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ianamarques\Downloads\"/>
    </mc:Choice>
  </mc:AlternateContent>
  <xr:revisionPtr revIDLastSave="0" documentId="8_{F6A96E1B-E338-4164-B47D-DE8714E3E807}" xr6:coauthVersionLast="47" xr6:coauthVersionMax="47" xr10:uidLastSave="{00000000-0000-0000-0000-000000000000}"/>
  <bookViews>
    <workbookView xWindow="-120" yWindow="-120" windowWidth="29040" windowHeight="15720" firstSheet="4" activeTab="6" xr2:uid="{CD9CB5AF-1EBE-4232-892E-7F7AC7C9D2F0}"/>
  </bookViews>
  <sheets>
    <sheet name="24.08_ND" sheetId="1" state="hidden" r:id="rId1"/>
    <sheet name="🟠PS" sheetId="2" state="hidden" r:id="rId2"/>
    <sheet name="00-INT." sheetId="3" state="hidden" r:id="rId3"/>
    <sheet name="00 - JT" sheetId="4" state="hidden" r:id="rId4"/>
    <sheet name="CAPA" sheetId="22" r:id="rId5"/>
    <sheet name="Inserção Dados" sheetId="23" r:id="rId6"/>
    <sheet name="Dados Contrato" sheetId="24" r:id="rId7"/>
    <sheet name="03-CONTROLE FINANCEIRO" sheetId="28" r:id="rId8"/>
    <sheet name="Medição " sheetId="6" r:id="rId9"/>
    <sheet name="03-CP" sheetId="7" state="hidden" r:id="rId10"/>
    <sheet name="Boletim" sheetId="25" r:id="rId11"/>
    <sheet name="01-RESUMO" sheetId="26" state="hidden" r:id="rId12"/>
    <sheet name="Cronograma" sheetId="30" r:id="rId13"/>
    <sheet name="Fotos" sheetId="27" state="hidden" r:id="rId14"/>
    <sheet name="01-RES." sheetId="5" state="hidden" r:id="rId15"/>
    <sheet name="04-CFF" sheetId="8" state="hidden" r:id="rId16"/>
    <sheet name="05-EVE" sheetId="9" state="hidden" r:id="rId17"/>
    <sheet name="09 - MC" sheetId="10" state="hidden" r:id="rId18"/>
    <sheet name="06 - ABC" sheetId="11" state="hidden" r:id="rId19"/>
    <sheet name="06-BDI" sheetId="12" state="hidden" r:id="rId20"/>
    <sheet name="07 - ES" sheetId="13" state="hidden" r:id="rId21"/>
    <sheet name="10-QT_AL" sheetId="14" state="hidden" r:id="rId22"/>
    <sheet name="11 - QT_ WB" sheetId="15" state="hidden" r:id="rId23"/>
    <sheet name="12 - QT_SUN" sheetId="16" state="hidden" r:id="rId24"/>
    <sheet name="13 - QT_QUI" sheetId="17" state="hidden" r:id="rId25"/>
    <sheet name="14 - QT_BES" sheetId="18" state="hidden" r:id="rId26"/>
    <sheet name="15 - QT_BCE" sheetId="19" state="hidden" r:id="rId27"/>
    <sheet name="16 - QT_ICONT" sheetId="20" state="hidden" r:id="rId28"/>
    <sheet name="• CIs EXT" sheetId="21"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s>
  <definedNames>
    <definedName name="_xlnm._FilterDatabase" localSheetId="28" hidden="1">'• CIs EXT'!$A$1:$E$137</definedName>
    <definedName name="_xlnm._FilterDatabase" localSheetId="9" hidden="1">'03-CP'!$A$6:$AD$2885</definedName>
    <definedName name="_xlnm._FilterDatabase" localSheetId="15" hidden="1">'04-CFF'!$E$6:$O$62</definedName>
    <definedName name="_xlnm._FilterDatabase" localSheetId="17" hidden="1">'09 - MC'!$A$9:$H$291</definedName>
    <definedName name="_xlnm._FilterDatabase" localSheetId="21" hidden="1">'10-QT_AL'!$A$1:$G$129</definedName>
    <definedName name="_xlnm._FilterDatabase" localSheetId="22" hidden="1">'11 - QT_ WB'!$A$1:$Z$660</definedName>
    <definedName name="_xlnm._FilterDatabase" localSheetId="23" hidden="1">'12 - QT_SUN'!$A$1:$Z$546</definedName>
    <definedName name="_xlnm._FilterDatabase" localSheetId="24" hidden="1">'13 - QT_QUI'!$A$1:$Z$367</definedName>
    <definedName name="_xlnm._FilterDatabase" localSheetId="25" hidden="1">'14 - QT_BES'!$A$1:$L$539</definedName>
    <definedName name="_xlnm._FilterDatabase" localSheetId="26" hidden="1">'15 - QT_BCE'!$A$1:$L$555</definedName>
    <definedName name="_xlnm._FilterDatabase" localSheetId="27" hidden="1">'16 - QT_ICONT'!$A$1:$R$216</definedName>
    <definedName name="_xlnm._FilterDatabase" localSheetId="12" hidden="1">Cronograma!$E$7:$O$63</definedName>
    <definedName name="_xlnm._FilterDatabase" localSheetId="8" hidden="1">'Medição '!$C$14:$L$1340</definedName>
    <definedName name="_xlnm.Print_Area" localSheetId="14">'01-RES.'!$A$1:$D$58</definedName>
    <definedName name="_xlnm.Print_Area" localSheetId="11">'01-RESUMO'!$B$1:$F$28</definedName>
    <definedName name="_xlnm.Print_Area" localSheetId="7">'03-CONTROLE FINANCEIRO'!$A$1:$O$33</definedName>
    <definedName name="_xlnm.Print_Area" localSheetId="9">'03-CP'!$A$1:$Q$2895</definedName>
    <definedName name="_xlnm.Print_Area" localSheetId="15">'04-CFF'!$A$1:$O$91</definedName>
    <definedName name="_xlnm.Print_Area" localSheetId="16">'05-EVE'!$A$1:$Z$561</definedName>
    <definedName name="_xlnm.Print_Area" localSheetId="19">'06-BDI'!$A$1:$R$1100</definedName>
    <definedName name="_xlnm.Print_Area" localSheetId="10">Boletim!$A$1:$O$61</definedName>
    <definedName name="_xlnm.Print_Area" localSheetId="4">CAPA!$B$2:$M$53</definedName>
    <definedName name="_xlnm.Print_Area" localSheetId="12">Cronograma!$A$1:$O$96</definedName>
    <definedName name="_xlnm.Print_Area" localSheetId="6">'Dados Contrato'!$B$1:$N$68</definedName>
    <definedName name="_xlnm.Print_Area" localSheetId="13">Fotos!$A$1:$P$109</definedName>
    <definedName name="_xlnm.Print_Area" localSheetId="5">'Inserção Dados'!$A$1:$P$160</definedName>
    <definedName name="_xlnm.Print_Area" localSheetId="8">'Medição '!$A$1:$P$1847</definedName>
    <definedName name="CIsTEx">#REF!</definedName>
    <definedName name="CPUs" localSheetId="9">'03-CP'!$C:$H</definedName>
    <definedName name="CPUs">#REF!</definedName>
    <definedName name="MC_SINT">#REF!</definedName>
    <definedName name="_xlnm.Print_Titles" localSheetId="11">'01-RESUMO'!$B:$F,'01-RESUMO'!$1:$9</definedName>
    <definedName name="_xlnm.Print_Titles" localSheetId="9">'03-CP'!$5:$6</definedName>
    <definedName name="_xlnm.Print_Titles" localSheetId="15">'04-CFF'!$5:$6</definedName>
    <definedName name="_xlnm.Print_Titles" localSheetId="16">'05-EVE'!$6:$9</definedName>
    <definedName name="_xlnm.Print_Titles" localSheetId="12">Cronograma!$5:$7</definedName>
    <definedName name="_xlnm.Print_Titles" localSheetId="8">'Medição '!#REF!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7" i="21" l="1"/>
  <c r="E137" i="21"/>
  <c r="I136" i="21"/>
  <c r="E136" i="21"/>
  <c r="I135" i="21"/>
  <c r="E135" i="21"/>
  <c r="I134" i="21"/>
  <c r="E134" i="21"/>
  <c r="I133" i="21"/>
  <c r="E133" i="21"/>
  <c r="I132" i="21"/>
  <c r="E132" i="21"/>
  <c r="I131" i="21"/>
  <c r="E131" i="21"/>
  <c r="I130" i="21"/>
  <c r="E130" i="21"/>
  <c r="I129" i="21"/>
  <c r="E129" i="21"/>
  <c r="I128" i="21"/>
  <c r="E128" i="21"/>
  <c r="I127" i="21"/>
  <c r="E127" i="21"/>
  <c r="I126" i="21"/>
  <c r="E126" i="21"/>
  <c r="I125" i="21"/>
  <c r="E125" i="21"/>
  <c r="I124" i="21"/>
  <c r="E124" i="21"/>
  <c r="I123" i="21"/>
  <c r="E123" i="21"/>
  <c r="I122" i="21"/>
  <c r="E122" i="21"/>
  <c r="I121" i="21"/>
  <c r="E121" i="21"/>
  <c r="I120" i="21"/>
  <c r="E120" i="21"/>
  <c r="I119" i="21"/>
  <c r="E119" i="21"/>
  <c r="I118" i="21"/>
  <c r="E118" i="21"/>
  <c r="I117" i="21"/>
  <c r="E117" i="21"/>
  <c r="I116" i="21"/>
  <c r="E116" i="21"/>
  <c r="I115" i="21"/>
  <c r="E115" i="21"/>
  <c r="I114" i="21"/>
  <c r="E114" i="21"/>
  <c r="I113" i="21"/>
  <c r="E113" i="21"/>
  <c r="I112" i="21"/>
  <c r="E112" i="21"/>
  <c r="I111" i="21"/>
  <c r="E111" i="21"/>
  <c r="I110" i="21"/>
  <c r="E110" i="21"/>
  <c r="I109" i="21"/>
  <c r="E109" i="21"/>
  <c r="I108" i="21"/>
  <c r="E108" i="21"/>
  <c r="I107" i="21"/>
  <c r="E107" i="21"/>
  <c r="I106" i="21"/>
  <c r="E106" i="21"/>
  <c r="I105" i="21"/>
  <c r="E105" i="21"/>
  <c r="I104" i="21"/>
  <c r="E104" i="21"/>
  <c r="I103" i="21"/>
  <c r="E103" i="21"/>
  <c r="I102" i="21"/>
  <c r="E102" i="21"/>
  <c r="J101" i="21"/>
  <c r="E101" i="21"/>
  <c r="I100" i="21"/>
  <c r="E100" i="21"/>
  <c r="I99" i="21"/>
  <c r="E99" i="21"/>
  <c r="I98" i="21"/>
  <c r="E98" i="21"/>
  <c r="I97" i="21"/>
  <c r="E97" i="21"/>
  <c r="I96" i="21"/>
  <c r="E96" i="21"/>
  <c r="I95" i="21"/>
  <c r="E95" i="21"/>
  <c r="I94" i="21"/>
  <c r="E94" i="21"/>
  <c r="I93" i="21"/>
  <c r="E93" i="21"/>
  <c r="I92" i="21"/>
  <c r="E92" i="21"/>
  <c r="I91" i="21"/>
  <c r="E91" i="21"/>
  <c r="I90" i="21"/>
  <c r="E90" i="21"/>
  <c r="I89" i="21"/>
  <c r="E89" i="21"/>
  <c r="I88" i="21"/>
  <c r="E88" i="21"/>
  <c r="I87" i="21"/>
  <c r="E87" i="21"/>
  <c r="I86" i="21"/>
  <c r="E86" i="21"/>
  <c r="I85" i="21"/>
  <c r="E85" i="21"/>
  <c r="I84" i="21"/>
  <c r="E84" i="21"/>
  <c r="I83" i="21"/>
  <c r="E83" i="21"/>
  <c r="I82" i="21"/>
  <c r="E82" i="21"/>
  <c r="I81" i="21"/>
  <c r="E81" i="21"/>
  <c r="I80" i="21"/>
  <c r="E80" i="21"/>
  <c r="I79" i="21"/>
  <c r="E79" i="21"/>
  <c r="I78" i="21"/>
  <c r="E78" i="21"/>
  <c r="I77" i="21"/>
  <c r="E77" i="21"/>
  <c r="I76" i="21"/>
  <c r="E76" i="21"/>
  <c r="I75" i="21"/>
  <c r="E75" i="21"/>
  <c r="I74" i="21"/>
  <c r="E74" i="21"/>
  <c r="I73" i="21"/>
  <c r="E73" i="21"/>
  <c r="I72" i="21"/>
  <c r="E72" i="21"/>
  <c r="I71" i="21"/>
  <c r="E71" i="21"/>
  <c r="I70" i="21"/>
  <c r="E70" i="21"/>
  <c r="I69" i="21"/>
  <c r="E69" i="21"/>
  <c r="I68" i="21"/>
  <c r="E68" i="21"/>
  <c r="I67" i="21"/>
  <c r="E67" i="21"/>
  <c r="I66" i="21"/>
  <c r="E66" i="21"/>
  <c r="I65" i="21"/>
  <c r="E65" i="21"/>
  <c r="I64" i="21"/>
  <c r="E64" i="21"/>
  <c r="I63" i="21"/>
  <c r="E63" i="21"/>
  <c r="I62" i="21"/>
  <c r="E62" i="21"/>
  <c r="I61" i="21"/>
  <c r="E61" i="21"/>
  <c r="I60" i="21"/>
  <c r="E60" i="21"/>
  <c r="I59" i="21"/>
  <c r="E59" i="21"/>
  <c r="I58" i="21"/>
  <c r="E58" i="21"/>
  <c r="I57" i="21"/>
  <c r="E57" i="21"/>
  <c r="I56" i="21"/>
  <c r="E56" i="21"/>
  <c r="I55" i="21"/>
  <c r="E55" i="21"/>
  <c r="I54" i="21"/>
  <c r="E54" i="21"/>
  <c r="I53" i="21"/>
  <c r="E53" i="21"/>
  <c r="I52" i="21"/>
  <c r="E52" i="21"/>
  <c r="I51" i="21"/>
  <c r="E51" i="21"/>
  <c r="I50" i="21"/>
  <c r="E50" i="21"/>
  <c r="I49" i="21"/>
  <c r="E49" i="21"/>
  <c r="I48" i="21"/>
  <c r="E48" i="21"/>
  <c r="I47" i="21"/>
  <c r="E47" i="21"/>
  <c r="I46" i="21"/>
  <c r="E46" i="21"/>
  <c r="I45" i="21"/>
  <c r="E45" i="21"/>
  <c r="I44" i="21"/>
  <c r="E44" i="21"/>
  <c r="I43" i="21"/>
  <c r="E43" i="21"/>
  <c r="I42" i="21"/>
  <c r="E42" i="21"/>
  <c r="I41" i="21"/>
  <c r="E41" i="21"/>
  <c r="I40" i="21"/>
  <c r="E40" i="21"/>
  <c r="I39" i="21"/>
  <c r="E39" i="21"/>
  <c r="I38" i="21"/>
  <c r="E38" i="21"/>
  <c r="I37" i="21"/>
  <c r="E37" i="21"/>
  <c r="I36" i="21"/>
  <c r="E36" i="21"/>
  <c r="I35" i="21"/>
  <c r="E35" i="21"/>
  <c r="I34" i="21"/>
  <c r="E34" i="21"/>
  <c r="I33" i="21"/>
  <c r="E33" i="21"/>
  <c r="I32" i="21"/>
  <c r="E32" i="21"/>
  <c r="I31" i="21"/>
  <c r="E31" i="21"/>
  <c r="I30" i="21"/>
  <c r="E30" i="21"/>
  <c r="I29" i="21"/>
  <c r="E29" i="21"/>
  <c r="I28" i="21"/>
  <c r="E28" i="21"/>
  <c r="I27" i="21"/>
  <c r="E27" i="21"/>
  <c r="I26" i="21"/>
  <c r="E26" i="21"/>
  <c r="I25" i="21"/>
  <c r="E25" i="21"/>
  <c r="I24" i="21"/>
  <c r="E24" i="21"/>
  <c r="I23" i="21"/>
  <c r="E23" i="21"/>
  <c r="I22" i="21"/>
  <c r="E22" i="21"/>
  <c r="I21" i="21"/>
  <c r="E21" i="21"/>
  <c r="I20" i="21"/>
  <c r="E20" i="21"/>
  <c r="I19" i="21"/>
  <c r="E19" i="21"/>
  <c r="I18" i="21"/>
  <c r="E18" i="21"/>
  <c r="I17" i="21"/>
  <c r="E17" i="21"/>
  <c r="I16" i="21"/>
  <c r="E16" i="21"/>
  <c r="E15" i="21"/>
  <c r="J14" i="21"/>
  <c r="I14" i="21"/>
  <c r="E14" i="21"/>
  <c r="E13" i="21"/>
  <c r="E12" i="21"/>
  <c r="E11" i="21"/>
  <c r="E10" i="21"/>
  <c r="E9" i="21"/>
  <c r="E8" i="21"/>
  <c r="E7" i="21"/>
  <c r="E6" i="21"/>
  <c r="E5" i="21"/>
  <c r="E4" i="21"/>
  <c r="E3" i="21"/>
  <c r="E2" i="21"/>
  <c r="E214" i="20"/>
  <c r="D214" i="20"/>
  <c r="E213" i="20"/>
  <c r="D213" i="20"/>
  <c r="E212" i="20"/>
  <c r="D212" i="20"/>
  <c r="E211" i="20"/>
  <c r="D211" i="20"/>
  <c r="E210" i="20"/>
  <c r="D210" i="20"/>
  <c r="E209" i="20"/>
  <c r="D209" i="20"/>
  <c r="F208" i="20"/>
  <c r="E208" i="20"/>
  <c r="D208" i="20"/>
  <c r="E207" i="20"/>
  <c r="D207" i="20"/>
  <c r="E206" i="20"/>
  <c r="D206" i="20"/>
  <c r="E205" i="20"/>
  <c r="D205" i="20"/>
  <c r="F204" i="20"/>
  <c r="E204" i="20"/>
  <c r="D204" i="20"/>
  <c r="E203" i="20"/>
  <c r="D203" i="20"/>
  <c r="E202" i="20"/>
  <c r="D202" i="20"/>
  <c r="E201" i="20"/>
  <c r="D201" i="20"/>
  <c r="E200" i="20"/>
  <c r="D200" i="20"/>
  <c r="E199" i="20"/>
  <c r="D199" i="20"/>
  <c r="E197" i="20"/>
  <c r="D197" i="20"/>
  <c r="E196" i="20"/>
  <c r="D196" i="20"/>
  <c r="E194" i="20"/>
  <c r="D194" i="20"/>
  <c r="E193" i="20"/>
  <c r="D193" i="20"/>
  <c r="E192" i="20"/>
  <c r="D192" i="20"/>
  <c r="E191" i="20"/>
  <c r="D191" i="20"/>
  <c r="E190" i="20"/>
  <c r="D190" i="20"/>
  <c r="F189" i="20"/>
  <c r="E189" i="20"/>
  <c r="D189" i="20"/>
  <c r="E188" i="20"/>
  <c r="D188" i="20"/>
  <c r="E187" i="20"/>
  <c r="D187" i="20"/>
  <c r="E186" i="20"/>
  <c r="D186" i="20"/>
  <c r="E184" i="20"/>
  <c r="D184" i="20"/>
  <c r="E183" i="20"/>
  <c r="D183" i="20"/>
  <c r="F182" i="20"/>
  <c r="E182" i="20"/>
  <c r="D182" i="20"/>
  <c r="E181" i="20"/>
  <c r="D181" i="20"/>
  <c r="E180" i="20"/>
  <c r="D180" i="20"/>
  <c r="E179" i="20"/>
  <c r="D179" i="20"/>
  <c r="E177" i="20"/>
  <c r="D177" i="20"/>
  <c r="E176" i="20"/>
  <c r="D176" i="20"/>
  <c r="E175" i="20"/>
  <c r="D175" i="20"/>
  <c r="E174" i="20"/>
  <c r="D174" i="20"/>
  <c r="E173" i="20"/>
  <c r="D173" i="20"/>
  <c r="E172" i="20"/>
  <c r="D172" i="20"/>
  <c r="E171" i="20"/>
  <c r="D171" i="20"/>
  <c r="E170" i="20"/>
  <c r="D170" i="20"/>
  <c r="E169" i="20"/>
  <c r="D169" i="20"/>
  <c r="F168" i="20"/>
  <c r="E168" i="20"/>
  <c r="D168" i="20"/>
  <c r="E167" i="20"/>
  <c r="D167" i="20"/>
  <c r="E166" i="20"/>
  <c r="D166" i="20"/>
  <c r="E165" i="20"/>
  <c r="D165" i="20"/>
  <c r="E163" i="20"/>
  <c r="D163" i="20"/>
  <c r="E162" i="20"/>
  <c r="D162" i="20"/>
  <c r="E161" i="20"/>
  <c r="D161" i="20"/>
  <c r="E160" i="20"/>
  <c r="D160" i="20"/>
  <c r="E159" i="20"/>
  <c r="D159" i="20"/>
  <c r="E158" i="20"/>
  <c r="D158" i="20"/>
  <c r="E157" i="20"/>
  <c r="D157" i="20"/>
  <c r="E156" i="20"/>
  <c r="D156" i="20"/>
  <c r="E155" i="20"/>
  <c r="D155" i="20"/>
  <c r="E154" i="20"/>
  <c r="D154" i="20"/>
  <c r="E153" i="20"/>
  <c r="D153" i="20"/>
  <c r="F152" i="20"/>
  <c r="E152" i="20"/>
  <c r="D152" i="20"/>
  <c r="E151" i="20"/>
  <c r="D151" i="20"/>
  <c r="E150" i="20"/>
  <c r="D150" i="20"/>
  <c r="E149" i="20"/>
  <c r="D149" i="20"/>
  <c r="E147" i="20"/>
  <c r="D147" i="20"/>
  <c r="E146" i="20"/>
  <c r="D146" i="20"/>
  <c r="E145" i="20"/>
  <c r="D145" i="20"/>
  <c r="F144" i="20"/>
  <c r="E144" i="20"/>
  <c r="D144" i="20"/>
  <c r="E143" i="20"/>
  <c r="D143" i="20"/>
  <c r="E142" i="20"/>
  <c r="D142" i="20"/>
  <c r="E141" i="20"/>
  <c r="D141" i="20"/>
  <c r="E136" i="20"/>
  <c r="D136" i="20"/>
  <c r="E135" i="20"/>
  <c r="D135" i="20"/>
  <c r="E134" i="20"/>
  <c r="D134" i="20"/>
  <c r="E133" i="20"/>
  <c r="D133" i="20"/>
  <c r="E132" i="20"/>
  <c r="D132" i="20"/>
  <c r="E131" i="20"/>
  <c r="D131" i="20"/>
  <c r="E130" i="20"/>
  <c r="D130" i="20"/>
  <c r="F128" i="20"/>
  <c r="E128" i="20"/>
  <c r="D128" i="20"/>
  <c r="F127" i="20"/>
  <c r="E127" i="20"/>
  <c r="D127" i="20"/>
  <c r="E126" i="20"/>
  <c r="D126" i="20"/>
  <c r="E125" i="20"/>
  <c r="D125" i="20"/>
  <c r="E124" i="20"/>
  <c r="D124" i="20"/>
  <c r="E123" i="20"/>
  <c r="D123" i="20"/>
  <c r="E122" i="20"/>
  <c r="D122" i="20"/>
  <c r="E121" i="20"/>
  <c r="D121" i="20"/>
  <c r="E120" i="20"/>
  <c r="D120" i="20"/>
  <c r="E119" i="20"/>
  <c r="D119" i="20"/>
  <c r="E115" i="20"/>
  <c r="D115" i="20"/>
  <c r="E114" i="20"/>
  <c r="D114" i="20"/>
  <c r="E113" i="20"/>
  <c r="D113" i="20"/>
  <c r="E112" i="20"/>
  <c r="D112" i="20"/>
  <c r="E111" i="20"/>
  <c r="D111" i="20"/>
  <c r="E110" i="20"/>
  <c r="D110" i="20"/>
  <c r="F108" i="20"/>
  <c r="E108" i="20"/>
  <c r="D108" i="20"/>
  <c r="F107" i="20"/>
  <c r="E107" i="20"/>
  <c r="D107" i="20"/>
  <c r="E106" i="20"/>
  <c r="D106" i="20"/>
  <c r="E105" i="20"/>
  <c r="D105" i="20"/>
  <c r="E104" i="20"/>
  <c r="D104" i="20"/>
  <c r="E103" i="20"/>
  <c r="D103" i="20"/>
  <c r="E102" i="20"/>
  <c r="D102" i="20"/>
  <c r="E101" i="20"/>
  <c r="D101" i="20"/>
  <c r="E100" i="20"/>
  <c r="D100" i="20"/>
  <c r="E99" i="20"/>
  <c r="D99" i="20"/>
  <c r="E95" i="20"/>
  <c r="D95" i="20"/>
  <c r="E94" i="20"/>
  <c r="D94" i="20"/>
  <c r="E93" i="20"/>
  <c r="D93" i="20"/>
  <c r="E92" i="20"/>
  <c r="D92" i="20"/>
  <c r="E91" i="20"/>
  <c r="D91" i="20"/>
  <c r="E90" i="20"/>
  <c r="D90" i="20"/>
  <c r="F88" i="20"/>
  <c r="E88" i="20"/>
  <c r="D88" i="20"/>
  <c r="F87" i="20"/>
  <c r="E87" i="20"/>
  <c r="D87" i="20"/>
  <c r="E86" i="20"/>
  <c r="D86" i="20"/>
  <c r="E85" i="20"/>
  <c r="D85" i="20"/>
  <c r="E84" i="20"/>
  <c r="D84" i="20"/>
  <c r="E83" i="20"/>
  <c r="D83" i="20"/>
  <c r="E82" i="20"/>
  <c r="D82" i="20"/>
  <c r="E81" i="20"/>
  <c r="D81" i="20"/>
  <c r="E80" i="20"/>
  <c r="D80" i="20"/>
  <c r="E79" i="20"/>
  <c r="D79" i="20"/>
  <c r="E78" i="20"/>
  <c r="D78" i="20"/>
  <c r="E77" i="20"/>
  <c r="D77" i="20"/>
  <c r="E73" i="20"/>
  <c r="D73" i="20"/>
  <c r="F72" i="20"/>
  <c r="E72" i="20"/>
  <c r="D72" i="20"/>
  <c r="E71" i="20"/>
  <c r="D71" i="20"/>
  <c r="E70" i="20"/>
  <c r="D70" i="20"/>
  <c r="E69" i="20"/>
  <c r="D69" i="20"/>
  <c r="E68" i="20"/>
  <c r="D68" i="20"/>
  <c r="F66" i="20"/>
  <c r="E66" i="20"/>
  <c r="D66" i="20"/>
  <c r="F65" i="20"/>
  <c r="E65" i="20"/>
  <c r="D65" i="20"/>
  <c r="E64" i="20"/>
  <c r="D64" i="20"/>
  <c r="E63" i="20"/>
  <c r="D63" i="20"/>
  <c r="E62" i="20"/>
  <c r="D62" i="20"/>
  <c r="E61" i="20"/>
  <c r="D61" i="20"/>
  <c r="E60" i="20"/>
  <c r="D60" i="20"/>
  <c r="E59" i="20"/>
  <c r="D59" i="20"/>
  <c r="E58" i="20"/>
  <c r="D58" i="20"/>
  <c r="E57" i="20"/>
  <c r="D57" i="20"/>
  <c r="E53" i="20"/>
  <c r="D53" i="20"/>
  <c r="E52" i="20"/>
  <c r="D52" i="20"/>
  <c r="E51" i="20"/>
  <c r="D51" i="20"/>
  <c r="E50" i="20"/>
  <c r="D50" i="20"/>
  <c r="E49" i="20"/>
  <c r="D49" i="20"/>
  <c r="F47" i="20"/>
  <c r="E47" i="20"/>
  <c r="D47" i="20"/>
  <c r="F46" i="20"/>
  <c r="E46" i="20"/>
  <c r="D46" i="20"/>
  <c r="E45" i="20"/>
  <c r="D45" i="20"/>
  <c r="E44" i="20"/>
  <c r="D44" i="20"/>
  <c r="E43" i="20"/>
  <c r="D43" i="20"/>
  <c r="E42" i="20"/>
  <c r="D42" i="20"/>
  <c r="F40" i="20"/>
  <c r="E40" i="20"/>
  <c r="D40" i="20"/>
  <c r="F39" i="20"/>
  <c r="E39" i="20"/>
  <c r="D39" i="20"/>
  <c r="E38" i="20"/>
  <c r="D38" i="20"/>
  <c r="E37" i="20"/>
  <c r="D37" i="20"/>
  <c r="E36" i="20"/>
  <c r="D36" i="20"/>
  <c r="E35" i="20"/>
  <c r="D35" i="20"/>
  <c r="E34" i="20"/>
  <c r="D34" i="20"/>
  <c r="E33" i="20"/>
  <c r="D33" i="20"/>
  <c r="E32" i="20"/>
  <c r="D32" i="20"/>
  <c r="E31" i="20"/>
  <c r="D31" i="20"/>
  <c r="E27" i="20"/>
  <c r="D27" i="20"/>
  <c r="E26" i="20"/>
  <c r="D26" i="20"/>
  <c r="E25" i="20"/>
  <c r="D25" i="20"/>
  <c r="E24" i="20"/>
  <c r="D24" i="20"/>
  <c r="E23" i="20"/>
  <c r="D23" i="20"/>
  <c r="E22" i="20"/>
  <c r="D22" i="20"/>
  <c r="F20" i="20"/>
  <c r="E20" i="20"/>
  <c r="D20" i="20"/>
  <c r="F19" i="20"/>
  <c r="E19" i="20"/>
  <c r="D19" i="20"/>
  <c r="E18" i="20"/>
  <c r="D18" i="20"/>
  <c r="E17" i="20"/>
  <c r="D17" i="20"/>
  <c r="E16" i="20"/>
  <c r="D16" i="20"/>
  <c r="E15" i="20"/>
  <c r="D15" i="20"/>
  <c r="E14" i="20"/>
  <c r="D14" i="20"/>
  <c r="E13" i="20"/>
  <c r="D13" i="20"/>
  <c r="E12" i="20"/>
  <c r="D12" i="20"/>
  <c r="E11" i="20"/>
  <c r="D11" i="20"/>
  <c r="E10" i="20"/>
  <c r="D10" i="20"/>
  <c r="B4" i="20"/>
  <c r="A4" i="20"/>
  <c r="B3" i="20"/>
  <c r="A3" i="20"/>
  <c r="B2" i="20"/>
  <c r="A2" i="20"/>
  <c r="B1" i="20"/>
  <c r="A1" i="20"/>
  <c r="E554" i="19"/>
  <c r="D554" i="19"/>
  <c r="E553" i="19"/>
  <c r="D553" i="19"/>
  <c r="E549" i="19"/>
  <c r="D549" i="19"/>
  <c r="E548" i="19"/>
  <c r="D548" i="19"/>
  <c r="E547" i="19"/>
  <c r="D547" i="19"/>
  <c r="E546" i="19"/>
  <c r="D546" i="19"/>
  <c r="E545" i="19"/>
  <c r="D545" i="19"/>
  <c r="E544" i="19"/>
  <c r="D544" i="19"/>
  <c r="E543" i="19"/>
  <c r="D543" i="19"/>
  <c r="E542" i="19"/>
  <c r="D542" i="19"/>
  <c r="E541" i="19"/>
  <c r="D541" i="19"/>
  <c r="E539" i="19"/>
  <c r="D539" i="19"/>
  <c r="E538" i="19"/>
  <c r="D538" i="19"/>
  <c r="E537" i="19"/>
  <c r="D537" i="19"/>
  <c r="E536" i="19"/>
  <c r="D536" i="19"/>
  <c r="E535" i="19"/>
  <c r="D535" i="19"/>
  <c r="E534" i="19"/>
  <c r="D534" i="19"/>
  <c r="E533" i="19"/>
  <c r="D533" i="19"/>
  <c r="E532" i="19"/>
  <c r="D532" i="19"/>
  <c r="E531" i="19"/>
  <c r="D531" i="19"/>
  <c r="E530" i="19"/>
  <c r="D530" i="19"/>
  <c r="E529" i="19"/>
  <c r="D529" i="19"/>
  <c r="E528" i="19"/>
  <c r="D528" i="19"/>
  <c r="E527" i="19"/>
  <c r="D527" i="19"/>
  <c r="E525" i="19"/>
  <c r="D525" i="19"/>
  <c r="E524" i="19"/>
  <c r="D524" i="19"/>
  <c r="E523" i="19"/>
  <c r="D523" i="19"/>
  <c r="E521" i="19"/>
  <c r="D521" i="19"/>
  <c r="E520" i="19"/>
  <c r="D520" i="19"/>
  <c r="E519" i="19"/>
  <c r="D519" i="19"/>
  <c r="E518" i="19"/>
  <c r="D518" i="19"/>
  <c r="E517" i="19"/>
  <c r="D517" i="19"/>
  <c r="E516" i="19"/>
  <c r="D516" i="19"/>
  <c r="E515" i="19"/>
  <c r="D515" i="19"/>
  <c r="E514" i="19"/>
  <c r="D514" i="19"/>
  <c r="E513" i="19"/>
  <c r="D513" i="19"/>
  <c r="E511" i="19"/>
  <c r="D511" i="19"/>
  <c r="E510" i="19"/>
  <c r="D510" i="19"/>
  <c r="E509" i="19"/>
  <c r="D509" i="19"/>
  <c r="E508" i="19"/>
  <c r="D508" i="19"/>
  <c r="E507" i="19"/>
  <c r="D507" i="19"/>
  <c r="F505" i="19"/>
  <c r="E505" i="19"/>
  <c r="D505" i="19"/>
  <c r="E504" i="19"/>
  <c r="D504" i="19"/>
  <c r="E503" i="19"/>
  <c r="D503" i="19"/>
  <c r="E502" i="19"/>
  <c r="D502" i="19"/>
  <c r="E501" i="19"/>
  <c r="D501" i="19"/>
  <c r="E500" i="19"/>
  <c r="D500" i="19"/>
  <c r="E495" i="19"/>
  <c r="D495" i="19"/>
  <c r="E494" i="19"/>
  <c r="D494" i="19"/>
  <c r="E493" i="19"/>
  <c r="D493" i="19"/>
  <c r="E492" i="19"/>
  <c r="D492" i="19"/>
  <c r="E491" i="19"/>
  <c r="D491" i="19"/>
  <c r="E490" i="19"/>
  <c r="D490" i="19"/>
  <c r="E489" i="19"/>
  <c r="D489" i="19"/>
  <c r="E488" i="19"/>
  <c r="D488" i="19"/>
  <c r="E487" i="19"/>
  <c r="D487" i="19"/>
  <c r="E486" i="19"/>
  <c r="D486" i="19"/>
  <c r="E485" i="19"/>
  <c r="D485" i="19"/>
  <c r="E483" i="19"/>
  <c r="D483" i="19"/>
  <c r="E482" i="19"/>
  <c r="D482" i="19"/>
  <c r="E481" i="19"/>
  <c r="D481" i="19"/>
  <c r="E480" i="19"/>
  <c r="D480" i="19"/>
  <c r="E479" i="19"/>
  <c r="D479" i="19"/>
  <c r="E478" i="19"/>
  <c r="D478" i="19"/>
  <c r="E477" i="19"/>
  <c r="D477" i="19"/>
  <c r="E476" i="19"/>
  <c r="D476" i="19"/>
  <c r="E475" i="19"/>
  <c r="D475" i="19"/>
  <c r="E474" i="19"/>
  <c r="D474" i="19"/>
  <c r="E473" i="19"/>
  <c r="D473" i="19"/>
  <c r="E472" i="19"/>
  <c r="D472" i="19"/>
  <c r="E471" i="19"/>
  <c r="D471" i="19"/>
  <c r="E470" i="19"/>
  <c r="D470" i="19"/>
  <c r="E469" i="19"/>
  <c r="D469" i="19"/>
  <c r="E468" i="19"/>
  <c r="D468" i="19"/>
  <c r="E467" i="19"/>
  <c r="D467" i="19"/>
  <c r="E466" i="19"/>
  <c r="D466" i="19"/>
  <c r="E465" i="19"/>
  <c r="D465" i="19"/>
  <c r="E464" i="19"/>
  <c r="D464" i="19"/>
  <c r="E463" i="19"/>
  <c r="D463" i="19"/>
  <c r="E462" i="19"/>
  <c r="D462" i="19"/>
  <c r="E461" i="19"/>
  <c r="D461" i="19"/>
  <c r="E460" i="19"/>
  <c r="D460" i="19"/>
  <c r="E459" i="19"/>
  <c r="D459" i="19"/>
  <c r="E458" i="19"/>
  <c r="D458" i="19"/>
  <c r="E457" i="19"/>
  <c r="D457" i="19"/>
  <c r="B457" i="19"/>
  <c r="E456" i="19"/>
  <c r="D456" i="19"/>
  <c r="E455" i="19"/>
  <c r="D455" i="19"/>
  <c r="E454" i="19"/>
  <c r="D454" i="19"/>
  <c r="E453" i="19"/>
  <c r="D453" i="19"/>
  <c r="E452" i="19"/>
  <c r="D452" i="19"/>
  <c r="E451" i="19"/>
  <c r="D451" i="19"/>
  <c r="E450" i="19"/>
  <c r="D450" i="19"/>
  <c r="E449" i="19"/>
  <c r="D449" i="19"/>
  <c r="E448" i="19"/>
  <c r="D448" i="19"/>
  <c r="E447" i="19"/>
  <c r="D447" i="19"/>
  <c r="E446" i="19"/>
  <c r="D446" i="19"/>
  <c r="E444" i="19"/>
  <c r="D444" i="19"/>
  <c r="E443" i="19"/>
  <c r="D443" i="19"/>
  <c r="E442" i="19"/>
  <c r="D442" i="19"/>
  <c r="E441" i="19"/>
  <c r="D441" i="19"/>
  <c r="E440" i="19"/>
  <c r="D440" i="19"/>
  <c r="E439" i="19"/>
  <c r="D439" i="19"/>
  <c r="E438" i="19"/>
  <c r="D438" i="19"/>
  <c r="E437" i="19"/>
  <c r="D437" i="19"/>
  <c r="E436" i="19"/>
  <c r="D436" i="19"/>
  <c r="E435" i="19"/>
  <c r="D435" i="19"/>
  <c r="E434" i="19"/>
  <c r="D434" i="19"/>
  <c r="E433" i="19"/>
  <c r="D433" i="19"/>
  <c r="E432" i="19"/>
  <c r="D432" i="19"/>
  <c r="E431" i="19"/>
  <c r="D431" i="19"/>
  <c r="E430" i="19"/>
  <c r="D430" i="19"/>
  <c r="E429" i="19"/>
  <c r="D429" i="19"/>
  <c r="E428" i="19"/>
  <c r="D428" i="19"/>
  <c r="E427" i="19"/>
  <c r="D427" i="19"/>
  <c r="E426" i="19"/>
  <c r="D426" i="19"/>
  <c r="E425" i="19"/>
  <c r="D425" i="19"/>
  <c r="E424" i="19"/>
  <c r="D424" i="19"/>
  <c r="E423" i="19"/>
  <c r="D423" i="19"/>
  <c r="E422" i="19"/>
  <c r="D422" i="19"/>
  <c r="E421" i="19"/>
  <c r="D421" i="19"/>
  <c r="E420" i="19"/>
  <c r="D420" i="19"/>
  <c r="E419" i="19"/>
  <c r="D419" i="19"/>
  <c r="E418" i="19"/>
  <c r="D418" i="19"/>
  <c r="E417" i="19"/>
  <c r="D417" i="19"/>
  <c r="E416" i="19"/>
  <c r="D416" i="19"/>
  <c r="E415" i="19"/>
  <c r="D415" i="19"/>
  <c r="E414" i="19"/>
  <c r="D414" i="19"/>
  <c r="E413" i="19"/>
  <c r="D413" i="19"/>
  <c r="E412" i="19"/>
  <c r="D412" i="19"/>
  <c r="E411" i="19"/>
  <c r="D411" i="19"/>
  <c r="E410" i="19"/>
  <c r="D410" i="19"/>
  <c r="E409" i="19"/>
  <c r="D409" i="19"/>
  <c r="E408" i="19"/>
  <c r="D408" i="19"/>
  <c r="E407" i="19"/>
  <c r="D407" i="19"/>
  <c r="E406" i="19"/>
  <c r="D406" i="19"/>
  <c r="E405" i="19"/>
  <c r="D405" i="19"/>
  <c r="I400" i="19"/>
  <c r="F398" i="19"/>
  <c r="E398" i="19"/>
  <c r="D398" i="19"/>
  <c r="I397" i="19"/>
  <c r="I396" i="19"/>
  <c r="I395" i="19"/>
  <c r="I394" i="19"/>
  <c r="I393" i="19"/>
  <c r="I392" i="19"/>
  <c r="F390" i="19"/>
  <c r="E390" i="19"/>
  <c r="D390" i="19"/>
  <c r="I388" i="19"/>
  <c r="I387" i="19"/>
  <c r="I386" i="19"/>
  <c r="I385" i="19"/>
  <c r="F383" i="19"/>
  <c r="E383" i="19"/>
  <c r="D383" i="19"/>
  <c r="E382" i="19"/>
  <c r="D382" i="19"/>
  <c r="E381" i="19"/>
  <c r="D381" i="19"/>
  <c r="I380" i="19"/>
  <c r="I379" i="19"/>
  <c r="I378" i="19"/>
  <c r="F376" i="19"/>
  <c r="E376" i="19"/>
  <c r="D376" i="19"/>
  <c r="E373" i="19"/>
  <c r="D373" i="19"/>
  <c r="E372" i="19"/>
  <c r="D372" i="19"/>
  <c r="E371" i="19"/>
  <c r="D371" i="19"/>
  <c r="E370" i="19"/>
  <c r="D370" i="19"/>
  <c r="E369" i="19"/>
  <c r="D369" i="19"/>
  <c r="E368" i="19"/>
  <c r="D368" i="19"/>
  <c r="E367" i="19"/>
  <c r="D367" i="19"/>
  <c r="E366" i="19"/>
  <c r="D366" i="19"/>
  <c r="E365" i="19"/>
  <c r="D365" i="19"/>
  <c r="E364" i="19"/>
  <c r="D364" i="19"/>
  <c r="E363" i="19"/>
  <c r="D363" i="19"/>
  <c r="E362" i="19"/>
  <c r="D362" i="19"/>
  <c r="E361" i="19"/>
  <c r="D361" i="19"/>
  <c r="E360" i="19"/>
  <c r="D360" i="19"/>
  <c r="I359" i="19"/>
  <c r="I358" i="19"/>
  <c r="I357" i="19"/>
  <c r="I356" i="19"/>
  <c r="I355" i="19"/>
  <c r="I354" i="19"/>
  <c r="F352" i="19"/>
  <c r="E352" i="19"/>
  <c r="D352" i="19"/>
  <c r="E351" i="19"/>
  <c r="D351" i="19"/>
  <c r="E350" i="19"/>
  <c r="D350" i="19"/>
  <c r="E349" i="19"/>
  <c r="D349" i="19"/>
  <c r="E348" i="19"/>
  <c r="D348" i="19"/>
  <c r="E347" i="19"/>
  <c r="D347" i="19"/>
  <c r="E346" i="19"/>
  <c r="D346" i="19"/>
  <c r="I343" i="19"/>
  <c r="G343" i="19"/>
  <c r="I342" i="19"/>
  <c r="G342" i="19"/>
  <c r="F340" i="19"/>
  <c r="E340" i="19"/>
  <c r="D340" i="19"/>
  <c r="I338" i="19"/>
  <c r="G338" i="19"/>
  <c r="F336" i="19"/>
  <c r="E336" i="19"/>
  <c r="D336" i="19"/>
  <c r="I334" i="19"/>
  <c r="G334" i="19"/>
  <c r="I333" i="19"/>
  <c r="G333" i="19"/>
  <c r="I332" i="19"/>
  <c r="G332" i="19"/>
  <c r="F330" i="19"/>
  <c r="E330" i="19"/>
  <c r="D330" i="19"/>
  <c r="I328" i="19"/>
  <c r="I327" i="19"/>
  <c r="I326" i="19"/>
  <c r="F324" i="19"/>
  <c r="E324" i="19"/>
  <c r="D324" i="19"/>
  <c r="I322" i="19"/>
  <c r="I321" i="19"/>
  <c r="F319" i="19"/>
  <c r="E319" i="19"/>
  <c r="D319" i="19"/>
  <c r="I317" i="19"/>
  <c r="F315" i="19"/>
  <c r="E315" i="19"/>
  <c r="D315" i="19"/>
  <c r="I313" i="19"/>
  <c r="G313" i="19"/>
  <c r="I312" i="19"/>
  <c r="G312" i="19"/>
  <c r="I311" i="19"/>
  <c r="G311" i="19"/>
  <c r="I310" i="19"/>
  <c r="G310" i="19"/>
  <c r="I309" i="19"/>
  <c r="G309" i="19"/>
  <c r="I308" i="19"/>
  <c r="G308" i="19"/>
  <c r="I307" i="19"/>
  <c r="G307" i="19"/>
  <c r="I306" i="19"/>
  <c r="G306" i="19"/>
  <c r="F304" i="19"/>
  <c r="E304" i="19"/>
  <c r="D304" i="19"/>
  <c r="I302" i="19"/>
  <c r="G302" i="19"/>
  <c r="I301" i="19"/>
  <c r="I300" i="19"/>
  <c r="G300" i="19"/>
  <c r="I299" i="19"/>
  <c r="G299" i="19"/>
  <c r="I298" i="19"/>
  <c r="G298" i="19"/>
  <c r="I297" i="19"/>
  <c r="I296" i="19"/>
  <c r="G296" i="19"/>
  <c r="I295" i="19"/>
  <c r="G295" i="19"/>
  <c r="F293" i="19"/>
  <c r="E293" i="19"/>
  <c r="D293" i="19"/>
  <c r="F292" i="19"/>
  <c r="E292" i="19"/>
  <c r="D292" i="19"/>
  <c r="I291" i="19"/>
  <c r="I290" i="19"/>
  <c r="I289" i="19"/>
  <c r="I288" i="19"/>
  <c r="F286" i="19"/>
  <c r="E286" i="19"/>
  <c r="D286" i="19"/>
  <c r="E283" i="19"/>
  <c r="D283" i="19"/>
  <c r="E282" i="19"/>
  <c r="D282" i="19"/>
  <c r="E281" i="19"/>
  <c r="D281" i="19"/>
  <c r="I279" i="19"/>
  <c r="G279" i="19"/>
  <c r="I278" i="19"/>
  <c r="G278" i="19"/>
  <c r="I277" i="19"/>
  <c r="G277" i="19"/>
  <c r="I276" i="19"/>
  <c r="G276" i="19"/>
  <c r="I275" i="19"/>
  <c r="G275" i="19"/>
  <c r="I274" i="19"/>
  <c r="G274" i="19"/>
  <c r="I273" i="19"/>
  <c r="G273" i="19"/>
  <c r="I272" i="19"/>
  <c r="G272" i="19"/>
  <c r="F270" i="19"/>
  <c r="E270" i="19"/>
  <c r="D270" i="19"/>
  <c r="I268" i="19"/>
  <c r="F264" i="19"/>
  <c r="E264" i="19"/>
  <c r="D264" i="19"/>
  <c r="E263" i="19"/>
  <c r="D263" i="19"/>
  <c r="F255" i="19"/>
  <c r="E255" i="19"/>
  <c r="D255" i="19"/>
  <c r="I253" i="19"/>
  <c r="I252" i="19"/>
  <c r="I251" i="19"/>
  <c r="I250" i="19"/>
  <c r="I249" i="19"/>
  <c r="F247" i="19"/>
  <c r="E247" i="19"/>
  <c r="D247" i="19"/>
  <c r="I244" i="19"/>
  <c r="G244" i="19"/>
  <c r="I243" i="19"/>
  <c r="G243" i="19"/>
  <c r="F241" i="19"/>
  <c r="E241" i="19"/>
  <c r="D241" i="19"/>
  <c r="I240" i="19"/>
  <c r="G240" i="19"/>
  <c r="F238" i="19"/>
  <c r="E238" i="19"/>
  <c r="D238" i="19"/>
  <c r="I237" i="19"/>
  <c r="G237" i="19"/>
  <c r="I236" i="19"/>
  <c r="G236" i="19"/>
  <c r="I235" i="19"/>
  <c r="G235" i="19"/>
  <c r="F233" i="19"/>
  <c r="E233" i="19"/>
  <c r="D233" i="19"/>
  <c r="I230" i="19"/>
  <c r="I229" i="19"/>
  <c r="I228" i="19"/>
  <c r="I227" i="19"/>
  <c r="I226" i="19"/>
  <c r="F224" i="19"/>
  <c r="E224" i="19"/>
  <c r="D224" i="19"/>
  <c r="F216" i="19"/>
  <c r="E216" i="19"/>
  <c r="D216" i="19"/>
  <c r="F208" i="19"/>
  <c r="E208" i="19"/>
  <c r="D208" i="19"/>
  <c r="I206" i="19"/>
  <c r="G206" i="19"/>
  <c r="I205" i="19"/>
  <c r="G205" i="19"/>
  <c r="I203" i="19"/>
  <c r="G203" i="19"/>
  <c r="F201" i="19"/>
  <c r="E201" i="19"/>
  <c r="D201" i="19"/>
  <c r="I199" i="19"/>
  <c r="G199" i="19"/>
  <c r="I198" i="19"/>
  <c r="G198" i="19"/>
  <c r="F196" i="19"/>
  <c r="E196" i="19"/>
  <c r="D196" i="19"/>
  <c r="I194" i="19"/>
  <c r="G194" i="19"/>
  <c r="I193" i="19"/>
  <c r="G193" i="19"/>
  <c r="I192" i="19"/>
  <c r="G192" i="19"/>
  <c r="F190" i="19"/>
  <c r="E190" i="19"/>
  <c r="D190" i="19"/>
  <c r="I187" i="19"/>
  <c r="I186" i="19"/>
  <c r="I185" i="19"/>
  <c r="I184" i="19"/>
  <c r="I183" i="19"/>
  <c r="I182" i="19"/>
  <c r="F180" i="19"/>
  <c r="E180" i="19"/>
  <c r="D180" i="19"/>
  <c r="I178" i="19"/>
  <c r="H178" i="19"/>
  <c r="G178" i="19"/>
  <c r="I177" i="19"/>
  <c r="G177" i="19"/>
  <c r="I176" i="19"/>
  <c r="G176" i="19"/>
  <c r="F174" i="19"/>
  <c r="E174" i="19"/>
  <c r="D174" i="19"/>
  <c r="I172" i="19"/>
  <c r="I171" i="19"/>
  <c r="I170" i="19"/>
  <c r="I169" i="19"/>
  <c r="I168" i="19"/>
  <c r="G168" i="19"/>
  <c r="I167" i="19"/>
  <c r="G167" i="19"/>
  <c r="I166" i="19"/>
  <c r="G166" i="19"/>
  <c r="I165" i="19"/>
  <c r="G165" i="19"/>
  <c r="I164" i="19"/>
  <c r="G164" i="19"/>
  <c r="F162" i="19"/>
  <c r="E162" i="19"/>
  <c r="D162" i="19"/>
  <c r="F153" i="19"/>
  <c r="E153" i="19"/>
  <c r="D153" i="19"/>
  <c r="I151" i="19"/>
  <c r="I150" i="19"/>
  <c r="I149" i="19"/>
  <c r="I148" i="19"/>
  <c r="I147" i="19"/>
  <c r="I146" i="19"/>
  <c r="G146" i="19"/>
  <c r="I145" i="19"/>
  <c r="G145" i="19"/>
  <c r="I144" i="19"/>
  <c r="G144" i="19"/>
  <c r="I143" i="19"/>
  <c r="G143" i="19"/>
  <c r="I142" i="19"/>
  <c r="G142" i="19"/>
  <c r="F140" i="19"/>
  <c r="E140" i="19"/>
  <c r="D140" i="19"/>
  <c r="I138" i="19"/>
  <c r="I137" i="19"/>
  <c r="I136" i="19"/>
  <c r="I135" i="19"/>
  <c r="I134" i="19"/>
  <c r="I133" i="19"/>
  <c r="G133" i="19"/>
  <c r="I132" i="19"/>
  <c r="G132" i="19"/>
  <c r="I131" i="19"/>
  <c r="G131" i="19"/>
  <c r="I130" i="19"/>
  <c r="G130" i="19"/>
  <c r="I129" i="19"/>
  <c r="G129" i="19"/>
  <c r="F127" i="19"/>
  <c r="E127" i="19"/>
  <c r="D127" i="19"/>
  <c r="I124" i="19"/>
  <c r="I123" i="19"/>
  <c r="F121" i="19"/>
  <c r="E121" i="19"/>
  <c r="D121" i="19"/>
  <c r="I119" i="19"/>
  <c r="I118" i="19"/>
  <c r="I117" i="19"/>
  <c r="I116" i="19"/>
  <c r="I115" i="19"/>
  <c r="F113" i="19"/>
  <c r="E113" i="19"/>
  <c r="D113" i="19"/>
  <c r="E112" i="19"/>
  <c r="D112" i="19"/>
  <c r="I110" i="19"/>
  <c r="G110" i="19"/>
  <c r="I109" i="19"/>
  <c r="G109" i="19"/>
  <c r="I108" i="19"/>
  <c r="G108" i="19"/>
  <c r="F106" i="19"/>
  <c r="E106" i="19"/>
  <c r="D106" i="19"/>
  <c r="I104" i="19"/>
  <c r="G104" i="19"/>
  <c r="I103" i="19"/>
  <c r="G103" i="19"/>
  <c r="I102" i="19"/>
  <c r="G102" i="19"/>
  <c r="I101" i="19"/>
  <c r="G101" i="19"/>
  <c r="I100" i="19"/>
  <c r="G100" i="19"/>
  <c r="F98" i="19"/>
  <c r="E98" i="19"/>
  <c r="D98" i="19"/>
  <c r="E93" i="19"/>
  <c r="D93" i="19"/>
  <c r="E91" i="19"/>
  <c r="D91" i="19"/>
  <c r="E89" i="19"/>
  <c r="D89" i="19"/>
  <c r="E88" i="19"/>
  <c r="D88" i="19"/>
  <c r="E87" i="19"/>
  <c r="D87" i="19"/>
  <c r="E86" i="19"/>
  <c r="D86" i="19"/>
  <c r="E85" i="19"/>
  <c r="D85" i="19"/>
  <c r="E83" i="19"/>
  <c r="D83" i="19"/>
  <c r="E82" i="19"/>
  <c r="D82" i="19"/>
  <c r="E81" i="19"/>
  <c r="D81" i="19"/>
  <c r="E80" i="19"/>
  <c r="D80" i="19"/>
  <c r="E79" i="19"/>
  <c r="D79" i="19"/>
  <c r="E78" i="19"/>
  <c r="D78" i="19"/>
  <c r="E77" i="19"/>
  <c r="D77" i="19"/>
  <c r="E75" i="19"/>
  <c r="D75" i="19"/>
  <c r="E74" i="19"/>
  <c r="D74" i="19"/>
  <c r="E73" i="19"/>
  <c r="D73" i="19"/>
  <c r="E72" i="19"/>
  <c r="D72" i="19"/>
  <c r="E71" i="19"/>
  <c r="D71" i="19"/>
  <c r="E70" i="19"/>
  <c r="D70" i="19"/>
  <c r="E69" i="19"/>
  <c r="D69" i="19"/>
  <c r="E68" i="19"/>
  <c r="D68" i="19"/>
  <c r="E65" i="19"/>
  <c r="D65" i="19"/>
  <c r="E64" i="19"/>
  <c r="D64" i="19"/>
  <c r="E63" i="19"/>
  <c r="D63" i="19"/>
  <c r="E62" i="19"/>
  <c r="D62" i="19"/>
  <c r="E61" i="19"/>
  <c r="D61" i="19"/>
  <c r="E60" i="19"/>
  <c r="D60" i="19"/>
  <c r="E57" i="19"/>
  <c r="D57" i="19"/>
  <c r="F56" i="19"/>
  <c r="D56" i="19"/>
  <c r="F54" i="19"/>
  <c r="E54" i="19"/>
  <c r="D54" i="19"/>
  <c r="D53" i="19"/>
  <c r="C53" i="19"/>
  <c r="B53" i="19"/>
  <c r="D51" i="19"/>
  <c r="B51" i="19"/>
  <c r="F49" i="19"/>
  <c r="E49" i="19"/>
  <c r="D49" i="19"/>
  <c r="F48" i="19"/>
  <c r="D48" i="19"/>
  <c r="F46" i="19"/>
  <c r="E46" i="19"/>
  <c r="D46" i="19"/>
  <c r="E45" i="19"/>
  <c r="D45" i="19"/>
  <c r="E44" i="19"/>
  <c r="D44" i="19"/>
  <c r="E43" i="19"/>
  <c r="D43" i="19"/>
  <c r="E42" i="19"/>
  <c r="D42" i="19"/>
  <c r="E41" i="19"/>
  <c r="D41" i="19"/>
  <c r="E40" i="19"/>
  <c r="D40" i="19"/>
  <c r="E39" i="19"/>
  <c r="D39" i="19"/>
  <c r="E38" i="19"/>
  <c r="D38" i="19"/>
  <c r="E37" i="19"/>
  <c r="D37" i="19"/>
  <c r="E34" i="19"/>
  <c r="D34" i="19"/>
  <c r="E33" i="19"/>
  <c r="D33" i="19"/>
  <c r="E32" i="19"/>
  <c r="D32" i="19"/>
  <c r="E31" i="19"/>
  <c r="D31" i="19"/>
  <c r="E30" i="19"/>
  <c r="D30" i="19"/>
  <c r="E29" i="19"/>
  <c r="D29" i="19"/>
  <c r="F26" i="19"/>
  <c r="D26" i="19"/>
  <c r="F24" i="19"/>
  <c r="E24" i="19"/>
  <c r="D24" i="19"/>
  <c r="D23" i="19"/>
  <c r="C23" i="19"/>
  <c r="B23" i="19"/>
  <c r="D21" i="19"/>
  <c r="B21" i="19"/>
  <c r="F19" i="19"/>
  <c r="E19" i="19"/>
  <c r="D19" i="19"/>
  <c r="F18" i="19"/>
  <c r="D18" i="19"/>
  <c r="F16" i="19"/>
  <c r="E16" i="19"/>
  <c r="D16" i="19"/>
  <c r="E15" i="19"/>
  <c r="D15" i="19"/>
  <c r="E14" i="19"/>
  <c r="D14" i="19"/>
  <c r="E13" i="19"/>
  <c r="D13" i="19"/>
  <c r="E12" i="19"/>
  <c r="D12" i="19"/>
  <c r="E11" i="19"/>
  <c r="D11" i="19"/>
  <c r="E10" i="19"/>
  <c r="D10" i="19"/>
  <c r="B4" i="19"/>
  <c r="A4" i="19"/>
  <c r="B3" i="19"/>
  <c r="A3" i="19"/>
  <c r="B2" i="19"/>
  <c r="A2" i="19"/>
  <c r="B1" i="19"/>
  <c r="A1" i="19"/>
  <c r="E539" i="18"/>
  <c r="D539" i="18"/>
  <c r="E538" i="18"/>
  <c r="D538" i="18"/>
  <c r="E534" i="18"/>
  <c r="D534" i="18"/>
  <c r="E533" i="18"/>
  <c r="D533" i="18"/>
  <c r="E532" i="18"/>
  <c r="D532" i="18"/>
  <c r="E531" i="18"/>
  <c r="D531" i="18"/>
  <c r="E530" i="18"/>
  <c r="D530" i="18"/>
  <c r="E529" i="18"/>
  <c r="D529" i="18"/>
  <c r="E528" i="18"/>
  <c r="D528" i="18"/>
  <c r="E527" i="18"/>
  <c r="D527" i="18"/>
  <c r="E525" i="18"/>
  <c r="D525" i="18"/>
  <c r="E524" i="18"/>
  <c r="D524" i="18"/>
  <c r="E523" i="18"/>
  <c r="D523" i="18"/>
  <c r="E522" i="18"/>
  <c r="D522" i="18"/>
  <c r="E521" i="18"/>
  <c r="D521" i="18"/>
  <c r="E520" i="18"/>
  <c r="D520" i="18"/>
  <c r="E519" i="18"/>
  <c r="D519" i="18"/>
  <c r="E518" i="18"/>
  <c r="D518" i="18"/>
  <c r="E517" i="18"/>
  <c r="D517" i="18"/>
  <c r="E516" i="18"/>
  <c r="D516" i="18"/>
  <c r="E515" i="18"/>
  <c r="D515" i="18"/>
  <c r="E513" i="18"/>
  <c r="D513" i="18"/>
  <c r="E512" i="18"/>
  <c r="D512" i="18"/>
  <c r="E511" i="18"/>
  <c r="D511" i="18"/>
  <c r="E510" i="18"/>
  <c r="D510" i="18"/>
  <c r="E508" i="18"/>
  <c r="D508" i="18"/>
  <c r="E507" i="18"/>
  <c r="D507" i="18"/>
  <c r="E506" i="18"/>
  <c r="D506" i="18"/>
  <c r="E505" i="18"/>
  <c r="D505" i="18"/>
  <c r="E504" i="18"/>
  <c r="D504" i="18"/>
  <c r="E503" i="18"/>
  <c r="D503" i="18"/>
  <c r="E502" i="18"/>
  <c r="D502" i="18"/>
  <c r="E501" i="18"/>
  <c r="D501" i="18"/>
  <c r="E499" i="18"/>
  <c r="D499" i="18"/>
  <c r="E498" i="18"/>
  <c r="D498" i="18"/>
  <c r="E497" i="18"/>
  <c r="D497" i="18"/>
  <c r="E496" i="18"/>
  <c r="D496" i="18"/>
  <c r="E495" i="18"/>
  <c r="D495" i="18"/>
  <c r="F493" i="18"/>
  <c r="E493" i="18"/>
  <c r="D493" i="18"/>
  <c r="E492" i="18"/>
  <c r="D492" i="18"/>
  <c r="E491" i="18"/>
  <c r="D491" i="18"/>
  <c r="E490" i="18"/>
  <c r="D490" i="18"/>
  <c r="E489" i="18"/>
  <c r="D489" i="18"/>
  <c r="E485" i="18"/>
  <c r="D485" i="18"/>
  <c r="E484" i="18"/>
  <c r="D484" i="18"/>
  <c r="E483" i="18"/>
  <c r="D483" i="18"/>
  <c r="E482" i="18"/>
  <c r="D482" i="18"/>
  <c r="E481" i="18"/>
  <c r="D481" i="18"/>
  <c r="E480" i="18"/>
  <c r="D480" i="18"/>
  <c r="E479" i="18"/>
  <c r="D479" i="18"/>
  <c r="E478" i="18"/>
  <c r="D478" i="18"/>
  <c r="E477" i="18"/>
  <c r="D477" i="18"/>
  <c r="E476" i="18"/>
  <c r="D476" i="18"/>
  <c r="E475" i="18"/>
  <c r="D475" i="18"/>
  <c r="E473" i="18"/>
  <c r="D473" i="18"/>
  <c r="E472" i="18"/>
  <c r="D472" i="18"/>
  <c r="E471" i="18"/>
  <c r="D471" i="18"/>
  <c r="E470" i="18"/>
  <c r="D470" i="18"/>
  <c r="E469" i="18"/>
  <c r="D469" i="18"/>
  <c r="E468" i="18"/>
  <c r="D468" i="18"/>
  <c r="E467" i="18"/>
  <c r="D467" i="18"/>
  <c r="E466" i="18"/>
  <c r="D466" i="18"/>
  <c r="E465" i="18"/>
  <c r="D465" i="18"/>
  <c r="E464" i="18"/>
  <c r="D464" i="18"/>
  <c r="E463" i="18"/>
  <c r="D463" i="18"/>
  <c r="E462" i="18"/>
  <c r="D462" i="18"/>
  <c r="E461" i="18"/>
  <c r="D461" i="18"/>
  <c r="E460" i="18"/>
  <c r="D460" i="18"/>
  <c r="E459" i="18"/>
  <c r="D459" i="18"/>
  <c r="E458" i="18"/>
  <c r="D458" i="18"/>
  <c r="E457" i="18"/>
  <c r="D457" i="18"/>
  <c r="E456" i="18"/>
  <c r="D456" i="18"/>
  <c r="E455" i="18"/>
  <c r="D455" i="18"/>
  <c r="E454" i="18"/>
  <c r="D454" i="18"/>
  <c r="E453" i="18"/>
  <c r="D453" i="18"/>
  <c r="E452" i="18"/>
  <c r="D452" i="18"/>
  <c r="E451" i="18"/>
  <c r="D451" i="18"/>
  <c r="E450" i="18"/>
  <c r="D450" i="18"/>
  <c r="E449" i="18"/>
  <c r="D449" i="18"/>
  <c r="E448" i="18"/>
  <c r="D448" i="18"/>
  <c r="E447" i="18"/>
  <c r="D447" i="18"/>
  <c r="B447" i="18"/>
  <c r="E446" i="18"/>
  <c r="D446" i="18"/>
  <c r="E445" i="18"/>
  <c r="D445" i="18"/>
  <c r="B445" i="18"/>
  <c r="E444" i="18"/>
  <c r="D444" i="18"/>
  <c r="E443" i="18"/>
  <c r="D443" i="18"/>
  <c r="E442" i="18"/>
  <c r="D442" i="18"/>
  <c r="E441" i="18"/>
  <c r="D441" i="18"/>
  <c r="E440" i="18"/>
  <c r="D440" i="18"/>
  <c r="E439" i="18"/>
  <c r="D439" i="18"/>
  <c r="E438" i="18"/>
  <c r="D438" i="18"/>
  <c r="E437" i="18"/>
  <c r="D437" i="18"/>
  <c r="E436" i="18"/>
  <c r="D436" i="18"/>
  <c r="E435" i="18"/>
  <c r="D435" i="18"/>
  <c r="E434" i="18"/>
  <c r="D434" i="18"/>
  <c r="E432" i="18"/>
  <c r="D432" i="18"/>
  <c r="E431" i="18"/>
  <c r="D431" i="18"/>
  <c r="E430" i="18"/>
  <c r="D430" i="18"/>
  <c r="E429" i="18"/>
  <c r="D429" i="18"/>
  <c r="E428" i="18"/>
  <c r="D428" i="18"/>
  <c r="E427" i="18"/>
  <c r="D427" i="18"/>
  <c r="E426" i="18"/>
  <c r="D426" i="18"/>
  <c r="E425" i="18"/>
  <c r="D425" i="18"/>
  <c r="E424" i="18"/>
  <c r="D424" i="18"/>
  <c r="E423" i="18"/>
  <c r="D423" i="18"/>
  <c r="E422" i="18"/>
  <c r="D422" i="18"/>
  <c r="E421" i="18"/>
  <c r="D421" i="18"/>
  <c r="E420" i="18"/>
  <c r="D420" i="18"/>
  <c r="E419" i="18"/>
  <c r="D419" i="18"/>
  <c r="E418" i="18"/>
  <c r="D418" i="18"/>
  <c r="E417" i="18"/>
  <c r="D417" i="18"/>
  <c r="E416" i="18"/>
  <c r="D416" i="18"/>
  <c r="E415" i="18"/>
  <c r="D415" i="18"/>
  <c r="E414" i="18"/>
  <c r="D414" i="18"/>
  <c r="E413" i="18"/>
  <c r="D413" i="18"/>
  <c r="E412" i="18"/>
  <c r="D412" i="18"/>
  <c r="E411" i="18"/>
  <c r="D411" i="18"/>
  <c r="E410" i="18"/>
  <c r="D410" i="18"/>
  <c r="E409" i="18"/>
  <c r="D409" i="18"/>
  <c r="E408" i="18"/>
  <c r="D408" i="18"/>
  <c r="E407" i="18"/>
  <c r="D407" i="18"/>
  <c r="E406" i="18"/>
  <c r="D406" i="18"/>
  <c r="E405" i="18"/>
  <c r="D405" i="18"/>
  <c r="E404" i="18"/>
  <c r="D404" i="18"/>
  <c r="E403" i="18"/>
  <c r="D403" i="18"/>
  <c r="E402" i="18"/>
  <c r="D402" i="18"/>
  <c r="E401" i="18"/>
  <c r="D401" i="18"/>
  <c r="E400" i="18"/>
  <c r="D400" i="18"/>
  <c r="E399" i="18"/>
  <c r="D399" i="18"/>
  <c r="E398" i="18"/>
  <c r="D398" i="18"/>
  <c r="E397" i="18"/>
  <c r="D397" i="18"/>
  <c r="E396" i="18"/>
  <c r="D396" i="18"/>
  <c r="E395" i="18"/>
  <c r="D395" i="18"/>
  <c r="E394" i="18"/>
  <c r="D394" i="18"/>
  <c r="E393" i="18"/>
  <c r="D393" i="18"/>
  <c r="E392" i="18"/>
  <c r="D392" i="18"/>
  <c r="I386" i="18"/>
  <c r="F384" i="18"/>
  <c r="E384" i="18"/>
  <c r="D384" i="18"/>
  <c r="I383" i="18"/>
  <c r="I382" i="18"/>
  <c r="I381" i="18"/>
  <c r="I380" i="18"/>
  <c r="I379" i="18"/>
  <c r="I378" i="18"/>
  <c r="F376" i="18"/>
  <c r="E376" i="18"/>
  <c r="D376" i="18"/>
  <c r="I374" i="18"/>
  <c r="I373" i="18"/>
  <c r="I372" i="18"/>
  <c r="I371" i="18"/>
  <c r="I370" i="18"/>
  <c r="I369" i="18"/>
  <c r="F367" i="18"/>
  <c r="E367" i="18"/>
  <c r="D367" i="18"/>
  <c r="E366" i="18"/>
  <c r="D366" i="18"/>
  <c r="E365" i="18"/>
  <c r="D365" i="18"/>
  <c r="I364" i="18"/>
  <c r="I363" i="18"/>
  <c r="I362" i="18"/>
  <c r="F360" i="18"/>
  <c r="E360" i="18"/>
  <c r="D360" i="18"/>
  <c r="E357" i="18"/>
  <c r="D357" i="18"/>
  <c r="E356" i="18"/>
  <c r="D356" i="18"/>
  <c r="E355" i="18"/>
  <c r="D355" i="18"/>
  <c r="E354" i="18"/>
  <c r="D354" i="18"/>
  <c r="E353" i="18"/>
  <c r="D353" i="18"/>
  <c r="E352" i="18"/>
  <c r="D352" i="18"/>
  <c r="E351" i="18"/>
  <c r="D351" i="18"/>
  <c r="E350" i="18"/>
  <c r="D350" i="18"/>
  <c r="E349" i="18"/>
  <c r="D349" i="18"/>
  <c r="E348" i="18"/>
  <c r="D348" i="18"/>
  <c r="E347" i="18"/>
  <c r="D347" i="18"/>
  <c r="E346" i="18"/>
  <c r="D346" i="18"/>
  <c r="E345" i="18"/>
  <c r="D345" i="18"/>
  <c r="E344" i="18"/>
  <c r="D344" i="18"/>
  <c r="I343" i="18"/>
  <c r="I342" i="18"/>
  <c r="I341" i="18"/>
  <c r="I340" i="18"/>
  <c r="I339" i="18"/>
  <c r="I338" i="18"/>
  <c r="F336" i="18"/>
  <c r="E336" i="18"/>
  <c r="D336" i="18"/>
  <c r="E335" i="18"/>
  <c r="D335" i="18"/>
  <c r="E334" i="18"/>
  <c r="D334" i="18"/>
  <c r="E333" i="18"/>
  <c r="D333" i="18"/>
  <c r="E332" i="18"/>
  <c r="D332" i="18"/>
  <c r="E331" i="18"/>
  <c r="D331" i="18"/>
  <c r="E330" i="18"/>
  <c r="D330" i="18"/>
  <c r="I327" i="18"/>
  <c r="G327" i="18"/>
  <c r="I326" i="18"/>
  <c r="G326" i="18"/>
  <c r="F324" i="18"/>
  <c r="E324" i="18"/>
  <c r="D324" i="18"/>
  <c r="I322" i="18"/>
  <c r="G322" i="18"/>
  <c r="F320" i="18"/>
  <c r="E320" i="18"/>
  <c r="D320" i="18"/>
  <c r="F316" i="18"/>
  <c r="E316" i="18"/>
  <c r="D316" i="18"/>
  <c r="I314" i="18"/>
  <c r="I313" i="18"/>
  <c r="I312" i="18"/>
  <c r="F310" i="18"/>
  <c r="E310" i="18"/>
  <c r="D310" i="18"/>
  <c r="I308" i="18"/>
  <c r="I307" i="18"/>
  <c r="F305" i="18"/>
  <c r="E305" i="18"/>
  <c r="D305" i="18"/>
  <c r="I303" i="18"/>
  <c r="G303" i="18"/>
  <c r="F301" i="18"/>
  <c r="E301" i="18"/>
  <c r="D301" i="18"/>
  <c r="I299" i="18"/>
  <c r="G299" i="18"/>
  <c r="I298" i="18"/>
  <c r="G298" i="18"/>
  <c r="I297" i="18"/>
  <c r="G297" i="18"/>
  <c r="I296" i="18"/>
  <c r="G296" i="18"/>
  <c r="I295" i="18"/>
  <c r="G295" i="18"/>
  <c r="I294" i="18"/>
  <c r="G294" i="18"/>
  <c r="I293" i="18"/>
  <c r="G293" i="18"/>
  <c r="F291" i="18"/>
  <c r="E291" i="18"/>
  <c r="D291" i="18"/>
  <c r="G281" i="18"/>
  <c r="F279" i="18"/>
  <c r="E279" i="18"/>
  <c r="D279" i="18"/>
  <c r="F278" i="18"/>
  <c r="E278" i="18"/>
  <c r="D278" i="18"/>
  <c r="I277" i="18"/>
  <c r="I276" i="18"/>
  <c r="I275" i="18"/>
  <c r="I274" i="18"/>
  <c r="F272" i="18"/>
  <c r="E272" i="18"/>
  <c r="D272" i="18"/>
  <c r="E269" i="18"/>
  <c r="D269" i="18"/>
  <c r="E268" i="18"/>
  <c r="D268" i="18"/>
  <c r="E267" i="18"/>
  <c r="D267" i="18"/>
  <c r="I265" i="18"/>
  <c r="G265" i="18"/>
  <c r="I264" i="18"/>
  <c r="G264" i="18"/>
  <c r="I263" i="18"/>
  <c r="G263" i="18"/>
  <c r="I262" i="18"/>
  <c r="G262" i="18"/>
  <c r="I261" i="18"/>
  <c r="G261" i="18"/>
  <c r="I260" i="18"/>
  <c r="G260" i="18"/>
  <c r="I259" i="18"/>
  <c r="G259" i="18"/>
  <c r="F257" i="18"/>
  <c r="E257" i="18"/>
  <c r="D257" i="18"/>
  <c r="F251" i="18"/>
  <c r="E251" i="18"/>
  <c r="D251" i="18"/>
  <c r="F250" i="18"/>
  <c r="E250" i="18"/>
  <c r="D250" i="18"/>
  <c r="F242" i="18"/>
  <c r="E242" i="18"/>
  <c r="D242" i="18"/>
  <c r="F234" i="18"/>
  <c r="E234" i="18"/>
  <c r="D234" i="18"/>
  <c r="I231" i="18"/>
  <c r="G231" i="18"/>
  <c r="I230" i="18"/>
  <c r="G230" i="18"/>
  <c r="F228" i="18"/>
  <c r="E228" i="18"/>
  <c r="D228" i="18"/>
  <c r="I227" i="18"/>
  <c r="G227" i="18"/>
  <c r="F225" i="18"/>
  <c r="E225" i="18"/>
  <c r="D225" i="18"/>
  <c r="I224" i="18"/>
  <c r="G224" i="18"/>
  <c r="I223" i="18"/>
  <c r="G223" i="18"/>
  <c r="I222" i="18"/>
  <c r="G222" i="18"/>
  <c r="F220" i="18"/>
  <c r="E220" i="18"/>
  <c r="D220" i="18"/>
  <c r="I217" i="18"/>
  <c r="I216" i="18"/>
  <c r="I215" i="18"/>
  <c r="I214" i="18"/>
  <c r="I213" i="18"/>
  <c r="F211" i="18"/>
  <c r="E211" i="18"/>
  <c r="D211" i="18"/>
  <c r="F203" i="18"/>
  <c r="E203" i="18"/>
  <c r="D203" i="18"/>
  <c r="F195" i="18"/>
  <c r="E195" i="18"/>
  <c r="D195" i="18"/>
  <c r="F186" i="18"/>
  <c r="E186" i="18"/>
  <c r="D186" i="18"/>
  <c r="I184" i="18"/>
  <c r="I183" i="18"/>
  <c r="I182" i="18"/>
  <c r="I181" i="18"/>
  <c r="I180" i="18"/>
  <c r="F178" i="18"/>
  <c r="E178" i="18"/>
  <c r="D178" i="18"/>
  <c r="F171" i="18"/>
  <c r="E171" i="18"/>
  <c r="D171" i="18"/>
  <c r="I168" i="18"/>
  <c r="I167" i="18"/>
  <c r="I166" i="18"/>
  <c r="I165" i="18"/>
  <c r="I164" i="18"/>
  <c r="I163" i="18"/>
  <c r="F161" i="18"/>
  <c r="E161" i="18"/>
  <c r="D161" i="18"/>
  <c r="I159" i="18"/>
  <c r="G159" i="18"/>
  <c r="F157" i="18"/>
  <c r="E157" i="18"/>
  <c r="D157" i="18"/>
  <c r="I155" i="18"/>
  <c r="I154" i="18"/>
  <c r="I153" i="18"/>
  <c r="I152" i="18"/>
  <c r="I151" i="18"/>
  <c r="I150" i="18"/>
  <c r="I149" i="18"/>
  <c r="I148" i="18"/>
  <c r="I147" i="18"/>
  <c r="F145" i="18"/>
  <c r="E145" i="18"/>
  <c r="D145" i="18"/>
  <c r="F136" i="18"/>
  <c r="E136" i="18"/>
  <c r="D136" i="18"/>
  <c r="I130" i="18"/>
  <c r="I129" i="18"/>
  <c r="I128" i="18"/>
  <c r="I127" i="18"/>
  <c r="F125" i="18"/>
  <c r="E125" i="18"/>
  <c r="D125" i="18"/>
  <c r="I118" i="18"/>
  <c r="I117" i="18"/>
  <c r="I116" i="18"/>
  <c r="I115" i="18"/>
  <c r="F113" i="18"/>
  <c r="E113" i="18"/>
  <c r="D113" i="18"/>
  <c r="I110" i="18"/>
  <c r="I109" i="18"/>
  <c r="F107" i="18"/>
  <c r="E107" i="18"/>
  <c r="D107" i="18"/>
  <c r="I105" i="18"/>
  <c r="I104" i="18"/>
  <c r="I103" i="18"/>
  <c r="I102" i="18"/>
  <c r="I101" i="18"/>
  <c r="F99" i="18"/>
  <c r="E99" i="18"/>
  <c r="D99" i="18"/>
  <c r="E98" i="18"/>
  <c r="D98" i="18"/>
  <c r="I96" i="18"/>
  <c r="G96" i="18"/>
  <c r="I95" i="18"/>
  <c r="G95" i="18"/>
  <c r="I94" i="18"/>
  <c r="G94" i="18"/>
  <c r="I93" i="18"/>
  <c r="G93" i="18"/>
  <c r="F91" i="18"/>
  <c r="E91" i="18"/>
  <c r="D91" i="18"/>
  <c r="E86" i="18"/>
  <c r="D86" i="18"/>
  <c r="E84" i="18"/>
  <c r="D84" i="18"/>
  <c r="E82" i="18"/>
  <c r="D82" i="18"/>
  <c r="E81" i="18"/>
  <c r="D81" i="18"/>
  <c r="E80" i="18"/>
  <c r="D80" i="18"/>
  <c r="E79" i="18"/>
  <c r="D79" i="18"/>
  <c r="E77" i="18"/>
  <c r="D77" i="18"/>
  <c r="E76" i="18"/>
  <c r="D76" i="18"/>
  <c r="E75" i="18"/>
  <c r="D75" i="18"/>
  <c r="E74" i="18"/>
  <c r="D74" i="18"/>
  <c r="E73" i="18"/>
  <c r="D73" i="18"/>
  <c r="E72" i="18"/>
  <c r="D72" i="18"/>
  <c r="E71" i="18"/>
  <c r="D71" i="18"/>
  <c r="E69" i="18"/>
  <c r="D69" i="18"/>
  <c r="E68" i="18"/>
  <c r="D68" i="18"/>
  <c r="E67" i="18"/>
  <c r="D67" i="18"/>
  <c r="E66" i="18"/>
  <c r="D66" i="18"/>
  <c r="E65" i="18"/>
  <c r="D65" i="18"/>
  <c r="E64" i="18"/>
  <c r="D64" i="18"/>
  <c r="E63" i="18"/>
  <c r="D63" i="18"/>
  <c r="E61" i="18"/>
  <c r="D61" i="18"/>
  <c r="E60" i="18"/>
  <c r="D60" i="18"/>
  <c r="E59" i="18"/>
  <c r="D59" i="18"/>
  <c r="E58" i="18"/>
  <c r="D58" i="18"/>
  <c r="E57" i="18"/>
  <c r="D57" i="18"/>
  <c r="E55" i="18"/>
  <c r="D55" i="18"/>
  <c r="E53" i="18"/>
  <c r="D53" i="18"/>
  <c r="F52" i="18"/>
  <c r="D52" i="18"/>
  <c r="F50" i="18"/>
  <c r="E50" i="18"/>
  <c r="D50" i="18"/>
  <c r="D49" i="18"/>
  <c r="C49" i="18"/>
  <c r="B49" i="18"/>
  <c r="D47" i="18"/>
  <c r="B47" i="18"/>
  <c r="F45" i="18"/>
  <c r="E45" i="18"/>
  <c r="D45" i="18"/>
  <c r="F44" i="18"/>
  <c r="D44" i="18"/>
  <c r="F42" i="18"/>
  <c r="E42" i="18"/>
  <c r="D42" i="18"/>
  <c r="E41" i="18"/>
  <c r="D41" i="18"/>
  <c r="E40" i="18"/>
  <c r="D40" i="18"/>
  <c r="E39" i="18"/>
  <c r="D39" i="18"/>
  <c r="E38" i="18"/>
  <c r="D38" i="18"/>
  <c r="E37" i="18"/>
  <c r="D37" i="18"/>
  <c r="E36" i="18"/>
  <c r="D36" i="18"/>
  <c r="E35" i="18"/>
  <c r="D35" i="18"/>
  <c r="E34" i="18"/>
  <c r="D34" i="18"/>
  <c r="E32" i="18"/>
  <c r="D32" i="18"/>
  <c r="E31" i="18"/>
  <c r="D31" i="18"/>
  <c r="E30" i="18"/>
  <c r="D30" i="18"/>
  <c r="E29" i="18"/>
  <c r="D29" i="18"/>
  <c r="E28" i="18"/>
  <c r="D28" i="18"/>
  <c r="F26" i="18"/>
  <c r="D26" i="18"/>
  <c r="F24" i="18"/>
  <c r="E24" i="18"/>
  <c r="D24" i="18"/>
  <c r="D23" i="18"/>
  <c r="C23" i="18"/>
  <c r="B23" i="18"/>
  <c r="D21" i="18"/>
  <c r="B21" i="18"/>
  <c r="F19" i="18"/>
  <c r="E19" i="18"/>
  <c r="D19" i="18"/>
  <c r="F18" i="18"/>
  <c r="D18" i="18"/>
  <c r="F16" i="18"/>
  <c r="E16" i="18"/>
  <c r="D16" i="18"/>
  <c r="E15" i="18"/>
  <c r="D15" i="18"/>
  <c r="E14" i="18"/>
  <c r="D14" i="18"/>
  <c r="E13" i="18"/>
  <c r="D13" i="18"/>
  <c r="E12" i="18"/>
  <c r="D12" i="18"/>
  <c r="E11" i="18"/>
  <c r="D11" i="18"/>
  <c r="E10" i="18"/>
  <c r="D10" i="18"/>
  <c r="B4" i="18"/>
  <c r="A4" i="18"/>
  <c r="B3" i="18"/>
  <c r="A3" i="18"/>
  <c r="B2" i="18"/>
  <c r="A2" i="18"/>
  <c r="B1" i="18"/>
  <c r="A1" i="18"/>
  <c r="E367" i="17"/>
  <c r="D367" i="17"/>
  <c r="E366" i="17"/>
  <c r="D366" i="17"/>
  <c r="E365" i="17"/>
  <c r="D365" i="17"/>
  <c r="E361" i="17"/>
  <c r="D361" i="17"/>
  <c r="E360" i="17"/>
  <c r="D360" i="17"/>
  <c r="E359" i="17"/>
  <c r="D359" i="17"/>
  <c r="E358" i="17"/>
  <c r="D358" i="17"/>
  <c r="E357" i="17"/>
  <c r="D357" i="17"/>
  <c r="E355" i="17"/>
  <c r="D355" i="17"/>
  <c r="E354" i="17"/>
  <c r="D354" i="17"/>
  <c r="E352" i="17"/>
  <c r="D352" i="17"/>
  <c r="E351" i="17"/>
  <c r="D351" i="17"/>
  <c r="E350" i="17"/>
  <c r="D350" i="17"/>
  <c r="E349" i="17"/>
  <c r="D349" i="17"/>
  <c r="E348" i="17"/>
  <c r="D348" i="17"/>
  <c r="E347" i="17"/>
  <c r="D347" i="17"/>
  <c r="E345" i="17"/>
  <c r="D345" i="17"/>
  <c r="E344" i="17"/>
  <c r="D344" i="17"/>
  <c r="E342" i="17"/>
  <c r="D342" i="17"/>
  <c r="E341" i="17"/>
  <c r="D341" i="17"/>
  <c r="E340" i="17"/>
  <c r="D340" i="17"/>
  <c r="E339" i="17"/>
  <c r="D339" i="17"/>
  <c r="F337" i="17"/>
  <c r="E337" i="17"/>
  <c r="D337" i="17"/>
  <c r="F336" i="17"/>
  <c r="E336" i="17"/>
  <c r="D336" i="17"/>
  <c r="F335" i="17"/>
  <c r="E335" i="17"/>
  <c r="D335" i="17"/>
  <c r="E334" i="17"/>
  <c r="D334" i="17"/>
  <c r="E333" i="17"/>
  <c r="D333" i="17"/>
  <c r="E332" i="17"/>
  <c r="D332" i="17"/>
  <c r="F331" i="17"/>
  <c r="E331" i="17"/>
  <c r="D331" i="17"/>
  <c r="F330" i="17"/>
  <c r="E330" i="17"/>
  <c r="D330" i="17"/>
  <c r="E329" i="17"/>
  <c r="D329" i="17"/>
  <c r="F328" i="17"/>
  <c r="E328" i="17"/>
  <c r="D328" i="17"/>
  <c r="E323" i="17"/>
  <c r="D323" i="17"/>
  <c r="E322" i="17"/>
  <c r="D322" i="17"/>
  <c r="E321" i="17"/>
  <c r="D321" i="17"/>
  <c r="E320" i="17"/>
  <c r="D320" i="17"/>
  <c r="E319" i="17"/>
  <c r="D319" i="17"/>
  <c r="E318" i="17"/>
  <c r="D318" i="17"/>
  <c r="E317" i="17"/>
  <c r="D317" i="17"/>
  <c r="E316" i="17"/>
  <c r="D316" i="17"/>
  <c r="E315" i="17"/>
  <c r="D315" i="17"/>
  <c r="E313" i="17"/>
  <c r="D313" i="17"/>
  <c r="E312" i="17"/>
  <c r="D312" i="17"/>
  <c r="E311" i="17"/>
  <c r="D311" i="17"/>
  <c r="E310" i="17"/>
  <c r="D310" i="17"/>
  <c r="E309" i="17"/>
  <c r="D309" i="17"/>
  <c r="E308" i="17"/>
  <c r="D308" i="17"/>
  <c r="E307" i="17"/>
  <c r="D307" i="17"/>
  <c r="E306" i="17"/>
  <c r="D306" i="17"/>
  <c r="E305" i="17"/>
  <c r="D305" i="17"/>
  <c r="E304" i="17"/>
  <c r="D304" i="17"/>
  <c r="E303" i="17"/>
  <c r="D303" i="17"/>
  <c r="E302" i="17"/>
  <c r="D302" i="17"/>
  <c r="E301" i="17"/>
  <c r="D301" i="17"/>
  <c r="E300" i="17"/>
  <c r="D300" i="17"/>
  <c r="E299" i="17"/>
  <c r="D299" i="17"/>
  <c r="E298" i="17"/>
  <c r="D298" i="17"/>
  <c r="E297" i="17"/>
  <c r="D297" i="17"/>
  <c r="E296" i="17"/>
  <c r="D296" i="17"/>
  <c r="E295" i="17"/>
  <c r="D295" i="17"/>
  <c r="E294" i="17"/>
  <c r="D294" i="17"/>
  <c r="E293" i="17"/>
  <c r="D293" i="17"/>
  <c r="B293" i="17"/>
  <c r="E292" i="17"/>
  <c r="D292" i="17"/>
  <c r="E291" i="17"/>
  <c r="D291" i="17"/>
  <c r="E290" i="17"/>
  <c r="D290" i="17"/>
  <c r="E289" i="17"/>
  <c r="D289" i="17"/>
  <c r="E288" i="17"/>
  <c r="D288" i="17"/>
  <c r="E287" i="17"/>
  <c r="D287" i="17"/>
  <c r="E286" i="17"/>
  <c r="D286" i="17"/>
  <c r="E285" i="17"/>
  <c r="D285" i="17"/>
  <c r="E284" i="17"/>
  <c r="D284" i="17"/>
  <c r="E283" i="17"/>
  <c r="D283" i="17"/>
  <c r="E281" i="17"/>
  <c r="D281" i="17"/>
  <c r="E280" i="17"/>
  <c r="D280" i="17"/>
  <c r="E279" i="17"/>
  <c r="D279" i="17"/>
  <c r="E278" i="17"/>
  <c r="D278" i="17"/>
  <c r="E277" i="17"/>
  <c r="D277" i="17"/>
  <c r="E276" i="17"/>
  <c r="D276" i="17"/>
  <c r="E275" i="17"/>
  <c r="D275" i="17"/>
  <c r="E274" i="17"/>
  <c r="D274" i="17"/>
  <c r="E273" i="17"/>
  <c r="D273" i="17"/>
  <c r="E272" i="17"/>
  <c r="D272" i="17"/>
  <c r="E271" i="17"/>
  <c r="D271" i="17"/>
  <c r="E270" i="17"/>
  <c r="D270" i="17"/>
  <c r="E269" i="17"/>
  <c r="D269" i="17"/>
  <c r="E268" i="17"/>
  <c r="D268" i="17"/>
  <c r="E267" i="17"/>
  <c r="D267" i="17"/>
  <c r="E266" i="17"/>
  <c r="D266" i="17"/>
  <c r="E265" i="17"/>
  <c r="D265" i="17"/>
  <c r="E264" i="17"/>
  <c r="D264" i="17"/>
  <c r="E263" i="17"/>
  <c r="D263" i="17"/>
  <c r="E262" i="17"/>
  <c r="D262" i="17"/>
  <c r="E261" i="17"/>
  <c r="D261" i="17"/>
  <c r="E260" i="17"/>
  <c r="D260" i="17"/>
  <c r="E259" i="17"/>
  <c r="D259" i="17"/>
  <c r="E258" i="17"/>
  <c r="D258" i="17"/>
  <c r="E252" i="17"/>
  <c r="D252" i="17"/>
  <c r="I250" i="17"/>
  <c r="F248" i="17"/>
  <c r="E248" i="17"/>
  <c r="D248" i="17"/>
  <c r="I246" i="17"/>
  <c r="F243" i="17"/>
  <c r="E243" i="17"/>
  <c r="D243" i="17"/>
  <c r="E240" i="17"/>
  <c r="D240" i="17"/>
  <c r="E239" i="17"/>
  <c r="D239" i="17"/>
  <c r="E238" i="17"/>
  <c r="D238" i="17"/>
  <c r="E237" i="17"/>
  <c r="D237" i="17"/>
  <c r="E236" i="17"/>
  <c r="D236" i="17"/>
  <c r="E235" i="17"/>
  <c r="D235" i="17"/>
  <c r="E234" i="17"/>
  <c r="D234" i="17"/>
  <c r="E233" i="17"/>
  <c r="D233" i="17"/>
  <c r="E232" i="17"/>
  <c r="D232" i="17"/>
  <c r="E231" i="17"/>
  <c r="D231" i="17"/>
  <c r="E230" i="17"/>
  <c r="D230" i="17"/>
  <c r="E229" i="17"/>
  <c r="D229" i="17"/>
  <c r="E228" i="17"/>
  <c r="D228" i="17"/>
  <c r="E227" i="17"/>
  <c r="D227" i="17"/>
  <c r="E226" i="17"/>
  <c r="D226" i="17"/>
  <c r="E225" i="17"/>
  <c r="D225" i="17"/>
  <c r="F222" i="17"/>
  <c r="E222" i="17"/>
  <c r="D222" i="17"/>
  <c r="F221" i="17"/>
  <c r="E221" i="17"/>
  <c r="D221" i="17"/>
  <c r="I220" i="17"/>
  <c r="I219" i="17"/>
  <c r="F217" i="17"/>
  <c r="E217" i="17"/>
  <c r="D217" i="17"/>
  <c r="I215" i="17"/>
  <c r="F213" i="17"/>
  <c r="E213" i="17"/>
  <c r="D213" i="17"/>
  <c r="I211" i="17"/>
  <c r="I210" i="17"/>
  <c r="F208" i="17"/>
  <c r="E208" i="17"/>
  <c r="D208" i="17"/>
  <c r="I205" i="17"/>
  <c r="G205" i="17"/>
  <c r="I204" i="17"/>
  <c r="G204" i="17"/>
  <c r="I203" i="17"/>
  <c r="G203" i="17"/>
  <c r="F201" i="17"/>
  <c r="E201" i="17"/>
  <c r="D201" i="17"/>
  <c r="I200" i="17"/>
  <c r="F198" i="17"/>
  <c r="E198" i="17"/>
  <c r="D198" i="17"/>
  <c r="I197" i="17"/>
  <c r="G197" i="17"/>
  <c r="F195" i="17"/>
  <c r="E195" i="17"/>
  <c r="D195" i="17"/>
  <c r="I193" i="17"/>
  <c r="F191" i="17"/>
  <c r="E191" i="17"/>
  <c r="D191" i="17"/>
  <c r="I189" i="17"/>
  <c r="G189" i="17"/>
  <c r="F187" i="17"/>
  <c r="E187" i="17"/>
  <c r="D187" i="17"/>
  <c r="I184" i="17"/>
  <c r="G184" i="17"/>
  <c r="F182" i="17"/>
  <c r="E182" i="17"/>
  <c r="D182" i="17"/>
  <c r="I180" i="17"/>
  <c r="I179" i="17"/>
  <c r="F177" i="17"/>
  <c r="E177" i="17"/>
  <c r="D177" i="17"/>
  <c r="I175" i="17"/>
  <c r="G175" i="17"/>
  <c r="I174" i="17"/>
  <c r="G174" i="17"/>
  <c r="F172" i="17"/>
  <c r="E172" i="17"/>
  <c r="D172" i="17"/>
  <c r="I170" i="17"/>
  <c r="G170" i="17"/>
  <c r="I169" i="17"/>
  <c r="G169" i="17"/>
  <c r="F167" i="17"/>
  <c r="E167" i="17"/>
  <c r="D167" i="17"/>
  <c r="K166" i="17"/>
  <c r="F161" i="17"/>
  <c r="E161" i="17"/>
  <c r="D161" i="17"/>
  <c r="I160" i="17"/>
  <c r="F158" i="17"/>
  <c r="E158" i="17"/>
  <c r="D158" i="17"/>
  <c r="I156" i="17"/>
  <c r="F154" i="17"/>
  <c r="E154" i="17"/>
  <c r="D154" i="17"/>
  <c r="I152" i="17"/>
  <c r="F150" i="17"/>
  <c r="E150" i="17"/>
  <c r="D150" i="17"/>
  <c r="I148" i="17"/>
  <c r="I147" i="17"/>
  <c r="F145" i="17"/>
  <c r="E145" i="17"/>
  <c r="D145" i="17"/>
  <c r="I143" i="17"/>
  <c r="F141" i="17"/>
  <c r="E141" i="17"/>
  <c r="D141" i="17"/>
  <c r="I139" i="17"/>
  <c r="F137" i="17"/>
  <c r="E137" i="17"/>
  <c r="D137" i="17"/>
  <c r="I134" i="17"/>
  <c r="F132" i="17"/>
  <c r="E132" i="17"/>
  <c r="D132" i="17"/>
  <c r="I130" i="17"/>
  <c r="F128" i="17"/>
  <c r="E128" i="17"/>
  <c r="D128" i="17"/>
  <c r="F121" i="17"/>
  <c r="E121" i="17"/>
  <c r="D121" i="17"/>
  <c r="K119" i="17"/>
  <c r="I118" i="17"/>
  <c r="I117" i="17"/>
  <c r="F115" i="17"/>
  <c r="E115" i="17"/>
  <c r="D115" i="17"/>
  <c r="I113" i="17"/>
  <c r="I112" i="17"/>
  <c r="F110" i="17"/>
  <c r="E110" i="17"/>
  <c r="D110" i="17"/>
  <c r="I108" i="17"/>
  <c r="F106" i="17"/>
  <c r="E106" i="17"/>
  <c r="D106" i="17"/>
  <c r="K105" i="17"/>
  <c r="I103" i="17"/>
  <c r="F101" i="17"/>
  <c r="E101" i="17"/>
  <c r="D101" i="17"/>
  <c r="I99" i="17"/>
  <c r="I98" i="17"/>
  <c r="I97" i="17"/>
  <c r="I96" i="17"/>
  <c r="I95" i="17"/>
  <c r="F93" i="17"/>
  <c r="E93" i="17"/>
  <c r="D93" i="17"/>
  <c r="E92" i="17"/>
  <c r="D92" i="17"/>
  <c r="I90" i="17"/>
  <c r="F88" i="17"/>
  <c r="E88" i="17"/>
  <c r="D88" i="17"/>
  <c r="E83" i="17"/>
  <c r="D83" i="17"/>
  <c r="E81" i="17"/>
  <c r="D81" i="17"/>
  <c r="E79" i="17"/>
  <c r="D79" i="17"/>
  <c r="E78" i="17"/>
  <c r="D78" i="17"/>
  <c r="E77" i="17"/>
  <c r="D77" i="17"/>
  <c r="E76" i="17"/>
  <c r="D76" i="17"/>
  <c r="E74" i="17"/>
  <c r="D74" i="17"/>
  <c r="E73" i="17"/>
  <c r="D73" i="17"/>
  <c r="E72" i="17"/>
  <c r="D72" i="17"/>
  <c r="E71" i="17"/>
  <c r="D71" i="17"/>
  <c r="E70" i="17"/>
  <c r="D70" i="17"/>
  <c r="E68" i="17"/>
  <c r="D68" i="17"/>
  <c r="E67" i="17"/>
  <c r="D67" i="17"/>
  <c r="E66" i="17"/>
  <c r="D66" i="17"/>
  <c r="E65" i="17"/>
  <c r="D65" i="17"/>
  <c r="E63" i="17"/>
  <c r="D63" i="17"/>
  <c r="E62" i="17"/>
  <c r="D62" i="17"/>
  <c r="E61" i="17"/>
  <c r="D61" i="17"/>
  <c r="E60" i="17"/>
  <c r="D60" i="17"/>
  <c r="F58" i="17"/>
  <c r="D58" i="17"/>
  <c r="F56" i="17"/>
  <c r="E56" i="17"/>
  <c r="D56" i="17"/>
  <c r="D55" i="17"/>
  <c r="B55" i="17"/>
  <c r="D53" i="17"/>
  <c r="F51" i="17"/>
  <c r="E51" i="17"/>
  <c r="D51" i="17"/>
  <c r="E50" i="17"/>
  <c r="D50" i="17"/>
  <c r="E48" i="17"/>
  <c r="D48" i="17"/>
  <c r="F47" i="17"/>
  <c r="D47" i="17"/>
  <c r="F45" i="17"/>
  <c r="E45" i="17"/>
  <c r="D45" i="17"/>
  <c r="D44" i="17"/>
  <c r="C44" i="17"/>
  <c r="B44" i="17"/>
  <c r="D42" i="17"/>
  <c r="B42" i="17"/>
  <c r="F40" i="17"/>
  <c r="E40" i="17"/>
  <c r="D40" i="17"/>
  <c r="F39" i="17"/>
  <c r="D39" i="17"/>
  <c r="F37" i="17"/>
  <c r="E37" i="17"/>
  <c r="D37" i="17"/>
  <c r="E36" i="17"/>
  <c r="D36" i="17"/>
  <c r="E35" i="17"/>
  <c r="D35" i="17"/>
  <c r="E34" i="17"/>
  <c r="D34" i="17"/>
  <c r="E33" i="17"/>
  <c r="D33" i="17"/>
  <c r="E32" i="17"/>
  <c r="D32" i="17"/>
  <c r="E31" i="17"/>
  <c r="D31" i="17"/>
  <c r="E30" i="17"/>
  <c r="D30" i="17"/>
  <c r="F28" i="17"/>
  <c r="D28" i="17"/>
  <c r="F26" i="17"/>
  <c r="E26" i="17"/>
  <c r="D26" i="17"/>
  <c r="D25" i="17"/>
  <c r="C25" i="17"/>
  <c r="B25" i="17"/>
  <c r="D23" i="17"/>
  <c r="B23" i="17"/>
  <c r="F21" i="17"/>
  <c r="E21" i="17"/>
  <c r="D21" i="17"/>
  <c r="F20" i="17"/>
  <c r="D20" i="17"/>
  <c r="F18" i="17"/>
  <c r="E18" i="17"/>
  <c r="D18" i="17"/>
  <c r="E17" i="17"/>
  <c r="D17" i="17"/>
  <c r="E16" i="17"/>
  <c r="D16" i="17"/>
  <c r="E15" i="17"/>
  <c r="D15" i="17"/>
  <c r="E14" i="17"/>
  <c r="D14" i="17"/>
  <c r="E13" i="17"/>
  <c r="D13" i="17"/>
  <c r="E12" i="17"/>
  <c r="D12" i="17"/>
  <c r="E11" i="17"/>
  <c r="D11" i="17"/>
  <c r="E10" i="17"/>
  <c r="D10" i="17"/>
  <c r="B4" i="17"/>
  <c r="A4" i="17"/>
  <c r="B3" i="17"/>
  <c r="A3" i="17"/>
  <c r="B2" i="17"/>
  <c r="A2" i="17"/>
  <c r="B1" i="17"/>
  <c r="A1" i="17"/>
  <c r="E546" i="16"/>
  <c r="D546" i="16"/>
  <c r="E545" i="16"/>
  <c r="D545" i="16"/>
  <c r="E544" i="16"/>
  <c r="D544" i="16"/>
  <c r="E543" i="16"/>
  <c r="D543" i="16"/>
  <c r="E542" i="16"/>
  <c r="D542" i="16"/>
  <c r="E541" i="16"/>
  <c r="D541" i="16"/>
  <c r="E540" i="16"/>
  <c r="D540" i="16"/>
  <c r="E539" i="16"/>
  <c r="D539" i="16"/>
  <c r="E538" i="16"/>
  <c r="D538" i="16"/>
  <c r="E536" i="16"/>
  <c r="D536" i="16"/>
  <c r="E535" i="16"/>
  <c r="D535" i="16"/>
  <c r="E534" i="16"/>
  <c r="D534" i="16"/>
  <c r="E533" i="16"/>
  <c r="D533" i="16"/>
  <c r="E532" i="16"/>
  <c r="D532" i="16"/>
  <c r="E531" i="16"/>
  <c r="D531" i="16"/>
  <c r="E530" i="16"/>
  <c r="D530" i="16"/>
  <c r="E529" i="16"/>
  <c r="D529" i="16"/>
  <c r="E528" i="16"/>
  <c r="D528" i="16"/>
  <c r="E527" i="16"/>
  <c r="D527" i="16"/>
  <c r="E526" i="16"/>
  <c r="D526" i="16"/>
  <c r="F524" i="16"/>
  <c r="E524" i="16"/>
  <c r="D524" i="16"/>
  <c r="F523" i="16"/>
  <c r="E523" i="16"/>
  <c r="D523" i="16"/>
  <c r="E522" i="16"/>
  <c r="D522" i="16"/>
  <c r="F521" i="16"/>
  <c r="E521" i="16"/>
  <c r="D521" i="16"/>
  <c r="F520" i="16"/>
  <c r="E520" i="16"/>
  <c r="D520" i="16"/>
  <c r="E518" i="16"/>
  <c r="D518" i="16"/>
  <c r="E517" i="16"/>
  <c r="D517" i="16"/>
  <c r="E516" i="16"/>
  <c r="D516" i="16"/>
  <c r="E515" i="16"/>
  <c r="D515" i="16"/>
  <c r="E514" i="16"/>
  <c r="D514" i="16"/>
  <c r="E512" i="16"/>
  <c r="D512" i="16"/>
  <c r="E511" i="16"/>
  <c r="D511" i="16"/>
  <c r="F510" i="16"/>
  <c r="E510" i="16"/>
  <c r="D510" i="16"/>
  <c r="F508" i="16"/>
  <c r="E508" i="16"/>
  <c r="D508" i="16"/>
  <c r="E507" i="16"/>
  <c r="D507" i="16"/>
  <c r="E506" i="16"/>
  <c r="D506" i="16"/>
  <c r="E505" i="16"/>
  <c r="D505" i="16"/>
  <c r="E504" i="16"/>
  <c r="D504" i="16"/>
  <c r="E503" i="16"/>
  <c r="D503" i="16"/>
  <c r="F498" i="16"/>
  <c r="E498" i="16"/>
  <c r="D498" i="16"/>
  <c r="E497" i="16"/>
  <c r="D497" i="16"/>
  <c r="E496" i="16"/>
  <c r="D496" i="16"/>
  <c r="E495" i="16"/>
  <c r="D495" i="16"/>
  <c r="F494" i="16"/>
  <c r="E494" i="16"/>
  <c r="D494" i="16"/>
  <c r="E493" i="16"/>
  <c r="D493" i="16"/>
  <c r="E492" i="16"/>
  <c r="D492" i="16"/>
  <c r="E491" i="16"/>
  <c r="D491" i="16"/>
  <c r="E490" i="16"/>
  <c r="D490" i="16"/>
  <c r="E489" i="16"/>
  <c r="D489" i="16"/>
  <c r="E488" i="16"/>
  <c r="D488" i="16"/>
  <c r="E487" i="16"/>
  <c r="D487" i="16"/>
  <c r="E486" i="16"/>
  <c r="D486" i="16"/>
  <c r="E485" i="16"/>
  <c r="D485" i="16"/>
  <c r="F483" i="16"/>
  <c r="E483" i="16"/>
  <c r="D483" i="16"/>
  <c r="F482" i="16"/>
  <c r="E482" i="16"/>
  <c r="D482" i="16"/>
  <c r="E481" i="16"/>
  <c r="D481" i="16"/>
  <c r="E480" i="16"/>
  <c r="D480" i="16"/>
  <c r="E479" i="16"/>
  <c r="D479" i="16"/>
  <c r="E478" i="16"/>
  <c r="D478" i="16"/>
  <c r="E477" i="16"/>
  <c r="D477" i="16"/>
  <c r="E476" i="16"/>
  <c r="D476" i="16"/>
  <c r="E475" i="16"/>
  <c r="D475" i="16"/>
  <c r="E474" i="16"/>
  <c r="D474" i="16"/>
  <c r="E473" i="16"/>
  <c r="D473" i="16"/>
  <c r="E472" i="16"/>
  <c r="D472" i="16"/>
  <c r="E471" i="16"/>
  <c r="D471" i="16"/>
  <c r="E470" i="16"/>
  <c r="D470" i="16"/>
  <c r="E469" i="16"/>
  <c r="D469" i="16"/>
  <c r="E468" i="16"/>
  <c r="D468" i="16"/>
  <c r="E467" i="16"/>
  <c r="D467" i="16"/>
  <c r="E466" i="16"/>
  <c r="D466" i="16"/>
  <c r="E465" i="16"/>
  <c r="D465" i="16"/>
  <c r="E464" i="16"/>
  <c r="D464" i="16"/>
  <c r="E463" i="16"/>
  <c r="D463" i="16"/>
  <c r="E462" i="16"/>
  <c r="D462" i="16"/>
  <c r="E461" i="16"/>
  <c r="D461" i="16"/>
  <c r="F456" i="16"/>
  <c r="E456" i="16"/>
  <c r="D456" i="16"/>
  <c r="E455" i="16"/>
  <c r="D455" i="16"/>
  <c r="F454" i="16"/>
  <c r="E454" i="16"/>
  <c r="D454" i="16"/>
  <c r="E453" i="16"/>
  <c r="D453" i="16"/>
  <c r="E452" i="16"/>
  <c r="D452" i="16"/>
  <c r="E451" i="16"/>
  <c r="D451" i="16"/>
  <c r="E450" i="16"/>
  <c r="D450" i="16"/>
  <c r="E449" i="16"/>
  <c r="D449" i="16"/>
  <c r="E448" i="16"/>
  <c r="D448" i="16"/>
  <c r="E447" i="16"/>
  <c r="D447" i="16"/>
  <c r="E446" i="16"/>
  <c r="D446" i="16"/>
  <c r="E445" i="16"/>
  <c r="D445" i="16"/>
  <c r="I444" i="16"/>
  <c r="F442" i="16"/>
  <c r="E442" i="16"/>
  <c r="D442" i="16"/>
  <c r="I441" i="16"/>
  <c r="F439" i="16"/>
  <c r="E439" i="16"/>
  <c r="D439" i="16"/>
  <c r="I438" i="16"/>
  <c r="F436" i="16"/>
  <c r="E436" i="16"/>
  <c r="D436" i="16"/>
  <c r="F435" i="16"/>
  <c r="E435" i="16"/>
  <c r="D435" i="16"/>
  <c r="I434" i="16"/>
  <c r="G434" i="16"/>
  <c r="F432" i="16"/>
  <c r="E432" i="16"/>
  <c r="D432" i="16"/>
  <c r="F431" i="16"/>
  <c r="E431" i="16"/>
  <c r="D431" i="16"/>
  <c r="F430" i="16"/>
  <c r="E430" i="16"/>
  <c r="D430" i="16"/>
  <c r="I428" i="16"/>
  <c r="F426" i="16"/>
  <c r="E426" i="16"/>
  <c r="D426" i="16"/>
  <c r="I424" i="16"/>
  <c r="F422" i="16"/>
  <c r="E422" i="16"/>
  <c r="D422" i="16"/>
  <c r="K421" i="16"/>
  <c r="F419" i="16"/>
  <c r="E419" i="16"/>
  <c r="D419" i="16"/>
  <c r="F418" i="16"/>
  <c r="E418" i="16"/>
  <c r="D418" i="16"/>
  <c r="I416" i="16"/>
  <c r="F416" i="16"/>
  <c r="F414" i="16"/>
  <c r="E414" i="16"/>
  <c r="D414" i="16"/>
  <c r="I412" i="16"/>
  <c r="F410" i="16"/>
  <c r="E410" i="16"/>
  <c r="D410" i="16"/>
  <c r="I408" i="16"/>
  <c r="F406" i="16"/>
  <c r="E406" i="16"/>
  <c r="D406" i="16"/>
  <c r="I404" i="16"/>
  <c r="F402" i="16"/>
  <c r="E402" i="16"/>
  <c r="D402" i="16"/>
  <c r="K401" i="16"/>
  <c r="F392" i="16"/>
  <c r="E392" i="16"/>
  <c r="D392" i="16"/>
  <c r="F387" i="16"/>
  <c r="E387" i="16"/>
  <c r="D387" i="16"/>
  <c r="F377" i="16"/>
  <c r="E377" i="16"/>
  <c r="D377" i="16"/>
  <c r="F366" i="16"/>
  <c r="E366" i="16"/>
  <c r="D366" i="16"/>
  <c r="I363" i="16"/>
  <c r="I362" i="16"/>
  <c r="F360" i="16"/>
  <c r="E360" i="16"/>
  <c r="D360" i="16"/>
  <c r="I358" i="16"/>
  <c r="I357" i="16"/>
  <c r="I356" i="16"/>
  <c r="F354" i="16"/>
  <c r="E354" i="16"/>
  <c r="D354" i="16"/>
  <c r="I352" i="16"/>
  <c r="I351" i="16"/>
  <c r="I350" i="16"/>
  <c r="F348" i="16"/>
  <c r="E348" i="16"/>
  <c r="D348" i="16"/>
  <c r="I346" i="16"/>
  <c r="F344" i="16"/>
  <c r="E344" i="16"/>
  <c r="D344" i="16"/>
  <c r="I338" i="16"/>
  <c r="I337" i="16"/>
  <c r="I336" i="16"/>
  <c r="I335" i="16"/>
  <c r="I334" i="16"/>
  <c r="I333" i="16"/>
  <c r="I332" i="16"/>
  <c r="F330" i="16"/>
  <c r="E330" i="16"/>
  <c r="D330" i="16"/>
  <c r="I328" i="16"/>
  <c r="I327" i="16"/>
  <c r="I326" i="16"/>
  <c r="I325" i="16"/>
  <c r="I324" i="16"/>
  <c r="I323" i="16"/>
  <c r="I322" i="16"/>
  <c r="I321" i="16"/>
  <c r="F319" i="16"/>
  <c r="E319" i="16"/>
  <c r="D319" i="16"/>
  <c r="K318" i="16"/>
  <c r="I316" i="16"/>
  <c r="F314" i="16"/>
  <c r="E314" i="16"/>
  <c r="D314" i="16"/>
  <c r="I312" i="16"/>
  <c r="F310" i="16"/>
  <c r="E310" i="16"/>
  <c r="D310" i="16"/>
  <c r="K309" i="16"/>
  <c r="E304" i="16"/>
  <c r="D304" i="16"/>
  <c r="F301" i="16"/>
  <c r="F299" i="16"/>
  <c r="E299" i="16"/>
  <c r="D299" i="16"/>
  <c r="E298" i="16"/>
  <c r="D298" i="16"/>
  <c r="E297" i="16"/>
  <c r="D297" i="16"/>
  <c r="E296" i="16"/>
  <c r="D296" i="16"/>
  <c r="E295" i="16"/>
  <c r="D295" i="16"/>
  <c r="E294" i="16"/>
  <c r="D294" i="16"/>
  <c r="E293" i="16"/>
  <c r="D293" i="16"/>
  <c r="E292" i="16"/>
  <c r="D292" i="16"/>
  <c r="F290" i="16"/>
  <c r="D290" i="16"/>
  <c r="F288" i="16"/>
  <c r="E288" i="16"/>
  <c r="D288" i="16"/>
  <c r="D287" i="16"/>
  <c r="B287" i="16"/>
  <c r="D285" i="16"/>
  <c r="B285" i="16"/>
  <c r="F283" i="16"/>
  <c r="E283" i="16"/>
  <c r="D283" i="16"/>
  <c r="E282" i="16"/>
  <c r="D282" i="16"/>
  <c r="E281" i="16"/>
  <c r="D281" i="16"/>
  <c r="E280" i="16"/>
  <c r="D280" i="16"/>
  <c r="E279" i="16"/>
  <c r="D279" i="16"/>
  <c r="E278" i="16"/>
  <c r="D278" i="16"/>
  <c r="E276" i="16"/>
  <c r="D276" i="16"/>
  <c r="E275" i="16"/>
  <c r="D275" i="16"/>
  <c r="E274" i="16"/>
  <c r="D274" i="16"/>
  <c r="E273" i="16"/>
  <c r="D273" i="16"/>
  <c r="E272" i="16"/>
  <c r="D272" i="16"/>
  <c r="E270" i="16"/>
  <c r="D270" i="16"/>
  <c r="E269" i="16"/>
  <c r="D269" i="16"/>
  <c r="E268" i="16"/>
  <c r="D268" i="16"/>
  <c r="E267" i="16"/>
  <c r="D267" i="16"/>
  <c r="E265" i="16"/>
  <c r="D265" i="16"/>
  <c r="E264" i="16"/>
  <c r="D264" i="16"/>
  <c r="E263" i="16"/>
  <c r="D263" i="16"/>
  <c r="E262" i="16"/>
  <c r="D262" i="16"/>
  <c r="E261" i="16"/>
  <c r="D261" i="16"/>
  <c r="E260" i="16"/>
  <c r="D260" i="16"/>
  <c r="E258" i="16"/>
  <c r="D258" i="16"/>
  <c r="E257" i="16"/>
  <c r="D257" i="16"/>
  <c r="E256" i="16"/>
  <c r="D256" i="16"/>
  <c r="E255" i="16"/>
  <c r="D255" i="16"/>
  <c r="E254" i="16"/>
  <c r="D254" i="16"/>
  <c r="F250" i="16"/>
  <c r="D250" i="16"/>
  <c r="F248" i="16"/>
  <c r="E248" i="16"/>
  <c r="D248" i="16"/>
  <c r="D247" i="16"/>
  <c r="B247" i="16"/>
  <c r="D245" i="16"/>
  <c r="B245" i="16"/>
  <c r="F243" i="16"/>
  <c r="E243" i="16"/>
  <c r="D243" i="16"/>
  <c r="E242" i="16"/>
  <c r="D242" i="16"/>
  <c r="E241" i="16"/>
  <c r="D241" i="16"/>
  <c r="E240" i="16"/>
  <c r="D240" i="16"/>
  <c r="E239" i="16"/>
  <c r="D239" i="16"/>
  <c r="E238" i="16"/>
  <c r="D238" i="16"/>
  <c r="E235" i="16"/>
  <c r="D235" i="16"/>
  <c r="F234" i="16"/>
  <c r="D234" i="16"/>
  <c r="F232" i="16"/>
  <c r="E232" i="16"/>
  <c r="D232" i="16"/>
  <c r="D231" i="16"/>
  <c r="C231" i="16"/>
  <c r="B231" i="16"/>
  <c r="D229" i="16"/>
  <c r="B229" i="16"/>
  <c r="F227" i="16"/>
  <c r="E227" i="16"/>
  <c r="D227" i="16"/>
  <c r="F226" i="16"/>
  <c r="F224" i="16"/>
  <c r="E224" i="16"/>
  <c r="D224" i="16"/>
  <c r="E223" i="16"/>
  <c r="D223" i="16"/>
  <c r="E222" i="16"/>
  <c r="D222" i="16"/>
  <c r="E221" i="16"/>
  <c r="D221" i="16"/>
  <c r="E220" i="16"/>
  <c r="D220" i="16"/>
  <c r="E219" i="16"/>
  <c r="D219" i="16"/>
  <c r="E218" i="16"/>
  <c r="D218" i="16"/>
  <c r="E215" i="16"/>
  <c r="D215" i="16"/>
  <c r="E214" i="16"/>
  <c r="D214" i="16"/>
  <c r="E213" i="16"/>
  <c r="D213" i="16"/>
  <c r="E212" i="16"/>
  <c r="D212" i="16"/>
  <c r="E211" i="16"/>
  <c r="D211" i="16"/>
  <c r="E210" i="16"/>
  <c r="D210" i="16"/>
  <c r="E207" i="16"/>
  <c r="D207" i="16"/>
  <c r="E206" i="16"/>
  <c r="D206" i="16"/>
  <c r="E205" i="16"/>
  <c r="D205" i="16"/>
  <c r="E204" i="16"/>
  <c r="D204" i="16"/>
  <c r="E203" i="16"/>
  <c r="D203" i="16"/>
  <c r="E202" i="16"/>
  <c r="D202" i="16"/>
  <c r="E201" i="16"/>
  <c r="D201" i="16"/>
  <c r="E199" i="16"/>
  <c r="D199" i="16"/>
  <c r="E198" i="16"/>
  <c r="D198" i="16"/>
  <c r="E197" i="16"/>
  <c r="D197" i="16"/>
  <c r="E196" i="16"/>
  <c r="D196" i="16"/>
  <c r="E194" i="16"/>
  <c r="D194" i="16"/>
  <c r="E193" i="16"/>
  <c r="D193" i="16"/>
  <c r="E192" i="16"/>
  <c r="D192" i="16"/>
  <c r="E191" i="16"/>
  <c r="D191" i="16"/>
  <c r="F189" i="16"/>
  <c r="D189" i="16"/>
  <c r="F187" i="16"/>
  <c r="E187" i="16"/>
  <c r="D187" i="16"/>
  <c r="D186" i="16"/>
  <c r="B186" i="16"/>
  <c r="D184" i="16"/>
  <c r="B184" i="16"/>
  <c r="F182" i="16"/>
  <c r="E182" i="16"/>
  <c r="D182" i="16"/>
  <c r="E181" i="16"/>
  <c r="D181" i="16"/>
  <c r="E180" i="16"/>
  <c r="D180" i="16"/>
  <c r="E179" i="16"/>
  <c r="D179" i="16"/>
  <c r="E178" i="16"/>
  <c r="D178" i="16"/>
  <c r="E177" i="16"/>
  <c r="D177" i="16"/>
  <c r="E175" i="16"/>
  <c r="D175" i="16"/>
  <c r="E174" i="16"/>
  <c r="D174" i="16"/>
  <c r="E173" i="16"/>
  <c r="D173" i="16"/>
  <c r="E172" i="16"/>
  <c r="D172" i="16"/>
  <c r="E171" i="16"/>
  <c r="D171" i="16"/>
  <c r="E169" i="16"/>
  <c r="D169" i="16"/>
  <c r="E168" i="16"/>
  <c r="D168" i="16"/>
  <c r="E167" i="16"/>
  <c r="D167" i="16"/>
  <c r="E166" i="16"/>
  <c r="D166" i="16"/>
  <c r="E165" i="16"/>
  <c r="D165" i="16"/>
  <c r="E164" i="16"/>
  <c r="D164" i="16"/>
  <c r="F162" i="16"/>
  <c r="D162" i="16"/>
  <c r="F160" i="16"/>
  <c r="E160" i="16"/>
  <c r="D160" i="16"/>
  <c r="E159" i="16"/>
  <c r="D159" i="16"/>
  <c r="E158" i="16"/>
  <c r="D158" i="16"/>
  <c r="E157" i="16"/>
  <c r="D157" i="16"/>
  <c r="E156" i="16"/>
  <c r="D156" i="16"/>
  <c r="E155" i="16"/>
  <c r="D155" i="16"/>
  <c r="E154" i="16"/>
  <c r="D154" i="16"/>
  <c r="E153" i="16"/>
  <c r="D153" i="16"/>
  <c r="E152" i="16"/>
  <c r="D152" i="16"/>
  <c r="E150" i="16"/>
  <c r="D150" i="16"/>
  <c r="E149" i="16"/>
  <c r="D149" i="16"/>
  <c r="E148" i="16"/>
  <c r="D148" i="16"/>
  <c r="E147" i="16"/>
  <c r="D147" i="16"/>
  <c r="E146" i="16"/>
  <c r="D146" i="16"/>
  <c r="E145" i="16"/>
  <c r="D145" i="16"/>
  <c r="F141" i="16"/>
  <c r="D141" i="16"/>
  <c r="F139" i="16"/>
  <c r="E139" i="16"/>
  <c r="D139" i="16"/>
  <c r="D138" i="16"/>
  <c r="C138" i="16"/>
  <c r="B138" i="16"/>
  <c r="D136" i="16"/>
  <c r="B136" i="16"/>
  <c r="F134" i="16"/>
  <c r="E134" i="16"/>
  <c r="D134" i="16"/>
  <c r="E133" i="16"/>
  <c r="D133" i="16"/>
  <c r="E132" i="16"/>
  <c r="D132" i="16"/>
  <c r="E131" i="16"/>
  <c r="D131" i="16"/>
  <c r="E130" i="16"/>
  <c r="D130" i="16"/>
  <c r="E129" i="16"/>
  <c r="D129" i="16"/>
  <c r="E128" i="16"/>
  <c r="D128" i="16"/>
  <c r="E126" i="16"/>
  <c r="D126" i="16"/>
  <c r="E125" i="16"/>
  <c r="D125" i="16"/>
  <c r="E124" i="16"/>
  <c r="D124" i="16"/>
  <c r="E123" i="16"/>
  <c r="D123" i="16"/>
  <c r="F120" i="16"/>
  <c r="D120" i="16"/>
  <c r="F118" i="16"/>
  <c r="E118" i="16"/>
  <c r="D118" i="16"/>
  <c r="D117" i="16"/>
  <c r="B117" i="16"/>
  <c r="D115" i="16"/>
  <c r="B115" i="16"/>
  <c r="F113" i="16"/>
  <c r="E113" i="16"/>
  <c r="D113" i="16"/>
  <c r="E112" i="16"/>
  <c r="D112" i="16"/>
  <c r="E111" i="16"/>
  <c r="D111" i="16"/>
  <c r="E110" i="16"/>
  <c r="D110" i="16"/>
  <c r="E109" i="16"/>
  <c r="D109" i="16"/>
  <c r="E108" i="16"/>
  <c r="D108" i="16"/>
  <c r="F106" i="16"/>
  <c r="D106" i="16"/>
  <c r="F104" i="16"/>
  <c r="E104" i="16"/>
  <c r="D104" i="16"/>
  <c r="D103" i="16"/>
  <c r="C103" i="16"/>
  <c r="B103" i="16"/>
  <c r="D101" i="16"/>
  <c r="B101" i="16"/>
  <c r="F99" i="16"/>
  <c r="E99" i="16"/>
  <c r="D99" i="16"/>
  <c r="F98" i="16"/>
  <c r="F96" i="16"/>
  <c r="E96" i="16"/>
  <c r="D96" i="16"/>
  <c r="E95" i="16"/>
  <c r="D95" i="16"/>
  <c r="E94" i="16"/>
  <c r="D94" i="16"/>
  <c r="E93" i="16"/>
  <c r="D93" i="16"/>
  <c r="E92" i="16"/>
  <c r="D92" i="16"/>
  <c r="E91" i="16"/>
  <c r="D91" i="16"/>
  <c r="E90" i="16"/>
  <c r="D90" i="16"/>
  <c r="F86" i="16"/>
  <c r="D86" i="16"/>
  <c r="F84" i="16"/>
  <c r="E84" i="16"/>
  <c r="D84" i="16"/>
  <c r="D83" i="16"/>
  <c r="B83" i="16"/>
  <c r="D81" i="16"/>
  <c r="B81" i="16"/>
  <c r="F79" i="16"/>
  <c r="E79" i="16"/>
  <c r="D79" i="16"/>
  <c r="E78" i="16"/>
  <c r="D78" i="16"/>
  <c r="E77" i="16"/>
  <c r="D77" i="16"/>
  <c r="F75" i="16"/>
  <c r="D75" i="16"/>
  <c r="F73" i="16"/>
  <c r="E73" i="16"/>
  <c r="D73" i="16"/>
  <c r="D72" i="16"/>
  <c r="B72" i="16"/>
  <c r="D70" i="16"/>
  <c r="B70" i="16"/>
  <c r="F68" i="16"/>
  <c r="E68" i="16"/>
  <c r="D68" i="16"/>
  <c r="E67" i="16"/>
  <c r="D67" i="16"/>
  <c r="E66" i="16"/>
  <c r="D66" i="16"/>
  <c r="F64" i="16"/>
  <c r="D64" i="16"/>
  <c r="F62" i="16"/>
  <c r="E62" i="16"/>
  <c r="D62" i="16"/>
  <c r="D61" i="16"/>
  <c r="B61" i="16"/>
  <c r="D59" i="16"/>
  <c r="B59" i="16"/>
  <c r="F57" i="16"/>
  <c r="E57" i="16"/>
  <c r="D57" i="16"/>
  <c r="E56" i="16"/>
  <c r="D56" i="16"/>
  <c r="E55" i="16"/>
  <c r="D55" i="16"/>
  <c r="F53" i="16"/>
  <c r="D53" i="16"/>
  <c r="F51" i="16"/>
  <c r="E51" i="16"/>
  <c r="D51" i="16"/>
  <c r="D50" i="16"/>
  <c r="B50" i="16"/>
  <c r="D48" i="16"/>
  <c r="B48" i="16"/>
  <c r="F46" i="16"/>
  <c r="E46" i="16"/>
  <c r="D46" i="16"/>
  <c r="E45" i="16"/>
  <c r="D45" i="16"/>
  <c r="E44" i="16"/>
  <c r="D44" i="16"/>
  <c r="F42" i="16"/>
  <c r="D42" i="16"/>
  <c r="F40" i="16"/>
  <c r="E40" i="16"/>
  <c r="D40" i="16"/>
  <c r="D39" i="16"/>
  <c r="B39" i="16"/>
  <c r="D37" i="16"/>
  <c r="B37" i="16"/>
  <c r="F35" i="16"/>
  <c r="E35" i="16"/>
  <c r="D35" i="16"/>
  <c r="E34" i="16"/>
  <c r="D34" i="16"/>
  <c r="E33" i="16"/>
  <c r="D33" i="16"/>
  <c r="F31" i="16"/>
  <c r="D31" i="16"/>
  <c r="F29" i="16"/>
  <c r="E29" i="16"/>
  <c r="D29" i="16"/>
  <c r="D28" i="16"/>
  <c r="B28" i="16"/>
  <c r="D26" i="16"/>
  <c r="B26" i="16"/>
  <c r="F24" i="16"/>
  <c r="E24" i="16"/>
  <c r="D24" i="16"/>
  <c r="E23" i="16"/>
  <c r="D23" i="16"/>
  <c r="E22" i="16"/>
  <c r="D22" i="16"/>
  <c r="E21" i="16"/>
  <c r="D21" i="16"/>
  <c r="E20" i="16"/>
  <c r="D20" i="16"/>
  <c r="E17" i="16"/>
  <c r="D17" i="16"/>
  <c r="E16" i="16"/>
  <c r="D16" i="16"/>
  <c r="E15" i="16"/>
  <c r="D15" i="16"/>
  <c r="E14" i="16"/>
  <c r="D14" i="16"/>
  <c r="E13" i="16"/>
  <c r="D13" i="16"/>
  <c r="E12" i="16"/>
  <c r="D12" i="16"/>
  <c r="E11" i="16"/>
  <c r="D11" i="16"/>
  <c r="E10" i="16"/>
  <c r="D10" i="16"/>
  <c r="B4" i="16"/>
  <c r="A4" i="16"/>
  <c r="B3" i="16"/>
  <c r="A3" i="16"/>
  <c r="B2" i="16"/>
  <c r="A2" i="16"/>
  <c r="B1" i="16"/>
  <c r="A1" i="16"/>
  <c r="E660" i="15"/>
  <c r="D660" i="15"/>
  <c r="E659" i="15"/>
  <c r="D659" i="15"/>
  <c r="E658" i="15"/>
  <c r="D658" i="15"/>
  <c r="F655" i="15"/>
  <c r="E655" i="15"/>
  <c r="D655" i="15"/>
  <c r="E654" i="15"/>
  <c r="D654" i="15"/>
  <c r="E653" i="15"/>
  <c r="D653" i="15"/>
  <c r="E652" i="15"/>
  <c r="D652" i="15"/>
  <c r="E651" i="15"/>
  <c r="D651" i="15"/>
  <c r="E650" i="15"/>
  <c r="D650" i="15"/>
  <c r="E649" i="15"/>
  <c r="D649" i="15"/>
  <c r="E648" i="15"/>
  <c r="D648" i="15"/>
  <c r="E647" i="15"/>
  <c r="D647" i="15"/>
  <c r="E646" i="15"/>
  <c r="D646" i="15"/>
  <c r="E645" i="15"/>
  <c r="D645" i="15"/>
  <c r="E644" i="15"/>
  <c r="D644" i="15"/>
  <c r="E643" i="15"/>
  <c r="D643" i="15"/>
  <c r="E642" i="15"/>
  <c r="D642" i="15"/>
  <c r="E641" i="15"/>
  <c r="D641" i="15"/>
  <c r="E640" i="15"/>
  <c r="D640" i="15"/>
  <c r="E639" i="15"/>
  <c r="D639" i="15"/>
  <c r="E638" i="15"/>
  <c r="D638" i="15"/>
  <c r="E637" i="15"/>
  <c r="D637" i="15"/>
  <c r="E636" i="15"/>
  <c r="D636" i="15"/>
  <c r="E635" i="15"/>
  <c r="D635" i="15"/>
  <c r="E634" i="15"/>
  <c r="D634" i="15"/>
  <c r="E632" i="15"/>
  <c r="D632" i="15"/>
  <c r="E631" i="15"/>
  <c r="D631" i="15"/>
  <c r="E630" i="15"/>
  <c r="D630" i="15"/>
  <c r="E629" i="15"/>
  <c r="D629" i="15"/>
  <c r="E628" i="15"/>
  <c r="D628" i="15"/>
  <c r="E627" i="15"/>
  <c r="D627" i="15"/>
  <c r="E626" i="15"/>
  <c r="D626" i="15"/>
  <c r="E625" i="15"/>
  <c r="D625" i="15"/>
  <c r="E624" i="15"/>
  <c r="D624" i="15"/>
  <c r="E623" i="15"/>
  <c r="D623" i="15"/>
  <c r="E622" i="15"/>
  <c r="D622" i="15"/>
  <c r="E621" i="15"/>
  <c r="D621" i="15"/>
  <c r="E620" i="15"/>
  <c r="D620" i="15"/>
  <c r="E619" i="15"/>
  <c r="D619" i="15"/>
  <c r="E618" i="15"/>
  <c r="D618" i="15"/>
  <c r="E617" i="15"/>
  <c r="D617" i="15"/>
  <c r="E616" i="15"/>
  <c r="D616" i="15"/>
  <c r="E615" i="15"/>
  <c r="D615" i="15"/>
  <c r="E613" i="15"/>
  <c r="D613" i="15"/>
  <c r="E612" i="15"/>
  <c r="D612" i="15"/>
  <c r="E611" i="15"/>
  <c r="D611" i="15"/>
  <c r="E610" i="15"/>
  <c r="D610" i="15"/>
  <c r="E609" i="15"/>
  <c r="D609" i="15"/>
  <c r="E608" i="15"/>
  <c r="D608" i="15"/>
  <c r="E607" i="15"/>
  <c r="D607" i="15"/>
  <c r="E606" i="15"/>
  <c r="D606" i="15"/>
  <c r="E605" i="15"/>
  <c r="D605" i="15"/>
  <c r="E604" i="15"/>
  <c r="D604" i="15"/>
  <c r="E603" i="15"/>
  <c r="D603" i="15"/>
  <c r="E602" i="15"/>
  <c r="D602" i="15"/>
  <c r="E601" i="15"/>
  <c r="D601" i="15"/>
  <c r="E600" i="15"/>
  <c r="D600" i="15"/>
  <c r="E598" i="15"/>
  <c r="D598" i="15"/>
  <c r="E597" i="15"/>
  <c r="D597" i="15"/>
  <c r="E596" i="15"/>
  <c r="D596" i="15"/>
  <c r="E595" i="15"/>
  <c r="D595" i="15"/>
  <c r="E593" i="15"/>
  <c r="D593" i="15"/>
  <c r="E592" i="15"/>
  <c r="D592" i="15"/>
  <c r="E591" i="15"/>
  <c r="D591" i="15"/>
  <c r="E590" i="15"/>
  <c r="D590" i="15"/>
  <c r="E589" i="15"/>
  <c r="D589" i="15"/>
  <c r="E588" i="15"/>
  <c r="D588" i="15"/>
  <c r="E587" i="15"/>
  <c r="D587" i="15"/>
  <c r="E586" i="15"/>
  <c r="D586" i="15"/>
  <c r="E585" i="15"/>
  <c r="D585" i="15"/>
  <c r="E584" i="15"/>
  <c r="D584" i="15"/>
  <c r="E583" i="15"/>
  <c r="D583" i="15"/>
  <c r="E582" i="15"/>
  <c r="D582" i="15"/>
  <c r="E581" i="15"/>
  <c r="D581" i="15"/>
  <c r="E579" i="15"/>
  <c r="D579" i="15"/>
  <c r="E578" i="15"/>
  <c r="D578" i="15"/>
  <c r="E577" i="15"/>
  <c r="D577" i="15"/>
  <c r="E576" i="15"/>
  <c r="D576" i="15"/>
  <c r="E575" i="15"/>
  <c r="D575" i="15"/>
  <c r="E574" i="15"/>
  <c r="D574" i="15"/>
  <c r="E573" i="15"/>
  <c r="D573" i="15"/>
  <c r="E571" i="15"/>
  <c r="D571" i="15"/>
  <c r="E570" i="15"/>
  <c r="D570" i="15"/>
  <c r="E569" i="15"/>
  <c r="D569" i="15"/>
  <c r="E568" i="15"/>
  <c r="D568" i="15"/>
  <c r="E567" i="15"/>
  <c r="D567" i="15"/>
  <c r="E566" i="15"/>
  <c r="D566" i="15"/>
  <c r="E565" i="15"/>
  <c r="D565" i="15"/>
  <c r="E564" i="15"/>
  <c r="D564" i="15"/>
  <c r="E563" i="15"/>
  <c r="D563" i="15"/>
  <c r="E562" i="15"/>
  <c r="D562" i="15"/>
  <c r="E560" i="15"/>
  <c r="D560" i="15"/>
  <c r="E559" i="15"/>
  <c r="D559" i="15"/>
  <c r="F558" i="15"/>
  <c r="E558" i="15"/>
  <c r="D558" i="15"/>
  <c r="E557" i="15"/>
  <c r="D557" i="15"/>
  <c r="E556" i="15"/>
  <c r="D556" i="15"/>
  <c r="E555" i="15"/>
  <c r="D555" i="15"/>
  <c r="E554" i="15"/>
  <c r="D554" i="15"/>
  <c r="E553" i="15"/>
  <c r="D553" i="15"/>
  <c r="E552" i="15"/>
  <c r="D552" i="15"/>
  <c r="E551" i="15"/>
  <c r="D551" i="15"/>
  <c r="E550" i="15"/>
  <c r="D550" i="15"/>
  <c r="E549" i="15"/>
  <c r="D549" i="15"/>
  <c r="E548" i="15"/>
  <c r="D548" i="15"/>
  <c r="F547" i="15"/>
  <c r="E547" i="15"/>
  <c r="D547" i="15"/>
  <c r="E546" i="15"/>
  <c r="D546" i="15"/>
  <c r="E545" i="15"/>
  <c r="D545" i="15"/>
  <c r="E544" i="15"/>
  <c r="D544" i="15"/>
  <c r="E543" i="15"/>
  <c r="D543" i="15"/>
  <c r="E539" i="15"/>
  <c r="D539" i="15"/>
  <c r="E538" i="15"/>
  <c r="D538" i="15"/>
  <c r="E537" i="15"/>
  <c r="D537" i="15"/>
  <c r="E536" i="15"/>
  <c r="D536" i="15"/>
  <c r="E535" i="15"/>
  <c r="D535" i="15"/>
  <c r="E534" i="15"/>
  <c r="D534" i="15"/>
  <c r="E533" i="15"/>
  <c r="D533" i="15"/>
  <c r="E532" i="15"/>
  <c r="D532" i="15"/>
  <c r="E531" i="15"/>
  <c r="D531" i="15"/>
  <c r="E530" i="15"/>
  <c r="D530" i="15"/>
  <c r="E529" i="15"/>
  <c r="D529" i="15"/>
  <c r="E528" i="15"/>
  <c r="D528" i="15"/>
  <c r="E527" i="15"/>
  <c r="D527" i="15"/>
  <c r="E526" i="15"/>
  <c r="D526" i="15"/>
  <c r="E525" i="15"/>
  <c r="D525" i="15"/>
  <c r="E524" i="15"/>
  <c r="D524" i="15"/>
  <c r="E523" i="15"/>
  <c r="D523" i="15"/>
  <c r="E522" i="15"/>
  <c r="D522" i="15"/>
  <c r="E521" i="15"/>
  <c r="D521" i="15"/>
  <c r="E519" i="15"/>
  <c r="D519" i="15"/>
  <c r="E518" i="15"/>
  <c r="D518" i="15"/>
  <c r="E517" i="15"/>
  <c r="D517" i="15"/>
  <c r="E516" i="15"/>
  <c r="D516" i="15"/>
  <c r="E515" i="15"/>
  <c r="D515" i="15"/>
  <c r="E514" i="15"/>
  <c r="D514" i="15"/>
  <c r="E513" i="15"/>
  <c r="D513" i="15"/>
  <c r="E512" i="15"/>
  <c r="D512" i="15"/>
  <c r="E511" i="15"/>
  <c r="D511" i="15"/>
  <c r="E510" i="15"/>
  <c r="D510" i="15"/>
  <c r="E509" i="15"/>
  <c r="D509" i="15"/>
  <c r="E508" i="15"/>
  <c r="D508" i="15"/>
  <c r="E507" i="15"/>
  <c r="D507" i="15"/>
  <c r="E506" i="15"/>
  <c r="D506" i="15"/>
  <c r="E505" i="15"/>
  <c r="D505" i="15"/>
  <c r="E504" i="15"/>
  <c r="D504" i="15"/>
  <c r="E503" i="15"/>
  <c r="D503" i="15"/>
  <c r="E502" i="15"/>
  <c r="D502" i="15"/>
  <c r="E501" i="15"/>
  <c r="D501" i="15"/>
  <c r="E500" i="15"/>
  <c r="D500" i="15"/>
  <c r="E499" i="15"/>
  <c r="D499" i="15"/>
  <c r="E498" i="15"/>
  <c r="D498" i="15"/>
  <c r="E497" i="15"/>
  <c r="D497" i="15"/>
  <c r="E496" i="15"/>
  <c r="D496" i="15"/>
  <c r="E495" i="15"/>
  <c r="D495" i="15"/>
  <c r="E494" i="15"/>
  <c r="D494" i="15"/>
  <c r="E493" i="15"/>
  <c r="D493" i="15"/>
  <c r="E492" i="15"/>
  <c r="D492" i="15"/>
  <c r="E491" i="15"/>
  <c r="D491" i="15"/>
  <c r="E490" i="15"/>
  <c r="D490" i="15"/>
  <c r="E489" i="15"/>
  <c r="D489" i="15"/>
  <c r="E488" i="15"/>
  <c r="D488" i="15"/>
  <c r="B488" i="15"/>
  <c r="E487" i="15"/>
  <c r="D487" i="15"/>
  <c r="E486" i="15"/>
  <c r="D486" i="15"/>
  <c r="E485" i="15"/>
  <c r="D485" i="15"/>
  <c r="E484" i="15"/>
  <c r="D484" i="15"/>
  <c r="E483" i="15"/>
  <c r="D483" i="15"/>
  <c r="E482" i="15"/>
  <c r="D482" i="15"/>
  <c r="E481" i="15"/>
  <c r="D481" i="15"/>
  <c r="E480" i="15"/>
  <c r="D480" i="15"/>
  <c r="E479" i="15"/>
  <c r="D479" i="15"/>
  <c r="E478" i="15"/>
  <c r="D478" i="15"/>
  <c r="E477" i="15"/>
  <c r="D477" i="15"/>
  <c r="E476" i="15"/>
  <c r="D476" i="15"/>
  <c r="E474" i="15"/>
  <c r="D474" i="15"/>
  <c r="E473" i="15"/>
  <c r="D473" i="15"/>
  <c r="E472" i="15"/>
  <c r="D472" i="15"/>
  <c r="E471" i="15"/>
  <c r="D471" i="15"/>
  <c r="E470" i="15"/>
  <c r="D470" i="15"/>
  <c r="E469" i="15"/>
  <c r="D469" i="15"/>
  <c r="E468" i="15"/>
  <c r="D468" i="15"/>
  <c r="E467" i="15"/>
  <c r="D467" i="15"/>
  <c r="E466" i="15"/>
  <c r="D466" i="15"/>
  <c r="E465" i="15"/>
  <c r="D465" i="15"/>
  <c r="E464" i="15"/>
  <c r="D464" i="15"/>
  <c r="E463" i="15"/>
  <c r="D463" i="15"/>
  <c r="E462" i="15"/>
  <c r="D462" i="15"/>
  <c r="E461" i="15"/>
  <c r="D461" i="15"/>
  <c r="E460" i="15"/>
  <c r="D460" i="15"/>
  <c r="E459" i="15"/>
  <c r="D459" i="15"/>
  <c r="E458" i="15"/>
  <c r="D458" i="15"/>
  <c r="E457" i="15"/>
  <c r="D457" i="15"/>
  <c r="E456" i="15"/>
  <c r="D456" i="15"/>
  <c r="E455" i="15"/>
  <c r="D455" i="15"/>
  <c r="E454" i="15"/>
  <c r="D454" i="15"/>
  <c r="E453" i="15"/>
  <c r="D453" i="15"/>
  <c r="E452" i="15"/>
  <c r="D452" i="15"/>
  <c r="E451" i="15"/>
  <c r="D451" i="15"/>
  <c r="E450" i="15"/>
  <c r="D450" i="15"/>
  <c r="E449" i="15"/>
  <c r="D449" i="15"/>
  <c r="E448" i="15"/>
  <c r="D448" i="15"/>
  <c r="E447" i="15"/>
  <c r="D447" i="15"/>
  <c r="E446" i="15"/>
  <c r="D446" i="15"/>
  <c r="E445" i="15"/>
  <c r="D445" i="15"/>
  <c r="E444" i="15"/>
  <c r="D444" i="15"/>
  <c r="E443" i="15"/>
  <c r="D443" i="15"/>
  <c r="E442" i="15"/>
  <c r="D442" i="15"/>
  <c r="E441" i="15"/>
  <c r="D441" i="15"/>
  <c r="I435" i="15"/>
  <c r="F433" i="15"/>
  <c r="E433" i="15"/>
  <c r="D433" i="15"/>
  <c r="I431" i="15"/>
  <c r="F429" i="15"/>
  <c r="E429" i="15"/>
  <c r="D429" i="15"/>
  <c r="I426" i="15"/>
  <c r="F424" i="15"/>
  <c r="E424" i="15"/>
  <c r="D424" i="15"/>
  <c r="I421" i="15"/>
  <c r="I420" i="15"/>
  <c r="I419" i="15"/>
  <c r="F418" i="15"/>
  <c r="E418" i="15"/>
  <c r="D418" i="15"/>
  <c r="E416" i="15"/>
  <c r="D416" i="15"/>
  <c r="E415" i="15"/>
  <c r="D415" i="15"/>
  <c r="K414" i="15"/>
  <c r="E412" i="15"/>
  <c r="D412" i="15"/>
  <c r="E411" i="15"/>
  <c r="D411" i="15"/>
  <c r="F410" i="15"/>
  <c r="E410" i="15"/>
  <c r="D410" i="15"/>
  <c r="E409" i="15"/>
  <c r="D409" i="15"/>
  <c r="E408" i="15"/>
  <c r="D408" i="15"/>
  <c r="E407" i="15"/>
  <c r="D407" i="15"/>
  <c r="E406" i="15"/>
  <c r="D406" i="15"/>
  <c r="E405" i="15"/>
  <c r="D405" i="15"/>
  <c r="E404" i="15"/>
  <c r="D404" i="15"/>
  <c r="E403" i="15"/>
  <c r="D403" i="15"/>
  <c r="E402" i="15"/>
  <c r="D402" i="15"/>
  <c r="E401" i="15"/>
  <c r="D401" i="15"/>
  <c r="E400" i="15"/>
  <c r="D400" i="15"/>
  <c r="E399" i="15"/>
  <c r="D399" i="15"/>
  <c r="E398" i="15"/>
  <c r="D398" i="15"/>
  <c r="E397" i="15"/>
  <c r="D397" i="15"/>
  <c r="E396" i="15"/>
  <c r="D396" i="15"/>
  <c r="E395" i="15"/>
  <c r="D395" i="15"/>
  <c r="E394" i="15"/>
  <c r="D394" i="15"/>
  <c r="E393" i="15"/>
  <c r="D393" i="15"/>
  <c r="E392" i="15"/>
  <c r="D392" i="15"/>
  <c r="E391" i="15"/>
  <c r="D391" i="15"/>
  <c r="E390" i="15"/>
  <c r="D390" i="15"/>
  <c r="E389" i="15"/>
  <c r="D389" i="15"/>
  <c r="E388" i="15"/>
  <c r="D388" i="15"/>
  <c r="E387" i="15"/>
  <c r="D387" i="15"/>
  <c r="E386" i="15"/>
  <c r="D386" i="15"/>
  <c r="E385" i="15"/>
  <c r="D385" i="15"/>
  <c r="E384" i="15"/>
  <c r="D384" i="15"/>
  <c r="E383" i="15"/>
  <c r="D383" i="15"/>
  <c r="E382" i="15"/>
  <c r="D382" i="15"/>
  <c r="E381" i="15"/>
  <c r="D381" i="15"/>
  <c r="E380" i="15"/>
  <c r="D380" i="15"/>
  <c r="E379" i="15"/>
  <c r="D379" i="15"/>
  <c r="E378" i="15"/>
  <c r="D378" i="15"/>
  <c r="K377" i="15"/>
  <c r="E375" i="15"/>
  <c r="D375" i="15"/>
  <c r="E374" i="15"/>
  <c r="D374" i="15"/>
  <c r="E373" i="15"/>
  <c r="D373" i="15"/>
  <c r="I371" i="15"/>
  <c r="G371" i="15"/>
  <c r="I370" i="15"/>
  <c r="I369" i="15"/>
  <c r="G369" i="15"/>
  <c r="F367" i="15"/>
  <c r="E367" i="15"/>
  <c r="D367" i="15"/>
  <c r="I365" i="15"/>
  <c r="F363" i="15"/>
  <c r="E363" i="15"/>
  <c r="D363" i="15"/>
  <c r="I361" i="15"/>
  <c r="I360" i="15"/>
  <c r="F358" i="15"/>
  <c r="E358" i="15"/>
  <c r="D358" i="15"/>
  <c r="I356" i="15"/>
  <c r="I355" i="15"/>
  <c r="F353" i="15"/>
  <c r="E353" i="15"/>
  <c r="D353" i="15"/>
  <c r="I351" i="15"/>
  <c r="I350" i="15"/>
  <c r="I349" i="15"/>
  <c r="I348" i="15"/>
  <c r="F346" i="15"/>
  <c r="E346" i="15"/>
  <c r="D346" i="15"/>
  <c r="I344" i="15"/>
  <c r="I343" i="15"/>
  <c r="I342" i="15"/>
  <c r="F340" i="15"/>
  <c r="E340" i="15"/>
  <c r="D340" i="15"/>
  <c r="I338" i="15"/>
  <c r="F336" i="15"/>
  <c r="E336" i="15"/>
  <c r="D336" i="15"/>
  <c r="I334" i="15"/>
  <c r="I333" i="15"/>
  <c r="F331" i="15"/>
  <c r="E331" i="15"/>
  <c r="D331" i="15"/>
  <c r="I330" i="15"/>
  <c r="G330" i="15"/>
  <c r="I329" i="15"/>
  <c r="G329" i="15"/>
  <c r="I328" i="15"/>
  <c r="G328" i="15"/>
  <c r="F326" i="15"/>
  <c r="E326" i="15"/>
  <c r="D326" i="15"/>
  <c r="K325" i="15"/>
  <c r="E323" i="15"/>
  <c r="D323" i="15"/>
  <c r="E322" i="15"/>
  <c r="D322" i="15"/>
  <c r="E321" i="15"/>
  <c r="D321" i="15"/>
  <c r="E320" i="15"/>
  <c r="D320" i="15"/>
  <c r="E319" i="15"/>
  <c r="D319" i="15"/>
  <c r="E318" i="15"/>
  <c r="D318" i="15"/>
  <c r="E317" i="15"/>
  <c r="D317" i="15"/>
  <c r="E316" i="15"/>
  <c r="D316" i="15"/>
  <c r="I314" i="15"/>
  <c r="F312" i="15"/>
  <c r="E312" i="15"/>
  <c r="D312" i="15"/>
  <c r="I310" i="15"/>
  <c r="F308" i="15"/>
  <c r="E308" i="15"/>
  <c r="D308" i="15"/>
  <c r="I306" i="15"/>
  <c r="N305" i="15"/>
  <c r="F304" i="15"/>
  <c r="E304" i="15"/>
  <c r="D304" i="15"/>
  <c r="N303" i="15"/>
  <c r="I302" i="15"/>
  <c r="F300" i="15"/>
  <c r="E300" i="15"/>
  <c r="D300" i="15"/>
  <c r="I298" i="15"/>
  <c r="F296" i="15"/>
  <c r="E296" i="15"/>
  <c r="D296" i="15"/>
  <c r="I294" i="15"/>
  <c r="F292" i="15"/>
  <c r="E292" i="15"/>
  <c r="D292" i="15"/>
  <c r="K291" i="15"/>
  <c r="I289" i="15"/>
  <c r="G289" i="15"/>
  <c r="F287" i="15"/>
  <c r="E287" i="15"/>
  <c r="D287" i="15"/>
  <c r="I285" i="15"/>
  <c r="I284" i="15"/>
  <c r="G284" i="15"/>
  <c r="F282" i="15"/>
  <c r="E282" i="15"/>
  <c r="D282" i="15"/>
  <c r="I280" i="15"/>
  <c r="G280" i="15"/>
  <c r="I279" i="15"/>
  <c r="G279" i="15"/>
  <c r="F277" i="15"/>
  <c r="E277" i="15"/>
  <c r="D277" i="15"/>
  <c r="I275" i="15"/>
  <c r="I274" i="15"/>
  <c r="I273" i="15"/>
  <c r="F271" i="15"/>
  <c r="E271" i="15"/>
  <c r="D271" i="15"/>
  <c r="E270" i="15"/>
  <c r="D270" i="15"/>
  <c r="E269" i="15"/>
  <c r="D269" i="15"/>
  <c r="E268" i="15"/>
  <c r="D268" i="15"/>
  <c r="E267" i="15"/>
  <c r="D267" i="15"/>
  <c r="E266" i="15"/>
  <c r="D266" i="15"/>
  <c r="K265" i="15"/>
  <c r="I263" i="15"/>
  <c r="F261" i="15"/>
  <c r="E261" i="15"/>
  <c r="D261" i="15"/>
  <c r="I259" i="15"/>
  <c r="G259" i="15"/>
  <c r="F257" i="15"/>
  <c r="E257" i="15"/>
  <c r="D257" i="15"/>
  <c r="I256" i="15"/>
  <c r="I255" i="15"/>
  <c r="I254" i="15"/>
  <c r="G254" i="15"/>
  <c r="F252" i="15"/>
  <c r="E252" i="15"/>
  <c r="D252" i="15"/>
  <c r="I251" i="15"/>
  <c r="F249" i="15"/>
  <c r="E249" i="15"/>
  <c r="D249" i="15"/>
  <c r="I248" i="15"/>
  <c r="F246" i="15"/>
  <c r="E246" i="15"/>
  <c r="D246" i="15"/>
  <c r="I244" i="15"/>
  <c r="I243" i="15"/>
  <c r="F241" i="15"/>
  <c r="E241" i="15"/>
  <c r="D241" i="15"/>
  <c r="I239" i="15"/>
  <c r="I238" i="15"/>
  <c r="I237" i="15"/>
  <c r="F235" i="15"/>
  <c r="E235" i="15"/>
  <c r="D235" i="15"/>
  <c r="I233" i="15"/>
  <c r="I232" i="15"/>
  <c r="I231" i="15"/>
  <c r="F229" i="15"/>
  <c r="E229" i="15"/>
  <c r="D229" i="15"/>
  <c r="I227" i="15"/>
  <c r="I226" i="15"/>
  <c r="F224" i="15"/>
  <c r="E224" i="15"/>
  <c r="D224" i="15"/>
  <c r="I221" i="15"/>
  <c r="F219" i="15"/>
  <c r="E219" i="15"/>
  <c r="D219" i="15"/>
  <c r="I217" i="15"/>
  <c r="F215" i="15"/>
  <c r="E215" i="15"/>
  <c r="D215" i="15"/>
  <c r="I213" i="15"/>
  <c r="I212" i="15"/>
  <c r="F210" i="15"/>
  <c r="E210" i="15"/>
  <c r="D210" i="15"/>
  <c r="I208" i="15"/>
  <c r="F206" i="15"/>
  <c r="E206" i="15"/>
  <c r="D206" i="15"/>
  <c r="I204" i="15"/>
  <c r="F202" i="15"/>
  <c r="E202" i="15"/>
  <c r="D202" i="15"/>
  <c r="I200" i="15"/>
  <c r="F198" i="15"/>
  <c r="E198" i="15"/>
  <c r="D198" i="15"/>
  <c r="I196" i="15"/>
  <c r="F194" i="15"/>
  <c r="E194" i="15"/>
  <c r="D194" i="15"/>
  <c r="I192" i="15"/>
  <c r="F190" i="15"/>
  <c r="E190" i="15"/>
  <c r="D190" i="15"/>
  <c r="I188" i="15"/>
  <c r="F186" i="15"/>
  <c r="E186" i="15"/>
  <c r="D186" i="15"/>
  <c r="E185" i="15"/>
  <c r="D185" i="15"/>
  <c r="I182" i="15"/>
  <c r="I181" i="15"/>
  <c r="F179" i="15"/>
  <c r="E179" i="15"/>
  <c r="D179" i="15"/>
  <c r="I177" i="15"/>
  <c r="F175" i="15"/>
  <c r="E175" i="15"/>
  <c r="D175" i="15"/>
  <c r="I173" i="15"/>
  <c r="F171" i="15"/>
  <c r="E171" i="15"/>
  <c r="D171" i="15"/>
  <c r="K170" i="15"/>
  <c r="E168" i="15"/>
  <c r="D168" i="15"/>
  <c r="E167" i="15"/>
  <c r="D167" i="15"/>
  <c r="E166" i="15"/>
  <c r="D166" i="15"/>
  <c r="F165" i="15"/>
  <c r="E165" i="15"/>
  <c r="D165" i="15"/>
  <c r="I163" i="15"/>
  <c r="I162" i="15"/>
  <c r="I161" i="15"/>
  <c r="F159" i="15"/>
  <c r="E159" i="15"/>
  <c r="D159" i="15"/>
  <c r="I157" i="15"/>
  <c r="I156" i="15"/>
  <c r="I155" i="15"/>
  <c r="I154" i="15"/>
  <c r="I153" i="15"/>
  <c r="I152" i="15"/>
  <c r="I151" i="15"/>
  <c r="I150" i="15"/>
  <c r="I149" i="15"/>
  <c r="I148" i="15"/>
  <c r="I147" i="15"/>
  <c r="F145" i="15"/>
  <c r="E145" i="15"/>
  <c r="D145" i="15"/>
  <c r="E144" i="15"/>
  <c r="D144" i="15"/>
  <c r="I142" i="15"/>
  <c r="F140" i="15"/>
  <c r="E140" i="15"/>
  <c r="D140" i="15"/>
  <c r="I138" i="15"/>
  <c r="F136" i="15"/>
  <c r="E136" i="15"/>
  <c r="D136" i="15"/>
  <c r="K135" i="15"/>
  <c r="E132" i="15"/>
  <c r="D132" i="15"/>
  <c r="E130" i="15"/>
  <c r="D130" i="15"/>
  <c r="E129" i="15"/>
  <c r="D129" i="15"/>
  <c r="E128" i="15"/>
  <c r="D128" i="15"/>
  <c r="E127" i="15"/>
  <c r="D127" i="15"/>
  <c r="E125" i="15"/>
  <c r="D125" i="15"/>
  <c r="E124" i="15"/>
  <c r="D124" i="15"/>
  <c r="E123" i="15"/>
  <c r="D123" i="15"/>
  <c r="E122" i="15"/>
  <c r="D122" i="15"/>
  <c r="F120" i="15"/>
  <c r="D120" i="15"/>
  <c r="F118" i="15"/>
  <c r="E118" i="15"/>
  <c r="D118" i="15"/>
  <c r="D117" i="15"/>
  <c r="C117" i="15"/>
  <c r="B117" i="15"/>
  <c r="D115" i="15"/>
  <c r="B115" i="15"/>
  <c r="F113" i="15"/>
  <c r="E113" i="15"/>
  <c r="D113" i="15"/>
  <c r="F112" i="15"/>
  <c r="D112" i="15"/>
  <c r="F110" i="15"/>
  <c r="E110" i="15"/>
  <c r="D110" i="15"/>
  <c r="E109" i="15"/>
  <c r="D109" i="15"/>
  <c r="E108" i="15"/>
  <c r="D108" i="15"/>
  <c r="E107" i="15"/>
  <c r="D107" i="15"/>
  <c r="E106" i="15"/>
  <c r="D106" i="15"/>
  <c r="E105" i="15"/>
  <c r="D105" i="15"/>
  <c r="E104" i="15"/>
  <c r="D104" i="15"/>
  <c r="E102" i="15"/>
  <c r="D102" i="15"/>
  <c r="E101" i="15"/>
  <c r="D101" i="15"/>
  <c r="E100" i="15"/>
  <c r="D100" i="15"/>
  <c r="E99" i="15"/>
  <c r="D99" i="15"/>
  <c r="E97" i="15"/>
  <c r="D97" i="15"/>
  <c r="E96" i="15"/>
  <c r="D96" i="15"/>
  <c r="E95" i="15"/>
  <c r="D95" i="15"/>
  <c r="E94" i="15"/>
  <c r="D94" i="15"/>
  <c r="E92" i="15"/>
  <c r="D92" i="15"/>
  <c r="E91" i="15"/>
  <c r="D91" i="15"/>
  <c r="E90" i="15"/>
  <c r="D90" i="15"/>
  <c r="E89" i="15"/>
  <c r="D89" i="15"/>
  <c r="E87" i="15"/>
  <c r="D87" i="15"/>
  <c r="E86" i="15"/>
  <c r="D86" i="15"/>
  <c r="E84" i="15"/>
  <c r="D84" i="15"/>
  <c r="E83" i="15"/>
  <c r="D83" i="15"/>
  <c r="E82" i="15"/>
  <c r="D82" i="15"/>
  <c r="E81" i="15"/>
  <c r="D81" i="15"/>
  <c r="E80" i="15"/>
  <c r="D80" i="15"/>
  <c r="E79" i="15"/>
  <c r="D79" i="15"/>
  <c r="E78" i="15"/>
  <c r="D78" i="15"/>
  <c r="E76" i="15"/>
  <c r="D76" i="15"/>
  <c r="E75" i="15"/>
  <c r="D75" i="15"/>
  <c r="E74" i="15"/>
  <c r="D74" i="15"/>
  <c r="E73" i="15"/>
  <c r="D73" i="15"/>
  <c r="E71" i="15"/>
  <c r="D71" i="15"/>
  <c r="F70" i="15"/>
  <c r="D70" i="15"/>
  <c r="F68" i="15"/>
  <c r="E68" i="15"/>
  <c r="D68" i="15"/>
  <c r="D67" i="15"/>
  <c r="C67" i="15"/>
  <c r="B67" i="15"/>
  <c r="D65" i="15"/>
  <c r="B65" i="15"/>
  <c r="F63" i="15"/>
  <c r="E63" i="15"/>
  <c r="D63" i="15"/>
  <c r="F62" i="15"/>
  <c r="D62" i="15"/>
  <c r="F60" i="15"/>
  <c r="E60" i="15"/>
  <c r="D60" i="15"/>
  <c r="E59" i="15"/>
  <c r="D59" i="15"/>
  <c r="E58" i="15"/>
  <c r="D58" i="15"/>
  <c r="E57" i="15"/>
  <c r="D57" i="15"/>
  <c r="E56" i="15"/>
  <c r="D56" i="15"/>
  <c r="E55" i="15"/>
  <c r="D55" i="15"/>
  <c r="E54" i="15"/>
  <c r="D54" i="15"/>
  <c r="E53" i="15"/>
  <c r="D53" i="15"/>
  <c r="E52" i="15"/>
  <c r="D52" i="15"/>
  <c r="E51" i="15"/>
  <c r="D51" i="15"/>
  <c r="F49" i="15"/>
  <c r="D49" i="15"/>
  <c r="F47" i="15"/>
  <c r="E47" i="15"/>
  <c r="D47" i="15"/>
  <c r="D46" i="15"/>
  <c r="B46" i="15"/>
  <c r="D44" i="15"/>
  <c r="B44" i="15"/>
  <c r="F42" i="15"/>
  <c r="E42" i="15"/>
  <c r="D42" i="15"/>
  <c r="E41" i="15"/>
  <c r="D41" i="15"/>
  <c r="E40" i="15"/>
  <c r="D40" i="15"/>
  <c r="E39" i="15"/>
  <c r="D39" i="15"/>
  <c r="E38" i="15"/>
  <c r="E36" i="15"/>
  <c r="D36" i="15"/>
  <c r="E35" i="15"/>
  <c r="D35" i="15"/>
  <c r="E34" i="15"/>
  <c r="D34" i="15"/>
  <c r="E33" i="15"/>
  <c r="D33" i="15"/>
  <c r="E32" i="15"/>
  <c r="D32" i="15"/>
  <c r="F30" i="15"/>
  <c r="D30" i="15"/>
  <c r="F28" i="15"/>
  <c r="E28" i="15"/>
  <c r="D28" i="15"/>
  <c r="D27" i="15"/>
  <c r="C27" i="15"/>
  <c r="B27" i="15"/>
  <c r="D25" i="15"/>
  <c r="B25" i="15"/>
  <c r="F23" i="15"/>
  <c r="E23" i="15"/>
  <c r="D23" i="15"/>
  <c r="F22" i="15"/>
  <c r="D22" i="15"/>
  <c r="F20" i="15"/>
  <c r="E20" i="15"/>
  <c r="D20" i="15"/>
  <c r="E19" i="15"/>
  <c r="D19" i="15"/>
  <c r="E18" i="15"/>
  <c r="D18" i="15"/>
  <c r="E17" i="15"/>
  <c r="D17" i="15"/>
  <c r="E16" i="15"/>
  <c r="D16" i="15"/>
  <c r="E15" i="15"/>
  <c r="D15" i="15"/>
  <c r="E14" i="15"/>
  <c r="D14" i="15"/>
  <c r="E13" i="15"/>
  <c r="D13" i="15"/>
  <c r="E12" i="15"/>
  <c r="D12" i="15"/>
  <c r="E11" i="15"/>
  <c r="D11" i="15"/>
  <c r="E10" i="15"/>
  <c r="D10" i="15"/>
  <c r="B4" i="15"/>
  <c r="A4" i="15"/>
  <c r="B3" i="15"/>
  <c r="A3" i="15"/>
  <c r="B2" i="15"/>
  <c r="A2" i="15"/>
  <c r="B1" i="15"/>
  <c r="A1" i="15"/>
  <c r="G85" i="14"/>
  <c r="G84" i="14"/>
  <c r="G83" i="14"/>
  <c r="G82" i="14"/>
  <c r="G81" i="14"/>
  <c r="F79" i="14"/>
  <c r="E79" i="14"/>
  <c r="D79" i="14"/>
  <c r="F78" i="14"/>
  <c r="E78" i="14"/>
  <c r="D78" i="14"/>
  <c r="G76" i="14"/>
  <c r="F76" i="14"/>
  <c r="F74" i="14"/>
  <c r="E74" i="14"/>
  <c r="D74" i="14"/>
  <c r="F66" i="14"/>
  <c r="E66" i="14"/>
  <c r="D66" i="14"/>
  <c r="G64" i="14"/>
  <c r="F62" i="14"/>
  <c r="E62" i="14"/>
  <c r="D62" i="14"/>
  <c r="G60" i="14"/>
  <c r="F58" i="14"/>
  <c r="E58" i="14"/>
  <c r="D58" i="14"/>
  <c r="G56" i="14"/>
  <c r="E56" i="14"/>
  <c r="F54" i="14"/>
  <c r="E54" i="14"/>
  <c r="D54" i="14"/>
  <c r="G52" i="14"/>
  <c r="E52" i="14"/>
  <c r="G51" i="14"/>
  <c r="E51" i="14"/>
  <c r="G50" i="14"/>
  <c r="E50" i="14"/>
  <c r="G49" i="14"/>
  <c r="E49" i="14"/>
  <c r="B49" i="14"/>
  <c r="F47" i="14"/>
  <c r="E47" i="14"/>
  <c r="D47" i="14"/>
  <c r="F45" i="14"/>
  <c r="E45" i="14"/>
  <c r="D45" i="14"/>
  <c r="F44" i="14"/>
  <c r="E44" i="14"/>
  <c r="D44" i="14"/>
  <c r="F43" i="14"/>
  <c r="E43" i="14"/>
  <c r="D43" i="14"/>
  <c r="F42" i="14"/>
  <c r="E42" i="14"/>
  <c r="D42" i="14"/>
  <c r="F41" i="14"/>
  <c r="E41" i="14"/>
  <c r="D41" i="14"/>
  <c r="F40" i="14"/>
  <c r="E40" i="14"/>
  <c r="D40" i="14"/>
  <c r="F39" i="14"/>
  <c r="E39" i="14"/>
  <c r="D39" i="14"/>
  <c r="E38" i="14"/>
  <c r="D38" i="14"/>
  <c r="F37" i="14"/>
  <c r="E37" i="14"/>
  <c r="D37" i="14"/>
  <c r="E35" i="14"/>
  <c r="D35" i="14"/>
  <c r="E34" i="14"/>
  <c r="D34" i="14"/>
  <c r="E33" i="14"/>
  <c r="D33" i="14"/>
  <c r="E31" i="14"/>
  <c r="D31" i="14"/>
  <c r="E30" i="14"/>
  <c r="D30" i="14"/>
  <c r="E29" i="14"/>
  <c r="D29" i="14"/>
  <c r="E28" i="14"/>
  <c r="D28" i="14"/>
  <c r="E27" i="14"/>
  <c r="D27" i="14"/>
  <c r="F25" i="14"/>
  <c r="E25" i="14"/>
  <c r="D25" i="14"/>
  <c r="F24" i="14"/>
  <c r="E24" i="14"/>
  <c r="D24" i="14"/>
  <c r="E23" i="14"/>
  <c r="D23" i="14"/>
  <c r="F22" i="14"/>
  <c r="E22" i="14"/>
  <c r="D22" i="14"/>
  <c r="E19" i="14"/>
  <c r="D19" i="14"/>
  <c r="E18" i="14"/>
  <c r="D18" i="14"/>
  <c r="E17" i="14"/>
  <c r="D17" i="14"/>
  <c r="E16" i="14"/>
  <c r="D16" i="14"/>
  <c r="F15" i="14"/>
  <c r="E15" i="14"/>
  <c r="D15" i="14"/>
  <c r="F14" i="14"/>
  <c r="E14" i="14"/>
  <c r="D14" i="14"/>
  <c r="E13" i="14"/>
  <c r="D13" i="14"/>
  <c r="E12" i="14"/>
  <c r="D12" i="14"/>
  <c r="E11" i="14"/>
  <c r="D11" i="14"/>
  <c r="E10" i="14"/>
  <c r="D10" i="14"/>
  <c r="E9" i="14"/>
  <c r="D9" i="14"/>
  <c r="E8" i="14"/>
  <c r="D8" i="14"/>
  <c r="B4" i="14"/>
  <c r="A4" i="14"/>
  <c r="B3" i="14"/>
  <c r="A3" i="14"/>
  <c r="B2" i="14"/>
  <c r="A2" i="14"/>
  <c r="B1" i="14"/>
  <c r="A1" i="14"/>
  <c r="F44" i="13"/>
  <c r="E44" i="13"/>
  <c r="D44" i="13"/>
  <c r="C44" i="13"/>
  <c r="F43" i="13"/>
  <c r="E43" i="13"/>
  <c r="D43" i="13"/>
  <c r="C43" i="13"/>
  <c r="F39" i="13"/>
  <c r="E39" i="13"/>
  <c r="D39" i="13"/>
  <c r="C39" i="13"/>
  <c r="F32" i="13"/>
  <c r="E32" i="13"/>
  <c r="D32" i="13"/>
  <c r="C32" i="13"/>
  <c r="F20" i="13"/>
  <c r="E20" i="13"/>
  <c r="D20" i="13"/>
  <c r="C20" i="13"/>
  <c r="B4" i="13"/>
  <c r="A4" i="13"/>
  <c r="B3" i="13"/>
  <c r="A3" i="13"/>
  <c r="B2" i="13"/>
  <c r="A2" i="13"/>
  <c r="B1" i="13"/>
  <c r="A1" i="13"/>
  <c r="M1090" i="12"/>
  <c r="M1088" i="12"/>
  <c r="I1088" i="12"/>
  <c r="N1086" i="12"/>
  <c r="O1085" i="12"/>
  <c r="N1085" i="12"/>
  <c r="O1084" i="12"/>
  <c r="N1084" i="12"/>
  <c r="M1081" i="12"/>
  <c r="I1081" i="12"/>
  <c r="N1080" i="12"/>
  <c r="M1080" i="12"/>
  <c r="I1080" i="12"/>
  <c r="M1079" i="12"/>
  <c r="I1079" i="12"/>
  <c r="M1078" i="12"/>
  <c r="I1078" i="12"/>
  <c r="M1077" i="12"/>
  <c r="I1077" i="12"/>
  <c r="N1068" i="12"/>
  <c r="O1067" i="12"/>
  <c r="N1067" i="12"/>
  <c r="O1066" i="12"/>
  <c r="N1063" i="12"/>
  <c r="M1063" i="12"/>
  <c r="I1063" i="12"/>
  <c r="N1062" i="12"/>
  <c r="M1062" i="12"/>
  <c r="I1062" i="12"/>
  <c r="N1061" i="12"/>
  <c r="M1061" i="12"/>
  <c r="I1061" i="12"/>
  <c r="N1060" i="12"/>
  <c r="M1060" i="12"/>
  <c r="I1060" i="12"/>
  <c r="N1059" i="12"/>
  <c r="M1059" i="12"/>
  <c r="I1059" i="12"/>
  <c r="N1050" i="12"/>
  <c r="O1049" i="12"/>
  <c r="N1049" i="12"/>
  <c r="O1048" i="12"/>
  <c r="M1045" i="12"/>
  <c r="I1045" i="12"/>
  <c r="M1044" i="12"/>
  <c r="I1044" i="12"/>
  <c r="M1043" i="12"/>
  <c r="I1043" i="12"/>
  <c r="M1042" i="12"/>
  <c r="I1042" i="12"/>
  <c r="M1041" i="12"/>
  <c r="I1041" i="12"/>
  <c r="C71" i="12"/>
  <c r="A71" i="12"/>
  <c r="C70" i="12"/>
  <c r="A70" i="12"/>
  <c r="C69" i="12"/>
  <c r="A69" i="12"/>
  <c r="C68" i="12"/>
  <c r="A68" i="12"/>
  <c r="M67" i="12"/>
  <c r="M65" i="12"/>
  <c r="I65" i="12"/>
  <c r="C64" i="12"/>
  <c r="A64" i="12"/>
  <c r="N63" i="12"/>
  <c r="R62" i="12"/>
  <c r="Q62" i="12"/>
  <c r="P62" i="12"/>
  <c r="O62" i="12"/>
  <c r="N62" i="12"/>
  <c r="O61" i="12"/>
  <c r="N61" i="12"/>
  <c r="N60" i="12"/>
  <c r="R58" i="12"/>
  <c r="Q58" i="12"/>
  <c r="P58" i="12"/>
  <c r="M58" i="12"/>
  <c r="I58" i="12"/>
  <c r="R57" i="12"/>
  <c r="Q57" i="12"/>
  <c r="P57" i="12"/>
  <c r="M57" i="12"/>
  <c r="I57" i="12"/>
  <c r="R56" i="12"/>
  <c r="Q56" i="12"/>
  <c r="P56" i="12"/>
  <c r="M56" i="12"/>
  <c r="I56" i="12"/>
  <c r="R55" i="12"/>
  <c r="Q55" i="12"/>
  <c r="P55" i="12"/>
  <c r="M55" i="12"/>
  <c r="I55" i="12"/>
  <c r="R54" i="12"/>
  <c r="Q54" i="12"/>
  <c r="P54" i="12"/>
  <c r="M54" i="12"/>
  <c r="I54" i="12"/>
  <c r="N44" i="12"/>
  <c r="R43" i="12"/>
  <c r="Q43" i="12"/>
  <c r="P43" i="12"/>
  <c r="O43" i="12"/>
  <c r="N43" i="12"/>
  <c r="O42" i="12"/>
  <c r="N42" i="12"/>
  <c r="N41" i="12"/>
  <c r="R39" i="12"/>
  <c r="Q39" i="12"/>
  <c r="P39" i="12"/>
  <c r="M39" i="12"/>
  <c r="I39" i="12"/>
  <c r="R38" i="12"/>
  <c r="Q38" i="12"/>
  <c r="P38" i="12"/>
  <c r="M38" i="12"/>
  <c r="I38" i="12"/>
  <c r="R37" i="12"/>
  <c r="Q37" i="12"/>
  <c r="P37" i="12"/>
  <c r="M37" i="12"/>
  <c r="I37" i="12"/>
  <c r="R36" i="12"/>
  <c r="Q36" i="12"/>
  <c r="P36" i="12"/>
  <c r="M36" i="12"/>
  <c r="I36" i="12"/>
  <c r="R35" i="12"/>
  <c r="Q35" i="12"/>
  <c r="P35" i="12"/>
  <c r="M35" i="12"/>
  <c r="I35" i="12"/>
  <c r="N26" i="12"/>
  <c r="R25" i="12"/>
  <c r="Q25" i="12"/>
  <c r="P25" i="12"/>
  <c r="O25" i="12"/>
  <c r="N25" i="12"/>
  <c r="C25" i="12"/>
  <c r="A25" i="12"/>
  <c r="O24" i="12"/>
  <c r="N24" i="12"/>
  <c r="C24" i="12"/>
  <c r="A24" i="12"/>
  <c r="N23" i="12"/>
  <c r="C23" i="12"/>
  <c r="A23" i="12"/>
  <c r="C22" i="12"/>
  <c r="A22" i="12"/>
  <c r="R21" i="12"/>
  <c r="Q21" i="12"/>
  <c r="P21" i="12"/>
  <c r="M21" i="12"/>
  <c r="I21" i="12"/>
  <c r="C21" i="12"/>
  <c r="A21" i="12"/>
  <c r="R20" i="12"/>
  <c r="Q20" i="12"/>
  <c r="P20" i="12"/>
  <c r="M20" i="12"/>
  <c r="I20" i="12"/>
  <c r="C20" i="12"/>
  <c r="R19" i="12"/>
  <c r="Q19" i="12"/>
  <c r="P19" i="12"/>
  <c r="M19" i="12"/>
  <c r="I19" i="12"/>
  <c r="C19" i="12"/>
  <c r="A19" i="12"/>
  <c r="R18" i="12"/>
  <c r="Q18" i="12"/>
  <c r="P18" i="12"/>
  <c r="M18" i="12"/>
  <c r="I18" i="12"/>
  <c r="C18" i="12"/>
  <c r="A18" i="12"/>
  <c r="R17" i="12"/>
  <c r="Q17" i="12"/>
  <c r="P17" i="12"/>
  <c r="M17" i="12"/>
  <c r="I17" i="12"/>
  <c r="C17" i="12"/>
  <c r="A17" i="12"/>
  <c r="C16" i="12"/>
  <c r="A16" i="12"/>
  <c r="C14" i="12"/>
  <c r="A14" i="12"/>
  <c r="C13" i="12"/>
  <c r="C12" i="12"/>
  <c r="C11" i="12"/>
  <c r="C10" i="12"/>
  <c r="C9" i="12"/>
  <c r="C8" i="12"/>
  <c r="C7" i="12"/>
  <c r="A7" i="12"/>
  <c r="C6" i="12"/>
  <c r="A6" i="12"/>
  <c r="C5" i="12"/>
  <c r="A5" i="12"/>
  <c r="J4" i="12"/>
  <c r="I4" i="12"/>
  <c r="C4" i="12"/>
  <c r="A4" i="12"/>
  <c r="J3" i="12"/>
  <c r="I3" i="12"/>
  <c r="C3" i="12"/>
  <c r="A3" i="12"/>
  <c r="J2" i="12"/>
  <c r="I2" i="12"/>
  <c r="C2" i="12"/>
  <c r="J1" i="12"/>
  <c r="I1" i="12"/>
  <c r="I1604" i="11"/>
  <c r="J1603" i="11"/>
  <c r="I1603" i="11"/>
  <c r="H1603" i="11"/>
  <c r="J1602" i="11"/>
  <c r="I1602" i="11"/>
  <c r="H1602" i="11"/>
  <c r="J1601" i="11"/>
  <c r="I1601" i="11"/>
  <c r="H1601" i="11"/>
  <c r="J1600" i="11"/>
  <c r="I1600" i="11"/>
  <c r="H1600" i="11"/>
  <c r="J1599" i="11"/>
  <c r="I1599" i="11"/>
  <c r="H1599" i="11"/>
  <c r="J1598" i="11"/>
  <c r="I1598" i="11"/>
  <c r="H1598" i="11"/>
  <c r="J1597" i="11"/>
  <c r="I1597" i="11"/>
  <c r="H1597" i="11"/>
  <c r="J1596" i="11"/>
  <c r="I1596" i="11"/>
  <c r="H1596" i="11"/>
  <c r="J1595" i="11"/>
  <c r="I1595" i="11"/>
  <c r="H1595" i="11"/>
  <c r="J1594" i="11"/>
  <c r="I1594" i="11"/>
  <c r="H1594" i="11"/>
  <c r="J1593" i="11"/>
  <c r="I1593" i="11"/>
  <c r="H1593" i="11"/>
  <c r="J1592" i="11"/>
  <c r="I1592" i="11"/>
  <c r="H1592" i="11"/>
  <c r="J1591" i="11"/>
  <c r="I1591" i="11"/>
  <c r="H1591" i="11"/>
  <c r="J1590" i="11"/>
  <c r="I1590" i="11"/>
  <c r="H1590" i="11"/>
  <c r="J1589" i="11"/>
  <c r="I1589" i="11"/>
  <c r="H1589" i="11"/>
  <c r="J1588" i="11"/>
  <c r="I1588" i="11"/>
  <c r="H1588" i="11"/>
  <c r="J1587" i="11"/>
  <c r="I1587" i="11"/>
  <c r="H1587" i="11"/>
  <c r="J1586" i="11"/>
  <c r="I1586" i="11"/>
  <c r="H1586" i="11"/>
  <c r="J1585" i="11"/>
  <c r="I1585" i="11"/>
  <c r="H1585" i="11"/>
  <c r="J1584" i="11"/>
  <c r="I1584" i="11"/>
  <c r="H1584" i="11"/>
  <c r="J1583" i="11"/>
  <c r="I1583" i="11"/>
  <c r="H1583" i="11"/>
  <c r="J1582" i="11"/>
  <c r="I1582" i="11"/>
  <c r="H1582" i="11"/>
  <c r="J1581" i="11"/>
  <c r="I1581" i="11"/>
  <c r="H1581" i="11"/>
  <c r="J1580" i="11"/>
  <c r="I1580" i="11"/>
  <c r="H1580" i="11"/>
  <c r="J1579" i="11"/>
  <c r="I1579" i="11"/>
  <c r="H1579" i="11"/>
  <c r="J1578" i="11"/>
  <c r="I1578" i="11"/>
  <c r="H1578" i="11"/>
  <c r="J1577" i="11"/>
  <c r="I1577" i="11"/>
  <c r="H1577" i="11"/>
  <c r="J1576" i="11"/>
  <c r="I1576" i="11"/>
  <c r="H1576" i="11"/>
  <c r="J1575" i="11"/>
  <c r="I1575" i="11"/>
  <c r="H1575" i="11"/>
  <c r="J1574" i="11"/>
  <c r="I1574" i="11"/>
  <c r="H1574" i="11"/>
  <c r="J1573" i="11"/>
  <c r="I1573" i="11"/>
  <c r="H1573" i="11"/>
  <c r="J1572" i="11"/>
  <c r="I1572" i="11"/>
  <c r="H1572" i="11"/>
  <c r="J1571" i="11"/>
  <c r="I1571" i="11"/>
  <c r="H1571" i="11"/>
  <c r="J1570" i="11"/>
  <c r="I1570" i="11"/>
  <c r="H1570" i="11"/>
  <c r="J1569" i="11"/>
  <c r="I1569" i="11"/>
  <c r="H1569" i="11"/>
  <c r="J1568" i="11"/>
  <c r="I1568" i="11"/>
  <c r="H1568" i="11"/>
  <c r="J1567" i="11"/>
  <c r="I1567" i="11"/>
  <c r="H1567" i="11"/>
  <c r="J1566" i="11"/>
  <c r="I1566" i="11"/>
  <c r="H1566" i="11"/>
  <c r="J1565" i="11"/>
  <c r="I1565" i="11"/>
  <c r="H1565" i="11"/>
  <c r="J1564" i="11"/>
  <c r="I1564" i="11"/>
  <c r="H1564" i="11"/>
  <c r="J1563" i="11"/>
  <c r="I1563" i="11"/>
  <c r="H1563" i="11"/>
  <c r="J1562" i="11"/>
  <c r="I1562" i="11"/>
  <c r="H1562" i="11"/>
  <c r="J1561" i="11"/>
  <c r="I1561" i="11"/>
  <c r="H1561" i="11"/>
  <c r="J1560" i="11"/>
  <c r="I1560" i="11"/>
  <c r="H1560" i="11"/>
  <c r="J1559" i="11"/>
  <c r="I1559" i="11"/>
  <c r="H1559" i="11"/>
  <c r="J1558" i="11"/>
  <c r="I1558" i="11"/>
  <c r="H1558" i="11"/>
  <c r="J1557" i="11"/>
  <c r="I1557" i="11"/>
  <c r="H1557" i="11"/>
  <c r="J1556" i="11"/>
  <c r="I1556" i="11"/>
  <c r="H1556" i="11"/>
  <c r="J1555" i="11"/>
  <c r="I1555" i="11"/>
  <c r="H1555" i="11"/>
  <c r="J1554" i="11"/>
  <c r="I1554" i="11"/>
  <c r="H1554" i="11"/>
  <c r="J1553" i="11"/>
  <c r="I1553" i="11"/>
  <c r="H1553" i="11"/>
  <c r="J1552" i="11"/>
  <c r="I1552" i="11"/>
  <c r="H1552" i="11"/>
  <c r="J1551" i="11"/>
  <c r="I1551" i="11"/>
  <c r="H1551" i="11"/>
  <c r="J1550" i="11"/>
  <c r="I1550" i="11"/>
  <c r="H1550" i="11"/>
  <c r="J1549" i="11"/>
  <c r="I1549" i="11"/>
  <c r="H1549" i="11"/>
  <c r="J1548" i="11"/>
  <c r="I1548" i="11"/>
  <c r="H1548" i="11"/>
  <c r="J1547" i="11"/>
  <c r="I1547" i="11"/>
  <c r="H1547" i="11"/>
  <c r="J1546" i="11"/>
  <c r="I1546" i="11"/>
  <c r="H1546" i="11"/>
  <c r="J1545" i="11"/>
  <c r="I1545" i="11"/>
  <c r="H1545" i="11"/>
  <c r="J1544" i="11"/>
  <c r="I1544" i="11"/>
  <c r="H1544" i="11"/>
  <c r="J1543" i="11"/>
  <c r="I1543" i="11"/>
  <c r="H1543" i="11"/>
  <c r="J1542" i="11"/>
  <c r="I1542" i="11"/>
  <c r="H1542" i="11"/>
  <c r="J1541" i="11"/>
  <c r="I1541" i="11"/>
  <c r="H1541" i="11"/>
  <c r="J1540" i="11"/>
  <c r="I1540" i="11"/>
  <c r="H1540" i="11"/>
  <c r="J1539" i="11"/>
  <c r="I1539" i="11"/>
  <c r="H1539" i="11"/>
  <c r="J1538" i="11"/>
  <c r="I1538" i="11"/>
  <c r="H1538" i="11"/>
  <c r="J1537" i="11"/>
  <c r="I1537" i="11"/>
  <c r="H1537" i="11"/>
  <c r="J1536" i="11"/>
  <c r="I1536" i="11"/>
  <c r="H1536" i="11"/>
  <c r="J1535" i="11"/>
  <c r="I1535" i="11"/>
  <c r="H1535" i="11"/>
  <c r="J1534" i="11"/>
  <c r="I1534" i="11"/>
  <c r="H1534" i="11"/>
  <c r="J1533" i="11"/>
  <c r="I1533" i="11"/>
  <c r="H1533" i="11"/>
  <c r="J1532" i="11"/>
  <c r="I1532" i="11"/>
  <c r="H1532" i="11"/>
  <c r="J1531" i="11"/>
  <c r="I1531" i="11"/>
  <c r="H1531" i="11"/>
  <c r="J1530" i="11"/>
  <c r="I1530" i="11"/>
  <c r="H1530" i="11"/>
  <c r="J1529" i="11"/>
  <c r="I1529" i="11"/>
  <c r="H1529" i="11"/>
  <c r="J1528" i="11"/>
  <c r="I1528" i="11"/>
  <c r="H1528" i="11"/>
  <c r="J1527" i="11"/>
  <c r="I1527" i="11"/>
  <c r="H1527" i="11"/>
  <c r="J1526" i="11"/>
  <c r="I1526" i="11"/>
  <c r="H1526" i="11"/>
  <c r="J1525" i="11"/>
  <c r="I1525" i="11"/>
  <c r="H1525" i="11"/>
  <c r="J1524" i="11"/>
  <c r="I1524" i="11"/>
  <c r="H1524" i="11"/>
  <c r="J1523" i="11"/>
  <c r="I1523" i="11"/>
  <c r="H1523" i="11"/>
  <c r="J1522" i="11"/>
  <c r="I1522" i="11"/>
  <c r="H1522" i="11"/>
  <c r="J1521" i="11"/>
  <c r="I1521" i="11"/>
  <c r="H1521" i="11"/>
  <c r="J1520" i="11"/>
  <c r="I1520" i="11"/>
  <c r="H1520" i="11"/>
  <c r="J1519" i="11"/>
  <c r="I1519" i="11"/>
  <c r="H1519" i="11"/>
  <c r="J1518" i="11"/>
  <c r="I1518" i="11"/>
  <c r="H1518" i="11"/>
  <c r="J1517" i="11"/>
  <c r="I1517" i="11"/>
  <c r="H1517" i="11"/>
  <c r="J1516" i="11"/>
  <c r="I1516" i="11"/>
  <c r="H1516" i="11"/>
  <c r="J1515" i="11"/>
  <c r="I1515" i="11"/>
  <c r="H1515" i="11"/>
  <c r="J1514" i="11"/>
  <c r="I1514" i="11"/>
  <c r="H1514" i="11"/>
  <c r="J1513" i="11"/>
  <c r="I1513" i="11"/>
  <c r="H1513" i="11"/>
  <c r="J1512" i="11"/>
  <c r="I1512" i="11"/>
  <c r="H1512" i="11"/>
  <c r="J1511" i="11"/>
  <c r="I1511" i="11"/>
  <c r="H1511" i="11"/>
  <c r="J1510" i="11"/>
  <c r="I1510" i="11"/>
  <c r="H1510" i="11"/>
  <c r="J1509" i="11"/>
  <c r="I1509" i="11"/>
  <c r="H1509" i="11"/>
  <c r="J1508" i="11"/>
  <c r="I1508" i="11"/>
  <c r="H1508" i="11"/>
  <c r="J1507" i="11"/>
  <c r="I1507" i="11"/>
  <c r="H1507" i="11"/>
  <c r="J1506" i="11"/>
  <c r="I1506" i="11"/>
  <c r="H1506" i="11"/>
  <c r="J1505" i="11"/>
  <c r="I1505" i="11"/>
  <c r="H1505" i="11"/>
  <c r="J1504" i="11"/>
  <c r="I1504" i="11"/>
  <c r="H1504" i="11"/>
  <c r="J1503" i="11"/>
  <c r="I1503" i="11"/>
  <c r="H1503" i="11"/>
  <c r="J1502" i="11"/>
  <c r="I1502" i="11"/>
  <c r="H1502" i="11"/>
  <c r="J1501" i="11"/>
  <c r="I1501" i="11"/>
  <c r="H1501" i="11"/>
  <c r="J1500" i="11"/>
  <c r="I1500" i="11"/>
  <c r="H1500" i="11"/>
  <c r="J1499" i="11"/>
  <c r="I1499" i="11"/>
  <c r="H1499" i="11"/>
  <c r="J1498" i="11"/>
  <c r="I1498" i="11"/>
  <c r="H1498" i="11"/>
  <c r="J1497" i="11"/>
  <c r="I1497" i="11"/>
  <c r="H1497" i="11"/>
  <c r="J1496" i="11"/>
  <c r="I1496" i="11"/>
  <c r="H1496" i="11"/>
  <c r="J1495" i="11"/>
  <c r="I1495" i="11"/>
  <c r="H1495" i="11"/>
  <c r="J1494" i="11"/>
  <c r="I1494" i="11"/>
  <c r="H1494" i="11"/>
  <c r="J1493" i="11"/>
  <c r="I1493" i="11"/>
  <c r="H1493" i="11"/>
  <c r="J1492" i="11"/>
  <c r="I1492" i="11"/>
  <c r="H1492" i="11"/>
  <c r="J1491" i="11"/>
  <c r="I1491" i="11"/>
  <c r="H1491" i="11"/>
  <c r="J1490" i="11"/>
  <c r="I1490" i="11"/>
  <c r="H1490" i="11"/>
  <c r="J1489" i="11"/>
  <c r="I1489" i="11"/>
  <c r="H1489" i="11"/>
  <c r="J1488" i="11"/>
  <c r="I1488" i="11"/>
  <c r="H1488" i="11"/>
  <c r="J1487" i="11"/>
  <c r="I1487" i="11"/>
  <c r="H1487" i="11"/>
  <c r="J1486" i="11"/>
  <c r="I1486" i="11"/>
  <c r="H1486" i="11"/>
  <c r="J1485" i="11"/>
  <c r="I1485" i="11"/>
  <c r="H1485" i="11"/>
  <c r="J1484" i="11"/>
  <c r="I1484" i="11"/>
  <c r="H1484" i="11"/>
  <c r="J1483" i="11"/>
  <c r="I1483" i="11"/>
  <c r="H1483" i="11"/>
  <c r="J1482" i="11"/>
  <c r="I1482" i="11"/>
  <c r="H1482" i="11"/>
  <c r="J1481" i="11"/>
  <c r="I1481" i="11"/>
  <c r="H1481" i="11"/>
  <c r="J1480" i="11"/>
  <c r="I1480" i="11"/>
  <c r="H1480" i="11"/>
  <c r="J1479" i="11"/>
  <c r="I1479" i="11"/>
  <c r="H1479" i="11"/>
  <c r="J1478" i="11"/>
  <c r="I1478" i="11"/>
  <c r="H1478" i="11"/>
  <c r="J1477" i="11"/>
  <c r="I1477" i="11"/>
  <c r="H1477" i="11"/>
  <c r="J1476" i="11"/>
  <c r="I1476" i="11"/>
  <c r="H1476" i="11"/>
  <c r="J1475" i="11"/>
  <c r="I1475" i="11"/>
  <c r="H1475" i="11"/>
  <c r="J1474" i="11"/>
  <c r="I1474" i="11"/>
  <c r="H1474" i="11"/>
  <c r="J1473" i="11"/>
  <c r="I1473" i="11"/>
  <c r="H1473" i="11"/>
  <c r="J1472" i="11"/>
  <c r="I1472" i="11"/>
  <c r="H1472" i="11"/>
  <c r="J1471" i="11"/>
  <c r="I1471" i="11"/>
  <c r="H1471" i="11"/>
  <c r="J1470" i="11"/>
  <c r="I1470" i="11"/>
  <c r="H1470" i="11"/>
  <c r="J1469" i="11"/>
  <c r="I1469" i="11"/>
  <c r="H1469" i="11"/>
  <c r="J1468" i="11"/>
  <c r="I1468" i="11"/>
  <c r="H1468" i="11"/>
  <c r="J1467" i="11"/>
  <c r="I1467" i="11"/>
  <c r="H1467" i="11"/>
  <c r="J1466" i="11"/>
  <c r="I1466" i="11"/>
  <c r="H1466" i="11"/>
  <c r="J1465" i="11"/>
  <c r="I1465" i="11"/>
  <c r="H1465" i="11"/>
  <c r="J1464" i="11"/>
  <c r="I1464" i="11"/>
  <c r="H1464" i="11"/>
  <c r="J1463" i="11"/>
  <c r="I1463" i="11"/>
  <c r="H1463" i="11"/>
  <c r="J1462" i="11"/>
  <c r="I1462" i="11"/>
  <c r="H1462" i="11"/>
  <c r="J1461" i="11"/>
  <c r="I1461" i="11"/>
  <c r="H1461" i="11"/>
  <c r="J1460" i="11"/>
  <c r="I1460" i="11"/>
  <c r="H1460" i="11"/>
  <c r="J1459" i="11"/>
  <c r="I1459" i="11"/>
  <c r="H1459" i="11"/>
  <c r="J1458" i="11"/>
  <c r="I1458" i="11"/>
  <c r="H1458" i="11"/>
  <c r="J1457" i="11"/>
  <c r="I1457" i="11"/>
  <c r="H1457" i="11"/>
  <c r="J1456" i="11"/>
  <c r="I1456" i="11"/>
  <c r="H1456" i="11"/>
  <c r="J1455" i="11"/>
  <c r="I1455" i="11"/>
  <c r="H1455" i="11"/>
  <c r="J1454" i="11"/>
  <c r="I1454" i="11"/>
  <c r="H1454" i="11"/>
  <c r="J1453" i="11"/>
  <c r="I1453" i="11"/>
  <c r="H1453" i="11"/>
  <c r="J1452" i="11"/>
  <c r="I1452" i="11"/>
  <c r="H1452" i="11"/>
  <c r="J1451" i="11"/>
  <c r="I1451" i="11"/>
  <c r="H1451" i="11"/>
  <c r="J1450" i="11"/>
  <c r="I1450" i="11"/>
  <c r="H1450" i="11"/>
  <c r="J1449" i="11"/>
  <c r="I1449" i="11"/>
  <c r="H1449" i="11"/>
  <c r="J1448" i="11"/>
  <c r="I1448" i="11"/>
  <c r="H1448" i="11"/>
  <c r="J1447" i="11"/>
  <c r="I1447" i="11"/>
  <c r="H1447" i="11"/>
  <c r="J1446" i="11"/>
  <c r="I1446" i="11"/>
  <c r="H1446" i="11"/>
  <c r="J1445" i="11"/>
  <c r="I1445" i="11"/>
  <c r="H1445" i="11"/>
  <c r="J1444" i="11"/>
  <c r="I1444" i="11"/>
  <c r="H1444" i="11"/>
  <c r="J1443" i="11"/>
  <c r="I1443" i="11"/>
  <c r="H1443" i="11"/>
  <c r="J1442" i="11"/>
  <c r="I1442" i="11"/>
  <c r="H1442" i="11"/>
  <c r="J1441" i="11"/>
  <c r="I1441" i="11"/>
  <c r="H1441" i="11"/>
  <c r="J1440" i="11"/>
  <c r="I1440" i="11"/>
  <c r="H1440" i="11"/>
  <c r="J1439" i="11"/>
  <c r="I1439" i="11"/>
  <c r="H1439" i="11"/>
  <c r="J1438" i="11"/>
  <c r="I1438" i="11"/>
  <c r="H1438" i="11"/>
  <c r="J1437" i="11"/>
  <c r="I1437" i="11"/>
  <c r="H1437" i="11"/>
  <c r="J1436" i="11"/>
  <c r="I1436" i="11"/>
  <c r="H1436" i="11"/>
  <c r="J1435" i="11"/>
  <c r="I1435" i="11"/>
  <c r="H1435" i="11"/>
  <c r="J1434" i="11"/>
  <c r="I1434" i="11"/>
  <c r="H1434" i="11"/>
  <c r="J1433" i="11"/>
  <c r="I1433" i="11"/>
  <c r="H1433" i="11"/>
  <c r="J1432" i="11"/>
  <c r="I1432" i="11"/>
  <c r="H1432" i="11"/>
  <c r="J1431" i="11"/>
  <c r="I1431" i="11"/>
  <c r="H1431" i="11"/>
  <c r="J1430" i="11"/>
  <c r="I1430" i="11"/>
  <c r="H1430" i="11"/>
  <c r="J1429" i="11"/>
  <c r="I1429" i="11"/>
  <c r="H1429" i="11"/>
  <c r="J1428" i="11"/>
  <c r="I1428" i="11"/>
  <c r="H1428" i="11"/>
  <c r="J1427" i="11"/>
  <c r="I1427" i="11"/>
  <c r="H1427" i="11"/>
  <c r="J1426" i="11"/>
  <c r="I1426" i="11"/>
  <c r="H1426" i="11"/>
  <c r="J1425" i="11"/>
  <c r="I1425" i="11"/>
  <c r="H1425" i="11"/>
  <c r="J1424" i="11"/>
  <c r="I1424" i="11"/>
  <c r="H1424" i="11"/>
  <c r="J1423" i="11"/>
  <c r="I1423" i="11"/>
  <c r="H1423" i="11"/>
  <c r="J1422" i="11"/>
  <c r="I1422" i="11"/>
  <c r="H1422" i="11"/>
  <c r="J1421" i="11"/>
  <c r="I1421" i="11"/>
  <c r="H1421" i="11"/>
  <c r="J1420" i="11"/>
  <c r="I1420" i="11"/>
  <c r="H1420" i="11"/>
  <c r="J1419" i="11"/>
  <c r="I1419" i="11"/>
  <c r="H1419" i="11"/>
  <c r="J1418" i="11"/>
  <c r="I1418" i="11"/>
  <c r="H1418" i="11"/>
  <c r="J1417" i="11"/>
  <c r="I1417" i="11"/>
  <c r="H1417" i="11"/>
  <c r="J1416" i="11"/>
  <c r="I1416" i="11"/>
  <c r="H1416" i="11"/>
  <c r="J1415" i="11"/>
  <c r="I1415" i="11"/>
  <c r="H1415" i="11"/>
  <c r="J1414" i="11"/>
  <c r="I1414" i="11"/>
  <c r="H1414" i="11"/>
  <c r="J1413" i="11"/>
  <c r="I1413" i="11"/>
  <c r="H1413" i="11"/>
  <c r="J1412" i="11"/>
  <c r="I1412" i="11"/>
  <c r="H1412" i="11"/>
  <c r="J1411" i="11"/>
  <c r="I1411" i="11"/>
  <c r="H1411" i="11"/>
  <c r="J1410" i="11"/>
  <c r="I1410" i="11"/>
  <c r="H1410" i="11"/>
  <c r="J1409" i="11"/>
  <c r="I1409" i="11"/>
  <c r="H1409" i="11"/>
  <c r="J1408" i="11"/>
  <c r="I1408" i="11"/>
  <c r="H1408" i="11"/>
  <c r="J1407" i="11"/>
  <c r="I1407" i="11"/>
  <c r="H1407" i="11"/>
  <c r="J1406" i="11"/>
  <c r="I1406" i="11"/>
  <c r="H1406" i="11"/>
  <c r="J1405" i="11"/>
  <c r="I1405" i="11"/>
  <c r="H1405" i="11"/>
  <c r="J1404" i="11"/>
  <c r="I1404" i="11"/>
  <c r="H1404" i="11"/>
  <c r="J1403" i="11"/>
  <c r="I1403" i="11"/>
  <c r="H1403" i="11"/>
  <c r="J1402" i="11"/>
  <c r="I1402" i="11"/>
  <c r="H1402" i="11"/>
  <c r="J1401" i="11"/>
  <c r="I1401" i="11"/>
  <c r="H1401" i="11"/>
  <c r="J1400" i="11"/>
  <c r="I1400" i="11"/>
  <c r="H1400" i="11"/>
  <c r="J1399" i="11"/>
  <c r="I1399" i="11"/>
  <c r="H1399" i="11"/>
  <c r="J1398" i="11"/>
  <c r="I1398" i="11"/>
  <c r="H1398" i="11"/>
  <c r="J1397" i="11"/>
  <c r="I1397" i="11"/>
  <c r="H1397" i="11"/>
  <c r="J1396" i="11"/>
  <c r="I1396" i="11"/>
  <c r="H1396" i="11"/>
  <c r="J1395" i="11"/>
  <c r="I1395" i="11"/>
  <c r="H1395" i="11"/>
  <c r="J1394" i="11"/>
  <c r="I1394" i="11"/>
  <c r="H1394" i="11"/>
  <c r="J1393" i="11"/>
  <c r="I1393" i="11"/>
  <c r="H1393" i="11"/>
  <c r="J1392" i="11"/>
  <c r="I1392" i="11"/>
  <c r="H1392" i="11"/>
  <c r="J1391" i="11"/>
  <c r="I1391" i="11"/>
  <c r="H1391" i="11"/>
  <c r="J1390" i="11"/>
  <c r="I1390" i="11"/>
  <c r="H1390" i="11"/>
  <c r="J1389" i="11"/>
  <c r="I1389" i="11"/>
  <c r="H1389" i="11"/>
  <c r="J1388" i="11"/>
  <c r="I1388" i="11"/>
  <c r="H1388" i="11"/>
  <c r="J1387" i="11"/>
  <c r="I1387" i="11"/>
  <c r="H1387" i="11"/>
  <c r="J1386" i="11"/>
  <c r="I1386" i="11"/>
  <c r="H1386" i="11"/>
  <c r="J1385" i="11"/>
  <c r="I1385" i="11"/>
  <c r="H1385" i="11"/>
  <c r="J1384" i="11"/>
  <c r="I1384" i="11"/>
  <c r="H1384" i="11"/>
  <c r="J1383" i="11"/>
  <c r="I1383" i="11"/>
  <c r="H1383" i="11"/>
  <c r="J1382" i="11"/>
  <c r="I1382" i="11"/>
  <c r="H1382" i="11"/>
  <c r="J1381" i="11"/>
  <c r="I1381" i="11"/>
  <c r="H1381" i="11"/>
  <c r="J1380" i="11"/>
  <c r="I1380" i="11"/>
  <c r="H1380" i="11"/>
  <c r="J1379" i="11"/>
  <c r="I1379" i="11"/>
  <c r="H1379" i="11"/>
  <c r="J1378" i="11"/>
  <c r="I1378" i="11"/>
  <c r="H1378" i="11"/>
  <c r="J1377" i="11"/>
  <c r="I1377" i="11"/>
  <c r="H1377" i="11"/>
  <c r="J1376" i="11"/>
  <c r="I1376" i="11"/>
  <c r="H1376" i="11"/>
  <c r="J1375" i="11"/>
  <c r="I1375" i="11"/>
  <c r="H1375" i="11"/>
  <c r="J1374" i="11"/>
  <c r="I1374" i="11"/>
  <c r="H1374" i="11"/>
  <c r="J1373" i="11"/>
  <c r="I1373" i="11"/>
  <c r="H1373" i="11"/>
  <c r="J1372" i="11"/>
  <c r="I1372" i="11"/>
  <c r="H1372" i="11"/>
  <c r="J1371" i="11"/>
  <c r="I1371" i="11"/>
  <c r="H1371" i="11"/>
  <c r="J1370" i="11"/>
  <c r="I1370" i="11"/>
  <c r="H1370" i="11"/>
  <c r="J1369" i="11"/>
  <c r="I1369" i="11"/>
  <c r="H1369" i="11"/>
  <c r="J1368" i="11"/>
  <c r="I1368" i="11"/>
  <c r="H1368" i="11"/>
  <c r="J1367" i="11"/>
  <c r="I1367" i="11"/>
  <c r="H1367" i="11"/>
  <c r="J1366" i="11"/>
  <c r="I1366" i="11"/>
  <c r="H1366" i="11"/>
  <c r="J1365" i="11"/>
  <c r="I1365" i="11"/>
  <c r="H1365" i="11"/>
  <c r="J1364" i="11"/>
  <c r="I1364" i="11"/>
  <c r="H1364" i="11"/>
  <c r="J1363" i="11"/>
  <c r="I1363" i="11"/>
  <c r="H1363" i="11"/>
  <c r="J1362" i="11"/>
  <c r="I1362" i="11"/>
  <c r="H1362" i="11"/>
  <c r="J1361" i="11"/>
  <c r="I1361" i="11"/>
  <c r="H1361" i="11"/>
  <c r="J1360" i="11"/>
  <c r="I1360" i="11"/>
  <c r="H1360" i="11"/>
  <c r="J1359" i="11"/>
  <c r="I1359" i="11"/>
  <c r="H1359" i="11"/>
  <c r="J1358" i="11"/>
  <c r="I1358" i="11"/>
  <c r="H1358" i="11"/>
  <c r="J1357" i="11"/>
  <c r="I1357" i="11"/>
  <c r="H1357" i="11"/>
  <c r="J1356" i="11"/>
  <c r="I1356" i="11"/>
  <c r="H1356" i="11"/>
  <c r="J1355" i="11"/>
  <c r="I1355" i="11"/>
  <c r="H1355" i="11"/>
  <c r="J1354" i="11"/>
  <c r="I1354" i="11"/>
  <c r="H1354" i="11"/>
  <c r="J1353" i="11"/>
  <c r="I1353" i="11"/>
  <c r="H1353" i="11"/>
  <c r="J1352" i="11"/>
  <c r="I1352" i="11"/>
  <c r="H1352" i="11"/>
  <c r="J1351" i="11"/>
  <c r="I1351" i="11"/>
  <c r="H1351" i="11"/>
  <c r="J1350" i="11"/>
  <c r="I1350" i="11"/>
  <c r="H1350" i="11"/>
  <c r="J1349" i="11"/>
  <c r="I1349" i="11"/>
  <c r="H1349" i="11"/>
  <c r="J1348" i="11"/>
  <c r="I1348" i="11"/>
  <c r="H1348" i="11"/>
  <c r="J1347" i="11"/>
  <c r="I1347" i="11"/>
  <c r="H1347" i="11"/>
  <c r="J1346" i="11"/>
  <c r="I1346" i="11"/>
  <c r="H1346" i="11"/>
  <c r="J1345" i="11"/>
  <c r="I1345" i="11"/>
  <c r="H1345" i="11"/>
  <c r="J1344" i="11"/>
  <c r="I1344" i="11"/>
  <c r="H1344" i="11"/>
  <c r="J1343" i="11"/>
  <c r="I1343" i="11"/>
  <c r="H1343" i="11"/>
  <c r="J1342" i="11"/>
  <c r="I1342" i="11"/>
  <c r="H1342" i="11"/>
  <c r="J1341" i="11"/>
  <c r="I1341" i="11"/>
  <c r="H1341" i="11"/>
  <c r="J1340" i="11"/>
  <c r="I1340" i="11"/>
  <c r="H1340" i="11"/>
  <c r="J1339" i="11"/>
  <c r="I1339" i="11"/>
  <c r="H1339" i="11"/>
  <c r="J1338" i="11"/>
  <c r="I1338" i="11"/>
  <c r="H1338" i="11"/>
  <c r="J1337" i="11"/>
  <c r="I1337" i="11"/>
  <c r="H1337" i="11"/>
  <c r="J1336" i="11"/>
  <c r="I1336" i="11"/>
  <c r="H1336" i="11"/>
  <c r="J1335" i="11"/>
  <c r="I1335" i="11"/>
  <c r="H1335" i="11"/>
  <c r="J1334" i="11"/>
  <c r="I1334" i="11"/>
  <c r="H1334" i="11"/>
  <c r="J1333" i="11"/>
  <c r="I1333" i="11"/>
  <c r="H1333" i="11"/>
  <c r="J1332" i="11"/>
  <c r="I1332" i="11"/>
  <c r="H1332" i="11"/>
  <c r="J1331" i="11"/>
  <c r="I1331" i="11"/>
  <c r="H1331" i="11"/>
  <c r="J1330" i="11"/>
  <c r="I1330" i="11"/>
  <c r="H1330" i="11"/>
  <c r="J1329" i="11"/>
  <c r="I1329" i="11"/>
  <c r="H1329" i="11"/>
  <c r="J1328" i="11"/>
  <c r="I1328" i="11"/>
  <c r="H1328" i="11"/>
  <c r="J1327" i="11"/>
  <c r="I1327" i="11"/>
  <c r="H1327" i="11"/>
  <c r="J1326" i="11"/>
  <c r="I1326" i="11"/>
  <c r="H1326" i="11"/>
  <c r="J1325" i="11"/>
  <c r="I1325" i="11"/>
  <c r="H1325" i="11"/>
  <c r="J1324" i="11"/>
  <c r="I1324" i="11"/>
  <c r="H1324" i="11"/>
  <c r="J1323" i="11"/>
  <c r="I1323" i="11"/>
  <c r="H1323" i="11"/>
  <c r="J1322" i="11"/>
  <c r="I1322" i="11"/>
  <c r="H1322" i="11"/>
  <c r="J1321" i="11"/>
  <c r="I1321" i="11"/>
  <c r="H1321" i="11"/>
  <c r="J1320" i="11"/>
  <c r="I1320" i="11"/>
  <c r="H1320" i="11"/>
  <c r="J1319" i="11"/>
  <c r="I1319" i="11"/>
  <c r="H1319" i="11"/>
  <c r="J1318" i="11"/>
  <c r="I1318" i="11"/>
  <c r="H1318" i="11"/>
  <c r="J1317" i="11"/>
  <c r="I1317" i="11"/>
  <c r="H1317" i="11"/>
  <c r="J1316" i="11"/>
  <c r="I1316" i="11"/>
  <c r="H1316" i="11"/>
  <c r="J1315" i="11"/>
  <c r="I1315" i="11"/>
  <c r="H1315" i="11"/>
  <c r="J1314" i="11"/>
  <c r="I1314" i="11"/>
  <c r="H1314" i="11"/>
  <c r="J1313" i="11"/>
  <c r="I1313" i="11"/>
  <c r="H1313" i="11"/>
  <c r="J1312" i="11"/>
  <c r="I1312" i="11"/>
  <c r="H1312" i="11"/>
  <c r="J1311" i="11"/>
  <c r="I1311" i="11"/>
  <c r="H1311" i="11"/>
  <c r="J1310" i="11"/>
  <c r="I1310" i="11"/>
  <c r="H1310" i="11"/>
  <c r="J1309" i="11"/>
  <c r="I1309" i="11"/>
  <c r="H1309" i="11"/>
  <c r="J1308" i="11"/>
  <c r="I1308" i="11"/>
  <c r="H1308" i="11"/>
  <c r="J1307" i="11"/>
  <c r="I1307" i="11"/>
  <c r="H1307" i="11"/>
  <c r="J1306" i="11"/>
  <c r="I1306" i="11"/>
  <c r="H1306" i="11"/>
  <c r="J1305" i="11"/>
  <c r="I1305" i="11"/>
  <c r="H1305" i="11"/>
  <c r="J1304" i="11"/>
  <c r="I1304" i="11"/>
  <c r="H1304" i="11"/>
  <c r="J1303" i="11"/>
  <c r="I1303" i="11"/>
  <c r="H1303" i="11"/>
  <c r="J1302" i="11"/>
  <c r="I1302" i="11"/>
  <c r="H1302" i="11"/>
  <c r="J1301" i="11"/>
  <c r="I1301" i="11"/>
  <c r="H1301" i="11"/>
  <c r="J1300" i="11"/>
  <c r="I1300" i="11"/>
  <c r="H1300" i="11"/>
  <c r="J1299" i="11"/>
  <c r="I1299" i="11"/>
  <c r="H1299" i="11"/>
  <c r="J1298" i="11"/>
  <c r="I1298" i="11"/>
  <c r="H1298" i="11"/>
  <c r="J1297" i="11"/>
  <c r="I1297" i="11"/>
  <c r="H1297" i="11"/>
  <c r="J1296" i="11"/>
  <c r="I1296" i="11"/>
  <c r="H1296" i="11"/>
  <c r="J1295" i="11"/>
  <c r="I1295" i="11"/>
  <c r="H1295" i="11"/>
  <c r="J1294" i="11"/>
  <c r="I1294" i="11"/>
  <c r="H1294" i="11"/>
  <c r="J1293" i="11"/>
  <c r="I1293" i="11"/>
  <c r="H1293" i="11"/>
  <c r="J1292" i="11"/>
  <c r="I1292" i="11"/>
  <c r="H1292" i="11"/>
  <c r="J1291" i="11"/>
  <c r="I1291" i="11"/>
  <c r="H1291" i="11"/>
  <c r="J1290" i="11"/>
  <c r="I1290" i="11"/>
  <c r="H1290" i="11"/>
  <c r="J1289" i="11"/>
  <c r="I1289" i="11"/>
  <c r="H1289" i="11"/>
  <c r="J1288" i="11"/>
  <c r="I1288" i="11"/>
  <c r="H1288" i="11"/>
  <c r="J1287" i="11"/>
  <c r="I1287" i="11"/>
  <c r="H1287" i="11"/>
  <c r="J1286" i="11"/>
  <c r="I1286" i="11"/>
  <c r="H1286" i="11"/>
  <c r="J1285" i="11"/>
  <c r="I1285" i="11"/>
  <c r="H1285" i="11"/>
  <c r="J1284" i="11"/>
  <c r="I1284" i="11"/>
  <c r="H1284" i="11"/>
  <c r="J1283" i="11"/>
  <c r="I1283" i="11"/>
  <c r="H1283" i="11"/>
  <c r="J1282" i="11"/>
  <c r="I1282" i="11"/>
  <c r="H1282" i="11"/>
  <c r="J1281" i="11"/>
  <c r="I1281" i="11"/>
  <c r="H1281" i="11"/>
  <c r="J1280" i="11"/>
  <c r="I1280" i="11"/>
  <c r="H1280" i="11"/>
  <c r="J1279" i="11"/>
  <c r="I1279" i="11"/>
  <c r="H1279" i="11"/>
  <c r="J1278" i="11"/>
  <c r="I1278" i="11"/>
  <c r="H1278" i="11"/>
  <c r="J1277" i="11"/>
  <c r="I1277" i="11"/>
  <c r="H1277" i="11"/>
  <c r="J1276" i="11"/>
  <c r="I1276" i="11"/>
  <c r="H1276" i="11"/>
  <c r="J1275" i="11"/>
  <c r="I1275" i="11"/>
  <c r="H1275" i="11"/>
  <c r="J1274" i="11"/>
  <c r="I1274" i="11"/>
  <c r="H1274" i="11"/>
  <c r="J1273" i="11"/>
  <c r="I1273" i="11"/>
  <c r="H1273" i="11"/>
  <c r="J1272" i="11"/>
  <c r="I1272" i="11"/>
  <c r="H1272" i="11"/>
  <c r="J1271" i="11"/>
  <c r="I1271" i="11"/>
  <c r="H1271" i="11"/>
  <c r="J1270" i="11"/>
  <c r="I1270" i="11"/>
  <c r="H1270" i="11"/>
  <c r="J1269" i="11"/>
  <c r="I1269" i="11"/>
  <c r="H1269" i="11"/>
  <c r="J1268" i="11"/>
  <c r="I1268" i="11"/>
  <c r="H1268" i="11"/>
  <c r="J1267" i="11"/>
  <c r="I1267" i="11"/>
  <c r="H1267" i="11"/>
  <c r="J1266" i="11"/>
  <c r="I1266" i="11"/>
  <c r="H1266" i="11"/>
  <c r="J1265" i="11"/>
  <c r="I1265" i="11"/>
  <c r="H1265" i="11"/>
  <c r="J1264" i="11"/>
  <c r="I1264" i="11"/>
  <c r="H1264" i="11"/>
  <c r="J1263" i="11"/>
  <c r="I1263" i="11"/>
  <c r="H1263" i="11"/>
  <c r="J1262" i="11"/>
  <c r="I1262" i="11"/>
  <c r="H1262" i="11"/>
  <c r="J1261" i="11"/>
  <c r="I1261" i="11"/>
  <c r="H1261" i="11"/>
  <c r="J1260" i="11"/>
  <c r="I1260" i="11"/>
  <c r="H1260" i="11"/>
  <c r="J1259" i="11"/>
  <c r="I1259" i="11"/>
  <c r="H1259" i="11"/>
  <c r="J1258" i="11"/>
  <c r="I1258" i="11"/>
  <c r="H1258" i="11"/>
  <c r="J1257" i="11"/>
  <c r="I1257" i="11"/>
  <c r="H1257" i="11"/>
  <c r="J1256" i="11"/>
  <c r="I1256" i="11"/>
  <c r="H1256" i="11"/>
  <c r="J1255" i="11"/>
  <c r="I1255" i="11"/>
  <c r="H1255" i="11"/>
  <c r="J1254" i="11"/>
  <c r="I1254" i="11"/>
  <c r="H1254" i="11"/>
  <c r="J1253" i="11"/>
  <c r="I1253" i="11"/>
  <c r="H1253" i="11"/>
  <c r="J1252" i="11"/>
  <c r="I1252" i="11"/>
  <c r="H1252" i="11"/>
  <c r="J1251" i="11"/>
  <c r="I1251" i="11"/>
  <c r="H1251" i="11"/>
  <c r="J1250" i="11"/>
  <c r="I1250" i="11"/>
  <c r="H1250" i="11"/>
  <c r="J1249" i="11"/>
  <c r="I1249" i="11"/>
  <c r="H1249" i="11"/>
  <c r="J1248" i="11"/>
  <c r="I1248" i="11"/>
  <c r="H1248" i="11"/>
  <c r="J1247" i="11"/>
  <c r="I1247" i="11"/>
  <c r="H1247" i="11"/>
  <c r="J1246" i="11"/>
  <c r="I1246" i="11"/>
  <c r="H1246" i="11"/>
  <c r="J1245" i="11"/>
  <c r="I1245" i="11"/>
  <c r="H1245" i="11"/>
  <c r="J1244" i="11"/>
  <c r="I1244" i="11"/>
  <c r="H1244" i="11"/>
  <c r="J1243" i="11"/>
  <c r="I1243" i="11"/>
  <c r="H1243" i="11"/>
  <c r="J1242" i="11"/>
  <c r="I1242" i="11"/>
  <c r="H1242" i="11"/>
  <c r="J1241" i="11"/>
  <c r="I1241" i="11"/>
  <c r="H1241" i="11"/>
  <c r="J1240" i="11"/>
  <c r="I1240" i="11"/>
  <c r="H1240" i="11"/>
  <c r="J1239" i="11"/>
  <c r="I1239" i="11"/>
  <c r="H1239" i="11"/>
  <c r="J1238" i="11"/>
  <c r="I1238" i="11"/>
  <c r="H1238" i="11"/>
  <c r="J1237" i="11"/>
  <c r="I1237" i="11"/>
  <c r="H1237" i="11"/>
  <c r="J1236" i="11"/>
  <c r="I1236" i="11"/>
  <c r="H1236" i="11"/>
  <c r="J1235" i="11"/>
  <c r="I1235" i="11"/>
  <c r="H1235" i="11"/>
  <c r="J1234" i="11"/>
  <c r="I1234" i="11"/>
  <c r="H1234" i="11"/>
  <c r="J1233" i="11"/>
  <c r="I1233" i="11"/>
  <c r="H1233" i="11"/>
  <c r="J1232" i="11"/>
  <c r="I1232" i="11"/>
  <c r="H1232" i="11"/>
  <c r="J1231" i="11"/>
  <c r="I1231" i="11"/>
  <c r="H1231" i="11"/>
  <c r="J1230" i="11"/>
  <c r="I1230" i="11"/>
  <c r="H1230" i="11"/>
  <c r="J1229" i="11"/>
  <c r="I1229" i="11"/>
  <c r="H1229" i="11"/>
  <c r="J1228" i="11"/>
  <c r="I1228" i="11"/>
  <c r="H1228" i="11"/>
  <c r="J1227" i="11"/>
  <c r="I1227" i="11"/>
  <c r="H1227" i="11"/>
  <c r="J1226" i="11"/>
  <c r="I1226" i="11"/>
  <c r="H1226" i="11"/>
  <c r="J1225" i="11"/>
  <c r="I1225" i="11"/>
  <c r="H1225" i="11"/>
  <c r="J1224" i="11"/>
  <c r="I1224" i="11"/>
  <c r="H1224" i="11"/>
  <c r="J1223" i="11"/>
  <c r="I1223" i="11"/>
  <c r="H1223" i="11"/>
  <c r="J1222" i="11"/>
  <c r="I1222" i="11"/>
  <c r="H1222" i="11"/>
  <c r="J1221" i="11"/>
  <c r="I1221" i="11"/>
  <c r="H1221" i="11"/>
  <c r="J1220" i="11"/>
  <c r="I1220" i="11"/>
  <c r="H1220" i="11"/>
  <c r="J1219" i="11"/>
  <c r="I1219" i="11"/>
  <c r="H1219" i="11"/>
  <c r="J1218" i="11"/>
  <c r="I1218" i="11"/>
  <c r="H1218" i="11"/>
  <c r="J1217" i="11"/>
  <c r="I1217" i="11"/>
  <c r="H1217" i="11"/>
  <c r="J1216" i="11"/>
  <c r="I1216" i="11"/>
  <c r="H1216" i="11"/>
  <c r="J1215" i="11"/>
  <c r="I1215" i="11"/>
  <c r="H1215" i="11"/>
  <c r="J1214" i="11"/>
  <c r="I1214" i="11"/>
  <c r="H1214" i="11"/>
  <c r="J1213" i="11"/>
  <c r="I1213" i="11"/>
  <c r="H1213" i="11"/>
  <c r="J1212" i="11"/>
  <c r="I1212" i="11"/>
  <c r="H1212" i="11"/>
  <c r="J1211" i="11"/>
  <c r="I1211" i="11"/>
  <c r="H1211" i="11"/>
  <c r="J1210" i="11"/>
  <c r="I1210" i="11"/>
  <c r="H1210" i="11"/>
  <c r="J1209" i="11"/>
  <c r="I1209" i="11"/>
  <c r="H1209" i="11"/>
  <c r="J1208" i="11"/>
  <c r="I1208" i="11"/>
  <c r="H1208" i="11"/>
  <c r="J1207" i="11"/>
  <c r="I1207" i="11"/>
  <c r="H1207" i="11"/>
  <c r="J1206" i="11"/>
  <c r="I1206" i="11"/>
  <c r="H1206" i="11"/>
  <c r="J1205" i="11"/>
  <c r="I1205" i="11"/>
  <c r="H1205" i="11"/>
  <c r="J1204" i="11"/>
  <c r="I1204" i="11"/>
  <c r="H1204" i="11"/>
  <c r="J1203" i="11"/>
  <c r="I1203" i="11"/>
  <c r="H1203" i="11"/>
  <c r="J1202" i="11"/>
  <c r="I1202" i="11"/>
  <c r="H1202" i="11"/>
  <c r="J1201" i="11"/>
  <c r="I1201" i="11"/>
  <c r="H1201" i="11"/>
  <c r="J1200" i="11"/>
  <c r="I1200" i="11"/>
  <c r="H1200" i="11"/>
  <c r="J1199" i="11"/>
  <c r="I1199" i="11"/>
  <c r="H1199" i="11"/>
  <c r="J1198" i="11"/>
  <c r="I1198" i="11"/>
  <c r="H1198" i="11"/>
  <c r="J1197" i="11"/>
  <c r="I1197" i="11"/>
  <c r="H1197" i="11"/>
  <c r="J1196" i="11"/>
  <c r="I1196" i="11"/>
  <c r="H1196" i="11"/>
  <c r="J1195" i="11"/>
  <c r="I1195" i="11"/>
  <c r="H1195" i="11"/>
  <c r="J1194" i="11"/>
  <c r="I1194" i="11"/>
  <c r="H1194" i="11"/>
  <c r="J1193" i="11"/>
  <c r="I1193" i="11"/>
  <c r="H1193" i="11"/>
  <c r="J1192" i="11"/>
  <c r="I1192" i="11"/>
  <c r="H1192" i="11"/>
  <c r="J1191" i="11"/>
  <c r="I1191" i="11"/>
  <c r="H1191" i="11"/>
  <c r="J1190" i="11"/>
  <c r="I1190" i="11"/>
  <c r="H1190" i="11"/>
  <c r="J1189" i="11"/>
  <c r="I1189" i="11"/>
  <c r="H1189" i="11"/>
  <c r="J1188" i="11"/>
  <c r="I1188" i="11"/>
  <c r="H1188" i="11"/>
  <c r="J1187" i="11"/>
  <c r="I1187" i="11"/>
  <c r="H1187" i="11"/>
  <c r="J1186" i="11"/>
  <c r="I1186" i="11"/>
  <c r="H1186" i="11"/>
  <c r="J1185" i="11"/>
  <c r="I1185" i="11"/>
  <c r="H1185" i="11"/>
  <c r="J1184" i="11"/>
  <c r="I1184" i="11"/>
  <c r="H1184" i="11"/>
  <c r="J1183" i="11"/>
  <c r="I1183" i="11"/>
  <c r="H1183" i="11"/>
  <c r="J1182" i="11"/>
  <c r="I1182" i="11"/>
  <c r="H1182" i="11"/>
  <c r="J1181" i="11"/>
  <c r="I1181" i="11"/>
  <c r="H1181" i="11"/>
  <c r="J1180" i="11"/>
  <c r="I1180" i="11"/>
  <c r="H1180" i="11"/>
  <c r="J1179" i="11"/>
  <c r="I1179" i="11"/>
  <c r="H1179" i="11"/>
  <c r="J1178" i="11"/>
  <c r="I1178" i="11"/>
  <c r="H1178" i="11"/>
  <c r="J1177" i="11"/>
  <c r="I1177" i="11"/>
  <c r="H1177" i="11"/>
  <c r="J1176" i="11"/>
  <c r="I1176" i="11"/>
  <c r="H1176" i="11"/>
  <c r="J1175" i="11"/>
  <c r="I1175" i="11"/>
  <c r="H1175" i="11"/>
  <c r="J1174" i="11"/>
  <c r="I1174" i="11"/>
  <c r="H1174" i="11"/>
  <c r="J1173" i="11"/>
  <c r="I1173" i="11"/>
  <c r="H1173" i="11"/>
  <c r="J1172" i="11"/>
  <c r="I1172" i="11"/>
  <c r="H1172" i="11"/>
  <c r="J1171" i="11"/>
  <c r="I1171" i="11"/>
  <c r="H1171" i="11"/>
  <c r="J1170" i="11"/>
  <c r="I1170" i="11"/>
  <c r="H1170" i="11"/>
  <c r="J1169" i="11"/>
  <c r="I1169" i="11"/>
  <c r="H1169" i="11"/>
  <c r="J1168" i="11"/>
  <c r="I1168" i="11"/>
  <c r="H1168" i="11"/>
  <c r="J1167" i="11"/>
  <c r="I1167" i="11"/>
  <c r="H1167" i="11"/>
  <c r="J1166" i="11"/>
  <c r="I1166" i="11"/>
  <c r="H1166" i="11"/>
  <c r="J1165" i="11"/>
  <c r="I1165" i="11"/>
  <c r="H1165" i="11"/>
  <c r="J1164" i="11"/>
  <c r="I1164" i="11"/>
  <c r="H1164" i="11"/>
  <c r="J1163" i="11"/>
  <c r="I1163" i="11"/>
  <c r="H1163" i="11"/>
  <c r="J1162" i="11"/>
  <c r="I1162" i="11"/>
  <c r="H1162" i="11"/>
  <c r="J1161" i="11"/>
  <c r="I1161" i="11"/>
  <c r="H1161" i="11"/>
  <c r="J1160" i="11"/>
  <c r="I1160" i="11"/>
  <c r="H1160" i="11"/>
  <c r="J1159" i="11"/>
  <c r="I1159" i="11"/>
  <c r="H1159" i="11"/>
  <c r="J1158" i="11"/>
  <c r="I1158" i="11"/>
  <c r="H1158" i="11"/>
  <c r="J1157" i="11"/>
  <c r="I1157" i="11"/>
  <c r="H1157" i="11"/>
  <c r="J1156" i="11"/>
  <c r="I1156" i="11"/>
  <c r="H1156" i="11"/>
  <c r="J1155" i="11"/>
  <c r="I1155" i="11"/>
  <c r="H1155" i="11"/>
  <c r="J1154" i="11"/>
  <c r="I1154" i="11"/>
  <c r="H1154" i="11"/>
  <c r="J1153" i="11"/>
  <c r="I1153" i="11"/>
  <c r="H1153" i="11"/>
  <c r="J1152" i="11"/>
  <c r="I1152" i="11"/>
  <c r="H1152" i="11"/>
  <c r="J1151" i="11"/>
  <c r="I1151" i="11"/>
  <c r="H1151" i="11"/>
  <c r="J1150" i="11"/>
  <c r="I1150" i="11"/>
  <c r="H1150" i="11"/>
  <c r="J1149" i="11"/>
  <c r="I1149" i="11"/>
  <c r="H1149" i="11"/>
  <c r="J1148" i="11"/>
  <c r="I1148" i="11"/>
  <c r="H1148" i="11"/>
  <c r="J1147" i="11"/>
  <c r="I1147" i="11"/>
  <c r="H1147" i="11"/>
  <c r="J1146" i="11"/>
  <c r="I1146" i="11"/>
  <c r="H1146" i="11"/>
  <c r="J1145" i="11"/>
  <c r="I1145" i="11"/>
  <c r="H1145" i="11"/>
  <c r="J1144" i="11"/>
  <c r="I1144" i="11"/>
  <c r="H1144" i="11"/>
  <c r="J1143" i="11"/>
  <c r="I1143" i="11"/>
  <c r="H1143" i="11"/>
  <c r="J1142" i="11"/>
  <c r="I1142" i="11"/>
  <c r="H1142" i="11"/>
  <c r="J1141" i="11"/>
  <c r="I1141" i="11"/>
  <c r="H1141" i="11"/>
  <c r="J1140" i="11"/>
  <c r="I1140" i="11"/>
  <c r="H1140" i="11"/>
  <c r="J1139" i="11"/>
  <c r="I1139" i="11"/>
  <c r="H1139" i="11"/>
  <c r="J1138" i="11"/>
  <c r="I1138" i="11"/>
  <c r="H1138" i="11"/>
  <c r="J1137" i="11"/>
  <c r="I1137" i="11"/>
  <c r="H1137" i="11"/>
  <c r="J1136" i="11"/>
  <c r="I1136" i="11"/>
  <c r="H1136" i="11"/>
  <c r="J1135" i="11"/>
  <c r="I1135" i="11"/>
  <c r="H1135" i="11"/>
  <c r="J1134" i="11"/>
  <c r="I1134" i="11"/>
  <c r="H1134" i="11"/>
  <c r="J1133" i="11"/>
  <c r="I1133" i="11"/>
  <c r="H1133" i="11"/>
  <c r="J1132" i="11"/>
  <c r="I1132" i="11"/>
  <c r="H1132" i="11"/>
  <c r="J1131" i="11"/>
  <c r="I1131" i="11"/>
  <c r="H1131" i="11"/>
  <c r="J1130" i="11"/>
  <c r="I1130" i="11"/>
  <c r="H1130" i="11"/>
  <c r="J1129" i="11"/>
  <c r="I1129" i="11"/>
  <c r="H1129" i="11"/>
  <c r="J1128" i="11"/>
  <c r="I1128" i="11"/>
  <c r="H1128" i="11"/>
  <c r="J1127" i="11"/>
  <c r="I1127" i="11"/>
  <c r="H1127" i="11"/>
  <c r="J1126" i="11"/>
  <c r="I1126" i="11"/>
  <c r="H1126" i="11"/>
  <c r="J1125" i="11"/>
  <c r="I1125" i="11"/>
  <c r="H1125" i="11"/>
  <c r="J1124" i="11"/>
  <c r="I1124" i="11"/>
  <c r="H1124" i="11"/>
  <c r="J1123" i="11"/>
  <c r="I1123" i="11"/>
  <c r="H1123" i="11"/>
  <c r="J1122" i="11"/>
  <c r="I1122" i="11"/>
  <c r="H1122" i="11"/>
  <c r="J1121" i="11"/>
  <c r="I1121" i="11"/>
  <c r="H1121" i="11"/>
  <c r="J1120" i="11"/>
  <c r="I1120" i="11"/>
  <c r="H1120" i="11"/>
  <c r="J1119" i="11"/>
  <c r="I1119" i="11"/>
  <c r="H1119" i="11"/>
  <c r="J1118" i="11"/>
  <c r="I1118" i="11"/>
  <c r="H1118" i="11"/>
  <c r="J1117" i="11"/>
  <c r="I1117" i="11"/>
  <c r="H1117" i="11"/>
  <c r="J1116" i="11"/>
  <c r="I1116" i="11"/>
  <c r="H1116" i="11"/>
  <c r="J1115" i="11"/>
  <c r="I1115" i="11"/>
  <c r="H1115" i="11"/>
  <c r="J1114" i="11"/>
  <c r="I1114" i="11"/>
  <c r="H1114" i="11"/>
  <c r="J1113" i="11"/>
  <c r="I1113" i="11"/>
  <c r="H1113" i="11"/>
  <c r="J1112" i="11"/>
  <c r="I1112" i="11"/>
  <c r="H1112" i="11"/>
  <c r="J1111" i="11"/>
  <c r="I1111" i="11"/>
  <c r="H1111" i="11"/>
  <c r="J1110" i="11"/>
  <c r="I1110" i="11"/>
  <c r="H1110" i="11"/>
  <c r="J1109" i="11"/>
  <c r="I1109" i="11"/>
  <c r="H1109" i="11"/>
  <c r="J1108" i="11"/>
  <c r="I1108" i="11"/>
  <c r="H1108" i="11"/>
  <c r="J1107" i="11"/>
  <c r="I1107" i="11"/>
  <c r="H1107" i="11"/>
  <c r="J1106" i="11"/>
  <c r="I1106" i="11"/>
  <c r="H1106" i="11"/>
  <c r="J1105" i="11"/>
  <c r="I1105" i="11"/>
  <c r="H1105" i="11"/>
  <c r="J1104" i="11"/>
  <c r="I1104" i="11"/>
  <c r="H1104" i="11"/>
  <c r="J1103" i="11"/>
  <c r="I1103" i="11"/>
  <c r="H1103" i="11"/>
  <c r="J1102" i="11"/>
  <c r="I1102" i="11"/>
  <c r="H1102" i="11"/>
  <c r="J1101" i="11"/>
  <c r="I1101" i="11"/>
  <c r="H1101" i="11"/>
  <c r="J1100" i="11"/>
  <c r="I1100" i="11"/>
  <c r="H1100" i="11"/>
  <c r="J1099" i="11"/>
  <c r="I1099" i="11"/>
  <c r="H1099" i="11"/>
  <c r="J1098" i="11"/>
  <c r="I1098" i="11"/>
  <c r="H1098" i="11"/>
  <c r="J1097" i="11"/>
  <c r="I1097" i="11"/>
  <c r="H1097" i="11"/>
  <c r="J1096" i="11"/>
  <c r="I1096" i="11"/>
  <c r="H1096" i="11"/>
  <c r="J1095" i="11"/>
  <c r="I1095" i="11"/>
  <c r="H1095" i="11"/>
  <c r="J1094" i="11"/>
  <c r="I1094" i="11"/>
  <c r="H1094" i="11"/>
  <c r="J1093" i="11"/>
  <c r="I1093" i="11"/>
  <c r="H1093" i="11"/>
  <c r="J1092" i="11"/>
  <c r="I1092" i="11"/>
  <c r="H1092" i="11"/>
  <c r="J1091" i="11"/>
  <c r="I1091" i="11"/>
  <c r="H1091" i="11"/>
  <c r="J1090" i="11"/>
  <c r="I1090" i="11"/>
  <c r="H1090" i="11"/>
  <c r="J1089" i="11"/>
  <c r="I1089" i="11"/>
  <c r="H1089" i="11"/>
  <c r="J1088" i="11"/>
  <c r="I1088" i="11"/>
  <c r="H1088" i="11"/>
  <c r="J1087" i="11"/>
  <c r="I1087" i="11"/>
  <c r="H1087" i="11"/>
  <c r="J1086" i="11"/>
  <c r="I1086" i="11"/>
  <c r="H1086" i="11"/>
  <c r="J1085" i="11"/>
  <c r="I1085" i="11"/>
  <c r="H1085" i="11"/>
  <c r="J1084" i="11"/>
  <c r="I1084" i="11"/>
  <c r="H1084" i="11"/>
  <c r="J1083" i="11"/>
  <c r="I1083" i="11"/>
  <c r="H1083" i="11"/>
  <c r="J1082" i="11"/>
  <c r="I1082" i="11"/>
  <c r="H1082" i="11"/>
  <c r="J1081" i="11"/>
  <c r="I1081" i="11"/>
  <c r="H1081" i="11"/>
  <c r="J1080" i="11"/>
  <c r="I1080" i="11"/>
  <c r="H1080" i="11"/>
  <c r="J1079" i="11"/>
  <c r="I1079" i="11"/>
  <c r="H1079" i="11"/>
  <c r="J1078" i="11"/>
  <c r="I1078" i="11"/>
  <c r="H1078" i="11"/>
  <c r="J1077" i="11"/>
  <c r="I1077" i="11"/>
  <c r="H1077" i="11"/>
  <c r="J1076" i="11"/>
  <c r="I1076" i="11"/>
  <c r="H1076" i="11"/>
  <c r="J1075" i="11"/>
  <c r="I1075" i="11"/>
  <c r="H1075" i="11"/>
  <c r="J1074" i="11"/>
  <c r="I1074" i="11"/>
  <c r="H1074" i="11"/>
  <c r="J1073" i="11"/>
  <c r="I1073" i="11"/>
  <c r="H1073" i="11"/>
  <c r="J1072" i="11"/>
  <c r="I1072" i="11"/>
  <c r="H1072" i="11"/>
  <c r="J1071" i="11"/>
  <c r="I1071" i="11"/>
  <c r="H1071" i="11"/>
  <c r="J1070" i="11"/>
  <c r="I1070" i="11"/>
  <c r="H1070" i="11"/>
  <c r="J1069" i="11"/>
  <c r="I1069" i="11"/>
  <c r="H1069" i="11"/>
  <c r="J1068" i="11"/>
  <c r="I1068" i="11"/>
  <c r="H1068" i="11"/>
  <c r="J1067" i="11"/>
  <c r="I1067" i="11"/>
  <c r="H1067" i="11"/>
  <c r="J1066" i="11"/>
  <c r="I1066" i="11"/>
  <c r="H1066" i="11"/>
  <c r="J1065" i="11"/>
  <c r="I1065" i="11"/>
  <c r="H1065" i="11"/>
  <c r="J1064" i="11"/>
  <c r="I1064" i="11"/>
  <c r="H1064" i="11"/>
  <c r="J1063" i="11"/>
  <c r="I1063" i="11"/>
  <c r="H1063" i="11"/>
  <c r="J1062" i="11"/>
  <c r="I1062" i="11"/>
  <c r="H1062" i="11"/>
  <c r="J1061" i="11"/>
  <c r="I1061" i="11"/>
  <c r="H1061" i="11"/>
  <c r="J1060" i="11"/>
  <c r="I1060" i="11"/>
  <c r="H1060" i="11"/>
  <c r="J1059" i="11"/>
  <c r="I1059" i="11"/>
  <c r="H1059" i="11"/>
  <c r="J1058" i="11"/>
  <c r="I1058" i="11"/>
  <c r="H1058" i="11"/>
  <c r="J1057" i="11"/>
  <c r="I1057" i="11"/>
  <c r="H1057" i="11"/>
  <c r="J1056" i="11"/>
  <c r="I1056" i="11"/>
  <c r="H1056" i="11"/>
  <c r="J1055" i="11"/>
  <c r="I1055" i="11"/>
  <c r="H1055" i="11"/>
  <c r="J1054" i="11"/>
  <c r="I1054" i="11"/>
  <c r="H1054" i="11"/>
  <c r="J1053" i="11"/>
  <c r="I1053" i="11"/>
  <c r="H1053" i="11"/>
  <c r="J1052" i="11"/>
  <c r="I1052" i="11"/>
  <c r="H1052" i="11"/>
  <c r="J1051" i="11"/>
  <c r="I1051" i="11"/>
  <c r="H1051" i="11"/>
  <c r="J1050" i="11"/>
  <c r="I1050" i="11"/>
  <c r="H1050" i="11"/>
  <c r="J1049" i="11"/>
  <c r="I1049" i="11"/>
  <c r="H1049" i="11"/>
  <c r="J1048" i="11"/>
  <c r="I1048" i="11"/>
  <c r="H1048" i="11"/>
  <c r="J1047" i="11"/>
  <c r="I1047" i="11"/>
  <c r="H1047" i="11"/>
  <c r="J1046" i="11"/>
  <c r="I1046" i="11"/>
  <c r="H1046" i="11"/>
  <c r="J1045" i="11"/>
  <c r="I1045" i="11"/>
  <c r="H1045" i="11"/>
  <c r="J1044" i="11"/>
  <c r="I1044" i="11"/>
  <c r="H1044" i="11"/>
  <c r="J1043" i="11"/>
  <c r="I1043" i="11"/>
  <c r="H1043" i="11"/>
  <c r="J1042" i="11"/>
  <c r="I1042" i="11"/>
  <c r="H1042" i="11"/>
  <c r="J1041" i="11"/>
  <c r="I1041" i="11"/>
  <c r="H1041" i="11"/>
  <c r="J1040" i="11"/>
  <c r="I1040" i="11"/>
  <c r="H1040" i="11"/>
  <c r="J1039" i="11"/>
  <c r="I1039" i="11"/>
  <c r="H1039" i="11"/>
  <c r="J1038" i="11"/>
  <c r="I1038" i="11"/>
  <c r="H1038" i="11"/>
  <c r="J1037" i="11"/>
  <c r="I1037" i="11"/>
  <c r="H1037" i="11"/>
  <c r="J1036" i="11"/>
  <c r="I1036" i="11"/>
  <c r="H1036" i="11"/>
  <c r="J1035" i="11"/>
  <c r="I1035" i="11"/>
  <c r="H1035" i="11"/>
  <c r="J1034" i="11"/>
  <c r="I1034" i="11"/>
  <c r="H1034" i="11"/>
  <c r="J1033" i="11"/>
  <c r="I1033" i="11"/>
  <c r="H1033" i="11"/>
  <c r="J1032" i="11"/>
  <c r="I1032" i="11"/>
  <c r="H1032" i="11"/>
  <c r="J1031" i="11"/>
  <c r="I1031" i="11"/>
  <c r="H1031" i="11"/>
  <c r="J1030" i="11"/>
  <c r="I1030" i="11"/>
  <c r="H1030" i="11"/>
  <c r="J1029" i="11"/>
  <c r="I1029" i="11"/>
  <c r="H1029" i="11"/>
  <c r="J1028" i="11"/>
  <c r="I1028" i="11"/>
  <c r="H1028" i="11"/>
  <c r="J1027" i="11"/>
  <c r="I1027" i="11"/>
  <c r="H1027" i="11"/>
  <c r="J1026" i="11"/>
  <c r="I1026" i="11"/>
  <c r="H1026" i="11"/>
  <c r="J1025" i="11"/>
  <c r="I1025" i="11"/>
  <c r="H1025" i="11"/>
  <c r="J1024" i="11"/>
  <c r="I1024" i="11"/>
  <c r="H1024" i="11"/>
  <c r="J1023" i="11"/>
  <c r="I1023" i="11"/>
  <c r="H1023" i="11"/>
  <c r="J1022" i="11"/>
  <c r="I1022" i="11"/>
  <c r="H1022" i="11"/>
  <c r="J1021" i="11"/>
  <c r="I1021" i="11"/>
  <c r="H1021" i="11"/>
  <c r="J1020" i="11"/>
  <c r="I1020" i="11"/>
  <c r="H1020" i="11"/>
  <c r="J1019" i="11"/>
  <c r="I1019" i="11"/>
  <c r="H1019" i="11"/>
  <c r="J1018" i="11"/>
  <c r="I1018" i="11"/>
  <c r="H1018" i="11"/>
  <c r="J1017" i="11"/>
  <c r="I1017" i="11"/>
  <c r="H1017" i="11"/>
  <c r="J1016" i="11"/>
  <c r="I1016" i="11"/>
  <c r="H1016" i="11"/>
  <c r="J1015" i="11"/>
  <c r="I1015" i="11"/>
  <c r="H1015" i="11"/>
  <c r="J1014" i="11"/>
  <c r="I1014" i="11"/>
  <c r="H1014" i="11"/>
  <c r="J1013" i="11"/>
  <c r="I1013" i="11"/>
  <c r="H1013" i="11"/>
  <c r="J1012" i="11"/>
  <c r="I1012" i="11"/>
  <c r="H1012" i="11"/>
  <c r="J1011" i="11"/>
  <c r="I1011" i="11"/>
  <c r="H1011" i="11"/>
  <c r="J1010" i="11"/>
  <c r="I1010" i="11"/>
  <c r="H1010" i="11"/>
  <c r="J1009" i="11"/>
  <c r="I1009" i="11"/>
  <c r="H1009" i="11"/>
  <c r="J1008" i="11"/>
  <c r="I1008" i="11"/>
  <c r="H1008" i="11"/>
  <c r="J1007" i="11"/>
  <c r="I1007" i="11"/>
  <c r="H1007" i="11"/>
  <c r="J1006" i="11"/>
  <c r="I1006" i="11"/>
  <c r="H1006" i="11"/>
  <c r="J1005" i="11"/>
  <c r="I1005" i="11"/>
  <c r="H1005" i="11"/>
  <c r="J1004" i="11"/>
  <c r="I1004" i="11"/>
  <c r="H1004" i="11"/>
  <c r="J1003" i="11"/>
  <c r="I1003" i="11"/>
  <c r="H1003" i="11"/>
  <c r="J1002" i="11"/>
  <c r="I1002" i="11"/>
  <c r="H1002" i="11"/>
  <c r="J1001" i="11"/>
  <c r="I1001" i="11"/>
  <c r="H1001" i="11"/>
  <c r="J1000" i="11"/>
  <c r="I1000" i="11"/>
  <c r="H1000" i="11"/>
  <c r="J999" i="11"/>
  <c r="I999" i="11"/>
  <c r="H999" i="11"/>
  <c r="J998" i="11"/>
  <c r="I998" i="11"/>
  <c r="H998" i="11"/>
  <c r="J997" i="11"/>
  <c r="I997" i="11"/>
  <c r="H997" i="11"/>
  <c r="J996" i="11"/>
  <c r="I996" i="11"/>
  <c r="H996" i="11"/>
  <c r="J995" i="11"/>
  <c r="I995" i="11"/>
  <c r="H995" i="11"/>
  <c r="J994" i="11"/>
  <c r="I994" i="11"/>
  <c r="H994" i="11"/>
  <c r="J993" i="11"/>
  <c r="I993" i="11"/>
  <c r="H993" i="11"/>
  <c r="J992" i="11"/>
  <c r="I992" i="11"/>
  <c r="H992" i="11"/>
  <c r="J991" i="11"/>
  <c r="I991" i="11"/>
  <c r="H991" i="11"/>
  <c r="J990" i="11"/>
  <c r="I990" i="11"/>
  <c r="H990" i="11"/>
  <c r="J989" i="11"/>
  <c r="I989" i="11"/>
  <c r="H989" i="11"/>
  <c r="J988" i="11"/>
  <c r="I988" i="11"/>
  <c r="H988" i="11"/>
  <c r="J987" i="11"/>
  <c r="I987" i="11"/>
  <c r="H987" i="11"/>
  <c r="J986" i="11"/>
  <c r="I986" i="11"/>
  <c r="H986" i="11"/>
  <c r="J985" i="11"/>
  <c r="I985" i="11"/>
  <c r="H985" i="11"/>
  <c r="J984" i="11"/>
  <c r="I984" i="11"/>
  <c r="H984" i="11"/>
  <c r="J983" i="11"/>
  <c r="I983" i="11"/>
  <c r="H983" i="11"/>
  <c r="J982" i="11"/>
  <c r="I982" i="11"/>
  <c r="H982" i="11"/>
  <c r="J981" i="11"/>
  <c r="I981" i="11"/>
  <c r="H981" i="11"/>
  <c r="J980" i="11"/>
  <c r="I980" i="11"/>
  <c r="H980" i="11"/>
  <c r="J979" i="11"/>
  <c r="I979" i="11"/>
  <c r="H979" i="11"/>
  <c r="J978" i="11"/>
  <c r="I978" i="11"/>
  <c r="H978" i="11"/>
  <c r="J977" i="11"/>
  <c r="I977" i="11"/>
  <c r="H977" i="11"/>
  <c r="J976" i="11"/>
  <c r="I976" i="11"/>
  <c r="H976" i="11"/>
  <c r="J975" i="11"/>
  <c r="I975" i="11"/>
  <c r="H975" i="11"/>
  <c r="J974" i="11"/>
  <c r="I974" i="11"/>
  <c r="H974" i="11"/>
  <c r="J973" i="11"/>
  <c r="I973" i="11"/>
  <c r="H973" i="11"/>
  <c r="J972" i="11"/>
  <c r="I972" i="11"/>
  <c r="H972" i="11"/>
  <c r="J971" i="11"/>
  <c r="I971" i="11"/>
  <c r="H971" i="11"/>
  <c r="J970" i="11"/>
  <c r="I970" i="11"/>
  <c r="H970" i="11"/>
  <c r="J969" i="11"/>
  <c r="I969" i="11"/>
  <c r="H969" i="11"/>
  <c r="J968" i="11"/>
  <c r="I968" i="11"/>
  <c r="H968" i="11"/>
  <c r="J967" i="11"/>
  <c r="I967" i="11"/>
  <c r="H967" i="11"/>
  <c r="J966" i="11"/>
  <c r="I966" i="11"/>
  <c r="H966" i="11"/>
  <c r="J965" i="11"/>
  <c r="I965" i="11"/>
  <c r="H965" i="11"/>
  <c r="J964" i="11"/>
  <c r="I964" i="11"/>
  <c r="H964" i="11"/>
  <c r="J963" i="11"/>
  <c r="I963" i="11"/>
  <c r="H963" i="11"/>
  <c r="J962" i="11"/>
  <c r="I962" i="11"/>
  <c r="H962" i="11"/>
  <c r="J961" i="11"/>
  <c r="I961" i="11"/>
  <c r="H961" i="11"/>
  <c r="J960" i="11"/>
  <c r="I960" i="11"/>
  <c r="H960" i="11"/>
  <c r="J959" i="11"/>
  <c r="I959" i="11"/>
  <c r="H959" i="11"/>
  <c r="J958" i="11"/>
  <c r="I958" i="11"/>
  <c r="H958" i="11"/>
  <c r="J957" i="11"/>
  <c r="I957" i="11"/>
  <c r="H957" i="11"/>
  <c r="J956" i="11"/>
  <c r="I956" i="11"/>
  <c r="H956" i="11"/>
  <c r="J955" i="11"/>
  <c r="I955" i="11"/>
  <c r="H955" i="11"/>
  <c r="J954" i="11"/>
  <c r="I954" i="11"/>
  <c r="H954" i="11"/>
  <c r="J953" i="11"/>
  <c r="I953" i="11"/>
  <c r="H953" i="11"/>
  <c r="J952" i="11"/>
  <c r="I952" i="11"/>
  <c r="H952" i="11"/>
  <c r="J951" i="11"/>
  <c r="I951" i="11"/>
  <c r="H951" i="11"/>
  <c r="J950" i="11"/>
  <c r="I950" i="11"/>
  <c r="H950" i="11"/>
  <c r="J949" i="11"/>
  <c r="I949" i="11"/>
  <c r="H949" i="11"/>
  <c r="J948" i="11"/>
  <c r="I948" i="11"/>
  <c r="H948" i="11"/>
  <c r="J947" i="11"/>
  <c r="I947" i="11"/>
  <c r="H947" i="11"/>
  <c r="J946" i="11"/>
  <c r="I946" i="11"/>
  <c r="H946" i="11"/>
  <c r="J945" i="11"/>
  <c r="I945" i="11"/>
  <c r="H945" i="11"/>
  <c r="J944" i="11"/>
  <c r="I944" i="11"/>
  <c r="H944" i="11"/>
  <c r="J943" i="11"/>
  <c r="I943" i="11"/>
  <c r="H943" i="11"/>
  <c r="J942" i="11"/>
  <c r="I942" i="11"/>
  <c r="H942" i="11"/>
  <c r="J941" i="11"/>
  <c r="I941" i="11"/>
  <c r="H941" i="11"/>
  <c r="J940" i="11"/>
  <c r="I940" i="11"/>
  <c r="H940" i="11"/>
  <c r="J939" i="11"/>
  <c r="I939" i="11"/>
  <c r="H939" i="11"/>
  <c r="J938" i="11"/>
  <c r="I938" i="11"/>
  <c r="H938" i="11"/>
  <c r="J937" i="11"/>
  <c r="I937" i="11"/>
  <c r="H937" i="11"/>
  <c r="J936" i="11"/>
  <c r="I936" i="11"/>
  <c r="H936" i="11"/>
  <c r="J935" i="11"/>
  <c r="I935" i="11"/>
  <c r="H935" i="11"/>
  <c r="J934" i="11"/>
  <c r="I934" i="11"/>
  <c r="H934" i="11"/>
  <c r="J933" i="11"/>
  <c r="I933" i="11"/>
  <c r="H933" i="11"/>
  <c r="J932" i="11"/>
  <c r="I932" i="11"/>
  <c r="H932" i="11"/>
  <c r="J931" i="11"/>
  <c r="I931" i="11"/>
  <c r="H931" i="11"/>
  <c r="J930" i="11"/>
  <c r="I930" i="11"/>
  <c r="H930" i="11"/>
  <c r="J929" i="11"/>
  <c r="I929" i="11"/>
  <c r="H929" i="11"/>
  <c r="J928" i="11"/>
  <c r="I928" i="11"/>
  <c r="H928" i="11"/>
  <c r="J927" i="11"/>
  <c r="I927" i="11"/>
  <c r="H927" i="11"/>
  <c r="J926" i="11"/>
  <c r="I926" i="11"/>
  <c r="H926" i="11"/>
  <c r="J925" i="11"/>
  <c r="I925" i="11"/>
  <c r="H925" i="11"/>
  <c r="J924" i="11"/>
  <c r="I924" i="11"/>
  <c r="H924" i="11"/>
  <c r="J923" i="11"/>
  <c r="I923" i="11"/>
  <c r="H923" i="11"/>
  <c r="J922" i="11"/>
  <c r="I922" i="11"/>
  <c r="H922" i="11"/>
  <c r="J921" i="11"/>
  <c r="I921" i="11"/>
  <c r="H921" i="11"/>
  <c r="J920" i="11"/>
  <c r="I920" i="11"/>
  <c r="H920" i="11"/>
  <c r="J919" i="11"/>
  <c r="I919" i="11"/>
  <c r="H919" i="11"/>
  <c r="J918" i="11"/>
  <c r="I918" i="11"/>
  <c r="H918" i="11"/>
  <c r="J917" i="11"/>
  <c r="I917" i="11"/>
  <c r="H917" i="11"/>
  <c r="J916" i="11"/>
  <c r="I916" i="11"/>
  <c r="H916" i="11"/>
  <c r="J915" i="11"/>
  <c r="I915" i="11"/>
  <c r="H915" i="11"/>
  <c r="J914" i="11"/>
  <c r="I914" i="11"/>
  <c r="H914" i="11"/>
  <c r="J913" i="11"/>
  <c r="I913" i="11"/>
  <c r="H913" i="11"/>
  <c r="J912" i="11"/>
  <c r="I912" i="11"/>
  <c r="H912" i="11"/>
  <c r="J911" i="11"/>
  <c r="I911" i="11"/>
  <c r="H911" i="11"/>
  <c r="J910" i="11"/>
  <c r="I910" i="11"/>
  <c r="H910" i="11"/>
  <c r="J909" i="11"/>
  <c r="I909" i="11"/>
  <c r="H909" i="11"/>
  <c r="J908" i="11"/>
  <c r="I908" i="11"/>
  <c r="H908" i="11"/>
  <c r="J907" i="11"/>
  <c r="I907" i="11"/>
  <c r="H907" i="11"/>
  <c r="J906" i="11"/>
  <c r="I906" i="11"/>
  <c r="H906" i="11"/>
  <c r="J905" i="11"/>
  <c r="I905" i="11"/>
  <c r="H905" i="11"/>
  <c r="J904" i="11"/>
  <c r="I904" i="11"/>
  <c r="H904" i="11"/>
  <c r="J903" i="11"/>
  <c r="I903" i="11"/>
  <c r="H903" i="11"/>
  <c r="J902" i="11"/>
  <c r="I902" i="11"/>
  <c r="H902" i="11"/>
  <c r="J901" i="11"/>
  <c r="I901" i="11"/>
  <c r="H901" i="11"/>
  <c r="J900" i="11"/>
  <c r="I900" i="11"/>
  <c r="H900" i="11"/>
  <c r="J899" i="11"/>
  <c r="I899" i="11"/>
  <c r="H899" i="11"/>
  <c r="J898" i="11"/>
  <c r="I898" i="11"/>
  <c r="H898" i="11"/>
  <c r="J897" i="11"/>
  <c r="I897" i="11"/>
  <c r="H897" i="11"/>
  <c r="J896" i="11"/>
  <c r="I896" i="11"/>
  <c r="H896" i="11"/>
  <c r="J895" i="11"/>
  <c r="I895" i="11"/>
  <c r="H895" i="11"/>
  <c r="J894" i="11"/>
  <c r="I894" i="11"/>
  <c r="H894" i="11"/>
  <c r="J893" i="11"/>
  <c r="I893" i="11"/>
  <c r="H893" i="11"/>
  <c r="J892" i="11"/>
  <c r="I892" i="11"/>
  <c r="H892" i="11"/>
  <c r="J891" i="11"/>
  <c r="I891" i="11"/>
  <c r="H891" i="11"/>
  <c r="J890" i="11"/>
  <c r="I890" i="11"/>
  <c r="H890" i="11"/>
  <c r="J889" i="11"/>
  <c r="I889" i="11"/>
  <c r="H889" i="11"/>
  <c r="J888" i="11"/>
  <c r="I888" i="11"/>
  <c r="H888" i="11"/>
  <c r="J887" i="11"/>
  <c r="I887" i="11"/>
  <c r="H887" i="11"/>
  <c r="J886" i="11"/>
  <c r="I886" i="11"/>
  <c r="H886" i="11"/>
  <c r="J885" i="11"/>
  <c r="I885" i="11"/>
  <c r="H885" i="11"/>
  <c r="J884" i="11"/>
  <c r="I884" i="11"/>
  <c r="H884" i="11"/>
  <c r="J883" i="11"/>
  <c r="I883" i="11"/>
  <c r="H883" i="11"/>
  <c r="J882" i="11"/>
  <c r="I882" i="11"/>
  <c r="H882" i="11"/>
  <c r="J881" i="11"/>
  <c r="I881" i="11"/>
  <c r="H881" i="11"/>
  <c r="J880" i="11"/>
  <c r="I880" i="11"/>
  <c r="H880" i="11"/>
  <c r="J879" i="11"/>
  <c r="I879" i="11"/>
  <c r="H879" i="11"/>
  <c r="J878" i="11"/>
  <c r="I878" i="11"/>
  <c r="H878" i="11"/>
  <c r="J877" i="11"/>
  <c r="I877" i="11"/>
  <c r="H877" i="11"/>
  <c r="J876" i="11"/>
  <c r="I876" i="11"/>
  <c r="H876" i="11"/>
  <c r="J875" i="11"/>
  <c r="I875" i="11"/>
  <c r="H875" i="11"/>
  <c r="J874" i="11"/>
  <c r="I874" i="11"/>
  <c r="H874" i="11"/>
  <c r="J873" i="11"/>
  <c r="I873" i="11"/>
  <c r="H873" i="11"/>
  <c r="J872" i="11"/>
  <c r="I872" i="11"/>
  <c r="H872" i="11"/>
  <c r="J871" i="11"/>
  <c r="I871" i="11"/>
  <c r="H871" i="11"/>
  <c r="J870" i="11"/>
  <c r="I870" i="11"/>
  <c r="H870" i="11"/>
  <c r="J869" i="11"/>
  <c r="I869" i="11"/>
  <c r="H869" i="11"/>
  <c r="J868" i="11"/>
  <c r="I868" i="11"/>
  <c r="H868" i="11"/>
  <c r="J867" i="11"/>
  <c r="I867" i="11"/>
  <c r="H867" i="11"/>
  <c r="J866" i="11"/>
  <c r="I866" i="11"/>
  <c r="H866" i="11"/>
  <c r="J865" i="11"/>
  <c r="I865" i="11"/>
  <c r="H865" i="11"/>
  <c r="J864" i="11"/>
  <c r="I864" i="11"/>
  <c r="H864" i="11"/>
  <c r="J863" i="11"/>
  <c r="I863" i="11"/>
  <c r="H863" i="11"/>
  <c r="J862" i="11"/>
  <c r="I862" i="11"/>
  <c r="H862" i="11"/>
  <c r="J861" i="11"/>
  <c r="I861" i="11"/>
  <c r="H861" i="11"/>
  <c r="J860" i="11"/>
  <c r="I860" i="11"/>
  <c r="H860" i="11"/>
  <c r="J859" i="11"/>
  <c r="I859" i="11"/>
  <c r="H859" i="11"/>
  <c r="J858" i="11"/>
  <c r="I858" i="11"/>
  <c r="H858" i="11"/>
  <c r="J857" i="11"/>
  <c r="I857" i="11"/>
  <c r="H857" i="11"/>
  <c r="J856" i="11"/>
  <c r="I856" i="11"/>
  <c r="H856" i="11"/>
  <c r="J855" i="11"/>
  <c r="I855" i="11"/>
  <c r="H855" i="11"/>
  <c r="J854" i="11"/>
  <c r="I854" i="11"/>
  <c r="H854" i="11"/>
  <c r="J853" i="11"/>
  <c r="I853" i="11"/>
  <c r="H853" i="11"/>
  <c r="J852" i="11"/>
  <c r="I852" i="11"/>
  <c r="H852" i="11"/>
  <c r="J851" i="11"/>
  <c r="I851" i="11"/>
  <c r="H851" i="11"/>
  <c r="J850" i="11"/>
  <c r="I850" i="11"/>
  <c r="H850" i="11"/>
  <c r="J849" i="11"/>
  <c r="I849" i="11"/>
  <c r="H849" i="11"/>
  <c r="J848" i="11"/>
  <c r="I848" i="11"/>
  <c r="H848" i="11"/>
  <c r="J847" i="11"/>
  <c r="I847" i="11"/>
  <c r="H847" i="11"/>
  <c r="J846" i="11"/>
  <c r="I846" i="11"/>
  <c r="H846" i="11"/>
  <c r="J845" i="11"/>
  <c r="I845" i="11"/>
  <c r="H845" i="11"/>
  <c r="J844" i="11"/>
  <c r="I844" i="11"/>
  <c r="H844" i="11"/>
  <c r="J843" i="11"/>
  <c r="I843" i="11"/>
  <c r="H843" i="11"/>
  <c r="J842" i="11"/>
  <c r="I842" i="11"/>
  <c r="H842" i="11"/>
  <c r="J841" i="11"/>
  <c r="I841" i="11"/>
  <c r="H841" i="11"/>
  <c r="J840" i="11"/>
  <c r="I840" i="11"/>
  <c r="H840" i="11"/>
  <c r="J839" i="11"/>
  <c r="I839" i="11"/>
  <c r="H839" i="11"/>
  <c r="J838" i="11"/>
  <c r="I838" i="11"/>
  <c r="H838" i="11"/>
  <c r="J837" i="11"/>
  <c r="I837" i="11"/>
  <c r="H837" i="11"/>
  <c r="J836" i="11"/>
  <c r="I836" i="11"/>
  <c r="H836" i="11"/>
  <c r="J835" i="11"/>
  <c r="I835" i="11"/>
  <c r="H835" i="11"/>
  <c r="J834" i="11"/>
  <c r="I834" i="11"/>
  <c r="H834" i="11"/>
  <c r="J833" i="11"/>
  <c r="I833" i="11"/>
  <c r="H833" i="11"/>
  <c r="J832" i="11"/>
  <c r="I832" i="11"/>
  <c r="H832" i="11"/>
  <c r="J831" i="11"/>
  <c r="I831" i="11"/>
  <c r="H831" i="11"/>
  <c r="J830" i="11"/>
  <c r="I830" i="11"/>
  <c r="H830" i="11"/>
  <c r="J829" i="11"/>
  <c r="I829" i="11"/>
  <c r="H829" i="11"/>
  <c r="J828" i="11"/>
  <c r="I828" i="11"/>
  <c r="H828" i="11"/>
  <c r="J827" i="11"/>
  <c r="I827" i="11"/>
  <c r="H827" i="11"/>
  <c r="J826" i="11"/>
  <c r="I826" i="11"/>
  <c r="H826" i="11"/>
  <c r="J825" i="11"/>
  <c r="I825" i="11"/>
  <c r="H825" i="11"/>
  <c r="J824" i="11"/>
  <c r="I824" i="11"/>
  <c r="H824" i="11"/>
  <c r="J823" i="11"/>
  <c r="I823" i="11"/>
  <c r="H823" i="11"/>
  <c r="J822" i="11"/>
  <c r="I822" i="11"/>
  <c r="H822" i="11"/>
  <c r="J821" i="11"/>
  <c r="I821" i="11"/>
  <c r="H821" i="11"/>
  <c r="J820" i="11"/>
  <c r="I820" i="11"/>
  <c r="H820" i="11"/>
  <c r="J819" i="11"/>
  <c r="I819" i="11"/>
  <c r="H819" i="11"/>
  <c r="J818" i="11"/>
  <c r="I818" i="11"/>
  <c r="H818" i="11"/>
  <c r="J817" i="11"/>
  <c r="I817" i="11"/>
  <c r="H817" i="11"/>
  <c r="J816" i="11"/>
  <c r="I816" i="11"/>
  <c r="H816" i="11"/>
  <c r="J815" i="11"/>
  <c r="I815" i="11"/>
  <c r="H815" i="11"/>
  <c r="J814" i="11"/>
  <c r="I814" i="11"/>
  <c r="H814" i="11"/>
  <c r="J813" i="11"/>
  <c r="I813" i="11"/>
  <c r="H813" i="11"/>
  <c r="J812" i="11"/>
  <c r="I812" i="11"/>
  <c r="H812" i="11"/>
  <c r="J811" i="11"/>
  <c r="I811" i="11"/>
  <c r="H811" i="11"/>
  <c r="J810" i="11"/>
  <c r="I810" i="11"/>
  <c r="H810" i="11"/>
  <c r="J809" i="11"/>
  <c r="I809" i="11"/>
  <c r="H809" i="11"/>
  <c r="J808" i="11"/>
  <c r="I808" i="11"/>
  <c r="H808" i="11"/>
  <c r="J807" i="11"/>
  <c r="I807" i="11"/>
  <c r="H807" i="11"/>
  <c r="J806" i="11"/>
  <c r="I806" i="11"/>
  <c r="H806" i="11"/>
  <c r="J805" i="11"/>
  <c r="I805" i="11"/>
  <c r="H805" i="11"/>
  <c r="J804" i="11"/>
  <c r="I804" i="11"/>
  <c r="H804" i="11"/>
  <c r="J803" i="11"/>
  <c r="I803" i="11"/>
  <c r="H803" i="11"/>
  <c r="J802" i="11"/>
  <c r="I802" i="11"/>
  <c r="H802" i="11"/>
  <c r="J801" i="11"/>
  <c r="I801" i="11"/>
  <c r="H801" i="11"/>
  <c r="J800" i="11"/>
  <c r="I800" i="11"/>
  <c r="H800" i="11"/>
  <c r="J799" i="11"/>
  <c r="I799" i="11"/>
  <c r="H799" i="11"/>
  <c r="J798" i="11"/>
  <c r="I798" i="11"/>
  <c r="H798" i="11"/>
  <c r="J797" i="11"/>
  <c r="I797" i="11"/>
  <c r="H797" i="11"/>
  <c r="J796" i="11"/>
  <c r="I796" i="11"/>
  <c r="H796" i="11"/>
  <c r="J795" i="11"/>
  <c r="I795" i="11"/>
  <c r="H795" i="11"/>
  <c r="J794" i="11"/>
  <c r="I794" i="11"/>
  <c r="H794" i="11"/>
  <c r="J793" i="11"/>
  <c r="I793" i="11"/>
  <c r="H793" i="11"/>
  <c r="J792" i="11"/>
  <c r="I792" i="11"/>
  <c r="H792" i="11"/>
  <c r="J791" i="11"/>
  <c r="I791" i="11"/>
  <c r="H791" i="11"/>
  <c r="J790" i="11"/>
  <c r="I790" i="11"/>
  <c r="H790" i="11"/>
  <c r="J789" i="11"/>
  <c r="I789" i="11"/>
  <c r="H789" i="11"/>
  <c r="J788" i="11"/>
  <c r="I788" i="11"/>
  <c r="H788" i="11"/>
  <c r="J787" i="11"/>
  <c r="I787" i="11"/>
  <c r="H787" i="11"/>
  <c r="J786" i="11"/>
  <c r="I786" i="11"/>
  <c r="H786" i="11"/>
  <c r="J785" i="11"/>
  <c r="I785" i="11"/>
  <c r="H785" i="11"/>
  <c r="J784" i="11"/>
  <c r="I784" i="11"/>
  <c r="H784" i="11"/>
  <c r="J783" i="11"/>
  <c r="I783" i="11"/>
  <c r="H783" i="11"/>
  <c r="J782" i="11"/>
  <c r="I782" i="11"/>
  <c r="H782" i="11"/>
  <c r="J781" i="11"/>
  <c r="I781" i="11"/>
  <c r="H781" i="11"/>
  <c r="J780" i="11"/>
  <c r="I780" i="11"/>
  <c r="H780" i="11"/>
  <c r="J779" i="11"/>
  <c r="I779" i="11"/>
  <c r="H779" i="11"/>
  <c r="J778" i="11"/>
  <c r="I778" i="11"/>
  <c r="H778" i="11"/>
  <c r="J777" i="11"/>
  <c r="I777" i="11"/>
  <c r="H777" i="11"/>
  <c r="J776" i="11"/>
  <c r="I776" i="11"/>
  <c r="H776" i="11"/>
  <c r="J775" i="11"/>
  <c r="I775" i="11"/>
  <c r="H775" i="11"/>
  <c r="J774" i="11"/>
  <c r="I774" i="11"/>
  <c r="H774" i="11"/>
  <c r="J773" i="11"/>
  <c r="I773" i="11"/>
  <c r="H773" i="11"/>
  <c r="J772" i="11"/>
  <c r="I772" i="11"/>
  <c r="H772" i="11"/>
  <c r="J771" i="11"/>
  <c r="I771" i="11"/>
  <c r="H771" i="11"/>
  <c r="J770" i="11"/>
  <c r="I770" i="11"/>
  <c r="H770" i="11"/>
  <c r="J769" i="11"/>
  <c r="I769" i="11"/>
  <c r="H769" i="11"/>
  <c r="J768" i="11"/>
  <c r="I768" i="11"/>
  <c r="H768" i="11"/>
  <c r="J767" i="11"/>
  <c r="I767" i="11"/>
  <c r="H767" i="11"/>
  <c r="J766" i="11"/>
  <c r="I766" i="11"/>
  <c r="H766" i="11"/>
  <c r="J765" i="11"/>
  <c r="I765" i="11"/>
  <c r="H765" i="11"/>
  <c r="J764" i="11"/>
  <c r="I764" i="11"/>
  <c r="H764" i="11"/>
  <c r="J763" i="11"/>
  <c r="I763" i="11"/>
  <c r="H763" i="11"/>
  <c r="J762" i="11"/>
  <c r="I762" i="11"/>
  <c r="H762" i="11"/>
  <c r="J761" i="11"/>
  <c r="I761" i="11"/>
  <c r="H761" i="11"/>
  <c r="J760" i="11"/>
  <c r="I760" i="11"/>
  <c r="H760" i="11"/>
  <c r="J759" i="11"/>
  <c r="I759" i="11"/>
  <c r="H759" i="11"/>
  <c r="J758" i="11"/>
  <c r="I758" i="11"/>
  <c r="H758" i="11"/>
  <c r="J757" i="11"/>
  <c r="I757" i="11"/>
  <c r="H757" i="11"/>
  <c r="J756" i="11"/>
  <c r="I756" i="11"/>
  <c r="H756" i="11"/>
  <c r="J755" i="11"/>
  <c r="I755" i="11"/>
  <c r="H755" i="11"/>
  <c r="J754" i="11"/>
  <c r="I754" i="11"/>
  <c r="H754" i="11"/>
  <c r="J753" i="11"/>
  <c r="I753" i="11"/>
  <c r="H753" i="11"/>
  <c r="J752" i="11"/>
  <c r="I752" i="11"/>
  <c r="H752" i="11"/>
  <c r="J751" i="11"/>
  <c r="I751" i="11"/>
  <c r="H751" i="11"/>
  <c r="J750" i="11"/>
  <c r="I750" i="11"/>
  <c r="H750" i="11"/>
  <c r="J749" i="11"/>
  <c r="I749" i="11"/>
  <c r="H749" i="11"/>
  <c r="J748" i="11"/>
  <c r="I748" i="11"/>
  <c r="H748" i="11"/>
  <c r="J747" i="11"/>
  <c r="I747" i="11"/>
  <c r="H747" i="11"/>
  <c r="J746" i="11"/>
  <c r="I746" i="11"/>
  <c r="H746" i="11"/>
  <c r="J745" i="11"/>
  <c r="I745" i="11"/>
  <c r="H745" i="11"/>
  <c r="J744" i="11"/>
  <c r="I744" i="11"/>
  <c r="H744" i="11"/>
  <c r="J743" i="11"/>
  <c r="I743" i="11"/>
  <c r="H743" i="11"/>
  <c r="J742" i="11"/>
  <c r="I742" i="11"/>
  <c r="H742" i="11"/>
  <c r="J741" i="11"/>
  <c r="I741" i="11"/>
  <c r="H741" i="11"/>
  <c r="J740" i="11"/>
  <c r="I740" i="11"/>
  <c r="H740" i="11"/>
  <c r="J739" i="11"/>
  <c r="I739" i="11"/>
  <c r="H739" i="11"/>
  <c r="J738" i="11"/>
  <c r="I738" i="11"/>
  <c r="H738" i="11"/>
  <c r="J737" i="11"/>
  <c r="I737" i="11"/>
  <c r="H737" i="11"/>
  <c r="J736" i="11"/>
  <c r="I736" i="11"/>
  <c r="H736" i="11"/>
  <c r="J735" i="11"/>
  <c r="I735" i="11"/>
  <c r="H735" i="11"/>
  <c r="J734" i="11"/>
  <c r="I734" i="11"/>
  <c r="H734" i="11"/>
  <c r="J733" i="11"/>
  <c r="I733" i="11"/>
  <c r="H733" i="11"/>
  <c r="J732" i="11"/>
  <c r="I732" i="11"/>
  <c r="H732" i="11"/>
  <c r="J731" i="11"/>
  <c r="I731" i="11"/>
  <c r="H731" i="11"/>
  <c r="J730" i="11"/>
  <c r="I730" i="11"/>
  <c r="H730" i="11"/>
  <c r="J729" i="11"/>
  <c r="I729" i="11"/>
  <c r="H729" i="11"/>
  <c r="J728" i="11"/>
  <c r="I728" i="11"/>
  <c r="H728" i="11"/>
  <c r="J727" i="11"/>
  <c r="I727" i="11"/>
  <c r="H727" i="11"/>
  <c r="J726" i="11"/>
  <c r="I726" i="11"/>
  <c r="H726" i="11"/>
  <c r="J725" i="11"/>
  <c r="I725" i="11"/>
  <c r="H725" i="11"/>
  <c r="J724" i="11"/>
  <c r="I724" i="11"/>
  <c r="H724" i="11"/>
  <c r="J723" i="11"/>
  <c r="I723" i="11"/>
  <c r="H723" i="11"/>
  <c r="J722" i="11"/>
  <c r="I722" i="11"/>
  <c r="H722" i="11"/>
  <c r="J721" i="11"/>
  <c r="I721" i="11"/>
  <c r="H721" i="11"/>
  <c r="J720" i="11"/>
  <c r="I720" i="11"/>
  <c r="H720" i="11"/>
  <c r="J719" i="11"/>
  <c r="I719" i="11"/>
  <c r="H719" i="11"/>
  <c r="J718" i="11"/>
  <c r="I718" i="11"/>
  <c r="H718" i="11"/>
  <c r="J717" i="11"/>
  <c r="I717" i="11"/>
  <c r="H717" i="11"/>
  <c r="J716" i="11"/>
  <c r="I716" i="11"/>
  <c r="H716" i="11"/>
  <c r="J715" i="11"/>
  <c r="I715" i="11"/>
  <c r="H715" i="11"/>
  <c r="J714" i="11"/>
  <c r="I714" i="11"/>
  <c r="H714" i="11"/>
  <c r="J713" i="11"/>
  <c r="I713" i="11"/>
  <c r="H713" i="11"/>
  <c r="J712" i="11"/>
  <c r="I712" i="11"/>
  <c r="H712" i="11"/>
  <c r="J711" i="11"/>
  <c r="I711" i="11"/>
  <c r="H711" i="11"/>
  <c r="J710" i="11"/>
  <c r="I710" i="11"/>
  <c r="H710" i="11"/>
  <c r="J709" i="11"/>
  <c r="I709" i="11"/>
  <c r="H709" i="11"/>
  <c r="J708" i="11"/>
  <c r="I708" i="11"/>
  <c r="H708" i="11"/>
  <c r="J707" i="11"/>
  <c r="I707" i="11"/>
  <c r="H707" i="11"/>
  <c r="J706" i="11"/>
  <c r="I706" i="11"/>
  <c r="H706" i="11"/>
  <c r="J705" i="11"/>
  <c r="I705" i="11"/>
  <c r="H705" i="11"/>
  <c r="J704" i="11"/>
  <c r="I704" i="11"/>
  <c r="H704" i="11"/>
  <c r="J703" i="11"/>
  <c r="I703" i="11"/>
  <c r="H703" i="11"/>
  <c r="J702" i="11"/>
  <c r="I702" i="11"/>
  <c r="H702" i="11"/>
  <c r="J701" i="11"/>
  <c r="I701" i="11"/>
  <c r="H701" i="11"/>
  <c r="J700" i="11"/>
  <c r="I700" i="11"/>
  <c r="H700" i="11"/>
  <c r="J699" i="11"/>
  <c r="I699" i="11"/>
  <c r="H699" i="11"/>
  <c r="J698" i="11"/>
  <c r="I698" i="11"/>
  <c r="H698" i="11"/>
  <c r="J697" i="11"/>
  <c r="I697" i="11"/>
  <c r="H697" i="11"/>
  <c r="J696" i="11"/>
  <c r="I696" i="11"/>
  <c r="H696" i="11"/>
  <c r="J695" i="11"/>
  <c r="I695" i="11"/>
  <c r="H695" i="11"/>
  <c r="J694" i="11"/>
  <c r="I694" i="11"/>
  <c r="H694" i="11"/>
  <c r="J693" i="11"/>
  <c r="I693" i="11"/>
  <c r="H693" i="11"/>
  <c r="J692" i="11"/>
  <c r="I692" i="11"/>
  <c r="H692" i="11"/>
  <c r="J691" i="11"/>
  <c r="I691" i="11"/>
  <c r="H691" i="11"/>
  <c r="J690" i="11"/>
  <c r="I690" i="11"/>
  <c r="H690" i="11"/>
  <c r="J689" i="11"/>
  <c r="I689" i="11"/>
  <c r="H689" i="11"/>
  <c r="J688" i="11"/>
  <c r="I688" i="11"/>
  <c r="H688" i="11"/>
  <c r="J687" i="11"/>
  <c r="I687" i="11"/>
  <c r="H687" i="11"/>
  <c r="J686" i="11"/>
  <c r="I686" i="11"/>
  <c r="H686" i="11"/>
  <c r="J685" i="11"/>
  <c r="I685" i="11"/>
  <c r="H685" i="11"/>
  <c r="J684" i="11"/>
  <c r="I684" i="11"/>
  <c r="H684" i="11"/>
  <c r="J683" i="11"/>
  <c r="I683" i="11"/>
  <c r="H683" i="11"/>
  <c r="J682" i="11"/>
  <c r="I682" i="11"/>
  <c r="H682" i="11"/>
  <c r="J681" i="11"/>
  <c r="I681" i="11"/>
  <c r="H681" i="11"/>
  <c r="J680" i="11"/>
  <c r="I680" i="11"/>
  <c r="H680" i="11"/>
  <c r="J679" i="11"/>
  <c r="I679" i="11"/>
  <c r="H679" i="11"/>
  <c r="J678" i="11"/>
  <c r="I678" i="11"/>
  <c r="H678" i="11"/>
  <c r="J677" i="11"/>
  <c r="I677" i="11"/>
  <c r="H677" i="11"/>
  <c r="J676" i="11"/>
  <c r="I676" i="11"/>
  <c r="H676" i="11"/>
  <c r="J675" i="11"/>
  <c r="I675" i="11"/>
  <c r="H675" i="11"/>
  <c r="J674" i="11"/>
  <c r="I674" i="11"/>
  <c r="H674" i="11"/>
  <c r="J673" i="11"/>
  <c r="I673" i="11"/>
  <c r="H673" i="11"/>
  <c r="J672" i="11"/>
  <c r="I672" i="11"/>
  <c r="H672" i="11"/>
  <c r="J671" i="11"/>
  <c r="I671" i="11"/>
  <c r="H671" i="11"/>
  <c r="J670" i="11"/>
  <c r="I670" i="11"/>
  <c r="H670" i="11"/>
  <c r="J669" i="11"/>
  <c r="I669" i="11"/>
  <c r="H669" i="11"/>
  <c r="J668" i="11"/>
  <c r="I668" i="11"/>
  <c r="H668" i="11"/>
  <c r="J667" i="11"/>
  <c r="I667" i="11"/>
  <c r="H667" i="11"/>
  <c r="J666" i="11"/>
  <c r="I666" i="11"/>
  <c r="H666" i="11"/>
  <c r="J665" i="11"/>
  <c r="I665" i="11"/>
  <c r="H665" i="11"/>
  <c r="J664" i="11"/>
  <c r="I664" i="11"/>
  <c r="H664" i="11"/>
  <c r="J663" i="11"/>
  <c r="I663" i="11"/>
  <c r="H663" i="11"/>
  <c r="J662" i="11"/>
  <c r="I662" i="11"/>
  <c r="H662" i="11"/>
  <c r="J661" i="11"/>
  <c r="I661" i="11"/>
  <c r="H661" i="11"/>
  <c r="J660" i="11"/>
  <c r="I660" i="11"/>
  <c r="H660" i="11"/>
  <c r="J659" i="11"/>
  <c r="I659" i="11"/>
  <c r="H659" i="11"/>
  <c r="J658" i="11"/>
  <c r="I658" i="11"/>
  <c r="H658" i="11"/>
  <c r="J657" i="11"/>
  <c r="I657" i="11"/>
  <c r="H657" i="11"/>
  <c r="J656" i="11"/>
  <c r="I656" i="11"/>
  <c r="H656" i="11"/>
  <c r="J655" i="11"/>
  <c r="I655" i="11"/>
  <c r="H655" i="11"/>
  <c r="J654" i="11"/>
  <c r="I654" i="11"/>
  <c r="H654" i="11"/>
  <c r="J653" i="11"/>
  <c r="I653" i="11"/>
  <c r="H653" i="11"/>
  <c r="J652" i="11"/>
  <c r="I652" i="11"/>
  <c r="H652" i="11"/>
  <c r="J651" i="11"/>
  <c r="I651" i="11"/>
  <c r="H651" i="11"/>
  <c r="J650" i="11"/>
  <c r="I650" i="11"/>
  <c r="H650" i="11"/>
  <c r="J649" i="11"/>
  <c r="I649" i="11"/>
  <c r="H649" i="11"/>
  <c r="J648" i="11"/>
  <c r="I648" i="11"/>
  <c r="H648" i="11"/>
  <c r="J647" i="11"/>
  <c r="I647" i="11"/>
  <c r="H647" i="11"/>
  <c r="J646" i="11"/>
  <c r="I646" i="11"/>
  <c r="H646" i="11"/>
  <c r="J645" i="11"/>
  <c r="I645" i="11"/>
  <c r="H645" i="11"/>
  <c r="J644" i="11"/>
  <c r="I644" i="11"/>
  <c r="H644" i="11"/>
  <c r="J643" i="11"/>
  <c r="I643" i="11"/>
  <c r="H643" i="11"/>
  <c r="J642" i="11"/>
  <c r="I642" i="11"/>
  <c r="H642" i="11"/>
  <c r="J641" i="11"/>
  <c r="I641" i="11"/>
  <c r="H641" i="11"/>
  <c r="J640" i="11"/>
  <c r="I640" i="11"/>
  <c r="H640" i="11"/>
  <c r="J639" i="11"/>
  <c r="I639" i="11"/>
  <c r="H639" i="11"/>
  <c r="J638" i="11"/>
  <c r="I638" i="11"/>
  <c r="H638" i="11"/>
  <c r="J637" i="11"/>
  <c r="I637" i="11"/>
  <c r="H637" i="11"/>
  <c r="J636" i="11"/>
  <c r="I636" i="11"/>
  <c r="H636" i="11"/>
  <c r="J635" i="11"/>
  <c r="I635" i="11"/>
  <c r="H635" i="11"/>
  <c r="J634" i="11"/>
  <c r="I634" i="11"/>
  <c r="H634" i="11"/>
  <c r="J633" i="11"/>
  <c r="I633" i="11"/>
  <c r="H633" i="11"/>
  <c r="J632" i="11"/>
  <c r="I632" i="11"/>
  <c r="H632" i="11"/>
  <c r="J631" i="11"/>
  <c r="I631" i="11"/>
  <c r="H631" i="11"/>
  <c r="J630" i="11"/>
  <c r="I630" i="11"/>
  <c r="H630" i="11"/>
  <c r="J629" i="11"/>
  <c r="I629" i="11"/>
  <c r="H629" i="11"/>
  <c r="J628" i="11"/>
  <c r="I628" i="11"/>
  <c r="H628" i="11"/>
  <c r="J627" i="11"/>
  <c r="I627" i="11"/>
  <c r="H627" i="11"/>
  <c r="J626" i="11"/>
  <c r="I626" i="11"/>
  <c r="H626" i="11"/>
  <c r="J625" i="11"/>
  <c r="I625" i="11"/>
  <c r="H625" i="11"/>
  <c r="J624" i="11"/>
  <c r="I624" i="11"/>
  <c r="H624" i="11"/>
  <c r="J623" i="11"/>
  <c r="I623" i="11"/>
  <c r="H623" i="11"/>
  <c r="J622" i="11"/>
  <c r="I622" i="11"/>
  <c r="H622" i="11"/>
  <c r="J621" i="11"/>
  <c r="I621" i="11"/>
  <c r="H621" i="11"/>
  <c r="J620" i="11"/>
  <c r="I620" i="11"/>
  <c r="H620" i="11"/>
  <c r="J619" i="11"/>
  <c r="I619" i="11"/>
  <c r="H619" i="11"/>
  <c r="J618" i="11"/>
  <c r="I618" i="11"/>
  <c r="H618" i="11"/>
  <c r="J617" i="11"/>
  <c r="I617" i="11"/>
  <c r="H617" i="11"/>
  <c r="J616" i="11"/>
  <c r="I616" i="11"/>
  <c r="H616" i="11"/>
  <c r="J615" i="11"/>
  <c r="I615" i="11"/>
  <c r="H615" i="11"/>
  <c r="J614" i="11"/>
  <c r="I614" i="11"/>
  <c r="H614" i="11"/>
  <c r="J613" i="11"/>
  <c r="I613" i="11"/>
  <c r="H613" i="11"/>
  <c r="J612" i="11"/>
  <c r="I612" i="11"/>
  <c r="H612" i="11"/>
  <c r="J611" i="11"/>
  <c r="I611" i="11"/>
  <c r="H611" i="11"/>
  <c r="J610" i="11"/>
  <c r="I610" i="11"/>
  <c r="H610" i="11"/>
  <c r="J609" i="11"/>
  <c r="I609" i="11"/>
  <c r="H609" i="11"/>
  <c r="J608" i="11"/>
  <c r="I608" i="11"/>
  <c r="H608" i="11"/>
  <c r="J607" i="11"/>
  <c r="I607" i="11"/>
  <c r="H607" i="11"/>
  <c r="J606" i="11"/>
  <c r="I606" i="11"/>
  <c r="H606" i="11"/>
  <c r="J605" i="11"/>
  <c r="I605" i="11"/>
  <c r="H605" i="11"/>
  <c r="J604" i="11"/>
  <c r="I604" i="11"/>
  <c r="H604" i="11"/>
  <c r="J603" i="11"/>
  <c r="I603" i="11"/>
  <c r="H603" i="11"/>
  <c r="J602" i="11"/>
  <c r="I602" i="11"/>
  <c r="H602" i="11"/>
  <c r="J601" i="11"/>
  <c r="I601" i="11"/>
  <c r="H601" i="11"/>
  <c r="J600" i="11"/>
  <c r="I600" i="11"/>
  <c r="H600" i="11"/>
  <c r="J599" i="11"/>
  <c r="I599" i="11"/>
  <c r="H599" i="11"/>
  <c r="J598" i="11"/>
  <c r="I598" i="11"/>
  <c r="H598" i="11"/>
  <c r="J597" i="11"/>
  <c r="I597" i="11"/>
  <c r="H597" i="11"/>
  <c r="J596" i="11"/>
  <c r="I596" i="11"/>
  <c r="H596" i="11"/>
  <c r="J595" i="11"/>
  <c r="I595" i="11"/>
  <c r="H595" i="11"/>
  <c r="J594" i="11"/>
  <c r="I594" i="11"/>
  <c r="H594" i="11"/>
  <c r="J593" i="11"/>
  <c r="I593" i="11"/>
  <c r="H593" i="11"/>
  <c r="J592" i="11"/>
  <c r="I592" i="11"/>
  <c r="H592" i="11"/>
  <c r="J591" i="11"/>
  <c r="I591" i="11"/>
  <c r="H591" i="11"/>
  <c r="J590" i="11"/>
  <c r="I590" i="11"/>
  <c r="H590" i="11"/>
  <c r="J589" i="11"/>
  <c r="I589" i="11"/>
  <c r="H589" i="11"/>
  <c r="J588" i="11"/>
  <c r="I588" i="11"/>
  <c r="H588" i="11"/>
  <c r="J587" i="11"/>
  <c r="I587" i="11"/>
  <c r="H587" i="11"/>
  <c r="J586" i="11"/>
  <c r="I586" i="11"/>
  <c r="H586" i="11"/>
  <c r="J585" i="11"/>
  <c r="I585" i="11"/>
  <c r="H585" i="11"/>
  <c r="J584" i="11"/>
  <c r="I584" i="11"/>
  <c r="H584" i="11"/>
  <c r="J583" i="11"/>
  <c r="I583" i="11"/>
  <c r="H583" i="11"/>
  <c r="J582" i="11"/>
  <c r="I582" i="11"/>
  <c r="H582" i="11"/>
  <c r="J581" i="11"/>
  <c r="I581" i="11"/>
  <c r="H581" i="11"/>
  <c r="J580" i="11"/>
  <c r="I580" i="11"/>
  <c r="H580" i="11"/>
  <c r="J579" i="11"/>
  <c r="I579" i="11"/>
  <c r="H579" i="11"/>
  <c r="J578" i="11"/>
  <c r="I578" i="11"/>
  <c r="H578" i="11"/>
  <c r="J577" i="11"/>
  <c r="I577" i="11"/>
  <c r="H577" i="11"/>
  <c r="J576" i="11"/>
  <c r="I576" i="11"/>
  <c r="H576" i="11"/>
  <c r="J575" i="11"/>
  <c r="I575" i="11"/>
  <c r="H575" i="11"/>
  <c r="J574" i="11"/>
  <c r="I574" i="11"/>
  <c r="H574" i="11"/>
  <c r="J573" i="11"/>
  <c r="I573" i="11"/>
  <c r="H573" i="11"/>
  <c r="J572" i="11"/>
  <c r="I572" i="11"/>
  <c r="H572" i="11"/>
  <c r="J571" i="11"/>
  <c r="I571" i="11"/>
  <c r="H571" i="11"/>
  <c r="J570" i="11"/>
  <c r="I570" i="11"/>
  <c r="H570" i="11"/>
  <c r="J569" i="11"/>
  <c r="I569" i="11"/>
  <c r="H569" i="11"/>
  <c r="J568" i="11"/>
  <c r="I568" i="11"/>
  <c r="H568" i="11"/>
  <c r="J567" i="11"/>
  <c r="I567" i="11"/>
  <c r="H567" i="11"/>
  <c r="J566" i="11"/>
  <c r="I566" i="11"/>
  <c r="H566" i="11"/>
  <c r="J565" i="11"/>
  <c r="I565" i="11"/>
  <c r="H565" i="11"/>
  <c r="J564" i="11"/>
  <c r="I564" i="11"/>
  <c r="H564" i="11"/>
  <c r="J563" i="11"/>
  <c r="I563" i="11"/>
  <c r="H563" i="11"/>
  <c r="J562" i="11"/>
  <c r="I562" i="11"/>
  <c r="H562" i="11"/>
  <c r="J561" i="11"/>
  <c r="I561" i="11"/>
  <c r="H561" i="11"/>
  <c r="J560" i="11"/>
  <c r="I560" i="11"/>
  <c r="H560" i="11"/>
  <c r="J559" i="11"/>
  <c r="I559" i="11"/>
  <c r="H559" i="11"/>
  <c r="J558" i="11"/>
  <c r="I558" i="11"/>
  <c r="H558" i="11"/>
  <c r="J557" i="11"/>
  <c r="I557" i="11"/>
  <c r="H557" i="11"/>
  <c r="J556" i="11"/>
  <c r="I556" i="11"/>
  <c r="H556" i="11"/>
  <c r="J555" i="11"/>
  <c r="I555" i="11"/>
  <c r="H555" i="11"/>
  <c r="J554" i="11"/>
  <c r="I554" i="11"/>
  <c r="H554" i="11"/>
  <c r="J553" i="11"/>
  <c r="I553" i="11"/>
  <c r="H553" i="11"/>
  <c r="J552" i="11"/>
  <c r="I552" i="11"/>
  <c r="H552" i="11"/>
  <c r="J551" i="11"/>
  <c r="I551" i="11"/>
  <c r="H551" i="11"/>
  <c r="J550" i="11"/>
  <c r="I550" i="11"/>
  <c r="H550" i="11"/>
  <c r="J549" i="11"/>
  <c r="I549" i="11"/>
  <c r="H549" i="11"/>
  <c r="J548" i="11"/>
  <c r="I548" i="11"/>
  <c r="H548" i="11"/>
  <c r="J547" i="11"/>
  <c r="I547" i="11"/>
  <c r="H547" i="11"/>
  <c r="J546" i="11"/>
  <c r="I546" i="11"/>
  <c r="H546" i="11"/>
  <c r="J545" i="11"/>
  <c r="I545" i="11"/>
  <c r="H545" i="11"/>
  <c r="J544" i="11"/>
  <c r="I544" i="11"/>
  <c r="H544" i="11"/>
  <c r="J543" i="11"/>
  <c r="I543" i="11"/>
  <c r="H543" i="11"/>
  <c r="J542" i="11"/>
  <c r="I542" i="11"/>
  <c r="H542" i="11"/>
  <c r="J541" i="11"/>
  <c r="I541" i="11"/>
  <c r="H541" i="11"/>
  <c r="J540" i="11"/>
  <c r="I540" i="11"/>
  <c r="H540" i="11"/>
  <c r="J539" i="11"/>
  <c r="I539" i="11"/>
  <c r="H539" i="11"/>
  <c r="J538" i="11"/>
  <c r="I538" i="11"/>
  <c r="H538" i="11"/>
  <c r="J537" i="11"/>
  <c r="I537" i="11"/>
  <c r="H537" i="11"/>
  <c r="J536" i="11"/>
  <c r="I536" i="11"/>
  <c r="H536" i="11"/>
  <c r="J535" i="11"/>
  <c r="I535" i="11"/>
  <c r="H535" i="11"/>
  <c r="J534" i="11"/>
  <c r="I534" i="11"/>
  <c r="H534" i="11"/>
  <c r="J533" i="11"/>
  <c r="I533" i="11"/>
  <c r="H533" i="11"/>
  <c r="J532" i="11"/>
  <c r="I532" i="11"/>
  <c r="H532" i="11"/>
  <c r="J531" i="11"/>
  <c r="I531" i="11"/>
  <c r="H531" i="11"/>
  <c r="J530" i="11"/>
  <c r="I530" i="11"/>
  <c r="H530" i="11"/>
  <c r="J529" i="11"/>
  <c r="I529" i="11"/>
  <c r="H529" i="11"/>
  <c r="J528" i="11"/>
  <c r="I528" i="11"/>
  <c r="H528" i="11"/>
  <c r="J527" i="11"/>
  <c r="I527" i="11"/>
  <c r="H527" i="11"/>
  <c r="J526" i="11"/>
  <c r="I526" i="11"/>
  <c r="H526" i="11"/>
  <c r="J525" i="11"/>
  <c r="I525" i="11"/>
  <c r="H525" i="11"/>
  <c r="J524" i="11"/>
  <c r="I524" i="11"/>
  <c r="H524" i="11"/>
  <c r="J523" i="11"/>
  <c r="I523" i="11"/>
  <c r="H523" i="11"/>
  <c r="J522" i="11"/>
  <c r="I522" i="11"/>
  <c r="H522" i="11"/>
  <c r="J521" i="11"/>
  <c r="I521" i="11"/>
  <c r="H521" i="11"/>
  <c r="J520" i="11"/>
  <c r="I520" i="11"/>
  <c r="H520" i="11"/>
  <c r="J519" i="11"/>
  <c r="I519" i="11"/>
  <c r="H519" i="11"/>
  <c r="J518" i="11"/>
  <c r="I518" i="11"/>
  <c r="H518" i="11"/>
  <c r="J517" i="11"/>
  <c r="I517" i="11"/>
  <c r="H517" i="11"/>
  <c r="J516" i="11"/>
  <c r="I516" i="11"/>
  <c r="H516" i="11"/>
  <c r="J515" i="11"/>
  <c r="I515" i="11"/>
  <c r="H515" i="11"/>
  <c r="J514" i="11"/>
  <c r="I514" i="11"/>
  <c r="H514" i="11"/>
  <c r="J513" i="11"/>
  <c r="I513" i="11"/>
  <c r="H513" i="11"/>
  <c r="J512" i="11"/>
  <c r="I512" i="11"/>
  <c r="H512" i="11"/>
  <c r="J511" i="11"/>
  <c r="I511" i="11"/>
  <c r="H511" i="11"/>
  <c r="J510" i="11"/>
  <c r="I510" i="11"/>
  <c r="H510" i="11"/>
  <c r="J509" i="11"/>
  <c r="I509" i="11"/>
  <c r="H509" i="11"/>
  <c r="J508" i="11"/>
  <c r="I508" i="11"/>
  <c r="H508" i="11"/>
  <c r="J507" i="11"/>
  <c r="I507" i="11"/>
  <c r="H507" i="11"/>
  <c r="J506" i="11"/>
  <c r="I506" i="11"/>
  <c r="H506" i="11"/>
  <c r="J505" i="11"/>
  <c r="I505" i="11"/>
  <c r="H505" i="11"/>
  <c r="J504" i="11"/>
  <c r="I504" i="11"/>
  <c r="H504" i="11"/>
  <c r="J503" i="11"/>
  <c r="I503" i="11"/>
  <c r="H503" i="11"/>
  <c r="J502" i="11"/>
  <c r="I502" i="11"/>
  <c r="H502" i="11"/>
  <c r="J501" i="11"/>
  <c r="I501" i="11"/>
  <c r="H501" i="11"/>
  <c r="J500" i="11"/>
  <c r="I500" i="11"/>
  <c r="H500" i="11"/>
  <c r="J499" i="11"/>
  <c r="I499" i="11"/>
  <c r="H499" i="11"/>
  <c r="J498" i="11"/>
  <c r="I498" i="11"/>
  <c r="H498" i="11"/>
  <c r="J497" i="11"/>
  <c r="I497" i="11"/>
  <c r="H497" i="11"/>
  <c r="J496" i="11"/>
  <c r="I496" i="11"/>
  <c r="H496" i="11"/>
  <c r="J495" i="11"/>
  <c r="I495" i="11"/>
  <c r="H495" i="11"/>
  <c r="J494" i="11"/>
  <c r="I494" i="11"/>
  <c r="H494" i="11"/>
  <c r="J493" i="11"/>
  <c r="I493" i="11"/>
  <c r="H493" i="11"/>
  <c r="J492" i="11"/>
  <c r="I492" i="11"/>
  <c r="H492" i="11"/>
  <c r="J491" i="11"/>
  <c r="I491" i="11"/>
  <c r="H491" i="11"/>
  <c r="J490" i="11"/>
  <c r="I490" i="11"/>
  <c r="H490" i="11"/>
  <c r="J489" i="11"/>
  <c r="I489" i="11"/>
  <c r="H489" i="11"/>
  <c r="J488" i="11"/>
  <c r="I488" i="11"/>
  <c r="H488" i="11"/>
  <c r="J487" i="11"/>
  <c r="I487" i="11"/>
  <c r="H487" i="11"/>
  <c r="J486" i="11"/>
  <c r="I486" i="11"/>
  <c r="H486" i="11"/>
  <c r="J485" i="11"/>
  <c r="I485" i="11"/>
  <c r="H485" i="11"/>
  <c r="J484" i="11"/>
  <c r="I484" i="11"/>
  <c r="H484" i="11"/>
  <c r="J483" i="11"/>
  <c r="I483" i="11"/>
  <c r="H483" i="11"/>
  <c r="J482" i="11"/>
  <c r="I482" i="11"/>
  <c r="H482" i="11"/>
  <c r="J481" i="11"/>
  <c r="I481" i="11"/>
  <c r="H481" i="11"/>
  <c r="J480" i="11"/>
  <c r="I480" i="11"/>
  <c r="H480" i="11"/>
  <c r="J479" i="11"/>
  <c r="I479" i="11"/>
  <c r="H479" i="11"/>
  <c r="J478" i="11"/>
  <c r="I478" i="11"/>
  <c r="H478" i="11"/>
  <c r="J477" i="11"/>
  <c r="I477" i="11"/>
  <c r="H477" i="11"/>
  <c r="J476" i="11"/>
  <c r="I476" i="11"/>
  <c r="H476" i="11"/>
  <c r="J475" i="11"/>
  <c r="I475" i="11"/>
  <c r="H475" i="11"/>
  <c r="J474" i="11"/>
  <c r="I474" i="11"/>
  <c r="H474" i="11"/>
  <c r="J473" i="11"/>
  <c r="I473" i="11"/>
  <c r="H473" i="11"/>
  <c r="J472" i="11"/>
  <c r="I472" i="11"/>
  <c r="H472" i="11"/>
  <c r="J471" i="11"/>
  <c r="I471" i="11"/>
  <c r="H471" i="11"/>
  <c r="J470" i="11"/>
  <c r="I470" i="11"/>
  <c r="H470" i="11"/>
  <c r="J469" i="11"/>
  <c r="I469" i="11"/>
  <c r="H469" i="11"/>
  <c r="J468" i="11"/>
  <c r="I468" i="11"/>
  <c r="H468" i="11"/>
  <c r="J467" i="11"/>
  <c r="I467" i="11"/>
  <c r="H467" i="11"/>
  <c r="J466" i="11"/>
  <c r="I466" i="11"/>
  <c r="H466" i="11"/>
  <c r="J465" i="11"/>
  <c r="I465" i="11"/>
  <c r="H465" i="11"/>
  <c r="J464" i="11"/>
  <c r="I464" i="11"/>
  <c r="H464" i="11"/>
  <c r="J463" i="11"/>
  <c r="I463" i="11"/>
  <c r="H463" i="11"/>
  <c r="J462" i="11"/>
  <c r="I462" i="11"/>
  <c r="H462" i="11"/>
  <c r="J461" i="11"/>
  <c r="I461" i="11"/>
  <c r="H461" i="11"/>
  <c r="J460" i="11"/>
  <c r="I460" i="11"/>
  <c r="H460" i="11"/>
  <c r="J459" i="11"/>
  <c r="I459" i="11"/>
  <c r="H459" i="11"/>
  <c r="J458" i="11"/>
  <c r="I458" i="11"/>
  <c r="H458" i="11"/>
  <c r="J457" i="11"/>
  <c r="I457" i="11"/>
  <c r="H457" i="11"/>
  <c r="J456" i="11"/>
  <c r="I456" i="11"/>
  <c r="H456" i="11"/>
  <c r="J455" i="11"/>
  <c r="I455" i="11"/>
  <c r="H455" i="11"/>
  <c r="J454" i="11"/>
  <c r="I454" i="11"/>
  <c r="H454" i="11"/>
  <c r="J453" i="11"/>
  <c r="I453" i="11"/>
  <c r="H453" i="11"/>
  <c r="J452" i="11"/>
  <c r="I452" i="11"/>
  <c r="H452" i="11"/>
  <c r="J451" i="11"/>
  <c r="I451" i="11"/>
  <c r="H451" i="11"/>
  <c r="J450" i="11"/>
  <c r="I450" i="11"/>
  <c r="H450" i="11"/>
  <c r="J449" i="11"/>
  <c r="I449" i="11"/>
  <c r="H449" i="11"/>
  <c r="J448" i="11"/>
  <c r="I448" i="11"/>
  <c r="H448" i="11"/>
  <c r="J447" i="11"/>
  <c r="I447" i="11"/>
  <c r="H447" i="11"/>
  <c r="J446" i="11"/>
  <c r="I446" i="11"/>
  <c r="H446" i="11"/>
  <c r="J445" i="11"/>
  <c r="I445" i="11"/>
  <c r="H445" i="11"/>
  <c r="J444" i="11"/>
  <c r="I444" i="11"/>
  <c r="H444" i="11"/>
  <c r="J443" i="11"/>
  <c r="I443" i="11"/>
  <c r="H443" i="11"/>
  <c r="J442" i="11"/>
  <c r="I442" i="11"/>
  <c r="H442" i="11"/>
  <c r="J441" i="11"/>
  <c r="I441" i="11"/>
  <c r="H441" i="11"/>
  <c r="J440" i="11"/>
  <c r="I440" i="11"/>
  <c r="H440" i="11"/>
  <c r="J439" i="11"/>
  <c r="I439" i="11"/>
  <c r="H439" i="11"/>
  <c r="J438" i="11"/>
  <c r="I438" i="11"/>
  <c r="H438" i="11"/>
  <c r="J437" i="11"/>
  <c r="I437" i="11"/>
  <c r="H437" i="11"/>
  <c r="J436" i="11"/>
  <c r="I436" i="11"/>
  <c r="H436" i="11"/>
  <c r="J435" i="11"/>
  <c r="I435" i="11"/>
  <c r="H435" i="11"/>
  <c r="J434" i="11"/>
  <c r="I434" i="11"/>
  <c r="H434" i="11"/>
  <c r="J433" i="11"/>
  <c r="I433" i="11"/>
  <c r="H433" i="11"/>
  <c r="J432" i="11"/>
  <c r="I432" i="11"/>
  <c r="H432" i="11"/>
  <c r="J431" i="11"/>
  <c r="I431" i="11"/>
  <c r="H431" i="11"/>
  <c r="J430" i="11"/>
  <c r="I430" i="11"/>
  <c r="H430" i="11"/>
  <c r="J429" i="11"/>
  <c r="I429" i="11"/>
  <c r="H429" i="11"/>
  <c r="J428" i="11"/>
  <c r="I428" i="11"/>
  <c r="H428" i="11"/>
  <c r="J427" i="11"/>
  <c r="I427" i="11"/>
  <c r="H427" i="11"/>
  <c r="J426" i="11"/>
  <c r="I426" i="11"/>
  <c r="H426" i="11"/>
  <c r="J425" i="11"/>
  <c r="I425" i="11"/>
  <c r="H425" i="11"/>
  <c r="J424" i="11"/>
  <c r="I424" i="11"/>
  <c r="H424" i="11"/>
  <c r="J423" i="11"/>
  <c r="I423" i="11"/>
  <c r="H423" i="11"/>
  <c r="J422" i="11"/>
  <c r="I422" i="11"/>
  <c r="H422" i="11"/>
  <c r="J421" i="11"/>
  <c r="I421" i="11"/>
  <c r="H421" i="11"/>
  <c r="J420" i="11"/>
  <c r="I420" i="11"/>
  <c r="H420" i="11"/>
  <c r="J419" i="11"/>
  <c r="I419" i="11"/>
  <c r="H419" i="11"/>
  <c r="J418" i="11"/>
  <c r="I418" i="11"/>
  <c r="H418" i="11"/>
  <c r="J417" i="11"/>
  <c r="I417" i="11"/>
  <c r="H417" i="11"/>
  <c r="J416" i="11"/>
  <c r="I416" i="11"/>
  <c r="H416" i="11"/>
  <c r="J415" i="11"/>
  <c r="I415" i="11"/>
  <c r="H415" i="11"/>
  <c r="J414" i="11"/>
  <c r="I414" i="11"/>
  <c r="H414" i="11"/>
  <c r="J413" i="11"/>
  <c r="I413" i="11"/>
  <c r="H413" i="11"/>
  <c r="J412" i="11"/>
  <c r="I412" i="11"/>
  <c r="H412" i="11"/>
  <c r="J411" i="11"/>
  <c r="I411" i="11"/>
  <c r="H411" i="11"/>
  <c r="J410" i="11"/>
  <c r="I410" i="11"/>
  <c r="H410" i="11"/>
  <c r="J409" i="11"/>
  <c r="I409" i="11"/>
  <c r="H409" i="11"/>
  <c r="J408" i="11"/>
  <c r="I408" i="11"/>
  <c r="H408" i="11"/>
  <c r="J407" i="11"/>
  <c r="I407" i="11"/>
  <c r="H407" i="11"/>
  <c r="J406" i="11"/>
  <c r="I406" i="11"/>
  <c r="H406" i="11"/>
  <c r="J405" i="11"/>
  <c r="I405" i="11"/>
  <c r="H405" i="11"/>
  <c r="J404" i="11"/>
  <c r="I404" i="11"/>
  <c r="H404" i="11"/>
  <c r="J403" i="11"/>
  <c r="I403" i="11"/>
  <c r="H403" i="11"/>
  <c r="J402" i="11"/>
  <c r="I402" i="11"/>
  <c r="H402" i="11"/>
  <c r="J401" i="11"/>
  <c r="I401" i="11"/>
  <c r="H401" i="11"/>
  <c r="J400" i="11"/>
  <c r="I400" i="11"/>
  <c r="H400" i="11"/>
  <c r="J399" i="11"/>
  <c r="I399" i="11"/>
  <c r="H399" i="11"/>
  <c r="J398" i="11"/>
  <c r="I398" i="11"/>
  <c r="H398" i="11"/>
  <c r="J397" i="11"/>
  <c r="I397" i="11"/>
  <c r="H397" i="11"/>
  <c r="J396" i="11"/>
  <c r="I396" i="11"/>
  <c r="H396" i="11"/>
  <c r="J395" i="11"/>
  <c r="I395" i="11"/>
  <c r="H395" i="11"/>
  <c r="J394" i="11"/>
  <c r="I394" i="11"/>
  <c r="H394" i="11"/>
  <c r="J393" i="11"/>
  <c r="I393" i="11"/>
  <c r="H393" i="11"/>
  <c r="J392" i="11"/>
  <c r="I392" i="11"/>
  <c r="H392" i="11"/>
  <c r="J391" i="11"/>
  <c r="I391" i="11"/>
  <c r="H391" i="11"/>
  <c r="J390" i="11"/>
  <c r="I390" i="11"/>
  <c r="H390" i="11"/>
  <c r="J389" i="11"/>
  <c r="I389" i="11"/>
  <c r="H389" i="11"/>
  <c r="J388" i="11"/>
  <c r="I388" i="11"/>
  <c r="H388" i="11"/>
  <c r="J387" i="11"/>
  <c r="I387" i="11"/>
  <c r="H387" i="11"/>
  <c r="J386" i="11"/>
  <c r="I386" i="11"/>
  <c r="H386" i="11"/>
  <c r="J385" i="11"/>
  <c r="I385" i="11"/>
  <c r="H385" i="11"/>
  <c r="J384" i="11"/>
  <c r="I384" i="11"/>
  <c r="H384" i="11"/>
  <c r="J383" i="11"/>
  <c r="I383" i="11"/>
  <c r="H383" i="11"/>
  <c r="J382" i="11"/>
  <c r="I382" i="11"/>
  <c r="H382" i="11"/>
  <c r="J381" i="11"/>
  <c r="I381" i="11"/>
  <c r="H381" i="11"/>
  <c r="J380" i="11"/>
  <c r="I380" i="11"/>
  <c r="H380" i="11"/>
  <c r="J379" i="11"/>
  <c r="I379" i="11"/>
  <c r="H379" i="11"/>
  <c r="J378" i="11"/>
  <c r="I378" i="11"/>
  <c r="H378" i="11"/>
  <c r="J377" i="11"/>
  <c r="I377" i="11"/>
  <c r="H377" i="11"/>
  <c r="J376" i="11"/>
  <c r="I376" i="11"/>
  <c r="H376" i="11"/>
  <c r="J375" i="11"/>
  <c r="I375" i="11"/>
  <c r="H375" i="11"/>
  <c r="J374" i="11"/>
  <c r="I374" i="11"/>
  <c r="H374" i="11"/>
  <c r="J373" i="11"/>
  <c r="I373" i="11"/>
  <c r="H373" i="11"/>
  <c r="J372" i="11"/>
  <c r="I372" i="11"/>
  <c r="H372" i="11"/>
  <c r="J371" i="11"/>
  <c r="I371" i="11"/>
  <c r="H371" i="11"/>
  <c r="J370" i="11"/>
  <c r="I370" i="11"/>
  <c r="H370" i="11"/>
  <c r="J369" i="11"/>
  <c r="I369" i="11"/>
  <c r="H369" i="11"/>
  <c r="J368" i="11"/>
  <c r="I368" i="11"/>
  <c r="H368" i="11"/>
  <c r="J367" i="11"/>
  <c r="I367" i="11"/>
  <c r="H367" i="11"/>
  <c r="J366" i="11"/>
  <c r="I366" i="11"/>
  <c r="H366" i="11"/>
  <c r="J365" i="11"/>
  <c r="I365" i="11"/>
  <c r="H365" i="11"/>
  <c r="J364" i="11"/>
  <c r="I364" i="11"/>
  <c r="H364" i="11"/>
  <c r="J363" i="11"/>
  <c r="I363" i="11"/>
  <c r="H363" i="11"/>
  <c r="J362" i="11"/>
  <c r="I362" i="11"/>
  <c r="H362" i="11"/>
  <c r="J361" i="11"/>
  <c r="I361" i="11"/>
  <c r="H361" i="11"/>
  <c r="J360" i="11"/>
  <c r="I360" i="11"/>
  <c r="H360" i="11"/>
  <c r="J359" i="11"/>
  <c r="I359" i="11"/>
  <c r="H359" i="11"/>
  <c r="J358" i="11"/>
  <c r="I358" i="11"/>
  <c r="H358" i="11"/>
  <c r="J357" i="11"/>
  <c r="I357" i="11"/>
  <c r="H357" i="11"/>
  <c r="J356" i="11"/>
  <c r="I356" i="11"/>
  <c r="H356" i="11"/>
  <c r="J355" i="11"/>
  <c r="I355" i="11"/>
  <c r="H355" i="11"/>
  <c r="J354" i="11"/>
  <c r="I354" i="11"/>
  <c r="H354" i="11"/>
  <c r="J353" i="11"/>
  <c r="I353" i="11"/>
  <c r="H353" i="11"/>
  <c r="J352" i="11"/>
  <c r="I352" i="11"/>
  <c r="H352" i="11"/>
  <c r="J351" i="11"/>
  <c r="I351" i="11"/>
  <c r="H351" i="11"/>
  <c r="J350" i="11"/>
  <c r="I350" i="11"/>
  <c r="H350" i="11"/>
  <c r="J349" i="11"/>
  <c r="I349" i="11"/>
  <c r="H349" i="11"/>
  <c r="J348" i="11"/>
  <c r="I348" i="11"/>
  <c r="H348" i="11"/>
  <c r="J347" i="11"/>
  <c r="I347" i="11"/>
  <c r="H347" i="11"/>
  <c r="J346" i="11"/>
  <c r="I346" i="11"/>
  <c r="H346" i="11"/>
  <c r="J345" i="11"/>
  <c r="I345" i="11"/>
  <c r="H345" i="11"/>
  <c r="J344" i="11"/>
  <c r="I344" i="11"/>
  <c r="H344" i="11"/>
  <c r="J343" i="11"/>
  <c r="I343" i="11"/>
  <c r="H343" i="11"/>
  <c r="J342" i="11"/>
  <c r="I342" i="11"/>
  <c r="H342" i="11"/>
  <c r="J341" i="11"/>
  <c r="I341" i="11"/>
  <c r="H341" i="11"/>
  <c r="J340" i="11"/>
  <c r="I340" i="11"/>
  <c r="H340" i="11"/>
  <c r="J339" i="11"/>
  <c r="I339" i="11"/>
  <c r="H339" i="11"/>
  <c r="J338" i="11"/>
  <c r="I338" i="11"/>
  <c r="H338" i="11"/>
  <c r="J337" i="11"/>
  <c r="I337" i="11"/>
  <c r="H337" i="11"/>
  <c r="J336" i="11"/>
  <c r="I336" i="11"/>
  <c r="H336" i="11"/>
  <c r="J335" i="11"/>
  <c r="I335" i="11"/>
  <c r="H335" i="11"/>
  <c r="J334" i="11"/>
  <c r="I334" i="11"/>
  <c r="H334" i="11"/>
  <c r="J333" i="11"/>
  <c r="I333" i="11"/>
  <c r="H333" i="11"/>
  <c r="J332" i="11"/>
  <c r="I332" i="11"/>
  <c r="H332" i="11"/>
  <c r="J331" i="11"/>
  <c r="I331" i="11"/>
  <c r="H331" i="11"/>
  <c r="J330" i="11"/>
  <c r="I330" i="11"/>
  <c r="H330" i="11"/>
  <c r="J329" i="11"/>
  <c r="I329" i="11"/>
  <c r="H329" i="11"/>
  <c r="J328" i="11"/>
  <c r="I328" i="11"/>
  <c r="H328" i="11"/>
  <c r="J327" i="11"/>
  <c r="I327" i="11"/>
  <c r="H327" i="11"/>
  <c r="J326" i="11"/>
  <c r="I326" i="11"/>
  <c r="H326" i="11"/>
  <c r="J325" i="11"/>
  <c r="I325" i="11"/>
  <c r="H325" i="11"/>
  <c r="J324" i="11"/>
  <c r="I324" i="11"/>
  <c r="H324" i="11"/>
  <c r="J323" i="11"/>
  <c r="I323" i="11"/>
  <c r="H323" i="11"/>
  <c r="J322" i="11"/>
  <c r="I322" i="11"/>
  <c r="H322" i="11"/>
  <c r="J321" i="11"/>
  <c r="I321" i="11"/>
  <c r="H321" i="11"/>
  <c r="J320" i="11"/>
  <c r="I320" i="11"/>
  <c r="H320" i="11"/>
  <c r="J319" i="11"/>
  <c r="I319" i="11"/>
  <c r="H319" i="11"/>
  <c r="J318" i="11"/>
  <c r="I318" i="11"/>
  <c r="H318" i="11"/>
  <c r="J317" i="11"/>
  <c r="I317" i="11"/>
  <c r="H317" i="11"/>
  <c r="J316" i="11"/>
  <c r="I316" i="11"/>
  <c r="H316" i="11"/>
  <c r="J315" i="11"/>
  <c r="I315" i="11"/>
  <c r="H315" i="11"/>
  <c r="J314" i="11"/>
  <c r="I314" i="11"/>
  <c r="H314" i="11"/>
  <c r="J313" i="11"/>
  <c r="I313" i="11"/>
  <c r="H313" i="11"/>
  <c r="J312" i="11"/>
  <c r="I312" i="11"/>
  <c r="H312" i="11"/>
  <c r="J311" i="11"/>
  <c r="I311" i="11"/>
  <c r="H311" i="11"/>
  <c r="J310" i="11"/>
  <c r="I310" i="11"/>
  <c r="H310" i="11"/>
  <c r="J309" i="11"/>
  <c r="I309" i="11"/>
  <c r="H309" i="11"/>
  <c r="J308" i="11"/>
  <c r="I308" i="11"/>
  <c r="H308" i="11"/>
  <c r="J307" i="11"/>
  <c r="I307" i="11"/>
  <c r="H307" i="11"/>
  <c r="J306" i="11"/>
  <c r="I306" i="11"/>
  <c r="H306" i="11"/>
  <c r="J305" i="11"/>
  <c r="I305" i="11"/>
  <c r="H305" i="11"/>
  <c r="J304" i="11"/>
  <c r="I304" i="11"/>
  <c r="H304" i="11"/>
  <c r="J303" i="11"/>
  <c r="I303" i="11"/>
  <c r="H303" i="11"/>
  <c r="J302" i="11"/>
  <c r="I302" i="11"/>
  <c r="H302" i="11"/>
  <c r="J301" i="11"/>
  <c r="I301" i="11"/>
  <c r="H301" i="11"/>
  <c r="J300" i="11"/>
  <c r="I300" i="11"/>
  <c r="H300" i="11"/>
  <c r="J299" i="11"/>
  <c r="I299" i="11"/>
  <c r="H299" i="11"/>
  <c r="J298" i="11"/>
  <c r="I298" i="11"/>
  <c r="H298" i="11"/>
  <c r="J297" i="11"/>
  <c r="I297" i="11"/>
  <c r="H297" i="11"/>
  <c r="J296" i="11"/>
  <c r="I296" i="11"/>
  <c r="H296" i="11"/>
  <c r="J295" i="11"/>
  <c r="I295" i="11"/>
  <c r="H295" i="11"/>
  <c r="J294" i="11"/>
  <c r="I294" i="11"/>
  <c r="H294" i="11"/>
  <c r="J293" i="11"/>
  <c r="I293" i="11"/>
  <c r="H293" i="11"/>
  <c r="J292" i="11"/>
  <c r="I292" i="11"/>
  <c r="H292" i="11"/>
  <c r="J291" i="11"/>
  <c r="I291" i="11"/>
  <c r="H291" i="11"/>
  <c r="J290" i="11"/>
  <c r="I290" i="11"/>
  <c r="H290" i="11"/>
  <c r="J289" i="11"/>
  <c r="I289" i="11"/>
  <c r="H289" i="11"/>
  <c r="J288" i="11"/>
  <c r="I288" i="11"/>
  <c r="H288" i="11"/>
  <c r="J287" i="11"/>
  <c r="I287" i="11"/>
  <c r="H287" i="11"/>
  <c r="J286" i="11"/>
  <c r="I286" i="11"/>
  <c r="H286" i="11"/>
  <c r="J285" i="11"/>
  <c r="I285" i="11"/>
  <c r="H285" i="11"/>
  <c r="J284" i="11"/>
  <c r="I284" i="11"/>
  <c r="H284" i="11"/>
  <c r="J283" i="11"/>
  <c r="I283" i="11"/>
  <c r="H283" i="11"/>
  <c r="J282" i="11"/>
  <c r="I282" i="11"/>
  <c r="H282" i="11"/>
  <c r="J281" i="11"/>
  <c r="I281" i="11"/>
  <c r="H281" i="11"/>
  <c r="J280" i="11"/>
  <c r="I280" i="11"/>
  <c r="H280" i="11"/>
  <c r="J279" i="11"/>
  <c r="I279" i="11"/>
  <c r="H279" i="11"/>
  <c r="J278" i="11"/>
  <c r="I278" i="11"/>
  <c r="H278" i="11"/>
  <c r="J277" i="11"/>
  <c r="I277" i="11"/>
  <c r="H277" i="11"/>
  <c r="J276" i="11"/>
  <c r="I276" i="11"/>
  <c r="H276" i="11"/>
  <c r="J275" i="11"/>
  <c r="I275" i="11"/>
  <c r="H275" i="11"/>
  <c r="J274" i="11"/>
  <c r="I274" i="11"/>
  <c r="H274" i="11"/>
  <c r="J273" i="11"/>
  <c r="I273" i="11"/>
  <c r="H273" i="11"/>
  <c r="J272" i="11"/>
  <c r="I272" i="11"/>
  <c r="H272" i="11"/>
  <c r="J271" i="11"/>
  <c r="I271" i="11"/>
  <c r="H271" i="11"/>
  <c r="J270" i="11"/>
  <c r="I270" i="11"/>
  <c r="H270" i="11"/>
  <c r="J269" i="11"/>
  <c r="I269" i="11"/>
  <c r="H269" i="11"/>
  <c r="J268" i="11"/>
  <c r="I268" i="11"/>
  <c r="H268" i="11"/>
  <c r="J267" i="11"/>
  <c r="I267" i="11"/>
  <c r="H267" i="11"/>
  <c r="J266" i="11"/>
  <c r="I266" i="11"/>
  <c r="H266" i="11"/>
  <c r="J265" i="11"/>
  <c r="I265" i="11"/>
  <c r="H265" i="11"/>
  <c r="J264" i="11"/>
  <c r="I264" i="11"/>
  <c r="H264" i="11"/>
  <c r="J263" i="11"/>
  <c r="I263" i="11"/>
  <c r="H263" i="11"/>
  <c r="J262" i="11"/>
  <c r="I262" i="11"/>
  <c r="H262" i="11"/>
  <c r="J261" i="11"/>
  <c r="I261" i="11"/>
  <c r="H261" i="11"/>
  <c r="J260" i="11"/>
  <c r="I260" i="11"/>
  <c r="H260" i="11"/>
  <c r="J259" i="11"/>
  <c r="I259" i="11"/>
  <c r="H259" i="11"/>
  <c r="J258" i="11"/>
  <c r="I258" i="11"/>
  <c r="H258" i="11"/>
  <c r="J257" i="11"/>
  <c r="I257" i="11"/>
  <c r="H257" i="11"/>
  <c r="J256" i="11"/>
  <c r="I256" i="11"/>
  <c r="H256" i="11"/>
  <c r="J255" i="11"/>
  <c r="I255" i="11"/>
  <c r="H255" i="11"/>
  <c r="J254" i="11"/>
  <c r="I254" i="11"/>
  <c r="H254" i="11"/>
  <c r="J253" i="11"/>
  <c r="I253" i="11"/>
  <c r="H253" i="11"/>
  <c r="J252" i="11"/>
  <c r="I252" i="11"/>
  <c r="H252" i="11"/>
  <c r="J251" i="11"/>
  <c r="I251" i="11"/>
  <c r="H251" i="11"/>
  <c r="J250" i="11"/>
  <c r="I250" i="11"/>
  <c r="H250" i="11"/>
  <c r="J249" i="11"/>
  <c r="I249" i="11"/>
  <c r="H249" i="11"/>
  <c r="J248" i="11"/>
  <c r="I248" i="11"/>
  <c r="H248" i="11"/>
  <c r="J247" i="11"/>
  <c r="I247" i="11"/>
  <c r="H247" i="11"/>
  <c r="J246" i="11"/>
  <c r="I246" i="11"/>
  <c r="H246" i="11"/>
  <c r="J245" i="11"/>
  <c r="I245" i="11"/>
  <c r="H245" i="11"/>
  <c r="J244" i="11"/>
  <c r="I244" i="11"/>
  <c r="H244" i="11"/>
  <c r="J243" i="11"/>
  <c r="I243" i="11"/>
  <c r="H243" i="11"/>
  <c r="J242" i="11"/>
  <c r="I242" i="11"/>
  <c r="H242" i="11"/>
  <c r="J241" i="11"/>
  <c r="I241" i="11"/>
  <c r="H241" i="11"/>
  <c r="J240" i="11"/>
  <c r="I240" i="11"/>
  <c r="H240" i="11"/>
  <c r="J239" i="11"/>
  <c r="I239" i="11"/>
  <c r="H239" i="11"/>
  <c r="J238" i="11"/>
  <c r="I238" i="11"/>
  <c r="H238" i="11"/>
  <c r="J237" i="11"/>
  <c r="I237" i="11"/>
  <c r="H237" i="11"/>
  <c r="J236" i="11"/>
  <c r="I236" i="11"/>
  <c r="H236" i="11"/>
  <c r="J235" i="11"/>
  <c r="I235" i="11"/>
  <c r="H235" i="11"/>
  <c r="J234" i="11"/>
  <c r="I234" i="11"/>
  <c r="H234" i="11"/>
  <c r="J233" i="11"/>
  <c r="I233" i="11"/>
  <c r="H233" i="11"/>
  <c r="J232" i="11"/>
  <c r="I232" i="11"/>
  <c r="H232" i="11"/>
  <c r="J231" i="11"/>
  <c r="I231" i="11"/>
  <c r="H231" i="11"/>
  <c r="J230" i="11"/>
  <c r="I230" i="11"/>
  <c r="H230" i="11"/>
  <c r="J229" i="11"/>
  <c r="I229" i="11"/>
  <c r="H229" i="11"/>
  <c r="J228" i="11"/>
  <c r="I228" i="11"/>
  <c r="H228" i="11"/>
  <c r="J227" i="11"/>
  <c r="I227" i="11"/>
  <c r="H227" i="11"/>
  <c r="J226" i="11"/>
  <c r="I226" i="11"/>
  <c r="H226" i="11"/>
  <c r="J225" i="11"/>
  <c r="I225" i="11"/>
  <c r="H225" i="11"/>
  <c r="J224" i="11"/>
  <c r="I224" i="11"/>
  <c r="H224" i="11"/>
  <c r="J223" i="11"/>
  <c r="I223" i="11"/>
  <c r="H223" i="11"/>
  <c r="J222" i="11"/>
  <c r="I222" i="11"/>
  <c r="H222" i="11"/>
  <c r="J221" i="11"/>
  <c r="I221" i="11"/>
  <c r="H221" i="11"/>
  <c r="J220" i="11"/>
  <c r="I220" i="11"/>
  <c r="H220" i="11"/>
  <c r="J219" i="11"/>
  <c r="I219" i="11"/>
  <c r="H219" i="11"/>
  <c r="J218" i="11"/>
  <c r="I218" i="11"/>
  <c r="H218" i="11"/>
  <c r="J217" i="11"/>
  <c r="I217" i="11"/>
  <c r="H217" i="11"/>
  <c r="J216" i="11"/>
  <c r="I216" i="11"/>
  <c r="H216" i="11"/>
  <c r="J215" i="11"/>
  <c r="I215" i="11"/>
  <c r="H215" i="11"/>
  <c r="J214" i="11"/>
  <c r="I214" i="11"/>
  <c r="H214" i="11"/>
  <c r="J213" i="11"/>
  <c r="I213" i="11"/>
  <c r="H213" i="11"/>
  <c r="J212" i="11"/>
  <c r="I212" i="11"/>
  <c r="H212" i="11"/>
  <c r="J211" i="11"/>
  <c r="I211" i="11"/>
  <c r="H211" i="11"/>
  <c r="J210" i="11"/>
  <c r="I210" i="11"/>
  <c r="H210" i="11"/>
  <c r="J209" i="11"/>
  <c r="I209" i="11"/>
  <c r="H209" i="11"/>
  <c r="J208" i="11"/>
  <c r="I208" i="11"/>
  <c r="H208" i="11"/>
  <c r="J207" i="11"/>
  <c r="I207" i="11"/>
  <c r="H207" i="11"/>
  <c r="J206" i="11"/>
  <c r="I206" i="11"/>
  <c r="H206" i="11"/>
  <c r="J205" i="11"/>
  <c r="I205" i="11"/>
  <c r="H205" i="11"/>
  <c r="J204" i="11"/>
  <c r="I204" i="11"/>
  <c r="H204" i="11"/>
  <c r="J203" i="11"/>
  <c r="I203" i="11"/>
  <c r="H203" i="11"/>
  <c r="J202" i="11"/>
  <c r="I202" i="11"/>
  <c r="H202" i="11"/>
  <c r="J201" i="11"/>
  <c r="I201" i="11"/>
  <c r="H201" i="11"/>
  <c r="J200" i="11"/>
  <c r="I200" i="11"/>
  <c r="H200" i="11"/>
  <c r="J199" i="11"/>
  <c r="I199" i="11"/>
  <c r="H199" i="11"/>
  <c r="J198" i="11"/>
  <c r="I198" i="11"/>
  <c r="H198" i="11"/>
  <c r="J197" i="11"/>
  <c r="I197" i="11"/>
  <c r="H197" i="11"/>
  <c r="J196" i="11"/>
  <c r="I196" i="11"/>
  <c r="H196" i="11"/>
  <c r="J195" i="11"/>
  <c r="I195" i="11"/>
  <c r="H195" i="11"/>
  <c r="J194" i="11"/>
  <c r="I194" i="11"/>
  <c r="H194" i="11"/>
  <c r="J193" i="11"/>
  <c r="I193" i="11"/>
  <c r="H193" i="11"/>
  <c r="J192" i="11"/>
  <c r="I192" i="11"/>
  <c r="H192" i="11"/>
  <c r="J191" i="11"/>
  <c r="I191" i="11"/>
  <c r="H191" i="11"/>
  <c r="J190" i="11"/>
  <c r="I190" i="11"/>
  <c r="H190" i="11"/>
  <c r="J189" i="11"/>
  <c r="I189" i="11"/>
  <c r="H189" i="11"/>
  <c r="J188" i="11"/>
  <c r="I188" i="11"/>
  <c r="H188" i="11"/>
  <c r="J187" i="11"/>
  <c r="I187" i="11"/>
  <c r="H187" i="11"/>
  <c r="J186" i="11"/>
  <c r="I186" i="11"/>
  <c r="H186" i="11"/>
  <c r="J185" i="11"/>
  <c r="I185" i="11"/>
  <c r="H185" i="11"/>
  <c r="J184" i="11"/>
  <c r="I184" i="11"/>
  <c r="H184" i="11"/>
  <c r="J183" i="11"/>
  <c r="I183" i="11"/>
  <c r="H183" i="11"/>
  <c r="J182" i="11"/>
  <c r="I182" i="11"/>
  <c r="H182" i="11"/>
  <c r="J181" i="11"/>
  <c r="I181" i="11"/>
  <c r="H181" i="11"/>
  <c r="J180" i="11"/>
  <c r="I180" i="11"/>
  <c r="H180" i="11"/>
  <c r="J179" i="11"/>
  <c r="I179" i="11"/>
  <c r="H179" i="11"/>
  <c r="J178" i="11"/>
  <c r="I178" i="11"/>
  <c r="H178" i="11"/>
  <c r="J177" i="11"/>
  <c r="I177" i="11"/>
  <c r="H177" i="11"/>
  <c r="J176" i="11"/>
  <c r="I176" i="11"/>
  <c r="H176" i="11"/>
  <c r="J175" i="11"/>
  <c r="I175" i="11"/>
  <c r="H175" i="11"/>
  <c r="J174" i="11"/>
  <c r="I174" i="11"/>
  <c r="H174" i="11"/>
  <c r="J173" i="11"/>
  <c r="I173" i="11"/>
  <c r="H173" i="11"/>
  <c r="J172" i="11"/>
  <c r="I172" i="11"/>
  <c r="H172" i="11"/>
  <c r="J171" i="11"/>
  <c r="I171" i="11"/>
  <c r="H171" i="11"/>
  <c r="J170" i="11"/>
  <c r="I170" i="11"/>
  <c r="H170" i="11"/>
  <c r="J169" i="11"/>
  <c r="I169" i="11"/>
  <c r="H169" i="11"/>
  <c r="J168" i="11"/>
  <c r="I168" i="11"/>
  <c r="H168" i="11"/>
  <c r="J167" i="11"/>
  <c r="I167" i="11"/>
  <c r="H167" i="11"/>
  <c r="J166" i="11"/>
  <c r="I166" i="11"/>
  <c r="H166" i="11"/>
  <c r="J165" i="11"/>
  <c r="I165" i="11"/>
  <c r="H165" i="11"/>
  <c r="J164" i="11"/>
  <c r="I164" i="11"/>
  <c r="H164" i="11"/>
  <c r="J163" i="11"/>
  <c r="I163" i="11"/>
  <c r="H163" i="11"/>
  <c r="J162" i="11"/>
  <c r="I162" i="11"/>
  <c r="H162" i="11"/>
  <c r="J161" i="11"/>
  <c r="I161" i="11"/>
  <c r="H161" i="11"/>
  <c r="J160" i="11"/>
  <c r="I160" i="11"/>
  <c r="H160" i="11"/>
  <c r="J159" i="11"/>
  <c r="I159" i="11"/>
  <c r="H159" i="11"/>
  <c r="J158" i="11"/>
  <c r="I158" i="11"/>
  <c r="H158" i="11"/>
  <c r="J157" i="11"/>
  <c r="I157" i="11"/>
  <c r="H157" i="11"/>
  <c r="J156" i="11"/>
  <c r="I156" i="11"/>
  <c r="H156" i="11"/>
  <c r="J155" i="11"/>
  <c r="I155" i="11"/>
  <c r="H155" i="11"/>
  <c r="J154" i="11"/>
  <c r="I154" i="11"/>
  <c r="H154" i="11"/>
  <c r="J153" i="11"/>
  <c r="I153" i="11"/>
  <c r="H153" i="11"/>
  <c r="J152" i="11"/>
  <c r="I152" i="11"/>
  <c r="H152" i="11"/>
  <c r="J151" i="11"/>
  <c r="I151" i="11"/>
  <c r="H151" i="11"/>
  <c r="J150" i="11"/>
  <c r="I150" i="11"/>
  <c r="H150" i="11"/>
  <c r="J149" i="11"/>
  <c r="I149" i="11"/>
  <c r="H149" i="11"/>
  <c r="J148" i="11"/>
  <c r="I148" i="11"/>
  <c r="H148" i="11"/>
  <c r="J147" i="11"/>
  <c r="I147" i="11"/>
  <c r="H147" i="11"/>
  <c r="J146" i="11"/>
  <c r="I146" i="11"/>
  <c r="H146" i="11"/>
  <c r="J145" i="11"/>
  <c r="I145" i="11"/>
  <c r="H145" i="11"/>
  <c r="J144" i="11"/>
  <c r="I144" i="11"/>
  <c r="H144" i="11"/>
  <c r="J143" i="11"/>
  <c r="I143" i="11"/>
  <c r="H143" i="11"/>
  <c r="J142" i="11"/>
  <c r="I142" i="11"/>
  <c r="H142" i="11"/>
  <c r="J141" i="11"/>
  <c r="I141" i="11"/>
  <c r="H141" i="11"/>
  <c r="J140" i="11"/>
  <c r="I140" i="11"/>
  <c r="H140" i="11"/>
  <c r="J139" i="11"/>
  <c r="I139" i="11"/>
  <c r="H139" i="11"/>
  <c r="J138" i="11"/>
  <c r="I138" i="11"/>
  <c r="H138" i="11"/>
  <c r="J137" i="11"/>
  <c r="I137" i="11"/>
  <c r="H137" i="11"/>
  <c r="J136" i="11"/>
  <c r="I136" i="11"/>
  <c r="H136" i="11"/>
  <c r="J135" i="11"/>
  <c r="I135" i="11"/>
  <c r="H135" i="11"/>
  <c r="J134" i="11"/>
  <c r="I134" i="11"/>
  <c r="H134" i="11"/>
  <c r="J133" i="11"/>
  <c r="I133" i="11"/>
  <c r="H133" i="11"/>
  <c r="J132" i="11"/>
  <c r="I132" i="11"/>
  <c r="H132" i="11"/>
  <c r="J131" i="11"/>
  <c r="I131" i="11"/>
  <c r="H131" i="11"/>
  <c r="J130" i="11"/>
  <c r="I130" i="11"/>
  <c r="H130" i="11"/>
  <c r="J129" i="11"/>
  <c r="I129" i="11"/>
  <c r="H129" i="11"/>
  <c r="J128" i="11"/>
  <c r="I128" i="11"/>
  <c r="H128" i="11"/>
  <c r="J127" i="11"/>
  <c r="I127" i="11"/>
  <c r="H127" i="11"/>
  <c r="J126" i="11"/>
  <c r="I126" i="11"/>
  <c r="H126" i="11"/>
  <c r="J125" i="11"/>
  <c r="I125" i="11"/>
  <c r="H125" i="11"/>
  <c r="J124" i="11"/>
  <c r="I124" i="11"/>
  <c r="H124" i="11"/>
  <c r="J123" i="11"/>
  <c r="I123" i="11"/>
  <c r="H123" i="11"/>
  <c r="J122" i="11"/>
  <c r="I122" i="11"/>
  <c r="H122" i="11"/>
  <c r="J121" i="11"/>
  <c r="I121" i="11"/>
  <c r="H121" i="11"/>
  <c r="J120" i="11"/>
  <c r="I120" i="11"/>
  <c r="H120" i="11"/>
  <c r="J119" i="11"/>
  <c r="I119" i="11"/>
  <c r="H119" i="11"/>
  <c r="J118" i="11"/>
  <c r="I118" i="11"/>
  <c r="H118" i="11"/>
  <c r="J117" i="11"/>
  <c r="I117" i="11"/>
  <c r="H117" i="11"/>
  <c r="J116" i="11"/>
  <c r="I116" i="11"/>
  <c r="H116" i="11"/>
  <c r="J115" i="11"/>
  <c r="I115" i="11"/>
  <c r="H115" i="11"/>
  <c r="J114" i="11"/>
  <c r="I114" i="11"/>
  <c r="H114" i="11"/>
  <c r="J113" i="11"/>
  <c r="I113" i="11"/>
  <c r="H113" i="11"/>
  <c r="J112" i="11"/>
  <c r="I112" i="11"/>
  <c r="H112" i="11"/>
  <c r="J111" i="11"/>
  <c r="I111" i="11"/>
  <c r="H111" i="11"/>
  <c r="J110" i="11"/>
  <c r="I110" i="11"/>
  <c r="H110" i="11"/>
  <c r="J109" i="11"/>
  <c r="I109" i="11"/>
  <c r="H109" i="11"/>
  <c r="J108" i="11"/>
  <c r="I108" i="11"/>
  <c r="H108" i="11"/>
  <c r="J107" i="11"/>
  <c r="I107" i="11"/>
  <c r="H107" i="11"/>
  <c r="J106" i="11"/>
  <c r="I106" i="11"/>
  <c r="H106" i="11"/>
  <c r="J105" i="11"/>
  <c r="I105" i="11"/>
  <c r="H105" i="11"/>
  <c r="J104" i="11"/>
  <c r="I104" i="11"/>
  <c r="H104" i="11"/>
  <c r="J103" i="11"/>
  <c r="I103" i="11"/>
  <c r="H103" i="11"/>
  <c r="J102" i="11"/>
  <c r="I102" i="11"/>
  <c r="H102" i="11"/>
  <c r="J101" i="11"/>
  <c r="I101" i="11"/>
  <c r="H101" i="11"/>
  <c r="J100" i="11"/>
  <c r="I100" i="11"/>
  <c r="H100" i="11"/>
  <c r="J99" i="11"/>
  <c r="I99" i="11"/>
  <c r="H99" i="11"/>
  <c r="J98" i="11"/>
  <c r="I98" i="11"/>
  <c r="H98" i="11"/>
  <c r="J97" i="11"/>
  <c r="I97" i="11"/>
  <c r="H97" i="11"/>
  <c r="J96" i="11"/>
  <c r="I96" i="11"/>
  <c r="H96" i="11"/>
  <c r="J95" i="11"/>
  <c r="I95" i="11"/>
  <c r="H95" i="11"/>
  <c r="J94" i="11"/>
  <c r="I94" i="11"/>
  <c r="H94" i="11"/>
  <c r="J93" i="11"/>
  <c r="I93" i="11"/>
  <c r="H93" i="11"/>
  <c r="J92" i="11"/>
  <c r="I92" i="11"/>
  <c r="H92" i="11"/>
  <c r="J91" i="11"/>
  <c r="I91" i="11"/>
  <c r="H91" i="11"/>
  <c r="J90" i="11"/>
  <c r="I90" i="11"/>
  <c r="H90" i="11"/>
  <c r="J89" i="11"/>
  <c r="I89" i="11"/>
  <c r="H89" i="11"/>
  <c r="J88" i="11"/>
  <c r="I88" i="11"/>
  <c r="H88" i="11"/>
  <c r="J87" i="11"/>
  <c r="I87" i="11"/>
  <c r="H87" i="11"/>
  <c r="J86" i="11"/>
  <c r="I86" i="11"/>
  <c r="H86" i="11"/>
  <c r="J85" i="11"/>
  <c r="I85" i="11"/>
  <c r="H85" i="11"/>
  <c r="J84" i="11"/>
  <c r="I84" i="11"/>
  <c r="H84" i="11"/>
  <c r="J83" i="11"/>
  <c r="I83" i="11"/>
  <c r="H83" i="11"/>
  <c r="J82" i="11"/>
  <c r="I82" i="11"/>
  <c r="H82" i="11"/>
  <c r="J81" i="11"/>
  <c r="I81" i="11"/>
  <c r="H81" i="11"/>
  <c r="J80" i="11"/>
  <c r="I80" i="11"/>
  <c r="H80" i="11"/>
  <c r="J79" i="11"/>
  <c r="I79" i="11"/>
  <c r="H79" i="11"/>
  <c r="J78" i="11"/>
  <c r="I78" i="11"/>
  <c r="H78" i="11"/>
  <c r="J77" i="11"/>
  <c r="I77" i="11"/>
  <c r="H77" i="11"/>
  <c r="J76" i="11"/>
  <c r="I76" i="11"/>
  <c r="H76" i="11"/>
  <c r="J75" i="11"/>
  <c r="I75" i="11"/>
  <c r="H75" i="11"/>
  <c r="J74" i="11"/>
  <c r="I74" i="11"/>
  <c r="H74" i="11"/>
  <c r="J73" i="11"/>
  <c r="I73" i="11"/>
  <c r="H73" i="11"/>
  <c r="J72" i="11"/>
  <c r="I72" i="11"/>
  <c r="H72" i="11"/>
  <c r="J71" i="11"/>
  <c r="I71" i="11"/>
  <c r="H71" i="11"/>
  <c r="J70" i="11"/>
  <c r="I70" i="11"/>
  <c r="H70" i="11"/>
  <c r="J69" i="11"/>
  <c r="I69" i="11"/>
  <c r="H69" i="11"/>
  <c r="J68" i="11"/>
  <c r="I68" i="11"/>
  <c r="H68" i="11"/>
  <c r="J67" i="11"/>
  <c r="I67" i="11"/>
  <c r="H67" i="11"/>
  <c r="J66" i="11"/>
  <c r="I66" i="11"/>
  <c r="H66" i="11"/>
  <c r="J65" i="11"/>
  <c r="I65" i="11"/>
  <c r="H65" i="11"/>
  <c r="J64" i="11"/>
  <c r="I64" i="11"/>
  <c r="H64" i="11"/>
  <c r="J63" i="11"/>
  <c r="I63" i="11"/>
  <c r="H63" i="11"/>
  <c r="J62" i="11"/>
  <c r="I62" i="11"/>
  <c r="H62" i="11"/>
  <c r="J61" i="11"/>
  <c r="I61" i="11"/>
  <c r="H61" i="11"/>
  <c r="J60" i="11"/>
  <c r="I60" i="11"/>
  <c r="H60" i="11"/>
  <c r="J59" i="11"/>
  <c r="I59" i="11"/>
  <c r="H59" i="11"/>
  <c r="J58" i="11"/>
  <c r="I58" i="11"/>
  <c r="H58" i="11"/>
  <c r="J57" i="11"/>
  <c r="I57" i="11"/>
  <c r="H57" i="11"/>
  <c r="J56" i="11"/>
  <c r="I56" i="11"/>
  <c r="H56" i="11"/>
  <c r="J55" i="11"/>
  <c r="I55" i="11"/>
  <c r="H55" i="11"/>
  <c r="J54" i="11"/>
  <c r="I54" i="11"/>
  <c r="H54" i="11"/>
  <c r="J53" i="11"/>
  <c r="I53" i="11"/>
  <c r="H53" i="11"/>
  <c r="J52" i="11"/>
  <c r="I52" i="11"/>
  <c r="H52" i="11"/>
  <c r="J51" i="11"/>
  <c r="I51" i="11"/>
  <c r="H51" i="11"/>
  <c r="J50" i="11"/>
  <c r="I50" i="11"/>
  <c r="H50" i="11"/>
  <c r="J49" i="11"/>
  <c r="I49" i="11"/>
  <c r="H49" i="11"/>
  <c r="J48" i="11"/>
  <c r="I48" i="11"/>
  <c r="H48" i="11"/>
  <c r="J47" i="11"/>
  <c r="I47" i="11"/>
  <c r="H47" i="11"/>
  <c r="J46" i="11"/>
  <c r="I46" i="11"/>
  <c r="H46" i="11"/>
  <c r="J45" i="11"/>
  <c r="I45" i="11"/>
  <c r="H45" i="11"/>
  <c r="J44" i="11"/>
  <c r="I44" i="11"/>
  <c r="H44" i="11"/>
  <c r="J43" i="11"/>
  <c r="I43" i="11"/>
  <c r="H43" i="11"/>
  <c r="J42" i="11"/>
  <c r="I42" i="11"/>
  <c r="H42" i="11"/>
  <c r="J41" i="11"/>
  <c r="I41" i="11"/>
  <c r="H41" i="11"/>
  <c r="J40" i="11"/>
  <c r="I40" i="11"/>
  <c r="H40" i="11"/>
  <c r="J39" i="11"/>
  <c r="I39" i="11"/>
  <c r="H39" i="11"/>
  <c r="J38" i="11"/>
  <c r="I38" i="11"/>
  <c r="H38" i="11"/>
  <c r="J37" i="11"/>
  <c r="I37" i="11"/>
  <c r="H37" i="11"/>
  <c r="J36" i="11"/>
  <c r="I36" i="11"/>
  <c r="H36" i="11"/>
  <c r="J35" i="11"/>
  <c r="I35" i="11"/>
  <c r="H35" i="11"/>
  <c r="J34" i="11"/>
  <c r="I34" i="11"/>
  <c r="H34" i="11"/>
  <c r="J33" i="11"/>
  <c r="I33" i="11"/>
  <c r="H33" i="11"/>
  <c r="J32" i="11"/>
  <c r="I32" i="11"/>
  <c r="H32" i="11"/>
  <c r="J31" i="11"/>
  <c r="I31" i="11"/>
  <c r="H31" i="11"/>
  <c r="J30" i="11"/>
  <c r="I30" i="11"/>
  <c r="H30" i="11"/>
  <c r="J29" i="11"/>
  <c r="I29" i="11"/>
  <c r="H29" i="11"/>
  <c r="J28" i="11"/>
  <c r="I28" i="11"/>
  <c r="H28" i="11"/>
  <c r="J27" i="11"/>
  <c r="I27" i="11"/>
  <c r="H27" i="11"/>
  <c r="J26" i="11"/>
  <c r="I26" i="11"/>
  <c r="H26" i="11"/>
  <c r="J25" i="11"/>
  <c r="I25" i="11"/>
  <c r="H25" i="11"/>
  <c r="J24" i="11"/>
  <c r="I24" i="11"/>
  <c r="H24" i="11"/>
  <c r="J23" i="11"/>
  <c r="I23" i="11"/>
  <c r="H23" i="11"/>
  <c r="J22" i="11"/>
  <c r="I22" i="11"/>
  <c r="H22" i="11"/>
  <c r="J21" i="11"/>
  <c r="I21" i="11"/>
  <c r="H21" i="11"/>
  <c r="J20" i="11"/>
  <c r="I20" i="11"/>
  <c r="H20" i="11"/>
  <c r="J19" i="11"/>
  <c r="I19" i="11"/>
  <c r="H19" i="11"/>
  <c r="J18" i="11"/>
  <c r="I18" i="11"/>
  <c r="H18" i="11"/>
  <c r="J17" i="11"/>
  <c r="I17" i="11"/>
  <c r="H17" i="11"/>
  <c r="J16" i="11"/>
  <c r="I16" i="11"/>
  <c r="H16" i="11"/>
  <c r="J15" i="11"/>
  <c r="I15" i="11"/>
  <c r="H15" i="11"/>
  <c r="I8" i="11"/>
  <c r="B5" i="11"/>
  <c r="A5" i="11"/>
  <c r="B4" i="11"/>
  <c r="A4" i="11"/>
  <c r="B3" i="11"/>
  <c r="A3" i="11"/>
  <c r="B2" i="11"/>
  <c r="A2" i="11"/>
  <c r="L289" i="10"/>
  <c r="F289" i="10"/>
  <c r="L286" i="10"/>
  <c r="F286" i="10"/>
  <c r="L283" i="10"/>
  <c r="F283" i="10"/>
  <c r="L280" i="10"/>
  <c r="F280" i="10"/>
  <c r="L277" i="10"/>
  <c r="F277" i="10"/>
  <c r="L274" i="10"/>
  <c r="F274" i="10"/>
  <c r="L271" i="10"/>
  <c r="F271" i="10"/>
  <c r="L268" i="10"/>
  <c r="F268" i="10"/>
  <c r="L265" i="10"/>
  <c r="F265" i="10"/>
  <c r="L262" i="10"/>
  <c r="F262" i="10"/>
  <c r="L259" i="10"/>
  <c r="F259" i="10"/>
  <c r="L256" i="10"/>
  <c r="F256" i="10"/>
  <c r="L253" i="10"/>
  <c r="F253" i="10"/>
  <c r="L250" i="10"/>
  <c r="F250" i="10"/>
  <c r="L247" i="10"/>
  <c r="F247" i="10"/>
  <c r="M244" i="10"/>
  <c r="F244" i="10"/>
  <c r="L241" i="10"/>
  <c r="F241" i="10"/>
  <c r="L238" i="10"/>
  <c r="F238" i="10"/>
  <c r="L235" i="10"/>
  <c r="F235" i="10"/>
  <c r="L232" i="10"/>
  <c r="F232" i="10"/>
  <c r="L229" i="10"/>
  <c r="F229" i="10"/>
  <c r="L226" i="10"/>
  <c r="F226" i="10"/>
  <c r="L223" i="10"/>
  <c r="F223" i="10"/>
  <c r="L220" i="10"/>
  <c r="F220" i="10"/>
  <c r="L217" i="10"/>
  <c r="F217" i="10"/>
  <c r="L214" i="10"/>
  <c r="F214" i="10"/>
  <c r="L211" i="10"/>
  <c r="F211" i="10"/>
  <c r="L208" i="10"/>
  <c r="F208" i="10"/>
  <c r="L205" i="10"/>
  <c r="F205" i="10"/>
  <c r="L202" i="10"/>
  <c r="F202" i="10"/>
  <c r="L199" i="10"/>
  <c r="F199" i="10"/>
  <c r="L196" i="10"/>
  <c r="F196" i="10"/>
  <c r="L193" i="10"/>
  <c r="F193" i="10"/>
  <c r="L190" i="10"/>
  <c r="F190" i="10"/>
  <c r="L187" i="10"/>
  <c r="F187" i="10"/>
  <c r="L184" i="10"/>
  <c r="F184" i="10"/>
  <c r="L181" i="10"/>
  <c r="F181" i="10"/>
  <c r="L178" i="10"/>
  <c r="F178" i="10"/>
  <c r="L175" i="10"/>
  <c r="F175" i="10"/>
  <c r="L172" i="10"/>
  <c r="F172" i="10"/>
  <c r="L169" i="10"/>
  <c r="F169" i="10"/>
  <c r="L166" i="10"/>
  <c r="F166" i="10"/>
  <c r="L163" i="10"/>
  <c r="F163" i="10"/>
  <c r="L160" i="10"/>
  <c r="F160" i="10"/>
  <c r="L157" i="10"/>
  <c r="F157" i="10"/>
  <c r="L154" i="10"/>
  <c r="F154" i="10"/>
  <c r="L151" i="10"/>
  <c r="F151" i="10"/>
  <c r="L148" i="10"/>
  <c r="F148" i="10"/>
  <c r="L145" i="10"/>
  <c r="F145" i="10"/>
  <c r="L142" i="10"/>
  <c r="F142" i="10"/>
  <c r="L139" i="10"/>
  <c r="F139" i="10"/>
  <c r="L136" i="10"/>
  <c r="F136" i="10"/>
  <c r="L133" i="10"/>
  <c r="F133" i="10"/>
  <c r="M130" i="10"/>
  <c r="F130" i="10"/>
  <c r="L127" i="10"/>
  <c r="F127" i="10"/>
  <c r="L124" i="10"/>
  <c r="F124" i="10"/>
  <c r="L121" i="10"/>
  <c r="F121" i="10"/>
  <c r="L118" i="10"/>
  <c r="F118" i="10"/>
  <c r="L115" i="10"/>
  <c r="F115" i="10"/>
  <c r="L112" i="10"/>
  <c r="F112" i="10"/>
  <c r="L109" i="10"/>
  <c r="F109" i="10"/>
  <c r="L106" i="10"/>
  <c r="F106" i="10"/>
  <c r="L103" i="10"/>
  <c r="F103" i="10"/>
  <c r="L100" i="10"/>
  <c r="F100" i="10"/>
  <c r="L97" i="10"/>
  <c r="F97" i="10"/>
  <c r="L94" i="10"/>
  <c r="F94" i="10"/>
  <c r="L91" i="10"/>
  <c r="F91" i="10"/>
  <c r="L88" i="10"/>
  <c r="F88" i="10"/>
  <c r="L85" i="10"/>
  <c r="F85" i="10"/>
  <c r="L82" i="10"/>
  <c r="F82" i="10"/>
  <c r="L79" i="10"/>
  <c r="F79" i="10"/>
  <c r="L76" i="10"/>
  <c r="F76" i="10"/>
  <c r="L73" i="10"/>
  <c r="F73" i="10"/>
  <c r="L70" i="10"/>
  <c r="F70" i="10"/>
  <c r="L67" i="10"/>
  <c r="F67" i="10"/>
  <c r="L64" i="10"/>
  <c r="F64" i="10"/>
  <c r="L61" i="10"/>
  <c r="F61" i="10"/>
  <c r="L58" i="10"/>
  <c r="F58" i="10"/>
  <c r="L55" i="10"/>
  <c r="F55" i="10"/>
  <c r="L52" i="10"/>
  <c r="F52" i="10"/>
  <c r="L49" i="10"/>
  <c r="F49" i="10"/>
  <c r="L46" i="10"/>
  <c r="F46" i="10"/>
  <c r="L43" i="10"/>
  <c r="F43" i="10"/>
  <c r="L40" i="10"/>
  <c r="F40" i="10"/>
  <c r="L37" i="10"/>
  <c r="F37" i="10"/>
  <c r="L34" i="10"/>
  <c r="F34" i="10"/>
  <c r="L31" i="10"/>
  <c r="F31" i="10"/>
  <c r="L28" i="10"/>
  <c r="F28" i="10"/>
  <c r="L25" i="10"/>
  <c r="F25" i="10"/>
  <c r="L22" i="10"/>
  <c r="F22" i="10"/>
  <c r="L19" i="10"/>
  <c r="F19" i="10"/>
  <c r="L16" i="10"/>
  <c r="F16" i="10"/>
  <c r="L13" i="10"/>
  <c r="F13" i="10"/>
  <c r="L10" i="10"/>
  <c r="F10" i="10"/>
  <c r="B5" i="10"/>
  <c r="B4" i="10"/>
  <c r="B3" i="10"/>
  <c r="B2" i="10"/>
  <c r="X236" i="9"/>
  <c r="W236" i="9"/>
  <c r="V236" i="9"/>
  <c r="U236" i="9"/>
  <c r="T236" i="9"/>
  <c r="S236" i="9"/>
  <c r="R236" i="9"/>
  <c r="Q236" i="9"/>
  <c r="P236" i="9"/>
  <c r="O236" i="9"/>
  <c r="N236" i="9"/>
  <c r="M236" i="9"/>
  <c r="L236" i="9"/>
  <c r="K236" i="9"/>
  <c r="J236" i="9"/>
  <c r="I236" i="9"/>
  <c r="H236" i="9"/>
  <c r="G236" i="9"/>
  <c r="F236" i="9"/>
  <c r="E236" i="9"/>
  <c r="Z235" i="9"/>
  <c r="Y235" i="9"/>
  <c r="X235" i="9"/>
  <c r="W235" i="9"/>
  <c r="V235" i="9"/>
  <c r="U235" i="9"/>
  <c r="T235" i="9"/>
  <c r="S235" i="9"/>
  <c r="R235" i="9"/>
  <c r="Q235" i="9"/>
  <c r="P235" i="9"/>
  <c r="O235" i="9"/>
  <c r="N235" i="9"/>
  <c r="M235" i="9"/>
  <c r="L235" i="9"/>
  <c r="K235" i="9"/>
  <c r="J235" i="9"/>
  <c r="I235" i="9"/>
  <c r="H235" i="9"/>
  <c r="G235" i="9"/>
  <c r="F235" i="9"/>
  <c r="E235" i="9"/>
  <c r="D234" i="9"/>
  <c r="C234" i="9"/>
  <c r="Z232" i="9"/>
  <c r="Y232" i="9"/>
  <c r="M232" i="9"/>
  <c r="C232" i="9"/>
  <c r="Z231" i="9"/>
  <c r="Y231" i="9"/>
  <c r="K231" i="9"/>
  <c r="C231" i="9"/>
  <c r="Z230" i="9"/>
  <c r="Y230" i="9"/>
  <c r="I230" i="9"/>
  <c r="C230" i="9"/>
  <c r="Z229" i="9"/>
  <c r="Y229" i="9"/>
  <c r="G229" i="9"/>
  <c r="C229" i="9"/>
  <c r="Z228" i="9"/>
  <c r="Y228" i="9"/>
  <c r="I228" i="9"/>
  <c r="C228" i="9"/>
  <c r="Z227" i="9"/>
  <c r="Y227" i="9"/>
  <c r="G227" i="9"/>
  <c r="C227" i="9"/>
  <c r="Z226" i="9"/>
  <c r="Y226" i="9"/>
  <c r="M226" i="9"/>
  <c r="C226" i="9"/>
  <c r="Z225" i="9"/>
  <c r="Y225" i="9"/>
  <c r="N225" i="9"/>
  <c r="M225" i="9"/>
  <c r="L225" i="9"/>
  <c r="K225" i="9"/>
  <c r="J225" i="9"/>
  <c r="I225" i="9"/>
  <c r="H225" i="9"/>
  <c r="G225" i="9"/>
  <c r="D225" i="9"/>
  <c r="C225" i="9"/>
  <c r="B225" i="9"/>
  <c r="Z224" i="9"/>
  <c r="Y224" i="9"/>
  <c r="W224" i="9"/>
  <c r="C224" i="9"/>
  <c r="Z223" i="9"/>
  <c r="Y223" i="9"/>
  <c r="W223" i="9"/>
  <c r="C223" i="9"/>
  <c r="B223" i="9"/>
  <c r="Z222" i="9"/>
  <c r="Y222" i="9"/>
  <c r="U222" i="9"/>
  <c r="C222" i="9"/>
  <c r="B222" i="9"/>
  <c r="Z221" i="9"/>
  <c r="Y221" i="9"/>
  <c r="U221" i="9"/>
  <c r="C221" i="9"/>
  <c r="B221" i="9"/>
  <c r="Z220" i="9"/>
  <c r="Y220" i="9"/>
  <c r="U220" i="9"/>
  <c r="C220" i="9"/>
  <c r="B220" i="9"/>
  <c r="Z219" i="9"/>
  <c r="Y219" i="9"/>
  <c r="S219" i="9"/>
  <c r="C219" i="9"/>
  <c r="B219" i="9"/>
  <c r="Z218" i="9"/>
  <c r="Y218" i="9"/>
  <c r="S218" i="9"/>
  <c r="C218" i="9"/>
  <c r="B218" i="9"/>
  <c r="Z217" i="9"/>
  <c r="Y217" i="9"/>
  <c r="X217" i="9"/>
  <c r="W217" i="9"/>
  <c r="V217" i="9"/>
  <c r="U217" i="9"/>
  <c r="T217" i="9"/>
  <c r="S217" i="9"/>
  <c r="C217" i="9"/>
  <c r="Z216" i="9"/>
  <c r="Y216" i="9"/>
  <c r="U216" i="9"/>
  <c r="C216" i="9"/>
  <c r="B216" i="9"/>
  <c r="Z215" i="9"/>
  <c r="Y215" i="9"/>
  <c r="U215" i="9"/>
  <c r="C215" i="9"/>
  <c r="B215" i="9"/>
  <c r="Z214" i="9"/>
  <c r="Y214" i="9"/>
  <c r="U214" i="9"/>
  <c r="C214" i="9"/>
  <c r="B214" i="9"/>
  <c r="Z213" i="9"/>
  <c r="Y213" i="9"/>
  <c r="V213" i="9"/>
  <c r="U213" i="9"/>
  <c r="C213" i="9"/>
  <c r="Z212" i="9"/>
  <c r="Y212" i="9"/>
  <c r="W212" i="9"/>
  <c r="C212" i="9"/>
  <c r="B212" i="9"/>
  <c r="Z211" i="9"/>
  <c r="Y211" i="9"/>
  <c r="W211" i="9"/>
  <c r="C211" i="9"/>
  <c r="B211" i="9"/>
  <c r="Z210" i="9"/>
  <c r="Y210" i="9"/>
  <c r="X210" i="9"/>
  <c r="W210" i="9"/>
  <c r="V210" i="9"/>
  <c r="U210" i="9"/>
  <c r="T210" i="9"/>
  <c r="S210" i="9"/>
  <c r="C210" i="9"/>
  <c r="B210" i="9"/>
  <c r="Z209" i="9"/>
  <c r="Y209" i="9"/>
  <c r="V209" i="9"/>
  <c r="U209" i="9"/>
  <c r="R209" i="9"/>
  <c r="Q209" i="9"/>
  <c r="C209" i="9"/>
  <c r="B209" i="9"/>
  <c r="Z208" i="9"/>
  <c r="Y208" i="9"/>
  <c r="U208" i="9"/>
  <c r="C208" i="9"/>
  <c r="B208" i="9"/>
  <c r="Z207" i="9"/>
  <c r="Y207" i="9"/>
  <c r="W207" i="9"/>
  <c r="C207" i="9"/>
  <c r="B207" i="9"/>
  <c r="Z206" i="9"/>
  <c r="Y206" i="9"/>
  <c r="U206" i="9"/>
  <c r="S206" i="9"/>
  <c r="C206" i="9"/>
  <c r="B206" i="9"/>
  <c r="Z205" i="9"/>
  <c r="Y205" i="9"/>
  <c r="Q205" i="9"/>
  <c r="C205" i="9"/>
  <c r="B205" i="9"/>
  <c r="Z204" i="9"/>
  <c r="Y204" i="9"/>
  <c r="Q204" i="9"/>
  <c r="C204" i="9"/>
  <c r="B204" i="9"/>
  <c r="Z203" i="9"/>
  <c r="Y203" i="9"/>
  <c r="X203" i="9"/>
  <c r="W203" i="9"/>
  <c r="V203" i="9"/>
  <c r="U203" i="9"/>
  <c r="T203" i="9"/>
  <c r="S203" i="9"/>
  <c r="R203" i="9"/>
  <c r="Q203" i="9"/>
  <c r="C203" i="9"/>
  <c r="Z202" i="9"/>
  <c r="Y202" i="9"/>
  <c r="O202" i="9"/>
  <c r="C202" i="9"/>
  <c r="B202" i="9"/>
  <c r="Z201" i="9"/>
  <c r="Y201" i="9"/>
  <c r="O201" i="9"/>
  <c r="C201" i="9"/>
  <c r="B201" i="9"/>
  <c r="Z200" i="9"/>
  <c r="Y200" i="9"/>
  <c r="O200" i="9"/>
  <c r="C200" i="9"/>
  <c r="B200" i="9"/>
  <c r="Z199" i="9"/>
  <c r="Y199" i="9"/>
  <c r="O199" i="9"/>
  <c r="C199" i="9"/>
  <c r="B199" i="9"/>
  <c r="Z198" i="9"/>
  <c r="Y198" i="9"/>
  <c r="O198" i="9"/>
  <c r="C198" i="9"/>
  <c r="B198" i="9"/>
  <c r="Z197" i="9"/>
  <c r="Y197" i="9"/>
  <c r="O197" i="9"/>
  <c r="C197" i="9"/>
  <c r="B197" i="9"/>
  <c r="Z196" i="9"/>
  <c r="Y196" i="9"/>
  <c r="M196" i="9"/>
  <c r="C196" i="9"/>
  <c r="B196" i="9"/>
  <c r="Z195" i="9"/>
  <c r="Y195" i="9"/>
  <c r="M195" i="9"/>
  <c r="C195" i="9"/>
  <c r="B195" i="9"/>
  <c r="Z194" i="9"/>
  <c r="Y194" i="9"/>
  <c r="M194" i="9"/>
  <c r="C194" i="9"/>
  <c r="B194" i="9"/>
  <c r="Z193" i="9"/>
  <c r="Y193" i="9"/>
  <c r="P193" i="9"/>
  <c r="O193" i="9"/>
  <c r="N193" i="9"/>
  <c r="M193" i="9"/>
  <c r="C193" i="9"/>
  <c r="Z192" i="9"/>
  <c r="Y192" i="9"/>
  <c r="X192" i="9"/>
  <c r="W192" i="9"/>
  <c r="V192" i="9"/>
  <c r="U192" i="9"/>
  <c r="T192" i="9"/>
  <c r="S192" i="9"/>
  <c r="R192" i="9"/>
  <c r="Q192" i="9"/>
  <c r="P192" i="9"/>
  <c r="O192" i="9"/>
  <c r="N192" i="9"/>
  <c r="M192" i="9"/>
  <c r="D192" i="9"/>
  <c r="C192" i="9"/>
  <c r="B192" i="9"/>
  <c r="Z191" i="9"/>
  <c r="Y191" i="9"/>
  <c r="S191" i="9"/>
  <c r="C191" i="9"/>
  <c r="Z190" i="9"/>
  <c r="Y190" i="9"/>
  <c r="S190" i="9"/>
  <c r="C190" i="9"/>
  <c r="B190" i="9"/>
  <c r="Z189" i="9"/>
  <c r="Y189" i="9"/>
  <c r="Q189" i="9"/>
  <c r="C189" i="9"/>
  <c r="B189" i="9"/>
  <c r="Z188" i="9"/>
  <c r="Y188" i="9"/>
  <c r="Q188" i="9"/>
  <c r="C188" i="9"/>
  <c r="B188" i="9"/>
  <c r="Z187" i="9"/>
  <c r="Y187" i="9"/>
  <c r="Q187" i="9"/>
  <c r="C187" i="9"/>
  <c r="B187" i="9"/>
  <c r="Z186" i="9"/>
  <c r="Y186" i="9"/>
  <c r="O186" i="9"/>
  <c r="C186" i="9"/>
  <c r="B186" i="9"/>
  <c r="Z185" i="9"/>
  <c r="Y185" i="9"/>
  <c r="O185" i="9"/>
  <c r="C185" i="9"/>
  <c r="B185" i="9"/>
  <c r="Z184" i="9"/>
  <c r="Y184" i="9"/>
  <c r="T184" i="9"/>
  <c r="S184" i="9"/>
  <c r="R184" i="9"/>
  <c r="Q184" i="9"/>
  <c r="P184" i="9"/>
  <c r="O184" i="9"/>
  <c r="C184" i="9"/>
  <c r="Z183" i="9"/>
  <c r="Y183" i="9"/>
  <c r="Q183" i="9"/>
  <c r="C183" i="9"/>
  <c r="B183" i="9"/>
  <c r="Z182" i="9"/>
  <c r="Y182" i="9"/>
  <c r="Q182" i="9"/>
  <c r="C182" i="9"/>
  <c r="B182" i="9"/>
  <c r="Z181" i="9"/>
  <c r="Y181" i="9"/>
  <c r="Q181" i="9"/>
  <c r="C181" i="9"/>
  <c r="B181" i="9"/>
  <c r="Z180" i="9"/>
  <c r="Y180" i="9"/>
  <c r="R180" i="9"/>
  <c r="Q180" i="9"/>
  <c r="C180" i="9"/>
  <c r="Z179" i="9"/>
  <c r="Y179" i="9"/>
  <c r="S179" i="9"/>
  <c r="C179" i="9"/>
  <c r="B179" i="9"/>
  <c r="Z178" i="9"/>
  <c r="Y178" i="9"/>
  <c r="S178" i="9"/>
  <c r="C178" i="9"/>
  <c r="B178" i="9"/>
  <c r="Z177" i="9"/>
  <c r="Y177" i="9"/>
  <c r="T177" i="9"/>
  <c r="S177" i="9"/>
  <c r="R177" i="9"/>
  <c r="Q177" i="9"/>
  <c r="P177" i="9"/>
  <c r="O177" i="9"/>
  <c r="C177" i="9"/>
  <c r="B177" i="9"/>
  <c r="Z176" i="9"/>
  <c r="Y176" i="9"/>
  <c r="R176" i="9"/>
  <c r="Q176" i="9"/>
  <c r="N176" i="9"/>
  <c r="M176" i="9"/>
  <c r="C176" i="9"/>
  <c r="B176" i="9"/>
  <c r="Z175" i="9"/>
  <c r="Y175" i="9"/>
  <c r="Q175" i="9"/>
  <c r="C175" i="9"/>
  <c r="B175" i="9"/>
  <c r="Z174" i="9"/>
  <c r="Y174" i="9"/>
  <c r="S174" i="9"/>
  <c r="C174" i="9"/>
  <c r="B174" i="9"/>
  <c r="Z173" i="9"/>
  <c r="Y173" i="9"/>
  <c r="Q173" i="9"/>
  <c r="O173" i="9"/>
  <c r="C173" i="9"/>
  <c r="B173" i="9"/>
  <c r="Z172" i="9"/>
  <c r="Y172" i="9"/>
  <c r="M172" i="9"/>
  <c r="C172" i="9"/>
  <c r="B172" i="9"/>
  <c r="Z171" i="9"/>
  <c r="Y171" i="9"/>
  <c r="M171" i="9"/>
  <c r="C171" i="9"/>
  <c r="B171" i="9"/>
  <c r="Z170" i="9"/>
  <c r="Y170" i="9"/>
  <c r="T170" i="9"/>
  <c r="S170" i="9"/>
  <c r="R170" i="9"/>
  <c r="Q170" i="9"/>
  <c r="P170" i="9"/>
  <c r="O170" i="9"/>
  <c r="N170" i="9"/>
  <c r="M170" i="9"/>
  <c r="C170" i="9"/>
  <c r="Z169" i="9"/>
  <c r="Y169" i="9"/>
  <c r="K169" i="9"/>
  <c r="C169" i="9"/>
  <c r="B169" i="9"/>
  <c r="Z168" i="9"/>
  <c r="Y168" i="9"/>
  <c r="K168" i="9"/>
  <c r="C168" i="9"/>
  <c r="B168" i="9"/>
  <c r="Z167" i="9"/>
  <c r="Y167" i="9"/>
  <c r="K167" i="9"/>
  <c r="C167" i="9"/>
  <c r="B167" i="9"/>
  <c r="Z166" i="9"/>
  <c r="Y166" i="9"/>
  <c r="K166" i="9"/>
  <c r="C166" i="9"/>
  <c r="B166" i="9"/>
  <c r="Z165" i="9"/>
  <c r="Y165" i="9"/>
  <c r="K165" i="9"/>
  <c r="C165" i="9"/>
  <c r="B165" i="9"/>
  <c r="Z164" i="9"/>
  <c r="Y164" i="9"/>
  <c r="K164" i="9"/>
  <c r="C164" i="9"/>
  <c r="B164" i="9"/>
  <c r="Z163" i="9"/>
  <c r="Y163" i="9"/>
  <c r="I163" i="9"/>
  <c r="C163" i="9"/>
  <c r="B163" i="9"/>
  <c r="Z162" i="9"/>
  <c r="Y162" i="9"/>
  <c r="I162" i="9"/>
  <c r="C162" i="9"/>
  <c r="B162" i="9"/>
  <c r="Z161" i="9"/>
  <c r="Y161" i="9"/>
  <c r="I161" i="9"/>
  <c r="C161" i="9"/>
  <c r="B161" i="9"/>
  <c r="Z160" i="9"/>
  <c r="Y160" i="9"/>
  <c r="I160" i="9"/>
  <c r="C160" i="9"/>
  <c r="B160" i="9"/>
  <c r="Z159" i="9"/>
  <c r="Y159" i="9"/>
  <c r="L159" i="9"/>
  <c r="K159" i="9"/>
  <c r="J159" i="9"/>
  <c r="I159" i="9"/>
  <c r="C159" i="9"/>
  <c r="Z158" i="9"/>
  <c r="Y158" i="9"/>
  <c r="T158" i="9"/>
  <c r="S158" i="9"/>
  <c r="R158" i="9"/>
  <c r="Q158" i="9"/>
  <c r="P158" i="9"/>
  <c r="O158" i="9"/>
  <c r="N158" i="9"/>
  <c r="M158" i="9"/>
  <c r="L158" i="9"/>
  <c r="K158" i="9"/>
  <c r="J158" i="9"/>
  <c r="I158" i="9"/>
  <c r="D158" i="9"/>
  <c r="C158" i="9"/>
  <c r="B158" i="9"/>
  <c r="Z157" i="9"/>
  <c r="Y157" i="9"/>
  <c r="U157" i="9"/>
  <c r="C157" i="9"/>
  <c r="Z156" i="9"/>
  <c r="Y156" i="9"/>
  <c r="S156" i="9"/>
  <c r="C156" i="9"/>
  <c r="Z155" i="9"/>
  <c r="Y155" i="9"/>
  <c r="S155" i="9"/>
  <c r="C155" i="9"/>
  <c r="Z154" i="9"/>
  <c r="Y154" i="9"/>
  <c r="S154" i="9"/>
  <c r="C154" i="9"/>
  <c r="B154" i="9"/>
  <c r="Z153" i="9"/>
  <c r="Y153" i="9"/>
  <c r="U153" i="9"/>
  <c r="C153" i="9"/>
  <c r="B153" i="9"/>
  <c r="Z152" i="9"/>
  <c r="Y152" i="9"/>
  <c r="U152" i="9"/>
  <c r="C152" i="9"/>
  <c r="B152" i="9"/>
  <c r="Z151" i="9"/>
  <c r="Y151" i="9"/>
  <c r="S151" i="9"/>
  <c r="C151" i="9"/>
  <c r="B151" i="9"/>
  <c r="Z150" i="9"/>
  <c r="Y150" i="9"/>
  <c r="S150" i="9"/>
  <c r="C150" i="9"/>
  <c r="B150" i="9"/>
  <c r="Z149" i="9"/>
  <c r="Y149" i="9"/>
  <c r="S149" i="9"/>
  <c r="C149" i="9"/>
  <c r="B149" i="9"/>
  <c r="Z148" i="9"/>
  <c r="Y148" i="9"/>
  <c r="S148" i="9"/>
  <c r="C148" i="9"/>
  <c r="B148" i="9"/>
  <c r="Z147" i="9"/>
  <c r="Y147" i="9"/>
  <c r="S147" i="9"/>
  <c r="C147" i="9"/>
  <c r="B147" i="9"/>
  <c r="Z146" i="9"/>
  <c r="Y146" i="9"/>
  <c r="S146" i="9"/>
  <c r="C146" i="9"/>
  <c r="B146" i="9"/>
  <c r="Z145" i="9"/>
  <c r="Y145" i="9"/>
  <c r="V145" i="9"/>
  <c r="U145" i="9"/>
  <c r="T145" i="9"/>
  <c r="S145" i="9"/>
  <c r="C145" i="9"/>
  <c r="Z144" i="9"/>
  <c r="Y144" i="9"/>
  <c r="Q144" i="9"/>
  <c r="C144" i="9"/>
  <c r="B144" i="9"/>
  <c r="Z143" i="9"/>
  <c r="Y143" i="9"/>
  <c r="Q143" i="9"/>
  <c r="C143" i="9"/>
  <c r="B143" i="9"/>
  <c r="Z142" i="9"/>
  <c r="Y142" i="9"/>
  <c r="Q142" i="9"/>
  <c r="C142" i="9"/>
  <c r="B142" i="9"/>
  <c r="Z141" i="9"/>
  <c r="Y141" i="9"/>
  <c r="Q141" i="9"/>
  <c r="C141" i="9"/>
  <c r="B141" i="9"/>
  <c r="Z140" i="9"/>
  <c r="Y140" i="9"/>
  <c r="Q140" i="9"/>
  <c r="C140" i="9"/>
  <c r="B140" i="9"/>
  <c r="Z139" i="9"/>
  <c r="Y139" i="9"/>
  <c r="Q139" i="9"/>
  <c r="C139" i="9"/>
  <c r="B139" i="9"/>
  <c r="Z138" i="9"/>
  <c r="Y138" i="9"/>
  <c r="Q138" i="9"/>
  <c r="C138" i="9"/>
  <c r="B138" i="9"/>
  <c r="Z137" i="9"/>
  <c r="Y137" i="9"/>
  <c r="Q137" i="9"/>
  <c r="C137" i="9"/>
  <c r="B137" i="9"/>
  <c r="Z136" i="9"/>
  <c r="Y136" i="9"/>
  <c r="Q136" i="9"/>
  <c r="C136" i="9"/>
  <c r="B136" i="9"/>
  <c r="Z135" i="9"/>
  <c r="Y135" i="9"/>
  <c r="R135" i="9"/>
  <c r="Q135" i="9"/>
  <c r="C135" i="9"/>
  <c r="Z134" i="9"/>
  <c r="Y134" i="9"/>
  <c r="V134" i="9"/>
  <c r="U134" i="9"/>
  <c r="T134" i="9"/>
  <c r="S134" i="9"/>
  <c r="R134" i="9"/>
  <c r="Q134" i="9"/>
  <c r="D134" i="9"/>
  <c r="C134" i="9"/>
  <c r="B134" i="9"/>
  <c r="Z133" i="9"/>
  <c r="Y133" i="9"/>
  <c r="U133" i="9"/>
  <c r="S133" i="9"/>
  <c r="C133" i="9"/>
  <c r="B133" i="9"/>
  <c r="Z132" i="9"/>
  <c r="Y132" i="9"/>
  <c r="Q132" i="9"/>
  <c r="C132" i="9"/>
  <c r="B132" i="9"/>
  <c r="Z131" i="9"/>
  <c r="Y131" i="9"/>
  <c r="Q131" i="9"/>
  <c r="C131" i="9"/>
  <c r="B131" i="9"/>
  <c r="Z130" i="9"/>
  <c r="Y130" i="9"/>
  <c r="Q130" i="9"/>
  <c r="C130" i="9"/>
  <c r="B130" i="9"/>
  <c r="Z129" i="9"/>
  <c r="Y129" i="9"/>
  <c r="O129" i="9"/>
  <c r="C129" i="9"/>
  <c r="B129" i="9"/>
  <c r="Z128" i="9"/>
  <c r="Y128" i="9"/>
  <c r="O128" i="9"/>
  <c r="C128" i="9"/>
  <c r="B128" i="9"/>
  <c r="Z127" i="9"/>
  <c r="Y127" i="9"/>
  <c r="V127" i="9"/>
  <c r="U127" i="9"/>
  <c r="T127" i="9"/>
  <c r="S127" i="9"/>
  <c r="R127" i="9"/>
  <c r="Q127" i="9"/>
  <c r="P127" i="9"/>
  <c r="O127" i="9"/>
  <c r="C127" i="9"/>
  <c r="Z126" i="9"/>
  <c r="Y126" i="9"/>
  <c r="S126" i="9"/>
  <c r="C126" i="9"/>
  <c r="B126" i="9"/>
  <c r="Z125" i="9"/>
  <c r="Y125" i="9"/>
  <c r="S125" i="9"/>
  <c r="C125" i="9"/>
  <c r="B125" i="9"/>
  <c r="Z124" i="9"/>
  <c r="Y124" i="9"/>
  <c r="T124" i="9"/>
  <c r="S124" i="9"/>
  <c r="C124" i="9"/>
  <c r="Z123" i="9"/>
  <c r="Y123" i="9"/>
  <c r="V123" i="9"/>
  <c r="U123" i="9"/>
  <c r="T123" i="9"/>
  <c r="S123" i="9"/>
  <c r="R123" i="9"/>
  <c r="Q123" i="9"/>
  <c r="C123" i="9"/>
  <c r="B123" i="9"/>
  <c r="Z122" i="9"/>
  <c r="Y122" i="9"/>
  <c r="V122" i="9"/>
  <c r="U122" i="9"/>
  <c r="T122" i="9"/>
  <c r="S122" i="9"/>
  <c r="R122" i="9"/>
  <c r="Q122" i="9"/>
  <c r="C122" i="9"/>
  <c r="B122" i="9"/>
  <c r="Z121" i="9"/>
  <c r="Y121" i="9"/>
  <c r="U121" i="9"/>
  <c r="C121" i="9"/>
  <c r="B121" i="9"/>
  <c r="Z120" i="9"/>
  <c r="Y120" i="9"/>
  <c r="X120" i="9"/>
  <c r="W120" i="9"/>
  <c r="V120" i="9"/>
  <c r="U120" i="9"/>
  <c r="T120" i="9"/>
  <c r="S120" i="9"/>
  <c r="R120" i="9"/>
  <c r="Q120" i="9"/>
  <c r="P120" i="9"/>
  <c r="O120" i="9"/>
  <c r="C120" i="9"/>
  <c r="B120" i="9"/>
  <c r="Z119" i="9"/>
  <c r="Y119" i="9"/>
  <c r="M119" i="9"/>
  <c r="C119" i="9"/>
  <c r="B119" i="9"/>
  <c r="Z118" i="9"/>
  <c r="Y118" i="9"/>
  <c r="M118" i="9"/>
  <c r="C118" i="9"/>
  <c r="B118" i="9"/>
  <c r="Z117" i="9"/>
  <c r="Y117" i="9"/>
  <c r="X117" i="9"/>
  <c r="W117" i="9"/>
  <c r="V117" i="9"/>
  <c r="U117" i="9"/>
  <c r="T117" i="9"/>
  <c r="S117" i="9"/>
  <c r="R117" i="9"/>
  <c r="Q117" i="9"/>
  <c r="P117" i="9"/>
  <c r="O117" i="9"/>
  <c r="N117" i="9"/>
  <c r="M117" i="9"/>
  <c r="C117" i="9"/>
  <c r="Z116" i="9"/>
  <c r="Y116" i="9"/>
  <c r="O116" i="9"/>
  <c r="C116" i="9"/>
  <c r="B116" i="9"/>
  <c r="Z115" i="9"/>
  <c r="Y115" i="9"/>
  <c r="K115" i="9"/>
  <c r="I115" i="9"/>
  <c r="C115" i="9"/>
  <c r="B115" i="9"/>
  <c r="Z114" i="9"/>
  <c r="Y114" i="9"/>
  <c r="I114" i="9"/>
  <c r="C114" i="9"/>
  <c r="B114" i="9"/>
  <c r="Z113" i="9"/>
  <c r="Y113" i="9"/>
  <c r="M113" i="9"/>
  <c r="K113" i="9"/>
  <c r="C113" i="9"/>
  <c r="B113" i="9"/>
  <c r="Z112" i="9"/>
  <c r="Y112" i="9"/>
  <c r="K112" i="9"/>
  <c r="C112" i="9"/>
  <c r="B112" i="9"/>
  <c r="Z111" i="9"/>
  <c r="Y111" i="9"/>
  <c r="I111" i="9"/>
  <c r="G111" i="9"/>
  <c r="C111" i="9"/>
  <c r="B111" i="9"/>
  <c r="Z110" i="9"/>
  <c r="Y110" i="9"/>
  <c r="I110" i="9"/>
  <c r="G110" i="9"/>
  <c r="C110" i="9"/>
  <c r="B110" i="9"/>
  <c r="Z109" i="9"/>
  <c r="Y109" i="9"/>
  <c r="I109" i="9"/>
  <c r="C109" i="9"/>
  <c r="B109" i="9"/>
  <c r="Z108" i="9"/>
  <c r="Y108" i="9"/>
  <c r="I108" i="9"/>
  <c r="C108" i="9"/>
  <c r="B108" i="9"/>
  <c r="Z107" i="9"/>
  <c r="Y107" i="9"/>
  <c r="I107" i="9"/>
  <c r="C107" i="9"/>
  <c r="B107" i="9"/>
  <c r="Z106" i="9"/>
  <c r="Y106" i="9"/>
  <c r="I106" i="9"/>
  <c r="C106" i="9"/>
  <c r="B106" i="9"/>
  <c r="Z105" i="9"/>
  <c r="Y105" i="9"/>
  <c r="I105" i="9"/>
  <c r="C105" i="9"/>
  <c r="B105" i="9"/>
  <c r="Z104" i="9"/>
  <c r="Y104" i="9"/>
  <c r="I104" i="9"/>
  <c r="C104" i="9"/>
  <c r="B104" i="9"/>
  <c r="Z103" i="9"/>
  <c r="Y103" i="9"/>
  <c r="I103" i="9"/>
  <c r="C103" i="9"/>
  <c r="B103" i="9"/>
  <c r="Z102" i="9"/>
  <c r="Y102" i="9"/>
  <c r="O102" i="9"/>
  <c r="M102" i="9"/>
  <c r="K102" i="9"/>
  <c r="I102" i="9"/>
  <c r="G102" i="9"/>
  <c r="C102" i="9"/>
  <c r="B102" i="9"/>
  <c r="Z101" i="9"/>
  <c r="Y101" i="9"/>
  <c r="P101" i="9"/>
  <c r="O101" i="9"/>
  <c r="N101" i="9"/>
  <c r="M101" i="9"/>
  <c r="L101" i="9"/>
  <c r="K101" i="9"/>
  <c r="J101" i="9"/>
  <c r="I101" i="9"/>
  <c r="H101" i="9"/>
  <c r="G101" i="9"/>
  <c r="C101" i="9"/>
  <c r="Z100" i="9"/>
  <c r="Y100" i="9"/>
  <c r="X100" i="9"/>
  <c r="W100" i="9"/>
  <c r="V100" i="9"/>
  <c r="U100" i="9"/>
  <c r="T100" i="9"/>
  <c r="S100" i="9"/>
  <c r="R100" i="9"/>
  <c r="Q100" i="9"/>
  <c r="P100" i="9"/>
  <c r="O100" i="9"/>
  <c r="N100" i="9"/>
  <c r="M100" i="9"/>
  <c r="L100" i="9"/>
  <c r="K100" i="9"/>
  <c r="J100" i="9"/>
  <c r="I100" i="9"/>
  <c r="H100" i="9"/>
  <c r="G100" i="9"/>
  <c r="D100" i="9"/>
  <c r="C100" i="9"/>
  <c r="B100" i="9"/>
  <c r="Z99" i="9"/>
  <c r="Y99" i="9"/>
  <c r="U99" i="9"/>
  <c r="C99" i="9"/>
  <c r="Z98" i="9"/>
  <c r="Y98" i="9"/>
  <c r="U98" i="9"/>
  <c r="C98" i="9"/>
  <c r="B98" i="9"/>
  <c r="Z97" i="9"/>
  <c r="Y97" i="9"/>
  <c r="U97" i="9"/>
  <c r="C97" i="9"/>
  <c r="B97" i="9"/>
  <c r="Z96" i="9"/>
  <c r="Y96" i="9"/>
  <c r="S96" i="9"/>
  <c r="C96" i="9"/>
  <c r="B96" i="9"/>
  <c r="Z95" i="9"/>
  <c r="Y95" i="9"/>
  <c r="S95" i="9"/>
  <c r="C95" i="9"/>
  <c r="B95" i="9"/>
  <c r="Z94" i="9"/>
  <c r="Y94" i="9"/>
  <c r="U94" i="9"/>
  <c r="C94" i="9"/>
  <c r="B94" i="9"/>
  <c r="Z93" i="9"/>
  <c r="Y93" i="9"/>
  <c r="Q93" i="9"/>
  <c r="C93" i="9"/>
  <c r="B93" i="9"/>
  <c r="Z92" i="9"/>
  <c r="Y92" i="9"/>
  <c r="Q92" i="9"/>
  <c r="C92" i="9"/>
  <c r="B92" i="9"/>
  <c r="Z91" i="9"/>
  <c r="Y91" i="9"/>
  <c r="Q91" i="9"/>
  <c r="C91" i="9"/>
  <c r="B91" i="9"/>
  <c r="Z90" i="9"/>
  <c r="Y90" i="9"/>
  <c r="V90" i="9"/>
  <c r="U90" i="9"/>
  <c r="T90" i="9"/>
  <c r="S90" i="9"/>
  <c r="R90" i="9"/>
  <c r="Q90" i="9"/>
  <c r="C90" i="9"/>
  <c r="Z89" i="9"/>
  <c r="Y89" i="9"/>
  <c r="S89" i="9"/>
  <c r="C89" i="9"/>
  <c r="B89" i="9"/>
  <c r="Z88" i="9"/>
  <c r="Y88" i="9"/>
  <c r="Q88" i="9"/>
  <c r="C88" i="9"/>
  <c r="B88" i="9"/>
  <c r="Z87" i="9"/>
  <c r="Y87" i="9"/>
  <c r="S87" i="9"/>
  <c r="C87" i="9"/>
  <c r="B87" i="9"/>
  <c r="Z86" i="9"/>
  <c r="Y86" i="9"/>
  <c r="T86" i="9"/>
  <c r="S86" i="9"/>
  <c r="R86" i="9"/>
  <c r="Q86" i="9"/>
  <c r="C86" i="9"/>
  <c r="Z85" i="9"/>
  <c r="Y85" i="9"/>
  <c r="U85" i="9"/>
  <c r="C85" i="9"/>
  <c r="B85" i="9"/>
  <c r="Z84" i="9"/>
  <c r="Y84" i="9"/>
  <c r="U84" i="9"/>
  <c r="C84" i="9"/>
  <c r="B84" i="9"/>
  <c r="Z83" i="9"/>
  <c r="Y83" i="9"/>
  <c r="S83" i="9"/>
  <c r="Q83" i="9"/>
  <c r="C83" i="9"/>
  <c r="B83" i="9"/>
  <c r="Z82" i="9"/>
  <c r="Y82" i="9"/>
  <c r="O82" i="9"/>
  <c r="M82" i="9"/>
  <c r="C82" i="9"/>
  <c r="B82" i="9"/>
  <c r="Z81" i="9"/>
  <c r="Y81" i="9"/>
  <c r="Q81" i="9"/>
  <c r="C81" i="9"/>
  <c r="B81" i="9"/>
  <c r="Z80" i="9"/>
  <c r="Y80" i="9"/>
  <c r="V80" i="9"/>
  <c r="U80" i="9"/>
  <c r="N80" i="9"/>
  <c r="M80" i="9"/>
  <c r="C80" i="9"/>
  <c r="B80" i="9"/>
  <c r="Z79" i="9"/>
  <c r="Y79" i="9"/>
  <c r="S79" i="9"/>
  <c r="Q79" i="9"/>
  <c r="C79" i="9"/>
  <c r="B79" i="9"/>
  <c r="Z78" i="9"/>
  <c r="Y78" i="9"/>
  <c r="O78" i="9"/>
  <c r="C78" i="9"/>
  <c r="B78" i="9"/>
  <c r="Z77" i="9"/>
  <c r="Y77" i="9"/>
  <c r="R77" i="9"/>
  <c r="Q77" i="9"/>
  <c r="P77" i="9"/>
  <c r="O77" i="9"/>
  <c r="N77" i="9"/>
  <c r="M77" i="9"/>
  <c r="C77" i="9"/>
  <c r="B77" i="9"/>
  <c r="Z76" i="9"/>
  <c r="Y76" i="9"/>
  <c r="V76" i="9"/>
  <c r="U76" i="9"/>
  <c r="T76" i="9"/>
  <c r="S76" i="9"/>
  <c r="R76" i="9"/>
  <c r="Q76" i="9"/>
  <c r="P76" i="9"/>
  <c r="O76" i="9"/>
  <c r="N76" i="9"/>
  <c r="M76" i="9"/>
  <c r="C76" i="9"/>
  <c r="Z75" i="9"/>
  <c r="Y75" i="9"/>
  <c r="M75" i="9"/>
  <c r="K75" i="9"/>
  <c r="C75" i="9"/>
  <c r="B75" i="9"/>
  <c r="Z74" i="9"/>
  <c r="Y74" i="9"/>
  <c r="K74" i="9"/>
  <c r="C74" i="9"/>
  <c r="B74" i="9"/>
  <c r="Z73" i="9"/>
  <c r="Y73" i="9"/>
  <c r="K73" i="9"/>
  <c r="C73" i="9"/>
  <c r="B73" i="9"/>
  <c r="Z72" i="9"/>
  <c r="Y72" i="9"/>
  <c r="K72" i="9"/>
  <c r="C72" i="9"/>
  <c r="B72" i="9"/>
  <c r="Z71" i="9"/>
  <c r="Y71" i="9"/>
  <c r="I71" i="9"/>
  <c r="C71" i="9"/>
  <c r="B71" i="9"/>
  <c r="Z70" i="9"/>
  <c r="Y70" i="9"/>
  <c r="I70" i="9"/>
  <c r="C70" i="9"/>
  <c r="B70" i="9"/>
  <c r="Z69" i="9"/>
  <c r="Y69" i="9"/>
  <c r="I69" i="9"/>
  <c r="C69" i="9"/>
  <c r="B69" i="9"/>
  <c r="Z68" i="9"/>
  <c r="Y68" i="9"/>
  <c r="I68" i="9"/>
  <c r="C68" i="9"/>
  <c r="B68" i="9"/>
  <c r="Z67" i="9"/>
  <c r="Y67" i="9"/>
  <c r="I67" i="9"/>
  <c r="C67" i="9"/>
  <c r="B67" i="9"/>
  <c r="Z66" i="9"/>
  <c r="Y66" i="9"/>
  <c r="I66" i="9"/>
  <c r="C66" i="9"/>
  <c r="B66" i="9"/>
  <c r="Z65" i="9"/>
  <c r="Y65" i="9"/>
  <c r="G65" i="9"/>
  <c r="C65" i="9"/>
  <c r="B65" i="9"/>
  <c r="Z64" i="9"/>
  <c r="Y64" i="9"/>
  <c r="G64" i="9"/>
  <c r="C64" i="9"/>
  <c r="B64" i="9"/>
  <c r="Z63" i="9"/>
  <c r="Y63" i="9"/>
  <c r="G63" i="9"/>
  <c r="C63" i="9"/>
  <c r="B63" i="9"/>
  <c r="Z62" i="9"/>
  <c r="Y62" i="9"/>
  <c r="G62" i="9"/>
  <c r="C62" i="9"/>
  <c r="B62" i="9"/>
  <c r="Z61" i="9"/>
  <c r="Y61" i="9"/>
  <c r="N61" i="9"/>
  <c r="M61" i="9"/>
  <c r="L61" i="9"/>
  <c r="K61" i="9"/>
  <c r="J61" i="9"/>
  <c r="I61" i="9"/>
  <c r="H61" i="9"/>
  <c r="G61" i="9"/>
  <c r="C61" i="9"/>
  <c r="Z60" i="9"/>
  <c r="Y60" i="9"/>
  <c r="V60" i="9"/>
  <c r="U60" i="9"/>
  <c r="T60" i="9"/>
  <c r="S60" i="9"/>
  <c r="R60" i="9"/>
  <c r="Q60" i="9"/>
  <c r="P60" i="9"/>
  <c r="O60" i="9"/>
  <c r="N60" i="9"/>
  <c r="M60" i="9"/>
  <c r="L60" i="9"/>
  <c r="K60" i="9"/>
  <c r="J60" i="9"/>
  <c r="I60" i="9"/>
  <c r="H60" i="9"/>
  <c r="G60" i="9"/>
  <c r="D60" i="9"/>
  <c r="C60" i="9"/>
  <c r="B60" i="9"/>
  <c r="Z59" i="9"/>
  <c r="Y59" i="9"/>
  <c r="W59" i="9"/>
  <c r="C59" i="9"/>
  <c r="B59" i="9"/>
  <c r="Z58" i="9"/>
  <c r="Y58" i="9"/>
  <c r="W58" i="9"/>
  <c r="C58" i="9"/>
  <c r="B58" i="9"/>
  <c r="Z57" i="9"/>
  <c r="Y57" i="9"/>
  <c r="X57" i="9"/>
  <c r="W57" i="9"/>
  <c r="C57" i="9"/>
  <c r="B57" i="9"/>
  <c r="Z56" i="9"/>
  <c r="Y56" i="9"/>
  <c r="X56" i="9"/>
  <c r="W56" i="9"/>
  <c r="V56" i="9"/>
  <c r="U56" i="9"/>
  <c r="T56" i="9"/>
  <c r="S56" i="9"/>
  <c r="R56" i="9"/>
  <c r="Q56" i="9"/>
  <c r="P56" i="9"/>
  <c r="O56" i="9"/>
  <c r="N56" i="9"/>
  <c r="M56" i="9"/>
  <c r="L56" i="9"/>
  <c r="K56" i="9"/>
  <c r="J56" i="9"/>
  <c r="I56" i="9"/>
  <c r="H56" i="9"/>
  <c r="G56" i="9"/>
  <c r="F56" i="9"/>
  <c r="E56" i="9"/>
  <c r="C56" i="9"/>
  <c r="B56" i="9"/>
  <c r="Z55" i="9"/>
  <c r="Y55" i="9"/>
  <c r="X55" i="9"/>
  <c r="W55" i="9"/>
  <c r="V55" i="9"/>
  <c r="U55" i="9"/>
  <c r="T55" i="9"/>
  <c r="S55" i="9"/>
  <c r="R55" i="9"/>
  <c r="Q55" i="9"/>
  <c r="P55" i="9"/>
  <c r="O55" i="9"/>
  <c r="N55" i="9"/>
  <c r="M55" i="9"/>
  <c r="L55" i="9"/>
  <c r="K55" i="9"/>
  <c r="J55" i="9"/>
  <c r="I55" i="9"/>
  <c r="H55" i="9"/>
  <c r="G55" i="9"/>
  <c r="F55" i="9"/>
  <c r="E55" i="9"/>
  <c r="C55" i="9"/>
  <c r="B55" i="9"/>
  <c r="Z54" i="9"/>
  <c r="Y54" i="9"/>
  <c r="X54" i="9"/>
  <c r="W54" i="9"/>
  <c r="V54" i="9"/>
  <c r="U54" i="9"/>
  <c r="T54" i="9"/>
  <c r="S54" i="9"/>
  <c r="R54" i="9"/>
  <c r="Q54" i="9"/>
  <c r="P54" i="9"/>
  <c r="O54" i="9"/>
  <c r="N54" i="9"/>
  <c r="M54" i="9"/>
  <c r="L54" i="9"/>
  <c r="K54" i="9"/>
  <c r="J54" i="9"/>
  <c r="I54" i="9"/>
  <c r="H54" i="9"/>
  <c r="G54" i="9"/>
  <c r="F54" i="9"/>
  <c r="E54" i="9"/>
  <c r="C54" i="9"/>
  <c r="B54" i="9"/>
  <c r="Z53" i="9"/>
  <c r="Y53" i="9"/>
  <c r="X53" i="9"/>
  <c r="W53" i="9"/>
  <c r="V53" i="9"/>
  <c r="U53" i="9"/>
  <c r="T53" i="9"/>
  <c r="S53" i="9"/>
  <c r="R53" i="9"/>
  <c r="Q53" i="9"/>
  <c r="P53" i="9"/>
  <c r="O53" i="9"/>
  <c r="N53" i="9"/>
  <c r="M53" i="9"/>
  <c r="L53" i="9"/>
  <c r="K53" i="9"/>
  <c r="J53" i="9"/>
  <c r="I53" i="9"/>
  <c r="H53" i="9"/>
  <c r="G53" i="9"/>
  <c r="F53" i="9"/>
  <c r="E53" i="9"/>
  <c r="C53" i="9"/>
  <c r="B53" i="9"/>
  <c r="Z52" i="9"/>
  <c r="Y52" i="9"/>
  <c r="X52" i="9"/>
  <c r="W52" i="9"/>
  <c r="V52" i="9"/>
  <c r="U52" i="9"/>
  <c r="T52" i="9"/>
  <c r="S52" i="9"/>
  <c r="R52" i="9"/>
  <c r="Q52" i="9"/>
  <c r="P52" i="9"/>
  <c r="O52" i="9"/>
  <c r="N52" i="9"/>
  <c r="M52" i="9"/>
  <c r="L52" i="9"/>
  <c r="K52" i="9"/>
  <c r="J52" i="9"/>
  <c r="I52" i="9"/>
  <c r="H52" i="9"/>
  <c r="G52" i="9"/>
  <c r="F52" i="9"/>
  <c r="E52" i="9"/>
  <c r="C52" i="9"/>
  <c r="B52" i="9"/>
  <c r="Z51" i="9"/>
  <c r="Y51" i="9"/>
  <c r="X51" i="9"/>
  <c r="W51" i="9"/>
  <c r="V51" i="9"/>
  <c r="U51" i="9"/>
  <c r="T51" i="9"/>
  <c r="S51" i="9"/>
  <c r="R51" i="9"/>
  <c r="Q51" i="9"/>
  <c r="P51" i="9"/>
  <c r="O51" i="9"/>
  <c r="N51" i="9"/>
  <c r="M51" i="9"/>
  <c r="L51" i="9"/>
  <c r="K51" i="9"/>
  <c r="J51" i="9"/>
  <c r="I51" i="9"/>
  <c r="H51" i="9"/>
  <c r="G51" i="9"/>
  <c r="F51" i="9"/>
  <c r="E51" i="9"/>
  <c r="C51" i="9"/>
  <c r="B51" i="9"/>
  <c r="Z50" i="9"/>
  <c r="Y50" i="9"/>
  <c r="X50" i="9"/>
  <c r="W50" i="9"/>
  <c r="V50" i="9"/>
  <c r="U50" i="9"/>
  <c r="T50" i="9"/>
  <c r="S50" i="9"/>
  <c r="R50" i="9"/>
  <c r="Q50" i="9"/>
  <c r="P50" i="9"/>
  <c r="O50" i="9"/>
  <c r="N50" i="9"/>
  <c r="M50" i="9"/>
  <c r="L50" i="9"/>
  <c r="K50" i="9"/>
  <c r="J50" i="9"/>
  <c r="I50" i="9"/>
  <c r="H50" i="9"/>
  <c r="G50" i="9"/>
  <c r="F50" i="9"/>
  <c r="E50" i="9"/>
  <c r="C50" i="9"/>
  <c r="B50" i="9"/>
  <c r="Z49" i="9"/>
  <c r="Y49" i="9"/>
  <c r="X49" i="9"/>
  <c r="W49" i="9"/>
  <c r="V49" i="9"/>
  <c r="U49" i="9"/>
  <c r="T49" i="9"/>
  <c r="S49" i="9"/>
  <c r="R49" i="9"/>
  <c r="Q49" i="9"/>
  <c r="P49" i="9"/>
  <c r="O49" i="9"/>
  <c r="N49" i="9"/>
  <c r="M49" i="9"/>
  <c r="L49" i="9"/>
  <c r="K49" i="9"/>
  <c r="J49" i="9"/>
  <c r="I49" i="9"/>
  <c r="H49" i="9"/>
  <c r="G49" i="9"/>
  <c r="F49" i="9"/>
  <c r="E49" i="9"/>
  <c r="C49" i="9"/>
  <c r="B49" i="9"/>
  <c r="Z48" i="9"/>
  <c r="Y48" i="9"/>
  <c r="X48" i="9"/>
  <c r="W48" i="9"/>
  <c r="V48" i="9"/>
  <c r="U48" i="9"/>
  <c r="T48" i="9"/>
  <c r="S48" i="9"/>
  <c r="R48" i="9"/>
  <c r="Q48" i="9"/>
  <c r="P48" i="9"/>
  <c r="O48" i="9"/>
  <c r="N48" i="9"/>
  <c r="M48" i="9"/>
  <c r="L48" i="9"/>
  <c r="K48" i="9"/>
  <c r="J48" i="9"/>
  <c r="I48" i="9"/>
  <c r="H48" i="9"/>
  <c r="G48" i="9"/>
  <c r="F48" i="9"/>
  <c r="E48" i="9"/>
  <c r="C48" i="9"/>
  <c r="B48" i="9"/>
  <c r="Z47" i="9"/>
  <c r="Y47" i="9"/>
  <c r="X47" i="9"/>
  <c r="W47" i="9"/>
  <c r="V47" i="9"/>
  <c r="U47" i="9"/>
  <c r="T47" i="9"/>
  <c r="S47" i="9"/>
  <c r="R47" i="9"/>
  <c r="Q47" i="9"/>
  <c r="P47" i="9"/>
  <c r="O47" i="9"/>
  <c r="N47" i="9"/>
  <c r="M47" i="9"/>
  <c r="L47" i="9"/>
  <c r="K47" i="9"/>
  <c r="J47" i="9"/>
  <c r="I47" i="9"/>
  <c r="H47" i="9"/>
  <c r="G47" i="9"/>
  <c r="F47" i="9"/>
  <c r="E47" i="9"/>
  <c r="C47" i="9"/>
  <c r="B47" i="9"/>
  <c r="Z46" i="9"/>
  <c r="Y46" i="9"/>
  <c r="X46" i="9"/>
  <c r="W46" i="9"/>
  <c r="V46" i="9"/>
  <c r="U46" i="9"/>
  <c r="T46" i="9"/>
  <c r="S46" i="9"/>
  <c r="R46" i="9"/>
  <c r="Q46" i="9"/>
  <c r="P46" i="9"/>
  <c r="O46" i="9"/>
  <c r="N46" i="9"/>
  <c r="M46" i="9"/>
  <c r="L46" i="9"/>
  <c r="K46" i="9"/>
  <c r="J46" i="9"/>
  <c r="I46" i="9"/>
  <c r="H46" i="9"/>
  <c r="G46" i="9"/>
  <c r="F46" i="9"/>
  <c r="E46" i="9"/>
  <c r="C46" i="9"/>
  <c r="B46" i="9"/>
  <c r="Z45" i="9"/>
  <c r="Y45" i="9"/>
  <c r="X45" i="9"/>
  <c r="W45" i="9"/>
  <c r="V45" i="9"/>
  <c r="U45" i="9"/>
  <c r="T45" i="9"/>
  <c r="S45" i="9"/>
  <c r="R45" i="9"/>
  <c r="Q45" i="9"/>
  <c r="P45" i="9"/>
  <c r="O45" i="9"/>
  <c r="N45" i="9"/>
  <c r="M45" i="9"/>
  <c r="L45" i="9"/>
  <c r="K45" i="9"/>
  <c r="J45" i="9"/>
  <c r="I45" i="9"/>
  <c r="H45" i="9"/>
  <c r="G45" i="9"/>
  <c r="F45" i="9"/>
  <c r="E45" i="9"/>
  <c r="C45" i="9"/>
  <c r="B45" i="9"/>
  <c r="Z44" i="9"/>
  <c r="Y44" i="9"/>
  <c r="X44" i="9"/>
  <c r="W44" i="9"/>
  <c r="V44" i="9"/>
  <c r="U44" i="9"/>
  <c r="T44" i="9"/>
  <c r="S44" i="9"/>
  <c r="R44" i="9"/>
  <c r="Q44" i="9"/>
  <c r="P44" i="9"/>
  <c r="O44" i="9"/>
  <c r="N44" i="9"/>
  <c r="M44" i="9"/>
  <c r="L44" i="9"/>
  <c r="K44" i="9"/>
  <c r="J44" i="9"/>
  <c r="I44" i="9"/>
  <c r="H44" i="9"/>
  <c r="G44" i="9"/>
  <c r="F44" i="9"/>
  <c r="E44" i="9"/>
  <c r="C44" i="9"/>
  <c r="B44" i="9"/>
  <c r="Z43" i="9"/>
  <c r="Y43" i="9"/>
  <c r="X43" i="9"/>
  <c r="W43" i="9"/>
  <c r="V43" i="9"/>
  <c r="U43" i="9"/>
  <c r="T43" i="9"/>
  <c r="S43" i="9"/>
  <c r="R43" i="9"/>
  <c r="Q43" i="9"/>
  <c r="P43" i="9"/>
  <c r="O43" i="9"/>
  <c r="N43" i="9"/>
  <c r="M43" i="9"/>
  <c r="L43" i="9"/>
  <c r="K43" i="9"/>
  <c r="J43" i="9"/>
  <c r="I43" i="9"/>
  <c r="H43" i="9"/>
  <c r="G43" i="9"/>
  <c r="F43" i="9"/>
  <c r="E43" i="9"/>
  <c r="C43" i="9"/>
  <c r="B43" i="9"/>
  <c r="Z42" i="9"/>
  <c r="Y42" i="9"/>
  <c r="E42" i="9"/>
  <c r="C42" i="9"/>
  <c r="B42" i="9"/>
  <c r="Z41" i="9"/>
  <c r="Y41" i="9"/>
  <c r="X41" i="9"/>
  <c r="W41" i="9"/>
  <c r="V41" i="9"/>
  <c r="U41" i="9"/>
  <c r="T41" i="9"/>
  <c r="S41" i="9"/>
  <c r="R41" i="9"/>
  <c r="Q41" i="9"/>
  <c r="P41" i="9"/>
  <c r="O41" i="9"/>
  <c r="N41" i="9"/>
  <c r="M41" i="9"/>
  <c r="L41" i="9"/>
  <c r="K41" i="9"/>
  <c r="J41" i="9"/>
  <c r="I41" i="9"/>
  <c r="H41" i="9"/>
  <c r="G41" i="9"/>
  <c r="F41" i="9"/>
  <c r="E41" i="9"/>
  <c r="C41" i="9"/>
  <c r="B41" i="9"/>
  <c r="Z40" i="9"/>
  <c r="Y40" i="9"/>
  <c r="X40" i="9"/>
  <c r="W40" i="9"/>
  <c r="V40" i="9"/>
  <c r="U40" i="9"/>
  <c r="T40" i="9"/>
  <c r="S40" i="9"/>
  <c r="R40" i="9"/>
  <c r="Q40" i="9"/>
  <c r="P40" i="9"/>
  <c r="O40" i="9"/>
  <c r="N40" i="9"/>
  <c r="M40" i="9"/>
  <c r="L40" i="9"/>
  <c r="K40" i="9"/>
  <c r="J40" i="9"/>
  <c r="I40" i="9"/>
  <c r="H40" i="9"/>
  <c r="G40" i="9"/>
  <c r="F40" i="9"/>
  <c r="E40" i="9"/>
  <c r="C40" i="9"/>
  <c r="B40" i="9"/>
  <c r="Z39" i="9"/>
  <c r="Y39" i="9"/>
  <c r="E39" i="9"/>
  <c r="C39" i="9"/>
  <c r="B39" i="9"/>
  <c r="Z38" i="9"/>
  <c r="Y38" i="9"/>
  <c r="E38" i="9"/>
  <c r="C38" i="9"/>
  <c r="B38" i="9"/>
  <c r="Z37" i="9"/>
  <c r="Y37" i="9"/>
  <c r="E37" i="9"/>
  <c r="C37" i="9"/>
  <c r="B37" i="9"/>
  <c r="Z36" i="9"/>
  <c r="Y36" i="9"/>
  <c r="F36" i="9"/>
  <c r="E36" i="9"/>
  <c r="C36" i="9"/>
  <c r="B36" i="9"/>
  <c r="Z35" i="9"/>
  <c r="Y35" i="9"/>
  <c r="E35" i="9"/>
  <c r="C35" i="9"/>
  <c r="B35" i="9"/>
  <c r="Z34" i="9"/>
  <c r="Y34" i="9"/>
  <c r="X34" i="9"/>
  <c r="W34" i="9"/>
  <c r="V34" i="9"/>
  <c r="U34" i="9"/>
  <c r="T34" i="9"/>
  <c r="S34" i="9"/>
  <c r="R34" i="9"/>
  <c r="Q34" i="9"/>
  <c r="P34" i="9"/>
  <c r="O34" i="9"/>
  <c r="N34" i="9"/>
  <c r="M34" i="9"/>
  <c r="L34" i="9"/>
  <c r="K34" i="9"/>
  <c r="J34" i="9"/>
  <c r="I34" i="9"/>
  <c r="H34" i="9"/>
  <c r="G34" i="9"/>
  <c r="F34" i="9"/>
  <c r="E34" i="9"/>
  <c r="C34" i="9"/>
  <c r="B34" i="9"/>
  <c r="Z33" i="9"/>
  <c r="Y33" i="9"/>
  <c r="E33" i="9"/>
  <c r="C33" i="9"/>
  <c r="Z32" i="9"/>
  <c r="Y32" i="9"/>
  <c r="E32" i="9"/>
  <c r="C32" i="9"/>
  <c r="B32" i="9"/>
  <c r="Z31" i="9"/>
  <c r="Y31" i="9"/>
  <c r="E31" i="9"/>
  <c r="C31" i="9"/>
  <c r="B31" i="9"/>
  <c r="Z30" i="9"/>
  <c r="Y30" i="9"/>
  <c r="X30" i="9"/>
  <c r="W30" i="9"/>
  <c r="V30" i="9"/>
  <c r="U30" i="9"/>
  <c r="T30" i="9"/>
  <c r="S30" i="9"/>
  <c r="R30" i="9"/>
  <c r="Q30" i="9"/>
  <c r="P30" i="9"/>
  <c r="O30" i="9"/>
  <c r="N30" i="9"/>
  <c r="M30" i="9"/>
  <c r="L30" i="9"/>
  <c r="K30" i="9"/>
  <c r="J30" i="9"/>
  <c r="I30" i="9"/>
  <c r="H30" i="9"/>
  <c r="G30" i="9"/>
  <c r="F30" i="9"/>
  <c r="E30" i="9"/>
  <c r="C30" i="9"/>
  <c r="B30" i="9"/>
  <c r="Z29" i="9"/>
  <c r="Y29" i="9"/>
  <c r="E29" i="9"/>
  <c r="C29" i="9"/>
  <c r="B29" i="9"/>
  <c r="Z28" i="9"/>
  <c r="Y28" i="9"/>
  <c r="E28" i="9"/>
  <c r="C28" i="9"/>
  <c r="B28" i="9"/>
  <c r="Z27" i="9"/>
  <c r="Y27" i="9"/>
  <c r="E27" i="9"/>
  <c r="C27" i="9"/>
  <c r="B27" i="9"/>
  <c r="Z26" i="9"/>
  <c r="Y26" i="9"/>
  <c r="E26" i="9"/>
  <c r="C26" i="9"/>
  <c r="B26" i="9"/>
  <c r="Z25" i="9"/>
  <c r="Y25" i="9"/>
  <c r="F25" i="9"/>
  <c r="E25" i="9"/>
  <c r="C25" i="9"/>
  <c r="B25" i="9"/>
  <c r="Z24" i="9"/>
  <c r="Y24" i="9"/>
  <c r="X24" i="9"/>
  <c r="W24" i="9"/>
  <c r="V24" i="9"/>
  <c r="U24" i="9"/>
  <c r="T24" i="9"/>
  <c r="S24" i="9"/>
  <c r="R24" i="9"/>
  <c r="Q24" i="9"/>
  <c r="P24" i="9"/>
  <c r="O24" i="9"/>
  <c r="N24" i="9"/>
  <c r="M24" i="9"/>
  <c r="L24" i="9"/>
  <c r="K24" i="9"/>
  <c r="J24" i="9"/>
  <c r="I24" i="9"/>
  <c r="H24" i="9"/>
  <c r="G24" i="9"/>
  <c r="F24" i="9"/>
  <c r="E24" i="9"/>
  <c r="C24" i="9"/>
  <c r="Z23" i="9"/>
  <c r="Y23" i="9"/>
  <c r="X23" i="9"/>
  <c r="W23" i="9"/>
  <c r="V23" i="9"/>
  <c r="U23" i="9"/>
  <c r="T23" i="9"/>
  <c r="S23" i="9"/>
  <c r="R23" i="9"/>
  <c r="Q23" i="9"/>
  <c r="P23" i="9"/>
  <c r="O23" i="9"/>
  <c r="N23" i="9"/>
  <c r="M23" i="9"/>
  <c r="L23" i="9"/>
  <c r="K23" i="9"/>
  <c r="J23" i="9"/>
  <c r="I23" i="9"/>
  <c r="H23" i="9"/>
  <c r="G23" i="9"/>
  <c r="F23" i="9"/>
  <c r="E23" i="9"/>
  <c r="C23" i="9"/>
  <c r="B23" i="9"/>
  <c r="Z22" i="9"/>
  <c r="Y22" i="9"/>
  <c r="X22" i="9"/>
  <c r="W22" i="9"/>
  <c r="V22" i="9"/>
  <c r="U22" i="9"/>
  <c r="T22" i="9"/>
  <c r="S22" i="9"/>
  <c r="R22" i="9"/>
  <c r="Q22" i="9"/>
  <c r="P22" i="9"/>
  <c r="O22" i="9"/>
  <c r="N22" i="9"/>
  <c r="M22" i="9"/>
  <c r="L22" i="9"/>
  <c r="K22" i="9"/>
  <c r="J22" i="9"/>
  <c r="I22" i="9"/>
  <c r="H22" i="9"/>
  <c r="G22" i="9"/>
  <c r="F22" i="9"/>
  <c r="E22" i="9"/>
  <c r="C22" i="9"/>
  <c r="B22" i="9"/>
  <c r="Z21" i="9"/>
  <c r="Y21" i="9"/>
  <c r="X21" i="9"/>
  <c r="W21" i="9"/>
  <c r="V21" i="9"/>
  <c r="U21" i="9"/>
  <c r="T21" i="9"/>
  <c r="S21" i="9"/>
  <c r="R21" i="9"/>
  <c r="Q21" i="9"/>
  <c r="P21" i="9"/>
  <c r="O21" i="9"/>
  <c r="N21" i="9"/>
  <c r="M21" i="9"/>
  <c r="L21" i="9"/>
  <c r="K21" i="9"/>
  <c r="J21" i="9"/>
  <c r="I21" i="9"/>
  <c r="H21" i="9"/>
  <c r="G21" i="9"/>
  <c r="F21" i="9"/>
  <c r="E21" i="9"/>
  <c r="C21" i="9"/>
  <c r="B21" i="9"/>
  <c r="Z20" i="9"/>
  <c r="Y20" i="9"/>
  <c r="X20" i="9"/>
  <c r="W20" i="9"/>
  <c r="V20" i="9"/>
  <c r="U20" i="9"/>
  <c r="T20" i="9"/>
  <c r="S20" i="9"/>
  <c r="R20" i="9"/>
  <c r="Q20" i="9"/>
  <c r="P20" i="9"/>
  <c r="O20" i="9"/>
  <c r="N20" i="9"/>
  <c r="M20" i="9"/>
  <c r="L20" i="9"/>
  <c r="K20" i="9"/>
  <c r="J20" i="9"/>
  <c r="I20" i="9"/>
  <c r="H20" i="9"/>
  <c r="G20" i="9"/>
  <c r="F20" i="9"/>
  <c r="E20" i="9"/>
  <c r="C20" i="9"/>
  <c r="B20" i="9"/>
  <c r="Z19" i="9"/>
  <c r="Y19" i="9"/>
  <c r="X19" i="9"/>
  <c r="W19" i="9"/>
  <c r="V19" i="9"/>
  <c r="U19" i="9"/>
  <c r="T19" i="9"/>
  <c r="S19" i="9"/>
  <c r="R19" i="9"/>
  <c r="Q19" i="9"/>
  <c r="P19" i="9"/>
  <c r="O19" i="9"/>
  <c r="N19" i="9"/>
  <c r="M19" i="9"/>
  <c r="L19" i="9"/>
  <c r="K19" i="9"/>
  <c r="J19" i="9"/>
  <c r="I19" i="9"/>
  <c r="H19" i="9"/>
  <c r="G19" i="9"/>
  <c r="F19" i="9"/>
  <c r="E19" i="9"/>
  <c r="C19" i="9"/>
  <c r="B19" i="9"/>
  <c r="Z18" i="9"/>
  <c r="Y18" i="9"/>
  <c r="X18" i="9"/>
  <c r="W18" i="9"/>
  <c r="V18" i="9"/>
  <c r="U18" i="9"/>
  <c r="T18" i="9"/>
  <c r="S18" i="9"/>
  <c r="R18" i="9"/>
  <c r="Q18" i="9"/>
  <c r="P18" i="9"/>
  <c r="O18" i="9"/>
  <c r="N18" i="9"/>
  <c r="M18" i="9"/>
  <c r="L18" i="9"/>
  <c r="K18" i="9"/>
  <c r="J18" i="9"/>
  <c r="I18" i="9"/>
  <c r="H18" i="9"/>
  <c r="G18" i="9"/>
  <c r="F18" i="9"/>
  <c r="E18" i="9"/>
  <c r="C18" i="9"/>
  <c r="B18" i="9"/>
  <c r="Z17" i="9"/>
  <c r="Y17" i="9"/>
  <c r="X17" i="9"/>
  <c r="W17" i="9"/>
  <c r="V17" i="9"/>
  <c r="U17" i="9"/>
  <c r="T17" i="9"/>
  <c r="S17" i="9"/>
  <c r="R17" i="9"/>
  <c r="Q17" i="9"/>
  <c r="P17" i="9"/>
  <c r="O17" i="9"/>
  <c r="N17" i="9"/>
  <c r="M17" i="9"/>
  <c r="L17" i="9"/>
  <c r="K17" i="9"/>
  <c r="J17" i="9"/>
  <c r="I17" i="9"/>
  <c r="H17" i="9"/>
  <c r="G17" i="9"/>
  <c r="F17" i="9"/>
  <c r="E17" i="9"/>
  <c r="C17" i="9"/>
  <c r="B17" i="9"/>
  <c r="Z16" i="9"/>
  <c r="Y16" i="9"/>
  <c r="X16" i="9"/>
  <c r="W16" i="9"/>
  <c r="V16" i="9"/>
  <c r="U16" i="9"/>
  <c r="T16" i="9"/>
  <c r="S16" i="9"/>
  <c r="R16" i="9"/>
  <c r="Q16" i="9"/>
  <c r="P16" i="9"/>
  <c r="O16" i="9"/>
  <c r="N16" i="9"/>
  <c r="M16" i="9"/>
  <c r="L16" i="9"/>
  <c r="K16" i="9"/>
  <c r="J16" i="9"/>
  <c r="I16" i="9"/>
  <c r="H16" i="9"/>
  <c r="G16" i="9"/>
  <c r="F16" i="9"/>
  <c r="E16" i="9"/>
  <c r="C16" i="9"/>
  <c r="B16" i="9"/>
  <c r="Z15" i="9"/>
  <c r="Y15" i="9"/>
  <c r="U15" i="9"/>
  <c r="G15" i="9"/>
  <c r="C15" i="9"/>
  <c r="B15" i="9"/>
  <c r="Z14" i="9"/>
  <c r="Y14" i="9"/>
  <c r="U14" i="9"/>
  <c r="G14" i="9"/>
  <c r="C14" i="9"/>
  <c r="B14" i="9"/>
  <c r="Z13" i="9"/>
  <c r="Y13" i="9"/>
  <c r="X13" i="9"/>
  <c r="W13" i="9"/>
  <c r="V13" i="9"/>
  <c r="U13" i="9"/>
  <c r="T13" i="9"/>
  <c r="S13" i="9"/>
  <c r="R13" i="9"/>
  <c r="Q13" i="9"/>
  <c r="P13" i="9"/>
  <c r="O13" i="9"/>
  <c r="N13" i="9"/>
  <c r="M13" i="9"/>
  <c r="L13" i="9"/>
  <c r="K13" i="9"/>
  <c r="J13" i="9"/>
  <c r="I13" i="9"/>
  <c r="H13" i="9"/>
  <c r="G13" i="9"/>
  <c r="F13" i="9"/>
  <c r="E13" i="9"/>
  <c r="C13" i="9"/>
  <c r="B13" i="9"/>
  <c r="Z12" i="9"/>
  <c r="Y12" i="9"/>
  <c r="X12" i="9"/>
  <c r="W12" i="9"/>
  <c r="V12" i="9"/>
  <c r="U12" i="9"/>
  <c r="T12" i="9"/>
  <c r="S12" i="9"/>
  <c r="R12" i="9"/>
  <c r="Q12" i="9"/>
  <c r="P12" i="9"/>
  <c r="O12" i="9"/>
  <c r="N12" i="9"/>
  <c r="M12" i="9"/>
  <c r="L12" i="9"/>
  <c r="K12" i="9"/>
  <c r="J12" i="9"/>
  <c r="I12" i="9"/>
  <c r="H12" i="9"/>
  <c r="G12" i="9"/>
  <c r="F12" i="9"/>
  <c r="E12" i="9"/>
  <c r="C12" i="9"/>
  <c r="B12" i="9"/>
  <c r="Z11" i="9"/>
  <c r="Y11" i="9"/>
  <c r="X11" i="9"/>
  <c r="W11" i="9"/>
  <c r="V11" i="9"/>
  <c r="U11" i="9"/>
  <c r="T11" i="9"/>
  <c r="S11" i="9"/>
  <c r="R11" i="9"/>
  <c r="Q11" i="9"/>
  <c r="P11" i="9"/>
  <c r="O11" i="9"/>
  <c r="N11" i="9"/>
  <c r="M11" i="9"/>
  <c r="L11" i="9"/>
  <c r="K11" i="9"/>
  <c r="J11" i="9"/>
  <c r="I11" i="9"/>
  <c r="H11" i="9"/>
  <c r="G11" i="9"/>
  <c r="F11" i="9"/>
  <c r="E11" i="9"/>
  <c r="C11" i="9"/>
  <c r="Z10" i="9"/>
  <c r="Y10" i="9"/>
  <c r="X10" i="9"/>
  <c r="W10" i="9"/>
  <c r="V10" i="9"/>
  <c r="U10" i="9"/>
  <c r="T10" i="9"/>
  <c r="S10" i="9"/>
  <c r="R10" i="9"/>
  <c r="Q10" i="9"/>
  <c r="P10" i="9"/>
  <c r="O10" i="9"/>
  <c r="N10" i="9"/>
  <c r="M10" i="9"/>
  <c r="L10" i="9"/>
  <c r="K10" i="9"/>
  <c r="J10" i="9"/>
  <c r="I10" i="9"/>
  <c r="H10" i="9"/>
  <c r="G10" i="9"/>
  <c r="F10" i="9"/>
  <c r="E10" i="9"/>
  <c r="D10" i="9"/>
  <c r="C10" i="9"/>
  <c r="B10" i="9"/>
  <c r="B4" i="9"/>
  <c r="A4" i="9"/>
  <c r="B3" i="9"/>
  <c r="A3" i="9"/>
  <c r="B2" i="9"/>
  <c r="A2" i="9"/>
  <c r="B1" i="9"/>
  <c r="A1" i="9"/>
  <c r="N83" i="8"/>
  <c r="M83" i="8"/>
  <c r="L83" i="8"/>
  <c r="K83" i="8"/>
  <c r="J83" i="8"/>
  <c r="I83" i="8"/>
  <c r="H83" i="8"/>
  <c r="G83" i="8"/>
  <c r="F83" i="8"/>
  <c r="E83" i="8"/>
  <c r="O82" i="8"/>
  <c r="N82" i="8"/>
  <c r="M82" i="8"/>
  <c r="L82" i="8"/>
  <c r="K82" i="8"/>
  <c r="J82" i="8"/>
  <c r="I82" i="8"/>
  <c r="H82" i="8"/>
  <c r="G82" i="8"/>
  <c r="F82" i="8"/>
  <c r="E82" i="8"/>
  <c r="O81" i="8"/>
  <c r="N81" i="8"/>
  <c r="M81" i="8"/>
  <c r="L81" i="8"/>
  <c r="K81" i="8"/>
  <c r="J81" i="8"/>
  <c r="I81" i="8"/>
  <c r="H81" i="8"/>
  <c r="G81" i="8"/>
  <c r="F81" i="8"/>
  <c r="E81" i="8"/>
  <c r="D80" i="8"/>
  <c r="C80" i="8"/>
  <c r="O79" i="8"/>
  <c r="I79" i="8"/>
  <c r="O78" i="8"/>
  <c r="N78" i="8"/>
  <c r="M78" i="8"/>
  <c r="L78" i="8"/>
  <c r="K78" i="8"/>
  <c r="J78" i="8"/>
  <c r="I78" i="8"/>
  <c r="H78" i="8"/>
  <c r="G78" i="8"/>
  <c r="F78" i="8"/>
  <c r="E78" i="8"/>
  <c r="D78" i="8"/>
  <c r="C78" i="8"/>
  <c r="B78" i="8"/>
  <c r="O77" i="8"/>
  <c r="H77" i="8"/>
  <c r="O76" i="8"/>
  <c r="N76" i="8"/>
  <c r="M76" i="8"/>
  <c r="L76" i="8"/>
  <c r="K76" i="8"/>
  <c r="J76" i="8"/>
  <c r="I76" i="8"/>
  <c r="H76" i="8"/>
  <c r="G76" i="8"/>
  <c r="F76" i="8"/>
  <c r="E76" i="8"/>
  <c r="D76" i="8"/>
  <c r="C76" i="8"/>
  <c r="B76" i="8"/>
  <c r="O75" i="8"/>
  <c r="G75" i="8"/>
  <c r="O74" i="8"/>
  <c r="N74" i="8"/>
  <c r="M74" i="8"/>
  <c r="L74" i="8"/>
  <c r="K74" i="8"/>
  <c r="J74" i="8"/>
  <c r="I74" i="8"/>
  <c r="H74" i="8"/>
  <c r="G74" i="8"/>
  <c r="F74" i="8"/>
  <c r="E74" i="8"/>
  <c r="D74" i="8"/>
  <c r="C74" i="8"/>
  <c r="B74" i="8"/>
  <c r="O73" i="8"/>
  <c r="F73" i="8"/>
  <c r="O72" i="8"/>
  <c r="N72" i="8"/>
  <c r="M72" i="8"/>
  <c r="L72" i="8"/>
  <c r="K72" i="8"/>
  <c r="J72" i="8"/>
  <c r="I72" i="8"/>
  <c r="H72" i="8"/>
  <c r="G72" i="8"/>
  <c r="F72" i="8"/>
  <c r="E72" i="8"/>
  <c r="D72" i="8"/>
  <c r="C72" i="8"/>
  <c r="B72" i="8"/>
  <c r="O71" i="8"/>
  <c r="G71" i="8"/>
  <c r="O70" i="8"/>
  <c r="N70" i="8"/>
  <c r="M70" i="8"/>
  <c r="L70" i="8"/>
  <c r="K70" i="8"/>
  <c r="J70" i="8"/>
  <c r="I70" i="8"/>
  <c r="H70" i="8"/>
  <c r="G70" i="8"/>
  <c r="F70" i="8"/>
  <c r="E70" i="8"/>
  <c r="D70" i="8"/>
  <c r="C70" i="8"/>
  <c r="B70" i="8"/>
  <c r="O69" i="8"/>
  <c r="F69" i="8"/>
  <c r="O68" i="8"/>
  <c r="N68" i="8"/>
  <c r="M68" i="8"/>
  <c r="L68" i="8"/>
  <c r="K68" i="8"/>
  <c r="J68" i="8"/>
  <c r="I68" i="8"/>
  <c r="H68" i="8"/>
  <c r="G68" i="8"/>
  <c r="F68" i="8"/>
  <c r="E68" i="8"/>
  <c r="D68" i="8"/>
  <c r="C68" i="8"/>
  <c r="B68" i="8"/>
  <c r="O67" i="8"/>
  <c r="I67" i="8"/>
  <c r="O66" i="8"/>
  <c r="N66" i="8"/>
  <c r="M66" i="8"/>
  <c r="L66" i="8"/>
  <c r="K66" i="8"/>
  <c r="J66" i="8"/>
  <c r="I66" i="8"/>
  <c r="H66" i="8"/>
  <c r="G66" i="8"/>
  <c r="F66" i="8"/>
  <c r="E66" i="8"/>
  <c r="D66" i="8"/>
  <c r="C66" i="8"/>
  <c r="B66" i="8"/>
  <c r="D65" i="8"/>
  <c r="C65" i="8"/>
  <c r="B65" i="8"/>
  <c r="O64" i="8"/>
  <c r="N64" i="8"/>
  <c r="O63" i="8"/>
  <c r="N63" i="8"/>
  <c r="M63" i="8"/>
  <c r="L63" i="8"/>
  <c r="K63" i="8"/>
  <c r="J63" i="8"/>
  <c r="I63" i="8"/>
  <c r="H63" i="8"/>
  <c r="G63" i="8"/>
  <c r="F63" i="8"/>
  <c r="E63" i="8"/>
  <c r="D63" i="8"/>
  <c r="C63" i="8"/>
  <c r="B63" i="8"/>
  <c r="O62" i="8"/>
  <c r="N62" i="8"/>
  <c r="M62" i="8"/>
  <c r="L62" i="8"/>
  <c r="O61" i="8"/>
  <c r="N61" i="8"/>
  <c r="M61" i="8"/>
  <c r="L61" i="8"/>
  <c r="K61" i="8"/>
  <c r="J61" i="8"/>
  <c r="I61" i="8"/>
  <c r="H61" i="8"/>
  <c r="G61" i="8"/>
  <c r="F61" i="8"/>
  <c r="E61" i="8"/>
  <c r="D61" i="8"/>
  <c r="C61" i="8"/>
  <c r="B61" i="8"/>
  <c r="O60" i="8"/>
  <c r="M60" i="8"/>
  <c r="O59" i="8"/>
  <c r="N59" i="8"/>
  <c r="M59" i="8"/>
  <c r="L59" i="8"/>
  <c r="K59" i="8"/>
  <c r="J59" i="8"/>
  <c r="I59" i="8"/>
  <c r="H59" i="8"/>
  <c r="G59" i="8"/>
  <c r="F59" i="8"/>
  <c r="E59" i="8"/>
  <c r="D59" i="8"/>
  <c r="C59" i="8"/>
  <c r="B59" i="8"/>
  <c r="O58" i="8"/>
  <c r="N58" i="8"/>
  <c r="M58" i="8"/>
  <c r="L58" i="8"/>
  <c r="K58" i="8"/>
  <c r="O57" i="8"/>
  <c r="N57" i="8"/>
  <c r="M57" i="8"/>
  <c r="L57" i="8"/>
  <c r="K57" i="8"/>
  <c r="J57" i="8"/>
  <c r="I57" i="8"/>
  <c r="H57" i="8"/>
  <c r="G57" i="8"/>
  <c r="F57" i="8"/>
  <c r="E57" i="8"/>
  <c r="D57" i="8"/>
  <c r="C57" i="8"/>
  <c r="B57" i="8"/>
  <c r="O56" i="8"/>
  <c r="J56" i="8"/>
  <c r="I56" i="8"/>
  <c r="O55" i="8"/>
  <c r="N55" i="8"/>
  <c r="M55" i="8"/>
  <c r="L55" i="8"/>
  <c r="K55" i="8"/>
  <c r="J55" i="8"/>
  <c r="I55" i="8"/>
  <c r="H55" i="8"/>
  <c r="G55" i="8"/>
  <c r="F55" i="8"/>
  <c r="E55" i="8"/>
  <c r="D55" i="8"/>
  <c r="C55" i="8"/>
  <c r="B55" i="8"/>
  <c r="D54" i="8"/>
  <c r="C54" i="8"/>
  <c r="B54" i="8"/>
  <c r="O53" i="8"/>
  <c r="L53" i="8"/>
  <c r="O52" i="8"/>
  <c r="N52" i="8"/>
  <c r="M52" i="8"/>
  <c r="L52" i="8"/>
  <c r="K52" i="8"/>
  <c r="J52" i="8"/>
  <c r="I52" i="8"/>
  <c r="H52" i="8"/>
  <c r="G52" i="8"/>
  <c r="F52" i="8"/>
  <c r="E52" i="8"/>
  <c r="D52" i="8"/>
  <c r="C52" i="8"/>
  <c r="B52" i="8"/>
  <c r="O51" i="8"/>
  <c r="L51" i="8"/>
  <c r="K51" i="8"/>
  <c r="J51" i="8"/>
  <c r="O50" i="8"/>
  <c r="N50" i="8"/>
  <c r="M50" i="8"/>
  <c r="L50" i="8"/>
  <c r="K50" i="8"/>
  <c r="J50" i="8"/>
  <c r="I50" i="8"/>
  <c r="H50" i="8"/>
  <c r="G50" i="8"/>
  <c r="F50" i="8"/>
  <c r="E50" i="8"/>
  <c r="D50" i="8"/>
  <c r="C50" i="8"/>
  <c r="B50" i="8"/>
  <c r="O49" i="8"/>
  <c r="K49" i="8"/>
  <c r="O48" i="8"/>
  <c r="N48" i="8"/>
  <c r="M48" i="8"/>
  <c r="L48" i="8"/>
  <c r="K48" i="8"/>
  <c r="J48" i="8"/>
  <c r="I48" i="8"/>
  <c r="H48" i="8"/>
  <c r="G48" i="8"/>
  <c r="F48" i="8"/>
  <c r="E48" i="8"/>
  <c r="D48" i="8"/>
  <c r="C48" i="8"/>
  <c r="B48" i="8"/>
  <c r="O47" i="8"/>
  <c r="L47" i="8"/>
  <c r="K47" i="8"/>
  <c r="J47" i="8"/>
  <c r="I47" i="8"/>
  <c r="O46" i="8"/>
  <c r="N46" i="8"/>
  <c r="M46" i="8"/>
  <c r="L46" i="8"/>
  <c r="K46" i="8"/>
  <c r="J46" i="8"/>
  <c r="I46" i="8"/>
  <c r="H46" i="8"/>
  <c r="G46" i="8"/>
  <c r="F46" i="8"/>
  <c r="E46" i="8"/>
  <c r="D46" i="8"/>
  <c r="C46" i="8"/>
  <c r="B46" i="8"/>
  <c r="O45" i="8"/>
  <c r="H45" i="8"/>
  <c r="G45" i="8"/>
  <c r="O44" i="8"/>
  <c r="N44" i="8"/>
  <c r="M44" i="8"/>
  <c r="L44" i="8"/>
  <c r="K44" i="8"/>
  <c r="J44" i="8"/>
  <c r="I44" i="8"/>
  <c r="H44" i="8"/>
  <c r="G44" i="8"/>
  <c r="F44" i="8"/>
  <c r="E44" i="8"/>
  <c r="D44" i="8"/>
  <c r="C44" i="8"/>
  <c r="B44" i="8"/>
  <c r="D43" i="8"/>
  <c r="C43" i="8"/>
  <c r="B43" i="8"/>
  <c r="O42" i="8"/>
  <c r="M42" i="8"/>
  <c r="O41" i="8"/>
  <c r="N41" i="8"/>
  <c r="M41" i="8"/>
  <c r="L41" i="8"/>
  <c r="K41" i="8"/>
  <c r="J41" i="8"/>
  <c r="I41" i="8"/>
  <c r="H41" i="8"/>
  <c r="G41" i="8"/>
  <c r="F41" i="8"/>
  <c r="E41" i="8"/>
  <c r="D41" i="8"/>
  <c r="C41" i="8"/>
  <c r="B41" i="8"/>
  <c r="O40" i="8"/>
  <c r="L40" i="8"/>
  <c r="O39" i="8"/>
  <c r="N39" i="8"/>
  <c r="M39" i="8"/>
  <c r="L39" i="8"/>
  <c r="K39" i="8"/>
  <c r="J39" i="8"/>
  <c r="I39" i="8"/>
  <c r="H39" i="8"/>
  <c r="G39" i="8"/>
  <c r="F39" i="8"/>
  <c r="E39" i="8"/>
  <c r="D39" i="8"/>
  <c r="C39" i="8"/>
  <c r="B39" i="8"/>
  <c r="O38" i="8"/>
  <c r="L38" i="8"/>
  <c r="O37" i="8"/>
  <c r="N37" i="8"/>
  <c r="M37" i="8"/>
  <c r="L37" i="8"/>
  <c r="K37" i="8"/>
  <c r="J37" i="8"/>
  <c r="I37" i="8"/>
  <c r="H37" i="8"/>
  <c r="G37" i="8"/>
  <c r="F37" i="8"/>
  <c r="E37" i="8"/>
  <c r="D37" i="8"/>
  <c r="C37" i="8"/>
  <c r="B37" i="8"/>
  <c r="O36" i="8"/>
  <c r="M36" i="8"/>
  <c r="L36" i="8"/>
  <c r="O35" i="8"/>
  <c r="M35" i="8"/>
  <c r="L35" i="8"/>
  <c r="K35" i="8"/>
  <c r="J35" i="8"/>
  <c r="I35" i="8"/>
  <c r="H35" i="8"/>
  <c r="G35" i="8"/>
  <c r="F35" i="8"/>
  <c r="E35" i="8"/>
  <c r="D35" i="8"/>
  <c r="C35" i="8"/>
  <c r="B35" i="8"/>
  <c r="O34" i="8"/>
  <c r="K34" i="8"/>
  <c r="O33" i="8"/>
  <c r="N33" i="8"/>
  <c r="M33" i="8"/>
  <c r="L33" i="8"/>
  <c r="K33" i="8"/>
  <c r="J33" i="8"/>
  <c r="I33" i="8"/>
  <c r="H33" i="8"/>
  <c r="G33" i="8"/>
  <c r="F33" i="8"/>
  <c r="E33" i="8"/>
  <c r="D33" i="8"/>
  <c r="C33" i="8"/>
  <c r="B33" i="8"/>
  <c r="D32" i="8"/>
  <c r="C32" i="8"/>
  <c r="B32" i="8"/>
  <c r="O31" i="8"/>
  <c r="M31" i="8"/>
  <c r="L31" i="8"/>
  <c r="K31" i="8"/>
  <c r="J31" i="8"/>
  <c r="O30" i="8"/>
  <c r="N30" i="8"/>
  <c r="M30" i="8"/>
  <c r="L30" i="8"/>
  <c r="K30" i="8"/>
  <c r="J30" i="8"/>
  <c r="I30" i="8"/>
  <c r="H30" i="8"/>
  <c r="G30" i="8"/>
  <c r="F30" i="8"/>
  <c r="E30" i="8"/>
  <c r="D30" i="8"/>
  <c r="C30" i="8"/>
  <c r="B30" i="8"/>
  <c r="O29" i="8"/>
  <c r="L29" i="8"/>
  <c r="O28" i="8"/>
  <c r="N28" i="8"/>
  <c r="M28" i="8"/>
  <c r="L28" i="8"/>
  <c r="K28" i="8"/>
  <c r="J28" i="8"/>
  <c r="I28" i="8"/>
  <c r="H28" i="8"/>
  <c r="G28" i="8"/>
  <c r="F28" i="8"/>
  <c r="E28" i="8"/>
  <c r="D28" i="8"/>
  <c r="C28" i="8"/>
  <c r="B28" i="8"/>
  <c r="O27" i="8"/>
  <c r="N27" i="8"/>
  <c r="M27" i="8"/>
  <c r="L27" i="8"/>
  <c r="K27" i="8"/>
  <c r="J27" i="8"/>
  <c r="I27" i="8"/>
  <c r="O26" i="8"/>
  <c r="N26" i="8"/>
  <c r="M26" i="8"/>
  <c r="L26" i="8"/>
  <c r="K26" i="8"/>
  <c r="J26" i="8"/>
  <c r="I26" i="8"/>
  <c r="H26" i="8"/>
  <c r="G26" i="8"/>
  <c r="F26" i="8"/>
  <c r="E26" i="8"/>
  <c r="D26" i="8"/>
  <c r="C26" i="8"/>
  <c r="B26" i="8"/>
  <c r="O25" i="8"/>
  <c r="J25" i="8"/>
  <c r="I25" i="8"/>
  <c r="H25" i="8"/>
  <c r="G25" i="8"/>
  <c r="F25" i="8"/>
  <c r="O24" i="8"/>
  <c r="N24" i="8"/>
  <c r="M24" i="8"/>
  <c r="L24" i="8"/>
  <c r="K24" i="8"/>
  <c r="J24" i="8"/>
  <c r="I24" i="8"/>
  <c r="H24" i="8"/>
  <c r="G24" i="8"/>
  <c r="F24" i="8"/>
  <c r="E24" i="8"/>
  <c r="D24" i="8"/>
  <c r="C24" i="8"/>
  <c r="B24" i="8"/>
  <c r="D23" i="8"/>
  <c r="C23" i="8"/>
  <c r="B23" i="8"/>
  <c r="O22" i="8"/>
  <c r="M22" i="8"/>
  <c r="O21" i="8"/>
  <c r="N21" i="8"/>
  <c r="M21" i="8"/>
  <c r="L21" i="8"/>
  <c r="K21" i="8"/>
  <c r="J21" i="8"/>
  <c r="I21" i="8"/>
  <c r="H21" i="8"/>
  <c r="G21" i="8"/>
  <c r="F21" i="8"/>
  <c r="E21" i="8"/>
  <c r="D21" i="8"/>
  <c r="C21" i="8"/>
  <c r="B21" i="8"/>
  <c r="O20" i="8"/>
  <c r="M20" i="8"/>
  <c r="L20" i="8"/>
  <c r="K20" i="8"/>
  <c r="O19" i="8"/>
  <c r="N19" i="8"/>
  <c r="M19" i="8"/>
  <c r="L19" i="8"/>
  <c r="K19" i="8"/>
  <c r="J19" i="8"/>
  <c r="I19" i="8"/>
  <c r="H19" i="8"/>
  <c r="G19" i="8"/>
  <c r="F19" i="8"/>
  <c r="E19" i="8"/>
  <c r="D19" i="8"/>
  <c r="C19" i="8"/>
  <c r="B19" i="8"/>
  <c r="O18" i="8"/>
  <c r="L18" i="8"/>
  <c r="K18" i="8"/>
  <c r="O17" i="8"/>
  <c r="N17" i="8"/>
  <c r="M17" i="8"/>
  <c r="L17" i="8"/>
  <c r="K17" i="8"/>
  <c r="J17" i="8"/>
  <c r="I17" i="8"/>
  <c r="H17" i="8"/>
  <c r="G17" i="8"/>
  <c r="F17" i="8"/>
  <c r="E17" i="8"/>
  <c r="D17" i="8"/>
  <c r="C17" i="8"/>
  <c r="B17" i="8"/>
  <c r="O16" i="8"/>
  <c r="M16" i="8"/>
  <c r="L16" i="8"/>
  <c r="K16" i="8"/>
  <c r="J16" i="8"/>
  <c r="I16" i="8"/>
  <c r="O15" i="8"/>
  <c r="N15" i="8"/>
  <c r="M15" i="8"/>
  <c r="L15" i="8"/>
  <c r="K15" i="8"/>
  <c r="J15" i="8"/>
  <c r="I15" i="8"/>
  <c r="H15" i="8"/>
  <c r="G15" i="8"/>
  <c r="F15" i="8"/>
  <c r="E15" i="8"/>
  <c r="D15" i="8"/>
  <c r="C15" i="8"/>
  <c r="B15" i="8"/>
  <c r="O14" i="8"/>
  <c r="I14" i="8"/>
  <c r="H14" i="8"/>
  <c r="G14" i="8"/>
  <c r="F14" i="8"/>
  <c r="O13" i="8"/>
  <c r="N13" i="8"/>
  <c r="M13" i="8"/>
  <c r="L13" i="8"/>
  <c r="K13" i="8"/>
  <c r="J13" i="8"/>
  <c r="I13" i="8"/>
  <c r="H13" i="8"/>
  <c r="G13" i="8"/>
  <c r="F13" i="8"/>
  <c r="E13" i="8"/>
  <c r="D13" i="8"/>
  <c r="C13" i="8"/>
  <c r="B13" i="8"/>
  <c r="D12" i="8"/>
  <c r="C12" i="8"/>
  <c r="B12" i="8"/>
  <c r="O11" i="8"/>
  <c r="N11" i="8"/>
  <c r="M11" i="8"/>
  <c r="L11" i="8"/>
  <c r="K11" i="8"/>
  <c r="J11" i="8"/>
  <c r="I11" i="8"/>
  <c r="H11" i="8"/>
  <c r="G11" i="8"/>
  <c r="F11" i="8"/>
  <c r="E11" i="8"/>
  <c r="O10" i="8"/>
  <c r="N10" i="8"/>
  <c r="M10" i="8"/>
  <c r="L10" i="8"/>
  <c r="K10" i="8"/>
  <c r="J10" i="8"/>
  <c r="I10" i="8"/>
  <c r="H10" i="8"/>
  <c r="G10" i="8"/>
  <c r="F10" i="8"/>
  <c r="E10" i="8"/>
  <c r="D10" i="8"/>
  <c r="C10" i="8"/>
  <c r="B10" i="8"/>
  <c r="O9" i="8"/>
  <c r="N9" i="8"/>
  <c r="M9" i="8"/>
  <c r="L9" i="8"/>
  <c r="K9" i="8"/>
  <c r="J9" i="8"/>
  <c r="I9" i="8"/>
  <c r="H9" i="8"/>
  <c r="G9" i="8"/>
  <c r="F9" i="8"/>
  <c r="E9" i="8"/>
  <c r="O8" i="8"/>
  <c r="N8" i="8"/>
  <c r="M8" i="8"/>
  <c r="L8" i="8"/>
  <c r="K8" i="8"/>
  <c r="J8" i="8"/>
  <c r="I8" i="8"/>
  <c r="H8" i="8"/>
  <c r="G8" i="8"/>
  <c r="F8" i="8"/>
  <c r="E8" i="8"/>
  <c r="D8" i="8"/>
  <c r="C8" i="8"/>
  <c r="B8" i="8"/>
  <c r="D7" i="8"/>
  <c r="C7" i="8"/>
  <c r="B7" i="8"/>
  <c r="B4" i="8"/>
  <c r="A4" i="8"/>
  <c r="B3" i="8"/>
  <c r="A3" i="8"/>
  <c r="B2" i="8"/>
  <c r="A2" i="8"/>
  <c r="B1" i="8"/>
  <c r="A1" i="8"/>
  <c r="AA49" i="5"/>
  <c r="D49" i="5"/>
  <c r="C49" i="5"/>
  <c r="D48" i="5"/>
  <c r="C48" i="5"/>
  <c r="B48" i="5"/>
  <c r="D47" i="5"/>
  <c r="C47" i="5"/>
  <c r="B47" i="5"/>
  <c r="D46" i="5"/>
  <c r="C46" i="5"/>
  <c r="B46" i="5"/>
  <c r="D45" i="5"/>
  <c r="C45" i="5"/>
  <c r="B45" i="5"/>
  <c r="D44" i="5"/>
  <c r="C44" i="5"/>
  <c r="B44" i="5"/>
  <c r="D43" i="5"/>
  <c r="C43" i="5"/>
  <c r="B43" i="5"/>
  <c r="D42" i="5"/>
  <c r="C42" i="5"/>
  <c r="B42" i="5"/>
  <c r="F41" i="5"/>
  <c r="E41" i="5"/>
  <c r="D41" i="5"/>
  <c r="C41" i="5"/>
  <c r="D40" i="5"/>
  <c r="C40" i="5"/>
  <c r="B40" i="5"/>
  <c r="D39" i="5"/>
  <c r="C39" i="5"/>
  <c r="B39" i="5"/>
  <c r="D38" i="5"/>
  <c r="C38" i="5"/>
  <c r="B38" i="5"/>
  <c r="D37" i="5"/>
  <c r="C37" i="5"/>
  <c r="B37" i="5"/>
  <c r="D36" i="5"/>
  <c r="C36" i="5"/>
  <c r="B36" i="5"/>
  <c r="F35" i="5"/>
  <c r="D35" i="5"/>
  <c r="C35" i="5"/>
  <c r="D34" i="5"/>
  <c r="C34" i="5"/>
  <c r="B34" i="5"/>
  <c r="D33" i="5"/>
  <c r="C33" i="5"/>
  <c r="B33" i="5"/>
  <c r="D32" i="5"/>
  <c r="C32" i="5"/>
  <c r="B32" i="5"/>
  <c r="D31" i="5"/>
  <c r="C31" i="5"/>
  <c r="B31" i="5"/>
  <c r="D30" i="5"/>
  <c r="C30" i="5"/>
  <c r="B30" i="5"/>
  <c r="F29" i="5"/>
  <c r="D29" i="5"/>
  <c r="C29" i="5"/>
  <c r="D28" i="5"/>
  <c r="C28" i="5"/>
  <c r="B28" i="5"/>
  <c r="D27" i="5"/>
  <c r="C27" i="5"/>
  <c r="B27" i="5"/>
  <c r="D26" i="5"/>
  <c r="C26" i="5"/>
  <c r="B26" i="5"/>
  <c r="D25" i="5"/>
  <c r="C25" i="5"/>
  <c r="B25" i="5"/>
  <c r="D24" i="5"/>
  <c r="C24" i="5"/>
  <c r="B24" i="5"/>
  <c r="F23" i="5"/>
  <c r="D23" i="5"/>
  <c r="C23" i="5"/>
  <c r="D22" i="5"/>
  <c r="C22" i="5"/>
  <c r="B22" i="5"/>
  <c r="D21" i="5"/>
  <c r="C21" i="5"/>
  <c r="B21" i="5"/>
  <c r="D20" i="5"/>
  <c r="C20" i="5"/>
  <c r="B20" i="5"/>
  <c r="D19" i="5"/>
  <c r="C19" i="5"/>
  <c r="B19" i="5"/>
  <c r="F18" i="5"/>
  <c r="D18" i="5"/>
  <c r="C18" i="5"/>
  <c r="D17" i="5"/>
  <c r="C17" i="5"/>
  <c r="B17" i="5"/>
  <c r="D16" i="5"/>
  <c r="C16" i="5"/>
  <c r="B16" i="5"/>
  <c r="D15" i="5"/>
  <c r="C15" i="5"/>
  <c r="B15" i="5"/>
  <c r="D14" i="5"/>
  <c r="C14" i="5"/>
  <c r="B14" i="5"/>
  <c r="D13" i="5"/>
  <c r="C13" i="5"/>
  <c r="B13" i="5"/>
  <c r="F12" i="5"/>
  <c r="D12" i="5"/>
  <c r="C12" i="5"/>
  <c r="D11" i="5"/>
  <c r="C11" i="5"/>
  <c r="B11" i="5"/>
  <c r="D10" i="5"/>
  <c r="C10" i="5"/>
  <c r="B10" i="5"/>
  <c r="D9" i="5"/>
  <c r="C9" i="5"/>
  <c r="A5" i="5"/>
  <c r="D4" i="5"/>
  <c r="C4" i="5"/>
  <c r="B4" i="5"/>
  <c r="A4" i="5"/>
  <c r="D3" i="5"/>
  <c r="C3" i="5"/>
  <c r="B3" i="5"/>
  <c r="A3" i="5"/>
  <c r="D2" i="5"/>
  <c r="C2" i="5"/>
  <c r="B2" i="5"/>
  <c r="A2" i="5"/>
  <c r="D1" i="5"/>
  <c r="C1" i="5"/>
  <c r="B1" i="5"/>
  <c r="A1" i="5"/>
  <c r="I108" i="27"/>
  <c r="B108" i="27"/>
  <c r="I107" i="27"/>
  <c r="B107" i="27"/>
  <c r="I106" i="27"/>
  <c r="B106" i="27"/>
  <c r="I103" i="27"/>
  <c r="B103" i="27"/>
  <c r="I102" i="27"/>
  <c r="B102" i="27"/>
  <c r="I83" i="27"/>
  <c r="B83" i="27"/>
  <c r="I82" i="27"/>
  <c r="B82" i="27"/>
  <c r="I63" i="27"/>
  <c r="B63" i="27"/>
  <c r="I62" i="27"/>
  <c r="B62" i="27"/>
  <c r="K42" i="27"/>
  <c r="K41" i="27"/>
  <c r="D41" i="27"/>
  <c r="K39" i="27"/>
  <c r="D39" i="27"/>
  <c r="E37" i="27"/>
  <c r="E36" i="27"/>
  <c r="C33" i="27"/>
  <c r="J32" i="27"/>
  <c r="C32" i="27"/>
  <c r="J31" i="27"/>
  <c r="C31" i="27"/>
  <c r="J30" i="27"/>
  <c r="C30" i="27"/>
  <c r="J26" i="27"/>
  <c r="C26" i="27"/>
  <c r="J25" i="27"/>
  <c r="C25" i="27"/>
  <c r="J22" i="27"/>
  <c r="C22" i="27"/>
  <c r="J21" i="27"/>
  <c r="C21" i="27"/>
  <c r="J17" i="27"/>
  <c r="C17" i="27"/>
  <c r="J16" i="27"/>
  <c r="C16" i="27"/>
  <c r="K10" i="27"/>
  <c r="K9" i="27"/>
  <c r="D9" i="27"/>
  <c r="K7" i="27"/>
  <c r="D7" i="27"/>
  <c r="E5" i="27"/>
  <c r="E4" i="27"/>
  <c r="B95" i="30"/>
  <c r="B94" i="30"/>
  <c r="B93" i="30"/>
  <c r="N88" i="30"/>
  <c r="M88" i="30"/>
  <c r="L88" i="30"/>
  <c r="K88" i="30"/>
  <c r="J88" i="30"/>
  <c r="I88" i="30"/>
  <c r="H88" i="30"/>
  <c r="G88" i="30"/>
  <c r="F88" i="30"/>
  <c r="E88" i="30"/>
  <c r="O87" i="30"/>
  <c r="O86" i="30"/>
  <c r="N86" i="30"/>
  <c r="M86" i="30"/>
  <c r="L86" i="30"/>
  <c r="K86" i="30"/>
  <c r="J86" i="30"/>
  <c r="I86" i="30"/>
  <c r="H86" i="30"/>
  <c r="G86" i="30"/>
  <c r="F86" i="30"/>
  <c r="E86" i="30"/>
  <c r="O85" i="30"/>
  <c r="N85" i="30"/>
  <c r="M85" i="30"/>
  <c r="L85" i="30"/>
  <c r="K85" i="30"/>
  <c r="J85" i="30"/>
  <c r="I85" i="30"/>
  <c r="H85" i="30"/>
  <c r="F85" i="30"/>
  <c r="E85" i="30"/>
  <c r="O83" i="30"/>
  <c r="N83" i="30"/>
  <c r="M83" i="30"/>
  <c r="L83" i="30"/>
  <c r="K83" i="30"/>
  <c r="J83" i="30"/>
  <c r="I83" i="30"/>
  <c r="H83" i="30"/>
  <c r="G83" i="30"/>
  <c r="F83" i="30"/>
  <c r="E83" i="30"/>
  <c r="D82" i="30"/>
  <c r="C82" i="30"/>
  <c r="Q81" i="30"/>
  <c r="O80" i="30"/>
  <c r="J80" i="30"/>
  <c r="I80" i="30"/>
  <c r="H80" i="30"/>
  <c r="G80" i="30"/>
  <c r="F80" i="30"/>
  <c r="E80" i="30"/>
  <c r="Q79" i="30"/>
  <c r="O79" i="30"/>
  <c r="N79" i="30"/>
  <c r="M79" i="30"/>
  <c r="L79" i="30"/>
  <c r="K79" i="30"/>
  <c r="J79" i="30"/>
  <c r="D79" i="30"/>
  <c r="B79" i="30"/>
  <c r="O78" i="30"/>
  <c r="J78" i="30"/>
  <c r="I78" i="30"/>
  <c r="H78" i="30"/>
  <c r="G78" i="30"/>
  <c r="F78" i="30"/>
  <c r="E78" i="30"/>
  <c r="Q77" i="30"/>
  <c r="O77" i="30"/>
  <c r="N77" i="30"/>
  <c r="M77" i="30"/>
  <c r="L77" i="30"/>
  <c r="K77" i="30"/>
  <c r="D77" i="30"/>
  <c r="B77" i="30"/>
  <c r="O76" i="30"/>
  <c r="J76" i="30"/>
  <c r="I76" i="30"/>
  <c r="H76" i="30"/>
  <c r="G76" i="30"/>
  <c r="F76" i="30"/>
  <c r="E76" i="30"/>
  <c r="Q75" i="30"/>
  <c r="O75" i="30"/>
  <c r="N75" i="30"/>
  <c r="M75" i="30"/>
  <c r="L75" i="30"/>
  <c r="K75" i="30"/>
  <c r="D75" i="30"/>
  <c r="B75" i="30"/>
  <c r="O74" i="30"/>
  <c r="J74" i="30"/>
  <c r="I74" i="30"/>
  <c r="H74" i="30"/>
  <c r="G74" i="30"/>
  <c r="F74" i="30"/>
  <c r="E74" i="30"/>
  <c r="Q73" i="30"/>
  <c r="O73" i="30"/>
  <c r="N73" i="30"/>
  <c r="M73" i="30"/>
  <c r="L73" i="30"/>
  <c r="K73" i="30"/>
  <c r="D73" i="30"/>
  <c r="B73" i="30"/>
  <c r="O72" i="30"/>
  <c r="J72" i="30"/>
  <c r="I72" i="30"/>
  <c r="H72" i="30"/>
  <c r="G72" i="30"/>
  <c r="F72" i="30"/>
  <c r="E72" i="30"/>
  <c r="Q71" i="30"/>
  <c r="O71" i="30"/>
  <c r="N71" i="30"/>
  <c r="M71" i="30"/>
  <c r="L71" i="30"/>
  <c r="K71" i="30"/>
  <c r="D71" i="30"/>
  <c r="B71" i="30"/>
  <c r="O70" i="30"/>
  <c r="J70" i="30"/>
  <c r="I70" i="30"/>
  <c r="H70" i="30"/>
  <c r="G70" i="30"/>
  <c r="F70" i="30"/>
  <c r="E70" i="30"/>
  <c r="Q69" i="30"/>
  <c r="O69" i="30"/>
  <c r="N69" i="30"/>
  <c r="M69" i="30"/>
  <c r="L69" i="30"/>
  <c r="K69" i="30"/>
  <c r="D69" i="30"/>
  <c r="B69" i="30"/>
  <c r="O68" i="30"/>
  <c r="J68" i="30"/>
  <c r="I68" i="30"/>
  <c r="H68" i="30"/>
  <c r="G68" i="30"/>
  <c r="F68" i="30"/>
  <c r="E68" i="30"/>
  <c r="Q67" i="30"/>
  <c r="O67" i="30"/>
  <c r="N67" i="30"/>
  <c r="M67" i="30"/>
  <c r="L67" i="30"/>
  <c r="K67" i="30"/>
  <c r="J67" i="30"/>
  <c r="D67" i="30"/>
  <c r="B67" i="30"/>
  <c r="D66" i="30"/>
  <c r="C66" i="30"/>
  <c r="B66" i="30"/>
  <c r="O65" i="30"/>
  <c r="J65" i="30"/>
  <c r="I65" i="30"/>
  <c r="H65" i="30"/>
  <c r="G65" i="30"/>
  <c r="F65" i="30"/>
  <c r="E65" i="30"/>
  <c r="Q64" i="30"/>
  <c r="O64" i="30"/>
  <c r="N64" i="30"/>
  <c r="M64" i="30"/>
  <c r="L64" i="30"/>
  <c r="K64" i="30"/>
  <c r="D64" i="30"/>
  <c r="B64" i="30"/>
  <c r="O63" i="30"/>
  <c r="J63" i="30"/>
  <c r="I63" i="30"/>
  <c r="H63" i="30"/>
  <c r="G63" i="30"/>
  <c r="F63" i="30"/>
  <c r="E63" i="30"/>
  <c r="Q62" i="30"/>
  <c r="O62" i="30"/>
  <c r="N62" i="30"/>
  <c r="M62" i="30"/>
  <c r="L62" i="30"/>
  <c r="K62" i="30"/>
  <c r="D62" i="30"/>
  <c r="B62" i="30"/>
  <c r="O61" i="30"/>
  <c r="J61" i="30"/>
  <c r="I61" i="30"/>
  <c r="H61" i="30"/>
  <c r="G61" i="30"/>
  <c r="F61" i="30"/>
  <c r="E61" i="30"/>
  <c r="Q60" i="30"/>
  <c r="O60" i="30"/>
  <c r="N60" i="30"/>
  <c r="M60" i="30"/>
  <c r="L60" i="30"/>
  <c r="K60" i="30"/>
  <c r="D60" i="30"/>
  <c r="B60" i="30"/>
  <c r="O59" i="30"/>
  <c r="J59" i="30"/>
  <c r="I59" i="30"/>
  <c r="H59" i="30"/>
  <c r="G59" i="30"/>
  <c r="F59" i="30"/>
  <c r="E59" i="30"/>
  <c r="Q58" i="30"/>
  <c r="O58" i="30"/>
  <c r="N58" i="30"/>
  <c r="M58" i="30"/>
  <c r="L58" i="30"/>
  <c r="K58" i="30"/>
  <c r="D58" i="30"/>
  <c r="B58" i="30"/>
  <c r="O57" i="30"/>
  <c r="J57" i="30"/>
  <c r="I57" i="30"/>
  <c r="H57" i="30"/>
  <c r="G57" i="30"/>
  <c r="F57" i="30"/>
  <c r="E57" i="30"/>
  <c r="Q56" i="30"/>
  <c r="O56" i="30"/>
  <c r="N56" i="30"/>
  <c r="M56" i="30"/>
  <c r="L56" i="30"/>
  <c r="K56" i="30"/>
  <c r="D56" i="30"/>
  <c r="B56" i="30"/>
  <c r="D55" i="30"/>
  <c r="C55" i="30"/>
  <c r="B55" i="30"/>
  <c r="O54" i="30"/>
  <c r="J54" i="30"/>
  <c r="I54" i="30"/>
  <c r="H54" i="30"/>
  <c r="G54" i="30"/>
  <c r="F54" i="30"/>
  <c r="E54" i="30"/>
  <c r="Q53" i="30"/>
  <c r="O53" i="30"/>
  <c r="N53" i="30"/>
  <c r="M53" i="30"/>
  <c r="L53" i="30"/>
  <c r="K53" i="30"/>
  <c r="D53" i="30"/>
  <c r="B53" i="30"/>
  <c r="O52" i="30"/>
  <c r="J52" i="30"/>
  <c r="I52" i="30"/>
  <c r="H52" i="30"/>
  <c r="G52" i="30"/>
  <c r="F52" i="30"/>
  <c r="E52" i="30"/>
  <c r="Q51" i="30"/>
  <c r="O51" i="30"/>
  <c r="N51" i="30"/>
  <c r="M51" i="30"/>
  <c r="L51" i="30"/>
  <c r="K51" i="30"/>
  <c r="D51" i="30"/>
  <c r="B51" i="30"/>
  <c r="O50" i="30"/>
  <c r="J50" i="30"/>
  <c r="I50" i="30"/>
  <c r="H50" i="30"/>
  <c r="G50" i="30"/>
  <c r="F50" i="30"/>
  <c r="E50" i="30"/>
  <c r="Q49" i="30"/>
  <c r="O49" i="30"/>
  <c r="N49" i="30"/>
  <c r="M49" i="30"/>
  <c r="L49" i="30"/>
  <c r="K49" i="30"/>
  <c r="D49" i="30"/>
  <c r="B49" i="30"/>
  <c r="O48" i="30"/>
  <c r="J48" i="30"/>
  <c r="I48" i="30"/>
  <c r="H48" i="30"/>
  <c r="G48" i="30"/>
  <c r="F48" i="30"/>
  <c r="E48" i="30"/>
  <c r="Q47" i="30"/>
  <c r="O47" i="30"/>
  <c r="N47" i="30"/>
  <c r="M47" i="30"/>
  <c r="L47" i="30"/>
  <c r="K47" i="30"/>
  <c r="D47" i="30"/>
  <c r="B47" i="30"/>
  <c r="O46" i="30"/>
  <c r="J46" i="30"/>
  <c r="I46" i="30"/>
  <c r="G46" i="30"/>
  <c r="F46" i="30"/>
  <c r="E46" i="30"/>
  <c r="Q45" i="30"/>
  <c r="O45" i="30"/>
  <c r="N45" i="30"/>
  <c r="M45" i="30"/>
  <c r="L45" i="30"/>
  <c r="K45" i="30"/>
  <c r="J45" i="30"/>
  <c r="D45" i="30"/>
  <c r="B45" i="30"/>
  <c r="D44" i="30"/>
  <c r="C44" i="30"/>
  <c r="B44" i="30"/>
  <c r="O43" i="30"/>
  <c r="J43" i="30"/>
  <c r="I43" i="30"/>
  <c r="H43" i="30"/>
  <c r="G43" i="30"/>
  <c r="F43" i="30"/>
  <c r="E43" i="30"/>
  <c r="Q42" i="30"/>
  <c r="O42" i="30"/>
  <c r="N42" i="30"/>
  <c r="M42" i="30"/>
  <c r="L42" i="30"/>
  <c r="K42" i="30"/>
  <c r="D42" i="30"/>
  <c r="B42" i="30"/>
  <c r="O41" i="30"/>
  <c r="J41" i="30"/>
  <c r="I41" i="30"/>
  <c r="H41" i="30"/>
  <c r="G41" i="30"/>
  <c r="F41" i="30"/>
  <c r="E41" i="30"/>
  <c r="Q40" i="30"/>
  <c r="O40" i="30"/>
  <c r="N40" i="30"/>
  <c r="M40" i="30"/>
  <c r="L40" i="30"/>
  <c r="K40" i="30"/>
  <c r="J40" i="30"/>
  <c r="D40" i="30"/>
  <c r="B40" i="30"/>
  <c r="O39" i="30"/>
  <c r="J39" i="30"/>
  <c r="I39" i="30"/>
  <c r="G39" i="30"/>
  <c r="F39" i="30"/>
  <c r="E39" i="30"/>
  <c r="Q38" i="30"/>
  <c r="O38" i="30"/>
  <c r="N38" i="30"/>
  <c r="M38" i="30"/>
  <c r="L38" i="30"/>
  <c r="K38" i="30"/>
  <c r="J38" i="30"/>
  <c r="D38" i="30"/>
  <c r="B38" i="30"/>
  <c r="O37" i="30"/>
  <c r="J37" i="30"/>
  <c r="I37" i="30"/>
  <c r="G37" i="30"/>
  <c r="F37" i="30"/>
  <c r="E37" i="30"/>
  <c r="Q36" i="30"/>
  <c r="O36" i="30"/>
  <c r="M36" i="30"/>
  <c r="L36" i="30"/>
  <c r="K36" i="30"/>
  <c r="J36" i="30"/>
  <c r="D36" i="30"/>
  <c r="B36" i="30"/>
  <c r="O35" i="30"/>
  <c r="J35" i="30"/>
  <c r="I35" i="30"/>
  <c r="G35" i="30"/>
  <c r="F35" i="30"/>
  <c r="E35" i="30"/>
  <c r="Q34" i="30"/>
  <c r="O34" i="30"/>
  <c r="N34" i="30"/>
  <c r="M34" i="30"/>
  <c r="L34" i="30"/>
  <c r="K34" i="30"/>
  <c r="G34" i="30"/>
  <c r="D34" i="30"/>
  <c r="B34" i="30"/>
  <c r="D33" i="30"/>
  <c r="C33" i="30"/>
  <c r="B33" i="30"/>
  <c r="O32" i="30"/>
  <c r="J32" i="30"/>
  <c r="I32" i="30"/>
  <c r="H32" i="30"/>
  <c r="G32" i="30"/>
  <c r="F32" i="30"/>
  <c r="E32" i="30"/>
  <c r="Q31" i="30"/>
  <c r="O31" i="30"/>
  <c r="N31" i="30"/>
  <c r="M31" i="30"/>
  <c r="L31" i="30"/>
  <c r="K31" i="30"/>
  <c r="D31" i="30"/>
  <c r="B31" i="30"/>
  <c r="O30" i="30"/>
  <c r="J30" i="30"/>
  <c r="I30" i="30"/>
  <c r="H30" i="30"/>
  <c r="G30" i="30"/>
  <c r="F30" i="30"/>
  <c r="E30" i="30"/>
  <c r="Q29" i="30"/>
  <c r="O29" i="30"/>
  <c r="N29" i="30"/>
  <c r="M29" i="30"/>
  <c r="L29" i="30"/>
  <c r="K29" i="30"/>
  <c r="D29" i="30"/>
  <c r="B29" i="30"/>
  <c r="O28" i="30"/>
  <c r="J28" i="30"/>
  <c r="I28" i="30"/>
  <c r="H28" i="30"/>
  <c r="G28" i="30"/>
  <c r="F28" i="30"/>
  <c r="E28" i="30"/>
  <c r="Q27" i="30"/>
  <c r="O27" i="30"/>
  <c r="N27" i="30"/>
  <c r="M27" i="30"/>
  <c r="L27" i="30"/>
  <c r="K27" i="30"/>
  <c r="D27" i="30"/>
  <c r="B27" i="30"/>
  <c r="O26" i="30"/>
  <c r="J26" i="30"/>
  <c r="I26" i="30"/>
  <c r="H26" i="30"/>
  <c r="G26" i="30"/>
  <c r="F26" i="30"/>
  <c r="E26" i="30"/>
  <c r="Q25" i="30"/>
  <c r="O25" i="30"/>
  <c r="N25" i="30"/>
  <c r="M25" i="30"/>
  <c r="L25" i="30"/>
  <c r="K25" i="30"/>
  <c r="D25" i="30"/>
  <c r="B25" i="30"/>
  <c r="D24" i="30"/>
  <c r="C24" i="30"/>
  <c r="B24" i="30"/>
  <c r="O23" i="30"/>
  <c r="J23" i="30"/>
  <c r="I23" i="30"/>
  <c r="H23" i="30"/>
  <c r="G23" i="30"/>
  <c r="F23" i="30"/>
  <c r="E23" i="30"/>
  <c r="Q22" i="30"/>
  <c r="O22" i="30"/>
  <c r="N22" i="30"/>
  <c r="M22" i="30"/>
  <c r="L22" i="30"/>
  <c r="K22" i="30"/>
  <c r="D22" i="30"/>
  <c r="B22" i="30"/>
  <c r="O21" i="30"/>
  <c r="J21" i="30"/>
  <c r="I21" i="30"/>
  <c r="H21" i="30"/>
  <c r="G21" i="30"/>
  <c r="F21" i="30"/>
  <c r="E21" i="30"/>
  <c r="Q20" i="30"/>
  <c r="O20" i="30"/>
  <c r="N20" i="30"/>
  <c r="M20" i="30"/>
  <c r="L20" i="30"/>
  <c r="K20" i="30"/>
  <c r="D20" i="30"/>
  <c r="B20" i="30"/>
  <c r="O19" i="30"/>
  <c r="J19" i="30"/>
  <c r="I19" i="30"/>
  <c r="H19" i="30"/>
  <c r="G19" i="30"/>
  <c r="F19" i="30"/>
  <c r="E19" i="30"/>
  <c r="Q18" i="30"/>
  <c r="O18" i="30"/>
  <c r="N18" i="30"/>
  <c r="M18" i="30"/>
  <c r="L18" i="30"/>
  <c r="K18" i="30"/>
  <c r="J18" i="30"/>
  <c r="D18" i="30"/>
  <c r="B18" i="30"/>
  <c r="O17" i="30"/>
  <c r="J17" i="30"/>
  <c r="I17" i="30"/>
  <c r="H17" i="30"/>
  <c r="G17" i="30"/>
  <c r="F17" i="30"/>
  <c r="E17" i="30"/>
  <c r="Q16" i="30"/>
  <c r="O16" i="30"/>
  <c r="N16" i="30"/>
  <c r="M16" i="30"/>
  <c r="L16" i="30"/>
  <c r="K16" i="30"/>
  <c r="D16" i="30"/>
  <c r="B16" i="30"/>
  <c r="O15" i="30"/>
  <c r="J15" i="30"/>
  <c r="I15" i="30"/>
  <c r="G15" i="30"/>
  <c r="F15" i="30"/>
  <c r="E15" i="30"/>
  <c r="Q14" i="30"/>
  <c r="O14" i="30"/>
  <c r="N14" i="30"/>
  <c r="M14" i="30"/>
  <c r="L14" i="30"/>
  <c r="K14" i="30"/>
  <c r="J14" i="30"/>
  <c r="G14" i="30"/>
  <c r="D14" i="30"/>
  <c r="B14" i="30"/>
  <c r="D13" i="30"/>
  <c r="C13" i="30"/>
  <c r="B13" i="30"/>
  <c r="O12" i="30"/>
  <c r="J12" i="30"/>
  <c r="I12" i="30"/>
  <c r="G12" i="30"/>
  <c r="F12" i="30"/>
  <c r="E12" i="30"/>
  <c r="Q11" i="30"/>
  <c r="O11" i="30"/>
  <c r="N11" i="30"/>
  <c r="M11" i="30"/>
  <c r="L11" i="30"/>
  <c r="K11" i="30"/>
  <c r="J11" i="30"/>
  <c r="G11" i="30"/>
  <c r="F11" i="30"/>
  <c r="D11" i="30"/>
  <c r="B11" i="30"/>
  <c r="O10" i="30"/>
  <c r="J10" i="30"/>
  <c r="I10" i="30"/>
  <c r="G10" i="30"/>
  <c r="F10" i="30"/>
  <c r="E10" i="30"/>
  <c r="Q9" i="30"/>
  <c r="O9" i="30"/>
  <c r="N9" i="30"/>
  <c r="M9" i="30"/>
  <c r="L9" i="30"/>
  <c r="K9" i="30"/>
  <c r="J9" i="30"/>
  <c r="G9" i="30"/>
  <c r="F9" i="30"/>
  <c r="D9" i="30"/>
  <c r="B9" i="30"/>
  <c r="D8" i="30"/>
  <c r="C8" i="30"/>
  <c r="B8" i="30"/>
  <c r="B4" i="30"/>
  <c r="A4" i="30"/>
  <c r="B3" i="30"/>
  <c r="A3" i="30"/>
  <c r="B2" i="30"/>
  <c r="A2" i="30"/>
  <c r="B1" i="30"/>
  <c r="A1" i="30"/>
  <c r="E34" i="26"/>
  <c r="C27" i="26"/>
  <c r="C26" i="26"/>
  <c r="C25" i="26"/>
  <c r="F21" i="26"/>
  <c r="E21" i="26"/>
  <c r="D21" i="26"/>
  <c r="F18" i="26"/>
  <c r="E18" i="26"/>
  <c r="D18" i="26"/>
  <c r="F16" i="26"/>
  <c r="E16" i="26"/>
  <c r="C16" i="26"/>
  <c r="B16" i="26"/>
  <c r="F15" i="26"/>
  <c r="E15" i="26"/>
  <c r="C15" i="26"/>
  <c r="B15" i="26"/>
  <c r="F14" i="26"/>
  <c r="E14" i="26"/>
  <c r="C14" i="26"/>
  <c r="B14" i="26"/>
  <c r="F13" i="26"/>
  <c r="E13" i="26"/>
  <c r="C13" i="26"/>
  <c r="B13" i="26"/>
  <c r="F12" i="26"/>
  <c r="E12" i="26"/>
  <c r="C12" i="26"/>
  <c r="B12" i="26"/>
  <c r="F11" i="26"/>
  <c r="E11" i="26"/>
  <c r="C11" i="26"/>
  <c r="B11" i="26"/>
  <c r="F10" i="26"/>
  <c r="E10" i="26"/>
  <c r="C10" i="26"/>
  <c r="B10" i="26"/>
  <c r="O83" i="25"/>
  <c r="J60" i="25"/>
  <c r="J59" i="25"/>
  <c r="C59" i="25"/>
  <c r="J58" i="25"/>
  <c r="C58" i="25"/>
  <c r="L45" i="25"/>
  <c r="I45" i="25"/>
  <c r="N44" i="25"/>
  <c r="L44" i="25"/>
  <c r="G44" i="25"/>
  <c r="Q43" i="25"/>
  <c r="L43" i="25"/>
  <c r="G43" i="25"/>
  <c r="L42" i="25"/>
  <c r="G42" i="25"/>
  <c r="L41" i="25"/>
  <c r="G41" i="25"/>
  <c r="L40" i="25"/>
  <c r="G40" i="25"/>
  <c r="L39" i="25"/>
  <c r="G39" i="25"/>
  <c r="L38" i="25"/>
  <c r="G38" i="25"/>
  <c r="B29" i="25"/>
  <c r="R17" i="25"/>
  <c r="B16" i="25"/>
  <c r="M15" i="25"/>
  <c r="D15" i="25"/>
  <c r="M14" i="25"/>
  <c r="M13" i="25"/>
  <c r="D13" i="25"/>
  <c r="D10" i="25"/>
  <c r="H2885" i="7"/>
  <c r="G2885" i="7"/>
  <c r="E2885" i="7"/>
  <c r="D2885" i="7"/>
  <c r="AD2884" i="7"/>
  <c r="H2884" i="7"/>
  <c r="G2884" i="7"/>
  <c r="E2884" i="7"/>
  <c r="D2884" i="7"/>
  <c r="AD2883" i="7"/>
  <c r="H2883" i="7"/>
  <c r="G2883" i="7"/>
  <c r="E2883" i="7"/>
  <c r="D2883" i="7"/>
  <c r="AD2882" i="7"/>
  <c r="H2882" i="7"/>
  <c r="G2882" i="7"/>
  <c r="E2882" i="7"/>
  <c r="D2882" i="7"/>
  <c r="AD2881" i="7"/>
  <c r="H2881" i="7"/>
  <c r="G2881" i="7"/>
  <c r="E2881" i="7"/>
  <c r="D2881" i="7"/>
  <c r="AD2880" i="7"/>
  <c r="H2880" i="7"/>
  <c r="G2880" i="7"/>
  <c r="E2880" i="7"/>
  <c r="D2880" i="7"/>
  <c r="I2878" i="7"/>
  <c r="H2878" i="7"/>
  <c r="H2876" i="7"/>
  <c r="G2876" i="7"/>
  <c r="E2876" i="7"/>
  <c r="D2876" i="7"/>
  <c r="AD2875" i="7"/>
  <c r="H2875" i="7"/>
  <c r="G2875" i="7"/>
  <c r="E2875" i="7"/>
  <c r="D2875" i="7"/>
  <c r="AD2874" i="7"/>
  <c r="H2874" i="7"/>
  <c r="G2874" i="7"/>
  <c r="E2874" i="7"/>
  <c r="D2874" i="7"/>
  <c r="AD2873" i="7"/>
  <c r="H2873" i="7"/>
  <c r="G2873" i="7"/>
  <c r="E2873" i="7"/>
  <c r="D2873" i="7"/>
  <c r="AD2872" i="7"/>
  <c r="H2872" i="7"/>
  <c r="G2872" i="7"/>
  <c r="E2872" i="7"/>
  <c r="D2872" i="7"/>
  <c r="AD2871" i="7"/>
  <c r="H2871" i="7"/>
  <c r="G2871" i="7"/>
  <c r="E2871" i="7"/>
  <c r="D2871" i="7"/>
  <c r="I2869" i="7"/>
  <c r="H2869" i="7"/>
  <c r="H2867" i="7"/>
  <c r="G2867" i="7"/>
  <c r="E2867" i="7"/>
  <c r="D2867" i="7"/>
  <c r="AD2866" i="7"/>
  <c r="H2866" i="7"/>
  <c r="G2866" i="7"/>
  <c r="E2866" i="7"/>
  <c r="D2866" i="7"/>
  <c r="AD2865" i="7"/>
  <c r="H2865" i="7"/>
  <c r="G2865" i="7"/>
  <c r="E2865" i="7"/>
  <c r="D2865" i="7"/>
  <c r="AD2864" i="7"/>
  <c r="H2864" i="7"/>
  <c r="G2864" i="7"/>
  <c r="E2864" i="7"/>
  <c r="D2864" i="7"/>
  <c r="AD2863" i="7"/>
  <c r="H2863" i="7"/>
  <c r="G2863" i="7"/>
  <c r="E2863" i="7"/>
  <c r="D2863" i="7"/>
  <c r="AD2862" i="7"/>
  <c r="H2862" i="7"/>
  <c r="G2862" i="7"/>
  <c r="E2862" i="7"/>
  <c r="D2862" i="7"/>
  <c r="I2860" i="7"/>
  <c r="H2860" i="7"/>
  <c r="H2858" i="7"/>
  <c r="G2858" i="7"/>
  <c r="E2858" i="7"/>
  <c r="D2858" i="7"/>
  <c r="B2858" i="7"/>
  <c r="H2857" i="7"/>
  <c r="G2857" i="7"/>
  <c r="E2857" i="7"/>
  <c r="D2857" i="7"/>
  <c r="H2856" i="7"/>
  <c r="G2856" i="7"/>
  <c r="E2856" i="7"/>
  <c r="D2856" i="7"/>
  <c r="AD2855" i="7"/>
  <c r="H2855" i="7"/>
  <c r="G2855" i="7"/>
  <c r="E2855" i="7"/>
  <c r="D2855" i="7"/>
  <c r="AD2854" i="7"/>
  <c r="H2854" i="7"/>
  <c r="G2854" i="7"/>
  <c r="E2854" i="7"/>
  <c r="D2854" i="7"/>
  <c r="I2852" i="7"/>
  <c r="H2852" i="7"/>
  <c r="H2850" i="7"/>
  <c r="G2850" i="7"/>
  <c r="E2850" i="7"/>
  <c r="D2850" i="7"/>
  <c r="H2849" i="7"/>
  <c r="G2849" i="7"/>
  <c r="F2849" i="7"/>
  <c r="E2849" i="7"/>
  <c r="D2849" i="7"/>
  <c r="AD2848" i="7"/>
  <c r="H2848" i="7"/>
  <c r="G2848" i="7"/>
  <c r="E2848" i="7"/>
  <c r="D2848" i="7"/>
  <c r="AD2847" i="7"/>
  <c r="H2847" i="7"/>
  <c r="G2847" i="7"/>
  <c r="E2847" i="7"/>
  <c r="D2847" i="7"/>
  <c r="I2845" i="7"/>
  <c r="H2845" i="7"/>
  <c r="H2843" i="7"/>
  <c r="G2843" i="7"/>
  <c r="E2843" i="7"/>
  <c r="D2843" i="7"/>
  <c r="AD2842" i="7"/>
  <c r="H2842" i="7"/>
  <c r="G2842" i="7"/>
  <c r="E2842" i="7"/>
  <c r="D2842" i="7"/>
  <c r="AD2841" i="7"/>
  <c r="H2841" i="7"/>
  <c r="G2841" i="7"/>
  <c r="E2841" i="7"/>
  <c r="D2841" i="7"/>
  <c r="AD2840" i="7"/>
  <c r="H2840" i="7"/>
  <c r="G2840" i="7"/>
  <c r="E2840" i="7"/>
  <c r="D2840" i="7"/>
  <c r="I2838" i="7"/>
  <c r="H2838" i="7"/>
  <c r="H2836" i="7"/>
  <c r="G2836" i="7"/>
  <c r="E2836" i="7"/>
  <c r="D2836" i="7"/>
  <c r="B2836" i="7"/>
  <c r="H2835" i="7"/>
  <c r="G2835" i="7"/>
  <c r="E2835" i="7"/>
  <c r="D2835" i="7"/>
  <c r="AD2834" i="7"/>
  <c r="H2834" i="7"/>
  <c r="G2834" i="7"/>
  <c r="E2834" i="7"/>
  <c r="D2834" i="7"/>
  <c r="AD2833" i="7"/>
  <c r="H2833" i="7"/>
  <c r="G2833" i="7"/>
  <c r="E2833" i="7"/>
  <c r="D2833" i="7"/>
  <c r="AD2832" i="7"/>
  <c r="H2832" i="7"/>
  <c r="G2832" i="7"/>
  <c r="E2832" i="7"/>
  <c r="D2832" i="7"/>
  <c r="I2830" i="7"/>
  <c r="H2830" i="7"/>
  <c r="H2828" i="7"/>
  <c r="G2828" i="7"/>
  <c r="E2828" i="7"/>
  <c r="D2828" i="7"/>
  <c r="H2827" i="7"/>
  <c r="G2827" i="7"/>
  <c r="E2827" i="7"/>
  <c r="D2827" i="7"/>
  <c r="H2826" i="7"/>
  <c r="G2826" i="7"/>
  <c r="E2826" i="7"/>
  <c r="D2826" i="7"/>
  <c r="H2825" i="7"/>
  <c r="G2825" i="7"/>
  <c r="E2825" i="7"/>
  <c r="D2825" i="7"/>
  <c r="H2824" i="7"/>
  <c r="G2824" i="7"/>
  <c r="E2824" i="7"/>
  <c r="D2824" i="7"/>
  <c r="H2823" i="7"/>
  <c r="G2823" i="7"/>
  <c r="E2823" i="7"/>
  <c r="D2823" i="7"/>
  <c r="AD2822" i="7"/>
  <c r="H2822" i="7"/>
  <c r="G2822" i="7"/>
  <c r="E2822" i="7"/>
  <c r="D2822" i="7"/>
  <c r="AD2821" i="7"/>
  <c r="H2821" i="7"/>
  <c r="G2821" i="7"/>
  <c r="E2821" i="7"/>
  <c r="D2821" i="7"/>
  <c r="AD2820" i="7"/>
  <c r="H2820" i="7"/>
  <c r="G2820" i="7"/>
  <c r="F2820" i="7"/>
  <c r="E2820" i="7"/>
  <c r="D2820" i="7"/>
  <c r="AD2819" i="7"/>
  <c r="H2819" i="7"/>
  <c r="G2819" i="7"/>
  <c r="F2819" i="7"/>
  <c r="E2819" i="7"/>
  <c r="D2819" i="7"/>
  <c r="AD2818" i="7"/>
  <c r="H2818" i="7"/>
  <c r="G2818" i="7"/>
  <c r="E2818" i="7"/>
  <c r="D2818" i="7"/>
  <c r="AD2817" i="7"/>
  <c r="H2817" i="7"/>
  <c r="G2817" i="7"/>
  <c r="E2817" i="7"/>
  <c r="D2817" i="7"/>
  <c r="AD2816" i="7"/>
  <c r="H2816" i="7"/>
  <c r="G2816" i="7"/>
  <c r="F2816" i="7"/>
  <c r="E2816" i="7"/>
  <c r="D2816" i="7"/>
  <c r="AD2815" i="7"/>
  <c r="H2815" i="7"/>
  <c r="G2815" i="7"/>
  <c r="E2815" i="7"/>
  <c r="D2815" i="7"/>
  <c r="AD2814" i="7"/>
  <c r="H2814" i="7"/>
  <c r="G2814" i="7"/>
  <c r="E2814" i="7"/>
  <c r="D2814" i="7"/>
  <c r="I2812" i="7"/>
  <c r="H2812" i="7"/>
  <c r="H2810" i="7"/>
  <c r="G2810" i="7"/>
  <c r="E2810" i="7"/>
  <c r="D2810" i="7"/>
  <c r="H2809" i="7"/>
  <c r="G2809" i="7"/>
  <c r="E2809" i="7"/>
  <c r="D2809" i="7"/>
  <c r="AD2808" i="7"/>
  <c r="H2808" i="7"/>
  <c r="G2808" i="7"/>
  <c r="E2808" i="7"/>
  <c r="D2808" i="7"/>
  <c r="AD2807" i="7"/>
  <c r="H2807" i="7"/>
  <c r="G2807" i="7"/>
  <c r="E2807" i="7"/>
  <c r="D2807" i="7"/>
  <c r="I2805" i="7"/>
  <c r="H2805" i="7"/>
  <c r="H2803" i="7"/>
  <c r="G2803" i="7"/>
  <c r="E2803" i="7"/>
  <c r="D2803" i="7"/>
  <c r="H2802" i="7"/>
  <c r="G2802" i="7"/>
  <c r="E2802" i="7"/>
  <c r="D2802" i="7"/>
  <c r="AD2801" i="7"/>
  <c r="H2801" i="7"/>
  <c r="G2801" i="7"/>
  <c r="E2801" i="7"/>
  <c r="D2801" i="7"/>
  <c r="AD2800" i="7"/>
  <c r="H2800" i="7"/>
  <c r="G2800" i="7"/>
  <c r="E2800" i="7"/>
  <c r="D2800" i="7"/>
  <c r="I2798" i="7"/>
  <c r="H2798" i="7"/>
  <c r="H2796" i="7"/>
  <c r="G2796" i="7"/>
  <c r="E2796" i="7"/>
  <c r="D2796" i="7"/>
  <c r="B2796" i="7"/>
  <c r="H2795" i="7"/>
  <c r="G2795" i="7"/>
  <c r="E2795" i="7"/>
  <c r="D2795" i="7"/>
  <c r="B2795" i="7"/>
  <c r="H2794" i="7"/>
  <c r="G2794" i="7"/>
  <c r="E2794" i="7"/>
  <c r="D2794" i="7"/>
  <c r="H2793" i="7"/>
  <c r="G2793" i="7"/>
  <c r="E2793" i="7"/>
  <c r="D2793" i="7"/>
  <c r="H2792" i="7"/>
  <c r="G2792" i="7"/>
  <c r="E2792" i="7"/>
  <c r="D2792" i="7"/>
  <c r="AD2791" i="7"/>
  <c r="H2791" i="7"/>
  <c r="G2791" i="7"/>
  <c r="E2791" i="7"/>
  <c r="D2791" i="7"/>
  <c r="AD2790" i="7"/>
  <c r="H2790" i="7"/>
  <c r="G2790" i="7"/>
  <c r="E2790" i="7"/>
  <c r="D2790" i="7"/>
  <c r="I2788" i="7"/>
  <c r="H2788" i="7"/>
  <c r="H2786" i="7"/>
  <c r="G2786" i="7"/>
  <c r="E2786" i="7"/>
  <c r="D2786" i="7"/>
  <c r="H2785" i="7"/>
  <c r="G2785" i="7"/>
  <c r="E2785" i="7"/>
  <c r="D2785" i="7"/>
  <c r="H2784" i="7"/>
  <c r="G2784" i="7"/>
  <c r="E2784" i="7"/>
  <c r="D2784" i="7"/>
  <c r="H2783" i="7"/>
  <c r="G2783" i="7"/>
  <c r="D2783" i="7"/>
  <c r="B2783" i="7"/>
  <c r="H2782" i="7"/>
  <c r="G2782" i="7"/>
  <c r="E2782" i="7"/>
  <c r="D2782" i="7"/>
  <c r="H2781" i="7"/>
  <c r="G2781" i="7"/>
  <c r="E2781" i="7"/>
  <c r="D2781" i="7"/>
  <c r="AD2780" i="7"/>
  <c r="H2780" i="7"/>
  <c r="G2780" i="7"/>
  <c r="E2780" i="7"/>
  <c r="D2780" i="7"/>
  <c r="AD2779" i="7"/>
  <c r="H2779" i="7"/>
  <c r="G2779" i="7"/>
  <c r="E2779" i="7"/>
  <c r="D2779" i="7"/>
  <c r="I2777" i="7"/>
  <c r="H2777" i="7"/>
  <c r="H2775" i="7"/>
  <c r="G2775" i="7"/>
  <c r="E2775" i="7"/>
  <c r="D2775" i="7"/>
  <c r="H2774" i="7"/>
  <c r="G2774" i="7"/>
  <c r="E2774" i="7"/>
  <c r="D2774" i="7"/>
  <c r="H2773" i="7"/>
  <c r="G2773" i="7"/>
  <c r="E2773" i="7"/>
  <c r="D2773" i="7"/>
  <c r="H2772" i="7"/>
  <c r="G2772" i="7"/>
  <c r="E2772" i="7"/>
  <c r="D2772" i="7"/>
  <c r="H2771" i="7"/>
  <c r="G2771" i="7"/>
  <c r="E2771" i="7"/>
  <c r="D2771" i="7"/>
  <c r="AD2770" i="7"/>
  <c r="H2770" i="7"/>
  <c r="G2770" i="7"/>
  <c r="E2770" i="7"/>
  <c r="D2770" i="7"/>
  <c r="AD2769" i="7"/>
  <c r="H2769" i="7"/>
  <c r="G2769" i="7"/>
  <c r="E2769" i="7"/>
  <c r="D2769" i="7"/>
  <c r="I2767" i="7"/>
  <c r="H2767" i="7"/>
  <c r="H2765" i="7"/>
  <c r="G2765" i="7"/>
  <c r="D2765" i="7"/>
  <c r="B2765" i="7"/>
  <c r="AD2764" i="7"/>
  <c r="H2764" i="7"/>
  <c r="G2764" i="7"/>
  <c r="F2764" i="7"/>
  <c r="E2764" i="7"/>
  <c r="D2764" i="7"/>
  <c r="AD2763" i="7"/>
  <c r="H2763" i="7"/>
  <c r="G2763" i="7"/>
  <c r="E2763" i="7"/>
  <c r="D2763" i="7"/>
  <c r="AD2762" i="7"/>
  <c r="H2762" i="7"/>
  <c r="G2762" i="7"/>
  <c r="E2762" i="7"/>
  <c r="D2762" i="7"/>
  <c r="AD2761" i="7"/>
  <c r="H2761" i="7"/>
  <c r="G2761" i="7"/>
  <c r="E2761" i="7"/>
  <c r="D2761" i="7"/>
  <c r="I2759" i="7"/>
  <c r="H2759" i="7"/>
  <c r="H2757" i="7"/>
  <c r="G2757" i="7"/>
  <c r="E2757" i="7"/>
  <c r="D2757" i="7"/>
  <c r="AD2756" i="7"/>
  <c r="H2756" i="7"/>
  <c r="G2756" i="7"/>
  <c r="E2756" i="7"/>
  <c r="D2756" i="7"/>
  <c r="AD2755" i="7"/>
  <c r="H2755" i="7"/>
  <c r="G2755" i="7"/>
  <c r="E2755" i="7"/>
  <c r="D2755" i="7"/>
  <c r="I2753" i="7"/>
  <c r="H2753" i="7"/>
  <c r="H2751" i="7"/>
  <c r="G2751" i="7"/>
  <c r="E2751" i="7"/>
  <c r="D2751" i="7"/>
  <c r="H2750" i="7"/>
  <c r="G2750" i="7"/>
  <c r="E2750" i="7"/>
  <c r="D2750" i="7"/>
  <c r="B2750" i="7"/>
  <c r="H2749" i="7"/>
  <c r="G2749" i="7"/>
  <c r="E2749" i="7"/>
  <c r="D2749" i="7"/>
  <c r="H2748" i="7"/>
  <c r="G2748" i="7"/>
  <c r="E2748" i="7"/>
  <c r="D2748" i="7"/>
  <c r="AD2747" i="7"/>
  <c r="H2747" i="7"/>
  <c r="G2747" i="7"/>
  <c r="E2747" i="7"/>
  <c r="D2747" i="7"/>
  <c r="AD2746" i="7"/>
  <c r="H2746" i="7"/>
  <c r="G2746" i="7"/>
  <c r="E2746" i="7"/>
  <c r="D2746" i="7"/>
  <c r="I2744" i="7"/>
  <c r="H2744" i="7"/>
  <c r="H2742" i="7"/>
  <c r="G2742" i="7"/>
  <c r="E2742" i="7"/>
  <c r="D2742" i="7"/>
  <c r="B2742" i="7"/>
  <c r="H2741" i="7"/>
  <c r="G2741" i="7"/>
  <c r="E2741" i="7"/>
  <c r="D2741" i="7"/>
  <c r="B2741" i="7"/>
  <c r="AD2740" i="7"/>
  <c r="H2740" i="7"/>
  <c r="G2740" i="7"/>
  <c r="E2740" i="7"/>
  <c r="D2740" i="7"/>
  <c r="AD2739" i="7"/>
  <c r="H2739" i="7"/>
  <c r="G2739" i="7"/>
  <c r="E2739" i="7"/>
  <c r="D2739" i="7"/>
  <c r="I2737" i="7"/>
  <c r="H2737" i="7"/>
  <c r="H2734" i="7"/>
  <c r="G2734" i="7"/>
  <c r="E2734" i="7"/>
  <c r="D2734" i="7"/>
  <c r="AD2733" i="7"/>
  <c r="H2733" i="7"/>
  <c r="G2733" i="7"/>
  <c r="E2733" i="7"/>
  <c r="D2733" i="7"/>
  <c r="AD2732" i="7"/>
  <c r="H2732" i="7"/>
  <c r="G2732" i="7"/>
  <c r="F2732" i="7"/>
  <c r="E2732" i="7"/>
  <c r="D2732" i="7"/>
  <c r="AD2731" i="7"/>
  <c r="H2731" i="7"/>
  <c r="G2731" i="7"/>
  <c r="E2731" i="7"/>
  <c r="D2731" i="7"/>
  <c r="AD2730" i="7"/>
  <c r="H2730" i="7"/>
  <c r="G2730" i="7"/>
  <c r="E2730" i="7"/>
  <c r="D2730" i="7"/>
  <c r="AD2729" i="7"/>
  <c r="H2729" i="7"/>
  <c r="G2729" i="7"/>
  <c r="E2729" i="7"/>
  <c r="D2729" i="7"/>
  <c r="AD2728" i="7"/>
  <c r="H2728" i="7"/>
  <c r="G2728" i="7"/>
  <c r="E2728" i="7"/>
  <c r="D2728" i="7"/>
  <c r="AD2727" i="7"/>
  <c r="H2727" i="7"/>
  <c r="G2727" i="7"/>
  <c r="E2727" i="7"/>
  <c r="D2727" i="7"/>
  <c r="AD2726" i="7"/>
  <c r="H2726" i="7"/>
  <c r="G2726" i="7"/>
  <c r="E2726" i="7"/>
  <c r="D2726" i="7"/>
  <c r="AD2725" i="7"/>
  <c r="H2725" i="7"/>
  <c r="G2725" i="7"/>
  <c r="E2725" i="7"/>
  <c r="D2725" i="7"/>
  <c r="AD2724" i="7"/>
  <c r="H2724" i="7"/>
  <c r="G2724" i="7"/>
  <c r="E2724" i="7"/>
  <c r="D2724" i="7"/>
  <c r="AD2723" i="7"/>
  <c r="H2723" i="7"/>
  <c r="G2723" i="7"/>
  <c r="E2723" i="7"/>
  <c r="D2723" i="7"/>
  <c r="AD2722" i="7"/>
  <c r="H2722" i="7"/>
  <c r="G2722" i="7"/>
  <c r="E2722" i="7"/>
  <c r="D2722" i="7"/>
  <c r="I2720" i="7"/>
  <c r="H2720" i="7"/>
  <c r="H2718" i="7"/>
  <c r="G2718" i="7"/>
  <c r="E2718" i="7"/>
  <c r="D2718" i="7"/>
  <c r="B2718" i="7"/>
  <c r="H2717" i="7"/>
  <c r="G2717" i="7"/>
  <c r="E2717" i="7"/>
  <c r="D2717" i="7"/>
  <c r="AD2716" i="7"/>
  <c r="H2716" i="7"/>
  <c r="G2716" i="7"/>
  <c r="E2716" i="7"/>
  <c r="D2716" i="7"/>
  <c r="AD2715" i="7"/>
  <c r="H2715" i="7"/>
  <c r="G2715" i="7"/>
  <c r="E2715" i="7"/>
  <c r="D2715" i="7"/>
  <c r="I2713" i="7"/>
  <c r="H2713" i="7"/>
  <c r="H2711" i="7"/>
  <c r="G2711" i="7"/>
  <c r="E2711" i="7"/>
  <c r="D2711" i="7"/>
  <c r="B2711" i="7"/>
  <c r="AD2710" i="7"/>
  <c r="H2710" i="7"/>
  <c r="G2710" i="7"/>
  <c r="E2710" i="7"/>
  <c r="D2710" i="7"/>
  <c r="AD2709" i="7"/>
  <c r="H2709" i="7"/>
  <c r="G2709" i="7"/>
  <c r="E2709" i="7"/>
  <c r="D2709" i="7"/>
  <c r="I2707" i="7"/>
  <c r="H2707" i="7"/>
  <c r="H2705" i="7"/>
  <c r="G2705" i="7"/>
  <c r="E2705" i="7"/>
  <c r="D2705" i="7"/>
  <c r="B2705" i="7"/>
  <c r="AD2704" i="7"/>
  <c r="H2704" i="7"/>
  <c r="G2704" i="7"/>
  <c r="E2704" i="7"/>
  <c r="D2704" i="7"/>
  <c r="AD2703" i="7"/>
  <c r="H2703" i="7"/>
  <c r="G2703" i="7"/>
  <c r="E2703" i="7"/>
  <c r="D2703" i="7"/>
  <c r="I2701" i="7"/>
  <c r="H2701" i="7"/>
  <c r="H2699" i="7"/>
  <c r="G2699" i="7"/>
  <c r="E2699" i="7"/>
  <c r="D2699" i="7"/>
  <c r="B2699" i="7"/>
  <c r="H2698" i="7"/>
  <c r="G2698" i="7"/>
  <c r="E2698" i="7"/>
  <c r="D2698" i="7"/>
  <c r="B2698" i="7"/>
  <c r="AD2697" i="7"/>
  <c r="H2697" i="7"/>
  <c r="G2697" i="7"/>
  <c r="E2697" i="7"/>
  <c r="D2697" i="7"/>
  <c r="AD2696" i="7"/>
  <c r="H2696" i="7"/>
  <c r="G2696" i="7"/>
  <c r="E2696" i="7"/>
  <c r="D2696" i="7"/>
  <c r="I2694" i="7"/>
  <c r="H2694" i="7"/>
  <c r="H2692" i="7"/>
  <c r="G2692" i="7"/>
  <c r="E2692" i="7"/>
  <c r="D2692" i="7"/>
  <c r="B2692" i="7"/>
  <c r="AD2691" i="7"/>
  <c r="H2691" i="7"/>
  <c r="G2691" i="7"/>
  <c r="F2691" i="7"/>
  <c r="E2691" i="7"/>
  <c r="D2691" i="7"/>
  <c r="AD2690" i="7"/>
  <c r="H2690" i="7"/>
  <c r="G2690" i="7"/>
  <c r="F2690" i="7"/>
  <c r="E2690" i="7"/>
  <c r="D2690" i="7"/>
  <c r="AD2689" i="7"/>
  <c r="H2689" i="7"/>
  <c r="G2689" i="7"/>
  <c r="F2689" i="7"/>
  <c r="E2689" i="7"/>
  <c r="D2689" i="7"/>
  <c r="AD2688" i="7"/>
  <c r="H2688" i="7"/>
  <c r="G2688" i="7"/>
  <c r="F2688" i="7"/>
  <c r="E2688" i="7"/>
  <c r="D2688" i="7"/>
  <c r="AD2687" i="7"/>
  <c r="H2687" i="7"/>
  <c r="G2687" i="7"/>
  <c r="E2687" i="7"/>
  <c r="D2687" i="7"/>
  <c r="AD2686" i="7"/>
  <c r="H2686" i="7"/>
  <c r="G2686" i="7"/>
  <c r="E2686" i="7"/>
  <c r="D2686" i="7"/>
  <c r="I2684" i="7"/>
  <c r="H2684" i="7"/>
  <c r="H2682" i="7"/>
  <c r="G2682" i="7"/>
  <c r="E2682" i="7"/>
  <c r="D2682" i="7"/>
  <c r="B2682" i="7"/>
  <c r="H2681" i="7"/>
  <c r="G2681" i="7"/>
  <c r="E2681" i="7"/>
  <c r="D2681" i="7"/>
  <c r="H2680" i="7"/>
  <c r="G2680" i="7"/>
  <c r="E2680" i="7"/>
  <c r="D2680" i="7"/>
  <c r="H2679" i="7"/>
  <c r="G2679" i="7"/>
  <c r="E2679" i="7"/>
  <c r="D2679" i="7"/>
  <c r="H2678" i="7"/>
  <c r="G2678" i="7"/>
  <c r="E2678" i="7"/>
  <c r="D2678" i="7"/>
  <c r="H2677" i="7"/>
  <c r="G2677" i="7"/>
  <c r="F2677" i="7"/>
  <c r="E2677" i="7"/>
  <c r="D2677" i="7"/>
  <c r="AD2676" i="7"/>
  <c r="H2676" i="7"/>
  <c r="G2676" i="7"/>
  <c r="F2676" i="7"/>
  <c r="E2676" i="7"/>
  <c r="D2676" i="7"/>
  <c r="AD2675" i="7"/>
  <c r="H2675" i="7"/>
  <c r="G2675" i="7"/>
  <c r="F2675" i="7"/>
  <c r="E2675" i="7"/>
  <c r="D2675" i="7"/>
  <c r="AD2674" i="7"/>
  <c r="H2674" i="7"/>
  <c r="G2674" i="7"/>
  <c r="F2674" i="7"/>
  <c r="E2674" i="7"/>
  <c r="D2674" i="7"/>
  <c r="AD2673" i="7"/>
  <c r="H2673" i="7"/>
  <c r="G2673" i="7"/>
  <c r="F2673" i="7"/>
  <c r="E2673" i="7"/>
  <c r="D2673" i="7"/>
  <c r="AD2672" i="7"/>
  <c r="H2672" i="7"/>
  <c r="G2672" i="7"/>
  <c r="F2672" i="7"/>
  <c r="E2672" i="7"/>
  <c r="D2672" i="7"/>
  <c r="AD2671" i="7"/>
  <c r="H2671" i="7"/>
  <c r="G2671" i="7"/>
  <c r="E2671" i="7"/>
  <c r="D2671" i="7"/>
  <c r="AD2670" i="7"/>
  <c r="H2670" i="7"/>
  <c r="G2670" i="7"/>
  <c r="E2670" i="7"/>
  <c r="D2670" i="7"/>
  <c r="AD2669" i="7"/>
  <c r="H2669" i="7"/>
  <c r="G2669" i="7"/>
  <c r="E2669" i="7"/>
  <c r="D2669" i="7"/>
  <c r="I2667" i="7"/>
  <c r="H2667" i="7"/>
  <c r="H2665" i="7"/>
  <c r="G2665" i="7"/>
  <c r="E2665" i="7"/>
  <c r="D2665" i="7"/>
  <c r="B2665" i="7"/>
  <c r="H2664" i="7"/>
  <c r="G2664" i="7"/>
  <c r="E2664" i="7"/>
  <c r="D2664" i="7"/>
  <c r="B2664" i="7"/>
  <c r="AD2663" i="7"/>
  <c r="H2663" i="7"/>
  <c r="G2663" i="7"/>
  <c r="E2663" i="7"/>
  <c r="D2663" i="7"/>
  <c r="AD2662" i="7"/>
  <c r="H2662" i="7"/>
  <c r="G2662" i="7"/>
  <c r="E2662" i="7"/>
  <c r="D2662" i="7"/>
  <c r="I2660" i="7"/>
  <c r="H2660" i="7"/>
  <c r="H2658" i="7"/>
  <c r="G2658" i="7"/>
  <c r="E2658" i="7"/>
  <c r="D2658" i="7"/>
  <c r="B2658" i="7"/>
  <c r="H2657" i="7"/>
  <c r="G2657" i="7"/>
  <c r="E2657" i="7"/>
  <c r="D2657" i="7"/>
  <c r="B2657" i="7"/>
  <c r="H2656" i="7"/>
  <c r="G2656" i="7"/>
  <c r="E2656" i="7"/>
  <c r="D2656" i="7"/>
  <c r="H2655" i="7"/>
  <c r="G2655" i="7"/>
  <c r="E2655" i="7"/>
  <c r="D2655" i="7"/>
  <c r="H2654" i="7"/>
  <c r="G2654" i="7"/>
  <c r="E2654" i="7"/>
  <c r="D2654" i="7"/>
  <c r="AD2653" i="7"/>
  <c r="H2653" i="7"/>
  <c r="G2653" i="7"/>
  <c r="E2653" i="7"/>
  <c r="D2653" i="7"/>
  <c r="AD2652" i="7"/>
  <c r="H2652" i="7"/>
  <c r="G2652" i="7"/>
  <c r="E2652" i="7"/>
  <c r="D2652" i="7"/>
  <c r="I2650" i="7"/>
  <c r="H2650" i="7"/>
  <c r="H2648" i="7"/>
  <c r="G2648" i="7"/>
  <c r="E2648" i="7"/>
  <c r="D2648" i="7"/>
  <c r="AD2647" i="7"/>
  <c r="H2647" i="7"/>
  <c r="G2647" i="7"/>
  <c r="E2647" i="7"/>
  <c r="D2647" i="7"/>
  <c r="AD2646" i="7"/>
  <c r="H2646" i="7"/>
  <c r="G2646" i="7"/>
  <c r="E2646" i="7"/>
  <c r="D2646" i="7"/>
  <c r="AD2645" i="7"/>
  <c r="H2645" i="7"/>
  <c r="G2645" i="7"/>
  <c r="E2645" i="7"/>
  <c r="D2645" i="7"/>
  <c r="AD2644" i="7"/>
  <c r="H2644" i="7"/>
  <c r="G2644" i="7"/>
  <c r="E2644" i="7"/>
  <c r="D2644" i="7"/>
  <c r="AD2643" i="7"/>
  <c r="H2643" i="7"/>
  <c r="G2643" i="7"/>
  <c r="E2643" i="7"/>
  <c r="D2643" i="7"/>
  <c r="AD2642" i="7"/>
  <c r="H2642" i="7"/>
  <c r="G2642" i="7"/>
  <c r="E2642" i="7"/>
  <c r="D2642" i="7"/>
  <c r="AD2641" i="7"/>
  <c r="H2641" i="7"/>
  <c r="G2641" i="7"/>
  <c r="E2641" i="7"/>
  <c r="D2641" i="7"/>
  <c r="AD2640" i="7"/>
  <c r="H2640" i="7"/>
  <c r="G2640" i="7"/>
  <c r="E2640" i="7"/>
  <c r="D2640" i="7"/>
  <c r="AD2639" i="7"/>
  <c r="H2639" i="7"/>
  <c r="G2639" i="7"/>
  <c r="E2639" i="7"/>
  <c r="D2639" i="7"/>
  <c r="AD2638" i="7"/>
  <c r="H2638" i="7"/>
  <c r="G2638" i="7"/>
  <c r="E2638" i="7"/>
  <c r="D2638" i="7"/>
  <c r="AD2637" i="7"/>
  <c r="H2637" i="7"/>
  <c r="G2637" i="7"/>
  <c r="E2637" i="7"/>
  <c r="D2637" i="7"/>
  <c r="AD2636" i="7"/>
  <c r="H2636" i="7"/>
  <c r="G2636" i="7"/>
  <c r="E2636" i="7"/>
  <c r="D2636" i="7"/>
  <c r="I2635" i="7"/>
  <c r="H2635" i="7"/>
  <c r="H2633" i="7"/>
  <c r="G2633" i="7"/>
  <c r="E2633" i="7"/>
  <c r="D2633" i="7"/>
  <c r="H2632" i="7"/>
  <c r="G2632" i="7"/>
  <c r="E2632" i="7"/>
  <c r="D2632" i="7"/>
  <c r="H2631" i="7"/>
  <c r="G2631" i="7"/>
  <c r="E2631" i="7"/>
  <c r="D2631" i="7"/>
  <c r="H2630" i="7"/>
  <c r="G2630" i="7"/>
  <c r="E2630" i="7"/>
  <c r="D2630" i="7"/>
  <c r="H2629" i="7"/>
  <c r="G2629" i="7"/>
  <c r="E2629" i="7"/>
  <c r="D2629" i="7"/>
  <c r="H2628" i="7"/>
  <c r="G2628" i="7"/>
  <c r="E2628" i="7"/>
  <c r="D2628" i="7"/>
  <c r="H2627" i="7"/>
  <c r="G2627" i="7"/>
  <c r="E2627" i="7"/>
  <c r="D2627" i="7"/>
  <c r="AD2626" i="7"/>
  <c r="H2626" i="7"/>
  <c r="G2626" i="7"/>
  <c r="E2626" i="7"/>
  <c r="D2626" i="7"/>
  <c r="AD2625" i="7"/>
  <c r="H2625" i="7"/>
  <c r="G2625" i="7"/>
  <c r="E2625" i="7"/>
  <c r="D2625" i="7"/>
  <c r="AD2624" i="7"/>
  <c r="H2624" i="7"/>
  <c r="G2624" i="7"/>
  <c r="E2624" i="7"/>
  <c r="D2624" i="7"/>
  <c r="AD2623" i="7"/>
  <c r="H2623" i="7"/>
  <c r="G2623" i="7"/>
  <c r="E2623" i="7"/>
  <c r="D2623" i="7"/>
  <c r="AD2622" i="7"/>
  <c r="H2622" i="7"/>
  <c r="G2622" i="7"/>
  <c r="E2622" i="7"/>
  <c r="D2622" i="7"/>
  <c r="AD2621" i="7"/>
  <c r="H2621" i="7"/>
  <c r="G2621" i="7"/>
  <c r="E2621" i="7"/>
  <c r="D2621" i="7"/>
  <c r="AD2620" i="7"/>
  <c r="H2620" i="7"/>
  <c r="G2620" i="7"/>
  <c r="E2620" i="7"/>
  <c r="D2620" i="7"/>
  <c r="AD2619" i="7"/>
  <c r="H2619" i="7"/>
  <c r="G2619" i="7"/>
  <c r="E2619" i="7"/>
  <c r="D2619" i="7"/>
  <c r="AD2618" i="7"/>
  <c r="H2618" i="7"/>
  <c r="G2618" i="7"/>
  <c r="E2618" i="7"/>
  <c r="D2618" i="7"/>
  <c r="I2616" i="7"/>
  <c r="H2616" i="7"/>
  <c r="H2614" i="7"/>
  <c r="G2614" i="7"/>
  <c r="E2614" i="7"/>
  <c r="D2614" i="7"/>
  <c r="H2613" i="7"/>
  <c r="G2613" i="7"/>
  <c r="E2613" i="7"/>
  <c r="D2613" i="7"/>
  <c r="AD2612" i="7"/>
  <c r="H2612" i="7"/>
  <c r="G2612" i="7"/>
  <c r="E2612" i="7"/>
  <c r="D2612" i="7"/>
  <c r="AD2611" i="7"/>
  <c r="H2611" i="7"/>
  <c r="G2611" i="7"/>
  <c r="E2611" i="7"/>
  <c r="D2611" i="7"/>
  <c r="I2609" i="7"/>
  <c r="H2609" i="7"/>
  <c r="H2607" i="7"/>
  <c r="G2607" i="7"/>
  <c r="E2607" i="7"/>
  <c r="D2607" i="7"/>
  <c r="H2606" i="7"/>
  <c r="G2606" i="7"/>
  <c r="E2606" i="7"/>
  <c r="D2606" i="7"/>
  <c r="AD2605" i="7"/>
  <c r="H2605" i="7"/>
  <c r="G2605" i="7"/>
  <c r="E2605" i="7"/>
  <c r="D2605" i="7"/>
  <c r="AD2604" i="7"/>
  <c r="H2604" i="7"/>
  <c r="G2604" i="7"/>
  <c r="E2604" i="7"/>
  <c r="D2604" i="7"/>
  <c r="I2602" i="7"/>
  <c r="H2602" i="7"/>
  <c r="H2600" i="7"/>
  <c r="G2600" i="7"/>
  <c r="E2600" i="7"/>
  <c r="D2600" i="7"/>
  <c r="H2599" i="7"/>
  <c r="G2599" i="7"/>
  <c r="E2599" i="7"/>
  <c r="D2599" i="7"/>
  <c r="H2598" i="7"/>
  <c r="G2598" i="7"/>
  <c r="E2598" i="7"/>
  <c r="D2598" i="7"/>
  <c r="H2597" i="7"/>
  <c r="G2597" i="7"/>
  <c r="E2597" i="7"/>
  <c r="D2597" i="7"/>
  <c r="H2596" i="7"/>
  <c r="G2596" i="7"/>
  <c r="E2596" i="7"/>
  <c r="D2596" i="7"/>
  <c r="H2595" i="7"/>
  <c r="G2595" i="7"/>
  <c r="E2595" i="7"/>
  <c r="D2595" i="7"/>
  <c r="AD2594" i="7"/>
  <c r="H2594" i="7"/>
  <c r="G2594" i="7"/>
  <c r="E2594" i="7"/>
  <c r="D2594" i="7"/>
  <c r="AD2593" i="7"/>
  <c r="H2593" i="7"/>
  <c r="G2593" i="7"/>
  <c r="E2593" i="7"/>
  <c r="D2593" i="7"/>
  <c r="I2591" i="7"/>
  <c r="H2591" i="7"/>
  <c r="H2589" i="7"/>
  <c r="G2589" i="7"/>
  <c r="E2589" i="7"/>
  <c r="D2589" i="7"/>
  <c r="H2588" i="7"/>
  <c r="G2588" i="7"/>
  <c r="E2588" i="7"/>
  <c r="D2588" i="7"/>
  <c r="H2587" i="7"/>
  <c r="G2587" i="7"/>
  <c r="E2587" i="7"/>
  <c r="D2587" i="7"/>
  <c r="H2586" i="7"/>
  <c r="G2586" i="7"/>
  <c r="E2586" i="7"/>
  <c r="D2586" i="7"/>
  <c r="AD2585" i="7"/>
  <c r="H2585" i="7"/>
  <c r="G2585" i="7"/>
  <c r="E2585" i="7"/>
  <c r="D2585" i="7"/>
  <c r="AD2584" i="7"/>
  <c r="H2584" i="7"/>
  <c r="G2584" i="7"/>
  <c r="E2584" i="7"/>
  <c r="D2584" i="7"/>
  <c r="I2582" i="7"/>
  <c r="H2582" i="7"/>
  <c r="H2580" i="7"/>
  <c r="G2580" i="7"/>
  <c r="E2580" i="7"/>
  <c r="D2580" i="7"/>
  <c r="H2579" i="7"/>
  <c r="G2579" i="7"/>
  <c r="E2579" i="7"/>
  <c r="D2579" i="7"/>
  <c r="H2578" i="7"/>
  <c r="G2578" i="7"/>
  <c r="E2578" i="7"/>
  <c r="D2578" i="7"/>
  <c r="H2577" i="7"/>
  <c r="G2577" i="7"/>
  <c r="E2577" i="7"/>
  <c r="D2577" i="7"/>
  <c r="AD2576" i="7"/>
  <c r="H2576" i="7"/>
  <c r="G2576" i="7"/>
  <c r="E2576" i="7"/>
  <c r="D2576" i="7"/>
  <c r="AD2575" i="7"/>
  <c r="H2575" i="7"/>
  <c r="G2575" i="7"/>
  <c r="E2575" i="7"/>
  <c r="D2575" i="7"/>
  <c r="I2573" i="7"/>
  <c r="H2573" i="7"/>
  <c r="H2571" i="7"/>
  <c r="G2571" i="7"/>
  <c r="E2571" i="7"/>
  <c r="D2571" i="7"/>
  <c r="B2571" i="7"/>
  <c r="H2570" i="7"/>
  <c r="G2570" i="7"/>
  <c r="E2570" i="7"/>
  <c r="D2570" i="7"/>
  <c r="H2569" i="7"/>
  <c r="G2569" i="7"/>
  <c r="E2569" i="7"/>
  <c r="D2569" i="7"/>
  <c r="AD2568" i="7"/>
  <c r="H2568" i="7"/>
  <c r="G2568" i="7"/>
  <c r="E2568" i="7"/>
  <c r="D2568" i="7"/>
  <c r="AD2567" i="7"/>
  <c r="H2567" i="7"/>
  <c r="G2567" i="7"/>
  <c r="E2567" i="7"/>
  <c r="D2567" i="7"/>
  <c r="I2565" i="7"/>
  <c r="H2565" i="7"/>
  <c r="H2563" i="7"/>
  <c r="G2563" i="7"/>
  <c r="E2563" i="7"/>
  <c r="D2563" i="7"/>
  <c r="H2562" i="7"/>
  <c r="G2562" i="7"/>
  <c r="E2562" i="7"/>
  <c r="D2562" i="7"/>
  <c r="H2561" i="7"/>
  <c r="G2561" i="7"/>
  <c r="E2561" i="7"/>
  <c r="D2561" i="7"/>
  <c r="AD2560" i="7"/>
  <c r="H2560" i="7"/>
  <c r="G2560" i="7"/>
  <c r="E2560" i="7"/>
  <c r="D2560" i="7"/>
  <c r="AD2559" i="7"/>
  <c r="H2559" i="7"/>
  <c r="G2559" i="7"/>
  <c r="E2559" i="7"/>
  <c r="D2559" i="7"/>
  <c r="I2557" i="7"/>
  <c r="H2557" i="7"/>
  <c r="H2555" i="7"/>
  <c r="G2555" i="7"/>
  <c r="E2555" i="7"/>
  <c r="D2555" i="7"/>
  <c r="H2554" i="7"/>
  <c r="G2554" i="7"/>
  <c r="E2554" i="7"/>
  <c r="D2554" i="7"/>
  <c r="H2553" i="7"/>
  <c r="G2553" i="7"/>
  <c r="E2553" i="7"/>
  <c r="D2553" i="7"/>
  <c r="AD2552" i="7"/>
  <c r="H2552" i="7"/>
  <c r="G2552" i="7"/>
  <c r="E2552" i="7"/>
  <c r="D2552" i="7"/>
  <c r="AD2551" i="7"/>
  <c r="H2551" i="7"/>
  <c r="G2551" i="7"/>
  <c r="E2551" i="7"/>
  <c r="D2551" i="7"/>
  <c r="I2549" i="7"/>
  <c r="H2549" i="7"/>
  <c r="H2547" i="7"/>
  <c r="G2547" i="7"/>
  <c r="E2547" i="7"/>
  <c r="D2547" i="7"/>
  <c r="H2546" i="7"/>
  <c r="G2546" i="7"/>
  <c r="E2546" i="7"/>
  <c r="D2546" i="7"/>
  <c r="H2545" i="7"/>
  <c r="G2545" i="7"/>
  <c r="E2545" i="7"/>
  <c r="D2545" i="7"/>
  <c r="H2544" i="7"/>
  <c r="G2544" i="7"/>
  <c r="E2544" i="7"/>
  <c r="D2544" i="7"/>
  <c r="AD2543" i="7"/>
  <c r="H2543" i="7"/>
  <c r="G2543" i="7"/>
  <c r="E2543" i="7"/>
  <c r="D2543" i="7"/>
  <c r="AD2542" i="7"/>
  <c r="H2542" i="7"/>
  <c r="G2542" i="7"/>
  <c r="E2542" i="7"/>
  <c r="D2542" i="7"/>
  <c r="I2540" i="7"/>
  <c r="H2540" i="7"/>
  <c r="H2538" i="7"/>
  <c r="G2538" i="7"/>
  <c r="E2538" i="7"/>
  <c r="D2538" i="7"/>
  <c r="H2537" i="7"/>
  <c r="G2537" i="7"/>
  <c r="E2537" i="7"/>
  <c r="D2537" i="7"/>
  <c r="H2536" i="7"/>
  <c r="G2536" i="7"/>
  <c r="E2536" i="7"/>
  <c r="D2536" i="7"/>
  <c r="AD2535" i="7"/>
  <c r="H2535" i="7"/>
  <c r="G2535" i="7"/>
  <c r="E2535" i="7"/>
  <c r="D2535" i="7"/>
  <c r="AD2534" i="7"/>
  <c r="H2534" i="7"/>
  <c r="G2534" i="7"/>
  <c r="E2534" i="7"/>
  <c r="D2534" i="7"/>
  <c r="I2532" i="7"/>
  <c r="H2532" i="7"/>
  <c r="H2530" i="7"/>
  <c r="G2530" i="7"/>
  <c r="E2530" i="7"/>
  <c r="D2530" i="7"/>
  <c r="H2529" i="7"/>
  <c r="G2529" i="7"/>
  <c r="E2529" i="7"/>
  <c r="D2529" i="7"/>
  <c r="H2528" i="7"/>
  <c r="G2528" i="7"/>
  <c r="E2528" i="7"/>
  <c r="D2528" i="7"/>
  <c r="AD2527" i="7"/>
  <c r="H2527" i="7"/>
  <c r="G2527" i="7"/>
  <c r="E2527" i="7"/>
  <c r="D2527" i="7"/>
  <c r="AD2526" i="7"/>
  <c r="H2526" i="7"/>
  <c r="G2526" i="7"/>
  <c r="E2526" i="7"/>
  <c r="D2526" i="7"/>
  <c r="I2524" i="7"/>
  <c r="H2524" i="7"/>
  <c r="H2522" i="7"/>
  <c r="G2522" i="7"/>
  <c r="E2522" i="7"/>
  <c r="D2522" i="7"/>
  <c r="H2521" i="7"/>
  <c r="G2521" i="7"/>
  <c r="E2521" i="7"/>
  <c r="D2521" i="7"/>
  <c r="H2520" i="7"/>
  <c r="G2520" i="7"/>
  <c r="E2520" i="7"/>
  <c r="D2520" i="7"/>
  <c r="AD2519" i="7"/>
  <c r="H2519" i="7"/>
  <c r="G2519" i="7"/>
  <c r="E2519" i="7"/>
  <c r="D2519" i="7"/>
  <c r="AD2518" i="7"/>
  <c r="H2518" i="7"/>
  <c r="G2518" i="7"/>
  <c r="E2518" i="7"/>
  <c r="D2518" i="7"/>
  <c r="I2516" i="7"/>
  <c r="H2516" i="7"/>
  <c r="H2514" i="7"/>
  <c r="G2514" i="7"/>
  <c r="E2514" i="7"/>
  <c r="D2514" i="7"/>
  <c r="H2513" i="7"/>
  <c r="G2513" i="7"/>
  <c r="E2513" i="7"/>
  <c r="D2513" i="7"/>
  <c r="H2512" i="7"/>
  <c r="G2512" i="7"/>
  <c r="E2512" i="7"/>
  <c r="D2512" i="7"/>
  <c r="H2511" i="7"/>
  <c r="G2511" i="7"/>
  <c r="E2511" i="7"/>
  <c r="D2511" i="7"/>
  <c r="AD2510" i="7"/>
  <c r="H2510" i="7"/>
  <c r="G2510" i="7"/>
  <c r="E2510" i="7"/>
  <c r="D2510" i="7"/>
  <c r="AD2509" i="7"/>
  <c r="H2509" i="7"/>
  <c r="G2509" i="7"/>
  <c r="E2509" i="7"/>
  <c r="D2509" i="7"/>
  <c r="I2507" i="7"/>
  <c r="H2507" i="7"/>
  <c r="H2501" i="7"/>
  <c r="G2501" i="7"/>
  <c r="E2501" i="7"/>
  <c r="D2501" i="7"/>
  <c r="AD2500" i="7"/>
  <c r="H2500" i="7"/>
  <c r="G2500" i="7"/>
  <c r="E2500" i="7"/>
  <c r="D2500" i="7"/>
  <c r="I2498" i="7"/>
  <c r="H2498" i="7"/>
  <c r="H2490" i="7"/>
  <c r="G2490" i="7"/>
  <c r="E2490" i="7"/>
  <c r="D2490" i="7"/>
  <c r="H2489" i="7"/>
  <c r="G2489" i="7"/>
  <c r="E2489" i="7"/>
  <c r="D2489" i="7"/>
  <c r="B2489" i="7"/>
  <c r="AD2488" i="7"/>
  <c r="H2488" i="7"/>
  <c r="G2488" i="7"/>
  <c r="E2488" i="7"/>
  <c r="D2488" i="7"/>
  <c r="AD2487" i="7"/>
  <c r="H2487" i="7"/>
  <c r="G2487" i="7"/>
  <c r="E2487" i="7"/>
  <c r="D2487" i="7"/>
  <c r="I2485" i="7"/>
  <c r="H2485" i="7"/>
  <c r="H2483" i="7"/>
  <c r="G2483" i="7"/>
  <c r="E2483" i="7"/>
  <c r="D2483" i="7"/>
  <c r="B2483" i="7"/>
  <c r="AD2482" i="7"/>
  <c r="H2482" i="7"/>
  <c r="G2482" i="7"/>
  <c r="E2482" i="7"/>
  <c r="D2482" i="7"/>
  <c r="AD2481" i="7"/>
  <c r="H2481" i="7"/>
  <c r="G2481" i="7"/>
  <c r="E2481" i="7"/>
  <c r="D2481" i="7"/>
  <c r="I2479" i="7"/>
  <c r="H2479" i="7"/>
  <c r="H2477" i="7"/>
  <c r="G2477" i="7"/>
  <c r="E2477" i="7"/>
  <c r="D2477" i="7"/>
  <c r="AD2476" i="7"/>
  <c r="H2476" i="7"/>
  <c r="G2476" i="7"/>
  <c r="E2476" i="7"/>
  <c r="D2476" i="7"/>
  <c r="AD2475" i="7"/>
  <c r="H2475" i="7"/>
  <c r="G2475" i="7"/>
  <c r="E2475" i="7"/>
  <c r="D2475" i="7"/>
  <c r="I2473" i="7"/>
  <c r="H2473" i="7"/>
  <c r="H2471" i="7"/>
  <c r="G2471" i="7"/>
  <c r="E2471" i="7"/>
  <c r="D2471" i="7"/>
  <c r="AD2470" i="7"/>
  <c r="H2470" i="7"/>
  <c r="G2470" i="7"/>
  <c r="E2470" i="7"/>
  <c r="D2470" i="7"/>
  <c r="AD2469" i="7"/>
  <c r="H2469" i="7"/>
  <c r="G2469" i="7"/>
  <c r="E2469" i="7"/>
  <c r="D2469" i="7"/>
  <c r="I2467" i="7"/>
  <c r="H2467" i="7"/>
  <c r="H2465" i="7"/>
  <c r="G2465" i="7"/>
  <c r="E2465" i="7"/>
  <c r="D2465" i="7"/>
  <c r="H2464" i="7"/>
  <c r="G2464" i="7"/>
  <c r="E2464" i="7"/>
  <c r="D2464" i="7"/>
  <c r="H2463" i="7"/>
  <c r="G2463" i="7"/>
  <c r="E2463" i="7"/>
  <c r="D2463" i="7"/>
  <c r="AD2462" i="7"/>
  <c r="H2462" i="7"/>
  <c r="G2462" i="7"/>
  <c r="E2462" i="7"/>
  <c r="D2462" i="7"/>
  <c r="AD2461" i="7"/>
  <c r="H2461" i="7"/>
  <c r="G2461" i="7"/>
  <c r="E2461" i="7"/>
  <c r="D2461" i="7"/>
  <c r="I2459" i="7"/>
  <c r="H2459" i="7"/>
  <c r="H2457" i="7"/>
  <c r="G2457" i="7"/>
  <c r="E2457" i="7"/>
  <c r="D2457" i="7"/>
  <c r="H2456" i="7"/>
  <c r="G2456" i="7"/>
  <c r="E2456" i="7"/>
  <c r="D2456" i="7"/>
  <c r="B2456" i="7"/>
  <c r="AD2455" i="7"/>
  <c r="H2455" i="7"/>
  <c r="G2455" i="7"/>
  <c r="E2455" i="7"/>
  <c r="D2455" i="7"/>
  <c r="AD2454" i="7"/>
  <c r="H2454" i="7"/>
  <c r="G2454" i="7"/>
  <c r="E2454" i="7"/>
  <c r="D2454" i="7"/>
  <c r="I2452" i="7"/>
  <c r="H2452" i="7"/>
  <c r="H2450" i="7"/>
  <c r="G2450" i="7"/>
  <c r="E2450" i="7"/>
  <c r="D2450" i="7"/>
  <c r="B2450" i="7"/>
  <c r="AD2449" i="7"/>
  <c r="H2449" i="7"/>
  <c r="G2449" i="7"/>
  <c r="E2449" i="7"/>
  <c r="D2449" i="7"/>
  <c r="I2447" i="7"/>
  <c r="H2447" i="7"/>
  <c r="H2445" i="7"/>
  <c r="G2445" i="7"/>
  <c r="E2445" i="7"/>
  <c r="D2445" i="7"/>
  <c r="B2445" i="7"/>
  <c r="H2444" i="7"/>
  <c r="G2444" i="7"/>
  <c r="E2444" i="7"/>
  <c r="D2444" i="7"/>
  <c r="AD2443" i="7"/>
  <c r="H2443" i="7"/>
  <c r="G2443" i="7"/>
  <c r="E2443" i="7"/>
  <c r="D2443" i="7"/>
  <c r="AD2442" i="7"/>
  <c r="H2442" i="7"/>
  <c r="G2442" i="7"/>
  <c r="E2442" i="7"/>
  <c r="D2442" i="7"/>
  <c r="I2440" i="7"/>
  <c r="H2440" i="7"/>
  <c r="H2434" i="7"/>
  <c r="G2434" i="7"/>
  <c r="E2434" i="7"/>
  <c r="D2434" i="7"/>
  <c r="AD2433" i="7"/>
  <c r="H2433" i="7"/>
  <c r="G2433" i="7"/>
  <c r="E2433" i="7"/>
  <c r="D2433" i="7"/>
  <c r="AD2432" i="7"/>
  <c r="H2432" i="7"/>
  <c r="G2432" i="7"/>
  <c r="E2432" i="7"/>
  <c r="D2432" i="7"/>
  <c r="I2430" i="7"/>
  <c r="H2430" i="7"/>
  <c r="H2428" i="7"/>
  <c r="G2428" i="7"/>
  <c r="E2428" i="7"/>
  <c r="D2428" i="7"/>
  <c r="B2428" i="7"/>
  <c r="AD2427" i="7"/>
  <c r="H2427" i="7"/>
  <c r="G2427" i="7"/>
  <c r="E2427" i="7"/>
  <c r="D2427" i="7"/>
  <c r="AD2426" i="7"/>
  <c r="H2426" i="7"/>
  <c r="G2426" i="7"/>
  <c r="E2426" i="7"/>
  <c r="D2426" i="7"/>
  <c r="I2424" i="7"/>
  <c r="H2424" i="7"/>
  <c r="AD2422" i="7"/>
  <c r="H2422" i="7"/>
  <c r="G2422" i="7"/>
  <c r="E2422" i="7"/>
  <c r="D2422" i="7"/>
  <c r="AD2421" i="7"/>
  <c r="H2421" i="7"/>
  <c r="G2421" i="7"/>
  <c r="E2421" i="7"/>
  <c r="D2421" i="7"/>
  <c r="AD2420" i="7"/>
  <c r="H2420" i="7"/>
  <c r="G2420" i="7"/>
  <c r="E2420" i="7"/>
  <c r="D2420" i="7"/>
  <c r="AD2419" i="7"/>
  <c r="H2419" i="7"/>
  <c r="G2419" i="7"/>
  <c r="E2419" i="7"/>
  <c r="D2419" i="7"/>
  <c r="AD2418" i="7"/>
  <c r="H2418" i="7"/>
  <c r="G2418" i="7"/>
  <c r="E2418" i="7"/>
  <c r="D2418" i="7"/>
  <c r="AD2417" i="7"/>
  <c r="H2417" i="7"/>
  <c r="G2417" i="7"/>
  <c r="E2417" i="7"/>
  <c r="D2417" i="7"/>
  <c r="AD2416" i="7"/>
  <c r="H2416" i="7"/>
  <c r="G2416" i="7"/>
  <c r="E2416" i="7"/>
  <c r="D2416" i="7"/>
  <c r="AD2415" i="7"/>
  <c r="H2415" i="7"/>
  <c r="G2415" i="7"/>
  <c r="E2415" i="7"/>
  <c r="D2415" i="7"/>
  <c r="AD2414" i="7"/>
  <c r="H2414" i="7"/>
  <c r="G2414" i="7"/>
  <c r="E2414" i="7"/>
  <c r="D2414" i="7"/>
  <c r="AD2413" i="7"/>
  <c r="H2413" i="7"/>
  <c r="G2413" i="7"/>
  <c r="E2413" i="7"/>
  <c r="D2413" i="7"/>
  <c r="AD2412" i="7"/>
  <c r="H2412" i="7"/>
  <c r="G2412" i="7"/>
  <c r="E2412" i="7"/>
  <c r="D2412" i="7"/>
  <c r="AD2411" i="7"/>
  <c r="H2411" i="7"/>
  <c r="G2411" i="7"/>
  <c r="E2411" i="7"/>
  <c r="D2411" i="7"/>
  <c r="AD2410" i="7"/>
  <c r="H2410" i="7"/>
  <c r="G2410" i="7"/>
  <c r="E2410" i="7"/>
  <c r="D2410" i="7"/>
  <c r="I2408" i="7"/>
  <c r="H2408" i="7"/>
  <c r="H2406" i="7"/>
  <c r="G2406" i="7"/>
  <c r="E2406" i="7"/>
  <c r="D2406" i="7"/>
  <c r="B2406" i="7"/>
  <c r="H2405" i="7"/>
  <c r="G2405" i="7"/>
  <c r="E2405" i="7"/>
  <c r="D2405" i="7"/>
  <c r="B2405" i="7"/>
  <c r="H2404" i="7"/>
  <c r="G2404" i="7"/>
  <c r="E2404" i="7"/>
  <c r="D2404" i="7"/>
  <c r="AD2403" i="7"/>
  <c r="H2403" i="7"/>
  <c r="G2403" i="7"/>
  <c r="E2403" i="7"/>
  <c r="D2403" i="7"/>
  <c r="AD2402" i="7"/>
  <c r="H2402" i="7"/>
  <c r="G2402" i="7"/>
  <c r="E2402" i="7"/>
  <c r="D2402" i="7"/>
  <c r="I2400" i="7"/>
  <c r="H2400" i="7"/>
  <c r="H2398" i="7"/>
  <c r="G2398" i="7"/>
  <c r="E2398" i="7"/>
  <c r="D2398" i="7"/>
  <c r="B2398" i="7"/>
  <c r="AD2397" i="7"/>
  <c r="H2397" i="7"/>
  <c r="G2397" i="7"/>
  <c r="E2397" i="7"/>
  <c r="D2397" i="7"/>
  <c r="AD2396" i="7"/>
  <c r="H2396" i="7"/>
  <c r="G2396" i="7"/>
  <c r="E2396" i="7"/>
  <c r="D2396" i="7"/>
  <c r="I2394" i="7"/>
  <c r="H2394" i="7"/>
  <c r="H2392" i="7"/>
  <c r="G2392" i="7"/>
  <c r="E2392" i="7"/>
  <c r="D2392" i="7"/>
  <c r="B2392" i="7"/>
  <c r="AD2391" i="7"/>
  <c r="H2391" i="7"/>
  <c r="G2391" i="7"/>
  <c r="E2391" i="7"/>
  <c r="D2391" i="7"/>
  <c r="AD2390" i="7"/>
  <c r="H2390" i="7"/>
  <c r="G2390" i="7"/>
  <c r="E2390" i="7"/>
  <c r="D2390" i="7"/>
  <c r="I2388" i="7"/>
  <c r="H2388" i="7"/>
  <c r="H2386" i="7"/>
  <c r="G2386" i="7"/>
  <c r="E2386" i="7"/>
  <c r="D2386" i="7"/>
  <c r="H2385" i="7"/>
  <c r="G2385" i="7"/>
  <c r="E2385" i="7"/>
  <c r="D2385" i="7"/>
  <c r="AD2384" i="7"/>
  <c r="H2384" i="7"/>
  <c r="G2384" i="7"/>
  <c r="E2384" i="7"/>
  <c r="D2384" i="7"/>
  <c r="AD2383" i="7"/>
  <c r="H2383" i="7"/>
  <c r="G2383" i="7"/>
  <c r="E2383" i="7"/>
  <c r="D2383" i="7"/>
  <c r="AD2382" i="7"/>
  <c r="H2382" i="7"/>
  <c r="G2382" i="7"/>
  <c r="E2382" i="7"/>
  <c r="D2382" i="7"/>
  <c r="I2380" i="7"/>
  <c r="H2380" i="7"/>
  <c r="H2378" i="7"/>
  <c r="G2378" i="7"/>
  <c r="E2378" i="7"/>
  <c r="D2378" i="7"/>
  <c r="B2378" i="7"/>
  <c r="H2377" i="7"/>
  <c r="G2377" i="7"/>
  <c r="E2377" i="7"/>
  <c r="D2377" i="7"/>
  <c r="AD2376" i="7"/>
  <c r="H2376" i="7"/>
  <c r="G2376" i="7"/>
  <c r="E2376" i="7"/>
  <c r="D2376" i="7"/>
  <c r="AD2375" i="7"/>
  <c r="H2375" i="7"/>
  <c r="G2375" i="7"/>
  <c r="E2375" i="7"/>
  <c r="D2375" i="7"/>
  <c r="AD2374" i="7"/>
  <c r="H2374" i="7"/>
  <c r="G2374" i="7"/>
  <c r="E2374" i="7"/>
  <c r="D2374" i="7"/>
  <c r="AD2373" i="7"/>
  <c r="H2373" i="7"/>
  <c r="G2373" i="7"/>
  <c r="E2373" i="7"/>
  <c r="D2373" i="7"/>
  <c r="AD2372" i="7"/>
  <c r="H2372" i="7"/>
  <c r="G2372" i="7"/>
  <c r="E2372" i="7"/>
  <c r="D2372" i="7"/>
  <c r="I2370" i="7"/>
  <c r="H2370" i="7"/>
  <c r="H2368" i="7"/>
  <c r="G2368" i="7"/>
  <c r="E2368" i="7"/>
  <c r="D2368" i="7"/>
  <c r="B2368" i="7"/>
  <c r="AD2367" i="7"/>
  <c r="H2367" i="7"/>
  <c r="G2367" i="7"/>
  <c r="E2367" i="7"/>
  <c r="D2367" i="7"/>
  <c r="AD2366" i="7"/>
  <c r="H2366" i="7"/>
  <c r="G2366" i="7"/>
  <c r="E2366" i="7"/>
  <c r="D2366" i="7"/>
  <c r="I2364" i="7"/>
  <c r="H2364" i="7"/>
  <c r="H2362" i="7"/>
  <c r="G2362" i="7"/>
  <c r="E2362" i="7"/>
  <c r="D2362" i="7"/>
  <c r="B2362" i="7"/>
  <c r="AD2361" i="7"/>
  <c r="H2361" i="7"/>
  <c r="G2361" i="7"/>
  <c r="E2361" i="7"/>
  <c r="D2361" i="7"/>
  <c r="AD2360" i="7"/>
  <c r="H2360" i="7"/>
  <c r="G2360" i="7"/>
  <c r="E2360" i="7"/>
  <c r="D2360" i="7"/>
  <c r="I2358" i="7"/>
  <c r="H2358" i="7"/>
  <c r="H2356" i="7"/>
  <c r="G2356" i="7"/>
  <c r="E2356" i="7"/>
  <c r="D2356" i="7"/>
  <c r="B2356" i="7"/>
  <c r="AD2355" i="7"/>
  <c r="H2355" i="7"/>
  <c r="G2355" i="7"/>
  <c r="E2355" i="7"/>
  <c r="D2355" i="7"/>
  <c r="AD2354" i="7"/>
  <c r="H2354" i="7"/>
  <c r="G2354" i="7"/>
  <c r="E2354" i="7"/>
  <c r="D2354" i="7"/>
  <c r="I2352" i="7"/>
  <c r="H2352" i="7"/>
  <c r="H2350" i="7"/>
  <c r="G2350" i="7"/>
  <c r="E2350" i="7"/>
  <c r="D2350" i="7"/>
  <c r="AD2349" i="7"/>
  <c r="H2349" i="7"/>
  <c r="G2349" i="7"/>
  <c r="E2349" i="7"/>
  <c r="D2349" i="7"/>
  <c r="AD2348" i="7"/>
  <c r="H2348" i="7"/>
  <c r="G2348" i="7"/>
  <c r="E2348" i="7"/>
  <c r="D2348" i="7"/>
  <c r="I2346" i="7"/>
  <c r="H2346" i="7"/>
  <c r="H2344" i="7"/>
  <c r="G2344" i="7"/>
  <c r="E2344" i="7"/>
  <c r="D2344" i="7"/>
  <c r="AD2343" i="7"/>
  <c r="H2343" i="7"/>
  <c r="G2343" i="7"/>
  <c r="E2343" i="7"/>
  <c r="D2343" i="7"/>
  <c r="AD2342" i="7"/>
  <c r="H2342" i="7"/>
  <c r="G2342" i="7"/>
  <c r="E2342" i="7"/>
  <c r="D2342" i="7"/>
  <c r="I2340" i="7"/>
  <c r="H2340" i="7"/>
  <c r="H2338" i="7"/>
  <c r="G2338" i="7"/>
  <c r="E2338" i="7"/>
  <c r="D2338" i="7"/>
  <c r="AD2337" i="7"/>
  <c r="H2337" i="7"/>
  <c r="G2337" i="7"/>
  <c r="E2337" i="7"/>
  <c r="D2337" i="7"/>
  <c r="AD2336" i="7"/>
  <c r="H2336" i="7"/>
  <c r="G2336" i="7"/>
  <c r="E2336" i="7"/>
  <c r="D2336" i="7"/>
  <c r="I2334" i="7"/>
  <c r="H2334" i="7"/>
  <c r="H2332" i="7"/>
  <c r="G2332" i="7"/>
  <c r="E2332" i="7"/>
  <c r="D2332" i="7"/>
  <c r="AD2331" i="7"/>
  <c r="H2331" i="7"/>
  <c r="G2331" i="7"/>
  <c r="E2331" i="7"/>
  <c r="D2331" i="7"/>
  <c r="AD2330" i="7"/>
  <c r="H2330" i="7"/>
  <c r="G2330" i="7"/>
  <c r="E2330" i="7"/>
  <c r="D2330" i="7"/>
  <c r="I2328" i="7"/>
  <c r="H2328" i="7"/>
  <c r="H2326" i="7"/>
  <c r="G2326" i="7"/>
  <c r="E2326" i="7"/>
  <c r="D2326" i="7"/>
  <c r="H2325" i="7"/>
  <c r="G2325" i="7"/>
  <c r="E2325" i="7"/>
  <c r="D2325" i="7"/>
  <c r="H2324" i="7"/>
  <c r="G2324" i="7"/>
  <c r="E2324" i="7"/>
  <c r="D2324" i="7"/>
  <c r="AD2323" i="7"/>
  <c r="H2323" i="7"/>
  <c r="G2323" i="7"/>
  <c r="E2323" i="7"/>
  <c r="D2323" i="7"/>
  <c r="AD2322" i="7"/>
  <c r="H2322" i="7"/>
  <c r="G2322" i="7"/>
  <c r="E2322" i="7"/>
  <c r="D2322" i="7"/>
  <c r="I2320" i="7"/>
  <c r="H2320" i="7"/>
  <c r="H2318" i="7"/>
  <c r="G2318" i="7"/>
  <c r="E2318" i="7"/>
  <c r="D2318" i="7"/>
  <c r="H2317" i="7"/>
  <c r="G2317" i="7"/>
  <c r="E2317" i="7"/>
  <c r="D2317" i="7"/>
  <c r="H2316" i="7"/>
  <c r="G2316" i="7"/>
  <c r="E2316" i="7"/>
  <c r="D2316" i="7"/>
  <c r="AD2315" i="7"/>
  <c r="H2315" i="7"/>
  <c r="G2315" i="7"/>
  <c r="E2315" i="7"/>
  <c r="D2315" i="7"/>
  <c r="AD2314" i="7"/>
  <c r="H2314" i="7"/>
  <c r="G2314" i="7"/>
  <c r="E2314" i="7"/>
  <c r="D2314" i="7"/>
  <c r="I2312" i="7"/>
  <c r="H2312" i="7"/>
  <c r="AE2310" i="7"/>
  <c r="H2310" i="7"/>
  <c r="G2310" i="7"/>
  <c r="E2310" i="7"/>
  <c r="D2310" i="7"/>
  <c r="B2310" i="7"/>
  <c r="H2309" i="7"/>
  <c r="G2309" i="7"/>
  <c r="E2309" i="7"/>
  <c r="D2309" i="7"/>
  <c r="AD2308" i="7"/>
  <c r="H2308" i="7"/>
  <c r="G2308" i="7"/>
  <c r="E2308" i="7"/>
  <c r="D2308" i="7"/>
  <c r="AD2307" i="7"/>
  <c r="H2307" i="7"/>
  <c r="G2307" i="7"/>
  <c r="E2307" i="7"/>
  <c r="D2307" i="7"/>
  <c r="I2305" i="7"/>
  <c r="H2305" i="7"/>
  <c r="H2303" i="7"/>
  <c r="G2303" i="7"/>
  <c r="E2303" i="7"/>
  <c r="D2303" i="7"/>
  <c r="H2302" i="7"/>
  <c r="G2302" i="7"/>
  <c r="E2302" i="7"/>
  <c r="D2302" i="7"/>
  <c r="AD2301" i="7"/>
  <c r="H2301" i="7"/>
  <c r="G2301" i="7"/>
  <c r="E2301" i="7"/>
  <c r="D2301" i="7"/>
  <c r="AD2300" i="7"/>
  <c r="H2300" i="7"/>
  <c r="G2300" i="7"/>
  <c r="E2300" i="7"/>
  <c r="D2300" i="7"/>
  <c r="I2298" i="7"/>
  <c r="H2298" i="7"/>
  <c r="H2296" i="7"/>
  <c r="G2296" i="7"/>
  <c r="E2296" i="7"/>
  <c r="D2296" i="7"/>
  <c r="B2296" i="7"/>
  <c r="AD2295" i="7"/>
  <c r="H2295" i="7"/>
  <c r="G2295" i="7"/>
  <c r="E2295" i="7"/>
  <c r="D2295" i="7"/>
  <c r="AD2294" i="7"/>
  <c r="H2294" i="7"/>
  <c r="G2294" i="7"/>
  <c r="E2294" i="7"/>
  <c r="D2294" i="7"/>
  <c r="I2292" i="7"/>
  <c r="H2292" i="7"/>
  <c r="AF2290" i="7"/>
  <c r="H2290" i="7"/>
  <c r="E2290" i="7"/>
  <c r="D2290" i="7"/>
  <c r="B2290" i="7"/>
  <c r="AD2289" i="7"/>
  <c r="H2289" i="7"/>
  <c r="G2289" i="7"/>
  <c r="E2289" i="7"/>
  <c r="D2289" i="7"/>
  <c r="AD2288" i="7"/>
  <c r="H2288" i="7"/>
  <c r="G2288" i="7"/>
  <c r="E2288" i="7"/>
  <c r="D2288" i="7"/>
  <c r="I2286" i="7"/>
  <c r="H2286" i="7"/>
  <c r="H2284" i="7"/>
  <c r="G2284" i="7"/>
  <c r="E2284" i="7"/>
  <c r="D2284" i="7"/>
  <c r="H2283" i="7"/>
  <c r="G2283" i="7"/>
  <c r="E2283" i="7"/>
  <c r="D2283" i="7"/>
  <c r="AD2282" i="7"/>
  <c r="H2282" i="7"/>
  <c r="G2282" i="7"/>
  <c r="E2282" i="7"/>
  <c r="D2282" i="7"/>
  <c r="AD2281" i="7"/>
  <c r="H2281" i="7"/>
  <c r="G2281" i="7"/>
  <c r="E2281" i="7"/>
  <c r="D2281" i="7"/>
  <c r="I2279" i="7"/>
  <c r="H2279" i="7"/>
  <c r="H2277" i="7"/>
  <c r="G2277" i="7"/>
  <c r="E2277" i="7"/>
  <c r="D2277" i="7"/>
  <c r="H2276" i="7"/>
  <c r="G2276" i="7"/>
  <c r="E2276" i="7"/>
  <c r="D2276" i="7"/>
  <c r="AD2275" i="7"/>
  <c r="H2275" i="7"/>
  <c r="G2275" i="7"/>
  <c r="E2275" i="7"/>
  <c r="D2275" i="7"/>
  <c r="AD2274" i="7"/>
  <c r="H2274" i="7"/>
  <c r="G2274" i="7"/>
  <c r="E2274" i="7"/>
  <c r="D2274" i="7"/>
  <c r="I2272" i="7"/>
  <c r="H2272" i="7"/>
  <c r="H2270" i="7"/>
  <c r="G2270" i="7"/>
  <c r="E2270" i="7"/>
  <c r="D2270" i="7"/>
  <c r="B2270" i="7"/>
  <c r="H2269" i="7"/>
  <c r="G2269" i="7"/>
  <c r="E2269" i="7"/>
  <c r="D2269" i="7"/>
  <c r="B2269" i="7"/>
  <c r="H2268" i="7"/>
  <c r="G2268" i="7"/>
  <c r="E2268" i="7"/>
  <c r="D2268" i="7"/>
  <c r="B2268" i="7"/>
  <c r="H2267" i="7"/>
  <c r="G2267" i="7"/>
  <c r="E2267" i="7"/>
  <c r="D2267" i="7"/>
  <c r="H2266" i="7"/>
  <c r="G2266" i="7"/>
  <c r="E2266" i="7"/>
  <c r="D2266" i="7"/>
  <c r="AD2265" i="7"/>
  <c r="H2265" i="7"/>
  <c r="G2265" i="7"/>
  <c r="E2265" i="7"/>
  <c r="D2265" i="7"/>
  <c r="AD2264" i="7"/>
  <c r="H2264" i="7"/>
  <c r="G2264" i="7"/>
  <c r="E2264" i="7"/>
  <c r="D2264" i="7"/>
  <c r="I2262" i="7"/>
  <c r="H2262" i="7"/>
  <c r="H2260" i="7"/>
  <c r="G2260" i="7"/>
  <c r="E2260" i="7"/>
  <c r="D2260" i="7"/>
  <c r="H2259" i="7"/>
  <c r="G2259" i="7"/>
  <c r="E2259" i="7"/>
  <c r="D2259" i="7"/>
  <c r="H2258" i="7"/>
  <c r="G2258" i="7"/>
  <c r="E2258" i="7"/>
  <c r="D2258" i="7"/>
  <c r="AD2257" i="7"/>
  <c r="H2257" i="7"/>
  <c r="G2257" i="7"/>
  <c r="E2257" i="7"/>
  <c r="D2257" i="7"/>
  <c r="AD2256" i="7"/>
  <c r="H2256" i="7"/>
  <c r="G2256" i="7"/>
  <c r="E2256" i="7"/>
  <c r="D2256" i="7"/>
  <c r="I2254" i="7"/>
  <c r="H2254" i="7"/>
  <c r="H2252" i="7"/>
  <c r="G2252" i="7"/>
  <c r="E2252" i="7"/>
  <c r="D2252" i="7"/>
  <c r="H2251" i="7"/>
  <c r="G2251" i="7"/>
  <c r="E2251" i="7"/>
  <c r="D2251" i="7"/>
  <c r="H2250" i="7"/>
  <c r="G2250" i="7"/>
  <c r="E2250" i="7"/>
  <c r="D2250" i="7"/>
  <c r="AD2249" i="7"/>
  <c r="H2249" i="7"/>
  <c r="G2249" i="7"/>
  <c r="E2249" i="7"/>
  <c r="D2249" i="7"/>
  <c r="AD2248" i="7"/>
  <c r="H2248" i="7"/>
  <c r="G2248" i="7"/>
  <c r="E2248" i="7"/>
  <c r="D2248" i="7"/>
  <c r="I2246" i="7"/>
  <c r="H2246" i="7"/>
  <c r="H2244" i="7"/>
  <c r="G2244" i="7"/>
  <c r="E2244" i="7"/>
  <c r="D2244" i="7"/>
  <c r="H2243" i="7"/>
  <c r="G2243" i="7"/>
  <c r="E2243" i="7"/>
  <c r="D2243" i="7"/>
  <c r="H2242" i="7"/>
  <c r="G2242" i="7"/>
  <c r="E2242" i="7"/>
  <c r="D2242" i="7"/>
  <c r="AD2241" i="7"/>
  <c r="H2241" i="7"/>
  <c r="G2241" i="7"/>
  <c r="E2241" i="7"/>
  <c r="D2241" i="7"/>
  <c r="AD2240" i="7"/>
  <c r="H2240" i="7"/>
  <c r="G2240" i="7"/>
  <c r="E2240" i="7"/>
  <c r="D2240" i="7"/>
  <c r="I2238" i="7"/>
  <c r="H2238" i="7"/>
  <c r="H2236" i="7"/>
  <c r="G2236" i="7"/>
  <c r="E2236" i="7"/>
  <c r="D2236" i="7"/>
  <c r="H2235" i="7"/>
  <c r="G2235" i="7"/>
  <c r="E2235" i="7"/>
  <c r="D2235" i="7"/>
  <c r="AD2234" i="7"/>
  <c r="H2234" i="7"/>
  <c r="G2234" i="7"/>
  <c r="E2234" i="7"/>
  <c r="D2234" i="7"/>
  <c r="AD2233" i="7"/>
  <c r="H2233" i="7"/>
  <c r="G2233" i="7"/>
  <c r="E2233" i="7"/>
  <c r="D2233" i="7"/>
  <c r="I2231" i="7"/>
  <c r="H2231" i="7"/>
  <c r="H2229" i="7"/>
  <c r="G2229" i="7"/>
  <c r="E2229" i="7"/>
  <c r="D2229" i="7"/>
  <c r="H2228" i="7"/>
  <c r="G2228" i="7"/>
  <c r="E2228" i="7"/>
  <c r="D2228" i="7"/>
  <c r="AD2227" i="7"/>
  <c r="H2227" i="7"/>
  <c r="G2227" i="7"/>
  <c r="E2227" i="7"/>
  <c r="D2227" i="7"/>
  <c r="AD2226" i="7"/>
  <c r="H2226" i="7"/>
  <c r="G2226" i="7"/>
  <c r="E2226" i="7"/>
  <c r="D2226" i="7"/>
  <c r="I2224" i="7"/>
  <c r="H2224" i="7"/>
  <c r="H2222" i="7"/>
  <c r="G2222" i="7"/>
  <c r="E2222" i="7"/>
  <c r="D2222" i="7"/>
  <c r="H2221" i="7"/>
  <c r="G2221" i="7"/>
  <c r="E2221" i="7"/>
  <c r="D2221" i="7"/>
  <c r="AD2220" i="7"/>
  <c r="H2220" i="7"/>
  <c r="G2220" i="7"/>
  <c r="E2220" i="7"/>
  <c r="D2220" i="7"/>
  <c r="AD2219" i="7"/>
  <c r="H2219" i="7"/>
  <c r="G2219" i="7"/>
  <c r="E2219" i="7"/>
  <c r="D2219" i="7"/>
  <c r="I2217" i="7"/>
  <c r="H2217" i="7"/>
  <c r="H2215" i="7"/>
  <c r="G2215" i="7"/>
  <c r="E2215" i="7"/>
  <c r="D2215" i="7"/>
  <c r="H2214" i="7"/>
  <c r="G2214" i="7"/>
  <c r="E2214" i="7"/>
  <c r="D2214" i="7"/>
  <c r="H2213" i="7"/>
  <c r="G2213" i="7"/>
  <c r="E2213" i="7"/>
  <c r="D2213" i="7"/>
  <c r="H2212" i="7"/>
  <c r="G2212" i="7"/>
  <c r="E2212" i="7"/>
  <c r="D2212" i="7"/>
  <c r="AD2211" i="7"/>
  <c r="H2211" i="7"/>
  <c r="G2211" i="7"/>
  <c r="E2211" i="7"/>
  <c r="D2211" i="7"/>
  <c r="AD2210" i="7"/>
  <c r="H2210" i="7"/>
  <c r="G2210" i="7"/>
  <c r="E2210" i="7"/>
  <c r="D2210" i="7"/>
  <c r="I2208" i="7"/>
  <c r="H2208" i="7"/>
  <c r="H2206" i="7"/>
  <c r="G2206" i="7"/>
  <c r="E2206" i="7"/>
  <c r="D2206" i="7"/>
  <c r="B2206" i="7"/>
  <c r="H2205" i="7"/>
  <c r="G2205" i="7"/>
  <c r="E2205" i="7"/>
  <c r="D2205" i="7"/>
  <c r="B2205" i="7"/>
  <c r="H2204" i="7"/>
  <c r="G2204" i="7"/>
  <c r="E2204" i="7"/>
  <c r="D2204" i="7"/>
  <c r="B2204" i="7"/>
  <c r="H2203" i="7"/>
  <c r="G2203" i="7"/>
  <c r="E2203" i="7"/>
  <c r="D2203" i="7"/>
  <c r="B2203" i="7"/>
  <c r="H2202" i="7"/>
  <c r="G2202" i="7"/>
  <c r="E2202" i="7"/>
  <c r="D2202" i="7"/>
  <c r="B2202" i="7"/>
  <c r="H2201" i="7"/>
  <c r="G2201" i="7"/>
  <c r="E2201" i="7"/>
  <c r="D2201" i="7"/>
  <c r="AD2200" i="7"/>
  <c r="H2200" i="7"/>
  <c r="G2200" i="7"/>
  <c r="E2200" i="7"/>
  <c r="D2200" i="7"/>
  <c r="AD2199" i="7"/>
  <c r="H2199" i="7"/>
  <c r="G2199" i="7"/>
  <c r="E2199" i="7"/>
  <c r="D2199" i="7"/>
  <c r="I2197" i="7"/>
  <c r="H2197" i="7"/>
  <c r="H2195" i="7"/>
  <c r="G2195" i="7"/>
  <c r="E2195" i="7"/>
  <c r="D2195" i="7"/>
  <c r="H2194" i="7"/>
  <c r="G2194" i="7"/>
  <c r="E2194" i="7"/>
  <c r="D2194" i="7"/>
  <c r="AD2193" i="7"/>
  <c r="H2193" i="7"/>
  <c r="G2193" i="7"/>
  <c r="E2193" i="7"/>
  <c r="D2193" i="7"/>
  <c r="AD2192" i="7"/>
  <c r="H2192" i="7"/>
  <c r="G2192" i="7"/>
  <c r="E2192" i="7"/>
  <c r="D2192" i="7"/>
  <c r="I2190" i="7"/>
  <c r="H2190" i="7"/>
  <c r="H2187" i="7"/>
  <c r="G2187" i="7"/>
  <c r="E2187" i="7"/>
  <c r="D2187" i="7"/>
  <c r="B2187" i="7"/>
  <c r="H2186" i="7"/>
  <c r="G2186" i="7"/>
  <c r="E2186" i="7"/>
  <c r="D2186" i="7"/>
  <c r="AD2185" i="7"/>
  <c r="H2185" i="7"/>
  <c r="G2185" i="7"/>
  <c r="E2185" i="7"/>
  <c r="D2185" i="7"/>
  <c r="AD2184" i="7"/>
  <c r="H2184" i="7"/>
  <c r="G2184" i="7"/>
  <c r="E2184" i="7"/>
  <c r="D2184" i="7"/>
  <c r="I2182" i="7"/>
  <c r="H2182" i="7"/>
  <c r="H2180" i="7"/>
  <c r="G2180" i="7"/>
  <c r="E2180" i="7"/>
  <c r="D2180" i="7"/>
  <c r="AD2179" i="7"/>
  <c r="H2179" i="7"/>
  <c r="G2179" i="7"/>
  <c r="E2179" i="7"/>
  <c r="D2179" i="7"/>
  <c r="AD2178" i="7"/>
  <c r="H2178" i="7"/>
  <c r="G2178" i="7"/>
  <c r="E2178" i="7"/>
  <c r="D2178" i="7"/>
  <c r="I2176" i="7"/>
  <c r="H2176" i="7"/>
  <c r="H2174" i="7"/>
  <c r="G2174" i="7"/>
  <c r="E2174" i="7"/>
  <c r="D2174" i="7"/>
  <c r="B2174" i="7"/>
  <c r="AD2173" i="7"/>
  <c r="H2173" i="7"/>
  <c r="G2173" i="7"/>
  <c r="E2173" i="7"/>
  <c r="D2173" i="7"/>
  <c r="AD2172" i="7"/>
  <c r="H2172" i="7"/>
  <c r="G2172" i="7"/>
  <c r="E2172" i="7"/>
  <c r="D2172" i="7"/>
  <c r="I2170" i="7"/>
  <c r="H2170" i="7"/>
  <c r="H2168" i="7"/>
  <c r="G2168" i="7"/>
  <c r="E2168" i="7"/>
  <c r="D2168" i="7"/>
  <c r="B2168" i="7"/>
  <c r="AD2167" i="7"/>
  <c r="H2167" i="7"/>
  <c r="G2167" i="7"/>
  <c r="E2167" i="7"/>
  <c r="D2167" i="7"/>
  <c r="AD2166" i="7"/>
  <c r="H2166" i="7"/>
  <c r="G2166" i="7"/>
  <c r="E2166" i="7"/>
  <c r="D2166" i="7"/>
  <c r="I2164" i="7"/>
  <c r="H2164" i="7"/>
  <c r="H2162" i="7"/>
  <c r="G2162" i="7"/>
  <c r="E2162" i="7"/>
  <c r="D2162" i="7"/>
  <c r="B2162" i="7"/>
  <c r="AD2161" i="7"/>
  <c r="H2161" i="7"/>
  <c r="G2161" i="7"/>
  <c r="E2161" i="7"/>
  <c r="D2161" i="7"/>
  <c r="AD2160" i="7"/>
  <c r="H2160" i="7"/>
  <c r="G2160" i="7"/>
  <c r="E2160" i="7"/>
  <c r="D2160" i="7"/>
  <c r="I2158" i="7"/>
  <c r="H2158" i="7"/>
  <c r="H2156" i="7"/>
  <c r="E2156" i="7"/>
  <c r="D2156" i="7"/>
  <c r="AD2155" i="7"/>
  <c r="H2155" i="7"/>
  <c r="G2155" i="7"/>
  <c r="E2155" i="7"/>
  <c r="D2155" i="7"/>
  <c r="AD2154" i="7"/>
  <c r="H2154" i="7"/>
  <c r="G2154" i="7"/>
  <c r="E2154" i="7"/>
  <c r="D2154" i="7"/>
  <c r="I2152" i="7"/>
  <c r="H2152" i="7"/>
  <c r="H2150" i="7"/>
  <c r="G2150" i="7"/>
  <c r="E2150" i="7"/>
  <c r="D2150" i="7"/>
  <c r="H2149" i="7"/>
  <c r="G2149" i="7"/>
  <c r="E2149" i="7"/>
  <c r="D2149" i="7"/>
  <c r="AD2148" i="7"/>
  <c r="H2148" i="7"/>
  <c r="G2148" i="7"/>
  <c r="E2148" i="7"/>
  <c r="D2148" i="7"/>
  <c r="AD2147" i="7"/>
  <c r="H2147" i="7"/>
  <c r="G2147" i="7"/>
  <c r="E2147" i="7"/>
  <c r="D2147" i="7"/>
  <c r="I2145" i="7"/>
  <c r="H2145" i="7"/>
  <c r="H2143" i="7"/>
  <c r="G2143" i="7"/>
  <c r="E2143" i="7"/>
  <c r="D2143" i="7"/>
  <c r="H2142" i="7"/>
  <c r="G2142" i="7"/>
  <c r="E2142" i="7"/>
  <c r="D2142" i="7"/>
  <c r="AD2141" i="7"/>
  <c r="H2141" i="7"/>
  <c r="G2141" i="7"/>
  <c r="E2141" i="7"/>
  <c r="D2141" i="7"/>
  <c r="AD2140" i="7"/>
  <c r="H2140" i="7"/>
  <c r="G2140" i="7"/>
  <c r="E2140" i="7"/>
  <c r="D2140" i="7"/>
  <c r="I2138" i="7"/>
  <c r="H2138" i="7"/>
  <c r="H2136" i="7"/>
  <c r="G2136" i="7"/>
  <c r="E2136" i="7"/>
  <c r="D2136" i="7"/>
  <c r="H2135" i="7"/>
  <c r="G2135" i="7"/>
  <c r="E2135" i="7"/>
  <c r="D2135" i="7"/>
  <c r="AD2134" i="7"/>
  <c r="H2134" i="7"/>
  <c r="G2134" i="7"/>
  <c r="E2134" i="7"/>
  <c r="D2134" i="7"/>
  <c r="AD2133" i="7"/>
  <c r="H2133" i="7"/>
  <c r="G2133" i="7"/>
  <c r="E2133" i="7"/>
  <c r="D2133" i="7"/>
  <c r="I2131" i="7"/>
  <c r="H2131" i="7"/>
  <c r="H2129" i="7"/>
  <c r="G2129" i="7"/>
  <c r="E2129" i="7"/>
  <c r="D2129" i="7"/>
  <c r="H2128" i="7"/>
  <c r="G2128" i="7"/>
  <c r="E2128" i="7"/>
  <c r="D2128" i="7"/>
  <c r="AD2127" i="7"/>
  <c r="H2127" i="7"/>
  <c r="G2127" i="7"/>
  <c r="E2127" i="7"/>
  <c r="D2127" i="7"/>
  <c r="AD2126" i="7"/>
  <c r="H2126" i="7"/>
  <c r="G2126" i="7"/>
  <c r="E2126" i="7"/>
  <c r="D2126" i="7"/>
  <c r="I2124" i="7"/>
  <c r="H2124" i="7"/>
  <c r="H2122" i="7"/>
  <c r="G2122" i="7"/>
  <c r="E2122" i="7"/>
  <c r="D2122" i="7"/>
  <c r="H2121" i="7"/>
  <c r="G2121" i="7"/>
  <c r="E2121" i="7"/>
  <c r="D2121" i="7"/>
  <c r="AD2120" i="7"/>
  <c r="H2120" i="7"/>
  <c r="G2120" i="7"/>
  <c r="E2120" i="7"/>
  <c r="D2120" i="7"/>
  <c r="AD2119" i="7"/>
  <c r="H2119" i="7"/>
  <c r="G2119" i="7"/>
  <c r="E2119" i="7"/>
  <c r="D2119" i="7"/>
  <c r="I2117" i="7"/>
  <c r="H2117" i="7"/>
  <c r="H2115" i="7"/>
  <c r="G2115" i="7"/>
  <c r="E2115" i="7"/>
  <c r="D2115" i="7"/>
  <c r="H2114" i="7"/>
  <c r="G2114" i="7"/>
  <c r="E2114" i="7"/>
  <c r="D2114" i="7"/>
  <c r="AD2113" i="7"/>
  <c r="H2113" i="7"/>
  <c r="G2113" i="7"/>
  <c r="E2113" i="7"/>
  <c r="D2113" i="7"/>
  <c r="AD2112" i="7"/>
  <c r="H2112" i="7"/>
  <c r="G2112" i="7"/>
  <c r="E2112" i="7"/>
  <c r="D2112" i="7"/>
  <c r="I2110" i="7"/>
  <c r="H2110" i="7"/>
  <c r="H2108" i="7"/>
  <c r="G2108" i="7"/>
  <c r="E2108" i="7"/>
  <c r="D2108" i="7"/>
  <c r="H2107" i="7"/>
  <c r="G2107" i="7"/>
  <c r="E2107" i="7"/>
  <c r="D2107" i="7"/>
  <c r="AD2106" i="7"/>
  <c r="H2106" i="7"/>
  <c r="G2106" i="7"/>
  <c r="E2106" i="7"/>
  <c r="D2106" i="7"/>
  <c r="AD2105" i="7"/>
  <c r="H2105" i="7"/>
  <c r="G2105" i="7"/>
  <c r="E2105" i="7"/>
  <c r="D2105" i="7"/>
  <c r="I2103" i="7"/>
  <c r="H2103" i="7"/>
  <c r="H2101" i="7"/>
  <c r="G2101" i="7"/>
  <c r="E2101" i="7"/>
  <c r="D2101" i="7"/>
  <c r="H2100" i="7"/>
  <c r="G2100" i="7"/>
  <c r="E2100" i="7"/>
  <c r="D2100" i="7"/>
  <c r="H2099" i="7"/>
  <c r="G2099" i="7"/>
  <c r="E2099" i="7"/>
  <c r="D2099" i="7"/>
  <c r="AD2098" i="7"/>
  <c r="H2098" i="7"/>
  <c r="G2098" i="7"/>
  <c r="E2098" i="7"/>
  <c r="D2098" i="7"/>
  <c r="AD2097" i="7"/>
  <c r="H2097" i="7"/>
  <c r="G2097" i="7"/>
  <c r="E2097" i="7"/>
  <c r="D2097" i="7"/>
  <c r="I2095" i="7"/>
  <c r="H2095" i="7"/>
  <c r="H2093" i="7"/>
  <c r="G2093" i="7"/>
  <c r="E2093" i="7"/>
  <c r="D2093" i="7"/>
  <c r="H2092" i="7"/>
  <c r="G2092" i="7"/>
  <c r="E2092" i="7"/>
  <c r="D2092" i="7"/>
  <c r="H2091" i="7"/>
  <c r="G2091" i="7"/>
  <c r="E2091" i="7"/>
  <c r="D2091" i="7"/>
  <c r="AD2090" i="7"/>
  <c r="H2090" i="7"/>
  <c r="G2090" i="7"/>
  <c r="E2090" i="7"/>
  <c r="D2090" i="7"/>
  <c r="AD2089" i="7"/>
  <c r="H2089" i="7"/>
  <c r="G2089" i="7"/>
  <c r="E2089" i="7"/>
  <c r="D2089" i="7"/>
  <c r="I2087" i="7"/>
  <c r="H2087" i="7"/>
  <c r="H2085" i="7"/>
  <c r="G2085" i="7"/>
  <c r="E2085" i="7"/>
  <c r="D2085" i="7"/>
  <c r="AD2084" i="7"/>
  <c r="H2084" i="7"/>
  <c r="G2084" i="7"/>
  <c r="E2084" i="7"/>
  <c r="D2084" i="7"/>
  <c r="AD2083" i="7"/>
  <c r="H2083" i="7"/>
  <c r="G2083" i="7"/>
  <c r="E2083" i="7"/>
  <c r="D2083" i="7"/>
  <c r="I2081" i="7"/>
  <c r="H2081" i="7"/>
  <c r="H2079" i="7"/>
  <c r="G2079" i="7"/>
  <c r="E2079" i="7"/>
  <c r="D2079" i="7"/>
  <c r="AD2078" i="7"/>
  <c r="H2078" i="7"/>
  <c r="G2078" i="7"/>
  <c r="E2078" i="7"/>
  <c r="D2078" i="7"/>
  <c r="AD2077" i="7"/>
  <c r="H2077" i="7"/>
  <c r="G2077" i="7"/>
  <c r="E2077" i="7"/>
  <c r="D2077" i="7"/>
  <c r="I2075" i="7"/>
  <c r="H2075" i="7"/>
  <c r="H2073" i="7"/>
  <c r="G2073" i="7"/>
  <c r="E2073" i="7"/>
  <c r="D2073" i="7"/>
  <c r="AD2072" i="7"/>
  <c r="H2072" i="7"/>
  <c r="G2072" i="7"/>
  <c r="E2072" i="7"/>
  <c r="D2072" i="7"/>
  <c r="AD2071" i="7"/>
  <c r="H2071" i="7"/>
  <c r="G2071" i="7"/>
  <c r="E2071" i="7"/>
  <c r="D2071" i="7"/>
  <c r="I2069" i="7"/>
  <c r="H2069" i="7"/>
  <c r="H2067" i="7"/>
  <c r="G2067" i="7"/>
  <c r="E2067" i="7"/>
  <c r="D2067" i="7"/>
  <c r="H2066" i="7"/>
  <c r="G2066" i="7"/>
  <c r="E2066" i="7"/>
  <c r="D2066" i="7"/>
  <c r="H2065" i="7"/>
  <c r="G2065" i="7"/>
  <c r="E2065" i="7"/>
  <c r="D2065" i="7"/>
  <c r="AD2064" i="7"/>
  <c r="H2064" i="7"/>
  <c r="G2064" i="7"/>
  <c r="E2064" i="7"/>
  <c r="D2064" i="7"/>
  <c r="AD2063" i="7"/>
  <c r="H2063" i="7"/>
  <c r="G2063" i="7"/>
  <c r="E2063" i="7"/>
  <c r="D2063" i="7"/>
  <c r="I2061" i="7"/>
  <c r="H2061" i="7"/>
  <c r="H2059" i="7"/>
  <c r="G2059" i="7"/>
  <c r="E2059" i="7"/>
  <c r="D2059" i="7"/>
  <c r="H2058" i="7"/>
  <c r="G2058" i="7"/>
  <c r="E2058" i="7"/>
  <c r="D2058" i="7"/>
  <c r="AD2057" i="7"/>
  <c r="H2057" i="7"/>
  <c r="G2057" i="7"/>
  <c r="E2057" i="7"/>
  <c r="D2057" i="7"/>
  <c r="AD2056" i="7"/>
  <c r="H2056" i="7"/>
  <c r="G2056" i="7"/>
  <c r="E2056" i="7"/>
  <c r="D2056" i="7"/>
  <c r="I2054" i="7"/>
  <c r="H2054" i="7"/>
  <c r="H2052" i="7"/>
  <c r="G2052" i="7"/>
  <c r="E2052" i="7"/>
  <c r="D2052" i="7"/>
  <c r="B2052" i="7"/>
  <c r="AD2051" i="7"/>
  <c r="H2051" i="7"/>
  <c r="G2051" i="7"/>
  <c r="E2051" i="7"/>
  <c r="D2051" i="7"/>
  <c r="AD2050" i="7"/>
  <c r="H2050" i="7"/>
  <c r="G2050" i="7"/>
  <c r="E2050" i="7"/>
  <c r="D2050" i="7"/>
  <c r="I2048" i="7"/>
  <c r="H2048" i="7"/>
  <c r="H2046" i="7"/>
  <c r="G2046" i="7"/>
  <c r="E2046" i="7"/>
  <c r="D2046" i="7"/>
  <c r="B2046" i="7"/>
  <c r="H2045" i="7"/>
  <c r="G2045" i="7"/>
  <c r="E2045" i="7"/>
  <c r="D2045" i="7"/>
  <c r="AD2044" i="7"/>
  <c r="H2044" i="7"/>
  <c r="G2044" i="7"/>
  <c r="E2044" i="7"/>
  <c r="D2044" i="7"/>
  <c r="AD2043" i="7"/>
  <c r="H2043" i="7"/>
  <c r="G2043" i="7"/>
  <c r="E2043" i="7"/>
  <c r="D2043" i="7"/>
  <c r="I2041" i="7"/>
  <c r="H2041" i="7"/>
  <c r="H2039" i="7"/>
  <c r="G2039" i="7"/>
  <c r="E2039" i="7"/>
  <c r="D2039" i="7"/>
  <c r="B2039" i="7"/>
  <c r="AD2038" i="7"/>
  <c r="H2038" i="7"/>
  <c r="G2038" i="7"/>
  <c r="E2038" i="7"/>
  <c r="D2038" i="7"/>
  <c r="AD2037" i="7"/>
  <c r="H2037" i="7"/>
  <c r="G2037" i="7"/>
  <c r="E2037" i="7"/>
  <c r="D2037" i="7"/>
  <c r="I2035" i="7"/>
  <c r="H2035" i="7"/>
  <c r="H2033" i="7"/>
  <c r="G2033" i="7"/>
  <c r="E2033" i="7"/>
  <c r="D2033" i="7"/>
  <c r="AD2032" i="7"/>
  <c r="H2032" i="7"/>
  <c r="G2032" i="7"/>
  <c r="E2032" i="7"/>
  <c r="D2032" i="7"/>
  <c r="I2030" i="7"/>
  <c r="H2030" i="7"/>
  <c r="H2028" i="7"/>
  <c r="G2028" i="7"/>
  <c r="E2028" i="7"/>
  <c r="D2028" i="7"/>
  <c r="B2028" i="7"/>
  <c r="AD2027" i="7"/>
  <c r="H2027" i="7"/>
  <c r="G2027" i="7"/>
  <c r="E2027" i="7"/>
  <c r="D2027" i="7"/>
  <c r="I2025" i="7"/>
  <c r="H2025" i="7"/>
  <c r="H2023" i="7"/>
  <c r="G2023" i="7"/>
  <c r="E2023" i="7"/>
  <c r="D2023" i="7"/>
  <c r="AD2022" i="7"/>
  <c r="H2022" i="7"/>
  <c r="G2022" i="7"/>
  <c r="E2022" i="7"/>
  <c r="D2022" i="7"/>
  <c r="AD2021" i="7"/>
  <c r="H2021" i="7"/>
  <c r="G2021" i="7"/>
  <c r="E2021" i="7"/>
  <c r="D2021" i="7"/>
  <c r="I2019" i="7"/>
  <c r="H2019" i="7"/>
  <c r="H2017" i="7"/>
  <c r="G2017" i="7"/>
  <c r="E2017" i="7"/>
  <c r="D2017" i="7"/>
  <c r="AD2016" i="7"/>
  <c r="H2016" i="7"/>
  <c r="G2016" i="7"/>
  <c r="E2016" i="7"/>
  <c r="D2016" i="7"/>
  <c r="AD2015" i="7"/>
  <c r="H2015" i="7"/>
  <c r="G2015" i="7"/>
  <c r="E2015" i="7"/>
  <c r="D2015" i="7"/>
  <c r="I2013" i="7"/>
  <c r="H2013" i="7"/>
  <c r="H2011" i="7"/>
  <c r="G2011" i="7"/>
  <c r="E2011" i="7"/>
  <c r="D2011" i="7"/>
  <c r="AD2010" i="7"/>
  <c r="H2010" i="7"/>
  <c r="G2010" i="7"/>
  <c r="E2010" i="7"/>
  <c r="D2010" i="7"/>
  <c r="AD2009" i="7"/>
  <c r="H2009" i="7"/>
  <c r="G2009" i="7"/>
  <c r="E2009" i="7"/>
  <c r="D2009" i="7"/>
  <c r="I2007" i="7"/>
  <c r="H2007" i="7"/>
  <c r="H2005" i="7"/>
  <c r="G2005" i="7"/>
  <c r="E2005" i="7"/>
  <c r="D2005" i="7"/>
  <c r="B2005" i="7"/>
  <c r="AD2004" i="7"/>
  <c r="H2004" i="7"/>
  <c r="G2004" i="7"/>
  <c r="E2004" i="7"/>
  <c r="D2004" i="7"/>
  <c r="AD2003" i="7"/>
  <c r="H2003" i="7"/>
  <c r="G2003" i="7"/>
  <c r="E2003" i="7"/>
  <c r="D2003" i="7"/>
  <c r="I2001" i="7"/>
  <c r="H2001" i="7"/>
  <c r="H1999" i="7"/>
  <c r="G1999" i="7"/>
  <c r="E1999" i="7"/>
  <c r="D1999" i="7"/>
  <c r="B1999" i="7"/>
  <c r="H1998" i="7"/>
  <c r="G1998" i="7"/>
  <c r="E1998" i="7"/>
  <c r="D1998" i="7"/>
  <c r="H1997" i="7"/>
  <c r="G1997" i="7"/>
  <c r="E1997" i="7"/>
  <c r="D1997" i="7"/>
  <c r="AD1996" i="7"/>
  <c r="H1996" i="7"/>
  <c r="G1996" i="7"/>
  <c r="E1996" i="7"/>
  <c r="D1996" i="7"/>
  <c r="AD1995" i="7"/>
  <c r="H1995" i="7"/>
  <c r="G1995" i="7"/>
  <c r="E1995" i="7"/>
  <c r="D1995" i="7"/>
  <c r="I1993" i="7"/>
  <c r="H1993" i="7"/>
  <c r="H1991" i="7"/>
  <c r="G1991" i="7"/>
  <c r="E1991" i="7"/>
  <c r="D1991" i="7"/>
  <c r="H1990" i="7"/>
  <c r="G1990" i="7"/>
  <c r="E1990" i="7"/>
  <c r="D1990" i="7"/>
  <c r="AD1989" i="7"/>
  <c r="H1989" i="7"/>
  <c r="G1989" i="7"/>
  <c r="E1989" i="7"/>
  <c r="D1989" i="7"/>
  <c r="AD1988" i="7"/>
  <c r="H1988" i="7"/>
  <c r="G1988" i="7"/>
  <c r="E1988" i="7"/>
  <c r="D1988" i="7"/>
  <c r="I1986" i="7"/>
  <c r="H1986" i="7"/>
  <c r="H1984" i="7"/>
  <c r="G1984" i="7"/>
  <c r="E1984" i="7"/>
  <c r="D1984" i="7"/>
  <c r="B1984" i="7"/>
  <c r="H1983" i="7"/>
  <c r="G1983" i="7"/>
  <c r="E1983" i="7"/>
  <c r="D1983" i="7"/>
  <c r="B1983" i="7"/>
  <c r="H1982" i="7"/>
  <c r="G1982" i="7"/>
  <c r="E1982" i="7"/>
  <c r="D1982" i="7"/>
  <c r="B1982" i="7"/>
  <c r="H1981" i="7"/>
  <c r="G1981" i="7"/>
  <c r="E1981" i="7"/>
  <c r="D1981" i="7"/>
  <c r="H1980" i="7"/>
  <c r="G1980" i="7"/>
  <c r="E1980" i="7"/>
  <c r="D1980" i="7"/>
  <c r="AD1979" i="7"/>
  <c r="H1979" i="7"/>
  <c r="G1979" i="7"/>
  <c r="E1979" i="7"/>
  <c r="D1979" i="7"/>
  <c r="AD1978" i="7"/>
  <c r="H1978" i="7"/>
  <c r="G1978" i="7"/>
  <c r="E1978" i="7"/>
  <c r="D1978" i="7"/>
  <c r="I1976" i="7"/>
  <c r="H1976" i="7"/>
  <c r="H1974" i="7"/>
  <c r="G1974" i="7"/>
  <c r="E1974" i="7"/>
  <c r="D1974" i="7"/>
  <c r="B1974" i="7"/>
  <c r="H1973" i="7"/>
  <c r="G1973" i="7"/>
  <c r="E1973" i="7"/>
  <c r="D1973" i="7"/>
  <c r="H1972" i="7"/>
  <c r="G1972" i="7"/>
  <c r="E1972" i="7"/>
  <c r="D1972" i="7"/>
  <c r="AD1971" i="7"/>
  <c r="H1971" i="7"/>
  <c r="G1971" i="7"/>
  <c r="E1971" i="7"/>
  <c r="D1971" i="7"/>
  <c r="AD1970" i="7"/>
  <c r="H1970" i="7"/>
  <c r="G1970" i="7"/>
  <c r="E1970" i="7"/>
  <c r="D1970" i="7"/>
  <c r="I1968" i="7"/>
  <c r="H1968" i="7"/>
  <c r="H1966" i="7"/>
  <c r="G1966" i="7"/>
  <c r="E1966" i="7"/>
  <c r="D1966" i="7"/>
  <c r="B1966" i="7"/>
  <c r="AD1965" i="7"/>
  <c r="H1965" i="7"/>
  <c r="G1965" i="7"/>
  <c r="E1965" i="7"/>
  <c r="D1965" i="7"/>
  <c r="AD1964" i="7"/>
  <c r="H1964" i="7"/>
  <c r="G1964" i="7"/>
  <c r="E1964" i="7"/>
  <c r="D1964" i="7"/>
  <c r="I1962" i="7"/>
  <c r="H1962" i="7"/>
  <c r="H1960" i="7"/>
  <c r="G1960" i="7"/>
  <c r="E1960" i="7"/>
  <c r="D1960" i="7"/>
  <c r="B1960" i="7"/>
  <c r="AD1959" i="7"/>
  <c r="H1959" i="7"/>
  <c r="G1959" i="7"/>
  <c r="E1959" i="7"/>
  <c r="D1959" i="7"/>
  <c r="AD1958" i="7"/>
  <c r="H1958" i="7"/>
  <c r="G1958" i="7"/>
  <c r="E1958" i="7"/>
  <c r="D1958" i="7"/>
  <c r="I1956" i="7"/>
  <c r="H1956" i="7"/>
  <c r="H1954" i="7"/>
  <c r="G1954" i="7"/>
  <c r="E1954" i="7"/>
  <c r="D1954" i="7"/>
  <c r="B1954" i="7"/>
  <c r="H1953" i="7"/>
  <c r="G1953" i="7"/>
  <c r="E1953" i="7"/>
  <c r="D1953" i="7"/>
  <c r="B1953" i="7"/>
  <c r="H1952" i="7"/>
  <c r="G1952" i="7"/>
  <c r="E1952" i="7"/>
  <c r="D1952" i="7"/>
  <c r="B1952" i="7"/>
  <c r="H1951" i="7"/>
  <c r="G1951" i="7"/>
  <c r="E1951" i="7"/>
  <c r="D1951" i="7"/>
  <c r="B1951" i="7"/>
  <c r="H1950" i="7"/>
  <c r="G1950" i="7"/>
  <c r="E1950" i="7"/>
  <c r="D1950" i="7"/>
  <c r="AD1949" i="7"/>
  <c r="H1949" i="7"/>
  <c r="G1949" i="7"/>
  <c r="E1949" i="7"/>
  <c r="D1949" i="7"/>
  <c r="AD1948" i="7"/>
  <c r="H1948" i="7"/>
  <c r="G1948" i="7"/>
  <c r="E1948" i="7"/>
  <c r="D1948" i="7"/>
  <c r="I1946" i="7"/>
  <c r="H1946" i="7"/>
  <c r="H1944" i="7"/>
  <c r="G1944" i="7"/>
  <c r="E1944" i="7"/>
  <c r="D1944" i="7"/>
  <c r="B1944" i="7"/>
  <c r="AD1943" i="7"/>
  <c r="H1943" i="7"/>
  <c r="G1943" i="7"/>
  <c r="E1943" i="7"/>
  <c r="D1943" i="7"/>
  <c r="AD1942" i="7"/>
  <c r="H1942" i="7"/>
  <c r="G1942" i="7"/>
  <c r="E1942" i="7"/>
  <c r="D1942" i="7"/>
  <c r="I1940" i="7"/>
  <c r="H1940" i="7"/>
  <c r="H1938" i="7"/>
  <c r="G1938" i="7"/>
  <c r="E1938" i="7"/>
  <c r="D1938" i="7"/>
  <c r="B1938" i="7"/>
  <c r="AD1937" i="7"/>
  <c r="H1937" i="7"/>
  <c r="G1937" i="7"/>
  <c r="E1937" i="7"/>
  <c r="D1937" i="7"/>
  <c r="AD1936" i="7"/>
  <c r="H1936" i="7"/>
  <c r="G1936" i="7"/>
  <c r="E1936" i="7"/>
  <c r="D1936" i="7"/>
  <c r="I1934" i="7"/>
  <c r="H1934" i="7"/>
  <c r="H1932" i="7"/>
  <c r="G1932" i="7"/>
  <c r="E1932" i="7"/>
  <c r="D1932" i="7"/>
  <c r="B1932" i="7"/>
  <c r="AD1931" i="7"/>
  <c r="H1931" i="7"/>
  <c r="G1931" i="7"/>
  <c r="E1931" i="7"/>
  <c r="D1931" i="7"/>
  <c r="AD1930" i="7"/>
  <c r="H1930" i="7"/>
  <c r="G1930" i="7"/>
  <c r="E1930" i="7"/>
  <c r="D1930" i="7"/>
  <c r="I1928" i="7"/>
  <c r="H1928" i="7"/>
  <c r="H1926" i="7"/>
  <c r="G1926" i="7"/>
  <c r="E1926" i="7"/>
  <c r="D1926" i="7"/>
  <c r="B1926" i="7"/>
  <c r="AD1925" i="7"/>
  <c r="H1925" i="7"/>
  <c r="G1925" i="7"/>
  <c r="E1925" i="7"/>
  <c r="D1925" i="7"/>
  <c r="AD1924" i="7"/>
  <c r="H1924" i="7"/>
  <c r="G1924" i="7"/>
  <c r="E1924" i="7"/>
  <c r="D1924" i="7"/>
  <c r="I1922" i="7"/>
  <c r="H1922" i="7"/>
  <c r="H1920" i="7"/>
  <c r="G1920" i="7"/>
  <c r="E1920" i="7"/>
  <c r="D1920" i="7"/>
  <c r="AD1919" i="7"/>
  <c r="H1919" i="7"/>
  <c r="G1919" i="7"/>
  <c r="E1919" i="7"/>
  <c r="D1919" i="7"/>
  <c r="AD1918" i="7"/>
  <c r="H1918" i="7"/>
  <c r="G1918" i="7"/>
  <c r="E1918" i="7"/>
  <c r="D1918" i="7"/>
  <c r="I1916" i="7"/>
  <c r="H1916" i="7"/>
  <c r="H1914" i="7"/>
  <c r="G1914" i="7"/>
  <c r="E1914" i="7"/>
  <c r="D1914" i="7"/>
  <c r="AD1913" i="7"/>
  <c r="H1913" i="7"/>
  <c r="G1913" i="7"/>
  <c r="E1913" i="7"/>
  <c r="D1913" i="7"/>
  <c r="AD1912" i="7"/>
  <c r="H1912" i="7"/>
  <c r="G1912" i="7"/>
  <c r="E1912" i="7"/>
  <c r="D1912" i="7"/>
  <c r="I1910" i="7"/>
  <c r="H1910" i="7"/>
  <c r="H1908" i="7"/>
  <c r="G1908" i="7"/>
  <c r="E1908" i="7"/>
  <c r="D1908" i="7"/>
  <c r="AD1907" i="7"/>
  <c r="H1907" i="7"/>
  <c r="G1907" i="7"/>
  <c r="E1907" i="7"/>
  <c r="D1907" i="7"/>
  <c r="AD1906" i="7"/>
  <c r="H1906" i="7"/>
  <c r="G1906" i="7"/>
  <c r="E1906" i="7"/>
  <c r="D1906" i="7"/>
  <c r="I1904" i="7"/>
  <c r="H1904" i="7"/>
  <c r="H1902" i="7"/>
  <c r="G1902" i="7"/>
  <c r="E1902" i="7"/>
  <c r="D1902" i="7"/>
  <c r="B1902" i="7"/>
  <c r="H1901" i="7"/>
  <c r="G1901" i="7"/>
  <c r="E1901" i="7"/>
  <c r="D1901" i="7"/>
  <c r="AD1900" i="7"/>
  <c r="H1900" i="7"/>
  <c r="G1900" i="7"/>
  <c r="E1900" i="7"/>
  <c r="D1900" i="7"/>
  <c r="AD1899" i="7"/>
  <c r="H1899" i="7"/>
  <c r="G1899" i="7"/>
  <c r="E1899" i="7"/>
  <c r="D1899" i="7"/>
  <c r="I1897" i="7"/>
  <c r="H1897" i="7"/>
  <c r="H1895" i="7"/>
  <c r="G1895" i="7"/>
  <c r="E1895" i="7"/>
  <c r="D1895" i="7"/>
  <c r="AD1894" i="7"/>
  <c r="H1894" i="7"/>
  <c r="G1894" i="7"/>
  <c r="E1894" i="7"/>
  <c r="D1894" i="7"/>
  <c r="AD1893" i="7"/>
  <c r="H1893" i="7"/>
  <c r="G1893" i="7"/>
  <c r="E1893" i="7"/>
  <c r="D1893" i="7"/>
  <c r="I1891" i="7"/>
  <c r="H1891" i="7"/>
  <c r="H1889" i="7"/>
  <c r="G1889" i="7"/>
  <c r="E1889" i="7"/>
  <c r="D1889" i="7"/>
  <c r="H1888" i="7"/>
  <c r="G1888" i="7"/>
  <c r="E1888" i="7"/>
  <c r="D1888" i="7"/>
  <c r="AD1887" i="7"/>
  <c r="H1887" i="7"/>
  <c r="G1887" i="7"/>
  <c r="E1887" i="7"/>
  <c r="D1887" i="7"/>
  <c r="AD1886" i="7"/>
  <c r="H1886" i="7"/>
  <c r="G1886" i="7"/>
  <c r="E1886" i="7"/>
  <c r="D1886" i="7"/>
  <c r="I1884" i="7"/>
  <c r="H1884" i="7"/>
  <c r="H1880" i="7"/>
  <c r="G1880" i="7"/>
  <c r="E1880" i="7"/>
  <c r="D1880" i="7"/>
  <c r="H1879" i="7"/>
  <c r="G1879" i="7"/>
  <c r="F1879" i="7"/>
  <c r="E1879" i="7"/>
  <c r="D1879" i="7"/>
  <c r="H1878" i="7"/>
  <c r="G1878" i="7"/>
  <c r="F1878" i="7"/>
  <c r="E1878" i="7"/>
  <c r="D1878" i="7"/>
  <c r="AD1877" i="7"/>
  <c r="H1877" i="7"/>
  <c r="G1877" i="7"/>
  <c r="E1877" i="7"/>
  <c r="D1877" i="7"/>
  <c r="AD1876" i="7"/>
  <c r="H1876" i="7"/>
  <c r="G1876" i="7"/>
  <c r="E1876" i="7"/>
  <c r="D1876" i="7"/>
  <c r="I1874" i="7"/>
  <c r="H1874" i="7"/>
  <c r="H1872" i="7"/>
  <c r="G1872" i="7"/>
  <c r="E1872" i="7"/>
  <c r="D1872" i="7"/>
  <c r="H1871" i="7"/>
  <c r="G1871" i="7"/>
  <c r="F1871" i="7"/>
  <c r="E1871" i="7"/>
  <c r="D1871" i="7"/>
  <c r="H1870" i="7"/>
  <c r="G1870" i="7"/>
  <c r="F1870" i="7"/>
  <c r="E1870" i="7"/>
  <c r="D1870" i="7"/>
  <c r="AD1869" i="7"/>
  <c r="H1869" i="7"/>
  <c r="G1869" i="7"/>
  <c r="E1869" i="7"/>
  <c r="D1869" i="7"/>
  <c r="AD1868" i="7"/>
  <c r="H1868" i="7"/>
  <c r="G1868" i="7"/>
  <c r="E1868" i="7"/>
  <c r="D1868" i="7"/>
  <c r="AD1867" i="7"/>
  <c r="H1867" i="7"/>
  <c r="G1867" i="7"/>
  <c r="E1867" i="7"/>
  <c r="D1867" i="7"/>
  <c r="AD1866" i="7"/>
  <c r="H1866" i="7"/>
  <c r="G1866" i="7"/>
  <c r="E1866" i="7"/>
  <c r="D1866" i="7"/>
  <c r="I1864" i="7"/>
  <c r="H1864" i="7"/>
  <c r="H1862" i="7"/>
  <c r="G1862" i="7"/>
  <c r="E1862" i="7"/>
  <c r="D1862" i="7"/>
  <c r="H1861" i="7"/>
  <c r="G1861" i="7"/>
  <c r="F1861" i="7"/>
  <c r="E1861" i="7"/>
  <c r="D1861" i="7"/>
  <c r="H1860" i="7"/>
  <c r="G1860" i="7"/>
  <c r="F1860" i="7"/>
  <c r="E1860" i="7"/>
  <c r="D1860" i="7"/>
  <c r="AD1859" i="7"/>
  <c r="H1859" i="7"/>
  <c r="G1859" i="7"/>
  <c r="E1859" i="7"/>
  <c r="D1859" i="7"/>
  <c r="AD1858" i="7"/>
  <c r="H1858" i="7"/>
  <c r="G1858" i="7"/>
  <c r="E1858" i="7"/>
  <c r="D1858" i="7"/>
  <c r="I1856" i="7"/>
  <c r="H1856" i="7"/>
  <c r="H1854" i="7"/>
  <c r="G1854" i="7"/>
  <c r="E1854" i="7"/>
  <c r="D1854" i="7"/>
  <c r="H1853" i="7"/>
  <c r="G1853" i="7"/>
  <c r="F1853" i="7"/>
  <c r="E1853" i="7"/>
  <c r="D1853" i="7"/>
  <c r="H1852" i="7"/>
  <c r="G1852" i="7"/>
  <c r="F1852" i="7"/>
  <c r="E1852" i="7"/>
  <c r="D1852" i="7"/>
  <c r="AD1851" i="7"/>
  <c r="H1851" i="7"/>
  <c r="G1851" i="7"/>
  <c r="E1851" i="7"/>
  <c r="D1851" i="7"/>
  <c r="AD1850" i="7"/>
  <c r="H1850" i="7"/>
  <c r="G1850" i="7"/>
  <c r="E1850" i="7"/>
  <c r="D1850" i="7"/>
  <c r="I1848" i="7"/>
  <c r="H1848" i="7"/>
  <c r="H1846" i="7"/>
  <c r="G1846" i="7"/>
  <c r="E1846" i="7"/>
  <c r="D1846" i="7"/>
  <c r="AD1845" i="7"/>
  <c r="H1845" i="7"/>
  <c r="G1845" i="7"/>
  <c r="E1845" i="7"/>
  <c r="D1845" i="7"/>
  <c r="I1843" i="7"/>
  <c r="H1843" i="7"/>
  <c r="H1841" i="7"/>
  <c r="G1841" i="7"/>
  <c r="E1841" i="7"/>
  <c r="D1841" i="7"/>
  <c r="B1841" i="7"/>
  <c r="H1840" i="7"/>
  <c r="G1840" i="7"/>
  <c r="E1840" i="7"/>
  <c r="D1840" i="7"/>
  <c r="H1839" i="7"/>
  <c r="G1839" i="7"/>
  <c r="E1839" i="7"/>
  <c r="D1839" i="7"/>
  <c r="AD1838" i="7"/>
  <c r="H1838" i="7"/>
  <c r="G1838" i="7"/>
  <c r="E1838" i="7"/>
  <c r="D1838" i="7"/>
  <c r="AD1837" i="7"/>
  <c r="H1837" i="7"/>
  <c r="G1837" i="7"/>
  <c r="E1837" i="7"/>
  <c r="D1837" i="7"/>
  <c r="I1835" i="7"/>
  <c r="H1835" i="7"/>
  <c r="H1833" i="7"/>
  <c r="G1833" i="7"/>
  <c r="E1833" i="7"/>
  <c r="D1833" i="7"/>
  <c r="B1833" i="7"/>
  <c r="H1832" i="7"/>
  <c r="G1832" i="7"/>
  <c r="E1832" i="7"/>
  <c r="D1832" i="7"/>
  <c r="H1831" i="7"/>
  <c r="G1831" i="7"/>
  <c r="E1831" i="7"/>
  <c r="D1831" i="7"/>
  <c r="AD1830" i="7"/>
  <c r="H1830" i="7"/>
  <c r="G1830" i="7"/>
  <c r="E1830" i="7"/>
  <c r="D1830" i="7"/>
  <c r="AD1829" i="7"/>
  <c r="H1829" i="7"/>
  <c r="G1829" i="7"/>
  <c r="E1829" i="7"/>
  <c r="D1829" i="7"/>
  <c r="I1827" i="7"/>
  <c r="H1827" i="7"/>
  <c r="H1825" i="7"/>
  <c r="G1825" i="7"/>
  <c r="E1825" i="7"/>
  <c r="D1825" i="7"/>
  <c r="B1825" i="7"/>
  <c r="H1824" i="7"/>
  <c r="G1824" i="7"/>
  <c r="E1824" i="7"/>
  <c r="D1824" i="7"/>
  <c r="H1823" i="7"/>
  <c r="G1823" i="7"/>
  <c r="E1823" i="7"/>
  <c r="D1823" i="7"/>
  <c r="AD1822" i="7"/>
  <c r="H1822" i="7"/>
  <c r="G1822" i="7"/>
  <c r="E1822" i="7"/>
  <c r="D1822" i="7"/>
  <c r="AD1821" i="7"/>
  <c r="H1821" i="7"/>
  <c r="G1821" i="7"/>
  <c r="E1821" i="7"/>
  <c r="D1821" i="7"/>
  <c r="I1819" i="7"/>
  <c r="H1819" i="7"/>
  <c r="H1817" i="7"/>
  <c r="G1817" i="7"/>
  <c r="E1817" i="7"/>
  <c r="D1817" i="7"/>
  <c r="H1816" i="7"/>
  <c r="G1816" i="7"/>
  <c r="E1816" i="7"/>
  <c r="D1816" i="7"/>
  <c r="H1815" i="7"/>
  <c r="G1815" i="7"/>
  <c r="E1815" i="7"/>
  <c r="D1815" i="7"/>
  <c r="AD1814" i="7"/>
  <c r="H1814" i="7"/>
  <c r="G1814" i="7"/>
  <c r="E1814" i="7"/>
  <c r="D1814" i="7"/>
  <c r="AD1813" i="7"/>
  <c r="H1813" i="7"/>
  <c r="G1813" i="7"/>
  <c r="E1813" i="7"/>
  <c r="D1813" i="7"/>
  <c r="I1811" i="7"/>
  <c r="H1811" i="7"/>
  <c r="H1809" i="7"/>
  <c r="G1809" i="7"/>
  <c r="E1809" i="7"/>
  <c r="D1809" i="7"/>
  <c r="B1809" i="7"/>
  <c r="H1808" i="7"/>
  <c r="G1808" i="7"/>
  <c r="E1808" i="7"/>
  <c r="D1808" i="7"/>
  <c r="AD1807" i="7"/>
  <c r="H1807" i="7"/>
  <c r="G1807" i="7"/>
  <c r="E1807" i="7"/>
  <c r="D1807" i="7"/>
  <c r="AD1806" i="7"/>
  <c r="H1806" i="7"/>
  <c r="G1806" i="7"/>
  <c r="E1806" i="7"/>
  <c r="D1806" i="7"/>
  <c r="I1804" i="7"/>
  <c r="H1804" i="7"/>
  <c r="H1802" i="7"/>
  <c r="G1802" i="7"/>
  <c r="E1802" i="7"/>
  <c r="D1802" i="7"/>
  <c r="B1802" i="7"/>
  <c r="AD1801" i="7"/>
  <c r="H1801" i="7"/>
  <c r="G1801" i="7"/>
  <c r="E1801" i="7"/>
  <c r="D1801" i="7"/>
  <c r="AD1800" i="7"/>
  <c r="H1800" i="7"/>
  <c r="G1800" i="7"/>
  <c r="E1800" i="7"/>
  <c r="D1800" i="7"/>
  <c r="I1798" i="7"/>
  <c r="H1798" i="7"/>
  <c r="H1796" i="7"/>
  <c r="G1796" i="7"/>
  <c r="E1796" i="7"/>
  <c r="D1796" i="7"/>
  <c r="B1796" i="7"/>
  <c r="AD1795" i="7"/>
  <c r="H1795" i="7"/>
  <c r="G1795" i="7"/>
  <c r="E1795" i="7"/>
  <c r="D1795" i="7"/>
  <c r="I1793" i="7"/>
  <c r="H1793" i="7"/>
  <c r="H1790" i="7"/>
  <c r="G1790" i="7"/>
  <c r="E1790" i="7"/>
  <c r="D1790" i="7"/>
  <c r="B1790" i="7"/>
  <c r="H1789" i="7"/>
  <c r="G1789" i="7"/>
  <c r="E1789" i="7"/>
  <c r="D1789" i="7"/>
  <c r="B1789" i="7"/>
  <c r="AD1788" i="7"/>
  <c r="H1788" i="7"/>
  <c r="G1788" i="7"/>
  <c r="E1788" i="7"/>
  <c r="D1788" i="7"/>
  <c r="AD1787" i="7"/>
  <c r="H1787" i="7"/>
  <c r="G1787" i="7"/>
  <c r="E1787" i="7"/>
  <c r="D1787" i="7"/>
  <c r="I1785" i="7"/>
  <c r="H1785" i="7"/>
  <c r="H1783" i="7"/>
  <c r="G1783" i="7"/>
  <c r="E1783" i="7"/>
  <c r="D1783" i="7"/>
  <c r="B1783" i="7"/>
  <c r="H1782" i="7"/>
  <c r="G1782" i="7"/>
  <c r="E1782" i="7"/>
  <c r="D1782" i="7"/>
  <c r="B1782" i="7"/>
  <c r="AD1781" i="7"/>
  <c r="H1781" i="7"/>
  <c r="G1781" i="7"/>
  <c r="E1781" i="7"/>
  <c r="D1781" i="7"/>
  <c r="AD1780" i="7"/>
  <c r="H1780" i="7"/>
  <c r="G1780" i="7"/>
  <c r="E1780" i="7"/>
  <c r="D1780" i="7"/>
  <c r="I1778" i="7"/>
  <c r="H1778" i="7"/>
  <c r="H1776" i="7"/>
  <c r="G1776" i="7"/>
  <c r="E1776" i="7"/>
  <c r="D1776" i="7"/>
  <c r="AD1775" i="7"/>
  <c r="H1775" i="7"/>
  <c r="G1775" i="7"/>
  <c r="E1775" i="7"/>
  <c r="D1775" i="7"/>
  <c r="I1773" i="7"/>
  <c r="H1773" i="7"/>
  <c r="H1771" i="7"/>
  <c r="G1771" i="7"/>
  <c r="E1771" i="7"/>
  <c r="D1771" i="7"/>
  <c r="H1770" i="7"/>
  <c r="G1770" i="7"/>
  <c r="E1770" i="7"/>
  <c r="D1770" i="7"/>
  <c r="H1769" i="7"/>
  <c r="G1769" i="7"/>
  <c r="E1769" i="7"/>
  <c r="D1769" i="7"/>
  <c r="AD1768" i="7"/>
  <c r="H1768" i="7"/>
  <c r="G1768" i="7"/>
  <c r="E1768" i="7"/>
  <c r="D1768" i="7"/>
  <c r="AD1767" i="7"/>
  <c r="H1767" i="7"/>
  <c r="G1767" i="7"/>
  <c r="E1767" i="7"/>
  <c r="D1767" i="7"/>
  <c r="I1765" i="7"/>
  <c r="H1765" i="7"/>
  <c r="H1763" i="7"/>
  <c r="G1763" i="7"/>
  <c r="F1763" i="7"/>
  <c r="E1763" i="7"/>
  <c r="D1763" i="7"/>
  <c r="H1762" i="7"/>
  <c r="G1762" i="7"/>
  <c r="E1762" i="7"/>
  <c r="D1762" i="7"/>
  <c r="H1761" i="7"/>
  <c r="G1761" i="7"/>
  <c r="E1761" i="7"/>
  <c r="D1761" i="7"/>
  <c r="H1760" i="7"/>
  <c r="G1760" i="7"/>
  <c r="E1760" i="7"/>
  <c r="D1760" i="7"/>
  <c r="AD1759" i="7"/>
  <c r="H1759" i="7"/>
  <c r="G1759" i="7"/>
  <c r="F1759" i="7"/>
  <c r="E1759" i="7"/>
  <c r="D1759" i="7"/>
  <c r="AD1758" i="7"/>
  <c r="H1758" i="7"/>
  <c r="G1758" i="7"/>
  <c r="F1758" i="7"/>
  <c r="E1758" i="7"/>
  <c r="D1758" i="7"/>
  <c r="AD1757" i="7"/>
  <c r="H1757" i="7"/>
  <c r="G1757" i="7"/>
  <c r="E1757" i="7"/>
  <c r="D1757" i="7"/>
  <c r="AD1756" i="7"/>
  <c r="H1756" i="7"/>
  <c r="G1756" i="7"/>
  <c r="E1756" i="7"/>
  <c r="D1756" i="7"/>
  <c r="AD1755" i="7"/>
  <c r="H1755" i="7"/>
  <c r="G1755" i="7"/>
  <c r="F1755" i="7"/>
  <c r="E1755" i="7"/>
  <c r="D1755" i="7"/>
  <c r="I1753" i="7"/>
  <c r="H1753" i="7"/>
  <c r="H1751" i="7"/>
  <c r="G1751" i="7"/>
  <c r="E1751" i="7"/>
  <c r="D1751" i="7"/>
  <c r="B1751" i="7"/>
  <c r="H1750" i="7"/>
  <c r="G1750" i="7"/>
  <c r="E1750" i="7"/>
  <c r="D1750" i="7"/>
  <c r="H1749" i="7"/>
  <c r="G1749" i="7"/>
  <c r="E1749" i="7"/>
  <c r="D1749" i="7"/>
  <c r="H1748" i="7"/>
  <c r="G1748" i="7"/>
  <c r="E1748" i="7"/>
  <c r="D1748" i="7"/>
  <c r="AD1747" i="7"/>
  <c r="H1747" i="7"/>
  <c r="G1747" i="7"/>
  <c r="E1747" i="7"/>
  <c r="D1747" i="7"/>
  <c r="AD1746" i="7"/>
  <c r="H1746" i="7"/>
  <c r="G1746" i="7"/>
  <c r="E1746" i="7"/>
  <c r="D1746" i="7"/>
  <c r="I1744" i="7"/>
  <c r="H1744" i="7"/>
  <c r="H1742" i="7"/>
  <c r="G1742" i="7"/>
  <c r="E1742" i="7"/>
  <c r="D1742" i="7"/>
  <c r="B1742" i="7"/>
  <c r="H1741" i="7"/>
  <c r="G1741" i="7"/>
  <c r="E1741" i="7"/>
  <c r="D1741" i="7"/>
  <c r="H1740" i="7"/>
  <c r="G1740" i="7"/>
  <c r="E1740" i="7"/>
  <c r="D1740" i="7"/>
  <c r="H1739" i="7"/>
  <c r="G1739" i="7"/>
  <c r="E1739" i="7"/>
  <c r="D1739" i="7"/>
  <c r="H1738" i="7"/>
  <c r="G1738" i="7"/>
  <c r="E1738" i="7"/>
  <c r="D1738" i="7"/>
  <c r="AD1737" i="7"/>
  <c r="H1737" i="7"/>
  <c r="G1737" i="7"/>
  <c r="E1737" i="7"/>
  <c r="D1737" i="7"/>
  <c r="AD1736" i="7"/>
  <c r="H1736" i="7"/>
  <c r="G1736" i="7"/>
  <c r="E1736" i="7"/>
  <c r="D1736" i="7"/>
  <c r="I1734" i="7"/>
  <c r="H1734" i="7"/>
  <c r="H1732" i="7"/>
  <c r="G1732" i="7"/>
  <c r="F1732" i="7"/>
  <c r="E1732" i="7"/>
  <c r="D1732" i="7"/>
  <c r="B1732" i="7"/>
  <c r="H1731" i="7"/>
  <c r="G1731" i="7"/>
  <c r="E1731" i="7"/>
  <c r="D1731" i="7"/>
  <c r="B1731" i="7"/>
  <c r="H1730" i="7"/>
  <c r="G1730" i="7"/>
  <c r="E1730" i="7"/>
  <c r="D1730" i="7"/>
  <c r="H1729" i="7"/>
  <c r="G1729" i="7"/>
  <c r="E1729" i="7"/>
  <c r="D1729" i="7"/>
  <c r="AD1728" i="7"/>
  <c r="H1728" i="7"/>
  <c r="G1728" i="7"/>
  <c r="E1728" i="7"/>
  <c r="D1728" i="7"/>
  <c r="AD1727" i="7"/>
  <c r="H1727" i="7"/>
  <c r="G1727" i="7"/>
  <c r="E1727" i="7"/>
  <c r="D1727" i="7"/>
  <c r="I1724" i="7"/>
  <c r="H1724" i="7"/>
  <c r="H1722" i="7"/>
  <c r="G1722" i="7"/>
  <c r="E1722" i="7"/>
  <c r="D1722" i="7"/>
  <c r="B1722" i="7"/>
  <c r="AD1721" i="7"/>
  <c r="H1721" i="7"/>
  <c r="G1721" i="7"/>
  <c r="E1721" i="7"/>
  <c r="D1721" i="7"/>
  <c r="I1719" i="7"/>
  <c r="H1719" i="7"/>
  <c r="H1717" i="7"/>
  <c r="G1717" i="7"/>
  <c r="E1717" i="7"/>
  <c r="D1717" i="7"/>
  <c r="AD1716" i="7"/>
  <c r="H1716" i="7"/>
  <c r="G1716" i="7"/>
  <c r="E1716" i="7"/>
  <c r="D1716" i="7"/>
  <c r="I1714" i="7"/>
  <c r="H1714" i="7"/>
  <c r="H1712" i="7"/>
  <c r="G1712" i="7"/>
  <c r="E1712" i="7"/>
  <c r="D1712" i="7"/>
  <c r="AD1711" i="7"/>
  <c r="H1711" i="7"/>
  <c r="G1711" i="7"/>
  <c r="E1711" i="7"/>
  <c r="D1711" i="7"/>
  <c r="I1709" i="7"/>
  <c r="H1709" i="7"/>
  <c r="H1707" i="7"/>
  <c r="G1707" i="7"/>
  <c r="E1707" i="7"/>
  <c r="D1707" i="7"/>
  <c r="AD1706" i="7"/>
  <c r="H1706" i="7"/>
  <c r="G1706" i="7"/>
  <c r="E1706" i="7"/>
  <c r="D1706" i="7"/>
  <c r="AD1705" i="7"/>
  <c r="H1705" i="7"/>
  <c r="G1705" i="7"/>
  <c r="E1705" i="7"/>
  <c r="D1705" i="7"/>
  <c r="I1703" i="7"/>
  <c r="H1703" i="7"/>
  <c r="H1701" i="7"/>
  <c r="G1701" i="7"/>
  <c r="E1701" i="7"/>
  <c r="D1701" i="7"/>
  <c r="H1700" i="7"/>
  <c r="G1700" i="7"/>
  <c r="E1700" i="7"/>
  <c r="D1700" i="7"/>
  <c r="AD1699" i="7"/>
  <c r="H1699" i="7"/>
  <c r="G1699" i="7"/>
  <c r="E1699" i="7"/>
  <c r="D1699" i="7"/>
  <c r="AD1698" i="7"/>
  <c r="H1698" i="7"/>
  <c r="G1698" i="7"/>
  <c r="E1698" i="7"/>
  <c r="D1698" i="7"/>
  <c r="I1696" i="7"/>
  <c r="H1696" i="7"/>
  <c r="H1694" i="7"/>
  <c r="G1694" i="7"/>
  <c r="E1694" i="7"/>
  <c r="D1694" i="7"/>
  <c r="AD1693" i="7"/>
  <c r="H1693" i="7"/>
  <c r="G1693" i="7"/>
  <c r="E1693" i="7"/>
  <c r="D1693" i="7"/>
  <c r="AD1692" i="7"/>
  <c r="H1692" i="7"/>
  <c r="G1692" i="7"/>
  <c r="E1692" i="7"/>
  <c r="D1692" i="7"/>
  <c r="I1690" i="7"/>
  <c r="H1690" i="7"/>
  <c r="H1688" i="7"/>
  <c r="G1688" i="7"/>
  <c r="E1688" i="7"/>
  <c r="D1688" i="7"/>
  <c r="B1688" i="7"/>
  <c r="H1687" i="7"/>
  <c r="G1687" i="7"/>
  <c r="E1687" i="7"/>
  <c r="D1687" i="7"/>
  <c r="AD1686" i="7"/>
  <c r="H1686" i="7"/>
  <c r="G1686" i="7"/>
  <c r="E1686" i="7"/>
  <c r="D1686" i="7"/>
  <c r="AD1685" i="7"/>
  <c r="H1685" i="7"/>
  <c r="G1685" i="7"/>
  <c r="E1685" i="7"/>
  <c r="D1685" i="7"/>
  <c r="I1683" i="7"/>
  <c r="H1683" i="7"/>
  <c r="H1681" i="7"/>
  <c r="G1681" i="7"/>
  <c r="E1681" i="7"/>
  <c r="D1681" i="7"/>
  <c r="B1681" i="7"/>
  <c r="H1680" i="7"/>
  <c r="G1680" i="7"/>
  <c r="E1680" i="7"/>
  <c r="D1680" i="7"/>
  <c r="H1679" i="7"/>
  <c r="G1679" i="7"/>
  <c r="E1679" i="7"/>
  <c r="D1679" i="7"/>
  <c r="H1678" i="7"/>
  <c r="G1678" i="7"/>
  <c r="E1678" i="7"/>
  <c r="D1678" i="7"/>
  <c r="H1677" i="7"/>
  <c r="G1677" i="7"/>
  <c r="F1677" i="7"/>
  <c r="E1677" i="7"/>
  <c r="D1677" i="7"/>
  <c r="AD1676" i="7"/>
  <c r="H1676" i="7"/>
  <c r="G1676" i="7"/>
  <c r="E1676" i="7"/>
  <c r="D1676" i="7"/>
  <c r="AD1675" i="7"/>
  <c r="H1675" i="7"/>
  <c r="G1675" i="7"/>
  <c r="E1675" i="7"/>
  <c r="D1675" i="7"/>
  <c r="I1673" i="7"/>
  <c r="H1673" i="7"/>
  <c r="H1671" i="7"/>
  <c r="G1671" i="7"/>
  <c r="E1671" i="7"/>
  <c r="D1671" i="7"/>
  <c r="B1671" i="7"/>
  <c r="AD1670" i="7"/>
  <c r="H1670" i="7"/>
  <c r="G1670" i="7"/>
  <c r="E1670" i="7"/>
  <c r="D1670" i="7"/>
  <c r="AD1669" i="7"/>
  <c r="H1669" i="7"/>
  <c r="G1669" i="7"/>
  <c r="E1669" i="7"/>
  <c r="D1669" i="7"/>
  <c r="I1667" i="7"/>
  <c r="H1667" i="7"/>
  <c r="H1665" i="7"/>
  <c r="G1665" i="7"/>
  <c r="E1665" i="7"/>
  <c r="D1665" i="7"/>
  <c r="H1664" i="7"/>
  <c r="G1664" i="7"/>
  <c r="E1664" i="7"/>
  <c r="D1664" i="7"/>
  <c r="H1663" i="7"/>
  <c r="G1663" i="7"/>
  <c r="E1663" i="7"/>
  <c r="D1663" i="7"/>
  <c r="AD1662" i="7"/>
  <c r="H1662" i="7"/>
  <c r="G1662" i="7"/>
  <c r="E1662" i="7"/>
  <c r="D1662" i="7"/>
  <c r="AD1661" i="7"/>
  <c r="H1661" i="7"/>
  <c r="G1661" i="7"/>
  <c r="E1661" i="7"/>
  <c r="D1661" i="7"/>
  <c r="AD1660" i="7"/>
  <c r="H1660" i="7"/>
  <c r="G1660" i="7"/>
  <c r="E1660" i="7"/>
  <c r="D1660" i="7"/>
  <c r="I1658" i="7"/>
  <c r="H1658" i="7"/>
  <c r="H1656" i="7"/>
  <c r="G1656" i="7"/>
  <c r="E1656" i="7"/>
  <c r="D1656" i="7"/>
  <c r="H1655" i="7"/>
  <c r="G1655" i="7"/>
  <c r="E1655" i="7"/>
  <c r="D1655" i="7"/>
  <c r="H1654" i="7"/>
  <c r="G1654" i="7"/>
  <c r="E1654" i="7"/>
  <c r="D1654" i="7"/>
  <c r="H1653" i="7"/>
  <c r="G1653" i="7"/>
  <c r="E1653" i="7"/>
  <c r="D1653" i="7"/>
  <c r="H1652" i="7"/>
  <c r="G1652" i="7"/>
  <c r="E1652" i="7"/>
  <c r="D1652" i="7"/>
  <c r="H1651" i="7"/>
  <c r="G1651" i="7"/>
  <c r="E1651" i="7"/>
  <c r="D1651" i="7"/>
  <c r="H1650" i="7"/>
  <c r="G1650" i="7"/>
  <c r="E1650" i="7"/>
  <c r="D1650" i="7"/>
  <c r="AD1649" i="7"/>
  <c r="H1649" i="7"/>
  <c r="G1649" i="7"/>
  <c r="E1649" i="7"/>
  <c r="D1649" i="7"/>
  <c r="I1647" i="7"/>
  <c r="H1647" i="7"/>
  <c r="H1645" i="7"/>
  <c r="G1645" i="7"/>
  <c r="F1645" i="7"/>
  <c r="E1645" i="7"/>
  <c r="D1645" i="7"/>
  <c r="H1644" i="7"/>
  <c r="G1644" i="7"/>
  <c r="E1644" i="7"/>
  <c r="D1644" i="7"/>
  <c r="AD1643" i="7"/>
  <c r="H1643" i="7"/>
  <c r="G1643" i="7"/>
  <c r="E1643" i="7"/>
  <c r="D1643" i="7"/>
  <c r="AD1642" i="7"/>
  <c r="H1642" i="7"/>
  <c r="G1642" i="7"/>
  <c r="E1642" i="7"/>
  <c r="D1642" i="7"/>
  <c r="I1640" i="7"/>
  <c r="H1640" i="7"/>
  <c r="H1638" i="7"/>
  <c r="G1638" i="7"/>
  <c r="F1638" i="7"/>
  <c r="E1638" i="7"/>
  <c r="D1638" i="7"/>
  <c r="H1637" i="7"/>
  <c r="G1637" i="7"/>
  <c r="E1637" i="7"/>
  <c r="D1637" i="7"/>
  <c r="AD1636" i="7"/>
  <c r="H1636" i="7"/>
  <c r="G1636" i="7"/>
  <c r="E1636" i="7"/>
  <c r="D1636" i="7"/>
  <c r="AD1635" i="7"/>
  <c r="H1635" i="7"/>
  <c r="G1635" i="7"/>
  <c r="E1635" i="7"/>
  <c r="D1635" i="7"/>
  <c r="AD1634" i="7"/>
  <c r="H1634" i="7"/>
  <c r="G1634" i="7"/>
  <c r="E1634" i="7"/>
  <c r="D1634" i="7"/>
  <c r="AD1633" i="7"/>
  <c r="H1633" i="7"/>
  <c r="G1633" i="7"/>
  <c r="E1633" i="7"/>
  <c r="D1633" i="7"/>
  <c r="I1631" i="7"/>
  <c r="H1631" i="7"/>
  <c r="H1629" i="7"/>
  <c r="G1629" i="7"/>
  <c r="E1629" i="7"/>
  <c r="D1629" i="7"/>
  <c r="H1628" i="7"/>
  <c r="G1628" i="7"/>
  <c r="E1628" i="7"/>
  <c r="D1628" i="7"/>
  <c r="H1627" i="7"/>
  <c r="G1627" i="7"/>
  <c r="E1627" i="7"/>
  <c r="D1627" i="7"/>
  <c r="H1626" i="7"/>
  <c r="G1626" i="7"/>
  <c r="E1626" i="7"/>
  <c r="D1626" i="7"/>
  <c r="AD1625" i="7"/>
  <c r="H1625" i="7"/>
  <c r="G1625" i="7"/>
  <c r="E1625" i="7"/>
  <c r="D1625" i="7"/>
  <c r="AD1624" i="7"/>
  <c r="H1624" i="7"/>
  <c r="G1624" i="7"/>
  <c r="E1624" i="7"/>
  <c r="D1624" i="7"/>
  <c r="I1622" i="7"/>
  <c r="H1622" i="7"/>
  <c r="H1620" i="7"/>
  <c r="G1620" i="7"/>
  <c r="E1620" i="7"/>
  <c r="D1620" i="7"/>
  <c r="H1619" i="7"/>
  <c r="G1619" i="7"/>
  <c r="E1619" i="7"/>
  <c r="D1619" i="7"/>
  <c r="H1618" i="7"/>
  <c r="G1618" i="7"/>
  <c r="E1618" i="7"/>
  <c r="D1618" i="7"/>
  <c r="AD1617" i="7"/>
  <c r="H1617" i="7"/>
  <c r="G1617" i="7"/>
  <c r="E1617" i="7"/>
  <c r="D1617" i="7"/>
  <c r="AD1616" i="7"/>
  <c r="H1616" i="7"/>
  <c r="G1616" i="7"/>
  <c r="E1616" i="7"/>
  <c r="D1616" i="7"/>
  <c r="AD1615" i="7"/>
  <c r="H1615" i="7"/>
  <c r="G1615" i="7"/>
  <c r="E1615" i="7"/>
  <c r="D1615" i="7"/>
  <c r="AD1614" i="7"/>
  <c r="H1614" i="7"/>
  <c r="G1614" i="7"/>
  <c r="E1614" i="7"/>
  <c r="D1614" i="7"/>
  <c r="I1612" i="7"/>
  <c r="H1612" i="7"/>
  <c r="H1610" i="7"/>
  <c r="G1610" i="7"/>
  <c r="E1610" i="7"/>
  <c r="D1610" i="7"/>
  <c r="H1609" i="7"/>
  <c r="G1609" i="7"/>
  <c r="E1609" i="7"/>
  <c r="D1609" i="7"/>
  <c r="H1608" i="7"/>
  <c r="G1608" i="7"/>
  <c r="E1608" i="7"/>
  <c r="D1608" i="7"/>
  <c r="H1607" i="7"/>
  <c r="G1607" i="7"/>
  <c r="E1607" i="7"/>
  <c r="D1607" i="7"/>
  <c r="H1606" i="7"/>
  <c r="G1606" i="7"/>
  <c r="E1606" i="7"/>
  <c r="D1606" i="7"/>
  <c r="H1605" i="7"/>
  <c r="G1605" i="7"/>
  <c r="E1605" i="7"/>
  <c r="D1605" i="7"/>
  <c r="AD1604" i="7"/>
  <c r="H1604" i="7"/>
  <c r="G1604" i="7"/>
  <c r="E1604" i="7"/>
  <c r="D1604" i="7"/>
  <c r="AD1603" i="7"/>
  <c r="H1603" i="7"/>
  <c r="G1603" i="7"/>
  <c r="E1603" i="7"/>
  <c r="D1603" i="7"/>
  <c r="AD1602" i="7"/>
  <c r="H1602" i="7"/>
  <c r="G1602" i="7"/>
  <c r="E1602" i="7"/>
  <c r="D1602" i="7"/>
  <c r="AD1601" i="7"/>
  <c r="H1601" i="7"/>
  <c r="G1601" i="7"/>
  <c r="E1601" i="7"/>
  <c r="D1601" i="7"/>
  <c r="I1599" i="7"/>
  <c r="H1599" i="7"/>
  <c r="H1597" i="7"/>
  <c r="G1597" i="7"/>
  <c r="F1597" i="7"/>
  <c r="E1597" i="7"/>
  <c r="D1597" i="7"/>
  <c r="H1596" i="7"/>
  <c r="G1596" i="7"/>
  <c r="E1596" i="7"/>
  <c r="D1596" i="7"/>
  <c r="AD1595" i="7"/>
  <c r="H1595" i="7"/>
  <c r="G1595" i="7"/>
  <c r="E1595" i="7"/>
  <c r="D1595" i="7"/>
  <c r="AD1594" i="7"/>
  <c r="H1594" i="7"/>
  <c r="G1594" i="7"/>
  <c r="E1594" i="7"/>
  <c r="D1594" i="7"/>
  <c r="AD1593" i="7"/>
  <c r="H1593" i="7"/>
  <c r="G1593" i="7"/>
  <c r="E1593" i="7"/>
  <c r="D1593" i="7"/>
  <c r="AD1592" i="7"/>
  <c r="H1592" i="7"/>
  <c r="G1592" i="7"/>
  <c r="E1592" i="7"/>
  <c r="D1592" i="7"/>
  <c r="AD1591" i="7"/>
  <c r="H1591" i="7"/>
  <c r="G1591" i="7"/>
  <c r="E1591" i="7"/>
  <c r="D1591" i="7"/>
  <c r="AD1590" i="7"/>
  <c r="H1590" i="7"/>
  <c r="G1590" i="7"/>
  <c r="E1590" i="7"/>
  <c r="D1590" i="7"/>
  <c r="I1588" i="7"/>
  <c r="H1588" i="7"/>
  <c r="H1586" i="7"/>
  <c r="G1586" i="7"/>
  <c r="E1586" i="7"/>
  <c r="D1586" i="7"/>
  <c r="AD1585" i="7"/>
  <c r="H1585" i="7"/>
  <c r="G1585" i="7"/>
  <c r="E1585" i="7"/>
  <c r="D1585" i="7"/>
  <c r="AD1584" i="7"/>
  <c r="H1584" i="7"/>
  <c r="G1584" i="7"/>
  <c r="E1584" i="7"/>
  <c r="D1584" i="7"/>
  <c r="I1583" i="7"/>
  <c r="H1583" i="7"/>
  <c r="AF1581" i="7"/>
  <c r="H1581" i="7"/>
  <c r="G1581" i="7"/>
  <c r="E1581" i="7"/>
  <c r="D1581" i="7"/>
  <c r="B1581" i="7"/>
  <c r="H1580" i="7"/>
  <c r="G1580" i="7"/>
  <c r="E1580" i="7"/>
  <c r="D1580" i="7"/>
  <c r="H1579" i="7"/>
  <c r="G1579" i="7"/>
  <c r="E1579" i="7"/>
  <c r="D1579" i="7"/>
  <c r="AD1578" i="7"/>
  <c r="H1578" i="7"/>
  <c r="G1578" i="7"/>
  <c r="E1578" i="7"/>
  <c r="D1578" i="7"/>
  <c r="AD1577" i="7"/>
  <c r="H1577" i="7"/>
  <c r="G1577" i="7"/>
  <c r="E1577" i="7"/>
  <c r="D1577" i="7"/>
  <c r="AD1576" i="7"/>
  <c r="H1576" i="7"/>
  <c r="G1576" i="7"/>
  <c r="E1576" i="7"/>
  <c r="D1576" i="7"/>
  <c r="I1574" i="7"/>
  <c r="H1574" i="7"/>
  <c r="H1572" i="7"/>
  <c r="G1572" i="7"/>
  <c r="E1572" i="7"/>
  <c r="D1572" i="7"/>
  <c r="B1572" i="7"/>
  <c r="AD1571" i="7"/>
  <c r="H1571" i="7"/>
  <c r="G1571" i="7"/>
  <c r="F1571" i="7"/>
  <c r="E1571" i="7"/>
  <c r="D1571" i="7"/>
  <c r="AD1570" i="7"/>
  <c r="H1570" i="7"/>
  <c r="G1570" i="7"/>
  <c r="F1570" i="7"/>
  <c r="E1570" i="7"/>
  <c r="D1570" i="7"/>
  <c r="AD1569" i="7"/>
  <c r="H1569" i="7"/>
  <c r="G1569" i="7"/>
  <c r="E1569" i="7"/>
  <c r="D1569" i="7"/>
  <c r="AD1568" i="7"/>
  <c r="H1568" i="7"/>
  <c r="G1568" i="7"/>
  <c r="E1568" i="7"/>
  <c r="D1568" i="7"/>
  <c r="AD1567" i="7"/>
  <c r="H1567" i="7"/>
  <c r="G1567" i="7"/>
  <c r="E1567" i="7"/>
  <c r="D1567" i="7"/>
  <c r="I1565" i="7"/>
  <c r="H1565" i="7"/>
  <c r="AF1563" i="7"/>
  <c r="AE1563" i="7"/>
  <c r="H1563" i="7"/>
  <c r="G1563" i="7"/>
  <c r="E1563" i="7"/>
  <c r="D1563" i="7"/>
  <c r="B1563" i="7"/>
  <c r="H1562" i="7"/>
  <c r="G1562" i="7"/>
  <c r="E1562" i="7"/>
  <c r="D1562" i="7"/>
  <c r="H1561" i="7"/>
  <c r="G1561" i="7"/>
  <c r="E1561" i="7"/>
  <c r="D1561" i="7"/>
  <c r="H1560" i="7"/>
  <c r="G1560" i="7"/>
  <c r="E1560" i="7"/>
  <c r="D1560" i="7"/>
  <c r="AD1559" i="7"/>
  <c r="H1559" i="7"/>
  <c r="G1559" i="7"/>
  <c r="E1559" i="7"/>
  <c r="D1559" i="7"/>
  <c r="AD1558" i="7"/>
  <c r="H1558" i="7"/>
  <c r="G1558" i="7"/>
  <c r="E1558" i="7"/>
  <c r="D1558" i="7"/>
  <c r="I1556" i="7"/>
  <c r="H1556" i="7"/>
  <c r="H1554" i="7"/>
  <c r="G1554" i="7"/>
  <c r="E1554" i="7"/>
  <c r="D1554" i="7"/>
  <c r="H1553" i="7"/>
  <c r="G1553" i="7"/>
  <c r="E1553" i="7"/>
  <c r="D1553" i="7"/>
  <c r="H1552" i="7"/>
  <c r="G1552" i="7"/>
  <c r="E1552" i="7"/>
  <c r="D1552" i="7"/>
  <c r="AD1551" i="7"/>
  <c r="H1551" i="7"/>
  <c r="G1551" i="7"/>
  <c r="E1551" i="7"/>
  <c r="D1551" i="7"/>
  <c r="AD1550" i="7"/>
  <c r="H1550" i="7"/>
  <c r="G1550" i="7"/>
  <c r="E1550" i="7"/>
  <c r="D1550" i="7"/>
  <c r="I1548" i="7"/>
  <c r="H1548" i="7"/>
  <c r="H1546" i="7"/>
  <c r="G1546" i="7"/>
  <c r="E1546" i="7"/>
  <c r="D1546" i="7"/>
  <c r="B1546" i="7"/>
  <c r="H1545" i="7"/>
  <c r="G1545" i="7"/>
  <c r="F1545" i="7"/>
  <c r="E1545" i="7"/>
  <c r="D1545" i="7"/>
  <c r="H1544" i="7"/>
  <c r="G1544" i="7"/>
  <c r="E1544" i="7"/>
  <c r="D1544" i="7"/>
  <c r="H1543" i="7"/>
  <c r="G1543" i="7"/>
  <c r="E1543" i="7"/>
  <c r="D1543" i="7"/>
  <c r="H1542" i="7"/>
  <c r="G1542" i="7"/>
  <c r="E1542" i="7"/>
  <c r="D1542" i="7"/>
  <c r="H1541" i="7"/>
  <c r="G1541" i="7"/>
  <c r="E1541" i="7"/>
  <c r="D1541" i="7"/>
  <c r="H1540" i="7"/>
  <c r="G1540" i="7"/>
  <c r="E1540" i="7"/>
  <c r="D1540" i="7"/>
  <c r="H1539" i="7"/>
  <c r="G1539" i="7"/>
  <c r="E1539" i="7"/>
  <c r="D1539" i="7"/>
  <c r="AD1538" i="7"/>
  <c r="H1538" i="7"/>
  <c r="G1538" i="7"/>
  <c r="E1538" i="7"/>
  <c r="D1538" i="7"/>
  <c r="AD1537" i="7"/>
  <c r="H1537" i="7"/>
  <c r="G1537" i="7"/>
  <c r="E1537" i="7"/>
  <c r="D1537" i="7"/>
  <c r="I1535" i="7"/>
  <c r="H1535" i="7"/>
  <c r="H1533" i="7"/>
  <c r="G1533" i="7"/>
  <c r="F1533" i="7"/>
  <c r="E1533" i="7"/>
  <c r="D1533" i="7"/>
  <c r="H1532" i="7"/>
  <c r="G1532" i="7"/>
  <c r="E1532" i="7"/>
  <c r="D1532" i="7"/>
  <c r="AD1531" i="7"/>
  <c r="H1531" i="7"/>
  <c r="G1531" i="7"/>
  <c r="E1531" i="7"/>
  <c r="D1531" i="7"/>
  <c r="AD1530" i="7"/>
  <c r="H1530" i="7"/>
  <c r="G1530" i="7"/>
  <c r="E1530" i="7"/>
  <c r="D1530" i="7"/>
  <c r="I1528" i="7"/>
  <c r="H1528" i="7"/>
  <c r="H1526" i="7"/>
  <c r="G1526" i="7"/>
  <c r="F1526" i="7"/>
  <c r="E1526" i="7"/>
  <c r="D1526" i="7"/>
  <c r="H1525" i="7"/>
  <c r="G1525" i="7"/>
  <c r="E1525" i="7"/>
  <c r="D1525" i="7"/>
  <c r="AD1524" i="7"/>
  <c r="H1524" i="7"/>
  <c r="G1524" i="7"/>
  <c r="E1524" i="7"/>
  <c r="D1524" i="7"/>
  <c r="AD1523" i="7"/>
  <c r="H1523" i="7"/>
  <c r="G1523" i="7"/>
  <c r="E1523" i="7"/>
  <c r="D1523" i="7"/>
  <c r="AD1522" i="7"/>
  <c r="H1522" i="7"/>
  <c r="G1522" i="7"/>
  <c r="E1522" i="7"/>
  <c r="D1522" i="7"/>
  <c r="AD1521" i="7"/>
  <c r="H1521" i="7"/>
  <c r="G1521" i="7"/>
  <c r="E1521" i="7"/>
  <c r="D1521" i="7"/>
  <c r="I1519" i="7"/>
  <c r="H1519" i="7"/>
  <c r="H1517" i="7"/>
  <c r="G1517" i="7"/>
  <c r="E1517" i="7"/>
  <c r="D1517" i="7"/>
  <c r="B1517" i="7"/>
  <c r="H1516" i="7"/>
  <c r="G1516" i="7"/>
  <c r="E1516" i="7"/>
  <c r="D1516" i="7"/>
  <c r="H1515" i="7"/>
  <c r="G1515" i="7"/>
  <c r="E1515" i="7"/>
  <c r="D1515" i="7"/>
  <c r="H1514" i="7"/>
  <c r="G1514" i="7"/>
  <c r="E1514" i="7"/>
  <c r="D1514" i="7"/>
  <c r="H1513" i="7"/>
  <c r="G1513" i="7"/>
  <c r="E1513" i="7"/>
  <c r="D1513" i="7"/>
  <c r="H1512" i="7"/>
  <c r="G1512" i="7"/>
  <c r="E1512" i="7"/>
  <c r="D1512" i="7"/>
  <c r="AD1511" i="7"/>
  <c r="H1511" i="7"/>
  <c r="G1511" i="7"/>
  <c r="E1511" i="7"/>
  <c r="D1511" i="7"/>
  <c r="AD1510" i="7"/>
  <c r="H1510" i="7"/>
  <c r="G1510" i="7"/>
  <c r="E1510" i="7"/>
  <c r="D1510" i="7"/>
  <c r="AD1509" i="7"/>
  <c r="H1509" i="7"/>
  <c r="G1509" i="7"/>
  <c r="E1509" i="7"/>
  <c r="D1509" i="7"/>
  <c r="AD1508" i="7"/>
  <c r="H1508" i="7"/>
  <c r="G1508" i="7"/>
  <c r="E1508" i="7"/>
  <c r="D1508" i="7"/>
  <c r="I1506" i="7"/>
  <c r="H1506" i="7"/>
  <c r="H1504" i="7"/>
  <c r="G1504" i="7"/>
  <c r="E1504" i="7"/>
  <c r="D1504" i="7"/>
  <c r="H1503" i="7"/>
  <c r="G1503" i="7"/>
  <c r="E1503" i="7"/>
  <c r="D1503" i="7"/>
  <c r="H1502" i="7"/>
  <c r="G1502" i="7"/>
  <c r="E1502" i="7"/>
  <c r="D1502" i="7"/>
  <c r="AD1501" i="7"/>
  <c r="H1501" i="7"/>
  <c r="G1501" i="7"/>
  <c r="E1501" i="7"/>
  <c r="D1501" i="7"/>
  <c r="AD1500" i="7"/>
  <c r="H1500" i="7"/>
  <c r="G1500" i="7"/>
  <c r="E1500" i="7"/>
  <c r="D1500" i="7"/>
  <c r="I1499" i="7"/>
  <c r="H1499" i="7"/>
  <c r="H1497" i="7"/>
  <c r="G1497" i="7"/>
  <c r="F1497" i="7"/>
  <c r="E1497" i="7"/>
  <c r="D1497" i="7"/>
  <c r="B1497" i="7"/>
  <c r="H1496" i="7"/>
  <c r="G1496" i="7"/>
  <c r="F1496" i="7"/>
  <c r="E1496" i="7"/>
  <c r="D1496" i="7"/>
  <c r="H1495" i="7"/>
  <c r="G1495" i="7"/>
  <c r="E1495" i="7"/>
  <c r="D1495" i="7"/>
  <c r="H1494" i="7"/>
  <c r="G1494" i="7"/>
  <c r="F1494" i="7"/>
  <c r="E1494" i="7"/>
  <c r="D1494" i="7"/>
  <c r="H1493" i="7"/>
  <c r="G1493" i="7"/>
  <c r="F1493" i="7"/>
  <c r="E1493" i="7"/>
  <c r="D1493" i="7"/>
  <c r="H1492" i="7"/>
  <c r="G1492" i="7"/>
  <c r="E1492" i="7"/>
  <c r="D1492" i="7"/>
  <c r="H1491" i="7"/>
  <c r="G1491" i="7"/>
  <c r="F1491" i="7"/>
  <c r="E1491" i="7"/>
  <c r="D1491" i="7"/>
  <c r="AD1490" i="7"/>
  <c r="H1490" i="7"/>
  <c r="G1490" i="7"/>
  <c r="F1490" i="7"/>
  <c r="E1490" i="7"/>
  <c r="D1490" i="7"/>
  <c r="AD1489" i="7"/>
  <c r="H1489" i="7"/>
  <c r="G1489" i="7"/>
  <c r="E1489" i="7"/>
  <c r="D1489" i="7"/>
  <c r="AD1488" i="7"/>
  <c r="H1488" i="7"/>
  <c r="G1488" i="7"/>
  <c r="E1488" i="7"/>
  <c r="D1488" i="7"/>
  <c r="AD1487" i="7"/>
  <c r="H1487" i="7"/>
  <c r="G1487" i="7"/>
  <c r="E1487" i="7"/>
  <c r="D1487" i="7"/>
  <c r="I1486" i="7"/>
  <c r="H1486" i="7"/>
  <c r="H1484" i="7"/>
  <c r="G1484" i="7"/>
  <c r="E1484" i="7"/>
  <c r="D1484" i="7"/>
  <c r="H1483" i="7"/>
  <c r="G1483" i="7"/>
  <c r="E1483" i="7"/>
  <c r="D1483" i="7"/>
  <c r="H1482" i="7"/>
  <c r="G1482" i="7"/>
  <c r="E1482" i="7"/>
  <c r="D1482" i="7"/>
  <c r="H1481" i="7"/>
  <c r="G1481" i="7"/>
  <c r="E1481" i="7"/>
  <c r="D1481" i="7"/>
  <c r="AD1480" i="7"/>
  <c r="H1480" i="7"/>
  <c r="G1480" i="7"/>
  <c r="E1480" i="7"/>
  <c r="D1480" i="7"/>
  <c r="AD1479" i="7"/>
  <c r="H1479" i="7"/>
  <c r="G1479" i="7"/>
  <c r="E1479" i="7"/>
  <c r="D1479" i="7"/>
  <c r="I1477" i="7"/>
  <c r="H1477" i="7"/>
  <c r="H1475" i="7"/>
  <c r="G1475" i="7"/>
  <c r="F1475" i="7"/>
  <c r="E1475" i="7"/>
  <c r="D1475" i="7"/>
  <c r="B1475" i="7"/>
  <c r="H1474" i="7"/>
  <c r="G1474" i="7"/>
  <c r="F1474" i="7"/>
  <c r="E1474" i="7"/>
  <c r="D1474" i="7"/>
  <c r="B1474" i="7"/>
  <c r="H1473" i="7"/>
  <c r="G1473" i="7"/>
  <c r="F1473" i="7"/>
  <c r="E1473" i="7"/>
  <c r="D1473" i="7"/>
  <c r="AD1472" i="7"/>
  <c r="H1472" i="7"/>
  <c r="G1472" i="7"/>
  <c r="F1472" i="7"/>
  <c r="E1472" i="7"/>
  <c r="D1472" i="7"/>
  <c r="AD1471" i="7"/>
  <c r="H1471" i="7"/>
  <c r="G1471" i="7"/>
  <c r="E1471" i="7"/>
  <c r="D1471" i="7"/>
  <c r="AD1470" i="7"/>
  <c r="H1470" i="7"/>
  <c r="G1470" i="7"/>
  <c r="E1470" i="7"/>
  <c r="D1470" i="7"/>
  <c r="AD1469" i="7"/>
  <c r="H1469" i="7"/>
  <c r="G1469" i="7"/>
  <c r="E1469" i="7"/>
  <c r="D1469" i="7"/>
  <c r="AD1468" i="7"/>
  <c r="H1468" i="7"/>
  <c r="G1468" i="7"/>
  <c r="E1468" i="7"/>
  <c r="D1468" i="7"/>
  <c r="AD1467" i="7"/>
  <c r="H1467" i="7"/>
  <c r="G1467" i="7"/>
  <c r="E1467" i="7"/>
  <c r="D1467" i="7"/>
  <c r="AD1466" i="7"/>
  <c r="H1466" i="7"/>
  <c r="G1466" i="7"/>
  <c r="E1466" i="7"/>
  <c r="D1466" i="7"/>
  <c r="I1464" i="7"/>
  <c r="H1464" i="7"/>
  <c r="H1462" i="7"/>
  <c r="G1462" i="7"/>
  <c r="F1462" i="7"/>
  <c r="E1462" i="7"/>
  <c r="D1462" i="7"/>
  <c r="B1462" i="7"/>
  <c r="H1461" i="7"/>
  <c r="G1461" i="7"/>
  <c r="F1461" i="7"/>
  <c r="E1461" i="7"/>
  <c r="D1461" i="7"/>
  <c r="B1461" i="7"/>
  <c r="AD1460" i="7"/>
  <c r="H1460" i="7"/>
  <c r="G1460" i="7"/>
  <c r="F1460" i="7"/>
  <c r="E1460" i="7"/>
  <c r="D1460" i="7"/>
  <c r="AD1459" i="7"/>
  <c r="H1459" i="7"/>
  <c r="G1459" i="7"/>
  <c r="F1459" i="7"/>
  <c r="E1459" i="7"/>
  <c r="D1459" i="7"/>
  <c r="AD1458" i="7"/>
  <c r="H1458" i="7"/>
  <c r="G1458" i="7"/>
  <c r="E1458" i="7"/>
  <c r="D1458" i="7"/>
  <c r="AD1457" i="7"/>
  <c r="H1457" i="7"/>
  <c r="G1457" i="7"/>
  <c r="E1457" i="7"/>
  <c r="D1457" i="7"/>
  <c r="I1455" i="7"/>
  <c r="H1455" i="7"/>
  <c r="H1453" i="7"/>
  <c r="G1453" i="7"/>
  <c r="E1453" i="7"/>
  <c r="D1453" i="7"/>
  <c r="H1452" i="7"/>
  <c r="G1452" i="7"/>
  <c r="E1452" i="7"/>
  <c r="D1452" i="7"/>
  <c r="H1451" i="7"/>
  <c r="G1451" i="7"/>
  <c r="E1451" i="7"/>
  <c r="D1451" i="7"/>
  <c r="AD1450" i="7"/>
  <c r="H1450" i="7"/>
  <c r="G1450" i="7"/>
  <c r="E1450" i="7"/>
  <c r="D1450" i="7"/>
  <c r="AD1449" i="7"/>
  <c r="H1449" i="7"/>
  <c r="G1449" i="7"/>
  <c r="E1449" i="7"/>
  <c r="D1449" i="7"/>
  <c r="I1447" i="7"/>
  <c r="H1447" i="7"/>
  <c r="H1445" i="7"/>
  <c r="G1445" i="7"/>
  <c r="E1445" i="7"/>
  <c r="D1445" i="7"/>
  <c r="H1444" i="7"/>
  <c r="G1444" i="7"/>
  <c r="E1444" i="7"/>
  <c r="D1444" i="7"/>
  <c r="H1443" i="7"/>
  <c r="G1443" i="7"/>
  <c r="E1443" i="7"/>
  <c r="D1443" i="7"/>
  <c r="AD1442" i="7"/>
  <c r="H1442" i="7"/>
  <c r="G1442" i="7"/>
  <c r="E1442" i="7"/>
  <c r="D1442" i="7"/>
  <c r="AD1441" i="7"/>
  <c r="H1441" i="7"/>
  <c r="G1441" i="7"/>
  <c r="E1441" i="7"/>
  <c r="D1441" i="7"/>
  <c r="I1439" i="7"/>
  <c r="H1439" i="7"/>
  <c r="H1437" i="7"/>
  <c r="G1437" i="7"/>
  <c r="E1437" i="7"/>
  <c r="D1437" i="7"/>
  <c r="H1436" i="7"/>
  <c r="G1436" i="7"/>
  <c r="E1436" i="7"/>
  <c r="D1436" i="7"/>
  <c r="H1435" i="7"/>
  <c r="G1435" i="7"/>
  <c r="E1435" i="7"/>
  <c r="D1435" i="7"/>
  <c r="AD1434" i="7"/>
  <c r="H1434" i="7"/>
  <c r="G1434" i="7"/>
  <c r="E1434" i="7"/>
  <c r="D1434" i="7"/>
  <c r="AD1433" i="7"/>
  <c r="H1433" i="7"/>
  <c r="G1433" i="7"/>
  <c r="E1433" i="7"/>
  <c r="D1433" i="7"/>
  <c r="I1431" i="7"/>
  <c r="H1431" i="7"/>
  <c r="H1429" i="7"/>
  <c r="G1429" i="7"/>
  <c r="E1429" i="7"/>
  <c r="D1429" i="7"/>
  <c r="H1428" i="7"/>
  <c r="G1428" i="7"/>
  <c r="E1428" i="7"/>
  <c r="D1428" i="7"/>
  <c r="H1427" i="7"/>
  <c r="G1427" i="7"/>
  <c r="E1427" i="7"/>
  <c r="D1427" i="7"/>
  <c r="AD1426" i="7"/>
  <c r="H1426" i="7"/>
  <c r="G1426" i="7"/>
  <c r="E1426" i="7"/>
  <c r="D1426" i="7"/>
  <c r="AD1425" i="7"/>
  <c r="H1425" i="7"/>
  <c r="G1425" i="7"/>
  <c r="E1425" i="7"/>
  <c r="D1425" i="7"/>
  <c r="I1423" i="7"/>
  <c r="H1423" i="7"/>
  <c r="H1421" i="7"/>
  <c r="G1421" i="7"/>
  <c r="F1421" i="7"/>
  <c r="E1421" i="7"/>
  <c r="D1421" i="7"/>
  <c r="H1420" i="7"/>
  <c r="G1420" i="7"/>
  <c r="E1420" i="7"/>
  <c r="D1420" i="7"/>
  <c r="H1419" i="7"/>
  <c r="G1419" i="7"/>
  <c r="E1419" i="7"/>
  <c r="D1419" i="7"/>
  <c r="H1418" i="7"/>
  <c r="G1418" i="7"/>
  <c r="E1418" i="7"/>
  <c r="D1418" i="7"/>
  <c r="AD1417" i="7"/>
  <c r="H1417" i="7"/>
  <c r="G1417" i="7"/>
  <c r="E1417" i="7"/>
  <c r="D1417" i="7"/>
  <c r="AD1416" i="7"/>
  <c r="H1416" i="7"/>
  <c r="G1416" i="7"/>
  <c r="E1416" i="7"/>
  <c r="D1416" i="7"/>
  <c r="AD1415" i="7"/>
  <c r="H1415" i="7"/>
  <c r="G1415" i="7"/>
  <c r="E1415" i="7"/>
  <c r="D1415" i="7"/>
  <c r="AD1414" i="7"/>
  <c r="H1414" i="7"/>
  <c r="G1414" i="7"/>
  <c r="E1414" i="7"/>
  <c r="D1414" i="7"/>
  <c r="AD1413" i="7"/>
  <c r="H1413" i="7"/>
  <c r="G1413" i="7"/>
  <c r="E1413" i="7"/>
  <c r="D1413" i="7"/>
  <c r="AD1412" i="7"/>
  <c r="H1412" i="7"/>
  <c r="G1412" i="7"/>
  <c r="E1412" i="7"/>
  <c r="D1412" i="7"/>
  <c r="I1410" i="7"/>
  <c r="H1410" i="7"/>
  <c r="H1408" i="7"/>
  <c r="G1408" i="7"/>
  <c r="F1408" i="7"/>
  <c r="E1408" i="7"/>
  <c r="D1408" i="7"/>
  <c r="H1407" i="7"/>
  <c r="G1407" i="7"/>
  <c r="E1407" i="7"/>
  <c r="D1407" i="7"/>
  <c r="H1406" i="7"/>
  <c r="G1406" i="7"/>
  <c r="E1406" i="7"/>
  <c r="D1406" i="7"/>
  <c r="H1405" i="7"/>
  <c r="G1405" i="7"/>
  <c r="F1405" i="7"/>
  <c r="E1405" i="7"/>
  <c r="D1405" i="7"/>
  <c r="AD1404" i="7"/>
  <c r="H1404" i="7"/>
  <c r="G1404" i="7"/>
  <c r="E1404" i="7"/>
  <c r="D1404" i="7"/>
  <c r="AD1403" i="7"/>
  <c r="H1403" i="7"/>
  <c r="G1403" i="7"/>
  <c r="E1403" i="7"/>
  <c r="D1403" i="7"/>
  <c r="AD1402" i="7"/>
  <c r="H1402" i="7"/>
  <c r="G1402" i="7"/>
  <c r="E1402" i="7"/>
  <c r="D1402" i="7"/>
  <c r="AD1401" i="7"/>
  <c r="H1401" i="7"/>
  <c r="G1401" i="7"/>
  <c r="E1401" i="7"/>
  <c r="D1401" i="7"/>
  <c r="AD1400" i="7"/>
  <c r="H1400" i="7"/>
  <c r="G1400" i="7"/>
  <c r="E1400" i="7"/>
  <c r="D1400" i="7"/>
  <c r="AD1399" i="7"/>
  <c r="H1399" i="7"/>
  <c r="G1399" i="7"/>
  <c r="E1399" i="7"/>
  <c r="D1399" i="7"/>
  <c r="I1397" i="7"/>
  <c r="H1397" i="7"/>
  <c r="H1395" i="7"/>
  <c r="G1395" i="7"/>
  <c r="E1395" i="7"/>
  <c r="D1395" i="7"/>
  <c r="B1395" i="7"/>
  <c r="H1394" i="7"/>
  <c r="G1394" i="7"/>
  <c r="E1394" i="7"/>
  <c r="D1394" i="7"/>
  <c r="B1394" i="7"/>
  <c r="H1393" i="7"/>
  <c r="G1393" i="7"/>
  <c r="E1393" i="7"/>
  <c r="D1393" i="7"/>
  <c r="H1392" i="7"/>
  <c r="G1392" i="7"/>
  <c r="E1392" i="7"/>
  <c r="D1392" i="7"/>
  <c r="H1391" i="7"/>
  <c r="G1391" i="7"/>
  <c r="F1391" i="7"/>
  <c r="E1391" i="7"/>
  <c r="D1391" i="7"/>
  <c r="AD1390" i="7"/>
  <c r="H1390" i="7"/>
  <c r="G1390" i="7"/>
  <c r="F1390" i="7"/>
  <c r="E1390" i="7"/>
  <c r="D1390" i="7"/>
  <c r="AD1389" i="7"/>
  <c r="H1389" i="7"/>
  <c r="G1389" i="7"/>
  <c r="F1389" i="7"/>
  <c r="E1389" i="7"/>
  <c r="D1389" i="7"/>
  <c r="AD1388" i="7"/>
  <c r="H1388" i="7"/>
  <c r="G1388" i="7"/>
  <c r="E1388" i="7"/>
  <c r="D1388" i="7"/>
  <c r="AD1387" i="7"/>
  <c r="H1387" i="7"/>
  <c r="G1387" i="7"/>
  <c r="E1387" i="7"/>
  <c r="D1387" i="7"/>
  <c r="I1385" i="7"/>
  <c r="H1385" i="7"/>
  <c r="H1383" i="7"/>
  <c r="G1383" i="7"/>
  <c r="F1383" i="7"/>
  <c r="E1383" i="7"/>
  <c r="D1383" i="7"/>
  <c r="H1382" i="7"/>
  <c r="G1382" i="7"/>
  <c r="E1382" i="7"/>
  <c r="D1382" i="7"/>
  <c r="AD1381" i="7"/>
  <c r="H1381" i="7"/>
  <c r="G1381" i="7"/>
  <c r="E1381" i="7"/>
  <c r="D1381" i="7"/>
  <c r="AD1380" i="7"/>
  <c r="H1380" i="7"/>
  <c r="G1380" i="7"/>
  <c r="E1380" i="7"/>
  <c r="D1380" i="7"/>
  <c r="I1378" i="7"/>
  <c r="H1378" i="7"/>
  <c r="H1376" i="7"/>
  <c r="G1376" i="7"/>
  <c r="E1376" i="7"/>
  <c r="D1376" i="7"/>
  <c r="H1375" i="7"/>
  <c r="G1375" i="7"/>
  <c r="E1375" i="7"/>
  <c r="D1375" i="7"/>
  <c r="H1374" i="7"/>
  <c r="G1374" i="7"/>
  <c r="E1374" i="7"/>
  <c r="D1374" i="7"/>
  <c r="H1373" i="7"/>
  <c r="G1373" i="7"/>
  <c r="F1373" i="7"/>
  <c r="E1373" i="7"/>
  <c r="D1373" i="7"/>
  <c r="H1372" i="7"/>
  <c r="G1372" i="7"/>
  <c r="E1372" i="7"/>
  <c r="D1372" i="7"/>
  <c r="H1371" i="7"/>
  <c r="G1371" i="7"/>
  <c r="E1371" i="7"/>
  <c r="D1371" i="7"/>
  <c r="AD1370" i="7"/>
  <c r="H1370" i="7"/>
  <c r="G1370" i="7"/>
  <c r="E1370" i="7"/>
  <c r="D1370" i="7"/>
  <c r="AD1369" i="7"/>
  <c r="H1369" i="7"/>
  <c r="G1369" i="7"/>
  <c r="E1369" i="7"/>
  <c r="D1369" i="7"/>
  <c r="I1367" i="7"/>
  <c r="H1367" i="7"/>
  <c r="H1365" i="7"/>
  <c r="G1365" i="7"/>
  <c r="E1365" i="7"/>
  <c r="D1365" i="7"/>
  <c r="H1364" i="7"/>
  <c r="G1364" i="7"/>
  <c r="E1364" i="7"/>
  <c r="D1364" i="7"/>
  <c r="H1363" i="7"/>
  <c r="G1363" i="7"/>
  <c r="E1363" i="7"/>
  <c r="D1363" i="7"/>
  <c r="AD1362" i="7"/>
  <c r="H1362" i="7"/>
  <c r="G1362" i="7"/>
  <c r="E1362" i="7"/>
  <c r="D1362" i="7"/>
  <c r="AD1361" i="7"/>
  <c r="H1361" i="7"/>
  <c r="G1361" i="7"/>
  <c r="E1361" i="7"/>
  <c r="D1361" i="7"/>
  <c r="AD1360" i="7"/>
  <c r="H1360" i="7"/>
  <c r="G1360" i="7"/>
  <c r="E1360" i="7"/>
  <c r="D1360" i="7"/>
  <c r="AD1359" i="7"/>
  <c r="H1359" i="7"/>
  <c r="G1359" i="7"/>
  <c r="F1359" i="7"/>
  <c r="E1359" i="7"/>
  <c r="D1359" i="7"/>
  <c r="AD1358" i="7"/>
  <c r="H1358" i="7"/>
  <c r="G1358" i="7"/>
  <c r="F1358" i="7"/>
  <c r="E1358" i="7"/>
  <c r="D1358" i="7"/>
  <c r="AD1357" i="7"/>
  <c r="H1357" i="7"/>
  <c r="G1357" i="7"/>
  <c r="F1357" i="7"/>
  <c r="E1357" i="7"/>
  <c r="D1357" i="7"/>
  <c r="AD1356" i="7"/>
  <c r="H1356" i="7"/>
  <c r="G1356" i="7"/>
  <c r="E1356" i="7"/>
  <c r="D1356" i="7"/>
  <c r="I1354" i="7"/>
  <c r="H1354" i="7"/>
  <c r="H1352" i="7"/>
  <c r="G1352" i="7"/>
  <c r="E1352" i="7"/>
  <c r="D1352" i="7"/>
  <c r="B1352" i="7"/>
  <c r="H1351" i="7"/>
  <c r="G1351" i="7"/>
  <c r="E1351" i="7"/>
  <c r="D1351" i="7"/>
  <c r="H1350" i="7"/>
  <c r="G1350" i="7"/>
  <c r="E1350" i="7"/>
  <c r="D1350" i="7"/>
  <c r="AD1349" i="7"/>
  <c r="H1349" i="7"/>
  <c r="G1349" i="7"/>
  <c r="E1349" i="7"/>
  <c r="D1349" i="7"/>
  <c r="AD1348" i="7"/>
  <c r="H1348" i="7"/>
  <c r="G1348" i="7"/>
  <c r="E1348" i="7"/>
  <c r="D1348" i="7"/>
  <c r="I1346" i="7"/>
  <c r="H1346" i="7"/>
  <c r="H1344" i="7"/>
  <c r="G1344" i="7"/>
  <c r="E1344" i="7"/>
  <c r="D1344" i="7"/>
  <c r="B1344" i="7"/>
  <c r="H1343" i="7"/>
  <c r="G1343" i="7"/>
  <c r="E1343" i="7"/>
  <c r="D1343" i="7"/>
  <c r="H1342" i="7"/>
  <c r="G1342" i="7"/>
  <c r="E1342" i="7"/>
  <c r="D1342" i="7"/>
  <c r="AD1341" i="7"/>
  <c r="H1341" i="7"/>
  <c r="G1341" i="7"/>
  <c r="E1341" i="7"/>
  <c r="D1341" i="7"/>
  <c r="I1339" i="7"/>
  <c r="H1339" i="7"/>
  <c r="H1337" i="7"/>
  <c r="G1337" i="7"/>
  <c r="F1337" i="7"/>
  <c r="E1337" i="7"/>
  <c r="D1337" i="7"/>
  <c r="H1336" i="7"/>
  <c r="G1336" i="7"/>
  <c r="E1336" i="7"/>
  <c r="D1336" i="7"/>
  <c r="H1335" i="7"/>
  <c r="G1335" i="7"/>
  <c r="E1335" i="7"/>
  <c r="D1335" i="7"/>
  <c r="H1334" i="7"/>
  <c r="G1334" i="7"/>
  <c r="E1334" i="7"/>
  <c r="D1334" i="7"/>
  <c r="H1333" i="7"/>
  <c r="G1333" i="7"/>
  <c r="F1333" i="7"/>
  <c r="E1333" i="7"/>
  <c r="D1333" i="7"/>
  <c r="AD1332" i="7"/>
  <c r="H1332" i="7"/>
  <c r="G1332" i="7"/>
  <c r="E1332" i="7"/>
  <c r="D1332" i="7"/>
  <c r="AD1331" i="7"/>
  <c r="H1331" i="7"/>
  <c r="G1331" i="7"/>
  <c r="E1331" i="7"/>
  <c r="D1331" i="7"/>
  <c r="AD1330" i="7"/>
  <c r="H1330" i="7"/>
  <c r="G1330" i="7"/>
  <c r="E1330" i="7"/>
  <c r="D1330" i="7"/>
  <c r="AD1329" i="7"/>
  <c r="H1329" i="7"/>
  <c r="G1329" i="7"/>
  <c r="E1329" i="7"/>
  <c r="D1329" i="7"/>
  <c r="I1327" i="7"/>
  <c r="H1327" i="7"/>
  <c r="H1325" i="7"/>
  <c r="G1325" i="7"/>
  <c r="E1325" i="7"/>
  <c r="D1325" i="7"/>
  <c r="AD1324" i="7"/>
  <c r="H1324" i="7"/>
  <c r="G1324" i="7"/>
  <c r="F1324" i="7"/>
  <c r="E1324" i="7"/>
  <c r="D1324" i="7"/>
  <c r="AD1323" i="7"/>
  <c r="H1323" i="7"/>
  <c r="G1323" i="7"/>
  <c r="E1323" i="7"/>
  <c r="D1323" i="7"/>
  <c r="AD1322" i="7"/>
  <c r="H1322" i="7"/>
  <c r="G1322" i="7"/>
  <c r="F1322" i="7"/>
  <c r="E1322" i="7"/>
  <c r="D1322" i="7"/>
  <c r="AD1321" i="7"/>
  <c r="H1321" i="7"/>
  <c r="G1321" i="7"/>
  <c r="F1321" i="7"/>
  <c r="E1321" i="7"/>
  <c r="D1321" i="7"/>
  <c r="I1319" i="7"/>
  <c r="H1319" i="7"/>
  <c r="AD1317" i="7"/>
  <c r="H1317" i="7"/>
  <c r="G1317" i="7"/>
  <c r="E1317" i="7"/>
  <c r="D1317" i="7"/>
  <c r="H1316" i="7"/>
  <c r="G1316" i="7"/>
  <c r="E1316" i="7"/>
  <c r="D1316" i="7"/>
  <c r="B1316" i="7"/>
  <c r="I1314" i="7"/>
  <c r="H1314" i="7"/>
  <c r="H1312" i="7"/>
  <c r="G1312" i="7"/>
  <c r="E1312" i="7"/>
  <c r="D1312" i="7"/>
  <c r="H1311" i="7"/>
  <c r="G1311" i="7"/>
  <c r="E1311" i="7"/>
  <c r="D1311" i="7"/>
  <c r="H1310" i="7"/>
  <c r="G1310" i="7"/>
  <c r="E1310" i="7"/>
  <c r="D1310" i="7"/>
  <c r="AD1309" i="7"/>
  <c r="H1309" i="7"/>
  <c r="G1309" i="7"/>
  <c r="E1309" i="7"/>
  <c r="D1309" i="7"/>
  <c r="I1307" i="7"/>
  <c r="H1307" i="7"/>
  <c r="H1305" i="7"/>
  <c r="G1305" i="7"/>
  <c r="F1305" i="7"/>
  <c r="E1305" i="7"/>
  <c r="D1305" i="7"/>
  <c r="H1304" i="7"/>
  <c r="G1304" i="7"/>
  <c r="E1304" i="7"/>
  <c r="D1304" i="7"/>
  <c r="H1303" i="7"/>
  <c r="G1303" i="7"/>
  <c r="E1303" i="7"/>
  <c r="D1303" i="7"/>
  <c r="AD1302" i="7"/>
  <c r="H1302" i="7"/>
  <c r="G1302" i="7"/>
  <c r="E1302" i="7"/>
  <c r="D1302" i="7"/>
  <c r="AD1301" i="7"/>
  <c r="H1301" i="7"/>
  <c r="G1301" i="7"/>
  <c r="E1301" i="7"/>
  <c r="D1301" i="7"/>
  <c r="I1299" i="7"/>
  <c r="H1299" i="7"/>
  <c r="H1297" i="7"/>
  <c r="G1297" i="7"/>
  <c r="E1297" i="7"/>
  <c r="D1297" i="7"/>
  <c r="B1297" i="7"/>
  <c r="H1296" i="7"/>
  <c r="G1296" i="7"/>
  <c r="E1296" i="7"/>
  <c r="D1296" i="7"/>
  <c r="H1295" i="7"/>
  <c r="G1295" i="7"/>
  <c r="E1295" i="7"/>
  <c r="D1295" i="7"/>
  <c r="H1294" i="7"/>
  <c r="G1294" i="7"/>
  <c r="E1294" i="7"/>
  <c r="D1294" i="7"/>
  <c r="H1293" i="7"/>
  <c r="G1293" i="7"/>
  <c r="F1293" i="7"/>
  <c r="E1293" i="7"/>
  <c r="D1293" i="7"/>
  <c r="AD1292" i="7"/>
  <c r="H1292" i="7"/>
  <c r="G1292" i="7"/>
  <c r="E1292" i="7"/>
  <c r="D1292" i="7"/>
  <c r="AD1291" i="7"/>
  <c r="H1291" i="7"/>
  <c r="G1291" i="7"/>
  <c r="E1291" i="7"/>
  <c r="D1291" i="7"/>
  <c r="I1289" i="7"/>
  <c r="H1289" i="7"/>
  <c r="H1287" i="7"/>
  <c r="G1287" i="7"/>
  <c r="F1287" i="7"/>
  <c r="E1287" i="7"/>
  <c r="D1287" i="7"/>
  <c r="H1286" i="7"/>
  <c r="G1286" i="7"/>
  <c r="F1286" i="7"/>
  <c r="E1286" i="7"/>
  <c r="D1286" i="7"/>
  <c r="H1285" i="7"/>
  <c r="G1285" i="7"/>
  <c r="E1285" i="7"/>
  <c r="D1285" i="7"/>
  <c r="H1284" i="7"/>
  <c r="G1284" i="7"/>
  <c r="E1284" i="7"/>
  <c r="D1284" i="7"/>
  <c r="H1283" i="7"/>
  <c r="G1283" i="7"/>
  <c r="F1283" i="7"/>
  <c r="E1283" i="7"/>
  <c r="D1283" i="7"/>
  <c r="AD1282" i="7"/>
  <c r="H1282" i="7"/>
  <c r="G1282" i="7"/>
  <c r="E1282" i="7"/>
  <c r="D1282" i="7"/>
  <c r="AD1281" i="7"/>
  <c r="H1281" i="7"/>
  <c r="G1281" i="7"/>
  <c r="E1281" i="7"/>
  <c r="D1281" i="7"/>
  <c r="I1279" i="7"/>
  <c r="H1279" i="7"/>
  <c r="H1277" i="7"/>
  <c r="G1277" i="7"/>
  <c r="F1277" i="7"/>
  <c r="E1277" i="7"/>
  <c r="D1277" i="7"/>
  <c r="B1277" i="7"/>
  <c r="H1276" i="7"/>
  <c r="G1276" i="7"/>
  <c r="E1276" i="7"/>
  <c r="D1276" i="7"/>
  <c r="AD1275" i="7"/>
  <c r="H1275" i="7"/>
  <c r="G1275" i="7"/>
  <c r="F1275" i="7"/>
  <c r="E1275" i="7"/>
  <c r="D1275" i="7"/>
  <c r="AD1274" i="7"/>
  <c r="H1274" i="7"/>
  <c r="G1274" i="7"/>
  <c r="E1274" i="7"/>
  <c r="D1274" i="7"/>
  <c r="I1272" i="7"/>
  <c r="H1272" i="7"/>
  <c r="H1270" i="7"/>
  <c r="G1270" i="7"/>
  <c r="E1270" i="7"/>
  <c r="D1270" i="7"/>
  <c r="H1269" i="7"/>
  <c r="G1269" i="7"/>
  <c r="E1269" i="7"/>
  <c r="D1269" i="7"/>
  <c r="AD1268" i="7"/>
  <c r="H1268" i="7"/>
  <c r="G1268" i="7"/>
  <c r="E1268" i="7"/>
  <c r="D1268" i="7"/>
  <c r="AD1267" i="7"/>
  <c r="H1267" i="7"/>
  <c r="G1267" i="7"/>
  <c r="E1267" i="7"/>
  <c r="D1267" i="7"/>
  <c r="I1265" i="7"/>
  <c r="H1265" i="7"/>
  <c r="H1263" i="7"/>
  <c r="G1263" i="7"/>
  <c r="E1263" i="7"/>
  <c r="D1263" i="7"/>
  <c r="AD1262" i="7"/>
  <c r="H1262" i="7"/>
  <c r="G1262" i="7"/>
  <c r="E1262" i="7"/>
  <c r="D1262" i="7"/>
  <c r="AD1261" i="7"/>
  <c r="H1261" i="7"/>
  <c r="G1261" i="7"/>
  <c r="E1261" i="7"/>
  <c r="D1261" i="7"/>
  <c r="I1259" i="7"/>
  <c r="H1259" i="7"/>
  <c r="AG1257" i="7"/>
  <c r="AF1257" i="7"/>
  <c r="H1257" i="7"/>
  <c r="G1257" i="7"/>
  <c r="F1257" i="7"/>
  <c r="E1257" i="7"/>
  <c r="D1257" i="7"/>
  <c r="H1256" i="7"/>
  <c r="G1256" i="7"/>
  <c r="E1256" i="7"/>
  <c r="D1256" i="7"/>
  <c r="H1255" i="7"/>
  <c r="G1255" i="7"/>
  <c r="E1255" i="7"/>
  <c r="D1255" i="7"/>
  <c r="AD1254" i="7"/>
  <c r="H1254" i="7"/>
  <c r="G1254" i="7"/>
  <c r="E1254" i="7"/>
  <c r="D1254" i="7"/>
  <c r="AD1253" i="7"/>
  <c r="H1253" i="7"/>
  <c r="G1253" i="7"/>
  <c r="E1253" i="7"/>
  <c r="D1253" i="7"/>
  <c r="I1251" i="7"/>
  <c r="H1251" i="7"/>
  <c r="AE1249" i="7"/>
  <c r="H1249" i="7"/>
  <c r="G1249" i="7"/>
  <c r="E1249" i="7"/>
  <c r="D1249" i="7"/>
  <c r="B1249" i="7"/>
  <c r="H1248" i="7"/>
  <c r="G1248" i="7"/>
  <c r="E1248" i="7"/>
  <c r="D1248" i="7"/>
  <c r="H1247" i="7"/>
  <c r="G1247" i="7"/>
  <c r="E1247" i="7"/>
  <c r="D1247" i="7"/>
  <c r="AD1246" i="7"/>
  <c r="H1246" i="7"/>
  <c r="G1246" i="7"/>
  <c r="E1246" i="7"/>
  <c r="D1246" i="7"/>
  <c r="AD1245" i="7"/>
  <c r="H1245" i="7"/>
  <c r="G1245" i="7"/>
  <c r="E1245" i="7"/>
  <c r="D1245" i="7"/>
  <c r="I1243" i="7"/>
  <c r="H1243" i="7"/>
  <c r="AF1242" i="7"/>
  <c r="AF1241" i="7"/>
  <c r="H1241" i="7"/>
  <c r="G1241" i="7"/>
  <c r="E1241" i="7"/>
  <c r="D1241" i="7"/>
  <c r="AF1240" i="7"/>
  <c r="AE1240" i="7"/>
  <c r="H1240" i="7"/>
  <c r="G1240" i="7"/>
  <c r="E1240" i="7"/>
  <c r="D1240" i="7"/>
  <c r="H1239" i="7"/>
  <c r="G1239" i="7"/>
  <c r="E1239" i="7"/>
  <c r="D1239" i="7"/>
  <c r="AD1238" i="7"/>
  <c r="H1238" i="7"/>
  <c r="G1238" i="7"/>
  <c r="E1238" i="7"/>
  <c r="D1238" i="7"/>
  <c r="AD1237" i="7"/>
  <c r="H1237" i="7"/>
  <c r="G1237" i="7"/>
  <c r="E1237" i="7"/>
  <c r="D1237" i="7"/>
  <c r="I1235" i="7"/>
  <c r="H1235" i="7"/>
  <c r="H1233" i="7"/>
  <c r="G1233" i="7"/>
  <c r="F1233" i="7"/>
  <c r="E1233" i="7"/>
  <c r="D1233" i="7"/>
  <c r="B1233" i="7"/>
  <c r="H1232" i="7"/>
  <c r="G1232" i="7"/>
  <c r="E1232" i="7"/>
  <c r="D1232" i="7"/>
  <c r="B1232" i="7"/>
  <c r="H1231" i="7"/>
  <c r="G1231" i="7"/>
  <c r="E1231" i="7"/>
  <c r="D1231" i="7"/>
  <c r="H1230" i="7"/>
  <c r="G1230" i="7"/>
  <c r="E1230" i="7"/>
  <c r="D1230" i="7"/>
  <c r="H1229" i="7"/>
  <c r="G1229" i="7"/>
  <c r="F1229" i="7"/>
  <c r="E1229" i="7"/>
  <c r="D1229" i="7"/>
  <c r="AD1228" i="7"/>
  <c r="H1228" i="7"/>
  <c r="G1228" i="7"/>
  <c r="F1228" i="7"/>
  <c r="E1228" i="7"/>
  <c r="D1228" i="7"/>
  <c r="AD1227" i="7"/>
  <c r="H1227" i="7"/>
  <c r="G1227" i="7"/>
  <c r="F1227" i="7"/>
  <c r="E1227" i="7"/>
  <c r="D1227" i="7"/>
  <c r="AD1226" i="7"/>
  <c r="H1226" i="7"/>
  <c r="G1226" i="7"/>
  <c r="E1226" i="7"/>
  <c r="D1226" i="7"/>
  <c r="AD1225" i="7"/>
  <c r="H1225" i="7"/>
  <c r="G1225" i="7"/>
  <c r="E1225" i="7"/>
  <c r="D1225" i="7"/>
  <c r="I1223" i="7"/>
  <c r="H1223" i="7"/>
  <c r="H1221" i="7"/>
  <c r="G1221" i="7"/>
  <c r="E1221" i="7"/>
  <c r="D1221" i="7"/>
  <c r="B1221" i="7"/>
  <c r="AD1220" i="7"/>
  <c r="H1220" i="7"/>
  <c r="G1220" i="7"/>
  <c r="E1220" i="7"/>
  <c r="D1220" i="7"/>
  <c r="I1218" i="7"/>
  <c r="H1218" i="7"/>
  <c r="H1216" i="7"/>
  <c r="G1216" i="7"/>
  <c r="F1216" i="7"/>
  <c r="E1216" i="7"/>
  <c r="D1216" i="7"/>
  <c r="H1215" i="7"/>
  <c r="G1215" i="7"/>
  <c r="F1215" i="7"/>
  <c r="E1215" i="7"/>
  <c r="D1215" i="7"/>
  <c r="B1215" i="7"/>
  <c r="H1214" i="7"/>
  <c r="G1214" i="7"/>
  <c r="E1214" i="7"/>
  <c r="D1214" i="7"/>
  <c r="B1214" i="7"/>
  <c r="H1213" i="7"/>
  <c r="G1213" i="7"/>
  <c r="F1213" i="7"/>
  <c r="E1213" i="7"/>
  <c r="D1213" i="7"/>
  <c r="B1213" i="7"/>
  <c r="H1212" i="7"/>
  <c r="G1212" i="7"/>
  <c r="F1212" i="7"/>
  <c r="E1212" i="7"/>
  <c r="D1212" i="7"/>
  <c r="B1212" i="7"/>
  <c r="H1211" i="7"/>
  <c r="G1211" i="7"/>
  <c r="F1211" i="7"/>
  <c r="E1211" i="7"/>
  <c r="D1211" i="7"/>
  <c r="H1210" i="7"/>
  <c r="G1210" i="7"/>
  <c r="F1210" i="7"/>
  <c r="E1210" i="7"/>
  <c r="D1210" i="7"/>
  <c r="H1209" i="7"/>
  <c r="G1209" i="7"/>
  <c r="E1209" i="7"/>
  <c r="D1209" i="7"/>
  <c r="H1208" i="7"/>
  <c r="G1208" i="7"/>
  <c r="F1208" i="7"/>
  <c r="E1208" i="7"/>
  <c r="D1208" i="7"/>
  <c r="H1207" i="7"/>
  <c r="G1207" i="7"/>
  <c r="E1207" i="7"/>
  <c r="D1207" i="7"/>
  <c r="H1206" i="7"/>
  <c r="G1206" i="7"/>
  <c r="F1206" i="7"/>
  <c r="E1206" i="7"/>
  <c r="D1206" i="7"/>
  <c r="AD1205" i="7"/>
  <c r="H1205" i="7"/>
  <c r="G1205" i="7"/>
  <c r="F1205" i="7"/>
  <c r="E1205" i="7"/>
  <c r="D1205" i="7"/>
  <c r="AD1204" i="7"/>
  <c r="H1204" i="7"/>
  <c r="G1204" i="7"/>
  <c r="F1204" i="7"/>
  <c r="E1204" i="7"/>
  <c r="D1204" i="7"/>
  <c r="AD1203" i="7"/>
  <c r="H1203" i="7"/>
  <c r="G1203" i="7"/>
  <c r="E1203" i="7"/>
  <c r="D1203" i="7"/>
  <c r="AD1202" i="7"/>
  <c r="H1202" i="7"/>
  <c r="G1202" i="7"/>
  <c r="E1202" i="7"/>
  <c r="D1202" i="7"/>
  <c r="I1200" i="7"/>
  <c r="H1200" i="7"/>
  <c r="H1198" i="7"/>
  <c r="G1198" i="7"/>
  <c r="E1198" i="7"/>
  <c r="D1198" i="7"/>
  <c r="AD1197" i="7"/>
  <c r="H1197" i="7"/>
  <c r="G1197" i="7"/>
  <c r="F1197" i="7"/>
  <c r="E1197" i="7"/>
  <c r="D1197" i="7"/>
  <c r="AD1196" i="7"/>
  <c r="H1196" i="7"/>
  <c r="G1196" i="7"/>
  <c r="E1196" i="7"/>
  <c r="D1196" i="7"/>
  <c r="AD1195" i="7"/>
  <c r="H1195" i="7"/>
  <c r="G1195" i="7"/>
  <c r="F1195" i="7"/>
  <c r="E1195" i="7"/>
  <c r="D1195" i="7"/>
  <c r="AD1194" i="7"/>
  <c r="H1194" i="7"/>
  <c r="G1194" i="7"/>
  <c r="F1194" i="7"/>
  <c r="E1194" i="7"/>
  <c r="D1194" i="7"/>
  <c r="I1192" i="7"/>
  <c r="H1192" i="7"/>
  <c r="H1190" i="7"/>
  <c r="G1190" i="7"/>
  <c r="F1190" i="7"/>
  <c r="E1190" i="7"/>
  <c r="D1190" i="7"/>
  <c r="B1190" i="7"/>
  <c r="AD1189" i="7"/>
  <c r="H1189" i="7"/>
  <c r="G1189" i="7"/>
  <c r="F1189" i="7"/>
  <c r="E1189" i="7"/>
  <c r="D1189" i="7"/>
  <c r="AD1188" i="7"/>
  <c r="H1188" i="7"/>
  <c r="G1188" i="7"/>
  <c r="E1188" i="7"/>
  <c r="D1188" i="7"/>
  <c r="H1187" i="7"/>
  <c r="G1187" i="7"/>
  <c r="E1187" i="7"/>
  <c r="D1187" i="7"/>
  <c r="H1186" i="7"/>
  <c r="G1186" i="7"/>
  <c r="E1186" i="7"/>
  <c r="D1186" i="7"/>
  <c r="AD1185" i="7"/>
  <c r="H1185" i="7"/>
  <c r="G1185" i="7"/>
  <c r="E1185" i="7"/>
  <c r="D1185" i="7"/>
  <c r="AD1184" i="7"/>
  <c r="H1184" i="7"/>
  <c r="G1184" i="7"/>
  <c r="E1184" i="7"/>
  <c r="D1184" i="7"/>
  <c r="I1181" i="7"/>
  <c r="H1181" i="7"/>
  <c r="H1179" i="7"/>
  <c r="G1179" i="7"/>
  <c r="F1179" i="7"/>
  <c r="E1179" i="7"/>
  <c r="D1179" i="7"/>
  <c r="B1179" i="7"/>
  <c r="H1178" i="7"/>
  <c r="G1178" i="7"/>
  <c r="F1178" i="7"/>
  <c r="E1178" i="7"/>
  <c r="D1178" i="7"/>
  <c r="B1178" i="7"/>
  <c r="H1177" i="7"/>
  <c r="G1177" i="7"/>
  <c r="E1177" i="7"/>
  <c r="D1177" i="7"/>
  <c r="H1176" i="7"/>
  <c r="G1176" i="7"/>
  <c r="E1176" i="7"/>
  <c r="H1175" i="7"/>
  <c r="G1175" i="7"/>
  <c r="F1175" i="7"/>
  <c r="E1175" i="7"/>
  <c r="D1175" i="7"/>
  <c r="H1174" i="7"/>
  <c r="G1174" i="7"/>
  <c r="E1174" i="7"/>
  <c r="D1174" i="7"/>
  <c r="AD1173" i="7"/>
  <c r="H1173" i="7"/>
  <c r="G1173" i="7"/>
  <c r="F1173" i="7"/>
  <c r="E1173" i="7"/>
  <c r="D1173" i="7"/>
  <c r="AD1172" i="7"/>
  <c r="H1172" i="7"/>
  <c r="G1172" i="7"/>
  <c r="F1172" i="7"/>
  <c r="E1172" i="7"/>
  <c r="D1172" i="7"/>
  <c r="AD1171" i="7"/>
  <c r="H1171" i="7"/>
  <c r="G1171" i="7"/>
  <c r="F1171" i="7"/>
  <c r="E1171" i="7"/>
  <c r="D1171" i="7"/>
  <c r="AD1170" i="7"/>
  <c r="H1170" i="7"/>
  <c r="G1170" i="7"/>
  <c r="E1170" i="7"/>
  <c r="D1170" i="7"/>
  <c r="I1168" i="7"/>
  <c r="H1168" i="7"/>
  <c r="H1166" i="7"/>
  <c r="G1166" i="7"/>
  <c r="E1166" i="7"/>
  <c r="D1166" i="7"/>
  <c r="B1166" i="7"/>
  <c r="AD1165" i="7"/>
  <c r="H1165" i="7"/>
  <c r="G1165" i="7"/>
  <c r="E1165" i="7"/>
  <c r="D1165" i="7"/>
  <c r="AD1164" i="7"/>
  <c r="H1164" i="7"/>
  <c r="G1164" i="7"/>
  <c r="E1164" i="7"/>
  <c r="D1164" i="7"/>
  <c r="I1162" i="7"/>
  <c r="H1162" i="7"/>
  <c r="H1160" i="7"/>
  <c r="G1160" i="7"/>
  <c r="E1160" i="7"/>
  <c r="D1160" i="7"/>
  <c r="AD1159" i="7"/>
  <c r="H1159" i="7"/>
  <c r="G1159" i="7"/>
  <c r="E1159" i="7"/>
  <c r="D1159" i="7"/>
  <c r="I1157" i="7"/>
  <c r="H1157" i="7"/>
  <c r="H1155" i="7"/>
  <c r="G1155" i="7"/>
  <c r="E1155" i="7"/>
  <c r="D1155" i="7"/>
  <c r="AD1154" i="7"/>
  <c r="H1154" i="7"/>
  <c r="G1154" i="7"/>
  <c r="E1154" i="7"/>
  <c r="D1154" i="7"/>
  <c r="I1152" i="7"/>
  <c r="H1152" i="7"/>
  <c r="H1150" i="7"/>
  <c r="G1150" i="7"/>
  <c r="E1150" i="7"/>
  <c r="D1150" i="7"/>
  <c r="AD1149" i="7"/>
  <c r="H1149" i="7"/>
  <c r="G1149" i="7"/>
  <c r="E1149" i="7"/>
  <c r="D1149" i="7"/>
  <c r="I1147" i="7"/>
  <c r="H1147" i="7"/>
  <c r="H1145" i="7"/>
  <c r="G1145" i="7"/>
  <c r="E1145" i="7"/>
  <c r="D1145" i="7"/>
  <c r="B1145" i="7"/>
  <c r="H1144" i="7"/>
  <c r="G1144" i="7"/>
  <c r="E1144" i="7"/>
  <c r="D1144" i="7"/>
  <c r="H1143" i="7"/>
  <c r="G1143" i="7"/>
  <c r="E1143" i="7"/>
  <c r="D1143" i="7"/>
  <c r="AD1142" i="7"/>
  <c r="H1142" i="7"/>
  <c r="G1142" i="7"/>
  <c r="E1142" i="7"/>
  <c r="D1142" i="7"/>
  <c r="I1140" i="7"/>
  <c r="H1140" i="7"/>
  <c r="H1138" i="7"/>
  <c r="G1138" i="7"/>
  <c r="E1138" i="7"/>
  <c r="D1138" i="7"/>
  <c r="B1138" i="7"/>
  <c r="H1137" i="7"/>
  <c r="G1137" i="7"/>
  <c r="E1137" i="7"/>
  <c r="D1137" i="7"/>
  <c r="AD1136" i="7"/>
  <c r="H1136" i="7"/>
  <c r="G1136" i="7"/>
  <c r="F1136" i="7"/>
  <c r="E1136" i="7"/>
  <c r="D1136" i="7"/>
  <c r="I1134" i="7"/>
  <c r="H1134" i="7"/>
  <c r="H1132" i="7"/>
  <c r="G1132" i="7"/>
  <c r="E1132" i="7"/>
  <c r="D1132" i="7"/>
  <c r="B1132" i="7"/>
  <c r="H1131" i="7"/>
  <c r="G1131" i="7"/>
  <c r="E1131" i="7"/>
  <c r="D1131" i="7"/>
  <c r="AD1130" i="7"/>
  <c r="H1130" i="7"/>
  <c r="G1130" i="7"/>
  <c r="E1130" i="7"/>
  <c r="D1130" i="7"/>
  <c r="I1128" i="7"/>
  <c r="H1128" i="7"/>
  <c r="H1126" i="7"/>
  <c r="G1126" i="7"/>
  <c r="E1126" i="7"/>
  <c r="D1126" i="7"/>
  <c r="B1126" i="7"/>
  <c r="H1125" i="7"/>
  <c r="G1125" i="7"/>
  <c r="E1125" i="7"/>
  <c r="D1125" i="7"/>
  <c r="AD1124" i="7"/>
  <c r="H1124" i="7"/>
  <c r="G1124" i="7"/>
  <c r="E1124" i="7"/>
  <c r="D1124" i="7"/>
  <c r="I1122" i="7"/>
  <c r="H1122" i="7"/>
  <c r="H1120" i="7"/>
  <c r="G1120" i="7"/>
  <c r="E1120" i="7"/>
  <c r="D1120" i="7"/>
  <c r="H1119" i="7"/>
  <c r="G1119" i="7"/>
  <c r="E1119" i="7"/>
  <c r="D1119" i="7"/>
  <c r="AD1118" i="7"/>
  <c r="H1118" i="7"/>
  <c r="G1118" i="7"/>
  <c r="E1118" i="7"/>
  <c r="D1118" i="7"/>
  <c r="AD1117" i="7"/>
  <c r="H1117" i="7"/>
  <c r="G1117" i="7"/>
  <c r="E1117" i="7"/>
  <c r="D1117" i="7"/>
  <c r="I1115" i="7"/>
  <c r="H1115" i="7"/>
  <c r="H1113" i="7"/>
  <c r="G1113" i="7"/>
  <c r="E1113" i="7"/>
  <c r="D1113" i="7"/>
  <c r="H1112" i="7"/>
  <c r="G1112" i="7"/>
  <c r="E1112" i="7"/>
  <c r="D1112" i="7"/>
  <c r="AD1111" i="7"/>
  <c r="H1111" i="7"/>
  <c r="G1111" i="7"/>
  <c r="E1111" i="7"/>
  <c r="D1111" i="7"/>
  <c r="AD1110" i="7"/>
  <c r="H1110" i="7"/>
  <c r="G1110" i="7"/>
  <c r="E1110" i="7"/>
  <c r="D1110" i="7"/>
  <c r="AD1109" i="7"/>
  <c r="H1109" i="7"/>
  <c r="G1109" i="7"/>
  <c r="E1109" i="7"/>
  <c r="D1109" i="7"/>
  <c r="AD1108" i="7"/>
  <c r="H1108" i="7"/>
  <c r="G1108" i="7"/>
  <c r="E1108" i="7"/>
  <c r="D1108" i="7"/>
  <c r="I1106" i="7"/>
  <c r="H1106" i="7"/>
  <c r="H1104" i="7"/>
  <c r="G1104" i="7"/>
  <c r="E1104" i="7"/>
  <c r="D1104" i="7"/>
  <c r="H1103" i="7"/>
  <c r="G1103" i="7"/>
  <c r="E1103" i="7"/>
  <c r="D1103" i="7"/>
  <c r="AD1102" i="7"/>
  <c r="H1102" i="7"/>
  <c r="G1102" i="7"/>
  <c r="E1102" i="7"/>
  <c r="D1102" i="7"/>
  <c r="AD1101" i="7"/>
  <c r="H1101" i="7"/>
  <c r="G1101" i="7"/>
  <c r="E1101" i="7"/>
  <c r="D1101" i="7"/>
  <c r="AD1100" i="7"/>
  <c r="H1100" i="7"/>
  <c r="G1100" i="7"/>
  <c r="E1100" i="7"/>
  <c r="D1100" i="7"/>
  <c r="AD1099" i="7"/>
  <c r="H1099" i="7"/>
  <c r="G1099" i="7"/>
  <c r="E1099" i="7"/>
  <c r="D1099" i="7"/>
  <c r="I1097" i="7"/>
  <c r="H1097" i="7"/>
  <c r="H1095" i="7"/>
  <c r="G1095" i="7"/>
  <c r="E1095" i="7"/>
  <c r="D1095" i="7"/>
  <c r="H1094" i="7"/>
  <c r="G1094" i="7"/>
  <c r="E1094" i="7"/>
  <c r="D1094" i="7"/>
  <c r="H1093" i="7"/>
  <c r="G1093" i="7"/>
  <c r="E1093" i="7"/>
  <c r="D1093" i="7"/>
  <c r="H1092" i="7"/>
  <c r="G1092" i="7"/>
  <c r="E1092" i="7"/>
  <c r="D1092" i="7"/>
  <c r="H1091" i="7"/>
  <c r="G1091" i="7"/>
  <c r="F1091" i="7"/>
  <c r="E1091" i="7"/>
  <c r="D1091" i="7"/>
  <c r="AD1090" i="7"/>
  <c r="H1090" i="7"/>
  <c r="G1090" i="7"/>
  <c r="E1090" i="7"/>
  <c r="D1090" i="7"/>
  <c r="AD1089" i="7"/>
  <c r="H1089" i="7"/>
  <c r="G1089" i="7"/>
  <c r="E1089" i="7"/>
  <c r="D1089" i="7"/>
  <c r="AD1088" i="7"/>
  <c r="H1088" i="7"/>
  <c r="G1088" i="7"/>
  <c r="E1088" i="7"/>
  <c r="D1088" i="7"/>
  <c r="AD1087" i="7"/>
  <c r="H1087" i="7"/>
  <c r="G1087" i="7"/>
  <c r="E1087" i="7"/>
  <c r="D1087" i="7"/>
  <c r="I1085" i="7"/>
  <c r="H1085" i="7"/>
  <c r="H1083" i="7"/>
  <c r="G1083" i="7"/>
  <c r="E1083" i="7"/>
  <c r="D1083" i="7"/>
  <c r="H1082" i="7"/>
  <c r="G1082" i="7"/>
  <c r="E1082" i="7"/>
  <c r="D1082" i="7"/>
  <c r="H1081" i="7"/>
  <c r="G1081" i="7"/>
  <c r="E1081" i="7"/>
  <c r="D1081" i="7"/>
  <c r="H1080" i="7"/>
  <c r="G1080" i="7"/>
  <c r="E1080" i="7"/>
  <c r="D1080" i="7"/>
  <c r="H1079" i="7"/>
  <c r="G1079" i="7"/>
  <c r="E1079" i="7"/>
  <c r="D1079" i="7"/>
  <c r="AD1078" i="7"/>
  <c r="H1078" i="7"/>
  <c r="G1078" i="7"/>
  <c r="E1078" i="7"/>
  <c r="D1078" i="7"/>
  <c r="AD1077" i="7"/>
  <c r="H1077" i="7"/>
  <c r="G1077" i="7"/>
  <c r="E1077" i="7"/>
  <c r="D1077" i="7"/>
  <c r="AD1076" i="7"/>
  <c r="H1076" i="7"/>
  <c r="G1076" i="7"/>
  <c r="E1076" i="7"/>
  <c r="D1076" i="7"/>
  <c r="AD1075" i="7"/>
  <c r="H1075" i="7"/>
  <c r="G1075" i="7"/>
  <c r="E1075" i="7"/>
  <c r="D1075" i="7"/>
  <c r="I1073" i="7"/>
  <c r="H1073" i="7"/>
  <c r="H1071" i="7"/>
  <c r="G1071" i="7"/>
  <c r="E1071" i="7"/>
  <c r="D1071" i="7"/>
  <c r="H1070" i="7"/>
  <c r="G1070" i="7"/>
  <c r="E1070" i="7"/>
  <c r="D1070" i="7"/>
  <c r="AD1069" i="7"/>
  <c r="H1069" i="7"/>
  <c r="G1069" i="7"/>
  <c r="E1069" i="7"/>
  <c r="D1069" i="7"/>
  <c r="AD1068" i="7"/>
  <c r="H1068" i="7"/>
  <c r="G1068" i="7"/>
  <c r="E1068" i="7"/>
  <c r="D1068" i="7"/>
  <c r="I1067" i="7"/>
  <c r="H1067" i="7"/>
  <c r="H1065" i="7"/>
  <c r="G1065" i="7"/>
  <c r="E1065" i="7"/>
  <c r="D1065" i="7"/>
  <c r="H1064" i="7"/>
  <c r="G1064" i="7"/>
  <c r="E1064" i="7"/>
  <c r="D1064" i="7"/>
  <c r="H1063" i="7"/>
  <c r="G1063" i="7"/>
  <c r="E1063" i="7"/>
  <c r="D1063" i="7"/>
  <c r="AD1062" i="7"/>
  <c r="H1062" i="7"/>
  <c r="G1062" i="7"/>
  <c r="E1062" i="7"/>
  <c r="D1062" i="7"/>
  <c r="AD1061" i="7"/>
  <c r="H1061" i="7"/>
  <c r="G1061" i="7"/>
  <c r="E1061" i="7"/>
  <c r="D1061" i="7"/>
  <c r="I1060" i="7"/>
  <c r="H1060" i="7"/>
  <c r="H1058" i="7"/>
  <c r="G1058" i="7"/>
  <c r="E1058" i="7"/>
  <c r="D1058" i="7"/>
  <c r="B1058" i="7"/>
  <c r="H1057" i="7"/>
  <c r="G1057" i="7"/>
  <c r="E1057" i="7"/>
  <c r="D1057" i="7"/>
  <c r="AD1056" i="7"/>
  <c r="H1056" i="7"/>
  <c r="G1056" i="7"/>
  <c r="E1056" i="7"/>
  <c r="D1056" i="7"/>
  <c r="AD1055" i="7"/>
  <c r="H1055" i="7"/>
  <c r="G1055" i="7"/>
  <c r="E1055" i="7"/>
  <c r="D1055" i="7"/>
  <c r="I1053" i="7"/>
  <c r="H1053" i="7"/>
  <c r="H1051" i="7"/>
  <c r="G1051" i="7"/>
  <c r="E1051" i="7"/>
  <c r="D1051" i="7"/>
  <c r="H1050" i="7"/>
  <c r="G1050" i="7"/>
  <c r="E1050" i="7"/>
  <c r="D1050" i="7"/>
  <c r="H1049" i="7"/>
  <c r="G1049" i="7"/>
  <c r="E1049" i="7"/>
  <c r="D1049" i="7"/>
  <c r="H1048" i="7"/>
  <c r="G1048" i="7"/>
  <c r="E1048" i="7"/>
  <c r="D1048" i="7"/>
  <c r="AD1047" i="7"/>
  <c r="H1047" i="7"/>
  <c r="G1047" i="7"/>
  <c r="E1047" i="7"/>
  <c r="D1047" i="7"/>
  <c r="AD1046" i="7"/>
  <c r="H1046" i="7"/>
  <c r="G1046" i="7"/>
  <c r="E1046" i="7"/>
  <c r="D1046" i="7"/>
  <c r="I1044" i="7"/>
  <c r="H1044" i="7"/>
  <c r="H1042" i="7"/>
  <c r="G1042" i="7"/>
  <c r="E1042" i="7"/>
  <c r="D1042" i="7"/>
  <c r="H1041" i="7"/>
  <c r="G1041" i="7"/>
  <c r="E1041" i="7"/>
  <c r="D1041" i="7"/>
  <c r="H1040" i="7"/>
  <c r="G1040" i="7"/>
  <c r="E1040" i="7"/>
  <c r="D1040" i="7"/>
  <c r="H1039" i="7"/>
  <c r="G1039" i="7"/>
  <c r="E1039" i="7"/>
  <c r="D1039" i="7"/>
  <c r="AD1038" i="7"/>
  <c r="H1038" i="7"/>
  <c r="G1038" i="7"/>
  <c r="E1038" i="7"/>
  <c r="D1038" i="7"/>
  <c r="AD1037" i="7"/>
  <c r="H1037" i="7"/>
  <c r="G1037" i="7"/>
  <c r="E1037" i="7"/>
  <c r="D1037" i="7"/>
  <c r="I1035" i="7"/>
  <c r="H1035" i="7"/>
  <c r="H1033" i="7"/>
  <c r="G1033" i="7"/>
  <c r="E1033" i="7"/>
  <c r="D1033" i="7"/>
  <c r="AD1032" i="7"/>
  <c r="H1032" i="7"/>
  <c r="G1032" i="7"/>
  <c r="E1032" i="7"/>
  <c r="D1032" i="7"/>
  <c r="AD1031" i="7"/>
  <c r="H1031" i="7"/>
  <c r="G1031" i="7"/>
  <c r="E1031" i="7"/>
  <c r="D1031" i="7"/>
  <c r="AD1030" i="7"/>
  <c r="H1030" i="7"/>
  <c r="G1030" i="7"/>
  <c r="E1030" i="7"/>
  <c r="D1030" i="7"/>
  <c r="I1028" i="7"/>
  <c r="H1028" i="7"/>
  <c r="H1026" i="7"/>
  <c r="G1026" i="7"/>
  <c r="E1026" i="7"/>
  <c r="D1026" i="7"/>
  <c r="B1026" i="7"/>
  <c r="H1025" i="7"/>
  <c r="G1025" i="7"/>
  <c r="E1025" i="7"/>
  <c r="D1025" i="7"/>
  <c r="B1025" i="7"/>
  <c r="AD1024" i="7"/>
  <c r="H1024" i="7"/>
  <c r="G1024" i="7"/>
  <c r="E1024" i="7"/>
  <c r="D1024" i="7"/>
  <c r="AD1023" i="7"/>
  <c r="H1023" i="7"/>
  <c r="G1023" i="7"/>
  <c r="E1023" i="7"/>
  <c r="D1023" i="7"/>
  <c r="I1021" i="7"/>
  <c r="H1021" i="7"/>
  <c r="H1019" i="7"/>
  <c r="G1019" i="7"/>
  <c r="E1019" i="7"/>
  <c r="D1019" i="7"/>
  <c r="AD1018" i="7"/>
  <c r="H1018" i="7"/>
  <c r="G1018" i="7"/>
  <c r="E1018" i="7"/>
  <c r="D1018" i="7"/>
  <c r="AD1017" i="7"/>
  <c r="H1017" i="7"/>
  <c r="G1017" i="7"/>
  <c r="E1017" i="7"/>
  <c r="D1017" i="7"/>
  <c r="I1015" i="7"/>
  <c r="H1015" i="7"/>
  <c r="H1013" i="7"/>
  <c r="G1013" i="7"/>
  <c r="E1013" i="7"/>
  <c r="D1013" i="7"/>
  <c r="B1013" i="7"/>
  <c r="H1012" i="7"/>
  <c r="G1012" i="7"/>
  <c r="F1012" i="7"/>
  <c r="E1012" i="7"/>
  <c r="D1012" i="7"/>
  <c r="AD1011" i="7"/>
  <c r="H1011" i="7"/>
  <c r="G1011" i="7"/>
  <c r="E1011" i="7"/>
  <c r="D1011" i="7"/>
  <c r="AD1010" i="7"/>
  <c r="H1010" i="7"/>
  <c r="G1010" i="7"/>
  <c r="E1010" i="7"/>
  <c r="D1010" i="7"/>
  <c r="I1008" i="7"/>
  <c r="H1008" i="7"/>
  <c r="H1006" i="7"/>
  <c r="G1006" i="7"/>
  <c r="E1006" i="7"/>
  <c r="D1006" i="7"/>
  <c r="B1006" i="7"/>
  <c r="H1005" i="7"/>
  <c r="G1005" i="7"/>
  <c r="F1005" i="7"/>
  <c r="E1005" i="7"/>
  <c r="D1005" i="7"/>
  <c r="AD1004" i="7"/>
  <c r="H1004" i="7"/>
  <c r="G1004" i="7"/>
  <c r="E1004" i="7"/>
  <c r="D1004" i="7"/>
  <c r="AD1003" i="7"/>
  <c r="H1003" i="7"/>
  <c r="G1003" i="7"/>
  <c r="E1003" i="7"/>
  <c r="D1003" i="7"/>
  <c r="I1001" i="7"/>
  <c r="H1001" i="7"/>
  <c r="H999" i="7"/>
  <c r="G999" i="7"/>
  <c r="E999" i="7"/>
  <c r="D999" i="7"/>
  <c r="H998" i="7"/>
  <c r="G998" i="7"/>
  <c r="E998" i="7"/>
  <c r="D998" i="7"/>
  <c r="AD997" i="7"/>
  <c r="H997" i="7"/>
  <c r="G997" i="7"/>
  <c r="E997" i="7"/>
  <c r="D997" i="7"/>
  <c r="AD996" i="7"/>
  <c r="H996" i="7"/>
  <c r="G996" i="7"/>
  <c r="E996" i="7"/>
  <c r="D996" i="7"/>
  <c r="I994" i="7"/>
  <c r="H994" i="7"/>
  <c r="H992" i="7"/>
  <c r="G992" i="7"/>
  <c r="E992" i="7"/>
  <c r="D992" i="7"/>
  <c r="H991" i="7"/>
  <c r="G991" i="7"/>
  <c r="E991" i="7"/>
  <c r="D991" i="7"/>
  <c r="AD990" i="7"/>
  <c r="H990" i="7"/>
  <c r="G990" i="7"/>
  <c r="E990" i="7"/>
  <c r="D990" i="7"/>
  <c r="AD989" i="7"/>
  <c r="H989" i="7"/>
  <c r="G989" i="7"/>
  <c r="E989" i="7"/>
  <c r="D989" i="7"/>
  <c r="I987" i="7"/>
  <c r="H987" i="7"/>
  <c r="H985" i="7"/>
  <c r="G985" i="7"/>
  <c r="E985" i="7"/>
  <c r="D985" i="7"/>
  <c r="H984" i="7"/>
  <c r="G984" i="7"/>
  <c r="E984" i="7"/>
  <c r="D984" i="7"/>
  <c r="AD983" i="7"/>
  <c r="H983" i="7"/>
  <c r="G983" i="7"/>
  <c r="E983" i="7"/>
  <c r="D983" i="7"/>
  <c r="AD982" i="7"/>
  <c r="H982" i="7"/>
  <c r="G982" i="7"/>
  <c r="E982" i="7"/>
  <c r="D982" i="7"/>
  <c r="AD981" i="7"/>
  <c r="H981" i="7"/>
  <c r="G981" i="7"/>
  <c r="E981" i="7"/>
  <c r="D981" i="7"/>
  <c r="I979" i="7"/>
  <c r="H979" i="7"/>
  <c r="H977" i="7"/>
  <c r="G977" i="7"/>
  <c r="E977" i="7"/>
  <c r="D977" i="7"/>
  <c r="H976" i="7"/>
  <c r="G976" i="7"/>
  <c r="E976" i="7"/>
  <c r="D976" i="7"/>
  <c r="AD975" i="7"/>
  <c r="H975" i="7"/>
  <c r="G975" i="7"/>
  <c r="E975" i="7"/>
  <c r="D975" i="7"/>
  <c r="AD974" i="7"/>
  <c r="H974" i="7"/>
  <c r="G974" i="7"/>
  <c r="E974" i="7"/>
  <c r="D974" i="7"/>
  <c r="I972" i="7"/>
  <c r="H972" i="7"/>
  <c r="H970" i="7"/>
  <c r="G970" i="7"/>
  <c r="E970" i="7"/>
  <c r="D970" i="7"/>
  <c r="H969" i="7"/>
  <c r="G969" i="7"/>
  <c r="E969" i="7"/>
  <c r="D969" i="7"/>
  <c r="AD968" i="7"/>
  <c r="H968" i="7"/>
  <c r="G968" i="7"/>
  <c r="E968" i="7"/>
  <c r="D968" i="7"/>
  <c r="AD967" i="7"/>
  <c r="H967" i="7"/>
  <c r="G967" i="7"/>
  <c r="E967" i="7"/>
  <c r="D967" i="7"/>
  <c r="I965" i="7"/>
  <c r="H965" i="7"/>
  <c r="H963" i="7"/>
  <c r="G963" i="7"/>
  <c r="E963" i="7"/>
  <c r="D963" i="7"/>
  <c r="H962" i="7"/>
  <c r="G962" i="7"/>
  <c r="E962" i="7"/>
  <c r="D962" i="7"/>
  <c r="H961" i="7"/>
  <c r="G961" i="7"/>
  <c r="E961" i="7"/>
  <c r="D961" i="7"/>
  <c r="H960" i="7"/>
  <c r="G960" i="7"/>
  <c r="E960" i="7"/>
  <c r="D960" i="7"/>
  <c r="H959" i="7"/>
  <c r="G959" i="7"/>
  <c r="F959" i="7"/>
  <c r="E959" i="7"/>
  <c r="D959" i="7"/>
  <c r="AD958" i="7"/>
  <c r="H958" i="7"/>
  <c r="G958" i="7"/>
  <c r="F958" i="7"/>
  <c r="E958" i="7"/>
  <c r="D958" i="7"/>
  <c r="AD957" i="7"/>
  <c r="H957" i="7"/>
  <c r="G957" i="7"/>
  <c r="E957" i="7"/>
  <c r="D957" i="7"/>
  <c r="AD956" i="7"/>
  <c r="H956" i="7"/>
  <c r="G956" i="7"/>
  <c r="E956" i="7"/>
  <c r="D956" i="7"/>
  <c r="AD955" i="7"/>
  <c r="H955" i="7"/>
  <c r="G955" i="7"/>
  <c r="E955" i="7"/>
  <c r="D955" i="7"/>
  <c r="I953" i="7"/>
  <c r="H953" i="7"/>
  <c r="H951" i="7"/>
  <c r="G951" i="7"/>
  <c r="E951" i="7"/>
  <c r="D951" i="7"/>
  <c r="B951" i="7"/>
  <c r="H950" i="7"/>
  <c r="G950" i="7"/>
  <c r="E950" i="7"/>
  <c r="AD949" i="7"/>
  <c r="H949" i="7"/>
  <c r="G949" i="7"/>
  <c r="E949" i="7"/>
  <c r="D949" i="7"/>
  <c r="AD948" i="7"/>
  <c r="H948" i="7"/>
  <c r="G948" i="7"/>
  <c r="E948" i="7"/>
  <c r="D948" i="7"/>
  <c r="H946" i="7"/>
  <c r="I945" i="7"/>
  <c r="H944" i="7"/>
  <c r="G944" i="7"/>
  <c r="E944" i="7"/>
  <c r="D944" i="7"/>
  <c r="B944" i="7"/>
  <c r="H943" i="7"/>
  <c r="G943" i="7"/>
  <c r="E943" i="7"/>
  <c r="D943" i="7"/>
  <c r="B943" i="7"/>
  <c r="H942" i="7"/>
  <c r="G942" i="7"/>
  <c r="E942" i="7"/>
  <c r="D942" i="7"/>
  <c r="H941" i="7"/>
  <c r="G941" i="7"/>
  <c r="E941" i="7"/>
  <c r="D941" i="7"/>
  <c r="H940" i="7"/>
  <c r="G940" i="7"/>
  <c r="E940" i="7"/>
  <c r="D940" i="7"/>
  <c r="H939" i="7"/>
  <c r="G939" i="7"/>
  <c r="E939" i="7"/>
  <c r="D939" i="7"/>
  <c r="AD938" i="7"/>
  <c r="H938" i="7"/>
  <c r="G938" i="7"/>
  <c r="E938" i="7"/>
  <c r="D938" i="7"/>
  <c r="AD937" i="7"/>
  <c r="H937" i="7"/>
  <c r="G937" i="7"/>
  <c r="E937" i="7"/>
  <c r="D937" i="7"/>
  <c r="H935" i="7"/>
  <c r="I934" i="7"/>
  <c r="H933" i="7"/>
  <c r="G933" i="7"/>
  <c r="E933" i="7"/>
  <c r="D933" i="7"/>
  <c r="H932" i="7"/>
  <c r="G932" i="7"/>
  <c r="E932" i="7"/>
  <c r="D932" i="7"/>
  <c r="B932" i="7"/>
  <c r="AD931" i="7"/>
  <c r="H931" i="7"/>
  <c r="G931" i="7"/>
  <c r="E931" i="7"/>
  <c r="D931" i="7"/>
  <c r="AD930" i="7"/>
  <c r="H930" i="7"/>
  <c r="G930" i="7"/>
  <c r="E930" i="7"/>
  <c r="D930" i="7"/>
  <c r="AD929" i="7"/>
  <c r="H929" i="7"/>
  <c r="G929" i="7"/>
  <c r="F929" i="7"/>
  <c r="E929" i="7"/>
  <c r="D929" i="7"/>
  <c r="H927" i="7"/>
  <c r="I926" i="7"/>
  <c r="AD925" i="7"/>
  <c r="H925" i="7"/>
  <c r="G925" i="7"/>
  <c r="E925" i="7"/>
  <c r="D925" i="7"/>
  <c r="AD924" i="7"/>
  <c r="H924" i="7"/>
  <c r="G924" i="7"/>
  <c r="E924" i="7"/>
  <c r="D924" i="7"/>
  <c r="AD923" i="7"/>
  <c r="H923" i="7"/>
  <c r="G923" i="7"/>
  <c r="E923" i="7"/>
  <c r="D923" i="7"/>
  <c r="H921" i="7"/>
  <c r="I920" i="7"/>
  <c r="H919" i="7"/>
  <c r="G919" i="7"/>
  <c r="E919" i="7"/>
  <c r="D919" i="7"/>
  <c r="AD918" i="7"/>
  <c r="H918" i="7"/>
  <c r="G918" i="7"/>
  <c r="E918" i="7"/>
  <c r="D918" i="7"/>
  <c r="AD917" i="7"/>
  <c r="H917" i="7"/>
  <c r="G917" i="7"/>
  <c r="E917" i="7"/>
  <c r="D917" i="7"/>
  <c r="H915" i="7"/>
  <c r="I914" i="7"/>
  <c r="H913" i="7"/>
  <c r="G913" i="7"/>
  <c r="F913" i="7"/>
  <c r="E913" i="7"/>
  <c r="D913" i="7"/>
  <c r="H912" i="7"/>
  <c r="G912" i="7"/>
  <c r="E912" i="7"/>
  <c r="D912" i="7"/>
  <c r="H911" i="7"/>
  <c r="G911" i="7"/>
  <c r="E911" i="7"/>
  <c r="D911" i="7"/>
  <c r="AD910" i="7"/>
  <c r="H910" i="7"/>
  <c r="G910" i="7"/>
  <c r="E910" i="7"/>
  <c r="D910" i="7"/>
  <c r="AD909" i="7"/>
  <c r="H909" i="7"/>
  <c r="G909" i="7"/>
  <c r="E909" i="7"/>
  <c r="D909" i="7"/>
  <c r="H907" i="7"/>
  <c r="I906" i="7"/>
  <c r="H905" i="7"/>
  <c r="G905" i="7"/>
  <c r="E905" i="7"/>
  <c r="D905" i="7"/>
  <c r="H904" i="7"/>
  <c r="G904" i="7"/>
  <c r="E904" i="7"/>
  <c r="D904" i="7"/>
  <c r="H903" i="7"/>
  <c r="G903" i="7"/>
  <c r="E903" i="7"/>
  <c r="D903" i="7"/>
  <c r="H902" i="7"/>
  <c r="G902" i="7"/>
  <c r="E902" i="7"/>
  <c r="D902" i="7"/>
  <c r="H901" i="7"/>
  <c r="G901" i="7"/>
  <c r="F901" i="7"/>
  <c r="E901" i="7"/>
  <c r="D901" i="7"/>
  <c r="AD900" i="7"/>
  <c r="H900" i="7"/>
  <c r="G900" i="7"/>
  <c r="E900" i="7"/>
  <c r="D900" i="7"/>
  <c r="AD899" i="7"/>
  <c r="H899" i="7"/>
  <c r="G899" i="7"/>
  <c r="E899" i="7"/>
  <c r="D899" i="7"/>
  <c r="H897" i="7"/>
  <c r="I896" i="7"/>
  <c r="H895" i="7"/>
  <c r="G895" i="7"/>
  <c r="E895" i="7"/>
  <c r="D895" i="7"/>
  <c r="H894" i="7"/>
  <c r="G894" i="7"/>
  <c r="E894" i="7"/>
  <c r="D894" i="7"/>
  <c r="H893" i="7"/>
  <c r="G893" i="7"/>
  <c r="E893" i="7"/>
  <c r="D893" i="7"/>
  <c r="H892" i="7"/>
  <c r="G892" i="7"/>
  <c r="E892" i="7"/>
  <c r="D892" i="7"/>
  <c r="H891" i="7"/>
  <c r="G891" i="7"/>
  <c r="E891" i="7"/>
  <c r="D891" i="7"/>
  <c r="H890" i="7"/>
  <c r="G890" i="7"/>
  <c r="E890" i="7"/>
  <c r="D890" i="7"/>
  <c r="H889" i="7"/>
  <c r="G889" i="7"/>
  <c r="F889" i="7"/>
  <c r="E889" i="7"/>
  <c r="D889" i="7"/>
  <c r="AD888" i="7"/>
  <c r="H888" i="7"/>
  <c r="G888" i="7"/>
  <c r="E888" i="7"/>
  <c r="D888" i="7"/>
  <c r="AD887" i="7"/>
  <c r="H887" i="7"/>
  <c r="G887" i="7"/>
  <c r="E887" i="7"/>
  <c r="D887" i="7"/>
  <c r="H885" i="7"/>
  <c r="I884" i="7"/>
  <c r="H883" i="7"/>
  <c r="G883" i="7"/>
  <c r="E883" i="7"/>
  <c r="D883" i="7"/>
  <c r="H882" i="7"/>
  <c r="G882" i="7"/>
  <c r="F882" i="7"/>
  <c r="E882" i="7"/>
  <c r="D882" i="7"/>
  <c r="AD881" i="7"/>
  <c r="H881" i="7"/>
  <c r="G881" i="7"/>
  <c r="F881" i="7"/>
  <c r="E881" i="7"/>
  <c r="D881" i="7"/>
  <c r="AD880" i="7"/>
  <c r="H880" i="7"/>
  <c r="G880" i="7"/>
  <c r="E880" i="7"/>
  <c r="D880" i="7"/>
  <c r="H878" i="7"/>
  <c r="I877" i="7"/>
  <c r="H876" i="7"/>
  <c r="G876" i="7"/>
  <c r="E876" i="7"/>
  <c r="D876" i="7"/>
  <c r="H875" i="7"/>
  <c r="G875" i="7"/>
  <c r="E875" i="7"/>
  <c r="D875" i="7"/>
  <c r="H874" i="7"/>
  <c r="G874" i="7"/>
  <c r="E874" i="7"/>
  <c r="D874" i="7"/>
  <c r="AD873" i="7"/>
  <c r="H873" i="7"/>
  <c r="G873" i="7"/>
  <c r="E873" i="7"/>
  <c r="D873" i="7"/>
  <c r="AD872" i="7"/>
  <c r="H872" i="7"/>
  <c r="G872" i="7"/>
  <c r="E872" i="7"/>
  <c r="D872" i="7"/>
  <c r="I870" i="7"/>
  <c r="H870" i="7"/>
  <c r="H868" i="7"/>
  <c r="G868" i="7"/>
  <c r="E868" i="7"/>
  <c r="D868" i="7"/>
  <c r="H867" i="7"/>
  <c r="G867" i="7"/>
  <c r="E867" i="7"/>
  <c r="D867" i="7"/>
  <c r="H866" i="7"/>
  <c r="G866" i="7"/>
  <c r="E866" i="7"/>
  <c r="D866" i="7"/>
  <c r="H865" i="7"/>
  <c r="G865" i="7"/>
  <c r="F865" i="7"/>
  <c r="E865" i="7"/>
  <c r="D865" i="7"/>
  <c r="H864" i="7"/>
  <c r="G864" i="7"/>
  <c r="E864" i="7"/>
  <c r="D864" i="7"/>
  <c r="H863" i="7"/>
  <c r="G863" i="7"/>
  <c r="E863" i="7"/>
  <c r="D863" i="7"/>
  <c r="AD862" i="7"/>
  <c r="H862" i="7"/>
  <c r="G862" i="7"/>
  <c r="E862" i="7"/>
  <c r="D862" i="7"/>
  <c r="AD861" i="7"/>
  <c r="H861" i="7"/>
  <c r="G861" i="7"/>
  <c r="E861" i="7"/>
  <c r="D861" i="7"/>
  <c r="H859" i="7"/>
  <c r="H857" i="7"/>
  <c r="G857" i="7"/>
  <c r="E857" i="7"/>
  <c r="D857" i="7"/>
  <c r="H856" i="7"/>
  <c r="G856" i="7"/>
  <c r="E856" i="7"/>
  <c r="D856" i="7"/>
  <c r="H855" i="7"/>
  <c r="G855" i="7"/>
  <c r="E855" i="7"/>
  <c r="D855" i="7"/>
  <c r="H854" i="7"/>
  <c r="G854" i="7"/>
  <c r="F854" i="7"/>
  <c r="E854" i="7"/>
  <c r="D854" i="7"/>
  <c r="H853" i="7"/>
  <c r="G853" i="7"/>
  <c r="E853" i="7"/>
  <c r="D853" i="7"/>
  <c r="H852" i="7"/>
  <c r="G852" i="7"/>
  <c r="E852" i="7"/>
  <c r="D852" i="7"/>
  <c r="AD851" i="7"/>
  <c r="H851" i="7"/>
  <c r="G851" i="7"/>
  <c r="E851" i="7"/>
  <c r="D851" i="7"/>
  <c r="AD850" i="7"/>
  <c r="H850" i="7"/>
  <c r="G850" i="7"/>
  <c r="E850" i="7"/>
  <c r="D850" i="7"/>
  <c r="I848" i="7"/>
  <c r="H848" i="7"/>
  <c r="H846" i="7"/>
  <c r="G846" i="7"/>
  <c r="E846" i="7"/>
  <c r="D846" i="7"/>
  <c r="H845" i="7"/>
  <c r="G845" i="7"/>
  <c r="F845" i="7"/>
  <c r="E845" i="7"/>
  <c r="D845" i="7"/>
  <c r="H844" i="7"/>
  <c r="G844" i="7"/>
  <c r="E844" i="7"/>
  <c r="D844" i="7"/>
  <c r="H843" i="7"/>
  <c r="G843" i="7"/>
  <c r="E843" i="7"/>
  <c r="D843" i="7"/>
  <c r="AD842" i="7"/>
  <c r="H842" i="7"/>
  <c r="G842" i="7"/>
  <c r="E842" i="7"/>
  <c r="D842" i="7"/>
  <c r="AD841" i="7"/>
  <c r="H841" i="7"/>
  <c r="G841" i="7"/>
  <c r="E841" i="7"/>
  <c r="D841" i="7"/>
  <c r="I839" i="7"/>
  <c r="H839" i="7"/>
  <c r="H837" i="7"/>
  <c r="G837" i="7"/>
  <c r="E837" i="7"/>
  <c r="D837" i="7"/>
  <c r="H836" i="7"/>
  <c r="G836" i="7"/>
  <c r="E836" i="7"/>
  <c r="D836" i="7"/>
  <c r="H835" i="7"/>
  <c r="G835" i="7"/>
  <c r="E835" i="7"/>
  <c r="D835" i="7"/>
  <c r="H834" i="7"/>
  <c r="G834" i="7"/>
  <c r="E834" i="7"/>
  <c r="D834" i="7"/>
  <c r="AD833" i="7"/>
  <c r="H833" i="7"/>
  <c r="G833" i="7"/>
  <c r="E833" i="7"/>
  <c r="D833" i="7"/>
  <c r="AD832" i="7"/>
  <c r="H832" i="7"/>
  <c r="G832" i="7"/>
  <c r="E832" i="7"/>
  <c r="D832" i="7"/>
  <c r="AD831" i="7"/>
  <c r="H831" i="7"/>
  <c r="G831" i="7"/>
  <c r="E831" i="7"/>
  <c r="D831" i="7"/>
  <c r="AD830" i="7"/>
  <c r="H830" i="7"/>
  <c r="G830" i="7"/>
  <c r="E830" i="7"/>
  <c r="D830" i="7"/>
  <c r="I828" i="7"/>
  <c r="H828" i="7"/>
  <c r="H826" i="7"/>
  <c r="G826" i="7"/>
  <c r="E826" i="7"/>
  <c r="D826" i="7"/>
  <c r="H825" i="7"/>
  <c r="G825" i="7"/>
  <c r="F825" i="7"/>
  <c r="E825" i="7"/>
  <c r="D825" i="7"/>
  <c r="AD824" i="7"/>
  <c r="H824" i="7"/>
  <c r="G824" i="7"/>
  <c r="E824" i="7"/>
  <c r="D824" i="7"/>
  <c r="AD823" i="7"/>
  <c r="H823" i="7"/>
  <c r="G823" i="7"/>
  <c r="E823" i="7"/>
  <c r="D823" i="7"/>
  <c r="I821" i="7"/>
  <c r="H821" i="7"/>
  <c r="H819" i="7"/>
  <c r="G819" i="7"/>
  <c r="F819" i="7"/>
  <c r="E819" i="7"/>
  <c r="D819" i="7"/>
  <c r="H818" i="7"/>
  <c r="G818" i="7"/>
  <c r="F818" i="7"/>
  <c r="E818" i="7"/>
  <c r="D818" i="7"/>
  <c r="AD817" i="7"/>
  <c r="H817" i="7"/>
  <c r="G817" i="7"/>
  <c r="F817" i="7"/>
  <c r="E817" i="7"/>
  <c r="D817" i="7"/>
  <c r="AD816" i="7"/>
  <c r="H816" i="7"/>
  <c r="G816" i="7"/>
  <c r="F816" i="7"/>
  <c r="E816" i="7"/>
  <c r="D816" i="7"/>
  <c r="I814" i="7"/>
  <c r="H814" i="7"/>
  <c r="H812" i="7"/>
  <c r="G812" i="7"/>
  <c r="E812" i="7"/>
  <c r="D812" i="7"/>
  <c r="H811" i="7"/>
  <c r="G811" i="7"/>
  <c r="F811" i="7"/>
  <c r="E811" i="7"/>
  <c r="D811" i="7"/>
  <c r="AD810" i="7"/>
  <c r="H810" i="7"/>
  <c r="G810" i="7"/>
  <c r="E810" i="7"/>
  <c r="D810" i="7"/>
  <c r="AD809" i="7"/>
  <c r="H809" i="7"/>
  <c r="G809" i="7"/>
  <c r="E809" i="7"/>
  <c r="D809" i="7"/>
  <c r="I807" i="7"/>
  <c r="H807" i="7"/>
  <c r="G805" i="7"/>
  <c r="E805" i="7"/>
  <c r="D805" i="7"/>
  <c r="H804" i="7"/>
  <c r="G804" i="7"/>
  <c r="F804" i="7"/>
  <c r="E804" i="7"/>
  <c r="D804" i="7"/>
  <c r="AD803" i="7"/>
  <c r="H803" i="7"/>
  <c r="G803" i="7"/>
  <c r="E803" i="7"/>
  <c r="D803" i="7"/>
  <c r="AD802" i="7"/>
  <c r="H802" i="7"/>
  <c r="G802" i="7"/>
  <c r="E802" i="7"/>
  <c r="D802" i="7"/>
  <c r="I800" i="7"/>
  <c r="H800" i="7"/>
  <c r="H798" i="7"/>
  <c r="G798" i="7"/>
  <c r="F798" i="7"/>
  <c r="E798" i="7"/>
  <c r="D798" i="7"/>
  <c r="H797" i="7"/>
  <c r="G797" i="7"/>
  <c r="E797" i="7"/>
  <c r="D797" i="7"/>
  <c r="AD796" i="7"/>
  <c r="H796" i="7"/>
  <c r="G796" i="7"/>
  <c r="E796" i="7"/>
  <c r="D796" i="7"/>
  <c r="AD795" i="7"/>
  <c r="H795" i="7"/>
  <c r="G795" i="7"/>
  <c r="E795" i="7"/>
  <c r="D795" i="7"/>
  <c r="AD794" i="7"/>
  <c r="H794" i="7"/>
  <c r="G794" i="7"/>
  <c r="E794" i="7"/>
  <c r="D794" i="7"/>
  <c r="AD793" i="7"/>
  <c r="H793" i="7"/>
  <c r="G793" i="7"/>
  <c r="E793" i="7"/>
  <c r="D793" i="7"/>
  <c r="I791" i="7"/>
  <c r="H791" i="7"/>
  <c r="H789" i="7"/>
  <c r="G789" i="7"/>
  <c r="E789" i="7"/>
  <c r="D789" i="7"/>
  <c r="H788" i="7"/>
  <c r="G788" i="7"/>
  <c r="E788" i="7"/>
  <c r="D788" i="7"/>
  <c r="H787" i="7"/>
  <c r="G787" i="7"/>
  <c r="E787" i="7"/>
  <c r="D787" i="7"/>
  <c r="H786" i="7"/>
  <c r="G786" i="7"/>
  <c r="E786" i="7"/>
  <c r="D786" i="7"/>
  <c r="H785" i="7"/>
  <c r="G785" i="7"/>
  <c r="E785" i="7"/>
  <c r="D785" i="7"/>
  <c r="H784" i="7"/>
  <c r="G784" i="7"/>
  <c r="F784" i="7"/>
  <c r="E784" i="7"/>
  <c r="D784" i="7"/>
  <c r="H783" i="7"/>
  <c r="G783" i="7"/>
  <c r="E783" i="7"/>
  <c r="D783" i="7"/>
  <c r="AD782" i="7"/>
  <c r="H782" i="7"/>
  <c r="G782" i="7"/>
  <c r="E782" i="7"/>
  <c r="D782" i="7"/>
  <c r="AD781" i="7"/>
  <c r="H781" i="7"/>
  <c r="G781" i="7"/>
  <c r="E781" i="7"/>
  <c r="D781" i="7"/>
  <c r="AD780" i="7"/>
  <c r="H780" i="7"/>
  <c r="G780" i="7"/>
  <c r="E780" i="7"/>
  <c r="D780" i="7"/>
  <c r="AD779" i="7"/>
  <c r="H779" i="7"/>
  <c r="G779" i="7"/>
  <c r="E779" i="7"/>
  <c r="D779" i="7"/>
  <c r="I777" i="7"/>
  <c r="H777" i="7"/>
  <c r="H775" i="7"/>
  <c r="G775" i="7"/>
  <c r="E775" i="7"/>
  <c r="D775" i="7"/>
  <c r="H774" i="7"/>
  <c r="G774" i="7"/>
  <c r="E774" i="7"/>
  <c r="D774" i="7"/>
  <c r="H773" i="7"/>
  <c r="G773" i="7"/>
  <c r="E773" i="7"/>
  <c r="D773" i="7"/>
  <c r="H772" i="7"/>
  <c r="G772" i="7"/>
  <c r="E772" i="7"/>
  <c r="D772" i="7"/>
  <c r="H771" i="7"/>
  <c r="G771" i="7"/>
  <c r="E771" i="7"/>
  <c r="D771" i="7"/>
  <c r="H770" i="7"/>
  <c r="G770" i="7"/>
  <c r="E770" i="7"/>
  <c r="D770" i="7"/>
  <c r="AD769" i="7"/>
  <c r="H769" i="7"/>
  <c r="G769" i="7"/>
  <c r="E769" i="7"/>
  <c r="D769" i="7"/>
  <c r="AD768" i="7"/>
  <c r="H768" i="7"/>
  <c r="G768" i="7"/>
  <c r="E768" i="7"/>
  <c r="D768" i="7"/>
  <c r="AD767" i="7"/>
  <c r="H767" i="7"/>
  <c r="G767" i="7"/>
  <c r="E767" i="7"/>
  <c r="D767" i="7"/>
  <c r="AD766" i="7"/>
  <c r="H766" i="7"/>
  <c r="G766" i="7"/>
  <c r="E766" i="7"/>
  <c r="D766" i="7"/>
  <c r="I764" i="7"/>
  <c r="H764" i="7"/>
  <c r="AD762" i="7"/>
  <c r="H762" i="7"/>
  <c r="G762" i="7"/>
  <c r="E762" i="7"/>
  <c r="D762" i="7"/>
  <c r="AD761" i="7"/>
  <c r="H761" i="7"/>
  <c r="G761" i="7"/>
  <c r="E761" i="7"/>
  <c r="D761" i="7"/>
  <c r="AD760" i="7"/>
  <c r="H760" i="7"/>
  <c r="G760" i="7"/>
  <c r="E760" i="7"/>
  <c r="D760" i="7"/>
  <c r="AD759" i="7"/>
  <c r="H759" i="7"/>
  <c r="G759" i="7"/>
  <c r="E759" i="7"/>
  <c r="D759" i="7"/>
  <c r="I757" i="7"/>
  <c r="H757" i="7"/>
  <c r="H755" i="7"/>
  <c r="G755" i="7"/>
  <c r="E755" i="7"/>
  <c r="D755" i="7"/>
  <c r="H754" i="7"/>
  <c r="G754" i="7"/>
  <c r="E754" i="7"/>
  <c r="D754" i="7"/>
  <c r="H753" i="7"/>
  <c r="G753" i="7"/>
  <c r="E753" i="7"/>
  <c r="D753" i="7"/>
  <c r="H752" i="7"/>
  <c r="G752" i="7"/>
  <c r="E752" i="7"/>
  <c r="D752" i="7"/>
  <c r="AD751" i="7"/>
  <c r="H751" i="7"/>
  <c r="G751" i="7"/>
  <c r="E751" i="7"/>
  <c r="D751" i="7"/>
  <c r="AD750" i="7"/>
  <c r="H750" i="7"/>
  <c r="G750" i="7"/>
  <c r="E750" i="7"/>
  <c r="D750" i="7"/>
  <c r="I748" i="7"/>
  <c r="H748" i="7"/>
  <c r="AF746" i="7"/>
  <c r="AE746" i="7"/>
  <c r="H746" i="7"/>
  <c r="G746" i="7"/>
  <c r="E746" i="7"/>
  <c r="D746" i="7"/>
  <c r="AD745" i="7"/>
  <c r="H745" i="7"/>
  <c r="G745" i="7"/>
  <c r="E745" i="7"/>
  <c r="D745" i="7"/>
  <c r="AD744" i="7"/>
  <c r="H744" i="7"/>
  <c r="G744" i="7"/>
  <c r="E744" i="7"/>
  <c r="D744" i="7"/>
  <c r="I742" i="7"/>
  <c r="H742" i="7"/>
  <c r="H740" i="7"/>
  <c r="G740" i="7"/>
  <c r="E740" i="7"/>
  <c r="D740" i="7"/>
  <c r="AD739" i="7"/>
  <c r="H739" i="7"/>
  <c r="G739" i="7"/>
  <c r="E739" i="7"/>
  <c r="D739" i="7"/>
  <c r="AD738" i="7"/>
  <c r="H738" i="7"/>
  <c r="G738" i="7"/>
  <c r="E738" i="7"/>
  <c r="D738" i="7"/>
  <c r="AD737" i="7"/>
  <c r="H737" i="7"/>
  <c r="G737" i="7"/>
  <c r="E737" i="7"/>
  <c r="D737" i="7"/>
  <c r="I735" i="7"/>
  <c r="H735" i="7"/>
  <c r="H733" i="7"/>
  <c r="G733" i="7"/>
  <c r="F733" i="7"/>
  <c r="E733" i="7"/>
  <c r="D733" i="7"/>
  <c r="H732" i="7"/>
  <c r="G732" i="7"/>
  <c r="F732" i="7"/>
  <c r="E732" i="7"/>
  <c r="D732" i="7"/>
  <c r="AD731" i="7"/>
  <c r="H731" i="7"/>
  <c r="G731" i="7"/>
  <c r="E731" i="7"/>
  <c r="D731" i="7"/>
  <c r="AD730" i="7"/>
  <c r="H730" i="7"/>
  <c r="G730" i="7"/>
  <c r="E730" i="7"/>
  <c r="D730" i="7"/>
  <c r="I728" i="7"/>
  <c r="H728" i="7"/>
  <c r="H726" i="7"/>
  <c r="G726" i="7"/>
  <c r="E726" i="7"/>
  <c r="D726" i="7"/>
  <c r="H725" i="7"/>
  <c r="G725" i="7"/>
  <c r="E725" i="7"/>
  <c r="D725" i="7"/>
  <c r="AD724" i="7"/>
  <c r="H724" i="7"/>
  <c r="G724" i="7"/>
  <c r="E724" i="7"/>
  <c r="D724" i="7"/>
  <c r="AD723" i="7"/>
  <c r="H723" i="7"/>
  <c r="G723" i="7"/>
  <c r="E723" i="7"/>
  <c r="D723" i="7"/>
  <c r="I721" i="7"/>
  <c r="H721" i="7"/>
  <c r="H719" i="7"/>
  <c r="G719" i="7"/>
  <c r="F719" i="7"/>
  <c r="E719" i="7"/>
  <c r="D719" i="7"/>
  <c r="B719" i="7"/>
  <c r="H718" i="7"/>
  <c r="G718" i="7"/>
  <c r="E718" i="7"/>
  <c r="D718" i="7"/>
  <c r="B718" i="7"/>
  <c r="H717" i="7"/>
  <c r="G717" i="7"/>
  <c r="E717" i="7"/>
  <c r="D717" i="7"/>
  <c r="H716" i="7"/>
  <c r="G716" i="7"/>
  <c r="E716" i="7"/>
  <c r="D716" i="7"/>
  <c r="H715" i="7"/>
  <c r="G715" i="7"/>
  <c r="E715" i="7"/>
  <c r="D715" i="7"/>
  <c r="H714" i="7"/>
  <c r="G714" i="7"/>
  <c r="E714" i="7"/>
  <c r="D714" i="7"/>
  <c r="AD713" i="7"/>
  <c r="H713" i="7"/>
  <c r="G713" i="7"/>
  <c r="E713" i="7"/>
  <c r="D713" i="7"/>
  <c r="AD712" i="7"/>
  <c r="H712" i="7"/>
  <c r="G712" i="7"/>
  <c r="E712" i="7"/>
  <c r="D712" i="7"/>
  <c r="AD711" i="7"/>
  <c r="H711" i="7"/>
  <c r="G711" i="7"/>
  <c r="E711" i="7"/>
  <c r="D711" i="7"/>
  <c r="AD710" i="7"/>
  <c r="H710" i="7"/>
  <c r="G710" i="7"/>
  <c r="E710" i="7"/>
  <c r="D710" i="7"/>
  <c r="I708" i="7"/>
  <c r="H708" i="7"/>
  <c r="H706" i="7"/>
  <c r="G706" i="7"/>
  <c r="E706" i="7"/>
  <c r="D706" i="7"/>
  <c r="B706" i="7"/>
  <c r="H705" i="7"/>
  <c r="G705" i="7"/>
  <c r="E705" i="7"/>
  <c r="D705" i="7"/>
  <c r="H704" i="7"/>
  <c r="G704" i="7"/>
  <c r="E704" i="7"/>
  <c r="D704" i="7"/>
  <c r="AD703" i="7"/>
  <c r="H703" i="7"/>
  <c r="G703" i="7"/>
  <c r="E703" i="7"/>
  <c r="D703" i="7"/>
  <c r="AD702" i="7"/>
  <c r="H702" i="7"/>
  <c r="G702" i="7"/>
  <c r="E702" i="7"/>
  <c r="D702" i="7"/>
  <c r="AD701" i="7"/>
  <c r="H701" i="7"/>
  <c r="G701" i="7"/>
  <c r="E701" i="7"/>
  <c r="D701" i="7"/>
  <c r="I699" i="7"/>
  <c r="H699" i="7"/>
  <c r="H697" i="7"/>
  <c r="G697" i="7"/>
  <c r="E697" i="7"/>
  <c r="D697" i="7"/>
  <c r="B697" i="7"/>
  <c r="H696" i="7"/>
  <c r="G696" i="7"/>
  <c r="E696" i="7"/>
  <c r="D696" i="7"/>
  <c r="H695" i="7"/>
  <c r="G695" i="7"/>
  <c r="E695" i="7"/>
  <c r="D695" i="7"/>
  <c r="H694" i="7"/>
  <c r="G694" i="7"/>
  <c r="E694" i="7"/>
  <c r="D694" i="7"/>
  <c r="H693" i="7"/>
  <c r="G693" i="7"/>
  <c r="E693" i="7"/>
  <c r="D693" i="7"/>
  <c r="AD692" i="7"/>
  <c r="H692" i="7"/>
  <c r="G692" i="7"/>
  <c r="E692" i="7"/>
  <c r="D692" i="7"/>
  <c r="AD691" i="7"/>
  <c r="H691" i="7"/>
  <c r="G691" i="7"/>
  <c r="E691" i="7"/>
  <c r="D691" i="7"/>
  <c r="I689" i="7"/>
  <c r="H689" i="7"/>
  <c r="H687" i="7"/>
  <c r="G687" i="7"/>
  <c r="E687" i="7"/>
  <c r="D687" i="7"/>
  <c r="B687" i="7"/>
  <c r="H686" i="7"/>
  <c r="G686" i="7"/>
  <c r="E686" i="7"/>
  <c r="D686" i="7"/>
  <c r="H685" i="7"/>
  <c r="G685" i="7"/>
  <c r="E685" i="7"/>
  <c r="D685" i="7"/>
  <c r="AD684" i="7"/>
  <c r="H684" i="7"/>
  <c r="G684" i="7"/>
  <c r="E684" i="7"/>
  <c r="D684" i="7"/>
  <c r="AD683" i="7"/>
  <c r="H683" i="7"/>
  <c r="G683" i="7"/>
  <c r="E683" i="7"/>
  <c r="D683" i="7"/>
  <c r="I681" i="7"/>
  <c r="H681" i="7"/>
  <c r="H679" i="7"/>
  <c r="G679" i="7"/>
  <c r="E679" i="7"/>
  <c r="D679" i="7"/>
  <c r="B679" i="7"/>
  <c r="H678" i="7"/>
  <c r="G678" i="7"/>
  <c r="E678" i="7"/>
  <c r="D678" i="7"/>
  <c r="H677" i="7"/>
  <c r="G677" i="7"/>
  <c r="E677" i="7"/>
  <c r="D677" i="7"/>
  <c r="AD676" i="7"/>
  <c r="H676" i="7"/>
  <c r="G676" i="7"/>
  <c r="E676" i="7"/>
  <c r="D676" i="7"/>
  <c r="AD675" i="7"/>
  <c r="H675" i="7"/>
  <c r="G675" i="7"/>
  <c r="E675" i="7"/>
  <c r="D675" i="7"/>
  <c r="I673" i="7"/>
  <c r="H673" i="7"/>
  <c r="H671" i="7"/>
  <c r="G671" i="7"/>
  <c r="E671" i="7"/>
  <c r="D671" i="7"/>
  <c r="B671" i="7"/>
  <c r="H670" i="7"/>
  <c r="G670" i="7"/>
  <c r="E670" i="7"/>
  <c r="D670" i="7"/>
  <c r="H669" i="7"/>
  <c r="G669" i="7"/>
  <c r="E669" i="7"/>
  <c r="D669" i="7"/>
  <c r="AD668" i="7"/>
  <c r="H668" i="7"/>
  <c r="G668" i="7"/>
  <c r="E668" i="7"/>
  <c r="D668" i="7"/>
  <c r="AD667" i="7"/>
  <c r="H667" i="7"/>
  <c r="G667" i="7"/>
  <c r="E667" i="7"/>
  <c r="D667" i="7"/>
  <c r="I665" i="7"/>
  <c r="H665" i="7"/>
  <c r="H663" i="7"/>
  <c r="G663" i="7"/>
  <c r="E663" i="7"/>
  <c r="D663" i="7"/>
  <c r="H662" i="7"/>
  <c r="G662" i="7"/>
  <c r="E662" i="7"/>
  <c r="D662" i="7"/>
  <c r="H661" i="7"/>
  <c r="G661" i="7"/>
  <c r="E661" i="7"/>
  <c r="D661" i="7"/>
  <c r="AD660" i="7"/>
  <c r="H660" i="7"/>
  <c r="G660" i="7"/>
  <c r="E660" i="7"/>
  <c r="D660" i="7"/>
  <c r="AD659" i="7"/>
  <c r="H659" i="7"/>
  <c r="G659" i="7"/>
  <c r="E659" i="7"/>
  <c r="D659" i="7"/>
  <c r="I657" i="7"/>
  <c r="H657" i="7"/>
  <c r="H655" i="7"/>
  <c r="G655" i="7"/>
  <c r="E655" i="7"/>
  <c r="D655" i="7"/>
  <c r="B655" i="7"/>
  <c r="H654" i="7"/>
  <c r="G654" i="7"/>
  <c r="F654" i="7"/>
  <c r="E654" i="7"/>
  <c r="D654" i="7"/>
  <c r="H653" i="7"/>
  <c r="G653" i="7"/>
  <c r="E653" i="7"/>
  <c r="D653" i="7"/>
  <c r="AD652" i="7"/>
  <c r="H652" i="7"/>
  <c r="G652" i="7"/>
  <c r="E652" i="7"/>
  <c r="D652" i="7"/>
  <c r="AD651" i="7"/>
  <c r="H651" i="7"/>
  <c r="G651" i="7"/>
  <c r="E651" i="7"/>
  <c r="D651" i="7"/>
  <c r="I649" i="7"/>
  <c r="H649" i="7"/>
  <c r="H647" i="7"/>
  <c r="G647" i="7"/>
  <c r="E647" i="7"/>
  <c r="D647" i="7"/>
  <c r="B647" i="7"/>
  <c r="H646" i="7"/>
  <c r="G646" i="7"/>
  <c r="F646" i="7"/>
  <c r="E646" i="7"/>
  <c r="D646" i="7"/>
  <c r="H645" i="7"/>
  <c r="G645" i="7"/>
  <c r="E645" i="7"/>
  <c r="D645" i="7"/>
  <c r="AD644" i="7"/>
  <c r="H644" i="7"/>
  <c r="G644" i="7"/>
  <c r="E644" i="7"/>
  <c r="D644" i="7"/>
  <c r="AD643" i="7"/>
  <c r="H643" i="7"/>
  <c r="G643" i="7"/>
  <c r="E643" i="7"/>
  <c r="D643" i="7"/>
  <c r="I641" i="7"/>
  <c r="H641" i="7"/>
  <c r="H639" i="7"/>
  <c r="G639" i="7"/>
  <c r="E639" i="7"/>
  <c r="D639" i="7"/>
  <c r="B639" i="7"/>
  <c r="H638" i="7"/>
  <c r="G638" i="7"/>
  <c r="F638" i="7"/>
  <c r="E638" i="7"/>
  <c r="D638" i="7"/>
  <c r="H637" i="7"/>
  <c r="G637" i="7"/>
  <c r="E637" i="7"/>
  <c r="D637" i="7"/>
  <c r="AD636" i="7"/>
  <c r="H636" i="7"/>
  <c r="G636" i="7"/>
  <c r="E636" i="7"/>
  <c r="D636" i="7"/>
  <c r="AD635" i="7"/>
  <c r="H635" i="7"/>
  <c r="G635" i="7"/>
  <c r="E635" i="7"/>
  <c r="D635" i="7"/>
  <c r="I633" i="7"/>
  <c r="H633" i="7"/>
  <c r="H631" i="7"/>
  <c r="G631" i="7"/>
  <c r="E631" i="7"/>
  <c r="D631" i="7"/>
  <c r="B631" i="7"/>
  <c r="H630" i="7"/>
  <c r="G630" i="7"/>
  <c r="E630" i="7"/>
  <c r="D630" i="7"/>
  <c r="H629" i="7"/>
  <c r="G629" i="7"/>
  <c r="E629" i="7"/>
  <c r="D629" i="7"/>
  <c r="AD628" i="7"/>
  <c r="H628" i="7"/>
  <c r="G628" i="7"/>
  <c r="E628" i="7"/>
  <c r="D628" i="7"/>
  <c r="AD627" i="7"/>
  <c r="H627" i="7"/>
  <c r="G627" i="7"/>
  <c r="E627" i="7"/>
  <c r="D627" i="7"/>
  <c r="I625" i="7"/>
  <c r="H625" i="7"/>
  <c r="H623" i="7"/>
  <c r="G623" i="7"/>
  <c r="E623" i="7"/>
  <c r="D623" i="7"/>
  <c r="B623" i="7"/>
  <c r="H622" i="7"/>
  <c r="G622" i="7"/>
  <c r="E622" i="7"/>
  <c r="D622" i="7"/>
  <c r="H621" i="7"/>
  <c r="G621" i="7"/>
  <c r="E621" i="7"/>
  <c r="D621" i="7"/>
  <c r="AD620" i="7"/>
  <c r="H620" i="7"/>
  <c r="G620" i="7"/>
  <c r="E620" i="7"/>
  <c r="D620" i="7"/>
  <c r="AD619" i="7"/>
  <c r="H619" i="7"/>
  <c r="G619" i="7"/>
  <c r="E619" i="7"/>
  <c r="D619" i="7"/>
  <c r="I617" i="7"/>
  <c r="H617" i="7"/>
  <c r="D615" i="7"/>
  <c r="H610" i="7"/>
  <c r="G610" i="7"/>
  <c r="E610" i="7"/>
  <c r="D610" i="7"/>
  <c r="B610" i="7"/>
  <c r="AD609" i="7"/>
  <c r="H609" i="7"/>
  <c r="G609" i="7"/>
  <c r="F609" i="7"/>
  <c r="E609" i="7"/>
  <c r="D609" i="7"/>
  <c r="AD608" i="7"/>
  <c r="H608" i="7"/>
  <c r="G608" i="7"/>
  <c r="F608" i="7"/>
  <c r="E608" i="7"/>
  <c r="D608" i="7"/>
  <c r="H606" i="7"/>
  <c r="G606" i="7"/>
  <c r="F606" i="7"/>
  <c r="E606" i="7"/>
  <c r="D606" i="7"/>
  <c r="H600" i="7"/>
  <c r="G600" i="7"/>
  <c r="F600" i="7"/>
  <c r="E600" i="7"/>
  <c r="D600" i="7"/>
  <c r="H598" i="7"/>
  <c r="G598" i="7"/>
  <c r="F598" i="7"/>
  <c r="E598" i="7"/>
  <c r="D598" i="7"/>
  <c r="H596" i="7"/>
  <c r="G596" i="7"/>
  <c r="F596" i="7"/>
  <c r="E596" i="7"/>
  <c r="D596" i="7"/>
  <c r="H591" i="7"/>
  <c r="G591" i="7"/>
  <c r="F591" i="7"/>
  <c r="E591" i="7"/>
  <c r="D591" i="7"/>
  <c r="H587" i="7"/>
  <c r="G587" i="7"/>
  <c r="F587" i="7"/>
  <c r="E587" i="7"/>
  <c r="D587" i="7"/>
  <c r="H585" i="7"/>
  <c r="G585" i="7"/>
  <c r="F585" i="7"/>
  <c r="E585" i="7"/>
  <c r="D585" i="7"/>
  <c r="H583" i="7"/>
  <c r="G583" i="7"/>
  <c r="F583" i="7"/>
  <c r="E583" i="7"/>
  <c r="D583" i="7"/>
  <c r="H581" i="7"/>
  <c r="G581" i="7"/>
  <c r="F581" i="7"/>
  <c r="E581" i="7"/>
  <c r="D581" i="7"/>
  <c r="H570" i="7"/>
  <c r="G570" i="7"/>
  <c r="F570" i="7"/>
  <c r="E570" i="7"/>
  <c r="D570" i="7"/>
  <c r="H568" i="7"/>
  <c r="G568" i="7"/>
  <c r="F568" i="7"/>
  <c r="E568" i="7"/>
  <c r="D568" i="7"/>
  <c r="H565" i="7"/>
  <c r="G565" i="7"/>
  <c r="F565" i="7"/>
  <c r="E565" i="7"/>
  <c r="D565" i="7"/>
  <c r="H563" i="7"/>
  <c r="G563" i="7"/>
  <c r="F563" i="7"/>
  <c r="E563" i="7"/>
  <c r="D563" i="7"/>
  <c r="H559" i="7"/>
  <c r="G559" i="7"/>
  <c r="F559" i="7"/>
  <c r="E559" i="7"/>
  <c r="D559" i="7"/>
  <c r="H551" i="7"/>
  <c r="G551" i="7"/>
  <c r="F551" i="7"/>
  <c r="E551" i="7"/>
  <c r="D551" i="7"/>
  <c r="H550" i="7"/>
  <c r="G550" i="7"/>
  <c r="E550" i="7"/>
  <c r="D550" i="7"/>
  <c r="AD549" i="7"/>
  <c r="H549" i="7"/>
  <c r="G549" i="7"/>
  <c r="E549" i="7"/>
  <c r="D549" i="7"/>
  <c r="AD548" i="7"/>
  <c r="H548" i="7"/>
  <c r="G548" i="7"/>
  <c r="E548" i="7"/>
  <c r="D548" i="7"/>
  <c r="AD547" i="7"/>
  <c r="H547" i="7"/>
  <c r="G547" i="7"/>
  <c r="E547" i="7"/>
  <c r="D547" i="7"/>
  <c r="AD546" i="7"/>
  <c r="H546" i="7"/>
  <c r="G546" i="7"/>
  <c r="E546" i="7"/>
  <c r="D546" i="7"/>
  <c r="AD545" i="7"/>
  <c r="H545" i="7"/>
  <c r="G545" i="7"/>
  <c r="E545" i="7"/>
  <c r="D545" i="7"/>
  <c r="I543" i="7"/>
  <c r="H543" i="7"/>
  <c r="F543" i="7"/>
  <c r="H541" i="7"/>
  <c r="G541" i="7"/>
  <c r="E541" i="7"/>
  <c r="D541" i="7"/>
  <c r="B541" i="7"/>
  <c r="H540" i="7"/>
  <c r="G540" i="7"/>
  <c r="F540" i="7"/>
  <c r="E540" i="7"/>
  <c r="D540" i="7"/>
  <c r="B540" i="7"/>
  <c r="AD539" i="7"/>
  <c r="H539" i="7"/>
  <c r="G539" i="7"/>
  <c r="F539" i="7"/>
  <c r="E539" i="7"/>
  <c r="D539" i="7"/>
  <c r="AD538" i="7"/>
  <c r="H538" i="7"/>
  <c r="G538" i="7"/>
  <c r="F538" i="7"/>
  <c r="E538" i="7"/>
  <c r="D538" i="7"/>
  <c r="H536" i="7"/>
  <c r="G536" i="7"/>
  <c r="F536" i="7"/>
  <c r="E536" i="7"/>
  <c r="D536" i="7"/>
  <c r="H533" i="7"/>
  <c r="G533" i="7"/>
  <c r="F533" i="7"/>
  <c r="E533" i="7"/>
  <c r="D533" i="7"/>
  <c r="H530" i="7"/>
  <c r="G530" i="7"/>
  <c r="F530" i="7"/>
  <c r="E530" i="7"/>
  <c r="D530" i="7"/>
  <c r="H528" i="7"/>
  <c r="G528" i="7"/>
  <c r="F528" i="7"/>
  <c r="E528" i="7"/>
  <c r="D528" i="7"/>
  <c r="H525" i="7"/>
  <c r="G525" i="7"/>
  <c r="F525" i="7"/>
  <c r="E525" i="7"/>
  <c r="D525" i="7"/>
  <c r="H521" i="7"/>
  <c r="G521" i="7"/>
  <c r="F521" i="7"/>
  <c r="E521" i="7"/>
  <c r="D521" i="7"/>
  <c r="H517" i="7"/>
  <c r="G517" i="7"/>
  <c r="F517" i="7"/>
  <c r="E517" i="7"/>
  <c r="D517" i="7"/>
  <c r="B517" i="7"/>
  <c r="H513" i="7"/>
  <c r="G513" i="7"/>
  <c r="F513" i="7"/>
  <c r="E513" i="7"/>
  <c r="D513" i="7"/>
  <c r="H509" i="7"/>
  <c r="G509" i="7"/>
  <c r="F509" i="7"/>
  <c r="E509" i="7"/>
  <c r="D509" i="7"/>
  <c r="H507" i="7"/>
  <c r="G507" i="7"/>
  <c r="F507" i="7"/>
  <c r="E507" i="7"/>
  <c r="D507" i="7"/>
  <c r="H503" i="7"/>
  <c r="G503" i="7"/>
  <c r="F503" i="7"/>
  <c r="E503" i="7"/>
  <c r="D503" i="7"/>
  <c r="H498" i="7"/>
  <c r="G498" i="7"/>
  <c r="F498" i="7"/>
  <c r="E498" i="7"/>
  <c r="D498" i="7"/>
  <c r="H497" i="7"/>
  <c r="G497" i="7"/>
  <c r="E497" i="7"/>
  <c r="D497" i="7"/>
  <c r="AD496" i="7"/>
  <c r="H496" i="7"/>
  <c r="G496" i="7"/>
  <c r="E496" i="7"/>
  <c r="D496" i="7"/>
  <c r="AD495" i="7"/>
  <c r="H495" i="7"/>
  <c r="G495" i="7"/>
  <c r="E495" i="7"/>
  <c r="D495" i="7"/>
  <c r="AD494" i="7"/>
  <c r="H494" i="7"/>
  <c r="G494" i="7"/>
  <c r="E494" i="7"/>
  <c r="D494" i="7"/>
  <c r="AD493" i="7"/>
  <c r="H493" i="7"/>
  <c r="G493" i="7"/>
  <c r="E493" i="7"/>
  <c r="D493" i="7"/>
  <c r="AD492" i="7"/>
  <c r="H492" i="7"/>
  <c r="G492" i="7"/>
  <c r="E492" i="7"/>
  <c r="D492" i="7"/>
  <c r="I490" i="7"/>
  <c r="H490" i="7"/>
  <c r="F490" i="7"/>
  <c r="AD488" i="7"/>
  <c r="H488" i="7"/>
  <c r="G488" i="7"/>
  <c r="E488" i="7"/>
  <c r="D488" i="7"/>
  <c r="AD487" i="7"/>
  <c r="H487" i="7"/>
  <c r="G487" i="7"/>
  <c r="E487" i="7"/>
  <c r="D487" i="7"/>
  <c r="I485" i="7"/>
  <c r="H485" i="7"/>
  <c r="AD483" i="7"/>
  <c r="H483" i="7"/>
  <c r="G483" i="7"/>
  <c r="E483" i="7"/>
  <c r="D483" i="7"/>
  <c r="AD482" i="7"/>
  <c r="H482" i="7"/>
  <c r="G482" i="7"/>
  <c r="E482" i="7"/>
  <c r="D482" i="7"/>
  <c r="I480" i="7"/>
  <c r="H480" i="7"/>
  <c r="H478" i="7"/>
  <c r="G478" i="7"/>
  <c r="E478" i="7"/>
  <c r="D478" i="7"/>
  <c r="AD477" i="7"/>
  <c r="H477" i="7"/>
  <c r="G477" i="7"/>
  <c r="E477" i="7"/>
  <c r="D477" i="7"/>
  <c r="AD476" i="7"/>
  <c r="H476" i="7"/>
  <c r="G476" i="7"/>
  <c r="E476" i="7"/>
  <c r="D476" i="7"/>
  <c r="AD475" i="7"/>
  <c r="H475" i="7"/>
  <c r="G475" i="7"/>
  <c r="E475" i="7"/>
  <c r="D475" i="7"/>
  <c r="H474" i="7"/>
  <c r="G474" i="7"/>
  <c r="E474" i="7"/>
  <c r="D474" i="7"/>
  <c r="H473" i="7"/>
  <c r="G473" i="7"/>
  <c r="E473" i="7"/>
  <c r="D473" i="7"/>
  <c r="H472" i="7"/>
  <c r="G472" i="7"/>
  <c r="E472" i="7"/>
  <c r="D472" i="7"/>
  <c r="H471" i="7"/>
  <c r="G471" i="7"/>
  <c r="E471" i="7"/>
  <c r="D471" i="7"/>
  <c r="AD470" i="7"/>
  <c r="H470" i="7"/>
  <c r="G470" i="7"/>
  <c r="E470" i="7"/>
  <c r="D470" i="7"/>
  <c r="AD469" i="7"/>
  <c r="H469" i="7"/>
  <c r="G469" i="7"/>
  <c r="F469" i="7"/>
  <c r="E469" i="7"/>
  <c r="D469" i="7"/>
  <c r="AD468" i="7"/>
  <c r="H468" i="7"/>
  <c r="G468" i="7"/>
  <c r="F468" i="7"/>
  <c r="E468" i="7"/>
  <c r="D468" i="7"/>
  <c r="I466" i="7"/>
  <c r="H466" i="7"/>
  <c r="H463" i="7"/>
  <c r="G463" i="7"/>
  <c r="E463" i="7"/>
  <c r="D463" i="7"/>
  <c r="AD462" i="7"/>
  <c r="H462" i="7"/>
  <c r="G462" i="7"/>
  <c r="E462" i="7"/>
  <c r="D462" i="7"/>
  <c r="AD461" i="7"/>
  <c r="H461" i="7"/>
  <c r="G461" i="7"/>
  <c r="E461" i="7"/>
  <c r="D461" i="7"/>
  <c r="I459" i="7"/>
  <c r="H459" i="7"/>
  <c r="H457" i="7"/>
  <c r="G457" i="7"/>
  <c r="E457" i="7"/>
  <c r="D457" i="7"/>
  <c r="AD456" i="7"/>
  <c r="H456" i="7"/>
  <c r="G456" i="7"/>
  <c r="E456" i="7"/>
  <c r="D456" i="7"/>
  <c r="AD455" i="7"/>
  <c r="H455" i="7"/>
  <c r="G455" i="7"/>
  <c r="E455" i="7"/>
  <c r="D455" i="7"/>
  <c r="AD454" i="7"/>
  <c r="H454" i="7"/>
  <c r="G454" i="7"/>
  <c r="E454" i="7"/>
  <c r="D454" i="7"/>
  <c r="H453" i="7"/>
  <c r="G453" i="7"/>
  <c r="E453" i="7"/>
  <c r="D453" i="7"/>
  <c r="H452" i="7"/>
  <c r="G452" i="7"/>
  <c r="E452" i="7"/>
  <c r="D452" i="7"/>
  <c r="H451" i="7"/>
  <c r="G451" i="7"/>
  <c r="E451" i="7"/>
  <c r="D451" i="7"/>
  <c r="H450" i="7"/>
  <c r="G450" i="7"/>
  <c r="E450" i="7"/>
  <c r="D450" i="7"/>
  <c r="AD449" i="7"/>
  <c r="H449" i="7"/>
  <c r="G449" i="7"/>
  <c r="E449" i="7"/>
  <c r="D449" i="7"/>
  <c r="AD448" i="7"/>
  <c r="H448" i="7"/>
  <c r="G448" i="7"/>
  <c r="F448" i="7"/>
  <c r="E448" i="7"/>
  <c r="D448" i="7"/>
  <c r="AD447" i="7"/>
  <c r="H447" i="7"/>
  <c r="G447" i="7"/>
  <c r="F447" i="7"/>
  <c r="E447" i="7"/>
  <c r="D447" i="7"/>
  <c r="I445" i="7"/>
  <c r="H445" i="7"/>
  <c r="H443" i="7"/>
  <c r="G443" i="7"/>
  <c r="E443" i="7"/>
  <c r="D443" i="7"/>
  <c r="B443" i="7"/>
  <c r="AD442" i="7"/>
  <c r="H442" i="7"/>
  <c r="G442" i="7"/>
  <c r="F442" i="7"/>
  <c r="E442" i="7"/>
  <c r="D442" i="7"/>
  <c r="AD441" i="7"/>
  <c r="H441" i="7"/>
  <c r="G441" i="7"/>
  <c r="F441" i="7"/>
  <c r="E441" i="7"/>
  <c r="D441" i="7"/>
  <c r="H440" i="7"/>
  <c r="G440" i="7"/>
  <c r="F440" i="7"/>
  <c r="E440" i="7"/>
  <c r="D440" i="7"/>
  <c r="B440" i="7"/>
  <c r="H437" i="7"/>
  <c r="G437" i="7"/>
  <c r="F437" i="7"/>
  <c r="E437" i="7"/>
  <c r="D437" i="7"/>
  <c r="H435" i="7"/>
  <c r="G435" i="7"/>
  <c r="F435" i="7"/>
  <c r="E435" i="7"/>
  <c r="D435" i="7"/>
  <c r="H432" i="7"/>
  <c r="G432" i="7"/>
  <c r="F432" i="7"/>
  <c r="E432" i="7"/>
  <c r="D432" i="7"/>
  <c r="H430" i="7"/>
  <c r="G430" i="7"/>
  <c r="F430" i="7"/>
  <c r="E430" i="7"/>
  <c r="D430" i="7"/>
  <c r="H426" i="7"/>
  <c r="G426" i="7"/>
  <c r="F426" i="7"/>
  <c r="E426" i="7"/>
  <c r="D426" i="7"/>
  <c r="H422" i="7"/>
  <c r="G422" i="7"/>
  <c r="F422" i="7"/>
  <c r="E422" i="7"/>
  <c r="D422" i="7"/>
  <c r="H420" i="7"/>
  <c r="G420" i="7"/>
  <c r="F420" i="7"/>
  <c r="E420" i="7"/>
  <c r="D420" i="7"/>
  <c r="H418" i="7"/>
  <c r="G418" i="7"/>
  <c r="F418" i="7"/>
  <c r="E418" i="7"/>
  <c r="D418" i="7"/>
  <c r="H417" i="7"/>
  <c r="G417" i="7"/>
  <c r="E417" i="7"/>
  <c r="D417" i="7"/>
  <c r="AD416" i="7"/>
  <c r="H416" i="7"/>
  <c r="G416" i="7"/>
  <c r="E416" i="7"/>
  <c r="D416" i="7"/>
  <c r="AD415" i="7"/>
  <c r="H415" i="7"/>
  <c r="G415" i="7"/>
  <c r="E415" i="7"/>
  <c r="D415" i="7"/>
  <c r="AD414" i="7"/>
  <c r="H414" i="7"/>
  <c r="G414" i="7"/>
  <c r="E414" i="7"/>
  <c r="D414" i="7"/>
  <c r="AD413" i="7"/>
  <c r="H413" i="7"/>
  <c r="G413" i="7"/>
  <c r="E413" i="7"/>
  <c r="D413" i="7"/>
  <c r="AD412" i="7"/>
  <c r="H412" i="7"/>
  <c r="G412" i="7"/>
  <c r="E412" i="7"/>
  <c r="D412" i="7"/>
  <c r="I410" i="7"/>
  <c r="H410" i="7"/>
  <c r="F410" i="7"/>
  <c r="H408" i="7"/>
  <c r="G408" i="7"/>
  <c r="E408" i="7"/>
  <c r="D408" i="7"/>
  <c r="AD407" i="7"/>
  <c r="H407" i="7"/>
  <c r="G407" i="7"/>
  <c r="E407" i="7"/>
  <c r="D407" i="7"/>
  <c r="AD406" i="7"/>
  <c r="H406" i="7"/>
  <c r="G406" i="7"/>
  <c r="E406" i="7"/>
  <c r="D406" i="7"/>
  <c r="AD405" i="7"/>
  <c r="H405" i="7"/>
  <c r="G405" i="7"/>
  <c r="E405" i="7"/>
  <c r="D405" i="7"/>
  <c r="AD404" i="7"/>
  <c r="H404" i="7"/>
  <c r="G404" i="7"/>
  <c r="E404" i="7"/>
  <c r="D404" i="7"/>
  <c r="AD403" i="7"/>
  <c r="H403" i="7"/>
  <c r="G403" i="7"/>
  <c r="E403" i="7"/>
  <c r="D403" i="7"/>
  <c r="I401" i="7"/>
  <c r="H401" i="7"/>
  <c r="H399" i="7"/>
  <c r="G399" i="7"/>
  <c r="E399" i="7"/>
  <c r="D399" i="7"/>
  <c r="AD398" i="7"/>
  <c r="H398" i="7"/>
  <c r="G398" i="7"/>
  <c r="E398" i="7"/>
  <c r="D398" i="7"/>
  <c r="AD397" i="7"/>
  <c r="H397" i="7"/>
  <c r="G397" i="7"/>
  <c r="E397" i="7"/>
  <c r="D397" i="7"/>
  <c r="AD396" i="7"/>
  <c r="H396" i="7"/>
  <c r="G396" i="7"/>
  <c r="E396" i="7"/>
  <c r="D396" i="7"/>
  <c r="AD395" i="7"/>
  <c r="H395" i="7"/>
  <c r="G395" i="7"/>
  <c r="E395" i="7"/>
  <c r="D395" i="7"/>
  <c r="AD394" i="7"/>
  <c r="H394" i="7"/>
  <c r="G394" i="7"/>
  <c r="E394" i="7"/>
  <c r="D394" i="7"/>
  <c r="I392" i="7"/>
  <c r="H392" i="7"/>
  <c r="H390" i="7"/>
  <c r="G390" i="7"/>
  <c r="E390" i="7"/>
  <c r="D390" i="7"/>
  <c r="B390" i="7"/>
  <c r="AD389" i="7"/>
  <c r="H389" i="7"/>
  <c r="G389" i="7"/>
  <c r="F389" i="7"/>
  <c r="E389" i="7"/>
  <c r="D389" i="7"/>
  <c r="AD388" i="7"/>
  <c r="H388" i="7"/>
  <c r="G388" i="7"/>
  <c r="F388" i="7"/>
  <c r="E388" i="7"/>
  <c r="D388" i="7"/>
  <c r="H387" i="7"/>
  <c r="G387" i="7"/>
  <c r="F387" i="7"/>
  <c r="E387" i="7"/>
  <c r="D387" i="7"/>
  <c r="H386" i="7"/>
  <c r="G386" i="7"/>
  <c r="F386" i="7"/>
  <c r="E386" i="7"/>
  <c r="D386" i="7"/>
  <c r="H385" i="7"/>
  <c r="G385" i="7"/>
  <c r="F385" i="7"/>
  <c r="E385" i="7"/>
  <c r="D385" i="7"/>
  <c r="B385" i="7"/>
  <c r="H382" i="7"/>
  <c r="G382" i="7"/>
  <c r="F382" i="7"/>
  <c r="E382" i="7"/>
  <c r="D382" i="7"/>
  <c r="H380" i="7"/>
  <c r="G380" i="7"/>
  <c r="F380" i="7"/>
  <c r="E380" i="7"/>
  <c r="D380" i="7"/>
  <c r="H378" i="7"/>
  <c r="G378" i="7"/>
  <c r="F378" i="7"/>
  <c r="E378" i="7"/>
  <c r="D378" i="7"/>
  <c r="H375" i="7"/>
  <c r="G375" i="7"/>
  <c r="F375" i="7"/>
  <c r="E375" i="7"/>
  <c r="D375" i="7"/>
  <c r="H374" i="7"/>
  <c r="G374" i="7"/>
  <c r="E374" i="7"/>
  <c r="D374" i="7"/>
  <c r="AD373" i="7"/>
  <c r="H373" i="7"/>
  <c r="G373" i="7"/>
  <c r="E373" i="7"/>
  <c r="D373" i="7"/>
  <c r="AD372" i="7"/>
  <c r="H372" i="7"/>
  <c r="G372" i="7"/>
  <c r="E372" i="7"/>
  <c r="D372" i="7"/>
  <c r="AD371" i="7"/>
  <c r="H371" i="7"/>
  <c r="G371" i="7"/>
  <c r="E371" i="7"/>
  <c r="D371" i="7"/>
  <c r="AD370" i="7"/>
  <c r="H370" i="7"/>
  <c r="G370" i="7"/>
  <c r="E370" i="7"/>
  <c r="D370" i="7"/>
  <c r="AD369" i="7"/>
  <c r="H369" i="7"/>
  <c r="G369" i="7"/>
  <c r="E369" i="7"/>
  <c r="D369" i="7"/>
  <c r="I367" i="7"/>
  <c r="H367" i="7"/>
  <c r="F367" i="7"/>
  <c r="AD365" i="7"/>
  <c r="H365" i="7"/>
  <c r="G365" i="7"/>
  <c r="E365" i="7"/>
  <c r="D365" i="7"/>
  <c r="AD364" i="7"/>
  <c r="H364" i="7"/>
  <c r="G364" i="7"/>
  <c r="E364" i="7"/>
  <c r="D364" i="7"/>
  <c r="AD363" i="7"/>
  <c r="H363" i="7"/>
  <c r="G363" i="7"/>
  <c r="E363" i="7"/>
  <c r="D363" i="7"/>
  <c r="I361" i="7"/>
  <c r="H361" i="7"/>
  <c r="H359" i="7"/>
  <c r="G359" i="7"/>
  <c r="E359" i="7"/>
  <c r="D359" i="7"/>
  <c r="H358" i="7"/>
  <c r="G358" i="7"/>
  <c r="E358" i="7"/>
  <c r="D358" i="7"/>
  <c r="H357" i="7"/>
  <c r="G357" i="7"/>
  <c r="E357" i="7"/>
  <c r="D357" i="7"/>
  <c r="AD356" i="7"/>
  <c r="H356" i="7"/>
  <c r="G356" i="7"/>
  <c r="E356" i="7"/>
  <c r="D356" i="7"/>
  <c r="AD355" i="7"/>
  <c r="H355" i="7"/>
  <c r="G355" i="7"/>
  <c r="E355" i="7"/>
  <c r="D355" i="7"/>
  <c r="AD354" i="7"/>
  <c r="H354" i="7"/>
  <c r="G354" i="7"/>
  <c r="E354" i="7"/>
  <c r="D354" i="7"/>
  <c r="I352" i="7"/>
  <c r="H352" i="7"/>
  <c r="H350" i="7"/>
  <c r="G350" i="7"/>
  <c r="E350" i="7"/>
  <c r="D350" i="7"/>
  <c r="AD349" i="7"/>
  <c r="H349" i="7"/>
  <c r="G349" i="7"/>
  <c r="E349" i="7"/>
  <c r="D349" i="7"/>
  <c r="AD348" i="7"/>
  <c r="H348" i="7"/>
  <c r="G348" i="7"/>
  <c r="E348" i="7"/>
  <c r="D348" i="7"/>
  <c r="I346" i="7"/>
  <c r="H346" i="7"/>
  <c r="H344" i="7"/>
  <c r="E344" i="7"/>
  <c r="D344" i="7"/>
  <c r="H343" i="7"/>
  <c r="G343" i="7"/>
  <c r="E343" i="7"/>
  <c r="D343" i="7"/>
  <c r="H342" i="7"/>
  <c r="G342" i="7"/>
  <c r="E342" i="7"/>
  <c r="D342" i="7"/>
  <c r="H341" i="7"/>
  <c r="G341" i="7"/>
  <c r="E341" i="7"/>
  <c r="D341" i="7"/>
  <c r="H340" i="7"/>
  <c r="G340" i="7"/>
  <c r="E340" i="7"/>
  <c r="D340" i="7"/>
  <c r="H339" i="7"/>
  <c r="G339" i="7"/>
  <c r="E339" i="7"/>
  <c r="D339" i="7"/>
  <c r="AD338" i="7"/>
  <c r="H338" i="7"/>
  <c r="G338" i="7"/>
  <c r="E338" i="7"/>
  <c r="D338" i="7"/>
  <c r="AD337" i="7"/>
  <c r="H337" i="7"/>
  <c r="G337" i="7"/>
  <c r="E337" i="7"/>
  <c r="D337" i="7"/>
  <c r="AD336" i="7"/>
  <c r="H336" i="7"/>
  <c r="G336" i="7"/>
  <c r="E336" i="7"/>
  <c r="D336" i="7"/>
  <c r="I334" i="7"/>
  <c r="H334" i="7"/>
  <c r="H332" i="7"/>
  <c r="G332" i="7"/>
  <c r="E332" i="7"/>
  <c r="D332" i="7"/>
  <c r="AD331" i="7"/>
  <c r="H331" i="7"/>
  <c r="G331" i="7"/>
  <c r="E331" i="7"/>
  <c r="D331" i="7"/>
  <c r="I329" i="7"/>
  <c r="H329" i="7"/>
  <c r="H327" i="7"/>
  <c r="G327" i="7"/>
  <c r="E327" i="7"/>
  <c r="D327" i="7"/>
  <c r="B327" i="7"/>
  <c r="AD326" i="7"/>
  <c r="H326" i="7"/>
  <c r="G326" i="7"/>
  <c r="E326" i="7"/>
  <c r="D326" i="7"/>
  <c r="AD325" i="7"/>
  <c r="H325" i="7"/>
  <c r="G325" i="7"/>
  <c r="E325" i="7"/>
  <c r="D325" i="7"/>
  <c r="AD324" i="7"/>
  <c r="H324" i="7"/>
  <c r="G324" i="7"/>
  <c r="E324" i="7"/>
  <c r="D324" i="7"/>
  <c r="I322" i="7"/>
  <c r="H322" i="7"/>
  <c r="AD320" i="7"/>
  <c r="H320" i="7"/>
  <c r="G320" i="7"/>
  <c r="E320" i="7"/>
  <c r="D320" i="7"/>
  <c r="AD319" i="7"/>
  <c r="H319" i="7"/>
  <c r="G319" i="7"/>
  <c r="E319" i="7"/>
  <c r="D319" i="7"/>
  <c r="AD318" i="7"/>
  <c r="H318" i="7"/>
  <c r="G318" i="7"/>
  <c r="E318" i="7"/>
  <c r="D318" i="7"/>
  <c r="AD317" i="7"/>
  <c r="H317" i="7"/>
  <c r="G317" i="7"/>
  <c r="E317" i="7"/>
  <c r="D317" i="7"/>
  <c r="I315" i="7"/>
  <c r="H315" i="7"/>
  <c r="H313" i="7"/>
  <c r="G313" i="7"/>
  <c r="E313" i="7"/>
  <c r="D313" i="7"/>
  <c r="H312" i="7"/>
  <c r="G312" i="7"/>
  <c r="E312" i="7"/>
  <c r="D312" i="7"/>
  <c r="H311" i="7"/>
  <c r="G311" i="7"/>
  <c r="E311" i="7"/>
  <c r="D311" i="7"/>
  <c r="H310" i="7"/>
  <c r="G310" i="7"/>
  <c r="E310" i="7"/>
  <c r="D310" i="7"/>
  <c r="AD309" i="7"/>
  <c r="H309" i="7"/>
  <c r="G309" i="7"/>
  <c r="E309" i="7"/>
  <c r="D309" i="7"/>
  <c r="AD308" i="7"/>
  <c r="H308" i="7"/>
  <c r="G308" i="7"/>
  <c r="E308" i="7"/>
  <c r="D308" i="7"/>
  <c r="AD307" i="7"/>
  <c r="H307" i="7"/>
  <c r="G307" i="7"/>
  <c r="E307" i="7"/>
  <c r="D307" i="7"/>
  <c r="AD306" i="7"/>
  <c r="H306" i="7"/>
  <c r="G306" i="7"/>
  <c r="E306" i="7"/>
  <c r="D306" i="7"/>
  <c r="I304" i="7"/>
  <c r="H304" i="7"/>
  <c r="H302" i="7"/>
  <c r="G302" i="7"/>
  <c r="E302" i="7"/>
  <c r="D302" i="7"/>
  <c r="AD301" i="7"/>
  <c r="H301" i="7"/>
  <c r="G301" i="7"/>
  <c r="E301" i="7"/>
  <c r="D301" i="7"/>
  <c r="AD300" i="7"/>
  <c r="H300" i="7"/>
  <c r="G300" i="7"/>
  <c r="E300" i="7"/>
  <c r="D300" i="7"/>
  <c r="AD299" i="7"/>
  <c r="H299" i="7"/>
  <c r="G299" i="7"/>
  <c r="E299" i="7"/>
  <c r="D299" i="7"/>
  <c r="AD298" i="7"/>
  <c r="H298" i="7"/>
  <c r="G298" i="7"/>
  <c r="E298" i="7"/>
  <c r="D298" i="7"/>
  <c r="AD297" i="7"/>
  <c r="H297" i="7"/>
  <c r="G297" i="7"/>
  <c r="E297" i="7"/>
  <c r="D297" i="7"/>
  <c r="I295" i="7"/>
  <c r="H295" i="7"/>
  <c r="AD293" i="7"/>
  <c r="H293" i="7"/>
  <c r="G293" i="7"/>
  <c r="E293" i="7"/>
  <c r="D293" i="7"/>
  <c r="AD292" i="7"/>
  <c r="H292" i="7"/>
  <c r="G292" i="7"/>
  <c r="E292" i="7"/>
  <c r="D292" i="7"/>
  <c r="AD291" i="7"/>
  <c r="H291" i="7"/>
  <c r="G291" i="7"/>
  <c r="E291" i="7"/>
  <c r="D291" i="7"/>
  <c r="AD290" i="7"/>
  <c r="H290" i="7"/>
  <c r="G290" i="7"/>
  <c r="E290" i="7"/>
  <c r="D290" i="7"/>
  <c r="I288" i="7"/>
  <c r="H288" i="7"/>
  <c r="H286" i="7"/>
  <c r="G286" i="7"/>
  <c r="E286" i="7"/>
  <c r="D286" i="7"/>
  <c r="H285" i="7"/>
  <c r="G285" i="7"/>
  <c r="E285" i="7"/>
  <c r="D285" i="7"/>
  <c r="H284" i="7"/>
  <c r="G284" i="7"/>
  <c r="E284" i="7"/>
  <c r="D284" i="7"/>
  <c r="H283" i="7"/>
  <c r="G283" i="7"/>
  <c r="E283" i="7"/>
  <c r="D283" i="7"/>
  <c r="AD282" i="7"/>
  <c r="H282" i="7"/>
  <c r="G282" i="7"/>
  <c r="E282" i="7"/>
  <c r="D282" i="7"/>
  <c r="AD281" i="7"/>
  <c r="H281" i="7"/>
  <c r="G281" i="7"/>
  <c r="E281" i="7"/>
  <c r="D281" i="7"/>
  <c r="I279" i="7"/>
  <c r="H279" i="7"/>
  <c r="H275" i="7"/>
  <c r="G275" i="7"/>
  <c r="E275" i="7"/>
  <c r="D275" i="7"/>
  <c r="H274" i="7"/>
  <c r="G274" i="7"/>
  <c r="E274" i="7"/>
  <c r="D274" i="7"/>
  <c r="H273" i="7"/>
  <c r="G273" i="7"/>
  <c r="E273" i="7"/>
  <c r="D273" i="7"/>
  <c r="H272" i="7"/>
  <c r="G272" i="7"/>
  <c r="E272" i="7"/>
  <c r="D272" i="7"/>
  <c r="H271" i="7"/>
  <c r="G271" i="7"/>
  <c r="E271" i="7"/>
  <c r="D271" i="7"/>
  <c r="H270" i="7"/>
  <c r="G270" i="7"/>
  <c r="E270" i="7"/>
  <c r="D270" i="7"/>
  <c r="H269" i="7"/>
  <c r="G269" i="7"/>
  <c r="E269" i="7"/>
  <c r="D269" i="7"/>
  <c r="B269" i="7"/>
  <c r="AD268" i="7"/>
  <c r="H268" i="7"/>
  <c r="G268" i="7"/>
  <c r="E268" i="7"/>
  <c r="D268" i="7"/>
  <c r="I266" i="7"/>
  <c r="H266" i="7"/>
  <c r="H264" i="7"/>
  <c r="G264" i="7"/>
  <c r="E264" i="7"/>
  <c r="D264" i="7"/>
  <c r="B264" i="7"/>
  <c r="H263" i="7"/>
  <c r="G263" i="7"/>
  <c r="E263" i="7"/>
  <c r="D263" i="7"/>
  <c r="H262" i="7"/>
  <c r="G262" i="7"/>
  <c r="E262" i="7"/>
  <c r="D262" i="7"/>
  <c r="H261" i="7"/>
  <c r="G261" i="7"/>
  <c r="E261" i="7"/>
  <c r="D261" i="7"/>
  <c r="B261" i="7"/>
  <c r="H260" i="7"/>
  <c r="G260" i="7"/>
  <c r="E260" i="7"/>
  <c r="D260" i="7"/>
  <c r="H259" i="7"/>
  <c r="G259" i="7"/>
  <c r="E259" i="7"/>
  <c r="D259" i="7"/>
  <c r="I257" i="7"/>
  <c r="H257" i="7"/>
  <c r="H255" i="7"/>
  <c r="G255" i="7"/>
  <c r="E255" i="7"/>
  <c r="D255" i="7"/>
  <c r="B255" i="7"/>
  <c r="H254" i="7"/>
  <c r="G254" i="7"/>
  <c r="E254" i="7"/>
  <c r="D254" i="7"/>
  <c r="H253" i="7"/>
  <c r="G253" i="7"/>
  <c r="E253" i="7"/>
  <c r="D253" i="7"/>
  <c r="H252" i="7"/>
  <c r="G252" i="7"/>
  <c r="E252" i="7"/>
  <c r="D252" i="7"/>
  <c r="B252" i="7"/>
  <c r="H251" i="7"/>
  <c r="G251" i="7"/>
  <c r="E251" i="7"/>
  <c r="D251" i="7"/>
  <c r="H250" i="7"/>
  <c r="G250" i="7"/>
  <c r="E250" i="7"/>
  <c r="D250" i="7"/>
  <c r="I248" i="7"/>
  <c r="H248" i="7"/>
  <c r="H246" i="7"/>
  <c r="G246" i="7"/>
  <c r="E246" i="7"/>
  <c r="D246" i="7"/>
  <c r="AD245" i="7"/>
  <c r="H245" i="7"/>
  <c r="G245" i="7"/>
  <c r="E245" i="7"/>
  <c r="D245" i="7"/>
  <c r="I243" i="7"/>
  <c r="H243" i="7"/>
  <c r="H241" i="7"/>
  <c r="G241" i="7"/>
  <c r="F241" i="7"/>
  <c r="E241" i="7"/>
  <c r="D241" i="7"/>
  <c r="H240" i="7"/>
  <c r="G240" i="7"/>
  <c r="F240" i="7"/>
  <c r="E240" i="7"/>
  <c r="D240" i="7"/>
  <c r="H239" i="7"/>
  <c r="G239" i="7"/>
  <c r="E239" i="7"/>
  <c r="D239" i="7"/>
  <c r="B239" i="7"/>
  <c r="H238" i="7"/>
  <c r="G238" i="7"/>
  <c r="E238" i="7"/>
  <c r="D238" i="7"/>
  <c r="B238" i="7"/>
  <c r="AD237" i="7"/>
  <c r="H237" i="7"/>
  <c r="G237" i="7"/>
  <c r="E237" i="7"/>
  <c r="D237" i="7"/>
  <c r="I235" i="7"/>
  <c r="H235" i="7"/>
  <c r="H233" i="7"/>
  <c r="G233" i="7"/>
  <c r="E233" i="7"/>
  <c r="D233" i="7"/>
  <c r="AD232" i="7"/>
  <c r="H232" i="7"/>
  <c r="G232" i="7"/>
  <c r="E232" i="7"/>
  <c r="D232" i="7"/>
  <c r="I230" i="7"/>
  <c r="H230" i="7"/>
  <c r="H228" i="7"/>
  <c r="G228" i="7"/>
  <c r="E228" i="7"/>
  <c r="D228" i="7"/>
  <c r="AD227" i="7"/>
  <c r="H227" i="7"/>
  <c r="G227" i="7"/>
  <c r="E227" i="7"/>
  <c r="D227" i="7"/>
  <c r="AD226" i="7"/>
  <c r="H226" i="7"/>
  <c r="G226" i="7"/>
  <c r="E226" i="7"/>
  <c r="D226" i="7"/>
  <c r="AD225" i="7"/>
  <c r="H225" i="7"/>
  <c r="G225" i="7"/>
  <c r="E225" i="7"/>
  <c r="D225" i="7"/>
  <c r="I223" i="7"/>
  <c r="H223" i="7"/>
  <c r="H221" i="7"/>
  <c r="G221" i="7"/>
  <c r="E221" i="7"/>
  <c r="D221" i="7"/>
  <c r="H220" i="7"/>
  <c r="G220" i="7"/>
  <c r="E220" i="7"/>
  <c r="D220" i="7"/>
  <c r="I218" i="7"/>
  <c r="H218" i="7"/>
  <c r="H216" i="7"/>
  <c r="G216" i="7"/>
  <c r="E216" i="7"/>
  <c r="D216" i="7"/>
  <c r="B216" i="7"/>
  <c r="I214" i="7"/>
  <c r="H214" i="7"/>
  <c r="H212" i="7"/>
  <c r="G212" i="7"/>
  <c r="E212" i="7"/>
  <c r="D212" i="7"/>
  <c r="H211" i="7"/>
  <c r="G211" i="7"/>
  <c r="E211" i="7"/>
  <c r="D211" i="7"/>
  <c r="H210" i="7"/>
  <c r="G210" i="7"/>
  <c r="E210" i="7"/>
  <c r="D210" i="7"/>
  <c r="H209" i="7"/>
  <c r="G209" i="7"/>
  <c r="E209" i="7"/>
  <c r="D209" i="7"/>
  <c r="H208" i="7"/>
  <c r="G208" i="7"/>
  <c r="E208" i="7"/>
  <c r="D208" i="7"/>
  <c r="AD207" i="7"/>
  <c r="H207" i="7"/>
  <c r="G207" i="7"/>
  <c r="E207" i="7"/>
  <c r="D207" i="7"/>
  <c r="AD206" i="7"/>
  <c r="H206" i="7"/>
  <c r="G206" i="7"/>
  <c r="E206" i="7"/>
  <c r="D206" i="7"/>
  <c r="AD205" i="7"/>
  <c r="H205" i="7"/>
  <c r="G205" i="7"/>
  <c r="E205" i="7"/>
  <c r="D205" i="7"/>
  <c r="AD204" i="7"/>
  <c r="H204" i="7"/>
  <c r="G204" i="7"/>
  <c r="E204" i="7"/>
  <c r="D204" i="7"/>
  <c r="AD203" i="7"/>
  <c r="H203" i="7"/>
  <c r="G203" i="7"/>
  <c r="E203" i="7"/>
  <c r="D203" i="7"/>
  <c r="I202" i="7"/>
  <c r="H202" i="7"/>
  <c r="H200" i="7"/>
  <c r="G200" i="7"/>
  <c r="E200" i="7"/>
  <c r="D200" i="7"/>
  <c r="H199" i="7"/>
  <c r="G199" i="7"/>
  <c r="E199" i="7"/>
  <c r="D199" i="7"/>
  <c r="H198" i="7"/>
  <c r="G198" i="7"/>
  <c r="E198" i="7"/>
  <c r="D198" i="7"/>
  <c r="H197" i="7"/>
  <c r="G197" i="7"/>
  <c r="E197" i="7"/>
  <c r="D197" i="7"/>
  <c r="H196" i="7"/>
  <c r="G196" i="7"/>
  <c r="E196" i="7"/>
  <c r="D196" i="7"/>
  <c r="AD195" i="7"/>
  <c r="H195" i="7"/>
  <c r="G195" i="7"/>
  <c r="E195" i="7"/>
  <c r="D195" i="7"/>
  <c r="AD194" i="7"/>
  <c r="H194" i="7"/>
  <c r="G194" i="7"/>
  <c r="E194" i="7"/>
  <c r="D194" i="7"/>
  <c r="AD193" i="7"/>
  <c r="H193" i="7"/>
  <c r="G193" i="7"/>
  <c r="E193" i="7"/>
  <c r="D193" i="7"/>
  <c r="AD192" i="7"/>
  <c r="H192" i="7"/>
  <c r="G192" i="7"/>
  <c r="E192" i="7"/>
  <c r="D192" i="7"/>
  <c r="AD191" i="7"/>
  <c r="H191" i="7"/>
  <c r="G191" i="7"/>
  <c r="E191" i="7"/>
  <c r="D191" i="7"/>
  <c r="I190" i="7"/>
  <c r="H190" i="7"/>
  <c r="H188" i="7"/>
  <c r="G188" i="7"/>
  <c r="E188" i="7"/>
  <c r="D188" i="7"/>
  <c r="B188" i="7"/>
  <c r="AD187" i="7"/>
  <c r="H187" i="7"/>
  <c r="G187" i="7"/>
  <c r="E187" i="7"/>
  <c r="D187" i="7"/>
  <c r="AD186" i="7"/>
  <c r="H186" i="7"/>
  <c r="G186" i="7"/>
  <c r="E186" i="7"/>
  <c r="D186" i="7"/>
  <c r="AD185" i="7"/>
  <c r="H185" i="7"/>
  <c r="G185" i="7"/>
  <c r="E185" i="7"/>
  <c r="D185" i="7"/>
  <c r="AD184" i="7"/>
  <c r="H184" i="7"/>
  <c r="G184" i="7"/>
  <c r="E184" i="7"/>
  <c r="D184" i="7"/>
  <c r="I182" i="7"/>
  <c r="H182" i="7"/>
  <c r="H180" i="7"/>
  <c r="G180" i="7"/>
  <c r="E180" i="7"/>
  <c r="D180" i="7"/>
  <c r="B180" i="7"/>
  <c r="AD179" i="7"/>
  <c r="H179" i="7"/>
  <c r="G179" i="7"/>
  <c r="E179" i="7"/>
  <c r="D179" i="7"/>
  <c r="AD178" i="7"/>
  <c r="H178" i="7"/>
  <c r="G178" i="7"/>
  <c r="E178" i="7"/>
  <c r="D178" i="7"/>
  <c r="AD177" i="7"/>
  <c r="H177" i="7"/>
  <c r="G177" i="7"/>
  <c r="E177" i="7"/>
  <c r="D177" i="7"/>
  <c r="I175" i="7"/>
  <c r="H175" i="7"/>
  <c r="AD173" i="7"/>
  <c r="H173" i="7"/>
  <c r="G173" i="7"/>
  <c r="E173" i="7"/>
  <c r="D173" i="7"/>
  <c r="AD172" i="7"/>
  <c r="H172" i="7"/>
  <c r="G172" i="7"/>
  <c r="E172" i="7"/>
  <c r="D172" i="7"/>
  <c r="AD171" i="7"/>
  <c r="H171" i="7"/>
  <c r="G171" i="7"/>
  <c r="E171" i="7"/>
  <c r="D171" i="7"/>
  <c r="AD170" i="7"/>
  <c r="H170" i="7"/>
  <c r="G170" i="7"/>
  <c r="E170" i="7"/>
  <c r="D170" i="7"/>
  <c r="AD169" i="7"/>
  <c r="H169" i="7"/>
  <c r="G169" i="7"/>
  <c r="E169" i="7"/>
  <c r="D169" i="7"/>
  <c r="AD168" i="7"/>
  <c r="H168" i="7"/>
  <c r="G168" i="7"/>
  <c r="E168" i="7"/>
  <c r="D168" i="7"/>
  <c r="AD167" i="7"/>
  <c r="H167" i="7"/>
  <c r="G167" i="7"/>
  <c r="E167" i="7"/>
  <c r="D167" i="7"/>
  <c r="AD166" i="7"/>
  <c r="H166" i="7"/>
  <c r="G166" i="7"/>
  <c r="E166" i="7"/>
  <c r="D166" i="7"/>
  <c r="I165" i="7"/>
  <c r="H165" i="7"/>
  <c r="AD163" i="7"/>
  <c r="H163" i="7"/>
  <c r="G163" i="7"/>
  <c r="E163" i="7"/>
  <c r="D163" i="7"/>
  <c r="AD162" i="7"/>
  <c r="H162" i="7"/>
  <c r="G162" i="7"/>
  <c r="E162" i="7"/>
  <c r="D162" i="7"/>
  <c r="AD161" i="7"/>
  <c r="H161" i="7"/>
  <c r="G161" i="7"/>
  <c r="E161" i="7"/>
  <c r="D161" i="7"/>
  <c r="AD160" i="7"/>
  <c r="H160" i="7"/>
  <c r="G160" i="7"/>
  <c r="E160" i="7"/>
  <c r="D160" i="7"/>
  <c r="AD159" i="7"/>
  <c r="H159" i="7"/>
  <c r="G159" i="7"/>
  <c r="E159" i="7"/>
  <c r="D159" i="7"/>
  <c r="AD158" i="7"/>
  <c r="H158" i="7"/>
  <c r="G158" i="7"/>
  <c r="E158" i="7"/>
  <c r="D158" i="7"/>
  <c r="AD157" i="7"/>
  <c r="H157" i="7"/>
  <c r="G157" i="7"/>
  <c r="E157" i="7"/>
  <c r="D157" i="7"/>
  <c r="AD156" i="7"/>
  <c r="H156" i="7"/>
  <c r="G156" i="7"/>
  <c r="E156" i="7"/>
  <c r="D156" i="7"/>
  <c r="AD155" i="7"/>
  <c r="H155" i="7"/>
  <c r="G155" i="7"/>
  <c r="E155" i="7"/>
  <c r="D155" i="7"/>
  <c r="AD154" i="7"/>
  <c r="H154" i="7"/>
  <c r="G154" i="7"/>
  <c r="E154" i="7"/>
  <c r="D154" i="7"/>
  <c r="AD153" i="7"/>
  <c r="H153" i="7"/>
  <c r="G153" i="7"/>
  <c r="E153" i="7"/>
  <c r="D153" i="7"/>
  <c r="AD152" i="7"/>
  <c r="H152" i="7"/>
  <c r="G152" i="7"/>
  <c r="E152" i="7"/>
  <c r="D152" i="7"/>
  <c r="AD151" i="7"/>
  <c r="H151" i="7"/>
  <c r="G151" i="7"/>
  <c r="E151" i="7"/>
  <c r="D151" i="7"/>
  <c r="AD150" i="7"/>
  <c r="H150" i="7"/>
  <c r="G150" i="7"/>
  <c r="E150" i="7"/>
  <c r="D150" i="7"/>
  <c r="AD149" i="7"/>
  <c r="H149" i="7"/>
  <c r="G149" i="7"/>
  <c r="E149" i="7"/>
  <c r="D149" i="7"/>
  <c r="AD148" i="7"/>
  <c r="H148" i="7"/>
  <c r="G148" i="7"/>
  <c r="E148" i="7"/>
  <c r="D148" i="7"/>
  <c r="I146" i="7"/>
  <c r="H146" i="7"/>
  <c r="H144" i="7"/>
  <c r="G144" i="7"/>
  <c r="E144" i="7"/>
  <c r="D144" i="7"/>
  <c r="AD143" i="7"/>
  <c r="H143" i="7"/>
  <c r="G143" i="7"/>
  <c r="E143" i="7"/>
  <c r="D143" i="7"/>
  <c r="AD142" i="7"/>
  <c r="H142" i="7"/>
  <c r="G142" i="7"/>
  <c r="E142" i="7"/>
  <c r="D142" i="7"/>
  <c r="AD141" i="7"/>
  <c r="H141" i="7"/>
  <c r="G141" i="7"/>
  <c r="E141" i="7"/>
  <c r="D141" i="7"/>
  <c r="AD140" i="7"/>
  <c r="H140" i="7"/>
  <c r="G140" i="7"/>
  <c r="E140" i="7"/>
  <c r="D140" i="7"/>
  <c r="AD139" i="7"/>
  <c r="H139" i="7"/>
  <c r="G139" i="7"/>
  <c r="E139" i="7"/>
  <c r="D139" i="7"/>
  <c r="I137" i="7"/>
  <c r="H137" i="7"/>
  <c r="H135" i="7"/>
  <c r="G135" i="7"/>
  <c r="E135" i="7"/>
  <c r="D135" i="7"/>
  <c r="B135" i="7"/>
  <c r="H134" i="7"/>
  <c r="G134" i="7"/>
  <c r="E134" i="7"/>
  <c r="D134" i="7"/>
  <c r="H133" i="7"/>
  <c r="G133" i="7"/>
  <c r="E133" i="7"/>
  <c r="D133" i="7"/>
  <c r="H132" i="7"/>
  <c r="G132" i="7"/>
  <c r="E132" i="7"/>
  <c r="D132" i="7"/>
  <c r="AD131" i="7"/>
  <c r="H131" i="7"/>
  <c r="G131" i="7"/>
  <c r="E131" i="7"/>
  <c r="D131" i="7"/>
  <c r="AD130" i="7"/>
  <c r="H130" i="7"/>
  <c r="G130" i="7"/>
  <c r="E130" i="7"/>
  <c r="D130" i="7"/>
  <c r="AD129" i="7"/>
  <c r="H129" i="7"/>
  <c r="G129" i="7"/>
  <c r="E129" i="7"/>
  <c r="D129" i="7"/>
  <c r="I127" i="7"/>
  <c r="H127" i="7"/>
  <c r="H125" i="7"/>
  <c r="G125" i="7"/>
  <c r="E125" i="7"/>
  <c r="D125" i="7"/>
  <c r="H124" i="7"/>
  <c r="G124" i="7"/>
  <c r="E124" i="7"/>
  <c r="D124" i="7"/>
  <c r="AD123" i="7"/>
  <c r="H123" i="7"/>
  <c r="G123" i="7"/>
  <c r="E123" i="7"/>
  <c r="D123" i="7"/>
  <c r="AD122" i="7"/>
  <c r="H122" i="7"/>
  <c r="G122" i="7"/>
  <c r="E122" i="7"/>
  <c r="D122" i="7"/>
  <c r="I120" i="7"/>
  <c r="H120" i="7"/>
  <c r="H118" i="7"/>
  <c r="G118" i="7"/>
  <c r="E118" i="7"/>
  <c r="D118" i="7"/>
  <c r="B118" i="7"/>
  <c r="I116" i="7"/>
  <c r="H116" i="7"/>
  <c r="H114" i="7"/>
  <c r="G114" i="7"/>
  <c r="E114" i="7"/>
  <c r="D114" i="7"/>
  <c r="AD113" i="7"/>
  <c r="H113" i="7"/>
  <c r="G113" i="7"/>
  <c r="E113" i="7"/>
  <c r="D113" i="7"/>
  <c r="AD112" i="7"/>
  <c r="H112" i="7"/>
  <c r="G112" i="7"/>
  <c r="E112" i="7"/>
  <c r="D112" i="7"/>
  <c r="AD111" i="7"/>
  <c r="H111" i="7"/>
  <c r="G111" i="7"/>
  <c r="E111" i="7"/>
  <c r="D111" i="7"/>
  <c r="AD110" i="7"/>
  <c r="H110" i="7"/>
  <c r="G110" i="7"/>
  <c r="E110" i="7"/>
  <c r="D110" i="7"/>
  <c r="I108" i="7"/>
  <c r="H108" i="7"/>
  <c r="AD106" i="7"/>
  <c r="H106" i="7"/>
  <c r="G106" i="7"/>
  <c r="E106" i="7"/>
  <c r="D106" i="7"/>
  <c r="AD105" i="7"/>
  <c r="H105" i="7"/>
  <c r="G105" i="7"/>
  <c r="E105" i="7"/>
  <c r="D105" i="7"/>
  <c r="I103" i="7"/>
  <c r="H103" i="7"/>
  <c r="H101" i="7"/>
  <c r="G101" i="7"/>
  <c r="E101" i="7"/>
  <c r="D101" i="7"/>
  <c r="H100" i="7"/>
  <c r="G100" i="7"/>
  <c r="E100" i="7"/>
  <c r="D100" i="7"/>
  <c r="H99" i="7"/>
  <c r="G99" i="7"/>
  <c r="E99" i="7"/>
  <c r="D99" i="7"/>
  <c r="AD98" i="7"/>
  <c r="H98" i="7"/>
  <c r="G98" i="7"/>
  <c r="E98" i="7"/>
  <c r="D98" i="7"/>
  <c r="AD97" i="7"/>
  <c r="H97" i="7"/>
  <c r="G97" i="7"/>
  <c r="E97" i="7"/>
  <c r="D97" i="7"/>
  <c r="AD96" i="7"/>
  <c r="H96" i="7"/>
  <c r="G96" i="7"/>
  <c r="E96" i="7"/>
  <c r="D96" i="7"/>
  <c r="AD95" i="7"/>
  <c r="H95" i="7"/>
  <c r="G95" i="7"/>
  <c r="E95" i="7"/>
  <c r="D95" i="7"/>
  <c r="AD94" i="7"/>
  <c r="H94" i="7"/>
  <c r="G94" i="7"/>
  <c r="E94" i="7"/>
  <c r="D94" i="7"/>
  <c r="AD93" i="7"/>
  <c r="H93" i="7"/>
  <c r="G93" i="7"/>
  <c r="E93" i="7"/>
  <c r="D93" i="7"/>
  <c r="AD92" i="7"/>
  <c r="H92" i="7"/>
  <c r="G92" i="7"/>
  <c r="E92" i="7"/>
  <c r="D92" i="7"/>
  <c r="AD91" i="7"/>
  <c r="H91" i="7"/>
  <c r="G91" i="7"/>
  <c r="E91" i="7"/>
  <c r="D91" i="7"/>
  <c r="AD90" i="7"/>
  <c r="H90" i="7"/>
  <c r="G90" i="7"/>
  <c r="E90" i="7"/>
  <c r="D90" i="7"/>
  <c r="I88" i="7"/>
  <c r="H88" i="7"/>
  <c r="H86" i="7"/>
  <c r="G86" i="7"/>
  <c r="E86" i="7"/>
  <c r="D86" i="7"/>
  <c r="I84" i="7"/>
  <c r="H84" i="7"/>
  <c r="H82" i="7"/>
  <c r="G82" i="7"/>
  <c r="E82" i="7"/>
  <c r="D82" i="7"/>
  <c r="I80" i="7"/>
  <c r="H80" i="7"/>
  <c r="H78" i="7"/>
  <c r="G78" i="7"/>
  <c r="E78" i="7"/>
  <c r="D78" i="7"/>
  <c r="I76" i="7"/>
  <c r="H76" i="7"/>
  <c r="H74" i="7"/>
  <c r="G74" i="7"/>
  <c r="E74" i="7"/>
  <c r="D74" i="7"/>
  <c r="I72" i="7"/>
  <c r="H72" i="7"/>
  <c r="H70" i="7"/>
  <c r="G70" i="7"/>
  <c r="E70" i="7"/>
  <c r="D70" i="7"/>
  <c r="H69" i="7"/>
  <c r="G69" i="7"/>
  <c r="E69" i="7"/>
  <c r="D69" i="7"/>
  <c r="H68" i="7"/>
  <c r="G68" i="7"/>
  <c r="E68" i="7"/>
  <c r="D68" i="7"/>
  <c r="H67" i="7"/>
  <c r="G67" i="7"/>
  <c r="E67" i="7"/>
  <c r="D67" i="7"/>
  <c r="H66" i="7"/>
  <c r="G66" i="7"/>
  <c r="E66" i="7"/>
  <c r="D66" i="7"/>
  <c r="H65" i="7"/>
  <c r="G65" i="7"/>
  <c r="E65" i="7"/>
  <c r="D65" i="7"/>
  <c r="H64" i="7"/>
  <c r="G64" i="7"/>
  <c r="E64" i="7"/>
  <c r="D64" i="7"/>
  <c r="H63" i="7"/>
  <c r="G63" i="7"/>
  <c r="E63" i="7"/>
  <c r="D63" i="7"/>
  <c r="B63" i="7"/>
  <c r="AD62" i="7"/>
  <c r="H62" i="7"/>
  <c r="G62" i="7"/>
  <c r="E62" i="7"/>
  <c r="D62" i="7"/>
  <c r="AD61" i="7"/>
  <c r="H61" i="7"/>
  <c r="G61" i="7"/>
  <c r="E61" i="7"/>
  <c r="D61" i="7"/>
  <c r="AD60" i="7"/>
  <c r="H60" i="7"/>
  <c r="G60" i="7"/>
  <c r="E60" i="7"/>
  <c r="D60" i="7"/>
  <c r="AD59" i="7"/>
  <c r="H59" i="7"/>
  <c r="G59" i="7"/>
  <c r="E59" i="7"/>
  <c r="D59" i="7"/>
  <c r="AD58" i="7"/>
  <c r="H58" i="7"/>
  <c r="G58" i="7"/>
  <c r="E58" i="7"/>
  <c r="D58" i="7"/>
  <c r="AD57" i="7"/>
  <c r="H57" i="7"/>
  <c r="G57" i="7"/>
  <c r="E57" i="7"/>
  <c r="D57" i="7"/>
  <c r="AD56" i="7"/>
  <c r="H56" i="7"/>
  <c r="G56" i="7"/>
  <c r="E56" i="7"/>
  <c r="D56" i="7"/>
  <c r="AD55" i="7"/>
  <c r="H55" i="7"/>
  <c r="G55" i="7"/>
  <c r="E55" i="7"/>
  <c r="D55" i="7"/>
  <c r="AD54" i="7"/>
  <c r="H54" i="7"/>
  <c r="G54" i="7"/>
  <c r="E54" i="7"/>
  <c r="D54" i="7"/>
  <c r="I52" i="7"/>
  <c r="H52" i="7"/>
  <c r="H50" i="7"/>
  <c r="G50" i="7"/>
  <c r="E50" i="7"/>
  <c r="D50" i="7"/>
  <c r="B50" i="7"/>
  <c r="AD49" i="7"/>
  <c r="H49" i="7"/>
  <c r="G49" i="7"/>
  <c r="E49" i="7"/>
  <c r="D49" i="7"/>
  <c r="I47" i="7"/>
  <c r="H47" i="7"/>
  <c r="H45" i="7"/>
  <c r="G45" i="7"/>
  <c r="E45" i="7"/>
  <c r="D45" i="7"/>
  <c r="AD44" i="7"/>
  <c r="H44" i="7"/>
  <c r="G44" i="7"/>
  <c r="E44" i="7"/>
  <c r="D44" i="7"/>
  <c r="AD43" i="7"/>
  <c r="H43" i="7"/>
  <c r="G43" i="7"/>
  <c r="E43" i="7"/>
  <c r="D43" i="7"/>
  <c r="I41" i="7"/>
  <c r="H41" i="7"/>
  <c r="H39" i="7"/>
  <c r="G39" i="7"/>
  <c r="E39" i="7"/>
  <c r="D39" i="7"/>
  <c r="B39" i="7"/>
  <c r="H38" i="7"/>
  <c r="G38" i="7"/>
  <c r="E38" i="7"/>
  <c r="D38" i="7"/>
  <c r="H37" i="7"/>
  <c r="G37" i="7"/>
  <c r="E37" i="7"/>
  <c r="D37" i="7"/>
  <c r="B37" i="7"/>
  <c r="AD36" i="7"/>
  <c r="H36" i="7"/>
  <c r="G36" i="7"/>
  <c r="E36" i="7"/>
  <c r="D36" i="7"/>
  <c r="I34" i="7"/>
  <c r="H34" i="7"/>
  <c r="H32" i="7"/>
  <c r="G32" i="7"/>
  <c r="E32" i="7"/>
  <c r="D32" i="7"/>
  <c r="H31" i="7"/>
  <c r="G31" i="7"/>
  <c r="E31" i="7"/>
  <c r="D31" i="7"/>
  <c r="H30" i="7"/>
  <c r="G30" i="7"/>
  <c r="E30" i="7"/>
  <c r="D30" i="7"/>
  <c r="H29" i="7"/>
  <c r="G29" i="7"/>
  <c r="E29" i="7"/>
  <c r="D29" i="7"/>
  <c r="H28" i="7"/>
  <c r="G28" i="7"/>
  <c r="E28" i="7"/>
  <c r="D28" i="7"/>
  <c r="H27" i="7"/>
  <c r="G27" i="7"/>
  <c r="E27" i="7"/>
  <c r="D27" i="7"/>
  <c r="H26" i="7"/>
  <c r="G26" i="7"/>
  <c r="E26" i="7"/>
  <c r="D26" i="7"/>
  <c r="AD25" i="7"/>
  <c r="H25" i="7"/>
  <c r="G25" i="7"/>
  <c r="E25" i="7"/>
  <c r="D25" i="7"/>
  <c r="AD24" i="7"/>
  <c r="H24" i="7"/>
  <c r="G24" i="7"/>
  <c r="E24" i="7"/>
  <c r="D24" i="7"/>
  <c r="AD23" i="7"/>
  <c r="H23" i="7"/>
  <c r="G23" i="7"/>
  <c r="E23" i="7"/>
  <c r="D23" i="7"/>
  <c r="AD22" i="7"/>
  <c r="H22" i="7"/>
  <c r="G22" i="7"/>
  <c r="E22" i="7"/>
  <c r="D22" i="7"/>
  <c r="AD21" i="7"/>
  <c r="H21" i="7"/>
  <c r="G21" i="7"/>
  <c r="E21" i="7"/>
  <c r="D21" i="7"/>
  <c r="I19" i="7"/>
  <c r="H19" i="7"/>
  <c r="H17" i="7"/>
  <c r="G17" i="7"/>
  <c r="E17" i="7"/>
  <c r="D17" i="7"/>
  <c r="H16" i="7"/>
  <c r="G16" i="7"/>
  <c r="E16" i="7"/>
  <c r="D16" i="7"/>
  <c r="H15" i="7"/>
  <c r="G15" i="7"/>
  <c r="E15" i="7"/>
  <c r="D15" i="7"/>
  <c r="H14" i="7"/>
  <c r="G14" i="7"/>
  <c r="E14" i="7"/>
  <c r="D14" i="7"/>
  <c r="AD13" i="7"/>
  <c r="H13" i="7"/>
  <c r="G13" i="7"/>
  <c r="E13" i="7"/>
  <c r="D13" i="7"/>
  <c r="AD12" i="7"/>
  <c r="H12" i="7"/>
  <c r="G12" i="7"/>
  <c r="E12" i="7"/>
  <c r="D12" i="7"/>
  <c r="AD11" i="7"/>
  <c r="H11" i="7"/>
  <c r="G11" i="7"/>
  <c r="E11" i="7"/>
  <c r="D11" i="7"/>
  <c r="AD10" i="7"/>
  <c r="H10" i="7"/>
  <c r="G10" i="7"/>
  <c r="E10" i="7"/>
  <c r="D10" i="7"/>
  <c r="I8" i="7"/>
  <c r="H8" i="7"/>
  <c r="B4" i="7"/>
  <c r="A4" i="7"/>
  <c r="B3" i="7"/>
  <c r="A3" i="7"/>
  <c r="B2" i="7"/>
  <c r="A2" i="7"/>
  <c r="B1" i="7"/>
  <c r="A1" i="7"/>
  <c r="G1844" i="6"/>
  <c r="O1835" i="6"/>
  <c r="N1835" i="6"/>
  <c r="M1835" i="6"/>
  <c r="L1835" i="6"/>
  <c r="G1835" i="6"/>
  <c r="P1833" i="6"/>
  <c r="O1833" i="6"/>
  <c r="N1833" i="6"/>
  <c r="L1833" i="6"/>
  <c r="I1833" i="6"/>
  <c r="H1833" i="6"/>
  <c r="E1833" i="6"/>
  <c r="C1833" i="6"/>
  <c r="B1833" i="6"/>
  <c r="P1832" i="6"/>
  <c r="O1832" i="6"/>
  <c r="N1832" i="6"/>
  <c r="L1832" i="6"/>
  <c r="I1832" i="6"/>
  <c r="H1832" i="6"/>
  <c r="E1832" i="6"/>
  <c r="C1832" i="6"/>
  <c r="B1832" i="6"/>
  <c r="P1831" i="6"/>
  <c r="O1831" i="6"/>
  <c r="N1831" i="6"/>
  <c r="L1831" i="6"/>
  <c r="I1831" i="6"/>
  <c r="H1831" i="6"/>
  <c r="E1831" i="6"/>
  <c r="C1831" i="6"/>
  <c r="B1831" i="6"/>
  <c r="P1830" i="6"/>
  <c r="O1830" i="6"/>
  <c r="N1830" i="6"/>
  <c r="L1830" i="6"/>
  <c r="I1830" i="6"/>
  <c r="H1830" i="6"/>
  <c r="E1830" i="6"/>
  <c r="C1830" i="6"/>
  <c r="B1830" i="6"/>
  <c r="P1829" i="6"/>
  <c r="O1829" i="6"/>
  <c r="N1829" i="6"/>
  <c r="L1829" i="6"/>
  <c r="I1829" i="6"/>
  <c r="H1829" i="6"/>
  <c r="E1829" i="6"/>
  <c r="C1829" i="6"/>
  <c r="B1829" i="6"/>
  <c r="P1828" i="6"/>
  <c r="O1828" i="6"/>
  <c r="N1828" i="6"/>
  <c r="L1828" i="6"/>
  <c r="I1828" i="6"/>
  <c r="H1828" i="6"/>
  <c r="E1828" i="6"/>
  <c r="C1828" i="6"/>
  <c r="B1828" i="6"/>
  <c r="P1827" i="6"/>
  <c r="O1827" i="6"/>
  <c r="N1827" i="6"/>
  <c r="L1827" i="6"/>
  <c r="I1827" i="6"/>
  <c r="H1827" i="6"/>
  <c r="E1827" i="6"/>
  <c r="C1827" i="6"/>
  <c r="B1827" i="6"/>
  <c r="P1826" i="6"/>
  <c r="O1826" i="6"/>
  <c r="N1826" i="6"/>
  <c r="L1826" i="6"/>
  <c r="I1826" i="6"/>
  <c r="H1826" i="6"/>
  <c r="E1826" i="6"/>
  <c r="C1826" i="6"/>
  <c r="B1826" i="6"/>
  <c r="P1825" i="6"/>
  <c r="O1825" i="6"/>
  <c r="N1825" i="6"/>
  <c r="L1825" i="6"/>
  <c r="I1825" i="6"/>
  <c r="H1825" i="6"/>
  <c r="E1825" i="6"/>
  <c r="C1825" i="6"/>
  <c r="B1825" i="6"/>
  <c r="P1824" i="6"/>
  <c r="O1824" i="6"/>
  <c r="N1824" i="6"/>
  <c r="L1824" i="6"/>
  <c r="I1824" i="6"/>
  <c r="H1824" i="6"/>
  <c r="E1824" i="6"/>
  <c r="C1824" i="6"/>
  <c r="B1824" i="6"/>
  <c r="P1823" i="6"/>
  <c r="O1823" i="6"/>
  <c r="N1823" i="6"/>
  <c r="L1823" i="6"/>
  <c r="I1823" i="6"/>
  <c r="H1823" i="6"/>
  <c r="E1823" i="6"/>
  <c r="C1823" i="6"/>
  <c r="B1823" i="6"/>
  <c r="P1822" i="6"/>
  <c r="O1822" i="6"/>
  <c r="N1822" i="6"/>
  <c r="L1822" i="6"/>
  <c r="I1822" i="6"/>
  <c r="H1822" i="6"/>
  <c r="E1822" i="6"/>
  <c r="C1822" i="6"/>
  <c r="B1822" i="6"/>
  <c r="P1821" i="6"/>
  <c r="O1821" i="6"/>
  <c r="N1821" i="6"/>
  <c r="L1821" i="6"/>
  <c r="I1821" i="6"/>
  <c r="H1821" i="6"/>
  <c r="E1821" i="6"/>
  <c r="C1821" i="6"/>
  <c r="B1821" i="6"/>
  <c r="P1820" i="6"/>
  <c r="O1820" i="6"/>
  <c r="N1820" i="6"/>
  <c r="L1820" i="6"/>
  <c r="I1820" i="6"/>
  <c r="H1820" i="6"/>
  <c r="E1820" i="6"/>
  <c r="C1820" i="6"/>
  <c r="B1820" i="6"/>
  <c r="P1819" i="6"/>
  <c r="O1819" i="6"/>
  <c r="N1819" i="6"/>
  <c r="L1819" i="6"/>
  <c r="I1819" i="6"/>
  <c r="H1819" i="6"/>
  <c r="E1819" i="6"/>
  <c r="C1819" i="6"/>
  <c r="B1819" i="6"/>
  <c r="P1818" i="6"/>
  <c r="O1818" i="6"/>
  <c r="N1818" i="6"/>
  <c r="L1818" i="6"/>
  <c r="I1818" i="6"/>
  <c r="H1818" i="6"/>
  <c r="E1818" i="6"/>
  <c r="C1818" i="6"/>
  <c r="B1818" i="6"/>
  <c r="P1817" i="6"/>
  <c r="O1817" i="6"/>
  <c r="N1817" i="6"/>
  <c r="L1817" i="6"/>
  <c r="H1817" i="6"/>
  <c r="P1816" i="6"/>
  <c r="O1816" i="6"/>
  <c r="N1816" i="6"/>
  <c r="L1816" i="6"/>
  <c r="I1816" i="6"/>
  <c r="H1816" i="6"/>
  <c r="E1816" i="6"/>
  <c r="C1816" i="6"/>
  <c r="B1816" i="6"/>
  <c r="P1815" i="6"/>
  <c r="O1815" i="6"/>
  <c r="N1815" i="6"/>
  <c r="L1815" i="6"/>
  <c r="I1815" i="6"/>
  <c r="H1815" i="6"/>
  <c r="E1815" i="6"/>
  <c r="C1815" i="6"/>
  <c r="B1815" i="6"/>
  <c r="P1814" i="6"/>
  <c r="O1814" i="6"/>
  <c r="N1814" i="6"/>
  <c r="L1814" i="6"/>
  <c r="H1814" i="6"/>
  <c r="P1813" i="6"/>
  <c r="O1813" i="6"/>
  <c r="N1813" i="6"/>
  <c r="L1813" i="6"/>
  <c r="I1813" i="6"/>
  <c r="H1813" i="6"/>
  <c r="E1813" i="6"/>
  <c r="C1813" i="6"/>
  <c r="B1813" i="6"/>
  <c r="P1812" i="6"/>
  <c r="O1812" i="6"/>
  <c r="N1812" i="6"/>
  <c r="L1812" i="6"/>
  <c r="I1812" i="6"/>
  <c r="H1812" i="6"/>
  <c r="E1812" i="6"/>
  <c r="C1812" i="6"/>
  <c r="B1812" i="6"/>
  <c r="P1811" i="6"/>
  <c r="O1811" i="6"/>
  <c r="N1811" i="6"/>
  <c r="L1811" i="6"/>
  <c r="I1811" i="6"/>
  <c r="H1811" i="6"/>
  <c r="E1811" i="6"/>
  <c r="C1811" i="6"/>
  <c r="B1811" i="6"/>
  <c r="P1810" i="6"/>
  <c r="O1810" i="6"/>
  <c r="N1810" i="6"/>
  <c r="L1810" i="6"/>
  <c r="I1810" i="6"/>
  <c r="H1810" i="6"/>
  <c r="E1810" i="6"/>
  <c r="C1810" i="6"/>
  <c r="B1810" i="6"/>
  <c r="P1809" i="6"/>
  <c r="O1809" i="6"/>
  <c r="N1809" i="6"/>
  <c r="L1809" i="6"/>
  <c r="I1809" i="6"/>
  <c r="H1809" i="6"/>
  <c r="E1809" i="6"/>
  <c r="C1809" i="6"/>
  <c r="B1809" i="6"/>
  <c r="P1808" i="6"/>
  <c r="O1808" i="6"/>
  <c r="N1808" i="6"/>
  <c r="L1808" i="6"/>
  <c r="I1808" i="6"/>
  <c r="H1808" i="6"/>
  <c r="E1808" i="6"/>
  <c r="C1808" i="6"/>
  <c r="B1808" i="6"/>
  <c r="P1807" i="6"/>
  <c r="O1807" i="6"/>
  <c r="N1807" i="6"/>
  <c r="L1807" i="6"/>
  <c r="I1807" i="6"/>
  <c r="H1807" i="6"/>
  <c r="E1807" i="6"/>
  <c r="C1807" i="6"/>
  <c r="B1807" i="6"/>
  <c r="P1806" i="6"/>
  <c r="O1806" i="6"/>
  <c r="N1806" i="6"/>
  <c r="L1806" i="6"/>
  <c r="I1806" i="6"/>
  <c r="H1806" i="6"/>
  <c r="E1806" i="6"/>
  <c r="C1806" i="6"/>
  <c r="B1806" i="6"/>
  <c r="P1805" i="6"/>
  <c r="O1805" i="6"/>
  <c r="N1805" i="6"/>
  <c r="L1805" i="6"/>
  <c r="I1805" i="6"/>
  <c r="H1805" i="6"/>
  <c r="E1805" i="6"/>
  <c r="C1805" i="6"/>
  <c r="B1805" i="6"/>
  <c r="P1804" i="6"/>
  <c r="O1804" i="6"/>
  <c r="N1804" i="6"/>
  <c r="L1804" i="6"/>
  <c r="H1804" i="6"/>
  <c r="P1803" i="6"/>
  <c r="O1803" i="6"/>
  <c r="N1803" i="6"/>
  <c r="L1803" i="6"/>
  <c r="I1803" i="6"/>
  <c r="H1803" i="6"/>
  <c r="E1803" i="6"/>
  <c r="C1803" i="6"/>
  <c r="B1803" i="6"/>
  <c r="P1802" i="6"/>
  <c r="O1802" i="6"/>
  <c r="N1802" i="6"/>
  <c r="L1802" i="6"/>
  <c r="I1802" i="6"/>
  <c r="H1802" i="6"/>
  <c r="E1802" i="6"/>
  <c r="C1802" i="6"/>
  <c r="B1802" i="6"/>
  <c r="P1801" i="6"/>
  <c r="O1801" i="6"/>
  <c r="N1801" i="6"/>
  <c r="L1801" i="6"/>
  <c r="I1801" i="6"/>
  <c r="H1801" i="6"/>
  <c r="E1801" i="6"/>
  <c r="C1801" i="6"/>
  <c r="B1801" i="6"/>
  <c r="P1800" i="6"/>
  <c r="O1800" i="6"/>
  <c r="N1800" i="6"/>
  <c r="L1800" i="6"/>
  <c r="I1800" i="6"/>
  <c r="H1800" i="6"/>
  <c r="E1800" i="6"/>
  <c r="C1800" i="6"/>
  <c r="B1800" i="6"/>
  <c r="P1799" i="6"/>
  <c r="O1799" i="6"/>
  <c r="N1799" i="6"/>
  <c r="L1799" i="6"/>
  <c r="I1799" i="6"/>
  <c r="H1799" i="6"/>
  <c r="E1799" i="6"/>
  <c r="C1799" i="6"/>
  <c r="B1799" i="6"/>
  <c r="P1798" i="6"/>
  <c r="O1798" i="6"/>
  <c r="N1798" i="6"/>
  <c r="L1798" i="6"/>
  <c r="I1798" i="6"/>
  <c r="H1798" i="6"/>
  <c r="E1798" i="6"/>
  <c r="C1798" i="6"/>
  <c r="B1798" i="6"/>
  <c r="P1797" i="6"/>
  <c r="O1797" i="6"/>
  <c r="N1797" i="6"/>
  <c r="L1797" i="6"/>
  <c r="H1797" i="6"/>
  <c r="P1796" i="6"/>
  <c r="O1796" i="6"/>
  <c r="N1796" i="6"/>
  <c r="L1796" i="6"/>
  <c r="I1796" i="6"/>
  <c r="H1796" i="6"/>
  <c r="E1796" i="6"/>
  <c r="C1796" i="6"/>
  <c r="B1796" i="6"/>
  <c r="P1795" i="6"/>
  <c r="O1795" i="6"/>
  <c r="N1795" i="6"/>
  <c r="L1795" i="6"/>
  <c r="I1795" i="6"/>
  <c r="H1795" i="6"/>
  <c r="E1795" i="6"/>
  <c r="C1795" i="6"/>
  <c r="B1795" i="6"/>
  <c r="P1794" i="6"/>
  <c r="O1794" i="6"/>
  <c r="N1794" i="6"/>
  <c r="L1794" i="6"/>
  <c r="I1794" i="6"/>
  <c r="H1794" i="6"/>
  <c r="E1794" i="6"/>
  <c r="C1794" i="6"/>
  <c r="B1794" i="6"/>
  <c r="P1793" i="6"/>
  <c r="O1793" i="6"/>
  <c r="N1793" i="6"/>
  <c r="L1793" i="6"/>
  <c r="I1793" i="6"/>
  <c r="H1793" i="6"/>
  <c r="E1793" i="6"/>
  <c r="C1793" i="6"/>
  <c r="B1793" i="6"/>
  <c r="P1792" i="6"/>
  <c r="O1792" i="6"/>
  <c r="N1792" i="6"/>
  <c r="L1792" i="6"/>
  <c r="I1792" i="6"/>
  <c r="H1792" i="6"/>
  <c r="E1792" i="6"/>
  <c r="C1792" i="6"/>
  <c r="B1792" i="6"/>
  <c r="P1791" i="6"/>
  <c r="O1791" i="6"/>
  <c r="N1791" i="6"/>
  <c r="L1791" i="6"/>
  <c r="I1791" i="6"/>
  <c r="H1791" i="6"/>
  <c r="E1791" i="6"/>
  <c r="C1791" i="6"/>
  <c r="B1791" i="6"/>
  <c r="P1790" i="6"/>
  <c r="O1790" i="6"/>
  <c r="N1790" i="6"/>
  <c r="L1790" i="6"/>
  <c r="I1790" i="6"/>
  <c r="H1790" i="6"/>
  <c r="E1790" i="6"/>
  <c r="C1790" i="6"/>
  <c r="B1790" i="6"/>
  <c r="P1789" i="6"/>
  <c r="O1789" i="6"/>
  <c r="N1789" i="6"/>
  <c r="L1789" i="6"/>
  <c r="I1789" i="6"/>
  <c r="H1789" i="6"/>
  <c r="E1789" i="6"/>
  <c r="C1789" i="6"/>
  <c r="B1789" i="6"/>
  <c r="P1788" i="6"/>
  <c r="O1788" i="6"/>
  <c r="N1788" i="6"/>
  <c r="L1788" i="6"/>
  <c r="I1788" i="6"/>
  <c r="H1788" i="6"/>
  <c r="E1788" i="6"/>
  <c r="C1788" i="6"/>
  <c r="B1788" i="6"/>
  <c r="P1787" i="6"/>
  <c r="O1787" i="6"/>
  <c r="N1787" i="6"/>
  <c r="L1787" i="6"/>
  <c r="I1787" i="6"/>
  <c r="H1787" i="6"/>
  <c r="E1787" i="6"/>
  <c r="C1787" i="6"/>
  <c r="B1787" i="6"/>
  <c r="P1786" i="6"/>
  <c r="O1786" i="6"/>
  <c r="N1786" i="6"/>
  <c r="L1786" i="6"/>
  <c r="I1786" i="6"/>
  <c r="H1786" i="6"/>
  <c r="E1786" i="6"/>
  <c r="C1786" i="6"/>
  <c r="B1786" i="6"/>
  <c r="P1785" i="6"/>
  <c r="O1785" i="6"/>
  <c r="N1785" i="6"/>
  <c r="L1785" i="6"/>
  <c r="I1785" i="6"/>
  <c r="H1785" i="6"/>
  <c r="E1785" i="6"/>
  <c r="C1785" i="6"/>
  <c r="B1785" i="6"/>
  <c r="P1784" i="6"/>
  <c r="O1784" i="6"/>
  <c r="N1784" i="6"/>
  <c r="L1784" i="6"/>
  <c r="I1784" i="6"/>
  <c r="H1784" i="6"/>
  <c r="E1784" i="6"/>
  <c r="C1784" i="6"/>
  <c r="B1784" i="6"/>
  <c r="P1783" i="6"/>
  <c r="O1783" i="6"/>
  <c r="N1783" i="6"/>
  <c r="M1783" i="6"/>
  <c r="L1783" i="6"/>
  <c r="H1783" i="6"/>
  <c r="P1782" i="6"/>
  <c r="O1782" i="6"/>
  <c r="N1782" i="6"/>
  <c r="L1782" i="6"/>
  <c r="I1782" i="6"/>
  <c r="H1782" i="6"/>
  <c r="E1782" i="6"/>
  <c r="C1782" i="6"/>
  <c r="B1782" i="6"/>
  <c r="P1781" i="6"/>
  <c r="O1781" i="6"/>
  <c r="N1781" i="6"/>
  <c r="L1781" i="6"/>
  <c r="I1781" i="6"/>
  <c r="H1781" i="6"/>
  <c r="E1781" i="6"/>
  <c r="C1781" i="6"/>
  <c r="B1781" i="6"/>
  <c r="P1780" i="6"/>
  <c r="O1780" i="6"/>
  <c r="N1780" i="6"/>
  <c r="L1780" i="6"/>
  <c r="I1780" i="6"/>
  <c r="H1780" i="6"/>
  <c r="E1780" i="6"/>
  <c r="C1780" i="6"/>
  <c r="B1780" i="6"/>
  <c r="P1779" i="6"/>
  <c r="O1779" i="6"/>
  <c r="N1779" i="6"/>
  <c r="L1779" i="6"/>
  <c r="I1779" i="6"/>
  <c r="H1779" i="6"/>
  <c r="E1779" i="6"/>
  <c r="C1779" i="6"/>
  <c r="B1779" i="6"/>
  <c r="P1778" i="6"/>
  <c r="O1778" i="6"/>
  <c r="N1778" i="6"/>
  <c r="L1778" i="6"/>
  <c r="I1778" i="6"/>
  <c r="H1778" i="6"/>
  <c r="E1778" i="6"/>
  <c r="C1778" i="6"/>
  <c r="B1778" i="6"/>
  <c r="P1777" i="6"/>
  <c r="O1777" i="6"/>
  <c r="N1777" i="6"/>
  <c r="L1777" i="6"/>
  <c r="I1777" i="6"/>
  <c r="H1777" i="6"/>
  <c r="E1777" i="6"/>
  <c r="C1777" i="6"/>
  <c r="B1777" i="6"/>
  <c r="P1776" i="6"/>
  <c r="O1776" i="6"/>
  <c r="N1776" i="6"/>
  <c r="L1776" i="6"/>
  <c r="I1776" i="6"/>
  <c r="H1776" i="6"/>
  <c r="E1776" i="6"/>
  <c r="C1776" i="6"/>
  <c r="B1776" i="6"/>
  <c r="P1775" i="6"/>
  <c r="O1775" i="6"/>
  <c r="N1775" i="6"/>
  <c r="L1775" i="6"/>
  <c r="I1775" i="6"/>
  <c r="H1775" i="6"/>
  <c r="E1775" i="6"/>
  <c r="C1775" i="6"/>
  <c r="B1775" i="6"/>
  <c r="P1774" i="6"/>
  <c r="O1774" i="6"/>
  <c r="N1774" i="6"/>
  <c r="L1774" i="6"/>
  <c r="I1774" i="6"/>
  <c r="H1774" i="6"/>
  <c r="E1774" i="6"/>
  <c r="C1774" i="6"/>
  <c r="B1774" i="6"/>
  <c r="P1773" i="6"/>
  <c r="O1773" i="6"/>
  <c r="N1773" i="6"/>
  <c r="L1773" i="6"/>
  <c r="I1773" i="6"/>
  <c r="H1773" i="6"/>
  <c r="E1773" i="6"/>
  <c r="C1773" i="6"/>
  <c r="B1773" i="6"/>
  <c r="P1772" i="6"/>
  <c r="O1772" i="6"/>
  <c r="N1772" i="6"/>
  <c r="L1772" i="6"/>
  <c r="I1772" i="6"/>
  <c r="H1772" i="6"/>
  <c r="E1772" i="6"/>
  <c r="C1772" i="6"/>
  <c r="B1772" i="6"/>
  <c r="P1771" i="6"/>
  <c r="O1771" i="6"/>
  <c r="N1771" i="6"/>
  <c r="L1771" i="6"/>
  <c r="I1771" i="6"/>
  <c r="H1771" i="6"/>
  <c r="E1771" i="6"/>
  <c r="C1771" i="6"/>
  <c r="B1771" i="6"/>
  <c r="P1770" i="6"/>
  <c r="O1770" i="6"/>
  <c r="N1770" i="6"/>
  <c r="L1770" i="6"/>
  <c r="I1770" i="6"/>
  <c r="H1770" i="6"/>
  <c r="E1770" i="6"/>
  <c r="C1770" i="6"/>
  <c r="B1770" i="6"/>
  <c r="P1769" i="6"/>
  <c r="O1769" i="6"/>
  <c r="N1769" i="6"/>
  <c r="L1769" i="6"/>
  <c r="I1769" i="6"/>
  <c r="H1769" i="6"/>
  <c r="E1769" i="6"/>
  <c r="C1769" i="6"/>
  <c r="B1769" i="6"/>
  <c r="P1768" i="6"/>
  <c r="O1768" i="6"/>
  <c r="N1768" i="6"/>
  <c r="L1768" i="6"/>
  <c r="I1768" i="6"/>
  <c r="H1768" i="6"/>
  <c r="E1768" i="6"/>
  <c r="C1768" i="6"/>
  <c r="B1768" i="6"/>
  <c r="P1767" i="6"/>
  <c r="O1767" i="6"/>
  <c r="N1767" i="6"/>
  <c r="M1767" i="6"/>
  <c r="L1767" i="6"/>
  <c r="H1767" i="6"/>
  <c r="P1766" i="6"/>
  <c r="O1766" i="6"/>
  <c r="N1766" i="6"/>
  <c r="L1766" i="6"/>
  <c r="I1766" i="6"/>
  <c r="H1766" i="6"/>
  <c r="E1766" i="6"/>
  <c r="C1766" i="6"/>
  <c r="B1766" i="6"/>
  <c r="P1765" i="6"/>
  <c r="O1765" i="6"/>
  <c r="N1765" i="6"/>
  <c r="L1765" i="6"/>
  <c r="I1765" i="6"/>
  <c r="H1765" i="6"/>
  <c r="E1765" i="6"/>
  <c r="C1765" i="6"/>
  <c r="B1765" i="6"/>
  <c r="P1764" i="6"/>
  <c r="O1764" i="6"/>
  <c r="N1764" i="6"/>
  <c r="L1764" i="6"/>
  <c r="I1764" i="6"/>
  <c r="H1764" i="6"/>
  <c r="E1764" i="6"/>
  <c r="C1764" i="6"/>
  <c r="B1764" i="6"/>
  <c r="P1763" i="6"/>
  <c r="O1763" i="6"/>
  <c r="N1763" i="6"/>
  <c r="L1763" i="6"/>
  <c r="I1763" i="6"/>
  <c r="H1763" i="6"/>
  <c r="E1763" i="6"/>
  <c r="C1763" i="6"/>
  <c r="B1763" i="6"/>
  <c r="P1762" i="6"/>
  <c r="O1762" i="6"/>
  <c r="N1762" i="6"/>
  <c r="L1762" i="6"/>
  <c r="I1762" i="6"/>
  <c r="H1762" i="6"/>
  <c r="E1762" i="6"/>
  <c r="C1762" i="6"/>
  <c r="B1762" i="6"/>
  <c r="P1761" i="6"/>
  <c r="O1761" i="6"/>
  <c r="N1761" i="6"/>
  <c r="L1761" i="6"/>
  <c r="I1761" i="6"/>
  <c r="H1761" i="6"/>
  <c r="E1761" i="6"/>
  <c r="C1761" i="6"/>
  <c r="B1761" i="6"/>
  <c r="P1760" i="6"/>
  <c r="O1760" i="6"/>
  <c r="N1760" i="6"/>
  <c r="L1760" i="6"/>
  <c r="I1760" i="6"/>
  <c r="H1760" i="6"/>
  <c r="E1760" i="6"/>
  <c r="C1760" i="6"/>
  <c r="B1760" i="6"/>
  <c r="P1759" i="6"/>
  <c r="O1759" i="6"/>
  <c r="N1759" i="6"/>
  <c r="M1759" i="6"/>
  <c r="L1759" i="6"/>
  <c r="H1759" i="6"/>
  <c r="P1758" i="6"/>
  <c r="O1758" i="6"/>
  <c r="N1758" i="6"/>
  <c r="M1758" i="6"/>
  <c r="L1758" i="6"/>
  <c r="H1758" i="6"/>
  <c r="P1757" i="6"/>
  <c r="O1757" i="6"/>
  <c r="N1757" i="6"/>
  <c r="L1757" i="6"/>
  <c r="I1757" i="6"/>
  <c r="H1757" i="6"/>
  <c r="E1757" i="6"/>
  <c r="C1757" i="6"/>
  <c r="B1757" i="6"/>
  <c r="P1756" i="6"/>
  <c r="O1756" i="6"/>
  <c r="N1756" i="6"/>
  <c r="L1756" i="6"/>
  <c r="I1756" i="6"/>
  <c r="H1756" i="6"/>
  <c r="E1756" i="6"/>
  <c r="C1756" i="6"/>
  <c r="B1756" i="6"/>
  <c r="P1755" i="6"/>
  <c r="O1755" i="6"/>
  <c r="N1755" i="6"/>
  <c r="L1755" i="6"/>
  <c r="I1755" i="6"/>
  <c r="H1755" i="6"/>
  <c r="E1755" i="6"/>
  <c r="C1755" i="6"/>
  <c r="B1755" i="6"/>
  <c r="P1754" i="6"/>
  <c r="O1754" i="6"/>
  <c r="N1754" i="6"/>
  <c r="L1754" i="6"/>
  <c r="I1754" i="6"/>
  <c r="H1754" i="6"/>
  <c r="E1754" i="6"/>
  <c r="C1754" i="6"/>
  <c r="B1754" i="6"/>
  <c r="P1753" i="6"/>
  <c r="O1753" i="6"/>
  <c r="N1753" i="6"/>
  <c r="L1753" i="6"/>
  <c r="I1753" i="6"/>
  <c r="H1753" i="6"/>
  <c r="E1753" i="6"/>
  <c r="C1753" i="6"/>
  <c r="B1753" i="6"/>
  <c r="P1752" i="6"/>
  <c r="O1752" i="6"/>
  <c r="N1752" i="6"/>
  <c r="L1752" i="6"/>
  <c r="I1752" i="6"/>
  <c r="H1752" i="6"/>
  <c r="E1752" i="6"/>
  <c r="C1752" i="6"/>
  <c r="B1752" i="6"/>
  <c r="P1751" i="6"/>
  <c r="O1751" i="6"/>
  <c r="N1751" i="6"/>
  <c r="L1751" i="6"/>
  <c r="I1751" i="6"/>
  <c r="H1751" i="6"/>
  <c r="E1751" i="6"/>
  <c r="C1751" i="6"/>
  <c r="B1751" i="6"/>
  <c r="P1750" i="6"/>
  <c r="O1750" i="6"/>
  <c r="N1750" i="6"/>
  <c r="M1750" i="6"/>
  <c r="L1750" i="6"/>
  <c r="H1750" i="6"/>
  <c r="P1749" i="6"/>
  <c r="O1749" i="6"/>
  <c r="N1749" i="6"/>
  <c r="L1749" i="6"/>
  <c r="I1749" i="6"/>
  <c r="H1749" i="6"/>
  <c r="E1749" i="6"/>
  <c r="C1749" i="6"/>
  <c r="B1749" i="6"/>
  <c r="P1748" i="6"/>
  <c r="O1748" i="6"/>
  <c r="N1748" i="6"/>
  <c r="L1748" i="6"/>
  <c r="I1748" i="6"/>
  <c r="H1748" i="6"/>
  <c r="E1748" i="6"/>
  <c r="C1748" i="6"/>
  <c r="B1748" i="6"/>
  <c r="P1747" i="6"/>
  <c r="O1747" i="6"/>
  <c r="N1747" i="6"/>
  <c r="L1747" i="6"/>
  <c r="I1747" i="6"/>
  <c r="H1747" i="6"/>
  <c r="E1747" i="6"/>
  <c r="C1747" i="6"/>
  <c r="B1747" i="6"/>
  <c r="P1746" i="6"/>
  <c r="O1746" i="6"/>
  <c r="N1746" i="6"/>
  <c r="L1746" i="6"/>
  <c r="I1746" i="6"/>
  <c r="H1746" i="6"/>
  <c r="E1746" i="6"/>
  <c r="C1746" i="6"/>
  <c r="B1746" i="6"/>
  <c r="P1745" i="6"/>
  <c r="O1745" i="6"/>
  <c r="N1745" i="6"/>
  <c r="L1745" i="6"/>
  <c r="I1745" i="6"/>
  <c r="H1745" i="6"/>
  <c r="E1745" i="6"/>
  <c r="C1745" i="6"/>
  <c r="B1745" i="6"/>
  <c r="P1744" i="6"/>
  <c r="O1744" i="6"/>
  <c r="N1744" i="6"/>
  <c r="L1744" i="6"/>
  <c r="I1744" i="6"/>
  <c r="H1744" i="6"/>
  <c r="E1744" i="6"/>
  <c r="C1744" i="6"/>
  <c r="B1744" i="6"/>
  <c r="P1743" i="6"/>
  <c r="O1743" i="6"/>
  <c r="N1743" i="6"/>
  <c r="L1743" i="6"/>
  <c r="I1743" i="6"/>
  <c r="H1743" i="6"/>
  <c r="E1743" i="6"/>
  <c r="C1743" i="6"/>
  <c r="B1743" i="6"/>
  <c r="P1742" i="6"/>
  <c r="O1742" i="6"/>
  <c r="N1742" i="6"/>
  <c r="L1742" i="6"/>
  <c r="I1742" i="6"/>
  <c r="H1742" i="6"/>
  <c r="E1742" i="6"/>
  <c r="C1742" i="6"/>
  <c r="B1742" i="6"/>
  <c r="P1741" i="6"/>
  <c r="O1741" i="6"/>
  <c r="N1741" i="6"/>
  <c r="L1741" i="6"/>
  <c r="I1741" i="6"/>
  <c r="H1741" i="6"/>
  <c r="E1741" i="6"/>
  <c r="C1741" i="6"/>
  <c r="B1741" i="6"/>
  <c r="P1740" i="6"/>
  <c r="O1740" i="6"/>
  <c r="N1740" i="6"/>
  <c r="L1740" i="6"/>
  <c r="I1740" i="6"/>
  <c r="H1740" i="6"/>
  <c r="E1740" i="6"/>
  <c r="C1740" i="6"/>
  <c r="B1740" i="6"/>
  <c r="P1739" i="6"/>
  <c r="O1739" i="6"/>
  <c r="N1739" i="6"/>
  <c r="M1739" i="6"/>
  <c r="L1739" i="6"/>
  <c r="H1739" i="6"/>
  <c r="P1738" i="6"/>
  <c r="O1738" i="6"/>
  <c r="N1738" i="6"/>
  <c r="M1738" i="6"/>
  <c r="L1738" i="6"/>
  <c r="H1738" i="6"/>
  <c r="P1737" i="6"/>
  <c r="O1737" i="6"/>
  <c r="N1737" i="6"/>
  <c r="L1737" i="6"/>
  <c r="I1737" i="6"/>
  <c r="H1737" i="6"/>
  <c r="E1737" i="6"/>
  <c r="C1737" i="6"/>
  <c r="B1737" i="6"/>
  <c r="P1736" i="6"/>
  <c r="O1736" i="6"/>
  <c r="N1736" i="6"/>
  <c r="L1736" i="6"/>
  <c r="I1736" i="6"/>
  <c r="H1736" i="6"/>
  <c r="E1736" i="6"/>
  <c r="C1736" i="6"/>
  <c r="B1736" i="6"/>
  <c r="P1735" i="6"/>
  <c r="O1735" i="6"/>
  <c r="N1735" i="6"/>
  <c r="L1735" i="6"/>
  <c r="I1735" i="6"/>
  <c r="H1735" i="6"/>
  <c r="E1735" i="6"/>
  <c r="C1735" i="6"/>
  <c r="B1735" i="6"/>
  <c r="P1734" i="6"/>
  <c r="O1734" i="6"/>
  <c r="N1734" i="6"/>
  <c r="L1734" i="6"/>
  <c r="I1734" i="6"/>
  <c r="H1734" i="6"/>
  <c r="E1734" i="6"/>
  <c r="C1734" i="6"/>
  <c r="B1734" i="6"/>
  <c r="P1733" i="6"/>
  <c r="O1733" i="6"/>
  <c r="N1733" i="6"/>
  <c r="L1733" i="6"/>
  <c r="I1733" i="6"/>
  <c r="H1733" i="6"/>
  <c r="E1733" i="6"/>
  <c r="C1733" i="6"/>
  <c r="B1733" i="6"/>
  <c r="P1732" i="6"/>
  <c r="O1732" i="6"/>
  <c r="N1732" i="6"/>
  <c r="L1732" i="6"/>
  <c r="I1732" i="6"/>
  <c r="H1732" i="6"/>
  <c r="E1732" i="6"/>
  <c r="C1732" i="6"/>
  <c r="B1732" i="6"/>
  <c r="P1731" i="6"/>
  <c r="O1731" i="6"/>
  <c r="N1731" i="6"/>
  <c r="M1731" i="6"/>
  <c r="L1731" i="6"/>
  <c r="H1731" i="6"/>
  <c r="P1730" i="6"/>
  <c r="O1730" i="6"/>
  <c r="N1730" i="6"/>
  <c r="L1730" i="6"/>
  <c r="I1730" i="6"/>
  <c r="H1730" i="6"/>
  <c r="E1730" i="6"/>
  <c r="C1730" i="6"/>
  <c r="B1730" i="6"/>
  <c r="P1729" i="6"/>
  <c r="O1729" i="6"/>
  <c r="N1729" i="6"/>
  <c r="L1729" i="6"/>
  <c r="I1729" i="6"/>
  <c r="H1729" i="6"/>
  <c r="E1729" i="6"/>
  <c r="C1729" i="6"/>
  <c r="B1729" i="6"/>
  <c r="P1728" i="6"/>
  <c r="O1728" i="6"/>
  <c r="N1728" i="6"/>
  <c r="L1728" i="6"/>
  <c r="I1728" i="6"/>
  <c r="H1728" i="6"/>
  <c r="E1728" i="6"/>
  <c r="C1728" i="6"/>
  <c r="B1728" i="6"/>
  <c r="P1727" i="6"/>
  <c r="O1727" i="6"/>
  <c r="N1727" i="6"/>
  <c r="L1727" i="6"/>
  <c r="I1727" i="6"/>
  <c r="H1727" i="6"/>
  <c r="E1727" i="6"/>
  <c r="C1727" i="6"/>
  <c r="B1727" i="6"/>
  <c r="P1726" i="6"/>
  <c r="O1726" i="6"/>
  <c r="N1726" i="6"/>
  <c r="L1726" i="6"/>
  <c r="I1726" i="6"/>
  <c r="H1726" i="6"/>
  <c r="E1726" i="6"/>
  <c r="C1726" i="6"/>
  <c r="B1726" i="6"/>
  <c r="P1725" i="6"/>
  <c r="O1725" i="6"/>
  <c r="N1725" i="6"/>
  <c r="L1725" i="6"/>
  <c r="I1725" i="6"/>
  <c r="H1725" i="6"/>
  <c r="E1725" i="6"/>
  <c r="C1725" i="6"/>
  <c r="B1725" i="6"/>
  <c r="P1724" i="6"/>
  <c r="O1724" i="6"/>
  <c r="N1724" i="6"/>
  <c r="L1724" i="6"/>
  <c r="I1724" i="6"/>
  <c r="H1724" i="6"/>
  <c r="E1724" i="6"/>
  <c r="C1724" i="6"/>
  <c r="B1724" i="6"/>
  <c r="P1723" i="6"/>
  <c r="O1723" i="6"/>
  <c r="N1723" i="6"/>
  <c r="L1723" i="6"/>
  <c r="I1723" i="6"/>
  <c r="H1723" i="6"/>
  <c r="E1723" i="6"/>
  <c r="C1723" i="6"/>
  <c r="B1723" i="6"/>
  <c r="P1722" i="6"/>
  <c r="O1722" i="6"/>
  <c r="N1722" i="6"/>
  <c r="L1722" i="6"/>
  <c r="I1722" i="6"/>
  <c r="H1722" i="6"/>
  <c r="E1722" i="6"/>
  <c r="C1722" i="6"/>
  <c r="B1722" i="6"/>
  <c r="P1721" i="6"/>
  <c r="O1721" i="6"/>
  <c r="N1721" i="6"/>
  <c r="L1721" i="6"/>
  <c r="I1721" i="6"/>
  <c r="H1721" i="6"/>
  <c r="E1721" i="6"/>
  <c r="C1721" i="6"/>
  <c r="B1721" i="6"/>
  <c r="P1720" i="6"/>
  <c r="O1720" i="6"/>
  <c r="N1720" i="6"/>
  <c r="M1720" i="6"/>
  <c r="L1720" i="6"/>
  <c r="H1720" i="6"/>
  <c r="P1719" i="6"/>
  <c r="O1719" i="6"/>
  <c r="N1719" i="6"/>
  <c r="M1719" i="6"/>
  <c r="L1719" i="6"/>
  <c r="H1719" i="6"/>
  <c r="P1718" i="6"/>
  <c r="O1718" i="6"/>
  <c r="N1718" i="6"/>
  <c r="L1718" i="6"/>
  <c r="I1718" i="6"/>
  <c r="H1718" i="6"/>
  <c r="E1718" i="6"/>
  <c r="C1718" i="6"/>
  <c r="B1718" i="6"/>
  <c r="P1717" i="6"/>
  <c r="O1717" i="6"/>
  <c r="N1717" i="6"/>
  <c r="L1717" i="6"/>
  <c r="I1717" i="6"/>
  <c r="H1717" i="6"/>
  <c r="E1717" i="6"/>
  <c r="C1717" i="6"/>
  <c r="B1717" i="6"/>
  <c r="P1716" i="6"/>
  <c r="O1716" i="6"/>
  <c r="N1716" i="6"/>
  <c r="L1716" i="6"/>
  <c r="I1716" i="6"/>
  <c r="H1716" i="6"/>
  <c r="E1716" i="6"/>
  <c r="C1716" i="6"/>
  <c r="B1716" i="6"/>
  <c r="P1715" i="6"/>
  <c r="O1715" i="6"/>
  <c r="N1715" i="6"/>
  <c r="L1715" i="6"/>
  <c r="I1715" i="6"/>
  <c r="H1715" i="6"/>
  <c r="E1715" i="6"/>
  <c r="C1715" i="6"/>
  <c r="B1715" i="6"/>
  <c r="P1714" i="6"/>
  <c r="O1714" i="6"/>
  <c r="N1714" i="6"/>
  <c r="L1714" i="6"/>
  <c r="I1714" i="6"/>
  <c r="H1714" i="6"/>
  <c r="E1714" i="6"/>
  <c r="C1714" i="6"/>
  <c r="B1714" i="6"/>
  <c r="P1713" i="6"/>
  <c r="O1713" i="6"/>
  <c r="N1713" i="6"/>
  <c r="L1713" i="6"/>
  <c r="I1713" i="6"/>
  <c r="H1713" i="6"/>
  <c r="E1713" i="6"/>
  <c r="C1713" i="6"/>
  <c r="B1713" i="6"/>
  <c r="P1712" i="6"/>
  <c r="O1712" i="6"/>
  <c r="N1712" i="6"/>
  <c r="M1712" i="6"/>
  <c r="L1712" i="6"/>
  <c r="H1712" i="6"/>
  <c r="P1711" i="6"/>
  <c r="O1711" i="6"/>
  <c r="N1711" i="6"/>
  <c r="L1711" i="6"/>
  <c r="I1711" i="6"/>
  <c r="H1711" i="6"/>
  <c r="E1711" i="6"/>
  <c r="C1711" i="6"/>
  <c r="B1711" i="6"/>
  <c r="P1710" i="6"/>
  <c r="O1710" i="6"/>
  <c r="N1710" i="6"/>
  <c r="L1710" i="6"/>
  <c r="I1710" i="6"/>
  <c r="H1710" i="6"/>
  <c r="E1710" i="6"/>
  <c r="C1710" i="6"/>
  <c r="B1710" i="6"/>
  <c r="P1709" i="6"/>
  <c r="O1709" i="6"/>
  <c r="N1709" i="6"/>
  <c r="L1709" i="6"/>
  <c r="I1709" i="6"/>
  <c r="H1709" i="6"/>
  <c r="E1709" i="6"/>
  <c r="C1709" i="6"/>
  <c r="B1709" i="6"/>
  <c r="P1708" i="6"/>
  <c r="O1708" i="6"/>
  <c r="N1708" i="6"/>
  <c r="L1708" i="6"/>
  <c r="I1708" i="6"/>
  <c r="H1708" i="6"/>
  <c r="E1708" i="6"/>
  <c r="C1708" i="6"/>
  <c r="B1708" i="6"/>
  <c r="P1707" i="6"/>
  <c r="O1707" i="6"/>
  <c r="N1707" i="6"/>
  <c r="L1707" i="6"/>
  <c r="I1707" i="6"/>
  <c r="H1707" i="6"/>
  <c r="E1707" i="6"/>
  <c r="C1707" i="6"/>
  <c r="B1707" i="6"/>
  <c r="P1706" i="6"/>
  <c r="O1706" i="6"/>
  <c r="N1706" i="6"/>
  <c r="L1706" i="6"/>
  <c r="I1706" i="6"/>
  <c r="H1706" i="6"/>
  <c r="E1706" i="6"/>
  <c r="C1706" i="6"/>
  <c r="B1706" i="6"/>
  <c r="P1705" i="6"/>
  <c r="O1705" i="6"/>
  <c r="N1705" i="6"/>
  <c r="L1705" i="6"/>
  <c r="I1705" i="6"/>
  <c r="H1705" i="6"/>
  <c r="E1705" i="6"/>
  <c r="C1705" i="6"/>
  <c r="B1705" i="6"/>
  <c r="P1704" i="6"/>
  <c r="O1704" i="6"/>
  <c r="N1704" i="6"/>
  <c r="L1704" i="6"/>
  <c r="I1704" i="6"/>
  <c r="H1704" i="6"/>
  <c r="E1704" i="6"/>
  <c r="C1704" i="6"/>
  <c r="B1704" i="6"/>
  <c r="P1703" i="6"/>
  <c r="O1703" i="6"/>
  <c r="N1703" i="6"/>
  <c r="L1703" i="6"/>
  <c r="I1703" i="6"/>
  <c r="H1703" i="6"/>
  <c r="E1703" i="6"/>
  <c r="C1703" i="6"/>
  <c r="B1703" i="6"/>
  <c r="P1702" i="6"/>
  <c r="O1702" i="6"/>
  <c r="N1702" i="6"/>
  <c r="L1702" i="6"/>
  <c r="I1702" i="6"/>
  <c r="H1702" i="6"/>
  <c r="E1702" i="6"/>
  <c r="C1702" i="6"/>
  <c r="B1702" i="6"/>
  <c r="P1701" i="6"/>
  <c r="O1701" i="6"/>
  <c r="N1701" i="6"/>
  <c r="L1701" i="6"/>
  <c r="I1701" i="6"/>
  <c r="H1701" i="6"/>
  <c r="E1701" i="6"/>
  <c r="C1701" i="6"/>
  <c r="B1701" i="6"/>
  <c r="P1700" i="6"/>
  <c r="O1700" i="6"/>
  <c r="N1700" i="6"/>
  <c r="L1700" i="6"/>
  <c r="I1700" i="6"/>
  <c r="H1700" i="6"/>
  <c r="E1700" i="6"/>
  <c r="C1700" i="6"/>
  <c r="B1700" i="6"/>
  <c r="P1699" i="6"/>
  <c r="O1699" i="6"/>
  <c r="N1699" i="6"/>
  <c r="M1699" i="6"/>
  <c r="L1699" i="6"/>
  <c r="H1699" i="6"/>
  <c r="P1698" i="6"/>
  <c r="O1698" i="6"/>
  <c r="N1698" i="6"/>
  <c r="M1698" i="6"/>
  <c r="L1698" i="6"/>
  <c r="H1698" i="6"/>
  <c r="P1697" i="6"/>
  <c r="O1697" i="6"/>
  <c r="N1697" i="6"/>
  <c r="L1697" i="6"/>
  <c r="I1697" i="6"/>
  <c r="H1697" i="6"/>
  <c r="E1697" i="6"/>
  <c r="C1697" i="6"/>
  <c r="B1697" i="6"/>
  <c r="P1696" i="6"/>
  <c r="O1696" i="6"/>
  <c r="N1696" i="6"/>
  <c r="L1696" i="6"/>
  <c r="I1696" i="6"/>
  <c r="H1696" i="6"/>
  <c r="E1696" i="6"/>
  <c r="C1696" i="6"/>
  <c r="B1696" i="6"/>
  <c r="P1695" i="6"/>
  <c r="O1695" i="6"/>
  <c r="N1695" i="6"/>
  <c r="L1695" i="6"/>
  <c r="I1695" i="6"/>
  <c r="H1695" i="6"/>
  <c r="E1695" i="6"/>
  <c r="C1695" i="6"/>
  <c r="B1695" i="6"/>
  <c r="P1694" i="6"/>
  <c r="O1694" i="6"/>
  <c r="N1694" i="6"/>
  <c r="L1694" i="6"/>
  <c r="I1694" i="6"/>
  <c r="H1694" i="6"/>
  <c r="E1694" i="6"/>
  <c r="C1694" i="6"/>
  <c r="B1694" i="6"/>
  <c r="P1693" i="6"/>
  <c r="O1693" i="6"/>
  <c r="N1693" i="6"/>
  <c r="L1693" i="6"/>
  <c r="I1693" i="6"/>
  <c r="H1693" i="6"/>
  <c r="E1693" i="6"/>
  <c r="C1693" i="6"/>
  <c r="B1693" i="6"/>
  <c r="P1692" i="6"/>
  <c r="O1692" i="6"/>
  <c r="N1692" i="6"/>
  <c r="L1692" i="6"/>
  <c r="I1692" i="6"/>
  <c r="H1692" i="6"/>
  <c r="E1692" i="6"/>
  <c r="C1692" i="6"/>
  <c r="B1692" i="6"/>
  <c r="P1691" i="6"/>
  <c r="O1691" i="6"/>
  <c r="N1691" i="6"/>
  <c r="M1691" i="6"/>
  <c r="L1691" i="6"/>
  <c r="H1691" i="6"/>
  <c r="P1690" i="6"/>
  <c r="O1690" i="6"/>
  <c r="N1690" i="6"/>
  <c r="L1690" i="6"/>
  <c r="I1690" i="6"/>
  <c r="H1690" i="6"/>
  <c r="E1690" i="6"/>
  <c r="C1690" i="6"/>
  <c r="B1690" i="6"/>
  <c r="P1689" i="6"/>
  <c r="O1689" i="6"/>
  <c r="N1689" i="6"/>
  <c r="L1689" i="6"/>
  <c r="I1689" i="6"/>
  <c r="H1689" i="6"/>
  <c r="E1689" i="6"/>
  <c r="C1689" i="6"/>
  <c r="B1689" i="6"/>
  <c r="P1688" i="6"/>
  <c r="O1688" i="6"/>
  <c r="N1688" i="6"/>
  <c r="L1688" i="6"/>
  <c r="I1688" i="6"/>
  <c r="H1688" i="6"/>
  <c r="E1688" i="6"/>
  <c r="C1688" i="6"/>
  <c r="B1688" i="6"/>
  <c r="P1687" i="6"/>
  <c r="O1687" i="6"/>
  <c r="N1687" i="6"/>
  <c r="L1687" i="6"/>
  <c r="I1687" i="6"/>
  <c r="H1687" i="6"/>
  <c r="E1687" i="6"/>
  <c r="C1687" i="6"/>
  <c r="B1687" i="6"/>
  <c r="P1686" i="6"/>
  <c r="O1686" i="6"/>
  <c r="N1686" i="6"/>
  <c r="L1686" i="6"/>
  <c r="I1686" i="6"/>
  <c r="H1686" i="6"/>
  <c r="E1686" i="6"/>
  <c r="C1686" i="6"/>
  <c r="B1686" i="6"/>
  <c r="P1685" i="6"/>
  <c r="O1685" i="6"/>
  <c r="N1685" i="6"/>
  <c r="L1685" i="6"/>
  <c r="I1685" i="6"/>
  <c r="H1685" i="6"/>
  <c r="E1685" i="6"/>
  <c r="C1685" i="6"/>
  <c r="B1685" i="6"/>
  <c r="P1684" i="6"/>
  <c r="O1684" i="6"/>
  <c r="N1684" i="6"/>
  <c r="L1684" i="6"/>
  <c r="I1684" i="6"/>
  <c r="H1684" i="6"/>
  <c r="E1684" i="6"/>
  <c r="C1684" i="6"/>
  <c r="B1684" i="6"/>
  <c r="P1683" i="6"/>
  <c r="O1683" i="6"/>
  <c r="N1683" i="6"/>
  <c r="L1683" i="6"/>
  <c r="I1683" i="6"/>
  <c r="H1683" i="6"/>
  <c r="E1683" i="6"/>
  <c r="C1683" i="6"/>
  <c r="B1683" i="6"/>
  <c r="P1682" i="6"/>
  <c r="O1682" i="6"/>
  <c r="N1682" i="6"/>
  <c r="L1682" i="6"/>
  <c r="I1682" i="6"/>
  <c r="H1682" i="6"/>
  <c r="E1682" i="6"/>
  <c r="C1682" i="6"/>
  <c r="B1682" i="6"/>
  <c r="P1681" i="6"/>
  <c r="O1681" i="6"/>
  <c r="N1681" i="6"/>
  <c r="L1681" i="6"/>
  <c r="I1681" i="6"/>
  <c r="H1681" i="6"/>
  <c r="E1681" i="6"/>
  <c r="C1681" i="6"/>
  <c r="B1681" i="6"/>
  <c r="P1680" i="6"/>
  <c r="O1680" i="6"/>
  <c r="N1680" i="6"/>
  <c r="M1680" i="6"/>
  <c r="L1680" i="6"/>
  <c r="H1680" i="6"/>
  <c r="P1679" i="6"/>
  <c r="O1679" i="6"/>
  <c r="N1679" i="6"/>
  <c r="M1679" i="6"/>
  <c r="L1679" i="6"/>
  <c r="H1679" i="6"/>
  <c r="P1678" i="6"/>
  <c r="O1678" i="6"/>
  <c r="N1678" i="6"/>
  <c r="L1678" i="6"/>
  <c r="I1678" i="6"/>
  <c r="H1678" i="6"/>
  <c r="E1678" i="6"/>
  <c r="C1678" i="6"/>
  <c r="B1678" i="6"/>
  <c r="P1677" i="6"/>
  <c r="O1677" i="6"/>
  <c r="N1677" i="6"/>
  <c r="L1677" i="6"/>
  <c r="I1677" i="6"/>
  <c r="H1677" i="6"/>
  <c r="E1677" i="6"/>
  <c r="C1677" i="6"/>
  <c r="B1677" i="6"/>
  <c r="P1676" i="6"/>
  <c r="O1676" i="6"/>
  <c r="N1676" i="6"/>
  <c r="L1676" i="6"/>
  <c r="I1676" i="6"/>
  <c r="H1676" i="6"/>
  <c r="E1676" i="6"/>
  <c r="C1676" i="6"/>
  <c r="B1676" i="6"/>
  <c r="P1675" i="6"/>
  <c r="O1675" i="6"/>
  <c r="N1675" i="6"/>
  <c r="L1675" i="6"/>
  <c r="I1675" i="6"/>
  <c r="H1675" i="6"/>
  <c r="E1675" i="6"/>
  <c r="C1675" i="6"/>
  <c r="B1675" i="6"/>
  <c r="P1674" i="6"/>
  <c r="O1674" i="6"/>
  <c r="N1674" i="6"/>
  <c r="L1674" i="6"/>
  <c r="I1674" i="6"/>
  <c r="H1674" i="6"/>
  <c r="E1674" i="6"/>
  <c r="C1674" i="6"/>
  <c r="B1674" i="6"/>
  <c r="P1673" i="6"/>
  <c r="O1673" i="6"/>
  <c r="N1673" i="6"/>
  <c r="M1673" i="6"/>
  <c r="L1673" i="6"/>
  <c r="H1673" i="6"/>
  <c r="P1672" i="6"/>
  <c r="O1672" i="6"/>
  <c r="N1672" i="6"/>
  <c r="L1672" i="6"/>
  <c r="I1672" i="6"/>
  <c r="H1672" i="6"/>
  <c r="E1672" i="6"/>
  <c r="C1672" i="6"/>
  <c r="B1672" i="6"/>
  <c r="P1671" i="6"/>
  <c r="O1671" i="6"/>
  <c r="N1671" i="6"/>
  <c r="L1671" i="6"/>
  <c r="I1671" i="6"/>
  <c r="H1671" i="6"/>
  <c r="E1671" i="6"/>
  <c r="C1671" i="6"/>
  <c r="B1671" i="6"/>
  <c r="P1670" i="6"/>
  <c r="O1670" i="6"/>
  <c r="N1670" i="6"/>
  <c r="L1670" i="6"/>
  <c r="I1670" i="6"/>
  <c r="H1670" i="6"/>
  <c r="E1670" i="6"/>
  <c r="C1670" i="6"/>
  <c r="B1670" i="6"/>
  <c r="P1669" i="6"/>
  <c r="O1669" i="6"/>
  <c r="N1669" i="6"/>
  <c r="L1669" i="6"/>
  <c r="I1669" i="6"/>
  <c r="H1669" i="6"/>
  <c r="E1669" i="6"/>
  <c r="C1669" i="6"/>
  <c r="B1669" i="6"/>
  <c r="P1668" i="6"/>
  <c r="O1668" i="6"/>
  <c r="N1668" i="6"/>
  <c r="L1668" i="6"/>
  <c r="I1668" i="6"/>
  <c r="H1668" i="6"/>
  <c r="E1668" i="6"/>
  <c r="C1668" i="6"/>
  <c r="B1668" i="6"/>
  <c r="P1667" i="6"/>
  <c r="O1667" i="6"/>
  <c r="N1667" i="6"/>
  <c r="L1667" i="6"/>
  <c r="I1667" i="6"/>
  <c r="H1667" i="6"/>
  <c r="E1667" i="6"/>
  <c r="C1667" i="6"/>
  <c r="B1667" i="6"/>
  <c r="P1666" i="6"/>
  <c r="O1666" i="6"/>
  <c r="N1666" i="6"/>
  <c r="M1666" i="6"/>
  <c r="L1666" i="6"/>
  <c r="H1666" i="6"/>
  <c r="P1665" i="6"/>
  <c r="O1665" i="6"/>
  <c r="N1665" i="6"/>
  <c r="L1665" i="6"/>
  <c r="I1665" i="6"/>
  <c r="H1665" i="6"/>
  <c r="E1665" i="6"/>
  <c r="C1665" i="6"/>
  <c r="B1665" i="6"/>
  <c r="P1664" i="6"/>
  <c r="O1664" i="6"/>
  <c r="N1664" i="6"/>
  <c r="L1664" i="6"/>
  <c r="I1664" i="6"/>
  <c r="H1664" i="6"/>
  <c r="E1664" i="6"/>
  <c r="C1664" i="6"/>
  <c r="B1664" i="6"/>
  <c r="P1663" i="6"/>
  <c r="O1663" i="6"/>
  <c r="N1663" i="6"/>
  <c r="L1663" i="6"/>
  <c r="I1663" i="6"/>
  <c r="H1663" i="6"/>
  <c r="E1663" i="6"/>
  <c r="C1663" i="6"/>
  <c r="B1663" i="6"/>
  <c r="P1662" i="6"/>
  <c r="O1662" i="6"/>
  <c r="N1662" i="6"/>
  <c r="L1662" i="6"/>
  <c r="H1662" i="6"/>
  <c r="E1662" i="6"/>
  <c r="C1662" i="6"/>
  <c r="B1662" i="6"/>
  <c r="P1661" i="6"/>
  <c r="O1661" i="6"/>
  <c r="N1661" i="6"/>
  <c r="L1661" i="6"/>
  <c r="I1661" i="6"/>
  <c r="H1661" i="6"/>
  <c r="E1661" i="6"/>
  <c r="C1661" i="6"/>
  <c r="B1661" i="6"/>
  <c r="P1660" i="6"/>
  <c r="O1660" i="6"/>
  <c r="N1660" i="6"/>
  <c r="L1660" i="6"/>
  <c r="I1660" i="6"/>
  <c r="H1660" i="6"/>
  <c r="E1660" i="6"/>
  <c r="C1660" i="6"/>
  <c r="B1660" i="6"/>
  <c r="P1659" i="6"/>
  <c r="O1659" i="6"/>
  <c r="N1659" i="6"/>
  <c r="L1659" i="6"/>
  <c r="I1659" i="6"/>
  <c r="H1659" i="6"/>
  <c r="E1659" i="6"/>
  <c r="C1659" i="6"/>
  <c r="B1659" i="6"/>
  <c r="P1658" i="6"/>
  <c r="O1658" i="6"/>
  <c r="N1658" i="6"/>
  <c r="L1658" i="6"/>
  <c r="I1658" i="6"/>
  <c r="H1658" i="6"/>
  <c r="E1658" i="6"/>
  <c r="C1658" i="6"/>
  <c r="B1658" i="6"/>
  <c r="P1657" i="6"/>
  <c r="O1657" i="6"/>
  <c r="N1657" i="6"/>
  <c r="L1657" i="6"/>
  <c r="I1657" i="6"/>
  <c r="H1657" i="6"/>
  <c r="E1657" i="6"/>
  <c r="C1657" i="6"/>
  <c r="B1657" i="6"/>
  <c r="P1656" i="6"/>
  <c r="O1656" i="6"/>
  <c r="N1656" i="6"/>
  <c r="L1656" i="6"/>
  <c r="I1656" i="6"/>
  <c r="H1656" i="6"/>
  <c r="E1656" i="6"/>
  <c r="C1656" i="6"/>
  <c r="B1656" i="6"/>
  <c r="P1655" i="6"/>
  <c r="O1655" i="6"/>
  <c r="N1655" i="6"/>
  <c r="M1655" i="6"/>
  <c r="L1655" i="6"/>
  <c r="H1655" i="6"/>
  <c r="Q1654" i="6"/>
  <c r="O1654" i="6"/>
  <c r="N1654" i="6"/>
  <c r="M1654" i="6"/>
  <c r="L1654" i="6"/>
  <c r="H1654" i="6"/>
  <c r="P1653" i="6"/>
  <c r="O1653" i="6"/>
  <c r="N1653" i="6"/>
  <c r="L1653" i="6"/>
  <c r="I1653" i="6"/>
  <c r="H1653" i="6"/>
  <c r="E1653" i="6"/>
  <c r="C1653" i="6"/>
  <c r="B1653" i="6"/>
  <c r="P1652" i="6"/>
  <c r="O1652" i="6"/>
  <c r="N1652" i="6"/>
  <c r="L1652" i="6"/>
  <c r="I1652" i="6"/>
  <c r="H1652" i="6"/>
  <c r="E1652" i="6"/>
  <c r="C1652" i="6"/>
  <c r="B1652" i="6"/>
  <c r="P1651" i="6"/>
  <c r="O1651" i="6"/>
  <c r="N1651" i="6"/>
  <c r="L1651" i="6"/>
  <c r="I1651" i="6"/>
  <c r="H1651" i="6"/>
  <c r="E1651" i="6"/>
  <c r="C1651" i="6"/>
  <c r="B1651" i="6"/>
  <c r="P1650" i="6"/>
  <c r="O1650" i="6"/>
  <c r="N1650" i="6"/>
  <c r="L1650" i="6"/>
  <c r="I1650" i="6"/>
  <c r="H1650" i="6"/>
  <c r="E1650" i="6"/>
  <c r="C1650" i="6"/>
  <c r="B1650" i="6"/>
  <c r="P1649" i="6"/>
  <c r="O1649" i="6"/>
  <c r="N1649" i="6"/>
  <c r="L1649" i="6"/>
  <c r="I1649" i="6"/>
  <c r="H1649" i="6"/>
  <c r="E1649" i="6"/>
  <c r="C1649" i="6"/>
  <c r="B1649" i="6"/>
  <c r="P1648" i="6"/>
  <c r="O1648" i="6"/>
  <c r="N1648" i="6"/>
  <c r="L1648" i="6"/>
  <c r="I1648" i="6"/>
  <c r="H1648" i="6"/>
  <c r="E1648" i="6"/>
  <c r="C1648" i="6"/>
  <c r="B1648" i="6"/>
  <c r="P1647" i="6"/>
  <c r="O1647" i="6"/>
  <c r="N1647" i="6"/>
  <c r="M1647" i="6"/>
  <c r="L1647" i="6"/>
  <c r="H1647" i="6"/>
  <c r="P1646" i="6"/>
  <c r="O1646" i="6"/>
  <c r="N1646" i="6"/>
  <c r="L1646" i="6"/>
  <c r="I1646" i="6"/>
  <c r="H1646" i="6"/>
  <c r="E1646" i="6"/>
  <c r="C1646" i="6"/>
  <c r="B1646" i="6"/>
  <c r="P1645" i="6"/>
  <c r="O1645" i="6"/>
  <c r="N1645" i="6"/>
  <c r="L1645" i="6"/>
  <c r="I1645" i="6"/>
  <c r="H1645" i="6"/>
  <c r="E1645" i="6"/>
  <c r="C1645" i="6"/>
  <c r="B1645" i="6"/>
  <c r="P1644" i="6"/>
  <c r="O1644" i="6"/>
  <c r="N1644" i="6"/>
  <c r="L1644" i="6"/>
  <c r="I1644" i="6"/>
  <c r="H1644" i="6"/>
  <c r="E1644" i="6"/>
  <c r="C1644" i="6"/>
  <c r="B1644" i="6"/>
  <c r="P1643" i="6"/>
  <c r="O1643" i="6"/>
  <c r="N1643" i="6"/>
  <c r="L1643" i="6"/>
  <c r="I1643" i="6"/>
  <c r="H1643" i="6"/>
  <c r="E1643" i="6"/>
  <c r="C1643" i="6"/>
  <c r="B1643" i="6"/>
  <c r="P1642" i="6"/>
  <c r="O1642" i="6"/>
  <c r="N1642" i="6"/>
  <c r="L1642" i="6"/>
  <c r="I1642" i="6"/>
  <c r="H1642" i="6"/>
  <c r="E1642" i="6"/>
  <c r="C1642" i="6"/>
  <c r="B1642" i="6"/>
  <c r="P1641" i="6"/>
  <c r="O1641" i="6"/>
  <c r="N1641" i="6"/>
  <c r="L1641" i="6"/>
  <c r="I1641" i="6"/>
  <c r="H1641" i="6"/>
  <c r="E1641" i="6"/>
  <c r="C1641" i="6"/>
  <c r="B1641" i="6"/>
  <c r="P1640" i="6"/>
  <c r="O1640" i="6"/>
  <c r="N1640" i="6"/>
  <c r="L1640" i="6"/>
  <c r="I1640" i="6"/>
  <c r="H1640" i="6"/>
  <c r="E1640" i="6"/>
  <c r="C1640" i="6"/>
  <c r="B1640" i="6"/>
  <c r="P1639" i="6"/>
  <c r="O1639" i="6"/>
  <c r="N1639" i="6"/>
  <c r="L1639" i="6"/>
  <c r="I1639" i="6"/>
  <c r="H1639" i="6"/>
  <c r="E1639" i="6"/>
  <c r="C1639" i="6"/>
  <c r="B1639" i="6"/>
  <c r="P1638" i="6"/>
  <c r="O1638" i="6"/>
  <c r="N1638" i="6"/>
  <c r="L1638" i="6"/>
  <c r="I1638" i="6"/>
  <c r="H1638" i="6"/>
  <c r="E1638" i="6"/>
  <c r="C1638" i="6"/>
  <c r="B1638" i="6"/>
  <c r="P1637" i="6"/>
  <c r="O1637" i="6"/>
  <c r="N1637" i="6"/>
  <c r="L1637" i="6"/>
  <c r="I1637" i="6"/>
  <c r="H1637" i="6"/>
  <c r="E1637" i="6"/>
  <c r="C1637" i="6"/>
  <c r="B1637" i="6"/>
  <c r="P1636" i="6"/>
  <c r="O1636" i="6"/>
  <c r="N1636" i="6"/>
  <c r="L1636" i="6"/>
  <c r="I1636" i="6"/>
  <c r="H1636" i="6"/>
  <c r="E1636" i="6"/>
  <c r="C1636" i="6"/>
  <c r="B1636" i="6"/>
  <c r="P1635" i="6"/>
  <c r="O1635" i="6"/>
  <c r="N1635" i="6"/>
  <c r="M1635" i="6"/>
  <c r="L1635" i="6"/>
  <c r="H1635" i="6"/>
  <c r="P1634" i="6"/>
  <c r="O1634" i="6"/>
  <c r="N1634" i="6"/>
  <c r="M1634" i="6"/>
  <c r="L1634" i="6"/>
  <c r="H1634" i="6"/>
  <c r="P1633" i="6"/>
  <c r="O1633" i="6"/>
  <c r="N1633" i="6"/>
  <c r="M1633" i="6"/>
  <c r="L1633" i="6"/>
  <c r="H1633" i="6"/>
  <c r="P1631" i="6"/>
  <c r="O1631" i="6"/>
  <c r="H1631" i="6"/>
  <c r="E1631" i="6"/>
  <c r="C1631" i="6"/>
  <c r="B1631" i="6"/>
  <c r="P1630" i="6"/>
  <c r="O1630" i="6"/>
  <c r="N1630" i="6"/>
  <c r="L1630" i="6"/>
  <c r="H1630" i="6"/>
  <c r="E1630" i="6"/>
  <c r="C1630" i="6"/>
  <c r="B1630" i="6"/>
  <c r="P1629" i="6"/>
  <c r="O1629" i="6"/>
  <c r="N1629" i="6"/>
  <c r="M1629" i="6"/>
  <c r="L1629" i="6"/>
  <c r="H1629" i="6"/>
  <c r="P1628" i="6"/>
  <c r="O1628" i="6"/>
  <c r="H1628" i="6"/>
  <c r="E1628" i="6"/>
  <c r="C1628" i="6"/>
  <c r="B1628" i="6"/>
  <c r="P1627" i="6"/>
  <c r="O1627" i="6"/>
  <c r="H1627" i="6"/>
  <c r="E1627" i="6"/>
  <c r="C1627" i="6"/>
  <c r="B1627" i="6"/>
  <c r="P1626" i="6"/>
  <c r="O1626" i="6"/>
  <c r="H1626" i="6"/>
  <c r="E1626" i="6"/>
  <c r="C1626" i="6"/>
  <c r="B1626" i="6"/>
  <c r="P1625" i="6"/>
  <c r="O1625" i="6"/>
  <c r="H1625" i="6"/>
  <c r="E1625" i="6"/>
  <c r="C1625" i="6"/>
  <c r="B1625" i="6"/>
  <c r="P1624" i="6"/>
  <c r="O1624" i="6"/>
  <c r="H1624" i="6"/>
  <c r="E1624" i="6"/>
  <c r="C1624" i="6"/>
  <c r="B1624" i="6"/>
  <c r="P1623" i="6"/>
  <c r="O1623" i="6"/>
  <c r="H1623" i="6"/>
  <c r="E1623" i="6"/>
  <c r="C1623" i="6"/>
  <c r="B1623" i="6"/>
  <c r="P1622" i="6"/>
  <c r="O1622" i="6"/>
  <c r="H1622" i="6"/>
  <c r="E1622" i="6"/>
  <c r="C1622" i="6"/>
  <c r="B1622" i="6"/>
  <c r="P1621" i="6"/>
  <c r="O1621" i="6"/>
  <c r="H1621" i="6"/>
  <c r="E1621" i="6"/>
  <c r="C1621" i="6"/>
  <c r="B1621" i="6"/>
  <c r="P1620" i="6"/>
  <c r="O1620" i="6"/>
  <c r="N1620" i="6"/>
  <c r="L1620" i="6"/>
  <c r="H1620" i="6"/>
  <c r="E1620" i="6"/>
  <c r="C1620" i="6"/>
  <c r="B1620" i="6"/>
  <c r="P1619" i="6"/>
  <c r="O1619" i="6"/>
  <c r="N1619" i="6"/>
  <c r="M1619" i="6"/>
  <c r="L1619" i="6"/>
  <c r="H1619" i="6"/>
  <c r="P1618" i="6"/>
  <c r="O1618" i="6"/>
  <c r="H1618" i="6"/>
  <c r="E1618" i="6"/>
  <c r="C1618" i="6"/>
  <c r="B1618" i="6"/>
  <c r="P1617" i="6"/>
  <c r="O1617" i="6"/>
  <c r="H1617" i="6"/>
  <c r="E1617" i="6"/>
  <c r="C1617" i="6"/>
  <c r="B1617" i="6"/>
  <c r="P1616" i="6"/>
  <c r="O1616" i="6"/>
  <c r="H1616" i="6"/>
  <c r="E1616" i="6"/>
  <c r="C1616" i="6"/>
  <c r="B1616" i="6"/>
  <c r="P1615" i="6"/>
  <c r="O1615" i="6"/>
  <c r="H1615" i="6"/>
  <c r="E1615" i="6"/>
  <c r="C1615" i="6"/>
  <c r="B1615" i="6"/>
  <c r="P1614" i="6"/>
  <c r="O1614" i="6"/>
  <c r="H1614" i="6"/>
  <c r="E1614" i="6"/>
  <c r="C1614" i="6"/>
  <c r="B1614" i="6"/>
  <c r="P1613" i="6"/>
  <c r="O1613" i="6"/>
  <c r="H1613" i="6"/>
  <c r="E1613" i="6"/>
  <c r="C1613" i="6"/>
  <c r="B1613" i="6"/>
  <c r="P1612" i="6"/>
  <c r="O1612" i="6"/>
  <c r="H1612" i="6"/>
  <c r="E1612" i="6"/>
  <c r="C1612" i="6"/>
  <c r="B1612" i="6"/>
  <c r="P1611" i="6"/>
  <c r="O1611" i="6"/>
  <c r="H1611" i="6"/>
  <c r="E1611" i="6"/>
  <c r="C1611" i="6"/>
  <c r="B1611" i="6"/>
  <c r="P1610" i="6"/>
  <c r="O1610" i="6"/>
  <c r="H1610" i="6"/>
  <c r="E1610" i="6"/>
  <c r="C1610" i="6"/>
  <c r="B1610" i="6"/>
  <c r="P1609" i="6"/>
  <c r="O1609" i="6"/>
  <c r="H1609" i="6"/>
  <c r="E1609" i="6"/>
  <c r="C1609" i="6"/>
  <c r="B1609" i="6"/>
  <c r="P1608" i="6"/>
  <c r="O1608" i="6"/>
  <c r="H1608" i="6"/>
  <c r="E1608" i="6"/>
  <c r="C1608" i="6"/>
  <c r="B1608" i="6"/>
  <c r="P1607" i="6"/>
  <c r="O1607" i="6"/>
  <c r="H1607" i="6"/>
  <c r="E1607" i="6"/>
  <c r="C1607" i="6"/>
  <c r="B1607" i="6"/>
  <c r="P1606" i="6"/>
  <c r="O1606" i="6"/>
  <c r="N1606" i="6"/>
  <c r="L1606" i="6"/>
  <c r="H1606" i="6"/>
  <c r="E1606" i="6"/>
  <c r="C1606" i="6"/>
  <c r="B1606" i="6"/>
  <c r="P1605" i="6"/>
  <c r="O1605" i="6"/>
  <c r="N1605" i="6"/>
  <c r="M1605" i="6"/>
  <c r="L1605" i="6"/>
  <c r="H1605" i="6"/>
  <c r="P1604" i="6"/>
  <c r="O1604" i="6"/>
  <c r="H1604" i="6"/>
  <c r="E1604" i="6"/>
  <c r="C1604" i="6"/>
  <c r="B1604" i="6"/>
  <c r="P1603" i="6"/>
  <c r="O1603" i="6"/>
  <c r="H1603" i="6"/>
  <c r="E1603" i="6"/>
  <c r="C1603" i="6"/>
  <c r="B1603" i="6"/>
  <c r="P1602" i="6"/>
  <c r="O1602" i="6"/>
  <c r="N1602" i="6"/>
  <c r="L1602" i="6"/>
  <c r="H1602" i="6"/>
  <c r="E1602" i="6"/>
  <c r="C1602" i="6"/>
  <c r="B1602" i="6"/>
  <c r="P1601" i="6"/>
  <c r="O1601" i="6"/>
  <c r="N1601" i="6"/>
  <c r="M1601" i="6"/>
  <c r="L1601" i="6"/>
  <c r="H1601" i="6"/>
  <c r="P1600" i="6"/>
  <c r="O1600" i="6"/>
  <c r="H1600" i="6"/>
  <c r="E1600" i="6"/>
  <c r="C1600" i="6"/>
  <c r="B1600" i="6"/>
  <c r="P1599" i="6"/>
  <c r="O1599" i="6"/>
  <c r="H1599" i="6"/>
  <c r="E1599" i="6"/>
  <c r="C1599" i="6"/>
  <c r="B1599" i="6"/>
  <c r="P1598" i="6"/>
  <c r="O1598" i="6"/>
  <c r="H1598" i="6"/>
  <c r="E1598" i="6"/>
  <c r="C1598" i="6"/>
  <c r="B1598" i="6"/>
  <c r="P1597" i="6"/>
  <c r="O1597" i="6"/>
  <c r="H1597" i="6"/>
  <c r="E1597" i="6"/>
  <c r="C1597" i="6"/>
  <c r="B1597" i="6"/>
  <c r="P1596" i="6"/>
  <c r="O1596" i="6"/>
  <c r="H1596" i="6"/>
  <c r="E1596" i="6"/>
  <c r="C1596" i="6"/>
  <c r="B1596" i="6"/>
  <c r="P1595" i="6"/>
  <c r="O1595" i="6"/>
  <c r="H1595" i="6"/>
  <c r="E1595" i="6"/>
  <c r="C1595" i="6"/>
  <c r="B1595" i="6"/>
  <c r="P1594" i="6"/>
  <c r="O1594" i="6"/>
  <c r="H1594" i="6"/>
  <c r="E1594" i="6"/>
  <c r="C1594" i="6"/>
  <c r="B1594" i="6"/>
  <c r="P1593" i="6"/>
  <c r="O1593" i="6"/>
  <c r="H1593" i="6"/>
  <c r="E1593" i="6"/>
  <c r="C1593" i="6"/>
  <c r="B1593" i="6"/>
  <c r="P1592" i="6"/>
  <c r="O1592" i="6"/>
  <c r="N1592" i="6"/>
  <c r="L1592" i="6"/>
  <c r="H1592" i="6"/>
  <c r="E1592" i="6"/>
  <c r="C1592" i="6"/>
  <c r="B1592" i="6"/>
  <c r="P1591" i="6"/>
  <c r="O1591" i="6"/>
  <c r="N1591" i="6"/>
  <c r="M1591" i="6"/>
  <c r="L1591" i="6"/>
  <c r="H1591" i="6"/>
  <c r="P1590" i="6"/>
  <c r="O1590" i="6"/>
  <c r="H1590" i="6"/>
  <c r="E1590" i="6"/>
  <c r="C1590" i="6"/>
  <c r="B1590" i="6"/>
  <c r="P1589" i="6"/>
  <c r="O1589" i="6"/>
  <c r="H1589" i="6"/>
  <c r="E1589" i="6"/>
  <c r="C1589" i="6"/>
  <c r="B1589" i="6"/>
  <c r="P1588" i="6"/>
  <c r="O1588" i="6"/>
  <c r="H1588" i="6"/>
  <c r="E1588" i="6"/>
  <c r="C1588" i="6"/>
  <c r="B1588" i="6"/>
  <c r="P1587" i="6"/>
  <c r="O1587" i="6"/>
  <c r="H1587" i="6"/>
  <c r="E1587" i="6"/>
  <c r="C1587" i="6"/>
  <c r="B1587" i="6"/>
  <c r="P1586" i="6"/>
  <c r="O1586" i="6"/>
  <c r="N1586" i="6"/>
  <c r="L1586" i="6"/>
  <c r="H1586" i="6"/>
  <c r="E1586" i="6"/>
  <c r="C1586" i="6"/>
  <c r="B1586" i="6"/>
  <c r="P1585" i="6"/>
  <c r="O1585" i="6"/>
  <c r="N1585" i="6"/>
  <c r="M1585" i="6"/>
  <c r="L1585" i="6"/>
  <c r="H1585" i="6"/>
  <c r="P1584" i="6"/>
  <c r="O1584" i="6"/>
  <c r="H1584" i="6"/>
  <c r="E1584" i="6"/>
  <c r="C1584" i="6"/>
  <c r="B1584" i="6"/>
  <c r="P1583" i="6"/>
  <c r="O1583" i="6"/>
  <c r="H1583" i="6"/>
  <c r="E1583" i="6"/>
  <c r="C1583" i="6"/>
  <c r="B1583" i="6"/>
  <c r="P1582" i="6"/>
  <c r="O1582" i="6"/>
  <c r="H1582" i="6"/>
  <c r="E1582" i="6"/>
  <c r="C1582" i="6"/>
  <c r="B1582" i="6"/>
  <c r="P1581" i="6"/>
  <c r="O1581" i="6"/>
  <c r="H1581" i="6"/>
  <c r="E1581" i="6"/>
  <c r="C1581" i="6"/>
  <c r="B1581" i="6"/>
  <c r="P1580" i="6"/>
  <c r="O1580" i="6"/>
  <c r="H1580" i="6"/>
  <c r="E1580" i="6"/>
  <c r="C1580" i="6"/>
  <c r="B1580" i="6"/>
  <c r="P1579" i="6"/>
  <c r="O1579" i="6"/>
  <c r="N1579" i="6"/>
  <c r="L1579" i="6"/>
  <c r="H1579" i="6"/>
  <c r="E1579" i="6"/>
  <c r="C1579" i="6"/>
  <c r="B1579" i="6"/>
  <c r="P1578" i="6"/>
  <c r="O1578" i="6"/>
  <c r="N1578" i="6"/>
  <c r="M1578" i="6"/>
  <c r="L1578" i="6"/>
  <c r="H1578" i="6"/>
  <c r="O1577" i="6"/>
  <c r="N1577" i="6"/>
  <c r="M1577" i="6"/>
  <c r="L1577" i="6"/>
  <c r="H1577" i="6"/>
  <c r="P1576" i="6"/>
  <c r="O1576" i="6"/>
  <c r="H1576" i="6"/>
  <c r="E1576" i="6"/>
  <c r="C1576" i="6"/>
  <c r="B1576" i="6"/>
  <c r="P1575" i="6"/>
  <c r="O1575" i="6"/>
  <c r="H1575" i="6"/>
  <c r="E1575" i="6"/>
  <c r="C1575" i="6"/>
  <c r="B1575" i="6"/>
  <c r="P1574" i="6"/>
  <c r="O1574" i="6"/>
  <c r="H1574" i="6"/>
  <c r="E1574" i="6"/>
  <c r="C1574" i="6"/>
  <c r="B1574" i="6"/>
  <c r="P1573" i="6"/>
  <c r="O1573" i="6"/>
  <c r="H1573" i="6"/>
  <c r="E1573" i="6"/>
  <c r="C1573" i="6"/>
  <c r="B1573" i="6"/>
  <c r="P1572" i="6"/>
  <c r="O1572" i="6"/>
  <c r="H1572" i="6"/>
  <c r="E1572" i="6"/>
  <c r="C1572" i="6"/>
  <c r="B1572" i="6"/>
  <c r="P1571" i="6"/>
  <c r="O1571" i="6"/>
  <c r="H1571" i="6"/>
  <c r="E1571" i="6"/>
  <c r="C1571" i="6"/>
  <c r="B1571" i="6"/>
  <c r="P1570" i="6"/>
  <c r="O1570" i="6"/>
  <c r="H1570" i="6"/>
  <c r="E1570" i="6"/>
  <c r="C1570" i="6"/>
  <c r="B1570" i="6"/>
  <c r="P1569" i="6"/>
  <c r="O1569" i="6"/>
  <c r="H1569" i="6"/>
  <c r="E1569" i="6"/>
  <c r="C1569" i="6"/>
  <c r="B1569" i="6"/>
  <c r="P1568" i="6"/>
  <c r="O1568" i="6"/>
  <c r="H1568" i="6"/>
  <c r="E1568" i="6"/>
  <c r="C1568" i="6"/>
  <c r="B1568" i="6"/>
  <c r="P1567" i="6"/>
  <c r="O1567" i="6"/>
  <c r="H1567" i="6"/>
  <c r="E1567" i="6"/>
  <c r="C1567" i="6"/>
  <c r="B1567" i="6"/>
  <c r="P1566" i="6"/>
  <c r="O1566" i="6"/>
  <c r="N1566" i="6"/>
  <c r="L1566" i="6"/>
  <c r="H1566" i="6"/>
  <c r="E1566" i="6"/>
  <c r="C1566" i="6"/>
  <c r="B1566" i="6"/>
  <c r="P1565" i="6"/>
  <c r="O1565" i="6"/>
  <c r="N1565" i="6"/>
  <c r="M1565" i="6"/>
  <c r="L1565" i="6"/>
  <c r="H1565" i="6"/>
  <c r="P1564" i="6"/>
  <c r="O1564" i="6"/>
  <c r="H1564" i="6"/>
  <c r="E1564" i="6"/>
  <c r="C1564" i="6"/>
  <c r="B1564" i="6"/>
  <c r="P1563" i="6"/>
  <c r="O1563" i="6"/>
  <c r="H1563" i="6"/>
  <c r="E1563" i="6"/>
  <c r="C1563" i="6"/>
  <c r="B1563" i="6"/>
  <c r="P1562" i="6"/>
  <c r="O1562" i="6"/>
  <c r="H1562" i="6"/>
  <c r="E1562" i="6"/>
  <c r="C1562" i="6"/>
  <c r="B1562" i="6"/>
  <c r="P1561" i="6"/>
  <c r="O1561" i="6"/>
  <c r="H1561" i="6"/>
  <c r="E1561" i="6"/>
  <c r="C1561" i="6"/>
  <c r="B1561" i="6"/>
  <c r="P1560" i="6"/>
  <c r="O1560" i="6"/>
  <c r="H1560" i="6"/>
  <c r="E1560" i="6"/>
  <c r="C1560" i="6"/>
  <c r="B1560" i="6"/>
  <c r="P1559" i="6"/>
  <c r="O1559" i="6"/>
  <c r="H1559" i="6"/>
  <c r="E1559" i="6"/>
  <c r="C1559" i="6"/>
  <c r="B1559" i="6"/>
  <c r="P1558" i="6"/>
  <c r="O1558" i="6"/>
  <c r="H1558" i="6"/>
  <c r="E1558" i="6"/>
  <c r="C1558" i="6"/>
  <c r="B1558" i="6"/>
  <c r="P1557" i="6"/>
  <c r="O1557" i="6"/>
  <c r="H1557" i="6"/>
  <c r="E1557" i="6"/>
  <c r="C1557" i="6"/>
  <c r="B1557" i="6"/>
  <c r="P1556" i="6"/>
  <c r="O1556" i="6"/>
  <c r="H1556" i="6"/>
  <c r="E1556" i="6"/>
  <c r="C1556" i="6"/>
  <c r="B1556" i="6"/>
  <c r="P1555" i="6"/>
  <c r="O1555" i="6"/>
  <c r="H1555" i="6"/>
  <c r="E1555" i="6"/>
  <c r="C1555" i="6"/>
  <c r="B1555" i="6"/>
  <c r="P1554" i="6"/>
  <c r="O1554" i="6"/>
  <c r="H1554" i="6"/>
  <c r="E1554" i="6"/>
  <c r="C1554" i="6"/>
  <c r="B1554" i="6"/>
  <c r="P1553" i="6"/>
  <c r="O1553" i="6"/>
  <c r="H1553" i="6"/>
  <c r="E1553" i="6"/>
  <c r="C1553" i="6"/>
  <c r="B1553" i="6"/>
  <c r="P1552" i="6"/>
  <c r="O1552" i="6"/>
  <c r="H1552" i="6"/>
  <c r="E1552" i="6"/>
  <c r="C1552" i="6"/>
  <c r="B1552" i="6"/>
  <c r="P1551" i="6"/>
  <c r="O1551" i="6"/>
  <c r="H1551" i="6"/>
  <c r="E1551" i="6"/>
  <c r="C1551" i="6"/>
  <c r="B1551" i="6"/>
  <c r="P1550" i="6"/>
  <c r="O1550" i="6"/>
  <c r="H1550" i="6"/>
  <c r="E1550" i="6"/>
  <c r="C1550" i="6"/>
  <c r="B1550" i="6"/>
  <c r="P1549" i="6"/>
  <c r="O1549" i="6"/>
  <c r="H1549" i="6"/>
  <c r="E1549" i="6"/>
  <c r="C1549" i="6"/>
  <c r="B1549" i="6"/>
  <c r="P1548" i="6"/>
  <c r="O1548" i="6"/>
  <c r="H1548" i="6"/>
  <c r="E1548" i="6"/>
  <c r="C1548" i="6"/>
  <c r="B1548" i="6"/>
  <c r="P1547" i="6"/>
  <c r="O1547" i="6"/>
  <c r="H1547" i="6"/>
  <c r="E1547" i="6"/>
  <c r="C1547" i="6"/>
  <c r="B1547" i="6"/>
  <c r="P1546" i="6"/>
  <c r="O1546" i="6"/>
  <c r="H1546" i="6"/>
  <c r="E1546" i="6"/>
  <c r="C1546" i="6"/>
  <c r="B1546" i="6"/>
  <c r="P1545" i="6"/>
  <c r="O1545" i="6"/>
  <c r="H1545" i="6"/>
  <c r="E1545" i="6"/>
  <c r="C1545" i="6"/>
  <c r="B1545" i="6"/>
  <c r="P1544" i="6"/>
  <c r="O1544" i="6"/>
  <c r="H1544" i="6"/>
  <c r="E1544" i="6"/>
  <c r="C1544" i="6"/>
  <c r="B1544" i="6"/>
  <c r="P1543" i="6"/>
  <c r="O1543" i="6"/>
  <c r="H1543" i="6"/>
  <c r="E1543" i="6"/>
  <c r="C1543" i="6"/>
  <c r="B1543" i="6"/>
  <c r="P1542" i="6"/>
  <c r="O1542" i="6"/>
  <c r="H1542" i="6"/>
  <c r="E1542" i="6"/>
  <c r="C1542" i="6"/>
  <c r="B1542" i="6"/>
  <c r="P1541" i="6"/>
  <c r="O1541" i="6"/>
  <c r="H1541" i="6"/>
  <c r="E1541" i="6"/>
  <c r="C1541" i="6"/>
  <c r="B1541" i="6"/>
  <c r="P1540" i="6"/>
  <c r="O1540" i="6"/>
  <c r="H1540" i="6"/>
  <c r="E1540" i="6"/>
  <c r="C1540" i="6"/>
  <c r="B1540" i="6"/>
  <c r="P1539" i="6"/>
  <c r="O1539" i="6"/>
  <c r="H1539" i="6"/>
  <c r="E1539" i="6"/>
  <c r="C1539" i="6"/>
  <c r="B1539" i="6"/>
  <c r="P1538" i="6"/>
  <c r="O1538" i="6"/>
  <c r="H1538" i="6"/>
  <c r="E1538" i="6"/>
  <c r="C1538" i="6"/>
  <c r="B1538" i="6"/>
  <c r="P1537" i="6"/>
  <c r="O1537" i="6"/>
  <c r="H1537" i="6"/>
  <c r="E1537" i="6"/>
  <c r="C1537" i="6"/>
  <c r="B1537" i="6"/>
  <c r="P1536" i="6"/>
  <c r="O1536" i="6"/>
  <c r="H1536" i="6"/>
  <c r="E1536" i="6"/>
  <c r="C1536" i="6"/>
  <c r="B1536" i="6"/>
  <c r="P1535" i="6"/>
  <c r="O1535" i="6"/>
  <c r="H1535" i="6"/>
  <c r="E1535" i="6"/>
  <c r="C1535" i="6"/>
  <c r="B1535" i="6"/>
  <c r="P1534" i="6"/>
  <c r="O1534" i="6"/>
  <c r="H1534" i="6"/>
  <c r="E1534" i="6"/>
  <c r="C1534" i="6"/>
  <c r="B1534" i="6"/>
  <c r="P1533" i="6"/>
  <c r="O1533" i="6"/>
  <c r="H1533" i="6"/>
  <c r="E1533" i="6"/>
  <c r="C1533" i="6"/>
  <c r="B1533" i="6"/>
  <c r="P1532" i="6"/>
  <c r="O1532" i="6"/>
  <c r="H1532" i="6"/>
  <c r="E1532" i="6"/>
  <c r="C1532" i="6"/>
  <c r="B1532" i="6"/>
  <c r="P1531" i="6"/>
  <c r="O1531" i="6"/>
  <c r="H1531" i="6"/>
  <c r="E1531" i="6"/>
  <c r="C1531" i="6"/>
  <c r="B1531" i="6"/>
  <c r="P1530" i="6"/>
  <c r="O1530" i="6"/>
  <c r="H1530" i="6"/>
  <c r="E1530" i="6"/>
  <c r="C1530" i="6"/>
  <c r="B1530" i="6"/>
  <c r="P1529" i="6"/>
  <c r="O1529" i="6"/>
  <c r="H1529" i="6"/>
  <c r="E1529" i="6"/>
  <c r="C1529" i="6"/>
  <c r="B1529" i="6"/>
  <c r="P1528" i="6"/>
  <c r="O1528" i="6"/>
  <c r="H1528" i="6"/>
  <c r="E1528" i="6"/>
  <c r="C1528" i="6"/>
  <c r="B1528" i="6"/>
  <c r="P1527" i="6"/>
  <c r="O1527" i="6"/>
  <c r="N1527" i="6"/>
  <c r="L1527" i="6"/>
  <c r="H1527" i="6"/>
  <c r="E1527" i="6"/>
  <c r="C1527" i="6"/>
  <c r="B1527" i="6"/>
  <c r="P1526" i="6"/>
  <c r="O1526" i="6"/>
  <c r="N1526" i="6"/>
  <c r="M1526" i="6"/>
  <c r="L1526" i="6"/>
  <c r="H1526" i="6"/>
  <c r="P1525" i="6"/>
  <c r="O1525" i="6"/>
  <c r="H1525" i="6"/>
  <c r="E1525" i="6"/>
  <c r="C1525" i="6"/>
  <c r="B1525" i="6"/>
  <c r="P1524" i="6"/>
  <c r="O1524" i="6"/>
  <c r="H1524" i="6"/>
  <c r="E1524" i="6"/>
  <c r="C1524" i="6"/>
  <c r="B1524" i="6"/>
  <c r="P1523" i="6"/>
  <c r="O1523" i="6"/>
  <c r="H1523" i="6"/>
  <c r="E1523" i="6"/>
  <c r="C1523" i="6"/>
  <c r="B1523" i="6"/>
  <c r="P1522" i="6"/>
  <c r="O1522" i="6"/>
  <c r="H1522" i="6"/>
  <c r="E1522" i="6"/>
  <c r="C1522" i="6"/>
  <c r="B1522" i="6"/>
  <c r="P1521" i="6"/>
  <c r="O1521" i="6"/>
  <c r="H1521" i="6"/>
  <c r="E1521" i="6"/>
  <c r="C1521" i="6"/>
  <c r="B1521" i="6"/>
  <c r="P1520" i="6"/>
  <c r="O1520" i="6"/>
  <c r="H1520" i="6"/>
  <c r="E1520" i="6"/>
  <c r="C1520" i="6"/>
  <c r="B1520" i="6"/>
  <c r="P1519" i="6"/>
  <c r="O1519" i="6"/>
  <c r="H1519" i="6"/>
  <c r="E1519" i="6"/>
  <c r="C1519" i="6"/>
  <c r="B1519" i="6"/>
  <c r="P1518" i="6"/>
  <c r="O1518" i="6"/>
  <c r="H1518" i="6"/>
  <c r="E1518" i="6"/>
  <c r="C1518" i="6"/>
  <c r="B1518" i="6"/>
  <c r="P1517" i="6"/>
  <c r="O1517" i="6"/>
  <c r="H1517" i="6"/>
  <c r="E1517" i="6"/>
  <c r="C1517" i="6"/>
  <c r="B1517" i="6"/>
  <c r="P1516" i="6"/>
  <c r="O1516" i="6"/>
  <c r="H1516" i="6"/>
  <c r="E1516" i="6"/>
  <c r="C1516" i="6"/>
  <c r="B1516" i="6"/>
  <c r="P1515" i="6"/>
  <c r="O1515" i="6"/>
  <c r="H1515" i="6"/>
  <c r="E1515" i="6"/>
  <c r="C1515" i="6"/>
  <c r="B1515" i="6"/>
  <c r="P1514" i="6"/>
  <c r="O1514" i="6"/>
  <c r="H1514" i="6"/>
  <c r="E1514" i="6"/>
  <c r="C1514" i="6"/>
  <c r="B1514" i="6"/>
  <c r="P1513" i="6"/>
  <c r="O1513" i="6"/>
  <c r="H1513" i="6"/>
  <c r="E1513" i="6"/>
  <c r="C1513" i="6"/>
  <c r="B1513" i="6"/>
  <c r="P1512" i="6"/>
  <c r="O1512" i="6"/>
  <c r="H1512" i="6"/>
  <c r="E1512" i="6"/>
  <c r="C1512" i="6"/>
  <c r="B1512" i="6"/>
  <c r="P1511" i="6"/>
  <c r="O1511" i="6"/>
  <c r="H1511" i="6"/>
  <c r="E1511" i="6"/>
  <c r="C1511" i="6"/>
  <c r="B1511" i="6"/>
  <c r="P1510" i="6"/>
  <c r="O1510" i="6"/>
  <c r="H1510" i="6"/>
  <c r="E1510" i="6"/>
  <c r="C1510" i="6"/>
  <c r="B1510" i="6"/>
  <c r="P1509" i="6"/>
  <c r="O1509" i="6"/>
  <c r="H1509" i="6"/>
  <c r="E1509" i="6"/>
  <c r="C1509" i="6"/>
  <c r="B1509" i="6"/>
  <c r="P1508" i="6"/>
  <c r="O1508" i="6"/>
  <c r="H1508" i="6"/>
  <c r="E1508" i="6"/>
  <c r="C1508" i="6"/>
  <c r="B1508" i="6"/>
  <c r="P1507" i="6"/>
  <c r="O1507" i="6"/>
  <c r="H1507" i="6"/>
  <c r="E1507" i="6"/>
  <c r="C1507" i="6"/>
  <c r="B1507" i="6"/>
  <c r="P1506" i="6"/>
  <c r="O1506" i="6"/>
  <c r="H1506" i="6"/>
  <c r="E1506" i="6"/>
  <c r="C1506" i="6"/>
  <c r="B1506" i="6"/>
  <c r="P1505" i="6"/>
  <c r="O1505" i="6"/>
  <c r="H1505" i="6"/>
  <c r="E1505" i="6"/>
  <c r="C1505" i="6"/>
  <c r="B1505" i="6"/>
  <c r="P1504" i="6"/>
  <c r="O1504" i="6"/>
  <c r="H1504" i="6"/>
  <c r="E1504" i="6"/>
  <c r="C1504" i="6"/>
  <c r="B1504" i="6"/>
  <c r="P1503" i="6"/>
  <c r="O1503" i="6"/>
  <c r="H1503" i="6"/>
  <c r="E1503" i="6"/>
  <c r="C1503" i="6"/>
  <c r="B1503" i="6"/>
  <c r="P1502" i="6"/>
  <c r="O1502" i="6"/>
  <c r="H1502" i="6"/>
  <c r="E1502" i="6"/>
  <c r="C1502" i="6"/>
  <c r="B1502" i="6"/>
  <c r="P1501" i="6"/>
  <c r="O1501" i="6"/>
  <c r="H1501" i="6"/>
  <c r="E1501" i="6"/>
  <c r="C1501" i="6"/>
  <c r="B1501" i="6"/>
  <c r="P1500" i="6"/>
  <c r="O1500" i="6"/>
  <c r="H1500" i="6"/>
  <c r="E1500" i="6"/>
  <c r="C1500" i="6"/>
  <c r="B1500" i="6"/>
  <c r="P1499" i="6"/>
  <c r="O1499" i="6"/>
  <c r="H1499" i="6"/>
  <c r="E1499" i="6"/>
  <c r="C1499" i="6"/>
  <c r="B1499" i="6"/>
  <c r="P1498" i="6"/>
  <c r="O1498" i="6"/>
  <c r="H1498" i="6"/>
  <c r="E1498" i="6"/>
  <c r="C1498" i="6"/>
  <c r="B1498" i="6"/>
  <c r="P1497" i="6"/>
  <c r="O1497" i="6"/>
  <c r="H1497" i="6"/>
  <c r="E1497" i="6"/>
  <c r="C1497" i="6"/>
  <c r="B1497" i="6"/>
  <c r="P1496" i="6"/>
  <c r="O1496" i="6"/>
  <c r="H1496" i="6"/>
  <c r="E1496" i="6"/>
  <c r="C1496" i="6"/>
  <c r="B1496" i="6"/>
  <c r="P1495" i="6"/>
  <c r="O1495" i="6"/>
  <c r="H1495" i="6"/>
  <c r="E1495" i="6"/>
  <c r="C1495" i="6"/>
  <c r="B1495" i="6"/>
  <c r="P1494" i="6"/>
  <c r="O1494" i="6"/>
  <c r="H1494" i="6"/>
  <c r="E1494" i="6"/>
  <c r="C1494" i="6"/>
  <c r="B1494" i="6"/>
  <c r="P1493" i="6"/>
  <c r="O1493" i="6"/>
  <c r="H1493" i="6"/>
  <c r="E1493" i="6"/>
  <c r="C1493" i="6"/>
  <c r="B1493" i="6"/>
  <c r="P1492" i="6"/>
  <c r="O1492" i="6"/>
  <c r="H1492" i="6"/>
  <c r="E1492" i="6"/>
  <c r="C1492" i="6"/>
  <c r="B1492" i="6"/>
  <c r="P1491" i="6"/>
  <c r="O1491" i="6"/>
  <c r="H1491" i="6"/>
  <c r="E1491" i="6"/>
  <c r="C1491" i="6"/>
  <c r="B1491" i="6"/>
  <c r="P1490" i="6"/>
  <c r="O1490" i="6"/>
  <c r="H1490" i="6"/>
  <c r="E1490" i="6"/>
  <c r="C1490" i="6"/>
  <c r="B1490" i="6"/>
  <c r="P1489" i="6"/>
  <c r="O1489" i="6"/>
  <c r="H1489" i="6"/>
  <c r="E1489" i="6"/>
  <c r="C1489" i="6"/>
  <c r="B1489" i="6"/>
  <c r="P1488" i="6"/>
  <c r="O1488" i="6"/>
  <c r="H1488" i="6"/>
  <c r="E1488" i="6"/>
  <c r="C1488" i="6"/>
  <c r="B1488" i="6"/>
  <c r="P1487" i="6"/>
  <c r="O1487" i="6"/>
  <c r="H1487" i="6"/>
  <c r="E1487" i="6"/>
  <c r="C1487" i="6"/>
  <c r="B1487" i="6"/>
  <c r="P1486" i="6"/>
  <c r="O1486" i="6"/>
  <c r="N1486" i="6"/>
  <c r="L1486" i="6"/>
  <c r="I1486" i="6"/>
  <c r="H1486" i="6"/>
  <c r="E1486" i="6"/>
  <c r="C1486" i="6"/>
  <c r="B1486" i="6"/>
  <c r="P1485" i="6"/>
  <c r="O1485" i="6"/>
  <c r="N1485" i="6"/>
  <c r="M1485" i="6"/>
  <c r="L1485" i="6"/>
  <c r="H1485" i="6"/>
  <c r="P1484" i="6"/>
  <c r="O1484" i="6"/>
  <c r="N1484" i="6"/>
  <c r="M1484" i="6"/>
  <c r="L1484" i="6"/>
  <c r="H1484" i="6"/>
  <c r="P1483" i="6"/>
  <c r="O1483" i="6"/>
  <c r="H1483" i="6"/>
  <c r="E1483" i="6"/>
  <c r="C1483" i="6"/>
  <c r="B1483" i="6"/>
  <c r="P1482" i="6"/>
  <c r="O1482" i="6"/>
  <c r="H1482" i="6"/>
  <c r="E1482" i="6"/>
  <c r="C1482" i="6"/>
  <c r="B1482" i="6"/>
  <c r="P1481" i="6"/>
  <c r="O1481" i="6"/>
  <c r="H1481" i="6"/>
  <c r="E1481" i="6"/>
  <c r="C1481" i="6"/>
  <c r="B1481" i="6"/>
  <c r="P1480" i="6"/>
  <c r="O1480" i="6"/>
  <c r="H1480" i="6"/>
  <c r="E1480" i="6"/>
  <c r="C1480" i="6"/>
  <c r="B1480" i="6"/>
  <c r="P1479" i="6"/>
  <c r="O1479" i="6"/>
  <c r="H1479" i="6"/>
  <c r="E1479" i="6"/>
  <c r="C1479" i="6"/>
  <c r="B1479" i="6"/>
  <c r="P1478" i="6"/>
  <c r="O1478" i="6"/>
  <c r="N1478" i="6"/>
  <c r="L1478" i="6"/>
  <c r="H1478" i="6"/>
  <c r="E1478" i="6"/>
  <c r="C1478" i="6"/>
  <c r="B1478" i="6"/>
  <c r="P1477" i="6"/>
  <c r="O1477" i="6"/>
  <c r="N1477" i="6"/>
  <c r="M1477" i="6"/>
  <c r="L1477" i="6"/>
  <c r="H1477" i="6"/>
  <c r="P1476" i="6"/>
  <c r="O1476" i="6"/>
  <c r="H1476" i="6"/>
  <c r="E1476" i="6"/>
  <c r="C1476" i="6"/>
  <c r="B1476" i="6"/>
  <c r="P1475" i="6"/>
  <c r="O1475" i="6"/>
  <c r="H1475" i="6"/>
  <c r="E1475" i="6"/>
  <c r="C1475" i="6"/>
  <c r="B1475" i="6"/>
  <c r="P1474" i="6"/>
  <c r="O1474" i="6"/>
  <c r="H1474" i="6"/>
  <c r="E1474" i="6"/>
  <c r="C1474" i="6"/>
  <c r="B1474" i="6"/>
  <c r="P1473" i="6"/>
  <c r="O1473" i="6"/>
  <c r="H1473" i="6"/>
  <c r="E1473" i="6"/>
  <c r="C1473" i="6"/>
  <c r="B1473" i="6"/>
  <c r="P1472" i="6"/>
  <c r="O1472" i="6"/>
  <c r="H1472" i="6"/>
  <c r="E1472" i="6"/>
  <c r="C1472" i="6"/>
  <c r="B1472" i="6"/>
  <c r="P1471" i="6"/>
  <c r="O1471" i="6"/>
  <c r="H1471" i="6"/>
  <c r="E1471" i="6"/>
  <c r="C1471" i="6"/>
  <c r="B1471" i="6"/>
  <c r="P1470" i="6"/>
  <c r="O1470" i="6"/>
  <c r="H1470" i="6"/>
  <c r="E1470" i="6"/>
  <c r="C1470" i="6"/>
  <c r="B1470" i="6"/>
  <c r="P1469" i="6"/>
  <c r="O1469" i="6"/>
  <c r="H1469" i="6"/>
  <c r="E1469" i="6"/>
  <c r="C1469" i="6"/>
  <c r="B1469" i="6"/>
  <c r="P1468" i="6"/>
  <c r="O1468" i="6"/>
  <c r="H1468" i="6"/>
  <c r="E1468" i="6"/>
  <c r="C1468" i="6"/>
  <c r="B1468" i="6"/>
  <c r="P1467" i="6"/>
  <c r="O1467" i="6"/>
  <c r="H1467" i="6"/>
  <c r="E1467" i="6"/>
  <c r="C1467" i="6"/>
  <c r="B1467" i="6"/>
  <c r="P1466" i="6"/>
  <c r="O1466" i="6"/>
  <c r="H1466" i="6"/>
  <c r="E1466" i="6"/>
  <c r="C1466" i="6"/>
  <c r="B1466" i="6"/>
  <c r="P1465" i="6"/>
  <c r="O1465" i="6"/>
  <c r="H1465" i="6"/>
  <c r="E1465" i="6"/>
  <c r="C1465" i="6"/>
  <c r="B1465" i="6"/>
  <c r="P1464" i="6"/>
  <c r="O1464" i="6"/>
  <c r="H1464" i="6"/>
  <c r="E1464" i="6"/>
  <c r="C1464" i="6"/>
  <c r="B1464" i="6"/>
  <c r="P1463" i="6"/>
  <c r="O1463" i="6"/>
  <c r="H1463" i="6"/>
  <c r="E1463" i="6"/>
  <c r="C1463" i="6"/>
  <c r="B1463" i="6"/>
  <c r="P1462" i="6"/>
  <c r="O1462" i="6"/>
  <c r="H1462" i="6"/>
  <c r="E1462" i="6"/>
  <c r="C1462" i="6"/>
  <c r="B1462" i="6"/>
  <c r="P1461" i="6"/>
  <c r="O1461" i="6"/>
  <c r="H1461" i="6"/>
  <c r="E1461" i="6"/>
  <c r="C1461" i="6"/>
  <c r="B1461" i="6"/>
  <c r="P1460" i="6"/>
  <c r="O1460" i="6"/>
  <c r="H1460" i="6"/>
  <c r="E1460" i="6"/>
  <c r="C1460" i="6"/>
  <c r="B1460" i="6"/>
  <c r="P1459" i="6"/>
  <c r="O1459" i="6"/>
  <c r="H1459" i="6"/>
  <c r="E1459" i="6"/>
  <c r="C1459" i="6"/>
  <c r="B1459" i="6"/>
  <c r="P1458" i="6"/>
  <c r="O1458" i="6"/>
  <c r="H1458" i="6"/>
  <c r="E1458" i="6"/>
  <c r="C1458" i="6"/>
  <c r="B1458" i="6"/>
  <c r="P1457" i="6"/>
  <c r="O1457" i="6"/>
  <c r="H1457" i="6"/>
  <c r="E1457" i="6"/>
  <c r="C1457" i="6"/>
  <c r="B1457" i="6"/>
  <c r="P1456" i="6"/>
  <c r="O1456" i="6"/>
  <c r="N1456" i="6"/>
  <c r="L1456" i="6"/>
  <c r="H1456" i="6"/>
  <c r="E1456" i="6"/>
  <c r="C1456" i="6"/>
  <c r="B1456" i="6"/>
  <c r="P1455" i="6"/>
  <c r="O1455" i="6"/>
  <c r="N1455" i="6"/>
  <c r="M1455" i="6"/>
  <c r="L1455" i="6"/>
  <c r="H1455" i="6"/>
  <c r="P1454" i="6"/>
  <c r="O1454" i="6"/>
  <c r="H1454" i="6"/>
  <c r="E1454" i="6"/>
  <c r="C1454" i="6"/>
  <c r="B1454" i="6"/>
  <c r="P1453" i="6"/>
  <c r="O1453" i="6"/>
  <c r="H1453" i="6"/>
  <c r="E1453" i="6"/>
  <c r="C1453" i="6"/>
  <c r="B1453" i="6"/>
  <c r="P1452" i="6"/>
  <c r="O1452" i="6"/>
  <c r="H1452" i="6"/>
  <c r="E1452" i="6"/>
  <c r="C1452" i="6"/>
  <c r="B1452" i="6"/>
  <c r="P1451" i="6"/>
  <c r="O1451" i="6"/>
  <c r="H1451" i="6"/>
  <c r="E1451" i="6"/>
  <c r="C1451" i="6"/>
  <c r="B1451" i="6"/>
  <c r="P1450" i="6"/>
  <c r="O1450" i="6"/>
  <c r="H1450" i="6"/>
  <c r="E1450" i="6"/>
  <c r="C1450" i="6"/>
  <c r="B1450" i="6"/>
  <c r="P1449" i="6"/>
  <c r="O1449" i="6"/>
  <c r="H1449" i="6"/>
  <c r="E1449" i="6"/>
  <c r="C1449" i="6"/>
  <c r="B1449" i="6"/>
  <c r="P1448" i="6"/>
  <c r="O1448" i="6"/>
  <c r="H1448" i="6"/>
  <c r="E1448" i="6"/>
  <c r="C1448" i="6"/>
  <c r="B1448" i="6"/>
  <c r="P1447" i="6"/>
  <c r="O1447" i="6"/>
  <c r="H1447" i="6"/>
  <c r="E1447" i="6"/>
  <c r="C1447" i="6"/>
  <c r="B1447" i="6"/>
  <c r="P1446" i="6"/>
  <c r="O1446" i="6"/>
  <c r="H1446" i="6"/>
  <c r="E1446" i="6"/>
  <c r="C1446" i="6"/>
  <c r="B1446" i="6"/>
  <c r="P1445" i="6"/>
  <c r="O1445" i="6"/>
  <c r="N1445" i="6"/>
  <c r="L1445" i="6"/>
  <c r="H1445" i="6"/>
  <c r="E1445" i="6"/>
  <c r="C1445" i="6"/>
  <c r="B1445" i="6"/>
  <c r="P1444" i="6"/>
  <c r="O1444" i="6"/>
  <c r="N1444" i="6"/>
  <c r="M1444" i="6"/>
  <c r="L1444" i="6"/>
  <c r="H1444" i="6"/>
  <c r="P1443" i="6"/>
  <c r="O1443" i="6"/>
  <c r="H1443" i="6"/>
  <c r="E1443" i="6"/>
  <c r="C1443" i="6"/>
  <c r="B1443" i="6"/>
  <c r="P1442" i="6"/>
  <c r="O1442" i="6"/>
  <c r="H1442" i="6"/>
  <c r="E1442" i="6"/>
  <c r="C1442" i="6"/>
  <c r="B1442" i="6"/>
  <c r="P1441" i="6"/>
  <c r="O1441" i="6"/>
  <c r="H1441" i="6"/>
  <c r="E1441" i="6"/>
  <c r="C1441" i="6"/>
  <c r="B1441" i="6"/>
  <c r="P1440" i="6"/>
  <c r="O1440" i="6"/>
  <c r="H1440" i="6"/>
  <c r="E1440" i="6"/>
  <c r="C1440" i="6"/>
  <c r="B1440" i="6"/>
  <c r="P1439" i="6"/>
  <c r="O1439" i="6"/>
  <c r="H1439" i="6"/>
  <c r="E1439" i="6"/>
  <c r="C1439" i="6"/>
  <c r="B1439" i="6"/>
  <c r="P1438" i="6"/>
  <c r="O1438" i="6"/>
  <c r="H1438" i="6"/>
  <c r="E1438" i="6"/>
  <c r="C1438" i="6"/>
  <c r="B1438" i="6"/>
  <c r="P1437" i="6"/>
  <c r="O1437" i="6"/>
  <c r="H1437" i="6"/>
  <c r="E1437" i="6"/>
  <c r="C1437" i="6"/>
  <c r="B1437" i="6"/>
  <c r="P1436" i="6"/>
  <c r="O1436" i="6"/>
  <c r="N1436" i="6"/>
  <c r="L1436" i="6"/>
  <c r="H1436" i="6"/>
  <c r="E1436" i="6"/>
  <c r="C1436" i="6"/>
  <c r="B1436" i="6"/>
  <c r="P1435" i="6"/>
  <c r="O1435" i="6"/>
  <c r="N1435" i="6"/>
  <c r="M1435" i="6"/>
  <c r="L1435" i="6"/>
  <c r="H1435" i="6"/>
  <c r="P1434" i="6"/>
  <c r="O1434" i="6"/>
  <c r="H1434" i="6"/>
  <c r="E1434" i="6"/>
  <c r="C1434" i="6"/>
  <c r="B1434" i="6"/>
  <c r="P1433" i="6"/>
  <c r="O1433" i="6"/>
  <c r="H1433" i="6"/>
  <c r="E1433" i="6"/>
  <c r="C1433" i="6"/>
  <c r="B1433" i="6"/>
  <c r="P1432" i="6"/>
  <c r="O1432" i="6"/>
  <c r="N1432" i="6"/>
  <c r="L1432" i="6"/>
  <c r="H1432" i="6"/>
  <c r="E1432" i="6"/>
  <c r="C1432" i="6"/>
  <c r="B1432" i="6"/>
  <c r="P1431" i="6"/>
  <c r="O1431" i="6"/>
  <c r="N1431" i="6"/>
  <c r="M1431" i="6"/>
  <c r="L1431" i="6"/>
  <c r="H1431" i="6"/>
  <c r="P1430" i="6"/>
  <c r="O1430" i="6"/>
  <c r="H1430" i="6"/>
  <c r="E1430" i="6"/>
  <c r="C1430" i="6"/>
  <c r="B1430" i="6"/>
  <c r="P1429" i="6"/>
  <c r="O1429" i="6"/>
  <c r="H1429" i="6"/>
  <c r="E1429" i="6"/>
  <c r="C1429" i="6"/>
  <c r="B1429" i="6"/>
  <c r="P1428" i="6"/>
  <c r="O1428" i="6"/>
  <c r="H1428" i="6"/>
  <c r="E1428" i="6"/>
  <c r="C1428" i="6"/>
  <c r="B1428" i="6"/>
  <c r="P1427" i="6"/>
  <c r="O1427" i="6"/>
  <c r="H1427" i="6"/>
  <c r="E1427" i="6"/>
  <c r="C1427" i="6"/>
  <c r="B1427" i="6"/>
  <c r="P1426" i="6"/>
  <c r="O1426" i="6"/>
  <c r="H1426" i="6"/>
  <c r="E1426" i="6"/>
  <c r="C1426" i="6"/>
  <c r="B1426" i="6"/>
  <c r="P1425" i="6"/>
  <c r="O1425" i="6"/>
  <c r="N1425" i="6"/>
  <c r="L1425" i="6"/>
  <c r="H1425" i="6"/>
  <c r="E1425" i="6"/>
  <c r="C1425" i="6"/>
  <c r="B1425" i="6"/>
  <c r="P1424" i="6"/>
  <c r="O1424" i="6"/>
  <c r="N1424" i="6"/>
  <c r="M1424" i="6"/>
  <c r="L1424" i="6"/>
  <c r="H1424" i="6"/>
  <c r="P1423" i="6"/>
  <c r="O1423" i="6"/>
  <c r="H1423" i="6"/>
  <c r="E1423" i="6"/>
  <c r="C1423" i="6"/>
  <c r="B1423" i="6"/>
  <c r="P1422" i="6"/>
  <c r="O1422" i="6"/>
  <c r="H1422" i="6"/>
  <c r="E1422" i="6"/>
  <c r="C1422" i="6"/>
  <c r="B1422" i="6"/>
  <c r="P1421" i="6"/>
  <c r="O1421" i="6"/>
  <c r="N1421" i="6"/>
  <c r="L1421" i="6"/>
  <c r="H1421" i="6"/>
  <c r="E1421" i="6"/>
  <c r="C1421" i="6"/>
  <c r="B1421" i="6"/>
  <c r="P1420" i="6"/>
  <c r="O1420" i="6"/>
  <c r="N1420" i="6"/>
  <c r="M1420" i="6"/>
  <c r="L1420" i="6"/>
  <c r="H1420" i="6"/>
  <c r="P1419" i="6"/>
  <c r="O1419" i="6"/>
  <c r="H1419" i="6"/>
  <c r="E1419" i="6"/>
  <c r="C1419" i="6"/>
  <c r="B1419" i="6"/>
  <c r="P1418" i="6"/>
  <c r="O1418" i="6"/>
  <c r="H1418" i="6"/>
  <c r="E1418" i="6"/>
  <c r="C1418" i="6"/>
  <c r="B1418" i="6"/>
  <c r="P1417" i="6"/>
  <c r="O1417" i="6"/>
  <c r="N1417" i="6"/>
  <c r="L1417" i="6"/>
  <c r="H1417" i="6"/>
  <c r="E1417" i="6"/>
  <c r="C1417" i="6"/>
  <c r="B1417" i="6"/>
  <c r="P1416" i="6"/>
  <c r="O1416" i="6"/>
  <c r="N1416" i="6"/>
  <c r="M1416" i="6"/>
  <c r="L1416" i="6"/>
  <c r="H1416" i="6"/>
  <c r="P1415" i="6"/>
  <c r="O1415" i="6"/>
  <c r="H1415" i="6"/>
  <c r="E1415" i="6"/>
  <c r="C1415" i="6"/>
  <c r="B1415" i="6"/>
  <c r="P1414" i="6"/>
  <c r="O1414" i="6"/>
  <c r="H1414" i="6"/>
  <c r="E1414" i="6"/>
  <c r="C1414" i="6"/>
  <c r="B1414" i="6"/>
  <c r="P1413" i="6"/>
  <c r="O1413" i="6"/>
  <c r="H1413" i="6"/>
  <c r="E1413" i="6"/>
  <c r="C1413" i="6"/>
  <c r="B1413" i="6"/>
  <c r="P1412" i="6"/>
  <c r="O1412" i="6"/>
  <c r="H1412" i="6"/>
  <c r="E1412" i="6"/>
  <c r="C1412" i="6"/>
  <c r="B1412" i="6"/>
  <c r="P1411" i="6"/>
  <c r="O1411" i="6"/>
  <c r="N1411" i="6"/>
  <c r="L1411" i="6"/>
  <c r="H1411" i="6"/>
  <c r="E1411" i="6"/>
  <c r="C1411" i="6"/>
  <c r="B1411" i="6"/>
  <c r="O1410" i="6"/>
  <c r="N1410" i="6"/>
  <c r="M1410" i="6"/>
  <c r="L1410" i="6"/>
  <c r="H1410" i="6"/>
  <c r="O1409" i="6"/>
  <c r="N1409" i="6"/>
  <c r="M1409" i="6"/>
  <c r="L1409" i="6"/>
  <c r="H1409" i="6"/>
  <c r="P1408" i="6"/>
  <c r="O1408" i="6"/>
  <c r="N1408" i="6"/>
  <c r="L1408" i="6"/>
  <c r="H1408" i="6"/>
  <c r="E1408" i="6"/>
  <c r="C1408" i="6"/>
  <c r="B1408" i="6"/>
  <c r="P1407" i="6"/>
  <c r="O1407" i="6"/>
  <c r="N1407" i="6"/>
  <c r="M1407" i="6"/>
  <c r="L1407" i="6"/>
  <c r="H1407" i="6"/>
  <c r="P1406" i="6"/>
  <c r="O1406" i="6"/>
  <c r="N1406" i="6"/>
  <c r="L1406" i="6"/>
  <c r="H1406" i="6"/>
  <c r="E1406" i="6"/>
  <c r="C1406" i="6"/>
  <c r="B1406" i="6"/>
  <c r="P1405" i="6"/>
  <c r="O1405" i="6"/>
  <c r="N1405" i="6"/>
  <c r="M1405" i="6"/>
  <c r="L1405" i="6"/>
  <c r="H1405" i="6"/>
  <c r="P1404" i="6"/>
  <c r="O1404" i="6"/>
  <c r="H1404" i="6"/>
  <c r="E1404" i="6"/>
  <c r="C1404" i="6"/>
  <c r="B1404" i="6"/>
  <c r="P1403" i="6"/>
  <c r="O1403" i="6"/>
  <c r="H1403" i="6"/>
  <c r="E1403" i="6"/>
  <c r="C1403" i="6"/>
  <c r="B1403" i="6"/>
  <c r="P1402" i="6"/>
  <c r="O1402" i="6"/>
  <c r="H1402" i="6"/>
  <c r="E1402" i="6"/>
  <c r="C1402" i="6"/>
  <c r="B1402" i="6"/>
  <c r="P1401" i="6"/>
  <c r="O1401" i="6"/>
  <c r="H1401" i="6"/>
  <c r="E1401" i="6"/>
  <c r="C1401" i="6"/>
  <c r="B1401" i="6"/>
  <c r="P1400" i="6"/>
  <c r="O1400" i="6"/>
  <c r="N1400" i="6"/>
  <c r="L1400" i="6"/>
  <c r="H1400" i="6"/>
  <c r="E1400" i="6"/>
  <c r="C1400" i="6"/>
  <c r="B1400" i="6"/>
  <c r="P1399" i="6"/>
  <c r="O1399" i="6"/>
  <c r="N1399" i="6"/>
  <c r="M1399" i="6"/>
  <c r="L1399" i="6"/>
  <c r="H1399" i="6"/>
  <c r="P1398" i="6"/>
  <c r="O1398" i="6"/>
  <c r="H1398" i="6"/>
  <c r="E1398" i="6"/>
  <c r="C1398" i="6"/>
  <c r="B1398" i="6"/>
  <c r="P1397" i="6"/>
  <c r="O1397" i="6"/>
  <c r="H1397" i="6"/>
  <c r="E1397" i="6"/>
  <c r="C1397" i="6"/>
  <c r="B1397" i="6"/>
  <c r="P1396" i="6"/>
  <c r="O1396" i="6"/>
  <c r="H1396" i="6"/>
  <c r="E1396" i="6"/>
  <c r="C1396" i="6"/>
  <c r="B1396" i="6"/>
  <c r="P1395" i="6"/>
  <c r="O1395" i="6"/>
  <c r="H1395" i="6"/>
  <c r="E1395" i="6"/>
  <c r="C1395" i="6"/>
  <c r="B1395" i="6"/>
  <c r="P1394" i="6"/>
  <c r="O1394" i="6"/>
  <c r="H1394" i="6"/>
  <c r="E1394" i="6"/>
  <c r="C1394" i="6"/>
  <c r="B1394" i="6"/>
  <c r="P1393" i="6"/>
  <c r="O1393" i="6"/>
  <c r="H1393" i="6"/>
  <c r="E1393" i="6"/>
  <c r="C1393" i="6"/>
  <c r="B1393" i="6"/>
  <c r="P1392" i="6"/>
  <c r="O1392" i="6"/>
  <c r="N1392" i="6"/>
  <c r="L1392" i="6"/>
  <c r="H1392" i="6"/>
  <c r="E1392" i="6"/>
  <c r="C1392" i="6"/>
  <c r="B1392" i="6"/>
  <c r="P1391" i="6"/>
  <c r="O1391" i="6"/>
  <c r="N1391" i="6"/>
  <c r="M1391" i="6"/>
  <c r="L1391" i="6"/>
  <c r="H1391" i="6"/>
  <c r="P1390" i="6"/>
  <c r="O1390" i="6"/>
  <c r="H1390" i="6"/>
  <c r="E1390" i="6"/>
  <c r="C1390" i="6"/>
  <c r="B1390" i="6"/>
  <c r="P1389" i="6"/>
  <c r="O1389" i="6"/>
  <c r="H1389" i="6"/>
  <c r="E1389" i="6"/>
  <c r="C1389" i="6"/>
  <c r="B1389" i="6"/>
  <c r="P1388" i="6"/>
  <c r="O1388" i="6"/>
  <c r="H1388" i="6"/>
  <c r="E1388" i="6"/>
  <c r="C1388" i="6"/>
  <c r="B1388" i="6"/>
  <c r="P1387" i="6"/>
  <c r="O1387" i="6"/>
  <c r="H1387" i="6"/>
  <c r="E1387" i="6"/>
  <c r="C1387" i="6"/>
  <c r="B1387" i="6"/>
  <c r="P1386" i="6"/>
  <c r="O1386" i="6"/>
  <c r="H1386" i="6"/>
  <c r="E1386" i="6"/>
  <c r="C1386" i="6"/>
  <c r="B1386" i="6"/>
  <c r="P1385" i="6"/>
  <c r="O1385" i="6"/>
  <c r="H1385" i="6"/>
  <c r="E1385" i="6"/>
  <c r="C1385" i="6"/>
  <c r="B1385" i="6"/>
  <c r="P1384" i="6"/>
  <c r="O1384" i="6"/>
  <c r="H1384" i="6"/>
  <c r="E1384" i="6"/>
  <c r="C1384" i="6"/>
  <c r="B1384" i="6"/>
  <c r="P1383" i="6"/>
  <c r="O1383" i="6"/>
  <c r="N1383" i="6"/>
  <c r="L1383" i="6"/>
  <c r="H1383" i="6"/>
  <c r="E1383" i="6"/>
  <c r="C1383" i="6"/>
  <c r="B1383" i="6"/>
  <c r="P1382" i="6"/>
  <c r="O1382" i="6"/>
  <c r="N1382" i="6"/>
  <c r="M1382" i="6"/>
  <c r="L1382" i="6"/>
  <c r="H1382" i="6"/>
  <c r="P1381" i="6"/>
  <c r="O1381" i="6"/>
  <c r="H1381" i="6"/>
  <c r="E1381" i="6"/>
  <c r="C1381" i="6"/>
  <c r="B1381" i="6"/>
  <c r="P1380" i="6"/>
  <c r="O1380" i="6"/>
  <c r="H1380" i="6"/>
  <c r="E1380" i="6"/>
  <c r="C1380" i="6"/>
  <c r="B1380" i="6"/>
  <c r="P1379" i="6"/>
  <c r="O1379" i="6"/>
  <c r="H1379" i="6"/>
  <c r="E1379" i="6"/>
  <c r="C1379" i="6"/>
  <c r="B1379" i="6"/>
  <c r="P1378" i="6"/>
  <c r="O1378" i="6"/>
  <c r="H1378" i="6"/>
  <c r="E1378" i="6"/>
  <c r="C1378" i="6"/>
  <c r="B1378" i="6"/>
  <c r="P1377" i="6"/>
  <c r="O1377" i="6"/>
  <c r="H1377" i="6"/>
  <c r="E1377" i="6"/>
  <c r="C1377" i="6"/>
  <c r="B1377" i="6"/>
  <c r="P1376" i="6"/>
  <c r="O1376" i="6"/>
  <c r="N1376" i="6"/>
  <c r="L1376" i="6"/>
  <c r="H1376" i="6"/>
  <c r="E1376" i="6"/>
  <c r="C1376" i="6"/>
  <c r="B1376" i="6"/>
  <c r="P1375" i="6"/>
  <c r="O1375" i="6"/>
  <c r="N1375" i="6"/>
  <c r="M1375" i="6"/>
  <c r="L1375" i="6"/>
  <c r="H1375" i="6"/>
  <c r="P1374" i="6"/>
  <c r="O1374" i="6"/>
  <c r="H1374" i="6"/>
  <c r="E1374" i="6"/>
  <c r="C1374" i="6"/>
  <c r="B1374" i="6"/>
  <c r="P1373" i="6"/>
  <c r="O1373" i="6"/>
  <c r="H1373" i="6"/>
  <c r="E1373" i="6"/>
  <c r="C1373" i="6"/>
  <c r="B1373" i="6"/>
  <c r="P1372" i="6"/>
  <c r="O1372" i="6"/>
  <c r="H1372" i="6"/>
  <c r="E1372" i="6"/>
  <c r="C1372" i="6"/>
  <c r="B1372" i="6"/>
  <c r="P1371" i="6"/>
  <c r="O1371" i="6"/>
  <c r="H1371" i="6"/>
  <c r="E1371" i="6"/>
  <c r="C1371" i="6"/>
  <c r="B1371" i="6"/>
  <c r="P1370" i="6"/>
  <c r="O1370" i="6"/>
  <c r="H1370" i="6"/>
  <c r="E1370" i="6"/>
  <c r="C1370" i="6"/>
  <c r="B1370" i="6"/>
  <c r="P1369" i="6"/>
  <c r="O1369" i="6"/>
  <c r="H1369" i="6"/>
  <c r="E1369" i="6"/>
  <c r="C1369" i="6"/>
  <c r="B1369" i="6"/>
  <c r="P1368" i="6"/>
  <c r="O1368" i="6"/>
  <c r="H1368" i="6"/>
  <c r="E1368" i="6"/>
  <c r="C1368" i="6"/>
  <c r="B1368" i="6"/>
  <c r="P1367" i="6"/>
  <c r="O1367" i="6"/>
  <c r="H1367" i="6"/>
  <c r="E1367" i="6"/>
  <c r="C1367" i="6"/>
  <c r="B1367" i="6"/>
  <c r="P1366" i="6"/>
  <c r="O1366" i="6"/>
  <c r="H1366" i="6"/>
  <c r="E1366" i="6"/>
  <c r="C1366" i="6"/>
  <c r="B1366" i="6"/>
  <c r="P1365" i="6"/>
  <c r="O1365" i="6"/>
  <c r="H1365" i="6"/>
  <c r="E1365" i="6"/>
  <c r="C1365" i="6"/>
  <c r="B1365" i="6"/>
  <c r="P1364" i="6"/>
  <c r="O1364" i="6"/>
  <c r="H1364" i="6"/>
  <c r="E1364" i="6"/>
  <c r="C1364" i="6"/>
  <c r="B1364" i="6"/>
  <c r="P1363" i="6"/>
  <c r="O1363" i="6"/>
  <c r="H1363" i="6"/>
  <c r="E1363" i="6"/>
  <c r="C1363" i="6"/>
  <c r="B1363" i="6"/>
  <c r="P1362" i="6"/>
  <c r="O1362" i="6"/>
  <c r="N1362" i="6"/>
  <c r="L1362" i="6"/>
  <c r="H1362" i="6"/>
  <c r="E1362" i="6"/>
  <c r="C1362" i="6"/>
  <c r="B1362" i="6"/>
  <c r="P1361" i="6"/>
  <c r="O1361" i="6"/>
  <c r="N1361" i="6"/>
  <c r="M1361" i="6"/>
  <c r="L1361" i="6"/>
  <c r="H1361" i="6"/>
  <c r="P1360" i="6"/>
  <c r="O1360" i="6"/>
  <c r="H1360" i="6"/>
  <c r="E1360" i="6"/>
  <c r="C1360" i="6"/>
  <c r="B1360" i="6"/>
  <c r="P1359" i="6"/>
  <c r="O1359" i="6"/>
  <c r="H1359" i="6"/>
  <c r="E1359" i="6"/>
  <c r="C1359" i="6"/>
  <c r="B1359" i="6"/>
  <c r="P1358" i="6"/>
  <c r="O1358" i="6"/>
  <c r="H1358" i="6"/>
  <c r="E1358" i="6"/>
  <c r="C1358" i="6"/>
  <c r="B1358" i="6"/>
  <c r="P1357" i="6"/>
  <c r="O1357" i="6"/>
  <c r="H1357" i="6"/>
  <c r="E1357" i="6"/>
  <c r="C1357" i="6"/>
  <c r="B1357" i="6"/>
  <c r="P1356" i="6"/>
  <c r="O1356" i="6"/>
  <c r="H1356" i="6"/>
  <c r="E1356" i="6"/>
  <c r="C1356" i="6"/>
  <c r="B1356" i="6"/>
  <c r="P1355" i="6"/>
  <c r="O1355" i="6"/>
  <c r="N1355" i="6"/>
  <c r="L1355" i="6"/>
  <c r="H1355" i="6"/>
  <c r="E1355" i="6"/>
  <c r="C1355" i="6"/>
  <c r="B1355" i="6"/>
  <c r="P1354" i="6"/>
  <c r="O1354" i="6"/>
  <c r="N1354" i="6"/>
  <c r="M1354" i="6"/>
  <c r="L1354" i="6"/>
  <c r="H1354" i="6"/>
  <c r="P1353" i="6"/>
  <c r="O1353" i="6"/>
  <c r="H1353" i="6"/>
  <c r="E1353" i="6"/>
  <c r="C1353" i="6"/>
  <c r="B1353" i="6"/>
  <c r="P1352" i="6"/>
  <c r="O1352" i="6"/>
  <c r="H1352" i="6"/>
  <c r="E1352" i="6"/>
  <c r="C1352" i="6"/>
  <c r="B1352" i="6"/>
  <c r="P1351" i="6"/>
  <c r="O1351" i="6"/>
  <c r="H1351" i="6"/>
  <c r="E1351" i="6"/>
  <c r="C1351" i="6"/>
  <c r="B1351" i="6"/>
  <c r="P1350" i="6"/>
  <c r="O1350" i="6"/>
  <c r="H1350" i="6"/>
  <c r="E1350" i="6"/>
  <c r="C1350" i="6"/>
  <c r="B1350" i="6"/>
  <c r="P1349" i="6"/>
  <c r="O1349" i="6"/>
  <c r="H1349" i="6"/>
  <c r="E1349" i="6"/>
  <c r="C1349" i="6"/>
  <c r="B1349" i="6"/>
  <c r="P1348" i="6"/>
  <c r="O1348" i="6"/>
  <c r="H1348" i="6"/>
  <c r="E1348" i="6"/>
  <c r="C1348" i="6"/>
  <c r="B1348" i="6"/>
  <c r="P1347" i="6"/>
  <c r="O1347" i="6"/>
  <c r="H1347" i="6"/>
  <c r="E1347" i="6"/>
  <c r="C1347" i="6"/>
  <c r="B1347" i="6"/>
  <c r="P1346" i="6"/>
  <c r="O1346" i="6"/>
  <c r="H1346" i="6"/>
  <c r="E1346" i="6"/>
  <c r="C1346" i="6"/>
  <c r="B1346" i="6"/>
  <c r="P1345" i="6"/>
  <c r="O1345" i="6"/>
  <c r="N1345" i="6"/>
  <c r="L1345" i="6"/>
  <c r="H1345" i="6"/>
  <c r="E1345" i="6"/>
  <c r="C1345" i="6"/>
  <c r="B1345" i="6"/>
  <c r="P1344" i="6"/>
  <c r="O1344" i="6"/>
  <c r="N1344" i="6"/>
  <c r="M1344" i="6"/>
  <c r="L1344" i="6"/>
  <c r="H1344" i="6"/>
  <c r="P1343" i="6"/>
  <c r="O1343" i="6"/>
  <c r="N1343" i="6"/>
  <c r="M1343" i="6"/>
  <c r="L1343" i="6"/>
  <c r="H1343" i="6"/>
  <c r="P1342" i="6"/>
  <c r="O1342" i="6"/>
  <c r="N1342" i="6"/>
  <c r="M1342" i="6"/>
  <c r="L1342" i="6"/>
  <c r="H1342" i="6"/>
  <c r="P1340" i="6"/>
  <c r="O1340" i="6"/>
  <c r="H1340" i="6"/>
  <c r="E1340" i="6"/>
  <c r="C1340" i="6"/>
  <c r="B1340" i="6"/>
  <c r="P1339" i="6"/>
  <c r="O1339" i="6"/>
  <c r="N1339" i="6"/>
  <c r="L1339" i="6"/>
  <c r="H1339" i="6"/>
  <c r="E1339" i="6"/>
  <c r="C1339" i="6"/>
  <c r="B1339" i="6"/>
  <c r="P1338" i="6"/>
  <c r="O1338" i="6"/>
  <c r="N1338" i="6"/>
  <c r="M1338" i="6"/>
  <c r="L1338" i="6"/>
  <c r="H1338" i="6"/>
  <c r="P1337" i="6"/>
  <c r="O1337" i="6"/>
  <c r="H1337" i="6"/>
  <c r="E1337" i="6"/>
  <c r="C1337" i="6"/>
  <c r="B1337" i="6"/>
  <c r="P1336" i="6"/>
  <c r="O1336" i="6"/>
  <c r="H1336" i="6"/>
  <c r="E1336" i="6"/>
  <c r="C1336" i="6"/>
  <c r="B1336" i="6"/>
  <c r="P1335" i="6"/>
  <c r="O1335" i="6"/>
  <c r="H1335" i="6"/>
  <c r="E1335" i="6"/>
  <c r="C1335" i="6"/>
  <c r="B1335" i="6"/>
  <c r="P1334" i="6"/>
  <c r="O1334" i="6"/>
  <c r="H1334" i="6"/>
  <c r="E1334" i="6"/>
  <c r="C1334" i="6"/>
  <c r="B1334" i="6"/>
  <c r="P1333" i="6"/>
  <c r="O1333" i="6"/>
  <c r="H1333" i="6"/>
  <c r="E1333" i="6"/>
  <c r="C1333" i="6"/>
  <c r="B1333" i="6"/>
  <c r="P1332" i="6"/>
  <c r="O1332" i="6"/>
  <c r="H1332" i="6"/>
  <c r="E1332" i="6"/>
  <c r="C1332" i="6"/>
  <c r="B1332" i="6"/>
  <c r="P1331" i="6"/>
  <c r="O1331" i="6"/>
  <c r="H1331" i="6"/>
  <c r="E1331" i="6"/>
  <c r="C1331" i="6"/>
  <c r="B1331" i="6"/>
  <c r="P1330" i="6"/>
  <c r="O1330" i="6"/>
  <c r="N1330" i="6"/>
  <c r="L1330" i="6"/>
  <c r="H1330" i="6"/>
  <c r="E1330" i="6"/>
  <c r="C1330" i="6"/>
  <c r="B1330" i="6"/>
  <c r="P1329" i="6"/>
  <c r="O1329" i="6"/>
  <c r="N1329" i="6"/>
  <c r="M1329" i="6"/>
  <c r="L1329" i="6"/>
  <c r="H1329" i="6"/>
  <c r="P1328" i="6"/>
  <c r="O1328" i="6"/>
  <c r="H1328" i="6"/>
  <c r="E1328" i="6"/>
  <c r="C1328" i="6"/>
  <c r="B1328" i="6"/>
  <c r="P1327" i="6"/>
  <c r="O1327" i="6"/>
  <c r="H1327" i="6"/>
  <c r="E1327" i="6"/>
  <c r="C1327" i="6"/>
  <c r="B1327" i="6"/>
  <c r="P1326" i="6"/>
  <c r="O1326" i="6"/>
  <c r="H1326" i="6"/>
  <c r="E1326" i="6"/>
  <c r="C1326" i="6"/>
  <c r="B1326" i="6"/>
  <c r="P1325" i="6"/>
  <c r="O1325" i="6"/>
  <c r="H1325" i="6"/>
  <c r="E1325" i="6"/>
  <c r="C1325" i="6"/>
  <c r="B1325" i="6"/>
  <c r="P1324" i="6"/>
  <c r="O1324" i="6"/>
  <c r="H1324" i="6"/>
  <c r="E1324" i="6"/>
  <c r="C1324" i="6"/>
  <c r="B1324" i="6"/>
  <c r="P1323" i="6"/>
  <c r="O1323" i="6"/>
  <c r="H1323" i="6"/>
  <c r="E1323" i="6"/>
  <c r="C1323" i="6"/>
  <c r="B1323" i="6"/>
  <c r="P1322" i="6"/>
  <c r="O1322" i="6"/>
  <c r="H1322" i="6"/>
  <c r="E1322" i="6"/>
  <c r="C1322" i="6"/>
  <c r="B1322" i="6"/>
  <c r="P1321" i="6"/>
  <c r="O1321" i="6"/>
  <c r="H1321" i="6"/>
  <c r="E1321" i="6"/>
  <c r="C1321" i="6"/>
  <c r="B1321" i="6"/>
  <c r="P1320" i="6"/>
  <c r="O1320" i="6"/>
  <c r="H1320" i="6"/>
  <c r="E1320" i="6"/>
  <c r="C1320" i="6"/>
  <c r="B1320" i="6"/>
  <c r="P1319" i="6"/>
  <c r="O1319" i="6"/>
  <c r="H1319" i="6"/>
  <c r="E1319" i="6"/>
  <c r="C1319" i="6"/>
  <c r="B1319" i="6"/>
  <c r="P1318" i="6"/>
  <c r="O1318" i="6"/>
  <c r="N1318" i="6"/>
  <c r="L1318" i="6"/>
  <c r="H1318" i="6"/>
  <c r="E1318" i="6"/>
  <c r="C1318" i="6"/>
  <c r="B1318" i="6"/>
  <c r="P1317" i="6"/>
  <c r="O1317" i="6"/>
  <c r="N1317" i="6"/>
  <c r="M1317" i="6"/>
  <c r="L1317" i="6"/>
  <c r="H1317" i="6"/>
  <c r="P1316" i="6"/>
  <c r="O1316" i="6"/>
  <c r="H1316" i="6"/>
  <c r="E1316" i="6"/>
  <c r="C1316" i="6"/>
  <c r="B1316" i="6"/>
  <c r="P1315" i="6"/>
  <c r="O1315" i="6"/>
  <c r="H1315" i="6"/>
  <c r="E1315" i="6"/>
  <c r="C1315" i="6"/>
  <c r="B1315" i="6"/>
  <c r="P1314" i="6"/>
  <c r="O1314" i="6"/>
  <c r="H1314" i="6"/>
  <c r="E1314" i="6"/>
  <c r="C1314" i="6"/>
  <c r="B1314" i="6"/>
  <c r="P1313" i="6"/>
  <c r="O1313" i="6"/>
  <c r="H1313" i="6"/>
  <c r="E1313" i="6"/>
  <c r="C1313" i="6"/>
  <c r="B1313" i="6"/>
  <c r="P1312" i="6"/>
  <c r="O1312" i="6"/>
  <c r="N1312" i="6"/>
  <c r="M1312" i="6"/>
  <c r="L1312" i="6"/>
  <c r="H1312" i="6"/>
  <c r="P1311" i="6"/>
  <c r="O1311" i="6"/>
  <c r="H1311" i="6"/>
  <c r="E1311" i="6"/>
  <c r="C1311" i="6"/>
  <c r="B1311" i="6"/>
  <c r="P1310" i="6"/>
  <c r="O1310" i="6"/>
  <c r="H1310" i="6"/>
  <c r="E1310" i="6"/>
  <c r="C1310" i="6"/>
  <c r="B1310" i="6"/>
  <c r="P1309" i="6"/>
  <c r="O1309" i="6"/>
  <c r="H1309" i="6"/>
  <c r="E1309" i="6"/>
  <c r="C1309" i="6"/>
  <c r="B1309" i="6"/>
  <c r="P1308" i="6"/>
  <c r="O1308" i="6"/>
  <c r="H1308" i="6"/>
  <c r="E1308" i="6"/>
  <c r="C1308" i="6"/>
  <c r="B1308" i="6"/>
  <c r="P1307" i="6"/>
  <c r="O1307" i="6"/>
  <c r="H1307" i="6"/>
  <c r="E1307" i="6"/>
  <c r="C1307" i="6"/>
  <c r="B1307" i="6"/>
  <c r="P1306" i="6"/>
  <c r="O1306" i="6"/>
  <c r="H1306" i="6"/>
  <c r="E1306" i="6"/>
  <c r="C1306" i="6"/>
  <c r="B1306" i="6"/>
  <c r="P1305" i="6"/>
  <c r="O1305" i="6"/>
  <c r="H1305" i="6"/>
  <c r="E1305" i="6"/>
  <c r="C1305" i="6"/>
  <c r="B1305" i="6"/>
  <c r="P1304" i="6"/>
  <c r="O1304" i="6"/>
  <c r="H1304" i="6"/>
  <c r="E1304" i="6"/>
  <c r="C1304" i="6"/>
  <c r="B1304" i="6"/>
  <c r="P1303" i="6"/>
  <c r="O1303" i="6"/>
  <c r="N1303" i="6"/>
  <c r="M1303" i="6"/>
  <c r="L1303" i="6"/>
  <c r="H1303" i="6"/>
  <c r="P1302" i="6"/>
  <c r="O1302" i="6"/>
  <c r="N1302" i="6"/>
  <c r="L1302" i="6"/>
  <c r="I1302" i="6"/>
  <c r="H1302" i="6"/>
  <c r="E1302" i="6"/>
  <c r="C1302" i="6"/>
  <c r="B1302" i="6"/>
  <c r="P1301" i="6"/>
  <c r="O1301" i="6"/>
  <c r="N1301" i="6"/>
  <c r="L1301" i="6"/>
  <c r="I1301" i="6"/>
  <c r="H1301" i="6"/>
  <c r="E1301" i="6"/>
  <c r="C1301" i="6"/>
  <c r="B1301" i="6"/>
  <c r="P1300" i="6"/>
  <c r="O1300" i="6"/>
  <c r="N1300" i="6"/>
  <c r="L1300" i="6"/>
  <c r="I1300" i="6"/>
  <c r="H1300" i="6"/>
  <c r="E1300" i="6"/>
  <c r="C1300" i="6"/>
  <c r="B1300" i="6"/>
  <c r="P1299" i="6"/>
  <c r="O1299" i="6"/>
  <c r="N1299" i="6"/>
  <c r="L1299" i="6"/>
  <c r="I1299" i="6"/>
  <c r="H1299" i="6"/>
  <c r="E1299" i="6"/>
  <c r="C1299" i="6"/>
  <c r="B1299" i="6"/>
  <c r="P1298" i="6"/>
  <c r="O1298" i="6"/>
  <c r="N1298" i="6"/>
  <c r="L1298" i="6"/>
  <c r="I1298" i="6"/>
  <c r="H1298" i="6"/>
  <c r="E1298" i="6"/>
  <c r="C1298" i="6"/>
  <c r="B1298" i="6"/>
  <c r="P1297" i="6"/>
  <c r="O1297" i="6"/>
  <c r="N1297" i="6"/>
  <c r="M1297" i="6"/>
  <c r="L1297" i="6"/>
  <c r="H1297" i="6"/>
  <c r="P1296" i="6"/>
  <c r="O1296" i="6"/>
  <c r="N1296" i="6"/>
  <c r="L1296" i="6"/>
  <c r="I1296" i="6"/>
  <c r="H1296" i="6"/>
  <c r="E1296" i="6"/>
  <c r="C1296" i="6"/>
  <c r="B1296" i="6"/>
  <c r="P1295" i="6"/>
  <c r="O1295" i="6"/>
  <c r="N1295" i="6"/>
  <c r="L1295" i="6"/>
  <c r="I1295" i="6"/>
  <c r="H1295" i="6"/>
  <c r="E1295" i="6"/>
  <c r="C1295" i="6"/>
  <c r="B1295" i="6"/>
  <c r="P1294" i="6"/>
  <c r="O1294" i="6"/>
  <c r="N1294" i="6"/>
  <c r="L1294" i="6"/>
  <c r="I1294" i="6"/>
  <c r="H1294" i="6"/>
  <c r="E1294" i="6"/>
  <c r="C1294" i="6"/>
  <c r="B1294" i="6"/>
  <c r="P1293" i="6"/>
  <c r="O1293" i="6"/>
  <c r="N1293" i="6"/>
  <c r="L1293" i="6"/>
  <c r="I1293" i="6"/>
  <c r="H1293" i="6"/>
  <c r="E1293" i="6"/>
  <c r="C1293" i="6"/>
  <c r="B1293" i="6"/>
  <c r="P1292" i="6"/>
  <c r="O1292" i="6"/>
  <c r="N1292" i="6"/>
  <c r="L1292" i="6"/>
  <c r="I1292" i="6"/>
  <c r="H1292" i="6"/>
  <c r="E1292" i="6"/>
  <c r="C1292" i="6"/>
  <c r="B1292" i="6"/>
  <c r="P1291" i="6"/>
  <c r="O1291" i="6"/>
  <c r="N1291" i="6"/>
  <c r="M1291" i="6"/>
  <c r="L1291" i="6"/>
  <c r="H1291" i="6"/>
  <c r="P1290" i="6"/>
  <c r="O1290" i="6"/>
  <c r="N1290" i="6"/>
  <c r="M1290" i="6"/>
  <c r="L1290" i="6"/>
  <c r="H1290" i="6"/>
  <c r="P1289" i="6"/>
  <c r="O1289" i="6"/>
  <c r="N1289" i="6"/>
  <c r="L1289" i="6"/>
  <c r="I1289" i="6"/>
  <c r="H1289" i="6"/>
  <c r="E1289" i="6"/>
  <c r="C1289" i="6"/>
  <c r="B1289" i="6"/>
  <c r="P1288" i="6"/>
  <c r="O1288" i="6"/>
  <c r="N1288" i="6"/>
  <c r="L1288" i="6"/>
  <c r="I1288" i="6"/>
  <c r="H1288" i="6"/>
  <c r="E1288" i="6"/>
  <c r="C1288" i="6"/>
  <c r="B1288" i="6"/>
  <c r="P1287" i="6"/>
  <c r="O1287" i="6"/>
  <c r="N1287" i="6"/>
  <c r="L1287" i="6"/>
  <c r="I1287" i="6"/>
  <c r="H1287" i="6"/>
  <c r="E1287" i="6"/>
  <c r="C1287" i="6"/>
  <c r="B1287" i="6"/>
  <c r="P1286" i="6"/>
  <c r="O1286" i="6"/>
  <c r="N1286" i="6"/>
  <c r="L1286" i="6"/>
  <c r="I1286" i="6"/>
  <c r="H1286" i="6"/>
  <c r="E1286" i="6"/>
  <c r="C1286" i="6"/>
  <c r="B1286" i="6"/>
  <c r="P1285" i="6"/>
  <c r="O1285" i="6"/>
  <c r="N1285" i="6"/>
  <c r="L1285" i="6"/>
  <c r="I1285" i="6"/>
  <c r="H1285" i="6"/>
  <c r="E1285" i="6"/>
  <c r="C1285" i="6"/>
  <c r="B1285" i="6"/>
  <c r="P1284" i="6"/>
  <c r="O1284" i="6"/>
  <c r="N1284" i="6"/>
  <c r="L1284" i="6"/>
  <c r="I1284" i="6"/>
  <c r="H1284" i="6"/>
  <c r="E1284" i="6"/>
  <c r="C1284" i="6"/>
  <c r="B1284" i="6"/>
  <c r="P1283" i="6"/>
  <c r="O1283" i="6"/>
  <c r="N1283" i="6"/>
  <c r="L1283" i="6"/>
  <c r="I1283" i="6"/>
  <c r="H1283" i="6"/>
  <c r="E1283" i="6"/>
  <c r="C1283" i="6"/>
  <c r="B1283" i="6"/>
  <c r="P1282" i="6"/>
  <c r="O1282" i="6"/>
  <c r="N1282" i="6"/>
  <c r="L1282" i="6"/>
  <c r="I1282" i="6"/>
  <c r="H1282" i="6"/>
  <c r="E1282" i="6"/>
  <c r="C1282" i="6"/>
  <c r="B1282" i="6"/>
  <c r="P1281" i="6"/>
  <c r="O1281" i="6"/>
  <c r="N1281" i="6"/>
  <c r="L1281" i="6"/>
  <c r="I1281" i="6"/>
  <c r="H1281" i="6"/>
  <c r="E1281" i="6"/>
  <c r="C1281" i="6"/>
  <c r="B1281" i="6"/>
  <c r="P1280" i="6"/>
  <c r="O1280" i="6"/>
  <c r="N1280" i="6"/>
  <c r="L1280" i="6"/>
  <c r="I1280" i="6"/>
  <c r="H1280" i="6"/>
  <c r="E1280" i="6"/>
  <c r="C1280" i="6"/>
  <c r="B1280" i="6"/>
  <c r="P1279" i="6"/>
  <c r="O1279" i="6"/>
  <c r="N1279" i="6"/>
  <c r="L1279" i="6"/>
  <c r="I1279" i="6"/>
  <c r="H1279" i="6"/>
  <c r="E1279" i="6"/>
  <c r="C1279" i="6"/>
  <c r="B1279" i="6"/>
  <c r="P1278" i="6"/>
  <c r="O1278" i="6"/>
  <c r="N1278" i="6"/>
  <c r="M1278" i="6"/>
  <c r="L1278" i="6"/>
  <c r="H1278" i="6"/>
  <c r="P1277" i="6"/>
  <c r="O1277" i="6"/>
  <c r="N1277" i="6"/>
  <c r="L1277" i="6"/>
  <c r="I1277" i="6"/>
  <c r="H1277" i="6"/>
  <c r="E1277" i="6"/>
  <c r="C1277" i="6"/>
  <c r="B1277" i="6"/>
  <c r="P1276" i="6"/>
  <c r="O1276" i="6"/>
  <c r="N1276" i="6"/>
  <c r="L1276" i="6"/>
  <c r="I1276" i="6"/>
  <c r="H1276" i="6"/>
  <c r="E1276" i="6"/>
  <c r="C1276" i="6"/>
  <c r="B1276" i="6"/>
  <c r="P1275" i="6"/>
  <c r="O1275" i="6"/>
  <c r="N1275" i="6"/>
  <c r="L1275" i="6"/>
  <c r="I1275" i="6"/>
  <c r="H1275" i="6"/>
  <c r="E1275" i="6"/>
  <c r="C1275" i="6"/>
  <c r="B1275" i="6"/>
  <c r="P1274" i="6"/>
  <c r="O1274" i="6"/>
  <c r="N1274" i="6"/>
  <c r="L1274" i="6"/>
  <c r="I1274" i="6"/>
  <c r="H1274" i="6"/>
  <c r="E1274" i="6"/>
  <c r="C1274" i="6"/>
  <c r="B1274" i="6"/>
  <c r="P1273" i="6"/>
  <c r="O1273" i="6"/>
  <c r="N1273" i="6"/>
  <c r="L1273" i="6"/>
  <c r="I1273" i="6"/>
  <c r="H1273" i="6"/>
  <c r="E1273" i="6"/>
  <c r="C1273" i="6"/>
  <c r="B1273" i="6"/>
  <c r="P1272" i="6"/>
  <c r="O1272" i="6"/>
  <c r="N1272" i="6"/>
  <c r="L1272" i="6"/>
  <c r="I1272" i="6"/>
  <c r="H1272" i="6"/>
  <c r="E1272" i="6"/>
  <c r="C1272" i="6"/>
  <c r="B1272" i="6"/>
  <c r="P1271" i="6"/>
  <c r="O1271" i="6"/>
  <c r="N1271" i="6"/>
  <c r="L1271" i="6"/>
  <c r="I1271" i="6"/>
  <c r="H1271" i="6"/>
  <c r="E1271" i="6"/>
  <c r="C1271" i="6"/>
  <c r="B1271" i="6"/>
  <c r="P1270" i="6"/>
  <c r="O1270" i="6"/>
  <c r="N1270" i="6"/>
  <c r="L1270" i="6"/>
  <c r="I1270" i="6"/>
  <c r="H1270" i="6"/>
  <c r="E1270" i="6"/>
  <c r="C1270" i="6"/>
  <c r="B1270" i="6"/>
  <c r="P1269" i="6"/>
  <c r="O1269" i="6"/>
  <c r="N1269" i="6"/>
  <c r="L1269" i="6"/>
  <c r="I1269" i="6"/>
  <c r="H1269" i="6"/>
  <c r="E1269" i="6"/>
  <c r="C1269" i="6"/>
  <c r="B1269" i="6"/>
  <c r="P1268" i="6"/>
  <c r="O1268" i="6"/>
  <c r="N1268" i="6"/>
  <c r="L1268" i="6"/>
  <c r="I1268" i="6"/>
  <c r="H1268" i="6"/>
  <c r="E1268" i="6"/>
  <c r="C1268" i="6"/>
  <c r="B1268" i="6"/>
  <c r="P1267" i="6"/>
  <c r="O1267" i="6"/>
  <c r="N1267" i="6"/>
  <c r="L1267" i="6"/>
  <c r="I1267" i="6"/>
  <c r="H1267" i="6"/>
  <c r="E1267" i="6"/>
  <c r="C1267" i="6"/>
  <c r="B1267" i="6"/>
  <c r="P1266" i="6"/>
  <c r="O1266" i="6"/>
  <c r="N1266" i="6"/>
  <c r="L1266" i="6"/>
  <c r="I1266" i="6"/>
  <c r="H1266" i="6"/>
  <c r="E1266" i="6"/>
  <c r="C1266" i="6"/>
  <c r="B1266" i="6"/>
  <c r="P1265" i="6"/>
  <c r="O1265" i="6"/>
  <c r="N1265" i="6"/>
  <c r="L1265" i="6"/>
  <c r="I1265" i="6"/>
  <c r="H1265" i="6"/>
  <c r="E1265" i="6"/>
  <c r="C1265" i="6"/>
  <c r="B1265" i="6"/>
  <c r="P1264" i="6"/>
  <c r="O1264" i="6"/>
  <c r="N1264" i="6"/>
  <c r="L1264" i="6"/>
  <c r="I1264" i="6"/>
  <c r="H1264" i="6"/>
  <c r="E1264" i="6"/>
  <c r="C1264" i="6"/>
  <c r="B1264" i="6"/>
  <c r="P1263" i="6"/>
  <c r="O1263" i="6"/>
  <c r="N1263" i="6"/>
  <c r="L1263" i="6"/>
  <c r="I1263" i="6"/>
  <c r="H1263" i="6"/>
  <c r="E1263" i="6"/>
  <c r="C1263" i="6"/>
  <c r="B1263" i="6"/>
  <c r="P1262" i="6"/>
  <c r="O1262" i="6"/>
  <c r="N1262" i="6"/>
  <c r="L1262" i="6"/>
  <c r="I1262" i="6"/>
  <c r="H1262" i="6"/>
  <c r="E1262" i="6"/>
  <c r="C1262" i="6"/>
  <c r="B1262" i="6"/>
  <c r="P1261" i="6"/>
  <c r="O1261" i="6"/>
  <c r="N1261" i="6"/>
  <c r="L1261" i="6"/>
  <c r="I1261" i="6"/>
  <c r="H1261" i="6"/>
  <c r="E1261" i="6"/>
  <c r="C1261" i="6"/>
  <c r="B1261" i="6"/>
  <c r="P1260" i="6"/>
  <c r="O1260" i="6"/>
  <c r="N1260" i="6"/>
  <c r="L1260" i="6"/>
  <c r="I1260" i="6"/>
  <c r="H1260" i="6"/>
  <c r="E1260" i="6"/>
  <c r="C1260" i="6"/>
  <c r="B1260" i="6"/>
  <c r="P1259" i="6"/>
  <c r="O1259" i="6"/>
  <c r="N1259" i="6"/>
  <c r="L1259" i="6"/>
  <c r="I1259" i="6"/>
  <c r="H1259" i="6"/>
  <c r="E1259" i="6"/>
  <c r="C1259" i="6"/>
  <c r="B1259" i="6"/>
  <c r="P1258" i="6"/>
  <c r="O1258" i="6"/>
  <c r="N1258" i="6"/>
  <c r="L1258" i="6"/>
  <c r="I1258" i="6"/>
  <c r="H1258" i="6"/>
  <c r="E1258" i="6"/>
  <c r="C1258" i="6"/>
  <c r="B1258" i="6"/>
  <c r="P1257" i="6"/>
  <c r="O1257" i="6"/>
  <c r="N1257" i="6"/>
  <c r="L1257" i="6"/>
  <c r="I1257" i="6"/>
  <c r="H1257" i="6"/>
  <c r="E1257" i="6"/>
  <c r="C1257" i="6"/>
  <c r="B1257" i="6"/>
  <c r="P1256" i="6"/>
  <c r="O1256" i="6"/>
  <c r="N1256" i="6"/>
  <c r="L1256" i="6"/>
  <c r="I1256" i="6"/>
  <c r="H1256" i="6"/>
  <c r="E1256" i="6"/>
  <c r="C1256" i="6"/>
  <c r="B1256" i="6"/>
  <c r="P1255" i="6"/>
  <c r="O1255" i="6"/>
  <c r="N1255" i="6"/>
  <c r="L1255" i="6"/>
  <c r="I1255" i="6"/>
  <c r="H1255" i="6"/>
  <c r="E1255" i="6"/>
  <c r="C1255" i="6"/>
  <c r="B1255" i="6"/>
  <c r="P1254" i="6"/>
  <c r="O1254" i="6"/>
  <c r="N1254" i="6"/>
  <c r="L1254" i="6"/>
  <c r="I1254" i="6"/>
  <c r="H1254" i="6"/>
  <c r="E1254" i="6"/>
  <c r="C1254" i="6"/>
  <c r="B1254" i="6"/>
  <c r="P1253" i="6"/>
  <c r="O1253" i="6"/>
  <c r="N1253" i="6"/>
  <c r="L1253" i="6"/>
  <c r="I1253" i="6"/>
  <c r="H1253" i="6"/>
  <c r="E1253" i="6"/>
  <c r="C1253" i="6"/>
  <c r="B1253" i="6"/>
  <c r="P1252" i="6"/>
  <c r="O1252" i="6"/>
  <c r="N1252" i="6"/>
  <c r="L1252" i="6"/>
  <c r="I1252" i="6"/>
  <c r="H1252" i="6"/>
  <c r="E1252" i="6"/>
  <c r="C1252" i="6"/>
  <c r="B1252" i="6"/>
  <c r="P1251" i="6"/>
  <c r="O1251" i="6"/>
  <c r="N1251" i="6"/>
  <c r="L1251" i="6"/>
  <c r="I1251" i="6"/>
  <c r="H1251" i="6"/>
  <c r="E1251" i="6"/>
  <c r="C1251" i="6"/>
  <c r="B1251" i="6"/>
  <c r="P1250" i="6"/>
  <c r="O1250" i="6"/>
  <c r="N1250" i="6"/>
  <c r="L1250" i="6"/>
  <c r="I1250" i="6"/>
  <c r="H1250" i="6"/>
  <c r="E1250" i="6"/>
  <c r="C1250" i="6"/>
  <c r="B1250" i="6"/>
  <c r="P1249" i="6"/>
  <c r="O1249" i="6"/>
  <c r="N1249" i="6"/>
  <c r="L1249" i="6"/>
  <c r="I1249" i="6"/>
  <c r="H1249" i="6"/>
  <c r="E1249" i="6"/>
  <c r="C1249" i="6"/>
  <c r="B1249" i="6"/>
  <c r="P1248" i="6"/>
  <c r="O1248" i="6"/>
  <c r="N1248" i="6"/>
  <c r="L1248" i="6"/>
  <c r="I1248" i="6"/>
  <c r="H1248" i="6"/>
  <c r="E1248" i="6"/>
  <c r="C1248" i="6"/>
  <c r="B1248" i="6"/>
  <c r="P1247" i="6"/>
  <c r="O1247" i="6"/>
  <c r="N1247" i="6"/>
  <c r="L1247" i="6"/>
  <c r="I1247" i="6"/>
  <c r="H1247" i="6"/>
  <c r="E1247" i="6"/>
  <c r="C1247" i="6"/>
  <c r="B1247" i="6"/>
  <c r="P1246" i="6"/>
  <c r="O1246" i="6"/>
  <c r="N1246" i="6"/>
  <c r="L1246" i="6"/>
  <c r="I1246" i="6"/>
  <c r="H1246" i="6"/>
  <c r="E1246" i="6"/>
  <c r="C1246" i="6"/>
  <c r="B1246" i="6"/>
  <c r="P1245" i="6"/>
  <c r="O1245" i="6"/>
  <c r="N1245" i="6"/>
  <c r="L1245" i="6"/>
  <c r="I1245" i="6"/>
  <c r="H1245" i="6"/>
  <c r="E1245" i="6"/>
  <c r="C1245" i="6"/>
  <c r="B1245" i="6"/>
  <c r="P1244" i="6"/>
  <c r="O1244" i="6"/>
  <c r="N1244" i="6"/>
  <c r="L1244" i="6"/>
  <c r="I1244" i="6"/>
  <c r="H1244" i="6"/>
  <c r="E1244" i="6"/>
  <c r="C1244" i="6"/>
  <c r="B1244" i="6"/>
  <c r="P1243" i="6"/>
  <c r="O1243" i="6"/>
  <c r="N1243" i="6"/>
  <c r="L1243" i="6"/>
  <c r="I1243" i="6"/>
  <c r="H1243" i="6"/>
  <c r="E1243" i="6"/>
  <c r="C1243" i="6"/>
  <c r="B1243" i="6"/>
  <c r="P1242" i="6"/>
  <c r="O1242" i="6"/>
  <c r="N1242" i="6"/>
  <c r="L1242" i="6"/>
  <c r="I1242" i="6"/>
  <c r="H1242" i="6"/>
  <c r="E1242" i="6"/>
  <c r="C1242" i="6"/>
  <c r="B1242" i="6"/>
  <c r="P1241" i="6"/>
  <c r="O1241" i="6"/>
  <c r="N1241" i="6"/>
  <c r="L1241" i="6"/>
  <c r="I1241" i="6"/>
  <c r="H1241" i="6"/>
  <c r="E1241" i="6"/>
  <c r="C1241" i="6"/>
  <c r="B1241" i="6"/>
  <c r="P1240" i="6"/>
  <c r="O1240" i="6"/>
  <c r="N1240" i="6"/>
  <c r="L1240" i="6"/>
  <c r="I1240" i="6"/>
  <c r="H1240" i="6"/>
  <c r="E1240" i="6"/>
  <c r="C1240" i="6"/>
  <c r="B1240" i="6"/>
  <c r="P1239" i="6"/>
  <c r="O1239" i="6"/>
  <c r="N1239" i="6"/>
  <c r="L1239" i="6"/>
  <c r="I1239" i="6"/>
  <c r="H1239" i="6"/>
  <c r="E1239" i="6"/>
  <c r="C1239" i="6"/>
  <c r="B1239" i="6"/>
  <c r="P1238" i="6"/>
  <c r="O1238" i="6"/>
  <c r="N1238" i="6"/>
  <c r="L1238" i="6"/>
  <c r="I1238" i="6"/>
  <c r="H1238" i="6"/>
  <c r="E1238" i="6"/>
  <c r="C1238" i="6"/>
  <c r="B1238" i="6"/>
  <c r="P1237" i="6"/>
  <c r="O1237" i="6"/>
  <c r="N1237" i="6"/>
  <c r="M1237" i="6"/>
  <c r="L1237" i="6"/>
  <c r="H1237" i="6"/>
  <c r="P1236" i="6"/>
  <c r="O1236" i="6"/>
  <c r="N1236" i="6"/>
  <c r="L1236" i="6"/>
  <c r="I1236" i="6"/>
  <c r="H1236" i="6"/>
  <c r="E1236" i="6"/>
  <c r="C1236" i="6"/>
  <c r="B1236" i="6"/>
  <c r="P1235" i="6"/>
  <c r="O1235" i="6"/>
  <c r="N1235" i="6"/>
  <c r="L1235" i="6"/>
  <c r="I1235" i="6"/>
  <c r="H1235" i="6"/>
  <c r="E1235" i="6"/>
  <c r="C1235" i="6"/>
  <c r="B1235" i="6"/>
  <c r="P1234" i="6"/>
  <c r="O1234" i="6"/>
  <c r="N1234" i="6"/>
  <c r="L1234" i="6"/>
  <c r="I1234" i="6"/>
  <c r="H1234" i="6"/>
  <c r="E1234" i="6"/>
  <c r="C1234" i="6"/>
  <c r="B1234" i="6"/>
  <c r="P1233" i="6"/>
  <c r="O1233" i="6"/>
  <c r="N1233" i="6"/>
  <c r="L1233" i="6"/>
  <c r="I1233" i="6"/>
  <c r="H1233" i="6"/>
  <c r="E1233" i="6"/>
  <c r="C1233" i="6"/>
  <c r="B1233" i="6"/>
  <c r="P1232" i="6"/>
  <c r="O1232" i="6"/>
  <c r="N1232" i="6"/>
  <c r="L1232" i="6"/>
  <c r="I1232" i="6"/>
  <c r="H1232" i="6"/>
  <c r="E1232" i="6"/>
  <c r="C1232" i="6"/>
  <c r="B1232" i="6"/>
  <c r="P1231" i="6"/>
  <c r="O1231" i="6"/>
  <c r="N1231" i="6"/>
  <c r="L1231" i="6"/>
  <c r="I1231" i="6"/>
  <c r="H1231" i="6"/>
  <c r="E1231" i="6"/>
  <c r="C1231" i="6"/>
  <c r="B1231" i="6"/>
  <c r="P1230" i="6"/>
  <c r="O1230" i="6"/>
  <c r="N1230" i="6"/>
  <c r="L1230" i="6"/>
  <c r="I1230" i="6"/>
  <c r="H1230" i="6"/>
  <c r="E1230" i="6"/>
  <c r="C1230" i="6"/>
  <c r="B1230" i="6"/>
  <c r="P1229" i="6"/>
  <c r="O1229" i="6"/>
  <c r="N1229" i="6"/>
  <c r="L1229" i="6"/>
  <c r="I1229" i="6"/>
  <c r="H1229" i="6"/>
  <c r="E1229" i="6"/>
  <c r="C1229" i="6"/>
  <c r="B1229" i="6"/>
  <c r="P1228" i="6"/>
  <c r="O1228" i="6"/>
  <c r="N1228" i="6"/>
  <c r="L1228" i="6"/>
  <c r="I1228" i="6"/>
  <c r="H1228" i="6"/>
  <c r="E1228" i="6"/>
  <c r="C1228" i="6"/>
  <c r="B1228" i="6"/>
  <c r="P1227" i="6"/>
  <c r="O1227" i="6"/>
  <c r="N1227" i="6"/>
  <c r="L1227" i="6"/>
  <c r="I1227" i="6"/>
  <c r="H1227" i="6"/>
  <c r="E1227" i="6"/>
  <c r="C1227" i="6"/>
  <c r="B1227" i="6"/>
  <c r="P1226" i="6"/>
  <c r="O1226" i="6"/>
  <c r="N1226" i="6"/>
  <c r="L1226" i="6"/>
  <c r="I1226" i="6"/>
  <c r="H1226" i="6"/>
  <c r="E1226" i="6"/>
  <c r="C1226" i="6"/>
  <c r="B1226" i="6"/>
  <c r="P1225" i="6"/>
  <c r="O1225" i="6"/>
  <c r="N1225" i="6"/>
  <c r="L1225" i="6"/>
  <c r="I1225" i="6"/>
  <c r="H1225" i="6"/>
  <c r="E1225" i="6"/>
  <c r="C1225" i="6"/>
  <c r="B1225" i="6"/>
  <c r="P1224" i="6"/>
  <c r="O1224" i="6"/>
  <c r="N1224" i="6"/>
  <c r="L1224" i="6"/>
  <c r="I1224" i="6"/>
  <c r="H1224" i="6"/>
  <c r="E1224" i="6"/>
  <c r="C1224" i="6"/>
  <c r="B1224" i="6"/>
  <c r="P1223" i="6"/>
  <c r="O1223" i="6"/>
  <c r="N1223" i="6"/>
  <c r="L1223" i="6"/>
  <c r="I1223" i="6"/>
  <c r="H1223" i="6"/>
  <c r="E1223" i="6"/>
  <c r="C1223" i="6"/>
  <c r="B1223" i="6"/>
  <c r="P1222" i="6"/>
  <c r="O1222" i="6"/>
  <c r="N1222" i="6"/>
  <c r="L1222" i="6"/>
  <c r="I1222" i="6"/>
  <c r="H1222" i="6"/>
  <c r="E1222" i="6"/>
  <c r="C1222" i="6"/>
  <c r="B1222" i="6"/>
  <c r="P1221" i="6"/>
  <c r="O1221" i="6"/>
  <c r="N1221" i="6"/>
  <c r="L1221" i="6"/>
  <c r="I1221" i="6"/>
  <c r="H1221" i="6"/>
  <c r="E1221" i="6"/>
  <c r="C1221" i="6"/>
  <c r="B1221" i="6"/>
  <c r="P1220" i="6"/>
  <c r="O1220" i="6"/>
  <c r="N1220" i="6"/>
  <c r="L1220" i="6"/>
  <c r="I1220" i="6"/>
  <c r="H1220" i="6"/>
  <c r="E1220" i="6"/>
  <c r="C1220" i="6"/>
  <c r="B1220" i="6"/>
  <c r="P1219" i="6"/>
  <c r="O1219" i="6"/>
  <c r="N1219" i="6"/>
  <c r="L1219" i="6"/>
  <c r="I1219" i="6"/>
  <c r="H1219" i="6"/>
  <c r="E1219" i="6"/>
  <c r="C1219" i="6"/>
  <c r="B1219" i="6"/>
  <c r="P1218" i="6"/>
  <c r="O1218" i="6"/>
  <c r="N1218" i="6"/>
  <c r="L1218" i="6"/>
  <c r="I1218" i="6"/>
  <c r="H1218" i="6"/>
  <c r="E1218" i="6"/>
  <c r="C1218" i="6"/>
  <c r="B1218" i="6"/>
  <c r="P1217" i="6"/>
  <c r="O1217" i="6"/>
  <c r="N1217" i="6"/>
  <c r="L1217" i="6"/>
  <c r="I1217" i="6"/>
  <c r="H1217" i="6"/>
  <c r="E1217" i="6"/>
  <c r="C1217" i="6"/>
  <c r="B1217" i="6"/>
  <c r="P1216" i="6"/>
  <c r="O1216" i="6"/>
  <c r="N1216" i="6"/>
  <c r="L1216" i="6"/>
  <c r="I1216" i="6"/>
  <c r="H1216" i="6"/>
  <c r="E1216" i="6"/>
  <c r="C1216" i="6"/>
  <c r="B1216" i="6"/>
  <c r="P1215" i="6"/>
  <c r="O1215" i="6"/>
  <c r="N1215" i="6"/>
  <c r="L1215" i="6"/>
  <c r="I1215" i="6"/>
  <c r="H1215" i="6"/>
  <c r="E1215" i="6"/>
  <c r="C1215" i="6"/>
  <c r="B1215" i="6"/>
  <c r="P1214" i="6"/>
  <c r="O1214" i="6"/>
  <c r="N1214" i="6"/>
  <c r="L1214" i="6"/>
  <c r="I1214" i="6"/>
  <c r="H1214" i="6"/>
  <c r="E1214" i="6"/>
  <c r="C1214" i="6"/>
  <c r="B1214" i="6"/>
  <c r="P1213" i="6"/>
  <c r="O1213" i="6"/>
  <c r="N1213" i="6"/>
  <c r="L1213" i="6"/>
  <c r="I1213" i="6"/>
  <c r="H1213" i="6"/>
  <c r="E1213" i="6"/>
  <c r="C1213" i="6"/>
  <c r="B1213" i="6"/>
  <c r="P1212" i="6"/>
  <c r="O1212" i="6"/>
  <c r="N1212" i="6"/>
  <c r="L1212" i="6"/>
  <c r="I1212" i="6"/>
  <c r="H1212" i="6"/>
  <c r="E1212" i="6"/>
  <c r="C1212" i="6"/>
  <c r="B1212" i="6"/>
  <c r="P1211" i="6"/>
  <c r="O1211" i="6"/>
  <c r="N1211" i="6"/>
  <c r="L1211" i="6"/>
  <c r="I1211" i="6"/>
  <c r="H1211" i="6"/>
  <c r="E1211" i="6"/>
  <c r="C1211" i="6"/>
  <c r="B1211" i="6"/>
  <c r="P1210" i="6"/>
  <c r="O1210" i="6"/>
  <c r="N1210" i="6"/>
  <c r="L1210" i="6"/>
  <c r="I1210" i="6"/>
  <c r="H1210" i="6"/>
  <c r="E1210" i="6"/>
  <c r="C1210" i="6"/>
  <c r="B1210" i="6"/>
  <c r="P1209" i="6"/>
  <c r="O1209" i="6"/>
  <c r="N1209" i="6"/>
  <c r="L1209" i="6"/>
  <c r="I1209" i="6"/>
  <c r="H1209" i="6"/>
  <c r="E1209" i="6"/>
  <c r="C1209" i="6"/>
  <c r="B1209" i="6"/>
  <c r="P1208" i="6"/>
  <c r="O1208" i="6"/>
  <c r="N1208" i="6"/>
  <c r="L1208" i="6"/>
  <c r="I1208" i="6"/>
  <c r="H1208" i="6"/>
  <c r="E1208" i="6"/>
  <c r="C1208" i="6"/>
  <c r="B1208" i="6"/>
  <c r="P1207" i="6"/>
  <c r="O1207" i="6"/>
  <c r="N1207" i="6"/>
  <c r="L1207" i="6"/>
  <c r="I1207" i="6"/>
  <c r="H1207" i="6"/>
  <c r="E1207" i="6"/>
  <c r="C1207" i="6"/>
  <c r="B1207" i="6"/>
  <c r="P1206" i="6"/>
  <c r="O1206" i="6"/>
  <c r="N1206" i="6"/>
  <c r="L1206" i="6"/>
  <c r="I1206" i="6"/>
  <c r="H1206" i="6"/>
  <c r="E1206" i="6"/>
  <c r="C1206" i="6"/>
  <c r="B1206" i="6"/>
  <c r="P1205" i="6"/>
  <c r="O1205" i="6"/>
  <c r="N1205" i="6"/>
  <c r="L1205" i="6"/>
  <c r="I1205" i="6"/>
  <c r="H1205" i="6"/>
  <c r="E1205" i="6"/>
  <c r="C1205" i="6"/>
  <c r="B1205" i="6"/>
  <c r="P1204" i="6"/>
  <c r="O1204" i="6"/>
  <c r="N1204" i="6"/>
  <c r="L1204" i="6"/>
  <c r="I1204" i="6"/>
  <c r="H1204" i="6"/>
  <c r="E1204" i="6"/>
  <c r="C1204" i="6"/>
  <c r="B1204" i="6"/>
  <c r="P1203" i="6"/>
  <c r="O1203" i="6"/>
  <c r="N1203" i="6"/>
  <c r="L1203" i="6"/>
  <c r="I1203" i="6"/>
  <c r="H1203" i="6"/>
  <c r="E1203" i="6"/>
  <c r="C1203" i="6"/>
  <c r="B1203" i="6"/>
  <c r="P1202" i="6"/>
  <c r="O1202" i="6"/>
  <c r="N1202" i="6"/>
  <c r="L1202" i="6"/>
  <c r="I1202" i="6"/>
  <c r="H1202" i="6"/>
  <c r="E1202" i="6"/>
  <c r="C1202" i="6"/>
  <c r="B1202" i="6"/>
  <c r="P1201" i="6"/>
  <c r="O1201" i="6"/>
  <c r="N1201" i="6"/>
  <c r="L1201" i="6"/>
  <c r="I1201" i="6"/>
  <c r="H1201" i="6"/>
  <c r="E1201" i="6"/>
  <c r="C1201" i="6"/>
  <c r="B1201" i="6"/>
  <c r="P1200" i="6"/>
  <c r="O1200" i="6"/>
  <c r="N1200" i="6"/>
  <c r="L1200" i="6"/>
  <c r="I1200" i="6"/>
  <c r="H1200" i="6"/>
  <c r="E1200" i="6"/>
  <c r="C1200" i="6"/>
  <c r="B1200" i="6"/>
  <c r="P1199" i="6"/>
  <c r="O1199" i="6"/>
  <c r="N1199" i="6"/>
  <c r="L1199" i="6"/>
  <c r="I1199" i="6"/>
  <c r="H1199" i="6"/>
  <c r="E1199" i="6"/>
  <c r="C1199" i="6"/>
  <c r="B1199" i="6"/>
  <c r="P1198" i="6"/>
  <c r="O1198" i="6"/>
  <c r="N1198" i="6"/>
  <c r="L1198" i="6"/>
  <c r="I1198" i="6"/>
  <c r="H1198" i="6"/>
  <c r="E1198" i="6"/>
  <c r="C1198" i="6"/>
  <c r="B1198" i="6"/>
  <c r="P1197" i="6"/>
  <c r="O1197" i="6"/>
  <c r="N1197" i="6"/>
  <c r="L1197" i="6"/>
  <c r="I1197" i="6"/>
  <c r="H1197" i="6"/>
  <c r="E1197" i="6"/>
  <c r="C1197" i="6"/>
  <c r="B1197" i="6"/>
  <c r="P1196" i="6"/>
  <c r="O1196" i="6"/>
  <c r="N1196" i="6"/>
  <c r="L1196" i="6"/>
  <c r="I1196" i="6"/>
  <c r="H1196" i="6"/>
  <c r="E1196" i="6"/>
  <c r="C1196" i="6"/>
  <c r="B1196" i="6"/>
  <c r="P1195" i="6"/>
  <c r="O1195" i="6"/>
  <c r="N1195" i="6"/>
  <c r="M1195" i="6"/>
  <c r="L1195" i="6"/>
  <c r="H1195" i="6"/>
  <c r="P1194" i="6"/>
  <c r="O1194" i="6"/>
  <c r="N1194" i="6"/>
  <c r="M1194" i="6"/>
  <c r="L1194" i="6"/>
  <c r="H1194" i="6"/>
  <c r="P1193" i="6"/>
  <c r="O1193" i="6"/>
  <c r="H1193" i="6"/>
  <c r="E1193" i="6"/>
  <c r="C1193" i="6"/>
  <c r="B1193" i="6"/>
  <c r="P1192" i="6"/>
  <c r="O1192" i="6"/>
  <c r="H1192" i="6"/>
  <c r="E1192" i="6"/>
  <c r="C1192" i="6"/>
  <c r="B1192" i="6"/>
  <c r="P1191" i="6"/>
  <c r="O1191" i="6"/>
  <c r="H1191" i="6"/>
  <c r="E1191" i="6"/>
  <c r="C1191" i="6"/>
  <c r="B1191" i="6"/>
  <c r="P1190" i="6"/>
  <c r="O1190" i="6"/>
  <c r="H1190" i="6"/>
  <c r="E1190" i="6"/>
  <c r="C1190" i="6"/>
  <c r="B1190" i="6"/>
  <c r="P1189" i="6"/>
  <c r="O1189" i="6"/>
  <c r="H1189" i="6"/>
  <c r="E1189" i="6"/>
  <c r="C1189" i="6"/>
  <c r="B1189" i="6"/>
  <c r="P1188" i="6"/>
  <c r="O1188" i="6"/>
  <c r="H1188" i="6"/>
  <c r="E1188" i="6"/>
  <c r="C1188" i="6"/>
  <c r="B1188" i="6"/>
  <c r="P1187" i="6"/>
  <c r="O1187" i="6"/>
  <c r="N1187" i="6"/>
  <c r="M1187" i="6"/>
  <c r="L1187" i="6"/>
  <c r="H1187" i="6"/>
  <c r="P1186" i="6"/>
  <c r="O1186" i="6"/>
  <c r="H1186" i="6"/>
  <c r="E1186" i="6"/>
  <c r="C1186" i="6"/>
  <c r="B1186" i="6"/>
  <c r="P1185" i="6"/>
  <c r="O1185" i="6"/>
  <c r="H1185" i="6"/>
  <c r="E1185" i="6"/>
  <c r="C1185" i="6"/>
  <c r="B1185" i="6"/>
  <c r="P1184" i="6"/>
  <c r="O1184" i="6"/>
  <c r="H1184" i="6"/>
  <c r="E1184" i="6"/>
  <c r="C1184" i="6"/>
  <c r="B1184" i="6"/>
  <c r="P1183" i="6"/>
  <c r="O1183" i="6"/>
  <c r="H1183" i="6"/>
  <c r="E1183" i="6"/>
  <c r="C1183" i="6"/>
  <c r="B1183" i="6"/>
  <c r="P1182" i="6"/>
  <c r="O1182" i="6"/>
  <c r="H1182" i="6"/>
  <c r="E1182" i="6"/>
  <c r="C1182" i="6"/>
  <c r="B1182" i="6"/>
  <c r="P1181" i="6"/>
  <c r="O1181" i="6"/>
  <c r="H1181" i="6"/>
  <c r="E1181" i="6"/>
  <c r="C1181" i="6"/>
  <c r="B1181" i="6"/>
  <c r="P1180" i="6"/>
  <c r="O1180" i="6"/>
  <c r="H1180" i="6"/>
  <c r="E1180" i="6"/>
  <c r="C1180" i="6"/>
  <c r="B1180" i="6"/>
  <c r="P1179" i="6"/>
  <c r="O1179" i="6"/>
  <c r="H1179" i="6"/>
  <c r="E1179" i="6"/>
  <c r="C1179" i="6"/>
  <c r="B1179" i="6"/>
  <c r="P1178" i="6"/>
  <c r="O1178" i="6"/>
  <c r="H1178" i="6"/>
  <c r="E1178" i="6"/>
  <c r="C1178" i="6"/>
  <c r="B1178" i="6"/>
  <c r="P1177" i="6"/>
  <c r="O1177" i="6"/>
  <c r="H1177" i="6"/>
  <c r="E1177" i="6"/>
  <c r="C1177" i="6"/>
  <c r="B1177" i="6"/>
  <c r="P1176" i="6"/>
  <c r="O1176" i="6"/>
  <c r="H1176" i="6"/>
  <c r="E1176" i="6"/>
  <c r="C1176" i="6"/>
  <c r="B1176" i="6"/>
  <c r="P1175" i="6"/>
  <c r="O1175" i="6"/>
  <c r="H1175" i="6"/>
  <c r="E1175" i="6"/>
  <c r="C1175" i="6"/>
  <c r="B1175" i="6"/>
  <c r="P1174" i="6"/>
  <c r="O1174" i="6"/>
  <c r="H1174" i="6"/>
  <c r="E1174" i="6"/>
  <c r="C1174" i="6"/>
  <c r="B1174" i="6"/>
  <c r="P1173" i="6"/>
  <c r="O1173" i="6"/>
  <c r="H1173" i="6"/>
  <c r="E1173" i="6"/>
  <c r="C1173" i="6"/>
  <c r="B1173" i="6"/>
  <c r="P1172" i="6"/>
  <c r="O1172" i="6"/>
  <c r="H1172" i="6"/>
  <c r="E1172" i="6"/>
  <c r="C1172" i="6"/>
  <c r="B1172" i="6"/>
  <c r="P1171" i="6"/>
  <c r="O1171" i="6"/>
  <c r="H1171" i="6"/>
  <c r="E1171" i="6"/>
  <c r="C1171" i="6"/>
  <c r="B1171" i="6"/>
  <c r="P1170" i="6"/>
  <c r="O1170" i="6"/>
  <c r="H1170" i="6"/>
  <c r="E1170" i="6"/>
  <c r="C1170" i="6"/>
  <c r="B1170" i="6"/>
  <c r="P1169" i="6"/>
  <c r="O1169" i="6"/>
  <c r="H1169" i="6"/>
  <c r="E1169" i="6"/>
  <c r="C1169" i="6"/>
  <c r="B1169" i="6"/>
  <c r="P1168" i="6"/>
  <c r="O1168" i="6"/>
  <c r="H1168" i="6"/>
  <c r="E1168" i="6"/>
  <c r="C1168" i="6"/>
  <c r="B1168" i="6"/>
  <c r="P1167" i="6"/>
  <c r="O1167" i="6"/>
  <c r="H1167" i="6"/>
  <c r="E1167" i="6"/>
  <c r="C1167" i="6"/>
  <c r="B1167" i="6"/>
  <c r="P1166" i="6"/>
  <c r="O1166" i="6"/>
  <c r="H1166" i="6"/>
  <c r="E1166" i="6"/>
  <c r="C1166" i="6"/>
  <c r="B1166" i="6"/>
  <c r="P1165" i="6"/>
  <c r="O1165" i="6"/>
  <c r="N1165" i="6"/>
  <c r="M1165" i="6"/>
  <c r="L1165" i="6"/>
  <c r="H1165" i="6"/>
  <c r="P1164" i="6"/>
  <c r="O1164" i="6"/>
  <c r="H1164" i="6"/>
  <c r="E1164" i="6"/>
  <c r="C1164" i="6"/>
  <c r="B1164" i="6"/>
  <c r="P1163" i="6"/>
  <c r="O1163" i="6"/>
  <c r="H1163" i="6"/>
  <c r="E1163" i="6"/>
  <c r="C1163" i="6"/>
  <c r="B1163" i="6"/>
  <c r="P1162" i="6"/>
  <c r="O1162" i="6"/>
  <c r="H1162" i="6"/>
  <c r="E1162" i="6"/>
  <c r="C1162" i="6"/>
  <c r="B1162" i="6"/>
  <c r="P1161" i="6"/>
  <c r="O1161" i="6"/>
  <c r="H1161" i="6"/>
  <c r="E1161" i="6"/>
  <c r="C1161" i="6"/>
  <c r="B1161" i="6"/>
  <c r="P1160" i="6"/>
  <c r="O1160" i="6"/>
  <c r="H1160" i="6"/>
  <c r="E1160" i="6"/>
  <c r="C1160" i="6"/>
  <c r="B1160" i="6"/>
  <c r="P1159" i="6"/>
  <c r="O1159" i="6"/>
  <c r="H1159" i="6"/>
  <c r="E1159" i="6"/>
  <c r="C1159" i="6"/>
  <c r="B1159" i="6"/>
  <c r="P1158" i="6"/>
  <c r="O1158" i="6"/>
  <c r="H1158" i="6"/>
  <c r="E1158" i="6"/>
  <c r="C1158" i="6"/>
  <c r="B1158" i="6"/>
  <c r="P1157" i="6"/>
  <c r="O1157" i="6"/>
  <c r="H1157" i="6"/>
  <c r="E1157" i="6"/>
  <c r="C1157" i="6"/>
  <c r="B1157" i="6"/>
  <c r="P1156" i="6"/>
  <c r="O1156" i="6"/>
  <c r="H1156" i="6"/>
  <c r="E1156" i="6"/>
  <c r="C1156" i="6"/>
  <c r="B1156" i="6"/>
  <c r="P1155" i="6"/>
  <c r="O1155" i="6"/>
  <c r="H1155" i="6"/>
  <c r="E1155" i="6"/>
  <c r="C1155" i="6"/>
  <c r="B1155" i="6"/>
  <c r="P1154" i="6"/>
  <c r="O1154" i="6"/>
  <c r="N1154" i="6"/>
  <c r="M1154" i="6"/>
  <c r="L1154" i="6"/>
  <c r="H1154" i="6"/>
  <c r="P1153" i="6"/>
  <c r="O1153" i="6"/>
  <c r="H1153" i="6"/>
  <c r="E1153" i="6"/>
  <c r="C1153" i="6"/>
  <c r="B1153" i="6"/>
  <c r="P1152" i="6"/>
  <c r="O1152" i="6"/>
  <c r="H1152" i="6"/>
  <c r="E1152" i="6"/>
  <c r="C1152" i="6"/>
  <c r="B1152" i="6"/>
  <c r="P1151" i="6"/>
  <c r="O1151" i="6"/>
  <c r="H1151" i="6"/>
  <c r="E1151" i="6"/>
  <c r="C1151" i="6"/>
  <c r="B1151" i="6"/>
  <c r="P1150" i="6"/>
  <c r="O1150" i="6"/>
  <c r="H1150" i="6"/>
  <c r="E1150" i="6"/>
  <c r="C1150" i="6"/>
  <c r="B1150" i="6"/>
  <c r="P1149" i="6"/>
  <c r="O1149" i="6"/>
  <c r="H1149" i="6"/>
  <c r="E1149" i="6"/>
  <c r="C1149" i="6"/>
  <c r="B1149" i="6"/>
  <c r="P1148" i="6"/>
  <c r="O1148" i="6"/>
  <c r="H1148" i="6"/>
  <c r="E1148" i="6"/>
  <c r="C1148" i="6"/>
  <c r="B1148" i="6"/>
  <c r="P1147" i="6"/>
  <c r="O1147" i="6"/>
  <c r="H1147" i="6"/>
  <c r="E1147" i="6"/>
  <c r="C1147" i="6"/>
  <c r="B1147" i="6"/>
  <c r="P1146" i="6"/>
  <c r="O1146" i="6"/>
  <c r="H1146" i="6"/>
  <c r="E1146" i="6"/>
  <c r="C1146" i="6"/>
  <c r="B1146" i="6"/>
  <c r="P1145" i="6"/>
  <c r="O1145" i="6"/>
  <c r="N1145" i="6"/>
  <c r="M1145" i="6"/>
  <c r="L1145" i="6"/>
  <c r="H1145" i="6"/>
  <c r="P1144" i="6"/>
  <c r="O1144" i="6"/>
  <c r="H1144" i="6"/>
  <c r="E1144" i="6"/>
  <c r="C1144" i="6"/>
  <c r="B1144" i="6"/>
  <c r="P1143" i="6"/>
  <c r="O1143" i="6"/>
  <c r="H1143" i="6"/>
  <c r="E1143" i="6"/>
  <c r="C1143" i="6"/>
  <c r="B1143" i="6"/>
  <c r="P1142" i="6"/>
  <c r="O1142" i="6"/>
  <c r="H1142" i="6"/>
  <c r="E1142" i="6"/>
  <c r="C1142" i="6"/>
  <c r="B1142" i="6"/>
  <c r="P1141" i="6"/>
  <c r="O1141" i="6"/>
  <c r="N1141" i="6"/>
  <c r="M1141" i="6"/>
  <c r="L1141" i="6"/>
  <c r="H1141" i="6"/>
  <c r="P1140" i="6"/>
  <c r="O1140" i="6"/>
  <c r="H1140" i="6"/>
  <c r="E1140" i="6"/>
  <c r="C1140" i="6"/>
  <c r="B1140" i="6"/>
  <c r="P1139" i="6"/>
  <c r="O1139" i="6"/>
  <c r="H1139" i="6"/>
  <c r="E1139" i="6"/>
  <c r="C1139" i="6"/>
  <c r="B1139" i="6"/>
  <c r="P1138" i="6"/>
  <c r="O1138" i="6"/>
  <c r="H1138" i="6"/>
  <c r="E1138" i="6"/>
  <c r="C1138" i="6"/>
  <c r="B1138" i="6"/>
  <c r="P1137" i="6"/>
  <c r="O1137" i="6"/>
  <c r="H1137" i="6"/>
  <c r="E1137" i="6"/>
  <c r="C1137" i="6"/>
  <c r="B1137" i="6"/>
  <c r="P1136" i="6"/>
  <c r="O1136" i="6"/>
  <c r="H1136" i="6"/>
  <c r="E1136" i="6"/>
  <c r="C1136" i="6"/>
  <c r="B1136" i="6"/>
  <c r="P1135" i="6"/>
  <c r="O1135" i="6"/>
  <c r="H1135" i="6"/>
  <c r="E1135" i="6"/>
  <c r="C1135" i="6"/>
  <c r="B1135" i="6"/>
  <c r="P1134" i="6"/>
  <c r="O1134" i="6"/>
  <c r="N1134" i="6"/>
  <c r="M1134" i="6"/>
  <c r="L1134" i="6"/>
  <c r="H1134" i="6"/>
  <c r="P1133" i="6"/>
  <c r="O1133" i="6"/>
  <c r="H1133" i="6"/>
  <c r="E1133" i="6"/>
  <c r="C1133" i="6"/>
  <c r="B1133" i="6"/>
  <c r="P1132" i="6"/>
  <c r="O1132" i="6"/>
  <c r="H1132" i="6"/>
  <c r="E1132" i="6"/>
  <c r="C1132" i="6"/>
  <c r="B1132" i="6"/>
  <c r="P1131" i="6"/>
  <c r="O1131" i="6"/>
  <c r="H1131" i="6"/>
  <c r="E1131" i="6"/>
  <c r="C1131" i="6"/>
  <c r="B1131" i="6"/>
  <c r="P1130" i="6"/>
  <c r="O1130" i="6"/>
  <c r="N1130" i="6"/>
  <c r="M1130" i="6"/>
  <c r="L1130" i="6"/>
  <c r="H1130" i="6"/>
  <c r="P1129" i="6"/>
  <c r="O1129" i="6"/>
  <c r="N1129" i="6"/>
  <c r="L1129" i="6"/>
  <c r="I1129" i="6"/>
  <c r="H1129" i="6"/>
  <c r="E1129" i="6"/>
  <c r="C1129" i="6"/>
  <c r="B1129" i="6"/>
  <c r="P1128" i="6"/>
  <c r="O1128" i="6"/>
  <c r="N1128" i="6"/>
  <c r="L1128" i="6"/>
  <c r="I1128" i="6"/>
  <c r="H1128" i="6"/>
  <c r="E1128" i="6"/>
  <c r="C1128" i="6"/>
  <c r="B1128" i="6"/>
  <c r="P1127" i="6"/>
  <c r="O1127" i="6"/>
  <c r="N1127" i="6"/>
  <c r="L1127" i="6"/>
  <c r="I1127" i="6"/>
  <c r="H1127" i="6"/>
  <c r="E1127" i="6"/>
  <c r="C1127" i="6"/>
  <c r="B1127" i="6"/>
  <c r="P1126" i="6"/>
  <c r="O1126" i="6"/>
  <c r="N1126" i="6"/>
  <c r="M1126" i="6"/>
  <c r="L1126" i="6"/>
  <c r="H1126" i="6"/>
  <c r="P1125" i="6"/>
  <c r="O1125" i="6"/>
  <c r="N1125" i="6"/>
  <c r="L1125" i="6"/>
  <c r="I1125" i="6"/>
  <c r="H1125" i="6"/>
  <c r="E1125" i="6"/>
  <c r="C1125" i="6"/>
  <c r="B1125" i="6"/>
  <c r="P1124" i="6"/>
  <c r="O1124" i="6"/>
  <c r="N1124" i="6"/>
  <c r="L1124" i="6"/>
  <c r="I1124" i="6"/>
  <c r="H1124" i="6"/>
  <c r="E1124" i="6"/>
  <c r="C1124" i="6"/>
  <c r="B1124" i="6"/>
  <c r="P1123" i="6"/>
  <c r="O1123" i="6"/>
  <c r="N1123" i="6"/>
  <c r="L1123" i="6"/>
  <c r="I1123" i="6"/>
  <c r="H1123" i="6"/>
  <c r="E1123" i="6"/>
  <c r="C1123" i="6"/>
  <c r="B1123" i="6"/>
  <c r="P1122" i="6"/>
  <c r="O1122" i="6"/>
  <c r="N1122" i="6"/>
  <c r="L1122" i="6"/>
  <c r="I1122" i="6"/>
  <c r="H1122" i="6"/>
  <c r="E1122" i="6"/>
  <c r="C1122" i="6"/>
  <c r="B1122" i="6"/>
  <c r="P1121" i="6"/>
  <c r="O1121" i="6"/>
  <c r="N1121" i="6"/>
  <c r="M1121" i="6"/>
  <c r="L1121" i="6"/>
  <c r="H1121" i="6"/>
  <c r="P1120" i="6"/>
  <c r="O1120" i="6"/>
  <c r="N1120" i="6"/>
  <c r="M1120" i="6"/>
  <c r="L1120" i="6"/>
  <c r="H1120" i="6"/>
  <c r="P1119" i="6"/>
  <c r="O1119" i="6"/>
  <c r="N1119" i="6"/>
  <c r="L1119" i="6"/>
  <c r="I1119" i="6"/>
  <c r="H1119" i="6"/>
  <c r="E1119" i="6"/>
  <c r="C1119" i="6"/>
  <c r="B1119" i="6"/>
  <c r="P1118" i="6"/>
  <c r="O1118" i="6"/>
  <c r="N1118" i="6"/>
  <c r="M1118" i="6"/>
  <c r="L1118" i="6"/>
  <c r="H1118" i="6"/>
  <c r="P1117" i="6"/>
  <c r="O1117" i="6"/>
  <c r="N1117" i="6"/>
  <c r="L1117" i="6"/>
  <c r="I1117" i="6"/>
  <c r="H1117" i="6"/>
  <c r="E1117" i="6"/>
  <c r="C1117" i="6"/>
  <c r="B1117" i="6"/>
  <c r="P1116" i="6"/>
  <c r="O1116" i="6"/>
  <c r="N1116" i="6"/>
  <c r="M1116" i="6"/>
  <c r="L1116" i="6"/>
  <c r="H1116" i="6"/>
  <c r="P1115" i="6"/>
  <c r="O1115" i="6"/>
  <c r="N1115" i="6"/>
  <c r="L1115" i="6"/>
  <c r="I1115" i="6"/>
  <c r="H1115" i="6"/>
  <c r="E1115" i="6"/>
  <c r="C1115" i="6"/>
  <c r="B1115" i="6"/>
  <c r="P1114" i="6"/>
  <c r="O1114" i="6"/>
  <c r="N1114" i="6"/>
  <c r="L1114" i="6"/>
  <c r="I1114" i="6"/>
  <c r="H1114" i="6"/>
  <c r="E1114" i="6"/>
  <c r="C1114" i="6"/>
  <c r="B1114" i="6"/>
  <c r="P1113" i="6"/>
  <c r="O1113" i="6"/>
  <c r="N1113" i="6"/>
  <c r="L1113" i="6"/>
  <c r="I1113" i="6"/>
  <c r="H1113" i="6"/>
  <c r="E1113" i="6"/>
  <c r="C1113" i="6"/>
  <c r="B1113" i="6"/>
  <c r="P1112" i="6"/>
  <c r="O1112" i="6"/>
  <c r="N1112" i="6"/>
  <c r="L1112" i="6"/>
  <c r="I1112" i="6"/>
  <c r="H1112" i="6"/>
  <c r="E1112" i="6"/>
  <c r="C1112" i="6"/>
  <c r="B1112" i="6"/>
  <c r="P1111" i="6"/>
  <c r="O1111" i="6"/>
  <c r="N1111" i="6"/>
  <c r="M1111" i="6"/>
  <c r="L1111" i="6"/>
  <c r="H1111" i="6"/>
  <c r="P1110" i="6"/>
  <c r="O1110" i="6"/>
  <c r="N1110" i="6"/>
  <c r="L1110" i="6"/>
  <c r="I1110" i="6"/>
  <c r="H1110" i="6"/>
  <c r="E1110" i="6"/>
  <c r="C1110" i="6"/>
  <c r="B1110" i="6"/>
  <c r="P1109" i="6"/>
  <c r="O1109" i="6"/>
  <c r="N1109" i="6"/>
  <c r="L1109" i="6"/>
  <c r="I1109" i="6"/>
  <c r="H1109" i="6"/>
  <c r="E1109" i="6"/>
  <c r="C1109" i="6"/>
  <c r="B1109" i="6"/>
  <c r="P1108" i="6"/>
  <c r="O1108" i="6"/>
  <c r="N1108" i="6"/>
  <c r="L1108" i="6"/>
  <c r="I1108" i="6"/>
  <c r="H1108" i="6"/>
  <c r="E1108" i="6"/>
  <c r="C1108" i="6"/>
  <c r="B1108" i="6"/>
  <c r="P1107" i="6"/>
  <c r="O1107" i="6"/>
  <c r="N1107" i="6"/>
  <c r="L1107" i="6"/>
  <c r="I1107" i="6"/>
  <c r="H1107" i="6"/>
  <c r="E1107" i="6"/>
  <c r="C1107" i="6"/>
  <c r="B1107" i="6"/>
  <c r="P1106" i="6"/>
  <c r="O1106" i="6"/>
  <c r="N1106" i="6"/>
  <c r="L1106" i="6"/>
  <c r="I1106" i="6"/>
  <c r="H1106" i="6"/>
  <c r="E1106" i="6"/>
  <c r="C1106" i="6"/>
  <c r="B1106" i="6"/>
  <c r="P1105" i="6"/>
  <c r="O1105" i="6"/>
  <c r="N1105" i="6"/>
  <c r="L1105" i="6"/>
  <c r="I1105" i="6"/>
  <c r="H1105" i="6"/>
  <c r="E1105" i="6"/>
  <c r="C1105" i="6"/>
  <c r="B1105" i="6"/>
  <c r="P1104" i="6"/>
  <c r="O1104" i="6"/>
  <c r="N1104" i="6"/>
  <c r="L1104" i="6"/>
  <c r="I1104" i="6"/>
  <c r="H1104" i="6"/>
  <c r="E1104" i="6"/>
  <c r="C1104" i="6"/>
  <c r="B1104" i="6"/>
  <c r="P1103" i="6"/>
  <c r="O1103" i="6"/>
  <c r="N1103" i="6"/>
  <c r="M1103" i="6"/>
  <c r="L1103" i="6"/>
  <c r="H1103" i="6"/>
  <c r="P1102" i="6"/>
  <c r="O1102" i="6"/>
  <c r="N1102" i="6"/>
  <c r="L1102" i="6"/>
  <c r="I1102" i="6"/>
  <c r="H1102" i="6"/>
  <c r="E1102" i="6"/>
  <c r="C1102" i="6"/>
  <c r="B1102" i="6"/>
  <c r="P1101" i="6"/>
  <c r="O1101" i="6"/>
  <c r="N1101" i="6"/>
  <c r="L1101" i="6"/>
  <c r="I1101" i="6"/>
  <c r="H1101" i="6"/>
  <c r="E1101" i="6"/>
  <c r="C1101" i="6"/>
  <c r="B1101" i="6"/>
  <c r="P1100" i="6"/>
  <c r="O1100" i="6"/>
  <c r="N1100" i="6"/>
  <c r="L1100" i="6"/>
  <c r="I1100" i="6"/>
  <c r="H1100" i="6"/>
  <c r="E1100" i="6"/>
  <c r="C1100" i="6"/>
  <c r="B1100" i="6"/>
  <c r="P1099" i="6"/>
  <c r="O1099" i="6"/>
  <c r="N1099" i="6"/>
  <c r="L1099" i="6"/>
  <c r="I1099" i="6"/>
  <c r="H1099" i="6"/>
  <c r="E1099" i="6"/>
  <c r="C1099" i="6"/>
  <c r="B1099" i="6"/>
  <c r="P1098" i="6"/>
  <c r="O1098" i="6"/>
  <c r="N1098" i="6"/>
  <c r="L1098" i="6"/>
  <c r="I1098" i="6"/>
  <c r="H1098" i="6"/>
  <c r="E1098" i="6"/>
  <c r="C1098" i="6"/>
  <c r="B1098" i="6"/>
  <c r="P1097" i="6"/>
  <c r="O1097" i="6"/>
  <c r="N1097" i="6"/>
  <c r="L1097" i="6"/>
  <c r="I1097" i="6"/>
  <c r="H1097" i="6"/>
  <c r="E1097" i="6"/>
  <c r="C1097" i="6"/>
  <c r="B1097" i="6"/>
  <c r="P1096" i="6"/>
  <c r="O1096" i="6"/>
  <c r="N1096" i="6"/>
  <c r="L1096" i="6"/>
  <c r="I1096" i="6"/>
  <c r="H1096" i="6"/>
  <c r="E1096" i="6"/>
  <c r="C1096" i="6"/>
  <c r="B1096" i="6"/>
  <c r="P1095" i="6"/>
  <c r="O1095" i="6"/>
  <c r="N1095" i="6"/>
  <c r="M1095" i="6"/>
  <c r="L1095" i="6"/>
  <c r="H1095" i="6"/>
  <c r="P1094" i="6"/>
  <c r="O1094" i="6"/>
  <c r="N1094" i="6"/>
  <c r="L1094" i="6"/>
  <c r="I1094" i="6"/>
  <c r="H1094" i="6"/>
  <c r="E1094" i="6"/>
  <c r="C1094" i="6"/>
  <c r="B1094" i="6"/>
  <c r="P1093" i="6"/>
  <c r="O1093" i="6"/>
  <c r="N1093" i="6"/>
  <c r="L1093" i="6"/>
  <c r="I1093" i="6"/>
  <c r="H1093" i="6"/>
  <c r="E1093" i="6"/>
  <c r="C1093" i="6"/>
  <c r="B1093" i="6"/>
  <c r="P1092" i="6"/>
  <c r="O1092" i="6"/>
  <c r="N1092" i="6"/>
  <c r="L1092" i="6"/>
  <c r="I1092" i="6"/>
  <c r="H1092" i="6"/>
  <c r="E1092" i="6"/>
  <c r="C1092" i="6"/>
  <c r="B1092" i="6"/>
  <c r="P1091" i="6"/>
  <c r="O1091" i="6"/>
  <c r="N1091" i="6"/>
  <c r="L1091" i="6"/>
  <c r="I1091" i="6"/>
  <c r="H1091" i="6"/>
  <c r="E1091" i="6"/>
  <c r="C1091" i="6"/>
  <c r="B1091" i="6"/>
  <c r="P1090" i="6"/>
  <c r="O1090" i="6"/>
  <c r="N1090" i="6"/>
  <c r="L1090" i="6"/>
  <c r="I1090" i="6"/>
  <c r="H1090" i="6"/>
  <c r="E1090" i="6"/>
  <c r="C1090" i="6"/>
  <c r="B1090" i="6"/>
  <c r="P1089" i="6"/>
  <c r="O1089" i="6"/>
  <c r="N1089" i="6"/>
  <c r="M1089" i="6"/>
  <c r="L1089" i="6"/>
  <c r="H1089" i="6"/>
  <c r="P1088" i="6"/>
  <c r="O1088" i="6"/>
  <c r="N1088" i="6"/>
  <c r="L1088" i="6"/>
  <c r="I1088" i="6"/>
  <c r="H1088" i="6"/>
  <c r="E1088" i="6"/>
  <c r="C1088" i="6"/>
  <c r="B1088" i="6"/>
  <c r="P1087" i="6"/>
  <c r="O1087" i="6"/>
  <c r="N1087" i="6"/>
  <c r="M1087" i="6"/>
  <c r="L1087" i="6"/>
  <c r="H1087" i="6"/>
  <c r="P1086" i="6"/>
  <c r="O1086" i="6"/>
  <c r="N1086" i="6"/>
  <c r="L1086" i="6"/>
  <c r="I1086" i="6"/>
  <c r="H1086" i="6"/>
  <c r="E1086" i="6"/>
  <c r="C1086" i="6"/>
  <c r="B1086" i="6"/>
  <c r="P1085" i="6"/>
  <c r="O1085" i="6"/>
  <c r="N1085" i="6"/>
  <c r="L1085" i="6"/>
  <c r="I1085" i="6"/>
  <c r="H1085" i="6"/>
  <c r="E1085" i="6"/>
  <c r="C1085" i="6"/>
  <c r="B1085" i="6"/>
  <c r="P1084" i="6"/>
  <c r="O1084" i="6"/>
  <c r="N1084" i="6"/>
  <c r="L1084" i="6"/>
  <c r="I1084" i="6"/>
  <c r="H1084" i="6"/>
  <c r="E1084" i="6"/>
  <c r="C1084" i="6"/>
  <c r="B1084" i="6"/>
  <c r="P1083" i="6"/>
  <c r="O1083" i="6"/>
  <c r="N1083" i="6"/>
  <c r="L1083" i="6"/>
  <c r="I1083" i="6"/>
  <c r="H1083" i="6"/>
  <c r="E1083" i="6"/>
  <c r="C1083" i="6"/>
  <c r="B1083" i="6"/>
  <c r="P1082" i="6"/>
  <c r="O1082" i="6"/>
  <c r="N1082" i="6"/>
  <c r="L1082" i="6"/>
  <c r="I1082" i="6"/>
  <c r="H1082" i="6"/>
  <c r="E1082" i="6"/>
  <c r="C1082" i="6"/>
  <c r="B1082" i="6"/>
  <c r="P1081" i="6"/>
  <c r="O1081" i="6"/>
  <c r="N1081" i="6"/>
  <c r="L1081" i="6"/>
  <c r="I1081" i="6"/>
  <c r="H1081" i="6"/>
  <c r="E1081" i="6"/>
  <c r="C1081" i="6"/>
  <c r="B1081" i="6"/>
  <c r="P1080" i="6"/>
  <c r="O1080" i="6"/>
  <c r="N1080" i="6"/>
  <c r="L1080" i="6"/>
  <c r="I1080" i="6"/>
  <c r="H1080" i="6"/>
  <c r="E1080" i="6"/>
  <c r="C1080" i="6"/>
  <c r="B1080" i="6"/>
  <c r="P1079" i="6"/>
  <c r="O1079" i="6"/>
  <c r="N1079" i="6"/>
  <c r="L1079" i="6"/>
  <c r="I1079" i="6"/>
  <c r="H1079" i="6"/>
  <c r="E1079" i="6"/>
  <c r="C1079" i="6"/>
  <c r="B1079" i="6"/>
  <c r="P1078" i="6"/>
  <c r="O1078" i="6"/>
  <c r="N1078" i="6"/>
  <c r="L1078" i="6"/>
  <c r="I1078" i="6"/>
  <c r="H1078" i="6"/>
  <c r="E1078" i="6"/>
  <c r="C1078" i="6"/>
  <c r="B1078" i="6"/>
  <c r="P1077" i="6"/>
  <c r="O1077" i="6"/>
  <c r="N1077" i="6"/>
  <c r="L1077" i="6"/>
  <c r="I1077" i="6"/>
  <c r="H1077" i="6"/>
  <c r="E1077" i="6"/>
  <c r="C1077" i="6"/>
  <c r="B1077" i="6"/>
  <c r="P1076" i="6"/>
  <c r="O1076" i="6"/>
  <c r="N1076" i="6"/>
  <c r="L1076" i="6"/>
  <c r="I1076" i="6"/>
  <c r="H1076" i="6"/>
  <c r="E1076" i="6"/>
  <c r="C1076" i="6"/>
  <c r="B1076" i="6"/>
  <c r="P1075" i="6"/>
  <c r="O1075" i="6"/>
  <c r="N1075" i="6"/>
  <c r="L1075" i="6"/>
  <c r="I1075" i="6"/>
  <c r="H1075" i="6"/>
  <c r="E1075" i="6"/>
  <c r="C1075" i="6"/>
  <c r="B1075" i="6"/>
  <c r="P1074" i="6"/>
  <c r="O1074" i="6"/>
  <c r="N1074" i="6"/>
  <c r="M1074" i="6"/>
  <c r="L1074" i="6"/>
  <c r="H1074" i="6"/>
  <c r="P1073" i="6"/>
  <c r="O1073" i="6"/>
  <c r="N1073" i="6"/>
  <c r="L1073" i="6"/>
  <c r="I1073" i="6"/>
  <c r="H1073" i="6"/>
  <c r="E1073" i="6"/>
  <c r="C1073" i="6"/>
  <c r="B1073" i="6"/>
  <c r="P1072" i="6"/>
  <c r="O1072" i="6"/>
  <c r="N1072" i="6"/>
  <c r="L1072" i="6"/>
  <c r="I1072" i="6"/>
  <c r="H1072" i="6"/>
  <c r="E1072" i="6"/>
  <c r="C1072" i="6"/>
  <c r="B1072" i="6"/>
  <c r="P1071" i="6"/>
  <c r="O1071" i="6"/>
  <c r="N1071" i="6"/>
  <c r="L1071" i="6"/>
  <c r="I1071" i="6"/>
  <c r="H1071" i="6"/>
  <c r="E1071" i="6"/>
  <c r="C1071" i="6"/>
  <c r="B1071" i="6"/>
  <c r="P1070" i="6"/>
  <c r="O1070" i="6"/>
  <c r="N1070" i="6"/>
  <c r="L1070" i="6"/>
  <c r="I1070" i="6"/>
  <c r="H1070" i="6"/>
  <c r="E1070" i="6"/>
  <c r="C1070" i="6"/>
  <c r="B1070" i="6"/>
  <c r="P1069" i="6"/>
  <c r="O1069" i="6"/>
  <c r="N1069" i="6"/>
  <c r="L1069" i="6"/>
  <c r="I1069" i="6"/>
  <c r="H1069" i="6"/>
  <c r="E1069" i="6"/>
  <c r="C1069" i="6"/>
  <c r="B1069" i="6"/>
  <c r="P1068" i="6"/>
  <c r="O1068" i="6"/>
  <c r="N1068" i="6"/>
  <c r="M1068" i="6"/>
  <c r="L1068" i="6"/>
  <c r="H1068" i="6"/>
  <c r="P1067" i="6"/>
  <c r="O1067" i="6"/>
  <c r="N1067" i="6"/>
  <c r="L1067" i="6"/>
  <c r="I1067" i="6"/>
  <c r="H1067" i="6"/>
  <c r="E1067" i="6"/>
  <c r="C1067" i="6"/>
  <c r="B1067" i="6"/>
  <c r="P1066" i="6"/>
  <c r="O1066" i="6"/>
  <c r="N1066" i="6"/>
  <c r="L1066" i="6"/>
  <c r="I1066" i="6"/>
  <c r="H1066" i="6"/>
  <c r="E1066" i="6"/>
  <c r="C1066" i="6"/>
  <c r="B1066" i="6"/>
  <c r="P1065" i="6"/>
  <c r="O1065" i="6"/>
  <c r="N1065" i="6"/>
  <c r="L1065" i="6"/>
  <c r="I1065" i="6"/>
  <c r="H1065" i="6"/>
  <c r="E1065" i="6"/>
  <c r="C1065" i="6"/>
  <c r="B1065" i="6"/>
  <c r="P1064" i="6"/>
  <c r="O1064" i="6"/>
  <c r="N1064" i="6"/>
  <c r="L1064" i="6"/>
  <c r="I1064" i="6"/>
  <c r="H1064" i="6"/>
  <c r="E1064" i="6"/>
  <c r="C1064" i="6"/>
  <c r="B1064" i="6"/>
  <c r="P1063" i="6"/>
  <c r="O1063" i="6"/>
  <c r="N1063" i="6"/>
  <c r="L1063" i="6"/>
  <c r="I1063" i="6"/>
  <c r="H1063" i="6"/>
  <c r="E1063" i="6"/>
  <c r="C1063" i="6"/>
  <c r="B1063" i="6"/>
  <c r="P1062" i="6"/>
  <c r="O1062" i="6"/>
  <c r="N1062" i="6"/>
  <c r="L1062" i="6"/>
  <c r="I1062" i="6"/>
  <c r="H1062" i="6"/>
  <c r="E1062" i="6"/>
  <c r="C1062" i="6"/>
  <c r="B1062" i="6"/>
  <c r="P1061" i="6"/>
  <c r="O1061" i="6"/>
  <c r="N1061" i="6"/>
  <c r="L1061" i="6"/>
  <c r="I1061" i="6"/>
  <c r="H1061" i="6"/>
  <c r="E1061" i="6"/>
  <c r="C1061" i="6"/>
  <c r="B1061" i="6"/>
  <c r="P1060" i="6"/>
  <c r="O1060" i="6"/>
  <c r="N1060" i="6"/>
  <c r="L1060" i="6"/>
  <c r="I1060" i="6"/>
  <c r="H1060" i="6"/>
  <c r="E1060" i="6"/>
  <c r="C1060" i="6"/>
  <c r="B1060" i="6"/>
  <c r="P1059" i="6"/>
  <c r="O1059" i="6"/>
  <c r="N1059" i="6"/>
  <c r="L1059" i="6"/>
  <c r="I1059" i="6"/>
  <c r="H1059" i="6"/>
  <c r="E1059" i="6"/>
  <c r="C1059" i="6"/>
  <c r="B1059" i="6"/>
  <c r="P1058" i="6"/>
  <c r="O1058" i="6"/>
  <c r="N1058" i="6"/>
  <c r="M1058" i="6"/>
  <c r="L1058" i="6"/>
  <c r="H1058" i="6"/>
  <c r="O1057" i="6"/>
  <c r="N1057" i="6"/>
  <c r="M1057" i="6"/>
  <c r="L1057" i="6"/>
  <c r="H1057" i="6"/>
  <c r="O1056" i="6"/>
  <c r="N1056" i="6"/>
  <c r="M1056" i="6"/>
  <c r="L1056" i="6"/>
  <c r="H1056" i="6"/>
  <c r="P1055" i="6"/>
  <c r="O1055" i="6"/>
  <c r="H1055" i="6"/>
  <c r="E1055" i="6"/>
  <c r="C1055" i="6"/>
  <c r="B1055" i="6"/>
  <c r="P1054" i="6"/>
  <c r="O1054" i="6"/>
  <c r="H1054" i="6"/>
  <c r="E1054" i="6"/>
  <c r="C1054" i="6"/>
  <c r="B1054" i="6"/>
  <c r="P1053" i="6"/>
  <c r="O1053" i="6"/>
  <c r="H1053" i="6"/>
  <c r="E1053" i="6"/>
  <c r="C1053" i="6"/>
  <c r="B1053" i="6"/>
  <c r="P1052" i="6"/>
  <c r="O1052" i="6"/>
  <c r="N1052" i="6"/>
  <c r="M1052" i="6"/>
  <c r="L1052" i="6"/>
  <c r="H1052" i="6"/>
  <c r="P1051" i="6"/>
  <c r="O1051" i="6"/>
  <c r="H1051" i="6"/>
  <c r="E1051" i="6"/>
  <c r="C1051" i="6"/>
  <c r="B1051" i="6"/>
  <c r="P1050" i="6"/>
  <c r="O1050" i="6"/>
  <c r="H1050" i="6"/>
  <c r="E1050" i="6"/>
  <c r="C1050" i="6"/>
  <c r="B1050" i="6"/>
  <c r="P1049" i="6"/>
  <c r="O1049" i="6"/>
  <c r="H1049" i="6"/>
  <c r="E1049" i="6"/>
  <c r="C1049" i="6"/>
  <c r="B1049" i="6"/>
  <c r="P1048" i="6"/>
  <c r="O1048" i="6"/>
  <c r="H1048" i="6"/>
  <c r="E1048" i="6"/>
  <c r="C1048" i="6"/>
  <c r="B1048" i="6"/>
  <c r="P1047" i="6"/>
  <c r="O1047" i="6"/>
  <c r="H1047" i="6"/>
  <c r="E1047" i="6"/>
  <c r="C1047" i="6"/>
  <c r="B1047" i="6"/>
  <c r="P1046" i="6"/>
  <c r="O1046" i="6"/>
  <c r="N1046" i="6"/>
  <c r="M1046" i="6"/>
  <c r="L1046" i="6"/>
  <c r="H1046" i="6"/>
  <c r="P1045" i="6"/>
  <c r="O1045" i="6"/>
  <c r="N1045" i="6"/>
  <c r="L1045" i="6"/>
  <c r="I1045" i="6"/>
  <c r="H1045" i="6"/>
  <c r="E1045" i="6"/>
  <c r="C1045" i="6"/>
  <c r="B1045" i="6"/>
  <c r="P1044" i="6"/>
  <c r="O1044" i="6"/>
  <c r="N1044" i="6"/>
  <c r="L1044" i="6"/>
  <c r="I1044" i="6"/>
  <c r="H1044" i="6"/>
  <c r="E1044" i="6"/>
  <c r="C1044" i="6"/>
  <c r="B1044" i="6"/>
  <c r="P1043" i="6"/>
  <c r="O1043" i="6"/>
  <c r="N1043" i="6"/>
  <c r="M1043" i="6"/>
  <c r="L1043" i="6"/>
  <c r="H1043" i="6"/>
  <c r="P1042" i="6"/>
  <c r="O1042" i="6"/>
  <c r="N1042" i="6"/>
  <c r="L1042" i="6"/>
  <c r="I1042" i="6"/>
  <c r="H1042" i="6"/>
  <c r="E1042" i="6"/>
  <c r="C1042" i="6"/>
  <c r="B1042" i="6"/>
  <c r="P1041" i="6"/>
  <c r="O1041" i="6"/>
  <c r="N1041" i="6"/>
  <c r="L1041" i="6"/>
  <c r="I1041" i="6"/>
  <c r="H1041" i="6"/>
  <c r="E1041" i="6"/>
  <c r="C1041" i="6"/>
  <c r="B1041" i="6"/>
  <c r="P1040" i="6"/>
  <c r="O1040" i="6"/>
  <c r="N1040" i="6"/>
  <c r="L1040" i="6"/>
  <c r="I1040" i="6"/>
  <c r="H1040" i="6"/>
  <c r="E1040" i="6"/>
  <c r="C1040" i="6"/>
  <c r="B1040" i="6"/>
  <c r="P1039" i="6"/>
  <c r="O1039" i="6"/>
  <c r="N1039" i="6"/>
  <c r="L1039" i="6"/>
  <c r="I1039" i="6"/>
  <c r="H1039" i="6"/>
  <c r="E1039" i="6"/>
  <c r="C1039" i="6"/>
  <c r="B1039" i="6"/>
  <c r="P1038" i="6"/>
  <c r="O1038" i="6"/>
  <c r="N1038" i="6"/>
  <c r="L1038" i="6"/>
  <c r="I1038" i="6"/>
  <c r="H1038" i="6"/>
  <c r="E1038" i="6"/>
  <c r="C1038" i="6"/>
  <c r="B1038" i="6"/>
  <c r="P1037" i="6"/>
  <c r="O1037" i="6"/>
  <c r="N1037" i="6"/>
  <c r="L1037" i="6"/>
  <c r="I1037" i="6"/>
  <c r="H1037" i="6"/>
  <c r="E1037" i="6"/>
  <c r="C1037" i="6"/>
  <c r="B1037" i="6"/>
  <c r="P1036" i="6"/>
  <c r="O1036" i="6"/>
  <c r="N1036" i="6"/>
  <c r="M1036" i="6"/>
  <c r="L1036" i="6"/>
  <c r="H1036" i="6"/>
  <c r="P1035" i="6"/>
  <c r="O1035" i="6"/>
  <c r="N1035" i="6"/>
  <c r="L1035" i="6"/>
  <c r="I1035" i="6"/>
  <c r="H1035" i="6"/>
  <c r="E1035" i="6"/>
  <c r="C1035" i="6"/>
  <c r="B1035" i="6"/>
  <c r="P1034" i="6"/>
  <c r="O1034" i="6"/>
  <c r="N1034" i="6"/>
  <c r="L1034" i="6"/>
  <c r="I1034" i="6"/>
  <c r="H1034" i="6"/>
  <c r="E1034" i="6"/>
  <c r="C1034" i="6"/>
  <c r="B1034" i="6"/>
  <c r="P1033" i="6"/>
  <c r="O1033" i="6"/>
  <c r="N1033" i="6"/>
  <c r="M1033" i="6"/>
  <c r="L1033" i="6"/>
  <c r="H1033" i="6"/>
  <c r="P1032" i="6"/>
  <c r="O1032" i="6"/>
  <c r="N1032" i="6"/>
  <c r="L1032" i="6"/>
  <c r="I1032" i="6"/>
  <c r="H1032" i="6"/>
  <c r="E1032" i="6"/>
  <c r="C1032" i="6"/>
  <c r="B1032" i="6"/>
  <c r="P1031" i="6"/>
  <c r="O1031" i="6"/>
  <c r="N1031" i="6"/>
  <c r="L1031" i="6"/>
  <c r="I1031" i="6"/>
  <c r="H1031" i="6"/>
  <c r="E1031" i="6"/>
  <c r="C1031" i="6"/>
  <c r="B1031" i="6"/>
  <c r="P1030" i="6"/>
  <c r="O1030" i="6"/>
  <c r="N1030" i="6"/>
  <c r="L1030" i="6"/>
  <c r="I1030" i="6"/>
  <c r="H1030" i="6"/>
  <c r="E1030" i="6"/>
  <c r="C1030" i="6"/>
  <c r="B1030" i="6"/>
  <c r="P1029" i="6"/>
  <c r="O1029" i="6"/>
  <c r="N1029" i="6"/>
  <c r="L1029" i="6"/>
  <c r="I1029" i="6"/>
  <c r="H1029" i="6"/>
  <c r="E1029" i="6"/>
  <c r="C1029" i="6"/>
  <c r="B1029" i="6"/>
  <c r="P1028" i="6"/>
  <c r="O1028" i="6"/>
  <c r="N1028" i="6"/>
  <c r="M1028" i="6"/>
  <c r="L1028" i="6"/>
  <c r="H1028" i="6"/>
  <c r="P1027" i="6"/>
  <c r="O1027" i="6"/>
  <c r="N1027" i="6"/>
  <c r="L1027" i="6"/>
  <c r="I1027" i="6"/>
  <c r="H1027" i="6"/>
  <c r="E1027" i="6"/>
  <c r="C1027" i="6"/>
  <c r="B1027" i="6"/>
  <c r="P1026" i="6"/>
  <c r="O1026" i="6"/>
  <c r="N1026" i="6"/>
  <c r="L1026" i="6"/>
  <c r="I1026" i="6"/>
  <c r="H1026" i="6"/>
  <c r="E1026" i="6"/>
  <c r="C1026" i="6"/>
  <c r="B1026" i="6"/>
  <c r="P1025" i="6"/>
  <c r="O1025" i="6"/>
  <c r="N1025" i="6"/>
  <c r="L1025" i="6"/>
  <c r="I1025" i="6"/>
  <c r="H1025" i="6"/>
  <c r="E1025" i="6"/>
  <c r="C1025" i="6"/>
  <c r="B1025" i="6"/>
  <c r="P1024" i="6"/>
  <c r="O1024" i="6"/>
  <c r="N1024" i="6"/>
  <c r="L1024" i="6"/>
  <c r="I1024" i="6"/>
  <c r="H1024" i="6"/>
  <c r="E1024" i="6"/>
  <c r="C1024" i="6"/>
  <c r="B1024" i="6"/>
  <c r="P1023" i="6"/>
  <c r="O1023" i="6"/>
  <c r="N1023" i="6"/>
  <c r="L1023" i="6"/>
  <c r="I1023" i="6"/>
  <c r="H1023" i="6"/>
  <c r="E1023" i="6"/>
  <c r="C1023" i="6"/>
  <c r="B1023" i="6"/>
  <c r="P1022" i="6"/>
  <c r="O1022" i="6"/>
  <c r="N1022" i="6"/>
  <c r="L1022" i="6"/>
  <c r="I1022" i="6"/>
  <c r="H1022" i="6"/>
  <c r="E1022" i="6"/>
  <c r="C1022" i="6"/>
  <c r="B1022" i="6"/>
  <c r="P1021" i="6"/>
  <c r="O1021" i="6"/>
  <c r="N1021" i="6"/>
  <c r="L1021" i="6"/>
  <c r="I1021" i="6"/>
  <c r="H1021" i="6"/>
  <c r="E1021" i="6"/>
  <c r="C1021" i="6"/>
  <c r="B1021" i="6"/>
  <c r="P1020" i="6"/>
  <c r="O1020" i="6"/>
  <c r="N1020" i="6"/>
  <c r="L1020" i="6"/>
  <c r="I1020" i="6"/>
  <c r="H1020" i="6"/>
  <c r="E1020" i="6"/>
  <c r="C1020" i="6"/>
  <c r="B1020" i="6"/>
  <c r="P1019" i="6"/>
  <c r="O1019" i="6"/>
  <c r="N1019" i="6"/>
  <c r="L1019" i="6"/>
  <c r="I1019" i="6"/>
  <c r="H1019" i="6"/>
  <c r="E1019" i="6"/>
  <c r="C1019" i="6"/>
  <c r="B1019" i="6"/>
  <c r="P1018" i="6"/>
  <c r="O1018" i="6"/>
  <c r="N1018" i="6"/>
  <c r="L1018" i="6"/>
  <c r="I1018" i="6"/>
  <c r="H1018" i="6"/>
  <c r="E1018" i="6"/>
  <c r="C1018" i="6"/>
  <c r="B1018" i="6"/>
  <c r="O1017" i="6"/>
  <c r="N1017" i="6"/>
  <c r="M1017" i="6"/>
  <c r="L1017" i="6"/>
  <c r="H1017" i="6"/>
  <c r="O1016" i="6"/>
  <c r="N1016" i="6"/>
  <c r="M1016" i="6"/>
  <c r="L1016" i="6"/>
  <c r="H1016" i="6"/>
  <c r="P1015" i="6"/>
  <c r="O1015" i="6"/>
  <c r="N1015" i="6"/>
  <c r="L1015" i="6"/>
  <c r="I1015" i="6"/>
  <c r="H1015" i="6"/>
  <c r="E1015" i="6"/>
  <c r="C1015" i="6"/>
  <c r="B1015" i="6"/>
  <c r="P1014" i="6"/>
  <c r="O1014" i="6"/>
  <c r="N1014" i="6"/>
  <c r="L1014" i="6"/>
  <c r="I1014" i="6"/>
  <c r="H1014" i="6"/>
  <c r="E1014" i="6"/>
  <c r="C1014" i="6"/>
  <c r="B1014" i="6"/>
  <c r="P1013" i="6"/>
  <c r="O1013" i="6"/>
  <c r="N1013" i="6"/>
  <c r="L1013" i="6"/>
  <c r="I1013" i="6"/>
  <c r="H1013" i="6"/>
  <c r="E1013" i="6"/>
  <c r="C1013" i="6"/>
  <c r="B1013" i="6"/>
  <c r="P1012" i="6"/>
  <c r="O1012" i="6"/>
  <c r="N1012" i="6"/>
  <c r="L1012" i="6"/>
  <c r="I1012" i="6"/>
  <c r="H1012" i="6"/>
  <c r="E1012" i="6"/>
  <c r="C1012" i="6"/>
  <c r="B1012" i="6"/>
  <c r="P1011" i="6"/>
  <c r="O1011" i="6"/>
  <c r="N1011" i="6"/>
  <c r="L1011" i="6"/>
  <c r="I1011" i="6"/>
  <c r="H1011" i="6"/>
  <c r="E1011" i="6"/>
  <c r="C1011" i="6"/>
  <c r="B1011" i="6"/>
  <c r="P1010" i="6"/>
  <c r="O1010" i="6"/>
  <c r="N1010" i="6"/>
  <c r="L1010" i="6"/>
  <c r="I1010" i="6"/>
  <c r="H1010" i="6"/>
  <c r="E1010" i="6"/>
  <c r="C1010" i="6"/>
  <c r="B1010" i="6"/>
  <c r="P1009" i="6"/>
  <c r="O1009" i="6"/>
  <c r="N1009" i="6"/>
  <c r="L1009" i="6"/>
  <c r="I1009" i="6"/>
  <c r="H1009" i="6"/>
  <c r="E1009" i="6"/>
  <c r="C1009" i="6"/>
  <c r="B1009" i="6"/>
  <c r="P1008" i="6"/>
  <c r="O1008" i="6"/>
  <c r="N1008" i="6"/>
  <c r="L1008" i="6"/>
  <c r="I1008" i="6"/>
  <c r="H1008" i="6"/>
  <c r="E1008" i="6"/>
  <c r="C1008" i="6"/>
  <c r="B1008" i="6"/>
  <c r="P1007" i="6"/>
  <c r="O1007" i="6"/>
  <c r="N1007" i="6"/>
  <c r="L1007" i="6"/>
  <c r="I1007" i="6"/>
  <c r="H1007" i="6"/>
  <c r="E1007" i="6"/>
  <c r="C1007" i="6"/>
  <c r="B1007" i="6"/>
  <c r="O1006" i="6"/>
  <c r="N1006" i="6"/>
  <c r="M1006" i="6"/>
  <c r="L1006" i="6"/>
  <c r="H1006" i="6"/>
  <c r="P1005" i="6"/>
  <c r="O1005" i="6"/>
  <c r="N1005" i="6"/>
  <c r="L1005" i="6"/>
  <c r="I1005" i="6"/>
  <c r="H1005" i="6"/>
  <c r="E1005" i="6"/>
  <c r="C1005" i="6"/>
  <c r="B1005" i="6"/>
  <c r="P1004" i="6"/>
  <c r="O1004" i="6"/>
  <c r="N1004" i="6"/>
  <c r="L1004" i="6"/>
  <c r="I1004" i="6"/>
  <c r="H1004" i="6"/>
  <c r="E1004" i="6"/>
  <c r="C1004" i="6"/>
  <c r="B1004" i="6"/>
  <c r="P1003" i="6"/>
  <c r="O1003" i="6"/>
  <c r="N1003" i="6"/>
  <c r="L1003" i="6"/>
  <c r="I1003" i="6"/>
  <c r="H1003" i="6"/>
  <c r="E1003" i="6"/>
  <c r="C1003" i="6"/>
  <c r="B1003" i="6"/>
  <c r="P1002" i="6"/>
  <c r="O1002" i="6"/>
  <c r="N1002" i="6"/>
  <c r="L1002" i="6"/>
  <c r="I1002" i="6"/>
  <c r="H1002" i="6"/>
  <c r="E1002" i="6"/>
  <c r="C1002" i="6"/>
  <c r="B1002" i="6"/>
  <c r="P1001" i="6"/>
  <c r="O1001" i="6"/>
  <c r="N1001" i="6"/>
  <c r="L1001" i="6"/>
  <c r="I1001" i="6"/>
  <c r="H1001" i="6"/>
  <c r="E1001" i="6"/>
  <c r="C1001" i="6"/>
  <c r="B1001" i="6"/>
  <c r="P1000" i="6"/>
  <c r="O1000" i="6"/>
  <c r="N1000" i="6"/>
  <c r="L1000" i="6"/>
  <c r="I1000" i="6"/>
  <c r="H1000" i="6"/>
  <c r="E1000" i="6"/>
  <c r="C1000" i="6"/>
  <c r="B1000" i="6"/>
  <c r="P999" i="6"/>
  <c r="O999" i="6"/>
  <c r="N999" i="6"/>
  <c r="L999" i="6"/>
  <c r="I999" i="6"/>
  <c r="H999" i="6"/>
  <c r="E999" i="6"/>
  <c r="C999" i="6"/>
  <c r="B999" i="6"/>
  <c r="P998" i="6"/>
  <c r="O998" i="6"/>
  <c r="N998" i="6"/>
  <c r="L998" i="6"/>
  <c r="I998" i="6"/>
  <c r="H998" i="6"/>
  <c r="E998" i="6"/>
  <c r="C998" i="6"/>
  <c r="B998" i="6"/>
  <c r="P997" i="6"/>
  <c r="O997" i="6"/>
  <c r="N997" i="6"/>
  <c r="L997" i="6"/>
  <c r="I997" i="6"/>
  <c r="H997" i="6"/>
  <c r="E997" i="6"/>
  <c r="C997" i="6"/>
  <c r="B997" i="6"/>
  <c r="P996" i="6"/>
  <c r="O996" i="6"/>
  <c r="N996" i="6"/>
  <c r="L996" i="6"/>
  <c r="I996" i="6"/>
  <c r="H996" i="6"/>
  <c r="E996" i="6"/>
  <c r="C996" i="6"/>
  <c r="B996" i="6"/>
  <c r="P995" i="6"/>
  <c r="O995" i="6"/>
  <c r="N995" i="6"/>
  <c r="L995" i="6"/>
  <c r="I995" i="6"/>
  <c r="H995" i="6"/>
  <c r="E995" i="6"/>
  <c r="C995" i="6"/>
  <c r="B995" i="6"/>
  <c r="P994" i="6"/>
  <c r="O994" i="6"/>
  <c r="N994" i="6"/>
  <c r="L994" i="6"/>
  <c r="I994" i="6"/>
  <c r="H994" i="6"/>
  <c r="E994" i="6"/>
  <c r="C994" i="6"/>
  <c r="B994" i="6"/>
  <c r="P993" i="6"/>
  <c r="O993" i="6"/>
  <c r="N993" i="6"/>
  <c r="L993" i="6"/>
  <c r="I993" i="6"/>
  <c r="H993" i="6"/>
  <c r="E993" i="6"/>
  <c r="C993" i="6"/>
  <c r="B993" i="6"/>
  <c r="P992" i="6"/>
  <c r="O992" i="6"/>
  <c r="N992" i="6"/>
  <c r="L992" i="6"/>
  <c r="I992" i="6"/>
  <c r="H992" i="6"/>
  <c r="E992" i="6"/>
  <c r="C992" i="6"/>
  <c r="B992" i="6"/>
  <c r="P991" i="6"/>
  <c r="O991" i="6"/>
  <c r="N991" i="6"/>
  <c r="L991" i="6"/>
  <c r="I991" i="6"/>
  <c r="H991" i="6"/>
  <c r="E991" i="6"/>
  <c r="C991" i="6"/>
  <c r="B991" i="6"/>
  <c r="P990" i="6"/>
  <c r="O990" i="6"/>
  <c r="N990" i="6"/>
  <c r="L990" i="6"/>
  <c r="I990" i="6"/>
  <c r="H990" i="6"/>
  <c r="E990" i="6"/>
  <c r="C990" i="6"/>
  <c r="B990" i="6"/>
  <c r="P989" i="6"/>
  <c r="O989" i="6"/>
  <c r="N989" i="6"/>
  <c r="L989" i="6"/>
  <c r="I989" i="6"/>
  <c r="H989" i="6"/>
  <c r="E989" i="6"/>
  <c r="C989" i="6"/>
  <c r="B989" i="6"/>
  <c r="P988" i="6"/>
  <c r="O988" i="6"/>
  <c r="N988" i="6"/>
  <c r="L988" i="6"/>
  <c r="I988" i="6"/>
  <c r="H988" i="6"/>
  <c r="E988" i="6"/>
  <c r="C988" i="6"/>
  <c r="B988" i="6"/>
  <c r="P987" i="6"/>
  <c r="O987" i="6"/>
  <c r="N987" i="6"/>
  <c r="L987" i="6"/>
  <c r="I987" i="6"/>
  <c r="H987" i="6"/>
  <c r="E987" i="6"/>
  <c r="C987" i="6"/>
  <c r="B987" i="6"/>
  <c r="P986" i="6"/>
  <c r="O986" i="6"/>
  <c r="N986" i="6"/>
  <c r="L986" i="6"/>
  <c r="I986" i="6"/>
  <c r="H986" i="6"/>
  <c r="E986" i="6"/>
  <c r="C986" i="6"/>
  <c r="B986" i="6"/>
  <c r="P985" i="6"/>
  <c r="O985" i="6"/>
  <c r="N985" i="6"/>
  <c r="L985" i="6"/>
  <c r="I985" i="6"/>
  <c r="H985" i="6"/>
  <c r="E985" i="6"/>
  <c r="C985" i="6"/>
  <c r="B985" i="6"/>
  <c r="P984" i="6"/>
  <c r="O984" i="6"/>
  <c r="N984" i="6"/>
  <c r="L984" i="6"/>
  <c r="I984" i="6"/>
  <c r="H984" i="6"/>
  <c r="E984" i="6"/>
  <c r="C984" i="6"/>
  <c r="B984" i="6"/>
  <c r="P983" i="6"/>
  <c r="O983" i="6"/>
  <c r="N983" i="6"/>
  <c r="L983" i="6"/>
  <c r="I983" i="6"/>
  <c r="H983" i="6"/>
  <c r="E983" i="6"/>
  <c r="C983" i="6"/>
  <c r="B983" i="6"/>
  <c r="P982" i="6"/>
  <c r="O982" i="6"/>
  <c r="N982" i="6"/>
  <c r="L982" i="6"/>
  <c r="I982" i="6"/>
  <c r="H982" i="6"/>
  <c r="E982" i="6"/>
  <c r="C982" i="6"/>
  <c r="B982" i="6"/>
  <c r="P981" i="6"/>
  <c r="O981" i="6"/>
  <c r="N981" i="6"/>
  <c r="L981" i="6"/>
  <c r="I981" i="6"/>
  <c r="H981" i="6"/>
  <c r="E981" i="6"/>
  <c r="C981" i="6"/>
  <c r="B981" i="6"/>
  <c r="P980" i="6"/>
  <c r="O980" i="6"/>
  <c r="N980" i="6"/>
  <c r="L980" i="6"/>
  <c r="I980" i="6"/>
  <c r="H980" i="6"/>
  <c r="E980" i="6"/>
  <c r="C980" i="6"/>
  <c r="B980" i="6"/>
  <c r="P979" i="6"/>
  <c r="O979" i="6"/>
  <c r="N979" i="6"/>
  <c r="L979" i="6"/>
  <c r="I979" i="6"/>
  <c r="H979" i="6"/>
  <c r="E979" i="6"/>
  <c r="C979" i="6"/>
  <c r="B979" i="6"/>
  <c r="P978" i="6"/>
  <c r="O978" i="6"/>
  <c r="N978" i="6"/>
  <c r="L978" i="6"/>
  <c r="I978" i="6"/>
  <c r="H978" i="6"/>
  <c r="E978" i="6"/>
  <c r="C978" i="6"/>
  <c r="B978" i="6"/>
  <c r="P977" i="6"/>
  <c r="O977" i="6"/>
  <c r="N977" i="6"/>
  <c r="L977" i="6"/>
  <c r="I977" i="6"/>
  <c r="H977" i="6"/>
  <c r="E977" i="6"/>
  <c r="C977" i="6"/>
  <c r="B977" i="6"/>
  <c r="P976" i="6"/>
  <c r="O976" i="6"/>
  <c r="N976" i="6"/>
  <c r="L976" i="6"/>
  <c r="I976" i="6"/>
  <c r="H976" i="6"/>
  <c r="E976" i="6"/>
  <c r="C976" i="6"/>
  <c r="B976" i="6"/>
  <c r="P975" i="6"/>
  <c r="O975" i="6"/>
  <c r="N975" i="6"/>
  <c r="L975" i="6"/>
  <c r="I975" i="6"/>
  <c r="H975" i="6"/>
  <c r="E975" i="6"/>
  <c r="C975" i="6"/>
  <c r="B975" i="6"/>
  <c r="P974" i="6"/>
  <c r="O974" i="6"/>
  <c r="N974" i="6"/>
  <c r="M974" i="6"/>
  <c r="L974" i="6"/>
  <c r="H974" i="6"/>
  <c r="P973" i="6"/>
  <c r="O973" i="6"/>
  <c r="N973" i="6"/>
  <c r="L973" i="6"/>
  <c r="I973" i="6"/>
  <c r="H973" i="6"/>
  <c r="E973" i="6"/>
  <c r="C973" i="6"/>
  <c r="B973" i="6"/>
  <c r="P972" i="6"/>
  <c r="O972" i="6"/>
  <c r="N972" i="6"/>
  <c r="L972" i="6"/>
  <c r="I972" i="6"/>
  <c r="H972" i="6"/>
  <c r="E972" i="6"/>
  <c r="C972" i="6"/>
  <c r="B972" i="6"/>
  <c r="P971" i="6"/>
  <c r="O971" i="6"/>
  <c r="N971" i="6"/>
  <c r="L971" i="6"/>
  <c r="I971" i="6"/>
  <c r="H971" i="6"/>
  <c r="E971" i="6"/>
  <c r="C971" i="6"/>
  <c r="B971" i="6"/>
  <c r="P970" i="6"/>
  <c r="O970" i="6"/>
  <c r="N970" i="6"/>
  <c r="L970" i="6"/>
  <c r="I970" i="6"/>
  <c r="H970" i="6"/>
  <c r="E970" i="6"/>
  <c r="C970" i="6"/>
  <c r="B970" i="6"/>
  <c r="P969" i="6"/>
  <c r="O969" i="6"/>
  <c r="N969" i="6"/>
  <c r="L969" i="6"/>
  <c r="I969" i="6"/>
  <c r="H969" i="6"/>
  <c r="E969" i="6"/>
  <c r="C969" i="6"/>
  <c r="B969" i="6"/>
  <c r="P968" i="6"/>
  <c r="O968" i="6"/>
  <c r="N968" i="6"/>
  <c r="L968" i="6"/>
  <c r="I968" i="6"/>
  <c r="H968" i="6"/>
  <c r="E968" i="6"/>
  <c r="C968" i="6"/>
  <c r="B968" i="6"/>
  <c r="P967" i="6"/>
  <c r="O967" i="6"/>
  <c r="N967" i="6"/>
  <c r="L967" i="6"/>
  <c r="I967" i="6"/>
  <c r="H967" i="6"/>
  <c r="E967" i="6"/>
  <c r="C967" i="6"/>
  <c r="B967" i="6"/>
  <c r="P966" i="6"/>
  <c r="O966" i="6"/>
  <c r="N966" i="6"/>
  <c r="L966" i="6"/>
  <c r="I966" i="6"/>
  <c r="H966" i="6"/>
  <c r="E966" i="6"/>
  <c r="C966" i="6"/>
  <c r="B966" i="6"/>
  <c r="P965" i="6"/>
  <c r="O965" i="6"/>
  <c r="N965" i="6"/>
  <c r="L965" i="6"/>
  <c r="I965" i="6"/>
  <c r="H965" i="6"/>
  <c r="E965" i="6"/>
  <c r="C965" i="6"/>
  <c r="B965" i="6"/>
  <c r="P964" i="6"/>
  <c r="O964" i="6"/>
  <c r="N964" i="6"/>
  <c r="L964" i="6"/>
  <c r="I964" i="6"/>
  <c r="H964" i="6"/>
  <c r="E964" i="6"/>
  <c r="C964" i="6"/>
  <c r="B964" i="6"/>
  <c r="P963" i="6"/>
  <c r="O963" i="6"/>
  <c r="N963" i="6"/>
  <c r="L963" i="6"/>
  <c r="I963" i="6"/>
  <c r="H963" i="6"/>
  <c r="E963" i="6"/>
  <c r="C963" i="6"/>
  <c r="B963" i="6"/>
  <c r="P962" i="6"/>
  <c r="O962" i="6"/>
  <c r="N962" i="6"/>
  <c r="L962" i="6"/>
  <c r="I962" i="6"/>
  <c r="H962" i="6"/>
  <c r="E962" i="6"/>
  <c r="C962" i="6"/>
  <c r="B962" i="6"/>
  <c r="P961" i="6"/>
  <c r="O961" i="6"/>
  <c r="N961" i="6"/>
  <c r="L961" i="6"/>
  <c r="I961" i="6"/>
  <c r="H961" i="6"/>
  <c r="E961" i="6"/>
  <c r="C961" i="6"/>
  <c r="B961" i="6"/>
  <c r="P960" i="6"/>
  <c r="O960" i="6"/>
  <c r="N960" i="6"/>
  <c r="L960" i="6"/>
  <c r="I960" i="6"/>
  <c r="H960" i="6"/>
  <c r="E960" i="6"/>
  <c r="C960" i="6"/>
  <c r="B960" i="6"/>
  <c r="P959" i="6"/>
  <c r="O959" i="6"/>
  <c r="N959" i="6"/>
  <c r="L959" i="6"/>
  <c r="I959" i="6"/>
  <c r="H959" i="6"/>
  <c r="E959" i="6"/>
  <c r="C959" i="6"/>
  <c r="B959" i="6"/>
  <c r="P958" i="6"/>
  <c r="O958" i="6"/>
  <c r="N958" i="6"/>
  <c r="L958" i="6"/>
  <c r="I958" i="6"/>
  <c r="H958" i="6"/>
  <c r="E958" i="6"/>
  <c r="C958" i="6"/>
  <c r="B958" i="6"/>
  <c r="P957" i="6"/>
  <c r="O957" i="6"/>
  <c r="N957" i="6"/>
  <c r="L957" i="6"/>
  <c r="I957" i="6"/>
  <c r="H957" i="6"/>
  <c r="E957" i="6"/>
  <c r="C957" i="6"/>
  <c r="B957" i="6"/>
  <c r="P956" i="6"/>
  <c r="O956" i="6"/>
  <c r="N956" i="6"/>
  <c r="L956" i="6"/>
  <c r="I956" i="6"/>
  <c r="H956" i="6"/>
  <c r="E956" i="6"/>
  <c r="C956" i="6"/>
  <c r="B956" i="6"/>
  <c r="P955" i="6"/>
  <c r="O955" i="6"/>
  <c r="N955" i="6"/>
  <c r="L955" i="6"/>
  <c r="I955" i="6"/>
  <c r="H955" i="6"/>
  <c r="E955" i="6"/>
  <c r="C955" i="6"/>
  <c r="B955" i="6"/>
  <c r="P954" i="6"/>
  <c r="O954" i="6"/>
  <c r="N954" i="6"/>
  <c r="L954" i="6"/>
  <c r="I954" i="6"/>
  <c r="H954" i="6"/>
  <c r="E954" i="6"/>
  <c r="C954" i="6"/>
  <c r="B954" i="6"/>
  <c r="P953" i="6"/>
  <c r="O953" i="6"/>
  <c r="N953" i="6"/>
  <c r="L953" i="6"/>
  <c r="I953" i="6"/>
  <c r="H953" i="6"/>
  <c r="E953" i="6"/>
  <c r="C953" i="6"/>
  <c r="B953" i="6"/>
  <c r="P952" i="6"/>
  <c r="O952" i="6"/>
  <c r="N952" i="6"/>
  <c r="L952" i="6"/>
  <c r="I952" i="6"/>
  <c r="H952" i="6"/>
  <c r="E952" i="6"/>
  <c r="C952" i="6"/>
  <c r="B952" i="6"/>
  <c r="P951" i="6"/>
  <c r="O951" i="6"/>
  <c r="N951" i="6"/>
  <c r="L951" i="6"/>
  <c r="I951" i="6"/>
  <c r="H951" i="6"/>
  <c r="E951" i="6"/>
  <c r="C951" i="6"/>
  <c r="B951" i="6"/>
  <c r="P950" i="6"/>
  <c r="O950" i="6"/>
  <c r="N950" i="6"/>
  <c r="L950" i="6"/>
  <c r="I950" i="6"/>
  <c r="H950" i="6"/>
  <c r="E950" i="6"/>
  <c r="C950" i="6"/>
  <c r="B950" i="6"/>
  <c r="O949" i="6"/>
  <c r="N949" i="6"/>
  <c r="M949" i="6"/>
  <c r="L949" i="6"/>
  <c r="H949" i="6"/>
  <c r="O948" i="6"/>
  <c r="N948" i="6"/>
  <c r="M948" i="6"/>
  <c r="L948" i="6"/>
  <c r="H948" i="6"/>
  <c r="P947" i="6"/>
  <c r="O947" i="6"/>
  <c r="N947" i="6"/>
  <c r="L947" i="6"/>
  <c r="H947" i="6"/>
  <c r="E947" i="6"/>
  <c r="C947" i="6"/>
  <c r="B947" i="6"/>
  <c r="P946" i="6"/>
  <c r="O946" i="6"/>
  <c r="N946" i="6"/>
  <c r="L946" i="6"/>
  <c r="H946" i="6"/>
  <c r="E946" i="6"/>
  <c r="C946" i="6"/>
  <c r="B946" i="6"/>
  <c r="P945" i="6"/>
  <c r="O945" i="6"/>
  <c r="N945" i="6"/>
  <c r="L945" i="6"/>
  <c r="H945" i="6"/>
  <c r="E945" i="6"/>
  <c r="C945" i="6"/>
  <c r="B945" i="6"/>
  <c r="P944" i="6"/>
  <c r="O944" i="6"/>
  <c r="N944" i="6"/>
  <c r="M944" i="6"/>
  <c r="L944" i="6"/>
  <c r="H944" i="6"/>
  <c r="P943" i="6"/>
  <c r="O943" i="6"/>
  <c r="N943" i="6"/>
  <c r="L943" i="6"/>
  <c r="I943" i="6"/>
  <c r="H943" i="6"/>
  <c r="E943" i="6"/>
  <c r="C943" i="6"/>
  <c r="B943" i="6"/>
  <c r="P942" i="6"/>
  <c r="O942" i="6"/>
  <c r="N942" i="6"/>
  <c r="L942" i="6"/>
  <c r="I942" i="6"/>
  <c r="H942" i="6"/>
  <c r="E942" i="6"/>
  <c r="C942" i="6"/>
  <c r="B942" i="6"/>
  <c r="P941" i="6"/>
  <c r="O941" i="6"/>
  <c r="N941" i="6"/>
  <c r="L941" i="6"/>
  <c r="I941" i="6"/>
  <c r="H941" i="6"/>
  <c r="E941" i="6"/>
  <c r="C941" i="6"/>
  <c r="B941" i="6"/>
  <c r="P940" i="6"/>
  <c r="O940" i="6"/>
  <c r="N940" i="6"/>
  <c r="L940" i="6"/>
  <c r="I940" i="6"/>
  <c r="H940" i="6"/>
  <c r="E940" i="6"/>
  <c r="C940" i="6"/>
  <c r="B940" i="6"/>
  <c r="P939" i="6"/>
  <c r="O939" i="6"/>
  <c r="N939" i="6"/>
  <c r="L939" i="6"/>
  <c r="I939" i="6"/>
  <c r="H939" i="6"/>
  <c r="E939" i="6"/>
  <c r="C939" i="6"/>
  <c r="B939" i="6"/>
  <c r="P938" i="6"/>
  <c r="O938" i="6"/>
  <c r="N938" i="6"/>
  <c r="L938" i="6"/>
  <c r="I938" i="6"/>
  <c r="H938" i="6"/>
  <c r="E938" i="6"/>
  <c r="C938" i="6"/>
  <c r="B938" i="6"/>
  <c r="P937" i="6"/>
  <c r="O937" i="6"/>
  <c r="N937" i="6"/>
  <c r="L937" i="6"/>
  <c r="I937" i="6"/>
  <c r="H937" i="6"/>
  <c r="E937" i="6"/>
  <c r="C937" i="6"/>
  <c r="B937" i="6"/>
  <c r="P936" i="6"/>
  <c r="O936" i="6"/>
  <c r="N936" i="6"/>
  <c r="L936" i="6"/>
  <c r="I936" i="6"/>
  <c r="H936" i="6"/>
  <c r="E936" i="6"/>
  <c r="C936" i="6"/>
  <c r="B936" i="6"/>
  <c r="P935" i="6"/>
  <c r="O935" i="6"/>
  <c r="N935" i="6"/>
  <c r="L935" i="6"/>
  <c r="I935" i="6"/>
  <c r="H935" i="6"/>
  <c r="E935" i="6"/>
  <c r="C935" i="6"/>
  <c r="B935" i="6"/>
  <c r="P934" i="6"/>
  <c r="O934" i="6"/>
  <c r="N934" i="6"/>
  <c r="L934" i="6"/>
  <c r="I934" i="6"/>
  <c r="H934" i="6"/>
  <c r="E934" i="6"/>
  <c r="C934" i="6"/>
  <c r="B934" i="6"/>
  <c r="P933" i="6"/>
  <c r="O933" i="6"/>
  <c r="N933" i="6"/>
  <c r="L933" i="6"/>
  <c r="I933" i="6"/>
  <c r="H933" i="6"/>
  <c r="E933" i="6"/>
  <c r="C933" i="6"/>
  <c r="B933" i="6"/>
  <c r="P932" i="6"/>
  <c r="O932" i="6"/>
  <c r="N932" i="6"/>
  <c r="L932" i="6"/>
  <c r="I932" i="6"/>
  <c r="H932" i="6"/>
  <c r="E932" i="6"/>
  <c r="C932" i="6"/>
  <c r="B932" i="6"/>
  <c r="P931" i="6"/>
  <c r="O931" i="6"/>
  <c r="N931" i="6"/>
  <c r="L931" i="6"/>
  <c r="I931" i="6"/>
  <c r="H931" i="6"/>
  <c r="E931" i="6"/>
  <c r="C931" i="6"/>
  <c r="B931" i="6"/>
  <c r="P930" i="6"/>
  <c r="O930" i="6"/>
  <c r="N930" i="6"/>
  <c r="L930" i="6"/>
  <c r="I930" i="6"/>
  <c r="H930" i="6"/>
  <c r="E930" i="6"/>
  <c r="C930" i="6"/>
  <c r="B930" i="6"/>
  <c r="P929" i="6"/>
  <c r="O929" i="6"/>
  <c r="N929" i="6"/>
  <c r="L929" i="6"/>
  <c r="I929" i="6"/>
  <c r="H929" i="6"/>
  <c r="E929" i="6"/>
  <c r="C929" i="6"/>
  <c r="B929" i="6"/>
  <c r="P928" i="6"/>
  <c r="O928" i="6"/>
  <c r="N928" i="6"/>
  <c r="L928" i="6"/>
  <c r="I928" i="6"/>
  <c r="H928" i="6"/>
  <c r="E928" i="6"/>
  <c r="C928" i="6"/>
  <c r="B928" i="6"/>
  <c r="P927" i="6"/>
  <c r="O927" i="6"/>
  <c r="N927" i="6"/>
  <c r="M927" i="6"/>
  <c r="L927" i="6"/>
  <c r="H927" i="6"/>
  <c r="P926" i="6"/>
  <c r="O926" i="6"/>
  <c r="N926" i="6"/>
  <c r="L926" i="6"/>
  <c r="I926" i="6"/>
  <c r="H926" i="6"/>
  <c r="E926" i="6"/>
  <c r="C926" i="6"/>
  <c r="B926" i="6"/>
  <c r="P925" i="6"/>
  <c r="O925" i="6"/>
  <c r="N925" i="6"/>
  <c r="L925" i="6"/>
  <c r="I925" i="6"/>
  <c r="H925" i="6"/>
  <c r="E925" i="6"/>
  <c r="C925" i="6"/>
  <c r="B925" i="6"/>
  <c r="P924" i="6"/>
  <c r="O924" i="6"/>
  <c r="N924" i="6"/>
  <c r="L924" i="6"/>
  <c r="I924" i="6"/>
  <c r="H924" i="6"/>
  <c r="E924" i="6"/>
  <c r="C924" i="6"/>
  <c r="B924" i="6"/>
  <c r="P923" i="6"/>
  <c r="O923" i="6"/>
  <c r="N923" i="6"/>
  <c r="L923" i="6"/>
  <c r="I923" i="6"/>
  <c r="H923" i="6"/>
  <c r="E923" i="6"/>
  <c r="C923" i="6"/>
  <c r="B923" i="6"/>
  <c r="P922" i="6"/>
  <c r="O922" i="6"/>
  <c r="N922" i="6"/>
  <c r="L922" i="6"/>
  <c r="I922" i="6"/>
  <c r="H922" i="6"/>
  <c r="E922" i="6"/>
  <c r="C922" i="6"/>
  <c r="B922" i="6"/>
  <c r="O921" i="6"/>
  <c r="N921" i="6"/>
  <c r="M921" i="6"/>
  <c r="L921" i="6"/>
  <c r="H921" i="6"/>
  <c r="P920" i="6"/>
  <c r="O920" i="6"/>
  <c r="N920" i="6"/>
  <c r="L920" i="6"/>
  <c r="I920" i="6"/>
  <c r="H920" i="6"/>
  <c r="E920" i="6"/>
  <c r="C920" i="6"/>
  <c r="B920" i="6"/>
  <c r="P919" i="6"/>
  <c r="O919" i="6"/>
  <c r="N919" i="6"/>
  <c r="L919" i="6"/>
  <c r="I919" i="6"/>
  <c r="H919" i="6"/>
  <c r="E919" i="6"/>
  <c r="C919" i="6"/>
  <c r="B919" i="6"/>
  <c r="P918" i="6"/>
  <c r="O918" i="6"/>
  <c r="N918" i="6"/>
  <c r="L918" i="6"/>
  <c r="I918" i="6"/>
  <c r="H918" i="6"/>
  <c r="E918" i="6"/>
  <c r="C918" i="6"/>
  <c r="B918" i="6"/>
  <c r="P917" i="6"/>
  <c r="O917" i="6"/>
  <c r="N917" i="6"/>
  <c r="L917" i="6"/>
  <c r="I917" i="6"/>
  <c r="H917" i="6"/>
  <c r="E917" i="6"/>
  <c r="C917" i="6"/>
  <c r="B917" i="6"/>
  <c r="P916" i="6"/>
  <c r="O916" i="6"/>
  <c r="N916" i="6"/>
  <c r="L916" i="6"/>
  <c r="I916" i="6"/>
  <c r="H916" i="6"/>
  <c r="E916" i="6"/>
  <c r="C916" i="6"/>
  <c r="B916" i="6"/>
  <c r="O915" i="6"/>
  <c r="N915" i="6"/>
  <c r="M915" i="6"/>
  <c r="L915" i="6"/>
  <c r="H915" i="6"/>
  <c r="P914" i="6"/>
  <c r="O914" i="6"/>
  <c r="N914" i="6"/>
  <c r="L914" i="6"/>
  <c r="I914" i="6"/>
  <c r="H914" i="6"/>
  <c r="E914" i="6"/>
  <c r="C914" i="6"/>
  <c r="B914" i="6"/>
  <c r="P913" i="6"/>
  <c r="O913" i="6"/>
  <c r="N913" i="6"/>
  <c r="L913" i="6"/>
  <c r="I913" i="6"/>
  <c r="H913" i="6"/>
  <c r="E913" i="6"/>
  <c r="C913" i="6"/>
  <c r="B913" i="6"/>
  <c r="P912" i="6"/>
  <c r="O912" i="6"/>
  <c r="N912" i="6"/>
  <c r="L912" i="6"/>
  <c r="I912" i="6"/>
  <c r="H912" i="6"/>
  <c r="E912" i="6"/>
  <c r="C912" i="6"/>
  <c r="B912" i="6"/>
  <c r="P911" i="6"/>
  <c r="O911" i="6"/>
  <c r="N911" i="6"/>
  <c r="L911" i="6"/>
  <c r="I911" i="6"/>
  <c r="H911" i="6"/>
  <c r="E911" i="6"/>
  <c r="C911" i="6"/>
  <c r="B911" i="6"/>
  <c r="O910" i="6"/>
  <c r="N910" i="6"/>
  <c r="M910" i="6"/>
  <c r="L910" i="6"/>
  <c r="H910" i="6"/>
  <c r="P909" i="6"/>
  <c r="O909" i="6"/>
  <c r="N909" i="6"/>
  <c r="L909" i="6"/>
  <c r="I909" i="6"/>
  <c r="H909" i="6"/>
  <c r="E909" i="6"/>
  <c r="C909" i="6"/>
  <c r="B909" i="6"/>
  <c r="P908" i="6"/>
  <c r="O908" i="6"/>
  <c r="N908" i="6"/>
  <c r="L908" i="6"/>
  <c r="I908" i="6"/>
  <c r="H908" i="6"/>
  <c r="E908" i="6"/>
  <c r="C908" i="6"/>
  <c r="B908" i="6"/>
  <c r="P907" i="6"/>
  <c r="O907" i="6"/>
  <c r="N907" i="6"/>
  <c r="L907" i="6"/>
  <c r="I907" i="6"/>
  <c r="H907" i="6"/>
  <c r="E907" i="6"/>
  <c r="C907" i="6"/>
  <c r="B907" i="6"/>
  <c r="P906" i="6"/>
  <c r="O906" i="6"/>
  <c r="N906" i="6"/>
  <c r="L906" i="6"/>
  <c r="I906" i="6"/>
  <c r="H906" i="6"/>
  <c r="E906" i="6"/>
  <c r="C906" i="6"/>
  <c r="B906" i="6"/>
  <c r="P905" i="6"/>
  <c r="O905" i="6"/>
  <c r="N905" i="6"/>
  <c r="L905" i="6"/>
  <c r="I905" i="6"/>
  <c r="H905" i="6"/>
  <c r="E905" i="6"/>
  <c r="C905" i="6"/>
  <c r="B905" i="6"/>
  <c r="P904" i="6"/>
  <c r="O904" i="6"/>
  <c r="N904" i="6"/>
  <c r="L904" i="6"/>
  <c r="I904" i="6"/>
  <c r="H904" i="6"/>
  <c r="E904" i="6"/>
  <c r="C904" i="6"/>
  <c r="B904" i="6"/>
  <c r="P903" i="6"/>
  <c r="O903" i="6"/>
  <c r="N903" i="6"/>
  <c r="L903" i="6"/>
  <c r="I903" i="6"/>
  <c r="H903" i="6"/>
  <c r="E903" i="6"/>
  <c r="C903" i="6"/>
  <c r="B903" i="6"/>
  <c r="O902" i="6"/>
  <c r="N902" i="6"/>
  <c r="M902" i="6"/>
  <c r="L902" i="6"/>
  <c r="H902" i="6"/>
  <c r="P901" i="6"/>
  <c r="O901" i="6"/>
  <c r="N901" i="6"/>
  <c r="L901" i="6"/>
  <c r="I901" i="6"/>
  <c r="H901" i="6"/>
  <c r="E901" i="6"/>
  <c r="C901" i="6"/>
  <c r="B901" i="6"/>
  <c r="P900" i="6"/>
  <c r="O900" i="6"/>
  <c r="N900" i="6"/>
  <c r="L900" i="6"/>
  <c r="I900" i="6"/>
  <c r="H900" i="6"/>
  <c r="E900" i="6"/>
  <c r="C900" i="6"/>
  <c r="B900" i="6"/>
  <c r="P899" i="6"/>
  <c r="O899" i="6"/>
  <c r="N899" i="6"/>
  <c r="L899" i="6"/>
  <c r="I899" i="6"/>
  <c r="H899" i="6"/>
  <c r="E899" i="6"/>
  <c r="C899" i="6"/>
  <c r="B899" i="6"/>
  <c r="O898" i="6"/>
  <c r="N898" i="6"/>
  <c r="M898" i="6"/>
  <c r="L898" i="6"/>
  <c r="H898" i="6"/>
  <c r="P897" i="6"/>
  <c r="O897" i="6"/>
  <c r="N897" i="6"/>
  <c r="L897" i="6"/>
  <c r="I897" i="6"/>
  <c r="H897" i="6"/>
  <c r="E897" i="6"/>
  <c r="C897" i="6"/>
  <c r="B897" i="6"/>
  <c r="P896" i="6"/>
  <c r="O896" i="6"/>
  <c r="N896" i="6"/>
  <c r="L896" i="6"/>
  <c r="I896" i="6"/>
  <c r="H896" i="6"/>
  <c r="E896" i="6"/>
  <c r="C896" i="6"/>
  <c r="B896" i="6"/>
  <c r="P895" i="6"/>
  <c r="O895" i="6"/>
  <c r="N895" i="6"/>
  <c r="L895" i="6"/>
  <c r="I895" i="6"/>
  <c r="H895" i="6"/>
  <c r="E895" i="6"/>
  <c r="C895" i="6"/>
  <c r="B895" i="6"/>
  <c r="O894" i="6"/>
  <c r="N894" i="6"/>
  <c r="M894" i="6"/>
  <c r="L894" i="6"/>
  <c r="H894" i="6"/>
  <c r="P893" i="6"/>
  <c r="O893" i="6"/>
  <c r="N893" i="6"/>
  <c r="L893" i="6"/>
  <c r="I893" i="6"/>
  <c r="H893" i="6"/>
  <c r="E893" i="6"/>
  <c r="C893" i="6"/>
  <c r="B893" i="6"/>
  <c r="P892" i="6"/>
  <c r="O892" i="6"/>
  <c r="N892" i="6"/>
  <c r="L892" i="6"/>
  <c r="I892" i="6"/>
  <c r="H892" i="6"/>
  <c r="E892" i="6"/>
  <c r="C892" i="6"/>
  <c r="B892" i="6"/>
  <c r="P891" i="6"/>
  <c r="O891" i="6"/>
  <c r="N891" i="6"/>
  <c r="L891" i="6"/>
  <c r="I891" i="6"/>
  <c r="H891" i="6"/>
  <c r="E891" i="6"/>
  <c r="C891" i="6"/>
  <c r="B891" i="6"/>
  <c r="P890" i="6"/>
  <c r="O890" i="6"/>
  <c r="N890" i="6"/>
  <c r="L890" i="6"/>
  <c r="I890" i="6"/>
  <c r="H890" i="6"/>
  <c r="E890" i="6"/>
  <c r="C890" i="6"/>
  <c r="B890" i="6"/>
  <c r="O889" i="6"/>
  <c r="N889" i="6"/>
  <c r="M889" i="6"/>
  <c r="L889" i="6"/>
  <c r="H889" i="6"/>
  <c r="O888" i="6"/>
  <c r="N888" i="6"/>
  <c r="M888" i="6"/>
  <c r="L888" i="6"/>
  <c r="H888" i="6"/>
  <c r="P887" i="6"/>
  <c r="O887" i="6"/>
  <c r="N887" i="6"/>
  <c r="L887" i="6"/>
  <c r="I887" i="6"/>
  <c r="H887" i="6"/>
  <c r="E887" i="6"/>
  <c r="C887" i="6"/>
  <c r="B887" i="6"/>
  <c r="O886" i="6"/>
  <c r="N886" i="6"/>
  <c r="M886" i="6"/>
  <c r="L886" i="6"/>
  <c r="H886" i="6"/>
  <c r="P885" i="6"/>
  <c r="O885" i="6"/>
  <c r="N885" i="6"/>
  <c r="L885" i="6"/>
  <c r="I885" i="6"/>
  <c r="H885" i="6"/>
  <c r="E885" i="6"/>
  <c r="C885" i="6"/>
  <c r="B885" i="6"/>
  <c r="O884" i="6"/>
  <c r="N884" i="6"/>
  <c r="M884" i="6"/>
  <c r="L884" i="6"/>
  <c r="H884" i="6"/>
  <c r="P883" i="6"/>
  <c r="O883" i="6"/>
  <c r="N883" i="6"/>
  <c r="L883" i="6"/>
  <c r="I883" i="6"/>
  <c r="H883" i="6"/>
  <c r="E883" i="6"/>
  <c r="C883" i="6"/>
  <c r="B883" i="6"/>
  <c r="P882" i="6"/>
  <c r="O882" i="6"/>
  <c r="N882" i="6"/>
  <c r="L882" i="6"/>
  <c r="I882" i="6"/>
  <c r="H882" i="6"/>
  <c r="E882" i="6"/>
  <c r="C882" i="6"/>
  <c r="B882" i="6"/>
  <c r="P881" i="6"/>
  <c r="O881" i="6"/>
  <c r="N881" i="6"/>
  <c r="L881" i="6"/>
  <c r="I881" i="6"/>
  <c r="H881" i="6"/>
  <c r="E881" i="6"/>
  <c r="C881" i="6"/>
  <c r="B881" i="6"/>
  <c r="P880" i="6"/>
  <c r="O880" i="6"/>
  <c r="N880" i="6"/>
  <c r="L880" i="6"/>
  <c r="I880" i="6"/>
  <c r="H880" i="6"/>
  <c r="E880" i="6"/>
  <c r="C880" i="6"/>
  <c r="B880" i="6"/>
  <c r="O879" i="6"/>
  <c r="N879" i="6"/>
  <c r="M879" i="6"/>
  <c r="L879" i="6"/>
  <c r="H879" i="6"/>
  <c r="P878" i="6"/>
  <c r="O878" i="6"/>
  <c r="N878" i="6"/>
  <c r="L878" i="6"/>
  <c r="I878" i="6"/>
  <c r="H878" i="6"/>
  <c r="E878" i="6"/>
  <c r="C878" i="6"/>
  <c r="B878" i="6"/>
  <c r="P877" i="6"/>
  <c r="O877" i="6"/>
  <c r="N877" i="6"/>
  <c r="L877" i="6"/>
  <c r="I877" i="6"/>
  <c r="H877" i="6"/>
  <c r="E877" i="6"/>
  <c r="C877" i="6"/>
  <c r="B877" i="6"/>
  <c r="P876" i="6"/>
  <c r="O876" i="6"/>
  <c r="N876" i="6"/>
  <c r="L876" i="6"/>
  <c r="I876" i="6"/>
  <c r="H876" i="6"/>
  <c r="E876" i="6"/>
  <c r="C876" i="6"/>
  <c r="B876" i="6"/>
  <c r="P875" i="6"/>
  <c r="O875" i="6"/>
  <c r="N875" i="6"/>
  <c r="L875" i="6"/>
  <c r="I875" i="6"/>
  <c r="H875" i="6"/>
  <c r="E875" i="6"/>
  <c r="C875" i="6"/>
  <c r="B875" i="6"/>
  <c r="P874" i="6"/>
  <c r="O874" i="6"/>
  <c r="N874" i="6"/>
  <c r="L874" i="6"/>
  <c r="I874" i="6"/>
  <c r="H874" i="6"/>
  <c r="E874" i="6"/>
  <c r="C874" i="6"/>
  <c r="B874" i="6"/>
  <c r="O873" i="6"/>
  <c r="N873" i="6"/>
  <c r="M873" i="6"/>
  <c r="L873" i="6"/>
  <c r="I873" i="6"/>
  <c r="H873" i="6"/>
  <c r="P872" i="6"/>
  <c r="O872" i="6"/>
  <c r="N872" i="6"/>
  <c r="L872" i="6"/>
  <c r="I872" i="6"/>
  <c r="H872" i="6"/>
  <c r="E872" i="6"/>
  <c r="C872" i="6"/>
  <c r="B872" i="6"/>
  <c r="P871" i="6"/>
  <c r="O871" i="6"/>
  <c r="N871" i="6"/>
  <c r="L871" i="6"/>
  <c r="I871" i="6"/>
  <c r="H871" i="6"/>
  <c r="E871" i="6"/>
  <c r="C871" i="6"/>
  <c r="B871" i="6"/>
  <c r="P870" i="6"/>
  <c r="O870" i="6"/>
  <c r="N870" i="6"/>
  <c r="L870" i="6"/>
  <c r="I870" i="6"/>
  <c r="H870" i="6"/>
  <c r="E870" i="6"/>
  <c r="C870" i="6"/>
  <c r="B870" i="6"/>
  <c r="P869" i="6"/>
  <c r="O869" i="6"/>
  <c r="N869" i="6"/>
  <c r="L869" i="6"/>
  <c r="I869" i="6"/>
  <c r="H869" i="6"/>
  <c r="E869" i="6"/>
  <c r="C869" i="6"/>
  <c r="B869" i="6"/>
  <c r="O868" i="6"/>
  <c r="N868" i="6"/>
  <c r="M868" i="6"/>
  <c r="L868" i="6"/>
  <c r="H868" i="6"/>
  <c r="P867" i="6"/>
  <c r="O867" i="6"/>
  <c r="N867" i="6"/>
  <c r="L867" i="6"/>
  <c r="I867" i="6"/>
  <c r="H867" i="6"/>
  <c r="E867" i="6"/>
  <c r="C867" i="6"/>
  <c r="B867" i="6"/>
  <c r="P866" i="6"/>
  <c r="O866" i="6"/>
  <c r="N866" i="6"/>
  <c r="L866" i="6"/>
  <c r="I866" i="6"/>
  <c r="H866" i="6"/>
  <c r="E866" i="6"/>
  <c r="C866" i="6"/>
  <c r="B866" i="6"/>
  <c r="P865" i="6"/>
  <c r="O865" i="6"/>
  <c r="N865" i="6"/>
  <c r="L865" i="6"/>
  <c r="I865" i="6"/>
  <c r="H865" i="6"/>
  <c r="E865" i="6"/>
  <c r="C865" i="6"/>
  <c r="B865" i="6"/>
  <c r="P864" i="6"/>
  <c r="O864" i="6"/>
  <c r="N864" i="6"/>
  <c r="L864" i="6"/>
  <c r="I864" i="6"/>
  <c r="H864" i="6"/>
  <c r="E864" i="6"/>
  <c r="C864" i="6"/>
  <c r="B864" i="6"/>
  <c r="P863" i="6"/>
  <c r="O863" i="6"/>
  <c r="N863" i="6"/>
  <c r="M863" i="6"/>
  <c r="L863" i="6"/>
  <c r="H863" i="6"/>
  <c r="P862" i="6"/>
  <c r="O862" i="6"/>
  <c r="N862" i="6"/>
  <c r="L862" i="6"/>
  <c r="I862" i="6"/>
  <c r="H862" i="6"/>
  <c r="E862" i="6"/>
  <c r="C862" i="6"/>
  <c r="B862" i="6"/>
  <c r="P861" i="6"/>
  <c r="O861" i="6"/>
  <c r="N861" i="6"/>
  <c r="L861" i="6"/>
  <c r="I861" i="6"/>
  <c r="H861" i="6"/>
  <c r="E861" i="6"/>
  <c r="C861" i="6"/>
  <c r="B861" i="6"/>
  <c r="P860" i="6"/>
  <c r="O860" i="6"/>
  <c r="N860" i="6"/>
  <c r="L860" i="6"/>
  <c r="I860" i="6"/>
  <c r="H860" i="6"/>
  <c r="E860" i="6"/>
  <c r="C860" i="6"/>
  <c r="B860" i="6"/>
  <c r="P859" i="6"/>
  <c r="O859" i="6"/>
  <c r="N859" i="6"/>
  <c r="M859" i="6"/>
  <c r="L859" i="6"/>
  <c r="H859" i="6"/>
  <c r="P858" i="6"/>
  <c r="O858" i="6"/>
  <c r="N858" i="6"/>
  <c r="L858" i="6"/>
  <c r="I858" i="6"/>
  <c r="H858" i="6"/>
  <c r="E858" i="6"/>
  <c r="C858" i="6"/>
  <c r="B858" i="6"/>
  <c r="P857" i="6"/>
  <c r="O857" i="6"/>
  <c r="N857" i="6"/>
  <c r="L857" i="6"/>
  <c r="I857" i="6"/>
  <c r="H857" i="6"/>
  <c r="E857" i="6"/>
  <c r="C857" i="6"/>
  <c r="B857" i="6"/>
  <c r="P856" i="6"/>
  <c r="O856" i="6"/>
  <c r="N856" i="6"/>
  <c r="L856" i="6"/>
  <c r="I856" i="6"/>
  <c r="H856" i="6"/>
  <c r="E856" i="6"/>
  <c r="C856" i="6"/>
  <c r="B856" i="6"/>
  <c r="P855" i="6"/>
  <c r="O855" i="6"/>
  <c r="N855" i="6"/>
  <c r="L855" i="6"/>
  <c r="I855" i="6"/>
  <c r="H855" i="6"/>
  <c r="E855" i="6"/>
  <c r="C855" i="6"/>
  <c r="B855" i="6"/>
  <c r="P854" i="6"/>
  <c r="O854" i="6"/>
  <c r="N854" i="6"/>
  <c r="L854" i="6"/>
  <c r="I854" i="6"/>
  <c r="H854" i="6"/>
  <c r="E854" i="6"/>
  <c r="C854" i="6"/>
  <c r="B854" i="6"/>
  <c r="P853" i="6"/>
  <c r="O853" i="6"/>
  <c r="N853" i="6"/>
  <c r="L853" i="6"/>
  <c r="I853" i="6"/>
  <c r="H853" i="6"/>
  <c r="E853" i="6"/>
  <c r="C853" i="6"/>
  <c r="B853" i="6"/>
  <c r="P852" i="6"/>
  <c r="O852" i="6"/>
  <c r="N852" i="6"/>
  <c r="L852" i="6"/>
  <c r="I852" i="6"/>
  <c r="H852" i="6"/>
  <c r="E852" i="6"/>
  <c r="C852" i="6"/>
  <c r="B852" i="6"/>
  <c r="P851" i="6"/>
  <c r="O851" i="6"/>
  <c r="N851" i="6"/>
  <c r="L851" i="6"/>
  <c r="I851" i="6"/>
  <c r="H851" i="6"/>
  <c r="E851" i="6"/>
  <c r="C851" i="6"/>
  <c r="B851" i="6"/>
  <c r="P850" i="6"/>
  <c r="O850" i="6"/>
  <c r="N850" i="6"/>
  <c r="L850" i="6"/>
  <c r="I850" i="6"/>
  <c r="H850" i="6"/>
  <c r="E850" i="6"/>
  <c r="C850" i="6"/>
  <c r="B850" i="6"/>
  <c r="P849" i="6"/>
  <c r="O849" i="6"/>
  <c r="N849" i="6"/>
  <c r="L849" i="6"/>
  <c r="I849" i="6"/>
  <c r="H849" i="6"/>
  <c r="E849" i="6"/>
  <c r="C849" i="6"/>
  <c r="B849" i="6"/>
  <c r="P848" i="6"/>
  <c r="O848" i="6"/>
  <c r="N848" i="6"/>
  <c r="L848" i="6"/>
  <c r="I848" i="6"/>
  <c r="H848" i="6"/>
  <c r="E848" i="6"/>
  <c r="C848" i="6"/>
  <c r="B848" i="6"/>
  <c r="P847" i="6"/>
  <c r="O847" i="6"/>
  <c r="N847" i="6"/>
  <c r="M847" i="6"/>
  <c r="L847" i="6"/>
  <c r="H847" i="6"/>
  <c r="P846" i="6"/>
  <c r="O846" i="6"/>
  <c r="N846" i="6"/>
  <c r="L846" i="6"/>
  <c r="I846" i="6"/>
  <c r="H846" i="6"/>
  <c r="E846" i="6"/>
  <c r="C846" i="6"/>
  <c r="B846" i="6"/>
  <c r="P845" i="6"/>
  <c r="O845" i="6"/>
  <c r="N845" i="6"/>
  <c r="L845" i="6"/>
  <c r="I845" i="6"/>
  <c r="H845" i="6"/>
  <c r="E845" i="6"/>
  <c r="C845" i="6"/>
  <c r="B845" i="6"/>
  <c r="P844" i="6"/>
  <c r="O844" i="6"/>
  <c r="N844" i="6"/>
  <c r="L844" i="6"/>
  <c r="I844" i="6"/>
  <c r="H844" i="6"/>
  <c r="E844" i="6"/>
  <c r="C844" i="6"/>
  <c r="B844" i="6"/>
  <c r="P843" i="6"/>
  <c r="O843" i="6"/>
  <c r="N843" i="6"/>
  <c r="L843" i="6"/>
  <c r="I843" i="6"/>
  <c r="H843" i="6"/>
  <c r="E843" i="6"/>
  <c r="C843" i="6"/>
  <c r="B843" i="6"/>
  <c r="P842" i="6"/>
  <c r="O842" i="6"/>
  <c r="N842" i="6"/>
  <c r="L842" i="6"/>
  <c r="I842" i="6"/>
  <c r="H842" i="6"/>
  <c r="E842" i="6"/>
  <c r="C842" i="6"/>
  <c r="B842" i="6"/>
  <c r="P841" i="6"/>
  <c r="O841" i="6"/>
  <c r="N841" i="6"/>
  <c r="L841" i="6"/>
  <c r="I841" i="6"/>
  <c r="H841" i="6"/>
  <c r="E841" i="6"/>
  <c r="C841" i="6"/>
  <c r="B841" i="6"/>
  <c r="P840" i="6"/>
  <c r="O840" i="6"/>
  <c r="N840" i="6"/>
  <c r="L840" i="6"/>
  <c r="I840" i="6"/>
  <c r="H840" i="6"/>
  <c r="E840" i="6"/>
  <c r="C840" i="6"/>
  <c r="B840" i="6"/>
  <c r="P839" i="6"/>
  <c r="O839" i="6"/>
  <c r="N839" i="6"/>
  <c r="L839" i="6"/>
  <c r="I839" i="6"/>
  <c r="H839" i="6"/>
  <c r="E839" i="6"/>
  <c r="C839" i="6"/>
  <c r="B839" i="6"/>
  <c r="P838" i="6"/>
  <c r="O838" i="6"/>
  <c r="N838" i="6"/>
  <c r="L838" i="6"/>
  <c r="I838" i="6"/>
  <c r="H838" i="6"/>
  <c r="E838" i="6"/>
  <c r="C838" i="6"/>
  <c r="B838" i="6"/>
  <c r="P837" i="6"/>
  <c r="O837" i="6"/>
  <c r="N837" i="6"/>
  <c r="L837" i="6"/>
  <c r="I837" i="6"/>
  <c r="H837" i="6"/>
  <c r="E837" i="6"/>
  <c r="C837" i="6"/>
  <c r="B837" i="6"/>
  <c r="P836" i="6"/>
  <c r="O836" i="6"/>
  <c r="N836" i="6"/>
  <c r="L836" i="6"/>
  <c r="I836" i="6"/>
  <c r="H836" i="6"/>
  <c r="E836" i="6"/>
  <c r="C836" i="6"/>
  <c r="B836" i="6"/>
  <c r="O835" i="6"/>
  <c r="N835" i="6"/>
  <c r="M835" i="6"/>
  <c r="L835" i="6"/>
  <c r="H835" i="6"/>
  <c r="P834" i="6"/>
  <c r="O834" i="6"/>
  <c r="N834" i="6"/>
  <c r="M834" i="6"/>
  <c r="L834" i="6"/>
  <c r="H834" i="6"/>
  <c r="O833" i="6"/>
  <c r="N833" i="6"/>
  <c r="M833" i="6"/>
  <c r="L833" i="6"/>
  <c r="H833" i="6"/>
  <c r="P832" i="6"/>
  <c r="O832" i="6"/>
  <c r="H832" i="6"/>
  <c r="E832" i="6"/>
  <c r="C832" i="6"/>
  <c r="B832" i="6"/>
  <c r="P831" i="6"/>
  <c r="O831" i="6"/>
  <c r="H831" i="6"/>
  <c r="E831" i="6"/>
  <c r="C831" i="6"/>
  <c r="B831" i="6"/>
  <c r="P830" i="6"/>
  <c r="O830" i="6"/>
  <c r="H830" i="6"/>
  <c r="E830" i="6"/>
  <c r="C830" i="6"/>
  <c r="B830" i="6"/>
  <c r="P829" i="6"/>
  <c r="O829" i="6"/>
  <c r="H829" i="6"/>
  <c r="E829" i="6"/>
  <c r="C829" i="6"/>
  <c r="B829" i="6"/>
  <c r="P828" i="6"/>
  <c r="O828" i="6"/>
  <c r="H828" i="6"/>
  <c r="E828" i="6"/>
  <c r="C828" i="6"/>
  <c r="B828" i="6"/>
  <c r="P827" i="6"/>
  <c r="O827" i="6"/>
  <c r="H827" i="6"/>
  <c r="E827" i="6"/>
  <c r="C827" i="6"/>
  <c r="B827" i="6"/>
  <c r="P826" i="6"/>
  <c r="O826" i="6"/>
  <c r="H826" i="6"/>
  <c r="E826" i="6"/>
  <c r="C826" i="6"/>
  <c r="B826" i="6"/>
  <c r="P825" i="6"/>
  <c r="O825" i="6"/>
  <c r="H825" i="6"/>
  <c r="E825" i="6"/>
  <c r="C825" i="6"/>
  <c r="B825" i="6"/>
  <c r="P824" i="6"/>
  <c r="O824" i="6"/>
  <c r="H824" i="6"/>
  <c r="E824" i="6"/>
  <c r="C824" i="6"/>
  <c r="B824" i="6"/>
  <c r="O823" i="6"/>
  <c r="N823" i="6"/>
  <c r="M823" i="6"/>
  <c r="L823" i="6"/>
  <c r="H823" i="6"/>
  <c r="P822" i="6"/>
  <c r="O822" i="6"/>
  <c r="H822" i="6"/>
  <c r="E822" i="6"/>
  <c r="C822" i="6"/>
  <c r="B822" i="6"/>
  <c r="P821" i="6"/>
  <c r="O821" i="6"/>
  <c r="H821" i="6"/>
  <c r="E821" i="6"/>
  <c r="C821" i="6"/>
  <c r="B821" i="6"/>
  <c r="P820" i="6"/>
  <c r="O820" i="6"/>
  <c r="H820" i="6"/>
  <c r="E820" i="6"/>
  <c r="C820" i="6"/>
  <c r="B820" i="6"/>
  <c r="P819" i="6"/>
  <c r="O819" i="6"/>
  <c r="H819" i="6"/>
  <c r="E819" i="6"/>
  <c r="C819" i="6"/>
  <c r="B819" i="6"/>
  <c r="P818" i="6"/>
  <c r="O818" i="6"/>
  <c r="H818" i="6"/>
  <c r="E818" i="6"/>
  <c r="C818" i="6"/>
  <c r="B818" i="6"/>
  <c r="P817" i="6"/>
  <c r="O817" i="6"/>
  <c r="H817" i="6"/>
  <c r="E817" i="6"/>
  <c r="C817" i="6"/>
  <c r="B817" i="6"/>
  <c r="P816" i="6"/>
  <c r="O816" i="6"/>
  <c r="H816" i="6"/>
  <c r="E816" i="6"/>
  <c r="C816" i="6"/>
  <c r="B816" i="6"/>
  <c r="P815" i="6"/>
  <c r="O815" i="6"/>
  <c r="H815" i="6"/>
  <c r="E815" i="6"/>
  <c r="C815" i="6"/>
  <c r="B815" i="6"/>
  <c r="P814" i="6"/>
  <c r="O814" i="6"/>
  <c r="H814" i="6"/>
  <c r="E814" i="6"/>
  <c r="C814" i="6"/>
  <c r="B814" i="6"/>
  <c r="P813" i="6"/>
  <c r="O813" i="6"/>
  <c r="H813" i="6"/>
  <c r="E813" i="6"/>
  <c r="C813" i="6"/>
  <c r="B813" i="6"/>
  <c r="P812" i="6"/>
  <c r="O812" i="6"/>
  <c r="H812" i="6"/>
  <c r="E812" i="6"/>
  <c r="C812" i="6"/>
  <c r="B812" i="6"/>
  <c r="O811" i="6"/>
  <c r="N811" i="6"/>
  <c r="M811" i="6"/>
  <c r="L811" i="6"/>
  <c r="H811" i="6"/>
  <c r="P810" i="6"/>
  <c r="O810" i="6"/>
  <c r="H810" i="6"/>
  <c r="E810" i="6"/>
  <c r="C810" i="6"/>
  <c r="B810" i="6"/>
  <c r="P809" i="6"/>
  <c r="O809" i="6"/>
  <c r="H809" i="6"/>
  <c r="E809" i="6"/>
  <c r="C809" i="6"/>
  <c r="B809" i="6"/>
  <c r="P808" i="6"/>
  <c r="O808" i="6"/>
  <c r="H808" i="6"/>
  <c r="E808" i="6"/>
  <c r="C808" i="6"/>
  <c r="B808" i="6"/>
  <c r="P807" i="6"/>
  <c r="O807" i="6"/>
  <c r="H807" i="6"/>
  <c r="E807" i="6"/>
  <c r="C807" i="6"/>
  <c r="B807" i="6"/>
  <c r="P806" i="6"/>
  <c r="O806" i="6"/>
  <c r="H806" i="6"/>
  <c r="E806" i="6"/>
  <c r="C806" i="6"/>
  <c r="B806" i="6"/>
  <c r="O805" i="6"/>
  <c r="N805" i="6"/>
  <c r="M805" i="6"/>
  <c r="L805" i="6"/>
  <c r="H805" i="6"/>
  <c r="P804" i="6"/>
  <c r="O804" i="6"/>
  <c r="H804" i="6"/>
  <c r="E804" i="6"/>
  <c r="C804" i="6"/>
  <c r="B804" i="6"/>
  <c r="P803" i="6"/>
  <c r="O803" i="6"/>
  <c r="H803" i="6"/>
  <c r="E803" i="6"/>
  <c r="C803" i="6"/>
  <c r="B803" i="6"/>
  <c r="P802" i="6"/>
  <c r="O802" i="6"/>
  <c r="H802" i="6"/>
  <c r="E802" i="6"/>
  <c r="C802" i="6"/>
  <c r="B802" i="6"/>
  <c r="P801" i="6"/>
  <c r="O801" i="6"/>
  <c r="H801" i="6"/>
  <c r="E801" i="6"/>
  <c r="C801" i="6"/>
  <c r="B801" i="6"/>
  <c r="P800" i="6"/>
  <c r="O800" i="6"/>
  <c r="H800" i="6"/>
  <c r="E800" i="6"/>
  <c r="C800" i="6"/>
  <c r="B800" i="6"/>
  <c r="P799" i="6"/>
  <c r="O799" i="6"/>
  <c r="N799" i="6"/>
  <c r="M799" i="6"/>
  <c r="L799" i="6"/>
  <c r="H799" i="6"/>
  <c r="P798" i="6"/>
  <c r="O798" i="6"/>
  <c r="H798" i="6"/>
  <c r="E798" i="6"/>
  <c r="C798" i="6"/>
  <c r="B798" i="6"/>
  <c r="P797" i="6"/>
  <c r="O797" i="6"/>
  <c r="H797" i="6"/>
  <c r="E797" i="6"/>
  <c r="C797" i="6"/>
  <c r="B797" i="6"/>
  <c r="P796" i="6"/>
  <c r="O796" i="6"/>
  <c r="H796" i="6"/>
  <c r="E796" i="6"/>
  <c r="C796" i="6"/>
  <c r="B796" i="6"/>
  <c r="O795" i="6"/>
  <c r="N795" i="6"/>
  <c r="M795" i="6"/>
  <c r="L795" i="6"/>
  <c r="H795" i="6"/>
  <c r="P794" i="6"/>
  <c r="O794" i="6"/>
  <c r="H794" i="6"/>
  <c r="E794" i="6"/>
  <c r="C794" i="6"/>
  <c r="B794" i="6"/>
  <c r="P793" i="6"/>
  <c r="O793" i="6"/>
  <c r="H793" i="6"/>
  <c r="E793" i="6"/>
  <c r="C793" i="6"/>
  <c r="B793" i="6"/>
  <c r="P792" i="6"/>
  <c r="O792" i="6"/>
  <c r="H792" i="6"/>
  <c r="E792" i="6"/>
  <c r="C792" i="6"/>
  <c r="B792" i="6"/>
  <c r="P791" i="6"/>
  <c r="O791" i="6"/>
  <c r="H791" i="6"/>
  <c r="E791" i="6"/>
  <c r="C791" i="6"/>
  <c r="B791" i="6"/>
  <c r="P790" i="6"/>
  <c r="O790" i="6"/>
  <c r="H790" i="6"/>
  <c r="E790" i="6"/>
  <c r="C790" i="6"/>
  <c r="B790" i="6"/>
  <c r="P789" i="6"/>
  <c r="O789" i="6"/>
  <c r="H789" i="6"/>
  <c r="E789" i="6"/>
  <c r="C789" i="6"/>
  <c r="B789" i="6"/>
  <c r="O788" i="6"/>
  <c r="N788" i="6"/>
  <c r="M788" i="6"/>
  <c r="L788" i="6"/>
  <c r="H788" i="6"/>
  <c r="O787" i="6"/>
  <c r="N787" i="6"/>
  <c r="M787" i="6"/>
  <c r="L787" i="6"/>
  <c r="H787" i="6"/>
  <c r="P786" i="6"/>
  <c r="O786" i="6"/>
  <c r="H786" i="6"/>
  <c r="E786" i="6"/>
  <c r="C786" i="6"/>
  <c r="B786" i="6"/>
  <c r="P785" i="6"/>
  <c r="O785" i="6"/>
  <c r="H785" i="6"/>
  <c r="E785" i="6"/>
  <c r="C785" i="6"/>
  <c r="B785" i="6"/>
  <c r="P784" i="6"/>
  <c r="O784" i="6"/>
  <c r="H784" i="6"/>
  <c r="E784" i="6"/>
  <c r="C784" i="6"/>
  <c r="B784" i="6"/>
  <c r="P783" i="6"/>
  <c r="O783" i="6"/>
  <c r="H783" i="6"/>
  <c r="E783" i="6"/>
  <c r="C783" i="6"/>
  <c r="B783" i="6"/>
  <c r="P782" i="6"/>
  <c r="O782" i="6"/>
  <c r="H782" i="6"/>
  <c r="E782" i="6"/>
  <c r="C782" i="6"/>
  <c r="B782" i="6"/>
  <c r="P781" i="6"/>
  <c r="O781" i="6"/>
  <c r="H781" i="6"/>
  <c r="E781" i="6"/>
  <c r="C781" i="6"/>
  <c r="B781" i="6"/>
  <c r="P780" i="6"/>
  <c r="O780" i="6"/>
  <c r="H780" i="6"/>
  <c r="E780" i="6"/>
  <c r="C780" i="6"/>
  <c r="B780" i="6"/>
  <c r="P779" i="6"/>
  <c r="O779" i="6"/>
  <c r="H779" i="6"/>
  <c r="E779" i="6"/>
  <c r="C779" i="6"/>
  <c r="B779" i="6"/>
  <c r="P778" i="6"/>
  <c r="O778" i="6"/>
  <c r="H778" i="6"/>
  <c r="E778" i="6"/>
  <c r="C778" i="6"/>
  <c r="B778" i="6"/>
  <c r="P777" i="6"/>
  <c r="O777" i="6"/>
  <c r="H777" i="6"/>
  <c r="E777" i="6"/>
  <c r="C777" i="6"/>
  <c r="B777" i="6"/>
  <c r="P776" i="6"/>
  <c r="O776" i="6"/>
  <c r="H776" i="6"/>
  <c r="E776" i="6"/>
  <c r="C776" i="6"/>
  <c r="B776" i="6"/>
  <c r="P775" i="6"/>
  <c r="O775" i="6"/>
  <c r="H775" i="6"/>
  <c r="E775" i="6"/>
  <c r="C775" i="6"/>
  <c r="B775" i="6"/>
  <c r="P774" i="6"/>
  <c r="O774" i="6"/>
  <c r="H774" i="6"/>
  <c r="E774" i="6"/>
  <c r="C774" i="6"/>
  <c r="B774" i="6"/>
  <c r="P773" i="6"/>
  <c r="O773" i="6"/>
  <c r="H773" i="6"/>
  <c r="E773" i="6"/>
  <c r="C773" i="6"/>
  <c r="B773" i="6"/>
  <c r="O772" i="6"/>
  <c r="N772" i="6"/>
  <c r="M772" i="6"/>
  <c r="L772" i="6"/>
  <c r="H772" i="6"/>
  <c r="P771" i="6"/>
  <c r="O771" i="6"/>
  <c r="H771" i="6"/>
  <c r="E771" i="6"/>
  <c r="C771" i="6"/>
  <c r="B771" i="6"/>
  <c r="P770" i="6"/>
  <c r="O770" i="6"/>
  <c r="H770" i="6"/>
  <c r="E770" i="6"/>
  <c r="C770" i="6"/>
  <c r="B770" i="6"/>
  <c r="P769" i="6"/>
  <c r="O769" i="6"/>
  <c r="H769" i="6"/>
  <c r="E769" i="6"/>
  <c r="C769" i="6"/>
  <c r="B769" i="6"/>
  <c r="P768" i="6"/>
  <c r="O768" i="6"/>
  <c r="H768" i="6"/>
  <c r="E768" i="6"/>
  <c r="C768" i="6"/>
  <c r="B768" i="6"/>
  <c r="P767" i="6"/>
  <c r="O767" i="6"/>
  <c r="H767" i="6"/>
  <c r="E767" i="6"/>
  <c r="C767" i="6"/>
  <c r="B767" i="6"/>
  <c r="P766" i="6"/>
  <c r="O766" i="6"/>
  <c r="H766" i="6"/>
  <c r="E766" i="6"/>
  <c r="C766" i="6"/>
  <c r="B766" i="6"/>
  <c r="P765" i="6"/>
  <c r="O765" i="6"/>
  <c r="H765" i="6"/>
  <c r="E765" i="6"/>
  <c r="C765" i="6"/>
  <c r="B765" i="6"/>
  <c r="P764" i="6"/>
  <c r="O764" i="6"/>
  <c r="H764" i="6"/>
  <c r="E764" i="6"/>
  <c r="C764" i="6"/>
  <c r="B764" i="6"/>
  <c r="P763" i="6"/>
  <c r="O763" i="6"/>
  <c r="H763" i="6"/>
  <c r="E763" i="6"/>
  <c r="C763" i="6"/>
  <c r="B763" i="6"/>
  <c r="P762" i="6"/>
  <c r="O762" i="6"/>
  <c r="H762" i="6"/>
  <c r="E762" i="6"/>
  <c r="C762" i="6"/>
  <c r="B762" i="6"/>
  <c r="P761" i="6"/>
  <c r="O761" i="6"/>
  <c r="H761" i="6"/>
  <c r="E761" i="6"/>
  <c r="C761" i="6"/>
  <c r="B761" i="6"/>
  <c r="P760" i="6"/>
  <c r="O760" i="6"/>
  <c r="H760" i="6"/>
  <c r="E760" i="6"/>
  <c r="C760" i="6"/>
  <c r="B760" i="6"/>
  <c r="P759" i="6"/>
  <c r="O759" i="6"/>
  <c r="H759" i="6"/>
  <c r="E759" i="6"/>
  <c r="C759" i="6"/>
  <c r="B759" i="6"/>
  <c r="P758" i="6"/>
  <c r="O758" i="6"/>
  <c r="H758" i="6"/>
  <c r="E758" i="6"/>
  <c r="C758" i="6"/>
  <c r="B758" i="6"/>
  <c r="P757" i="6"/>
  <c r="O757" i="6"/>
  <c r="H757" i="6"/>
  <c r="E757" i="6"/>
  <c r="C757" i="6"/>
  <c r="B757" i="6"/>
  <c r="P756" i="6"/>
  <c r="O756" i="6"/>
  <c r="H756" i="6"/>
  <c r="E756" i="6"/>
  <c r="C756" i="6"/>
  <c r="B756" i="6"/>
  <c r="P755" i="6"/>
  <c r="O755" i="6"/>
  <c r="H755" i="6"/>
  <c r="E755" i="6"/>
  <c r="C755" i="6"/>
  <c r="B755" i="6"/>
  <c r="P754" i="6"/>
  <c r="O754" i="6"/>
  <c r="H754" i="6"/>
  <c r="E754" i="6"/>
  <c r="C754" i="6"/>
  <c r="B754" i="6"/>
  <c r="P753" i="6"/>
  <c r="O753" i="6"/>
  <c r="H753" i="6"/>
  <c r="E753" i="6"/>
  <c r="C753" i="6"/>
  <c r="B753" i="6"/>
  <c r="P752" i="6"/>
  <c r="O752" i="6"/>
  <c r="H752" i="6"/>
  <c r="E752" i="6"/>
  <c r="C752" i="6"/>
  <c r="B752" i="6"/>
  <c r="P751" i="6"/>
  <c r="O751" i="6"/>
  <c r="H751" i="6"/>
  <c r="E751" i="6"/>
  <c r="C751" i="6"/>
  <c r="B751" i="6"/>
  <c r="P750" i="6"/>
  <c r="O750" i="6"/>
  <c r="H750" i="6"/>
  <c r="E750" i="6"/>
  <c r="C750" i="6"/>
  <c r="B750" i="6"/>
  <c r="P749" i="6"/>
  <c r="O749" i="6"/>
  <c r="H749" i="6"/>
  <c r="E749" i="6"/>
  <c r="C749" i="6"/>
  <c r="B749" i="6"/>
  <c r="O748" i="6"/>
  <c r="N748" i="6"/>
  <c r="M748" i="6"/>
  <c r="L748" i="6"/>
  <c r="H748" i="6"/>
  <c r="O747" i="6"/>
  <c r="N747" i="6"/>
  <c r="M747" i="6"/>
  <c r="L747" i="6"/>
  <c r="H747" i="6"/>
  <c r="P746" i="6"/>
  <c r="O746" i="6"/>
  <c r="H746" i="6"/>
  <c r="E746" i="6"/>
  <c r="C746" i="6"/>
  <c r="B746" i="6"/>
  <c r="P745" i="6"/>
  <c r="O745" i="6"/>
  <c r="H745" i="6"/>
  <c r="E745" i="6"/>
  <c r="C745" i="6"/>
  <c r="B745" i="6"/>
  <c r="P744" i="6"/>
  <c r="O744" i="6"/>
  <c r="H744" i="6"/>
  <c r="E744" i="6"/>
  <c r="C744" i="6"/>
  <c r="B744" i="6"/>
  <c r="P743" i="6"/>
  <c r="O743" i="6"/>
  <c r="H743" i="6"/>
  <c r="E743" i="6"/>
  <c r="C743" i="6"/>
  <c r="B743" i="6"/>
  <c r="P742" i="6"/>
  <c r="O742" i="6"/>
  <c r="H742" i="6"/>
  <c r="E742" i="6"/>
  <c r="C742" i="6"/>
  <c r="B742" i="6"/>
  <c r="P741" i="6"/>
  <c r="O741" i="6"/>
  <c r="H741" i="6"/>
  <c r="E741" i="6"/>
  <c r="C741" i="6"/>
  <c r="B741" i="6"/>
  <c r="P740" i="6"/>
  <c r="O740" i="6"/>
  <c r="H740" i="6"/>
  <c r="E740" i="6"/>
  <c r="C740" i="6"/>
  <c r="B740" i="6"/>
  <c r="P739" i="6"/>
  <c r="O739" i="6"/>
  <c r="H739" i="6"/>
  <c r="E739" i="6"/>
  <c r="C739" i="6"/>
  <c r="B739" i="6"/>
  <c r="P738" i="6"/>
  <c r="O738" i="6"/>
  <c r="H738" i="6"/>
  <c r="E738" i="6"/>
  <c r="C738" i="6"/>
  <c r="B738" i="6"/>
  <c r="P737" i="6"/>
  <c r="O737" i="6"/>
  <c r="H737" i="6"/>
  <c r="E737" i="6"/>
  <c r="C737" i="6"/>
  <c r="B737" i="6"/>
  <c r="P736" i="6"/>
  <c r="O736" i="6"/>
  <c r="H736" i="6"/>
  <c r="E736" i="6"/>
  <c r="C736" i="6"/>
  <c r="B736" i="6"/>
  <c r="P735" i="6"/>
  <c r="O735" i="6"/>
  <c r="H735" i="6"/>
  <c r="E735" i="6"/>
  <c r="C735" i="6"/>
  <c r="B735" i="6"/>
  <c r="P734" i="6"/>
  <c r="O734" i="6"/>
  <c r="H734" i="6"/>
  <c r="E734" i="6"/>
  <c r="C734" i="6"/>
  <c r="B734" i="6"/>
  <c r="P733" i="6"/>
  <c r="O733" i="6"/>
  <c r="H733" i="6"/>
  <c r="E733" i="6"/>
  <c r="C733" i="6"/>
  <c r="B733" i="6"/>
  <c r="P732" i="6"/>
  <c r="O732" i="6"/>
  <c r="H732" i="6"/>
  <c r="E732" i="6"/>
  <c r="C732" i="6"/>
  <c r="B732" i="6"/>
  <c r="P731" i="6"/>
  <c r="O731" i="6"/>
  <c r="H731" i="6"/>
  <c r="E731" i="6"/>
  <c r="C731" i="6"/>
  <c r="B731" i="6"/>
  <c r="P730" i="6"/>
  <c r="O730" i="6"/>
  <c r="H730" i="6"/>
  <c r="E730" i="6"/>
  <c r="C730" i="6"/>
  <c r="B730" i="6"/>
  <c r="P729" i="6"/>
  <c r="O729" i="6"/>
  <c r="H729" i="6"/>
  <c r="E729" i="6"/>
  <c r="C729" i="6"/>
  <c r="B729" i="6"/>
  <c r="P728" i="6"/>
  <c r="O728" i="6"/>
  <c r="H728" i="6"/>
  <c r="E728" i="6"/>
  <c r="C728" i="6"/>
  <c r="B728" i="6"/>
  <c r="P727" i="6"/>
  <c r="O727" i="6"/>
  <c r="H727" i="6"/>
  <c r="E727" i="6"/>
  <c r="C727" i="6"/>
  <c r="B727" i="6"/>
  <c r="P726" i="6"/>
  <c r="O726" i="6"/>
  <c r="H726" i="6"/>
  <c r="E726" i="6"/>
  <c r="C726" i="6"/>
  <c r="B726" i="6"/>
  <c r="O725" i="6"/>
  <c r="N725" i="6"/>
  <c r="M725" i="6"/>
  <c r="L725" i="6"/>
  <c r="H725" i="6"/>
  <c r="P724" i="6"/>
  <c r="O724" i="6"/>
  <c r="H724" i="6"/>
  <c r="E724" i="6"/>
  <c r="C724" i="6"/>
  <c r="B724" i="6"/>
  <c r="P723" i="6"/>
  <c r="O723" i="6"/>
  <c r="H723" i="6"/>
  <c r="E723" i="6"/>
  <c r="C723" i="6"/>
  <c r="B723" i="6"/>
  <c r="P722" i="6"/>
  <c r="O722" i="6"/>
  <c r="H722" i="6"/>
  <c r="E722" i="6"/>
  <c r="C722" i="6"/>
  <c r="B722" i="6"/>
  <c r="P721" i="6"/>
  <c r="O721" i="6"/>
  <c r="H721" i="6"/>
  <c r="E721" i="6"/>
  <c r="C721" i="6"/>
  <c r="B721" i="6"/>
  <c r="P720" i="6"/>
  <c r="O720" i="6"/>
  <c r="H720" i="6"/>
  <c r="E720" i="6"/>
  <c r="C720" i="6"/>
  <c r="B720" i="6"/>
  <c r="P719" i="6"/>
  <c r="O719" i="6"/>
  <c r="H719" i="6"/>
  <c r="E719" i="6"/>
  <c r="C719" i="6"/>
  <c r="B719" i="6"/>
  <c r="O718" i="6"/>
  <c r="N718" i="6"/>
  <c r="M718" i="6"/>
  <c r="L718" i="6"/>
  <c r="H718" i="6"/>
  <c r="P717" i="6"/>
  <c r="O717" i="6"/>
  <c r="H717" i="6"/>
  <c r="E717" i="6"/>
  <c r="C717" i="6"/>
  <c r="B717" i="6"/>
  <c r="P716" i="6"/>
  <c r="O716" i="6"/>
  <c r="H716" i="6"/>
  <c r="E716" i="6"/>
  <c r="C716" i="6"/>
  <c r="B716" i="6"/>
  <c r="P715" i="6"/>
  <c r="O715" i="6"/>
  <c r="H715" i="6"/>
  <c r="E715" i="6"/>
  <c r="C715" i="6"/>
  <c r="B715" i="6"/>
  <c r="P714" i="6"/>
  <c r="O714" i="6"/>
  <c r="H714" i="6"/>
  <c r="E714" i="6"/>
  <c r="C714" i="6"/>
  <c r="B714" i="6"/>
  <c r="O713" i="6"/>
  <c r="N713" i="6"/>
  <c r="M713" i="6"/>
  <c r="L713" i="6"/>
  <c r="H713" i="6"/>
  <c r="P712" i="6"/>
  <c r="O712" i="6"/>
  <c r="H712" i="6"/>
  <c r="E712" i="6"/>
  <c r="C712" i="6"/>
  <c r="B712" i="6"/>
  <c r="P711" i="6"/>
  <c r="O711" i="6"/>
  <c r="H711" i="6"/>
  <c r="E711" i="6"/>
  <c r="C711" i="6"/>
  <c r="B711" i="6"/>
  <c r="P710" i="6"/>
  <c r="O710" i="6"/>
  <c r="H710" i="6"/>
  <c r="E710" i="6"/>
  <c r="C710" i="6"/>
  <c r="B710" i="6"/>
  <c r="P709" i="6"/>
  <c r="O709" i="6"/>
  <c r="H709" i="6"/>
  <c r="E709" i="6"/>
  <c r="C709" i="6"/>
  <c r="B709" i="6"/>
  <c r="O708" i="6"/>
  <c r="N708" i="6"/>
  <c r="M708" i="6"/>
  <c r="L708" i="6"/>
  <c r="H708" i="6"/>
  <c r="P707" i="6"/>
  <c r="O707" i="6"/>
  <c r="H707" i="6"/>
  <c r="E707" i="6"/>
  <c r="C707" i="6"/>
  <c r="B707" i="6"/>
  <c r="P706" i="6"/>
  <c r="O706" i="6"/>
  <c r="H706" i="6"/>
  <c r="E706" i="6"/>
  <c r="C706" i="6"/>
  <c r="B706" i="6"/>
  <c r="O705" i="6"/>
  <c r="N705" i="6"/>
  <c r="M705" i="6"/>
  <c r="L705" i="6"/>
  <c r="H705" i="6"/>
  <c r="P704" i="6"/>
  <c r="O704" i="6"/>
  <c r="H704" i="6"/>
  <c r="E704" i="6"/>
  <c r="C704" i="6"/>
  <c r="B704" i="6"/>
  <c r="P703" i="6"/>
  <c r="O703" i="6"/>
  <c r="H703" i="6"/>
  <c r="E703" i="6"/>
  <c r="C703" i="6"/>
  <c r="B703" i="6"/>
  <c r="O702" i="6"/>
  <c r="N702" i="6"/>
  <c r="M702" i="6"/>
  <c r="L702" i="6"/>
  <c r="H702" i="6"/>
  <c r="O701" i="6"/>
  <c r="N701" i="6"/>
  <c r="M701" i="6"/>
  <c r="L701" i="6"/>
  <c r="H701" i="6"/>
  <c r="P700" i="6"/>
  <c r="O700" i="6"/>
  <c r="H700" i="6"/>
  <c r="E700" i="6"/>
  <c r="C700" i="6"/>
  <c r="B700" i="6"/>
  <c r="P699" i="6"/>
  <c r="O699" i="6"/>
  <c r="N699" i="6"/>
  <c r="M699" i="6"/>
  <c r="L699" i="6"/>
  <c r="H699" i="6"/>
  <c r="P698" i="6"/>
  <c r="O698" i="6"/>
  <c r="H698" i="6"/>
  <c r="E698" i="6"/>
  <c r="C698" i="6"/>
  <c r="B698" i="6"/>
  <c r="P697" i="6"/>
  <c r="O697" i="6"/>
  <c r="H697" i="6"/>
  <c r="E697" i="6"/>
  <c r="C697" i="6"/>
  <c r="B697" i="6"/>
  <c r="P696" i="6"/>
  <c r="O696" i="6"/>
  <c r="H696" i="6"/>
  <c r="E696" i="6"/>
  <c r="C696" i="6"/>
  <c r="B696" i="6"/>
  <c r="P695" i="6"/>
  <c r="O695" i="6"/>
  <c r="H695" i="6"/>
  <c r="E695" i="6"/>
  <c r="C695" i="6"/>
  <c r="B695" i="6"/>
  <c r="P694" i="6"/>
  <c r="O694" i="6"/>
  <c r="H694" i="6"/>
  <c r="E694" i="6"/>
  <c r="C694" i="6"/>
  <c r="B694" i="6"/>
  <c r="P693" i="6"/>
  <c r="O693" i="6"/>
  <c r="H693" i="6"/>
  <c r="E693" i="6"/>
  <c r="C693" i="6"/>
  <c r="B693" i="6"/>
  <c r="P692" i="6"/>
  <c r="O692" i="6"/>
  <c r="H692" i="6"/>
  <c r="E692" i="6"/>
  <c r="C692" i="6"/>
  <c r="B692" i="6"/>
  <c r="P691" i="6"/>
  <c r="O691" i="6"/>
  <c r="H691" i="6"/>
  <c r="E691" i="6"/>
  <c r="C691" i="6"/>
  <c r="B691" i="6"/>
  <c r="O690" i="6"/>
  <c r="N690" i="6"/>
  <c r="M690" i="6"/>
  <c r="L690" i="6"/>
  <c r="H690" i="6"/>
  <c r="E690" i="6"/>
  <c r="C690" i="6"/>
  <c r="B690" i="6"/>
  <c r="P689" i="6"/>
  <c r="O689" i="6"/>
  <c r="H689" i="6"/>
  <c r="E689" i="6"/>
  <c r="C689" i="6"/>
  <c r="B689" i="6"/>
  <c r="P688" i="6"/>
  <c r="O688" i="6"/>
  <c r="H688" i="6"/>
  <c r="E688" i="6"/>
  <c r="C688" i="6"/>
  <c r="B688" i="6"/>
  <c r="P687" i="6"/>
  <c r="O687" i="6"/>
  <c r="H687" i="6"/>
  <c r="E687" i="6"/>
  <c r="C687" i="6"/>
  <c r="B687" i="6"/>
  <c r="P686" i="6"/>
  <c r="O686" i="6"/>
  <c r="H686" i="6"/>
  <c r="E686" i="6"/>
  <c r="C686" i="6"/>
  <c r="B686" i="6"/>
  <c r="P685" i="6"/>
  <c r="O685" i="6"/>
  <c r="H685" i="6"/>
  <c r="E685" i="6"/>
  <c r="C685" i="6"/>
  <c r="B685" i="6"/>
  <c r="P684" i="6"/>
  <c r="O684" i="6"/>
  <c r="H684" i="6"/>
  <c r="E684" i="6"/>
  <c r="C684" i="6"/>
  <c r="B684" i="6"/>
  <c r="P683" i="6"/>
  <c r="O683" i="6"/>
  <c r="H683" i="6"/>
  <c r="E683" i="6"/>
  <c r="C683" i="6"/>
  <c r="B683" i="6"/>
  <c r="O682" i="6"/>
  <c r="N682" i="6"/>
  <c r="M682" i="6"/>
  <c r="L682" i="6"/>
  <c r="H682" i="6"/>
  <c r="E682" i="6"/>
  <c r="C682" i="6"/>
  <c r="B682" i="6"/>
  <c r="P681" i="6"/>
  <c r="O681" i="6"/>
  <c r="H681" i="6"/>
  <c r="E681" i="6"/>
  <c r="C681" i="6"/>
  <c r="B681" i="6"/>
  <c r="P680" i="6"/>
  <c r="O680" i="6"/>
  <c r="H680" i="6"/>
  <c r="E680" i="6"/>
  <c r="C680" i="6"/>
  <c r="B680" i="6"/>
  <c r="P679" i="6"/>
  <c r="O679" i="6"/>
  <c r="H679" i="6"/>
  <c r="E679" i="6"/>
  <c r="C679" i="6"/>
  <c r="B679" i="6"/>
  <c r="P678" i="6"/>
  <c r="O678" i="6"/>
  <c r="H678" i="6"/>
  <c r="E678" i="6"/>
  <c r="C678" i="6"/>
  <c r="B678" i="6"/>
  <c r="P677" i="6"/>
  <c r="O677" i="6"/>
  <c r="H677" i="6"/>
  <c r="E677" i="6"/>
  <c r="C677" i="6"/>
  <c r="B677" i="6"/>
  <c r="P676" i="6"/>
  <c r="O676" i="6"/>
  <c r="N676" i="6"/>
  <c r="M676" i="6"/>
  <c r="L676" i="6"/>
  <c r="H676" i="6"/>
  <c r="E676" i="6"/>
  <c r="C676" i="6"/>
  <c r="B676" i="6"/>
  <c r="P675" i="6"/>
  <c r="O675" i="6"/>
  <c r="H675" i="6"/>
  <c r="E675" i="6"/>
  <c r="C675" i="6"/>
  <c r="B675" i="6"/>
  <c r="P674" i="6"/>
  <c r="O674" i="6"/>
  <c r="H674" i="6"/>
  <c r="E674" i="6"/>
  <c r="C674" i="6"/>
  <c r="B674" i="6"/>
  <c r="P673" i="6"/>
  <c r="O673" i="6"/>
  <c r="H673" i="6"/>
  <c r="E673" i="6"/>
  <c r="C673" i="6"/>
  <c r="B673" i="6"/>
  <c r="P672" i="6"/>
  <c r="O672" i="6"/>
  <c r="H672" i="6"/>
  <c r="E672" i="6"/>
  <c r="C672" i="6"/>
  <c r="B672" i="6"/>
  <c r="P671" i="6"/>
  <c r="O671" i="6"/>
  <c r="N671" i="6"/>
  <c r="M671" i="6"/>
  <c r="L671" i="6"/>
  <c r="H671" i="6"/>
  <c r="E671" i="6"/>
  <c r="C671" i="6"/>
  <c r="B671" i="6"/>
  <c r="P670" i="6"/>
  <c r="O670" i="6"/>
  <c r="H670" i="6"/>
  <c r="E670" i="6"/>
  <c r="C670" i="6"/>
  <c r="B670" i="6"/>
  <c r="P669" i="6"/>
  <c r="O669" i="6"/>
  <c r="H669" i="6"/>
  <c r="E669" i="6"/>
  <c r="C669" i="6"/>
  <c r="B669" i="6"/>
  <c r="P668" i="6"/>
  <c r="O668" i="6"/>
  <c r="H668" i="6"/>
  <c r="E668" i="6"/>
  <c r="C668" i="6"/>
  <c r="B668" i="6"/>
  <c r="P667" i="6"/>
  <c r="O667" i="6"/>
  <c r="H667" i="6"/>
  <c r="E667" i="6"/>
  <c r="C667" i="6"/>
  <c r="B667" i="6"/>
  <c r="P666" i="6"/>
  <c r="O666" i="6"/>
  <c r="H666" i="6"/>
  <c r="E666" i="6"/>
  <c r="C666" i="6"/>
  <c r="B666" i="6"/>
  <c r="P665" i="6"/>
  <c r="O665" i="6"/>
  <c r="H665" i="6"/>
  <c r="E665" i="6"/>
  <c r="C665" i="6"/>
  <c r="B665" i="6"/>
  <c r="O664" i="6"/>
  <c r="N664" i="6"/>
  <c r="M664" i="6"/>
  <c r="L664" i="6"/>
  <c r="H664" i="6"/>
  <c r="E664" i="6"/>
  <c r="C664" i="6"/>
  <c r="B664" i="6"/>
  <c r="P663" i="6"/>
  <c r="O663" i="6"/>
  <c r="H663" i="6"/>
  <c r="E663" i="6"/>
  <c r="C663" i="6"/>
  <c r="B663" i="6"/>
  <c r="P662" i="6"/>
  <c r="O662" i="6"/>
  <c r="H662" i="6"/>
  <c r="E662" i="6"/>
  <c r="C662" i="6"/>
  <c r="B662" i="6"/>
  <c r="P661" i="6"/>
  <c r="O661" i="6"/>
  <c r="H661" i="6"/>
  <c r="E661" i="6"/>
  <c r="C661" i="6"/>
  <c r="B661" i="6"/>
  <c r="P660" i="6"/>
  <c r="O660" i="6"/>
  <c r="H660" i="6"/>
  <c r="E660" i="6"/>
  <c r="C660" i="6"/>
  <c r="B660" i="6"/>
  <c r="P659" i="6"/>
  <c r="O659" i="6"/>
  <c r="H659" i="6"/>
  <c r="E659" i="6"/>
  <c r="C659" i="6"/>
  <c r="B659" i="6"/>
  <c r="O658" i="6"/>
  <c r="N658" i="6"/>
  <c r="M658" i="6"/>
  <c r="L658" i="6"/>
  <c r="H658" i="6"/>
  <c r="E658" i="6"/>
  <c r="C658" i="6"/>
  <c r="B658" i="6"/>
  <c r="O657" i="6"/>
  <c r="N657" i="6"/>
  <c r="M657" i="6"/>
  <c r="L657" i="6"/>
  <c r="H657" i="6"/>
  <c r="P656" i="6"/>
  <c r="O656" i="6"/>
  <c r="H656" i="6"/>
  <c r="E656" i="6"/>
  <c r="C656" i="6"/>
  <c r="B656" i="6"/>
  <c r="P655" i="6"/>
  <c r="O655" i="6"/>
  <c r="H655" i="6"/>
  <c r="E655" i="6"/>
  <c r="C655" i="6"/>
  <c r="B655" i="6"/>
  <c r="P654" i="6"/>
  <c r="O654" i="6"/>
  <c r="H654" i="6"/>
  <c r="E654" i="6"/>
  <c r="C654" i="6"/>
  <c r="B654" i="6"/>
  <c r="P653" i="6"/>
  <c r="O653" i="6"/>
  <c r="H653" i="6"/>
  <c r="E653" i="6"/>
  <c r="C653" i="6"/>
  <c r="B653" i="6"/>
  <c r="P652" i="6"/>
  <c r="O652" i="6"/>
  <c r="H652" i="6"/>
  <c r="E652" i="6"/>
  <c r="C652" i="6"/>
  <c r="B652" i="6"/>
  <c r="P651" i="6"/>
  <c r="O651" i="6"/>
  <c r="H651" i="6"/>
  <c r="E651" i="6"/>
  <c r="C651" i="6"/>
  <c r="B651" i="6"/>
  <c r="P650" i="6"/>
  <c r="O650" i="6"/>
  <c r="H650" i="6"/>
  <c r="E650" i="6"/>
  <c r="C650" i="6"/>
  <c r="B650" i="6"/>
  <c r="P649" i="6"/>
  <c r="O649" i="6"/>
  <c r="N649" i="6"/>
  <c r="M649" i="6"/>
  <c r="L649" i="6"/>
  <c r="H649" i="6"/>
  <c r="P648" i="6"/>
  <c r="O648" i="6"/>
  <c r="H648" i="6"/>
  <c r="E648" i="6"/>
  <c r="C648" i="6"/>
  <c r="B648" i="6"/>
  <c r="P647" i="6"/>
  <c r="O647" i="6"/>
  <c r="H647" i="6"/>
  <c r="E647" i="6"/>
  <c r="C647" i="6"/>
  <c r="B647" i="6"/>
  <c r="P646" i="6"/>
  <c r="O646" i="6"/>
  <c r="H646" i="6"/>
  <c r="E646" i="6"/>
  <c r="C646" i="6"/>
  <c r="B646" i="6"/>
  <c r="P645" i="6"/>
  <c r="O645" i="6"/>
  <c r="H645" i="6"/>
  <c r="E645" i="6"/>
  <c r="C645" i="6"/>
  <c r="B645" i="6"/>
  <c r="P644" i="6"/>
  <c r="O644" i="6"/>
  <c r="H644" i="6"/>
  <c r="E644" i="6"/>
  <c r="C644" i="6"/>
  <c r="B644" i="6"/>
  <c r="P643" i="6"/>
  <c r="O643" i="6"/>
  <c r="H643" i="6"/>
  <c r="E643" i="6"/>
  <c r="C643" i="6"/>
  <c r="B643" i="6"/>
  <c r="P642" i="6"/>
  <c r="O642" i="6"/>
  <c r="H642" i="6"/>
  <c r="E642" i="6"/>
  <c r="C642" i="6"/>
  <c r="B642" i="6"/>
  <c r="P641" i="6"/>
  <c r="O641" i="6"/>
  <c r="H641" i="6"/>
  <c r="E641" i="6"/>
  <c r="C641" i="6"/>
  <c r="B641" i="6"/>
  <c r="P640" i="6"/>
  <c r="O640" i="6"/>
  <c r="H640" i="6"/>
  <c r="E640" i="6"/>
  <c r="C640" i="6"/>
  <c r="B640" i="6"/>
  <c r="P639" i="6"/>
  <c r="O639" i="6"/>
  <c r="H639" i="6"/>
  <c r="E639" i="6"/>
  <c r="C639" i="6"/>
  <c r="B639" i="6"/>
  <c r="O638" i="6"/>
  <c r="N638" i="6"/>
  <c r="M638" i="6"/>
  <c r="L638" i="6"/>
  <c r="H638" i="6"/>
  <c r="P637" i="6"/>
  <c r="O637" i="6"/>
  <c r="H637" i="6"/>
  <c r="E637" i="6"/>
  <c r="C637" i="6"/>
  <c r="B637" i="6"/>
  <c r="P636" i="6"/>
  <c r="O636" i="6"/>
  <c r="H636" i="6"/>
  <c r="E636" i="6"/>
  <c r="C636" i="6"/>
  <c r="B636" i="6"/>
  <c r="P635" i="6"/>
  <c r="O635" i="6"/>
  <c r="H635" i="6"/>
  <c r="E635" i="6"/>
  <c r="C635" i="6"/>
  <c r="B635" i="6"/>
  <c r="P634" i="6"/>
  <c r="O634" i="6"/>
  <c r="H634" i="6"/>
  <c r="E634" i="6"/>
  <c r="C634" i="6"/>
  <c r="B634" i="6"/>
  <c r="P633" i="6"/>
  <c r="O633" i="6"/>
  <c r="H633" i="6"/>
  <c r="E633" i="6"/>
  <c r="C633" i="6"/>
  <c r="B633" i="6"/>
  <c r="P632" i="6"/>
  <c r="O632" i="6"/>
  <c r="H632" i="6"/>
  <c r="E632" i="6"/>
  <c r="C632" i="6"/>
  <c r="B632" i="6"/>
  <c r="O631" i="6"/>
  <c r="N631" i="6"/>
  <c r="M631" i="6"/>
  <c r="L631" i="6"/>
  <c r="H631" i="6"/>
  <c r="P630" i="6"/>
  <c r="O630" i="6"/>
  <c r="H630" i="6"/>
  <c r="E630" i="6"/>
  <c r="C630" i="6"/>
  <c r="B630" i="6"/>
  <c r="P629" i="6"/>
  <c r="O629" i="6"/>
  <c r="H629" i="6"/>
  <c r="E629" i="6"/>
  <c r="C629" i="6"/>
  <c r="B629" i="6"/>
  <c r="P628" i="6"/>
  <c r="O628" i="6"/>
  <c r="H628" i="6"/>
  <c r="E628" i="6"/>
  <c r="C628" i="6"/>
  <c r="B628" i="6"/>
  <c r="P627" i="6"/>
  <c r="O627" i="6"/>
  <c r="H627" i="6"/>
  <c r="E627" i="6"/>
  <c r="C627" i="6"/>
  <c r="B627" i="6"/>
  <c r="P626" i="6"/>
  <c r="O626" i="6"/>
  <c r="H626" i="6"/>
  <c r="E626" i="6"/>
  <c r="C626" i="6"/>
  <c r="B626" i="6"/>
  <c r="P625" i="6"/>
  <c r="O625" i="6"/>
  <c r="H625" i="6"/>
  <c r="E625" i="6"/>
  <c r="C625" i="6"/>
  <c r="B625" i="6"/>
  <c r="P624" i="6"/>
  <c r="O624" i="6"/>
  <c r="H624" i="6"/>
  <c r="E624" i="6"/>
  <c r="C624" i="6"/>
  <c r="B624" i="6"/>
  <c r="P623" i="6"/>
  <c r="O623" i="6"/>
  <c r="N623" i="6"/>
  <c r="M623" i="6"/>
  <c r="L623" i="6"/>
  <c r="H623" i="6"/>
  <c r="E623" i="6"/>
  <c r="C623" i="6"/>
  <c r="B623" i="6"/>
  <c r="P622" i="6"/>
  <c r="O622" i="6"/>
  <c r="H622" i="6"/>
  <c r="E622" i="6"/>
  <c r="C622" i="6"/>
  <c r="B622" i="6"/>
  <c r="P621" i="6"/>
  <c r="O621" i="6"/>
  <c r="H621" i="6"/>
  <c r="E621" i="6"/>
  <c r="C621" i="6"/>
  <c r="B621" i="6"/>
  <c r="P620" i="6"/>
  <c r="O620" i="6"/>
  <c r="H620" i="6"/>
  <c r="E620" i="6"/>
  <c r="C620" i="6"/>
  <c r="B620" i="6"/>
  <c r="P619" i="6"/>
  <c r="O619" i="6"/>
  <c r="H619" i="6"/>
  <c r="E619" i="6"/>
  <c r="C619" i="6"/>
  <c r="B619" i="6"/>
  <c r="O618" i="6"/>
  <c r="N618" i="6"/>
  <c r="M618" i="6"/>
  <c r="L618" i="6"/>
  <c r="H618" i="6"/>
  <c r="E618" i="6"/>
  <c r="C618" i="6"/>
  <c r="B618" i="6"/>
  <c r="P617" i="6"/>
  <c r="O617" i="6"/>
  <c r="H617" i="6"/>
  <c r="E617" i="6"/>
  <c r="C617" i="6"/>
  <c r="B617" i="6"/>
  <c r="P616" i="6"/>
  <c r="O616" i="6"/>
  <c r="H616" i="6"/>
  <c r="E616" i="6"/>
  <c r="C616" i="6"/>
  <c r="B616" i="6"/>
  <c r="P615" i="6"/>
  <c r="O615" i="6"/>
  <c r="H615" i="6"/>
  <c r="E615" i="6"/>
  <c r="C615" i="6"/>
  <c r="B615" i="6"/>
  <c r="P614" i="6"/>
  <c r="O614" i="6"/>
  <c r="H614" i="6"/>
  <c r="E614" i="6"/>
  <c r="C614" i="6"/>
  <c r="B614" i="6"/>
  <c r="P613" i="6"/>
  <c r="O613" i="6"/>
  <c r="N613" i="6"/>
  <c r="M613" i="6"/>
  <c r="L613" i="6"/>
  <c r="H613" i="6"/>
  <c r="E613" i="6"/>
  <c r="C613" i="6"/>
  <c r="B613" i="6"/>
  <c r="P612" i="6"/>
  <c r="O612" i="6"/>
  <c r="H612" i="6"/>
  <c r="E612" i="6"/>
  <c r="C612" i="6"/>
  <c r="B612" i="6"/>
  <c r="P611" i="6"/>
  <c r="O611" i="6"/>
  <c r="H611" i="6"/>
  <c r="E611" i="6"/>
  <c r="C611" i="6"/>
  <c r="B611" i="6"/>
  <c r="P610" i="6"/>
  <c r="O610" i="6"/>
  <c r="H610" i="6"/>
  <c r="E610" i="6"/>
  <c r="C610" i="6"/>
  <c r="B610" i="6"/>
  <c r="P609" i="6"/>
  <c r="O609" i="6"/>
  <c r="H609" i="6"/>
  <c r="E609" i="6"/>
  <c r="C609" i="6"/>
  <c r="B609" i="6"/>
  <c r="P608" i="6"/>
  <c r="O608" i="6"/>
  <c r="H608" i="6"/>
  <c r="E608" i="6"/>
  <c r="C608" i="6"/>
  <c r="B608" i="6"/>
  <c r="P607" i="6"/>
  <c r="O607" i="6"/>
  <c r="H607" i="6"/>
  <c r="E607" i="6"/>
  <c r="C607" i="6"/>
  <c r="B607" i="6"/>
  <c r="P606" i="6"/>
  <c r="O606" i="6"/>
  <c r="H606" i="6"/>
  <c r="E606" i="6"/>
  <c r="C606" i="6"/>
  <c r="B606" i="6"/>
  <c r="P605" i="6"/>
  <c r="O605" i="6"/>
  <c r="N605" i="6"/>
  <c r="M605" i="6"/>
  <c r="L605" i="6"/>
  <c r="H605" i="6"/>
  <c r="E605" i="6"/>
  <c r="C605" i="6"/>
  <c r="B605" i="6"/>
  <c r="P604" i="6"/>
  <c r="O604" i="6"/>
  <c r="H604" i="6"/>
  <c r="E604" i="6"/>
  <c r="C604" i="6"/>
  <c r="B604" i="6"/>
  <c r="P603" i="6"/>
  <c r="O603" i="6"/>
  <c r="H603" i="6"/>
  <c r="E603" i="6"/>
  <c r="C603" i="6"/>
  <c r="B603" i="6"/>
  <c r="P602" i="6"/>
  <c r="O602" i="6"/>
  <c r="H602" i="6"/>
  <c r="E602" i="6"/>
  <c r="C602" i="6"/>
  <c r="B602" i="6"/>
  <c r="P601" i="6"/>
  <c r="O601" i="6"/>
  <c r="H601" i="6"/>
  <c r="E601" i="6"/>
  <c r="C601" i="6"/>
  <c r="B601" i="6"/>
  <c r="P600" i="6"/>
  <c r="O600" i="6"/>
  <c r="H600" i="6"/>
  <c r="E600" i="6"/>
  <c r="C600" i="6"/>
  <c r="B600" i="6"/>
  <c r="O599" i="6"/>
  <c r="N599" i="6"/>
  <c r="M599" i="6"/>
  <c r="L599" i="6"/>
  <c r="H599" i="6"/>
  <c r="E599" i="6"/>
  <c r="C599" i="6"/>
  <c r="B599" i="6"/>
  <c r="P598" i="6"/>
  <c r="O598" i="6"/>
  <c r="H598" i="6"/>
  <c r="E598" i="6"/>
  <c r="C598" i="6"/>
  <c r="B598" i="6"/>
  <c r="P597" i="6"/>
  <c r="O597" i="6"/>
  <c r="H597" i="6"/>
  <c r="E597" i="6"/>
  <c r="C597" i="6"/>
  <c r="B597" i="6"/>
  <c r="P596" i="6"/>
  <c r="O596" i="6"/>
  <c r="H596" i="6"/>
  <c r="E596" i="6"/>
  <c r="C596" i="6"/>
  <c r="B596" i="6"/>
  <c r="P595" i="6"/>
  <c r="O595" i="6"/>
  <c r="H595" i="6"/>
  <c r="E595" i="6"/>
  <c r="C595" i="6"/>
  <c r="B595" i="6"/>
  <c r="P594" i="6"/>
  <c r="O594" i="6"/>
  <c r="H594" i="6"/>
  <c r="E594" i="6"/>
  <c r="C594" i="6"/>
  <c r="B594" i="6"/>
  <c r="P593" i="6"/>
  <c r="O593" i="6"/>
  <c r="H593" i="6"/>
  <c r="E593" i="6"/>
  <c r="C593" i="6"/>
  <c r="B593" i="6"/>
  <c r="O592" i="6"/>
  <c r="N592" i="6"/>
  <c r="M592" i="6"/>
  <c r="L592" i="6"/>
  <c r="H592" i="6"/>
  <c r="E592" i="6"/>
  <c r="C592" i="6"/>
  <c r="B592" i="6"/>
  <c r="P591" i="6"/>
  <c r="O591" i="6"/>
  <c r="H591" i="6"/>
  <c r="E591" i="6"/>
  <c r="C591" i="6"/>
  <c r="B591" i="6"/>
  <c r="P590" i="6"/>
  <c r="O590" i="6"/>
  <c r="H590" i="6"/>
  <c r="E590" i="6"/>
  <c r="C590" i="6"/>
  <c r="B590" i="6"/>
  <c r="P589" i="6"/>
  <c r="O589" i="6"/>
  <c r="H589" i="6"/>
  <c r="E589" i="6"/>
  <c r="C589" i="6"/>
  <c r="B589" i="6"/>
  <c r="P588" i="6"/>
  <c r="O588" i="6"/>
  <c r="H588" i="6"/>
  <c r="E588" i="6"/>
  <c r="C588" i="6"/>
  <c r="B588" i="6"/>
  <c r="P587" i="6"/>
  <c r="O587" i="6"/>
  <c r="H587" i="6"/>
  <c r="E587" i="6"/>
  <c r="C587" i="6"/>
  <c r="B587" i="6"/>
  <c r="P586" i="6"/>
  <c r="O586" i="6"/>
  <c r="H586" i="6"/>
  <c r="E586" i="6"/>
  <c r="C586" i="6"/>
  <c r="B586" i="6"/>
  <c r="P585" i="6"/>
  <c r="O585" i="6"/>
  <c r="H585" i="6"/>
  <c r="E585" i="6"/>
  <c r="C585" i="6"/>
  <c r="B585" i="6"/>
  <c r="P584" i="6"/>
  <c r="O584" i="6"/>
  <c r="H584" i="6"/>
  <c r="E584" i="6"/>
  <c r="C584" i="6"/>
  <c r="B584" i="6"/>
  <c r="P583" i="6"/>
  <c r="O583" i="6"/>
  <c r="H583" i="6"/>
  <c r="E583" i="6"/>
  <c r="C583" i="6"/>
  <c r="B583" i="6"/>
  <c r="O582" i="6"/>
  <c r="N582" i="6"/>
  <c r="M582" i="6"/>
  <c r="L582" i="6"/>
  <c r="H582" i="6"/>
  <c r="E582" i="6"/>
  <c r="C582" i="6"/>
  <c r="B582" i="6"/>
  <c r="P581" i="6"/>
  <c r="O581" i="6"/>
  <c r="H581" i="6"/>
  <c r="E581" i="6"/>
  <c r="C581" i="6"/>
  <c r="B581" i="6"/>
  <c r="P580" i="6"/>
  <c r="O580" i="6"/>
  <c r="H580" i="6"/>
  <c r="E580" i="6"/>
  <c r="C580" i="6"/>
  <c r="B580" i="6"/>
  <c r="P579" i="6"/>
  <c r="O579" i="6"/>
  <c r="H579" i="6"/>
  <c r="E579" i="6"/>
  <c r="C579" i="6"/>
  <c r="B579" i="6"/>
  <c r="P578" i="6"/>
  <c r="O578" i="6"/>
  <c r="H578" i="6"/>
  <c r="E578" i="6"/>
  <c r="C578" i="6"/>
  <c r="B578" i="6"/>
  <c r="P577" i="6"/>
  <c r="O577" i="6"/>
  <c r="H577" i="6"/>
  <c r="E577" i="6"/>
  <c r="C577" i="6"/>
  <c r="B577" i="6"/>
  <c r="P576" i="6"/>
  <c r="O576" i="6"/>
  <c r="H576" i="6"/>
  <c r="E576" i="6"/>
  <c r="C576" i="6"/>
  <c r="B576" i="6"/>
  <c r="O575" i="6"/>
  <c r="N575" i="6"/>
  <c r="M575" i="6"/>
  <c r="L575" i="6"/>
  <c r="H575" i="6"/>
  <c r="E575" i="6"/>
  <c r="C575" i="6"/>
  <c r="B575" i="6"/>
  <c r="O574" i="6"/>
  <c r="N574" i="6"/>
  <c r="M574" i="6"/>
  <c r="L574" i="6"/>
  <c r="H574" i="6"/>
  <c r="P573" i="6"/>
  <c r="O573" i="6"/>
  <c r="H573" i="6"/>
  <c r="E573" i="6"/>
  <c r="C573" i="6"/>
  <c r="B573" i="6"/>
  <c r="P572" i="6"/>
  <c r="O572" i="6"/>
  <c r="H572" i="6"/>
  <c r="E572" i="6"/>
  <c r="C572" i="6"/>
  <c r="B572" i="6"/>
  <c r="P571" i="6"/>
  <c r="O571" i="6"/>
  <c r="H571" i="6"/>
  <c r="E571" i="6"/>
  <c r="C571" i="6"/>
  <c r="B571" i="6"/>
  <c r="P570" i="6"/>
  <c r="O570" i="6"/>
  <c r="H570" i="6"/>
  <c r="E570" i="6"/>
  <c r="C570" i="6"/>
  <c r="B570" i="6"/>
  <c r="P569" i="6"/>
  <c r="O569" i="6"/>
  <c r="H569" i="6"/>
  <c r="E569" i="6"/>
  <c r="C569" i="6"/>
  <c r="B569" i="6"/>
  <c r="P568" i="6"/>
  <c r="O568" i="6"/>
  <c r="H568" i="6"/>
  <c r="E568" i="6"/>
  <c r="C568" i="6"/>
  <c r="B568" i="6"/>
  <c r="P567" i="6"/>
  <c r="O567" i="6"/>
  <c r="H567" i="6"/>
  <c r="E567" i="6"/>
  <c r="C567" i="6"/>
  <c r="B567" i="6"/>
  <c r="P566" i="6"/>
  <c r="O566" i="6"/>
  <c r="H566" i="6"/>
  <c r="E566" i="6"/>
  <c r="C566" i="6"/>
  <c r="B566" i="6"/>
  <c r="O565" i="6"/>
  <c r="N565" i="6"/>
  <c r="M565" i="6"/>
  <c r="L565" i="6"/>
  <c r="H565" i="6"/>
  <c r="E565" i="6"/>
  <c r="C565" i="6"/>
  <c r="B565" i="6"/>
  <c r="P564" i="6"/>
  <c r="O564" i="6"/>
  <c r="H564" i="6"/>
  <c r="E564" i="6"/>
  <c r="C564" i="6"/>
  <c r="B564" i="6"/>
  <c r="P563" i="6"/>
  <c r="O563" i="6"/>
  <c r="H563" i="6"/>
  <c r="E563" i="6"/>
  <c r="C563" i="6"/>
  <c r="B563" i="6"/>
  <c r="P562" i="6"/>
  <c r="O562" i="6"/>
  <c r="H562" i="6"/>
  <c r="E562" i="6"/>
  <c r="C562" i="6"/>
  <c r="B562" i="6"/>
  <c r="P561" i="6"/>
  <c r="O561" i="6"/>
  <c r="H561" i="6"/>
  <c r="E561" i="6"/>
  <c r="C561" i="6"/>
  <c r="B561" i="6"/>
  <c r="O560" i="6"/>
  <c r="N560" i="6"/>
  <c r="M560" i="6"/>
  <c r="L560" i="6"/>
  <c r="H560" i="6"/>
  <c r="E560" i="6"/>
  <c r="C560" i="6"/>
  <c r="B560" i="6"/>
  <c r="P559" i="6"/>
  <c r="O559" i="6"/>
  <c r="N559" i="6"/>
  <c r="M559" i="6"/>
  <c r="L559" i="6"/>
  <c r="H559" i="6"/>
  <c r="P558" i="6"/>
  <c r="O558" i="6"/>
  <c r="H558" i="6"/>
  <c r="E558" i="6"/>
  <c r="C558" i="6"/>
  <c r="B558" i="6"/>
  <c r="P557" i="6"/>
  <c r="O557" i="6"/>
  <c r="H557" i="6"/>
  <c r="E557" i="6"/>
  <c r="C557" i="6"/>
  <c r="B557" i="6"/>
  <c r="P556" i="6"/>
  <c r="O556" i="6"/>
  <c r="H556" i="6"/>
  <c r="E556" i="6"/>
  <c r="C556" i="6"/>
  <c r="B556" i="6"/>
  <c r="P555" i="6"/>
  <c r="O555" i="6"/>
  <c r="H555" i="6"/>
  <c r="E555" i="6"/>
  <c r="C555" i="6"/>
  <c r="B555" i="6"/>
  <c r="P554" i="6"/>
  <c r="O554" i="6"/>
  <c r="H554" i="6"/>
  <c r="E554" i="6"/>
  <c r="C554" i="6"/>
  <c r="B554" i="6"/>
  <c r="P553" i="6"/>
  <c r="O553" i="6"/>
  <c r="H553" i="6"/>
  <c r="E553" i="6"/>
  <c r="C553" i="6"/>
  <c r="B553" i="6"/>
  <c r="P552" i="6"/>
  <c r="O552" i="6"/>
  <c r="H552" i="6"/>
  <c r="E552" i="6"/>
  <c r="C552" i="6"/>
  <c r="B552" i="6"/>
  <c r="P551" i="6"/>
  <c r="O551" i="6"/>
  <c r="N551" i="6"/>
  <c r="M551" i="6"/>
  <c r="L551" i="6"/>
  <c r="H551" i="6"/>
  <c r="E551" i="6"/>
  <c r="C551" i="6"/>
  <c r="B551" i="6"/>
  <c r="P550" i="6"/>
  <c r="O550" i="6"/>
  <c r="H550" i="6"/>
  <c r="E550" i="6"/>
  <c r="C550" i="6"/>
  <c r="B550" i="6"/>
  <c r="P549" i="6"/>
  <c r="O549" i="6"/>
  <c r="H549" i="6"/>
  <c r="E549" i="6"/>
  <c r="C549" i="6"/>
  <c r="B549" i="6"/>
  <c r="P548" i="6"/>
  <c r="O548" i="6"/>
  <c r="H548" i="6"/>
  <c r="E548" i="6"/>
  <c r="C548" i="6"/>
  <c r="B548" i="6"/>
  <c r="P547" i="6"/>
  <c r="O547" i="6"/>
  <c r="H547" i="6"/>
  <c r="E547" i="6"/>
  <c r="C547" i="6"/>
  <c r="B547" i="6"/>
  <c r="P546" i="6"/>
  <c r="O546" i="6"/>
  <c r="H546" i="6"/>
  <c r="E546" i="6"/>
  <c r="C546" i="6"/>
  <c r="B546" i="6"/>
  <c r="P545" i="6"/>
  <c r="O545" i="6"/>
  <c r="H545" i="6"/>
  <c r="E545" i="6"/>
  <c r="C545" i="6"/>
  <c r="B545" i="6"/>
  <c r="P544" i="6"/>
  <c r="O544" i="6"/>
  <c r="H544" i="6"/>
  <c r="E544" i="6"/>
  <c r="C544" i="6"/>
  <c r="B544" i="6"/>
  <c r="P543" i="6"/>
  <c r="O543" i="6"/>
  <c r="H543" i="6"/>
  <c r="E543" i="6"/>
  <c r="C543" i="6"/>
  <c r="B543" i="6"/>
  <c r="P542" i="6"/>
  <c r="O542" i="6"/>
  <c r="H542" i="6"/>
  <c r="E542" i="6"/>
  <c r="C542" i="6"/>
  <c r="B542" i="6"/>
  <c r="O541" i="6"/>
  <c r="N541" i="6"/>
  <c r="M541" i="6"/>
  <c r="L541" i="6"/>
  <c r="H541" i="6"/>
  <c r="E541" i="6"/>
  <c r="C541" i="6"/>
  <c r="B541" i="6"/>
  <c r="P540" i="6"/>
  <c r="O540" i="6"/>
  <c r="N540" i="6"/>
  <c r="M540" i="6"/>
  <c r="L540" i="6"/>
  <c r="H540" i="6"/>
  <c r="P539" i="6"/>
  <c r="O539" i="6"/>
  <c r="H539" i="6"/>
  <c r="E539" i="6"/>
  <c r="C539" i="6"/>
  <c r="B539" i="6"/>
  <c r="P538" i="6"/>
  <c r="O538" i="6"/>
  <c r="H538" i="6"/>
  <c r="E538" i="6"/>
  <c r="C538" i="6"/>
  <c r="B538" i="6"/>
  <c r="P537" i="6"/>
  <c r="O537" i="6"/>
  <c r="H537" i="6"/>
  <c r="E537" i="6"/>
  <c r="C537" i="6"/>
  <c r="B537" i="6"/>
  <c r="P536" i="6"/>
  <c r="O536" i="6"/>
  <c r="H536" i="6"/>
  <c r="E536" i="6"/>
  <c r="C536" i="6"/>
  <c r="B536" i="6"/>
  <c r="P535" i="6"/>
  <c r="O535" i="6"/>
  <c r="N535" i="6"/>
  <c r="M535" i="6"/>
  <c r="L535" i="6"/>
  <c r="H535" i="6"/>
  <c r="P534" i="6"/>
  <c r="O534" i="6"/>
  <c r="H534" i="6"/>
  <c r="E534" i="6"/>
  <c r="C534" i="6"/>
  <c r="B534" i="6"/>
  <c r="P533" i="6"/>
  <c r="O533" i="6"/>
  <c r="H533" i="6"/>
  <c r="E533" i="6"/>
  <c r="C533" i="6"/>
  <c r="B533" i="6"/>
  <c r="P532" i="6"/>
  <c r="O532" i="6"/>
  <c r="H532" i="6"/>
  <c r="E532" i="6"/>
  <c r="C532" i="6"/>
  <c r="B532" i="6"/>
  <c r="P531" i="6"/>
  <c r="O531" i="6"/>
  <c r="H531" i="6"/>
  <c r="E531" i="6"/>
  <c r="C531" i="6"/>
  <c r="B531" i="6"/>
  <c r="O530" i="6"/>
  <c r="N530" i="6"/>
  <c r="M530" i="6"/>
  <c r="L530" i="6"/>
  <c r="H530" i="6"/>
  <c r="P529" i="6"/>
  <c r="O529" i="6"/>
  <c r="H529" i="6"/>
  <c r="E529" i="6"/>
  <c r="C529" i="6"/>
  <c r="B529" i="6"/>
  <c r="P528" i="6"/>
  <c r="O528" i="6"/>
  <c r="H528" i="6"/>
  <c r="E528" i="6"/>
  <c r="C528" i="6"/>
  <c r="B528" i="6"/>
  <c r="P527" i="6"/>
  <c r="O527" i="6"/>
  <c r="H527" i="6"/>
  <c r="E527" i="6"/>
  <c r="C527" i="6"/>
  <c r="B527" i="6"/>
  <c r="P526" i="6"/>
  <c r="O526" i="6"/>
  <c r="H526" i="6"/>
  <c r="E526" i="6"/>
  <c r="C526" i="6"/>
  <c r="B526" i="6"/>
  <c r="O525" i="6"/>
  <c r="N525" i="6"/>
  <c r="M525" i="6"/>
  <c r="L525" i="6"/>
  <c r="H525" i="6"/>
  <c r="P524" i="6"/>
  <c r="O524" i="6"/>
  <c r="H524" i="6"/>
  <c r="E524" i="6"/>
  <c r="C524" i="6"/>
  <c r="B524" i="6"/>
  <c r="P523" i="6"/>
  <c r="O523" i="6"/>
  <c r="H523" i="6"/>
  <c r="E523" i="6"/>
  <c r="C523" i="6"/>
  <c r="B523" i="6"/>
  <c r="P522" i="6"/>
  <c r="O522" i="6"/>
  <c r="H522" i="6"/>
  <c r="E522" i="6"/>
  <c r="C522" i="6"/>
  <c r="B522" i="6"/>
  <c r="P521" i="6"/>
  <c r="O521" i="6"/>
  <c r="H521" i="6"/>
  <c r="E521" i="6"/>
  <c r="C521" i="6"/>
  <c r="B521" i="6"/>
  <c r="O520" i="6"/>
  <c r="N520" i="6"/>
  <c r="M520" i="6"/>
  <c r="L520" i="6"/>
  <c r="H520" i="6"/>
  <c r="P519" i="6"/>
  <c r="O519" i="6"/>
  <c r="H519" i="6"/>
  <c r="E519" i="6"/>
  <c r="C519" i="6"/>
  <c r="B519" i="6"/>
  <c r="P518" i="6"/>
  <c r="O518" i="6"/>
  <c r="H518" i="6"/>
  <c r="E518" i="6"/>
  <c r="C518" i="6"/>
  <c r="B518" i="6"/>
  <c r="P517" i="6"/>
  <c r="O517" i="6"/>
  <c r="H517" i="6"/>
  <c r="E517" i="6"/>
  <c r="C517" i="6"/>
  <c r="B517" i="6"/>
  <c r="P516" i="6"/>
  <c r="O516" i="6"/>
  <c r="H516" i="6"/>
  <c r="E516" i="6"/>
  <c r="C516" i="6"/>
  <c r="B516" i="6"/>
  <c r="O515" i="6"/>
  <c r="N515" i="6"/>
  <c r="M515" i="6"/>
  <c r="L515" i="6"/>
  <c r="H515" i="6"/>
  <c r="P514" i="6"/>
  <c r="O514" i="6"/>
  <c r="H514" i="6"/>
  <c r="E514" i="6"/>
  <c r="C514" i="6"/>
  <c r="B514" i="6"/>
  <c r="P513" i="6"/>
  <c r="O513" i="6"/>
  <c r="H513" i="6"/>
  <c r="E513" i="6"/>
  <c r="C513" i="6"/>
  <c r="B513" i="6"/>
  <c r="P512" i="6"/>
  <c r="O512" i="6"/>
  <c r="H512" i="6"/>
  <c r="E512" i="6"/>
  <c r="C512" i="6"/>
  <c r="B512" i="6"/>
  <c r="P511" i="6"/>
  <c r="O511" i="6"/>
  <c r="H511" i="6"/>
  <c r="E511" i="6"/>
  <c r="C511" i="6"/>
  <c r="B511" i="6"/>
  <c r="P510" i="6"/>
  <c r="O510" i="6"/>
  <c r="H510" i="6"/>
  <c r="E510" i="6"/>
  <c r="C510" i="6"/>
  <c r="B510" i="6"/>
  <c r="P509" i="6"/>
  <c r="O509" i="6"/>
  <c r="H509" i="6"/>
  <c r="E509" i="6"/>
  <c r="C509" i="6"/>
  <c r="B509" i="6"/>
  <c r="O508" i="6"/>
  <c r="N508" i="6"/>
  <c r="M508" i="6"/>
  <c r="L508" i="6"/>
  <c r="H508" i="6"/>
  <c r="P507" i="6"/>
  <c r="O507" i="6"/>
  <c r="H507" i="6"/>
  <c r="E507" i="6"/>
  <c r="C507" i="6"/>
  <c r="B507" i="6"/>
  <c r="P506" i="6"/>
  <c r="O506" i="6"/>
  <c r="H506" i="6"/>
  <c r="E506" i="6"/>
  <c r="C506" i="6"/>
  <c r="B506" i="6"/>
  <c r="P505" i="6"/>
  <c r="O505" i="6"/>
  <c r="H505" i="6"/>
  <c r="E505" i="6"/>
  <c r="C505" i="6"/>
  <c r="B505" i="6"/>
  <c r="P504" i="6"/>
  <c r="O504" i="6"/>
  <c r="H504" i="6"/>
  <c r="E504" i="6"/>
  <c r="C504" i="6"/>
  <c r="B504" i="6"/>
  <c r="P503" i="6"/>
  <c r="O503" i="6"/>
  <c r="H503" i="6"/>
  <c r="E503" i="6"/>
  <c r="C503" i="6"/>
  <c r="B503" i="6"/>
  <c r="P502" i="6"/>
  <c r="O502" i="6"/>
  <c r="H502" i="6"/>
  <c r="E502" i="6"/>
  <c r="C502" i="6"/>
  <c r="B502" i="6"/>
  <c r="P501" i="6"/>
  <c r="O501" i="6"/>
  <c r="H501" i="6"/>
  <c r="E501" i="6"/>
  <c r="C501" i="6"/>
  <c r="B501" i="6"/>
  <c r="P500" i="6"/>
  <c r="O500" i="6"/>
  <c r="H500" i="6"/>
  <c r="E500" i="6"/>
  <c r="C500" i="6"/>
  <c r="B500" i="6"/>
  <c r="O499" i="6"/>
  <c r="N499" i="6"/>
  <c r="M499" i="6"/>
  <c r="L499" i="6"/>
  <c r="H499" i="6"/>
  <c r="O498" i="6"/>
  <c r="N498" i="6"/>
  <c r="M498" i="6"/>
  <c r="L498" i="6"/>
  <c r="H498" i="6"/>
  <c r="O497" i="6"/>
  <c r="N497" i="6"/>
  <c r="M497" i="6"/>
  <c r="L497" i="6"/>
  <c r="H497" i="6"/>
  <c r="P496" i="6"/>
  <c r="O496" i="6"/>
  <c r="H496" i="6"/>
  <c r="E496" i="6"/>
  <c r="C496" i="6"/>
  <c r="B496" i="6"/>
  <c r="P495" i="6"/>
  <c r="O495" i="6"/>
  <c r="H495" i="6"/>
  <c r="E495" i="6"/>
  <c r="C495" i="6"/>
  <c r="B495" i="6"/>
  <c r="P494" i="6"/>
  <c r="O494" i="6"/>
  <c r="H494" i="6"/>
  <c r="E494" i="6"/>
  <c r="C494" i="6"/>
  <c r="B494" i="6"/>
  <c r="O493" i="6"/>
  <c r="N493" i="6"/>
  <c r="M493" i="6"/>
  <c r="L493" i="6"/>
  <c r="H493" i="6"/>
  <c r="P492" i="6"/>
  <c r="O492" i="6"/>
  <c r="H492" i="6"/>
  <c r="E492" i="6"/>
  <c r="C492" i="6"/>
  <c r="B492" i="6"/>
  <c r="P491" i="6"/>
  <c r="O491" i="6"/>
  <c r="H491" i="6"/>
  <c r="E491" i="6"/>
  <c r="C491" i="6"/>
  <c r="B491" i="6"/>
  <c r="P490" i="6"/>
  <c r="O490" i="6"/>
  <c r="H490" i="6"/>
  <c r="E490" i="6"/>
  <c r="C490" i="6"/>
  <c r="B490" i="6"/>
  <c r="P489" i="6"/>
  <c r="O489" i="6"/>
  <c r="H489" i="6"/>
  <c r="E489" i="6"/>
  <c r="C489" i="6"/>
  <c r="B489" i="6"/>
  <c r="P488" i="6"/>
  <c r="O488" i="6"/>
  <c r="H488" i="6"/>
  <c r="E488" i="6"/>
  <c r="C488" i="6"/>
  <c r="B488" i="6"/>
  <c r="P487" i="6"/>
  <c r="O487" i="6"/>
  <c r="H487" i="6"/>
  <c r="E487" i="6"/>
  <c r="C487" i="6"/>
  <c r="B487" i="6"/>
  <c r="P486" i="6"/>
  <c r="O486" i="6"/>
  <c r="H486" i="6"/>
  <c r="E486" i="6"/>
  <c r="C486" i="6"/>
  <c r="B486" i="6"/>
  <c r="P485" i="6"/>
  <c r="O485" i="6"/>
  <c r="H485" i="6"/>
  <c r="E485" i="6"/>
  <c r="C485" i="6"/>
  <c r="B485" i="6"/>
  <c r="P484" i="6"/>
  <c r="O484" i="6"/>
  <c r="H484" i="6"/>
  <c r="E484" i="6"/>
  <c r="C484" i="6"/>
  <c r="B484" i="6"/>
  <c r="P483" i="6"/>
  <c r="O483" i="6"/>
  <c r="H483" i="6"/>
  <c r="E483" i="6"/>
  <c r="C483" i="6"/>
  <c r="B483" i="6"/>
  <c r="P482" i="6"/>
  <c r="O482" i="6"/>
  <c r="H482" i="6"/>
  <c r="E482" i="6"/>
  <c r="C482" i="6"/>
  <c r="B482" i="6"/>
  <c r="P481" i="6"/>
  <c r="O481" i="6"/>
  <c r="H481" i="6"/>
  <c r="E481" i="6"/>
  <c r="C481" i="6"/>
  <c r="B481" i="6"/>
  <c r="P480" i="6"/>
  <c r="O480" i="6"/>
  <c r="H480" i="6"/>
  <c r="E480" i="6"/>
  <c r="C480" i="6"/>
  <c r="B480" i="6"/>
  <c r="P479" i="6"/>
  <c r="O479" i="6"/>
  <c r="H479" i="6"/>
  <c r="E479" i="6"/>
  <c r="C479" i="6"/>
  <c r="B479" i="6"/>
  <c r="P478" i="6"/>
  <c r="O478" i="6"/>
  <c r="H478" i="6"/>
  <c r="E478" i="6"/>
  <c r="C478" i="6"/>
  <c r="B478" i="6"/>
  <c r="P477" i="6"/>
  <c r="O477" i="6"/>
  <c r="H477" i="6"/>
  <c r="E477" i="6"/>
  <c r="C477" i="6"/>
  <c r="B477" i="6"/>
  <c r="P476" i="6"/>
  <c r="O476" i="6"/>
  <c r="H476" i="6"/>
  <c r="E476" i="6"/>
  <c r="C476" i="6"/>
  <c r="B476" i="6"/>
  <c r="P475" i="6"/>
  <c r="O475" i="6"/>
  <c r="H475" i="6"/>
  <c r="E475" i="6"/>
  <c r="C475" i="6"/>
  <c r="B475" i="6"/>
  <c r="P474" i="6"/>
  <c r="O474" i="6"/>
  <c r="H474" i="6"/>
  <c r="E474" i="6"/>
  <c r="C474" i="6"/>
  <c r="B474" i="6"/>
  <c r="P473" i="6"/>
  <c r="O473" i="6"/>
  <c r="H473" i="6"/>
  <c r="E473" i="6"/>
  <c r="C473" i="6"/>
  <c r="B473" i="6"/>
  <c r="P472" i="6"/>
  <c r="O472" i="6"/>
  <c r="H472" i="6"/>
  <c r="E472" i="6"/>
  <c r="C472" i="6"/>
  <c r="B472" i="6"/>
  <c r="P471" i="6"/>
  <c r="O471" i="6"/>
  <c r="H471" i="6"/>
  <c r="E471" i="6"/>
  <c r="C471" i="6"/>
  <c r="B471" i="6"/>
  <c r="P470" i="6"/>
  <c r="O470" i="6"/>
  <c r="N470" i="6"/>
  <c r="M470" i="6"/>
  <c r="L470" i="6"/>
  <c r="H470" i="6"/>
  <c r="P469" i="6"/>
  <c r="O469" i="6"/>
  <c r="H469" i="6"/>
  <c r="E469" i="6"/>
  <c r="C469" i="6"/>
  <c r="B469" i="6"/>
  <c r="P468" i="6"/>
  <c r="O468" i="6"/>
  <c r="H468" i="6"/>
  <c r="E468" i="6"/>
  <c r="C468" i="6"/>
  <c r="B468" i="6"/>
  <c r="P467" i="6"/>
  <c r="O467" i="6"/>
  <c r="H467" i="6"/>
  <c r="E467" i="6"/>
  <c r="C467" i="6"/>
  <c r="B467" i="6"/>
  <c r="P466" i="6"/>
  <c r="O466" i="6"/>
  <c r="H466" i="6"/>
  <c r="E466" i="6"/>
  <c r="C466" i="6"/>
  <c r="B466" i="6"/>
  <c r="P465" i="6"/>
  <c r="O465" i="6"/>
  <c r="H465" i="6"/>
  <c r="E465" i="6"/>
  <c r="C465" i="6"/>
  <c r="B465" i="6"/>
  <c r="P464" i="6"/>
  <c r="O464" i="6"/>
  <c r="H464" i="6"/>
  <c r="E464" i="6"/>
  <c r="C464" i="6"/>
  <c r="B464" i="6"/>
  <c r="P463" i="6"/>
  <c r="O463" i="6"/>
  <c r="H463" i="6"/>
  <c r="E463" i="6"/>
  <c r="C463" i="6"/>
  <c r="B463" i="6"/>
  <c r="P462" i="6"/>
  <c r="O462" i="6"/>
  <c r="H462" i="6"/>
  <c r="E462" i="6"/>
  <c r="C462" i="6"/>
  <c r="B462" i="6"/>
  <c r="P461" i="6"/>
  <c r="O461" i="6"/>
  <c r="H461" i="6"/>
  <c r="E461" i="6"/>
  <c r="C461" i="6"/>
  <c r="B461" i="6"/>
  <c r="P460" i="6"/>
  <c r="O460" i="6"/>
  <c r="H460" i="6"/>
  <c r="E460" i="6"/>
  <c r="C460" i="6"/>
  <c r="B460" i="6"/>
  <c r="P459" i="6"/>
  <c r="O459" i="6"/>
  <c r="H459" i="6"/>
  <c r="E459" i="6"/>
  <c r="C459" i="6"/>
  <c r="B459" i="6"/>
  <c r="P458" i="6"/>
  <c r="O458" i="6"/>
  <c r="H458" i="6"/>
  <c r="E458" i="6"/>
  <c r="C458" i="6"/>
  <c r="B458" i="6"/>
  <c r="P457" i="6"/>
  <c r="O457" i="6"/>
  <c r="H457" i="6"/>
  <c r="E457" i="6"/>
  <c r="C457" i="6"/>
  <c r="B457" i="6"/>
  <c r="P456" i="6"/>
  <c r="O456" i="6"/>
  <c r="H456" i="6"/>
  <c r="E456" i="6"/>
  <c r="C456" i="6"/>
  <c r="B456" i="6"/>
  <c r="P455" i="6"/>
  <c r="O455" i="6"/>
  <c r="H455" i="6"/>
  <c r="E455" i="6"/>
  <c r="C455" i="6"/>
  <c r="B455" i="6"/>
  <c r="P454" i="6"/>
  <c r="O454" i="6"/>
  <c r="H454" i="6"/>
  <c r="E454" i="6"/>
  <c r="C454" i="6"/>
  <c r="B454" i="6"/>
  <c r="P453" i="6"/>
  <c r="O453" i="6"/>
  <c r="H453" i="6"/>
  <c r="E453" i="6"/>
  <c r="C453" i="6"/>
  <c r="B453" i="6"/>
  <c r="P452" i="6"/>
  <c r="O452" i="6"/>
  <c r="H452" i="6"/>
  <c r="E452" i="6"/>
  <c r="C452" i="6"/>
  <c r="B452" i="6"/>
  <c r="O451" i="6"/>
  <c r="N451" i="6"/>
  <c r="M451" i="6"/>
  <c r="L451" i="6"/>
  <c r="H451" i="6"/>
  <c r="P450" i="6"/>
  <c r="O450" i="6"/>
  <c r="H450" i="6"/>
  <c r="E450" i="6"/>
  <c r="C450" i="6"/>
  <c r="B450" i="6"/>
  <c r="P449" i="6"/>
  <c r="O449" i="6"/>
  <c r="H449" i="6"/>
  <c r="E449" i="6"/>
  <c r="C449" i="6"/>
  <c r="B449" i="6"/>
  <c r="P448" i="6"/>
  <c r="O448" i="6"/>
  <c r="H448" i="6"/>
  <c r="E448" i="6"/>
  <c r="C448" i="6"/>
  <c r="B448" i="6"/>
  <c r="P447" i="6"/>
  <c r="O447" i="6"/>
  <c r="H447" i="6"/>
  <c r="E447" i="6"/>
  <c r="C447" i="6"/>
  <c r="B447" i="6"/>
  <c r="P446" i="6"/>
  <c r="O446" i="6"/>
  <c r="H446" i="6"/>
  <c r="E446" i="6"/>
  <c r="C446" i="6"/>
  <c r="B446" i="6"/>
  <c r="P445" i="6"/>
  <c r="O445" i="6"/>
  <c r="H445" i="6"/>
  <c r="E445" i="6"/>
  <c r="C445" i="6"/>
  <c r="B445" i="6"/>
  <c r="P444" i="6"/>
  <c r="O444" i="6"/>
  <c r="H444" i="6"/>
  <c r="E444" i="6"/>
  <c r="C444" i="6"/>
  <c r="B444" i="6"/>
  <c r="P443" i="6"/>
  <c r="O443" i="6"/>
  <c r="H443" i="6"/>
  <c r="E443" i="6"/>
  <c r="C443" i="6"/>
  <c r="B443" i="6"/>
  <c r="P442" i="6"/>
  <c r="O442" i="6"/>
  <c r="H442" i="6"/>
  <c r="E442" i="6"/>
  <c r="C442" i="6"/>
  <c r="B442" i="6"/>
  <c r="P441" i="6"/>
  <c r="O441" i="6"/>
  <c r="H441" i="6"/>
  <c r="E441" i="6"/>
  <c r="C441" i="6"/>
  <c r="B441" i="6"/>
  <c r="P440" i="6"/>
  <c r="O440" i="6"/>
  <c r="H440" i="6"/>
  <c r="E440" i="6"/>
  <c r="C440" i="6"/>
  <c r="B440" i="6"/>
  <c r="P439" i="6"/>
  <c r="O439" i="6"/>
  <c r="H439" i="6"/>
  <c r="E439" i="6"/>
  <c r="C439" i="6"/>
  <c r="B439" i="6"/>
  <c r="P438" i="6"/>
  <c r="O438" i="6"/>
  <c r="H438" i="6"/>
  <c r="E438" i="6"/>
  <c r="C438" i="6"/>
  <c r="B438" i="6"/>
  <c r="P437" i="6"/>
  <c r="O437" i="6"/>
  <c r="H437" i="6"/>
  <c r="E437" i="6"/>
  <c r="C437" i="6"/>
  <c r="B437" i="6"/>
  <c r="O436" i="6"/>
  <c r="N436" i="6"/>
  <c r="M436" i="6"/>
  <c r="L436" i="6"/>
  <c r="H436" i="6"/>
  <c r="P435" i="6"/>
  <c r="O435" i="6"/>
  <c r="H435" i="6"/>
  <c r="E435" i="6"/>
  <c r="C435" i="6"/>
  <c r="B435" i="6"/>
  <c r="P434" i="6"/>
  <c r="O434" i="6"/>
  <c r="H434" i="6"/>
  <c r="E434" i="6"/>
  <c r="C434" i="6"/>
  <c r="B434" i="6"/>
  <c r="P433" i="6"/>
  <c r="O433" i="6"/>
  <c r="H433" i="6"/>
  <c r="E433" i="6"/>
  <c r="C433" i="6"/>
  <c r="B433" i="6"/>
  <c r="P432" i="6"/>
  <c r="O432" i="6"/>
  <c r="H432" i="6"/>
  <c r="E432" i="6"/>
  <c r="C432" i="6"/>
  <c r="B432" i="6"/>
  <c r="O431" i="6"/>
  <c r="N431" i="6"/>
  <c r="M431" i="6"/>
  <c r="L431" i="6"/>
  <c r="H431" i="6"/>
  <c r="P430" i="6"/>
  <c r="O430" i="6"/>
  <c r="H430" i="6"/>
  <c r="E430" i="6"/>
  <c r="C430" i="6"/>
  <c r="B430" i="6"/>
  <c r="P429" i="6"/>
  <c r="O429" i="6"/>
  <c r="H429" i="6"/>
  <c r="E429" i="6"/>
  <c r="C429" i="6"/>
  <c r="B429" i="6"/>
  <c r="P428" i="6"/>
  <c r="O428" i="6"/>
  <c r="H428" i="6"/>
  <c r="E428" i="6"/>
  <c r="C428" i="6"/>
  <c r="B428" i="6"/>
  <c r="P427" i="6"/>
  <c r="O427" i="6"/>
  <c r="H427" i="6"/>
  <c r="E427" i="6"/>
  <c r="C427" i="6"/>
  <c r="B427" i="6"/>
  <c r="P426" i="6"/>
  <c r="O426" i="6"/>
  <c r="H426" i="6"/>
  <c r="E426" i="6"/>
  <c r="C426" i="6"/>
  <c r="B426" i="6"/>
  <c r="P425" i="6"/>
  <c r="O425" i="6"/>
  <c r="H425" i="6"/>
  <c r="E425" i="6"/>
  <c r="C425" i="6"/>
  <c r="B425" i="6"/>
  <c r="P424" i="6"/>
  <c r="O424" i="6"/>
  <c r="H424" i="6"/>
  <c r="E424" i="6"/>
  <c r="C424" i="6"/>
  <c r="B424" i="6"/>
  <c r="P423" i="6"/>
  <c r="O423" i="6"/>
  <c r="H423" i="6"/>
  <c r="E423" i="6"/>
  <c r="C423" i="6"/>
  <c r="B423" i="6"/>
  <c r="P422" i="6"/>
  <c r="O422" i="6"/>
  <c r="H422" i="6"/>
  <c r="E422" i="6"/>
  <c r="C422" i="6"/>
  <c r="B422" i="6"/>
  <c r="P421" i="6"/>
  <c r="O421" i="6"/>
  <c r="H421" i="6"/>
  <c r="E421" i="6"/>
  <c r="C421" i="6"/>
  <c r="B421" i="6"/>
  <c r="P420" i="6"/>
  <c r="O420" i="6"/>
  <c r="H420" i="6"/>
  <c r="E420" i="6"/>
  <c r="C420" i="6"/>
  <c r="B420" i="6"/>
  <c r="P419" i="6"/>
  <c r="O419" i="6"/>
  <c r="H419" i="6"/>
  <c r="E419" i="6"/>
  <c r="C419" i="6"/>
  <c r="B419" i="6"/>
  <c r="P418" i="6"/>
  <c r="O418" i="6"/>
  <c r="H418" i="6"/>
  <c r="E418" i="6"/>
  <c r="C418" i="6"/>
  <c r="B418" i="6"/>
  <c r="O417" i="6"/>
  <c r="N417" i="6"/>
  <c r="M417" i="6"/>
  <c r="L417" i="6"/>
  <c r="H417" i="6"/>
  <c r="P416" i="6"/>
  <c r="O416" i="6"/>
  <c r="H416" i="6"/>
  <c r="E416" i="6"/>
  <c r="C416" i="6"/>
  <c r="B416" i="6"/>
  <c r="P415" i="6"/>
  <c r="O415" i="6"/>
  <c r="H415" i="6"/>
  <c r="E415" i="6"/>
  <c r="C415" i="6"/>
  <c r="B415" i="6"/>
  <c r="P414" i="6"/>
  <c r="O414" i="6"/>
  <c r="H414" i="6"/>
  <c r="E414" i="6"/>
  <c r="C414" i="6"/>
  <c r="B414" i="6"/>
  <c r="P413" i="6"/>
  <c r="O413" i="6"/>
  <c r="H413" i="6"/>
  <c r="E413" i="6"/>
  <c r="C413" i="6"/>
  <c r="B413" i="6"/>
  <c r="P412" i="6"/>
  <c r="O412" i="6"/>
  <c r="H412" i="6"/>
  <c r="E412" i="6"/>
  <c r="C412" i="6"/>
  <c r="B412" i="6"/>
  <c r="P411" i="6"/>
  <c r="O411" i="6"/>
  <c r="H411" i="6"/>
  <c r="E411" i="6"/>
  <c r="C411" i="6"/>
  <c r="B411" i="6"/>
  <c r="P410" i="6"/>
  <c r="O410" i="6"/>
  <c r="H410" i="6"/>
  <c r="E410" i="6"/>
  <c r="C410" i="6"/>
  <c r="B410" i="6"/>
  <c r="O409" i="6"/>
  <c r="N409" i="6"/>
  <c r="M409" i="6"/>
  <c r="L409" i="6"/>
  <c r="H409" i="6"/>
  <c r="P408" i="6"/>
  <c r="O408" i="6"/>
  <c r="H408" i="6"/>
  <c r="E408" i="6"/>
  <c r="C408" i="6"/>
  <c r="B408" i="6"/>
  <c r="P407" i="6"/>
  <c r="O407" i="6"/>
  <c r="H407" i="6"/>
  <c r="E407" i="6"/>
  <c r="C407" i="6"/>
  <c r="B407" i="6"/>
  <c r="P406" i="6"/>
  <c r="O406" i="6"/>
  <c r="H406" i="6"/>
  <c r="E406" i="6"/>
  <c r="C406" i="6"/>
  <c r="B406" i="6"/>
  <c r="P405" i="6"/>
  <c r="O405" i="6"/>
  <c r="H405" i="6"/>
  <c r="E405" i="6"/>
  <c r="C405" i="6"/>
  <c r="B405" i="6"/>
  <c r="P404" i="6"/>
  <c r="O404" i="6"/>
  <c r="H404" i="6"/>
  <c r="E404" i="6"/>
  <c r="C404" i="6"/>
  <c r="B404" i="6"/>
  <c r="P403" i="6"/>
  <c r="O403" i="6"/>
  <c r="H403" i="6"/>
  <c r="E403" i="6"/>
  <c r="C403" i="6"/>
  <c r="B403" i="6"/>
  <c r="P402" i="6"/>
  <c r="O402" i="6"/>
  <c r="H402" i="6"/>
  <c r="E402" i="6"/>
  <c r="C402" i="6"/>
  <c r="B402" i="6"/>
  <c r="P401" i="6"/>
  <c r="O401" i="6"/>
  <c r="H401" i="6"/>
  <c r="E401" i="6"/>
  <c r="C401" i="6"/>
  <c r="B401" i="6"/>
  <c r="P400" i="6"/>
  <c r="O400" i="6"/>
  <c r="H400" i="6"/>
  <c r="E400" i="6"/>
  <c r="C400" i="6"/>
  <c r="B400" i="6"/>
  <c r="P399" i="6"/>
  <c r="O399" i="6"/>
  <c r="H399" i="6"/>
  <c r="E399" i="6"/>
  <c r="C399" i="6"/>
  <c r="B399" i="6"/>
  <c r="P398" i="6"/>
  <c r="O398" i="6"/>
  <c r="N398" i="6"/>
  <c r="M398" i="6"/>
  <c r="L398" i="6"/>
  <c r="H398" i="6"/>
  <c r="P397" i="6"/>
  <c r="O397" i="6"/>
  <c r="H397" i="6"/>
  <c r="E397" i="6"/>
  <c r="C397" i="6"/>
  <c r="B397" i="6"/>
  <c r="P396" i="6"/>
  <c r="O396" i="6"/>
  <c r="H396" i="6"/>
  <c r="E396" i="6"/>
  <c r="C396" i="6"/>
  <c r="B396" i="6"/>
  <c r="P395" i="6"/>
  <c r="O395" i="6"/>
  <c r="H395" i="6"/>
  <c r="E395" i="6"/>
  <c r="C395" i="6"/>
  <c r="B395" i="6"/>
  <c r="P394" i="6"/>
  <c r="O394" i="6"/>
  <c r="H394" i="6"/>
  <c r="E394" i="6"/>
  <c r="C394" i="6"/>
  <c r="B394" i="6"/>
  <c r="P393" i="6"/>
  <c r="O393" i="6"/>
  <c r="H393" i="6"/>
  <c r="E393" i="6"/>
  <c r="C393" i="6"/>
  <c r="B393" i="6"/>
  <c r="P392" i="6"/>
  <c r="O392" i="6"/>
  <c r="H392" i="6"/>
  <c r="E392" i="6"/>
  <c r="C392" i="6"/>
  <c r="B392" i="6"/>
  <c r="P391" i="6"/>
  <c r="O391" i="6"/>
  <c r="H391" i="6"/>
  <c r="E391" i="6"/>
  <c r="C391" i="6"/>
  <c r="B391" i="6"/>
  <c r="P390" i="6"/>
  <c r="O390" i="6"/>
  <c r="H390" i="6"/>
  <c r="E390" i="6"/>
  <c r="C390" i="6"/>
  <c r="B390" i="6"/>
  <c r="P389" i="6"/>
  <c r="O389" i="6"/>
  <c r="H389" i="6"/>
  <c r="E389" i="6"/>
  <c r="C389" i="6"/>
  <c r="B389" i="6"/>
  <c r="P388" i="6"/>
  <c r="O388" i="6"/>
  <c r="H388" i="6"/>
  <c r="E388" i="6"/>
  <c r="C388" i="6"/>
  <c r="B388" i="6"/>
  <c r="P387" i="6"/>
  <c r="O387" i="6"/>
  <c r="H387" i="6"/>
  <c r="E387" i="6"/>
  <c r="C387" i="6"/>
  <c r="B387" i="6"/>
  <c r="P386" i="6"/>
  <c r="O386" i="6"/>
  <c r="H386" i="6"/>
  <c r="E386" i="6"/>
  <c r="C386" i="6"/>
  <c r="B386" i="6"/>
  <c r="P385" i="6"/>
  <c r="O385" i="6"/>
  <c r="H385" i="6"/>
  <c r="E385" i="6"/>
  <c r="C385" i="6"/>
  <c r="B385" i="6"/>
  <c r="P384" i="6"/>
  <c r="O384" i="6"/>
  <c r="H384" i="6"/>
  <c r="E384" i="6"/>
  <c r="C384" i="6"/>
  <c r="B384" i="6"/>
  <c r="P383" i="6"/>
  <c r="O383" i="6"/>
  <c r="H383" i="6"/>
  <c r="E383" i="6"/>
  <c r="C383" i="6"/>
  <c r="B383" i="6"/>
  <c r="P382" i="6"/>
  <c r="O382" i="6"/>
  <c r="H382" i="6"/>
  <c r="E382" i="6"/>
  <c r="C382" i="6"/>
  <c r="B382" i="6"/>
  <c r="P381" i="6"/>
  <c r="O381" i="6"/>
  <c r="H381" i="6"/>
  <c r="E381" i="6"/>
  <c r="C381" i="6"/>
  <c r="B381" i="6"/>
  <c r="P380" i="6"/>
  <c r="O380" i="6"/>
  <c r="H380" i="6"/>
  <c r="E380" i="6"/>
  <c r="C380" i="6"/>
  <c r="B380" i="6"/>
  <c r="O379" i="6"/>
  <c r="N379" i="6"/>
  <c r="M379" i="6"/>
  <c r="L379" i="6"/>
  <c r="H379" i="6"/>
  <c r="O378" i="6"/>
  <c r="N378" i="6"/>
  <c r="M378" i="6"/>
  <c r="L378" i="6"/>
  <c r="H378" i="6"/>
  <c r="P377" i="6"/>
  <c r="O377" i="6"/>
  <c r="N377" i="6"/>
  <c r="L377" i="6"/>
  <c r="H377" i="6"/>
  <c r="E377" i="6"/>
  <c r="C377" i="6"/>
  <c r="B377" i="6"/>
  <c r="P376" i="6"/>
  <c r="O376" i="6"/>
  <c r="N376" i="6"/>
  <c r="L376" i="6"/>
  <c r="H376" i="6"/>
  <c r="E376" i="6"/>
  <c r="C376" i="6"/>
  <c r="B376" i="6"/>
  <c r="P375" i="6"/>
  <c r="O375" i="6"/>
  <c r="N375" i="6"/>
  <c r="L375" i="6"/>
  <c r="H375" i="6"/>
  <c r="E375" i="6"/>
  <c r="C375" i="6"/>
  <c r="B375" i="6"/>
  <c r="P374" i="6"/>
  <c r="O374" i="6"/>
  <c r="N374" i="6"/>
  <c r="L374" i="6"/>
  <c r="H374" i="6"/>
  <c r="E374" i="6"/>
  <c r="C374" i="6"/>
  <c r="B374" i="6"/>
  <c r="P373" i="6"/>
  <c r="O373" i="6"/>
  <c r="N373" i="6"/>
  <c r="L373" i="6"/>
  <c r="H373" i="6"/>
  <c r="E373" i="6"/>
  <c r="C373" i="6"/>
  <c r="B373" i="6"/>
  <c r="P372" i="6"/>
  <c r="O372" i="6"/>
  <c r="N372" i="6"/>
  <c r="L372" i="6"/>
  <c r="H372" i="6"/>
  <c r="E372" i="6"/>
  <c r="C372" i="6"/>
  <c r="B372" i="6"/>
  <c r="P371" i="6"/>
  <c r="O371" i="6"/>
  <c r="N371" i="6"/>
  <c r="L371" i="6"/>
  <c r="H371" i="6"/>
  <c r="E371" i="6"/>
  <c r="C371" i="6"/>
  <c r="B371" i="6"/>
  <c r="P370" i="6"/>
  <c r="O370" i="6"/>
  <c r="N370" i="6"/>
  <c r="L370" i="6"/>
  <c r="H370" i="6"/>
  <c r="E370" i="6"/>
  <c r="C370" i="6"/>
  <c r="B370" i="6"/>
  <c r="P369" i="6"/>
  <c r="O369" i="6"/>
  <c r="N369" i="6"/>
  <c r="L369" i="6"/>
  <c r="H369" i="6"/>
  <c r="E369" i="6"/>
  <c r="C369" i="6"/>
  <c r="B369" i="6"/>
  <c r="P368" i="6"/>
  <c r="O368" i="6"/>
  <c r="N368" i="6"/>
  <c r="L368" i="6"/>
  <c r="H368" i="6"/>
  <c r="E368" i="6"/>
  <c r="C368" i="6"/>
  <c r="B368" i="6"/>
  <c r="P367" i="6"/>
  <c r="O367" i="6"/>
  <c r="N367" i="6"/>
  <c r="L367" i="6"/>
  <c r="H367" i="6"/>
  <c r="E367" i="6"/>
  <c r="C367" i="6"/>
  <c r="B367" i="6"/>
  <c r="P366" i="6"/>
  <c r="O366" i="6"/>
  <c r="N366" i="6"/>
  <c r="L366" i="6"/>
  <c r="H366" i="6"/>
  <c r="E366" i="6"/>
  <c r="C366" i="6"/>
  <c r="B366" i="6"/>
  <c r="P365" i="6"/>
  <c r="O365" i="6"/>
  <c r="N365" i="6"/>
  <c r="L365" i="6"/>
  <c r="H365" i="6"/>
  <c r="E365" i="6"/>
  <c r="C365" i="6"/>
  <c r="B365" i="6"/>
  <c r="P364" i="6"/>
  <c r="O364" i="6"/>
  <c r="N364" i="6"/>
  <c r="L364" i="6"/>
  <c r="H364" i="6"/>
  <c r="E364" i="6"/>
  <c r="C364" i="6"/>
  <c r="B364" i="6"/>
  <c r="P363" i="6"/>
  <c r="O363" i="6"/>
  <c r="N363" i="6"/>
  <c r="L363" i="6"/>
  <c r="H363" i="6"/>
  <c r="E363" i="6"/>
  <c r="C363" i="6"/>
  <c r="B363" i="6"/>
  <c r="P362" i="6"/>
  <c r="O362" i="6"/>
  <c r="N362" i="6"/>
  <c r="L362" i="6"/>
  <c r="H362" i="6"/>
  <c r="E362" i="6"/>
  <c r="C362" i="6"/>
  <c r="B362" i="6"/>
  <c r="P361" i="6"/>
  <c r="O361" i="6"/>
  <c r="N361" i="6"/>
  <c r="L361" i="6"/>
  <c r="H361" i="6"/>
  <c r="E361" i="6"/>
  <c r="C361" i="6"/>
  <c r="B361" i="6"/>
  <c r="P360" i="6"/>
  <c r="O360" i="6"/>
  <c r="N360" i="6"/>
  <c r="L360" i="6"/>
  <c r="H360" i="6"/>
  <c r="E360" i="6"/>
  <c r="C360" i="6"/>
  <c r="B360" i="6"/>
  <c r="P359" i="6"/>
  <c r="O359" i="6"/>
  <c r="N359" i="6"/>
  <c r="L359" i="6"/>
  <c r="H359" i="6"/>
  <c r="E359" i="6"/>
  <c r="C359" i="6"/>
  <c r="B359" i="6"/>
  <c r="O358" i="6"/>
  <c r="N358" i="6"/>
  <c r="H358" i="6"/>
  <c r="P357" i="6"/>
  <c r="O357" i="6"/>
  <c r="N357" i="6"/>
  <c r="L357" i="6"/>
  <c r="I357" i="6"/>
  <c r="H357" i="6"/>
  <c r="E357" i="6"/>
  <c r="C357" i="6"/>
  <c r="B357" i="6"/>
  <c r="P356" i="6"/>
  <c r="O356" i="6"/>
  <c r="N356" i="6"/>
  <c r="L356" i="6"/>
  <c r="I356" i="6"/>
  <c r="H356" i="6"/>
  <c r="E356" i="6"/>
  <c r="C356" i="6"/>
  <c r="B356" i="6"/>
  <c r="P355" i="6"/>
  <c r="O355" i="6"/>
  <c r="N355" i="6"/>
  <c r="L355" i="6"/>
  <c r="I355" i="6"/>
  <c r="H355" i="6"/>
  <c r="E355" i="6"/>
  <c r="C355" i="6"/>
  <c r="B355" i="6"/>
  <c r="P354" i="6"/>
  <c r="O354" i="6"/>
  <c r="N354" i="6"/>
  <c r="L354" i="6"/>
  <c r="I354" i="6"/>
  <c r="H354" i="6"/>
  <c r="E354" i="6"/>
  <c r="C354" i="6"/>
  <c r="B354" i="6"/>
  <c r="P353" i="6"/>
  <c r="O353" i="6"/>
  <c r="N353" i="6"/>
  <c r="L353" i="6"/>
  <c r="I353" i="6"/>
  <c r="H353" i="6"/>
  <c r="E353" i="6"/>
  <c r="C353" i="6"/>
  <c r="B353" i="6"/>
  <c r="P352" i="6"/>
  <c r="O352" i="6"/>
  <c r="N352" i="6"/>
  <c r="L352" i="6"/>
  <c r="I352" i="6"/>
  <c r="H352" i="6"/>
  <c r="E352" i="6"/>
  <c r="C352" i="6"/>
  <c r="B352" i="6"/>
  <c r="P351" i="6"/>
  <c r="O351" i="6"/>
  <c r="N351" i="6"/>
  <c r="L351" i="6"/>
  <c r="I351" i="6"/>
  <c r="H351" i="6"/>
  <c r="E351" i="6"/>
  <c r="C351" i="6"/>
  <c r="B351" i="6"/>
  <c r="P350" i="6"/>
  <c r="O350" i="6"/>
  <c r="N350" i="6"/>
  <c r="L350" i="6"/>
  <c r="I350" i="6"/>
  <c r="H350" i="6"/>
  <c r="E350" i="6"/>
  <c r="C350" i="6"/>
  <c r="B350" i="6"/>
  <c r="P349" i="6"/>
  <c r="O349" i="6"/>
  <c r="N349" i="6"/>
  <c r="L349" i="6"/>
  <c r="I349" i="6"/>
  <c r="H349" i="6"/>
  <c r="E349" i="6"/>
  <c r="C349" i="6"/>
  <c r="B349" i="6"/>
  <c r="P348" i="6"/>
  <c r="O348" i="6"/>
  <c r="N348" i="6"/>
  <c r="L348" i="6"/>
  <c r="I348" i="6"/>
  <c r="H348" i="6"/>
  <c r="E348" i="6"/>
  <c r="C348" i="6"/>
  <c r="B348" i="6"/>
  <c r="P347" i="6"/>
  <c r="O347" i="6"/>
  <c r="N347" i="6"/>
  <c r="L347" i="6"/>
  <c r="I347" i="6"/>
  <c r="H347" i="6"/>
  <c r="E347" i="6"/>
  <c r="C347" i="6"/>
  <c r="B347" i="6"/>
  <c r="P346" i="6"/>
  <c r="O346" i="6"/>
  <c r="N346" i="6"/>
  <c r="L346" i="6"/>
  <c r="I346" i="6"/>
  <c r="H346" i="6"/>
  <c r="E346" i="6"/>
  <c r="C346" i="6"/>
  <c r="B346" i="6"/>
  <c r="P345" i="6"/>
  <c r="O345" i="6"/>
  <c r="N345" i="6"/>
  <c r="L345" i="6"/>
  <c r="I345" i="6"/>
  <c r="H345" i="6"/>
  <c r="E345" i="6"/>
  <c r="C345" i="6"/>
  <c r="B345" i="6"/>
  <c r="P344" i="6"/>
  <c r="O344" i="6"/>
  <c r="N344" i="6"/>
  <c r="L344" i="6"/>
  <c r="I344" i="6"/>
  <c r="H344" i="6"/>
  <c r="E344" i="6"/>
  <c r="C344" i="6"/>
  <c r="B344" i="6"/>
  <c r="P343" i="6"/>
  <c r="O343" i="6"/>
  <c r="N343" i="6"/>
  <c r="L343" i="6"/>
  <c r="I343" i="6"/>
  <c r="H343" i="6"/>
  <c r="E343" i="6"/>
  <c r="C343" i="6"/>
  <c r="B343" i="6"/>
  <c r="P342" i="6"/>
  <c r="O342" i="6"/>
  <c r="N342" i="6"/>
  <c r="L342" i="6"/>
  <c r="I342" i="6"/>
  <c r="H342" i="6"/>
  <c r="E342" i="6"/>
  <c r="C342" i="6"/>
  <c r="B342" i="6"/>
  <c r="P341" i="6"/>
  <c r="O341" i="6"/>
  <c r="N341" i="6"/>
  <c r="L341" i="6"/>
  <c r="I341" i="6"/>
  <c r="H341" i="6"/>
  <c r="E341" i="6"/>
  <c r="C341" i="6"/>
  <c r="B341" i="6"/>
  <c r="P340" i="6"/>
  <c r="O340" i="6"/>
  <c r="N340" i="6"/>
  <c r="L340" i="6"/>
  <c r="I340" i="6"/>
  <c r="H340" i="6"/>
  <c r="E340" i="6"/>
  <c r="C340" i="6"/>
  <c r="B340" i="6"/>
  <c r="P339" i="6"/>
  <c r="O339" i="6"/>
  <c r="N339" i="6"/>
  <c r="L339" i="6"/>
  <c r="I339" i="6"/>
  <c r="H339" i="6"/>
  <c r="E339" i="6"/>
  <c r="C339" i="6"/>
  <c r="B339" i="6"/>
  <c r="P338" i="6"/>
  <c r="O338" i="6"/>
  <c r="N338" i="6"/>
  <c r="L338" i="6"/>
  <c r="I338" i="6"/>
  <c r="H338" i="6"/>
  <c r="E338" i="6"/>
  <c r="C338" i="6"/>
  <c r="B338" i="6"/>
  <c r="P337" i="6"/>
  <c r="O337" i="6"/>
  <c r="N337" i="6"/>
  <c r="L337" i="6"/>
  <c r="I337" i="6"/>
  <c r="H337" i="6"/>
  <c r="E337" i="6"/>
  <c r="C337" i="6"/>
  <c r="B337" i="6"/>
  <c r="P336" i="6"/>
  <c r="O336" i="6"/>
  <c r="N336" i="6"/>
  <c r="L336" i="6"/>
  <c r="I336" i="6"/>
  <c r="H336" i="6"/>
  <c r="E336" i="6"/>
  <c r="C336" i="6"/>
  <c r="B336" i="6"/>
  <c r="P335" i="6"/>
  <c r="O335" i="6"/>
  <c r="N335" i="6"/>
  <c r="L335" i="6"/>
  <c r="I335" i="6"/>
  <c r="H335" i="6"/>
  <c r="E335" i="6"/>
  <c r="C335" i="6"/>
  <c r="B335" i="6"/>
  <c r="P334" i="6"/>
  <c r="O334" i="6"/>
  <c r="N334" i="6"/>
  <c r="L334" i="6"/>
  <c r="I334" i="6"/>
  <c r="H334" i="6"/>
  <c r="E334" i="6"/>
  <c r="C334" i="6"/>
  <c r="B334" i="6"/>
  <c r="P333" i="6"/>
  <c r="O333" i="6"/>
  <c r="N333" i="6"/>
  <c r="L333" i="6"/>
  <c r="I333" i="6"/>
  <c r="H333" i="6"/>
  <c r="E333" i="6"/>
  <c r="C333" i="6"/>
  <c r="B333" i="6"/>
  <c r="P332" i="6"/>
  <c r="O332" i="6"/>
  <c r="N332" i="6"/>
  <c r="L332" i="6"/>
  <c r="I332" i="6"/>
  <c r="H332" i="6"/>
  <c r="E332" i="6"/>
  <c r="C332" i="6"/>
  <c r="B332" i="6"/>
  <c r="P331" i="6"/>
  <c r="O331" i="6"/>
  <c r="N331" i="6"/>
  <c r="L331" i="6"/>
  <c r="I331" i="6"/>
  <c r="H331" i="6"/>
  <c r="E331" i="6"/>
  <c r="C331" i="6"/>
  <c r="B331" i="6"/>
  <c r="P330" i="6"/>
  <c r="O330" i="6"/>
  <c r="N330" i="6"/>
  <c r="L330" i="6"/>
  <c r="I330" i="6"/>
  <c r="H330" i="6"/>
  <c r="E330" i="6"/>
  <c r="C330" i="6"/>
  <c r="B330" i="6"/>
  <c r="P329" i="6"/>
  <c r="O329" i="6"/>
  <c r="N329" i="6"/>
  <c r="L329" i="6"/>
  <c r="I329" i="6"/>
  <c r="H329" i="6"/>
  <c r="E329" i="6"/>
  <c r="C329" i="6"/>
  <c r="B329" i="6"/>
  <c r="P328" i="6"/>
  <c r="O328" i="6"/>
  <c r="N328" i="6"/>
  <c r="L328" i="6"/>
  <c r="I328" i="6"/>
  <c r="H328" i="6"/>
  <c r="E328" i="6"/>
  <c r="C328" i="6"/>
  <c r="B328" i="6"/>
  <c r="P327" i="6"/>
  <c r="O327" i="6"/>
  <c r="N327" i="6"/>
  <c r="L327" i="6"/>
  <c r="I327" i="6"/>
  <c r="H327" i="6"/>
  <c r="E327" i="6"/>
  <c r="C327" i="6"/>
  <c r="B327" i="6"/>
  <c r="P326" i="6"/>
  <c r="O326" i="6"/>
  <c r="N326" i="6"/>
  <c r="L326" i="6"/>
  <c r="I326" i="6"/>
  <c r="H326" i="6"/>
  <c r="E326" i="6"/>
  <c r="C326" i="6"/>
  <c r="B326" i="6"/>
  <c r="P325" i="6"/>
  <c r="O325" i="6"/>
  <c r="N325" i="6"/>
  <c r="L325" i="6"/>
  <c r="I325" i="6"/>
  <c r="H325" i="6"/>
  <c r="E325" i="6"/>
  <c r="C325" i="6"/>
  <c r="B325" i="6"/>
  <c r="P324" i="6"/>
  <c r="O324" i="6"/>
  <c r="N324" i="6"/>
  <c r="L324" i="6"/>
  <c r="I324" i="6"/>
  <c r="H324" i="6"/>
  <c r="E324" i="6"/>
  <c r="C324" i="6"/>
  <c r="B324" i="6"/>
  <c r="P323" i="6"/>
  <c r="O323" i="6"/>
  <c r="N323" i="6"/>
  <c r="L323" i="6"/>
  <c r="I323" i="6"/>
  <c r="H323" i="6"/>
  <c r="E323" i="6"/>
  <c r="C323" i="6"/>
  <c r="B323" i="6"/>
  <c r="P322" i="6"/>
  <c r="O322" i="6"/>
  <c r="N322" i="6"/>
  <c r="L322" i="6"/>
  <c r="I322" i="6"/>
  <c r="H322" i="6"/>
  <c r="E322" i="6"/>
  <c r="C322" i="6"/>
  <c r="B322" i="6"/>
  <c r="P321" i="6"/>
  <c r="O321" i="6"/>
  <c r="N321" i="6"/>
  <c r="L321" i="6"/>
  <c r="I321" i="6"/>
  <c r="H321" i="6"/>
  <c r="E321" i="6"/>
  <c r="C321" i="6"/>
  <c r="B321" i="6"/>
  <c r="P320" i="6"/>
  <c r="O320" i="6"/>
  <c r="N320" i="6"/>
  <c r="L320" i="6"/>
  <c r="I320" i="6"/>
  <c r="H320" i="6"/>
  <c r="E320" i="6"/>
  <c r="C320" i="6"/>
  <c r="B320" i="6"/>
  <c r="P319" i="6"/>
  <c r="O319" i="6"/>
  <c r="N319" i="6"/>
  <c r="L319" i="6"/>
  <c r="I319" i="6"/>
  <c r="H319" i="6"/>
  <c r="E319" i="6"/>
  <c r="C319" i="6"/>
  <c r="B319" i="6"/>
  <c r="P318" i="6"/>
  <c r="O318" i="6"/>
  <c r="N318" i="6"/>
  <c r="L318" i="6"/>
  <c r="I318" i="6"/>
  <c r="H318" i="6"/>
  <c r="E318" i="6"/>
  <c r="C318" i="6"/>
  <c r="B318" i="6"/>
  <c r="P317" i="6"/>
  <c r="O317" i="6"/>
  <c r="N317" i="6"/>
  <c r="L317" i="6"/>
  <c r="I317" i="6"/>
  <c r="H317" i="6"/>
  <c r="E317" i="6"/>
  <c r="C317" i="6"/>
  <c r="B317" i="6"/>
  <c r="P316" i="6"/>
  <c r="O316" i="6"/>
  <c r="N316" i="6"/>
  <c r="L316" i="6"/>
  <c r="I316" i="6"/>
  <c r="H316" i="6"/>
  <c r="E316" i="6"/>
  <c r="C316" i="6"/>
  <c r="B316" i="6"/>
  <c r="P315" i="6"/>
  <c r="O315" i="6"/>
  <c r="N315" i="6"/>
  <c r="L315" i="6"/>
  <c r="I315" i="6"/>
  <c r="H315" i="6"/>
  <c r="E315" i="6"/>
  <c r="C315" i="6"/>
  <c r="B315" i="6"/>
  <c r="P314" i="6"/>
  <c r="O314" i="6"/>
  <c r="N314" i="6"/>
  <c r="L314" i="6"/>
  <c r="I314" i="6"/>
  <c r="H314" i="6"/>
  <c r="E314" i="6"/>
  <c r="C314" i="6"/>
  <c r="B314" i="6"/>
  <c r="P313" i="6"/>
  <c r="O313" i="6"/>
  <c r="N313" i="6"/>
  <c r="M313" i="6"/>
  <c r="L313" i="6"/>
  <c r="H313" i="6"/>
  <c r="P312" i="6"/>
  <c r="O312" i="6"/>
  <c r="N312" i="6"/>
  <c r="L312" i="6"/>
  <c r="H312" i="6"/>
  <c r="E312" i="6"/>
  <c r="C312" i="6"/>
  <c r="B312" i="6"/>
  <c r="P311" i="6"/>
  <c r="O311" i="6"/>
  <c r="N311" i="6"/>
  <c r="L311" i="6"/>
  <c r="H311" i="6"/>
  <c r="E311" i="6"/>
  <c r="C311" i="6"/>
  <c r="B311" i="6"/>
  <c r="P310" i="6"/>
  <c r="O310" i="6"/>
  <c r="H310" i="6"/>
  <c r="E310" i="6"/>
  <c r="C310" i="6"/>
  <c r="B310" i="6"/>
  <c r="P309" i="6"/>
  <c r="O309" i="6"/>
  <c r="H309" i="6"/>
  <c r="E309" i="6"/>
  <c r="C309" i="6"/>
  <c r="B309" i="6"/>
  <c r="P308" i="6"/>
  <c r="O308" i="6"/>
  <c r="H308" i="6"/>
  <c r="E308" i="6"/>
  <c r="C308" i="6"/>
  <c r="B308" i="6"/>
  <c r="P307" i="6"/>
  <c r="O307" i="6"/>
  <c r="H307" i="6"/>
  <c r="E307" i="6"/>
  <c r="C307" i="6"/>
  <c r="B307" i="6"/>
  <c r="P306" i="6"/>
  <c r="O306" i="6"/>
  <c r="N306" i="6"/>
  <c r="L306" i="6"/>
  <c r="I306" i="6"/>
  <c r="H306" i="6"/>
  <c r="E306" i="6"/>
  <c r="C306" i="6"/>
  <c r="B306" i="6"/>
  <c r="P305" i="6"/>
  <c r="O305" i="6"/>
  <c r="N305" i="6"/>
  <c r="L305" i="6"/>
  <c r="I305" i="6"/>
  <c r="H305" i="6"/>
  <c r="E305" i="6"/>
  <c r="C305" i="6"/>
  <c r="B305" i="6"/>
  <c r="P304" i="6"/>
  <c r="O304" i="6"/>
  <c r="H304" i="6"/>
  <c r="E304" i="6"/>
  <c r="C304" i="6"/>
  <c r="B304" i="6"/>
  <c r="P303" i="6"/>
  <c r="O303" i="6"/>
  <c r="H303" i="6"/>
  <c r="E303" i="6"/>
  <c r="C303" i="6"/>
  <c r="B303" i="6"/>
  <c r="P302" i="6"/>
  <c r="O302" i="6"/>
  <c r="H302" i="6"/>
  <c r="E302" i="6"/>
  <c r="C302" i="6"/>
  <c r="B302" i="6"/>
  <c r="P301" i="6"/>
  <c r="O301" i="6"/>
  <c r="H301" i="6"/>
  <c r="E301" i="6"/>
  <c r="C301" i="6"/>
  <c r="B301" i="6"/>
  <c r="P300" i="6"/>
  <c r="O300" i="6"/>
  <c r="H300" i="6"/>
  <c r="E300" i="6"/>
  <c r="C300" i="6"/>
  <c r="B300" i="6"/>
  <c r="P299" i="6"/>
  <c r="O299" i="6"/>
  <c r="N299" i="6"/>
  <c r="L299" i="6"/>
  <c r="H299" i="6"/>
  <c r="E299" i="6"/>
  <c r="C299" i="6"/>
  <c r="B299" i="6"/>
  <c r="P298" i="6"/>
  <c r="O298" i="6"/>
  <c r="H298" i="6"/>
  <c r="E298" i="6"/>
  <c r="C298" i="6"/>
  <c r="B298" i="6"/>
  <c r="P297" i="6"/>
  <c r="O297" i="6"/>
  <c r="H297" i="6"/>
  <c r="E297" i="6"/>
  <c r="C297" i="6"/>
  <c r="B297" i="6"/>
  <c r="P296" i="6"/>
  <c r="O296" i="6"/>
  <c r="H296" i="6"/>
  <c r="E296" i="6"/>
  <c r="C296" i="6"/>
  <c r="B296" i="6"/>
  <c r="P295" i="6"/>
  <c r="O295" i="6"/>
  <c r="H295" i="6"/>
  <c r="E295" i="6"/>
  <c r="C295" i="6"/>
  <c r="B295" i="6"/>
  <c r="P294" i="6"/>
  <c r="O294" i="6"/>
  <c r="H294" i="6"/>
  <c r="E294" i="6"/>
  <c r="C294" i="6"/>
  <c r="B294" i="6"/>
  <c r="P293" i="6"/>
  <c r="O293" i="6"/>
  <c r="H293" i="6"/>
  <c r="E293" i="6"/>
  <c r="C293" i="6"/>
  <c r="B293" i="6"/>
  <c r="P292" i="6"/>
  <c r="O292" i="6"/>
  <c r="H292" i="6"/>
  <c r="E292" i="6"/>
  <c r="C292" i="6"/>
  <c r="B292" i="6"/>
  <c r="P291" i="6"/>
  <c r="O291" i="6"/>
  <c r="H291" i="6"/>
  <c r="E291" i="6"/>
  <c r="C291" i="6"/>
  <c r="B291" i="6"/>
  <c r="P290" i="6"/>
  <c r="O290" i="6"/>
  <c r="H290" i="6"/>
  <c r="E290" i="6"/>
  <c r="C290" i="6"/>
  <c r="B290" i="6"/>
  <c r="P289" i="6"/>
  <c r="O289" i="6"/>
  <c r="H289" i="6"/>
  <c r="E289" i="6"/>
  <c r="C289" i="6"/>
  <c r="B289" i="6"/>
  <c r="P288" i="6"/>
  <c r="O288" i="6"/>
  <c r="H288" i="6"/>
  <c r="E288" i="6"/>
  <c r="C288" i="6"/>
  <c r="B288" i="6"/>
  <c r="P287" i="6"/>
  <c r="O287" i="6"/>
  <c r="H287" i="6"/>
  <c r="E287" i="6"/>
  <c r="C287" i="6"/>
  <c r="B287" i="6"/>
  <c r="P286" i="6"/>
  <c r="O286" i="6"/>
  <c r="H286" i="6"/>
  <c r="E286" i="6"/>
  <c r="C286" i="6"/>
  <c r="B286" i="6"/>
  <c r="P285" i="6"/>
  <c r="O285" i="6"/>
  <c r="H285" i="6"/>
  <c r="E285" i="6"/>
  <c r="C285" i="6"/>
  <c r="B285" i="6"/>
  <c r="P284" i="6"/>
  <c r="O284" i="6"/>
  <c r="H284" i="6"/>
  <c r="E284" i="6"/>
  <c r="C284" i="6"/>
  <c r="B284" i="6"/>
  <c r="P283" i="6"/>
  <c r="O283" i="6"/>
  <c r="H283" i="6"/>
  <c r="E283" i="6"/>
  <c r="C283" i="6"/>
  <c r="B283" i="6"/>
  <c r="P282" i="6"/>
  <c r="O282" i="6"/>
  <c r="H282" i="6"/>
  <c r="E282" i="6"/>
  <c r="C282" i="6"/>
  <c r="B282" i="6"/>
  <c r="P281" i="6"/>
  <c r="O281" i="6"/>
  <c r="H281" i="6"/>
  <c r="E281" i="6"/>
  <c r="C281" i="6"/>
  <c r="B281" i="6"/>
  <c r="P280" i="6"/>
  <c r="O280" i="6"/>
  <c r="H280" i="6"/>
  <c r="E280" i="6"/>
  <c r="C280" i="6"/>
  <c r="B280" i="6"/>
  <c r="P279" i="6"/>
  <c r="O279" i="6"/>
  <c r="N279" i="6"/>
  <c r="L279" i="6"/>
  <c r="I279" i="6"/>
  <c r="H279" i="6"/>
  <c r="E279" i="6"/>
  <c r="C279" i="6"/>
  <c r="B279" i="6"/>
  <c r="O278" i="6"/>
  <c r="N278" i="6"/>
  <c r="M278" i="6"/>
  <c r="L278" i="6"/>
  <c r="H278" i="6"/>
  <c r="O277" i="6"/>
  <c r="N277" i="6"/>
  <c r="M277" i="6"/>
  <c r="L277" i="6"/>
  <c r="H277" i="6"/>
  <c r="P276" i="6"/>
  <c r="O276" i="6"/>
  <c r="H276" i="6"/>
  <c r="E276" i="6"/>
  <c r="C276" i="6"/>
  <c r="B276" i="6"/>
  <c r="P275" i="6"/>
  <c r="O275" i="6"/>
  <c r="H275" i="6"/>
  <c r="E275" i="6"/>
  <c r="C275" i="6"/>
  <c r="B275" i="6"/>
  <c r="P274" i="6"/>
  <c r="O274" i="6"/>
  <c r="H274" i="6"/>
  <c r="E274" i="6"/>
  <c r="C274" i="6"/>
  <c r="B274" i="6"/>
  <c r="P273" i="6"/>
  <c r="O273" i="6"/>
  <c r="H273" i="6"/>
  <c r="E273" i="6"/>
  <c r="C273" i="6"/>
  <c r="B273" i="6"/>
  <c r="P272" i="6"/>
  <c r="O272" i="6"/>
  <c r="H272" i="6"/>
  <c r="E272" i="6"/>
  <c r="C272" i="6"/>
  <c r="B272" i="6"/>
  <c r="P271" i="6"/>
  <c r="O271" i="6"/>
  <c r="N271" i="6"/>
  <c r="L271" i="6"/>
  <c r="I271" i="6"/>
  <c r="H271" i="6"/>
  <c r="E271" i="6"/>
  <c r="C271" i="6"/>
  <c r="B271" i="6"/>
  <c r="O270" i="6"/>
  <c r="N270" i="6"/>
  <c r="M270" i="6"/>
  <c r="L270" i="6"/>
  <c r="H270" i="6"/>
  <c r="P269" i="6"/>
  <c r="O269" i="6"/>
  <c r="H269" i="6"/>
  <c r="E269" i="6"/>
  <c r="C269" i="6"/>
  <c r="B269" i="6"/>
  <c r="P268" i="6"/>
  <c r="O268" i="6"/>
  <c r="H268" i="6"/>
  <c r="E268" i="6"/>
  <c r="C268" i="6"/>
  <c r="B268" i="6"/>
  <c r="P267" i="6"/>
  <c r="O267" i="6"/>
  <c r="H267" i="6"/>
  <c r="E267" i="6"/>
  <c r="C267" i="6"/>
  <c r="B267" i="6"/>
  <c r="P266" i="6"/>
  <c r="O266" i="6"/>
  <c r="H266" i="6"/>
  <c r="E266" i="6"/>
  <c r="C266" i="6"/>
  <c r="B266" i="6"/>
  <c r="P265" i="6"/>
  <c r="O265" i="6"/>
  <c r="H265" i="6"/>
  <c r="E265" i="6"/>
  <c r="C265" i="6"/>
  <c r="B265" i="6"/>
  <c r="P264" i="6"/>
  <c r="O264" i="6"/>
  <c r="H264" i="6"/>
  <c r="E264" i="6"/>
  <c r="C264" i="6"/>
  <c r="B264" i="6"/>
  <c r="P263" i="6"/>
  <c r="O263" i="6"/>
  <c r="H263" i="6"/>
  <c r="E263" i="6"/>
  <c r="C263" i="6"/>
  <c r="B263" i="6"/>
  <c r="P262" i="6"/>
  <c r="O262" i="6"/>
  <c r="H262" i="6"/>
  <c r="E262" i="6"/>
  <c r="C262" i="6"/>
  <c r="B262" i="6"/>
  <c r="P261" i="6"/>
  <c r="O261" i="6"/>
  <c r="H261" i="6"/>
  <c r="E261" i="6"/>
  <c r="C261" i="6"/>
  <c r="B261" i="6"/>
  <c r="P260" i="6"/>
  <c r="O260" i="6"/>
  <c r="H260" i="6"/>
  <c r="E260" i="6"/>
  <c r="C260" i="6"/>
  <c r="B260" i="6"/>
  <c r="P259" i="6"/>
  <c r="O259" i="6"/>
  <c r="H259" i="6"/>
  <c r="E259" i="6"/>
  <c r="C259" i="6"/>
  <c r="B259" i="6"/>
  <c r="P258" i="6"/>
  <c r="O258" i="6"/>
  <c r="H258" i="6"/>
  <c r="E258" i="6"/>
  <c r="C258" i="6"/>
  <c r="B258" i="6"/>
  <c r="P257" i="6"/>
  <c r="O257" i="6"/>
  <c r="H257" i="6"/>
  <c r="E257" i="6"/>
  <c r="C257" i="6"/>
  <c r="B257" i="6"/>
  <c r="P256" i="6"/>
  <c r="O256" i="6"/>
  <c r="H256" i="6"/>
  <c r="E256" i="6"/>
  <c r="C256" i="6"/>
  <c r="B256" i="6"/>
  <c r="P255" i="6"/>
  <c r="O255" i="6"/>
  <c r="H255" i="6"/>
  <c r="E255" i="6"/>
  <c r="C255" i="6"/>
  <c r="B255" i="6"/>
  <c r="P254" i="6"/>
  <c r="O254" i="6"/>
  <c r="H254" i="6"/>
  <c r="E254" i="6"/>
  <c r="C254" i="6"/>
  <c r="B254" i="6"/>
  <c r="P253" i="6"/>
  <c r="O253" i="6"/>
  <c r="H253" i="6"/>
  <c r="E253" i="6"/>
  <c r="C253" i="6"/>
  <c r="B253" i="6"/>
  <c r="P252" i="6"/>
  <c r="O252" i="6"/>
  <c r="H252" i="6"/>
  <c r="E252" i="6"/>
  <c r="C252" i="6"/>
  <c r="B252" i="6"/>
  <c r="P251" i="6"/>
  <c r="O251" i="6"/>
  <c r="H251" i="6"/>
  <c r="E251" i="6"/>
  <c r="C251" i="6"/>
  <c r="B251" i="6"/>
  <c r="P250" i="6"/>
  <c r="O250" i="6"/>
  <c r="H250" i="6"/>
  <c r="E250" i="6"/>
  <c r="C250" i="6"/>
  <c r="B250" i="6"/>
  <c r="P249" i="6"/>
  <c r="O249" i="6"/>
  <c r="H249" i="6"/>
  <c r="E249" i="6"/>
  <c r="C249" i="6"/>
  <c r="B249" i="6"/>
  <c r="P248" i="6"/>
  <c r="O248" i="6"/>
  <c r="H248" i="6"/>
  <c r="E248" i="6"/>
  <c r="C248" i="6"/>
  <c r="B248" i="6"/>
  <c r="P247" i="6"/>
  <c r="O247" i="6"/>
  <c r="H247" i="6"/>
  <c r="E247" i="6"/>
  <c r="C247" i="6"/>
  <c r="B247" i="6"/>
  <c r="P246" i="6"/>
  <c r="O246" i="6"/>
  <c r="H246" i="6"/>
  <c r="E246" i="6"/>
  <c r="C246" i="6"/>
  <c r="B246" i="6"/>
  <c r="P245" i="6"/>
  <c r="O245" i="6"/>
  <c r="H245" i="6"/>
  <c r="E245" i="6"/>
  <c r="C245" i="6"/>
  <c r="B245" i="6"/>
  <c r="P244" i="6"/>
  <c r="O244" i="6"/>
  <c r="H244" i="6"/>
  <c r="E244" i="6"/>
  <c r="C244" i="6"/>
  <c r="B244" i="6"/>
  <c r="P243" i="6"/>
  <c r="O243" i="6"/>
  <c r="H243" i="6"/>
  <c r="E243" i="6"/>
  <c r="C243" i="6"/>
  <c r="B243" i="6"/>
  <c r="P242" i="6"/>
  <c r="O242" i="6"/>
  <c r="H242" i="6"/>
  <c r="E242" i="6"/>
  <c r="C242" i="6"/>
  <c r="B242" i="6"/>
  <c r="P241" i="6"/>
  <c r="O241" i="6"/>
  <c r="H241" i="6"/>
  <c r="E241" i="6"/>
  <c r="C241" i="6"/>
  <c r="B241" i="6"/>
  <c r="P240" i="6"/>
  <c r="O240" i="6"/>
  <c r="H240" i="6"/>
  <c r="E240" i="6"/>
  <c r="C240" i="6"/>
  <c r="B240" i="6"/>
  <c r="P239" i="6"/>
  <c r="O239" i="6"/>
  <c r="H239" i="6"/>
  <c r="E239" i="6"/>
  <c r="C239" i="6"/>
  <c r="B239" i="6"/>
  <c r="P238" i="6"/>
  <c r="O238" i="6"/>
  <c r="H238" i="6"/>
  <c r="E238" i="6"/>
  <c r="C238" i="6"/>
  <c r="B238" i="6"/>
  <c r="P237" i="6"/>
  <c r="O237" i="6"/>
  <c r="H237" i="6"/>
  <c r="E237" i="6"/>
  <c r="C237" i="6"/>
  <c r="B237" i="6"/>
  <c r="P236" i="6"/>
  <c r="O236" i="6"/>
  <c r="H236" i="6"/>
  <c r="E236" i="6"/>
  <c r="C236" i="6"/>
  <c r="B236" i="6"/>
  <c r="P235" i="6"/>
  <c r="O235" i="6"/>
  <c r="N235" i="6"/>
  <c r="L235" i="6"/>
  <c r="I235" i="6"/>
  <c r="H235" i="6"/>
  <c r="E235" i="6"/>
  <c r="C235" i="6"/>
  <c r="B235" i="6"/>
  <c r="O234" i="6"/>
  <c r="N234" i="6"/>
  <c r="M234" i="6"/>
  <c r="L234" i="6"/>
  <c r="H234" i="6"/>
  <c r="P233" i="6"/>
  <c r="O233" i="6"/>
  <c r="H233" i="6"/>
  <c r="E233" i="6"/>
  <c r="C233" i="6"/>
  <c r="B233" i="6"/>
  <c r="P232" i="6"/>
  <c r="O232" i="6"/>
  <c r="H232" i="6"/>
  <c r="E232" i="6"/>
  <c r="C232" i="6"/>
  <c r="B232" i="6"/>
  <c r="P231" i="6"/>
  <c r="O231" i="6"/>
  <c r="H231" i="6"/>
  <c r="E231" i="6"/>
  <c r="C231" i="6"/>
  <c r="B231" i="6"/>
  <c r="P230" i="6"/>
  <c r="O230" i="6"/>
  <c r="H230" i="6"/>
  <c r="E230" i="6"/>
  <c r="C230" i="6"/>
  <c r="B230" i="6"/>
  <c r="P229" i="6"/>
  <c r="O229" i="6"/>
  <c r="H229" i="6"/>
  <c r="E229" i="6"/>
  <c r="C229" i="6"/>
  <c r="B229" i="6"/>
  <c r="P228" i="6"/>
  <c r="O228" i="6"/>
  <c r="H228" i="6"/>
  <c r="E228" i="6"/>
  <c r="C228" i="6"/>
  <c r="B228" i="6"/>
  <c r="P227" i="6"/>
  <c r="O227" i="6"/>
  <c r="H227" i="6"/>
  <c r="E227" i="6"/>
  <c r="C227" i="6"/>
  <c r="B227" i="6"/>
  <c r="P226" i="6"/>
  <c r="O226" i="6"/>
  <c r="H226" i="6"/>
  <c r="E226" i="6"/>
  <c r="C226" i="6"/>
  <c r="B226" i="6"/>
  <c r="P225" i="6"/>
  <c r="O225" i="6"/>
  <c r="H225" i="6"/>
  <c r="E225" i="6"/>
  <c r="C225" i="6"/>
  <c r="B225" i="6"/>
  <c r="P224" i="6"/>
  <c r="O224" i="6"/>
  <c r="H224" i="6"/>
  <c r="E224" i="6"/>
  <c r="C224" i="6"/>
  <c r="B224" i="6"/>
  <c r="P223" i="6"/>
  <c r="O223" i="6"/>
  <c r="H223" i="6"/>
  <c r="E223" i="6"/>
  <c r="C223" i="6"/>
  <c r="B223" i="6"/>
  <c r="P222" i="6"/>
  <c r="O222" i="6"/>
  <c r="N222" i="6"/>
  <c r="L222" i="6"/>
  <c r="I222" i="6"/>
  <c r="H222" i="6"/>
  <c r="E222" i="6"/>
  <c r="C222" i="6"/>
  <c r="B222" i="6"/>
  <c r="O221" i="6"/>
  <c r="N221" i="6"/>
  <c r="M221" i="6"/>
  <c r="L221" i="6"/>
  <c r="H221" i="6"/>
  <c r="P220" i="6"/>
  <c r="O220" i="6"/>
  <c r="H220" i="6"/>
  <c r="E220" i="6"/>
  <c r="C220" i="6"/>
  <c r="B220" i="6"/>
  <c r="P219" i="6"/>
  <c r="O219" i="6"/>
  <c r="H219" i="6"/>
  <c r="E219" i="6"/>
  <c r="C219" i="6"/>
  <c r="B219" i="6"/>
  <c r="P218" i="6"/>
  <c r="O218" i="6"/>
  <c r="H218" i="6"/>
  <c r="E218" i="6"/>
  <c r="C218" i="6"/>
  <c r="B218" i="6"/>
  <c r="P217" i="6"/>
  <c r="O217" i="6"/>
  <c r="H217" i="6"/>
  <c r="E217" i="6"/>
  <c r="C217" i="6"/>
  <c r="B217" i="6"/>
  <c r="P216" i="6"/>
  <c r="O216" i="6"/>
  <c r="H216" i="6"/>
  <c r="E216" i="6"/>
  <c r="C216" i="6"/>
  <c r="B216" i="6"/>
  <c r="P215" i="6"/>
  <c r="O215" i="6"/>
  <c r="H215" i="6"/>
  <c r="E215" i="6"/>
  <c r="C215" i="6"/>
  <c r="B215" i="6"/>
  <c r="P214" i="6"/>
  <c r="O214" i="6"/>
  <c r="H214" i="6"/>
  <c r="E214" i="6"/>
  <c r="C214" i="6"/>
  <c r="B214" i="6"/>
  <c r="P213" i="6"/>
  <c r="O213" i="6"/>
  <c r="H213" i="6"/>
  <c r="E213" i="6"/>
  <c r="C213" i="6"/>
  <c r="B213" i="6"/>
  <c r="P212" i="6"/>
  <c r="O212" i="6"/>
  <c r="H212" i="6"/>
  <c r="E212" i="6"/>
  <c r="C212" i="6"/>
  <c r="B212" i="6"/>
  <c r="P211" i="6"/>
  <c r="O211" i="6"/>
  <c r="H211" i="6"/>
  <c r="E211" i="6"/>
  <c r="C211" i="6"/>
  <c r="B211" i="6"/>
  <c r="P210" i="6"/>
  <c r="O210" i="6"/>
  <c r="H210" i="6"/>
  <c r="E210" i="6"/>
  <c r="C210" i="6"/>
  <c r="B210" i="6"/>
  <c r="P209" i="6"/>
  <c r="O209" i="6"/>
  <c r="H209" i="6"/>
  <c r="E209" i="6"/>
  <c r="C209" i="6"/>
  <c r="B209" i="6"/>
  <c r="P208" i="6"/>
  <c r="O208" i="6"/>
  <c r="H208" i="6"/>
  <c r="E208" i="6"/>
  <c r="C208" i="6"/>
  <c r="B208" i="6"/>
  <c r="P207" i="6"/>
  <c r="O207" i="6"/>
  <c r="N207" i="6"/>
  <c r="L207" i="6"/>
  <c r="I207" i="6"/>
  <c r="H207" i="6"/>
  <c r="E207" i="6"/>
  <c r="C207" i="6"/>
  <c r="B207" i="6"/>
  <c r="P206" i="6"/>
  <c r="O206" i="6"/>
  <c r="N206" i="6"/>
  <c r="M206" i="6"/>
  <c r="L206" i="6"/>
  <c r="H206" i="6"/>
  <c r="P205" i="6"/>
  <c r="O205" i="6"/>
  <c r="H205" i="6"/>
  <c r="E205" i="6"/>
  <c r="C205" i="6"/>
  <c r="B205" i="6"/>
  <c r="P204" i="6"/>
  <c r="O204" i="6"/>
  <c r="H204" i="6"/>
  <c r="E204" i="6"/>
  <c r="C204" i="6"/>
  <c r="B204" i="6"/>
  <c r="P203" i="6"/>
  <c r="O203" i="6"/>
  <c r="H203" i="6"/>
  <c r="E203" i="6"/>
  <c r="C203" i="6"/>
  <c r="B203" i="6"/>
  <c r="P202" i="6"/>
  <c r="O202" i="6"/>
  <c r="H202" i="6"/>
  <c r="E202" i="6"/>
  <c r="C202" i="6"/>
  <c r="B202" i="6"/>
  <c r="P201" i="6"/>
  <c r="O201" i="6"/>
  <c r="H201" i="6"/>
  <c r="E201" i="6"/>
  <c r="C201" i="6"/>
  <c r="B201" i="6"/>
  <c r="P200" i="6"/>
  <c r="O200" i="6"/>
  <c r="H200" i="6"/>
  <c r="E200" i="6"/>
  <c r="C200" i="6"/>
  <c r="B200" i="6"/>
  <c r="P199" i="6"/>
  <c r="O199" i="6"/>
  <c r="H199" i="6"/>
  <c r="E199" i="6"/>
  <c r="C199" i="6"/>
  <c r="B199" i="6"/>
  <c r="P198" i="6"/>
  <c r="O198" i="6"/>
  <c r="H198" i="6"/>
  <c r="E198" i="6"/>
  <c r="C198" i="6"/>
  <c r="B198" i="6"/>
  <c r="P197" i="6"/>
  <c r="O197" i="6"/>
  <c r="N197" i="6"/>
  <c r="L197" i="6"/>
  <c r="I197" i="6"/>
  <c r="H197" i="6"/>
  <c r="E197" i="6"/>
  <c r="C197" i="6"/>
  <c r="B197" i="6"/>
  <c r="O196" i="6"/>
  <c r="N196" i="6"/>
  <c r="M196" i="6"/>
  <c r="L196" i="6"/>
  <c r="H196" i="6"/>
  <c r="P195" i="6"/>
  <c r="O195" i="6"/>
  <c r="H195" i="6"/>
  <c r="E195" i="6"/>
  <c r="C195" i="6"/>
  <c r="B195" i="6"/>
  <c r="P194" i="6"/>
  <c r="O194" i="6"/>
  <c r="H194" i="6"/>
  <c r="E194" i="6"/>
  <c r="C194" i="6"/>
  <c r="B194" i="6"/>
  <c r="P193" i="6"/>
  <c r="O193" i="6"/>
  <c r="H193" i="6"/>
  <c r="E193" i="6"/>
  <c r="C193" i="6"/>
  <c r="B193" i="6"/>
  <c r="P192" i="6"/>
  <c r="O192" i="6"/>
  <c r="H192" i="6"/>
  <c r="E192" i="6"/>
  <c r="C192" i="6"/>
  <c r="B192" i="6"/>
  <c r="P191" i="6"/>
  <c r="O191" i="6"/>
  <c r="H191" i="6"/>
  <c r="E191" i="6"/>
  <c r="C191" i="6"/>
  <c r="B191" i="6"/>
  <c r="P190" i="6"/>
  <c r="O190" i="6"/>
  <c r="H190" i="6"/>
  <c r="E190" i="6"/>
  <c r="C190" i="6"/>
  <c r="B190" i="6"/>
  <c r="P189" i="6"/>
  <c r="O189" i="6"/>
  <c r="H189" i="6"/>
  <c r="E189" i="6"/>
  <c r="C189" i="6"/>
  <c r="B189" i="6"/>
  <c r="P188" i="6"/>
  <c r="O188" i="6"/>
  <c r="H188" i="6"/>
  <c r="E188" i="6"/>
  <c r="C188" i="6"/>
  <c r="B188" i="6"/>
  <c r="P187" i="6"/>
  <c r="O187" i="6"/>
  <c r="H187" i="6"/>
  <c r="E187" i="6"/>
  <c r="C187" i="6"/>
  <c r="B187" i="6"/>
  <c r="O186" i="6"/>
  <c r="N186" i="6"/>
  <c r="M186" i="6"/>
  <c r="L186" i="6"/>
  <c r="H186" i="6"/>
  <c r="P185" i="6"/>
  <c r="O185" i="6"/>
  <c r="H185" i="6"/>
  <c r="E185" i="6"/>
  <c r="C185" i="6"/>
  <c r="B185" i="6"/>
  <c r="P184" i="6"/>
  <c r="O184" i="6"/>
  <c r="H184" i="6"/>
  <c r="E184" i="6"/>
  <c r="C184" i="6"/>
  <c r="B184" i="6"/>
  <c r="P183" i="6"/>
  <c r="O183" i="6"/>
  <c r="H183" i="6"/>
  <c r="E183" i="6"/>
  <c r="C183" i="6"/>
  <c r="B183" i="6"/>
  <c r="P182" i="6"/>
  <c r="O182" i="6"/>
  <c r="H182" i="6"/>
  <c r="E182" i="6"/>
  <c r="C182" i="6"/>
  <c r="B182" i="6"/>
  <c r="P181" i="6"/>
  <c r="O181" i="6"/>
  <c r="H181" i="6"/>
  <c r="E181" i="6"/>
  <c r="C181" i="6"/>
  <c r="B181" i="6"/>
  <c r="P180" i="6"/>
  <c r="O180" i="6"/>
  <c r="H180" i="6"/>
  <c r="E180" i="6"/>
  <c r="C180" i="6"/>
  <c r="B180" i="6"/>
  <c r="P179" i="6"/>
  <c r="O179" i="6"/>
  <c r="H179" i="6"/>
  <c r="E179" i="6"/>
  <c r="C179" i="6"/>
  <c r="B179" i="6"/>
  <c r="P178" i="6"/>
  <c r="O178" i="6"/>
  <c r="H178" i="6"/>
  <c r="E178" i="6"/>
  <c r="C178" i="6"/>
  <c r="B178" i="6"/>
  <c r="P177" i="6"/>
  <c r="O177" i="6"/>
  <c r="H177" i="6"/>
  <c r="E177" i="6"/>
  <c r="C177" i="6"/>
  <c r="B177" i="6"/>
  <c r="P176" i="6"/>
  <c r="O176" i="6"/>
  <c r="H176" i="6"/>
  <c r="E176" i="6"/>
  <c r="C176" i="6"/>
  <c r="B176" i="6"/>
  <c r="O175" i="6"/>
  <c r="N175" i="6"/>
  <c r="M175" i="6"/>
  <c r="L175" i="6"/>
  <c r="H175" i="6"/>
  <c r="P174" i="6"/>
  <c r="O174" i="6"/>
  <c r="H174" i="6"/>
  <c r="E174" i="6"/>
  <c r="C174" i="6"/>
  <c r="B174" i="6"/>
  <c r="P173" i="6"/>
  <c r="O173" i="6"/>
  <c r="H173" i="6"/>
  <c r="E173" i="6"/>
  <c r="C173" i="6"/>
  <c r="B173" i="6"/>
  <c r="P172" i="6"/>
  <c r="O172" i="6"/>
  <c r="H172" i="6"/>
  <c r="E172" i="6"/>
  <c r="C172" i="6"/>
  <c r="B172" i="6"/>
  <c r="O171" i="6"/>
  <c r="N171" i="6"/>
  <c r="M171" i="6"/>
  <c r="L171" i="6"/>
  <c r="H171" i="6"/>
  <c r="P170" i="6"/>
  <c r="O170" i="6"/>
  <c r="H170" i="6"/>
  <c r="E170" i="6"/>
  <c r="C170" i="6"/>
  <c r="B170" i="6"/>
  <c r="P169" i="6"/>
  <c r="O169" i="6"/>
  <c r="H169" i="6"/>
  <c r="E169" i="6"/>
  <c r="C169" i="6"/>
  <c r="B169" i="6"/>
  <c r="P168" i="6"/>
  <c r="O168" i="6"/>
  <c r="H168" i="6"/>
  <c r="E168" i="6"/>
  <c r="C168" i="6"/>
  <c r="B168" i="6"/>
  <c r="P167" i="6"/>
  <c r="O167" i="6"/>
  <c r="H167" i="6"/>
  <c r="E167" i="6"/>
  <c r="C167" i="6"/>
  <c r="B167" i="6"/>
  <c r="P166" i="6"/>
  <c r="O166" i="6"/>
  <c r="H166" i="6"/>
  <c r="E166" i="6"/>
  <c r="C166" i="6"/>
  <c r="B166" i="6"/>
  <c r="P165" i="6"/>
  <c r="O165" i="6"/>
  <c r="H165" i="6"/>
  <c r="E165" i="6"/>
  <c r="C165" i="6"/>
  <c r="B165" i="6"/>
  <c r="P164" i="6"/>
  <c r="O164" i="6"/>
  <c r="H164" i="6"/>
  <c r="E164" i="6"/>
  <c r="C164" i="6"/>
  <c r="B164" i="6"/>
  <c r="P163" i="6"/>
  <c r="O163" i="6"/>
  <c r="H163" i="6"/>
  <c r="E163" i="6"/>
  <c r="C163" i="6"/>
  <c r="B163" i="6"/>
  <c r="P162" i="6"/>
  <c r="O162" i="6"/>
  <c r="H162" i="6"/>
  <c r="E162" i="6"/>
  <c r="C162" i="6"/>
  <c r="B162" i="6"/>
  <c r="O161" i="6"/>
  <c r="N161" i="6"/>
  <c r="M161" i="6"/>
  <c r="L161" i="6"/>
  <c r="H161" i="6"/>
  <c r="O160" i="6"/>
  <c r="N160" i="6"/>
  <c r="M160" i="6"/>
  <c r="L160" i="6"/>
  <c r="H160" i="6"/>
  <c r="P159" i="6"/>
  <c r="O159" i="6"/>
  <c r="H159" i="6"/>
  <c r="E159" i="6"/>
  <c r="C159" i="6"/>
  <c r="B159" i="6"/>
  <c r="P158" i="6"/>
  <c r="O158" i="6"/>
  <c r="N158" i="6"/>
  <c r="M158" i="6"/>
  <c r="L158" i="6"/>
  <c r="H158" i="6"/>
  <c r="P157" i="6"/>
  <c r="O157" i="6"/>
  <c r="H157" i="6"/>
  <c r="E157" i="6"/>
  <c r="C157" i="6"/>
  <c r="B157" i="6"/>
  <c r="P156" i="6"/>
  <c r="O156" i="6"/>
  <c r="H156" i="6"/>
  <c r="E156" i="6"/>
  <c r="C156" i="6"/>
  <c r="B156" i="6"/>
  <c r="P155" i="6"/>
  <c r="O155" i="6"/>
  <c r="H155" i="6"/>
  <c r="E155" i="6"/>
  <c r="C155" i="6"/>
  <c r="B155" i="6"/>
  <c r="P154" i="6"/>
  <c r="O154" i="6"/>
  <c r="H154" i="6"/>
  <c r="E154" i="6"/>
  <c r="C154" i="6"/>
  <c r="B154" i="6"/>
  <c r="O153" i="6"/>
  <c r="N153" i="6"/>
  <c r="M153" i="6"/>
  <c r="L153" i="6"/>
  <c r="H153" i="6"/>
  <c r="P152" i="6"/>
  <c r="O152" i="6"/>
  <c r="H152" i="6"/>
  <c r="E152" i="6"/>
  <c r="C152" i="6"/>
  <c r="B152" i="6"/>
  <c r="P151" i="6"/>
  <c r="O151" i="6"/>
  <c r="H151" i="6"/>
  <c r="E151" i="6"/>
  <c r="C151" i="6"/>
  <c r="B151" i="6"/>
  <c r="P150" i="6"/>
  <c r="O150" i="6"/>
  <c r="H150" i="6"/>
  <c r="E150" i="6"/>
  <c r="C150" i="6"/>
  <c r="B150" i="6"/>
  <c r="P149" i="6"/>
  <c r="O149" i="6"/>
  <c r="H149" i="6"/>
  <c r="E149" i="6"/>
  <c r="C149" i="6"/>
  <c r="B149" i="6"/>
  <c r="O148" i="6"/>
  <c r="N148" i="6"/>
  <c r="M148" i="6"/>
  <c r="L148" i="6"/>
  <c r="H148" i="6"/>
  <c r="P147" i="6"/>
  <c r="O147" i="6"/>
  <c r="H147" i="6"/>
  <c r="E147" i="6"/>
  <c r="C147" i="6"/>
  <c r="B147" i="6"/>
  <c r="P146" i="6"/>
  <c r="O146" i="6"/>
  <c r="H146" i="6"/>
  <c r="E146" i="6"/>
  <c r="C146" i="6"/>
  <c r="B146" i="6"/>
  <c r="P145" i="6"/>
  <c r="O145" i="6"/>
  <c r="H145" i="6"/>
  <c r="E145" i="6"/>
  <c r="C145" i="6"/>
  <c r="B145" i="6"/>
  <c r="P144" i="6"/>
  <c r="O144" i="6"/>
  <c r="H144" i="6"/>
  <c r="E144" i="6"/>
  <c r="C144" i="6"/>
  <c r="B144" i="6"/>
  <c r="P143" i="6"/>
  <c r="O143" i="6"/>
  <c r="H143" i="6"/>
  <c r="E143" i="6"/>
  <c r="C143" i="6"/>
  <c r="B143" i="6"/>
  <c r="P142" i="6"/>
  <c r="O142" i="6"/>
  <c r="H142" i="6"/>
  <c r="E142" i="6"/>
  <c r="C142" i="6"/>
  <c r="B142" i="6"/>
  <c r="P141" i="6"/>
  <c r="O141" i="6"/>
  <c r="H141" i="6"/>
  <c r="E141" i="6"/>
  <c r="C141" i="6"/>
  <c r="B141" i="6"/>
  <c r="P140" i="6"/>
  <c r="O140" i="6"/>
  <c r="H140" i="6"/>
  <c r="E140" i="6"/>
  <c r="C140" i="6"/>
  <c r="B140" i="6"/>
  <c r="P139" i="6"/>
  <c r="O139" i="6"/>
  <c r="H139" i="6"/>
  <c r="E139" i="6"/>
  <c r="C139" i="6"/>
  <c r="B139" i="6"/>
  <c r="P138" i="6"/>
  <c r="O138" i="6"/>
  <c r="N138" i="6"/>
  <c r="M138" i="6"/>
  <c r="L138" i="6"/>
  <c r="H138" i="6"/>
  <c r="P137" i="6"/>
  <c r="O137" i="6"/>
  <c r="N137" i="6"/>
  <c r="L137" i="6"/>
  <c r="I137" i="6"/>
  <c r="H137" i="6"/>
  <c r="E137" i="6"/>
  <c r="C137" i="6"/>
  <c r="B137" i="6"/>
  <c r="P136" i="6"/>
  <c r="O136" i="6"/>
  <c r="I136" i="6"/>
  <c r="H136" i="6"/>
  <c r="E136" i="6"/>
  <c r="C136" i="6"/>
  <c r="B136" i="6"/>
  <c r="P135" i="6"/>
  <c r="O135" i="6"/>
  <c r="I135" i="6"/>
  <c r="H135" i="6"/>
  <c r="E135" i="6"/>
  <c r="C135" i="6"/>
  <c r="B135" i="6"/>
  <c r="P134" i="6"/>
  <c r="O134" i="6"/>
  <c r="I134" i="6"/>
  <c r="H134" i="6"/>
  <c r="E134" i="6"/>
  <c r="C134" i="6"/>
  <c r="B134" i="6"/>
  <c r="O133" i="6"/>
  <c r="N133" i="6"/>
  <c r="M133" i="6"/>
  <c r="L133" i="6"/>
  <c r="H133" i="6"/>
  <c r="P132" i="6"/>
  <c r="O132" i="6"/>
  <c r="N132" i="6"/>
  <c r="L132" i="6"/>
  <c r="I132" i="6"/>
  <c r="H132" i="6"/>
  <c r="E132" i="6"/>
  <c r="C132" i="6"/>
  <c r="B132" i="6"/>
  <c r="P131" i="6"/>
  <c r="O131" i="6"/>
  <c r="N131" i="6"/>
  <c r="L131" i="6"/>
  <c r="I131" i="6"/>
  <c r="H131" i="6"/>
  <c r="E131" i="6"/>
  <c r="C131" i="6"/>
  <c r="B131" i="6"/>
  <c r="P130" i="6"/>
  <c r="O130" i="6"/>
  <c r="N130" i="6"/>
  <c r="L130" i="6"/>
  <c r="I130" i="6"/>
  <c r="H130" i="6"/>
  <c r="E130" i="6"/>
  <c r="C130" i="6"/>
  <c r="B130" i="6"/>
  <c r="P129" i="6"/>
  <c r="O129" i="6"/>
  <c r="N129" i="6"/>
  <c r="L129" i="6"/>
  <c r="I129" i="6"/>
  <c r="H129" i="6"/>
  <c r="E129" i="6"/>
  <c r="C129" i="6"/>
  <c r="B129" i="6"/>
  <c r="O128" i="6"/>
  <c r="N128" i="6"/>
  <c r="M128" i="6"/>
  <c r="L128" i="6"/>
  <c r="H128" i="6"/>
  <c r="P127" i="6"/>
  <c r="O127" i="6"/>
  <c r="N127" i="6"/>
  <c r="L127" i="6"/>
  <c r="I127" i="6"/>
  <c r="H127" i="6"/>
  <c r="E127" i="6"/>
  <c r="C127" i="6"/>
  <c r="B127" i="6"/>
  <c r="P126" i="6"/>
  <c r="O126" i="6"/>
  <c r="N126" i="6"/>
  <c r="L126" i="6"/>
  <c r="I126" i="6"/>
  <c r="H126" i="6"/>
  <c r="E126" i="6"/>
  <c r="C126" i="6"/>
  <c r="B126" i="6"/>
  <c r="P125" i="6"/>
  <c r="O125" i="6"/>
  <c r="N125" i="6"/>
  <c r="L125" i="6"/>
  <c r="I125" i="6"/>
  <c r="H125" i="6"/>
  <c r="E125" i="6"/>
  <c r="C125" i="6"/>
  <c r="B125" i="6"/>
  <c r="P124" i="6"/>
  <c r="O124" i="6"/>
  <c r="N124" i="6"/>
  <c r="L124" i="6"/>
  <c r="I124" i="6"/>
  <c r="H124" i="6"/>
  <c r="E124" i="6"/>
  <c r="C124" i="6"/>
  <c r="B124" i="6"/>
  <c r="P123" i="6"/>
  <c r="O123" i="6"/>
  <c r="N123" i="6"/>
  <c r="M123" i="6"/>
  <c r="L123" i="6"/>
  <c r="H123" i="6"/>
  <c r="P122" i="6"/>
  <c r="O122" i="6"/>
  <c r="N122" i="6"/>
  <c r="L122" i="6"/>
  <c r="I122" i="6"/>
  <c r="H122" i="6"/>
  <c r="E122" i="6"/>
  <c r="C122" i="6"/>
  <c r="B122" i="6"/>
  <c r="P121" i="6"/>
  <c r="O121" i="6"/>
  <c r="N121" i="6"/>
  <c r="L121" i="6"/>
  <c r="I121" i="6"/>
  <c r="H121" i="6"/>
  <c r="E121" i="6"/>
  <c r="C121" i="6"/>
  <c r="B121" i="6"/>
  <c r="P120" i="6"/>
  <c r="O120" i="6"/>
  <c r="N120" i="6"/>
  <c r="M120" i="6"/>
  <c r="L120" i="6"/>
  <c r="H120" i="6"/>
  <c r="P119" i="6"/>
  <c r="O119" i="6"/>
  <c r="N119" i="6"/>
  <c r="L119" i="6"/>
  <c r="I119" i="6"/>
  <c r="H119" i="6"/>
  <c r="E119" i="6"/>
  <c r="C119" i="6"/>
  <c r="B119" i="6"/>
  <c r="P118" i="6"/>
  <c r="O118" i="6"/>
  <c r="N118" i="6"/>
  <c r="L118" i="6"/>
  <c r="I118" i="6"/>
  <c r="H118" i="6"/>
  <c r="E118" i="6"/>
  <c r="C118" i="6"/>
  <c r="B118" i="6"/>
  <c r="P117" i="6"/>
  <c r="O117" i="6"/>
  <c r="N117" i="6"/>
  <c r="L117" i="6"/>
  <c r="I117" i="6"/>
  <c r="H117" i="6"/>
  <c r="E117" i="6"/>
  <c r="C117" i="6"/>
  <c r="B117" i="6"/>
  <c r="P116" i="6"/>
  <c r="O116" i="6"/>
  <c r="N116" i="6"/>
  <c r="L116" i="6"/>
  <c r="I116" i="6"/>
  <c r="H116" i="6"/>
  <c r="E116" i="6"/>
  <c r="C116" i="6"/>
  <c r="B116" i="6"/>
  <c r="P115" i="6"/>
  <c r="O115" i="6"/>
  <c r="N115" i="6"/>
  <c r="L115" i="6"/>
  <c r="I115" i="6"/>
  <c r="H115" i="6"/>
  <c r="E115" i="6"/>
  <c r="C115" i="6"/>
  <c r="B115" i="6"/>
  <c r="P114" i="6"/>
  <c r="O114" i="6"/>
  <c r="N114" i="6"/>
  <c r="L114" i="6"/>
  <c r="I114" i="6"/>
  <c r="H114" i="6"/>
  <c r="E114" i="6"/>
  <c r="C114" i="6"/>
  <c r="B114" i="6"/>
  <c r="P113" i="6"/>
  <c r="O113" i="6"/>
  <c r="N113" i="6"/>
  <c r="L113" i="6"/>
  <c r="I113" i="6"/>
  <c r="H113" i="6"/>
  <c r="E113" i="6"/>
  <c r="C113" i="6"/>
  <c r="B113" i="6"/>
  <c r="O112" i="6"/>
  <c r="N112" i="6"/>
  <c r="M112" i="6"/>
  <c r="L112" i="6"/>
  <c r="H112" i="6"/>
  <c r="P111" i="6"/>
  <c r="O111" i="6"/>
  <c r="N111" i="6"/>
  <c r="L111" i="6"/>
  <c r="I111" i="6"/>
  <c r="H111" i="6"/>
  <c r="E111" i="6"/>
  <c r="C111" i="6"/>
  <c r="B111" i="6"/>
  <c r="P110" i="6"/>
  <c r="O110" i="6"/>
  <c r="N110" i="6"/>
  <c r="L110" i="6"/>
  <c r="I110" i="6"/>
  <c r="H110" i="6"/>
  <c r="E110" i="6"/>
  <c r="C110" i="6"/>
  <c r="B110" i="6"/>
  <c r="P109" i="6"/>
  <c r="O109" i="6"/>
  <c r="N109" i="6"/>
  <c r="L109" i="6"/>
  <c r="I109" i="6"/>
  <c r="H109" i="6"/>
  <c r="E109" i="6"/>
  <c r="C109" i="6"/>
  <c r="B109" i="6"/>
  <c r="P108" i="6"/>
  <c r="O108" i="6"/>
  <c r="N108" i="6"/>
  <c r="L108" i="6"/>
  <c r="I108" i="6"/>
  <c r="H108" i="6"/>
  <c r="E108" i="6"/>
  <c r="C108" i="6"/>
  <c r="B108" i="6"/>
  <c r="O107" i="6"/>
  <c r="N107" i="6"/>
  <c r="M107" i="6"/>
  <c r="L107" i="6"/>
  <c r="H107" i="6"/>
  <c r="P106" i="6"/>
  <c r="O106" i="6"/>
  <c r="N106" i="6"/>
  <c r="L106" i="6"/>
  <c r="I106" i="6"/>
  <c r="H106" i="6"/>
  <c r="E106" i="6"/>
  <c r="C106" i="6"/>
  <c r="B106" i="6"/>
  <c r="P105" i="6"/>
  <c r="O105" i="6"/>
  <c r="N105" i="6"/>
  <c r="L105" i="6"/>
  <c r="I105" i="6"/>
  <c r="H105" i="6"/>
  <c r="E105" i="6"/>
  <c r="C105" i="6"/>
  <c r="B105" i="6"/>
  <c r="P104" i="6"/>
  <c r="O104" i="6"/>
  <c r="N104" i="6"/>
  <c r="L104" i="6"/>
  <c r="I104" i="6"/>
  <c r="H104" i="6"/>
  <c r="E104" i="6"/>
  <c r="C104" i="6"/>
  <c r="B104" i="6"/>
  <c r="P103" i="6"/>
  <c r="O103" i="6"/>
  <c r="N103" i="6"/>
  <c r="L103" i="6"/>
  <c r="I103" i="6"/>
  <c r="H103" i="6"/>
  <c r="E103" i="6"/>
  <c r="C103" i="6"/>
  <c r="B103" i="6"/>
  <c r="P102" i="6"/>
  <c r="O102" i="6"/>
  <c r="N102" i="6"/>
  <c r="L102" i="6"/>
  <c r="I102" i="6"/>
  <c r="H102" i="6"/>
  <c r="E102" i="6"/>
  <c r="C102" i="6"/>
  <c r="B102" i="6"/>
  <c r="P101" i="6"/>
  <c r="O101" i="6"/>
  <c r="N101" i="6"/>
  <c r="L101" i="6"/>
  <c r="I101" i="6"/>
  <c r="H101" i="6"/>
  <c r="E101" i="6"/>
  <c r="C101" i="6"/>
  <c r="B101" i="6"/>
  <c r="P100" i="6"/>
  <c r="O100" i="6"/>
  <c r="N100" i="6"/>
  <c r="L100" i="6"/>
  <c r="I100" i="6"/>
  <c r="H100" i="6"/>
  <c r="E100" i="6"/>
  <c r="C100" i="6"/>
  <c r="B100" i="6"/>
  <c r="P99" i="6"/>
  <c r="O99" i="6"/>
  <c r="N99" i="6"/>
  <c r="L99" i="6"/>
  <c r="I99" i="6"/>
  <c r="H99" i="6"/>
  <c r="E99" i="6"/>
  <c r="C99" i="6"/>
  <c r="B99" i="6"/>
  <c r="P98" i="6"/>
  <c r="O98" i="6"/>
  <c r="N98" i="6"/>
  <c r="L98" i="6"/>
  <c r="I98" i="6"/>
  <c r="H98" i="6"/>
  <c r="E98" i="6"/>
  <c r="C98" i="6"/>
  <c r="B98" i="6"/>
  <c r="P97" i="6"/>
  <c r="O97" i="6"/>
  <c r="N97" i="6"/>
  <c r="L97" i="6"/>
  <c r="I97" i="6"/>
  <c r="H97" i="6"/>
  <c r="E97" i="6"/>
  <c r="C97" i="6"/>
  <c r="B97" i="6"/>
  <c r="P96" i="6"/>
  <c r="O96" i="6"/>
  <c r="N96" i="6"/>
  <c r="L96" i="6"/>
  <c r="I96" i="6"/>
  <c r="H96" i="6"/>
  <c r="E96" i="6"/>
  <c r="C96" i="6"/>
  <c r="B96" i="6"/>
  <c r="P95" i="6"/>
  <c r="O95" i="6"/>
  <c r="N95" i="6"/>
  <c r="L95" i="6"/>
  <c r="I95" i="6"/>
  <c r="H95" i="6"/>
  <c r="E95" i="6"/>
  <c r="C95" i="6"/>
  <c r="B95" i="6"/>
  <c r="P94" i="6"/>
  <c r="O94" i="6"/>
  <c r="N94" i="6"/>
  <c r="L94" i="6"/>
  <c r="I94" i="6"/>
  <c r="H94" i="6"/>
  <c r="E94" i="6"/>
  <c r="C94" i="6"/>
  <c r="B94" i="6"/>
  <c r="P93" i="6"/>
  <c r="O93" i="6"/>
  <c r="N93" i="6"/>
  <c r="M93" i="6"/>
  <c r="L93" i="6"/>
  <c r="H93" i="6"/>
  <c r="P92" i="6"/>
  <c r="O92" i="6"/>
  <c r="N92" i="6"/>
  <c r="L92" i="6"/>
  <c r="I92" i="6"/>
  <c r="H92" i="6"/>
  <c r="E92" i="6"/>
  <c r="C92" i="6"/>
  <c r="B92" i="6"/>
  <c r="P91" i="6"/>
  <c r="O91" i="6"/>
  <c r="N91" i="6"/>
  <c r="L91" i="6"/>
  <c r="I91" i="6"/>
  <c r="H91" i="6"/>
  <c r="E91" i="6"/>
  <c r="C91" i="6"/>
  <c r="B91" i="6"/>
  <c r="P90" i="6"/>
  <c r="O90" i="6"/>
  <c r="N90" i="6"/>
  <c r="L90" i="6"/>
  <c r="I90" i="6"/>
  <c r="H90" i="6"/>
  <c r="E90" i="6"/>
  <c r="C90" i="6"/>
  <c r="B90" i="6"/>
  <c r="P89" i="6"/>
  <c r="O89" i="6"/>
  <c r="N89" i="6"/>
  <c r="L89" i="6"/>
  <c r="I89" i="6"/>
  <c r="H89" i="6"/>
  <c r="E89" i="6"/>
  <c r="C89" i="6"/>
  <c r="B89" i="6"/>
  <c r="P88" i="6"/>
  <c r="O88" i="6"/>
  <c r="N88" i="6"/>
  <c r="L88" i="6"/>
  <c r="I88" i="6"/>
  <c r="H88" i="6"/>
  <c r="E88" i="6"/>
  <c r="C88" i="6"/>
  <c r="B88" i="6"/>
  <c r="P87" i="6"/>
  <c r="O87" i="6"/>
  <c r="N87" i="6"/>
  <c r="L87" i="6"/>
  <c r="I87" i="6"/>
  <c r="H87" i="6"/>
  <c r="E87" i="6"/>
  <c r="C87" i="6"/>
  <c r="B87" i="6"/>
  <c r="O86" i="6"/>
  <c r="N86" i="6"/>
  <c r="M86" i="6"/>
  <c r="L86" i="6"/>
  <c r="H86" i="6"/>
  <c r="P85" i="6"/>
  <c r="O85" i="6"/>
  <c r="N85" i="6"/>
  <c r="L85" i="6"/>
  <c r="I85" i="6"/>
  <c r="H85" i="6"/>
  <c r="E85" i="6"/>
  <c r="C85" i="6"/>
  <c r="B85" i="6"/>
  <c r="P84" i="6"/>
  <c r="O84" i="6"/>
  <c r="N84" i="6"/>
  <c r="L84" i="6"/>
  <c r="I84" i="6"/>
  <c r="H84" i="6"/>
  <c r="E84" i="6"/>
  <c r="C84" i="6"/>
  <c r="B84" i="6"/>
  <c r="P83" i="6"/>
  <c r="O83" i="6"/>
  <c r="N83" i="6"/>
  <c r="L83" i="6"/>
  <c r="I83" i="6"/>
  <c r="H83" i="6"/>
  <c r="E83" i="6"/>
  <c r="C83" i="6"/>
  <c r="B83" i="6"/>
  <c r="P82" i="6"/>
  <c r="O82" i="6"/>
  <c r="N82" i="6"/>
  <c r="L82" i="6"/>
  <c r="I82" i="6"/>
  <c r="H82" i="6"/>
  <c r="E82" i="6"/>
  <c r="C82" i="6"/>
  <c r="B82" i="6"/>
  <c r="P81" i="6"/>
  <c r="O81" i="6"/>
  <c r="N81" i="6"/>
  <c r="L81" i="6"/>
  <c r="I81" i="6"/>
  <c r="H81" i="6"/>
  <c r="E81" i="6"/>
  <c r="C81" i="6"/>
  <c r="B81" i="6"/>
  <c r="P80" i="6"/>
  <c r="O80" i="6"/>
  <c r="N80" i="6"/>
  <c r="M80" i="6"/>
  <c r="L80" i="6"/>
  <c r="H80" i="6"/>
  <c r="P79" i="6"/>
  <c r="O79" i="6"/>
  <c r="N79" i="6"/>
  <c r="L79" i="6"/>
  <c r="I79" i="6"/>
  <c r="H79" i="6"/>
  <c r="E79" i="6"/>
  <c r="C79" i="6"/>
  <c r="B79" i="6"/>
  <c r="P78" i="6"/>
  <c r="O78" i="6"/>
  <c r="N78" i="6"/>
  <c r="L78" i="6"/>
  <c r="I78" i="6"/>
  <c r="H78" i="6"/>
  <c r="E78" i="6"/>
  <c r="C78" i="6"/>
  <c r="B78" i="6"/>
  <c r="P77" i="6"/>
  <c r="O77" i="6"/>
  <c r="N77" i="6"/>
  <c r="L77" i="6"/>
  <c r="I77" i="6"/>
  <c r="H77" i="6"/>
  <c r="E77" i="6"/>
  <c r="C77" i="6"/>
  <c r="B77" i="6"/>
  <c r="P76" i="6"/>
  <c r="O76" i="6"/>
  <c r="N76" i="6"/>
  <c r="L76" i="6"/>
  <c r="I76" i="6"/>
  <c r="H76" i="6"/>
  <c r="E76" i="6"/>
  <c r="C76" i="6"/>
  <c r="B76" i="6"/>
  <c r="P75" i="6"/>
  <c r="O75" i="6"/>
  <c r="N75" i="6"/>
  <c r="L75" i="6"/>
  <c r="I75" i="6"/>
  <c r="H75" i="6"/>
  <c r="E75" i="6"/>
  <c r="C75" i="6"/>
  <c r="B75" i="6"/>
  <c r="P74" i="6"/>
  <c r="O74" i="6"/>
  <c r="N74" i="6"/>
  <c r="L74" i="6"/>
  <c r="I74" i="6"/>
  <c r="H74" i="6"/>
  <c r="E74" i="6"/>
  <c r="C74" i="6"/>
  <c r="B74" i="6"/>
  <c r="P73" i="6"/>
  <c r="O73" i="6"/>
  <c r="N73" i="6"/>
  <c r="L73" i="6"/>
  <c r="I73" i="6"/>
  <c r="H73" i="6"/>
  <c r="E73" i="6"/>
  <c r="C73" i="6"/>
  <c r="B73" i="6"/>
  <c r="P72" i="6"/>
  <c r="O72" i="6"/>
  <c r="N72" i="6"/>
  <c r="L72" i="6"/>
  <c r="I72" i="6"/>
  <c r="H72" i="6"/>
  <c r="E72" i="6"/>
  <c r="C72" i="6"/>
  <c r="B72" i="6"/>
  <c r="P71" i="6"/>
  <c r="O71" i="6"/>
  <c r="N71" i="6"/>
  <c r="L71" i="6"/>
  <c r="I71" i="6"/>
  <c r="H71" i="6"/>
  <c r="E71" i="6"/>
  <c r="C71" i="6"/>
  <c r="B71" i="6"/>
  <c r="Q70" i="6"/>
  <c r="P70" i="6"/>
  <c r="O70" i="6"/>
  <c r="N70" i="6"/>
  <c r="L70" i="6"/>
  <c r="I70" i="6"/>
  <c r="H70" i="6"/>
  <c r="E70" i="6"/>
  <c r="C70" i="6"/>
  <c r="B70" i="6"/>
  <c r="P69" i="6"/>
  <c r="O69" i="6"/>
  <c r="N69" i="6"/>
  <c r="L69" i="6"/>
  <c r="I69" i="6"/>
  <c r="H69" i="6"/>
  <c r="E69" i="6"/>
  <c r="C69" i="6"/>
  <c r="B69" i="6"/>
  <c r="P68" i="6"/>
  <c r="O68" i="6"/>
  <c r="N68" i="6"/>
  <c r="L68" i="6"/>
  <c r="I68" i="6"/>
  <c r="H68" i="6"/>
  <c r="E68" i="6"/>
  <c r="C68" i="6"/>
  <c r="B68" i="6"/>
  <c r="S67" i="6"/>
  <c r="P67" i="6"/>
  <c r="O67" i="6"/>
  <c r="N67" i="6"/>
  <c r="L67" i="6"/>
  <c r="I67" i="6"/>
  <c r="H67" i="6"/>
  <c r="E67" i="6"/>
  <c r="C67" i="6"/>
  <c r="B67" i="6"/>
  <c r="P66" i="6"/>
  <c r="O66" i="6"/>
  <c r="N66" i="6"/>
  <c r="M66" i="6"/>
  <c r="L66" i="6"/>
  <c r="H66" i="6"/>
  <c r="O65" i="6"/>
  <c r="N65" i="6"/>
  <c r="M65" i="6"/>
  <c r="L65" i="6"/>
  <c r="H65" i="6"/>
  <c r="T64" i="6"/>
  <c r="O64" i="6"/>
  <c r="N64" i="6"/>
  <c r="M64" i="6"/>
  <c r="L64" i="6"/>
  <c r="H64" i="6"/>
  <c r="P63" i="6"/>
  <c r="O63" i="6"/>
  <c r="N63" i="6"/>
  <c r="L63" i="6"/>
  <c r="I63" i="6"/>
  <c r="H63" i="6"/>
  <c r="E63" i="6"/>
  <c r="C63" i="6"/>
  <c r="B63" i="6"/>
  <c r="R62" i="6"/>
  <c r="P62" i="6"/>
  <c r="O62" i="6"/>
  <c r="N62" i="6"/>
  <c r="L62" i="6"/>
  <c r="I62" i="6"/>
  <c r="H62" i="6"/>
  <c r="E62" i="6"/>
  <c r="C62" i="6"/>
  <c r="B62" i="6"/>
  <c r="P61" i="6"/>
  <c r="O61" i="6"/>
  <c r="N61" i="6"/>
  <c r="M61" i="6"/>
  <c r="L61" i="6"/>
  <c r="H61" i="6"/>
  <c r="S60" i="6"/>
  <c r="P60" i="6"/>
  <c r="O60" i="6"/>
  <c r="L60" i="6"/>
  <c r="I60" i="6"/>
  <c r="H60" i="6"/>
  <c r="E60" i="6"/>
  <c r="C60" i="6"/>
  <c r="B60" i="6"/>
  <c r="P59" i="6"/>
  <c r="O59" i="6"/>
  <c r="L59" i="6"/>
  <c r="I59" i="6"/>
  <c r="H59" i="6"/>
  <c r="E59" i="6"/>
  <c r="C59" i="6"/>
  <c r="B59" i="6"/>
  <c r="P58" i="6"/>
  <c r="O58" i="6"/>
  <c r="N58" i="6"/>
  <c r="L58" i="6"/>
  <c r="I58" i="6"/>
  <c r="H58" i="6"/>
  <c r="E58" i="6"/>
  <c r="C58" i="6"/>
  <c r="B58" i="6"/>
  <c r="P57" i="6"/>
  <c r="O57" i="6"/>
  <c r="L57" i="6"/>
  <c r="I57" i="6"/>
  <c r="H57" i="6"/>
  <c r="E57" i="6"/>
  <c r="C57" i="6"/>
  <c r="B57" i="6"/>
  <c r="P56" i="6"/>
  <c r="O56" i="6"/>
  <c r="N56" i="6"/>
  <c r="L56" i="6"/>
  <c r="I56" i="6"/>
  <c r="H56" i="6"/>
  <c r="E56" i="6"/>
  <c r="C56" i="6"/>
  <c r="B56" i="6"/>
  <c r="P55" i="6"/>
  <c r="O55" i="6"/>
  <c r="N55" i="6"/>
  <c r="L55" i="6"/>
  <c r="I55" i="6"/>
  <c r="H55" i="6"/>
  <c r="E55" i="6"/>
  <c r="C55" i="6"/>
  <c r="B55" i="6"/>
  <c r="P54" i="6"/>
  <c r="O54" i="6"/>
  <c r="N54" i="6"/>
  <c r="M54" i="6"/>
  <c r="L54" i="6"/>
  <c r="H54" i="6"/>
  <c r="E54" i="6"/>
  <c r="P53" i="6"/>
  <c r="O53" i="6"/>
  <c r="N53" i="6"/>
  <c r="L53" i="6"/>
  <c r="I53" i="6"/>
  <c r="H53" i="6"/>
  <c r="E53" i="6"/>
  <c r="C53" i="6"/>
  <c r="B53" i="6"/>
  <c r="AC52" i="6"/>
  <c r="P52" i="6"/>
  <c r="O52" i="6"/>
  <c r="N52" i="6"/>
  <c r="L52" i="6"/>
  <c r="I52" i="6"/>
  <c r="H52" i="6"/>
  <c r="E52" i="6"/>
  <c r="C52" i="6"/>
  <c r="B52" i="6"/>
  <c r="P51" i="6"/>
  <c r="O51" i="6"/>
  <c r="L51" i="6"/>
  <c r="I51" i="6"/>
  <c r="H51" i="6"/>
  <c r="E51" i="6"/>
  <c r="C51" i="6"/>
  <c r="B51" i="6"/>
  <c r="P50" i="6"/>
  <c r="O50" i="6"/>
  <c r="N50" i="6"/>
  <c r="L50" i="6"/>
  <c r="I50" i="6"/>
  <c r="H50" i="6"/>
  <c r="E50" i="6"/>
  <c r="C50" i="6"/>
  <c r="B50" i="6"/>
  <c r="P49" i="6"/>
  <c r="O49" i="6"/>
  <c r="N49" i="6"/>
  <c r="L49" i="6"/>
  <c r="I49" i="6"/>
  <c r="H49" i="6"/>
  <c r="E49" i="6"/>
  <c r="C49" i="6"/>
  <c r="B49" i="6"/>
  <c r="P48" i="6"/>
  <c r="O48" i="6"/>
  <c r="N48" i="6"/>
  <c r="L48" i="6"/>
  <c r="I48" i="6"/>
  <c r="H48" i="6"/>
  <c r="E48" i="6"/>
  <c r="C48" i="6"/>
  <c r="B48" i="6"/>
  <c r="P47" i="6"/>
  <c r="O47" i="6"/>
  <c r="L47" i="6"/>
  <c r="I47" i="6"/>
  <c r="H47" i="6"/>
  <c r="E47" i="6"/>
  <c r="C47" i="6"/>
  <c r="B47" i="6"/>
  <c r="P46" i="6"/>
  <c r="O46" i="6"/>
  <c r="L46" i="6"/>
  <c r="I46" i="6"/>
  <c r="H46" i="6"/>
  <c r="E46" i="6"/>
  <c r="C46" i="6"/>
  <c r="B46" i="6"/>
  <c r="P45" i="6"/>
  <c r="O45" i="6"/>
  <c r="N45" i="6"/>
  <c r="L45" i="6"/>
  <c r="I45" i="6"/>
  <c r="H45" i="6"/>
  <c r="E45" i="6"/>
  <c r="C45" i="6"/>
  <c r="B45" i="6"/>
  <c r="P44" i="6"/>
  <c r="O44" i="6"/>
  <c r="N44" i="6"/>
  <c r="M44" i="6"/>
  <c r="L44" i="6"/>
  <c r="H44" i="6"/>
  <c r="P43" i="6"/>
  <c r="O43" i="6"/>
  <c r="N43" i="6"/>
  <c r="L43" i="6"/>
  <c r="I43" i="6"/>
  <c r="H43" i="6"/>
  <c r="E43" i="6"/>
  <c r="C43" i="6"/>
  <c r="B43" i="6"/>
  <c r="P42" i="6"/>
  <c r="O42" i="6"/>
  <c r="N42" i="6"/>
  <c r="L42" i="6"/>
  <c r="I42" i="6"/>
  <c r="H42" i="6"/>
  <c r="E42" i="6"/>
  <c r="C42" i="6"/>
  <c r="B42" i="6"/>
  <c r="P41" i="6"/>
  <c r="O41" i="6"/>
  <c r="N41" i="6"/>
  <c r="L41" i="6"/>
  <c r="I41" i="6"/>
  <c r="H41" i="6"/>
  <c r="E41" i="6"/>
  <c r="C41" i="6"/>
  <c r="B41" i="6"/>
  <c r="P40" i="6"/>
  <c r="O40" i="6"/>
  <c r="N40" i="6"/>
  <c r="M40" i="6"/>
  <c r="L40" i="6"/>
  <c r="H40" i="6"/>
  <c r="E40" i="6"/>
  <c r="P39" i="6"/>
  <c r="O39" i="6"/>
  <c r="L39" i="6"/>
  <c r="I39" i="6"/>
  <c r="H39" i="6"/>
  <c r="E39" i="6"/>
  <c r="C39" i="6"/>
  <c r="B39" i="6"/>
  <c r="P38" i="6"/>
  <c r="O38" i="6"/>
  <c r="N38" i="6"/>
  <c r="L38" i="6"/>
  <c r="I38" i="6"/>
  <c r="H38" i="6"/>
  <c r="E38" i="6"/>
  <c r="C38" i="6"/>
  <c r="B38" i="6"/>
  <c r="P37" i="6"/>
  <c r="O37" i="6"/>
  <c r="N37" i="6"/>
  <c r="L37" i="6"/>
  <c r="I37" i="6"/>
  <c r="H37" i="6"/>
  <c r="E37" i="6"/>
  <c r="C37" i="6"/>
  <c r="B37" i="6"/>
  <c r="P36" i="6"/>
  <c r="O36" i="6"/>
  <c r="N36" i="6"/>
  <c r="L36" i="6"/>
  <c r="I36" i="6"/>
  <c r="H36" i="6"/>
  <c r="E36" i="6"/>
  <c r="C36" i="6"/>
  <c r="B36" i="6"/>
  <c r="P35" i="6"/>
  <c r="O35" i="6"/>
  <c r="L35" i="6"/>
  <c r="I35" i="6"/>
  <c r="H35" i="6"/>
  <c r="E35" i="6"/>
  <c r="C35" i="6"/>
  <c r="B35" i="6"/>
  <c r="P34" i="6"/>
  <c r="O34" i="6"/>
  <c r="N34" i="6"/>
  <c r="M34" i="6"/>
  <c r="L34" i="6"/>
  <c r="H34" i="6"/>
  <c r="P33" i="6"/>
  <c r="O33" i="6"/>
  <c r="N33" i="6"/>
  <c r="I33" i="6"/>
  <c r="H33" i="6"/>
  <c r="E33" i="6"/>
  <c r="C33" i="6"/>
  <c r="B33" i="6"/>
  <c r="P32" i="6"/>
  <c r="O32" i="6"/>
  <c r="N32" i="6"/>
  <c r="I32" i="6"/>
  <c r="H32" i="6"/>
  <c r="E32" i="6"/>
  <c r="C32" i="6"/>
  <c r="B32" i="6"/>
  <c r="P31" i="6"/>
  <c r="O31" i="6"/>
  <c r="N31" i="6"/>
  <c r="I31" i="6"/>
  <c r="H31" i="6"/>
  <c r="E31" i="6"/>
  <c r="C31" i="6"/>
  <c r="B31" i="6"/>
  <c r="P30" i="6"/>
  <c r="O30" i="6"/>
  <c r="N30" i="6"/>
  <c r="I30" i="6"/>
  <c r="H30" i="6"/>
  <c r="E30" i="6"/>
  <c r="C30" i="6"/>
  <c r="B30" i="6"/>
  <c r="P29" i="6"/>
  <c r="O29" i="6"/>
  <c r="N29" i="6"/>
  <c r="M29" i="6"/>
  <c r="L29" i="6"/>
  <c r="H29" i="6"/>
  <c r="P28" i="6"/>
  <c r="O28" i="6"/>
  <c r="N28" i="6"/>
  <c r="M28" i="6"/>
  <c r="L28" i="6"/>
  <c r="H28" i="6"/>
  <c r="E28" i="6"/>
  <c r="Q27" i="6"/>
  <c r="P27" i="6"/>
  <c r="O27" i="6"/>
  <c r="N27" i="6"/>
  <c r="L27" i="6"/>
  <c r="I27" i="6"/>
  <c r="H27" i="6"/>
  <c r="E27" i="6"/>
  <c r="C27" i="6"/>
  <c r="B27" i="6"/>
  <c r="Q26" i="6"/>
  <c r="P26" i="6"/>
  <c r="O26" i="6"/>
  <c r="N26" i="6"/>
  <c r="L26" i="6"/>
  <c r="I26" i="6"/>
  <c r="H26" i="6"/>
  <c r="E26" i="6"/>
  <c r="C26" i="6"/>
  <c r="B26" i="6"/>
  <c r="Q25" i="6"/>
  <c r="P25" i="6"/>
  <c r="O25" i="6"/>
  <c r="N25" i="6"/>
  <c r="L25" i="6"/>
  <c r="I25" i="6"/>
  <c r="H25" i="6"/>
  <c r="E25" i="6"/>
  <c r="C25" i="6"/>
  <c r="B25" i="6"/>
  <c r="Q24" i="6"/>
  <c r="P24" i="6"/>
  <c r="O24" i="6"/>
  <c r="N24" i="6"/>
  <c r="L24" i="6"/>
  <c r="I24" i="6"/>
  <c r="H24" i="6"/>
  <c r="E24" i="6"/>
  <c r="C24" i="6"/>
  <c r="B24" i="6"/>
  <c r="Q23" i="6"/>
  <c r="P23" i="6"/>
  <c r="O23" i="6"/>
  <c r="N23" i="6"/>
  <c r="L23" i="6"/>
  <c r="I23" i="6"/>
  <c r="H23" i="6"/>
  <c r="E23" i="6"/>
  <c r="C23" i="6"/>
  <c r="B23" i="6"/>
  <c r="Q22" i="6"/>
  <c r="P22" i="6"/>
  <c r="O22" i="6"/>
  <c r="N22" i="6"/>
  <c r="L22" i="6"/>
  <c r="I22" i="6"/>
  <c r="H22" i="6"/>
  <c r="E22" i="6"/>
  <c r="C22" i="6"/>
  <c r="B22" i="6"/>
  <c r="Q21" i="6"/>
  <c r="P21" i="6"/>
  <c r="O21" i="6"/>
  <c r="N21" i="6"/>
  <c r="L21" i="6"/>
  <c r="I21" i="6"/>
  <c r="H21" i="6"/>
  <c r="E21" i="6"/>
  <c r="C21" i="6"/>
  <c r="B21" i="6"/>
  <c r="Q20" i="6"/>
  <c r="P20" i="6"/>
  <c r="O20" i="6"/>
  <c r="N20" i="6"/>
  <c r="L20" i="6"/>
  <c r="I20" i="6"/>
  <c r="H20" i="6"/>
  <c r="E20" i="6"/>
  <c r="C20" i="6"/>
  <c r="B20" i="6"/>
  <c r="Q19" i="6"/>
  <c r="P19" i="6"/>
  <c r="O19" i="6"/>
  <c r="N19" i="6"/>
  <c r="L19" i="6"/>
  <c r="I19" i="6"/>
  <c r="H19" i="6"/>
  <c r="E19" i="6"/>
  <c r="C19" i="6"/>
  <c r="B19" i="6"/>
  <c r="Q18" i="6"/>
  <c r="P18" i="6"/>
  <c r="O18" i="6"/>
  <c r="N18" i="6"/>
  <c r="L18" i="6"/>
  <c r="I18" i="6"/>
  <c r="H18" i="6"/>
  <c r="E18" i="6"/>
  <c r="C18" i="6"/>
  <c r="B18" i="6"/>
  <c r="Q17" i="6"/>
  <c r="P17" i="6"/>
  <c r="O17" i="6"/>
  <c r="N17" i="6"/>
  <c r="L17" i="6"/>
  <c r="I17" i="6"/>
  <c r="H17" i="6"/>
  <c r="E17" i="6"/>
  <c r="C17" i="6"/>
  <c r="B17" i="6"/>
  <c r="Q16" i="6"/>
  <c r="P16" i="6"/>
  <c r="O16" i="6"/>
  <c r="N16" i="6"/>
  <c r="L16" i="6"/>
  <c r="I16" i="6"/>
  <c r="H16" i="6"/>
  <c r="E16" i="6"/>
  <c r="C16" i="6"/>
  <c r="B16" i="6"/>
  <c r="P15" i="6"/>
  <c r="O15" i="6"/>
  <c r="N15" i="6"/>
  <c r="L15" i="6"/>
  <c r="H15" i="6"/>
  <c r="E15" i="6"/>
  <c r="P14" i="6"/>
  <c r="O14" i="6"/>
  <c r="N14" i="6"/>
  <c r="M14" i="6"/>
  <c r="L14" i="6"/>
  <c r="H14" i="6"/>
  <c r="J10" i="6"/>
  <c r="H10" i="6"/>
  <c r="E10" i="6"/>
  <c r="C10" i="6"/>
  <c r="K9" i="6"/>
  <c r="J9" i="6"/>
  <c r="H9" i="6"/>
  <c r="E9" i="6"/>
  <c r="C9" i="6"/>
  <c r="P8" i="6"/>
  <c r="K8" i="6"/>
  <c r="J8" i="6"/>
  <c r="H8" i="6"/>
  <c r="E8" i="6"/>
  <c r="C8" i="6"/>
  <c r="AB7" i="6"/>
  <c r="H7" i="6"/>
  <c r="E7" i="6"/>
  <c r="C7" i="6"/>
  <c r="AE6" i="6"/>
  <c r="AB6" i="6"/>
  <c r="J6" i="6"/>
  <c r="H6" i="6"/>
  <c r="C6" i="6"/>
  <c r="AE5" i="6"/>
  <c r="AB5" i="6"/>
  <c r="F5" i="6"/>
  <c r="J4" i="6"/>
  <c r="F4" i="6"/>
  <c r="O3" i="6"/>
  <c r="K3" i="6"/>
  <c r="F3" i="6"/>
  <c r="C3" i="6"/>
  <c r="K2" i="6"/>
  <c r="C2" i="6"/>
  <c r="K1" i="6"/>
  <c r="O83" i="28"/>
  <c r="O19" i="28"/>
  <c r="N19" i="28"/>
  <c r="M19" i="28"/>
  <c r="J19" i="28"/>
  <c r="I19" i="28"/>
  <c r="H19" i="28"/>
  <c r="G19" i="28"/>
  <c r="O18" i="28"/>
  <c r="N18" i="28"/>
  <c r="M18" i="28"/>
  <c r="J18" i="28"/>
  <c r="H18" i="28"/>
  <c r="G18" i="28"/>
  <c r="O17" i="28"/>
  <c r="N17" i="28"/>
  <c r="M17" i="28"/>
  <c r="J17" i="28"/>
  <c r="H17" i="28"/>
  <c r="G17" i="28"/>
  <c r="O16" i="28"/>
  <c r="N16" i="28"/>
  <c r="M16" i="28"/>
  <c r="J16" i="28"/>
  <c r="H16" i="28"/>
  <c r="G16" i="28"/>
  <c r="O15" i="28"/>
  <c r="N15" i="28"/>
  <c r="M15" i="28"/>
  <c r="J15" i="28"/>
  <c r="H15" i="28"/>
  <c r="G15" i="28"/>
  <c r="O14" i="28"/>
  <c r="N14" i="28"/>
  <c r="M14" i="28"/>
  <c r="J14" i="28"/>
  <c r="H14" i="28"/>
  <c r="G14" i="28"/>
  <c r="O13" i="28"/>
  <c r="O9" i="28"/>
  <c r="C9" i="28"/>
  <c r="B9" i="28"/>
  <c r="O83" i="24"/>
  <c r="G67" i="24"/>
  <c r="G65" i="24"/>
  <c r="G59" i="24"/>
  <c r="G58" i="24"/>
  <c r="G57" i="24"/>
  <c r="G49" i="24"/>
  <c r="G48" i="24"/>
  <c r="G47" i="24"/>
  <c r="G46" i="24"/>
  <c r="H42" i="24"/>
  <c r="D42" i="24"/>
  <c r="H41" i="24"/>
  <c r="D41" i="24"/>
  <c r="H40" i="24"/>
  <c r="D40" i="24"/>
  <c r="H39" i="24"/>
  <c r="D39" i="24"/>
  <c r="H38" i="24"/>
  <c r="D38" i="24"/>
  <c r="H37" i="24"/>
  <c r="D37" i="24"/>
  <c r="J34" i="24"/>
  <c r="D34" i="24"/>
  <c r="J33" i="24"/>
  <c r="D33" i="24"/>
  <c r="J32" i="24"/>
  <c r="D32" i="24"/>
  <c r="J31" i="24"/>
  <c r="D31" i="24"/>
  <c r="J30" i="24"/>
  <c r="D30" i="24"/>
  <c r="J29" i="24"/>
  <c r="D29" i="24"/>
  <c r="J28" i="24"/>
  <c r="D28" i="24"/>
  <c r="I26" i="24"/>
  <c r="C26" i="24"/>
  <c r="I25" i="24"/>
  <c r="C25" i="24"/>
  <c r="I24" i="24"/>
  <c r="C24" i="24"/>
  <c r="I23" i="24"/>
  <c r="C23" i="24"/>
  <c r="I22" i="24"/>
  <c r="C22" i="24"/>
  <c r="I21" i="24"/>
  <c r="C21" i="24"/>
  <c r="F20" i="24"/>
  <c r="C20" i="24"/>
  <c r="E16" i="24"/>
  <c r="E15" i="24"/>
  <c r="E13" i="24"/>
  <c r="C10" i="24"/>
  <c r="S160" i="23"/>
  <c r="T157" i="23"/>
  <c r="S157" i="23"/>
  <c r="R157" i="23"/>
  <c r="D155" i="23"/>
  <c r="T154" i="23"/>
  <c r="S154" i="23"/>
  <c r="R154" i="23"/>
  <c r="O154" i="23"/>
  <c r="L154" i="23"/>
  <c r="J154" i="23"/>
  <c r="T153" i="23"/>
  <c r="S153" i="23"/>
  <c r="R153" i="23"/>
  <c r="O153" i="23"/>
  <c r="L153" i="23"/>
  <c r="J153" i="23"/>
  <c r="T152" i="23"/>
  <c r="S152" i="23"/>
  <c r="R152" i="23"/>
  <c r="O152" i="23"/>
  <c r="L152" i="23"/>
  <c r="J152" i="23"/>
  <c r="T151" i="23"/>
  <c r="S151" i="23"/>
  <c r="R151" i="23"/>
  <c r="O151" i="23"/>
  <c r="L151" i="23"/>
  <c r="J151" i="23"/>
  <c r="T150" i="23"/>
  <c r="S150" i="23"/>
  <c r="R150" i="23"/>
  <c r="O150" i="23"/>
  <c r="L150" i="23"/>
  <c r="J150" i="23"/>
  <c r="T149" i="23"/>
  <c r="S149" i="23"/>
  <c r="R149" i="23"/>
  <c r="O149" i="23"/>
  <c r="L149" i="23"/>
  <c r="J149" i="23"/>
  <c r="T148" i="23"/>
  <c r="S148" i="23"/>
  <c r="R148" i="23"/>
  <c r="O148" i="23"/>
  <c r="L148" i="23"/>
  <c r="J148" i="23"/>
  <c r="T147" i="23"/>
  <c r="S147" i="23"/>
  <c r="R147" i="23"/>
  <c r="O147" i="23"/>
  <c r="L147" i="23"/>
  <c r="J147" i="23"/>
  <c r="T146" i="23"/>
  <c r="S146" i="23"/>
  <c r="R146" i="23"/>
  <c r="O146" i="23"/>
  <c r="L146" i="23"/>
  <c r="J146" i="23"/>
  <c r="T145" i="23"/>
  <c r="S145" i="23"/>
  <c r="R145" i="23"/>
  <c r="O145" i="23"/>
  <c r="L145" i="23"/>
  <c r="J145" i="23"/>
  <c r="T144" i="23"/>
  <c r="S144" i="23"/>
  <c r="R144" i="23"/>
  <c r="O144" i="23"/>
  <c r="L144" i="23"/>
  <c r="J144" i="23"/>
  <c r="T143" i="23"/>
  <c r="S143" i="23"/>
  <c r="R143" i="23"/>
  <c r="O143" i="23"/>
  <c r="L143" i="23"/>
  <c r="J143" i="23"/>
  <c r="T142" i="23"/>
  <c r="S142" i="23"/>
  <c r="R142" i="23"/>
  <c r="O142" i="23"/>
  <c r="L142" i="23"/>
  <c r="J142" i="23"/>
  <c r="T141" i="23"/>
  <c r="S141" i="23"/>
  <c r="R141" i="23"/>
  <c r="O141" i="23"/>
  <c r="L141" i="23"/>
  <c r="J141" i="23"/>
  <c r="T140" i="23"/>
  <c r="S140" i="23"/>
  <c r="R140" i="23"/>
  <c r="O140" i="23"/>
  <c r="L140" i="23"/>
  <c r="J140" i="23"/>
  <c r="T139" i="23"/>
  <c r="S139" i="23"/>
  <c r="R139" i="23"/>
  <c r="O139" i="23"/>
  <c r="L139" i="23"/>
  <c r="J139" i="23"/>
  <c r="T138" i="23"/>
  <c r="S138" i="23"/>
  <c r="R138" i="23"/>
  <c r="O138" i="23"/>
  <c r="L138" i="23"/>
  <c r="J138" i="23"/>
  <c r="T137" i="23"/>
  <c r="S137" i="23"/>
  <c r="R137" i="23"/>
  <c r="O137" i="23"/>
  <c r="L137" i="23"/>
  <c r="J137" i="23"/>
  <c r="T136" i="23"/>
  <c r="S136" i="23"/>
  <c r="R136" i="23"/>
  <c r="O136" i="23"/>
  <c r="L136" i="23"/>
  <c r="J136" i="23"/>
  <c r="T135" i="23"/>
  <c r="S135" i="23"/>
  <c r="R135" i="23"/>
  <c r="T134" i="23"/>
  <c r="S134" i="23"/>
  <c r="R134" i="23"/>
  <c r="T133" i="23"/>
  <c r="R133" i="23"/>
  <c r="T132" i="23"/>
  <c r="S132" i="23"/>
  <c r="R132" i="23"/>
  <c r="T131" i="23"/>
  <c r="S131" i="23"/>
  <c r="R131" i="23"/>
  <c r="T130" i="23"/>
  <c r="S130" i="23"/>
  <c r="R130" i="23"/>
  <c r="L130" i="23"/>
  <c r="J130" i="23"/>
  <c r="T129" i="23"/>
  <c r="S129" i="23"/>
  <c r="R129" i="23"/>
  <c r="O129" i="23"/>
  <c r="L129" i="23"/>
  <c r="J129" i="23"/>
  <c r="T128" i="23"/>
  <c r="S128" i="23"/>
  <c r="R128" i="23"/>
  <c r="O128" i="23"/>
  <c r="L128" i="23"/>
  <c r="J128" i="23"/>
  <c r="T127" i="23"/>
  <c r="S127" i="23"/>
  <c r="R127" i="23"/>
  <c r="O127" i="23"/>
  <c r="L127" i="23"/>
  <c r="J127" i="23"/>
  <c r="T126" i="23"/>
  <c r="S126" i="23"/>
  <c r="R126" i="23"/>
  <c r="O126" i="23"/>
  <c r="L126" i="23"/>
  <c r="J126" i="23"/>
  <c r="T125" i="23"/>
  <c r="O125" i="23"/>
  <c r="J125" i="23"/>
  <c r="T120" i="23"/>
  <c r="L119" i="23"/>
  <c r="O118" i="23"/>
  <c r="L118" i="23"/>
  <c r="O117" i="23"/>
  <c r="L117" i="23"/>
  <c r="S116" i="23"/>
  <c r="R116" i="23"/>
  <c r="O116" i="23"/>
  <c r="L116" i="23"/>
  <c r="O115" i="23"/>
  <c r="L115" i="23"/>
  <c r="R114" i="23"/>
  <c r="O114" i="23"/>
  <c r="R111" i="23"/>
  <c r="R110" i="23"/>
  <c r="R109" i="23"/>
  <c r="O109" i="23"/>
  <c r="L109" i="23"/>
  <c r="R108" i="23"/>
  <c r="O108" i="23"/>
  <c r="L108" i="23"/>
  <c r="R107" i="23"/>
  <c r="O107" i="23"/>
  <c r="L107" i="23"/>
  <c r="R106" i="23"/>
  <c r="O106" i="23"/>
  <c r="L106" i="23"/>
  <c r="R105" i="23"/>
  <c r="O105" i="23"/>
  <c r="R104" i="23"/>
  <c r="O104" i="23"/>
  <c r="R103" i="23"/>
  <c r="R102" i="23"/>
  <c r="N99" i="23"/>
  <c r="L99" i="23"/>
  <c r="I99" i="23"/>
  <c r="P98" i="23"/>
  <c r="K98" i="23"/>
  <c r="P97" i="23"/>
  <c r="K97" i="23"/>
  <c r="P96" i="23"/>
  <c r="K96" i="23"/>
  <c r="P95" i="23"/>
  <c r="K95" i="23"/>
  <c r="P94" i="23"/>
  <c r="K94" i="23"/>
  <c r="P93" i="23"/>
  <c r="K93" i="23"/>
  <c r="P92" i="23"/>
  <c r="K92" i="23"/>
  <c r="P91" i="23"/>
  <c r="K91" i="23"/>
  <c r="P90" i="23"/>
  <c r="K90" i="23"/>
  <c r="P89" i="23"/>
  <c r="K89" i="23"/>
  <c r="S74" i="23"/>
  <c r="R63" i="23"/>
  <c r="S44" i="23"/>
  <c r="R44" i="23"/>
  <c r="S42" i="23"/>
  <c r="C49" i="22"/>
  <c r="C48" i="22"/>
  <c r="C37" i="22"/>
  <c r="E29" i="22"/>
  <c r="E27" i="22"/>
  <c r="E25" i="22"/>
  <c r="E22" i="22"/>
  <c r="C14" i="22"/>
  <c r="C12" i="22"/>
  <c r="F75" i="4"/>
  <c r="E75" i="4"/>
  <c r="F74" i="4"/>
  <c r="E74" i="4"/>
  <c r="D74" i="4"/>
  <c r="F73" i="4"/>
  <c r="E73" i="4"/>
  <c r="D73" i="4"/>
  <c r="F72" i="4"/>
  <c r="E72" i="4"/>
  <c r="D72" i="4"/>
  <c r="F68" i="4"/>
  <c r="E68" i="4"/>
  <c r="F67" i="4"/>
  <c r="E67" i="4"/>
  <c r="D67" i="4"/>
  <c r="C67" i="4"/>
  <c r="F66" i="4"/>
  <c r="E66" i="4"/>
  <c r="D66" i="4"/>
  <c r="C66" i="4"/>
  <c r="F65" i="4"/>
  <c r="E65" i="4"/>
  <c r="D65" i="4"/>
  <c r="C65" i="4"/>
  <c r="E61" i="4"/>
  <c r="E56" i="4"/>
  <c r="F49" i="4"/>
  <c r="F48" i="4"/>
  <c r="F47" i="4"/>
  <c r="F46" i="4"/>
  <c r="G4" i="4"/>
  <c r="F4" i="4"/>
  <c r="B4" i="4"/>
  <c r="A4" i="4"/>
  <c r="G3" i="4"/>
  <c r="F3" i="4"/>
  <c r="B3" i="4"/>
  <c r="A3" i="4"/>
  <c r="G2" i="4"/>
  <c r="F2" i="4"/>
  <c r="B2" i="4"/>
  <c r="A2" i="4"/>
  <c r="G1" i="4"/>
  <c r="F1" i="4"/>
  <c r="B1" i="4"/>
  <c r="A1" i="4"/>
  <c r="B175" i="3"/>
  <c r="A175" i="3"/>
  <c r="B174" i="3"/>
  <c r="A174" i="3"/>
  <c r="B173" i="3"/>
  <c r="A173" i="3"/>
  <c r="B172" i="3"/>
  <c r="A172" i="3"/>
  <c r="A120" i="3"/>
  <c r="B115" i="3"/>
  <c r="A115" i="3"/>
  <c r="B114" i="3"/>
  <c r="A114" i="3"/>
  <c r="B113" i="3"/>
  <c r="A113" i="3"/>
  <c r="B112" i="3"/>
  <c r="A112" i="3"/>
  <c r="B5" i="3"/>
  <c r="A5" i="3"/>
  <c r="B4" i="3"/>
  <c r="A4" i="3"/>
  <c r="B3" i="3"/>
  <c r="A3" i="3"/>
  <c r="B2" i="3"/>
  <c r="A2" i="3"/>
  <c r="F68" i="2"/>
  <c r="D68" i="2"/>
  <c r="B68" i="2"/>
  <c r="B67" i="2"/>
  <c r="F66" i="2"/>
  <c r="D66" i="2"/>
  <c r="B66" i="2"/>
  <c r="G12458" i="1"/>
  <c r="D12458" i="1"/>
  <c r="G12457" i="1"/>
  <c r="D12457" i="1"/>
  <c r="G12456" i="1"/>
  <c r="D12456" i="1"/>
  <c r="G12455" i="1"/>
  <c r="D12455" i="1"/>
  <c r="G12454" i="1"/>
  <c r="D12454" i="1"/>
  <c r="G12453" i="1"/>
  <c r="D12453" i="1"/>
  <c r="G12452" i="1"/>
  <c r="D12452" i="1"/>
  <c r="G12451" i="1"/>
  <c r="D12451" i="1"/>
  <c r="G12450" i="1"/>
  <c r="D12450" i="1"/>
  <c r="G12449" i="1"/>
  <c r="D12449" i="1"/>
  <c r="G12448" i="1"/>
  <c r="D12448" i="1"/>
  <c r="G12447" i="1"/>
  <c r="D12447" i="1"/>
  <c r="G12446" i="1"/>
  <c r="D12446" i="1"/>
  <c r="G12445" i="1"/>
  <c r="D12445" i="1"/>
  <c r="G12444" i="1"/>
  <c r="D12444" i="1"/>
  <c r="G12443" i="1"/>
  <c r="D12443" i="1"/>
  <c r="G12442" i="1"/>
  <c r="D12442" i="1"/>
  <c r="G12441" i="1"/>
  <c r="D12441" i="1"/>
  <c r="G12440" i="1"/>
  <c r="D12440" i="1"/>
  <c r="G12439" i="1"/>
  <c r="D12439" i="1"/>
  <c r="G12438" i="1"/>
  <c r="D12438" i="1"/>
  <c r="G12437" i="1"/>
  <c r="D12437" i="1"/>
  <c r="G12436" i="1"/>
  <c r="D12436" i="1"/>
  <c r="G12435" i="1"/>
  <c r="D12435" i="1"/>
  <c r="G12434" i="1"/>
  <c r="D12434" i="1"/>
  <c r="G12433" i="1"/>
  <c r="D12433" i="1"/>
  <c r="G12432" i="1"/>
  <c r="D12432" i="1"/>
  <c r="G12431" i="1"/>
  <c r="D12431" i="1"/>
  <c r="G12430" i="1"/>
  <c r="D12430" i="1"/>
  <c r="G12429" i="1"/>
  <c r="D12429" i="1"/>
  <c r="G12428" i="1"/>
  <c r="D12428" i="1"/>
  <c r="G12427" i="1"/>
  <c r="D12427" i="1"/>
  <c r="G12426" i="1"/>
  <c r="D12426" i="1"/>
  <c r="G12425" i="1"/>
  <c r="D12425" i="1"/>
  <c r="G12424" i="1"/>
  <c r="D12424" i="1"/>
  <c r="G12423" i="1"/>
  <c r="D12423" i="1"/>
  <c r="G12422" i="1"/>
  <c r="D12422" i="1"/>
  <c r="G12421" i="1"/>
  <c r="D12421" i="1"/>
  <c r="G12420" i="1"/>
  <c r="D12420" i="1"/>
  <c r="G12419" i="1"/>
  <c r="D12419" i="1"/>
  <c r="G12418" i="1"/>
  <c r="D12418" i="1"/>
  <c r="G12417" i="1"/>
  <c r="D12417" i="1"/>
  <c r="G12416" i="1"/>
  <c r="D12416" i="1"/>
  <c r="G12415" i="1"/>
  <c r="D12415" i="1"/>
  <c r="G12414" i="1"/>
  <c r="D12414" i="1"/>
  <c r="G12413" i="1"/>
  <c r="D12413" i="1"/>
  <c r="G12412" i="1"/>
  <c r="D12412" i="1"/>
  <c r="G12411" i="1"/>
  <c r="D12411" i="1"/>
  <c r="G12410" i="1"/>
  <c r="D12410" i="1"/>
  <c r="G12409" i="1"/>
  <c r="D12409" i="1"/>
  <c r="G12408" i="1"/>
  <c r="D12408" i="1"/>
  <c r="G12407" i="1"/>
  <c r="D12407" i="1"/>
  <c r="G12406" i="1"/>
  <c r="D12406" i="1"/>
  <c r="G12405" i="1"/>
  <c r="D12405" i="1"/>
  <c r="G12404" i="1"/>
  <c r="D12404" i="1"/>
  <c r="G12403" i="1"/>
  <c r="D12403" i="1"/>
  <c r="G12402" i="1"/>
  <c r="D12402" i="1"/>
  <c r="G12401" i="1"/>
  <c r="D12401" i="1"/>
  <c r="G12400" i="1"/>
  <c r="D12400" i="1"/>
  <c r="G12399" i="1"/>
  <c r="D12399" i="1"/>
  <c r="G12398" i="1"/>
  <c r="D12398" i="1"/>
  <c r="G12397" i="1"/>
  <c r="D12397" i="1"/>
  <c r="G12396" i="1"/>
  <c r="D12396" i="1"/>
  <c r="G12395" i="1"/>
  <c r="D12395" i="1"/>
  <c r="G12394" i="1"/>
  <c r="D12394" i="1"/>
  <c r="G12393" i="1"/>
  <c r="D12393" i="1"/>
  <c r="G12392" i="1"/>
  <c r="D12392" i="1"/>
  <c r="G12391" i="1"/>
  <c r="D12391" i="1"/>
  <c r="G12390" i="1"/>
  <c r="D12390" i="1"/>
  <c r="G12389" i="1"/>
  <c r="D12389" i="1"/>
  <c r="G12388" i="1"/>
  <c r="D12388" i="1"/>
  <c r="G12387" i="1"/>
  <c r="D12387" i="1"/>
  <c r="G12386" i="1"/>
  <c r="D12386" i="1"/>
  <c r="G12385" i="1"/>
  <c r="D12385" i="1"/>
  <c r="G12384" i="1"/>
  <c r="D12384" i="1"/>
  <c r="G12383" i="1"/>
  <c r="D12383" i="1"/>
  <c r="G12382" i="1"/>
  <c r="D12382" i="1"/>
  <c r="G12381" i="1"/>
  <c r="D12381" i="1"/>
  <c r="G12380" i="1"/>
  <c r="D12380" i="1"/>
  <c r="G12379" i="1"/>
  <c r="D12379" i="1"/>
  <c r="G12378" i="1"/>
  <c r="D12378" i="1"/>
  <c r="G12377" i="1"/>
  <c r="D12377" i="1"/>
  <c r="G12376" i="1"/>
  <c r="D12376" i="1"/>
  <c r="G12375" i="1"/>
  <c r="D12375" i="1"/>
  <c r="G12374" i="1"/>
  <c r="D12374" i="1"/>
  <c r="G12373" i="1"/>
  <c r="D12373" i="1"/>
  <c r="G12372" i="1"/>
  <c r="D12372" i="1"/>
  <c r="G12371" i="1"/>
  <c r="D12371" i="1"/>
  <c r="G12370" i="1"/>
  <c r="D12370" i="1"/>
  <c r="G12369" i="1"/>
  <c r="D12369" i="1"/>
  <c r="G12368" i="1"/>
  <c r="D12368" i="1"/>
  <c r="G12367" i="1"/>
  <c r="D12367" i="1"/>
  <c r="G12366" i="1"/>
  <c r="D12366" i="1"/>
  <c r="G12365" i="1"/>
  <c r="D12365" i="1"/>
  <c r="G12364" i="1"/>
  <c r="D12364" i="1"/>
  <c r="G12363" i="1"/>
  <c r="D12363" i="1"/>
  <c r="G12362" i="1"/>
  <c r="D12362" i="1"/>
  <c r="G12361" i="1"/>
  <c r="D12361" i="1"/>
  <c r="G12360" i="1"/>
  <c r="D12360" i="1"/>
  <c r="G12359" i="1"/>
  <c r="D12359" i="1"/>
  <c r="G12358" i="1"/>
  <c r="D12358" i="1"/>
  <c r="G12357" i="1"/>
  <c r="D12357" i="1"/>
  <c r="G12356" i="1"/>
  <c r="D12356" i="1"/>
  <c r="G12355" i="1"/>
  <c r="D12355" i="1"/>
  <c r="G12354" i="1"/>
  <c r="D12354" i="1"/>
  <c r="G12353" i="1"/>
  <c r="D12353" i="1"/>
  <c r="G12352" i="1"/>
  <c r="D12352" i="1"/>
  <c r="G12351" i="1"/>
  <c r="D12351" i="1"/>
  <c r="G12350" i="1"/>
  <c r="D12350" i="1"/>
  <c r="G12349" i="1"/>
  <c r="D12349" i="1"/>
  <c r="G12348" i="1"/>
  <c r="D12348" i="1"/>
  <c r="G12347" i="1"/>
  <c r="D12347" i="1"/>
  <c r="G12346" i="1"/>
  <c r="D12346" i="1"/>
  <c r="G12345" i="1"/>
  <c r="D12345" i="1"/>
  <c r="G12344" i="1"/>
  <c r="D12344" i="1"/>
  <c r="G12343" i="1"/>
  <c r="D12343" i="1"/>
  <c r="G12342" i="1"/>
  <c r="D12342" i="1"/>
  <c r="G12341" i="1"/>
  <c r="D12341" i="1"/>
  <c r="G12340" i="1"/>
  <c r="D12340" i="1"/>
  <c r="G12339" i="1"/>
  <c r="D12339" i="1"/>
  <c r="G12338" i="1"/>
  <c r="D12338" i="1"/>
  <c r="G12337" i="1"/>
  <c r="D12337" i="1"/>
  <c r="G12336" i="1"/>
  <c r="D12336" i="1"/>
  <c r="G12335" i="1"/>
  <c r="D12335" i="1"/>
  <c r="G12334" i="1"/>
  <c r="D12334" i="1"/>
  <c r="G12333" i="1"/>
  <c r="D12333" i="1"/>
  <c r="G12332" i="1"/>
  <c r="D12332" i="1"/>
  <c r="G12331" i="1"/>
  <c r="D12331" i="1"/>
  <c r="G12330" i="1"/>
  <c r="D12330" i="1"/>
  <c r="G12329" i="1"/>
  <c r="D12329" i="1"/>
  <c r="G12328" i="1"/>
  <c r="D12328" i="1"/>
  <c r="G12327" i="1"/>
  <c r="D12327" i="1"/>
  <c r="G12326" i="1"/>
  <c r="D12326" i="1"/>
  <c r="G12325" i="1"/>
  <c r="D12325" i="1"/>
  <c r="G12324" i="1"/>
  <c r="D12324" i="1"/>
  <c r="G12323" i="1"/>
  <c r="D12323" i="1"/>
  <c r="G12322" i="1"/>
  <c r="D12322" i="1"/>
  <c r="G12321" i="1"/>
  <c r="D12321" i="1"/>
  <c r="G12320" i="1"/>
  <c r="D12320" i="1"/>
  <c r="G12319" i="1"/>
  <c r="D12319" i="1"/>
  <c r="G12318" i="1"/>
  <c r="D12318" i="1"/>
  <c r="G12317" i="1"/>
  <c r="D12317" i="1"/>
  <c r="G12316" i="1"/>
  <c r="D12316" i="1"/>
  <c r="G12315" i="1"/>
  <c r="D12315" i="1"/>
  <c r="G12314" i="1"/>
  <c r="D12314" i="1"/>
  <c r="G12313" i="1"/>
  <c r="D12313" i="1"/>
  <c r="G12312" i="1"/>
  <c r="D12312" i="1"/>
  <c r="G12311" i="1"/>
  <c r="D12311" i="1"/>
  <c r="G12310" i="1"/>
  <c r="D12310" i="1"/>
  <c r="G12309" i="1"/>
  <c r="D12309" i="1"/>
  <c r="G12308" i="1"/>
  <c r="D12308" i="1"/>
  <c r="G12307" i="1"/>
  <c r="D12307" i="1"/>
  <c r="G12306" i="1"/>
  <c r="D12306" i="1"/>
  <c r="G12305" i="1"/>
  <c r="D12305" i="1"/>
  <c r="G12304" i="1"/>
  <c r="D12304" i="1"/>
  <c r="G12303" i="1"/>
  <c r="D12303" i="1"/>
  <c r="G12302" i="1"/>
  <c r="D12302" i="1"/>
  <c r="G12301" i="1"/>
  <c r="D12301" i="1"/>
  <c r="G12300" i="1"/>
  <c r="D12300" i="1"/>
  <c r="G12299" i="1"/>
  <c r="D12299" i="1"/>
  <c r="G12298" i="1"/>
  <c r="D12298" i="1"/>
  <c r="G12297" i="1"/>
  <c r="D12297" i="1"/>
  <c r="G12296" i="1"/>
  <c r="D12296" i="1"/>
  <c r="G12295" i="1"/>
  <c r="D12295" i="1"/>
  <c r="G12294" i="1"/>
  <c r="D12294" i="1"/>
  <c r="G12293" i="1"/>
  <c r="D12293" i="1"/>
  <c r="G12292" i="1"/>
  <c r="D12292" i="1"/>
  <c r="G12291" i="1"/>
  <c r="D12291" i="1"/>
  <c r="G12290" i="1"/>
  <c r="D12290" i="1"/>
  <c r="G12289" i="1"/>
  <c r="D12289" i="1"/>
  <c r="G12288" i="1"/>
  <c r="D12288" i="1"/>
  <c r="G12287" i="1"/>
  <c r="D12287" i="1"/>
  <c r="G12286" i="1"/>
  <c r="D12286" i="1"/>
  <c r="G12285" i="1"/>
  <c r="D12285" i="1"/>
  <c r="G12284" i="1"/>
  <c r="D12284" i="1"/>
  <c r="G12283" i="1"/>
  <c r="D12283" i="1"/>
  <c r="G12282" i="1"/>
  <c r="D12282" i="1"/>
  <c r="G12281" i="1"/>
  <c r="D12281" i="1"/>
  <c r="G12280" i="1"/>
  <c r="D12280" i="1"/>
  <c r="G12279" i="1"/>
  <c r="D12279" i="1"/>
  <c r="G12278" i="1"/>
  <c r="D12278" i="1"/>
  <c r="G12277" i="1"/>
  <c r="D12277" i="1"/>
  <c r="G12276" i="1"/>
  <c r="D12276" i="1"/>
  <c r="G12275" i="1"/>
  <c r="D12275" i="1"/>
  <c r="G12274" i="1"/>
  <c r="D12274" i="1"/>
  <c r="G12273" i="1"/>
  <c r="D12273" i="1"/>
  <c r="G12272" i="1"/>
  <c r="D12272" i="1"/>
  <c r="G12271" i="1"/>
  <c r="D12271" i="1"/>
  <c r="G12270" i="1"/>
  <c r="D12270" i="1"/>
  <c r="G12269" i="1"/>
  <c r="D12269" i="1"/>
  <c r="G12268" i="1"/>
  <c r="D12268" i="1"/>
  <c r="G12267" i="1"/>
  <c r="D12267" i="1"/>
  <c r="G12266" i="1"/>
  <c r="D12266" i="1"/>
  <c r="G12265" i="1"/>
  <c r="D12265" i="1"/>
  <c r="G12264" i="1"/>
  <c r="D12264" i="1"/>
  <c r="G12263" i="1"/>
  <c r="D12263" i="1"/>
  <c r="G12262" i="1"/>
  <c r="D12262" i="1"/>
  <c r="G12261" i="1"/>
  <c r="D12261" i="1"/>
  <c r="G12260" i="1"/>
  <c r="D12260" i="1"/>
  <c r="G12259" i="1"/>
  <c r="D12259" i="1"/>
  <c r="G12258" i="1"/>
  <c r="D12258" i="1"/>
  <c r="G12257" i="1"/>
  <c r="D12257" i="1"/>
  <c r="G12256" i="1"/>
  <c r="D12256" i="1"/>
  <c r="G12255" i="1"/>
  <c r="D12255" i="1"/>
  <c r="G12254" i="1"/>
  <c r="D12254" i="1"/>
  <c r="G12253" i="1"/>
  <c r="D12253" i="1"/>
  <c r="G12252" i="1"/>
  <c r="D12252" i="1"/>
  <c r="G12251" i="1"/>
  <c r="D12251" i="1"/>
  <c r="G12250" i="1"/>
  <c r="D12250" i="1"/>
  <c r="G12249" i="1"/>
  <c r="D12249" i="1"/>
  <c r="G12248" i="1"/>
  <c r="D12248" i="1"/>
  <c r="G12247" i="1"/>
  <c r="D12247" i="1"/>
  <c r="G12246" i="1"/>
  <c r="D12246" i="1"/>
  <c r="G12245" i="1"/>
  <c r="D12245" i="1"/>
  <c r="G12244" i="1"/>
  <c r="D12244" i="1"/>
  <c r="G12243" i="1"/>
  <c r="D12243" i="1"/>
  <c r="G12242" i="1"/>
  <c r="D12242" i="1"/>
  <c r="G12241" i="1"/>
  <c r="D12241" i="1"/>
  <c r="G12240" i="1"/>
  <c r="D12240" i="1"/>
  <c r="G12239" i="1"/>
  <c r="D12239" i="1"/>
  <c r="G12238" i="1"/>
  <c r="D12238" i="1"/>
  <c r="G12237" i="1"/>
  <c r="D12237" i="1"/>
  <c r="G12236" i="1"/>
  <c r="D12236" i="1"/>
  <c r="G12235" i="1"/>
  <c r="D12235" i="1"/>
  <c r="G12234" i="1"/>
  <c r="D12234" i="1"/>
  <c r="G12233" i="1"/>
  <c r="D12233" i="1"/>
  <c r="G12232" i="1"/>
  <c r="D12232" i="1"/>
  <c r="G12231" i="1"/>
  <c r="D12231" i="1"/>
  <c r="G12230" i="1"/>
  <c r="D12230" i="1"/>
  <c r="G12229" i="1"/>
  <c r="D12229" i="1"/>
  <c r="G12228" i="1"/>
  <c r="D12228" i="1"/>
  <c r="G12227" i="1"/>
  <c r="D12227" i="1"/>
  <c r="G12226" i="1"/>
  <c r="D12226" i="1"/>
  <c r="G12225" i="1"/>
  <c r="D12225" i="1"/>
  <c r="G12224" i="1"/>
  <c r="D12224" i="1"/>
  <c r="G12223" i="1"/>
  <c r="D12223" i="1"/>
  <c r="G12222" i="1"/>
  <c r="D12222" i="1"/>
  <c r="G12221" i="1"/>
  <c r="D12221" i="1"/>
  <c r="G12220" i="1"/>
  <c r="D12220" i="1"/>
  <c r="G12219" i="1"/>
  <c r="D12219" i="1"/>
  <c r="G12218" i="1"/>
  <c r="D12218" i="1"/>
  <c r="G12217" i="1"/>
  <c r="D12217" i="1"/>
  <c r="G12216" i="1"/>
  <c r="D12216" i="1"/>
  <c r="G12215" i="1"/>
  <c r="D12215" i="1"/>
  <c r="G12214" i="1"/>
  <c r="D12214" i="1"/>
  <c r="G12213" i="1"/>
  <c r="D12213" i="1"/>
  <c r="G12212" i="1"/>
  <c r="D12212" i="1"/>
  <c r="G12211" i="1"/>
  <c r="D12211" i="1"/>
  <c r="G12210" i="1"/>
  <c r="D12210" i="1"/>
  <c r="G12209" i="1"/>
  <c r="D12209" i="1"/>
  <c r="G12208" i="1"/>
  <c r="D12208" i="1"/>
  <c r="G12207" i="1"/>
  <c r="D12207" i="1"/>
  <c r="G12206" i="1"/>
  <c r="D12206" i="1"/>
  <c r="G12205" i="1"/>
  <c r="D12205" i="1"/>
  <c r="G12204" i="1"/>
  <c r="D12204" i="1"/>
  <c r="G12203" i="1"/>
  <c r="D12203" i="1"/>
  <c r="G12202" i="1"/>
  <c r="D12202" i="1"/>
  <c r="G12201" i="1"/>
  <c r="D12201" i="1"/>
  <c r="G12200" i="1"/>
  <c r="D12200" i="1"/>
  <c r="G12199" i="1"/>
  <c r="D12199" i="1"/>
  <c r="G12198" i="1"/>
  <c r="D12198" i="1"/>
  <c r="G12197" i="1"/>
  <c r="D12197" i="1"/>
  <c r="G12196" i="1"/>
  <c r="D12196" i="1"/>
  <c r="G12195" i="1"/>
  <c r="D12195" i="1"/>
  <c r="G12194" i="1"/>
  <c r="D12194" i="1"/>
  <c r="G12193" i="1"/>
  <c r="D12193" i="1"/>
  <c r="G12192" i="1"/>
  <c r="D12192" i="1"/>
  <c r="G12191" i="1"/>
  <c r="D12191" i="1"/>
  <c r="G12190" i="1"/>
  <c r="D12190" i="1"/>
  <c r="G12189" i="1"/>
  <c r="D12189" i="1"/>
  <c r="G12188" i="1"/>
  <c r="D12188" i="1"/>
  <c r="G12187" i="1"/>
  <c r="D12187" i="1"/>
  <c r="G12186" i="1"/>
  <c r="D12186" i="1"/>
  <c r="G12185" i="1"/>
  <c r="D12185" i="1"/>
  <c r="G12184" i="1"/>
  <c r="D12184" i="1"/>
  <c r="G12183" i="1"/>
  <c r="D12183" i="1"/>
  <c r="G12182" i="1"/>
  <c r="D12182" i="1"/>
  <c r="G12181" i="1"/>
  <c r="D12181" i="1"/>
  <c r="G12180" i="1"/>
  <c r="D12180" i="1"/>
  <c r="G12179" i="1"/>
  <c r="D12179" i="1"/>
  <c r="G12178" i="1"/>
  <c r="D12178" i="1"/>
  <c r="G12177" i="1"/>
  <c r="D12177" i="1"/>
  <c r="G12176" i="1"/>
  <c r="D12176" i="1"/>
  <c r="G12175" i="1"/>
  <c r="D12175" i="1"/>
  <c r="G12174" i="1"/>
  <c r="D12174" i="1"/>
  <c r="G12173" i="1"/>
  <c r="D12173" i="1"/>
  <c r="G12172" i="1"/>
  <c r="D12172" i="1"/>
  <c r="G12171" i="1"/>
  <c r="D12171" i="1"/>
  <c r="G12170" i="1"/>
  <c r="D12170" i="1"/>
  <c r="G12169" i="1"/>
  <c r="D12169" i="1"/>
  <c r="G12168" i="1"/>
  <c r="D12168" i="1"/>
  <c r="G12167" i="1"/>
  <c r="D12167" i="1"/>
  <c r="G12166" i="1"/>
  <c r="D12166" i="1"/>
  <c r="G12165" i="1"/>
  <c r="D12165" i="1"/>
  <c r="G12164" i="1"/>
  <c r="D12164" i="1"/>
  <c r="G12163" i="1"/>
  <c r="D12163" i="1"/>
  <c r="G12162" i="1"/>
  <c r="D12162" i="1"/>
  <c r="G12161" i="1"/>
  <c r="D12161" i="1"/>
  <c r="G12160" i="1"/>
  <c r="D12160" i="1"/>
  <c r="G12159" i="1"/>
  <c r="D12159" i="1"/>
  <c r="G12158" i="1"/>
  <c r="D12158" i="1"/>
  <c r="G12157" i="1"/>
  <c r="D12157" i="1"/>
  <c r="G12156" i="1"/>
  <c r="D12156" i="1"/>
  <c r="G12155" i="1"/>
  <c r="D12155" i="1"/>
  <c r="G12154" i="1"/>
  <c r="D12154" i="1"/>
  <c r="G12153" i="1"/>
  <c r="D12153" i="1"/>
  <c r="G12152" i="1"/>
  <c r="D12152" i="1"/>
  <c r="G12151" i="1"/>
  <c r="D12151" i="1"/>
  <c r="G12150" i="1"/>
  <c r="D12150" i="1"/>
  <c r="G12149" i="1"/>
  <c r="D12149" i="1"/>
  <c r="G12148" i="1"/>
  <c r="D12148" i="1"/>
  <c r="G12147" i="1"/>
  <c r="D12147" i="1"/>
  <c r="G12146" i="1"/>
  <c r="D12146" i="1"/>
  <c r="G12145" i="1"/>
  <c r="D12145" i="1"/>
  <c r="G12144" i="1"/>
  <c r="D12144" i="1"/>
  <c r="G12143" i="1"/>
  <c r="D12143" i="1"/>
  <c r="G12142" i="1"/>
  <c r="D12142" i="1"/>
  <c r="G12141" i="1"/>
  <c r="D12141" i="1"/>
  <c r="G12140" i="1"/>
  <c r="D12140" i="1"/>
  <c r="G12139" i="1"/>
  <c r="D12139" i="1"/>
  <c r="G12138" i="1"/>
  <c r="D12138" i="1"/>
  <c r="G12137" i="1"/>
  <c r="D12137" i="1"/>
  <c r="G12136" i="1"/>
  <c r="D12136" i="1"/>
  <c r="G12135" i="1"/>
  <c r="D12135" i="1"/>
  <c r="G12134" i="1"/>
  <c r="D12134" i="1"/>
  <c r="G12133" i="1"/>
  <c r="D12133" i="1"/>
  <c r="G12132" i="1"/>
  <c r="D12132" i="1"/>
  <c r="G12131" i="1"/>
  <c r="D12131" i="1"/>
  <c r="G12130" i="1"/>
  <c r="D12130" i="1"/>
  <c r="G12129" i="1"/>
  <c r="D12129" i="1"/>
  <c r="G12128" i="1"/>
  <c r="D12128" i="1"/>
  <c r="G12127" i="1"/>
  <c r="D12127" i="1"/>
  <c r="G12126" i="1"/>
  <c r="D12126" i="1"/>
  <c r="G12125" i="1"/>
  <c r="D12125" i="1"/>
  <c r="G12124" i="1"/>
  <c r="D12124" i="1"/>
  <c r="G12123" i="1"/>
  <c r="D12123" i="1"/>
  <c r="G12122" i="1"/>
  <c r="D12122" i="1"/>
  <c r="G12121" i="1"/>
  <c r="D12121" i="1"/>
  <c r="G12120" i="1"/>
  <c r="D12120" i="1"/>
  <c r="G12119" i="1"/>
  <c r="D12119" i="1"/>
  <c r="G12118" i="1"/>
  <c r="D12118" i="1"/>
  <c r="G12117" i="1"/>
  <c r="D12117" i="1"/>
  <c r="G12116" i="1"/>
  <c r="D12116" i="1"/>
  <c r="G12115" i="1"/>
  <c r="D12115" i="1"/>
  <c r="G12114" i="1"/>
  <c r="D12114" i="1"/>
  <c r="G12113" i="1"/>
  <c r="D12113" i="1"/>
  <c r="G12112" i="1"/>
  <c r="D12112" i="1"/>
  <c r="G12111" i="1"/>
  <c r="D12111" i="1"/>
  <c r="G12110" i="1"/>
  <c r="D12110" i="1"/>
  <c r="G12109" i="1"/>
  <c r="D12109" i="1"/>
  <c r="G12108" i="1"/>
  <c r="D12108" i="1"/>
  <c r="G12107" i="1"/>
  <c r="D12107" i="1"/>
  <c r="G12106" i="1"/>
  <c r="D12106" i="1"/>
  <c r="G12105" i="1"/>
  <c r="D12105" i="1"/>
  <c r="G12104" i="1"/>
  <c r="D12104" i="1"/>
  <c r="G12103" i="1"/>
  <c r="D12103" i="1"/>
  <c r="G12102" i="1"/>
  <c r="D12102" i="1"/>
  <c r="G12101" i="1"/>
  <c r="D12101" i="1"/>
  <c r="G12100" i="1"/>
  <c r="D12100" i="1"/>
  <c r="G12099" i="1"/>
  <c r="D12099" i="1"/>
  <c r="G12098" i="1"/>
  <c r="D12098" i="1"/>
  <c r="G12097" i="1"/>
  <c r="D12097" i="1"/>
  <c r="G12096" i="1"/>
  <c r="D12096" i="1"/>
  <c r="G12095" i="1"/>
  <c r="D12095" i="1"/>
  <c r="G12094" i="1"/>
  <c r="D12094" i="1"/>
  <c r="G12093" i="1"/>
  <c r="D12093" i="1"/>
  <c r="G12092" i="1"/>
  <c r="D12092" i="1"/>
  <c r="G12091" i="1"/>
  <c r="D12091" i="1"/>
  <c r="G12090" i="1"/>
  <c r="D12090" i="1"/>
  <c r="G12089" i="1"/>
  <c r="D12089" i="1"/>
  <c r="G12088" i="1"/>
  <c r="D12088" i="1"/>
  <c r="G12087" i="1"/>
  <c r="D12087" i="1"/>
  <c r="G12086" i="1"/>
  <c r="D12086" i="1"/>
  <c r="G12085" i="1"/>
  <c r="D12085" i="1"/>
  <c r="G12084" i="1"/>
  <c r="D12084" i="1"/>
  <c r="G12083" i="1"/>
  <c r="D12083" i="1"/>
  <c r="G12082" i="1"/>
  <c r="D12082" i="1"/>
  <c r="G12081" i="1"/>
  <c r="D12081" i="1"/>
  <c r="G12080" i="1"/>
  <c r="D12080" i="1"/>
  <c r="G12079" i="1"/>
  <c r="D12079" i="1"/>
  <c r="G12078" i="1"/>
  <c r="D12078" i="1"/>
  <c r="G12077" i="1"/>
  <c r="D12077" i="1"/>
  <c r="G12076" i="1"/>
  <c r="D12076" i="1"/>
  <c r="G12075" i="1"/>
  <c r="D12075" i="1"/>
  <c r="G12074" i="1"/>
  <c r="D12074" i="1"/>
  <c r="G12073" i="1"/>
  <c r="D12073" i="1"/>
  <c r="G12072" i="1"/>
  <c r="D12072" i="1"/>
  <c r="G12071" i="1"/>
  <c r="D12071" i="1"/>
  <c r="G12070" i="1"/>
  <c r="D12070" i="1"/>
  <c r="G12069" i="1"/>
  <c r="D12069" i="1"/>
  <c r="G12068" i="1"/>
  <c r="D12068" i="1"/>
  <c r="G12067" i="1"/>
  <c r="D12067" i="1"/>
  <c r="G12066" i="1"/>
  <c r="D12066" i="1"/>
  <c r="G12065" i="1"/>
  <c r="D12065" i="1"/>
  <c r="G12064" i="1"/>
  <c r="D12064" i="1"/>
  <c r="G12063" i="1"/>
  <c r="D12063" i="1"/>
  <c r="G12062" i="1"/>
  <c r="D12062" i="1"/>
  <c r="G12061" i="1"/>
  <c r="D12061" i="1"/>
  <c r="G12060" i="1"/>
  <c r="D12060" i="1"/>
  <c r="G12059" i="1"/>
  <c r="D12059" i="1"/>
  <c r="G12058" i="1"/>
  <c r="D12058" i="1"/>
  <c r="G12057" i="1"/>
  <c r="D12057" i="1"/>
  <c r="G12056" i="1"/>
  <c r="D12056" i="1"/>
  <c r="G12055" i="1"/>
  <c r="D12055" i="1"/>
  <c r="G12054" i="1"/>
  <c r="D12054" i="1"/>
  <c r="G12053" i="1"/>
  <c r="D12053" i="1"/>
  <c r="G12052" i="1"/>
  <c r="D12052" i="1"/>
  <c r="G12051" i="1"/>
  <c r="D12051" i="1"/>
  <c r="G12050" i="1"/>
  <c r="D12050" i="1"/>
  <c r="G12049" i="1"/>
  <c r="D12049" i="1"/>
  <c r="G12048" i="1"/>
  <c r="D12048" i="1"/>
  <c r="G12047" i="1"/>
  <c r="D12047" i="1"/>
  <c r="G12046" i="1"/>
  <c r="D12046" i="1"/>
  <c r="G12045" i="1"/>
  <c r="D12045" i="1"/>
  <c r="G12044" i="1"/>
  <c r="D12044" i="1"/>
  <c r="G12043" i="1"/>
  <c r="D12043" i="1"/>
  <c r="G12042" i="1"/>
  <c r="D12042" i="1"/>
  <c r="G12041" i="1"/>
  <c r="D12041" i="1"/>
  <c r="G12040" i="1"/>
  <c r="D12040" i="1"/>
  <c r="G12039" i="1"/>
  <c r="D12039" i="1"/>
  <c r="G12038" i="1"/>
  <c r="D12038" i="1"/>
  <c r="G12037" i="1"/>
  <c r="D12037" i="1"/>
  <c r="G12036" i="1"/>
  <c r="D12036" i="1"/>
  <c r="G12035" i="1"/>
  <c r="D12035" i="1"/>
  <c r="G12034" i="1"/>
  <c r="D12034" i="1"/>
  <c r="G12033" i="1"/>
  <c r="D12033" i="1"/>
  <c r="G12032" i="1"/>
  <c r="D12032" i="1"/>
  <c r="G12031" i="1"/>
  <c r="D12031" i="1"/>
  <c r="G12030" i="1"/>
  <c r="D12030" i="1"/>
  <c r="G12029" i="1"/>
  <c r="D12029" i="1"/>
  <c r="G12028" i="1"/>
  <c r="D12028" i="1"/>
  <c r="G12027" i="1"/>
  <c r="D12027" i="1"/>
  <c r="G12026" i="1"/>
  <c r="D12026" i="1"/>
  <c r="G12025" i="1"/>
  <c r="D12025" i="1"/>
  <c r="G12024" i="1"/>
  <c r="D12024" i="1"/>
  <c r="G12023" i="1"/>
  <c r="D12023" i="1"/>
  <c r="G12022" i="1"/>
  <c r="D12022" i="1"/>
  <c r="G12021" i="1"/>
  <c r="D12021" i="1"/>
  <c r="G12020" i="1"/>
  <c r="D12020" i="1"/>
  <c r="G12019" i="1"/>
  <c r="D12019" i="1"/>
  <c r="G12018" i="1"/>
  <c r="D12018" i="1"/>
  <c r="G12017" i="1"/>
  <c r="D12017" i="1"/>
  <c r="G12016" i="1"/>
  <c r="D12016" i="1"/>
  <c r="G12015" i="1"/>
  <c r="D12015" i="1"/>
  <c r="G12014" i="1"/>
  <c r="D12014" i="1"/>
  <c r="G12013" i="1"/>
  <c r="D12013" i="1"/>
  <c r="G12012" i="1"/>
  <c r="D12012" i="1"/>
  <c r="G12011" i="1"/>
  <c r="D12011" i="1"/>
  <c r="G12010" i="1"/>
  <c r="D12010" i="1"/>
  <c r="G12009" i="1"/>
  <c r="D12009" i="1"/>
  <c r="G12008" i="1"/>
  <c r="D12008" i="1"/>
  <c r="G12007" i="1"/>
  <c r="D12007" i="1"/>
  <c r="G12006" i="1"/>
  <c r="D12006" i="1"/>
  <c r="G12005" i="1"/>
  <c r="D12005" i="1"/>
  <c r="G12004" i="1"/>
  <c r="D12004" i="1"/>
  <c r="G12003" i="1"/>
  <c r="D12003" i="1"/>
  <c r="G12002" i="1"/>
  <c r="D12002" i="1"/>
  <c r="G12001" i="1"/>
  <c r="D12001" i="1"/>
  <c r="G12000" i="1"/>
  <c r="D12000" i="1"/>
  <c r="G11999" i="1"/>
  <c r="D11999" i="1"/>
  <c r="G11998" i="1"/>
  <c r="D11998" i="1"/>
  <c r="G11997" i="1"/>
  <c r="D11997" i="1"/>
  <c r="G11996" i="1"/>
  <c r="D11996" i="1"/>
  <c r="G11995" i="1"/>
  <c r="D11995" i="1"/>
  <c r="G11994" i="1"/>
  <c r="D11994" i="1"/>
  <c r="G11993" i="1"/>
  <c r="D11993" i="1"/>
  <c r="G11992" i="1"/>
  <c r="D11992" i="1"/>
  <c r="G11991" i="1"/>
  <c r="D11991" i="1"/>
  <c r="G11990" i="1"/>
  <c r="D11990" i="1"/>
  <c r="G11989" i="1"/>
  <c r="D11989" i="1"/>
  <c r="G11988" i="1"/>
  <c r="D11988" i="1"/>
  <c r="G11987" i="1"/>
  <c r="D11987" i="1"/>
  <c r="G11986" i="1"/>
  <c r="D11986" i="1"/>
  <c r="G11985" i="1"/>
  <c r="D11985" i="1"/>
  <c r="G11984" i="1"/>
  <c r="D11984" i="1"/>
  <c r="G11983" i="1"/>
  <c r="D11983" i="1"/>
  <c r="G11982" i="1"/>
  <c r="D11982" i="1"/>
  <c r="G11981" i="1"/>
  <c r="D11981" i="1"/>
  <c r="G11980" i="1"/>
  <c r="D11980" i="1"/>
  <c r="G11979" i="1"/>
  <c r="D11979" i="1"/>
  <c r="G11978" i="1"/>
  <c r="D11978" i="1"/>
  <c r="G11977" i="1"/>
  <c r="D11977" i="1"/>
  <c r="G11976" i="1"/>
  <c r="D11976" i="1"/>
  <c r="G11975" i="1"/>
  <c r="D11975" i="1"/>
  <c r="G11974" i="1"/>
  <c r="D11974" i="1"/>
  <c r="G11973" i="1"/>
  <c r="D11973" i="1"/>
  <c r="G11972" i="1"/>
  <c r="D11972" i="1"/>
  <c r="G11971" i="1"/>
  <c r="D11971" i="1"/>
  <c r="G11970" i="1"/>
  <c r="D11970" i="1"/>
  <c r="G11969" i="1"/>
  <c r="D11969" i="1"/>
  <c r="G11968" i="1"/>
  <c r="D11968" i="1"/>
  <c r="G11967" i="1"/>
  <c r="D11967" i="1"/>
  <c r="G11966" i="1"/>
  <c r="D11966" i="1"/>
  <c r="G11965" i="1"/>
  <c r="D11965" i="1"/>
  <c r="G11964" i="1"/>
  <c r="D11964" i="1"/>
  <c r="G11963" i="1"/>
  <c r="D11963" i="1"/>
  <c r="G11962" i="1"/>
  <c r="D11962" i="1"/>
  <c r="G11961" i="1"/>
  <c r="D11961" i="1"/>
  <c r="G11960" i="1"/>
  <c r="D11960" i="1"/>
  <c r="G11959" i="1"/>
  <c r="D11959" i="1"/>
  <c r="G11958" i="1"/>
  <c r="D11958" i="1"/>
  <c r="G11957" i="1"/>
  <c r="D11957" i="1"/>
  <c r="G11956" i="1"/>
  <c r="D11956" i="1"/>
  <c r="G11955" i="1"/>
  <c r="D11955" i="1"/>
  <c r="G11954" i="1"/>
  <c r="D11954" i="1"/>
  <c r="G11953" i="1"/>
  <c r="D11953" i="1"/>
  <c r="G11952" i="1"/>
  <c r="D11952" i="1"/>
  <c r="G11951" i="1"/>
  <c r="D11951" i="1"/>
  <c r="G11950" i="1"/>
  <c r="D11950" i="1"/>
  <c r="G11949" i="1"/>
  <c r="D11949" i="1"/>
  <c r="G11948" i="1"/>
  <c r="D11948" i="1"/>
  <c r="G11947" i="1"/>
  <c r="D11947" i="1"/>
  <c r="G11946" i="1"/>
  <c r="D11946" i="1"/>
  <c r="G11945" i="1"/>
  <c r="D11945" i="1"/>
  <c r="G11944" i="1"/>
  <c r="D11944" i="1"/>
  <c r="G11943" i="1"/>
  <c r="D11943" i="1"/>
  <c r="G11942" i="1"/>
  <c r="D11942" i="1"/>
  <c r="G11941" i="1"/>
  <c r="D11941" i="1"/>
  <c r="G11940" i="1"/>
  <c r="D11940" i="1"/>
  <c r="G11939" i="1"/>
  <c r="D11939" i="1"/>
  <c r="G11938" i="1"/>
  <c r="D11938" i="1"/>
  <c r="G11937" i="1"/>
  <c r="D11937" i="1"/>
  <c r="G11936" i="1"/>
  <c r="D11936" i="1"/>
  <c r="G11935" i="1"/>
  <c r="D11935" i="1"/>
  <c r="G11934" i="1"/>
  <c r="D11934" i="1"/>
  <c r="G11933" i="1"/>
  <c r="D11933" i="1"/>
  <c r="G11932" i="1"/>
  <c r="D11932" i="1"/>
  <c r="G11931" i="1"/>
  <c r="D11931" i="1"/>
  <c r="G11930" i="1"/>
  <c r="D11930" i="1"/>
  <c r="G11929" i="1"/>
  <c r="D11929" i="1"/>
  <c r="G11928" i="1"/>
  <c r="D11928" i="1"/>
  <c r="G11927" i="1"/>
  <c r="D11927" i="1"/>
  <c r="G11926" i="1"/>
  <c r="D11926" i="1"/>
  <c r="G11925" i="1"/>
  <c r="D11925" i="1"/>
  <c r="G11924" i="1"/>
  <c r="D11924" i="1"/>
  <c r="G11923" i="1"/>
  <c r="D11923" i="1"/>
  <c r="G11922" i="1"/>
  <c r="D11922" i="1"/>
  <c r="G11921" i="1"/>
  <c r="D11921" i="1"/>
  <c r="G11920" i="1"/>
  <c r="D11920" i="1"/>
  <c r="G11919" i="1"/>
  <c r="D11919" i="1"/>
  <c r="G11918" i="1"/>
  <c r="D11918" i="1"/>
  <c r="G11917" i="1"/>
  <c r="D11917" i="1"/>
  <c r="G11916" i="1"/>
  <c r="D11916" i="1"/>
  <c r="G11915" i="1"/>
  <c r="D11915" i="1"/>
  <c r="G11914" i="1"/>
  <c r="D11914" i="1"/>
  <c r="G11913" i="1"/>
  <c r="D11913" i="1"/>
  <c r="G11912" i="1"/>
  <c r="D11912" i="1"/>
  <c r="G11911" i="1"/>
  <c r="D11911" i="1"/>
  <c r="G11910" i="1"/>
  <c r="D11910" i="1"/>
  <c r="G11909" i="1"/>
  <c r="D11909" i="1"/>
  <c r="G11908" i="1"/>
  <c r="D11908" i="1"/>
  <c r="G11907" i="1"/>
  <c r="D11907" i="1"/>
  <c r="G11906" i="1"/>
  <c r="D11906" i="1"/>
  <c r="G11905" i="1"/>
  <c r="D11905" i="1"/>
  <c r="G11904" i="1"/>
  <c r="D11904" i="1"/>
  <c r="G11903" i="1"/>
  <c r="D11903" i="1"/>
  <c r="G11902" i="1"/>
  <c r="D11902" i="1"/>
  <c r="G11901" i="1"/>
  <c r="D11901" i="1"/>
  <c r="G11900" i="1"/>
  <c r="D11900" i="1"/>
  <c r="G11899" i="1"/>
  <c r="D11899" i="1"/>
  <c r="G11898" i="1"/>
  <c r="D11898" i="1"/>
  <c r="G11897" i="1"/>
  <c r="D11897" i="1"/>
  <c r="G11896" i="1"/>
  <c r="D11896" i="1"/>
  <c r="G11895" i="1"/>
  <c r="D11895" i="1"/>
  <c r="G11894" i="1"/>
  <c r="D11894" i="1"/>
  <c r="G11893" i="1"/>
  <c r="D11893" i="1"/>
  <c r="G11892" i="1"/>
  <c r="D11892" i="1"/>
  <c r="G11891" i="1"/>
  <c r="D11891" i="1"/>
  <c r="G11890" i="1"/>
  <c r="D11890" i="1"/>
  <c r="G11889" i="1"/>
  <c r="D11889" i="1"/>
  <c r="G11888" i="1"/>
  <c r="D11888" i="1"/>
  <c r="G11887" i="1"/>
  <c r="D11887" i="1"/>
  <c r="G11886" i="1"/>
  <c r="D11886" i="1"/>
  <c r="G11885" i="1"/>
  <c r="D11885" i="1"/>
  <c r="G11884" i="1"/>
  <c r="D11884" i="1"/>
  <c r="G11883" i="1"/>
  <c r="D11883" i="1"/>
  <c r="G11882" i="1"/>
  <c r="D11882" i="1"/>
  <c r="G11881" i="1"/>
  <c r="D11881" i="1"/>
  <c r="G11880" i="1"/>
  <c r="D11880" i="1"/>
  <c r="G11879" i="1"/>
  <c r="D11879" i="1"/>
  <c r="G11878" i="1"/>
  <c r="D11878" i="1"/>
  <c r="G11877" i="1"/>
  <c r="D11877" i="1"/>
  <c r="G11876" i="1"/>
  <c r="D11876" i="1"/>
  <c r="G11875" i="1"/>
  <c r="D11875" i="1"/>
  <c r="G11874" i="1"/>
  <c r="D11874" i="1"/>
  <c r="G11873" i="1"/>
  <c r="D11873" i="1"/>
  <c r="G11872" i="1"/>
  <c r="D11872" i="1"/>
  <c r="G11871" i="1"/>
  <c r="D11871" i="1"/>
  <c r="G11870" i="1"/>
  <c r="D11870" i="1"/>
  <c r="G11869" i="1"/>
  <c r="D11869" i="1"/>
  <c r="G11868" i="1"/>
  <c r="D11868" i="1"/>
  <c r="G11867" i="1"/>
  <c r="D11867" i="1"/>
  <c r="G11866" i="1"/>
  <c r="D11866" i="1"/>
  <c r="G11865" i="1"/>
  <c r="D11865" i="1"/>
  <c r="G11864" i="1"/>
  <c r="D11864" i="1"/>
  <c r="G11863" i="1"/>
  <c r="D11863" i="1"/>
  <c r="G11862" i="1"/>
  <c r="D11862" i="1"/>
  <c r="G11861" i="1"/>
  <c r="D11861" i="1"/>
  <c r="G11860" i="1"/>
  <c r="D11860" i="1"/>
  <c r="G11859" i="1"/>
  <c r="D11859" i="1"/>
  <c r="G11858" i="1"/>
  <c r="D11858" i="1"/>
  <c r="G11857" i="1"/>
  <c r="D11857" i="1"/>
  <c r="G11856" i="1"/>
  <c r="D11856" i="1"/>
  <c r="G11855" i="1"/>
  <c r="D11855" i="1"/>
  <c r="G11854" i="1"/>
  <c r="D11854" i="1"/>
  <c r="G11853" i="1"/>
  <c r="D11853" i="1"/>
  <c r="G11852" i="1"/>
  <c r="D11852" i="1"/>
  <c r="G11851" i="1"/>
  <c r="D11851" i="1"/>
  <c r="G11850" i="1"/>
  <c r="D11850" i="1"/>
  <c r="G11849" i="1"/>
  <c r="D11849" i="1"/>
  <c r="G11848" i="1"/>
  <c r="D11848" i="1"/>
  <c r="G11847" i="1"/>
  <c r="D11847" i="1"/>
  <c r="G11846" i="1"/>
  <c r="D11846" i="1"/>
  <c r="G11845" i="1"/>
  <c r="D11845" i="1"/>
  <c r="G11844" i="1"/>
  <c r="D11844" i="1"/>
  <c r="G11843" i="1"/>
  <c r="D11843" i="1"/>
  <c r="G11842" i="1"/>
  <c r="D11842" i="1"/>
  <c r="G11841" i="1"/>
  <c r="D11841" i="1"/>
  <c r="G11840" i="1"/>
  <c r="D11840" i="1"/>
  <c r="G11839" i="1"/>
  <c r="D11839" i="1"/>
  <c r="G11838" i="1"/>
  <c r="D11838" i="1"/>
  <c r="G11837" i="1"/>
  <c r="D11837" i="1"/>
  <c r="G11836" i="1"/>
  <c r="D11836" i="1"/>
  <c r="G11835" i="1"/>
  <c r="D11835" i="1"/>
  <c r="G11834" i="1"/>
  <c r="D11834" i="1"/>
  <c r="G11833" i="1"/>
  <c r="D11833" i="1"/>
  <c r="G11832" i="1"/>
  <c r="D11832" i="1"/>
  <c r="G11831" i="1"/>
  <c r="D11831" i="1"/>
  <c r="G11830" i="1"/>
  <c r="D11830" i="1"/>
  <c r="G11829" i="1"/>
  <c r="D11829" i="1"/>
  <c r="G11828" i="1"/>
  <c r="D11828" i="1"/>
  <c r="G11827" i="1"/>
  <c r="D11827" i="1"/>
  <c r="G11826" i="1"/>
  <c r="D11826" i="1"/>
  <c r="G11825" i="1"/>
  <c r="D11825" i="1"/>
  <c r="G11824" i="1"/>
  <c r="D11824" i="1"/>
  <c r="G11823" i="1"/>
  <c r="D11823" i="1"/>
  <c r="G11822" i="1"/>
  <c r="D11822" i="1"/>
  <c r="G11821" i="1"/>
  <c r="D11821" i="1"/>
  <c r="G11820" i="1"/>
  <c r="D11820" i="1"/>
  <c r="G11819" i="1"/>
  <c r="D11819" i="1"/>
  <c r="G11818" i="1"/>
  <c r="D11818" i="1"/>
  <c r="G11817" i="1"/>
  <c r="D11817" i="1"/>
  <c r="G11816" i="1"/>
  <c r="D11816" i="1"/>
  <c r="G11815" i="1"/>
  <c r="D11815" i="1"/>
  <c r="G11814" i="1"/>
  <c r="D11814" i="1"/>
  <c r="G11813" i="1"/>
  <c r="D11813" i="1"/>
  <c r="G11812" i="1"/>
  <c r="D11812" i="1"/>
  <c r="G11811" i="1"/>
  <c r="D11811" i="1"/>
  <c r="G11810" i="1"/>
  <c r="D11810" i="1"/>
  <c r="G11809" i="1"/>
  <c r="D11809" i="1"/>
  <c r="G11808" i="1"/>
  <c r="D11808" i="1"/>
  <c r="G11807" i="1"/>
  <c r="D11807" i="1"/>
  <c r="G11806" i="1"/>
  <c r="D11806" i="1"/>
  <c r="G11805" i="1"/>
  <c r="D11805" i="1"/>
  <c r="G11804" i="1"/>
  <c r="D11804" i="1"/>
  <c r="G11803" i="1"/>
  <c r="D11803" i="1"/>
  <c r="G11802" i="1"/>
  <c r="D11802" i="1"/>
  <c r="G11801" i="1"/>
  <c r="D11801" i="1"/>
  <c r="G11800" i="1"/>
  <c r="D11800" i="1"/>
  <c r="G11799" i="1"/>
  <c r="D11799" i="1"/>
  <c r="G11798" i="1"/>
  <c r="D11798" i="1"/>
  <c r="G11797" i="1"/>
  <c r="D11797" i="1"/>
  <c r="G11796" i="1"/>
  <c r="D11796" i="1"/>
  <c r="G11795" i="1"/>
  <c r="D11795" i="1"/>
  <c r="G11794" i="1"/>
  <c r="D11794" i="1"/>
  <c r="G11793" i="1"/>
  <c r="D11793" i="1"/>
  <c r="G11792" i="1"/>
  <c r="D11792" i="1"/>
  <c r="G11791" i="1"/>
  <c r="D11791" i="1"/>
  <c r="G11790" i="1"/>
  <c r="D11790" i="1"/>
  <c r="G11789" i="1"/>
  <c r="D11789" i="1"/>
  <c r="G11788" i="1"/>
  <c r="D11788" i="1"/>
  <c r="G11787" i="1"/>
  <c r="D11787" i="1"/>
  <c r="G11786" i="1"/>
  <c r="D11786" i="1"/>
  <c r="G11785" i="1"/>
  <c r="D11785" i="1"/>
  <c r="G11784" i="1"/>
  <c r="D11784" i="1"/>
  <c r="G11783" i="1"/>
  <c r="D11783" i="1"/>
  <c r="G11782" i="1"/>
  <c r="D11782" i="1"/>
  <c r="G11781" i="1"/>
  <c r="D11781" i="1"/>
  <c r="G11780" i="1"/>
  <c r="D11780" i="1"/>
  <c r="G11779" i="1"/>
  <c r="D11779" i="1"/>
  <c r="G11778" i="1"/>
  <c r="D11778" i="1"/>
  <c r="G11777" i="1"/>
  <c r="D11777" i="1"/>
  <c r="G11776" i="1"/>
  <c r="D11776" i="1"/>
  <c r="G11775" i="1"/>
  <c r="D11775" i="1"/>
  <c r="G11774" i="1"/>
  <c r="D11774" i="1"/>
  <c r="G11773" i="1"/>
  <c r="D11773" i="1"/>
  <c r="G11772" i="1"/>
  <c r="D11772" i="1"/>
  <c r="G11771" i="1"/>
  <c r="D11771" i="1"/>
  <c r="G11770" i="1"/>
  <c r="D11770" i="1"/>
  <c r="G11769" i="1"/>
  <c r="D11769" i="1"/>
  <c r="G11768" i="1"/>
  <c r="D11768" i="1"/>
  <c r="G11767" i="1"/>
  <c r="D11767" i="1"/>
  <c r="G11766" i="1"/>
  <c r="D11766" i="1"/>
  <c r="G11765" i="1"/>
  <c r="D11765" i="1"/>
  <c r="G11764" i="1"/>
  <c r="D11764" i="1"/>
  <c r="G11763" i="1"/>
  <c r="D11763" i="1"/>
  <c r="G11762" i="1"/>
  <c r="D11762" i="1"/>
  <c r="G11761" i="1"/>
  <c r="D11761" i="1"/>
  <c r="G11760" i="1"/>
  <c r="D11760" i="1"/>
  <c r="G11759" i="1"/>
  <c r="D11759" i="1"/>
  <c r="G11758" i="1"/>
  <c r="D11758" i="1"/>
  <c r="G11757" i="1"/>
  <c r="D11757" i="1"/>
  <c r="G11756" i="1"/>
  <c r="D11756" i="1"/>
  <c r="G11755" i="1"/>
  <c r="D11755" i="1"/>
  <c r="G11754" i="1"/>
  <c r="D11754" i="1"/>
  <c r="G11753" i="1"/>
  <c r="D11753" i="1"/>
  <c r="G11752" i="1"/>
  <c r="D11752" i="1"/>
  <c r="G11751" i="1"/>
  <c r="D11751" i="1"/>
  <c r="G11750" i="1"/>
  <c r="D11750" i="1"/>
  <c r="G11749" i="1"/>
  <c r="D11749" i="1"/>
  <c r="G11748" i="1"/>
  <c r="D11748" i="1"/>
  <c r="G11747" i="1"/>
  <c r="D11747" i="1"/>
  <c r="G11746" i="1"/>
  <c r="D11746" i="1"/>
  <c r="G11745" i="1"/>
  <c r="D11745" i="1"/>
  <c r="G11744" i="1"/>
  <c r="D11744" i="1"/>
  <c r="G11743" i="1"/>
  <c r="D11743" i="1"/>
  <c r="G11742" i="1"/>
  <c r="D11742" i="1"/>
  <c r="G11741" i="1"/>
  <c r="D11741" i="1"/>
  <c r="G11740" i="1"/>
  <c r="D11740" i="1"/>
  <c r="G11739" i="1"/>
  <c r="D11739" i="1"/>
  <c r="G11738" i="1"/>
  <c r="D11738" i="1"/>
  <c r="G11737" i="1"/>
  <c r="D11737" i="1"/>
  <c r="G11736" i="1"/>
  <c r="D11736" i="1"/>
  <c r="G11735" i="1"/>
  <c r="D11735" i="1"/>
  <c r="G11734" i="1"/>
  <c r="D11734" i="1"/>
  <c r="G11733" i="1"/>
  <c r="D11733" i="1"/>
  <c r="G11732" i="1"/>
  <c r="D11732" i="1"/>
  <c r="G11731" i="1"/>
  <c r="D11731" i="1"/>
  <c r="G11730" i="1"/>
  <c r="D11730" i="1"/>
  <c r="G11729" i="1"/>
  <c r="D11729" i="1"/>
  <c r="G11728" i="1"/>
  <c r="D11728" i="1"/>
  <c r="G11727" i="1"/>
  <c r="D11727" i="1"/>
  <c r="G11726" i="1"/>
  <c r="D11726" i="1"/>
  <c r="G11725" i="1"/>
  <c r="D11725" i="1"/>
  <c r="G11724" i="1"/>
  <c r="D11724" i="1"/>
  <c r="G11723" i="1"/>
  <c r="D11723" i="1"/>
  <c r="G11722" i="1"/>
  <c r="D11722" i="1"/>
  <c r="G11721" i="1"/>
  <c r="D11721" i="1"/>
  <c r="G11720" i="1"/>
  <c r="D11720" i="1"/>
  <c r="G11719" i="1"/>
  <c r="D11719" i="1"/>
  <c r="G11718" i="1"/>
  <c r="D11718" i="1"/>
  <c r="G11717" i="1"/>
  <c r="D11717" i="1"/>
  <c r="G11716" i="1"/>
  <c r="D11716" i="1"/>
  <c r="G11715" i="1"/>
  <c r="D11715" i="1"/>
  <c r="G11714" i="1"/>
  <c r="D11714" i="1"/>
  <c r="G11713" i="1"/>
  <c r="D11713" i="1"/>
  <c r="G11712" i="1"/>
  <c r="D11712" i="1"/>
  <c r="G11711" i="1"/>
  <c r="D11711" i="1"/>
  <c r="G11710" i="1"/>
  <c r="D11710" i="1"/>
  <c r="G11709" i="1"/>
  <c r="D11709" i="1"/>
  <c r="G11708" i="1"/>
  <c r="D11708" i="1"/>
  <c r="G11707" i="1"/>
  <c r="D11707" i="1"/>
  <c r="G11706" i="1"/>
  <c r="D11706" i="1"/>
  <c r="G11705" i="1"/>
  <c r="D11705" i="1"/>
  <c r="G11704" i="1"/>
  <c r="D11704" i="1"/>
  <c r="G11703" i="1"/>
  <c r="D11703" i="1"/>
  <c r="G11702" i="1"/>
  <c r="D11702" i="1"/>
  <c r="G11701" i="1"/>
  <c r="D11701" i="1"/>
  <c r="G11700" i="1"/>
  <c r="D11700" i="1"/>
  <c r="G11699" i="1"/>
  <c r="D11699" i="1"/>
  <c r="G11698" i="1"/>
  <c r="D11698" i="1"/>
  <c r="G11697" i="1"/>
  <c r="D11697" i="1"/>
  <c r="G11696" i="1"/>
  <c r="D11696" i="1"/>
  <c r="G11695" i="1"/>
  <c r="D11695" i="1"/>
  <c r="G11694" i="1"/>
  <c r="D11694" i="1"/>
  <c r="G11693" i="1"/>
  <c r="D11693" i="1"/>
  <c r="G11692" i="1"/>
  <c r="D11692" i="1"/>
  <c r="G11691" i="1"/>
  <c r="D11691" i="1"/>
  <c r="G11690" i="1"/>
  <c r="D11690" i="1"/>
  <c r="G11689" i="1"/>
  <c r="D11689" i="1"/>
  <c r="G11688" i="1"/>
  <c r="D11688" i="1"/>
  <c r="G11687" i="1"/>
  <c r="D11687" i="1"/>
  <c r="G11686" i="1"/>
  <c r="D11686" i="1"/>
  <c r="G11685" i="1"/>
  <c r="D11685" i="1"/>
  <c r="G11684" i="1"/>
  <c r="D11684" i="1"/>
  <c r="G11683" i="1"/>
  <c r="D11683" i="1"/>
  <c r="G11682" i="1"/>
  <c r="D11682" i="1"/>
  <c r="G11681" i="1"/>
  <c r="D11681" i="1"/>
  <c r="G11680" i="1"/>
  <c r="D11680" i="1"/>
  <c r="G11679" i="1"/>
  <c r="D11679" i="1"/>
  <c r="G11678" i="1"/>
  <c r="D11678" i="1"/>
  <c r="G11677" i="1"/>
  <c r="D11677" i="1"/>
  <c r="G11676" i="1"/>
  <c r="D11676" i="1"/>
  <c r="G11675" i="1"/>
  <c r="D11675" i="1"/>
  <c r="G11674" i="1"/>
  <c r="D11674" i="1"/>
  <c r="G11673" i="1"/>
  <c r="D11673" i="1"/>
  <c r="G11672" i="1"/>
  <c r="D11672" i="1"/>
  <c r="G11671" i="1"/>
  <c r="D11671" i="1"/>
  <c r="G11670" i="1"/>
  <c r="D11670" i="1"/>
  <c r="G11669" i="1"/>
  <c r="D11669" i="1"/>
  <c r="G11668" i="1"/>
  <c r="D11668" i="1"/>
  <c r="G11667" i="1"/>
  <c r="D11667" i="1"/>
  <c r="G11666" i="1"/>
  <c r="D11666" i="1"/>
  <c r="G11665" i="1"/>
  <c r="D11665" i="1"/>
  <c r="G11664" i="1"/>
  <c r="D11664" i="1"/>
  <c r="G11663" i="1"/>
  <c r="D11663" i="1"/>
  <c r="G11662" i="1"/>
  <c r="D11662" i="1"/>
  <c r="G11661" i="1"/>
  <c r="D11661" i="1"/>
  <c r="G11660" i="1"/>
  <c r="D11660" i="1"/>
  <c r="G11659" i="1"/>
  <c r="D11659" i="1"/>
  <c r="G11658" i="1"/>
  <c r="D11658" i="1"/>
  <c r="G11657" i="1"/>
  <c r="D11657" i="1"/>
  <c r="G11656" i="1"/>
  <c r="D11656" i="1"/>
  <c r="G11655" i="1"/>
  <c r="D11655" i="1"/>
  <c r="G11654" i="1"/>
  <c r="D11654" i="1"/>
  <c r="G11653" i="1"/>
  <c r="D11653" i="1"/>
  <c r="G11652" i="1"/>
  <c r="D11652" i="1"/>
  <c r="G11651" i="1"/>
  <c r="D11651" i="1"/>
  <c r="G11650" i="1"/>
  <c r="D11650" i="1"/>
  <c r="G11649" i="1"/>
  <c r="D11649" i="1"/>
  <c r="G11648" i="1"/>
  <c r="D11648" i="1"/>
  <c r="G11647" i="1"/>
  <c r="D11647" i="1"/>
  <c r="G11646" i="1"/>
  <c r="D11646" i="1"/>
  <c r="G11645" i="1"/>
  <c r="D11645" i="1"/>
  <c r="G11644" i="1"/>
  <c r="D11644" i="1"/>
  <c r="G11643" i="1"/>
  <c r="D11643" i="1"/>
  <c r="G11642" i="1"/>
  <c r="D11642" i="1"/>
  <c r="G11641" i="1"/>
  <c r="D11641" i="1"/>
  <c r="G11640" i="1"/>
  <c r="D11640" i="1"/>
  <c r="G11639" i="1"/>
  <c r="D11639" i="1"/>
  <c r="G11638" i="1"/>
  <c r="D11638" i="1"/>
  <c r="G11637" i="1"/>
  <c r="D11637" i="1"/>
  <c r="G11636" i="1"/>
  <c r="D11636" i="1"/>
  <c r="G11635" i="1"/>
  <c r="D11635" i="1"/>
  <c r="G11634" i="1"/>
  <c r="D11634" i="1"/>
  <c r="G11633" i="1"/>
  <c r="D11633" i="1"/>
  <c r="G11632" i="1"/>
  <c r="D11632" i="1"/>
  <c r="G11631" i="1"/>
  <c r="D11631" i="1"/>
  <c r="G11630" i="1"/>
  <c r="D11630" i="1"/>
  <c r="G11629" i="1"/>
  <c r="D11629" i="1"/>
  <c r="G11628" i="1"/>
  <c r="D11628" i="1"/>
  <c r="G11627" i="1"/>
  <c r="D11627" i="1"/>
  <c r="G11626" i="1"/>
  <c r="D11626" i="1"/>
  <c r="G11625" i="1"/>
  <c r="D11625" i="1"/>
  <c r="G11624" i="1"/>
  <c r="D11624" i="1"/>
  <c r="G11623" i="1"/>
  <c r="D11623" i="1"/>
  <c r="G11622" i="1"/>
  <c r="D11622" i="1"/>
  <c r="G11621" i="1"/>
  <c r="D11621" i="1"/>
  <c r="G11620" i="1"/>
  <c r="D11620" i="1"/>
  <c r="G11619" i="1"/>
  <c r="D11619" i="1"/>
  <c r="G11618" i="1"/>
  <c r="D11618" i="1"/>
  <c r="G11617" i="1"/>
  <c r="D11617" i="1"/>
  <c r="G11616" i="1"/>
  <c r="D11616" i="1"/>
  <c r="G11615" i="1"/>
  <c r="D11615" i="1"/>
  <c r="G11614" i="1"/>
  <c r="D11614" i="1"/>
  <c r="G11613" i="1"/>
  <c r="D11613" i="1"/>
  <c r="G11612" i="1"/>
  <c r="D11612" i="1"/>
  <c r="G11611" i="1"/>
  <c r="D11611" i="1"/>
  <c r="G11610" i="1"/>
  <c r="D11610" i="1"/>
  <c r="G11609" i="1"/>
  <c r="D11609" i="1"/>
  <c r="G11608" i="1"/>
  <c r="D11608" i="1"/>
  <c r="G11607" i="1"/>
  <c r="D11607" i="1"/>
  <c r="G11606" i="1"/>
  <c r="D11606" i="1"/>
  <c r="G11605" i="1"/>
  <c r="D11605" i="1"/>
  <c r="G11604" i="1"/>
  <c r="D11604" i="1"/>
  <c r="G11603" i="1"/>
  <c r="D11603" i="1"/>
  <c r="G11602" i="1"/>
  <c r="D11602" i="1"/>
  <c r="G11601" i="1"/>
  <c r="D11601" i="1"/>
  <c r="G11600" i="1"/>
  <c r="D11600" i="1"/>
  <c r="G11599" i="1"/>
  <c r="D11599" i="1"/>
  <c r="G11598" i="1"/>
  <c r="D11598" i="1"/>
  <c r="G11597" i="1"/>
  <c r="D11597" i="1"/>
  <c r="G11596" i="1"/>
  <c r="D11596" i="1"/>
  <c r="G11595" i="1"/>
  <c r="D11595" i="1"/>
  <c r="G11594" i="1"/>
  <c r="D11594" i="1"/>
  <c r="G11593" i="1"/>
  <c r="D11593" i="1"/>
  <c r="G11592" i="1"/>
  <c r="D11592" i="1"/>
  <c r="G11591" i="1"/>
  <c r="D11591" i="1"/>
  <c r="G11590" i="1"/>
  <c r="D11590" i="1"/>
  <c r="G11589" i="1"/>
  <c r="D11589" i="1"/>
  <c r="G11588" i="1"/>
  <c r="D11588" i="1"/>
  <c r="G11587" i="1"/>
  <c r="D11587" i="1"/>
  <c r="G11586" i="1"/>
  <c r="D11586" i="1"/>
  <c r="G11585" i="1"/>
  <c r="D11585" i="1"/>
  <c r="G11584" i="1"/>
  <c r="D11584" i="1"/>
  <c r="G11583" i="1"/>
  <c r="D11583" i="1"/>
  <c r="G11582" i="1"/>
  <c r="D11582" i="1"/>
  <c r="G11581" i="1"/>
  <c r="D11581" i="1"/>
  <c r="G11580" i="1"/>
  <c r="D11580" i="1"/>
  <c r="G11579" i="1"/>
  <c r="D11579" i="1"/>
  <c r="G11578" i="1"/>
  <c r="D11578" i="1"/>
  <c r="G11577" i="1"/>
  <c r="D11577" i="1"/>
  <c r="G11576" i="1"/>
  <c r="D11576" i="1"/>
  <c r="G11575" i="1"/>
  <c r="D11575" i="1"/>
  <c r="G11574" i="1"/>
  <c r="D11574" i="1"/>
  <c r="G11573" i="1"/>
  <c r="D11573" i="1"/>
  <c r="G11572" i="1"/>
  <c r="D11572" i="1"/>
  <c r="G11571" i="1"/>
  <c r="D11571" i="1"/>
  <c r="G11570" i="1"/>
  <c r="D11570" i="1"/>
  <c r="G11569" i="1"/>
  <c r="D11569" i="1"/>
  <c r="G11568" i="1"/>
  <c r="D11568" i="1"/>
  <c r="G11567" i="1"/>
  <c r="D11567" i="1"/>
  <c r="G11566" i="1"/>
  <c r="D11566" i="1"/>
  <c r="G11565" i="1"/>
  <c r="D11565" i="1"/>
  <c r="G11564" i="1"/>
  <c r="D11564" i="1"/>
  <c r="G11563" i="1"/>
  <c r="D11563" i="1"/>
  <c r="G11562" i="1"/>
  <c r="D11562" i="1"/>
  <c r="G11561" i="1"/>
  <c r="D11561" i="1"/>
  <c r="G11560" i="1"/>
  <c r="D11560" i="1"/>
  <c r="G11559" i="1"/>
  <c r="D11559" i="1"/>
  <c r="G11558" i="1"/>
  <c r="D11558" i="1"/>
  <c r="G11557" i="1"/>
  <c r="D11557" i="1"/>
  <c r="G11556" i="1"/>
  <c r="D11556" i="1"/>
  <c r="G11555" i="1"/>
  <c r="D11555" i="1"/>
  <c r="G11554" i="1"/>
  <c r="D11554" i="1"/>
  <c r="G11553" i="1"/>
  <c r="D11553" i="1"/>
  <c r="G11552" i="1"/>
  <c r="D11552" i="1"/>
  <c r="G11551" i="1"/>
  <c r="D11551" i="1"/>
  <c r="G11550" i="1"/>
  <c r="D11550" i="1"/>
  <c r="G11549" i="1"/>
  <c r="D11549" i="1"/>
  <c r="G11548" i="1"/>
  <c r="D11548" i="1"/>
  <c r="G11547" i="1"/>
  <c r="D11547" i="1"/>
  <c r="G11546" i="1"/>
  <c r="D11546" i="1"/>
  <c r="G11545" i="1"/>
  <c r="D11545" i="1"/>
  <c r="G11544" i="1"/>
  <c r="D11544" i="1"/>
  <c r="G11543" i="1"/>
  <c r="D11543" i="1"/>
  <c r="G11542" i="1"/>
  <c r="D11542" i="1"/>
  <c r="G11541" i="1"/>
  <c r="D11541" i="1"/>
  <c r="G11540" i="1"/>
  <c r="D11540" i="1"/>
  <c r="G11539" i="1"/>
  <c r="D11539" i="1"/>
  <c r="G11538" i="1"/>
  <c r="D11538" i="1"/>
  <c r="G11537" i="1"/>
  <c r="D11537" i="1"/>
  <c r="G11536" i="1"/>
  <c r="D11536" i="1"/>
  <c r="G11535" i="1"/>
  <c r="D11535" i="1"/>
  <c r="G11534" i="1"/>
  <c r="D11534" i="1"/>
  <c r="G11533" i="1"/>
  <c r="D11533" i="1"/>
  <c r="G11532" i="1"/>
  <c r="D11532" i="1"/>
  <c r="G11531" i="1"/>
  <c r="D11531" i="1"/>
  <c r="G11530" i="1"/>
  <c r="D11530" i="1"/>
  <c r="G11529" i="1"/>
  <c r="D11529" i="1"/>
  <c r="G11528" i="1"/>
  <c r="D11528" i="1"/>
  <c r="G11527" i="1"/>
  <c r="D11527" i="1"/>
  <c r="G11526" i="1"/>
  <c r="D11526" i="1"/>
  <c r="G11525" i="1"/>
  <c r="D11525" i="1"/>
  <c r="G11524" i="1"/>
  <c r="D11524" i="1"/>
  <c r="G11523" i="1"/>
  <c r="D11523" i="1"/>
  <c r="G11522" i="1"/>
  <c r="D11522" i="1"/>
  <c r="G11521" i="1"/>
  <c r="D11521" i="1"/>
  <c r="G11520" i="1"/>
  <c r="D11520" i="1"/>
  <c r="G11519" i="1"/>
  <c r="D11519" i="1"/>
  <c r="G11518" i="1"/>
  <c r="D11518" i="1"/>
  <c r="G11517" i="1"/>
  <c r="D11517" i="1"/>
  <c r="G11516" i="1"/>
  <c r="D11516" i="1"/>
  <c r="G11515" i="1"/>
  <c r="D11515" i="1"/>
  <c r="G11514" i="1"/>
  <c r="D11514" i="1"/>
  <c r="G11513" i="1"/>
  <c r="D11513" i="1"/>
  <c r="G11512" i="1"/>
  <c r="D11512" i="1"/>
  <c r="G11511" i="1"/>
  <c r="D11511" i="1"/>
  <c r="G11510" i="1"/>
  <c r="D11510" i="1"/>
  <c r="G11509" i="1"/>
  <c r="D11509" i="1"/>
  <c r="G11508" i="1"/>
  <c r="D11508" i="1"/>
  <c r="G11507" i="1"/>
  <c r="D11507" i="1"/>
  <c r="G11506" i="1"/>
  <c r="D11506" i="1"/>
  <c r="G11505" i="1"/>
  <c r="D11505" i="1"/>
  <c r="G11504" i="1"/>
  <c r="D11504" i="1"/>
  <c r="G11503" i="1"/>
  <c r="D11503" i="1"/>
  <c r="G11502" i="1"/>
  <c r="D11502" i="1"/>
  <c r="G11501" i="1"/>
  <c r="D11501" i="1"/>
  <c r="G11500" i="1"/>
  <c r="D11500" i="1"/>
  <c r="G11499" i="1"/>
  <c r="D11499" i="1"/>
  <c r="G11498" i="1"/>
  <c r="D11498" i="1"/>
  <c r="G11497" i="1"/>
  <c r="D11497" i="1"/>
  <c r="G11496" i="1"/>
  <c r="D11496" i="1"/>
  <c r="G11495" i="1"/>
  <c r="D11495" i="1"/>
  <c r="G11494" i="1"/>
  <c r="D11494" i="1"/>
  <c r="G11493" i="1"/>
  <c r="D11493" i="1"/>
  <c r="G11492" i="1"/>
  <c r="D11492" i="1"/>
  <c r="G11491" i="1"/>
  <c r="D11491" i="1"/>
  <c r="G11490" i="1"/>
  <c r="D11490" i="1"/>
  <c r="G11489" i="1"/>
  <c r="D11489" i="1"/>
  <c r="G11488" i="1"/>
  <c r="D11488" i="1"/>
  <c r="G11487" i="1"/>
  <c r="D11487" i="1"/>
  <c r="G11486" i="1"/>
  <c r="D11486" i="1"/>
  <c r="G11485" i="1"/>
  <c r="D11485" i="1"/>
  <c r="G11484" i="1"/>
  <c r="D11484" i="1"/>
  <c r="G11483" i="1"/>
  <c r="D11483" i="1"/>
  <c r="G11482" i="1"/>
  <c r="D11482" i="1"/>
  <c r="G11481" i="1"/>
  <c r="D11481" i="1"/>
  <c r="G11480" i="1"/>
  <c r="D11480" i="1"/>
  <c r="G11479" i="1"/>
  <c r="D11479" i="1"/>
  <c r="G11478" i="1"/>
  <c r="D11478" i="1"/>
  <c r="G11477" i="1"/>
  <c r="D11477" i="1"/>
  <c r="G11476" i="1"/>
  <c r="D11476" i="1"/>
  <c r="G11475" i="1"/>
  <c r="D11475" i="1"/>
  <c r="G11474" i="1"/>
  <c r="D11474" i="1"/>
  <c r="G11473" i="1"/>
  <c r="D11473" i="1"/>
  <c r="G11472" i="1"/>
  <c r="D11472" i="1"/>
  <c r="G11471" i="1"/>
  <c r="D11471" i="1"/>
  <c r="G11470" i="1"/>
  <c r="D11470" i="1"/>
  <c r="G11469" i="1"/>
  <c r="D11469" i="1"/>
  <c r="G11468" i="1"/>
  <c r="D11468" i="1"/>
  <c r="G11467" i="1"/>
  <c r="D11467" i="1"/>
  <c r="G11466" i="1"/>
  <c r="D11466" i="1"/>
  <c r="G11465" i="1"/>
  <c r="D11465" i="1"/>
  <c r="G11464" i="1"/>
  <c r="D11464" i="1"/>
  <c r="G11463" i="1"/>
  <c r="D11463" i="1"/>
  <c r="G11462" i="1"/>
  <c r="D11462" i="1"/>
  <c r="G11461" i="1"/>
  <c r="D11461" i="1"/>
  <c r="G11460" i="1"/>
  <c r="D11460" i="1"/>
  <c r="G11459" i="1"/>
  <c r="D11459" i="1"/>
  <c r="G11458" i="1"/>
  <c r="D11458" i="1"/>
  <c r="G11457" i="1"/>
  <c r="D11457" i="1"/>
  <c r="G11456" i="1"/>
  <c r="D11456" i="1"/>
  <c r="G11455" i="1"/>
  <c r="D11455" i="1"/>
  <c r="G11454" i="1"/>
  <c r="D11454" i="1"/>
  <c r="G11453" i="1"/>
  <c r="D11453" i="1"/>
  <c r="G11452" i="1"/>
  <c r="D11452" i="1"/>
  <c r="G11451" i="1"/>
  <c r="D11451" i="1"/>
  <c r="G11450" i="1"/>
  <c r="D11450" i="1"/>
  <c r="G11449" i="1"/>
  <c r="D11449" i="1"/>
  <c r="G11448" i="1"/>
  <c r="D11448" i="1"/>
  <c r="G11447" i="1"/>
  <c r="D11447" i="1"/>
  <c r="G11446" i="1"/>
  <c r="D11446" i="1"/>
  <c r="G11445" i="1"/>
  <c r="D11445" i="1"/>
  <c r="G11444" i="1"/>
  <c r="D11444" i="1"/>
  <c r="G11443" i="1"/>
  <c r="D11443" i="1"/>
  <c r="G11442" i="1"/>
  <c r="D11442" i="1"/>
  <c r="G11441" i="1"/>
  <c r="D11441" i="1"/>
  <c r="G11440" i="1"/>
  <c r="D11440" i="1"/>
  <c r="G11439" i="1"/>
  <c r="D11439" i="1"/>
  <c r="G11438" i="1"/>
  <c r="D11438" i="1"/>
  <c r="G11437" i="1"/>
  <c r="D11437" i="1"/>
  <c r="G11436" i="1"/>
  <c r="D11436" i="1"/>
  <c r="G11435" i="1"/>
  <c r="D11435" i="1"/>
  <c r="G11434" i="1"/>
  <c r="D11434" i="1"/>
  <c r="G11433" i="1"/>
  <c r="D11433" i="1"/>
  <c r="G11432" i="1"/>
  <c r="D11432" i="1"/>
  <c r="G11431" i="1"/>
  <c r="D11431" i="1"/>
  <c r="G11430" i="1"/>
  <c r="D11430" i="1"/>
  <c r="G11429" i="1"/>
  <c r="D11429" i="1"/>
  <c r="G11428" i="1"/>
  <c r="D11428" i="1"/>
  <c r="G11427" i="1"/>
  <c r="D11427" i="1"/>
  <c r="G11426" i="1"/>
  <c r="D11426" i="1"/>
  <c r="G11425" i="1"/>
  <c r="D11425" i="1"/>
  <c r="G11424" i="1"/>
  <c r="D11424" i="1"/>
  <c r="G11423" i="1"/>
  <c r="D11423" i="1"/>
  <c r="G11422" i="1"/>
  <c r="D11422" i="1"/>
  <c r="G11421" i="1"/>
  <c r="D11421" i="1"/>
  <c r="G11420" i="1"/>
  <c r="D11420" i="1"/>
  <c r="G11419" i="1"/>
  <c r="D11419" i="1"/>
  <c r="G11418" i="1"/>
  <c r="D11418" i="1"/>
  <c r="G11417" i="1"/>
  <c r="D11417" i="1"/>
  <c r="G11416" i="1"/>
  <c r="D11416" i="1"/>
  <c r="G11415" i="1"/>
  <c r="D11415" i="1"/>
  <c r="G11414" i="1"/>
  <c r="D11414" i="1"/>
  <c r="G11413" i="1"/>
  <c r="D11413" i="1"/>
  <c r="G11412" i="1"/>
  <c r="D11412" i="1"/>
  <c r="G11411" i="1"/>
  <c r="D11411" i="1"/>
  <c r="G11410" i="1"/>
  <c r="D11410" i="1"/>
  <c r="G11409" i="1"/>
  <c r="D11409" i="1"/>
  <c r="G11408" i="1"/>
  <c r="D11408" i="1"/>
  <c r="G11407" i="1"/>
  <c r="D11407" i="1"/>
  <c r="G11406" i="1"/>
  <c r="D11406" i="1"/>
  <c r="G11405" i="1"/>
  <c r="D11405" i="1"/>
  <c r="G11404" i="1"/>
  <c r="D11404" i="1"/>
  <c r="G11403" i="1"/>
  <c r="D11403" i="1"/>
  <c r="G11402" i="1"/>
  <c r="D11402" i="1"/>
  <c r="G11401" i="1"/>
  <c r="D11401" i="1"/>
  <c r="G11400" i="1"/>
  <c r="D11400" i="1"/>
  <c r="G11399" i="1"/>
  <c r="D11399" i="1"/>
  <c r="G11398" i="1"/>
  <c r="D11398" i="1"/>
  <c r="G11397" i="1"/>
  <c r="D11397" i="1"/>
  <c r="G11396" i="1"/>
  <c r="D11396" i="1"/>
  <c r="G11395" i="1"/>
  <c r="D11395" i="1"/>
  <c r="G11394" i="1"/>
  <c r="D11394" i="1"/>
  <c r="G11393" i="1"/>
  <c r="D11393" i="1"/>
  <c r="G11392" i="1"/>
  <c r="D11392" i="1"/>
  <c r="G11391" i="1"/>
  <c r="D11391" i="1"/>
  <c r="G11390" i="1"/>
  <c r="D11390" i="1"/>
  <c r="G11389" i="1"/>
  <c r="D11389" i="1"/>
  <c r="G11388" i="1"/>
  <c r="D11388" i="1"/>
  <c r="G11387" i="1"/>
  <c r="D11387" i="1"/>
  <c r="G11386" i="1"/>
  <c r="D11386" i="1"/>
  <c r="G11385" i="1"/>
  <c r="D11385" i="1"/>
  <c r="G11384" i="1"/>
  <c r="D11384" i="1"/>
  <c r="G11383" i="1"/>
  <c r="D11383" i="1"/>
  <c r="G11382" i="1"/>
  <c r="D11382" i="1"/>
  <c r="G11381" i="1"/>
  <c r="D11381" i="1"/>
  <c r="G11380" i="1"/>
  <c r="D11380" i="1"/>
  <c r="G11379" i="1"/>
  <c r="D11379" i="1"/>
  <c r="G11378" i="1"/>
  <c r="D11378" i="1"/>
  <c r="G11377" i="1"/>
  <c r="D11377" i="1"/>
  <c r="G11376" i="1"/>
  <c r="D11376" i="1"/>
  <c r="G11375" i="1"/>
  <c r="D11375" i="1"/>
  <c r="G11374" i="1"/>
  <c r="D11374" i="1"/>
  <c r="G11373" i="1"/>
  <c r="D11373" i="1"/>
  <c r="G11372" i="1"/>
  <c r="D11372" i="1"/>
  <c r="G11371" i="1"/>
  <c r="D11371" i="1"/>
  <c r="G11370" i="1"/>
  <c r="D11370" i="1"/>
  <c r="G11369" i="1"/>
  <c r="D11369" i="1"/>
  <c r="G11368" i="1"/>
  <c r="D11368" i="1"/>
  <c r="G11367" i="1"/>
  <c r="D11367" i="1"/>
  <c r="G11366" i="1"/>
  <c r="D11366" i="1"/>
  <c r="G11365" i="1"/>
  <c r="D11365" i="1"/>
  <c r="G11364" i="1"/>
  <c r="D11364" i="1"/>
  <c r="G11363" i="1"/>
  <c r="D11363" i="1"/>
  <c r="G11362" i="1"/>
  <c r="D11362" i="1"/>
  <c r="G11361" i="1"/>
  <c r="D11361" i="1"/>
  <c r="G11360" i="1"/>
  <c r="D11360" i="1"/>
  <c r="G11359" i="1"/>
  <c r="D11359" i="1"/>
  <c r="G11358" i="1"/>
  <c r="D11358" i="1"/>
  <c r="G11357" i="1"/>
  <c r="D11357" i="1"/>
  <c r="G11356" i="1"/>
  <c r="D11356" i="1"/>
  <c r="G11355" i="1"/>
  <c r="D11355" i="1"/>
  <c r="G11354" i="1"/>
  <c r="D11354" i="1"/>
  <c r="G11353" i="1"/>
  <c r="D11353" i="1"/>
  <c r="G11352" i="1"/>
  <c r="D11352" i="1"/>
  <c r="G11351" i="1"/>
  <c r="D11351" i="1"/>
  <c r="G11350" i="1"/>
  <c r="D11350" i="1"/>
  <c r="G11349" i="1"/>
  <c r="D11349" i="1"/>
  <c r="G11348" i="1"/>
  <c r="D11348" i="1"/>
  <c r="G11347" i="1"/>
  <c r="D11347" i="1"/>
  <c r="G11346" i="1"/>
  <c r="D11346" i="1"/>
  <c r="G11345" i="1"/>
  <c r="D11345" i="1"/>
  <c r="G11344" i="1"/>
  <c r="D11344" i="1"/>
  <c r="G11343" i="1"/>
  <c r="D11343" i="1"/>
  <c r="G11342" i="1"/>
  <c r="D11342" i="1"/>
  <c r="G11341" i="1"/>
  <c r="D11341" i="1"/>
  <c r="G11340" i="1"/>
  <c r="D11340" i="1"/>
  <c r="G11339" i="1"/>
  <c r="D11339" i="1"/>
  <c r="G11338" i="1"/>
  <c r="D11338" i="1"/>
  <c r="G11337" i="1"/>
  <c r="D11337" i="1"/>
  <c r="G11336" i="1"/>
  <c r="D11336" i="1"/>
  <c r="G11335" i="1"/>
  <c r="D11335" i="1"/>
  <c r="G11334" i="1"/>
  <c r="D11334" i="1"/>
  <c r="G11333" i="1"/>
  <c r="D11333" i="1"/>
  <c r="G11332" i="1"/>
  <c r="D11332" i="1"/>
  <c r="G11331" i="1"/>
  <c r="D11331" i="1"/>
  <c r="G11330" i="1"/>
  <c r="D11330" i="1"/>
  <c r="G11329" i="1"/>
  <c r="D11329" i="1"/>
  <c r="G11328" i="1"/>
  <c r="D11328" i="1"/>
  <c r="G11327" i="1"/>
  <c r="D11327" i="1"/>
  <c r="G11326" i="1"/>
  <c r="D11326" i="1"/>
  <c r="G11325" i="1"/>
  <c r="D11325" i="1"/>
  <c r="G11324" i="1"/>
  <c r="D11324" i="1"/>
  <c r="G11323" i="1"/>
  <c r="D11323" i="1"/>
  <c r="G11322" i="1"/>
  <c r="D11322" i="1"/>
  <c r="G11321" i="1"/>
  <c r="D11321" i="1"/>
  <c r="G11320" i="1"/>
  <c r="D11320" i="1"/>
  <c r="G11319" i="1"/>
  <c r="D11319" i="1"/>
  <c r="G11318" i="1"/>
  <c r="D11318" i="1"/>
  <c r="G11317" i="1"/>
  <c r="D11317" i="1"/>
  <c r="G11316" i="1"/>
  <c r="D11316" i="1"/>
  <c r="G11315" i="1"/>
  <c r="D11315" i="1"/>
  <c r="G11314" i="1"/>
  <c r="D11314" i="1"/>
  <c r="G11313" i="1"/>
  <c r="D11313" i="1"/>
  <c r="G11312" i="1"/>
  <c r="D11312" i="1"/>
  <c r="G11311" i="1"/>
  <c r="D11311" i="1"/>
  <c r="G11310" i="1"/>
  <c r="D11310" i="1"/>
  <c r="G11309" i="1"/>
  <c r="D11309" i="1"/>
  <c r="G11308" i="1"/>
  <c r="D11308" i="1"/>
  <c r="G11307" i="1"/>
  <c r="D11307" i="1"/>
  <c r="G11306" i="1"/>
  <c r="D11306" i="1"/>
  <c r="G11305" i="1"/>
  <c r="D11305" i="1"/>
  <c r="G11304" i="1"/>
  <c r="D11304" i="1"/>
  <c r="G11303" i="1"/>
  <c r="D11303" i="1"/>
  <c r="G11302" i="1"/>
  <c r="D11302" i="1"/>
  <c r="G11301" i="1"/>
  <c r="D11301" i="1"/>
  <c r="G11300" i="1"/>
  <c r="D11300" i="1"/>
  <c r="G11299" i="1"/>
  <c r="D11299" i="1"/>
  <c r="G11298" i="1"/>
  <c r="D11298" i="1"/>
  <c r="G11297" i="1"/>
  <c r="D11297" i="1"/>
  <c r="G11296" i="1"/>
  <c r="D11296" i="1"/>
  <c r="G11295" i="1"/>
  <c r="D11295" i="1"/>
  <c r="G11294" i="1"/>
  <c r="D11294" i="1"/>
  <c r="G11293" i="1"/>
  <c r="D11293" i="1"/>
  <c r="G11292" i="1"/>
  <c r="D11292" i="1"/>
  <c r="G11291" i="1"/>
  <c r="D11291" i="1"/>
  <c r="G11290" i="1"/>
  <c r="D11290" i="1"/>
  <c r="G11289" i="1"/>
  <c r="D11289" i="1"/>
  <c r="G11288" i="1"/>
  <c r="D11288" i="1"/>
  <c r="G11287" i="1"/>
  <c r="D11287" i="1"/>
  <c r="G11286" i="1"/>
  <c r="D11286" i="1"/>
  <c r="G11285" i="1"/>
  <c r="D11285" i="1"/>
  <c r="G11284" i="1"/>
  <c r="D11284" i="1"/>
  <c r="G11283" i="1"/>
  <c r="D11283" i="1"/>
  <c r="G11282" i="1"/>
  <c r="D11282" i="1"/>
  <c r="G11281" i="1"/>
  <c r="D11281" i="1"/>
  <c r="G11280" i="1"/>
  <c r="D11280" i="1"/>
  <c r="G11279" i="1"/>
  <c r="D11279" i="1"/>
  <c r="G11278" i="1"/>
  <c r="D11278" i="1"/>
  <c r="G11277" i="1"/>
  <c r="D11277" i="1"/>
  <c r="G11276" i="1"/>
  <c r="D11276" i="1"/>
  <c r="G11275" i="1"/>
  <c r="D11275" i="1"/>
  <c r="G11274" i="1"/>
  <c r="D11274" i="1"/>
  <c r="G11273" i="1"/>
  <c r="D11273" i="1"/>
  <c r="G11272" i="1"/>
  <c r="D11272" i="1"/>
  <c r="G11271" i="1"/>
  <c r="D11271" i="1"/>
  <c r="G11270" i="1"/>
  <c r="D11270" i="1"/>
  <c r="G11269" i="1"/>
  <c r="D11269" i="1"/>
  <c r="G11268" i="1"/>
  <c r="D11268" i="1"/>
  <c r="G11267" i="1"/>
  <c r="D11267" i="1"/>
  <c r="G11266" i="1"/>
  <c r="D11266" i="1"/>
  <c r="G11265" i="1"/>
  <c r="D11265" i="1"/>
  <c r="G11264" i="1"/>
  <c r="D11264" i="1"/>
  <c r="G11263" i="1"/>
  <c r="D11263" i="1"/>
  <c r="G11262" i="1"/>
  <c r="D11262" i="1"/>
  <c r="G11261" i="1"/>
  <c r="D11261" i="1"/>
  <c r="G11260" i="1"/>
  <c r="D11260" i="1"/>
  <c r="G11259" i="1"/>
  <c r="D11259" i="1"/>
  <c r="G11258" i="1"/>
  <c r="D11258" i="1"/>
  <c r="G11257" i="1"/>
  <c r="D11257" i="1"/>
  <c r="G11256" i="1"/>
  <c r="D11256" i="1"/>
  <c r="G11255" i="1"/>
  <c r="D11255" i="1"/>
  <c r="G11254" i="1"/>
  <c r="D11254" i="1"/>
  <c r="G11253" i="1"/>
  <c r="D11253" i="1"/>
  <c r="G11252" i="1"/>
  <c r="D11252" i="1"/>
  <c r="G11251" i="1"/>
  <c r="D11251" i="1"/>
  <c r="G11250" i="1"/>
  <c r="D11250" i="1"/>
  <c r="G11249" i="1"/>
  <c r="D11249" i="1"/>
  <c r="G11248" i="1"/>
  <c r="D11248" i="1"/>
  <c r="G11247" i="1"/>
  <c r="D11247" i="1"/>
  <c r="G11246" i="1"/>
  <c r="D11246" i="1"/>
  <c r="G11245" i="1"/>
  <c r="D11245" i="1"/>
  <c r="G11244" i="1"/>
  <c r="D11244" i="1"/>
  <c r="G11243" i="1"/>
  <c r="D11243" i="1"/>
  <c r="G11242" i="1"/>
  <c r="D11242" i="1"/>
  <c r="G11241" i="1"/>
  <c r="D11241" i="1"/>
  <c r="G11240" i="1"/>
  <c r="D11240" i="1"/>
  <c r="G11239" i="1"/>
  <c r="D11239" i="1"/>
  <c r="G11238" i="1"/>
  <c r="D11238" i="1"/>
  <c r="G11237" i="1"/>
  <c r="D11237" i="1"/>
  <c r="G11236" i="1"/>
  <c r="D11236" i="1"/>
  <c r="G11235" i="1"/>
  <c r="D11235" i="1"/>
  <c r="G11234" i="1"/>
  <c r="D11234" i="1"/>
  <c r="G11233" i="1"/>
  <c r="D11233" i="1"/>
  <c r="G11232" i="1"/>
  <c r="D11232" i="1"/>
  <c r="G11231" i="1"/>
  <c r="D11231" i="1"/>
  <c r="G11230" i="1"/>
  <c r="D11230" i="1"/>
  <c r="G11229" i="1"/>
  <c r="D11229" i="1"/>
  <c r="G11228" i="1"/>
  <c r="D11228" i="1"/>
  <c r="G11227" i="1"/>
  <c r="D11227" i="1"/>
  <c r="G11226" i="1"/>
  <c r="D11226" i="1"/>
  <c r="G11225" i="1"/>
  <c r="D11225" i="1"/>
  <c r="G11224" i="1"/>
  <c r="D11224" i="1"/>
  <c r="G11223" i="1"/>
  <c r="D11223" i="1"/>
  <c r="G11222" i="1"/>
  <c r="D11222" i="1"/>
  <c r="G11221" i="1"/>
  <c r="D11221" i="1"/>
  <c r="G11220" i="1"/>
  <c r="D11220" i="1"/>
  <c r="G11219" i="1"/>
  <c r="D11219" i="1"/>
  <c r="G11218" i="1"/>
  <c r="D11218" i="1"/>
  <c r="G11217" i="1"/>
  <c r="D11217" i="1"/>
  <c r="G11216" i="1"/>
  <c r="D11216" i="1"/>
  <c r="G11215" i="1"/>
  <c r="D11215" i="1"/>
  <c r="G11214" i="1"/>
  <c r="D11214" i="1"/>
  <c r="G11213" i="1"/>
  <c r="D11213" i="1"/>
  <c r="G11212" i="1"/>
  <c r="D11212" i="1"/>
  <c r="G11211" i="1"/>
  <c r="D11211" i="1"/>
  <c r="G11210" i="1"/>
  <c r="D11210" i="1"/>
  <c r="G11209" i="1"/>
  <c r="D11209" i="1"/>
  <c r="G11208" i="1"/>
  <c r="D11208" i="1"/>
  <c r="G11207" i="1"/>
  <c r="D11207" i="1"/>
  <c r="G11206" i="1"/>
  <c r="D11206" i="1"/>
  <c r="G11205" i="1"/>
  <c r="D11205" i="1"/>
  <c r="G11204" i="1"/>
  <c r="D11204" i="1"/>
  <c r="G11203" i="1"/>
  <c r="D11203" i="1"/>
  <c r="G11202" i="1"/>
  <c r="D11202" i="1"/>
  <c r="G11201" i="1"/>
  <c r="D11201" i="1"/>
  <c r="G11200" i="1"/>
  <c r="D11200" i="1"/>
  <c r="G11199" i="1"/>
  <c r="D11199" i="1"/>
  <c r="G11198" i="1"/>
  <c r="D11198" i="1"/>
  <c r="G11197" i="1"/>
  <c r="D11197" i="1"/>
  <c r="G11196" i="1"/>
  <c r="D11196" i="1"/>
  <c r="G11195" i="1"/>
  <c r="D11195" i="1"/>
  <c r="G11194" i="1"/>
  <c r="D11194" i="1"/>
  <c r="G11193" i="1"/>
  <c r="D11193" i="1"/>
  <c r="G11192" i="1"/>
  <c r="D11192" i="1"/>
  <c r="G11191" i="1"/>
  <c r="D11191" i="1"/>
  <c r="G11190" i="1"/>
  <c r="D11190" i="1"/>
  <c r="G11189" i="1"/>
  <c r="D11189" i="1"/>
  <c r="G11188" i="1"/>
  <c r="D11188" i="1"/>
  <c r="G11187" i="1"/>
  <c r="D11187" i="1"/>
  <c r="G11186" i="1"/>
  <c r="D11186" i="1"/>
  <c r="G11185" i="1"/>
  <c r="D11185" i="1"/>
  <c r="G11184" i="1"/>
  <c r="D11184" i="1"/>
  <c r="G11183" i="1"/>
  <c r="D11183" i="1"/>
  <c r="G11182" i="1"/>
  <c r="D11182" i="1"/>
  <c r="G11181" i="1"/>
  <c r="D11181" i="1"/>
  <c r="G11180" i="1"/>
  <c r="D11180" i="1"/>
  <c r="G11179" i="1"/>
  <c r="D11179" i="1"/>
  <c r="G11178" i="1"/>
  <c r="D11178" i="1"/>
  <c r="G11177" i="1"/>
  <c r="D11177" i="1"/>
  <c r="G11176" i="1"/>
  <c r="D11176" i="1"/>
  <c r="G11175" i="1"/>
  <c r="D11175" i="1"/>
  <c r="G11174" i="1"/>
  <c r="D11174" i="1"/>
  <c r="G11173" i="1"/>
  <c r="D11173" i="1"/>
  <c r="G11172" i="1"/>
  <c r="D11172" i="1"/>
  <c r="G11171" i="1"/>
  <c r="D11171" i="1"/>
  <c r="G11170" i="1"/>
  <c r="D11170" i="1"/>
  <c r="G11169" i="1"/>
  <c r="D11169" i="1"/>
  <c r="G11168" i="1"/>
  <c r="D11168" i="1"/>
  <c r="G11167" i="1"/>
  <c r="D11167" i="1"/>
  <c r="G11166" i="1"/>
  <c r="D11166" i="1"/>
  <c r="G11165" i="1"/>
  <c r="D11165" i="1"/>
  <c r="G11164" i="1"/>
  <c r="D11164" i="1"/>
  <c r="G11163" i="1"/>
  <c r="D11163" i="1"/>
  <c r="G11162" i="1"/>
  <c r="D11162" i="1"/>
  <c r="G11161" i="1"/>
  <c r="D11161" i="1"/>
  <c r="G11160" i="1"/>
  <c r="D11160" i="1"/>
  <c r="G11159" i="1"/>
  <c r="D11159" i="1"/>
  <c r="G11158" i="1"/>
  <c r="D11158" i="1"/>
  <c r="G11157" i="1"/>
  <c r="D11157" i="1"/>
  <c r="G11156" i="1"/>
  <c r="D11156" i="1"/>
  <c r="G11155" i="1"/>
  <c r="D11155" i="1"/>
  <c r="G11154" i="1"/>
  <c r="D11154" i="1"/>
  <c r="G11153" i="1"/>
  <c r="D11153" i="1"/>
  <c r="G11152" i="1"/>
  <c r="D11152" i="1"/>
  <c r="G11151" i="1"/>
  <c r="D11151" i="1"/>
  <c r="G11150" i="1"/>
  <c r="D11150" i="1"/>
  <c r="G11149" i="1"/>
  <c r="D11149" i="1"/>
  <c r="G11148" i="1"/>
  <c r="D11148" i="1"/>
  <c r="G11147" i="1"/>
  <c r="D11147" i="1"/>
  <c r="G11146" i="1"/>
  <c r="D11146" i="1"/>
  <c r="G11145" i="1"/>
  <c r="D11145" i="1"/>
  <c r="G11144" i="1"/>
  <c r="D11144" i="1"/>
  <c r="G11143" i="1"/>
  <c r="D11143" i="1"/>
  <c r="G11142" i="1"/>
  <c r="D11142" i="1"/>
  <c r="G11141" i="1"/>
  <c r="D11141" i="1"/>
  <c r="G11140" i="1"/>
  <c r="D11140" i="1"/>
  <c r="G11139" i="1"/>
  <c r="D11139" i="1"/>
  <c r="G11138" i="1"/>
  <c r="D11138" i="1"/>
  <c r="G11137" i="1"/>
  <c r="D11137" i="1"/>
  <c r="G11136" i="1"/>
  <c r="D11136" i="1"/>
  <c r="G11135" i="1"/>
  <c r="D11135" i="1"/>
  <c r="G11134" i="1"/>
  <c r="D11134" i="1"/>
  <c r="G11133" i="1"/>
  <c r="D11133" i="1"/>
  <c r="G11132" i="1"/>
  <c r="D11132" i="1"/>
  <c r="G11131" i="1"/>
  <c r="D11131" i="1"/>
  <c r="G11130" i="1"/>
  <c r="D11130" i="1"/>
  <c r="G11129" i="1"/>
  <c r="D11129" i="1"/>
  <c r="G11128" i="1"/>
  <c r="D11128" i="1"/>
  <c r="G11127" i="1"/>
  <c r="D11127" i="1"/>
  <c r="G11126" i="1"/>
  <c r="D11126" i="1"/>
  <c r="G11125" i="1"/>
  <c r="D11125" i="1"/>
  <c r="G11124" i="1"/>
  <c r="D11124" i="1"/>
  <c r="G11123" i="1"/>
  <c r="D11123" i="1"/>
  <c r="G11122" i="1"/>
  <c r="D11122" i="1"/>
  <c r="G11121" i="1"/>
  <c r="D11121" i="1"/>
  <c r="G11120" i="1"/>
  <c r="D11120" i="1"/>
  <c r="G11119" i="1"/>
  <c r="D11119" i="1"/>
  <c r="G11118" i="1"/>
  <c r="D11118" i="1"/>
  <c r="G11117" i="1"/>
  <c r="D11117" i="1"/>
  <c r="G11116" i="1"/>
  <c r="D11116" i="1"/>
  <c r="G11115" i="1"/>
  <c r="D11115" i="1"/>
  <c r="G11114" i="1"/>
  <c r="D11114" i="1"/>
  <c r="G11113" i="1"/>
  <c r="D11113" i="1"/>
  <c r="G11112" i="1"/>
  <c r="D11112" i="1"/>
  <c r="G11111" i="1"/>
  <c r="D11111" i="1"/>
  <c r="G11110" i="1"/>
  <c r="D11110" i="1"/>
  <c r="G11109" i="1"/>
  <c r="D11109" i="1"/>
  <c r="G11108" i="1"/>
  <c r="D11108" i="1"/>
  <c r="G11107" i="1"/>
  <c r="D11107" i="1"/>
  <c r="G11106" i="1"/>
  <c r="D11106" i="1"/>
  <c r="G11105" i="1"/>
  <c r="D11105" i="1"/>
  <c r="G11104" i="1"/>
  <c r="D11104" i="1"/>
  <c r="G11103" i="1"/>
  <c r="D11103" i="1"/>
  <c r="G11102" i="1"/>
  <c r="D11102" i="1"/>
  <c r="G11101" i="1"/>
  <c r="D11101" i="1"/>
  <c r="G11100" i="1"/>
  <c r="D11100" i="1"/>
  <c r="G11099" i="1"/>
  <c r="D11099" i="1"/>
  <c r="G11098" i="1"/>
  <c r="D11098" i="1"/>
  <c r="G11097" i="1"/>
  <c r="D11097" i="1"/>
  <c r="G11096" i="1"/>
  <c r="D11096" i="1"/>
  <c r="G11095" i="1"/>
  <c r="D11095" i="1"/>
  <c r="G11094" i="1"/>
  <c r="D11094" i="1"/>
  <c r="G11093" i="1"/>
  <c r="D11093" i="1"/>
  <c r="G11092" i="1"/>
  <c r="D11092" i="1"/>
  <c r="G11091" i="1"/>
  <c r="D11091" i="1"/>
  <c r="G11090" i="1"/>
  <c r="D11090" i="1"/>
  <c r="G11089" i="1"/>
  <c r="D11089" i="1"/>
  <c r="G11088" i="1"/>
  <c r="D11088" i="1"/>
  <c r="G11087" i="1"/>
  <c r="D11087" i="1"/>
  <c r="G11086" i="1"/>
  <c r="D11086" i="1"/>
  <c r="G11085" i="1"/>
  <c r="D11085" i="1"/>
  <c r="G11084" i="1"/>
  <c r="D11084" i="1"/>
  <c r="G11083" i="1"/>
  <c r="D11083" i="1"/>
  <c r="G11082" i="1"/>
  <c r="D11082" i="1"/>
  <c r="G11081" i="1"/>
  <c r="D11081" i="1"/>
  <c r="G11080" i="1"/>
  <c r="D11080" i="1"/>
  <c r="G11079" i="1"/>
  <c r="D11079" i="1"/>
  <c r="G11078" i="1"/>
  <c r="D11078" i="1"/>
  <c r="G11077" i="1"/>
  <c r="D11077" i="1"/>
  <c r="G11076" i="1"/>
  <c r="D11076" i="1"/>
  <c r="G11075" i="1"/>
  <c r="D11075" i="1"/>
  <c r="G11074" i="1"/>
  <c r="D11074" i="1"/>
  <c r="G11073" i="1"/>
  <c r="D11073" i="1"/>
  <c r="G11072" i="1"/>
  <c r="D11072" i="1"/>
  <c r="G11071" i="1"/>
  <c r="D11071" i="1"/>
  <c r="G11070" i="1"/>
  <c r="D11070" i="1"/>
  <c r="G11069" i="1"/>
  <c r="D11069" i="1"/>
  <c r="G11068" i="1"/>
  <c r="D11068" i="1"/>
  <c r="G11067" i="1"/>
  <c r="D11067" i="1"/>
  <c r="G11066" i="1"/>
  <c r="D11066" i="1"/>
  <c r="G11065" i="1"/>
  <c r="D11065" i="1"/>
  <c r="G11064" i="1"/>
  <c r="D11064" i="1"/>
  <c r="G11063" i="1"/>
  <c r="D11063" i="1"/>
  <c r="G11062" i="1"/>
  <c r="D11062" i="1"/>
  <c r="G11061" i="1"/>
  <c r="D11061" i="1"/>
  <c r="G11060" i="1"/>
  <c r="D11060" i="1"/>
  <c r="G11059" i="1"/>
  <c r="D11059" i="1"/>
  <c r="G11058" i="1"/>
  <c r="D11058" i="1"/>
  <c r="G11057" i="1"/>
  <c r="D11057" i="1"/>
  <c r="G11056" i="1"/>
  <c r="D11056" i="1"/>
  <c r="G11055" i="1"/>
  <c r="D11055" i="1"/>
  <c r="G11054" i="1"/>
  <c r="D11054" i="1"/>
  <c r="G11053" i="1"/>
  <c r="D11053" i="1"/>
  <c r="G11052" i="1"/>
  <c r="D11052" i="1"/>
  <c r="G11051" i="1"/>
  <c r="D11051" i="1"/>
  <c r="G11050" i="1"/>
  <c r="D11050" i="1"/>
  <c r="G11049" i="1"/>
  <c r="D11049" i="1"/>
  <c r="G11048" i="1"/>
  <c r="D11048" i="1"/>
  <c r="G11047" i="1"/>
  <c r="D11047" i="1"/>
  <c r="G11046" i="1"/>
  <c r="D11046" i="1"/>
  <c r="G11045" i="1"/>
  <c r="D11045" i="1"/>
  <c r="G11044" i="1"/>
  <c r="D11044" i="1"/>
  <c r="G11043" i="1"/>
  <c r="D11043" i="1"/>
  <c r="G11042" i="1"/>
  <c r="D11042" i="1"/>
  <c r="G11041" i="1"/>
  <c r="D11041" i="1"/>
  <c r="G11040" i="1"/>
  <c r="D11040" i="1"/>
  <c r="G11039" i="1"/>
  <c r="D11039" i="1"/>
  <c r="G11038" i="1"/>
  <c r="D11038" i="1"/>
  <c r="G11037" i="1"/>
  <c r="D11037" i="1"/>
  <c r="G11036" i="1"/>
  <c r="D11036" i="1"/>
  <c r="G11035" i="1"/>
  <c r="D11035" i="1"/>
  <c r="G11034" i="1"/>
  <c r="D11034" i="1"/>
  <c r="G11033" i="1"/>
  <c r="D11033" i="1"/>
  <c r="G11032" i="1"/>
  <c r="D11032" i="1"/>
  <c r="G11031" i="1"/>
  <c r="D11031" i="1"/>
  <c r="G11030" i="1"/>
  <c r="D11030" i="1"/>
  <c r="G11029" i="1"/>
  <c r="D11029" i="1"/>
  <c r="G11028" i="1"/>
  <c r="D11028" i="1"/>
  <c r="G11027" i="1"/>
  <c r="D11027" i="1"/>
  <c r="G11026" i="1"/>
  <c r="D11026" i="1"/>
  <c r="G11025" i="1"/>
  <c r="D11025" i="1"/>
  <c r="G11024" i="1"/>
  <c r="D11024" i="1"/>
  <c r="G11023" i="1"/>
  <c r="D11023" i="1"/>
  <c r="G11022" i="1"/>
  <c r="D11022" i="1"/>
  <c r="G11021" i="1"/>
  <c r="D11021" i="1"/>
  <c r="G11020" i="1"/>
  <c r="D11020" i="1"/>
  <c r="G11019" i="1"/>
  <c r="D11019" i="1"/>
  <c r="G11018" i="1"/>
  <c r="D11018" i="1"/>
  <c r="G11017" i="1"/>
  <c r="D11017" i="1"/>
  <c r="G11016" i="1"/>
  <c r="D11016" i="1"/>
  <c r="G11015" i="1"/>
  <c r="D11015" i="1"/>
  <c r="G11014" i="1"/>
  <c r="D11014" i="1"/>
  <c r="G11013" i="1"/>
  <c r="D11013" i="1"/>
  <c r="G11012" i="1"/>
  <c r="D11012" i="1"/>
  <c r="G11011" i="1"/>
  <c r="D11011" i="1"/>
  <c r="G11010" i="1"/>
  <c r="D11010" i="1"/>
  <c r="G11009" i="1"/>
  <c r="D11009" i="1"/>
  <c r="G11008" i="1"/>
  <c r="D11008" i="1"/>
  <c r="G11007" i="1"/>
  <c r="D11007" i="1"/>
  <c r="G11006" i="1"/>
  <c r="D11006" i="1"/>
  <c r="G11005" i="1"/>
  <c r="D11005" i="1"/>
  <c r="G11004" i="1"/>
  <c r="D11004" i="1"/>
  <c r="G11003" i="1"/>
  <c r="D11003" i="1"/>
  <c r="G11002" i="1"/>
  <c r="D11002" i="1"/>
  <c r="G11001" i="1"/>
  <c r="D11001" i="1"/>
  <c r="G11000" i="1"/>
  <c r="D11000" i="1"/>
  <c r="G10999" i="1"/>
  <c r="D10999" i="1"/>
  <c r="G10998" i="1"/>
  <c r="D10998" i="1"/>
  <c r="G10997" i="1"/>
  <c r="D10997" i="1"/>
  <c r="G10996" i="1"/>
  <c r="D10996" i="1"/>
  <c r="G10995" i="1"/>
  <c r="D10995" i="1"/>
  <c r="G10994" i="1"/>
  <c r="D10994" i="1"/>
  <c r="G10993" i="1"/>
  <c r="D10993" i="1"/>
  <c r="G10992" i="1"/>
  <c r="D10992" i="1"/>
  <c r="G10991" i="1"/>
  <c r="D10991" i="1"/>
  <c r="G10990" i="1"/>
  <c r="D10990" i="1"/>
  <c r="G10989" i="1"/>
  <c r="D10989" i="1"/>
  <c r="G10988" i="1"/>
  <c r="D10988" i="1"/>
  <c r="G10987" i="1"/>
  <c r="D10987" i="1"/>
  <c r="G10986" i="1"/>
  <c r="D10986" i="1"/>
  <c r="G10985" i="1"/>
  <c r="D10985" i="1"/>
  <c r="G10984" i="1"/>
  <c r="D10984" i="1"/>
  <c r="G10983" i="1"/>
  <c r="D10983" i="1"/>
  <c r="G10982" i="1"/>
  <c r="D10982" i="1"/>
  <c r="G10981" i="1"/>
  <c r="D10981" i="1"/>
  <c r="G10980" i="1"/>
  <c r="D10980" i="1"/>
  <c r="G10979" i="1"/>
  <c r="D10979" i="1"/>
  <c r="G10978" i="1"/>
  <c r="D10978" i="1"/>
  <c r="G10977" i="1"/>
  <c r="D10977" i="1"/>
  <c r="G10976" i="1"/>
  <c r="D10976" i="1"/>
  <c r="G10975" i="1"/>
  <c r="D10975" i="1"/>
  <c r="G10974" i="1"/>
  <c r="D10974" i="1"/>
  <c r="G10973" i="1"/>
  <c r="D10973" i="1"/>
  <c r="G10972" i="1"/>
  <c r="D10972" i="1"/>
  <c r="G10971" i="1"/>
  <c r="D10971" i="1"/>
  <c r="G10970" i="1"/>
  <c r="D10970" i="1"/>
  <c r="G10969" i="1"/>
  <c r="D10969" i="1"/>
  <c r="G10968" i="1"/>
  <c r="D10968" i="1"/>
  <c r="G10967" i="1"/>
  <c r="D10967" i="1"/>
  <c r="G10966" i="1"/>
  <c r="D10966" i="1"/>
  <c r="G10965" i="1"/>
  <c r="D10965" i="1"/>
  <c r="G10964" i="1"/>
  <c r="D10964" i="1"/>
  <c r="G10963" i="1"/>
  <c r="D10963" i="1"/>
  <c r="G10962" i="1"/>
  <c r="D10962" i="1"/>
  <c r="G10961" i="1"/>
  <c r="D10961" i="1"/>
  <c r="G10960" i="1"/>
  <c r="D10960" i="1"/>
  <c r="G10959" i="1"/>
  <c r="D10959" i="1"/>
  <c r="G10958" i="1"/>
  <c r="D10958" i="1"/>
  <c r="G10957" i="1"/>
  <c r="D10957" i="1"/>
  <c r="G10956" i="1"/>
  <c r="D10956" i="1"/>
  <c r="G10955" i="1"/>
  <c r="D10955" i="1"/>
  <c r="G10954" i="1"/>
  <c r="D10954" i="1"/>
  <c r="G10953" i="1"/>
  <c r="D10953" i="1"/>
  <c r="G10952" i="1"/>
  <c r="D10952" i="1"/>
  <c r="G10951" i="1"/>
  <c r="D10951" i="1"/>
  <c r="G10950" i="1"/>
  <c r="D10950" i="1"/>
  <c r="G10949" i="1"/>
  <c r="D10949" i="1"/>
  <c r="G10948" i="1"/>
  <c r="D10948" i="1"/>
  <c r="G10947" i="1"/>
  <c r="D10947" i="1"/>
  <c r="G10946" i="1"/>
  <c r="D10946" i="1"/>
  <c r="G10945" i="1"/>
  <c r="D10945" i="1"/>
  <c r="G10944" i="1"/>
  <c r="D10944" i="1"/>
  <c r="G10943" i="1"/>
  <c r="D10943" i="1"/>
  <c r="G10942" i="1"/>
  <c r="D10942" i="1"/>
  <c r="G10941" i="1"/>
  <c r="D10941" i="1"/>
  <c r="G10940" i="1"/>
  <c r="D10940" i="1"/>
  <c r="G10939" i="1"/>
  <c r="D10939" i="1"/>
  <c r="G10938" i="1"/>
  <c r="D10938" i="1"/>
  <c r="G10937" i="1"/>
  <c r="D10937" i="1"/>
  <c r="G10936" i="1"/>
  <c r="D10936" i="1"/>
  <c r="G10935" i="1"/>
  <c r="D10935" i="1"/>
  <c r="G10934" i="1"/>
  <c r="D10934" i="1"/>
  <c r="G10933" i="1"/>
  <c r="D10933" i="1"/>
  <c r="G10932" i="1"/>
  <c r="D10932" i="1"/>
  <c r="G10931" i="1"/>
  <c r="D10931" i="1"/>
  <c r="G10930" i="1"/>
  <c r="D10930" i="1"/>
  <c r="G10929" i="1"/>
  <c r="D10929" i="1"/>
  <c r="G10928" i="1"/>
  <c r="D10928" i="1"/>
  <c r="G10927" i="1"/>
  <c r="D10927" i="1"/>
  <c r="G10926" i="1"/>
  <c r="D10926" i="1"/>
  <c r="G10925" i="1"/>
  <c r="D10925" i="1"/>
  <c r="G10924" i="1"/>
  <c r="D10924" i="1"/>
  <c r="G10923" i="1"/>
  <c r="D10923" i="1"/>
  <c r="G10922" i="1"/>
  <c r="D10922" i="1"/>
  <c r="G10921" i="1"/>
  <c r="D10921" i="1"/>
  <c r="G10920" i="1"/>
  <c r="D10920" i="1"/>
  <c r="G10919" i="1"/>
  <c r="D10919" i="1"/>
  <c r="G10918" i="1"/>
  <c r="D10918" i="1"/>
  <c r="G10917" i="1"/>
  <c r="D10917" i="1"/>
  <c r="G10916" i="1"/>
  <c r="D10916" i="1"/>
  <c r="G10915" i="1"/>
  <c r="D10915" i="1"/>
  <c r="G10914" i="1"/>
  <c r="D10914" i="1"/>
  <c r="G10913" i="1"/>
  <c r="D10913" i="1"/>
  <c r="G10912" i="1"/>
  <c r="D10912" i="1"/>
  <c r="G10911" i="1"/>
  <c r="D10911" i="1"/>
  <c r="G10910" i="1"/>
  <c r="D10910" i="1"/>
  <c r="G10909" i="1"/>
  <c r="D10909" i="1"/>
  <c r="G10908" i="1"/>
  <c r="D10908" i="1"/>
  <c r="G10907" i="1"/>
  <c r="D10907" i="1"/>
  <c r="G10906" i="1"/>
  <c r="D10906" i="1"/>
  <c r="G10905" i="1"/>
  <c r="D10905" i="1"/>
  <c r="G10904" i="1"/>
  <c r="D10904" i="1"/>
  <c r="G10903" i="1"/>
  <c r="D10903" i="1"/>
  <c r="G10902" i="1"/>
  <c r="D10902" i="1"/>
  <c r="G10901" i="1"/>
  <c r="D10901" i="1"/>
  <c r="G10900" i="1"/>
  <c r="D10900" i="1"/>
  <c r="G10899" i="1"/>
  <c r="D10899" i="1"/>
  <c r="G10898" i="1"/>
  <c r="D10898" i="1"/>
  <c r="G10897" i="1"/>
  <c r="D10897" i="1"/>
  <c r="G10896" i="1"/>
  <c r="D10896" i="1"/>
  <c r="G10895" i="1"/>
  <c r="D10895" i="1"/>
  <c r="G10894" i="1"/>
  <c r="D10894" i="1"/>
  <c r="G10893" i="1"/>
  <c r="D10893" i="1"/>
  <c r="G10892" i="1"/>
  <c r="D10892" i="1"/>
  <c r="G10891" i="1"/>
  <c r="D10891" i="1"/>
  <c r="G10890" i="1"/>
  <c r="D10890" i="1"/>
  <c r="G10889" i="1"/>
  <c r="D10889" i="1"/>
  <c r="G10888" i="1"/>
  <c r="D10888" i="1"/>
  <c r="G10887" i="1"/>
  <c r="D10887" i="1"/>
  <c r="G10886" i="1"/>
  <c r="D10886" i="1"/>
  <c r="G10885" i="1"/>
  <c r="D10885" i="1"/>
  <c r="G10884" i="1"/>
  <c r="D10884" i="1"/>
  <c r="G10883" i="1"/>
  <c r="D10883" i="1"/>
  <c r="G10882" i="1"/>
  <c r="D10882" i="1"/>
  <c r="G10881" i="1"/>
  <c r="D10881" i="1"/>
  <c r="G10880" i="1"/>
  <c r="D10880" i="1"/>
  <c r="G10879" i="1"/>
  <c r="D10879" i="1"/>
  <c r="G10878" i="1"/>
  <c r="D10878" i="1"/>
  <c r="G10877" i="1"/>
  <c r="D10877" i="1"/>
  <c r="G10876" i="1"/>
  <c r="D10876" i="1"/>
  <c r="G10875" i="1"/>
  <c r="D10875" i="1"/>
  <c r="G10874" i="1"/>
  <c r="D10874" i="1"/>
  <c r="G10873" i="1"/>
  <c r="D10873" i="1"/>
  <c r="G10872" i="1"/>
  <c r="D10872" i="1"/>
  <c r="G10871" i="1"/>
  <c r="D10871" i="1"/>
  <c r="G10870" i="1"/>
  <c r="D10870" i="1"/>
  <c r="G10869" i="1"/>
  <c r="D10869" i="1"/>
  <c r="G10868" i="1"/>
  <c r="D10868" i="1"/>
  <c r="G10867" i="1"/>
  <c r="D10867" i="1"/>
  <c r="G10866" i="1"/>
  <c r="D10866" i="1"/>
  <c r="G10865" i="1"/>
  <c r="D10865" i="1"/>
  <c r="G10864" i="1"/>
  <c r="D10864" i="1"/>
  <c r="G10863" i="1"/>
  <c r="D10863" i="1"/>
  <c r="G10862" i="1"/>
  <c r="D10862" i="1"/>
  <c r="G10861" i="1"/>
  <c r="D10861" i="1"/>
  <c r="G10860" i="1"/>
  <c r="D10860" i="1"/>
  <c r="G10859" i="1"/>
  <c r="D10859" i="1"/>
  <c r="G10858" i="1"/>
  <c r="D10858" i="1"/>
  <c r="G10857" i="1"/>
  <c r="D10857" i="1"/>
  <c r="G10856" i="1"/>
  <c r="D10856" i="1"/>
  <c r="G10855" i="1"/>
  <c r="D10855" i="1"/>
  <c r="G10854" i="1"/>
  <c r="D10854" i="1"/>
  <c r="G10853" i="1"/>
  <c r="D10853" i="1"/>
  <c r="G10852" i="1"/>
  <c r="D10852" i="1"/>
  <c r="G10851" i="1"/>
  <c r="D10851" i="1"/>
  <c r="G10850" i="1"/>
  <c r="D10850" i="1"/>
  <c r="G10849" i="1"/>
  <c r="D10849" i="1"/>
  <c r="G10848" i="1"/>
  <c r="D10848" i="1"/>
  <c r="G10847" i="1"/>
  <c r="D10847" i="1"/>
  <c r="G10846" i="1"/>
  <c r="D10846" i="1"/>
  <c r="G10845" i="1"/>
  <c r="D10845" i="1"/>
  <c r="G10844" i="1"/>
  <c r="D10844" i="1"/>
  <c r="G10843" i="1"/>
  <c r="D10843" i="1"/>
  <c r="G10842" i="1"/>
  <c r="D10842" i="1"/>
  <c r="G10841" i="1"/>
  <c r="D10841" i="1"/>
  <c r="G10840" i="1"/>
  <c r="D10840" i="1"/>
  <c r="G10839" i="1"/>
  <c r="D10839" i="1"/>
  <c r="G10838" i="1"/>
  <c r="D10838" i="1"/>
  <c r="G10837" i="1"/>
  <c r="D10837" i="1"/>
  <c r="G10836" i="1"/>
  <c r="D10836" i="1"/>
  <c r="G10835" i="1"/>
  <c r="D10835" i="1"/>
  <c r="G10834" i="1"/>
  <c r="D10834" i="1"/>
  <c r="G10833" i="1"/>
  <c r="D10833" i="1"/>
  <c r="G10832" i="1"/>
  <c r="D10832" i="1"/>
  <c r="G10831" i="1"/>
  <c r="D10831" i="1"/>
  <c r="G10830" i="1"/>
  <c r="D10830" i="1"/>
  <c r="G10829" i="1"/>
  <c r="D10829" i="1"/>
  <c r="G10828" i="1"/>
  <c r="D10828" i="1"/>
  <c r="G10827" i="1"/>
  <c r="D10827" i="1"/>
  <c r="G10826" i="1"/>
  <c r="D10826" i="1"/>
  <c r="G10825" i="1"/>
  <c r="D10825" i="1"/>
  <c r="G10824" i="1"/>
  <c r="D10824" i="1"/>
  <c r="G10823" i="1"/>
  <c r="D10823" i="1"/>
  <c r="G10822" i="1"/>
  <c r="D10822" i="1"/>
  <c r="G10821" i="1"/>
  <c r="D10821" i="1"/>
  <c r="G10820" i="1"/>
  <c r="D10820" i="1"/>
  <c r="G10819" i="1"/>
  <c r="D10819" i="1"/>
  <c r="G10818" i="1"/>
  <c r="D10818" i="1"/>
  <c r="G10817" i="1"/>
  <c r="D10817" i="1"/>
  <c r="G10816" i="1"/>
  <c r="D10816" i="1"/>
  <c r="G10815" i="1"/>
  <c r="D10815" i="1"/>
  <c r="G10814" i="1"/>
  <c r="D10814" i="1"/>
  <c r="G10813" i="1"/>
  <c r="D10813" i="1"/>
  <c r="G10812" i="1"/>
  <c r="D10812" i="1"/>
  <c r="G10811" i="1"/>
  <c r="D10811" i="1"/>
  <c r="G10810" i="1"/>
  <c r="D10810" i="1"/>
  <c r="G10809" i="1"/>
  <c r="D10809" i="1"/>
  <c r="G10808" i="1"/>
  <c r="D10808" i="1"/>
  <c r="G10807" i="1"/>
  <c r="D10807" i="1"/>
  <c r="G10806" i="1"/>
  <c r="D10806" i="1"/>
  <c r="G10805" i="1"/>
  <c r="D10805" i="1"/>
  <c r="G10804" i="1"/>
  <c r="D10804" i="1"/>
  <c r="G10803" i="1"/>
  <c r="D10803" i="1"/>
  <c r="G10802" i="1"/>
  <c r="D10802" i="1"/>
  <c r="G10801" i="1"/>
  <c r="D10801" i="1"/>
  <c r="G10800" i="1"/>
  <c r="D10800" i="1"/>
  <c r="G10799" i="1"/>
  <c r="D10799" i="1"/>
  <c r="G10798" i="1"/>
  <c r="D10798" i="1"/>
  <c r="G10797" i="1"/>
  <c r="D10797" i="1"/>
  <c r="G10796" i="1"/>
  <c r="D10796" i="1"/>
  <c r="G10795" i="1"/>
  <c r="D10795" i="1"/>
  <c r="G10794" i="1"/>
  <c r="D10794" i="1"/>
  <c r="G10793" i="1"/>
  <c r="D10793" i="1"/>
  <c r="G10792" i="1"/>
  <c r="D10792" i="1"/>
  <c r="G10791" i="1"/>
  <c r="D10791" i="1"/>
  <c r="G10790" i="1"/>
  <c r="D10790" i="1"/>
  <c r="G10789" i="1"/>
  <c r="D10789" i="1"/>
  <c r="G10788" i="1"/>
  <c r="D10788" i="1"/>
  <c r="G10787" i="1"/>
  <c r="D10787" i="1"/>
  <c r="G10786" i="1"/>
  <c r="D10786" i="1"/>
  <c r="G10785" i="1"/>
  <c r="D10785" i="1"/>
  <c r="G10784" i="1"/>
  <c r="D10784" i="1"/>
  <c r="G10783" i="1"/>
  <c r="D10783" i="1"/>
  <c r="G10782" i="1"/>
  <c r="D10782" i="1"/>
  <c r="G10781" i="1"/>
  <c r="D10781" i="1"/>
  <c r="G10780" i="1"/>
  <c r="D10780" i="1"/>
  <c r="G10779" i="1"/>
  <c r="D10779" i="1"/>
  <c r="G10778" i="1"/>
  <c r="D10778" i="1"/>
  <c r="G10777" i="1"/>
  <c r="D10777" i="1"/>
  <c r="G10776" i="1"/>
  <c r="D10776" i="1"/>
  <c r="G10775" i="1"/>
  <c r="D10775" i="1"/>
  <c r="G10774" i="1"/>
  <c r="D10774" i="1"/>
  <c r="G10773" i="1"/>
  <c r="D10773" i="1"/>
  <c r="G10772" i="1"/>
  <c r="D10772" i="1"/>
  <c r="G10771" i="1"/>
  <c r="D10771" i="1"/>
  <c r="G10770" i="1"/>
  <c r="D10770" i="1"/>
  <c r="G10769" i="1"/>
  <c r="D10769" i="1"/>
  <c r="G10768" i="1"/>
  <c r="D10768" i="1"/>
  <c r="G10767" i="1"/>
  <c r="D10767" i="1"/>
  <c r="G10766" i="1"/>
  <c r="D10766" i="1"/>
  <c r="G10765" i="1"/>
  <c r="D10765" i="1"/>
  <c r="G10764" i="1"/>
  <c r="D10764" i="1"/>
  <c r="G10763" i="1"/>
  <c r="D10763" i="1"/>
  <c r="G10762" i="1"/>
  <c r="D10762" i="1"/>
  <c r="G10761" i="1"/>
  <c r="D10761" i="1"/>
  <c r="G10760" i="1"/>
  <c r="D10760" i="1"/>
  <c r="G10759" i="1"/>
  <c r="D10759" i="1"/>
  <c r="G10758" i="1"/>
  <c r="D10758" i="1"/>
  <c r="G10757" i="1"/>
  <c r="D10757" i="1"/>
  <c r="G10756" i="1"/>
  <c r="D10756" i="1"/>
  <c r="G10755" i="1"/>
  <c r="D10755" i="1"/>
  <c r="G10754" i="1"/>
  <c r="D10754" i="1"/>
  <c r="G10753" i="1"/>
  <c r="D10753" i="1"/>
  <c r="G10752" i="1"/>
  <c r="D10752" i="1"/>
  <c r="G10751" i="1"/>
  <c r="D10751" i="1"/>
  <c r="G10750" i="1"/>
  <c r="D10750" i="1"/>
  <c r="G10749" i="1"/>
  <c r="D10749" i="1"/>
  <c r="G10748" i="1"/>
  <c r="D10748" i="1"/>
  <c r="G10747" i="1"/>
  <c r="D10747" i="1"/>
  <c r="G10746" i="1"/>
  <c r="D10746" i="1"/>
  <c r="G10745" i="1"/>
  <c r="D10745" i="1"/>
  <c r="G10744" i="1"/>
  <c r="D10744" i="1"/>
  <c r="G10743" i="1"/>
  <c r="D10743" i="1"/>
  <c r="G10742" i="1"/>
  <c r="D10742" i="1"/>
  <c r="G10741" i="1"/>
  <c r="D10741" i="1"/>
  <c r="G10740" i="1"/>
  <c r="D10740" i="1"/>
  <c r="G10739" i="1"/>
  <c r="D10739" i="1"/>
  <c r="G10738" i="1"/>
  <c r="D10738" i="1"/>
  <c r="G10737" i="1"/>
  <c r="D10737" i="1"/>
  <c r="G10736" i="1"/>
  <c r="D10736" i="1"/>
  <c r="G10735" i="1"/>
  <c r="D10735" i="1"/>
  <c r="G10734" i="1"/>
  <c r="D10734" i="1"/>
  <c r="G10733" i="1"/>
  <c r="D10733" i="1"/>
  <c r="G10732" i="1"/>
  <c r="D10732" i="1"/>
  <c r="G10731" i="1"/>
  <c r="D10731" i="1"/>
  <c r="G10730" i="1"/>
  <c r="D10730" i="1"/>
  <c r="G10729" i="1"/>
  <c r="D10729" i="1"/>
  <c r="G10728" i="1"/>
  <c r="D10728" i="1"/>
  <c r="G10727" i="1"/>
  <c r="D10727" i="1"/>
  <c r="G10726" i="1"/>
  <c r="D10726" i="1"/>
  <c r="G10725" i="1"/>
  <c r="D10725" i="1"/>
  <c r="G10724" i="1"/>
  <c r="D10724" i="1"/>
  <c r="G10723" i="1"/>
  <c r="D10723" i="1"/>
  <c r="G10722" i="1"/>
  <c r="D10722" i="1"/>
  <c r="G10721" i="1"/>
  <c r="D10721" i="1"/>
  <c r="G10720" i="1"/>
  <c r="D10720" i="1"/>
  <c r="G10719" i="1"/>
  <c r="D10719" i="1"/>
  <c r="G10718" i="1"/>
  <c r="D10718" i="1"/>
  <c r="G10717" i="1"/>
  <c r="D10717" i="1"/>
  <c r="G10716" i="1"/>
  <c r="D10716" i="1"/>
  <c r="G10715" i="1"/>
  <c r="D10715" i="1"/>
  <c r="G10714" i="1"/>
  <c r="D10714" i="1"/>
  <c r="G10713" i="1"/>
  <c r="D10713" i="1"/>
  <c r="G10712" i="1"/>
  <c r="D10712" i="1"/>
  <c r="G10711" i="1"/>
  <c r="D10711" i="1"/>
  <c r="G10710" i="1"/>
  <c r="D10710" i="1"/>
  <c r="G10709" i="1"/>
  <c r="D10709" i="1"/>
  <c r="G10708" i="1"/>
  <c r="D10708" i="1"/>
  <c r="G10707" i="1"/>
  <c r="D10707" i="1"/>
  <c r="G10706" i="1"/>
  <c r="D10706" i="1"/>
  <c r="G10705" i="1"/>
  <c r="D10705" i="1"/>
  <c r="G10704" i="1"/>
  <c r="D10704" i="1"/>
  <c r="G10703" i="1"/>
  <c r="D10703" i="1"/>
  <c r="G10702" i="1"/>
  <c r="D10702" i="1"/>
  <c r="G10701" i="1"/>
  <c r="D10701" i="1"/>
  <c r="G10700" i="1"/>
  <c r="D10700" i="1"/>
  <c r="G10699" i="1"/>
  <c r="D10699" i="1"/>
  <c r="G10698" i="1"/>
  <c r="D10698" i="1"/>
  <c r="G10697" i="1"/>
  <c r="D10697" i="1"/>
  <c r="G10696" i="1"/>
  <c r="D10696" i="1"/>
  <c r="G10695" i="1"/>
  <c r="D10695" i="1"/>
  <c r="G10694" i="1"/>
  <c r="D10694" i="1"/>
  <c r="G10693" i="1"/>
  <c r="D10693" i="1"/>
  <c r="G10692" i="1"/>
  <c r="D10692" i="1"/>
  <c r="G10691" i="1"/>
  <c r="D10691" i="1"/>
  <c r="G10690" i="1"/>
  <c r="D10690" i="1"/>
  <c r="G10689" i="1"/>
  <c r="D10689" i="1"/>
  <c r="G10688" i="1"/>
  <c r="D10688" i="1"/>
  <c r="G10687" i="1"/>
  <c r="D10687" i="1"/>
  <c r="G10686" i="1"/>
  <c r="D10686" i="1"/>
  <c r="G10685" i="1"/>
  <c r="D10685" i="1"/>
  <c r="G10684" i="1"/>
  <c r="D10684" i="1"/>
  <c r="G10683" i="1"/>
  <c r="D10683" i="1"/>
  <c r="G10682" i="1"/>
  <c r="D10682" i="1"/>
  <c r="G10681" i="1"/>
  <c r="D10681" i="1"/>
  <c r="G10680" i="1"/>
  <c r="D10680" i="1"/>
  <c r="G10679" i="1"/>
  <c r="D10679" i="1"/>
  <c r="G10678" i="1"/>
  <c r="D10678" i="1"/>
  <c r="G10677" i="1"/>
  <c r="D10677" i="1"/>
  <c r="G10676" i="1"/>
  <c r="D10676" i="1"/>
  <c r="G10675" i="1"/>
  <c r="D10675" i="1"/>
  <c r="G10674" i="1"/>
  <c r="D10674" i="1"/>
  <c r="G10673" i="1"/>
  <c r="D10673" i="1"/>
  <c r="G10672" i="1"/>
  <c r="D10672" i="1"/>
  <c r="G10671" i="1"/>
  <c r="D10671" i="1"/>
  <c r="G10670" i="1"/>
  <c r="D10670" i="1"/>
  <c r="G10669" i="1"/>
  <c r="D10669" i="1"/>
  <c r="G10668" i="1"/>
  <c r="D10668" i="1"/>
  <c r="G10667" i="1"/>
  <c r="D10667" i="1"/>
  <c r="G10666" i="1"/>
  <c r="D10666" i="1"/>
  <c r="G10665" i="1"/>
  <c r="D10665" i="1"/>
  <c r="G10664" i="1"/>
  <c r="D10664" i="1"/>
  <c r="G10663" i="1"/>
  <c r="D10663" i="1"/>
  <c r="G10662" i="1"/>
  <c r="D10662" i="1"/>
  <c r="G10661" i="1"/>
  <c r="D10661" i="1"/>
  <c r="G10660" i="1"/>
  <c r="D10660" i="1"/>
  <c r="G10659" i="1"/>
  <c r="D10659" i="1"/>
  <c r="G10658" i="1"/>
  <c r="D10658" i="1"/>
  <c r="G10657" i="1"/>
  <c r="D10657" i="1"/>
  <c r="G10656" i="1"/>
  <c r="D10656" i="1"/>
  <c r="G10655" i="1"/>
  <c r="D10655" i="1"/>
  <c r="G10654" i="1"/>
  <c r="D10654" i="1"/>
  <c r="G10653" i="1"/>
  <c r="D10653" i="1"/>
  <c r="G10652" i="1"/>
  <c r="D10652" i="1"/>
  <c r="G10651" i="1"/>
  <c r="D10651" i="1"/>
  <c r="G10650" i="1"/>
  <c r="D10650" i="1"/>
  <c r="G10649" i="1"/>
  <c r="D10649" i="1"/>
  <c r="G10648" i="1"/>
  <c r="D10648" i="1"/>
  <c r="G10647" i="1"/>
  <c r="D10647" i="1"/>
  <c r="G10646" i="1"/>
  <c r="D10646" i="1"/>
  <c r="G10645" i="1"/>
  <c r="D10645" i="1"/>
  <c r="G10644" i="1"/>
  <c r="D10644" i="1"/>
  <c r="G10643" i="1"/>
  <c r="D10643" i="1"/>
  <c r="G10642" i="1"/>
  <c r="D10642" i="1"/>
  <c r="G10641" i="1"/>
  <c r="D10641" i="1"/>
  <c r="G10640" i="1"/>
  <c r="D10640" i="1"/>
  <c r="G10639" i="1"/>
  <c r="D10639" i="1"/>
  <c r="G10638" i="1"/>
  <c r="D10638" i="1"/>
  <c r="G10637" i="1"/>
  <c r="D10637" i="1"/>
  <c r="G10636" i="1"/>
  <c r="D10636" i="1"/>
  <c r="G10635" i="1"/>
  <c r="D10635" i="1"/>
  <c r="G10634" i="1"/>
  <c r="D10634" i="1"/>
  <c r="G10633" i="1"/>
  <c r="D10633" i="1"/>
  <c r="G10632" i="1"/>
  <c r="D10632" i="1"/>
  <c r="G10631" i="1"/>
  <c r="D10631" i="1"/>
  <c r="G10630" i="1"/>
  <c r="D10630" i="1"/>
  <c r="G10629" i="1"/>
  <c r="D10629" i="1"/>
  <c r="G10628" i="1"/>
  <c r="D10628" i="1"/>
  <c r="G10627" i="1"/>
  <c r="D10627" i="1"/>
  <c r="G10626" i="1"/>
  <c r="D10626" i="1"/>
  <c r="G10625" i="1"/>
  <c r="D10625" i="1"/>
  <c r="G10624" i="1"/>
  <c r="D10624" i="1"/>
  <c r="G10623" i="1"/>
  <c r="D10623" i="1"/>
  <c r="G10622" i="1"/>
  <c r="D10622" i="1"/>
  <c r="G10621" i="1"/>
  <c r="D10621" i="1"/>
  <c r="G10620" i="1"/>
  <c r="D10620" i="1"/>
  <c r="G10619" i="1"/>
  <c r="D10619" i="1"/>
  <c r="G10618" i="1"/>
  <c r="D10618" i="1"/>
  <c r="G10617" i="1"/>
  <c r="D10617" i="1"/>
  <c r="G10616" i="1"/>
  <c r="D10616" i="1"/>
  <c r="G10615" i="1"/>
  <c r="D10615" i="1"/>
  <c r="G10614" i="1"/>
  <c r="D10614" i="1"/>
  <c r="G10613" i="1"/>
  <c r="D10613" i="1"/>
  <c r="G10612" i="1"/>
  <c r="D10612" i="1"/>
  <c r="G10611" i="1"/>
  <c r="D10611" i="1"/>
  <c r="G10610" i="1"/>
  <c r="D10610" i="1"/>
  <c r="G10609" i="1"/>
  <c r="D10609" i="1"/>
  <c r="G10608" i="1"/>
  <c r="D10608" i="1"/>
  <c r="G10607" i="1"/>
  <c r="D10607" i="1"/>
  <c r="G10606" i="1"/>
  <c r="D10606" i="1"/>
  <c r="G10605" i="1"/>
  <c r="D10605" i="1"/>
  <c r="G10604" i="1"/>
  <c r="D10604" i="1"/>
  <c r="G10603" i="1"/>
  <c r="D10603" i="1"/>
  <c r="G10602" i="1"/>
  <c r="D10602" i="1"/>
  <c r="G10601" i="1"/>
  <c r="D10601" i="1"/>
  <c r="G10600" i="1"/>
  <c r="D10600" i="1"/>
  <c r="G10599" i="1"/>
  <c r="D10599" i="1"/>
  <c r="G10598" i="1"/>
  <c r="D10598" i="1"/>
  <c r="G10597" i="1"/>
  <c r="D10597" i="1"/>
  <c r="G10596" i="1"/>
  <c r="D10596" i="1"/>
  <c r="G10595" i="1"/>
  <c r="D10595" i="1"/>
  <c r="G10594" i="1"/>
  <c r="D10594" i="1"/>
  <c r="G10593" i="1"/>
  <c r="D10593" i="1"/>
  <c r="G10592" i="1"/>
  <c r="D10592" i="1"/>
  <c r="G10591" i="1"/>
  <c r="D10591" i="1"/>
  <c r="G10590" i="1"/>
  <c r="D10590" i="1"/>
  <c r="G10589" i="1"/>
  <c r="D10589" i="1"/>
  <c r="G10588" i="1"/>
  <c r="D10588" i="1"/>
  <c r="G10587" i="1"/>
  <c r="D10587" i="1"/>
  <c r="G10586" i="1"/>
  <c r="D10586" i="1"/>
  <c r="G10585" i="1"/>
  <c r="D10585" i="1"/>
  <c r="G10584" i="1"/>
  <c r="D10584" i="1"/>
  <c r="G10583" i="1"/>
  <c r="D10583" i="1"/>
  <c r="G10582" i="1"/>
  <c r="D10582" i="1"/>
  <c r="G10581" i="1"/>
  <c r="D10581" i="1"/>
  <c r="G10580" i="1"/>
  <c r="D10580" i="1"/>
  <c r="G10579" i="1"/>
  <c r="D10579" i="1"/>
  <c r="G10578" i="1"/>
  <c r="D10578" i="1"/>
  <c r="G10577" i="1"/>
  <c r="D10577" i="1"/>
  <c r="G10576" i="1"/>
  <c r="D10576" i="1"/>
  <c r="G10575" i="1"/>
  <c r="D10575" i="1"/>
  <c r="G10574" i="1"/>
  <c r="D10574" i="1"/>
  <c r="G10573" i="1"/>
  <c r="D10573" i="1"/>
  <c r="G10572" i="1"/>
  <c r="D10572" i="1"/>
  <c r="G10571" i="1"/>
  <c r="D10571" i="1"/>
  <c r="G10570" i="1"/>
  <c r="D10570" i="1"/>
  <c r="G10569" i="1"/>
  <c r="D10569" i="1"/>
  <c r="G10568" i="1"/>
  <c r="D10568" i="1"/>
  <c r="G10567" i="1"/>
  <c r="D10567" i="1"/>
  <c r="G10566" i="1"/>
  <c r="D10566" i="1"/>
  <c r="G10565" i="1"/>
  <c r="D10565" i="1"/>
  <c r="G10564" i="1"/>
  <c r="D10564" i="1"/>
  <c r="G10563" i="1"/>
  <c r="D10563" i="1"/>
  <c r="G10562" i="1"/>
  <c r="D10562" i="1"/>
  <c r="G10561" i="1"/>
  <c r="D10561" i="1"/>
  <c r="G10560" i="1"/>
  <c r="D10560" i="1"/>
  <c r="G10559" i="1"/>
  <c r="D10559" i="1"/>
  <c r="G10558" i="1"/>
  <c r="D10558" i="1"/>
  <c r="G10557" i="1"/>
  <c r="D10557" i="1"/>
  <c r="G10556" i="1"/>
  <c r="D10556" i="1"/>
  <c r="G10555" i="1"/>
  <c r="D10555" i="1"/>
  <c r="G10554" i="1"/>
  <c r="D10554" i="1"/>
  <c r="G10553" i="1"/>
  <c r="D10553" i="1"/>
  <c r="G10552" i="1"/>
  <c r="D10552" i="1"/>
  <c r="G10551" i="1"/>
  <c r="D10551" i="1"/>
  <c r="G10550" i="1"/>
  <c r="D10550" i="1"/>
  <c r="G10549" i="1"/>
  <c r="D10549" i="1"/>
  <c r="G10548" i="1"/>
  <c r="D10548" i="1"/>
  <c r="G10547" i="1"/>
  <c r="D10547" i="1"/>
  <c r="G10546" i="1"/>
  <c r="D10546" i="1"/>
  <c r="G10545" i="1"/>
  <c r="D10545" i="1"/>
  <c r="G10544" i="1"/>
  <c r="D10544" i="1"/>
  <c r="G10543" i="1"/>
  <c r="D10543" i="1"/>
  <c r="G10542" i="1"/>
  <c r="D10542" i="1"/>
  <c r="G10541" i="1"/>
  <c r="D10541" i="1"/>
  <c r="G10540" i="1"/>
  <c r="D10540" i="1"/>
  <c r="G10539" i="1"/>
  <c r="D10539" i="1"/>
  <c r="G10538" i="1"/>
  <c r="D10538" i="1"/>
  <c r="G10537" i="1"/>
  <c r="D10537" i="1"/>
  <c r="G10536" i="1"/>
  <c r="D10536" i="1"/>
  <c r="G10535" i="1"/>
  <c r="D10535" i="1"/>
  <c r="G10534" i="1"/>
  <c r="D10534" i="1"/>
  <c r="G10533" i="1"/>
  <c r="D10533" i="1"/>
  <c r="G10532" i="1"/>
  <c r="D10532" i="1"/>
  <c r="G10531" i="1"/>
  <c r="D10531" i="1"/>
  <c r="G10530" i="1"/>
  <c r="D10530" i="1"/>
  <c r="G10529" i="1"/>
  <c r="D10529" i="1"/>
  <c r="G10528" i="1"/>
  <c r="D10528" i="1"/>
  <c r="G10527" i="1"/>
  <c r="D10527" i="1"/>
  <c r="G10526" i="1"/>
  <c r="D10526" i="1"/>
  <c r="G10525" i="1"/>
  <c r="D10525" i="1"/>
  <c r="G10524" i="1"/>
  <c r="D10524" i="1"/>
  <c r="G10523" i="1"/>
  <c r="D10523" i="1"/>
  <c r="G10522" i="1"/>
  <c r="D10522" i="1"/>
  <c r="G10521" i="1"/>
  <c r="D10521" i="1"/>
  <c r="G10520" i="1"/>
  <c r="D10520" i="1"/>
  <c r="G10519" i="1"/>
  <c r="D10519" i="1"/>
  <c r="G10518" i="1"/>
  <c r="D10518" i="1"/>
  <c r="G10517" i="1"/>
  <c r="D10517" i="1"/>
  <c r="G10516" i="1"/>
  <c r="D10516" i="1"/>
  <c r="G10515" i="1"/>
  <c r="D10515" i="1"/>
  <c r="G10514" i="1"/>
  <c r="D10514" i="1"/>
  <c r="G10513" i="1"/>
  <c r="D10513" i="1"/>
  <c r="G10512" i="1"/>
  <c r="D10512" i="1"/>
  <c r="G10511" i="1"/>
  <c r="D10511" i="1"/>
  <c r="G10510" i="1"/>
  <c r="D10510" i="1"/>
  <c r="G10509" i="1"/>
  <c r="D10509" i="1"/>
  <c r="G10508" i="1"/>
  <c r="D10508" i="1"/>
  <c r="G10507" i="1"/>
  <c r="D10507" i="1"/>
  <c r="G10506" i="1"/>
  <c r="D10506" i="1"/>
  <c r="G10505" i="1"/>
  <c r="D10505" i="1"/>
  <c r="G10504" i="1"/>
  <c r="D10504" i="1"/>
  <c r="G10503" i="1"/>
  <c r="D10503" i="1"/>
  <c r="G10502" i="1"/>
  <c r="D10502" i="1"/>
  <c r="G10501" i="1"/>
  <c r="D10501" i="1"/>
  <c r="G10500" i="1"/>
  <c r="D10500" i="1"/>
  <c r="G10499" i="1"/>
  <c r="D10499" i="1"/>
  <c r="G10498" i="1"/>
  <c r="D10498" i="1"/>
  <c r="G10497" i="1"/>
  <c r="D10497" i="1"/>
  <c r="G10496" i="1"/>
  <c r="D10496" i="1"/>
  <c r="G10495" i="1"/>
  <c r="D10495" i="1"/>
  <c r="G10494" i="1"/>
  <c r="D10494" i="1"/>
  <c r="G10493" i="1"/>
  <c r="D10493" i="1"/>
  <c r="G10492" i="1"/>
  <c r="D10492" i="1"/>
  <c r="G10491" i="1"/>
  <c r="D10491" i="1"/>
  <c r="G10490" i="1"/>
  <c r="D10490" i="1"/>
  <c r="G10489" i="1"/>
  <c r="D10489" i="1"/>
  <c r="G10488" i="1"/>
  <c r="D10488" i="1"/>
  <c r="G10487" i="1"/>
  <c r="D10487" i="1"/>
  <c r="G10486" i="1"/>
  <c r="D10486" i="1"/>
  <c r="G10485" i="1"/>
  <c r="D10485" i="1"/>
  <c r="G10484" i="1"/>
  <c r="D10484" i="1"/>
  <c r="G10483" i="1"/>
  <c r="D10483" i="1"/>
  <c r="G10482" i="1"/>
  <c r="D10482" i="1"/>
  <c r="G10481" i="1"/>
  <c r="D10481" i="1"/>
  <c r="G10480" i="1"/>
  <c r="D10480" i="1"/>
  <c r="G10479" i="1"/>
  <c r="D10479" i="1"/>
  <c r="G10478" i="1"/>
  <c r="D10478" i="1"/>
  <c r="G10477" i="1"/>
  <c r="D10477" i="1"/>
  <c r="G10476" i="1"/>
  <c r="D10476" i="1"/>
  <c r="G10475" i="1"/>
  <c r="D10475" i="1"/>
  <c r="G10474" i="1"/>
  <c r="D10474" i="1"/>
  <c r="G10473" i="1"/>
  <c r="D10473" i="1"/>
  <c r="G10472" i="1"/>
  <c r="D10472" i="1"/>
  <c r="G10471" i="1"/>
  <c r="D10471" i="1"/>
  <c r="G10470" i="1"/>
  <c r="D10470" i="1"/>
  <c r="G10469" i="1"/>
  <c r="D10469" i="1"/>
  <c r="G10468" i="1"/>
  <c r="D10468" i="1"/>
  <c r="G10467" i="1"/>
  <c r="D10467" i="1"/>
  <c r="G10466" i="1"/>
  <c r="D10466" i="1"/>
  <c r="G10465" i="1"/>
  <c r="D10465" i="1"/>
  <c r="G10464" i="1"/>
  <c r="D10464" i="1"/>
  <c r="G10463" i="1"/>
  <c r="D10463" i="1"/>
  <c r="G10462" i="1"/>
  <c r="D10462" i="1"/>
  <c r="G10461" i="1"/>
  <c r="D10461" i="1"/>
  <c r="G10460" i="1"/>
  <c r="D10460" i="1"/>
  <c r="G10459" i="1"/>
  <c r="D10459" i="1"/>
  <c r="G10458" i="1"/>
  <c r="D10458" i="1"/>
  <c r="G10457" i="1"/>
  <c r="D10457" i="1"/>
  <c r="G10456" i="1"/>
  <c r="D10456" i="1"/>
  <c r="G10455" i="1"/>
  <c r="D10455" i="1"/>
  <c r="G10454" i="1"/>
  <c r="D10454" i="1"/>
  <c r="G10453" i="1"/>
  <c r="D10453" i="1"/>
  <c r="G10452" i="1"/>
  <c r="D10452" i="1"/>
  <c r="G10451" i="1"/>
  <c r="D10451" i="1"/>
  <c r="G10450" i="1"/>
  <c r="D10450" i="1"/>
  <c r="G10449" i="1"/>
  <c r="D10449" i="1"/>
  <c r="G10448" i="1"/>
  <c r="D10448" i="1"/>
  <c r="G10447" i="1"/>
  <c r="D10447" i="1"/>
  <c r="G10446" i="1"/>
  <c r="D10446" i="1"/>
  <c r="G10445" i="1"/>
  <c r="D10445" i="1"/>
  <c r="G10444" i="1"/>
  <c r="D10444" i="1"/>
  <c r="G10443" i="1"/>
  <c r="D10443" i="1"/>
  <c r="G10442" i="1"/>
  <c r="D10442" i="1"/>
  <c r="G10441" i="1"/>
  <c r="D10441" i="1"/>
  <c r="G10440" i="1"/>
  <c r="D10440" i="1"/>
  <c r="G10439" i="1"/>
  <c r="D10439" i="1"/>
  <c r="G10438" i="1"/>
  <c r="D10438" i="1"/>
  <c r="G10437" i="1"/>
  <c r="D10437" i="1"/>
  <c r="G10436" i="1"/>
  <c r="D10436" i="1"/>
  <c r="G10435" i="1"/>
  <c r="D10435" i="1"/>
  <c r="G10434" i="1"/>
  <c r="D10434" i="1"/>
  <c r="G10433" i="1"/>
  <c r="D10433" i="1"/>
  <c r="G10432" i="1"/>
  <c r="D10432" i="1"/>
  <c r="G10431" i="1"/>
  <c r="D10431" i="1"/>
  <c r="G10430" i="1"/>
  <c r="D10430" i="1"/>
  <c r="G10429" i="1"/>
  <c r="D10429" i="1"/>
  <c r="G10428" i="1"/>
  <c r="D10428" i="1"/>
  <c r="G10427" i="1"/>
  <c r="D10427" i="1"/>
  <c r="G10426" i="1"/>
  <c r="D10426" i="1"/>
  <c r="G10425" i="1"/>
  <c r="D10425" i="1"/>
  <c r="G10424" i="1"/>
  <c r="D10424" i="1"/>
  <c r="G10423" i="1"/>
  <c r="D10423" i="1"/>
  <c r="G10422" i="1"/>
  <c r="D10422" i="1"/>
  <c r="G10421" i="1"/>
  <c r="D10421" i="1"/>
  <c r="G10420" i="1"/>
  <c r="D10420" i="1"/>
  <c r="G10419" i="1"/>
  <c r="D10419" i="1"/>
  <c r="G10418" i="1"/>
  <c r="D10418" i="1"/>
  <c r="G10417" i="1"/>
  <c r="D10417" i="1"/>
  <c r="G10416" i="1"/>
  <c r="D10416" i="1"/>
  <c r="G10415" i="1"/>
  <c r="D10415" i="1"/>
  <c r="G10414" i="1"/>
  <c r="D10414" i="1"/>
  <c r="G10413" i="1"/>
  <c r="D10413" i="1"/>
  <c r="G10412" i="1"/>
  <c r="D10412" i="1"/>
  <c r="G10411" i="1"/>
  <c r="D10411" i="1"/>
  <c r="G10410" i="1"/>
  <c r="D10410" i="1"/>
  <c r="G10409" i="1"/>
  <c r="D10409" i="1"/>
  <c r="G10408" i="1"/>
  <c r="D10408" i="1"/>
  <c r="G10407" i="1"/>
  <c r="D10407" i="1"/>
  <c r="G10406" i="1"/>
  <c r="D10406" i="1"/>
  <c r="G10405" i="1"/>
  <c r="D10405" i="1"/>
  <c r="G10404" i="1"/>
  <c r="D10404" i="1"/>
  <c r="G10403" i="1"/>
  <c r="D10403" i="1"/>
  <c r="G10402" i="1"/>
  <c r="D10402" i="1"/>
  <c r="G10401" i="1"/>
  <c r="D10401" i="1"/>
  <c r="G10400" i="1"/>
  <c r="D10400" i="1"/>
  <c r="G10399" i="1"/>
  <c r="D10399" i="1"/>
  <c r="G10398" i="1"/>
  <c r="D10398" i="1"/>
  <c r="G10397" i="1"/>
  <c r="D10397" i="1"/>
  <c r="G10396" i="1"/>
  <c r="D10396" i="1"/>
  <c r="G10395" i="1"/>
  <c r="D10395" i="1"/>
  <c r="G10394" i="1"/>
  <c r="D10394" i="1"/>
  <c r="G10393" i="1"/>
  <c r="D10393" i="1"/>
  <c r="G10392" i="1"/>
  <c r="D10392" i="1"/>
  <c r="G10391" i="1"/>
  <c r="D10391" i="1"/>
  <c r="G10390" i="1"/>
  <c r="D10390" i="1"/>
  <c r="G10389" i="1"/>
  <c r="D10389" i="1"/>
  <c r="G10388" i="1"/>
  <c r="D10388" i="1"/>
  <c r="G10387" i="1"/>
  <c r="D10387" i="1"/>
  <c r="G10386" i="1"/>
  <c r="D10386" i="1"/>
  <c r="G10385" i="1"/>
  <c r="D10385" i="1"/>
  <c r="G10384" i="1"/>
  <c r="D10384" i="1"/>
  <c r="G10383" i="1"/>
  <c r="D10383" i="1"/>
  <c r="G10382" i="1"/>
  <c r="D10382" i="1"/>
  <c r="G10381" i="1"/>
  <c r="D10381" i="1"/>
  <c r="G10380" i="1"/>
  <c r="D10380" i="1"/>
  <c r="G10379" i="1"/>
  <c r="D10379" i="1"/>
  <c r="G10378" i="1"/>
  <c r="D10378" i="1"/>
  <c r="G10377" i="1"/>
  <c r="D10377" i="1"/>
  <c r="G10376" i="1"/>
  <c r="D10376" i="1"/>
  <c r="G10375" i="1"/>
  <c r="D10375" i="1"/>
  <c r="G10374" i="1"/>
  <c r="D10374" i="1"/>
  <c r="G10373" i="1"/>
  <c r="D10373" i="1"/>
  <c r="G10372" i="1"/>
  <c r="D10372" i="1"/>
  <c r="G10371" i="1"/>
  <c r="D10371" i="1"/>
  <c r="G10370" i="1"/>
  <c r="D10370" i="1"/>
  <c r="G10369" i="1"/>
  <c r="D10369" i="1"/>
  <c r="G10368" i="1"/>
  <c r="D10368" i="1"/>
  <c r="G10367" i="1"/>
  <c r="D10367" i="1"/>
  <c r="G10366" i="1"/>
  <c r="D10366" i="1"/>
  <c r="G10365" i="1"/>
  <c r="D10365" i="1"/>
  <c r="G10364" i="1"/>
  <c r="D10364" i="1"/>
  <c r="G10363" i="1"/>
  <c r="D10363" i="1"/>
  <c r="G10362" i="1"/>
  <c r="D10362" i="1"/>
  <c r="G10361" i="1"/>
  <c r="D10361" i="1"/>
  <c r="G10360" i="1"/>
  <c r="D10360" i="1"/>
  <c r="G10359" i="1"/>
  <c r="D10359" i="1"/>
  <c r="G10358" i="1"/>
  <c r="D10358" i="1"/>
  <c r="G10357" i="1"/>
  <c r="D10357" i="1"/>
  <c r="G10356" i="1"/>
  <c r="D10356" i="1"/>
  <c r="G10355" i="1"/>
  <c r="D10355" i="1"/>
  <c r="G10354" i="1"/>
  <c r="D10354" i="1"/>
  <c r="G10353" i="1"/>
  <c r="D10353" i="1"/>
  <c r="G10352" i="1"/>
  <c r="D10352" i="1"/>
  <c r="G10351" i="1"/>
  <c r="D10351" i="1"/>
  <c r="G10350" i="1"/>
  <c r="D10350" i="1"/>
  <c r="G10349" i="1"/>
  <c r="D10349" i="1"/>
  <c r="G10348" i="1"/>
  <c r="D10348" i="1"/>
  <c r="G10347" i="1"/>
  <c r="D10347" i="1"/>
  <c r="G10346" i="1"/>
  <c r="D10346" i="1"/>
  <c r="G10345" i="1"/>
  <c r="D10345" i="1"/>
  <c r="G10344" i="1"/>
  <c r="D10344" i="1"/>
  <c r="G10343" i="1"/>
  <c r="D10343" i="1"/>
  <c r="G10342" i="1"/>
  <c r="D10342" i="1"/>
  <c r="G10341" i="1"/>
  <c r="D10341" i="1"/>
  <c r="G10340" i="1"/>
  <c r="D10340" i="1"/>
  <c r="G10339" i="1"/>
  <c r="D10339" i="1"/>
  <c r="G10338" i="1"/>
  <c r="D10338" i="1"/>
  <c r="G10337" i="1"/>
  <c r="D10337" i="1"/>
  <c r="G10336" i="1"/>
  <c r="D10336" i="1"/>
  <c r="G10335" i="1"/>
  <c r="D10335" i="1"/>
  <c r="G10334" i="1"/>
  <c r="D10334" i="1"/>
  <c r="G10333" i="1"/>
  <c r="D10333" i="1"/>
  <c r="G10332" i="1"/>
  <c r="D10332" i="1"/>
  <c r="G10331" i="1"/>
  <c r="D10331" i="1"/>
  <c r="G10330" i="1"/>
  <c r="D10330" i="1"/>
  <c r="G10329" i="1"/>
  <c r="D10329" i="1"/>
  <c r="G10328" i="1"/>
  <c r="D10328" i="1"/>
  <c r="G10327" i="1"/>
  <c r="D10327" i="1"/>
  <c r="G10326" i="1"/>
  <c r="D10326" i="1"/>
  <c r="G10325" i="1"/>
  <c r="D10325" i="1"/>
  <c r="G10324" i="1"/>
  <c r="D10324" i="1"/>
  <c r="G10323" i="1"/>
  <c r="D10323" i="1"/>
  <c r="G10322" i="1"/>
  <c r="D10322" i="1"/>
  <c r="G10321" i="1"/>
  <c r="D10321" i="1"/>
  <c r="G10320" i="1"/>
  <c r="D10320" i="1"/>
  <c r="G10319" i="1"/>
  <c r="D10319" i="1"/>
  <c r="G10318" i="1"/>
  <c r="D10318" i="1"/>
  <c r="G10317" i="1"/>
  <c r="D10317" i="1"/>
  <c r="G10316" i="1"/>
  <c r="D10316" i="1"/>
  <c r="G10315" i="1"/>
  <c r="D10315" i="1"/>
  <c r="G10314" i="1"/>
  <c r="D10314" i="1"/>
  <c r="G10313" i="1"/>
  <c r="D10313" i="1"/>
  <c r="G10312" i="1"/>
  <c r="D10312" i="1"/>
  <c r="G10311" i="1"/>
  <c r="D10311" i="1"/>
  <c r="G10310" i="1"/>
  <c r="D10310" i="1"/>
  <c r="G10309" i="1"/>
  <c r="D10309" i="1"/>
  <c r="G10308" i="1"/>
  <c r="D10308" i="1"/>
  <c r="G10307" i="1"/>
  <c r="D10307" i="1"/>
  <c r="G10306" i="1"/>
  <c r="D10306" i="1"/>
  <c r="G10305" i="1"/>
  <c r="D10305" i="1"/>
  <c r="G10304" i="1"/>
  <c r="D10304" i="1"/>
  <c r="G10303" i="1"/>
  <c r="D10303" i="1"/>
  <c r="G10302" i="1"/>
  <c r="D10302" i="1"/>
  <c r="G10301" i="1"/>
  <c r="D10301" i="1"/>
  <c r="G10300" i="1"/>
  <c r="D10300" i="1"/>
  <c r="G10299" i="1"/>
  <c r="D10299" i="1"/>
  <c r="G10298" i="1"/>
  <c r="D10298" i="1"/>
  <c r="G10297" i="1"/>
  <c r="D10297" i="1"/>
  <c r="G10296" i="1"/>
  <c r="D10296" i="1"/>
  <c r="G10295" i="1"/>
  <c r="D10295" i="1"/>
  <c r="G10294" i="1"/>
  <c r="D10294" i="1"/>
  <c r="G10293" i="1"/>
  <c r="D10293" i="1"/>
  <c r="G10292" i="1"/>
  <c r="D10292" i="1"/>
  <c r="G10291" i="1"/>
  <c r="D10291" i="1"/>
  <c r="G10290" i="1"/>
  <c r="D10290" i="1"/>
  <c r="G10289" i="1"/>
  <c r="D10289" i="1"/>
  <c r="G10288" i="1"/>
  <c r="D10288" i="1"/>
  <c r="G10287" i="1"/>
  <c r="D10287" i="1"/>
  <c r="G10286" i="1"/>
  <c r="D10286" i="1"/>
  <c r="G10285" i="1"/>
  <c r="D10285" i="1"/>
  <c r="G10284" i="1"/>
  <c r="D10284" i="1"/>
  <c r="G10283" i="1"/>
  <c r="D10283" i="1"/>
  <c r="G10282" i="1"/>
  <c r="D10282" i="1"/>
  <c r="G10281" i="1"/>
  <c r="D10281" i="1"/>
  <c r="G10280" i="1"/>
  <c r="D10280" i="1"/>
  <c r="G10279" i="1"/>
  <c r="D10279" i="1"/>
  <c r="G10278" i="1"/>
  <c r="D10278" i="1"/>
  <c r="G10277" i="1"/>
  <c r="D10277" i="1"/>
  <c r="G10276" i="1"/>
  <c r="D10276" i="1"/>
  <c r="G10275" i="1"/>
  <c r="D10275" i="1"/>
  <c r="G10274" i="1"/>
  <c r="D10274" i="1"/>
  <c r="G10273" i="1"/>
  <c r="D10273" i="1"/>
  <c r="G10272" i="1"/>
  <c r="D10272" i="1"/>
  <c r="G10271" i="1"/>
  <c r="D10271" i="1"/>
  <c r="G10270" i="1"/>
  <c r="D10270" i="1"/>
  <c r="G10269" i="1"/>
  <c r="D10269" i="1"/>
  <c r="G10268" i="1"/>
  <c r="D10268" i="1"/>
  <c r="G10267" i="1"/>
  <c r="D10267" i="1"/>
  <c r="G10266" i="1"/>
  <c r="D10266" i="1"/>
  <c r="G10265" i="1"/>
  <c r="D10265" i="1"/>
  <c r="G10264" i="1"/>
  <c r="D10264" i="1"/>
  <c r="G10263" i="1"/>
  <c r="D10263" i="1"/>
  <c r="G10262" i="1"/>
  <c r="D10262" i="1"/>
  <c r="G10261" i="1"/>
  <c r="D10261" i="1"/>
  <c r="G10260" i="1"/>
  <c r="D10260" i="1"/>
  <c r="G10259" i="1"/>
  <c r="D10259" i="1"/>
  <c r="G10258" i="1"/>
  <c r="D10258" i="1"/>
  <c r="G10257" i="1"/>
  <c r="D10257" i="1"/>
  <c r="G10256" i="1"/>
  <c r="D10256" i="1"/>
  <c r="G10255" i="1"/>
  <c r="D10255" i="1"/>
  <c r="G10254" i="1"/>
  <c r="D10254" i="1"/>
  <c r="G10253" i="1"/>
  <c r="D10253" i="1"/>
  <c r="G10252" i="1"/>
  <c r="D10252" i="1"/>
  <c r="G10251" i="1"/>
  <c r="D10251" i="1"/>
  <c r="G10250" i="1"/>
  <c r="D10250" i="1"/>
  <c r="G10249" i="1"/>
  <c r="D10249" i="1"/>
  <c r="G10248" i="1"/>
  <c r="D10248" i="1"/>
  <c r="G10247" i="1"/>
  <c r="D10247" i="1"/>
  <c r="G10246" i="1"/>
  <c r="D10246" i="1"/>
  <c r="G10245" i="1"/>
  <c r="D10245" i="1"/>
  <c r="G10244" i="1"/>
  <c r="D10244" i="1"/>
  <c r="G10243" i="1"/>
  <c r="D10243" i="1"/>
  <c r="G10242" i="1"/>
  <c r="D10242" i="1"/>
  <c r="G10241" i="1"/>
  <c r="D10241" i="1"/>
  <c r="G10240" i="1"/>
  <c r="D10240" i="1"/>
  <c r="G10239" i="1"/>
  <c r="D10239" i="1"/>
  <c r="G10238" i="1"/>
  <c r="D10238" i="1"/>
  <c r="G10237" i="1"/>
  <c r="D10237" i="1"/>
  <c r="G10236" i="1"/>
  <c r="D10236" i="1"/>
  <c r="G10235" i="1"/>
  <c r="D10235" i="1"/>
  <c r="G10234" i="1"/>
  <c r="D10234" i="1"/>
  <c r="G10233" i="1"/>
  <c r="D10233" i="1"/>
  <c r="G10232" i="1"/>
  <c r="D10232" i="1"/>
  <c r="G10231" i="1"/>
  <c r="D10231" i="1"/>
  <c r="G10230" i="1"/>
  <c r="D10230" i="1"/>
  <c r="G10229" i="1"/>
  <c r="D10229" i="1"/>
  <c r="G10228" i="1"/>
  <c r="D10228" i="1"/>
  <c r="G10227" i="1"/>
  <c r="D10227" i="1"/>
  <c r="G10226" i="1"/>
  <c r="D10226" i="1"/>
  <c r="G10225" i="1"/>
  <c r="D10225" i="1"/>
  <c r="G10224" i="1"/>
  <c r="D10224" i="1"/>
  <c r="G10223" i="1"/>
  <c r="D10223" i="1"/>
  <c r="G10222" i="1"/>
  <c r="D10222" i="1"/>
  <c r="G10221" i="1"/>
  <c r="D10221" i="1"/>
  <c r="G10220" i="1"/>
  <c r="D10220" i="1"/>
  <c r="G10219" i="1"/>
  <c r="D10219" i="1"/>
  <c r="G10218" i="1"/>
  <c r="D10218" i="1"/>
  <c r="G10217" i="1"/>
  <c r="D10217" i="1"/>
  <c r="G10216" i="1"/>
  <c r="D10216" i="1"/>
  <c r="G10215" i="1"/>
  <c r="D10215" i="1"/>
  <c r="G10214" i="1"/>
  <c r="D10214" i="1"/>
  <c r="G10213" i="1"/>
  <c r="D10213" i="1"/>
  <c r="G10212" i="1"/>
  <c r="D10212" i="1"/>
  <c r="G10211" i="1"/>
  <c r="D10211" i="1"/>
  <c r="G10210" i="1"/>
  <c r="D10210" i="1"/>
  <c r="G10209" i="1"/>
  <c r="D10209" i="1"/>
  <c r="G10208" i="1"/>
  <c r="D10208" i="1"/>
  <c r="G10207" i="1"/>
  <c r="D10207" i="1"/>
  <c r="G10206" i="1"/>
  <c r="D10206" i="1"/>
  <c r="G10205" i="1"/>
  <c r="D10205" i="1"/>
  <c r="G10204" i="1"/>
  <c r="D10204" i="1"/>
  <c r="G10203" i="1"/>
  <c r="D10203" i="1"/>
  <c r="G10202" i="1"/>
  <c r="D10202" i="1"/>
  <c r="G10201" i="1"/>
  <c r="D10201" i="1"/>
  <c r="G10200" i="1"/>
  <c r="D10200" i="1"/>
  <c r="G10199" i="1"/>
  <c r="D10199" i="1"/>
  <c r="G10198" i="1"/>
  <c r="D10198" i="1"/>
  <c r="G10197" i="1"/>
  <c r="D10197" i="1"/>
  <c r="G10196" i="1"/>
  <c r="D10196" i="1"/>
  <c r="G10195" i="1"/>
  <c r="D10195" i="1"/>
  <c r="G10194" i="1"/>
  <c r="D10194" i="1"/>
  <c r="G10193" i="1"/>
  <c r="D10193" i="1"/>
  <c r="G10192" i="1"/>
  <c r="D10192" i="1"/>
  <c r="G10191" i="1"/>
  <c r="D10191" i="1"/>
  <c r="G10190" i="1"/>
  <c r="D10190" i="1"/>
  <c r="G10189" i="1"/>
  <c r="D10189" i="1"/>
  <c r="G10188" i="1"/>
  <c r="D10188" i="1"/>
  <c r="G10187" i="1"/>
  <c r="D10187" i="1"/>
  <c r="G10186" i="1"/>
  <c r="D10186" i="1"/>
  <c r="G10185" i="1"/>
  <c r="D10185" i="1"/>
  <c r="G10184" i="1"/>
  <c r="D10184" i="1"/>
  <c r="G10183" i="1"/>
  <c r="D10183" i="1"/>
  <c r="G10182" i="1"/>
  <c r="D10182" i="1"/>
  <c r="G10181" i="1"/>
  <c r="D10181" i="1"/>
  <c r="G10180" i="1"/>
  <c r="D10180" i="1"/>
  <c r="G10179" i="1"/>
  <c r="D10179" i="1"/>
  <c r="G10178" i="1"/>
  <c r="D10178" i="1"/>
  <c r="G10177" i="1"/>
  <c r="D10177" i="1"/>
  <c r="G10176" i="1"/>
  <c r="D10176" i="1"/>
  <c r="G10175" i="1"/>
  <c r="D10175" i="1"/>
  <c r="G10174" i="1"/>
  <c r="D10174" i="1"/>
  <c r="G10173" i="1"/>
  <c r="D10173" i="1"/>
  <c r="G10172" i="1"/>
  <c r="D10172" i="1"/>
  <c r="G10171" i="1"/>
  <c r="D10171" i="1"/>
  <c r="G10170" i="1"/>
  <c r="D10170" i="1"/>
  <c r="G10169" i="1"/>
  <c r="D10169" i="1"/>
  <c r="G10168" i="1"/>
  <c r="D10168" i="1"/>
  <c r="G10167" i="1"/>
  <c r="D10167" i="1"/>
  <c r="G10166" i="1"/>
  <c r="D10166" i="1"/>
  <c r="G10165" i="1"/>
  <c r="D10165" i="1"/>
  <c r="G10164" i="1"/>
  <c r="D10164" i="1"/>
  <c r="G10163" i="1"/>
  <c r="D10163" i="1"/>
  <c r="G10162" i="1"/>
  <c r="D10162" i="1"/>
  <c r="G10161" i="1"/>
  <c r="D10161" i="1"/>
  <c r="G10160" i="1"/>
  <c r="D10160" i="1"/>
  <c r="G10159" i="1"/>
  <c r="D10159" i="1"/>
  <c r="G10158" i="1"/>
  <c r="D10158" i="1"/>
  <c r="G10157" i="1"/>
  <c r="D10157" i="1"/>
  <c r="G10156" i="1"/>
  <c r="D10156" i="1"/>
  <c r="G10155" i="1"/>
  <c r="D10155" i="1"/>
  <c r="G10154" i="1"/>
  <c r="D10154" i="1"/>
  <c r="G10153" i="1"/>
  <c r="D10153" i="1"/>
  <c r="G10152" i="1"/>
  <c r="D10152" i="1"/>
  <c r="G10151" i="1"/>
  <c r="D10151" i="1"/>
  <c r="G10150" i="1"/>
  <c r="D10150" i="1"/>
  <c r="G10149" i="1"/>
  <c r="D10149" i="1"/>
  <c r="G10148" i="1"/>
  <c r="D10148" i="1"/>
  <c r="G10147" i="1"/>
  <c r="D10147" i="1"/>
  <c r="G10146" i="1"/>
  <c r="D10146" i="1"/>
  <c r="G10145" i="1"/>
  <c r="D10145" i="1"/>
  <c r="G10144" i="1"/>
  <c r="D10144" i="1"/>
  <c r="G10143" i="1"/>
  <c r="D10143" i="1"/>
  <c r="G10142" i="1"/>
  <c r="D10142" i="1"/>
  <c r="G10141" i="1"/>
  <c r="D10141" i="1"/>
  <c r="G10140" i="1"/>
  <c r="D10140" i="1"/>
  <c r="G10139" i="1"/>
  <c r="D10139" i="1"/>
  <c r="G10138" i="1"/>
  <c r="D10138" i="1"/>
  <c r="G10137" i="1"/>
  <c r="D10137" i="1"/>
  <c r="G10136" i="1"/>
  <c r="D10136" i="1"/>
  <c r="G10135" i="1"/>
  <c r="D10135" i="1"/>
  <c r="G10134" i="1"/>
  <c r="D10134" i="1"/>
  <c r="G10133" i="1"/>
  <c r="D10133" i="1"/>
  <c r="G10132" i="1"/>
  <c r="D10132" i="1"/>
  <c r="G10131" i="1"/>
  <c r="D10131" i="1"/>
  <c r="G10130" i="1"/>
  <c r="D10130" i="1"/>
  <c r="G10129" i="1"/>
  <c r="D10129" i="1"/>
  <c r="G10128" i="1"/>
  <c r="D10128" i="1"/>
  <c r="G10127" i="1"/>
  <c r="D10127" i="1"/>
  <c r="G10126" i="1"/>
  <c r="D10126" i="1"/>
  <c r="G10125" i="1"/>
  <c r="D10125" i="1"/>
  <c r="G10124" i="1"/>
  <c r="D10124" i="1"/>
  <c r="G10123" i="1"/>
  <c r="D10123" i="1"/>
  <c r="G10122" i="1"/>
  <c r="D10122" i="1"/>
  <c r="G10121" i="1"/>
  <c r="D10121" i="1"/>
  <c r="G10120" i="1"/>
  <c r="D10120" i="1"/>
  <c r="G10119" i="1"/>
  <c r="D10119" i="1"/>
  <c r="G10118" i="1"/>
  <c r="D10118" i="1"/>
  <c r="G10117" i="1"/>
  <c r="D10117" i="1"/>
  <c r="G10116" i="1"/>
  <c r="D10116" i="1"/>
  <c r="G10115" i="1"/>
  <c r="D10115" i="1"/>
  <c r="G10114" i="1"/>
  <c r="D10114" i="1"/>
  <c r="G10113" i="1"/>
  <c r="D10113" i="1"/>
  <c r="G10112" i="1"/>
  <c r="D10112" i="1"/>
  <c r="G10111" i="1"/>
  <c r="D10111" i="1"/>
  <c r="G10110" i="1"/>
  <c r="D10110" i="1"/>
  <c r="G10109" i="1"/>
  <c r="D10109" i="1"/>
  <c r="G10108" i="1"/>
  <c r="D10108" i="1"/>
  <c r="G10107" i="1"/>
  <c r="D10107" i="1"/>
  <c r="G10106" i="1"/>
  <c r="D10106" i="1"/>
  <c r="G10105" i="1"/>
  <c r="D10105" i="1"/>
  <c r="G10104" i="1"/>
  <c r="D10104" i="1"/>
  <c r="G10103" i="1"/>
  <c r="D10103" i="1"/>
  <c r="G10102" i="1"/>
  <c r="D10102" i="1"/>
  <c r="G10101" i="1"/>
  <c r="D10101" i="1"/>
  <c r="G10100" i="1"/>
  <c r="D10100" i="1"/>
  <c r="G10099" i="1"/>
  <c r="D10099" i="1"/>
  <c r="G10098" i="1"/>
  <c r="D10098" i="1"/>
  <c r="G10097" i="1"/>
  <c r="D10097" i="1"/>
  <c r="G10096" i="1"/>
  <c r="D10096" i="1"/>
  <c r="G10095" i="1"/>
  <c r="D10095" i="1"/>
  <c r="G10094" i="1"/>
  <c r="D10094" i="1"/>
  <c r="G10093" i="1"/>
  <c r="D10093" i="1"/>
  <c r="G10092" i="1"/>
  <c r="D10092" i="1"/>
  <c r="G10091" i="1"/>
  <c r="D10091" i="1"/>
  <c r="G10090" i="1"/>
  <c r="D10090" i="1"/>
  <c r="G10089" i="1"/>
  <c r="D10089" i="1"/>
  <c r="G10088" i="1"/>
  <c r="D10088" i="1"/>
  <c r="G10087" i="1"/>
  <c r="D10087" i="1"/>
  <c r="G10086" i="1"/>
  <c r="D10086" i="1"/>
  <c r="G10085" i="1"/>
  <c r="D10085" i="1"/>
  <c r="G10084" i="1"/>
  <c r="D10084" i="1"/>
  <c r="G10083" i="1"/>
  <c r="D10083" i="1"/>
  <c r="G10082" i="1"/>
  <c r="D10082" i="1"/>
  <c r="G10081" i="1"/>
  <c r="D10081" i="1"/>
  <c r="G10080" i="1"/>
  <c r="D10080" i="1"/>
  <c r="G10079" i="1"/>
  <c r="D10079" i="1"/>
  <c r="G10078" i="1"/>
  <c r="D10078" i="1"/>
  <c r="G10077" i="1"/>
  <c r="D10077" i="1"/>
  <c r="G10076" i="1"/>
  <c r="D10076" i="1"/>
  <c r="G10075" i="1"/>
  <c r="D10075" i="1"/>
  <c r="G10074" i="1"/>
  <c r="D10074" i="1"/>
  <c r="G10073" i="1"/>
  <c r="D10073" i="1"/>
  <c r="G10072" i="1"/>
  <c r="D10072" i="1"/>
  <c r="G10071" i="1"/>
  <c r="D10071" i="1"/>
  <c r="G10070" i="1"/>
  <c r="D10070" i="1"/>
  <c r="G10069" i="1"/>
  <c r="D10069" i="1"/>
  <c r="G10068" i="1"/>
  <c r="D10068" i="1"/>
  <c r="G10067" i="1"/>
  <c r="D10067" i="1"/>
  <c r="G10066" i="1"/>
  <c r="D10066" i="1"/>
  <c r="G10065" i="1"/>
  <c r="D10065" i="1"/>
  <c r="G10064" i="1"/>
  <c r="D10064" i="1"/>
  <c r="G10063" i="1"/>
  <c r="D10063" i="1"/>
  <c r="G10062" i="1"/>
  <c r="D10062" i="1"/>
  <c r="G10061" i="1"/>
  <c r="D10061" i="1"/>
  <c r="G10060" i="1"/>
  <c r="D10060" i="1"/>
  <c r="G10059" i="1"/>
  <c r="D10059" i="1"/>
  <c r="G10058" i="1"/>
  <c r="D10058" i="1"/>
  <c r="G10057" i="1"/>
  <c r="D10057" i="1"/>
  <c r="G10056" i="1"/>
  <c r="D10056" i="1"/>
  <c r="G10055" i="1"/>
  <c r="D10055" i="1"/>
  <c r="G10054" i="1"/>
  <c r="D10054" i="1"/>
  <c r="G10053" i="1"/>
  <c r="D10053" i="1"/>
  <c r="G10052" i="1"/>
  <c r="D10052" i="1"/>
  <c r="G10051" i="1"/>
  <c r="D10051" i="1"/>
  <c r="G10050" i="1"/>
  <c r="D10050" i="1"/>
  <c r="G10049" i="1"/>
  <c r="D10049" i="1"/>
  <c r="G10048" i="1"/>
  <c r="D10048" i="1"/>
  <c r="G10047" i="1"/>
  <c r="D10047" i="1"/>
  <c r="G10046" i="1"/>
  <c r="D10046" i="1"/>
  <c r="G10045" i="1"/>
  <c r="D10045" i="1"/>
  <c r="G10044" i="1"/>
  <c r="D10044" i="1"/>
  <c r="G10043" i="1"/>
  <c r="D10043" i="1"/>
  <c r="G10042" i="1"/>
  <c r="D10042" i="1"/>
  <c r="G10041" i="1"/>
  <c r="D10041" i="1"/>
  <c r="G10040" i="1"/>
  <c r="D10040" i="1"/>
  <c r="G10039" i="1"/>
  <c r="D10039" i="1"/>
  <c r="G10038" i="1"/>
  <c r="D10038" i="1"/>
  <c r="G10037" i="1"/>
  <c r="D10037" i="1"/>
  <c r="G10036" i="1"/>
  <c r="D10036" i="1"/>
  <c r="G10035" i="1"/>
  <c r="D10035" i="1"/>
  <c r="G10034" i="1"/>
  <c r="D10034" i="1"/>
  <c r="G10033" i="1"/>
  <c r="D10033" i="1"/>
  <c r="G10032" i="1"/>
  <c r="D10032" i="1"/>
  <c r="G10031" i="1"/>
  <c r="D10031" i="1"/>
  <c r="G10030" i="1"/>
  <c r="D10030" i="1"/>
  <c r="G10029" i="1"/>
  <c r="D10029" i="1"/>
  <c r="G10028" i="1"/>
  <c r="D10028" i="1"/>
  <c r="G10027" i="1"/>
  <c r="D10027" i="1"/>
  <c r="G10026" i="1"/>
  <c r="D10026" i="1"/>
  <c r="G10025" i="1"/>
  <c r="D10025" i="1"/>
  <c r="G10024" i="1"/>
  <c r="D10024" i="1"/>
  <c r="G10023" i="1"/>
  <c r="D10023" i="1"/>
  <c r="G10022" i="1"/>
  <c r="D10022" i="1"/>
  <c r="G10021" i="1"/>
  <c r="D10021" i="1"/>
  <c r="G10020" i="1"/>
  <c r="D10020" i="1"/>
  <c r="G10019" i="1"/>
  <c r="D10019" i="1"/>
  <c r="G10018" i="1"/>
  <c r="D10018" i="1"/>
  <c r="G10017" i="1"/>
  <c r="D10017" i="1"/>
  <c r="G10016" i="1"/>
  <c r="D10016" i="1"/>
  <c r="G10015" i="1"/>
  <c r="D10015" i="1"/>
  <c r="G10014" i="1"/>
  <c r="D10014" i="1"/>
  <c r="G10013" i="1"/>
  <c r="D10013" i="1"/>
  <c r="G10012" i="1"/>
  <c r="D10012" i="1"/>
  <c r="G10011" i="1"/>
  <c r="D10011" i="1"/>
  <c r="G10010" i="1"/>
  <c r="D10010" i="1"/>
  <c r="G10009" i="1"/>
  <c r="D10009" i="1"/>
  <c r="G10008" i="1"/>
  <c r="D10008" i="1"/>
  <c r="G10007" i="1"/>
  <c r="D10007" i="1"/>
  <c r="G10006" i="1"/>
  <c r="D10006" i="1"/>
  <c r="G10005" i="1"/>
  <c r="D10005" i="1"/>
  <c r="G10004" i="1"/>
  <c r="D10004" i="1"/>
  <c r="G10003" i="1"/>
  <c r="D10003" i="1"/>
  <c r="G10002" i="1"/>
  <c r="D10002" i="1"/>
  <c r="G10001" i="1"/>
  <c r="D10001" i="1"/>
  <c r="G10000" i="1"/>
  <c r="D10000" i="1"/>
  <c r="G9999" i="1"/>
  <c r="D9999" i="1"/>
  <c r="G9998" i="1"/>
  <c r="D9998" i="1"/>
  <c r="G9997" i="1"/>
  <c r="D9997" i="1"/>
  <c r="G9996" i="1"/>
  <c r="D9996" i="1"/>
  <c r="G9995" i="1"/>
  <c r="D9995" i="1"/>
  <c r="G9994" i="1"/>
  <c r="D9994" i="1"/>
  <c r="G9993" i="1"/>
  <c r="D9993" i="1"/>
  <c r="G9992" i="1"/>
  <c r="D9992" i="1"/>
  <c r="G9991" i="1"/>
  <c r="D9991" i="1"/>
  <c r="G9990" i="1"/>
  <c r="D9990" i="1"/>
  <c r="G9989" i="1"/>
  <c r="D9989" i="1"/>
  <c r="G9988" i="1"/>
  <c r="D9988" i="1"/>
  <c r="G9987" i="1"/>
  <c r="D9987" i="1"/>
  <c r="G9986" i="1"/>
  <c r="D9986" i="1"/>
  <c r="G9985" i="1"/>
  <c r="D9985" i="1"/>
  <c r="G9984" i="1"/>
  <c r="D9984" i="1"/>
  <c r="G9983" i="1"/>
  <c r="D9983" i="1"/>
  <c r="H9982" i="1"/>
  <c r="G9982" i="1"/>
  <c r="D9982" i="1"/>
  <c r="G9981" i="1"/>
  <c r="D9981" i="1"/>
  <c r="G9980" i="1"/>
  <c r="D9980" i="1"/>
  <c r="G9979" i="1"/>
  <c r="D9979" i="1"/>
  <c r="G9978" i="1"/>
  <c r="D9978" i="1"/>
  <c r="G9977" i="1"/>
  <c r="D9977" i="1"/>
  <c r="G9976" i="1"/>
  <c r="D9976" i="1"/>
  <c r="G9975" i="1"/>
  <c r="D9975" i="1"/>
  <c r="G9974" i="1"/>
  <c r="D9974" i="1"/>
  <c r="G9973" i="1"/>
  <c r="D9973" i="1"/>
  <c r="G9972" i="1"/>
  <c r="D9972" i="1"/>
  <c r="G9971" i="1"/>
  <c r="D9971" i="1"/>
  <c r="G9970" i="1"/>
  <c r="D9970" i="1"/>
  <c r="G9969" i="1"/>
  <c r="D9969" i="1"/>
  <c r="G9968" i="1"/>
  <c r="D9968" i="1"/>
  <c r="G9967" i="1"/>
  <c r="D9967" i="1"/>
  <c r="G9966" i="1"/>
  <c r="D9966" i="1"/>
  <c r="G9965" i="1"/>
  <c r="D9965" i="1"/>
  <c r="G9964" i="1"/>
  <c r="D9964" i="1"/>
  <c r="G9963" i="1"/>
  <c r="D9963" i="1"/>
  <c r="G9962" i="1"/>
  <c r="D9962" i="1"/>
  <c r="G9961" i="1"/>
  <c r="D9961" i="1"/>
  <c r="G9960" i="1"/>
  <c r="D9960" i="1"/>
  <c r="G9959" i="1"/>
  <c r="D9959" i="1"/>
  <c r="G9958" i="1"/>
  <c r="D9958" i="1"/>
  <c r="G9957" i="1"/>
  <c r="D9957" i="1"/>
  <c r="G9956" i="1"/>
  <c r="D9956" i="1"/>
  <c r="G9955" i="1"/>
  <c r="D9955" i="1"/>
  <c r="G9954" i="1"/>
  <c r="D9954" i="1"/>
  <c r="G9953" i="1"/>
  <c r="D9953" i="1"/>
  <c r="G9952" i="1"/>
  <c r="D9952" i="1"/>
  <c r="G9951" i="1"/>
  <c r="D9951" i="1"/>
  <c r="G9950" i="1"/>
  <c r="D9950" i="1"/>
  <c r="G9949" i="1"/>
  <c r="D9949" i="1"/>
  <c r="G9948" i="1"/>
  <c r="D9948" i="1"/>
  <c r="G9947" i="1"/>
  <c r="D9947" i="1"/>
  <c r="G9946" i="1"/>
  <c r="D9946" i="1"/>
  <c r="G9945" i="1"/>
  <c r="D9945" i="1"/>
  <c r="G9944" i="1"/>
  <c r="D9944" i="1"/>
  <c r="G9943" i="1"/>
  <c r="D9943" i="1"/>
  <c r="G9942" i="1"/>
  <c r="D9942" i="1"/>
  <c r="G9941" i="1"/>
  <c r="D9941" i="1"/>
  <c r="G9940" i="1"/>
  <c r="D9940" i="1"/>
  <c r="G9939" i="1"/>
  <c r="D9939" i="1"/>
  <c r="G9938" i="1"/>
  <c r="D9938" i="1"/>
  <c r="G9937" i="1"/>
  <c r="D9937" i="1"/>
  <c r="G9936" i="1"/>
  <c r="D9936" i="1"/>
  <c r="G9935" i="1"/>
  <c r="D9935" i="1"/>
  <c r="G9934" i="1"/>
  <c r="D9934" i="1"/>
  <c r="G9933" i="1"/>
  <c r="D9933" i="1"/>
  <c r="G9932" i="1"/>
  <c r="D9932" i="1"/>
  <c r="G9931" i="1"/>
  <c r="D9931" i="1"/>
  <c r="G9930" i="1"/>
  <c r="D9930" i="1"/>
  <c r="G9929" i="1"/>
  <c r="D9929" i="1"/>
  <c r="G9928" i="1"/>
  <c r="D9928" i="1"/>
  <c r="G9927" i="1"/>
  <c r="D9927" i="1"/>
  <c r="G9926" i="1"/>
  <c r="D9926" i="1"/>
  <c r="G9925" i="1"/>
  <c r="D9925" i="1"/>
  <c r="G9924" i="1"/>
  <c r="D9924" i="1"/>
  <c r="G9923" i="1"/>
  <c r="D9923" i="1"/>
  <c r="G9922" i="1"/>
  <c r="D9922" i="1"/>
  <c r="G9921" i="1"/>
  <c r="D9921" i="1"/>
  <c r="G9920" i="1"/>
  <c r="D9920" i="1"/>
  <c r="G9919" i="1"/>
  <c r="D9919" i="1"/>
  <c r="G9918" i="1"/>
  <c r="D9918" i="1"/>
  <c r="G9917" i="1"/>
  <c r="D9917" i="1"/>
  <c r="G9916" i="1"/>
  <c r="D9916" i="1"/>
  <c r="G9915" i="1"/>
  <c r="D9915" i="1"/>
  <c r="G9914" i="1"/>
  <c r="D9914" i="1"/>
  <c r="G9913" i="1"/>
  <c r="D9913" i="1"/>
  <c r="G9912" i="1"/>
  <c r="D9912" i="1"/>
  <c r="G9911" i="1"/>
  <c r="D9911" i="1"/>
  <c r="G9910" i="1"/>
  <c r="D9910" i="1"/>
  <c r="G9909" i="1"/>
  <c r="D9909" i="1"/>
  <c r="G9908" i="1"/>
  <c r="D9908" i="1"/>
  <c r="G9907" i="1"/>
  <c r="D9907" i="1"/>
  <c r="G9906" i="1"/>
  <c r="D9906" i="1"/>
  <c r="G9905" i="1"/>
  <c r="D9905" i="1"/>
  <c r="G9904" i="1"/>
  <c r="D9904" i="1"/>
  <c r="G9903" i="1"/>
  <c r="D9903" i="1"/>
  <c r="G9902" i="1"/>
  <c r="D9902" i="1"/>
  <c r="G9901" i="1"/>
  <c r="D9901" i="1"/>
  <c r="G9900" i="1"/>
  <c r="D9900" i="1"/>
  <c r="G9899" i="1"/>
  <c r="D9899" i="1"/>
  <c r="G9898" i="1"/>
  <c r="D9898" i="1"/>
  <c r="G9897" i="1"/>
  <c r="D9897" i="1"/>
  <c r="G9896" i="1"/>
  <c r="D9896" i="1"/>
  <c r="G9895" i="1"/>
  <c r="D9895" i="1"/>
  <c r="G9894" i="1"/>
  <c r="D9894" i="1"/>
  <c r="G9893" i="1"/>
  <c r="D9893" i="1"/>
  <c r="G9892" i="1"/>
  <c r="D9892" i="1"/>
  <c r="G9891" i="1"/>
  <c r="D9891" i="1"/>
  <c r="G9890" i="1"/>
  <c r="D9890" i="1"/>
  <c r="G9889" i="1"/>
  <c r="D9889" i="1"/>
  <c r="G9888" i="1"/>
  <c r="D9888" i="1"/>
  <c r="G9887" i="1"/>
  <c r="D9887" i="1"/>
  <c r="G9886" i="1"/>
  <c r="D9886" i="1"/>
  <c r="G9885" i="1"/>
  <c r="D9885" i="1"/>
  <c r="G9884" i="1"/>
  <c r="D9884" i="1"/>
  <c r="G9883" i="1"/>
  <c r="D9883" i="1"/>
  <c r="G9882" i="1"/>
  <c r="D9882" i="1"/>
  <c r="G9881" i="1"/>
  <c r="D9881" i="1"/>
  <c r="G9880" i="1"/>
  <c r="D9880" i="1"/>
  <c r="G9879" i="1"/>
  <c r="D9879" i="1"/>
  <c r="G9878" i="1"/>
  <c r="D9878" i="1"/>
  <c r="G9877" i="1"/>
  <c r="D9877" i="1"/>
  <c r="G9876" i="1"/>
  <c r="D9876" i="1"/>
  <c r="G9875" i="1"/>
  <c r="D9875" i="1"/>
  <c r="G9874" i="1"/>
  <c r="D9874" i="1"/>
  <c r="G9873" i="1"/>
  <c r="D9873" i="1"/>
  <c r="G9872" i="1"/>
  <c r="D9872" i="1"/>
  <c r="G9871" i="1"/>
  <c r="D9871" i="1"/>
  <c r="G9870" i="1"/>
  <c r="D9870" i="1"/>
  <c r="G9869" i="1"/>
  <c r="D9869" i="1"/>
  <c r="G9868" i="1"/>
  <c r="D9868" i="1"/>
  <c r="G9867" i="1"/>
  <c r="D9867" i="1"/>
  <c r="G9866" i="1"/>
  <c r="D9866" i="1"/>
  <c r="G9865" i="1"/>
  <c r="D9865" i="1"/>
  <c r="G9864" i="1"/>
  <c r="D9864" i="1"/>
  <c r="G9863" i="1"/>
  <c r="D9863" i="1"/>
  <c r="G9862" i="1"/>
  <c r="D9862" i="1"/>
  <c r="G9861" i="1"/>
  <c r="D9861" i="1"/>
  <c r="G9860" i="1"/>
  <c r="D9860" i="1"/>
  <c r="G9859" i="1"/>
  <c r="D9859" i="1"/>
  <c r="G9858" i="1"/>
  <c r="D9858" i="1"/>
  <c r="G9857" i="1"/>
  <c r="D9857" i="1"/>
  <c r="G9856" i="1"/>
  <c r="D9856" i="1"/>
  <c r="G9855" i="1"/>
  <c r="D9855" i="1"/>
  <c r="G9854" i="1"/>
  <c r="D9854" i="1"/>
  <c r="G9853" i="1"/>
  <c r="D9853" i="1"/>
  <c r="G9852" i="1"/>
  <c r="D9852" i="1"/>
  <c r="G9851" i="1"/>
  <c r="D9851" i="1"/>
  <c r="G9850" i="1"/>
  <c r="D9850" i="1"/>
  <c r="G9849" i="1"/>
  <c r="D9849" i="1"/>
  <c r="G9848" i="1"/>
  <c r="D9848" i="1"/>
  <c r="G9847" i="1"/>
  <c r="D9847" i="1"/>
  <c r="G9846" i="1"/>
  <c r="D9846" i="1"/>
  <c r="G9845" i="1"/>
  <c r="D9845" i="1"/>
  <c r="G9844" i="1"/>
  <c r="D9844" i="1"/>
  <c r="G9843" i="1"/>
  <c r="D9843" i="1"/>
  <c r="G9842" i="1"/>
  <c r="D9842" i="1"/>
  <c r="G9841" i="1"/>
  <c r="D9841" i="1"/>
  <c r="G9840" i="1"/>
  <c r="D9840" i="1"/>
  <c r="G9839" i="1"/>
  <c r="D9839" i="1"/>
  <c r="G9838" i="1"/>
  <c r="D9838" i="1"/>
  <c r="G9837" i="1"/>
  <c r="D9837" i="1"/>
  <c r="G9836" i="1"/>
  <c r="D9836" i="1"/>
  <c r="G9835" i="1"/>
  <c r="D9835" i="1"/>
  <c r="G9834" i="1"/>
  <c r="D9834" i="1"/>
  <c r="G9833" i="1"/>
  <c r="D9833" i="1"/>
  <c r="G9832" i="1"/>
  <c r="D9832" i="1"/>
  <c r="G9831" i="1"/>
  <c r="D9831" i="1"/>
  <c r="G9830" i="1"/>
  <c r="D9830" i="1"/>
  <c r="G9829" i="1"/>
  <c r="D9829" i="1"/>
  <c r="G9828" i="1"/>
  <c r="D9828" i="1"/>
  <c r="G9827" i="1"/>
  <c r="D9827" i="1"/>
  <c r="G9826" i="1"/>
  <c r="D9826" i="1"/>
  <c r="G9825" i="1"/>
  <c r="D9825" i="1"/>
  <c r="G9824" i="1"/>
  <c r="D9824" i="1"/>
  <c r="G9823" i="1"/>
  <c r="D9823" i="1"/>
  <c r="G9822" i="1"/>
  <c r="D9822" i="1"/>
  <c r="G9821" i="1"/>
  <c r="D9821" i="1"/>
  <c r="G9820" i="1"/>
  <c r="D9820" i="1"/>
  <c r="G9819" i="1"/>
  <c r="D9819" i="1"/>
  <c r="G9818" i="1"/>
  <c r="D9818" i="1"/>
  <c r="G9817" i="1"/>
  <c r="D9817" i="1"/>
  <c r="G9816" i="1"/>
  <c r="D9816" i="1"/>
  <c r="G9815" i="1"/>
  <c r="D9815" i="1"/>
  <c r="G9814" i="1"/>
  <c r="D9814" i="1"/>
  <c r="G9813" i="1"/>
  <c r="D9813" i="1"/>
  <c r="G9812" i="1"/>
  <c r="D9812" i="1"/>
  <c r="G9811" i="1"/>
  <c r="D9811" i="1"/>
  <c r="G9810" i="1"/>
  <c r="D9810" i="1"/>
  <c r="G9809" i="1"/>
  <c r="D9809" i="1"/>
  <c r="G9808" i="1"/>
  <c r="D9808" i="1"/>
  <c r="G9807" i="1"/>
  <c r="D9807" i="1"/>
  <c r="G9806" i="1"/>
  <c r="D9806" i="1"/>
  <c r="G9805" i="1"/>
  <c r="D9805" i="1"/>
  <c r="G9804" i="1"/>
  <c r="D9804" i="1"/>
  <c r="G9803" i="1"/>
  <c r="D9803" i="1"/>
  <c r="G9802" i="1"/>
  <c r="D9802" i="1"/>
  <c r="G9801" i="1"/>
  <c r="D9801" i="1"/>
  <c r="G9800" i="1"/>
  <c r="D9800" i="1"/>
  <c r="G9799" i="1"/>
  <c r="D9799" i="1"/>
  <c r="G9798" i="1"/>
  <c r="D9798" i="1"/>
  <c r="G9797" i="1"/>
  <c r="D9797" i="1"/>
  <c r="G9796" i="1"/>
  <c r="D9796" i="1"/>
  <c r="G9795" i="1"/>
  <c r="D9795" i="1"/>
  <c r="G9794" i="1"/>
  <c r="D9794" i="1"/>
  <c r="G9793" i="1"/>
  <c r="D9793" i="1"/>
  <c r="G9792" i="1"/>
  <c r="D9792" i="1"/>
  <c r="G9791" i="1"/>
  <c r="D9791" i="1"/>
  <c r="G9790" i="1"/>
  <c r="D9790" i="1"/>
  <c r="G9789" i="1"/>
  <c r="D9789" i="1"/>
  <c r="G9788" i="1"/>
  <c r="D9788" i="1"/>
  <c r="G9787" i="1"/>
  <c r="D9787" i="1"/>
  <c r="G9786" i="1"/>
  <c r="D9786" i="1"/>
  <c r="G9785" i="1"/>
  <c r="D9785" i="1"/>
  <c r="G9784" i="1"/>
  <c r="D9784" i="1"/>
  <c r="G9783" i="1"/>
  <c r="D9783" i="1"/>
  <c r="G9782" i="1"/>
  <c r="D9782" i="1"/>
  <c r="G9781" i="1"/>
  <c r="D9781" i="1"/>
  <c r="G9780" i="1"/>
  <c r="D9780" i="1"/>
  <c r="G9779" i="1"/>
  <c r="D9779" i="1"/>
  <c r="G9778" i="1"/>
  <c r="D9778" i="1"/>
  <c r="G9777" i="1"/>
  <c r="D9777" i="1"/>
  <c r="G9776" i="1"/>
  <c r="D9776" i="1"/>
  <c r="G9775" i="1"/>
  <c r="D9775" i="1"/>
  <c r="G9774" i="1"/>
  <c r="D9774" i="1"/>
  <c r="G9773" i="1"/>
  <c r="D9773" i="1"/>
  <c r="G9772" i="1"/>
  <c r="D9772" i="1"/>
  <c r="G9771" i="1"/>
  <c r="D9771" i="1"/>
  <c r="G9770" i="1"/>
  <c r="D9770" i="1"/>
  <c r="G9769" i="1"/>
  <c r="D9769" i="1"/>
  <c r="G9768" i="1"/>
  <c r="D9768" i="1"/>
  <c r="G9767" i="1"/>
  <c r="D9767" i="1"/>
  <c r="G9766" i="1"/>
  <c r="D9766" i="1"/>
  <c r="G9765" i="1"/>
  <c r="D9765" i="1"/>
  <c r="G9764" i="1"/>
  <c r="D9764" i="1"/>
  <c r="G9763" i="1"/>
  <c r="D9763" i="1"/>
  <c r="G9762" i="1"/>
  <c r="D9762" i="1"/>
  <c r="G9761" i="1"/>
  <c r="D9761" i="1"/>
  <c r="G9760" i="1"/>
  <c r="D9760" i="1"/>
  <c r="G9759" i="1"/>
  <c r="D9759" i="1"/>
  <c r="G9758" i="1"/>
  <c r="D9758" i="1"/>
  <c r="G9757" i="1"/>
  <c r="D9757" i="1"/>
  <c r="G9756" i="1"/>
  <c r="D9756" i="1"/>
  <c r="G9755" i="1"/>
  <c r="D9755" i="1"/>
  <c r="G9754" i="1"/>
  <c r="D9754" i="1"/>
  <c r="G9753" i="1"/>
  <c r="D9753" i="1"/>
  <c r="G9752" i="1"/>
  <c r="D9752" i="1"/>
  <c r="G9751" i="1"/>
  <c r="D9751" i="1"/>
  <c r="G9750" i="1"/>
  <c r="D9750" i="1"/>
  <c r="G9749" i="1"/>
  <c r="D9749" i="1"/>
  <c r="G9748" i="1"/>
  <c r="D9748" i="1"/>
  <c r="G9747" i="1"/>
  <c r="D9747" i="1"/>
  <c r="G9746" i="1"/>
  <c r="D9746" i="1"/>
  <c r="G9745" i="1"/>
  <c r="D9745" i="1"/>
  <c r="G9744" i="1"/>
  <c r="D9744" i="1"/>
  <c r="G9743" i="1"/>
  <c r="D9743" i="1"/>
  <c r="G9742" i="1"/>
  <c r="D9742" i="1"/>
  <c r="G9741" i="1"/>
  <c r="D9741" i="1"/>
  <c r="G9740" i="1"/>
  <c r="D9740" i="1"/>
  <c r="G9739" i="1"/>
  <c r="D9739" i="1"/>
  <c r="G9738" i="1"/>
  <c r="D9738" i="1"/>
  <c r="G9737" i="1"/>
  <c r="D9737" i="1"/>
  <c r="G9736" i="1"/>
  <c r="D9736" i="1"/>
  <c r="G9735" i="1"/>
  <c r="D9735" i="1"/>
  <c r="G9734" i="1"/>
  <c r="D9734" i="1"/>
  <c r="G9733" i="1"/>
  <c r="D9733" i="1"/>
  <c r="G9732" i="1"/>
  <c r="D9732" i="1"/>
  <c r="G9731" i="1"/>
  <c r="D9731" i="1"/>
  <c r="G9730" i="1"/>
  <c r="D9730" i="1"/>
  <c r="G9729" i="1"/>
  <c r="D9729" i="1"/>
  <c r="G9728" i="1"/>
  <c r="D9728" i="1"/>
  <c r="G9727" i="1"/>
  <c r="D9727" i="1"/>
  <c r="G9726" i="1"/>
  <c r="D9726" i="1"/>
  <c r="G9725" i="1"/>
  <c r="D9725" i="1"/>
  <c r="G9724" i="1"/>
  <c r="D9724" i="1"/>
  <c r="G9723" i="1"/>
  <c r="D9723" i="1"/>
  <c r="G9722" i="1"/>
  <c r="D9722" i="1"/>
  <c r="G9721" i="1"/>
  <c r="D9721" i="1"/>
  <c r="G9720" i="1"/>
  <c r="D9720" i="1"/>
  <c r="G9719" i="1"/>
  <c r="D9719" i="1"/>
  <c r="G9718" i="1"/>
  <c r="D9718" i="1"/>
  <c r="G9717" i="1"/>
  <c r="D9717" i="1"/>
  <c r="G9716" i="1"/>
  <c r="D9716" i="1"/>
  <c r="G9715" i="1"/>
  <c r="D9715" i="1"/>
  <c r="G9714" i="1"/>
  <c r="D9714" i="1"/>
  <c r="G9713" i="1"/>
  <c r="D9713" i="1"/>
  <c r="G9712" i="1"/>
  <c r="D9712" i="1"/>
  <c r="G9711" i="1"/>
  <c r="D9711" i="1"/>
  <c r="G9710" i="1"/>
  <c r="D9710" i="1"/>
  <c r="G9709" i="1"/>
  <c r="D9709" i="1"/>
  <c r="G9708" i="1"/>
  <c r="D9708" i="1"/>
  <c r="G9707" i="1"/>
  <c r="D9707" i="1"/>
  <c r="G9706" i="1"/>
  <c r="D9706" i="1"/>
  <c r="G9705" i="1"/>
  <c r="D9705" i="1"/>
  <c r="G9704" i="1"/>
  <c r="D9704" i="1"/>
  <c r="G9703" i="1"/>
  <c r="D9703" i="1"/>
  <c r="G9702" i="1"/>
  <c r="D9702" i="1"/>
  <c r="G9701" i="1"/>
  <c r="D9701" i="1"/>
  <c r="G9700" i="1"/>
  <c r="D9700" i="1"/>
  <c r="G9699" i="1"/>
  <c r="D9699" i="1"/>
  <c r="G9698" i="1"/>
  <c r="D9698" i="1"/>
  <c r="G9697" i="1"/>
  <c r="D9697" i="1"/>
  <c r="G9696" i="1"/>
  <c r="D9696" i="1"/>
  <c r="G9695" i="1"/>
  <c r="D9695" i="1"/>
  <c r="G9694" i="1"/>
  <c r="D9694" i="1"/>
  <c r="G9693" i="1"/>
  <c r="D9693" i="1"/>
  <c r="G9692" i="1"/>
  <c r="D9692" i="1"/>
  <c r="G9691" i="1"/>
  <c r="D9691" i="1"/>
  <c r="G9690" i="1"/>
  <c r="D9690" i="1"/>
  <c r="G9689" i="1"/>
  <c r="D9689" i="1"/>
  <c r="G9688" i="1"/>
  <c r="D9688" i="1"/>
  <c r="G9687" i="1"/>
  <c r="D9687" i="1"/>
  <c r="G9686" i="1"/>
  <c r="D9686" i="1"/>
  <c r="G9685" i="1"/>
  <c r="D9685" i="1"/>
  <c r="G9684" i="1"/>
  <c r="D9684" i="1"/>
  <c r="G9683" i="1"/>
  <c r="D9683" i="1"/>
  <c r="G9682" i="1"/>
  <c r="D9682" i="1"/>
  <c r="G9681" i="1"/>
  <c r="D9681" i="1"/>
  <c r="G9680" i="1"/>
  <c r="D9680" i="1"/>
  <c r="G9679" i="1"/>
  <c r="D9679" i="1"/>
  <c r="G9678" i="1"/>
  <c r="D9678" i="1"/>
  <c r="G9677" i="1"/>
  <c r="D9677" i="1"/>
  <c r="G9676" i="1"/>
  <c r="D9676" i="1"/>
  <c r="G9675" i="1"/>
  <c r="D9675" i="1"/>
  <c r="G9674" i="1"/>
  <c r="D9674" i="1"/>
  <c r="G9673" i="1"/>
  <c r="D9673" i="1"/>
  <c r="G9672" i="1"/>
  <c r="D9672" i="1"/>
  <c r="G9671" i="1"/>
  <c r="D9671" i="1"/>
  <c r="G9670" i="1"/>
  <c r="D9670" i="1"/>
  <c r="G9669" i="1"/>
  <c r="D9669" i="1"/>
  <c r="G9668" i="1"/>
  <c r="D9668" i="1"/>
  <c r="G9667" i="1"/>
  <c r="D9667" i="1"/>
  <c r="G9666" i="1"/>
  <c r="D9666" i="1"/>
  <c r="G9665" i="1"/>
  <c r="D9665" i="1"/>
  <c r="G9664" i="1"/>
  <c r="D9664" i="1"/>
  <c r="G9663" i="1"/>
  <c r="D9663" i="1"/>
  <c r="G9662" i="1"/>
  <c r="D9662" i="1"/>
  <c r="G9661" i="1"/>
  <c r="D9661" i="1"/>
  <c r="G9660" i="1"/>
  <c r="D9660" i="1"/>
  <c r="G9659" i="1"/>
  <c r="D9659" i="1"/>
  <c r="G9658" i="1"/>
  <c r="D9658" i="1"/>
  <c r="G9657" i="1"/>
  <c r="D9657" i="1"/>
  <c r="G9656" i="1"/>
  <c r="D9656" i="1"/>
  <c r="G9655" i="1"/>
  <c r="D9655" i="1"/>
  <c r="G9654" i="1"/>
  <c r="D9654" i="1"/>
  <c r="G9653" i="1"/>
  <c r="D9653" i="1"/>
  <c r="G9652" i="1"/>
  <c r="D9652" i="1"/>
  <c r="G9651" i="1"/>
  <c r="D9651" i="1"/>
  <c r="G9650" i="1"/>
  <c r="D9650" i="1"/>
  <c r="G9649" i="1"/>
  <c r="D9649" i="1"/>
  <c r="G9648" i="1"/>
  <c r="D9648" i="1"/>
  <c r="G9647" i="1"/>
  <c r="D9647" i="1"/>
  <c r="G9646" i="1"/>
  <c r="D9646" i="1"/>
  <c r="G9645" i="1"/>
  <c r="D9645" i="1"/>
  <c r="G9644" i="1"/>
  <c r="D9644" i="1"/>
  <c r="G9643" i="1"/>
  <c r="D9643" i="1"/>
  <c r="G9642" i="1"/>
  <c r="D9642" i="1"/>
  <c r="G9641" i="1"/>
  <c r="D9641" i="1"/>
  <c r="G9640" i="1"/>
  <c r="D9640" i="1"/>
  <c r="G9639" i="1"/>
  <c r="D9639" i="1"/>
  <c r="G9638" i="1"/>
  <c r="D9638" i="1"/>
  <c r="G9637" i="1"/>
  <c r="D9637" i="1"/>
  <c r="G9636" i="1"/>
  <c r="D9636" i="1"/>
  <c r="G9635" i="1"/>
  <c r="D9635" i="1"/>
  <c r="G9634" i="1"/>
  <c r="D9634" i="1"/>
  <c r="G9633" i="1"/>
  <c r="D9633" i="1"/>
  <c r="G9632" i="1"/>
  <c r="D9632" i="1"/>
  <c r="G9631" i="1"/>
  <c r="D9631" i="1"/>
  <c r="G9630" i="1"/>
  <c r="D9630" i="1"/>
  <c r="G9629" i="1"/>
  <c r="D9629" i="1"/>
  <c r="G9628" i="1"/>
  <c r="D9628" i="1"/>
  <c r="G9627" i="1"/>
  <c r="D9627" i="1"/>
  <c r="G9626" i="1"/>
  <c r="D9626" i="1"/>
  <c r="G9625" i="1"/>
  <c r="D9625" i="1"/>
  <c r="G9624" i="1"/>
  <c r="D9624" i="1"/>
  <c r="G9623" i="1"/>
  <c r="D9623" i="1"/>
  <c r="G9622" i="1"/>
  <c r="D9622" i="1"/>
  <c r="G9621" i="1"/>
  <c r="D9621" i="1"/>
  <c r="G9620" i="1"/>
  <c r="D9620" i="1"/>
  <c r="G9619" i="1"/>
  <c r="D9619" i="1"/>
  <c r="G9618" i="1"/>
  <c r="D9618" i="1"/>
  <c r="G9617" i="1"/>
  <c r="D9617" i="1"/>
  <c r="G9616" i="1"/>
  <c r="D9616" i="1"/>
  <c r="G9615" i="1"/>
  <c r="D9615" i="1"/>
  <c r="G9614" i="1"/>
  <c r="D9614" i="1"/>
  <c r="G9613" i="1"/>
  <c r="D9613" i="1"/>
  <c r="G9612" i="1"/>
  <c r="D9612" i="1"/>
  <c r="G9611" i="1"/>
  <c r="D9611" i="1"/>
  <c r="G9610" i="1"/>
  <c r="D9610" i="1"/>
  <c r="G9609" i="1"/>
  <c r="D9609" i="1"/>
  <c r="G9608" i="1"/>
  <c r="D9608" i="1"/>
  <c r="G9607" i="1"/>
  <c r="D9607" i="1"/>
  <c r="G9606" i="1"/>
  <c r="D9606" i="1"/>
  <c r="G9605" i="1"/>
  <c r="D9605" i="1"/>
  <c r="G9604" i="1"/>
  <c r="D9604" i="1"/>
  <c r="G9603" i="1"/>
  <c r="D9603" i="1"/>
  <c r="G9602" i="1"/>
  <c r="D9602" i="1"/>
  <c r="G9601" i="1"/>
  <c r="D9601" i="1"/>
  <c r="G9600" i="1"/>
  <c r="D9600" i="1"/>
  <c r="G9599" i="1"/>
  <c r="D9599" i="1"/>
  <c r="G9598" i="1"/>
  <c r="D9598" i="1"/>
  <c r="G9597" i="1"/>
  <c r="D9597" i="1"/>
  <c r="G9596" i="1"/>
  <c r="D9596" i="1"/>
  <c r="G9595" i="1"/>
  <c r="D9595" i="1"/>
  <c r="G9594" i="1"/>
  <c r="D9594" i="1"/>
  <c r="G9593" i="1"/>
  <c r="D9593" i="1"/>
  <c r="G9592" i="1"/>
  <c r="D9592" i="1"/>
  <c r="G9591" i="1"/>
  <c r="D9591" i="1"/>
  <c r="G9590" i="1"/>
  <c r="D9590" i="1"/>
  <c r="G9589" i="1"/>
  <c r="D9589" i="1"/>
  <c r="G9588" i="1"/>
  <c r="D9588" i="1"/>
  <c r="G9587" i="1"/>
  <c r="D9587" i="1"/>
  <c r="G9586" i="1"/>
  <c r="D9586" i="1"/>
  <c r="G9585" i="1"/>
  <c r="D9585" i="1"/>
  <c r="G9584" i="1"/>
  <c r="D9584" i="1"/>
  <c r="G9583" i="1"/>
  <c r="D9583" i="1"/>
  <c r="G9582" i="1"/>
  <c r="D9582" i="1"/>
  <c r="G9581" i="1"/>
  <c r="D9581" i="1"/>
  <c r="G9580" i="1"/>
  <c r="D9580" i="1"/>
  <c r="G9579" i="1"/>
  <c r="D9579" i="1"/>
  <c r="G9578" i="1"/>
  <c r="D9578" i="1"/>
  <c r="G9577" i="1"/>
  <c r="D9577" i="1"/>
  <c r="G9576" i="1"/>
  <c r="D9576" i="1"/>
  <c r="G9575" i="1"/>
  <c r="D9575" i="1"/>
  <c r="G9574" i="1"/>
  <c r="D9574" i="1"/>
  <c r="G9573" i="1"/>
  <c r="D9573" i="1"/>
  <c r="G9572" i="1"/>
  <c r="D9572" i="1"/>
  <c r="G9571" i="1"/>
  <c r="D9571" i="1"/>
  <c r="G9570" i="1"/>
  <c r="D9570" i="1"/>
  <c r="G9569" i="1"/>
  <c r="D9569" i="1"/>
  <c r="G9568" i="1"/>
  <c r="D9568" i="1"/>
  <c r="G9567" i="1"/>
  <c r="D9567" i="1"/>
  <c r="G9566" i="1"/>
  <c r="D9566" i="1"/>
  <c r="G9565" i="1"/>
  <c r="D9565" i="1"/>
  <c r="G9564" i="1"/>
  <c r="D9564" i="1"/>
  <c r="G9563" i="1"/>
  <c r="D9563" i="1"/>
  <c r="G9562" i="1"/>
  <c r="D9562" i="1"/>
  <c r="G9561" i="1"/>
  <c r="D9561" i="1"/>
  <c r="G9560" i="1"/>
  <c r="D9560" i="1"/>
  <c r="G9559" i="1"/>
  <c r="D9559" i="1"/>
  <c r="G9558" i="1"/>
  <c r="D9558" i="1"/>
  <c r="G9557" i="1"/>
  <c r="D9557" i="1"/>
  <c r="G9556" i="1"/>
  <c r="D9556" i="1"/>
  <c r="G9555" i="1"/>
  <c r="D9555" i="1"/>
  <c r="G9554" i="1"/>
  <c r="D9554" i="1"/>
  <c r="G9553" i="1"/>
  <c r="D9553" i="1"/>
  <c r="G9552" i="1"/>
  <c r="D9552" i="1"/>
  <c r="G9551" i="1"/>
  <c r="D9551" i="1"/>
  <c r="G9550" i="1"/>
  <c r="D9550" i="1"/>
  <c r="G9549" i="1"/>
  <c r="D9549" i="1"/>
  <c r="G9548" i="1"/>
  <c r="D9548" i="1"/>
  <c r="G9547" i="1"/>
  <c r="D9547" i="1"/>
  <c r="G9546" i="1"/>
  <c r="D9546" i="1"/>
  <c r="G9545" i="1"/>
  <c r="D9545" i="1"/>
  <c r="G9544" i="1"/>
  <c r="D9544" i="1"/>
  <c r="G9543" i="1"/>
  <c r="D9543" i="1"/>
  <c r="G9542" i="1"/>
  <c r="D9542" i="1"/>
  <c r="G9541" i="1"/>
  <c r="D9541" i="1"/>
  <c r="G9540" i="1"/>
  <c r="D9540" i="1"/>
  <c r="G9539" i="1"/>
  <c r="D9539" i="1"/>
  <c r="G9538" i="1"/>
  <c r="D9538" i="1"/>
  <c r="G9537" i="1"/>
  <c r="D9537" i="1"/>
  <c r="G9536" i="1"/>
  <c r="D9536" i="1"/>
  <c r="G9535" i="1"/>
  <c r="D9535" i="1"/>
  <c r="G9534" i="1"/>
  <c r="D9534" i="1"/>
  <c r="G9533" i="1"/>
  <c r="D9533" i="1"/>
  <c r="G9532" i="1"/>
  <c r="D9532" i="1"/>
  <c r="G9531" i="1"/>
  <c r="D9531" i="1"/>
  <c r="G9530" i="1"/>
  <c r="D9530" i="1"/>
  <c r="G9529" i="1"/>
  <c r="D9529" i="1"/>
  <c r="G9528" i="1"/>
  <c r="D9528" i="1"/>
  <c r="G9527" i="1"/>
  <c r="D9527" i="1"/>
  <c r="G9526" i="1"/>
  <c r="D9526" i="1"/>
  <c r="G9525" i="1"/>
  <c r="D9525" i="1"/>
  <c r="G9524" i="1"/>
  <c r="D9524" i="1"/>
  <c r="G9523" i="1"/>
  <c r="D9523" i="1"/>
  <c r="G9522" i="1"/>
  <c r="D9522" i="1"/>
  <c r="G9521" i="1"/>
  <c r="D9521" i="1"/>
  <c r="G9520" i="1"/>
  <c r="D9520" i="1"/>
  <c r="G9519" i="1"/>
  <c r="D9519" i="1"/>
  <c r="G9518" i="1"/>
  <c r="D9518" i="1"/>
  <c r="G9517" i="1"/>
  <c r="D9517" i="1"/>
  <c r="G9516" i="1"/>
  <c r="D9516" i="1"/>
  <c r="G9515" i="1"/>
  <c r="D9515" i="1"/>
  <c r="G9514" i="1"/>
  <c r="D9514" i="1"/>
  <c r="G9513" i="1"/>
  <c r="D9513" i="1"/>
  <c r="G9512" i="1"/>
  <c r="D9512" i="1"/>
  <c r="G9511" i="1"/>
  <c r="D9511" i="1"/>
  <c r="G9510" i="1"/>
  <c r="D9510" i="1"/>
  <c r="G9509" i="1"/>
  <c r="D9509" i="1"/>
  <c r="G9508" i="1"/>
  <c r="D9508" i="1"/>
  <c r="G9507" i="1"/>
  <c r="D9507" i="1"/>
  <c r="G9506" i="1"/>
  <c r="D9506" i="1"/>
  <c r="G9505" i="1"/>
  <c r="D9505" i="1"/>
  <c r="G9504" i="1"/>
  <c r="D9504" i="1"/>
  <c r="G9503" i="1"/>
  <c r="D9503" i="1"/>
  <c r="G9502" i="1"/>
  <c r="D9502" i="1"/>
  <c r="G9501" i="1"/>
  <c r="D9501" i="1"/>
  <c r="G9500" i="1"/>
  <c r="D9500" i="1"/>
  <c r="G9499" i="1"/>
  <c r="D9499" i="1"/>
  <c r="G9498" i="1"/>
  <c r="D9498" i="1"/>
  <c r="G9497" i="1"/>
  <c r="D9497" i="1"/>
  <c r="G9496" i="1"/>
  <c r="D9496" i="1"/>
  <c r="G9495" i="1"/>
  <c r="D9495" i="1"/>
  <c r="G9494" i="1"/>
  <c r="D9494" i="1"/>
  <c r="G9493" i="1"/>
  <c r="D9493" i="1"/>
  <c r="G9492" i="1"/>
  <c r="D9492" i="1"/>
  <c r="G9491" i="1"/>
  <c r="D9491" i="1"/>
  <c r="G9490" i="1"/>
  <c r="D9490" i="1"/>
  <c r="G9489" i="1"/>
  <c r="D9489" i="1"/>
  <c r="G9488" i="1"/>
  <c r="D9488" i="1"/>
  <c r="G9487" i="1"/>
  <c r="D9487" i="1"/>
  <c r="G9486" i="1"/>
  <c r="D9486" i="1"/>
  <c r="G9485" i="1"/>
  <c r="D9485" i="1"/>
  <c r="G9484" i="1"/>
  <c r="D9484" i="1"/>
  <c r="G9483" i="1"/>
  <c r="D9483" i="1"/>
  <c r="G9482" i="1"/>
  <c r="D9482" i="1"/>
  <c r="G9481" i="1"/>
  <c r="D9481" i="1"/>
  <c r="G9480" i="1"/>
  <c r="D9480" i="1"/>
  <c r="G9479" i="1"/>
  <c r="D9479" i="1"/>
  <c r="G9478" i="1"/>
  <c r="D9478" i="1"/>
  <c r="G9477" i="1"/>
  <c r="D9477" i="1"/>
  <c r="G9476" i="1"/>
  <c r="D9476" i="1"/>
  <c r="G9475" i="1"/>
  <c r="D9475" i="1"/>
  <c r="G9474" i="1"/>
  <c r="D9474" i="1"/>
  <c r="G9473" i="1"/>
  <c r="D9473" i="1"/>
  <c r="G9472" i="1"/>
  <c r="D9472" i="1"/>
  <c r="G9471" i="1"/>
  <c r="D9471" i="1"/>
  <c r="G9470" i="1"/>
  <c r="D9470" i="1"/>
  <c r="G9469" i="1"/>
  <c r="D9469" i="1"/>
  <c r="G9468" i="1"/>
  <c r="D9468" i="1"/>
  <c r="G9467" i="1"/>
  <c r="D9467" i="1"/>
  <c r="G9466" i="1"/>
  <c r="D9466" i="1"/>
  <c r="G9465" i="1"/>
  <c r="D9465" i="1"/>
  <c r="G9464" i="1"/>
  <c r="D9464" i="1"/>
  <c r="G9463" i="1"/>
  <c r="D9463" i="1"/>
  <c r="G9462" i="1"/>
  <c r="D9462" i="1"/>
  <c r="G9461" i="1"/>
  <c r="D9461" i="1"/>
  <c r="G9460" i="1"/>
  <c r="D9460" i="1"/>
  <c r="G9459" i="1"/>
  <c r="D9459" i="1"/>
  <c r="G9458" i="1"/>
  <c r="D9458" i="1"/>
  <c r="G9457" i="1"/>
  <c r="D9457" i="1"/>
  <c r="G9456" i="1"/>
  <c r="D9456" i="1"/>
  <c r="G9455" i="1"/>
  <c r="D9455" i="1"/>
  <c r="G9454" i="1"/>
  <c r="D9454" i="1"/>
  <c r="G9453" i="1"/>
  <c r="D9453" i="1"/>
  <c r="G9452" i="1"/>
  <c r="D9452" i="1"/>
  <c r="G9451" i="1"/>
  <c r="D9451" i="1"/>
  <c r="G9450" i="1"/>
  <c r="D9450" i="1"/>
  <c r="G9449" i="1"/>
  <c r="D9449" i="1"/>
  <c r="G9448" i="1"/>
  <c r="D9448" i="1"/>
  <c r="G9447" i="1"/>
  <c r="D9447" i="1"/>
  <c r="G9446" i="1"/>
  <c r="D9446" i="1"/>
  <c r="G9445" i="1"/>
  <c r="D9445" i="1"/>
  <c r="G9444" i="1"/>
  <c r="D9444" i="1"/>
  <c r="G9443" i="1"/>
  <c r="D9443" i="1"/>
  <c r="G9442" i="1"/>
  <c r="D9442" i="1"/>
  <c r="G9441" i="1"/>
  <c r="D9441" i="1"/>
  <c r="G9440" i="1"/>
  <c r="D9440" i="1"/>
  <c r="G9439" i="1"/>
  <c r="D9439" i="1"/>
  <c r="G9438" i="1"/>
  <c r="D9438" i="1"/>
  <c r="G9437" i="1"/>
  <c r="D9437" i="1"/>
  <c r="G9436" i="1"/>
  <c r="D9436" i="1"/>
  <c r="G9435" i="1"/>
  <c r="D9435" i="1"/>
  <c r="G9434" i="1"/>
  <c r="D9434" i="1"/>
  <c r="G9433" i="1"/>
  <c r="D9433" i="1"/>
  <c r="G9432" i="1"/>
  <c r="D9432" i="1"/>
  <c r="G9431" i="1"/>
  <c r="D9431" i="1"/>
  <c r="G9430" i="1"/>
  <c r="D9430" i="1"/>
  <c r="G9429" i="1"/>
  <c r="D9429" i="1"/>
  <c r="G9428" i="1"/>
  <c r="D9428" i="1"/>
  <c r="G9427" i="1"/>
  <c r="D9427" i="1"/>
  <c r="G9426" i="1"/>
  <c r="D9426" i="1"/>
  <c r="G9425" i="1"/>
  <c r="D9425" i="1"/>
  <c r="G9424" i="1"/>
  <c r="D9424" i="1"/>
  <c r="G9423" i="1"/>
  <c r="D9423" i="1"/>
  <c r="G9422" i="1"/>
  <c r="D9422" i="1"/>
  <c r="G9421" i="1"/>
  <c r="D9421" i="1"/>
  <c r="G9420" i="1"/>
  <c r="D9420" i="1"/>
  <c r="G9419" i="1"/>
  <c r="D9419" i="1"/>
  <c r="G9418" i="1"/>
  <c r="D9418" i="1"/>
  <c r="G9417" i="1"/>
  <c r="D9417" i="1"/>
  <c r="G9416" i="1"/>
  <c r="D9416" i="1"/>
  <c r="G9415" i="1"/>
  <c r="D9415" i="1"/>
  <c r="G9414" i="1"/>
  <c r="D9414" i="1"/>
  <c r="G9413" i="1"/>
  <c r="D9413" i="1"/>
  <c r="G9412" i="1"/>
  <c r="D9412" i="1"/>
  <c r="G9411" i="1"/>
  <c r="D9411" i="1"/>
  <c r="G9410" i="1"/>
  <c r="D9410" i="1"/>
  <c r="G9409" i="1"/>
  <c r="D9409" i="1"/>
  <c r="G9408" i="1"/>
  <c r="D9408" i="1"/>
  <c r="G9407" i="1"/>
  <c r="D9407" i="1"/>
  <c r="G9406" i="1"/>
  <c r="D9406" i="1"/>
  <c r="G9405" i="1"/>
  <c r="D9405" i="1"/>
  <c r="G9404" i="1"/>
  <c r="D9404" i="1"/>
  <c r="G9403" i="1"/>
  <c r="D9403" i="1"/>
  <c r="G9402" i="1"/>
  <c r="D9402" i="1"/>
  <c r="G9401" i="1"/>
  <c r="D9401" i="1"/>
  <c r="G9400" i="1"/>
  <c r="D9400" i="1"/>
  <c r="G9399" i="1"/>
  <c r="D9399" i="1"/>
  <c r="G9398" i="1"/>
  <c r="D9398" i="1"/>
  <c r="G9397" i="1"/>
  <c r="D9397" i="1"/>
  <c r="G9396" i="1"/>
  <c r="D9396" i="1"/>
  <c r="G9395" i="1"/>
  <c r="D9395" i="1"/>
  <c r="G9394" i="1"/>
  <c r="D9394" i="1"/>
  <c r="G9393" i="1"/>
  <c r="D9393" i="1"/>
  <c r="G9392" i="1"/>
  <c r="D9392" i="1"/>
  <c r="G9391" i="1"/>
  <c r="D9391" i="1"/>
  <c r="G9390" i="1"/>
  <c r="D9390" i="1"/>
  <c r="G9389" i="1"/>
  <c r="D9389" i="1"/>
  <c r="G9388" i="1"/>
  <c r="D9388" i="1"/>
  <c r="G9387" i="1"/>
  <c r="D9387" i="1"/>
  <c r="G9386" i="1"/>
  <c r="D9386" i="1"/>
  <c r="G9385" i="1"/>
  <c r="D9385" i="1"/>
  <c r="G9384" i="1"/>
  <c r="D9384" i="1"/>
  <c r="G9383" i="1"/>
  <c r="D9383" i="1"/>
  <c r="G9382" i="1"/>
  <c r="D9382" i="1"/>
  <c r="G9381" i="1"/>
  <c r="D9381" i="1"/>
  <c r="G9380" i="1"/>
  <c r="D9380" i="1"/>
  <c r="G9379" i="1"/>
  <c r="D9379" i="1"/>
  <c r="G9378" i="1"/>
  <c r="D9378" i="1"/>
  <c r="G9377" i="1"/>
  <c r="D9377" i="1"/>
  <c r="G9376" i="1"/>
  <c r="D9376" i="1"/>
  <c r="G9375" i="1"/>
  <c r="D9375" i="1"/>
  <c r="G9374" i="1"/>
  <c r="D9374" i="1"/>
  <c r="G9373" i="1"/>
  <c r="D9373" i="1"/>
  <c r="G9372" i="1"/>
  <c r="D9372" i="1"/>
  <c r="G9371" i="1"/>
  <c r="D9371" i="1"/>
  <c r="G9370" i="1"/>
  <c r="D9370" i="1"/>
  <c r="G9369" i="1"/>
  <c r="D9369" i="1"/>
  <c r="G9368" i="1"/>
  <c r="D9368" i="1"/>
  <c r="G9367" i="1"/>
  <c r="D9367" i="1"/>
  <c r="G9366" i="1"/>
  <c r="D9366" i="1"/>
  <c r="G9365" i="1"/>
  <c r="D9365" i="1"/>
  <c r="G9364" i="1"/>
  <c r="D9364" i="1"/>
  <c r="G9363" i="1"/>
  <c r="D9363" i="1"/>
  <c r="G9362" i="1"/>
  <c r="D9362" i="1"/>
  <c r="G9361" i="1"/>
  <c r="D9361" i="1"/>
  <c r="G9360" i="1"/>
  <c r="D9360" i="1"/>
  <c r="G9359" i="1"/>
  <c r="D9359" i="1"/>
  <c r="G9358" i="1"/>
  <c r="D9358" i="1"/>
  <c r="G9357" i="1"/>
  <c r="D9357" i="1"/>
  <c r="G9356" i="1"/>
  <c r="D9356" i="1"/>
  <c r="G9355" i="1"/>
  <c r="D9355" i="1"/>
  <c r="G9354" i="1"/>
  <c r="D9354" i="1"/>
  <c r="G9353" i="1"/>
  <c r="D9353" i="1"/>
  <c r="G9352" i="1"/>
  <c r="D9352" i="1"/>
  <c r="G9351" i="1"/>
  <c r="D9351" i="1"/>
  <c r="G9350" i="1"/>
  <c r="D9350" i="1"/>
  <c r="G9349" i="1"/>
  <c r="D9349" i="1"/>
  <c r="G9348" i="1"/>
  <c r="D9348" i="1"/>
  <c r="G9347" i="1"/>
  <c r="D9347" i="1"/>
  <c r="G9346" i="1"/>
  <c r="D9346" i="1"/>
  <c r="G9345" i="1"/>
  <c r="D9345" i="1"/>
  <c r="G9344" i="1"/>
  <c r="D9344" i="1"/>
  <c r="G9343" i="1"/>
  <c r="D9343" i="1"/>
  <c r="G9342" i="1"/>
  <c r="D9342" i="1"/>
  <c r="G9341" i="1"/>
  <c r="D9341" i="1"/>
  <c r="G9340" i="1"/>
  <c r="D9340" i="1"/>
  <c r="G9339" i="1"/>
  <c r="D9339" i="1"/>
  <c r="G9338" i="1"/>
  <c r="D9338" i="1"/>
  <c r="G9337" i="1"/>
  <c r="D9337" i="1"/>
  <c r="G9336" i="1"/>
  <c r="D9336" i="1"/>
  <c r="G9335" i="1"/>
  <c r="D9335" i="1"/>
  <c r="G9334" i="1"/>
  <c r="D9334" i="1"/>
  <c r="G9333" i="1"/>
  <c r="D9333" i="1"/>
  <c r="G9332" i="1"/>
  <c r="D9332" i="1"/>
  <c r="G9331" i="1"/>
  <c r="D9331" i="1"/>
  <c r="G9330" i="1"/>
  <c r="D9330" i="1"/>
  <c r="G9329" i="1"/>
  <c r="D9329" i="1"/>
  <c r="G9328" i="1"/>
  <c r="D9328" i="1"/>
  <c r="G9327" i="1"/>
  <c r="D9327" i="1"/>
  <c r="G9326" i="1"/>
  <c r="D9326" i="1"/>
  <c r="G9325" i="1"/>
  <c r="D9325" i="1"/>
  <c r="G9324" i="1"/>
  <c r="D9324" i="1"/>
  <c r="G9323" i="1"/>
  <c r="D9323" i="1"/>
  <c r="G9322" i="1"/>
  <c r="D9322" i="1"/>
  <c r="G9321" i="1"/>
  <c r="D9321" i="1"/>
  <c r="G9320" i="1"/>
  <c r="D9320" i="1"/>
  <c r="G9319" i="1"/>
  <c r="D9319" i="1"/>
  <c r="G9318" i="1"/>
  <c r="D9318" i="1"/>
  <c r="G9317" i="1"/>
  <c r="D9317" i="1"/>
  <c r="G9316" i="1"/>
  <c r="D9316" i="1"/>
  <c r="G9315" i="1"/>
  <c r="D9315" i="1"/>
  <c r="G9314" i="1"/>
  <c r="D9314" i="1"/>
  <c r="G9313" i="1"/>
  <c r="D9313" i="1"/>
  <c r="G9312" i="1"/>
  <c r="D9312" i="1"/>
  <c r="G9311" i="1"/>
  <c r="D9311" i="1"/>
  <c r="G9310" i="1"/>
  <c r="D9310" i="1"/>
  <c r="G9309" i="1"/>
  <c r="D9309" i="1"/>
  <c r="G9308" i="1"/>
  <c r="D9308" i="1"/>
  <c r="G9307" i="1"/>
  <c r="D9307" i="1"/>
  <c r="G9306" i="1"/>
  <c r="D9306" i="1"/>
  <c r="G9305" i="1"/>
  <c r="D9305" i="1"/>
  <c r="G9304" i="1"/>
  <c r="D9304" i="1"/>
  <c r="G9303" i="1"/>
  <c r="D9303" i="1"/>
  <c r="G9302" i="1"/>
  <c r="D9302" i="1"/>
  <c r="G9301" i="1"/>
  <c r="D9301" i="1"/>
  <c r="G9300" i="1"/>
  <c r="D9300" i="1"/>
  <c r="G9299" i="1"/>
  <c r="D9299" i="1"/>
  <c r="G9298" i="1"/>
  <c r="D9298" i="1"/>
  <c r="G9297" i="1"/>
  <c r="D9297" i="1"/>
  <c r="G9296" i="1"/>
  <c r="D9296" i="1"/>
  <c r="G9295" i="1"/>
  <c r="D9295" i="1"/>
  <c r="G9294" i="1"/>
  <c r="D9294" i="1"/>
  <c r="G9293" i="1"/>
  <c r="D9293" i="1"/>
  <c r="G9292" i="1"/>
  <c r="D9292" i="1"/>
  <c r="G9291" i="1"/>
  <c r="D9291" i="1"/>
  <c r="G9290" i="1"/>
  <c r="D9290" i="1"/>
  <c r="G9289" i="1"/>
  <c r="D9289" i="1"/>
  <c r="G9288" i="1"/>
  <c r="D9288" i="1"/>
  <c r="G9287" i="1"/>
  <c r="D9287" i="1"/>
  <c r="G9286" i="1"/>
  <c r="D9286" i="1"/>
  <c r="G9285" i="1"/>
  <c r="D9285" i="1"/>
  <c r="G9284" i="1"/>
  <c r="D9284" i="1"/>
  <c r="G9283" i="1"/>
  <c r="D9283" i="1"/>
  <c r="G9282" i="1"/>
  <c r="D9282" i="1"/>
  <c r="G9281" i="1"/>
  <c r="D9281" i="1"/>
  <c r="G9280" i="1"/>
  <c r="D9280" i="1"/>
  <c r="G9279" i="1"/>
  <c r="D9279" i="1"/>
  <c r="G9278" i="1"/>
  <c r="D9278" i="1"/>
  <c r="G9277" i="1"/>
  <c r="D9277" i="1"/>
  <c r="G9276" i="1"/>
  <c r="D9276" i="1"/>
  <c r="G9275" i="1"/>
  <c r="D9275" i="1"/>
  <c r="G9274" i="1"/>
  <c r="D9274" i="1"/>
  <c r="G9273" i="1"/>
  <c r="D9273" i="1"/>
  <c r="G9272" i="1"/>
  <c r="D9272" i="1"/>
  <c r="G9271" i="1"/>
  <c r="D9271" i="1"/>
  <c r="G9270" i="1"/>
  <c r="D9270" i="1"/>
  <c r="G9269" i="1"/>
  <c r="D9269" i="1"/>
  <c r="G9268" i="1"/>
  <c r="D9268" i="1"/>
  <c r="G9267" i="1"/>
  <c r="D9267" i="1"/>
  <c r="G9266" i="1"/>
  <c r="D9266" i="1"/>
  <c r="G9265" i="1"/>
  <c r="D9265" i="1"/>
  <c r="G9264" i="1"/>
  <c r="D9264" i="1"/>
  <c r="G9263" i="1"/>
  <c r="D9263" i="1"/>
  <c r="G9262" i="1"/>
  <c r="D9262" i="1"/>
  <c r="G9261" i="1"/>
  <c r="D9261" i="1"/>
  <c r="G9260" i="1"/>
  <c r="D9260" i="1"/>
  <c r="G9259" i="1"/>
  <c r="D9259" i="1"/>
  <c r="G9258" i="1"/>
  <c r="D9258" i="1"/>
  <c r="G9257" i="1"/>
  <c r="D9257" i="1"/>
  <c r="G9256" i="1"/>
  <c r="D9256" i="1"/>
  <c r="G9255" i="1"/>
  <c r="D9255" i="1"/>
  <c r="G9254" i="1"/>
  <c r="D9254" i="1"/>
  <c r="G9253" i="1"/>
  <c r="D9253" i="1"/>
  <c r="G9252" i="1"/>
  <c r="D9252" i="1"/>
  <c r="G9251" i="1"/>
  <c r="D9251" i="1"/>
  <c r="G9250" i="1"/>
  <c r="D9250" i="1"/>
  <c r="G9249" i="1"/>
  <c r="D9249" i="1"/>
  <c r="G9248" i="1"/>
  <c r="D9248" i="1"/>
  <c r="G9247" i="1"/>
  <c r="D9247" i="1"/>
  <c r="G9246" i="1"/>
  <c r="D9246" i="1"/>
  <c r="G9245" i="1"/>
  <c r="D9245" i="1"/>
  <c r="G9244" i="1"/>
  <c r="D9244" i="1"/>
  <c r="G9243" i="1"/>
  <c r="D9243" i="1"/>
  <c r="G9242" i="1"/>
  <c r="D9242" i="1"/>
  <c r="G9241" i="1"/>
  <c r="D9241" i="1"/>
  <c r="G9240" i="1"/>
  <c r="D9240" i="1"/>
  <c r="G9239" i="1"/>
  <c r="D9239" i="1"/>
  <c r="G9238" i="1"/>
  <c r="D9238" i="1"/>
  <c r="G9237" i="1"/>
  <c r="D9237" i="1"/>
  <c r="G9236" i="1"/>
  <c r="D9236" i="1"/>
  <c r="G9235" i="1"/>
  <c r="D9235" i="1"/>
  <c r="G9234" i="1"/>
  <c r="D9234" i="1"/>
  <c r="G9233" i="1"/>
  <c r="D9233" i="1"/>
  <c r="G9232" i="1"/>
  <c r="D9232" i="1"/>
  <c r="G9231" i="1"/>
  <c r="D9231" i="1"/>
  <c r="G9230" i="1"/>
  <c r="D9230" i="1"/>
  <c r="G9229" i="1"/>
  <c r="D9229" i="1"/>
  <c r="G9228" i="1"/>
  <c r="D9228" i="1"/>
  <c r="G9227" i="1"/>
  <c r="D9227" i="1"/>
  <c r="G9226" i="1"/>
  <c r="D9226" i="1"/>
  <c r="G9225" i="1"/>
  <c r="D9225" i="1"/>
  <c r="G9224" i="1"/>
  <c r="D9224" i="1"/>
  <c r="G9223" i="1"/>
  <c r="D9223" i="1"/>
  <c r="G9222" i="1"/>
  <c r="D9222" i="1"/>
  <c r="G9221" i="1"/>
  <c r="D9221" i="1"/>
  <c r="G9220" i="1"/>
  <c r="D9220" i="1"/>
  <c r="G9219" i="1"/>
  <c r="D9219" i="1"/>
  <c r="G9218" i="1"/>
  <c r="D9218" i="1"/>
  <c r="G9217" i="1"/>
  <c r="D9217" i="1"/>
  <c r="G9216" i="1"/>
  <c r="D9216" i="1"/>
  <c r="G9215" i="1"/>
  <c r="D9215" i="1"/>
  <c r="G9214" i="1"/>
  <c r="D9214" i="1"/>
  <c r="G9213" i="1"/>
  <c r="D9213" i="1"/>
  <c r="G9212" i="1"/>
  <c r="D9212" i="1"/>
  <c r="G9211" i="1"/>
  <c r="D9211" i="1"/>
  <c r="G9210" i="1"/>
  <c r="D9210" i="1"/>
  <c r="G9209" i="1"/>
  <c r="D9209" i="1"/>
  <c r="G9208" i="1"/>
  <c r="D9208" i="1"/>
  <c r="G9207" i="1"/>
  <c r="D9207" i="1"/>
  <c r="G9206" i="1"/>
  <c r="D9206" i="1"/>
  <c r="G9205" i="1"/>
  <c r="D9205" i="1"/>
  <c r="G9204" i="1"/>
  <c r="D9204" i="1"/>
  <c r="G9203" i="1"/>
  <c r="D9203" i="1"/>
  <c r="G9202" i="1"/>
  <c r="D9202" i="1"/>
  <c r="G9201" i="1"/>
  <c r="D9201" i="1"/>
  <c r="G9200" i="1"/>
  <c r="D9200" i="1"/>
  <c r="G9199" i="1"/>
  <c r="D9199" i="1"/>
  <c r="G9198" i="1"/>
  <c r="D9198" i="1"/>
  <c r="G9197" i="1"/>
  <c r="D9197" i="1"/>
  <c r="G9196" i="1"/>
  <c r="D9196" i="1"/>
  <c r="G9195" i="1"/>
  <c r="D9195" i="1"/>
  <c r="G9194" i="1"/>
  <c r="D9194" i="1"/>
  <c r="G9193" i="1"/>
  <c r="D9193" i="1"/>
  <c r="G9192" i="1"/>
  <c r="D9192" i="1"/>
  <c r="G9191" i="1"/>
  <c r="D9191" i="1"/>
  <c r="G9190" i="1"/>
  <c r="D9190" i="1"/>
  <c r="G9189" i="1"/>
  <c r="D9189" i="1"/>
  <c r="G9188" i="1"/>
  <c r="D9188" i="1"/>
  <c r="G9187" i="1"/>
  <c r="D9187" i="1"/>
  <c r="G9186" i="1"/>
  <c r="D9186" i="1"/>
  <c r="G9185" i="1"/>
  <c r="D9185" i="1"/>
  <c r="G9184" i="1"/>
  <c r="D9184" i="1"/>
  <c r="G9183" i="1"/>
  <c r="D9183" i="1"/>
  <c r="G9182" i="1"/>
  <c r="D9182" i="1"/>
  <c r="G9181" i="1"/>
  <c r="D9181" i="1"/>
  <c r="G9180" i="1"/>
  <c r="D9180" i="1"/>
  <c r="G9179" i="1"/>
  <c r="D9179" i="1"/>
  <c r="G9178" i="1"/>
  <c r="D9178" i="1"/>
  <c r="G9177" i="1"/>
  <c r="D9177" i="1"/>
  <c r="G9176" i="1"/>
  <c r="D9176" i="1"/>
  <c r="G9175" i="1"/>
  <c r="D9175" i="1"/>
  <c r="G9174" i="1"/>
  <c r="D9174" i="1"/>
  <c r="G9173" i="1"/>
  <c r="D9173" i="1"/>
  <c r="G9172" i="1"/>
  <c r="D9172" i="1"/>
  <c r="G9171" i="1"/>
  <c r="D9171" i="1"/>
  <c r="G9170" i="1"/>
  <c r="D9170" i="1"/>
  <c r="G9169" i="1"/>
  <c r="D9169" i="1"/>
  <c r="G9168" i="1"/>
  <c r="D9168" i="1"/>
  <c r="G9167" i="1"/>
  <c r="D9167" i="1"/>
  <c r="G9166" i="1"/>
  <c r="D9166" i="1"/>
  <c r="G9165" i="1"/>
  <c r="D9165" i="1"/>
  <c r="G9164" i="1"/>
  <c r="D9164" i="1"/>
  <c r="G9163" i="1"/>
  <c r="D9163" i="1"/>
  <c r="G9162" i="1"/>
  <c r="D9162" i="1"/>
  <c r="G9161" i="1"/>
  <c r="D9161" i="1"/>
  <c r="G9160" i="1"/>
  <c r="D9160" i="1"/>
  <c r="G9159" i="1"/>
  <c r="D9159" i="1"/>
  <c r="G9158" i="1"/>
  <c r="D9158" i="1"/>
  <c r="G9157" i="1"/>
  <c r="D9157" i="1"/>
  <c r="G9156" i="1"/>
  <c r="D9156" i="1"/>
  <c r="G9155" i="1"/>
  <c r="D9155" i="1"/>
  <c r="G9154" i="1"/>
  <c r="D9154" i="1"/>
  <c r="G9153" i="1"/>
  <c r="D9153" i="1"/>
  <c r="G9152" i="1"/>
  <c r="D9152" i="1"/>
  <c r="G9151" i="1"/>
  <c r="D9151" i="1"/>
  <c r="G9150" i="1"/>
  <c r="D9150" i="1"/>
  <c r="G9149" i="1"/>
  <c r="D9149" i="1"/>
  <c r="G9148" i="1"/>
  <c r="D9148" i="1"/>
  <c r="G9147" i="1"/>
  <c r="D9147" i="1"/>
  <c r="G9146" i="1"/>
  <c r="D9146" i="1"/>
  <c r="G9145" i="1"/>
  <c r="D9145" i="1"/>
  <c r="G9144" i="1"/>
  <c r="D9144" i="1"/>
  <c r="G9143" i="1"/>
  <c r="D9143" i="1"/>
  <c r="G9142" i="1"/>
  <c r="D9142" i="1"/>
  <c r="G9141" i="1"/>
  <c r="D9141" i="1"/>
  <c r="G9140" i="1"/>
  <c r="D9140" i="1"/>
  <c r="G9139" i="1"/>
  <c r="D9139" i="1"/>
  <c r="G9138" i="1"/>
  <c r="D9138" i="1"/>
  <c r="G9137" i="1"/>
  <c r="D9137" i="1"/>
  <c r="G9136" i="1"/>
  <c r="D9136" i="1"/>
  <c r="G9135" i="1"/>
  <c r="D9135" i="1"/>
  <c r="G9134" i="1"/>
  <c r="D9134" i="1"/>
  <c r="G9133" i="1"/>
  <c r="D9133" i="1"/>
  <c r="G9132" i="1"/>
  <c r="D9132" i="1"/>
  <c r="G9131" i="1"/>
  <c r="D9131" i="1"/>
  <c r="G9130" i="1"/>
  <c r="D9130" i="1"/>
  <c r="G9129" i="1"/>
  <c r="D9129" i="1"/>
  <c r="G9128" i="1"/>
  <c r="D9128" i="1"/>
  <c r="G9127" i="1"/>
  <c r="D9127" i="1"/>
  <c r="G9126" i="1"/>
  <c r="D9126" i="1"/>
  <c r="G9125" i="1"/>
  <c r="D9125" i="1"/>
  <c r="G9124" i="1"/>
  <c r="D9124" i="1"/>
  <c r="G9123" i="1"/>
  <c r="D9123" i="1"/>
  <c r="G9122" i="1"/>
  <c r="D9122" i="1"/>
  <c r="G9121" i="1"/>
  <c r="D9121" i="1"/>
  <c r="G9120" i="1"/>
  <c r="D9120" i="1"/>
  <c r="G9119" i="1"/>
  <c r="D9119" i="1"/>
  <c r="G9118" i="1"/>
  <c r="D9118" i="1"/>
  <c r="G9117" i="1"/>
  <c r="D9117" i="1"/>
  <c r="G9116" i="1"/>
  <c r="D9116" i="1"/>
  <c r="G9115" i="1"/>
  <c r="D9115" i="1"/>
  <c r="G9114" i="1"/>
  <c r="D9114" i="1"/>
  <c r="G9113" i="1"/>
  <c r="D9113" i="1"/>
  <c r="G9112" i="1"/>
  <c r="D9112" i="1"/>
  <c r="G9111" i="1"/>
  <c r="D9111" i="1"/>
  <c r="G9110" i="1"/>
  <c r="D9110" i="1"/>
  <c r="G9109" i="1"/>
  <c r="D9109" i="1"/>
  <c r="G9108" i="1"/>
  <c r="D9108" i="1"/>
  <c r="G9107" i="1"/>
  <c r="D9107" i="1"/>
  <c r="G9106" i="1"/>
  <c r="D9106" i="1"/>
  <c r="G9105" i="1"/>
  <c r="D9105" i="1"/>
  <c r="G9104" i="1"/>
  <c r="D9104" i="1"/>
  <c r="G9103" i="1"/>
  <c r="D9103" i="1"/>
  <c r="G9102" i="1"/>
  <c r="D9102" i="1"/>
  <c r="G9101" i="1"/>
  <c r="D9101" i="1"/>
  <c r="G9100" i="1"/>
  <c r="D9100" i="1"/>
  <c r="G9099" i="1"/>
  <c r="D9099" i="1"/>
  <c r="G9098" i="1"/>
  <c r="D9098" i="1"/>
  <c r="G9097" i="1"/>
  <c r="D9097" i="1"/>
  <c r="G9096" i="1"/>
  <c r="D9096" i="1"/>
  <c r="G9095" i="1"/>
  <c r="D9095" i="1"/>
  <c r="G9094" i="1"/>
  <c r="D9094" i="1"/>
  <c r="G9093" i="1"/>
  <c r="D9093" i="1"/>
  <c r="G9092" i="1"/>
  <c r="D9092" i="1"/>
  <c r="G9091" i="1"/>
  <c r="D9091" i="1"/>
  <c r="G9090" i="1"/>
  <c r="D9090" i="1"/>
  <c r="G9089" i="1"/>
  <c r="D9089" i="1"/>
  <c r="G9088" i="1"/>
  <c r="D9088" i="1"/>
  <c r="G9087" i="1"/>
  <c r="D9087" i="1"/>
  <c r="G9086" i="1"/>
  <c r="D9086" i="1"/>
  <c r="G9085" i="1"/>
  <c r="D9085" i="1"/>
  <c r="G9084" i="1"/>
  <c r="D9084" i="1"/>
  <c r="G9083" i="1"/>
  <c r="D9083" i="1"/>
  <c r="G9082" i="1"/>
  <c r="D9082" i="1"/>
  <c r="G9081" i="1"/>
  <c r="D9081" i="1"/>
  <c r="G9080" i="1"/>
  <c r="D9080" i="1"/>
  <c r="G9079" i="1"/>
  <c r="D9079" i="1"/>
  <c r="G9078" i="1"/>
  <c r="D9078" i="1"/>
  <c r="G9077" i="1"/>
  <c r="D9077" i="1"/>
  <c r="G9076" i="1"/>
  <c r="D9076" i="1"/>
  <c r="G9075" i="1"/>
  <c r="D9075" i="1"/>
  <c r="G9074" i="1"/>
  <c r="D9074" i="1"/>
  <c r="G9073" i="1"/>
  <c r="D9073" i="1"/>
  <c r="G9072" i="1"/>
  <c r="D9072" i="1"/>
  <c r="G9071" i="1"/>
  <c r="D9071" i="1"/>
  <c r="G9070" i="1"/>
  <c r="D9070" i="1"/>
  <c r="G9069" i="1"/>
  <c r="D9069" i="1"/>
  <c r="G9068" i="1"/>
  <c r="D9068" i="1"/>
  <c r="G9067" i="1"/>
  <c r="D9067" i="1"/>
  <c r="G9066" i="1"/>
  <c r="D9066" i="1"/>
  <c r="G9065" i="1"/>
  <c r="D9065" i="1"/>
  <c r="G9064" i="1"/>
  <c r="D9064" i="1"/>
  <c r="G9063" i="1"/>
  <c r="D9063" i="1"/>
  <c r="G9062" i="1"/>
  <c r="D9062" i="1"/>
  <c r="G9061" i="1"/>
  <c r="D9061" i="1"/>
  <c r="G9060" i="1"/>
  <c r="D9060" i="1"/>
  <c r="G9059" i="1"/>
  <c r="D9059" i="1"/>
  <c r="G9058" i="1"/>
  <c r="D9058" i="1"/>
  <c r="G9057" i="1"/>
  <c r="D9057" i="1"/>
  <c r="G9056" i="1"/>
  <c r="D9056" i="1"/>
  <c r="G9055" i="1"/>
  <c r="D9055" i="1"/>
  <c r="G9054" i="1"/>
  <c r="D9054" i="1"/>
  <c r="G9053" i="1"/>
  <c r="D9053" i="1"/>
  <c r="G9052" i="1"/>
  <c r="D9052" i="1"/>
  <c r="G9051" i="1"/>
  <c r="D9051" i="1"/>
  <c r="G9050" i="1"/>
  <c r="D9050" i="1"/>
  <c r="G9049" i="1"/>
  <c r="D9049" i="1"/>
  <c r="G9048" i="1"/>
  <c r="D9048" i="1"/>
  <c r="G9047" i="1"/>
  <c r="D9047" i="1"/>
  <c r="G9046" i="1"/>
  <c r="D9046" i="1"/>
  <c r="G9045" i="1"/>
  <c r="D9045" i="1"/>
  <c r="G9044" i="1"/>
  <c r="D9044" i="1"/>
  <c r="G9043" i="1"/>
  <c r="D9043" i="1"/>
  <c r="G9042" i="1"/>
  <c r="D9042" i="1"/>
  <c r="G9041" i="1"/>
  <c r="D9041" i="1"/>
  <c r="G9040" i="1"/>
  <c r="D9040" i="1"/>
  <c r="G9039" i="1"/>
  <c r="D9039" i="1"/>
  <c r="G9038" i="1"/>
  <c r="D9038" i="1"/>
  <c r="G9037" i="1"/>
  <c r="D9037" i="1"/>
  <c r="G9036" i="1"/>
  <c r="D9036" i="1"/>
  <c r="G9035" i="1"/>
  <c r="D9035" i="1"/>
  <c r="G9034" i="1"/>
  <c r="D9034" i="1"/>
  <c r="G9033" i="1"/>
  <c r="D9033" i="1"/>
  <c r="G9032" i="1"/>
  <c r="D9032" i="1"/>
  <c r="G9031" i="1"/>
  <c r="D9031" i="1"/>
  <c r="G9030" i="1"/>
  <c r="D9030" i="1"/>
  <c r="G9029" i="1"/>
  <c r="D9029" i="1"/>
  <c r="G9028" i="1"/>
  <c r="D9028" i="1"/>
  <c r="G9027" i="1"/>
  <c r="D9027" i="1"/>
  <c r="G9026" i="1"/>
  <c r="D9026" i="1"/>
  <c r="G9025" i="1"/>
  <c r="D9025" i="1"/>
  <c r="G9024" i="1"/>
  <c r="D9024" i="1"/>
  <c r="G9023" i="1"/>
  <c r="D9023" i="1"/>
  <c r="G9022" i="1"/>
  <c r="D9022" i="1"/>
  <c r="G9021" i="1"/>
  <c r="D9021" i="1"/>
  <c r="G9020" i="1"/>
  <c r="D9020" i="1"/>
  <c r="G9019" i="1"/>
  <c r="D9019" i="1"/>
  <c r="G9018" i="1"/>
  <c r="D9018" i="1"/>
  <c r="G9017" i="1"/>
  <c r="D9017" i="1"/>
  <c r="G9016" i="1"/>
  <c r="D9016" i="1"/>
  <c r="G9015" i="1"/>
  <c r="D9015" i="1"/>
  <c r="G9014" i="1"/>
  <c r="D9014" i="1"/>
  <c r="G9013" i="1"/>
  <c r="D9013" i="1"/>
  <c r="G9012" i="1"/>
  <c r="D9012" i="1"/>
  <c r="G9011" i="1"/>
  <c r="D9011" i="1"/>
  <c r="G9010" i="1"/>
  <c r="D9010" i="1"/>
  <c r="G9009" i="1"/>
  <c r="D9009" i="1"/>
  <c r="G9008" i="1"/>
  <c r="D9008" i="1"/>
  <c r="G9007" i="1"/>
  <c r="D9007" i="1"/>
  <c r="G9006" i="1"/>
  <c r="D9006" i="1"/>
  <c r="G9005" i="1"/>
  <c r="D9005" i="1"/>
  <c r="G9004" i="1"/>
  <c r="D9004" i="1"/>
  <c r="G9003" i="1"/>
  <c r="D9003" i="1"/>
  <c r="G9002" i="1"/>
  <c r="D9002" i="1"/>
  <c r="G9001" i="1"/>
  <c r="D9001" i="1"/>
  <c r="G9000" i="1"/>
  <c r="D9000" i="1"/>
  <c r="G8999" i="1"/>
  <c r="D8999" i="1"/>
  <c r="G8998" i="1"/>
  <c r="D8998" i="1"/>
  <c r="G8997" i="1"/>
  <c r="D8997" i="1"/>
  <c r="G8996" i="1"/>
  <c r="D8996" i="1"/>
  <c r="G8995" i="1"/>
  <c r="D8995" i="1"/>
  <c r="G8994" i="1"/>
  <c r="D8994" i="1"/>
  <c r="G8993" i="1"/>
  <c r="D8993" i="1"/>
  <c r="G8992" i="1"/>
  <c r="D8992" i="1"/>
  <c r="G8991" i="1"/>
  <c r="D8991" i="1"/>
  <c r="G8990" i="1"/>
  <c r="D8990" i="1"/>
  <c r="G8989" i="1"/>
  <c r="D8989" i="1"/>
  <c r="G8988" i="1"/>
  <c r="D8988" i="1"/>
  <c r="G8987" i="1"/>
  <c r="D8987" i="1"/>
  <c r="G8986" i="1"/>
  <c r="D8986" i="1"/>
  <c r="G8985" i="1"/>
  <c r="D8985" i="1"/>
  <c r="G8984" i="1"/>
  <c r="D8984" i="1"/>
  <c r="G8983" i="1"/>
  <c r="D8983" i="1"/>
  <c r="G8982" i="1"/>
  <c r="D8982" i="1"/>
  <c r="G8981" i="1"/>
  <c r="D8981" i="1"/>
  <c r="G8980" i="1"/>
  <c r="D8980" i="1"/>
  <c r="G8979" i="1"/>
  <c r="D8979" i="1"/>
  <c r="G8978" i="1"/>
  <c r="D8978" i="1"/>
  <c r="G8977" i="1"/>
  <c r="D8977" i="1"/>
  <c r="G8976" i="1"/>
  <c r="D8976" i="1"/>
  <c r="G8975" i="1"/>
  <c r="D8975" i="1"/>
  <c r="G8974" i="1"/>
  <c r="D8974" i="1"/>
  <c r="G8973" i="1"/>
  <c r="D8973" i="1"/>
  <c r="G8972" i="1"/>
  <c r="D8972" i="1"/>
  <c r="G8971" i="1"/>
  <c r="D8971" i="1"/>
  <c r="G8970" i="1"/>
  <c r="D8970" i="1"/>
  <c r="G8969" i="1"/>
  <c r="D8969" i="1"/>
  <c r="G8968" i="1"/>
  <c r="D8968" i="1"/>
  <c r="G8967" i="1"/>
  <c r="D8967" i="1"/>
  <c r="G8966" i="1"/>
  <c r="D8966" i="1"/>
  <c r="G8965" i="1"/>
  <c r="D8965" i="1"/>
  <c r="G8964" i="1"/>
  <c r="D8964" i="1"/>
  <c r="G8963" i="1"/>
  <c r="D8963" i="1"/>
  <c r="G8962" i="1"/>
  <c r="D8962" i="1"/>
  <c r="G8961" i="1"/>
  <c r="D8961" i="1"/>
  <c r="G8960" i="1"/>
  <c r="D8960" i="1"/>
  <c r="G8959" i="1"/>
  <c r="D8959" i="1"/>
  <c r="G8958" i="1"/>
  <c r="D8958" i="1"/>
  <c r="G8957" i="1"/>
  <c r="D8957" i="1"/>
  <c r="G8956" i="1"/>
  <c r="D8956" i="1"/>
  <c r="G8955" i="1"/>
  <c r="D8955" i="1"/>
  <c r="G8954" i="1"/>
  <c r="D8954" i="1"/>
  <c r="G8953" i="1"/>
  <c r="D8953" i="1"/>
  <c r="G8952" i="1"/>
  <c r="D8952" i="1"/>
  <c r="G8951" i="1"/>
  <c r="D8951" i="1"/>
  <c r="G8950" i="1"/>
  <c r="D8950" i="1"/>
  <c r="G8949" i="1"/>
  <c r="D8949" i="1"/>
  <c r="G8948" i="1"/>
  <c r="D8948" i="1"/>
  <c r="G8947" i="1"/>
  <c r="D8947" i="1"/>
  <c r="G8946" i="1"/>
  <c r="D8946" i="1"/>
  <c r="G8945" i="1"/>
  <c r="D8945" i="1"/>
  <c r="G8944" i="1"/>
  <c r="D8944" i="1"/>
  <c r="G8943" i="1"/>
  <c r="D8943" i="1"/>
  <c r="G8942" i="1"/>
  <c r="D8942" i="1"/>
  <c r="G8941" i="1"/>
  <c r="D8941" i="1"/>
  <c r="G8940" i="1"/>
  <c r="D8940" i="1"/>
  <c r="G8939" i="1"/>
  <c r="D8939" i="1"/>
  <c r="G8938" i="1"/>
  <c r="D8938" i="1"/>
  <c r="G8937" i="1"/>
  <c r="D8937" i="1"/>
  <c r="G8936" i="1"/>
  <c r="D8936" i="1"/>
  <c r="G8935" i="1"/>
  <c r="D8935" i="1"/>
  <c r="G8934" i="1"/>
  <c r="D8934" i="1"/>
  <c r="G8933" i="1"/>
  <c r="D8933" i="1"/>
  <c r="G8932" i="1"/>
  <c r="D8932" i="1"/>
  <c r="G8931" i="1"/>
  <c r="D8931" i="1"/>
  <c r="G8930" i="1"/>
  <c r="D8930" i="1"/>
  <c r="G8929" i="1"/>
  <c r="D8929" i="1"/>
  <c r="G8928" i="1"/>
  <c r="D8928" i="1"/>
  <c r="G8927" i="1"/>
  <c r="D8927" i="1"/>
  <c r="G8926" i="1"/>
  <c r="D8926" i="1"/>
  <c r="G8925" i="1"/>
  <c r="D8925" i="1"/>
  <c r="G8924" i="1"/>
  <c r="D8924" i="1"/>
  <c r="G8923" i="1"/>
  <c r="D8923" i="1"/>
  <c r="G8922" i="1"/>
  <c r="D8922" i="1"/>
  <c r="G8921" i="1"/>
  <c r="D8921" i="1"/>
  <c r="G8920" i="1"/>
  <c r="D8920" i="1"/>
  <c r="G8919" i="1"/>
  <c r="D8919" i="1"/>
  <c r="G8918" i="1"/>
  <c r="D8918" i="1"/>
  <c r="G8917" i="1"/>
  <c r="D8917" i="1"/>
  <c r="G8916" i="1"/>
  <c r="D8916" i="1"/>
  <c r="G8915" i="1"/>
  <c r="D8915" i="1"/>
  <c r="G8914" i="1"/>
  <c r="D8914" i="1"/>
  <c r="G8913" i="1"/>
  <c r="D8913" i="1"/>
  <c r="G8912" i="1"/>
  <c r="D8912" i="1"/>
  <c r="G8911" i="1"/>
  <c r="D8911" i="1"/>
  <c r="G8910" i="1"/>
  <c r="D8910" i="1"/>
  <c r="G8909" i="1"/>
  <c r="D8909" i="1"/>
  <c r="G8908" i="1"/>
  <c r="D8908" i="1"/>
  <c r="G8907" i="1"/>
  <c r="D8907" i="1"/>
  <c r="G8906" i="1"/>
  <c r="D8906" i="1"/>
  <c r="G8905" i="1"/>
  <c r="D8905" i="1"/>
  <c r="G8904" i="1"/>
  <c r="D8904" i="1"/>
  <c r="G8903" i="1"/>
  <c r="D8903" i="1"/>
  <c r="G8902" i="1"/>
  <c r="D8902" i="1"/>
  <c r="G8901" i="1"/>
  <c r="D8901" i="1"/>
  <c r="G8900" i="1"/>
  <c r="D8900" i="1"/>
  <c r="G8899" i="1"/>
  <c r="D8899" i="1"/>
  <c r="G8898" i="1"/>
  <c r="D8898" i="1"/>
  <c r="G8897" i="1"/>
  <c r="D8897" i="1"/>
  <c r="G8896" i="1"/>
  <c r="D8896" i="1"/>
  <c r="G8895" i="1"/>
  <c r="D8895" i="1"/>
  <c r="G8894" i="1"/>
  <c r="D8894" i="1"/>
  <c r="G8893" i="1"/>
  <c r="D8893" i="1"/>
  <c r="G8892" i="1"/>
  <c r="D8892" i="1"/>
  <c r="G8891" i="1"/>
  <c r="D8891" i="1"/>
  <c r="G8890" i="1"/>
  <c r="D8890" i="1"/>
  <c r="G8889" i="1"/>
  <c r="D8889" i="1"/>
  <c r="G8888" i="1"/>
  <c r="D8888" i="1"/>
  <c r="G8887" i="1"/>
  <c r="D8887" i="1"/>
  <c r="G8886" i="1"/>
  <c r="D8886" i="1"/>
  <c r="G8885" i="1"/>
  <c r="D8885" i="1"/>
  <c r="G8884" i="1"/>
  <c r="D8884" i="1"/>
  <c r="G8883" i="1"/>
  <c r="D8883" i="1"/>
  <c r="G8882" i="1"/>
  <c r="D8882" i="1"/>
  <c r="G8881" i="1"/>
  <c r="D8881" i="1"/>
  <c r="G8880" i="1"/>
  <c r="D8880" i="1"/>
  <c r="G8879" i="1"/>
  <c r="D8879" i="1"/>
  <c r="G8878" i="1"/>
  <c r="D8878" i="1"/>
  <c r="G8877" i="1"/>
  <c r="D8877" i="1"/>
  <c r="G8876" i="1"/>
  <c r="D8876" i="1"/>
  <c r="G8875" i="1"/>
  <c r="D8875" i="1"/>
  <c r="G8874" i="1"/>
  <c r="D8874" i="1"/>
  <c r="G8873" i="1"/>
  <c r="D8873" i="1"/>
  <c r="G8872" i="1"/>
  <c r="D8872" i="1"/>
  <c r="G8871" i="1"/>
  <c r="D8871" i="1"/>
  <c r="G8870" i="1"/>
  <c r="D8870" i="1"/>
  <c r="G8869" i="1"/>
  <c r="D8869" i="1"/>
  <c r="G8868" i="1"/>
  <c r="D8868" i="1"/>
  <c r="G8867" i="1"/>
  <c r="D8867" i="1"/>
  <c r="G8866" i="1"/>
  <c r="D8866" i="1"/>
  <c r="G8865" i="1"/>
  <c r="D8865" i="1"/>
  <c r="G8864" i="1"/>
  <c r="D8864" i="1"/>
  <c r="G8863" i="1"/>
  <c r="D8863" i="1"/>
  <c r="G8862" i="1"/>
  <c r="D8862" i="1"/>
  <c r="G8861" i="1"/>
  <c r="D8861" i="1"/>
  <c r="G8860" i="1"/>
  <c r="D8860" i="1"/>
  <c r="G8859" i="1"/>
  <c r="D8859" i="1"/>
  <c r="G8858" i="1"/>
  <c r="D8858" i="1"/>
  <c r="G8857" i="1"/>
  <c r="D8857" i="1"/>
  <c r="G8856" i="1"/>
  <c r="D8856" i="1"/>
  <c r="G8855" i="1"/>
  <c r="D8855" i="1"/>
  <c r="G8854" i="1"/>
  <c r="D8854" i="1"/>
  <c r="G8853" i="1"/>
  <c r="D8853" i="1"/>
  <c r="G8852" i="1"/>
  <c r="D8852" i="1"/>
  <c r="G8851" i="1"/>
  <c r="D8851" i="1"/>
  <c r="G8850" i="1"/>
  <c r="D8850" i="1"/>
  <c r="G8849" i="1"/>
  <c r="D8849" i="1"/>
  <c r="G8848" i="1"/>
  <c r="D8848" i="1"/>
  <c r="G8847" i="1"/>
  <c r="D8847" i="1"/>
  <c r="G8846" i="1"/>
  <c r="D8846" i="1"/>
  <c r="G8845" i="1"/>
  <c r="D8845" i="1"/>
  <c r="G8844" i="1"/>
  <c r="D8844" i="1"/>
  <c r="G8843" i="1"/>
  <c r="D8843" i="1"/>
  <c r="G8842" i="1"/>
  <c r="D8842" i="1"/>
  <c r="G8841" i="1"/>
  <c r="D8841" i="1"/>
  <c r="G8840" i="1"/>
  <c r="D8840" i="1"/>
  <c r="G8839" i="1"/>
  <c r="D8839" i="1"/>
  <c r="G8838" i="1"/>
  <c r="D8838" i="1"/>
  <c r="G8837" i="1"/>
  <c r="D8837" i="1"/>
  <c r="G8836" i="1"/>
  <c r="D8836" i="1"/>
  <c r="G8835" i="1"/>
  <c r="D8835" i="1"/>
  <c r="G8834" i="1"/>
  <c r="D8834" i="1"/>
  <c r="G8833" i="1"/>
  <c r="D8833" i="1"/>
  <c r="G8832" i="1"/>
  <c r="D8832" i="1"/>
  <c r="G8831" i="1"/>
  <c r="D8831" i="1"/>
  <c r="G8830" i="1"/>
  <c r="D8830" i="1"/>
  <c r="G8829" i="1"/>
  <c r="D8829" i="1"/>
  <c r="G8828" i="1"/>
  <c r="D8828" i="1"/>
  <c r="G8827" i="1"/>
  <c r="D8827" i="1"/>
  <c r="G8826" i="1"/>
  <c r="D8826" i="1"/>
  <c r="G8825" i="1"/>
  <c r="D8825" i="1"/>
  <c r="G8824" i="1"/>
  <c r="D8824" i="1"/>
  <c r="G8823" i="1"/>
  <c r="D8823" i="1"/>
  <c r="G8822" i="1"/>
  <c r="D8822" i="1"/>
  <c r="G8821" i="1"/>
  <c r="D8821" i="1"/>
  <c r="G8820" i="1"/>
  <c r="D8820" i="1"/>
  <c r="G8819" i="1"/>
  <c r="D8819" i="1"/>
  <c r="G8818" i="1"/>
  <c r="D8818" i="1"/>
  <c r="G8817" i="1"/>
  <c r="D8817" i="1"/>
  <c r="G8816" i="1"/>
  <c r="D8816" i="1"/>
  <c r="G8815" i="1"/>
  <c r="D8815" i="1"/>
  <c r="G8814" i="1"/>
  <c r="D8814" i="1"/>
  <c r="G8813" i="1"/>
  <c r="D8813" i="1"/>
  <c r="G8812" i="1"/>
  <c r="D8812" i="1"/>
  <c r="G8811" i="1"/>
  <c r="D8811" i="1"/>
  <c r="G8810" i="1"/>
  <c r="D8810" i="1"/>
  <c r="G8809" i="1"/>
  <c r="D8809" i="1"/>
  <c r="G8808" i="1"/>
  <c r="D8808" i="1"/>
  <c r="G8807" i="1"/>
  <c r="D8807" i="1"/>
  <c r="G8806" i="1"/>
  <c r="D8806" i="1"/>
  <c r="G8805" i="1"/>
  <c r="D8805" i="1"/>
  <c r="G8804" i="1"/>
  <c r="D8804" i="1"/>
  <c r="G8803" i="1"/>
  <c r="D8803" i="1"/>
  <c r="G8802" i="1"/>
  <c r="D8802" i="1"/>
  <c r="G8801" i="1"/>
  <c r="D8801" i="1"/>
  <c r="G8800" i="1"/>
  <c r="D8800" i="1"/>
  <c r="G8799" i="1"/>
  <c r="D8799" i="1"/>
  <c r="G8798" i="1"/>
  <c r="D8798" i="1"/>
  <c r="G8797" i="1"/>
  <c r="D8797" i="1"/>
  <c r="G8796" i="1"/>
  <c r="D8796" i="1"/>
  <c r="G8795" i="1"/>
  <c r="D8795" i="1"/>
  <c r="G8794" i="1"/>
  <c r="D8794" i="1"/>
  <c r="G8793" i="1"/>
  <c r="D8793" i="1"/>
  <c r="G8792" i="1"/>
  <c r="D8792" i="1"/>
  <c r="G8791" i="1"/>
  <c r="D8791" i="1"/>
  <c r="G8790" i="1"/>
  <c r="D8790" i="1"/>
  <c r="G8789" i="1"/>
  <c r="D8789" i="1"/>
  <c r="G8788" i="1"/>
  <c r="D8788" i="1"/>
  <c r="G8787" i="1"/>
  <c r="D8787" i="1"/>
  <c r="G8786" i="1"/>
  <c r="D8786" i="1"/>
  <c r="G8785" i="1"/>
  <c r="D8785" i="1"/>
  <c r="G8784" i="1"/>
  <c r="D8784" i="1"/>
  <c r="G8783" i="1"/>
  <c r="D8783" i="1"/>
  <c r="G8782" i="1"/>
  <c r="D8782" i="1"/>
  <c r="G8781" i="1"/>
  <c r="D8781" i="1"/>
  <c r="G8780" i="1"/>
  <c r="D8780" i="1"/>
  <c r="G8779" i="1"/>
  <c r="D8779" i="1"/>
  <c r="G8778" i="1"/>
  <c r="D8778" i="1"/>
  <c r="G8777" i="1"/>
  <c r="D8777" i="1"/>
  <c r="G8776" i="1"/>
  <c r="D8776" i="1"/>
  <c r="G8775" i="1"/>
  <c r="D8775" i="1"/>
  <c r="G8774" i="1"/>
  <c r="D8774" i="1"/>
  <c r="G8773" i="1"/>
  <c r="D8773" i="1"/>
  <c r="G8772" i="1"/>
  <c r="D8772" i="1"/>
  <c r="G8771" i="1"/>
  <c r="D8771" i="1"/>
  <c r="G8770" i="1"/>
  <c r="D8770" i="1"/>
  <c r="G8769" i="1"/>
  <c r="D8769" i="1"/>
  <c r="G8768" i="1"/>
  <c r="D8768" i="1"/>
  <c r="G8767" i="1"/>
  <c r="D8767" i="1"/>
  <c r="G8766" i="1"/>
  <c r="D8766" i="1"/>
  <c r="G8765" i="1"/>
  <c r="D8765" i="1"/>
  <c r="G8764" i="1"/>
  <c r="D8764" i="1"/>
  <c r="G8763" i="1"/>
  <c r="D8763" i="1"/>
  <c r="G8762" i="1"/>
  <c r="D8762" i="1"/>
  <c r="G8761" i="1"/>
  <c r="D8761" i="1"/>
  <c r="G8760" i="1"/>
  <c r="D8760" i="1"/>
  <c r="G8759" i="1"/>
  <c r="D8759" i="1"/>
  <c r="G8758" i="1"/>
  <c r="D8758" i="1"/>
  <c r="G8757" i="1"/>
  <c r="D8757" i="1"/>
  <c r="G8756" i="1"/>
  <c r="D8756" i="1"/>
  <c r="G8755" i="1"/>
  <c r="D8755" i="1"/>
  <c r="G8754" i="1"/>
  <c r="D8754" i="1"/>
  <c r="G8753" i="1"/>
  <c r="D8753" i="1"/>
  <c r="G8752" i="1"/>
  <c r="D8752" i="1"/>
  <c r="G8751" i="1"/>
  <c r="D8751" i="1"/>
  <c r="G8750" i="1"/>
  <c r="D8750" i="1"/>
  <c r="G8749" i="1"/>
  <c r="D8749" i="1"/>
  <c r="G8748" i="1"/>
  <c r="D8748" i="1"/>
  <c r="G8747" i="1"/>
  <c r="D8747" i="1"/>
  <c r="G8746" i="1"/>
  <c r="D8746" i="1"/>
  <c r="G8745" i="1"/>
  <c r="D8745" i="1"/>
  <c r="G8744" i="1"/>
  <c r="D8744" i="1"/>
  <c r="G8743" i="1"/>
  <c r="D8743" i="1"/>
  <c r="G8742" i="1"/>
  <c r="D8742" i="1"/>
  <c r="G8741" i="1"/>
  <c r="D8741" i="1"/>
  <c r="G8740" i="1"/>
  <c r="D8740" i="1"/>
  <c r="G8739" i="1"/>
  <c r="D8739" i="1"/>
  <c r="G8738" i="1"/>
  <c r="D8738" i="1"/>
  <c r="G8737" i="1"/>
  <c r="D8737" i="1"/>
  <c r="G8736" i="1"/>
  <c r="D8736" i="1"/>
  <c r="G8735" i="1"/>
  <c r="D8735" i="1"/>
  <c r="G8734" i="1"/>
  <c r="D8734" i="1"/>
  <c r="G8733" i="1"/>
  <c r="D8733" i="1"/>
  <c r="G8732" i="1"/>
  <c r="D8732" i="1"/>
  <c r="G8731" i="1"/>
  <c r="D8731" i="1"/>
  <c r="G8730" i="1"/>
  <c r="D8730" i="1"/>
  <c r="G8729" i="1"/>
  <c r="D8729" i="1"/>
  <c r="G8728" i="1"/>
  <c r="D8728" i="1"/>
  <c r="G8727" i="1"/>
  <c r="D8727" i="1"/>
  <c r="G8726" i="1"/>
  <c r="D8726" i="1"/>
  <c r="G8725" i="1"/>
  <c r="D8725" i="1"/>
  <c r="G8724" i="1"/>
  <c r="D8724" i="1"/>
  <c r="G8723" i="1"/>
  <c r="D8723" i="1"/>
  <c r="G8722" i="1"/>
  <c r="D8722" i="1"/>
  <c r="G8721" i="1"/>
  <c r="D8721" i="1"/>
  <c r="G8720" i="1"/>
  <c r="D8720" i="1"/>
  <c r="G8719" i="1"/>
  <c r="D8719" i="1"/>
  <c r="G8718" i="1"/>
  <c r="D8718" i="1"/>
  <c r="G8717" i="1"/>
  <c r="D8717" i="1"/>
  <c r="G8716" i="1"/>
  <c r="D8716" i="1"/>
  <c r="G8715" i="1"/>
  <c r="D8715" i="1"/>
  <c r="G8714" i="1"/>
  <c r="D8714" i="1"/>
  <c r="G8713" i="1"/>
  <c r="D8713" i="1"/>
  <c r="G8712" i="1"/>
  <c r="D8712" i="1"/>
  <c r="G8711" i="1"/>
  <c r="D8711" i="1"/>
  <c r="G8710" i="1"/>
  <c r="D8710" i="1"/>
  <c r="G8709" i="1"/>
  <c r="D8709" i="1"/>
  <c r="G8708" i="1"/>
  <c r="D8708" i="1"/>
  <c r="G8707" i="1"/>
  <c r="D8707" i="1"/>
  <c r="G8706" i="1"/>
  <c r="D8706" i="1"/>
  <c r="G8705" i="1"/>
  <c r="D8705" i="1"/>
  <c r="G8704" i="1"/>
  <c r="D8704" i="1"/>
  <c r="G8703" i="1"/>
  <c r="D8703" i="1"/>
  <c r="G8702" i="1"/>
  <c r="D8702" i="1"/>
  <c r="G8701" i="1"/>
  <c r="D8701" i="1"/>
  <c r="G8700" i="1"/>
  <c r="D8700" i="1"/>
  <c r="G8699" i="1"/>
  <c r="D8699" i="1"/>
  <c r="G8698" i="1"/>
  <c r="D8698" i="1"/>
  <c r="G8697" i="1"/>
  <c r="D8697" i="1"/>
  <c r="G8696" i="1"/>
  <c r="D8696" i="1"/>
  <c r="G8695" i="1"/>
  <c r="D8695" i="1"/>
  <c r="G8694" i="1"/>
  <c r="D8694" i="1"/>
  <c r="G8693" i="1"/>
  <c r="D8693" i="1"/>
  <c r="G8692" i="1"/>
  <c r="D8692" i="1"/>
  <c r="G8691" i="1"/>
  <c r="D8691" i="1"/>
  <c r="G8690" i="1"/>
  <c r="D8690" i="1"/>
  <c r="G8689" i="1"/>
  <c r="D8689" i="1"/>
  <c r="G8688" i="1"/>
  <c r="D8688" i="1"/>
  <c r="G8687" i="1"/>
  <c r="D8687" i="1"/>
  <c r="G8686" i="1"/>
  <c r="D8686" i="1"/>
  <c r="G8685" i="1"/>
  <c r="D8685" i="1"/>
  <c r="G8684" i="1"/>
  <c r="D8684" i="1"/>
  <c r="G8683" i="1"/>
  <c r="D8683" i="1"/>
  <c r="G8682" i="1"/>
  <c r="D8682" i="1"/>
  <c r="G8681" i="1"/>
  <c r="D8681" i="1"/>
  <c r="G8680" i="1"/>
  <c r="D8680" i="1"/>
  <c r="G8679" i="1"/>
  <c r="D8679" i="1"/>
  <c r="G8678" i="1"/>
  <c r="D8678" i="1"/>
  <c r="G8677" i="1"/>
  <c r="D8677" i="1"/>
  <c r="G8676" i="1"/>
  <c r="D8676" i="1"/>
  <c r="G8675" i="1"/>
  <c r="D8675" i="1"/>
  <c r="G8674" i="1"/>
  <c r="D8674" i="1"/>
  <c r="G8673" i="1"/>
  <c r="D8673" i="1"/>
  <c r="G8672" i="1"/>
  <c r="D8672" i="1"/>
  <c r="G8671" i="1"/>
  <c r="D8671" i="1"/>
  <c r="G8670" i="1"/>
  <c r="D8670" i="1"/>
  <c r="G8669" i="1"/>
  <c r="D8669" i="1"/>
  <c r="G8668" i="1"/>
  <c r="D8668" i="1"/>
  <c r="G8667" i="1"/>
  <c r="D8667" i="1"/>
  <c r="G8666" i="1"/>
  <c r="D8666" i="1"/>
  <c r="G8665" i="1"/>
  <c r="D8665" i="1"/>
  <c r="G8664" i="1"/>
  <c r="D8664" i="1"/>
  <c r="G8663" i="1"/>
  <c r="D8663" i="1"/>
  <c r="G8662" i="1"/>
  <c r="D8662" i="1"/>
  <c r="G8661" i="1"/>
  <c r="D8661" i="1"/>
  <c r="G8660" i="1"/>
  <c r="D8660" i="1"/>
  <c r="G8659" i="1"/>
  <c r="D8659" i="1"/>
  <c r="G8658" i="1"/>
  <c r="D8658" i="1"/>
  <c r="G8657" i="1"/>
  <c r="D8657" i="1"/>
  <c r="G8656" i="1"/>
  <c r="D8656" i="1"/>
  <c r="G8655" i="1"/>
  <c r="D8655" i="1"/>
  <c r="G8654" i="1"/>
  <c r="D8654" i="1"/>
  <c r="G8653" i="1"/>
  <c r="D8653" i="1"/>
  <c r="G8652" i="1"/>
  <c r="D8652" i="1"/>
  <c r="G8651" i="1"/>
  <c r="D8651" i="1"/>
  <c r="G8650" i="1"/>
  <c r="D8650" i="1"/>
  <c r="G8649" i="1"/>
  <c r="D8649" i="1"/>
  <c r="G8648" i="1"/>
  <c r="D8648" i="1"/>
  <c r="G8647" i="1"/>
  <c r="D8647" i="1"/>
  <c r="G8646" i="1"/>
  <c r="D8646" i="1"/>
  <c r="G8645" i="1"/>
  <c r="D8645" i="1"/>
  <c r="G8644" i="1"/>
  <c r="D8644" i="1"/>
  <c r="G8643" i="1"/>
  <c r="D8643" i="1"/>
  <c r="G8642" i="1"/>
  <c r="D8642" i="1"/>
  <c r="G8641" i="1"/>
  <c r="D8641" i="1"/>
  <c r="G8640" i="1"/>
  <c r="D8640" i="1"/>
  <c r="G8639" i="1"/>
  <c r="D8639" i="1"/>
  <c r="G8638" i="1"/>
  <c r="D8638" i="1"/>
  <c r="G8637" i="1"/>
  <c r="D8637" i="1"/>
  <c r="G8636" i="1"/>
  <c r="D8636" i="1"/>
  <c r="G8635" i="1"/>
  <c r="D8635" i="1"/>
  <c r="G8634" i="1"/>
  <c r="D8634" i="1"/>
  <c r="G8633" i="1"/>
  <c r="D8633" i="1"/>
  <c r="G8632" i="1"/>
  <c r="D8632" i="1"/>
  <c r="G8631" i="1"/>
  <c r="D8631" i="1"/>
  <c r="G8630" i="1"/>
  <c r="D8630" i="1"/>
  <c r="G8629" i="1"/>
  <c r="D8629" i="1"/>
  <c r="G8628" i="1"/>
  <c r="D8628" i="1"/>
  <c r="G8627" i="1"/>
  <c r="D8627" i="1"/>
  <c r="G8626" i="1"/>
  <c r="D8626" i="1"/>
  <c r="G8625" i="1"/>
  <c r="D8625" i="1"/>
  <c r="G8624" i="1"/>
  <c r="D8624" i="1"/>
  <c r="G8623" i="1"/>
  <c r="D8623" i="1"/>
  <c r="G8622" i="1"/>
  <c r="D8622" i="1"/>
  <c r="G8621" i="1"/>
  <c r="D8621" i="1"/>
  <c r="G8620" i="1"/>
  <c r="D8620" i="1"/>
  <c r="G8619" i="1"/>
  <c r="D8619" i="1"/>
  <c r="G8618" i="1"/>
  <c r="D8618" i="1"/>
  <c r="G8617" i="1"/>
  <c r="D8617" i="1"/>
  <c r="G8616" i="1"/>
  <c r="D8616" i="1"/>
  <c r="G8615" i="1"/>
  <c r="D8615" i="1"/>
  <c r="G8614" i="1"/>
  <c r="D8614" i="1"/>
  <c r="G8613" i="1"/>
  <c r="D8613" i="1"/>
  <c r="G8612" i="1"/>
  <c r="D8612" i="1"/>
  <c r="G8611" i="1"/>
  <c r="D8611" i="1"/>
  <c r="G8610" i="1"/>
  <c r="D8610" i="1"/>
  <c r="G8609" i="1"/>
  <c r="D8609" i="1"/>
  <c r="G8608" i="1"/>
  <c r="D8608" i="1"/>
  <c r="G8607" i="1"/>
  <c r="D8607" i="1"/>
  <c r="G8606" i="1"/>
  <c r="D8606" i="1"/>
  <c r="G8605" i="1"/>
  <c r="D8605" i="1"/>
  <c r="G8604" i="1"/>
  <c r="D8604" i="1"/>
  <c r="G8603" i="1"/>
  <c r="D8603" i="1"/>
  <c r="G8602" i="1"/>
  <c r="D8602" i="1"/>
  <c r="G8601" i="1"/>
  <c r="D8601" i="1"/>
  <c r="G8600" i="1"/>
  <c r="D8600" i="1"/>
  <c r="G8599" i="1"/>
  <c r="D8599" i="1"/>
  <c r="G8598" i="1"/>
  <c r="D8598" i="1"/>
  <c r="G8597" i="1"/>
  <c r="D8597" i="1"/>
  <c r="G8596" i="1"/>
  <c r="D8596" i="1"/>
  <c r="G8595" i="1"/>
  <c r="D8595" i="1"/>
  <c r="G8594" i="1"/>
  <c r="D8594" i="1"/>
  <c r="G8593" i="1"/>
  <c r="D8593" i="1"/>
  <c r="G8592" i="1"/>
  <c r="D8592" i="1"/>
  <c r="G8591" i="1"/>
  <c r="D8591" i="1"/>
  <c r="G8590" i="1"/>
  <c r="D8590" i="1"/>
  <c r="G8589" i="1"/>
  <c r="D8589" i="1"/>
  <c r="G8588" i="1"/>
  <c r="D8588" i="1"/>
  <c r="G8587" i="1"/>
  <c r="D8587" i="1"/>
  <c r="G8586" i="1"/>
  <c r="D8586" i="1"/>
  <c r="G8585" i="1"/>
  <c r="D8585" i="1"/>
  <c r="G8584" i="1"/>
  <c r="D8584" i="1"/>
  <c r="G8583" i="1"/>
  <c r="D8583" i="1"/>
  <c r="G8582" i="1"/>
  <c r="D8582" i="1"/>
  <c r="G8581" i="1"/>
  <c r="D8581" i="1"/>
  <c r="G8580" i="1"/>
  <c r="D8580" i="1"/>
  <c r="G8579" i="1"/>
  <c r="D8579" i="1"/>
  <c r="G8578" i="1"/>
  <c r="D8578" i="1"/>
  <c r="G8577" i="1"/>
  <c r="D8577" i="1"/>
  <c r="G8576" i="1"/>
  <c r="D8576" i="1"/>
  <c r="G8575" i="1"/>
  <c r="D8575" i="1"/>
  <c r="G8574" i="1"/>
  <c r="D8574" i="1"/>
  <c r="G8573" i="1"/>
  <c r="D8573" i="1"/>
  <c r="G8572" i="1"/>
  <c r="D8572" i="1"/>
  <c r="G8571" i="1"/>
  <c r="D8571" i="1"/>
  <c r="G8570" i="1"/>
  <c r="D8570" i="1"/>
  <c r="G8569" i="1"/>
  <c r="D8569" i="1"/>
  <c r="G8568" i="1"/>
  <c r="D8568" i="1"/>
  <c r="G8567" i="1"/>
  <c r="D8567" i="1"/>
  <c r="G8566" i="1"/>
  <c r="D8566" i="1"/>
  <c r="G8565" i="1"/>
  <c r="D8565" i="1"/>
  <c r="G8564" i="1"/>
  <c r="D8564" i="1"/>
  <c r="G8563" i="1"/>
  <c r="D8563" i="1"/>
  <c r="G8562" i="1"/>
  <c r="D8562" i="1"/>
  <c r="G8561" i="1"/>
  <c r="D8561" i="1"/>
  <c r="G8560" i="1"/>
  <c r="D8560" i="1"/>
  <c r="G8559" i="1"/>
  <c r="D8559" i="1"/>
  <c r="G8558" i="1"/>
  <c r="D8558" i="1"/>
  <c r="G8557" i="1"/>
  <c r="D8557" i="1"/>
  <c r="G8556" i="1"/>
  <c r="D8556" i="1"/>
  <c r="G8555" i="1"/>
  <c r="D8555" i="1"/>
  <c r="G8554" i="1"/>
  <c r="D8554" i="1"/>
  <c r="G8553" i="1"/>
  <c r="D8553" i="1"/>
  <c r="G8552" i="1"/>
  <c r="D8552" i="1"/>
  <c r="G8551" i="1"/>
  <c r="D8551" i="1"/>
  <c r="G8550" i="1"/>
  <c r="D8550" i="1"/>
  <c r="G8549" i="1"/>
  <c r="D8549" i="1"/>
  <c r="G8548" i="1"/>
  <c r="D8548" i="1"/>
  <c r="G8547" i="1"/>
  <c r="D8547" i="1"/>
  <c r="G8546" i="1"/>
  <c r="D8546" i="1"/>
  <c r="G8545" i="1"/>
  <c r="D8545" i="1"/>
  <c r="G8544" i="1"/>
  <c r="D8544" i="1"/>
  <c r="G8543" i="1"/>
  <c r="D8543" i="1"/>
  <c r="G8542" i="1"/>
  <c r="D8542" i="1"/>
  <c r="G8541" i="1"/>
  <c r="D8541" i="1"/>
  <c r="G8540" i="1"/>
  <c r="D8540" i="1"/>
  <c r="G8539" i="1"/>
  <c r="D8539" i="1"/>
  <c r="G8538" i="1"/>
  <c r="D8538" i="1"/>
  <c r="G8537" i="1"/>
  <c r="D8537" i="1"/>
  <c r="G8536" i="1"/>
  <c r="D8536" i="1"/>
  <c r="G8535" i="1"/>
  <c r="D8535" i="1"/>
  <c r="G8534" i="1"/>
  <c r="D8534" i="1"/>
  <c r="G8533" i="1"/>
  <c r="D8533" i="1"/>
  <c r="G8532" i="1"/>
  <c r="D8532" i="1"/>
  <c r="G8531" i="1"/>
  <c r="D8531" i="1"/>
  <c r="G8530" i="1"/>
  <c r="D8530" i="1"/>
  <c r="G8529" i="1"/>
  <c r="D8529" i="1"/>
  <c r="G8528" i="1"/>
  <c r="D8528" i="1"/>
  <c r="G8527" i="1"/>
  <c r="D8527" i="1"/>
  <c r="G8526" i="1"/>
  <c r="D8526" i="1"/>
  <c r="G8525" i="1"/>
  <c r="D8525" i="1"/>
  <c r="G8524" i="1"/>
  <c r="D8524" i="1"/>
  <c r="G8523" i="1"/>
  <c r="D8523" i="1"/>
  <c r="G8522" i="1"/>
  <c r="D8522" i="1"/>
  <c r="G8521" i="1"/>
  <c r="D8521" i="1"/>
  <c r="G8520" i="1"/>
  <c r="D8520" i="1"/>
  <c r="G8519" i="1"/>
  <c r="D8519" i="1"/>
  <c r="G8518" i="1"/>
  <c r="D8518" i="1"/>
  <c r="G8517" i="1"/>
  <c r="D8517" i="1"/>
  <c r="G8516" i="1"/>
  <c r="D8516" i="1"/>
  <c r="G8515" i="1"/>
  <c r="D8515" i="1"/>
  <c r="G8514" i="1"/>
  <c r="D8514" i="1"/>
  <c r="G8513" i="1"/>
  <c r="D8513" i="1"/>
  <c r="G8512" i="1"/>
  <c r="D8512" i="1"/>
  <c r="G8511" i="1"/>
  <c r="D8511" i="1"/>
  <c r="G8510" i="1"/>
  <c r="D8510" i="1"/>
  <c r="G8509" i="1"/>
  <c r="D8509" i="1"/>
  <c r="G8508" i="1"/>
  <c r="D8508" i="1"/>
  <c r="G8507" i="1"/>
  <c r="D8507" i="1"/>
  <c r="G8506" i="1"/>
  <c r="D8506" i="1"/>
  <c r="G8505" i="1"/>
  <c r="D8505" i="1"/>
  <c r="G8504" i="1"/>
  <c r="D8504" i="1"/>
  <c r="G8503" i="1"/>
  <c r="D8503" i="1"/>
  <c r="G8502" i="1"/>
  <c r="D8502" i="1"/>
  <c r="G8501" i="1"/>
  <c r="D8501" i="1"/>
  <c r="G8500" i="1"/>
  <c r="D8500" i="1"/>
  <c r="G8499" i="1"/>
  <c r="D8499" i="1"/>
  <c r="G8498" i="1"/>
  <c r="D8498" i="1"/>
  <c r="G8497" i="1"/>
  <c r="D8497" i="1"/>
  <c r="G8496" i="1"/>
  <c r="D8496" i="1"/>
  <c r="G8495" i="1"/>
  <c r="D8495" i="1"/>
  <c r="G8494" i="1"/>
  <c r="D8494" i="1"/>
  <c r="G8493" i="1"/>
  <c r="D8493" i="1"/>
  <c r="G8492" i="1"/>
  <c r="D8492" i="1"/>
  <c r="G8491" i="1"/>
  <c r="D8491" i="1"/>
  <c r="G8490" i="1"/>
  <c r="D8490" i="1"/>
  <c r="G8489" i="1"/>
  <c r="D8489" i="1"/>
  <c r="G8488" i="1"/>
  <c r="D8488" i="1"/>
  <c r="G8487" i="1"/>
  <c r="D8487" i="1"/>
  <c r="G8486" i="1"/>
  <c r="D8486" i="1"/>
  <c r="G8485" i="1"/>
  <c r="D8485" i="1"/>
  <c r="G8484" i="1"/>
  <c r="D8484" i="1"/>
  <c r="G8483" i="1"/>
  <c r="D8483" i="1"/>
  <c r="G8482" i="1"/>
  <c r="D8482" i="1"/>
  <c r="G8481" i="1"/>
  <c r="D8481" i="1"/>
  <c r="G8480" i="1"/>
  <c r="D8480" i="1"/>
  <c r="G8479" i="1"/>
  <c r="D8479" i="1"/>
  <c r="G8478" i="1"/>
  <c r="D8478" i="1"/>
  <c r="G8477" i="1"/>
  <c r="D8477" i="1"/>
  <c r="G8476" i="1"/>
  <c r="D8476" i="1"/>
  <c r="G8475" i="1"/>
  <c r="D8475" i="1"/>
  <c r="G8474" i="1"/>
  <c r="D8474" i="1"/>
  <c r="G8473" i="1"/>
  <c r="D8473" i="1"/>
  <c r="G8472" i="1"/>
  <c r="D8472" i="1"/>
  <c r="G8471" i="1"/>
  <c r="D8471" i="1"/>
  <c r="G8470" i="1"/>
  <c r="D8470" i="1"/>
  <c r="G8469" i="1"/>
  <c r="D8469" i="1"/>
  <c r="G8468" i="1"/>
  <c r="D8468" i="1"/>
  <c r="G8467" i="1"/>
  <c r="D8467" i="1"/>
  <c r="G8466" i="1"/>
  <c r="D8466" i="1"/>
  <c r="G8465" i="1"/>
  <c r="D8465" i="1"/>
  <c r="G8464" i="1"/>
  <c r="D8464" i="1"/>
  <c r="G8463" i="1"/>
  <c r="D8463" i="1"/>
  <c r="G8462" i="1"/>
  <c r="D8462" i="1"/>
  <c r="G8461" i="1"/>
  <c r="D8461" i="1"/>
  <c r="G8460" i="1"/>
  <c r="D8460" i="1"/>
  <c r="G8459" i="1"/>
  <c r="D8459" i="1"/>
  <c r="G8458" i="1"/>
  <c r="D8458" i="1"/>
  <c r="G8457" i="1"/>
  <c r="D8457" i="1"/>
  <c r="G8456" i="1"/>
  <c r="D8456" i="1"/>
  <c r="G8455" i="1"/>
  <c r="D8455" i="1"/>
  <c r="G8454" i="1"/>
  <c r="D8454" i="1"/>
  <c r="G8453" i="1"/>
  <c r="D8453" i="1"/>
  <c r="G8452" i="1"/>
  <c r="D8452" i="1"/>
  <c r="G8451" i="1"/>
  <c r="D8451" i="1"/>
  <c r="G8450" i="1"/>
  <c r="D8450" i="1"/>
  <c r="G8449" i="1"/>
  <c r="D8449" i="1"/>
  <c r="G8448" i="1"/>
  <c r="D8448" i="1"/>
  <c r="G8447" i="1"/>
  <c r="D8447" i="1"/>
  <c r="G8446" i="1"/>
  <c r="D8446" i="1"/>
  <c r="G8445" i="1"/>
  <c r="D8445" i="1"/>
  <c r="G8444" i="1"/>
  <c r="D8444" i="1"/>
  <c r="G8443" i="1"/>
  <c r="D8443" i="1"/>
  <c r="G8442" i="1"/>
  <c r="D8442" i="1"/>
  <c r="G8441" i="1"/>
  <c r="D8441" i="1"/>
  <c r="G8440" i="1"/>
  <c r="D8440" i="1"/>
  <c r="G8439" i="1"/>
  <c r="D8439" i="1"/>
  <c r="G8438" i="1"/>
  <c r="D8438" i="1"/>
  <c r="G8437" i="1"/>
  <c r="D8437" i="1"/>
  <c r="G8436" i="1"/>
  <c r="D8436" i="1"/>
  <c r="G8435" i="1"/>
  <c r="D8435" i="1"/>
  <c r="G8434" i="1"/>
  <c r="D8434" i="1"/>
  <c r="G8433" i="1"/>
  <c r="D8433" i="1"/>
  <c r="G8432" i="1"/>
  <c r="D8432" i="1"/>
  <c r="G8431" i="1"/>
  <c r="D8431" i="1"/>
  <c r="G8430" i="1"/>
  <c r="D8430" i="1"/>
  <c r="G8429" i="1"/>
  <c r="D8429" i="1"/>
  <c r="G8428" i="1"/>
  <c r="D8428" i="1"/>
  <c r="G8427" i="1"/>
  <c r="D8427" i="1"/>
  <c r="G8426" i="1"/>
  <c r="D8426" i="1"/>
  <c r="G8425" i="1"/>
  <c r="D8425" i="1"/>
  <c r="G8424" i="1"/>
  <c r="D8424" i="1"/>
  <c r="G8423" i="1"/>
  <c r="D8423" i="1"/>
  <c r="G8422" i="1"/>
  <c r="D8422" i="1"/>
  <c r="G8421" i="1"/>
  <c r="D8421" i="1"/>
  <c r="G8420" i="1"/>
  <c r="D8420" i="1"/>
  <c r="G8419" i="1"/>
  <c r="D8419" i="1"/>
  <c r="G8418" i="1"/>
  <c r="D8418" i="1"/>
  <c r="G8417" i="1"/>
  <c r="D8417" i="1"/>
  <c r="G8416" i="1"/>
  <c r="D8416" i="1"/>
  <c r="G8415" i="1"/>
  <c r="D8415" i="1"/>
  <c r="G8414" i="1"/>
  <c r="D8414" i="1"/>
  <c r="G8413" i="1"/>
  <c r="D8413" i="1"/>
  <c r="G8412" i="1"/>
  <c r="D8412" i="1"/>
  <c r="G8411" i="1"/>
  <c r="D8411" i="1"/>
  <c r="G8410" i="1"/>
  <c r="D8410" i="1"/>
  <c r="G8409" i="1"/>
  <c r="D8409" i="1"/>
  <c r="G8408" i="1"/>
  <c r="D8408" i="1"/>
  <c r="G8407" i="1"/>
  <c r="D8407" i="1"/>
  <c r="G8406" i="1"/>
  <c r="D8406" i="1"/>
  <c r="G8405" i="1"/>
  <c r="D8405" i="1"/>
  <c r="G8404" i="1"/>
  <c r="D8404" i="1"/>
  <c r="G8403" i="1"/>
  <c r="D8403" i="1"/>
  <c r="G8402" i="1"/>
  <c r="D8402" i="1"/>
  <c r="G8401" i="1"/>
  <c r="D8401" i="1"/>
  <c r="G8400" i="1"/>
  <c r="D8400" i="1"/>
  <c r="G8399" i="1"/>
  <c r="D8399" i="1"/>
  <c r="G8398" i="1"/>
  <c r="D8398" i="1"/>
  <c r="G8397" i="1"/>
  <c r="D8397" i="1"/>
  <c r="G8396" i="1"/>
  <c r="D8396" i="1"/>
  <c r="G8395" i="1"/>
  <c r="D8395" i="1"/>
  <c r="G8394" i="1"/>
  <c r="D8394" i="1"/>
  <c r="G8393" i="1"/>
  <c r="D8393" i="1"/>
  <c r="G8392" i="1"/>
  <c r="D8392" i="1"/>
  <c r="G8391" i="1"/>
  <c r="D8391" i="1"/>
  <c r="G8390" i="1"/>
  <c r="D8390" i="1"/>
  <c r="G8389" i="1"/>
  <c r="D8389" i="1"/>
  <c r="G8388" i="1"/>
  <c r="D8388" i="1"/>
  <c r="G8387" i="1"/>
  <c r="D8387" i="1"/>
  <c r="G8386" i="1"/>
  <c r="D8386" i="1"/>
  <c r="G8385" i="1"/>
  <c r="D8385" i="1"/>
  <c r="G8384" i="1"/>
  <c r="D8384" i="1"/>
  <c r="G8383" i="1"/>
  <c r="D8383" i="1"/>
  <c r="G8382" i="1"/>
  <c r="D8382" i="1"/>
  <c r="G8381" i="1"/>
  <c r="D8381" i="1"/>
  <c r="G8380" i="1"/>
  <c r="D8380" i="1"/>
  <c r="G8379" i="1"/>
  <c r="D8379" i="1"/>
  <c r="G8378" i="1"/>
  <c r="D8378" i="1"/>
  <c r="G8377" i="1"/>
  <c r="D8377" i="1"/>
  <c r="G8376" i="1"/>
  <c r="D8376" i="1"/>
  <c r="G8375" i="1"/>
  <c r="D8375" i="1"/>
  <c r="G8374" i="1"/>
  <c r="D8374" i="1"/>
  <c r="G8373" i="1"/>
  <c r="D8373" i="1"/>
  <c r="G8372" i="1"/>
  <c r="D8372" i="1"/>
  <c r="G8371" i="1"/>
  <c r="D8371" i="1"/>
  <c r="G8370" i="1"/>
  <c r="D8370" i="1"/>
  <c r="G8369" i="1"/>
  <c r="D8369" i="1"/>
  <c r="G8368" i="1"/>
  <c r="D8368" i="1"/>
  <c r="G8367" i="1"/>
  <c r="D8367" i="1"/>
  <c r="G8366" i="1"/>
  <c r="D8366" i="1"/>
  <c r="G8365" i="1"/>
  <c r="D8365" i="1"/>
  <c r="G8364" i="1"/>
  <c r="D8364" i="1"/>
  <c r="G8363" i="1"/>
  <c r="D8363" i="1"/>
  <c r="G8362" i="1"/>
  <c r="D8362" i="1"/>
  <c r="G8361" i="1"/>
  <c r="D8361" i="1"/>
  <c r="G8360" i="1"/>
  <c r="D8360" i="1"/>
  <c r="G8359" i="1"/>
  <c r="D8359" i="1"/>
  <c r="G8358" i="1"/>
  <c r="D8358" i="1"/>
  <c r="G8357" i="1"/>
  <c r="D8357" i="1"/>
  <c r="G8356" i="1"/>
  <c r="D8356" i="1"/>
  <c r="G8355" i="1"/>
  <c r="D8355" i="1"/>
  <c r="G8354" i="1"/>
  <c r="D8354" i="1"/>
  <c r="G8353" i="1"/>
  <c r="D8353" i="1"/>
  <c r="G8352" i="1"/>
  <c r="D8352" i="1"/>
  <c r="G8351" i="1"/>
  <c r="D8351" i="1"/>
  <c r="G8350" i="1"/>
  <c r="D8350" i="1"/>
  <c r="G8349" i="1"/>
  <c r="D8349" i="1"/>
  <c r="G8348" i="1"/>
  <c r="D8348" i="1"/>
  <c r="G8347" i="1"/>
  <c r="D8347" i="1"/>
  <c r="G8346" i="1"/>
  <c r="D8346" i="1"/>
  <c r="G8345" i="1"/>
  <c r="D8345" i="1"/>
  <c r="G8344" i="1"/>
  <c r="D8344" i="1"/>
  <c r="G8343" i="1"/>
  <c r="D8343" i="1"/>
  <c r="G8342" i="1"/>
  <c r="D8342" i="1"/>
  <c r="G8341" i="1"/>
  <c r="D8341" i="1"/>
  <c r="G8340" i="1"/>
  <c r="D8340" i="1"/>
  <c r="G8339" i="1"/>
  <c r="D8339" i="1"/>
  <c r="G8338" i="1"/>
  <c r="D8338" i="1"/>
  <c r="G8337" i="1"/>
  <c r="D8337" i="1"/>
  <c r="G8336" i="1"/>
  <c r="D8336" i="1"/>
  <c r="G8335" i="1"/>
  <c r="D8335" i="1"/>
  <c r="G8334" i="1"/>
  <c r="D8334" i="1"/>
  <c r="G8333" i="1"/>
  <c r="D8333" i="1"/>
  <c r="G8332" i="1"/>
  <c r="D8332" i="1"/>
  <c r="G8331" i="1"/>
  <c r="D8331" i="1"/>
  <c r="G8330" i="1"/>
  <c r="D8330" i="1"/>
  <c r="G8329" i="1"/>
  <c r="D8329" i="1"/>
  <c r="G8328" i="1"/>
  <c r="D8328" i="1"/>
  <c r="G8327" i="1"/>
  <c r="D8327" i="1"/>
  <c r="G8326" i="1"/>
  <c r="D8326" i="1"/>
  <c r="G8325" i="1"/>
  <c r="D8325" i="1"/>
  <c r="G8324" i="1"/>
  <c r="D8324" i="1"/>
  <c r="G8323" i="1"/>
  <c r="D8323" i="1"/>
  <c r="G8322" i="1"/>
  <c r="D8322" i="1"/>
  <c r="G8321" i="1"/>
  <c r="D8321" i="1"/>
  <c r="G8320" i="1"/>
  <c r="D8320" i="1"/>
  <c r="G8319" i="1"/>
  <c r="D8319" i="1"/>
  <c r="G8318" i="1"/>
  <c r="D8318" i="1"/>
  <c r="G8317" i="1"/>
  <c r="D8317" i="1"/>
  <c r="G8316" i="1"/>
  <c r="D8316" i="1"/>
  <c r="G8315" i="1"/>
  <c r="D8315" i="1"/>
  <c r="G8314" i="1"/>
  <c r="D8314" i="1"/>
  <c r="G8313" i="1"/>
  <c r="D8313" i="1"/>
  <c r="G8312" i="1"/>
  <c r="D8312" i="1"/>
  <c r="G8311" i="1"/>
  <c r="D8311" i="1"/>
  <c r="G8310" i="1"/>
  <c r="D8310" i="1"/>
  <c r="G8309" i="1"/>
  <c r="D8309" i="1"/>
  <c r="G8308" i="1"/>
  <c r="D8308" i="1"/>
  <c r="G8307" i="1"/>
  <c r="D8307" i="1"/>
  <c r="G8306" i="1"/>
  <c r="D8306" i="1"/>
  <c r="G8305" i="1"/>
  <c r="D8305" i="1"/>
  <c r="G8304" i="1"/>
  <c r="D8304" i="1"/>
  <c r="G8303" i="1"/>
  <c r="D8303" i="1"/>
  <c r="G8302" i="1"/>
  <c r="D8302" i="1"/>
  <c r="G8301" i="1"/>
  <c r="D8301" i="1"/>
  <c r="G8300" i="1"/>
  <c r="D8300" i="1"/>
  <c r="G8299" i="1"/>
  <c r="D8299" i="1"/>
  <c r="G8298" i="1"/>
  <c r="D8298" i="1"/>
  <c r="G8297" i="1"/>
  <c r="D8297" i="1"/>
  <c r="G8296" i="1"/>
  <c r="D8296" i="1"/>
  <c r="G8295" i="1"/>
  <c r="D8295" i="1"/>
  <c r="G8294" i="1"/>
  <c r="D8294" i="1"/>
  <c r="G8293" i="1"/>
  <c r="D8293" i="1"/>
  <c r="G8292" i="1"/>
  <c r="D8292" i="1"/>
  <c r="G8291" i="1"/>
  <c r="D8291" i="1"/>
  <c r="G8290" i="1"/>
  <c r="D8290" i="1"/>
  <c r="G8289" i="1"/>
  <c r="D8289" i="1"/>
  <c r="G8288" i="1"/>
  <c r="D8288" i="1"/>
  <c r="G8287" i="1"/>
  <c r="D8287" i="1"/>
  <c r="G8286" i="1"/>
  <c r="D8286" i="1"/>
  <c r="G8285" i="1"/>
  <c r="D8285" i="1"/>
  <c r="G8284" i="1"/>
  <c r="D8284" i="1"/>
  <c r="G8283" i="1"/>
  <c r="D8283" i="1"/>
  <c r="G8282" i="1"/>
  <c r="D8282" i="1"/>
  <c r="G8281" i="1"/>
  <c r="D8281" i="1"/>
  <c r="G8280" i="1"/>
  <c r="D8280" i="1"/>
  <c r="G8279" i="1"/>
  <c r="D8279" i="1"/>
  <c r="G8278" i="1"/>
  <c r="D8278" i="1"/>
  <c r="G8277" i="1"/>
  <c r="D8277" i="1"/>
  <c r="G8276" i="1"/>
  <c r="D8276" i="1"/>
  <c r="G8275" i="1"/>
  <c r="D8275" i="1"/>
  <c r="G8274" i="1"/>
  <c r="D8274" i="1"/>
  <c r="G8273" i="1"/>
  <c r="D8273" i="1"/>
  <c r="G8272" i="1"/>
  <c r="D8272" i="1"/>
  <c r="G8271" i="1"/>
  <c r="D8271" i="1"/>
  <c r="G8270" i="1"/>
  <c r="D8270" i="1"/>
  <c r="G8269" i="1"/>
  <c r="D8269" i="1"/>
  <c r="G8268" i="1"/>
  <c r="D8268" i="1"/>
  <c r="G8267" i="1"/>
  <c r="D8267" i="1"/>
  <c r="G8266" i="1"/>
  <c r="D8266" i="1"/>
  <c r="G8265" i="1"/>
  <c r="D8265" i="1"/>
  <c r="G8264" i="1"/>
  <c r="D8264" i="1"/>
  <c r="G8263" i="1"/>
  <c r="D8263" i="1"/>
  <c r="G8262" i="1"/>
  <c r="D8262" i="1"/>
  <c r="G8261" i="1"/>
  <c r="D8261" i="1"/>
  <c r="G8260" i="1"/>
  <c r="D8260" i="1"/>
  <c r="G8259" i="1"/>
  <c r="D8259" i="1"/>
  <c r="G8258" i="1"/>
  <c r="D8258" i="1"/>
  <c r="G8257" i="1"/>
  <c r="D8257" i="1"/>
  <c r="G8256" i="1"/>
  <c r="D8256" i="1"/>
  <c r="G8255" i="1"/>
  <c r="D8255" i="1"/>
  <c r="G8254" i="1"/>
  <c r="D8254" i="1"/>
  <c r="G8253" i="1"/>
  <c r="D8253" i="1"/>
  <c r="G8252" i="1"/>
  <c r="D8252" i="1"/>
  <c r="G8251" i="1"/>
  <c r="D8251" i="1"/>
  <c r="G8250" i="1"/>
  <c r="D8250" i="1"/>
  <c r="G8249" i="1"/>
  <c r="D8249" i="1"/>
  <c r="G8248" i="1"/>
  <c r="D8248" i="1"/>
  <c r="G8247" i="1"/>
  <c r="D8247" i="1"/>
  <c r="G8246" i="1"/>
  <c r="D8246" i="1"/>
  <c r="G8245" i="1"/>
  <c r="D8245" i="1"/>
  <c r="G8244" i="1"/>
  <c r="D8244" i="1"/>
  <c r="G8243" i="1"/>
  <c r="D8243" i="1"/>
  <c r="G8242" i="1"/>
  <c r="D8242" i="1"/>
  <c r="G8241" i="1"/>
  <c r="D8241" i="1"/>
  <c r="G8240" i="1"/>
  <c r="D8240" i="1"/>
  <c r="G8239" i="1"/>
  <c r="D8239" i="1"/>
  <c r="G8238" i="1"/>
  <c r="D8238" i="1"/>
  <c r="G8237" i="1"/>
  <c r="D8237" i="1"/>
  <c r="G8236" i="1"/>
  <c r="D8236" i="1"/>
  <c r="G8235" i="1"/>
  <c r="D8235" i="1"/>
  <c r="G8234" i="1"/>
  <c r="D8234" i="1"/>
  <c r="G8233" i="1"/>
  <c r="D8233" i="1"/>
  <c r="G8232" i="1"/>
  <c r="D8232" i="1"/>
  <c r="G8231" i="1"/>
  <c r="D8231" i="1"/>
  <c r="G8230" i="1"/>
  <c r="D8230" i="1"/>
  <c r="G8229" i="1"/>
  <c r="D8229" i="1"/>
  <c r="G8228" i="1"/>
  <c r="D8228" i="1"/>
  <c r="G8227" i="1"/>
  <c r="D8227" i="1"/>
  <c r="G8226" i="1"/>
  <c r="D8226" i="1"/>
  <c r="G8225" i="1"/>
  <c r="D8225" i="1"/>
  <c r="G8224" i="1"/>
  <c r="D8224" i="1"/>
  <c r="G8223" i="1"/>
  <c r="D8223" i="1"/>
  <c r="G8222" i="1"/>
  <c r="D8222" i="1"/>
  <c r="G8221" i="1"/>
  <c r="D8221" i="1"/>
  <c r="G8220" i="1"/>
  <c r="D8220" i="1"/>
  <c r="G8219" i="1"/>
  <c r="D8219" i="1"/>
  <c r="G8218" i="1"/>
  <c r="D8218" i="1"/>
  <c r="G8217" i="1"/>
  <c r="D8217" i="1"/>
  <c r="G8216" i="1"/>
  <c r="D8216" i="1"/>
  <c r="G8215" i="1"/>
  <c r="D8215" i="1"/>
  <c r="G8214" i="1"/>
  <c r="D8214" i="1"/>
  <c r="G8213" i="1"/>
  <c r="D8213" i="1"/>
  <c r="G8212" i="1"/>
  <c r="D8212" i="1"/>
  <c r="G8211" i="1"/>
  <c r="D8211" i="1"/>
  <c r="G8210" i="1"/>
  <c r="D8210" i="1"/>
  <c r="G8209" i="1"/>
  <c r="D8209" i="1"/>
  <c r="G8208" i="1"/>
  <c r="D8208" i="1"/>
  <c r="G8207" i="1"/>
  <c r="D8207" i="1"/>
  <c r="G8206" i="1"/>
  <c r="D8206" i="1"/>
  <c r="G8205" i="1"/>
  <c r="D8205" i="1"/>
  <c r="G8204" i="1"/>
  <c r="D8204" i="1"/>
  <c r="G8203" i="1"/>
  <c r="D8203" i="1"/>
  <c r="G8202" i="1"/>
  <c r="D8202" i="1"/>
  <c r="G8201" i="1"/>
  <c r="D8201" i="1"/>
  <c r="G8200" i="1"/>
  <c r="D8200" i="1"/>
  <c r="G8199" i="1"/>
  <c r="D8199" i="1"/>
  <c r="G8198" i="1"/>
  <c r="D8198" i="1"/>
  <c r="G8197" i="1"/>
  <c r="D8197" i="1"/>
  <c r="G8196" i="1"/>
  <c r="D8196" i="1"/>
  <c r="G8195" i="1"/>
  <c r="D8195" i="1"/>
  <c r="G8194" i="1"/>
  <c r="D8194" i="1"/>
  <c r="G8193" i="1"/>
  <c r="D8193" i="1"/>
  <c r="G8192" i="1"/>
  <c r="D8192" i="1"/>
  <c r="G8191" i="1"/>
  <c r="D8191" i="1"/>
  <c r="G8190" i="1"/>
  <c r="D8190" i="1"/>
  <c r="G8189" i="1"/>
  <c r="D8189" i="1"/>
  <c r="G8188" i="1"/>
  <c r="D8188" i="1"/>
  <c r="G8187" i="1"/>
  <c r="D8187" i="1"/>
  <c r="G8186" i="1"/>
  <c r="D8186" i="1"/>
  <c r="G8185" i="1"/>
  <c r="D8185" i="1"/>
  <c r="G8184" i="1"/>
  <c r="D8184" i="1"/>
  <c r="G8183" i="1"/>
  <c r="D8183" i="1"/>
  <c r="G8182" i="1"/>
  <c r="D8182" i="1"/>
  <c r="G8181" i="1"/>
  <c r="D8181" i="1"/>
  <c r="G8180" i="1"/>
  <c r="D8180" i="1"/>
  <c r="G8179" i="1"/>
  <c r="D8179" i="1"/>
  <c r="G8178" i="1"/>
  <c r="D8178" i="1"/>
  <c r="G8177" i="1"/>
  <c r="D8177" i="1"/>
  <c r="G8176" i="1"/>
  <c r="D8176" i="1"/>
  <c r="G8175" i="1"/>
  <c r="D8175" i="1"/>
  <c r="G8174" i="1"/>
  <c r="D8174" i="1"/>
  <c r="G8173" i="1"/>
  <c r="D8173" i="1"/>
  <c r="G8172" i="1"/>
  <c r="D8172" i="1"/>
  <c r="G8171" i="1"/>
  <c r="D8171" i="1"/>
  <c r="G8170" i="1"/>
  <c r="D8170" i="1"/>
  <c r="G8169" i="1"/>
  <c r="D8169" i="1"/>
  <c r="G8168" i="1"/>
  <c r="D8168" i="1"/>
  <c r="G8167" i="1"/>
  <c r="D8167" i="1"/>
  <c r="G8166" i="1"/>
  <c r="D8166" i="1"/>
  <c r="G8165" i="1"/>
  <c r="D8165" i="1"/>
  <c r="G8164" i="1"/>
  <c r="D8164" i="1"/>
  <c r="G8163" i="1"/>
  <c r="D8163" i="1"/>
  <c r="G8162" i="1"/>
  <c r="D8162" i="1"/>
  <c r="G8161" i="1"/>
  <c r="D8161" i="1"/>
  <c r="G8160" i="1"/>
  <c r="D8160" i="1"/>
  <c r="G8159" i="1"/>
  <c r="D8159" i="1"/>
  <c r="G8158" i="1"/>
  <c r="D8158" i="1"/>
  <c r="G8157" i="1"/>
  <c r="D8157" i="1"/>
  <c r="G8156" i="1"/>
  <c r="D8156" i="1"/>
  <c r="G8155" i="1"/>
  <c r="D8155" i="1"/>
  <c r="G8154" i="1"/>
  <c r="D8154" i="1"/>
  <c r="G8153" i="1"/>
  <c r="D8153" i="1"/>
  <c r="G8152" i="1"/>
  <c r="D8152" i="1"/>
  <c r="G8151" i="1"/>
  <c r="D8151" i="1"/>
  <c r="G8150" i="1"/>
  <c r="D8150" i="1"/>
  <c r="G8149" i="1"/>
  <c r="D8149" i="1"/>
  <c r="G8148" i="1"/>
  <c r="D8148" i="1"/>
  <c r="G8147" i="1"/>
  <c r="D8147" i="1"/>
  <c r="G8146" i="1"/>
  <c r="D8146" i="1"/>
  <c r="G8145" i="1"/>
  <c r="D8145" i="1"/>
  <c r="G8144" i="1"/>
  <c r="D8144" i="1"/>
  <c r="G8143" i="1"/>
  <c r="D8143" i="1"/>
  <c r="G8142" i="1"/>
  <c r="D8142" i="1"/>
  <c r="G8141" i="1"/>
  <c r="D8141" i="1"/>
  <c r="G8140" i="1"/>
  <c r="D8140" i="1"/>
  <c r="G8139" i="1"/>
  <c r="D8139" i="1"/>
  <c r="G8138" i="1"/>
  <c r="D8138" i="1"/>
  <c r="G8137" i="1"/>
  <c r="D8137" i="1"/>
  <c r="G8136" i="1"/>
  <c r="D8136" i="1"/>
  <c r="G8135" i="1"/>
  <c r="D8135" i="1"/>
  <c r="G8134" i="1"/>
  <c r="D8134" i="1"/>
  <c r="G8133" i="1"/>
  <c r="D8133" i="1"/>
  <c r="G8132" i="1"/>
  <c r="D8132" i="1"/>
  <c r="G8131" i="1"/>
  <c r="D8131" i="1"/>
  <c r="G8130" i="1"/>
  <c r="D8130" i="1"/>
  <c r="G8129" i="1"/>
  <c r="D8129" i="1"/>
  <c r="G8128" i="1"/>
  <c r="D8128" i="1"/>
  <c r="G8127" i="1"/>
  <c r="D8127" i="1"/>
  <c r="G8126" i="1"/>
  <c r="D8126" i="1"/>
  <c r="G8125" i="1"/>
  <c r="D8125" i="1"/>
  <c r="G8124" i="1"/>
  <c r="D8124" i="1"/>
  <c r="G8123" i="1"/>
  <c r="D8123" i="1"/>
  <c r="G8122" i="1"/>
  <c r="D8122" i="1"/>
  <c r="G8121" i="1"/>
  <c r="D8121" i="1"/>
  <c r="G8120" i="1"/>
  <c r="D8120" i="1"/>
  <c r="G8119" i="1"/>
  <c r="D8119" i="1"/>
  <c r="G8118" i="1"/>
  <c r="D8118" i="1"/>
  <c r="G8117" i="1"/>
  <c r="D8117" i="1"/>
  <c r="G8116" i="1"/>
  <c r="D8116" i="1"/>
  <c r="G8115" i="1"/>
  <c r="D8115" i="1"/>
  <c r="G8114" i="1"/>
  <c r="D8114" i="1"/>
  <c r="G8113" i="1"/>
  <c r="D8113" i="1"/>
  <c r="G8112" i="1"/>
  <c r="D8112" i="1"/>
  <c r="G8111" i="1"/>
  <c r="D8111" i="1"/>
  <c r="G8110" i="1"/>
  <c r="D8110" i="1"/>
  <c r="G8109" i="1"/>
  <c r="D8109" i="1"/>
  <c r="G8108" i="1"/>
  <c r="D8108" i="1"/>
  <c r="G8107" i="1"/>
  <c r="D8107" i="1"/>
  <c r="G8106" i="1"/>
  <c r="D8106" i="1"/>
  <c r="G8105" i="1"/>
  <c r="D8105" i="1"/>
  <c r="G8104" i="1"/>
  <c r="D8104" i="1"/>
  <c r="G8103" i="1"/>
  <c r="D8103" i="1"/>
  <c r="G8102" i="1"/>
  <c r="D8102" i="1"/>
  <c r="G8101" i="1"/>
  <c r="D8101" i="1"/>
  <c r="G8100" i="1"/>
  <c r="D8100" i="1"/>
  <c r="G8099" i="1"/>
  <c r="D8099" i="1"/>
  <c r="G8098" i="1"/>
  <c r="D8098" i="1"/>
  <c r="G8097" i="1"/>
  <c r="D8097" i="1"/>
  <c r="G8096" i="1"/>
  <c r="D8096" i="1"/>
  <c r="G8095" i="1"/>
  <c r="D8095" i="1"/>
  <c r="G8094" i="1"/>
  <c r="D8094" i="1"/>
  <c r="G8093" i="1"/>
  <c r="D8093" i="1"/>
  <c r="G8092" i="1"/>
  <c r="D8092" i="1"/>
  <c r="G8091" i="1"/>
  <c r="D8091" i="1"/>
  <c r="G8090" i="1"/>
  <c r="D8090" i="1"/>
  <c r="G8089" i="1"/>
  <c r="D8089" i="1"/>
  <c r="G8088" i="1"/>
  <c r="D8088" i="1"/>
  <c r="G8087" i="1"/>
  <c r="D8087" i="1"/>
  <c r="G8086" i="1"/>
  <c r="D8086" i="1"/>
  <c r="G8085" i="1"/>
  <c r="D8085" i="1"/>
  <c r="G8084" i="1"/>
  <c r="D8084" i="1"/>
  <c r="G8083" i="1"/>
  <c r="D8083" i="1"/>
  <c r="G8082" i="1"/>
  <c r="D8082" i="1"/>
  <c r="G8081" i="1"/>
  <c r="D8081" i="1"/>
  <c r="G8080" i="1"/>
  <c r="D8080" i="1"/>
  <c r="G8079" i="1"/>
  <c r="D8079" i="1"/>
  <c r="G8078" i="1"/>
  <c r="D8078" i="1"/>
  <c r="G8077" i="1"/>
  <c r="D8077" i="1"/>
  <c r="G8076" i="1"/>
  <c r="D8076" i="1"/>
  <c r="G8075" i="1"/>
  <c r="D8075" i="1"/>
  <c r="G8074" i="1"/>
  <c r="D8074" i="1"/>
  <c r="G8073" i="1"/>
  <c r="D8073" i="1"/>
  <c r="G8072" i="1"/>
  <c r="D8072" i="1"/>
  <c r="G8071" i="1"/>
  <c r="D8071" i="1"/>
  <c r="G8070" i="1"/>
  <c r="D8070" i="1"/>
  <c r="G8069" i="1"/>
  <c r="D8069" i="1"/>
  <c r="G8068" i="1"/>
  <c r="D8068" i="1"/>
  <c r="G8067" i="1"/>
  <c r="D8067" i="1"/>
  <c r="G8066" i="1"/>
  <c r="D8066" i="1"/>
  <c r="G8065" i="1"/>
  <c r="D8065" i="1"/>
  <c r="G8064" i="1"/>
  <c r="D8064" i="1"/>
  <c r="G8063" i="1"/>
  <c r="D8063" i="1"/>
  <c r="G8062" i="1"/>
  <c r="D8062" i="1"/>
  <c r="G8061" i="1"/>
  <c r="D8061" i="1"/>
  <c r="G8060" i="1"/>
  <c r="D8060" i="1"/>
  <c r="G8059" i="1"/>
  <c r="D8059" i="1"/>
  <c r="G8058" i="1"/>
  <c r="D8058" i="1"/>
  <c r="G8057" i="1"/>
  <c r="D8057" i="1"/>
  <c r="G8056" i="1"/>
  <c r="D8056" i="1"/>
  <c r="G8055" i="1"/>
  <c r="D8055" i="1"/>
  <c r="G8054" i="1"/>
  <c r="D8054" i="1"/>
  <c r="G8053" i="1"/>
  <c r="D8053" i="1"/>
  <c r="G8052" i="1"/>
  <c r="D8052" i="1"/>
  <c r="G8051" i="1"/>
  <c r="D8051" i="1"/>
  <c r="G8050" i="1"/>
  <c r="D8050" i="1"/>
  <c r="G8049" i="1"/>
  <c r="D8049" i="1"/>
  <c r="G8048" i="1"/>
  <c r="D8048" i="1"/>
  <c r="G8047" i="1"/>
  <c r="D8047" i="1"/>
  <c r="G8046" i="1"/>
  <c r="D8046" i="1"/>
  <c r="G8045" i="1"/>
  <c r="D8045" i="1"/>
  <c r="G8044" i="1"/>
  <c r="D8044" i="1"/>
  <c r="G8043" i="1"/>
  <c r="D8043" i="1"/>
  <c r="G8042" i="1"/>
  <c r="D8042" i="1"/>
  <c r="G8041" i="1"/>
  <c r="D8041" i="1"/>
  <c r="G8040" i="1"/>
  <c r="D8040" i="1"/>
  <c r="G8039" i="1"/>
  <c r="D8039" i="1"/>
  <c r="G8038" i="1"/>
  <c r="D8038" i="1"/>
  <c r="G8037" i="1"/>
  <c r="D8037" i="1"/>
  <c r="G8036" i="1"/>
  <c r="D8036" i="1"/>
  <c r="G8035" i="1"/>
  <c r="D8035" i="1"/>
  <c r="G8034" i="1"/>
  <c r="D8034" i="1"/>
  <c r="G8033" i="1"/>
  <c r="D8033" i="1"/>
  <c r="G8032" i="1"/>
  <c r="D8032" i="1"/>
  <c r="G8031" i="1"/>
  <c r="D8031" i="1"/>
  <c r="G8030" i="1"/>
  <c r="D8030" i="1"/>
  <c r="G8029" i="1"/>
  <c r="D8029" i="1"/>
  <c r="G8028" i="1"/>
  <c r="D8028" i="1"/>
  <c r="G8027" i="1"/>
  <c r="D8027" i="1"/>
  <c r="G8026" i="1"/>
  <c r="D8026" i="1"/>
  <c r="G8025" i="1"/>
  <c r="D8025" i="1"/>
  <c r="G8024" i="1"/>
  <c r="D8024" i="1"/>
  <c r="G8023" i="1"/>
  <c r="D8023" i="1"/>
  <c r="G8022" i="1"/>
  <c r="D8022" i="1"/>
  <c r="G8021" i="1"/>
  <c r="D8021" i="1"/>
  <c r="G8020" i="1"/>
  <c r="D8020" i="1"/>
  <c r="G8019" i="1"/>
  <c r="D8019" i="1"/>
  <c r="G8018" i="1"/>
  <c r="D8018" i="1"/>
  <c r="G8017" i="1"/>
  <c r="D8017" i="1"/>
  <c r="G8016" i="1"/>
  <c r="D8016" i="1"/>
  <c r="G8015" i="1"/>
  <c r="D8015" i="1"/>
  <c r="G8014" i="1"/>
  <c r="D8014" i="1"/>
  <c r="G8013" i="1"/>
  <c r="D8013" i="1"/>
  <c r="G8012" i="1"/>
  <c r="D8012" i="1"/>
  <c r="G8011" i="1"/>
  <c r="D8011" i="1"/>
  <c r="G8010" i="1"/>
  <c r="D8010" i="1"/>
  <c r="G8009" i="1"/>
  <c r="D8009" i="1"/>
  <c r="G8008" i="1"/>
  <c r="D8008" i="1"/>
  <c r="G8007" i="1"/>
  <c r="D8007" i="1"/>
  <c r="G8006" i="1"/>
  <c r="D8006" i="1"/>
  <c r="G8005" i="1"/>
  <c r="D8005" i="1"/>
  <c r="G8004" i="1"/>
  <c r="D8004" i="1"/>
  <c r="G8003" i="1"/>
  <c r="D8003" i="1"/>
  <c r="G8002" i="1"/>
  <c r="D8002" i="1"/>
  <c r="G8001" i="1"/>
  <c r="D8001" i="1"/>
  <c r="G8000" i="1"/>
  <c r="D8000" i="1"/>
  <c r="G7999" i="1"/>
  <c r="D7999" i="1"/>
  <c r="G7998" i="1"/>
  <c r="D7998" i="1"/>
  <c r="G7997" i="1"/>
  <c r="D7997" i="1"/>
  <c r="G7996" i="1"/>
  <c r="D7996" i="1"/>
  <c r="G7995" i="1"/>
  <c r="D7995" i="1"/>
  <c r="G7994" i="1"/>
  <c r="D7994" i="1"/>
  <c r="G7993" i="1"/>
  <c r="D7993" i="1"/>
  <c r="G7992" i="1"/>
  <c r="D7992" i="1"/>
  <c r="G7991" i="1"/>
  <c r="D7991" i="1"/>
  <c r="G7990" i="1"/>
  <c r="D7990" i="1"/>
  <c r="G7989" i="1"/>
  <c r="D7989" i="1"/>
  <c r="G7988" i="1"/>
  <c r="D7988" i="1"/>
  <c r="G7987" i="1"/>
  <c r="D7987" i="1"/>
  <c r="G7986" i="1"/>
  <c r="D7986" i="1"/>
  <c r="G7985" i="1"/>
  <c r="D7985" i="1"/>
  <c r="G7984" i="1"/>
  <c r="D7984" i="1"/>
  <c r="G7983" i="1"/>
  <c r="D7983" i="1"/>
  <c r="G7982" i="1"/>
  <c r="D7982" i="1"/>
  <c r="G7981" i="1"/>
  <c r="D7981" i="1"/>
  <c r="G7980" i="1"/>
  <c r="D7980" i="1"/>
  <c r="G7979" i="1"/>
  <c r="D7979" i="1"/>
  <c r="G7978" i="1"/>
  <c r="D7978" i="1"/>
  <c r="G7977" i="1"/>
  <c r="D7977" i="1"/>
  <c r="G7976" i="1"/>
  <c r="D7976" i="1"/>
  <c r="G7975" i="1"/>
  <c r="D7975" i="1"/>
  <c r="G7974" i="1"/>
  <c r="D7974" i="1"/>
  <c r="G7973" i="1"/>
  <c r="D7973" i="1"/>
  <c r="G7972" i="1"/>
  <c r="D7972" i="1"/>
  <c r="G7971" i="1"/>
  <c r="D7971" i="1"/>
  <c r="G7970" i="1"/>
  <c r="D7970" i="1"/>
  <c r="G7969" i="1"/>
  <c r="D7969" i="1"/>
  <c r="G7968" i="1"/>
  <c r="D7968" i="1"/>
  <c r="G7967" i="1"/>
  <c r="D7967" i="1"/>
  <c r="G7966" i="1"/>
  <c r="D7966" i="1"/>
  <c r="G7965" i="1"/>
  <c r="D7965" i="1"/>
  <c r="G7964" i="1"/>
  <c r="D7964" i="1"/>
  <c r="G7963" i="1"/>
  <c r="D7963" i="1"/>
  <c r="G7962" i="1"/>
  <c r="D7962" i="1"/>
  <c r="G7961" i="1"/>
  <c r="D7961" i="1"/>
  <c r="G7960" i="1"/>
  <c r="D7960" i="1"/>
  <c r="G7959" i="1"/>
  <c r="D7959" i="1"/>
  <c r="G7958" i="1"/>
  <c r="D7958" i="1"/>
  <c r="G7957" i="1"/>
  <c r="D7957" i="1"/>
  <c r="G7956" i="1"/>
  <c r="D7956" i="1"/>
  <c r="G7955" i="1"/>
  <c r="D7955" i="1"/>
  <c r="G7954" i="1"/>
  <c r="D7954" i="1"/>
  <c r="G7953" i="1"/>
  <c r="D7953" i="1"/>
  <c r="G7952" i="1"/>
  <c r="D7952" i="1"/>
  <c r="G7951" i="1"/>
  <c r="D7951" i="1"/>
  <c r="G7950" i="1"/>
  <c r="G7949" i="1"/>
  <c r="D7949" i="1"/>
  <c r="G7948" i="1"/>
  <c r="D7948" i="1"/>
  <c r="G7947" i="1"/>
  <c r="D7947" i="1"/>
  <c r="G7946" i="1"/>
  <c r="D7946" i="1"/>
  <c r="G7945" i="1"/>
  <c r="D7945" i="1"/>
  <c r="G7944" i="1"/>
  <c r="D7944" i="1"/>
  <c r="G7943" i="1"/>
  <c r="D7943" i="1"/>
  <c r="G7942" i="1"/>
  <c r="D7942" i="1"/>
  <c r="G7941" i="1"/>
  <c r="D7941" i="1"/>
  <c r="G7940" i="1"/>
  <c r="D7940" i="1"/>
  <c r="G7939" i="1"/>
  <c r="D7939" i="1"/>
  <c r="G7938" i="1"/>
  <c r="D7938" i="1"/>
  <c r="G7937" i="1"/>
  <c r="D7937" i="1"/>
  <c r="G7936" i="1"/>
  <c r="D7936" i="1"/>
  <c r="G7935" i="1"/>
  <c r="D7935" i="1"/>
  <c r="G7934" i="1"/>
  <c r="D7934" i="1"/>
  <c r="G7933" i="1"/>
  <c r="D7933" i="1"/>
  <c r="G7932" i="1"/>
  <c r="D7932" i="1"/>
  <c r="G7931" i="1"/>
  <c r="D7931" i="1"/>
  <c r="G7930" i="1"/>
  <c r="D7930" i="1"/>
  <c r="G7929" i="1"/>
  <c r="D7929" i="1"/>
  <c r="G7928" i="1"/>
  <c r="D7928" i="1"/>
  <c r="G7927" i="1"/>
  <c r="D7927" i="1"/>
  <c r="G7926" i="1"/>
  <c r="D7926" i="1"/>
  <c r="G7925" i="1"/>
  <c r="D7925" i="1"/>
  <c r="G7924" i="1"/>
  <c r="D7924" i="1"/>
  <c r="G7923" i="1"/>
  <c r="D7923" i="1"/>
  <c r="G7922" i="1"/>
  <c r="D7922" i="1"/>
  <c r="G7921" i="1"/>
  <c r="D7921" i="1"/>
  <c r="G7920" i="1"/>
  <c r="D7920" i="1"/>
  <c r="G7919" i="1"/>
  <c r="D7919" i="1"/>
  <c r="G7918" i="1"/>
  <c r="D7918" i="1"/>
  <c r="G7917" i="1"/>
  <c r="D7917" i="1"/>
  <c r="G7916" i="1"/>
  <c r="D7916" i="1"/>
  <c r="G7915" i="1"/>
  <c r="D7915" i="1"/>
  <c r="G7914" i="1"/>
  <c r="D7914" i="1"/>
  <c r="G7913" i="1"/>
  <c r="D7913" i="1"/>
  <c r="G7912" i="1"/>
  <c r="D7912" i="1"/>
  <c r="G7911" i="1"/>
  <c r="D7911" i="1"/>
  <c r="G7910" i="1"/>
  <c r="D7910" i="1"/>
  <c r="G7909" i="1"/>
  <c r="D7909" i="1"/>
  <c r="G7908" i="1"/>
  <c r="D7908" i="1"/>
  <c r="G7907" i="1"/>
  <c r="D7907" i="1"/>
  <c r="G7906" i="1"/>
  <c r="D7906" i="1"/>
  <c r="G7905" i="1"/>
  <c r="D7905" i="1"/>
  <c r="G7904" i="1"/>
  <c r="D7904" i="1"/>
  <c r="G7903" i="1"/>
  <c r="D7903" i="1"/>
  <c r="G7902" i="1"/>
  <c r="D7902" i="1"/>
  <c r="G7901" i="1"/>
  <c r="D7901" i="1"/>
  <c r="G7900" i="1"/>
  <c r="D7900" i="1"/>
  <c r="G7899" i="1"/>
  <c r="D7899" i="1"/>
  <c r="G7898" i="1"/>
  <c r="D7898" i="1"/>
  <c r="G7897" i="1"/>
  <c r="D7897" i="1"/>
  <c r="G7896" i="1"/>
  <c r="D7896" i="1"/>
  <c r="G7895" i="1"/>
  <c r="D7895" i="1"/>
  <c r="G7894" i="1"/>
  <c r="D7894" i="1"/>
  <c r="G7893" i="1"/>
  <c r="D7893" i="1"/>
  <c r="G7892" i="1"/>
  <c r="D7892" i="1"/>
  <c r="G7891" i="1"/>
  <c r="D7891" i="1"/>
  <c r="G7890" i="1"/>
  <c r="D7890" i="1"/>
  <c r="G7889" i="1"/>
  <c r="D7889" i="1"/>
  <c r="G7888" i="1"/>
  <c r="D7888" i="1"/>
  <c r="G7887" i="1"/>
  <c r="D7887" i="1"/>
  <c r="G7886" i="1"/>
  <c r="D7886" i="1"/>
  <c r="G7885" i="1"/>
  <c r="D7885" i="1"/>
  <c r="G7884" i="1"/>
  <c r="D7884" i="1"/>
  <c r="G7883" i="1"/>
  <c r="D7883" i="1"/>
  <c r="G7882" i="1"/>
  <c r="D7882" i="1"/>
  <c r="G7881" i="1"/>
  <c r="D7881" i="1"/>
  <c r="G7880" i="1"/>
  <c r="D7880" i="1"/>
  <c r="G7879" i="1"/>
  <c r="D7879" i="1"/>
  <c r="G7878" i="1"/>
  <c r="D7878" i="1"/>
  <c r="G7877" i="1"/>
  <c r="D7877" i="1"/>
  <c r="G7876" i="1"/>
  <c r="D7876" i="1"/>
  <c r="G7875" i="1"/>
  <c r="D7875" i="1"/>
  <c r="G7874" i="1"/>
  <c r="D7874" i="1"/>
  <c r="G7873" i="1"/>
  <c r="D7873" i="1"/>
  <c r="G7872" i="1"/>
  <c r="D7872" i="1"/>
  <c r="G7871" i="1"/>
  <c r="D7871" i="1"/>
  <c r="G7870" i="1"/>
  <c r="D7870" i="1"/>
  <c r="G7869" i="1"/>
  <c r="D7869" i="1"/>
  <c r="G7868" i="1"/>
  <c r="D7868" i="1"/>
  <c r="G7867" i="1"/>
  <c r="D7867" i="1"/>
  <c r="G7866" i="1"/>
  <c r="D7866" i="1"/>
  <c r="G7865" i="1"/>
  <c r="D7865" i="1"/>
  <c r="G7864" i="1"/>
  <c r="D7864" i="1"/>
  <c r="G7863" i="1"/>
  <c r="D7863" i="1"/>
  <c r="G7862" i="1"/>
  <c r="D7862" i="1"/>
  <c r="G7861" i="1"/>
  <c r="D7861" i="1"/>
  <c r="G7860" i="1"/>
  <c r="D7860" i="1"/>
  <c r="G7859" i="1"/>
  <c r="D7859" i="1"/>
  <c r="G7858" i="1"/>
  <c r="D7858" i="1"/>
  <c r="G7857" i="1"/>
  <c r="D7857" i="1"/>
  <c r="G7856" i="1"/>
  <c r="D7856" i="1"/>
  <c r="G7855" i="1"/>
  <c r="D7855" i="1"/>
  <c r="G7854" i="1"/>
  <c r="D7854" i="1"/>
  <c r="G7853" i="1"/>
  <c r="D7853" i="1"/>
  <c r="G7852" i="1"/>
  <c r="D7852" i="1"/>
  <c r="G7851" i="1"/>
  <c r="D7851" i="1"/>
  <c r="G7850" i="1"/>
  <c r="D7850" i="1"/>
  <c r="G7849" i="1"/>
  <c r="D7849" i="1"/>
  <c r="G7848" i="1"/>
  <c r="D7848" i="1"/>
  <c r="G7847" i="1"/>
  <c r="D7847" i="1"/>
  <c r="G7846" i="1"/>
  <c r="D7846" i="1"/>
  <c r="G7845" i="1"/>
  <c r="D7845" i="1"/>
  <c r="G7844" i="1"/>
  <c r="D7844" i="1"/>
  <c r="G7843" i="1"/>
  <c r="D7843" i="1"/>
  <c r="G7842" i="1"/>
  <c r="D7842" i="1"/>
  <c r="G7841" i="1"/>
  <c r="D7841" i="1"/>
  <c r="G7840" i="1"/>
  <c r="D7840" i="1"/>
  <c r="G7839" i="1"/>
  <c r="D7839" i="1"/>
  <c r="G7838" i="1"/>
  <c r="D7838" i="1"/>
  <c r="G7837" i="1"/>
  <c r="D7837" i="1"/>
  <c r="G7836" i="1"/>
  <c r="D7836" i="1"/>
  <c r="G7835" i="1"/>
  <c r="D7835" i="1"/>
  <c r="G7834" i="1"/>
  <c r="D7834" i="1"/>
  <c r="G7833" i="1"/>
  <c r="D7833" i="1"/>
  <c r="G7832" i="1"/>
  <c r="D7832" i="1"/>
  <c r="G7831" i="1"/>
  <c r="D7831" i="1"/>
  <c r="G7830" i="1"/>
  <c r="D7830" i="1"/>
  <c r="G7829" i="1"/>
  <c r="D7829" i="1"/>
  <c r="G7828" i="1"/>
  <c r="D7828" i="1"/>
  <c r="G7827" i="1"/>
  <c r="D7827" i="1"/>
  <c r="G7826" i="1"/>
  <c r="D7826" i="1"/>
  <c r="G7825" i="1"/>
  <c r="D7825" i="1"/>
  <c r="G7824" i="1"/>
  <c r="D7824" i="1"/>
  <c r="G7823" i="1"/>
  <c r="D7823" i="1"/>
  <c r="G7822" i="1"/>
  <c r="D7822" i="1"/>
  <c r="G7821" i="1"/>
  <c r="D7821" i="1"/>
  <c r="G7820" i="1"/>
  <c r="D7820" i="1"/>
  <c r="G7819" i="1"/>
  <c r="D7819" i="1"/>
  <c r="G7818" i="1"/>
  <c r="D7818" i="1"/>
  <c r="G7817" i="1"/>
  <c r="D7817" i="1"/>
  <c r="G7816" i="1"/>
  <c r="D7816" i="1"/>
  <c r="G7815" i="1"/>
  <c r="D7815" i="1"/>
  <c r="G7814" i="1"/>
  <c r="D7814" i="1"/>
  <c r="G7813" i="1"/>
  <c r="D7813" i="1"/>
  <c r="G7812" i="1"/>
  <c r="D7812" i="1"/>
  <c r="G7811" i="1"/>
  <c r="D7811" i="1"/>
  <c r="G7810" i="1"/>
  <c r="D7810" i="1"/>
  <c r="G7809" i="1"/>
  <c r="D7809" i="1"/>
  <c r="G7808" i="1"/>
  <c r="D7808" i="1"/>
  <c r="G7807" i="1"/>
  <c r="D7807" i="1"/>
  <c r="G7806" i="1"/>
  <c r="D7806" i="1"/>
  <c r="G7805" i="1"/>
  <c r="D7805" i="1"/>
  <c r="G7804" i="1"/>
  <c r="D7804" i="1"/>
  <c r="G7803" i="1"/>
  <c r="D7803" i="1"/>
  <c r="G7802" i="1"/>
  <c r="D7802" i="1"/>
  <c r="G7801" i="1"/>
  <c r="D7801" i="1"/>
  <c r="G7800" i="1"/>
  <c r="D7800" i="1"/>
  <c r="G7799" i="1"/>
  <c r="D7799" i="1"/>
  <c r="G7798" i="1"/>
  <c r="D7798" i="1"/>
  <c r="G7797" i="1"/>
  <c r="D7797" i="1"/>
  <c r="G7796" i="1"/>
  <c r="D7796" i="1"/>
  <c r="G7795" i="1"/>
  <c r="D7795" i="1"/>
  <c r="G7794" i="1"/>
  <c r="D7794" i="1"/>
  <c r="G7793" i="1"/>
  <c r="D7793" i="1"/>
  <c r="G7792" i="1"/>
  <c r="D7792" i="1"/>
  <c r="G7791" i="1"/>
  <c r="D7791" i="1"/>
  <c r="G7790" i="1"/>
  <c r="D7790" i="1"/>
  <c r="G7789" i="1"/>
  <c r="D7789" i="1"/>
  <c r="G7788" i="1"/>
  <c r="D7788" i="1"/>
  <c r="G7787" i="1"/>
  <c r="D7787" i="1"/>
  <c r="G7786" i="1"/>
  <c r="D7786" i="1"/>
  <c r="G7785" i="1"/>
  <c r="D7785" i="1"/>
  <c r="G7784" i="1"/>
  <c r="D7784" i="1"/>
  <c r="G7783" i="1"/>
  <c r="D7783" i="1"/>
  <c r="G7782" i="1"/>
  <c r="D7782" i="1"/>
  <c r="G7781" i="1"/>
  <c r="D7781" i="1"/>
  <c r="G7780" i="1"/>
  <c r="D7780" i="1"/>
  <c r="G7779" i="1"/>
  <c r="D7779" i="1"/>
  <c r="G7778" i="1"/>
  <c r="D7778" i="1"/>
  <c r="G7777" i="1"/>
  <c r="D7777" i="1"/>
  <c r="G7776" i="1"/>
  <c r="D7776" i="1"/>
  <c r="G7775" i="1"/>
  <c r="D7775" i="1"/>
  <c r="G7774" i="1"/>
  <c r="D7774" i="1"/>
  <c r="G7773" i="1"/>
  <c r="D7773" i="1"/>
  <c r="G7772" i="1"/>
  <c r="D7772" i="1"/>
  <c r="G7771" i="1"/>
  <c r="D7771" i="1"/>
  <c r="G7770" i="1"/>
  <c r="D7770" i="1"/>
  <c r="G7769" i="1"/>
  <c r="D7769" i="1"/>
  <c r="G7768" i="1"/>
  <c r="D7768" i="1"/>
  <c r="G7767" i="1"/>
  <c r="D7767" i="1"/>
  <c r="G7766" i="1"/>
  <c r="D7766" i="1"/>
  <c r="G7765" i="1"/>
  <c r="D7765" i="1"/>
  <c r="G7764" i="1"/>
  <c r="D7764" i="1"/>
  <c r="G7763" i="1"/>
  <c r="D7763" i="1"/>
  <c r="G7762" i="1"/>
  <c r="D7762" i="1"/>
  <c r="G7761" i="1"/>
  <c r="D7761" i="1"/>
  <c r="G7760" i="1"/>
  <c r="D7760" i="1"/>
  <c r="G7759" i="1"/>
  <c r="D7759" i="1"/>
  <c r="G7758" i="1"/>
  <c r="D7758" i="1"/>
  <c r="G7757" i="1"/>
  <c r="D7757" i="1"/>
  <c r="G7756" i="1"/>
  <c r="D7756" i="1"/>
  <c r="G7755" i="1"/>
  <c r="D7755" i="1"/>
  <c r="G7754" i="1"/>
  <c r="D7754" i="1"/>
  <c r="G7753" i="1"/>
  <c r="D7753" i="1"/>
  <c r="G7752" i="1"/>
  <c r="D7752" i="1"/>
  <c r="G7751" i="1"/>
  <c r="D7751" i="1"/>
  <c r="G7750" i="1"/>
  <c r="D7750" i="1"/>
  <c r="G7749" i="1"/>
  <c r="D7749" i="1"/>
  <c r="G7748" i="1"/>
  <c r="D7748" i="1"/>
  <c r="G7747" i="1"/>
  <c r="D7747" i="1"/>
  <c r="G7746" i="1"/>
  <c r="D7746" i="1"/>
  <c r="G7745" i="1"/>
  <c r="D7745" i="1"/>
  <c r="G7744" i="1"/>
  <c r="D7744" i="1"/>
  <c r="G7743" i="1"/>
  <c r="D7743" i="1"/>
  <c r="G7742" i="1"/>
  <c r="D7742" i="1"/>
  <c r="G7741" i="1"/>
  <c r="D7741" i="1"/>
  <c r="G7740" i="1"/>
  <c r="D7740" i="1"/>
  <c r="G7739" i="1"/>
  <c r="D7739" i="1"/>
  <c r="G7738" i="1"/>
  <c r="D7738" i="1"/>
  <c r="G7737" i="1"/>
  <c r="D7737" i="1"/>
  <c r="G7736" i="1"/>
  <c r="D7736" i="1"/>
  <c r="G7735" i="1"/>
  <c r="D7735" i="1"/>
  <c r="G7734" i="1"/>
  <c r="D7734" i="1"/>
  <c r="G7733" i="1"/>
  <c r="D7733" i="1"/>
  <c r="G7732" i="1"/>
  <c r="D7732" i="1"/>
  <c r="G7731" i="1"/>
  <c r="D7731" i="1"/>
  <c r="G7730" i="1"/>
  <c r="D7730" i="1"/>
  <c r="G7729" i="1"/>
  <c r="D7729" i="1"/>
  <c r="G7728" i="1"/>
  <c r="D7728" i="1"/>
  <c r="G7727" i="1"/>
  <c r="D7727" i="1"/>
  <c r="G7726" i="1"/>
  <c r="D7726" i="1"/>
  <c r="G7725" i="1"/>
  <c r="D7725" i="1"/>
  <c r="G7724" i="1"/>
  <c r="D7724" i="1"/>
  <c r="G7723" i="1"/>
  <c r="D7723" i="1"/>
  <c r="G7722" i="1"/>
  <c r="D7722" i="1"/>
  <c r="G7721" i="1"/>
  <c r="D7721" i="1"/>
  <c r="G7720" i="1"/>
  <c r="D7720" i="1"/>
  <c r="G7719" i="1"/>
  <c r="D7719" i="1"/>
  <c r="G7718" i="1"/>
  <c r="D7718" i="1"/>
  <c r="G7717" i="1"/>
  <c r="D7717" i="1"/>
  <c r="G7716" i="1"/>
  <c r="D7716" i="1"/>
  <c r="G7715" i="1"/>
  <c r="D7715" i="1"/>
  <c r="G7714" i="1"/>
  <c r="D7714" i="1"/>
  <c r="G7713" i="1"/>
  <c r="D7713" i="1"/>
  <c r="G7712" i="1"/>
  <c r="D7712" i="1"/>
  <c r="G7711" i="1"/>
  <c r="D7711" i="1"/>
  <c r="G7710" i="1"/>
  <c r="D7710" i="1"/>
  <c r="G7709" i="1"/>
  <c r="D7709" i="1"/>
  <c r="G7708" i="1"/>
  <c r="D7708" i="1"/>
  <c r="G7707" i="1"/>
  <c r="D7707" i="1"/>
  <c r="G7706" i="1"/>
  <c r="D7706" i="1"/>
  <c r="G7705" i="1"/>
  <c r="D7705" i="1"/>
  <c r="G7704" i="1"/>
  <c r="D7704" i="1"/>
  <c r="G7703" i="1"/>
  <c r="D7703" i="1"/>
  <c r="G7702" i="1"/>
  <c r="D7702" i="1"/>
  <c r="G7701" i="1"/>
  <c r="D7701" i="1"/>
  <c r="G7700" i="1"/>
  <c r="D7700" i="1"/>
  <c r="G7699" i="1"/>
  <c r="D7699" i="1"/>
  <c r="G7698" i="1"/>
  <c r="D7698" i="1"/>
  <c r="G7697" i="1"/>
  <c r="D7697" i="1"/>
  <c r="G7696" i="1"/>
  <c r="D7696" i="1"/>
  <c r="G7695" i="1"/>
  <c r="D7695" i="1"/>
  <c r="G7694" i="1"/>
  <c r="D7694" i="1"/>
  <c r="G7693" i="1"/>
  <c r="D7693" i="1"/>
  <c r="G7692" i="1"/>
  <c r="D7692" i="1"/>
  <c r="G7691" i="1"/>
  <c r="D7691" i="1"/>
  <c r="G7690" i="1"/>
  <c r="D7690" i="1"/>
  <c r="G7689" i="1"/>
  <c r="D7689" i="1"/>
  <c r="G7688" i="1"/>
  <c r="D7688" i="1"/>
  <c r="G7687" i="1"/>
  <c r="D7687" i="1"/>
  <c r="G7686" i="1"/>
  <c r="D7686" i="1"/>
  <c r="G7685" i="1"/>
  <c r="D7685" i="1"/>
  <c r="G7684" i="1"/>
  <c r="D7684" i="1"/>
  <c r="G7683" i="1"/>
  <c r="D7683" i="1"/>
  <c r="G7682" i="1"/>
  <c r="D7682" i="1"/>
  <c r="G7681" i="1"/>
  <c r="D7681" i="1"/>
  <c r="G7680" i="1"/>
  <c r="D7680" i="1"/>
  <c r="G7679" i="1"/>
  <c r="D7679" i="1"/>
  <c r="G7678" i="1"/>
  <c r="D7678" i="1"/>
  <c r="G7677" i="1"/>
  <c r="D7677" i="1"/>
  <c r="G7676" i="1"/>
  <c r="D7676" i="1"/>
  <c r="G7675" i="1"/>
  <c r="D7675" i="1"/>
  <c r="G7674" i="1"/>
  <c r="D7674" i="1"/>
  <c r="G7673" i="1"/>
  <c r="D7673" i="1"/>
  <c r="G7672" i="1"/>
  <c r="D7672" i="1"/>
  <c r="G7671" i="1"/>
  <c r="D7671" i="1"/>
  <c r="G7670" i="1"/>
  <c r="D7670" i="1"/>
  <c r="G7669" i="1"/>
  <c r="D7669" i="1"/>
  <c r="G7668" i="1"/>
  <c r="D7668" i="1"/>
  <c r="G7667" i="1"/>
  <c r="D7667" i="1"/>
  <c r="G7666" i="1"/>
  <c r="D7666" i="1"/>
  <c r="G7665" i="1"/>
  <c r="D7665" i="1"/>
  <c r="G7664" i="1"/>
  <c r="D7664" i="1"/>
  <c r="G7663" i="1"/>
  <c r="D7663" i="1"/>
  <c r="G7662" i="1"/>
  <c r="D7662" i="1"/>
  <c r="G7661" i="1"/>
  <c r="D7661" i="1"/>
  <c r="G7660" i="1"/>
  <c r="D7660" i="1"/>
  <c r="G7659" i="1"/>
  <c r="D7659" i="1"/>
  <c r="G7658" i="1"/>
  <c r="D7658" i="1"/>
  <c r="G7657" i="1"/>
  <c r="D7657" i="1"/>
  <c r="G7656" i="1"/>
  <c r="D7656" i="1"/>
  <c r="G7655" i="1"/>
  <c r="D7655" i="1"/>
  <c r="G7654" i="1"/>
  <c r="D7654" i="1"/>
  <c r="G7653" i="1"/>
  <c r="D7653" i="1"/>
  <c r="G7652" i="1"/>
  <c r="D7652" i="1"/>
  <c r="G7651" i="1"/>
  <c r="D7651" i="1"/>
  <c r="G7650" i="1"/>
  <c r="D7650" i="1"/>
  <c r="G7649" i="1"/>
  <c r="D7649" i="1"/>
  <c r="G7648" i="1"/>
  <c r="D7648" i="1"/>
  <c r="G7647" i="1"/>
  <c r="D7647" i="1"/>
  <c r="G7646" i="1"/>
  <c r="D7646" i="1"/>
  <c r="G7645" i="1"/>
  <c r="D7645" i="1"/>
  <c r="G7644" i="1"/>
  <c r="D7644" i="1"/>
  <c r="G7643" i="1"/>
  <c r="D7643" i="1"/>
  <c r="G7642" i="1"/>
  <c r="D7642" i="1"/>
  <c r="G7641" i="1"/>
  <c r="D7641" i="1"/>
  <c r="G7640" i="1"/>
  <c r="D7640" i="1"/>
  <c r="G7639" i="1"/>
  <c r="D7639" i="1"/>
  <c r="G7638" i="1"/>
  <c r="D7638" i="1"/>
  <c r="G7637" i="1"/>
  <c r="D7637" i="1"/>
  <c r="G7636" i="1"/>
  <c r="D7636" i="1"/>
  <c r="G7635" i="1"/>
  <c r="D7635" i="1"/>
  <c r="G7634" i="1"/>
  <c r="D7634" i="1"/>
  <c r="G7633" i="1"/>
  <c r="D7633" i="1"/>
  <c r="G7632" i="1"/>
  <c r="D7632" i="1"/>
  <c r="G7631" i="1"/>
  <c r="D7631" i="1"/>
  <c r="G7630" i="1"/>
  <c r="D7630" i="1"/>
  <c r="G7629" i="1"/>
  <c r="D7629" i="1"/>
  <c r="G7628" i="1"/>
  <c r="D7628" i="1"/>
  <c r="G7627" i="1"/>
  <c r="D7627" i="1"/>
  <c r="G7626" i="1"/>
  <c r="D7626" i="1"/>
  <c r="G7625" i="1"/>
  <c r="D7625" i="1"/>
  <c r="G7624" i="1"/>
  <c r="D7624" i="1"/>
  <c r="G7623" i="1"/>
  <c r="D7623" i="1"/>
  <c r="G7622" i="1"/>
  <c r="D7622" i="1"/>
  <c r="G7621" i="1"/>
  <c r="D7621" i="1"/>
  <c r="G7620" i="1"/>
  <c r="D7620" i="1"/>
  <c r="G7619" i="1"/>
  <c r="D7619" i="1"/>
  <c r="G7618" i="1"/>
  <c r="D7618" i="1"/>
  <c r="G7617" i="1"/>
  <c r="D7617" i="1"/>
  <c r="G7616" i="1"/>
  <c r="D7616" i="1"/>
  <c r="G7615" i="1"/>
  <c r="D7615" i="1"/>
  <c r="G7614" i="1"/>
  <c r="D7614" i="1"/>
  <c r="G7613" i="1"/>
  <c r="D7613" i="1"/>
  <c r="G7612" i="1"/>
  <c r="D7612" i="1"/>
  <c r="G7611" i="1"/>
  <c r="D7611" i="1"/>
  <c r="G7610" i="1"/>
  <c r="D7610" i="1"/>
  <c r="G7609" i="1"/>
  <c r="D7609" i="1"/>
  <c r="G7608" i="1"/>
  <c r="D7608" i="1"/>
  <c r="G7607" i="1"/>
  <c r="D7607" i="1"/>
  <c r="G7606" i="1"/>
  <c r="D7606" i="1"/>
  <c r="G7605" i="1"/>
  <c r="D7605" i="1"/>
  <c r="G7604" i="1"/>
  <c r="D7604" i="1"/>
  <c r="G7603" i="1"/>
  <c r="D7603" i="1"/>
  <c r="G7602" i="1"/>
  <c r="D7602" i="1"/>
  <c r="G7601" i="1"/>
  <c r="D7601" i="1"/>
  <c r="G7600" i="1"/>
  <c r="D7600" i="1"/>
  <c r="G7599" i="1"/>
  <c r="D7599" i="1"/>
  <c r="G7598" i="1"/>
  <c r="D7598" i="1"/>
  <c r="G7597" i="1"/>
  <c r="D7597" i="1"/>
  <c r="G7596" i="1"/>
  <c r="D7596" i="1"/>
  <c r="G7595" i="1"/>
  <c r="D7595" i="1"/>
  <c r="G7594" i="1"/>
  <c r="D7594" i="1"/>
  <c r="G7593" i="1"/>
  <c r="D7593" i="1"/>
  <c r="G7592" i="1"/>
  <c r="D7592" i="1"/>
  <c r="G7591" i="1"/>
  <c r="D7591" i="1"/>
  <c r="G7590" i="1"/>
  <c r="D7590" i="1"/>
  <c r="G7589" i="1"/>
  <c r="D7589" i="1"/>
  <c r="G7588" i="1"/>
  <c r="D7588" i="1"/>
  <c r="G7587" i="1"/>
  <c r="D7587" i="1"/>
  <c r="G7586" i="1"/>
  <c r="D7586" i="1"/>
  <c r="G7585" i="1"/>
  <c r="D7585" i="1"/>
  <c r="G7584" i="1"/>
  <c r="D7584" i="1"/>
  <c r="G7583" i="1"/>
  <c r="D7583" i="1"/>
  <c r="G7582" i="1"/>
  <c r="D7582" i="1"/>
  <c r="G7581" i="1"/>
  <c r="D7581" i="1"/>
  <c r="G7580" i="1"/>
  <c r="D7580" i="1"/>
  <c r="G7579" i="1"/>
  <c r="D7579" i="1"/>
  <c r="G7578" i="1"/>
  <c r="D7578" i="1"/>
  <c r="G7577" i="1"/>
  <c r="D7577" i="1"/>
  <c r="G7576" i="1"/>
  <c r="D7576" i="1"/>
  <c r="G7575" i="1"/>
  <c r="D7575" i="1"/>
  <c r="G7574" i="1"/>
  <c r="D7574" i="1"/>
  <c r="G7573" i="1"/>
  <c r="D7573" i="1"/>
  <c r="G7572" i="1"/>
  <c r="D7572" i="1"/>
  <c r="G7571" i="1"/>
  <c r="D7571" i="1"/>
  <c r="G7570" i="1"/>
  <c r="D7570" i="1"/>
  <c r="G7569" i="1"/>
  <c r="D7569" i="1"/>
  <c r="G7568" i="1"/>
  <c r="D7568" i="1"/>
  <c r="G7567" i="1"/>
  <c r="D7567" i="1"/>
  <c r="G7566" i="1"/>
  <c r="D7566" i="1"/>
  <c r="G7565" i="1"/>
  <c r="D7565" i="1"/>
  <c r="G7564" i="1"/>
  <c r="D7564" i="1"/>
  <c r="G7563" i="1"/>
  <c r="D7563" i="1"/>
  <c r="G7562" i="1"/>
  <c r="D7562" i="1"/>
  <c r="G7561" i="1"/>
  <c r="D7561" i="1"/>
  <c r="G7560" i="1"/>
  <c r="D7560" i="1"/>
  <c r="G7559" i="1"/>
  <c r="D7559" i="1"/>
  <c r="G7558" i="1"/>
  <c r="D7558" i="1"/>
  <c r="G7557" i="1"/>
  <c r="D7557" i="1"/>
  <c r="G7556" i="1"/>
  <c r="D7556" i="1"/>
  <c r="G7555" i="1"/>
  <c r="D7555" i="1"/>
  <c r="G7554" i="1"/>
  <c r="D7554" i="1"/>
  <c r="G7553" i="1"/>
  <c r="D7553" i="1"/>
  <c r="G7552" i="1"/>
  <c r="D7552" i="1"/>
  <c r="G7551" i="1"/>
  <c r="D7551" i="1"/>
  <c r="G7550" i="1"/>
  <c r="D7550" i="1"/>
  <c r="G7549" i="1"/>
  <c r="D7549" i="1"/>
  <c r="G7548" i="1"/>
  <c r="D7548" i="1"/>
  <c r="G7547" i="1"/>
  <c r="D7547" i="1"/>
  <c r="G7546" i="1"/>
  <c r="D7546" i="1"/>
  <c r="G7545" i="1"/>
  <c r="D7545" i="1"/>
  <c r="G7544" i="1"/>
  <c r="D7544" i="1"/>
  <c r="G7543" i="1"/>
  <c r="D7543" i="1"/>
  <c r="G7542" i="1"/>
  <c r="D7542" i="1"/>
  <c r="G7541" i="1"/>
  <c r="D7541" i="1"/>
  <c r="G7540" i="1"/>
  <c r="D7540" i="1"/>
  <c r="G7539" i="1"/>
  <c r="D7539" i="1"/>
  <c r="G7538" i="1"/>
  <c r="D7538" i="1"/>
  <c r="G7537" i="1"/>
  <c r="D7537" i="1"/>
  <c r="G7536" i="1"/>
  <c r="D7536" i="1"/>
  <c r="G7535" i="1"/>
  <c r="D7535" i="1"/>
  <c r="G7534" i="1"/>
  <c r="D7534" i="1"/>
  <c r="G7533" i="1"/>
  <c r="D7533" i="1"/>
  <c r="G7532" i="1"/>
  <c r="D7532" i="1"/>
  <c r="G7531" i="1"/>
  <c r="D7531" i="1"/>
  <c r="G7530" i="1"/>
  <c r="D7530" i="1"/>
  <c r="G7529" i="1"/>
  <c r="D7529" i="1"/>
  <c r="G7528" i="1"/>
  <c r="D7528" i="1"/>
  <c r="G7527" i="1"/>
  <c r="D7527" i="1"/>
  <c r="G7526" i="1"/>
  <c r="D7526" i="1"/>
  <c r="G7525" i="1"/>
  <c r="D7525" i="1"/>
  <c r="G7524" i="1"/>
  <c r="D7524" i="1"/>
  <c r="G7523" i="1"/>
  <c r="D7523" i="1"/>
  <c r="G7522" i="1"/>
  <c r="D7522" i="1"/>
  <c r="G7521" i="1"/>
  <c r="D7521" i="1"/>
  <c r="G7520" i="1"/>
  <c r="D7520" i="1"/>
  <c r="G7519" i="1"/>
  <c r="D7519" i="1"/>
  <c r="G7518" i="1"/>
  <c r="D7518" i="1"/>
  <c r="G7517" i="1"/>
  <c r="D7517" i="1"/>
  <c r="G7516" i="1"/>
  <c r="D7516" i="1"/>
  <c r="G7515" i="1"/>
  <c r="D7515" i="1"/>
  <c r="G7514" i="1"/>
  <c r="D7514" i="1"/>
  <c r="G7513" i="1"/>
  <c r="D7513" i="1"/>
  <c r="G7512" i="1"/>
  <c r="D7512" i="1"/>
  <c r="G7511" i="1"/>
  <c r="D7511" i="1"/>
  <c r="G7510" i="1"/>
  <c r="D7510" i="1"/>
  <c r="G7509" i="1"/>
  <c r="D7509" i="1"/>
  <c r="G7508" i="1"/>
  <c r="D7508" i="1"/>
  <c r="G7507" i="1"/>
  <c r="D7507" i="1"/>
  <c r="G7506" i="1"/>
  <c r="D7506" i="1"/>
  <c r="G7505" i="1"/>
  <c r="D7505" i="1"/>
  <c r="G7504" i="1"/>
  <c r="D7504" i="1"/>
  <c r="G7503" i="1"/>
  <c r="D7503" i="1"/>
  <c r="G7502" i="1"/>
  <c r="D7502" i="1"/>
  <c r="G7501" i="1"/>
  <c r="D7501" i="1"/>
  <c r="G7500" i="1"/>
  <c r="D7500" i="1"/>
  <c r="G7499" i="1"/>
  <c r="D7499" i="1"/>
  <c r="G7498" i="1"/>
  <c r="D7498" i="1"/>
  <c r="G7497" i="1"/>
  <c r="D7497" i="1"/>
  <c r="G7496" i="1"/>
  <c r="D7496" i="1"/>
  <c r="G7495" i="1"/>
  <c r="D7495" i="1"/>
  <c r="G7494" i="1"/>
  <c r="D7494" i="1"/>
  <c r="G7493" i="1"/>
  <c r="D7493" i="1"/>
  <c r="G7492" i="1"/>
  <c r="D7492" i="1"/>
  <c r="G7491" i="1"/>
  <c r="D7491" i="1"/>
  <c r="G7490" i="1"/>
  <c r="D7490" i="1"/>
  <c r="G7489" i="1"/>
  <c r="D7489" i="1"/>
  <c r="G7488" i="1"/>
  <c r="D7488" i="1"/>
  <c r="G7487" i="1"/>
  <c r="D7487" i="1"/>
  <c r="G7486" i="1"/>
  <c r="D7486" i="1"/>
  <c r="G7485" i="1"/>
  <c r="D7485" i="1"/>
  <c r="G7484" i="1"/>
  <c r="D7484" i="1"/>
  <c r="G7483" i="1"/>
  <c r="D7483" i="1"/>
  <c r="G7482" i="1"/>
  <c r="D7482" i="1"/>
  <c r="G7481" i="1"/>
  <c r="D7481" i="1"/>
  <c r="G7480" i="1"/>
  <c r="D7480" i="1"/>
  <c r="G7479" i="1"/>
  <c r="D7479" i="1"/>
  <c r="G7478" i="1"/>
  <c r="D7478" i="1"/>
  <c r="G7477" i="1"/>
  <c r="D7477" i="1"/>
  <c r="G7476" i="1"/>
  <c r="D7476" i="1"/>
  <c r="G7475" i="1"/>
  <c r="D7475" i="1"/>
  <c r="G7474" i="1"/>
  <c r="D7474" i="1"/>
  <c r="G7473" i="1"/>
  <c r="D7473" i="1"/>
  <c r="G7472" i="1"/>
  <c r="D7472" i="1"/>
  <c r="G7471" i="1"/>
  <c r="D7471" i="1"/>
  <c r="G7470" i="1"/>
  <c r="D7470" i="1"/>
  <c r="G7469" i="1"/>
  <c r="D7469" i="1"/>
  <c r="G7468" i="1"/>
  <c r="D7468" i="1"/>
  <c r="G7467" i="1"/>
  <c r="D7467" i="1"/>
  <c r="G7466" i="1"/>
  <c r="D7466" i="1"/>
  <c r="G7465" i="1"/>
  <c r="D7465" i="1"/>
  <c r="G7464" i="1"/>
  <c r="D7464" i="1"/>
  <c r="G7463" i="1"/>
  <c r="D7463" i="1"/>
  <c r="G7462" i="1"/>
  <c r="D7462" i="1"/>
  <c r="G7461" i="1"/>
  <c r="D7461" i="1"/>
  <c r="G7460" i="1"/>
  <c r="D7460" i="1"/>
  <c r="G7459" i="1"/>
  <c r="D7459" i="1"/>
  <c r="G7458" i="1"/>
  <c r="D7458" i="1"/>
  <c r="G7457" i="1"/>
  <c r="D7457" i="1"/>
  <c r="G7456" i="1"/>
  <c r="D7456" i="1"/>
  <c r="G7455" i="1"/>
  <c r="D7455" i="1"/>
  <c r="G7454" i="1"/>
  <c r="D7454" i="1"/>
  <c r="G7453" i="1"/>
  <c r="D7453" i="1"/>
  <c r="G7452" i="1"/>
  <c r="D7452" i="1"/>
  <c r="G7451" i="1"/>
  <c r="D7451" i="1"/>
  <c r="G7450" i="1"/>
  <c r="D7450" i="1"/>
  <c r="G7449" i="1"/>
  <c r="D7449" i="1"/>
  <c r="G7448" i="1"/>
  <c r="D7448" i="1"/>
  <c r="G7447" i="1"/>
  <c r="D7447" i="1"/>
  <c r="G7446" i="1"/>
  <c r="D7446" i="1"/>
  <c r="G7445" i="1"/>
  <c r="D7445" i="1"/>
  <c r="G7444" i="1"/>
  <c r="D7444" i="1"/>
  <c r="G7443" i="1"/>
  <c r="D7443" i="1"/>
  <c r="G7442" i="1"/>
  <c r="D7442" i="1"/>
  <c r="G7441" i="1"/>
  <c r="D7441" i="1"/>
  <c r="G7440" i="1"/>
  <c r="D7440" i="1"/>
  <c r="G7439" i="1"/>
  <c r="D7439" i="1"/>
  <c r="G7438" i="1"/>
  <c r="D7438" i="1"/>
  <c r="G7437" i="1"/>
  <c r="D7437" i="1"/>
  <c r="G7436" i="1"/>
  <c r="D7436" i="1"/>
  <c r="G7435" i="1"/>
  <c r="D7435" i="1"/>
  <c r="G7434" i="1"/>
  <c r="D7434" i="1"/>
  <c r="G7433" i="1"/>
  <c r="D7433" i="1"/>
  <c r="G7432" i="1"/>
  <c r="D7432" i="1"/>
  <c r="G7431" i="1"/>
  <c r="D7431" i="1"/>
  <c r="G7430" i="1"/>
  <c r="D7430" i="1"/>
  <c r="G7429" i="1"/>
  <c r="D7429" i="1"/>
  <c r="G7428" i="1"/>
  <c r="D7428" i="1"/>
  <c r="G7427" i="1"/>
  <c r="D7427" i="1"/>
  <c r="G7426" i="1"/>
  <c r="D7426" i="1"/>
  <c r="G7425" i="1"/>
  <c r="D7425" i="1"/>
  <c r="G7424" i="1"/>
  <c r="D7424" i="1"/>
  <c r="G7423" i="1"/>
  <c r="D7423" i="1"/>
  <c r="G7422" i="1"/>
  <c r="D7422" i="1"/>
  <c r="G7421" i="1"/>
  <c r="D7421" i="1"/>
  <c r="G7420" i="1"/>
  <c r="D7420" i="1"/>
  <c r="G7419" i="1"/>
  <c r="D7419" i="1"/>
  <c r="G7418" i="1"/>
  <c r="D7418" i="1"/>
  <c r="G7417" i="1"/>
  <c r="D7417" i="1"/>
  <c r="G7416" i="1"/>
  <c r="D7416" i="1"/>
  <c r="G7415" i="1"/>
  <c r="D7415" i="1"/>
  <c r="G7414" i="1"/>
  <c r="D7414" i="1"/>
  <c r="G7413" i="1"/>
  <c r="D7413" i="1"/>
  <c r="G7412" i="1"/>
  <c r="D7412" i="1"/>
  <c r="G7411" i="1"/>
  <c r="D7411" i="1"/>
  <c r="G7410" i="1"/>
  <c r="D7410" i="1"/>
  <c r="G7409" i="1"/>
  <c r="D7409" i="1"/>
  <c r="G7408" i="1"/>
  <c r="D7408" i="1"/>
  <c r="G7407" i="1"/>
  <c r="D7407" i="1"/>
  <c r="G7406" i="1"/>
  <c r="D7406" i="1"/>
  <c r="G7405" i="1"/>
  <c r="D7405" i="1"/>
  <c r="G7404" i="1"/>
  <c r="D7404" i="1"/>
  <c r="G7403" i="1"/>
  <c r="D7403" i="1"/>
  <c r="G7402" i="1"/>
  <c r="D7402" i="1"/>
  <c r="G7401" i="1"/>
  <c r="D7401" i="1"/>
  <c r="G7400" i="1"/>
  <c r="D7400" i="1"/>
  <c r="G7399" i="1"/>
  <c r="D7399" i="1"/>
  <c r="G7398" i="1"/>
  <c r="D7398" i="1"/>
  <c r="G7397" i="1"/>
  <c r="D7397" i="1"/>
  <c r="G7396" i="1"/>
  <c r="D7396" i="1"/>
  <c r="G7395" i="1"/>
  <c r="D7395" i="1"/>
  <c r="G7394" i="1"/>
  <c r="D7394" i="1"/>
  <c r="G7393" i="1"/>
  <c r="D7393" i="1"/>
  <c r="G7392" i="1"/>
  <c r="D7392" i="1"/>
  <c r="G7391" i="1"/>
  <c r="D7391" i="1"/>
  <c r="G7390" i="1"/>
  <c r="D7390" i="1"/>
  <c r="G7389" i="1"/>
  <c r="D7389" i="1"/>
  <c r="G7388" i="1"/>
  <c r="D7388" i="1"/>
  <c r="G7387" i="1"/>
  <c r="D7387" i="1"/>
  <c r="G7386" i="1"/>
  <c r="D7386" i="1"/>
  <c r="G7385" i="1"/>
  <c r="D7385" i="1"/>
  <c r="G7384" i="1"/>
  <c r="D7384" i="1"/>
  <c r="G7383" i="1"/>
  <c r="D7383" i="1"/>
  <c r="G7382" i="1"/>
  <c r="D7382" i="1"/>
  <c r="G7381" i="1"/>
  <c r="D7381" i="1"/>
  <c r="G7380" i="1"/>
  <c r="D7380" i="1"/>
  <c r="G7379" i="1"/>
  <c r="D7379" i="1"/>
  <c r="G7378" i="1"/>
  <c r="D7378" i="1"/>
  <c r="G7377" i="1"/>
  <c r="D7377" i="1"/>
  <c r="G7376" i="1"/>
  <c r="D7376" i="1"/>
  <c r="G7375" i="1"/>
  <c r="D7375" i="1"/>
  <c r="G7374" i="1"/>
  <c r="D7374" i="1"/>
  <c r="G7373" i="1"/>
  <c r="D7373" i="1"/>
  <c r="G7372" i="1"/>
  <c r="D7372" i="1"/>
  <c r="G7371" i="1"/>
  <c r="D7371" i="1"/>
  <c r="G7370" i="1"/>
  <c r="D7370" i="1"/>
  <c r="G7369" i="1"/>
  <c r="D7369" i="1"/>
  <c r="G7368" i="1"/>
  <c r="D7368" i="1"/>
  <c r="G7367" i="1"/>
  <c r="D7367" i="1"/>
  <c r="G7366" i="1"/>
  <c r="D7366" i="1"/>
  <c r="G7365" i="1"/>
  <c r="D7365" i="1"/>
  <c r="G7364" i="1"/>
  <c r="D7364" i="1"/>
  <c r="G7363" i="1"/>
  <c r="D7363" i="1"/>
  <c r="G7362" i="1"/>
  <c r="D7362" i="1"/>
  <c r="G7361" i="1"/>
  <c r="D7361" i="1"/>
  <c r="G7360" i="1"/>
  <c r="D7360" i="1"/>
  <c r="G7359" i="1"/>
  <c r="D7359" i="1"/>
  <c r="G7358" i="1"/>
  <c r="D7358" i="1"/>
  <c r="G7357" i="1"/>
  <c r="D7357" i="1"/>
  <c r="G7356" i="1"/>
  <c r="D7356" i="1"/>
  <c r="G7355" i="1"/>
  <c r="D7355" i="1"/>
  <c r="G7354" i="1"/>
  <c r="D7354" i="1"/>
  <c r="G7353" i="1"/>
  <c r="D7353" i="1"/>
  <c r="G7352" i="1"/>
  <c r="D7352" i="1"/>
  <c r="G7351" i="1"/>
  <c r="D7351" i="1"/>
  <c r="G7350" i="1"/>
  <c r="D7350" i="1"/>
  <c r="G7349" i="1"/>
  <c r="D7349" i="1"/>
  <c r="G7348" i="1"/>
  <c r="D7348" i="1"/>
  <c r="G7347" i="1"/>
  <c r="D7347" i="1"/>
  <c r="G7346" i="1"/>
  <c r="D7346" i="1"/>
  <c r="G7345" i="1"/>
  <c r="D7345" i="1"/>
  <c r="G7344" i="1"/>
  <c r="D7344" i="1"/>
  <c r="G7343" i="1"/>
  <c r="D7343" i="1"/>
  <c r="G7342" i="1"/>
  <c r="D7342" i="1"/>
  <c r="G7341" i="1"/>
  <c r="D7341" i="1"/>
  <c r="G7340" i="1"/>
  <c r="D7340" i="1"/>
  <c r="G7339" i="1"/>
  <c r="D7339" i="1"/>
  <c r="G7338" i="1"/>
  <c r="D7338" i="1"/>
  <c r="G7337" i="1"/>
  <c r="D7337" i="1"/>
  <c r="G7336" i="1"/>
  <c r="D7336" i="1"/>
  <c r="G7335" i="1"/>
  <c r="D7335" i="1"/>
  <c r="G7334" i="1"/>
  <c r="D7334" i="1"/>
  <c r="G7333" i="1"/>
  <c r="D7333" i="1"/>
  <c r="G7332" i="1"/>
  <c r="D7332" i="1"/>
  <c r="G7331" i="1"/>
  <c r="D7331" i="1"/>
  <c r="G7330" i="1"/>
  <c r="D7330" i="1"/>
  <c r="G7329" i="1"/>
  <c r="D7329" i="1"/>
  <c r="G7328" i="1"/>
  <c r="D7328" i="1"/>
  <c r="G7327" i="1"/>
  <c r="D7327" i="1"/>
  <c r="G7326" i="1"/>
  <c r="D7326" i="1"/>
  <c r="G7325" i="1"/>
  <c r="D7325" i="1"/>
  <c r="G7324" i="1"/>
  <c r="D7324" i="1"/>
  <c r="G7323" i="1"/>
  <c r="D7323" i="1"/>
  <c r="G7322" i="1"/>
  <c r="D7322" i="1"/>
  <c r="G7321" i="1"/>
  <c r="D7321" i="1"/>
  <c r="G7320" i="1"/>
  <c r="D7320" i="1"/>
  <c r="G7319" i="1"/>
  <c r="D7319" i="1"/>
  <c r="G7318" i="1"/>
  <c r="D7318" i="1"/>
  <c r="G7317" i="1"/>
  <c r="D7317" i="1"/>
  <c r="G7316" i="1"/>
  <c r="D7316" i="1"/>
  <c r="G7315" i="1"/>
  <c r="D7315" i="1"/>
  <c r="G7314" i="1"/>
  <c r="D7314" i="1"/>
  <c r="G7313" i="1"/>
  <c r="D7313" i="1"/>
  <c r="G7312" i="1"/>
  <c r="D7312" i="1"/>
  <c r="G7311" i="1"/>
  <c r="D7311" i="1"/>
  <c r="G7310" i="1"/>
  <c r="D7310" i="1"/>
  <c r="G7309" i="1"/>
  <c r="D7309" i="1"/>
  <c r="G7308" i="1"/>
  <c r="D7308" i="1"/>
  <c r="G7307" i="1"/>
  <c r="D7307" i="1"/>
  <c r="G7306" i="1"/>
  <c r="D7306" i="1"/>
  <c r="G7305" i="1"/>
  <c r="D7305" i="1"/>
  <c r="G7304" i="1"/>
  <c r="D7304" i="1"/>
  <c r="G7303" i="1"/>
  <c r="D7303" i="1"/>
  <c r="G7302" i="1"/>
  <c r="D7302" i="1"/>
  <c r="G7301" i="1"/>
  <c r="D7301" i="1"/>
  <c r="G7300" i="1"/>
  <c r="D7300" i="1"/>
  <c r="G7299" i="1"/>
  <c r="D7299" i="1"/>
  <c r="G7298" i="1"/>
  <c r="D7298" i="1"/>
  <c r="G7297" i="1"/>
  <c r="D7297" i="1"/>
  <c r="G7296" i="1"/>
  <c r="D7296" i="1"/>
  <c r="G7295" i="1"/>
  <c r="D7295" i="1"/>
  <c r="G7294" i="1"/>
  <c r="D7294" i="1"/>
  <c r="G7293" i="1"/>
  <c r="D7293" i="1"/>
  <c r="G7292" i="1"/>
  <c r="D7292" i="1"/>
  <c r="G7291" i="1"/>
  <c r="D7291" i="1"/>
  <c r="G7290" i="1"/>
  <c r="D7290" i="1"/>
  <c r="G7289" i="1"/>
  <c r="D7289" i="1"/>
  <c r="G7288" i="1"/>
  <c r="D7288" i="1"/>
  <c r="G7287" i="1"/>
  <c r="D7287" i="1"/>
  <c r="G7286" i="1"/>
  <c r="D7286" i="1"/>
  <c r="G7285" i="1"/>
  <c r="D7285" i="1"/>
  <c r="G7284" i="1"/>
  <c r="D7284" i="1"/>
  <c r="G7283" i="1"/>
  <c r="D7283" i="1"/>
  <c r="G7282" i="1"/>
  <c r="D7282" i="1"/>
  <c r="G7281" i="1"/>
  <c r="D7281" i="1"/>
  <c r="G7280" i="1"/>
  <c r="D7280" i="1"/>
  <c r="G7279" i="1"/>
  <c r="D7279" i="1"/>
  <c r="G7278" i="1"/>
  <c r="D7278" i="1"/>
  <c r="G7277" i="1"/>
  <c r="D7277" i="1"/>
  <c r="G7276" i="1"/>
  <c r="D7276" i="1"/>
  <c r="G7275" i="1"/>
  <c r="D7275" i="1"/>
  <c r="G7274" i="1"/>
  <c r="D7274" i="1"/>
  <c r="G7273" i="1"/>
  <c r="D7273" i="1"/>
  <c r="G7272" i="1"/>
  <c r="D7272" i="1"/>
  <c r="G7271" i="1"/>
  <c r="D7271" i="1"/>
  <c r="G7270" i="1"/>
  <c r="D7270" i="1"/>
  <c r="G7269" i="1"/>
  <c r="D7269" i="1"/>
  <c r="G7268" i="1"/>
  <c r="D7268" i="1"/>
  <c r="G7267" i="1"/>
  <c r="D7267" i="1"/>
  <c r="G7266" i="1"/>
  <c r="D7266" i="1"/>
  <c r="G7265" i="1"/>
  <c r="D7265" i="1"/>
  <c r="G7264" i="1"/>
  <c r="D7264" i="1"/>
  <c r="G7263" i="1"/>
  <c r="D7263" i="1"/>
  <c r="G7262" i="1"/>
  <c r="D7262" i="1"/>
  <c r="G7261" i="1"/>
  <c r="D7261" i="1"/>
  <c r="G7260" i="1"/>
  <c r="D7260" i="1"/>
  <c r="G7259" i="1"/>
  <c r="D7259" i="1"/>
  <c r="G7258" i="1"/>
  <c r="D7258" i="1"/>
  <c r="G7257" i="1"/>
  <c r="D7257" i="1"/>
  <c r="G7256" i="1"/>
  <c r="D7256" i="1"/>
  <c r="G7255" i="1"/>
  <c r="D7255" i="1"/>
  <c r="G7254" i="1"/>
  <c r="D7254" i="1"/>
  <c r="G7253" i="1"/>
  <c r="D7253" i="1"/>
  <c r="G7252" i="1"/>
  <c r="D7252" i="1"/>
  <c r="G7251" i="1"/>
  <c r="D7251" i="1"/>
  <c r="G7250" i="1"/>
  <c r="D7250" i="1"/>
  <c r="G7249" i="1"/>
  <c r="D7249" i="1"/>
  <c r="G7248" i="1"/>
  <c r="D7248" i="1"/>
  <c r="G7247" i="1"/>
  <c r="D7247" i="1"/>
  <c r="G7246" i="1"/>
  <c r="D7246" i="1"/>
  <c r="G7245" i="1"/>
  <c r="D7245" i="1"/>
  <c r="G7244" i="1"/>
  <c r="D7244" i="1"/>
  <c r="G7243" i="1"/>
  <c r="D7243" i="1"/>
  <c r="G7242" i="1"/>
  <c r="D7242" i="1"/>
  <c r="G7241" i="1"/>
  <c r="D7241" i="1"/>
  <c r="G7240" i="1"/>
  <c r="D7240" i="1"/>
  <c r="G7239" i="1"/>
  <c r="D7239" i="1"/>
  <c r="G7238" i="1"/>
  <c r="D7238" i="1"/>
  <c r="G7237" i="1"/>
  <c r="D7237" i="1"/>
  <c r="G7236" i="1"/>
  <c r="D7236" i="1"/>
  <c r="G7235" i="1"/>
  <c r="D7235" i="1"/>
  <c r="G7234" i="1"/>
  <c r="D7234" i="1"/>
  <c r="G7233" i="1"/>
  <c r="D7233" i="1"/>
  <c r="G7232" i="1"/>
  <c r="D7232" i="1"/>
  <c r="G7231" i="1"/>
  <c r="D7231" i="1"/>
  <c r="G7230" i="1"/>
  <c r="D7230" i="1"/>
  <c r="G7229" i="1"/>
  <c r="D7229" i="1"/>
  <c r="G7228" i="1"/>
  <c r="D7228" i="1"/>
  <c r="G7227" i="1"/>
  <c r="D7227" i="1"/>
  <c r="G7226" i="1"/>
  <c r="D7226" i="1"/>
  <c r="G7225" i="1"/>
  <c r="D7225" i="1"/>
  <c r="G7224" i="1"/>
  <c r="D7224" i="1"/>
  <c r="G7223" i="1"/>
  <c r="D7223" i="1"/>
  <c r="G7222" i="1"/>
  <c r="D7222" i="1"/>
  <c r="G7221" i="1"/>
  <c r="D7221" i="1"/>
  <c r="G7220" i="1"/>
  <c r="D7220" i="1"/>
  <c r="G7219" i="1"/>
  <c r="D7219" i="1"/>
  <c r="G7218" i="1"/>
  <c r="D7218" i="1"/>
  <c r="G7217" i="1"/>
  <c r="D7217" i="1"/>
  <c r="G7216" i="1"/>
  <c r="D7216" i="1"/>
  <c r="G7215" i="1"/>
  <c r="D7215" i="1"/>
  <c r="G7214" i="1"/>
  <c r="D7214" i="1"/>
  <c r="G7213" i="1"/>
  <c r="D7213" i="1"/>
  <c r="G7212" i="1"/>
  <c r="D7212" i="1"/>
  <c r="G7211" i="1"/>
  <c r="D7211" i="1"/>
  <c r="G7210" i="1"/>
  <c r="D7210" i="1"/>
  <c r="G7209" i="1"/>
  <c r="D7209" i="1"/>
  <c r="G7208" i="1"/>
  <c r="D7208" i="1"/>
  <c r="G7207" i="1"/>
  <c r="D7207" i="1"/>
  <c r="G7206" i="1"/>
  <c r="D7206" i="1"/>
  <c r="G7205" i="1"/>
  <c r="D7205" i="1"/>
  <c r="G7204" i="1"/>
  <c r="D7204" i="1"/>
  <c r="G7203" i="1"/>
  <c r="D7203" i="1"/>
  <c r="G7202" i="1"/>
  <c r="D7202" i="1"/>
  <c r="G7201" i="1"/>
  <c r="D7201" i="1"/>
  <c r="G7200" i="1"/>
  <c r="D7200" i="1"/>
  <c r="G7199" i="1"/>
  <c r="D7199" i="1"/>
  <c r="G7198" i="1"/>
  <c r="D7198" i="1"/>
  <c r="G7197" i="1"/>
  <c r="D7197" i="1"/>
  <c r="G7196" i="1"/>
  <c r="D7196" i="1"/>
  <c r="G7195" i="1"/>
  <c r="D7195" i="1"/>
  <c r="G7194" i="1"/>
  <c r="D7194" i="1"/>
  <c r="G7193" i="1"/>
  <c r="D7193" i="1"/>
  <c r="G7192" i="1"/>
  <c r="D7192" i="1"/>
  <c r="G7191" i="1"/>
  <c r="D7191" i="1"/>
  <c r="G7190" i="1"/>
  <c r="D7190" i="1"/>
  <c r="G7189" i="1"/>
  <c r="D7189" i="1"/>
  <c r="G7188" i="1"/>
  <c r="D7188" i="1"/>
  <c r="G7187" i="1"/>
  <c r="D7187" i="1"/>
  <c r="G7186" i="1"/>
  <c r="D7186" i="1"/>
  <c r="G7185" i="1"/>
  <c r="D7185" i="1"/>
  <c r="G7184" i="1"/>
  <c r="D7184" i="1"/>
  <c r="G7183" i="1"/>
  <c r="D7183" i="1"/>
  <c r="G7182" i="1"/>
  <c r="D7182" i="1"/>
  <c r="G7181" i="1"/>
  <c r="D7181" i="1"/>
  <c r="G7180" i="1"/>
  <c r="D7180" i="1"/>
  <c r="G7179" i="1"/>
  <c r="D7179" i="1"/>
  <c r="G7178" i="1"/>
  <c r="D7178" i="1"/>
  <c r="G7177" i="1"/>
  <c r="D7177" i="1"/>
  <c r="G7176" i="1"/>
  <c r="D7176" i="1"/>
  <c r="G7175" i="1"/>
  <c r="D7175" i="1"/>
  <c r="G7174" i="1"/>
  <c r="D7174" i="1"/>
  <c r="G7173" i="1"/>
  <c r="D7173" i="1"/>
  <c r="G7172" i="1"/>
  <c r="D7172" i="1"/>
  <c r="G7171" i="1"/>
  <c r="D7171" i="1"/>
  <c r="G7170" i="1"/>
  <c r="D7170" i="1"/>
  <c r="G7169" i="1"/>
  <c r="D7169" i="1"/>
  <c r="G7168" i="1"/>
  <c r="D7168" i="1"/>
  <c r="G7167" i="1"/>
  <c r="D7167" i="1"/>
  <c r="G7166" i="1"/>
  <c r="D7166" i="1"/>
  <c r="G7165" i="1"/>
  <c r="D7165" i="1"/>
  <c r="G7164" i="1"/>
  <c r="D7164" i="1"/>
  <c r="G7163" i="1"/>
  <c r="D7163" i="1"/>
  <c r="G7162" i="1"/>
  <c r="D7162" i="1"/>
  <c r="G7161" i="1"/>
  <c r="D7161" i="1"/>
  <c r="G7160" i="1"/>
  <c r="D7160" i="1"/>
  <c r="G7159" i="1"/>
  <c r="D7159" i="1"/>
  <c r="G7158" i="1"/>
  <c r="D7158" i="1"/>
  <c r="G7157" i="1"/>
  <c r="D7157" i="1"/>
  <c r="G7156" i="1"/>
  <c r="D7156" i="1"/>
  <c r="G7155" i="1"/>
  <c r="D7155" i="1"/>
  <c r="G7154" i="1"/>
  <c r="D7154" i="1"/>
  <c r="G7153" i="1"/>
  <c r="D7153" i="1"/>
  <c r="G7152" i="1"/>
  <c r="D7152" i="1"/>
  <c r="G7151" i="1"/>
  <c r="D7151" i="1"/>
  <c r="G7150" i="1"/>
  <c r="D7150" i="1"/>
  <c r="G7149" i="1"/>
  <c r="D7149" i="1"/>
  <c r="G7148" i="1"/>
  <c r="D7148" i="1"/>
  <c r="G7147" i="1"/>
  <c r="D7147" i="1"/>
  <c r="G7146" i="1"/>
  <c r="D7146" i="1"/>
  <c r="G7145" i="1"/>
  <c r="D7145" i="1"/>
  <c r="G7144" i="1"/>
  <c r="D7144" i="1"/>
  <c r="G7143" i="1"/>
  <c r="D7143" i="1"/>
  <c r="G7142" i="1"/>
  <c r="D7142" i="1"/>
  <c r="G7141" i="1"/>
  <c r="D7141" i="1"/>
  <c r="G7140" i="1"/>
  <c r="D7140" i="1"/>
  <c r="G7139" i="1"/>
  <c r="D7139" i="1"/>
  <c r="G7138" i="1"/>
  <c r="D7138" i="1"/>
  <c r="G7137" i="1"/>
  <c r="D7137" i="1"/>
  <c r="G7136" i="1"/>
  <c r="D7136" i="1"/>
  <c r="G7135" i="1"/>
  <c r="D7135" i="1"/>
  <c r="G7134" i="1"/>
  <c r="D7134" i="1"/>
  <c r="G7133" i="1"/>
  <c r="D7133" i="1"/>
  <c r="G7132" i="1"/>
  <c r="D7132" i="1"/>
  <c r="G7131" i="1"/>
  <c r="D7131" i="1"/>
  <c r="G7130" i="1"/>
  <c r="D7130" i="1"/>
  <c r="G7129" i="1"/>
  <c r="D7129" i="1"/>
  <c r="G7128" i="1"/>
  <c r="D7128" i="1"/>
  <c r="G7127" i="1"/>
  <c r="D7127" i="1"/>
  <c r="G7126" i="1"/>
  <c r="D7126" i="1"/>
  <c r="G7125" i="1"/>
  <c r="D7125" i="1"/>
  <c r="G7124" i="1"/>
  <c r="D7124" i="1"/>
  <c r="G7123" i="1"/>
  <c r="D7123" i="1"/>
  <c r="G7122" i="1"/>
  <c r="D7122" i="1"/>
  <c r="G7121" i="1"/>
  <c r="D7121" i="1"/>
  <c r="G7120" i="1"/>
  <c r="D7120" i="1"/>
  <c r="G7119" i="1"/>
  <c r="D7119" i="1"/>
  <c r="G7118" i="1"/>
  <c r="D7118" i="1"/>
  <c r="G7117" i="1"/>
  <c r="D7117" i="1"/>
  <c r="G7116" i="1"/>
  <c r="D7116" i="1"/>
  <c r="G7115" i="1"/>
  <c r="D7115" i="1"/>
  <c r="G7114" i="1"/>
  <c r="D7114" i="1"/>
  <c r="G7113" i="1"/>
  <c r="D7113" i="1"/>
  <c r="G7112" i="1"/>
  <c r="D7112" i="1"/>
  <c r="G7111" i="1"/>
  <c r="D7111" i="1"/>
  <c r="G7110" i="1"/>
  <c r="D7110" i="1"/>
  <c r="G7109" i="1"/>
  <c r="D7109" i="1"/>
  <c r="G7108" i="1"/>
  <c r="D7108" i="1"/>
  <c r="G7107" i="1"/>
  <c r="D7107" i="1"/>
  <c r="G7106" i="1"/>
  <c r="D7106" i="1"/>
  <c r="G7105" i="1"/>
  <c r="D7105" i="1"/>
  <c r="G7104" i="1"/>
  <c r="D7104" i="1"/>
  <c r="G7103" i="1"/>
  <c r="D7103" i="1"/>
  <c r="G7102" i="1"/>
  <c r="D7102" i="1"/>
  <c r="G7101" i="1"/>
  <c r="D7101" i="1"/>
  <c r="G7100" i="1"/>
  <c r="D7100" i="1"/>
  <c r="G7099" i="1"/>
  <c r="D7099" i="1"/>
  <c r="G7098" i="1"/>
  <c r="D7098" i="1"/>
  <c r="G7097" i="1"/>
  <c r="D7097" i="1"/>
  <c r="G7096" i="1"/>
  <c r="D7096" i="1"/>
  <c r="G7095" i="1"/>
  <c r="D7095" i="1"/>
  <c r="G7094" i="1"/>
  <c r="D7094" i="1"/>
  <c r="G7093" i="1"/>
  <c r="D7093" i="1"/>
  <c r="G7092" i="1"/>
  <c r="D7092" i="1"/>
  <c r="G7091" i="1"/>
  <c r="D7091" i="1"/>
  <c r="G7090" i="1"/>
  <c r="D7090" i="1"/>
  <c r="G7089" i="1"/>
  <c r="D7089" i="1"/>
  <c r="G7088" i="1"/>
  <c r="D7088" i="1"/>
  <c r="G7087" i="1"/>
  <c r="D7087" i="1"/>
  <c r="G7086" i="1"/>
  <c r="D7086" i="1"/>
  <c r="G7085" i="1"/>
  <c r="D7085" i="1"/>
  <c r="G7084" i="1"/>
  <c r="D7084" i="1"/>
  <c r="G7083" i="1"/>
  <c r="D7083" i="1"/>
  <c r="G7082" i="1"/>
  <c r="D7082" i="1"/>
  <c r="G7081" i="1"/>
  <c r="D7081" i="1"/>
  <c r="G7080" i="1"/>
  <c r="D7080" i="1"/>
  <c r="G7079" i="1"/>
  <c r="D7079" i="1"/>
  <c r="G7078" i="1"/>
  <c r="D7078" i="1"/>
  <c r="G7077" i="1"/>
  <c r="D7077" i="1"/>
  <c r="G7076" i="1"/>
  <c r="D7076" i="1"/>
  <c r="G7075" i="1"/>
  <c r="D7075" i="1"/>
  <c r="G7074" i="1"/>
  <c r="D7074" i="1"/>
  <c r="G7073" i="1"/>
  <c r="D7073" i="1"/>
  <c r="G7072" i="1"/>
  <c r="D7072" i="1"/>
  <c r="G7071" i="1"/>
  <c r="D7071" i="1"/>
  <c r="G7070" i="1"/>
  <c r="D7070" i="1"/>
  <c r="G7069" i="1"/>
  <c r="D7069" i="1"/>
  <c r="G7068" i="1"/>
  <c r="D7068" i="1"/>
  <c r="G7067" i="1"/>
  <c r="D7067" i="1"/>
  <c r="G7066" i="1"/>
  <c r="D7066" i="1"/>
  <c r="G7065" i="1"/>
  <c r="D7065" i="1"/>
  <c r="G7064" i="1"/>
  <c r="D7064" i="1"/>
  <c r="G7063" i="1"/>
  <c r="D7063" i="1"/>
  <c r="G7062" i="1"/>
  <c r="D7062" i="1"/>
  <c r="G7061" i="1"/>
  <c r="D7061" i="1"/>
  <c r="G7060" i="1"/>
  <c r="D7060" i="1"/>
  <c r="G7059" i="1"/>
  <c r="D7059" i="1"/>
  <c r="G7058" i="1"/>
  <c r="D7058" i="1"/>
  <c r="G7057" i="1"/>
  <c r="D7057" i="1"/>
  <c r="G7056" i="1"/>
  <c r="D7056" i="1"/>
  <c r="G7055" i="1"/>
  <c r="D7055" i="1"/>
  <c r="G7054" i="1"/>
  <c r="D7054" i="1"/>
  <c r="G7053" i="1"/>
  <c r="D7053" i="1"/>
  <c r="G7052" i="1"/>
  <c r="D7052" i="1"/>
  <c r="G7051" i="1"/>
  <c r="D7051" i="1"/>
  <c r="G7050" i="1"/>
  <c r="D7050" i="1"/>
  <c r="G7049" i="1"/>
  <c r="D7049" i="1"/>
  <c r="G7048" i="1"/>
  <c r="D7048" i="1"/>
  <c r="G7047" i="1"/>
  <c r="D7047" i="1"/>
  <c r="G7046" i="1"/>
  <c r="D7046" i="1"/>
  <c r="G7045" i="1"/>
  <c r="D7045" i="1"/>
  <c r="G7044" i="1"/>
  <c r="D7044" i="1"/>
  <c r="G7043" i="1"/>
  <c r="D7043" i="1"/>
  <c r="G7042" i="1"/>
  <c r="D7042" i="1"/>
  <c r="G7041" i="1"/>
  <c r="D7041" i="1"/>
  <c r="G7040" i="1"/>
  <c r="D7040" i="1"/>
  <c r="G7039" i="1"/>
  <c r="D7039" i="1"/>
  <c r="G7038" i="1"/>
  <c r="D7038" i="1"/>
  <c r="G7037" i="1"/>
  <c r="D7037" i="1"/>
  <c r="G7036" i="1"/>
  <c r="D7036" i="1"/>
  <c r="G7035" i="1"/>
  <c r="D7035" i="1"/>
  <c r="G7034" i="1"/>
  <c r="D7034" i="1"/>
  <c r="G7033" i="1"/>
  <c r="D7033" i="1"/>
  <c r="G7032" i="1"/>
  <c r="D7032" i="1"/>
  <c r="G7031" i="1"/>
  <c r="D7031" i="1"/>
  <c r="G7030" i="1"/>
  <c r="D7030" i="1"/>
  <c r="G7029" i="1"/>
  <c r="D7029" i="1"/>
  <c r="G7028" i="1"/>
  <c r="D7028" i="1"/>
  <c r="G7027" i="1"/>
  <c r="D7027" i="1"/>
  <c r="G7026" i="1"/>
  <c r="D7026" i="1"/>
  <c r="G7025" i="1"/>
  <c r="D7025" i="1"/>
  <c r="G7024" i="1"/>
  <c r="D7024" i="1"/>
  <c r="G7023" i="1"/>
  <c r="D7023" i="1"/>
  <c r="G7022" i="1"/>
  <c r="D7022" i="1"/>
  <c r="G7021" i="1"/>
  <c r="D7021" i="1"/>
  <c r="G7020" i="1"/>
  <c r="D7020" i="1"/>
  <c r="G7019" i="1"/>
  <c r="D7019" i="1"/>
  <c r="G7018" i="1"/>
  <c r="D7018" i="1"/>
  <c r="G7017" i="1"/>
  <c r="D7017" i="1"/>
  <c r="G7016" i="1"/>
  <c r="D7016" i="1"/>
  <c r="G7015" i="1"/>
  <c r="D7015" i="1"/>
  <c r="G7014" i="1"/>
  <c r="D7014" i="1"/>
  <c r="G7013" i="1"/>
  <c r="D7013" i="1"/>
  <c r="G7012" i="1"/>
  <c r="D7012" i="1"/>
  <c r="G7011" i="1"/>
  <c r="D7011" i="1"/>
  <c r="G7010" i="1"/>
  <c r="D7010" i="1"/>
  <c r="G7009" i="1"/>
  <c r="D7009" i="1"/>
  <c r="G7008" i="1"/>
  <c r="D7008" i="1"/>
  <c r="G7007" i="1"/>
  <c r="D7007" i="1"/>
  <c r="G7006" i="1"/>
  <c r="D7006" i="1"/>
  <c r="G7005" i="1"/>
  <c r="D7005" i="1"/>
  <c r="G7004" i="1"/>
  <c r="D7004" i="1"/>
  <c r="G7003" i="1"/>
  <c r="D7003" i="1"/>
  <c r="G7002" i="1"/>
  <c r="D7002" i="1"/>
  <c r="G7001" i="1"/>
  <c r="D7001" i="1"/>
  <c r="G7000" i="1"/>
  <c r="D7000" i="1"/>
  <c r="G6999" i="1"/>
  <c r="D6999" i="1"/>
  <c r="G6998" i="1"/>
  <c r="D6998" i="1"/>
  <c r="G6997" i="1"/>
  <c r="D6997" i="1"/>
  <c r="G6996" i="1"/>
  <c r="D6996" i="1"/>
  <c r="G6995" i="1"/>
  <c r="D6995" i="1"/>
  <c r="G6994" i="1"/>
  <c r="D6994" i="1"/>
  <c r="G6993" i="1"/>
  <c r="D6993" i="1"/>
  <c r="G6992" i="1"/>
  <c r="D6992" i="1"/>
  <c r="G6991" i="1"/>
  <c r="D6991" i="1"/>
  <c r="G6990" i="1"/>
  <c r="D6990" i="1"/>
  <c r="G6989" i="1"/>
  <c r="D6989" i="1"/>
  <c r="G6988" i="1"/>
  <c r="D6988" i="1"/>
  <c r="G6987" i="1"/>
  <c r="D6987" i="1"/>
  <c r="G6986" i="1"/>
  <c r="D6986" i="1"/>
  <c r="G6985" i="1"/>
  <c r="D6985" i="1"/>
  <c r="G6984" i="1"/>
  <c r="D6984" i="1"/>
  <c r="G6983" i="1"/>
  <c r="D6983" i="1"/>
  <c r="G6982" i="1"/>
  <c r="D6982" i="1"/>
  <c r="G6981" i="1"/>
  <c r="D6981" i="1"/>
  <c r="G6980" i="1"/>
  <c r="D6980" i="1"/>
  <c r="G6979" i="1"/>
  <c r="D6979" i="1"/>
  <c r="G6978" i="1"/>
  <c r="D6978" i="1"/>
  <c r="G6977" i="1"/>
  <c r="D6977" i="1"/>
  <c r="G6976" i="1"/>
  <c r="D6976" i="1"/>
  <c r="G6975" i="1"/>
  <c r="D6975" i="1"/>
  <c r="G6974" i="1"/>
  <c r="D6974" i="1"/>
  <c r="G6973" i="1"/>
  <c r="D6973" i="1"/>
  <c r="G6972" i="1"/>
  <c r="D6972" i="1"/>
  <c r="G6971" i="1"/>
  <c r="D6971" i="1"/>
  <c r="G6970" i="1"/>
  <c r="D6970" i="1"/>
  <c r="G6969" i="1"/>
  <c r="D6969" i="1"/>
  <c r="G6968" i="1"/>
  <c r="D6968" i="1"/>
  <c r="G6967" i="1"/>
  <c r="D6967" i="1"/>
  <c r="G6966" i="1"/>
  <c r="D6966" i="1"/>
  <c r="G6965" i="1"/>
  <c r="D6965" i="1"/>
  <c r="G6964" i="1"/>
  <c r="D6964" i="1"/>
  <c r="G6963" i="1"/>
  <c r="D6963" i="1"/>
  <c r="G6962" i="1"/>
  <c r="D6962" i="1"/>
  <c r="G6961" i="1"/>
  <c r="D6961" i="1"/>
  <c r="G6960" i="1"/>
  <c r="D6960" i="1"/>
  <c r="G6959" i="1"/>
  <c r="D6959" i="1"/>
  <c r="G6958" i="1"/>
  <c r="D6958" i="1"/>
  <c r="G6957" i="1"/>
  <c r="D6957" i="1"/>
  <c r="G6956" i="1"/>
  <c r="D6956" i="1"/>
  <c r="G6955" i="1"/>
  <c r="D6955" i="1"/>
  <c r="G6954" i="1"/>
  <c r="D6954" i="1"/>
  <c r="G6953" i="1"/>
  <c r="D6953" i="1"/>
  <c r="G6952" i="1"/>
  <c r="D6952" i="1"/>
  <c r="G6951" i="1"/>
  <c r="D6951" i="1"/>
  <c r="G6950" i="1"/>
  <c r="D6950" i="1"/>
  <c r="G6949" i="1"/>
  <c r="D6949" i="1"/>
  <c r="G6948" i="1"/>
  <c r="D6948" i="1"/>
  <c r="G6947" i="1"/>
  <c r="D6947" i="1"/>
  <c r="G6946" i="1"/>
  <c r="D6946" i="1"/>
  <c r="G6945" i="1"/>
  <c r="D6945" i="1"/>
  <c r="G6944" i="1"/>
  <c r="D6944" i="1"/>
  <c r="G6943" i="1"/>
  <c r="D6943" i="1"/>
  <c r="G6942" i="1"/>
  <c r="D6942" i="1"/>
  <c r="G6941" i="1"/>
  <c r="D6941" i="1"/>
  <c r="G6940" i="1"/>
  <c r="D6940" i="1"/>
  <c r="G6939" i="1"/>
  <c r="D6939" i="1"/>
  <c r="G6938" i="1"/>
  <c r="D6938" i="1"/>
  <c r="G6937" i="1"/>
  <c r="D6937" i="1"/>
  <c r="G6936" i="1"/>
  <c r="D6936" i="1"/>
  <c r="G6935" i="1"/>
  <c r="D6935" i="1"/>
  <c r="G6934" i="1"/>
  <c r="D6934" i="1"/>
  <c r="G6933" i="1"/>
  <c r="D6933" i="1"/>
  <c r="G6932" i="1"/>
  <c r="D6932" i="1"/>
  <c r="G6931" i="1"/>
  <c r="D6931" i="1"/>
  <c r="G6930" i="1"/>
  <c r="D6930" i="1"/>
  <c r="G6929" i="1"/>
  <c r="D6929" i="1"/>
  <c r="G6928" i="1"/>
  <c r="D6928" i="1"/>
  <c r="G6927" i="1"/>
  <c r="D6927" i="1"/>
  <c r="G6926" i="1"/>
  <c r="D6926" i="1"/>
  <c r="G6925" i="1"/>
  <c r="D6925" i="1"/>
  <c r="G6924" i="1"/>
  <c r="D6924" i="1"/>
  <c r="G6923" i="1"/>
  <c r="D6923" i="1"/>
  <c r="G6922" i="1"/>
  <c r="G6921" i="1"/>
  <c r="D6921" i="1"/>
  <c r="G6920" i="1"/>
  <c r="D6920" i="1"/>
  <c r="G6919" i="1"/>
  <c r="D6919" i="1"/>
  <c r="G6918" i="1"/>
  <c r="D6918" i="1"/>
  <c r="G6917" i="1"/>
  <c r="D6917" i="1"/>
  <c r="G6916" i="1"/>
  <c r="D6916" i="1"/>
  <c r="G6915" i="1"/>
  <c r="D6915" i="1"/>
  <c r="G6914" i="1"/>
  <c r="D6914" i="1"/>
  <c r="G6913" i="1"/>
  <c r="D6913" i="1"/>
  <c r="G6912" i="1"/>
  <c r="D6912" i="1"/>
  <c r="G6911" i="1"/>
  <c r="D6911" i="1"/>
  <c r="G6910" i="1"/>
  <c r="D6910" i="1"/>
  <c r="G6909" i="1"/>
  <c r="D6909" i="1"/>
  <c r="G6908" i="1"/>
  <c r="D6908" i="1"/>
  <c r="G6907" i="1"/>
  <c r="D6907" i="1"/>
  <c r="G6906" i="1"/>
  <c r="D6906" i="1"/>
  <c r="G6905" i="1"/>
  <c r="D6905" i="1"/>
  <c r="G6904" i="1"/>
  <c r="D6904" i="1"/>
  <c r="G6903" i="1"/>
  <c r="D6903" i="1"/>
  <c r="G6902" i="1"/>
  <c r="D6902" i="1"/>
  <c r="G6901" i="1"/>
  <c r="D6901" i="1"/>
  <c r="G6900" i="1"/>
  <c r="D6900" i="1"/>
  <c r="G6899" i="1"/>
  <c r="D6899" i="1"/>
  <c r="G6898" i="1"/>
  <c r="D6898" i="1"/>
  <c r="G6897" i="1"/>
  <c r="D6897" i="1"/>
  <c r="G6896" i="1"/>
  <c r="D6896" i="1"/>
  <c r="G6895" i="1"/>
  <c r="D6895" i="1"/>
  <c r="G6894" i="1"/>
  <c r="D6894" i="1"/>
  <c r="G6893" i="1"/>
  <c r="D6893" i="1"/>
  <c r="G6892" i="1"/>
  <c r="D6892" i="1"/>
  <c r="G6891" i="1"/>
  <c r="D6891" i="1"/>
  <c r="G6890" i="1"/>
  <c r="D6890" i="1"/>
  <c r="G6889" i="1"/>
  <c r="D6889" i="1"/>
  <c r="G6888" i="1"/>
  <c r="D6888" i="1"/>
  <c r="G6887" i="1"/>
  <c r="D6887" i="1"/>
  <c r="G6886" i="1"/>
  <c r="D6886" i="1"/>
  <c r="G6885" i="1"/>
  <c r="D6885" i="1"/>
  <c r="G6884" i="1"/>
  <c r="D6884" i="1"/>
  <c r="G6883" i="1"/>
  <c r="D6883" i="1"/>
  <c r="G6882" i="1"/>
  <c r="D6882" i="1"/>
  <c r="G6881" i="1"/>
  <c r="D6881" i="1"/>
  <c r="G6880" i="1"/>
  <c r="D6880" i="1"/>
  <c r="G6879" i="1"/>
  <c r="D6879" i="1"/>
  <c r="G6878" i="1"/>
  <c r="D6878" i="1"/>
  <c r="G6877" i="1"/>
  <c r="D6877" i="1"/>
  <c r="G6876" i="1"/>
  <c r="D6876" i="1"/>
  <c r="G6875" i="1"/>
  <c r="D6875" i="1"/>
  <c r="G6874" i="1"/>
  <c r="D6874" i="1"/>
  <c r="G6873" i="1"/>
  <c r="D6873" i="1"/>
  <c r="G6872" i="1"/>
  <c r="D6872" i="1"/>
  <c r="G6871" i="1"/>
  <c r="D6871" i="1"/>
  <c r="G6870" i="1"/>
  <c r="D6870" i="1"/>
  <c r="G6869" i="1"/>
  <c r="D6869" i="1"/>
  <c r="G6868" i="1"/>
  <c r="D6868" i="1"/>
  <c r="G6867" i="1"/>
  <c r="D6867" i="1"/>
  <c r="G6866" i="1"/>
  <c r="D6866" i="1"/>
  <c r="G6865" i="1"/>
  <c r="D6865" i="1"/>
  <c r="G6864" i="1"/>
  <c r="D6864" i="1"/>
  <c r="G6863" i="1"/>
  <c r="D6863" i="1"/>
  <c r="G6862" i="1"/>
  <c r="D6862" i="1"/>
  <c r="G6861" i="1"/>
  <c r="D6861" i="1"/>
  <c r="G6860" i="1"/>
  <c r="D6860" i="1"/>
  <c r="G6859" i="1"/>
  <c r="D6859" i="1"/>
  <c r="G6858" i="1"/>
  <c r="D6858" i="1"/>
  <c r="G6857" i="1"/>
  <c r="D6857" i="1"/>
  <c r="G6856" i="1"/>
  <c r="D6856" i="1"/>
  <c r="G6855" i="1"/>
  <c r="D6855" i="1"/>
  <c r="G6854" i="1"/>
  <c r="D6854" i="1"/>
  <c r="G6853" i="1"/>
  <c r="D6853" i="1"/>
  <c r="G6852" i="1"/>
  <c r="D6852" i="1"/>
  <c r="G6851" i="1"/>
  <c r="D6851" i="1"/>
  <c r="G6850" i="1"/>
  <c r="D6850" i="1"/>
  <c r="G6849" i="1"/>
  <c r="D6849" i="1"/>
  <c r="G6848" i="1"/>
  <c r="D6848" i="1"/>
  <c r="G6847" i="1"/>
  <c r="D6847" i="1"/>
  <c r="G6846" i="1"/>
  <c r="D6846" i="1"/>
  <c r="G6845" i="1"/>
  <c r="D6845" i="1"/>
  <c r="G6844" i="1"/>
  <c r="D6844" i="1"/>
  <c r="G6843" i="1"/>
  <c r="D6843" i="1"/>
  <c r="G6842" i="1"/>
  <c r="D6842" i="1"/>
  <c r="G6841" i="1"/>
  <c r="D6841" i="1"/>
  <c r="G6840" i="1"/>
  <c r="D6840" i="1"/>
  <c r="G6839" i="1"/>
  <c r="D6839" i="1"/>
  <c r="G6838" i="1"/>
  <c r="D6838" i="1"/>
  <c r="G6837" i="1"/>
  <c r="D6837" i="1"/>
  <c r="G6836" i="1"/>
  <c r="D6836" i="1"/>
  <c r="G6835" i="1"/>
  <c r="D6835" i="1"/>
  <c r="G6834" i="1"/>
  <c r="D6834" i="1"/>
  <c r="G6833" i="1"/>
  <c r="D6833" i="1"/>
  <c r="G6832" i="1"/>
  <c r="D6832" i="1"/>
  <c r="G6831" i="1"/>
  <c r="D6831" i="1"/>
  <c r="G6830" i="1"/>
  <c r="D6830" i="1"/>
  <c r="G6829" i="1"/>
  <c r="D6829" i="1"/>
  <c r="G6828" i="1"/>
  <c r="D6828" i="1"/>
  <c r="G6827" i="1"/>
  <c r="D6827" i="1"/>
  <c r="G6826" i="1"/>
  <c r="D6826" i="1"/>
  <c r="G6825" i="1"/>
  <c r="D6825" i="1"/>
  <c r="G6824" i="1"/>
  <c r="D6824" i="1"/>
  <c r="G6823" i="1"/>
  <c r="D6823" i="1"/>
  <c r="G6822" i="1"/>
  <c r="D6822" i="1"/>
  <c r="G6821" i="1"/>
  <c r="D6821" i="1"/>
  <c r="G6820" i="1"/>
  <c r="D6820" i="1"/>
  <c r="G6819" i="1"/>
  <c r="D6819" i="1"/>
  <c r="G6818" i="1"/>
  <c r="D6818" i="1"/>
  <c r="G6817" i="1"/>
  <c r="D6817" i="1"/>
  <c r="G6816" i="1"/>
  <c r="D6816" i="1"/>
  <c r="G6815" i="1"/>
  <c r="D6815" i="1"/>
  <c r="G6814" i="1"/>
  <c r="D6814" i="1"/>
  <c r="G6813" i="1"/>
  <c r="D6813" i="1"/>
  <c r="G6812" i="1"/>
  <c r="D6812" i="1"/>
  <c r="G6811" i="1"/>
  <c r="D6811" i="1"/>
  <c r="G6810" i="1"/>
  <c r="D6810" i="1"/>
  <c r="G6809" i="1"/>
  <c r="D6809" i="1"/>
  <c r="G6808" i="1"/>
  <c r="D6808" i="1"/>
  <c r="G6807" i="1"/>
  <c r="D6807" i="1"/>
  <c r="G6806" i="1"/>
  <c r="D6806" i="1"/>
  <c r="G6805" i="1"/>
  <c r="D6805" i="1"/>
  <c r="G6804" i="1"/>
  <c r="D6804" i="1"/>
  <c r="G6803" i="1"/>
  <c r="D6803" i="1"/>
  <c r="G6802" i="1"/>
  <c r="D6802" i="1"/>
  <c r="G6801" i="1"/>
  <c r="D6801" i="1"/>
  <c r="G6800" i="1"/>
  <c r="D6800" i="1"/>
  <c r="G6799" i="1"/>
  <c r="D6799" i="1"/>
  <c r="G6798" i="1"/>
  <c r="D6798" i="1"/>
  <c r="G6797" i="1"/>
  <c r="D6797" i="1"/>
  <c r="G6796" i="1"/>
  <c r="D6796" i="1"/>
  <c r="G6795" i="1"/>
  <c r="D6795" i="1"/>
  <c r="G6794" i="1"/>
  <c r="D6794" i="1"/>
  <c r="G6793" i="1"/>
  <c r="D6793" i="1"/>
  <c r="G6792" i="1"/>
  <c r="D6792" i="1"/>
  <c r="G6791" i="1"/>
  <c r="D6791" i="1"/>
  <c r="G6790" i="1"/>
  <c r="D6790" i="1"/>
  <c r="G6789" i="1"/>
  <c r="D6789" i="1"/>
  <c r="G6788" i="1"/>
  <c r="D6788" i="1"/>
  <c r="G6787" i="1"/>
  <c r="D6787" i="1"/>
  <c r="G6786" i="1"/>
  <c r="D6786" i="1"/>
  <c r="G6785" i="1"/>
  <c r="D6785" i="1"/>
  <c r="G6784" i="1"/>
  <c r="D6784" i="1"/>
  <c r="G6783" i="1"/>
  <c r="D6783" i="1"/>
  <c r="G6782" i="1"/>
  <c r="D6782" i="1"/>
  <c r="G6781" i="1"/>
  <c r="D6781" i="1"/>
  <c r="G6780" i="1"/>
  <c r="D6780" i="1"/>
  <c r="G6779" i="1"/>
  <c r="D6779" i="1"/>
  <c r="G6778" i="1"/>
  <c r="D6778" i="1"/>
  <c r="G6777" i="1"/>
  <c r="D6777" i="1"/>
  <c r="G6776" i="1"/>
  <c r="D6776" i="1"/>
  <c r="G6775" i="1"/>
  <c r="D6775" i="1"/>
  <c r="G6774" i="1"/>
  <c r="D6774" i="1"/>
  <c r="G6773" i="1"/>
  <c r="D6773" i="1"/>
  <c r="G6772" i="1"/>
  <c r="D6772" i="1"/>
  <c r="G6771" i="1"/>
  <c r="D6771" i="1"/>
  <c r="G6770" i="1"/>
  <c r="D6770" i="1"/>
  <c r="G6769" i="1"/>
  <c r="D6769" i="1"/>
  <c r="G6768" i="1"/>
  <c r="D6768" i="1"/>
  <c r="G6767" i="1"/>
  <c r="D6767" i="1"/>
  <c r="G6766" i="1"/>
  <c r="D6766" i="1"/>
  <c r="G6765" i="1"/>
  <c r="D6765" i="1"/>
  <c r="G6764" i="1"/>
  <c r="D6764" i="1"/>
  <c r="G6763" i="1"/>
  <c r="D6763" i="1"/>
  <c r="G6762" i="1"/>
  <c r="D6762" i="1"/>
  <c r="G6761" i="1"/>
  <c r="D6761" i="1"/>
  <c r="G6760" i="1"/>
  <c r="D6760" i="1"/>
  <c r="G6759" i="1"/>
  <c r="D6759" i="1"/>
  <c r="G6758" i="1"/>
  <c r="D6758" i="1"/>
  <c r="G6757" i="1"/>
  <c r="D6757" i="1"/>
  <c r="G6756" i="1"/>
  <c r="D6756" i="1"/>
  <c r="G6755" i="1"/>
  <c r="D6755" i="1"/>
  <c r="G6754" i="1"/>
  <c r="D6754" i="1"/>
  <c r="G6753" i="1"/>
  <c r="D6753" i="1"/>
  <c r="G6752" i="1"/>
  <c r="D6752" i="1"/>
  <c r="G6751" i="1"/>
  <c r="D6751" i="1"/>
  <c r="G6750" i="1"/>
  <c r="D6750" i="1"/>
  <c r="G6749" i="1"/>
  <c r="D6749" i="1"/>
  <c r="G6748" i="1"/>
  <c r="D6748" i="1"/>
  <c r="G6747" i="1"/>
  <c r="D6747" i="1"/>
  <c r="G6746" i="1"/>
  <c r="D6746" i="1"/>
  <c r="G6745" i="1"/>
  <c r="D6745" i="1"/>
  <c r="G6744" i="1"/>
  <c r="D6744" i="1"/>
  <c r="G6743" i="1"/>
  <c r="D6743" i="1"/>
  <c r="G6742" i="1"/>
  <c r="D6742" i="1"/>
  <c r="G6741" i="1"/>
  <c r="D6741" i="1"/>
  <c r="G6740" i="1"/>
  <c r="D6740" i="1"/>
  <c r="G6739" i="1"/>
  <c r="D6739" i="1"/>
  <c r="G6738" i="1"/>
  <c r="D6738" i="1"/>
  <c r="G6737" i="1"/>
  <c r="D6737" i="1"/>
  <c r="G6736" i="1"/>
  <c r="D6736" i="1"/>
  <c r="G6735" i="1"/>
  <c r="D6735" i="1"/>
  <c r="G6734" i="1"/>
  <c r="D6734" i="1"/>
  <c r="G6733" i="1"/>
  <c r="D6733" i="1"/>
  <c r="G6732" i="1"/>
  <c r="D6732" i="1"/>
  <c r="G6731" i="1"/>
  <c r="D6731" i="1"/>
  <c r="G6730" i="1"/>
  <c r="D6730" i="1"/>
  <c r="G6729" i="1"/>
  <c r="D6729" i="1"/>
  <c r="G6728" i="1"/>
  <c r="D6728" i="1"/>
  <c r="G6727" i="1"/>
  <c r="D6727" i="1"/>
  <c r="G6726" i="1"/>
  <c r="D6726" i="1"/>
  <c r="G6725" i="1"/>
  <c r="D6725" i="1"/>
  <c r="G6724" i="1"/>
  <c r="D6724" i="1"/>
  <c r="G6723" i="1"/>
  <c r="D6723" i="1"/>
  <c r="G6722" i="1"/>
  <c r="D6722" i="1"/>
  <c r="G6721" i="1"/>
  <c r="D6721" i="1"/>
  <c r="G6720" i="1"/>
  <c r="D6720" i="1"/>
  <c r="G6719" i="1"/>
  <c r="D6719" i="1"/>
  <c r="G6718" i="1"/>
  <c r="D6718" i="1"/>
  <c r="G6717" i="1"/>
  <c r="D6717" i="1"/>
  <c r="G6716" i="1"/>
  <c r="D6716" i="1"/>
  <c r="G6715" i="1"/>
  <c r="D6715" i="1"/>
  <c r="G6714" i="1"/>
  <c r="D6714" i="1"/>
  <c r="G6713" i="1"/>
  <c r="D6713" i="1"/>
  <c r="G6712" i="1"/>
  <c r="D6712" i="1"/>
  <c r="G6711" i="1"/>
  <c r="D6711" i="1"/>
  <c r="G6710" i="1"/>
  <c r="D6710" i="1"/>
  <c r="G6709" i="1"/>
  <c r="D6709" i="1"/>
  <c r="G6708" i="1"/>
  <c r="D6708" i="1"/>
  <c r="G6707" i="1"/>
  <c r="D6707" i="1"/>
  <c r="G6706" i="1"/>
  <c r="D6706" i="1"/>
  <c r="G6705" i="1"/>
  <c r="D6705" i="1"/>
  <c r="G6704" i="1"/>
  <c r="D6704" i="1"/>
  <c r="G6703" i="1"/>
  <c r="D6703" i="1"/>
  <c r="G6702" i="1"/>
  <c r="D6702" i="1"/>
  <c r="G6701" i="1"/>
  <c r="D6701" i="1"/>
  <c r="G6700" i="1"/>
  <c r="D6700" i="1"/>
  <c r="G6699" i="1"/>
  <c r="D6699" i="1"/>
  <c r="G6698" i="1"/>
  <c r="D6698" i="1"/>
  <c r="G6697" i="1"/>
  <c r="D6697" i="1"/>
  <c r="G6696" i="1"/>
  <c r="D6696" i="1"/>
  <c r="G6695" i="1"/>
  <c r="D6695" i="1"/>
  <c r="G6694" i="1"/>
  <c r="D6694" i="1"/>
  <c r="G6693" i="1"/>
  <c r="D6693" i="1"/>
  <c r="G6692" i="1"/>
  <c r="D6692" i="1"/>
  <c r="G6691" i="1"/>
  <c r="D6691" i="1"/>
  <c r="G6690" i="1"/>
  <c r="D6690" i="1"/>
  <c r="G6689" i="1"/>
  <c r="D6689" i="1"/>
  <c r="G6688" i="1"/>
  <c r="D6688" i="1"/>
  <c r="G6687" i="1"/>
  <c r="D6687" i="1"/>
  <c r="G6686" i="1"/>
  <c r="D6686" i="1"/>
  <c r="G6685" i="1"/>
  <c r="D6685" i="1"/>
  <c r="G6684" i="1"/>
  <c r="D6684" i="1"/>
  <c r="G6683" i="1"/>
  <c r="D6683" i="1"/>
  <c r="G6682" i="1"/>
  <c r="D6682" i="1"/>
  <c r="G6681" i="1"/>
  <c r="D6681" i="1"/>
  <c r="G6680" i="1"/>
  <c r="D6680" i="1"/>
  <c r="G6679" i="1"/>
  <c r="D6679" i="1"/>
  <c r="G6678" i="1"/>
  <c r="D6678" i="1"/>
  <c r="G6677" i="1"/>
  <c r="D6677" i="1"/>
  <c r="G6676" i="1"/>
  <c r="D6676" i="1"/>
  <c r="G6675" i="1"/>
  <c r="D6675" i="1"/>
  <c r="G6674" i="1"/>
  <c r="D6674" i="1"/>
  <c r="G6673" i="1"/>
  <c r="D6673" i="1"/>
  <c r="G6672" i="1"/>
  <c r="D6672" i="1"/>
  <c r="G6671" i="1"/>
  <c r="D6671" i="1"/>
  <c r="G6670" i="1"/>
  <c r="D6670" i="1"/>
  <c r="G6669" i="1"/>
  <c r="D6669" i="1"/>
  <c r="G6668" i="1"/>
  <c r="D6668" i="1"/>
  <c r="G6667" i="1"/>
  <c r="D6667" i="1"/>
  <c r="G6666" i="1"/>
  <c r="D6666" i="1"/>
  <c r="G6665" i="1"/>
  <c r="D6665" i="1"/>
  <c r="G6664" i="1"/>
  <c r="D6664" i="1"/>
  <c r="G6663" i="1"/>
  <c r="D6663" i="1"/>
  <c r="G6662" i="1"/>
  <c r="D6662" i="1"/>
  <c r="G6661" i="1"/>
  <c r="D6661" i="1"/>
  <c r="G6660" i="1"/>
  <c r="D6660" i="1"/>
  <c r="G6659" i="1"/>
  <c r="D6659" i="1"/>
  <c r="G6658" i="1"/>
  <c r="D6658" i="1"/>
  <c r="G6657" i="1"/>
  <c r="D6657" i="1"/>
  <c r="G6656" i="1"/>
  <c r="D6656" i="1"/>
  <c r="G6655" i="1"/>
  <c r="D6655" i="1"/>
  <c r="G6654" i="1"/>
  <c r="D6654" i="1"/>
  <c r="G6653" i="1"/>
  <c r="D6653" i="1"/>
  <c r="G6652" i="1"/>
  <c r="D6652" i="1"/>
  <c r="G6651" i="1"/>
  <c r="D6651" i="1"/>
  <c r="G6650" i="1"/>
  <c r="D6650" i="1"/>
  <c r="G6649" i="1"/>
  <c r="D6649" i="1"/>
  <c r="G6648" i="1"/>
  <c r="D6648" i="1"/>
  <c r="G6647" i="1"/>
  <c r="D6647" i="1"/>
  <c r="G6646" i="1"/>
  <c r="D6646" i="1"/>
  <c r="G6645" i="1"/>
  <c r="D6645" i="1"/>
  <c r="G6644" i="1"/>
  <c r="D6644" i="1"/>
  <c r="G6643" i="1"/>
  <c r="D6643" i="1"/>
  <c r="G6642" i="1"/>
  <c r="D6642" i="1"/>
  <c r="G6641" i="1"/>
  <c r="D6641" i="1"/>
  <c r="G6640" i="1"/>
  <c r="D6640" i="1"/>
  <c r="G6639" i="1"/>
  <c r="D6639" i="1"/>
  <c r="G6638" i="1"/>
  <c r="D6638" i="1"/>
  <c r="G6637" i="1"/>
  <c r="D6637" i="1"/>
  <c r="G6636" i="1"/>
  <c r="D6636" i="1"/>
  <c r="G6635" i="1"/>
  <c r="D6635" i="1"/>
  <c r="G6634" i="1"/>
  <c r="D6634" i="1"/>
  <c r="G6633" i="1"/>
  <c r="D6633" i="1"/>
  <c r="G6632" i="1"/>
  <c r="D6632" i="1"/>
  <c r="G6631" i="1"/>
  <c r="D6631" i="1"/>
  <c r="G6630" i="1"/>
  <c r="D6630" i="1"/>
  <c r="G6629" i="1"/>
  <c r="D6629" i="1"/>
  <c r="G6628" i="1"/>
  <c r="D6628" i="1"/>
  <c r="G6627" i="1"/>
  <c r="D6627" i="1"/>
  <c r="G6626" i="1"/>
  <c r="D6626" i="1"/>
  <c r="G6625" i="1"/>
  <c r="D6625" i="1"/>
  <c r="G6624" i="1"/>
  <c r="D6624" i="1"/>
  <c r="G6623" i="1"/>
  <c r="D6623" i="1"/>
  <c r="G6622" i="1"/>
  <c r="D6622" i="1"/>
  <c r="G6621" i="1"/>
  <c r="D6621" i="1"/>
  <c r="G6620" i="1"/>
  <c r="D6620" i="1"/>
  <c r="G6619" i="1"/>
  <c r="D6619" i="1"/>
  <c r="G6618" i="1"/>
  <c r="D6618" i="1"/>
  <c r="G6617" i="1"/>
  <c r="D6617" i="1"/>
  <c r="G6616" i="1"/>
  <c r="D6616" i="1"/>
  <c r="G6615" i="1"/>
  <c r="D6615" i="1"/>
  <c r="G6614" i="1"/>
  <c r="D6614" i="1"/>
  <c r="G6613" i="1"/>
  <c r="D6613" i="1"/>
  <c r="G6612" i="1"/>
  <c r="D6612" i="1"/>
  <c r="G6611" i="1"/>
  <c r="D6611" i="1"/>
  <c r="G6610" i="1"/>
  <c r="D6610" i="1"/>
  <c r="G6609" i="1"/>
  <c r="D6609" i="1"/>
  <c r="G6608" i="1"/>
  <c r="D6608" i="1"/>
  <c r="G6607" i="1"/>
  <c r="D6607" i="1"/>
  <c r="G6606" i="1"/>
  <c r="D6606" i="1"/>
  <c r="G6605" i="1"/>
  <c r="D6605" i="1"/>
  <c r="G6604" i="1"/>
  <c r="D6604" i="1"/>
  <c r="G6603" i="1"/>
  <c r="D6603" i="1"/>
  <c r="G6602" i="1"/>
  <c r="D6602" i="1"/>
  <c r="G6601" i="1"/>
  <c r="D6601" i="1"/>
  <c r="G6600" i="1"/>
  <c r="D6600" i="1"/>
  <c r="G6599" i="1"/>
  <c r="D6599" i="1"/>
  <c r="G6598" i="1"/>
  <c r="D6598" i="1"/>
  <c r="G6597" i="1"/>
  <c r="D6597" i="1"/>
  <c r="G6596" i="1"/>
  <c r="D6596" i="1"/>
  <c r="G6595" i="1"/>
  <c r="D6595" i="1"/>
  <c r="G6594" i="1"/>
  <c r="D6594" i="1"/>
  <c r="G6593" i="1"/>
  <c r="D6593" i="1"/>
  <c r="G6592" i="1"/>
  <c r="D6592" i="1"/>
  <c r="G6591" i="1"/>
  <c r="D6591" i="1"/>
  <c r="G6590" i="1"/>
  <c r="D6590" i="1"/>
  <c r="G6589" i="1"/>
  <c r="D6589" i="1"/>
  <c r="G6588" i="1"/>
  <c r="D6588" i="1"/>
  <c r="G6587" i="1"/>
  <c r="D6587" i="1"/>
  <c r="G6586" i="1"/>
  <c r="D6586" i="1"/>
  <c r="G6585" i="1"/>
  <c r="D6585" i="1"/>
  <c r="G6584" i="1"/>
  <c r="D6584" i="1"/>
  <c r="G6583" i="1"/>
  <c r="D6583" i="1"/>
  <c r="G6582" i="1"/>
  <c r="D6582" i="1"/>
  <c r="G6581" i="1"/>
  <c r="D6581" i="1"/>
  <c r="G6580" i="1"/>
  <c r="D6580" i="1"/>
  <c r="G6579" i="1"/>
  <c r="D6579" i="1"/>
  <c r="G6578" i="1"/>
  <c r="D6578" i="1"/>
  <c r="G6577" i="1"/>
  <c r="D6577" i="1"/>
  <c r="G6576" i="1"/>
  <c r="D6576" i="1"/>
  <c r="G6575" i="1"/>
  <c r="D6575" i="1"/>
  <c r="G6574" i="1"/>
  <c r="D6574" i="1"/>
  <c r="G6573" i="1"/>
  <c r="D6573" i="1"/>
  <c r="G6572" i="1"/>
  <c r="D6572" i="1"/>
  <c r="G6571" i="1"/>
  <c r="D6571" i="1"/>
  <c r="G6570" i="1"/>
  <c r="D6570" i="1"/>
  <c r="G6569" i="1"/>
  <c r="D6569" i="1"/>
  <c r="G6568" i="1"/>
  <c r="D6568" i="1"/>
  <c r="G6567" i="1"/>
  <c r="D6567" i="1"/>
  <c r="G6566" i="1"/>
  <c r="D6566" i="1"/>
  <c r="G6565" i="1"/>
  <c r="D6565" i="1"/>
  <c r="G6564" i="1"/>
  <c r="D6564" i="1"/>
  <c r="G6563" i="1"/>
  <c r="D6563" i="1"/>
  <c r="G6562" i="1"/>
  <c r="D6562" i="1"/>
  <c r="G6561" i="1"/>
  <c r="D6561" i="1"/>
  <c r="G6560" i="1"/>
  <c r="D6560" i="1"/>
  <c r="G6559" i="1"/>
  <c r="D6559" i="1"/>
  <c r="G6558" i="1"/>
  <c r="D6558" i="1"/>
  <c r="G6557" i="1"/>
  <c r="D6557" i="1"/>
  <c r="G6556" i="1"/>
  <c r="D6556" i="1"/>
  <c r="G6555" i="1"/>
  <c r="D6555" i="1"/>
  <c r="G6554" i="1"/>
  <c r="D6554" i="1"/>
  <c r="G6553" i="1"/>
  <c r="D6553" i="1"/>
  <c r="G6552" i="1"/>
  <c r="D6552" i="1"/>
  <c r="G6551" i="1"/>
  <c r="D6551" i="1"/>
  <c r="G6550" i="1"/>
  <c r="D6550" i="1"/>
  <c r="G6549" i="1"/>
  <c r="D6549" i="1"/>
  <c r="G6548" i="1"/>
  <c r="D6548" i="1"/>
  <c r="G6547" i="1"/>
  <c r="D6547" i="1"/>
  <c r="G6546" i="1"/>
  <c r="D6546" i="1"/>
  <c r="G6545" i="1"/>
  <c r="D6545" i="1"/>
  <c r="G6544" i="1"/>
  <c r="D6544" i="1"/>
  <c r="G6543" i="1"/>
  <c r="D6543" i="1"/>
  <c r="G6542" i="1"/>
  <c r="D6542" i="1"/>
  <c r="G6541" i="1"/>
  <c r="D6541" i="1"/>
  <c r="G6540" i="1"/>
  <c r="D6540" i="1"/>
  <c r="G6539" i="1"/>
  <c r="D6539" i="1"/>
  <c r="G6538" i="1"/>
  <c r="D6538" i="1"/>
  <c r="G6537" i="1"/>
  <c r="D6537" i="1"/>
  <c r="G6536" i="1"/>
  <c r="D6536" i="1"/>
  <c r="G6535" i="1"/>
  <c r="D6535" i="1"/>
  <c r="G6534" i="1"/>
  <c r="D6534" i="1"/>
  <c r="G6533" i="1"/>
  <c r="D6533" i="1"/>
  <c r="G6532" i="1"/>
  <c r="D6532" i="1"/>
  <c r="G6531" i="1"/>
  <c r="D6531" i="1"/>
  <c r="G6530" i="1"/>
  <c r="D6530" i="1"/>
  <c r="G6529" i="1"/>
  <c r="D6529" i="1"/>
  <c r="G6528" i="1"/>
  <c r="D6528" i="1"/>
  <c r="G6527" i="1"/>
  <c r="D6527" i="1"/>
  <c r="G6526" i="1"/>
  <c r="D6526" i="1"/>
  <c r="G6525" i="1"/>
  <c r="D6525" i="1"/>
  <c r="G6524" i="1"/>
  <c r="D6524" i="1"/>
  <c r="G6523" i="1"/>
  <c r="D6523" i="1"/>
  <c r="G6522" i="1"/>
  <c r="D6522" i="1"/>
  <c r="G6521" i="1"/>
  <c r="D6521" i="1"/>
  <c r="G6520" i="1"/>
  <c r="D6520" i="1"/>
  <c r="G6519" i="1"/>
  <c r="D6519" i="1"/>
  <c r="G6518" i="1"/>
  <c r="D6518" i="1"/>
  <c r="G6517" i="1"/>
  <c r="D6517" i="1"/>
  <c r="G6516" i="1"/>
  <c r="D6516" i="1"/>
  <c r="G6515" i="1"/>
  <c r="D6515" i="1"/>
  <c r="G6514" i="1"/>
  <c r="D6514" i="1"/>
  <c r="G6513" i="1"/>
  <c r="D6513" i="1"/>
  <c r="G6512" i="1"/>
  <c r="D6512" i="1"/>
  <c r="G6511" i="1"/>
  <c r="D6511" i="1"/>
  <c r="G6510" i="1"/>
  <c r="D6510" i="1"/>
  <c r="G6509" i="1"/>
  <c r="D6509" i="1"/>
  <c r="G6508" i="1"/>
  <c r="D6508" i="1"/>
  <c r="G6507" i="1"/>
  <c r="D6507" i="1"/>
  <c r="G6506" i="1"/>
  <c r="D6506" i="1"/>
  <c r="G6505" i="1"/>
  <c r="D6505" i="1"/>
  <c r="G6504" i="1"/>
  <c r="D6504" i="1"/>
  <c r="G6503" i="1"/>
  <c r="D6503" i="1"/>
  <c r="G6502" i="1"/>
  <c r="D6502" i="1"/>
  <c r="G6501" i="1"/>
  <c r="D6501" i="1"/>
  <c r="G6500" i="1"/>
  <c r="D6500" i="1"/>
  <c r="G6499" i="1"/>
  <c r="D6499" i="1"/>
  <c r="G6498" i="1"/>
  <c r="D6498" i="1"/>
  <c r="G6497" i="1"/>
  <c r="D6497" i="1"/>
  <c r="G6496" i="1"/>
  <c r="D6496" i="1"/>
  <c r="G6495" i="1"/>
  <c r="D6495" i="1"/>
  <c r="G6494" i="1"/>
  <c r="D6494" i="1"/>
  <c r="G6493" i="1"/>
  <c r="D6493" i="1"/>
  <c r="G6492" i="1"/>
  <c r="D6492" i="1"/>
  <c r="G6491" i="1"/>
  <c r="D6491" i="1"/>
  <c r="G6490" i="1"/>
  <c r="D6490" i="1"/>
  <c r="G6489" i="1"/>
  <c r="D6489" i="1"/>
  <c r="G6488" i="1"/>
  <c r="D6488" i="1"/>
  <c r="G6487" i="1"/>
  <c r="D6487" i="1"/>
  <c r="G6486" i="1"/>
  <c r="D6486" i="1"/>
  <c r="G6485" i="1"/>
  <c r="D6485" i="1"/>
  <c r="G6484" i="1"/>
  <c r="D6484" i="1"/>
  <c r="G6483" i="1"/>
  <c r="D6483" i="1"/>
  <c r="G6482" i="1"/>
  <c r="D6482" i="1"/>
  <c r="G6481" i="1"/>
  <c r="D6481" i="1"/>
  <c r="G6480" i="1"/>
  <c r="D6480" i="1"/>
  <c r="G6479" i="1"/>
  <c r="D6479" i="1"/>
  <c r="G6478" i="1"/>
  <c r="D6478" i="1"/>
  <c r="G6477" i="1"/>
  <c r="D6477" i="1"/>
  <c r="G6476" i="1"/>
  <c r="D6476" i="1"/>
  <c r="G6475" i="1"/>
  <c r="D6475" i="1"/>
  <c r="G6474" i="1"/>
  <c r="D6474" i="1"/>
  <c r="G6473" i="1"/>
  <c r="D6473" i="1"/>
  <c r="G6472" i="1"/>
  <c r="D6472" i="1"/>
  <c r="G6471" i="1"/>
  <c r="D6471" i="1"/>
  <c r="G6470" i="1"/>
  <c r="D6470" i="1"/>
  <c r="G6469" i="1"/>
  <c r="D6469" i="1"/>
  <c r="G6468" i="1"/>
  <c r="D6468" i="1"/>
  <c r="G6467" i="1"/>
  <c r="D6467" i="1"/>
  <c r="G6466" i="1"/>
  <c r="D6466" i="1"/>
  <c r="G6465" i="1"/>
  <c r="D6465" i="1"/>
  <c r="G6464" i="1"/>
  <c r="D6464" i="1"/>
  <c r="G6463" i="1"/>
  <c r="D6463" i="1"/>
  <c r="G6462" i="1"/>
  <c r="D6462" i="1"/>
  <c r="G6461" i="1"/>
  <c r="D6461" i="1"/>
  <c r="G6460" i="1"/>
  <c r="D6460" i="1"/>
  <c r="G6459" i="1"/>
  <c r="D6459" i="1"/>
  <c r="G6458" i="1"/>
  <c r="D6458" i="1"/>
  <c r="G6457" i="1"/>
  <c r="D6457" i="1"/>
  <c r="G6456" i="1"/>
  <c r="D6456" i="1"/>
  <c r="G6455" i="1"/>
  <c r="D6455" i="1"/>
  <c r="G6454" i="1"/>
  <c r="D6454" i="1"/>
  <c r="G6453" i="1"/>
  <c r="D6453" i="1"/>
  <c r="G6452" i="1"/>
  <c r="D6452" i="1"/>
  <c r="G6451" i="1"/>
  <c r="D6451" i="1"/>
  <c r="G6450" i="1"/>
  <c r="D6450" i="1"/>
  <c r="G6449" i="1"/>
  <c r="D6449" i="1"/>
  <c r="G6448" i="1"/>
  <c r="D6448" i="1"/>
  <c r="G6447" i="1"/>
  <c r="D6447" i="1"/>
  <c r="G6446" i="1"/>
  <c r="D6446" i="1"/>
  <c r="G6445" i="1"/>
  <c r="D6445" i="1"/>
  <c r="G6444" i="1"/>
  <c r="D6444" i="1"/>
  <c r="G6443" i="1"/>
  <c r="D6443" i="1"/>
  <c r="G6442" i="1"/>
  <c r="D6442" i="1"/>
  <c r="G6441" i="1"/>
  <c r="D6441" i="1"/>
  <c r="G6440" i="1"/>
  <c r="D6440" i="1"/>
  <c r="G6439" i="1"/>
  <c r="D6439" i="1"/>
  <c r="G6438" i="1"/>
  <c r="D6438" i="1"/>
  <c r="G6437" i="1"/>
  <c r="D6437" i="1"/>
  <c r="G6436" i="1"/>
  <c r="D6436" i="1"/>
  <c r="G6435" i="1"/>
  <c r="D6435" i="1"/>
  <c r="G6434" i="1"/>
  <c r="D6434" i="1"/>
  <c r="G6433" i="1"/>
  <c r="D6433" i="1"/>
  <c r="G6432" i="1"/>
  <c r="D6432" i="1"/>
  <c r="G6431" i="1"/>
  <c r="D6431" i="1"/>
  <c r="G6430" i="1"/>
  <c r="D6430" i="1"/>
  <c r="G6429" i="1"/>
  <c r="D6429" i="1"/>
  <c r="G6428" i="1"/>
  <c r="D6428" i="1"/>
  <c r="G6427" i="1"/>
  <c r="D6427" i="1"/>
  <c r="G6426" i="1"/>
  <c r="D6426" i="1"/>
  <c r="G6425" i="1"/>
  <c r="D6425" i="1"/>
  <c r="G6424" i="1"/>
  <c r="D6424" i="1"/>
  <c r="G6423" i="1"/>
  <c r="D6423" i="1"/>
  <c r="G6422" i="1"/>
  <c r="D6422" i="1"/>
  <c r="G6421" i="1"/>
  <c r="D6421" i="1"/>
  <c r="G6420" i="1"/>
  <c r="D6420" i="1"/>
  <c r="G6419" i="1"/>
  <c r="D6419" i="1"/>
  <c r="G6418" i="1"/>
  <c r="D6418" i="1"/>
  <c r="G6417" i="1"/>
  <c r="D6417" i="1"/>
  <c r="G6416" i="1"/>
  <c r="D6416" i="1"/>
  <c r="G6415" i="1"/>
  <c r="D6415" i="1"/>
  <c r="G6414" i="1"/>
  <c r="D6414" i="1"/>
  <c r="G6413" i="1"/>
  <c r="D6413" i="1"/>
  <c r="G6412" i="1"/>
  <c r="D6412" i="1"/>
  <c r="G6411" i="1"/>
  <c r="D6411" i="1"/>
  <c r="G6410" i="1"/>
  <c r="D6410" i="1"/>
  <c r="G6409" i="1"/>
  <c r="D6409" i="1"/>
  <c r="G6408" i="1"/>
  <c r="D6408" i="1"/>
  <c r="G6407" i="1"/>
  <c r="D6407" i="1"/>
  <c r="G6406" i="1"/>
  <c r="D6406" i="1"/>
  <c r="G6405" i="1"/>
  <c r="D6405" i="1"/>
  <c r="G6404" i="1"/>
  <c r="D6404" i="1"/>
  <c r="G6403" i="1"/>
  <c r="D6403" i="1"/>
  <c r="G6402" i="1"/>
  <c r="D6402" i="1"/>
  <c r="G6401" i="1"/>
  <c r="D6401" i="1"/>
  <c r="G6400" i="1"/>
  <c r="D6400" i="1"/>
  <c r="G6399" i="1"/>
  <c r="D6399" i="1"/>
  <c r="G6398" i="1"/>
  <c r="D6398" i="1"/>
  <c r="G6397" i="1"/>
  <c r="D6397" i="1"/>
  <c r="G6396" i="1"/>
  <c r="D6396" i="1"/>
  <c r="G6395" i="1"/>
  <c r="D6395" i="1"/>
  <c r="G6394" i="1"/>
  <c r="D6394" i="1"/>
  <c r="G6393" i="1"/>
  <c r="D6393" i="1"/>
  <c r="G6392" i="1"/>
  <c r="D6392" i="1"/>
  <c r="G6391" i="1"/>
  <c r="D6391" i="1"/>
  <c r="G6390" i="1"/>
  <c r="D6390" i="1"/>
  <c r="G6389" i="1"/>
  <c r="D6389" i="1"/>
  <c r="G6388" i="1"/>
  <c r="D6388" i="1"/>
  <c r="G6387" i="1"/>
  <c r="D6387" i="1"/>
  <c r="G6386" i="1"/>
  <c r="D6386" i="1"/>
  <c r="G6385" i="1"/>
  <c r="D6385" i="1"/>
  <c r="G6384" i="1"/>
  <c r="D6384" i="1"/>
  <c r="G6383" i="1"/>
  <c r="D6383" i="1"/>
  <c r="G6382" i="1"/>
  <c r="D6382" i="1"/>
  <c r="G6381" i="1"/>
  <c r="D6381" i="1"/>
  <c r="G6380" i="1"/>
  <c r="D6380" i="1"/>
  <c r="G6379" i="1"/>
  <c r="D6379" i="1"/>
  <c r="G6378" i="1"/>
  <c r="D6378" i="1"/>
  <c r="G6377" i="1"/>
  <c r="D6377" i="1"/>
  <c r="G6376" i="1"/>
  <c r="D6376" i="1"/>
  <c r="G6375" i="1"/>
  <c r="D6375" i="1"/>
  <c r="G6374" i="1"/>
  <c r="D6374" i="1"/>
  <c r="G6373" i="1"/>
  <c r="D6373" i="1"/>
  <c r="G6372" i="1"/>
  <c r="D6372" i="1"/>
  <c r="G6371" i="1"/>
  <c r="D6371" i="1"/>
  <c r="G6370" i="1"/>
  <c r="D6370" i="1"/>
  <c r="G6369" i="1"/>
  <c r="D6369" i="1"/>
  <c r="G6368" i="1"/>
  <c r="D6368" i="1"/>
  <c r="G6367" i="1"/>
  <c r="D6367" i="1"/>
  <c r="G6366" i="1"/>
  <c r="D6366" i="1"/>
  <c r="G6365" i="1"/>
  <c r="D6365" i="1"/>
  <c r="G6364" i="1"/>
  <c r="D6364" i="1"/>
  <c r="G6363" i="1"/>
  <c r="D6363" i="1"/>
  <c r="G6362" i="1"/>
  <c r="D6362" i="1"/>
  <c r="G6361" i="1"/>
  <c r="D6361" i="1"/>
  <c r="G6360" i="1"/>
  <c r="D6360" i="1"/>
  <c r="G6359" i="1"/>
  <c r="D6359" i="1"/>
  <c r="G6358" i="1"/>
  <c r="D6358" i="1"/>
  <c r="G6357" i="1"/>
  <c r="D6357" i="1"/>
  <c r="G6356" i="1"/>
  <c r="D6356" i="1"/>
  <c r="G6355" i="1"/>
  <c r="D6355" i="1"/>
  <c r="G6354" i="1"/>
  <c r="D6354" i="1"/>
  <c r="G6353" i="1"/>
  <c r="D6353" i="1"/>
  <c r="G6352" i="1"/>
  <c r="D6352" i="1"/>
  <c r="G6351" i="1"/>
  <c r="D6351" i="1"/>
  <c r="G6350" i="1"/>
  <c r="D6350" i="1"/>
  <c r="G6349" i="1"/>
  <c r="D6349" i="1"/>
  <c r="G6348" i="1"/>
  <c r="D6348" i="1"/>
  <c r="G6347" i="1"/>
  <c r="D6347" i="1"/>
  <c r="G6346" i="1"/>
  <c r="D6346" i="1"/>
  <c r="G6345" i="1"/>
  <c r="D6345" i="1"/>
  <c r="G6344" i="1"/>
  <c r="D6344" i="1"/>
  <c r="G6343" i="1"/>
  <c r="D6343" i="1"/>
  <c r="G6342" i="1"/>
  <c r="D6342" i="1"/>
  <c r="G6341" i="1"/>
  <c r="D6341" i="1"/>
  <c r="G6340" i="1"/>
  <c r="D6340" i="1"/>
  <c r="G6339" i="1"/>
  <c r="D6339" i="1"/>
  <c r="G6338" i="1"/>
  <c r="D6338" i="1"/>
  <c r="G6337" i="1"/>
  <c r="D6337" i="1"/>
  <c r="G6336" i="1"/>
  <c r="D6336" i="1"/>
  <c r="G6335" i="1"/>
  <c r="D6335" i="1"/>
  <c r="G6334" i="1"/>
  <c r="D6334" i="1"/>
  <c r="G6333" i="1"/>
  <c r="D6333" i="1"/>
  <c r="G6332" i="1"/>
  <c r="D6332" i="1"/>
  <c r="G6331" i="1"/>
  <c r="D6331" i="1"/>
  <c r="G6330" i="1"/>
  <c r="D6330" i="1"/>
  <c r="G6329" i="1"/>
  <c r="D6329" i="1"/>
  <c r="G6328" i="1"/>
  <c r="D6328" i="1"/>
  <c r="G6327" i="1"/>
  <c r="D6327" i="1"/>
  <c r="G6326" i="1"/>
  <c r="D6326" i="1"/>
  <c r="G6325" i="1"/>
  <c r="D6325" i="1"/>
  <c r="G6324" i="1"/>
  <c r="D6324" i="1"/>
  <c r="G6323" i="1"/>
  <c r="D6323" i="1"/>
  <c r="G6322" i="1"/>
  <c r="D6322" i="1"/>
  <c r="G6321" i="1"/>
  <c r="D6321" i="1"/>
  <c r="G6320" i="1"/>
  <c r="D6320" i="1"/>
  <c r="G6319" i="1"/>
  <c r="D6319" i="1"/>
  <c r="G6318" i="1"/>
  <c r="D6318" i="1"/>
  <c r="G6317" i="1"/>
  <c r="D6317" i="1"/>
  <c r="G6316" i="1"/>
  <c r="D6316" i="1"/>
  <c r="G6315" i="1"/>
  <c r="D6315" i="1"/>
  <c r="G6314" i="1"/>
  <c r="D6314" i="1"/>
  <c r="G6313" i="1"/>
  <c r="D6313" i="1"/>
  <c r="G6312" i="1"/>
  <c r="D6312" i="1"/>
  <c r="G6311" i="1"/>
  <c r="D6311" i="1"/>
  <c r="G6310" i="1"/>
  <c r="D6310" i="1"/>
  <c r="G6309" i="1"/>
  <c r="D6309" i="1"/>
  <c r="G6308" i="1"/>
  <c r="D6308" i="1"/>
  <c r="G6307" i="1"/>
  <c r="D6307" i="1"/>
  <c r="G6306" i="1"/>
  <c r="D6306" i="1"/>
  <c r="G6305" i="1"/>
  <c r="D6305" i="1"/>
  <c r="G6304" i="1"/>
  <c r="D6304" i="1"/>
  <c r="G6303" i="1"/>
  <c r="D6303" i="1"/>
  <c r="G6302" i="1"/>
  <c r="D6302" i="1"/>
  <c r="G6301" i="1"/>
  <c r="D6301" i="1"/>
  <c r="G6300" i="1"/>
  <c r="D6300" i="1"/>
  <c r="G6299" i="1"/>
  <c r="D6299" i="1"/>
  <c r="G6298" i="1"/>
  <c r="D6298" i="1"/>
  <c r="G6297" i="1"/>
  <c r="D6297" i="1"/>
  <c r="G6296" i="1"/>
  <c r="D6296" i="1"/>
  <c r="G6295" i="1"/>
  <c r="D6295" i="1"/>
  <c r="G6294" i="1"/>
  <c r="D6294" i="1"/>
  <c r="G6293" i="1"/>
  <c r="D6293" i="1"/>
  <c r="G6292" i="1"/>
  <c r="D6292" i="1"/>
  <c r="G6291" i="1"/>
  <c r="D6291" i="1"/>
  <c r="G6290" i="1"/>
  <c r="D6290" i="1"/>
  <c r="G6289" i="1"/>
  <c r="D6289" i="1"/>
  <c r="G6288" i="1"/>
  <c r="D6288" i="1"/>
  <c r="G6287" i="1"/>
  <c r="D6287" i="1"/>
  <c r="G6286" i="1"/>
  <c r="D6286" i="1"/>
  <c r="G6285" i="1"/>
  <c r="D6285" i="1"/>
  <c r="G6284" i="1"/>
  <c r="D6284" i="1"/>
  <c r="G6283" i="1"/>
  <c r="D6283" i="1"/>
  <c r="G6282" i="1"/>
  <c r="D6282" i="1"/>
  <c r="G6281" i="1"/>
  <c r="D6281" i="1"/>
  <c r="G6280" i="1"/>
  <c r="D6280" i="1"/>
  <c r="G6279" i="1"/>
  <c r="D6279" i="1"/>
  <c r="G6278" i="1"/>
  <c r="D6278" i="1"/>
  <c r="G6277" i="1"/>
  <c r="D6277" i="1"/>
  <c r="G6276" i="1"/>
  <c r="D6276" i="1"/>
  <c r="G6275" i="1"/>
  <c r="D6275" i="1"/>
  <c r="G6274" i="1"/>
  <c r="D6274" i="1"/>
  <c r="G6273" i="1"/>
  <c r="D6273" i="1"/>
  <c r="G6272" i="1"/>
  <c r="D6272" i="1"/>
  <c r="G6271" i="1"/>
  <c r="D6271" i="1"/>
  <c r="G6270" i="1"/>
  <c r="D6270" i="1"/>
  <c r="G6269" i="1"/>
  <c r="D6269" i="1"/>
  <c r="G6268" i="1"/>
  <c r="D6268" i="1"/>
  <c r="G6267" i="1"/>
  <c r="D6267" i="1"/>
  <c r="G6266" i="1"/>
  <c r="D6266" i="1"/>
  <c r="G6265" i="1"/>
  <c r="D6265" i="1"/>
  <c r="G6264" i="1"/>
  <c r="D6264" i="1"/>
  <c r="G6263" i="1"/>
  <c r="D6263" i="1"/>
  <c r="G6262" i="1"/>
  <c r="D6262" i="1"/>
  <c r="G6261" i="1"/>
  <c r="D6261" i="1"/>
  <c r="G6260" i="1"/>
  <c r="D6260" i="1"/>
  <c r="G6259" i="1"/>
  <c r="D6259" i="1"/>
  <c r="G6258" i="1"/>
  <c r="D6258" i="1"/>
  <c r="G6257" i="1"/>
  <c r="D6257" i="1"/>
  <c r="G6256" i="1"/>
  <c r="D6256" i="1"/>
  <c r="G6255" i="1"/>
  <c r="D6255" i="1"/>
  <c r="G6254" i="1"/>
  <c r="D6254" i="1"/>
  <c r="G6253" i="1"/>
  <c r="D6253" i="1"/>
  <c r="G6252" i="1"/>
  <c r="D6252" i="1"/>
  <c r="G6251" i="1"/>
  <c r="D6251" i="1"/>
  <c r="G6250" i="1"/>
  <c r="D6250" i="1"/>
  <c r="G6249" i="1"/>
  <c r="D6249" i="1"/>
  <c r="G6248" i="1"/>
  <c r="D6248" i="1"/>
  <c r="G6247" i="1"/>
  <c r="D6247" i="1"/>
  <c r="G6246" i="1"/>
  <c r="D6246" i="1"/>
  <c r="G6245" i="1"/>
  <c r="D6245" i="1"/>
  <c r="G6244" i="1"/>
  <c r="D6244" i="1"/>
  <c r="G6243" i="1"/>
  <c r="D6243" i="1"/>
  <c r="G6242" i="1"/>
  <c r="D6242" i="1"/>
  <c r="G6241" i="1"/>
  <c r="D6241" i="1"/>
  <c r="G6240" i="1"/>
  <c r="D6240" i="1"/>
  <c r="G6239" i="1"/>
  <c r="D6239" i="1"/>
  <c r="G6238" i="1"/>
  <c r="D6238" i="1"/>
  <c r="G6237" i="1"/>
  <c r="D6237" i="1"/>
  <c r="G6236" i="1"/>
  <c r="D6236" i="1"/>
  <c r="G6235" i="1"/>
  <c r="D6235" i="1"/>
  <c r="G6234" i="1"/>
  <c r="D6234" i="1"/>
  <c r="G6233" i="1"/>
  <c r="D6233" i="1"/>
  <c r="G6232" i="1"/>
  <c r="D6232" i="1"/>
  <c r="G6231" i="1"/>
  <c r="D6231" i="1"/>
  <c r="G6230" i="1"/>
  <c r="D6230" i="1"/>
  <c r="G6229" i="1"/>
  <c r="D6229" i="1"/>
  <c r="G6228" i="1"/>
  <c r="D6228" i="1"/>
  <c r="G6227" i="1"/>
  <c r="D6227" i="1"/>
  <c r="G6226" i="1"/>
  <c r="D6226" i="1"/>
  <c r="G6225" i="1"/>
  <c r="D6225" i="1"/>
  <c r="G6224" i="1"/>
  <c r="D6224" i="1"/>
  <c r="G6223" i="1"/>
  <c r="D6223" i="1"/>
  <c r="G6222" i="1"/>
  <c r="D6222" i="1"/>
  <c r="G6221" i="1"/>
  <c r="D6221" i="1"/>
  <c r="G6220" i="1"/>
  <c r="D6220" i="1"/>
  <c r="G6219" i="1"/>
  <c r="D6219" i="1"/>
  <c r="G6218" i="1"/>
  <c r="D6218" i="1"/>
  <c r="G6217" i="1"/>
  <c r="D6217" i="1"/>
  <c r="G6216" i="1"/>
  <c r="D6216" i="1"/>
  <c r="G6215" i="1"/>
  <c r="D6215" i="1"/>
  <c r="G6214" i="1"/>
  <c r="D6214" i="1"/>
  <c r="G6213" i="1"/>
  <c r="D6213" i="1"/>
  <c r="G6212" i="1"/>
  <c r="D6212" i="1"/>
  <c r="G6211" i="1"/>
  <c r="D6211" i="1"/>
  <c r="G6210" i="1"/>
  <c r="D6210" i="1"/>
  <c r="G6209" i="1"/>
  <c r="D6209" i="1"/>
  <c r="G6208" i="1"/>
  <c r="D6208" i="1"/>
  <c r="G6207" i="1"/>
  <c r="D6207" i="1"/>
  <c r="G6206" i="1"/>
  <c r="D6206" i="1"/>
  <c r="G6205" i="1"/>
  <c r="D6205" i="1"/>
  <c r="G6204" i="1"/>
  <c r="D6204" i="1"/>
  <c r="G6203" i="1"/>
  <c r="D6203" i="1"/>
  <c r="G6202" i="1"/>
  <c r="D6202" i="1"/>
  <c r="G6201" i="1"/>
  <c r="D6201" i="1"/>
  <c r="G6200" i="1"/>
  <c r="D6200" i="1"/>
  <c r="G6199" i="1"/>
  <c r="D6199" i="1"/>
  <c r="G6198" i="1"/>
  <c r="D6198" i="1"/>
  <c r="G6197" i="1"/>
  <c r="D6197" i="1"/>
  <c r="G6196" i="1"/>
  <c r="D6196" i="1"/>
  <c r="G6195" i="1"/>
  <c r="D6195" i="1"/>
  <c r="G6194" i="1"/>
  <c r="D6194" i="1"/>
  <c r="G6193" i="1"/>
  <c r="D6193" i="1"/>
  <c r="G6192" i="1"/>
  <c r="D6192" i="1"/>
  <c r="G6191" i="1"/>
  <c r="D6191" i="1"/>
  <c r="G6190" i="1"/>
  <c r="D6190" i="1"/>
  <c r="G6189" i="1"/>
  <c r="D6189" i="1"/>
  <c r="G6188" i="1"/>
  <c r="D6188" i="1"/>
  <c r="G6187" i="1"/>
  <c r="D6187" i="1"/>
  <c r="G6186" i="1"/>
  <c r="D6186" i="1"/>
  <c r="G6185" i="1"/>
  <c r="D6185" i="1"/>
  <c r="G6184" i="1"/>
  <c r="D6184" i="1"/>
  <c r="G6183" i="1"/>
  <c r="D6183" i="1"/>
  <c r="G6182" i="1"/>
  <c r="D6182" i="1"/>
  <c r="G6181" i="1"/>
  <c r="D6181" i="1"/>
  <c r="G6180" i="1"/>
  <c r="D6180" i="1"/>
  <c r="G6179" i="1"/>
  <c r="D6179" i="1"/>
  <c r="G6178" i="1"/>
  <c r="D6178" i="1"/>
  <c r="G6177" i="1"/>
  <c r="D6177" i="1"/>
  <c r="G6176" i="1"/>
  <c r="D6176" i="1"/>
  <c r="G6175" i="1"/>
  <c r="D6175" i="1"/>
  <c r="G6174" i="1"/>
  <c r="D6174" i="1"/>
  <c r="G6173" i="1"/>
  <c r="D6173" i="1"/>
  <c r="G6172" i="1"/>
  <c r="D6172" i="1"/>
  <c r="G6171" i="1"/>
  <c r="D6171" i="1"/>
  <c r="G6170" i="1"/>
  <c r="D6170" i="1"/>
  <c r="G6169" i="1"/>
  <c r="D6169" i="1"/>
  <c r="G6168" i="1"/>
  <c r="D6168" i="1"/>
  <c r="G6167" i="1"/>
  <c r="D6167" i="1"/>
  <c r="G6166" i="1"/>
  <c r="D6166" i="1"/>
  <c r="G6165" i="1"/>
  <c r="D6165" i="1"/>
  <c r="G6164" i="1"/>
  <c r="D6164" i="1"/>
  <c r="G6163" i="1"/>
  <c r="D6163" i="1"/>
  <c r="G6162" i="1"/>
  <c r="D6162" i="1"/>
  <c r="G6161" i="1"/>
  <c r="D6161" i="1"/>
  <c r="G6160" i="1"/>
  <c r="D6160" i="1"/>
  <c r="G6159" i="1"/>
  <c r="D6159" i="1"/>
  <c r="G6158" i="1"/>
  <c r="D6158" i="1"/>
  <c r="G6157" i="1"/>
  <c r="D6157" i="1"/>
  <c r="G6156" i="1"/>
  <c r="D6156" i="1"/>
  <c r="G6155" i="1"/>
  <c r="D6155" i="1"/>
  <c r="G6154" i="1"/>
  <c r="D6154" i="1"/>
  <c r="G6153" i="1"/>
  <c r="D6153" i="1"/>
  <c r="G6152" i="1"/>
  <c r="D6152" i="1"/>
  <c r="G6151" i="1"/>
  <c r="D6151" i="1"/>
  <c r="G6150" i="1"/>
  <c r="D6150" i="1"/>
  <c r="G6149" i="1"/>
  <c r="D6149" i="1"/>
  <c r="G6148" i="1"/>
  <c r="D6148" i="1"/>
  <c r="G6147" i="1"/>
  <c r="D6147" i="1"/>
  <c r="G6146" i="1"/>
  <c r="D6146" i="1"/>
  <c r="G6145" i="1"/>
  <c r="D6145" i="1"/>
  <c r="G6144" i="1"/>
  <c r="D6144" i="1"/>
  <c r="G6143" i="1"/>
  <c r="D6143" i="1"/>
  <c r="G6142" i="1"/>
  <c r="D6142" i="1"/>
  <c r="G6141" i="1"/>
  <c r="D6141" i="1"/>
  <c r="G6140" i="1"/>
  <c r="D6140" i="1"/>
  <c r="G6139" i="1"/>
  <c r="D6139" i="1"/>
  <c r="G6138" i="1"/>
  <c r="D6138" i="1"/>
  <c r="G6137" i="1"/>
  <c r="D6137" i="1"/>
  <c r="G6136" i="1"/>
  <c r="D6136" i="1"/>
  <c r="G6135" i="1"/>
  <c r="D6135" i="1"/>
  <c r="G6134" i="1"/>
  <c r="D6134" i="1"/>
  <c r="G6133" i="1"/>
  <c r="D6133" i="1"/>
  <c r="G6132" i="1"/>
  <c r="D6132" i="1"/>
  <c r="G6131" i="1"/>
  <c r="D6131" i="1"/>
  <c r="G6130" i="1"/>
  <c r="D6130" i="1"/>
  <c r="G6129" i="1"/>
  <c r="D6129" i="1"/>
  <c r="G6128" i="1"/>
  <c r="D6128" i="1"/>
  <c r="G6127" i="1"/>
  <c r="D6127" i="1"/>
  <c r="G6126" i="1"/>
  <c r="D6126" i="1"/>
  <c r="G6125" i="1"/>
  <c r="D6125" i="1"/>
  <c r="G6124" i="1"/>
  <c r="D6124" i="1"/>
  <c r="G6123" i="1"/>
  <c r="D6123" i="1"/>
  <c r="G6122" i="1"/>
  <c r="D6122" i="1"/>
  <c r="G6121" i="1"/>
  <c r="D6121" i="1"/>
  <c r="G6120" i="1"/>
  <c r="D6120" i="1"/>
  <c r="G6119" i="1"/>
  <c r="D6119" i="1"/>
  <c r="G6118" i="1"/>
  <c r="D6118" i="1"/>
  <c r="G6117" i="1"/>
  <c r="D6117" i="1"/>
  <c r="G6116" i="1"/>
  <c r="D6116" i="1"/>
  <c r="G6115" i="1"/>
  <c r="D6115" i="1"/>
  <c r="G6114" i="1"/>
  <c r="D6114" i="1"/>
  <c r="G6113" i="1"/>
  <c r="D6113" i="1"/>
  <c r="G6112" i="1"/>
  <c r="D6112" i="1"/>
  <c r="G6111" i="1"/>
  <c r="D6111" i="1"/>
  <c r="G6110" i="1"/>
  <c r="D6110" i="1"/>
  <c r="G6109" i="1"/>
  <c r="D6109" i="1"/>
  <c r="G6108" i="1"/>
  <c r="D6108" i="1"/>
  <c r="G6107" i="1"/>
  <c r="D6107" i="1"/>
  <c r="G6106" i="1"/>
  <c r="D6106" i="1"/>
  <c r="G6105" i="1"/>
  <c r="D6105" i="1"/>
  <c r="G6104" i="1"/>
  <c r="D6104" i="1"/>
  <c r="G6103" i="1"/>
  <c r="D6103" i="1"/>
  <c r="G6102" i="1"/>
  <c r="D6102" i="1"/>
  <c r="G6101" i="1"/>
  <c r="D6101" i="1"/>
  <c r="G6100" i="1"/>
  <c r="D6100" i="1"/>
  <c r="G6099" i="1"/>
  <c r="D6099" i="1"/>
  <c r="G6098" i="1"/>
  <c r="D6098" i="1"/>
  <c r="G6097" i="1"/>
  <c r="D6097" i="1"/>
  <c r="G6096" i="1"/>
  <c r="D6096" i="1"/>
  <c r="G6095" i="1"/>
  <c r="D6095" i="1"/>
  <c r="G6094" i="1"/>
  <c r="D6094" i="1"/>
  <c r="G6093" i="1"/>
  <c r="D6093" i="1"/>
  <c r="G6092" i="1"/>
  <c r="D6092" i="1"/>
  <c r="G6091" i="1"/>
  <c r="D6091" i="1"/>
  <c r="G6090" i="1"/>
  <c r="D6090" i="1"/>
  <c r="G6089" i="1"/>
  <c r="D6089" i="1"/>
  <c r="G6088" i="1"/>
  <c r="D6088" i="1"/>
  <c r="G6087" i="1"/>
  <c r="D6087" i="1"/>
  <c r="G6086" i="1"/>
  <c r="D6086" i="1"/>
  <c r="G6085" i="1"/>
  <c r="D6085" i="1"/>
  <c r="G6084" i="1"/>
  <c r="D6084" i="1"/>
  <c r="G6083" i="1"/>
  <c r="D6083" i="1"/>
  <c r="G6082" i="1"/>
  <c r="D6082" i="1"/>
  <c r="G6081" i="1"/>
  <c r="D6081" i="1"/>
  <c r="G6080" i="1"/>
  <c r="D6080" i="1"/>
  <c r="G6079" i="1"/>
  <c r="D6079" i="1"/>
  <c r="G6078" i="1"/>
  <c r="D6078" i="1"/>
  <c r="G6077" i="1"/>
  <c r="D6077" i="1"/>
  <c r="G6076" i="1"/>
  <c r="D6076" i="1"/>
  <c r="G6075" i="1"/>
  <c r="D6075" i="1"/>
  <c r="G6074" i="1"/>
  <c r="D6074" i="1"/>
  <c r="G6073" i="1"/>
  <c r="D6073" i="1"/>
  <c r="G6072" i="1"/>
  <c r="D6072" i="1"/>
  <c r="G6071" i="1"/>
  <c r="D6071" i="1"/>
  <c r="G6070" i="1"/>
  <c r="D6070" i="1"/>
  <c r="G6069" i="1"/>
  <c r="D6069" i="1"/>
  <c r="G6068" i="1"/>
  <c r="D6068" i="1"/>
  <c r="G6067" i="1"/>
  <c r="D6067" i="1"/>
  <c r="G6066" i="1"/>
  <c r="D6066" i="1"/>
  <c r="G6065" i="1"/>
  <c r="D6065" i="1"/>
  <c r="G6064" i="1"/>
  <c r="D6064" i="1"/>
  <c r="G6063" i="1"/>
  <c r="D6063" i="1"/>
  <c r="G6062" i="1"/>
  <c r="D6062" i="1"/>
  <c r="G6061" i="1"/>
  <c r="D6061" i="1"/>
  <c r="G6060" i="1"/>
  <c r="D6060" i="1"/>
  <c r="G6059" i="1"/>
  <c r="D6059" i="1"/>
  <c r="G6058" i="1"/>
  <c r="D6058" i="1"/>
  <c r="G6057" i="1"/>
  <c r="D6057" i="1"/>
  <c r="G6056" i="1"/>
  <c r="D6056" i="1"/>
  <c r="G6055" i="1"/>
  <c r="D6055" i="1"/>
  <c r="G6054" i="1"/>
  <c r="D6054" i="1"/>
  <c r="G6053" i="1"/>
  <c r="D6053" i="1"/>
  <c r="G6052" i="1"/>
  <c r="D6052" i="1"/>
  <c r="G6051" i="1"/>
  <c r="D6051" i="1"/>
  <c r="G6050" i="1"/>
  <c r="D6050" i="1"/>
  <c r="G6049" i="1"/>
  <c r="D6049" i="1"/>
  <c r="G6048" i="1"/>
  <c r="D6048" i="1"/>
  <c r="G6047" i="1"/>
  <c r="D6047" i="1"/>
  <c r="G6046" i="1"/>
  <c r="D6046" i="1"/>
  <c r="G6045" i="1"/>
  <c r="D6045" i="1"/>
  <c r="G6044" i="1"/>
  <c r="D6044" i="1"/>
  <c r="G6043" i="1"/>
  <c r="D6043" i="1"/>
  <c r="G6042" i="1"/>
  <c r="D6042" i="1"/>
  <c r="G6041" i="1"/>
  <c r="D6041" i="1"/>
  <c r="G6040" i="1"/>
  <c r="D6040" i="1"/>
  <c r="G6039" i="1"/>
  <c r="D6039" i="1"/>
  <c r="G6038" i="1"/>
  <c r="D6038" i="1"/>
  <c r="G6037" i="1"/>
  <c r="D6037" i="1"/>
  <c r="G6036" i="1"/>
  <c r="D6036" i="1"/>
  <c r="G6035" i="1"/>
  <c r="D6035" i="1"/>
  <c r="G6034" i="1"/>
  <c r="D6034" i="1"/>
  <c r="G6033" i="1"/>
  <c r="D6033" i="1"/>
  <c r="G6032" i="1"/>
  <c r="D6032" i="1"/>
  <c r="G6031" i="1"/>
  <c r="D6031" i="1"/>
  <c r="G6030" i="1"/>
  <c r="D6030" i="1"/>
  <c r="G6029" i="1"/>
  <c r="D6029" i="1"/>
  <c r="G6028" i="1"/>
  <c r="D6028" i="1"/>
  <c r="G6027" i="1"/>
  <c r="D6027" i="1"/>
  <c r="G6026" i="1"/>
  <c r="D6026" i="1"/>
  <c r="G6025" i="1"/>
  <c r="D6025" i="1"/>
  <c r="G6024" i="1"/>
  <c r="D6024" i="1"/>
  <c r="G6023" i="1"/>
  <c r="D6023" i="1"/>
  <c r="G6022" i="1"/>
  <c r="D6022" i="1"/>
  <c r="G6021" i="1"/>
  <c r="D6021" i="1"/>
  <c r="G6020" i="1"/>
  <c r="D6020" i="1"/>
  <c r="G6019" i="1"/>
  <c r="D6019" i="1"/>
  <c r="G6018" i="1"/>
  <c r="D6018" i="1"/>
  <c r="G6017" i="1"/>
  <c r="D6017" i="1"/>
  <c r="G6016" i="1"/>
  <c r="D6016" i="1"/>
  <c r="G6015" i="1"/>
  <c r="D6015" i="1"/>
  <c r="G6014" i="1"/>
  <c r="D6014" i="1"/>
  <c r="G6013" i="1"/>
  <c r="D6013" i="1"/>
  <c r="G6012" i="1"/>
  <c r="D6012" i="1"/>
  <c r="G6011" i="1"/>
  <c r="D6011" i="1"/>
  <c r="G6010" i="1"/>
  <c r="D6010" i="1"/>
  <c r="G6009" i="1"/>
  <c r="D6009" i="1"/>
  <c r="G6008" i="1"/>
  <c r="D6008" i="1"/>
  <c r="G6007" i="1"/>
  <c r="D6007" i="1"/>
  <c r="G6006" i="1"/>
  <c r="D6006" i="1"/>
  <c r="G6005" i="1"/>
  <c r="D6005" i="1"/>
  <c r="G6004" i="1"/>
  <c r="D6004" i="1"/>
  <c r="G6003" i="1"/>
  <c r="D6003" i="1"/>
  <c r="G6002" i="1"/>
  <c r="D6002" i="1"/>
  <c r="G6001" i="1"/>
  <c r="D6001" i="1"/>
  <c r="G6000" i="1"/>
  <c r="D6000" i="1"/>
  <c r="G5999" i="1"/>
  <c r="D5999" i="1"/>
  <c r="G5998" i="1"/>
  <c r="D5998" i="1"/>
  <c r="G5997" i="1"/>
  <c r="D5997" i="1"/>
  <c r="G5996" i="1"/>
  <c r="D5996" i="1"/>
  <c r="G5995" i="1"/>
  <c r="D5995" i="1"/>
  <c r="G5994" i="1"/>
  <c r="D5994" i="1"/>
  <c r="G5993" i="1"/>
  <c r="D5993" i="1"/>
  <c r="G5992" i="1"/>
  <c r="D5992" i="1"/>
  <c r="G5991" i="1"/>
  <c r="D5991" i="1"/>
  <c r="G5990" i="1"/>
  <c r="D5990" i="1"/>
  <c r="G5989" i="1"/>
  <c r="D5989" i="1"/>
  <c r="G5988" i="1"/>
  <c r="D5988" i="1"/>
  <c r="G5987" i="1"/>
  <c r="D5987" i="1"/>
  <c r="G5986" i="1"/>
  <c r="D5986" i="1"/>
  <c r="G5985" i="1"/>
  <c r="D5985" i="1"/>
  <c r="G5984" i="1"/>
  <c r="D5984" i="1"/>
  <c r="G5983" i="1"/>
  <c r="D5983" i="1"/>
  <c r="G5982" i="1"/>
  <c r="D5982" i="1"/>
  <c r="G5981" i="1"/>
  <c r="D5981" i="1"/>
  <c r="G5980" i="1"/>
  <c r="D5980" i="1"/>
  <c r="G5979" i="1"/>
  <c r="D5979" i="1"/>
  <c r="G5978" i="1"/>
  <c r="D5978" i="1"/>
  <c r="G5977" i="1"/>
  <c r="D5977" i="1"/>
  <c r="G5976" i="1"/>
  <c r="D5976" i="1"/>
  <c r="G5975" i="1"/>
  <c r="D5975" i="1"/>
  <c r="G5974" i="1"/>
  <c r="D5974" i="1"/>
  <c r="G5973" i="1"/>
  <c r="D5973" i="1"/>
  <c r="G5972" i="1"/>
  <c r="D5972" i="1"/>
  <c r="G5971" i="1"/>
  <c r="D5971" i="1"/>
  <c r="G5970" i="1"/>
  <c r="D5970" i="1"/>
  <c r="G5969" i="1"/>
  <c r="D5969" i="1"/>
  <c r="G5968" i="1"/>
  <c r="D5968" i="1"/>
  <c r="G5967" i="1"/>
  <c r="D5967" i="1"/>
  <c r="G5966" i="1"/>
  <c r="D5966" i="1"/>
  <c r="G5965" i="1"/>
  <c r="D5965" i="1"/>
  <c r="G5964" i="1"/>
  <c r="D5964" i="1"/>
  <c r="G5963" i="1"/>
  <c r="D5963" i="1"/>
  <c r="G5962" i="1"/>
  <c r="D5962" i="1"/>
  <c r="G5961" i="1"/>
  <c r="D5961" i="1"/>
  <c r="G5960" i="1"/>
  <c r="D5960" i="1"/>
  <c r="G5959" i="1"/>
  <c r="D5959" i="1"/>
  <c r="G5958" i="1"/>
  <c r="D5958" i="1"/>
  <c r="G5957" i="1"/>
  <c r="D5957" i="1"/>
  <c r="G5956" i="1"/>
  <c r="D5956" i="1"/>
  <c r="G5955" i="1"/>
  <c r="D5955" i="1"/>
  <c r="G5954" i="1"/>
  <c r="D5954" i="1"/>
  <c r="G5953" i="1"/>
  <c r="D5953" i="1"/>
  <c r="G5952" i="1"/>
  <c r="D5952" i="1"/>
  <c r="G5951" i="1"/>
  <c r="D5951" i="1"/>
  <c r="G5950" i="1"/>
  <c r="D5950" i="1"/>
  <c r="G5949" i="1"/>
  <c r="D5949" i="1"/>
  <c r="G5948" i="1"/>
  <c r="D5948" i="1"/>
  <c r="G5947" i="1"/>
  <c r="D5947" i="1"/>
  <c r="G5946" i="1"/>
  <c r="D5946" i="1"/>
  <c r="G5945" i="1"/>
  <c r="D5945" i="1"/>
  <c r="G5944" i="1"/>
  <c r="D5944" i="1"/>
  <c r="G5943" i="1"/>
  <c r="D5943" i="1"/>
  <c r="G5942" i="1"/>
  <c r="D5942" i="1"/>
  <c r="G5941" i="1"/>
  <c r="D5941" i="1"/>
  <c r="G5940" i="1"/>
  <c r="D5940" i="1"/>
  <c r="G5939" i="1"/>
  <c r="D5939" i="1"/>
  <c r="G5938" i="1"/>
  <c r="D5938" i="1"/>
  <c r="G5937" i="1"/>
  <c r="D5937" i="1"/>
  <c r="G5936" i="1"/>
  <c r="D5936" i="1"/>
  <c r="G5935" i="1"/>
  <c r="D5935" i="1"/>
  <c r="G5934" i="1"/>
  <c r="D5934" i="1"/>
  <c r="G5933" i="1"/>
  <c r="D5933" i="1"/>
  <c r="G5932" i="1"/>
  <c r="D5932" i="1"/>
  <c r="G5931" i="1"/>
  <c r="D5931" i="1"/>
  <c r="G5930" i="1"/>
  <c r="D5930" i="1"/>
  <c r="G5929" i="1"/>
  <c r="D5929" i="1"/>
  <c r="G5928" i="1"/>
  <c r="D5928" i="1"/>
  <c r="G5927" i="1"/>
  <c r="D5927" i="1"/>
  <c r="G5926" i="1"/>
  <c r="D5926" i="1"/>
  <c r="G5925" i="1"/>
  <c r="D5925" i="1"/>
  <c r="G5924" i="1"/>
  <c r="D5924" i="1"/>
  <c r="G5923" i="1"/>
  <c r="D5923" i="1"/>
  <c r="G5922" i="1"/>
  <c r="D5922" i="1"/>
  <c r="G5921" i="1"/>
  <c r="D5921" i="1"/>
  <c r="G5920" i="1"/>
  <c r="D5920" i="1"/>
  <c r="G5919" i="1"/>
  <c r="D5919" i="1"/>
  <c r="G5918" i="1"/>
  <c r="D5918" i="1"/>
  <c r="G5917" i="1"/>
  <c r="D5917" i="1"/>
  <c r="G5916" i="1"/>
  <c r="D5916" i="1"/>
  <c r="G5915" i="1"/>
  <c r="D5915" i="1"/>
  <c r="G5914" i="1"/>
  <c r="D5914" i="1"/>
  <c r="G5913" i="1"/>
  <c r="D5913" i="1"/>
  <c r="G5912" i="1"/>
  <c r="D5912" i="1"/>
  <c r="G5911" i="1"/>
  <c r="D5911" i="1"/>
  <c r="G5910" i="1"/>
  <c r="D5910" i="1"/>
  <c r="G5909" i="1"/>
  <c r="D5909" i="1"/>
  <c r="G5908" i="1"/>
  <c r="D5908" i="1"/>
  <c r="G5907" i="1"/>
  <c r="D5907" i="1"/>
  <c r="G5906" i="1"/>
  <c r="D5906" i="1"/>
  <c r="G5905" i="1"/>
  <c r="D5905" i="1"/>
  <c r="G5904" i="1"/>
  <c r="D5904" i="1"/>
  <c r="G5903" i="1"/>
  <c r="D5903" i="1"/>
  <c r="G5902" i="1"/>
  <c r="D5902" i="1"/>
  <c r="G5901" i="1"/>
  <c r="D5901" i="1"/>
  <c r="G5900" i="1"/>
  <c r="D5900" i="1"/>
  <c r="G5899" i="1"/>
  <c r="D5899" i="1"/>
  <c r="G5898" i="1"/>
  <c r="D5898" i="1"/>
  <c r="G5897" i="1"/>
  <c r="D5897" i="1"/>
  <c r="G5896" i="1"/>
  <c r="D5896" i="1"/>
  <c r="G5895" i="1"/>
  <c r="D5895" i="1"/>
  <c r="G5894" i="1"/>
  <c r="D5894" i="1"/>
  <c r="G5893" i="1"/>
  <c r="D5893" i="1"/>
  <c r="G5892" i="1"/>
  <c r="D5892" i="1"/>
  <c r="G5891" i="1"/>
  <c r="D5891" i="1"/>
  <c r="G5890" i="1"/>
  <c r="D5890" i="1"/>
  <c r="G5889" i="1"/>
  <c r="D5889" i="1"/>
  <c r="G5888" i="1"/>
  <c r="D5888" i="1"/>
  <c r="G5887" i="1"/>
  <c r="D5887" i="1"/>
  <c r="G5886" i="1"/>
  <c r="D5886" i="1"/>
  <c r="G5885" i="1"/>
  <c r="D5885" i="1"/>
  <c r="G5884" i="1"/>
  <c r="D5884" i="1"/>
  <c r="G5883" i="1"/>
  <c r="D5883" i="1"/>
  <c r="G5882" i="1"/>
  <c r="D5882" i="1"/>
  <c r="G5881" i="1"/>
  <c r="D5881" i="1"/>
  <c r="G5880" i="1"/>
  <c r="D5880" i="1"/>
  <c r="G5879" i="1"/>
  <c r="D5879" i="1"/>
  <c r="G5878" i="1"/>
  <c r="D5878" i="1"/>
  <c r="G5877" i="1"/>
  <c r="D5877" i="1"/>
  <c r="G5876" i="1"/>
  <c r="D5876" i="1"/>
  <c r="G5875" i="1"/>
  <c r="D5875" i="1"/>
  <c r="G5874" i="1"/>
  <c r="D5874" i="1"/>
  <c r="G5873" i="1"/>
  <c r="D5873" i="1"/>
  <c r="G5872" i="1"/>
  <c r="D5872" i="1"/>
  <c r="G5871" i="1"/>
  <c r="D5871" i="1"/>
  <c r="G5870" i="1"/>
  <c r="D5870" i="1"/>
  <c r="G5869" i="1"/>
  <c r="D5869" i="1"/>
  <c r="G5868" i="1"/>
  <c r="D5868" i="1"/>
  <c r="G5867" i="1"/>
  <c r="D5867" i="1"/>
  <c r="G5866" i="1"/>
  <c r="D5866" i="1"/>
  <c r="G5865" i="1"/>
  <c r="D5865" i="1"/>
  <c r="G5864" i="1"/>
  <c r="D5864" i="1"/>
  <c r="G5863" i="1"/>
  <c r="D5863" i="1"/>
  <c r="G5862" i="1"/>
  <c r="D5862" i="1"/>
  <c r="G5861" i="1"/>
  <c r="D5861" i="1"/>
  <c r="G5860" i="1"/>
  <c r="D5860" i="1"/>
  <c r="G5859" i="1"/>
  <c r="D5859" i="1"/>
  <c r="G5858" i="1"/>
  <c r="D5858" i="1"/>
  <c r="G5857" i="1"/>
  <c r="D5857" i="1"/>
  <c r="G5856" i="1"/>
  <c r="D5856" i="1"/>
  <c r="G5855" i="1"/>
  <c r="D5855" i="1"/>
  <c r="G5854" i="1"/>
  <c r="D5854" i="1"/>
  <c r="G5853" i="1"/>
  <c r="D5853" i="1"/>
  <c r="G5852" i="1"/>
  <c r="D5852" i="1"/>
  <c r="G5851" i="1"/>
  <c r="D5851" i="1"/>
  <c r="G5850" i="1"/>
  <c r="D5850" i="1"/>
  <c r="G5849" i="1"/>
  <c r="D5849" i="1"/>
  <c r="G5848" i="1"/>
  <c r="D5848" i="1"/>
  <c r="G5847" i="1"/>
  <c r="D5847" i="1"/>
  <c r="G5846" i="1"/>
  <c r="D5846" i="1"/>
  <c r="G5845" i="1"/>
  <c r="D5845" i="1"/>
  <c r="G5844" i="1"/>
  <c r="D5844" i="1"/>
  <c r="G5843" i="1"/>
  <c r="D5843" i="1"/>
  <c r="G5842" i="1"/>
  <c r="D5842" i="1"/>
  <c r="G5841" i="1"/>
  <c r="D5841" i="1"/>
  <c r="G5840" i="1"/>
  <c r="D5840" i="1"/>
  <c r="G5839" i="1"/>
  <c r="D5839" i="1"/>
  <c r="G5838" i="1"/>
  <c r="D5838" i="1"/>
  <c r="G5837" i="1"/>
  <c r="D5837" i="1"/>
  <c r="G5836" i="1"/>
  <c r="D5836" i="1"/>
  <c r="G5835" i="1"/>
  <c r="D5835" i="1"/>
  <c r="G5834" i="1"/>
  <c r="D5834" i="1"/>
  <c r="G5833" i="1"/>
  <c r="D5833" i="1"/>
  <c r="G5832" i="1"/>
  <c r="D5832" i="1"/>
  <c r="G5831" i="1"/>
  <c r="D5831" i="1"/>
  <c r="G5830" i="1"/>
  <c r="D5830" i="1"/>
  <c r="G5829" i="1"/>
  <c r="D5829" i="1"/>
  <c r="G5828" i="1"/>
  <c r="D5828" i="1"/>
  <c r="G5827" i="1"/>
  <c r="D5827" i="1"/>
  <c r="G5826" i="1"/>
  <c r="D5826" i="1"/>
  <c r="G5825" i="1"/>
  <c r="D5825" i="1"/>
  <c r="G5824" i="1"/>
  <c r="D5824" i="1"/>
  <c r="G5823" i="1"/>
  <c r="D5823" i="1"/>
  <c r="G5822" i="1"/>
  <c r="D5822" i="1"/>
  <c r="G5821" i="1"/>
  <c r="D5821" i="1"/>
  <c r="G5820" i="1"/>
  <c r="D5820" i="1"/>
  <c r="G5819" i="1"/>
  <c r="D5819" i="1"/>
  <c r="G5818" i="1"/>
  <c r="D5818" i="1"/>
  <c r="G5817" i="1"/>
  <c r="D5817" i="1"/>
  <c r="G5816" i="1"/>
  <c r="D5816" i="1"/>
  <c r="G5815" i="1"/>
  <c r="D5815" i="1"/>
  <c r="G5814" i="1"/>
  <c r="D5814" i="1"/>
  <c r="G5813" i="1"/>
  <c r="D5813" i="1"/>
  <c r="G5812" i="1"/>
  <c r="D5812" i="1"/>
  <c r="G5811" i="1"/>
  <c r="D5811" i="1"/>
  <c r="G5810" i="1"/>
  <c r="D5810" i="1"/>
  <c r="G5809" i="1"/>
  <c r="D5809" i="1"/>
  <c r="G5808" i="1"/>
  <c r="D5808" i="1"/>
  <c r="G5807" i="1"/>
  <c r="D5807" i="1"/>
  <c r="G5806" i="1"/>
  <c r="D5806" i="1"/>
  <c r="G5805" i="1"/>
  <c r="D5805" i="1"/>
  <c r="G5804" i="1"/>
  <c r="D5804" i="1"/>
  <c r="G5803" i="1"/>
  <c r="D5803" i="1"/>
  <c r="G5802" i="1"/>
  <c r="D5802" i="1"/>
  <c r="G5801" i="1"/>
  <c r="D5801" i="1"/>
  <c r="G5800" i="1"/>
  <c r="D5800" i="1"/>
  <c r="G5799" i="1"/>
  <c r="D5799" i="1"/>
  <c r="G5798" i="1"/>
  <c r="D5798" i="1"/>
  <c r="G5797" i="1"/>
  <c r="D5797" i="1"/>
  <c r="G5796" i="1"/>
  <c r="D5796" i="1"/>
  <c r="G5795" i="1"/>
  <c r="D5795" i="1"/>
  <c r="G5794" i="1"/>
  <c r="D5794" i="1"/>
  <c r="G5793" i="1"/>
  <c r="D5793" i="1"/>
  <c r="G5792" i="1"/>
  <c r="D5792" i="1"/>
  <c r="G5791" i="1"/>
  <c r="D5791" i="1"/>
  <c r="G5790" i="1"/>
  <c r="D5790" i="1"/>
  <c r="G5789" i="1"/>
  <c r="D5789" i="1"/>
  <c r="G5788" i="1"/>
  <c r="D5788" i="1"/>
  <c r="G5787" i="1"/>
  <c r="D5787" i="1"/>
  <c r="G5786" i="1"/>
  <c r="D5786" i="1"/>
  <c r="G5785" i="1"/>
  <c r="D5785" i="1"/>
  <c r="G5784" i="1"/>
  <c r="D5784" i="1"/>
  <c r="G5783" i="1"/>
  <c r="D5783" i="1"/>
  <c r="G5782" i="1"/>
  <c r="D5782" i="1"/>
  <c r="G5781" i="1"/>
  <c r="D5781" i="1"/>
  <c r="G5780" i="1"/>
  <c r="D5780" i="1"/>
  <c r="G5779" i="1"/>
  <c r="D5779" i="1"/>
  <c r="G5778" i="1"/>
  <c r="D5778" i="1"/>
  <c r="G5777" i="1"/>
  <c r="D5777" i="1"/>
  <c r="G5776" i="1"/>
  <c r="D5776" i="1"/>
  <c r="G5775" i="1"/>
  <c r="D5775" i="1"/>
  <c r="G5774" i="1"/>
  <c r="D5774" i="1"/>
  <c r="G5773" i="1"/>
  <c r="D5773" i="1"/>
  <c r="G5772" i="1"/>
  <c r="D5772" i="1"/>
  <c r="G5771" i="1"/>
  <c r="D5771" i="1"/>
  <c r="G5770" i="1"/>
  <c r="D5770" i="1"/>
  <c r="G5769" i="1"/>
  <c r="D5769" i="1"/>
  <c r="G5768" i="1"/>
  <c r="D5768" i="1"/>
  <c r="G5767" i="1"/>
  <c r="D5767" i="1"/>
  <c r="G5766" i="1"/>
  <c r="D5766" i="1"/>
  <c r="G5765" i="1"/>
  <c r="D5765" i="1"/>
  <c r="G5764" i="1"/>
  <c r="D5764" i="1"/>
  <c r="G5763" i="1"/>
  <c r="D5763" i="1"/>
  <c r="G5762" i="1"/>
  <c r="D5762" i="1"/>
  <c r="G5761" i="1"/>
  <c r="D5761" i="1"/>
  <c r="G5760" i="1"/>
  <c r="D5760" i="1"/>
  <c r="G5759" i="1"/>
  <c r="D5759" i="1"/>
  <c r="G5758" i="1"/>
  <c r="D5758" i="1"/>
  <c r="G5757" i="1"/>
  <c r="D5757" i="1"/>
  <c r="G5756" i="1"/>
  <c r="D5756" i="1"/>
  <c r="G5755" i="1"/>
  <c r="D5755" i="1"/>
  <c r="G5754" i="1"/>
  <c r="D5754" i="1"/>
  <c r="G5753" i="1"/>
  <c r="D5753" i="1"/>
  <c r="G5752" i="1"/>
  <c r="D5752" i="1"/>
  <c r="G5751" i="1"/>
  <c r="D5751" i="1"/>
  <c r="G5750" i="1"/>
  <c r="D5750" i="1"/>
  <c r="G5749" i="1"/>
  <c r="D5749" i="1"/>
  <c r="G5748" i="1"/>
  <c r="D5748" i="1"/>
  <c r="G5747" i="1"/>
  <c r="D5747" i="1"/>
  <c r="G5746" i="1"/>
  <c r="D5746" i="1"/>
  <c r="G5745" i="1"/>
  <c r="D5745" i="1"/>
  <c r="G5744" i="1"/>
  <c r="D5744" i="1"/>
  <c r="G5743" i="1"/>
  <c r="D5743" i="1"/>
  <c r="G5742" i="1"/>
  <c r="D5742" i="1"/>
  <c r="G5741" i="1"/>
  <c r="D5741" i="1"/>
  <c r="G5740" i="1"/>
  <c r="D5740" i="1"/>
  <c r="G5739" i="1"/>
  <c r="D5739" i="1"/>
  <c r="G5738" i="1"/>
  <c r="D5738" i="1"/>
  <c r="G5737" i="1"/>
  <c r="D5737" i="1"/>
  <c r="G5736" i="1"/>
  <c r="D5736" i="1"/>
  <c r="G5735" i="1"/>
  <c r="D5735" i="1"/>
  <c r="G5734" i="1"/>
  <c r="D5734" i="1"/>
  <c r="G5733" i="1"/>
  <c r="D5733" i="1"/>
  <c r="G5732" i="1"/>
  <c r="D5732" i="1"/>
  <c r="G5731" i="1"/>
  <c r="D5731" i="1"/>
  <c r="G5730" i="1"/>
  <c r="D5730" i="1"/>
  <c r="G5729" i="1"/>
  <c r="D5729" i="1"/>
  <c r="G5728" i="1"/>
  <c r="D5728" i="1"/>
  <c r="G5727" i="1"/>
  <c r="D5727" i="1"/>
  <c r="G5726" i="1"/>
  <c r="D5726" i="1"/>
  <c r="G5725" i="1"/>
  <c r="D5725" i="1"/>
  <c r="G5724" i="1"/>
  <c r="D5724" i="1"/>
  <c r="G5723" i="1"/>
  <c r="D5723" i="1"/>
  <c r="G5722" i="1"/>
  <c r="D5722" i="1"/>
  <c r="G5721" i="1"/>
  <c r="D5721" i="1"/>
  <c r="G5720" i="1"/>
  <c r="D5720" i="1"/>
  <c r="G5719" i="1"/>
  <c r="D5719" i="1"/>
  <c r="G5718" i="1"/>
  <c r="D5718" i="1"/>
  <c r="G5717" i="1"/>
  <c r="D5717" i="1"/>
  <c r="G5716" i="1"/>
  <c r="D5716" i="1"/>
  <c r="G5715" i="1"/>
  <c r="D5715" i="1"/>
  <c r="G5714" i="1"/>
  <c r="D5714" i="1"/>
  <c r="G5713" i="1"/>
  <c r="D5713" i="1"/>
  <c r="G5712" i="1"/>
  <c r="D5712" i="1"/>
  <c r="G5711" i="1"/>
  <c r="D5711" i="1"/>
  <c r="G5710" i="1"/>
  <c r="D5710" i="1"/>
  <c r="G5709" i="1"/>
  <c r="D5709" i="1"/>
  <c r="G5708" i="1"/>
  <c r="D5708" i="1"/>
  <c r="G5707" i="1"/>
  <c r="D5707" i="1"/>
  <c r="G5706" i="1"/>
  <c r="D5706" i="1"/>
  <c r="G5705" i="1"/>
  <c r="D5705" i="1"/>
  <c r="G5704" i="1"/>
  <c r="D5704" i="1"/>
  <c r="G5703" i="1"/>
  <c r="D5703" i="1"/>
  <c r="G5702" i="1"/>
  <c r="D5702" i="1"/>
  <c r="G5701" i="1"/>
  <c r="D5701" i="1"/>
  <c r="G5700" i="1"/>
  <c r="D5700" i="1"/>
  <c r="G5699" i="1"/>
  <c r="D5699" i="1"/>
  <c r="G5698" i="1"/>
  <c r="D5698" i="1"/>
  <c r="G5697" i="1"/>
  <c r="D5697" i="1"/>
  <c r="G5696" i="1"/>
  <c r="D5696" i="1"/>
  <c r="G5695" i="1"/>
  <c r="D5695" i="1"/>
  <c r="G5694" i="1"/>
  <c r="D5694" i="1"/>
  <c r="G5693" i="1"/>
  <c r="D5693" i="1"/>
  <c r="G5692" i="1"/>
  <c r="D5692" i="1"/>
  <c r="G5691" i="1"/>
  <c r="D5691" i="1"/>
  <c r="G5690" i="1"/>
  <c r="D5690" i="1"/>
  <c r="G5689" i="1"/>
  <c r="D5689" i="1"/>
  <c r="G5688" i="1"/>
  <c r="D5688" i="1"/>
  <c r="G5687" i="1"/>
  <c r="D5687" i="1"/>
  <c r="G5686" i="1"/>
  <c r="D5686" i="1"/>
  <c r="G5685" i="1"/>
  <c r="D5685" i="1"/>
  <c r="G5684" i="1"/>
  <c r="D5684" i="1"/>
  <c r="G5683" i="1"/>
  <c r="D5683" i="1"/>
  <c r="G5682" i="1"/>
  <c r="D5682" i="1"/>
  <c r="G5681" i="1"/>
  <c r="D5681" i="1"/>
  <c r="G5680" i="1"/>
  <c r="D5680" i="1"/>
  <c r="G5679" i="1"/>
  <c r="D5679" i="1"/>
  <c r="G5678" i="1"/>
  <c r="D5678" i="1"/>
  <c r="G5677" i="1"/>
  <c r="D5677" i="1"/>
  <c r="G5676" i="1"/>
  <c r="D5676" i="1"/>
  <c r="G5675" i="1"/>
  <c r="D5675" i="1"/>
  <c r="G5674" i="1"/>
  <c r="D5674" i="1"/>
  <c r="G5673" i="1"/>
  <c r="D5673" i="1"/>
  <c r="G5672" i="1"/>
  <c r="D5672" i="1"/>
  <c r="G5671" i="1"/>
  <c r="D5671" i="1"/>
  <c r="G5670" i="1"/>
  <c r="D5670" i="1"/>
  <c r="G5669" i="1"/>
  <c r="D5669" i="1"/>
  <c r="G5668" i="1"/>
  <c r="D5668" i="1"/>
  <c r="G5667" i="1"/>
  <c r="D5667" i="1"/>
  <c r="G5666" i="1"/>
  <c r="D5666" i="1"/>
  <c r="G5665" i="1"/>
  <c r="D5665" i="1"/>
  <c r="G5664" i="1"/>
  <c r="D5664" i="1"/>
  <c r="G5663" i="1"/>
  <c r="D5663" i="1"/>
  <c r="G5662" i="1"/>
  <c r="D5662" i="1"/>
  <c r="G5661" i="1"/>
  <c r="D5661" i="1"/>
  <c r="G5660" i="1"/>
  <c r="D5660" i="1"/>
  <c r="G5659" i="1"/>
  <c r="D5659" i="1"/>
  <c r="G5658" i="1"/>
  <c r="D5658" i="1"/>
  <c r="G5657" i="1"/>
  <c r="D5657" i="1"/>
  <c r="G5656" i="1"/>
  <c r="D5656" i="1"/>
  <c r="G5655" i="1"/>
  <c r="D5655" i="1"/>
  <c r="G5654" i="1"/>
  <c r="D5654" i="1"/>
  <c r="G5653" i="1"/>
  <c r="D5653" i="1"/>
  <c r="G5652" i="1"/>
  <c r="D5652" i="1"/>
  <c r="G5651" i="1"/>
  <c r="D5651" i="1"/>
  <c r="G5650" i="1"/>
  <c r="D5650" i="1"/>
  <c r="G5649" i="1"/>
  <c r="D5649" i="1"/>
  <c r="G5648" i="1"/>
  <c r="D5648" i="1"/>
  <c r="G5647" i="1"/>
  <c r="D5647" i="1"/>
  <c r="G5646" i="1"/>
  <c r="D5646" i="1"/>
  <c r="G5645" i="1"/>
  <c r="D5645" i="1"/>
  <c r="G5644" i="1"/>
  <c r="D5644" i="1"/>
  <c r="G5643" i="1"/>
  <c r="D5643" i="1"/>
  <c r="G5642" i="1"/>
  <c r="D5642" i="1"/>
  <c r="G5641" i="1"/>
  <c r="D5641" i="1"/>
  <c r="G5640" i="1"/>
  <c r="D5640" i="1"/>
  <c r="G5639" i="1"/>
  <c r="D5639" i="1"/>
  <c r="G5638" i="1"/>
  <c r="D5638" i="1"/>
  <c r="G5637" i="1"/>
  <c r="D5637" i="1"/>
  <c r="G5636" i="1"/>
  <c r="D5636" i="1"/>
  <c r="G5635" i="1"/>
  <c r="D5635" i="1"/>
  <c r="G5634" i="1"/>
  <c r="D5634" i="1"/>
  <c r="G5633" i="1"/>
  <c r="D5633" i="1"/>
  <c r="G5632" i="1"/>
  <c r="D5632" i="1"/>
  <c r="G5631" i="1"/>
  <c r="D5631" i="1"/>
  <c r="G5630" i="1"/>
  <c r="D5630" i="1"/>
  <c r="G5629" i="1"/>
  <c r="D5629" i="1"/>
  <c r="G5628" i="1"/>
  <c r="D5628" i="1"/>
  <c r="G5627" i="1"/>
  <c r="D5627" i="1"/>
  <c r="G5626" i="1"/>
  <c r="D5626" i="1"/>
  <c r="G5625" i="1"/>
  <c r="D5625" i="1"/>
  <c r="G5624" i="1"/>
  <c r="D5624" i="1"/>
  <c r="G5623" i="1"/>
  <c r="D5623" i="1"/>
  <c r="G5622" i="1"/>
  <c r="D5622" i="1"/>
  <c r="G5621" i="1"/>
  <c r="D5621" i="1"/>
  <c r="G5620" i="1"/>
  <c r="D5620" i="1"/>
  <c r="G5619" i="1"/>
  <c r="D5619" i="1"/>
  <c r="G5618" i="1"/>
  <c r="D5618" i="1"/>
  <c r="G5617" i="1"/>
  <c r="D5617" i="1"/>
  <c r="G5616" i="1"/>
  <c r="D5616" i="1"/>
  <c r="G5615" i="1"/>
  <c r="D5615" i="1"/>
  <c r="G5614" i="1"/>
  <c r="D5614" i="1"/>
  <c r="G5613" i="1"/>
  <c r="D5613" i="1"/>
  <c r="G5612" i="1"/>
  <c r="D5612" i="1"/>
  <c r="G5611" i="1"/>
  <c r="D5611" i="1"/>
  <c r="G5610" i="1"/>
  <c r="D5610" i="1"/>
  <c r="G5609" i="1"/>
  <c r="D5609" i="1"/>
  <c r="G5608" i="1"/>
  <c r="D5608" i="1"/>
  <c r="G5607" i="1"/>
  <c r="D5607" i="1"/>
  <c r="G5606" i="1"/>
  <c r="D5606" i="1"/>
  <c r="G5605" i="1"/>
  <c r="D5605" i="1"/>
  <c r="G5604" i="1"/>
  <c r="D5604" i="1"/>
  <c r="G5603" i="1"/>
  <c r="D5603" i="1"/>
  <c r="G5602" i="1"/>
  <c r="D5602" i="1"/>
  <c r="G5601" i="1"/>
  <c r="D5601" i="1"/>
  <c r="G5600" i="1"/>
  <c r="D5600" i="1"/>
  <c r="G5599" i="1"/>
  <c r="D5599" i="1"/>
  <c r="G5598" i="1"/>
  <c r="D5598" i="1"/>
  <c r="G5597" i="1"/>
  <c r="D5597" i="1"/>
  <c r="G5596" i="1"/>
  <c r="D5596" i="1"/>
  <c r="G5595" i="1"/>
  <c r="D5595" i="1"/>
  <c r="G5594" i="1"/>
  <c r="D5594" i="1"/>
  <c r="G5593" i="1"/>
  <c r="D5593" i="1"/>
  <c r="G5592" i="1"/>
  <c r="D5592" i="1"/>
  <c r="G5591" i="1"/>
  <c r="D5591" i="1"/>
  <c r="G5590" i="1"/>
  <c r="D5590" i="1"/>
  <c r="G5589" i="1"/>
  <c r="D5589" i="1"/>
  <c r="G5588" i="1"/>
  <c r="D5588" i="1"/>
  <c r="G5587" i="1"/>
  <c r="D5587" i="1"/>
  <c r="G5586" i="1"/>
  <c r="D5586" i="1"/>
  <c r="G5585" i="1"/>
  <c r="D5585" i="1"/>
  <c r="G5584" i="1"/>
  <c r="D5584" i="1"/>
  <c r="G5583" i="1"/>
  <c r="D5583" i="1"/>
  <c r="G5582" i="1"/>
  <c r="D5582" i="1"/>
  <c r="G5581" i="1"/>
  <c r="D5581" i="1"/>
  <c r="G5580" i="1"/>
  <c r="D5580" i="1"/>
  <c r="G5579" i="1"/>
  <c r="D5579" i="1"/>
  <c r="G5578" i="1"/>
  <c r="D5578" i="1"/>
  <c r="G5577" i="1"/>
  <c r="D5577" i="1"/>
  <c r="G5576" i="1"/>
  <c r="D5576" i="1"/>
  <c r="G5575" i="1"/>
  <c r="D5575" i="1"/>
  <c r="G5574" i="1"/>
  <c r="D5574" i="1"/>
  <c r="G5573" i="1"/>
  <c r="D5573" i="1"/>
  <c r="G5572" i="1"/>
  <c r="D5572" i="1"/>
  <c r="G5571" i="1"/>
  <c r="D5571" i="1"/>
  <c r="G5570" i="1"/>
  <c r="D5570" i="1"/>
  <c r="G5569" i="1"/>
  <c r="D5569" i="1"/>
  <c r="G5568" i="1"/>
  <c r="D5568" i="1"/>
  <c r="G5567" i="1"/>
  <c r="D5567" i="1"/>
  <c r="G5566" i="1"/>
  <c r="D5566" i="1"/>
  <c r="G5565" i="1"/>
  <c r="D5565" i="1"/>
  <c r="G5564" i="1"/>
  <c r="D5564" i="1"/>
  <c r="G5563" i="1"/>
  <c r="D5563" i="1"/>
  <c r="G5562" i="1"/>
  <c r="D5562" i="1"/>
  <c r="G5561" i="1"/>
  <c r="D5561" i="1"/>
  <c r="G5560" i="1"/>
  <c r="D5560" i="1"/>
  <c r="G5559" i="1"/>
  <c r="D5559" i="1"/>
  <c r="G5558" i="1"/>
  <c r="D5558" i="1"/>
  <c r="G5557" i="1"/>
  <c r="D5557" i="1"/>
  <c r="G5556" i="1"/>
  <c r="D5556" i="1"/>
  <c r="G5555" i="1"/>
  <c r="D5555" i="1"/>
  <c r="G5554" i="1"/>
  <c r="D5554" i="1"/>
  <c r="G5553" i="1"/>
  <c r="D5553" i="1"/>
  <c r="G5552" i="1"/>
  <c r="D5552" i="1"/>
  <c r="G5551" i="1"/>
  <c r="D5551" i="1"/>
  <c r="G5550" i="1"/>
  <c r="D5550" i="1"/>
  <c r="G5549" i="1"/>
  <c r="D5549" i="1"/>
  <c r="G5548" i="1"/>
  <c r="D5548" i="1"/>
  <c r="G5547" i="1"/>
  <c r="D5547" i="1"/>
  <c r="G5546" i="1"/>
  <c r="D5546" i="1"/>
  <c r="G5545" i="1"/>
  <c r="D5545" i="1"/>
  <c r="G5544" i="1"/>
  <c r="D5544" i="1"/>
  <c r="G5543" i="1"/>
  <c r="D5543" i="1"/>
  <c r="G5542" i="1"/>
  <c r="D5542" i="1"/>
  <c r="G5541" i="1"/>
  <c r="D5541" i="1"/>
  <c r="G5540" i="1"/>
  <c r="D5540" i="1"/>
  <c r="G5539" i="1"/>
  <c r="D5539" i="1"/>
  <c r="G5538" i="1"/>
  <c r="D5538" i="1"/>
  <c r="G5537" i="1"/>
  <c r="D5537" i="1"/>
  <c r="G5536" i="1"/>
  <c r="D5536" i="1"/>
  <c r="G5535" i="1"/>
  <c r="D5535" i="1"/>
  <c r="G5534" i="1"/>
  <c r="D5534" i="1"/>
  <c r="G5533" i="1"/>
  <c r="D5533" i="1"/>
  <c r="G5532" i="1"/>
  <c r="D5532" i="1"/>
  <c r="G5531" i="1"/>
  <c r="D5531" i="1"/>
  <c r="G5530" i="1"/>
  <c r="D5530" i="1"/>
  <c r="G5529" i="1"/>
  <c r="D5529" i="1"/>
  <c r="G5528" i="1"/>
  <c r="D5528" i="1"/>
  <c r="G5527" i="1"/>
  <c r="D5527" i="1"/>
  <c r="G5526" i="1"/>
  <c r="D5526" i="1"/>
  <c r="G5525" i="1"/>
  <c r="D5525" i="1"/>
  <c r="G5524" i="1"/>
  <c r="D5524" i="1"/>
  <c r="G5523" i="1"/>
  <c r="D5523" i="1"/>
  <c r="G5522" i="1"/>
  <c r="D5522" i="1"/>
  <c r="G5521" i="1"/>
  <c r="D5521" i="1"/>
  <c r="G5520" i="1"/>
  <c r="D5520" i="1"/>
  <c r="G5519" i="1"/>
  <c r="D5519" i="1"/>
  <c r="G5518" i="1"/>
  <c r="D5518" i="1"/>
  <c r="G5517" i="1"/>
  <c r="D5517" i="1"/>
  <c r="G5516" i="1"/>
  <c r="D5516" i="1"/>
  <c r="G5515" i="1"/>
  <c r="D5515" i="1"/>
  <c r="G5514" i="1"/>
  <c r="D5514" i="1"/>
  <c r="G5513" i="1"/>
  <c r="D5513" i="1"/>
  <c r="G5512" i="1"/>
  <c r="D5512" i="1"/>
  <c r="G5511" i="1"/>
  <c r="D5511" i="1"/>
  <c r="G5510" i="1"/>
  <c r="D5510" i="1"/>
  <c r="G5509" i="1"/>
  <c r="D5509" i="1"/>
  <c r="G5508" i="1"/>
  <c r="D5508" i="1"/>
  <c r="G5507" i="1"/>
  <c r="D5507" i="1"/>
  <c r="G5506" i="1"/>
  <c r="D5506" i="1"/>
  <c r="G5505" i="1"/>
  <c r="D5505" i="1"/>
  <c r="G5504" i="1"/>
  <c r="D5504" i="1"/>
  <c r="G5503" i="1"/>
  <c r="D5503" i="1"/>
  <c r="G5502" i="1"/>
  <c r="D5502" i="1"/>
  <c r="G5501" i="1"/>
  <c r="D5501" i="1"/>
  <c r="G5500" i="1"/>
  <c r="D5500" i="1"/>
  <c r="G5499" i="1"/>
  <c r="D5499" i="1"/>
  <c r="G5498" i="1"/>
  <c r="D5498" i="1"/>
  <c r="G5497" i="1"/>
  <c r="D5497" i="1"/>
  <c r="G5496" i="1"/>
  <c r="D5496" i="1"/>
  <c r="G5495" i="1"/>
  <c r="D5495" i="1"/>
  <c r="G5494" i="1"/>
  <c r="D5494" i="1"/>
  <c r="G5493" i="1"/>
  <c r="D5493" i="1"/>
  <c r="G5492" i="1"/>
  <c r="D5492" i="1"/>
  <c r="G5491" i="1"/>
  <c r="D5491" i="1"/>
  <c r="G5490" i="1"/>
  <c r="D5490" i="1"/>
  <c r="G5489" i="1"/>
  <c r="D5489" i="1"/>
  <c r="G5488" i="1"/>
  <c r="D5488" i="1"/>
  <c r="G5487" i="1"/>
  <c r="D5487" i="1"/>
  <c r="G5486" i="1"/>
  <c r="D5486" i="1"/>
  <c r="G5485" i="1"/>
  <c r="D5485" i="1"/>
  <c r="G5484" i="1"/>
  <c r="D5484" i="1"/>
  <c r="G5483" i="1"/>
  <c r="D5483" i="1"/>
  <c r="G5482" i="1"/>
  <c r="D5482" i="1"/>
  <c r="G5481" i="1"/>
  <c r="D5481" i="1"/>
  <c r="G5480" i="1"/>
  <c r="D5480" i="1"/>
  <c r="G5479" i="1"/>
  <c r="D5479" i="1"/>
  <c r="G5478" i="1"/>
  <c r="D5478" i="1"/>
  <c r="G5477" i="1"/>
  <c r="D5477" i="1"/>
  <c r="G5476" i="1"/>
  <c r="D5476" i="1"/>
  <c r="G5475" i="1"/>
  <c r="D5475" i="1"/>
  <c r="G5474" i="1"/>
  <c r="D5474" i="1"/>
  <c r="G5473" i="1"/>
  <c r="D5473" i="1"/>
  <c r="G5472" i="1"/>
  <c r="D5472" i="1"/>
  <c r="G5471" i="1"/>
  <c r="D5471" i="1"/>
  <c r="G5470" i="1"/>
  <c r="D5470" i="1"/>
  <c r="G5469" i="1"/>
  <c r="D5469" i="1"/>
  <c r="G5468" i="1"/>
  <c r="D5468" i="1"/>
  <c r="G5467" i="1"/>
  <c r="D5467" i="1"/>
  <c r="G5466" i="1"/>
  <c r="D5466" i="1"/>
  <c r="G5465" i="1"/>
  <c r="D5465" i="1"/>
  <c r="G5464" i="1"/>
  <c r="D5464" i="1"/>
  <c r="G5463" i="1"/>
  <c r="D5463" i="1"/>
  <c r="G5462" i="1"/>
  <c r="D5462" i="1"/>
  <c r="G5461" i="1"/>
  <c r="D5461" i="1"/>
  <c r="G5460" i="1"/>
  <c r="D5460" i="1"/>
  <c r="G5459" i="1"/>
  <c r="D5459" i="1"/>
  <c r="G5458" i="1"/>
  <c r="D5458" i="1"/>
  <c r="G5457" i="1"/>
  <c r="D5457" i="1"/>
  <c r="G5456" i="1"/>
  <c r="D5456" i="1"/>
  <c r="G5455" i="1"/>
  <c r="D5455" i="1"/>
  <c r="G5454" i="1"/>
  <c r="D5454" i="1"/>
  <c r="G5453" i="1"/>
  <c r="D5453" i="1"/>
  <c r="G5452" i="1"/>
  <c r="D5452" i="1"/>
  <c r="G5451" i="1"/>
  <c r="D5451" i="1"/>
  <c r="G5450" i="1"/>
  <c r="D5450" i="1"/>
  <c r="G5449" i="1"/>
  <c r="D5449" i="1"/>
  <c r="G5448" i="1"/>
  <c r="D5448" i="1"/>
  <c r="G5447" i="1"/>
  <c r="D5447" i="1"/>
  <c r="G5446" i="1"/>
  <c r="D5446" i="1"/>
  <c r="G5445" i="1"/>
  <c r="D5445" i="1"/>
  <c r="G5444" i="1"/>
  <c r="D5444" i="1"/>
  <c r="G5443" i="1"/>
  <c r="D5443" i="1"/>
  <c r="G5442" i="1"/>
  <c r="D5442" i="1"/>
  <c r="G5441" i="1"/>
  <c r="D5441" i="1"/>
  <c r="G5440" i="1"/>
  <c r="D5440" i="1"/>
  <c r="G5439" i="1"/>
  <c r="D5439" i="1"/>
  <c r="G5438" i="1"/>
  <c r="D5438" i="1"/>
  <c r="G5437" i="1"/>
  <c r="D5437" i="1"/>
  <c r="G5436" i="1"/>
  <c r="D5436" i="1"/>
  <c r="G5435" i="1"/>
  <c r="D5435" i="1"/>
  <c r="G5434" i="1"/>
  <c r="D5434" i="1"/>
  <c r="G5433" i="1"/>
  <c r="D5433" i="1"/>
  <c r="G5432" i="1"/>
  <c r="D5432" i="1"/>
  <c r="G5431" i="1"/>
  <c r="D5431" i="1"/>
  <c r="G5430" i="1"/>
  <c r="D5430" i="1"/>
  <c r="G5429" i="1"/>
  <c r="D5429" i="1"/>
  <c r="G5428" i="1"/>
  <c r="D5428" i="1"/>
  <c r="G5427" i="1"/>
  <c r="D5427" i="1"/>
  <c r="G5426" i="1"/>
  <c r="D5426" i="1"/>
  <c r="G5425" i="1"/>
  <c r="D5425" i="1"/>
  <c r="G5424" i="1"/>
  <c r="D5424" i="1"/>
  <c r="G5423" i="1"/>
  <c r="D5423" i="1"/>
  <c r="G5422" i="1"/>
  <c r="D5422" i="1"/>
  <c r="G5421" i="1"/>
  <c r="D5421" i="1"/>
  <c r="G5420" i="1"/>
  <c r="D5420" i="1"/>
  <c r="G5419" i="1"/>
  <c r="D5419" i="1"/>
  <c r="G5418" i="1"/>
  <c r="D5418" i="1"/>
  <c r="G5417" i="1"/>
  <c r="D5417" i="1"/>
  <c r="G5416" i="1"/>
  <c r="D5416" i="1"/>
  <c r="G5415" i="1"/>
  <c r="D5415" i="1"/>
  <c r="G5414" i="1"/>
  <c r="D5414" i="1"/>
  <c r="G5413" i="1"/>
  <c r="D5413" i="1"/>
  <c r="G5412" i="1"/>
  <c r="D5412" i="1"/>
  <c r="G5411" i="1"/>
  <c r="D5411" i="1"/>
  <c r="G5410" i="1"/>
  <c r="D5410" i="1"/>
  <c r="G5409" i="1"/>
  <c r="D5409" i="1"/>
  <c r="G5408" i="1"/>
  <c r="D5408" i="1"/>
  <c r="G5407" i="1"/>
  <c r="D5407" i="1"/>
  <c r="G5406" i="1"/>
  <c r="D5406" i="1"/>
  <c r="G5405" i="1"/>
  <c r="D5405" i="1"/>
  <c r="G5404" i="1"/>
  <c r="D5404" i="1"/>
  <c r="G5403" i="1"/>
  <c r="D5403" i="1"/>
  <c r="G5402" i="1"/>
  <c r="D5402" i="1"/>
  <c r="G5401" i="1"/>
  <c r="D5401" i="1"/>
  <c r="G5400" i="1"/>
  <c r="D5400" i="1"/>
  <c r="G5399" i="1"/>
  <c r="D5399" i="1"/>
  <c r="G5398" i="1"/>
  <c r="D5398" i="1"/>
  <c r="G5397" i="1"/>
  <c r="D5397" i="1"/>
  <c r="G5396" i="1"/>
  <c r="D5396" i="1"/>
  <c r="G5395" i="1"/>
  <c r="D5395" i="1"/>
  <c r="G5394" i="1"/>
  <c r="D5394" i="1"/>
  <c r="G5393" i="1"/>
  <c r="D5393" i="1"/>
  <c r="G5392" i="1"/>
  <c r="D5392" i="1"/>
  <c r="G5391" i="1"/>
  <c r="D5391" i="1"/>
  <c r="G5390" i="1"/>
  <c r="D5390" i="1"/>
  <c r="G5389" i="1"/>
  <c r="D5389" i="1"/>
  <c r="G5388" i="1"/>
  <c r="D5388" i="1"/>
  <c r="G5387" i="1"/>
  <c r="D5387" i="1"/>
  <c r="G5386" i="1"/>
  <c r="D5386" i="1"/>
  <c r="G5385" i="1"/>
  <c r="D5385" i="1"/>
  <c r="G5384" i="1"/>
  <c r="D5384" i="1"/>
  <c r="G5383" i="1"/>
  <c r="D5383" i="1"/>
  <c r="G5382" i="1"/>
  <c r="D5382" i="1"/>
  <c r="G5381" i="1"/>
  <c r="D5381" i="1"/>
  <c r="G5380" i="1"/>
  <c r="D5380" i="1"/>
  <c r="G5379" i="1"/>
  <c r="D5379" i="1"/>
  <c r="G5378" i="1"/>
  <c r="D5378" i="1"/>
  <c r="G5377" i="1"/>
  <c r="D5377" i="1"/>
  <c r="G5376" i="1"/>
  <c r="D5376" i="1"/>
  <c r="G5375" i="1"/>
  <c r="D5375" i="1"/>
  <c r="G5374" i="1"/>
  <c r="D5374" i="1"/>
  <c r="G5373" i="1"/>
  <c r="D5373" i="1"/>
  <c r="G5372" i="1"/>
  <c r="D5372" i="1"/>
  <c r="G5371" i="1"/>
  <c r="D5371" i="1"/>
  <c r="G5370" i="1"/>
  <c r="D5370" i="1"/>
  <c r="G5369" i="1"/>
  <c r="D5369" i="1"/>
  <c r="G5368" i="1"/>
  <c r="D5368" i="1"/>
  <c r="G5367" i="1"/>
  <c r="D5367" i="1"/>
  <c r="G5366" i="1"/>
  <c r="D5366" i="1"/>
  <c r="G5365" i="1"/>
  <c r="D5365" i="1"/>
  <c r="G5364" i="1"/>
  <c r="D5364" i="1"/>
  <c r="G5363" i="1"/>
  <c r="D5363" i="1"/>
  <c r="G5362" i="1"/>
  <c r="D5362" i="1"/>
  <c r="G5361" i="1"/>
  <c r="D5361" i="1"/>
  <c r="G5360" i="1"/>
  <c r="D5360" i="1"/>
  <c r="G5359" i="1"/>
  <c r="D5359" i="1"/>
  <c r="G5358" i="1"/>
  <c r="D5358" i="1"/>
  <c r="G5357" i="1"/>
  <c r="D5357" i="1"/>
  <c r="G5356" i="1"/>
  <c r="D5356" i="1"/>
  <c r="G5355" i="1"/>
  <c r="D5355" i="1"/>
  <c r="G5354" i="1"/>
  <c r="D5354" i="1"/>
  <c r="G5353" i="1"/>
  <c r="D5353" i="1"/>
  <c r="G5352" i="1"/>
  <c r="D5352" i="1"/>
  <c r="G5351" i="1"/>
  <c r="D5351" i="1"/>
  <c r="G5350" i="1"/>
  <c r="D5350" i="1"/>
  <c r="G5349" i="1"/>
  <c r="D5349" i="1"/>
  <c r="G5348" i="1"/>
  <c r="D5348" i="1"/>
  <c r="G5347" i="1"/>
  <c r="D5347" i="1"/>
  <c r="G5346" i="1"/>
  <c r="D5346" i="1"/>
  <c r="G5345" i="1"/>
  <c r="D5345" i="1"/>
  <c r="G5344" i="1"/>
  <c r="D5344" i="1"/>
  <c r="G5343" i="1"/>
  <c r="D5343" i="1"/>
  <c r="G5342" i="1"/>
  <c r="D5342" i="1"/>
  <c r="G5341" i="1"/>
  <c r="D5341" i="1"/>
  <c r="G5340" i="1"/>
  <c r="D5340" i="1"/>
  <c r="G5339" i="1"/>
  <c r="D5339" i="1"/>
  <c r="G5338" i="1"/>
  <c r="D5338" i="1"/>
  <c r="G5337" i="1"/>
  <c r="D5337" i="1"/>
  <c r="G5336" i="1"/>
  <c r="D5336" i="1"/>
  <c r="G5335" i="1"/>
  <c r="D5335" i="1"/>
  <c r="G5334" i="1"/>
  <c r="D5334" i="1"/>
  <c r="G5333" i="1"/>
  <c r="D5333" i="1"/>
  <c r="G5332" i="1"/>
  <c r="D5332" i="1"/>
  <c r="G5331" i="1"/>
  <c r="D5331" i="1"/>
  <c r="G5330" i="1"/>
  <c r="D5330" i="1"/>
  <c r="G5329" i="1"/>
  <c r="D5329" i="1"/>
  <c r="G5328" i="1"/>
  <c r="D5328" i="1"/>
  <c r="G5327" i="1"/>
  <c r="D5327" i="1"/>
  <c r="G5326" i="1"/>
  <c r="D5326" i="1"/>
  <c r="G5325" i="1"/>
  <c r="D5325" i="1"/>
  <c r="G5324" i="1"/>
  <c r="D5324" i="1"/>
  <c r="G5323" i="1"/>
  <c r="D5323" i="1"/>
  <c r="G5322" i="1"/>
  <c r="D5322" i="1"/>
  <c r="G5321" i="1"/>
  <c r="D5321" i="1"/>
  <c r="G5320" i="1"/>
  <c r="D5320" i="1"/>
  <c r="G5319" i="1"/>
  <c r="D5319" i="1"/>
  <c r="G5318" i="1"/>
  <c r="D5318" i="1"/>
  <c r="G5317" i="1"/>
  <c r="D5317" i="1"/>
  <c r="G5316" i="1"/>
  <c r="D5316" i="1"/>
  <c r="G5315" i="1"/>
  <c r="D5315" i="1"/>
  <c r="G5314" i="1"/>
  <c r="D5314" i="1"/>
  <c r="G5313" i="1"/>
  <c r="D5313" i="1"/>
  <c r="G5312" i="1"/>
  <c r="D5312" i="1"/>
  <c r="G5311" i="1"/>
  <c r="D5311" i="1"/>
  <c r="G5310" i="1"/>
  <c r="D5310" i="1"/>
  <c r="G5309" i="1"/>
  <c r="D5309" i="1"/>
  <c r="G5308" i="1"/>
  <c r="D5308" i="1"/>
  <c r="G5307" i="1"/>
  <c r="D5307" i="1"/>
  <c r="G5306" i="1"/>
  <c r="D5306" i="1"/>
  <c r="G5305" i="1"/>
  <c r="D5305" i="1"/>
  <c r="G5304" i="1"/>
  <c r="D5304" i="1"/>
  <c r="G5303" i="1"/>
  <c r="D5303" i="1"/>
  <c r="G5302" i="1"/>
  <c r="D5302" i="1"/>
  <c r="G5301" i="1"/>
  <c r="D5301" i="1"/>
  <c r="G5300" i="1"/>
  <c r="D5300" i="1"/>
  <c r="G5299" i="1"/>
  <c r="D5299" i="1"/>
  <c r="G5298" i="1"/>
  <c r="D5298" i="1"/>
  <c r="G5297" i="1"/>
  <c r="D5297" i="1"/>
  <c r="G5296" i="1"/>
  <c r="D5296" i="1"/>
  <c r="G5295" i="1"/>
  <c r="D5295" i="1"/>
  <c r="G5294" i="1"/>
  <c r="D5294" i="1"/>
  <c r="G5293" i="1"/>
  <c r="D5293" i="1"/>
  <c r="G5292" i="1"/>
  <c r="D5292" i="1"/>
  <c r="G5291" i="1"/>
  <c r="D5291" i="1"/>
  <c r="G5290" i="1"/>
  <c r="D5290" i="1"/>
  <c r="G5289" i="1"/>
  <c r="D5289" i="1"/>
  <c r="G5288" i="1"/>
  <c r="D5288" i="1"/>
  <c r="G5287" i="1"/>
  <c r="D5287" i="1"/>
  <c r="G5286" i="1"/>
  <c r="D5286" i="1"/>
  <c r="G5285" i="1"/>
  <c r="D5285" i="1"/>
  <c r="G5284" i="1"/>
  <c r="D5284" i="1"/>
  <c r="G5283" i="1"/>
  <c r="D5283" i="1"/>
  <c r="G5282" i="1"/>
  <c r="D5282" i="1"/>
  <c r="G5281" i="1"/>
  <c r="D5281" i="1"/>
  <c r="G5280" i="1"/>
  <c r="D5280" i="1"/>
  <c r="G5279" i="1"/>
  <c r="D5279" i="1"/>
  <c r="G5278" i="1"/>
  <c r="D5278" i="1"/>
  <c r="G5277" i="1"/>
  <c r="D5277" i="1"/>
  <c r="G5276" i="1"/>
  <c r="D5276" i="1"/>
  <c r="G5275" i="1"/>
  <c r="D5275" i="1"/>
  <c r="G5274" i="1"/>
  <c r="D5274" i="1"/>
  <c r="G5273" i="1"/>
  <c r="D5273" i="1"/>
  <c r="G5272" i="1"/>
  <c r="D5272" i="1"/>
  <c r="G5271" i="1"/>
  <c r="D5271" i="1"/>
  <c r="G5270" i="1"/>
  <c r="D5270" i="1"/>
  <c r="G5269" i="1"/>
  <c r="D5269" i="1"/>
  <c r="G5268" i="1"/>
  <c r="D5268" i="1"/>
  <c r="G5267" i="1"/>
  <c r="D5267" i="1"/>
  <c r="G5266" i="1"/>
  <c r="D5266" i="1"/>
  <c r="G5265" i="1"/>
  <c r="D5265" i="1"/>
  <c r="G5264" i="1"/>
  <c r="D5264" i="1"/>
  <c r="G5263" i="1"/>
  <c r="D5263" i="1"/>
  <c r="G5262" i="1"/>
  <c r="D5262" i="1"/>
  <c r="G5261" i="1"/>
  <c r="D5261" i="1"/>
  <c r="G5260" i="1"/>
  <c r="D5260" i="1"/>
  <c r="G5259" i="1"/>
  <c r="D5259" i="1"/>
  <c r="G5258" i="1"/>
  <c r="D5258" i="1"/>
  <c r="G5257" i="1"/>
  <c r="D5257" i="1"/>
  <c r="G5256" i="1"/>
  <c r="D5256" i="1"/>
  <c r="G5255" i="1"/>
  <c r="D5255" i="1"/>
  <c r="G5254" i="1"/>
  <c r="D5254" i="1"/>
  <c r="G5253" i="1"/>
  <c r="D5253" i="1"/>
  <c r="G5252" i="1"/>
  <c r="D5252" i="1"/>
  <c r="G5251" i="1"/>
  <c r="D5251" i="1"/>
  <c r="G5250" i="1"/>
  <c r="D5250" i="1"/>
  <c r="G5249" i="1"/>
  <c r="D5249" i="1"/>
  <c r="G5248" i="1"/>
  <c r="D5248" i="1"/>
  <c r="G5247" i="1"/>
  <c r="D5247" i="1"/>
  <c r="G5246" i="1"/>
  <c r="D5246" i="1"/>
  <c r="G5245" i="1"/>
  <c r="D5245" i="1"/>
  <c r="G5244" i="1"/>
  <c r="D5244" i="1"/>
  <c r="G5243" i="1"/>
  <c r="D5243" i="1"/>
  <c r="G5242" i="1"/>
  <c r="D5242" i="1"/>
  <c r="G5241" i="1"/>
  <c r="D5241" i="1"/>
  <c r="G5240" i="1"/>
  <c r="D5240" i="1"/>
  <c r="G5239" i="1"/>
  <c r="D5239" i="1"/>
  <c r="G5238" i="1"/>
  <c r="D5238" i="1"/>
  <c r="G5237" i="1"/>
  <c r="D5237" i="1"/>
  <c r="G5236" i="1"/>
  <c r="D5236" i="1"/>
  <c r="G5235" i="1"/>
  <c r="D5235" i="1"/>
  <c r="G5234" i="1"/>
  <c r="D5234" i="1"/>
  <c r="G5233" i="1"/>
  <c r="D5233" i="1"/>
  <c r="G5232" i="1"/>
  <c r="D5232" i="1"/>
  <c r="G5231" i="1"/>
  <c r="D5231" i="1"/>
  <c r="G5230" i="1"/>
  <c r="D5230" i="1"/>
  <c r="G5229" i="1"/>
  <c r="D5229" i="1"/>
  <c r="G5228" i="1"/>
  <c r="D5228" i="1"/>
  <c r="G5227" i="1"/>
  <c r="D5227" i="1"/>
  <c r="G5226" i="1"/>
  <c r="D5226" i="1"/>
  <c r="G5225" i="1"/>
  <c r="D5225" i="1"/>
  <c r="G5224" i="1"/>
  <c r="D5224" i="1"/>
  <c r="G5223" i="1"/>
  <c r="D5223" i="1"/>
  <c r="G5222" i="1"/>
  <c r="D5222" i="1"/>
  <c r="G5221" i="1"/>
  <c r="D5221" i="1"/>
  <c r="G5220" i="1"/>
  <c r="D5220" i="1"/>
  <c r="G5219" i="1"/>
  <c r="D5219" i="1"/>
  <c r="G5218" i="1"/>
  <c r="D5218" i="1"/>
  <c r="G5217" i="1"/>
  <c r="D5217" i="1"/>
  <c r="G5216" i="1"/>
  <c r="D5216" i="1"/>
  <c r="G5215" i="1"/>
  <c r="D5215" i="1"/>
  <c r="G5214" i="1"/>
  <c r="D5214" i="1"/>
  <c r="G5213" i="1"/>
  <c r="D5213" i="1"/>
  <c r="G5212" i="1"/>
  <c r="D5212" i="1"/>
  <c r="G5211" i="1"/>
  <c r="D5211" i="1"/>
  <c r="G5210" i="1"/>
  <c r="D5210" i="1"/>
  <c r="G5209" i="1"/>
  <c r="D5209" i="1"/>
  <c r="G5208" i="1"/>
  <c r="D5208" i="1"/>
  <c r="G5207" i="1"/>
  <c r="D5207" i="1"/>
  <c r="G5206" i="1"/>
  <c r="D5206" i="1"/>
  <c r="G5205" i="1"/>
  <c r="D5205" i="1"/>
  <c r="G5204" i="1"/>
  <c r="D5204" i="1"/>
  <c r="G5203" i="1"/>
  <c r="D5203" i="1"/>
  <c r="G5202" i="1"/>
  <c r="D5202" i="1"/>
  <c r="G5201" i="1"/>
  <c r="D5201" i="1"/>
  <c r="G5200" i="1"/>
  <c r="D5200" i="1"/>
  <c r="G5199" i="1"/>
  <c r="D5199" i="1"/>
  <c r="G5198" i="1"/>
  <c r="D5198" i="1"/>
  <c r="G5197" i="1"/>
  <c r="D5197" i="1"/>
  <c r="G5196" i="1"/>
  <c r="D5196" i="1"/>
  <c r="G5195" i="1"/>
  <c r="D5195" i="1"/>
  <c r="G5194" i="1"/>
  <c r="D5194" i="1"/>
  <c r="G5193" i="1"/>
  <c r="D5193" i="1"/>
  <c r="G5192" i="1"/>
  <c r="D5192" i="1"/>
  <c r="G5191" i="1"/>
  <c r="D5191" i="1"/>
  <c r="G5190" i="1"/>
  <c r="D5190" i="1"/>
  <c r="G5189" i="1"/>
  <c r="D5189" i="1"/>
  <c r="G5188" i="1"/>
  <c r="D5188" i="1"/>
  <c r="G5187" i="1"/>
  <c r="D5187" i="1"/>
  <c r="G5186" i="1"/>
  <c r="D5186" i="1"/>
  <c r="G5185" i="1"/>
  <c r="D5185" i="1"/>
  <c r="G5184" i="1"/>
  <c r="D5184" i="1"/>
  <c r="G5183" i="1"/>
  <c r="D5183" i="1"/>
  <c r="G5182" i="1"/>
  <c r="D5182" i="1"/>
  <c r="G5181" i="1"/>
  <c r="D5181" i="1"/>
  <c r="G5180" i="1"/>
  <c r="D5180" i="1"/>
  <c r="G5179" i="1"/>
  <c r="D5179" i="1"/>
  <c r="G5178" i="1"/>
  <c r="D5178" i="1"/>
  <c r="G5177" i="1"/>
  <c r="D5177" i="1"/>
  <c r="G5176" i="1"/>
  <c r="D5176" i="1"/>
  <c r="G5175" i="1"/>
  <c r="D5175" i="1"/>
  <c r="G5174" i="1"/>
  <c r="D5174" i="1"/>
  <c r="G5173" i="1"/>
  <c r="D5173" i="1"/>
  <c r="G5172" i="1"/>
  <c r="D5172" i="1"/>
  <c r="G5171" i="1"/>
  <c r="D5171" i="1"/>
  <c r="G5170" i="1"/>
  <c r="D5170" i="1"/>
  <c r="G5169" i="1"/>
  <c r="D5169" i="1"/>
  <c r="G5168" i="1"/>
  <c r="D5168" i="1"/>
  <c r="G5167" i="1"/>
  <c r="D5167" i="1"/>
  <c r="G5166" i="1"/>
  <c r="D5166" i="1"/>
  <c r="G5165" i="1"/>
  <c r="D5165" i="1"/>
  <c r="G5164" i="1"/>
  <c r="D5164" i="1"/>
  <c r="G5163" i="1"/>
  <c r="D5163" i="1"/>
  <c r="G5162" i="1"/>
  <c r="D5162" i="1"/>
  <c r="G5161" i="1"/>
  <c r="D5161" i="1"/>
  <c r="G5160" i="1"/>
  <c r="D5160" i="1"/>
  <c r="G5159" i="1"/>
  <c r="D5159" i="1"/>
  <c r="G5158" i="1"/>
  <c r="D5158" i="1"/>
  <c r="G5157" i="1"/>
  <c r="D5157" i="1"/>
  <c r="G5156" i="1"/>
  <c r="D5156" i="1"/>
  <c r="G5155" i="1"/>
  <c r="D5155" i="1"/>
  <c r="G5154" i="1"/>
  <c r="D5154" i="1"/>
  <c r="G5153" i="1"/>
  <c r="D5153" i="1"/>
  <c r="G5152" i="1"/>
  <c r="D5152" i="1"/>
  <c r="G5151" i="1"/>
  <c r="D5151" i="1"/>
  <c r="G5150" i="1"/>
  <c r="D5150" i="1"/>
  <c r="G5149" i="1"/>
  <c r="D5149" i="1"/>
  <c r="G5148" i="1"/>
  <c r="D5148" i="1"/>
  <c r="G5147" i="1"/>
  <c r="D5147" i="1"/>
  <c r="G5146" i="1"/>
  <c r="D5146" i="1"/>
  <c r="G5145" i="1"/>
  <c r="D5145" i="1"/>
  <c r="G5144" i="1"/>
  <c r="D5144" i="1"/>
  <c r="G5143" i="1"/>
  <c r="D5143" i="1"/>
  <c r="G5142" i="1"/>
  <c r="D5142" i="1"/>
  <c r="G5141" i="1"/>
  <c r="D5141" i="1"/>
  <c r="G5140" i="1"/>
  <c r="D5140" i="1"/>
  <c r="G5139" i="1"/>
  <c r="D5139" i="1"/>
  <c r="G5138" i="1"/>
  <c r="D5138" i="1"/>
  <c r="G5137" i="1"/>
  <c r="D5137" i="1"/>
  <c r="G5136" i="1"/>
  <c r="D5136" i="1"/>
  <c r="G5135" i="1"/>
  <c r="D5135" i="1"/>
  <c r="G5134" i="1"/>
  <c r="D5134" i="1"/>
  <c r="G5133" i="1"/>
  <c r="D5133" i="1"/>
  <c r="G5132" i="1"/>
  <c r="D5132" i="1"/>
  <c r="G5131" i="1"/>
  <c r="D5131" i="1"/>
  <c r="G5130" i="1"/>
  <c r="D5130" i="1"/>
  <c r="G5129" i="1"/>
  <c r="D5129" i="1"/>
  <c r="G5128" i="1"/>
  <c r="D5128" i="1"/>
  <c r="G5127" i="1"/>
  <c r="D5127" i="1"/>
  <c r="G5126" i="1"/>
  <c r="D5126" i="1"/>
  <c r="G5125" i="1"/>
  <c r="D5125" i="1"/>
  <c r="G5124" i="1"/>
  <c r="D5124" i="1"/>
  <c r="G5123" i="1"/>
  <c r="D5123" i="1"/>
  <c r="G5122" i="1"/>
  <c r="D5122" i="1"/>
  <c r="G5121" i="1"/>
  <c r="D5121" i="1"/>
  <c r="G5120" i="1"/>
  <c r="D5120" i="1"/>
  <c r="G5119" i="1"/>
  <c r="D5119" i="1"/>
  <c r="G5118" i="1"/>
  <c r="D5118" i="1"/>
  <c r="G5117" i="1"/>
  <c r="D5117" i="1"/>
  <c r="G5116" i="1"/>
  <c r="D5116" i="1"/>
  <c r="G5115" i="1"/>
  <c r="D5115" i="1"/>
  <c r="G5114" i="1"/>
  <c r="D5114" i="1"/>
  <c r="G5113" i="1"/>
  <c r="D5113" i="1"/>
  <c r="G5112" i="1"/>
  <c r="D5112" i="1"/>
  <c r="G5111" i="1"/>
  <c r="D5111" i="1"/>
  <c r="G5110" i="1"/>
  <c r="D5110" i="1"/>
  <c r="G5109" i="1"/>
  <c r="D5109" i="1"/>
  <c r="G5108" i="1"/>
  <c r="D5108" i="1"/>
  <c r="G5107" i="1"/>
  <c r="D5107" i="1"/>
  <c r="G5106" i="1"/>
  <c r="D5106" i="1"/>
  <c r="G5105" i="1"/>
  <c r="D5105" i="1"/>
  <c r="G5104" i="1"/>
  <c r="D5104" i="1"/>
  <c r="G5103" i="1"/>
  <c r="D5103" i="1"/>
  <c r="G5102" i="1"/>
  <c r="D5102" i="1"/>
  <c r="G5101" i="1"/>
  <c r="D5101" i="1"/>
  <c r="G5100" i="1"/>
  <c r="D5100" i="1"/>
  <c r="G5099" i="1"/>
  <c r="D5099" i="1"/>
  <c r="G5098" i="1"/>
  <c r="D5098" i="1"/>
  <c r="G5097" i="1"/>
  <c r="D5097" i="1"/>
  <c r="G5096" i="1"/>
  <c r="D5096" i="1"/>
  <c r="G5095" i="1"/>
  <c r="D5095" i="1"/>
  <c r="G5094" i="1"/>
  <c r="D5094" i="1"/>
  <c r="G5093" i="1"/>
  <c r="D5093" i="1"/>
  <c r="G5092" i="1"/>
  <c r="D5092" i="1"/>
  <c r="G5091" i="1"/>
  <c r="D5091" i="1"/>
  <c r="G5090" i="1"/>
  <c r="D5090" i="1"/>
  <c r="G5089" i="1"/>
  <c r="D5089" i="1"/>
  <c r="G5088" i="1"/>
  <c r="D5088" i="1"/>
  <c r="G5087" i="1"/>
  <c r="D5087" i="1"/>
  <c r="G5086" i="1"/>
  <c r="D5086" i="1"/>
  <c r="G5085" i="1"/>
  <c r="D5085" i="1"/>
  <c r="G5084" i="1"/>
  <c r="D5084" i="1"/>
  <c r="G5083" i="1"/>
  <c r="D5083" i="1"/>
  <c r="G5082" i="1"/>
  <c r="D5082" i="1"/>
  <c r="G5081" i="1"/>
  <c r="D5081" i="1"/>
  <c r="G5080" i="1"/>
  <c r="D5080" i="1"/>
  <c r="G5079" i="1"/>
  <c r="D5079" i="1"/>
  <c r="G5078" i="1"/>
  <c r="D5078" i="1"/>
  <c r="G5077" i="1"/>
  <c r="D5077" i="1"/>
  <c r="G5076" i="1"/>
  <c r="D5076" i="1"/>
  <c r="G5075" i="1"/>
  <c r="D5075" i="1"/>
  <c r="G5074" i="1"/>
  <c r="D5074" i="1"/>
  <c r="G5073" i="1"/>
  <c r="D5073" i="1"/>
  <c r="G5072" i="1"/>
  <c r="D5072" i="1"/>
  <c r="G5071" i="1"/>
  <c r="D5071" i="1"/>
  <c r="G5070" i="1"/>
  <c r="D5070" i="1"/>
  <c r="G5069" i="1"/>
  <c r="D5069" i="1"/>
  <c r="G5068" i="1"/>
  <c r="D5068" i="1"/>
  <c r="G5067" i="1"/>
  <c r="D5067" i="1"/>
  <c r="G5066" i="1"/>
  <c r="D5066" i="1"/>
  <c r="G5065" i="1"/>
  <c r="D5065" i="1"/>
  <c r="G5064" i="1"/>
  <c r="D5064" i="1"/>
  <c r="G5063" i="1"/>
  <c r="D5063" i="1"/>
  <c r="G5062" i="1"/>
  <c r="D5062" i="1"/>
  <c r="G5061" i="1"/>
  <c r="D5061" i="1"/>
  <c r="G5060" i="1"/>
  <c r="D5060" i="1"/>
  <c r="G5059" i="1"/>
  <c r="D5059" i="1"/>
  <c r="G5058" i="1"/>
  <c r="D5058" i="1"/>
  <c r="G5057" i="1"/>
  <c r="D5057" i="1"/>
  <c r="G5056" i="1"/>
  <c r="D5056" i="1"/>
  <c r="G5055" i="1"/>
  <c r="D5055" i="1"/>
  <c r="G5054" i="1"/>
  <c r="D5054" i="1"/>
  <c r="G5053" i="1"/>
  <c r="D5053" i="1"/>
  <c r="G5052" i="1"/>
  <c r="D5052" i="1"/>
  <c r="G5051" i="1"/>
  <c r="D5051" i="1"/>
  <c r="G5050" i="1"/>
  <c r="D5050" i="1"/>
  <c r="G5049" i="1"/>
  <c r="D5049" i="1"/>
  <c r="G5048" i="1"/>
  <c r="D5048" i="1"/>
  <c r="G5047" i="1"/>
  <c r="D5047" i="1"/>
  <c r="G5046" i="1"/>
  <c r="D5046" i="1"/>
  <c r="G5045" i="1"/>
  <c r="D5045" i="1"/>
  <c r="G5044" i="1"/>
  <c r="D5044" i="1"/>
  <c r="G5043" i="1"/>
  <c r="D5043" i="1"/>
  <c r="G5042" i="1"/>
  <c r="D5042" i="1"/>
  <c r="G5041" i="1"/>
  <c r="D5041" i="1"/>
  <c r="G5040" i="1"/>
  <c r="D5040" i="1"/>
  <c r="G5039" i="1"/>
  <c r="D5039" i="1"/>
  <c r="G5038" i="1"/>
  <c r="D5038" i="1"/>
  <c r="G5037" i="1"/>
  <c r="D5037" i="1"/>
  <c r="G5036" i="1"/>
  <c r="D5036" i="1"/>
  <c r="G5035" i="1"/>
  <c r="D5035" i="1"/>
  <c r="G5034" i="1"/>
  <c r="D5034" i="1"/>
  <c r="G5033" i="1"/>
  <c r="D5033" i="1"/>
  <c r="G5032" i="1"/>
  <c r="D5032" i="1"/>
  <c r="G5031" i="1"/>
  <c r="D5031" i="1"/>
  <c r="G5030" i="1"/>
  <c r="D5030" i="1"/>
  <c r="G5029" i="1"/>
  <c r="D5029" i="1"/>
  <c r="G5028" i="1"/>
  <c r="D5028" i="1"/>
  <c r="G5027" i="1"/>
  <c r="D5027" i="1"/>
  <c r="G5026" i="1"/>
  <c r="D5026" i="1"/>
  <c r="G5025" i="1"/>
  <c r="D5025" i="1"/>
  <c r="G5024" i="1"/>
  <c r="D5024" i="1"/>
  <c r="G5023" i="1"/>
  <c r="D5023" i="1"/>
  <c r="G5022" i="1"/>
  <c r="D5022" i="1"/>
  <c r="G5021" i="1"/>
  <c r="D5021" i="1"/>
  <c r="G5020" i="1"/>
  <c r="D5020" i="1"/>
  <c r="G5019" i="1"/>
  <c r="D5019" i="1"/>
  <c r="G5018" i="1"/>
  <c r="D5018" i="1"/>
  <c r="G5017" i="1"/>
  <c r="D5017" i="1"/>
  <c r="G5016" i="1"/>
  <c r="D5016" i="1"/>
  <c r="G5015" i="1"/>
  <c r="D5015" i="1"/>
  <c r="G5014" i="1"/>
  <c r="D5014" i="1"/>
  <c r="G5013" i="1"/>
  <c r="D5013" i="1"/>
  <c r="G5012" i="1"/>
  <c r="D5012" i="1"/>
  <c r="G5011" i="1"/>
  <c r="D5011" i="1"/>
  <c r="G5010" i="1"/>
  <c r="D5010" i="1"/>
  <c r="G5009" i="1"/>
  <c r="D5009" i="1"/>
  <c r="G5008" i="1"/>
  <c r="D5008" i="1"/>
  <c r="G5007" i="1"/>
  <c r="D5007" i="1"/>
  <c r="G5006" i="1"/>
  <c r="D5006" i="1"/>
  <c r="G5005" i="1"/>
  <c r="D5005" i="1"/>
  <c r="G5004" i="1"/>
  <c r="D5004" i="1"/>
  <c r="G5003" i="1"/>
  <c r="D5003" i="1"/>
  <c r="G5002" i="1"/>
  <c r="D5002" i="1"/>
  <c r="G5001" i="1"/>
  <c r="D5001" i="1"/>
  <c r="G5000" i="1"/>
  <c r="D5000" i="1"/>
  <c r="G4999" i="1"/>
  <c r="D4999" i="1"/>
  <c r="G4998" i="1"/>
  <c r="D4998" i="1"/>
  <c r="G4997" i="1"/>
  <c r="D4997" i="1"/>
  <c r="G4996" i="1"/>
  <c r="D4996" i="1"/>
  <c r="G4995" i="1"/>
  <c r="D4995" i="1"/>
  <c r="G4994" i="1"/>
  <c r="D4994" i="1"/>
  <c r="G4993" i="1"/>
  <c r="D4993" i="1"/>
  <c r="G4992" i="1"/>
  <c r="D4992" i="1"/>
  <c r="G4991" i="1"/>
  <c r="D4991" i="1"/>
  <c r="G4990" i="1"/>
  <c r="D4990" i="1"/>
  <c r="G4989" i="1"/>
  <c r="D4989" i="1"/>
  <c r="G4988" i="1"/>
  <c r="D4988" i="1"/>
  <c r="G4987" i="1"/>
  <c r="D4987" i="1"/>
  <c r="G4986" i="1"/>
  <c r="D4986" i="1"/>
  <c r="G4985" i="1"/>
  <c r="D4985" i="1"/>
  <c r="G4984" i="1"/>
  <c r="D4984" i="1"/>
  <c r="G4983" i="1"/>
  <c r="D4983" i="1"/>
  <c r="G4982" i="1"/>
  <c r="D4982" i="1"/>
  <c r="G4981" i="1"/>
  <c r="D4981" i="1"/>
  <c r="G4980" i="1"/>
  <c r="D4980" i="1"/>
  <c r="G4979" i="1"/>
  <c r="D4979" i="1"/>
  <c r="G4978" i="1"/>
  <c r="D4978" i="1"/>
  <c r="G4977" i="1"/>
  <c r="D4977" i="1"/>
  <c r="G4976" i="1"/>
  <c r="D4976" i="1"/>
  <c r="G4975" i="1"/>
  <c r="D4975" i="1"/>
  <c r="G4974" i="1"/>
  <c r="D4974" i="1"/>
  <c r="G4973" i="1"/>
  <c r="D4973" i="1"/>
  <c r="G4972" i="1"/>
  <c r="D4972" i="1"/>
  <c r="G4971" i="1"/>
  <c r="D4971" i="1"/>
  <c r="G4970" i="1"/>
  <c r="D4970" i="1"/>
  <c r="G4969" i="1"/>
  <c r="D4969" i="1"/>
  <c r="G4968" i="1"/>
  <c r="D4968" i="1"/>
  <c r="G4967" i="1"/>
  <c r="D4967" i="1"/>
  <c r="G4966" i="1"/>
  <c r="D4966" i="1"/>
  <c r="G4965" i="1"/>
  <c r="D4965" i="1"/>
  <c r="G4964" i="1"/>
  <c r="D4964" i="1"/>
  <c r="G4963" i="1"/>
  <c r="D4963" i="1"/>
  <c r="G4962" i="1"/>
  <c r="D4962" i="1"/>
  <c r="G4961" i="1"/>
  <c r="D4961" i="1"/>
  <c r="G4960" i="1"/>
  <c r="D4960" i="1"/>
  <c r="G4959" i="1"/>
  <c r="D4959" i="1"/>
  <c r="G4958" i="1"/>
  <c r="D4958" i="1"/>
  <c r="G4957" i="1"/>
  <c r="D4957" i="1"/>
  <c r="G4956" i="1"/>
  <c r="D4956" i="1"/>
  <c r="G4955" i="1"/>
  <c r="D4955" i="1"/>
  <c r="G4954" i="1"/>
  <c r="D4954" i="1"/>
  <c r="G4953" i="1"/>
  <c r="D4953" i="1"/>
  <c r="G4952" i="1"/>
  <c r="D4952" i="1"/>
  <c r="G4951" i="1"/>
  <c r="D4951" i="1"/>
  <c r="G4950" i="1"/>
  <c r="D4950" i="1"/>
  <c r="G4949" i="1"/>
  <c r="D4949" i="1"/>
  <c r="G4948" i="1"/>
  <c r="D4948" i="1"/>
  <c r="G4947" i="1"/>
  <c r="D4947" i="1"/>
  <c r="G4946" i="1"/>
  <c r="D4946" i="1"/>
  <c r="G4945" i="1"/>
  <c r="D4945" i="1"/>
  <c r="G4944" i="1"/>
  <c r="D4944" i="1"/>
  <c r="G4943" i="1"/>
  <c r="D4943" i="1"/>
  <c r="G4942" i="1"/>
  <c r="D4942" i="1"/>
  <c r="G4941" i="1"/>
  <c r="D4941" i="1"/>
  <c r="G4940" i="1"/>
  <c r="D4940" i="1"/>
  <c r="G4939" i="1"/>
  <c r="D4939" i="1"/>
  <c r="G4938" i="1"/>
  <c r="D4938" i="1"/>
  <c r="G4937" i="1"/>
  <c r="D4937" i="1"/>
  <c r="G4936" i="1"/>
  <c r="D4936" i="1"/>
  <c r="G4935" i="1"/>
  <c r="D4935" i="1"/>
  <c r="G4934" i="1"/>
  <c r="D4934" i="1"/>
  <c r="G4933" i="1"/>
  <c r="D4933" i="1"/>
  <c r="G4932" i="1"/>
  <c r="D4932" i="1"/>
  <c r="G4931" i="1"/>
  <c r="D4931" i="1"/>
  <c r="G4930" i="1"/>
  <c r="D4930" i="1"/>
  <c r="G4929" i="1"/>
  <c r="D4929" i="1"/>
  <c r="G4928" i="1"/>
  <c r="D4928" i="1"/>
  <c r="G4927" i="1"/>
  <c r="D4927" i="1"/>
  <c r="G4926" i="1"/>
  <c r="D4926" i="1"/>
  <c r="G4925" i="1"/>
  <c r="D4925" i="1"/>
  <c r="G4924" i="1"/>
  <c r="D4924" i="1"/>
  <c r="G4923" i="1"/>
  <c r="D4923" i="1"/>
  <c r="G4922" i="1"/>
  <c r="D4922" i="1"/>
  <c r="G4921" i="1"/>
  <c r="D4921" i="1"/>
  <c r="G4920" i="1"/>
  <c r="D4920" i="1"/>
  <c r="G4919" i="1"/>
  <c r="D4919" i="1"/>
  <c r="G4918" i="1"/>
  <c r="D4918" i="1"/>
  <c r="G4917" i="1"/>
  <c r="D4917" i="1"/>
  <c r="G4916" i="1"/>
  <c r="D4916" i="1"/>
  <c r="G4915" i="1"/>
  <c r="D4915" i="1"/>
  <c r="G4914" i="1"/>
  <c r="D4914" i="1"/>
  <c r="G4913" i="1"/>
  <c r="D4913" i="1"/>
  <c r="G4912" i="1"/>
  <c r="D4912" i="1"/>
  <c r="G4911" i="1"/>
  <c r="D4911" i="1"/>
  <c r="G4910" i="1"/>
  <c r="D4910" i="1"/>
  <c r="G4909" i="1"/>
  <c r="D4909" i="1"/>
  <c r="G4908" i="1"/>
  <c r="D4908" i="1"/>
  <c r="G4907" i="1"/>
  <c r="D4907" i="1"/>
  <c r="G4906" i="1"/>
  <c r="D4906" i="1"/>
  <c r="G4905" i="1"/>
  <c r="D4905" i="1"/>
  <c r="G4904" i="1"/>
  <c r="D4904" i="1"/>
  <c r="G4903" i="1"/>
  <c r="D4903" i="1"/>
  <c r="G4902" i="1"/>
  <c r="D4902" i="1"/>
  <c r="G4901" i="1"/>
  <c r="D4901" i="1"/>
  <c r="G4900" i="1"/>
  <c r="D4900" i="1"/>
  <c r="G4899" i="1"/>
  <c r="D4899" i="1"/>
  <c r="G4898" i="1"/>
  <c r="D4898" i="1"/>
  <c r="G4897" i="1"/>
  <c r="D4897" i="1"/>
  <c r="G4896" i="1"/>
  <c r="D4896" i="1"/>
  <c r="G4895" i="1"/>
  <c r="D4895" i="1"/>
  <c r="G4894" i="1"/>
  <c r="D4894" i="1"/>
  <c r="G4893" i="1"/>
  <c r="D4893" i="1"/>
  <c r="G4892" i="1"/>
  <c r="D4892" i="1"/>
  <c r="G4891" i="1"/>
  <c r="D4891" i="1"/>
  <c r="G4890" i="1"/>
  <c r="D4890" i="1"/>
  <c r="G4889" i="1"/>
  <c r="D4889" i="1"/>
  <c r="G4888" i="1"/>
  <c r="D4888" i="1"/>
  <c r="G4887" i="1"/>
  <c r="D4887" i="1"/>
  <c r="G4886" i="1"/>
  <c r="D4886" i="1"/>
  <c r="G4885" i="1"/>
  <c r="D4885" i="1"/>
  <c r="G4884" i="1"/>
  <c r="D4884" i="1"/>
  <c r="G4883" i="1"/>
  <c r="D4883" i="1"/>
  <c r="G4882" i="1"/>
  <c r="D4882" i="1"/>
  <c r="G4881" i="1"/>
  <c r="D4881" i="1"/>
  <c r="G4880" i="1"/>
  <c r="D4880" i="1"/>
  <c r="G4879" i="1"/>
  <c r="D4879" i="1"/>
  <c r="G4878" i="1"/>
  <c r="D4878" i="1"/>
  <c r="G4877" i="1"/>
  <c r="D4877" i="1"/>
  <c r="G4876" i="1"/>
  <c r="D4876" i="1"/>
  <c r="G4875" i="1"/>
  <c r="D4875" i="1"/>
  <c r="G4874" i="1"/>
  <c r="D4874" i="1"/>
  <c r="G4873" i="1"/>
  <c r="D4873" i="1"/>
  <c r="G4872" i="1"/>
  <c r="D4872" i="1"/>
  <c r="G4871" i="1"/>
  <c r="D4871" i="1"/>
  <c r="G4870" i="1"/>
  <c r="D4870" i="1"/>
  <c r="G4869" i="1"/>
  <c r="D4869" i="1"/>
  <c r="G4868" i="1"/>
  <c r="D4868" i="1"/>
  <c r="G4867" i="1"/>
  <c r="D4867" i="1"/>
  <c r="G4866" i="1"/>
  <c r="D4866" i="1"/>
  <c r="G4865" i="1"/>
  <c r="D4865" i="1"/>
  <c r="G4864" i="1"/>
  <c r="D4864" i="1"/>
  <c r="G4863" i="1"/>
  <c r="D4863" i="1"/>
  <c r="G4862" i="1"/>
  <c r="D4862" i="1"/>
  <c r="G4861" i="1"/>
  <c r="D4861" i="1"/>
  <c r="G4860" i="1"/>
  <c r="D4860" i="1"/>
  <c r="G4859" i="1"/>
  <c r="D4859" i="1"/>
  <c r="G4858" i="1"/>
  <c r="D4858" i="1"/>
  <c r="G4857" i="1"/>
  <c r="D4857" i="1"/>
  <c r="G4856" i="1"/>
  <c r="D4856" i="1"/>
  <c r="G4855" i="1"/>
  <c r="D4855" i="1"/>
  <c r="G4854" i="1"/>
  <c r="D4854" i="1"/>
  <c r="G4853" i="1"/>
  <c r="D4853" i="1"/>
  <c r="G4852" i="1"/>
  <c r="D4852" i="1"/>
  <c r="G4851" i="1"/>
  <c r="D4851" i="1"/>
  <c r="G4850" i="1"/>
  <c r="D4850" i="1"/>
  <c r="G4849" i="1"/>
  <c r="D4849" i="1"/>
  <c r="G4848" i="1"/>
  <c r="D4848" i="1"/>
  <c r="G4847" i="1"/>
  <c r="D4847" i="1"/>
  <c r="G4846" i="1"/>
  <c r="D4846" i="1"/>
  <c r="G4845" i="1"/>
  <c r="D4845" i="1"/>
  <c r="G4844" i="1"/>
  <c r="D4844" i="1"/>
  <c r="G4843" i="1"/>
  <c r="D4843" i="1"/>
  <c r="G4842" i="1"/>
  <c r="D4842" i="1"/>
  <c r="G4841" i="1"/>
  <c r="D4841" i="1"/>
  <c r="G4840" i="1"/>
  <c r="D4840" i="1"/>
  <c r="G4839" i="1"/>
  <c r="D4839" i="1"/>
  <c r="G4838" i="1"/>
  <c r="D4838" i="1"/>
  <c r="G4837" i="1"/>
  <c r="D4837" i="1"/>
  <c r="G4836" i="1"/>
  <c r="D4836" i="1"/>
  <c r="G4835" i="1"/>
  <c r="D4835" i="1"/>
  <c r="G4834" i="1"/>
  <c r="D4834" i="1"/>
  <c r="G4833" i="1"/>
  <c r="D4833" i="1"/>
  <c r="G4832" i="1"/>
  <c r="D4832" i="1"/>
  <c r="G4831" i="1"/>
  <c r="D4831" i="1"/>
  <c r="G4830" i="1"/>
  <c r="D4830" i="1"/>
  <c r="G4829" i="1"/>
  <c r="D4829" i="1"/>
  <c r="G4828" i="1"/>
  <c r="D4828" i="1"/>
  <c r="G4827" i="1"/>
  <c r="D4827" i="1"/>
  <c r="G4826" i="1"/>
  <c r="D4826" i="1"/>
  <c r="G4825" i="1"/>
  <c r="D4825" i="1"/>
  <c r="G4824" i="1"/>
  <c r="D4824" i="1"/>
  <c r="G4823" i="1"/>
  <c r="D4823" i="1"/>
  <c r="G4822" i="1"/>
  <c r="D4822" i="1"/>
  <c r="G4821" i="1"/>
  <c r="D4821" i="1"/>
  <c r="G4820" i="1"/>
  <c r="D4820" i="1"/>
  <c r="G4818" i="1"/>
  <c r="D4818" i="1"/>
  <c r="G4817" i="1"/>
  <c r="D4817" i="1"/>
  <c r="G4816" i="1"/>
  <c r="D4816" i="1"/>
  <c r="G4815" i="1"/>
  <c r="D4815" i="1"/>
  <c r="G4814" i="1"/>
  <c r="D4814" i="1"/>
  <c r="G4813" i="1"/>
  <c r="D4813" i="1"/>
  <c r="G4812" i="1"/>
  <c r="D4812" i="1"/>
  <c r="G4811" i="1"/>
  <c r="D4811" i="1"/>
  <c r="G4810" i="1"/>
  <c r="D4810" i="1"/>
  <c r="G4809" i="1"/>
  <c r="D4809" i="1"/>
  <c r="G4808" i="1"/>
  <c r="D4808" i="1"/>
  <c r="G4807" i="1"/>
  <c r="D4807" i="1"/>
  <c r="G4806" i="1"/>
  <c r="D4806" i="1"/>
  <c r="G4805" i="1"/>
  <c r="D4805" i="1"/>
  <c r="G4804" i="1"/>
  <c r="D4804" i="1"/>
  <c r="G4803" i="1"/>
  <c r="D4803" i="1"/>
  <c r="G4802" i="1"/>
  <c r="D4802" i="1"/>
  <c r="G4801" i="1"/>
  <c r="D4801" i="1"/>
  <c r="G4800" i="1"/>
  <c r="D4800" i="1"/>
  <c r="G4799" i="1"/>
  <c r="D4799" i="1"/>
  <c r="G4798" i="1"/>
  <c r="D4798" i="1"/>
  <c r="G4797" i="1"/>
  <c r="D4797" i="1"/>
  <c r="G4796" i="1"/>
  <c r="D4796" i="1"/>
  <c r="G4795" i="1"/>
  <c r="D4795" i="1"/>
  <c r="G4794" i="1"/>
  <c r="D4794" i="1"/>
  <c r="G4793" i="1"/>
  <c r="D4793" i="1"/>
  <c r="G4792" i="1"/>
  <c r="D4792" i="1"/>
  <c r="G4791" i="1"/>
  <c r="D4791" i="1"/>
  <c r="G4790" i="1"/>
  <c r="D4790" i="1"/>
  <c r="G4789" i="1"/>
  <c r="D4789" i="1"/>
  <c r="G4788" i="1"/>
  <c r="D4788" i="1"/>
  <c r="G4787" i="1"/>
  <c r="D4787" i="1"/>
  <c r="G4786" i="1"/>
  <c r="D4786" i="1"/>
  <c r="G4785" i="1"/>
  <c r="D4785" i="1"/>
  <c r="G4784" i="1"/>
  <c r="D4784" i="1"/>
  <c r="G4783" i="1"/>
  <c r="D4783" i="1"/>
  <c r="G4782" i="1"/>
  <c r="D4782" i="1"/>
  <c r="G4781" i="1"/>
  <c r="D4781" i="1"/>
  <c r="G4780" i="1"/>
  <c r="D4780" i="1"/>
  <c r="G4779" i="1"/>
  <c r="D4779" i="1"/>
  <c r="G4778" i="1"/>
  <c r="D4778" i="1"/>
  <c r="G4777" i="1"/>
  <c r="D4777" i="1"/>
  <c r="G4776" i="1"/>
  <c r="D4776" i="1"/>
  <c r="G4775" i="1"/>
  <c r="D4775" i="1"/>
  <c r="G4774" i="1"/>
  <c r="D4774" i="1"/>
  <c r="G4773" i="1"/>
  <c r="D4773" i="1"/>
  <c r="G4772" i="1"/>
  <c r="D4772" i="1"/>
  <c r="G4771" i="1"/>
  <c r="D4771" i="1"/>
  <c r="G4770" i="1"/>
  <c r="D4770" i="1"/>
  <c r="G4769" i="1"/>
  <c r="D4769" i="1"/>
  <c r="G4768" i="1"/>
  <c r="D4768" i="1"/>
  <c r="G4767" i="1"/>
  <c r="D4767" i="1"/>
  <c r="G4766" i="1"/>
  <c r="D4766" i="1"/>
  <c r="G4765" i="1"/>
  <c r="D4765" i="1"/>
  <c r="G4764" i="1"/>
  <c r="D4764" i="1"/>
  <c r="G4763" i="1"/>
  <c r="D4763" i="1"/>
  <c r="G4762" i="1"/>
  <c r="D4762" i="1"/>
  <c r="G4761" i="1"/>
  <c r="D4761" i="1"/>
  <c r="G4760" i="1"/>
  <c r="D4760" i="1"/>
  <c r="G4759" i="1"/>
  <c r="D4759" i="1"/>
  <c r="G4758" i="1"/>
  <c r="D4758" i="1"/>
  <c r="G4757" i="1"/>
  <c r="D4757" i="1"/>
  <c r="G4756" i="1"/>
  <c r="D4756" i="1"/>
  <c r="G4755" i="1"/>
  <c r="D4755" i="1"/>
  <c r="G4754" i="1"/>
  <c r="D4754" i="1"/>
  <c r="G4753" i="1"/>
  <c r="D4753" i="1"/>
  <c r="G4752" i="1"/>
  <c r="D4752" i="1"/>
  <c r="G4751" i="1"/>
  <c r="D4751" i="1"/>
  <c r="G4750" i="1"/>
  <c r="D4750" i="1"/>
  <c r="G4749" i="1"/>
  <c r="D4749" i="1"/>
  <c r="G4748" i="1"/>
  <c r="D4748" i="1"/>
  <c r="G4747" i="1"/>
  <c r="D4747" i="1"/>
  <c r="G4746" i="1"/>
  <c r="D4746" i="1"/>
  <c r="G4745" i="1"/>
  <c r="D4745" i="1"/>
  <c r="G4744" i="1"/>
  <c r="D4744" i="1"/>
  <c r="G4743" i="1"/>
  <c r="D4743" i="1"/>
  <c r="G4742" i="1"/>
  <c r="D4742" i="1"/>
  <c r="G4741" i="1"/>
  <c r="D4741" i="1"/>
  <c r="G4740" i="1"/>
  <c r="D4740" i="1"/>
  <c r="G4739" i="1"/>
  <c r="D4739" i="1"/>
  <c r="G4738" i="1"/>
  <c r="D4738" i="1"/>
  <c r="G4737" i="1"/>
  <c r="D4737" i="1"/>
  <c r="G4736" i="1"/>
  <c r="D4736" i="1"/>
  <c r="G4735" i="1"/>
  <c r="D4735" i="1"/>
  <c r="G4734" i="1"/>
  <c r="D4734" i="1"/>
  <c r="G4733" i="1"/>
  <c r="D4733" i="1"/>
  <c r="G4732" i="1"/>
  <c r="D4732" i="1"/>
  <c r="G4731" i="1"/>
  <c r="D4731" i="1"/>
  <c r="G4730" i="1"/>
  <c r="D4730" i="1"/>
  <c r="G4729" i="1"/>
  <c r="D4729" i="1"/>
  <c r="G4728" i="1"/>
  <c r="D4728" i="1"/>
  <c r="G4727" i="1"/>
  <c r="D4727" i="1"/>
  <c r="G4726" i="1"/>
  <c r="D4726" i="1"/>
  <c r="G4725" i="1"/>
  <c r="D4725" i="1"/>
  <c r="G4724" i="1"/>
  <c r="D4724" i="1"/>
  <c r="G4723" i="1"/>
  <c r="D4723" i="1"/>
  <c r="G4722" i="1"/>
  <c r="D4722" i="1"/>
  <c r="G4721" i="1"/>
  <c r="D4721" i="1"/>
  <c r="G4720" i="1"/>
  <c r="D4720" i="1"/>
  <c r="G4719" i="1"/>
  <c r="D4719" i="1"/>
  <c r="G4718" i="1"/>
  <c r="D4718" i="1"/>
  <c r="G4717" i="1"/>
  <c r="D4717" i="1"/>
  <c r="G4716" i="1"/>
  <c r="D4716" i="1"/>
  <c r="G4715" i="1"/>
  <c r="D4715" i="1"/>
  <c r="G4714" i="1"/>
  <c r="D4714" i="1"/>
  <c r="G4713" i="1"/>
  <c r="D4713" i="1"/>
  <c r="G4712" i="1"/>
  <c r="D4712" i="1"/>
  <c r="G4711" i="1"/>
  <c r="D4711" i="1"/>
  <c r="G4710" i="1"/>
  <c r="D4710" i="1"/>
  <c r="G4709" i="1"/>
  <c r="D4709" i="1"/>
  <c r="G4708" i="1"/>
  <c r="D4708" i="1"/>
  <c r="G4707" i="1"/>
  <c r="D4707" i="1"/>
  <c r="G4706" i="1"/>
  <c r="D4706" i="1"/>
  <c r="G4705" i="1"/>
  <c r="D4705" i="1"/>
  <c r="G4704" i="1"/>
  <c r="D4704" i="1"/>
  <c r="G4703" i="1"/>
  <c r="D4703" i="1"/>
  <c r="G4702" i="1"/>
  <c r="D4702" i="1"/>
  <c r="G4701" i="1"/>
  <c r="D4701" i="1"/>
  <c r="G4700" i="1"/>
  <c r="D4700" i="1"/>
  <c r="G4699" i="1"/>
  <c r="D4699" i="1"/>
  <c r="G4698" i="1"/>
  <c r="D4698" i="1"/>
  <c r="G4697" i="1"/>
  <c r="D4697" i="1"/>
  <c r="G4696" i="1"/>
  <c r="D4696" i="1"/>
  <c r="G4695" i="1"/>
  <c r="D4695" i="1"/>
  <c r="G4694" i="1"/>
  <c r="D4694" i="1"/>
  <c r="G4693" i="1"/>
  <c r="D4693" i="1"/>
  <c r="G4692" i="1"/>
  <c r="D4692" i="1"/>
  <c r="G4691" i="1"/>
  <c r="D4691" i="1"/>
  <c r="G4690" i="1"/>
  <c r="D4690" i="1"/>
  <c r="G4689" i="1"/>
  <c r="D4689" i="1"/>
  <c r="G4688" i="1"/>
  <c r="D4688" i="1"/>
  <c r="G4687" i="1"/>
  <c r="D4687" i="1"/>
  <c r="G4686" i="1"/>
  <c r="D4686" i="1"/>
  <c r="G4685" i="1"/>
  <c r="D4685" i="1"/>
  <c r="G4684" i="1"/>
  <c r="D4684" i="1"/>
  <c r="G4683" i="1"/>
  <c r="D4683" i="1"/>
  <c r="G4682" i="1"/>
  <c r="D4682" i="1"/>
  <c r="G4681" i="1"/>
  <c r="D4681" i="1"/>
  <c r="G4680" i="1"/>
  <c r="D4680" i="1"/>
  <c r="G4679" i="1"/>
  <c r="D4679" i="1"/>
  <c r="G4678" i="1"/>
  <c r="D4678" i="1"/>
  <c r="G4677" i="1"/>
  <c r="D4677" i="1"/>
  <c r="G4676" i="1"/>
  <c r="D4676" i="1"/>
  <c r="G4675" i="1"/>
  <c r="D4675" i="1"/>
  <c r="G4674" i="1"/>
  <c r="D4674" i="1"/>
  <c r="G4673" i="1"/>
  <c r="D4673" i="1"/>
  <c r="G4672" i="1"/>
  <c r="D4672" i="1"/>
  <c r="G4671" i="1"/>
  <c r="D4671" i="1"/>
  <c r="G4670" i="1"/>
  <c r="D4670" i="1"/>
  <c r="G4669" i="1"/>
  <c r="D4669" i="1"/>
  <c r="G4668" i="1"/>
  <c r="D4668" i="1"/>
  <c r="G4667" i="1"/>
  <c r="D4667" i="1"/>
  <c r="G4666" i="1"/>
  <c r="D4666" i="1"/>
  <c r="G4665" i="1"/>
  <c r="D4665" i="1"/>
  <c r="G4664" i="1"/>
  <c r="D4664" i="1"/>
  <c r="G4663" i="1"/>
  <c r="D4663" i="1"/>
  <c r="G4662" i="1"/>
  <c r="D4662" i="1"/>
  <c r="G4661" i="1"/>
  <c r="D4661" i="1"/>
  <c r="G4660" i="1"/>
  <c r="D4660" i="1"/>
  <c r="G4659" i="1"/>
  <c r="D4659" i="1"/>
  <c r="G4658" i="1"/>
  <c r="D4658" i="1"/>
  <c r="G4657" i="1"/>
  <c r="D4657" i="1"/>
  <c r="G4656" i="1"/>
  <c r="D4656" i="1"/>
  <c r="G4655" i="1"/>
  <c r="D4655" i="1"/>
  <c r="G4654" i="1"/>
  <c r="D4654" i="1"/>
  <c r="G4653" i="1"/>
  <c r="D4653" i="1"/>
  <c r="G4652" i="1"/>
  <c r="D4652" i="1"/>
  <c r="G4651" i="1"/>
  <c r="D4651" i="1"/>
  <c r="G4650" i="1"/>
  <c r="D4650" i="1"/>
  <c r="G4649" i="1"/>
  <c r="D4649" i="1"/>
  <c r="G4648" i="1"/>
  <c r="D4648" i="1"/>
  <c r="G4647" i="1"/>
  <c r="D4647" i="1"/>
  <c r="G4646" i="1"/>
  <c r="D4646" i="1"/>
  <c r="G4645" i="1"/>
  <c r="D4645" i="1"/>
  <c r="G4644" i="1"/>
  <c r="D4644" i="1"/>
  <c r="G4643" i="1"/>
  <c r="D4643" i="1"/>
  <c r="G4642" i="1"/>
  <c r="D4642" i="1"/>
  <c r="G4641" i="1"/>
  <c r="D4641" i="1"/>
  <c r="G4640" i="1"/>
  <c r="D4640" i="1"/>
  <c r="G4639" i="1"/>
  <c r="D4639" i="1"/>
  <c r="G4638" i="1"/>
  <c r="D4638" i="1"/>
  <c r="G4637" i="1"/>
  <c r="D4637" i="1"/>
  <c r="G4636" i="1"/>
  <c r="D4636" i="1"/>
  <c r="G4635" i="1"/>
  <c r="D4635" i="1"/>
  <c r="G4634" i="1"/>
  <c r="D4634" i="1"/>
  <c r="G4633" i="1"/>
  <c r="D4633" i="1"/>
  <c r="G4632" i="1"/>
  <c r="D4632" i="1"/>
  <c r="G4631" i="1"/>
  <c r="D4631" i="1"/>
  <c r="G4630" i="1"/>
  <c r="D4630" i="1"/>
  <c r="G4629" i="1"/>
  <c r="D4629" i="1"/>
  <c r="G4628" i="1"/>
  <c r="D4628" i="1"/>
  <c r="G4627" i="1"/>
  <c r="D4627" i="1"/>
  <c r="G4626" i="1"/>
  <c r="D4626" i="1"/>
  <c r="G4625" i="1"/>
  <c r="D4625" i="1"/>
  <c r="G4624" i="1"/>
  <c r="D4624" i="1"/>
  <c r="G4623" i="1"/>
  <c r="D4623" i="1"/>
  <c r="G4622" i="1"/>
  <c r="D4622" i="1"/>
  <c r="G4621" i="1"/>
  <c r="D4621" i="1"/>
  <c r="G4620" i="1"/>
  <c r="D4620" i="1"/>
  <c r="G4619" i="1"/>
  <c r="D4619" i="1"/>
  <c r="G4618" i="1"/>
  <c r="D4618" i="1"/>
  <c r="G4617" i="1"/>
  <c r="D4617" i="1"/>
  <c r="G4616" i="1"/>
  <c r="D4616" i="1"/>
  <c r="G4615" i="1"/>
  <c r="D4615" i="1"/>
  <c r="G4614" i="1"/>
  <c r="D4614" i="1"/>
  <c r="G4613" i="1"/>
  <c r="D4613" i="1"/>
  <c r="G4612" i="1"/>
  <c r="D4612" i="1"/>
  <c r="G4611" i="1"/>
  <c r="D4611" i="1"/>
  <c r="G4610" i="1"/>
  <c r="D4610" i="1"/>
  <c r="G4609" i="1"/>
  <c r="D4609" i="1"/>
  <c r="G4608" i="1"/>
  <c r="D4608" i="1"/>
  <c r="G4607" i="1"/>
  <c r="D4607" i="1"/>
  <c r="G4606" i="1"/>
  <c r="D4606" i="1"/>
  <c r="G4605" i="1"/>
  <c r="D4605" i="1"/>
  <c r="G4604" i="1"/>
  <c r="D4604" i="1"/>
  <c r="G4603" i="1"/>
  <c r="D4603" i="1"/>
  <c r="G4602" i="1"/>
  <c r="D4602" i="1"/>
  <c r="G4601" i="1"/>
  <c r="D4601" i="1"/>
  <c r="G4600" i="1"/>
  <c r="D4600" i="1"/>
  <c r="G4599" i="1"/>
  <c r="D4599" i="1"/>
  <c r="G4598" i="1"/>
  <c r="D4598" i="1"/>
  <c r="G4597" i="1"/>
  <c r="D4597" i="1"/>
  <c r="G4596" i="1"/>
  <c r="D4596" i="1"/>
  <c r="G4595" i="1"/>
  <c r="D4595" i="1"/>
  <c r="G4594" i="1"/>
  <c r="D4594" i="1"/>
  <c r="G4593" i="1"/>
  <c r="D4593" i="1"/>
  <c r="G4592" i="1"/>
  <c r="D4592" i="1"/>
  <c r="G4591" i="1"/>
  <c r="D4591" i="1"/>
  <c r="G4590" i="1"/>
  <c r="D4590" i="1"/>
  <c r="G4589" i="1"/>
  <c r="D4589" i="1"/>
  <c r="G4588" i="1"/>
  <c r="D4588" i="1"/>
  <c r="G4587" i="1"/>
  <c r="D4587" i="1"/>
  <c r="G4586" i="1"/>
  <c r="D4586" i="1"/>
  <c r="G4585" i="1"/>
  <c r="D4585" i="1"/>
  <c r="G4584" i="1"/>
  <c r="D4584" i="1"/>
  <c r="G4583" i="1"/>
  <c r="D4583" i="1"/>
  <c r="G4582" i="1"/>
  <c r="D4582" i="1"/>
  <c r="G4581" i="1"/>
  <c r="D4581" i="1"/>
  <c r="G4580" i="1"/>
  <c r="D4580" i="1"/>
  <c r="G4579" i="1"/>
  <c r="D4579" i="1"/>
  <c r="G4578" i="1"/>
  <c r="D4578" i="1"/>
  <c r="G4577" i="1"/>
  <c r="D4577" i="1"/>
  <c r="G4576" i="1"/>
  <c r="D4576" i="1"/>
  <c r="G4575" i="1"/>
  <c r="D4575" i="1"/>
  <c r="G4574" i="1"/>
  <c r="D4574" i="1"/>
  <c r="G4573" i="1"/>
  <c r="D4573" i="1"/>
  <c r="G4572" i="1"/>
  <c r="D4572" i="1"/>
  <c r="G4571" i="1"/>
  <c r="D4571" i="1"/>
  <c r="G4570" i="1"/>
  <c r="D4570" i="1"/>
  <c r="G4569" i="1"/>
  <c r="D4569" i="1"/>
  <c r="G4568" i="1"/>
  <c r="D4568" i="1"/>
  <c r="G4567" i="1"/>
  <c r="D4567" i="1"/>
  <c r="G4566" i="1"/>
  <c r="D4566" i="1"/>
  <c r="G4565" i="1"/>
  <c r="D4565" i="1"/>
  <c r="G4564" i="1"/>
  <c r="D4564" i="1"/>
  <c r="G4563" i="1"/>
  <c r="D4563" i="1"/>
  <c r="G4562" i="1"/>
  <c r="D4562" i="1"/>
  <c r="G4561" i="1"/>
  <c r="D4561" i="1"/>
  <c r="G4560" i="1"/>
  <c r="D4560" i="1"/>
  <c r="G4559" i="1"/>
  <c r="D4559" i="1"/>
  <c r="G4558" i="1"/>
  <c r="D4558" i="1"/>
  <c r="G4557" i="1"/>
  <c r="D4557" i="1"/>
  <c r="G4556" i="1"/>
  <c r="D4556" i="1"/>
  <c r="G4555" i="1"/>
  <c r="D4555" i="1"/>
  <c r="G4554" i="1"/>
  <c r="D4554" i="1"/>
  <c r="G4553" i="1"/>
  <c r="D4553" i="1"/>
  <c r="G4552" i="1"/>
  <c r="D4552" i="1"/>
  <c r="G4551" i="1"/>
  <c r="D4551" i="1"/>
  <c r="G4550" i="1"/>
  <c r="D4550" i="1"/>
  <c r="G4549" i="1"/>
  <c r="D4549" i="1"/>
  <c r="G4548" i="1"/>
  <c r="D4548" i="1"/>
  <c r="G4547" i="1"/>
  <c r="D4547" i="1"/>
  <c r="G4546" i="1"/>
  <c r="D4546" i="1"/>
  <c r="G4545" i="1"/>
  <c r="D4545" i="1"/>
  <c r="G4544" i="1"/>
  <c r="D4544" i="1"/>
  <c r="G4543" i="1"/>
  <c r="D4543" i="1"/>
  <c r="G4542" i="1"/>
  <c r="D4542" i="1"/>
  <c r="G4541" i="1"/>
  <c r="D4541" i="1"/>
  <c r="G4540" i="1"/>
  <c r="D4540" i="1"/>
  <c r="G4539" i="1"/>
  <c r="D4539" i="1"/>
  <c r="G4538" i="1"/>
  <c r="D4538" i="1"/>
  <c r="G4537" i="1"/>
  <c r="D4537" i="1"/>
  <c r="G4536" i="1"/>
  <c r="D4536" i="1"/>
  <c r="G4535" i="1"/>
  <c r="D4535" i="1"/>
  <c r="G4534" i="1"/>
  <c r="D4534" i="1"/>
  <c r="G4533" i="1"/>
  <c r="D4533" i="1"/>
  <c r="G4532" i="1"/>
  <c r="D4532" i="1"/>
  <c r="G4531" i="1"/>
  <c r="D4531" i="1"/>
  <c r="G4530" i="1"/>
  <c r="D4530" i="1"/>
  <c r="G4529" i="1"/>
  <c r="D4529" i="1"/>
  <c r="G4528" i="1"/>
  <c r="D4528" i="1"/>
  <c r="G4527" i="1"/>
  <c r="D4527" i="1"/>
  <c r="G4526" i="1"/>
  <c r="D4526" i="1"/>
  <c r="G4525" i="1"/>
  <c r="D4525" i="1"/>
  <c r="G4524" i="1"/>
  <c r="D4524" i="1"/>
  <c r="G4523" i="1"/>
  <c r="D4523" i="1"/>
  <c r="G4522" i="1"/>
  <c r="D4522" i="1"/>
  <c r="G4521" i="1"/>
  <c r="D4521" i="1"/>
  <c r="G4520" i="1"/>
  <c r="D4520" i="1"/>
  <c r="G4519" i="1"/>
  <c r="D4519" i="1"/>
  <c r="G4518" i="1"/>
  <c r="D4518" i="1"/>
  <c r="G4517" i="1"/>
  <c r="D4517" i="1"/>
  <c r="G4516" i="1"/>
  <c r="D4516" i="1"/>
  <c r="G4515" i="1"/>
  <c r="D4515" i="1"/>
  <c r="G4514" i="1"/>
  <c r="D4514" i="1"/>
  <c r="G4513" i="1"/>
  <c r="D4513" i="1"/>
  <c r="G4512" i="1"/>
  <c r="D4512" i="1"/>
  <c r="G4511" i="1"/>
  <c r="D4511" i="1"/>
  <c r="G4510" i="1"/>
  <c r="D4510" i="1"/>
  <c r="G4509" i="1"/>
  <c r="D4509" i="1"/>
  <c r="G4508" i="1"/>
  <c r="D4508" i="1"/>
  <c r="G4507" i="1"/>
  <c r="D4507" i="1"/>
  <c r="G4506" i="1"/>
  <c r="D4506" i="1"/>
  <c r="G4505" i="1"/>
  <c r="D4505" i="1"/>
  <c r="G4504" i="1"/>
  <c r="D4504" i="1"/>
  <c r="G4503" i="1"/>
  <c r="D4503" i="1"/>
  <c r="G4502" i="1"/>
  <c r="D4502" i="1"/>
  <c r="G4501" i="1"/>
  <c r="D4501" i="1"/>
  <c r="G4500" i="1"/>
  <c r="D4500" i="1"/>
  <c r="G4499" i="1"/>
  <c r="D4499" i="1"/>
  <c r="G4498" i="1"/>
  <c r="D4498" i="1"/>
  <c r="G4497" i="1"/>
  <c r="D4497" i="1"/>
  <c r="G4496" i="1"/>
  <c r="D4496" i="1"/>
  <c r="G4495" i="1"/>
  <c r="D4495" i="1"/>
  <c r="G4494" i="1"/>
  <c r="D4494" i="1"/>
  <c r="G4493" i="1"/>
  <c r="D4493" i="1"/>
  <c r="G4492" i="1"/>
  <c r="D4492" i="1"/>
  <c r="G4491" i="1"/>
  <c r="D4491" i="1"/>
  <c r="G4490" i="1"/>
  <c r="D4490" i="1"/>
  <c r="G4489" i="1"/>
  <c r="D4489" i="1"/>
  <c r="G4488" i="1"/>
  <c r="D4488" i="1"/>
  <c r="G4487" i="1"/>
  <c r="D4487" i="1"/>
  <c r="G4486" i="1"/>
  <c r="D4486" i="1"/>
  <c r="G4485" i="1"/>
  <c r="D4485" i="1"/>
  <c r="G4484" i="1"/>
  <c r="D4484" i="1"/>
  <c r="G4483" i="1"/>
  <c r="D4483" i="1"/>
  <c r="G4482" i="1"/>
  <c r="D4482" i="1"/>
  <c r="G4481" i="1"/>
  <c r="D4481" i="1"/>
  <c r="G4480" i="1"/>
  <c r="D4480" i="1"/>
  <c r="G4479" i="1"/>
  <c r="D4479" i="1"/>
  <c r="G4478" i="1"/>
  <c r="D4478" i="1"/>
  <c r="G4477" i="1"/>
  <c r="D4477" i="1"/>
  <c r="G4476" i="1"/>
  <c r="D4476" i="1"/>
  <c r="G4475" i="1"/>
  <c r="D4475" i="1"/>
  <c r="G4474" i="1"/>
  <c r="D4474" i="1"/>
  <c r="G4473" i="1"/>
  <c r="D4473" i="1"/>
  <c r="G4472" i="1"/>
  <c r="D4472" i="1"/>
  <c r="G4471" i="1"/>
  <c r="D4471" i="1"/>
  <c r="G4470" i="1"/>
  <c r="D4470" i="1"/>
  <c r="G4469" i="1"/>
  <c r="D4469" i="1"/>
  <c r="G4468" i="1"/>
  <c r="D4468" i="1"/>
  <c r="G4467" i="1"/>
  <c r="D4467" i="1"/>
  <c r="G4466" i="1"/>
  <c r="D4466" i="1"/>
  <c r="G4465" i="1"/>
  <c r="D4465" i="1"/>
  <c r="G4464" i="1"/>
  <c r="D4464" i="1"/>
  <c r="G4463" i="1"/>
  <c r="D4463" i="1"/>
  <c r="G4462" i="1"/>
  <c r="D4462" i="1"/>
  <c r="G4461" i="1"/>
  <c r="D4461" i="1"/>
  <c r="G4460" i="1"/>
  <c r="D4460" i="1"/>
  <c r="G4459" i="1"/>
  <c r="D4459" i="1"/>
  <c r="G4458" i="1"/>
  <c r="D4458" i="1"/>
  <c r="G4457" i="1"/>
  <c r="D4457" i="1"/>
  <c r="G4456" i="1"/>
  <c r="D4456" i="1"/>
  <c r="G4455" i="1"/>
  <c r="D4455" i="1"/>
  <c r="G4454" i="1"/>
  <c r="D4454" i="1"/>
  <c r="G4453" i="1"/>
  <c r="D4453" i="1"/>
  <c r="G4452" i="1"/>
  <c r="D4452" i="1"/>
  <c r="G4451" i="1"/>
  <c r="D4451" i="1"/>
  <c r="G4450" i="1"/>
  <c r="D4450" i="1"/>
  <c r="G4449" i="1"/>
  <c r="D4449" i="1"/>
  <c r="G4448" i="1"/>
  <c r="D4448" i="1"/>
  <c r="G4447" i="1"/>
  <c r="D4447" i="1"/>
  <c r="G4446" i="1"/>
  <c r="D4446" i="1"/>
  <c r="G4445" i="1"/>
  <c r="D4445" i="1"/>
  <c r="G4444" i="1"/>
  <c r="D4444" i="1"/>
  <c r="G4443" i="1"/>
  <c r="D4443" i="1"/>
  <c r="G4442" i="1"/>
  <c r="D4442" i="1"/>
  <c r="G4441" i="1"/>
  <c r="D4441" i="1"/>
  <c r="G4440" i="1"/>
  <c r="D4440" i="1"/>
  <c r="G4439" i="1"/>
  <c r="D4439" i="1"/>
  <c r="G4438" i="1"/>
  <c r="D4438" i="1"/>
  <c r="G4437" i="1"/>
  <c r="D4437" i="1"/>
  <c r="G4436" i="1"/>
  <c r="D4436" i="1"/>
  <c r="G4435" i="1"/>
  <c r="D4435" i="1"/>
  <c r="G4434" i="1"/>
  <c r="D4434" i="1"/>
  <c r="G4433" i="1"/>
  <c r="D4433" i="1"/>
  <c r="G4432" i="1"/>
  <c r="D4432" i="1"/>
  <c r="G4431" i="1"/>
  <c r="D4431" i="1"/>
  <c r="G4430" i="1"/>
  <c r="D4430" i="1"/>
  <c r="G4429" i="1"/>
  <c r="D4429" i="1"/>
  <c r="G4428" i="1"/>
  <c r="D4428" i="1"/>
  <c r="G4427" i="1"/>
  <c r="D4427" i="1"/>
  <c r="G4426" i="1"/>
  <c r="D4426" i="1"/>
  <c r="G4425" i="1"/>
  <c r="D4425" i="1"/>
  <c r="G4424" i="1"/>
  <c r="D4424" i="1"/>
  <c r="G4423" i="1"/>
  <c r="D4423" i="1"/>
  <c r="G4422" i="1"/>
  <c r="D4422" i="1"/>
  <c r="G4421" i="1"/>
  <c r="D4421" i="1"/>
  <c r="G4420" i="1"/>
  <c r="D4420" i="1"/>
  <c r="G4419" i="1"/>
  <c r="D4419" i="1"/>
  <c r="G4418" i="1"/>
  <c r="D4418" i="1"/>
  <c r="G4417" i="1"/>
  <c r="D4417" i="1"/>
  <c r="G4416" i="1"/>
  <c r="D4416" i="1"/>
  <c r="G4415" i="1"/>
  <c r="D4415" i="1"/>
  <c r="G4414" i="1"/>
  <c r="D4414" i="1"/>
  <c r="G4413" i="1"/>
  <c r="D4413" i="1"/>
  <c r="G4412" i="1"/>
  <c r="D4412" i="1"/>
  <c r="G4411" i="1"/>
  <c r="D4411" i="1"/>
  <c r="G4410" i="1"/>
  <c r="D4410" i="1"/>
  <c r="G4409" i="1"/>
  <c r="D4409" i="1"/>
  <c r="G4408" i="1"/>
  <c r="D4408" i="1"/>
  <c r="G4407" i="1"/>
  <c r="D4407" i="1"/>
  <c r="G4406" i="1"/>
  <c r="D4406" i="1"/>
  <c r="G4405" i="1"/>
  <c r="D4405" i="1"/>
  <c r="G4404" i="1"/>
  <c r="D4404" i="1"/>
  <c r="G4403" i="1"/>
  <c r="D4403" i="1"/>
  <c r="G4402" i="1"/>
  <c r="D4402" i="1"/>
  <c r="G4401" i="1"/>
  <c r="D4401" i="1"/>
  <c r="G4400" i="1"/>
  <c r="D4400" i="1"/>
  <c r="G4399" i="1"/>
  <c r="D4399" i="1"/>
  <c r="G4398" i="1"/>
  <c r="D4398" i="1"/>
  <c r="G4397" i="1"/>
  <c r="D4397" i="1"/>
  <c r="G4396" i="1"/>
  <c r="D4396" i="1"/>
  <c r="G4395" i="1"/>
  <c r="D4395" i="1"/>
  <c r="G4394" i="1"/>
  <c r="D4394" i="1"/>
  <c r="G4393" i="1"/>
  <c r="D4393" i="1"/>
  <c r="G4392" i="1"/>
  <c r="D4392" i="1"/>
  <c r="G4391" i="1"/>
  <c r="D4391" i="1"/>
  <c r="G4390" i="1"/>
  <c r="D4390" i="1"/>
  <c r="G4389" i="1"/>
  <c r="D4389" i="1"/>
  <c r="G4388" i="1"/>
  <c r="D4388" i="1"/>
  <c r="G4387" i="1"/>
  <c r="D4387" i="1"/>
  <c r="G4386" i="1"/>
  <c r="D4386" i="1"/>
  <c r="G4385" i="1"/>
  <c r="D4385" i="1"/>
  <c r="G4384" i="1"/>
  <c r="D4384" i="1"/>
  <c r="G4383" i="1"/>
  <c r="D4383" i="1"/>
  <c r="G4382" i="1"/>
  <c r="D4382" i="1"/>
  <c r="G4381" i="1"/>
  <c r="D4381" i="1"/>
  <c r="G4380" i="1"/>
  <c r="D4380" i="1"/>
  <c r="G4379" i="1"/>
  <c r="D4379" i="1"/>
  <c r="G4378" i="1"/>
  <c r="D4378" i="1"/>
  <c r="G4377" i="1"/>
  <c r="D4377" i="1"/>
  <c r="G4376" i="1"/>
  <c r="D4376" i="1"/>
  <c r="G4375" i="1"/>
  <c r="D4375" i="1"/>
  <c r="G4374" i="1"/>
  <c r="D4374" i="1"/>
  <c r="G4373" i="1"/>
  <c r="D4373" i="1"/>
  <c r="G4372" i="1"/>
  <c r="D4372" i="1"/>
  <c r="G4371" i="1"/>
  <c r="D4371" i="1"/>
  <c r="G4370" i="1"/>
  <c r="D4370" i="1"/>
  <c r="G4369" i="1"/>
  <c r="D4369" i="1"/>
  <c r="G4368" i="1"/>
  <c r="D4368" i="1"/>
  <c r="G4367" i="1"/>
  <c r="D4367" i="1"/>
  <c r="G4366" i="1"/>
  <c r="D4366" i="1"/>
  <c r="G4365" i="1"/>
  <c r="D4365" i="1"/>
  <c r="G4364" i="1"/>
  <c r="D4364" i="1"/>
  <c r="G4363" i="1"/>
  <c r="D4363" i="1"/>
  <c r="G4362" i="1"/>
  <c r="D4362" i="1"/>
  <c r="G4361" i="1"/>
  <c r="D4361" i="1"/>
  <c r="G4360" i="1"/>
  <c r="D4360" i="1"/>
  <c r="G4359" i="1"/>
  <c r="D4359" i="1"/>
  <c r="G4358" i="1"/>
  <c r="D4358" i="1"/>
  <c r="G4357" i="1"/>
  <c r="D4357" i="1"/>
  <c r="G4356" i="1"/>
  <c r="D4356" i="1"/>
  <c r="G4355" i="1"/>
  <c r="D4355" i="1"/>
  <c r="G4354" i="1"/>
  <c r="D4354" i="1"/>
  <c r="G4353" i="1"/>
  <c r="D4353" i="1"/>
  <c r="G4352" i="1"/>
  <c r="D4352" i="1"/>
  <c r="G4351" i="1"/>
  <c r="D4351" i="1"/>
  <c r="G4350" i="1"/>
  <c r="D4350" i="1"/>
  <c r="G4349" i="1"/>
  <c r="D4349" i="1"/>
  <c r="G4348" i="1"/>
  <c r="D4348" i="1"/>
  <c r="G4347" i="1"/>
  <c r="D4347" i="1"/>
  <c r="G4346" i="1"/>
  <c r="D4346" i="1"/>
  <c r="G4345" i="1"/>
  <c r="D4345" i="1"/>
  <c r="G4344" i="1"/>
  <c r="D4344" i="1"/>
  <c r="G4343" i="1"/>
  <c r="D4343" i="1"/>
  <c r="G4342" i="1"/>
  <c r="D4342" i="1"/>
  <c r="G4341" i="1"/>
  <c r="D4341" i="1"/>
  <c r="G4340" i="1"/>
  <c r="D4340" i="1"/>
  <c r="G4339" i="1"/>
  <c r="D4339" i="1"/>
  <c r="G4338" i="1"/>
  <c r="D4338" i="1"/>
  <c r="G4337" i="1"/>
  <c r="D4337" i="1"/>
  <c r="G4336" i="1"/>
  <c r="D4336" i="1"/>
  <c r="G4335" i="1"/>
  <c r="D4335" i="1"/>
  <c r="G4334" i="1"/>
  <c r="D4334" i="1"/>
  <c r="G4333" i="1"/>
  <c r="D4333" i="1"/>
  <c r="G4332" i="1"/>
  <c r="D4332" i="1"/>
  <c r="G4331" i="1"/>
  <c r="D4331" i="1"/>
  <c r="G4330" i="1"/>
  <c r="D4330" i="1"/>
  <c r="G4329" i="1"/>
  <c r="D4329" i="1"/>
  <c r="G4328" i="1"/>
  <c r="D4328" i="1"/>
  <c r="G4327" i="1"/>
  <c r="D4327" i="1"/>
  <c r="G4326" i="1"/>
  <c r="D4326" i="1"/>
  <c r="G4325" i="1"/>
  <c r="D4325" i="1"/>
  <c r="G4324" i="1"/>
  <c r="D4324" i="1"/>
  <c r="G4323" i="1"/>
  <c r="D4323" i="1"/>
  <c r="G4322" i="1"/>
  <c r="D4322" i="1"/>
  <c r="G4321" i="1"/>
  <c r="D4321" i="1"/>
  <c r="G4320" i="1"/>
  <c r="D4320" i="1"/>
  <c r="G4319" i="1"/>
  <c r="D4319" i="1"/>
  <c r="G4318" i="1"/>
  <c r="D4318" i="1"/>
  <c r="G4317" i="1"/>
  <c r="D4317" i="1"/>
  <c r="G4316" i="1"/>
  <c r="D4316" i="1"/>
  <c r="G4315" i="1"/>
  <c r="D4315" i="1"/>
  <c r="G4314" i="1"/>
  <c r="D4314" i="1"/>
  <c r="G4313" i="1"/>
  <c r="D4313" i="1"/>
  <c r="G4312" i="1"/>
  <c r="D4312" i="1"/>
  <c r="G4311" i="1"/>
  <c r="D4311" i="1"/>
  <c r="G4310" i="1"/>
  <c r="D4310" i="1"/>
  <c r="G4309" i="1"/>
  <c r="D4309" i="1"/>
  <c r="G4308" i="1"/>
  <c r="D4308" i="1"/>
  <c r="G4307" i="1"/>
  <c r="D4307" i="1"/>
  <c r="G4306" i="1"/>
  <c r="D4306" i="1"/>
  <c r="G4305" i="1"/>
  <c r="D4305" i="1"/>
  <c r="G4304" i="1"/>
  <c r="D4304" i="1"/>
  <c r="G4303" i="1"/>
  <c r="D4303" i="1"/>
  <c r="G4302" i="1"/>
  <c r="D4302" i="1"/>
  <c r="G4301" i="1"/>
  <c r="D4301" i="1"/>
  <c r="G4300" i="1"/>
  <c r="D4300" i="1"/>
  <c r="G4299" i="1"/>
  <c r="D4299" i="1"/>
  <c r="G4298" i="1"/>
  <c r="D4298" i="1"/>
  <c r="G4297" i="1"/>
  <c r="D4297" i="1"/>
  <c r="G4296" i="1"/>
  <c r="D4296" i="1"/>
  <c r="G4295" i="1"/>
  <c r="D4295" i="1"/>
  <c r="G4294" i="1"/>
  <c r="D4294" i="1"/>
  <c r="G4293" i="1"/>
  <c r="D4293" i="1"/>
  <c r="G4292" i="1"/>
  <c r="D4292" i="1"/>
  <c r="G4291" i="1"/>
  <c r="D4291" i="1"/>
  <c r="G4290" i="1"/>
  <c r="D4290" i="1"/>
  <c r="G4289" i="1"/>
  <c r="D4289" i="1"/>
  <c r="G4288" i="1"/>
  <c r="D4288" i="1"/>
  <c r="G4287" i="1"/>
  <c r="D4287" i="1"/>
  <c r="G4286" i="1"/>
  <c r="D4286" i="1"/>
  <c r="G4285" i="1"/>
  <c r="D4285" i="1"/>
  <c r="G4284" i="1"/>
  <c r="D4284" i="1"/>
  <c r="G4283" i="1"/>
  <c r="D4283" i="1"/>
  <c r="G4282" i="1"/>
  <c r="D4282" i="1"/>
  <c r="G4281" i="1"/>
  <c r="D4281" i="1"/>
  <c r="G4280" i="1"/>
  <c r="D4280" i="1"/>
  <c r="G4279" i="1"/>
  <c r="D4279" i="1"/>
  <c r="G4278" i="1"/>
  <c r="D4278" i="1"/>
  <c r="G4277" i="1"/>
  <c r="D4277" i="1"/>
  <c r="G4276" i="1"/>
  <c r="D4276" i="1"/>
  <c r="G4275" i="1"/>
  <c r="D4275" i="1"/>
  <c r="G4274" i="1"/>
  <c r="D4274" i="1"/>
  <c r="G4273" i="1"/>
  <c r="D4273" i="1"/>
  <c r="G4272" i="1"/>
  <c r="D4272" i="1"/>
  <c r="G4271" i="1"/>
  <c r="D4271" i="1"/>
  <c r="G4270" i="1"/>
  <c r="D4270" i="1"/>
  <c r="G4269" i="1"/>
  <c r="D4269" i="1"/>
  <c r="G4268" i="1"/>
  <c r="D4268" i="1"/>
  <c r="G4267" i="1"/>
  <c r="D4267" i="1"/>
  <c r="G4266" i="1"/>
  <c r="D4266" i="1"/>
  <c r="G4265" i="1"/>
  <c r="D4265" i="1"/>
  <c r="G4264" i="1"/>
  <c r="D4264" i="1"/>
  <c r="G4263" i="1"/>
  <c r="D4263" i="1"/>
  <c r="G4262" i="1"/>
  <c r="D4262" i="1"/>
  <c r="G4261" i="1"/>
  <c r="D4261" i="1"/>
  <c r="G4260" i="1"/>
  <c r="D4260" i="1"/>
  <c r="G4259" i="1"/>
  <c r="D4259" i="1"/>
  <c r="G4258" i="1"/>
  <c r="D4258" i="1"/>
  <c r="G4257" i="1"/>
  <c r="D4257" i="1"/>
  <c r="G4256" i="1"/>
  <c r="D4256" i="1"/>
  <c r="G4255" i="1"/>
  <c r="D4255" i="1"/>
  <c r="G4254" i="1"/>
  <c r="D4254" i="1"/>
  <c r="G4253" i="1"/>
  <c r="D4253" i="1"/>
  <c r="G4252" i="1"/>
  <c r="D4252" i="1"/>
  <c r="G4251" i="1"/>
  <c r="D4251" i="1"/>
  <c r="G4250" i="1"/>
  <c r="D4250" i="1"/>
  <c r="G4249" i="1"/>
  <c r="D4249" i="1"/>
  <c r="G4248" i="1"/>
  <c r="D4248" i="1"/>
  <c r="G4247" i="1"/>
  <c r="D4247" i="1"/>
  <c r="G4246" i="1"/>
  <c r="D4246" i="1"/>
  <c r="G4245" i="1"/>
  <c r="D4245" i="1"/>
  <c r="G4244" i="1"/>
  <c r="D4244" i="1"/>
  <c r="G4243" i="1"/>
  <c r="D4243" i="1"/>
  <c r="G4242" i="1"/>
  <c r="D4242" i="1"/>
  <c r="G4241" i="1"/>
  <c r="D4241" i="1"/>
  <c r="G4240" i="1"/>
  <c r="D4240" i="1"/>
  <c r="G4239" i="1"/>
  <c r="D4239" i="1"/>
  <c r="G4238" i="1"/>
  <c r="D4238" i="1"/>
  <c r="G4237" i="1"/>
  <c r="D4237" i="1"/>
  <c r="G4236" i="1"/>
  <c r="D4236" i="1"/>
  <c r="G4235" i="1"/>
  <c r="D4235" i="1"/>
  <c r="G4234" i="1"/>
  <c r="D4234" i="1"/>
  <c r="G4233" i="1"/>
  <c r="D4233" i="1"/>
  <c r="G4232" i="1"/>
  <c r="D4232" i="1"/>
  <c r="G4231" i="1"/>
  <c r="D4231" i="1"/>
  <c r="G4230" i="1"/>
  <c r="D4230" i="1"/>
  <c r="G4229" i="1"/>
  <c r="D4229" i="1"/>
  <c r="G4228" i="1"/>
  <c r="D4228" i="1"/>
  <c r="G4227" i="1"/>
  <c r="D4227" i="1"/>
  <c r="G4226" i="1"/>
  <c r="D4226" i="1"/>
  <c r="G4225" i="1"/>
  <c r="D4225" i="1"/>
  <c r="G4224" i="1"/>
  <c r="D4224" i="1"/>
  <c r="G4223" i="1"/>
  <c r="D4223" i="1"/>
  <c r="G4222" i="1"/>
  <c r="D4222" i="1"/>
  <c r="G4221" i="1"/>
  <c r="D4221" i="1"/>
  <c r="G4220" i="1"/>
  <c r="D4220" i="1"/>
  <c r="G4219" i="1"/>
  <c r="D4219" i="1"/>
  <c r="G4218" i="1"/>
  <c r="D4218" i="1"/>
  <c r="G4217" i="1"/>
  <c r="D4217" i="1"/>
  <c r="G4216" i="1"/>
  <c r="D4216" i="1"/>
  <c r="G4215" i="1"/>
  <c r="D4215" i="1"/>
  <c r="G4214" i="1"/>
  <c r="D4214" i="1"/>
  <c r="G4213" i="1"/>
  <c r="D4213" i="1"/>
  <c r="G4212" i="1"/>
  <c r="D4212" i="1"/>
  <c r="G4211" i="1"/>
  <c r="D4211" i="1"/>
  <c r="G4210" i="1"/>
  <c r="D4210" i="1"/>
  <c r="G4209" i="1"/>
  <c r="D4209" i="1"/>
  <c r="G4208" i="1"/>
  <c r="D4208" i="1"/>
  <c r="G4207" i="1"/>
  <c r="D4207" i="1"/>
  <c r="G4206" i="1"/>
  <c r="D4206" i="1"/>
  <c r="G4205" i="1"/>
  <c r="D4205" i="1"/>
  <c r="G4204" i="1"/>
  <c r="D4204" i="1"/>
  <c r="G4203" i="1"/>
  <c r="D4203" i="1"/>
  <c r="G4202" i="1"/>
  <c r="D4202" i="1"/>
  <c r="G4201" i="1"/>
  <c r="D4201" i="1"/>
  <c r="G4200" i="1"/>
  <c r="D4200" i="1"/>
  <c r="G4199" i="1"/>
  <c r="D4199" i="1"/>
  <c r="G4198" i="1"/>
  <c r="D4198" i="1"/>
  <c r="G4197" i="1"/>
  <c r="D4197" i="1"/>
  <c r="G4196" i="1"/>
  <c r="D4196" i="1"/>
  <c r="G4195" i="1"/>
  <c r="D4195" i="1"/>
  <c r="G4194" i="1"/>
  <c r="D4194" i="1"/>
  <c r="G4193" i="1"/>
  <c r="D4193" i="1"/>
  <c r="G4192" i="1"/>
  <c r="D4192" i="1"/>
  <c r="G4191" i="1"/>
  <c r="D4191" i="1"/>
  <c r="G4190" i="1"/>
  <c r="D4190" i="1"/>
  <c r="G4189" i="1"/>
  <c r="D4189" i="1"/>
  <c r="G4188" i="1"/>
  <c r="D4188" i="1"/>
  <c r="G4187" i="1"/>
  <c r="D4187" i="1"/>
  <c r="G4186" i="1"/>
  <c r="D4186" i="1"/>
  <c r="G4185" i="1"/>
  <c r="D4185" i="1"/>
  <c r="G4184" i="1"/>
  <c r="D4184" i="1"/>
  <c r="G4183" i="1"/>
  <c r="D4183" i="1"/>
  <c r="G4182" i="1"/>
  <c r="D4182" i="1"/>
  <c r="G4181" i="1"/>
  <c r="D4181" i="1"/>
  <c r="G4180" i="1"/>
  <c r="D4180" i="1"/>
  <c r="G4179" i="1"/>
  <c r="D4179" i="1"/>
  <c r="G4178" i="1"/>
  <c r="D4178" i="1"/>
  <c r="G4177" i="1"/>
  <c r="D4177" i="1"/>
  <c r="G4176" i="1"/>
  <c r="D4176" i="1"/>
  <c r="G4175" i="1"/>
  <c r="D4175" i="1"/>
  <c r="G4174" i="1"/>
  <c r="D4174" i="1"/>
  <c r="G4173" i="1"/>
  <c r="D4173" i="1"/>
  <c r="G4172" i="1"/>
  <c r="D4172" i="1"/>
  <c r="G4171" i="1"/>
  <c r="D4171" i="1"/>
  <c r="G4170" i="1"/>
  <c r="D4170" i="1"/>
  <c r="G4169" i="1"/>
  <c r="D4169" i="1"/>
  <c r="G4168" i="1"/>
  <c r="D4168" i="1"/>
  <c r="G4167" i="1"/>
  <c r="D4167" i="1"/>
  <c r="G4166" i="1"/>
  <c r="D4166" i="1"/>
  <c r="G4165" i="1"/>
  <c r="D4165" i="1"/>
  <c r="G4164" i="1"/>
  <c r="D4164" i="1"/>
  <c r="G4163" i="1"/>
  <c r="D4163" i="1"/>
  <c r="G4162" i="1"/>
  <c r="D4162" i="1"/>
  <c r="G4161" i="1"/>
  <c r="D4161" i="1"/>
  <c r="G4160" i="1"/>
  <c r="D4160" i="1"/>
  <c r="G4159" i="1"/>
  <c r="D4159" i="1"/>
  <c r="G4158" i="1"/>
  <c r="D4158" i="1"/>
  <c r="G4157" i="1"/>
  <c r="D4157" i="1"/>
  <c r="G4156" i="1"/>
  <c r="D4156" i="1"/>
  <c r="G4155" i="1"/>
  <c r="D4155" i="1"/>
  <c r="G4154" i="1"/>
  <c r="D4154" i="1"/>
  <c r="G4153" i="1"/>
  <c r="D4153" i="1"/>
  <c r="G4152" i="1"/>
  <c r="D4152" i="1"/>
  <c r="G4151" i="1"/>
  <c r="D4151" i="1"/>
  <c r="G4150" i="1"/>
  <c r="D4150" i="1"/>
  <c r="G4149" i="1"/>
  <c r="D4149" i="1"/>
  <c r="G4148" i="1"/>
  <c r="D4148" i="1"/>
  <c r="G4147" i="1"/>
  <c r="D4147" i="1"/>
  <c r="G4146" i="1"/>
  <c r="D4146" i="1"/>
  <c r="G4145" i="1"/>
  <c r="D4145" i="1"/>
  <c r="G4144" i="1"/>
  <c r="D4144" i="1"/>
  <c r="G4143" i="1"/>
  <c r="D4143" i="1"/>
  <c r="G4142" i="1"/>
  <c r="D4142" i="1"/>
  <c r="G4141" i="1"/>
  <c r="D4141" i="1"/>
  <c r="G4140" i="1"/>
  <c r="D4140" i="1"/>
  <c r="G4139" i="1"/>
  <c r="D4139" i="1"/>
  <c r="G4138" i="1"/>
  <c r="D4138" i="1"/>
  <c r="G4137" i="1"/>
  <c r="D4137" i="1"/>
  <c r="G4136" i="1"/>
  <c r="D4136" i="1"/>
  <c r="G4135" i="1"/>
  <c r="D4135" i="1"/>
  <c r="G4134" i="1"/>
  <c r="D4134" i="1"/>
  <c r="G4133" i="1"/>
  <c r="D4133" i="1"/>
  <c r="G4132" i="1"/>
  <c r="D4132" i="1"/>
  <c r="G4131" i="1"/>
  <c r="D4131" i="1"/>
  <c r="G4130" i="1"/>
  <c r="D4130" i="1"/>
  <c r="G4129" i="1"/>
  <c r="D4129" i="1"/>
  <c r="G4128" i="1"/>
  <c r="D4128" i="1"/>
  <c r="G4127" i="1"/>
  <c r="D4127" i="1"/>
  <c r="G4126" i="1"/>
  <c r="D4126" i="1"/>
  <c r="G4125" i="1"/>
  <c r="D4125" i="1"/>
  <c r="G4124" i="1"/>
  <c r="D4124" i="1"/>
  <c r="G4123" i="1"/>
  <c r="D4123" i="1"/>
  <c r="G4122" i="1"/>
  <c r="D4122" i="1"/>
  <c r="G4121" i="1"/>
  <c r="D4121" i="1"/>
  <c r="G4120" i="1"/>
  <c r="D4120" i="1"/>
  <c r="G4119" i="1"/>
  <c r="D4119" i="1"/>
  <c r="G4118" i="1"/>
  <c r="D4118" i="1"/>
  <c r="G4117" i="1"/>
  <c r="D4117" i="1"/>
  <c r="G4116" i="1"/>
  <c r="D4116" i="1"/>
  <c r="G4115" i="1"/>
  <c r="D4115" i="1"/>
  <c r="G4114" i="1"/>
  <c r="D4114" i="1"/>
  <c r="G4113" i="1"/>
  <c r="D4113" i="1"/>
  <c r="G4112" i="1"/>
  <c r="D4112" i="1"/>
  <c r="G4111" i="1"/>
  <c r="D4111" i="1"/>
  <c r="G4110" i="1"/>
  <c r="D4110" i="1"/>
  <c r="G4109" i="1"/>
  <c r="D4109" i="1"/>
  <c r="G4108" i="1"/>
  <c r="D4108" i="1"/>
  <c r="G4107" i="1"/>
  <c r="D4107" i="1"/>
  <c r="G4106" i="1"/>
  <c r="D4106" i="1"/>
  <c r="G4105" i="1"/>
  <c r="D4105" i="1"/>
  <c r="G4104" i="1"/>
  <c r="D4104" i="1"/>
  <c r="G4103" i="1"/>
  <c r="D4103" i="1"/>
  <c r="G4102" i="1"/>
  <c r="D4102" i="1"/>
  <c r="G4101" i="1"/>
  <c r="D4101" i="1"/>
  <c r="G4100" i="1"/>
  <c r="D4100" i="1"/>
  <c r="G4099" i="1"/>
  <c r="D4099" i="1"/>
  <c r="G4098" i="1"/>
  <c r="D4098" i="1"/>
  <c r="G4097" i="1"/>
  <c r="D4097" i="1"/>
  <c r="G4096" i="1"/>
  <c r="D4096" i="1"/>
  <c r="G4095" i="1"/>
  <c r="D4095" i="1"/>
  <c r="G4094" i="1"/>
  <c r="D4094" i="1"/>
  <c r="G4093" i="1"/>
  <c r="D4093" i="1"/>
  <c r="G4092" i="1"/>
  <c r="D4092" i="1"/>
  <c r="G4091" i="1"/>
  <c r="D4091" i="1"/>
  <c r="G4090" i="1"/>
  <c r="D4090" i="1"/>
  <c r="G4089" i="1"/>
  <c r="D4089" i="1"/>
  <c r="G4088" i="1"/>
  <c r="D4088" i="1"/>
  <c r="G4087" i="1"/>
  <c r="D4087" i="1"/>
  <c r="G4086" i="1"/>
  <c r="D4086" i="1"/>
  <c r="G4085" i="1"/>
  <c r="D4085" i="1"/>
  <c r="G4084" i="1"/>
  <c r="D4084" i="1"/>
  <c r="G4083" i="1"/>
  <c r="D4083" i="1"/>
  <c r="G4082" i="1"/>
  <c r="D4082" i="1"/>
  <c r="G4081" i="1"/>
  <c r="D4081" i="1"/>
  <c r="G4080" i="1"/>
  <c r="D4080" i="1"/>
  <c r="G4079" i="1"/>
  <c r="D4079" i="1"/>
  <c r="G4078" i="1"/>
  <c r="D4078" i="1"/>
  <c r="G4077" i="1"/>
  <c r="D4077" i="1"/>
  <c r="G4076" i="1"/>
  <c r="D4076" i="1"/>
  <c r="G4075" i="1"/>
  <c r="D4075" i="1"/>
  <c r="G4074" i="1"/>
  <c r="D4074" i="1"/>
  <c r="G4073" i="1"/>
  <c r="D4073" i="1"/>
  <c r="G4072" i="1"/>
  <c r="D4072" i="1"/>
  <c r="G4071" i="1"/>
  <c r="D4071" i="1"/>
  <c r="G4070" i="1"/>
  <c r="D4070" i="1"/>
  <c r="G4069" i="1"/>
  <c r="D4069" i="1"/>
  <c r="G4068" i="1"/>
  <c r="D4068" i="1"/>
  <c r="G4067" i="1"/>
  <c r="D4067" i="1"/>
  <c r="G4066" i="1"/>
  <c r="D4066" i="1"/>
  <c r="G4065" i="1"/>
  <c r="D4065" i="1"/>
  <c r="G4064" i="1"/>
  <c r="D4064" i="1"/>
  <c r="G4063" i="1"/>
  <c r="D4063" i="1"/>
  <c r="G4062" i="1"/>
  <c r="D4062" i="1"/>
  <c r="G4061" i="1"/>
  <c r="D4061" i="1"/>
  <c r="G4060" i="1"/>
  <c r="D4060" i="1"/>
  <c r="G4059" i="1"/>
  <c r="D4059" i="1"/>
  <c r="G4058" i="1"/>
  <c r="D4058" i="1"/>
  <c r="G4057" i="1"/>
  <c r="D4057" i="1"/>
  <c r="G4056" i="1"/>
  <c r="D4056" i="1"/>
  <c r="G4055" i="1"/>
  <c r="D4055" i="1"/>
  <c r="G4054" i="1"/>
  <c r="D4054" i="1"/>
  <c r="G4053" i="1"/>
  <c r="D4053" i="1"/>
  <c r="G4052" i="1"/>
  <c r="D4052" i="1"/>
  <c r="G4051" i="1"/>
  <c r="D4051" i="1"/>
  <c r="G4050" i="1"/>
  <c r="D4050" i="1"/>
  <c r="G4049" i="1"/>
  <c r="D4049" i="1"/>
  <c r="G4048" i="1"/>
  <c r="D4048" i="1"/>
  <c r="G4047" i="1"/>
  <c r="D4047" i="1"/>
  <c r="G4046" i="1"/>
  <c r="D4046" i="1"/>
  <c r="G4045" i="1"/>
  <c r="D4045" i="1"/>
  <c r="G4044" i="1"/>
  <c r="D4044" i="1"/>
  <c r="G4043" i="1"/>
  <c r="D4043" i="1"/>
  <c r="G4042" i="1"/>
  <c r="D4042" i="1"/>
  <c r="G4041" i="1"/>
  <c r="D4041" i="1"/>
  <c r="G4040" i="1"/>
  <c r="D4040" i="1"/>
  <c r="G4039" i="1"/>
  <c r="D4039" i="1"/>
  <c r="G4038" i="1"/>
  <c r="D4038" i="1"/>
  <c r="G4037" i="1"/>
  <c r="D4037" i="1"/>
  <c r="G4036" i="1"/>
  <c r="D4036" i="1"/>
  <c r="G4035" i="1"/>
  <c r="D4035" i="1"/>
  <c r="G4034" i="1"/>
  <c r="D4034" i="1"/>
  <c r="G4033" i="1"/>
  <c r="D4033" i="1"/>
  <c r="G4032" i="1"/>
  <c r="D4032" i="1"/>
  <c r="G4031" i="1"/>
  <c r="D4031" i="1"/>
  <c r="G4030" i="1"/>
  <c r="D4030" i="1"/>
  <c r="G4029" i="1"/>
  <c r="D4029" i="1"/>
  <c r="G4028" i="1"/>
  <c r="D4028" i="1"/>
  <c r="G4027" i="1"/>
  <c r="D4027" i="1"/>
  <c r="G4026" i="1"/>
  <c r="D4026" i="1"/>
  <c r="G4025" i="1"/>
  <c r="D4025" i="1"/>
  <c r="G4024" i="1"/>
  <c r="D4024" i="1"/>
  <c r="G4023" i="1"/>
  <c r="D4023" i="1"/>
  <c r="G4022" i="1"/>
  <c r="D4022" i="1"/>
  <c r="G4021" i="1"/>
  <c r="D4021" i="1"/>
  <c r="G4020" i="1"/>
  <c r="D4020" i="1"/>
  <c r="G4019" i="1"/>
  <c r="D4019" i="1"/>
  <c r="G4018" i="1"/>
  <c r="D4018" i="1"/>
  <c r="G4017" i="1"/>
  <c r="D4017" i="1"/>
  <c r="G4016" i="1"/>
  <c r="D4016" i="1"/>
  <c r="G4015" i="1"/>
  <c r="D4015" i="1"/>
  <c r="G4014" i="1"/>
  <c r="D4014" i="1"/>
  <c r="G4013" i="1"/>
  <c r="D4013" i="1"/>
  <c r="G4012" i="1"/>
  <c r="D4012" i="1"/>
  <c r="G4011" i="1"/>
  <c r="D4011" i="1"/>
  <c r="G4010" i="1"/>
  <c r="D4010" i="1"/>
  <c r="G4009" i="1"/>
  <c r="D4009" i="1"/>
  <c r="G4008" i="1"/>
  <c r="D4008" i="1"/>
  <c r="G4007" i="1"/>
  <c r="D4007" i="1"/>
  <c r="G4006" i="1"/>
  <c r="D4006" i="1"/>
  <c r="G4005" i="1"/>
  <c r="D4005" i="1"/>
  <c r="G4004" i="1"/>
  <c r="D4004" i="1"/>
  <c r="G4003" i="1"/>
  <c r="D4003" i="1"/>
  <c r="G4002" i="1"/>
  <c r="D4002" i="1"/>
  <c r="G4001" i="1"/>
  <c r="D4001" i="1"/>
  <c r="G4000" i="1"/>
  <c r="D4000" i="1"/>
  <c r="G3999" i="1"/>
  <c r="D3999" i="1"/>
  <c r="G3998" i="1"/>
  <c r="D3998" i="1"/>
  <c r="G3997" i="1"/>
  <c r="D3997" i="1"/>
  <c r="G3996" i="1"/>
  <c r="D3996" i="1"/>
  <c r="G3995" i="1"/>
  <c r="D3995" i="1"/>
  <c r="G3994" i="1"/>
  <c r="D3994" i="1"/>
  <c r="G3993" i="1"/>
  <c r="D3993" i="1"/>
  <c r="G3992" i="1"/>
  <c r="D3992" i="1"/>
  <c r="G3991" i="1"/>
  <c r="D3991" i="1"/>
  <c r="G3990" i="1"/>
  <c r="D3990" i="1"/>
  <c r="G3989" i="1"/>
  <c r="D3989" i="1"/>
  <c r="G3988" i="1"/>
  <c r="D3988" i="1"/>
  <c r="G3987" i="1"/>
  <c r="D3987" i="1"/>
  <c r="G3986" i="1"/>
  <c r="D3986" i="1"/>
  <c r="G3985" i="1"/>
  <c r="D3985" i="1"/>
  <c r="G3984" i="1"/>
  <c r="D3984" i="1"/>
  <c r="G3983" i="1"/>
  <c r="D3983" i="1"/>
  <c r="G3982" i="1"/>
  <c r="D3982" i="1"/>
  <c r="G3981" i="1"/>
  <c r="D3981" i="1"/>
  <c r="G3980" i="1"/>
  <c r="D3980" i="1"/>
  <c r="G3979" i="1"/>
  <c r="D3979" i="1"/>
  <c r="G3978" i="1"/>
  <c r="D3978" i="1"/>
  <c r="G3977" i="1"/>
  <c r="D3977" i="1"/>
  <c r="G3976" i="1"/>
  <c r="D3976" i="1"/>
  <c r="G3975" i="1"/>
  <c r="D3975" i="1"/>
  <c r="G3974" i="1"/>
  <c r="D3974" i="1"/>
  <c r="G3973" i="1"/>
  <c r="D3973" i="1"/>
  <c r="G3972" i="1"/>
  <c r="D3972" i="1"/>
  <c r="G3971" i="1"/>
  <c r="D3971" i="1"/>
  <c r="G3970" i="1"/>
  <c r="D3970" i="1"/>
  <c r="G3969" i="1"/>
  <c r="D3969" i="1"/>
  <c r="G3968" i="1"/>
  <c r="D3968" i="1"/>
  <c r="G3967" i="1"/>
  <c r="D3967" i="1"/>
  <c r="G3966" i="1"/>
  <c r="D3966" i="1"/>
  <c r="G3965" i="1"/>
  <c r="D3965" i="1"/>
  <c r="G3964" i="1"/>
  <c r="D3964" i="1"/>
  <c r="G3963" i="1"/>
  <c r="D3963" i="1"/>
  <c r="G3962" i="1"/>
  <c r="D3962" i="1"/>
  <c r="G3961" i="1"/>
  <c r="D3961" i="1"/>
  <c r="G3960" i="1"/>
  <c r="D3960" i="1"/>
  <c r="G3959" i="1"/>
  <c r="D3959" i="1"/>
  <c r="G3958" i="1"/>
  <c r="D3958" i="1"/>
  <c r="G3957" i="1"/>
  <c r="D3957" i="1"/>
  <c r="G3956" i="1"/>
  <c r="D3956" i="1"/>
  <c r="G3955" i="1"/>
  <c r="D3955" i="1"/>
  <c r="G3954" i="1"/>
  <c r="D3954" i="1"/>
  <c r="G3953" i="1"/>
  <c r="D3953" i="1"/>
  <c r="G3952" i="1"/>
  <c r="D3952" i="1"/>
  <c r="G3951" i="1"/>
  <c r="D3951" i="1"/>
  <c r="G3950" i="1"/>
  <c r="D3950" i="1"/>
  <c r="G3949" i="1"/>
  <c r="D3949" i="1"/>
  <c r="G3948" i="1"/>
  <c r="D3948" i="1"/>
  <c r="G3947" i="1"/>
  <c r="D3947" i="1"/>
  <c r="G3946" i="1"/>
  <c r="D3946" i="1"/>
  <c r="G3945" i="1"/>
  <c r="D3945" i="1"/>
  <c r="G3944" i="1"/>
  <c r="D3944" i="1"/>
  <c r="G3943" i="1"/>
  <c r="D3943" i="1"/>
  <c r="G3942" i="1"/>
  <c r="D3942" i="1"/>
  <c r="G3941" i="1"/>
  <c r="D3941" i="1"/>
  <c r="G3940" i="1"/>
  <c r="D3940" i="1"/>
  <c r="G3939" i="1"/>
  <c r="D3939" i="1"/>
  <c r="G3938" i="1"/>
  <c r="D3938" i="1"/>
  <c r="G3937" i="1"/>
  <c r="D3937" i="1"/>
  <c r="G3936" i="1"/>
  <c r="D3936" i="1"/>
  <c r="G3935" i="1"/>
  <c r="D3935" i="1"/>
  <c r="G3934" i="1"/>
  <c r="D3934" i="1"/>
  <c r="G3933" i="1"/>
  <c r="D3933" i="1"/>
  <c r="G3932" i="1"/>
  <c r="D3932" i="1"/>
  <c r="G3931" i="1"/>
  <c r="D3931" i="1"/>
  <c r="G3930" i="1"/>
  <c r="D3930" i="1"/>
  <c r="G3929" i="1"/>
  <c r="D3929" i="1"/>
  <c r="G3928" i="1"/>
  <c r="D3928" i="1"/>
  <c r="G3927" i="1"/>
  <c r="D3927" i="1"/>
  <c r="G3926" i="1"/>
  <c r="D3926" i="1"/>
  <c r="G3925" i="1"/>
  <c r="D3925" i="1"/>
  <c r="G3924" i="1"/>
  <c r="D3924" i="1"/>
  <c r="G3923" i="1"/>
  <c r="D3923" i="1"/>
  <c r="G3922" i="1"/>
  <c r="D3922" i="1"/>
  <c r="G3921" i="1"/>
  <c r="D3921" i="1"/>
  <c r="G3920" i="1"/>
  <c r="D3920" i="1"/>
  <c r="G3919" i="1"/>
  <c r="D3919" i="1"/>
  <c r="G3918" i="1"/>
  <c r="D3918" i="1"/>
  <c r="G3917" i="1"/>
  <c r="D3917" i="1"/>
  <c r="G3916" i="1"/>
  <c r="D3916" i="1"/>
  <c r="G3915" i="1"/>
  <c r="D3915" i="1"/>
  <c r="G3914" i="1"/>
  <c r="D3914" i="1"/>
  <c r="G3913" i="1"/>
  <c r="D3913" i="1"/>
  <c r="G3912" i="1"/>
  <c r="D3912" i="1"/>
  <c r="G3911" i="1"/>
  <c r="D3911" i="1"/>
  <c r="G3910" i="1"/>
  <c r="D3910" i="1"/>
  <c r="G3909" i="1"/>
  <c r="D3909" i="1"/>
  <c r="G3908" i="1"/>
  <c r="D3908" i="1"/>
  <c r="G3907" i="1"/>
  <c r="D3907" i="1"/>
  <c r="G3906" i="1"/>
  <c r="D3906" i="1"/>
  <c r="G3905" i="1"/>
  <c r="D3905" i="1"/>
  <c r="G3904" i="1"/>
  <c r="D3904" i="1"/>
  <c r="G3903" i="1"/>
  <c r="D3903" i="1"/>
  <c r="G3902" i="1"/>
  <c r="D3902" i="1"/>
  <c r="G3901" i="1"/>
  <c r="D3901" i="1"/>
  <c r="G3900" i="1"/>
  <c r="D3900" i="1"/>
  <c r="G3899" i="1"/>
  <c r="D3899" i="1"/>
  <c r="G3898" i="1"/>
  <c r="D3898" i="1"/>
  <c r="G3897" i="1"/>
  <c r="D3897" i="1"/>
  <c r="G3896" i="1"/>
  <c r="D3896" i="1"/>
  <c r="G3895" i="1"/>
  <c r="D3895" i="1"/>
  <c r="G3894" i="1"/>
  <c r="D3894" i="1"/>
  <c r="G3893" i="1"/>
  <c r="D3893" i="1"/>
  <c r="G3892" i="1"/>
  <c r="D3892" i="1"/>
  <c r="G3891" i="1"/>
  <c r="D3891" i="1"/>
  <c r="G3890" i="1"/>
  <c r="D3890" i="1"/>
  <c r="G3889" i="1"/>
  <c r="D3889" i="1"/>
  <c r="G3888" i="1"/>
  <c r="D3888" i="1"/>
  <c r="G3887" i="1"/>
  <c r="D3887" i="1"/>
  <c r="G3886" i="1"/>
  <c r="D3886" i="1"/>
  <c r="G3885" i="1"/>
  <c r="D3885" i="1"/>
  <c r="G3884" i="1"/>
  <c r="D3884" i="1"/>
  <c r="G3883" i="1"/>
  <c r="D3883" i="1"/>
  <c r="G3882" i="1"/>
  <c r="D3882" i="1"/>
  <c r="G3881" i="1"/>
  <c r="D3881" i="1"/>
  <c r="G3880" i="1"/>
  <c r="D3880" i="1"/>
  <c r="G3879" i="1"/>
  <c r="D3879" i="1"/>
  <c r="G3878" i="1"/>
  <c r="D3878" i="1"/>
  <c r="G3877" i="1"/>
  <c r="D3877" i="1"/>
  <c r="G3876" i="1"/>
  <c r="D3876" i="1"/>
  <c r="G3875" i="1"/>
  <c r="D3875" i="1"/>
  <c r="G3874" i="1"/>
  <c r="D3874" i="1"/>
  <c r="G3873" i="1"/>
  <c r="D3873" i="1"/>
  <c r="G3872" i="1"/>
  <c r="D3872" i="1"/>
  <c r="G3871" i="1"/>
  <c r="D3871" i="1"/>
  <c r="G3870" i="1"/>
  <c r="D3870" i="1"/>
  <c r="G3869" i="1"/>
  <c r="D3869" i="1"/>
  <c r="G3868" i="1"/>
  <c r="D3868" i="1"/>
  <c r="G3867" i="1"/>
  <c r="D3867" i="1"/>
  <c r="G3866" i="1"/>
  <c r="D3866" i="1"/>
  <c r="G3865" i="1"/>
  <c r="D3865" i="1"/>
  <c r="G3864" i="1"/>
  <c r="D3864" i="1"/>
  <c r="G3863" i="1"/>
  <c r="D3863" i="1"/>
  <c r="G3862" i="1"/>
  <c r="D3862" i="1"/>
  <c r="G3861" i="1"/>
  <c r="D3861" i="1"/>
  <c r="G3860" i="1"/>
  <c r="D3860" i="1"/>
  <c r="G3859" i="1"/>
  <c r="D3859" i="1"/>
  <c r="G3858" i="1"/>
  <c r="D3858" i="1"/>
  <c r="G3857" i="1"/>
  <c r="D3857" i="1"/>
  <c r="G3856" i="1"/>
  <c r="D3856" i="1"/>
  <c r="G3855" i="1"/>
  <c r="D3855" i="1"/>
  <c r="G3854" i="1"/>
  <c r="D3854" i="1"/>
  <c r="G3853" i="1"/>
  <c r="D3853" i="1"/>
  <c r="G3852" i="1"/>
  <c r="D3852" i="1"/>
  <c r="G3851" i="1"/>
  <c r="D3851" i="1"/>
  <c r="G3850" i="1"/>
  <c r="D3850" i="1"/>
  <c r="G3849" i="1"/>
  <c r="D3849" i="1"/>
  <c r="G3848" i="1"/>
  <c r="D3848" i="1"/>
  <c r="G3847" i="1"/>
  <c r="D3847" i="1"/>
  <c r="G3846" i="1"/>
  <c r="D3846" i="1"/>
  <c r="G3845" i="1"/>
  <c r="D3845" i="1"/>
  <c r="G3844" i="1"/>
  <c r="D3844" i="1"/>
  <c r="G3843" i="1"/>
  <c r="D3843" i="1"/>
  <c r="G3842" i="1"/>
  <c r="D3842" i="1"/>
  <c r="G3841" i="1"/>
  <c r="D3841" i="1"/>
  <c r="G3840" i="1"/>
  <c r="D3840" i="1"/>
  <c r="G3839" i="1"/>
  <c r="D3839" i="1"/>
  <c r="G3838" i="1"/>
  <c r="D3838" i="1"/>
  <c r="G3837" i="1"/>
  <c r="D3837" i="1"/>
  <c r="G3836" i="1"/>
  <c r="D3836" i="1"/>
  <c r="G3835" i="1"/>
  <c r="D3835" i="1"/>
  <c r="G3834" i="1"/>
  <c r="D3834" i="1"/>
  <c r="G3833" i="1"/>
  <c r="D3833" i="1"/>
  <c r="G3832" i="1"/>
  <c r="D3832" i="1"/>
  <c r="G3831" i="1"/>
  <c r="D3831" i="1"/>
  <c r="G3830" i="1"/>
  <c r="D3830" i="1"/>
  <c r="G3829" i="1"/>
  <c r="D3829" i="1"/>
  <c r="G3828" i="1"/>
  <c r="D3828" i="1"/>
  <c r="G3827" i="1"/>
  <c r="D3827" i="1"/>
  <c r="G3826" i="1"/>
  <c r="D3826" i="1"/>
  <c r="G3825" i="1"/>
  <c r="D3825" i="1"/>
  <c r="G3824" i="1"/>
  <c r="D3824" i="1"/>
  <c r="G3823" i="1"/>
  <c r="D3823" i="1"/>
  <c r="G3822" i="1"/>
  <c r="D3822" i="1"/>
  <c r="G3821" i="1"/>
  <c r="D3821" i="1"/>
  <c r="G3820" i="1"/>
  <c r="D3820" i="1"/>
  <c r="G3819" i="1"/>
  <c r="D3819" i="1"/>
  <c r="G3818" i="1"/>
  <c r="D3818" i="1"/>
  <c r="G3817" i="1"/>
  <c r="D3817" i="1"/>
  <c r="G3816" i="1"/>
  <c r="D3816" i="1"/>
  <c r="G3815" i="1"/>
  <c r="D3815" i="1"/>
  <c r="G3814" i="1"/>
  <c r="D3814" i="1"/>
  <c r="G3813" i="1"/>
  <c r="D3813" i="1"/>
  <c r="G3812" i="1"/>
  <c r="D3812" i="1"/>
  <c r="G3811" i="1"/>
  <c r="D3811" i="1"/>
  <c r="G3810" i="1"/>
  <c r="D3810" i="1"/>
  <c r="G3809" i="1"/>
  <c r="D3809" i="1"/>
  <c r="G3808" i="1"/>
  <c r="D3808" i="1"/>
  <c r="G3807" i="1"/>
  <c r="D3807" i="1"/>
  <c r="G3806" i="1"/>
  <c r="D3806" i="1"/>
  <c r="G3805" i="1"/>
  <c r="D3805" i="1"/>
  <c r="G3804" i="1"/>
  <c r="D3804" i="1"/>
  <c r="G3803" i="1"/>
  <c r="D3803" i="1"/>
  <c r="G3802" i="1"/>
  <c r="D3802" i="1"/>
  <c r="G3801" i="1"/>
  <c r="D3801" i="1"/>
  <c r="G3800" i="1"/>
  <c r="D3800" i="1"/>
  <c r="G3799" i="1"/>
  <c r="D3799" i="1"/>
  <c r="G3798" i="1"/>
  <c r="D3798" i="1"/>
  <c r="G3797" i="1"/>
  <c r="D3797" i="1"/>
  <c r="G3796" i="1"/>
  <c r="D3796" i="1"/>
  <c r="G3795" i="1"/>
  <c r="D3795" i="1"/>
  <c r="G3794" i="1"/>
  <c r="D3794" i="1"/>
  <c r="G3793" i="1"/>
  <c r="D3793" i="1"/>
  <c r="G3792" i="1"/>
  <c r="D3792" i="1"/>
  <c r="G3791" i="1"/>
  <c r="D3791" i="1"/>
  <c r="G3790" i="1"/>
  <c r="D3790" i="1"/>
  <c r="G3789" i="1"/>
  <c r="D3789" i="1"/>
  <c r="G3788" i="1"/>
  <c r="D3788" i="1"/>
  <c r="G3787" i="1"/>
  <c r="D3787" i="1"/>
  <c r="G3786" i="1"/>
  <c r="D3786" i="1"/>
  <c r="G3785" i="1"/>
  <c r="D3785" i="1"/>
  <c r="G3784" i="1"/>
  <c r="D3784" i="1"/>
  <c r="G3783" i="1"/>
  <c r="D3783" i="1"/>
  <c r="G3782" i="1"/>
  <c r="D3782" i="1"/>
  <c r="G3781" i="1"/>
  <c r="D3781" i="1"/>
  <c r="G3780" i="1"/>
  <c r="D3780" i="1"/>
  <c r="G3779" i="1"/>
  <c r="D3779" i="1"/>
  <c r="G3778" i="1"/>
  <c r="D3778" i="1"/>
  <c r="G3777" i="1"/>
  <c r="D3777" i="1"/>
  <c r="G3776" i="1"/>
  <c r="D3776" i="1"/>
  <c r="G3775" i="1"/>
  <c r="D3775" i="1"/>
  <c r="G3774" i="1"/>
  <c r="D3774" i="1"/>
  <c r="G3773" i="1"/>
  <c r="D3773" i="1"/>
  <c r="G3772" i="1"/>
  <c r="D3772" i="1"/>
  <c r="G3771" i="1"/>
  <c r="D3771" i="1"/>
  <c r="G3770" i="1"/>
  <c r="D3770" i="1"/>
  <c r="G3769" i="1"/>
  <c r="D3769" i="1"/>
  <c r="G3768" i="1"/>
  <c r="D3768" i="1"/>
  <c r="G3767" i="1"/>
  <c r="D3767" i="1"/>
  <c r="G3766" i="1"/>
  <c r="D3766" i="1"/>
  <c r="G3765" i="1"/>
  <c r="D3765" i="1"/>
  <c r="G3764" i="1"/>
  <c r="D3764" i="1"/>
  <c r="G3763" i="1"/>
  <c r="D3763" i="1"/>
  <c r="G3762" i="1"/>
  <c r="D3762" i="1"/>
  <c r="G3761" i="1"/>
  <c r="D3761" i="1"/>
  <c r="G3760" i="1"/>
  <c r="D3760" i="1"/>
  <c r="G3759" i="1"/>
  <c r="D3759" i="1"/>
  <c r="G3758" i="1"/>
  <c r="D3758" i="1"/>
  <c r="G3757" i="1"/>
  <c r="D3757" i="1"/>
  <c r="G3756" i="1"/>
  <c r="D3756" i="1"/>
  <c r="G3755" i="1"/>
  <c r="D3755" i="1"/>
  <c r="G3754" i="1"/>
  <c r="D3754" i="1"/>
  <c r="G3753" i="1"/>
  <c r="D3753" i="1"/>
  <c r="G3752" i="1"/>
  <c r="D3752" i="1"/>
  <c r="G3751" i="1"/>
  <c r="D3751" i="1"/>
  <c r="G3750" i="1"/>
  <c r="D3750" i="1"/>
  <c r="G3749" i="1"/>
  <c r="D3749" i="1"/>
  <c r="G3748" i="1"/>
  <c r="D3748" i="1"/>
  <c r="G3747" i="1"/>
  <c r="D3747" i="1"/>
  <c r="G3746" i="1"/>
  <c r="D3746" i="1"/>
  <c r="G3745" i="1"/>
  <c r="D3745" i="1"/>
  <c r="G3744" i="1"/>
  <c r="D3744" i="1"/>
  <c r="G3743" i="1"/>
  <c r="D3743" i="1"/>
  <c r="G3742" i="1"/>
  <c r="D3742" i="1"/>
  <c r="G3741" i="1"/>
  <c r="D3741" i="1"/>
  <c r="G3740" i="1"/>
  <c r="D3740" i="1"/>
  <c r="G3739" i="1"/>
  <c r="D3739" i="1"/>
  <c r="G3738" i="1"/>
  <c r="D3738" i="1"/>
  <c r="G3737" i="1"/>
  <c r="D3737" i="1"/>
  <c r="G3736" i="1"/>
  <c r="D3736" i="1"/>
  <c r="G3735" i="1"/>
  <c r="D3735" i="1"/>
  <c r="G3734" i="1"/>
  <c r="D3734" i="1"/>
  <c r="G3733" i="1"/>
  <c r="D3733" i="1"/>
  <c r="G3732" i="1"/>
  <c r="D3732" i="1"/>
  <c r="G3731" i="1"/>
  <c r="D3731" i="1"/>
  <c r="G3730" i="1"/>
  <c r="D3730" i="1"/>
  <c r="G3729" i="1"/>
  <c r="D3729" i="1"/>
  <c r="G3728" i="1"/>
  <c r="D3728" i="1"/>
  <c r="G3727" i="1"/>
  <c r="D3727" i="1"/>
  <c r="G3726" i="1"/>
  <c r="D3726" i="1"/>
  <c r="G3725" i="1"/>
  <c r="D3725" i="1"/>
  <c r="G3724" i="1"/>
  <c r="D3724" i="1"/>
  <c r="G3723" i="1"/>
  <c r="D3723" i="1"/>
  <c r="G3722" i="1"/>
  <c r="D3722" i="1"/>
  <c r="G3721" i="1"/>
  <c r="D3721" i="1"/>
  <c r="G3720" i="1"/>
  <c r="D3720" i="1"/>
  <c r="G3719" i="1"/>
  <c r="D3719" i="1"/>
  <c r="G3718" i="1"/>
  <c r="D3718" i="1"/>
  <c r="G3717" i="1"/>
  <c r="D3717" i="1"/>
  <c r="G3716" i="1"/>
  <c r="D3716" i="1"/>
  <c r="G3715" i="1"/>
  <c r="D3715" i="1"/>
  <c r="G3714" i="1"/>
  <c r="D3714" i="1"/>
  <c r="G3713" i="1"/>
  <c r="D3713" i="1"/>
  <c r="G3712" i="1"/>
  <c r="D3712" i="1"/>
  <c r="G3711" i="1"/>
  <c r="D3711" i="1"/>
  <c r="G3710" i="1"/>
  <c r="D3710" i="1"/>
  <c r="G3709" i="1"/>
  <c r="D3709" i="1"/>
  <c r="G3708" i="1"/>
  <c r="D3708" i="1"/>
  <c r="G3707" i="1"/>
  <c r="D3707" i="1"/>
  <c r="G3706" i="1"/>
  <c r="D3706" i="1"/>
  <c r="G3705" i="1"/>
  <c r="D3705" i="1"/>
  <c r="G3704" i="1"/>
  <c r="D3704" i="1"/>
  <c r="G3703" i="1"/>
  <c r="D3703" i="1"/>
  <c r="G3702" i="1"/>
  <c r="D3702" i="1"/>
  <c r="G3701" i="1"/>
  <c r="D3701" i="1"/>
  <c r="G3700" i="1"/>
  <c r="D3700" i="1"/>
  <c r="G3699" i="1"/>
  <c r="D3699" i="1"/>
  <c r="G3698" i="1"/>
  <c r="D3698" i="1"/>
  <c r="G3697" i="1"/>
  <c r="D3697" i="1"/>
  <c r="G3696" i="1"/>
  <c r="D3696" i="1"/>
  <c r="G3695" i="1"/>
  <c r="D3695" i="1"/>
  <c r="G3694" i="1"/>
  <c r="D3694" i="1"/>
  <c r="G3693" i="1"/>
  <c r="D3693" i="1"/>
  <c r="G3692" i="1"/>
  <c r="D3692" i="1"/>
  <c r="G3691" i="1"/>
  <c r="D3691" i="1"/>
  <c r="G3690" i="1"/>
  <c r="D3690" i="1"/>
  <c r="G3689" i="1"/>
  <c r="D3689" i="1"/>
  <c r="G3688" i="1"/>
  <c r="D3688" i="1"/>
  <c r="G3687" i="1"/>
  <c r="D3687" i="1"/>
  <c r="G3686" i="1"/>
  <c r="D3686" i="1"/>
  <c r="G3685" i="1"/>
  <c r="D3685" i="1"/>
  <c r="G3684" i="1"/>
  <c r="D3684" i="1"/>
  <c r="G3683" i="1"/>
  <c r="D3683" i="1"/>
  <c r="G3682" i="1"/>
  <c r="D3682" i="1"/>
  <c r="G3681" i="1"/>
  <c r="D3681" i="1"/>
  <c r="G3680" i="1"/>
  <c r="D3680" i="1"/>
  <c r="G3679" i="1"/>
  <c r="D3679" i="1"/>
  <c r="G3678" i="1"/>
  <c r="D3678" i="1"/>
  <c r="G3677" i="1"/>
  <c r="D3677" i="1"/>
  <c r="G3676" i="1"/>
  <c r="D3676" i="1"/>
  <c r="G3675" i="1"/>
  <c r="D3675" i="1"/>
  <c r="G3674" i="1"/>
  <c r="D3674" i="1"/>
  <c r="G3673" i="1"/>
  <c r="D3673" i="1"/>
  <c r="G3672" i="1"/>
  <c r="D3672" i="1"/>
  <c r="G3671" i="1"/>
  <c r="D3671" i="1"/>
  <c r="G3670" i="1"/>
  <c r="D3670" i="1"/>
  <c r="G3669" i="1"/>
  <c r="D3669" i="1"/>
  <c r="G3668" i="1"/>
  <c r="D3668" i="1"/>
  <c r="G3667" i="1"/>
  <c r="D3667" i="1"/>
  <c r="G3666" i="1"/>
  <c r="D3666" i="1"/>
  <c r="G3665" i="1"/>
  <c r="D3665" i="1"/>
  <c r="G3664" i="1"/>
  <c r="D3664" i="1"/>
  <c r="G3663" i="1"/>
  <c r="D3663" i="1"/>
  <c r="G3662" i="1"/>
  <c r="D3662" i="1"/>
  <c r="G3661" i="1"/>
  <c r="D3661" i="1"/>
  <c r="G3660" i="1"/>
  <c r="D3660" i="1"/>
  <c r="G3659" i="1"/>
  <c r="D3659" i="1"/>
  <c r="G3658" i="1"/>
  <c r="D3658" i="1"/>
  <c r="G3657" i="1"/>
  <c r="D3657" i="1"/>
  <c r="G3656" i="1"/>
  <c r="D3656" i="1"/>
  <c r="G3655" i="1"/>
  <c r="D3655" i="1"/>
  <c r="G3654" i="1"/>
  <c r="D3654" i="1"/>
  <c r="G3653" i="1"/>
  <c r="D3653" i="1"/>
  <c r="G3652" i="1"/>
  <c r="D3652" i="1"/>
  <c r="G3651" i="1"/>
  <c r="D3651" i="1"/>
  <c r="G3650" i="1"/>
  <c r="D3650" i="1"/>
  <c r="G3649" i="1"/>
  <c r="D3649" i="1"/>
  <c r="G3648" i="1"/>
  <c r="D3648" i="1"/>
  <c r="G3647" i="1"/>
  <c r="D3647" i="1"/>
  <c r="G3646" i="1"/>
  <c r="D3646" i="1"/>
  <c r="G3645" i="1"/>
  <c r="D3645" i="1"/>
  <c r="G3644" i="1"/>
  <c r="D3644" i="1"/>
  <c r="G3643" i="1"/>
  <c r="D3643" i="1"/>
  <c r="G3642" i="1"/>
  <c r="D3642" i="1"/>
  <c r="G3641" i="1"/>
  <c r="D3641" i="1"/>
  <c r="G3640" i="1"/>
  <c r="D3640" i="1"/>
  <c r="G3639" i="1"/>
  <c r="D3639" i="1"/>
  <c r="G3638" i="1"/>
  <c r="D3638" i="1"/>
  <c r="G3637" i="1"/>
  <c r="D3637" i="1"/>
  <c r="G3636" i="1"/>
  <c r="D3636" i="1"/>
  <c r="G3635" i="1"/>
  <c r="D3635" i="1"/>
  <c r="G3634" i="1"/>
  <c r="D3634" i="1"/>
  <c r="G3633" i="1"/>
  <c r="D3633" i="1"/>
  <c r="G3632" i="1"/>
  <c r="D3632" i="1"/>
  <c r="G3631" i="1"/>
  <c r="D3631" i="1"/>
  <c r="G3630" i="1"/>
  <c r="D3630" i="1"/>
  <c r="G3629" i="1"/>
  <c r="D3629" i="1"/>
  <c r="G3628" i="1"/>
  <c r="D3628" i="1"/>
  <c r="G3627" i="1"/>
  <c r="D3627" i="1"/>
  <c r="G3626" i="1"/>
  <c r="D3626" i="1"/>
  <c r="G3625" i="1"/>
  <c r="D3625" i="1"/>
  <c r="G3624" i="1"/>
  <c r="D3624" i="1"/>
  <c r="G3623" i="1"/>
  <c r="D3623" i="1"/>
  <c r="G3622" i="1"/>
  <c r="D3622" i="1"/>
  <c r="G3621" i="1"/>
  <c r="D3621" i="1"/>
  <c r="G3620" i="1"/>
  <c r="D3620" i="1"/>
  <c r="G3619" i="1"/>
  <c r="D3619" i="1"/>
  <c r="G3618" i="1"/>
  <c r="D3618" i="1"/>
  <c r="G3617" i="1"/>
  <c r="D3617" i="1"/>
  <c r="G3616" i="1"/>
  <c r="D3616" i="1"/>
  <c r="G3615" i="1"/>
  <c r="D3615" i="1"/>
  <c r="G3614" i="1"/>
  <c r="D3614" i="1"/>
  <c r="G3613" i="1"/>
  <c r="D3613" i="1"/>
  <c r="G3612" i="1"/>
  <c r="D3612" i="1"/>
  <c r="G3611" i="1"/>
  <c r="D3611" i="1"/>
  <c r="G3610" i="1"/>
  <c r="D3610" i="1"/>
  <c r="G3609" i="1"/>
  <c r="D3609" i="1"/>
  <c r="G3608" i="1"/>
  <c r="D3608" i="1"/>
  <c r="G3607" i="1"/>
  <c r="D3607" i="1"/>
  <c r="G3606" i="1"/>
  <c r="D3606" i="1"/>
  <c r="G3605" i="1"/>
  <c r="D3605" i="1"/>
  <c r="G3604" i="1"/>
  <c r="D3604" i="1"/>
  <c r="G3603" i="1"/>
  <c r="D3603" i="1"/>
  <c r="G3602" i="1"/>
  <c r="D3602" i="1"/>
  <c r="G3601" i="1"/>
  <c r="D3601" i="1"/>
  <c r="G3600" i="1"/>
  <c r="D3600" i="1"/>
  <c r="G3599" i="1"/>
  <c r="D3599" i="1"/>
  <c r="G3598" i="1"/>
  <c r="D3598" i="1"/>
  <c r="G3597" i="1"/>
  <c r="D3597" i="1"/>
  <c r="G3596" i="1"/>
  <c r="D3596" i="1"/>
  <c r="G3595" i="1"/>
  <c r="D3595" i="1"/>
  <c r="G3594" i="1"/>
  <c r="D3594" i="1"/>
  <c r="G3593" i="1"/>
  <c r="D3593" i="1"/>
  <c r="G3592" i="1"/>
  <c r="D3592" i="1"/>
  <c r="G3591" i="1"/>
  <c r="D3591" i="1"/>
  <c r="G3590" i="1"/>
  <c r="D3590" i="1"/>
  <c r="G3589" i="1"/>
  <c r="D3589" i="1"/>
  <c r="G3588" i="1"/>
  <c r="D3588" i="1"/>
  <c r="G3587" i="1"/>
  <c r="D3587" i="1"/>
  <c r="G3586" i="1"/>
  <c r="D3586" i="1"/>
  <c r="G3585" i="1"/>
  <c r="D3585" i="1"/>
  <c r="G3584" i="1"/>
  <c r="D3584" i="1"/>
  <c r="G3583" i="1"/>
  <c r="D3583" i="1"/>
  <c r="G3582" i="1"/>
  <c r="D3582" i="1"/>
  <c r="G3581" i="1"/>
  <c r="D3581" i="1"/>
  <c r="G3580" i="1"/>
  <c r="D3580" i="1"/>
  <c r="G3579" i="1"/>
  <c r="D3579" i="1"/>
  <c r="G3578" i="1"/>
  <c r="D3578" i="1"/>
  <c r="G3577" i="1"/>
  <c r="D3577" i="1"/>
  <c r="G3576" i="1"/>
  <c r="D3576" i="1"/>
  <c r="G3575" i="1"/>
  <c r="D3575" i="1"/>
  <c r="G3574" i="1"/>
  <c r="D3574" i="1"/>
  <c r="G3573" i="1"/>
  <c r="D3573" i="1"/>
  <c r="G3572" i="1"/>
  <c r="D3572" i="1"/>
  <c r="G3571" i="1"/>
  <c r="D3571" i="1"/>
  <c r="G3570" i="1"/>
  <c r="D3570" i="1"/>
  <c r="G3569" i="1"/>
  <c r="D3569" i="1"/>
  <c r="G3568" i="1"/>
  <c r="D3568" i="1"/>
  <c r="G3567" i="1"/>
  <c r="D3567" i="1"/>
  <c r="G3566" i="1"/>
  <c r="D3566" i="1"/>
  <c r="G3565" i="1"/>
  <c r="D3565" i="1"/>
  <c r="G3564" i="1"/>
  <c r="D3564" i="1"/>
  <c r="G3563" i="1"/>
  <c r="D3563" i="1"/>
  <c r="G3562" i="1"/>
  <c r="D3562" i="1"/>
  <c r="G3561" i="1"/>
  <c r="D3561" i="1"/>
  <c r="G3560" i="1"/>
  <c r="D3560" i="1"/>
  <c r="G3559" i="1"/>
  <c r="D3559" i="1"/>
  <c r="G3558" i="1"/>
  <c r="D3558" i="1"/>
  <c r="G3557" i="1"/>
  <c r="D3557" i="1"/>
  <c r="G3556" i="1"/>
  <c r="D3556" i="1"/>
  <c r="G3555" i="1"/>
  <c r="D3555" i="1"/>
  <c r="G3554" i="1"/>
  <c r="D3554" i="1"/>
  <c r="G3553" i="1"/>
  <c r="D3553" i="1"/>
  <c r="G3552" i="1"/>
  <c r="D3552" i="1"/>
  <c r="G3551" i="1"/>
  <c r="D3551" i="1"/>
  <c r="G3550" i="1"/>
  <c r="D3550" i="1"/>
  <c r="G3549" i="1"/>
  <c r="D3549" i="1"/>
  <c r="G3548" i="1"/>
  <c r="D3548" i="1"/>
  <c r="G3547" i="1"/>
  <c r="D3547" i="1"/>
  <c r="G3546" i="1"/>
  <c r="D3546" i="1"/>
  <c r="G3545" i="1"/>
  <c r="D3545" i="1"/>
  <c r="G3544" i="1"/>
  <c r="D3544" i="1"/>
  <c r="G3543" i="1"/>
  <c r="D3543" i="1"/>
  <c r="G3542" i="1"/>
  <c r="D3542" i="1"/>
  <c r="G3541" i="1"/>
  <c r="D3541" i="1"/>
  <c r="G3540" i="1"/>
  <c r="D3540" i="1"/>
  <c r="G3539" i="1"/>
  <c r="D3539" i="1"/>
  <c r="G3538" i="1"/>
  <c r="D3538" i="1"/>
  <c r="G3537" i="1"/>
  <c r="D3537" i="1"/>
  <c r="G3536" i="1"/>
  <c r="D3536" i="1"/>
  <c r="G3535" i="1"/>
  <c r="D3535" i="1"/>
  <c r="G3534" i="1"/>
  <c r="D3534" i="1"/>
  <c r="G3533" i="1"/>
  <c r="D3533" i="1"/>
  <c r="G3532" i="1"/>
  <c r="D3532" i="1"/>
  <c r="G3531" i="1"/>
  <c r="D3531" i="1"/>
  <c r="G3530" i="1"/>
  <c r="D3530" i="1"/>
  <c r="G3529" i="1"/>
  <c r="D3529" i="1"/>
  <c r="G3528" i="1"/>
  <c r="D3528" i="1"/>
  <c r="G3527" i="1"/>
  <c r="D3527" i="1"/>
  <c r="G3526" i="1"/>
  <c r="D3526" i="1"/>
  <c r="G3525" i="1"/>
  <c r="D3525" i="1"/>
  <c r="G3524" i="1"/>
  <c r="D3524" i="1"/>
  <c r="G3523" i="1"/>
  <c r="D3523" i="1"/>
  <c r="G3522" i="1"/>
  <c r="D3522" i="1"/>
  <c r="G3521" i="1"/>
  <c r="D3521" i="1"/>
  <c r="G3520" i="1"/>
  <c r="D3520" i="1"/>
  <c r="G3519" i="1"/>
  <c r="D3519" i="1"/>
  <c r="G3518" i="1"/>
  <c r="D3518" i="1"/>
  <c r="G3517" i="1"/>
  <c r="D3517" i="1"/>
  <c r="G3516" i="1"/>
  <c r="D3516" i="1"/>
  <c r="G3515" i="1"/>
  <c r="D3515" i="1"/>
  <c r="G3514" i="1"/>
  <c r="D3514" i="1"/>
  <c r="G3513" i="1"/>
  <c r="D3513" i="1"/>
  <c r="G3512" i="1"/>
  <c r="D3512" i="1"/>
  <c r="G3511" i="1"/>
  <c r="D3511" i="1"/>
  <c r="G3510" i="1"/>
  <c r="D3510" i="1"/>
  <c r="G3509" i="1"/>
  <c r="D3509" i="1"/>
  <c r="G3508" i="1"/>
  <c r="D3508" i="1"/>
  <c r="G3507" i="1"/>
  <c r="D3507" i="1"/>
  <c r="G3506" i="1"/>
  <c r="D3506" i="1"/>
  <c r="G3505" i="1"/>
  <c r="D3505" i="1"/>
  <c r="G3504" i="1"/>
  <c r="D3504" i="1"/>
  <c r="G3503" i="1"/>
  <c r="D3503" i="1"/>
  <c r="G3502" i="1"/>
  <c r="D3502" i="1"/>
  <c r="G3501" i="1"/>
  <c r="D3501" i="1"/>
  <c r="G3500" i="1"/>
  <c r="D3500" i="1"/>
  <c r="G3499" i="1"/>
  <c r="D3499" i="1"/>
  <c r="G3498" i="1"/>
  <c r="D3498" i="1"/>
  <c r="G3497" i="1"/>
  <c r="D3497" i="1"/>
  <c r="G3496" i="1"/>
  <c r="D3496" i="1"/>
  <c r="G3495" i="1"/>
  <c r="D3495" i="1"/>
  <c r="G3494" i="1"/>
  <c r="D3494" i="1"/>
  <c r="G3493" i="1"/>
  <c r="D3493" i="1"/>
  <c r="G3492" i="1"/>
  <c r="D3492" i="1"/>
  <c r="G3491" i="1"/>
  <c r="D3491" i="1"/>
  <c r="G3490" i="1"/>
  <c r="D3490" i="1"/>
  <c r="G3489" i="1"/>
  <c r="D3489" i="1"/>
  <c r="G3488" i="1"/>
  <c r="D3488" i="1"/>
  <c r="G3487" i="1"/>
  <c r="D3487" i="1"/>
  <c r="G3486" i="1"/>
  <c r="D3486" i="1"/>
  <c r="G3485" i="1"/>
  <c r="D3485" i="1"/>
  <c r="G3484" i="1"/>
  <c r="D3484" i="1"/>
  <c r="G3483" i="1"/>
  <c r="D3483" i="1"/>
  <c r="G3482" i="1"/>
  <c r="D3482" i="1"/>
  <c r="G3481" i="1"/>
  <c r="D3481" i="1"/>
  <c r="G3480" i="1"/>
  <c r="D3480" i="1"/>
  <c r="G3479" i="1"/>
  <c r="D3479" i="1"/>
  <c r="G3478" i="1"/>
  <c r="D3478" i="1"/>
  <c r="G3477" i="1"/>
  <c r="D3477" i="1"/>
  <c r="G3476" i="1"/>
  <c r="D3476" i="1"/>
  <c r="G3475" i="1"/>
  <c r="D3475" i="1"/>
  <c r="G3474" i="1"/>
  <c r="D3474" i="1"/>
  <c r="G3473" i="1"/>
  <c r="D3473" i="1"/>
  <c r="G3472" i="1"/>
  <c r="D3472" i="1"/>
  <c r="G3471" i="1"/>
  <c r="D3471" i="1"/>
  <c r="G3470" i="1"/>
  <c r="D3470" i="1"/>
  <c r="G3469" i="1"/>
  <c r="D3469" i="1"/>
  <c r="G3468" i="1"/>
  <c r="D3468" i="1"/>
  <c r="G3467" i="1"/>
  <c r="D3467" i="1"/>
  <c r="G3466" i="1"/>
  <c r="D3466" i="1"/>
  <c r="G3465" i="1"/>
  <c r="D3465" i="1"/>
  <c r="G3464" i="1"/>
  <c r="D3464" i="1"/>
  <c r="G3463" i="1"/>
  <c r="D3463" i="1"/>
  <c r="G3462" i="1"/>
  <c r="D3462" i="1"/>
  <c r="G3461" i="1"/>
  <c r="D3461" i="1"/>
  <c r="G3460" i="1"/>
  <c r="D3460" i="1"/>
  <c r="G3459" i="1"/>
  <c r="D3459" i="1"/>
  <c r="G3458" i="1"/>
  <c r="D3458" i="1"/>
  <c r="G3457" i="1"/>
  <c r="D3457" i="1"/>
  <c r="G3456" i="1"/>
  <c r="D3456" i="1"/>
  <c r="G3455" i="1"/>
  <c r="D3455" i="1"/>
  <c r="G3454" i="1"/>
  <c r="D3454" i="1"/>
  <c r="G3453" i="1"/>
  <c r="D3453" i="1"/>
  <c r="G3452" i="1"/>
  <c r="D3452" i="1"/>
  <c r="G3451" i="1"/>
  <c r="D3451" i="1"/>
  <c r="G3450" i="1"/>
  <c r="D3450" i="1"/>
  <c r="G3449" i="1"/>
  <c r="D3449" i="1"/>
  <c r="G3448" i="1"/>
  <c r="D3448" i="1"/>
  <c r="G3447" i="1"/>
  <c r="D3447" i="1"/>
  <c r="G3446" i="1"/>
  <c r="D3446" i="1"/>
  <c r="G3445" i="1"/>
  <c r="D3445" i="1"/>
  <c r="G3444" i="1"/>
  <c r="D3444" i="1"/>
  <c r="G3443" i="1"/>
  <c r="D3443" i="1"/>
  <c r="G3442" i="1"/>
  <c r="D3442" i="1"/>
  <c r="G3441" i="1"/>
  <c r="D3441" i="1"/>
  <c r="G3440" i="1"/>
  <c r="D3440" i="1"/>
  <c r="G3439" i="1"/>
  <c r="D3439" i="1"/>
  <c r="G3438" i="1"/>
  <c r="D3438" i="1"/>
  <c r="G3437" i="1"/>
  <c r="D3437" i="1"/>
  <c r="G3436" i="1"/>
  <c r="D3436" i="1"/>
  <c r="G3435" i="1"/>
  <c r="D3435" i="1"/>
  <c r="G3434" i="1"/>
  <c r="D3434" i="1"/>
  <c r="G3433" i="1"/>
  <c r="D3433" i="1"/>
  <c r="G3432" i="1"/>
  <c r="D3432" i="1"/>
  <c r="G3431" i="1"/>
  <c r="D3431" i="1"/>
  <c r="G3430" i="1"/>
  <c r="D3430" i="1"/>
  <c r="G3429" i="1"/>
  <c r="D3429" i="1"/>
  <c r="G3428" i="1"/>
  <c r="D3428" i="1"/>
  <c r="G3427" i="1"/>
  <c r="D3427" i="1"/>
  <c r="G3426" i="1"/>
  <c r="D3426" i="1"/>
  <c r="G3425" i="1"/>
  <c r="D3425" i="1"/>
  <c r="G3424" i="1"/>
  <c r="D3424" i="1"/>
  <c r="G3423" i="1"/>
  <c r="D3423" i="1"/>
  <c r="G3422" i="1"/>
  <c r="D3422" i="1"/>
  <c r="G3421" i="1"/>
  <c r="D3421" i="1"/>
  <c r="G3420" i="1"/>
  <c r="D3420" i="1"/>
  <c r="G3419" i="1"/>
  <c r="D3419" i="1"/>
  <c r="G3418" i="1"/>
  <c r="D3418" i="1"/>
  <c r="G3417" i="1"/>
  <c r="D3417" i="1"/>
  <c r="G3416" i="1"/>
  <c r="D3416" i="1"/>
  <c r="G3415" i="1"/>
  <c r="D3415" i="1"/>
  <c r="G3414" i="1"/>
  <c r="D3414" i="1"/>
  <c r="G3413" i="1"/>
  <c r="D3413" i="1"/>
  <c r="G3412" i="1"/>
  <c r="D3412" i="1"/>
  <c r="G3411" i="1"/>
  <c r="D3411" i="1"/>
  <c r="G3410" i="1"/>
  <c r="D3410" i="1"/>
  <c r="G3409" i="1"/>
  <c r="D3409" i="1"/>
  <c r="G3408" i="1"/>
  <c r="D3408" i="1"/>
  <c r="G3407" i="1"/>
  <c r="D3407" i="1"/>
  <c r="G3406" i="1"/>
  <c r="D3406" i="1"/>
  <c r="G3405" i="1"/>
  <c r="D3405" i="1"/>
  <c r="G3404" i="1"/>
  <c r="D3404" i="1"/>
  <c r="G3403" i="1"/>
  <c r="D3403" i="1"/>
  <c r="G3402" i="1"/>
  <c r="D3402" i="1"/>
  <c r="G3401" i="1"/>
  <c r="D3401" i="1"/>
  <c r="G3400" i="1"/>
  <c r="D3400" i="1"/>
  <c r="G3399" i="1"/>
  <c r="D3399" i="1"/>
  <c r="G3398" i="1"/>
  <c r="D3398" i="1"/>
  <c r="G3397" i="1"/>
  <c r="D3397" i="1"/>
  <c r="G3396" i="1"/>
  <c r="D3396" i="1"/>
  <c r="G3395" i="1"/>
  <c r="D3395" i="1"/>
  <c r="G3394" i="1"/>
  <c r="D3394" i="1"/>
  <c r="G3393" i="1"/>
  <c r="D3393" i="1"/>
  <c r="G3392" i="1"/>
  <c r="D3392" i="1"/>
  <c r="G3391" i="1"/>
  <c r="D3391" i="1"/>
  <c r="G3390" i="1"/>
  <c r="D3390" i="1"/>
  <c r="G3389" i="1"/>
  <c r="D3389" i="1"/>
  <c r="G3388" i="1"/>
  <c r="D3388" i="1"/>
  <c r="G3387" i="1"/>
  <c r="D3387" i="1"/>
  <c r="G3386" i="1"/>
  <c r="D3386" i="1"/>
  <c r="G3385" i="1"/>
  <c r="D3385" i="1"/>
  <c r="G3384" i="1"/>
  <c r="D3384" i="1"/>
  <c r="G3383" i="1"/>
  <c r="D3383" i="1"/>
  <c r="G3382" i="1"/>
  <c r="D3382" i="1"/>
  <c r="G3381" i="1"/>
  <c r="D3381" i="1"/>
  <c r="G3380" i="1"/>
  <c r="D3380" i="1"/>
  <c r="G3379" i="1"/>
  <c r="D3379" i="1"/>
  <c r="G3378" i="1"/>
  <c r="D3378" i="1"/>
  <c r="G3377" i="1"/>
  <c r="D3377" i="1"/>
  <c r="G3376" i="1"/>
  <c r="D3376" i="1"/>
  <c r="G3375" i="1"/>
  <c r="D3375" i="1"/>
  <c r="G3374" i="1"/>
  <c r="D3374" i="1"/>
  <c r="G3373" i="1"/>
  <c r="D3373" i="1"/>
  <c r="G3372" i="1"/>
  <c r="D3372" i="1"/>
  <c r="G3371" i="1"/>
  <c r="D3371" i="1"/>
  <c r="G3370" i="1"/>
  <c r="D3370" i="1"/>
  <c r="G3369" i="1"/>
  <c r="D3369" i="1"/>
  <c r="G3368" i="1"/>
  <c r="D3368" i="1"/>
  <c r="G3367" i="1"/>
  <c r="D3367" i="1"/>
  <c r="G3366" i="1"/>
  <c r="D3366" i="1"/>
  <c r="G3365" i="1"/>
  <c r="D3365" i="1"/>
  <c r="G3364" i="1"/>
  <c r="D3364" i="1"/>
  <c r="G3363" i="1"/>
  <c r="D3363" i="1"/>
  <c r="G3362" i="1"/>
  <c r="D3362" i="1"/>
  <c r="G3361" i="1"/>
  <c r="D3361" i="1"/>
  <c r="G3360" i="1"/>
  <c r="D3360" i="1"/>
  <c r="G3359" i="1"/>
  <c r="D3359" i="1"/>
  <c r="G3358" i="1"/>
  <c r="D3358" i="1"/>
  <c r="G3357" i="1"/>
  <c r="D3357" i="1"/>
  <c r="G3356" i="1"/>
  <c r="D3356" i="1"/>
  <c r="G3355" i="1"/>
  <c r="D3355" i="1"/>
  <c r="G3354" i="1"/>
  <c r="D3354" i="1"/>
  <c r="G3353" i="1"/>
  <c r="D3353" i="1"/>
  <c r="G3352" i="1"/>
  <c r="D3352" i="1"/>
  <c r="G3351" i="1"/>
  <c r="D3351" i="1"/>
  <c r="G3350" i="1"/>
  <c r="D3350" i="1"/>
  <c r="G3349" i="1"/>
  <c r="D3349" i="1"/>
  <c r="G3348" i="1"/>
  <c r="D3348" i="1"/>
  <c r="G3347" i="1"/>
  <c r="D3347" i="1"/>
  <c r="G3346" i="1"/>
  <c r="D3346" i="1"/>
  <c r="G3345" i="1"/>
  <c r="D3345" i="1"/>
  <c r="G3344" i="1"/>
  <c r="D3344" i="1"/>
  <c r="G3343" i="1"/>
  <c r="D3343" i="1"/>
  <c r="G3342" i="1"/>
  <c r="D3342" i="1"/>
  <c r="G3341" i="1"/>
  <c r="D3341" i="1"/>
  <c r="G3340" i="1"/>
  <c r="D3340" i="1"/>
  <c r="G3339" i="1"/>
  <c r="D3339" i="1"/>
  <c r="G3338" i="1"/>
  <c r="D3338" i="1"/>
  <c r="G3337" i="1"/>
  <c r="D3337" i="1"/>
  <c r="G3336" i="1"/>
  <c r="D3336" i="1"/>
  <c r="G3335" i="1"/>
  <c r="D3335" i="1"/>
  <c r="G3334" i="1"/>
  <c r="D3334" i="1"/>
  <c r="G3333" i="1"/>
  <c r="D3333" i="1"/>
  <c r="G3332" i="1"/>
  <c r="D3332" i="1"/>
  <c r="G3331" i="1"/>
  <c r="D3331" i="1"/>
  <c r="G3330" i="1"/>
  <c r="D3330" i="1"/>
  <c r="G3329" i="1"/>
  <c r="D3329" i="1"/>
  <c r="G3328" i="1"/>
  <c r="D3328" i="1"/>
  <c r="G3327" i="1"/>
  <c r="D3327" i="1"/>
  <c r="G3326" i="1"/>
  <c r="D3326" i="1"/>
  <c r="G3325" i="1"/>
  <c r="D3325" i="1"/>
  <c r="G3324" i="1"/>
  <c r="D3324" i="1"/>
  <c r="G3323" i="1"/>
  <c r="D3323" i="1"/>
  <c r="G3322" i="1"/>
  <c r="D3322" i="1"/>
  <c r="G3321" i="1"/>
  <c r="D3321" i="1"/>
  <c r="G3320" i="1"/>
  <c r="D3320" i="1"/>
  <c r="G3319" i="1"/>
  <c r="D3319" i="1"/>
  <c r="G3318" i="1"/>
  <c r="D3318" i="1"/>
  <c r="G3317" i="1"/>
  <c r="D3317" i="1"/>
  <c r="G3316" i="1"/>
  <c r="D3316" i="1"/>
  <c r="G3315" i="1"/>
  <c r="D3315" i="1"/>
  <c r="G3314" i="1"/>
  <c r="D3314" i="1"/>
  <c r="G3313" i="1"/>
  <c r="D3313" i="1"/>
  <c r="G3312" i="1"/>
  <c r="D3312" i="1"/>
  <c r="G3311" i="1"/>
  <c r="D3311" i="1"/>
  <c r="G3310" i="1"/>
  <c r="D3310" i="1"/>
  <c r="G3309" i="1"/>
  <c r="D3309" i="1"/>
  <c r="G3308" i="1"/>
  <c r="D3308" i="1"/>
  <c r="G3307" i="1"/>
  <c r="D3307" i="1"/>
  <c r="G3306" i="1"/>
  <c r="D3306" i="1"/>
  <c r="G3305" i="1"/>
  <c r="D3305" i="1"/>
  <c r="G3304" i="1"/>
  <c r="D3304" i="1"/>
  <c r="G3303" i="1"/>
  <c r="D3303" i="1"/>
  <c r="G3302" i="1"/>
  <c r="D3302" i="1"/>
  <c r="G3301" i="1"/>
  <c r="D3301" i="1"/>
  <c r="G3300" i="1"/>
  <c r="D3300" i="1"/>
  <c r="G3299" i="1"/>
  <c r="D3299" i="1"/>
  <c r="G3298" i="1"/>
  <c r="D3298" i="1"/>
  <c r="G3297" i="1"/>
  <c r="D3297" i="1"/>
  <c r="G3296" i="1"/>
  <c r="D3296" i="1"/>
  <c r="G3295" i="1"/>
  <c r="D3295" i="1"/>
  <c r="G3294" i="1"/>
  <c r="D3294" i="1"/>
  <c r="G3293" i="1"/>
  <c r="D3293" i="1"/>
  <c r="G3292" i="1"/>
  <c r="D3292" i="1"/>
  <c r="G3291" i="1"/>
  <c r="D3291" i="1"/>
  <c r="G3290" i="1"/>
  <c r="D3290" i="1"/>
  <c r="G3289" i="1"/>
  <c r="D3289" i="1"/>
  <c r="G3288" i="1"/>
  <c r="D3288" i="1"/>
  <c r="G3287" i="1"/>
  <c r="D3287" i="1"/>
  <c r="G3286" i="1"/>
  <c r="D3286" i="1"/>
  <c r="G3285" i="1"/>
  <c r="D3285" i="1"/>
  <c r="G3284" i="1"/>
  <c r="D3284" i="1"/>
  <c r="G3283" i="1"/>
  <c r="D3283" i="1"/>
  <c r="G3282" i="1"/>
  <c r="D3282" i="1"/>
  <c r="G3281" i="1"/>
  <c r="D3281" i="1"/>
  <c r="G3280" i="1"/>
  <c r="D3280" i="1"/>
  <c r="G3279" i="1"/>
  <c r="D3279" i="1"/>
  <c r="G3278" i="1"/>
  <c r="D3278" i="1"/>
  <c r="G3277" i="1"/>
  <c r="D3277" i="1"/>
  <c r="G3276" i="1"/>
  <c r="D3276" i="1"/>
  <c r="G3275" i="1"/>
  <c r="D3275" i="1"/>
  <c r="G3274" i="1"/>
  <c r="D3274" i="1"/>
  <c r="G3273" i="1"/>
  <c r="D3273" i="1"/>
  <c r="G3272" i="1"/>
  <c r="D3272" i="1"/>
  <c r="G3271" i="1"/>
  <c r="D3271" i="1"/>
  <c r="G3270" i="1"/>
  <c r="D3270" i="1"/>
  <c r="G3269" i="1"/>
  <c r="D3269" i="1"/>
  <c r="G3268" i="1"/>
  <c r="D3268" i="1"/>
  <c r="G3267" i="1"/>
  <c r="D3267" i="1"/>
  <c r="G3266" i="1"/>
  <c r="D3266" i="1"/>
  <c r="G3265" i="1"/>
  <c r="D3265" i="1"/>
  <c r="G3264" i="1"/>
  <c r="D3264" i="1"/>
  <c r="G3263" i="1"/>
  <c r="D3263" i="1"/>
  <c r="G3262" i="1"/>
  <c r="D3262" i="1"/>
  <c r="G3261" i="1"/>
  <c r="D3261" i="1"/>
  <c r="G3260" i="1"/>
  <c r="D3260" i="1"/>
  <c r="G3259" i="1"/>
  <c r="D3259" i="1"/>
  <c r="G3258" i="1"/>
  <c r="D3258" i="1"/>
  <c r="G3257" i="1"/>
  <c r="D3257" i="1"/>
  <c r="G3256" i="1"/>
  <c r="D3256" i="1"/>
  <c r="G3255" i="1"/>
  <c r="D3255" i="1"/>
  <c r="G3254" i="1"/>
  <c r="D3254" i="1"/>
  <c r="G3253" i="1"/>
  <c r="D3253" i="1"/>
  <c r="G3252" i="1"/>
  <c r="D3252" i="1"/>
  <c r="G3251" i="1"/>
  <c r="D3251" i="1"/>
  <c r="G3250" i="1"/>
  <c r="D3250" i="1"/>
  <c r="G3249" i="1"/>
  <c r="D3249" i="1"/>
  <c r="G3248" i="1"/>
  <c r="D3248" i="1"/>
  <c r="G3247" i="1"/>
  <c r="D3247" i="1"/>
  <c r="G3246" i="1"/>
  <c r="D3246" i="1"/>
  <c r="G3245" i="1"/>
  <c r="D3245" i="1"/>
  <c r="G3244" i="1"/>
  <c r="D3244" i="1"/>
  <c r="G3243" i="1"/>
  <c r="D3243" i="1"/>
  <c r="G3242" i="1"/>
  <c r="D3242" i="1"/>
  <c r="G3241" i="1"/>
  <c r="D3241" i="1"/>
  <c r="G3240" i="1"/>
  <c r="D3240" i="1"/>
  <c r="G3239" i="1"/>
  <c r="D3239" i="1"/>
  <c r="G3238" i="1"/>
  <c r="D3238" i="1"/>
  <c r="G3237" i="1"/>
  <c r="D3237" i="1"/>
  <c r="G3236" i="1"/>
  <c r="D3236" i="1"/>
  <c r="G3235" i="1"/>
  <c r="D3235" i="1"/>
  <c r="G3234" i="1"/>
  <c r="D3234" i="1"/>
  <c r="G3233" i="1"/>
  <c r="D3233" i="1"/>
  <c r="G3232" i="1"/>
  <c r="D3232" i="1"/>
  <c r="G3231" i="1"/>
  <c r="D3231" i="1"/>
  <c r="G3230" i="1"/>
  <c r="D3230" i="1"/>
  <c r="G3229" i="1"/>
  <c r="D3229" i="1"/>
  <c r="G3228" i="1"/>
  <c r="D3228" i="1"/>
  <c r="G3227" i="1"/>
  <c r="D3227" i="1"/>
  <c r="G3226" i="1"/>
  <c r="D3226" i="1"/>
  <c r="G3225" i="1"/>
  <c r="D3225" i="1"/>
  <c r="G3224" i="1"/>
  <c r="D3224" i="1"/>
  <c r="G3223" i="1"/>
  <c r="D3223" i="1"/>
  <c r="G3222" i="1"/>
  <c r="D3222" i="1"/>
  <c r="G3221" i="1"/>
  <c r="D3221" i="1"/>
  <c r="G3220" i="1"/>
  <c r="D3220" i="1"/>
  <c r="G3219" i="1"/>
  <c r="D3219" i="1"/>
  <c r="G3218" i="1"/>
  <c r="D3218" i="1"/>
  <c r="G3217" i="1"/>
  <c r="D3217" i="1"/>
  <c r="G3216" i="1"/>
  <c r="D3216" i="1"/>
  <c r="G3215" i="1"/>
  <c r="D3215" i="1"/>
  <c r="G3214" i="1"/>
  <c r="D3214" i="1"/>
  <c r="G3213" i="1"/>
  <c r="D3213" i="1"/>
  <c r="G3212" i="1"/>
  <c r="D3212" i="1"/>
  <c r="G3211" i="1"/>
  <c r="D3211" i="1"/>
  <c r="G3210" i="1"/>
  <c r="D3210" i="1"/>
  <c r="G3209" i="1"/>
  <c r="D3209" i="1"/>
  <c r="G3208" i="1"/>
  <c r="D3208" i="1"/>
  <c r="G3207" i="1"/>
  <c r="D3207" i="1"/>
  <c r="G3206" i="1"/>
  <c r="D3206" i="1"/>
  <c r="G3205" i="1"/>
  <c r="D3205" i="1"/>
  <c r="G3204" i="1"/>
  <c r="D3204" i="1"/>
  <c r="G3203" i="1"/>
  <c r="D3203" i="1"/>
  <c r="G3202" i="1"/>
  <c r="D3202" i="1"/>
  <c r="G3201" i="1"/>
  <c r="D3201" i="1"/>
  <c r="G3200" i="1"/>
  <c r="D3200" i="1"/>
  <c r="G3199" i="1"/>
  <c r="D3199" i="1"/>
  <c r="G3198" i="1"/>
  <c r="D3198" i="1"/>
  <c r="G3197" i="1"/>
  <c r="D3197" i="1"/>
  <c r="G3196" i="1"/>
  <c r="D3196" i="1"/>
  <c r="G3195" i="1"/>
  <c r="D3195" i="1"/>
  <c r="G3194" i="1"/>
  <c r="D3194" i="1"/>
  <c r="G3193" i="1"/>
  <c r="D3193" i="1"/>
  <c r="G3192" i="1"/>
  <c r="D3192" i="1"/>
  <c r="G3191" i="1"/>
  <c r="D3191" i="1"/>
  <c r="G3190" i="1"/>
  <c r="D3190" i="1"/>
  <c r="G3189" i="1"/>
  <c r="D3189" i="1"/>
  <c r="G3188" i="1"/>
  <c r="D3188" i="1"/>
  <c r="G3187" i="1"/>
  <c r="D3187" i="1"/>
  <c r="G3186" i="1"/>
  <c r="D3186" i="1"/>
  <c r="G3185" i="1"/>
  <c r="D3185" i="1"/>
  <c r="G3184" i="1"/>
  <c r="D3184" i="1"/>
  <c r="G3183" i="1"/>
  <c r="D3183" i="1"/>
  <c r="G3182" i="1"/>
  <c r="D3182" i="1"/>
  <c r="G3181" i="1"/>
  <c r="D3181" i="1"/>
  <c r="G3180" i="1"/>
  <c r="D3180" i="1"/>
  <c r="G3179" i="1"/>
  <c r="D3179" i="1"/>
  <c r="G3178" i="1"/>
  <c r="D3178" i="1"/>
  <c r="G3177" i="1"/>
  <c r="D3177" i="1"/>
  <c r="G3176" i="1"/>
  <c r="D3176" i="1"/>
  <c r="G3175" i="1"/>
  <c r="D3175" i="1"/>
  <c r="G3174" i="1"/>
  <c r="D3174" i="1"/>
  <c r="G3173" i="1"/>
  <c r="D3173" i="1"/>
  <c r="G3172" i="1"/>
  <c r="D3172" i="1"/>
  <c r="G3171" i="1"/>
  <c r="D3171" i="1"/>
  <c r="G3170" i="1"/>
  <c r="D3170" i="1"/>
  <c r="G3169" i="1"/>
  <c r="D3169" i="1"/>
  <c r="G3168" i="1"/>
  <c r="D3168" i="1"/>
  <c r="G3167" i="1"/>
  <c r="D3167" i="1"/>
  <c r="G3166" i="1"/>
  <c r="D3166" i="1"/>
  <c r="G3165" i="1"/>
  <c r="D3165" i="1"/>
  <c r="G3164" i="1"/>
  <c r="D3164" i="1"/>
  <c r="G3163" i="1"/>
  <c r="D3163" i="1"/>
  <c r="G3162" i="1"/>
  <c r="D3162" i="1"/>
  <c r="G3161" i="1"/>
  <c r="D3161" i="1"/>
  <c r="G3160" i="1"/>
  <c r="D3160" i="1"/>
  <c r="G3159" i="1"/>
  <c r="D3159" i="1"/>
  <c r="G3158" i="1"/>
  <c r="D3158" i="1"/>
  <c r="G3157" i="1"/>
  <c r="D3157" i="1"/>
  <c r="G3156" i="1"/>
  <c r="D3156" i="1"/>
  <c r="G3155" i="1"/>
  <c r="D3155" i="1"/>
  <c r="G3154" i="1"/>
  <c r="D3154" i="1"/>
  <c r="G3153" i="1"/>
  <c r="D3153" i="1"/>
  <c r="G3152" i="1"/>
  <c r="D3152" i="1"/>
  <c r="G3151" i="1"/>
  <c r="D3151" i="1"/>
  <c r="G3150" i="1"/>
  <c r="D3150" i="1"/>
  <c r="G3149" i="1"/>
  <c r="D3149" i="1"/>
  <c r="G3148" i="1"/>
  <c r="D3148" i="1"/>
  <c r="G3147" i="1"/>
  <c r="D3147" i="1"/>
  <c r="G3146" i="1"/>
  <c r="D3146" i="1"/>
  <c r="G3145" i="1"/>
  <c r="D3145" i="1"/>
  <c r="G3144" i="1"/>
  <c r="D3144" i="1"/>
  <c r="G3143" i="1"/>
  <c r="D3143" i="1"/>
  <c r="G3142" i="1"/>
  <c r="D3142" i="1"/>
  <c r="G3141" i="1"/>
  <c r="D3141" i="1"/>
  <c r="G3140" i="1"/>
  <c r="D3140" i="1"/>
  <c r="G3139" i="1"/>
  <c r="D3139" i="1"/>
  <c r="G3138" i="1"/>
  <c r="D3138" i="1"/>
  <c r="G3137" i="1"/>
  <c r="D3137" i="1"/>
  <c r="G3136" i="1"/>
  <c r="D3136" i="1"/>
  <c r="G3135" i="1"/>
  <c r="D3135" i="1"/>
  <c r="G3134" i="1"/>
  <c r="D3134" i="1"/>
  <c r="G3133" i="1"/>
  <c r="D3133" i="1"/>
  <c r="G3132" i="1"/>
  <c r="D3132" i="1"/>
  <c r="G3131" i="1"/>
  <c r="D3131" i="1"/>
  <c r="G3130" i="1"/>
  <c r="D3130" i="1"/>
  <c r="G3129" i="1"/>
  <c r="D3129" i="1"/>
  <c r="G3128" i="1"/>
  <c r="D3128" i="1"/>
  <c r="G3127" i="1"/>
  <c r="D3127" i="1"/>
  <c r="G3126" i="1"/>
  <c r="D3126" i="1"/>
  <c r="G3125" i="1"/>
  <c r="D3125" i="1"/>
  <c r="G3124" i="1"/>
  <c r="D3124" i="1"/>
  <c r="G3123" i="1"/>
  <c r="D3123" i="1"/>
  <c r="G3122" i="1"/>
  <c r="D3122" i="1"/>
  <c r="G3121" i="1"/>
  <c r="D3121" i="1"/>
  <c r="G3120" i="1"/>
  <c r="D3120" i="1"/>
  <c r="G3119" i="1"/>
  <c r="D3119" i="1"/>
  <c r="G3118" i="1"/>
  <c r="D3118" i="1"/>
  <c r="G3117" i="1"/>
  <c r="D3117" i="1"/>
  <c r="G3116" i="1"/>
  <c r="D3116" i="1"/>
  <c r="G3115" i="1"/>
  <c r="D3115" i="1"/>
  <c r="G3114" i="1"/>
  <c r="D3114" i="1"/>
  <c r="G3113" i="1"/>
  <c r="D3113" i="1"/>
  <c r="G3112" i="1"/>
  <c r="D3112" i="1"/>
  <c r="G3111" i="1"/>
  <c r="D3111" i="1"/>
  <c r="G3110" i="1"/>
  <c r="D3110" i="1"/>
  <c r="G3109" i="1"/>
  <c r="D3109" i="1"/>
  <c r="G3108" i="1"/>
  <c r="D3108" i="1"/>
  <c r="G3107" i="1"/>
  <c r="D3107" i="1"/>
  <c r="G3106" i="1"/>
  <c r="D3106" i="1"/>
  <c r="G3105" i="1"/>
  <c r="D3105" i="1"/>
  <c r="G3104" i="1"/>
  <c r="D3104" i="1"/>
  <c r="G3103" i="1"/>
  <c r="D3103" i="1"/>
  <c r="G3102" i="1"/>
  <c r="D3102" i="1"/>
  <c r="G3101" i="1"/>
  <c r="D3101" i="1"/>
  <c r="G3100" i="1"/>
  <c r="D3100" i="1"/>
  <c r="G3099" i="1"/>
  <c r="D3099" i="1"/>
  <c r="G3098" i="1"/>
  <c r="D3098" i="1"/>
  <c r="G3097" i="1"/>
  <c r="D3097" i="1"/>
  <c r="G3096" i="1"/>
  <c r="D3096" i="1"/>
  <c r="G3095" i="1"/>
  <c r="D3095" i="1"/>
  <c r="G3094" i="1"/>
  <c r="D3094" i="1"/>
  <c r="G3093" i="1"/>
  <c r="D3093" i="1"/>
  <c r="G3092" i="1"/>
  <c r="D3092" i="1"/>
  <c r="G3091" i="1"/>
  <c r="D3091" i="1"/>
  <c r="G3090" i="1"/>
  <c r="D3090" i="1"/>
  <c r="G3089" i="1"/>
  <c r="D3089" i="1"/>
  <c r="G3088" i="1"/>
  <c r="D3088" i="1"/>
  <c r="G3087" i="1"/>
  <c r="D3087" i="1"/>
  <c r="G3086" i="1"/>
  <c r="D3086" i="1"/>
  <c r="G3085" i="1"/>
  <c r="D3085" i="1"/>
  <c r="G3084" i="1"/>
  <c r="D3084" i="1"/>
  <c r="G3083" i="1"/>
  <c r="D3083" i="1"/>
  <c r="G3082" i="1"/>
  <c r="D3082" i="1"/>
  <c r="G3081" i="1"/>
  <c r="D3081" i="1"/>
  <c r="G3080" i="1"/>
  <c r="D3080" i="1"/>
  <c r="G3079" i="1"/>
  <c r="D3079" i="1"/>
  <c r="G3078" i="1"/>
  <c r="D3078" i="1"/>
  <c r="G3077" i="1"/>
  <c r="D3077" i="1"/>
  <c r="G3076" i="1"/>
  <c r="D3076" i="1"/>
  <c r="G3075" i="1"/>
  <c r="D3075" i="1"/>
  <c r="G3074" i="1"/>
  <c r="D3074" i="1"/>
  <c r="G3073" i="1"/>
  <c r="D3073" i="1"/>
  <c r="G3072" i="1"/>
  <c r="D3072" i="1"/>
  <c r="G3071" i="1"/>
  <c r="D3071" i="1"/>
  <c r="G3070" i="1"/>
  <c r="D3070" i="1"/>
  <c r="G3069" i="1"/>
  <c r="D3069" i="1"/>
  <c r="G3068" i="1"/>
  <c r="D3068" i="1"/>
  <c r="G3067" i="1"/>
  <c r="D3067" i="1"/>
  <c r="G3066" i="1"/>
  <c r="D3066" i="1"/>
  <c r="G3065" i="1"/>
  <c r="D3065" i="1"/>
  <c r="G3064" i="1"/>
  <c r="D3064" i="1"/>
  <c r="G3063" i="1"/>
  <c r="D3063" i="1"/>
  <c r="G3062" i="1"/>
  <c r="D3062" i="1"/>
  <c r="G3061" i="1"/>
  <c r="D3061" i="1"/>
  <c r="G3060" i="1"/>
  <c r="D3060" i="1"/>
  <c r="G3059" i="1"/>
  <c r="D3059" i="1"/>
  <c r="G3058" i="1"/>
  <c r="D3058" i="1"/>
  <c r="G3057" i="1"/>
  <c r="D3057" i="1"/>
  <c r="G3056" i="1"/>
  <c r="D3056" i="1"/>
  <c r="G3055" i="1"/>
  <c r="D3055" i="1"/>
  <c r="G3054" i="1"/>
  <c r="D3054" i="1"/>
  <c r="G3053" i="1"/>
  <c r="D3053" i="1"/>
  <c r="G3052" i="1"/>
  <c r="D3052" i="1"/>
  <c r="G3051" i="1"/>
  <c r="D3051" i="1"/>
  <c r="G3050" i="1"/>
  <c r="D3050" i="1"/>
  <c r="G3049" i="1"/>
  <c r="D3049" i="1"/>
  <c r="G3048" i="1"/>
  <c r="D3048" i="1"/>
  <c r="G3047" i="1"/>
  <c r="D3047" i="1"/>
  <c r="G3046" i="1"/>
  <c r="D3046" i="1"/>
  <c r="G3045" i="1"/>
  <c r="D3045" i="1"/>
  <c r="G3044" i="1"/>
  <c r="D3044" i="1"/>
  <c r="G3043" i="1"/>
  <c r="D3043" i="1"/>
  <c r="G3042" i="1"/>
  <c r="D3042" i="1"/>
  <c r="G3041" i="1"/>
  <c r="D3041" i="1"/>
  <c r="G3040" i="1"/>
  <c r="D3040" i="1"/>
  <c r="G3039" i="1"/>
  <c r="D3039" i="1"/>
  <c r="G3038" i="1"/>
  <c r="D3038" i="1"/>
  <c r="G3037" i="1"/>
  <c r="D3037" i="1"/>
  <c r="G3036" i="1"/>
  <c r="D3036" i="1"/>
  <c r="G3035" i="1"/>
  <c r="D3035" i="1"/>
  <c r="G3034" i="1"/>
  <c r="D3034" i="1"/>
  <c r="G3033" i="1"/>
  <c r="D3033" i="1"/>
  <c r="G3032" i="1"/>
  <c r="D3032" i="1"/>
  <c r="G3031" i="1"/>
  <c r="D3031" i="1"/>
  <c r="G3030" i="1"/>
  <c r="D3030" i="1"/>
  <c r="G3029" i="1"/>
  <c r="D3029" i="1"/>
  <c r="G3028" i="1"/>
  <c r="D3028" i="1"/>
  <c r="G3027" i="1"/>
  <c r="D3027" i="1"/>
  <c r="G3026" i="1"/>
  <c r="D3026" i="1"/>
  <c r="G3025" i="1"/>
  <c r="D3025" i="1"/>
  <c r="G3024" i="1"/>
  <c r="D3024" i="1"/>
  <c r="G3023" i="1"/>
  <c r="D3023" i="1"/>
  <c r="G3022" i="1"/>
  <c r="D3022" i="1"/>
  <c r="G3021" i="1"/>
  <c r="D3021" i="1"/>
  <c r="G3020" i="1"/>
  <c r="D3020" i="1"/>
  <c r="G3019" i="1"/>
  <c r="D3019" i="1"/>
  <c r="G3018" i="1"/>
  <c r="D3018" i="1"/>
  <c r="G3017" i="1"/>
  <c r="D3017" i="1"/>
  <c r="G3016" i="1"/>
  <c r="D3016" i="1"/>
  <c r="G3015" i="1"/>
  <c r="D3015" i="1"/>
  <c r="G3014" i="1"/>
  <c r="D3014" i="1"/>
  <c r="G3013" i="1"/>
  <c r="D3013" i="1"/>
  <c r="G3012" i="1"/>
  <c r="D3012" i="1"/>
  <c r="G3011" i="1"/>
  <c r="D3011" i="1"/>
  <c r="G3010" i="1"/>
  <c r="D3010" i="1"/>
  <c r="G3009" i="1"/>
  <c r="D3009" i="1"/>
  <c r="G3008" i="1"/>
  <c r="D3008" i="1"/>
  <c r="G3007" i="1"/>
  <c r="D3007" i="1"/>
  <c r="G3006" i="1"/>
  <c r="D3006" i="1"/>
  <c r="G3005" i="1"/>
  <c r="D3005" i="1"/>
  <c r="G3004" i="1"/>
  <c r="D3004" i="1"/>
  <c r="G3003" i="1"/>
  <c r="D3003" i="1"/>
  <c r="G3002" i="1"/>
  <c r="D3002" i="1"/>
  <c r="G3001" i="1"/>
  <c r="D3001" i="1"/>
  <c r="G3000" i="1"/>
  <c r="D3000" i="1"/>
  <c r="G2999" i="1"/>
  <c r="D2999" i="1"/>
  <c r="G2998" i="1"/>
  <c r="D2998" i="1"/>
  <c r="G2997" i="1"/>
  <c r="D2997" i="1"/>
  <c r="G2996" i="1"/>
  <c r="D2996" i="1"/>
  <c r="G2995" i="1"/>
  <c r="D2995" i="1"/>
  <c r="G2994" i="1"/>
  <c r="D2994" i="1"/>
  <c r="G2993" i="1"/>
  <c r="D2993" i="1"/>
  <c r="G2992" i="1"/>
  <c r="D2992" i="1"/>
  <c r="G2991" i="1"/>
  <c r="D2991" i="1"/>
  <c r="G2990" i="1"/>
  <c r="D2990" i="1"/>
  <c r="G2989" i="1"/>
  <c r="D2989" i="1"/>
  <c r="G2988" i="1"/>
  <c r="D2988" i="1"/>
  <c r="G2987" i="1"/>
  <c r="D2987" i="1"/>
  <c r="G2986" i="1"/>
  <c r="D2986" i="1"/>
  <c r="G2985" i="1"/>
  <c r="D2985" i="1"/>
  <c r="G2984" i="1"/>
  <c r="D2984" i="1"/>
  <c r="G2983" i="1"/>
  <c r="D2983" i="1"/>
  <c r="G2982" i="1"/>
  <c r="D2982" i="1"/>
  <c r="G2981" i="1"/>
  <c r="D2981" i="1"/>
  <c r="G2980" i="1"/>
  <c r="D2980" i="1"/>
  <c r="G2979" i="1"/>
  <c r="D2979" i="1"/>
  <c r="G2978" i="1"/>
  <c r="D2978" i="1"/>
  <c r="G2977" i="1"/>
  <c r="D2977" i="1"/>
  <c r="G2976" i="1"/>
  <c r="D2976" i="1"/>
  <c r="G2975" i="1"/>
  <c r="D2975" i="1"/>
  <c r="G2974" i="1"/>
  <c r="D2974" i="1"/>
  <c r="G2973" i="1"/>
  <c r="D2973" i="1"/>
  <c r="G2972" i="1"/>
  <c r="D2972" i="1"/>
  <c r="G2971" i="1"/>
  <c r="D2971" i="1"/>
  <c r="G2970" i="1"/>
  <c r="D2970" i="1"/>
  <c r="G2969" i="1"/>
  <c r="D2969" i="1"/>
  <c r="G2968" i="1"/>
  <c r="D2968" i="1"/>
  <c r="G2967" i="1"/>
  <c r="D2967" i="1"/>
  <c r="G2966" i="1"/>
  <c r="D2966" i="1"/>
  <c r="G2965" i="1"/>
  <c r="D2965" i="1"/>
  <c r="G2964" i="1"/>
  <c r="D2964" i="1"/>
  <c r="G2963" i="1"/>
  <c r="D2963" i="1"/>
  <c r="G2962" i="1"/>
  <c r="D2962" i="1"/>
  <c r="G2961" i="1"/>
  <c r="D2961" i="1"/>
  <c r="G2960" i="1"/>
  <c r="D2960" i="1"/>
  <c r="G2959" i="1"/>
  <c r="D2959" i="1"/>
  <c r="G2958" i="1"/>
  <c r="D2958" i="1"/>
  <c r="G2957" i="1"/>
  <c r="D2957" i="1"/>
  <c r="G2956" i="1"/>
  <c r="D2956" i="1"/>
  <c r="G2955" i="1"/>
  <c r="D2955" i="1"/>
  <c r="G2954" i="1"/>
  <c r="D2954" i="1"/>
  <c r="G2953" i="1"/>
  <c r="D2953" i="1"/>
  <c r="G2952" i="1"/>
  <c r="D2952" i="1"/>
  <c r="G2951" i="1"/>
  <c r="D2951" i="1"/>
  <c r="G2950" i="1"/>
  <c r="D2950" i="1"/>
  <c r="G2949" i="1"/>
  <c r="D2949" i="1"/>
  <c r="G2948" i="1"/>
  <c r="D2948" i="1"/>
  <c r="G2947" i="1"/>
  <c r="D2947" i="1"/>
  <c r="G2946" i="1"/>
  <c r="D2946" i="1"/>
  <c r="G2945" i="1"/>
  <c r="D2945" i="1"/>
  <c r="G2944" i="1"/>
  <c r="D2944" i="1"/>
  <c r="G2943" i="1"/>
  <c r="D2943" i="1"/>
  <c r="G2942" i="1"/>
  <c r="D2942" i="1"/>
  <c r="G2941" i="1"/>
  <c r="D2941" i="1"/>
  <c r="G2940" i="1"/>
  <c r="D2940" i="1"/>
  <c r="G2939" i="1"/>
  <c r="D2939" i="1"/>
  <c r="G2938" i="1"/>
  <c r="D2938" i="1"/>
  <c r="G2937" i="1"/>
  <c r="D2937" i="1"/>
  <c r="G2936" i="1"/>
  <c r="D2936" i="1"/>
  <c r="G2935" i="1"/>
  <c r="D2935" i="1"/>
  <c r="G2934" i="1"/>
  <c r="D2934" i="1"/>
  <c r="G2933" i="1"/>
  <c r="D2933" i="1"/>
  <c r="G2932" i="1"/>
  <c r="D2932" i="1"/>
  <c r="G2931" i="1"/>
  <c r="D2931" i="1"/>
  <c r="G2930" i="1"/>
  <c r="D2930" i="1"/>
  <c r="G2929" i="1"/>
  <c r="D2929" i="1"/>
  <c r="G2928" i="1"/>
  <c r="D2928" i="1"/>
  <c r="G2927" i="1"/>
  <c r="D2927" i="1"/>
  <c r="G2926" i="1"/>
  <c r="D2926" i="1"/>
  <c r="G2925" i="1"/>
  <c r="D2925" i="1"/>
  <c r="G2924" i="1"/>
  <c r="D2924" i="1"/>
  <c r="G2923" i="1"/>
  <c r="D2923" i="1"/>
  <c r="G2922" i="1"/>
  <c r="D2922" i="1"/>
  <c r="G2921" i="1"/>
  <c r="D2921" i="1"/>
  <c r="G2920" i="1"/>
  <c r="D2920" i="1"/>
  <c r="G2919" i="1"/>
  <c r="D2919" i="1"/>
  <c r="G2918" i="1"/>
  <c r="D2918" i="1"/>
  <c r="G2917" i="1"/>
  <c r="D2917" i="1"/>
  <c r="G2916" i="1"/>
  <c r="D2916" i="1"/>
  <c r="G2915" i="1"/>
  <c r="D2915" i="1"/>
  <c r="G2914" i="1"/>
  <c r="D2914" i="1"/>
  <c r="G2913" i="1"/>
  <c r="D2913" i="1"/>
  <c r="G2912" i="1"/>
  <c r="D2912" i="1"/>
  <c r="G2911" i="1"/>
  <c r="D2911" i="1"/>
  <c r="G2910" i="1"/>
  <c r="D2910" i="1"/>
  <c r="G2909" i="1"/>
  <c r="D2909" i="1"/>
  <c r="G2908" i="1"/>
  <c r="D2908" i="1"/>
  <c r="G2907" i="1"/>
  <c r="D2907" i="1"/>
  <c r="G2906" i="1"/>
  <c r="D2906" i="1"/>
  <c r="G2905" i="1"/>
  <c r="D2905" i="1"/>
  <c r="G2904" i="1"/>
  <c r="D2904" i="1"/>
  <c r="G2903" i="1"/>
  <c r="D2903" i="1"/>
  <c r="G2902" i="1"/>
  <c r="D2902" i="1"/>
  <c r="G2901" i="1"/>
  <c r="D2901" i="1"/>
  <c r="G2900" i="1"/>
  <c r="D2900" i="1"/>
  <c r="G2899" i="1"/>
  <c r="D2899" i="1"/>
  <c r="G2898" i="1"/>
  <c r="D2898" i="1"/>
  <c r="G2897" i="1"/>
  <c r="D2897" i="1"/>
  <c r="G2896" i="1"/>
  <c r="D2896" i="1"/>
  <c r="G2895" i="1"/>
  <c r="D2895" i="1"/>
  <c r="G2894" i="1"/>
  <c r="D2894" i="1"/>
  <c r="G2893" i="1"/>
  <c r="D2893" i="1"/>
  <c r="G2892" i="1"/>
  <c r="D2892" i="1"/>
  <c r="G2891" i="1"/>
  <c r="D2891" i="1"/>
  <c r="G2890" i="1"/>
  <c r="D2890" i="1"/>
  <c r="G2889" i="1"/>
  <c r="D2889" i="1"/>
  <c r="G2888" i="1"/>
  <c r="D2888" i="1"/>
  <c r="G2887" i="1"/>
  <c r="D2887" i="1"/>
  <c r="G2886" i="1"/>
  <c r="D2886" i="1"/>
  <c r="G2885" i="1"/>
  <c r="D2885" i="1"/>
  <c r="G2884" i="1"/>
  <c r="D2884" i="1"/>
  <c r="G2883" i="1"/>
  <c r="D2883" i="1"/>
  <c r="G2882" i="1"/>
  <c r="D2882" i="1"/>
  <c r="G2881" i="1"/>
  <c r="D2881" i="1"/>
  <c r="G2880" i="1"/>
  <c r="D2880" i="1"/>
  <c r="G2879" i="1"/>
  <c r="D2879" i="1"/>
  <c r="G2878" i="1"/>
  <c r="D2878" i="1"/>
  <c r="G2877" i="1"/>
  <c r="D2877" i="1"/>
  <c r="G2876" i="1"/>
  <c r="D2876" i="1"/>
  <c r="G2875" i="1"/>
  <c r="D2875" i="1"/>
  <c r="G2874" i="1"/>
  <c r="D2874" i="1"/>
  <c r="G2873" i="1"/>
  <c r="D2873" i="1"/>
  <c r="G2872" i="1"/>
  <c r="D2872" i="1"/>
  <c r="G2871" i="1"/>
  <c r="D2871" i="1"/>
  <c r="G2870" i="1"/>
  <c r="D2870" i="1"/>
  <c r="G2869" i="1"/>
  <c r="D2869" i="1"/>
  <c r="G2868" i="1"/>
  <c r="D2868" i="1"/>
  <c r="G2867" i="1"/>
  <c r="D2867" i="1"/>
  <c r="G2866" i="1"/>
  <c r="D2866" i="1"/>
  <c r="G2865" i="1"/>
  <c r="D2865" i="1"/>
  <c r="G2864" i="1"/>
  <c r="D2864" i="1"/>
  <c r="G2863" i="1"/>
  <c r="D2863" i="1"/>
  <c r="G2862" i="1"/>
  <c r="D2862" i="1"/>
  <c r="G2861" i="1"/>
  <c r="D2861" i="1"/>
  <c r="G2860" i="1"/>
  <c r="D2860" i="1"/>
  <c r="G2859" i="1"/>
  <c r="D2859" i="1"/>
  <c r="G2858" i="1"/>
  <c r="D2858" i="1"/>
  <c r="G2857" i="1"/>
  <c r="D2857" i="1"/>
  <c r="G2856" i="1"/>
  <c r="D2856" i="1"/>
  <c r="G2855" i="1"/>
  <c r="D2855" i="1"/>
  <c r="G2854" i="1"/>
  <c r="D2854" i="1"/>
  <c r="G2853" i="1"/>
  <c r="D2853" i="1"/>
  <c r="G2852" i="1"/>
  <c r="D2852" i="1"/>
  <c r="G2851" i="1"/>
  <c r="D2851" i="1"/>
  <c r="G2850" i="1"/>
  <c r="D2850" i="1"/>
  <c r="G2849" i="1"/>
  <c r="D2849" i="1"/>
  <c r="G2848" i="1"/>
  <c r="D2848" i="1"/>
  <c r="G2847" i="1"/>
  <c r="D2847" i="1"/>
  <c r="G2846" i="1"/>
  <c r="D2846" i="1"/>
  <c r="G2845" i="1"/>
  <c r="D2845" i="1"/>
  <c r="G2844" i="1"/>
  <c r="D2844" i="1"/>
  <c r="G2843" i="1"/>
  <c r="D2843" i="1"/>
  <c r="G2842" i="1"/>
  <c r="D2842" i="1"/>
  <c r="G2841" i="1"/>
  <c r="D2841" i="1"/>
  <c r="G2840" i="1"/>
  <c r="D2840" i="1"/>
  <c r="G2839" i="1"/>
  <c r="D2839" i="1"/>
  <c r="G2838" i="1"/>
  <c r="D2838" i="1"/>
  <c r="G2837" i="1"/>
  <c r="D2837" i="1"/>
  <c r="G2836" i="1"/>
  <c r="D2836" i="1"/>
  <c r="G2835" i="1"/>
  <c r="D2835" i="1"/>
  <c r="G2834" i="1"/>
  <c r="D2834" i="1"/>
  <c r="G2833" i="1"/>
  <c r="D2833" i="1"/>
  <c r="G2832" i="1"/>
  <c r="D2832" i="1"/>
  <c r="G2831" i="1"/>
  <c r="D2831" i="1"/>
  <c r="G2830" i="1"/>
  <c r="D2830" i="1"/>
  <c r="G2829" i="1"/>
  <c r="D2829" i="1"/>
  <c r="G2828" i="1"/>
  <c r="D2828" i="1"/>
  <c r="G2827" i="1"/>
  <c r="D2827" i="1"/>
  <c r="G2826" i="1"/>
  <c r="D2826" i="1"/>
  <c r="G2825" i="1"/>
  <c r="D2825" i="1"/>
  <c r="G2824" i="1"/>
  <c r="D2824" i="1"/>
  <c r="G2823" i="1"/>
  <c r="D2823" i="1"/>
  <c r="G2822" i="1"/>
  <c r="D2822" i="1"/>
  <c r="G2821" i="1"/>
  <c r="D2821" i="1"/>
  <c r="G2820" i="1"/>
  <c r="D2820" i="1"/>
  <c r="G2819" i="1"/>
  <c r="D2819" i="1"/>
  <c r="G2818" i="1"/>
  <c r="D2818" i="1"/>
  <c r="G2817" i="1"/>
  <c r="D2817" i="1"/>
  <c r="G2816" i="1"/>
  <c r="D2816" i="1"/>
  <c r="G2815" i="1"/>
  <c r="D2815" i="1"/>
  <c r="G2814" i="1"/>
  <c r="D2814" i="1"/>
  <c r="G2813" i="1"/>
  <c r="D2813" i="1"/>
  <c r="G2812" i="1"/>
  <c r="D2812" i="1"/>
  <c r="G2811" i="1"/>
  <c r="D2811" i="1"/>
  <c r="G2810" i="1"/>
  <c r="D2810" i="1"/>
  <c r="G2809" i="1"/>
  <c r="D2809" i="1"/>
  <c r="G2808" i="1"/>
  <c r="D2808" i="1"/>
  <c r="G2807" i="1"/>
  <c r="D2807" i="1"/>
  <c r="G2806" i="1"/>
  <c r="D2806" i="1"/>
  <c r="G2805" i="1"/>
  <c r="D2805" i="1"/>
  <c r="G2804" i="1"/>
  <c r="D2804" i="1"/>
  <c r="G2803" i="1"/>
  <c r="D2803" i="1"/>
  <c r="G2802" i="1"/>
  <c r="D2802" i="1"/>
  <c r="G2801" i="1"/>
  <c r="D2801" i="1"/>
  <c r="G2800" i="1"/>
  <c r="D2800" i="1"/>
  <c r="G2799" i="1"/>
  <c r="D2799" i="1"/>
  <c r="G2798" i="1"/>
  <c r="D2798" i="1"/>
  <c r="G2797" i="1"/>
  <c r="D2797" i="1"/>
  <c r="G2796" i="1"/>
  <c r="D2796" i="1"/>
  <c r="G2795" i="1"/>
  <c r="D2795" i="1"/>
  <c r="G2794" i="1"/>
  <c r="D2794" i="1"/>
  <c r="G2793" i="1"/>
  <c r="D2793" i="1"/>
  <c r="G2792" i="1"/>
  <c r="D2792" i="1"/>
  <c r="G2791" i="1"/>
  <c r="D2791" i="1"/>
  <c r="G2790" i="1"/>
  <c r="D2790" i="1"/>
  <c r="G2789" i="1"/>
  <c r="D2789" i="1"/>
  <c r="G2788" i="1"/>
  <c r="D2788" i="1"/>
  <c r="G2787" i="1"/>
  <c r="D2787" i="1"/>
  <c r="G2786" i="1"/>
  <c r="D2786" i="1"/>
  <c r="G2785" i="1"/>
  <c r="D2785" i="1"/>
  <c r="G2784" i="1"/>
  <c r="D2784" i="1"/>
  <c r="G2783" i="1"/>
  <c r="D2783" i="1"/>
  <c r="G2782" i="1"/>
  <c r="D2782" i="1"/>
  <c r="G2781" i="1"/>
  <c r="D2781" i="1"/>
  <c r="G2780" i="1"/>
  <c r="D2780" i="1"/>
  <c r="G2779" i="1"/>
  <c r="D2779" i="1"/>
  <c r="G2778" i="1"/>
  <c r="D2778" i="1"/>
  <c r="G2777" i="1"/>
  <c r="D2777" i="1"/>
  <c r="G2776" i="1"/>
  <c r="D2776" i="1"/>
  <c r="G2775" i="1"/>
  <c r="D2775" i="1"/>
  <c r="G2774" i="1"/>
  <c r="D2774" i="1"/>
  <c r="G2773" i="1"/>
  <c r="D2773" i="1"/>
  <c r="G2772" i="1"/>
  <c r="D2772" i="1"/>
  <c r="G2771" i="1"/>
  <c r="D2771" i="1"/>
  <c r="G2770" i="1"/>
  <c r="D2770" i="1"/>
  <c r="G2769" i="1"/>
  <c r="D2769" i="1"/>
  <c r="G2768" i="1"/>
  <c r="D2768" i="1"/>
  <c r="G2767" i="1"/>
  <c r="D2767" i="1"/>
  <c r="G2766" i="1"/>
  <c r="D2766" i="1"/>
  <c r="G2765" i="1"/>
  <c r="D2765" i="1"/>
  <c r="G2764" i="1"/>
  <c r="D2764" i="1"/>
  <c r="G2763" i="1"/>
  <c r="D2763" i="1"/>
  <c r="G2762" i="1"/>
  <c r="D2762" i="1"/>
  <c r="G2761" i="1"/>
  <c r="D2761" i="1"/>
  <c r="G2760" i="1"/>
  <c r="D2760" i="1"/>
  <c r="G2759" i="1"/>
  <c r="D2759" i="1"/>
  <c r="G2758" i="1"/>
  <c r="D2758" i="1"/>
  <c r="G2757" i="1"/>
  <c r="D2757" i="1"/>
  <c r="G2756" i="1"/>
  <c r="D2756" i="1"/>
  <c r="G2755" i="1"/>
  <c r="D2755" i="1"/>
  <c r="G2754" i="1"/>
  <c r="D2754" i="1"/>
  <c r="G2753" i="1"/>
  <c r="D2753" i="1"/>
  <c r="G2752" i="1"/>
  <c r="D2752" i="1"/>
  <c r="G2751" i="1"/>
  <c r="D2751" i="1"/>
  <c r="G2750" i="1"/>
  <c r="D2750" i="1"/>
  <c r="G2749" i="1"/>
  <c r="D2749" i="1"/>
  <c r="G2748" i="1"/>
  <c r="D2748" i="1"/>
  <c r="G2747" i="1"/>
  <c r="D2747" i="1"/>
  <c r="G2746" i="1"/>
  <c r="D2746" i="1"/>
  <c r="G2745" i="1"/>
  <c r="D2745" i="1"/>
  <c r="G2744" i="1"/>
  <c r="D2744" i="1"/>
  <c r="G2743" i="1"/>
  <c r="D2743" i="1"/>
  <c r="G2742" i="1"/>
  <c r="D2742" i="1"/>
  <c r="G2741" i="1"/>
  <c r="D2741" i="1"/>
  <c r="G2740" i="1"/>
  <c r="D2740" i="1"/>
  <c r="G2739" i="1"/>
  <c r="D2739" i="1"/>
  <c r="G2738" i="1"/>
  <c r="D2738" i="1"/>
  <c r="G2737" i="1"/>
  <c r="D2737" i="1"/>
  <c r="G2736" i="1"/>
  <c r="D2736" i="1"/>
  <c r="G2735" i="1"/>
  <c r="D2735" i="1"/>
  <c r="G2734" i="1"/>
  <c r="D2734" i="1"/>
  <c r="G2733" i="1"/>
  <c r="D2733" i="1"/>
  <c r="G2732" i="1"/>
  <c r="D2732" i="1"/>
  <c r="G2731" i="1"/>
  <c r="D2731" i="1"/>
  <c r="G2730" i="1"/>
  <c r="D2730" i="1"/>
  <c r="G2729" i="1"/>
  <c r="D2729" i="1"/>
  <c r="G2728" i="1"/>
  <c r="D2728" i="1"/>
  <c r="G2727" i="1"/>
  <c r="D2727" i="1"/>
  <c r="G2726" i="1"/>
  <c r="D2726" i="1"/>
  <c r="G2725" i="1"/>
  <c r="D2725" i="1"/>
  <c r="G2724" i="1"/>
  <c r="D2724" i="1"/>
  <c r="G2723" i="1"/>
  <c r="D2723" i="1"/>
  <c r="G2722" i="1"/>
  <c r="D2722" i="1"/>
  <c r="G2721" i="1"/>
  <c r="D2721" i="1"/>
  <c r="G2720" i="1"/>
  <c r="D2720" i="1"/>
  <c r="G2719" i="1"/>
  <c r="D2719" i="1"/>
  <c r="G2718" i="1"/>
  <c r="D2718" i="1"/>
  <c r="G2717" i="1"/>
  <c r="D2717" i="1"/>
  <c r="G2716" i="1"/>
  <c r="D2716" i="1"/>
  <c r="G2715" i="1"/>
  <c r="D2715" i="1"/>
  <c r="G2714" i="1"/>
  <c r="D2714" i="1"/>
  <c r="G2713" i="1"/>
  <c r="D2713" i="1"/>
  <c r="G2712" i="1"/>
  <c r="D2712" i="1"/>
  <c r="G2711" i="1"/>
  <c r="D2711" i="1"/>
  <c r="G2710" i="1"/>
  <c r="D2710" i="1"/>
  <c r="G2709" i="1"/>
  <c r="D2709" i="1"/>
  <c r="G2708" i="1"/>
  <c r="D2708" i="1"/>
  <c r="G2707" i="1"/>
  <c r="D2707" i="1"/>
  <c r="G2706" i="1"/>
  <c r="D2706" i="1"/>
  <c r="G2705" i="1"/>
  <c r="D2705" i="1"/>
  <c r="G2704" i="1"/>
  <c r="D2704" i="1"/>
  <c r="G2703" i="1"/>
  <c r="D2703" i="1"/>
  <c r="G2702" i="1"/>
  <c r="D2702" i="1"/>
  <c r="G2701" i="1"/>
  <c r="D2701" i="1"/>
  <c r="G2700" i="1"/>
  <c r="D2700" i="1"/>
  <c r="G2699" i="1"/>
  <c r="D2699" i="1"/>
  <c r="G2698" i="1"/>
  <c r="D2698" i="1"/>
  <c r="G2697" i="1"/>
  <c r="D2697" i="1"/>
  <c r="G2696" i="1"/>
  <c r="D2696" i="1"/>
  <c r="G2695" i="1"/>
  <c r="D2695" i="1"/>
  <c r="G2694" i="1"/>
  <c r="D2694" i="1"/>
  <c r="G2693" i="1"/>
  <c r="D2693" i="1"/>
  <c r="G2692" i="1"/>
  <c r="D2692" i="1"/>
  <c r="G2691" i="1"/>
  <c r="D2691" i="1"/>
  <c r="G2690" i="1"/>
  <c r="D2690" i="1"/>
  <c r="G2689" i="1"/>
  <c r="D2689" i="1"/>
  <c r="G2688" i="1"/>
  <c r="D2688" i="1"/>
  <c r="G2687" i="1"/>
  <c r="D2687" i="1"/>
  <c r="G2686" i="1"/>
  <c r="D2686" i="1"/>
  <c r="G2685" i="1"/>
  <c r="D2685" i="1"/>
  <c r="G2684" i="1"/>
  <c r="D2684" i="1"/>
  <c r="G2683" i="1"/>
  <c r="D2683" i="1"/>
  <c r="G2682" i="1"/>
  <c r="D2682" i="1"/>
  <c r="G2681" i="1"/>
  <c r="D2681" i="1"/>
  <c r="G2680" i="1"/>
  <c r="D2680" i="1"/>
  <c r="G2679" i="1"/>
  <c r="D2679" i="1"/>
  <c r="G2678" i="1"/>
  <c r="D2678" i="1"/>
  <c r="G2677" i="1"/>
  <c r="D2677" i="1"/>
  <c r="G2676" i="1"/>
  <c r="D2676" i="1"/>
  <c r="G2675" i="1"/>
  <c r="D2675" i="1"/>
  <c r="G2674" i="1"/>
  <c r="D2674" i="1"/>
  <c r="G2673" i="1"/>
  <c r="D2673" i="1"/>
  <c r="G2672" i="1"/>
  <c r="D2672" i="1"/>
  <c r="G2671" i="1"/>
  <c r="D2671" i="1"/>
  <c r="G2670" i="1"/>
  <c r="D2670" i="1"/>
  <c r="G2669" i="1"/>
  <c r="D2669" i="1"/>
  <c r="G2668" i="1"/>
  <c r="D2668" i="1"/>
  <c r="G2667" i="1"/>
  <c r="D2667" i="1"/>
  <c r="G2666" i="1"/>
  <c r="D2666" i="1"/>
  <c r="G2665" i="1"/>
  <c r="D2665" i="1"/>
  <c r="G2664" i="1"/>
  <c r="D2664" i="1"/>
  <c r="G2663" i="1"/>
  <c r="D2663" i="1"/>
  <c r="G2662" i="1"/>
  <c r="D2662" i="1"/>
  <c r="G2661" i="1"/>
  <c r="D2661" i="1"/>
  <c r="G2660" i="1"/>
  <c r="D2660" i="1"/>
  <c r="G2659" i="1"/>
  <c r="D2659" i="1"/>
  <c r="G2658" i="1"/>
  <c r="D2658" i="1"/>
  <c r="G2657" i="1"/>
  <c r="D2657" i="1"/>
  <c r="G2656" i="1"/>
  <c r="D2656" i="1"/>
  <c r="G2655" i="1"/>
  <c r="D2655" i="1"/>
  <c r="G2654" i="1"/>
  <c r="D2654" i="1"/>
  <c r="G2653" i="1"/>
  <c r="D2653" i="1"/>
  <c r="G2652" i="1"/>
  <c r="D2652" i="1"/>
  <c r="G2651" i="1"/>
  <c r="D2651" i="1"/>
  <c r="G2650" i="1"/>
  <c r="D2650" i="1"/>
  <c r="G2649" i="1"/>
  <c r="D2649" i="1"/>
  <c r="G2648" i="1"/>
  <c r="D2648" i="1"/>
  <c r="G2647" i="1"/>
  <c r="D2647" i="1"/>
  <c r="G2646" i="1"/>
  <c r="D2646" i="1"/>
  <c r="G2645" i="1"/>
  <c r="D2645" i="1"/>
  <c r="G2644" i="1"/>
  <c r="D2644" i="1"/>
  <c r="G2643" i="1"/>
  <c r="D2643" i="1"/>
  <c r="G2642" i="1"/>
  <c r="D2642" i="1"/>
  <c r="G2641" i="1"/>
  <c r="D2641" i="1"/>
  <c r="G2640" i="1"/>
  <c r="D2640" i="1"/>
  <c r="G2639" i="1"/>
  <c r="D2639" i="1"/>
  <c r="G2638" i="1"/>
  <c r="D2638" i="1"/>
  <c r="G2637" i="1"/>
  <c r="D2637" i="1"/>
  <c r="G2636" i="1"/>
  <c r="D2636" i="1"/>
  <c r="G2635" i="1"/>
  <c r="D2635" i="1"/>
  <c r="G2634" i="1"/>
  <c r="D2634" i="1"/>
  <c r="G2633" i="1"/>
  <c r="D2633" i="1"/>
  <c r="G2632" i="1"/>
  <c r="D2632" i="1"/>
  <c r="G2631" i="1"/>
  <c r="D2631" i="1"/>
  <c r="G2630" i="1"/>
  <c r="D2630" i="1"/>
  <c r="G2629" i="1"/>
  <c r="D2629" i="1"/>
  <c r="G2628" i="1"/>
  <c r="D2628" i="1"/>
  <c r="G2627" i="1"/>
  <c r="D2627" i="1"/>
  <c r="G2626" i="1"/>
  <c r="D2626" i="1"/>
  <c r="G2625" i="1"/>
  <c r="D2625" i="1"/>
  <c r="G2624" i="1"/>
  <c r="D2624" i="1"/>
  <c r="G2623" i="1"/>
  <c r="D2623" i="1"/>
  <c r="G2622" i="1"/>
  <c r="D2622" i="1"/>
  <c r="G2621" i="1"/>
  <c r="D2621" i="1"/>
  <c r="G2620" i="1"/>
  <c r="D2620" i="1"/>
  <c r="G2619" i="1"/>
  <c r="D2619" i="1"/>
  <c r="G2618" i="1"/>
  <c r="D2618" i="1"/>
  <c r="G2617" i="1"/>
  <c r="D2617" i="1"/>
  <c r="G2616" i="1"/>
  <c r="D2616" i="1"/>
  <c r="G2615" i="1"/>
  <c r="D2615" i="1"/>
  <c r="G2614" i="1"/>
  <c r="D2614" i="1"/>
  <c r="G2613" i="1"/>
  <c r="D2613" i="1"/>
  <c r="G2612" i="1"/>
  <c r="D2612" i="1"/>
  <c r="G2611" i="1"/>
  <c r="D2611" i="1"/>
  <c r="G2610" i="1"/>
  <c r="D2610" i="1"/>
  <c r="G2609" i="1"/>
  <c r="D2609" i="1"/>
  <c r="G2608" i="1"/>
  <c r="D2608" i="1"/>
  <c r="G2607" i="1"/>
  <c r="D2607" i="1"/>
  <c r="G2606" i="1"/>
  <c r="D2606" i="1"/>
  <c r="G2605" i="1"/>
  <c r="D2605" i="1"/>
  <c r="G2604" i="1"/>
  <c r="D2604" i="1"/>
  <c r="G2603" i="1"/>
  <c r="D2603" i="1"/>
  <c r="G2602" i="1"/>
  <c r="D2602" i="1"/>
  <c r="G2601" i="1"/>
  <c r="D2601" i="1"/>
  <c r="G2600" i="1"/>
  <c r="D2600" i="1"/>
  <c r="G2599" i="1"/>
  <c r="D2599" i="1"/>
  <c r="G2598" i="1"/>
  <c r="D2598" i="1"/>
  <c r="G2597" i="1"/>
  <c r="D2597" i="1"/>
  <c r="G2596" i="1"/>
  <c r="D2596" i="1"/>
  <c r="G2595" i="1"/>
  <c r="D2595" i="1"/>
  <c r="G2594" i="1"/>
  <c r="D2594" i="1"/>
  <c r="G2593" i="1"/>
  <c r="D2593" i="1"/>
  <c r="G2592" i="1"/>
  <c r="D2592" i="1"/>
  <c r="G2591" i="1"/>
  <c r="D2591" i="1"/>
  <c r="G2590" i="1"/>
  <c r="D2590" i="1"/>
  <c r="G2589" i="1"/>
  <c r="D2589" i="1"/>
  <c r="G2588" i="1"/>
  <c r="D2588" i="1"/>
  <c r="G2587" i="1"/>
  <c r="D2587" i="1"/>
  <c r="G2586" i="1"/>
  <c r="D2586" i="1"/>
  <c r="G2585" i="1"/>
  <c r="D2585" i="1"/>
  <c r="G2584" i="1"/>
  <c r="D2584" i="1"/>
  <c r="G2583" i="1"/>
  <c r="D2583" i="1"/>
  <c r="G2582" i="1"/>
  <c r="D2582" i="1"/>
  <c r="G2581" i="1"/>
  <c r="D2581" i="1"/>
  <c r="G2580" i="1"/>
  <c r="D2580" i="1"/>
  <c r="G2579" i="1"/>
  <c r="D2579" i="1"/>
  <c r="G2578" i="1"/>
  <c r="D2578" i="1"/>
  <c r="G2577" i="1"/>
  <c r="D2577" i="1"/>
  <c r="G2576" i="1"/>
  <c r="D2576" i="1"/>
  <c r="G2575" i="1"/>
  <c r="D2575" i="1"/>
  <c r="G2574" i="1"/>
  <c r="D2574" i="1"/>
  <c r="G2573" i="1"/>
  <c r="D2573" i="1"/>
  <c r="G2572" i="1"/>
  <c r="D2572" i="1"/>
  <c r="G2571" i="1"/>
  <c r="D2571" i="1"/>
  <c r="G2570" i="1"/>
  <c r="D2570" i="1"/>
  <c r="G2569" i="1"/>
  <c r="D2569" i="1"/>
  <c r="G2568" i="1"/>
  <c r="D2568" i="1"/>
  <c r="G2567" i="1"/>
  <c r="D2567" i="1"/>
  <c r="G2566" i="1"/>
  <c r="D2566" i="1"/>
  <c r="G2565" i="1"/>
  <c r="D2565" i="1"/>
  <c r="G2564" i="1"/>
  <c r="D2564" i="1"/>
  <c r="G2563" i="1"/>
  <c r="D2563" i="1"/>
  <c r="G2562" i="1"/>
  <c r="D2562" i="1"/>
  <c r="G2561" i="1"/>
  <c r="D2561" i="1"/>
  <c r="G2560" i="1"/>
  <c r="D2560" i="1"/>
  <c r="G2559" i="1"/>
  <c r="D2559" i="1"/>
  <c r="G2558" i="1"/>
  <c r="D2558" i="1"/>
  <c r="G2557" i="1"/>
  <c r="D2557" i="1"/>
  <c r="G2556" i="1"/>
  <c r="D2556" i="1"/>
  <c r="G2555" i="1"/>
  <c r="D2555" i="1"/>
  <c r="G2554" i="1"/>
  <c r="D2554" i="1"/>
  <c r="G2553" i="1"/>
  <c r="D2553" i="1"/>
  <c r="G2552" i="1"/>
  <c r="D2552" i="1"/>
  <c r="G2551" i="1"/>
  <c r="D2551" i="1"/>
  <c r="G2550" i="1"/>
  <c r="D2550" i="1"/>
  <c r="G2549" i="1"/>
  <c r="D2549" i="1"/>
  <c r="G2548" i="1"/>
  <c r="D2548" i="1"/>
  <c r="G2547" i="1"/>
  <c r="D2547" i="1"/>
  <c r="G2546" i="1"/>
  <c r="D2546" i="1"/>
  <c r="G2545" i="1"/>
  <c r="D2545" i="1"/>
  <c r="G2544" i="1"/>
  <c r="D2544" i="1"/>
  <c r="G2543" i="1"/>
  <c r="D2543" i="1"/>
  <c r="G2542" i="1"/>
  <c r="D2542" i="1"/>
  <c r="G2541" i="1"/>
  <c r="D2541" i="1"/>
  <c r="G2540" i="1"/>
  <c r="D2540" i="1"/>
  <c r="G2539" i="1"/>
  <c r="D2539" i="1"/>
  <c r="G2538" i="1"/>
  <c r="D2538" i="1"/>
  <c r="G2537" i="1"/>
  <c r="D2537" i="1"/>
  <c r="G2536" i="1"/>
  <c r="D2536" i="1"/>
  <c r="G2535" i="1"/>
  <c r="D2535" i="1"/>
  <c r="G2534" i="1"/>
  <c r="D2534" i="1"/>
  <c r="G2533" i="1"/>
  <c r="D2533" i="1"/>
  <c r="G2532" i="1"/>
  <c r="D2532" i="1"/>
  <c r="G2531" i="1"/>
  <c r="D2531" i="1"/>
  <c r="G2530" i="1"/>
  <c r="D2530" i="1"/>
  <c r="G2529" i="1"/>
  <c r="D2529" i="1"/>
  <c r="G2528" i="1"/>
  <c r="D2528" i="1"/>
  <c r="G2527" i="1"/>
  <c r="D2527" i="1"/>
  <c r="G2526" i="1"/>
  <c r="D2526" i="1"/>
  <c r="G2525" i="1"/>
  <c r="D2525" i="1"/>
  <c r="G2524" i="1"/>
  <c r="D2524" i="1"/>
  <c r="G2523" i="1"/>
  <c r="D2523" i="1"/>
  <c r="G2522" i="1"/>
  <c r="D2522" i="1"/>
  <c r="G2521" i="1"/>
  <c r="D2521" i="1"/>
  <c r="G2520" i="1"/>
  <c r="D2520" i="1"/>
  <c r="G2519" i="1"/>
  <c r="D2519" i="1"/>
  <c r="G2518" i="1"/>
  <c r="D2518" i="1"/>
  <c r="G2517" i="1"/>
  <c r="D2517" i="1"/>
  <c r="G2516" i="1"/>
  <c r="D2516" i="1"/>
  <c r="G2515" i="1"/>
  <c r="D2515" i="1"/>
  <c r="G2514" i="1"/>
  <c r="D2514" i="1"/>
  <c r="G2513" i="1"/>
  <c r="D2513" i="1"/>
  <c r="G2512" i="1"/>
  <c r="D2512" i="1"/>
  <c r="G2511" i="1"/>
  <c r="D2511" i="1"/>
  <c r="G2510" i="1"/>
  <c r="D2510" i="1"/>
  <c r="G2509" i="1"/>
  <c r="D2509" i="1"/>
  <c r="G2508" i="1"/>
  <c r="D2508" i="1"/>
  <c r="G2507" i="1"/>
  <c r="D2507" i="1"/>
  <c r="G2506" i="1"/>
  <c r="D2506" i="1"/>
  <c r="G2505" i="1"/>
  <c r="D2505" i="1"/>
  <c r="G2504" i="1"/>
  <c r="D2504" i="1"/>
  <c r="G2503" i="1"/>
  <c r="D2503" i="1"/>
  <c r="G2502" i="1"/>
  <c r="D2502" i="1"/>
  <c r="G2501" i="1"/>
  <c r="D2501" i="1"/>
  <c r="G2500" i="1"/>
  <c r="D2500" i="1"/>
  <c r="G2499" i="1"/>
  <c r="D2499" i="1"/>
  <c r="G2498" i="1"/>
  <c r="D2498" i="1"/>
  <c r="G2497" i="1"/>
  <c r="D2497" i="1"/>
  <c r="G2496" i="1"/>
  <c r="D2496" i="1"/>
  <c r="G2495" i="1"/>
  <c r="D2495" i="1"/>
  <c r="G2494" i="1"/>
  <c r="D2494" i="1"/>
  <c r="G2493" i="1"/>
  <c r="D2493" i="1"/>
  <c r="G2492" i="1"/>
  <c r="D2492" i="1"/>
  <c r="G2491" i="1"/>
  <c r="D2491" i="1"/>
  <c r="G2490" i="1"/>
  <c r="D2490" i="1"/>
  <c r="G2489" i="1"/>
  <c r="D2489" i="1"/>
  <c r="G2488" i="1"/>
  <c r="D2488" i="1"/>
  <c r="G2487" i="1"/>
  <c r="D2487" i="1"/>
  <c r="G2486" i="1"/>
  <c r="D2486" i="1"/>
  <c r="G2485" i="1"/>
  <c r="D2485" i="1"/>
  <c r="G2484" i="1"/>
  <c r="D2484" i="1"/>
  <c r="G2483" i="1"/>
  <c r="D2483" i="1"/>
  <c r="G2482" i="1"/>
  <c r="D2482" i="1"/>
  <c r="G2481" i="1"/>
  <c r="D2481" i="1"/>
  <c r="G2480" i="1"/>
  <c r="D2480" i="1"/>
  <c r="G2479" i="1"/>
  <c r="D2479" i="1"/>
  <c r="G2478" i="1"/>
  <c r="D2478" i="1"/>
  <c r="G2477" i="1"/>
  <c r="D2477" i="1"/>
  <c r="G2476" i="1"/>
  <c r="D2476" i="1"/>
  <c r="G2475" i="1"/>
  <c r="D2475" i="1"/>
  <c r="G2474" i="1"/>
  <c r="D2474" i="1"/>
  <c r="G2473" i="1"/>
  <c r="D2473" i="1"/>
  <c r="G2472" i="1"/>
  <c r="D2472" i="1"/>
  <c r="G2471" i="1"/>
  <c r="D2471" i="1"/>
  <c r="G2470" i="1"/>
  <c r="D2470" i="1"/>
  <c r="G2469" i="1"/>
  <c r="D2469" i="1"/>
  <c r="G2468" i="1"/>
  <c r="D2468" i="1"/>
  <c r="G2467" i="1"/>
  <c r="D2467" i="1"/>
  <c r="G2466" i="1"/>
  <c r="D2466" i="1"/>
  <c r="G2465" i="1"/>
  <c r="D2465" i="1"/>
  <c r="G2464" i="1"/>
  <c r="D2464" i="1"/>
  <c r="G2463" i="1"/>
  <c r="D2463" i="1"/>
  <c r="G2462" i="1"/>
  <c r="D2462" i="1"/>
  <c r="G2461" i="1"/>
  <c r="D2461" i="1"/>
  <c r="G2460" i="1"/>
  <c r="D2460" i="1"/>
  <c r="G2459" i="1"/>
  <c r="D2459" i="1"/>
  <c r="G2458" i="1"/>
  <c r="D2458" i="1"/>
  <c r="G2457" i="1"/>
  <c r="D2457" i="1"/>
  <c r="G2456" i="1"/>
  <c r="D2456" i="1"/>
  <c r="G2455" i="1"/>
  <c r="D2455" i="1"/>
  <c r="G2454" i="1"/>
  <c r="D2454" i="1"/>
  <c r="G2453" i="1"/>
  <c r="D2453" i="1"/>
  <c r="G2452" i="1"/>
  <c r="D2452" i="1"/>
  <c r="G2451" i="1"/>
  <c r="D2451" i="1"/>
  <c r="G2450" i="1"/>
  <c r="D2450" i="1"/>
  <c r="G2449" i="1"/>
  <c r="D2449" i="1"/>
  <c r="G2448" i="1"/>
  <c r="D2448" i="1"/>
  <c r="G2447" i="1"/>
  <c r="D2447" i="1"/>
  <c r="G2446" i="1"/>
  <c r="D2446" i="1"/>
  <c r="G2445" i="1"/>
  <c r="D2445" i="1"/>
  <c r="G2444" i="1"/>
  <c r="D2444" i="1"/>
  <c r="G2443" i="1"/>
  <c r="D2443" i="1"/>
  <c r="G2442" i="1"/>
  <c r="D2442" i="1"/>
  <c r="G2441" i="1"/>
  <c r="D2441" i="1"/>
  <c r="G2440" i="1"/>
  <c r="D2440" i="1"/>
  <c r="G2439" i="1"/>
  <c r="D2439" i="1"/>
  <c r="G2438" i="1"/>
  <c r="D2438" i="1"/>
  <c r="G2437" i="1"/>
  <c r="D2437" i="1"/>
  <c r="G2436" i="1"/>
  <c r="D2436" i="1"/>
  <c r="G2435" i="1"/>
  <c r="D2435" i="1"/>
  <c r="G2434" i="1"/>
  <c r="D2434" i="1"/>
  <c r="G2433" i="1"/>
  <c r="D2433" i="1"/>
  <c r="G2432" i="1"/>
  <c r="D2432" i="1"/>
  <c r="G2431" i="1"/>
  <c r="D2431" i="1"/>
  <c r="G2430" i="1"/>
  <c r="D2430" i="1"/>
  <c r="G2429" i="1"/>
  <c r="D2429" i="1"/>
  <c r="G2428" i="1"/>
  <c r="D2428" i="1"/>
  <c r="G2427" i="1"/>
  <c r="D2427" i="1"/>
  <c r="G2426" i="1"/>
  <c r="D2426" i="1"/>
  <c r="G2425" i="1"/>
  <c r="D2425" i="1"/>
  <c r="G2424" i="1"/>
  <c r="D2424" i="1"/>
  <c r="G2423" i="1"/>
  <c r="D2423" i="1"/>
  <c r="G2422" i="1"/>
  <c r="D2422" i="1"/>
  <c r="G2421" i="1"/>
  <c r="D2421" i="1"/>
  <c r="G2420" i="1"/>
  <c r="D2420" i="1"/>
  <c r="G2419" i="1"/>
  <c r="D2419" i="1"/>
  <c r="G2418" i="1"/>
  <c r="D2418" i="1"/>
  <c r="G2417" i="1"/>
  <c r="D2417" i="1"/>
  <c r="G2416" i="1"/>
  <c r="D2416" i="1"/>
  <c r="G2415" i="1"/>
  <c r="D2415" i="1"/>
  <c r="G2414" i="1"/>
  <c r="D2414" i="1"/>
  <c r="G2413" i="1"/>
  <c r="D2413" i="1"/>
  <c r="G2412" i="1"/>
  <c r="D2412" i="1"/>
  <c r="G2411" i="1"/>
  <c r="D2411" i="1"/>
  <c r="G2410" i="1"/>
  <c r="D2410" i="1"/>
  <c r="G2409" i="1"/>
  <c r="D2409" i="1"/>
  <c r="G2408" i="1"/>
  <c r="D2408" i="1"/>
  <c r="G2407" i="1"/>
  <c r="D2407" i="1"/>
  <c r="G2406" i="1"/>
  <c r="D2406" i="1"/>
  <c r="G2405" i="1"/>
  <c r="D2405" i="1"/>
  <c r="G2404" i="1"/>
  <c r="D2404" i="1"/>
  <c r="G2403" i="1"/>
  <c r="D2403" i="1"/>
  <c r="G2402" i="1"/>
  <c r="D2402" i="1"/>
  <c r="G2401" i="1"/>
  <c r="D2401" i="1"/>
  <c r="G2400" i="1"/>
  <c r="D2400" i="1"/>
  <c r="G2399" i="1"/>
  <c r="D2399" i="1"/>
  <c r="G2398" i="1"/>
  <c r="D2398" i="1"/>
  <c r="G2397" i="1"/>
  <c r="D2397" i="1"/>
  <c r="G2396" i="1"/>
  <c r="D2396" i="1"/>
  <c r="G2395" i="1"/>
  <c r="D2395" i="1"/>
  <c r="G2394" i="1"/>
  <c r="D2394" i="1"/>
  <c r="G2393" i="1"/>
  <c r="D2393" i="1"/>
  <c r="G2392" i="1"/>
  <c r="D2392" i="1"/>
  <c r="G2391" i="1"/>
  <c r="D2391" i="1"/>
  <c r="G2390" i="1"/>
  <c r="D2390" i="1"/>
  <c r="G2389" i="1"/>
  <c r="D2389" i="1"/>
  <c r="G2388" i="1"/>
  <c r="D2388" i="1"/>
  <c r="G2387" i="1"/>
  <c r="D2387" i="1"/>
  <c r="G2386" i="1"/>
  <c r="D2386" i="1"/>
  <c r="G2385" i="1"/>
  <c r="D2385" i="1"/>
  <c r="G2384" i="1"/>
  <c r="D2384" i="1"/>
  <c r="G2383" i="1"/>
  <c r="D2383" i="1"/>
  <c r="G2382" i="1"/>
  <c r="D2382" i="1"/>
  <c r="G2381" i="1"/>
  <c r="D2381" i="1"/>
  <c r="G2380" i="1"/>
  <c r="D2380" i="1"/>
  <c r="G2379" i="1"/>
  <c r="D2379" i="1"/>
  <c r="G2378" i="1"/>
  <c r="D2378" i="1"/>
  <c r="G2377" i="1"/>
  <c r="D2377" i="1"/>
  <c r="G2376" i="1"/>
  <c r="D2376" i="1"/>
  <c r="G2375" i="1"/>
  <c r="D2375" i="1"/>
  <c r="G2374" i="1"/>
  <c r="D2374" i="1"/>
  <c r="G2373" i="1"/>
  <c r="D2373" i="1"/>
  <c r="G2372" i="1"/>
  <c r="D2372" i="1"/>
  <c r="G2371" i="1"/>
  <c r="D2371" i="1"/>
  <c r="G2370" i="1"/>
  <c r="D2370" i="1"/>
  <c r="G2369" i="1"/>
  <c r="D2369" i="1"/>
  <c r="G2368" i="1"/>
  <c r="D2368" i="1"/>
  <c r="G2367" i="1"/>
  <c r="D2367" i="1"/>
  <c r="G2366" i="1"/>
  <c r="D2366" i="1"/>
  <c r="G2365" i="1"/>
  <c r="D2365" i="1"/>
  <c r="G2364" i="1"/>
  <c r="D2364" i="1"/>
  <c r="G2363" i="1"/>
  <c r="D2363" i="1"/>
  <c r="G2362" i="1"/>
  <c r="D2362" i="1"/>
  <c r="G2361" i="1"/>
  <c r="D2361" i="1"/>
  <c r="G2360" i="1"/>
  <c r="D2360" i="1"/>
  <c r="G2359" i="1"/>
  <c r="D2359" i="1"/>
  <c r="G2358" i="1"/>
  <c r="D2358" i="1"/>
  <c r="G2357" i="1"/>
  <c r="D2357" i="1"/>
  <c r="G2356" i="1"/>
  <c r="D2356" i="1"/>
  <c r="G2355" i="1"/>
  <c r="D2355" i="1"/>
  <c r="G2354" i="1"/>
  <c r="D2354" i="1"/>
  <c r="G2353" i="1"/>
  <c r="D2353" i="1"/>
  <c r="G2352" i="1"/>
  <c r="D2352" i="1"/>
  <c r="G2351" i="1"/>
  <c r="D2351" i="1"/>
  <c r="G2350" i="1"/>
  <c r="D2350" i="1"/>
  <c r="G2349" i="1"/>
  <c r="D2349" i="1"/>
  <c r="G2348" i="1"/>
  <c r="D2348" i="1"/>
  <c r="G2347" i="1"/>
  <c r="D2347" i="1"/>
  <c r="G2346" i="1"/>
  <c r="D2346" i="1"/>
  <c r="G2345" i="1"/>
  <c r="D2345" i="1"/>
  <c r="G2344" i="1"/>
  <c r="D2344" i="1"/>
  <c r="G2343" i="1"/>
  <c r="D2343" i="1"/>
  <c r="G2342" i="1"/>
  <c r="D2342" i="1"/>
  <c r="G2341" i="1"/>
  <c r="D2341" i="1"/>
  <c r="G2340" i="1"/>
  <c r="D2340" i="1"/>
  <c r="G2339" i="1"/>
  <c r="D2339" i="1"/>
  <c r="G2338" i="1"/>
  <c r="D2338" i="1"/>
  <c r="G2337" i="1"/>
  <c r="D2337" i="1"/>
  <c r="G2336" i="1"/>
  <c r="D2336" i="1"/>
  <c r="G2335" i="1"/>
  <c r="D2335" i="1"/>
  <c r="G2334" i="1"/>
  <c r="D2334" i="1"/>
  <c r="G2333" i="1"/>
  <c r="D2333" i="1"/>
  <c r="G2332" i="1"/>
  <c r="D2332" i="1"/>
  <c r="G2331" i="1"/>
  <c r="D2331" i="1"/>
  <c r="G2330" i="1"/>
  <c r="D2330" i="1"/>
  <c r="G2329" i="1"/>
  <c r="D2329" i="1"/>
  <c r="G2328" i="1"/>
  <c r="D2328" i="1"/>
  <c r="G2327" i="1"/>
  <c r="D2327" i="1"/>
  <c r="G2326" i="1"/>
  <c r="D2326" i="1"/>
  <c r="G2325" i="1"/>
  <c r="D2325" i="1"/>
  <c r="G2324" i="1"/>
  <c r="D2324" i="1"/>
  <c r="G2323" i="1"/>
  <c r="D2323" i="1"/>
  <c r="G2322" i="1"/>
  <c r="D2322" i="1"/>
  <c r="G2321" i="1"/>
  <c r="D2321" i="1"/>
  <c r="G2320" i="1"/>
  <c r="D2320" i="1"/>
  <c r="G2319" i="1"/>
  <c r="D2319" i="1"/>
  <c r="G2318" i="1"/>
  <c r="D2318" i="1"/>
  <c r="G2317" i="1"/>
  <c r="D2317" i="1"/>
  <c r="G2316" i="1"/>
  <c r="D2316" i="1"/>
  <c r="G2315" i="1"/>
  <c r="D2315" i="1"/>
  <c r="G2314" i="1"/>
  <c r="D2314" i="1"/>
  <c r="G2313" i="1"/>
  <c r="D2313" i="1"/>
  <c r="G2312" i="1"/>
  <c r="D2312" i="1"/>
  <c r="G2311" i="1"/>
  <c r="D2311" i="1"/>
  <c r="G2310" i="1"/>
  <c r="D2310" i="1"/>
  <c r="G2309" i="1"/>
  <c r="D2309" i="1"/>
  <c r="G2308" i="1"/>
  <c r="D2308" i="1"/>
  <c r="G2307" i="1"/>
  <c r="D2307" i="1"/>
  <c r="G2306" i="1"/>
  <c r="D2306" i="1"/>
  <c r="G2305" i="1"/>
  <c r="D2305" i="1"/>
  <c r="G2304" i="1"/>
  <c r="D2304" i="1"/>
  <c r="G2303" i="1"/>
  <c r="D2303" i="1"/>
  <c r="G2302" i="1"/>
  <c r="D2302" i="1"/>
  <c r="G2301" i="1"/>
  <c r="D2301" i="1"/>
  <c r="G2300" i="1"/>
  <c r="D2300" i="1"/>
  <c r="G2299" i="1"/>
  <c r="D2299" i="1"/>
  <c r="G2298" i="1"/>
  <c r="D2298" i="1"/>
  <c r="G2297" i="1"/>
  <c r="D2297" i="1"/>
  <c r="G2296" i="1"/>
  <c r="D2296" i="1"/>
  <c r="G2295" i="1"/>
  <c r="D2295" i="1"/>
  <c r="G2294" i="1"/>
  <c r="D2294" i="1"/>
  <c r="G2293" i="1"/>
  <c r="D2293" i="1"/>
  <c r="G2292" i="1"/>
  <c r="D2292" i="1"/>
  <c r="G2291" i="1"/>
  <c r="D2291" i="1"/>
  <c r="G2290" i="1"/>
  <c r="D2290" i="1"/>
  <c r="G2289" i="1"/>
  <c r="D2289" i="1"/>
  <c r="G2288" i="1"/>
  <c r="D2288" i="1"/>
  <c r="G2287" i="1"/>
  <c r="D2287" i="1"/>
  <c r="G2286" i="1"/>
  <c r="D2286" i="1"/>
  <c r="G2285" i="1"/>
  <c r="D2285" i="1"/>
  <c r="G2284" i="1"/>
  <c r="D2284" i="1"/>
  <c r="G2283" i="1"/>
  <c r="D2283" i="1"/>
  <c r="G2282" i="1"/>
  <c r="D2282" i="1"/>
  <c r="G2281" i="1"/>
  <c r="D2281" i="1"/>
  <c r="G2280" i="1"/>
  <c r="D2280" i="1"/>
  <c r="G2279" i="1"/>
  <c r="D2279" i="1"/>
  <c r="G2278" i="1"/>
  <c r="D2278" i="1"/>
  <c r="G2277" i="1"/>
  <c r="D2277" i="1"/>
  <c r="G2276" i="1"/>
  <c r="D2276" i="1"/>
  <c r="G2275" i="1"/>
  <c r="D2275" i="1"/>
  <c r="G2274" i="1"/>
  <c r="D2274" i="1"/>
  <c r="G2273" i="1"/>
  <c r="D2273" i="1"/>
  <c r="G2272" i="1"/>
  <c r="D2272" i="1"/>
  <c r="G2271" i="1"/>
  <c r="D2271" i="1"/>
  <c r="G2270" i="1"/>
  <c r="D2270" i="1"/>
  <c r="G2269" i="1"/>
  <c r="D2269" i="1"/>
  <c r="G2268" i="1"/>
  <c r="D2268" i="1"/>
  <c r="G2267" i="1"/>
  <c r="D2267" i="1"/>
  <c r="G2266" i="1"/>
  <c r="D2266" i="1"/>
  <c r="G2265" i="1"/>
  <c r="D2265" i="1"/>
  <c r="G2264" i="1"/>
  <c r="D2264" i="1"/>
  <c r="G2263" i="1"/>
  <c r="D2263" i="1"/>
  <c r="G2262" i="1"/>
  <c r="D2262" i="1"/>
  <c r="G2261" i="1"/>
  <c r="D2261" i="1"/>
  <c r="G2260" i="1"/>
  <c r="D2260" i="1"/>
  <c r="G2259" i="1"/>
  <c r="D2259" i="1"/>
  <c r="G2258" i="1"/>
  <c r="D2258" i="1"/>
  <c r="G2257" i="1"/>
  <c r="D2257" i="1"/>
  <c r="G2256" i="1"/>
  <c r="D2256" i="1"/>
  <c r="G2255" i="1"/>
  <c r="D2255" i="1"/>
  <c r="G2254" i="1"/>
  <c r="D2254" i="1"/>
  <c r="G2253" i="1"/>
  <c r="D2253" i="1"/>
  <c r="G2252" i="1"/>
  <c r="D2252" i="1"/>
  <c r="G2251" i="1"/>
  <c r="D2251" i="1"/>
  <c r="G2250" i="1"/>
  <c r="D2250" i="1"/>
  <c r="G2249" i="1"/>
  <c r="D2249" i="1"/>
  <c r="G2248" i="1"/>
  <c r="D2248" i="1"/>
  <c r="G2247" i="1"/>
  <c r="D2247" i="1"/>
  <c r="G2246" i="1"/>
  <c r="D2246" i="1"/>
  <c r="G2245" i="1"/>
  <c r="D2245" i="1"/>
  <c r="G2244" i="1"/>
  <c r="D2244" i="1"/>
  <c r="G2243" i="1"/>
  <c r="D2243" i="1"/>
  <c r="G2242" i="1"/>
  <c r="D2242" i="1"/>
  <c r="G2241" i="1"/>
  <c r="D2241" i="1"/>
  <c r="G2240" i="1"/>
  <c r="D2240" i="1"/>
  <c r="G2239" i="1"/>
  <c r="D2239" i="1"/>
  <c r="G2238" i="1"/>
  <c r="D2238" i="1"/>
  <c r="G2237" i="1"/>
  <c r="D2237" i="1"/>
  <c r="G2236" i="1"/>
  <c r="D2236" i="1"/>
  <c r="G2235" i="1"/>
  <c r="D2235" i="1"/>
  <c r="G2234" i="1"/>
  <c r="D2234" i="1"/>
  <c r="G2233" i="1"/>
  <c r="D2233" i="1"/>
  <c r="G2232" i="1"/>
  <c r="D2232" i="1"/>
  <c r="G2231" i="1"/>
  <c r="D2231" i="1"/>
  <c r="G2230" i="1"/>
  <c r="D2230" i="1"/>
  <c r="G2229" i="1"/>
  <c r="D2229" i="1"/>
  <c r="G2228" i="1"/>
  <c r="D2228" i="1"/>
  <c r="G2227" i="1"/>
  <c r="D2227" i="1"/>
  <c r="G2226" i="1"/>
  <c r="D2226" i="1"/>
  <c r="G2225" i="1"/>
  <c r="D2225" i="1"/>
  <c r="G2224" i="1"/>
  <c r="D2224" i="1"/>
  <c r="G2223" i="1"/>
  <c r="D2223" i="1"/>
  <c r="G2222" i="1"/>
  <c r="D2222" i="1"/>
  <c r="G2221" i="1"/>
  <c r="D2221" i="1"/>
  <c r="G2220" i="1"/>
  <c r="D2220" i="1"/>
  <c r="G2219" i="1"/>
  <c r="D2219" i="1"/>
  <c r="G2218" i="1"/>
  <c r="D2218" i="1"/>
  <c r="G2217" i="1"/>
  <c r="D2217" i="1"/>
  <c r="G2216" i="1"/>
  <c r="D2216" i="1"/>
  <c r="G2215" i="1"/>
  <c r="D2215" i="1"/>
  <c r="G2214" i="1"/>
  <c r="D2214" i="1"/>
  <c r="G2213" i="1"/>
  <c r="D2213" i="1"/>
  <c r="G2212" i="1"/>
  <c r="D2212" i="1"/>
  <c r="G2211" i="1"/>
  <c r="D2211" i="1"/>
  <c r="G2210" i="1"/>
  <c r="D2210" i="1"/>
  <c r="G2209" i="1"/>
  <c r="D2209" i="1"/>
  <c r="G2208" i="1"/>
  <c r="D2208" i="1"/>
  <c r="G2207" i="1"/>
  <c r="D2207" i="1"/>
  <c r="G2206" i="1"/>
  <c r="D2206" i="1"/>
  <c r="G2205" i="1"/>
  <c r="D2205" i="1"/>
  <c r="G2204" i="1"/>
  <c r="D2204" i="1"/>
  <c r="G2203" i="1"/>
  <c r="D2203" i="1"/>
  <c r="G2202" i="1"/>
  <c r="D2202" i="1"/>
  <c r="G2201" i="1"/>
  <c r="D2201" i="1"/>
  <c r="G2200" i="1"/>
  <c r="D2200" i="1"/>
  <c r="G2199" i="1"/>
  <c r="D2199" i="1"/>
  <c r="G2198" i="1"/>
  <c r="D2198" i="1"/>
  <c r="G2197" i="1"/>
  <c r="D2197" i="1"/>
  <c r="G2196" i="1"/>
  <c r="D2196" i="1"/>
  <c r="G2195" i="1"/>
  <c r="D2195" i="1"/>
  <c r="G2194" i="1"/>
  <c r="D2194" i="1"/>
  <c r="G2193" i="1"/>
  <c r="D2193" i="1"/>
  <c r="G2192" i="1"/>
  <c r="D2192" i="1"/>
  <c r="G2191" i="1"/>
  <c r="D2191" i="1"/>
  <c r="G2190" i="1"/>
  <c r="D2190" i="1"/>
  <c r="G2189" i="1"/>
  <c r="D2189" i="1"/>
  <c r="G2188" i="1"/>
  <c r="D2188" i="1"/>
  <c r="G2187" i="1"/>
  <c r="D2187" i="1"/>
  <c r="G2186" i="1"/>
  <c r="D2186" i="1"/>
  <c r="G2185" i="1"/>
  <c r="D2185" i="1"/>
  <c r="G2184" i="1"/>
  <c r="D2184" i="1"/>
  <c r="G2183" i="1"/>
  <c r="D2183" i="1"/>
  <c r="G2182" i="1"/>
  <c r="D2182" i="1"/>
  <c r="G2181" i="1"/>
  <c r="D2181" i="1"/>
  <c r="G2180" i="1"/>
  <c r="D2180" i="1"/>
  <c r="G2179" i="1"/>
  <c r="D2179" i="1"/>
  <c r="G2178" i="1"/>
  <c r="D2178" i="1"/>
  <c r="G2177" i="1"/>
  <c r="D2177" i="1"/>
  <c r="G2176" i="1"/>
  <c r="D2176" i="1"/>
  <c r="G2175" i="1"/>
  <c r="D2175" i="1"/>
  <c r="G2174" i="1"/>
  <c r="D2174" i="1"/>
  <c r="G2173" i="1"/>
  <c r="D2173" i="1"/>
  <c r="G2172" i="1"/>
  <c r="D2172" i="1"/>
  <c r="G2171" i="1"/>
  <c r="D2171" i="1"/>
  <c r="G2170" i="1"/>
  <c r="D2170" i="1"/>
  <c r="G2169" i="1"/>
  <c r="D2169" i="1"/>
  <c r="G2168" i="1"/>
  <c r="D2168" i="1"/>
  <c r="G2167" i="1"/>
  <c r="D2167" i="1"/>
  <c r="G2166" i="1"/>
  <c r="D2166" i="1"/>
  <c r="G2165" i="1"/>
  <c r="D2165" i="1"/>
  <c r="G2164" i="1"/>
  <c r="D2164" i="1"/>
  <c r="G2163" i="1"/>
  <c r="D2163" i="1"/>
  <c r="G2162" i="1"/>
  <c r="D2162" i="1"/>
  <c r="G2161" i="1"/>
  <c r="D2161" i="1"/>
  <c r="G2160" i="1"/>
  <c r="D2160" i="1"/>
  <c r="G2159" i="1"/>
  <c r="D2159" i="1"/>
  <c r="G2158" i="1"/>
  <c r="D2158" i="1"/>
  <c r="G2157" i="1"/>
  <c r="D2157" i="1"/>
  <c r="G2156" i="1"/>
  <c r="D2156" i="1"/>
  <c r="G2155" i="1"/>
  <c r="D2155" i="1"/>
  <c r="G2154" i="1"/>
  <c r="D2154" i="1"/>
  <c r="G2153" i="1"/>
  <c r="D2153" i="1"/>
  <c r="G2152" i="1"/>
  <c r="D2152" i="1"/>
  <c r="G2151" i="1"/>
  <c r="D2151" i="1"/>
  <c r="G2150" i="1"/>
  <c r="D2150" i="1"/>
  <c r="G2149" i="1"/>
  <c r="D2149" i="1"/>
  <c r="G2148" i="1"/>
  <c r="D2148" i="1"/>
  <c r="G2147" i="1"/>
  <c r="D2147" i="1"/>
  <c r="G2146" i="1"/>
  <c r="D2146" i="1"/>
  <c r="G2145" i="1"/>
  <c r="D2145" i="1"/>
  <c r="G2144" i="1"/>
  <c r="D2144" i="1"/>
  <c r="G2143" i="1"/>
  <c r="D2143" i="1"/>
  <c r="G2142" i="1"/>
  <c r="D2142" i="1"/>
  <c r="G2141" i="1"/>
  <c r="D2141" i="1"/>
  <c r="G2140" i="1"/>
  <c r="D2140" i="1"/>
  <c r="G2139" i="1"/>
  <c r="D2139" i="1"/>
  <c r="G2138" i="1"/>
  <c r="D2138" i="1"/>
  <c r="G2137" i="1"/>
  <c r="D2137" i="1"/>
  <c r="G2136" i="1"/>
  <c r="D2136" i="1"/>
  <c r="G2135" i="1"/>
  <c r="D2135" i="1"/>
  <c r="G2134" i="1"/>
  <c r="D2134" i="1"/>
  <c r="G2133" i="1"/>
  <c r="D2133" i="1"/>
  <c r="G2132" i="1"/>
  <c r="D2132" i="1"/>
  <c r="G2131" i="1"/>
  <c r="D2131" i="1"/>
  <c r="G2130" i="1"/>
  <c r="D2130" i="1"/>
  <c r="G2129" i="1"/>
  <c r="D2129" i="1"/>
  <c r="G2128" i="1"/>
  <c r="D2128" i="1"/>
  <c r="G2127" i="1"/>
  <c r="D2127" i="1"/>
  <c r="G2126" i="1"/>
  <c r="D2126" i="1"/>
  <c r="G2125" i="1"/>
  <c r="D2125" i="1"/>
  <c r="G2124" i="1"/>
  <c r="D2124" i="1"/>
  <c r="G2123" i="1"/>
  <c r="D2123" i="1"/>
  <c r="G2122" i="1"/>
  <c r="D2122" i="1"/>
  <c r="G2121" i="1"/>
  <c r="D2121" i="1"/>
  <c r="G2120" i="1"/>
  <c r="D2120" i="1"/>
  <c r="G2119" i="1"/>
  <c r="D2119" i="1"/>
  <c r="G2118" i="1"/>
  <c r="D2118" i="1"/>
  <c r="G2117" i="1"/>
  <c r="D2117" i="1"/>
  <c r="G2116" i="1"/>
  <c r="D2116" i="1"/>
  <c r="G2115" i="1"/>
  <c r="D2115" i="1"/>
  <c r="G2114" i="1"/>
  <c r="D2114" i="1"/>
  <c r="G2113" i="1"/>
  <c r="D2113" i="1"/>
  <c r="G2112" i="1"/>
  <c r="D2112" i="1"/>
  <c r="G2111" i="1"/>
  <c r="D2111" i="1"/>
  <c r="G2110" i="1"/>
  <c r="D2110" i="1"/>
  <c r="G2109" i="1"/>
  <c r="D2109" i="1"/>
  <c r="G2108" i="1"/>
  <c r="D2108" i="1"/>
  <c r="G2107" i="1"/>
  <c r="D2107" i="1"/>
  <c r="G2106" i="1"/>
  <c r="D2106" i="1"/>
  <c r="G2105" i="1"/>
  <c r="D2105" i="1"/>
  <c r="G2104" i="1"/>
  <c r="D2104" i="1"/>
  <c r="G2103" i="1"/>
  <c r="D2103" i="1"/>
  <c r="G2102" i="1"/>
  <c r="D2102" i="1"/>
  <c r="G2101" i="1"/>
  <c r="D2101" i="1"/>
  <c r="G2100" i="1"/>
  <c r="D2100" i="1"/>
  <c r="G2099" i="1"/>
  <c r="D2099" i="1"/>
  <c r="G2098" i="1"/>
  <c r="D2098" i="1"/>
  <c r="G2097" i="1"/>
  <c r="D2097" i="1"/>
  <c r="G2096" i="1"/>
  <c r="D2096" i="1"/>
  <c r="G2095" i="1"/>
  <c r="D2095" i="1"/>
  <c r="G2094" i="1"/>
  <c r="D2094" i="1"/>
  <c r="G2093" i="1"/>
  <c r="D2093" i="1"/>
  <c r="G2092" i="1"/>
  <c r="D2092" i="1"/>
  <c r="G2091" i="1"/>
  <c r="D2091" i="1"/>
  <c r="G2090" i="1"/>
  <c r="D2090" i="1"/>
  <c r="G2089" i="1"/>
  <c r="D2089" i="1"/>
  <c r="G2088" i="1"/>
  <c r="D2088" i="1"/>
  <c r="G2087" i="1"/>
  <c r="D2087" i="1"/>
  <c r="G2086" i="1"/>
  <c r="D2086" i="1"/>
  <c r="G2085" i="1"/>
  <c r="D2085" i="1"/>
  <c r="G2084" i="1"/>
  <c r="D2084" i="1"/>
  <c r="G2083" i="1"/>
  <c r="D2083" i="1"/>
  <c r="G2082" i="1"/>
  <c r="D2082" i="1"/>
  <c r="G2081" i="1"/>
  <c r="D2081" i="1"/>
  <c r="G2080" i="1"/>
  <c r="D2080" i="1"/>
  <c r="G2079" i="1"/>
  <c r="D2079" i="1"/>
  <c r="G2078" i="1"/>
  <c r="D2078" i="1"/>
  <c r="G2077" i="1"/>
  <c r="D2077" i="1"/>
  <c r="G2076" i="1"/>
  <c r="D2076" i="1"/>
  <c r="G2075" i="1"/>
  <c r="D2075" i="1"/>
  <c r="G2074" i="1"/>
  <c r="D2074" i="1"/>
  <c r="G2073" i="1"/>
  <c r="D2073" i="1"/>
  <c r="G2072" i="1"/>
  <c r="D2072" i="1"/>
  <c r="G2071" i="1"/>
  <c r="D2071" i="1"/>
  <c r="G2070" i="1"/>
  <c r="D2070" i="1"/>
  <c r="G2069" i="1"/>
  <c r="D2069" i="1"/>
  <c r="G2068" i="1"/>
  <c r="D2068" i="1"/>
  <c r="G2067" i="1"/>
  <c r="D2067" i="1"/>
  <c r="G2066" i="1"/>
  <c r="D2066" i="1"/>
  <c r="G2065" i="1"/>
  <c r="D2065" i="1"/>
  <c r="G2064" i="1"/>
  <c r="D2064" i="1"/>
  <c r="G2063" i="1"/>
  <c r="D2063" i="1"/>
  <c r="G2062" i="1"/>
  <c r="D2062" i="1"/>
  <c r="G2061" i="1"/>
  <c r="D2061" i="1"/>
  <c r="G2060" i="1"/>
  <c r="D2060" i="1"/>
  <c r="G2059" i="1"/>
  <c r="D2059" i="1"/>
  <c r="G2058" i="1"/>
  <c r="D2058" i="1"/>
  <c r="G2057" i="1"/>
  <c r="D2057" i="1"/>
  <c r="G2056" i="1"/>
  <c r="D2056" i="1"/>
  <c r="G2055" i="1"/>
  <c r="D2055" i="1"/>
  <c r="G2054" i="1"/>
  <c r="D2054" i="1"/>
  <c r="G2053" i="1"/>
  <c r="D2053" i="1"/>
  <c r="G2052" i="1"/>
  <c r="D2052" i="1"/>
  <c r="G2051" i="1"/>
  <c r="D2051" i="1"/>
  <c r="G2050" i="1"/>
  <c r="D2050" i="1"/>
  <c r="G2049" i="1"/>
  <c r="D2049" i="1"/>
  <c r="G2048" i="1"/>
  <c r="D2048" i="1"/>
  <c r="G2047" i="1"/>
  <c r="D2047" i="1"/>
  <c r="G2046" i="1"/>
  <c r="D2046" i="1"/>
  <c r="G2045" i="1"/>
  <c r="D2045" i="1"/>
  <c r="G2044" i="1"/>
  <c r="D2044" i="1"/>
  <c r="G2043" i="1"/>
  <c r="D2043" i="1"/>
  <c r="G2042" i="1"/>
  <c r="D2042" i="1"/>
  <c r="G2041" i="1"/>
  <c r="D2041" i="1"/>
  <c r="G2040" i="1"/>
  <c r="D2040" i="1"/>
  <c r="G2039" i="1"/>
  <c r="D2039" i="1"/>
  <c r="G2038" i="1"/>
  <c r="D2038" i="1"/>
  <c r="G2037" i="1"/>
  <c r="D2037" i="1"/>
  <c r="G2036" i="1"/>
  <c r="D2036" i="1"/>
  <c r="G2035" i="1"/>
  <c r="D2035" i="1"/>
  <c r="G2034" i="1"/>
  <c r="D2034" i="1"/>
  <c r="G2033" i="1"/>
  <c r="D2033" i="1"/>
  <c r="G2032" i="1"/>
  <c r="D2032" i="1"/>
  <c r="G2031" i="1"/>
  <c r="D2031" i="1"/>
  <c r="G2030" i="1"/>
  <c r="D2030" i="1"/>
  <c r="G2029" i="1"/>
  <c r="D2029" i="1"/>
  <c r="G2028" i="1"/>
  <c r="D2028" i="1"/>
  <c r="G2027" i="1"/>
  <c r="D2027" i="1"/>
  <c r="G2026" i="1"/>
  <c r="D2026" i="1"/>
  <c r="G2025" i="1"/>
  <c r="D2025" i="1"/>
  <c r="G2024" i="1"/>
  <c r="D2024" i="1"/>
  <c r="G2023" i="1"/>
  <c r="D2023" i="1"/>
  <c r="G2022" i="1"/>
  <c r="D2022" i="1"/>
  <c r="G2021" i="1"/>
  <c r="D2021" i="1"/>
  <c r="G2020" i="1"/>
  <c r="D2020" i="1"/>
  <c r="G2019" i="1"/>
  <c r="D2019" i="1"/>
  <c r="G2018" i="1"/>
  <c r="D2018" i="1"/>
  <c r="G2017" i="1"/>
  <c r="D2017" i="1"/>
  <c r="G2016" i="1"/>
  <c r="D2016" i="1"/>
  <c r="G2015" i="1"/>
  <c r="D2015" i="1"/>
  <c r="G2014" i="1"/>
  <c r="D2014" i="1"/>
  <c r="G2013" i="1"/>
  <c r="D2013" i="1"/>
  <c r="G2012" i="1"/>
  <c r="D2012" i="1"/>
  <c r="G2011" i="1"/>
  <c r="D2011" i="1"/>
  <c r="G2010" i="1"/>
  <c r="D2010" i="1"/>
  <c r="G2009" i="1"/>
  <c r="D2009" i="1"/>
  <c r="G2008" i="1"/>
  <c r="D2008" i="1"/>
  <c r="G2007" i="1"/>
  <c r="D2007" i="1"/>
  <c r="G2006" i="1"/>
  <c r="D2006" i="1"/>
  <c r="G2005" i="1"/>
  <c r="D2005" i="1"/>
  <c r="G2004" i="1"/>
  <c r="D2004" i="1"/>
  <c r="G2003" i="1"/>
  <c r="D2003" i="1"/>
  <c r="G2002" i="1"/>
  <c r="D2002" i="1"/>
  <c r="G2001" i="1"/>
  <c r="D2001" i="1"/>
  <c r="G2000" i="1"/>
  <c r="D2000" i="1"/>
  <c r="G1999" i="1"/>
  <c r="D1999" i="1"/>
  <c r="G1998" i="1"/>
  <c r="D1998" i="1"/>
  <c r="G1997" i="1"/>
  <c r="D1997" i="1"/>
  <c r="G1996" i="1"/>
  <c r="D1996" i="1"/>
  <c r="G1995" i="1"/>
  <c r="D1995" i="1"/>
  <c r="G1994" i="1"/>
  <c r="D1994" i="1"/>
  <c r="G1993" i="1"/>
  <c r="D1993" i="1"/>
  <c r="G1992" i="1"/>
  <c r="D1992" i="1"/>
  <c r="G1991" i="1"/>
  <c r="D1991" i="1"/>
  <c r="G1990" i="1"/>
  <c r="D1990" i="1"/>
  <c r="G1989" i="1"/>
  <c r="D1989" i="1"/>
  <c r="G1988" i="1"/>
  <c r="D1988" i="1"/>
  <c r="G1987" i="1"/>
  <c r="D1987" i="1"/>
  <c r="G1986" i="1"/>
  <c r="D1986" i="1"/>
  <c r="G1985" i="1"/>
  <c r="D1985" i="1"/>
  <c r="G1984" i="1"/>
  <c r="D1984" i="1"/>
  <c r="G1983" i="1"/>
  <c r="D1983" i="1"/>
  <c r="G1982" i="1"/>
  <c r="D1982" i="1"/>
  <c r="G1981" i="1"/>
  <c r="D1981" i="1"/>
  <c r="G1980" i="1"/>
  <c r="D1980" i="1"/>
  <c r="G1979" i="1"/>
  <c r="D1979" i="1"/>
  <c r="G1978" i="1"/>
  <c r="D1978" i="1"/>
  <c r="G1977" i="1"/>
  <c r="D1977" i="1"/>
  <c r="G1976" i="1"/>
  <c r="D1976" i="1"/>
  <c r="G1975" i="1"/>
  <c r="D1975" i="1"/>
  <c r="G1974" i="1"/>
  <c r="D1974" i="1"/>
  <c r="G1973" i="1"/>
  <c r="D1973" i="1"/>
  <c r="G1972" i="1"/>
  <c r="D1972" i="1"/>
  <c r="G1971" i="1"/>
  <c r="D1971" i="1"/>
  <c r="G1970" i="1"/>
  <c r="D1970" i="1"/>
  <c r="G1969" i="1"/>
  <c r="D1969" i="1"/>
  <c r="G1968" i="1"/>
  <c r="D1968" i="1"/>
  <c r="G1967" i="1"/>
  <c r="D1967" i="1"/>
  <c r="G1966" i="1"/>
  <c r="D1966" i="1"/>
  <c r="G1965" i="1"/>
  <c r="D1965" i="1"/>
  <c r="G1964" i="1"/>
  <c r="D1964" i="1"/>
  <c r="G1963" i="1"/>
  <c r="D1963" i="1"/>
  <c r="G1962" i="1"/>
  <c r="D1962" i="1"/>
  <c r="G1961" i="1"/>
  <c r="D1961" i="1"/>
  <c r="G1960" i="1"/>
  <c r="D1960" i="1"/>
  <c r="G1959" i="1"/>
  <c r="D1959" i="1"/>
  <c r="G1958" i="1"/>
  <c r="D1958" i="1"/>
  <c r="G1957" i="1"/>
  <c r="D1957" i="1"/>
  <c r="G1956" i="1"/>
  <c r="D1956" i="1"/>
  <c r="G1955" i="1"/>
  <c r="D1955" i="1"/>
  <c r="G1954" i="1"/>
  <c r="D1954" i="1"/>
  <c r="G1953" i="1"/>
  <c r="D1953" i="1"/>
  <c r="G1952" i="1"/>
  <c r="D1952" i="1"/>
  <c r="G1951" i="1"/>
  <c r="D1951" i="1"/>
  <c r="G1950" i="1"/>
  <c r="D1950" i="1"/>
  <c r="G1949" i="1"/>
  <c r="D1949" i="1"/>
  <c r="G1948" i="1"/>
  <c r="D1948" i="1"/>
  <c r="G1947" i="1"/>
  <c r="D1947" i="1"/>
  <c r="G1946" i="1"/>
  <c r="D1946" i="1"/>
  <c r="G1945" i="1"/>
  <c r="D1945" i="1"/>
  <c r="G1944" i="1"/>
  <c r="D1944" i="1"/>
  <c r="G1943" i="1"/>
  <c r="D1943" i="1"/>
  <c r="G1942" i="1"/>
  <c r="D1942" i="1"/>
  <c r="G1941" i="1"/>
  <c r="D1941" i="1"/>
  <c r="G1940" i="1"/>
  <c r="D1940" i="1"/>
  <c r="G1939" i="1"/>
  <c r="D1939" i="1"/>
  <c r="G1938" i="1"/>
  <c r="D1938" i="1"/>
  <c r="G1937" i="1"/>
  <c r="D1937" i="1"/>
  <c r="G1936" i="1"/>
  <c r="D1936" i="1"/>
  <c r="G1935" i="1"/>
  <c r="D1935" i="1"/>
  <c r="G1934" i="1"/>
  <c r="D1934" i="1"/>
  <c r="G1933" i="1"/>
  <c r="D1933" i="1"/>
  <c r="G1932" i="1"/>
  <c r="D1932" i="1"/>
  <c r="G1931" i="1"/>
  <c r="D1931" i="1"/>
  <c r="G1930" i="1"/>
  <c r="D1930" i="1"/>
  <c r="G1929" i="1"/>
  <c r="D1929" i="1"/>
  <c r="G1928" i="1"/>
  <c r="D1928" i="1"/>
  <c r="G1927" i="1"/>
  <c r="D1927" i="1"/>
  <c r="G1926" i="1"/>
  <c r="D1926" i="1"/>
  <c r="G1925" i="1"/>
  <c r="D1925" i="1"/>
  <c r="G1924" i="1"/>
  <c r="D1924" i="1"/>
  <c r="G1923" i="1"/>
  <c r="D1923" i="1"/>
  <c r="G1922" i="1"/>
  <c r="D1922" i="1"/>
  <c r="G1921" i="1"/>
  <c r="D1921" i="1"/>
  <c r="G1920" i="1"/>
  <c r="D1920" i="1"/>
  <c r="G1919" i="1"/>
  <c r="D1919" i="1"/>
  <c r="G1918" i="1"/>
  <c r="D1918" i="1"/>
  <c r="G1917" i="1"/>
  <c r="D1917" i="1"/>
  <c r="G1916" i="1"/>
  <c r="D1916" i="1"/>
  <c r="G1915" i="1"/>
  <c r="D1915" i="1"/>
  <c r="G1914" i="1"/>
  <c r="D1914" i="1"/>
  <c r="G1913" i="1"/>
  <c r="D1913" i="1"/>
  <c r="G1912" i="1"/>
  <c r="D1912" i="1"/>
  <c r="G1911" i="1"/>
  <c r="D1911" i="1"/>
  <c r="G1910" i="1"/>
  <c r="D1910" i="1"/>
  <c r="G1909" i="1"/>
  <c r="D1909" i="1"/>
  <c r="G1908" i="1"/>
  <c r="D1908" i="1"/>
  <c r="G1907" i="1"/>
  <c r="D1907" i="1"/>
  <c r="G1906" i="1"/>
  <c r="D1906" i="1"/>
  <c r="G1905" i="1"/>
  <c r="D1905" i="1"/>
  <c r="G1904" i="1"/>
  <c r="D1904" i="1"/>
  <c r="G1903" i="1"/>
  <c r="D1903" i="1"/>
  <c r="G1902" i="1"/>
  <c r="D1902" i="1"/>
  <c r="G1901" i="1"/>
  <c r="D1901" i="1"/>
  <c r="G1900" i="1"/>
  <c r="D1900" i="1"/>
  <c r="G1899" i="1"/>
  <c r="D1899" i="1"/>
  <c r="G1898" i="1"/>
  <c r="D1898" i="1"/>
  <c r="G1897" i="1"/>
  <c r="D1897" i="1"/>
  <c r="G1896" i="1"/>
  <c r="D1896" i="1"/>
  <c r="G1895" i="1"/>
  <c r="D1895" i="1"/>
  <c r="G1894" i="1"/>
  <c r="D1894" i="1"/>
  <c r="G1893" i="1"/>
  <c r="D1893" i="1"/>
  <c r="G1892" i="1"/>
  <c r="D1892" i="1"/>
  <c r="G1891" i="1"/>
  <c r="D1891" i="1"/>
  <c r="G1890" i="1"/>
  <c r="D1890" i="1"/>
  <c r="G1889" i="1"/>
  <c r="D1889" i="1"/>
  <c r="G1888" i="1"/>
  <c r="D1888" i="1"/>
  <c r="G1887" i="1"/>
  <c r="D1887" i="1"/>
  <c r="G1886" i="1"/>
  <c r="D1886" i="1"/>
  <c r="G1885" i="1"/>
  <c r="D1885" i="1"/>
  <c r="G1884" i="1"/>
  <c r="D1884" i="1"/>
  <c r="G1883" i="1"/>
  <c r="D1883" i="1"/>
  <c r="G1882" i="1"/>
  <c r="D1882" i="1"/>
  <c r="G1881" i="1"/>
  <c r="D1881" i="1"/>
  <c r="G1880" i="1"/>
  <c r="D1880" i="1"/>
  <c r="G1879" i="1"/>
  <c r="D1879" i="1"/>
  <c r="G1878" i="1"/>
  <c r="D1878" i="1"/>
  <c r="G1877" i="1"/>
  <c r="D1877" i="1"/>
  <c r="G1876" i="1"/>
  <c r="D1876" i="1"/>
  <c r="G1875" i="1"/>
  <c r="D1875" i="1"/>
  <c r="G1874" i="1"/>
  <c r="D1874" i="1"/>
  <c r="G1873" i="1"/>
  <c r="D1873" i="1"/>
  <c r="G1872" i="1"/>
  <c r="D1872" i="1"/>
  <c r="G1871" i="1"/>
  <c r="D1871" i="1"/>
  <c r="G1870" i="1"/>
  <c r="D1870" i="1"/>
  <c r="G1869" i="1"/>
  <c r="D1869" i="1"/>
  <c r="G1868" i="1"/>
  <c r="D1868" i="1"/>
  <c r="G1867" i="1"/>
  <c r="D1867" i="1"/>
  <c r="G1866" i="1"/>
  <c r="D1866" i="1"/>
  <c r="G1865" i="1"/>
  <c r="D1865" i="1"/>
  <c r="G1864" i="1"/>
  <c r="D1864" i="1"/>
  <c r="G1863" i="1"/>
  <c r="D1863" i="1"/>
  <c r="G1862" i="1"/>
  <c r="D1862" i="1"/>
  <c r="G1861" i="1"/>
  <c r="D1861" i="1"/>
  <c r="G1860" i="1"/>
  <c r="D1860" i="1"/>
  <c r="G1859" i="1"/>
  <c r="D1859" i="1"/>
  <c r="G1858" i="1"/>
  <c r="D1858" i="1"/>
  <c r="G1857" i="1"/>
  <c r="D1857" i="1"/>
  <c r="G1856" i="1"/>
  <c r="D1856" i="1"/>
  <c r="G1855" i="1"/>
  <c r="D1855" i="1"/>
  <c r="G1854" i="1"/>
  <c r="D1854" i="1"/>
  <c r="G1853" i="1"/>
  <c r="D1853" i="1"/>
  <c r="G1852" i="1"/>
  <c r="D1852" i="1"/>
  <c r="G1851" i="1"/>
  <c r="D1851" i="1"/>
  <c r="G1850" i="1"/>
  <c r="D1850" i="1"/>
  <c r="G1849" i="1"/>
  <c r="D1849" i="1"/>
  <c r="G1848" i="1"/>
  <c r="D1848" i="1"/>
  <c r="G1847" i="1"/>
  <c r="D1847" i="1"/>
  <c r="G1846" i="1"/>
  <c r="D1846" i="1"/>
  <c r="G1845" i="1"/>
  <c r="D1845" i="1"/>
  <c r="G1844" i="1"/>
  <c r="D1844" i="1"/>
  <c r="G1843" i="1"/>
  <c r="D1843" i="1"/>
  <c r="G1842" i="1"/>
  <c r="D1842" i="1"/>
  <c r="G1841" i="1"/>
  <c r="D1841" i="1"/>
  <c r="G1840" i="1"/>
  <c r="D1840" i="1"/>
  <c r="G1839" i="1"/>
  <c r="D1839" i="1"/>
  <c r="G1838" i="1"/>
  <c r="D1838" i="1"/>
  <c r="G1837" i="1"/>
  <c r="D1837" i="1"/>
  <c r="G1836" i="1"/>
  <c r="D1836" i="1"/>
  <c r="G1835" i="1"/>
  <c r="D1835" i="1"/>
  <c r="G1834" i="1"/>
  <c r="D1834" i="1"/>
  <c r="G1833" i="1"/>
  <c r="D1833" i="1"/>
  <c r="G1832" i="1"/>
  <c r="D1832" i="1"/>
  <c r="G1831" i="1"/>
  <c r="D1831" i="1"/>
  <c r="G1830" i="1"/>
  <c r="D1830" i="1"/>
  <c r="G1829" i="1"/>
  <c r="D1829" i="1"/>
  <c r="G1828" i="1"/>
  <c r="D1828" i="1"/>
  <c r="G1827" i="1"/>
  <c r="D1827" i="1"/>
  <c r="G1826" i="1"/>
  <c r="D1826" i="1"/>
  <c r="G1825" i="1"/>
  <c r="D1825" i="1"/>
  <c r="G1824" i="1"/>
  <c r="D1824" i="1"/>
  <c r="G1823" i="1"/>
  <c r="D1823" i="1"/>
  <c r="G1822" i="1"/>
  <c r="D1822" i="1"/>
  <c r="G1821" i="1"/>
  <c r="D1821" i="1"/>
  <c r="G1820" i="1"/>
  <c r="D1820" i="1"/>
  <c r="G1819" i="1"/>
  <c r="D1819" i="1"/>
  <c r="G1818" i="1"/>
  <c r="D1818" i="1"/>
  <c r="G1817" i="1"/>
  <c r="D1817" i="1"/>
  <c r="G1816" i="1"/>
  <c r="D1816" i="1"/>
  <c r="G1815" i="1"/>
  <c r="D1815" i="1"/>
  <c r="G1814" i="1"/>
  <c r="D1814" i="1"/>
  <c r="G1813" i="1"/>
  <c r="D1813" i="1"/>
  <c r="G1812" i="1"/>
  <c r="D1812" i="1"/>
  <c r="G1811" i="1"/>
  <c r="D1811" i="1"/>
  <c r="G1810" i="1"/>
  <c r="D1810" i="1"/>
  <c r="G1809" i="1"/>
  <c r="D1809" i="1"/>
  <c r="G1808" i="1"/>
  <c r="D1808" i="1"/>
  <c r="G1807" i="1"/>
  <c r="D1807" i="1"/>
  <c r="G1806" i="1"/>
  <c r="D1806" i="1"/>
  <c r="G1805" i="1"/>
  <c r="D1805" i="1"/>
  <c r="G1804" i="1"/>
  <c r="D1804" i="1"/>
  <c r="G1803" i="1"/>
  <c r="D1803" i="1"/>
  <c r="G1802" i="1"/>
  <c r="D1802" i="1"/>
  <c r="G1801" i="1"/>
  <c r="D1801" i="1"/>
  <c r="G1800" i="1"/>
  <c r="D1800" i="1"/>
  <c r="G1799" i="1"/>
  <c r="D1799" i="1"/>
  <c r="G1798" i="1"/>
  <c r="D1798" i="1"/>
  <c r="G1797" i="1"/>
  <c r="D1797" i="1"/>
  <c r="G1796" i="1"/>
  <c r="D1796" i="1"/>
  <c r="G1795" i="1"/>
  <c r="D1795" i="1"/>
  <c r="G1794" i="1"/>
  <c r="D1794" i="1"/>
  <c r="G1793" i="1"/>
  <c r="D1793" i="1"/>
  <c r="G1792" i="1"/>
  <c r="D1792" i="1"/>
  <c r="G1791" i="1"/>
  <c r="D1791" i="1"/>
  <c r="G1790" i="1"/>
  <c r="D1790" i="1"/>
  <c r="G1789" i="1"/>
  <c r="D1789" i="1"/>
  <c r="G1788" i="1"/>
  <c r="D1788" i="1"/>
  <c r="G1787" i="1"/>
  <c r="D1787" i="1"/>
  <c r="G1786" i="1"/>
  <c r="D1786" i="1"/>
  <c r="G1785" i="1"/>
  <c r="D1785" i="1"/>
  <c r="G1784" i="1"/>
  <c r="D1784" i="1"/>
  <c r="G1783" i="1"/>
  <c r="D1783" i="1"/>
  <c r="G1782" i="1"/>
  <c r="D1782" i="1"/>
  <c r="G1781" i="1"/>
  <c r="D1781" i="1"/>
  <c r="G1780" i="1"/>
  <c r="D1780" i="1"/>
  <c r="G1779" i="1"/>
  <c r="D1779" i="1"/>
  <c r="G1778" i="1"/>
  <c r="D1778" i="1"/>
  <c r="G1777" i="1"/>
  <c r="D1777" i="1"/>
  <c r="G1776" i="1"/>
  <c r="D1776" i="1"/>
  <c r="G1775" i="1"/>
  <c r="D1775" i="1"/>
  <c r="G1774" i="1"/>
  <c r="D1774" i="1"/>
  <c r="G1773" i="1"/>
  <c r="D1773" i="1"/>
  <c r="G1772" i="1"/>
  <c r="D1772" i="1"/>
  <c r="G1771" i="1"/>
  <c r="D1771" i="1"/>
  <c r="G1770" i="1"/>
  <c r="D1770" i="1"/>
  <c r="G1769" i="1"/>
  <c r="D1769" i="1"/>
  <c r="G1768" i="1"/>
  <c r="D1768" i="1"/>
  <c r="G1767" i="1"/>
  <c r="D1767" i="1"/>
  <c r="G1766" i="1"/>
  <c r="D1766" i="1"/>
  <c r="G1765" i="1"/>
  <c r="D1765" i="1"/>
  <c r="G1764" i="1"/>
  <c r="D1764" i="1"/>
  <c r="G1763" i="1"/>
  <c r="D1763" i="1"/>
  <c r="G1762" i="1"/>
  <c r="D1762" i="1"/>
  <c r="G1761" i="1"/>
  <c r="D1761" i="1"/>
  <c r="G1760" i="1"/>
  <c r="D1760" i="1"/>
  <c r="G1759" i="1"/>
  <c r="D1759" i="1"/>
  <c r="G1758" i="1"/>
  <c r="D1758" i="1"/>
  <c r="G1757" i="1"/>
  <c r="D1757" i="1"/>
  <c r="G1756" i="1"/>
  <c r="D1756" i="1"/>
  <c r="G1755" i="1"/>
  <c r="D1755" i="1"/>
  <c r="G1754" i="1"/>
  <c r="D1754" i="1"/>
  <c r="G1753" i="1"/>
  <c r="D1753" i="1"/>
  <c r="G1752" i="1"/>
  <c r="D1752" i="1"/>
  <c r="G1751" i="1"/>
  <c r="D1751" i="1"/>
  <c r="G1750" i="1"/>
  <c r="D1750" i="1"/>
  <c r="G1749" i="1"/>
  <c r="D1749" i="1"/>
  <c r="G1748" i="1"/>
  <c r="D1748" i="1"/>
  <c r="G1747" i="1"/>
  <c r="D1747" i="1"/>
  <c r="G1746" i="1"/>
  <c r="D1746" i="1"/>
  <c r="G1745" i="1"/>
  <c r="D1745" i="1"/>
  <c r="G1744" i="1"/>
  <c r="D1744" i="1"/>
  <c r="G1743" i="1"/>
  <c r="D1743" i="1"/>
  <c r="G1742" i="1"/>
  <c r="D1742" i="1"/>
  <c r="G1741" i="1"/>
  <c r="D1741" i="1"/>
  <c r="G1740" i="1"/>
  <c r="D1740" i="1"/>
  <c r="G1739" i="1"/>
  <c r="D1739" i="1"/>
  <c r="G1738" i="1"/>
  <c r="D1738" i="1"/>
  <c r="G1737" i="1"/>
  <c r="D1737" i="1"/>
  <c r="G1736" i="1"/>
  <c r="D1736" i="1"/>
  <c r="G1735" i="1"/>
  <c r="D1735" i="1"/>
  <c r="G1734" i="1"/>
  <c r="D1734" i="1"/>
  <c r="G1733" i="1"/>
  <c r="D1733" i="1"/>
  <c r="G1732" i="1"/>
  <c r="D1732" i="1"/>
  <c r="G1731" i="1"/>
  <c r="D1731" i="1"/>
  <c r="G1730" i="1"/>
  <c r="D1730" i="1"/>
  <c r="G1729" i="1"/>
  <c r="D1729" i="1"/>
  <c r="G1728" i="1"/>
  <c r="D1728" i="1"/>
  <c r="G1727" i="1"/>
  <c r="D1727" i="1"/>
  <c r="G1726" i="1"/>
  <c r="D1726" i="1"/>
  <c r="G1725" i="1"/>
  <c r="D1725" i="1"/>
  <c r="G1724" i="1"/>
  <c r="D1724" i="1"/>
  <c r="G1723" i="1"/>
  <c r="D1723" i="1"/>
  <c r="G1722" i="1"/>
  <c r="D1722" i="1"/>
  <c r="G1721" i="1"/>
  <c r="D1721" i="1"/>
  <c r="G1720" i="1"/>
  <c r="D1720" i="1"/>
  <c r="G1719" i="1"/>
  <c r="D1719" i="1"/>
  <c r="G1718" i="1"/>
  <c r="D1718" i="1"/>
  <c r="G1717" i="1"/>
  <c r="D1717" i="1"/>
  <c r="G1716" i="1"/>
  <c r="D1716" i="1"/>
  <c r="G1715" i="1"/>
  <c r="D1715" i="1"/>
  <c r="G1714" i="1"/>
  <c r="D1714" i="1"/>
  <c r="G1713" i="1"/>
  <c r="D1713" i="1"/>
  <c r="G1712" i="1"/>
  <c r="D1712" i="1"/>
  <c r="G1711" i="1"/>
  <c r="D1711" i="1"/>
  <c r="G1710" i="1"/>
  <c r="D1710" i="1"/>
  <c r="G1709" i="1"/>
  <c r="D1709" i="1"/>
  <c r="G1708" i="1"/>
  <c r="D1708" i="1"/>
  <c r="G1707" i="1"/>
  <c r="D1707" i="1"/>
  <c r="G1706" i="1"/>
  <c r="D1706" i="1"/>
  <c r="G1705" i="1"/>
  <c r="D1705" i="1"/>
  <c r="G1704" i="1"/>
  <c r="D1704" i="1"/>
  <c r="G1703" i="1"/>
  <c r="D1703" i="1"/>
  <c r="G1702" i="1"/>
  <c r="D1702" i="1"/>
  <c r="G1701" i="1"/>
  <c r="D1701" i="1"/>
  <c r="G1700" i="1"/>
  <c r="D1700" i="1"/>
  <c r="G1699" i="1"/>
  <c r="D1699" i="1"/>
  <c r="G1698" i="1"/>
  <c r="D1698" i="1"/>
  <c r="G1697" i="1"/>
  <c r="D1697" i="1"/>
  <c r="G1696" i="1"/>
  <c r="D1696" i="1"/>
  <c r="G1695" i="1"/>
  <c r="D1695" i="1"/>
  <c r="G1694" i="1"/>
  <c r="D1694" i="1"/>
  <c r="G1693" i="1"/>
  <c r="D1693" i="1"/>
  <c r="G1692" i="1"/>
  <c r="D1692" i="1"/>
  <c r="G1691" i="1"/>
  <c r="D1691" i="1"/>
  <c r="G1690" i="1"/>
  <c r="D1690" i="1"/>
  <c r="G1689" i="1"/>
  <c r="D1689" i="1"/>
  <c r="G1688" i="1"/>
  <c r="D1688" i="1"/>
  <c r="G1687" i="1"/>
  <c r="D1687" i="1"/>
  <c r="G1686" i="1"/>
  <c r="D1686" i="1"/>
  <c r="G1685" i="1"/>
  <c r="D1685" i="1"/>
  <c r="G1684" i="1"/>
  <c r="D1684" i="1"/>
  <c r="G1683" i="1"/>
  <c r="D1683" i="1"/>
  <c r="G1682" i="1"/>
  <c r="D1682" i="1"/>
  <c r="G1681" i="1"/>
  <c r="D1681" i="1"/>
  <c r="G1680" i="1"/>
  <c r="D1680" i="1"/>
  <c r="G1679" i="1"/>
  <c r="D1679" i="1"/>
  <c r="G1678" i="1"/>
  <c r="D1678" i="1"/>
  <c r="G1677" i="1"/>
  <c r="D1677" i="1"/>
  <c r="G1676" i="1"/>
  <c r="D1676" i="1"/>
  <c r="G1675" i="1"/>
  <c r="D1675" i="1"/>
  <c r="G1674" i="1"/>
  <c r="D1674" i="1"/>
  <c r="G1673" i="1"/>
  <c r="D1673" i="1"/>
  <c r="G1672" i="1"/>
  <c r="D1672" i="1"/>
  <c r="G1671" i="1"/>
  <c r="D1671" i="1"/>
  <c r="G1670" i="1"/>
  <c r="D1670" i="1"/>
  <c r="G1669" i="1"/>
  <c r="D1669" i="1"/>
  <c r="G1668" i="1"/>
  <c r="D1668" i="1"/>
  <c r="G1667" i="1"/>
  <c r="D1667" i="1"/>
  <c r="G1666" i="1"/>
  <c r="D1666" i="1"/>
  <c r="G1665" i="1"/>
  <c r="D1665" i="1"/>
  <c r="G1664" i="1"/>
  <c r="D1664" i="1"/>
  <c r="G1663" i="1"/>
  <c r="D1663" i="1"/>
  <c r="G1662" i="1"/>
  <c r="D1662" i="1"/>
  <c r="G1661" i="1"/>
  <c r="D1661" i="1"/>
  <c r="G1660" i="1"/>
  <c r="D1660" i="1"/>
  <c r="G1659" i="1"/>
  <c r="D1659" i="1"/>
  <c r="G1658" i="1"/>
  <c r="D1658" i="1"/>
  <c r="G1657" i="1"/>
  <c r="D1657" i="1"/>
  <c r="G1656" i="1"/>
  <c r="D1656" i="1"/>
  <c r="G1655" i="1"/>
  <c r="D1655" i="1"/>
  <c r="G1654" i="1"/>
  <c r="D1654" i="1"/>
  <c r="G1653" i="1"/>
  <c r="D1653" i="1"/>
  <c r="G1652" i="1"/>
  <c r="D1652" i="1"/>
  <c r="G1651" i="1"/>
  <c r="D1651" i="1"/>
  <c r="G1650" i="1"/>
  <c r="D1650" i="1"/>
  <c r="G1649" i="1"/>
  <c r="D1649" i="1"/>
  <c r="G1648" i="1"/>
  <c r="D1648" i="1"/>
  <c r="G1647" i="1"/>
  <c r="D1647" i="1"/>
  <c r="G1646" i="1"/>
  <c r="D1646" i="1"/>
  <c r="G1645" i="1"/>
  <c r="D1645" i="1"/>
  <c r="G1644" i="1"/>
  <c r="D1644" i="1"/>
  <c r="G1643" i="1"/>
  <c r="D1643" i="1"/>
  <c r="G1642" i="1"/>
  <c r="D1642" i="1"/>
  <c r="G1641" i="1"/>
  <c r="D1641" i="1"/>
  <c r="G1640" i="1"/>
  <c r="D1640" i="1"/>
  <c r="G1639" i="1"/>
  <c r="D1639" i="1"/>
  <c r="G1638" i="1"/>
  <c r="D1638" i="1"/>
  <c r="G1637" i="1"/>
  <c r="D1637" i="1"/>
  <c r="G1636" i="1"/>
  <c r="D1636" i="1"/>
  <c r="G1635" i="1"/>
  <c r="D1635" i="1"/>
  <c r="G1634" i="1"/>
  <c r="D1634" i="1"/>
  <c r="G1633" i="1"/>
  <c r="D1633" i="1"/>
  <c r="G1632" i="1"/>
  <c r="D1632" i="1"/>
  <c r="G1631" i="1"/>
  <c r="D1631" i="1"/>
  <c r="G1630" i="1"/>
  <c r="D1630" i="1"/>
  <c r="G1629" i="1"/>
  <c r="D1629" i="1"/>
  <c r="G1628" i="1"/>
  <c r="D1628" i="1"/>
  <c r="G1627" i="1"/>
  <c r="D1627" i="1"/>
  <c r="G1626" i="1"/>
  <c r="D1626" i="1"/>
  <c r="G1625" i="1"/>
  <c r="D1625" i="1"/>
  <c r="G1624" i="1"/>
  <c r="D1624" i="1"/>
  <c r="G1623" i="1"/>
  <c r="D1623" i="1"/>
  <c r="G1622" i="1"/>
  <c r="D1622" i="1"/>
  <c r="G1621" i="1"/>
  <c r="D1621" i="1"/>
  <c r="G1620" i="1"/>
  <c r="D1620" i="1"/>
  <c r="G1619" i="1"/>
  <c r="D1619" i="1"/>
  <c r="G1618" i="1"/>
  <c r="D1618" i="1"/>
  <c r="G1617" i="1"/>
  <c r="D1617" i="1"/>
  <c r="G1616" i="1"/>
  <c r="D1616" i="1"/>
  <c r="G1615" i="1"/>
  <c r="D1615" i="1"/>
  <c r="G1614" i="1"/>
  <c r="D1614" i="1"/>
  <c r="G1613" i="1"/>
  <c r="D1613" i="1"/>
  <c r="G1612" i="1"/>
  <c r="D1612" i="1"/>
  <c r="G1611" i="1"/>
  <c r="D1611" i="1"/>
  <c r="G1610" i="1"/>
  <c r="D1610" i="1"/>
  <c r="G1609" i="1"/>
  <c r="D1609" i="1"/>
  <c r="G1608" i="1"/>
  <c r="D1608" i="1"/>
  <c r="G1607" i="1"/>
  <c r="D1607" i="1"/>
  <c r="G1606" i="1"/>
  <c r="D1606" i="1"/>
  <c r="G1605" i="1"/>
  <c r="D1605" i="1"/>
  <c r="G1604" i="1"/>
  <c r="D1604" i="1"/>
  <c r="G1603" i="1"/>
  <c r="D1603" i="1"/>
  <c r="G1602" i="1"/>
  <c r="D1602" i="1"/>
  <c r="G1601" i="1"/>
  <c r="D1601" i="1"/>
  <c r="G1600" i="1"/>
  <c r="D1600" i="1"/>
  <c r="G1599" i="1"/>
  <c r="D1599" i="1"/>
  <c r="G1598" i="1"/>
  <c r="D1598" i="1"/>
  <c r="G1597" i="1"/>
  <c r="D1597" i="1"/>
  <c r="G1596" i="1"/>
  <c r="D1596" i="1"/>
  <c r="G1595" i="1"/>
  <c r="D1595" i="1"/>
  <c r="G1594" i="1"/>
  <c r="D1594" i="1"/>
  <c r="G1593" i="1"/>
  <c r="D1593" i="1"/>
  <c r="G1592" i="1"/>
  <c r="D1592" i="1"/>
  <c r="G1591" i="1"/>
  <c r="D1591" i="1"/>
  <c r="G1590" i="1"/>
  <c r="D1590" i="1"/>
  <c r="G1589" i="1"/>
  <c r="D1589" i="1"/>
  <c r="G1588" i="1"/>
  <c r="D1588" i="1"/>
  <c r="G1587" i="1"/>
  <c r="D1587" i="1"/>
  <c r="G1586" i="1"/>
  <c r="D1586" i="1"/>
  <c r="G1585" i="1"/>
  <c r="D1585" i="1"/>
  <c r="G1584" i="1"/>
  <c r="D1584" i="1"/>
  <c r="G1583" i="1"/>
  <c r="D1583" i="1"/>
  <c r="G1582" i="1"/>
  <c r="D1582" i="1"/>
  <c r="G1581" i="1"/>
  <c r="D1581" i="1"/>
  <c r="G1580" i="1"/>
  <c r="D1580" i="1"/>
  <c r="G1579" i="1"/>
  <c r="D1579" i="1"/>
  <c r="G1578" i="1"/>
  <c r="D1578" i="1"/>
  <c r="G1577" i="1"/>
  <c r="D1577" i="1"/>
  <c r="G1576" i="1"/>
  <c r="D1576" i="1"/>
  <c r="G1575" i="1"/>
  <c r="D1575" i="1"/>
  <c r="G1574" i="1"/>
  <c r="D1574" i="1"/>
  <c r="G1573" i="1"/>
  <c r="D1573" i="1"/>
  <c r="G1572" i="1"/>
  <c r="D1572" i="1"/>
  <c r="G1571" i="1"/>
  <c r="D1571" i="1"/>
  <c r="G1570" i="1"/>
  <c r="D1570" i="1"/>
  <c r="G1569" i="1"/>
  <c r="D1569" i="1"/>
  <c r="G1568" i="1"/>
  <c r="D1568" i="1"/>
  <c r="G1567" i="1"/>
  <c r="D1567" i="1"/>
  <c r="G1566" i="1"/>
  <c r="D1566" i="1"/>
  <c r="G1565" i="1"/>
  <c r="D1565" i="1"/>
  <c r="G1564" i="1"/>
  <c r="D1564" i="1"/>
  <c r="G1563" i="1"/>
  <c r="D1563" i="1"/>
  <c r="G1562" i="1"/>
  <c r="D1562" i="1"/>
  <c r="G1561" i="1"/>
  <c r="D1561" i="1"/>
  <c r="G1560" i="1"/>
  <c r="D1560" i="1"/>
  <c r="G1559" i="1"/>
  <c r="D1559" i="1"/>
  <c r="G1558" i="1"/>
  <c r="D1558" i="1"/>
  <c r="G1557" i="1"/>
  <c r="D1557" i="1"/>
  <c r="G1556" i="1"/>
  <c r="D1556" i="1"/>
  <c r="G1555" i="1"/>
  <c r="D1555" i="1"/>
  <c r="G1554" i="1"/>
  <c r="D1554" i="1"/>
  <c r="G1553" i="1"/>
  <c r="D1553" i="1"/>
  <c r="G1552" i="1"/>
  <c r="D1552" i="1"/>
  <c r="G1551" i="1"/>
  <c r="D1551" i="1"/>
  <c r="G1550" i="1"/>
  <c r="D1550" i="1"/>
  <c r="G1549" i="1"/>
  <c r="D1549" i="1"/>
  <c r="G1548" i="1"/>
  <c r="D1548" i="1"/>
  <c r="G1547" i="1"/>
  <c r="D1547" i="1"/>
  <c r="G1546" i="1"/>
  <c r="D1546" i="1"/>
  <c r="G1545" i="1"/>
  <c r="D1545" i="1"/>
  <c r="G1544" i="1"/>
  <c r="D1544" i="1"/>
  <c r="G1543" i="1"/>
  <c r="D1543" i="1"/>
  <c r="G1542" i="1"/>
  <c r="D1542" i="1"/>
  <c r="G1541" i="1"/>
  <c r="D1541" i="1"/>
  <c r="G1540" i="1"/>
  <c r="D1540" i="1"/>
  <c r="G1539" i="1"/>
  <c r="D1539" i="1"/>
  <c r="G1538" i="1"/>
  <c r="D1538" i="1"/>
  <c r="G1537" i="1"/>
  <c r="D1537" i="1"/>
  <c r="G1536" i="1"/>
  <c r="D1536" i="1"/>
  <c r="G1535" i="1"/>
  <c r="D1535" i="1"/>
  <c r="G1534" i="1"/>
  <c r="D1534" i="1"/>
  <c r="G1533" i="1"/>
  <c r="D1533" i="1"/>
  <c r="G1532" i="1"/>
  <c r="D1532" i="1"/>
  <c r="G1531" i="1"/>
  <c r="D1531" i="1"/>
  <c r="G1530" i="1"/>
  <c r="D1530" i="1"/>
  <c r="G1529" i="1"/>
  <c r="D1529" i="1"/>
  <c r="G1528" i="1"/>
  <c r="D1528" i="1"/>
  <c r="G1527" i="1"/>
  <c r="D1527" i="1"/>
  <c r="G1526" i="1"/>
  <c r="D1526" i="1"/>
  <c r="G1525" i="1"/>
  <c r="D1525" i="1"/>
  <c r="G1524" i="1"/>
  <c r="D1524" i="1"/>
  <c r="G1523" i="1"/>
  <c r="D1523" i="1"/>
  <c r="G1522" i="1"/>
  <c r="D1522" i="1"/>
  <c r="G1521" i="1"/>
  <c r="D1521" i="1"/>
  <c r="G1520" i="1"/>
  <c r="D1520" i="1"/>
  <c r="G1519" i="1"/>
  <c r="D1519" i="1"/>
  <c r="G1518" i="1"/>
  <c r="D1518" i="1"/>
  <c r="G1517" i="1"/>
  <c r="D1517" i="1"/>
  <c r="G1516" i="1"/>
  <c r="D1516" i="1"/>
  <c r="G1515" i="1"/>
  <c r="D1515" i="1"/>
  <c r="G1514" i="1"/>
  <c r="D1514" i="1"/>
  <c r="G1513" i="1"/>
  <c r="D1513" i="1"/>
  <c r="G1512" i="1"/>
  <c r="D1512" i="1"/>
  <c r="G1511" i="1"/>
  <c r="D1511" i="1"/>
  <c r="G1510" i="1"/>
  <c r="D1510" i="1"/>
  <c r="G1509" i="1"/>
  <c r="D1509" i="1"/>
  <c r="G1508" i="1"/>
  <c r="D1508" i="1"/>
  <c r="G1507" i="1"/>
  <c r="D1507" i="1"/>
  <c r="G1506" i="1"/>
  <c r="D1506" i="1"/>
  <c r="G1505" i="1"/>
  <c r="D1505" i="1"/>
  <c r="G1504" i="1"/>
  <c r="D1504" i="1"/>
  <c r="G1503" i="1"/>
  <c r="D1503" i="1"/>
  <c r="G1502" i="1"/>
  <c r="D1502" i="1"/>
  <c r="G1501" i="1"/>
  <c r="D1501" i="1"/>
  <c r="G1500" i="1"/>
  <c r="D1500" i="1"/>
  <c r="G1499" i="1"/>
  <c r="D1499" i="1"/>
  <c r="G1498" i="1"/>
  <c r="D1498" i="1"/>
  <c r="G1497" i="1"/>
  <c r="D1497" i="1"/>
  <c r="G1496" i="1"/>
  <c r="D1496" i="1"/>
  <c r="G1495" i="1"/>
  <c r="D1495" i="1"/>
  <c r="G1494" i="1"/>
  <c r="D1494" i="1"/>
  <c r="G1493" i="1"/>
  <c r="D1493" i="1"/>
  <c r="G1492" i="1"/>
  <c r="D1492" i="1"/>
  <c r="G1491" i="1"/>
  <c r="D1491" i="1"/>
  <c r="G1490" i="1"/>
  <c r="D1490" i="1"/>
  <c r="G1489" i="1"/>
  <c r="D1489" i="1"/>
  <c r="G1488" i="1"/>
  <c r="D1488" i="1"/>
  <c r="G1487" i="1"/>
  <c r="D1487" i="1"/>
  <c r="G1486" i="1"/>
  <c r="D1486" i="1"/>
  <c r="G1485" i="1"/>
  <c r="D1485" i="1"/>
  <c r="G1484" i="1"/>
  <c r="D1484" i="1"/>
  <c r="G1483" i="1"/>
  <c r="D1483" i="1"/>
  <c r="G1482" i="1"/>
  <c r="D1482" i="1"/>
  <c r="G1481" i="1"/>
  <c r="D1481" i="1"/>
  <c r="G1480" i="1"/>
  <c r="D1480" i="1"/>
  <c r="G1479" i="1"/>
  <c r="D1479" i="1"/>
  <c r="G1478" i="1"/>
  <c r="D1478" i="1"/>
  <c r="G1477" i="1"/>
  <c r="D1477" i="1"/>
  <c r="G1476" i="1"/>
  <c r="D1476" i="1"/>
  <c r="G1475" i="1"/>
  <c r="D1475" i="1"/>
  <c r="G1474" i="1"/>
  <c r="D1474" i="1"/>
  <c r="G1473" i="1"/>
  <c r="D1473" i="1"/>
  <c r="G1472" i="1"/>
  <c r="D1472" i="1"/>
  <c r="G1471" i="1"/>
  <c r="D1471" i="1"/>
  <c r="G1470" i="1"/>
  <c r="D1470" i="1"/>
  <c r="G1469" i="1"/>
  <c r="D1469" i="1"/>
  <c r="G1468" i="1"/>
  <c r="D1468" i="1"/>
  <c r="G1467" i="1"/>
  <c r="D1467" i="1"/>
  <c r="G1466" i="1"/>
  <c r="D1466" i="1"/>
  <c r="G1465" i="1"/>
  <c r="D1465" i="1"/>
  <c r="G1464" i="1"/>
  <c r="D1464" i="1"/>
  <c r="G1463" i="1"/>
  <c r="D1463" i="1"/>
  <c r="G1462" i="1"/>
  <c r="D1462" i="1"/>
  <c r="G1461" i="1"/>
  <c r="D1461" i="1"/>
  <c r="G1460" i="1"/>
  <c r="D1460" i="1"/>
  <c r="G1459" i="1"/>
  <c r="D1459" i="1"/>
  <c r="G1458" i="1"/>
  <c r="D1458" i="1"/>
  <c r="G1457" i="1"/>
  <c r="D1457" i="1"/>
  <c r="G1456" i="1"/>
  <c r="D1456" i="1"/>
  <c r="G1455" i="1"/>
  <c r="D1455" i="1"/>
  <c r="G1454" i="1"/>
  <c r="D1454" i="1"/>
  <c r="G1453" i="1"/>
  <c r="D1453" i="1"/>
  <c r="G1452" i="1"/>
  <c r="D1452" i="1"/>
  <c r="G1451" i="1"/>
  <c r="D1451" i="1"/>
  <c r="G1450" i="1"/>
  <c r="D1450" i="1"/>
  <c r="G1449" i="1"/>
  <c r="D1449" i="1"/>
  <c r="G1448" i="1"/>
  <c r="D1448" i="1"/>
  <c r="G1447" i="1"/>
  <c r="D1447" i="1"/>
  <c r="G1446" i="1"/>
  <c r="D1446" i="1"/>
  <c r="G1445" i="1"/>
  <c r="D1445" i="1"/>
  <c r="G1444" i="1"/>
  <c r="D1444" i="1"/>
  <c r="G1443" i="1"/>
  <c r="D1443" i="1"/>
  <c r="G1442" i="1"/>
  <c r="D1442" i="1"/>
  <c r="G1441" i="1"/>
  <c r="D1441" i="1"/>
  <c r="G1440" i="1"/>
  <c r="D1440" i="1"/>
  <c r="G1439" i="1"/>
  <c r="D1439" i="1"/>
  <c r="G1438" i="1"/>
  <c r="D1438" i="1"/>
  <c r="G1437" i="1"/>
  <c r="D1437" i="1"/>
  <c r="G1436" i="1"/>
  <c r="D1436" i="1"/>
  <c r="G1435" i="1"/>
  <c r="D1435" i="1"/>
  <c r="G1434" i="1"/>
  <c r="D1434" i="1"/>
  <c r="G1433" i="1"/>
  <c r="D1433" i="1"/>
  <c r="G1432" i="1"/>
  <c r="D1432" i="1"/>
  <c r="G1431" i="1"/>
  <c r="D1431" i="1"/>
  <c r="G1430" i="1"/>
  <c r="D1430" i="1"/>
  <c r="G1429" i="1"/>
  <c r="D1429" i="1"/>
  <c r="G1428" i="1"/>
  <c r="D1428" i="1"/>
  <c r="G1427" i="1"/>
  <c r="D1427" i="1"/>
  <c r="G1426" i="1"/>
  <c r="D1426" i="1"/>
  <c r="G1425" i="1"/>
  <c r="D1425" i="1"/>
  <c r="G1424" i="1"/>
  <c r="D1424" i="1"/>
  <c r="G1423" i="1"/>
  <c r="D1423" i="1"/>
  <c r="G1422" i="1"/>
  <c r="D1422" i="1"/>
  <c r="G1421" i="1"/>
  <c r="D1421" i="1"/>
  <c r="G1420" i="1"/>
  <c r="D1420" i="1"/>
  <c r="G1419" i="1"/>
  <c r="D1419" i="1"/>
  <c r="G1418" i="1"/>
  <c r="D1418" i="1"/>
  <c r="G1417" i="1"/>
  <c r="D1417" i="1"/>
  <c r="G1416" i="1"/>
  <c r="D1416" i="1"/>
  <c r="G1415" i="1"/>
  <c r="D1415" i="1"/>
  <c r="G1414" i="1"/>
  <c r="D1414" i="1"/>
  <c r="G1413" i="1"/>
  <c r="D1413" i="1"/>
  <c r="G1412" i="1"/>
  <c r="D1412" i="1"/>
  <c r="G1411" i="1"/>
  <c r="D1411" i="1"/>
  <c r="G1410" i="1"/>
  <c r="D1410" i="1"/>
  <c r="G1409" i="1"/>
  <c r="D1409" i="1"/>
  <c r="G1408" i="1"/>
  <c r="D1408" i="1"/>
  <c r="G1407" i="1"/>
  <c r="D1407" i="1"/>
  <c r="G1406" i="1"/>
  <c r="D1406" i="1"/>
  <c r="G1405" i="1"/>
  <c r="D1405" i="1"/>
  <c r="G1404" i="1"/>
  <c r="D1404" i="1"/>
  <c r="G1403" i="1"/>
  <c r="D1403" i="1"/>
  <c r="G1402" i="1"/>
  <c r="D1402" i="1"/>
  <c r="G1401" i="1"/>
  <c r="D1401" i="1"/>
  <c r="G1400" i="1"/>
  <c r="D1400" i="1"/>
  <c r="G1399" i="1"/>
  <c r="D1399" i="1"/>
  <c r="G1398" i="1"/>
  <c r="D1398" i="1"/>
  <c r="G1397" i="1"/>
  <c r="D1397" i="1"/>
  <c r="G1396" i="1"/>
  <c r="D1396" i="1"/>
  <c r="G1395" i="1"/>
  <c r="D1395" i="1"/>
  <c r="G1394" i="1"/>
  <c r="D1394" i="1"/>
  <c r="G1393" i="1"/>
  <c r="D1393" i="1"/>
  <c r="G1392" i="1"/>
  <c r="D1392" i="1"/>
  <c r="G1391" i="1"/>
  <c r="D1391" i="1"/>
  <c r="G1390" i="1"/>
  <c r="D1390" i="1"/>
  <c r="G1389" i="1"/>
  <c r="D1389" i="1"/>
  <c r="G1388" i="1"/>
  <c r="D1388" i="1"/>
  <c r="G1387" i="1"/>
  <c r="D1387" i="1"/>
  <c r="G1386" i="1"/>
  <c r="D1386" i="1"/>
  <c r="G1385" i="1"/>
  <c r="D1385" i="1"/>
  <c r="G1384" i="1"/>
  <c r="D1384" i="1"/>
  <c r="G1383" i="1"/>
  <c r="D1383" i="1"/>
  <c r="G1382" i="1"/>
  <c r="D1382" i="1"/>
  <c r="G1381" i="1"/>
  <c r="D1381" i="1"/>
  <c r="G1380" i="1"/>
  <c r="D1380" i="1"/>
  <c r="G1379" i="1"/>
  <c r="D1379" i="1"/>
  <c r="G1378" i="1"/>
  <c r="D1378" i="1"/>
  <c r="G1377" i="1"/>
  <c r="D1377" i="1"/>
  <c r="G1376" i="1"/>
  <c r="D1376" i="1"/>
  <c r="G1375" i="1"/>
  <c r="D1375" i="1"/>
  <c r="G1374" i="1"/>
  <c r="D1374" i="1"/>
  <c r="G1373" i="1"/>
  <c r="D1373" i="1"/>
  <c r="G1372" i="1"/>
  <c r="D1372" i="1"/>
  <c r="G1371" i="1"/>
  <c r="D1371" i="1"/>
  <c r="G1370" i="1"/>
  <c r="D1370" i="1"/>
  <c r="G1369" i="1"/>
  <c r="D1369" i="1"/>
  <c r="G1368" i="1"/>
  <c r="D1368" i="1"/>
  <c r="G1367" i="1"/>
  <c r="D1367" i="1"/>
  <c r="G1366" i="1"/>
  <c r="D1366" i="1"/>
  <c r="G1365" i="1"/>
  <c r="D1365" i="1"/>
  <c r="G1364" i="1"/>
  <c r="D1364" i="1"/>
  <c r="G1363" i="1"/>
  <c r="D1363" i="1"/>
  <c r="G1362" i="1"/>
  <c r="D1362" i="1"/>
  <c r="G1361" i="1"/>
  <c r="D1361" i="1"/>
  <c r="G1360" i="1"/>
  <c r="D1360" i="1"/>
  <c r="G1359" i="1"/>
  <c r="D1359" i="1"/>
  <c r="G1358" i="1"/>
  <c r="D1358" i="1"/>
  <c r="G1357" i="1"/>
  <c r="D1357" i="1"/>
  <c r="G1356" i="1"/>
  <c r="D1356" i="1"/>
  <c r="G1355" i="1"/>
  <c r="D1355" i="1"/>
  <c r="G1354" i="1"/>
  <c r="D1354" i="1"/>
  <c r="G1353" i="1"/>
  <c r="D1353" i="1"/>
  <c r="G1352" i="1"/>
  <c r="D1352" i="1"/>
  <c r="G1351" i="1"/>
  <c r="D1351" i="1"/>
  <c r="G1350" i="1"/>
  <c r="D1350" i="1"/>
  <c r="G1349" i="1"/>
  <c r="D1349" i="1"/>
  <c r="G1348" i="1"/>
  <c r="D1348" i="1"/>
  <c r="G1347" i="1"/>
  <c r="D1347" i="1"/>
  <c r="G1346" i="1"/>
  <c r="D1346" i="1"/>
  <c r="G1345" i="1"/>
  <c r="D1345" i="1"/>
  <c r="G1344" i="1"/>
  <c r="D1344" i="1"/>
  <c r="G1343" i="1"/>
  <c r="D1343" i="1"/>
  <c r="G1342" i="1"/>
  <c r="D1342" i="1"/>
  <c r="G1341" i="1"/>
  <c r="D1341" i="1"/>
  <c r="G1340" i="1"/>
  <c r="D1340" i="1"/>
  <c r="G1339" i="1"/>
  <c r="D1339" i="1"/>
  <c r="G1338" i="1"/>
  <c r="D1338" i="1"/>
  <c r="G1337" i="1"/>
  <c r="D1337" i="1"/>
  <c r="G1336" i="1"/>
  <c r="D1336" i="1"/>
  <c r="G1335" i="1"/>
  <c r="D1335" i="1"/>
  <c r="G1334" i="1"/>
  <c r="D1334" i="1"/>
  <c r="G1333" i="1"/>
  <c r="D1333" i="1"/>
  <c r="G1332" i="1"/>
  <c r="D1332" i="1"/>
  <c r="G1331" i="1"/>
  <c r="D1331" i="1"/>
  <c r="G1330" i="1"/>
  <c r="D1330" i="1"/>
  <c r="G1329" i="1"/>
  <c r="D1329" i="1"/>
  <c r="G1328" i="1"/>
  <c r="D1328" i="1"/>
  <c r="G1327" i="1"/>
  <c r="D1327" i="1"/>
  <c r="G1326" i="1"/>
  <c r="D1326" i="1"/>
  <c r="G1325" i="1"/>
  <c r="D1325" i="1"/>
  <c r="G1324" i="1"/>
  <c r="D1324" i="1"/>
  <c r="G1323" i="1"/>
  <c r="D1323" i="1"/>
  <c r="G1322" i="1"/>
  <c r="D1322" i="1"/>
  <c r="G1321" i="1"/>
  <c r="D1321" i="1"/>
  <c r="G1320" i="1"/>
  <c r="D1320" i="1"/>
  <c r="G1319" i="1"/>
  <c r="D1319" i="1"/>
  <c r="G1318" i="1"/>
  <c r="D1318" i="1"/>
  <c r="G1317" i="1"/>
  <c r="D1317" i="1"/>
  <c r="G1316" i="1"/>
  <c r="D1316" i="1"/>
  <c r="G1315" i="1"/>
  <c r="D1315" i="1"/>
  <c r="G1314" i="1"/>
  <c r="D1314" i="1"/>
  <c r="G1313" i="1"/>
  <c r="D1313" i="1"/>
  <c r="G1312" i="1"/>
  <c r="D1312" i="1"/>
  <c r="G1311" i="1"/>
  <c r="D1311" i="1"/>
  <c r="G1310" i="1"/>
  <c r="D1310" i="1"/>
  <c r="G1309" i="1"/>
  <c r="D1309" i="1"/>
  <c r="G1308" i="1"/>
  <c r="D1308" i="1"/>
  <c r="G1307" i="1"/>
  <c r="D1307" i="1"/>
  <c r="G1306" i="1"/>
  <c r="D1306" i="1"/>
  <c r="G1305" i="1"/>
  <c r="D1305" i="1"/>
  <c r="G1304" i="1"/>
  <c r="D1304" i="1"/>
  <c r="G1303" i="1"/>
  <c r="D1303" i="1"/>
  <c r="G1302" i="1"/>
  <c r="D1302" i="1"/>
  <c r="G1301" i="1"/>
  <c r="D1301" i="1"/>
  <c r="G1300" i="1"/>
  <c r="D1300" i="1"/>
  <c r="G1299" i="1"/>
  <c r="D1299" i="1"/>
  <c r="G1298" i="1"/>
  <c r="D1298" i="1"/>
  <c r="G1297" i="1"/>
  <c r="D1297" i="1"/>
  <c r="G1296" i="1"/>
  <c r="D1296" i="1"/>
  <c r="G1295" i="1"/>
  <c r="D1295" i="1"/>
  <c r="G1294" i="1"/>
  <c r="D1294" i="1"/>
  <c r="G1293" i="1"/>
  <c r="D1293" i="1"/>
  <c r="G1292" i="1"/>
  <c r="D1292" i="1"/>
  <c r="G1291" i="1"/>
  <c r="D1291" i="1"/>
  <c r="G1290" i="1"/>
  <c r="D1290" i="1"/>
  <c r="G1289" i="1"/>
  <c r="D1289" i="1"/>
  <c r="G1288" i="1"/>
  <c r="D1288" i="1"/>
  <c r="G1287" i="1"/>
  <c r="D1287" i="1"/>
  <c r="G1286" i="1"/>
  <c r="D1286" i="1"/>
  <c r="G1285" i="1"/>
  <c r="D1285" i="1"/>
  <c r="G1284" i="1"/>
  <c r="D1284" i="1"/>
  <c r="G1283" i="1"/>
  <c r="D1283" i="1"/>
  <c r="G1282" i="1"/>
  <c r="D1282" i="1"/>
  <c r="G1281" i="1"/>
  <c r="D1281" i="1"/>
  <c r="G1280" i="1"/>
  <c r="D1280" i="1"/>
  <c r="G1279" i="1"/>
  <c r="D1279" i="1"/>
  <c r="G1278" i="1"/>
  <c r="D1278" i="1"/>
  <c r="G1277" i="1"/>
  <c r="D1277" i="1"/>
  <c r="G1276" i="1"/>
  <c r="D1276" i="1"/>
  <c r="G1275" i="1"/>
  <c r="D1275" i="1"/>
  <c r="G1274" i="1"/>
  <c r="D1274" i="1"/>
  <c r="G1273" i="1"/>
  <c r="D1273" i="1"/>
  <c r="G1272" i="1"/>
  <c r="D1272" i="1"/>
  <c r="G1271" i="1"/>
  <c r="D1271" i="1"/>
  <c r="G1270" i="1"/>
  <c r="D1270" i="1"/>
  <c r="G1269" i="1"/>
  <c r="D1269" i="1"/>
  <c r="G1268" i="1"/>
  <c r="D1268" i="1"/>
  <c r="G1267" i="1"/>
  <c r="D1267" i="1"/>
  <c r="G1266" i="1"/>
  <c r="D1266" i="1"/>
  <c r="G1265" i="1"/>
  <c r="D1265" i="1"/>
  <c r="G1264" i="1"/>
  <c r="D1264" i="1"/>
  <c r="G1263" i="1"/>
  <c r="D1263" i="1"/>
  <c r="G1262" i="1"/>
  <c r="D1262" i="1"/>
  <c r="G1261" i="1"/>
  <c r="D1261" i="1"/>
  <c r="G1260" i="1"/>
  <c r="D1260" i="1"/>
  <c r="G1259" i="1"/>
  <c r="D1259" i="1"/>
  <c r="G1258" i="1"/>
  <c r="D1258" i="1"/>
  <c r="G1257" i="1"/>
  <c r="D1257" i="1"/>
  <c r="G1256" i="1"/>
  <c r="D1256" i="1"/>
  <c r="G1255" i="1"/>
  <c r="D1255" i="1"/>
  <c r="G1254" i="1"/>
  <c r="D1254" i="1"/>
  <c r="G1253" i="1"/>
  <c r="D1253" i="1"/>
  <c r="G1252" i="1"/>
  <c r="D1252" i="1"/>
  <c r="G1251" i="1"/>
  <c r="D1251" i="1"/>
  <c r="G1250" i="1"/>
  <c r="D1250" i="1"/>
  <c r="G1249" i="1"/>
  <c r="D1249" i="1"/>
  <c r="G1248" i="1"/>
  <c r="D1248" i="1"/>
  <c r="G1247" i="1"/>
  <c r="D1247" i="1"/>
  <c r="G1246" i="1"/>
  <c r="D1246" i="1"/>
  <c r="G1245" i="1"/>
  <c r="D1245" i="1"/>
  <c r="G1244" i="1"/>
  <c r="D1244" i="1"/>
  <c r="G1243" i="1"/>
  <c r="D1243" i="1"/>
  <c r="G1242" i="1"/>
  <c r="D1242" i="1"/>
  <c r="G1241" i="1"/>
  <c r="D1241" i="1"/>
  <c r="G1240" i="1"/>
  <c r="D1240" i="1"/>
  <c r="G1239" i="1"/>
  <c r="D1239" i="1"/>
  <c r="G1238" i="1"/>
  <c r="D1238" i="1"/>
  <c r="G1237" i="1"/>
  <c r="D1237" i="1"/>
  <c r="G1236" i="1"/>
  <c r="D1236" i="1"/>
  <c r="G1235" i="1"/>
  <c r="D1235" i="1"/>
  <c r="G1234" i="1"/>
  <c r="D1234" i="1"/>
  <c r="G1233" i="1"/>
  <c r="D1233" i="1"/>
  <c r="G1232" i="1"/>
  <c r="D1232" i="1"/>
  <c r="G1231" i="1"/>
  <c r="D1231" i="1"/>
  <c r="G1230" i="1"/>
  <c r="D1230" i="1"/>
  <c r="G1229" i="1"/>
  <c r="D1229" i="1"/>
  <c r="G1228" i="1"/>
  <c r="D1228" i="1"/>
  <c r="G1227" i="1"/>
  <c r="D1227" i="1"/>
  <c r="G1226" i="1"/>
  <c r="D1226" i="1"/>
  <c r="G1225" i="1"/>
  <c r="D1225" i="1"/>
  <c r="G1224" i="1"/>
  <c r="D1224" i="1"/>
  <c r="G1223" i="1"/>
  <c r="D1223" i="1"/>
  <c r="G1222" i="1"/>
  <c r="D1222" i="1"/>
  <c r="G1221" i="1"/>
  <c r="D1221" i="1"/>
  <c r="G1220" i="1"/>
  <c r="D1220" i="1"/>
  <c r="G1219" i="1"/>
  <c r="D1219" i="1"/>
  <c r="G1218" i="1"/>
  <c r="D1218" i="1"/>
  <c r="G1217" i="1"/>
  <c r="D1217" i="1"/>
  <c r="G1216" i="1"/>
  <c r="D1216" i="1"/>
  <c r="G1215" i="1"/>
  <c r="D1215" i="1"/>
  <c r="G1214" i="1"/>
  <c r="D1214" i="1"/>
  <c r="G1213" i="1"/>
  <c r="D1213" i="1"/>
  <c r="G1212" i="1"/>
  <c r="D1212" i="1"/>
  <c r="G1211" i="1"/>
  <c r="D1211" i="1"/>
  <c r="G1210" i="1"/>
  <c r="D1210" i="1"/>
  <c r="G1209" i="1"/>
  <c r="D1209" i="1"/>
  <c r="G1208" i="1"/>
  <c r="D1208" i="1"/>
  <c r="G1207" i="1"/>
  <c r="D1207" i="1"/>
  <c r="G1206" i="1"/>
  <c r="D1206" i="1"/>
  <c r="G1205" i="1"/>
  <c r="D1205" i="1"/>
  <c r="G1204" i="1"/>
  <c r="D1204" i="1"/>
  <c r="G1203" i="1"/>
  <c r="D1203" i="1"/>
  <c r="G1202" i="1"/>
  <c r="D1202" i="1"/>
  <c r="G1201" i="1"/>
  <c r="D1201" i="1"/>
  <c r="G1200" i="1"/>
  <c r="D1200" i="1"/>
  <c r="G1199" i="1"/>
  <c r="D1199" i="1"/>
  <c r="G1198" i="1"/>
  <c r="D1198" i="1"/>
  <c r="G1197" i="1"/>
  <c r="D1197" i="1"/>
  <c r="G1196" i="1"/>
  <c r="D1196" i="1"/>
  <c r="G1195" i="1"/>
  <c r="D1195" i="1"/>
  <c r="G1194" i="1"/>
  <c r="D1194" i="1"/>
  <c r="G1193" i="1"/>
  <c r="D1193" i="1"/>
  <c r="G1192" i="1"/>
  <c r="D1192" i="1"/>
  <c r="G1191" i="1"/>
  <c r="D1191" i="1"/>
  <c r="G1190" i="1"/>
  <c r="D1190" i="1"/>
  <c r="G1189" i="1"/>
  <c r="D1189" i="1"/>
  <c r="G1188" i="1"/>
  <c r="D1188" i="1"/>
  <c r="G1187" i="1"/>
  <c r="D1187" i="1"/>
  <c r="G1186" i="1"/>
  <c r="D1186" i="1"/>
  <c r="G1185" i="1"/>
  <c r="D1185" i="1"/>
  <c r="G1184" i="1"/>
  <c r="D1184" i="1"/>
  <c r="G1183" i="1"/>
  <c r="D1183" i="1"/>
  <c r="G1182" i="1"/>
  <c r="D1182" i="1"/>
  <c r="G1181" i="1"/>
  <c r="D1181" i="1"/>
  <c r="G1180" i="1"/>
  <c r="D1180" i="1"/>
  <c r="G1179" i="1"/>
  <c r="D1179" i="1"/>
  <c r="G1178" i="1"/>
  <c r="D1178" i="1"/>
  <c r="G1177" i="1"/>
  <c r="D1177" i="1"/>
  <c r="G1176" i="1"/>
  <c r="D1176" i="1"/>
  <c r="G1175" i="1"/>
  <c r="D1175" i="1"/>
  <c r="G1174" i="1"/>
  <c r="D1174" i="1"/>
  <c r="G1173" i="1"/>
  <c r="D1173" i="1"/>
  <c r="G1172" i="1"/>
  <c r="D1172" i="1"/>
  <c r="G1171" i="1"/>
  <c r="D1171" i="1"/>
  <c r="G1170" i="1"/>
  <c r="D1170" i="1"/>
  <c r="G1169" i="1"/>
  <c r="D1169" i="1"/>
  <c r="G1168" i="1"/>
  <c r="D1168" i="1"/>
  <c r="G1167" i="1"/>
  <c r="D1167" i="1"/>
  <c r="G1166" i="1"/>
  <c r="D1166" i="1"/>
  <c r="G1165" i="1"/>
  <c r="D1165" i="1"/>
  <c r="G1164" i="1"/>
  <c r="D1164" i="1"/>
  <c r="G1163" i="1"/>
  <c r="D1163" i="1"/>
  <c r="G1162" i="1"/>
  <c r="D1162" i="1"/>
  <c r="G1161" i="1"/>
  <c r="D1161" i="1"/>
  <c r="G1160" i="1"/>
  <c r="D1160" i="1"/>
  <c r="G1159" i="1"/>
  <c r="D1159" i="1"/>
  <c r="G1158" i="1"/>
  <c r="D1158" i="1"/>
  <c r="G1157" i="1"/>
  <c r="D1157" i="1"/>
  <c r="G1156" i="1"/>
  <c r="D1156" i="1"/>
  <c r="G1155" i="1"/>
  <c r="D1155" i="1"/>
  <c r="G1154" i="1"/>
  <c r="D1154" i="1"/>
  <c r="G1153" i="1"/>
  <c r="D1153" i="1"/>
  <c r="G1152" i="1"/>
  <c r="D1152" i="1"/>
  <c r="G1151" i="1"/>
  <c r="D1151" i="1"/>
  <c r="G1150" i="1"/>
  <c r="D1150" i="1"/>
  <c r="G1149" i="1"/>
  <c r="D1149" i="1"/>
  <c r="G1148" i="1"/>
  <c r="D1148" i="1"/>
  <c r="G1147" i="1"/>
  <c r="D1147" i="1"/>
  <c r="G1146" i="1"/>
  <c r="D1146" i="1"/>
  <c r="G1145" i="1"/>
  <c r="D1145" i="1"/>
  <c r="G1144" i="1"/>
  <c r="D1144" i="1"/>
  <c r="G1143" i="1"/>
  <c r="D1143" i="1"/>
  <c r="G1142" i="1"/>
  <c r="D1142" i="1"/>
  <c r="G1141" i="1"/>
  <c r="D1141" i="1"/>
  <c r="G1140" i="1"/>
  <c r="D1140" i="1"/>
  <c r="G1139" i="1"/>
  <c r="D1139" i="1"/>
  <c r="G1138" i="1"/>
  <c r="D1138" i="1"/>
  <c r="G1137" i="1"/>
  <c r="D1137" i="1"/>
  <c r="G1136" i="1"/>
  <c r="D1136" i="1"/>
  <c r="G1135" i="1"/>
  <c r="D1135" i="1"/>
  <c r="G1134" i="1"/>
  <c r="D1134" i="1"/>
  <c r="G1133" i="1"/>
  <c r="D1133" i="1"/>
  <c r="G1132" i="1"/>
  <c r="D1132" i="1"/>
  <c r="G1131" i="1"/>
  <c r="D1131" i="1"/>
  <c r="G1130" i="1"/>
  <c r="D1130" i="1"/>
  <c r="G1129" i="1"/>
  <c r="D1129" i="1"/>
  <c r="G1128" i="1"/>
  <c r="D1128" i="1"/>
  <c r="G1127" i="1"/>
  <c r="D1127" i="1"/>
  <c r="G1126" i="1"/>
  <c r="D1126" i="1"/>
  <c r="G1125" i="1"/>
  <c r="D1125" i="1"/>
  <c r="G1124" i="1"/>
  <c r="D1124" i="1"/>
  <c r="G1123" i="1"/>
  <c r="D1123" i="1"/>
  <c r="G1122" i="1"/>
  <c r="D1122" i="1"/>
  <c r="G1121" i="1"/>
  <c r="D1121" i="1"/>
  <c r="G1120" i="1"/>
  <c r="D1120" i="1"/>
  <c r="G1119" i="1"/>
  <c r="D1119" i="1"/>
  <c r="G1118" i="1"/>
  <c r="D1118" i="1"/>
  <c r="G1117" i="1"/>
  <c r="D1117" i="1"/>
  <c r="G1116" i="1"/>
  <c r="D1116" i="1"/>
  <c r="G1115" i="1"/>
  <c r="D1115" i="1"/>
  <c r="G1114" i="1"/>
  <c r="D1114" i="1"/>
  <c r="G1113" i="1"/>
  <c r="D1113" i="1"/>
  <c r="G1112" i="1"/>
  <c r="D1112" i="1"/>
  <c r="G1111" i="1"/>
  <c r="D1111" i="1"/>
  <c r="G1110" i="1"/>
  <c r="D1110" i="1"/>
  <c r="G1109" i="1"/>
  <c r="D1109" i="1"/>
  <c r="G1108" i="1"/>
  <c r="D1108" i="1"/>
  <c r="G1107" i="1"/>
  <c r="D1107" i="1"/>
  <c r="G1106" i="1"/>
  <c r="D1106" i="1"/>
  <c r="G1105" i="1"/>
  <c r="D1105" i="1"/>
  <c r="G1104" i="1"/>
  <c r="D1104" i="1"/>
  <c r="G1103" i="1"/>
  <c r="D1103" i="1"/>
  <c r="G1102" i="1"/>
  <c r="D1102" i="1"/>
  <c r="G1101" i="1"/>
  <c r="D1101" i="1"/>
  <c r="G1100" i="1"/>
  <c r="D1100" i="1"/>
  <c r="G1099" i="1"/>
  <c r="D1099" i="1"/>
  <c r="G1098" i="1"/>
  <c r="D1098" i="1"/>
  <c r="G1097" i="1"/>
  <c r="D1097" i="1"/>
  <c r="G1096" i="1"/>
  <c r="D1096" i="1"/>
  <c r="G1095" i="1"/>
  <c r="D1095" i="1"/>
  <c r="G1094" i="1"/>
  <c r="D1094" i="1"/>
  <c r="G1093" i="1"/>
  <c r="D1093" i="1"/>
  <c r="G1092" i="1"/>
  <c r="D1092" i="1"/>
  <c r="G1091" i="1"/>
  <c r="D1091" i="1"/>
  <c r="G1090" i="1"/>
  <c r="D1090" i="1"/>
  <c r="G1089" i="1"/>
  <c r="D1089" i="1"/>
  <c r="G1088" i="1"/>
  <c r="D1088" i="1"/>
  <c r="G1087" i="1"/>
  <c r="D1087" i="1"/>
  <c r="G1086" i="1"/>
  <c r="D1086" i="1"/>
  <c r="G1085" i="1"/>
  <c r="D1085" i="1"/>
  <c r="G1084" i="1"/>
  <c r="D1084" i="1"/>
  <c r="G1083" i="1"/>
  <c r="D1083" i="1"/>
  <c r="G1082" i="1"/>
  <c r="D1082" i="1"/>
  <c r="G1081" i="1"/>
  <c r="D1081" i="1"/>
  <c r="G1080" i="1"/>
  <c r="D1080" i="1"/>
  <c r="G1079" i="1"/>
  <c r="D1079" i="1"/>
  <c r="G1078" i="1"/>
  <c r="D1078" i="1"/>
  <c r="G1077" i="1"/>
  <c r="D1077" i="1"/>
  <c r="G1076" i="1"/>
  <c r="D1076" i="1"/>
  <c r="G1075" i="1"/>
  <c r="D1075" i="1"/>
  <c r="G1074" i="1"/>
  <c r="D1074" i="1"/>
  <c r="G1073" i="1"/>
  <c r="D1073" i="1"/>
  <c r="G1072" i="1"/>
  <c r="D1072" i="1"/>
  <c r="G1071" i="1"/>
  <c r="D1071" i="1"/>
  <c r="G1070" i="1"/>
  <c r="D1070" i="1"/>
  <c r="G1069" i="1"/>
  <c r="D1069" i="1"/>
  <c r="G1068" i="1"/>
  <c r="D1068" i="1"/>
  <c r="G1067" i="1"/>
  <c r="D1067" i="1"/>
  <c r="G1066" i="1"/>
  <c r="D1066" i="1"/>
  <c r="G1065" i="1"/>
  <c r="D1065" i="1"/>
  <c r="G1064" i="1"/>
  <c r="D1064" i="1"/>
  <c r="G1063" i="1"/>
  <c r="D1063" i="1"/>
  <c r="G1062" i="1"/>
  <c r="D1062" i="1"/>
  <c r="G1061" i="1"/>
  <c r="D1061" i="1"/>
  <c r="G1060" i="1"/>
  <c r="D1060" i="1"/>
  <c r="G1059" i="1"/>
  <c r="D1059" i="1"/>
  <c r="G1058" i="1"/>
  <c r="D1058" i="1"/>
  <c r="G1057" i="1"/>
  <c r="D1057" i="1"/>
  <c r="G1056" i="1"/>
  <c r="D1056" i="1"/>
  <c r="G1055" i="1"/>
  <c r="D1055" i="1"/>
  <c r="G1054" i="1"/>
  <c r="D1054" i="1"/>
  <c r="G1053" i="1"/>
  <c r="D1053" i="1"/>
  <c r="G1052" i="1"/>
  <c r="D1052" i="1"/>
  <c r="G1051" i="1"/>
  <c r="D1051" i="1"/>
  <c r="G1050" i="1"/>
  <c r="D1050" i="1"/>
  <c r="G1049" i="1"/>
  <c r="D1049" i="1"/>
  <c r="G1048" i="1"/>
  <c r="D1048" i="1"/>
  <c r="G1047" i="1"/>
  <c r="D1047" i="1"/>
  <c r="G1046" i="1"/>
  <c r="D1046" i="1"/>
  <c r="G1045" i="1"/>
  <c r="D1045" i="1"/>
  <c r="G1044" i="1"/>
  <c r="D1044" i="1"/>
  <c r="G1043" i="1"/>
  <c r="D1043" i="1"/>
  <c r="G1042" i="1"/>
  <c r="D1042" i="1"/>
  <c r="G1041" i="1"/>
  <c r="D1041" i="1"/>
  <c r="G1040" i="1"/>
  <c r="D1040" i="1"/>
  <c r="G1039" i="1"/>
  <c r="D1039" i="1"/>
  <c r="G1038" i="1"/>
  <c r="D1038" i="1"/>
  <c r="G1037" i="1"/>
  <c r="D1037" i="1"/>
  <c r="G1036" i="1"/>
  <c r="D1036" i="1"/>
  <c r="G1035" i="1"/>
  <c r="D1035" i="1"/>
  <c r="G1034" i="1"/>
  <c r="D1034" i="1"/>
  <c r="G1033" i="1"/>
  <c r="D1033" i="1"/>
  <c r="G1032" i="1"/>
  <c r="D1032" i="1"/>
  <c r="G1031" i="1"/>
  <c r="D1031" i="1"/>
  <c r="G1030" i="1"/>
  <c r="D1030" i="1"/>
  <c r="G1029" i="1"/>
  <c r="D1029" i="1"/>
  <c r="G1028" i="1"/>
  <c r="D1028" i="1"/>
  <c r="G1027" i="1"/>
  <c r="D1027" i="1"/>
  <c r="G1026" i="1"/>
  <c r="D1026" i="1"/>
  <c r="G1025" i="1"/>
  <c r="D1025" i="1"/>
  <c r="G1024" i="1"/>
  <c r="D1024" i="1"/>
  <c r="G1023" i="1"/>
  <c r="D1023" i="1"/>
  <c r="G1022" i="1"/>
  <c r="D1022" i="1"/>
  <c r="G1021" i="1"/>
  <c r="D1021" i="1"/>
  <c r="G1020" i="1"/>
  <c r="D1020" i="1"/>
  <c r="G1019" i="1"/>
  <c r="D1019" i="1"/>
  <c r="G1018" i="1"/>
  <c r="D1018" i="1"/>
  <c r="G1017" i="1"/>
  <c r="D1017" i="1"/>
  <c r="G1016" i="1"/>
  <c r="D1016" i="1"/>
  <c r="G1015" i="1"/>
  <c r="D1015" i="1"/>
  <c r="G1014" i="1"/>
  <c r="D1014" i="1"/>
  <c r="G1013" i="1"/>
  <c r="D1013" i="1"/>
  <c r="G1012" i="1"/>
  <c r="D1012" i="1"/>
  <c r="G1011" i="1"/>
  <c r="D1011" i="1"/>
  <c r="G1010" i="1"/>
  <c r="D1010" i="1"/>
  <c r="G1009" i="1"/>
  <c r="D1009" i="1"/>
  <c r="G1008" i="1"/>
  <c r="D1008" i="1"/>
  <c r="G1007" i="1"/>
  <c r="D1007" i="1"/>
  <c r="G1006" i="1"/>
  <c r="D1006" i="1"/>
  <c r="G1005" i="1"/>
  <c r="D1005" i="1"/>
  <c r="G1004" i="1"/>
  <c r="D1004" i="1"/>
  <c r="G1003" i="1"/>
  <c r="D1003" i="1"/>
  <c r="G1002" i="1"/>
  <c r="D1002" i="1"/>
  <c r="G1001" i="1"/>
  <c r="D1001" i="1"/>
  <c r="G1000" i="1"/>
  <c r="D1000" i="1"/>
  <c r="G999" i="1"/>
  <c r="D999" i="1"/>
  <c r="G998" i="1"/>
  <c r="D998" i="1"/>
  <c r="G997" i="1"/>
  <c r="D997" i="1"/>
  <c r="G996" i="1"/>
  <c r="D996" i="1"/>
  <c r="G995" i="1"/>
  <c r="D995" i="1"/>
  <c r="G994" i="1"/>
  <c r="D994" i="1"/>
  <c r="G993" i="1"/>
  <c r="D993" i="1"/>
  <c r="G992" i="1"/>
  <c r="D992" i="1"/>
  <c r="G991" i="1"/>
  <c r="D991" i="1"/>
  <c r="G990" i="1"/>
  <c r="D990" i="1"/>
  <c r="G989" i="1"/>
  <c r="D989" i="1"/>
  <c r="G988" i="1"/>
  <c r="D988" i="1"/>
  <c r="G987" i="1"/>
  <c r="D987" i="1"/>
  <c r="G986" i="1"/>
  <c r="D986" i="1"/>
  <c r="G985" i="1"/>
  <c r="D985" i="1"/>
  <c r="G984" i="1"/>
  <c r="D984" i="1"/>
  <c r="G983" i="1"/>
  <c r="D983" i="1"/>
  <c r="G982" i="1"/>
  <c r="D982" i="1"/>
  <c r="G981" i="1"/>
  <c r="D981" i="1"/>
  <c r="G980" i="1"/>
  <c r="D980" i="1"/>
  <c r="G979" i="1"/>
  <c r="D979" i="1"/>
  <c r="G978" i="1"/>
  <c r="D978" i="1"/>
  <c r="G977" i="1"/>
  <c r="D977" i="1"/>
  <c r="G976" i="1"/>
  <c r="D976" i="1"/>
  <c r="G975" i="1"/>
  <c r="D975" i="1"/>
  <c r="G974" i="1"/>
  <c r="D974" i="1"/>
  <c r="G973" i="1"/>
  <c r="D973" i="1"/>
  <c r="G972" i="1"/>
  <c r="D972" i="1"/>
  <c r="G971" i="1"/>
  <c r="D971" i="1"/>
  <c r="G970" i="1"/>
  <c r="D970" i="1"/>
  <c r="G969" i="1"/>
  <c r="D969" i="1"/>
  <c r="G968" i="1"/>
  <c r="D968" i="1"/>
  <c r="G967" i="1"/>
  <c r="D967" i="1"/>
  <c r="G966" i="1"/>
  <c r="D966" i="1"/>
  <c r="G965" i="1"/>
  <c r="D965" i="1"/>
  <c r="G964" i="1"/>
  <c r="D964" i="1"/>
  <c r="G963" i="1"/>
  <c r="D963" i="1"/>
  <c r="G962" i="1"/>
  <c r="D962" i="1"/>
  <c r="G961" i="1"/>
  <c r="D961" i="1"/>
  <c r="G960" i="1"/>
  <c r="D960" i="1"/>
  <c r="G959" i="1"/>
  <c r="D959" i="1"/>
  <c r="G958" i="1"/>
  <c r="D958" i="1"/>
  <c r="G957" i="1"/>
  <c r="D957" i="1"/>
  <c r="G956" i="1"/>
  <c r="D956" i="1"/>
  <c r="G955" i="1"/>
  <c r="D955" i="1"/>
  <c r="G954" i="1"/>
  <c r="D954" i="1"/>
  <c r="G953" i="1"/>
  <c r="D953" i="1"/>
  <c r="G952" i="1"/>
  <c r="D952" i="1"/>
  <c r="G951" i="1"/>
  <c r="D951" i="1"/>
  <c r="G950" i="1"/>
  <c r="D950" i="1"/>
  <c r="G949" i="1"/>
  <c r="D949" i="1"/>
  <c r="G948" i="1"/>
  <c r="D948" i="1"/>
  <c r="G947" i="1"/>
  <c r="D947" i="1"/>
  <c r="G946" i="1"/>
  <c r="D946" i="1"/>
  <c r="G945" i="1"/>
  <c r="D945" i="1"/>
  <c r="G944" i="1"/>
  <c r="D944" i="1"/>
  <c r="G943" i="1"/>
  <c r="D943" i="1"/>
  <c r="G942" i="1"/>
  <c r="D942" i="1"/>
  <c r="G941" i="1"/>
  <c r="D941" i="1"/>
  <c r="G940" i="1"/>
  <c r="D940" i="1"/>
  <c r="G939" i="1"/>
  <c r="D939" i="1"/>
  <c r="G938" i="1"/>
  <c r="D938" i="1"/>
  <c r="G937" i="1"/>
  <c r="D937" i="1"/>
  <c r="G936" i="1"/>
  <c r="D936" i="1"/>
  <c r="G935" i="1"/>
  <c r="D935" i="1"/>
  <c r="G934" i="1"/>
  <c r="D934" i="1"/>
  <c r="G933" i="1"/>
  <c r="D933" i="1"/>
  <c r="G932" i="1"/>
  <c r="D932" i="1"/>
  <c r="G931" i="1"/>
  <c r="D931" i="1"/>
  <c r="G930" i="1"/>
  <c r="D930" i="1"/>
  <c r="G929" i="1"/>
  <c r="D929" i="1"/>
  <c r="G928" i="1"/>
  <c r="D928" i="1"/>
  <c r="G927" i="1"/>
  <c r="D927" i="1"/>
  <c r="G926" i="1"/>
  <c r="D926" i="1"/>
  <c r="G925" i="1"/>
  <c r="D925" i="1"/>
  <c r="G924" i="1"/>
  <c r="D924" i="1"/>
  <c r="G923" i="1"/>
  <c r="D923" i="1"/>
  <c r="G922" i="1"/>
  <c r="D922" i="1"/>
  <c r="G921" i="1"/>
  <c r="D921" i="1"/>
  <c r="G920" i="1"/>
  <c r="D920" i="1"/>
  <c r="G919" i="1"/>
  <c r="D919" i="1"/>
  <c r="G918" i="1"/>
  <c r="D918" i="1"/>
  <c r="G917" i="1"/>
  <c r="D917" i="1"/>
  <c r="G916" i="1"/>
  <c r="D916" i="1"/>
  <c r="G915" i="1"/>
  <c r="D915" i="1"/>
  <c r="G914" i="1"/>
  <c r="D914" i="1"/>
  <c r="G913" i="1"/>
  <c r="D913" i="1"/>
  <c r="G912" i="1"/>
  <c r="D912" i="1"/>
  <c r="G911" i="1"/>
  <c r="D911" i="1"/>
  <c r="G910" i="1"/>
  <c r="D910" i="1"/>
  <c r="G909" i="1"/>
  <c r="D909" i="1"/>
  <c r="G908" i="1"/>
  <c r="D908" i="1"/>
  <c r="G907" i="1"/>
  <c r="D907" i="1"/>
  <c r="G906" i="1"/>
  <c r="D906" i="1"/>
  <c r="G905" i="1"/>
  <c r="D905" i="1"/>
  <c r="G904" i="1"/>
  <c r="D904" i="1"/>
  <c r="G903" i="1"/>
  <c r="D903" i="1"/>
  <c r="G902" i="1"/>
  <c r="D902" i="1"/>
  <c r="G901" i="1"/>
  <c r="D901" i="1"/>
  <c r="G900" i="1"/>
  <c r="D900" i="1"/>
  <c r="G899" i="1"/>
  <c r="D899" i="1"/>
  <c r="G898" i="1"/>
  <c r="D898" i="1"/>
  <c r="G897" i="1"/>
  <c r="D897" i="1"/>
  <c r="G896" i="1"/>
  <c r="D896" i="1"/>
  <c r="G895" i="1"/>
  <c r="D895" i="1"/>
  <c r="G894" i="1"/>
  <c r="D894" i="1"/>
  <c r="G893" i="1"/>
  <c r="D893" i="1"/>
  <c r="G892" i="1"/>
  <c r="D892" i="1"/>
  <c r="G891" i="1"/>
  <c r="D891" i="1"/>
  <c r="G890" i="1"/>
  <c r="D890" i="1"/>
  <c r="G889" i="1"/>
  <c r="D889" i="1"/>
  <c r="G888" i="1"/>
  <c r="D888" i="1"/>
  <c r="G887" i="1"/>
  <c r="D887" i="1"/>
  <c r="G886" i="1"/>
  <c r="D886" i="1"/>
  <c r="G885" i="1"/>
  <c r="D885" i="1"/>
  <c r="G884" i="1"/>
  <c r="D884" i="1"/>
  <c r="G883" i="1"/>
  <c r="D883" i="1"/>
  <c r="G882" i="1"/>
  <c r="D882" i="1"/>
  <c r="G881" i="1"/>
  <c r="D881" i="1"/>
  <c r="G880" i="1"/>
  <c r="D880" i="1"/>
  <c r="G879" i="1"/>
  <c r="D879" i="1"/>
  <c r="G878" i="1"/>
  <c r="D878" i="1"/>
  <c r="G877" i="1"/>
  <c r="D877" i="1"/>
  <c r="G876" i="1"/>
  <c r="D876" i="1"/>
  <c r="G875" i="1"/>
  <c r="D875" i="1"/>
  <c r="G874" i="1"/>
  <c r="D874" i="1"/>
  <c r="G873" i="1"/>
  <c r="D873" i="1"/>
  <c r="G872" i="1"/>
  <c r="D872" i="1"/>
  <c r="G871" i="1"/>
  <c r="D871" i="1"/>
  <c r="G870" i="1"/>
  <c r="D870" i="1"/>
  <c r="G869" i="1"/>
  <c r="D869" i="1"/>
  <c r="G868" i="1"/>
  <c r="D868" i="1"/>
  <c r="G867" i="1"/>
  <c r="D867" i="1"/>
  <c r="G866" i="1"/>
  <c r="D866" i="1"/>
  <c r="G865" i="1"/>
  <c r="D865" i="1"/>
  <c r="G864" i="1"/>
  <c r="D864" i="1"/>
  <c r="G863" i="1"/>
  <c r="D863" i="1"/>
  <c r="G862" i="1"/>
  <c r="D862" i="1"/>
  <c r="G861" i="1"/>
  <c r="D861" i="1"/>
  <c r="G860" i="1"/>
  <c r="D860" i="1"/>
  <c r="G859" i="1"/>
  <c r="D859" i="1"/>
  <c r="G858" i="1"/>
  <c r="D858" i="1"/>
  <c r="G857" i="1"/>
  <c r="D857" i="1"/>
  <c r="G856" i="1"/>
  <c r="D856" i="1"/>
  <c r="G855" i="1"/>
  <c r="D855" i="1"/>
  <c r="G854" i="1"/>
  <c r="D854" i="1"/>
  <c r="G853" i="1"/>
  <c r="D853" i="1"/>
  <c r="G852" i="1"/>
  <c r="D852" i="1"/>
  <c r="G851" i="1"/>
  <c r="D851" i="1"/>
  <c r="G850" i="1"/>
  <c r="D850" i="1"/>
  <c r="G849" i="1"/>
  <c r="D849" i="1"/>
  <c r="G848" i="1"/>
  <c r="D848" i="1"/>
  <c r="G847" i="1"/>
  <c r="D847" i="1"/>
  <c r="G846" i="1"/>
  <c r="D846" i="1"/>
  <c r="G845" i="1"/>
  <c r="D845" i="1"/>
  <c r="G844" i="1"/>
  <c r="D844" i="1"/>
  <c r="G843" i="1"/>
  <c r="D843" i="1"/>
  <c r="G842" i="1"/>
  <c r="D842" i="1"/>
  <c r="G841" i="1"/>
  <c r="D841" i="1"/>
  <c r="G840" i="1"/>
  <c r="D840" i="1"/>
  <c r="G839" i="1"/>
  <c r="D839" i="1"/>
  <c r="G838" i="1"/>
  <c r="D838" i="1"/>
  <c r="G837" i="1"/>
  <c r="D837" i="1"/>
  <c r="G836" i="1"/>
  <c r="D836" i="1"/>
  <c r="G835" i="1"/>
  <c r="D835" i="1"/>
  <c r="G834" i="1"/>
  <c r="D834" i="1"/>
  <c r="G833" i="1"/>
  <c r="D833" i="1"/>
  <c r="G832" i="1"/>
  <c r="D832" i="1"/>
  <c r="G831" i="1"/>
  <c r="D831" i="1"/>
  <c r="G830" i="1"/>
  <c r="D830" i="1"/>
  <c r="G829" i="1"/>
  <c r="D829" i="1"/>
  <c r="G828" i="1"/>
  <c r="D828" i="1"/>
  <c r="G827" i="1"/>
  <c r="D827" i="1"/>
  <c r="G826" i="1"/>
  <c r="D826" i="1"/>
  <c r="G825" i="1"/>
  <c r="D825" i="1"/>
  <c r="G824" i="1"/>
  <c r="D824" i="1"/>
  <c r="G823" i="1"/>
  <c r="D823" i="1"/>
  <c r="G822" i="1"/>
  <c r="D822" i="1"/>
  <c r="G821" i="1"/>
  <c r="D821" i="1"/>
  <c r="G820" i="1"/>
  <c r="D820" i="1"/>
  <c r="G819" i="1"/>
  <c r="D819" i="1"/>
  <c r="G818" i="1"/>
  <c r="D818" i="1"/>
  <c r="G817" i="1"/>
  <c r="D817" i="1"/>
  <c r="G816" i="1"/>
  <c r="D816" i="1"/>
  <c r="G815" i="1"/>
  <c r="D815" i="1"/>
  <c r="G814" i="1"/>
  <c r="D814" i="1"/>
  <c r="G813" i="1"/>
  <c r="D813" i="1"/>
  <c r="G812" i="1"/>
  <c r="D812" i="1"/>
  <c r="G811" i="1"/>
  <c r="D811" i="1"/>
  <c r="G810" i="1"/>
  <c r="D810" i="1"/>
  <c r="G809" i="1"/>
  <c r="D809" i="1"/>
  <c r="G808" i="1"/>
  <c r="D808" i="1"/>
  <c r="G807" i="1"/>
  <c r="D807" i="1"/>
  <c r="G806" i="1"/>
  <c r="D806" i="1"/>
  <c r="G805" i="1"/>
  <c r="D805" i="1"/>
  <c r="G804" i="1"/>
  <c r="D804" i="1"/>
  <c r="G803" i="1"/>
  <c r="D803" i="1"/>
  <c r="G802" i="1"/>
  <c r="D802" i="1"/>
  <c r="G801" i="1"/>
  <c r="D801" i="1"/>
  <c r="G800" i="1"/>
  <c r="D800" i="1"/>
  <c r="G799" i="1"/>
  <c r="D799" i="1"/>
  <c r="G798" i="1"/>
  <c r="D798" i="1"/>
  <c r="G797" i="1"/>
  <c r="D797" i="1"/>
  <c r="G796" i="1"/>
  <c r="D796" i="1"/>
  <c r="G795" i="1"/>
  <c r="D795" i="1"/>
  <c r="G794" i="1"/>
  <c r="D794" i="1"/>
  <c r="G793" i="1"/>
  <c r="D793" i="1"/>
  <c r="G792" i="1"/>
  <c r="D792" i="1"/>
  <c r="G791" i="1"/>
  <c r="D791" i="1"/>
  <c r="G790" i="1"/>
  <c r="D790" i="1"/>
  <c r="G789" i="1"/>
  <c r="D789" i="1"/>
  <c r="G788" i="1"/>
  <c r="D788" i="1"/>
  <c r="G787" i="1"/>
  <c r="D787" i="1"/>
  <c r="G786" i="1"/>
  <c r="D786" i="1"/>
  <c r="G785" i="1"/>
  <c r="D785" i="1"/>
  <c r="G784" i="1"/>
  <c r="D784" i="1"/>
  <c r="G783" i="1"/>
  <c r="D783" i="1"/>
  <c r="G782" i="1"/>
  <c r="D782" i="1"/>
  <c r="G781" i="1"/>
  <c r="D781" i="1"/>
  <c r="G780" i="1"/>
  <c r="D780" i="1"/>
  <c r="G779" i="1"/>
  <c r="D779" i="1"/>
  <c r="G778" i="1"/>
  <c r="D778" i="1"/>
  <c r="G777" i="1"/>
  <c r="D777" i="1"/>
  <c r="G776" i="1"/>
  <c r="D776" i="1"/>
  <c r="G775" i="1"/>
  <c r="D775" i="1"/>
  <c r="G774" i="1"/>
  <c r="D774" i="1"/>
  <c r="G773" i="1"/>
  <c r="D773" i="1"/>
  <c r="G772" i="1"/>
  <c r="D772" i="1"/>
  <c r="G771" i="1"/>
  <c r="D771" i="1"/>
  <c r="G770" i="1"/>
  <c r="D770" i="1"/>
  <c r="G769" i="1"/>
  <c r="D769" i="1"/>
  <c r="G768" i="1"/>
  <c r="D768" i="1"/>
  <c r="G767" i="1"/>
  <c r="D767" i="1"/>
  <c r="G766" i="1"/>
  <c r="D766" i="1"/>
  <c r="G765" i="1"/>
  <c r="D765" i="1"/>
  <c r="G764" i="1"/>
  <c r="D764" i="1"/>
  <c r="G763" i="1"/>
  <c r="D763" i="1"/>
  <c r="G762" i="1"/>
  <c r="D762" i="1"/>
  <c r="G761" i="1"/>
  <c r="D761" i="1"/>
  <c r="G760" i="1"/>
  <c r="D760" i="1"/>
  <c r="G759" i="1"/>
  <c r="D759" i="1"/>
  <c r="G758" i="1"/>
  <c r="D758" i="1"/>
  <c r="G757" i="1"/>
  <c r="D757" i="1"/>
  <c r="G756" i="1"/>
  <c r="D756" i="1"/>
  <c r="G755" i="1"/>
  <c r="D755" i="1"/>
  <c r="G754" i="1"/>
  <c r="D754" i="1"/>
  <c r="G753" i="1"/>
  <c r="D753" i="1"/>
  <c r="G752" i="1"/>
  <c r="D752" i="1"/>
  <c r="G751" i="1"/>
  <c r="D751" i="1"/>
  <c r="G750" i="1"/>
  <c r="D750" i="1"/>
  <c r="G749" i="1"/>
  <c r="D749" i="1"/>
  <c r="G748" i="1"/>
  <c r="D748" i="1"/>
  <c r="G747" i="1"/>
  <c r="D747" i="1"/>
  <c r="G746" i="1"/>
  <c r="D746" i="1"/>
  <c r="G745" i="1"/>
  <c r="D745" i="1"/>
  <c r="G744" i="1"/>
  <c r="D744" i="1"/>
  <c r="G743" i="1"/>
  <c r="D743" i="1"/>
  <c r="G742" i="1"/>
  <c r="D742" i="1"/>
  <c r="G741" i="1"/>
  <c r="D741" i="1"/>
  <c r="G740" i="1"/>
  <c r="D740" i="1"/>
  <c r="G739" i="1"/>
  <c r="D739" i="1"/>
  <c r="G738" i="1"/>
  <c r="D738" i="1"/>
  <c r="G737" i="1"/>
  <c r="D737" i="1"/>
  <c r="G736" i="1"/>
  <c r="D736" i="1"/>
  <c r="G735" i="1"/>
  <c r="D735" i="1"/>
  <c r="G734" i="1"/>
  <c r="D734" i="1"/>
  <c r="G733" i="1"/>
  <c r="D733" i="1"/>
  <c r="G732" i="1"/>
  <c r="D732" i="1"/>
  <c r="G731" i="1"/>
  <c r="D731" i="1"/>
  <c r="G730" i="1"/>
  <c r="D730" i="1"/>
  <c r="G729" i="1"/>
  <c r="D729" i="1"/>
  <c r="G728" i="1"/>
  <c r="D728" i="1"/>
  <c r="G727" i="1"/>
  <c r="D727" i="1"/>
  <c r="G726" i="1"/>
  <c r="D726" i="1"/>
  <c r="G725" i="1"/>
  <c r="D725" i="1"/>
  <c r="G724" i="1"/>
  <c r="D724" i="1"/>
  <c r="G723" i="1"/>
  <c r="D723" i="1"/>
  <c r="G722" i="1"/>
  <c r="D722" i="1"/>
  <c r="G721" i="1"/>
  <c r="D721" i="1"/>
  <c r="G720" i="1"/>
  <c r="D720" i="1"/>
  <c r="G719" i="1"/>
  <c r="D719" i="1"/>
  <c r="G718" i="1"/>
  <c r="D718" i="1"/>
  <c r="G717" i="1"/>
  <c r="D717" i="1"/>
  <c r="G716" i="1"/>
  <c r="D716" i="1"/>
  <c r="G715" i="1"/>
  <c r="D715" i="1"/>
  <c r="G714" i="1"/>
  <c r="D714" i="1"/>
  <c r="G713" i="1"/>
  <c r="D713" i="1"/>
  <c r="G712" i="1"/>
  <c r="D712" i="1"/>
  <c r="G711" i="1"/>
  <c r="D711" i="1"/>
  <c r="G710" i="1"/>
  <c r="D710" i="1"/>
  <c r="G709" i="1"/>
  <c r="D709" i="1"/>
  <c r="G708" i="1"/>
  <c r="D708" i="1"/>
  <c r="G707" i="1"/>
  <c r="D707" i="1"/>
  <c r="G706" i="1"/>
  <c r="D706" i="1"/>
  <c r="G705" i="1"/>
  <c r="D705" i="1"/>
  <c r="G704" i="1"/>
  <c r="D704" i="1"/>
  <c r="G703" i="1"/>
  <c r="D703" i="1"/>
  <c r="G702" i="1"/>
  <c r="D702" i="1"/>
  <c r="G701" i="1"/>
  <c r="D701" i="1"/>
  <c r="G700" i="1"/>
  <c r="D700" i="1"/>
  <c r="G699" i="1"/>
  <c r="D699" i="1"/>
  <c r="G698" i="1"/>
  <c r="D698" i="1"/>
  <c r="G697" i="1"/>
  <c r="D697" i="1"/>
  <c r="G696" i="1"/>
  <c r="D696" i="1"/>
  <c r="G695" i="1"/>
  <c r="D695" i="1"/>
  <c r="G694" i="1"/>
  <c r="D694" i="1"/>
  <c r="G693" i="1"/>
  <c r="D693" i="1"/>
  <c r="G692" i="1"/>
  <c r="D692" i="1"/>
  <c r="G691" i="1"/>
  <c r="D691" i="1"/>
  <c r="G690" i="1"/>
  <c r="D690" i="1"/>
  <c r="G689" i="1"/>
  <c r="D689" i="1"/>
  <c r="G688" i="1"/>
  <c r="D688" i="1"/>
  <c r="G687" i="1"/>
  <c r="D687" i="1"/>
  <c r="G686" i="1"/>
  <c r="D686" i="1"/>
  <c r="G685" i="1"/>
  <c r="D685" i="1"/>
  <c r="G684" i="1"/>
  <c r="D684" i="1"/>
  <c r="G683" i="1"/>
  <c r="D683" i="1"/>
  <c r="G682" i="1"/>
  <c r="D682" i="1"/>
  <c r="G681" i="1"/>
  <c r="D681" i="1"/>
  <c r="G680" i="1"/>
  <c r="D680" i="1"/>
  <c r="G679" i="1"/>
  <c r="D679" i="1"/>
  <c r="G678" i="1"/>
  <c r="D678" i="1"/>
  <c r="G677" i="1"/>
  <c r="D677" i="1"/>
  <c r="G676" i="1"/>
  <c r="D676" i="1"/>
  <c r="G675" i="1"/>
  <c r="D675" i="1"/>
  <c r="G674" i="1"/>
  <c r="D674" i="1"/>
  <c r="G673" i="1"/>
  <c r="D673" i="1"/>
  <c r="G672" i="1"/>
  <c r="D672" i="1"/>
  <c r="G671" i="1"/>
  <c r="D671" i="1"/>
  <c r="G670" i="1"/>
  <c r="D670" i="1"/>
  <c r="G669" i="1"/>
  <c r="D669" i="1"/>
  <c r="G668" i="1"/>
  <c r="D668" i="1"/>
  <c r="G667" i="1"/>
  <c r="D667" i="1"/>
  <c r="G666" i="1"/>
  <c r="D666" i="1"/>
  <c r="G665" i="1"/>
  <c r="D665" i="1"/>
  <c r="G664" i="1"/>
  <c r="D664" i="1"/>
  <c r="G663" i="1"/>
  <c r="D663" i="1"/>
  <c r="G662" i="1"/>
  <c r="D662" i="1"/>
  <c r="G661" i="1"/>
  <c r="D661" i="1"/>
  <c r="G660" i="1"/>
  <c r="D660" i="1"/>
  <c r="G659" i="1"/>
  <c r="D659" i="1"/>
  <c r="G658" i="1"/>
  <c r="D658" i="1"/>
  <c r="G657" i="1"/>
  <c r="D657" i="1"/>
  <c r="G656" i="1"/>
  <c r="D656" i="1"/>
  <c r="G655" i="1"/>
  <c r="D655" i="1"/>
  <c r="G654" i="1"/>
  <c r="D654" i="1"/>
  <c r="G653" i="1"/>
  <c r="D653" i="1"/>
  <c r="G652" i="1"/>
  <c r="D652" i="1"/>
  <c r="G651" i="1"/>
  <c r="D651" i="1"/>
  <c r="G650" i="1"/>
  <c r="D650" i="1"/>
  <c r="G649" i="1"/>
  <c r="D649" i="1"/>
  <c r="G648" i="1"/>
  <c r="D648" i="1"/>
  <c r="G647" i="1"/>
  <c r="D647" i="1"/>
  <c r="G646" i="1"/>
  <c r="D646" i="1"/>
  <c r="G645" i="1"/>
  <c r="D645" i="1"/>
  <c r="G644" i="1"/>
  <c r="D644" i="1"/>
  <c r="G643" i="1"/>
  <c r="D643" i="1"/>
  <c r="G642" i="1"/>
  <c r="D642" i="1"/>
  <c r="G641" i="1"/>
  <c r="D641" i="1"/>
  <c r="G640" i="1"/>
  <c r="D640" i="1"/>
  <c r="G639" i="1"/>
  <c r="D639" i="1"/>
  <c r="G638" i="1"/>
  <c r="D638" i="1"/>
  <c r="G637" i="1"/>
  <c r="D637" i="1"/>
  <c r="G636" i="1"/>
  <c r="D636" i="1"/>
  <c r="G635" i="1"/>
  <c r="D635" i="1"/>
  <c r="G634" i="1"/>
  <c r="D634" i="1"/>
  <c r="G633" i="1"/>
  <c r="D633" i="1"/>
  <c r="G632" i="1"/>
  <c r="D632" i="1"/>
  <c r="G631" i="1"/>
  <c r="D631" i="1"/>
  <c r="G630" i="1"/>
  <c r="D630" i="1"/>
  <c r="G629" i="1"/>
  <c r="D629" i="1"/>
  <c r="G628" i="1"/>
  <c r="D628" i="1"/>
  <c r="G627" i="1"/>
  <c r="D627" i="1"/>
  <c r="G626" i="1"/>
  <c r="D626" i="1"/>
  <c r="G625" i="1"/>
  <c r="D625" i="1"/>
  <c r="G624" i="1"/>
  <c r="D624" i="1"/>
  <c r="G623" i="1"/>
  <c r="D623" i="1"/>
  <c r="G622" i="1"/>
  <c r="D622" i="1"/>
  <c r="G621" i="1"/>
  <c r="D621" i="1"/>
  <c r="G620" i="1"/>
  <c r="D620" i="1"/>
  <c r="G619" i="1"/>
  <c r="D619" i="1"/>
  <c r="G618" i="1"/>
  <c r="D618" i="1"/>
  <c r="G617" i="1"/>
  <c r="D617" i="1"/>
  <c r="G616" i="1"/>
  <c r="D616" i="1"/>
  <c r="G615" i="1"/>
  <c r="D615" i="1"/>
  <c r="G614" i="1"/>
  <c r="D614" i="1"/>
  <c r="G613" i="1"/>
  <c r="D613" i="1"/>
  <c r="G612" i="1"/>
  <c r="D612" i="1"/>
  <c r="G611" i="1"/>
  <c r="D611" i="1"/>
  <c r="G610" i="1"/>
  <c r="D610" i="1"/>
  <c r="G609" i="1"/>
  <c r="D609" i="1"/>
  <c r="G608" i="1"/>
  <c r="D608" i="1"/>
  <c r="G607" i="1"/>
  <c r="D607" i="1"/>
  <c r="G606" i="1"/>
  <c r="D606" i="1"/>
  <c r="G605" i="1"/>
  <c r="D605" i="1"/>
  <c r="G604" i="1"/>
  <c r="D604" i="1"/>
  <c r="G603" i="1"/>
  <c r="D603" i="1"/>
  <c r="G602" i="1"/>
  <c r="D602" i="1"/>
  <c r="G601" i="1"/>
  <c r="D601" i="1"/>
  <c r="G600" i="1"/>
  <c r="D600" i="1"/>
  <c r="G599" i="1"/>
  <c r="D599" i="1"/>
  <c r="G598" i="1"/>
  <c r="D598" i="1"/>
  <c r="G597" i="1"/>
  <c r="D597" i="1"/>
  <c r="G596" i="1"/>
  <c r="D596" i="1"/>
  <c r="G595" i="1"/>
  <c r="D595" i="1"/>
  <c r="G594" i="1"/>
  <c r="D594" i="1"/>
  <c r="G593" i="1"/>
  <c r="D593" i="1"/>
  <c r="G592" i="1"/>
  <c r="D592" i="1"/>
  <c r="G591" i="1"/>
  <c r="D591" i="1"/>
  <c r="G590" i="1"/>
  <c r="D590" i="1"/>
  <c r="G589" i="1"/>
  <c r="D589" i="1"/>
  <c r="G588" i="1"/>
  <c r="D588" i="1"/>
  <c r="G587" i="1"/>
  <c r="D587" i="1"/>
  <c r="G586" i="1"/>
  <c r="D586" i="1"/>
  <c r="G585" i="1"/>
  <c r="D585" i="1"/>
  <c r="G584" i="1"/>
  <c r="D584" i="1"/>
  <c r="G583" i="1"/>
  <c r="D583" i="1"/>
  <c r="G582" i="1"/>
  <c r="D582" i="1"/>
  <c r="G581" i="1"/>
  <c r="D581" i="1"/>
  <c r="G580" i="1"/>
  <c r="D580" i="1"/>
  <c r="G579" i="1"/>
  <c r="D579" i="1"/>
  <c r="G578" i="1"/>
  <c r="D578" i="1"/>
  <c r="G577" i="1"/>
  <c r="D577" i="1"/>
  <c r="G576" i="1"/>
  <c r="D576" i="1"/>
  <c r="G575" i="1"/>
  <c r="D575" i="1"/>
  <c r="G574" i="1"/>
  <c r="D574" i="1"/>
  <c r="G573" i="1"/>
  <c r="D573" i="1"/>
  <c r="G572" i="1"/>
  <c r="D572" i="1"/>
  <c r="G571" i="1"/>
  <c r="D571" i="1"/>
  <c r="G570" i="1"/>
  <c r="D570" i="1"/>
  <c r="G569" i="1"/>
  <c r="D569" i="1"/>
  <c r="G568" i="1"/>
  <c r="D568" i="1"/>
  <c r="G567" i="1"/>
  <c r="D567" i="1"/>
  <c r="G566" i="1"/>
  <c r="D566" i="1"/>
  <c r="G565" i="1"/>
  <c r="D565" i="1"/>
  <c r="G564" i="1"/>
  <c r="D564" i="1"/>
  <c r="G563" i="1"/>
  <c r="D563" i="1"/>
  <c r="G562" i="1"/>
  <c r="D562" i="1"/>
  <c r="G561" i="1"/>
  <c r="D561" i="1"/>
  <c r="G560" i="1"/>
  <c r="D560" i="1"/>
  <c r="G559" i="1"/>
  <c r="D559" i="1"/>
  <c r="G558" i="1"/>
  <c r="D558" i="1"/>
  <c r="G557" i="1"/>
  <c r="D557" i="1"/>
  <c r="G556" i="1"/>
  <c r="D556" i="1"/>
  <c r="G555" i="1"/>
  <c r="D555" i="1"/>
  <c r="G554" i="1"/>
  <c r="D554" i="1"/>
  <c r="G553" i="1"/>
  <c r="D553" i="1"/>
  <c r="G552" i="1"/>
  <c r="D552" i="1"/>
  <c r="G551" i="1"/>
  <c r="D551" i="1"/>
  <c r="G550" i="1"/>
  <c r="D550" i="1"/>
  <c r="G549" i="1"/>
  <c r="D549" i="1"/>
  <c r="G548" i="1"/>
  <c r="D548" i="1"/>
  <c r="G547" i="1"/>
  <c r="D547" i="1"/>
  <c r="G546" i="1"/>
  <c r="D546" i="1"/>
  <c r="G545" i="1"/>
  <c r="D545" i="1"/>
  <c r="G544" i="1"/>
  <c r="D544" i="1"/>
  <c r="G543" i="1"/>
  <c r="D543" i="1"/>
  <c r="G542" i="1"/>
  <c r="D542" i="1"/>
  <c r="G541" i="1"/>
  <c r="D541" i="1"/>
  <c r="G540" i="1"/>
  <c r="D540" i="1"/>
  <c r="G539" i="1"/>
  <c r="D539" i="1"/>
  <c r="G538" i="1"/>
  <c r="D538" i="1"/>
  <c r="G537" i="1"/>
  <c r="D537" i="1"/>
  <c r="G536" i="1"/>
  <c r="D536" i="1"/>
  <c r="G535" i="1"/>
  <c r="D535" i="1"/>
  <c r="G534" i="1"/>
  <c r="D534" i="1"/>
  <c r="G533" i="1"/>
  <c r="D533" i="1"/>
  <c r="G532" i="1"/>
  <c r="D532" i="1"/>
  <c r="G531" i="1"/>
  <c r="D531" i="1"/>
  <c r="G530" i="1"/>
  <c r="D530" i="1"/>
  <c r="G529" i="1"/>
  <c r="D529" i="1"/>
  <c r="G528" i="1"/>
  <c r="D528" i="1"/>
  <c r="G527" i="1"/>
  <c r="D527" i="1"/>
  <c r="G526" i="1"/>
  <c r="D526" i="1"/>
  <c r="G525" i="1"/>
  <c r="D525" i="1"/>
  <c r="G524" i="1"/>
  <c r="D524" i="1"/>
  <c r="G523" i="1"/>
  <c r="D523" i="1"/>
  <c r="G522" i="1"/>
  <c r="D522" i="1"/>
  <c r="G521" i="1"/>
  <c r="D521" i="1"/>
  <c r="G520" i="1"/>
  <c r="D520" i="1"/>
  <c r="G519" i="1"/>
  <c r="D519" i="1"/>
  <c r="G518" i="1"/>
  <c r="D518" i="1"/>
  <c r="G517" i="1"/>
  <c r="D517" i="1"/>
  <c r="G516" i="1"/>
  <c r="D516" i="1"/>
  <c r="G515" i="1"/>
  <c r="D515" i="1"/>
  <c r="G514" i="1"/>
  <c r="D514" i="1"/>
  <c r="G513" i="1"/>
  <c r="D513" i="1"/>
  <c r="G512" i="1"/>
  <c r="D512" i="1"/>
  <c r="G511" i="1"/>
  <c r="D511" i="1"/>
  <c r="G510" i="1"/>
  <c r="D510" i="1"/>
  <c r="G509" i="1"/>
  <c r="D509" i="1"/>
  <c r="G508" i="1"/>
  <c r="D508" i="1"/>
  <c r="G507" i="1"/>
  <c r="D507" i="1"/>
  <c r="G506" i="1"/>
  <c r="D506" i="1"/>
  <c r="G505" i="1"/>
  <c r="D505" i="1"/>
  <c r="G504" i="1"/>
  <c r="D504" i="1"/>
  <c r="G503" i="1"/>
  <c r="D503" i="1"/>
  <c r="G502" i="1"/>
  <c r="D502" i="1"/>
  <c r="G501" i="1"/>
  <c r="D501" i="1"/>
  <c r="G500" i="1"/>
  <c r="D500" i="1"/>
  <c r="G499" i="1"/>
  <c r="D499" i="1"/>
  <c r="G498" i="1"/>
  <c r="D498" i="1"/>
  <c r="G497" i="1"/>
  <c r="D497" i="1"/>
  <c r="G496" i="1"/>
  <c r="D496" i="1"/>
  <c r="G495" i="1"/>
  <c r="D495" i="1"/>
  <c r="G494" i="1"/>
  <c r="D494" i="1"/>
  <c r="G493" i="1"/>
  <c r="D493" i="1"/>
  <c r="G492" i="1"/>
  <c r="D492" i="1"/>
  <c r="G491" i="1"/>
  <c r="D491" i="1"/>
  <c r="G490" i="1"/>
  <c r="D490" i="1"/>
  <c r="G489" i="1"/>
  <c r="D489" i="1"/>
  <c r="G488" i="1"/>
  <c r="D488" i="1"/>
  <c r="G487" i="1"/>
  <c r="D487" i="1"/>
  <c r="G486" i="1"/>
  <c r="D486" i="1"/>
  <c r="G485" i="1"/>
  <c r="D485" i="1"/>
  <c r="G484" i="1"/>
  <c r="D484" i="1"/>
  <c r="G483" i="1"/>
  <c r="D483" i="1"/>
  <c r="G482" i="1"/>
  <c r="D482" i="1"/>
  <c r="G481" i="1"/>
  <c r="D481" i="1"/>
  <c r="G480" i="1"/>
  <c r="D480" i="1"/>
  <c r="G479" i="1"/>
  <c r="D479" i="1"/>
  <c r="G478" i="1"/>
  <c r="D478" i="1"/>
  <c r="G477" i="1"/>
  <c r="D477" i="1"/>
  <c r="G476" i="1"/>
  <c r="D476" i="1"/>
  <c r="G475" i="1"/>
  <c r="D475" i="1"/>
  <c r="G474" i="1"/>
  <c r="D474" i="1"/>
  <c r="G473" i="1"/>
  <c r="D473" i="1"/>
  <c r="G472" i="1"/>
  <c r="D472" i="1"/>
  <c r="G471" i="1"/>
  <c r="D471" i="1"/>
  <c r="G470" i="1"/>
  <c r="D470" i="1"/>
  <c r="G469" i="1"/>
  <c r="D469" i="1"/>
  <c r="G468" i="1"/>
  <c r="D468" i="1"/>
  <c r="G467" i="1"/>
  <c r="D467" i="1"/>
  <c r="G466" i="1"/>
  <c r="D466" i="1"/>
  <c r="G465" i="1"/>
  <c r="D465" i="1"/>
  <c r="G464" i="1"/>
  <c r="D464" i="1"/>
  <c r="G463" i="1"/>
  <c r="D463" i="1"/>
  <c r="G462" i="1"/>
  <c r="D462" i="1"/>
  <c r="G461" i="1"/>
  <c r="D461" i="1"/>
  <c r="G460" i="1"/>
  <c r="D460" i="1"/>
  <c r="G459" i="1"/>
  <c r="D459" i="1"/>
  <c r="G458" i="1"/>
  <c r="D458" i="1"/>
  <c r="G457" i="1"/>
  <c r="D457" i="1"/>
  <c r="G456" i="1"/>
  <c r="D456" i="1"/>
  <c r="G455" i="1"/>
  <c r="D455" i="1"/>
  <c r="G454" i="1"/>
  <c r="D454" i="1"/>
  <c r="G453" i="1"/>
  <c r="D453" i="1"/>
  <c r="G452" i="1"/>
  <c r="D452" i="1"/>
  <c r="G451" i="1"/>
  <c r="D451" i="1"/>
  <c r="G450" i="1"/>
  <c r="D450" i="1"/>
  <c r="G449" i="1"/>
  <c r="D449" i="1"/>
  <c r="G448" i="1"/>
  <c r="D448" i="1"/>
  <c r="G447" i="1"/>
  <c r="D447" i="1"/>
  <c r="G446" i="1"/>
  <c r="D446" i="1"/>
  <c r="G445" i="1"/>
  <c r="D445" i="1"/>
  <c r="G444" i="1"/>
  <c r="D444" i="1"/>
  <c r="G443" i="1"/>
  <c r="D443" i="1"/>
  <c r="G442" i="1"/>
  <c r="D442" i="1"/>
  <c r="G441" i="1"/>
  <c r="D441" i="1"/>
  <c r="G440" i="1"/>
  <c r="D440" i="1"/>
  <c r="G439" i="1"/>
  <c r="D439" i="1"/>
  <c r="G438" i="1"/>
  <c r="D438" i="1"/>
  <c r="G437" i="1"/>
  <c r="D437" i="1"/>
  <c r="G436" i="1"/>
  <c r="D436" i="1"/>
  <c r="G435" i="1"/>
  <c r="D435" i="1"/>
  <c r="G434" i="1"/>
  <c r="D434" i="1"/>
  <c r="G433" i="1"/>
  <c r="D433" i="1"/>
  <c r="G432" i="1"/>
  <c r="D432" i="1"/>
  <c r="G431" i="1"/>
  <c r="D431" i="1"/>
  <c r="G430" i="1"/>
  <c r="D430" i="1"/>
  <c r="G429" i="1"/>
  <c r="D429" i="1"/>
  <c r="G428" i="1"/>
  <c r="D428" i="1"/>
  <c r="G427" i="1"/>
  <c r="D427" i="1"/>
  <c r="G426" i="1"/>
  <c r="D426" i="1"/>
  <c r="G425" i="1"/>
  <c r="D425" i="1"/>
  <c r="G424" i="1"/>
  <c r="D424" i="1"/>
  <c r="G423" i="1"/>
  <c r="D423" i="1"/>
  <c r="G422" i="1"/>
  <c r="D422" i="1"/>
  <c r="G421" i="1"/>
  <c r="D421" i="1"/>
  <c r="G420" i="1"/>
  <c r="D420" i="1"/>
  <c r="G419" i="1"/>
  <c r="D419" i="1"/>
  <c r="G418" i="1"/>
  <c r="D418" i="1"/>
  <c r="G417" i="1"/>
  <c r="D417" i="1"/>
  <c r="G416" i="1"/>
  <c r="D416" i="1"/>
  <c r="G415" i="1"/>
  <c r="D415" i="1"/>
  <c r="G414" i="1"/>
  <c r="D414" i="1"/>
  <c r="G413" i="1"/>
  <c r="D413" i="1"/>
  <c r="G412" i="1"/>
  <c r="D412" i="1"/>
  <c r="G411" i="1"/>
  <c r="D411" i="1"/>
  <c r="G410" i="1"/>
  <c r="D410" i="1"/>
  <c r="G409" i="1"/>
  <c r="D409" i="1"/>
  <c r="G408" i="1"/>
  <c r="D408" i="1"/>
  <c r="G407" i="1"/>
  <c r="D407" i="1"/>
  <c r="G406" i="1"/>
  <c r="D406" i="1"/>
  <c r="G405" i="1"/>
  <c r="D405" i="1"/>
  <c r="G404" i="1"/>
  <c r="D404" i="1"/>
  <c r="G403" i="1"/>
  <c r="D403" i="1"/>
  <c r="G402" i="1"/>
  <c r="D402" i="1"/>
  <c r="G401" i="1"/>
  <c r="D401" i="1"/>
  <c r="G400" i="1"/>
  <c r="D400" i="1"/>
  <c r="G399" i="1"/>
  <c r="D399" i="1"/>
  <c r="G398" i="1"/>
  <c r="D398" i="1"/>
  <c r="G397" i="1"/>
  <c r="D397" i="1"/>
  <c r="G396" i="1"/>
  <c r="D396" i="1"/>
  <c r="G395" i="1"/>
  <c r="D395" i="1"/>
  <c r="G394" i="1"/>
  <c r="D394" i="1"/>
  <c r="G393" i="1"/>
  <c r="D393" i="1"/>
  <c r="G392" i="1"/>
  <c r="D392" i="1"/>
  <c r="G391" i="1"/>
  <c r="D391" i="1"/>
  <c r="G390" i="1"/>
  <c r="D390" i="1"/>
  <c r="G389" i="1"/>
  <c r="D389" i="1"/>
  <c r="G388" i="1"/>
  <c r="D388" i="1"/>
  <c r="G387" i="1"/>
  <c r="D387" i="1"/>
  <c r="G386" i="1"/>
  <c r="D386" i="1"/>
  <c r="G385" i="1"/>
  <c r="D385" i="1"/>
  <c r="G384" i="1"/>
  <c r="D384" i="1"/>
  <c r="G383" i="1"/>
  <c r="D383" i="1"/>
  <c r="G382" i="1"/>
  <c r="D382" i="1"/>
  <c r="G381" i="1"/>
  <c r="D381" i="1"/>
  <c r="G380" i="1"/>
  <c r="D380" i="1"/>
  <c r="G379" i="1"/>
  <c r="D379" i="1"/>
  <c r="G378" i="1"/>
  <c r="D378" i="1"/>
  <c r="G377" i="1"/>
  <c r="D377" i="1"/>
  <c r="G376" i="1"/>
  <c r="D376" i="1"/>
  <c r="G375" i="1"/>
  <c r="D375" i="1"/>
  <c r="G374" i="1"/>
  <c r="D374" i="1"/>
  <c r="G373" i="1"/>
  <c r="D373" i="1"/>
  <c r="G372" i="1"/>
  <c r="D372" i="1"/>
  <c r="G371" i="1"/>
  <c r="D371" i="1"/>
  <c r="G370" i="1"/>
  <c r="D370" i="1"/>
  <c r="G369" i="1"/>
  <c r="D369" i="1"/>
  <c r="G368" i="1"/>
  <c r="D368" i="1"/>
  <c r="G367" i="1"/>
  <c r="D367" i="1"/>
  <c r="G366" i="1"/>
  <c r="D366" i="1"/>
  <c r="G365" i="1"/>
  <c r="D365" i="1"/>
  <c r="G364" i="1"/>
  <c r="D364" i="1"/>
  <c r="G363" i="1"/>
  <c r="D363" i="1"/>
  <c r="G362" i="1"/>
  <c r="D362" i="1"/>
  <c r="G361" i="1"/>
  <c r="D361" i="1"/>
  <c r="G360" i="1"/>
  <c r="D360" i="1"/>
  <c r="G359" i="1"/>
  <c r="D359" i="1"/>
  <c r="G358" i="1"/>
  <c r="D358" i="1"/>
  <c r="G357" i="1"/>
  <c r="D357" i="1"/>
  <c r="G356" i="1"/>
  <c r="D356" i="1"/>
  <c r="G355" i="1"/>
  <c r="D355" i="1"/>
  <c r="G354" i="1"/>
  <c r="D354" i="1"/>
  <c r="G353" i="1"/>
  <c r="D353" i="1"/>
  <c r="G352" i="1"/>
  <c r="D352" i="1"/>
  <c r="G351" i="1"/>
  <c r="D351" i="1"/>
  <c r="G350" i="1"/>
  <c r="D350" i="1"/>
  <c r="G349" i="1"/>
  <c r="D349" i="1"/>
  <c r="G348" i="1"/>
  <c r="D348" i="1"/>
  <c r="G347" i="1"/>
  <c r="D347" i="1"/>
  <c r="G346" i="1"/>
  <c r="D346" i="1"/>
  <c r="G345" i="1"/>
  <c r="D345" i="1"/>
  <c r="G344" i="1"/>
  <c r="D344" i="1"/>
  <c r="G343" i="1"/>
  <c r="D343" i="1"/>
  <c r="G342" i="1"/>
  <c r="D342" i="1"/>
  <c r="G341" i="1"/>
  <c r="D341" i="1"/>
  <c r="G340" i="1"/>
  <c r="D340" i="1"/>
  <c r="G339" i="1"/>
  <c r="D339" i="1"/>
  <c r="G338" i="1"/>
  <c r="D338" i="1"/>
  <c r="G337" i="1"/>
  <c r="D337" i="1"/>
  <c r="G336" i="1"/>
  <c r="D336" i="1"/>
  <c r="G335" i="1"/>
  <c r="D335" i="1"/>
  <c r="G334" i="1"/>
  <c r="D334" i="1"/>
  <c r="G333" i="1"/>
  <c r="D333" i="1"/>
  <c r="G332" i="1"/>
  <c r="D332" i="1"/>
  <c r="G331" i="1"/>
  <c r="D331" i="1"/>
  <c r="G330" i="1"/>
  <c r="D330" i="1"/>
  <c r="G329" i="1"/>
  <c r="D329" i="1"/>
  <c r="G328" i="1"/>
  <c r="D328" i="1"/>
  <c r="G327" i="1"/>
  <c r="D327" i="1"/>
  <c r="G326" i="1"/>
  <c r="D326" i="1"/>
  <c r="G325" i="1"/>
  <c r="D325" i="1"/>
  <c r="G324" i="1"/>
  <c r="D324" i="1"/>
  <c r="G323" i="1"/>
  <c r="D323" i="1"/>
  <c r="G322" i="1"/>
  <c r="D322" i="1"/>
  <c r="G321" i="1"/>
  <c r="D321" i="1"/>
  <c r="G320" i="1"/>
  <c r="D320" i="1"/>
  <c r="G319" i="1"/>
  <c r="D319" i="1"/>
  <c r="G318" i="1"/>
  <c r="D318" i="1"/>
  <c r="G317" i="1"/>
  <c r="D317" i="1"/>
  <c r="G316" i="1"/>
  <c r="D316" i="1"/>
  <c r="G315" i="1"/>
  <c r="D315" i="1"/>
  <c r="G314" i="1"/>
  <c r="D314" i="1"/>
  <c r="G313" i="1"/>
  <c r="D313" i="1"/>
  <c r="G312" i="1"/>
  <c r="D312" i="1"/>
  <c r="G311" i="1"/>
  <c r="D311" i="1"/>
  <c r="G310" i="1"/>
  <c r="D310" i="1"/>
  <c r="G309" i="1"/>
  <c r="D309" i="1"/>
  <c r="G308" i="1"/>
  <c r="D308" i="1"/>
  <c r="G307" i="1"/>
  <c r="D307" i="1"/>
  <c r="G306" i="1"/>
  <c r="D306" i="1"/>
  <c r="G305" i="1"/>
  <c r="D305" i="1"/>
  <c r="G304" i="1"/>
  <c r="D304" i="1"/>
  <c r="G303" i="1"/>
  <c r="D303" i="1"/>
  <c r="G302" i="1"/>
  <c r="D302" i="1"/>
  <c r="G301" i="1"/>
  <c r="D301" i="1"/>
  <c r="G300" i="1"/>
  <c r="D300" i="1"/>
  <c r="G299" i="1"/>
  <c r="D299" i="1"/>
  <c r="G298" i="1"/>
  <c r="D298" i="1"/>
  <c r="G297" i="1"/>
  <c r="D297" i="1"/>
  <c r="G296" i="1"/>
  <c r="D296" i="1"/>
  <c r="G295" i="1"/>
  <c r="D295" i="1"/>
  <c r="G294" i="1"/>
  <c r="D294" i="1"/>
  <c r="G293" i="1"/>
  <c r="D293" i="1"/>
  <c r="G292" i="1"/>
  <c r="D292" i="1"/>
  <c r="G291" i="1"/>
  <c r="D291" i="1"/>
  <c r="G290" i="1"/>
  <c r="D290" i="1"/>
  <c r="G289" i="1"/>
  <c r="D289" i="1"/>
  <c r="G288" i="1"/>
  <c r="D288" i="1"/>
  <c r="G287" i="1"/>
  <c r="D287" i="1"/>
  <c r="G286" i="1"/>
  <c r="D286" i="1"/>
  <c r="G285" i="1"/>
  <c r="D285" i="1"/>
  <c r="G284" i="1"/>
  <c r="D284" i="1"/>
  <c r="G283" i="1"/>
  <c r="D283" i="1"/>
  <c r="G282" i="1"/>
  <c r="D282" i="1"/>
  <c r="G281" i="1"/>
  <c r="D281" i="1"/>
  <c r="G280" i="1"/>
  <c r="D280" i="1"/>
  <c r="G279" i="1"/>
  <c r="D279" i="1"/>
  <c r="G278" i="1"/>
  <c r="D278" i="1"/>
  <c r="G277" i="1"/>
  <c r="D277" i="1"/>
  <c r="G276" i="1"/>
  <c r="D276" i="1"/>
  <c r="G275" i="1"/>
  <c r="D275" i="1"/>
  <c r="G274" i="1"/>
  <c r="D274" i="1"/>
  <c r="G273" i="1"/>
  <c r="D273" i="1"/>
  <c r="G272" i="1"/>
  <c r="D272" i="1"/>
  <c r="G271" i="1"/>
  <c r="D271" i="1"/>
  <c r="G270" i="1"/>
  <c r="D270" i="1"/>
  <c r="G269" i="1"/>
  <c r="D269" i="1"/>
  <c r="G268" i="1"/>
  <c r="D268" i="1"/>
  <c r="G267" i="1"/>
  <c r="D267" i="1"/>
  <c r="G266" i="1"/>
  <c r="D266" i="1"/>
  <c r="G265" i="1"/>
  <c r="D265" i="1"/>
  <c r="G264" i="1"/>
  <c r="D264" i="1"/>
  <c r="G263" i="1"/>
  <c r="D263" i="1"/>
  <c r="G262" i="1"/>
  <c r="D262" i="1"/>
  <c r="G261" i="1"/>
  <c r="D261" i="1"/>
  <c r="G260" i="1"/>
  <c r="D260" i="1"/>
  <c r="G259" i="1"/>
  <c r="D259" i="1"/>
  <c r="G258" i="1"/>
  <c r="D258" i="1"/>
  <c r="G257" i="1"/>
  <c r="D257" i="1"/>
  <c r="G256" i="1"/>
  <c r="D256" i="1"/>
  <c r="G255" i="1"/>
  <c r="D255" i="1"/>
  <c r="G254" i="1"/>
  <c r="D254" i="1"/>
  <c r="G253" i="1"/>
  <c r="D253" i="1"/>
  <c r="G252" i="1"/>
  <c r="D252" i="1"/>
  <c r="G251" i="1"/>
  <c r="D251" i="1"/>
  <c r="G250" i="1"/>
  <c r="D250" i="1"/>
  <c r="G249" i="1"/>
  <c r="D249" i="1"/>
  <c r="G248" i="1"/>
  <c r="D248" i="1"/>
  <c r="G247" i="1"/>
  <c r="D247" i="1"/>
  <c r="G246" i="1"/>
  <c r="D246" i="1"/>
  <c r="G245" i="1"/>
  <c r="D245" i="1"/>
  <c r="G244" i="1"/>
  <c r="D244" i="1"/>
  <c r="G243" i="1"/>
  <c r="D243" i="1"/>
  <c r="G242" i="1"/>
  <c r="D242" i="1"/>
  <c r="G241" i="1"/>
  <c r="D241" i="1"/>
  <c r="G240" i="1"/>
  <c r="D240" i="1"/>
  <c r="G239" i="1"/>
  <c r="D239" i="1"/>
  <c r="G238" i="1"/>
  <c r="D238" i="1"/>
  <c r="G237" i="1"/>
  <c r="D237" i="1"/>
  <c r="G236" i="1"/>
  <c r="D236" i="1"/>
  <c r="G235" i="1"/>
  <c r="D235" i="1"/>
  <c r="G234" i="1"/>
  <c r="D234" i="1"/>
  <c r="G233" i="1"/>
  <c r="D233" i="1"/>
  <c r="G232" i="1"/>
  <c r="D232" i="1"/>
  <c r="G231" i="1"/>
  <c r="D231" i="1"/>
  <c r="G230" i="1"/>
  <c r="D230" i="1"/>
  <c r="G229" i="1"/>
  <c r="D229" i="1"/>
  <c r="G228" i="1"/>
  <c r="D228" i="1"/>
  <c r="G227" i="1"/>
  <c r="D227" i="1"/>
  <c r="G226" i="1"/>
  <c r="D226" i="1"/>
  <c r="G225" i="1"/>
  <c r="D225" i="1"/>
  <c r="G224" i="1"/>
  <c r="D224" i="1"/>
  <c r="G223" i="1"/>
  <c r="D223" i="1"/>
  <c r="G222" i="1"/>
  <c r="D222" i="1"/>
  <c r="G221" i="1"/>
  <c r="D221" i="1"/>
  <c r="G220" i="1"/>
  <c r="D220" i="1"/>
  <c r="G219" i="1"/>
  <c r="D219" i="1"/>
  <c r="G218" i="1"/>
  <c r="D218" i="1"/>
  <c r="G217" i="1"/>
  <c r="D217" i="1"/>
  <c r="G216" i="1"/>
  <c r="D216" i="1"/>
  <c r="G215" i="1"/>
  <c r="D215" i="1"/>
  <c r="G214" i="1"/>
  <c r="D214" i="1"/>
  <c r="G213" i="1"/>
  <c r="D213" i="1"/>
  <c r="G212" i="1"/>
  <c r="D212" i="1"/>
  <c r="G211" i="1"/>
  <c r="D211" i="1"/>
  <c r="G210" i="1"/>
  <c r="D210" i="1"/>
  <c r="G209" i="1"/>
  <c r="D209" i="1"/>
  <c r="G208" i="1"/>
  <c r="D208" i="1"/>
  <c r="G207" i="1"/>
  <c r="D207" i="1"/>
  <c r="G206" i="1"/>
  <c r="D206" i="1"/>
  <c r="G205" i="1"/>
  <c r="D205" i="1"/>
  <c r="G204" i="1"/>
  <c r="D204" i="1"/>
  <c r="G203" i="1"/>
  <c r="D203" i="1"/>
  <c r="G202" i="1"/>
  <c r="D202" i="1"/>
  <c r="G201" i="1"/>
  <c r="D201" i="1"/>
  <c r="G200" i="1"/>
  <c r="D200" i="1"/>
  <c r="G199" i="1"/>
  <c r="D199" i="1"/>
  <c r="G198" i="1"/>
  <c r="D198" i="1"/>
  <c r="G197" i="1"/>
  <c r="D197" i="1"/>
  <c r="G196" i="1"/>
  <c r="D196" i="1"/>
  <c r="G195" i="1"/>
  <c r="D195" i="1"/>
  <c r="G194" i="1"/>
  <c r="D194" i="1"/>
  <c r="G193" i="1"/>
  <c r="D193" i="1"/>
  <c r="G192" i="1"/>
  <c r="D192" i="1"/>
  <c r="G191" i="1"/>
  <c r="D191" i="1"/>
  <c r="G190" i="1"/>
  <c r="D190" i="1"/>
  <c r="G189" i="1"/>
  <c r="D189" i="1"/>
  <c r="G188" i="1"/>
  <c r="D188" i="1"/>
  <c r="G187" i="1"/>
  <c r="D187" i="1"/>
  <c r="G186" i="1"/>
  <c r="D186" i="1"/>
  <c r="G185" i="1"/>
  <c r="D185" i="1"/>
  <c r="G184" i="1"/>
  <c r="D184" i="1"/>
  <c r="G183" i="1"/>
  <c r="D183" i="1"/>
  <c r="G182" i="1"/>
  <c r="D182" i="1"/>
  <c r="G181" i="1"/>
  <c r="D181" i="1"/>
  <c r="G180" i="1"/>
  <c r="D180" i="1"/>
  <c r="G179" i="1"/>
  <c r="D179" i="1"/>
  <c r="G178" i="1"/>
  <c r="D178" i="1"/>
  <c r="G177" i="1"/>
  <c r="D177" i="1"/>
  <c r="G176" i="1"/>
  <c r="D176" i="1"/>
  <c r="G175" i="1"/>
  <c r="D175" i="1"/>
  <c r="G174" i="1"/>
  <c r="D174" i="1"/>
  <c r="G173" i="1"/>
  <c r="D173" i="1"/>
  <c r="G172" i="1"/>
  <c r="D172" i="1"/>
  <c r="G171" i="1"/>
  <c r="D171" i="1"/>
  <c r="G170" i="1"/>
  <c r="D170" i="1"/>
  <c r="G169" i="1"/>
  <c r="D169" i="1"/>
  <c r="G168" i="1"/>
  <c r="D168" i="1"/>
  <c r="G167" i="1"/>
  <c r="D167" i="1"/>
  <c r="G166" i="1"/>
  <c r="D166" i="1"/>
  <c r="G165" i="1"/>
  <c r="D165" i="1"/>
  <c r="G164" i="1"/>
  <c r="D164" i="1"/>
  <c r="G163" i="1"/>
  <c r="D163" i="1"/>
  <c r="G162" i="1"/>
  <c r="D162" i="1"/>
  <c r="G161" i="1"/>
  <c r="D161" i="1"/>
  <c r="G160" i="1"/>
  <c r="D160" i="1"/>
  <c r="G159" i="1"/>
  <c r="D159" i="1"/>
  <c r="G158" i="1"/>
  <c r="D158" i="1"/>
  <c r="G157" i="1"/>
  <c r="D157" i="1"/>
  <c r="G156" i="1"/>
  <c r="D156" i="1"/>
  <c r="G155" i="1"/>
  <c r="D155" i="1"/>
  <c r="G154" i="1"/>
  <c r="D154" i="1"/>
  <c r="G153" i="1"/>
  <c r="D153" i="1"/>
  <c r="G152" i="1"/>
  <c r="D152" i="1"/>
  <c r="G151" i="1"/>
  <c r="D151" i="1"/>
  <c r="G150" i="1"/>
  <c r="D150" i="1"/>
  <c r="G149" i="1"/>
  <c r="D149" i="1"/>
  <c r="G148" i="1"/>
  <c r="D148" i="1"/>
  <c r="G147" i="1"/>
  <c r="D147" i="1"/>
  <c r="G146" i="1"/>
  <c r="D146" i="1"/>
  <c r="G145" i="1"/>
  <c r="D145" i="1"/>
  <c r="G144" i="1"/>
  <c r="D144" i="1"/>
  <c r="G143" i="1"/>
  <c r="D143" i="1"/>
  <c r="G142" i="1"/>
  <c r="D142" i="1"/>
  <c r="G141" i="1"/>
  <c r="D141" i="1"/>
  <c r="G140" i="1"/>
  <c r="D140" i="1"/>
  <c r="G139" i="1"/>
  <c r="D139" i="1"/>
  <c r="G138" i="1"/>
  <c r="D138" i="1"/>
  <c r="G137" i="1"/>
  <c r="D137" i="1"/>
  <c r="G136" i="1"/>
  <c r="D136" i="1"/>
  <c r="G135" i="1"/>
  <c r="D135" i="1"/>
  <c r="G134" i="1"/>
  <c r="D134" i="1"/>
  <c r="G133" i="1"/>
  <c r="D133" i="1"/>
  <c r="G132" i="1"/>
  <c r="D132" i="1"/>
  <c r="G131" i="1"/>
  <c r="D131" i="1"/>
  <c r="G130" i="1"/>
  <c r="D130" i="1"/>
  <c r="G129" i="1"/>
  <c r="D129" i="1"/>
  <c r="G128" i="1"/>
  <c r="D128" i="1"/>
  <c r="G127" i="1"/>
  <c r="D127" i="1"/>
  <c r="G126" i="1"/>
  <c r="D126" i="1"/>
  <c r="G125" i="1"/>
  <c r="D125" i="1"/>
  <c r="G124" i="1"/>
  <c r="D124" i="1"/>
  <c r="G123" i="1"/>
  <c r="D123" i="1"/>
  <c r="G122" i="1"/>
  <c r="D122" i="1"/>
  <c r="G121" i="1"/>
  <c r="D121" i="1"/>
  <c r="G120" i="1"/>
  <c r="D120" i="1"/>
  <c r="G119" i="1"/>
  <c r="D119" i="1"/>
  <c r="G118" i="1"/>
  <c r="D118" i="1"/>
  <c r="G117" i="1"/>
  <c r="D117" i="1"/>
  <c r="G116" i="1"/>
  <c r="D116" i="1"/>
  <c r="G115" i="1"/>
  <c r="D115" i="1"/>
  <c r="G114" i="1"/>
  <c r="D114" i="1"/>
  <c r="G113" i="1"/>
  <c r="D113" i="1"/>
  <c r="G112" i="1"/>
  <c r="D112" i="1"/>
  <c r="G111" i="1"/>
  <c r="D111" i="1"/>
  <c r="G110" i="1"/>
  <c r="D110" i="1"/>
  <c r="G109" i="1"/>
  <c r="D109" i="1"/>
  <c r="G108" i="1"/>
  <c r="D108" i="1"/>
  <c r="G107" i="1"/>
  <c r="D107" i="1"/>
  <c r="G106" i="1"/>
  <c r="D106" i="1"/>
  <c r="G105" i="1"/>
  <c r="D105" i="1"/>
  <c r="G104" i="1"/>
  <c r="D104" i="1"/>
  <c r="G103" i="1"/>
  <c r="D103" i="1"/>
  <c r="G102" i="1"/>
  <c r="D102" i="1"/>
  <c r="G101" i="1"/>
  <c r="D101" i="1"/>
  <c r="G100" i="1"/>
  <c r="D100" i="1"/>
  <c r="G99" i="1"/>
  <c r="D99" i="1"/>
  <c r="G98" i="1"/>
  <c r="D98" i="1"/>
  <c r="G97" i="1"/>
  <c r="D97" i="1"/>
  <c r="G96" i="1"/>
  <c r="D96" i="1"/>
  <c r="G95" i="1"/>
  <c r="D95" i="1"/>
  <c r="G94" i="1"/>
  <c r="D94" i="1"/>
  <c r="G93" i="1"/>
  <c r="D93" i="1"/>
  <c r="G92" i="1"/>
  <c r="D92" i="1"/>
  <c r="G91" i="1"/>
  <c r="D91" i="1"/>
  <c r="G90" i="1"/>
  <c r="D90" i="1"/>
  <c r="G89" i="1"/>
  <c r="D89" i="1"/>
  <c r="G88" i="1"/>
  <c r="D88" i="1"/>
  <c r="G87" i="1"/>
  <c r="D87" i="1"/>
  <c r="G86" i="1"/>
  <c r="D86" i="1"/>
  <c r="G85" i="1"/>
  <c r="D85" i="1"/>
  <c r="G84" i="1"/>
  <c r="D84" i="1"/>
  <c r="G83" i="1"/>
  <c r="D83" i="1"/>
  <c r="G82" i="1"/>
  <c r="D82" i="1"/>
  <c r="G81" i="1"/>
  <c r="D81" i="1"/>
  <c r="G80" i="1"/>
  <c r="D80" i="1"/>
  <c r="G79" i="1"/>
  <c r="D79" i="1"/>
  <c r="G78" i="1"/>
  <c r="D78" i="1"/>
  <c r="G77" i="1"/>
  <c r="D77" i="1"/>
  <c r="G76" i="1"/>
  <c r="D76" i="1"/>
  <c r="G75" i="1"/>
  <c r="D75" i="1"/>
  <c r="G74" i="1"/>
  <c r="D74" i="1"/>
  <c r="G73" i="1"/>
  <c r="D73" i="1"/>
  <c r="G72" i="1"/>
  <c r="D72" i="1"/>
  <c r="G71" i="1"/>
  <c r="D71" i="1"/>
  <c r="G70" i="1"/>
  <c r="D70" i="1"/>
  <c r="G69" i="1"/>
  <c r="D69" i="1"/>
  <c r="G68" i="1"/>
  <c r="D68" i="1"/>
  <c r="G67" i="1"/>
  <c r="D67" i="1"/>
  <c r="G66" i="1"/>
  <c r="D66" i="1"/>
  <c r="G65" i="1"/>
  <c r="D65" i="1"/>
  <c r="G64" i="1"/>
  <c r="D64" i="1"/>
  <c r="G63" i="1"/>
  <c r="D63" i="1"/>
  <c r="G62" i="1"/>
  <c r="D62" i="1"/>
  <c r="G61" i="1"/>
  <c r="D61" i="1"/>
  <c r="G60" i="1"/>
  <c r="D60" i="1"/>
  <c r="G59" i="1"/>
  <c r="D59" i="1"/>
  <c r="G58" i="1"/>
  <c r="D58" i="1"/>
  <c r="G57" i="1"/>
  <c r="D57" i="1"/>
  <c r="G56" i="1"/>
  <c r="D56" i="1"/>
  <c r="G55" i="1"/>
  <c r="D55" i="1"/>
  <c r="G54" i="1"/>
  <c r="D54" i="1"/>
  <c r="G53" i="1"/>
  <c r="D53" i="1"/>
  <c r="G52" i="1"/>
  <c r="D52" i="1"/>
  <c r="G51" i="1"/>
  <c r="D51" i="1"/>
  <c r="G50" i="1"/>
  <c r="D50" i="1"/>
  <c r="G49" i="1"/>
  <c r="D49" i="1"/>
  <c r="G48" i="1"/>
  <c r="D48" i="1"/>
  <c r="G47" i="1"/>
  <c r="D47" i="1"/>
  <c r="G46" i="1"/>
  <c r="D46" i="1"/>
  <c r="G45" i="1"/>
  <c r="D45" i="1"/>
  <c r="G44" i="1"/>
  <c r="D44" i="1"/>
  <c r="G43" i="1"/>
  <c r="D43" i="1"/>
  <c r="G42" i="1"/>
  <c r="D42" i="1"/>
  <c r="G41" i="1"/>
  <c r="D41" i="1"/>
  <c r="G40" i="1"/>
  <c r="D40" i="1"/>
  <c r="G39" i="1"/>
  <c r="D39" i="1"/>
  <c r="G38" i="1"/>
  <c r="D38" i="1"/>
  <c r="G37" i="1"/>
  <c r="D37" i="1"/>
  <c r="G36" i="1"/>
  <c r="D36" i="1"/>
  <c r="G35" i="1"/>
  <c r="D35" i="1"/>
  <c r="G34" i="1"/>
  <c r="D34" i="1"/>
  <c r="G33" i="1"/>
  <c r="D33" i="1"/>
  <c r="G32" i="1"/>
  <c r="D32" i="1"/>
  <c r="G31" i="1"/>
  <c r="D31" i="1"/>
  <c r="G30" i="1"/>
  <c r="D30" i="1"/>
  <c r="G29" i="1"/>
  <c r="D29" i="1"/>
  <c r="G28" i="1"/>
  <c r="D28" i="1"/>
  <c r="G27" i="1"/>
  <c r="D27" i="1"/>
  <c r="G26" i="1"/>
  <c r="D26" i="1"/>
  <c r="G25" i="1"/>
  <c r="D25" i="1"/>
  <c r="G24" i="1"/>
  <c r="D24" i="1"/>
  <c r="G23" i="1"/>
  <c r="D23" i="1"/>
  <c r="G22" i="1"/>
  <c r="D22" i="1"/>
  <c r="G21" i="1"/>
  <c r="D21" i="1"/>
  <c r="G20" i="1"/>
  <c r="D20" i="1"/>
  <c r="G19" i="1"/>
  <c r="D19" i="1"/>
  <c r="G18" i="1"/>
  <c r="D18" i="1"/>
  <c r="G17" i="1"/>
  <c r="D17" i="1"/>
  <c r="G16" i="1"/>
  <c r="D16" i="1"/>
  <c r="G15" i="1"/>
  <c r="D15" i="1"/>
  <c r="G14" i="1"/>
  <c r="D14" i="1"/>
  <c r="G13" i="1"/>
  <c r="D13" i="1"/>
  <c r="G12" i="1"/>
  <c r="D12" i="1"/>
  <c r="G11" i="1"/>
  <c r="D11" i="1"/>
  <c r="G10" i="1"/>
  <c r="D10" i="1"/>
  <c r="G9" i="1"/>
  <c r="D9" i="1"/>
  <c r="G8" i="1"/>
  <c r="D8" i="1"/>
  <c r="G7" i="1"/>
  <c r="D7" i="1"/>
  <c r="G6" i="1"/>
  <c r="D6" i="1"/>
  <c r="G5" i="1"/>
  <c r="D5" i="1"/>
  <c r="G4" i="1"/>
  <c r="D4" i="1"/>
  <c r="G3" i="1"/>
  <c r="D3" i="1"/>
</calcChain>
</file>

<file path=xl/sharedStrings.xml><?xml version="1.0" encoding="utf-8"?>
<sst xmlns="http://schemas.openxmlformats.org/spreadsheetml/2006/main" count="51804" uniqueCount="17023">
  <si>
    <t>AGOSTO/2024 - SEM DESONERAÇÃO</t>
  </si>
  <si>
    <t>CÓDIGO</t>
  </si>
  <si>
    <t>DESCRIÇÃO DO INSUMO</t>
  </si>
  <si>
    <t>UNIDADE DE MEDIDA</t>
  </si>
  <si>
    <t>PRECO MEDIANO (R$)</t>
  </si>
  <si>
    <t>ABERTURA PARA ENCAIXE DE CUBA OU LAVATORIO EM BANCADA DE MARMORE/ GRANITO OU OUTRO TIPO DE PEDRA NATURAL</t>
  </si>
  <si>
    <t>UN</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</si>
  <si>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</si>
  <si>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</si>
  <si>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</si>
  <si>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</si>
  <si>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</si>
  <si>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</si>
  <si>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</si>
  <si>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</si>
  <si>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</si>
  <si>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</si>
  <si>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</si>
  <si>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</si>
  <si>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</si>
  <si>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</si>
  <si>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</si>
  <si>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</si>
  <si>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</si>
  <si>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</si>
  <si>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</si>
  <si>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</si>
  <si>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</si>
  <si>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</si>
  <si>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</si>
  <si>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</si>
  <si>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</si>
  <si>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</si>
  <si>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</si>
  <si>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</si>
  <si>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</si>
  <si>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</si>
  <si>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</si>
  <si>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</si>
  <si>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</si>
  <si>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</si>
  <si>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</si>
  <si>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</si>
  <si>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</si>
  <si>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</si>
  <si>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</si>
  <si>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</si>
  <si>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</si>
  <si>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</si>
  <si>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</si>
  <si>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</si>
  <si>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</si>
  <si>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</si>
  <si>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</si>
  <si>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KG</t>
  </si>
  <si>
    <t>ACIDO CLORIDRICO / ACIDO MURIATICO, DILUICAO 10% A 12% PARA USO EM LIMPEZA</t>
  </si>
  <si>
    <t>L</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</si>
  <si>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</si>
  <si>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</si>
  <si>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</si>
  <si>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</si>
  <si>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</si>
  <si>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</si>
  <si>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</si>
  <si>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</si>
  <si>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</si>
  <si>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</si>
  <si>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</si>
  <si>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</si>
  <si>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</si>
  <si>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</si>
  <si>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</si>
  <si>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</si>
  <si>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</si>
  <si>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</si>
  <si>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</si>
  <si>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</si>
  <si>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</si>
  <si>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</si>
  <si>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</si>
  <si>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</si>
  <si>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</si>
  <si>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</si>
  <si>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</si>
  <si>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</si>
  <si>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</si>
  <si>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</si>
  <si>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</si>
  <si>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</si>
  <si>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</si>
  <si>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</si>
  <si>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</si>
  <si>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</si>
  <si>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</si>
  <si>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</si>
  <si>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</si>
  <si>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</si>
  <si>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</si>
  <si>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</si>
  <si>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</si>
  <si>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</si>
  <si>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</si>
  <si>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</si>
  <si>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</si>
  <si>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</si>
  <si>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</si>
  <si>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</si>
  <si>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</si>
  <si>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</si>
  <si>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</si>
  <si>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</si>
  <si>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</si>
  <si>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</si>
  <si>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</si>
  <si>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</si>
  <si>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1/2", PARA CAIXA D'AGUA</t>
  </si>
  <si>
    <t>ADAPTADOR PVC, ROSCAVEL, COM FLANGES E ANEL DE VEDACAO, 1",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</si>
  <si>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</si>
  <si>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</si>
  <si>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</si>
  <si>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</si>
  <si>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</si>
  <si>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</si>
  <si>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</si>
  <si>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</si>
  <si>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</si>
  <si>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</si>
  <si>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</si>
  <si>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</si>
  <si>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</si>
  <si>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</si>
  <si>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</si>
  <si>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</si>
  <si>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</si>
  <si>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</si>
  <si>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</si>
  <si>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</si>
  <si>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</si>
  <si>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</si>
  <si>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</si>
  <si>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</si>
  <si>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</si>
  <si>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</si>
  <si>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</si>
  <si>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</si>
  <si>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</si>
  <si>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</si>
  <si>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</si>
  <si>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</si>
  <si>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</si>
  <si>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</si>
  <si>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</si>
  <si>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M3</t>
  </si>
  <si>
    <t>AJUDANTE DE ARMADOR (HORISTA)</t>
  </si>
  <si>
    <t>H</t>
  </si>
  <si>
    <t>AJUDANTE DE ARMADOR (MENSALISTA)</t>
  </si>
  <si>
    <t>MES</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</si>
  <si>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</si>
  <si>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</si>
  <si>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</si>
  <si>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</si>
  <si>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</si>
  <si>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</si>
  <si>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</si>
  <si>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</si>
  <si>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</si>
  <si>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</si>
  <si>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</si>
  <si>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</si>
  <si>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</si>
  <si>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</si>
  <si>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</si>
  <si>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</si>
  <si>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</si>
  <si>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</si>
  <si>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</si>
  <si>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t>
  </si>
  <si>
    <t>ALICATE DE PRESSAO PARA SOLDA DE CHAPA 18"</t>
  </si>
  <si>
    <t>ALICATE DE PRESSAO 11" PARA SOLDA, TIPO C</t>
  </si>
  <si>
    <t>ALICATE DE PRESSAO 11"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</si>
  <si>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</si>
  <si>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</si>
  <si>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</si>
  <si>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</si>
  <si>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</si>
  <si>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</si>
  <si>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</si>
  <si>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</si>
  <si>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</si>
  <si>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</si>
  <si>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</si>
  <si>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</si>
  <si>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</si>
  <si>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</si>
  <si>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</si>
  <si>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</si>
  <si>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</si>
  <si>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</si>
  <si>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</si>
  <si>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</si>
  <si>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</si>
  <si>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</si>
  <si>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</si>
  <si>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</si>
  <si>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</si>
  <si>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</si>
  <si>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</si>
  <si>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</si>
  <si>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</si>
  <si>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</si>
  <si>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</si>
  <si>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</si>
  <si>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</si>
  <si>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</si>
  <si>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</si>
  <si>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</si>
  <si>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</si>
  <si>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</si>
  <si>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</si>
  <si>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</si>
  <si>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</si>
  <si>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</si>
  <si>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</si>
  <si>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</si>
  <si>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</si>
  <si>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</si>
  <si>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</si>
  <si>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</si>
  <si>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</si>
  <si>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</si>
  <si>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</si>
  <si>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</si>
  <si>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</si>
  <si>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</si>
  <si>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</si>
  <si>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</si>
  <si>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</si>
  <si>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</si>
  <si>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</si>
  <si>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</si>
  <si>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</si>
  <si>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</si>
  <si>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</si>
  <si>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</si>
  <si>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</si>
  <si>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</si>
  <si>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</si>
  <si>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</si>
  <si>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</si>
  <si>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</si>
  <si>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</si>
  <si>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</si>
  <si>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</si>
  <si>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</si>
  <si>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APRÓPRIADOR DE MAO DE OBRA (HORISTA)</t>
  </si>
  <si>
    <t>APONTADOR OU APRÓPRIADOR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</si>
  <si>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</si>
  <si>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</si>
  <si>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</si>
  <si>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</si>
  <si>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</si>
  <si>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</si>
  <si>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</si>
  <si>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</si>
  <si>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</si>
  <si>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</si>
  <si>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</si>
  <si>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</si>
  <si>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</si>
  <si>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</si>
  <si>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</si>
  <si>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</si>
  <si>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</si>
  <si>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</si>
  <si>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</si>
  <si>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</si>
  <si>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</si>
  <si>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</si>
  <si>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</si>
  <si>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</si>
  <si>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</si>
  <si>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</si>
  <si>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</si>
  <si>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</si>
  <si>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</si>
  <si>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</si>
  <si>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</si>
  <si>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</si>
  <si>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</si>
  <si>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</si>
  <si>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</si>
  <si>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</si>
  <si>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</si>
  <si>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</si>
  <si>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</si>
  <si>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</si>
  <si>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</si>
  <si>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</si>
  <si>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</si>
  <si>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</si>
  <si>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</si>
  <si>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</si>
  <si>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</si>
  <si>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</si>
  <si>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</si>
  <si>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</si>
  <si>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</si>
  <si>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</si>
  <si>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</si>
  <si>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</si>
  <si>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</si>
  <si>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</si>
  <si>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</si>
  <si>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</si>
  <si>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</si>
  <si>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</si>
  <si>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</si>
  <si>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</si>
  <si>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</si>
  <si>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</si>
  <si>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</si>
  <si>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</si>
  <si>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</si>
  <si>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</si>
  <si>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</si>
  <si>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</si>
  <si>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</si>
  <si>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</si>
  <si>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</si>
  <si>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</si>
  <si>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</si>
  <si>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</si>
  <si>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</si>
  <si>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</si>
  <si>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</si>
  <si>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</si>
  <si>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</si>
  <si>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</si>
  <si>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</si>
  <si>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</si>
  <si>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</si>
  <si>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</si>
  <si>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</si>
  <si>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</si>
  <si>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</si>
  <si>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</si>
  <si>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</si>
  <si>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</si>
  <si>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</si>
  <si>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</si>
  <si>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</si>
  <si>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</si>
  <si>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</si>
  <si>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</si>
  <si>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</si>
  <si>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</si>
  <si>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</si>
  <si>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</si>
  <si>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</si>
  <si>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</si>
  <si>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</si>
  <si>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</si>
  <si>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</si>
  <si>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</si>
  <si>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</si>
  <si>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</si>
  <si>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</si>
  <si>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</si>
  <si>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</si>
  <si>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</si>
  <si>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</si>
  <si>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</si>
  <si>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</si>
  <si>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</si>
  <si>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</si>
  <si>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</si>
  <si>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</si>
  <si>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</si>
  <si>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</si>
  <si>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</si>
  <si>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</si>
  <si>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</si>
  <si>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</si>
  <si>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</si>
  <si>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</si>
  <si>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</si>
  <si>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</si>
  <si>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</si>
  <si>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</si>
  <si>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</si>
  <si>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</si>
  <si>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</si>
  <si>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</si>
  <si>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</si>
  <si>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</si>
  <si>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</si>
  <si>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</si>
  <si>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</si>
  <si>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</si>
  <si>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</si>
  <si>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</si>
  <si>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</si>
  <si>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</si>
  <si>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</si>
  <si>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</si>
  <si>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</si>
  <si>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</si>
  <si>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</si>
  <si>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</si>
  <si>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M2</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</si>
  <si>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</si>
  <si>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</si>
  <si>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</si>
  <si>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</si>
  <si>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</si>
  <si>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</si>
  <si>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</si>
  <si>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</si>
  <si>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</si>
  <si>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</si>
  <si>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</si>
  <si>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</si>
  <si>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</si>
  <si>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</si>
  <si>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</si>
  <si>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</si>
  <si>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</si>
  <si>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</si>
  <si>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</si>
  <si>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</si>
  <si>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</si>
  <si>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</si>
  <si>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</si>
  <si>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</si>
  <si>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</si>
  <si>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</si>
  <si>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</si>
  <si>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</si>
  <si>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</si>
  <si>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</si>
  <si>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</si>
  <si>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</si>
  <si>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</si>
  <si>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</si>
  <si>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</si>
  <si>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</si>
  <si>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</si>
  <si>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</si>
  <si>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</si>
  <si>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</si>
  <si>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</si>
  <si>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</si>
  <si>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</si>
  <si>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</si>
  <si>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</si>
  <si>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</si>
  <si>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</si>
  <si>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</si>
  <si>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</si>
  <si>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</si>
  <si>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</si>
  <si>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</si>
  <si>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</si>
  <si>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</si>
  <si>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</si>
  <si>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</si>
  <si>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</si>
  <si>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</si>
  <si>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</si>
  <si>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</si>
  <si>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</si>
  <si>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</si>
  <si>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</si>
  <si>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</si>
  <si>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</si>
  <si>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DE 11,5 X 19 X 19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</si>
  <si>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</si>
  <si>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</si>
  <si>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</si>
  <si>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CERAMICO / TIJOLO VAZADO PARA ALVENARIA DE VEDACAO, 4 FUROS NA HORIZONTAL DE 9 X 9 X 19 CM (L X A X C)</t>
  </si>
  <si>
    <t>BLOCO CERAMICO / TIJOLO VAZADO PARA ALVENARIA DE VEDACAO, 6 FUROS NA HORIZONTAL DE 9 X 14 X 19 CM (L X A X C)</t>
  </si>
  <si>
    <t>BLOCO CERAMICO / TIJOLO VAZADO PARA ALVENARIA DE VEDACAO, 8 FUROS NA HORIZONTAL DE 9 X 19 X 19 CM (L X A X C)</t>
  </si>
  <si>
    <t>BLOCO CERAMICO / TIJOLO VAZADO PARA ALVENARIA DE VEDACAO, 8 FUROS NA HORIZONTAL DE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</si>
  <si>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</si>
  <si>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</si>
  <si>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</si>
  <si>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</si>
  <si>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</si>
  <si>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</si>
  <si>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</si>
  <si>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</si>
  <si>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</si>
  <si>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</si>
  <si>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</si>
  <si>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</si>
  <si>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</si>
  <si>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</si>
  <si>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</si>
  <si>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</si>
  <si>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</si>
  <si>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</si>
  <si>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</si>
  <si>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</si>
  <si>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</si>
  <si>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</si>
  <si>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</si>
  <si>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</si>
  <si>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</si>
  <si>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</si>
  <si>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</si>
  <si>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</si>
  <si>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</si>
  <si>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</si>
  <si>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</si>
  <si>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</si>
  <si>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</si>
  <si>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</si>
  <si>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</si>
  <si>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</si>
  <si>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</si>
  <si>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</si>
  <si>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</si>
  <si>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</si>
  <si>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</si>
  <si>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</si>
  <si>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</si>
  <si>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</si>
  <si>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</si>
  <si>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</si>
  <si>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</si>
  <si>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</si>
  <si>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</si>
  <si>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</si>
  <si>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</si>
  <si>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</si>
  <si>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</si>
  <si>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</si>
  <si>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</si>
  <si>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</si>
  <si>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</si>
  <si>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</si>
  <si>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</si>
  <si>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</si>
  <si>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</si>
  <si>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</si>
  <si>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</si>
  <si>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</si>
  <si>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</si>
  <si>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</si>
  <si>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</si>
  <si>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</si>
  <si>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</si>
  <si>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</si>
  <si>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</si>
  <si>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</si>
  <si>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</si>
  <si>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</si>
  <si>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</si>
  <si>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</si>
  <si>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</si>
  <si>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</si>
  <si>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</si>
  <si>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</si>
  <si>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</si>
  <si>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</si>
  <si>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</si>
  <si>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</si>
  <si>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</si>
  <si>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</si>
  <si>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</si>
  <si>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</si>
  <si>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</si>
  <si>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</si>
  <si>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</si>
  <si>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</si>
  <si>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</si>
  <si>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</si>
  <si>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</si>
  <si>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</si>
  <si>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</si>
  <si>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</si>
  <si>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</si>
  <si>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</si>
  <si>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</si>
  <si>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</si>
  <si>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</si>
  <si>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</si>
  <si>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</si>
  <si>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</si>
  <si>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</si>
  <si>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</si>
  <si>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</si>
  <si>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</si>
  <si>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</si>
  <si>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</si>
  <si>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</si>
  <si>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</si>
  <si>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</si>
  <si>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</si>
  <si>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</si>
  <si>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</si>
  <si>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</si>
  <si>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</si>
  <si>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</si>
  <si>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</si>
  <si>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</si>
  <si>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</si>
  <si>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</si>
  <si>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</si>
  <si>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</si>
  <si>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</si>
  <si>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</si>
  <si>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</si>
  <si>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</si>
  <si>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</si>
  <si>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</si>
  <si>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</si>
  <si>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</si>
  <si>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</si>
  <si>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</si>
  <si>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</si>
  <si>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</si>
  <si>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</si>
  <si>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</si>
  <si>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</si>
  <si>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</si>
  <si>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</si>
  <si>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</si>
  <si>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</si>
  <si>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</si>
  <si>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</si>
  <si>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</si>
  <si>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</si>
  <si>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</si>
  <si>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</si>
  <si>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</si>
  <si>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</si>
  <si>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</si>
  <si>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</si>
  <si>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</si>
  <si>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</si>
  <si>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</si>
  <si>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</si>
  <si>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</si>
  <si>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</si>
  <si>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</si>
  <si>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</si>
  <si>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</si>
  <si>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</si>
  <si>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</si>
  <si>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</si>
  <si>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</si>
  <si>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</si>
  <si>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</si>
  <si>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</si>
  <si>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</si>
  <si>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</si>
  <si>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</si>
  <si>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</si>
  <si>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</si>
  <si>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</si>
  <si>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</si>
  <si>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</si>
  <si>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</si>
  <si>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</si>
  <si>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</si>
  <si>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</si>
  <si>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</si>
  <si>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</si>
  <si>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</si>
  <si>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</si>
  <si>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</si>
  <si>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</si>
  <si>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</si>
  <si>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</si>
  <si>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</si>
  <si>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</si>
  <si>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</si>
  <si>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</si>
  <si>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</si>
  <si>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</si>
  <si>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</si>
  <si>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</si>
  <si>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</si>
  <si>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</si>
  <si>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</si>
  <si>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</si>
  <si>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</si>
  <si>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</si>
  <si>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</si>
  <si>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</si>
  <si>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</si>
  <si>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</si>
  <si>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</si>
  <si>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</si>
  <si>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</si>
  <si>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</si>
  <si>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</si>
  <si>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</si>
  <si>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</si>
  <si>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</si>
  <si>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</si>
  <si>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</si>
  <si>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</si>
  <si>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</si>
  <si>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</si>
  <si>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</si>
  <si>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</si>
  <si>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</si>
  <si>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</si>
  <si>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</si>
  <si>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</si>
  <si>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</si>
  <si>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</si>
  <si>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</si>
  <si>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</si>
  <si>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</si>
  <si>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</si>
  <si>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</si>
  <si>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</si>
  <si>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</si>
  <si>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</si>
  <si>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</si>
  <si>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</si>
  <si>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</si>
  <si>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</si>
  <si>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</si>
  <si>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</si>
  <si>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</si>
  <si>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</si>
  <si>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</si>
  <si>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</si>
  <si>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</si>
  <si>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</si>
  <si>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</si>
  <si>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</si>
  <si>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</si>
  <si>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</si>
  <si>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</si>
  <si>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</si>
  <si>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</si>
  <si>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</si>
  <si>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</si>
  <si>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</si>
  <si>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</si>
  <si>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</si>
  <si>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</si>
  <si>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</si>
  <si>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</si>
  <si>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</si>
  <si>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</si>
  <si>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</si>
  <si>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</si>
  <si>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</si>
  <si>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</si>
  <si>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</si>
  <si>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</si>
  <si>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</si>
  <si>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</si>
  <si>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</si>
  <si>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</si>
  <si>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</si>
  <si>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</si>
  <si>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</si>
  <si>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</si>
  <si>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</si>
  <si>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</si>
  <si>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</si>
  <si>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</si>
  <si>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</si>
  <si>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</si>
  <si>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</si>
  <si>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</si>
  <si>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</si>
  <si>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</si>
  <si>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</si>
  <si>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</si>
  <si>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</si>
  <si>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</si>
  <si>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</si>
  <si>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</si>
  <si>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</si>
  <si>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</si>
  <si>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</si>
  <si>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</si>
  <si>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</si>
  <si>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</si>
  <si>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</si>
  <si>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</si>
  <si>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</si>
  <si>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</si>
  <si>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</si>
  <si>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</si>
  <si>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</si>
  <si>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</si>
  <si>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</si>
  <si>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</si>
  <si>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</si>
  <si>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</si>
  <si>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</si>
  <si>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</si>
  <si>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</si>
  <si>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</si>
  <si>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</si>
  <si>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</si>
  <si>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</si>
  <si>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</si>
  <si>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</si>
  <si>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</si>
  <si>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</si>
  <si>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</si>
  <si>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</si>
  <si>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</si>
  <si>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</si>
  <si>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</si>
  <si>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</si>
  <si>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</si>
  <si>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</si>
  <si>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</si>
  <si>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</si>
  <si>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</si>
  <si>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</si>
  <si>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</si>
  <si>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</si>
  <si>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</si>
  <si>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</si>
  <si>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</si>
  <si>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</si>
  <si>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</si>
  <si>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</si>
  <si>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</si>
  <si>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</si>
  <si>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</si>
  <si>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</si>
  <si>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</si>
  <si>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</si>
  <si>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</si>
  <si>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</si>
  <si>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</si>
  <si>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</si>
  <si>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</si>
  <si>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</si>
  <si>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</si>
  <si>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</si>
  <si>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</si>
  <si>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</si>
  <si>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</si>
  <si>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</si>
  <si>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</si>
  <si>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</si>
  <si>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</si>
  <si>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</si>
  <si>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</si>
  <si>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</si>
  <si>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</si>
  <si>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</si>
  <si>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</si>
  <si>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</si>
  <si>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</si>
  <si>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</si>
  <si>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</si>
  <si>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</si>
  <si>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</si>
  <si>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</si>
  <si>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</si>
  <si>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</si>
  <si>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</si>
  <si>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</si>
  <si>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</si>
  <si>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</si>
  <si>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</si>
  <si>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</si>
  <si>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</si>
  <si>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</si>
  <si>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</si>
  <si>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</si>
  <si>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</si>
  <si>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</si>
  <si>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</si>
  <si>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</si>
  <si>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</si>
  <si>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</si>
  <si>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</si>
  <si>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</si>
  <si>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</si>
  <si>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</si>
  <si>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</si>
  <si>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</si>
  <si>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</si>
  <si>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</si>
  <si>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</si>
  <si>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</si>
  <si>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</si>
  <si>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</si>
  <si>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</si>
  <si>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</si>
  <si>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</si>
  <si>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</si>
  <si>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</si>
  <si>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</si>
  <si>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</si>
  <si>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</si>
  <si>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</si>
  <si>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</si>
  <si>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</si>
  <si>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</si>
  <si>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</si>
  <si>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</si>
  <si>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</si>
  <si>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</si>
  <si>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</si>
  <si>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</si>
  <si>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</si>
  <si>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</si>
  <si>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</si>
  <si>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</si>
  <si>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</si>
  <si>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</si>
  <si>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</si>
  <si>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</si>
  <si>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</si>
  <si>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</si>
  <si>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</si>
  <si>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</si>
  <si>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</si>
  <si>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</si>
  <si>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</si>
  <si>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</si>
  <si>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</si>
  <si>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</si>
  <si>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</si>
  <si>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</si>
  <si>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</si>
  <si>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</si>
  <si>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</si>
  <si>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</si>
  <si>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</si>
  <si>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</si>
  <si>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</si>
  <si>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</si>
  <si>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</si>
  <si>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</si>
  <si>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</si>
  <si>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</si>
  <si>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</si>
  <si>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</si>
  <si>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</si>
  <si>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</si>
  <si>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</si>
  <si>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</si>
  <si>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</si>
  <si>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</si>
  <si>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</si>
  <si>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</si>
  <si>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</si>
  <si>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</si>
  <si>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</si>
  <si>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</si>
  <si>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</si>
  <si>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</si>
  <si>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</si>
  <si>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</si>
  <si>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</si>
  <si>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</si>
  <si>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</si>
  <si>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</si>
  <si>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</si>
  <si>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</si>
  <si>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</si>
  <si>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</si>
  <si>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</si>
  <si>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</si>
  <si>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</si>
  <si>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</si>
  <si>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</si>
  <si>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</si>
  <si>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</si>
  <si>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</si>
  <si>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</si>
  <si>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</si>
  <si>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</si>
  <si>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</si>
  <si>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</si>
  <si>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</si>
  <si>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</si>
  <si>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</si>
  <si>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</si>
  <si>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</si>
  <si>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</si>
  <si>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</si>
  <si>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</si>
  <si>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</si>
  <si>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</si>
  <si>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</si>
  <si>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</si>
  <si>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</si>
  <si>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</si>
  <si>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</si>
  <si>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</si>
  <si>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</si>
  <si>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</si>
  <si>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</si>
  <si>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</si>
  <si>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</si>
  <si>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</si>
  <si>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</si>
  <si>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</si>
  <si>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</si>
  <si>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</si>
  <si>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</si>
  <si>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</si>
  <si>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</si>
  <si>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</si>
  <si>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</si>
  <si>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</si>
  <si>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</si>
  <si>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</si>
  <si>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</si>
  <si>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</si>
  <si>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</si>
  <si>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</si>
  <si>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</si>
  <si>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</si>
  <si>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</si>
  <si>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</si>
  <si>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</si>
  <si>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</si>
  <si>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</si>
  <si>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</si>
  <si>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</si>
  <si>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</si>
  <si>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</si>
  <si>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</si>
  <si>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</si>
  <si>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</si>
  <si>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</si>
  <si>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</si>
  <si>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</si>
  <si>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</si>
  <si>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</si>
  <si>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</si>
  <si>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</si>
  <si>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</si>
  <si>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</si>
  <si>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</si>
  <si>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</si>
  <si>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</si>
  <si>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</si>
  <si>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</si>
  <si>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</si>
  <si>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</si>
  <si>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</si>
  <si>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</si>
  <si>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</si>
  <si>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</si>
  <si>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</si>
  <si>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</si>
  <si>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</si>
  <si>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</si>
  <si>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</si>
  <si>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</si>
  <si>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</si>
  <si>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</si>
  <si>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</si>
  <si>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</si>
  <si>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</si>
  <si>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</si>
  <si>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</si>
  <si>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</si>
  <si>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</si>
  <si>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</si>
  <si>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</si>
  <si>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</si>
  <si>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</si>
  <si>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</si>
  <si>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</si>
  <si>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</si>
  <si>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</si>
  <si>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</si>
  <si>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</si>
  <si>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</si>
  <si>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</si>
  <si>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</si>
  <si>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</si>
  <si>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</si>
  <si>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</si>
  <si>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</si>
  <si>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</si>
  <si>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</si>
  <si>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</si>
  <si>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</si>
  <si>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</si>
  <si>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</si>
  <si>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1/2" (12,70 MM) 99,59 KG/M2</t>
  </si>
  <si>
    <t>CHAPA DE ACO GROSSA, ASTM A36, E = 1/4" (6,35 MM) 49,79 KG/M2</t>
  </si>
  <si>
    <t>CHAPA DE ACO GROSSA, ASTM A36, E = 1" (25,40 MM) 199,18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</si>
  <si>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</si>
  <si>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</si>
  <si>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</si>
  <si>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</si>
  <si>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</si>
  <si>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</si>
  <si>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</si>
  <si>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</si>
  <si>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</si>
  <si>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</si>
  <si>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</si>
  <si>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</si>
  <si>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</si>
  <si>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</si>
  <si>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</si>
  <si>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</si>
  <si>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</si>
  <si>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</si>
  <si>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</si>
  <si>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</si>
  <si>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</si>
  <si>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</si>
  <si>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</si>
  <si>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</si>
  <si>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</si>
  <si>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</si>
  <si>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</si>
  <si>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</si>
  <si>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</si>
  <si>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</si>
  <si>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</si>
  <si>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</si>
  <si>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</si>
  <si>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</si>
  <si>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</si>
  <si>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</si>
  <si>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</si>
  <si>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</si>
  <si>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</si>
  <si>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</si>
  <si>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</si>
  <si>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</si>
  <si>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</si>
  <si>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</si>
  <si>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</si>
  <si>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</si>
  <si>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</si>
  <si>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</si>
  <si>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</si>
  <si>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</si>
  <si>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</si>
  <si>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</si>
  <si>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</si>
  <si>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</si>
  <si>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</si>
  <si>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</si>
  <si>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</si>
  <si>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</si>
  <si>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</si>
  <si>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</si>
  <si>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</si>
  <si>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</si>
  <si>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</si>
  <si>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</si>
  <si>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</si>
  <si>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</si>
  <si>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</si>
  <si>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</si>
  <si>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</si>
  <si>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</si>
  <si>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</si>
  <si>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</si>
  <si>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</si>
  <si>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</si>
  <si>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</si>
  <si>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</si>
  <si>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</si>
  <si>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</si>
  <si>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</si>
  <si>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</si>
  <si>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</si>
  <si>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</si>
  <si>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</si>
  <si>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</si>
  <si>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</si>
  <si>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</si>
  <si>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</si>
  <si>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</si>
  <si>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</si>
  <si>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</si>
  <si>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</si>
  <si>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</si>
  <si>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</si>
  <si>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</si>
  <si>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</si>
  <si>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</si>
  <si>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</si>
  <si>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</si>
  <si>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</si>
  <si>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</si>
  <si>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</si>
  <si>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</si>
  <si>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</si>
  <si>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</si>
  <si>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</si>
  <si>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T</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</si>
  <si>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</si>
  <si>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</si>
  <si>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</si>
  <si>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</si>
  <si>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</si>
  <si>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</si>
  <si>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</si>
  <si>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</si>
  <si>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</si>
  <si>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</si>
  <si>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</si>
  <si>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</si>
  <si>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</si>
  <si>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</si>
  <si>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</si>
  <si>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</si>
  <si>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</si>
  <si>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</si>
  <si>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</si>
  <si>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</si>
  <si>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</si>
  <si>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</si>
  <si>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</si>
  <si>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</si>
  <si>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</si>
  <si>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</si>
  <si>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</si>
  <si>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</si>
  <si>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</si>
  <si>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</si>
  <si>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</si>
  <si>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</si>
  <si>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</si>
  <si>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</si>
  <si>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</si>
  <si>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</si>
  <si>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</si>
  <si>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</si>
  <si>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</si>
  <si>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</si>
  <si>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</si>
  <si>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</si>
  <si>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</si>
  <si>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</si>
  <si>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</si>
  <si>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</si>
  <si>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</si>
  <si>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</si>
  <si>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</si>
  <si>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</si>
  <si>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</si>
  <si>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</si>
  <si>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</si>
  <si>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</si>
  <si>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</si>
  <si>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</si>
  <si>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</si>
  <si>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</si>
  <si>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</si>
  <si>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</si>
  <si>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</si>
  <si>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</si>
  <si>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</si>
  <si>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</si>
  <si>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</si>
  <si>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</si>
  <si>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</si>
  <si>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</si>
  <si>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</si>
  <si>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</si>
  <si>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</si>
  <si>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</si>
  <si>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</si>
  <si>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</si>
  <si>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</si>
  <si>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</si>
  <si>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</si>
  <si>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</si>
  <si>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</si>
  <si>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</si>
  <si>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</si>
  <si>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</si>
  <si>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</si>
  <si>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</si>
  <si>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</si>
  <si>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</si>
  <si>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</si>
  <si>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</si>
  <si>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</si>
  <si>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</si>
  <si>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</si>
  <si>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</si>
  <si>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</si>
  <si>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</si>
  <si>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</si>
  <si>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</si>
  <si>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</si>
  <si>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</si>
  <si>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</si>
  <si>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</si>
  <si>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</si>
  <si>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</si>
  <si>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</si>
  <si>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</si>
  <si>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</si>
  <si>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</si>
  <si>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</si>
  <si>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</si>
  <si>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</si>
  <si>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</si>
  <si>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</si>
  <si>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</si>
  <si>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</si>
  <si>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</si>
  <si>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</si>
  <si>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</si>
  <si>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</si>
  <si>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</si>
  <si>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</si>
  <si>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</si>
  <si>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</si>
  <si>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</si>
  <si>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</si>
  <si>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</si>
  <si>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</si>
  <si>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</si>
  <si>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</si>
  <si>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</si>
  <si>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</si>
  <si>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</si>
  <si>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</si>
  <si>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</si>
  <si>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</si>
  <si>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</si>
  <si>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</si>
  <si>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</si>
  <si>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</si>
  <si>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</si>
  <si>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</si>
  <si>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</si>
  <si>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</si>
  <si>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</si>
  <si>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</si>
  <si>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</si>
  <si>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</si>
  <si>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</si>
  <si>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</si>
  <si>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</si>
  <si>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</si>
  <si>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</si>
  <si>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</si>
  <si>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</si>
  <si>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</si>
  <si>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</si>
  <si>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</si>
  <si>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</si>
  <si>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</si>
  <si>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</si>
  <si>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</si>
  <si>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</si>
  <si>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</si>
  <si>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</si>
  <si>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</si>
  <si>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</si>
  <si>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</si>
  <si>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</si>
  <si>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</si>
  <si>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</si>
  <si>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</si>
  <si>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</si>
  <si>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</si>
  <si>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</si>
  <si>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</si>
  <si>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</si>
  <si>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</si>
  <si>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</si>
  <si>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</si>
  <si>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</si>
  <si>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</si>
  <si>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</si>
  <si>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</si>
  <si>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</si>
  <si>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</si>
  <si>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</si>
  <si>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</si>
  <si>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</si>
  <si>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</si>
  <si>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</si>
  <si>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</si>
  <si>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</si>
  <si>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</si>
  <si>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</si>
  <si>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</si>
  <si>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</si>
  <si>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</si>
  <si>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</si>
  <si>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</si>
  <si>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</si>
  <si>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</si>
  <si>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</si>
  <si>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</si>
  <si>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</si>
  <si>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</si>
  <si>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</si>
  <si>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</si>
  <si>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</si>
  <si>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</si>
  <si>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</si>
  <si>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</si>
  <si>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</si>
  <si>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</si>
  <si>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</si>
  <si>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</si>
  <si>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</si>
  <si>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</si>
  <si>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</si>
  <si>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</si>
  <si>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</si>
  <si>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</si>
  <si>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</si>
  <si>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</si>
  <si>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</si>
  <si>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</si>
  <si>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</si>
  <si>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</si>
  <si>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</si>
  <si>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</si>
  <si>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</si>
  <si>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</si>
  <si>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</si>
  <si>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</si>
  <si>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</si>
  <si>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</si>
  <si>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</si>
  <si>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</si>
  <si>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</si>
  <si>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</si>
  <si>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</si>
  <si>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</si>
  <si>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</si>
  <si>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</si>
  <si>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</si>
  <si>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</si>
  <si>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</si>
  <si>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</si>
  <si>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</si>
  <si>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</si>
  <si>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</si>
  <si>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</si>
  <si>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</si>
  <si>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</si>
  <si>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</si>
  <si>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</si>
  <si>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</si>
  <si>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</si>
  <si>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</si>
  <si>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</si>
  <si>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</si>
  <si>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</si>
  <si>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</si>
  <si>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</si>
  <si>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</si>
  <si>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</si>
  <si>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</si>
  <si>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</si>
  <si>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</si>
  <si>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</si>
  <si>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</si>
  <si>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</si>
  <si>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</si>
  <si>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</si>
  <si>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</si>
  <si>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</si>
  <si>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</si>
  <si>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</si>
  <si>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</si>
  <si>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</si>
  <si>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</si>
  <si>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</si>
  <si>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</si>
  <si>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</si>
  <si>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</si>
  <si>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</si>
  <si>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</si>
  <si>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</si>
  <si>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</si>
  <si>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</si>
  <si>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</si>
  <si>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</si>
  <si>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</si>
  <si>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</si>
  <si>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</si>
  <si>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</si>
  <si>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</si>
  <si>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</si>
  <si>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</si>
  <si>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</si>
  <si>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</si>
  <si>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</si>
  <si>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</si>
  <si>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</si>
  <si>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</si>
  <si>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</si>
  <si>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</si>
  <si>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</si>
  <si>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</si>
  <si>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</si>
  <si>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</si>
  <si>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</si>
  <si>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</si>
  <si>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</si>
  <si>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</si>
  <si>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</si>
  <si>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</si>
  <si>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</si>
  <si>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</si>
  <si>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</si>
  <si>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</si>
  <si>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</si>
  <si>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</si>
  <si>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</si>
  <si>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</si>
  <si>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</si>
  <si>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</si>
  <si>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</si>
  <si>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</si>
  <si>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</si>
  <si>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</si>
  <si>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</si>
  <si>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</si>
  <si>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</si>
  <si>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</si>
  <si>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</si>
  <si>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</si>
  <si>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</si>
  <si>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</si>
  <si>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</si>
  <si>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</si>
  <si>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</si>
  <si>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</si>
  <si>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</si>
  <si>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</si>
  <si>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</si>
  <si>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</si>
  <si>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</si>
  <si>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</si>
  <si>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</si>
  <si>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</si>
  <si>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</si>
  <si>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</si>
  <si>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</si>
  <si>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</si>
  <si>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</si>
  <si>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</si>
  <si>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</si>
  <si>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</si>
  <si>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</si>
  <si>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</si>
  <si>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</si>
  <si>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</si>
  <si>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</si>
  <si>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</si>
  <si>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</si>
  <si>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</si>
  <si>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</si>
  <si>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</si>
  <si>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</si>
  <si>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</si>
  <si>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</si>
  <si>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</si>
  <si>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</si>
  <si>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</si>
  <si>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</si>
  <si>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</si>
  <si>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</si>
  <si>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</si>
  <si>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</si>
  <si>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</si>
  <si>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</si>
  <si>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</si>
  <si>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</si>
  <si>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</si>
  <si>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</si>
  <si>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</si>
  <si>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</si>
  <si>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</si>
  <si>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</si>
  <si>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</si>
  <si>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</si>
  <si>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</si>
  <si>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</si>
  <si>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</si>
  <si>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</si>
  <si>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</si>
  <si>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</si>
  <si>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</si>
  <si>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</si>
  <si>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</si>
  <si>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</si>
  <si>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</si>
  <si>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</si>
  <si>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</si>
  <si>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</si>
  <si>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</si>
  <si>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</si>
  <si>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</si>
  <si>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</si>
  <si>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</si>
  <si>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</si>
  <si>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</si>
  <si>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</si>
  <si>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</si>
  <si>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</si>
  <si>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</si>
  <si>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</si>
  <si>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</si>
  <si>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</si>
  <si>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</si>
  <si>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</si>
  <si>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</si>
  <si>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</si>
  <si>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</si>
  <si>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</si>
  <si>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</si>
  <si>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</si>
  <si>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</si>
  <si>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</si>
  <si>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</si>
  <si>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</si>
  <si>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</si>
  <si>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</si>
  <si>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</si>
  <si>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</si>
  <si>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</si>
  <si>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</si>
  <si>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</si>
  <si>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</si>
  <si>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</si>
  <si>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</si>
  <si>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</si>
  <si>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</si>
  <si>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</si>
  <si>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</si>
  <si>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</si>
  <si>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</si>
  <si>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</si>
  <si>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</si>
  <si>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</si>
  <si>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</si>
  <si>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</si>
  <si>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</si>
  <si>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</si>
  <si>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</si>
  <si>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</si>
  <si>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</si>
  <si>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</si>
  <si>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</si>
  <si>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</si>
  <si>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</si>
  <si>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</si>
  <si>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</si>
  <si>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</si>
  <si>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</si>
  <si>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</si>
  <si>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</si>
  <si>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</si>
  <si>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</si>
  <si>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</si>
  <si>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</si>
  <si>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</si>
  <si>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</si>
  <si>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</si>
  <si>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</si>
  <si>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</si>
  <si>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</si>
  <si>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</si>
  <si>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</si>
  <si>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</si>
  <si>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</si>
  <si>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</si>
  <si>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</si>
  <si>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</si>
  <si>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</si>
  <si>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 DIAMETRO DE 110 MM, FURO DE 20 MM</t>
  </si>
  <si>
    <t>DISCO DE CORTE DIAMANTADO SEGMENTADO PARA CONCRETO, DIAMETRO DE 350 MM, FURO DE 1" (14 X 1 ")</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</si>
  <si>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</si>
  <si>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</si>
  <si>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</si>
  <si>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</si>
  <si>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</si>
  <si>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</si>
  <si>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</si>
  <si>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</si>
  <si>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</si>
  <si>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</si>
  <si>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</si>
  <si>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</si>
  <si>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</si>
  <si>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</si>
  <si>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</si>
  <si>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</si>
  <si>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</si>
  <si>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</si>
  <si>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</si>
  <si>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</si>
  <si>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</si>
  <si>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</si>
  <si>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</si>
  <si>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</si>
  <si>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</si>
  <si>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</si>
  <si>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</si>
  <si>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</si>
  <si>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</si>
  <si>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</si>
  <si>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</si>
  <si>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</si>
  <si>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</si>
  <si>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</si>
  <si>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</si>
  <si>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</si>
  <si>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</si>
  <si>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</si>
  <si>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</si>
  <si>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</si>
  <si>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</si>
  <si>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</si>
  <si>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</si>
  <si>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</si>
  <si>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</si>
  <si>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</si>
  <si>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</si>
  <si>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</si>
  <si>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</si>
  <si>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</si>
  <si>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</si>
  <si>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</si>
  <si>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</si>
  <si>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</si>
  <si>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</si>
  <si>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</si>
  <si>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</si>
  <si>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</si>
  <si>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</si>
  <si>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</si>
  <si>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</si>
  <si>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</si>
  <si>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</si>
  <si>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</si>
  <si>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</si>
  <si>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</si>
  <si>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</si>
  <si>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</si>
  <si>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</si>
  <si>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</si>
  <si>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</si>
  <si>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</si>
  <si>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</si>
  <si>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</si>
  <si>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</si>
  <si>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</si>
  <si>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</si>
  <si>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</si>
  <si>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</si>
  <si>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</si>
  <si>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</si>
  <si>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</si>
  <si>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</si>
  <si>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</si>
  <si>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</si>
  <si>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</si>
  <si>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</si>
  <si>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</si>
  <si>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</si>
  <si>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</si>
  <si>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</si>
  <si>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</si>
  <si>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</si>
  <si>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</si>
  <si>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</si>
  <si>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</si>
  <si>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</si>
  <si>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</si>
  <si>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</si>
  <si>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</si>
  <si>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</si>
  <si>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</si>
  <si>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</si>
  <si>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</si>
  <si>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</si>
  <si>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</si>
  <si>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</si>
  <si>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</si>
  <si>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</si>
  <si>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</si>
  <si>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</si>
  <si>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</si>
  <si>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</si>
  <si>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</si>
  <si>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</si>
  <si>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</si>
  <si>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</si>
  <si>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</si>
  <si>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</si>
  <si>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</si>
  <si>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</si>
  <si>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</si>
  <si>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</si>
  <si>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</si>
  <si>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</si>
  <si>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</si>
  <si>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</si>
  <si>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</si>
  <si>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</si>
  <si>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</si>
  <si>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</si>
  <si>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</si>
  <si>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</si>
  <si>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</si>
  <si>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</si>
  <si>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</si>
  <si>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</si>
  <si>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</si>
  <si>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</si>
  <si>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</si>
  <si>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</si>
  <si>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1/2"</t>
  </si>
  <si>
    <t>ELETRODUTO FLEXIVEL, EM FITA DE ACO GALVANIZADO, SEM REVESTIMENTO, DIAMETRO NOMINAL 1"</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</si>
  <si>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</si>
  <si>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</si>
  <si>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</si>
  <si>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</si>
  <si>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</si>
  <si>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</si>
  <si>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</si>
  <si>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</si>
  <si>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</si>
  <si>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</si>
  <si>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</si>
  <si>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</si>
  <si>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</si>
  <si>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</si>
  <si>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</si>
  <si>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</si>
  <si>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</si>
  <si>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</si>
  <si>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</si>
  <si>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</si>
  <si>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</si>
  <si>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</si>
  <si>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</si>
  <si>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</si>
  <si>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</si>
  <si>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</si>
  <si>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</si>
  <si>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</si>
  <si>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</si>
  <si>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</si>
  <si>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</si>
  <si>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</si>
  <si>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</si>
  <si>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</si>
  <si>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</si>
  <si>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</si>
  <si>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</si>
  <si>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</si>
  <si>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</si>
  <si>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</si>
  <si>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</si>
  <si>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</si>
  <si>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</si>
  <si>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</si>
  <si>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</si>
  <si>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</si>
  <si>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</si>
  <si>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</si>
  <si>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</si>
  <si>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</si>
  <si>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</si>
  <si>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</si>
  <si>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</si>
  <si>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</si>
  <si>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</si>
  <si>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</si>
  <si>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</si>
  <si>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</si>
  <si>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</si>
  <si>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</si>
  <si>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</si>
  <si>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</si>
  <si>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</si>
  <si>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</si>
  <si>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</si>
  <si>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</si>
  <si>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</si>
  <si>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</si>
  <si>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</si>
  <si>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</si>
  <si>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</si>
  <si>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</si>
  <si>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</si>
  <si>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</si>
  <si>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</si>
  <si>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</si>
  <si>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</si>
  <si>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</si>
  <si>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</si>
  <si>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</si>
  <si>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</si>
  <si>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</si>
  <si>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</si>
  <si>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</si>
  <si>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</si>
  <si>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</si>
  <si>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</si>
  <si>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</si>
  <si>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</si>
  <si>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</si>
  <si>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</si>
  <si>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</si>
  <si>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</si>
  <si>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</si>
  <si>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</si>
  <si>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</si>
  <si>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</si>
  <si>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</si>
  <si>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</si>
  <si>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</si>
  <si>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</si>
  <si>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</si>
  <si>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</si>
  <si>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</si>
  <si>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</si>
  <si>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</si>
  <si>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</si>
  <si>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</si>
  <si>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</si>
  <si>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</si>
  <si>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</si>
  <si>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</si>
  <si>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</si>
  <si>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</si>
  <si>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</si>
  <si>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</si>
  <si>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</si>
  <si>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</si>
  <si>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</si>
  <si>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</si>
  <si>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</si>
  <si>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</si>
  <si>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</si>
  <si>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</si>
  <si>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</si>
  <si>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</si>
  <si>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</si>
  <si>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</si>
  <si>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</si>
  <si>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</si>
  <si>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</si>
  <si>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</si>
  <si>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</si>
  <si>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</si>
  <si>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</si>
  <si>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</si>
  <si>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</si>
  <si>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</si>
  <si>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</si>
  <si>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</si>
  <si>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</si>
  <si>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</si>
  <si>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</si>
  <si>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</si>
  <si>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</si>
  <si>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</si>
  <si>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</si>
  <si>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</si>
  <si>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</si>
  <si>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</si>
  <si>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</si>
  <si>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</si>
  <si>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</si>
  <si>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</si>
  <si>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</si>
  <si>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</si>
  <si>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</si>
  <si>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</si>
  <si>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</si>
  <si>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</si>
  <si>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</si>
  <si>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</si>
  <si>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</si>
  <si>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</si>
  <si>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</si>
  <si>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</si>
  <si>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</si>
  <si>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</si>
  <si>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</si>
  <si>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</si>
  <si>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</si>
  <si>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</si>
  <si>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</si>
  <si>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</si>
  <si>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</si>
  <si>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</si>
  <si>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</si>
  <si>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</si>
  <si>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</si>
  <si>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</si>
  <si>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</si>
  <si>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</si>
  <si>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</si>
  <si>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</si>
  <si>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</si>
  <si>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</si>
  <si>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</si>
  <si>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</si>
  <si>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</si>
  <si>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</si>
  <si>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</si>
  <si>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</si>
  <si>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</si>
  <si>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</si>
  <si>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</si>
  <si>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</si>
  <si>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</si>
  <si>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</si>
  <si>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</si>
  <si>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</si>
  <si>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</si>
  <si>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</si>
  <si>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</si>
  <si>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</si>
  <si>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</si>
  <si>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</si>
  <si>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</si>
  <si>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</si>
  <si>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</si>
  <si>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</si>
  <si>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</si>
  <si>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</si>
  <si>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</si>
  <si>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</si>
  <si>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</si>
  <si>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</si>
  <si>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</si>
  <si>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</si>
  <si>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</si>
  <si>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</si>
  <si>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</si>
  <si>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</si>
  <si>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</si>
  <si>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</si>
  <si>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</si>
  <si>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</si>
  <si>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</si>
  <si>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</si>
  <si>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</si>
  <si>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</si>
  <si>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</si>
  <si>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</si>
  <si>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</si>
  <si>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</si>
  <si>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</si>
  <si>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</si>
  <si>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</si>
  <si>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</si>
  <si>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</si>
  <si>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</si>
  <si>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</si>
  <si>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</si>
  <si>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</si>
  <si>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</si>
  <si>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</si>
  <si>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</si>
  <si>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</si>
  <si>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</si>
  <si>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</si>
  <si>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</si>
  <si>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</si>
  <si>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</si>
  <si>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</si>
  <si>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</si>
  <si>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</si>
  <si>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</si>
  <si>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</si>
  <si>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</si>
  <si>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</si>
  <si>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</si>
  <si>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</si>
  <si>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</si>
  <si>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</si>
  <si>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</si>
  <si>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</si>
  <si>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</si>
  <si>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</si>
  <si>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</si>
  <si>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</si>
  <si>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</si>
  <si>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</si>
  <si>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</si>
  <si>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</si>
  <si>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</si>
  <si>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</si>
  <si>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</si>
  <si>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</si>
  <si>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</si>
  <si>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</si>
  <si>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</si>
  <si>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</si>
  <si>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</si>
  <si>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</si>
  <si>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</si>
  <si>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</si>
  <si>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</si>
  <si>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</si>
  <si>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</si>
  <si>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</si>
  <si>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</si>
  <si>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</si>
  <si>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</si>
  <si>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</si>
  <si>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</si>
  <si>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</si>
  <si>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</si>
  <si>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</si>
  <si>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</si>
  <si>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</si>
  <si>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</si>
  <si>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</si>
  <si>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</si>
  <si>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</si>
  <si>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</si>
  <si>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</si>
  <si>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</si>
  <si>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</si>
  <si>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</si>
  <si>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</si>
  <si>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</si>
  <si>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</si>
  <si>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</si>
  <si>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</si>
  <si>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</si>
  <si>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</si>
  <si>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</si>
  <si>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</si>
  <si>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</si>
  <si>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GABIAO TIPO CAIXA, MALHA HEXAGONAL 8 X 10 CM (ZN/AL), FIO 2,7 MM, DIMENSOES 2,0 X 1,0 X 0,5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</si>
  <si>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</si>
  <si>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</si>
  <si>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</si>
  <si>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</si>
  <si>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</si>
  <si>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</si>
  <si>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</si>
  <si>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</si>
  <si>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</si>
  <si>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</si>
  <si>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</si>
  <si>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</si>
  <si>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</si>
  <si>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</si>
  <si>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</si>
  <si>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</si>
  <si>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</si>
  <si>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</si>
  <si>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</si>
  <si>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</si>
  <si>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</si>
  <si>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</si>
  <si>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</si>
  <si>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</si>
  <si>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</si>
  <si>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</si>
  <si>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</si>
  <si>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</si>
  <si>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</si>
  <si>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</si>
  <si>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</si>
  <si>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</si>
  <si>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</si>
  <si>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</si>
  <si>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</si>
  <si>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</si>
  <si>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</si>
  <si>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</si>
  <si>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</si>
  <si>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</si>
  <si>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</si>
  <si>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</si>
  <si>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</si>
  <si>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</si>
  <si>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</si>
  <si>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</si>
  <si>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</si>
  <si>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</si>
  <si>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</si>
  <si>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</si>
  <si>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</si>
  <si>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</si>
  <si>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</si>
  <si>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</si>
  <si>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</si>
  <si>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</si>
  <si>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</si>
  <si>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</si>
  <si>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</si>
  <si>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</si>
  <si>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</si>
  <si>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</si>
  <si>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</si>
  <si>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</si>
  <si>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</si>
  <si>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</si>
  <si>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</si>
  <si>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</si>
  <si>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</si>
  <si>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</si>
  <si>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</si>
  <si>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</si>
  <si>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</si>
  <si>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</si>
  <si>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</si>
  <si>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</si>
  <si>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</si>
  <si>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</si>
  <si>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</si>
  <si>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</si>
  <si>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</si>
  <si>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</si>
  <si>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</si>
  <si>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</si>
  <si>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</si>
  <si>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</si>
  <si>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</si>
  <si>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</si>
  <si>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</si>
  <si>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</si>
  <si>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</si>
  <si>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</si>
  <si>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</si>
  <si>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</si>
  <si>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</si>
  <si>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</si>
  <si>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</si>
  <si>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</si>
  <si>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</si>
  <si>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</si>
  <si>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</si>
  <si>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</si>
  <si>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</si>
  <si>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</si>
  <si>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</si>
  <si>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</si>
  <si>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</si>
  <si>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</si>
  <si>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</si>
  <si>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</si>
  <si>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</si>
  <si>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</si>
  <si>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</si>
  <si>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</si>
  <si>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</si>
  <si>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</si>
  <si>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</si>
  <si>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</si>
  <si>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</si>
  <si>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</si>
  <si>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</si>
  <si>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</si>
  <si>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</si>
  <si>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</si>
  <si>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</si>
  <si>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</si>
  <si>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</si>
  <si>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</si>
  <si>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</si>
  <si>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</si>
  <si>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</si>
  <si>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</si>
  <si>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</si>
  <si>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</si>
  <si>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</si>
  <si>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</si>
  <si>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</si>
  <si>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</si>
  <si>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</si>
  <si>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</si>
  <si>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</si>
  <si>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</si>
  <si>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</si>
  <si>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</si>
  <si>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</si>
  <si>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</si>
  <si>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</si>
  <si>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</si>
  <si>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</si>
  <si>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</si>
  <si>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</si>
  <si>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</si>
  <si>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</si>
  <si>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</si>
  <si>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</si>
  <si>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</si>
  <si>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</si>
  <si>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</si>
  <si>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</si>
  <si>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</si>
  <si>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</si>
  <si>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</si>
  <si>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</si>
  <si>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</si>
  <si>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</si>
  <si>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</si>
  <si>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</si>
  <si>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</si>
  <si>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</si>
  <si>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</si>
  <si>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MAXIMO-AR, ACO GALVANIZADO PINT. ANTICORROSIVA, COM BATENTE/REQUADRO DE 6 A 14 CM,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</si>
  <si>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</si>
  <si>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</si>
  <si>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</si>
  <si>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</si>
  <si>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</si>
  <si>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</si>
  <si>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</si>
  <si>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</si>
  <si>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</si>
  <si>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</si>
  <si>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</si>
  <si>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</si>
  <si>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</si>
  <si>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</si>
  <si>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</si>
  <si>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</si>
  <si>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</si>
  <si>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</si>
  <si>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</si>
  <si>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</si>
  <si>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</si>
  <si>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</si>
  <si>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</si>
  <si>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</si>
  <si>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</si>
  <si>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</si>
  <si>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</si>
  <si>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</si>
  <si>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</si>
  <si>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</si>
  <si>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</si>
  <si>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</si>
  <si>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</si>
  <si>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</si>
  <si>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</si>
  <si>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</si>
  <si>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</si>
  <si>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</si>
  <si>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</si>
  <si>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</si>
  <si>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</si>
  <si>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</si>
  <si>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</si>
  <si>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</si>
  <si>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</si>
  <si>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</si>
  <si>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</si>
  <si>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</si>
  <si>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</si>
  <si>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</si>
  <si>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</si>
  <si>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</si>
  <si>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</si>
  <si>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</si>
  <si>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</si>
  <si>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</si>
  <si>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</si>
  <si>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</si>
  <si>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</si>
  <si>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</si>
  <si>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</si>
  <si>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</si>
  <si>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</si>
  <si>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</si>
  <si>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</si>
  <si>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</si>
  <si>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</si>
  <si>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</si>
  <si>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</si>
  <si>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</si>
  <si>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</si>
  <si>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</si>
  <si>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</si>
  <si>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</si>
  <si>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</si>
  <si>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</si>
  <si>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</si>
  <si>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</si>
  <si>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</si>
  <si>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</si>
  <si>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</si>
  <si>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</si>
  <si>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</si>
  <si>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</si>
  <si>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</si>
  <si>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</si>
  <si>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</si>
  <si>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</si>
  <si>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</si>
  <si>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</si>
  <si>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</si>
  <si>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</si>
  <si>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</si>
  <si>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</si>
  <si>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</si>
  <si>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</si>
  <si>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</si>
  <si>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</si>
  <si>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</si>
  <si>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</si>
  <si>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</si>
  <si>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</si>
  <si>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</si>
  <si>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</si>
  <si>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</si>
  <si>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</si>
  <si>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</si>
  <si>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</si>
  <si>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</si>
  <si>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</si>
  <si>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</si>
  <si>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</si>
  <si>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</si>
  <si>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</si>
  <si>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</si>
  <si>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</si>
  <si>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</si>
  <si>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</si>
  <si>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</si>
  <si>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</si>
  <si>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</si>
  <si>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</si>
  <si>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</si>
  <si>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</si>
  <si>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</si>
  <si>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</si>
  <si>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</si>
  <si>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</si>
  <si>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</si>
  <si>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</si>
  <si>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</si>
  <si>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</si>
  <si>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</si>
  <si>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</si>
  <si>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</si>
  <si>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</si>
  <si>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</si>
  <si>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</si>
  <si>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</si>
  <si>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</si>
  <si>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</si>
  <si>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</si>
  <si>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</si>
  <si>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</si>
  <si>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</si>
  <si>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</si>
  <si>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</si>
  <si>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</si>
  <si>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</si>
  <si>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</si>
  <si>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</si>
  <si>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</si>
  <si>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</si>
  <si>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</si>
  <si>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</si>
  <si>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</si>
  <si>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</si>
  <si>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</si>
  <si>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</si>
  <si>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</si>
  <si>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</si>
  <si>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</si>
  <si>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</si>
  <si>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</si>
  <si>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</si>
  <si>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</si>
  <si>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</si>
  <si>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</si>
  <si>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</si>
  <si>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</si>
  <si>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</si>
  <si>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</si>
  <si>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</si>
  <si>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</si>
  <si>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</si>
  <si>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</si>
  <si>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</si>
  <si>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</si>
  <si>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</si>
  <si>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</si>
  <si>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</si>
  <si>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</si>
  <si>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</si>
  <si>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</si>
  <si>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</si>
  <si>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</si>
  <si>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</si>
  <si>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</si>
  <si>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</si>
  <si>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</si>
  <si>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</si>
  <si>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</si>
  <si>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</si>
  <si>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</si>
  <si>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</si>
  <si>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</si>
  <si>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</si>
  <si>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</si>
  <si>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</si>
  <si>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</si>
  <si>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</si>
  <si>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</si>
  <si>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</si>
  <si>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</si>
  <si>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</si>
  <si>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</si>
  <si>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</si>
  <si>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</si>
  <si>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</si>
  <si>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</si>
  <si>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</si>
  <si>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</si>
  <si>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</si>
  <si>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</si>
  <si>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</si>
  <si>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</si>
  <si>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</si>
  <si>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</si>
  <si>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</si>
  <si>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</si>
  <si>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</si>
  <si>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</si>
  <si>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</si>
  <si>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</si>
  <si>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</si>
  <si>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</si>
  <si>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</si>
  <si>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</si>
  <si>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</si>
  <si>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</si>
  <si>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</si>
  <si>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</si>
  <si>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</si>
  <si>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</si>
  <si>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</si>
  <si>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</si>
  <si>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</si>
  <si>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</si>
  <si>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</si>
  <si>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</si>
  <si>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</si>
  <si>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</si>
  <si>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</si>
  <si>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</si>
  <si>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</si>
  <si>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</si>
  <si>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</si>
  <si>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</si>
  <si>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</si>
  <si>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</si>
  <si>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</si>
  <si>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</si>
  <si>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</si>
  <si>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</si>
  <si>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</si>
  <si>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</si>
  <si>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</si>
  <si>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</si>
  <si>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</si>
  <si>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</si>
  <si>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</si>
  <si>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</si>
  <si>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</si>
  <si>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</si>
  <si>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</si>
  <si>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</si>
  <si>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</si>
  <si>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</si>
  <si>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</si>
  <si>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</si>
  <si>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</si>
  <si>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</si>
  <si>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</si>
  <si>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</si>
  <si>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</si>
  <si>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</si>
  <si>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</si>
  <si>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</si>
  <si>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</si>
  <si>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</si>
  <si>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</si>
  <si>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</si>
  <si>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</si>
  <si>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</si>
  <si>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</si>
  <si>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</si>
  <si>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</si>
  <si>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</si>
  <si>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</si>
  <si>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</si>
  <si>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</si>
  <si>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</si>
  <si>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</si>
  <si>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</si>
  <si>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</si>
  <si>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</si>
  <si>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</si>
  <si>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</si>
  <si>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</si>
  <si>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</si>
  <si>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</si>
  <si>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</si>
  <si>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</si>
  <si>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</si>
  <si>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</si>
  <si>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</si>
  <si>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</si>
  <si>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</si>
  <si>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</si>
  <si>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</si>
  <si>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</si>
  <si>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</si>
  <si>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</si>
  <si>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</si>
  <si>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</si>
  <si>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</si>
  <si>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</si>
  <si>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</si>
  <si>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</si>
  <si>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</si>
  <si>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</si>
  <si>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</si>
  <si>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</si>
  <si>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</si>
  <si>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</si>
  <si>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</si>
  <si>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</si>
  <si>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</si>
  <si>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</si>
  <si>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</si>
  <si>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</si>
  <si>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</si>
  <si>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</si>
  <si>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</si>
  <si>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</si>
  <si>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</si>
  <si>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</si>
  <si>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</si>
  <si>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</si>
  <si>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</si>
  <si>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</si>
  <si>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</si>
  <si>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</si>
  <si>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</si>
  <si>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</si>
  <si>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</si>
  <si>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</si>
  <si>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</si>
  <si>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</si>
  <si>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</si>
  <si>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</si>
  <si>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</si>
  <si>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</si>
  <si>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</si>
  <si>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</si>
  <si>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</si>
  <si>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</si>
  <si>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</si>
  <si>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</si>
  <si>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</si>
  <si>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</si>
  <si>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</si>
  <si>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</si>
  <si>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</si>
  <si>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</si>
  <si>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</si>
  <si>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</si>
  <si>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</si>
  <si>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</si>
  <si>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</si>
  <si>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</si>
  <si>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</si>
  <si>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</si>
  <si>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</si>
  <si>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</si>
  <si>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</si>
  <si>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</si>
  <si>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</si>
  <si>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</si>
  <si>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</si>
  <si>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</si>
  <si>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</si>
  <si>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</si>
  <si>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</si>
  <si>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</si>
  <si>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</si>
  <si>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</si>
  <si>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</si>
  <si>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EM ACO CARBONO, COM ENCAIXE PARA SOLDA DN SW, PRESSAO 3.000 LBS, 3/4" X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</si>
  <si>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</si>
  <si>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</si>
  <si>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</si>
  <si>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</si>
  <si>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</si>
  <si>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</si>
  <si>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</si>
  <si>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</si>
  <si>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</si>
  <si>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</si>
  <si>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</si>
  <si>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</si>
  <si>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</si>
  <si>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</si>
  <si>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</si>
  <si>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</si>
  <si>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</si>
  <si>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</si>
  <si>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</si>
  <si>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</si>
  <si>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</si>
  <si>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</si>
  <si>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</si>
  <si>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</si>
  <si>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</si>
  <si>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</si>
  <si>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</si>
  <si>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</si>
  <si>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</si>
  <si>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</si>
  <si>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</si>
  <si>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</si>
  <si>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</si>
  <si>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</si>
  <si>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</si>
  <si>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</si>
  <si>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</si>
  <si>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</si>
  <si>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</si>
  <si>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</si>
  <si>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</si>
  <si>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</si>
  <si>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</si>
  <si>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</si>
  <si>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</si>
  <si>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</si>
  <si>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</si>
  <si>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</si>
  <si>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</si>
  <si>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</si>
  <si>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</si>
  <si>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</si>
  <si>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</si>
  <si>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</si>
  <si>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</si>
  <si>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</si>
  <si>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</si>
  <si>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</si>
  <si>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</si>
  <si>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</si>
  <si>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</si>
  <si>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</si>
  <si>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</si>
  <si>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</si>
  <si>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</si>
  <si>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</si>
  <si>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</si>
  <si>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</si>
  <si>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</si>
  <si>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</si>
  <si>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</si>
  <si>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</si>
  <si>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</si>
  <si>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</si>
  <si>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</si>
  <si>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</si>
  <si>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</si>
  <si>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</si>
  <si>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</si>
  <si>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</si>
  <si>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</si>
  <si>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</si>
  <si>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</si>
  <si>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</si>
  <si>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</si>
  <si>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</si>
  <si>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</si>
  <si>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</si>
  <si>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</si>
  <si>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</si>
  <si>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</si>
  <si>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</si>
  <si>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</si>
  <si>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</si>
  <si>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</si>
  <si>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</si>
  <si>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</si>
  <si>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</si>
  <si>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</si>
  <si>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</si>
  <si>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</si>
  <si>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</si>
  <si>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</si>
  <si>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</si>
  <si>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</si>
  <si>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</si>
  <si>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</si>
  <si>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</si>
  <si>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</si>
  <si>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</si>
  <si>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</si>
  <si>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</si>
  <si>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</si>
  <si>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</si>
  <si>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</si>
  <si>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</si>
  <si>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</si>
  <si>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</si>
  <si>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</si>
  <si>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</si>
  <si>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</si>
  <si>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</si>
  <si>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</si>
  <si>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</si>
  <si>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</si>
  <si>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</si>
  <si>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</si>
  <si>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</si>
  <si>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</si>
  <si>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</si>
  <si>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</si>
  <si>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</si>
  <si>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</si>
  <si>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</si>
  <si>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</si>
  <si>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</si>
  <si>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</si>
  <si>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</si>
  <si>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</si>
  <si>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</si>
  <si>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</si>
  <si>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</si>
  <si>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</si>
  <si>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</si>
  <si>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</si>
  <si>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</si>
  <si>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</si>
  <si>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</si>
  <si>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</si>
  <si>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</si>
  <si>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</si>
  <si>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</si>
  <si>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</si>
  <si>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</si>
  <si>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</si>
  <si>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</si>
  <si>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</si>
  <si>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</si>
  <si>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</si>
  <si>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</si>
  <si>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</si>
  <si>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</si>
  <si>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</si>
  <si>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</si>
  <si>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</si>
  <si>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</si>
  <si>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</si>
  <si>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</si>
  <si>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</si>
  <si>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</si>
  <si>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</si>
  <si>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</si>
  <si>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</si>
  <si>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</si>
  <si>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</si>
  <si>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</si>
  <si>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</si>
  <si>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</si>
  <si>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</si>
  <si>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</si>
  <si>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</si>
  <si>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</si>
  <si>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</si>
  <si>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</si>
  <si>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</si>
  <si>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</si>
  <si>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</si>
  <si>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</si>
  <si>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</si>
  <si>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</si>
  <si>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</si>
  <si>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</si>
  <si>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</si>
  <si>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</si>
  <si>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</si>
  <si>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</si>
  <si>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</si>
  <si>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</si>
  <si>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</si>
  <si>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</si>
  <si>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</si>
  <si>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</si>
  <si>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</si>
  <si>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</si>
  <si>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</si>
  <si>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</si>
  <si>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</si>
  <si>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</si>
  <si>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</si>
  <si>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</si>
  <si>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</si>
  <si>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</si>
  <si>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</si>
  <si>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</si>
  <si>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</si>
  <si>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</si>
  <si>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</si>
  <si>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</si>
  <si>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</si>
  <si>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</si>
  <si>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</si>
  <si>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</si>
  <si>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</si>
  <si>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</si>
  <si>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</si>
  <si>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</si>
  <si>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</si>
  <si>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</si>
  <si>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</si>
  <si>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</si>
  <si>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</si>
  <si>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</si>
  <si>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</si>
  <si>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</si>
  <si>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</si>
  <si>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</si>
  <si>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</si>
  <si>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</si>
  <si>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</si>
  <si>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</si>
  <si>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</si>
  <si>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</si>
  <si>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</si>
  <si>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</si>
  <si>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</si>
  <si>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</si>
  <si>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</si>
  <si>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</si>
  <si>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</si>
  <si>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</si>
  <si>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</si>
  <si>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</si>
  <si>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</si>
  <si>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</si>
  <si>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</si>
  <si>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</si>
  <si>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</si>
  <si>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</si>
  <si>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</si>
  <si>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</si>
  <si>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</si>
  <si>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</si>
  <si>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</si>
  <si>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</si>
  <si>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</si>
  <si>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</si>
  <si>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</si>
  <si>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</si>
  <si>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</si>
  <si>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</si>
  <si>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</si>
  <si>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</si>
  <si>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</si>
  <si>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</si>
  <si>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</si>
  <si>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</si>
  <si>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</si>
  <si>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</si>
  <si>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</si>
  <si>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</si>
  <si>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</si>
  <si>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</si>
  <si>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</si>
  <si>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</si>
  <si>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</si>
  <si>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</si>
  <si>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</si>
  <si>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</si>
  <si>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</si>
  <si>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</si>
  <si>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</si>
  <si>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</si>
  <si>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</si>
  <si>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</si>
  <si>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</si>
  <si>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</si>
  <si>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</si>
  <si>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</si>
  <si>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</si>
  <si>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</si>
  <si>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</si>
  <si>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</si>
  <si>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</si>
  <si>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</si>
  <si>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</si>
  <si>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</si>
  <si>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</si>
  <si>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</si>
  <si>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</si>
  <si>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</si>
  <si>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</si>
  <si>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</si>
  <si>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</si>
  <si>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</si>
  <si>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</si>
  <si>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</si>
  <si>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</si>
  <si>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</si>
  <si>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</si>
  <si>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</si>
  <si>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</si>
  <si>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</si>
  <si>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</si>
  <si>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</si>
  <si>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</si>
  <si>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</si>
  <si>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</si>
  <si>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</si>
  <si>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</si>
  <si>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</si>
  <si>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</si>
  <si>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</si>
  <si>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</si>
  <si>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</si>
  <si>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</si>
  <si>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</si>
  <si>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</si>
  <si>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</si>
  <si>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</si>
  <si>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</si>
  <si>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</si>
  <si>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</si>
  <si>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</si>
  <si>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</si>
  <si>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</si>
  <si>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</si>
  <si>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</si>
  <si>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</si>
  <si>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</si>
  <si>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</si>
  <si>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</si>
  <si>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</si>
  <si>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</si>
  <si>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</si>
  <si>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</si>
  <si>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</si>
  <si>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</si>
  <si>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</si>
  <si>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</si>
  <si>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</si>
  <si>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</si>
  <si>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</si>
  <si>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</si>
  <si>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</si>
  <si>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</si>
  <si>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</si>
  <si>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</si>
  <si>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</si>
  <si>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</si>
  <si>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</si>
  <si>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</si>
  <si>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</si>
  <si>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</si>
  <si>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</si>
  <si>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</si>
  <si>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</si>
  <si>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</si>
  <si>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</si>
  <si>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</si>
  <si>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</si>
  <si>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</si>
  <si>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</si>
  <si>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</si>
  <si>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</si>
  <si>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</si>
  <si>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</si>
  <si>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</si>
  <si>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</si>
  <si>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</si>
  <si>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</si>
  <si>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</si>
  <si>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</si>
  <si>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</si>
  <si>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</si>
  <si>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</si>
  <si>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</si>
  <si>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</si>
  <si>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</si>
  <si>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</si>
  <si>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</si>
  <si>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</si>
  <si>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</si>
  <si>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</si>
  <si>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</si>
  <si>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</si>
  <si>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</si>
  <si>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</si>
  <si>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</si>
  <si>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</si>
  <si>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</si>
  <si>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</si>
  <si>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</si>
  <si>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</si>
  <si>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</si>
  <si>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</si>
  <si>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</si>
  <si>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</si>
  <si>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</si>
  <si>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</si>
  <si>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</si>
  <si>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</si>
  <si>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</si>
  <si>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</si>
  <si>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</si>
  <si>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</si>
  <si>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</si>
  <si>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</si>
  <si>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</si>
  <si>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</si>
  <si>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</si>
  <si>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</si>
  <si>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</si>
  <si>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</si>
  <si>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</si>
  <si>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</si>
  <si>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</si>
  <si>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</si>
  <si>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</si>
  <si>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</si>
  <si>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</si>
  <si>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</si>
  <si>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</si>
  <si>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</si>
  <si>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</si>
  <si>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</si>
  <si>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</si>
  <si>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</si>
  <si>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</si>
  <si>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</si>
  <si>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</si>
  <si>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</si>
  <si>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</si>
  <si>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</si>
  <si>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</si>
  <si>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</si>
  <si>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</si>
  <si>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</si>
  <si>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</si>
  <si>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</si>
  <si>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</si>
  <si>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</si>
  <si>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</si>
  <si>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</si>
  <si>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</si>
  <si>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</si>
  <si>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</si>
  <si>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</si>
  <si>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</si>
  <si>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</si>
  <si>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</si>
  <si>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</si>
  <si>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</si>
  <si>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</si>
  <si>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</si>
  <si>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</si>
  <si>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</si>
  <si>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</si>
  <si>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</si>
  <si>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</si>
  <si>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</si>
  <si>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</si>
  <si>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</si>
  <si>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</si>
  <si>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</si>
  <si>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</si>
  <si>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</si>
  <si>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</si>
  <si>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</si>
  <si>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</si>
  <si>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</si>
  <si>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</si>
  <si>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</si>
  <si>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</si>
  <si>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</si>
  <si>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</si>
  <si>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</si>
  <si>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</si>
  <si>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</si>
  <si>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</si>
  <si>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</si>
  <si>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</si>
  <si>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5/16" X 250 MM PARA FIXACAO DE TELHA DE FIBROCIMENTO CANALETE 49, INCLUI BUCHA NYLON S-10</t>
  </si>
  <si>
    <t>PARAFUSO ZINCADO 5/16"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</si>
  <si>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</si>
  <si>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</si>
  <si>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</si>
  <si>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</si>
  <si>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</si>
  <si>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</si>
  <si>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</si>
  <si>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</si>
  <si>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</si>
  <si>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</si>
  <si>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</si>
  <si>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</si>
  <si>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</si>
  <si>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</si>
  <si>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</si>
  <si>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</si>
  <si>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</si>
  <si>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</si>
  <si>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</si>
  <si>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</si>
  <si>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</si>
  <si>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</si>
  <si>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</si>
  <si>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</si>
  <si>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</si>
  <si>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</si>
  <si>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</si>
  <si>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</si>
  <si>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</si>
  <si>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</si>
  <si>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</si>
  <si>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</si>
  <si>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</si>
  <si>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</si>
  <si>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</si>
  <si>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</si>
  <si>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</si>
  <si>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</si>
  <si>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</si>
  <si>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</si>
  <si>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</si>
  <si>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</si>
  <si>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</si>
  <si>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</si>
  <si>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</si>
  <si>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</si>
  <si>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</si>
  <si>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</si>
  <si>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</si>
  <si>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</si>
  <si>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</si>
  <si>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</si>
  <si>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</si>
  <si>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</si>
  <si>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</si>
  <si>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</si>
  <si>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</si>
  <si>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</si>
  <si>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</si>
  <si>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</si>
  <si>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</si>
  <si>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</si>
  <si>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</si>
  <si>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</si>
  <si>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</si>
  <si>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</si>
  <si>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</si>
  <si>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</si>
  <si>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</si>
  <si>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</si>
  <si>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</si>
  <si>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</si>
  <si>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</si>
  <si>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</si>
  <si>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</si>
  <si>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</si>
  <si>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</si>
  <si>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</si>
  <si>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</si>
  <si>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</si>
  <si>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</si>
  <si>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</si>
  <si>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</si>
  <si>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</si>
  <si>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</si>
  <si>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</si>
  <si>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</si>
  <si>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</si>
  <si>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</si>
  <si>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</si>
  <si>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</si>
  <si>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</si>
  <si>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</si>
  <si>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</si>
  <si>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</si>
  <si>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</si>
  <si>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</si>
  <si>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</si>
  <si>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</si>
  <si>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</si>
  <si>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PINCEL CHATO (TRINCHA) CERDAS GRIS 1.1/2"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</si>
  <si>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</si>
  <si>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</si>
  <si>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</si>
  <si>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</si>
  <si>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</si>
  <si>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</si>
  <si>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</si>
  <si>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</si>
  <si>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</si>
  <si>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</si>
  <si>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</si>
  <si>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</si>
  <si>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</si>
  <si>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</si>
  <si>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</si>
  <si>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</si>
  <si>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</si>
  <si>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</si>
  <si>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</si>
  <si>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</si>
  <si>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</si>
  <si>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</si>
  <si>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</si>
  <si>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</si>
  <si>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</si>
  <si>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</si>
  <si>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</si>
  <si>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</si>
  <si>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MENOR OU IGUAL A 2025 CM2</t>
  </si>
  <si>
    <t>PISO EM PORCELANATO, BORDA RETA, LISO, MONOCOLOR, ACETINADO OU POLIDO, FORMATO MAIOR QUE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</si>
  <si>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</si>
  <si>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</si>
  <si>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</si>
  <si>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</si>
  <si>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</si>
  <si>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</si>
  <si>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</si>
  <si>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</si>
  <si>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</si>
  <si>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</si>
  <si>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</si>
  <si>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</si>
  <si>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</si>
  <si>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</si>
  <si>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</si>
  <si>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</si>
  <si>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</si>
  <si>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</si>
  <si>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</si>
  <si>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</si>
  <si>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</si>
  <si>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</si>
  <si>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</si>
  <si>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</si>
  <si>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</si>
  <si>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</si>
  <si>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</si>
  <si>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</si>
  <si>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</si>
  <si>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</si>
  <si>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</si>
  <si>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</si>
  <si>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</si>
  <si>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</si>
  <si>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</si>
  <si>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</si>
  <si>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</si>
  <si>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</si>
  <si>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</si>
  <si>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</si>
  <si>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</si>
  <si>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</si>
  <si>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</si>
  <si>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</si>
  <si>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</si>
  <si>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</si>
  <si>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</si>
  <si>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</si>
  <si>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</si>
  <si>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</si>
  <si>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</si>
  <si>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</si>
  <si>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</si>
  <si>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</si>
  <si>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</si>
  <si>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</si>
  <si>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</si>
  <si>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</si>
  <si>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</si>
  <si>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</si>
  <si>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</si>
  <si>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</si>
  <si>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</si>
  <si>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</si>
  <si>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</si>
  <si>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</si>
  <si>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</si>
  <si>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</si>
  <si>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</si>
  <si>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</si>
  <si>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</si>
  <si>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</si>
  <si>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</si>
  <si>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</si>
  <si>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</si>
  <si>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</si>
  <si>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</si>
  <si>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</si>
  <si>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</si>
  <si>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</si>
  <si>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</si>
  <si>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</si>
  <si>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</si>
  <si>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</si>
  <si>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</si>
  <si>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</si>
  <si>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</si>
  <si>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</si>
  <si>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</si>
  <si>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</si>
  <si>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</si>
  <si>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</si>
  <si>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</si>
  <si>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</si>
  <si>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</si>
  <si>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</si>
  <si>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</si>
  <si>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</si>
  <si>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</si>
  <si>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</si>
  <si>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</si>
  <si>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</si>
  <si>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</si>
  <si>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</si>
  <si>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</si>
  <si>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</si>
  <si>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</si>
  <si>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</si>
  <si>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</si>
  <si>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</si>
  <si>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</si>
  <si>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</si>
  <si>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</si>
  <si>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</si>
  <si>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</si>
  <si>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</si>
  <si>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</si>
  <si>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</si>
  <si>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</si>
  <si>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</si>
  <si>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</si>
  <si>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</si>
  <si>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</si>
  <si>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</si>
  <si>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</si>
  <si>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</si>
  <si>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</si>
  <si>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</si>
  <si>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</si>
  <si>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</si>
  <si>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</si>
  <si>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</si>
  <si>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</si>
  <si>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</si>
  <si>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</si>
  <si>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</si>
  <si>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</si>
  <si>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</si>
  <si>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</si>
  <si>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</si>
  <si>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</si>
  <si>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</si>
  <si>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</si>
  <si>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</si>
  <si>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</si>
  <si>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</si>
  <si>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</si>
  <si>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</si>
  <si>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</si>
  <si>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</si>
  <si>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</si>
  <si>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</si>
  <si>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</si>
  <si>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</si>
  <si>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</si>
  <si>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</si>
  <si>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</si>
  <si>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</si>
  <si>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</si>
  <si>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</si>
  <si>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</si>
  <si>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</si>
  <si>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</si>
  <si>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</si>
  <si>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</si>
  <si>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</si>
  <si>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</si>
  <si>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</si>
  <si>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</si>
  <si>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</si>
  <si>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</si>
  <si>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</si>
  <si>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</si>
  <si>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</si>
  <si>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</si>
  <si>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</si>
  <si>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</si>
  <si>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</si>
  <si>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</si>
  <si>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</si>
  <si>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</si>
  <si>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</si>
  <si>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</si>
  <si>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</si>
  <si>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</si>
  <si>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</si>
  <si>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</si>
  <si>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</si>
  <si>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</si>
  <si>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</si>
  <si>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</si>
  <si>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</si>
  <si>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</si>
  <si>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</si>
  <si>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</si>
  <si>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</si>
  <si>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</si>
  <si>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</si>
  <si>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</si>
  <si>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</si>
  <si>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</si>
  <si>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</si>
  <si>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</si>
  <si>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</si>
  <si>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</si>
  <si>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</si>
  <si>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</si>
  <si>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</si>
  <si>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</si>
  <si>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</si>
  <si>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</si>
  <si>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</si>
  <si>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</si>
  <si>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</si>
  <si>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</si>
  <si>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</si>
  <si>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</si>
  <si>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</si>
  <si>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</si>
  <si>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</si>
  <si>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</si>
  <si>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</si>
  <si>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</si>
  <si>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</si>
  <si>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</si>
  <si>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</si>
  <si>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</si>
  <si>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</si>
  <si>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</si>
  <si>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</si>
  <si>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</si>
  <si>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</si>
  <si>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</si>
  <si>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</si>
  <si>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</si>
  <si>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</si>
  <si>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</si>
  <si>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</si>
  <si>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</si>
  <si>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</si>
  <si>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</si>
  <si>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</si>
  <si>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</si>
  <si>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</si>
  <si>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</si>
  <si>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</si>
  <si>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</si>
  <si>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</si>
  <si>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</si>
  <si>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</si>
  <si>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</si>
  <si>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</si>
  <si>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</si>
  <si>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</si>
  <si>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</si>
  <si>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</si>
  <si>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</si>
  <si>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</si>
  <si>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</si>
  <si>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</si>
  <si>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</si>
  <si>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</si>
  <si>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</si>
  <si>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</si>
  <si>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</si>
  <si>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</si>
  <si>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</si>
  <si>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</si>
  <si>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</si>
  <si>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</si>
  <si>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</si>
  <si>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</si>
  <si>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</si>
  <si>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</si>
  <si>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</si>
  <si>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</si>
  <si>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</si>
  <si>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</si>
  <si>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</si>
  <si>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</si>
  <si>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</si>
  <si>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</si>
  <si>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</si>
  <si>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</si>
  <si>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</si>
  <si>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</si>
  <si>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</si>
  <si>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</si>
  <si>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</si>
  <si>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</si>
  <si>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</si>
  <si>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</si>
  <si>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</si>
  <si>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</si>
  <si>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</si>
  <si>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</si>
  <si>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</si>
  <si>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</si>
  <si>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</si>
  <si>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</si>
  <si>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</si>
  <si>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</si>
  <si>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</si>
  <si>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</si>
  <si>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</si>
  <si>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</si>
  <si>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</si>
  <si>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</si>
  <si>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</si>
  <si>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ALTURA)</t>
  </si>
  <si>
    <t>REBOLO ABRASIVO RETO DE USO GERAL GRAO 36, DE 6 X 3/4"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</si>
  <si>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</si>
  <si>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</si>
  <si>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</si>
  <si>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</si>
  <si>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</si>
  <si>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</si>
  <si>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</si>
  <si>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</si>
  <si>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</si>
  <si>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</si>
  <si>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</si>
  <si>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</si>
  <si>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</si>
  <si>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</si>
  <si>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</si>
  <si>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</si>
  <si>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</si>
  <si>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</si>
  <si>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</si>
  <si>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</si>
  <si>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</si>
  <si>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</si>
  <si>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</si>
  <si>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</si>
  <si>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</si>
  <si>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</si>
  <si>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</si>
  <si>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</si>
  <si>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</si>
  <si>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</si>
  <si>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</si>
  <si>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</si>
  <si>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 (REF 1509)</t>
  </si>
  <si>
    <t>REGISTRO GAVETA BRUTO EM LATAO FORJADO, BITOLA 1 1/4" (REF 1509)</t>
  </si>
  <si>
    <t>REGISTRO GAVETA BRUTO EM LATAO FORJADO, BITOLA 1/2" (REF 1509)</t>
  </si>
  <si>
    <t>REGISTRO GAVETA BRUTO EM LATAO FORJADO, BITOLA 1" (REF 1509)</t>
  </si>
  <si>
    <t>REGISTRO GAVETA BRUTO EM LATAO FORJADO, BITOLA 2 1/2" (REF 1509)</t>
  </si>
  <si>
    <t>REGISTRO GAVETA BRUTO EM LATAO FORJADO, BITOLA 2" (REF 1509)</t>
  </si>
  <si>
    <t>REGISTRO GAVETA BRUTO EM LATAO FORJADO, BITOLA 3/4" (REF 1509)</t>
  </si>
  <si>
    <t>REGISTRO GAVETA BRUTO EM LATAO FORJADO, BITOLA 3" (REF 1509)</t>
  </si>
  <si>
    <t>REGISTRO GAVETA BRUTO EM LATAO FORJADO, BITOLA 4" (REF 1509)</t>
  </si>
  <si>
    <t>REGISTRO GAVETA COM ACABAMENTO E CANOPLA CROMADOS, SIMPLES, BITOLA 1 1/2" (REF 1509)</t>
  </si>
  <si>
    <t>REGISTRO GAVETA COM ACABAMENTO E CANOPLA CROMADOS, SIMPLES, BITOLA 1 1/4" (REF 1509)</t>
  </si>
  <si>
    <t>REGISTRO GAVETA COM ACABAMENTO E CANOPLA CROMADOS, SIMPLES, BITOLA 1/2" (REF 1509)</t>
  </si>
  <si>
    <t>REGISTRO GAVETA COM ACABAMENTO E CANOPLA CROMADOS, SIMPLES, BITOLA 1" (REF 1509)</t>
  </si>
  <si>
    <t>REGISTRO GAVETA COM ACABAMENTO E CANOPLA CROMADOS, SIMPLES, BITOLA 3/4"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</si>
  <si>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</si>
  <si>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</si>
  <si>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(REF 1400)</t>
  </si>
  <si>
    <t>REGISTRO PRESSAO BRUTO EM LATAO FORJADO, BITOLA 3/4" (REF 1400)</t>
  </si>
  <si>
    <t>REGISTRO PRESSAO COM ACABAMENTO E CANOPLA CROMADA, SIMPLES, BITOLA 1/2" (REF 1416)</t>
  </si>
  <si>
    <t>REGISTRO PRESSAO COM ACABAMENTO E CANOPLA CROMADA, SIMPLES, BITOLA 3/4" (REF 1416)</t>
  </si>
  <si>
    <t>REGUA DE ALUMINIO PARA PEDREIRO 2 X 1"</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</si>
  <si>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</si>
  <si>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</si>
  <si>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</si>
  <si>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</si>
  <si>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</si>
  <si>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</si>
  <si>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</si>
  <si>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</si>
  <si>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</si>
  <si>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</si>
  <si>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</si>
  <si>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</si>
  <si>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</si>
  <si>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</si>
  <si>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PEI MAIOR OU IGUAL 4, FORMATO MAIOR A 2025 CM2</t>
  </si>
  <si>
    <t>REVESTIMENTO EM CERAMICA ESMALTADA,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</si>
  <si>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</si>
  <si>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</si>
  <si>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</si>
  <si>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</si>
  <si>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</si>
  <si>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</si>
  <si>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</si>
  <si>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</si>
  <si>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</si>
  <si>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</si>
  <si>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</si>
  <si>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</si>
  <si>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</si>
  <si>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</si>
  <si>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</si>
  <si>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</si>
  <si>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</si>
  <si>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</si>
  <si>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</si>
  <si>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</si>
  <si>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</si>
  <si>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</si>
  <si>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</si>
  <si>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</si>
  <si>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</si>
  <si>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</si>
  <si>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</si>
  <si>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</si>
  <si>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</si>
  <si>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</si>
  <si>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</si>
  <si>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</si>
  <si>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</si>
  <si>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</si>
  <si>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</si>
  <si>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</si>
  <si>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</si>
  <si>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</si>
  <si>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</si>
  <si>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</si>
  <si>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</si>
  <si>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</si>
  <si>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</si>
  <si>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</si>
  <si>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</si>
  <si>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</si>
  <si>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</si>
  <si>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</si>
  <si>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</si>
  <si>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</si>
  <si>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</si>
  <si>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</si>
  <si>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</si>
  <si>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</si>
  <si>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</si>
  <si>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</si>
  <si>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</si>
  <si>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</si>
  <si>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</si>
  <si>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</si>
  <si>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</si>
  <si>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</si>
  <si>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</si>
  <si>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</si>
  <si>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</si>
  <si>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</si>
  <si>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</si>
  <si>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</si>
  <si>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</si>
  <si>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</si>
  <si>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</si>
  <si>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</si>
  <si>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</si>
  <si>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</si>
  <si>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</si>
  <si>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</si>
  <si>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</si>
  <si>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</si>
  <si>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</si>
  <si>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</si>
  <si>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</si>
  <si>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</si>
  <si>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</si>
  <si>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</si>
  <si>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</si>
  <si>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</si>
  <si>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</si>
  <si>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</si>
  <si>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</si>
  <si>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</si>
  <si>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</si>
  <si>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</si>
  <si>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</si>
  <si>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</si>
  <si>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</si>
  <si>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</si>
  <si>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</si>
  <si>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</si>
  <si>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</si>
  <si>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</si>
  <si>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</si>
  <si>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</si>
  <si>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</si>
  <si>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</si>
  <si>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</si>
  <si>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</si>
  <si>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</si>
  <si>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</si>
  <si>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</si>
  <si>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</si>
  <si>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</si>
  <si>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</si>
  <si>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</si>
  <si>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</si>
  <si>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</si>
  <si>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</si>
  <si>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</si>
  <si>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</si>
  <si>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</si>
  <si>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</si>
  <si>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</si>
  <si>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</si>
  <si>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</si>
  <si>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</si>
  <si>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</si>
  <si>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</si>
  <si>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</si>
  <si>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</si>
  <si>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</si>
  <si>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</si>
  <si>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</si>
  <si>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</si>
  <si>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</si>
  <si>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</si>
  <si>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</si>
  <si>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</si>
  <si>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</si>
  <si>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</si>
  <si>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</si>
  <si>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</si>
  <si>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</si>
  <si>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</si>
  <si>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</si>
  <si>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</si>
  <si>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</si>
  <si>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</si>
  <si>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</si>
  <si>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</si>
  <si>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</si>
  <si>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</si>
  <si>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</si>
  <si>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</si>
  <si>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</si>
  <si>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</si>
  <si>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</si>
  <si>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</si>
  <si>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</si>
  <si>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</si>
  <si>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</si>
  <si>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</si>
  <si>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</si>
  <si>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</si>
  <si>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</si>
  <si>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</si>
  <si>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</si>
  <si>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</si>
  <si>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</si>
  <si>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</si>
  <si>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</si>
  <si>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</si>
  <si>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</si>
  <si>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</si>
  <si>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</si>
  <si>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</si>
  <si>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</si>
  <si>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</si>
  <si>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</si>
  <si>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</si>
  <si>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</si>
  <si>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</si>
  <si>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</si>
  <si>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</si>
  <si>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</si>
  <si>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</si>
  <si>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</si>
  <si>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</si>
  <si>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</si>
  <si>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</si>
  <si>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</si>
  <si>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</si>
  <si>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</si>
  <si>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</si>
  <si>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</si>
  <si>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</si>
  <si>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</si>
  <si>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</si>
  <si>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</si>
  <si>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</si>
  <si>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</si>
  <si>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</si>
  <si>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</si>
  <si>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</si>
  <si>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</si>
  <si>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</si>
  <si>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</si>
  <si>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</si>
  <si>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</si>
  <si>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</si>
  <si>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</si>
  <si>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</si>
  <si>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</si>
  <si>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</si>
  <si>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</si>
  <si>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</si>
  <si>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</si>
  <si>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</si>
  <si>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</si>
  <si>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</si>
  <si>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</si>
  <si>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</si>
  <si>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</si>
  <si>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</si>
  <si>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</si>
  <si>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</si>
  <si>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</si>
  <si>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</si>
  <si>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</si>
  <si>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</si>
  <si>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</si>
  <si>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</si>
  <si>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</si>
  <si>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</si>
  <si>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</si>
  <si>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</si>
  <si>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</si>
  <si>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</si>
  <si>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</si>
  <si>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</si>
  <si>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</si>
  <si>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</si>
  <si>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</si>
  <si>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</si>
  <si>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</si>
  <si>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</si>
  <si>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SERIE R, 100 X 75 MM, PARA ESGOTO PREDIAL</t>
  </si>
  <si>
    <t>TE DE INSPECAO, PVC, SERIE R, 150 X 100 MM, PARA ESGOTO PREDIAL</t>
  </si>
  <si>
    <t>TE DE INSPECAO, PVC, SERIE R, 75 X 75 MM, PARA ESGOTO PREDIAL</t>
  </si>
  <si>
    <t>TE DE INSPECAO, PVC, 100 X 75 MM, SERIE NORMAL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</si>
  <si>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</si>
  <si>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</si>
  <si>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</si>
  <si>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</si>
  <si>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</si>
  <si>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</si>
  <si>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</si>
  <si>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</si>
  <si>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</si>
  <si>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</si>
  <si>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</si>
  <si>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</si>
  <si>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</si>
  <si>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</si>
  <si>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</si>
  <si>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</si>
  <si>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</si>
  <si>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</si>
  <si>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</si>
  <si>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</si>
  <si>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</si>
  <si>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</si>
  <si>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</si>
  <si>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</si>
  <si>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</si>
  <si>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</si>
  <si>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</si>
  <si>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</si>
  <si>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</si>
  <si>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</si>
  <si>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</si>
  <si>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</si>
  <si>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</si>
  <si>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</si>
  <si>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</si>
  <si>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</si>
  <si>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</si>
  <si>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</si>
  <si>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</si>
  <si>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</si>
  <si>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</si>
  <si>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</si>
  <si>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</si>
  <si>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</si>
  <si>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</si>
  <si>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</si>
  <si>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</si>
  <si>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</si>
  <si>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</si>
  <si>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</si>
  <si>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</si>
  <si>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</si>
  <si>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</si>
  <si>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</si>
  <si>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</si>
  <si>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</si>
  <si>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</si>
  <si>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</si>
  <si>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</si>
  <si>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</si>
  <si>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</si>
  <si>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</si>
  <si>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</si>
  <si>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</si>
  <si>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</si>
  <si>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</si>
  <si>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</si>
  <si>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</si>
  <si>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</si>
  <si>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</si>
  <si>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</si>
  <si>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</si>
  <si>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</si>
  <si>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</si>
  <si>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</si>
  <si>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</si>
  <si>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</si>
  <si>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</si>
  <si>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</si>
  <si>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</si>
  <si>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</si>
  <si>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</si>
  <si>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</si>
  <si>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</si>
  <si>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</si>
  <si>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</si>
  <si>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</si>
  <si>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</si>
  <si>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</si>
  <si>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</si>
  <si>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</si>
  <si>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</si>
  <si>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</si>
  <si>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</si>
  <si>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</si>
  <si>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</si>
  <si>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</si>
  <si>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</si>
  <si>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</si>
  <si>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</si>
  <si>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</si>
  <si>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</si>
  <si>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</si>
  <si>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</si>
  <si>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</si>
  <si>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</si>
  <si>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</si>
  <si>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</si>
  <si>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</si>
  <si>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</si>
  <si>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</si>
  <si>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</si>
  <si>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</si>
  <si>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</si>
  <si>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</si>
  <si>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</si>
  <si>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</si>
  <si>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</si>
  <si>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</si>
  <si>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</si>
  <si>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</si>
  <si>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</si>
  <si>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</si>
  <si>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</si>
  <si>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</si>
  <si>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</si>
  <si>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</si>
  <si>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</si>
  <si>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</si>
  <si>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</si>
  <si>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</si>
  <si>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</si>
  <si>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</si>
  <si>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</si>
  <si>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</si>
  <si>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</si>
  <si>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</si>
  <si>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</si>
  <si>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</si>
  <si>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</si>
  <si>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</si>
  <si>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</si>
  <si>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</si>
  <si>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</si>
  <si>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</si>
  <si>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</si>
  <si>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</si>
  <si>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</si>
  <si>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</si>
  <si>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</si>
  <si>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</si>
  <si>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</si>
  <si>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</si>
  <si>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</si>
  <si>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</si>
  <si>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</si>
  <si>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</si>
  <si>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</si>
  <si>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</si>
  <si>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</si>
  <si>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</si>
  <si>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</si>
  <si>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</si>
  <si>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</si>
  <si>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</si>
  <si>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</si>
  <si>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</si>
  <si>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</si>
  <si>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</si>
  <si>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</si>
  <si>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</si>
  <si>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</si>
  <si>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</si>
  <si>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</si>
  <si>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</si>
  <si>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</si>
  <si>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</si>
  <si>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</si>
  <si>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</si>
  <si>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</si>
  <si>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</si>
  <si>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</si>
  <si>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</si>
  <si>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</si>
  <si>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</si>
  <si>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</si>
  <si>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</si>
  <si>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</si>
  <si>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</si>
  <si>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</si>
  <si>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</si>
  <si>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</si>
  <si>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</si>
  <si>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</si>
  <si>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</si>
  <si>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</si>
  <si>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</si>
  <si>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</si>
  <si>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</si>
  <si>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</si>
  <si>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</si>
  <si>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</si>
  <si>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</si>
  <si>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</si>
  <si>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</si>
  <si>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</si>
  <si>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</si>
  <si>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</si>
  <si>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</si>
  <si>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</si>
  <si>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</si>
  <si>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</si>
  <si>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</si>
  <si>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</si>
  <si>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</si>
  <si>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</si>
  <si>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</si>
  <si>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</si>
  <si>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</si>
  <si>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</si>
  <si>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</si>
  <si>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</si>
  <si>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</si>
  <si>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</si>
  <si>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</si>
  <si>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</si>
  <si>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</si>
  <si>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</si>
  <si>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</si>
  <si>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</si>
  <si>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</si>
  <si>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</si>
  <si>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</si>
  <si>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</si>
  <si>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</si>
  <si>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</si>
  <si>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</si>
  <si>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</si>
  <si>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</si>
  <si>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</si>
  <si>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</si>
  <si>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</si>
  <si>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</si>
  <si>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</si>
  <si>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</si>
  <si>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</si>
  <si>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</si>
  <si>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</si>
  <si>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</si>
  <si>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</si>
  <si>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</si>
  <si>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</si>
  <si>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</si>
  <si>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</si>
  <si>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</si>
  <si>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</si>
  <si>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</si>
  <si>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</si>
  <si>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</si>
  <si>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</si>
  <si>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</si>
  <si>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</si>
  <si>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</si>
  <si>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</si>
  <si>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</si>
  <si>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</si>
  <si>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</si>
  <si>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</si>
  <si>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t>
  </si>
  <si>
    <t>TIJOLO CERAMICO MACICO APARENTE DE *6 X 12 X 24* CM (L X A X C)</t>
  </si>
  <si>
    <t>TIJOLO CERAMICO MACICO APARENTE 2 FUROS DE *6,5 X 10 X 20*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</si>
  <si>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</si>
  <si>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</si>
  <si>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</si>
  <si>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</si>
  <si>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</si>
  <si>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</si>
  <si>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</si>
  <si>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</si>
  <si>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</si>
  <si>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</si>
  <si>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</si>
  <si>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</si>
  <si>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</si>
  <si>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</si>
  <si>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</si>
  <si>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</si>
  <si>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</si>
  <si>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</si>
  <si>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</si>
  <si>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</si>
  <si>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</si>
  <si>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</si>
  <si>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</si>
  <si>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</si>
  <si>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</si>
  <si>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</si>
  <si>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</si>
  <si>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</si>
  <si>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</si>
  <si>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</si>
  <si>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</si>
  <si>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</si>
  <si>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</si>
  <si>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</si>
  <si>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</si>
  <si>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</si>
  <si>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</si>
  <si>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</si>
  <si>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</si>
  <si>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</si>
  <si>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</si>
  <si>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</si>
  <si>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</si>
  <si>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</si>
  <si>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</si>
  <si>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</si>
  <si>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</si>
  <si>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</si>
  <si>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</si>
  <si>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</si>
  <si>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</si>
  <si>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</si>
  <si>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</si>
  <si>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</si>
  <si>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</si>
  <si>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</si>
  <si>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</si>
  <si>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</si>
  <si>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</si>
  <si>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</si>
  <si>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</si>
  <si>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</si>
  <si>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</si>
  <si>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OU 3/4" (REF 1193)</t>
  </si>
  <si>
    <t>TORNEIRA DE METAL AMARELO, PARA TANQUE / JARDIM, DE PAREDE, COM BICO PLASTICO, CANO CURTO, AREA EXTERNA, PADRAO POPULAR / USO GERAL, 1/2" OU 3/4" (REF 1128)</t>
  </si>
  <si>
    <t>TORNEIRA DE METAL AMARELO, PARA TANQUE / JARDIM, DE PAREDE, SEM BICO, CANO CURTO, PADRAO POPULAR / USO GERAL, 1/2" OU 3/4" (REF 1120)</t>
  </si>
  <si>
    <t>TORNEIRA ELETRICA DE PAREDE, PLASTICA, BICA ALTA, PARA COZINHA, 5500 W (110/220 V)</t>
  </si>
  <si>
    <t>TORNEIRA METALICA CROMADA CANO CURTO, SEM BICO, SEM AREJADOR, DE PAREDE, PARA TANQUE E USO GERAL, 1/2" OU 3/4"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</si>
  <si>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</si>
  <si>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</si>
  <si>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</si>
  <si>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</si>
  <si>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OU 3/4" (REF 1167 / 1168)</t>
  </si>
  <si>
    <t>TORNEIRA METALICA CROMADA PARA JARDIM / TANQUE, COM BICO PLASTICO, CANO LONGO, DE PAREDE, PADRAO POPULAR / USO GERAL, 1/2" OU 3/4" (REF 1153 / 1130)</t>
  </si>
  <si>
    <t>TORNEIRA METALICA CROMADA PARA TANQUE / JARDIM, SEM BICO, CANO LONGO, DE PAREDE, PADRAO POPULAR / USO GERAL, 1/2" OU 3/4" (REF 1126)</t>
  </si>
  <si>
    <t>TORNEIRA METALICA CROMADA, CANO CURTO, COM AREJADOR, SEM BICO PLASTICO, DE PAREDE, PARA USO GERAL, 1/2" OU 3/4" (REF 1152 / 1154)</t>
  </si>
  <si>
    <t>TORNEIRA METALICA CROMADA, DE MESA/BANCADA, PARA COZINHA, BICA MOVEL, COM AREJADOR, 1/2" OU 3/4" (REF 1167 / 1168)</t>
  </si>
  <si>
    <t>TORNEIRA METALICA CROMADA, RETA, DE PAREDE, PARA COZINHA, COM AREJADOR, PADRAO POPULAR, 1/2" OU 3/4" (REF 1159 / 1160)</t>
  </si>
  <si>
    <t>TORNEIRA METALICA CROMADA, RETA, DE PAREDE, PARA COZINHA, SEM BICO, SEM AREJADOR, PADRAO POPULAR, 1/2" OU 3/4"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</si>
  <si>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</si>
  <si>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</si>
  <si>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</si>
  <si>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</si>
  <si>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</si>
  <si>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</si>
  <si>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</si>
  <si>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</si>
  <si>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</si>
  <si>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</si>
  <si>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</si>
  <si>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</si>
  <si>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</si>
  <si>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</si>
  <si>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</si>
  <si>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</si>
  <si>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</si>
  <si>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</si>
  <si>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</si>
  <si>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</si>
  <si>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</si>
  <si>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</si>
  <si>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</si>
  <si>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</si>
  <si>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</si>
  <si>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</si>
  <si>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</si>
  <si>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</si>
  <si>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</si>
  <si>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</si>
  <si>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</si>
  <si>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</si>
  <si>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</si>
  <si>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</si>
  <si>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</si>
  <si>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</si>
  <si>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</si>
  <si>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</si>
  <si>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</si>
  <si>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</si>
  <si>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</si>
  <si>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</si>
  <si>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</si>
  <si>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</si>
  <si>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</si>
  <si>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</si>
  <si>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</si>
  <si>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</si>
  <si>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</si>
  <si>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</si>
  <si>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</si>
  <si>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</si>
  <si>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</si>
  <si>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</si>
  <si>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</si>
  <si>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</si>
  <si>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</si>
  <si>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</si>
  <si>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</si>
  <si>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</si>
  <si>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</si>
  <si>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</si>
  <si>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</si>
  <si>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</si>
  <si>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</si>
  <si>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</si>
  <si>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</si>
  <si>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</si>
  <si>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</si>
  <si>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</si>
  <si>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</si>
  <si>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</si>
  <si>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</si>
  <si>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</si>
  <si>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</si>
  <si>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</si>
  <si>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</si>
  <si>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</si>
  <si>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</si>
  <si>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</si>
  <si>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</si>
  <si>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</si>
  <si>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</si>
  <si>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</si>
  <si>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</si>
  <si>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</si>
  <si>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</si>
  <si>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</si>
  <si>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</si>
  <si>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</si>
  <si>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</si>
  <si>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</si>
  <si>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</si>
  <si>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</si>
  <si>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</si>
  <si>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</si>
  <si>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</si>
  <si>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</si>
  <si>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</si>
  <si>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</si>
  <si>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</si>
  <si>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</si>
  <si>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</si>
  <si>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</si>
  <si>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</si>
  <si>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</si>
  <si>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</si>
  <si>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</si>
  <si>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</si>
  <si>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</si>
  <si>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</si>
  <si>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</si>
  <si>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</si>
  <si>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</si>
  <si>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</si>
  <si>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</si>
  <si>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</si>
  <si>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</si>
  <si>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</si>
  <si>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</si>
  <si>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</si>
  <si>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</si>
  <si>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</si>
  <si>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</si>
  <si>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</si>
  <si>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</si>
  <si>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</si>
  <si>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</si>
  <si>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</si>
  <si>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1/2" (15 MM), PARA INSTALACOES DE MEDIA PRESSAO PARA GASES COMBUSTIVEIS E MEDICINAIS</t>
  </si>
  <si>
    <t>TUBO DE COBRE CLASSE "A", DN = 1" (28 MM), PARA INSTALACOES DE MEDIA PRESSAO PARA GASES COMBUSTIVEIS E MEDICINAIS</t>
  </si>
  <si>
    <t>TUBO DE COBRE CLASSE "A", DN = 2 1/2" (66 MM), PARA INSTALACOES DE MEDIA PRESSAO PARA GASES COMBUSTIVEIS E MEDICINAIS</t>
  </si>
  <si>
    <t>TUBO DE COBRE CLASSE "A", DN = 3/4" (22 MM), PARA INSTALACOES DE MEDIA PRESSAO PARA GASES COMBUSTIVEIS E MEDICINAIS</t>
  </si>
  <si>
    <t>TUBO DE COBRE CLASSE "A", DN = 3" (79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</si>
  <si>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</si>
  <si>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</si>
  <si>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</si>
  <si>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</si>
  <si>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</si>
  <si>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</si>
  <si>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</si>
  <si>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</si>
  <si>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</si>
  <si>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</si>
  <si>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</si>
  <si>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</si>
  <si>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</si>
  <si>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</si>
  <si>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</si>
  <si>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</si>
  <si>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</si>
  <si>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</si>
  <si>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</si>
  <si>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</si>
  <si>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</si>
  <si>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</si>
  <si>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</si>
  <si>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</si>
  <si>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</si>
  <si>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</si>
  <si>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</si>
  <si>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</si>
  <si>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</si>
  <si>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</si>
  <si>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</si>
  <si>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</si>
  <si>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</si>
  <si>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</si>
  <si>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</si>
  <si>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</si>
  <si>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</si>
  <si>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</si>
  <si>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</si>
  <si>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</si>
  <si>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</si>
  <si>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</si>
  <si>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</si>
  <si>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</si>
  <si>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</si>
  <si>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</si>
  <si>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</si>
  <si>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</si>
  <si>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</si>
  <si>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</si>
  <si>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</si>
  <si>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</si>
  <si>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</si>
  <si>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</si>
  <si>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</si>
  <si>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</si>
  <si>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</si>
  <si>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</si>
  <si>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</si>
  <si>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</si>
  <si>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</si>
  <si>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</si>
  <si>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</si>
  <si>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</si>
  <si>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</si>
  <si>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</si>
  <si>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</si>
  <si>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</si>
  <si>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</si>
  <si>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</si>
  <si>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</si>
  <si>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</si>
  <si>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</si>
  <si>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</si>
  <si>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</si>
  <si>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</si>
  <si>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</si>
  <si>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</si>
  <si>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</si>
  <si>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</si>
  <si>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</si>
  <si>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</si>
  <si>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</si>
  <si>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</si>
  <si>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</si>
  <si>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</si>
  <si>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</si>
  <si>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</si>
  <si>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</si>
  <si>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</si>
  <si>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</si>
  <si>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</si>
  <si>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</si>
  <si>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</si>
  <si>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</si>
  <si>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</si>
  <si>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</si>
  <si>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</si>
  <si>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</si>
  <si>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</si>
  <si>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</si>
  <si>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</si>
  <si>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</si>
  <si>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</si>
  <si>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</si>
  <si>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</si>
  <si>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</si>
  <si>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</si>
  <si>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</si>
  <si>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</si>
  <si>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</si>
  <si>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</si>
  <si>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</si>
  <si>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</si>
  <si>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</si>
  <si>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</si>
  <si>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</si>
  <si>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</si>
  <si>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</si>
  <si>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</si>
  <si>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</si>
  <si>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</si>
  <si>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</si>
  <si>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</si>
  <si>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</si>
  <si>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</si>
  <si>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</si>
  <si>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</si>
  <si>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</si>
  <si>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</si>
  <si>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</si>
  <si>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</si>
  <si>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</si>
  <si>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</si>
  <si>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</si>
  <si>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</si>
  <si>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</si>
  <si>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</si>
  <si>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</si>
  <si>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</si>
  <si>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</si>
  <si>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</si>
  <si>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</si>
  <si>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</si>
  <si>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</si>
  <si>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</si>
  <si>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</si>
  <si>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</si>
  <si>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</si>
  <si>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</si>
  <si>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</si>
  <si>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</si>
  <si>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</si>
  <si>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</si>
  <si>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</si>
  <si>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</si>
  <si>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</si>
  <si>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</si>
  <si>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</si>
  <si>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</si>
  <si>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</si>
  <si>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</si>
  <si>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</si>
  <si>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</si>
  <si>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</si>
  <si>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</si>
  <si>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</si>
  <si>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</si>
  <si>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</si>
  <si>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</si>
  <si>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</si>
  <si>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</si>
  <si>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</si>
  <si>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</si>
  <si>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</si>
  <si>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</si>
  <si>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</si>
  <si>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</si>
  <si>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</si>
  <si>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</si>
  <si>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</si>
  <si>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</si>
  <si>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</si>
  <si>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</si>
  <si>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</si>
  <si>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</si>
  <si>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</si>
  <si>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</si>
  <si>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1/2", AGUA FRIA PREDIAL</t>
  </si>
  <si>
    <t>TUBO PVC, ROSCAVEL, 1",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</si>
  <si>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</si>
  <si>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</si>
  <si>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</si>
  <si>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</si>
  <si>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</si>
  <si>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</si>
  <si>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</si>
  <si>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</si>
  <si>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</si>
  <si>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</si>
  <si>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</si>
  <si>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</si>
  <si>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</si>
  <si>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</si>
  <si>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</si>
  <si>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</si>
  <si>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</si>
  <si>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</si>
  <si>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</si>
  <si>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</si>
  <si>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</si>
  <si>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</si>
  <si>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</si>
  <si>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</si>
  <si>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</si>
  <si>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</si>
  <si>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</si>
  <si>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</si>
  <si>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</si>
  <si>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</si>
  <si>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</si>
  <si>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</si>
  <si>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</si>
  <si>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</si>
  <si>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</si>
  <si>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</si>
  <si>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</si>
  <si>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</si>
  <si>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</si>
  <si>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</si>
  <si>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</si>
  <si>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</si>
  <si>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</si>
  <si>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</si>
  <si>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</si>
  <si>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</si>
  <si>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</si>
  <si>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</si>
  <si>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</si>
  <si>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</si>
  <si>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</si>
  <si>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</si>
  <si>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</si>
  <si>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</si>
  <si>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</si>
  <si>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</si>
  <si>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</si>
  <si>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</si>
  <si>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</si>
  <si>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</si>
  <si>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</si>
  <si>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</si>
  <si>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</si>
  <si>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</si>
  <si>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</si>
  <si>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</si>
  <si>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</si>
  <si>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</si>
  <si>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</si>
  <si>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</si>
  <si>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</si>
  <si>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</si>
  <si>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</si>
  <si>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</si>
  <si>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</si>
  <si>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</si>
  <si>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</si>
  <si>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</si>
  <si>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</si>
  <si>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</si>
  <si>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</si>
  <si>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</si>
  <si>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</si>
  <si>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</si>
  <si>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</si>
  <si>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</si>
  <si>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</si>
  <si>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</si>
  <si>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 (REF 1552-B)</t>
  </si>
  <si>
    <t>VALVULA DE ESFERA BRUTA EM BRONZE, BITOLA 1 1/4" (REF 1552-B)</t>
  </si>
  <si>
    <t>VALVULA DE ESFERA BRUTA EM BRONZE, BITOLA 1/2" (REF 1552-B)</t>
  </si>
  <si>
    <t>VALVULA DE ESFERA BRUTA EM BRONZE, BITOLA 1" (REF 1552-B)</t>
  </si>
  <si>
    <t>VALVULA DE ESFERA BRUTA EM BRONZE, BITOLA 2" (REF 1552-B)</t>
  </si>
  <si>
    <t>VALVULA DE ESFERA BRUTA EM BRONZE, BITOLA 3/4"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</si>
  <si>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</si>
  <si>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</si>
  <si>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</si>
  <si>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</si>
  <si>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</si>
  <si>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</si>
  <si>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</si>
  <si>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</si>
  <si>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</si>
  <si>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</si>
  <si>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</si>
  <si>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</si>
  <si>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</si>
  <si>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</si>
  <si>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</si>
  <si>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</si>
  <si>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</si>
  <si>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</si>
  <si>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</si>
  <si>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</si>
  <si>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</si>
  <si>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</si>
  <si>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</si>
  <si>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</si>
  <si>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</si>
  <si>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</si>
  <si>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</si>
  <si>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</si>
  <si>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</si>
  <si>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OU LAVATORIO 1 ", SEM UNHO E SEM LADRAO</t>
  </si>
  <si>
    <t>VALVULA EM PLASTICO BRANCO PARA TANQUE 1.1/4" X 1.1/2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</si>
  <si>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</si>
  <si>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</si>
  <si>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</si>
  <si>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</si>
  <si>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</si>
  <si>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</si>
  <si>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</si>
  <si>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</si>
  <si>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</si>
  <si>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</si>
  <si>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</si>
  <si>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</si>
  <si>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</si>
  <si>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</si>
  <si>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</si>
  <si>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</si>
  <si>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</si>
  <si>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</si>
  <si>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</si>
  <si>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</si>
  <si>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</si>
  <si>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</si>
  <si>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</si>
  <si>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</si>
  <si>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</si>
  <si>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</si>
  <si>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</si>
  <si>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</si>
  <si>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</si>
  <si>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</si>
  <si>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</si>
  <si>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</si>
  <si>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</si>
  <si>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</si>
  <si>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</si>
  <si>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</si>
  <si>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</si>
  <si>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</si>
  <si>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</si>
  <si>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</si>
  <si>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</si>
  <si>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</si>
  <si>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</si>
  <si>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</si>
  <si>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</si>
  <si>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</si>
  <si>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</si>
  <si>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</si>
  <si>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</si>
  <si>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</si>
  <si>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</si>
  <si>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</si>
  <si>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</si>
  <si>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</si>
  <si>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</si>
  <si>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</si>
  <si>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</si>
  <si>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</si>
  <si>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</si>
  <si>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</si>
  <si>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</si>
  <si>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</si>
  <si>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</si>
  <si>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</si>
  <si>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</si>
  <si>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</si>
  <si>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</si>
  <si>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</si>
  <si>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</si>
  <si>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</si>
  <si>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</si>
  <si>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</si>
  <si>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</si>
  <si>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</si>
  <si>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</si>
  <si>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</si>
  <si>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</si>
  <si>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</si>
  <si>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</si>
  <si>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</si>
  <si>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</si>
  <si>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</si>
  <si>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</si>
  <si>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</si>
  <si>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</si>
  <si>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</si>
  <si>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</si>
  <si>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</si>
  <si>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</si>
  <si>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</si>
  <si>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</si>
  <si>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</si>
  <si>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</si>
  <si>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</si>
  <si>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</si>
  <si>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</si>
  <si>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</si>
  <si>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</si>
  <si>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</si>
  <si>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</si>
  <si>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</si>
  <si>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</si>
  <si>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</si>
  <si>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</si>
  <si>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</si>
  <si>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</si>
  <si>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</si>
  <si>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</si>
  <si>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</si>
  <si>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</si>
  <si>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</si>
  <si>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</si>
  <si>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</si>
  <si>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</si>
  <si>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</si>
  <si>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</si>
  <si>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</si>
  <si>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</si>
  <si>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</si>
  <si>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</si>
  <si>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</si>
  <si>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</si>
  <si>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</si>
  <si>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</si>
  <si>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</si>
  <si>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</si>
  <si>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</si>
  <si>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</si>
  <si>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</si>
  <si>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</si>
  <si>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</si>
  <si>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</si>
  <si>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</si>
  <si>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</si>
  <si>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</si>
  <si>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</si>
  <si>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</si>
  <si>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</si>
  <si>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</si>
  <si>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</si>
  <si>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</si>
  <si>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</si>
  <si>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</si>
  <si>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</si>
  <si>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</si>
  <si>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</si>
  <si>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</si>
  <si>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</si>
  <si>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</si>
  <si>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</si>
  <si>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</si>
  <si>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</si>
  <si>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</si>
  <si>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</si>
  <si>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</si>
  <si>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</si>
  <si>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</si>
  <si>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</si>
  <si>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</si>
  <si>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</si>
  <si>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</si>
  <si>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</si>
  <si>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</si>
  <si>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</si>
  <si>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</si>
  <si>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</si>
  <si>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</si>
  <si>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</si>
  <si>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</si>
  <si>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</si>
  <si>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</si>
  <si>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</si>
  <si>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</si>
  <si>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</si>
  <si>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</si>
  <si>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</si>
  <si>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</si>
  <si>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</si>
  <si>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</si>
  <si>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</si>
  <si>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</si>
  <si>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</si>
  <si>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</si>
  <si>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</si>
  <si>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</si>
  <si>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</si>
  <si>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</si>
  <si>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</si>
  <si>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</si>
  <si>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</si>
  <si>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</si>
  <si>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</si>
  <si>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</si>
  <si>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</si>
  <si>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</si>
  <si>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</si>
  <si>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</si>
  <si>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</si>
  <si>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</si>
  <si>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</si>
  <si>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</si>
  <si>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</si>
  <si>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</si>
  <si>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</si>
  <si>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</si>
  <si>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</si>
  <si>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</si>
  <si>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</si>
  <si>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</si>
  <si>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</si>
  <si>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</si>
  <si>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</si>
  <si>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</si>
  <si>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</si>
  <si>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</si>
  <si>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</si>
  <si>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</si>
  <si>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</si>
  <si>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</si>
  <si>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</si>
  <si>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</si>
  <si>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</si>
  <si>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</si>
  <si>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</si>
  <si>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</si>
  <si>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</si>
  <si>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</si>
  <si>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</si>
  <si>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</si>
  <si>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</si>
  <si>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</si>
  <si>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</si>
  <si>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</si>
  <si>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</si>
  <si>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</si>
  <si>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</si>
  <si>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</si>
  <si>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</si>
  <si>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</si>
  <si>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</si>
  <si>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</si>
  <si>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</si>
  <si>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</si>
  <si>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</si>
  <si>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</si>
  <si>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</si>
  <si>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</si>
  <si>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</si>
  <si>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</si>
  <si>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</si>
  <si>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</si>
  <si>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</si>
  <si>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</si>
  <si>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</si>
  <si>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</si>
  <si>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</si>
  <si>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</si>
  <si>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</si>
  <si>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</si>
  <si>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</si>
  <si>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</si>
  <si>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</si>
  <si>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</si>
  <si>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</si>
  <si>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</si>
  <si>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</si>
  <si>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</si>
  <si>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</si>
  <si>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</si>
  <si>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</si>
  <si>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</si>
  <si>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</si>
  <si>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</si>
  <si>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</si>
  <si>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</si>
  <si>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</si>
  <si>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</si>
  <si>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</si>
  <si>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</si>
  <si>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</si>
  <si>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</si>
  <si>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</si>
  <si>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</si>
  <si>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</si>
  <si>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</si>
  <si>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</si>
  <si>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</si>
  <si>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</si>
  <si>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</si>
  <si>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</si>
  <si>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</si>
  <si>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</si>
  <si>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</si>
  <si>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</si>
  <si>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</si>
  <si>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</si>
  <si>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</si>
  <si>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</si>
  <si>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</si>
  <si>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</si>
  <si>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</si>
  <si>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</si>
  <si>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</si>
  <si>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</si>
  <si>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</si>
  <si>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</si>
  <si>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</si>
  <si>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</si>
  <si>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</si>
  <si>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</si>
  <si>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</si>
  <si>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</si>
  <si>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</si>
  <si>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</si>
  <si>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</si>
  <si>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</si>
  <si>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</si>
  <si>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</si>
  <si>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</si>
  <si>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</si>
  <si>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</si>
  <si>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</si>
  <si>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</si>
  <si>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</si>
  <si>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</si>
  <si>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</si>
  <si>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</si>
  <si>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</si>
  <si>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</si>
  <si>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</si>
  <si>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</si>
  <si>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</si>
  <si>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</si>
  <si>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</si>
  <si>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</si>
  <si>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</si>
  <si>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</si>
  <si>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</si>
  <si>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</si>
  <si>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</si>
  <si>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</si>
  <si>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</si>
  <si>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</si>
  <si>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</si>
  <si>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</si>
  <si>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</si>
  <si>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</si>
  <si>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</si>
  <si>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</si>
  <si>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</si>
  <si>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</si>
  <si>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</si>
  <si>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</si>
  <si>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</si>
  <si>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</si>
  <si>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</si>
  <si>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</si>
  <si>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</si>
  <si>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</si>
  <si>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</si>
  <si>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</si>
  <si>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</si>
  <si>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</si>
  <si>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</si>
  <si>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</si>
  <si>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</si>
  <si>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</si>
  <si>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</si>
  <si>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</si>
  <si>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</si>
  <si>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</si>
  <si>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</si>
  <si>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</si>
  <si>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</si>
  <si>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</si>
  <si>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</si>
  <si>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</si>
  <si>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</si>
  <si>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</si>
  <si>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</si>
  <si>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</si>
  <si>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</si>
  <si>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</si>
  <si>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</si>
  <si>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</si>
  <si>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</si>
  <si>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</si>
  <si>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</si>
  <si>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</si>
  <si>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</si>
  <si>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</si>
  <si>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</si>
  <si>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</si>
  <si>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</si>
  <si>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</si>
  <si>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</si>
  <si>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</si>
  <si>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</si>
  <si>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</si>
  <si>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</si>
  <si>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</si>
  <si>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</si>
  <si>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</si>
  <si>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</si>
  <si>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</si>
  <si>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</si>
  <si>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</si>
  <si>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</si>
  <si>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</si>
  <si>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</si>
  <si>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</si>
  <si>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</si>
  <si>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</si>
  <si>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</si>
  <si>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</si>
  <si>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</si>
  <si>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</si>
  <si>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</si>
  <si>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</si>
  <si>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</si>
  <si>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</si>
  <si>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</si>
  <si>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</si>
  <si>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</si>
  <si>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</si>
  <si>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</si>
  <si>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</si>
  <si>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</si>
  <si>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</si>
  <si>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</si>
  <si>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</si>
  <si>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</si>
  <si>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</si>
  <si>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</si>
  <si>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</si>
  <si>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</si>
  <si>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</si>
  <si>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</si>
  <si>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</si>
  <si>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</si>
  <si>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</si>
  <si>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</si>
  <si>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</si>
  <si>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</si>
  <si>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</si>
  <si>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</si>
  <si>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</si>
  <si>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</si>
  <si>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</si>
  <si>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</si>
  <si>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</si>
  <si>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</si>
  <si>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</si>
  <si>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</si>
  <si>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</si>
  <si>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</si>
  <si>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</si>
  <si>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</si>
  <si>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</si>
  <si>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</si>
  <si>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</si>
  <si>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</si>
  <si>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</si>
  <si>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</si>
  <si>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</si>
  <si>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</si>
  <si>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</si>
  <si>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</si>
  <si>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</si>
  <si>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</si>
  <si>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</si>
  <si>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</si>
  <si>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</si>
  <si>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</si>
  <si>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</si>
  <si>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</si>
  <si>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</si>
  <si>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</si>
  <si>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</si>
  <si>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</si>
  <si>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</si>
  <si>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</si>
  <si>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</si>
  <si>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</si>
  <si>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</si>
  <si>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</si>
  <si>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</si>
  <si>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</si>
  <si>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</si>
  <si>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</si>
  <si>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</si>
  <si>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</si>
  <si>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</si>
  <si>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</si>
  <si>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</si>
  <si>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</si>
  <si>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</si>
  <si>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</si>
  <si>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</si>
  <si>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</si>
  <si>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</si>
  <si>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</si>
  <si>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</si>
  <si>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</si>
  <si>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</si>
  <si>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</si>
  <si>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</si>
  <si>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</si>
  <si>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</si>
  <si>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</si>
  <si>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</si>
  <si>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</si>
  <si>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</si>
  <si>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</si>
  <si>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</si>
  <si>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</si>
  <si>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</si>
  <si>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</si>
  <si>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</si>
  <si>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</si>
  <si>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</si>
  <si>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</si>
  <si>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</si>
  <si>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</si>
  <si>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</si>
  <si>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</si>
  <si>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</si>
  <si>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</si>
  <si>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</si>
  <si>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</si>
  <si>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</si>
  <si>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</si>
  <si>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</si>
  <si>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</si>
  <si>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</si>
  <si>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</si>
  <si>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</si>
  <si>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</si>
  <si>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</si>
  <si>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</si>
  <si>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</si>
  <si>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</si>
  <si>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</si>
  <si>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</si>
  <si>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</si>
  <si>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</si>
  <si>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</si>
  <si>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</si>
  <si>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</si>
  <si>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</si>
  <si>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</si>
  <si>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</si>
  <si>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</si>
  <si>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</si>
  <si>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</si>
  <si>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</si>
  <si>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</si>
  <si>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</si>
  <si>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</si>
  <si>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</si>
  <si>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</si>
  <si>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</si>
  <si>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</si>
  <si>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</si>
  <si>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</si>
  <si>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</si>
  <si>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</si>
  <si>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</si>
  <si>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</si>
  <si>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</si>
  <si>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</si>
  <si>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</si>
  <si>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</si>
  <si>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</si>
  <si>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</si>
  <si>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</si>
  <si>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</si>
  <si>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</si>
  <si>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</si>
  <si>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</si>
  <si>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</si>
  <si>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</si>
  <si>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</si>
  <si>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</si>
  <si>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</si>
  <si>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</si>
  <si>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</si>
  <si>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</si>
  <si>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</si>
  <si>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</si>
  <si>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</si>
  <si>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</si>
  <si>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</si>
  <si>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</si>
  <si>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</si>
  <si>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</si>
  <si>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</si>
  <si>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</si>
  <si>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</si>
  <si>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</si>
  <si>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</si>
  <si>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</si>
  <si>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</si>
  <si>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</si>
  <si>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</si>
  <si>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</si>
  <si>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</si>
  <si>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</si>
  <si>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</si>
  <si>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</si>
  <si>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</si>
  <si>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</si>
  <si>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</si>
  <si>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</si>
  <si>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</si>
  <si>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</si>
  <si>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</si>
  <si>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</si>
  <si>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</si>
  <si>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</si>
  <si>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</si>
  <si>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</si>
  <si>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</si>
  <si>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</si>
  <si>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</si>
  <si>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</si>
  <si>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</si>
  <si>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</si>
  <si>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</si>
  <si>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</si>
  <si>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</si>
  <si>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</si>
  <si>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</si>
  <si>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</si>
  <si>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</si>
  <si>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</si>
  <si>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</si>
  <si>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</si>
  <si>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</si>
  <si>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</si>
  <si>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</si>
  <si>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</si>
  <si>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</si>
  <si>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</si>
  <si>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</si>
  <si>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</si>
  <si>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</si>
  <si>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</si>
  <si>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</si>
  <si>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</si>
  <si>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</si>
  <si>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</si>
  <si>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</si>
  <si>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</si>
  <si>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</si>
  <si>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</si>
  <si>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</si>
  <si>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</si>
  <si>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</si>
  <si>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</si>
  <si>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</si>
  <si>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</si>
  <si>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</si>
  <si>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</si>
  <si>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</si>
  <si>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</si>
  <si>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</si>
  <si>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</si>
  <si>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</si>
  <si>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</si>
  <si>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</si>
  <si>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</si>
  <si>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</si>
  <si>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</si>
  <si>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</si>
  <si>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</si>
  <si>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</si>
  <si>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</si>
  <si>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</si>
  <si>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</si>
  <si>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</si>
  <si>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</si>
  <si>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</si>
  <si>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</si>
  <si>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</si>
  <si>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</si>
  <si>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</si>
  <si>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</si>
  <si>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</si>
  <si>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</si>
  <si>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</si>
  <si>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</si>
  <si>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</si>
  <si>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</si>
  <si>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</si>
  <si>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</si>
  <si>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</si>
  <si>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</si>
  <si>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</si>
  <si>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</si>
  <si>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</si>
  <si>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</si>
  <si>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</si>
  <si>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</si>
  <si>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</si>
  <si>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</si>
  <si>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</si>
  <si>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</si>
  <si>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</si>
  <si>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</si>
  <si>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</si>
  <si>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</si>
  <si>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</si>
  <si>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</si>
  <si>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</si>
  <si>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</si>
  <si>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</si>
  <si>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</si>
  <si>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</si>
  <si>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</si>
  <si>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</si>
  <si>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</si>
  <si>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</si>
  <si>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</si>
  <si>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</si>
  <si>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</si>
  <si>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</si>
  <si>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</si>
  <si>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</si>
  <si>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</si>
  <si>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</si>
  <si>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</si>
  <si>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</si>
  <si>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</si>
  <si>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</si>
  <si>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</si>
  <si>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</si>
  <si>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</si>
  <si>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</si>
  <si>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</si>
  <si>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</si>
  <si>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</si>
  <si>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</si>
  <si>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</si>
  <si>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</si>
  <si>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</si>
  <si>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</si>
  <si>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</si>
  <si>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</si>
  <si>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</si>
  <si>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</si>
  <si>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</si>
  <si>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</si>
  <si>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</si>
  <si>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</si>
  <si>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</si>
  <si>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</si>
  <si>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</si>
  <si>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</si>
  <si>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</si>
  <si>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</si>
  <si>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</si>
  <si>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</si>
  <si>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</si>
  <si>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</si>
  <si>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</si>
  <si>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</si>
  <si>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</si>
  <si>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</si>
  <si>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</si>
  <si>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</si>
  <si>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</si>
  <si>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</si>
  <si>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</si>
  <si>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</si>
  <si>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</si>
  <si>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</si>
  <si>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</si>
  <si>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</si>
  <si>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</si>
  <si>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</si>
  <si>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</si>
  <si>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</si>
  <si>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</si>
  <si>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</si>
  <si>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</si>
  <si>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</si>
  <si>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</si>
  <si>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</si>
  <si>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</si>
  <si>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</si>
  <si>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</si>
  <si>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</si>
  <si>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</si>
  <si>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</si>
  <si>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</si>
  <si>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</si>
  <si>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</si>
  <si>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</si>
  <si>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</si>
  <si>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</si>
  <si>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</si>
  <si>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</si>
  <si>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</si>
  <si>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</si>
  <si>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</si>
  <si>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</si>
  <si>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</si>
  <si>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</si>
  <si>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</si>
  <si>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</si>
  <si>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</si>
  <si>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</si>
  <si>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</si>
  <si>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</si>
  <si>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</si>
  <si>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</si>
  <si>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</si>
  <si>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</si>
  <si>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</si>
  <si>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</si>
  <si>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</si>
  <si>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</si>
  <si>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</si>
  <si>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</si>
  <si>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</si>
  <si>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</si>
  <si>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</si>
  <si>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</si>
  <si>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</si>
  <si>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</si>
  <si>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</si>
  <si>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</si>
  <si>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</si>
  <si>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</si>
  <si>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</si>
  <si>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</si>
  <si>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</si>
  <si>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</si>
  <si>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</si>
  <si>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</si>
  <si>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</si>
  <si>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</si>
  <si>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</si>
  <si>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</si>
  <si>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</si>
  <si>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</si>
  <si>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</si>
  <si>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</si>
  <si>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</si>
  <si>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</si>
  <si>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</si>
  <si>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</si>
  <si>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</si>
  <si>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</si>
  <si>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</si>
  <si>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</si>
  <si>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</si>
  <si>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</si>
  <si>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</si>
  <si>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</si>
  <si>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</si>
  <si>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</si>
  <si>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</si>
  <si>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</si>
  <si>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</si>
  <si>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</si>
  <si>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</si>
  <si>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</si>
  <si>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</si>
  <si>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</si>
  <si>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</si>
  <si>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</si>
  <si>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</si>
  <si>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</si>
  <si>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</si>
  <si>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</si>
  <si>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</si>
  <si>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</si>
  <si>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</si>
  <si>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</si>
  <si>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</si>
  <si>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</si>
  <si>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</si>
  <si>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</si>
  <si>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</si>
  <si>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</si>
  <si>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</si>
  <si>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</si>
  <si>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</si>
  <si>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</si>
  <si>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</si>
  <si>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</si>
  <si>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</si>
  <si>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</si>
  <si>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</si>
  <si>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</si>
  <si>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</si>
  <si>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</si>
  <si>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</si>
  <si>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</si>
  <si>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</si>
  <si>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</si>
  <si>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</si>
  <si>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</si>
  <si>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</si>
  <si>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</si>
  <si>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</si>
  <si>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</si>
  <si>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</si>
  <si>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</si>
  <si>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</si>
  <si>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</si>
  <si>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</si>
  <si>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</si>
  <si>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</si>
  <si>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</si>
  <si>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</si>
  <si>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</si>
  <si>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</si>
  <si>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</si>
  <si>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</si>
  <si>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</si>
  <si>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</si>
  <si>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</si>
  <si>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</si>
  <si>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</si>
  <si>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</si>
  <si>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</si>
  <si>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</si>
  <si>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</si>
  <si>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</si>
  <si>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</si>
  <si>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</si>
  <si>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</si>
  <si>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</si>
  <si>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</si>
  <si>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</si>
  <si>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</si>
  <si>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</si>
  <si>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</si>
  <si>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</si>
  <si>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</si>
  <si>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</si>
  <si>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</si>
  <si>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</si>
  <si>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</si>
  <si>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</si>
  <si>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</si>
  <si>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</si>
  <si>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</si>
  <si>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</si>
  <si>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</si>
  <si>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</si>
  <si>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</si>
  <si>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</si>
  <si>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</si>
  <si>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</si>
  <si>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</si>
  <si>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</si>
  <si>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</si>
  <si>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</si>
  <si>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</si>
  <si>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</si>
  <si>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</si>
  <si>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</si>
  <si>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</si>
  <si>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</si>
  <si>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</si>
  <si>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</si>
  <si>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</si>
  <si>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</si>
  <si>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</si>
  <si>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</si>
  <si>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</si>
  <si>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</si>
  <si>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</si>
  <si>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</si>
  <si>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</si>
  <si>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</si>
  <si>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</si>
  <si>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</si>
  <si>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</si>
  <si>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</si>
  <si>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</si>
  <si>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</si>
  <si>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</si>
  <si>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</si>
  <si>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</si>
  <si>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</si>
  <si>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</si>
  <si>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</si>
  <si>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</si>
  <si>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</si>
  <si>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</si>
  <si>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</si>
  <si>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</si>
  <si>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</si>
  <si>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</si>
  <si>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</si>
  <si>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</si>
  <si>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</si>
  <si>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</si>
  <si>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</si>
  <si>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</si>
  <si>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</si>
  <si>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</si>
  <si>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</si>
  <si>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</si>
  <si>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</si>
  <si>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</si>
  <si>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</si>
  <si>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</si>
  <si>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</si>
  <si>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</si>
  <si>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</si>
  <si>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</si>
  <si>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</si>
  <si>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</si>
  <si>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</si>
  <si>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</si>
  <si>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</si>
  <si>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</si>
  <si>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</si>
  <si>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</si>
  <si>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</si>
  <si>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</si>
  <si>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</si>
  <si>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</si>
  <si>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</si>
  <si>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</si>
  <si>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</si>
  <si>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</si>
  <si>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</si>
  <si>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</si>
  <si>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</si>
  <si>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</si>
  <si>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</si>
  <si>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</si>
  <si>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</si>
  <si>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</si>
  <si>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</si>
  <si>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</si>
  <si>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</si>
  <si>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</si>
  <si>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</si>
  <si>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</si>
  <si>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</si>
  <si>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</si>
  <si>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</si>
  <si>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</si>
  <si>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</si>
  <si>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</si>
  <si>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</si>
  <si>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</si>
  <si>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</si>
  <si>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</si>
  <si>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</si>
  <si>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</si>
  <si>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</si>
  <si>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</si>
  <si>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</si>
  <si>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</si>
  <si>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</si>
  <si>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</si>
  <si>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</si>
  <si>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</si>
  <si>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</si>
  <si>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</si>
  <si>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</si>
  <si>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</si>
  <si>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</si>
  <si>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</si>
  <si>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</si>
  <si>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</si>
  <si>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</si>
  <si>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</si>
  <si>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</si>
  <si>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</si>
  <si>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</si>
  <si>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</si>
  <si>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</si>
  <si>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</si>
  <si>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</si>
  <si>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</si>
  <si>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</si>
  <si>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</si>
  <si>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</si>
  <si>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</si>
  <si>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</si>
  <si>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</si>
  <si>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</si>
  <si>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</si>
  <si>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</si>
  <si>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</si>
  <si>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</si>
  <si>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</si>
  <si>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</si>
  <si>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</si>
  <si>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</si>
  <si>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</si>
  <si>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</si>
  <si>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</si>
  <si>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</si>
  <si>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</si>
  <si>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</si>
  <si>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</si>
  <si>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</si>
  <si>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</si>
  <si>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</si>
  <si>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</si>
  <si>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</si>
  <si>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</si>
  <si>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</si>
  <si>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</si>
  <si>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</si>
  <si>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</si>
  <si>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</si>
  <si>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</si>
  <si>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</si>
  <si>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</si>
  <si>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</si>
  <si>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</si>
  <si>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</si>
  <si>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</si>
  <si>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</si>
  <si>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</si>
  <si>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</si>
  <si>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</si>
  <si>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</si>
  <si>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</si>
  <si>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</si>
  <si>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</si>
  <si>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</si>
  <si>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</si>
  <si>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</si>
  <si>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</si>
  <si>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</si>
  <si>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</si>
  <si>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</si>
  <si>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</si>
  <si>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</si>
  <si>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</si>
  <si>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</si>
  <si>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</si>
  <si>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</si>
  <si>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</si>
  <si>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</si>
  <si>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</si>
  <si>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</si>
  <si>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</si>
  <si>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</si>
  <si>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</si>
  <si>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</si>
  <si>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</si>
  <si>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</si>
  <si>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</si>
  <si>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</si>
  <si>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</si>
  <si>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</si>
  <si>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</si>
  <si>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</si>
  <si>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</si>
  <si>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</si>
  <si>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</si>
  <si>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</si>
  <si>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</si>
  <si>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</si>
  <si>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</si>
  <si>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</si>
  <si>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</si>
  <si>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</si>
  <si>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</si>
  <si>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</si>
  <si>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</si>
  <si>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</si>
  <si>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</si>
  <si>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</si>
  <si>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</si>
  <si>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</si>
  <si>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</si>
  <si>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</si>
  <si>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</si>
  <si>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</si>
  <si>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</si>
  <si>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</si>
  <si>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</si>
  <si>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</si>
  <si>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</si>
  <si>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</si>
  <si>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</si>
  <si>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</si>
  <si>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</si>
  <si>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</si>
  <si>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</si>
  <si>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</si>
  <si>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</si>
  <si>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</si>
  <si>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</si>
  <si>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</si>
  <si>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</si>
  <si>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</si>
  <si>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</si>
  <si>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</si>
  <si>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</si>
  <si>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</si>
  <si>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</si>
  <si>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</si>
  <si>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</si>
  <si>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</si>
  <si>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</si>
  <si>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</si>
  <si>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</si>
  <si>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</si>
  <si>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</si>
  <si>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</si>
  <si>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</si>
  <si>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</si>
  <si>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</si>
  <si>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</si>
  <si>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</si>
  <si>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</si>
  <si>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</si>
  <si>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</si>
  <si>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</si>
  <si>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</si>
  <si>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</si>
  <si>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</si>
  <si>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</si>
  <si>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</si>
  <si>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</si>
  <si>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</si>
  <si>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</si>
  <si>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</si>
  <si>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</si>
  <si>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</si>
  <si>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</si>
  <si>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</si>
  <si>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</si>
  <si>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</si>
  <si>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</si>
  <si>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</si>
  <si>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</si>
  <si>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</si>
  <si>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</si>
  <si>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</si>
  <si>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</si>
  <si>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</si>
  <si>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</si>
  <si>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</si>
  <si>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</si>
  <si>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</si>
  <si>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</si>
  <si>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</si>
  <si>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</si>
  <si>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</si>
  <si>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</si>
  <si>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</si>
  <si>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</si>
  <si>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</si>
  <si>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</si>
  <si>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</si>
  <si>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</si>
  <si>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</si>
  <si>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</si>
  <si>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</si>
  <si>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</si>
  <si>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</si>
  <si>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</si>
  <si>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</si>
  <si>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</si>
  <si>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</si>
  <si>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</si>
  <si>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</si>
  <si>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</si>
  <si>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</si>
  <si>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</si>
  <si>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</si>
  <si>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</si>
  <si>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</si>
  <si>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</si>
  <si>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</si>
  <si>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</si>
  <si>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</si>
  <si>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</si>
  <si>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</si>
  <si>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</si>
  <si>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</si>
  <si>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</si>
  <si>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</si>
  <si>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</si>
  <si>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</si>
  <si>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</si>
  <si>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</si>
  <si>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</si>
  <si>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</si>
  <si>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</si>
  <si>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</si>
  <si>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</si>
  <si>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</si>
  <si>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</si>
  <si>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</si>
  <si>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</si>
  <si>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</si>
  <si>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</si>
  <si>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</si>
  <si>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</si>
  <si>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</si>
  <si>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</si>
  <si>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</si>
  <si>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</si>
  <si>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</si>
  <si>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</si>
  <si>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</si>
  <si>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</si>
  <si>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</si>
  <si>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</si>
  <si>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</si>
  <si>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</si>
  <si>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</si>
  <si>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</si>
  <si>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</si>
  <si>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</si>
  <si>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</si>
  <si>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</si>
  <si>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</si>
  <si>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</si>
  <si>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</si>
  <si>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</si>
  <si>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</si>
  <si>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</si>
  <si>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</si>
  <si>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</si>
  <si>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</si>
  <si>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</si>
  <si>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</si>
  <si>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</si>
  <si>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</si>
  <si>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</si>
  <si>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</si>
  <si>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</si>
  <si>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</si>
  <si>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</si>
  <si>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</si>
  <si>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</si>
  <si>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</si>
  <si>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</si>
  <si>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</si>
  <si>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</si>
  <si>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</si>
  <si>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</si>
  <si>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</si>
  <si>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</si>
  <si>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</si>
  <si>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</si>
  <si>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</si>
  <si>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</si>
  <si>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</si>
  <si>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</si>
  <si>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</si>
  <si>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</si>
  <si>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</si>
  <si>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</si>
  <si>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</si>
  <si>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</si>
  <si>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</si>
  <si>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</si>
  <si>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</si>
  <si>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</si>
  <si>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</si>
  <si>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</si>
  <si>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</si>
  <si>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</si>
  <si>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</si>
  <si>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</si>
  <si>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</si>
  <si>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</si>
  <si>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</si>
  <si>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</si>
  <si>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</si>
  <si>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</si>
  <si>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</si>
  <si>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</si>
  <si>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</si>
  <si>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</si>
  <si>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</si>
  <si>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</si>
  <si>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</si>
  <si>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</si>
  <si>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</si>
  <si>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</si>
  <si>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</si>
  <si>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</si>
  <si>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</si>
  <si>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</si>
  <si>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</si>
  <si>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</si>
  <si>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</si>
  <si>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</si>
  <si>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</si>
  <si>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</si>
  <si>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</si>
  <si>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</si>
  <si>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</si>
  <si>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</si>
  <si>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</si>
  <si>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</si>
  <si>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</si>
  <si>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</si>
  <si>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</si>
  <si>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</si>
  <si>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</si>
  <si>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</si>
  <si>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</si>
  <si>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</si>
  <si>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</si>
  <si>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</si>
  <si>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</si>
  <si>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</si>
  <si>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</si>
  <si>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</si>
  <si>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</si>
  <si>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</si>
  <si>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</si>
  <si>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</si>
  <si>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</si>
  <si>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</si>
  <si>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</si>
  <si>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</si>
  <si>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</si>
  <si>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</si>
  <si>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</si>
  <si>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</si>
  <si>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</si>
  <si>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</si>
  <si>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</si>
  <si>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</si>
  <si>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</si>
  <si>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</si>
  <si>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</si>
  <si>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</si>
  <si>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</si>
  <si>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</si>
  <si>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</si>
  <si>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</si>
  <si>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</si>
  <si>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</si>
  <si>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</si>
  <si>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</si>
  <si>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</si>
  <si>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</si>
  <si>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</si>
  <si>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</si>
  <si>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</si>
  <si>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</si>
  <si>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</si>
  <si>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</si>
  <si>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</si>
  <si>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</si>
  <si>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</si>
  <si>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</si>
  <si>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</si>
  <si>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</si>
  <si>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</si>
  <si>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</si>
  <si>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</si>
  <si>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</si>
  <si>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</si>
  <si>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</si>
  <si>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</si>
  <si>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</si>
  <si>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</si>
  <si>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</si>
  <si>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</si>
  <si>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</si>
  <si>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</si>
  <si>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</si>
  <si>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</si>
  <si>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</si>
  <si>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</si>
  <si>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</si>
  <si>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</si>
  <si>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</si>
  <si>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</si>
  <si>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</si>
  <si>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</si>
  <si>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</si>
  <si>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</si>
  <si>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</si>
  <si>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</si>
  <si>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</si>
  <si>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</si>
  <si>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</si>
  <si>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</si>
  <si>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</si>
  <si>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</si>
  <si>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</si>
  <si>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</si>
  <si>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</si>
  <si>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</si>
  <si>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</si>
  <si>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</si>
  <si>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</si>
  <si>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</si>
  <si>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</si>
  <si>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</si>
  <si>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</si>
  <si>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</si>
  <si>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</si>
  <si>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</si>
  <si>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</si>
  <si>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</si>
  <si>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</si>
  <si>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</si>
  <si>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</si>
  <si>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</si>
  <si>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</si>
  <si>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</si>
  <si>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</si>
  <si>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</si>
  <si>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</si>
  <si>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</si>
  <si>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</si>
  <si>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</si>
  <si>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</si>
  <si>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</si>
  <si>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</si>
  <si>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</si>
  <si>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</si>
  <si>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</si>
  <si>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</si>
  <si>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</si>
  <si>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</si>
  <si>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</si>
  <si>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</si>
  <si>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</si>
  <si>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</si>
  <si>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</si>
  <si>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</si>
  <si>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</si>
  <si>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</si>
  <si>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</si>
  <si>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</si>
  <si>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</si>
  <si>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</si>
  <si>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</si>
  <si>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</si>
  <si>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</si>
  <si>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</si>
  <si>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</si>
  <si>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</si>
  <si>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</si>
  <si>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</si>
  <si>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</si>
  <si>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</si>
  <si>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</si>
  <si>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</si>
  <si>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</si>
  <si>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</si>
  <si>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</si>
  <si>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</si>
  <si>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</si>
  <si>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</si>
  <si>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</si>
  <si>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</si>
  <si>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</si>
  <si>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</si>
  <si>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</si>
  <si>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</si>
  <si>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</si>
  <si>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</si>
  <si>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</si>
  <si>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</si>
  <si>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</si>
  <si>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</si>
  <si>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</si>
  <si>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</si>
  <si>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</si>
  <si>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</si>
  <si>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</si>
  <si>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</si>
  <si>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</si>
  <si>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</si>
  <si>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</si>
  <si>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</si>
  <si>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</si>
  <si>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</si>
  <si>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</si>
  <si>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</si>
  <si>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</si>
  <si>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</si>
  <si>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</si>
  <si>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</si>
  <si>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</si>
  <si>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</si>
  <si>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</si>
  <si>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</si>
  <si>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</si>
  <si>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</si>
  <si>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</si>
  <si>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</si>
  <si>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</si>
  <si>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</si>
  <si>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</si>
  <si>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</si>
  <si>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</si>
  <si>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</si>
  <si>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</si>
  <si>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</si>
  <si>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</si>
  <si>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</si>
  <si>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</si>
  <si>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</si>
  <si>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</si>
  <si>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</si>
  <si>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</si>
  <si>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</si>
  <si>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</si>
  <si>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</si>
  <si>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</si>
  <si>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</si>
  <si>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</si>
  <si>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</si>
  <si>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</si>
  <si>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</si>
  <si>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</si>
  <si>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</si>
  <si>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</si>
  <si>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</si>
  <si>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</si>
  <si>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</si>
  <si>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</si>
  <si>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</si>
  <si>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</si>
  <si>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</si>
  <si>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</si>
  <si>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</si>
  <si>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</si>
  <si>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</si>
  <si>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</si>
  <si>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</si>
  <si>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</si>
  <si>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</si>
  <si>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</si>
  <si>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</si>
  <si>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</si>
  <si>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</si>
  <si>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</si>
  <si>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</si>
  <si>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</si>
  <si>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</si>
  <si>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</si>
  <si>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</si>
  <si>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</si>
  <si>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</si>
  <si>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</si>
  <si>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</si>
  <si>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</si>
  <si>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</si>
  <si>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</si>
  <si>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</si>
  <si>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</si>
  <si>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</si>
  <si>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</si>
  <si>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</si>
  <si>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</si>
  <si>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</si>
  <si>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</si>
  <si>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</si>
  <si>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</si>
  <si>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</si>
  <si>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</si>
  <si>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</si>
  <si>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</si>
  <si>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</si>
  <si>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</si>
  <si>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</si>
  <si>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</si>
  <si>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</si>
  <si>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</si>
  <si>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</si>
  <si>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</si>
  <si>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</si>
  <si>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</si>
  <si>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</si>
  <si>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</si>
  <si>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</si>
  <si>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</si>
  <si>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</si>
  <si>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</si>
  <si>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</si>
  <si>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</si>
  <si>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</si>
  <si>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</si>
  <si>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</si>
  <si>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</si>
  <si>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</si>
  <si>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</si>
  <si>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</si>
  <si>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</si>
  <si>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</si>
  <si>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</si>
  <si>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</si>
  <si>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</si>
  <si>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</si>
  <si>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</si>
  <si>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</si>
  <si>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</si>
  <si>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</si>
  <si>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</si>
  <si>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</si>
  <si>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</si>
  <si>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</si>
  <si>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</si>
  <si>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</si>
  <si>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</si>
  <si>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</si>
  <si>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</si>
  <si>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</si>
  <si>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</si>
  <si>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</si>
  <si>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</si>
  <si>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</si>
  <si>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</si>
  <si>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</si>
  <si>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</si>
  <si>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</si>
  <si>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</si>
  <si>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</si>
  <si>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</si>
  <si>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</si>
  <si>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</si>
  <si>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</si>
  <si>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</si>
  <si>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</si>
  <si>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</si>
  <si>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</si>
  <si>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</si>
  <si>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</si>
  <si>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</si>
  <si>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</si>
  <si>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</si>
  <si>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</si>
  <si>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</si>
  <si>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</si>
  <si>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</si>
  <si>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</si>
  <si>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</si>
  <si>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</si>
  <si>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</si>
  <si>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</si>
  <si>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</si>
  <si>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</si>
  <si>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</si>
  <si>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</si>
  <si>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</si>
  <si>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</si>
  <si>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</si>
  <si>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</si>
  <si>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</si>
  <si>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</si>
  <si>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</si>
  <si>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</si>
  <si>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</si>
  <si>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</si>
  <si>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</si>
  <si>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</si>
  <si>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</si>
  <si>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</si>
  <si>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</si>
  <si>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</si>
  <si>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</si>
  <si>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</si>
  <si>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7 M, DIÂMETRO DE 10 CM, PERFURAÇÃO COM EQUIPAMENTO MANUAL E ARMADURA COM DIÂMETRO DE 20 MM. AF_07/2024</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</si>
  <si>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</si>
  <si>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</si>
  <si>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</si>
  <si>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</si>
  <si>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</si>
  <si>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</si>
  <si>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</si>
  <si>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</si>
  <si>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</si>
  <si>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</si>
  <si>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</si>
  <si>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</si>
  <si>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</si>
  <si>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</si>
  <si>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</si>
  <si>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</si>
  <si>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</si>
  <si>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</si>
  <si>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</si>
  <si>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</si>
  <si>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</si>
  <si>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</si>
  <si>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</si>
  <si>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</si>
  <si>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</si>
  <si>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</si>
  <si>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</si>
  <si>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</si>
  <si>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</si>
  <si>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</si>
  <si>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</si>
  <si>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</si>
  <si>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</si>
  <si>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</si>
  <si>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</si>
  <si>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</si>
  <si>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</si>
  <si>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</si>
  <si>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</si>
  <si>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</si>
  <si>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</si>
  <si>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</si>
  <si>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</si>
  <si>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</si>
  <si>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</si>
  <si>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</si>
  <si>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</si>
  <si>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</si>
  <si>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</si>
  <si>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</si>
  <si>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</si>
  <si>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</si>
  <si>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</si>
  <si>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</si>
  <si>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</si>
  <si>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</si>
  <si>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</si>
  <si>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</si>
  <si>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</si>
  <si>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</si>
  <si>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</si>
  <si>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</si>
  <si>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</si>
  <si>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</si>
  <si>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</si>
  <si>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</si>
  <si>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</si>
  <si>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</si>
  <si>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</si>
  <si>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</si>
  <si>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</si>
  <si>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</si>
  <si>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</si>
  <si>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</si>
  <si>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</si>
  <si>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</si>
  <si>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</si>
  <si>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</si>
  <si>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</si>
  <si>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</si>
  <si>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</si>
  <si>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</si>
  <si>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</si>
  <si>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</si>
  <si>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</si>
  <si>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</si>
  <si>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</si>
  <si>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</si>
  <si>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</si>
  <si>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</si>
  <si>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</si>
  <si>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</si>
  <si>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</si>
  <si>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</si>
  <si>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</si>
  <si>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</si>
  <si>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</si>
  <si>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</si>
  <si>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</si>
  <si>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</si>
  <si>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</si>
  <si>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</si>
  <si>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</si>
  <si>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</si>
  <si>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</si>
  <si>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</si>
  <si>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</si>
  <si>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</si>
  <si>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</si>
  <si>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</si>
  <si>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</si>
  <si>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</si>
  <si>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</si>
  <si>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</si>
  <si>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</si>
  <si>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</si>
  <si>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</si>
  <si>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</si>
  <si>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</si>
  <si>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</si>
  <si>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</si>
  <si>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</si>
  <si>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</si>
  <si>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</si>
  <si>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</si>
  <si>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</si>
  <si>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</si>
  <si>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</si>
  <si>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</si>
  <si>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</si>
  <si>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</si>
  <si>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</si>
  <si>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</si>
  <si>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</si>
  <si>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</si>
  <si>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</si>
  <si>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</si>
  <si>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</si>
  <si>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</si>
  <si>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</si>
  <si>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</si>
  <si>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</si>
  <si>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</si>
  <si>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</si>
  <si>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</si>
  <si>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</si>
  <si>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</si>
  <si>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</si>
  <si>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</si>
  <si>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</si>
  <si>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</si>
  <si>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</si>
  <si>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</si>
  <si>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</si>
  <si>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</si>
  <si>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</si>
  <si>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</si>
  <si>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</si>
  <si>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</si>
  <si>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</si>
  <si>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</si>
  <si>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</si>
  <si>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</si>
  <si>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</si>
  <si>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</si>
  <si>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</si>
  <si>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</si>
  <si>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</si>
  <si>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</si>
  <si>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</si>
  <si>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</si>
  <si>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</si>
  <si>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</si>
  <si>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</si>
  <si>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</si>
  <si>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</si>
  <si>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</si>
  <si>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</si>
  <si>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</si>
  <si>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</si>
  <si>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</si>
  <si>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</si>
  <si>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</si>
  <si>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</si>
  <si>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</si>
  <si>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</si>
  <si>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</si>
  <si>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</si>
  <si>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</si>
  <si>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</si>
  <si>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</si>
  <si>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</si>
  <si>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</si>
  <si>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</si>
  <si>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</si>
  <si>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</si>
  <si>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</si>
  <si>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</si>
  <si>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</si>
  <si>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</si>
  <si>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</si>
  <si>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</si>
  <si>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</si>
  <si>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</si>
  <si>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</si>
  <si>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</si>
  <si>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</si>
  <si>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</si>
  <si>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</si>
  <si>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</si>
  <si>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</si>
  <si>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</si>
  <si>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</si>
  <si>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</si>
  <si>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</si>
  <si>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</si>
  <si>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</si>
  <si>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</si>
  <si>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</si>
  <si>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</si>
  <si>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</si>
  <si>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</si>
  <si>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</si>
  <si>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</si>
  <si>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</si>
  <si>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</si>
  <si>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</si>
  <si>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</si>
  <si>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</si>
  <si>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</si>
  <si>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</si>
  <si>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</si>
  <si>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</si>
  <si>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</si>
  <si>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</si>
  <si>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</si>
  <si>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</si>
  <si>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</si>
  <si>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</si>
  <si>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</si>
  <si>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</si>
  <si>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</si>
  <si>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</si>
  <si>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</si>
  <si>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</si>
  <si>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</si>
  <si>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</si>
  <si>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</si>
  <si>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</si>
  <si>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</si>
  <si>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</si>
  <si>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</si>
  <si>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</si>
  <si>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</si>
  <si>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</si>
  <si>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</si>
  <si>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</si>
  <si>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</si>
  <si>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</si>
  <si>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</si>
  <si>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</si>
  <si>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</si>
  <si>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</si>
  <si>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</si>
  <si>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</si>
  <si>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</si>
  <si>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</si>
  <si>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</si>
  <si>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</si>
  <si>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</si>
  <si>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</si>
  <si>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</si>
  <si>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</si>
  <si>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</si>
  <si>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</si>
  <si>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</si>
  <si>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</si>
  <si>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</si>
  <si>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</si>
  <si>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</si>
  <si>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</si>
  <si>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</si>
  <si>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</si>
  <si>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</si>
  <si>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</si>
  <si>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</si>
  <si>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</si>
  <si>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</si>
  <si>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</si>
  <si>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</si>
  <si>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</si>
  <si>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</si>
  <si>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</si>
  <si>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</si>
  <si>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</si>
  <si>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</si>
  <si>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</si>
  <si>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</si>
  <si>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</si>
  <si>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</si>
  <si>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</si>
  <si>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</si>
  <si>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</si>
  <si>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</si>
  <si>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</si>
  <si>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</si>
  <si>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</si>
  <si>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</si>
  <si>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</si>
  <si>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</si>
  <si>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</si>
  <si>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</si>
  <si>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</si>
  <si>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</si>
  <si>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</si>
  <si>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</si>
  <si>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</si>
  <si>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</si>
  <si>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</si>
  <si>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</si>
  <si>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</si>
  <si>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</si>
  <si>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</si>
  <si>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</si>
  <si>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</si>
  <si>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</si>
  <si>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</si>
  <si>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</si>
  <si>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</si>
  <si>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</si>
  <si>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</si>
  <si>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</si>
  <si>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</si>
  <si>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</si>
  <si>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</si>
  <si>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</si>
  <si>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</si>
  <si>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</si>
  <si>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</si>
  <si>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</si>
  <si>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</si>
  <si>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</si>
  <si>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</si>
  <si>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</si>
  <si>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</si>
  <si>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</si>
  <si>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</si>
  <si>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</si>
  <si>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</si>
  <si>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</si>
  <si>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</si>
  <si>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</si>
  <si>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</si>
  <si>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</si>
  <si>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</si>
  <si>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</si>
  <si>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</si>
  <si>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</si>
  <si>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</si>
  <si>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</si>
  <si>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</si>
  <si>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</si>
  <si>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</si>
  <si>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</si>
  <si>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</si>
  <si>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</si>
  <si>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</si>
  <si>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</si>
  <si>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</si>
  <si>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</si>
  <si>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</si>
  <si>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</si>
  <si>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</si>
  <si>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</si>
  <si>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</si>
  <si>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</si>
  <si>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</si>
  <si>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</si>
  <si>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</si>
  <si>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</si>
  <si>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</si>
  <si>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</si>
  <si>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</si>
  <si>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</si>
  <si>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</si>
  <si>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</si>
  <si>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</si>
  <si>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</si>
  <si>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</si>
  <si>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</si>
  <si>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</si>
  <si>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</si>
  <si>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</si>
  <si>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</si>
  <si>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</si>
  <si>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</si>
  <si>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</si>
  <si>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</si>
  <si>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</si>
  <si>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</si>
  <si>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</si>
  <si>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</si>
  <si>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</si>
  <si>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</si>
  <si>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</si>
  <si>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</si>
  <si>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</si>
  <si>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</si>
  <si>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</si>
  <si>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</si>
  <si>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</si>
  <si>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</si>
  <si>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</si>
  <si>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</si>
  <si>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</si>
  <si>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</si>
  <si>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</si>
  <si>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</si>
  <si>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</si>
  <si>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</si>
  <si>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</si>
  <si>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</si>
  <si>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</si>
  <si>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</si>
  <si>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</si>
  <si>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</si>
  <si>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</si>
  <si>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</si>
  <si>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</si>
  <si>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</si>
  <si>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</si>
  <si>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</si>
  <si>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</si>
  <si>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</si>
  <si>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</si>
  <si>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</si>
  <si>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</si>
  <si>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</si>
  <si>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</si>
  <si>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</si>
  <si>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</si>
  <si>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</si>
  <si>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</si>
  <si>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</si>
  <si>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</si>
  <si>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</si>
  <si>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</si>
  <si>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</si>
  <si>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</si>
  <si>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</si>
  <si>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</si>
  <si>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</si>
  <si>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</si>
  <si>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</si>
  <si>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</si>
  <si>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</si>
  <si>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</si>
  <si>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</si>
  <si>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</si>
  <si>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</si>
  <si>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</si>
  <si>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</si>
  <si>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</si>
  <si>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</si>
  <si>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</si>
  <si>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</si>
  <si>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</si>
  <si>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</si>
  <si>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</si>
  <si>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</si>
  <si>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</si>
  <si>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</si>
  <si>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</si>
  <si>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</si>
  <si>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</si>
  <si>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</si>
  <si>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</si>
  <si>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</si>
  <si>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</si>
  <si>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</si>
  <si>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</si>
  <si>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</si>
  <si>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</si>
  <si>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</si>
  <si>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</si>
  <si>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</si>
  <si>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</si>
  <si>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</si>
  <si>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</si>
  <si>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</si>
  <si>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</si>
  <si>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</si>
  <si>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</si>
  <si>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</si>
  <si>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</si>
  <si>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</si>
  <si>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</si>
  <si>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</si>
  <si>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</si>
  <si>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</si>
  <si>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</si>
  <si>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</si>
  <si>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</si>
  <si>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</si>
  <si>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</si>
  <si>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</si>
  <si>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</si>
  <si>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</si>
  <si>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</si>
  <si>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</si>
  <si>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</si>
  <si>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</si>
  <si>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</si>
  <si>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</si>
  <si>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</si>
  <si>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</si>
  <si>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</si>
  <si>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</si>
  <si>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</si>
  <si>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</si>
  <si>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</si>
  <si>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</si>
  <si>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</si>
  <si>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</si>
  <si>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</si>
  <si>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</si>
  <si>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</si>
  <si>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</si>
  <si>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</si>
  <si>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</si>
  <si>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</si>
  <si>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</si>
  <si>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</si>
  <si>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</si>
  <si>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</si>
  <si>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</si>
  <si>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</si>
  <si>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</si>
  <si>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</si>
  <si>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</si>
  <si>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</si>
  <si>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</si>
  <si>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</si>
  <si>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</si>
  <si>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</si>
  <si>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</si>
  <si>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</si>
  <si>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</si>
  <si>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</si>
  <si>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</si>
  <si>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</si>
  <si>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</si>
  <si>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</si>
  <si>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</si>
  <si>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</si>
  <si>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</si>
  <si>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</si>
  <si>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</si>
  <si>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</si>
  <si>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</si>
  <si>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</si>
  <si>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</si>
  <si>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</si>
  <si>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</si>
  <si>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</si>
  <si>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</si>
  <si>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</si>
  <si>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</si>
  <si>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</si>
  <si>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</si>
  <si>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</si>
  <si>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</si>
  <si>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</si>
  <si>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</si>
  <si>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</si>
  <si>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</si>
  <si>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</si>
  <si>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</si>
  <si>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</si>
  <si>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</si>
  <si>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</si>
  <si>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</si>
  <si>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</si>
  <si>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</si>
  <si>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</si>
  <si>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</si>
  <si>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</si>
  <si>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</si>
  <si>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</si>
  <si>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</si>
  <si>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</si>
  <si>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</si>
  <si>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</si>
  <si>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</si>
  <si>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</si>
  <si>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</si>
  <si>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</si>
  <si>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</si>
  <si>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</si>
  <si>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</si>
  <si>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</si>
  <si>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</si>
  <si>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</si>
  <si>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</si>
  <si>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</si>
  <si>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</si>
  <si>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</si>
  <si>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</si>
  <si>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</si>
  <si>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</si>
  <si>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</si>
  <si>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</si>
  <si>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</si>
  <si>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</si>
  <si>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</si>
  <si>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</si>
  <si>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</si>
  <si>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</si>
  <si>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</si>
  <si>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</si>
  <si>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</si>
  <si>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</si>
  <si>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</si>
  <si>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</si>
  <si>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</si>
  <si>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</si>
  <si>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</si>
  <si>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</si>
  <si>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</si>
  <si>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</si>
  <si>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</si>
  <si>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</si>
  <si>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</si>
  <si>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</si>
  <si>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</si>
  <si>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</si>
  <si>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</si>
  <si>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</si>
  <si>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</si>
  <si>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</si>
  <si>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</si>
  <si>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</si>
  <si>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</si>
  <si>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</si>
  <si>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</si>
  <si>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</si>
  <si>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</si>
  <si>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</si>
  <si>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</si>
  <si>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</si>
  <si>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</si>
  <si>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</si>
  <si>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</si>
  <si>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</si>
  <si>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</si>
  <si>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</si>
  <si>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</si>
  <si>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</si>
  <si>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</si>
  <si>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</si>
  <si>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</si>
  <si>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</si>
  <si>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</si>
  <si>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</si>
  <si>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</si>
  <si>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</si>
  <si>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</si>
  <si>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</si>
  <si>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</si>
  <si>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</si>
  <si>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</si>
  <si>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</si>
  <si>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</si>
  <si>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</si>
  <si>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</si>
  <si>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</si>
  <si>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</si>
  <si>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</si>
  <si>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</si>
  <si>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</si>
  <si>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</si>
  <si>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</si>
  <si>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</si>
  <si>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</si>
  <si>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</si>
  <si>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</si>
  <si>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</si>
  <si>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</si>
  <si>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</si>
  <si>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</si>
  <si>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</si>
  <si>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</si>
  <si>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</si>
  <si>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</si>
  <si>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</si>
  <si>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</si>
  <si>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</si>
  <si>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</si>
  <si>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</si>
  <si>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</si>
  <si>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</si>
  <si>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</si>
  <si>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</si>
  <si>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</si>
  <si>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</si>
  <si>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</si>
  <si>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</si>
  <si>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</si>
  <si>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</si>
  <si>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</si>
  <si>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</si>
  <si>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</si>
  <si>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</si>
  <si>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</si>
  <si>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</si>
  <si>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</si>
  <si>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</si>
  <si>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</si>
  <si>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</si>
  <si>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</si>
  <si>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</si>
  <si>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</si>
  <si>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</si>
  <si>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</si>
  <si>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</si>
  <si>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</si>
  <si>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</si>
  <si>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</si>
  <si>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</si>
  <si>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</si>
  <si>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</si>
  <si>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</si>
  <si>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</si>
  <si>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</si>
  <si>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</si>
  <si>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</si>
  <si>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</si>
  <si>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</si>
  <si>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</si>
  <si>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</si>
  <si>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</si>
  <si>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</si>
  <si>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</si>
  <si>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</si>
  <si>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</si>
  <si>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</si>
  <si>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</si>
  <si>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</si>
  <si>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</si>
  <si>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</si>
  <si>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</si>
  <si>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</si>
  <si>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</si>
  <si>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</si>
  <si>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</si>
  <si>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</si>
  <si>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</si>
  <si>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</si>
  <si>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</si>
  <si>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</si>
  <si>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</si>
  <si>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</si>
  <si>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</si>
  <si>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</si>
  <si>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</si>
  <si>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</si>
  <si>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</si>
  <si>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</si>
  <si>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</si>
  <si>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</si>
  <si>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</si>
  <si>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</si>
  <si>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</si>
  <si>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</si>
  <si>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</si>
  <si>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</si>
  <si>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</si>
  <si>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</si>
  <si>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</si>
  <si>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</si>
  <si>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</si>
  <si>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</si>
  <si>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</si>
  <si>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</si>
  <si>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</si>
  <si>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</si>
  <si>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</si>
  <si>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</si>
  <si>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</si>
  <si>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</si>
  <si>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</si>
  <si>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</si>
  <si>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</si>
  <si>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</si>
  <si>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</si>
  <si>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</si>
  <si>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</si>
  <si>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</si>
  <si>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</si>
  <si>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</si>
  <si>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</si>
  <si>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</si>
  <si>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</si>
  <si>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</si>
  <si>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</si>
  <si>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</si>
  <si>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</si>
  <si>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</si>
  <si>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</si>
  <si>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</si>
  <si>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</si>
  <si>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</si>
  <si>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</si>
  <si>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</si>
  <si>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</si>
  <si>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</si>
  <si>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</si>
  <si>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</si>
  <si>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</si>
  <si>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</si>
  <si>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</si>
  <si>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</si>
  <si>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</si>
  <si>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</si>
  <si>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</si>
  <si>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</si>
  <si>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</si>
  <si>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</si>
  <si>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</si>
  <si>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</si>
  <si>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</si>
  <si>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</si>
  <si>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</si>
  <si>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</si>
  <si>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</si>
  <si>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</si>
  <si>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</si>
  <si>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</si>
  <si>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</si>
  <si>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</si>
  <si>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</si>
  <si>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</si>
  <si>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</si>
  <si>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</si>
  <si>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</si>
  <si>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</si>
  <si>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</si>
  <si>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</si>
  <si>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</si>
  <si>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</si>
  <si>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</si>
  <si>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</si>
  <si>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</si>
  <si>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</si>
  <si>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</si>
  <si>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</si>
  <si>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</si>
  <si>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</si>
  <si>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</si>
  <si>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</si>
  <si>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</si>
  <si>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</si>
  <si>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</si>
  <si>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</si>
  <si>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</si>
  <si>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</si>
  <si>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</si>
  <si>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</si>
  <si>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</si>
  <si>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</si>
  <si>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</si>
  <si>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</si>
  <si>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</si>
  <si>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</si>
  <si>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</si>
  <si>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</si>
  <si>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</si>
  <si>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</si>
  <si>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</si>
  <si>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</si>
  <si>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</si>
  <si>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</si>
  <si>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</si>
  <si>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</si>
  <si>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</si>
  <si>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</si>
  <si>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</si>
  <si>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</si>
  <si>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</si>
  <si>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</si>
  <si>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</si>
  <si>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</si>
  <si>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</si>
  <si>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</si>
  <si>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</si>
  <si>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</si>
  <si>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</si>
  <si>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</si>
  <si>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</si>
  <si>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</si>
  <si>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</si>
  <si>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</si>
  <si>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</si>
  <si>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</si>
  <si>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</si>
  <si>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</si>
  <si>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</si>
  <si>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</si>
  <si>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</si>
  <si>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</si>
  <si>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</si>
  <si>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</si>
  <si>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</si>
  <si>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</si>
  <si>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</si>
  <si>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</si>
  <si>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</si>
  <si>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</si>
  <si>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</si>
  <si>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</si>
  <si>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</si>
  <si>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</si>
  <si>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</si>
  <si>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</si>
  <si>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</si>
  <si>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</si>
  <si>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</si>
  <si>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</si>
  <si>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</si>
  <si>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</si>
  <si>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</si>
  <si>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</si>
  <si>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</si>
  <si>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</si>
  <si>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</si>
  <si>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</si>
  <si>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</si>
  <si>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</si>
  <si>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</si>
  <si>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</si>
  <si>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</si>
  <si>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</si>
  <si>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</si>
  <si>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</si>
  <si>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</si>
  <si>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</si>
  <si>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</si>
  <si>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</si>
  <si>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</si>
  <si>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</si>
  <si>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</si>
  <si>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</si>
  <si>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</si>
  <si>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</si>
  <si>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</si>
  <si>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</si>
  <si>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</si>
  <si>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</si>
  <si>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</si>
  <si>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</si>
  <si>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</si>
  <si>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</si>
  <si>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</si>
  <si>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</si>
  <si>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</si>
  <si>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</si>
  <si>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</si>
  <si>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</si>
  <si>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</si>
  <si>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</si>
  <si>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</si>
  <si>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</si>
  <si>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</si>
  <si>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</si>
  <si>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</si>
  <si>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</si>
  <si>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</si>
  <si>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</si>
  <si>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</si>
  <si>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</si>
  <si>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</si>
  <si>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</si>
  <si>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</si>
  <si>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</si>
  <si>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</si>
  <si>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</si>
  <si>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</si>
  <si>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</si>
  <si>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</si>
  <si>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</si>
  <si>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</si>
  <si>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</si>
  <si>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</si>
  <si>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</si>
  <si>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</si>
  <si>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</si>
  <si>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</si>
  <si>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</si>
  <si>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</si>
  <si>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</si>
  <si>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</si>
  <si>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</si>
  <si>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</si>
  <si>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</si>
  <si>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</si>
  <si>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</si>
  <si>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</si>
  <si>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</si>
  <si>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</si>
  <si>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</si>
  <si>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</si>
  <si>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</si>
  <si>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</si>
  <si>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</si>
  <si>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</si>
  <si>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</si>
  <si>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</si>
  <si>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</si>
  <si>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</si>
  <si>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</si>
  <si>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</si>
  <si>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</si>
  <si>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</si>
  <si>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</si>
  <si>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</si>
  <si>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</si>
  <si>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</si>
  <si>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</si>
  <si>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</si>
  <si>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</si>
  <si>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</si>
  <si>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</si>
  <si>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</si>
  <si>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</si>
  <si>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</si>
  <si>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</si>
  <si>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</si>
  <si>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</si>
  <si>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</si>
  <si>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</si>
  <si>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</si>
  <si>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</si>
  <si>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</si>
  <si>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</si>
  <si>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</si>
  <si>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</si>
  <si>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</si>
  <si>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</si>
  <si>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</si>
  <si>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</si>
  <si>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</si>
  <si>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</si>
  <si>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</si>
  <si>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</si>
  <si>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</si>
  <si>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</si>
  <si>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</si>
  <si>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</si>
  <si>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</si>
  <si>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</si>
  <si>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</si>
  <si>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</si>
  <si>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</si>
  <si>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</si>
  <si>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</si>
  <si>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</si>
  <si>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</si>
  <si>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</si>
  <si>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</si>
  <si>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</si>
  <si>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</si>
  <si>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</si>
  <si>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</si>
  <si>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</si>
  <si>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</si>
  <si>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</si>
  <si>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</si>
  <si>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</si>
  <si>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</si>
  <si>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</si>
  <si>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</si>
  <si>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</si>
  <si>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</si>
  <si>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</si>
  <si>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</si>
  <si>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</si>
  <si>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</si>
  <si>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</si>
  <si>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</si>
  <si>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</si>
  <si>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</si>
  <si>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</si>
  <si>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</si>
  <si>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</si>
  <si>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</si>
  <si>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</si>
  <si>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</si>
  <si>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</si>
  <si>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</si>
  <si>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</si>
  <si>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</si>
  <si>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</si>
  <si>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</si>
  <si>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</si>
  <si>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</si>
  <si>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</si>
  <si>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</si>
  <si>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</si>
  <si>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</si>
  <si>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</si>
  <si>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</si>
  <si>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</si>
  <si>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</si>
  <si>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</si>
  <si>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</si>
  <si>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</si>
  <si>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</si>
  <si>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</si>
  <si>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</si>
  <si>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</si>
  <si>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</si>
  <si>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</si>
  <si>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</si>
  <si>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</si>
  <si>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</si>
  <si>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</si>
  <si>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</si>
  <si>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</si>
  <si>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</si>
  <si>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</si>
  <si>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</si>
  <si>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</si>
  <si>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</si>
  <si>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</si>
  <si>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</si>
  <si>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</si>
  <si>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</si>
  <si>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</si>
  <si>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</si>
  <si>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</si>
  <si>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</si>
  <si>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</si>
  <si>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</si>
  <si>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</si>
  <si>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</si>
  <si>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</si>
  <si>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</si>
  <si>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</si>
  <si>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</si>
  <si>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</si>
  <si>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</si>
  <si>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</si>
  <si>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</si>
  <si>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</si>
  <si>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</si>
  <si>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</si>
  <si>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</si>
  <si>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</si>
  <si>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</si>
  <si>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</si>
  <si>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</si>
  <si>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</si>
  <si>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</si>
  <si>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</si>
  <si>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</si>
  <si>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</si>
  <si>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</si>
  <si>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</si>
  <si>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</si>
  <si>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</si>
  <si>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</si>
  <si>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</si>
  <si>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</si>
  <si>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</si>
  <si>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</si>
  <si>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</si>
  <si>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</si>
  <si>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</si>
  <si>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</si>
  <si>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</si>
  <si>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</si>
  <si>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</si>
  <si>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</si>
  <si>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</si>
  <si>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</si>
  <si>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</si>
  <si>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</si>
  <si>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</si>
  <si>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</si>
  <si>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</si>
  <si>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</si>
  <si>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</si>
  <si>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</si>
  <si>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</si>
  <si>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</si>
  <si>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</si>
  <si>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</si>
  <si>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</si>
  <si>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</si>
  <si>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</si>
  <si>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</si>
  <si>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</si>
  <si>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</si>
  <si>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</si>
  <si>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</si>
  <si>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</si>
  <si>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</si>
  <si>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</si>
  <si>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</si>
  <si>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</si>
  <si>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</si>
  <si>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</si>
  <si>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</si>
  <si>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</si>
  <si>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</si>
  <si>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</si>
  <si>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</si>
  <si>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</si>
  <si>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</si>
  <si>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</si>
  <si>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</si>
  <si>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</si>
  <si>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</si>
  <si>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</si>
  <si>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</si>
  <si>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</si>
  <si>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</si>
  <si>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</si>
  <si>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</si>
  <si>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</si>
  <si>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</si>
  <si>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</si>
  <si>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</si>
  <si>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</si>
  <si>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</si>
  <si>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</si>
  <si>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</si>
  <si>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</si>
  <si>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</si>
  <si>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</si>
  <si>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</si>
  <si>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</si>
  <si>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</si>
  <si>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</si>
  <si>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</si>
  <si>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</si>
  <si>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</si>
  <si>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</si>
  <si>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</si>
  <si>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</si>
  <si>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</si>
  <si>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</si>
  <si>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</si>
  <si>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</si>
  <si>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</si>
  <si>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</si>
  <si>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</si>
  <si>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</si>
  <si>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</si>
  <si>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</si>
  <si>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</si>
  <si>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</si>
  <si>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</si>
  <si>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</si>
  <si>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</si>
  <si>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</si>
  <si>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</si>
  <si>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</si>
  <si>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</si>
  <si>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</si>
  <si>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</si>
  <si>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</si>
  <si>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</si>
  <si>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</si>
  <si>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</si>
  <si>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</si>
  <si>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</si>
  <si>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</si>
  <si>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</si>
  <si>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</si>
  <si>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</si>
  <si>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</si>
  <si>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</si>
  <si>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</si>
  <si>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</si>
  <si>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</si>
  <si>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</si>
  <si>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</si>
  <si>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</si>
  <si>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</si>
  <si>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</si>
  <si>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</si>
  <si>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</si>
  <si>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</si>
  <si>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</si>
  <si>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</si>
  <si>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</si>
  <si>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</si>
  <si>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</si>
  <si>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</si>
  <si>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</si>
  <si>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</si>
  <si>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</si>
  <si>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</si>
  <si>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</si>
  <si>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</si>
  <si>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</si>
  <si>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</si>
  <si>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</si>
  <si>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</si>
  <si>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</si>
  <si>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</si>
  <si>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</si>
  <si>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</si>
  <si>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</si>
  <si>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</si>
  <si>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</si>
  <si>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</si>
  <si>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</si>
  <si>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</si>
  <si>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</si>
  <si>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</si>
  <si>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</si>
  <si>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</si>
  <si>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</si>
  <si>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</si>
  <si>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</si>
  <si>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</si>
  <si>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</si>
  <si>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</si>
  <si>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</si>
  <si>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</si>
  <si>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</si>
  <si>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</si>
  <si>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</si>
  <si>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</si>
  <si>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</si>
  <si>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</si>
  <si>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</si>
  <si>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</si>
  <si>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</si>
  <si>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</si>
  <si>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</si>
  <si>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</si>
  <si>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</si>
  <si>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</si>
  <si>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</si>
  <si>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</si>
  <si>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</si>
  <si>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</si>
  <si>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</si>
  <si>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</si>
  <si>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</si>
  <si>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</si>
  <si>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</si>
  <si>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</si>
  <si>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</si>
  <si>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</si>
  <si>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</si>
  <si>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</si>
  <si>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</si>
  <si>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</si>
  <si>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</si>
  <si>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</si>
  <si>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</si>
  <si>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</si>
  <si>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</si>
  <si>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</si>
  <si>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</si>
  <si>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</si>
  <si>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</si>
  <si>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</si>
  <si>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</si>
  <si>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</si>
  <si>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</si>
  <si>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</si>
  <si>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</si>
  <si>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</si>
  <si>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</si>
  <si>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</si>
  <si>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</si>
  <si>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</si>
  <si>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</si>
  <si>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</si>
  <si>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</si>
  <si>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</si>
  <si>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</si>
  <si>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</si>
  <si>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</si>
  <si>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</si>
  <si>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</si>
  <si>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</si>
  <si>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</si>
  <si>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</si>
  <si>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</si>
  <si>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</si>
  <si>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</si>
  <si>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</si>
  <si>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</si>
  <si>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</si>
  <si>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</si>
  <si>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</si>
  <si>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</si>
  <si>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</si>
  <si>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</si>
  <si>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</si>
  <si>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</si>
  <si>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</si>
  <si>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</si>
  <si>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</si>
  <si>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</si>
  <si>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</si>
  <si>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</si>
  <si>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</si>
  <si>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</si>
  <si>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</si>
  <si>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</si>
  <si>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</si>
  <si>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</si>
  <si>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</si>
  <si>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</si>
  <si>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</si>
  <si>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</si>
  <si>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</si>
  <si>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</si>
  <si>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</si>
  <si>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</si>
  <si>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</si>
  <si>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</si>
  <si>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</si>
  <si>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</si>
  <si>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</si>
  <si>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</si>
  <si>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</si>
  <si>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</si>
  <si>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</si>
  <si>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</si>
  <si>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</si>
  <si>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</si>
  <si>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</si>
  <si>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</si>
  <si>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</si>
  <si>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</si>
  <si>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</si>
  <si>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</si>
  <si>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</si>
  <si>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</si>
  <si>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</si>
  <si>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</si>
  <si>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</si>
  <si>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</si>
  <si>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</si>
  <si>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</si>
  <si>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</si>
  <si>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</si>
  <si>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</si>
  <si>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</si>
  <si>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</si>
  <si>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</si>
  <si>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</si>
  <si>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</si>
  <si>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</si>
  <si>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</si>
  <si>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</si>
  <si>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</si>
  <si>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</si>
  <si>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</si>
  <si>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</si>
  <si>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</si>
  <si>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</si>
  <si>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</si>
  <si>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</si>
  <si>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</si>
  <si>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</si>
  <si>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</si>
  <si>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</si>
  <si>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</si>
  <si>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</si>
  <si>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</si>
  <si>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</si>
  <si>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</si>
  <si>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</si>
  <si>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</si>
  <si>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</si>
  <si>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</si>
  <si>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</si>
  <si>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</si>
  <si>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</si>
  <si>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</si>
  <si>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</si>
  <si>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</si>
  <si>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</si>
  <si>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</si>
  <si>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</si>
  <si>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</si>
  <si>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</si>
  <si>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</si>
  <si>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</si>
  <si>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</si>
  <si>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</si>
  <si>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</si>
  <si>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</si>
  <si>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</si>
  <si>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</si>
  <si>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</si>
  <si>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</si>
  <si>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</si>
  <si>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</si>
  <si>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</si>
  <si>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</si>
  <si>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</si>
  <si>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</si>
  <si>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</si>
  <si>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</si>
  <si>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</si>
  <si>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</si>
  <si>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</si>
  <si>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</si>
  <si>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</si>
  <si>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</si>
  <si>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</si>
  <si>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</si>
  <si>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</si>
  <si>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</si>
  <si>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</si>
  <si>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</si>
  <si>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</si>
  <si>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</si>
  <si>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</si>
  <si>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</si>
  <si>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</si>
  <si>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</si>
  <si>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</si>
  <si>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</si>
  <si>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</si>
  <si>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</si>
  <si>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</si>
  <si>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</si>
  <si>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</si>
  <si>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</si>
  <si>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</si>
  <si>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</si>
  <si>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</si>
  <si>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</si>
  <si>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</si>
  <si>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</si>
  <si>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</si>
  <si>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</si>
  <si>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</si>
  <si>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</si>
  <si>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</si>
  <si>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</si>
  <si>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</si>
  <si>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</si>
  <si>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</si>
  <si>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</si>
  <si>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</si>
  <si>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</si>
  <si>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</si>
  <si>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</si>
  <si>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</si>
  <si>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</si>
  <si>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</si>
  <si>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</si>
  <si>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</si>
  <si>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</si>
  <si>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</si>
  <si>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</si>
  <si>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</si>
  <si>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</si>
  <si>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</si>
  <si>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</si>
  <si>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</si>
  <si>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</si>
  <si>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</si>
  <si>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</si>
  <si>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</si>
  <si>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</si>
  <si>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</si>
  <si>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</si>
  <si>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</si>
  <si>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</si>
  <si>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</si>
  <si>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</si>
  <si>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</si>
  <si>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</si>
  <si>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</si>
  <si>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</si>
  <si>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</si>
  <si>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</si>
  <si>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</si>
  <si>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</si>
  <si>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</si>
  <si>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</si>
  <si>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</si>
  <si>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</si>
  <si>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</si>
  <si>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</si>
  <si>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</si>
  <si>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</si>
  <si>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</si>
  <si>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</si>
  <si>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</si>
  <si>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</si>
  <si>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</si>
  <si>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</si>
  <si>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</si>
  <si>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</si>
  <si>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</si>
  <si>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</si>
  <si>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</si>
  <si>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</si>
  <si>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</si>
  <si>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</si>
  <si>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</si>
  <si>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</si>
  <si>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</si>
  <si>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</si>
  <si>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</si>
  <si>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</si>
  <si>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</si>
  <si>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</si>
  <si>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</si>
  <si>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</si>
  <si>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</si>
  <si>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</si>
  <si>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</si>
  <si>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</si>
  <si>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</si>
  <si>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</si>
  <si>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</si>
  <si>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</si>
  <si>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</si>
  <si>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</si>
  <si>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</si>
  <si>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</si>
  <si>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</si>
  <si>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</si>
  <si>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</si>
  <si>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</si>
  <si>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</si>
  <si>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</si>
  <si>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</si>
  <si>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</si>
  <si>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</si>
  <si>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</si>
  <si>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</si>
  <si>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</si>
  <si>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</si>
  <si>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</si>
  <si>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</si>
  <si>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</si>
  <si>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</si>
  <si>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</si>
  <si>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</si>
  <si>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</si>
  <si>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</si>
  <si>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</si>
  <si>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</si>
  <si>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</si>
  <si>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</si>
  <si>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</si>
  <si>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</si>
  <si>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</si>
  <si>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</si>
  <si>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</si>
  <si>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</si>
  <si>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</si>
  <si>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</si>
  <si>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</si>
  <si>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</si>
  <si>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</si>
  <si>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</si>
  <si>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</si>
  <si>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</si>
  <si>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</si>
  <si>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</si>
  <si>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</si>
  <si>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</si>
  <si>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</si>
  <si>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</si>
  <si>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</si>
  <si>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</si>
  <si>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</si>
  <si>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</si>
  <si>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</si>
  <si>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</si>
  <si>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</si>
  <si>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</si>
  <si>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</si>
  <si>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</si>
  <si>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</si>
  <si>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</si>
  <si>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</si>
  <si>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</si>
  <si>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</si>
  <si>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</si>
  <si>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</si>
  <si>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</si>
  <si>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LUMINÁRIA ARANDELA TIPO MEIA LUA, DE SOBREPOR, COM 1 LÂMPADA LED DE 6 W, SEM REATOR - FORNECIMENTO E INSTALAÇÃO. AF_02/2020</t>
  </si>
  <si>
    <t>LUMINÁRIA ARANDELA TIPO TARTARUGA, DE SOBREPOR, COM 1 LÂMPADA LED DE 6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</si>
  <si>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</si>
  <si>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</si>
  <si>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</si>
  <si>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</si>
  <si>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</si>
  <si>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</si>
  <si>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</si>
  <si>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</si>
  <si>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</si>
  <si>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</si>
  <si>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</si>
  <si>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</si>
  <si>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</si>
  <si>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</si>
  <si>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</si>
  <si>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</si>
  <si>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</si>
  <si>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</si>
  <si>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</si>
  <si>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</si>
  <si>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</si>
  <si>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</si>
  <si>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</si>
  <si>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</si>
  <si>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</si>
  <si>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</si>
  <si>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</si>
  <si>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</si>
  <si>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</si>
  <si>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</si>
  <si>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</si>
  <si>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</si>
  <si>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</si>
  <si>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</si>
  <si>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</si>
  <si>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</si>
  <si>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</si>
  <si>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</si>
  <si>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</si>
  <si>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</si>
  <si>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</si>
  <si>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</si>
  <si>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</si>
  <si>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</si>
  <si>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</si>
  <si>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</si>
  <si>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</si>
  <si>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</si>
  <si>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</si>
  <si>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</si>
  <si>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</si>
  <si>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</si>
  <si>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</si>
  <si>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</si>
  <si>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</si>
  <si>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</si>
  <si>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</si>
  <si>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</si>
  <si>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</si>
  <si>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</si>
  <si>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</si>
  <si>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</si>
  <si>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</si>
  <si>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</si>
  <si>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</si>
  <si>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</si>
  <si>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</si>
  <si>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</si>
  <si>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</si>
  <si>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</si>
  <si>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</si>
  <si>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</si>
  <si>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</si>
  <si>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</si>
  <si>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</si>
  <si>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</si>
  <si>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</si>
  <si>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</si>
  <si>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</si>
  <si>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</si>
  <si>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</si>
  <si>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</si>
  <si>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</si>
  <si>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</si>
  <si>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</si>
  <si>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</si>
  <si>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</si>
  <si>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</si>
  <si>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</si>
  <si>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</si>
  <si>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</si>
  <si>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</si>
  <si>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</si>
  <si>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</si>
  <si>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</si>
  <si>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</si>
  <si>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</si>
  <si>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</si>
  <si>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</si>
  <si>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</si>
  <si>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</si>
  <si>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</si>
  <si>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</si>
  <si>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</si>
  <si>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</si>
  <si>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</si>
  <si>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</si>
  <si>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</si>
  <si>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</si>
  <si>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</si>
  <si>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</si>
  <si>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</si>
  <si>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</si>
  <si>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</si>
  <si>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</si>
  <si>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</si>
  <si>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</si>
  <si>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</si>
  <si>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</si>
  <si>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</si>
  <si>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</si>
  <si>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</si>
  <si>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</si>
  <si>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</si>
  <si>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</si>
  <si>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</si>
  <si>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</si>
  <si>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</si>
  <si>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</si>
  <si>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</si>
  <si>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</si>
  <si>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</si>
  <si>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</si>
  <si>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</si>
  <si>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</si>
  <si>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</si>
  <si>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</si>
  <si>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</si>
  <si>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</si>
  <si>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</si>
  <si>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</si>
  <si>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</si>
  <si>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</si>
  <si>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</si>
  <si>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</si>
  <si>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</si>
  <si>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</si>
  <si>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</si>
  <si>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</si>
  <si>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</si>
  <si>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</si>
  <si>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</si>
  <si>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</si>
  <si>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</si>
  <si>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</si>
  <si>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</si>
  <si>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</si>
  <si>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</si>
  <si>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</si>
  <si>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</si>
  <si>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</si>
  <si>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</si>
  <si>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</si>
  <si>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</si>
  <si>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</si>
  <si>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</si>
  <si>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</si>
  <si>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</si>
  <si>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</si>
  <si>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</si>
  <si>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</si>
  <si>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</si>
  <si>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</si>
  <si>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</si>
  <si>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</si>
  <si>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</si>
  <si>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</si>
  <si>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</si>
  <si>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</si>
  <si>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</si>
  <si>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</si>
  <si>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</si>
  <si>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</si>
  <si>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</si>
  <si>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</si>
  <si>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</si>
  <si>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</si>
  <si>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</si>
  <si>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</si>
  <si>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</si>
  <si>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</si>
  <si>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</si>
  <si>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</si>
  <si>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</si>
  <si>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</si>
  <si>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</si>
  <si>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</si>
  <si>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</si>
  <si>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</si>
  <si>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</si>
  <si>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</si>
  <si>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</si>
  <si>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</si>
  <si>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</si>
  <si>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</si>
  <si>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</si>
  <si>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</si>
  <si>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</si>
  <si>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</si>
  <si>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</si>
  <si>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</si>
  <si>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</si>
  <si>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DE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</si>
  <si>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</si>
  <si>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</si>
  <si>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</si>
  <si>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</si>
  <si>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</si>
  <si>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</si>
  <si>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</si>
  <si>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</si>
  <si>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</si>
  <si>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</si>
  <si>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</si>
  <si>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</si>
  <si>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</si>
  <si>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</si>
  <si>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</si>
  <si>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</si>
  <si>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</si>
  <si>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</si>
  <si>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</si>
  <si>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</si>
  <si>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</si>
  <si>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</si>
  <si>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</si>
  <si>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</si>
  <si>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</si>
  <si>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</si>
  <si>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</si>
  <si>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</si>
  <si>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</si>
  <si>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</si>
  <si>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</si>
  <si>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</si>
  <si>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</si>
  <si>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</si>
  <si>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</si>
  <si>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</si>
  <si>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</si>
  <si>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</si>
  <si>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</si>
  <si>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</si>
  <si>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</si>
  <si>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</si>
  <si>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</si>
  <si>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</si>
  <si>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</si>
  <si>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</si>
  <si>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</si>
  <si>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</si>
  <si>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</si>
  <si>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</si>
  <si>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</si>
  <si>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</si>
  <si>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</si>
  <si>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</si>
  <si>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</si>
  <si>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</si>
  <si>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</si>
  <si>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</si>
  <si>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</si>
  <si>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</si>
  <si>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</si>
  <si>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</si>
  <si>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</si>
  <si>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</si>
  <si>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</si>
  <si>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</si>
  <si>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</si>
  <si>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</si>
  <si>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</si>
  <si>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</si>
  <si>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</si>
  <si>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</si>
  <si>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</si>
  <si>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</si>
  <si>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</si>
  <si>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</si>
  <si>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</si>
  <si>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</si>
  <si>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</si>
  <si>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</si>
  <si>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</si>
  <si>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</si>
  <si>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</si>
  <si>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</si>
  <si>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</si>
  <si>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</si>
  <si>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</si>
  <si>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</si>
  <si>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</si>
  <si>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</si>
  <si>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</si>
  <si>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</si>
  <si>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</si>
  <si>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</si>
  <si>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</si>
  <si>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</si>
  <si>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</si>
  <si>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</si>
  <si>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</si>
  <si>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</si>
  <si>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</si>
  <si>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</si>
  <si>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</si>
  <si>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</si>
  <si>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</si>
  <si>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</si>
  <si>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</si>
  <si>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</si>
  <si>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</si>
  <si>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</si>
  <si>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</si>
  <si>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</si>
  <si>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</si>
  <si>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</si>
  <si>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</si>
  <si>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</si>
  <si>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</si>
  <si>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</si>
  <si>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</si>
  <si>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</si>
  <si>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</si>
  <si>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</si>
  <si>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</si>
  <si>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</si>
  <si>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</si>
  <si>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</si>
  <si>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</si>
  <si>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</si>
  <si>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</si>
  <si>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</si>
  <si>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</si>
  <si>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</si>
  <si>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</si>
  <si>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</si>
  <si>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</si>
  <si>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</si>
  <si>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</si>
  <si>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</si>
  <si>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</si>
  <si>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</si>
  <si>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</si>
  <si>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</si>
  <si>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</si>
  <si>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</si>
  <si>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</si>
  <si>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</si>
  <si>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</si>
  <si>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</si>
  <si>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</si>
  <si>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</si>
  <si>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</si>
  <si>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</si>
  <si>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</si>
  <si>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</si>
  <si>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</si>
  <si>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</si>
  <si>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</si>
  <si>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</si>
  <si>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</si>
  <si>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</si>
  <si>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</si>
  <si>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</si>
  <si>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</si>
  <si>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</si>
  <si>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</si>
  <si>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</si>
  <si>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</si>
  <si>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</si>
  <si>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</si>
  <si>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</si>
  <si>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</si>
  <si>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</si>
  <si>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</si>
  <si>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</si>
  <si>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</si>
  <si>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</si>
  <si>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</si>
  <si>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</si>
  <si>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</si>
  <si>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</si>
  <si>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</si>
  <si>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</si>
  <si>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</si>
  <si>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</si>
  <si>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</si>
  <si>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</si>
  <si>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</si>
  <si>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</si>
  <si>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</si>
  <si>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</si>
  <si>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DE 40MM, INSTALADO EM RAMAL DE DISTRIBUIÇÃO DE ÁGUA - FORNECIMENTO E INSTALAÇÃO. AF_06/2022</t>
  </si>
  <si>
    <t>TUBO, PVC, SOLDÁVEL, DE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</si>
  <si>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</si>
  <si>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</si>
  <si>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</si>
  <si>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</si>
  <si>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</si>
  <si>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</si>
  <si>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</si>
  <si>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</si>
  <si>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</si>
  <si>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</si>
  <si>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</si>
  <si>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</si>
  <si>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</si>
  <si>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</si>
  <si>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</si>
  <si>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</si>
  <si>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</si>
  <si>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</si>
  <si>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</si>
  <si>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</si>
  <si>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</si>
  <si>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</si>
  <si>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</si>
  <si>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</si>
  <si>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</si>
  <si>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</si>
  <si>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</si>
  <si>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</si>
  <si>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</si>
  <si>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</si>
  <si>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</si>
  <si>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</si>
  <si>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</si>
  <si>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</si>
  <si>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</si>
  <si>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</si>
  <si>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</si>
  <si>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</si>
  <si>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</si>
  <si>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</si>
  <si>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</si>
  <si>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</si>
  <si>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</si>
  <si>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</si>
  <si>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</si>
  <si>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</si>
  <si>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</si>
  <si>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</si>
  <si>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</si>
  <si>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</si>
  <si>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</si>
  <si>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</si>
  <si>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</si>
  <si>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</si>
  <si>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</si>
  <si>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</si>
  <si>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</si>
  <si>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</si>
  <si>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</si>
  <si>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</si>
  <si>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</si>
  <si>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</si>
  <si>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</si>
  <si>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</si>
  <si>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</si>
  <si>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</si>
  <si>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</si>
  <si>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</si>
  <si>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</si>
  <si>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</si>
  <si>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</si>
  <si>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</si>
  <si>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</si>
  <si>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</si>
  <si>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</si>
  <si>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</si>
  <si>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</si>
  <si>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</si>
  <si>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</si>
  <si>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</si>
  <si>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</si>
  <si>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</si>
  <si>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</si>
  <si>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</si>
  <si>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</si>
  <si>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</si>
  <si>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</si>
  <si>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</si>
  <si>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</si>
  <si>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</si>
  <si>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</si>
  <si>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</si>
  <si>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</si>
  <si>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</si>
  <si>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</si>
  <si>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</si>
  <si>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</si>
  <si>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</si>
  <si>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</si>
  <si>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</si>
  <si>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</si>
  <si>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</si>
  <si>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</si>
  <si>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</si>
  <si>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</si>
  <si>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</si>
  <si>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</si>
  <si>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</si>
  <si>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</si>
  <si>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</si>
  <si>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</si>
  <si>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</si>
  <si>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</si>
  <si>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</si>
  <si>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</si>
  <si>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</si>
  <si>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</si>
  <si>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</si>
  <si>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</si>
  <si>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</si>
  <si>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</si>
  <si>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</si>
  <si>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</si>
  <si>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</si>
  <si>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</si>
  <si>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</si>
  <si>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</si>
  <si>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</si>
  <si>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</si>
  <si>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</si>
  <si>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</si>
  <si>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</si>
  <si>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</si>
  <si>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</si>
  <si>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</si>
  <si>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</si>
  <si>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</si>
  <si>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</si>
  <si>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</si>
  <si>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</si>
  <si>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</si>
  <si>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</si>
  <si>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</si>
  <si>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</si>
  <si>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</si>
  <si>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</si>
  <si>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</si>
  <si>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</si>
  <si>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</si>
  <si>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</si>
  <si>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</si>
  <si>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</si>
  <si>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</si>
  <si>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</si>
  <si>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</si>
  <si>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</si>
  <si>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</si>
  <si>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</si>
  <si>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</si>
  <si>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</si>
  <si>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</si>
  <si>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</si>
  <si>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</si>
  <si>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</si>
  <si>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</si>
  <si>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</si>
  <si>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</si>
  <si>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</si>
  <si>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</si>
  <si>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</si>
  <si>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</si>
  <si>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</si>
  <si>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</si>
  <si>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</si>
  <si>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</si>
  <si>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</si>
  <si>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</si>
  <si>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</si>
  <si>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</si>
  <si>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</si>
  <si>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</si>
  <si>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</si>
  <si>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</si>
  <si>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</si>
  <si>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</si>
  <si>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</si>
  <si>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</si>
  <si>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</si>
  <si>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</si>
  <si>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</si>
  <si>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</si>
  <si>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</si>
  <si>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</si>
  <si>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</si>
  <si>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</si>
  <si>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</si>
  <si>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</si>
  <si>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</si>
  <si>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</si>
  <si>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</si>
  <si>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</si>
  <si>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</si>
  <si>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</si>
  <si>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</si>
  <si>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</si>
  <si>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</si>
  <si>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</si>
  <si>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</si>
  <si>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</si>
  <si>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</si>
  <si>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</si>
  <si>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</si>
  <si>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</si>
  <si>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</si>
  <si>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</si>
  <si>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</si>
  <si>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</si>
  <si>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</si>
  <si>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</si>
  <si>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</si>
  <si>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</si>
  <si>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</si>
  <si>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</si>
  <si>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</si>
  <si>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</si>
  <si>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</si>
  <si>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</si>
  <si>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</si>
  <si>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</si>
  <si>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</si>
  <si>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</si>
  <si>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</si>
  <si>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</si>
  <si>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</si>
  <si>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</si>
  <si>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</si>
  <si>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</si>
  <si>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</si>
  <si>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</si>
  <si>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</si>
  <si>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</si>
  <si>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</si>
  <si>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</si>
  <si>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</si>
  <si>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</si>
  <si>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</si>
  <si>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</si>
  <si>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</si>
  <si>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</si>
  <si>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</si>
  <si>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</si>
  <si>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</si>
  <si>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</si>
  <si>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</si>
  <si>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</si>
  <si>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</si>
  <si>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</si>
  <si>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</si>
  <si>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</si>
  <si>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</si>
  <si>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</si>
  <si>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</si>
  <si>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</si>
  <si>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</si>
  <si>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</si>
  <si>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</si>
  <si>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</si>
  <si>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</si>
  <si>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</si>
  <si>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</si>
  <si>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</si>
  <si>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</si>
  <si>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</si>
  <si>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</si>
  <si>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</si>
  <si>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</si>
  <si>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</si>
  <si>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</si>
  <si>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</si>
  <si>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</si>
  <si>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</si>
  <si>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</si>
  <si>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</si>
  <si>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</si>
  <si>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</si>
  <si>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</si>
  <si>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</si>
  <si>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</si>
  <si>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</si>
  <si>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</si>
  <si>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</si>
  <si>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</si>
  <si>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</si>
  <si>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</si>
  <si>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</si>
  <si>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</si>
  <si>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</si>
  <si>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</si>
  <si>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</si>
  <si>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</si>
  <si>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</si>
  <si>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</si>
  <si>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</si>
  <si>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</si>
  <si>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</si>
  <si>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</si>
  <si>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</si>
  <si>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</si>
  <si>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</si>
  <si>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</si>
  <si>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</si>
  <si>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</si>
  <si>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</si>
  <si>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</si>
  <si>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</si>
  <si>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</si>
  <si>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</si>
  <si>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</si>
  <si>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</si>
  <si>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</si>
  <si>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</si>
  <si>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</si>
  <si>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</si>
  <si>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</si>
  <si>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</si>
  <si>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</si>
  <si>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</si>
  <si>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</si>
  <si>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</si>
  <si>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</si>
  <si>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</si>
  <si>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</si>
  <si>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</si>
  <si>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</si>
  <si>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</si>
  <si>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</si>
  <si>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</si>
  <si>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</si>
  <si>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</si>
  <si>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</si>
  <si>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</si>
  <si>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</si>
  <si>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</si>
  <si>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</si>
  <si>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</si>
  <si>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</si>
  <si>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</si>
  <si>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</si>
  <si>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</si>
  <si>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</si>
  <si>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</si>
  <si>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</si>
  <si>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</si>
  <si>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</si>
  <si>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</si>
  <si>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</si>
  <si>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</si>
  <si>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</si>
  <si>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</si>
  <si>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</si>
  <si>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</si>
  <si>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</si>
  <si>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</si>
  <si>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</si>
  <si>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</si>
  <si>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</si>
  <si>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</si>
  <si>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</si>
  <si>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</si>
  <si>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</si>
  <si>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</si>
  <si>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</si>
  <si>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</si>
  <si>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</si>
  <si>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</si>
  <si>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</si>
  <si>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</si>
  <si>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</si>
  <si>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</si>
  <si>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</si>
  <si>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</si>
  <si>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</si>
  <si>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</si>
  <si>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</si>
  <si>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</si>
  <si>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</si>
  <si>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</si>
  <si>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</si>
  <si>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</si>
  <si>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</si>
  <si>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</si>
  <si>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</si>
  <si>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</si>
  <si>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</si>
  <si>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</si>
  <si>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</si>
  <si>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</si>
  <si>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</si>
  <si>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</si>
  <si>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</si>
  <si>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</si>
  <si>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</si>
  <si>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</si>
  <si>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</si>
  <si>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</si>
  <si>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</si>
  <si>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</si>
  <si>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</si>
  <si>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</si>
  <si>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</si>
  <si>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</si>
  <si>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</si>
  <si>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</si>
  <si>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</si>
  <si>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</si>
  <si>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</si>
  <si>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</si>
  <si>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</si>
  <si>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</si>
  <si>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</si>
  <si>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</si>
  <si>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</si>
  <si>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</si>
  <si>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</si>
  <si>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</si>
  <si>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</si>
  <si>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</si>
  <si>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</si>
  <si>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</si>
  <si>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</si>
  <si>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</si>
  <si>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</si>
  <si>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</si>
  <si>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</si>
  <si>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</si>
  <si>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</si>
  <si>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</si>
  <si>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</si>
  <si>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</si>
  <si>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</si>
  <si>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</si>
  <si>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</si>
  <si>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</si>
  <si>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</si>
  <si>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</si>
  <si>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</si>
  <si>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</si>
  <si>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</si>
  <si>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</si>
  <si>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</si>
  <si>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</si>
  <si>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</si>
  <si>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</si>
  <si>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</si>
  <si>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</si>
  <si>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</si>
  <si>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</si>
  <si>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</si>
  <si>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</si>
  <si>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</si>
  <si>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</si>
  <si>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</si>
  <si>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</si>
  <si>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</si>
  <si>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</si>
  <si>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</si>
  <si>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</si>
  <si>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</si>
  <si>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</si>
  <si>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</si>
  <si>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</si>
  <si>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</si>
  <si>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</si>
  <si>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</si>
  <si>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</si>
  <si>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</si>
  <si>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</si>
  <si>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</si>
  <si>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</si>
  <si>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</si>
  <si>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</si>
  <si>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</si>
  <si>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</si>
  <si>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</si>
  <si>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</si>
  <si>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</si>
  <si>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</si>
  <si>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</si>
  <si>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</si>
  <si>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</si>
  <si>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</si>
  <si>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</si>
  <si>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</si>
  <si>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</si>
  <si>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</si>
  <si>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</si>
  <si>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</si>
  <si>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</si>
  <si>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</si>
  <si>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</si>
  <si>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</si>
  <si>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</si>
  <si>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</si>
  <si>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</si>
  <si>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</si>
  <si>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</si>
  <si>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</si>
  <si>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</si>
  <si>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</si>
  <si>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</si>
  <si>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</si>
  <si>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</si>
  <si>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</si>
  <si>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</si>
  <si>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</si>
  <si>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</si>
  <si>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</si>
  <si>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</si>
  <si>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</si>
  <si>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</si>
  <si>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</si>
  <si>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</si>
  <si>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</si>
  <si>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</si>
  <si>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</si>
  <si>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</si>
  <si>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</si>
  <si>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</si>
  <si>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</si>
  <si>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</si>
  <si>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</si>
  <si>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</si>
  <si>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</si>
  <si>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</si>
  <si>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</si>
  <si>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</si>
  <si>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</si>
  <si>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</si>
  <si>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</si>
  <si>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</si>
  <si>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</si>
  <si>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</si>
  <si>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</si>
  <si>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</si>
  <si>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</si>
  <si>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</si>
  <si>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</si>
  <si>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</si>
  <si>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</si>
  <si>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</si>
  <si>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</si>
  <si>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</si>
  <si>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</si>
  <si>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</si>
  <si>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</si>
  <si>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</si>
  <si>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</si>
  <si>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</si>
  <si>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</si>
  <si>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</si>
  <si>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</si>
  <si>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</si>
  <si>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</si>
  <si>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</si>
  <si>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</si>
  <si>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</si>
  <si>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</si>
  <si>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</si>
  <si>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</si>
  <si>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</si>
  <si>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</si>
  <si>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</si>
  <si>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</si>
  <si>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</si>
  <si>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</si>
  <si>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</si>
  <si>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</si>
  <si>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</si>
  <si>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</si>
  <si>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</si>
  <si>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</si>
  <si>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</si>
  <si>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</si>
  <si>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</si>
  <si>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</si>
  <si>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</si>
  <si>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</si>
  <si>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</si>
  <si>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</si>
  <si>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</si>
  <si>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</si>
  <si>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</si>
  <si>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</si>
  <si>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</si>
  <si>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</si>
  <si>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</si>
  <si>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</si>
  <si>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</si>
  <si>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</si>
  <si>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</si>
  <si>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</si>
  <si>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</si>
  <si>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</si>
  <si>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</si>
  <si>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</si>
  <si>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</si>
  <si>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</si>
  <si>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</si>
  <si>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</si>
  <si>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</si>
  <si>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</si>
  <si>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</si>
  <si>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</si>
  <si>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</si>
  <si>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</si>
  <si>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</si>
  <si>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</si>
  <si>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</si>
  <si>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</si>
  <si>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</si>
  <si>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</si>
  <si>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</si>
  <si>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</si>
  <si>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</si>
  <si>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</si>
  <si>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</si>
  <si>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</si>
  <si>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</si>
  <si>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</si>
  <si>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</si>
  <si>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</si>
  <si>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</si>
  <si>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</si>
  <si>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</si>
  <si>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</si>
  <si>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</si>
  <si>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</si>
  <si>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</si>
  <si>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</si>
  <si>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</si>
  <si>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</si>
  <si>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</si>
  <si>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</si>
  <si>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</si>
  <si>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</si>
  <si>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</si>
  <si>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</si>
  <si>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</si>
  <si>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</si>
  <si>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</si>
  <si>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</si>
  <si>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</si>
  <si>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</si>
  <si>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</si>
  <si>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</si>
  <si>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</si>
  <si>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</si>
  <si>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</si>
  <si>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</si>
  <si>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</si>
  <si>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</si>
  <si>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</si>
  <si>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</si>
  <si>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</si>
  <si>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</si>
  <si>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</si>
  <si>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</si>
  <si>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</si>
  <si>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</si>
  <si>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</si>
  <si>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</si>
  <si>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</si>
  <si>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</si>
  <si>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</si>
  <si>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</si>
  <si>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</si>
  <si>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</si>
  <si>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</si>
  <si>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</si>
  <si>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</si>
  <si>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</si>
  <si>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</si>
  <si>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</si>
  <si>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</si>
  <si>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</si>
  <si>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</si>
  <si>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</si>
  <si>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</si>
  <si>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</si>
  <si>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</si>
  <si>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</si>
  <si>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</si>
  <si>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</si>
  <si>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</si>
  <si>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</si>
  <si>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</si>
  <si>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</si>
  <si>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</si>
  <si>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</si>
  <si>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</si>
  <si>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</si>
  <si>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</si>
  <si>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</si>
  <si>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</si>
  <si>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</si>
  <si>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</si>
  <si>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</si>
  <si>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</si>
  <si>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</si>
  <si>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</si>
  <si>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</si>
  <si>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</si>
  <si>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</si>
  <si>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</si>
  <si>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</si>
  <si>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</si>
  <si>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</si>
  <si>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</si>
  <si>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</si>
  <si>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</si>
  <si>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</si>
  <si>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</si>
  <si>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</si>
  <si>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</si>
  <si>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</si>
  <si>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</si>
  <si>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</si>
  <si>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</si>
  <si>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</si>
  <si>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</si>
  <si>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</si>
  <si>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</si>
  <si>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</si>
  <si>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</si>
  <si>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</si>
  <si>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</si>
  <si>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</si>
  <si>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</si>
  <si>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</si>
  <si>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</si>
  <si>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</si>
  <si>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</si>
  <si>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</si>
  <si>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</si>
  <si>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</si>
  <si>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</si>
  <si>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</si>
  <si>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</si>
  <si>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</si>
  <si>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</si>
  <si>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</si>
  <si>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</si>
  <si>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</si>
  <si>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</si>
  <si>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</si>
  <si>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</si>
  <si>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</si>
  <si>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</si>
  <si>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</si>
  <si>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</si>
  <si>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</si>
  <si>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</si>
  <si>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</si>
  <si>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</si>
  <si>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</si>
  <si>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</si>
  <si>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</si>
  <si>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</si>
  <si>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</si>
  <si>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</si>
  <si>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</si>
  <si>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</si>
  <si>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</si>
  <si>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</si>
  <si>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</si>
  <si>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</si>
  <si>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</si>
  <si>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</si>
  <si>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</si>
  <si>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</si>
  <si>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</si>
  <si>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</si>
  <si>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</si>
  <si>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</si>
  <si>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</si>
  <si>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</si>
  <si>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</si>
  <si>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</si>
  <si>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</si>
  <si>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</si>
  <si>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</si>
  <si>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</si>
  <si>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</si>
  <si>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</si>
  <si>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</si>
  <si>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</si>
  <si>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</si>
  <si>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</si>
  <si>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</si>
  <si>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</si>
  <si>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</si>
  <si>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</si>
  <si>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</si>
  <si>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</si>
  <si>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</si>
  <si>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</si>
  <si>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</si>
  <si>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</si>
  <si>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</si>
  <si>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</si>
  <si>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</si>
  <si>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</si>
  <si>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</si>
  <si>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</si>
  <si>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</si>
  <si>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</si>
  <si>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</si>
  <si>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</si>
  <si>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</si>
  <si>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</si>
  <si>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</si>
  <si>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</si>
  <si>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</si>
  <si>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</si>
  <si>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</si>
  <si>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</si>
  <si>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</si>
  <si>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</si>
  <si>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</si>
  <si>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</si>
  <si>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</si>
  <si>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</si>
  <si>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</si>
  <si>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</si>
  <si>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</si>
  <si>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</si>
  <si>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</si>
  <si>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</si>
  <si>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</si>
  <si>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</si>
  <si>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</si>
  <si>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</si>
  <si>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</si>
  <si>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</si>
  <si>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</si>
  <si>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</si>
  <si>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</si>
  <si>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</si>
  <si>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</si>
  <si>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</si>
  <si>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</si>
  <si>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</si>
  <si>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</si>
  <si>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</si>
  <si>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</si>
  <si>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</si>
  <si>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</si>
  <si>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</si>
  <si>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</si>
  <si>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</si>
  <si>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</si>
  <si>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</si>
  <si>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</si>
  <si>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</si>
  <si>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</si>
  <si>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</si>
  <si>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</si>
  <si>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</si>
  <si>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</si>
  <si>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</si>
  <si>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</si>
  <si>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</si>
  <si>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</si>
  <si>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</si>
  <si>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</si>
  <si>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</si>
  <si>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</si>
  <si>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</si>
  <si>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</si>
  <si>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</si>
  <si>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</si>
  <si>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</si>
  <si>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</si>
  <si>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</si>
  <si>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</si>
  <si>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</si>
  <si>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</si>
  <si>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</si>
  <si>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</si>
  <si>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</si>
  <si>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</si>
  <si>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</si>
  <si>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</si>
  <si>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</si>
  <si>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</si>
  <si>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</si>
  <si>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</si>
  <si>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</si>
  <si>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</si>
  <si>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</si>
  <si>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</si>
  <si>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</si>
  <si>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</si>
  <si>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</si>
  <si>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</si>
  <si>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</si>
  <si>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</si>
  <si>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</si>
  <si>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</si>
  <si>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</si>
  <si>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</si>
  <si>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</si>
  <si>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</si>
  <si>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</si>
  <si>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</si>
  <si>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</si>
  <si>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</si>
  <si>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</si>
  <si>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</si>
  <si>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</si>
  <si>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</si>
  <si>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</si>
  <si>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</si>
  <si>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</si>
  <si>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</si>
  <si>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</si>
  <si>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</si>
  <si>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</si>
  <si>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</si>
  <si>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</si>
  <si>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</si>
  <si>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</si>
  <si>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</si>
  <si>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</si>
  <si>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</si>
  <si>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</si>
  <si>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</si>
  <si>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</si>
  <si>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</si>
  <si>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</si>
  <si>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</si>
  <si>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</si>
  <si>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</si>
  <si>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</si>
  <si>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</si>
  <si>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</si>
  <si>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</si>
  <si>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</si>
  <si>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</si>
  <si>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</si>
  <si>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</si>
  <si>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</si>
  <si>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</si>
  <si>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</si>
  <si>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</si>
  <si>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</si>
  <si>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</si>
  <si>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</si>
  <si>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</si>
  <si>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</si>
  <si>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</si>
  <si>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</si>
  <si>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</si>
  <si>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</si>
  <si>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</si>
  <si>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</si>
  <si>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</si>
  <si>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</si>
  <si>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</si>
  <si>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</si>
  <si>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</si>
  <si>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</si>
  <si>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</si>
  <si>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</si>
  <si>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</si>
  <si>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</si>
  <si>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</si>
  <si>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</si>
  <si>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</si>
  <si>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</si>
  <si>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</si>
  <si>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</si>
  <si>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</si>
  <si>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</si>
  <si>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</si>
  <si>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</si>
  <si>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</si>
  <si>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</si>
  <si>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</si>
  <si>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</si>
  <si>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</si>
  <si>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</si>
  <si>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</si>
  <si>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</si>
  <si>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</si>
  <si>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</si>
  <si>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</si>
  <si>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</si>
  <si>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</si>
  <si>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</si>
  <si>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</si>
  <si>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</si>
  <si>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</si>
  <si>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</si>
  <si>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</si>
  <si>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</si>
  <si>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</si>
  <si>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</si>
  <si>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</si>
  <si>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</si>
  <si>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</si>
  <si>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</si>
  <si>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</si>
  <si>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</si>
  <si>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</si>
  <si>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</si>
  <si>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</si>
  <si>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</si>
  <si>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</si>
  <si>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</si>
  <si>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</si>
  <si>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</si>
  <si>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</si>
  <si>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</si>
  <si>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</si>
  <si>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</si>
  <si>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</si>
  <si>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</si>
  <si>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</si>
  <si>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</si>
  <si>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</si>
  <si>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</si>
  <si>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</si>
  <si>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</si>
  <si>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</si>
  <si>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</si>
  <si>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</si>
  <si>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</si>
  <si>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</si>
  <si>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</si>
  <si>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</si>
  <si>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</si>
  <si>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</si>
  <si>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</si>
  <si>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</si>
  <si>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</si>
  <si>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</si>
  <si>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</si>
  <si>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</si>
  <si>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</si>
  <si>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</si>
  <si>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</si>
  <si>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</si>
  <si>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</si>
  <si>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</si>
  <si>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</si>
  <si>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</si>
  <si>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</si>
  <si>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</si>
  <si>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</si>
  <si>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</si>
  <si>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</si>
  <si>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</si>
  <si>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</si>
  <si>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</si>
  <si>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</si>
  <si>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</si>
  <si>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</si>
  <si>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</si>
  <si>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</si>
  <si>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</si>
  <si>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</si>
  <si>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</si>
  <si>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</si>
  <si>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</si>
  <si>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</si>
  <si>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</si>
  <si>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</si>
  <si>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</si>
  <si>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</si>
  <si>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</si>
  <si>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</si>
  <si>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</si>
  <si>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</si>
  <si>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</si>
  <si>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</si>
  <si>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</si>
  <si>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</si>
  <si>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</si>
  <si>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</si>
  <si>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</si>
  <si>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</si>
  <si>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</si>
  <si>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</si>
  <si>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</si>
  <si>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</si>
  <si>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</si>
  <si>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</si>
  <si>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</si>
  <si>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</si>
  <si>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</si>
  <si>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</si>
  <si>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</si>
  <si>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</si>
  <si>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</si>
  <si>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</si>
  <si>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</si>
  <si>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</si>
  <si>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</si>
  <si>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</si>
  <si>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</si>
  <si>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</si>
  <si>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</si>
  <si>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</si>
  <si>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</si>
  <si>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</si>
  <si>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</si>
  <si>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</si>
  <si>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</si>
  <si>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</si>
  <si>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</si>
  <si>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</si>
  <si>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</si>
  <si>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</si>
  <si>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</si>
  <si>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</si>
  <si>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</si>
  <si>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</si>
  <si>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</si>
  <si>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</si>
  <si>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</si>
  <si>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</si>
  <si>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</si>
  <si>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</si>
  <si>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</si>
  <si>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</si>
  <si>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</si>
  <si>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</si>
  <si>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</si>
  <si>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</si>
  <si>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</si>
  <si>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</si>
  <si>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</si>
  <si>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</si>
  <si>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</si>
  <si>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</si>
  <si>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</si>
  <si>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</si>
  <si>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</si>
  <si>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</si>
  <si>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</si>
  <si>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</si>
  <si>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</si>
  <si>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</si>
  <si>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</si>
  <si>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</si>
  <si>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</si>
  <si>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</si>
  <si>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</si>
  <si>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</si>
  <si>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</si>
  <si>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</si>
  <si>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</si>
  <si>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</si>
  <si>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</si>
  <si>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</si>
  <si>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</si>
  <si>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</si>
  <si>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</si>
  <si>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</si>
  <si>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</si>
  <si>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</si>
  <si>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</si>
  <si>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</si>
  <si>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</si>
  <si>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</si>
  <si>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</si>
  <si>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</si>
  <si>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</si>
  <si>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</si>
  <si>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</si>
  <si>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</si>
  <si>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</si>
  <si>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</si>
  <si>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</si>
  <si>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</si>
  <si>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</si>
  <si>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</si>
  <si>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</si>
  <si>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</si>
  <si>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</si>
  <si>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</si>
  <si>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</si>
  <si>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</si>
  <si>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</si>
  <si>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</si>
  <si>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</si>
  <si>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</si>
  <si>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</si>
  <si>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</si>
  <si>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</si>
  <si>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</si>
  <si>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</si>
  <si>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</si>
  <si>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</si>
  <si>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</si>
  <si>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</si>
  <si>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</si>
  <si>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</si>
  <si>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</si>
  <si>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</si>
  <si>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</si>
  <si>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</si>
  <si>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</si>
  <si>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</si>
  <si>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</si>
  <si>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</si>
  <si>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</si>
  <si>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</si>
  <si>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</si>
  <si>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</si>
  <si>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</si>
  <si>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</si>
  <si>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</si>
  <si>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</si>
  <si>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</si>
  <si>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</si>
  <si>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</si>
  <si>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</si>
  <si>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</si>
  <si>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</si>
  <si>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</si>
  <si>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</si>
  <si>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</si>
  <si>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</si>
  <si>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</si>
  <si>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</si>
  <si>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</si>
  <si>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</si>
  <si>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</si>
  <si>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</si>
  <si>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</si>
  <si>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</si>
  <si>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</si>
  <si>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</si>
  <si>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</si>
  <si>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</si>
  <si>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</si>
  <si>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</si>
  <si>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</si>
  <si>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</si>
  <si>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</si>
  <si>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</si>
  <si>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</si>
  <si>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</si>
  <si>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</si>
  <si>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</si>
  <si>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</si>
  <si>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</si>
  <si>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</si>
  <si>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</si>
  <si>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</si>
  <si>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</si>
  <si>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</si>
  <si>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</si>
  <si>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</si>
  <si>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</si>
  <si>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</si>
  <si>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</si>
  <si>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</si>
  <si>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</si>
  <si>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</si>
  <si>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</si>
  <si>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</si>
  <si>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</si>
  <si>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</si>
  <si>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</si>
  <si>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</si>
  <si>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</si>
  <si>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</si>
  <si>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</si>
  <si>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</si>
  <si>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</si>
  <si>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</si>
  <si>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</si>
  <si>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</si>
  <si>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</si>
  <si>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</si>
  <si>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</si>
  <si>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</si>
  <si>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</si>
  <si>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</si>
  <si>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</si>
  <si>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</si>
  <si>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</si>
  <si>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</si>
  <si>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</si>
  <si>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</si>
  <si>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</si>
  <si>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</si>
  <si>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</si>
  <si>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</si>
  <si>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</si>
  <si>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</si>
  <si>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</si>
  <si>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</si>
  <si>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</si>
  <si>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</si>
  <si>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</si>
  <si>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</si>
  <si>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</si>
  <si>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</si>
  <si>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</si>
  <si>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</si>
  <si>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</si>
  <si>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</si>
  <si>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</si>
  <si>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</si>
  <si>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</si>
  <si>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</si>
  <si>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</si>
  <si>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</si>
  <si>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</si>
  <si>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</si>
  <si>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</si>
  <si>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</si>
  <si>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</si>
  <si>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</si>
  <si>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</si>
  <si>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</si>
  <si>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</si>
  <si>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</si>
  <si>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</si>
  <si>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</si>
  <si>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</si>
  <si>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</si>
  <si>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</si>
  <si>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</si>
  <si>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</si>
  <si>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</si>
  <si>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</si>
  <si>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</si>
  <si>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</si>
  <si>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</si>
  <si>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</si>
  <si>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</si>
  <si>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</si>
  <si>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</si>
  <si>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</si>
  <si>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</si>
  <si>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</si>
  <si>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</si>
  <si>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</si>
  <si>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</si>
  <si>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</si>
  <si>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</si>
  <si>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</si>
  <si>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</si>
  <si>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</si>
  <si>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</si>
  <si>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</si>
  <si>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</si>
  <si>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</si>
  <si>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</si>
  <si>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</si>
  <si>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</si>
  <si>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</si>
  <si>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</si>
  <si>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</si>
  <si>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</si>
  <si>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</si>
  <si>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</si>
  <si>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</si>
  <si>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</si>
  <si>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</si>
  <si>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</si>
  <si>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</si>
  <si>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</si>
  <si>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</si>
  <si>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</si>
  <si>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</si>
  <si>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</si>
  <si>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</si>
  <si>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</si>
  <si>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</si>
  <si>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</si>
  <si>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</si>
  <si>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</si>
  <si>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</si>
  <si>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</si>
  <si>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</si>
  <si>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</si>
  <si>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</si>
  <si>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</si>
  <si>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</si>
  <si>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</si>
  <si>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</si>
  <si>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</si>
  <si>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</si>
  <si>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</si>
  <si>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</si>
  <si>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</si>
  <si>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</si>
  <si>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</si>
  <si>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</si>
  <si>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</si>
  <si>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</si>
  <si>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</si>
  <si>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</si>
  <si>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</si>
  <si>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</si>
  <si>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</si>
  <si>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</si>
  <si>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</si>
  <si>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</si>
  <si>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</si>
  <si>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</si>
  <si>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</si>
  <si>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</si>
  <si>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</si>
  <si>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</si>
  <si>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</si>
  <si>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</si>
  <si>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</si>
  <si>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</si>
  <si>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</si>
  <si>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</si>
  <si>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</si>
  <si>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</si>
  <si>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</si>
  <si>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</si>
  <si>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</si>
  <si>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</si>
  <si>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</si>
  <si>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</si>
  <si>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</si>
  <si>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</si>
  <si>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</si>
  <si>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</si>
  <si>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</si>
  <si>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</si>
  <si>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</si>
  <si>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</si>
  <si>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</si>
  <si>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</si>
  <si>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</si>
  <si>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</si>
  <si>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</si>
  <si>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</si>
  <si>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</si>
  <si>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</si>
  <si>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</si>
  <si>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</si>
  <si>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</si>
  <si>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</si>
  <si>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</si>
  <si>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</si>
  <si>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</si>
  <si>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</si>
  <si>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</si>
  <si>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</si>
  <si>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</si>
  <si>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</si>
  <si>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</si>
  <si>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</si>
  <si>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</si>
  <si>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</si>
  <si>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</si>
  <si>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</si>
  <si>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</si>
  <si>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</si>
  <si>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</si>
  <si>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</si>
  <si>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</si>
  <si>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</si>
  <si>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</si>
  <si>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</si>
  <si>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</si>
  <si>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</si>
  <si>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</si>
  <si>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</si>
  <si>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</si>
  <si>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</si>
  <si>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</si>
  <si>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</si>
  <si>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</si>
  <si>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</si>
  <si>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</si>
  <si>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</si>
  <si>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</si>
  <si>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</si>
  <si>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</si>
  <si>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</si>
  <si>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</si>
  <si>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</si>
  <si>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</si>
  <si>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</si>
  <si>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</si>
  <si>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</si>
  <si>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</si>
  <si>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</si>
  <si>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</si>
  <si>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</si>
  <si>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</si>
  <si>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</si>
  <si>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</si>
  <si>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</si>
  <si>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</si>
  <si>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</si>
  <si>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</si>
  <si>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</si>
  <si>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</si>
  <si>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</si>
  <si>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</si>
  <si>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</si>
  <si>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</si>
  <si>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</si>
  <si>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</si>
  <si>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</si>
  <si>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</si>
  <si>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</si>
  <si>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</si>
  <si>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</si>
  <si>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</si>
  <si>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</si>
  <si>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</si>
  <si>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</si>
  <si>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</si>
  <si>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</si>
  <si>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</si>
  <si>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</si>
  <si>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</si>
  <si>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</si>
  <si>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</si>
  <si>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</si>
  <si>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</si>
  <si>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</si>
  <si>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</si>
  <si>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</si>
  <si>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</si>
  <si>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</si>
  <si>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</si>
  <si>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</si>
  <si>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</si>
  <si>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</si>
  <si>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</si>
  <si>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</si>
  <si>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</si>
  <si>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</si>
  <si>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</si>
  <si>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</si>
  <si>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</si>
  <si>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</si>
  <si>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</si>
  <si>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</si>
  <si>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</si>
  <si>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</si>
  <si>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</si>
  <si>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</si>
  <si>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</si>
  <si>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</si>
  <si>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</si>
  <si>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</si>
  <si>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</si>
  <si>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</si>
  <si>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</si>
  <si>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</si>
  <si>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</si>
  <si>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</si>
  <si>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</si>
  <si>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</si>
  <si>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</si>
  <si>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</si>
  <si>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</si>
  <si>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</si>
  <si>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</si>
  <si>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</si>
  <si>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</si>
  <si>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</si>
  <si>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</si>
  <si>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</si>
  <si>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</si>
  <si>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</si>
  <si>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</si>
  <si>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</si>
  <si>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</si>
  <si>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</si>
  <si>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</si>
  <si>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</si>
  <si>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</si>
  <si>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</si>
  <si>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</si>
  <si>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</si>
  <si>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</si>
  <si>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</si>
  <si>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</si>
  <si>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</si>
  <si>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</si>
  <si>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</si>
  <si>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</si>
  <si>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</si>
  <si>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</si>
  <si>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</si>
  <si>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</si>
  <si>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</si>
  <si>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</si>
  <si>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</si>
  <si>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</si>
  <si>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</si>
  <si>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</si>
  <si>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</si>
  <si>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</si>
  <si>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</si>
  <si>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</si>
  <si>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</si>
  <si>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</si>
  <si>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</si>
  <si>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</si>
  <si>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</si>
  <si>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</si>
  <si>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</si>
  <si>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</si>
  <si>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</si>
  <si>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</si>
  <si>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</si>
  <si>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</si>
  <si>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</si>
  <si>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</si>
  <si>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</si>
  <si>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</si>
  <si>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</si>
  <si>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</si>
  <si>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</si>
  <si>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</si>
  <si>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</si>
  <si>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</si>
  <si>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</si>
  <si>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</si>
  <si>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</si>
  <si>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</si>
  <si>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</si>
  <si>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</si>
  <si>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</si>
  <si>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</si>
  <si>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</si>
  <si>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</si>
  <si>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</si>
  <si>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</si>
  <si>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</si>
  <si>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</si>
  <si>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</si>
  <si>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</si>
  <si>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</si>
  <si>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</si>
  <si>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</si>
  <si>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</si>
  <si>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</si>
  <si>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</si>
  <si>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</si>
  <si>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</si>
  <si>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</si>
  <si>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</si>
  <si>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</si>
  <si>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</si>
  <si>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</si>
  <si>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</si>
  <si>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</si>
  <si>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</si>
  <si>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</si>
  <si>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</si>
  <si>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</si>
  <si>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</si>
  <si>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</si>
  <si>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</si>
  <si>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</si>
  <si>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</si>
  <si>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</si>
  <si>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</si>
  <si>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</si>
  <si>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</si>
  <si>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</si>
  <si>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</si>
  <si>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</si>
  <si>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</si>
  <si>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</si>
  <si>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</si>
  <si>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</si>
  <si>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</si>
  <si>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</si>
  <si>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</si>
  <si>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</si>
  <si>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</si>
  <si>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</si>
  <si>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</si>
  <si>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</si>
  <si>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</si>
  <si>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</si>
  <si>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</si>
  <si>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</si>
  <si>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</si>
  <si>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</si>
  <si>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</si>
  <si>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</si>
  <si>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</si>
  <si>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</si>
  <si>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</si>
  <si>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</si>
  <si>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</si>
  <si>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</si>
  <si>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</si>
  <si>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</si>
  <si>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</si>
  <si>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</si>
  <si>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</si>
  <si>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</si>
  <si>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</si>
  <si>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</si>
  <si>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</si>
  <si>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</si>
  <si>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</si>
  <si>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</si>
  <si>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</si>
  <si>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</si>
  <si>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</si>
  <si>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</si>
  <si>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</si>
  <si>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</si>
  <si>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</si>
  <si>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</si>
  <si>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</si>
  <si>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</si>
  <si>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</si>
  <si>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</si>
  <si>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</si>
  <si>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</si>
  <si>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</si>
  <si>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</si>
  <si>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</si>
  <si>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</si>
  <si>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</si>
  <si>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</si>
  <si>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</si>
  <si>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</si>
  <si>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</si>
  <si>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</si>
  <si>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</si>
  <si>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</si>
  <si>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</si>
  <si>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</si>
  <si>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</si>
  <si>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</si>
  <si>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</si>
  <si>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</si>
  <si>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</si>
  <si>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</si>
  <si>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</si>
  <si>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</si>
  <si>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</si>
  <si>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</si>
  <si>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</si>
  <si>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</si>
  <si>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</si>
  <si>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</si>
  <si>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</si>
  <si>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</si>
  <si>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</si>
  <si>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</si>
  <si>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</si>
  <si>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</si>
  <si>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</si>
  <si>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</si>
  <si>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</si>
  <si>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</si>
  <si>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</si>
  <si>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</si>
  <si>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</si>
  <si>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</si>
  <si>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</si>
  <si>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</si>
  <si>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</si>
  <si>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</si>
  <si>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</si>
  <si>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</si>
  <si>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</si>
  <si>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</si>
  <si>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</si>
  <si>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</si>
  <si>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</si>
  <si>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</si>
  <si>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</si>
  <si>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</si>
  <si>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</si>
  <si>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</si>
  <si>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</si>
  <si>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</si>
  <si>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</si>
  <si>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</si>
  <si>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</si>
  <si>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</si>
  <si>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</si>
  <si>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</si>
  <si>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</si>
  <si>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</si>
  <si>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</si>
  <si>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</si>
  <si>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</si>
  <si>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</si>
  <si>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</si>
  <si>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</si>
  <si>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</si>
  <si>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</si>
  <si>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</si>
  <si>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</si>
  <si>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</si>
  <si>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</si>
  <si>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</si>
  <si>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</si>
  <si>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</si>
  <si>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</si>
  <si>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</si>
  <si>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</si>
  <si>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</si>
  <si>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</si>
  <si>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</si>
  <si>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</si>
  <si>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</si>
  <si>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</si>
  <si>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</si>
  <si>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</si>
  <si>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</si>
  <si>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</si>
  <si>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</si>
  <si>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</si>
  <si>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</si>
  <si>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</si>
  <si>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</si>
  <si>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</si>
  <si>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</si>
  <si>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</si>
  <si>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</si>
  <si>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</si>
  <si>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</si>
  <si>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</si>
  <si>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</si>
  <si>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</si>
  <si>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</si>
  <si>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</si>
  <si>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</si>
  <si>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</si>
  <si>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</si>
  <si>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</si>
  <si>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</si>
  <si>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</si>
  <si>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</si>
  <si>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</si>
  <si>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</si>
  <si>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</si>
  <si>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</si>
  <si>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</si>
  <si>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</si>
  <si>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</si>
  <si>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</si>
  <si>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</si>
  <si>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</si>
  <si>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</si>
  <si>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</si>
  <si>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</si>
  <si>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</si>
  <si>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</si>
  <si>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</si>
  <si>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</si>
  <si>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</si>
  <si>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</si>
  <si>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</si>
  <si>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</si>
  <si>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</si>
  <si>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</si>
  <si>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</si>
  <si>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</si>
  <si>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</si>
  <si>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</si>
  <si>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</si>
  <si>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</si>
  <si>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</si>
  <si>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</si>
  <si>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</si>
  <si>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</si>
  <si>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</si>
  <si>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</si>
  <si>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</si>
  <si>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</si>
  <si>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</si>
  <si>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</si>
  <si>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</si>
  <si>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</si>
  <si>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</si>
  <si>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</si>
  <si>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</si>
  <si>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</si>
  <si>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</si>
  <si>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</si>
  <si>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</si>
  <si>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</si>
  <si>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</si>
  <si>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</si>
  <si>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</si>
  <si>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</si>
  <si>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</si>
  <si>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</si>
  <si>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</si>
  <si>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</si>
  <si>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</si>
  <si>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</si>
  <si>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</si>
  <si>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</si>
  <si>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</si>
  <si>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</si>
  <si>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</si>
  <si>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</si>
  <si>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</si>
  <si>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</si>
  <si>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</si>
  <si>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</si>
  <si>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</si>
  <si>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</si>
  <si>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</si>
  <si>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</si>
  <si>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</si>
  <si>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</si>
  <si>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</si>
  <si>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</si>
  <si>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</si>
  <si>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</si>
  <si>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</si>
  <si>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</si>
  <si>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</si>
  <si>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</si>
  <si>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</si>
  <si>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</si>
  <si>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</si>
  <si>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</si>
  <si>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</si>
  <si>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</si>
  <si>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</si>
  <si>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</si>
  <si>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</si>
  <si>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</si>
  <si>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</si>
  <si>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</si>
  <si>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</si>
  <si>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</si>
  <si>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</si>
  <si>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</si>
  <si>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</si>
  <si>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</si>
  <si>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</si>
  <si>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</si>
  <si>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</si>
  <si>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</si>
  <si>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</si>
  <si>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</si>
  <si>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</si>
  <si>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</si>
  <si>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</si>
  <si>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</si>
  <si>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</si>
  <si>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</si>
  <si>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</si>
  <si>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</si>
  <si>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</si>
  <si>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</si>
  <si>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</si>
  <si>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</si>
  <si>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</si>
  <si>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</si>
  <si>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</si>
  <si>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</si>
  <si>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</si>
  <si>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</si>
  <si>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</si>
  <si>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</si>
  <si>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</si>
  <si>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</si>
  <si>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</si>
  <si>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</si>
  <si>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</si>
  <si>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</si>
  <si>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</si>
  <si>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</si>
  <si>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</si>
  <si>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</si>
  <si>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</si>
  <si>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</si>
  <si>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</si>
  <si>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</si>
  <si>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</si>
  <si>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</si>
  <si>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</si>
  <si>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</si>
  <si>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</si>
  <si>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</si>
  <si>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</si>
  <si>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</si>
  <si>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</si>
  <si>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</si>
  <si>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</si>
  <si>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</si>
  <si>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</si>
  <si>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</si>
  <si>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</si>
  <si>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</si>
  <si>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</si>
  <si>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</si>
  <si>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</si>
  <si>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</si>
  <si>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</si>
  <si>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</si>
  <si>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</si>
  <si>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</si>
  <si>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</si>
  <si>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</si>
  <si>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</si>
  <si>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</si>
  <si>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</si>
  <si>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</si>
  <si>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</si>
  <si>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</si>
  <si>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</si>
  <si>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</si>
  <si>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</si>
  <si>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</si>
  <si>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</si>
  <si>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</si>
  <si>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</si>
  <si>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</si>
  <si>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</si>
  <si>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</si>
  <si>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</si>
  <si>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</si>
  <si>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</si>
  <si>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</si>
  <si>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</si>
  <si>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</si>
  <si>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</si>
  <si>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</si>
  <si>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</si>
  <si>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</si>
  <si>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</si>
  <si>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</si>
  <si>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</si>
  <si>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</si>
  <si>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</si>
  <si>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</si>
  <si>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</si>
  <si>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</si>
  <si>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</si>
  <si>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</si>
  <si>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</si>
  <si>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</si>
  <si>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</si>
  <si>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</si>
  <si>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</si>
  <si>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</si>
  <si>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</si>
  <si>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</si>
  <si>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</si>
  <si>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</si>
  <si>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</si>
  <si>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</si>
  <si>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</si>
  <si>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</si>
  <si>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</si>
  <si>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</si>
  <si>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</si>
  <si>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</si>
  <si>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</si>
  <si>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</si>
  <si>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</si>
  <si>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</si>
  <si>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</si>
  <si>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</si>
  <si>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</si>
  <si>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</si>
  <si>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</si>
  <si>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</si>
  <si>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</si>
  <si>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</si>
  <si>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</si>
  <si>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</si>
  <si>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</si>
  <si>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</si>
  <si>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</si>
  <si>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</si>
  <si>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</si>
  <si>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</si>
  <si>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</si>
  <si>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</si>
  <si>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</si>
  <si>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</si>
  <si>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</si>
  <si>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</si>
  <si>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</si>
  <si>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</si>
  <si>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</si>
  <si>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</si>
  <si>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</si>
  <si>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</si>
  <si>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</si>
  <si>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</si>
  <si>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</si>
  <si>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</si>
  <si>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</si>
  <si>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</si>
  <si>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</si>
  <si>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</si>
  <si>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</si>
  <si>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</si>
  <si>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</si>
  <si>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</si>
  <si>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</si>
  <si>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</si>
  <si>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</si>
  <si>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</si>
  <si>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</si>
  <si>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</si>
  <si>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</si>
  <si>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</si>
  <si>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</si>
  <si>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</si>
  <si>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</si>
  <si>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</si>
  <si>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</si>
  <si>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</si>
  <si>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</si>
  <si>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</si>
  <si>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</si>
  <si>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</si>
  <si>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</si>
  <si>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</si>
  <si>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</si>
  <si>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</si>
  <si>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</si>
  <si>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</si>
  <si>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</si>
  <si>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</si>
  <si>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</si>
  <si>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</si>
  <si>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</si>
  <si>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</si>
  <si>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</si>
  <si>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</si>
  <si>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</si>
  <si>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</si>
  <si>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</si>
  <si>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</si>
  <si>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</si>
  <si>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</si>
  <si>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</si>
  <si>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</si>
  <si>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</si>
  <si>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</si>
  <si>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</si>
  <si>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</si>
  <si>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</si>
  <si>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</si>
  <si>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</si>
  <si>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</si>
  <si>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</si>
  <si>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</si>
  <si>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</si>
  <si>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</si>
  <si>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</si>
  <si>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</si>
  <si>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</si>
  <si>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</si>
  <si>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</si>
  <si>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</si>
  <si>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</si>
  <si>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</si>
  <si>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</si>
  <si>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</si>
  <si>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</si>
  <si>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</si>
  <si>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</si>
  <si>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</si>
  <si>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</si>
  <si>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</si>
  <si>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</si>
  <si>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</si>
  <si>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</si>
  <si>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</si>
  <si>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</si>
  <si>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</si>
  <si>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</si>
  <si>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</si>
  <si>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</si>
  <si>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</si>
  <si>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</si>
  <si>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</si>
  <si>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</si>
  <si>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</si>
  <si>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</si>
  <si>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</si>
  <si>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</si>
  <si>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</si>
  <si>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</si>
  <si>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</si>
  <si>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</si>
  <si>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</si>
  <si>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</si>
  <si>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</si>
  <si>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</si>
  <si>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</si>
  <si>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</si>
  <si>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</si>
  <si>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</si>
  <si>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</si>
  <si>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</si>
  <si>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</si>
  <si>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</si>
  <si>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</si>
  <si>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</si>
  <si>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</si>
  <si>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</si>
  <si>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</si>
  <si>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</si>
  <si>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</si>
  <si>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</si>
  <si>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</si>
  <si>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</si>
  <si>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</si>
  <si>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</si>
  <si>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</si>
  <si>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</si>
  <si>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</si>
  <si>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</si>
  <si>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</si>
  <si>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</si>
  <si>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</si>
  <si>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</si>
  <si>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</si>
  <si>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</si>
  <si>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</si>
  <si>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</si>
  <si>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</si>
  <si>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</si>
  <si>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</si>
  <si>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</si>
  <si>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</si>
  <si>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</si>
  <si>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</si>
  <si>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</si>
  <si>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</si>
  <si>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</si>
  <si>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</si>
  <si>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</si>
  <si>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</si>
  <si>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</si>
  <si>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</si>
  <si>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</si>
  <si>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</si>
  <si>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</si>
  <si>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</si>
  <si>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</si>
  <si>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</si>
  <si>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</si>
  <si>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</si>
  <si>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</si>
  <si>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</si>
  <si>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</si>
  <si>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</si>
  <si>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</si>
  <si>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</si>
  <si>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</si>
  <si>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</si>
  <si>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</si>
  <si>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</si>
  <si>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</si>
  <si>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</si>
  <si>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</si>
  <si>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</si>
  <si>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</si>
  <si>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</si>
  <si>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</si>
  <si>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</si>
  <si>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</si>
  <si>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</si>
  <si>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</si>
  <si>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</si>
  <si>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</si>
  <si>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</si>
  <si>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</si>
  <si>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</si>
  <si>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</si>
  <si>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</si>
  <si>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</si>
  <si>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</si>
  <si>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</si>
  <si>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</si>
  <si>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</si>
  <si>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</si>
  <si>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</si>
  <si>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</si>
  <si>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</si>
  <si>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</si>
  <si>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</si>
  <si>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</si>
  <si>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</si>
  <si>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</si>
  <si>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</si>
  <si>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</si>
  <si>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</si>
  <si>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</si>
  <si>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</si>
  <si>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</si>
  <si>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</si>
  <si>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</si>
  <si>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</si>
  <si>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</si>
  <si>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</si>
  <si>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</si>
  <si>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</si>
  <si>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</si>
  <si>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</si>
  <si>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</si>
  <si>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</si>
  <si>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</si>
  <si>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</si>
  <si>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</si>
  <si>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</si>
  <si>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</si>
  <si>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</si>
  <si>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</si>
  <si>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</si>
  <si>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</si>
  <si>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</si>
  <si>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</si>
  <si>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</si>
  <si>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</si>
  <si>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</si>
  <si>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</si>
  <si>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</si>
  <si>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</si>
  <si>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</si>
  <si>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</si>
  <si>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</si>
  <si>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</si>
  <si>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</si>
  <si>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</si>
  <si>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</si>
  <si>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</si>
  <si>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</si>
  <si>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</si>
  <si>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</si>
  <si>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</si>
  <si>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</si>
  <si>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</si>
  <si>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</si>
  <si>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</si>
  <si>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</si>
  <si>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</si>
  <si>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</si>
  <si>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</si>
  <si>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</si>
  <si>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</si>
  <si>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</si>
  <si>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</si>
  <si>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</si>
  <si>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</si>
  <si>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</si>
  <si>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</si>
  <si>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</si>
  <si>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</si>
  <si>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</si>
  <si>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</si>
  <si>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</si>
  <si>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</si>
  <si>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</si>
  <si>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</si>
  <si>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</si>
  <si>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</si>
  <si>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</si>
  <si>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</si>
  <si>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</si>
  <si>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</si>
  <si>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</si>
  <si>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</si>
  <si>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</si>
  <si>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</si>
  <si>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</si>
  <si>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</si>
  <si>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</si>
  <si>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</si>
  <si>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</si>
  <si>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</si>
  <si>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</si>
  <si>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</si>
  <si>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</si>
  <si>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</si>
  <si>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</si>
  <si>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</si>
  <si>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</si>
  <si>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</si>
  <si>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</si>
  <si>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</si>
  <si>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</si>
  <si>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</si>
  <si>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</si>
  <si>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</si>
  <si>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</si>
  <si>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</si>
  <si>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</si>
  <si>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</si>
  <si>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</si>
  <si>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</si>
  <si>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</si>
  <si>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</si>
  <si>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</si>
  <si>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</si>
  <si>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</si>
  <si>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</si>
  <si>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</si>
  <si>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</si>
  <si>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</si>
  <si>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</si>
  <si>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</si>
  <si>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</si>
  <si>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</si>
  <si>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</si>
  <si>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</si>
  <si>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</si>
  <si>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</si>
  <si>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</si>
  <si>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</si>
  <si>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</si>
  <si>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</si>
  <si>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</si>
  <si>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</si>
  <si>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</si>
  <si>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</si>
  <si>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</si>
  <si>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</si>
  <si>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</si>
  <si>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</si>
  <si>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</si>
  <si>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</si>
  <si>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</si>
  <si>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</si>
  <si>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</si>
  <si>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</si>
  <si>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</si>
  <si>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</si>
  <si>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</si>
  <si>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</si>
  <si>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</si>
  <si>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</si>
  <si>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</si>
  <si>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</si>
  <si>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</si>
  <si>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</si>
  <si>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</si>
  <si>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</si>
  <si>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</si>
  <si>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</si>
  <si>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</si>
  <si>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</si>
  <si>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</si>
  <si>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</si>
  <si>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</si>
  <si>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</si>
  <si>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</si>
  <si>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</si>
  <si>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</si>
  <si>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</si>
  <si>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</si>
  <si>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</si>
  <si>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</si>
  <si>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</si>
  <si>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</si>
  <si>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</si>
  <si>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</si>
  <si>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</si>
  <si>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</si>
  <si>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</si>
  <si>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</si>
  <si>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</si>
  <si>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</si>
  <si>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</si>
  <si>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</si>
  <si>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</si>
  <si>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</si>
  <si>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</si>
  <si>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</si>
  <si>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</si>
  <si>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</si>
  <si>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</si>
  <si>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</si>
  <si>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</si>
  <si>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</si>
  <si>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</si>
  <si>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</si>
  <si>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</si>
  <si>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</si>
  <si>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</si>
  <si>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</si>
  <si>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</si>
  <si>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</si>
  <si>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</si>
  <si>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</si>
  <si>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</si>
  <si>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</si>
  <si>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</si>
  <si>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</si>
  <si>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</si>
  <si>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</si>
  <si>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</si>
  <si>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</si>
  <si>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</si>
  <si>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</si>
  <si>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</si>
  <si>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</si>
  <si>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</si>
  <si>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</si>
  <si>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</si>
  <si>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</si>
  <si>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</si>
  <si>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</si>
  <si>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</si>
  <si>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</si>
  <si>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</si>
  <si>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</si>
  <si>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</si>
  <si>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</si>
  <si>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</si>
  <si>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</si>
  <si>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</si>
  <si>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</si>
  <si>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</si>
  <si>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</si>
  <si>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</si>
  <si>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</si>
  <si>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</si>
  <si>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</si>
  <si>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</si>
  <si>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</si>
  <si>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</si>
  <si>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</si>
  <si>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</si>
  <si>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</si>
  <si>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</si>
  <si>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</si>
  <si>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</si>
  <si>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</si>
  <si>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</si>
  <si>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</si>
  <si>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</si>
  <si>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</si>
  <si>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</si>
  <si>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</si>
  <si>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</si>
  <si>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</si>
  <si>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</si>
  <si>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</si>
  <si>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</si>
  <si>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</si>
  <si>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</si>
  <si>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</si>
  <si>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</si>
  <si>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</si>
  <si>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</si>
  <si>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</si>
  <si>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</si>
  <si>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</si>
  <si>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</si>
  <si>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</si>
  <si>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</si>
  <si>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</si>
  <si>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</si>
  <si>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</si>
  <si>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</si>
  <si>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</si>
  <si>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</si>
  <si>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</si>
  <si>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</si>
  <si>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</si>
  <si>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</si>
  <si>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</si>
  <si>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</si>
  <si>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</si>
  <si>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</si>
  <si>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</si>
  <si>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</si>
  <si>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</si>
  <si>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</si>
  <si>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</si>
  <si>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</si>
  <si>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</si>
  <si>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</si>
  <si>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</si>
  <si>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</si>
  <si>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</si>
  <si>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</si>
  <si>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</si>
  <si>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</si>
  <si>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</si>
  <si>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</si>
  <si>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</si>
  <si>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</si>
  <si>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</si>
  <si>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</si>
  <si>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</si>
  <si>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</si>
  <si>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</si>
  <si>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</si>
  <si>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</si>
  <si>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</si>
  <si>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</si>
  <si>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</si>
  <si>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</si>
  <si>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</si>
  <si>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</si>
  <si>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</si>
  <si>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</si>
  <si>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</si>
  <si>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</si>
  <si>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</si>
  <si>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</si>
  <si>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</si>
  <si>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</si>
  <si>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</si>
  <si>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</si>
  <si>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</si>
  <si>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</si>
  <si>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</si>
  <si>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</si>
  <si>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</si>
  <si>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</si>
  <si>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</si>
  <si>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</si>
  <si>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</si>
  <si>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</si>
  <si>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</si>
  <si>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</si>
  <si>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</si>
  <si>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</si>
  <si>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</si>
  <si>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</si>
  <si>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</si>
  <si>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</si>
  <si>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</si>
  <si>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</si>
  <si>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</si>
  <si>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</si>
  <si>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</si>
  <si>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</si>
  <si>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</si>
  <si>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</si>
  <si>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</si>
  <si>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</si>
  <si>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</si>
  <si>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</si>
  <si>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</si>
  <si>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</si>
  <si>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</si>
  <si>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</si>
  <si>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</si>
  <si>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</si>
  <si>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</si>
  <si>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</si>
  <si>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</si>
  <si>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</si>
  <si>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</si>
  <si>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</si>
  <si>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</si>
  <si>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</si>
  <si>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</si>
  <si>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</si>
  <si>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</si>
  <si>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</si>
  <si>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</si>
  <si>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</si>
  <si>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</si>
  <si>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</si>
  <si>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</si>
  <si>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</si>
  <si>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</si>
  <si>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</si>
  <si>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</si>
  <si>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</si>
  <si>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</si>
  <si>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</si>
  <si>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</si>
  <si>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</si>
  <si>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</si>
  <si>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</si>
  <si>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</si>
  <si>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</si>
  <si>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</si>
  <si>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</si>
  <si>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</si>
  <si>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</si>
  <si>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</si>
  <si>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</si>
  <si>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</si>
  <si>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</si>
  <si>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</si>
  <si>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</si>
  <si>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</si>
  <si>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</si>
  <si>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</si>
  <si>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</si>
  <si>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</si>
  <si>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</si>
  <si>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</si>
  <si>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</si>
  <si>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</si>
  <si>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</si>
  <si>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</si>
  <si>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</si>
  <si>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</si>
  <si>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</si>
  <si>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</si>
  <si>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</si>
  <si>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</si>
  <si>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</si>
  <si>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</si>
  <si>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</si>
  <si>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</si>
  <si>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</si>
  <si>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</si>
  <si>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</si>
  <si>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</si>
  <si>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</si>
  <si>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</si>
  <si>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</si>
  <si>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</si>
  <si>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</si>
  <si>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</si>
  <si>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</si>
  <si>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</si>
  <si>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</si>
  <si>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</si>
  <si>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</si>
  <si>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</si>
  <si>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</si>
  <si>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</si>
  <si>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</si>
  <si>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</si>
  <si>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</si>
  <si>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</si>
  <si>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</si>
  <si>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</si>
  <si>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</si>
  <si>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</si>
  <si>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</si>
  <si>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</si>
  <si>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</si>
  <si>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</si>
  <si>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</si>
  <si>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</si>
  <si>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</si>
  <si>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</si>
  <si>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</si>
  <si>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</si>
  <si>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</si>
  <si>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</si>
  <si>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</si>
  <si>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</si>
  <si>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</si>
  <si>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</si>
  <si>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</si>
  <si>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</si>
  <si>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</si>
  <si>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</si>
  <si>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</si>
  <si>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</si>
  <si>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</si>
  <si>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</si>
  <si>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</si>
  <si>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</si>
  <si>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</si>
  <si>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</si>
  <si>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</si>
  <si>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</si>
  <si>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</si>
  <si>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</si>
  <si>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</si>
  <si>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</si>
  <si>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</si>
  <si>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</si>
  <si>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</si>
  <si>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</si>
  <si>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</si>
  <si>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</si>
  <si>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</si>
  <si>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</si>
  <si>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</si>
  <si>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</si>
  <si>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</si>
  <si>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</si>
  <si>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</si>
  <si>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</si>
  <si>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</si>
  <si>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</si>
  <si>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</si>
  <si>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</si>
  <si>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</si>
  <si>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</si>
  <si>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</si>
  <si>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</si>
  <si>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</si>
  <si>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</si>
  <si>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</si>
  <si>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</si>
  <si>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</si>
  <si>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</si>
  <si>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</si>
  <si>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</si>
  <si>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</si>
  <si>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</si>
  <si>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</si>
  <si>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</si>
  <si>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</si>
  <si>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</si>
  <si>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</si>
  <si>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</si>
  <si>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</si>
  <si>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</si>
  <si>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</si>
  <si>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</si>
  <si>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</si>
  <si>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</si>
  <si>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</si>
  <si>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</si>
  <si>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</si>
  <si>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</si>
  <si>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</si>
  <si>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</si>
  <si>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</si>
  <si>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</si>
  <si>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</si>
  <si>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</si>
  <si>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</si>
  <si>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</si>
  <si>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</si>
  <si>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</si>
  <si>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</si>
  <si>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</si>
  <si>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</si>
  <si>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</si>
  <si>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</si>
  <si>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</si>
  <si>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</si>
  <si>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</si>
  <si>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</si>
  <si>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</si>
  <si>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</si>
  <si>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</si>
  <si>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</si>
  <si>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</si>
  <si>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</si>
  <si>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</si>
  <si>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</si>
  <si>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</si>
  <si>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</si>
  <si>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</si>
  <si>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</si>
  <si>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</si>
  <si>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</si>
  <si>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</si>
  <si>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</si>
  <si>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</si>
  <si>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</si>
  <si>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</si>
  <si>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</si>
  <si>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</si>
  <si>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</si>
  <si>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</si>
  <si>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</si>
  <si>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</si>
  <si>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</si>
  <si>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</si>
  <si>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</si>
  <si>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</si>
  <si>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</si>
  <si>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</si>
  <si>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</si>
  <si>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</si>
  <si>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</si>
  <si>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</si>
  <si>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</si>
  <si>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</si>
  <si>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</si>
  <si>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</si>
  <si>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</si>
  <si>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</si>
  <si>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</si>
  <si>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</si>
  <si>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</si>
  <si>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</si>
  <si>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</si>
  <si>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</si>
  <si>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</si>
  <si>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</si>
  <si>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</si>
  <si>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</si>
  <si>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</si>
  <si>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</si>
  <si>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</si>
  <si>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</si>
  <si>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</si>
  <si>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</si>
  <si>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</si>
  <si>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</si>
  <si>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</si>
  <si>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</si>
  <si>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</si>
  <si>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</si>
  <si>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</si>
  <si>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</si>
  <si>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</si>
  <si>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</si>
  <si>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</si>
  <si>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</si>
  <si>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</si>
  <si>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</si>
  <si>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</si>
  <si>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</si>
  <si>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</si>
  <si>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</si>
  <si>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</si>
  <si>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</si>
  <si>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</si>
  <si>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</si>
  <si>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</si>
  <si>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</si>
  <si>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</si>
  <si>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</si>
  <si>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</si>
  <si>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</si>
  <si>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</si>
  <si>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</si>
  <si>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</si>
  <si>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</si>
  <si>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</si>
  <si>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</si>
  <si>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</si>
  <si>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</si>
  <si>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</si>
  <si>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</si>
  <si>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</si>
  <si>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</si>
  <si>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</si>
  <si>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</si>
  <si>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</si>
  <si>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</si>
  <si>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</si>
  <si>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</si>
  <si>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</si>
  <si>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</si>
  <si>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</si>
  <si>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</si>
  <si>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</si>
  <si>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</si>
  <si>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</si>
  <si>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</si>
  <si>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</si>
  <si>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</si>
  <si>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</si>
  <si>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</si>
  <si>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</si>
  <si>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</si>
  <si>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</si>
  <si>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</si>
  <si>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</si>
  <si>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</si>
  <si>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</si>
  <si>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</si>
  <si>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</si>
  <si>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</si>
  <si>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</si>
  <si>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</si>
  <si>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</si>
  <si>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</si>
  <si>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</si>
  <si>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</si>
  <si>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</si>
  <si>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</si>
  <si>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</si>
  <si>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</si>
  <si>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</si>
  <si>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</si>
  <si>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</si>
  <si>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</si>
  <si>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</si>
  <si>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</si>
  <si>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</si>
  <si>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</si>
  <si>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</si>
  <si>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</si>
  <si>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</si>
  <si>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</si>
  <si>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</si>
  <si>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</si>
  <si>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</si>
  <si>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</si>
  <si>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</si>
  <si>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</si>
  <si>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</si>
  <si>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</si>
  <si>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</si>
  <si>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</si>
  <si>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</si>
  <si>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</si>
  <si>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</si>
  <si>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</si>
  <si>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</si>
  <si>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</si>
  <si>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</si>
  <si>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</si>
  <si>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</si>
  <si>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</si>
  <si>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</si>
  <si>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</si>
  <si>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</si>
  <si>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</si>
  <si>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</si>
  <si>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</si>
  <si>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</si>
  <si>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</si>
  <si>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</si>
  <si>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</si>
  <si>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</si>
  <si>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</si>
  <si>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</si>
  <si>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</si>
  <si>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</si>
  <si>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</si>
  <si>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</si>
  <si>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</si>
  <si>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</si>
  <si>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</si>
  <si>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</si>
  <si>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</si>
  <si>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</si>
  <si>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</si>
  <si>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</si>
  <si>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</si>
  <si>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</si>
  <si>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</si>
  <si>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</si>
  <si>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</si>
  <si>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</si>
  <si>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</si>
  <si>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</si>
  <si>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</si>
  <si>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</si>
  <si>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</si>
  <si>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</si>
  <si>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</si>
  <si>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</si>
  <si>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</si>
  <si>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</si>
  <si>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</si>
  <si>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</si>
  <si>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</si>
  <si>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</si>
  <si>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</si>
  <si>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</si>
  <si>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</si>
  <si>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</si>
  <si>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</si>
  <si>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</si>
  <si>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</si>
  <si>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</si>
  <si>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</si>
  <si>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</si>
  <si>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</si>
  <si>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</si>
  <si>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</si>
  <si>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</si>
  <si>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</si>
  <si>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</si>
  <si>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</si>
  <si>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</si>
  <si>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</si>
  <si>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</si>
  <si>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</si>
  <si>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</si>
  <si>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</si>
  <si>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</si>
  <si>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</si>
  <si>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</si>
  <si>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</si>
  <si>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</si>
  <si>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</si>
  <si>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</si>
  <si>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</si>
  <si>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</si>
  <si>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</si>
  <si>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</si>
  <si>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</si>
  <si>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</si>
  <si>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</si>
  <si>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</si>
  <si>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</si>
  <si>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</si>
  <si>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</si>
  <si>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</si>
  <si>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</si>
  <si>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</si>
  <si>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</si>
  <si>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</si>
  <si>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</si>
  <si>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</si>
  <si>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</si>
  <si>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</si>
  <si>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</si>
  <si>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</si>
  <si>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</si>
  <si>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</si>
  <si>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</si>
  <si>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</si>
  <si>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</si>
  <si>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</si>
  <si>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</si>
  <si>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</si>
  <si>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</si>
  <si>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</si>
  <si>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</si>
  <si>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</si>
  <si>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</si>
  <si>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</si>
  <si>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</si>
  <si>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</si>
  <si>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</si>
  <si>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</si>
  <si>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</si>
  <si>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</si>
  <si>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</si>
  <si>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</si>
  <si>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</si>
  <si>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</si>
  <si>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</si>
  <si>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</si>
  <si>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</si>
  <si>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</si>
  <si>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</si>
  <si>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</si>
  <si>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</si>
  <si>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</si>
  <si>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</si>
  <si>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</si>
  <si>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</si>
  <si>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</si>
  <si>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</si>
  <si>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</si>
  <si>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</si>
  <si>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</si>
  <si>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</si>
  <si>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</si>
  <si>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</si>
  <si>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</si>
  <si>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</si>
  <si>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</si>
  <si>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</si>
  <si>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</si>
  <si>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</si>
  <si>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</si>
  <si>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</si>
  <si>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</si>
  <si>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</si>
  <si>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</si>
  <si>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</si>
  <si>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</si>
  <si>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</si>
  <si>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</si>
  <si>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</si>
  <si>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</si>
  <si>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</si>
  <si>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</si>
  <si>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</si>
  <si>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</si>
  <si>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</si>
  <si>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</si>
  <si>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</si>
  <si>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</si>
  <si>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</si>
  <si>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</si>
  <si>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</si>
  <si>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</si>
  <si>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</si>
  <si>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</si>
  <si>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</si>
  <si>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</si>
  <si>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</si>
  <si>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</si>
  <si>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</si>
  <si>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</si>
  <si>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</si>
  <si>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</si>
  <si>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</si>
  <si>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</si>
  <si>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</si>
  <si>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</si>
  <si>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</si>
  <si>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</si>
  <si>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</si>
  <si>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</si>
  <si>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</si>
  <si>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</si>
  <si>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</si>
  <si>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</si>
  <si>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</si>
  <si>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</si>
  <si>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</si>
  <si>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</si>
  <si>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</si>
  <si>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</si>
  <si>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</si>
  <si>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</si>
  <si>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</si>
  <si>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</si>
  <si>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</si>
  <si>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</si>
  <si>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</si>
  <si>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</si>
  <si>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</si>
  <si>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</si>
  <si>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</si>
  <si>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</si>
  <si>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</si>
  <si>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</si>
  <si>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</si>
  <si>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</si>
  <si>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</si>
  <si>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</si>
  <si>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</si>
  <si>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</si>
  <si>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</si>
  <si>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</si>
  <si>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</si>
  <si>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</si>
  <si>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</si>
  <si>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</si>
  <si>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</si>
  <si>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</si>
  <si>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</si>
  <si>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</si>
  <si>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</si>
  <si>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</si>
  <si>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</si>
  <si>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</si>
  <si>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</si>
  <si>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</si>
  <si>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</si>
  <si>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</si>
  <si>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</si>
  <si>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</si>
  <si>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</si>
  <si>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</si>
  <si>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</si>
  <si>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</si>
  <si>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</si>
  <si>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</si>
  <si>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</si>
  <si>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</si>
  <si>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</si>
  <si>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</si>
  <si>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</si>
  <si>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</si>
  <si>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</si>
  <si>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</si>
  <si>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</si>
  <si>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</si>
  <si>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</si>
  <si>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</si>
  <si>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</si>
  <si>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</si>
  <si>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</si>
  <si>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</si>
  <si>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</si>
  <si>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</si>
  <si>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</si>
  <si>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</si>
  <si>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</si>
  <si>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</si>
  <si>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</si>
  <si>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</si>
  <si>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</si>
  <si>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</si>
  <si>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</si>
  <si>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</si>
  <si>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</si>
  <si>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</si>
  <si>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</si>
  <si>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</si>
  <si>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</si>
  <si>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</si>
  <si>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</si>
  <si>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</si>
  <si>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</si>
  <si>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</si>
  <si>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</si>
  <si>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</si>
  <si>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</si>
  <si>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</si>
  <si>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</si>
  <si>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</si>
  <si>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</si>
  <si>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</si>
  <si>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</si>
  <si>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</si>
  <si>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</si>
  <si>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</si>
  <si>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</si>
  <si>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</si>
  <si>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</si>
  <si>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</si>
  <si>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</si>
  <si>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</si>
  <si>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</si>
  <si>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</si>
  <si>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</si>
  <si>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</si>
  <si>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</si>
  <si>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</si>
  <si>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</si>
  <si>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</si>
  <si>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</si>
  <si>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</si>
  <si>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</si>
  <si>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</si>
  <si>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</si>
  <si>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</si>
  <si>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</si>
  <si>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</si>
  <si>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</si>
  <si>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</si>
  <si>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</si>
  <si>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</si>
  <si>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</si>
  <si>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</si>
  <si>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</si>
  <si>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</si>
  <si>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</si>
  <si>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</si>
  <si>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</si>
  <si>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</si>
  <si>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</si>
  <si>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</si>
  <si>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</si>
  <si>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</si>
  <si>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</si>
  <si>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</si>
  <si>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</si>
  <si>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</si>
  <si>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</si>
  <si>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</si>
  <si>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</si>
  <si>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</si>
  <si>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</si>
  <si>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</si>
  <si>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</si>
  <si>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</si>
  <si>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</si>
  <si>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</si>
  <si>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</si>
  <si>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</si>
  <si>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</si>
  <si>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</si>
  <si>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</si>
  <si>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</si>
  <si>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</si>
  <si>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</si>
  <si>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</si>
  <si>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</si>
  <si>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</si>
  <si>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</si>
  <si>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</si>
  <si>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</si>
  <si>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</si>
  <si>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</si>
  <si>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</si>
  <si>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</si>
  <si>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</si>
  <si>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</si>
  <si>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</si>
  <si>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</si>
  <si>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</si>
  <si>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</si>
  <si>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</si>
  <si>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</si>
  <si>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</si>
  <si>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</si>
  <si>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</si>
  <si>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</si>
  <si>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</si>
  <si>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</si>
  <si>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</si>
  <si>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</si>
  <si>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</si>
  <si>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</si>
  <si>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</si>
  <si>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</si>
  <si>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</si>
  <si>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</si>
  <si>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</si>
  <si>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</si>
  <si>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</si>
  <si>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</si>
  <si>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</si>
  <si>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</si>
  <si>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</si>
  <si>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</si>
  <si>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</si>
  <si>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</si>
  <si>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</si>
  <si>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</si>
  <si>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</si>
  <si>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</si>
  <si>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</si>
  <si>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</si>
  <si>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</si>
  <si>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</si>
  <si>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</si>
  <si>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</si>
  <si>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</si>
  <si>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</si>
  <si>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</si>
  <si>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</si>
  <si>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</si>
  <si>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</si>
  <si>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</si>
  <si>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</si>
  <si>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</si>
  <si>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</si>
  <si>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</si>
  <si>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</si>
  <si>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</si>
  <si>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</si>
  <si>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</si>
  <si>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</si>
  <si>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</si>
  <si>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</si>
  <si>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</si>
  <si>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</si>
  <si>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</si>
  <si>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</si>
  <si>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</si>
  <si>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</si>
  <si>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</si>
  <si>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</si>
  <si>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</si>
  <si>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</si>
  <si>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</si>
  <si>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</si>
  <si>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</si>
  <si>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</si>
  <si>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</si>
  <si>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</si>
  <si>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</si>
  <si>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</si>
  <si>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</si>
  <si>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</si>
  <si>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</si>
  <si>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</si>
  <si>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</si>
  <si>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</si>
  <si>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</si>
  <si>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</si>
  <si>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</si>
  <si>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</si>
  <si>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</si>
  <si>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</si>
  <si>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</si>
  <si>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</si>
  <si>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</si>
  <si>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</si>
  <si>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</si>
  <si>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</si>
  <si>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</si>
  <si>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</si>
  <si>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</si>
  <si>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</si>
  <si>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</si>
  <si>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</si>
  <si>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</si>
  <si>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</si>
  <si>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</si>
  <si>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</si>
  <si>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</si>
  <si>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</si>
  <si>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</si>
  <si>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</si>
  <si>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</si>
  <si>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</si>
  <si>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</si>
  <si>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</si>
  <si>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</si>
  <si>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</si>
  <si>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</si>
  <si>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</si>
  <si>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</si>
  <si>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</si>
  <si>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</si>
  <si>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</si>
  <si>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</si>
  <si>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</si>
  <si>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</si>
  <si>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</si>
  <si>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</si>
  <si>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</si>
  <si>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</si>
  <si>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</si>
  <si>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</si>
  <si>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</si>
  <si>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</si>
  <si>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</si>
  <si>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</si>
  <si>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</si>
  <si>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</si>
  <si>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</si>
  <si>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</si>
  <si>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</si>
  <si>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</si>
  <si>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</si>
  <si>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</si>
  <si>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</si>
  <si>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</si>
  <si>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</si>
  <si>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</si>
  <si>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</si>
  <si>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</si>
  <si>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</si>
  <si>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</si>
  <si>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</si>
  <si>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</si>
  <si>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</si>
  <si>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</si>
  <si>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</si>
  <si>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</si>
  <si>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</si>
  <si>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APRÓPRIADOR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</si>
  <si>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</si>
  <si>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</si>
  <si>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</si>
  <si>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</si>
  <si>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</si>
  <si>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</si>
  <si>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</si>
  <si>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</si>
  <si>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</si>
  <si>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</si>
  <si>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</si>
  <si>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</si>
  <si>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</si>
  <si>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</si>
  <si>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</si>
  <si>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</si>
  <si>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</si>
  <si>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</si>
  <si>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</si>
  <si>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</si>
  <si>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</si>
  <si>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</si>
  <si>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</si>
  <si>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</si>
  <si>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</si>
  <si>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</si>
  <si>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</si>
  <si>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</si>
  <si>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</si>
  <si>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</si>
  <si>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</si>
  <si>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</si>
  <si>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</si>
  <si>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</si>
  <si>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</si>
  <si>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</si>
  <si>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</si>
  <si>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</si>
  <si>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</si>
  <si>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</si>
  <si>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</si>
  <si>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</si>
  <si>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</si>
  <si>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</si>
  <si>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</si>
  <si>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</si>
  <si>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</si>
  <si>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</si>
  <si>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</si>
  <si>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</si>
  <si>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</si>
  <si>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</si>
  <si>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</si>
  <si>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</si>
  <si>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</si>
  <si>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</si>
  <si>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</si>
  <si>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</si>
  <si>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</si>
  <si>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</si>
  <si>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</si>
  <si>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</si>
  <si>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</si>
  <si>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</si>
  <si>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</si>
  <si>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</si>
  <si>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</si>
  <si>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</si>
  <si>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</si>
  <si>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</si>
  <si>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</si>
  <si>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</si>
  <si>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</si>
  <si>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</si>
  <si>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</si>
  <si>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</si>
  <si>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</si>
  <si>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</si>
  <si>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</si>
  <si>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</si>
  <si>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</si>
  <si>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</si>
  <si>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</si>
  <si>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</si>
  <si>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</si>
  <si>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</si>
  <si>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</si>
  <si>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</si>
  <si>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</si>
  <si>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</si>
  <si>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</si>
  <si>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APRÓPRIADOR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</si>
  <si>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</si>
  <si>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</si>
  <si>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</si>
  <si>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</si>
  <si>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</si>
  <si>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</si>
  <si>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</si>
  <si>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</si>
  <si>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</si>
  <si>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</si>
  <si>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</si>
  <si>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</si>
  <si>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</si>
  <si>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</si>
  <si>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APRÓPRIADOR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</si>
  <si>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</si>
  <si>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</si>
  <si>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</si>
  <si>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</si>
  <si>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</si>
  <si>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</si>
  <si>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</si>
  <si>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</si>
  <si>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</si>
  <si>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</si>
  <si>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</si>
  <si>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</si>
  <si>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</si>
  <si>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</si>
  <si>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</si>
  <si>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</si>
  <si>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</si>
  <si>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</si>
  <si>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</si>
  <si>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</si>
  <si>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</si>
  <si>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</si>
  <si>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</si>
  <si>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</si>
  <si>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</si>
  <si>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</si>
  <si>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</si>
  <si>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</si>
  <si>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</si>
  <si>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</si>
  <si>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</si>
  <si>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</si>
  <si>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</si>
  <si>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</si>
  <si>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</si>
  <si>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</si>
  <si>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</si>
  <si>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</si>
  <si>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</si>
  <si>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</si>
  <si>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</si>
  <si>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</si>
  <si>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</si>
  <si>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</si>
  <si>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</si>
  <si>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</si>
  <si>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</si>
  <si>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</si>
  <si>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</si>
  <si>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</si>
  <si>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</si>
  <si>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</si>
  <si>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</si>
  <si>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</si>
  <si>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</si>
  <si>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</si>
  <si>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</si>
  <si>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</si>
  <si>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</si>
  <si>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</si>
  <si>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</si>
  <si>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</si>
  <si>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</si>
  <si>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</si>
  <si>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</si>
  <si>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</si>
  <si>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</si>
  <si>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</si>
  <si>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</si>
  <si>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</si>
  <si>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</si>
  <si>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</si>
  <si>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</si>
  <si>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</si>
  <si>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</si>
  <si>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</si>
  <si>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</si>
  <si>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</si>
  <si>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</si>
  <si>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</si>
  <si>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</si>
  <si>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</si>
  <si>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</si>
  <si>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</si>
  <si>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</si>
  <si>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</si>
  <si>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</si>
  <si>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</si>
  <si>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</si>
  <si>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</si>
  <si>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</si>
  <si>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</si>
  <si>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</si>
  <si>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</si>
  <si>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</si>
  <si>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</si>
  <si>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</si>
  <si>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</si>
  <si>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</si>
  <si>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</si>
  <si>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</si>
  <si>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</si>
  <si>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</si>
  <si>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</si>
  <si>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</si>
  <si>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</si>
  <si>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</si>
  <si>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</si>
  <si>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</si>
  <si>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</si>
  <si>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</si>
  <si>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</si>
  <si>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</si>
  <si>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</si>
  <si>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</si>
  <si>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</si>
  <si>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</si>
  <si>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</si>
  <si>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</si>
  <si>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</si>
  <si>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</si>
  <si>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</si>
  <si>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</si>
  <si>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</si>
  <si>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</si>
  <si>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</si>
  <si>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</si>
  <si>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</si>
  <si>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</si>
  <si>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</si>
  <si>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</si>
  <si>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</si>
  <si>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</si>
  <si>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</si>
  <si>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</si>
  <si>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</si>
  <si>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</si>
  <si>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</si>
  <si>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</si>
  <si>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</si>
  <si>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</si>
  <si>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 • CPX SUNSET • </t>
  </si>
  <si>
    <t>10 meses</t>
  </si>
  <si>
    <t>PROJETO</t>
  </si>
  <si>
    <t>PRÉVIA</t>
  </si>
  <si>
    <t>LANÇADO ✓</t>
  </si>
  <si>
    <t>FINAL</t>
  </si>
  <si>
    <t>CPs</t>
  </si>
  <si>
    <t>ADMINITRAÇÃO LOCAL</t>
  </si>
  <si>
    <t>OK ✔</t>
  </si>
  <si>
    <t>SST</t>
  </si>
  <si>
    <t>WAKE BAR</t>
  </si>
  <si>
    <t>ARQUITETÔNICO</t>
  </si>
  <si>
    <t>⏳</t>
  </si>
  <si>
    <t>ESTRUTURAL - (CONCRETO ARMADO)</t>
  </si>
  <si>
    <t>ESTRUTURAL - (METÁLICA)</t>
  </si>
  <si>
    <t>HIDRÁULICO</t>
  </si>
  <si>
    <t>SANITÁRIO</t>
  </si>
  <si>
    <t>DRENAGEM DE ÁGUAS PLUVIAIS</t>
  </si>
  <si>
    <t>INSTALAÇÕES ELÉTRICAS BAIXA TENSÃO</t>
  </si>
  <si>
    <t xml:space="preserve">CABEAMENTO LÓGICO </t>
  </si>
  <si>
    <t>INCÊNDIO</t>
  </si>
  <si>
    <t>KART BAR</t>
  </si>
  <si>
    <t>PRAÇA SUNSET</t>
  </si>
  <si>
    <t>QUIOSQUE</t>
  </si>
  <si>
    <t>BANHEIROS DE APOIO ESPAÇO SHOWS</t>
  </si>
  <si>
    <t>BANHEIROS DE APOIO CENTRO DE EVENTOS</t>
  </si>
  <si>
    <t>INFRA DE CONTÊINER</t>
  </si>
  <si>
    <r>
      <rPr>
        <b/>
        <sz val="31"/>
        <color rgb="FF1F1F1F"/>
        <rFont val="Calibri"/>
        <family val="2"/>
      </rPr>
      <t xml:space="preserve">PROJETO DE ENGENHARIA
</t>
    </r>
    <r>
      <rPr>
        <b/>
        <sz val="21"/>
        <color rgb="FF1F1F1F"/>
        <rFont val="Calibri"/>
        <family val="2"/>
      </rPr>
      <t>ORÇAMENTO - NÃO DESONERADO / SEM DESONERAÇÃO</t>
    </r>
  </si>
  <si>
    <t>1 . APRESENTAÇÃO</t>
  </si>
  <si>
    <r>
      <rPr>
        <sz val="12"/>
        <color rgb="FF000000"/>
        <rFont val="Calibri"/>
        <family val="2"/>
      </rPr>
      <t xml:space="preserve">Este documento apresenta o </t>
    </r>
    <r>
      <rPr>
        <b/>
        <sz val="12"/>
        <color rgb="FF000000"/>
        <rFont val="Calibri"/>
        <family val="2"/>
      </rPr>
      <t>Orçamento</t>
    </r>
    <r>
      <rPr>
        <sz val="12"/>
        <color rgb="FF000000"/>
        <rFont val="Calibri"/>
        <family val="2"/>
      </rPr>
      <t xml:space="preserve"> dos Projetos, conforme orienta a Lei 13.303/2016 Art. 42, §1º inciso II , e demais documentos referentes a Construção do </t>
    </r>
    <r>
      <rPr>
        <b/>
        <sz val="12"/>
        <color rgb="FFFF0000"/>
        <rFont val="Calibri"/>
        <family val="2"/>
      </rPr>
      <t>Complexo Sunset</t>
    </r>
    <r>
      <rPr>
        <sz val="12"/>
        <color rgb="FF000000"/>
        <rFont val="Calibri"/>
        <family val="2"/>
      </rPr>
      <t xml:space="preserve"> localizado dentro do Parque Novo Mato Grosso – MT no município de Cuiabá - MT. 
O Complexo Sunset é formado por: Wake Bar, Praça Sunset, Quiosque, Banheiros de Apoio e Infraestrutura para contêineres.
A seguir, será indicado a metodologia e demais elementos utilizados na elaboração do mesmo.</t>
    </r>
  </si>
  <si>
    <t>2 . METODOLOGIA</t>
  </si>
  <si>
    <t>Na elaboração do Orçamento foram adotadas as seguintes premissas:</t>
  </si>
  <si>
    <r>
      <rPr>
        <sz val="12"/>
        <color theme="1"/>
        <rFont val="Calibri"/>
        <family val="2"/>
      </rPr>
      <t xml:space="preserve">a. Base referência: </t>
    </r>
    <r>
      <rPr>
        <b/>
        <sz val="12"/>
        <color theme="1"/>
        <rFont val="Calibri"/>
        <family val="2"/>
      </rPr>
      <t>AGOSTO/2024;</t>
    </r>
  </si>
  <si>
    <t xml:space="preserve">b. Custos de Referência: Preços dos itens do SINAPI-MT e tabelas referenciais de preços  aprovada por órgãos ou entidades da administração pública;
</t>
  </si>
  <si>
    <t>c. Os percentuais utilizados para calcular o BDI seguem em conformidade com as orientações da SINFRA/MT – SECRETARIA DE ESTADO DE INFRAESTRUTURA E LOGISTICA, e a respectiva composição encontra-se detalhada no item “Composição de BDI;</t>
  </si>
  <si>
    <t xml:space="preserve">d. O orçamento apresenta-se na opção mais vantajosa sendo Não desonerado, “sem desoneração” conforme declaração a seguir; </t>
  </si>
  <si>
    <t>e. Lista de materiais orientativa, devendo a empresa executora verificar a quantidade real de materiais necessários em campo, conforme elaboração de projeto executivo;</t>
  </si>
  <si>
    <t>f. Os quantitativos apresentados são de responsabilidade da equipe técnica de cada disciplina, sendo estes inferidos dos seus respectivos projetos.</t>
  </si>
  <si>
    <r>
      <rPr>
        <sz val="12"/>
        <color rgb="FF000000"/>
        <rFont val="Calibri, Arial"/>
      </rPr>
      <t xml:space="preserve">g. Os arquivos para consulta pública dos Memorais Quantitativos das disciplinas abaixo estão dispostos em: 
 </t>
    </r>
    <r>
      <rPr>
        <b/>
        <u/>
        <sz val="12"/>
        <color rgb="FF1155CC"/>
        <rFont val="Calibri, Arial"/>
      </rPr>
      <t>→ MEMORIAL QUANTITATIVO - PACOTE SUNSET</t>
    </r>
  </si>
  <si>
    <t>AUTOR</t>
  </si>
  <si>
    <t>REGISTRO</t>
  </si>
  <si>
    <t>INSTALAÇÕES DE CANTEIRO DE OBRAS</t>
  </si>
  <si>
    <t xml:space="preserve">HEVANIA PRISCILLA FERRAZ DA SILVA </t>
  </si>
  <si>
    <t>RNP: 1214157599</t>
  </si>
  <si>
    <t>ARQUITETURA</t>
  </si>
  <si>
    <t xml:space="preserve">GABRIEL TOSTI DE MELO
</t>
  </si>
  <si>
    <t>00A2870053</t>
  </si>
  <si>
    <t>PAULO MARCELO LAGO BRANDÃO LIMA</t>
  </si>
  <si>
    <t>00A2984237</t>
  </si>
  <si>
    <t xml:space="preserve">TIAGO FERRARI DO NASCIMENTO </t>
  </si>
  <si>
    <t>00A1904981</t>
  </si>
  <si>
    <t>LUANA CHAVES DE ALMEIDA TURBINO</t>
  </si>
  <si>
    <t>00A1334468</t>
  </si>
  <si>
    <t>ESTRUTURAL CONCRETO ARMADO</t>
  </si>
  <si>
    <t>ANDRÉ FELIPE CARREIRO DA SILVA</t>
  </si>
  <si>
    <t>RNP: 1219925675</t>
  </si>
  <si>
    <t>LEONARDO CABERLIN ARAUJO</t>
  </si>
  <si>
    <t>CREA MT 42836</t>
  </si>
  <si>
    <t>MARCELO BARBOSA DE CASTRO CALZE</t>
  </si>
  <si>
    <t>RNP: 1218281421</t>
  </si>
  <si>
    <t>SERGIO RAFAEL PINHEIRO DE ANDRADE</t>
  </si>
  <si>
    <t>RNP: 0115554904</t>
  </si>
  <si>
    <t>ESTRUTURA METÁLICA</t>
  </si>
  <si>
    <t xml:space="preserve">INSTALAÇÕES HIDROSSANITÁRIAS E DRENAGEM </t>
  </si>
  <si>
    <t>MAGLA COSTA DELGADO</t>
  </si>
  <si>
    <t>CREA MT 18535</t>
  </si>
  <si>
    <t>GABRIEL COSTA MORESCO</t>
  </si>
  <si>
    <t>CREA MT 51665</t>
  </si>
  <si>
    <t>INSTALAÇÕES ELÉTRICAS</t>
  </si>
  <si>
    <t>JHONATAN DE OLIVEIRA SILVA</t>
  </si>
  <si>
    <t>RNP: 1717549179</t>
  </si>
  <si>
    <t>PREVENÇÃO E COMBATE A INCENDIO E PANICO</t>
  </si>
  <si>
    <t>HEVANIA PRISCILLA FERRAZ DA SILVA</t>
  </si>
  <si>
    <t>ARQUITETONICO</t>
  </si>
  <si>
    <t>YAN NICOLAS RAMOS OLIVEIRA</t>
  </si>
  <si>
    <t>RNP: 1219407011</t>
  </si>
  <si>
    <t>BANHEIRO DE APOIO ESPAÇO SHOWS</t>
  </si>
  <si>
    <t>BRUNO SANTOS GUIMARÃES</t>
  </si>
  <si>
    <t>00A2785960</t>
  </si>
  <si>
    <t>VITÓRIA BEATRIZ BARBOSA TAKIMOTO</t>
  </si>
  <si>
    <t>00A2834375</t>
  </si>
  <si>
    <t>FERNANDO PEREIRA DE MELO</t>
  </si>
  <si>
    <t>RNP: 1219300462</t>
  </si>
  <si>
    <t>BANHEIRO DE APOIO CENTRO DE EVENTOS</t>
  </si>
  <si>
    <t>INFRAESTRUTURA CONTEINERES</t>
  </si>
  <si>
    <t>NADHINY CRISTINA DE MORAES CAMPOS</t>
  </si>
  <si>
    <t>RNP: 1220446327</t>
  </si>
  <si>
    <t>Andréa de Campos Silva</t>
  </si>
  <si>
    <t>João Gabriel Dionísio Messias da Silva</t>
  </si>
  <si>
    <t>Juliana Gugelmin</t>
  </si>
  <si>
    <t>Milena Dhein Frank Arruda</t>
  </si>
  <si>
    <t>Analista de Projetos I - MTPAR</t>
  </si>
  <si>
    <t>Engenheira Civil - CREA MT 54735</t>
  </si>
  <si>
    <t>Arquiteto e Urbanista - CAU A140886-0</t>
  </si>
  <si>
    <t>Engenheira Civil - CREA MT 24377</t>
  </si>
  <si>
    <t>Engenheira Civil - CREA MT 35677</t>
  </si>
  <si>
    <t>DECLARAÇÃO ECONOMICIDADE</t>
  </si>
  <si>
    <t>p</t>
  </si>
  <si>
    <t>JUSTIFICATIVA TÉCNICA</t>
  </si>
  <si>
    <r>
      <rPr>
        <b/>
        <sz val="14"/>
        <color theme="1"/>
        <rFont val="Calibri"/>
        <family val="2"/>
      </rPr>
      <t xml:space="preserve">• Concepção Orçamentária
</t>
    </r>
    <r>
      <rPr>
        <sz val="14"/>
        <color theme="1"/>
        <rFont val="Calibri"/>
        <family val="2"/>
      </rPr>
      <t xml:space="preserve">          A metodologia aplicada para elaboração de planilha orçamentária foi baseada no disposto em Decreto Federal de nº7.983 de 8 de abril de 2013, onde consta a obrigatoriedade da utilização da SINAPI (Art. 3°).
          Para os serviços onde há insumos SINAPI, mas que não possuem composição deste sistema de referência para aquele período, foram elaboradas composições com base em sistemas de referência existentes permanecendo os custos SINAPI em sua composição unitária. Todas as composições nominadas como próprias possuem no campo observações qual a metodologia ou referência utilizada para montagem da composição. 
          Conforme indicado no §3º, do art. 31, da Lei nº 13.303/2016, a estimativa de custos deve ser baseada em parâmetros diversos, como tabelas de referência formalmente aprovada por órgãos ou entidades da administração pública federal, publicações técnicas especializadas, banco de dados, sistema específico do mercado e pesquisas de mercado, junto a potenciais fornecedores. Desse modo os referenciais de preços estão regulados no art. 112 da LDO 2010 no termo §2º onde nos casos em que o SINAPI e o SICRO não oferecerem custos unitários de insumos ou serviços, poderão ser adotados aqueles disponíveis em tabela de referência formalmente aprovada por órgão ou entidade da administração pública federal, incorporando-se às composições de custos dessas tabelas, sempre que possível, os custos de insumos constantes do SINAPI e do SICRO.
          A planilha orçamentária traz o documento nominado de mapa de cotações com os preços de mercado não definidos pelo SINAPI, no sentido de que as cotações dos insumos e/ou serviços fossem elaboradas de forma impessoal em pelo menos três fornecedores diferentes tendo como referência, o preço mediano para compor o custo unitário do serviço.
Nos casos de escassez de fornecedores ou de resistência ao envio de orçamento para setor público optou-se pelo menor preço ao invés da mediana para que em qualquer situação dentro desse cenário exista um orçamento e não uma estimativa. Tal justificativa é contemplada pelo texto:</t>
    </r>
  </si>
  <si>
    <t xml:space="preserve">        “Na falta do Insumo no Boletim de Referência pode-se utilizar preço de mercado, de fontes fidedignas e relevantes, desde que apresente três cotações do mercado local adotando preferencialmente a mediana dos valores cotados. Devendo ser demonstrada a documentação comprobatória pertinente aos levantamentos e estudos que fundamentaram o preço estimado. Caso não seja possível obter três cotações, deverá ser elaborada justificativa circunstanciada. (Acórdãos 1.266/2011-Plenário, 837/2008-Plenário e 3.219/2010-Plenário). ”</t>
  </si>
  <si>
    <r>
      <rPr>
        <b/>
        <sz val="15"/>
        <color theme="1"/>
        <rFont val="Calibri"/>
        <family val="2"/>
      </rPr>
      <t xml:space="preserve">• Composição de BDI
</t>
    </r>
    <r>
      <rPr>
        <sz val="14"/>
        <color theme="1"/>
        <rFont val="Calibri"/>
        <family val="2"/>
      </rPr>
      <t xml:space="preserve">
Com relação às composições de BDI, segue quadro comparativo das taxas utilizadas com o intuito de demonstrar que estas atendem ao disposto na Resolução Normativa nº 18/2017-TP do TCE/MT, a qual ORIENTA no item 7 – conclusão – subitem 1, a) que a taxa de BDI utilizada nos orçamentos base de obras públicas ao valor decorrente da utilização dos parâmetros médios indicados no acordão 2622/2013/TCU, que por sua vez ORIENTA no seu item 9.2.1 que nas análises do orçamento de obras públicas, quando a taxa de BDI estiver fora dos patamares estipulados no subitem 9.1 do acordão, proceda exame pormenorizado dos itens que compõem a taxa:
</t>
    </r>
  </si>
  <si>
    <t>VALORES DO BDI POR TIPO DE OBRA - 1º QUARTIL, MÉDIO E 3º QUARTIL</t>
  </si>
  <si>
    <t>TIPOS DE OBRA</t>
  </si>
  <si>
    <t>1º Quartil</t>
  </si>
  <si>
    <t>Médio</t>
  </si>
  <si>
    <t>3º Quartil</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</si>
  <si>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</si>
  <si>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</si>
  <si>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</si>
  <si>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</si>
  <si>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</si>
  <si>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BDI DIFERENCIADO PARA MATERIAIS E EQUIPAMENTOS</t>
  </si>
  <si>
    <t>Quadro 1. Parâmetros de referência do BDI por tipo de obra (fonte: Acordão 2.622/2013 – Plenário)</t>
  </si>
  <si>
    <t xml:space="preserve">          Em face às orientações em não extrapolar os limites estabelecidos nos orientativos supracitados - TCU e TCE/MT - Nota-se que foram utilizados os percentuais do 3º quartil. Insta salientar que o percentual de CPRB para a construção civil em 2013 era de 2,5% e atualmente a alíquota é de 4,5%, conforme art. 15º da LEI nº13.202/2015 (em vigência), o que contribui para a parcela de BDI ser superior a 25% quando esta é com desoneração.
          Ressaltamos que a indicativa de ISSQN é somente referente aos materiais, sendo assim, foi descontado o percentual para o cálculo dessa alíquota em conformidade com o que consta nas planilhas orçamentárias com SINAPI sem desoneração e com desoneração, devido a isso o valor difere para a composição dos BDI.  
          Em Observação aos apontamentos, o orçamento poderia ser contemplado ajustando a parcela do Risco (C) e Seguros e Garantias (S) na composição do BDI, porém ela já está no limite máximo estabelecido pelo Acórdão 2.622/2013 – TCU mesmo quando situado na faixa média ou de 3º quartil dos limites estabelecidos.
          Para a parcela DF (Despesas Financeiras), essa sim é de alguma forma, influenciadas pelo tipo da obra, em função dos percentuais de material e mão de obra, compreendem despesas financeiras como decorrentes da defasagem de datas entre a execução do serviço e o recebimento dos pagamentos correspondentes.
          A respeito da parcela de Administração Central (AC) trata-se de particularidades de cada empresa, visto que temos custos com estrutura física, esta já pré-existente e custos com estrutura humana. Mas a taxa foi considerável a situação de algumas unidades, em virtude, terem seus locais de execução distantes de centros urbanos ou potabilidade em manter atendimento integral in loco, onde pode impossibilitar a celeridade no processo de compras e contratação, onde pode ocorrer maior rotatividade de mão de obra, morosidade no ritmo de produção, assim como, consequentemente, aumento de consumo de insumos.
          A parcela do Lucro Operacional, com cenário atual de oscilações aplicadas nos insumos em mercado local assim como a utilização de materiais aplicados de fornecimento especializado e/ou exclusivo, principalmente, que implicam considerável em orçamento, adota-se o LO que atenda a empresa contratada no que se trata em recolhimento de alíquotas da contribuição do município onde situa a construção, influindo no valor total do objeto.
          Conclui-se então que para propor um preço compatível as oscilações do mercado estadual e os limites recomendados pelo TCU para o regime adotado, ressaltamos que concomitante, os preços da SINAPI acompanham o aumento observado no cenário e que a única parcela na qual pode-se alterar conforme os argumentos apresentados é o LO a qual, aumentamos também a dispersão em relação à média estudada pelo TCU.
</t>
  </si>
  <si>
    <t xml:space="preserve">1.0 </t>
  </si>
  <si>
    <t>VANTAJOSIDADE NA ESCOLHA DE LOTE ÚNICO</t>
  </si>
  <si>
    <t>                Considerando os aspectos técnicos, econômicos e operacionais apresentados, a divisão da obra em lotes não é recomendada por vários fatores, conforme demonstramos a seguir:</t>
  </si>
  <si>
    <r>
      <rPr>
        <b/>
        <sz val="13"/>
        <color rgb="FF000000"/>
        <rFont val="Calibri"/>
        <family val="2"/>
      </rPr>
      <t xml:space="preserve">1. Especialização Técnica: </t>
    </r>
    <r>
      <rPr>
        <sz val="13"/>
        <color rgb="FF000000"/>
        <rFont val="Calibri"/>
        <family val="2"/>
      </rPr>
      <t>A obra em questão requer a contratação de uma empresa com capacidade compatível a complexidade técnica, envolvendo conhecimento específico e experiência comprovada. Dividir a obra em lotes poderia resultar na contratação de empresas com diferentes níveis de especialização, comprometendo a entrega do complexo do objeto. Além do mais, pode ser prejudicial à competitividade, uma vez que tendo um só lote, inibe o conluio entre empresas para dividir os lotes. Pelo contrário, a possibilidade de obter maiores descontos no certame fica maior quando há a necessidade da empresa ofertar valores para garantir seu êxito no certame.</t>
    </r>
  </si>
  <si>
    <r>
      <rPr>
        <b/>
        <sz val="13"/>
        <color theme="1"/>
        <rFont val="Calibri"/>
        <family val="2"/>
      </rPr>
      <t xml:space="preserve">2. Integração e Compatibilidade: </t>
    </r>
    <r>
      <rPr>
        <sz val="13"/>
        <color theme="1"/>
        <rFont val="Calibri"/>
        <family val="2"/>
      </rPr>
      <t xml:space="preserve">A construção consubstanciar a uma empresa garante a compatibilidade entre todos os componentes licitados, assegurando a homogeneidade e a funcionalidade do sistema como um todo. Dividir a obra em lotes poderia gerar problemas de integração, uma vez que diferentes empresas poderiam utilizar materiais e tecnologias distintas, resultando em um sistema fragmentado e ineficiente. </t>
    </r>
  </si>
  <si>
    <r>
      <rPr>
        <b/>
        <sz val="13"/>
        <color rgb="FF000000"/>
        <rFont val="Calibri"/>
        <family val="2"/>
      </rPr>
      <t xml:space="preserve">3. Aumento de custos Administrativos: </t>
    </r>
    <r>
      <rPr>
        <sz val="13"/>
        <color rgb="FF000000"/>
        <rFont val="Calibri"/>
        <family val="2"/>
      </rPr>
      <t>A divisão da obra em lotes implicaria em um aumento significativo dos custos administrativos. A gestão de múltiplos contratos, a coordenação entre diferentes empresas e a fiscalização de várias frentes de trabalho demandariam maior esforço e recursos da administração pública. Além disso, a necessidade de harmonizar cronogramas e resolver possíveis conflitos entre as empresas contratadas poderia gerar atrasos e custos adicionais. Além do mais, os custos de administração local na composição dos preços por lotes seriam sobrepostos, ou seja, uma administração local para cada lote/empresa vencedora.</t>
    </r>
  </si>
  <si>
    <r>
      <rPr>
        <b/>
        <sz val="13"/>
        <color rgb="FF000000"/>
        <rFont val="Calibri"/>
        <family val="2"/>
      </rPr>
      <t xml:space="preserve">4. Canteiro de Obras: </t>
    </r>
    <r>
      <rPr>
        <sz val="13"/>
        <color rgb="FF000000"/>
        <rFont val="Calibri"/>
        <family val="2"/>
      </rPr>
      <t>A presença de múltiplas empresas no canteiro de obras aumentaria a complexidade logística e os custos operacionais. A necessidade de coordenar o uso de espaço, equipamentos e recursos humanos entre diferentes empresas poderia resultar em ineficiências e sobreposições de atividades. A contratação de uma única empresa permite uma gestão mais eficiente e organizada do canteiro de obras, otimizando o uso dos recursos disponíveis. Também teria a necessidade de se compor um canteiro de obras para cada empresa/lote executor da obra, o que é óbvio, seria maior que termos somente um canteiro implantado.</t>
    </r>
  </si>
  <si>
    <r>
      <rPr>
        <b/>
        <sz val="13"/>
        <color rgb="FF000000"/>
        <rFont val="Calibri"/>
        <family val="2"/>
      </rPr>
      <t xml:space="preserve">5. Garantia de Qualidade e Responsabilidade: </t>
    </r>
    <r>
      <rPr>
        <sz val="13"/>
        <color rgb="FF000000"/>
        <rFont val="Calibri"/>
        <family val="2"/>
      </rPr>
      <t>Ao contratar uma única empresa para a execução completa do complexo, a responsabilidade pela qualidade e pelo desempenho é centralizada. Isso facilita a fiscalização e a cobrança de conformidade com os padrões técnicos estabelecidos. Em caso de problemas ou falhas, a identificação e a resolução de responsabilidades são mais diretas e eficazes.</t>
    </r>
  </si>
  <si>
    <t>2.0</t>
  </si>
  <si>
    <t>JUSTIFICATIVA DE PERCENTUAL ESTABELECIDO PARA ISSQN</t>
  </si>
  <si>
    <t>                A justificativa de adoção do percentual de ISS, é regida pelo “CÓDIGO TRIBUTÁRIO DO MUNICÍPIO DE CUIABÁ - MT - Lei Complementar nº 105 de 23 de dezembro de 2003,  conforme ART. 244, para a base de cálculo do Imposto é o preço do serviço, sobre o qual aplicar-seão as alíquotas constantes das Tabelas de Alíquotas anexas ao Código. Onde no §6º - dispõe”: No caso específico de construção civil, como base de cálculo para a estimativa ou e como critério para arbitramento do imposto, poderão ser utilizados, com redução de 60% (sessenta por cento), os valores constantes nas Tabelas de Enquadramento das Construções, contidas na Planta de Valores Genéricos do Município, em vigor na data do pagamento do ISSQN.</t>
  </si>
  <si>
    <t>                Assim, fazendo o cálculo sobre o valor máximo de ISS que é 5%, temos: ISS - 5% (máximo)</t>
  </si>
  <si>
    <t>Redução 60% – 3% (5% x 60%)</t>
  </si>
  <si>
    <t>ISS CALCULADO – 5% - 3% = 2%</t>
  </si>
  <si>
    <t>3.0</t>
  </si>
  <si>
    <t>MAPA COMPARATIVO E ANÁLISE CRÍTICA DOS PREÇOS</t>
  </si>
  <si>
    <t>                A metodologia aplicada para elaboração da planilha orçamentária foi baseada no disposto no Decreto Federal de nº 7.983 de 8 de abril de 2013, onde consta a obrigatoriedade da utilização da SINAPI (Art. 3°).</t>
  </si>
  <si>
    <t xml:space="preserve">                Para os serviços onde há insumos SINAPI, mas que não possuem composição deste sistema de referência para aquele período, foram elaboradas composições com base em sistemas de referência existentes, permanecendo os custos SINAPI em sua composição unitária. Todas as composições nominadas como próprias possuem no campo observações qual a metodologia ou referência utilizada para montagem da composição. </t>
  </si>
  <si>
    <t xml:space="preserve">                Conforme indicado no §3º, do art. 31, da Lei nº 13.303/2016, a estimativa de custos deve ser baseada em parâmetros diversos, como tabelas de referência formalmente aprovada por órgãos ou entidades da administração pública federal, publicações técnicas especializadas, banco de dados, sistema específico do mercado e pesquisas de mercado, junto a potenciais fornecedores. Desse modo os referenciais de preços estão regulados no art. 112 da LDO 2010 no termo §2º onde nos casos em que o SINAPI e o SICRO não oferecerem custos unitários de insumos ou serviços, poderão ser adotados aqueles disponíveis em tabela de referência formalmente aprovada por órgão ou entidade da administração pública federal, incorporando-se às composições de custos dessas tabelas, sempre que possível, os custos de insumos constantes do SINAPI e do SICRO. </t>
  </si>
  <si>
    <t>                Assim sendo, para formação das composições próprias, não utilizamos a análise crítica e a análise de inexequibilidade dos preços. Mesmo que elas não sejam referências da SINAPI, são formadas por insumos e composições auxiliares preferencialmente SINAPI, ou por bancos de preço referenciados seguindo os coeficientes da composição referência.</t>
  </si>
  <si>
    <t>4.0</t>
  </si>
  <si>
    <t>CAPACIDADE TÉCNICA OPERACIONAL - OBRAS E SERVIÇOS</t>
  </si>
  <si>
    <t>                De acordo com a análise da Curva ABC, os serviços propostos para atestação ocupam uma posição de maior relevância na curva, indicando a necessidade de uma capacidade técnica mínima para sua execução. Portanto, é imprescindível garantir que haja competência técnica adequada para realizar esses serviços com eficiência e precisão.</t>
  </si>
  <si>
    <t>                A planilha ABC está em aba específica no orçamento, e dela extraiu-se os quantitativos para a atestação técnica. A metodologia foi agrupar serviços correlatos e extrair os quantitativos. Reafirmamos ainda que os percentuais exigidos estão abaixo do patamar de 50% e individualmente representam mais de 4% em relação ao valor total da contratação.</t>
  </si>
  <si>
    <t>TABELA 01 - CAPACIDADE TÉCNICA OPERACIONAL - OBRAS E SERVIÇOS</t>
  </si>
  <si>
    <t>LOTE</t>
  </si>
  <si>
    <t>SERVIÇOS A SEREM COMPROVADOS</t>
  </si>
  <si>
    <t>UND</t>
  </si>
  <si>
    <t>QTD EXIGIDA</t>
  </si>
  <si>
    <t>ÚNICO</t>
  </si>
  <si>
    <r>
      <rPr>
        <sz val="10"/>
        <color theme="1"/>
        <rFont val="Calibri"/>
        <family val="2"/>
      </rPr>
      <t>CONSTRUÇÃO CIVIL DE ESTRUTURA CONVENCIONAL, INCLUSOS:</t>
    </r>
    <r>
      <rPr>
        <sz val="10"/>
        <color theme="1"/>
        <rFont val="Calibri"/>
        <family val="2"/>
      </rPr>
      <t xml:space="preserve">
 - ESTRUTURA EM CONCRETO ARMADO;
 - ESTRUTURA METÁLICA ;
 - ALVENARIA;
 - PISOS E PORCELANATOS; 
 - INSTALAÇÕES HIDRÁULICAS, HIDROSSANITÁRIAS E DRENAGEM; 
 - INSTALAÇÕES ELÉTRICAS;
 - CABEAMENTO ESTRUTURADO; 
 - SPDA - SISTEMA PROTEÇÃO CONTRA DESCARGAS ATMOSFÉRICAS;
 - PREVENÇÃO E COMBATE INCENDIO E PANICO.</t>
    </r>
  </si>
  <si>
    <t>EXECUÇÃO DE PRAÇAS, JARDINS, PARQUES OU OUTRAS, INCLUINDO INSTALAÇÕES ELÉTRICAS, HIDROSSANITÁRIAS, REDE DE DRENAGEM E PAISAGISMO</t>
  </si>
  <si>
    <t>EXECUÇÃO DE PISO EM GRANITO</t>
  </si>
  <si>
    <t>EXECUÇÃO DE CONCRETAGEM DE RADIER, PISO DE CONCRETO OU LAJE SOBRE SOLO, FCK MÍNIMO DE 25 MPA E ESPESSURA A PARTIR DE 8 CM, ARMADO. LANÇAMENTO, ADENSAMENTO E ACABAMENTO.</t>
  </si>
  <si>
    <t>ESPECIFICAÇÃO</t>
  </si>
  <si>
    <t>UNID.</t>
  </si>
  <si>
    <t>QUANT.</t>
  </si>
  <si>
    <t xml:space="preserve">WAKE BAR </t>
  </si>
  <si>
    <t>BANHEIRO APOIO ESPAÇO SHOW</t>
  </si>
  <si>
    <t>BANHEIRO APOIO CENTRO DE EVENTOS</t>
  </si>
  <si>
    <t>TOTAL - M2</t>
  </si>
  <si>
    <t>TOTAL - 40%</t>
  </si>
  <si>
    <t>PESO (%)</t>
  </si>
  <si>
    <t>AS-CP-ARQ-01</t>
  </si>
  <si>
    <t>AS-CP-ARQ-03</t>
  </si>
  <si>
    <t>AS-CP-ARQ-04</t>
  </si>
  <si>
    <t>C.1.1.1</t>
  </si>
  <si>
    <t>PS-CP-EST-08</t>
  </si>
  <si>
    <r>
      <rPr>
        <i/>
        <sz val="10"/>
        <color rgb="FF000000"/>
        <rFont val="Calibri"/>
        <family val="2"/>
      </rPr>
      <t xml:space="preserve">PRAÇA SUNSET - PISO DE PASSEIO </t>
    </r>
    <r>
      <rPr>
        <sz val="10"/>
        <color rgb="FF000000"/>
        <rFont val="Calibri"/>
        <family val="2"/>
      </rPr>
      <t>- EXECUÇÃO DE PASSEIO (CALÇADA) OU PISO DE CONCRETO C25 MOLDADO IN LOCO, USINADO, ACABAMENTO CONVENCIONAL, ESPESSURA 8 CM, ARMADO.</t>
    </r>
  </si>
  <si>
    <t>C.1.10.1.1</t>
  </si>
  <si>
    <r>
      <rPr>
        <i/>
        <sz val="10"/>
        <color rgb="FF000000"/>
        <rFont val="Calibri"/>
        <family val="2"/>
      </rPr>
      <t>PRAÇA SUNSET - RAMPA - CALÇADA</t>
    </r>
    <r>
      <rPr>
        <sz val="10"/>
        <color rgb="FF000000"/>
        <rFont val="Calibri"/>
        <family val="2"/>
      </rPr>
      <t xml:space="preserve"> - EXECUÇÃO DE PASSEIO (CALÇADA) OU PISO DE CONCRETO C25 MOLDADO IN LOCO, USINADO, ACABAMENTO CONVENCIONAL, ESPESSURA 8 CM, ARMADO.</t>
    </r>
  </si>
  <si>
    <t>C.1.14.1.5</t>
  </si>
  <si>
    <r>
      <rPr>
        <i/>
        <sz val="10"/>
        <color rgb="FF000000"/>
        <rFont val="Calibri"/>
        <family val="2"/>
      </rPr>
      <t>PRAÇA SUNSET - ESCADA - CALÇADA</t>
    </r>
    <r>
      <rPr>
        <sz val="10"/>
        <color rgb="FF000000"/>
        <rFont val="Calibri"/>
        <family val="2"/>
      </rPr>
      <t xml:space="preserve"> - EXECUÇÃO DE PASSEIO (CALÇADA) OU PISO DE CONCRETO C25 MOLDADO IN LOCO, USINADO, ACABAMENTO CONVENCIONAL, ESPESSURA 8 CM, ARMADO.</t>
    </r>
  </si>
  <si>
    <t xml:space="preserve">                   A relevância da capacidade técnica executiva para a praça sunset ao piso em granito é evidente, considerando seu impacto significativo no objeto da licitação. Este elemento não apenas confere estética e durabilidade, mas também reflete a qualidade do projeto e a competência dos envolvidos na execução.</t>
  </si>
  <si>
    <t xml:space="preserve">            Imagem 1. Praça Sunset</t>
  </si>
  <si>
    <t>PLANILHA ORÇAMENTÁRIA RESUMIDA</t>
  </si>
  <si>
    <t>ITEM</t>
  </si>
  <si>
    <t>DESCRIÇÃO / ETAPA</t>
  </si>
  <si>
    <t>TOTAL</t>
  </si>
  <si>
    <t>VALOR (R$)</t>
  </si>
  <si>
    <t>(%)</t>
  </si>
  <si>
    <t>R$/M2</t>
  </si>
  <si>
    <t>A</t>
  </si>
  <si>
    <t>ADMINISTRAÇÃO DA OBRA E CANTEIRO DE OBRAS</t>
  </si>
  <si>
    <t>A.1</t>
  </si>
  <si>
    <t>A.2</t>
  </si>
  <si>
    <t>B</t>
  </si>
  <si>
    <t>B.1</t>
  </si>
  <si>
    <t>B.2</t>
  </si>
  <si>
    <t>B.3</t>
  </si>
  <si>
    <t>B.4</t>
  </si>
  <si>
    <t>B.5</t>
  </si>
  <si>
    <t>C</t>
  </si>
  <si>
    <t>C.1</t>
  </si>
  <si>
    <t>C.2</t>
  </si>
  <si>
    <t>C.3</t>
  </si>
  <si>
    <t>C.4</t>
  </si>
  <si>
    <t>D</t>
  </si>
  <si>
    <t>D.1</t>
  </si>
  <si>
    <t>D.2</t>
  </si>
  <si>
    <t>D.3</t>
  </si>
  <si>
    <t>D.4</t>
  </si>
  <si>
    <t>D.5</t>
  </si>
  <si>
    <t>E</t>
  </si>
  <si>
    <t xml:space="preserve">BANHEIRO DE APOIO ESPAÇO SHOW </t>
  </si>
  <si>
    <t>E.1</t>
  </si>
  <si>
    <t>E.2</t>
  </si>
  <si>
    <t>E.3</t>
  </si>
  <si>
    <t>E.4</t>
  </si>
  <si>
    <t>E.5</t>
  </si>
  <si>
    <t>F</t>
  </si>
  <si>
    <t>F.1</t>
  </si>
  <si>
    <t>F.2</t>
  </si>
  <si>
    <t>F.3</t>
  </si>
  <si>
    <t>F.4</t>
  </si>
  <si>
    <t>F.5</t>
  </si>
  <si>
    <t>G</t>
  </si>
  <si>
    <t>INFRA CONTÊINERES</t>
  </si>
  <si>
    <t>G.1</t>
  </si>
  <si>
    <t>G.2</t>
  </si>
  <si>
    <t>G.3</t>
  </si>
  <si>
    <t>G.4</t>
  </si>
  <si>
    <t>G.5</t>
  </si>
  <si>
    <t>G.6</t>
  </si>
  <si>
    <t>G.7</t>
  </si>
  <si>
    <t>IMPORTA O PRESENTE ORÇAMENTO O VALOR DE:</t>
  </si>
  <si>
    <t>OBRA:</t>
  </si>
  <si>
    <t>COMPLEXO SUNSET DO PARQUE NOVO MATO GROSSO</t>
  </si>
  <si>
    <t>BDI EDIF.:</t>
  </si>
  <si>
    <t xml:space="preserve">VALOR TOTAL COM BDI </t>
  </si>
  <si>
    <t xml:space="preserve">ENDEREÇO: </t>
  </si>
  <si>
    <t>MT 251, KM 11, S/N, ÁREA RURAL - PARQUE NOVO MATO GROSSO, CEP 78099-899</t>
  </si>
  <si>
    <t>BDI DIF.:</t>
  </si>
  <si>
    <t xml:space="preserve">VALOR TOTAL SEM BDI </t>
  </si>
  <si>
    <t>MUNICÍPIO:</t>
  </si>
  <si>
    <t>CUIABÁ - MT</t>
  </si>
  <si>
    <t>DATA:</t>
  </si>
  <si>
    <t xml:space="preserve">DATA BASE: </t>
  </si>
  <si>
    <t>AGOSTO/2024</t>
  </si>
  <si>
    <t>OBJETO:</t>
  </si>
  <si>
    <t>PRAZO:</t>
  </si>
  <si>
    <t>10 MESES</t>
  </si>
  <si>
    <t>REGIME ADOTADO</t>
  </si>
  <si>
    <t>NÃO DESONERADO</t>
  </si>
  <si>
    <t xml:space="preserve"> → (A) ADMINISTRAÇÃO DA OBRA E CANTEIRO DE OBRAS</t>
  </si>
  <si>
    <t>A.1.1</t>
  </si>
  <si>
    <t>A.1.2</t>
  </si>
  <si>
    <t>A.1.3</t>
  </si>
  <si>
    <t>A.1.4</t>
  </si>
  <si>
    <t>A.1.5</t>
  </si>
  <si>
    <t>A.1.6</t>
  </si>
  <si>
    <t>A.1.7</t>
  </si>
  <si>
    <t>A.1.8</t>
  </si>
  <si>
    <t>A.1.9</t>
  </si>
  <si>
    <t>A.1.10</t>
  </si>
  <si>
    <t>A.1.11</t>
  </si>
  <si>
    <t>A.1.12</t>
  </si>
  <si>
    <t>A.2.1</t>
  </si>
  <si>
    <t>A.2.1.1</t>
  </si>
  <si>
    <t>A.2.1.2</t>
  </si>
  <si>
    <t>A.2.1.3</t>
  </si>
  <si>
    <t>A.2.1.4</t>
  </si>
  <si>
    <t>A.2.2</t>
  </si>
  <si>
    <t>A.2.2.1</t>
  </si>
  <si>
    <t>A.2.2.2</t>
  </si>
  <si>
    <t>A.2.2.3</t>
  </si>
  <si>
    <t>A.2.2.4</t>
  </si>
  <si>
    <t>A.2.2.5</t>
  </si>
  <si>
    <t>A.2.3</t>
  </si>
  <si>
    <t>A.2.3.1</t>
  </si>
  <si>
    <t>A.2.3.2</t>
  </si>
  <si>
    <t>A.2.3.3</t>
  </si>
  <si>
    <t>A.2.4</t>
  </si>
  <si>
    <t>A.2.4.1</t>
  </si>
  <si>
    <t>A.2.4.2</t>
  </si>
  <si>
    <t>A.2.4.3</t>
  </si>
  <si>
    <t>A.2.4.4</t>
  </si>
  <si>
    <t>A.2.4.5</t>
  </si>
  <si>
    <t>A.2.4.6</t>
  </si>
  <si>
    <t>A.2.4.7</t>
  </si>
  <si>
    <t>A.2.4.8</t>
  </si>
  <si>
    <t>A.2.4.9</t>
  </si>
  <si>
    <t>A.2.5</t>
  </si>
  <si>
    <t>A.2.5.1</t>
  </si>
  <si>
    <t>A.2.5.2</t>
  </si>
  <si>
    <t>A.2.5.3</t>
  </si>
  <si>
    <t>A.2.5.4</t>
  </si>
  <si>
    <t>A.2.5.5</t>
  </si>
  <si>
    <t>A.2.5.6</t>
  </si>
  <si>
    <t>A.2.6</t>
  </si>
  <si>
    <t>A.2.6.1</t>
  </si>
  <si>
    <t>A.2.6.2</t>
  </si>
  <si>
    <t xml:space="preserve"> → (B) WAKE BAR</t>
  </si>
  <si>
    <t>B.1.1</t>
  </si>
  <si>
    <t>B.1.1.1</t>
  </si>
  <si>
    <t>B.1.1.2</t>
  </si>
  <si>
    <t>B.1.1.3</t>
  </si>
  <si>
    <t>B.1.1.4</t>
  </si>
  <si>
    <t>B.1.1.5</t>
  </si>
  <si>
    <t>B.1.1.6</t>
  </si>
  <si>
    <t>B.1.1.7</t>
  </si>
  <si>
    <t>B.1.1.8</t>
  </si>
  <si>
    <t>B.1.1.9</t>
  </si>
  <si>
    <t>B.1.1.10</t>
  </si>
  <si>
    <t>B.1.1.11</t>
  </si>
  <si>
    <t>B.1.1.12</t>
  </si>
  <si>
    <t>B.1.1.13</t>
  </si>
  <si>
    <t>B.1.2</t>
  </si>
  <si>
    <t>B.1.2.1</t>
  </si>
  <si>
    <t>B.1.2.2</t>
  </si>
  <si>
    <t>B.1.2.3</t>
  </si>
  <si>
    <t>B.1.2.4</t>
  </si>
  <si>
    <t>B.1.2.5</t>
  </si>
  <si>
    <t>B.1.3</t>
  </si>
  <si>
    <t>B.1.3.1</t>
  </si>
  <si>
    <t>B.1.3.2</t>
  </si>
  <si>
    <t>B.1.3.3</t>
  </si>
  <si>
    <t>B.1.3.4</t>
  </si>
  <si>
    <t>B.1.3.5</t>
  </si>
  <si>
    <t>B.1.3.6</t>
  </si>
  <si>
    <t>B.1.4</t>
  </si>
  <si>
    <t>B.1.4.1</t>
  </si>
  <si>
    <t>B.1.4.2</t>
  </si>
  <si>
    <t>B.1.4.3</t>
  </si>
  <si>
    <t>B.1.4.4</t>
  </si>
  <si>
    <t>B.1.4.5</t>
  </si>
  <si>
    <t>B.1.4.6</t>
  </si>
  <si>
    <t>B.1.4.7</t>
  </si>
  <si>
    <t>B.1.4.8</t>
  </si>
  <si>
    <t>B.1.4.9</t>
  </si>
  <si>
    <t>B.1.4.10</t>
  </si>
  <si>
    <t>B.1.4.11</t>
  </si>
  <si>
    <t>B.1.4.12</t>
  </si>
  <si>
    <t>B.1.4.13</t>
  </si>
  <si>
    <t>B.1.5</t>
  </si>
  <si>
    <t>B.1.5.1</t>
  </si>
  <si>
    <t>B.1.5.2</t>
  </si>
  <si>
    <t>B.1.5.3</t>
  </si>
  <si>
    <t>B.1.5.4</t>
  </si>
  <si>
    <t>B.1.6</t>
  </si>
  <si>
    <t>B.1.6.1</t>
  </si>
  <si>
    <t>B.1.6.2</t>
  </si>
  <si>
    <t>B.1.6.3</t>
  </si>
  <si>
    <t>B.1.6.4</t>
  </si>
  <si>
    <t>B.1.6.5</t>
  </si>
  <si>
    <t>B.1.6.6</t>
  </si>
  <si>
    <t>B.1.6.7</t>
  </si>
  <si>
    <t>B.1.7</t>
  </si>
  <si>
    <t>B.1.7.1</t>
  </si>
  <si>
    <t>B.1.7.2</t>
  </si>
  <si>
    <t>B.1.8</t>
  </si>
  <si>
    <t>B.1.8.1</t>
  </si>
  <si>
    <t>B.1.8.2</t>
  </si>
  <si>
    <t>B.1.8.3</t>
  </si>
  <si>
    <t>B.1.8.4</t>
  </si>
  <si>
    <t>B.1.9</t>
  </si>
  <si>
    <t>B.1.9.1</t>
  </si>
  <si>
    <t>B.1.9.2</t>
  </si>
  <si>
    <t>B.1.9.3</t>
  </si>
  <si>
    <t>B.1.9.4</t>
  </si>
  <si>
    <t>B.1.10</t>
  </si>
  <si>
    <t>B.1.10.1</t>
  </si>
  <si>
    <t>B.1.10.2</t>
  </si>
  <si>
    <t>B.1.10.3</t>
  </si>
  <si>
    <t>B.1.10.4</t>
  </si>
  <si>
    <t>B.1.11</t>
  </si>
  <si>
    <t>B.1.11.1</t>
  </si>
  <si>
    <t>B.1.11.2</t>
  </si>
  <si>
    <t>B.1.11.3</t>
  </si>
  <si>
    <t>B.1.11.4</t>
  </si>
  <si>
    <t>B.1.11.5</t>
  </si>
  <si>
    <t>B.1.11.6</t>
  </si>
  <si>
    <t>B.1.11.7</t>
  </si>
  <si>
    <t>B.1.11.8</t>
  </si>
  <si>
    <t>B.1.11.9</t>
  </si>
  <si>
    <t>B.1.12</t>
  </si>
  <si>
    <t>B.1.12.1</t>
  </si>
  <si>
    <t>B.1.12.2</t>
  </si>
  <si>
    <t>B.1.12.3</t>
  </si>
  <si>
    <t>B.1.12.4</t>
  </si>
  <si>
    <t>B.1.13</t>
  </si>
  <si>
    <t>B.1.13.1</t>
  </si>
  <si>
    <t>B.1.13.2</t>
  </si>
  <si>
    <t>B.1.13.3</t>
  </si>
  <si>
    <t>B.1.13.4</t>
  </si>
  <si>
    <t>B.1.14</t>
  </si>
  <si>
    <t>B.1.14.1</t>
  </si>
  <si>
    <t>B.2.1</t>
  </si>
  <si>
    <t>B.2.1.1</t>
  </si>
  <si>
    <t>B.2.1.2</t>
  </si>
  <si>
    <t>B.2.1.3</t>
  </si>
  <si>
    <t>B.2.1.4</t>
  </si>
  <si>
    <t>B.2.1.5</t>
  </si>
  <si>
    <t>B.2.1.6</t>
  </si>
  <si>
    <t>B.2.1.7</t>
  </si>
  <si>
    <t>B.2.1.8</t>
  </si>
  <si>
    <t>B.2.1.9</t>
  </si>
  <si>
    <t>B.2.2</t>
  </si>
  <si>
    <t>B.2.2.1</t>
  </si>
  <si>
    <t>B.2.2.2</t>
  </si>
  <si>
    <t>B.2.2.3</t>
  </si>
  <si>
    <t>B.2.3</t>
  </si>
  <si>
    <t>B.2.3.1</t>
  </si>
  <si>
    <t>B.2.3.2</t>
  </si>
  <si>
    <t>B.2.3.3</t>
  </si>
  <si>
    <t>B.2.3.4</t>
  </si>
  <si>
    <t>B.2.3.5</t>
  </si>
  <si>
    <t>B.2.3.6</t>
  </si>
  <si>
    <t>B.2.3.7</t>
  </si>
  <si>
    <t>B.2.3.8</t>
  </si>
  <si>
    <t>B.2.3.9</t>
  </si>
  <si>
    <t>B.2.3.10</t>
  </si>
  <si>
    <t>B.2.4</t>
  </si>
  <si>
    <t>B.2.4.1</t>
  </si>
  <si>
    <t>B.2.4.2</t>
  </si>
  <si>
    <t>B.2.4.3</t>
  </si>
  <si>
    <t>B.2.4.4</t>
  </si>
  <si>
    <t>B.2.4.5</t>
  </si>
  <si>
    <t>B.2.4.6</t>
  </si>
  <si>
    <t>B.2.4.7</t>
  </si>
  <si>
    <t>B.2.4.8</t>
  </si>
  <si>
    <t>B.2.4.9</t>
  </si>
  <si>
    <t>B.2.5</t>
  </si>
  <si>
    <t>B.2.5.1</t>
  </si>
  <si>
    <t>B.2.5.2</t>
  </si>
  <si>
    <t>B.2.5.3</t>
  </si>
  <si>
    <t>B.2.5.4</t>
  </si>
  <si>
    <t>B.2.5.5</t>
  </si>
  <si>
    <t>B.2.5.6</t>
  </si>
  <si>
    <t>B.2.5.7</t>
  </si>
  <si>
    <t>B.2.5.8</t>
  </si>
  <si>
    <t>B.2.5.9</t>
  </si>
  <si>
    <t>B.2.6</t>
  </si>
  <si>
    <t>B.2.6.1</t>
  </si>
  <si>
    <t>B.2.6.2</t>
  </si>
  <si>
    <t>B.2.6.3</t>
  </si>
  <si>
    <t>B.2.6.4</t>
  </si>
  <si>
    <t>B.2.6.5</t>
  </si>
  <si>
    <t>B.2.6.6</t>
  </si>
  <si>
    <t>B.2.6.7</t>
  </si>
  <si>
    <t>B.2.6.8</t>
  </si>
  <si>
    <t>B.2.6.9</t>
  </si>
  <si>
    <t>B.2.6.10</t>
  </si>
  <si>
    <t>B.2.6.11</t>
  </si>
  <si>
    <t>B.2.6.12</t>
  </si>
  <si>
    <t>B.2.6.13</t>
  </si>
  <si>
    <t>B.2.6.14</t>
  </si>
  <si>
    <t>B.2.7</t>
  </si>
  <si>
    <t>B.2.7.1</t>
  </si>
  <si>
    <t>B.2.7.2</t>
  </si>
  <si>
    <t>B.2.7.3</t>
  </si>
  <si>
    <t>B.2.7.4</t>
  </si>
  <si>
    <t>B.2.7.5</t>
  </si>
  <si>
    <t>B.2.7.6</t>
  </si>
  <si>
    <t>B.2.7.7</t>
  </si>
  <si>
    <t>B.2.7.8</t>
  </si>
  <si>
    <t>B.2.7.9</t>
  </si>
  <si>
    <t>B.2.7.10</t>
  </si>
  <si>
    <t>B.2.7.11</t>
  </si>
  <si>
    <t>B.2.7.12</t>
  </si>
  <si>
    <t>B.2.8</t>
  </si>
  <si>
    <t>B.2.8.1</t>
  </si>
  <si>
    <t>B.2.8.2</t>
  </si>
  <si>
    <t>B.2.8.3</t>
  </si>
  <si>
    <t>B.2.8.4</t>
  </si>
  <si>
    <t>B.2.8.5</t>
  </si>
  <si>
    <t>B.2.8.6</t>
  </si>
  <si>
    <t>B.2.8.7</t>
  </si>
  <si>
    <t>B.2.8.8</t>
  </si>
  <si>
    <t>B.2.8.9</t>
  </si>
  <si>
    <t>B.2.8.10</t>
  </si>
  <si>
    <t>B.2.8.11</t>
  </si>
  <si>
    <t>B.2.8.12</t>
  </si>
  <si>
    <t>B.2.8.13</t>
  </si>
  <si>
    <t>B.2.8.14</t>
  </si>
  <si>
    <t>B.2.8.15</t>
  </si>
  <si>
    <t>B.2.8.16</t>
  </si>
  <si>
    <t>B.2.8.17</t>
  </si>
  <si>
    <t>B.2.8.18</t>
  </si>
  <si>
    <t>B.2.8.19</t>
  </si>
  <si>
    <t>B.2.8.20</t>
  </si>
  <si>
    <t>B.2.8.21</t>
  </si>
  <si>
    <t>B.2.8.22</t>
  </si>
  <si>
    <t>B.2.8.23</t>
  </si>
  <si>
    <t>B.2.8.24</t>
  </si>
  <si>
    <t>B.2.8.25</t>
  </si>
  <si>
    <t>B.2.8.26</t>
  </si>
  <si>
    <t>B.2.8.27</t>
  </si>
  <si>
    <t>B.2.8.28</t>
  </si>
  <si>
    <t>B.2.8.29</t>
  </si>
  <si>
    <t>B.2.8.30</t>
  </si>
  <si>
    <t>B.2.8.31</t>
  </si>
  <si>
    <t>B.2.8.32</t>
  </si>
  <si>
    <t>B.2.8.33</t>
  </si>
  <si>
    <t>B.2.8.34</t>
  </si>
  <si>
    <t>B.2.8.35</t>
  </si>
  <si>
    <t>B.2.9</t>
  </si>
  <si>
    <t>B.2.9.1</t>
  </si>
  <si>
    <t>B.2.9.2</t>
  </si>
  <si>
    <t>B.2.9.3</t>
  </si>
  <si>
    <t>B.2.9.4</t>
  </si>
  <si>
    <t>B.2.9.5</t>
  </si>
  <si>
    <t>B.2.9.6</t>
  </si>
  <si>
    <t>B.3.1</t>
  </si>
  <si>
    <t>B.3.1.1</t>
  </si>
  <si>
    <t>B.3.1.2</t>
  </si>
  <si>
    <t>B.3.1.3</t>
  </si>
  <si>
    <t>B.3.1.4</t>
  </si>
  <si>
    <t>B.3.1.5</t>
  </si>
  <si>
    <t>B.3.1.6</t>
  </si>
  <si>
    <t>B.3.1.7</t>
  </si>
  <si>
    <t>B.3.1.8</t>
  </si>
  <si>
    <t>B.3.1.9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</si>
  <si>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</si>
  <si>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</si>
  <si>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</si>
  <si>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</si>
  <si>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</si>
  <si>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</si>
  <si>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</si>
  <si>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</si>
  <si>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</si>
  <si>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</si>
  <si>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</si>
  <si>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</si>
  <si>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</si>
  <si>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</si>
  <si>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</si>
  <si>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</si>
  <si>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</si>
  <si>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</si>
  <si>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</si>
  <si>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</si>
  <si>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</si>
  <si>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</si>
  <si>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</si>
  <si>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</si>
  <si>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</si>
  <si>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B.3.2</t>
  </si>
  <si>
    <t>B.3.2.1</t>
  </si>
  <si>
    <t>B.3.2.2</t>
  </si>
  <si>
    <t>B.3.2.3</t>
  </si>
  <si>
    <t>B.3.2.4</t>
  </si>
  <si>
    <t>B.3.2.5</t>
  </si>
  <si>
    <t>B.3.2.6</t>
  </si>
  <si>
    <t>B.3.2.7</t>
  </si>
  <si>
    <t>B.3.2.8</t>
  </si>
  <si>
    <t>B.3.2.9</t>
  </si>
  <si>
    <t>B.3.2.10</t>
  </si>
  <si>
    <t>B.3.2.11</t>
  </si>
  <si>
    <t>B.3.2.12</t>
  </si>
  <si>
    <t>B.3.2.13</t>
  </si>
  <si>
    <t>B.3.2.14</t>
  </si>
  <si>
    <t>B.3.2.15</t>
  </si>
  <si>
    <t>B.3.2.16</t>
  </si>
  <si>
    <t>B.3.2.17</t>
  </si>
  <si>
    <t>B.3.2.18</t>
  </si>
  <si>
    <t>B.3.2.19</t>
  </si>
  <si>
    <t>B.3.2.20</t>
  </si>
  <si>
    <t>B.3.2.21</t>
  </si>
  <si>
    <t>B.3.2.22</t>
  </si>
  <si>
    <t>B.3.2.23</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</si>
  <si>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</si>
  <si>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</si>
  <si>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</si>
  <si>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</si>
  <si>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</si>
  <si>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</si>
  <si>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</si>
  <si>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</si>
  <si>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</si>
  <si>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</si>
  <si>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</si>
  <si>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</si>
  <si>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</si>
  <si>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</si>
  <si>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</si>
  <si>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</si>
  <si>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</si>
  <si>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</si>
  <si>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</si>
  <si>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</si>
  <si>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</si>
  <si>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B.3.3</t>
  </si>
  <si>
    <t>B.3.3.1</t>
  </si>
  <si>
    <t>B.3.3.2</t>
  </si>
  <si>
    <t>B.3.3.3</t>
  </si>
  <si>
    <t>B.3.3.4</t>
  </si>
  <si>
    <t>B.3.3.5</t>
  </si>
  <si>
    <t>B.3.3.6</t>
  </si>
  <si>
    <t>B.3.3.7</t>
  </si>
  <si>
    <t>B.3.3.8</t>
  </si>
  <si>
    <t>B.3.3.9</t>
  </si>
  <si>
    <t>B.3.3.10</t>
  </si>
  <si>
    <t>B.3.3.11</t>
  </si>
  <si>
    <t>B.3.3.12</t>
  </si>
  <si>
    <t>B.3.3.13</t>
  </si>
  <si>
    <t>B.3.3.14</t>
  </si>
  <si>
    <t>B.3.3.15</t>
  </si>
  <si>
    <t>B.3.3.16</t>
  </si>
  <si>
    <t>B.3.3.17</t>
  </si>
  <si>
    <t>B.3.3.18</t>
  </si>
  <si>
    <t>B.3.3.19</t>
  </si>
  <si>
    <t>B.4.1</t>
  </si>
  <si>
    <t>B.4.1.1</t>
  </si>
  <si>
    <t>B.4.1.2</t>
  </si>
  <si>
    <t>B.4.1.3</t>
  </si>
  <si>
    <t>B.4.1.4</t>
  </si>
  <si>
    <t>B.4.1.5</t>
  </si>
  <si>
    <t>B.4.1.6</t>
  </si>
  <si>
    <t>B.4.1.7</t>
  </si>
  <si>
    <t>B.4.1.8</t>
  </si>
  <si>
    <t>B.4.1.9</t>
  </si>
  <si>
    <t>B.4.1.10</t>
  </si>
  <si>
    <t>B.4.1.11</t>
  </si>
  <si>
    <t>B.4.1.12</t>
  </si>
  <si>
    <t>B.4.1.13</t>
  </si>
  <si>
    <t>B.4.1.14</t>
  </si>
  <si>
    <t>B.4.1.15</t>
  </si>
  <si>
    <t>B.4.1.16</t>
  </si>
  <si>
    <t>B.4.1.17</t>
  </si>
  <si>
    <t>B.4.1.18</t>
  </si>
  <si>
    <t>B.4.2</t>
  </si>
  <si>
    <t>B.4.2.1</t>
  </si>
  <si>
    <t>B.4.2.2</t>
  </si>
  <si>
    <t>B.4.2.3</t>
  </si>
  <si>
    <t>B.4.2.4</t>
  </si>
  <si>
    <t>B.4.2.5</t>
  </si>
  <si>
    <t>B.4.2.6</t>
  </si>
  <si>
    <t>B.4.2.7</t>
  </si>
  <si>
    <t>B.4.2.8</t>
  </si>
  <si>
    <t>B.4.2.9</t>
  </si>
  <si>
    <t>B.4.2.10</t>
  </si>
  <si>
    <t>B.4.3</t>
  </si>
  <si>
    <t>B.4.3.1</t>
  </si>
  <si>
    <t>B.4.3.2</t>
  </si>
  <si>
    <t>B.4.3.3</t>
  </si>
  <si>
    <t>B.4.3.4</t>
  </si>
  <si>
    <t>B.4.3.5</t>
  </si>
  <si>
    <t>B.4.3.6</t>
  </si>
  <si>
    <t>B.4.3.7</t>
  </si>
  <si>
    <t>B.4.4</t>
  </si>
  <si>
    <t>B.4.4.1</t>
  </si>
  <si>
    <t>B.4.4.2</t>
  </si>
  <si>
    <t>B.4.4.3</t>
  </si>
  <si>
    <t>B.4.4.4</t>
  </si>
  <si>
    <t>B.4.4.5</t>
  </si>
  <si>
    <t>B.4.4.6</t>
  </si>
  <si>
    <t>B.4.4.7</t>
  </si>
  <si>
    <t>B.4.4.8</t>
  </si>
  <si>
    <t>B.4.4.9</t>
  </si>
  <si>
    <t>B.4.4.10</t>
  </si>
  <si>
    <t>B.4.4.11</t>
  </si>
  <si>
    <t>B.4.4.12</t>
  </si>
  <si>
    <t>B.4.4.13</t>
  </si>
  <si>
    <t>B.4.5</t>
  </si>
  <si>
    <t>B.4.5.1</t>
  </si>
  <si>
    <t>B.4.5.2</t>
  </si>
  <si>
    <t>B.4.5.3</t>
  </si>
  <si>
    <t>B.4.5.4</t>
  </si>
  <si>
    <t>B.4.6</t>
  </si>
  <si>
    <t>B.4.6.1</t>
  </si>
  <si>
    <t>B.4.6.2</t>
  </si>
  <si>
    <t>B.4.6.3</t>
  </si>
  <si>
    <t>B.4.6.4</t>
  </si>
  <si>
    <t>B.4.6.5</t>
  </si>
  <si>
    <t>B.4.6.6</t>
  </si>
  <si>
    <t>B.4.6.7</t>
  </si>
  <si>
    <t>B.4.6.8</t>
  </si>
  <si>
    <t>B.4.6.9</t>
  </si>
  <si>
    <t>B.4.6.10</t>
  </si>
  <si>
    <t>B.4.6.11</t>
  </si>
  <si>
    <t>B.4.6.12</t>
  </si>
  <si>
    <t>B.4.6.13</t>
  </si>
  <si>
    <t>B.4.6.14</t>
  </si>
  <si>
    <t>B.4.7</t>
  </si>
  <si>
    <t>B.4.7.1</t>
  </si>
  <si>
    <t>B.4.7.2</t>
  </si>
  <si>
    <t>B.4.7.3</t>
  </si>
  <si>
    <t>B.4.7.4</t>
  </si>
  <si>
    <t>B.4.7.5</t>
  </si>
  <si>
    <t>B.4.7.6</t>
  </si>
  <si>
    <t>B.4.7.7</t>
  </si>
  <si>
    <t>B.4.7.8</t>
  </si>
  <si>
    <t>B.4.7.9</t>
  </si>
  <si>
    <t>B.4.7.10</t>
  </si>
  <si>
    <t>B.4.7.11</t>
  </si>
  <si>
    <t>B.4.7.12</t>
  </si>
  <si>
    <t>B.4.7.13</t>
  </si>
  <si>
    <t>B.4.7.14</t>
  </si>
  <si>
    <t>B.4.7.15</t>
  </si>
  <si>
    <t>B.4.7.16</t>
  </si>
  <si>
    <t>B.4.7.17</t>
  </si>
  <si>
    <t>B.4.7.18</t>
  </si>
  <si>
    <t>B.4.8</t>
  </si>
  <si>
    <t>B.4.8.1</t>
  </si>
  <si>
    <t>B.4.8.2</t>
  </si>
  <si>
    <t>B.4.8.3</t>
  </si>
  <si>
    <t>B.4.8.4</t>
  </si>
  <si>
    <t>B.4.8.5</t>
  </si>
  <si>
    <t>B.4.8.6</t>
  </si>
  <si>
    <t>B.4.8.7</t>
  </si>
  <si>
    <t>B.4.8.8</t>
  </si>
  <si>
    <t>B.4.8.9</t>
  </si>
  <si>
    <t>B.4.8.10</t>
  </si>
  <si>
    <t>B.4.8.11</t>
  </si>
  <si>
    <t>B.4.8.12</t>
  </si>
  <si>
    <t>B.4.8.13</t>
  </si>
  <si>
    <t>B.4.8.14</t>
  </si>
  <si>
    <t>B.4.8.15</t>
  </si>
  <si>
    <t>B.4.8.16</t>
  </si>
  <si>
    <t>B.4.8.17</t>
  </si>
  <si>
    <t>B.4.8.18</t>
  </si>
  <si>
    <t>B.4.8.19</t>
  </si>
  <si>
    <t>B.4.8.20</t>
  </si>
  <si>
    <t>B.4.8.21</t>
  </si>
  <si>
    <t>B.4.8.22</t>
  </si>
  <si>
    <t>B.5.1</t>
  </si>
  <si>
    <t>B.5.2</t>
  </si>
  <si>
    <t>B.5.3</t>
  </si>
  <si>
    <t xml:space="preserve"> → (C) PRAÇA SUNSET</t>
  </si>
  <si>
    <t>C.1.1</t>
  </si>
  <si>
    <t>C.1.1.2</t>
  </si>
  <si>
    <t>C.1.1.3</t>
  </si>
  <si>
    <t>C.1.1.4</t>
  </si>
  <si>
    <t>C.1.1.5</t>
  </si>
  <si>
    <t>C.1.1.6</t>
  </si>
  <si>
    <t>C.1.1.7</t>
  </si>
  <si>
    <t>C.1.1.8</t>
  </si>
  <si>
    <t>C.1.2</t>
  </si>
  <si>
    <t>C.1.2.1</t>
  </si>
  <si>
    <t>C.1.2.2</t>
  </si>
  <si>
    <t>C.1.2.3</t>
  </si>
  <si>
    <t>C.1.2.4</t>
  </si>
  <si>
    <t>C.1.2.5</t>
  </si>
  <si>
    <t>C.1.2.6</t>
  </si>
  <si>
    <t>C.1.3</t>
  </si>
  <si>
    <t>C.1.3.1</t>
  </si>
  <si>
    <t>C.1.3.2</t>
  </si>
  <si>
    <t>C.1.3.3</t>
  </si>
  <si>
    <t>C.1.3.4</t>
  </si>
  <si>
    <t>C.1.4</t>
  </si>
  <si>
    <t>C.1.4.1</t>
  </si>
  <si>
    <t>C.1.4.2</t>
  </si>
  <si>
    <t>C.1.4.3</t>
  </si>
  <si>
    <t>C.1.4.4</t>
  </si>
  <si>
    <t>C.1.5</t>
  </si>
  <si>
    <t>C.1.5.1</t>
  </si>
  <si>
    <t>C.1.5.2</t>
  </si>
  <si>
    <t>C.1.5.3</t>
  </si>
  <si>
    <t>C.1.5.4</t>
  </si>
  <si>
    <t>C.1.6</t>
  </si>
  <si>
    <t>C.1.6.1</t>
  </si>
  <si>
    <t>C.1.6.2</t>
  </si>
  <si>
    <t>C.1.6.3</t>
  </si>
  <si>
    <t>C.1.6.4</t>
  </si>
  <si>
    <t>C.1.7</t>
  </si>
  <si>
    <t>C.1.7.1</t>
  </si>
  <si>
    <t>C.1.7.2</t>
  </si>
  <si>
    <t>C.1.7.3</t>
  </si>
  <si>
    <t>C.1.7.4</t>
  </si>
  <si>
    <t>C.1.8</t>
  </si>
  <si>
    <t>C.1.8.1</t>
  </si>
  <si>
    <t>C.1.8.1.1</t>
  </si>
  <si>
    <t>C.1.8.1.2</t>
  </si>
  <si>
    <t>C.1.8.1.3</t>
  </si>
  <si>
    <t>C.1.8.1.4</t>
  </si>
  <si>
    <t>C.1.8.1.5</t>
  </si>
  <si>
    <t>C.1.8.1.6</t>
  </si>
  <si>
    <t>C.1.8.1.7</t>
  </si>
  <si>
    <t>C.1.8.1.8</t>
  </si>
  <si>
    <t>C.1.8.1.9</t>
  </si>
  <si>
    <t>C.1.8.2</t>
  </si>
  <si>
    <t>C.1.8.2.1</t>
  </si>
  <si>
    <t>C.1.8.2.2</t>
  </si>
  <si>
    <t>C.1.8.2.3</t>
  </si>
  <si>
    <t>C.1.8.2.4</t>
  </si>
  <si>
    <t>C.1.8.2.5</t>
  </si>
  <si>
    <t>C.1.8.2.6</t>
  </si>
  <si>
    <t>C.1.8.2.7</t>
  </si>
  <si>
    <t>C.1.9</t>
  </si>
  <si>
    <t>C.1.9.1</t>
  </si>
  <si>
    <t>C.1.9.1.1</t>
  </si>
  <si>
    <t>C.1.9.1.2</t>
  </si>
  <si>
    <t>C.1.9.1.3</t>
  </si>
  <si>
    <t>C.1.9.1.4</t>
  </si>
  <si>
    <t>C.1.9.2</t>
  </si>
  <si>
    <t>C.1.9.2.1</t>
  </si>
  <si>
    <t>C.1.9.2.2</t>
  </si>
  <si>
    <t>C.1.9.2.3</t>
  </si>
  <si>
    <t>C.1.9.2.4</t>
  </si>
  <si>
    <t>C.1.9.2.5</t>
  </si>
  <si>
    <t>C.1.9.2.6</t>
  </si>
  <si>
    <t>C.1.9.2.7</t>
  </si>
  <si>
    <t>C.1.9.2.8</t>
  </si>
  <si>
    <t>C.1.10</t>
  </si>
  <si>
    <t>C.1.10.1</t>
  </si>
  <si>
    <t>C.1.10.1.2</t>
  </si>
  <si>
    <t>C.1.10.1.3</t>
  </si>
  <si>
    <t>C.1.10.1.4</t>
  </si>
  <si>
    <t>C.1.10.1.5</t>
  </si>
  <si>
    <t>C.1.10.1.6</t>
  </si>
  <si>
    <t>C.1.10.2</t>
  </si>
  <si>
    <t>C.1.10.2.1</t>
  </si>
  <si>
    <t>C.1.10.2.2</t>
  </si>
  <si>
    <t>C.1.10.2.3</t>
  </si>
  <si>
    <t>C.1.10.2.4</t>
  </si>
  <si>
    <t>C.1.10.2.5</t>
  </si>
  <si>
    <t>C.1.10.2.6</t>
  </si>
  <si>
    <t>C.1.10.2.7</t>
  </si>
  <si>
    <t>C.1.10.2.8</t>
  </si>
  <si>
    <t>C.1.10.2.9</t>
  </si>
  <si>
    <t>C.1.10.3</t>
  </si>
  <si>
    <t>C.1.10.3.1</t>
  </si>
  <si>
    <t>C.1.10.3.2</t>
  </si>
  <si>
    <t>C.1.10.3.3</t>
  </si>
  <si>
    <t>C.1.10.3.4</t>
  </si>
  <si>
    <t>C.1.10.3.5</t>
  </si>
  <si>
    <t>C.1.10.3.6</t>
  </si>
  <si>
    <t>C.1.10.4</t>
  </si>
  <si>
    <t>C.1.10.4.1</t>
  </si>
  <si>
    <t>C.1.10.4.2</t>
  </si>
  <si>
    <t>C.1.10.4.3</t>
  </si>
  <si>
    <t>C.1.10.4.4</t>
  </si>
  <si>
    <t>C.1.10.4.5</t>
  </si>
  <si>
    <t>C.1.10.5</t>
  </si>
  <si>
    <t>C.1.10.5.1</t>
  </si>
  <si>
    <t>C.1.10.5.2</t>
  </si>
  <si>
    <t>C.1.10.5.3</t>
  </si>
  <si>
    <t>C.1.10.5.4</t>
  </si>
  <si>
    <t>C.1.10.5.5</t>
  </si>
  <si>
    <t>C.1.10.5.6</t>
  </si>
  <si>
    <t>C.1.10.5.7</t>
  </si>
  <si>
    <t>C.1.10.6</t>
  </si>
  <si>
    <t>C.1.10.6.1</t>
  </si>
  <si>
    <t>C.1.10.6.2</t>
  </si>
  <si>
    <t>C.1.10.6.3</t>
  </si>
  <si>
    <t>C.1.10.6.4</t>
  </si>
  <si>
    <t>C.1.10.7</t>
  </si>
  <si>
    <t>C.1.10.7.1</t>
  </si>
  <si>
    <t>C.1.10.7.2</t>
  </si>
  <si>
    <t>C.1.10.7.3</t>
  </si>
  <si>
    <t>C.1.10.7.4</t>
  </si>
  <si>
    <t>C.1.10.8</t>
  </si>
  <si>
    <t>C.1.10.8.1</t>
  </si>
  <si>
    <t>C.1.10.8.2</t>
  </si>
  <si>
    <t>C.1.10.8.3</t>
  </si>
  <si>
    <t>C.1.10.8.4</t>
  </si>
  <si>
    <t>C.1.10.8.5</t>
  </si>
  <si>
    <t>C.1.10.8.6</t>
  </si>
  <si>
    <t>C.1.10.8.7</t>
  </si>
  <si>
    <t>C.1.11</t>
  </si>
  <si>
    <t>C.1.11.1</t>
  </si>
  <si>
    <t>C.1.11.2</t>
  </si>
  <si>
    <t>C.1.11.3</t>
  </si>
  <si>
    <t>C.1.11.4</t>
  </si>
  <si>
    <t>C.1.11.5</t>
  </si>
  <si>
    <t>C.1.11.6</t>
  </si>
  <si>
    <t>C.1.12</t>
  </si>
  <si>
    <t>C.1.12.1</t>
  </si>
  <si>
    <t>C.1.12.2</t>
  </si>
  <si>
    <t>C.1.12.3</t>
  </si>
  <si>
    <t>C.1.12.4</t>
  </si>
  <si>
    <t>C.1.12.5</t>
  </si>
  <si>
    <t>C.1.12.6</t>
  </si>
  <si>
    <t>C.1.12.7</t>
  </si>
  <si>
    <t>C.1.12.8</t>
  </si>
  <si>
    <t>C.1.12.9</t>
  </si>
  <si>
    <t>C.1.12.10</t>
  </si>
  <si>
    <t>C.1.13</t>
  </si>
  <si>
    <t>C.1.13.1</t>
  </si>
  <si>
    <t>C.1.13.2</t>
  </si>
  <si>
    <t>C.1.13.3</t>
  </si>
  <si>
    <t>C.1.13.4</t>
  </si>
  <si>
    <t>C.1.13.5</t>
  </si>
  <si>
    <t>C.1.13.6</t>
  </si>
  <si>
    <t>C.1.13.7</t>
  </si>
  <si>
    <t>C.1.14</t>
  </si>
  <si>
    <t>C.1.14.1</t>
  </si>
  <si>
    <t>C.1.14.1.1</t>
  </si>
  <si>
    <t>C.1.14.1.2</t>
  </si>
  <si>
    <t>C.1.14.1.3</t>
  </si>
  <si>
    <t>C.1.14.1.4</t>
  </si>
  <si>
    <t>C.1.14.2</t>
  </si>
  <si>
    <t>C.1.14.2.1</t>
  </si>
  <si>
    <t>C.1.14.2.2</t>
  </si>
  <si>
    <t>C.1.14.2.3</t>
  </si>
  <si>
    <t>C.1.14.2.4</t>
  </si>
  <si>
    <t>C.1.14.2.5</t>
  </si>
  <si>
    <t>C.1.14.2.6</t>
  </si>
  <si>
    <t>C.1.14.3</t>
  </si>
  <si>
    <t>C.1.14.3.1</t>
  </si>
  <si>
    <t>C.1.14.3.2</t>
  </si>
  <si>
    <t>C.1.14.3.3</t>
  </si>
  <si>
    <t>C.1.14.3.4</t>
  </si>
  <si>
    <t>C.1.14.4</t>
  </si>
  <si>
    <t>C.1.14.4.1</t>
  </si>
  <si>
    <t>C.1.14.4.2</t>
  </si>
  <si>
    <t>C.1.14.4.3</t>
  </si>
  <si>
    <t>C.1.14.4.4</t>
  </si>
  <si>
    <t>C.1.14.4.5</t>
  </si>
  <si>
    <t>C.1.14.5</t>
  </si>
  <si>
    <t>C.1.14.5.1</t>
  </si>
  <si>
    <t>C.1.14.5.2</t>
  </si>
  <si>
    <t>C.1.14.5.3</t>
  </si>
  <si>
    <t>C.1.14.5.4</t>
  </si>
  <si>
    <t>C.1.14.5.5</t>
  </si>
  <si>
    <t>C.1.14.5.6</t>
  </si>
  <si>
    <t>C.1.14.5.7</t>
  </si>
  <si>
    <t>C.1.14.6</t>
  </si>
  <si>
    <t>C.1.14.6.1</t>
  </si>
  <si>
    <t>C.1.14.6.2</t>
  </si>
  <si>
    <t>C.1.14.6.3</t>
  </si>
  <si>
    <t>C.1.14.6.4</t>
  </si>
  <si>
    <t>C.1.14.6.5</t>
  </si>
  <si>
    <t>C.1.14.6.6</t>
  </si>
  <si>
    <t>C.1.14.6.7</t>
  </si>
  <si>
    <t>C.1.14.6.8</t>
  </si>
  <si>
    <t>C.1.15</t>
  </si>
  <si>
    <t>C.1.15.1</t>
  </si>
  <si>
    <t>C.2.1</t>
  </si>
  <si>
    <t>C.2.1.1</t>
  </si>
  <si>
    <t>C.2.1.2</t>
  </si>
  <si>
    <t>C.2.2</t>
  </si>
  <si>
    <t>C.2.2.1</t>
  </si>
  <si>
    <t>C.2.2.2</t>
  </si>
  <si>
    <t>C.2.3</t>
  </si>
  <si>
    <t>C.2.3.1</t>
  </si>
  <si>
    <t>C.2.3.2</t>
  </si>
  <si>
    <t>C.2.3.3</t>
  </si>
  <si>
    <t>C.2.3.4</t>
  </si>
  <si>
    <t>C.2.4</t>
  </si>
  <si>
    <t>C.2.4.1</t>
  </si>
  <si>
    <t>C.2.4.2</t>
  </si>
  <si>
    <t>C.2.4.3</t>
  </si>
  <si>
    <t>C.2.4.4</t>
  </si>
  <si>
    <t>C.2.5</t>
  </si>
  <si>
    <t>C.2.5.1</t>
  </si>
  <si>
    <t>C.2.5.2</t>
  </si>
  <si>
    <t>C.2.5.3</t>
  </si>
  <si>
    <t>C.2.5.4</t>
  </si>
  <si>
    <t>C.2.5.5</t>
  </si>
  <si>
    <t>C.2.5.6</t>
  </si>
  <si>
    <t>C.2.6</t>
  </si>
  <si>
    <t>C.2.6.1</t>
  </si>
  <si>
    <t>C.2.6.2</t>
  </si>
  <si>
    <t>C.2.6.3</t>
  </si>
  <si>
    <t>C.2.6.4</t>
  </si>
  <si>
    <t>C.2.6.5</t>
  </si>
  <si>
    <t>C.2.6.6</t>
  </si>
  <si>
    <t>C.2.6.7</t>
  </si>
  <si>
    <t>C.2.6.8</t>
  </si>
  <si>
    <t>C.2.6.9</t>
  </si>
  <si>
    <t>C.2.6.10</t>
  </si>
  <si>
    <t>C.2.6.11</t>
  </si>
  <si>
    <t>C.2.6.12</t>
  </si>
  <si>
    <t>C.2.6.13</t>
  </si>
  <si>
    <t>C.2.6.14</t>
  </si>
  <si>
    <t>C.2.6.15</t>
  </si>
  <si>
    <t>C.2.6.16</t>
  </si>
  <si>
    <t>C.2.6.17</t>
  </si>
  <si>
    <t>C.2.6.18</t>
  </si>
  <si>
    <t>C.2.6.19</t>
  </si>
  <si>
    <t>C.2.6.20</t>
  </si>
  <si>
    <t>C.2.6.21</t>
  </si>
  <si>
    <t>C.3.1</t>
  </si>
  <si>
    <t>C.3.1.1</t>
  </si>
  <si>
    <t>C.3.1.2</t>
  </si>
  <si>
    <t>C.3.1.3</t>
  </si>
  <si>
    <t>C.3.1.4</t>
  </si>
  <si>
    <t>C.3.1.5</t>
  </si>
  <si>
    <t>C.3.1.6</t>
  </si>
  <si>
    <t>C.3.1.7</t>
  </si>
  <si>
    <t>C.3.1.8</t>
  </si>
  <si>
    <t>C.3.1.9</t>
  </si>
  <si>
    <t>C.3.1.10</t>
  </si>
  <si>
    <t>C.3.1.11</t>
  </si>
  <si>
    <t>C.3.1.12</t>
  </si>
  <si>
    <t>C.3.1.13</t>
  </si>
  <si>
    <t>C.3.1.14</t>
  </si>
  <si>
    <t>C.3.1.15</t>
  </si>
  <si>
    <t>C.3.1.16</t>
  </si>
  <si>
    <t>C.3.1.17</t>
  </si>
  <si>
    <t>C.3.1.18</t>
  </si>
  <si>
    <t>C.3.1.19</t>
  </si>
  <si>
    <t>C.3.1.20</t>
  </si>
  <si>
    <t>C.3.1.21</t>
  </si>
  <si>
    <t>C.3.1.22</t>
  </si>
  <si>
    <t>C.3.1.23</t>
  </si>
  <si>
    <t>C.3.2</t>
  </si>
  <si>
    <t>C.3.2.1</t>
  </si>
  <si>
    <t>C.3.2.2</t>
  </si>
  <si>
    <t>C.3.2.3</t>
  </si>
  <si>
    <t>C.3.2.4</t>
  </si>
  <si>
    <t>C.3.2.5</t>
  </si>
  <si>
    <t>C.3.2.6</t>
  </si>
  <si>
    <t>C.3.2.7</t>
  </si>
  <si>
    <t>C.3.2.8</t>
  </si>
  <si>
    <t>C.3.2.9</t>
  </si>
  <si>
    <t>C.3.2.10</t>
  </si>
  <si>
    <t>C.3.2.11</t>
  </si>
  <si>
    <t>C.3.2.12</t>
  </si>
  <si>
    <t>C.3.2.13</t>
  </si>
  <si>
    <t>C.3.2.14</t>
  </si>
  <si>
    <t>C.4.1</t>
  </si>
  <si>
    <t>C.4.1.1</t>
  </si>
  <si>
    <t>C.4.1.2</t>
  </si>
  <si>
    <t>C.4.1.3</t>
  </si>
  <si>
    <t>C.4.1.4</t>
  </si>
  <si>
    <t>C.4.1.5</t>
  </si>
  <si>
    <t>C.4.1.6</t>
  </si>
  <si>
    <t>C.4.2</t>
  </si>
  <si>
    <t>C.4.2.1</t>
  </si>
  <si>
    <t>C.4.2.2</t>
  </si>
  <si>
    <t>C.4.2.3</t>
  </si>
  <si>
    <t>C.4.3</t>
  </si>
  <si>
    <t>C.4.3.1</t>
  </si>
  <si>
    <t>C.4.3.2</t>
  </si>
  <si>
    <t>C.4.3.3</t>
  </si>
  <si>
    <t>C.4.3.4</t>
  </si>
  <si>
    <t>C.4.3.5</t>
  </si>
  <si>
    <t>C.4.4</t>
  </si>
  <si>
    <t>C.4.4.1</t>
  </si>
  <si>
    <t>C.4.4.2</t>
  </si>
  <si>
    <t>C.4.4.3</t>
  </si>
  <si>
    <t>C.4.4.4</t>
  </si>
  <si>
    <t>C.4.4.5</t>
  </si>
  <si>
    <t>C.4.5</t>
  </si>
  <si>
    <t>C.4.5.1</t>
  </si>
  <si>
    <t>C.4.5.2</t>
  </si>
  <si>
    <t>C.4.5.3</t>
  </si>
  <si>
    <t>C.4.5.4</t>
  </si>
  <si>
    <t>C.4.5.5</t>
  </si>
  <si>
    <t>C.4.5.6</t>
  </si>
  <si>
    <t>C.4.5.7</t>
  </si>
  <si>
    <t>C.4.5.8</t>
  </si>
  <si>
    <t>C.4.5.9</t>
  </si>
  <si>
    <t>C.4.5.10</t>
  </si>
  <si>
    <t>C.4.5.11</t>
  </si>
  <si>
    <t>C.4.6</t>
  </si>
  <si>
    <t>C.4.6.1</t>
  </si>
  <si>
    <t>C.4.6.2</t>
  </si>
  <si>
    <t>C.4.6.3</t>
  </si>
  <si>
    <t>C.4.6.4</t>
  </si>
  <si>
    <t>C.4.6.5</t>
  </si>
  <si>
    <t>C.4.6.6</t>
  </si>
  <si>
    <t>C.4.6.7</t>
  </si>
  <si>
    <t>C.4.6.8</t>
  </si>
  <si>
    <t>C.4.6.9</t>
  </si>
  <si>
    <t>→ (D) QUIOSQUE</t>
  </si>
  <si>
    <t>D.1.1</t>
  </si>
  <si>
    <t>D.1.1.1</t>
  </si>
  <si>
    <t>D.1.1.2</t>
  </si>
  <si>
    <t>D.1.1.3</t>
  </si>
  <si>
    <t>D.1.1.4</t>
  </si>
  <si>
    <t>D.1.1.5</t>
  </si>
  <si>
    <t>D.1.1.6</t>
  </si>
  <si>
    <t>D.1.1.7</t>
  </si>
  <si>
    <t>D.1.1.8</t>
  </si>
  <si>
    <t>D.1.1.9</t>
  </si>
  <si>
    <t>D.1.1.10</t>
  </si>
  <si>
    <t>D.1.1.11</t>
  </si>
  <si>
    <t>D.1.2</t>
  </si>
  <si>
    <t>D.1.2.1</t>
  </si>
  <si>
    <t>D.1.2.2</t>
  </si>
  <si>
    <t>D.1.2.3</t>
  </si>
  <si>
    <t>D.1.2.4</t>
  </si>
  <si>
    <t>D.1.2.5</t>
  </si>
  <si>
    <t>D.1.2.6</t>
  </si>
  <si>
    <t>D.1.2.7</t>
  </si>
  <si>
    <t>D.1.2.8</t>
  </si>
  <si>
    <t>D.1.2.9</t>
  </si>
  <si>
    <t>D.1.2.10</t>
  </si>
  <si>
    <t>D.1.2.11</t>
  </si>
  <si>
    <t>D.1.3</t>
  </si>
  <si>
    <t>D.1.3.1</t>
  </si>
  <si>
    <t>D.1.3.2</t>
  </si>
  <si>
    <t>D.1.3.3</t>
  </si>
  <si>
    <t>D.1.4</t>
  </si>
  <si>
    <t>D.1.4.1</t>
  </si>
  <si>
    <t>D.1.4.2</t>
  </si>
  <si>
    <t>D.1.4.3</t>
  </si>
  <si>
    <t>D.1.4.4</t>
  </si>
  <si>
    <t>D.1.5</t>
  </si>
  <si>
    <t>D.1.5.1</t>
  </si>
  <si>
    <t>D.1.5.2</t>
  </si>
  <si>
    <t>D.1.5.3</t>
  </si>
  <si>
    <t>D.1.5.4</t>
  </si>
  <si>
    <t>D.1.6</t>
  </si>
  <si>
    <t>D.1.6.1</t>
  </si>
  <si>
    <t>D.1.6.2</t>
  </si>
  <si>
    <t>D.1.6.3</t>
  </si>
  <si>
    <t>D.1.6.4</t>
  </si>
  <si>
    <t>D.1.6.5</t>
  </si>
  <si>
    <t>D.1.7</t>
  </si>
  <si>
    <t>D.1.7.1</t>
  </si>
  <si>
    <t>D.1.7.2</t>
  </si>
  <si>
    <t>D.1.7.3</t>
  </si>
  <si>
    <t>D.1.7.4</t>
  </si>
  <si>
    <t>D.1.8</t>
  </si>
  <si>
    <t>D.1.8.1</t>
  </si>
  <si>
    <t>D.1.9</t>
  </si>
  <si>
    <t>D.1.9.1</t>
  </si>
  <si>
    <t>D.2.1</t>
  </si>
  <si>
    <t>D.2.1.1</t>
  </si>
  <si>
    <t>D.2.1.2</t>
  </si>
  <si>
    <t>D.2.1.3</t>
  </si>
  <si>
    <t>D.2.1.4</t>
  </si>
  <si>
    <t>D.2.2</t>
  </si>
  <si>
    <t>D.2.2.1</t>
  </si>
  <si>
    <t>D.2.2.2</t>
  </si>
  <si>
    <t>D.2.2.3</t>
  </si>
  <si>
    <t>D.2.3</t>
  </si>
  <si>
    <t>D.2.3.1</t>
  </si>
  <si>
    <t>D.2.3.2</t>
  </si>
  <si>
    <t>D.2.3.3</t>
  </si>
  <si>
    <t>D.2.4</t>
  </si>
  <si>
    <t>D.2.4.1</t>
  </si>
  <si>
    <t>D.2.4.2</t>
  </si>
  <si>
    <t>D.2.4.3</t>
  </si>
  <si>
    <t>D.2.4.4</t>
  </si>
  <si>
    <t>D.2.4.5</t>
  </si>
  <si>
    <t>D.2.4.6</t>
  </si>
  <si>
    <t>D.2.4.7</t>
  </si>
  <si>
    <t>D.2.5</t>
  </si>
  <si>
    <t>D.2.5.1</t>
  </si>
  <si>
    <t>D.2.5.2</t>
  </si>
  <si>
    <t>D.2.5.3</t>
  </si>
  <si>
    <t>D.2.5.4</t>
  </si>
  <si>
    <t>D.2.6</t>
  </si>
  <si>
    <t>D.2.6.1</t>
  </si>
  <si>
    <t>D.2.6.2</t>
  </si>
  <si>
    <t>D.2.6.3</t>
  </si>
  <si>
    <t>D.2.6.4</t>
  </si>
  <si>
    <t>D.2.6.5</t>
  </si>
  <si>
    <t>D.2.7</t>
  </si>
  <si>
    <t>D.2.7.1</t>
  </si>
  <si>
    <t>D.2.7.2</t>
  </si>
  <si>
    <t>D.2.7.3</t>
  </si>
  <si>
    <t>D.2.7.4</t>
  </si>
  <si>
    <t>D.2.7.5</t>
  </si>
  <si>
    <t>D.2.8</t>
  </si>
  <si>
    <t>D.2.8.1</t>
  </si>
  <si>
    <t>D.2.8.2</t>
  </si>
  <si>
    <t>D.2.8.3</t>
  </si>
  <si>
    <t>D.2.8.4</t>
  </si>
  <si>
    <t>D.2.8.5</t>
  </si>
  <si>
    <t>D.2.8.6</t>
  </si>
  <si>
    <t>D.2.8.7</t>
  </si>
  <si>
    <t>D.2.8.8</t>
  </si>
  <si>
    <t>D.2.8.9</t>
  </si>
  <si>
    <t>D.2.8.10</t>
  </si>
  <si>
    <t>D.2.8.11</t>
  </si>
  <si>
    <t>D.2.8.12</t>
  </si>
  <si>
    <t>D.2.8.13</t>
  </si>
  <si>
    <t>D.2.8.14</t>
  </si>
  <si>
    <t>D.2.8.15</t>
  </si>
  <si>
    <t>D.2.8.16</t>
  </si>
  <si>
    <t>D.2.9</t>
  </si>
  <si>
    <t>D.2.9.1</t>
  </si>
  <si>
    <t>D.2.9.2</t>
  </si>
  <si>
    <t>D.2.9.3</t>
  </si>
  <si>
    <t>D.3.1</t>
  </si>
  <si>
    <t>D.3.1.1</t>
  </si>
  <si>
    <t>D.3.1.2</t>
  </si>
  <si>
    <t>D.3.1.3</t>
  </si>
  <si>
    <t>D.3.1.4</t>
  </si>
  <si>
    <t>D.3.1.5</t>
  </si>
  <si>
    <t>D.3.1.6</t>
  </si>
  <si>
    <t>D.3.1.7</t>
  </si>
  <si>
    <t>D.3.1.8</t>
  </si>
  <si>
    <t>D.3.1.9</t>
  </si>
  <si>
    <t>D.3.1.10</t>
  </si>
  <si>
    <t>D.3.1.11</t>
  </si>
  <si>
    <t>D.3.1.12</t>
  </si>
  <si>
    <t>D.3.1.13</t>
  </si>
  <si>
    <t>D.3.1.14</t>
  </si>
  <si>
    <t>D.3.1.15</t>
  </si>
  <si>
    <t>D.3.1.16</t>
  </si>
  <si>
    <t>D.3.1.17</t>
  </si>
  <si>
    <t>D.3.1.18</t>
  </si>
  <si>
    <t>D.3.1.19</t>
  </si>
  <si>
    <t>D.3.1.20</t>
  </si>
  <si>
    <t>D.3.1.21</t>
  </si>
  <si>
    <t>D.3.1.22</t>
  </si>
  <si>
    <t>D.3.1.23</t>
  </si>
  <si>
    <t>D.3.1.24</t>
  </si>
  <si>
    <t>D.3.2</t>
  </si>
  <si>
    <t>D.3.2.1</t>
  </si>
  <si>
    <t>D.3.2.2</t>
  </si>
  <si>
    <t>D.3.2.3</t>
  </si>
  <si>
    <t>D.3.2.4</t>
  </si>
  <si>
    <t>D.3.2.5</t>
  </si>
  <si>
    <t>D.3.2.6</t>
  </si>
  <si>
    <t>D.3.2.7</t>
  </si>
  <si>
    <t>D.3.2.8</t>
  </si>
  <si>
    <t>D.3.2.9</t>
  </si>
  <si>
    <t>D.3.2.10</t>
  </si>
  <si>
    <t>D.3.2.11</t>
  </si>
  <si>
    <t>D.3.2.12</t>
  </si>
  <si>
    <t>D.3.2.13</t>
  </si>
  <si>
    <t>D.3.2.14</t>
  </si>
  <si>
    <t>D.3.2.15</t>
  </si>
  <si>
    <t>D.3.2.16</t>
  </si>
  <si>
    <t>D.3.2.17</t>
  </si>
  <si>
    <t>D.3.2.18</t>
  </si>
  <si>
    <t>D.3.2.19</t>
  </si>
  <si>
    <t>D.3.2.20</t>
  </si>
  <si>
    <t>D.3.2.21</t>
  </si>
  <si>
    <t>D.3.2.22</t>
  </si>
  <si>
    <t>D.3.2.23</t>
  </si>
  <si>
    <t>D.3.2.24</t>
  </si>
  <si>
    <t>D.3.2.25</t>
  </si>
  <si>
    <t>D.3.2.26</t>
  </si>
  <si>
    <t>D.3.2.27</t>
  </si>
  <si>
    <t>D.3.2.28</t>
  </si>
  <si>
    <t>D.3.2.29</t>
  </si>
  <si>
    <t>D.3.2.30</t>
  </si>
  <si>
    <t>D.3.2.31</t>
  </si>
  <si>
    <t>D.3.3</t>
  </si>
  <si>
    <t>D.3.3.1</t>
  </si>
  <si>
    <t>D.3.3.2</t>
  </si>
  <si>
    <t>D.3.3.3</t>
  </si>
  <si>
    <t>D.3.3.4</t>
  </si>
  <si>
    <t>D.3.3.5</t>
  </si>
  <si>
    <t>D.3.3.6</t>
  </si>
  <si>
    <t>D.3.3.7</t>
  </si>
  <si>
    <t>D.3.3.8</t>
  </si>
  <si>
    <t>D.3.3.9</t>
  </si>
  <si>
    <t>D.4.1</t>
  </si>
  <si>
    <t>D.4.1.1</t>
  </si>
  <si>
    <t>D.4.1.2</t>
  </si>
  <si>
    <t>D.4.1.3</t>
  </si>
  <si>
    <t>D.4.1.4</t>
  </si>
  <si>
    <t>D.4.1.5</t>
  </si>
  <si>
    <t>D.4.1.6</t>
  </si>
  <si>
    <t>D.4.1.7</t>
  </si>
  <si>
    <t>D.4.1.8</t>
  </si>
  <si>
    <t>D.4.1.9</t>
  </si>
  <si>
    <t>D.4.1.10</t>
  </si>
  <si>
    <t>D.4.2</t>
  </si>
  <si>
    <t>D.4.2.1</t>
  </si>
  <si>
    <t>D.4.2.2</t>
  </si>
  <si>
    <t>D.4.2.3</t>
  </si>
  <si>
    <t>D.4.2.4</t>
  </si>
  <si>
    <t>D.4.3</t>
  </si>
  <si>
    <t>D.4.3.1</t>
  </si>
  <si>
    <t>D.4.3.2</t>
  </si>
  <si>
    <t>D.4.4</t>
  </si>
  <si>
    <t>D.4.4.1</t>
  </si>
  <si>
    <t>D.4.4.2</t>
  </si>
  <si>
    <t>D.4.4.3</t>
  </si>
  <si>
    <t>D.4.4.4</t>
  </si>
  <si>
    <t>D.4.4.5</t>
  </si>
  <si>
    <t>D.4.4.6</t>
  </si>
  <si>
    <t>D.4.5</t>
  </si>
  <si>
    <t>D.4.5.1</t>
  </si>
  <si>
    <t>D.4.5.2</t>
  </si>
  <si>
    <t>D.4.6</t>
  </si>
  <si>
    <t>D.4.6.1</t>
  </si>
  <si>
    <t>D.4.6.2</t>
  </si>
  <si>
    <t>D.4.6.3</t>
  </si>
  <si>
    <t>D.4.6.4</t>
  </si>
  <si>
    <t>D.4.6.5</t>
  </si>
  <si>
    <t>D.5.1</t>
  </si>
  <si>
    <t>D.5.2</t>
  </si>
  <si>
    <t>D.5.3</t>
  </si>
  <si>
    <t>→ (E) - BANHEIRO DE APOIO ESPAÇO SHOW</t>
  </si>
  <si>
    <t>E.1.1</t>
  </si>
  <si>
    <t>E.1.1.1</t>
  </si>
  <si>
    <t>E.1.1.2</t>
  </si>
  <si>
    <t>E.1.1.3</t>
  </si>
  <si>
    <t>E.1.1.4</t>
  </si>
  <si>
    <t>E.1.1.5</t>
  </si>
  <si>
    <t>E.1.1.6</t>
  </si>
  <si>
    <t>E.1.1.7</t>
  </si>
  <si>
    <t>E.1.1.8</t>
  </si>
  <si>
    <t>E.1.1.9</t>
  </si>
  <si>
    <t>E.1.2</t>
  </si>
  <si>
    <t>E.1.2.1</t>
  </si>
  <si>
    <t>E.1.2.2</t>
  </si>
  <si>
    <t>E.1.2.3</t>
  </si>
  <si>
    <t>E.1.2.4</t>
  </si>
  <si>
    <t>E.1.2.5</t>
  </si>
  <si>
    <t>E.1.3</t>
  </si>
  <si>
    <t>E.1.3.1</t>
  </si>
  <si>
    <t>E.1.3.2</t>
  </si>
  <si>
    <t>E.1.3.3</t>
  </si>
  <si>
    <t>E.1.3.4</t>
  </si>
  <si>
    <t>E.1.3.5</t>
  </si>
  <si>
    <t>E.1.3.6</t>
  </si>
  <si>
    <t>E.1.3.7</t>
  </si>
  <si>
    <t>E.1.3.8</t>
  </si>
  <si>
    <t>E.1.3.9</t>
  </si>
  <si>
    <t>E.1.3.10</t>
  </si>
  <si>
    <t>E.1.3.11</t>
  </si>
  <si>
    <t>E.1.3.12</t>
  </si>
  <si>
    <t>E.1.4</t>
  </si>
  <si>
    <t>E.1.4.1</t>
  </si>
  <si>
    <t>E.1.5</t>
  </si>
  <si>
    <t>E.1.5.1</t>
  </si>
  <si>
    <t>E.1.5.2</t>
  </si>
  <si>
    <t>E.1.5.3</t>
  </si>
  <si>
    <t>E.1.5.4</t>
  </si>
  <si>
    <t>E.1.5.5</t>
  </si>
  <si>
    <t>E.1.6</t>
  </si>
  <si>
    <t>E.1.6.1</t>
  </si>
  <si>
    <t>E.1.6.2</t>
  </si>
  <si>
    <t>E.1.6.3</t>
  </si>
  <si>
    <t>E.1.6.4</t>
  </si>
  <si>
    <t>E.1.6.5</t>
  </si>
  <si>
    <t>E.1.6.6</t>
  </si>
  <si>
    <t>E.1.6.7</t>
  </si>
  <si>
    <t>E.1.7</t>
  </si>
  <si>
    <t>E.1.7.1</t>
  </si>
  <si>
    <t>E.1.7.2</t>
  </si>
  <si>
    <t>E.1.7.3</t>
  </si>
  <si>
    <t>E.1.7.4</t>
  </si>
  <si>
    <t>E.1.7.5</t>
  </si>
  <si>
    <t>E.1.7.6</t>
  </si>
  <si>
    <t>E.1.7.7</t>
  </si>
  <si>
    <t>E.1.8</t>
  </si>
  <si>
    <t>E.1.8.1</t>
  </si>
  <si>
    <t>E.1.8.2</t>
  </si>
  <si>
    <t>E.1.8.3</t>
  </si>
  <si>
    <t>E.1.8.4</t>
  </si>
  <si>
    <t>E.1.9</t>
  </si>
  <si>
    <t>E.1.9.1</t>
  </si>
  <si>
    <t>E.1.10</t>
  </si>
  <si>
    <t>E.1.10.1</t>
  </si>
  <si>
    <t>E.2.1</t>
  </si>
  <si>
    <t>E.2.1.1</t>
  </si>
  <si>
    <t>E.2.1.2</t>
  </si>
  <si>
    <t>E.2.1.3</t>
  </si>
  <si>
    <t>E.2.1.4</t>
  </si>
  <si>
    <t>E.2.2</t>
  </si>
  <si>
    <t>E.2.2.1</t>
  </si>
  <si>
    <t>E.2.2.2</t>
  </si>
  <si>
    <t>E.2.2.3</t>
  </si>
  <si>
    <t>E.2.3</t>
  </si>
  <si>
    <t>E.2.3.1</t>
  </si>
  <si>
    <t>E.2.3.2</t>
  </si>
  <si>
    <t>E.2.3.3</t>
  </si>
  <si>
    <t>E.2.4</t>
  </si>
  <si>
    <t>E.2.4.1</t>
  </si>
  <si>
    <t>E.2.4.2</t>
  </si>
  <si>
    <t>E.2.4.3</t>
  </si>
  <si>
    <t>E.2.4.4</t>
  </si>
  <si>
    <t>E.2.4.5</t>
  </si>
  <si>
    <t>E.2.4.6</t>
  </si>
  <si>
    <t>E.2.5</t>
  </si>
  <si>
    <t>E.2.5.1</t>
  </si>
  <si>
    <t>E.2.5.2</t>
  </si>
  <si>
    <t>E.2.5.3</t>
  </si>
  <si>
    <t>E.2.6</t>
  </si>
  <si>
    <t>E.2.6.1</t>
  </si>
  <si>
    <t>E.2.6.2</t>
  </si>
  <si>
    <t>E.2.6.3</t>
  </si>
  <si>
    <t>E.2.6.4</t>
  </si>
  <si>
    <t>E.2.6.5</t>
  </si>
  <si>
    <t>E.2.6.6</t>
  </si>
  <si>
    <t>E.2.6.7</t>
  </si>
  <si>
    <t>E.2.6.8</t>
  </si>
  <si>
    <t>E.2.7</t>
  </si>
  <si>
    <t>E.2.7.1</t>
  </si>
  <si>
    <t>E.2.7.2</t>
  </si>
  <si>
    <t>E.2.7.3</t>
  </si>
  <si>
    <t>E.2.7.4</t>
  </si>
  <si>
    <t>E.2.7.5</t>
  </si>
  <si>
    <t>E.2.7.6</t>
  </si>
  <si>
    <t>E.2.7.7</t>
  </si>
  <si>
    <t>E.2.7.8</t>
  </si>
  <si>
    <t>E.2.7.9</t>
  </si>
  <si>
    <t>E.2.7.10</t>
  </si>
  <si>
    <t>E.2.8</t>
  </si>
  <si>
    <t>E.2.8.1</t>
  </si>
  <si>
    <t>E.2.8.2</t>
  </si>
  <si>
    <t>E.2.8.3</t>
  </si>
  <si>
    <t>E.2.8.4</t>
  </si>
  <si>
    <t>E.2.8.5</t>
  </si>
  <si>
    <t>E.2.8.6</t>
  </si>
  <si>
    <t>E.2.8.7</t>
  </si>
  <si>
    <t>E.2.8.8</t>
  </si>
  <si>
    <t>E.2.8.9</t>
  </si>
  <si>
    <t>E.2.8.10</t>
  </si>
  <si>
    <t>E.2.8.11</t>
  </si>
  <si>
    <t>E.2.8.12</t>
  </si>
  <si>
    <t>E.2.8.13</t>
  </si>
  <si>
    <t>E.2.8.14</t>
  </si>
  <si>
    <t>E.2.8.15</t>
  </si>
  <si>
    <t>E.2.8.16</t>
  </si>
  <si>
    <t>E.2.8.17</t>
  </si>
  <si>
    <t>E.2.8.18</t>
  </si>
  <si>
    <t>E.2.8.19</t>
  </si>
  <si>
    <t>E.2.8.20</t>
  </si>
  <si>
    <t>E.2.8.21</t>
  </si>
  <si>
    <t>E.2.9</t>
  </si>
  <si>
    <t>E.2.9.1</t>
  </si>
  <si>
    <t>E.2.9.2</t>
  </si>
  <si>
    <t>E.2.9.3</t>
  </si>
  <si>
    <t>E.2.9.4</t>
  </si>
  <si>
    <t>E.2.9.5</t>
  </si>
  <si>
    <t>E.2.9.6</t>
  </si>
  <si>
    <t>E.3.1</t>
  </si>
  <si>
    <t>E.3.1.1</t>
  </si>
  <si>
    <t>E.3.1.2</t>
  </si>
  <si>
    <t>E.3.1.3</t>
  </si>
  <si>
    <t>E.3.1.4</t>
  </si>
  <si>
    <t>E.3.1.5</t>
  </si>
  <si>
    <t>E.3.1.6</t>
  </si>
  <si>
    <t>E.3.1.7</t>
  </si>
  <si>
    <t>E.3.1.8</t>
  </si>
  <si>
    <t>E.3.1.9</t>
  </si>
  <si>
    <t>E.3.1.10</t>
  </si>
  <si>
    <t>E.3.1.11</t>
  </si>
  <si>
    <t>E.3.1.12</t>
  </si>
  <si>
    <t>E.3.1.13</t>
  </si>
  <si>
    <t>E.3.1.14</t>
  </si>
  <si>
    <t>E.3.1.15</t>
  </si>
  <si>
    <t>E.3.1.16</t>
  </si>
  <si>
    <t>E.3.1.17</t>
  </si>
  <si>
    <t>E.3.1.18</t>
  </si>
  <si>
    <t>E.3.1.19</t>
  </si>
  <si>
    <t>E.3.1.20</t>
  </si>
  <si>
    <t>E.3.1.21</t>
  </si>
  <si>
    <t>E.3.1.22</t>
  </si>
  <si>
    <t>E.3.1.23</t>
  </si>
  <si>
    <t>E.3.1.24</t>
  </si>
  <si>
    <t>E.3.1.25</t>
  </si>
  <si>
    <t>E.3.1.26</t>
  </si>
  <si>
    <t>E.3.1.27</t>
  </si>
  <si>
    <t>E.3.1.28</t>
  </si>
  <si>
    <t>E.3.1.29</t>
  </si>
  <si>
    <t>E.3.1.30</t>
  </si>
  <si>
    <t>E.3.1.31</t>
  </si>
  <si>
    <t>E.3.1.32</t>
  </si>
  <si>
    <t>E.3.1.33</t>
  </si>
  <si>
    <t>E.3.1.34</t>
  </si>
  <si>
    <t>E.3.1.35</t>
  </si>
  <si>
    <t>E.3.1.36</t>
  </si>
  <si>
    <t>E.3.1.37</t>
  </si>
  <si>
    <t>E.3.1.38</t>
  </si>
  <si>
    <t>E.3.1.39</t>
  </si>
  <si>
    <t>E.3.1.40</t>
  </si>
  <si>
    <t>E.3.1.41</t>
  </si>
  <si>
    <t>E.3.2</t>
  </si>
  <si>
    <t>E.3.2.1</t>
  </si>
  <si>
    <t>E.3.2.2</t>
  </si>
  <si>
    <t>E.3.2.3</t>
  </si>
  <si>
    <t>E.3.2.4</t>
  </si>
  <si>
    <t>E.3.2.5</t>
  </si>
  <si>
    <t>E.3.2.6</t>
  </si>
  <si>
    <t>E.3.2.7</t>
  </si>
  <si>
    <t>E.3.2.8</t>
  </si>
  <si>
    <t>E.3.2.9</t>
  </si>
  <si>
    <t>E.3.2.10</t>
  </si>
  <si>
    <t>E.3.2.11</t>
  </si>
  <si>
    <t>E.3.2.12</t>
  </si>
  <si>
    <t>E.3.2.13</t>
  </si>
  <si>
    <t>E.3.2.14</t>
  </si>
  <si>
    <t>E.3.2.15</t>
  </si>
  <si>
    <t>E.3.2.16</t>
  </si>
  <si>
    <t>E.3.2.17</t>
  </si>
  <si>
    <t>E.3.2.18</t>
  </si>
  <si>
    <t>E.3.2.19</t>
  </si>
  <si>
    <t>E.3.2.20</t>
  </si>
  <si>
    <t>E.3.2.21</t>
  </si>
  <si>
    <t>E.3.2.22</t>
  </si>
  <si>
    <t>E.3.2.23</t>
  </si>
  <si>
    <t>E.3.2.24</t>
  </si>
  <si>
    <t>E.3.2.25</t>
  </si>
  <si>
    <t>E.3.2.26</t>
  </si>
  <si>
    <t>E.3.2.27</t>
  </si>
  <si>
    <t>E.3.2.28</t>
  </si>
  <si>
    <t>E.3.2.29</t>
  </si>
  <si>
    <t>E.3.2.30</t>
  </si>
  <si>
    <t>E.3.2.31</t>
  </si>
  <si>
    <t>E.3.2.32</t>
  </si>
  <si>
    <t>E.3.2.33</t>
  </si>
  <si>
    <t>E.3.2.34</t>
  </si>
  <si>
    <t>E.3.2.35</t>
  </si>
  <si>
    <t>E.3.2.36</t>
  </si>
  <si>
    <t>E.3.2.37</t>
  </si>
  <si>
    <t>E.3.2.38</t>
  </si>
  <si>
    <t>E.3.2.39</t>
  </si>
  <si>
    <t>E.3.2.40</t>
  </si>
  <si>
    <t>E.3.3</t>
  </si>
  <si>
    <t>E.3.3.1</t>
  </si>
  <si>
    <t>E.3.3.2</t>
  </si>
  <si>
    <t>E.3.3.3</t>
  </si>
  <si>
    <t>E.3.3.4</t>
  </si>
  <si>
    <t>E.3.3.5</t>
  </si>
  <si>
    <t>E.3.3.6</t>
  </si>
  <si>
    <t>E.3.3.7</t>
  </si>
  <si>
    <t>E.3.3.8</t>
  </si>
  <si>
    <t>E.3.3.9</t>
  </si>
  <si>
    <t>E.3.3.10</t>
  </si>
  <si>
    <t>E.3.3.11</t>
  </si>
  <si>
    <t>E.4.1</t>
  </si>
  <si>
    <t>E.4.1.1</t>
  </si>
  <si>
    <t>E.4.1.2</t>
  </si>
  <si>
    <t>E.4.1.3</t>
  </si>
  <si>
    <t>E.4.1.4</t>
  </si>
  <si>
    <t>E.4.1.5</t>
  </si>
  <si>
    <t>E.4.2</t>
  </si>
  <si>
    <t>E.4.2.1</t>
  </si>
  <si>
    <t>E.4.2.2</t>
  </si>
  <si>
    <t>E.4.2.3</t>
  </si>
  <si>
    <t>E.4.2.4</t>
  </si>
  <si>
    <t>E.4.2.5</t>
  </si>
  <si>
    <t>E.4.3</t>
  </si>
  <si>
    <t>E.4.3.1</t>
  </si>
  <si>
    <t>E.4.3.2</t>
  </si>
  <si>
    <t>E.4.3.3</t>
  </si>
  <si>
    <t>E.4.3.4</t>
  </si>
  <si>
    <t>E.4.3.5</t>
  </si>
  <si>
    <t>E.4.3.6</t>
  </si>
  <si>
    <t>E.4.3.7</t>
  </si>
  <si>
    <t>E.4.3.8</t>
  </si>
  <si>
    <t>E.4.4</t>
  </si>
  <si>
    <t>E.4.4.1</t>
  </si>
  <si>
    <t>E.4.4.2</t>
  </si>
  <si>
    <t>E.4.4.3</t>
  </si>
  <si>
    <t>E.4.4.4</t>
  </si>
  <si>
    <t>E.4.5</t>
  </si>
  <si>
    <t>E.4.5.1</t>
  </si>
  <si>
    <t>E.4.5.2</t>
  </si>
  <si>
    <t>E.4.5.3</t>
  </si>
  <si>
    <t>E.4.5.4</t>
  </si>
  <si>
    <t>E.4.5.5</t>
  </si>
  <si>
    <t>E.4.5.6</t>
  </si>
  <si>
    <t>E.4.5.7</t>
  </si>
  <si>
    <t>E.4.5.8</t>
  </si>
  <si>
    <t>E.4.5.9</t>
  </si>
  <si>
    <t>E.4.5.10</t>
  </si>
  <si>
    <t>E.4.5.11</t>
  </si>
  <si>
    <t>E.4.6</t>
  </si>
  <si>
    <t>E.4.6.1</t>
  </si>
  <si>
    <t>E.4.6.2</t>
  </si>
  <si>
    <t>E.4.6.3</t>
  </si>
  <si>
    <t>E.4.6.4</t>
  </si>
  <si>
    <t>E.4.6.5</t>
  </si>
  <si>
    <t>E.4.6.6</t>
  </si>
  <si>
    <t>E.4.6.7</t>
  </si>
  <si>
    <t>E.4.6.8</t>
  </si>
  <si>
    <t>E.5.1</t>
  </si>
  <si>
    <t>E.5.2</t>
  </si>
  <si>
    <t xml:space="preserve"> → (F) - BANHEIROS DE APOIO CENTRO DE EVENTOS </t>
  </si>
  <si>
    <t>F.1.1</t>
  </si>
  <si>
    <t>F.1.1.1</t>
  </si>
  <si>
    <t>F.1.1.2</t>
  </si>
  <si>
    <t>F.1.1.3</t>
  </si>
  <si>
    <t>F.1.1.4</t>
  </si>
  <si>
    <t>F.1.1.5</t>
  </si>
  <si>
    <t>F.1.1.6</t>
  </si>
  <si>
    <t>F.1.1.7</t>
  </si>
  <si>
    <t>F.1.1.8</t>
  </si>
  <si>
    <t>F.1.1.9</t>
  </si>
  <si>
    <t>F.1.2</t>
  </si>
  <si>
    <t>F.1.2.1</t>
  </si>
  <si>
    <t>F.1.2.2</t>
  </si>
  <si>
    <t>F.1.2.3</t>
  </si>
  <si>
    <t>F.1.2.4</t>
  </si>
  <si>
    <t>F.1.2.5</t>
  </si>
  <si>
    <t>F.1.2.6</t>
  </si>
  <si>
    <t>F.1.3</t>
  </si>
  <si>
    <t>F.1.3.1</t>
  </si>
  <si>
    <t>F.1.3.2</t>
  </si>
  <si>
    <t>F.1.3.3</t>
  </si>
  <si>
    <t>F.1.3.4</t>
  </si>
  <si>
    <t>F.1.3.5</t>
  </si>
  <si>
    <t>F.1.3.6</t>
  </si>
  <si>
    <t>F.1.3.7</t>
  </si>
  <si>
    <t>F.1.3.8</t>
  </si>
  <si>
    <t>F.1.3.9</t>
  </si>
  <si>
    <t>F.1.3.10</t>
  </si>
  <si>
    <t>F.1.3.11</t>
  </si>
  <si>
    <t>F.1.3.12</t>
  </si>
  <si>
    <t>F.1.3.13</t>
  </si>
  <si>
    <t>F.1.4</t>
  </si>
  <si>
    <t>F.1.4.1</t>
  </si>
  <si>
    <t>F.1.4.2</t>
  </si>
  <si>
    <t>F.1.4.3</t>
  </si>
  <si>
    <t>F.1.4.4</t>
  </si>
  <si>
    <t>F.1.4.5</t>
  </si>
  <si>
    <t>F.1.4.6</t>
  </si>
  <si>
    <t>F.1.5</t>
  </si>
  <si>
    <t>F.1.5.1</t>
  </si>
  <si>
    <t>F.1.5.2</t>
  </si>
  <si>
    <t>F.1.5.3</t>
  </si>
  <si>
    <t>F.1.5.4</t>
  </si>
  <si>
    <t>F.1.5.5</t>
  </si>
  <si>
    <t>F.1.5.6</t>
  </si>
  <si>
    <t>F.1.5.7</t>
  </si>
  <si>
    <t>F.1.5.8</t>
  </si>
  <si>
    <t>F.1.6</t>
  </si>
  <si>
    <t>F.1.6.1</t>
  </si>
  <si>
    <t>F.1.6.2</t>
  </si>
  <si>
    <t>F.1.6.3</t>
  </si>
  <si>
    <t>F.1.6.4</t>
  </si>
  <si>
    <t>F.1.6.5</t>
  </si>
  <si>
    <t>F.1.6.6</t>
  </si>
  <si>
    <t>F.1.6.7</t>
  </si>
  <si>
    <t>F.1.7</t>
  </si>
  <si>
    <t>F.1.7.1</t>
  </si>
  <si>
    <t>F.1.7.2</t>
  </si>
  <si>
    <t>F.1.7.3</t>
  </si>
  <si>
    <t>F.1.7.4</t>
  </si>
  <si>
    <t>F.1.7.5</t>
  </si>
  <si>
    <t>F.1.8</t>
  </si>
  <si>
    <t>F.1.8.1</t>
  </si>
  <si>
    <t>F.1.9</t>
  </si>
  <si>
    <t>F.1.9.1</t>
  </si>
  <si>
    <t>F.2.1</t>
  </si>
  <si>
    <t>F.2.1.1</t>
  </si>
  <si>
    <t>F.2.1.2</t>
  </si>
  <si>
    <t>F.2.1.3</t>
  </si>
  <si>
    <t>F.2.1.4</t>
  </si>
  <si>
    <t>F.2.1.5</t>
  </si>
  <si>
    <t>F.2.2</t>
  </si>
  <si>
    <t>F.2.2.1</t>
  </si>
  <si>
    <t>F.2.2.2</t>
  </si>
  <si>
    <t>F.2.2.3</t>
  </si>
  <si>
    <t>F.2.3</t>
  </si>
  <si>
    <t>F.2.3.1</t>
  </si>
  <si>
    <t>F.2.3.2</t>
  </si>
  <si>
    <t>F.2.3.3</t>
  </si>
  <si>
    <t>F.2.4</t>
  </si>
  <si>
    <t>F.2.4.1</t>
  </si>
  <si>
    <t>F.2.4.2</t>
  </si>
  <si>
    <t>F.2.4.3</t>
  </si>
  <si>
    <t>F.2.4.4</t>
  </si>
  <si>
    <t>F.2.4.5</t>
  </si>
  <si>
    <t>F.2.4.6</t>
  </si>
  <si>
    <t>F.2.5</t>
  </si>
  <si>
    <t>F.2.5.1</t>
  </si>
  <si>
    <t>F.2.5.2</t>
  </si>
  <si>
    <t>F.2.5.3</t>
  </si>
  <si>
    <t>F.2.6</t>
  </si>
  <si>
    <t>F.2.6.1</t>
  </si>
  <si>
    <t>F.2.6.2</t>
  </si>
  <si>
    <t>F.2.6.3</t>
  </si>
  <si>
    <t>F.2.6.4</t>
  </si>
  <si>
    <t>F.2.6.5</t>
  </si>
  <si>
    <t>F.2.6.6</t>
  </si>
  <si>
    <t>F.2.6.7</t>
  </si>
  <si>
    <t>F.2.6.8</t>
  </si>
  <si>
    <t>F.2.7</t>
  </si>
  <si>
    <t>F.2.7.1</t>
  </si>
  <si>
    <t>F.2.7.2</t>
  </si>
  <si>
    <t>F.2.7.3</t>
  </si>
  <si>
    <t>F.2.7.4</t>
  </si>
  <si>
    <t>F.2.7.5</t>
  </si>
  <si>
    <t>F.2.7.6</t>
  </si>
  <si>
    <t>F.2.7.7</t>
  </si>
  <si>
    <t>F.2.7.8</t>
  </si>
  <si>
    <t>F.2.7.9</t>
  </si>
  <si>
    <t>F.2.7.10</t>
  </si>
  <si>
    <t>F.2.8</t>
  </si>
  <si>
    <t>F.2.8.1</t>
  </si>
  <si>
    <t>F.2.8.2</t>
  </si>
  <si>
    <t>F.2.8.3</t>
  </si>
  <si>
    <t>F.2.8.4</t>
  </si>
  <si>
    <t>F.2.8.5</t>
  </si>
  <si>
    <t>F.2.8.6</t>
  </si>
  <si>
    <t>F.2.8.7</t>
  </si>
  <si>
    <t>F.2.8.8</t>
  </si>
  <si>
    <t>F.2.8.9</t>
  </si>
  <si>
    <t>F.2.8.10</t>
  </si>
  <si>
    <t>F.2.8.11</t>
  </si>
  <si>
    <t>F.2.8.12</t>
  </si>
  <si>
    <t>F.2.8.13</t>
  </si>
  <si>
    <t>F.2.8.14</t>
  </si>
  <si>
    <t>F.2.8.15</t>
  </si>
  <si>
    <t>F.2.8.16</t>
  </si>
  <si>
    <t>F.2.8.17</t>
  </si>
  <si>
    <t>F.2.8.18</t>
  </si>
  <si>
    <t>F.2.8.19</t>
  </si>
  <si>
    <t>F.2.8.20</t>
  </si>
  <si>
    <t>F.2.8.21</t>
  </si>
  <si>
    <t>F.2.9</t>
  </si>
  <si>
    <t>F.2.9.1</t>
  </si>
  <si>
    <t>F.2.9.2</t>
  </si>
  <si>
    <t>F.2.9.3</t>
  </si>
  <si>
    <t>F.2.9.4</t>
  </si>
  <si>
    <t>F.2.9.5</t>
  </si>
  <si>
    <t>F.2.9.6</t>
  </si>
  <si>
    <t>F.3.1</t>
  </si>
  <si>
    <t>F.3.1.1</t>
  </si>
  <si>
    <t>F.3.1.2</t>
  </si>
  <si>
    <t>F.3.1.3</t>
  </si>
  <si>
    <t>F.3.1.4</t>
  </si>
  <si>
    <t>F.3.1.5</t>
  </si>
  <si>
    <t>F.3.1.6</t>
  </si>
  <si>
    <t>F.3.1.7</t>
  </si>
  <si>
    <t>F.3.1.8</t>
  </si>
  <si>
    <t>F.3.1.9</t>
  </si>
  <si>
    <t>F.3.1.10</t>
  </si>
  <si>
    <t>F.3.1.11</t>
  </si>
  <si>
    <t>F.3.1.12</t>
  </si>
  <si>
    <t>F.3.1.13</t>
  </si>
  <si>
    <t>F.3.1.14</t>
  </si>
  <si>
    <t>F.3.1.15</t>
  </si>
  <si>
    <t>F.3.1.16</t>
  </si>
  <si>
    <t>F.3.1.17</t>
  </si>
  <si>
    <t>F.3.1.18</t>
  </si>
  <si>
    <t>F.3.1.19</t>
  </si>
  <si>
    <t>F.3.1.20</t>
  </si>
  <si>
    <t>F.3.1.21</t>
  </si>
  <si>
    <t>F.3.1.22</t>
  </si>
  <si>
    <t>F.3.1.23</t>
  </si>
  <si>
    <t>F.3.1.24</t>
  </si>
  <si>
    <t>F.3.1.25</t>
  </si>
  <si>
    <t>F.3.1.26</t>
  </si>
  <si>
    <t>F.3.1.27</t>
  </si>
  <si>
    <t>F.3.1.28</t>
  </si>
  <si>
    <t>F.3.1.29</t>
  </si>
  <si>
    <t>F.3.1.30</t>
  </si>
  <si>
    <t>F.3.1.31</t>
  </si>
  <si>
    <t>F.3.1.32</t>
  </si>
  <si>
    <t>F.3.1.33</t>
  </si>
  <si>
    <t>F.3.1.34</t>
  </si>
  <si>
    <t>F.3.1.35</t>
  </si>
  <si>
    <t>F.3.1.36</t>
  </si>
  <si>
    <t>F.3.1.37</t>
  </si>
  <si>
    <t>F.3.1.38</t>
  </si>
  <si>
    <t>F.3.1.39</t>
  </si>
  <si>
    <t>F.3.1.40</t>
  </si>
  <si>
    <t>F.3.2</t>
  </si>
  <si>
    <t>F.3.2.1</t>
  </si>
  <si>
    <t>F.3.2.2</t>
  </si>
  <si>
    <t>F.3.2.3</t>
  </si>
  <si>
    <t>F.3.2.4</t>
  </si>
  <si>
    <t>F.3.2.5</t>
  </si>
  <si>
    <t>F.3.2.6</t>
  </si>
  <si>
    <t>F.3.2.7</t>
  </si>
  <si>
    <t>F.3.2.8</t>
  </si>
  <si>
    <t>F.3.2.9</t>
  </si>
  <si>
    <t>F.3.2.10</t>
  </si>
  <si>
    <t>F.3.2.11</t>
  </si>
  <si>
    <t>F.3.2.12</t>
  </si>
  <si>
    <t>F.3.2.13</t>
  </si>
  <si>
    <t>F.3.2.14</t>
  </si>
  <si>
    <t>F.3.2.15</t>
  </si>
  <si>
    <t>F.3.2.16</t>
  </si>
  <si>
    <t>F.3.2.17</t>
  </si>
  <si>
    <t>F.3.2.18</t>
  </si>
  <si>
    <t>F.3.2.19</t>
  </si>
  <si>
    <t>F.3.2.20</t>
  </si>
  <si>
    <t>F.3.2.21</t>
  </si>
  <si>
    <t>F.3.2.22</t>
  </si>
  <si>
    <t>F.3.2.23</t>
  </si>
  <si>
    <t>F.3.2.24</t>
  </si>
  <si>
    <t>F.3.2.25</t>
  </si>
  <si>
    <t>F.3.2.26</t>
  </si>
  <si>
    <t>F.3.2.27</t>
  </si>
  <si>
    <t>F.3.2.28</t>
  </si>
  <si>
    <t>F.3.2.29</t>
  </si>
  <si>
    <t>F.3.2.30</t>
  </si>
  <si>
    <t>F.3.2.31</t>
  </si>
  <si>
    <t>F.3.2.32</t>
  </si>
  <si>
    <t>F.3.2.33</t>
  </si>
  <si>
    <t>F.3.2.34</t>
  </si>
  <si>
    <t>F.3.2.35</t>
  </si>
  <si>
    <t>F.3.2.36</t>
  </si>
  <si>
    <t>F.3.2.37</t>
  </si>
  <si>
    <t>F.3.2.38</t>
  </si>
  <si>
    <t>F.3.3</t>
  </si>
  <si>
    <t>F.3.3.1</t>
  </si>
  <si>
    <t>F.3.3.2</t>
  </si>
  <si>
    <t>F.3.3.3</t>
  </si>
  <si>
    <t>F.3.3.4</t>
  </si>
  <si>
    <t>F.3.3.5</t>
  </si>
  <si>
    <t>F.3.3.6</t>
  </si>
  <si>
    <t>F.3.3.7</t>
  </si>
  <si>
    <t>F.3.3.8</t>
  </si>
  <si>
    <t>F.3.3.9</t>
  </si>
  <si>
    <t>F.3.3.10</t>
  </si>
  <si>
    <t>F.3.3.11</t>
  </si>
  <si>
    <t>F.4.1</t>
  </si>
  <si>
    <t>F.4.1.1</t>
  </si>
  <si>
    <t>F.4.1.2</t>
  </si>
  <si>
    <t>F.4.1.3</t>
  </si>
  <si>
    <t>F.4.1.4</t>
  </si>
  <si>
    <t>F.4.1.5</t>
  </si>
  <si>
    <t>F.4.1.6</t>
  </si>
  <si>
    <t>F.4.2</t>
  </si>
  <si>
    <t>F.4.2.1</t>
  </si>
  <si>
    <t>F.4.2.2</t>
  </si>
  <si>
    <t>F.4.2.3</t>
  </si>
  <si>
    <t>F.4.2.4</t>
  </si>
  <si>
    <t>F.4.2.5</t>
  </si>
  <si>
    <t>F.4.3</t>
  </si>
  <si>
    <t>F.4.3.1</t>
  </si>
  <si>
    <t>F.4.3.2</t>
  </si>
  <si>
    <t>F.4.3.3</t>
  </si>
  <si>
    <t>F.4.3.4</t>
  </si>
  <si>
    <t>F.4.3.5</t>
  </si>
  <si>
    <t>F.4.3.6</t>
  </si>
  <si>
    <t>F.4.3.7</t>
  </si>
  <si>
    <t>F.4.3.8</t>
  </si>
  <si>
    <t>F.4.3.9</t>
  </si>
  <si>
    <t>F.4.4</t>
  </si>
  <si>
    <t>F.4.4.1</t>
  </si>
  <si>
    <t>F.4.4.2</t>
  </si>
  <si>
    <t>F.4.4.3</t>
  </si>
  <si>
    <t>F.4.5</t>
  </si>
  <si>
    <t>F.4.5.1</t>
  </si>
  <si>
    <t>F.4.5.2</t>
  </si>
  <si>
    <t>F.4.5.3</t>
  </si>
  <si>
    <t>F.4.5.4</t>
  </si>
  <si>
    <t>F.4.5.5</t>
  </si>
  <si>
    <t>F.4.5.6</t>
  </si>
  <si>
    <t>F.4.5.7</t>
  </si>
  <si>
    <t>F.4.5.8</t>
  </si>
  <si>
    <t>F.4.5.9</t>
  </si>
  <si>
    <t>F.4.5.10</t>
  </si>
  <si>
    <t>F.4.5.11</t>
  </si>
  <si>
    <t>F.4.5.12</t>
  </si>
  <si>
    <t>F.4.5.13</t>
  </si>
  <si>
    <t>F.4.6</t>
  </si>
  <si>
    <t>F.4.6.1</t>
  </si>
  <si>
    <t>F.4.6.2</t>
  </si>
  <si>
    <t>F.4.6.3</t>
  </si>
  <si>
    <t>F.4.6.4</t>
  </si>
  <si>
    <t>F.4.6.5</t>
  </si>
  <si>
    <t>F.4.6.6</t>
  </si>
  <si>
    <t>F.4.6.7</t>
  </si>
  <si>
    <t>F.4.6.8</t>
  </si>
  <si>
    <t>F.4.6.9</t>
  </si>
  <si>
    <t>F.5.1</t>
  </si>
  <si>
    <t>F.5.2</t>
  </si>
  <si>
    <t xml:space="preserve"> → (G) - INFRA CONTÊINERES</t>
  </si>
  <si>
    <t>G.1.1</t>
  </si>
  <si>
    <t>G.1.1.1</t>
  </si>
  <si>
    <t>G.1.1.2</t>
  </si>
  <si>
    <t>G.1.1.3</t>
  </si>
  <si>
    <t>G.1.1.4</t>
  </si>
  <si>
    <t>G.1.1.5</t>
  </si>
  <si>
    <t>G.1.1.6</t>
  </si>
  <si>
    <t>G.1.1.7</t>
  </si>
  <si>
    <t>G.1.1.8</t>
  </si>
  <si>
    <t>G.1.1.9</t>
  </si>
  <si>
    <t>G.1.1.10</t>
  </si>
  <si>
    <t>G.1.1.11</t>
  </si>
  <si>
    <t>G.1.2</t>
  </si>
  <si>
    <t>G.1.2.1</t>
  </si>
  <si>
    <t>G.1.2.2</t>
  </si>
  <si>
    <t>G.1.2.3</t>
  </si>
  <si>
    <t>G.1.2.4</t>
  </si>
  <si>
    <t>G.1.2.5</t>
  </si>
  <si>
    <t>G.1.2.6</t>
  </si>
  <si>
    <t>G.2.1</t>
  </si>
  <si>
    <t>G.2.1.1</t>
  </si>
  <si>
    <t>G.2.1.2</t>
  </si>
  <si>
    <t>G.2.1.3</t>
  </si>
  <si>
    <t>G.2.1.4</t>
  </si>
  <si>
    <t>G.2.1.5</t>
  </si>
  <si>
    <t>G.2.1.6</t>
  </si>
  <si>
    <t>G.2.1.7</t>
  </si>
  <si>
    <t>G.2.1.8</t>
  </si>
  <si>
    <t>G.2.1.9</t>
  </si>
  <si>
    <t>G.2.1.10</t>
  </si>
  <si>
    <t>G.2.2</t>
  </si>
  <si>
    <t>G.2.2.1</t>
  </si>
  <si>
    <t>G.2.2.2</t>
  </si>
  <si>
    <t>G.2.2.3</t>
  </si>
  <si>
    <t>G.2.2.4</t>
  </si>
  <si>
    <t>G.2.2.5</t>
  </si>
  <si>
    <t>G.2.2.6</t>
  </si>
  <si>
    <t>G.2.3</t>
  </si>
  <si>
    <t>G.2.3.1</t>
  </si>
  <si>
    <t>G.2.3.2</t>
  </si>
  <si>
    <t>G.2.3.3</t>
  </si>
  <si>
    <t>G.2.3.4</t>
  </si>
  <si>
    <t>G.2.3.5</t>
  </si>
  <si>
    <t>G.3.1</t>
  </si>
  <si>
    <t>G.3.1.1</t>
  </si>
  <si>
    <t>G.3.1.2</t>
  </si>
  <si>
    <t>G.3.1.3</t>
  </si>
  <si>
    <t>G.3.1.4</t>
  </si>
  <si>
    <t>G.3.1.5</t>
  </si>
  <si>
    <t>G.3.1.6</t>
  </si>
  <si>
    <t>G.3.1.7</t>
  </si>
  <si>
    <t>G.3.1.8</t>
  </si>
  <si>
    <t>G.3.1.9</t>
  </si>
  <si>
    <t>G.3.1.10</t>
  </si>
  <si>
    <t>G.3.2</t>
  </si>
  <si>
    <t>G.3.2.1</t>
  </si>
  <si>
    <t>G.3.2.2</t>
  </si>
  <si>
    <t>G.3.2.3</t>
  </si>
  <si>
    <t>G.3.2.4</t>
  </si>
  <si>
    <t>G.3.2.5</t>
  </si>
  <si>
    <t>G.3.2.6</t>
  </si>
  <si>
    <t>G.4.1</t>
  </si>
  <si>
    <t>G.4.1.1</t>
  </si>
  <si>
    <t>G.4.1.2</t>
  </si>
  <si>
    <t>G.4.1.3</t>
  </si>
  <si>
    <t>G.4.1.4</t>
  </si>
  <si>
    <t>G.4.1.5</t>
  </si>
  <si>
    <t>G.4.1.6</t>
  </si>
  <si>
    <t>G.4.1.7</t>
  </si>
  <si>
    <t>G.4.1.8</t>
  </si>
  <si>
    <t>G.4.1.9</t>
  </si>
  <si>
    <t>G.4.1.10</t>
  </si>
  <si>
    <t>G.4.1.11</t>
  </si>
  <si>
    <t>G.4.1.12</t>
  </si>
  <si>
    <t>G.4.2</t>
  </si>
  <si>
    <t>G.4.2.1</t>
  </si>
  <si>
    <t>G.4.2.2</t>
  </si>
  <si>
    <t>G.4.2.3</t>
  </si>
  <si>
    <t>G.4.2.4</t>
  </si>
  <si>
    <t>G.4.2.5</t>
  </si>
  <si>
    <t>G.4.2.6</t>
  </si>
  <si>
    <t>G.5.1</t>
  </si>
  <si>
    <t>G.5.1.1</t>
  </si>
  <si>
    <t>G.5.1.2</t>
  </si>
  <si>
    <t>G.5.1.3</t>
  </si>
  <si>
    <t>G.5.1.4</t>
  </si>
  <si>
    <t>G.5.1.5</t>
  </si>
  <si>
    <t>G.5.1.6</t>
  </si>
  <si>
    <t>G.5.1.7</t>
  </si>
  <si>
    <t>G.5.1.8</t>
  </si>
  <si>
    <t>G.5.1.9</t>
  </si>
  <si>
    <t>G.5.1.10</t>
  </si>
  <si>
    <t>G.5.2</t>
  </si>
  <si>
    <t>G.5.2.1</t>
  </si>
  <si>
    <t>G.5.2.2</t>
  </si>
  <si>
    <t>G.5.2.3</t>
  </si>
  <si>
    <t>G.5.2.4</t>
  </si>
  <si>
    <t>G.5.2.5</t>
  </si>
  <si>
    <t>G.5.2.6</t>
  </si>
  <si>
    <t>G.6.1</t>
  </si>
  <si>
    <t>G.6.1.1</t>
  </si>
  <si>
    <t>G.6.1.2</t>
  </si>
  <si>
    <t>G.6.1.3</t>
  </si>
  <si>
    <t>G.6.1.4</t>
  </si>
  <si>
    <t>G.6.1.5</t>
  </si>
  <si>
    <t>G.6.1.6</t>
  </si>
  <si>
    <t>G.6.1.7</t>
  </si>
  <si>
    <t>G.6.1.8</t>
  </si>
  <si>
    <t>G.6.1.9</t>
  </si>
  <si>
    <t>G.6.1.10</t>
  </si>
  <si>
    <t>G.6.2</t>
  </si>
  <si>
    <t>G.6.2.1</t>
  </si>
  <si>
    <t>G.6.2.2</t>
  </si>
  <si>
    <t>G.6.2.3</t>
  </si>
  <si>
    <t>G.6.2.4</t>
  </si>
  <si>
    <t>G.6.2.5</t>
  </si>
  <si>
    <t>G.6.2.6</t>
  </si>
  <si>
    <t>G.6.2.7</t>
  </si>
  <si>
    <t>G.7.1</t>
  </si>
  <si>
    <t>G.7.1.1</t>
  </si>
  <si>
    <t>G.7.1.2</t>
  </si>
  <si>
    <t>G.7.1.3</t>
  </si>
  <si>
    <t>G.7.1.4</t>
  </si>
  <si>
    <t>G.7.1.5</t>
  </si>
  <si>
    <t>G.7.1.6</t>
  </si>
  <si>
    <t>G.7.1.7</t>
  </si>
  <si>
    <t>G.7.2</t>
  </si>
  <si>
    <t>G.7.2.1</t>
  </si>
  <si>
    <t>G.7.2.2</t>
  </si>
  <si>
    <t>G.7.2.3</t>
  </si>
  <si>
    <t>G.7.2.4</t>
  </si>
  <si>
    <t>G.7.2.5</t>
  </si>
  <si>
    <t>G.7.2.6</t>
  </si>
  <si>
    <t>G.7.2.7</t>
  </si>
  <si>
    <t>G.7.2.8</t>
  </si>
  <si>
    <t>G.7.2.9</t>
  </si>
  <si>
    <t>G.7.2.10</t>
  </si>
  <si>
    <t>G.7.2.11</t>
  </si>
  <si>
    <t>G.7.2.12</t>
  </si>
  <si>
    <t>G.7.2.13</t>
  </si>
  <si>
    <t>G.7.2.14</t>
  </si>
  <si>
    <t>G.7.2.15</t>
  </si>
  <si>
    <t>G.7.3</t>
  </si>
  <si>
    <t>G.7.3.1</t>
  </si>
  <si>
    <t>G.7.3.2</t>
  </si>
  <si>
    <t>G.7.3.3</t>
  </si>
  <si>
    <t>G.7.3.4</t>
  </si>
  <si>
    <t>G.7.3.5</t>
  </si>
  <si>
    <t>G.7.3.6</t>
  </si>
  <si>
    <t>G.7.3.7</t>
  </si>
  <si>
    <t>G.7.3.8</t>
  </si>
  <si>
    <t>G.7.3.9</t>
  </si>
  <si>
    <t>G.7.3.10</t>
  </si>
  <si>
    <t>G.7.3.11</t>
  </si>
  <si>
    <t>G.7.3.12</t>
  </si>
  <si>
    <t>G.7.3.13</t>
  </si>
  <si>
    <t>G.7.4</t>
  </si>
  <si>
    <t>G.7.4.1</t>
  </si>
  <si>
    <t>G.7.4.2</t>
  </si>
  <si>
    <t>G.7.4.3</t>
  </si>
  <si>
    <t>G.7.4.4</t>
  </si>
  <si>
    <t>G.7.4.5</t>
  </si>
  <si>
    <t>G.7.4.6</t>
  </si>
  <si>
    <t>G.7.5</t>
  </si>
  <si>
    <t>G.7.5.1</t>
  </si>
  <si>
    <t>G.7.5.2</t>
  </si>
  <si>
    <t>G.7.5.3</t>
  </si>
  <si>
    <t>G.7.5.4</t>
  </si>
  <si>
    <t>G.7.5.5</t>
  </si>
  <si>
    <t>G.7.5.6</t>
  </si>
  <si>
    <t>G.7.5.7</t>
  </si>
  <si>
    <t>G.7.5.8</t>
  </si>
  <si>
    <t>G.7.5.9</t>
  </si>
  <si>
    <t>G.7.6</t>
  </si>
  <si>
    <t>G.7.6.1</t>
  </si>
  <si>
    <t>G.7.6.2</t>
  </si>
  <si>
    <t>G.7.7</t>
  </si>
  <si>
    <t>G.7.7.1</t>
  </si>
  <si>
    <t>G.7.7.2</t>
  </si>
  <si>
    <t>G.7.7.3</t>
  </si>
  <si>
    <t>G.7.7.4</t>
  </si>
  <si>
    <t>G.7.7.5</t>
  </si>
  <si>
    <t>G.7.7.6</t>
  </si>
  <si>
    <t>G.7.7.7</t>
  </si>
  <si>
    <t>G.7.7.8</t>
  </si>
  <si>
    <t>G.7.7.9</t>
  </si>
  <si>
    <t>G.7.7.10</t>
  </si>
  <si>
    <t>G.7.7.11</t>
  </si>
  <si>
    <t>G.7.7.12</t>
  </si>
  <si>
    <t>G.7.7.13</t>
  </si>
  <si>
    <t>G.7.7.14</t>
  </si>
  <si>
    <t>G.7.7.15</t>
  </si>
  <si>
    <t>G.7.7.16</t>
  </si>
  <si>
    <t xml:space="preserve">  VALOR TOTAL DA OBRA SEM BDI</t>
  </si>
  <si>
    <t xml:space="preserve">  VALOR TOTAL DA OBRA COM BDI</t>
  </si>
  <si>
    <t xml:space="preserve">COMPOSIÇÕES PRÓPRIAS </t>
  </si>
  <si>
    <t>BANCO</t>
  </si>
  <si>
    <t>DESCRIÇÃO</t>
  </si>
  <si>
    <t>QTD</t>
  </si>
  <si>
    <t>VALOR UNITÁRIO</t>
  </si>
  <si>
    <t>• INSTALAÇÕES DE CANTEIRO, EQUIPAMENTOS, SERVIÇOS PRELIMINARES E TÉCNICOS</t>
  </si>
  <si>
    <t>COMPOSIÇÃO</t>
  </si>
  <si>
    <t>PRÓPRIA</t>
  </si>
  <si>
    <t>CP-CO-01</t>
  </si>
  <si>
    <t>PLACA DE OBRAS EM CHAPA DE ACO GALVANIZADO</t>
  </si>
  <si>
    <t>REFERÊNCIA</t>
  </si>
  <si>
    <t>SINAPI</t>
  </si>
  <si>
    <t>03/2024</t>
  </si>
  <si>
    <t>COMPOSIÇÃO AUXILIAR</t>
  </si>
  <si>
    <t>INSUMO</t>
  </si>
  <si>
    <t>CP-CO-02</t>
  </si>
  <si>
    <t>PORTÃO (TAPUME) COM TELHA TRAPEZOIDAL EM ACO ZINCADO, INCLUSO MONTANTES E FERRAGEM (4,00X2,00 M) (LXA). FORNECIMENTO E INSTALAÇÃO</t>
  </si>
  <si>
    <t>CP-CO-03</t>
  </si>
  <si>
    <t>SINALIZAÇÃO DE OBRA COM TELA TAPUME, COR LARANJA, COM SUPORTE A CADA 2M E PLACA DE SINALIZAÇÃO SOBRE CAVALETE.</t>
  </si>
  <si>
    <t>CAERN</t>
  </si>
  <si>
    <t>01/2023</t>
  </si>
  <si>
    <t>500229U</t>
  </si>
  <si>
    <t>CP-CO-04</t>
  </si>
  <si>
    <t xml:space="preserve">LOCAÇÃO MENSAL DE ESTRUTURA DE COBERTURA IMPERMEÁVEL 5x5 M (TENDA - INCLUSO MONTAGEM) E MANUTENÇÃO MENSAL
</t>
  </si>
  <si>
    <t>FDE</t>
  </si>
  <si>
    <t>01/2024</t>
  </si>
  <si>
    <t>COTAÇÃO</t>
  </si>
  <si>
    <t>COT64</t>
  </si>
  <si>
    <t>CP-CO-05</t>
  </si>
  <si>
    <t>(CLASSIFICAÇÃO DE RESÍDUO) - LOCAÇÃO DE CAÇAMBA ESTACIONÁRIA 5M³. INCLUSO TRANSPORTE MANUAL DE ENTULHO.</t>
  </si>
  <si>
    <t>12/2023</t>
  </si>
  <si>
    <t>CP-CO-06</t>
  </si>
  <si>
    <t>CENTRAL DE BETONEIRA DE ATÉ 600L - DIMENSÕES 5X5 M (CONSIDERANDO DISTANCIA SEGURA MINÍMA) , PÉ DIREITO H=2,80 M, ISOLAMENTO DE ÁREA DE RISCO EM PERIFERIA COM MADEIRA H=1,10M, INSTALAÇÕES ELÉTRICAS E ATERRAMENTO, BASE EM PISO RÍGIDO LEVEMENTE INCLINADO PARA ESCOAMENTO DE ÁGUA, COBERTURA DE PROTEÇÃO A INTERMPÉRIES CLIMÁTICAS E QUEDA DE MATERIAIS. (EXCETO BETONEIRA)</t>
  </si>
  <si>
    <t>NR10/ NR12/ NR18</t>
  </si>
  <si>
    <t>SISTEMA DE LIGA/DESLIGA E ATERRAMENTO DEVEM SER FORNECIDOS PELO PROPRIETÁRIO DA BETONEIRA DEVIDO ESPECIFICAÇÃO DE EQUIPAMENTO</t>
  </si>
  <si>
    <t>CP-CO-07</t>
  </si>
  <si>
    <t>LOCAÇÃO DE CONTAINER 2,30 X 6,00 M, ALT. 2,50 M, PARA ESCRITORIO, COM 1 SANITÁRIO, COMPLETO. EXCLUSO MOBILIZAÇÃO E DESMOBILIZAÇÃO</t>
  </si>
  <si>
    <t>AGESUL</t>
  </si>
  <si>
    <t>0101001186</t>
  </si>
  <si>
    <t>CP-CO-08</t>
  </si>
  <si>
    <t>LOCAÇÃO DE CONTAINER 2,30 X 4,30 M, ALT. 2,50 M, PARA SANITÁRIO, COM 3 BACIAS, 4 CHUVEIROS, 1 LAVATORIO E 1 MICTÓRIO (EXCLUSO MOBILIZAÇÃO/DESMOBILIZAÇÃO)</t>
  </si>
  <si>
    <t>0101001191</t>
  </si>
  <si>
    <t>CP-CO-09</t>
  </si>
  <si>
    <t>LOCAÇÃO DE CONTAINER 2,30 X 6,00 M, ALT. 2,50 M, PARA SANITÁRIO, COM 4 BACIAS, 8 CHUVEIROS,1 LAVATÓRIO E 1 MICTÓRIO (EXCLUSO MOBILIZAÇÃO/DESMOBILIZAÇÃO)</t>
  </si>
  <si>
    <t>CP-CO-10</t>
  </si>
  <si>
    <t>LOCAÇÃO DE CONTAINER 2,30 X 6,00 M, ALT. 2,50 M, PARA ALMOXARIFADO, SEM DIVISÓRIAS INTERNAS E SEM SANITÁRIO (EXCLUSO MOBILIZAÇÃO/DESMOBILIZAÇÃO)</t>
  </si>
  <si>
    <t>CP-CO-11</t>
  </si>
  <si>
    <t>SISTEMA DE TRATAMENTO DE EFLUENTES DE INSTALAÇÕES PROVISÓRIAS DE CANTEIRO DE OBRAS, SISTEMA FOSSA/FILTRO E CISTERNA - 8 A 14 CONTRIBUINTES</t>
  </si>
  <si>
    <t>SBC</t>
  </si>
  <si>
    <t>CP-CO-12</t>
  </si>
  <si>
    <t>ESGOTAMENTO DE FOSSA SÉPTICA COM LIMPEZA CAMINHÃO LIMPA FOSSA ATÉ 6M³</t>
  </si>
  <si>
    <t>11/2022</t>
  </si>
  <si>
    <t>CP-CO-13</t>
  </si>
  <si>
    <t>PORTÃO EM GRADE DE ABRIR, COM BARRA CHATA 3CMX1/4", COM REQUADRO E GUARNIÇÃO. FORNECIMENTO E INSTALAÇÃO</t>
  </si>
  <si>
    <t>73933/001</t>
  </si>
  <si>
    <t>CP-CO-14</t>
  </si>
  <si>
    <t>LOCAÇÃO DE CONTAINER TIPO GUARITA (ÁREA MÍNIMA 4,50 M²)</t>
  </si>
  <si>
    <t>CPOS/CDHU</t>
  </si>
  <si>
    <t xml:space="preserve">05/2023	</t>
  </si>
  <si>
    <t>A.12.000.021081</t>
  </si>
  <si>
    <t>CP-CO-15</t>
  </si>
  <si>
    <t>PLACA DE SINALIZAÇÃO/IDENTIFICAÇÃO DE AMBIENTES. FORNECIMENTO E INSTALAÇÃO</t>
  </si>
  <si>
    <t>97.02.210</t>
  </si>
  <si>
    <t>CP-CO-16</t>
  </si>
  <si>
    <t>LAVATÓRIO/PIA TIPO CALHA EM AÇO INOX, COM 03 PONTOS DE TORNEIRA. EXCLUSIVE LIGAÇÕES HIDROSSANITÁRIAS</t>
  </si>
  <si>
    <t>02/2024</t>
  </si>
  <si>
    <t>O.15.000.090259</t>
  </si>
  <si>
    <t>CP-CO-17</t>
  </si>
  <si>
    <t>LASTRO COM MATERIAL GRANULAR (PEDRA BRITADA N.1), APLICADO EM PISOS OU LAJES SOBRE SOLO, ESPESSURA DE *5 CM*(CANTEIRO)</t>
  </si>
  <si>
    <t>CP-CO-18</t>
  </si>
  <si>
    <t>EXECUÇÃO DE RESERVATÓRIO ELEVADO DE ÁGUA (2000 LITROS) EM CANTEIRO DE OBRAS, APOIADO EM ESTRUTURA DE MADEIRA.</t>
  </si>
  <si>
    <t>CP-CO-19</t>
  </si>
  <si>
    <t>COBERTURA DE APOIO PARA CANTEIRO DE OBRAS, TELHAMENTO COM TELHA ONDULADA DE FIBROCIMENTO E = 6 MM,  ESTRUTURA EM MADEIRA. EXCLUSO INSTALAÇÕES EM GERAL E PISO.</t>
  </si>
  <si>
    <t>CP-CO-20</t>
  </si>
  <si>
    <t>PORTA/PORTAO EM ALUMINIO DE CORRER C/FERRAGENS - FORNECIMENTO E INSTALAÇÃO</t>
  </si>
  <si>
    <t>EMBASA</t>
  </si>
  <si>
    <t>D190000056</t>
  </si>
  <si>
    <t>CP-CO-21</t>
  </si>
  <si>
    <t>PORTÃO METÁLICO DE CORRER 1 FOLHA COM FECHAMENTO EM TELA ARTÍSTICA 25X25MM, RETANGULAR, TRILHO INFERIOR E GUIA SUPERIOR</t>
  </si>
  <si>
    <t>SUDECAP</t>
  </si>
  <si>
    <t>48.70.98</t>
  </si>
  <si>
    <t>60.32.23</t>
  </si>
  <si>
    <t>CP-CO-22</t>
  </si>
  <si>
    <t>PLATAFORMA DE PROTEÇÃO (SECUNDÁRIA) PARA COLETA DE ENTULHOS COM ESTRUTURA METÁLICA E FORRAÇÃO EM TÁBUA DE MADEIRA SERRADA - 1 MONTAGEM POR OBRA</t>
  </si>
  <si>
    <t>CP-CO-23</t>
  </si>
  <si>
    <t>PLATAFORMA DE PROTEÇÃO PRINCIPAL( PRIMÁRIA) PARA COLETA DE ENTULHOS COM ESTRUTURA METÁLICA E FORRAÇÃO EM TÁBUA DE MADEIRA SERRADA - 1 MONTAGEM POR OBRA</t>
  </si>
  <si>
    <t>CP-CO-24</t>
  </si>
  <si>
    <t>LOCAÇÃO DE CABINE DE BANHEIRO QUÍMICO, INCLUSO - INCLUSO FRETE E 02 MANUTENÇÕES MENSAIS</t>
  </si>
  <si>
    <t>89.50.09</t>
  </si>
  <si>
    <t>CP-EQP-01</t>
  </si>
  <si>
    <t>LOCACAO DE GRUPO GERADOR 80 A 125 KVA, MOTOR DIESEL, REBOCAVEL, ACIONAMENTO MANUAL</t>
  </si>
  <si>
    <t>59.07.10</t>
  </si>
  <si>
    <t>CP-EQP-02</t>
  </si>
  <si>
    <t>LOCACAO DE ANDAIME METALICO TIPO FACHADEIRO, PECAS COM APROXIMADAMENTE 1,20 M DE LARGURA E 2,0 M DE ALTURA, INCLUINDO DIAGONAIS EM X, BARRAS DE LIGACAO, SAPATAS E DEMAIS ITENS NECESSARIOS A MONTAGEM, INCLUSO INSTALAÇÃO</t>
  </si>
  <si>
    <t>10/2023</t>
  </si>
  <si>
    <t>CP-EQP-03</t>
  </si>
  <si>
    <t>LOCAÇÃO E MONTAGEM DE ANDAIME METÁLICO TUBULAR TIPO TORRE, INCLUSO ITENS NECESSÁRIOS A MONTAGEM</t>
  </si>
  <si>
    <t>SETOP</t>
  </si>
  <si>
    <t>ED-9076</t>
  </si>
  <si>
    <t>CP-EQP-04</t>
  </si>
  <si>
    <t>LOCAÇÃO DE PLATAFORMA ELEVATÓRIA ARTICULADA A DIESEL, COM ALTURA MÁXIMA DE 20M, PREVENDO SINALIZAÇÃO TÉRREA COM TELA TIPO TAPUME LARANJA E PLACAS DE SINALIZAÇÃO</t>
  </si>
  <si>
    <t>02.06.040</t>
  </si>
  <si>
    <t>06/2024</t>
  </si>
  <si>
    <t>A.05.000.080374</t>
  </si>
  <si>
    <t>CP-EQP-05</t>
  </si>
  <si>
    <t>GERADOR PORTÁTIL MONOFÁSICO, POTÊNCIA 5500 VA, MOTOR A GASOLINA, POTÊNCIA DO MOTOR 13 CV</t>
  </si>
  <si>
    <t>CP-SERVT-01</t>
  </si>
  <si>
    <t>ENGENHEIRO ELETRICISTA/MECÂNICO COM ENCARGOS COMPLEMENTARES</t>
  </si>
  <si>
    <t>ED-21772</t>
  </si>
  <si>
    <t>ED-21761</t>
  </si>
  <si>
    <t>MOED-21737</t>
  </si>
  <si>
    <t>CP-SERVT-02</t>
  </si>
  <si>
    <t>ENGENHEIRO SANITARISTA COM ENCARGOS COMPLEMENTARES</t>
  </si>
  <si>
    <t>ED-21773</t>
  </si>
  <si>
    <t>ED-21760</t>
  </si>
  <si>
    <t>MOED-21738</t>
  </si>
  <si>
    <t>CP-SERVT-03</t>
  </si>
  <si>
    <t>VIGIA NOTURNO, HORA EFETIVAMENTE TRABALHADA DE 22 H AS 5 H (COM ADICIONAL NOTURNO)</t>
  </si>
  <si>
    <t>ED-21780</t>
  </si>
  <si>
    <t>• ESTRUTURAL</t>
  </si>
  <si>
    <t>PS-CP-EST-01</t>
  </si>
  <si>
    <t>TRATAMENTO DE JUNTA DE DILATAÇÃO, COM TARUGO DE POLIETILENO E SELANTE PU, INCLUSO PREENCHIMENTO COM ESPUMA EXPANSIVA PU  EPS 20MM</t>
  </si>
  <si>
    <t>08/2024</t>
  </si>
  <si>
    <t>PS-CP-EST-02</t>
  </si>
  <si>
    <t>ESTACA ESCAVADA MECANICAMENTE, SEM FLUIDO ESTABILIZANTE, COM 40CM DE DIÂMETRO. (EXCLUSIVE MOBILIZAÇÃO E DESMOBILIZAÇÃO, ARMADURA, CONCRETAGEM E DESCARTE DO SOLO)</t>
  </si>
  <si>
    <t>PS-CP-EST-03</t>
  </si>
  <si>
    <t>CONCRETAGEM FCK = 25 MPA, COM USO DE BOMBA - LANÇAMENTO, ADENSAMENTO E ACABAMENTO</t>
  </si>
  <si>
    <t>PS-CP-EST-04</t>
  </si>
  <si>
    <t>FABRICAÇÃO DE FÔRMA EM CHAPA DE MADEIRA COMPENSADA PLASTIFICADA, E = 18 MM</t>
  </si>
  <si>
    <t>PS-CP-EST-05</t>
  </si>
  <si>
    <t>ESTACA ESCAVADA MECANICAMENTE, SEM FLUIDO ESTABILIZANTE, COM 25 CM DE DIÂMETRO. (EXCLUSIVE MOBILIZAÇÃO E DESMOBILIZAÇÃO, ARMADURA, CONCRETAGEM E DESCARTE DO SOLO)</t>
  </si>
  <si>
    <t>PS-CP-EST-06</t>
  </si>
  <si>
    <t>MOLDAGEM E ENSAIO PARA DETERMINACAO DA RESISTENCIA A COMPRESSAO DE CORPOS DE PROVA CILINDRICOS , INCLUSO ROMPIMENTO E LAUDO TÉCNICO (1 ENSAIO A CADA 5M3)</t>
  </si>
  <si>
    <t>PS-CP-EST-07</t>
  </si>
  <si>
    <t>CURA ÚMIDA POR ASPERSÃO DE ÁGUA DURANTE 3 DIAS COM UTILIZAÇÃO DE MANTA GEOTEXTIL NAO TECIDO AGULHADO DE FILAMENTOS CONTINUOS 100% POLIESTER - 4 UTILIZAÇÕES</t>
  </si>
  <si>
    <t>ORSE</t>
  </si>
  <si>
    <t xml:space="preserve">EXECUÇÃO DE PASSEIO (CALÇADA) OU PISO DE CONCRETO C25 MOLDADO IN LOCO, USINADO, ACABAMENTO CONVENCIONAL, ESPESSURA 8 CM, ARMADO. </t>
  </si>
  <si>
    <t>07/2024</t>
  </si>
  <si>
    <t>PS-CP-EST-09</t>
  </si>
  <si>
    <t>ARMAÇÃO VERTICAL DE ALVENARIA ESTRUTURAL; DIÂMETRO DE 8,0 MM</t>
  </si>
  <si>
    <t>PS-CP-EST-10</t>
  </si>
  <si>
    <t>ALVENARIA DE BLOCOS DE CONCRETO ESTRUTURAL 19X19X39 CM (ESPESSURA 19 CM) FBK = 8 MPA E ARGAMASSA DE ASSENTAMENTO COM PREPARO EM BETONEIRA</t>
  </si>
  <si>
    <t>PS-CP-EST-11</t>
  </si>
  <si>
    <t>ARGAMASSA DE REGULARIZAÇÃO ESPESSURA 15MM</t>
  </si>
  <si>
    <t>CP-EST-37</t>
  </si>
  <si>
    <t>PS-CP-EST-12</t>
  </si>
  <si>
    <t xml:space="preserve"> FORNECIMENTO E MONTAGEM DE ESTRUTURA METÁLICA SOLDADAS ESTRUTURA METÁLICA - QUIOSQUE, INCLUSO UMA DEMÃO PINTURA DE FUNDO COM ZARCÃO  E ACABAMENTO EM ESMALTE</t>
  </si>
  <si>
    <t>PERFIL C 100x50x17 #2.25 mm</t>
  </si>
  <si>
    <t>PERFIL L 30 #2.50mm</t>
  </si>
  <si>
    <t>PERFIL C 75x40x15 #2.00 mm</t>
  </si>
  <si>
    <t>METALON 30x30 #1.00mm</t>
  </si>
  <si>
    <t>PLACA  155x50 #6.35</t>
  </si>
  <si>
    <t>PLACA  100x200 #6.35</t>
  </si>
  <si>
    <t>COT92</t>
  </si>
  <si>
    <t>ED-29558</t>
  </si>
  <si>
    <t>PS-CP-EST-13</t>
  </si>
  <si>
    <t>CONCRETAGEM DE PILARES, FCK=30 MPA - LANÇAMENTO, ADENSAMENTO E ACABAMENTO</t>
  </si>
  <si>
    <t>PS-CP-EST-14</t>
  </si>
  <si>
    <r>
      <rPr>
        <b/>
        <sz val="10"/>
        <color rgb="FF000000"/>
        <rFont val="Calibri"/>
        <family val="2"/>
      </rPr>
      <t xml:space="preserve">CONCRETAGEM DE VIGAS E LAJES, FCK=30 MPA, PARA LAJES MACIÇAS OU NERVURADAS </t>
    </r>
    <r>
      <rPr>
        <b/>
        <sz val="10"/>
        <color rgb="FF000000"/>
        <rFont val="Calibri"/>
        <family val="2"/>
      </rPr>
      <t>COM USO DE BOMBAS</t>
    </r>
    <r>
      <rPr>
        <b/>
        <sz val="10"/>
        <color rgb="FF000000"/>
        <rFont val="Calibri"/>
        <family val="2"/>
      </rPr>
      <t xml:space="preserve"> - LANÇAMENTO, ADENSAMENTO E ACABAMENTO</t>
    </r>
  </si>
  <si>
    <t>PS-CP-EST-15</t>
  </si>
  <si>
    <t>FORNECIMENTO E MONTAGEM DE ESTRUTURA METÁLICA SOLDADAS - COBERTURA WAKE BAR, INCLUSO PINTURA DE FUNDO COM ZARCÃO  E ACABAMENTO EM ESMALTE</t>
  </si>
  <si>
    <t>VIGA LAMINADA W310 X 21 - ASTM36</t>
  </si>
  <si>
    <t>TIRANTE DE CONTRAVENTAMENTO 12.50mm</t>
  </si>
  <si>
    <t>PERFIL 2Ue 100x50x17x3.35mm</t>
  </si>
  <si>
    <t>PERFIL 2Ue 75x40x15x3.04mm</t>
  </si>
  <si>
    <t>O - 219,1X3.75mm</t>
  </si>
  <si>
    <t>PERFIL 2Ue 100X50X17X2.00mm</t>
  </si>
  <si>
    <t>PERFIL 2Ue 75X40X17X2.00mm</t>
  </si>
  <si>
    <t>PERFIL Ue 150X60X20X1,90mm</t>
  </si>
  <si>
    <t>METALON 30X1.0mm</t>
  </si>
  <si>
    <t>PLACA BASE 150x300x8.0mm</t>
  </si>
  <si>
    <t>PLACA BASE 300x300x12.7mm</t>
  </si>
  <si>
    <t>VERGALHÃO 12.50mm CA50</t>
  </si>
  <si>
    <t>VERGALHÃO 16.00mm CA50</t>
  </si>
  <si>
    <t>2.66.93</t>
  </si>
  <si>
    <t>PS-CP-EST-16</t>
  </si>
  <si>
    <t>LAJE TRELIÇADA UNIDIRECIONAL COM TRELIÇA TR126545 - LAJOTA DE EPS ESPECIAL H12 - 12X30X125CM - CAPA DE 4CM FCK 30MPA - TELA DE AÇO SOLDADA NERVURADA Q61</t>
  </si>
  <si>
    <t>COT263</t>
  </si>
  <si>
    <t>PS-CP-EST-17</t>
  </si>
  <si>
    <t>ESTACA BROCA DE CONCRETO, DIÂMETRO 30 CM, PROFUNDIDADE ATÉ 3M, ESCAVAÇÃO MANUAL COM TRADO CONCHA,INCLUSIVE CONCRETO USINADO BOMBEAVEL 30 MPA, EXCLUSIVE ARMAÇÃO</t>
  </si>
  <si>
    <t>PS-CP-EST-18</t>
  </si>
  <si>
    <t>LAJE TRELIÇADA UNIDIRECIONAL COM TRELIÇA TR12645 - ENCHIMENTO DE EPS H12 - 12X40X100CM - CAPA DE 5CM - FCK 25MPA - TELA DE AÇO SOLDADA NERVURADA Q92 , INCLUSIVE ESCORAMENTO</t>
  </si>
  <si>
    <t>PS-CP-EST-19</t>
  </si>
  <si>
    <t>ESTACA BROCA DE CONCRETO, DIÂMETRO DE 20CM, ESCAVAÇÃO MANUAL COM TRADO CONCHA (EXCLUSIVE ARMADURA E CONCRETO) - PROFUNDIDADE ATÉ 2,00M</t>
  </si>
  <si>
    <t>PS-CP-EST-20</t>
  </si>
  <si>
    <t>ESTACA BROCA DE CONCRETO, DIÂMETRO DE 25CM, ESCAVAÇÃO MANUAL COM TRADO CONCHA (EXCLUSIVE ARMADURA E CONCRETO) - PROFUNDIDADE ATÉ 2,00M</t>
  </si>
  <si>
    <t>PS-CP-EST-21</t>
  </si>
  <si>
    <t>FORNECIMENTO E MONTAGEM DE ESTRUTURA METÁLICA SOLDADAS - BANHEIRO DE APOIO - CENTRO DE EVENTOS (MARQUISE E TELHADO CENTRAL), INCLUSO PINTURA DE FUNDO COM ZARCÃO, ACABAMENTO EM ESMALTE E PINTURA ELETROSTÁTICA NA MARQUISE</t>
  </si>
  <si>
    <t>PERFIL U 75X40 - 2.65mm (TRELIÇAS-MARQUISE)</t>
  </si>
  <si>
    <t>CANTONEIRA ABAS IGUAIS  3/4" - 2.5mm (TRELIÇAS-MARQUISE)</t>
  </si>
  <si>
    <t>CANTONEIRA ABAS IGUAIS  3/4" - 2.5mm (CONTRAVENTAMENTO-MARQUISE)</t>
  </si>
  <si>
    <t>CANTONEIRA ABAS IGUAIS  3/4" - 2.5mm (CONTRAVENTAMENTO-TELHADO CENTRAL)</t>
  </si>
  <si>
    <t>PLACA BASE INTERNA - CHAPA DE AÇO 3/8" (TRELIÇA-MARQUISE)</t>
  </si>
  <si>
    <t>PLACA BASE - CHAPA DE AÇO 3/8" (VIGAS DE APOIO-MARQUISE)</t>
  </si>
  <si>
    <t>PLACA BASE - CHAPA DE AÇO 3/8" (VIGA-TELHADO CENTRAL)</t>
  </si>
  <si>
    <t>PLACA BASE EXTERNA - CHAPA DE AÇO 1/2" (TRELIÇA-MARQUISE)</t>
  </si>
  <si>
    <t>COT271</t>
  </si>
  <si>
    <t>BARRA ROSCADA 1/2" (25CM) (TRELIÇAS-MARQUISE)</t>
  </si>
  <si>
    <t>BARRA ROSCADA 1/2" (25CM) (VIGAS DE APOIO-MARQUISE)</t>
  </si>
  <si>
    <t>BARRA ROSCADA 1/2" (25CM) (VIGA-TELHADO CENTRAL)</t>
  </si>
  <si>
    <t>PORCA 1/2" (TRELIÇAS-MARQUISE)</t>
  </si>
  <si>
    <t>PORCA 1/2" (VIGAS DE APOIO-MARQUISE)</t>
  </si>
  <si>
    <t>PORCA 1/2" (VIGA-TELHADO CENTRAL)</t>
  </si>
  <si>
    <t>I0129</t>
  </si>
  <si>
    <t>ANILHA 1/2" (TRELIÇAS-MARQUISE)</t>
  </si>
  <si>
    <t>ANILHA 1/2" (VIGAS DE APOIO-MARQUISE)</t>
  </si>
  <si>
    <t>ANILHA 1/2" (VIGA-TELHADO CENTRAL)</t>
  </si>
  <si>
    <t>PERFIL Ue 127x50x17 - 2.0mm (TERÇAS METÁLICAS-MARQUISE)</t>
  </si>
  <si>
    <t>PERFIL Ue 127x50x17 - 2.0mm (TERÇAS METÁLICAS-TELHADO CENTRAL)</t>
  </si>
  <si>
    <t>PERFIL Ue 100x50x17 - 2.00mm (VIGAS-TELHADO CENTRAL)</t>
  </si>
  <si>
    <t>PERFIL Ue 75x40x15 - 2.25mm (TERÇAS METÁLICAS-MARQUISE)</t>
  </si>
  <si>
    <t>PERFIL Ue 75x40x15 - 2.25mm (VIGAS DE APOIO-MARQUISE)</t>
  </si>
  <si>
    <t>CHAPA DE AÇO FINA 1,2MM # 18 (ACABAMESTO TESTEIRA-MRQUISE)</t>
  </si>
  <si>
    <t>BARRA LISA CA-25 - 3/8 (CONTRAVENTAMENTO-MARQUISE)</t>
  </si>
  <si>
    <t>BARRA LISA CA-25 - 3/8 (CONTRAVENTAMENTO-TELHADO CENTRAL)</t>
  </si>
  <si>
    <t>PORCA 3/8" (CONTRAVENTAMENTO-MARQUISE)</t>
  </si>
  <si>
    <t>PORCA 3/8" (CONTRAVENTAMENTO-TELHADO CENTRAL)</t>
  </si>
  <si>
    <t>PLACA DE BASE - CHAPA DE AÇO 1/4" (VIGA-TELHADO CENTRAL)</t>
  </si>
  <si>
    <t>PS-CP-EST-22</t>
  </si>
  <si>
    <t>FORNECIMENTO E MONTAGEM DE ESTRUTURA METÁLICA SOLDADAS - BANHEIRO DE APOIO - ESPAÇO DE SHOWS (COBERTURA 1, COBERTURA 2, COBERTURA 3 e SUPORTE DO PAINEL), INCLUSO PINTURA DE FUNDO COM ZARCÃO  E ACABAMENTO EM ESMALTE</t>
  </si>
  <si>
    <t>PERFIL 2Ue100x50x17x2,00mm (COBERTURA 1)</t>
  </si>
  <si>
    <t>PERFIL Ue 75x40x15x2,0mm (COBERTURA 1)</t>
  </si>
  <si>
    <t>PERFIL U 142x50x2,0mm (COBERTURA 1)</t>
  </si>
  <si>
    <t>PERFIL 2Ue100x50x17x2,00mm (COBERTURA 2)</t>
  </si>
  <si>
    <t>PERFIL Ue100x50x17x2,00mm (COBERTURA 2)</t>
  </si>
  <si>
    <t>PERFIL 2Ue100x50x17x2,00mm (COBERTURA 3)</t>
  </si>
  <si>
    <t>PERFIL Ue100x50x17x2,00mm (COBERTURA 3)</t>
  </si>
  <si>
    <t>CANTONEIRA ABAS IGUAIS  3/4" - 2.5mm (COBERTURA 1)</t>
  </si>
  <si>
    <t>PERFIL 2Ue 100x50x17x2,66mm (COBERTURA 1)</t>
  </si>
  <si>
    <t>CANTONEIRA ABAS IGUAIS  3/4" - 2.5mm (SUPORTE DO PAINEL)</t>
  </si>
  <si>
    <t>METALON 150x50x1,50MM (BRISES - COBERTURA 1)</t>
  </si>
  <si>
    <t>PERFIL U 700x15x1,2mm (COBERTURA 1)</t>
  </si>
  <si>
    <t>TUBO AÇO SAE 1020 #1.5mm - 50x50mm (SUPORTE DO PAINEL)</t>
  </si>
  <si>
    <t>PERFIL U 150x50x1x90mm (COBERTURA 1)</t>
  </si>
  <si>
    <t>PLACA BASE A - CHAPA DE AÇO 250x140x9,53mm - 10un (COBERTURA 1)</t>
  </si>
  <si>
    <t>PLACA BASE B - CHAPA DE AÇO  250x250x9,53mm - 4un (COBERTURA 1)</t>
  </si>
  <si>
    <t>PLACA BASE C - CHAPA DE AÇO  300x250x9,53mm - 8un (COBERTURA 1)</t>
  </si>
  <si>
    <t>PLACA BASE D - CHAPA DE AÇO  1680x200x9,53mm - 4un (COBERTURA 1)</t>
  </si>
  <si>
    <t>PLACA BASE E - CHAPA DE AÇO  1830x200x9,53mm - 5un (COBERTURA 1)</t>
  </si>
  <si>
    <t>PLACA BASE F - CHAPA DE AÇO  356x196x9,53mm - 01un (COBERTURA 1)</t>
  </si>
  <si>
    <t>PLACA BASE G - CHAPA DE AÇO  560x192x9,53mm - 01un (COBERTURA 1)</t>
  </si>
  <si>
    <t>PLACA BASE A - CHAPA DE AÇO  250x200x9,53mm - 20un (COBERTURA 2)</t>
  </si>
  <si>
    <t>PLACA BASE B - CHAPA DE AÇO  250x140x9,53mm - 3un (COBERTURA 2)</t>
  </si>
  <si>
    <t>PLACA BASE A - CHAPA DE AÇO  200x200x8,00mm - 10un (COBERTURA 3)</t>
  </si>
  <si>
    <t>PORCA 1/2" (COBERTURA 2)</t>
  </si>
  <si>
    <t>PORCA 3/8" (CORBERTURA 1)</t>
  </si>
  <si>
    <t>PARAFUSO CABEÇA CHATA, PONTA AGULHA, 4x50mm (SUPORTE DO PAINEL)</t>
  </si>
  <si>
    <t>TIRANTE CONTRAVENTAMENTO 3/8" (COBERTURA 1)</t>
  </si>
  <si>
    <t>TIRANTE CONTRAVENTAMENTO 10mm (COBERTURA 2)</t>
  </si>
  <si>
    <t>TIRANTE CONTRAVENTAMENTO 10mm (COBERTURA 3)</t>
  </si>
  <si>
    <t>VERGALHÃO CA-50 - 12,5mm - C=317mm - 48Un (PLACA BASE D - COBERTURA 1)</t>
  </si>
  <si>
    <t>VERGALHÃO CA-50 - 12,5mm - C=317mm - 60Un (PLACA BASE E - COBERTURA 1)</t>
  </si>
  <si>
    <t>VERGALHÃO CA-50 - 12,5mm - C=317mm - 03Un (PLACA BASE F - COBERTURA 1)</t>
  </si>
  <si>
    <t>VERGALHÃO CA-50 - 12,5mm - C=317mm - 03Un (PLACA BASE G - COBERTURA 1)</t>
  </si>
  <si>
    <t>SEINFRA</t>
  </si>
  <si>
    <t>ARRUELA 1/2" (COBERTURA 2)</t>
  </si>
  <si>
    <t>BARRA ROSCADA 1/2" - C=210mm - 40Un (COBERTURA 2)</t>
  </si>
  <si>
    <t>PARABOLT 1/4"x3" (PLACA BASE A - COBERTURA 1)</t>
  </si>
  <si>
    <t>PARABOLT 1/4"x3" (PLACA BASE B - COBERTURA 1)</t>
  </si>
  <si>
    <t>PARABOLT 1/4"x3" (PLACA BASE C - COBERTURA 1)</t>
  </si>
  <si>
    <t>PARABOLT 1/4"x3" (PLACA BASE B - COBERTURA 2)</t>
  </si>
  <si>
    <t>PARABOLT 1/4"x3" (PLACA BASE A - COBERTURA 3)</t>
  </si>
  <si>
    <t>ARRUELA 3/8" (COBERTURA 1)</t>
  </si>
  <si>
    <t>• ARQUITETURA</t>
  </si>
  <si>
    <t>PS-CP-01</t>
  </si>
  <si>
    <t>REVESTIMENTO INTERNO, ACETINADO, OLD ROSE GROOVE, BORDA RETA, DIMENSÕES 30X90CM. FORNECIMENTO E APLICAÇÃO</t>
  </si>
  <si>
    <t>A00075</t>
  </si>
  <si>
    <t>PS-CP-02</t>
  </si>
  <si>
    <t>REVESTIMENTO INTERNO, ACETINADO, CANELA DECOR RIPADO, BORDA RETA, DIMENSÕES 30X90CM. FORNECIMENTO E APLICAÇÃO</t>
  </si>
  <si>
    <t>PS-CP-03</t>
  </si>
  <si>
    <t>REVESTIMENTO, MONOCOLOR ROSA BRILHANTE - KREA ROSE, BORDA ARREDONDADA, DIMENSÕES 10X40CM. FORNECIMENTO E APLICAÇÃO</t>
  </si>
  <si>
    <t>A00071</t>
  </si>
  <si>
    <t>PS-CP-04</t>
  </si>
  <si>
    <t>REVESTIMENTO, MONOCOLOR BEGE ACETINADO - KREA ARTIC, BORDA ARREDONDADA, DIMENSÕES 10X40CM. FORNECIMENTO E APLICAÇÃO</t>
  </si>
  <si>
    <t>PS-CP-05</t>
  </si>
  <si>
    <t>REVESTIMENTO, MONOCOLOR VERDE BRILHANTE - KREA ACQUA, BORDA ARREDONDADA, DIMENSÕES 10X40CM. FORNECIMENTO E APLICAÇÃO</t>
  </si>
  <si>
    <t>PS-CP-06</t>
  </si>
  <si>
    <t>REVESTIMENTO, PEDRA RÚSTICA REGIONAL, TONALIDADE AREIA. FORNECIMENTO E APLICAÇÃO</t>
  </si>
  <si>
    <t>COTWB-01</t>
  </si>
  <si>
    <t>PS-CP-07</t>
  </si>
  <si>
    <t>REVESTIMENTO CIMENTÍCIO, ACETINADO, BORDA RETA, DIMENSÕES 100X100 CM, MUNICH SGR. FORNECIMENTO E APLICAÇÃO</t>
  </si>
  <si>
    <t>PS-CP-08</t>
  </si>
  <si>
    <t>REVESTIMENTO CERÂMICO, TIPO PORCELANATO, CEMENTO GRIGIO, BIANCOGRES, RETIFICADO, DIMENSÕES 90X90CM (REJUNTE CINZA OUTONO) -  FORNECIMENTO E APLICAÇÃO</t>
  </si>
  <si>
    <t>PS-CP-09</t>
  </si>
  <si>
    <t>REVESTIMENTO PORCELANATO, DECORADO, ACETINADO, BORDA RETA, DIMENSÕES 90X90CM, REJUNTADO - TERRAZO VENEZIANO AVORIO -  FORNECIMENTO E APLICAÇÃO</t>
  </si>
  <si>
    <t>PS-CP-10</t>
  </si>
  <si>
    <t>PORTA EM ALUMÍNIO, COM VENEZIANA FIXA LAMINADA VAZADA, NA COR BRANCO, FECHADURA TIPO "LIVRE E OCUPADO". FORNECIMENTO E INSTALAÇÃO</t>
  </si>
  <si>
    <t>PS-CP-11</t>
  </si>
  <si>
    <t>JANELA TIPO GUILHOTINA, EM ALUMÍNIO NA COR BRANCO FOSCO E VIDRO E=6MM, 02 FOLHAS. FORNECIMENTO E INSTALAÇÃO</t>
  </si>
  <si>
    <t>PS-CP-12</t>
  </si>
  <si>
    <t>PELE DE VIDRO, ESTRUTURA EM ALUMÍNIO, ACABAMENTO EM PINTURA ELETROSTÁTICA E VIDRO TEMPERADO INCOLOR 10 MM - FORNECIMENTO E INSTALAÇÃO</t>
  </si>
  <si>
    <t>H.05.000.030403</t>
  </si>
  <si>
    <t>PS-CP-13</t>
  </si>
  <si>
    <t>REVESTIMENTO EM CHAPA DE LAMINADO MELAMÍNICO</t>
  </si>
  <si>
    <t>C2216</t>
  </si>
  <si>
    <t>PS-CP-14</t>
  </si>
  <si>
    <t>APLICAÇÃO DE TEXTURA CIMENTO QUEIMADO</t>
  </si>
  <si>
    <t>COT198</t>
  </si>
  <si>
    <t>PS-CP-15</t>
  </si>
  <si>
    <t xml:space="preserve">REBOCO RÚSTICO </t>
  </si>
  <si>
    <t>PS-CP-16</t>
  </si>
  <si>
    <t>PINTURA COM TINTA ACRÍLICA PREMIUM EM PAREDES, DUAS DEMÃOS.</t>
  </si>
  <si>
    <t>PS-CP-17</t>
  </si>
  <si>
    <t xml:space="preserve">PINTURA COM TINTA EPÓXI, APLICAÇÃO MANUAL, 2 DEMÃOS, INCLUSO PRIMER EPÓXI. </t>
  </si>
  <si>
    <t>PS-CP-18</t>
  </si>
  <si>
    <t>ACABAMENTO LEVIGADO EM PISO DE CONCRETO</t>
  </si>
  <si>
    <t>PS-CP-19</t>
  </si>
  <si>
    <t>BANCADA EM GRANITO ITAÚNAS, LEVIGADO, E=2 CM, ASSENTADO COM ARGAMASSA COLANTE, FIXADA COM PERFIL METÁLICO</t>
  </si>
  <si>
    <t>05/2024</t>
  </si>
  <si>
    <t>COT204</t>
  </si>
  <si>
    <t>PS-CP-20</t>
  </si>
  <si>
    <t>BANCADA EM GRANILITE, E=2 CM, ASSENTADO COM ARGAMASSA COLANTE, FIXADA COM PERFIL METÁLICO</t>
  </si>
  <si>
    <t>PS-CP-21</t>
  </si>
  <si>
    <t>PEITORIL LINEAR EM GRANITO BRANCO ITAÚNA, ATÉ L= 25 CM, ASSENTADO COM ARGAMASSA COLANTE</t>
  </si>
  <si>
    <t>COT02</t>
  </si>
  <si>
    <t>PS-CP-22</t>
  </si>
  <si>
    <t>SOLEIRA/ RODAPÉ LINEAR EM GRANITO CINZA ANDORINHA LEVIGADO, L= 20 CM - FORNECIMENTO E ASSENTAMENTO</t>
  </si>
  <si>
    <t>COT50</t>
  </si>
  <si>
    <t xml:space="preserve">   </t>
  </si>
  <si>
    <t>PS-CP-23</t>
  </si>
  <si>
    <t>SOLEIRA LINEAR EM GRANITO BRANCO ITAÚNAS, L= 20 CM - FORNECIMENTO E ASSENTAMENTO</t>
  </si>
  <si>
    <t>PS-CP-24</t>
  </si>
  <si>
    <t>SOLEIRA LINEAR EM GRANITO BRANCO ITAÚNAS, L= 05 CM - FORNECIMENTO E ASSENTAMENTO</t>
  </si>
  <si>
    <t>PS-CP-25</t>
  </si>
  <si>
    <t>SOLEIRA LINEAR EM GRANITO BRANCO ITAÚNA, ATÉ L= 25 CM, ASSENTADO COM ARGAMASSA COLANTE</t>
  </si>
  <si>
    <t>PS-CP-26</t>
  </si>
  <si>
    <t>DIVISORIA/ PRATELEIRA EM GRANITO BRANCO ITAÚNAS, POLIDO, ESP = 3CM, ASSENTADO COM ARGAMASSA COLANTE AC III-E - FORNECIMENTO E INSTALAÇÃO</t>
  </si>
  <si>
    <t>PS-CP-27</t>
  </si>
  <si>
    <t>BIT NEGATIVO EM GESSO ACARTONADO</t>
  </si>
  <si>
    <t>04/2024</t>
  </si>
  <si>
    <t>PS-CP-28</t>
  </si>
  <si>
    <t>SANCA ILUMINADA 24X14 CM EM GESSO ACARTONADO</t>
  </si>
  <si>
    <t>PS-CP-29</t>
  </si>
  <si>
    <t>BANDÔ 42X2CM EM GESSO ACARTONADO</t>
  </si>
  <si>
    <t>PS-CP-30</t>
  </si>
  <si>
    <t>ACABAMENTO PARA FORRO EM TABICA FECHADA, LISA, FORMATO Z EM AÇO GALVANIZADO, COM PINTURA EM ESMALTE SINTÉTICO NA COR BRANCO, ACABAMENTO FOSCO</t>
  </si>
  <si>
    <t>SICRO</t>
  </si>
  <si>
    <t>ED - 28454</t>
  </si>
  <si>
    <t>PS-CP-31</t>
  </si>
  <si>
    <t>FORRO SINTÉTICO, TIPO PALHA, PARA AMBIENTES EXTERNOS, E ACESSÓRIOS DE FIXAÇÃO</t>
  </si>
  <si>
    <t>COT01</t>
  </si>
  <si>
    <t>PS-CP-32</t>
  </si>
  <si>
    <t>LAVATORIO DE CANTO DE LOUCA BRANCA, SUSPENSO (SEM COLUNA), DIMENSOES *40 X 30* CM (L X C) - FORNECIMENTO E INSTALAÇÃO</t>
  </si>
  <si>
    <t>PS-CP-33</t>
  </si>
  <si>
    <t>CUBA DE SOBREPOR QUADRADA 35X35 CM - FORNECIMENTO E INSTALAÇÃO</t>
  </si>
  <si>
    <t>COT08</t>
  </si>
  <si>
    <t>PS-CP-34</t>
  </si>
  <si>
    <t>TORNEIRA AUTOMÁTICA DE MESA PARA LAVATÓRIO, CROMADA. FORNECIMENTO E INSTALAÇÃO</t>
  </si>
  <si>
    <t>PS-CP-35</t>
  </si>
  <si>
    <t xml:space="preserve"> ACABAMENTO PARA DESCARGA PCD, COM KIT CONVERSOR.  FORNECIMENTO E INSTALAÇÃO</t>
  </si>
  <si>
    <t>COT222</t>
  </si>
  <si>
    <t>PS-CP-36</t>
  </si>
  <si>
    <t>CUBA DE EMBUTIR DE AÇO INOXIDÁVEL (56 X 33 X 12 CM), INCLUSO VÁLVULA TIPO AMERICANA E SIFÃO TIPO GARRAFA EM METAL CROMADO - FORNECIMENTO E INSTALAÇÃO.</t>
  </si>
  <si>
    <t>07/02024</t>
  </si>
  <si>
    <t>PS-CP-37</t>
  </si>
  <si>
    <t>ALVENARIA DE VEDAÇÃO COM ELEMENTO VAZADO 20X20X10 CM - FORNECIMENTO E INSTALAÇÃO.</t>
  </si>
  <si>
    <t>COT101</t>
  </si>
  <si>
    <t>PS-CP-38</t>
  </si>
  <si>
    <t>FORNECIMENTO E INSTALAÇÃO DE REVESTIMENTO EM CHAPA DE ACM *4 MM*</t>
  </si>
  <si>
    <t>21.03.151</t>
  </si>
  <si>
    <t>E.03.000.026653</t>
  </si>
  <si>
    <t>E.08.000.026210</t>
  </si>
  <si>
    <t>PS-CP-39</t>
  </si>
  <si>
    <t>FORNECIMENTO E INSTALAÇÃO DE TELA ALAMBRADO REVESTIDA EM PVC BRANCO E=2,8MM, FIXAÇÃO COM GANCHO METÁLICO, EM ESTRUTURA EXSITENTE</t>
  </si>
  <si>
    <t>34.20.080</t>
  </si>
  <si>
    <t>HASTE PARA GANCHO DE FERRO GALVANIZADO, COM ROSCA 5/16" X 35 CM PARA FIXACAO DE TELA, INCLUI PORCA E ARRUELAS DE VEDACAO</t>
  </si>
  <si>
    <t>E.10.000.027511</t>
  </si>
  <si>
    <t>PS-CP-40</t>
  </si>
  <si>
    <t>FECHAMENTO  EM CHAPA DE AÇO, E = 2,00 MM (16,00 KG/M2), INCLUSO FUNDO ANTICORROSIVO E DUAS DEMÃOS DE PINTURA ESMALTE SINTÉTICO FOSCO - FORNECIMENTO E INSTALAÇÃO EM ESTRUTURA EXISTENTE</t>
  </si>
  <si>
    <t>PS-CP-41</t>
  </si>
  <si>
    <t>TORNEIRA DE PAREDE COM AREJADOR ARTICULADO, CROMADA. FORNECIMENTO E INSTALAÇÃO</t>
  </si>
  <si>
    <t>86910</t>
  </si>
  <si>
    <t>COT223</t>
  </si>
  <si>
    <t>PS-CP-42</t>
  </si>
  <si>
    <t xml:space="preserve"> TORNEIRA AUTOMÁTICA PAREDE REDUTOR PRESSÃO ECONÔMICO METAL - FORNECIMENTO E INSTALAÇÃO</t>
  </si>
  <si>
    <t>COT224</t>
  </si>
  <si>
    <t>PS-CP-43</t>
  </si>
  <si>
    <t>CHUVEIRO ELÉTRICO, ACABEMENTO CROMADO, COM DUCHA SMART CROMADO- FORNECIMENTO E INSTALAÇÃO</t>
  </si>
  <si>
    <t>PS-CP-44</t>
  </si>
  <si>
    <t>CHUVEIRO REDONDO COM DUCHA, ACABAMENTO CROMADO - FORNECIMENTO E INSTALAÇÃO</t>
  </si>
  <si>
    <t>PS-CP-45</t>
  </si>
  <si>
    <t>DUCHA QUADRADA, 20X20 CM ACABAMENTO CROMADO - FORNECIMENTO E INSTALAÇÃO</t>
  </si>
  <si>
    <t>COT228</t>
  </si>
  <si>
    <t>PS-CP-46</t>
  </si>
  <si>
    <t>VÁLVULA PARA PIA DE BANHEIRO CLICK CROMADA EQUATION - FORNECIMENTO E INSTALAÇÃO</t>
  </si>
  <si>
    <t>PS-CP-47</t>
  </si>
  <si>
    <t>VALVULA PARA LAVATORIO 7/8", CROMADA- FORNECIMENTO E INSTALAÇÃO</t>
  </si>
  <si>
    <t>MATED-11702</t>
  </si>
  <si>
    <t>PS-CP-48</t>
  </si>
  <si>
    <t>ACABAMENTO E CANOPLA CROMADOS - FORNECIMENTO E INSTALAÇÃO</t>
  </si>
  <si>
    <t>COT229</t>
  </si>
  <si>
    <t>PS-CP-49</t>
  </si>
  <si>
    <t>VALVULA PARA MICTÓRIO ANTI-VANDALISMO - FORNECIMENTO E INSTALAÇÃO</t>
  </si>
  <si>
    <t>47.04.090</t>
  </si>
  <si>
    <t>B.07.000.069552</t>
  </si>
  <si>
    <t>O.11.000.064056</t>
  </si>
  <si>
    <t>PS-CP-50</t>
  </si>
  <si>
    <t xml:space="preserve">GRELHA EM ALUMÍNIO COM TELA ANTI-INSETO, COM REQUADRO, 200 X 1000 MM, ASSENTADA COM ARGAMASSA 1 : 3 CIMENTO: AREIA - FORNECIMENTO E INSTALAÇÃO. </t>
  </si>
  <si>
    <t>COT230</t>
  </si>
  <si>
    <t>PS-CP-51</t>
  </si>
  <si>
    <t>RALO  OCULTO, PVC, 10 X10 CM, JUNTA SOLDÁVEL - FORNECIMENTO E INSTALAÇÃO</t>
  </si>
  <si>
    <t>COT232</t>
  </si>
  <si>
    <t>PS-CP-52</t>
  </si>
  <si>
    <t>RALO  OCULTO, PVC, 15 X 15 CM, JUNTA SOLDÁVEL - FORNECIMENTO E INSTALAÇÃO</t>
  </si>
  <si>
    <t>COT233</t>
  </si>
  <si>
    <t>PS-CP-53</t>
  </si>
  <si>
    <t>CHAPA DE POLICARBONATO 10 MM, CRISTAL - FORNECIMENTO E INSTALAÇÃO</t>
  </si>
  <si>
    <t>F.04.000.025642</t>
  </si>
  <si>
    <t>PS-CP-54</t>
  </si>
  <si>
    <t>PERFIL H - JUNTA DE TELHA POLICARBONATO 6 MMX6M. FORNECIMENTO E INSTALAÇÃO</t>
  </si>
  <si>
    <t>COT139</t>
  </si>
  <si>
    <t>PS-CP-55</t>
  </si>
  <si>
    <t>CANTONEIRA U - 6MM (ALUMINIO - 6MM) - ACABAMENTO TELHA POLICARBONATO. FORNECIMENTO E INSTALAÇÃO</t>
  </si>
  <si>
    <t>PS-CP-56</t>
  </si>
  <si>
    <t>RUFO EM CHAPA DE AÇO GALVANIZADO NÚMERO 24, DESENVOLVIMENTO ATÉ 50 CM, INCLUSO TRANSPORTE VERTICAL - FORNECIMENTO E INSTALAÇÃO</t>
  </si>
  <si>
    <t>PS-CP-57</t>
  </si>
  <si>
    <t>RUFO EM CHAPA DE AÇO GALVANIZADO NÚMERO 24, DESENVOLVIMENTO ATÉ 100 CM, INCLUSO TRANSPORTE VERTICAL - FORNECIMENTO E INSTALAÇÃO</t>
  </si>
  <si>
    <t>PS-CP-58</t>
  </si>
  <si>
    <t>CUMEEIRA METÁLICA EM AÇO GALVANIZADO, DESENVOLVIMENTO 40 CM - FORNECIMENTO E INSTALAÇÃO</t>
  </si>
  <si>
    <t>CADERNO TÉCNICO SINAPI: TELHAMENTO PARA COBERTURA 01.COBE.TELH.045/01</t>
  </si>
  <si>
    <t>PS-CP-59</t>
  </si>
  <si>
    <t>TELHAMENTO COM TELHA METÁLICA TERMOACÚSTICA E = 30 MM, COM ATÉ 2 ÁGUAS, CHAPA/CHAPA, PRÉ-PINTADA NAS DUAS FACES- INCLUSO IÇAMENTO.</t>
  </si>
  <si>
    <t>PS-CP-60</t>
  </si>
  <si>
    <t xml:space="preserve">BARRA DE APOIO RETA, EM ACO, COMPRIMENTO 40 CM, FIXADA NA PAREDE - FORNECIMENTO E INSTALAÇÃO. </t>
  </si>
  <si>
    <t>PS-CP-61</t>
  </si>
  <si>
    <t xml:space="preserve">DISPENSER INOX PORTA PAPEL TOALHA INTERFOLHADO - FORNECIMENTO E INSTALAÇÃO. </t>
  </si>
  <si>
    <t>MATED-12346</t>
  </si>
  <si>
    <t>PS-CP-62</t>
  </si>
  <si>
    <t xml:space="preserve">SUPORTE INOX DE PAPEL HIGIÊNICO ROLO - FORNECIMENTO E INSTALAÇÃO. </t>
  </si>
  <si>
    <t>ED-48183</t>
  </si>
  <si>
    <t>PS-CP-63</t>
  </si>
  <si>
    <t xml:space="preserve">DISPENSER INOX SABONETEIRA ATÉ 800ML - FORNECIMENTO E INSTALAÇÃO. </t>
  </si>
  <si>
    <t>MATED-12309</t>
  </si>
  <si>
    <t>PS-CP-64</t>
  </si>
  <si>
    <t>ESPELHO ESP 4MM COM ACABAMENTO BISOTADO - FORNECIMENTO E INSTALAÇÃO</t>
  </si>
  <si>
    <t>14.80.001</t>
  </si>
  <si>
    <t>PS-CP-65</t>
  </si>
  <si>
    <t>LIXEIRA EM AÇO INOX 50 LITROS - FORNECIMENTO E COLOCAÇÃO</t>
  </si>
  <si>
    <t>COT242</t>
  </si>
  <si>
    <t>PS-CP-66</t>
  </si>
  <si>
    <t>LIXEIRA EM AÇO INOX COM TAMPA 5 LITROS - FORNECIMENTO E COLOCAÇÃO</t>
  </si>
  <si>
    <t>COT243</t>
  </si>
  <si>
    <t>PS-CP-67</t>
  </si>
  <si>
    <t>PLACA DE SINALIZAÇÃO EM BRAILLE EM AÇO INOX,  DIMENSÕES 20X10 CM - FORNECIMENTO E INSTALAÇÃO</t>
  </si>
  <si>
    <t>08/16</t>
  </si>
  <si>
    <t>COT86</t>
  </si>
  <si>
    <t>PS-CP-68</t>
  </si>
  <si>
    <t xml:space="preserve">BRISE ANGULO FIXO, EM ALUMÍNIO OU GALVALUME, 45º, ACABAMENTO LISO, NA COR BRANCO - FORNECIMENTO E INSTALAÇÃO </t>
  </si>
  <si>
    <t>PS-CP-69</t>
  </si>
  <si>
    <t>GUARDA CORPO EM ALUMÍNIO, MONTANTE PERFIL QUADRADO SEÇÃO 5X5 CM, CORRIMÃO EM PERFIL "U" 5X3 CM E VEDAÇÃO EM TELA ALAMBRADO REVESTIDA PVC BRANCO E=2,8MM  - FORNECIMENTO E INSTALAÇÃO H-1,10 M</t>
  </si>
  <si>
    <t>PS-CP-71</t>
  </si>
  <si>
    <t>PAINEL RIPADO EM ALUMÍNIO CHAPA E=1,50 MM (4,050 KG/M²),  ACABAMENTO EM PINTURA ELETROSTÁTICA, E FIXAÇÃO DIRETA EM DIVERSAS SUPERFÍCIES - FORNECIMENTO E INSTALAÇÃO</t>
  </si>
  <si>
    <t>Obs.: Considerando degrau e espelho de 3 cm ( _П_П_| ) cada 12 cm de chapa, são 24 cm de chapa dobrada, conforme detalhe arquitetônico</t>
  </si>
  <si>
    <t>PS-CP-72</t>
  </si>
  <si>
    <t xml:space="preserve">ACABAMENTO EM FORMATO LEQUE EUROPEU, PREVENDO A QUEIMA, APLICAÇÃO E IMPRESSÃO DE FÔRMAS DE ESTAMPAGEM, CORTE DE INDUÇÃO, LAVAGEM DE PISO E 03 DEMÃOS DE IMPERMEABILIZAÇÃO COM RESINA ACRÍLICA </t>
  </si>
  <si>
    <t>PS-CP-73</t>
  </si>
  <si>
    <t>GUARDA CORPO EM AÇO, H=1,10M, COM CABOS DE AÇO TENSIONADOS, CORRIMÃO EM PERFIL METÁLICO REVESTIDO COM MADEIRA PLÁSTICA, FIXADO COM CHUMBADOR MECÂNICO, ACABAMENTO EM ZARCÃO E PINTURA COM TINTA ALQUÍDICA DE ACABAMENTO (ESMALTE SINTÉTICO FOSCO) PULVERIZADA SOBRE SUPERFÍCIES METÁLICAS, 02 DEMÃOS.</t>
  </si>
  <si>
    <t>COT10</t>
  </si>
  <si>
    <t>PS-CP-74</t>
  </si>
  <si>
    <t>PLACA BRAILLE PARA CORRIMÃO COM AS PALAVRAS "INICIO", "FIM", "TÉRREO"  EM AÇO INOX - FORNECIMENTO E INSTALAÇÃO</t>
  </si>
  <si>
    <t>83.17.51</t>
  </si>
  <si>
    <t>PS-CP-75</t>
  </si>
  <si>
    <t>CORRIMÃO AÉREO DUPLO (H=0,92M E 0,70M) + CORRIMÃO SUPERIOR, METÁLICO, FIXADO COM CHUMBADOR MECÂNICO, ACABAMENTO EM ZARCÃO E PINTURA COM TINTA ALQUÍDICA DE ACABAMENTO (ESMALTE SINTÉTICO FOSCO) PULVERIZADA SOBRE SUPERFÍCIES METÁLICAS, 02 DEMÃOS.</t>
  </si>
  <si>
    <t>60.40.13</t>
  </si>
  <si>
    <t>60.40.11</t>
  </si>
  <si>
    <t>PS-CP-78</t>
  </si>
  <si>
    <t>REVESTIMENTO CERÂMICO, TIPO PORCELANATO, CEMENTO GRIGIO, BIANCOGRES, RETIFICADO, DIMENSÕES 60X60CM, REJUNTADO -  FORNECIMENTO E APLICAÇÃO</t>
  </si>
  <si>
    <t>PS-CP-79</t>
  </si>
  <si>
    <t xml:space="preserve"> CERÂMICA 10 X 20 CM, BRILHANTE, WHITE OU SIMILAR , REJUNTADO -  FORNECIMENTO E APLICAÇÃO</t>
  </si>
  <si>
    <t>PS-CP-80</t>
  </si>
  <si>
    <t>RODAPÉ EM GRANITO SÃO GABRIEL, POLIDO, ALTURA 15CM - FORNECIMENTP E APLICAÇÃO</t>
  </si>
  <si>
    <t>PS-CP-81</t>
  </si>
  <si>
    <t>PINTURA COM TINTA ACRÍLICA PREMIUM, EM TETO, DUAS DEMÃOS.</t>
  </si>
  <si>
    <t>PS-CP-82</t>
  </si>
  <si>
    <t xml:space="preserve">APLICAÇÃO MANUAL DE MASSA ACRÍLICA EM TETO, DUAS DEMÃOS, INCLUSO LIXAMENTO </t>
  </si>
  <si>
    <t>ED-50476</t>
  </si>
  <si>
    <t>PS-CP-83</t>
  </si>
  <si>
    <t>PINTURA COM TINTA ALQUÍDICA DE ACABAMENTO (ESMALTE SINTÉTICO FOSCO) PULVERIZADA SOBRE SUPERFÍCIES METÁLICAS, 02 DEMÃOS, PREPARO DE SUPERFÍCÍE COM FUNDO GALVANIZADO, 01 DEMÃO</t>
  </si>
  <si>
    <t>PS-CP-84</t>
  </si>
  <si>
    <t>ALÇAPÃO PARA FORRO DE GESSO ACARTONADO (0,60X0,60 M), BORDA EM ALUMÍNIO</t>
  </si>
  <si>
    <t>09/2024</t>
  </si>
  <si>
    <t>PS-CP-85</t>
  </si>
  <si>
    <t>CUBA DE EMBUTIR PORCELANA NA COR BRANCA 0,33X0,33 CM  - FORNECIMENTO E INSTALAÇÃO</t>
  </si>
  <si>
    <t>PS-CP-86</t>
  </si>
  <si>
    <t>TORNEIRA METALICA CROMADA DE MESA PARA LAVATORIO, BICA ALTA, COM AREJADOR - FORNECIMENTO E INSTALAÇÃO</t>
  </si>
  <si>
    <t>PS-CP-87</t>
  </si>
  <si>
    <t>ESPELHO ESP 4MM COM ACABAMENTO EMOLDURADO EM PERFIL ALUMÍNIO - FORNECIMENTO E INSTALAÇÃO</t>
  </si>
  <si>
    <t>PS-CP-88</t>
  </si>
  <si>
    <t>LIXEIRA EM AÇO INOX CROMADO ATÉ 12 LITROS</t>
  </si>
  <si>
    <t>PS-CP-89</t>
  </si>
  <si>
    <t xml:space="preserve">ACABAMENTO EM FORMATO PENA DE PAVÃO (FLAGSTONE), PREVENDO A QUEIMA, APLICAÇÃO E IMPRESSÃO DE FÔRMAS DE ESTAMPAGEM, CORTE DE INDUÇÃO, LAVAGEM DE PISO E 03 DEMÃOS DE IMPERMEABILIZAÇÃO COM RESINA ACRÍLICA </t>
  </si>
  <si>
    <t>PS-CP-90</t>
  </si>
  <si>
    <t>RUFO/ CHAPIM EM CHAPA DE AÇO GALVANIZADO NÚMERO 24, INCLUSO TRANSPORTE VERTICAL - FORNECIMENTO E INSTALAÇÃO</t>
  </si>
  <si>
    <t>PS-CP-91</t>
  </si>
  <si>
    <t>ESPELHO ESP 4MM COM ACABAMENTO - FORNECIMENTO E INSTALAÇÃO</t>
  </si>
  <si>
    <t>PS-CP-92</t>
  </si>
  <si>
    <t>REVESTIMENTO CERÂMICO, TIPO PORCELANATO, ISEO GRIGIO, BIANCOGRES, RETIFICADO, DIMENSÕES 90X90CM (REJUNTE CINZA OUTONO) -  FORNECIMENTO E APLICAÇÃO</t>
  </si>
  <si>
    <t>PS-CP-93</t>
  </si>
  <si>
    <t>PISO DRENANTE, ASSENTADO SOBRE BRITA Nº 2 (E= 15CM), E AREIA GROSSA (E= 5 CM) E CAMADA DE MANTA GEOTÊXTIL RT 10</t>
  </si>
  <si>
    <t>PS-CP-94</t>
  </si>
  <si>
    <t>SANCA ILUMINADA 30x15 CM EM GESSO ACARTONADO</t>
  </si>
  <si>
    <t>PS-CP-95</t>
  </si>
  <si>
    <t>BORDA EM ALUMÍNIO PARA ACABAMENTO EM ALÇAPÃO EM FORRO</t>
  </si>
  <si>
    <t>PS-CP-96</t>
  </si>
  <si>
    <t>CORRIMÃO AÉREO DUPLO (H=0,92M E 0,70M), METÁLICO, FIXADO COM CHUMBADOR MECÂNICO, ACABAMENTO EM ZARCÃO E PINTURA COM TINTA ALQUÍDICA DE ACABAMENTO (ESMALTE SINTÉTICO FOSCO) PULVERIZADA SOBRE SUPERFÍCIES METÁLICAS, 02 DEMÃOS.</t>
  </si>
  <si>
    <t>60.40.08</t>
  </si>
  <si>
    <t>PS-CP-97</t>
  </si>
  <si>
    <t>KIT DE PORTA DE MADEIRA, MACIÇA, E=3,5CM, DIMENSÕES 80X210CM, ESPESSURA DE 3,5CM, ITENS INCLUSOS: DOBRADIÇAS, MONTAGEM E INSTALAÇÃO DO BATENTE, FECHADURA COM EXECUÇÃO DO FURO, ACABAMENTO DE SUPERFÍCIE COM SELADOR/VERNIZ/CERA - FORNECIMENTO E INSTALAÇÃO</t>
  </si>
  <si>
    <t>PS-CP-98</t>
  </si>
  <si>
    <t>KIT DE PORTA DE MADEIRA, MACIÇA, E=3,5CM, DIMENSÕES 90X210CM, ESPESSURA DE 3,5CM, ITENS INCLUSOS: DOBRADIÇAS, MONTAGEM E INSTALAÇÃO DO BATENTE, FECHADURA COM EXECUÇÃO DO FURO, ACABAMENTO DE SUPERFÍCIE COM SELADOR/VERNIZ/CERA - FORNECIMENTO E INSTALAÇÃO</t>
  </si>
  <si>
    <t>PISO EM GRANITO CINZA ANDORINHA, FRISOS ANTIDERRAPANTES, LEVIGADO, E=2CM -  FORNECIMENTO E APLICAÇÃO</t>
  </si>
  <si>
    <t>AS-CP-ARQ-02</t>
  </si>
  <si>
    <t>PISO EM GRANITO CINZA CORUMBÁ, FRISOS ANTIDERRAPANTES, LEVIGADO, E=2CM -  FORNECIMENTO E APLICAÇÃO</t>
  </si>
  <si>
    <t>COT205</t>
  </si>
  <si>
    <t>PISO EM GRANITO BRANCO MARFIM, FRISOS ANTIDERRAPANTES, LEVIGADO, E=2CM -  FORNECIMENTO E APLICAÇÃO</t>
  </si>
  <si>
    <t>COT29</t>
  </si>
  <si>
    <t>PISO EM GRANITO SÃO GABRIEL, FRISOS ANTIDERRAPANTES, LEVIGADO, E=2CM -  FORNECIMENTO E APLICAÇÃO</t>
  </si>
  <si>
    <t>COT260</t>
  </si>
  <si>
    <t>AS-CP-ARQ-05</t>
  </si>
  <si>
    <t xml:space="preserve"> GRELHA ARVOREIRA EM FERRO FUNDIDO, DIMENSÕES Ø1,50 M. FORNECIMENTO E INSTALAÇÃO.</t>
  </si>
  <si>
    <t>H.03.000.067564</t>
  </si>
  <si>
    <t>AS-CP-ARQ-06</t>
  </si>
  <si>
    <t>GRELHA PLUVIAL EM FERRO FUNDIDO NODULAR, MALHA QUADRICULADA, DIMENSÕES 0,30 x 1,00 ESP 2CM, COM REQUADRO, ASSENTADO COM ARGAMASSA 1:3 (CIMENTO:AREIA), ACABAMENTO EM PINTURA ESMALTE SINTÉTICO COR CARVÃO. FORNECIMENTO E INSTALAÇÃO.</t>
  </si>
  <si>
    <t>O.05.000.067517</t>
  </si>
  <si>
    <t>AS-CP-ARQ-07</t>
  </si>
  <si>
    <t>REVESTIMENTO ATÉRMICO, ACABAMENTO MEIA-CANA NAS BORDAS DE ASSENTO, REJUNTE CIMENTÍCIO, E IMPERMEABILIZANTE OLEOFUGANTE -  FORNECIMENTO E APLICAÇÃO</t>
  </si>
  <si>
    <t>COT196</t>
  </si>
  <si>
    <t>COT197</t>
  </si>
  <si>
    <t>AS-CP-ARQ-08</t>
  </si>
  <si>
    <t>BANCO ESCADARIA ESTRUTURA DE FIXAÇÃO METALON PARAFUSADO EM ALVENARIA ESTRUTURAL E ASSENTO EM MADEIRA PLASTICA, ESTRUTURA DE APOIO (03 UNIDADES POR METRO) COM PROTEÇÃO SUPERFICIAL COM 01 DEMÃO DE ZARCÃO E 02 DEMÃOS DE ESMALTE SINTÉTICO FOSCO - FORNECIMENTO E INSTALAÇÃO</t>
  </si>
  <si>
    <t>AS-CP-ARQ-09</t>
  </si>
  <si>
    <t>REVESTIMENTO EM MADEIRA PLÁSTICA - FORNECIMENTO E INSTALAÇÃO</t>
  </si>
  <si>
    <t>AS-CP-ARQ-11</t>
  </si>
  <si>
    <t>BALCÃO EM QUARTZO, ACAB.: PETRO SÃO GABRIEL, POLIDO, E=2CM, FIXADA/APOIADA EM GRAPAS METÁLICAS E ALVENARIA</t>
  </si>
  <si>
    <t>AS-CP-ARQ-12</t>
  </si>
  <si>
    <t>PEITORIL LINEAR EM PRETO SÃO GABRIEL, POLIDO, LARGURA ATÉ 25 CM, ASSENTADO COM ARGAMASSA COLANTE ACIII</t>
  </si>
  <si>
    <t>AS-CP-ARQ-13</t>
  </si>
  <si>
    <t>SOLEIRA LINEAR EM PRETO ABSOLUTO, L= 20 CM, ASSENTADO COM ARGAMASSA COLANTE ACIII</t>
  </si>
  <si>
    <t>AS-CP-ARQ-14</t>
  </si>
  <si>
    <t>TORNEIRA DE JARDIM, COM SUPORTE PARA PROTEÇÃO ANTI-IMPACTO EM AÇO INOX, ACIMA DO SOLO, INCLUSO ESCAVAÇÃO E DESCARTE DE SOLO. FORNECIMENTO E INSTALAÇÃO.</t>
  </si>
  <si>
    <t>→ Torneira de jardim, prevista escavação conforme projeto estrutural</t>
  </si>
  <si>
    <t>AS-CP-ARQ-15</t>
  </si>
  <si>
    <t xml:space="preserve">TORNEIRA PARA PIA DE COZINHA GALI METAL BICA ALTA DOCOL, ACABAMENTO CROMADO BINÍQUEL , AREJADOR ARTICULÁVEL - FORNECIMENTO E INSTALAÇÃO. </t>
  </si>
  <si>
    <t>COTMC21</t>
  </si>
  <si>
    <t>AS-CP-ARQ-16</t>
  </si>
  <si>
    <t>PORTA EM ALUMÍNIO DE ABRIR TIPO VENEZIANA NA COR PRETA COM GUARNIÇÃO, FIXAÇÃO COM PARAFUSOS - FORNECIMENTO E INSTALAÇÃO</t>
  </si>
  <si>
    <t>H.05.000.027641</t>
  </si>
  <si>
    <t>AS-CP-ARQ-17</t>
  </si>
  <si>
    <t>PORTA DE ROLO MANUAL, GALVANIZADA NA COR PRETA - FORNECIMENTO E INSTALAÇÃO</t>
  </si>
  <si>
    <t>AS-CP-ARQ-18</t>
  </si>
  <si>
    <t>JANELA BASCULANTE, EM ALUMINIO COR PRETA, VIDRO 4MM SEM GUARNIÇÃO - FORNECIMENTO E INSTALAÇÃO</t>
  </si>
  <si>
    <t>H.05.000.027637</t>
  </si>
  <si>
    <t>AS-CP-ARQ-19</t>
  </si>
  <si>
    <t>TOLDO LONA FIXO, GRAFITE, AVAÇO RESISTENTE - FORNECIMENTO E INSTALAÇÃO</t>
  </si>
  <si>
    <t>COTPS-02</t>
  </si>
  <si>
    <t>AS-CP-ARQ-20</t>
  </si>
  <si>
    <t>PLACA EM AÇO GALVANIZADO E=2 MM, COM PERFURAÇÃO ARTÍSTICA PERSONALIZADA, PROTEÇÃO DE SUPERFÍCIE COM 01 DEMÃO DE FUNDO ANTICORROSIVO, E PINTURA DE 02 DEMÃOS EM ESMALTE SINTÉTICO FOSCO, PULVERIZADO</t>
  </si>
  <si>
    <t>AS-CP-ARQ-21</t>
  </si>
  <si>
    <t>BANCADA EM GRANITO SÃO GABRIEL,ESCOVADO, E=2 CM, ASSENTADO COM ARGAMASSA COLANTE</t>
  </si>
  <si>
    <t>AS-CP-ARQ-22</t>
  </si>
  <si>
    <t>DIVISORIA SANITÁRIA EM GRANITO PRETO SÃO GABRIEL, ESCOVADO, ESP = 3CM, ASSENTADO COM ARGAMASSA COLANTE AC III</t>
  </si>
  <si>
    <t>AS-CP-ARQ-23</t>
  </si>
  <si>
    <t>TAPA VISTA DE MICTÓRIO EM GRANITO PRETO SÃO GABRIEL, ESCOVADO, ESP = 3 CM, ASSENTADO EM ARGAMASSA COLANTE AC III E</t>
  </si>
  <si>
    <t>AS-CP-ARQ-24</t>
  </si>
  <si>
    <t>PEITORIL LINEAR EM GRANITO CINZA ANDORINHA LEVIGADO/ESCOVADO, L= 25 CM, ASSENTADO COM ARGAMASSA COLANTE</t>
  </si>
  <si>
    <t>AS-CP-ARQ-25</t>
  </si>
  <si>
    <t>SOLEIRA LINEAR EM GRANITO CINZA ANDORINHA LEVIGADO/ESCOVADO, L= 25 CM - FORNECIMENTO E ASSENTAMENTO</t>
  </si>
  <si>
    <t>AS-CP-ARQ-26</t>
  </si>
  <si>
    <t>FORRO VINÍLICO, INCLUSIVE ESTRUTURA BIDIRECIONAL DE FIXAÇÃO. FORNECIMENTO E INSTALAÇÃO</t>
  </si>
  <si>
    <t>COT131</t>
  </si>
  <si>
    <t>AS-CP-ARQ-27</t>
  </si>
  <si>
    <t>VÁLVULA DE DESCARGA COM SENSOR - FORNECIMENTO E INSTALAÇÃO</t>
  </si>
  <si>
    <t>COT14</t>
  </si>
  <si>
    <t>AS-CP-ARQ-28</t>
  </si>
  <si>
    <t>VALVULA DE DESCARGA HIDRA - BASE 1.1/2" - ANTIVANDALISMO</t>
  </si>
  <si>
    <t>6.40.69</t>
  </si>
  <si>
    <t>AS-CP-ARQ-29</t>
  </si>
  <si>
    <t>CUBA DE SOBREPOR, LOUÇA, 30X40 CM - MODELO IZY - FORNECIMENTO E INSTALAÇÃO</t>
  </si>
  <si>
    <t>AS-CP-ARQ-30</t>
  </si>
  <si>
    <t>ACABAMENTO  PARA REGISTRO - FORNECIMENTO E INSTALAÇÃO</t>
  </si>
  <si>
    <t>AS-CP-ARQ-31</t>
  </si>
  <si>
    <t>DISPENSER DE SABONETE/ DETERGENTE PRESSMATIC - FORNECIMENTO E INSTALAÇÃO</t>
  </si>
  <si>
    <t>COT269</t>
  </si>
  <si>
    <t>AS-CP-ARQ-32</t>
  </si>
  <si>
    <t xml:space="preserve">BARRA DE APOIO RETA, EM ACO, COMPRIMENTO 45 CM, FIXADA NA PAREDE - FORNECIMENTO E INSTALAÇÃO. </t>
  </si>
  <si>
    <t>AS-CP-ARQ-33</t>
  </si>
  <si>
    <t>DISPENSER TOALHEIRO PLASTICO PARA PAPEL TOALHA INTERFOLHADO - FORNECIMENTO E INSTALAÇÃO</t>
  </si>
  <si>
    <t>AS-CP-ARQ-34</t>
  </si>
  <si>
    <t>LIXEIRA EM AÇO INOX CROMADO - 80 LITROS</t>
  </si>
  <si>
    <t>COT28</t>
  </si>
  <si>
    <t>AS-CP-ARQ-35</t>
  </si>
  <si>
    <t>PAPELEIRA PLASTICA TIPO DISPENSER PARA PAPEL HIGIENICO ROLAO - FORNECIMENTO E INSTALAÇÃO</t>
  </si>
  <si>
    <t>AS-CP-ARQ-36</t>
  </si>
  <si>
    <t>GRELHA QUADRADA CROMADA, 15 X 15 CM - FORNECIMENTO E INSTALAÇÃO</t>
  </si>
  <si>
    <t>H364</t>
  </si>
  <si>
    <t>AS-CP-ARQ-37</t>
  </si>
  <si>
    <t>Obs.: Considerando degrau e espelho de 2 cm ( _П_П_| ) cada 10 cm de chapa, são 20 cm de chapa dobrada, conforme detalhe arquitetônico</t>
  </si>
  <si>
    <t>AS-CP-ARQ-39</t>
  </si>
  <si>
    <t>PORTA EM ALUMÍNIO, COM VENEZIANA FIXA LAMINADA VAZADA, NA COR PRETA, FECHADURA TIPO "LIVRE E OCUPADO". FORNECIMENTO E INSTALAÇÃO</t>
  </si>
  <si>
    <t>AS-CP-ARQ-40</t>
  </si>
  <si>
    <t>PORTA EM ALUMÍNIO, NA COR PRETA FORNECIMENTO E INSTALAÇÃO</t>
  </si>
  <si>
    <t>AS-CP-ARQ-41</t>
  </si>
  <si>
    <t>ESPELHO ESP 4MM, FIXADO EM MDF CRU 25, PARA INSTALAÇÃO DE LED NAS BORDAS COM ACABAMENTO EMOLDURADO EM PERFIL METÁLICO, COM 02 DEMÃOES DE PINTURA ESMALTE E 01 DEMÃO DE PROTEÇÃO ANTICORROSIVA - FORNECIMENTO E INSTALAÇÃO</t>
  </si>
  <si>
    <t>AS-CP-ARQ-42</t>
  </si>
  <si>
    <t>ACABAMENTO PARA FORRO EM TABICA FECHADA, LISA, FORMATO Z EM AÇO GALVANIZADO</t>
  </si>
  <si>
    <t>AS-CP-ARQ-43</t>
  </si>
  <si>
    <t xml:space="preserve">COMPOSIÇÃO </t>
  </si>
  <si>
    <t>AS-CP-ARQ-44</t>
  </si>
  <si>
    <t>PISO TÁTIL DE ALERTA EM INOX COLADO EM PISO - FORNECIMENTO E INSTALAÇÃO</t>
  </si>
  <si>
    <t>REFERENCIA</t>
  </si>
  <si>
    <t>Composição Auxiliar</t>
  </si>
  <si>
    <t>AS-CP-ARQ-45</t>
  </si>
  <si>
    <t>PISO TÁTIL DE DIRECIONAL EM INOX COLADO EM PISO  - FORNECIMENTO E INSTALAÇÃO</t>
  </si>
  <si>
    <t>• PAISAGISMO</t>
  </si>
  <si>
    <t>CP-PSG-01</t>
  </si>
  <si>
    <t>LIMITADOR DE GRAMA L=12,5 CM</t>
  </si>
  <si>
    <t>CP-PSG-02</t>
  </si>
  <si>
    <t xml:space="preserve">LASTRO COM MATERIAL GRANULAR (PEDRISCO Nº3) , APLICADO PARA FORRAÇÃO, ESPESSURA ATÉ *7 CM* </t>
  </si>
  <si>
    <t>CP-PSG-03</t>
  </si>
  <si>
    <t>PLANTIO DE GRAMA PRETA</t>
  </si>
  <si>
    <t>3.86.11</t>
  </si>
  <si>
    <t>CP-PSG-04</t>
  </si>
  <si>
    <t>PLANTIO DE ARBUSTO OU CERCA VIVA (FILODENDRO XANADU)</t>
  </si>
  <si>
    <t>COT120</t>
  </si>
  <si>
    <t>CP-PSG-05</t>
  </si>
  <si>
    <t>PLANTIO DE ARBUSTO OU CERCA VIVA (FLOR-DE-CORAL)</t>
  </si>
  <si>
    <t>CP-PSG-06</t>
  </si>
  <si>
    <t>PLANTIO DE ARBUSTO OU CERCA VIVA (CLÚSIA)</t>
  </si>
  <si>
    <t>16.03.0302</t>
  </si>
  <si>
    <t>3.84.04</t>
  </si>
  <si>
    <t>CP-PSG-07</t>
  </si>
  <si>
    <t>PLANTIO DE ARBUSTO OU CERCA VIVA (DIONELLA TASMANICA)</t>
  </si>
  <si>
    <t>CP-PSG-08</t>
  </si>
  <si>
    <t>TERRA VEGETAL - FORNECIMENTO E ESPALHAMENTO (E= 5 CM)</t>
  </si>
  <si>
    <t>CP-PSG-09</t>
  </si>
  <si>
    <t>PLANTIO DE PALMEIRA ( PALMEIRA FÊNIX DUPLA ATÉ 1,5 M )</t>
  </si>
  <si>
    <t>COT265</t>
  </si>
  <si>
    <t>CP-PSG-10</t>
  </si>
  <si>
    <t>PLANTIO DE PALMEIRA ( PALMEIRA CARPENTÁRIA 1,5 A 2,5 M  )</t>
  </si>
  <si>
    <t>COT266</t>
  </si>
  <si>
    <t>CP-PSG-11</t>
  </si>
  <si>
    <t>PLANTIO DE PALMEIRA ( PALMEIRA TAMAREIRA 2,5 a 3,5 M )</t>
  </si>
  <si>
    <t>COT267</t>
  </si>
  <si>
    <t>CP-PSG-12</t>
  </si>
  <si>
    <t>PLANTIO DE PALMEIRA ( FARINHA SECA 3,0 a 3,5 M )</t>
  </si>
  <si>
    <t>COT268</t>
  </si>
  <si>
    <t>• ELÉTRICA</t>
  </si>
  <si>
    <t>CP-ELE-70</t>
  </si>
  <si>
    <t>FIXAÇÃO DE ELETRODUTO ATÉ 1" COM ABRAÇADEIRA METÁLICA TIPO D - FORNECIMENTO E INSTALAÇÃO</t>
  </si>
  <si>
    <t>CP-ELE-35</t>
  </si>
  <si>
    <t>ELETRODUTO DE AÇO GALVANIZADO, CLASSE LEVE, DN 20 MM (3/4''), APARENTE. - FORNECIMENTO E INSTALAÇÃO.</t>
  </si>
  <si>
    <t>CP-ELE-94</t>
  </si>
  <si>
    <t>ABRAÇADEIRA METÁLICA TIPO U 3/4 (26MM). FORNECIMENTO E INSTALAÇÃO</t>
  </si>
  <si>
    <t>CP-ELE-95</t>
  </si>
  <si>
    <t>LUVA DE EMENDA PARA ELETRODUTO, AÇO GALVANIZADO, DN 20 MM (3/4''), APARENTE, INSTALADA EM PAREDE - FORNECIMENTO E INSTALAÇÃO</t>
  </si>
  <si>
    <t>CP-ELE-36</t>
  </si>
  <si>
    <t>CURVA 90 GRAUS, PARA ELETRODUTO, EM ACO GALVANIZADO ELETROLITICO, DIAMETRO DE 20 MM (3/4") - FORNECIMENTO E INSTALAÇÃO.</t>
  </si>
  <si>
    <t>CP-ELE-65</t>
  </si>
  <si>
    <t>PERFILADO PERFURADO 38X38 #22 - FORNECIMENTO E INSTALAÇÃO</t>
  </si>
  <si>
    <t>CP-ELE-19</t>
  </si>
  <si>
    <t>EMENDA EXTERNA, PARA PERFILADO TIPO "I", 38 X 38 MM - FORNECIMENTO E INSTALAÇÃO</t>
  </si>
  <si>
    <t>CP-ELE-11</t>
  </si>
  <si>
    <t>SAÍDA PARA PERFILADO 38 X 38 MM - FORNECIMENTO E INSTALAÇÃO</t>
  </si>
  <si>
    <t>CP-ELE-96</t>
  </si>
  <si>
    <t>JUNÇÃO INTERNA TIPO ”L” PARA PERFILADO – FORNECIMENTO E INSTALAÇÃO</t>
  </si>
  <si>
    <t>CP-ELE-97</t>
  </si>
  <si>
    <t>CURVA VERTICAL EXTERNA/INTERNA PARA ELETROCALHA / PERFILADO ATÉ 50X50 CHAPA 20 - FORNECIMENTO E INSTALAÇÃO</t>
  </si>
  <si>
    <t>6/2024</t>
  </si>
  <si>
    <t>CP-ELE-98</t>
  </si>
  <si>
    <t>FIXAÇÃO DE PERFILADO COM GANCHO CURTO, PARAFUSO AUTO-BROCANTE, PORCA E ARRUELA  - FORNECIMENTO E INSTALAÇÃO</t>
  </si>
  <si>
    <t>CP-ELE-99</t>
  </si>
  <si>
    <t>ELETROCALHA LISA OU PERFURADA, SEM TAMPA, 50X50X3000 MM, EXCLUSIVE ACESSÓRIOS DE FIXAÇÃO - FORNECIMENTO E INSTALAÇÃO</t>
  </si>
  <si>
    <t>CP-ELE-22</t>
  </si>
  <si>
    <t>ACOPLAMENTO PARA ELETROCALHA METÁLICA 38 X 38MM  - FORNECIMENTO E INSTALAÇÃO</t>
  </si>
  <si>
    <t xml:space="preserve">UN </t>
  </si>
  <si>
    <t>06/24</t>
  </si>
  <si>
    <t>CP-ELE-64</t>
  </si>
  <si>
    <t>SAIDA HORIZONTAL PARA ELETRODUTO 3/4" - FORNECIMENTO E INSTALAÇÃO</t>
  </si>
  <si>
    <t>CP-ELE-100</t>
  </si>
  <si>
    <t>MÃO FRANCESA SIMPLES 75 MM – FORNECIMENTO E INSTALAÇÃO</t>
  </si>
  <si>
    <t>CP-ELE-56</t>
  </si>
  <si>
    <t>SUPORTE E PLACA CEGA 4X2'' - FORNECIMENTO E INSTALAÇÃO</t>
  </si>
  <si>
    <t>CP-ELE-25</t>
  </si>
  <si>
    <t>CONDULETE DE ALUMÍNIO, TIPO E, PARA ELETRODUTO DE AÇO GALVANIZADO DN 25 MM (1''), APARENTE - COM TOMADA 2P+T 10A - FORNECIMENTO E INSTALAÇÃO.</t>
  </si>
  <si>
    <t>05/24</t>
  </si>
  <si>
    <t>CP-ELE-01</t>
  </si>
  <si>
    <t>CABO DE COBRE PP 2 X 2,5 MM2, 450/750V – FORNECIMENTO E INSTALAÇÃO</t>
  </si>
  <si>
    <t>CP-ELE-79</t>
  </si>
  <si>
    <t>TERMINAL METALICO A PRESSAO PARA 1 CABO DE 25 A 70 MM2, COM 1 FURO DE FIXACAO - FORNECIMENTO E INSTALAÇÃO</t>
  </si>
  <si>
    <t>06/2018</t>
  </si>
  <si>
    <t>CP-ELE-101</t>
  </si>
  <si>
    <t xml:space="preserve"> DISPOSITIVO DPS CLASSE II, 1 POLO, TENSAO MAXIMA DE 275 V, CORRENTE MAXIMA DE *20* KA (TIPO AC)  - FORNECIMENTO E INSTALACAO</t>
  </si>
  <si>
    <t>CP-ELE-102</t>
  </si>
  <si>
    <t>DISPOSITIVO DR, 2 POLOS, SENSIBILIDADE DE 30 MA, CORRENTE DE 25 A, TIPO AC. - FORNECIMENTO E INSTALAÇÃO</t>
  </si>
  <si>
    <t>CP-ELE-17</t>
  </si>
  <si>
    <t>PLACA DE SINALIZAÇÃO, FOTOLUMINESCENTE, EM PVC, COM LOGOTIPO "CUIDADO RISCO DE CHOQUE ELÉTRICO"- FORNECIMENTO E INSTALAÇÃO</t>
  </si>
  <si>
    <t>CP-ELE-103</t>
  </si>
  <si>
    <t>PORTA FOLHA A4 DE PAREDE EM ACRÍLICO – FORNECIMENTO E INSTALAÇÃO</t>
  </si>
  <si>
    <t>COT209</t>
  </si>
  <si>
    <t>CP-ELE-104</t>
  </si>
  <si>
    <t>CAIXA DE PASSAGEM METÁLICA DE EMBUTIR ATÉ 30X30X12 CM – FORNECIMENTO E INSTALAÇÃO</t>
  </si>
  <si>
    <t>AGETOP CIVIL</t>
  </si>
  <si>
    <t>CP-ILUM-17</t>
  </si>
  <si>
    <t>LUMINÁRIA PLAFON DE EMBUTIR EM LED 29.5X29.5 CM, 24W 4000K - FORNECIMENTO E INSTALAÇÃO</t>
  </si>
  <si>
    <t>CP-ILUM-18</t>
  </si>
  <si>
    <t xml:space="preserve"> PAINEL SLIM LED PROJETO QUADRADO SOBREPOR 40W 6000K Ângulo 120  - FORNECIMENTO E INSTALAÇÃO</t>
  </si>
  <si>
    <t>CP-ILUM-19</t>
  </si>
  <si>
    <t>LUMINÁRIA LLS FLEX II EMBUTIR BRANCO 2M, 50W, 120°, 2600lm 4000K   - FORNECIMENTO E INSTALAÇÃO</t>
  </si>
  <si>
    <t>COT210</t>
  </si>
  <si>
    <t>CP-ILUM-20</t>
  </si>
  <si>
    <t>PENDENTE SAFIRA Ø27X16CM METAL BRANCO E COBRE    - FORNECIMENTO E INSTALAÇÃO</t>
  </si>
  <si>
    <t>COT211</t>
  </si>
  <si>
    <t>CP-ILUM-21</t>
  </si>
  <si>
    <t>FITA ALL LIGHT 24V PRO 8W/m 4000K  - FORNECIMENTO E INSTALAÇÃO</t>
  </si>
  <si>
    <t>060012</t>
  </si>
  <si>
    <t>COT212</t>
  </si>
  <si>
    <t>CP-ILUM-05</t>
  </si>
  <si>
    <t>FONTE DRIVER PARA FITA LED 100W 100 277V 24V IP20  - FORNECIMENTO E INSTALAÇÃO</t>
  </si>
  <si>
    <t>COT199</t>
  </si>
  <si>
    <t>CP-ILUM-22</t>
  </si>
  <si>
    <t>FONTE PARA FITA LED 24V 25W   - FORNECIMENTO E INSTALAÇÃO</t>
  </si>
  <si>
    <t>COT213</t>
  </si>
  <si>
    <t>CP-ILUM-23</t>
  </si>
  <si>
    <t xml:space="preserve"> LUMINÁRIA SPOT SOBREPOR P/ LAMPADA PAR30 INCLUSIVE LAMPADA  - FORNECIMENTO E INSTALAÇÃO</t>
  </si>
  <si>
    <t>COT214</t>
  </si>
  <si>
    <t>COT215</t>
  </si>
  <si>
    <t>CP-ILUM-24</t>
  </si>
  <si>
    <t>SPOT DE SOBREPOR LOCH LAMP REDONDO DICROICA PAR16 Ø8X14CM POLICARBONATO COM LÂMPADA - FORNECIMENTO E INSTALAÇÃO</t>
  </si>
  <si>
    <t>COT216</t>
  </si>
  <si>
    <t>COT217</t>
  </si>
  <si>
    <t>CP-ILUM-25</t>
  </si>
  <si>
    <t>ARANDELA DE LUZ INDIRETA, PAREDE, COR BRANCA, 42CM, 12W, ACABAMENTO ALUMINIO COR BRANCA  - FORNECIMENTO E INSTALAÇÃO</t>
  </si>
  <si>
    <t>COT133</t>
  </si>
  <si>
    <t>CP-ILUM-26</t>
  </si>
  <si>
    <t>ARANDELA DE LUZ INDIRETA 72CM, FLUXO LUMINOSO STH9741BR/30: 1900LM  - FORNECIMENTO E INSTALAÇÃO</t>
  </si>
  <si>
    <t>COT218</t>
  </si>
  <si>
    <t>CP-ILUM-02</t>
  </si>
  <si>
    <t>ESPETO DE JARDIM LED 7W IP65 2700K BIVOLT  - FORNECIMENTO E INSTALAÇÃO</t>
  </si>
  <si>
    <t>COT105</t>
  </si>
  <si>
    <t>CP-ILUM-27</t>
  </si>
  <si>
    <t>SPOT LED BALIZADOR CHÃO PISO 5W EMBUTIR BRANCO QUENTE 3000K  - FORNECIMENTO E INSTALAÇÃO</t>
  </si>
  <si>
    <t>41.11.712</t>
  </si>
  <si>
    <t>COT219</t>
  </si>
  <si>
    <t>CP-ILUM-28</t>
  </si>
  <si>
    <t>BALIZADOR PAREDE EXTERNO EMBUTIDO QUADRADO LED   - FORNECIMENTO E INSTALAÇÃO</t>
  </si>
  <si>
    <t>COT220</t>
  </si>
  <si>
    <t>CP-ILUM-29</t>
  </si>
  <si>
    <t xml:space="preserve"> LUMINÁRIA TIPO SPOT LED PAR20, EMBUTIR, 6W OU 9W, 4000K A 4500K  - FORNECIMENTO E INSTALAÇÃO</t>
  </si>
  <si>
    <t>COT15</t>
  </si>
  <si>
    <t>CP-ILUM-30</t>
  </si>
  <si>
    <t xml:space="preserve"> LUMINÁRIA 32W LED LINEAR 4000K  - FORNECIMENTO E INSTALAÇÃO</t>
  </si>
  <si>
    <t>COT221</t>
  </si>
  <si>
    <t>CP-ELE-105</t>
  </si>
  <si>
    <t>ELETRODUTO FLEXÍVEL CORRUGADO, PEAD, DN ATÉ 40 MM (1 1/4"), PARA REDE ENTERRADA DE DISTRIBUIÇÃO DE ENERGIA ELÉTRICA - FORNECIMENTO E INSTALAÇÃO</t>
  </si>
  <si>
    <t xml:space="preserve"> SINAPI </t>
  </si>
  <si>
    <t>CP-ELE-111</t>
  </si>
  <si>
    <t>CABO DE COBRE PP 3 X 2,5 MM2, 450/750V – FORNECIMENTO E INSTALAÇÃO</t>
  </si>
  <si>
    <t>CP-ELE-112</t>
  </si>
  <si>
    <t>CABO DE COBRE PP 3 X 4,0 MM2, 450/750V – FORNECIMENTO E INSTALAÇÃO</t>
  </si>
  <si>
    <t>CP-SPDA-01</t>
  </si>
  <si>
    <t>TERMINAL MECANICO A COMPRESSAO,FABRICADO EM BRONZE,PARA CABO DE 50MM² (02 FUROS) - FORNECIMENTO E COLOCAÇÃO</t>
  </si>
  <si>
    <t>EMOP</t>
  </si>
  <si>
    <t>15.017.0280-A</t>
  </si>
  <si>
    <t>CP-SPDA-15</t>
  </si>
  <si>
    <t>CABO DE COBRE NÚ 50MM² PARA ATERRAMENTO DE QUADRO OU POSTE - FORNECIMENTO E INSTALAÇÃO</t>
  </si>
  <si>
    <t>CP-ELE-113</t>
  </si>
  <si>
    <t>DISJUNTOR BIPOLAR 125A CURVA C – FORNECIMENTO E INSTALAÇÃO</t>
  </si>
  <si>
    <t>ED-34484</t>
  </si>
  <si>
    <t>MATED-22671</t>
  </si>
  <si>
    <t>CP-ELE-109</t>
  </si>
  <si>
    <t>CONTATOR MODULAR MONO 220V 20A 2NA  - FORNECIMENTO E INSTALACAO</t>
  </si>
  <si>
    <t>COT235</t>
  </si>
  <si>
    <t>CP-ELE-114</t>
  </si>
  <si>
    <t>QUADRO DE COMANDO CAIXA EM CHAPA METÁLICA GALVANIZADA 60X50X20CM – FORNECIMENTO E INSTALAÇÃO</t>
  </si>
  <si>
    <t>COT247</t>
  </si>
  <si>
    <t>MATED-17644</t>
  </si>
  <si>
    <t>MATED-17667</t>
  </si>
  <si>
    <t>CP-ILUM-33</t>
  </si>
  <si>
    <t>POSTE BALIZADOR RETANGULAR EXTERNO 50X7,5X7,5CM ALUMÍNIO COM LÂMPADA LED BULBO E27   - FORNECIMENTO E INSTALAÇÃO</t>
  </si>
  <si>
    <t>18.027.0082-A</t>
  </si>
  <si>
    <t>COT248</t>
  </si>
  <si>
    <t>CP-ILUM-34</t>
  </si>
  <si>
    <t>ESPETO DE JARDIM LED FOCCO 7W 3000K BIVOLT - FORNECIMENTO E INSTALAÇÃO</t>
  </si>
  <si>
    <t>COT249</t>
  </si>
  <si>
    <t>CP-ILUM-35</t>
  </si>
  <si>
    <t>ESPETO LED ALUMINIO PRETO 11,5W 950LM IP67 3000K  - FORNECIMENTO E INSTALAÇÃO</t>
  </si>
  <si>
    <t>COT250</t>
  </si>
  <si>
    <t>CP-ILUM-36</t>
  </si>
  <si>
    <t>ARANDELA DE PAREDE LED RETANGULAR EXTERNO 3000K 5W BIVOLT 20X8,2X4,2CM POLICARBONATO BRANCO - FORNECIMENTO E INSTALAÇÃO</t>
  </si>
  <si>
    <t>COT251</t>
  </si>
  <si>
    <t>CP-ILUM-37</t>
  </si>
  <si>
    <t>EMBUTIDO DE SOLO PARA LÂMPADA PAR38 - FORNECIMENTO E INSTALAÇÃO</t>
  </si>
  <si>
    <t>COT38</t>
  </si>
  <si>
    <t>COT252</t>
  </si>
  <si>
    <t>CP-ILUM-16</t>
  </si>
  <si>
    <t>POSTE GIRAFA RETO LED AÇO GALVANIZADO À FOGO PINTURA ELETROSTÁTICA 4M - FORNECIMENTO E INSTALAÇÃO</t>
  </si>
  <si>
    <t>COT253</t>
  </si>
  <si>
    <t>CP-ILUM-38</t>
  </si>
  <si>
    <t>POSTE GIRAFA DUPLO RETO LED AÇO GALVANIZADO À FOGO PINTURA ELETROSTÁTICA 100W 4M - FORNECIMENTO E INSTALAÇÃO</t>
  </si>
  <si>
    <t>COT254</t>
  </si>
  <si>
    <t>CP-ELE-115</t>
  </si>
  <si>
    <t>QUADRO DE COMANDO CAIXA EM CHAPA METÁLICA GALVANIZADA 60X40X12CM COM  BLOCO DISTRIBUIÇÃO 2 BARRAMENTOS 2X11 125A  – FORNECIMENTO E INSTALAÇÃO</t>
  </si>
  <si>
    <t>COT255</t>
  </si>
  <si>
    <t>CP-ELE-116</t>
  </si>
  <si>
    <t>CONTATOR TRIPOLAR, CORRENTE DE 25 A, TENSAO NOMINAL DE 500 V – FORNECIMENTO E INSTALAÇÃO</t>
  </si>
  <si>
    <t>CP-ELE-117</t>
  </si>
  <si>
    <t>DISJUNTOR TERMOMAGNETICO PARA TRILHO DIN (IEC), MONOPOLAR, 63 A  – FORNECIMENTO E INSTALAÇÃO</t>
  </si>
  <si>
    <t>CP-ELE-118</t>
  </si>
  <si>
    <t>DISPOSITIVO DE PROTEÇÃO CONTRA SURTOS(DPS) 275V DE 8 A 40KA – FORNECIMENTO E INSTALAÇÃO</t>
  </si>
  <si>
    <t xml:space="preserve"> AGETOP CIVIL </t>
  </si>
  <si>
    <t>CP-ELE-119</t>
  </si>
  <si>
    <t>PROGRAMADOR HORÁRIO ALIMENTAÇÃO DE 100ª 240VAC – FORNECIMENTO E INSTALAÇÃO</t>
  </si>
  <si>
    <t>CP-ILUM-39</t>
  </si>
  <si>
    <t>EMBUTIDO DE SOLO LED INOX 10W 640 LÚMENS 3000K 30° IP67 REDONDO  - FORNECIMENTO E INSTALAÇÃO</t>
  </si>
  <si>
    <t>COT256</t>
  </si>
  <si>
    <t>CP-ILUM-40</t>
  </si>
  <si>
    <t>LUMINÁRIA PLAFON DE EMBUTIR EM LED 40X40 CM, 30W - FORNECIMENTO E INSTALAÇÃO</t>
  </si>
  <si>
    <t>CP-ILUM-41</t>
  </si>
  <si>
    <t>SPOT EMBUTIR DUPLO RECUADO MR16 SISTEMA CLICK, SOQUETE GU10 COM LAMPADA - FORNECIMENTO E INSTALAÇÃO</t>
  </si>
  <si>
    <t>COT90</t>
  </si>
  <si>
    <t>COT89</t>
  </si>
  <si>
    <t>CP-ILUM-42</t>
  </si>
  <si>
    <t>EMBUTIDO PARA PAR 20 REDONDO, FACE RECUADA OU LISA, 115X125MM COM LAMPADA - FORNECIMENTO E INSTALAÇÃO</t>
  </si>
  <si>
    <t>COT259</t>
  </si>
  <si>
    <t>CP-ILUM-43</t>
  </si>
  <si>
    <t>FITA LED ALL LIGHT 16W/M 24V IP20  - FORNECIMENTO E INSTALAÇÃO</t>
  </si>
  <si>
    <t>COT257</t>
  </si>
  <si>
    <t>CP-ILUM-44</t>
  </si>
  <si>
    <t xml:space="preserve">FITA LED 12W/M 12V   - FORNECIMENTO E INSTALAÇÃO </t>
  </si>
  <si>
    <t>COT258</t>
  </si>
  <si>
    <t>CP-ILUM-45</t>
  </si>
  <si>
    <t>FONTE CHAVEADA 12VCC IP20 200W - FORNECIMENTO E INSTALAÇÃO</t>
  </si>
  <si>
    <t>COT261</t>
  </si>
  <si>
    <t>CP-ILUM-46</t>
  </si>
  <si>
    <t>FONTE CHAVEADA 24VCC IP20 100W  - FORNECIMENTO E INSTALAÇÃO</t>
  </si>
  <si>
    <t>COT262</t>
  </si>
  <si>
    <t>CP-ELE-120</t>
  </si>
  <si>
    <t>TERMINAL ELÉTRICO TIPO: ILHÓS BITOLA ATÉ 6MM2 – FORNECIMENTO E INSTALAÇÃO</t>
  </si>
  <si>
    <t>ED-34438</t>
  </si>
  <si>
    <t>MATED-34412</t>
  </si>
  <si>
    <t>CP-ELE-121</t>
  </si>
  <si>
    <t>TERMINAL ELÉTRICO TIPO: ILHÓS BITOLA ATÉ 16MM2 – FORNECIMENTO E INSTALAÇÃO</t>
  </si>
  <si>
    <t>ED-34440</t>
  </si>
  <si>
    <t>MATED-34415</t>
  </si>
  <si>
    <t>CP-ELE-122</t>
  </si>
  <si>
    <t>ANILHA NUMERADA PARA IDENTIFICAÇÃO DE CABOS – FORNECIMENTO E INSTALAÇÃO</t>
  </si>
  <si>
    <t>CP-ILUM-31</t>
  </si>
  <si>
    <t>POSTE COM ALTURA DE 10 METROS LIVRES COM SUPORTE PARA 1 LUMINÁRIA - FORNECIMENTO E INSTALAÇÃO</t>
  </si>
  <si>
    <t>ED-49497</t>
  </si>
  <si>
    <t>CP-ILUM-47</t>
  </si>
  <si>
    <t>LUMINÁRIA PÚBLICA LED 150W 4000K, PROTEÇÃO CONTRA SURTO 10 KV / 12 KA, IP66 - FORNECIMENTO E INSTALAÇÃO</t>
  </si>
  <si>
    <t>101659</t>
  </si>
  <si>
    <t>COT264</t>
  </si>
  <si>
    <t>CP-ELE-54</t>
  </si>
  <si>
    <t>DISPOSITIVO DIFERENCIAL RESIDUAL DE 40 A X 30 MA, 2 POLOS, REF. 5SM1 314-0 MB - FORNECIMENTO E INSTALAÇÃO</t>
  </si>
  <si>
    <t>P.26.000.044603</t>
  </si>
  <si>
    <t>CP-ELE-123</t>
  </si>
  <si>
    <t>INTERRUPTOR DIFERENCIAL RESIDUAL (DR) TETRAPOLAR DE 40A-30mA  - FORNECIMENTO E INSTALAÇÃO</t>
  </si>
  <si>
    <t>CP-ELE-124</t>
  </si>
  <si>
    <t>QUADRO DE COMANDO ELÉTRICO, CAIXA EM CHAPA METÁLICA GALVANIZADA 60X50X30 COM TRILHO PARA DISJUNTOR DIN – FORNECIMENTO E INSTALAÇÃO</t>
  </si>
  <si>
    <t>COT270</t>
  </si>
  <si>
    <t>CP-ELE-04</t>
  </si>
  <si>
    <t>MURETA EM ALVENARIA DE BLOCO DE CONCRETO ESTRUTURAL 19X19X39, APOIADA EM LASTRO DE CONCRETO MAGRO ESP=5CM A 40CM DE PROFUNDIDADE, BALDRAME E CINTA DE RESPALDO COM UTILIZAÇÃO DE BLOCOS CANALETA DE CONCRETO 19X19X39, TRAVAMENTO COM AÇO CA50 DN 8MMM, PREENCHIMENTO CONCRETO FCK = 15MPA, INCLUSO ACABAMENTO CHAPISCO/ EMBOÇO/ MASSA ACRÍLICA/ SELADOR ACRÍLICO/ TINTA LÁTEX ACRÍLICA</t>
  </si>
  <si>
    <t>M²</t>
  </si>
  <si>
    <t>CP-ELE-125</t>
  </si>
  <si>
    <t>ED-51089</t>
  </si>
  <si>
    <t>MATED-12034</t>
  </si>
  <si>
    <t>CP-ILUM-48</t>
  </si>
  <si>
    <t>FONTE CHAVEADA 24VCC IP20 100W - FORNECIMENTO E INSTALAÇÃO</t>
  </si>
  <si>
    <t>COT274</t>
  </si>
  <si>
    <t>• CABEAMENTO</t>
  </si>
  <si>
    <t>CP-CAB-05</t>
  </si>
  <si>
    <t xml:space="preserve">FORNECIMENTO E INSTALAÇÃO DE MINI RACK DE PAREDE 19" X 5U X 350MM – FORNECIMENTO E INSTALAÇÃO
</t>
  </si>
  <si>
    <t>CP-CAB-06</t>
  </si>
  <si>
    <t>GUIA DE CABOS FECHADO 19" 1U GUIA DE CABOS FECHADO 19"1U. FORNECIMENTO E MONTAGEM</t>
  </si>
  <si>
    <t>06/2023</t>
  </si>
  <si>
    <t>CP-CAB-07</t>
  </si>
  <si>
    <t>DISTRIBUIDOR INTERNO ÓPTICO DIO 12 FIBRAS, SM, SC/APC, INCLUINDO CONECTOR ÓPTICO - FORNECIMENTO E INSTALAÇÃO</t>
  </si>
  <si>
    <t>COT187</t>
  </si>
  <si>
    <t>CP-CAB-01</t>
  </si>
  <si>
    <t>TOMADA (2 MÓDULO), RJ45, CATEGORIA 6, INCLUINDO SUPORTE E PLACA COM TAMPA - FORNECIMENTO E INSTALAÇÃO</t>
  </si>
  <si>
    <t>CP-CAB-03</t>
  </si>
  <si>
    <t>CRIMPAGEM, CERTIFICAÇÃO E IDENTIFICACAO DOS CABOS UTP</t>
  </si>
  <si>
    <t>CP-CAB-08</t>
  </si>
  <si>
    <t>PATCH CORD (CABO DE REDE), CATEGORIA 6 (CAT 6) UTP, 23 AWG, 4 PARES, EXTENSAO DE 1,50 M  – FORNECIMENTO E INSTALAÇÃO</t>
  </si>
  <si>
    <t>CPOS</t>
  </si>
  <si>
    <t>69.09.250</t>
  </si>
  <si>
    <t>CP-CAB-12</t>
  </si>
  <si>
    <t>REGUA COM 12 TOMADAS 2P+T 250V., COM CABO TIPO FILTRO DE LINHA PARA RACK - FORNECIMENTO E INSTALACAO</t>
  </si>
  <si>
    <t xml:space="preserve"> AGESUL </t>
  </si>
  <si>
    <t>CP-CAB-13</t>
  </si>
  <si>
    <t>DISTRIBUIDOR INTERNO ÓPTICO DIO 6 FIBRAS, SM, SC/APC, INCLUINDO CONECTOR ÓPTICO - FORNECIMENTO E INSTALAÇÃO</t>
  </si>
  <si>
    <t>COT186</t>
  </si>
  <si>
    <t>• INCÊNDIO</t>
  </si>
  <si>
    <t>CP-INC-01</t>
  </si>
  <si>
    <t>PLACA DE SINALIZAÇÃO DE SEGURANÇA CONTRA INCENDIO, FOTOLUMINESCENTE, QUADRADA 20X40 CM EM PVC 2 MM ANTI-CHAMAS - FORNECIMENTO E INSTALAÇÃO</t>
  </si>
  <si>
    <t>• HIDROSSANITÁRIO / ÁGUAS PLUVIAIS</t>
  </si>
  <si>
    <t>CP-HSD-02</t>
  </si>
  <si>
    <t>REDUÇÃO EXCÊNTRICA, PVC, SERIE R, DN 100 X 50 MM, JUNTA ELÁSTICA, FORNECIDO E INSTALADO EM RAMAL DE ENCAMINHAMENTO. AF_06/2022</t>
  </si>
  <si>
    <t>CP-HSD-03</t>
  </si>
  <si>
    <t>CURVA 90 GRAUS, PVC, SERIE R, DN 50 MM, JUNTA ELÁSTICA, FORNECIDO E INSTALADO EM RAMAL DE ENCAMINHAMENTO.</t>
  </si>
  <si>
    <t>CP-HSD-04</t>
  </si>
  <si>
    <t>JOELHO 45 GRAUS, PVC, SERIE R, DN 100 MM, JUNTA ELÁSTICA, FORNECIDO E INSTALADO EM RAMAL DE ENCAMINHAMENTO.</t>
  </si>
  <si>
    <t>CP-HSD-05</t>
  </si>
  <si>
    <t>JOELHO 90 GRAUS, PVC, SERIE R, DN 50 MM, JUNTA ELÁSTICA, FORNECIDO E INSTALADO EM RAMAL DE ENCAMINHAMENTO.</t>
  </si>
  <si>
    <t>CP-HSD-06</t>
  </si>
  <si>
    <t>JUNÇÃO SIMPLES, PVC, SERIE NORMAL, ESGOTO PREDIAL, DN 100 X 50 MM, JUNTA ELÁSTICA, FORNECIDO E INSTALADO EM RAMAL DE DESCARGA OU RAMAL DE ESGOTO SANITÁRIO.</t>
  </si>
  <si>
    <t>CP-HSD-07</t>
  </si>
  <si>
    <t>CAP, PVC, SÉRIE NORMAL, ESGOTO PREDIAL, DN 100 MM, FORNECIMENTO E INSTALAÇÃO</t>
  </si>
  <si>
    <t>CP-HSD-09</t>
  </si>
  <si>
    <t>CAP, PVC, SÉRIE NORMAL, ESGOTO PREDIAL, DN 50 MM, FORNECIMENTO E INSTALAÇÃO</t>
  </si>
  <si>
    <t>CP-HSD-10</t>
  </si>
  <si>
    <t>CAP, PVC, SÉRIE NORMAL, ESGOTO PREDIAL, DN 40 MM, FORNECIMENTO E INSTALAÇÃO</t>
  </si>
  <si>
    <t>CP-HSD-11</t>
  </si>
  <si>
    <t>REDUÇÃO EXCÊNTRICA, PVC, SERIE R, DN 75 X 50 MM, JUNTA ELÁSTICA, FORNECIDO E INSTALADO EM RAMAL DE ENCAMINHAMENTO. AF_06/2022</t>
  </si>
  <si>
    <t>CP-HSD-12</t>
  </si>
  <si>
    <t>REDUÇÃO EXCÊNTRICA, PVC, SERIE R, DN 100 X 75 MM, JUNTA ELÁSTICA, FORNECIDO E INSTALADO EM RAMAL DE ENCAMINHAMENTO</t>
  </si>
  <si>
    <t>CP-HSD-13</t>
  </si>
  <si>
    <t>LUVA SIMPLES, PVC, SERIE R,  DN 100 MM, JUNTA ELÁSTICA, FORNECIDO E INSTALADO EM RAMAL DE ENCAMINHAMENTO.</t>
  </si>
  <si>
    <t>CP-HSD-14</t>
  </si>
  <si>
    <t>TUBO PVC, SÉRIE R, DN 100 MM, FORNECIDO E INSTALADO EM RAMAL DE ENCAMINHAMENTO</t>
  </si>
  <si>
    <t>CP-HSD-15</t>
  </si>
  <si>
    <t>TUBO PVC, SÉRIE R, DN 50 MM, FORNECIDO E INSTALADO EM RAMAL DE ENCAMINHAMENTO</t>
  </si>
  <si>
    <t>CP-HSD-16</t>
  </si>
  <si>
    <t>CAIXA ENTERRADA HIDRÁULICA RETANGULAR, EM ALVENARIA COM BLOCOS DE CONCRETO, DIMENSÕES INTERNAS: 0,6X0,6X0,6 M PARA REDE DE DRENAGEM COM RALO FOFO REQUADRO, QUADRADO 400 X 400 MM</t>
  </si>
  <si>
    <t>CP-HSD-18</t>
  </si>
  <si>
    <t>CANALETA EM CONCRETO MOLDADO IN LOCO 0,36X0,9 M</t>
  </si>
  <si>
    <t>CP-HSD-20</t>
  </si>
  <si>
    <t>CAIXA SIFONADA, COM GRELHA QUADRADA, PVC, DN 100 X 150 X 50 MM, JUNTA ELÁSTICA, FORNECIDA E INSTALADA EM RAMAL DE DESCARGA OU EM RAMAL DE ESGOTO SANITÁRIO</t>
  </si>
  <si>
    <t>O.05.000.067549</t>
  </si>
  <si>
    <t>O.02.000.067512</t>
  </si>
  <si>
    <t>CP-HSD-22</t>
  </si>
  <si>
    <t>TAMPA CEGA INOX QUADRADA DN 100 MM, INCLUSO PORTA GRELHA PARA ENCAIXE - FORNECIMENTO E INSTALAÇÃO</t>
  </si>
  <si>
    <t>73.42.33</t>
  </si>
  <si>
    <t>CP-HSD-23</t>
  </si>
  <si>
    <t>FILTRO ANAERÓBIO DE ANÉIS PRÉ-MOLDADOS DE CONCRETO, DIÂMETRO DE 1,20M, ALTURA ÚTIL DE 1,80M. COMPLETO, INCLUSO TAMPA COM VISITA DE 60 CM, CONCRETO PARA FUNDO ESP. 10 CM E TUBULAÇÃO DE SAÍDA DE ESGOTO</t>
  </si>
  <si>
    <t>IOPES</t>
  </si>
  <si>
    <t>CP-HSD-24</t>
  </si>
  <si>
    <t>SUMIDOURO ANÉIS PRÉ-MOLDADOS DE CONCRETO, DIÂMETRO DE 1,50M, ALTURA ÚTIL DE 2,80M. COMPLETO.</t>
  </si>
  <si>
    <t>15.002.0673-A</t>
  </si>
  <si>
    <t>CP-HSD-25</t>
  </si>
  <si>
    <t>GRELHA QUADRADA DN 100 MM, INCLUSO PORTA GRELHA PARA ENCAIXE - FORNECIMENTO E INSTALAÇÃO</t>
  </si>
  <si>
    <t>H361</t>
  </si>
  <si>
    <t>CP-HSD-26</t>
  </si>
  <si>
    <t>RALO HEMISFERICO 100MM PVC (RALO ABACAXI)</t>
  </si>
  <si>
    <t>CP-HSD-27</t>
  </si>
  <si>
    <t xml:space="preserve">VALVULA DE DESCARGA HIDRA - BASE 1.1/2" </t>
  </si>
  <si>
    <t>CP-HSD-01</t>
  </si>
  <si>
    <t>VALVULA REGULADORA DE PRESSÃO COM MANOMETRO INTEGRADO</t>
  </si>
  <si>
    <t>CP-HSD-17</t>
  </si>
  <si>
    <t>CANALETA DE DRENAGEM EM ALVENARIA DE TIJOLO MACIÇO , DIMENSÕES INTERNAS 30X30CM, REVESTIDA DE ARGAMASSA COM IMPERMEABILIZANTE EM TODAS AS FACES E=2,0CM, EXCLUSO GRELHA, INCLUSO ESCAVAÇÃO, REATERRO, CARGA/DESCARGA E TRANSPORTE DO MATERIAL ESCAVADO INUTILIZADO.</t>
  </si>
  <si>
    <t>SEDOP</t>
  </si>
  <si>
    <t>CP-HSD-28</t>
  </si>
  <si>
    <t>TAMPA CEGA INOX QUADRADA DN 150 MM, INCLUSO PORTA GRELHA PARA ENCAIXE - FORNECIMENTO E INSTALAÇÃO</t>
  </si>
  <si>
    <t>CP-HSD-29</t>
  </si>
  <si>
    <t xml:space="preserve">RALO SIFONADO QUADRADO 100X53 MM, SAIDA 40 MM, COM GRELHA QUADRADA </t>
  </si>
  <si>
    <t>CP-HSD-30</t>
  </si>
  <si>
    <t>FOSSA ECOLÓGICA ACOPLADA DE 1000L - FORNECIMENTO E INSTALAÇÃO</t>
  </si>
  <si>
    <t>COT273</t>
  </si>
  <si>
    <t>CP-HSD-31</t>
  </si>
  <si>
    <t xml:space="preserve">SUMIDOURO ANÉIS PRÉ-MOLDADOS DE CONCRETO, DIÂMETRO DE 0,8 M, ALTURA ÚTIL DE 1,80M. </t>
  </si>
  <si>
    <t>50.91.16</t>
  </si>
  <si>
    <t>D260000210</t>
  </si>
  <si>
    <t>CP-HSD-32</t>
  </si>
  <si>
    <r>
      <rPr>
        <b/>
        <sz val="10"/>
        <color theme="1"/>
        <rFont val="Calibri"/>
        <family val="2"/>
      </rPr>
      <t xml:space="preserve">TE, PVC, SERIE NORMAL, ESGOTO PREDIAL, </t>
    </r>
    <r>
      <rPr>
        <b/>
        <sz val="10"/>
        <color theme="1"/>
        <rFont val="Calibri"/>
        <family val="2"/>
      </rPr>
      <t>DN 75 X 50 MM</t>
    </r>
    <r>
      <rPr>
        <b/>
        <sz val="10"/>
        <color theme="1"/>
        <rFont val="Calibri"/>
        <family val="2"/>
      </rPr>
      <t>, JUNTA ELÁSTICA, FORNECIDO E INSTALADO EM PRUMADA DE ESGOTO SANITÁRIO OU VENTILAÇÃO.</t>
    </r>
  </si>
  <si>
    <t>CP-HSD-33</t>
  </si>
  <si>
    <t>CAIXA SIFONADA PVC, 150 X 150 X 50 MM, FORNECIMENTO E INSTALAÇÃO</t>
  </si>
  <si>
    <t>H337</t>
  </si>
  <si>
    <t>CP-HSD-34</t>
  </si>
  <si>
    <t>CP-DRE-02</t>
  </si>
  <si>
    <t>FORNECIMENTO E ASSENTAMENTO TUBO CORRUGADO PARA DRENAGEM-DN 300 MM (INTERNO)</t>
  </si>
  <si>
    <t>CP-HSD-35</t>
  </si>
  <si>
    <t>TORNEIRA METÁLICA CROMADA DE JARDIM - FORNECIMENTO E INSTALAÇÃO.</t>
  </si>
  <si>
    <t>CP-HSD-36</t>
  </si>
  <si>
    <t xml:space="preserve">CAIXA DE INSPEÇÃO EM BLOCOS DE CONCRETO COM TAMPA EM CONCRETO E FUNDO 60X60X150 CM </t>
  </si>
  <si>
    <t>CP-HSD-37</t>
  </si>
  <si>
    <t>CAIXA ENTERRADA HIDRÁULICA RETANGULAR, EM CONCRETO PRÉ-MOLDADO E TAMPA EM PVC, DIMENSÕES INTERNAS: 0,3X0,3X0,3 M. AF_12/2020</t>
  </si>
  <si>
    <t>CP-HSD-38</t>
  </si>
  <si>
    <t xml:space="preserve"> BOMBA SUBMERSÍVEL PARA ESGOTO COM TRITURADOR 2,5CV - FORNECIMENTO E INSTALAÇÃO</t>
  </si>
  <si>
    <t>COT272</t>
  </si>
  <si>
    <t>CP-HSD-39</t>
  </si>
  <si>
    <t>NIPLE DUPLO 3/4'' - FORNECIMENTO E INSTALAÇÃO</t>
  </si>
  <si>
    <t>CP-HSD-40</t>
  </si>
  <si>
    <t>VÁLVULA DE RETENÇÃO PVC P/ ESGOTO D=150MM - FORNECIMENTO E INSTALAÇÃO</t>
  </si>
  <si>
    <t>C4775</t>
  </si>
  <si>
    <t>I9076</t>
  </si>
  <si>
    <t>CP-HSD-41</t>
  </si>
  <si>
    <t>TANQUE SEPTICO DE FIBRA DE VIDRO 2100L - FORNECIMENTO E INSTALAÇÃO</t>
  </si>
  <si>
    <t>COT276</t>
  </si>
  <si>
    <t>CP-HSD-42</t>
  </si>
  <si>
    <t>FILTRO BIOLÓGICO DE FIBRA DE VIDRO 2100L - FORNECIMENTO E INSTALAÇÃO</t>
  </si>
  <si>
    <t>COT277</t>
  </si>
  <si>
    <t>CP-HSD-43</t>
  </si>
  <si>
    <t>CAIXA DE GRADEMANETO DE FIBRA DE VIDRO 50L - FORNECIMENTO E INSTALAÇÃO</t>
  </si>
  <si>
    <t>COT275</t>
  </si>
  <si>
    <t>CRONOGRAMA FÍSICO-FINANCEIRO</t>
  </si>
  <si>
    <t>Mês 01</t>
  </si>
  <si>
    <t>Mês 02</t>
  </si>
  <si>
    <t>Mês 03</t>
  </si>
  <si>
    <t>Mês 04</t>
  </si>
  <si>
    <t>Mês 05</t>
  </si>
  <si>
    <t>Mês 06</t>
  </si>
  <si>
    <t>Mês 07</t>
  </si>
  <si>
    <t>Mês 08</t>
  </si>
  <si>
    <t>Mês 09</t>
  </si>
  <si>
    <t>Mês 10</t>
  </si>
  <si>
    <t>VALOR TOTAL CONSTRUÇÃO</t>
  </si>
  <si>
    <t>TOTAL ACUMULADO MENSAL</t>
  </si>
  <si>
    <t>PORCENTAGEM PREVISTA</t>
  </si>
  <si>
    <t>VALOR TOTAL ACUMULADO COM BDI</t>
  </si>
  <si>
    <t>EVENTOGRAMA</t>
  </si>
  <si>
    <t>CRITÉRIO DE MEDIÇÃO</t>
  </si>
  <si>
    <t>(1) - ADMINISTRAÇÃO DA OBRA MEDIÇÃO PROPORCIONAL AO PERIODO DA OBRA
(2) - MEDIÇÃO REALIZADA APÓS A EXECUÇÃO DOS SERVIÇOS ESPECIFICADOS EM SUA TOTALIDADE E PARCELADOS CONFORME EVENTOGRAMA
(3) - MEDIÇÃO REALIZADA MEDIANTE APRESENTAÇÃO DE NOTA DE MATERIAIS POSTO EM OBRA</t>
  </si>
  <si>
    <t>VALOR  (R$)</t>
  </si>
  <si>
    <t>N° DO EVENTO</t>
  </si>
  <si>
    <t>EVENTO</t>
  </si>
  <si>
    <t xml:space="preserve">VALOR </t>
  </si>
  <si>
    <r>
      <rPr>
        <b/>
        <sz val="11"/>
        <color rgb="FFFFFFFF"/>
        <rFont val="Calibri"/>
        <family val="2"/>
      </rPr>
      <t>ADMINISTRAÇÃO DA OBRA</t>
    </r>
    <r>
      <rPr>
        <b/>
        <sz val="11"/>
        <color rgb="FFFFFFFF"/>
        <rFont val="Calibri"/>
        <family val="2"/>
      </rPr>
      <t>⁽¹⁾</t>
    </r>
  </si>
  <si>
    <r>
      <rPr>
        <b/>
        <sz val="11"/>
        <color rgb="FFFFFFFF"/>
        <rFont val="Calibri"/>
        <family val="2"/>
      </rPr>
      <t>INSTALAÇÕES DE CANTEIRO</t>
    </r>
    <r>
      <rPr>
        <b/>
        <sz val="11"/>
        <color rgb="FFFFFFFF"/>
        <rFont val="Calibri"/>
        <family val="2"/>
      </rPr>
      <t xml:space="preserve"> ⁽²⁾</t>
    </r>
  </si>
  <si>
    <t>DECLARAÇÃO - MAPA DE COTAÇÃO</t>
  </si>
  <si>
    <t xml:space="preserve">          Declaro que por obter serviços e/ou insumos na elaboração da planilha orçamentária apresentada, em sua especificidade, não pôde ser adotada diretamente a estimativa de custos que antecedem aos processos licitatórios um preço referencial em um sistema de banco oficial SINAPI, conforme obrigatoriedade do Decreto Federal de nº7.983 de 8 de abril de 2013. 
          Destarte, a pesquisa de preços para elaboração do orçamento estimativo de licitação promovida por empresas públicas e sociedades de economia mista não deve se restringir a cotações realizadas junto a potenciais fornecedores, devendo ser utilizadas outras fontes como parâmetro (Acórdão 2704/2021-TCU-Plenário) a fim de se observar o princípio da economicidade e evitar operações em que se caracterize sobrepreço, ambos contidos no caput do art. 31 da Lei 13.303/2016.
          A fim de subsidiar a formação do preço global da obra com parâmetros de mercado determinação contida no Art. 127, § 2º da Lei 12.309/2010 - LDO 2011, assim como em Instrução Normativa nº 3, de 20 de abril de 2017, por necessário fez-se a apresentação do demonstrativo de formação de preços através de cotações em empresas/fornecedores distintos, onde constam no respectivo processo, a documentação que fundamenta o preço estimado. Declaro ainda que todas as informações que constam no documento nominado Mapa de Cotações são verídicas e estão devidamente comprovadas com os arquivos digitais, atendendo o Art. 7º do Decreto Nº 219, de 21 de agosto de 2019. O preço de referência terá validade de até 180 (cento e oitenta) dias, a contar de sua elaboração, e será o resultante de pesquisa de mercado compatível com o objeto licitado. 
</t>
  </si>
  <si>
    <r>
      <rPr>
        <sz val="10"/>
        <color theme="1"/>
        <rFont val="Calibri"/>
        <family val="2"/>
      </rPr>
      <t xml:space="preserve">          Os arquivos para consulta pública das cotações estão dispostos em: 
         </t>
    </r>
    <r>
      <rPr>
        <sz val="10"/>
        <color theme="1"/>
        <rFont val="Calibri"/>
        <family val="2"/>
      </rPr>
      <t xml:space="preserve">   </t>
    </r>
    <r>
      <rPr>
        <b/>
        <sz val="10"/>
        <color rgb="FF073763"/>
        <rFont val="Calibri"/>
        <family val="2"/>
      </rPr>
      <t xml:space="preserve"> </t>
    </r>
    <r>
      <rPr>
        <b/>
        <sz val="10"/>
        <color rgb="FF1C4587"/>
        <rFont val="Calibri"/>
        <family val="2"/>
      </rPr>
      <t xml:space="preserve">➜ COTAÇÕES    </t>
    </r>
    <r>
      <rPr>
        <b/>
        <sz val="10"/>
        <color rgb="FF073763"/>
        <rFont val="Calibri"/>
        <family val="2"/>
      </rPr>
      <t xml:space="preserve">  </t>
    </r>
    <r>
      <rPr>
        <sz val="10"/>
        <color theme="1"/>
        <rFont val="Calibri"/>
        <family val="2"/>
      </rPr>
      <t xml:space="preserve"> 
 </t>
    </r>
  </si>
  <si>
    <t>MAPA DE COTAÇÕES</t>
  </si>
  <si>
    <t>Código</t>
  </si>
  <si>
    <t>Descrição do Item</t>
  </si>
  <si>
    <t>Und</t>
  </si>
  <si>
    <t>Data</t>
  </si>
  <si>
    <t>Preço Unitário</t>
  </si>
  <si>
    <t>Preço Mediano</t>
  </si>
  <si>
    <t>CNPJ</t>
  </si>
  <si>
    <t>Fornecedor</t>
  </si>
  <si>
    <t>FORRO SINTÉTICO - PALHA CARNAÚBA</t>
  </si>
  <si>
    <t>29.054.594/0001-03</t>
  </si>
  <si>
    <t>MODERNA ARTESANATO - RAQUEL DA CRUZ PEREIRA • BAEPENDI - MG • (35) 9.9877-1870</t>
  </si>
  <si>
    <t>42.695.516 0001-48</t>
  </si>
  <si>
    <t>JARDIM VERDE MENTA • SÃO PAULO - SP • (11) 2341-2298</t>
  </si>
  <si>
    <t>02.534.372/0001-23</t>
  </si>
  <si>
    <t>ARTESANATOS BELLAS ARTES E TRANSPORTES LTDA • BAEPENDI - MG • (35) 3343-2528</t>
  </si>
  <si>
    <t>GRANITO BRANCO ITAÚNAS PISO / PEITORIL</t>
  </si>
  <si>
    <t>29.620.308/0002-00</t>
  </si>
  <si>
    <t>MUNDIAL MARMORARIA | ARA DE ALMEIDA MARMORARIA E SERVICOS LTDA • VÁRZEA GRANDE-MT • (65) 3028-1790</t>
  </si>
  <si>
    <t>28.059.353/0001-86</t>
  </si>
  <si>
    <t>VILA REAL MÁRMORES E GRANITOS • CUIABÁ-MT • (65)3025-3116</t>
  </si>
  <si>
    <t>29.581.617/0001-20</t>
  </si>
  <si>
    <t>TOP MÁRMORES E DECORAÇÕES LTDA • CUIABÁ - MT • (65) 9816-0171</t>
  </si>
  <si>
    <t>CUBA DE SOBREPOR QUADRADA LOUÇA BRANCA, 35x35 CM INCLUSO ACESSÓRIOS</t>
  </si>
  <si>
    <t>10.490.181/0001-35</t>
  </si>
  <si>
    <t>MADEIRA MADEIRA • CURITIBA - PR • (41) 9877-0911</t>
  </si>
  <si>
    <t>04.520.163/0001-56</t>
  </si>
  <si>
    <t>E.J.Pullini &amp; cia LTDA • Jaú-SP •  (14) 3626 3338</t>
  </si>
  <si>
    <t>26.443.804/0003-10</t>
  </si>
  <si>
    <t>SR ACABAMENTOS E MATERIAIS PARA CONSTRUÇÃO \\ GUARÁ/DF \\ (61) 4042-7050 •  •</t>
  </si>
  <si>
    <t>MADEIRA PLASTICA</t>
  </si>
  <si>
    <t>46.165.889/0001-68</t>
  </si>
  <si>
    <t>MIKAEL BATISTA DOS SANTOS • CAXIAS DO SUL - RS • (62) 9183-1445</t>
  </si>
  <si>
    <t>00.776.574/0006-60</t>
  </si>
  <si>
    <t>SHOPTIME  • RIO DE JANEIRO - RJ •</t>
  </si>
  <si>
    <t>COBOGÓ (LUA / RING) - 20X20</t>
  </si>
  <si>
    <t>55.323.703/0001-42</t>
  </si>
  <si>
    <t>CERAMICA ARTISTICA BURGUINA LTDA • PORTO FERREIRA - SP •  (19) 3589-3420</t>
  </si>
  <si>
    <t>03.840.986/0056-70</t>
  </si>
  <si>
    <t>TELHA NORTE  • SÃO PAULO - SP • (11) 3434-3610</t>
  </si>
  <si>
    <t>10.934.864/0001-34</t>
  </si>
  <si>
    <t>CONCEITO BRASIL PIANCENZA • BAURU - SP •  (14) 99715-0754</t>
  </si>
  <si>
    <t>ESPETO DE JARDIM LED 7W IP65 2700K BIVOLT BRILIA</t>
  </si>
  <si>
    <t>24.292.238/0001-04</t>
  </si>
  <si>
    <t>SANTIM ILUMINACAO LTDA • SAO PAULO - SP • (11) 2071-3292</t>
  </si>
  <si>
    <t>25.137.467/0004-51</t>
  </si>
  <si>
    <t>FORLAR COMERCIO ELETRONICO LTDA • LAJEADO - RS • (51) 3653-7518</t>
  </si>
  <si>
    <t>24.335.485/0001-32</t>
  </si>
  <si>
    <t>INSPIRE HOME • BLUMENAL - SC • (47)99665-0219</t>
  </si>
  <si>
    <t>COT118</t>
  </si>
  <si>
    <t>PALMEIRA LEQUE - Licuala grandis</t>
  </si>
  <si>
    <t>03.894.528/0001-40</t>
  </si>
  <si>
    <t>VIVEIROS AEROPORTO LTDA ME • NOSSA SENHORA DO LIVRAMENTO - MT • (65) 3682-4020</t>
  </si>
  <si>
    <t>26.998.073/0001-08</t>
  </si>
  <si>
    <t>VIVEIROS MATO GROSSO LTDA • CUIABA - MT • (65) 99264-3594</t>
  </si>
  <si>
    <t>38.220.781/0001-00</t>
  </si>
  <si>
    <t>VIVEIROS NOSSA SENHORA APARECIDA • CUIABA - MT • (65) 99202-9243</t>
  </si>
  <si>
    <t>COT119</t>
  </si>
  <si>
    <t>FILODENDRO ONDULADO - Philodendron undulatum</t>
  </si>
  <si>
    <t>FILODENDRO XANADU - Philodendron bipinnatifidum</t>
  </si>
  <si>
    <t>FORRO VINÍLICO</t>
  </si>
  <si>
    <t>18.670.828/0001-12</t>
  </si>
  <si>
    <t>CONSTRUBEL MATERIAIS DE CONSTRUCAO LTDA • PONTE NOVA - MG • (31) 3817-1344</t>
  </si>
  <si>
    <t>27.355.436/0001-50</t>
  </si>
  <si>
    <t>RESERVA ACABAMENTOS CERAMICOS LTDA • CUIABÁ - MT • (65) 3358-3167</t>
  </si>
  <si>
    <t>38.222.775/0001-84</t>
  </si>
  <si>
    <t xml:space="preserve">	LARA INDUSTRIA DE PVC LTDA • ARACAJU - SE • (79) 99982-5319</t>
  </si>
  <si>
    <t>ARANDELA DE LUZ INDIRETA, PAREDE, COR BRANCA, 42CM, 12W, ACABAMENTO ALUMINIO COR BRANCA</t>
  </si>
  <si>
    <t>27.191.748/0001-75</t>
  </si>
  <si>
    <t xml:space="preserve">COOPERA SOLUÇÕES ELÉTRICAS \\ FORQUILHA - SC \\ (48) 99975-0718 •  • </t>
  </si>
  <si>
    <t>32.374.146/0001-93</t>
  </si>
  <si>
    <t>ANDRÉ ILUMINAÇÃO LTDA • RIO DE JANEIRO - RJ • (21) 3197-6003</t>
  </si>
  <si>
    <t>46.274.974/0001-64</t>
  </si>
  <si>
    <t>N R COMERCIO DE ILUMINAÇÃO LTDA • CANOAS - RS • (51) 98986-3126</t>
  </si>
  <si>
    <t>PERFIL H PARA POLICARBONATO</t>
  </si>
  <si>
    <t>04.626.152/0001-55</t>
  </si>
  <si>
    <t>BOLD S.A • JARAGUÁ DO SUL - SC • (47) 3274-6500</t>
  </si>
  <si>
    <t>26.492.513/0001-50</t>
  </si>
  <si>
    <t>POLY SHEET POLICARBONATO LTDA • FRANCA - SP • (16) 9999-2611</t>
  </si>
  <si>
    <t>30.067.454/0001-40</t>
  </si>
  <si>
    <t>VENTI SOLUTION VENEZIANAS INDUSTRIAIS PERSONALIZADAS LTDA • CAMPINAS - SP • (19) 9676-2152</t>
  </si>
  <si>
    <t>VÁLVULA DE DESCARGA ELETRÔNICA - SENSOR</t>
  </si>
  <si>
    <t>50.223.692/0004-58</t>
  </si>
  <si>
    <t>PADOVANI • ITU - SP • (11) 4380-1480</t>
  </si>
  <si>
    <t>01.034.396/0001-50</t>
  </si>
  <si>
    <t>CIA LIGHT ILUMINAÇÃO LTDA • BRASÍLIA - DF • (61) 3031-4205</t>
  </si>
  <si>
    <t>E.J. PULLINI &amp; CIA LTDA • JAÚ - SP •  (14) 3626 3338</t>
  </si>
  <si>
    <t>LUMINÁRIA TIPO SPOT LED PAR20, EMBUTIR, 6W OU 9W, 4000K A 4500K</t>
  </si>
  <si>
    <t>05.401.535/0001-98</t>
  </si>
  <si>
    <t>REMAX MATERIAIS ELETRICOS • PORTO UNIÃO - SC •  (42) 3522-4735</t>
  </si>
  <si>
    <t>04.192.991/0001-02</t>
  </si>
  <si>
    <t>ROTOVAC INDUSTRIA E COMERCIO DE PLASTICOS LTDA • SÃO BERNARDO DO CAMPO - SP •  (11) 96575-1495</t>
  </si>
  <si>
    <t>DISTRIBUIDOR INTERNO ÓPTICO 6 FIBRAS</t>
  </si>
  <si>
    <t>07.034.260/0001-27</t>
  </si>
  <si>
    <t>POLICABOS COMERCIO DE PRODUTOS DE TELEINFORMATICA • LONDRINA - PR • (43) 3375-7500</t>
  </si>
  <si>
    <t>13.493.649/0001-33</t>
  </si>
  <si>
    <t>SHOPAR - CLEITYSON LUCENA COSTA • CABEDELO - PB • (83) 99413-5184</t>
  </si>
  <si>
    <t>07.709.614/0001-96</t>
  </si>
  <si>
    <t>UNICASERV • SÃO PAULO - SP • (13) 3345-6012</t>
  </si>
  <si>
    <t>DISTRIBUIDOR INTERNO ÓPTICO (DIO) 1U 12F SC/APC</t>
  </si>
  <si>
    <t>06.062.128/0001-66</t>
  </si>
  <si>
    <t>JOSÉ MARIANO DE FARIA - ME • SÃO PAULO - SP • (16) 3262-2225</t>
  </si>
  <si>
    <t>23.655.598/0001-52</t>
  </si>
  <si>
    <t>ADVANCE WIRELESS &amp; TELECOM • CAMPINAS - SP • (19) 3324-5855</t>
  </si>
  <si>
    <t xml:space="preserve">REVESTIMENTO ATÉRMICO </t>
  </si>
  <si>
    <t>13.116.638/0001-34</t>
  </si>
  <si>
    <t>SRS INDUSTRIA DE REVESTIMENTOS LTDA • PORTO ALEGRE - RS • (51) 3191-9033</t>
  </si>
  <si>
    <t>25.425.774/0001-95</t>
  </si>
  <si>
    <t>ARTEFATTO INDUSTRIA E COMERCIO DE ARTEFATOS DE CIMENTO LTDA • OSORIO - RS • (51) 98138-2995</t>
  </si>
  <si>
    <t>21.556.811/0001-43</t>
  </si>
  <si>
    <t>MUNO ACABAMENTOS LTDA • APARECIDA DE GOIANIA - GO • (62) 3123-2181</t>
  </si>
  <si>
    <t>IMPERMEABILIZANTE PARA HIDROFUGAÇÃO / OLEOFUGAÇÃO</t>
  </si>
  <si>
    <t>79.953.857/0001-86</t>
  </si>
  <si>
    <t>MELO COMERCIO • COLOMBO - PR • (41) 99907-0232</t>
  </si>
  <si>
    <t>26.578.097/0001-08</t>
  </si>
  <si>
    <t>POLICENTER CASA - V P MONTEIRO E CIA LTDA • BELO HORIZONTE - MG • (31) 3481-3666</t>
  </si>
  <si>
    <t>11.279.780/0001-77</t>
  </si>
  <si>
    <t>VILA CLEAN COMERCIO DE PRODUTOS DE LIMPEZA LTDA • RIBEIRÃO PRETO - SP • (16) 3610-5794</t>
  </si>
  <si>
    <t>TEXTURA CIMENTO QUEIMADO BRANCO</t>
  </si>
  <si>
    <t>30.350.492/0001-06</t>
  </si>
  <si>
    <t>MERCADO OBRA LTDA • CURITIBA - PR • (41) 8444-0565</t>
  </si>
  <si>
    <t>17.507.426/0001-39</t>
  </si>
  <si>
    <t>VIP COLLECTION COMERCIO E DISTRIBUIDORA LTDA • DIADEMA - SP • (11) 4067-8086</t>
  </si>
  <si>
    <t>19.082.242/0001-08</t>
  </si>
  <si>
    <t>DECOR COLORS TINTAS LTDA • SALTO - SP • (11) 97181-1684</t>
  </si>
  <si>
    <t>FONTE DRIVER PARA FITA LED 100W 100 277V 24V IP20</t>
  </si>
  <si>
    <t xml:space="preserve"> 06.913.480/0015-63</t>
  </si>
  <si>
    <t xml:space="preserve">DIMENSIONAL \\ SÃO PAULO  •  • </t>
  </si>
  <si>
    <t xml:space="preserve"> 47.674.429/0003-90</t>
  </si>
  <si>
    <t>ANDRA S A ELECTRIC SOLUTIONS • SÃO PAULO - SP • (11) 3855-7000</t>
  </si>
  <si>
    <t>28.511.223/0007-28</t>
  </si>
  <si>
    <t>SOCIAL S.A. • SÃO PAULO - SP • (11) 4118-6493</t>
  </si>
  <si>
    <t>COT203</t>
  </si>
  <si>
    <t>DRIVER FONTE BLINDADA PARA LEDS 24V 100W IP67</t>
  </si>
  <si>
    <t>05.316.902/0001-55</t>
  </si>
  <si>
    <t>LEDSTOCK • SÃO PAULO - SP • (11) 96584-1313</t>
  </si>
  <si>
    <t>08.774.685/0001-35</t>
  </si>
  <si>
    <t>DUALCOM COMERCIO DE MAQUINAS EQUIPAMENTOS E SERVIÇOS LTDA • CURITIBA - PR • (41) 8416-1617</t>
  </si>
  <si>
    <t>GRANITO BRANCO ITAÚNAS - LEVIGADO</t>
  </si>
  <si>
    <t>GRANITO CINZA CORUMBÁ - LEVIGADO</t>
  </si>
  <si>
    <t>PORTA FOLHA A4 DE PAREDE EM ACRÍLICO</t>
  </si>
  <si>
    <t>43.283.811/0001-50</t>
  </si>
  <si>
    <t xml:space="preserve">KALUNGA \\ SÃO PAULO - SP \\  •  • </t>
  </si>
  <si>
    <t>14.055.516/0004-90</t>
  </si>
  <si>
    <t>MOBLY COMÉRCIO VAREJISTA LTDA • SÃO PAULO - SP • (11) 4933-0341</t>
  </si>
  <si>
    <t>15.141.479/0001-53</t>
  </si>
  <si>
    <t>DF DA SILVA ARTEFATOS DE ACRÍLICO • TAUBATÉ - SP • (12) 97406-7849</t>
  </si>
  <si>
    <t>LUMINÁRIA LLS FLEX II EMBUTIR BRANCO 2M, 50W, 120°, 2600lm 4000K</t>
  </si>
  <si>
    <t>27.617.426/0001-45</t>
  </si>
  <si>
    <t>BELLUCE COMERCIO LTDA • FLORIANOPOLIS - SC • (48) 3238-7299</t>
  </si>
  <si>
    <t>01.438.784/0048-60</t>
  </si>
  <si>
    <t>Leroy Merlin  •  SÃO PAULO - SP  • (11) 4007-1380</t>
  </si>
  <si>
    <t>PENDENTE SAFIRA Ø27X16CM METAL BRANCO E COBRE</t>
  </si>
  <si>
    <t>46.407.170/0001-96</t>
  </si>
  <si>
    <t>NOVA LUMINARIA INDUSTRIA E COMÉRCIO LTDA • SÃO PAULO - SP • (11) 94504-1476</t>
  </si>
  <si>
    <t xml:space="preserve"> FITA ALL LIGHT 24V PRO 8W/m 4000K  RL 5M</t>
  </si>
  <si>
    <t>27.959.446/0001-02</t>
  </si>
  <si>
    <t>Laydner Comercial LTDA • PALHOÇA - SC, 88130-570 • (15) 98824-0504</t>
  </si>
  <si>
    <t>FONTE PARA FITA LED 24V 25W</t>
  </si>
  <si>
    <t>45.603.529/0007-23</t>
  </si>
  <si>
    <t>YAMAMURA LTDA • CAJAMAR - SP • (11) 3906-2723</t>
  </si>
  <si>
    <t>LUMINÁRIA SPOT SOBREPOR P/ LAMPADA PAR30</t>
  </si>
  <si>
    <t>12.605.298/0001-42</t>
  </si>
  <si>
    <t>PROJELUCE COMERCIO DE ILUMINACAO LTDA • ALVORADA - RS • (51) 4141-8100</t>
  </si>
  <si>
    <t>LUMINÁRIA SPOT SOBREPOR P/ LAMPADA PAR31</t>
  </si>
  <si>
    <t>LUMINÁRIA SPOT SOBREPOR P/ LAMPADA PAR32</t>
  </si>
  <si>
    <t>18.627.130/0001-14</t>
  </si>
  <si>
    <t>ELETROTUDO DISTRIBUIDORA E ATACADISTA LTDA • XAXIM-SC • (49) 3199-4380</t>
  </si>
  <si>
    <t xml:space="preserve"> LED-PAR30-IN-NE4000K-38-11W-BIVOLT</t>
  </si>
  <si>
    <t>00.502.754/0001-40</t>
  </si>
  <si>
    <t>ELETROLUZ  • CUIABÁ/MT • (65)3653-2280</t>
  </si>
  <si>
    <t>SPOT DE SOBREPOR LOCH LAMP REDONDO DICROICA PAR16 Ø8X14CM POLICARBONATO BRANCO</t>
  </si>
  <si>
    <t>42.101.436/0001-17</t>
  </si>
  <si>
    <t>PALÁCIO DA FERRAMENTA, MÁQUINAS LTDA • RIO DE JANEIRO - RJ • (21) 99968-9492</t>
  </si>
  <si>
    <t>43.731.938/0001-94</t>
  </si>
  <si>
    <t>LUMIEREGYN LTDA • GOIANIA-GO • (62) 98574-6602</t>
  </si>
  <si>
    <t>LÂMPADA LED DICROICA 4,8W AVANT 4000K</t>
  </si>
  <si>
    <t>14.977.876/0001-05</t>
  </si>
  <si>
    <t>LUMIENERGY  • RIO DO SUL - SC • (47) 98849-8331</t>
  </si>
  <si>
    <t xml:space="preserve">ARANDELA DE LUZ INDIRETA 72cm, Fluxo Luminoso STH9741BR/30: 1900lm </t>
  </si>
  <si>
    <t>09.146.882/0001-72</t>
  </si>
  <si>
    <t>CIA LIGHT ILUMINAÇÃO LTDA • BRUSQUE - SC • (47)3355-8611</t>
  </si>
  <si>
    <t>35.653.806/0001-63</t>
  </si>
  <si>
    <t>LUZ DE CASA •  BRUSQUE - SC • (47) 99200-7958</t>
  </si>
  <si>
    <t>SPOT LED BALIZADOR CHÃO PISO 5W EMBUTIR BRANCO QUENTE 3000K</t>
  </si>
  <si>
    <t>25.256.864/0001-08</t>
  </si>
  <si>
    <t>SLA COMERCIO DE MATERIAIS ELETRICOS LTDA • CURITIBA - PR • (41) 3352-3444</t>
  </si>
  <si>
    <t>23.564.038/0001-92</t>
  </si>
  <si>
    <t>Rei do LED Comércio e Importação Ltda • UBERLÂNDIA-MG • (34) 3306-6330</t>
  </si>
  <si>
    <t>06.026.749/0001-94</t>
  </si>
  <si>
    <t>BROKETTO MATERIAIS ELÉTRICOS • RIBEIRÃO PRETO - SP • (16) 3627-1421</t>
  </si>
  <si>
    <t>BALIZADOR PAREDE EXTERNO EMBUTIDO QUADRADO LED LUP51</t>
  </si>
  <si>
    <t>05.586.526/0001-19</t>
  </si>
  <si>
    <t>ALED ATACADÃO LED • FORTALEZA-CE • (11) 99305-4433</t>
  </si>
  <si>
    <t>LUMINÁRIA 32W LED LINEAR 4000K</t>
  </si>
  <si>
    <t>33.339.927/0001-00</t>
  </si>
  <si>
    <t>RJ SOLUCOES EM ILUMINACAO LTDA • GARÇA - SC • (14) 9825-3189</t>
  </si>
  <si>
    <t>41.516.928/0001-00</t>
  </si>
  <si>
    <t>TOTAL LED SOLUÇÕES EM ILUMINAÇÃO LTDA • GARÇA - SP • (14) 99785-6099</t>
  </si>
  <si>
    <t>ACABAMENTO PARA DESCARGA PCD - COM KIT CONVERSOR</t>
  </si>
  <si>
    <t>97.837.181/0001-47</t>
  </si>
  <si>
    <t>DECA • DEXCO S.A • SÃO PAULO - SP • (11) 3179-7355</t>
  </si>
  <si>
    <t>TORNEIRA DE PAREDE SINGLE ONE</t>
  </si>
  <si>
    <t>75.801.902/0001-26</t>
  </si>
  <si>
    <t>ROCA BRASIL • JUNDIAI - SP • (11) 3230-5530</t>
  </si>
  <si>
    <t>TORNEIRA AUTOMÁTICA PAREDE REDUTOR PRESSÃO ECONÔMICO METAL</t>
  </si>
  <si>
    <t>49.368.246/0002-90</t>
  </si>
  <si>
    <t>NARDELLI HOME REVEST LTDA • LAURENTINO - SC • (47) 3300-0975</t>
  </si>
  <si>
    <t>DUCHA QUADRADA 20X20 CM, CROMADA</t>
  </si>
  <si>
    <t>26.626.667/0001-98</t>
  </si>
  <si>
    <t>MBS DECOR LTDA - PINGO DE OURO • BARUERI - SP • (11) 6492-5805</t>
  </si>
  <si>
    <t>21.816.213/0001-66</t>
  </si>
  <si>
    <t>ICTUS INDUSTRIA, COMERCIO, IMPORTACAO E EXPORTACAO LTDA • SÃO PAULO - SP • (11) 2536-5216</t>
  </si>
  <si>
    <t>11.156.942/0001-80</t>
  </si>
  <si>
    <t>CASA AGILE LTDA • LOANDA - PR • (44) 9940-5130</t>
  </si>
  <si>
    <t>ACABAMENTO P/ REGISTRO ASPEN</t>
  </si>
  <si>
    <t>75.058.149/0001-20</t>
  </si>
  <si>
    <t>IMPERMIX  • PINHAIS - PR • (41) 3203-7000 / (41) 99739-1647</t>
  </si>
  <si>
    <t>GRELHA DE ALUMINÍNO 20X100 CM COM TELA ANTI-INSETO</t>
  </si>
  <si>
    <t>45.543.915/0846-95</t>
  </si>
  <si>
    <t>CARREFOUR COMÉRCIO E INDÚSTRIAS LTDA \\ VIA DE ACESSO NORTE, KM 38, Nº 420, EMPRESARIAL GATO PRETO, CAJAMAR - SP •  •</t>
  </si>
  <si>
    <t>08.784.680/0001-93</t>
  </si>
  <si>
    <t>CASA TONELERO \\ SÃO PAULO - SP \\ (011) 3805-1220  •  •</t>
  </si>
  <si>
    <t>96.418.264/0218-02</t>
  </si>
  <si>
    <t>LOJAS QUERO QUERO \\ CACHOEIRINHA - RS \\ (55) 3541-0536 / (51) 3441-5699 •  •</t>
  </si>
  <si>
    <t>RALO OCULTO 10X10</t>
  </si>
  <si>
    <t>12.353.255/0001-17</t>
  </si>
  <si>
    <t>FERNANDES &amp; MOURA MATERIAIS PARA CONSTRUCAO LTDA • DIADEMA - SP • (11) 4056-5482</t>
  </si>
  <si>
    <t>32.851.667/0001-94</t>
  </si>
  <si>
    <t>CASINHA BELA COMERCIO E IMPORTACAO LTDA • JOINVILLE - SC  • (47) 3467-0559</t>
  </si>
  <si>
    <t>RALO OCULTO 15x15</t>
  </si>
  <si>
    <t>50.949.528/0001-80</t>
  </si>
  <si>
    <t>ASTRA S A INDUSTRIA E COMERCIO • JUNDIAÍ - SP • (11) 4583-7777</t>
  </si>
  <si>
    <t>CONTATOR MODULAR MONO 220V 20A 2NA</t>
  </si>
  <si>
    <t>06.913.480/0015-63</t>
  </si>
  <si>
    <t>DIMENSIONAL BRASIL SOLUÇÕES LTDA • (vazio) • (11) 99150-1750</t>
  </si>
  <si>
    <t>44.745.530/0001-34</t>
  </si>
  <si>
    <t xml:space="preserve">MELHOR INDUSTRIA  • SÃO PAULO - SP • </t>
  </si>
  <si>
    <t>24.626.333/0001-99</t>
  </si>
  <si>
    <t>ALPHA SISTEMAS ELÉTRICOS EIRELI • RIBEIRÃO PRETO - SP • (16) 3505-6596</t>
  </si>
  <si>
    <t>LIXEIRA EM AÇO INOX 50 LITROS</t>
  </si>
  <si>
    <t>27.717.546/0001-14</t>
  </si>
  <si>
    <t>REIS LIXEIRAS • SÃO PAULO - SP • (11) 2193-2636</t>
  </si>
  <si>
    <t>22.360.942/0001-13</t>
  </si>
  <si>
    <t>WEBPLASTICO • GUARULHOS - SP • (11) 3476-0306</t>
  </si>
  <si>
    <t>29.137.012/0001-44</t>
  </si>
  <si>
    <t>SINDICO SHOP SOROCABA LTDA • SOROCABA - SP • (15) 3232-2806</t>
  </si>
  <si>
    <t>LIXEIRA INOX COM TAMPA 5 LITROS</t>
  </si>
  <si>
    <t>04.816.663/0001-30</t>
  </si>
  <si>
    <t>MULTIBAR COMERCIO DE PRODUTOS PARA HOTEIS E RESTAURANTES LTDA • CUIABÁ - MT • (65) 3623-7665</t>
  </si>
  <si>
    <t>45.372.128/0003-86</t>
  </si>
  <si>
    <t>HABITAT COMERCIO DE UTILIDADES LTDA • SERRA - ES • (54) 4009-7000</t>
  </si>
  <si>
    <t>45.372.128/0001-14</t>
  </si>
  <si>
    <t>BRINOX SHOP • CAXIAS DO SUL - RS • (54) 4009-7052</t>
  </si>
  <si>
    <t>BLOCO DISTRIBUIÇÃO 2 BARRAMENTOS 2X11 125A</t>
  </si>
  <si>
    <t>46.519.785/0001-04</t>
  </si>
  <si>
    <t>47 ELETRICA • RIO DO SUL - SC • (47) 93300-2009</t>
  </si>
  <si>
    <t>59.107.417/0001-09</t>
  </si>
  <si>
    <t>ELETROTENICA VERA CRUZ • SÃO PAULO - SP • (11) 4127-1244</t>
  </si>
  <si>
    <t>30.546.728/0001-84</t>
  </si>
  <si>
    <t>ATACAREJO DAS MÁQUINAS • GRAVATAÍ - RS • (51) 9 9883-2474</t>
  </si>
  <si>
    <t>POSTE BALIZADOR CARRÉ RETANGULAR EXTERNO 50X7,5X7,5CM ALUMÍNIO COM LÂMPADA LED BULBO E27</t>
  </si>
  <si>
    <t>47.674.429/0003-90</t>
  </si>
  <si>
    <t>ANDRA S A ELECTRIC SOLUTIONS • SÃO PAULO - SP • (11) 3352-7000</t>
  </si>
  <si>
    <t>ESPETO DE JARDIM LED FOCCO 7W 3000K BIVOLT</t>
  </si>
  <si>
    <t>ESPETO LED ALUMINIO PRETO 11,5W 950LM IP67 3000K</t>
  </si>
  <si>
    <t>ARANDELA DE PAREDE LED ICE RETANGULAR EXTERNO 3000K 5W BIVOLT 20X8,2X4,2CM POLICARBONATO BRANCO</t>
  </si>
  <si>
    <t>LAYDNER COMERCIAL LTDA • PALHOÇA - SC, 88130-570 • (15) 98824-0504</t>
  </si>
  <si>
    <t>EMBUTIDO SOLO PISO BOCAL E27 PARA LÂMPADA PAR20</t>
  </si>
  <si>
    <t>49.474.398/0008-63</t>
  </si>
  <si>
    <t>SANTIL COMERCIAL ELETRICA • SÃO PAULO - SP • (11) 99156-9249</t>
  </si>
  <si>
    <t>42.078.932/0001-05</t>
  </si>
  <si>
    <t>OUTLED ILUMINAÇÃO - CSS ILUMINACAO LTDA • ATIBAIA - SP • (11) 9-6843-8790</t>
  </si>
  <si>
    <t>POSTE GIRAFA RETO LED AÇO GALVANIZADO À FOGO PINTURA ELETROSTÁTICA 50W 4M</t>
  </si>
  <si>
    <t>43.944.389/0001-36</t>
  </si>
  <si>
    <t>INDUSPAR INDUSTRIA E COMERCIO DE PRODUTOS DE ILUMINACAO LTDA • IBATE - SP • (16) 99115-1041</t>
  </si>
  <si>
    <t>22.321.121/0001-78</t>
  </si>
  <si>
    <t>RJE ILUMINACAO EIRELI • IBATÉ - SP • (16) 3353-7525</t>
  </si>
  <si>
    <t>POSTE GIRAFA DUPLO RETO LED AÇO GALVANIZADO À FOGO PINTURA ELETROSTÁTICA 100W 4M</t>
  </si>
  <si>
    <t>QUADRO DE COMANDO DE EMBUTIR EM AÇO CARBONO COM PLACA DE MONTAGEM 600X400X120MM</t>
  </si>
  <si>
    <t>17.004.316/0001-54</t>
  </si>
  <si>
    <t xml:space="preserve">BSE PAINÉIS \\ LIMEIRA - SP \\ (19) 4103-4112 •  • </t>
  </si>
  <si>
    <t>16.844.457/0001-12</t>
  </si>
  <si>
    <t>RT INDUSTRIA E COMÉRCIO DE LUMINARIAS LTDA • SÃO PAULO-SP • (11) 3195-0403</t>
  </si>
  <si>
    <t>EMBUTIDO DE SOLO LED FOCCO INOX 10W 640 LÚMENS 3000K 30° IP67 REDONDO</t>
  </si>
  <si>
    <t>FITA LED ALL LIGHT 16W/M 24V IP20</t>
  </si>
  <si>
    <t>FITA LED 12W/M 12V</t>
  </si>
  <si>
    <t>EMBUTIDO PARA PAR 20 REDONDO, FACE RECUADA, 115X125MM</t>
  </si>
  <si>
    <t>49.393.659/0001-44</t>
  </si>
  <si>
    <t>CLAREZO C. LINHARES UCHOA LTDA • BALNEARIO CAMBURIU - SC • (47) 3311-7999</t>
  </si>
  <si>
    <t>29.657.759/0001-23</t>
  </si>
  <si>
    <t>CIANO ILUMINAÇÃO LTDA • GAROPABA - SC • (48) 99172-1790</t>
  </si>
  <si>
    <t>GRANITO SÃO GABRIEL LEVIGADO/ ESCOVADO</t>
  </si>
  <si>
    <t xml:space="preserve">FONTE CHAVEADA 12VCC IP20 200W </t>
  </si>
  <si>
    <t>17.259.176/0001-65</t>
  </si>
  <si>
    <t>ILUMINE SOLUÇÕES ELÉTRICAS LTDA • BALNEARIO CAMBURIU - SC • (47) 3344-3828</t>
  </si>
  <si>
    <t>38.260.463/0001-65</t>
  </si>
  <si>
    <t>COR E LUZ ILUMINACAO LTDA • SÃO BERNARDO DO CAMPO-SP • (11) 4990-5177</t>
  </si>
  <si>
    <t xml:space="preserve">FONTE CHAVEADA 24VCC IP20 100W </t>
  </si>
  <si>
    <t>LAJE TRELIÇADA UNIDIRECIONAL COM TRELIÇA TR12645 - ENCHIMENTO EPS H12</t>
  </si>
  <si>
    <t>37.442.498/0001-52</t>
  </si>
  <si>
    <t>LAJE TRELICADA INDUSTRIA E COMERCIO LTDA • CUIABÁ - MT • (65) 98416-1320</t>
  </si>
  <si>
    <t>12.506.396/0001-22</t>
  </si>
  <si>
    <t>ALEIXO PRE-MOLDADOS • CUIABÁ/ MT • (65) 3631-1380</t>
  </si>
  <si>
    <t>14.438.471/0001-90</t>
  </si>
  <si>
    <t>BETONFLEX ARTEFATOS DE CONCRETO E CONSTRUÇÕES LTDA • CUIABÁ - MT • (65) 3667-0990</t>
  </si>
  <si>
    <t>LUMINÁRIA PÚBLICA LED 150W 4000K, PROTEÇÃO CONTRA SURTO 10 KV / 12 KA, IP66</t>
  </si>
  <si>
    <t>43.270.727/0003-63</t>
  </si>
  <si>
    <t>META MATERIAIS ELÉTRICOS LTDA • AMERICANA-SP • (19) 98332-0069</t>
  </si>
  <si>
    <t>29.103.816/0001-22</t>
  </si>
  <si>
    <t>GGPX COMERCIAL LTDA – COMBINADO LED • SANTANA - SP • (11) 4380-1698</t>
  </si>
  <si>
    <t>PALMEIRA FÊNIX DUPLA ATÉ 1,5 M</t>
  </si>
  <si>
    <t>06.276.241/0001-44</t>
  </si>
  <si>
    <t>BOTANIC JARDIM • CUIABÁ -  MT • (65) 3634-8947</t>
  </si>
  <si>
    <t>08.538.254/0001-70</t>
  </si>
  <si>
    <t>CIDADE JARDINS • CUIABÁ/ MT • (65) 3624-0178</t>
  </si>
  <si>
    <t>PALMEIRA CARPENTÁRIA 1,5 A 2,5 M</t>
  </si>
  <si>
    <t>PALMEIRA TAMAREIRA 2,5 a 3,5 M</t>
  </si>
  <si>
    <t>FARINHA SECA 3,0 a 3,5 M</t>
  </si>
  <si>
    <t>DISPENSER DE SABONETE/ DETERGENTE PRESSMATIC</t>
  </si>
  <si>
    <t>QUADRO DE COMANDO EM AÇO CARBONO COM PLACA DE MONTAGEM 600X500X300MM</t>
  </si>
  <si>
    <t>QUADRO DE COMANDO DE EMBUTIR EM AÇO CARBONO COM PLACA DE MONTAGEM 600X500X300MM</t>
  </si>
  <si>
    <t>07.327.325/0003-94</t>
  </si>
  <si>
    <t>VIEW TECH ENGENHARIA DE AUTOMAÇÃO • MARILIA - SP • (14) 3301-8412</t>
  </si>
  <si>
    <t>BARRA ROSCADA DE AÇO UNC - 1/2"</t>
  </si>
  <si>
    <t>28.614.320/0001-50</t>
  </si>
  <si>
    <t>MECAPAR PARAFUSOS P/MANUTENÇAO INDUSTRIAL • SÃO PAULO - SP • (11) 95610-1295</t>
  </si>
  <si>
    <t>17.773.301/0001-50</t>
  </si>
  <si>
    <t>PAES LEME PARAFUSOS E FERRAGENS • PINHEIROS - SP • (11) 3812-6631</t>
  </si>
  <si>
    <t>01.486.915/0001-11</t>
  </si>
  <si>
    <t>PARAFUTRECOS COMERCIAL LTDA • VARGEM GRANDE PAULISTA - SP • (11) 4158-3509</t>
  </si>
  <si>
    <t>BOMBA SUBMERSÍVEL PARA ESGOTO COM TRITURADOR 2,5CV</t>
  </si>
  <si>
    <t>29.520.469/0001-33</t>
  </si>
  <si>
    <t>LUX ADVANCE TECNOLOGIA ENERGÉTICA LTDA • CAMPINAS - SP • (19) 2121-9069</t>
  </si>
  <si>
    <t>17.952.028/0001-21</t>
  </si>
  <si>
    <t>REFER COMÉRCIO • JARAGUÁ DO SUL - SC • (47) 3084-1957</t>
  </si>
  <si>
    <t>00.057.359/0001-03</t>
  </si>
  <si>
    <t>PARAISO DAS BOMBAS • BELO HORIZONTE - MG • (31) 3270-9633</t>
  </si>
  <si>
    <t>43.193.784/0001-24</t>
  </si>
  <si>
    <t>A G ARAUJO DA SILVA COMERCIO LTDA • SUZANO - SP • (11) 4722-6549</t>
  </si>
  <si>
    <t>26.662.514/0001-04</t>
  </si>
  <si>
    <t>ECOSOLIS SOLUCOES EM ENERGIA SOLAR E EFICIENCIA ENERGETICA LTDA • VINHEDO - SP • (19) 9906-4504</t>
  </si>
  <si>
    <t>LAMPADA PAR 20 - COM SOQUETE E27 E LED ATÉ 7W - ATÉ 4500 K</t>
  </si>
  <si>
    <t>29.773.000/0001-06</t>
  </si>
  <si>
    <t>PLANET ILUMINAÇÃO E VARIEDADES LTDA • SÃO PAULO-SP • (11) 3223-7275</t>
  </si>
  <si>
    <t xml:space="preserve">COT38 </t>
  </si>
  <si>
    <t>GRANITO CINZA ANDORINHA LEVIGADO</t>
  </si>
  <si>
    <t>LOCAÇÃO MENSAL  DE TENDA 5X5 M</t>
  </si>
  <si>
    <t>34.649.345/0001-92</t>
  </si>
  <si>
    <t>COMPANHIA DAS TENDAS</t>
  </si>
  <si>
    <t>17.505.616/0001-17</t>
  </si>
  <si>
    <t>SOLUCAO LOCADORA DE TOALETES LTDA</t>
  </si>
  <si>
    <t>28.100.559/0001-02</t>
  </si>
  <si>
    <t>MS TENDAS</t>
  </si>
  <si>
    <t>PLACA DE SINALIZAÇÃO EM BRAILLE EM AÇO INOX,  DIMENSÕES 20X10 CM</t>
  </si>
  <si>
    <t>44.520.562/0001-31</t>
  </si>
  <si>
    <t>TOC&amp;ART CONSTRUCAO REFORMA E INSTALACOES LTDA • SAO BERNARDO DO CAMPO - SP • (11) 4031-0450</t>
  </si>
  <si>
    <t>43.806.767/0001-15</t>
  </si>
  <si>
    <t>LAGGE DECORAR LTDA • SÃO PAULO - SP • (11) 99919-7659</t>
  </si>
  <si>
    <t>08.631.950/0002-07</t>
  </si>
  <si>
    <t>CIA DAS PLACAS LTDA • FLORIANÓPOLIS - SC • (48) 3333-8381</t>
  </si>
  <si>
    <t>SPOT EMBUTIR DUPLO RECUADO MR16 SISTEMA CLICK</t>
  </si>
  <si>
    <t>32.906.428/0001-94</t>
  </si>
  <si>
    <t>LED TUBE ILUMINÇÃO DECORATIVA LTDA • Nações Timbó - SC • (47) 99278-4085</t>
  </si>
  <si>
    <t>24.205.016/0001-07</t>
  </si>
  <si>
    <t>STARLUMEN DO BRASIL LTDA • SÃO JOSÉ DO RIO PRETO - SP • (17) 3233-3999</t>
  </si>
  <si>
    <t xml:space="preserve"> 06.0267.490.001-94</t>
  </si>
  <si>
    <t>BROKETTO MATERIAIS ELÉTRICOS • RIBEIRÃO PRETO/SP • (16) 3627-1421</t>
  </si>
  <si>
    <t>LAMPADA LED MR16 7W 4000K</t>
  </si>
  <si>
    <t>05.062.743/0001-00</t>
  </si>
  <si>
    <t>DECORLUZ COMERCIO DE ARTIGOS DE DECORACAO E ILUMINACAO LTDA • BRAGANCA PAULISTA - SP • (11) 2473-6356</t>
  </si>
  <si>
    <t>39.251.217/0001-00</t>
  </si>
  <si>
    <t>ILUMINAR AMBIENTE • RIBEIRÃO PRETO/SP • (17) 3223-7179</t>
  </si>
  <si>
    <t>PARAFUSO SEXTAVADO Ø3/8X5" (AÇO CARBONO)</t>
  </si>
  <si>
    <t>22.842.094/0001-89</t>
  </si>
  <si>
    <t>MEGA LOJISTA • SÃO PAULO - SP • (11) 91307-3815</t>
  </si>
  <si>
    <t>01.056.640/0001-86</t>
  </si>
  <si>
    <t>PARAFUSO FACIL • JAGUARA DO SUL - SC • (47) 3032-0780</t>
  </si>
  <si>
    <t>07.957.854/0001-00</t>
  </si>
  <si>
    <t>JOFEPAR • SÃO PAULO - SP • (11) 94246-8288</t>
  </si>
  <si>
    <t>TORNEIRA PARA PIA DE COZINHA GALI METAL BICA ALTA DOCOL, ACABAMENTO CROMADO BINÍQUEL , AREJADOR ARTICULÁVEL</t>
  </si>
  <si>
    <t>01.381.478/0001-71</t>
  </si>
  <si>
    <t>HIDRONOX DISTRIBUIDORA DE PRODUTOS EM INOX LTDA • CURITIBA - PR • (41) 3153-8581</t>
  </si>
  <si>
    <t>TOLDO BRAÇO ARTICULADO</t>
  </si>
  <si>
    <t>23.112.049/0001-31</t>
  </si>
  <si>
    <t>CASA DE TOLDOS • FRANCA - SP • (16) 99336-5563</t>
  </si>
  <si>
    <t>22.317.261/0001-72</t>
  </si>
  <si>
    <t>QUALITÁ TOLDOS E COBERTURAS • SÃO PAULO - SP • (11) 95848-9000</t>
  </si>
  <si>
    <t>11.168.469/0001-50</t>
  </si>
  <si>
    <t>COBERCHAPAS • FRANCA - SP • (16)99280-1289</t>
  </si>
  <si>
    <t>COTPS-03</t>
  </si>
  <si>
    <t>BEBEDOURO SUSPENSO PRESSÃO 100 COLUNA</t>
  </si>
  <si>
    <t>42.752.989/0001-30</t>
  </si>
  <si>
    <t>LIDER PREMIUM LIDER AGUA PREMIUM LTDA • BELO HORIZONTE - MG • (31) 3524-3200</t>
  </si>
  <si>
    <t>08.584.116/0001-27</t>
  </si>
  <si>
    <t>WEB CONTINENTAL • PORTO ALEGRE - RS •</t>
  </si>
  <si>
    <t>50.970.342/0001-02</t>
  </si>
  <si>
    <t>DUTRA MAQUINAS • SÃO PAULO - SP •  (11) 2795-8830</t>
  </si>
  <si>
    <t>COTPS-04</t>
  </si>
  <si>
    <t>BEBEDOURO PURIFICADOR COLUNA DE PRESSÃO AÇO INOX</t>
  </si>
  <si>
    <t>42.442.917/0002-77</t>
  </si>
  <si>
    <t>WDV COMERCIO DE ELETRODOMESTICOS E EQUIPAMENTOS ELETRONICOS LTDA • BELO HORIZONTE - MG • (31) 3646-7375</t>
  </si>
  <si>
    <t>08.623.941/0001-93</t>
  </si>
  <si>
    <t>COMERCIAL VIDANOVA IMPORTAÇÃO E EXPORTAÇÃO LTDA • SÃO JOSÉ DO RIOM PRETO - SP • (17) 3305-8901</t>
  </si>
  <si>
    <t>PEDRA NATURAL REGIONAL</t>
  </si>
  <si>
    <t>01.877.874/0001-94</t>
  </si>
  <si>
    <t>MOSAICO PEDRAS - GLL MARMORARIA  LTDA • CUIABÁ - MT • (65) 3621-6161</t>
  </si>
  <si>
    <t>48.787.069/0001-33</t>
  </si>
  <si>
    <t>PIRINEUS PEDRAS DECORATIVAS LTDA • CUIABÁ - MT • (65) 3044-6877</t>
  </si>
  <si>
    <t>07.401.874/0001-08</t>
  </si>
  <si>
    <t>ALFA COMERCIO DE PEDRAS • CUIABÁ - MT • (65) 3664-1234</t>
  </si>
  <si>
    <t>FOSSA FILTRO DE 1000 LITROS ACOPLADA E CAIXA DE GRADEAMENTO</t>
  </si>
  <si>
    <t>21.499.899/0001-09</t>
  </si>
  <si>
    <t>J. DE LIMA CARVALHO LTDA • CUIABA - MT • (65) 3682-6688</t>
  </si>
  <si>
    <t>05.627.400/0001-45</t>
  </si>
  <si>
    <t>PANTANAL SISTEMAS LTDA • CUIABÁ - MT • (65) 99692-9223</t>
  </si>
  <si>
    <t>01.843.171/0002-26</t>
  </si>
  <si>
    <t>SANEAR MATO GROSSO • VARZEA GRANDE - MT • (65) 3686-3021</t>
  </si>
  <si>
    <t>FONTE CHAVEADA  24VCC BIVOLT 240W</t>
  </si>
  <si>
    <t>28.963.971/0001-56</t>
  </si>
  <si>
    <t>COPYRIGHT JER COMANDO E AUTOMAÇÃO LTDA • COTIA - SP • (11) 96176-1915</t>
  </si>
  <si>
    <t>01.457.015/0001-46</t>
  </si>
  <si>
    <t>MUNDO ELÉTRICO • SÃO PAULO - SP • (11) 95385-3036</t>
  </si>
  <si>
    <t>CAIXA DE GRADEMANETO DE FIBRA DE VIDRO 50L</t>
  </si>
  <si>
    <t>TANQUE SEPTICO DE FIBRA DE VIDRO 2100L</t>
  </si>
  <si>
    <t>FILTRO BIOLÓGICO DE FIBRA DE VIDRO 2100L</t>
  </si>
  <si>
    <t>GRANITO BRANCO MARFIM LEVIGADO</t>
  </si>
  <si>
    <t>44.524.133/0001-32</t>
  </si>
  <si>
    <t>W A MARMORIA LTDA • IDEAL MARMORARIA • CUIABÁ - MT • (65) 9912-6162</t>
  </si>
  <si>
    <t>05.766.496/0001-22</t>
  </si>
  <si>
    <t>JBA MARMORES E GRANITOS LTDA • CUIABÁ - MT • (65) 3317-3300</t>
  </si>
  <si>
    <t>01.000.404/0001-48</t>
  </si>
  <si>
    <t>PIETRA MARMORARIA • CUIABÁ-MT • (65) 3324-1605</t>
  </si>
  <si>
    <t>ITENS DE MAIOR RELEVÂNCIA</t>
  </si>
  <si>
    <t xml:space="preserve">          
          A análise dos itens de maior relevância teve como parâmetro a Curva ABC da planilha orçamentária, em conjunto de características e elementos que individualizam e diferenciam o objeto, evidenciando seus pontos mais críticos, de maior dificuldade técnica, bem como que representam risco mais elevado para a sua perfeita execução, tendendo também ao prejuízo. Trata-se da essência do objeto licitado, caracterizador da obra, que é de suma importância para o resultado almejado pela contratação. Assim, visto a Lei nº 13.303/2016 deixa clara ao fazer menção a “parcelas do objeto técnica ou economicamente relevantes, de acordo com parâmetros estabelecidos de forma expressa no instrumento convocatório”.
          Inobstante a ausência de definição objetiva da parcela mais relevante pela antevista norma, o ponto de partida para melhor precisão da parcela de maior relevância ou valor significativo do objeto licitatório. Segundo o novo marco regulatório, “a exigência de atestados será restrita às parcelas de maior relevância ou valor significativo do objeto da licitação, assim consideradas as que tenham valor individual igual ou superior a 4% (quatro por cento) do valor total estimado da contratação”.
          Em suma, restarão caracterizados os serviços identificados como sendo de maior complexidade técnica e/ou vulto econômico, cuja inexecução importe em risco mais elevado para a Administração. Esteado ao Art. 64 no inciso I – identificar os fornecedores que reúnam condições de habilitação exigidas para o fornecimento de bem ou a execução de serviço ou obra nos prazos, locais e condições previamente estabelecidos. E em § 4º A pré-qualificação poderá ser parcial ou total, contendo alguns ou todos os requisitos de habilitação ou técnicos necessários à contratação, assegurada, em qualquer hipótese, a igualdade de condições entre os concorrentes.</t>
  </si>
  <si>
    <t>CURVA ABC DE SERVIÇOS</t>
  </si>
  <si>
    <t>TOTAL GERAL</t>
  </si>
  <si>
    <t>FAIXA A</t>
  </si>
  <si>
    <t>FAIXA B</t>
  </si>
  <si>
    <t>FAIXA C</t>
  </si>
  <si>
    <t>Banco</t>
  </si>
  <si>
    <t>Descrição</t>
  </si>
  <si>
    <t>Quant.</t>
  </si>
  <si>
    <t>Valor  Unit</t>
  </si>
  <si>
    <t>Total</t>
  </si>
  <si>
    <t>Peso (%)</t>
  </si>
  <si>
    <t>Peso Acum. (%)</t>
  </si>
  <si>
    <t>Faixas de Corte</t>
  </si>
  <si>
    <t>PISO EM GRANITO BRANCO MARFIM, FRISOS ANTIDERRAPANTES, LEVIGADO, E=2CM - FORNECIMENTO E APLICAÇÃO</t>
  </si>
  <si>
    <t>PISO EM GRANITO CINZA ANDORINHA, FRISOS ANTIDERRAPANTES, LEVIGADO, E=2CM - FORNECIMENTO E APLICAÇÃO</t>
  </si>
  <si>
    <t>EXECUÇÃO DE PASSEIO (CALÇADA) OU PISO DE CONCRETO C25 MOLDADO IN LOCO, USINADO, ACABAMENTO CONVENCIONAL, ESPESSURA 8 CM, ARMADO.</t>
  </si>
  <si>
    <t>PISO EM GRANITO SÃO GABRIEL, FRISOS ANTIDERRAPANTES, LEVIGADO, E=2CM - FORNECIMENTO E APLICAÇÃO</t>
  </si>
  <si>
    <t>FORNECIMENTO E MONTAGEM DE ESTRUTURA METÁLICA SOLDADAS - COBERTURA WAKE BAR, INCLUSO PINTURA DE FUNDO COM ZARCÃO E ACABAMENTO EM ESMALTE</t>
  </si>
  <si>
    <t>FORNECIMENTO E MONTAGEM DE ESTRUTURA METÁLICA SOLDADAS - BANHEIRO DE APOIO - ESPAÇO DE SHOWS (COBERTURA 1, COBERTURA 2, COBERTURA 3 e SUPORTE DO PAINEL), INCLUSO PINTURA DE FUNDO COM ZARCÃO E ACABAMENTO EM ESMALTE</t>
  </si>
  <si>
    <t>PAINEL RIPADO EM ALUMÍNIO CHAPA E=1,50 MM (4,050 KG/M²), ACABAMENTO EM PINTURA ELETROSTÁTICA, E FIXAÇÃO DIRETA EM DIVERSAS SUPERFÍCIES - FORNECIMENTO E INSTALAÇÃO</t>
  </si>
  <si>
    <t>REVESTIMENTO CERÂMICO, TIPO PORCELANATO, ISEO GRIGIO, BIANCOGRES, RETIFICADO, DIMENSÕES 90X90CM (REJUNTE CINZA OUTONO) - FORNECIMENTO E APLICAÇÃO</t>
  </si>
  <si>
    <t>LOCAÇÃO CONVENCIONAL DE OBRA, UTILIZANDO GABARITO DE TÁBUAS CORRIDAS PONTALETADAS A CADA 2,00M - 2 UTILIZAÇÕES. AF_03/2024</t>
  </si>
  <si>
    <t>REVESTIMENTO CERÂMICO, TIPO PORCELANATO, CEMENTO GRIGIO, BIANCOGRES, RETIFICADO, DIMENSÕES 90X90CM (REJUNTE CINZA OUTONO) - FORNECIMENTO E APLICAÇÃO</t>
  </si>
  <si>
    <t>REVESTIMENTO PORCELANATO, DECORADO, ACETINADO, BORDA RETA, DIMENSÕES 90X90CM, REJUNTADO - TERRAZO VENEZIANO AVORIO - FORNECIMENTO E APLICAÇÃO</t>
  </si>
  <si>
    <t>BRISE ANGULO FIXO, EM ALUMÍNIO OU GALVALUME, 45º, ACABAMENTO LISO, NA COR BRANCO - FORNECIMENTO E INSTALAÇÃO</t>
  </si>
  <si>
    <t>REVESTIMENTO ATÉRMICO, ACABAMENTO MEIA-CANA NAS BORDAS DE ASSENTO, REJUNTE CIMENTÍCIO, E IMPERMEABILIZANTE OLEOFUGANTE - FORNECIMENTO E APLICAÇÃO</t>
  </si>
  <si>
    <t>GUIA (MEIO-FIO) E SARJETA CONJUGADOS DE CONCRETO, MOLDADA IN LOCO EM TRECHO RETO COM EXTRUSORA, 65 CM BASE (15 CM BASE DA GUIA + 50 CM BASE DA SARJETA) X 26 CM ALTURA. AF_01/2024</t>
  </si>
  <si>
    <t>GUARDA CORPO EM ALUMÍNIO, MONTANTE PERFIL QUADRADO SEÇÃO 5X5 CM, CORRIMÃO EM PERFIL "U" 5X3 CM E VEDAÇÃO EM TELA ALAMBRADO REVESTIDA PVC BRANCO E=2,8MM - FORNECIMENTO E INSTALAÇÃO H-1,10 M</t>
  </si>
  <si>
    <t>GRELHA ARVOREIRA EM FERRO FUNDIDO, DIMENSÕES Ø1,50 M. FORNECIMENTO E INSTALAÇÃO.</t>
  </si>
  <si>
    <t>VALVULA DE DESCARGA HIDRA - BASE 1.1/2"</t>
  </si>
  <si>
    <t>ESPETO LED ALUMINIO PRETO 11,5W 950LM IP67 3000K - FORNECIMENTO E INSTALAÇÃO</t>
  </si>
  <si>
    <t>FECHAMENTO EM CHAPA DE AÇO, E = 2,00 MM (16,00 KG/M2), INCLUSO FUNDO ANTICORROSIVO E DUAS DEMÃOS DE PINTURA ESMALTE SINTÉTICO FOSCO - FORNECIMENTO E INSTALAÇÃO EM ESTRUTURA EXISTENTE</t>
  </si>
  <si>
    <t>PLANTIO DE PALMEIRA ( PALMEIRA CARPENTÁRIA 1,5 A 2,5 M )</t>
  </si>
  <si>
    <t>POSTE BALIZADOR RETANGULAR EXTERNO 50X7,5X7,5CM ALUMÍNIO COM LÂMPADA LED BULBO E27 - FORNECIMENTO E INSTALAÇÃO</t>
  </si>
  <si>
    <t>COBERTURA DE APOIO PARA CANTEIRO DE OBRAS, TELHAMENTO COM TELHA ONDULADA DE FIBROCIMENTO E = 6 MM, ESTRUTURA EM MADEIRA. EXCLUSO INSTALAÇÕES EM GERAL E PISO.</t>
  </si>
  <si>
    <t>TRATAMENTO DE JUNTA DE DILATAÇÃO, COM TARUGO DE POLIETILENO E SELANTE PU, INCLUSO PREENCHIMENTO COM ESPUMA EXPANSIVA PU EPS 20MM</t>
  </si>
  <si>
    <t>FITA LED ALL LIGHT 16W/M 24V IP20 - FORNECIMENTO E INSTALAÇÃO</t>
  </si>
  <si>
    <t>BOMBA SUBMERSÍVEL PARA ESGOTO COM TRITURADOR 2,5CV - FORNECIMENTO E INSTALAÇÃO</t>
  </si>
  <si>
    <t>REGULARIZAÇÃO E COMPACTAÇÃO DE SUBLEITO DE SOLO PREDOMINANTEMENTE ARGILOSO. AF_11/2019</t>
  </si>
  <si>
    <t>PLANTIO DE ARBUSTO OU CERCA VIVA. AF_07/2024</t>
  </si>
  <si>
    <t>REVESTIMENTO CERÂMICO, TIPO PORCELANATO, CEMENTO GRIGIO, BIANCOGRES, RETIFICADO, DIMENSÕES 60X60CM, REJUNTADO - FORNECIMENTO E APLICAÇÃO</t>
  </si>
  <si>
    <t>ACABAMENTO EM FORMATO LEQUE EUROPEU, PREVENDO A QUEIMA, APLICAÇÃO E IMPRESSÃO DE FÔRMAS DE ESTAMPAGEM, CORTE DE INDUÇÃO, LAVAGEM DE PISO E 03 DEMÃOS DE IMPERMEABILIZAÇÃO COM RESINA ACRÍLICA</t>
  </si>
  <si>
    <t>CONCRETAGEM DE VIGAS E LAJES, FCK=30 MPA, PARA LAJES MACIÇAS OU NERVURADAS COM USO DE BOMBAS - LANÇAMENTO, ADENSAMENTO E ACABAMENTO</t>
  </si>
  <si>
    <t>REBOCO RÚSTICO</t>
  </si>
  <si>
    <t>CAIXA DE INSPEÇÃO EM BLOCOS DE CONCRETO COM TAMPA EM CONCRETO E FUNDO 60X60X150 CM</t>
  </si>
  <si>
    <t>ARANDELA DE LUZ INDIRETA 72CM, FLUXO LUMINOSO STH9741BR/30: 1900LM - FORNECIMENTO E INSTALAÇÃO</t>
  </si>
  <si>
    <t>EMBUTIDO DE SOLO LED INOX 10W 640 LÚMENS 3000K 30° IP67 REDONDO - FORNECIMENTO E INSTALAÇÃO</t>
  </si>
  <si>
    <t>FORNECIMENTO E MONTAGEM DE ESTRUTURA METÁLICA SOLDADAS ESTRUTURA METÁLICA - QUIOSQUE, INCLUSO UMA DEMÃO PINTURA DE FUNDO COM ZARCÃO E ACABAMENTO EM ESMALTE</t>
  </si>
  <si>
    <t>CHAPISCO APLICADO EM ALVENARIAS E ESTRUTURAS DE CONCRETO INTERNAS, COM COLHER DE PEDREIRO. ARGAMASSA TRAÇO 1:3 COM PREPARO EM BETONEIRA 400L. AF_10/2022</t>
  </si>
  <si>
    <t>FITA LED 12W/M 12V - FORNECIMENTO E INSTALAÇÃO</t>
  </si>
  <si>
    <t>LUMINÁRIA SPOT SOBREPOR P/ LAMPADA PAR30 INCLUSIVE LAMPADA - FORNECIMENTO E INSTALAÇÃO</t>
  </si>
  <si>
    <t>ESPETO DE JARDIM LED 7W IP65 2700K BIVOLT - FORNECIMENTO E INSTALAÇÃO</t>
  </si>
  <si>
    <t>PISO TÁTIL DE DIRECIONAL EM INOX COLADO EM PISO - FORNECIMENTO E INSTALAÇÃO</t>
  </si>
  <si>
    <t>APLICAÇÃO MANUAL DE MASSA ACRÍLICA EM TETO, DUAS DEMÃOS, INCLUSO LIXAMENTO</t>
  </si>
  <si>
    <t>ESCAVAÇÃO MECANIZADA DE VALA COM PROF. ATÉ 1,5 M (MÉDIA MONTANTE E JUSANTE/UMA COMPOSIÇÃO POR TRECHO), ESCAVADEIRA (0,8 M3),LARG. ATÉ 1,5 M, EM SOLO DE 2A CATEGORIA, EM LOCAIS COM ALTO NÍVEL DE INTERFERÊNCIA. AF_02/2021</t>
  </si>
  <si>
    <t>TORNEIRA AUTOMÁTICA PAREDE REDUTOR PRESSÃO ECONÔMICO METAL - FORNECIMENTO E INSTALAÇÃO</t>
  </si>
  <si>
    <t>PINTURA COM TINTA EPÓXI, APLICAÇÃO MANUAL, 2 DEMÃOS, INCLUSO PRIMER EPÓXI.</t>
  </si>
  <si>
    <t>ARANDELA DE LUZ INDIRETA, PAREDE, COR BRANCA, 42CM, 12W, ACABAMENTO ALUMINIO COR BRANCA - FORNECIMENTO E INSTALAÇÃO</t>
  </si>
  <si>
    <t>ACABAMENTO PARA REGISTRO - FORNECIMENTO E INSTALAÇÃO</t>
  </si>
  <si>
    <t>BARRA DE APOIO RETA, EM ACO INOX POLIDO, COMPRIMENTO 70 CM, FIXADA NA PAREDE - FORNECIMENTO E INSTALAÇÃO. AF_01/2020</t>
  </si>
  <si>
    <t>LUMINÁRIA TIPO SPOT LED PAR20, EMBUTIR, 6W OU 9W, 4000K A 4500K - FORNECIMENTO E INSTALAÇÃO</t>
  </si>
  <si>
    <t>BARRA DE APOIO RETA, EM ACO INOX POLIDO, COMPRIMENTO 80 CM, FIXADA NA PAREDE - FORNECIMENTO E INSTALAÇÃO. AF_01/2020</t>
  </si>
  <si>
    <t>PAINEL SLIM LED PROJETO QUADRADO SOBREPOR 40W 6000K Ângulo 120 - FORNECIMENTO E INSTALAÇÃO</t>
  </si>
  <si>
    <t>FITA ALL LIGHT 24V PRO 8W/m 4000K - FORNECIMENTO E INSTALAÇÃO</t>
  </si>
  <si>
    <t>ACABAMENTO PARA DESCARGA PCD, COM KIT CONVERSOR. FORNECIMENTO E INSTALAÇÃO</t>
  </si>
  <si>
    <t>SPOT LED BALIZADOR CHÃO PISO 5W EMBUTIR BRANCO QUENTE 3000K - FORNECIMENTO E INSTALAÇÃO</t>
  </si>
  <si>
    <t>CONTATOR MODULAR MONO 220V 20A 2NA - FORNECIMENTO E INSTALACAO</t>
  </si>
  <si>
    <t>SUMIDOURO ANÉIS PRÉ-MOLDADOS DE CONCRETO, DIÂMETRO DE 0,8 M, ALTURA ÚTIL DE 1,80M.</t>
  </si>
  <si>
    <t>BARRA DE APOIO RETA, EM ACO, COMPRIMENTO 45 CM, FIXADA NA PAREDE - FORNECIMENTO E INSTALAÇÃO.</t>
  </si>
  <si>
    <t>RALO OCULTO, PVC, 15 X 15 CM, JUNTA SOLDÁVEL - FORNECIMENTO E INSTALAÇÃO</t>
  </si>
  <si>
    <t>BARRA DE APOIO RETA, EM ACO, COMPRIMENTO 40 CM, FIXADA NA PAREDE - FORNECIMENTO E INSTALAÇÃO.</t>
  </si>
  <si>
    <t>BALIZADOR PAREDE EXTERNO EMBUTIDO QUADRADO LED - FORNECIMENTO E INSTALAÇÃO</t>
  </si>
  <si>
    <t>LUMINÁRIA 32W LED LINEAR 4000K - FORNECIMENTO E INSTALAÇÃO</t>
  </si>
  <si>
    <t>ACABAMENTO EM FORMATO PENA DE PAVÃO (FLAGSTONE), PREVENDO A QUEIMA, APLICAÇÃO E IMPRESSÃO DE FÔRMAS DE ESTAMPAGEM, CORTE DE INDUÇÃO, LAVAGEM DE PISO E 03 DEMÃOS DE IMPERMEABILIZAÇÃO COM RESINA ACRÍLICA</t>
  </si>
  <si>
    <t>DISPENSER INOX SABONETEIRA ATÉ 800ML - FORNECIMENTO E INSTALAÇÃO.</t>
  </si>
  <si>
    <t>SUPORTE INOX DE PAPEL HIGIÊNICO ROLO - FORNECIMENTO E INSTALAÇÃO.</t>
  </si>
  <si>
    <t>DISPENSER INOX PORTA PAPEL TOALHA INTERFOLHADO - FORNECIMENTO E INSTALAÇÃO.</t>
  </si>
  <si>
    <t>QUADRO DE COMANDO CAIXA EM CHAPA METÁLICA GALVANIZADA 60X40X12CM COM BLOCO DISTRIBUIÇÃO 2 BARRAMENTOS 2X11 125A – FORNECIMENTO E INSTALAÇÃO</t>
  </si>
  <si>
    <t>PENDENTE SAFIRA Ø27X16CM METAL BRANCO E COBRE - FORNECIMENTO E INSTALAÇÃO</t>
  </si>
  <si>
    <t>LUMINÁRIA LLS FLEX II EMBUTIR BRANCO 2M, 50W, 120°, 2600lm 4000K - FORNECIMENTO E INSTALAÇÃO</t>
  </si>
  <si>
    <t>FORNECIMENTO E INSTALAÇÃO DE MINI RACK DE PAREDE 19" X 5U X 350MM – FORNECIMENTO E INSTALAÇÃO</t>
  </si>
  <si>
    <t>TE, PVC, SERIE NORMAL, ESGOTO PREDIAL, DN 75 X 50 MM, JUNTA ELÁSTICA, FORNECIDO E INSTALADO EM PRUMADA DE ESGOTO SANITÁRIO OU VENTILAÇÃO.</t>
  </si>
  <si>
    <t>CERÂMICA 10 X 20 CM, BRILHANTE, WHITE OU SIMILAR , REJUNTADO - FORNECIMENTO E APLICAÇÃO</t>
  </si>
  <si>
    <t>CUBA DE EMBUTIR PORCELANA NA COR BRANCA 0,33X0,33 CM - FORNECIMENTO E INSTALAÇÃO</t>
  </si>
  <si>
    <t>REGISTRO DE ESFERA, PVC, SOLDÁVEL, COM VOLANTE, DN 60 MM - FORNECIMENTO E INSTALAÇÃO. AF_08/2021</t>
  </si>
  <si>
    <t>JOELHO 90 GRAUS COM BUCHA DE LATÃO, PVC, SOLDÁVEL, DN 25MM, X 3/4 INSTALADO EM RAMAL OU SUB-RAMAL DE ÁGUA - FORNECIMENTO E INSTALAÇÃO. AF_06/2022</t>
  </si>
  <si>
    <t>FONTE PARA FITA LED 24V 25W - FORNECIMENTO E INSTALAÇÃO</t>
  </si>
  <si>
    <t>JOELHO 90 GRAUS COM BUCHA DE LATÃO, PVC, SOLDÁVEL, DN 25MM, X 1/2 INSTALADO EM RAMAL OU SUB-RAMAL DE ÁGUA - FORNECIMENTO E INSTALAÇÃO. AF_06/2022</t>
  </si>
  <si>
    <t>DISPOSITIVO DPS CLASSE II, 1 POLO, TENSAO MAXIMA DE 275 V, CORRENTE MAXIMA DE *20* KA (TIPO AC) - FORNECIMENTO E INSTALACAO</t>
  </si>
  <si>
    <t>TORNEIRA PARA PIA DE COZINHA GALI METAL BICA ALTA DOCOL, ACABAMENTO CROMADO BINÍQUEL , AREJADOR ARTICULÁVEL - FORNECIMENTO E INSTALAÇÃO.</t>
  </si>
  <si>
    <t>FONTE DRIVER PARA FITA LED 100W 100 277V 24V IP20 - FORNECIMENTO E INSTALAÇÃO</t>
  </si>
  <si>
    <t>RALO OCULTO, PVC, 10 X10 CM, JUNTA SOLDÁVEL - FORNECIMENTO E INSTALAÇÃO</t>
  </si>
  <si>
    <t>PLACA DE SINALIZAÇÃO EM BRAILLE EM AÇO INOX, DIMENSÕES 20X10 CM - FORNECIMENTO E INSTALAÇÃO</t>
  </si>
  <si>
    <t>INTERRUPTOR DIFERENCIAL RESIDUAL (DR) TETRAPOLAR DE 40A-30mA - FORNECIMENTO E INSTALAÇÃO</t>
  </si>
  <si>
    <t>FIXAÇÃO DE PERFILADO COM GANCHO CURTO, PARAFUSO AUTO-BROCANTE, PORCA E ARRUELA - FORNECIMENTO E INSTALAÇÃO</t>
  </si>
  <si>
    <t>PATCH CORD (CABO DE REDE), CATEGORIA 6 (CAT 6) UTP, 23 AWG, 4 PARES, EXTENSAO DE 1,50 M – FORNECIMENTO E INSTALAÇÃO</t>
  </si>
  <si>
    <t>PLACA BRAILLE PARA CORRIMÃO COM AS PALAVRAS "INICIO", "FIM", "TÉRREO" EM AÇO INOX - FORNECIMENTO E INSTALAÇÃO</t>
  </si>
  <si>
    <t>REGISTRO DE ESFERA, PVC, SOLDÁVEL, COM VOLANTE, DN 50 MM - FORNECIMENTO E INSTALAÇÃO. AF_08/2021</t>
  </si>
  <si>
    <t>LUVA SIMPLES, PVC, SERIE R, DN 100 MM, JUNTA ELÁSTICA, FORNECIDO E INSTALADO EM RAMAL DE ENCAMINHAMENTO.</t>
  </si>
  <si>
    <t>REGISTRO DE ESFERA, PVC, SOLDÁVEL, COM VOLANTE, DN 32 MM - FORNECIMENTO E INSTALAÇÃO. AF_08/2021</t>
  </si>
  <si>
    <t>CURVA 90 GRAUS, PVC, SOLDÁVEL, DN 25 MM, INSTALADO EM RESERVAÇÃO PREDIAL DE ÁGUA - FORNECIMENTO E INSTALAÇÃO. AF_04/2024</t>
  </si>
  <si>
    <t>ADAPTADOR CURTO COM BOLSA E ROSCA PARA REGISTRO, PVC, SOLDÁVEL, DN 25 MM X 3/4", INSTALADO EM RESERVAÇÃO PREDIAL DE ÁGUA - FORNECIMENTO E INSTALAÇÃO. AF_04/2024</t>
  </si>
  <si>
    <t>REGISTRO DE ESFERA, PVC, SOLDÁVEL, COM VOLANTE, DN 25 MM - FORNECIMENTO E INSTALAÇÃO. AF_08/2021</t>
  </si>
  <si>
    <t>RALO SIFONADO QUADRADO 100X53 MM, SAIDA 40 MM, COM GRELHA QUADRADA</t>
  </si>
  <si>
    <t>DISJUNTOR TERMOMAGNETICO PARA TRILHO DIN (IEC), MONOPOLAR, 63 A – FORNECIMENTO E INSTALAÇÃO</t>
  </si>
  <si>
    <t>ADAPTADOR COM FLANGE E ANEL DE VEDAÇÃO, PVC, SOLDÁVEL, DN 25 MM X 3/4", INSTALADO EM RESERVAÇÃO PREDIAL DE ÁGUA - FORNECIMENTO E INSTALAÇÃO. AF_04/2024</t>
  </si>
  <si>
    <t>FIXAÇÃO DE TUBOS HORIZONTAIS DE PVC ÁGUA/PVC ESGOTO/PVC PLUVIAL/CPVC/PPR/COBRE OU AÇO, DIÂMETROS MENORES OU IGUAIS A 40 MM, COM ABRAÇADEIRA METÁLICA RÍGIDA TIPO D COM PARAFUSO DE FIXAÇÃO 1 1/4", FIXADA DIRETAMENTE NA LAJE OU PAREDE. AF_09/2023</t>
  </si>
  <si>
    <t>ACOPLAMENTO PARA ELETROCALHA METÁLICA 38 X 38MM - FORNECIMENTO E INSTALAÇÃO</t>
  </si>
  <si>
    <t>CURVA DE TRANSPOSIÇÃO, PVC, SOLDÁVEL, DN 25MM, INSTALADO EM RAMAL DE DISTRIBUIÇÃO DE ÁGUA FORNECIMENTO E INSTALAÇÃO. AF_06/2022</t>
  </si>
  <si>
    <t>SIFÃO DO TIPO FLEXÍVEL EM PVC 1 X 1.1/2 - FORNECIMENTO E INSTALAÇÃO. AF_01/2020</t>
  </si>
  <si>
    <t>JOELHO 90 GRAUS, CPVC, SOLDÁVEL, DN 22MM, INSTALADO EM RAMAL DE DISTRIBUIÇÃO DE ÁGUA FORNECIMENTO E INSTALAÇÃO. AF_06/2022</t>
  </si>
  <si>
    <t>LUVA DE TRANSIÇÃO, CPVC, SOLDÁVEL, DN 22MM X 25MM, INSTALADO EM RAMAL DE DISTRIBUIÇÃO DE ÁGUA FORNECIMENTO E INSTALAÇÃO. AF_06/2022</t>
  </si>
  <si>
    <t>Total Geral</t>
  </si>
  <si>
    <t>MIN</t>
  </si>
  <si>
    <t>MED</t>
  </si>
  <si>
    <t>MAX</t>
  </si>
  <si>
    <t>Construção e Reforma de Edifícios</t>
  </si>
  <si>
    <t>AC</t>
  </si>
  <si>
    <t>SG</t>
  </si>
  <si>
    <t>R</t>
  </si>
  <si>
    <t>DF</t>
  </si>
  <si>
    <t>BDI PAD</t>
  </si>
  <si>
    <t>Construção de Praças Urbanas, Rodovias, Ferrovias e recapeamento e pavimentação de vias urbanas</t>
  </si>
  <si>
    <t>COMPOSIÇÃO DA PARCELA DE BDI (BONIFICAÇÕES E DESPESAS INDIRETAS) - C01</t>
  </si>
  <si>
    <t>TIPO DE OBRA DO EMPREENDIMENTO</t>
  </si>
  <si>
    <t>DESONERAÇÃO</t>
  </si>
  <si>
    <t>Não</t>
  </si>
  <si>
    <t>Conforme legislação tributária municipal, definir estimativa de percentual da base de cálculo para o ISS:</t>
  </si>
  <si>
    <t>Construção de Redes de Abastecimento de Água, Coleta de Esgoto</t>
  </si>
  <si>
    <t>Sobre a base de cálculo, definir a respectiva alíquota do ISS (entre 2% e 5%):</t>
  </si>
  <si>
    <t>Itens</t>
  </si>
  <si>
    <t>Siglas</t>
  </si>
  <si>
    <t>% Adotado</t>
  </si>
  <si>
    <t>Situação</t>
  </si>
  <si>
    <t>Intervalo de admissibilidade</t>
  </si>
  <si>
    <t>-</t>
  </si>
  <si>
    <t>Construção e Manutenção de Estações e Redes de Distribuição de Energia Elétrica</t>
  </si>
  <si>
    <t>Tributos (impostos COFINS 3%, e  PIS 0,65%)</t>
  </si>
  <si>
    <t>CP</t>
  </si>
  <si>
    <t>Tributos (ISS, variável de acordo com o município)</t>
  </si>
  <si>
    <t>ISS</t>
  </si>
  <si>
    <t>Tributos (Contribuição Previdenciária - 0% ou 4,5%, conforme Lei 12.844/2013 - Desoneração)</t>
  </si>
  <si>
    <t>CPRB</t>
  </si>
  <si>
    <t>BDI SEM desoneração
(Fórmula Acórdão TCU)</t>
  </si>
  <si>
    <t>COMPOSIÇÃO DA PARCELA DE BDI (BONIFICAÇÕES E DESPESAS INDIRETAS) - C02</t>
  </si>
  <si>
    <t>COMPOSIÇÃO DA PARCELA DE BDI - (BONIFICAÇÕES E DESPESAS INDIRETAS)</t>
  </si>
  <si>
    <t>Os valores de BDI foram calculados com o emprego da fórmula:</t>
  </si>
  <si>
    <t xml:space="preserve"> - 1</t>
  </si>
  <si>
    <t/>
  </si>
  <si>
    <t>K3</t>
  </si>
  <si>
    <t>Obras Portuárias, Marítimas e Fluviais</t>
  </si>
  <si>
    <t>Fornecimento de Materiais e Equipamentos</t>
  </si>
  <si>
    <t>Estudos e Projetos, Planos e Gerenciamento e outros correlatos</t>
  </si>
  <si>
    <t>COMPOSIÇÃO DA PARCELA DE BDI DIFERENCIADO - (BONIFICAÇÕES E DESPESAS INDIRETAS)</t>
  </si>
  <si>
    <t>MATO GROSSO</t>
  </si>
  <si>
    <t>VIGÊNCIA A PARTIR DE 12/2023</t>
  </si>
  <si>
    <t xml:space="preserve">CONFERIR VIGENCIA </t>
  </si>
  <si>
    <t>ENCARGOS SOCIAIS SOBRE A MÃO DE OBRA</t>
  </si>
  <si>
    <t>COM DESONERAÇÃO</t>
  </si>
  <si>
    <t>SEM DESONERAÇÃO</t>
  </si>
  <si>
    <t>HORISTA</t>
  </si>
  <si>
    <t>MENSALISTA</t>
  </si>
  <si>
    <t>%</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</si>
  <si>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</si>
  <si>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</si>
  <si>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</si>
  <si>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</si>
  <si>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</si>
  <si>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</si>
  <si>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</si>
  <si>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</si>
  <si>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</si>
  <si>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</si>
  <si>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</si>
  <si>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</si>
  <si>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</si>
  <si>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</si>
  <si>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</si>
  <si>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</si>
  <si>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</si>
  <si>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</si>
  <si>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</si>
  <si>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</si>
  <si>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</si>
  <si>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</si>
  <si>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</si>
  <si>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</si>
  <si>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</si>
  <si>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</si>
  <si>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</si>
  <si>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</si>
  <si>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</si>
  <si>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</si>
  <si>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</si>
  <si>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</si>
  <si>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</si>
  <si>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</si>
  <si>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</si>
  <si>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</si>
  <si>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</si>
  <si>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</si>
  <si>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</si>
  <si>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</si>
  <si>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</si>
  <si>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</si>
  <si>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</si>
  <si>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</si>
  <si>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</si>
  <si>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</si>
  <si>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</si>
  <si>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</si>
  <si>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</si>
  <si>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</si>
  <si>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</si>
  <si>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</si>
  <si>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</si>
  <si>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D1</t>
  </si>
  <si>
    <t>Reincidência De Grupo A sobre Grupo B</t>
  </si>
  <si>
    <t>D2</t>
  </si>
  <si>
    <t>Reincidência De Grupo A sobre Aviso Prévio Trabalhado e Reincidência do FGTS sobre Aviso Prévio Indenizado</t>
  </si>
  <si>
    <t>TOTAL (A+B+C+D)</t>
  </si>
  <si>
    <t>Fonte:</t>
  </si>
  <si>
    <t>Livro2_SINAPI_Calculos_e_Parametros_Edicao_Digital_Vigente.pdf (caixa.gov.br)</t>
  </si>
  <si>
    <t>Informação Dias de Chuva - INMET</t>
  </si>
  <si>
    <t xml:space="preserve"> (A) - ADM / SERV. PRELIMINARES - PLANILHA QUANTITATIVA </t>
  </si>
  <si>
    <t>CÓDIGO /SINAPI</t>
  </si>
  <si>
    <t xml:space="preserve">REFERENCIA </t>
  </si>
  <si>
    <t xml:space="preserve">ETAPA CONSTRUTIVA </t>
  </si>
  <si>
    <t>QUANT</t>
  </si>
  <si>
    <t>OBSERVAÇÕES</t>
  </si>
  <si>
    <t>ADMINISTRAÇÃO DA OBRA</t>
  </si>
  <si>
    <t>01 técnico - Apoio para Canteiro, Documentos de Engenharia e Auxílio na execução</t>
  </si>
  <si>
    <t>01 Eng. Eletricista: Instalações Elétricas, Cabeamento, SPDA e Climatização.</t>
  </si>
  <si>
    <t>01 Eng. Hidrossanitárias e Drenagens em geral.</t>
  </si>
  <si>
    <t>01 Encarregado: 01 Estrutura/Civil</t>
  </si>
  <si>
    <t>02 Mestres de Obra: 02 Estruturas/Civil</t>
  </si>
  <si>
    <r>
      <rPr>
        <sz val="10"/>
        <color theme="1"/>
        <rFont val="Calibri"/>
        <family val="2"/>
      </rPr>
      <t>01 vigia notuno: (12 h/dia x 30 dias) por 10 meses</t>
    </r>
    <r>
      <rPr>
        <sz val="10"/>
        <color rgb="FFFF0000"/>
        <rFont val="Calibri"/>
        <family val="2"/>
      </rPr>
      <t xml:space="preserve"> </t>
    </r>
  </si>
  <si>
    <t>01 vigia diurno: (20h aos sábados e 24 h aos domingos) por 10 meses</t>
  </si>
  <si>
    <t>02 Almoxarifes:01 (Estruturas e Complementares) / 01 (Civil e Canteiro)</t>
  </si>
  <si>
    <t>- Locação, análise de implantação de obra e acompanhamento da evolução da estrutura.</t>
  </si>
  <si>
    <t>INSTALAÇÕES DE CANTEIRO, SERVIÇOS PRELIMINARES E TÉCNICOS</t>
  </si>
  <si>
    <t>DELIMITAÇÃO E ENTRADA</t>
  </si>
  <si>
    <t xml:space="preserve">- Placa de Obra considerando área de 2,5x5,00 m = 12,50 m² </t>
  </si>
  <si>
    <t>- Canteiro Central</t>
  </si>
  <si>
    <t>- 24 unidades de 0,20x0,30 m</t>
  </si>
  <si>
    <t>- 01 portões de 5,00x2,00</t>
  </si>
  <si>
    <t>INSTALAÇÕES GERAIS</t>
  </si>
  <si>
    <t>- Forração para área de vivência para cada apoio de engenharia.</t>
  </si>
  <si>
    <t>ACESSÓRIOS DE CANTEIRO</t>
  </si>
  <si>
    <t>- Demarcação em Piso para Incêndio</t>
  </si>
  <si>
    <t>ÁREAS DE VIVÊNCIA / APOIO DE OPERAÇÃO</t>
  </si>
  <si>
    <t>- 02 área de descanso;
- 01 Central de Serviços.</t>
  </si>
  <si>
    <t>- Apoio Refeitório</t>
  </si>
  <si>
    <t>- 04 unidades para troca semanal, durante o período executivo.</t>
  </si>
  <si>
    <t xml:space="preserve">
- 01 Engenharia/Apoio Técnico Engenharia/Corpo Técnico (apoio de canteiro)
</t>
  </si>
  <si>
    <r>
      <rPr>
        <b/>
        <sz val="10"/>
        <color theme="1"/>
        <rFont val="Calibri"/>
        <family val="2"/>
      </rPr>
      <t>• Instalações Gerais:</t>
    </r>
    <r>
      <rPr>
        <sz val="10"/>
        <color theme="1"/>
        <rFont val="Calibri"/>
        <family val="2"/>
      </rPr>
      <t xml:space="preserve">
- 01 Vestiário Feminino;</t>
    </r>
  </si>
  <si>
    <r>
      <rPr>
        <b/>
        <sz val="10"/>
        <color theme="1"/>
        <rFont val="Calibri"/>
        <family val="2"/>
      </rPr>
      <t>• Instalações Gerais:</t>
    </r>
    <r>
      <rPr>
        <sz val="10"/>
        <color theme="1"/>
        <rFont val="Calibri"/>
        <family val="2"/>
      </rPr>
      <t xml:space="preserve">
- 01 Vestiário Masculino;</t>
    </r>
  </si>
  <si>
    <t>- 02 esgotamento mensal durante o período executivo, para cada sistema;</t>
  </si>
  <si>
    <r>
      <rPr>
        <b/>
        <sz val="10"/>
        <color theme="1"/>
        <rFont val="Calibri"/>
        <family val="2"/>
      </rPr>
      <t>• Instalações Gerais:</t>
    </r>
    <r>
      <rPr>
        <sz val="10"/>
        <color theme="1"/>
        <rFont val="Calibri"/>
        <family val="2"/>
      </rPr>
      <t xml:space="preserve">
- 02 unidades para manutenção semanal, durante o período executivo;</t>
    </r>
  </si>
  <si>
    <r>
      <rPr>
        <b/>
        <sz val="10"/>
        <color theme="1"/>
        <rFont val="Calibri"/>
        <family val="2"/>
      </rPr>
      <t>• Instalações Gerais:</t>
    </r>
    <r>
      <rPr>
        <sz val="10"/>
        <color theme="1"/>
        <rFont val="Calibri"/>
        <family val="2"/>
      </rPr>
      <t xml:space="preserve">
- 01 Almoxarifado;
</t>
    </r>
  </si>
  <si>
    <t>EQUIPAMENTOS E BASE DE SERVIÇOS</t>
  </si>
  <si>
    <t>160h/mes</t>
  </si>
  <si>
    <t>TEMPO EXECUÇÃO</t>
  </si>
  <si>
    <t>SERVIÇO</t>
  </si>
  <si>
    <t>WAKE BAR / PRAÇA SUNSET</t>
  </si>
  <si>
    <t>COMP</t>
  </si>
  <si>
    <t>OBJETO</t>
  </si>
  <si>
    <t xml:space="preserve">PERÍMETRO </t>
  </si>
  <si>
    <t>- Foi considerado  içamento para ajuste de layout de canteiro para cada container locado;
- será considerado o mesmo tempo para qualquer alteração em consequencia da mudança de implantação do canteiro conforme processo executivo - limitado a 2 mudanças por objeto; 
- Apoio em canteiro para execução de serviços em altura, ou transporte/ içamento para execução de serviços pontuais;
- Os banheiros químicos são deslocados por solicitação da contratada para a empresa locadora em manutenção.
- Não considerada desmolização, esta por responsabilidade da empresa locadora.
- Transporte necessário para mobilização para estacas</t>
  </si>
  <si>
    <t>TEMPO USO</t>
  </si>
  <si>
    <t>IMPLANTAÇÃO</t>
  </si>
  <si>
    <t>SERVIÇOS FINAIS (ELABORAÇÃO DE AS BUILT / LIMPEZA DE OBRA)</t>
  </si>
  <si>
    <t xml:space="preserve">Foram considerados 02 profissionais para auxiliar na elaboração dos projetos executivos e as built, nas respectivas áreas trabalhando 04 horas/dia, em 30 dias </t>
  </si>
  <si>
    <t>ÁREA</t>
  </si>
  <si>
    <t>(B) - WAKE BAR - PLANILHA QUANTITATIVA</t>
  </si>
  <si>
    <t>UNI</t>
  </si>
  <si>
    <t>SERVIÇOS DE ESTRUTURA</t>
  </si>
  <si>
    <t>ACS-04/10/2024</t>
  </si>
  <si>
    <t>13_GOV_PQNMT_BAR_EXTREME -R03</t>
  </si>
  <si>
    <t>INFRAESTRUTURA - FUNDAÇÃO</t>
  </si>
  <si>
    <t>🟢</t>
  </si>
  <si>
    <t>v.escavação (ve) - v.concreto (vc)</t>
  </si>
  <si>
    <t>% retração</t>
  </si>
  <si>
    <t>v.reaterro (vr)</t>
  </si>
  <si>
    <t>v.escavação (ve)</t>
  </si>
  <si>
    <t>empolamento</t>
  </si>
  <si>
    <t>v.solto (vs) = v.escavação (ve) x empolamento</t>
  </si>
  <si>
    <t>v.solto (vs)</t>
  </si>
  <si>
    <t>v.carga (vc) = v.solto (vs) - v.reaterro (vr)</t>
  </si>
  <si>
    <t>v.carga (vc)</t>
  </si>
  <si>
    <t>DMT (Km)</t>
  </si>
  <si>
    <t>M³xKM</t>
  </si>
  <si>
    <t xml:space="preserve"> INFRAESTRUTURA - PILARES DA FUNDAÇÃO</t>
  </si>
  <si>
    <t xml:space="preserve"> INFRAESTRUTURA - ESTACAS BROCAS</t>
  </si>
  <si>
    <t xml:space="preserve"> INFRAESTRUTURA - VIGA BALDRAME</t>
  </si>
  <si>
    <t>SUPERESTRUTURA - PILARES</t>
  </si>
  <si>
    <t>SUPERESTRUTURA - VIGAS PAV. 100</t>
  </si>
  <si>
    <t>SUPERESTRUTURA - LAJES 1 e 2</t>
  </si>
  <si>
    <t>SUPERESTRUTURA - ESCADAS</t>
  </si>
  <si>
    <t>SUPERESTRUTURA - TÉRREO B - PILARES</t>
  </si>
  <si>
    <t>SUPERESTRUTURA - TÉRREO B - VIGAS PAV. 200</t>
  </si>
  <si>
    <t>SUPERESTRUTURA - ESCADA EXTERNA - VIGAS BALDRAME</t>
  </si>
  <si>
    <t>SUPERESTRUTURA - ESCADA EXTERNA - ESCADAS</t>
  </si>
  <si>
    <t>SUPERESTRUTURA - ESCADA EXTERNA - ESTACAS BROCA</t>
  </si>
  <si>
    <t>ESTRUTURA METÁLICA  DE COBERTURA</t>
  </si>
  <si>
    <t>ALVENARIA, DIVISÓRIAS E VEDAÇÕES</t>
  </si>
  <si>
    <t>JG- 22/06</t>
  </si>
  <si>
    <t>OK</t>
  </si>
  <si>
    <t>AMBIENTE</t>
  </si>
  <si>
    <t>COMP.(m)/ PERIM. (M)</t>
  </si>
  <si>
    <t>ALT. (m)</t>
  </si>
  <si>
    <t>ÁREA (m²)</t>
  </si>
  <si>
    <t>QTD.</t>
  </si>
  <si>
    <t>WAKE BAR (TODAS AS PAREDES)</t>
  </si>
  <si>
    <t>WAKE BAR (ÁREA SERVIÇO)</t>
  </si>
  <si>
    <t>COMP.(M)/ VÃO(M)</t>
  </si>
  <si>
    <t>TRANSPASSE (M)</t>
  </si>
  <si>
    <t>COMPRIMENTO TOTAL</t>
  </si>
  <si>
    <t>JA-01</t>
  </si>
  <si>
    <t>JA-02</t>
  </si>
  <si>
    <t>JA-03</t>
  </si>
  <si>
    <t>VÃO LIVRE</t>
  </si>
  <si>
    <t>P-01</t>
  </si>
  <si>
    <t>P-02</t>
  </si>
  <si>
    <t>P-03</t>
  </si>
  <si>
    <t>P-04</t>
  </si>
  <si>
    <t>P-05</t>
  </si>
  <si>
    <t>P-06</t>
  </si>
  <si>
    <t>P-07</t>
  </si>
  <si>
    <t xml:space="preserve">REVESTIMENTO PAREDE - CHAPISCO/EMBOÇO/REBOCO </t>
  </si>
  <si>
    <t>COMP.(m)</t>
  </si>
  <si>
    <t>AMBIENTES</t>
  </si>
  <si>
    <t>WAKE BAR (BOX DO WCs e PCD)</t>
  </si>
  <si>
    <t>WAKE BAR (PAREDES E MURETA JARDIM)</t>
  </si>
  <si>
    <t>REVESTIMENTO DE PAREDES, PISOS</t>
  </si>
  <si>
    <t>WAKE BAR (FACHADA)</t>
  </si>
  <si>
    <t>WAKE BAR (BALCÃO BAR)</t>
  </si>
  <si>
    <t>WAKE BAR (WC FEM.)</t>
  </si>
  <si>
    <t>WAKE BAR (COZINHA, WC PCD MAS E FEM)</t>
  </si>
  <si>
    <t>WAKE BAR (WC MAS)</t>
  </si>
  <si>
    <t>WAKE BAR (MURETA JARDIM)</t>
  </si>
  <si>
    <t>WAKE BAR (WC MAS E FEM)</t>
  </si>
  <si>
    <t xml:space="preserve">WAKE BAR (WC MAS, FEM E WC PCDs) </t>
  </si>
  <si>
    <t xml:space="preserve">WAKE BAR (COZINHA, DML E DESPENSA) </t>
  </si>
  <si>
    <t xml:space="preserve">WAKE BAR (LOJA, BALCÃO, ÁREA REFEIÇÃO, CIRCULAÇÃO, XTREME BAR) </t>
  </si>
  <si>
    <t>PINTURAS E TEXTURAS</t>
  </si>
  <si>
    <t>WAKE BAR (WC PCDs, MAS E FEM)</t>
  </si>
  <si>
    <t>WAKE BAR (COZINHA, DML, DESPENSA)</t>
  </si>
  <si>
    <t>WAKE BAR (ESTRUTURA METÁLICA E PERGOLADO)</t>
  </si>
  <si>
    <t>WAKE BAR (TUBULAÇÃO PLUVIAL)</t>
  </si>
  <si>
    <t>WAKE BAR (BASE COBERTURA)</t>
  </si>
  <si>
    <t>WAKE BAR (LOJA E CIRCULAÇÃO)</t>
  </si>
  <si>
    <t>AMBIENTES - COR CRÔMIO</t>
  </si>
  <si>
    <t>WAKE BAR (COZINHA, DML E DESPENSA)</t>
  </si>
  <si>
    <t>WAKE BAR (COZINHA, DML, DESPENSA, WC MAS E FEM, WC PCDs) - TETO</t>
  </si>
  <si>
    <t>WAKE BAR (COZINHA, WC MAS, FEM E PCDs)</t>
  </si>
  <si>
    <t xml:space="preserve">WAKE BAR (HALL, RAMPA, ESCADAS E ACESSO SERVIÇO) </t>
  </si>
  <si>
    <t>ESQUADRIAS E FECHAMENTOS</t>
  </si>
  <si>
    <t>ESQUADRIA</t>
  </si>
  <si>
    <t>J-01</t>
  </si>
  <si>
    <t>J-03</t>
  </si>
  <si>
    <t>J-02</t>
  </si>
  <si>
    <t>FORROS E COBERTURA</t>
  </si>
  <si>
    <t>WAKE BAR (WCs MAS, FEM, PCDs, COZINHA, DESPENSA e DML)</t>
  </si>
  <si>
    <t>WAKE BAR (PERGOLADO)</t>
  </si>
  <si>
    <t>WAKE BAR (WCs MAS, FEM)</t>
  </si>
  <si>
    <t>WAKE BAR (CIRCULAÇÃO)</t>
  </si>
  <si>
    <t>WAKE BAR (ÁREA REFEIÇÃO)</t>
  </si>
  <si>
    <t>VIDRAÇARIA / SERRALHERIA / MARMORARIA</t>
  </si>
  <si>
    <t>PV-01</t>
  </si>
  <si>
    <t>PV-02</t>
  </si>
  <si>
    <t>PV-03</t>
  </si>
  <si>
    <t>WAKE BAR (COZINHA)</t>
  </si>
  <si>
    <t xml:space="preserve">WAKE BAR (BALCÃO) </t>
  </si>
  <si>
    <t>ACESSO PRINCIPAL</t>
  </si>
  <si>
    <t>GUARDA-CORPO</t>
  </si>
  <si>
    <t>ACESSO SERVIÇO</t>
  </si>
  <si>
    <t>CHAPIM JARDINEIRA</t>
  </si>
  <si>
    <t>LOUÇAS, METAIS E ACESSÓRIOS</t>
  </si>
  <si>
    <t xml:space="preserve">PAVIMENTAÇÕES, URBANIZAÇÃO E PAISAGISMO, ACESSIBILIDADE E COMUNICAÇÃO VISUAL </t>
  </si>
  <si>
    <t>MORÉIA - Dietes Grandiflora</t>
  </si>
  <si>
    <t>GUAIMBÊ - Philodendron Bipinnatifidum</t>
  </si>
  <si>
    <t>WAKE BAR (JARDINEIRAS)</t>
  </si>
  <si>
    <t>PALMEIRA LEQUE - Licuala Grandis</t>
  </si>
  <si>
    <t>CYCAS - Cycas Revolute</t>
  </si>
  <si>
    <t>PALMEIRA CARPENTÁRIA - Carpentária Acuminata</t>
  </si>
  <si>
    <t>PALMEIRA FÊNIX-DUPLA - Pheonix Roebelenii</t>
  </si>
  <si>
    <t>• INSTALAÇÕES HIDROSSANITÁRIAS</t>
  </si>
  <si>
    <t>INSTALAÇÕES HIDROSSANITÁRIAIS</t>
  </si>
  <si>
    <t>GOV_PQNMT_WAKE_BAR_HIDROSSANITARIO_R02_FINAL_assinado</t>
  </si>
  <si>
    <t>INSTALAÇÕES HIDRÁULICAS</t>
  </si>
  <si>
    <t>JOÃO- 01/08</t>
  </si>
  <si>
    <t>Mi - 02/10</t>
  </si>
  <si>
    <t>ok</t>
  </si>
  <si>
    <t>✅</t>
  </si>
  <si>
    <t>INSTALAÇÕES SANITÁRIAS/VENTILAÇÃO</t>
  </si>
  <si>
    <t>INSTALAÇÕES DE DRENAGEM</t>
  </si>
  <si>
    <t>JOÃO- 01/09</t>
  </si>
  <si>
    <t>JOÃO- 01/10</t>
  </si>
  <si>
    <t>JOÃO- 01/11</t>
  </si>
  <si>
    <t>JOÃO- 01/12</t>
  </si>
  <si>
    <t>JOÃO- 01/13</t>
  </si>
  <si>
    <t>JOÃO- 01/14</t>
  </si>
  <si>
    <t>JOÃO- 01/15</t>
  </si>
  <si>
    <t>JOÃO- 01/16</t>
  </si>
  <si>
    <t>JOÃO- 01/17</t>
  </si>
  <si>
    <t>JOÃO- 01/18</t>
  </si>
  <si>
    <t>• INSTALAÇÕES ELÉTRICAS E LÓGICA</t>
  </si>
  <si>
    <t>JOÃO 30/09</t>
  </si>
  <si>
    <t>PQNVMT_COMPLEXO_XTREME_WAKE_BAR_-_BAIXA TENSÃO E CABEAMENTO ESTRUTURADO_LISTA DE MATERIAIS - REV02</t>
  </si>
  <si>
    <t>INSTALAÇÕES ELÉTRICAS E INSTALAÇÕES DE LÓGICA</t>
  </si>
  <si>
    <t>ELETRODUTOS E ACESSÓRIOS</t>
  </si>
  <si>
    <t>ELETROCALHA, PERFILADO E ACESSÓRIOS</t>
  </si>
  <si>
    <t>CAIXA DE PASSAGEM E ACESSÓRIOS</t>
  </si>
  <si>
    <t>TOMADAS, INTERRUPTORES E ACESSÓRIOS</t>
  </si>
  <si>
    <t>CABOS ELÉTRICOS</t>
  </si>
  <si>
    <t>DISPOSITIVO DE PROTEÇÃO E DISTRIBUIÇÃO</t>
  </si>
  <si>
    <t>LUMINÁRIAS E ACESSÓRIOS</t>
  </si>
  <si>
    <t>INSTALAÇÕES DE LÓGICA</t>
  </si>
  <si>
    <r>
      <rPr>
        <sz val="10"/>
        <color rgb="FF000000"/>
        <rFont val="docs-Calibri"/>
      </rPr>
      <t>CP-CAB-05</t>
    </r>
  </si>
  <si>
    <t>• INSTALAÇÕES PREVENÇÃO E COMBATE A INCENDIO E PANICO</t>
  </si>
  <si>
    <t>JOÃO 18/09</t>
  </si>
  <si>
    <t>GOV_PQNMT_SUNSET_KARTBAR_PPCI_R00_assinado</t>
  </si>
  <si>
    <t>INSTALAÇÕES PREVENÇÃO E COMBATE A INCENDIO E PANICO</t>
  </si>
  <si>
    <t xml:space="preserve"> </t>
  </si>
  <si>
    <t>(C) - PRAÇA SUNSET - PLANILHA QUANTITATIVA</t>
  </si>
  <si>
    <t>SERVIÇO DE ESTRUTURA</t>
  </si>
  <si>
    <t>ACS-02/10/2024</t>
  </si>
  <si>
    <t xml:space="preserve">GOV_PQNMT_PRAÇASUNSET_EST_REVFINAL </t>
  </si>
  <si>
    <t xml:space="preserve"> PISO DO PASSEIO </t>
  </si>
  <si>
    <t xml:space="preserve"> UNIDADE PLANILHA EM M², CONFIRMADO COM LEONARDO KG</t>
  </si>
  <si>
    <t>FUNDAÇÃO POSTES E BASES - POSTES MAIORES</t>
  </si>
  <si>
    <t>FUNDAÇÃO POSTES E BASES - POSTES MENORES</t>
  </si>
  <si>
    <t>FUNDAÇÃO POSTES E BASES - BASE SPOTS ILUMINAÇÃO</t>
  </si>
  <si>
    <t>FUNDAÇÃO POSTES E BASES - BASE BALIZADORES ILUMINAÇÃO</t>
  </si>
  <si>
    <t>FUNDAÇÃO POSTES E BASES - BASE SPOTS GRELHA ILUMINAÇÃO</t>
  </si>
  <si>
    <t>FUNDAÇÃO POSTES E BASES - BASE TORNEIRAS</t>
  </si>
  <si>
    <t>BANCOS TIPO 01</t>
  </si>
  <si>
    <t>FUNDAÇÃO</t>
  </si>
  <si>
    <t>v.reaterro (planilha)</t>
  </si>
  <si>
    <t>ESTACAS ESCAVADAS BANCOS</t>
  </si>
  <si>
    <t>BANCOS TIPO 02</t>
  </si>
  <si>
    <t>ESTRUTURA</t>
  </si>
  <si>
    <t>RADIER</t>
  </si>
  <si>
    <t>RAMPA</t>
  </si>
  <si>
    <t>CALÇADA</t>
  </si>
  <si>
    <t>SAPATA</t>
  </si>
  <si>
    <t>v.escavação - v.concreto</t>
  </si>
  <si>
    <t>PILARES</t>
  </si>
  <si>
    <t>JG- 20/06</t>
  </si>
  <si>
    <t xml:space="preserve"> VIGAS BALDRAME </t>
  </si>
  <si>
    <t>ESTACA</t>
  </si>
  <si>
    <t xml:space="preserve"> VIGAS INTERMEDIÁRIAS</t>
  </si>
  <si>
    <t>VIGAS DE RESPALDO</t>
  </si>
  <si>
    <t>ALVENARIA ESTRUTURAL</t>
  </si>
  <si>
    <t>FLOREIRAS</t>
  </si>
  <si>
    <t>MURETAS DE JARDIM</t>
  </si>
  <si>
    <t>FUNDAÇÃO BANGALO</t>
  </si>
  <si>
    <t>ESCADA</t>
  </si>
  <si>
    <t>VIGAS</t>
  </si>
  <si>
    <t>ESCADAS</t>
  </si>
  <si>
    <t>ESTACAS</t>
  </si>
  <si>
    <t>CONTROLE TECNOLOGICO</t>
  </si>
  <si>
    <t>JG • 02/10/2024</t>
  </si>
  <si>
    <t>GOV_PQNMT_SUNSET_SERIE 300_ARQ_REV01</t>
  </si>
  <si>
    <t>✔</t>
  </si>
  <si>
    <t>MURETA PARA QUADRO DE ENERGIA</t>
  </si>
  <si>
    <t>PISTA DE CAMINHADA SENTIDO BREAK</t>
  </si>
  <si>
    <t>SUNSET - PAREDE RAMPA</t>
  </si>
  <si>
    <t>SUNSET - JARDINEIRAS ESCADARIA</t>
  </si>
  <si>
    <t>SUNSET - PAREDE ESCADARIA</t>
  </si>
  <si>
    <t>SUNSET - MURETAS (H=10, H=20 e H=30)</t>
  </si>
  <si>
    <t>SUNSET - JARDINEIRA ESPREGUIÇADEIRAS</t>
  </si>
  <si>
    <t>SUNSET - MOBILIÁRIO URBANO 01: BANCO</t>
  </si>
  <si>
    <t>SUNSET - MOBILIÁRIO URBANO 02: ESPREGUIÇADEIRA (FACE POSTERIOR)</t>
  </si>
  <si>
    <t>SUNSET - QUADRO ENERGIA</t>
  </si>
  <si>
    <t>SUNSET - ESPREGUIÇADEIRAS</t>
  </si>
  <si>
    <t>OBSERVAÇÃO WAKE E ACESSO SERVIÇO WAKE</t>
  </si>
  <si>
    <t>CALÇAMENTO</t>
  </si>
  <si>
    <t>GOLA DA ÁRVORE</t>
  </si>
  <si>
    <t>SUNSET - MURETAS (H=10, H=20)</t>
  </si>
  <si>
    <t>SUNSET - MURETAS (H=30)</t>
  </si>
  <si>
    <t>LOCAL</t>
  </si>
  <si>
    <t>ORLA E BICICLETÁRIO</t>
  </si>
  <si>
    <t>PRAÇA SUNSET INFERIOR - GOLA DE ÁRVORE</t>
  </si>
  <si>
    <t>PRAÇA SUNSET INFERIOR - GRELHAS</t>
  </si>
  <si>
    <t>JARDINEIRA ESCADARIA E ESPREGUIÇADEIRA - PINTURA ESMALTE FOSCO COR CARVÃO</t>
  </si>
  <si>
    <t>RAMPA E ESCADA</t>
  </si>
  <si>
    <t>FORRAÇÃO</t>
  </si>
  <si>
    <t>APAGA FOGO - Alternanthera tenella</t>
  </si>
  <si>
    <t>PLANTIO DE MÉDIO PORTE H=300cm / 350CM</t>
  </si>
  <si>
    <t>ÁRVORE FARINHA SECA - Albizia Hasslerii</t>
  </si>
  <si>
    <t>PLANTIO DE MÉDIO PORTE H=150cm / 240CM</t>
  </si>
  <si>
    <t>SAGU DE JARDIM - Cyca revoluta</t>
  </si>
  <si>
    <t>PLANTIO DE ARBUSTO (MUDA DE ARBUSTO FOLHAGEM, H= *50 A 100* CM)</t>
  </si>
  <si>
    <t>CAPIM ELEFANTE ROXO - Pennisetum Purpureum Schum</t>
  </si>
  <si>
    <t>GOV_PQNMT_PRACA_SUNSET_HIDRAULICA_E_AGUA_PLUVIAL_-_FINAL01_assinado</t>
  </si>
  <si>
    <t>• INSTALAÇÕES ELÉTRICAS</t>
  </si>
  <si>
    <t>JOÃO- 27/09</t>
  </si>
  <si>
    <t>PQNVMT_COMPLEXO_XTREME_PRACA_SUNSET_-_BAIXA_TENSAO_LISTA_DE_MATERIAIS_-_REV02</t>
  </si>
  <si>
    <t>ELETRODUTO E ACESSÓRIOS</t>
  </si>
  <si>
    <r>
      <rPr>
        <sz val="10"/>
        <color rgb="FF000000"/>
        <rFont val="docs-Calibri"/>
      </rPr>
      <t>CP-ELE-105</t>
    </r>
  </si>
  <si>
    <t>ATERRAMENTO QUADRO/POSTE</t>
  </si>
  <si>
    <t>DISPOSITIVO DE COMANDO E PROTEÇÃO</t>
  </si>
  <si>
    <t>POSTE, LÂMPADAS, LUMINÁRIAS E ACESSÓRIOS</t>
  </si>
  <si>
    <t>(D) - QUIOSQUE - PLANILHA QUANTITATIVA</t>
  </si>
  <si>
    <t>ACS - 28/09/2024</t>
  </si>
  <si>
    <t>401_GOV_PQNMT_QUIOSQUE_EST CONCRETO_R02</t>
  </si>
  <si>
    <t>INFRAESTRUTURA - SAPATAS</t>
  </si>
  <si>
    <t>INFRAESTRUTURA - VIGA BALDRAME</t>
  </si>
  <si>
    <t>ESTACAS BROCAS</t>
  </si>
  <si>
    <t>SUPERESTUTURA - PILARES - SUPERIOR</t>
  </si>
  <si>
    <t>SUPERESTRUTURA - VIGAS</t>
  </si>
  <si>
    <t>SUPERESTRUTURA - LAJE</t>
  </si>
  <si>
    <t>ACS - 01/10/2024</t>
  </si>
  <si>
    <t>402_GOV_PQNMT_QUIOSQUE_EST_METÁLICA_R02</t>
  </si>
  <si>
    <t>GOV_PQNMT_QUIOSQUE_SERIE 400_R02</t>
  </si>
  <si>
    <t>GOV_PQNMT_QUIOSQUE_SERIE 400_R00</t>
  </si>
  <si>
    <t>QUIOSQUE (TODAS AS PAREDES)</t>
  </si>
  <si>
    <t>COM DESCONTO DE VÃOS</t>
  </si>
  <si>
    <t>QUIOSQUE(COZINHA, DML E DML)</t>
  </si>
  <si>
    <t>QUIOSQUE (PAREDES)</t>
  </si>
  <si>
    <t>QUIOSQUE (PISO: DO BANHEIRO, DML E COZINHA E HALL)</t>
  </si>
  <si>
    <t>QUIOSQUE (APOIO COZINHA)</t>
  </si>
  <si>
    <t>QUIOSQUE (APOIO COZINHA,WC,DML)</t>
  </si>
  <si>
    <t>WC</t>
  </si>
  <si>
    <t>DESPENSA</t>
  </si>
  <si>
    <t>COZINHA E WC</t>
  </si>
  <si>
    <t>QUISOQUE ( APOIO COZINHA,WC,DML)</t>
  </si>
  <si>
    <t>QUIOSQUE (APOIO COZINHA,WC,DML) - COR CRÔMIO</t>
  </si>
  <si>
    <t>QUIOSQUE (APOIO COZINHA,WC,DML) - COR  TELHADO R 116</t>
  </si>
  <si>
    <t>FORRO EM DRYWALL - GESSO ACARTONADO E ESTRUTURA DE FIXAÇÃO</t>
  </si>
  <si>
    <t>AMBIENTES - COR TELHADO R116</t>
  </si>
  <si>
    <t>FACHADA - CHAPA PERFURADA</t>
  </si>
  <si>
    <t>FACHADA - ESTRUTURA DA CHAPA PERFURADA</t>
  </si>
  <si>
    <t>QUIOSQUE (FACHADA)</t>
  </si>
  <si>
    <t xml:space="preserve"> P-01</t>
  </si>
  <si>
    <t xml:space="preserve"> P-02</t>
  </si>
  <si>
    <t xml:space="preserve"> J-01</t>
  </si>
  <si>
    <t>QUIOSQUE (APOIO COZINHA ,WC e DML)</t>
  </si>
  <si>
    <t>QUIOSQUE (COBERTURA)</t>
  </si>
  <si>
    <t>QUIOSQUE (COBERTURA) - 120 cm</t>
  </si>
  <si>
    <t>QUIOSQUE (COBERTURA) - 65 cm</t>
  </si>
  <si>
    <t>QUIOSQUE (COBERTURA) - 90 cm</t>
  </si>
  <si>
    <t xml:space="preserve">QUIOSQUE (APOIO COZINHA,WC) </t>
  </si>
  <si>
    <t>QUIOSQUE ÁREA DE ATENDIMENTO</t>
  </si>
  <si>
    <t>PAVIMENTAÇÕES, URBANIZAÇÃO E PAISAGISMO</t>
  </si>
  <si>
    <t>QUIOSQUE (TODOS OS PISOS)</t>
  </si>
  <si>
    <t>CALÇADA QUIOSQUE</t>
  </si>
  <si>
    <t>QUIOSQUE (CALÇADA)</t>
  </si>
  <si>
    <t>Mi - 03/10</t>
  </si>
  <si>
    <t>GOV_PQNMT_QUIOSQUE_HIDROSSANITARIO_R00_FINAL_assinado</t>
  </si>
  <si>
    <t>JOÃO- 28/06</t>
  </si>
  <si>
    <t>MTPAR_ELE_PE_QUIOSQUE_LISTA_RV02_assinado</t>
  </si>
  <si>
    <t>DISTRIBUIÇÃO, DISPOSITIVO DE COMANDO E PROTEÇÃO</t>
  </si>
  <si>
    <t>• INSTALAÇÕES PREVENÇÃO DE COMBATE A INCÊNDIO E PANICO</t>
  </si>
  <si>
    <t>GOV_PQNMT_SUNSET_QUIOSQUE_PPCI_R00_assinado</t>
  </si>
  <si>
    <t>(E) - BANHEIRO DE APOIO ESPAÇO SHOW - PLANILHA QUANTITATIVA</t>
  </si>
  <si>
    <t>FUNDAÇÃO E ARRANQUES - SAPATAS - ESTRUTURA DA COBERTURA</t>
  </si>
  <si>
    <t>ACS-07/10/2024</t>
  </si>
  <si>
    <t>13_GOV_PQNMT_WC ESPAÇO DE SHOWS_EST_FINALR02</t>
  </si>
  <si>
    <t>FUNDAÇÃO E ARRANQUES - ARRANQUES DE PILARES</t>
  </si>
  <si>
    <t>FUNDAÇÃO - VIGAS BALDRAMES</t>
  </si>
  <si>
    <t>FUNDAÇÃO - ESTACAS</t>
  </si>
  <si>
    <t>SUPERESTRUTURA - PILARES EM PRUMADA</t>
  </si>
  <si>
    <t>SUPERESTRUTURA - VIGAS TÉRREO</t>
  </si>
  <si>
    <t>SUPERESTRUTURA - VIGAS DA COBERTURA</t>
  </si>
  <si>
    <t>CONTROLE TECNOLÓGICO</t>
  </si>
  <si>
    <t>GOV_PQNMT_BANHEIRO_APOIO_ESPAÇO_SHOWS_QUANTITATIVO_R03 - FINAL</t>
  </si>
  <si>
    <t>RESERVATÓRIO</t>
  </si>
  <si>
    <t>PLATIBANDA</t>
  </si>
  <si>
    <t>BANHEIROS E DML</t>
  </si>
  <si>
    <t>ÁREA EXTERNA</t>
  </si>
  <si>
    <t>PA-01</t>
  </si>
  <si>
    <t>PA-02</t>
  </si>
  <si>
    <t>PA-03</t>
  </si>
  <si>
    <t>DESC. VÃO (M²)</t>
  </si>
  <si>
    <t>RESERVATÓRIO (INTERNO E EXTERNO)</t>
  </si>
  <si>
    <t>PLATIBANDA (INTERNO E EXTERNO)</t>
  </si>
  <si>
    <t>FACE EXTERNA EDIFICAÇÃO</t>
  </si>
  <si>
    <t>MASCULINO</t>
  </si>
  <si>
    <t>FEMININO</t>
  </si>
  <si>
    <t>PNE MASCULINO</t>
  </si>
  <si>
    <t>PNE FEMININO</t>
  </si>
  <si>
    <t>DML</t>
  </si>
  <si>
    <t>MASULINO</t>
  </si>
  <si>
    <t xml:space="preserve"> REJUNTE COR CINZA OUTONO</t>
  </si>
  <si>
    <t>DESCONTO</t>
  </si>
  <si>
    <t>AMBIENTE - REJUNTE CINZA OUTONO</t>
  </si>
  <si>
    <t>AMBIENTES - COR NANQUIM</t>
  </si>
  <si>
    <t>DESCONTO SANCA</t>
  </si>
  <si>
    <t>PB-01</t>
  </si>
  <si>
    <t>COBERTURA RESERVATÓRIO</t>
  </si>
  <si>
    <t>COBERTURA PLATIBANDA</t>
  </si>
  <si>
    <t>COBERTURA MARQUISE EXTERNA</t>
  </si>
  <si>
    <t>COBERTURA ÁREA EXTERNA - 65 cm</t>
  </si>
  <si>
    <t>COBERTURA</t>
  </si>
  <si>
    <t>COBERTURA RESERVAÓRIO</t>
  </si>
  <si>
    <t>COBERTURA ÁREA EXTERNA</t>
  </si>
  <si>
    <t>PLATIBANDA RESERVATÓRIO</t>
  </si>
  <si>
    <t>COMP.(M)</t>
  </si>
  <si>
    <t>LARGURA (M)</t>
  </si>
  <si>
    <t>ÁREA (M²)</t>
  </si>
  <si>
    <t>FRONTÃO</t>
  </si>
  <si>
    <t>SAIA</t>
  </si>
  <si>
    <t>SUPERFICIE DE BANCADA</t>
  </si>
  <si>
    <t>PEÇAS SEPARADAS  - LATERAL FACE COM PAREDE 1</t>
  </si>
  <si>
    <t>PEÇAS SEPARADAS - RAMPA</t>
  </si>
  <si>
    <t>PEÇAS SEPARADAS - PEÇA FUNDO</t>
  </si>
  <si>
    <t>PEÇAS SEPARADAS - PEÇA FUNDO DA CUBA</t>
  </si>
  <si>
    <t>PEÇA SEPARADA - LATERAIS DA CUBA</t>
  </si>
  <si>
    <t>RECORTE DA BANCADA E FURO</t>
  </si>
  <si>
    <t>Vãos (m²)</t>
  </si>
  <si>
    <t>FACHADA</t>
  </si>
  <si>
    <t>MARQUISE DA FACHADA</t>
  </si>
  <si>
    <t>PNE MASC. E FEM.</t>
  </si>
  <si>
    <t>ESPESSURA (M)</t>
  </si>
  <si>
    <t>ÁREA EXTERNA - BEBEDOURO</t>
  </si>
  <si>
    <t>Mi - 04/10</t>
  </si>
  <si>
    <t>GOV_PQNMT_BANHEIROS_DE_APOIO_ESPACO_SHOW_HIDROSSANITARIO_R00_FINAL_assinado</t>
  </si>
  <si>
    <t>GOV_PQNMT_BANHEIRO_APOIO_ESPACO_SHOWS_QUANTITATIVO_R02_-_FINAL_assinado</t>
  </si>
  <si>
    <t>JOÃO- 26/09</t>
  </si>
  <si>
    <t xml:space="preserve">DISPOSITIVO DE PROTEÇÃO E DISTRIBUIÇÃO </t>
  </si>
  <si>
    <t>(F) - BANHEIROS DE APOIO CENTRO DE EVENTOS - PLANILHA QUANTITATIVA</t>
  </si>
  <si>
    <t>INFRAESTRUTURA - SAPATAS - ESTRUTURA PARA COBERTURA</t>
  </si>
  <si>
    <t>13_GOV_PQNMT_WC CENTRO DE EV_EST_CA_FINAL</t>
  </si>
  <si>
    <t>INFRAESTRUTURA - ARRANQUE DE PILARES</t>
  </si>
  <si>
    <t>INFRAESTRUTURA - VIGAS BALDRAME</t>
  </si>
  <si>
    <t>SUPERESTUTURA - VIGAS DA COBERTURA</t>
  </si>
  <si>
    <t>SUPERESTRUTURA - LAJE LC</t>
  </si>
  <si>
    <t>SUPERESTRUTURA - VIGAS DE RESPALDO</t>
  </si>
  <si>
    <t>13_GOV_PQNMT_WC CENTRO DE EV_EST_MET_FINAL</t>
  </si>
  <si>
    <t xml:space="preserve">GOV_PQNMT_BANHEIRO_APOIO_CENTRO_EVENTOS_QUANTITATIVO_R02 </t>
  </si>
  <si>
    <t>BANHEIROS PNE E DML</t>
  </si>
  <si>
    <t>MASCULINO (EXTERNO)</t>
  </si>
  <si>
    <t>FEMININO (EXTERNO)</t>
  </si>
  <si>
    <t>BANHEIROS PNE E DML (EXTERNO)</t>
  </si>
  <si>
    <t>AMBIENTES - COR PRETO ABSOLUTO</t>
  </si>
  <si>
    <t>GOV_PQNMT_BANHEIROS_DE_APOIO_CENTRO_DE_EVENTOS_HIDROSSANITARIO_R00_FINAL_assinado</t>
  </si>
  <si>
    <t>GOV_PQNMT_BANHEIRO_APOIO_CENTRO_EVENTOS_QUANTITATIVO_R01_assinado</t>
  </si>
  <si>
    <t>(G) - INFRA CONTÊINERES - PLANILHA QUANTITATIVA</t>
  </si>
  <si>
    <t>INSTALAÇÕES HIDROSSANITÁRIAIS - CONTÊINERES PARA USO NO SUNSET</t>
  </si>
  <si>
    <t>INSTALAÇÕES HIDROSSANITÁRIAIS - CONTÊINERES PARA USO NO ESTACIONAMENTO BLOCO DE SERVIÇOS</t>
  </si>
  <si>
    <t xml:space="preserve">SISTEMA DE TRATAMENTO DE ESGOTO
</t>
  </si>
  <si>
    <t>INSTALAÇÕES HIDROSSANITÁRIAIS - CONTÊINERES PARA KARTÓDROMO</t>
  </si>
  <si>
    <t xml:space="preserve">  </t>
  </si>
  <si>
    <t>INSTALAÇÕES HIDROSSANITÁRIAIS - CONTÊINERES PARA PRAÇA DA ORLA</t>
  </si>
  <si>
    <t>INSTALAÇÕES HIDROSSANITÁRIAIS - CONTÊINERES AO LADO DO ESPAÇO SHOWS</t>
  </si>
  <si>
    <t>INSTALAÇÕES HIDROSSANITÁRIAIS - CONTÊINERES AO LADO DO CENTRO DE EVENTOS</t>
  </si>
  <si>
    <t>PQNVMT_COMPLEXO_SUNSET_INFRAESTRUTURA_CONTÊINERES_-_ELÉTRICA_LISTA_DE_MATERIAIS_-_REV02</t>
  </si>
  <si>
    <t>INSTALAÇÕES ELÉTRICAS E CABEAMENTO ESTRUTURADO</t>
  </si>
  <si>
    <t>CONTAINERS - PRAÇA SUNSET</t>
  </si>
  <si>
    <t>CONTAINERS - KARTÓDROMO</t>
  </si>
  <si>
    <t>CONTAINERS - ESTACIONAMENTO BLOCO DE SERVIÇO</t>
  </si>
  <si>
    <t>CONTAINERS - ORLA</t>
  </si>
  <si>
    <t>CONTAINERS - ESPAÇO SHOW</t>
  </si>
  <si>
    <t>QUADRO DE DISTRIBUIÇÃO - (QGBT)</t>
  </si>
  <si>
    <t>CONTAINERS - CENTRO DE EVENTOS</t>
  </si>
  <si>
    <t>Valor Unit</t>
  </si>
  <si>
    <t>REGUA COM 12 TOMADAS 2P+T 250V., COM CABO TIPO FILTRO DE LINHA PARA RACK</t>
  </si>
  <si>
    <t>PORTA DE ABRIR EM ALUMINIO TIPO VENEZIANA COM ACABAMENTO ANODIZADO FOSCO NA COR PRETA/BRANCA COM CONTRAMARCO</t>
  </si>
  <si>
    <t>PORTA GRELHA E GRELHA DE PVC CROMADOS 150MM REDONDO</t>
  </si>
  <si>
    <t>REGISTRO DE PRESSAO CROMADO 3/4", REF. 00271706, LINHA PERTUTTI DA DOCOL OU SIMILAR</t>
  </si>
  <si>
    <t>GRELHA QUADRADA BRANCA 100 MM (ESGOTO)</t>
  </si>
  <si>
    <t>GRELHA QUADRADA CROMADA 150 MM - (ESGOTO)</t>
  </si>
  <si>
    <t>CAIXA DE PASSAGEM METALICA DE EMBUTIR 30X30X12 CM</t>
  </si>
  <si>
    <t>DISPOSITIVO DE PROTEÇÃO CONTRA SURTOS(DPS) 275V DE 8 A 40KA</t>
  </si>
  <si>
    <t>INTERRUPTOR DIFERENCIAL RESIDUAL (DR) TETRAPOLAR DE 40A-30mA</t>
  </si>
  <si>
    <t>CORPO CAIXA SIFONADA 150 X 150 X 50 MM</t>
  </si>
  <si>
    <t>SEIXO ROLADO</t>
  </si>
  <si>
    <t>PORTA VENEZIANA DE ABRIR EM ALUMÍNIO COM ACABAMENTO EM PINTURA ELETROSTÁTICA BRANCA</t>
  </si>
  <si>
    <t>PLACA DE SINALIZAÇÃO DE OBRAS MONTADA EM CAVALETE METÁLICO,INCLUSO PINTURA E LETREIRO - 0,90 X 1,20M. R_11/2023</t>
  </si>
  <si>
    <t>BALIZADOR MÓVEL CONFORME NTC-108</t>
  </si>
  <si>
    <t>GRELHA ARVOREIRA EM FERRO FUNDIDO NODULAR</t>
  </si>
  <si>
    <t>CAIXILHO FIXO EM ALUMÍNIO COM PINTURA ELETROSTÁTICA BRANCA, SOB MEDIDA, INSTALADO - SEM VIDROS</t>
  </si>
  <si>
    <t>GRELHA COM MALHA QUADRICULADA E REQUADRO, EM FERRO FUNDIDO NODULAR CLASSE 250/300; REF. FUMINAS, AFER INDUSTRIAL OU EQUIVALENTE</t>
  </si>
  <si>
    <t>PLATAFORMA ARTICULADA À DIESEL, AUTOPROPELIDA, COM ALTURA APROXIMADA DE 20M E CAPACIDADE PARA 227KG, REF. 600 AJ DA JLG, Z60/34 RT DA GENIE OU EQUIVALENTE</t>
  </si>
  <si>
    <t>CONTAINER GUARITA, MÓDULO METÁLICO AÇO GALVANIZADO 2,00X2,30M OU 2,30X2,30M, VÃO LIVRE, FORRO TÉRMICO, PISO CONCRETO, CIMENTADO, MADEIRA OU MATERIAL EQUIVALENTE</t>
  </si>
  <si>
    <t>FITA TEFLON DE 18 MM</t>
  </si>
  <si>
    <t>PARAFUSO AUTO-ATARRAXANTE/AUTO-BROCANTE EM AÇO MÉDIO CARBONO, COM ACABAMENTO ZINCADO BRANDO, DE 12 X 38 MM - COM ARRUELA DE VEDAÇÃO</t>
  </si>
  <si>
    <t>PLACA DE ALUMÍNIO COMPOSTO ""ACM"", ESPESSURA DE 4 MM, ACABAMENTO EM PVDF, USO EXTERNO/INTERNO "</t>
  </si>
  <si>
    <t>TELA TIPO ALAMBRADO, FIO 10 BWG, MALHA 2´</t>
  </si>
  <si>
    <t>CHAPA EM POLICARBONATO ALVEOLAR , CRISTAL, 10 X 2100 X 6000 MM</t>
  </si>
  <si>
    <t>CAIXILHO MAXIM-AR EM ALUMÍNIO ANODIZADO, NAS CORES BRONZE/PRETO, LINHA 30 - SEM VIDRO</t>
  </si>
  <si>
    <t>PORTA DE ABRIR EM ALUMÍNIO ANODIZADO, NAS CORES BRONZE/PRETO</t>
  </si>
  <si>
    <t>CAIXA SIFONADA EM PVC RÍGIDO DE 100 X 150 X 50 MM</t>
  </si>
  <si>
    <t>GRELHA METÁLICA DE 100 X 100 MM, PARA CAIXA SIFONADA OU RALO, REF. METAL VILA OU EQUIVALENTE</t>
  </si>
  <si>
    <t>VÁLVULA PARA MICTÓRIO ANTIVANDALISMO, SISTEMA HIDROMECÂNICO, DN= 3/4´; REF. LINHA PRESMATIC ANTIVANDALISMO DA DOCOL OU EQUIVALENTE</t>
  </si>
  <si>
    <t>LAVATÓRIO/BEBEDOURO COLETIVO DE AÇO INOXIDÁVEL AISI 304 CHAPA 20 (1,0MM) - (200 X 80) CM</t>
  </si>
  <si>
    <t>DISPOSITIVO DIFERENCIAL RESIDUAL DE 40 A X 30 MA, 2 POLOS, REF. 5SM1 314-0 MB SIEMENS OU EQUIVALENTE</t>
  </si>
  <si>
    <t>PORTA/PORTAO EM ALUMINIO DE CORRER C/FERRAGENS</t>
  </si>
  <si>
    <t>SUMIDOURO P/ 20 PESSOAS</t>
  </si>
  <si>
    <t>ALUGUEL CACAMBA DE ACO TIPO CONTAINER C/5M3 CAPAC.P/RETIRADA ENTULHO OBRA,INCL.CARREGA.,TRANSP.E DESCAR.LOCAIS AUTORIZ.</t>
  </si>
  <si>
    <t>SUMIDOURO CILINDRICO, MEDINDO 1500 X 240 0MM, EM ANEIS DE CONCRETO PRE-MOLDADO</t>
  </si>
  <si>
    <t>ELETROCALHA LISA, SEM VIROLA, MED.(50X50 X3000)MM, PRE-ZINCADA, SEM TAMPA</t>
  </si>
  <si>
    <t>CHUMBADOR MECÂNICO EXPANSÍVEL 1/4"X3".</t>
  </si>
  <si>
    <t>ARBUSTO CLÚSIA H=0,50 A 0,70M</t>
  </si>
  <si>
    <t>FORRACAO GRAMA TIPO PRETA</t>
  </si>
  <si>
    <t>ACABAMENTO P/ VALVULA DE DESCARGA ANTIVANDALISMO</t>
  </si>
  <si>
    <t>CUBA LOUCA BRANCA OVAL DE EMBUTIR REF. L37</t>
  </si>
  <si>
    <t>FILTRO ANAEROBIO ANEIS CONCR. DIAM.1.20M, H=2.00M</t>
  </si>
  <si>
    <t>ANEL BORRACHA P/ TUBO PVC SANITÁRIO PREDIAL, D= 40MM</t>
  </si>
  <si>
    <t>ABRAÇADEIRA TIPO U, D=26MM (3/4")</t>
  </si>
  <si>
    <t>GUIA DE CABOS FECHADO 19" 1U</t>
  </si>
  <si>
    <t>PORTA TOALHA PAPEL ROLO EM AÇO INOX</t>
  </si>
  <si>
    <t>CABO DE COBRE PP CORDPLAST 2 X 2,5 MM2, 450/750V</t>
  </si>
  <si>
    <t>ANILHAS PARA IDENTIFICACAO DE CABOS</t>
  </si>
  <si>
    <t>REDUÇÃO CONCÊNTRICA 200 X 150 X 100MM PARA ELETROCALHA METÁLICA (REF. MOPA OUSIMILAR)</t>
  </si>
  <si>
    <t>CABO DE COBRE PP CORDPLAST 3 X 2,5 MM2, 450/750V</t>
  </si>
  <si>
    <t>CABO DE COBRE PP CORDPLAST 3 X 4,00 MM2, 450/750V</t>
  </si>
  <si>
    <t>PORTA TAMPA/TAMPA PARA CAIXA DE INSPEÇÃO 300 MM EM PVC</t>
  </si>
  <si>
    <t>PORCA SEXTAVADA 1/4"</t>
  </si>
  <si>
    <t>CANALETA PLÁSTICA 30 X 30MM, CINZA, HELLERMAN OU SIMILAR</t>
  </si>
  <si>
    <t>TUBO INDUSTRIAL, QUADRADO, DIM 50 X 50 MM, E=2,00MM, 4,476 KG/M</t>
  </si>
  <si>
    <t>MINI RACK DE PAREDE 19" X 5U X 350MM (PORTA DE ACRÍLICO)</t>
  </si>
  <si>
    <t>TUBO DE AÇO INOX 3" ESP.1,5MM</t>
  </si>
  <si>
    <t>CANALETA PLÁSTICA 30 X 50MM, CINZA, HELLERMAN OU SIMILAR</t>
  </si>
  <si>
    <t>FITA ADESIVA MARCA 3M, LARGURA 22MM, REF. VHB - ROLO COM 20M</t>
  </si>
  <si>
    <t>CURVA 90 VERTICAL EXTERNA 50x50mm CHAPA 20</t>
  </si>
  <si>
    <t>MÃO FRANCESA SIMPLES 75 MM</t>
  </si>
  <si>
    <t>EXECUÇÃO DE ACABAMENTO CHANFRADO (BISOTADO) EM BORDAS DE ESPELHO</t>
  </si>
  <si>
    <t>PISO TÁTIL DIRECIONAL PINADO - ELEMENTOS EM ABS REVESTIDO DE INOX (12 PEÇAS/M) "</t>
  </si>
  <si>
    <t>TERMINAL DE COMPRESSÃO 2 FUROS PARA CABO DE 50 MM2</t>
  </si>
  <si>
    <t>ARRUELA DE PRESSÃO 1/4"</t>
  </si>
  <si>
    <t>PORTA DE ENROLAR, EM PERFIL MEIA CANA FECHADO EM CHAPA DE AÇO GALVANIZADO N°22</t>
  </si>
  <si>
    <t>PARAFUSO 4,2 X 32MM, AUTO-BROCANTE COM ASA</t>
  </si>
  <si>
    <t>PROGRAMADOR HORÁRIO ALIMENTAÇÃO DE 100ª 240VAC</t>
  </si>
  <si>
    <t>PAINEL SLIM LED PROJETO QUADRADO SOBREPOR 40W 6000K Ângulo 120 AUTOVOLT - G_x0002_LIGHT Código 676.17.0187</t>
  </si>
  <si>
    <t>VÁLVULA DE ESCOAMENTO PARA LAVATÓRIO, TIPO CLICK CLACK, ACABAMENTO CROMADO, REF. 00922406, DOCOL OU SIMILAR</t>
  </si>
  <si>
    <t>PORTA GRELHA PVC REDONDA, CROMADO, P/CAIXA E RALOS, D= 100MM</t>
  </si>
  <si>
    <t>Luminária plafon de sobrepor em LED 29.5x29.5 cm, 24w 4000K bivolt, Avant ou similar</t>
  </si>
  <si>
    <t>PLANTA - DIONELLA (DIANELLA TASMANICA)</t>
  </si>
  <si>
    <t>SABONETEIRA EM AÇO INOX TIPO DISPENSER PARA SABONETE LIQUIDO COM RESERVATORIO 800 ML</t>
  </si>
  <si>
    <t>RALO SIFONADO, PVC, QUADRADO D=100X53 MM, SAÍDA 40 MM ACABAMENTO EM ALUMINIO</t>
  </si>
  <si>
    <t>SUPORTE (BRAÇO) P/LUMINÁRIA DE 1 PÉTALA PARA INSTALAÇÃO NO TOPO DO POSTE, REF:TECNOWATT OU SIMILAR</t>
  </si>
  <si>
    <t>FUNDO FOSFATIZANTE (P/GALVANIZADO)</t>
  </si>
  <si>
    <t>SAÍDA HORIZONTAL PARA ELETRODUTO 3/4" (REF. VL 33 GE VALEMAM OU SIMILAR)</t>
  </si>
  <si>
    <t>PIGMENTO EM PÓ XADREZ (500 G)</t>
  </si>
  <si>
    <t>CANALETA PLÁSTICA 25 X 25MM, LINHA DEXSON, SCHNEIDER OU SIMILAR</t>
  </si>
  <si>
    <t>CAIXA P/QUADRO ELETRICO EM CHAPA METALICA D=60 X 50 X 20CM</t>
  </si>
  <si>
    <t>CABO DE COBRE PP CORDPLAST 4 X 2,5 MM2, 450/750V</t>
  </si>
  <si>
    <t>CLIPS P/ FIXAÇÃO DE CABO DE AÇO ALMA DE FIBRA DN 10MM - (3/8")</t>
  </si>
  <si>
    <t>LIXEIRA EM AÇO INOX COM PEDAL, BRINOX, REF 3040/203, D=25CM, H=41CM, CAPCIDADE=12 L, OU SIMILAR</t>
  </si>
  <si>
    <t>GANCHO CURTO PARA PERFILADO, REF. MOPA OU SIMILAR</t>
  </si>
  <si>
    <t>JUNÇÃO INTERNA TIPO ”L” PARA PERFILADO, ( REF.: MOPA OU SIMILAR)</t>
  </si>
  <si>
    <t>LIMITADOR DE GRAMA COM BORDA FINA, L=12,5CM</t>
  </si>
  <si>
    <t>PLANTA - RUSSÉLIA (RUSSELIA EQUISETIFORMIS)</t>
  </si>
  <si>
    <t>CHUMBADOR PARABOLT Ø 1/4" X 2"</t>
  </si>
  <si>
    <t>BRISE DE ALUMINIO DOBRADO ANODIZADO BRANCO, INCLUSO ACESSÓRIOS</t>
  </si>
  <si>
    <t>EMENDA EXTERNA, PARA PERFILADO TIPO "I", 38 X 38 MM,</t>
  </si>
  <si>
    <t>TUBO INDUSTRIAL, EM AÇO, RETANGULAR, DIM 100 X 50 MM, E=3,17MM(1/8"), 6,825KG/M</t>
  </si>
  <si>
    <t>ACOPLAMENTO PARA ELETROCALHA METÁLICA 38 X 38MM</t>
  </si>
  <si>
    <t>ESTICADOR</t>
  </si>
  <si>
    <t>PISO TÁTIL ALERTA PINADO- ELEMENTOS EM EM ABS REVESTIDO DE INOX (100 PEÇAS/M)</t>
  </si>
  <si>
    <t>COLA ESPECIAL PARA PISO TÁTIL INOX</t>
  </si>
  <si>
    <t>JANELA EM ALUMÍNIO, COR N/P/B, MOLDURA-VIDRO, TIPO GUILHOTINA, EXCLUSIVE VIDRO</t>
  </si>
  <si>
    <t>CERÂMICA 10 X 20 CM, BRILHANTE, ELIANE, LINHA METRÔ WHITE OU SIMILAR</t>
  </si>
  <si>
    <t>SAÍDA PARA PERFILADO 38X38 MM</t>
  </si>
  <si>
    <t>PLACA DE SINALIZACAO, FOTOLUMINESCENTE, EM PVC , COM LOGOTIPO "CUIDADO RISCO DE CHOQUE ELÉTRICO"- PLACA E5</t>
  </si>
  <si>
    <t>LAVATÓRIO LOUÇA SUSPENSO 39,5 X 29,5 CM , LINHA IZY, REF. L.15.17, DECA OU SIMILAR</t>
  </si>
  <si>
    <t>FIBRA OPTICA - CSS - CORDAO OPTICO SIMPLEX SM SC-UPC/SC-APC (9/125) - 3m</t>
  </si>
  <si>
    <t>VALVULA PRESSMATIC ANTIVANDALISMO ALTA PRESSAO</t>
  </si>
  <si>
    <t>VALVULA REDUTORA REGULADORA DE PRESSAO 3/4" - DN20 COM MANOMETRO INTEGRADO</t>
  </si>
  <si>
    <t>ENSAIO - DETERMINACAO DA RESISTENCIA A COMPRESSAO DE CORPOS DE PROVA CILINDRICOS - CIMENTO PORTLAND (NBR 7215:2019)</t>
  </si>
  <si>
    <t>TAMPA 1 MODULO CONDULETE TOP 1/2" E 3/4"</t>
  </si>
  <si>
    <t>RALO GRELHA ABACAXI FERRO FUNDIDO SEMI ESFERICO 100mm</t>
  </si>
  <si>
    <t>PORCELANATO - PADRÃO MÉDIO</t>
  </si>
  <si>
    <t>PORCELANATO - PADRÃO ALTO</t>
  </si>
  <si>
    <t>ARRUELA DE FERRO GALVANIZADO 1/2''</t>
  </si>
  <si>
    <t>VÁLVULA DE RETENÇÃO PVC P/ ESGOTO D=150MM</t>
  </si>
  <si>
    <t>CURSO DE CAPACITAÇÃO PARA ENGENHEIRO SANITARISTA (ENCARGOS COMPLEMENTARES) - MENSALISTA</t>
  </si>
  <si>
    <t>MÊS</t>
  </si>
  <si>
    <t>CURSO DE CAPACITAÇÃO PARA ENGENHEIRO ELETRICISTA/MECÂNICO (ENCARGOS COMPLEMENTARES) - MENSALISTA</t>
  </si>
  <si>
    <t>VIGIA NOTURNO COM ENCARGOS COMPLEMENTARES</t>
  </si>
  <si>
    <t>SERVIÇO DE CORTE E DOBRA EM CHAPA DE AÇO, EXCLUSIVE FORNECIMENTO</t>
  </si>
  <si>
    <t>VÁLVULA DE ESCOAMENTO METÁLICA PARA LAVATÓRIO/BIDÊ (MATERIAL: METAL|ACABAMENTO: CROMADO|DIÂMETRO DE ENTRADA: 7/8" OU 1")</t>
  </si>
  <si>
    <t>TERMINAL À COMPRESSÃO (MATERIAL: COBRE ESTANHADO|QUANTIDADE DE FUROS: 2|DIÂMETRO DO CABO: 25MM2</t>
  </si>
  <si>
    <t>PORTA PAPEL-TOALHA (MATERIAL: AÇO INOX)</t>
  </si>
  <si>
    <t>TRILHO PARA FIXAÇÃO DE DISJUNTORES (MATERIAL: AÇO|MEDIDAS: 35X7,5MM|TIPO: PERFURADO|PADRÃO: DIN)</t>
  </si>
  <si>
    <t>REBITE DE REPUXO (DIÂMETRO: 3,2MM|COMPRIMENTO: 10MM|MATERIAL: ALUMÍNIO|ACABAMENTO: NATURAL)</t>
  </si>
  <si>
    <t>DISJUNTOR (TIPO: BIPOLAR|CURVA:C|CORRENTE: 125A|I MÁX: 10KA)</t>
  </si>
  <si>
    <t>TERMINAL ELÉTRICO (TIPO: ILHÓS|MATERIAL: COBRE ESTANHADO|BITOLA: 6MM2)</t>
  </si>
  <si>
    <t>TERMINAL ELÉTRICO (TIPO: ILHÓS|MATERIAL: COBRE ESTANHADO|BITOLA: 16MM2)</t>
  </si>
  <si>
    <t>ENGENHEIRO ELETRICISTA/MECÂNICO (MENSALISTA)</t>
  </si>
  <si>
    <t>ENGENHEIRO SANITARISTA (MENSALISTA)</t>
  </si>
  <si>
    <t>PINTURA ELETROSTÁTICA COM TINTA EM PÓ À BASE DE RESINA EPÓXI - E = 200 ?M</t>
  </si>
  <si>
    <t>SIURB</t>
  </si>
  <si>
    <t>TAMPO PARA BANCADA ÚMIDA - GRANITO PRETO SÃO GABRIEL - POLIDO - ESPESSURA 2CM</t>
  </si>
  <si>
    <t>TELA ARTISTICA GALVANIZADA FIO 12 MALHA= 1"</t>
  </si>
  <si>
    <t>TUBO AÇO GALVANIZADO INDUSTRIAL REDONDO DN 1 1/2" (38 MM) E=1,50MM, NBR 6591</t>
  </si>
  <si>
    <t>TUBO AÇO GALVANIZADO INDUSTRIAL REDONDO DN 2" (50.80 MM) E=2,00MM, NBR 6591</t>
  </si>
  <si>
    <t>TUBO AÇO GALVANIZADO INDUSTRIAL REDONDO DN 3" (76,20 MM) E=2,00MM, NBR 6591</t>
  </si>
  <si>
    <t>TAMPA CEGA EM INOX PARA CAIXA SIFONADA 150X150MM</t>
  </si>
  <si>
    <t>PLACA BRAILLE ALUMÍNIO 10X3 CM CORRIMÃO (INÍCIO/FIM)</t>
  </si>
  <si>
    <t>BANHEIRO QUIMICO 2 MANUT. 2 ROLOS PAPEL HIGIENICO</t>
  </si>
  <si>
    <t>ARRUELA P/ PARAFUSO 3/8 "</t>
  </si>
  <si>
    <t>CO-33086</t>
  </si>
  <si>
    <t>LABORATORISTA, INCLUSIVE ENCARGOS COMPLEMENTARES</t>
  </si>
  <si>
    <t>Eng. Douglas Fernando Cerqueira</t>
  </si>
  <si>
    <t>CREA 029663/MT</t>
  </si>
  <si>
    <t>Responsável Técnico</t>
  </si>
  <si>
    <t>Construtora Nhambiquaras Ltda.</t>
  </si>
  <si>
    <t>CENTRAL DE BETONEIRA DE ATÉ 600L - DIMENSÕES 5X5 M (CONSIDERANDO DISTANCIA SEGURA MINÍMA) , PÉ DIREITO H=2,80 M, ISOLAMENTO DE ÁREA DE RISCO EM PERIFERIA COM MADEIRA H=1,10M, INSTALAÇÕES ELÉTRICAS E ATERRAMENTO, BASE EM PISO RÍGIDO LEVEMENTE INCLINADO PARA ESCOAMENTO DE ÁGUA, COBERTURA DE PROTEÇÃO A INTERMPÉRIES CLIMÁTICAS E QUEDA DE MATERIAIS. (EXCETO BETONEIRA).</t>
  </si>
  <si>
    <t>GOVERNO DO ESTADO DE MATO GROSSO</t>
  </si>
  <si>
    <t>Obra:</t>
  </si>
  <si>
    <t>Localização:</t>
  </si>
  <si>
    <t>Município:</t>
  </si>
  <si>
    <t>Contrato:</t>
  </si>
  <si>
    <t>Dados Gerais</t>
  </si>
  <si>
    <t>Status Medição</t>
  </si>
  <si>
    <t>Tipos Aditivos</t>
  </si>
  <si>
    <t>Conselho</t>
  </si>
  <si>
    <t>Titulo</t>
  </si>
  <si>
    <t>Modalidade 
Licitação</t>
  </si>
  <si>
    <t>Meses Ano</t>
  </si>
  <si>
    <t>Prazo</t>
  </si>
  <si>
    <t>CREA</t>
  </si>
  <si>
    <t>Arquiteto</t>
  </si>
  <si>
    <t>Dispensa</t>
  </si>
  <si>
    <t>Janeiro</t>
  </si>
  <si>
    <t>Convênio:</t>
  </si>
  <si>
    <t>Provisória</t>
  </si>
  <si>
    <t>Valor Acréscimo</t>
  </si>
  <si>
    <t>CAU</t>
  </si>
  <si>
    <t>Eng.ª Eletrecista</t>
  </si>
  <si>
    <t>Convite</t>
  </si>
  <si>
    <t>Fevereiro</t>
  </si>
  <si>
    <t>Processo de Origem n.º</t>
  </si>
  <si>
    <t>Valor Supressão</t>
  </si>
  <si>
    <t>Eng.º Civil</t>
  </si>
  <si>
    <t>Tomada de Preços</t>
  </si>
  <si>
    <t>Março</t>
  </si>
  <si>
    <t>N.º do Convênio</t>
  </si>
  <si>
    <t>Prazo e Valor Acréscimo</t>
  </si>
  <si>
    <t>Eng.º Sanitarista</t>
  </si>
  <si>
    <t>Concorrência</t>
  </si>
  <si>
    <t>Abril</t>
  </si>
  <si>
    <t>Prazo e Valor Supressão</t>
  </si>
  <si>
    <t>Pregão Eletrônico</t>
  </si>
  <si>
    <t>Maio</t>
  </si>
  <si>
    <t>Pregão Presencial</t>
  </si>
  <si>
    <t>Junho</t>
  </si>
  <si>
    <t>Concedente:</t>
  </si>
  <si>
    <t>R.D.C.</t>
  </si>
  <si>
    <t>Julho</t>
  </si>
  <si>
    <t>Órgão</t>
  </si>
  <si>
    <t>Agosto</t>
  </si>
  <si>
    <t>Sigla</t>
  </si>
  <si>
    <t>Setembro</t>
  </si>
  <si>
    <t>Outubro</t>
  </si>
  <si>
    <t>Novembro</t>
  </si>
  <si>
    <t>Convenente:</t>
  </si>
  <si>
    <t>Dezembro</t>
  </si>
  <si>
    <t>Responsável</t>
  </si>
  <si>
    <t>Contratante:</t>
  </si>
  <si>
    <t>MT PARTICIPAÇÕES E PROJETOS S.A.</t>
  </si>
  <si>
    <t>MTPAR</t>
  </si>
  <si>
    <t>Secretária</t>
  </si>
  <si>
    <t>Fiscal - Nome</t>
  </si>
  <si>
    <t>Fiscal - Título</t>
  </si>
  <si>
    <t>Portaria Nomeação Fiscal N.º</t>
  </si>
  <si>
    <t>N.º Registro Conselho de Classe</t>
  </si>
  <si>
    <t>Localização</t>
  </si>
  <si>
    <t>MT - 251, KM 12, ÁREA RURAL, PARQUE NOVO MT, CUIABÁ-MT.</t>
  </si>
  <si>
    <t>Município - MT</t>
  </si>
  <si>
    <t xml:space="preserve"> CUIABÁ </t>
  </si>
  <si>
    <t>Coordenadas</t>
  </si>
  <si>
    <t xml:space="preserve"> 15°27'32.69"S</t>
  </si>
  <si>
    <t xml:space="preserve"> 56° 4'44.62"O</t>
  </si>
  <si>
    <t>Licitação e Contrato:</t>
  </si>
  <si>
    <t>Processo Original N.º</t>
  </si>
  <si>
    <t>Edital N.º</t>
  </si>
  <si>
    <t>Modalidade de Licitação</t>
  </si>
  <si>
    <t>Contrato N.º</t>
  </si>
  <si>
    <t>Data Assinatura do Contrato</t>
  </si>
  <si>
    <r>
      <t xml:space="preserve">N.º da </t>
    </r>
    <r>
      <rPr>
        <b/>
        <u/>
        <sz val="11"/>
        <color theme="1"/>
        <rFont val="Arial"/>
        <family val="2"/>
        <scheme val="minor"/>
      </rPr>
      <t>O</t>
    </r>
    <r>
      <rPr>
        <sz val="10"/>
        <color rgb="FF000000"/>
        <rFont val="Arial"/>
        <family val="2"/>
        <scheme val="minor"/>
      </rPr>
      <t xml:space="preserve">rdem de </t>
    </r>
    <r>
      <rPr>
        <b/>
        <u/>
        <sz val="11"/>
        <color theme="1"/>
        <rFont val="Arial"/>
        <family val="2"/>
        <scheme val="minor"/>
      </rPr>
      <t>S</t>
    </r>
    <r>
      <rPr>
        <sz val="10"/>
        <color rgb="FF000000"/>
        <rFont val="Arial"/>
        <family val="2"/>
        <scheme val="minor"/>
      </rPr>
      <t>erviço</t>
    </r>
  </si>
  <si>
    <r>
      <t xml:space="preserve">Data da </t>
    </r>
    <r>
      <rPr>
        <b/>
        <u/>
        <sz val="11"/>
        <color theme="1"/>
        <rFont val="Arial"/>
        <family val="2"/>
        <scheme val="minor"/>
      </rPr>
      <t>O</t>
    </r>
    <r>
      <rPr>
        <sz val="10"/>
        <color rgb="FF000000"/>
        <rFont val="Arial"/>
        <family val="2"/>
        <scheme val="minor"/>
      </rPr>
      <t xml:space="preserve">rdem de </t>
    </r>
    <r>
      <rPr>
        <b/>
        <u/>
        <sz val="11"/>
        <color theme="1"/>
        <rFont val="Arial"/>
        <family val="2"/>
        <scheme val="minor"/>
      </rPr>
      <t>S</t>
    </r>
    <r>
      <rPr>
        <sz val="10"/>
        <color rgb="FF000000"/>
        <rFont val="Arial"/>
        <family val="2"/>
        <scheme val="minor"/>
      </rPr>
      <t>erviço</t>
    </r>
  </si>
  <si>
    <t>Empresa Contratada:</t>
  </si>
  <si>
    <t>Nome de Empresa</t>
  </si>
  <si>
    <t>Eng.º Residente</t>
  </si>
  <si>
    <t>Nome</t>
  </si>
  <si>
    <t>Título</t>
  </si>
  <si>
    <t>Empresa Gerenciadora/Supervisora:</t>
  </si>
  <si>
    <t>Resp. Técnico</t>
  </si>
  <si>
    <t>Medição:</t>
  </si>
  <si>
    <t>Status da Medição</t>
  </si>
  <si>
    <t>N.º da Medição</t>
  </si>
  <si>
    <t>N.º do Processo da Medição</t>
  </si>
  <si>
    <t>Data Início da Medição</t>
  </si>
  <si>
    <t>Data Final da Medição</t>
  </si>
  <si>
    <t>Data Assinatura Medição</t>
  </si>
  <si>
    <t>Local da Assinat. da Medição</t>
  </si>
  <si>
    <t>Reajustes:</t>
  </si>
  <si>
    <t>Data Base do Preço de Referência</t>
  </si>
  <si>
    <t>Fonte do Índice do Fator de Reajuste</t>
  </si>
  <si>
    <t xml:space="preserve">INCC-DI/FGV - INDICE NACIONAL DE CUSTO DA CONSTRUÇÃO </t>
  </si>
  <si>
    <t>Índice/Fator de Reajustamento</t>
  </si>
  <si>
    <t>Aditivos:</t>
  </si>
  <si>
    <t>N.º</t>
  </si>
  <si>
    <t>Tipo do Aditivo</t>
  </si>
  <si>
    <t>Data Assinatura</t>
  </si>
  <si>
    <t>Aditivos de Prazos</t>
  </si>
  <si>
    <t>Aditivos de Valores</t>
  </si>
  <si>
    <t>Q.dade</t>
  </si>
  <si>
    <t>Unid.</t>
  </si>
  <si>
    <t>Acréscimo</t>
  </si>
  <si>
    <t>Supressão</t>
  </si>
  <si>
    <t>Tipo</t>
  </si>
  <si>
    <t>Valores da obra:</t>
  </si>
  <si>
    <t>Item</t>
  </si>
  <si>
    <t>Valor</t>
  </si>
  <si>
    <t>Valor Licitado/Orçado pela Administração (Preço de Referência)</t>
  </si>
  <si>
    <t>Valor Contratado</t>
  </si>
  <si>
    <t>Valor do Desconto Concedido pelo Contratado</t>
  </si>
  <si>
    <t>Total dos Aditivos - Acréscimo</t>
  </si>
  <si>
    <t>Total dos Aditivos - Supressão</t>
  </si>
  <si>
    <t>Valor Contratado Atual</t>
  </si>
  <si>
    <t>Prazos:</t>
  </si>
  <si>
    <t>Prazo Contratual</t>
  </si>
  <si>
    <t>Prazo dos Aditivos</t>
  </si>
  <si>
    <r>
      <t xml:space="preserve">Prazo Total </t>
    </r>
    <r>
      <rPr>
        <sz val="9"/>
        <color theme="1"/>
        <rFont val="Arial"/>
        <family val="2"/>
        <scheme val="minor"/>
      </rPr>
      <t>(Contrato + Aditivos)</t>
    </r>
  </si>
  <si>
    <r>
      <t>Prazo Decorrido</t>
    </r>
    <r>
      <rPr>
        <sz val="9"/>
        <color theme="1"/>
        <rFont val="Arial"/>
        <family val="2"/>
        <scheme val="minor"/>
      </rPr>
      <t xml:space="preserve"> (Data Final da Última Medição - Ordem de Serviço)</t>
    </r>
  </si>
  <si>
    <t xml:space="preserve">Prazo Restante </t>
  </si>
  <si>
    <r>
      <t xml:space="preserve">Data Término Contratual </t>
    </r>
    <r>
      <rPr>
        <sz val="9"/>
        <color theme="1"/>
        <rFont val="Arial"/>
        <family val="2"/>
        <scheme val="minor"/>
      </rPr>
      <t>(Contrato + Aditivos)</t>
    </r>
  </si>
  <si>
    <t>Medições:</t>
  </si>
  <si>
    <r>
      <t xml:space="preserve">Período
</t>
    </r>
    <r>
      <rPr>
        <sz val="7"/>
        <color theme="1"/>
        <rFont val="Arial Black"/>
        <family val="2"/>
      </rPr>
      <t>(Mês)</t>
    </r>
  </si>
  <si>
    <t>Medição</t>
  </si>
  <si>
    <t>Acumulado</t>
  </si>
  <si>
    <t>R$</t>
  </si>
  <si>
    <t>Obs.:</t>
  </si>
  <si>
    <t>Verificação Valores</t>
  </si>
  <si>
    <t>Valor Acumulado das Medições, em comparação com a Planilha Resumo Medição está</t>
  </si>
  <si>
    <t>V. Medição</t>
  </si>
  <si>
    <t>V. Acumulado</t>
  </si>
  <si>
    <t>Observações:</t>
  </si>
  <si>
    <t>- Inserir Memória de Cálculo das Medições e critério de medição;</t>
  </si>
  <si>
    <t>- Inserir nas Medições, quando for o caso, os Boletins de Medição e os Relatórios Laboratorais.</t>
  </si>
  <si>
    <t>Dados da Obra:</t>
  </si>
  <si>
    <t xml:space="preserve">Obra:    </t>
  </si>
  <si>
    <t>Dados do Contrato:</t>
  </si>
  <si>
    <t>Valores:</t>
  </si>
  <si>
    <t>Dados do Convênio:</t>
  </si>
  <si>
    <t>Processo de Origem n.º ...........</t>
  </si>
  <si>
    <t>N.º do Convênio ......................</t>
  </si>
  <si>
    <t>Concedente/Órgão ..................</t>
  </si>
  <si>
    <t>Convenente/Órgão ..................</t>
  </si>
  <si>
    <t>Atenciosamente</t>
  </si>
  <si>
    <t>Visto</t>
  </si>
  <si>
    <t>BOLETIM DE DESEMPENHO PARCIAL</t>
  </si>
  <si>
    <t>Contratada:</t>
  </si>
  <si>
    <r>
      <t xml:space="preserve">Data </t>
    </r>
    <r>
      <rPr>
        <b/>
        <u/>
        <sz val="9"/>
        <rFont val="Arial"/>
        <family val="2"/>
        <scheme val="minor"/>
      </rPr>
      <t>O</t>
    </r>
    <r>
      <rPr>
        <b/>
        <sz val="9"/>
        <rFont val="Arial"/>
        <family val="2"/>
        <scheme val="minor"/>
      </rPr>
      <t xml:space="preserve">rdem </t>
    </r>
    <r>
      <rPr>
        <b/>
        <u/>
        <sz val="9"/>
        <rFont val="Arial"/>
        <family val="2"/>
        <scheme val="minor"/>
      </rPr>
      <t>S</t>
    </r>
    <r>
      <rPr>
        <b/>
        <sz val="9"/>
        <rFont val="Arial"/>
        <family val="2"/>
        <scheme val="minor"/>
      </rPr>
      <t>erviço</t>
    </r>
  </si>
  <si>
    <r>
      <t xml:space="preserve">Prazo Execução </t>
    </r>
    <r>
      <rPr>
        <b/>
        <sz val="8"/>
        <rFont val="Arial"/>
        <family val="2"/>
        <scheme val="minor"/>
      </rPr>
      <t>(Contrato + Aditivos)</t>
    </r>
  </si>
  <si>
    <t>A) Conceitos Atribuídos pela Fiscalização</t>
  </si>
  <si>
    <t>I T E M</t>
  </si>
  <si>
    <t>C O N C E I T O</t>
  </si>
  <si>
    <r>
      <rPr>
        <sz val="8"/>
        <rFont val="Arial Black"/>
        <family val="2"/>
      </rPr>
      <t>Excelente</t>
    </r>
    <r>
      <rPr>
        <sz val="7"/>
        <rFont val="Arial Black"/>
        <family val="2"/>
      </rPr>
      <t xml:space="preserve"> 
</t>
    </r>
    <r>
      <rPr>
        <sz val="6"/>
        <rFont val="Arial Black"/>
        <family val="2"/>
      </rPr>
      <t>(0,9 à 1,0)</t>
    </r>
  </si>
  <si>
    <r>
      <rPr>
        <sz val="8"/>
        <rFont val="Arial Black"/>
        <family val="2"/>
      </rPr>
      <t>Bom</t>
    </r>
    <r>
      <rPr>
        <sz val="7"/>
        <rFont val="Arial Black"/>
        <family val="2"/>
      </rPr>
      <t xml:space="preserve">
</t>
    </r>
    <r>
      <rPr>
        <sz val="6"/>
        <rFont val="Arial Black"/>
        <family val="2"/>
      </rPr>
      <t>(0,7 à 0,89)</t>
    </r>
  </si>
  <si>
    <r>
      <rPr>
        <sz val="8"/>
        <rFont val="Arial Black"/>
        <family val="2"/>
      </rPr>
      <t xml:space="preserve">Razoável </t>
    </r>
    <r>
      <rPr>
        <sz val="7"/>
        <rFont val="Arial Black"/>
        <family val="2"/>
      </rPr>
      <t xml:space="preserve">
</t>
    </r>
    <r>
      <rPr>
        <sz val="6"/>
        <rFont val="Arial Black"/>
        <family val="2"/>
      </rPr>
      <t>(0,5 à 0,69)</t>
    </r>
  </si>
  <si>
    <r>
      <rPr>
        <sz val="8"/>
        <rFont val="Arial Black"/>
        <family val="2"/>
      </rPr>
      <t>Fraco</t>
    </r>
    <r>
      <rPr>
        <sz val="7"/>
        <rFont val="Arial Black"/>
        <family val="2"/>
      </rPr>
      <t xml:space="preserve">
</t>
    </r>
    <r>
      <rPr>
        <sz val="6"/>
        <rFont val="Arial Black"/>
        <family val="2"/>
      </rPr>
      <t>(0,3 à 0,49)</t>
    </r>
  </si>
  <si>
    <r>
      <rPr>
        <sz val="8"/>
        <rFont val="Arial Black"/>
        <family val="2"/>
      </rPr>
      <t>Péssimo</t>
    </r>
    <r>
      <rPr>
        <sz val="7"/>
        <rFont val="Arial Black"/>
        <family val="2"/>
      </rPr>
      <t xml:space="preserve">
</t>
    </r>
    <r>
      <rPr>
        <sz val="6"/>
        <rFont val="Arial Black"/>
        <family val="2"/>
      </rPr>
      <t xml:space="preserve"> (0 à 0,29)</t>
    </r>
  </si>
  <si>
    <t>1) Equipamento</t>
  </si>
  <si>
    <t>2) Pessoal</t>
  </si>
  <si>
    <t>3) Instalações</t>
  </si>
  <si>
    <t>4) Cronograma Físico</t>
  </si>
  <si>
    <t>5) Qualidade dos Serviços</t>
  </si>
  <si>
    <t>6) Atend. À Fiscalização</t>
  </si>
  <si>
    <t>7) Administração da Obra</t>
  </si>
  <si>
    <t>Nota N</t>
  </si>
  <si>
    <t>Pesos P</t>
  </si>
  <si>
    <t>Produt. NxP</t>
  </si>
  <si>
    <r>
      <t>Desemp. Parcial = (N</t>
    </r>
    <r>
      <rPr>
        <sz val="7"/>
        <rFont val="Arial Black"/>
        <family val="2"/>
      </rPr>
      <t>x</t>
    </r>
    <r>
      <rPr>
        <sz val="8"/>
        <rFont val="Arial Black"/>
        <family val="2"/>
      </rPr>
      <t>P)</t>
    </r>
  </si>
  <si>
    <t>6) Atend. à Fiscalização</t>
  </si>
  <si>
    <t xml:space="preserve">Conceito: </t>
  </si>
  <si>
    <t>B) Visto do Fiscal do Contrato</t>
  </si>
  <si>
    <t>GOVERNO DO ESTADO DE MATO GROSSO
MT PAR - MT PARTICIPAÇÕES E PROJETOS S/A</t>
  </si>
  <si>
    <t>CONSTRUÇÃO DE ESPAÇO DE SHOW PARQUE NOVO MT</t>
  </si>
  <si>
    <t xml:space="preserve">MUNICÍPIO: </t>
  </si>
  <si>
    <t>14 MESES</t>
  </si>
  <si>
    <t>CONSTRUÇÃO</t>
  </si>
  <si>
    <t>REVISÃO:</t>
  </si>
  <si>
    <t>R2</t>
  </si>
  <si>
    <t>FONTE: SINAPI DATA DE PREÇO ABRIL/2023 (SEM DESONERAÇÃO)</t>
  </si>
  <si>
    <t>RESUMO DA PLANILHA ORÇAMENTÁRIA</t>
  </si>
  <si>
    <t>TOTAL (R$)</t>
  </si>
  <si>
    <t>TOTAL CONTRATO</t>
  </si>
  <si>
    <t xml:space="preserve">TOTAL GERAL </t>
  </si>
  <si>
    <t>IMPORTA O PRESENTE MEDIÇÃO O VALOR DE:</t>
  </si>
  <si>
    <t>_____________________________________________</t>
  </si>
  <si>
    <t>VALOR MTPAR</t>
  </si>
  <si>
    <t>DESCONTO LEILÃO</t>
  </si>
  <si>
    <t>VALOR COM DESCONTO</t>
  </si>
  <si>
    <t>DIFERENÇA ORÇAMENTO E VALOR COM DESCONO</t>
  </si>
  <si>
    <t>Folha N.º</t>
  </si>
  <si>
    <t>1/1</t>
  </si>
  <si>
    <t>CNPJ:</t>
  </si>
  <si>
    <t>Registro Fotográfico dos Serviços Executados</t>
  </si>
  <si>
    <t>Coordenada:</t>
  </si>
  <si>
    <t>Serviço:</t>
  </si>
  <si>
    <t>Cuiabá (MT)</t>
  </si>
  <si>
    <t>Cuiabá MT</t>
  </si>
  <si>
    <t>Cuiabá MT)</t>
  </si>
  <si>
    <t>CONSTRUTORA NHAMBIQUARAS LTDA</t>
  </si>
  <si>
    <t>121/2024/MTPAR</t>
  </si>
  <si>
    <t>17/2025</t>
  </si>
  <si>
    <t>CONTRATAÇÃO DE EMPRESA PARA A REALIZAÇÃO DAS OBRAS DO COMPLEXO SUNSET, NAS DEPENDÊNCIAS DO PARQUE NOVO MATO GROSSO, LOCALIZADO NO MUNICÍPIO DE CUIABÁ -MT</t>
  </si>
  <si>
    <t>060/2024/MTPAR</t>
  </si>
  <si>
    <r>
      <t>CONTRATAÇÃO DE EMPRESA ESPECIALIZADA PARA EXECUÇÃO DAS OBRAS DO "</t>
    </r>
    <r>
      <rPr>
        <b/>
        <sz val="10"/>
        <color theme="1"/>
        <rFont val="Calibri"/>
        <family val="2"/>
      </rPr>
      <t>COMPLEXO SUNSET (WAKE BAR, PRAÇA SUNSET, QUIOSQUE, BANHEIROS DE APOIO E INFRA DE CONTÊINER) DO PARQUE NOVO MATO GROSSO"</t>
    </r>
  </si>
  <si>
    <t>CONTROLE FINANCEIRO</t>
  </si>
  <si>
    <t>CONTRATO</t>
  </si>
  <si>
    <t>FIRMA:</t>
  </si>
  <si>
    <t xml:space="preserve">           VALOR CONTRATUAL</t>
  </si>
  <si>
    <t>ADITAMENTO</t>
  </si>
  <si>
    <t>TRECHO:</t>
  </si>
  <si>
    <t>FISCAL</t>
  </si>
  <si>
    <t>Parque Novo Mato Grosso - Cuiabá - MT</t>
  </si>
  <si>
    <t>Nº DO</t>
  </si>
  <si>
    <t>DOC.</t>
  </si>
  <si>
    <t>PERÍODO DA MEDIÇÃO</t>
  </si>
  <si>
    <t>PRAZO DIAS CORRIDOS</t>
  </si>
  <si>
    <t>MEDIÇÕES P.I</t>
  </si>
  <si>
    <t>MEDIÇÕES REAJUST.</t>
  </si>
  <si>
    <t>TOTAL DA 
MEDIÇÃO</t>
  </si>
  <si>
    <t>SALDO P. INICIAIS</t>
  </si>
  <si>
    <t>PROCESSO</t>
  </si>
  <si>
    <t xml:space="preserve">PERIODO </t>
  </si>
  <si>
    <t>ACUMULADO</t>
  </si>
  <si>
    <t>1ª medição</t>
  </si>
  <si>
    <t>a</t>
  </si>
  <si>
    <t>SANSET</t>
  </si>
  <si>
    <t>ESPAÇO SANSET PARQUE NOVO MT</t>
  </si>
  <si>
    <t>RESUMO DE MEDIÇÃO</t>
  </si>
  <si>
    <t>Data da Ordem Serviço:</t>
  </si>
  <si>
    <t>Status da Medição    -</t>
  </si>
  <si>
    <t>Contratual (P.I.)</t>
  </si>
  <si>
    <t>Contratual</t>
  </si>
  <si>
    <t>Aditivos</t>
  </si>
  <si>
    <t>Coordenadas:</t>
  </si>
  <si>
    <t xml:space="preserve">N.º do Processo da Medição: </t>
  </si>
  <si>
    <t>Total (Contrato + Aditivos)</t>
  </si>
  <si>
    <t>Medido (Acumulado)</t>
  </si>
  <si>
    <t>Restante</t>
  </si>
  <si>
    <t>À Executar</t>
  </si>
  <si>
    <t>Município</t>
  </si>
  <si>
    <t>DISCRIMINAÇÃO DOS SERVIÇOS</t>
  </si>
  <si>
    <t>VALOR DA MEDIÇÃO  (R$)</t>
  </si>
  <si>
    <t>Totalização</t>
  </si>
  <si>
    <t>QUANTIDADE</t>
  </si>
  <si>
    <t>MEDIÇÃO ATUAL</t>
  </si>
  <si>
    <t>Contrato</t>
  </si>
  <si>
    <t>J</t>
  </si>
  <si>
    <t>K</t>
  </si>
  <si>
    <t>PORCENTAGEM REALIZADA</t>
  </si>
  <si>
    <t>VALOR TOTAL AEXECUTADO ACUMULADO COM BDI</t>
  </si>
  <si>
    <t>PORCENTAGEM EXECUTADA</t>
  </si>
  <si>
    <t>VALOR TOTAL EXECUTADO ACUMULADO COM BDI</t>
  </si>
  <si>
    <t>Instalações do canteiro de obras</t>
  </si>
  <si>
    <t xml:space="preserve">Gabarito Quiosque </t>
  </si>
  <si>
    <t>QUANTIDADE - MEDIÇÃO</t>
  </si>
  <si>
    <t>ACUM. ANTERIOR</t>
  </si>
  <si>
    <t>ACUM. ATUAL</t>
  </si>
  <si>
    <t>SALDO</t>
  </si>
  <si>
    <t>CONTRATUAL</t>
  </si>
  <si>
    <t>UNITÁRIO</t>
  </si>
  <si>
    <t>PREÇO (R$)</t>
  </si>
  <si>
    <t>CONTRATADA:</t>
  </si>
  <si>
    <t>Contrato N.º:</t>
  </si>
  <si>
    <t>Data Ass. Contrato:</t>
  </si>
  <si>
    <t>Processo Original:</t>
  </si>
  <si>
    <t>Edital N.º:</t>
  </si>
  <si>
    <t>Modalid. Licitação:</t>
  </si>
  <si>
    <t>LOCAÇÃO MENSAL DE ESTRUTURA DE COBERTURA IMPERMEÁVEL 5x5 M (TENDA - INCLUSO MONTAGEM) E MANUTENÇÃO MENSAL</t>
  </si>
  <si>
    <t>STELA MARIA METELO RAGAZZI BARCELOS</t>
  </si>
  <si>
    <t>MT029617</t>
  </si>
  <si>
    <t>Engª Stela Maria M.R.Barcelos</t>
  </si>
  <si>
    <t>CREA 029617/MT</t>
  </si>
  <si>
    <t>CREA MT-029617</t>
  </si>
  <si>
    <t>CNPJ 03.076.083/0001-90</t>
  </si>
  <si>
    <t>2</t>
  </si>
  <si>
    <t>PILAR QIOSQUE</t>
  </si>
  <si>
    <t xml:space="preserve">INFRA QUIOSQUE </t>
  </si>
  <si>
    <t>MTPAR-PRO-2024/02020.01</t>
  </si>
  <si>
    <t>fev</t>
  </si>
  <si>
    <t>2ª medição</t>
  </si>
  <si>
    <t>FISCAL MT-PAR</t>
  </si>
  <si>
    <t>CONSTRUTORA NHAMBIQUARAS</t>
  </si>
  <si>
    <t>3ª medição</t>
  </si>
  <si>
    <t>Cuiabá</t>
  </si>
  <si>
    <t>4ª medição</t>
  </si>
  <si>
    <t>5° Medição</t>
  </si>
  <si>
    <t>5ª medição</t>
  </si>
  <si>
    <t>IANA DIANEZ MARQUES</t>
  </si>
  <si>
    <t>117/2025</t>
  </si>
  <si>
    <t>CREA 1216454264</t>
  </si>
  <si>
    <t>CERÂMICA 10 X 20 CM, BRILHANTE, WHITE OU SIMILAR , REJUNTADO -  FORNECIMENTO E APLICAÇÃO</t>
  </si>
  <si>
    <t>Rescisória</t>
  </si>
  <si>
    <t>Cuiabá 01 de julho de 2025</t>
  </si>
  <si>
    <t>6ª medição</t>
  </si>
  <si>
    <t>Iana Dianez</t>
  </si>
  <si>
    <t>Serviços executados entre: 01/06/2025 a 30/06/2025</t>
  </si>
  <si>
    <t xml:space="preserve">1.146,27	</t>
  </si>
  <si>
    <t>............... 12.848.238,85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</si>
</sst>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R$&quot;\ * #,##0.00_-;\-&quot;R$&quot;\ * #,##0.00_-;_-&quot;R$&quot;\ * &quot;-&quot;??_-;_-@_-"/>
    <numFmt numFmtId="43" formatCode="_-* #,##0.00_-;\-* #,##0.00_-;_-* &quot;-&quot;??_-;_-@_-"/>
    <numFmt numFmtId="164" formatCode="_-&quot;R$&quot;* #,##0.00_-;\-&quot;R$&quot;* #,##0.00_-;_-&quot;R$&quot;* &quot;-&quot;??_-;_-@_-"/>
    <numFmt numFmtId="165" formatCode="_([$R$ -416]* #,##0.00_);_([$R$ -416]* \(#,##0.00\);_([$R$ -416]* &quot;-&quot;??_);_(@_)"/>
    <numFmt numFmtId="166" formatCode="dd/mm"/>
    <numFmt numFmtId="167" formatCode="&quot;R$&quot;\ #,##0.00"/>
    <numFmt numFmtId="168" formatCode="_(&quot;R$&quot;* #,##0.00_);_(&quot;R$&quot;* \(#,##0.00\);_(&quot;R$&quot;* &quot;-&quot;??_);_(@_)"/>
    <numFmt numFmtId="169" formatCode="[$R$ -416]#,##0.00"/>
    <numFmt numFmtId="170" formatCode="0.0"/>
    <numFmt numFmtId="171" formatCode="#,##0.00;[Red]#,##0.00"/>
    <numFmt numFmtId="172" formatCode="_(* #,##0.00_);_(* \(#,##0.00\);_(* &quot;-&quot;??_);_(@_)"/>
    <numFmt numFmtId="173" formatCode="mm/yyyy"/>
    <numFmt numFmtId="174" formatCode="#,##0.0000"/>
    <numFmt numFmtId="175" formatCode="m/yyyy"/>
    <numFmt numFmtId="176" formatCode="0.0000"/>
    <numFmt numFmtId="177" formatCode="_([$R$ -416]* #,##0.00000_);_([$R$ -416]* \(#,##0.00000\);_([$R$ -416]* &quot;-&quot;??.00000_);_(@_)"/>
    <numFmt numFmtId="178" formatCode="_([$R$ -416]* #,##0.00000_);_([$R$ -416]* \(#,##0.00000\);_([$R$ -416]* &quot;-&quot;??.000_);_(@_)"/>
    <numFmt numFmtId="179" formatCode="0.000"/>
    <numFmt numFmtId="180" formatCode="dd\.mm\.yyyy"/>
    <numFmt numFmtId="181" formatCode="#,##0.000"/>
    <numFmt numFmtId="182" formatCode="#,##0.00000"/>
    <numFmt numFmtId="183" formatCode="mm&quot;/&quot;yyyy"/>
    <numFmt numFmtId="184" formatCode="#,##0.0000000"/>
    <numFmt numFmtId="185" formatCode="_-&quot;R$&quot;\ * #,##0.00_-;\-&quot;R$&quot;\ * #,##0.00_-;_-&quot;R$&quot;\ * &quot;-&quot;??_-;_-@"/>
    <numFmt numFmtId="186" formatCode="#,##0.000000"/>
    <numFmt numFmtId="187" formatCode="_-[$R$-416]\ * #,##0.00_-;\-[$R$-416]\ * #,##0.00_-;_-[$R$-416]\ * &quot;-&quot;??_-;_-@"/>
    <numFmt numFmtId="188" formatCode="_(* #,##0_);_(* \(#,##0\);_(* &quot;-&quot;??_);_(@_)"/>
    <numFmt numFmtId="189" formatCode="_(&quot;R$ &quot;* #,##0.00_);_(&quot;R$ &quot;* \(#,##0.00\);_(&quot;R$ &quot;* &quot;-&quot;??_);_(@_)"/>
    <numFmt numFmtId="190" formatCode="_-* #,##0.00_-;\-* #,##0.00_-;_-* &quot;-&quot;??_-;_-@"/>
    <numFmt numFmtId="191" formatCode="&quot;CNPJ:  &quot;00&quot;.&quot;000&quot;.&quot;000&quot;/&quot;0000&quot;-&quot;00"/>
    <numFmt numFmtId="192" formatCode="@&quot; - MT&quot;"/>
    <numFmt numFmtId="193" formatCode="00&quot;º &quot;00&quot;' &quot;00.0&quot;''&quot;"/>
    <numFmt numFmtId="194" formatCode="00&quot;.&quot;000&quot;.&quot;000&quot;/&quot;0000&quot;-&quot;00"/>
    <numFmt numFmtId="195" formatCode="0&quot;ª&quot;"/>
    <numFmt numFmtId="196" formatCode="dd/mm/yy;@"/>
    <numFmt numFmtId="197" formatCode="00&quot;  dias&quot;"/>
    <numFmt numFmtId="198" formatCode="#,##0&quot;  dias&quot;"/>
    <numFmt numFmtId="199" formatCode="&quot;R$ &quot;#,##0.00"/>
    <numFmt numFmtId="200" formatCode="&quot;R$&quot;#,##0.00_);\(&quot;R$&quot;#,##0.00\)"/>
    <numFmt numFmtId="201" formatCode="_-[$R$-416]* #,##0.00_-;\-[$R$-416]* #,##0.00_-;_-[$R$-416]* &quot;-&quot;??_-;_-@_-"/>
    <numFmt numFmtId="202" formatCode="&quot;Cr$&quot;#,##0_);\(&quot;Cr$&quot;#,##0\)"/>
    <numFmt numFmtId="203" formatCode="#,#00&quot;  dias&quot;"/>
    <numFmt numFmtId="204" formatCode="0.00000%"/>
    <numFmt numFmtId="205" formatCode="0.000%"/>
    <numFmt numFmtId="206" formatCode="_-&quot;R$&quot;\ * #,##0.00000_-;\-&quot;R$&quot;\ * #,##0.00000_-;_-&quot;R$&quot;\ * &quot;-&quot;?????_-;_-@_-"/>
    <numFmt numFmtId="207" formatCode="_-&quot;R$&quot;* #,##0.0_-;\-&quot;R$&quot;* #,##0.0_-;_-&quot;R$&quot;* &quot;-&quot;??_-;_-@_-"/>
    <numFmt numFmtId="208" formatCode="_-&quot;R$&quot;\ * #,##0.000000_-;\-&quot;R$&quot;\ * #,##0.000000_-;_-&quot;R$&quot;\ * &quot;-&quot;??_-;_-@_-"/>
    <numFmt numFmtId="209" formatCode="0.0%"/>
    <numFmt numFmtId="210" formatCode="0.0000%"/>
  </numFmts>
  <fonts count="250">
    <font>
      <sz val="10"/>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4"/>
      <color rgb="FF274E13"/>
      <name val="Calibri"/>
      <family val="2"/>
    </font>
    <font>
      <b/>
      <sz val="10"/>
      <color rgb="FF073763"/>
      <name val="Calibri"/>
      <family val="2"/>
    </font>
    <font>
      <sz val="10"/>
      <color theme="1"/>
      <name val="Calibri"/>
      <family val="2"/>
    </font>
    <font>
      <sz val="10"/>
      <color theme="1"/>
      <name val="Arial"/>
      <family val="2"/>
    </font>
    <font>
      <sz val="10"/>
      <color theme="1"/>
      <name val="Calibri"/>
      <family val="2"/>
    </font>
    <font>
      <b/>
      <sz val="37"/>
      <color rgb="FFFFFFFF"/>
      <name val="Molengo"/>
    </font>
    <font>
      <sz val="10"/>
      <name val="Arial"/>
      <family val="2"/>
    </font>
    <font>
      <b/>
      <sz val="39"/>
      <color theme="1"/>
      <name val="Molengo"/>
    </font>
    <font>
      <b/>
      <sz val="14"/>
      <color rgb="FF000000"/>
      <name val="Molengo"/>
    </font>
    <font>
      <b/>
      <sz val="12"/>
      <color rgb="FF434343"/>
      <name val="Trebuchet MS"/>
      <family val="2"/>
    </font>
    <font>
      <sz val="10"/>
      <color theme="1"/>
      <name val="Molengo"/>
    </font>
    <font>
      <b/>
      <sz val="12"/>
      <color rgb="FF000000"/>
      <name val="Trebuchet MS"/>
      <family val="2"/>
    </font>
    <font>
      <sz val="10"/>
      <color rgb="FF000000"/>
      <name val="Molengo"/>
    </font>
    <font>
      <b/>
      <sz val="13"/>
      <color rgb="FF000000"/>
      <name val="Arial"/>
      <family val="2"/>
    </font>
    <font>
      <b/>
      <sz val="15"/>
      <color rgb="FF000000"/>
      <name val="Arial"/>
      <family val="2"/>
    </font>
    <font>
      <b/>
      <sz val="15"/>
      <color rgb="FF000000"/>
      <name val="Molengo"/>
    </font>
    <font>
      <b/>
      <sz val="31"/>
      <color rgb="FF1F1F1F"/>
      <name val="Calibri"/>
      <family val="2"/>
    </font>
    <font>
      <sz val="12"/>
      <color theme="1"/>
      <name val="Calibri"/>
      <family val="2"/>
    </font>
    <font>
      <b/>
      <sz val="11"/>
      <color theme="1"/>
      <name val="Calibri"/>
      <family val="2"/>
    </font>
    <font>
      <sz val="11"/>
      <color theme="1"/>
      <name val="Calibri"/>
      <family val="2"/>
    </font>
    <font>
      <b/>
      <sz val="12"/>
      <color theme="1"/>
      <name val="Calibri"/>
      <family val="2"/>
    </font>
    <font>
      <sz val="12"/>
      <color rgb="FF000000"/>
      <name val="Docs-Calibri"/>
    </font>
    <font>
      <sz val="12"/>
      <color rgb="FF000000"/>
      <name val="Calibri"/>
      <family val="2"/>
    </font>
    <font>
      <sz val="18"/>
      <color rgb="FFFF0000"/>
      <name val="Calibri"/>
      <family val="2"/>
    </font>
    <font>
      <b/>
      <sz val="10"/>
      <color theme="1"/>
      <name val="Calibri"/>
      <family val="2"/>
    </font>
    <font>
      <b/>
      <sz val="35"/>
      <color rgb="FF1F1F1F"/>
      <name val="Calibri"/>
      <family val="2"/>
    </font>
    <font>
      <sz val="14"/>
      <color theme="1"/>
      <name val="Calibri"/>
      <family val="2"/>
    </font>
    <font>
      <sz val="15"/>
      <color theme="1"/>
      <name val="Calibri"/>
      <family val="2"/>
    </font>
    <font>
      <i/>
      <sz val="14"/>
      <color theme="1"/>
      <name val="Calibri"/>
      <family val="2"/>
    </font>
    <font>
      <b/>
      <sz val="12"/>
      <color rgb="FFFFFFFF"/>
      <name val="Calibri"/>
      <family val="2"/>
    </font>
    <font>
      <b/>
      <sz val="12"/>
      <color rgb="FF000000"/>
      <name val="Calibri"/>
      <family val="2"/>
    </font>
    <font>
      <i/>
      <sz val="9"/>
      <color theme="1"/>
      <name val="Calibri"/>
      <family val="2"/>
    </font>
    <font>
      <sz val="13"/>
      <color theme="1"/>
      <name val="Calibri"/>
      <family val="2"/>
    </font>
    <font>
      <b/>
      <sz val="10"/>
      <color theme="1"/>
      <name val="Calibri"/>
      <family val="2"/>
    </font>
    <font>
      <b/>
      <sz val="16"/>
      <color rgb="FFFFFFFF"/>
      <name val="Calibri"/>
      <family val="2"/>
    </font>
    <font>
      <sz val="11"/>
      <color rgb="FFD9EAD3"/>
      <name val="Calibri"/>
      <family val="2"/>
    </font>
    <font>
      <b/>
      <sz val="13"/>
      <color theme="1"/>
      <name val="Calibri"/>
      <family val="2"/>
    </font>
    <font>
      <sz val="13"/>
      <color rgb="FF000000"/>
      <name val="Calibri"/>
      <family val="2"/>
    </font>
    <font>
      <b/>
      <sz val="10"/>
      <color rgb="FF000000"/>
      <name val="Calibri"/>
      <family val="2"/>
    </font>
    <font>
      <sz val="15"/>
      <color rgb="FFFF0000"/>
      <name val="Calibri"/>
      <family val="2"/>
    </font>
    <font>
      <sz val="10"/>
      <color rgb="FF000000"/>
      <name val="Calibri"/>
      <family val="2"/>
    </font>
    <font>
      <sz val="10"/>
      <color theme="1"/>
      <name val="Arial"/>
      <family val="2"/>
      <scheme val="minor"/>
    </font>
    <font>
      <b/>
      <sz val="14"/>
      <color theme="1"/>
      <name val="Calibri"/>
      <family val="2"/>
    </font>
    <font>
      <strike/>
      <sz val="11"/>
      <color rgb="FFFFFFFF"/>
      <name val="Calibri"/>
      <family val="2"/>
    </font>
    <font>
      <b/>
      <sz val="9"/>
      <color theme="1"/>
      <name val="Calibri"/>
      <family val="2"/>
    </font>
    <font>
      <i/>
      <sz val="10"/>
      <color theme="1"/>
      <name val="Calibri"/>
      <family val="2"/>
    </font>
    <font>
      <b/>
      <sz val="14"/>
      <color rgb="FFFFFFFF"/>
      <name val="Calibri"/>
      <family val="2"/>
    </font>
    <font>
      <b/>
      <sz val="11"/>
      <color theme="1"/>
      <name val="Google Sans"/>
    </font>
    <font>
      <sz val="11"/>
      <color rgb="FFFFFF00"/>
      <name val="Calibri"/>
      <family val="2"/>
    </font>
    <font>
      <b/>
      <sz val="10"/>
      <color theme="1"/>
      <name val="Arial"/>
      <family val="2"/>
    </font>
    <font>
      <b/>
      <sz val="10"/>
      <color rgb="FFFFFF00"/>
      <name val="Calibri"/>
      <family val="2"/>
    </font>
    <font>
      <b/>
      <sz val="11"/>
      <color rgb="FFFFFFFF"/>
      <name val="Calibri"/>
      <family val="2"/>
    </font>
    <font>
      <b/>
      <sz val="10"/>
      <color rgb="FFFFFFFF"/>
      <name val="Calibri"/>
      <family val="2"/>
    </font>
    <font>
      <b/>
      <sz val="12"/>
      <color rgb="FFFF0000"/>
      <name val="Calibri"/>
      <family val="2"/>
    </font>
    <font>
      <b/>
      <sz val="10"/>
      <color rgb="FF000000"/>
      <name val="Calibri"/>
      <family val="2"/>
    </font>
    <font>
      <b/>
      <sz val="15"/>
      <color rgb="FF073763"/>
      <name val="Calibri"/>
      <family val="2"/>
    </font>
    <font>
      <b/>
      <sz val="10"/>
      <color rgb="FF6AA84F"/>
      <name val="Calibri"/>
      <family val="2"/>
    </font>
    <font>
      <sz val="10"/>
      <color rgb="FF6AA84F"/>
      <name val="Calibri"/>
      <family val="2"/>
    </font>
    <font>
      <i/>
      <sz val="10"/>
      <color rgb="FF5B0F00"/>
      <name val="Calibri"/>
      <family val="2"/>
    </font>
    <font>
      <i/>
      <sz val="10"/>
      <color rgb="FF85200C"/>
      <name val="Calibri"/>
      <family val="2"/>
    </font>
    <font>
      <b/>
      <sz val="10"/>
      <color rgb="FF6AA84F"/>
      <name val="Calibri"/>
      <family val="2"/>
    </font>
    <font>
      <i/>
      <sz val="10"/>
      <color rgb="FF5B0F00"/>
      <name val="Calibri"/>
      <family val="2"/>
    </font>
    <font>
      <b/>
      <sz val="11"/>
      <color rgb="FF38761D"/>
      <name val="Calibri"/>
      <family val="2"/>
    </font>
    <font>
      <sz val="10"/>
      <color theme="1"/>
      <name val="Arial"/>
      <family val="2"/>
      <scheme val="minor"/>
    </font>
    <font>
      <sz val="10"/>
      <color theme="1"/>
      <name val="Arial"/>
      <family val="2"/>
    </font>
    <font>
      <sz val="10"/>
      <color rgb="FF000000"/>
      <name val="Calibri"/>
      <family val="2"/>
    </font>
    <font>
      <i/>
      <sz val="10"/>
      <color rgb="FF85200C"/>
      <name val="Calibri"/>
      <family val="2"/>
    </font>
    <font>
      <i/>
      <sz val="10"/>
      <color rgb="FF38761D"/>
      <name val="Calibri"/>
      <family val="2"/>
    </font>
    <font>
      <sz val="10"/>
      <color rgb="FF6AA84F"/>
      <name val="Arial"/>
      <family val="2"/>
    </font>
    <font>
      <sz val="10"/>
      <color rgb="FF6AA84F"/>
      <name val="Calibri"/>
      <family val="2"/>
    </font>
    <font>
      <b/>
      <sz val="10"/>
      <color rgb="FF38761D"/>
      <name val="Calibri"/>
      <family val="2"/>
    </font>
    <font>
      <i/>
      <sz val="10"/>
      <color rgb="FF38761D"/>
      <name val="Calibri"/>
      <family val="2"/>
    </font>
    <font>
      <i/>
      <sz val="10"/>
      <color theme="1"/>
      <name val="Calibri"/>
      <family val="2"/>
    </font>
    <font>
      <sz val="10"/>
      <color rgb="FF6AA84F"/>
      <name val="Arial"/>
      <family val="2"/>
      <scheme val="minor"/>
    </font>
    <font>
      <b/>
      <sz val="17"/>
      <color rgb="FFFFFFFF"/>
      <name val="Calibri"/>
      <family val="2"/>
    </font>
    <font>
      <b/>
      <sz val="18"/>
      <color rgb="FFFFFFFF"/>
      <name val="Calibri"/>
      <family val="2"/>
    </font>
    <font>
      <sz val="18"/>
      <color theme="1"/>
      <name val="Calibri"/>
      <family val="2"/>
    </font>
    <font>
      <b/>
      <sz val="10"/>
      <color rgb="FF0B5394"/>
      <name val="Calibri"/>
      <family val="2"/>
    </font>
    <font>
      <b/>
      <sz val="15"/>
      <color rgb="FFFF0000"/>
      <name val="Calibri"/>
      <family val="2"/>
    </font>
    <font>
      <b/>
      <sz val="13"/>
      <color rgb="FFFFFFFF"/>
      <name val="Calibri"/>
      <family val="2"/>
    </font>
    <font>
      <b/>
      <sz val="10"/>
      <color rgb="FF9900FF"/>
      <name val="Calibri"/>
      <family val="2"/>
    </font>
    <font>
      <sz val="10"/>
      <color rgb="FF9900FF"/>
      <name val="Calibri"/>
      <family val="2"/>
    </font>
    <font>
      <b/>
      <sz val="10"/>
      <color rgb="FF1F1F1F"/>
      <name val="Calibri"/>
      <family val="2"/>
    </font>
    <font>
      <sz val="11"/>
      <color theme="1"/>
      <name val="Arial"/>
      <family val="2"/>
    </font>
    <font>
      <sz val="10"/>
      <color rgb="FFFBE4D5"/>
      <name val="Calibri"/>
      <family val="2"/>
    </font>
    <font>
      <sz val="10"/>
      <color rgb="FFFEF2CB"/>
      <name val="Calibri"/>
      <family val="2"/>
    </font>
    <font>
      <sz val="10"/>
      <color rgb="FFE2EFD9"/>
      <name val="Calibri"/>
      <family val="2"/>
    </font>
    <font>
      <b/>
      <sz val="11"/>
      <color rgb="FF0000FF"/>
      <name val="Calibri"/>
      <family val="2"/>
    </font>
    <font>
      <b/>
      <sz val="12"/>
      <color rgb="FF0000FF"/>
      <name val="Calibri"/>
      <family val="2"/>
    </font>
    <font>
      <b/>
      <sz val="12"/>
      <color rgb="FFCC0000"/>
      <name val="Calibri"/>
      <family val="2"/>
    </font>
    <font>
      <sz val="11"/>
      <color rgb="FFFFFFFF"/>
      <name val="Calibri"/>
      <family val="2"/>
    </font>
    <font>
      <sz val="16"/>
      <color theme="1"/>
      <name val="Calibri"/>
      <family val="2"/>
    </font>
    <font>
      <b/>
      <sz val="16"/>
      <color theme="1"/>
      <name val="Calibri"/>
      <family val="2"/>
    </font>
    <font>
      <b/>
      <sz val="16"/>
      <color rgb="FF0000FF"/>
      <name val="Calibri"/>
      <family val="2"/>
    </font>
    <font>
      <b/>
      <i/>
      <u/>
      <sz val="11"/>
      <color theme="1"/>
      <name val="Calibri"/>
      <family val="2"/>
    </font>
    <font>
      <b/>
      <i/>
      <u/>
      <sz val="11"/>
      <color theme="1"/>
      <name val="Calibri"/>
      <family val="2"/>
    </font>
    <font>
      <b/>
      <i/>
      <u/>
      <sz val="11"/>
      <color rgb="FFFFFFFF"/>
      <name val="Calibri"/>
      <family val="2"/>
    </font>
    <font>
      <b/>
      <i/>
      <sz val="11"/>
      <color theme="1"/>
      <name val="Calibri"/>
      <family val="2"/>
    </font>
    <font>
      <b/>
      <i/>
      <u/>
      <sz val="11"/>
      <color theme="1"/>
      <name val="Calibri"/>
      <family val="2"/>
    </font>
    <font>
      <b/>
      <sz val="10"/>
      <color theme="0"/>
      <name val="Calibri"/>
      <family val="2"/>
    </font>
    <font>
      <sz val="10"/>
      <color theme="0"/>
      <name val="Calibri"/>
      <family val="2"/>
    </font>
    <font>
      <u/>
      <sz val="10"/>
      <color rgb="FF0000FF"/>
      <name val="Calibri"/>
      <family val="2"/>
    </font>
    <font>
      <u/>
      <sz val="10"/>
      <color rgb="FF0000FF"/>
      <name val="Calibri"/>
      <family val="2"/>
    </font>
    <font>
      <b/>
      <sz val="16"/>
      <color rgb="FFD9EAD3"/>
      <name val="Calibri"/>
      <family val="2"/>
    </font>
    <font>
      <sz val="10"/>
      <color rgb="FFFF0000"/>
      <name val="Calibri"/>
      <family val="2"/>
    </font>
    <font>
      <b/>
      <i/>
      <sz val="10"/>
      <color theme="1"/>
      <name val="Calibri"/>
      <family val="2"/>
    </font>
    <font>
      <i/>
      <sz val="10"/>
      <color theme="1"/>
      <name val="Arial"/>
      <family val="2"/>
      <scheme val="minor"/>
    </font>
    <font>
      <i/>
      <sz val="10"/>
      <color rgb="FF000000"/>
      <name val="Calibri"/>
      <family val="2"/>
    </font>
    <font>
      <b/>
      <i/>
      <sz val="10"/>
      <color rgb="FF000000"/>
      <name val="Calibri"/>
      <family val="2"/>
    </font>
    <font>
      <b/>
      <sz val="10"/>
      <color rgb="FF1C4587"/>
      <name val="Lexend"/>
    </font>
    <font>
      <sz val="11"/>
      <color rgb="FF000000"/>
      <name val="Calibri"/>
      <family val="2"/>
    </font>
    <font>
      <sz val="10"/>
      <color rgb="FF38761D"/>
      <name val="Calibri"/>
      <family val="2"/>
    </font>
    <font>
      <sz val="10"/>
      <color rgb="FF38761D"/>
      <name val="Calibri"/>
      <family val="2"/>
    </font>
    <font>
      <sz val="10"/>
      <color rgb="FFFF0000"/>
      <name val="Calibri"/>
      <family val="2"/>
    </font>
    <font>
      <b/>
      <sz val="12"/>
      <color rgb="FF38761D"/>
      <name val="Calibri"/>
      <family val="2"/>
    </font>
    <font>
      <b/>
      <sz val="13"/>
      <color rgb="FF38761D"/>
      <name val="Calibri"/>
      <family val="2"/>
    </font>
    <font>
      <sz val="10"/>
      <color rgb="FFFFFFFF"/>
      <name val="Calibri"/>
      <family val="2"/>
    </font>
    <font>
      <b/>
      <sz val="10"/>
      <color theme="1"/>
      <name val="Lexend"/>
    </font>
    <font>
      <b/>
      <sz val="10"/>
      <color rgb="FF1C4587"/>
      <name val="Calibri"/>
      <family val="2"/>
    </font>
    <font>
      <b/>
      <sz val="10"/>
      <color theme="1"/>
      <name val="Arial"/>
      <family val="2"/>
    </font>
    <font>
      <b/>
      <sz val="10"/>
      <color rgb="FF000000"/>
      <name val="Arial"/>
      <family val="2"/>
    </font>
    <font>
      <b/>
      <sz val="10"/>
      <color rgb="FF351C75"/>
      <name val="Google Sans"/>
    </font>
    <font>
      <b/>
      <sz val="17"/>
      <color rgb="FF351C75"/>
      <name val="Lexend"/>
    </font>
    <font>
      <b/>
      <sz val="15"/>
      <color rgb="FF38761D"/>
      <name val="Calibri"/>
      <family val="2"/>
    </font>
    <font>
      <b/>
      <sz val="14"/>
      <color rgb="FF38761D"/>
      <name val="Calibri"/>
      <family val="2"/>
    </font>
    <font>
      <sz val="12"/>
      <color rgb="FFFF0000"/>
      <name val="Calibri"/>
      <family val="2"/>
    </font>
    <font>
      <sz val="16"/>
      <color rgb="FFFF0000"/>
      <name val="Calibri"/>
      <family val="2"/>
    </font>
    <font>
      <b/>
      <i/>
      <sz val="10"/>
      <color theme="1"/>
      <name val="Calibri"/>
      <family val="2"/>
    </font>
    <font>
      <b/>
      <sz val="10"/>
      <color rgb="FF38761D"/>
      <name val="Google Sans"/>
    </font>
    <font>
      <b/>
      <sz val="10"/>
      <color rgb="FF38761D"/>
      <name val="Lexend"/>
    </font>
    <font>
      <b/>
      <sz val="16"/>
      <color rgb="FF38761D"/>
      <name val="Lexend"/>
    </font>
    <font>
      <b/>
      <sz val="10"/>
      <color rgb="FF1C4587"/>
      <name val="Lexend"/>
    </font>
    <font>
      <b/>
      <sz val="10"/>
      <color rgb="FFCC4125"/>
      <name val="Google Sans"/>
    </font>
    <font>
      <b/>
      <sz val="10"/>
      <color rgb="FFCC4125"/>
      <name val="Calibri"/>
      <family val="2"/>
    </font>
    <font>
      <b/>
      <sz val="18"/>
      <color rgb="FFCC4125"/>
      <name val="Calibri"/>
      <family val="2"/>
    </font>
    <font>
      <b/>
      <sz val="10"/>
      <color rgb="FFA61C00"/>
      <name val="Google Sans"/>
    </font>
    <font>
      <b/>
      <sz val="12"/>
      <color rgb="FFA61C00"/>
      <name val="Calibri"/>
      <family val="2"/>
    </font>
    <font>
      <b/>
      <sz val="22"/>
      <color rgb="FFA61C00"/>
      <name val="Calibri"/>
      <family val="2"/>
    </font>
    <font>
      <b/>
      <sz val="14"/>
      <color rgb="FFFF00FF"/>
      <name val="Calibri"/>
      <family val="2"/>
    </font>
    <font>
      <b/>
      <sz val="13"/>
      <color rgb="FFFF00FF"/>
      <name val="Calibri"/>
      <family val="2"/>
    </font>
    <font>
      <b/>
      <sz val="21"/>
      <color rgb="FF1F1F1F"/>
      <name val="Calibri"/>
      <family val="2"/>
    </font>
    <font>
      <sz val="12"/>
      <color rgb="FF000000"/>
      <name val="Calibri, Arial"/>
    </font>
    <font>
      <b/>
      <u/>
      <sz val="12"/>
      <color rgb="FF1155CC"/>
      <name val="Calibri, Arial"/>
    </font>
    <font>
      <b/>
      <sz val="15"/>
      <color theme="1"/>
      <name val="Calibri"/>
      <family val="2"/>
    </font>
    <font>
      <b/>
      <sz val="13"/>
      <color rgb="FF000000"/>
      <name val="Calibri"/>
      <family val="2"/>
    </font>
    <font>
      <sz val="10"/>
      <color rgb="FF000000"/>
      <name val="docs-Calibri"/>
    </font>
    <font>
      <sz val="10"/>
      <color rgb="FF000000"/>
      <name val="Arial"/>
      <family val="2"/>
      <scheme val="minor"/>
    </font>
    <font>
      <b/>
      <sz val="12"/>
      <name val="Arial"/>
      <family val="2"/>
    </font>
    <font>
      <sz val="10"/>
      <name val="Calibri"/>
      <family val="2"/>
    </font>
    <font>
      <b/>
      <sz val="10"/>
      <name val="Calibri"/>
      <family val="2"/>
    </font>
    <font>
      <b/>
      <sz val="11"/>
      <name val="Calibri"/>
      <family val="2"/>
    </font>
    <font>
      <b/>
      <sz val="10"/>
      <color rgb="FF000000"/>
      <name val="Arial"/>
      <family val="2"/>
      <scheme val="minor"/>
    </font>
    <font>
      <b/>
      <sz val="10"/>
      <name val="Arial"/>
      <family val="2"/>
    </font>
    <font>
      <sz val="11"/>
      <name val="Arial"/>
      <family val="2"/>
    </font>
    <font>
      <sz val="10"/>
      <color rgb="FF0B5394"/>
      <name val="Calibri"/>
      <family val="2"/>
    </font>
    <font>
      <sz val="18"/>
      <name val="Arial"/>
      <family val="2"/>
    </font>
    <font>
      <sz val="18"/>
      <color rgb="FF000000"/>
      <name val="Arial"/>
      <family val="2"/>
      <scheme val="minor"/>
    </font>
    <font>
      <sz val="11"/>
      <color rgb="FFFF0000"/>
      <name val="Arial"/>
      <family val="2"/>
      <scheme val="minor"/>
    </font>
    <font>
      <b/>
      <sz val="11"/>
      <color theme="1"/>
      <name val="Arial"/>
      <family val="2"/>
      <scheme val="minor"/>
    </font>
    <font>
      <b/>
      <sz val="20"/>
      <name val="Verdana"/>
      <family val="2"/>
    </font>
    <font>
      <sz val="9"/>
      <name val="Arial"/>
      <family val="2"/>
    </font>
    <font>
      <b/>
      <sz val="14"/>
      <name val="Arial Black"/>
      <family val="2"/>
    </font>
    <font>
      <b/>
      <sz val="13"/>
      <name val="Verdana"/>
      <family val="2"/>
    </font>
    <font>
      <b/>
      <sz val="14"/>
      <name val="Verdana"/>
      <family val="2"/>
    </font>
    <font>
      <sz val="11"/>
      <name val="Arial"/>
      <family val="2"/>
      <scheme val="minor"/>
    </font>
    <font>
      <b/>
      <sz val="11"/>
      <name val="Arial"/>
      <family val="2"/>
      <scheme val="minor"/>
    </font>
    <font>
      <sz val="10"/>
      <name val="Arial Black"/>
      <family val="2"/>
    </font>
    <font>
      <b/>
      <sz val="10"/>
      <name val="Arial Black"/>
      <family val="2"/>
    </font>
    <font>
      <b/>
      <sz val="12"/>
      <name val="Verdana"/>
      <family val="2"/>
    </font>
    <font>
      <sz val="12"/>
      <name val="Verdana"/>
      <family val="2"/>
    </font>
    <font>
      <b/>
      <sz val="18"/>
      <name val="Verdana"/>
      <family val="2"/>
    </font>
    <font>
      <sz val="10"/>
      <name val="Arial"/>
      <family val="2"/>
      <scheme val="minor"/>
    </font>
    <font>
      <b/>
      <sz val="10"/>
      <name val="Arial"/>
      <family val="2"/>
      <scheme val="minor"/>
    </font>
    <font>
      <b/>
      <sz val="12"/>
      <name val="Arial"/>
      <family val="2"/>
      <scheme val="minor"/>
    </font>
    <font>
      <b/>
      <sz val="8"/>
      <name val="Arial"/>
      <family val="2"/>
      <scheme val="minor"/>
    </font>
    <font>
      <sz val="16"/>
      <color rgb="FF002060"/>
      <name val="Arial Black"/>
      <family val="2"/>
    </font>
    <font>
      <sz val="9"/>
      <color theme="1"/>
      <name val="Arial"/>
      <family val="2"/>
      <scheme val="minor"/>
    </font>
    <font>
      <b/>
      <sz val="11"/>
      <color theme="1"/>
      <name val="Arial Black"/>
      <family val="2"/>
    </font>
    <font>
      <b/>
      <sz val="12"/>
      <color rgb="FFFF0000"/>
      <name val="Arial"/>
      <family val="2"/>
      <scheme val="minor"/>
    </font>
    <font>
      <sz val="12"/>
      <name val="Arial"/>
      <family val="2"/>
      <scheme val="minor"/>
    </font>
    <font>
      <b/>
      <u/>
      <sz val="11"/>
      <color theme="1"/>
      <name val="Arial"/>
      <family val="2"/>
      <scheme val="minor"/>
    </font>
    <font>
      <b/>
      <sz val="13"/>
      <name val="Arial"/>
      <family val="2"/>
      <scheme val="minor"/>
    </font>
    <font>
      <b/>
      <sz val="12"/>
      <color theme="1"/>
      <name val="Arial"/>
      <family val="2"/>
      <scheme val="minor"/>
    </font>
    <font>
      <b/>
      <sz val="14"/>
      <color theme="1"/>
      <name val="Arial"/>
      <family val="2"/>
      <scheme val="minor"/>
    </font>
    <font>
      <b/>
      <sz val="7"/>
      <color theme="1"/>
      <name val="Arial Black"/>
      <family val="2"/>
    </font>
    <font>
      <sz val="8"/>
      <color theme="1"/>
      <name val="Arial Black"/>
      <family val="2"/>
    </font>
    <font>
      <b/>
      <sz val="11"/>
      <color rgb="FFFF0000"/>
      <name val="Arial"/>
      <family val="2"/>
      <scheme val="minor"/>
    </font>
    <font>
      <b/>
      <sz val="10"/>
      <color theme="1"/>
      <name val="Arial"/>
      <family val="2"/>
      <scheme val="minor"/>
    </font>
    <font>
      <sz val="7"/>
      <color theme="1"/>
      <name val="Arial Black"/>
      <family val="2"/>
    </font>
    <font>
      <sz val="11"/>
      <color theme="0" tint="-0.249977111117893"/>
      <name val="Arial"/>
      <family val="2"/>
      <scheme val="minor"/>
    </font>
    <font>
      <b/>
      <sz val="8"/>
      <color theme="0" tint="-0.249977111117893"/>
      <name val="Arial"/>
      <family val="2"/>
      <scheme val="minor"/>
    </font>
    <font>
      <sz val="8"/>
      <color theme="1"/>
      <name val="Arial"/>
      <family val="2"/>
      <scheme val="minor"/>
    </font>
    <font>
      <sz val="8"/>
      <color theme="0" tint="-0.249977111117893"/>
      <name val="Arial"/>
      <family val="2"/>
      <scheme val="minor"/>
    </font>
    <font>
      <sz val="8"/>
      <name val="Arial"/>
      <family val="2"/>
      <scheme val="minor"/>
    </font>
    <font>
      <sz val="9"/>
      <color theme="1"/>
      <name val="Arial Black"/>
      <family val="2"/>
    </font>
    <font>
      <b/>
      <sz val="9"/>
      <color theme="1"/>
      <name val="Arial"/>
      <family val="2"/>
      <scheme val="minor"/>
    </font>
    <font>
      <b/>
      <sz val="10"/>
      <color theme="1"/>
      <name val="Arial Black"/>
      <family val="2"/>
    </font>
    <font>
      <sz val="11"/>
      <color rgb="FFC00000"/>
      <name val="Arial Black"/>
      <family val="2"/>
    </font>
    <font>
      <b/>
      <sz val="12"/>
      <name val="Arial Black"/>
      <family val="2"/>
    </font>
    <font>
      <b/>
      <sz val="11"/>
      <name val="Arial Black"/>
      <family val="2"/>
    </font>
    <font>
      <sz val="9"/>
      <name val="Arial Black"/>
      <family val="2"/>
    </font>
    <font>
      <sz val="10"/>
      <color indexed="10"/>
      <name val="Arial"/>
      <family val="2"/>
      <scheme val="minor"/>
    </font>
    <font>
      <sz val="10"/>
      <color indexed="8"/>
      <name val="Arial"/>
      <family val="2"/>
      <scheme val="minor"/>
    </font>
    <font>
      <b/>
      <sz val="10"/>
      <color indexed="8"/>
      <name val="Arial"/>
      <family val="2"/>
      <scheme val="minor"/>
    </font>
    <font>
      <b/>
      <i/>
      <sz val="10"/>
      <color indexed="8"/>
      <name val="Arial"/>
      <family val="2"/>
      <scheme val="minor"/>
    </font>
    <font>
      <b/>
      <i/>
      <sz val="10"/>
      <name val="Arial"/>
      <family val="2"/>
      <scheme val="minor"/>
    </font>
    <font>
      <b/>
      <i/>
      <sz val="9"/>
      <name val="Arial"/>
      <family val="2"/>
      <scheme val="minor"/>
    </font>
    <font>
      <sz val="7.5"/>
      <name val="Arial"/>
      <family val="2"/>
      <scheme val="minor"/>
    </font>
    <font>
      <b/>
      <sz val="14"/>
      <name val="Arial"/>
      <family val="2"/>
    </font>
    <font>
      <b/>
      <sz val="9"/>
      <name val="Arial"/>
      <family val="2"/>
      <scheme val="minor"/>
    </font>
    <font>
      <sz val="9"/>
      <name val="Arial"/>
      <family val="2"/>
      <scheme val="minor"/>
    </font>
    <font>
      <b/>
      <u/>
      <sz val="9"/>
      <name val="Arial"/>
      <family val="2"/>
      <scheme val="minor"/>
    </font>
    <font>
      <b/>
      <sz val="11"/>
      <name val="Arial"/>
      <family val="2"/>
    </font>
    <font>
      <sz val="7"/>
      <name val="Arial Black"/>
      <family val="2"/>
    </font>
    <font>
      <sz val="8"/>
      <name val="Arial Black"/>
      <family val="2"/>
    </font>
    <font>
      <sz val="6"/>
      <name val="Arial Black"/>
      <family val="2"/>
    </font>
    <font>
      <sz val="8"/>
      <name val="Arial"/>
      <family val="2"/>
    </font>
    <font>
      <sz val="10"/>
      <color rgb="FF000000"/>
      <name val="Arial"/>
      <family val="2"/>
      <scheme val="minor"/>
    </font>
    <font>
      <b/>
      <sz val="12"/>
      <color rgb="FF1F1F1F"/>
      <name val="&quot;Google Sans&quot;"/>
    </font>
    <font>
      <sz val="12"/>
      <color theme="1"/>
      <name val="Arial"/>
      <family val="2"/>
    </font>
    <font>
      <b/>
      <sz val="12"/>
      <color theme="1"/>
      <name val="Arial"/>
      <family val="2"/>
    </font>
    <font>
      <i/>
      <sz val="12"/>
      <color theme="1"/>
      <name val="Arial"/>
      <family val="2"/>
    </font>
    <font>
      <b/>
      <sz val="11"/>
      <color theme="1"/>
      <name val="Arial"/>
      <family val="2"/>
    </font>
    <font>
      <sz val="13"/>
      <color theme="1"/>
      <name val="Arial"/>
      <family val="2"/>
    </font>
    <font>
      <b/>
      <sz val="11"/>
      <color rgb="FF000000"/>
      <name val="Calibri"/>
      <family val="2"/>
    </font>
    <font>
      <b/>
      <sz val="11"/>
      <color rgb="FF000000"/>
      <name val="Arial Black"/>
      <family val="2"/>
    </font>
    <font>
      <sz val="9"/>
      <color rgb="FF000000"/>
      <name val="Arial Black"/>
      <family val="2"/>
    </font>
    <font>
      <b/>
      <sz val="20"/>
      <color rgb="FF000000"/>
      <name val="Arial Black"/>
      <family val="2"/>
    </font>
    <font>
      <sz val="10"/>
      <color indexed="18"/>
      <name val="Arial Black"/>
      <family val="2"/>
    </font>
    <font>
      <sz val="10"/>
      <color rgb="FF000000"/>
      <name val="Times New Roman"/>
      <family val="1"/>
    </font>
    <font>
      <b/>
      <sz val="16"/>
      <name val="Arial"/>
      <family val="2"/>
      <scheme val="minor"/>
    </font>
    <font>
      <b/>
      <sz val="20"/>
      <name val="Arial"/>
      <family val="2"/>
      <scheme val="minor"/>
    </font>
    <font>
      <sz val="12"/>
      <name val="Times New Roman"/>
      <family val="1"/>
    </font>
    <font>
      <b/>
      <sz val="12"/>
      <color rgb="FF000000"/>
      <name val="Arial"/>
      <family val="2"/>
      <scheme val="minor"/>
    </font>
    <font>
      <b/>
      <sz val="18"/>
      <name val="Calibri"/>
      <family val="2"/>
    </font>
    <font>
      <b/>
      <sz val="12"/>
      <name val="Calibri"/>
      <family val="2"/>
    </font>
    <font>
      <sz val="10"/>
      <color rgb="FFFF0000"/>
      <name val="Arial"/>
      <family val="2"/>
      <scheme val="minor"/>
    </font>
    <font>
      <sz val="11"/>
      <name val="Calibri"/>
      <family val="2"/>
    </font>
    <font>
      <sz val="11"/>
      <color rgb="FF000000"/>
      <name val="Arial"/>
      <family val="2"/>
      <scheme val="minor"/>
    </font>
    <font>
      <b/>
      <sz val="11"/>
      <color theme="0"/>
      <name val="Calibri"/>
      <family val="2"/>
    </font>
    <font>
      <sz val="11"/>
      <color theme="0"/>
      <name val="Calibri"/>
      <family val="2"/>
    </font>
    <font>
      <b/>
      <sz val="14"/>
      <name val="Calibri"/>
      <family val="2"/>
    </font>
    <font>
      <b/>
      <sz val="9"/>
      <name val="Arial"/>
      <family val="2"/>
    </font>
    <font>
      <sz val="14"/>
      <name val="Arial"/>
      <family val="2"/>
      <scheme val="minor"/>
    </font>
  </fonts>
  <fills count="70">
    <fill>
      <patternFill patternType="none"/>
    </fill>
    <fill>
      <patternFill patternType="gray125"/>
    </fill>
    <fill>
      <patternFill patternType="solid">
        <fgColor rgb="FFD9EAD3"/>
        <bgColor rgb="FFD9EAD3"/>
      </patternFill>
    </fill>
    <fill>
      <patternFill patternType="solid">
        <fgColor rgb="FFCFE2F3"/>
        <bgColor rgb="FFCFE2F3"/>
      </patternFill>
    </fill>
    <fill>
      <patternFill patternType="solid">
        <fgColor rgb="FF6D9EEB"/>
        <bgColor rgb="FF6D9EEB"/>
      </patternFill>
    </fill>
    <fill>
      <patternFill patternType="solid">
        <fgColor rgb="FF002060"/>
        <bgColor rgb="FF002060"/>
      </patternFill>
    </fill>
    <fill>
      <patternFill patternType="solid">
        <fgColor rgb="FFFCE5CD"/>
        <bgColor rgb="FFFCE5CD"/>
      </patternFill>
    </fill>
    <fill>
      <patternFill patternType="solid">
        <fgColor rgb="FFB7B7B7"/>
        <bgColor rgb="FFB7B7B7"/>
      </patternFill>
    </fill>
    <fill>
      <patternFill patternType="solid">
        <fgColor rgb="FFF3F3F3"/>
        <bgColor rgb="FFF3F3F3"/>
      </patternFill>
    </fill>
    <fill>
      <patternFill patternType="solid">
        <fgColor rgb="FFD9D9D9"/>
        <bgColor rgb="FFD9D9D9"/>
      </patternFill>
    </fill>
    <fill>
      <patternFill patternType="solid">
        <fgColor rgb="FFFFFFFF"/>
        <bgColor rgb="FFFFFFFF"/>
      </patternFill>
    </fill>
    <fill>
      <patternFill patternType="solid">
        <fgColor rgb="FFFF0000"/>
        <bgColor rgb="FFFF0000"/>
      </patternFill>
    </fill>
    <fill>
      <patternFill patternType="solid">
        <fgColor rgb="FF9FC5E8"/>
        <bgColor rgb="FF9FC5E8"/>
      </patternFill>
    </fill>
    <fill>
      <patternFill patternType="solid">
        <fgColor rgb="FFD7D7D7"/>
        <bgColor rgb="FFD7D7D7"/>
      </patternFill>
    </fill>
    <fill>
      <patternFill patternType="solid">
        <fgColor rgb="FFF2F2F2"/>
        <bgColor rgb="FFF2F2F2"/>
      </patternFill>
    </fill>
    <fill>
      <patternFill patternType="solid">
        <fgColor rgb="FF043363"/>
        <bgColor rgb="FF043363"/>
      </patternFill>
    </fill>
    <fill>
      <patternFill patternType="solid">
        <fgColor rgb="FF999999"/>
        <bgColor rgb="FF999999"/>
      </patternFill>
    </fill>
    <fill>
      <patternFill patternType="solid">
        <fgColor rgb="FFA5A5A5"/>
        <bgColor rgb="FFA5A5A5"/>
      </patternFill>
    </fill>
    <fill>
      <patternFill patternType="solid">
        <fgColor rgb="FFFFF2CC"/>
        <bgColor rgb="FFFFF2CC"/>
      </patternFill>
    </fill>
    <fill>
      <patternFill patternType="solid">
        <fgColor rgb="FF073763"/>
        <bgColor rgb="FF073763"/>
      </patternFill>
    </fill>
    <fill>
      <patternFill patternType="solid">
        <fgColor rgb="FF6AA84F"/>
        <bgColor rgb="FF6AA84F"/>
      </patternFill>
    </fill>
    <fill>
      <patternFill patternType="solid">
        <fgColor theme="0"/>
        <bgColor theme="0"/>
      </patternFill>
    </fill>
    <fill>
      <patternFill patternType="solid">
        <fgColor rgb="FFC9DAF8"/>
        <bgColor rgb="FFC9DAF8"/>
      </patternFill>
    </fill>
    <fill>
      <patternFill patternType="solid">
        <fgColor rgb="FFFF9900"/>
        <bgColor rgb="FFFF9900"/>
      </patternFill>
    </fill>
    <fill>
      <patternFill patternType="solid">
        <fgColor rgb="FFD6D6D6"/>
        <bgColor rgb="FFD6D6D6"/>
      </patternFill>
    </fill>
    <fill>
      <patternFill patternType="solid">
        <fgColor rgb="FFD8D8D8"/>
        <bgColor rgb="FFD8D8D8"/>
      </patternFill>
    </fill>
    <fill>
      <patternFill patternType="solid">
        <fgColor rgb="FFB7E1CD"/>
        <bgColor rgb="FFB7E1CD"/>
      </patternFill>
    </fill>
    <fill>
      <patternFill patternType="solid">
        <fgColor rgb="FFCCCCCC"/>
        <bgColor rgb="FFCCCCCC"/>
      </patternFill>
    </fill>
    <fill>
      <patternFill patternType="solid">
        <fgColor rgb="FFFBE4D5"/>
        <bgColor rgb="FFFBE4D5"/>
      </patternFill>
    </fill>
    <fill>
      <patternFill patternType="solid">
        <fgColor rgb="FFFEF2CB"/>
        <bgColor rgb="FFFEF2CB"/>
      </patternFill>
    </fill>
    <fill>
      <patternFill patternType="solid">
        <fgColor rgb="FFE2EFD9"/>
        <bgColor rgb="FFE2EFD9"/>
      </patternFill>
    </fill>
    <fill>
      <patternFill patternType="solid">
        <fgColor rgb="FFFFFF99"/>
        <bgColor rgb="FFFFFF99"/>
      </patternFill>
    </fill>
    <fill>
      <patternFill patternType="solid">
        <fgColor rgb="FFBFBFBF"/>
        <bgColor rgb="FFBFBFBF"/>
      </patternFill>
    </fill>
    <fill>
      <patternFill patternType="solid">
        <fgColor rgb="FFB6DDE8"/>
        <bgColor rgb="FFB6DDE8"/>
      </patternFill>
    </fill>
    <fill>
      <patternFill patternType="solid">
        <fgColor rgb="FF0070C0"/>
        <bgColor rgb="FF0070C0"/>
      </patternFill>
    </fill>
    <fill>
      <patternFill patternType="solid">
        <fgColor rgb="FFD3E3FD"/>
        <bgColor rgb="FFD3E3FD"/>
      </patternFill>
    </fill>
    <fill>
      <patternFill patternType="solid">
        <fgColor rgb="FF92D050"/>
        <bgColor rgb="FF92D050"/>
      </patternFill>
    </fill>
    <fill>
      <patternFill patternType="solid">
        <fgColor rgb="FFF6B26B"/>
        <bgColor rgb="FFF6B26B"/>
      </patternFill>
    </fill>
    <fill>
      <patternFill patternType="solid">
        <fgColor rgb="FFD9D2E9"/>
        <bgColor rgb="FFD9D2E9"/>
      </patternFill>
    </fill>
    <fill>
      <patternFill patternType="solid">
        <fgColor rgb="FFFFFF00"/>
        <bgColor rgb="FFFFFF00"/>
      </patternFill>
    </fill>
    <fill>
      <patternFill patternType="solid">
        <fgColor rgb="FFB4A7D6"/>
        <bgColor rgb="FFB4A7D6"/>
      </patternFill>
    </fill>
    <fill>
      <patternFill patternType="solid">
        <fgColor rgb="FFEAD1DC"/>
        <bgColor rgb="FFEAD1DC"/>
      </patternFill>
    </fill>
    <fill>
      <patternFill patternType="solid">
        <fgColor rgb="FFF1C232"/>
        <bgColor rgb="FFF1C232"/>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0.14996795556505021"/>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bgColor rgb="FFFFFFFF"/>
      </patternFill>
    </fill>
    <fill>
      <patternFill patternType="solid">
        <fgColor theme="0"/>
        <bgColor rgb="FFD8D8D8"/>
      </patternFill>
    </fill>
    <fill>
      <patternFill patternType="solid">
        <fgColor theme="0"/>
        <bgColor rgb="FFD9D9D9"/>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9389629810485"/>
        <bgColor rgb="FF073763"/>
      </patternFill>
    </fill>
    <fill>
      <patternFill patternType="solid">
        <fgColor theme="8" tint="0.59999389629810485"/>
        <bgColor rgb="FFCFE2F3"/>
      </patternFill>
    </fill>
    <fill>
      <patternFill patternType="solid">
        <fgColor rgb="FF002060"/>
        <bgColor rgb="FF073763"/>
      </patternFill>
    </fill>
    <fill>
      <patternFill patternType="solid">
        <fgColor rgb="FF002060"/>
        <bgColor indexed="64"/>
      </patternFill>
    </fill>
    <fill>
      <patternFill patternType="solid">
        <fgColor theme="0" tint="-0.34998626667073579"/>
        <bgColor rgb="FFB7B7B7"/>
      </patternFill>
    </fill>
    <fill>
      <patternFill patternType="solid">
        <fgColor theme="0" tint="-0.34998626667073579"/>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rgb="FF073763"/>
      </patternFill>
    </fill>
    <fill>
      <patternFill patternType="solid">
        <fgColor theme="0" tint="-4.9989318521683403E-2"/>
        <bgColor rgb="FFFFFFFF"/>
      </patternFill>
    </fill>
    <fill>
      <patternFill patternType="solid">
        <fgColor theme="0" tint="-4.9989318521683403E-2"/>
        <bgColor rgb="FFF3F3F3"/>
      </patternFill>
    </fill>
  </fills>
  <borders count="49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CCCCCC"/>
      </left>
      <right/>
      <top/>
      <bottom/>
      <diagonal/>
    </border>
    <border>
      <left/>
      <right style="thin">
        <color rgb="FFCCCCCC"/>
      </right>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style="thin">
        <color rgb="FFCCCCCC"/>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style="dotted">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dotted">
        <color rgb="FF000000"/>
      </bottom>
      <diagonal/>
    </border>
    <border>
      <left/>
      <right/>
      <top/>
      <bottom style="dotted">
        <color rgb="FF000000"/>
      </bottom>
      <diagonal/>
    </border>
    <border>
      <left/>
      <right style="medium">
        <color rgb="FF000000"/>
      </right>
      <top/>
      <bottom style="dotted">
        <color rgb="FF000000"/>
      </bottom>
      <diagonal/>
    </border>
    <border>
      <left style="medium">
        <color rgb="FF000000"/>
      </left>
      <right style="dotted">
        <color rgb="FF000000"/>
      </right>
      <top/>
      <bottom style="medium">
        <color rgb="FF000000"/>
      </bottom>
      <diagonal/>
    </border>
    <border>
      <left/>
      <right style="dotted">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dotted">
        <color rgb="FF000000"/>
      </bottom>
      <diagonal/>
    </border>
    <border>
      <left/>
      <right/>
      <top style="medium">
        <color rgb="FF000000"/>
      </top>
      <bottom style="dotted">
        <color rgb="FF000000"/>
      </bottom>
      <diagonal/>
    </border>
    <border>
      <left/>
      <right style="medium">
        <color rgb="FF000000"/>
      </right>
      <top style="medium">
        <color rgb="FF000000"/>
      </top>
      <bottom style="dotted">
        <color rgb="FF000000"/>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style="dotted">
        <color rgb="FF000000"/>
      </right>
      <top/>
      <bottom/>
      <diagonal/>
    </border>
    <border>
      <left style="dotted">
        <color rgb="FF000000"/>
      </left>
      <right style="medium">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medium">
        <color rgb="FF000000"/>
      </left>
      <right style="dotted">
        <color rgb="FF000000"/>
      </right>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dotted">
        <color rgb="FF000000"/>
      </left>
      <right style="dotted">
        <color rgb="FF000000"/>
      </right>
      <top style="dotted">
        <color rgb="FF000000"/>
      </top>
      <bottom/>
      <diagonal/>
    </border>
    <border>
      <left style="dotted">
        <color rgb="FF000000"/>
      </left>
      <right style="medium">
        <color rgb="FF000000"/>
      </right>
      <top style="dotted">
        <color rgb="FF000000"/>
      </top>
      <bottom/>
      <diagonal/>
    </border>
    <border>
      <left style="medium">
        <color rgb="FF000000"/>
      </left>
      <right style="dotted">
        <color rgb="FF000000"/>
      </right>
      <top style="dotted">
        <color rgb="FF000000"/>
      </top>
      <bottom style="dotted">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right style="thin">
        <color rgb="FF000000"/>
      </right>
      <top/>
      <bottom style="medium">
        <color rgb="FF000000"/>
      </bottom>
      <diagonal/>
    </border>
    <border>
      <left style="medium">
        <color rgb="FF000000"/>
      </left>
      <right style="thin">
        <color rgb="FFB7B7B7"/>
      </right>
      <top style="medium">
        <color rgb="FF000000"/>
      </top>
      <bottom style="thin">
        <color rgb="FFB7B7B7"/>
      </bottom>
      <diagonal/>
    </border>
    <border>
      <left style="thin">
        <color rgb="FFB7B7B7"/>
      </left>
      <right/>
      <top style="medium">
        <color rgb="FF000000"/>
      </top>
      <bottom style="thin">
        <color rgb="FFB7B7B7"/>
      </bottom>
      <diagonal/>
    </border>
    <border>
      <left/>
      <right/>
      <top style="medium">
        <color rgb="FF000000"/>
      </top>
      <bottom style="thin">
        <color rgb="FFB7B7B7"/>
      </bottom>
      <diagonal/>
    </border>
    <border>
      <left/>
      <right style="thin">
        <color rgb="FFB7B7B7"/>
      </right>
      <top style="medium">
        <color rgb="FF000000"/>
      </top>
      <bottom style="thin">
        <color rgb="FFB7B7B7"/>
      </bottom>
      <diagonal/>
    </border>
    <border>
      <left style="thin">
        <color rgb="FFB7B7B7"/>
      </left>
      <right style="thin">
        <color rgb="FFB7B7B7"/>
      </right>
      <top style="medium">
        <color rgb="FF000000"/>
      </top>
      <bottom style="thin">
        <color rgb="FFB7B7B7"/>
      </bottom>
      <diagonal/>
    </border>
    <border>
      <left/>
      <right style="medium">
        <color rgb="FF000000"/>
      </right>
      <top style="medium">
        <color rgb="FF000000"/>
      </top>
      <bottom style="thin">
        <color rgb="FFB7B7B7"/>
      </bottom>
      <diagonal/>
    </border>
    <border>
      <left style="medium">
        <color rgb="FF000000"/>
      </left>
      <right style="thin">
        <color rgb="FFB7B7B7"/>
      </right>
      <top/>
      <bottom style="thin">
        <color rgb="FFB7B7B7"/>
      </bottom>
      <diagonal/>
    </border>
    <border>
      <left style="thin">
        <color rgb="FFB7B7B7"/>
      </left>
      <right/>
      <top/>
      <bottom style="thin">
        <color rgb="FFB7B7B7"/>
      </bottom>
      <diagonal/>
    </border>
    <border>
      <left/>
      <right/>
      <top/>
      <bottom style="thin">
        <color rgb="FFB7B7B7"/>
      </bottom>
      <diagonal/>
    </border>
    <border>
      <left/>
      <right style="thin">
        <color rgb="FFB7B7B7"/>
      </right>
      <top/>
      <bottom style="thin">
        <color rgb="FFB7B7B7"/>
      </bottom>
      <diagonal/>
    </border>
    <border>
      <left style="thin">
        <color rgb="FFB7B7B7"/>
      </left>
      <right style="thin">
        <color rgb="FFB7B7B7"/>
      </right>
      <top/>
      <bottom style="thin">
        <color rgb="FFB7B7B7"/>
      </bottom>
      <diagonal/>
    </border>
    <border>
      <left/>
      <right style="medium">
        <color rgb="FF000000"/>
      </right>
      <top/>
      <bottom style="thin">
        <color rgb="FFB7B7B7"/>
      </bottom>
      <diagonal/>
    </border>
    <border>
      <left style="medium">
        <color rgb="FF000000"/>
      </left>
      <right style="thin">
        <color rgb="FFB7B7B7"/>
      </right>
      <top/>
      <bottom/>
      <diagonal/>
    </border>
    <border>
      <left style="thin">
        <color rgb="FFB7B7B7"/>
      </left>
      <right/>
      <top/>
      <bottom/>
      <diagonal/>
    </border>
    <border>
      <left/>
      <right style="thin">
        <color rgb="FFB7B7B7"/>
      </right>
      <top/>
      <bottom/>
      <diagonal/>
    </border>
    <border>
      <left style="thin">
        <color rgb="FFB7B7B7"/>
      </left>
      <right style="thin">
        <color rgb="FFB7B7B7"/>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B7B7B7"/>
      </right>
      <top style="medium">
        <color rgb="FF000000"/>
      </top>
      <bottom style="thin">
        <color rgb="FF000000"/>
      </bottom>
      <diagonal/>
    </border>
    <border>
      <left/>
      <right style="thin">
        <color rgb="FFB7B7B7"/>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medium">
        <color rgb="FF000000"/>
      </bottom>
      <diagonal/>
    </border>
    <border>
      <left style="medium">
        <color rgb="FF000000"/>
      </left>
      <right style="thin">
        <color rgb="FFB7B7B7"/>
      </right>
      <top style="medium">
        <color rgb="FF000000"/>
      </top>
      <bottom/>
      <diagonal/>
    </border>
    <border>
      <left style="thin">
        <color rgb="FFB7B7B7"/>
      </left>
      <right style="thin">
        <color rgb="FFB7B7B7"/>
      </right>
      <top style="medium">
        <color rgb="FF000000"/>
      </top>
      <bottom/>
      <diagonal/>
    </border>
    <border>
      <left style="medium">
        <color rgb="FF000000"/>
      </left>
      <right style="thin">
        <color rgb="FFB7B7B7"/>
      </right>
      <top/>
      <bottom style="medium">
        <color rgb="FF000000"/>
      </bottom>
      <diagonal/>
    </border>
    <border>
      <left style="thin">
        <color rgb="FFB7B7B7"/>
      </left>
      <right style="thin">
        <color rgb="FFB7B7B7"/>
      </right>
      <top/>
      <bottom style="medium">
        <color rgb="FF000000"/>
      </bottom>
      <diagonal/>
    </border>
    <border>
      <left style="thin">
        <color rgb="FFB7B7B7"/>
      </left>
      <right style="thin">
        <color rgb="FFB7B7B7"/>
      </right>
      <top style="thin">
        <color rgb="FFB7B7B7"/>
      </top>
      <bottom style="medium">
        <color rgb="FF000000"/>
      </bottom>
      <diagonal/>
    </border>
    <border>
      <left style="thin">
        <color rgb="FFB7B7B7"/>
      </left>
      <right style="medium">
        <color rgb="FF000000"/>
      </right>
      <top style="thin">
        <color rgb="FFB7B7B7"/>
      </top>
      <bottom style="medium">
        <color rgb="FF000000"/>
      </bottom>
      <diagonal/>
    </border>
    <border>
      <left style="thin">
        <color rgb="FFB7B7B7"/>
      </left>
      <right style="medium">
        <color rgb="FF000000"/>
      </right>
      <top/>
      <bottom style="thin">
        <color rgb="FFB7B7B7"/>
      </bottom>
      <diagonal/>
    </border>
    <border>
      <left style="medium">
        <color rgb="FF000000"/>
      </left>
      <right style="thin">
        <color rgb="FFB7B7B7"/>
      </right>
      <top style="thin">
        <color rgb="FFB7B7B7"/>
      </top>
      <bottom style="thin">
        <color rgb="FFB7B7B7"/>
      </bottom>
      <diagonal/>
    </border>
    <border>
      <left style="thin">
        <color rgb="FFB7B7B7"/>
      </left>
      <right style="thin">
        <color rgb="FFB7B7B7"/>
      </right>
      <top style="thin">
        <color rgb="FFB7B7B7"/>
      </top>
      <bottom style="thin">
        <color rgb="FFB7B7B7"/>
      </bottom>
      <diagonal/>
    </border>
    <border>
      <left style="thin">
        <color rgb="FFB7B7B7"/>
      </left>
      <right style="medium">
        <color rgb="FF000000"/>
      </right>
      <top style="thin">
        <color rgb="FFB7B7B7"/>
      </top>
      <bottom style="thin">
        <color rgb="FFB7B7B7"/>
      </bottom>
      <diagonal/>
    </border>
    <border>
      <left style="medium">
        <color rgb="FF000000"/>
      </left>
      <right/>
      <top style="thin">
        <color rgb="FFB7B7B7"/>
      </top>
      <bottom style="thin">
        <color rgb="FFB7B7B7"/>
      </bottom>
      <diagonal/>
    </border>
    <border>
      <left/>
      <right/>
      <top style="thin">
        <color rgb="FFB7B7B7"/>
      </top>
      <bottom style="thin">
        <color rgb="FFB7B7B7"/>
      </bottom>
      <diagonal/>
    </border>
    <border>
      <left/>
      <right style="thin">
        <color rgb="FFB7B7B7"/>
      </right>
      <top style="thin">
        <color rgb="FFB7B7B7"/>
      </top>
      <bottom style="thin">
        <color rgb="FFB7B7B7"/>
      </bottom>
      <diagonal/>
    </border>
    <border>
      <left style="medium">
        <color rgb="FF000000"/>
      </left>
      <right/>
      <top style="thin">
        <color rgb="FFB7B7B7"/>
      </top>
      <bottom style="medium">
        <color rgb="FF000000"/>
      </bottom>
      <diagonal/>
    </border>
    <border>
      <left/>
      <right style="thin">
        <color rgb="FFB7B7B7"/>
      </right>
      <top style="thin">
        <color rgb="FFB7B7B7"/>
      </top>
      <bottom style="medium">
        <color rgb="FF000000"/>
      </bottom>
      <diagonal/>
    </border>
    <border>
      <left style="thin">
        <color rgb="FFB7B7B7"/>
      </left>
      <right/>
      <top style="thin">
        <color rgb="FFB7B7B7"/>
      </top>
      <bottom style="thin">
        <color rgb="FFB7B7B7"/>
      </bottom>
      <diagonal/>
    </border>
    <border>
      <left/>
      <right style="medium">
        <color rgb="FF000000"/>
      </right>
      <top style="thin">
        <color rgb="FFB7B7B7"/>
      </top>
      <bottom style="thin">
        <color rgb="FFB7B7B7"/>
      </bottom>
      <diagonal/>
    </border>
    <border>
      <left style="medium">
        <color rgb="FF000000"/>
      </left>
      <right style="thin">
        <color rgb="FFB7B7B7"/>
      </right>
      <top style="thin">
        <color rgb="FFB7B7B7"/>
      </top>
      <bottom/>
      <diagonal/>
    </border>
    <border>
      <left style="thin">
        <color rgb="FFB7B7B7"/>
      </left>
      <right/>
      <top style="thin">
        <color rgb="FFB7B7B7"/>
      </top>
      <bottom/>
      <diagonal/>
    </border>
    <border>
      <left/>
      <right/>
      <top style="thin">
        <color rgb="FFB7B7B7"/>
      </top>
      <bottom/>
      <diagonal/>
    </border>
    <border>
      <left/>
      <right style="thin">
        <color rgb="FFB7B7B7"/>
      </right>
      <top style="thin">
        <color rgb="FFB7B7B7"/>
      </top>
      <bottom/>
      <diagonal/>
    </border>
    <border>
      <left style="thin">
        <color rgb="FFB7B7B7"/>
      </left>
      <right style="thin">
        <color rgb="FFB7B7B7"/>
      </right>
      <top style="thin">
        <color rgb="FFB7B7B7"/>
      </top>
      <bottom/>
      <diagonal/>
    </border>
    <border>
      <left style="medium">
        <color rgb="FF000000"/>
      </left>
      <right/>
      <top/>
      <bottom style="thin">
        <color rgb="FFB7B7B7"/>
      </bottom>
      <diagonal/>
    </border>
    <border>
      <left style="medium">
        <color rgb="FF000000"/>
      </left>
      <right style="thin">
        <color rgb="FFCCCCCC"/>
      </right>
      <top style="thin">
        <color rgb="FFCCCCCC"/>
      </top>
      <bottom style="thin">
        <color rgb="FFCCCCCC"/>
      </bottom>
      <diagonal/>
    </border>
    <border>
      <left style="thin">
        <color rgb="FFCCCCCC"/>
      </left>
      <right style="medium">
        <color rgb="FF000000"/>
      </right>
      <top style="thin">
        <color rgb="FFCCCCCC"/>
      </top>
      <bottom style="thin">
        <color rgb="FFCCCCCC"/>
      </bottom>
      <diagonal/>
    </border>
    <border>
      <left style="thin">
        <color rgb="FFD9D9D9"/>
      </left>
      <right style="thin">
        <color rgb="FFD9D9D9"/>
      </right>
      <top style="thin">
        <color rgb="FFD9D9D9"/>
      </top>
      <bottom style="thin">
        <color rgb="FFD9D9D9"/>
      </bottom>
      <diagonal/>
    </border>
    <border>
      <left/>
      <right style="thin">
        <color rgb="FFD9D9D9"/>
      </right>
      <top style="thin">
        <color rgb="FFD9D9D9"/>
      </top>
      <bottom style="thin">
        <color rgb="FFD9D9D9"/>
      </bottom>
      <diagonal/>
    </border>
    <border>
      <left style="thin">
        <color rgb="FFD9D9D9"/>
      </left>
      <right style="medium">
        <color rgb="FF000000"/>
      </right>
      <top style="thin">
        <color rgb="FFD9D9D9"/>
      </top>
      <bottom style="thin">
        <color rgb="FFD9D9D9"/>
      </bottom>
      <diagonal/>
    </border>
    <border>
      <left style="medium">
        <color rgb="FF000000"/>
      </left>
      <right/>
      <top style="medium">
        <color rgb="FF000000"/>
      </top>
      <bottom style="thin">
        <color rgb="FFB7B7B7"/>
      </bottom>
      <diagonal/>
    </border>
    <border>
      <left style="thin">
        <color rgb="FF666666"/>
      </left>
      <right/>
      <top style="medium">
        <color rgb="FF000000"/>
      </top>
      <bottom style="thin">
        <color rgb="FF666666"/>
      </bottom>
      <diagonal/>
    </border>
    <border>
      <left/>
      <right/>
      <top style="medium">
        <color rgb="FF000000"/>
      </top>
      <bottom style="thin">
        <color rgb="FF666666"/>
      </bottom>
      <diagonal/>
    </border>
    <border>
      <left/>
      <right style="medium">
        <color rgb="FF000000"/>
      </right>
      <top style="medium">
        <color rgb="FF000000"/>
      </top>
      <bottom style="thin">
        <color rgb="FF666666"/>
      </bottom>
      <diagonal/>
    </border>
    <border>
      <left style="thin">
        <color rgb="FF666666"/>
      </left>
      <right/>
      <top style="thin">
        <color rgb="FF666666"/>
      </top>
      <bottom style="thin">
        <color rgb="FF666666"/>
      </bottom>
      <diagonal/>
    </border>
    <border>
      <left/>
      <right/>
      <top style="thin">
        <color rgb="FF666666"/>
      </top>
      <bottom style="thin">
        <color rgb="FF666666"/>
      </bottom>
      <diagonal/>
    </border>
    <border>
      <left/>
      <right style="medium">
        <color rgb="FF000000"/>
      </right>
      <top style="thin">
        <color rgb="FF666666"/>
      </top>
      <bottom style="thin">
        <color rgb="FF666666"/>
      </bottom>
      <diagonal/>
    </border>
    <border>
      <left style="medium">
        <color rgb="FF000000"/>
      </left>
      <right style="thin">
        <color rgb="FFD9D9D9"/>
      </right>
      <top style="thin">
        <color rgb="FFD9D9D9"/>
      </top>
      <bottom style="thin">
        <color rgb="FFD9D9D9"/>
      </bottom>
      <diagonal/>
    </border>
    <border>
      <left style="medium">
        <color rgb="FF000000"/>
      </left>
      <right style="thin">
        <color rgb="FFB7B7B7"/>
      </right>
      <top style="thin">
        <color rgb="FFB7B7B7"/>
      </top>
      <bottom style="medium">
        <color rgb="FF000000"/>
      </bottom>
      <diagonal/>
    </border>
    <border>
      <left style="medium">
        <color rgb="FF000000"/>
      </left>
      <right style="hair">
        <color rgb="FF999999"/>
      </right>
      <top style="medium">
        <color rgb="FF000000"/>
      </top>
      <bottom style="medium">
        <color rgb="FF000000"/>
      </bottom>
      <diagonal/>
    </border>
    <border>
      <left style="hair">
        <color rgb="FF999999"/>
      </left>
      <right style="hair">
        <color rgb="FF999999"/>
      </right>
      <top style="medium">
        <color rgb="FF000000"/>
      </top>
      <bottom style="medium">
        <color rgb="FF000000"/>
      </bottom>
      <diagonal/>
    </border>
    <border>
      <left style="hair">
        <color rgb="FF999999"/>
      </left>
      <right style="medium">
        <color rgb="FF000000"/>
      </right>
      <top style="medium">
        <color rgb="FF000000"/>
      </top>
      <bottom style="medium">
        <color rgb="FF000000"/>
      </bottom>
      <diagonal/>
    </border>
    <border>
      <left style="medium">
        <color rgb="FF000000"/>
      </left>
      <right style="hair">
        <color rgb="FFB7B7B7"/>
      </right>
      <top/>
      <bottom style="hair">
        <color rgb="FFB7B7B7"/>
      </bottom>
      <diagonal/>
    </border>
    <border>
      <left style="hair">
        <color rgb="FFB7B7B7"/>
      </left>
      <right style="hair">
        <color rgb="FFB7B7B7"/>
      </right>
      <top/>
      <bottom style="hair">
        <color rgb="FFB7B7B7"/>
      </bottom>
      <diagonal/>
    </border>
    <border>
      <left style="hair">
        <color rgb="FFB7B7B7"/>
      </left>
      <right style="medium">
        <color rgb="FF000000"/>
      </right>
      <top/>
      <bottom style="hair">
        <color rgb="FFB7B7B7"/>
      </bottom>
      <diagonal/>
    </border>
    <border>
      <left style="medium">
        <color rgb="FF000000"/>
      </left>
      <right/>
      <top/>
      <bottom style="hair">
        <color rgb="FF999999"/>
      </bottom>
      <diagonal/>
    </border>
    <border>
      <left/>
      <right/>
      <top/>
      <bottom style="hair">
        <color rgb="FF999999"/>
      </bottom>
      <diagonal/>
    </border>
    <border>
      <left/>
      <right style="medium">
        <color rgb="FF000000"/>
      </right>
      <top/>
      <bottom style="hair">
        <color rgb="FF999999"/>
      </bottom>
      <diagonal/>
    </border>
    <border>
      <left style="medium">
        <color rgb="FF000000"/>
      </left>
      <right style="hair">
        <color rgb="FFB7B7B7"/>
      </right>
      <top/>
      <bottom/>
      <diagonal/>
    </border>
    <border>
      <left style="hair">
        <color rgb="FFB7B7B7"/>
      </left>
      <right style="hair">
        <color rgb="FFB7B7B7"/>
      </right>
      <top/>
      <bottom/>
      <diagonal/>
    </border>
    <border>
      <left style="hair">
        <color rgb="FFB7B7B7"/>
      </left>
      <right style="medium">
        <color rgb="FF000000"/>
      </right>
      <top/>
      <bottom/>
      <diagonal/>
    </border>
    <border>
      <left style="hair">
        <color rgb="FF999999"/>
      </left>
      <right style="hair">
        <color rgb="FF999999"/>
      </right>
      <top style="hair">
        <color rgb="FF999999"/>
      </top>
      <bottom style="hair">
        <color rgb="FF999999"/>
      </bottom>
      <diagonal/>
    </border>
    <border>
      <left style="hair">
        <color rgb="FF999999"/>
      </left>
      <right style="medium">
        <color rgb="FF000000"/>
      </right>
      <top/>
      <bottom style="hair">
        <color rgb="FF999999"/>
      </bottom>
      <diagonal/>
    </border>
    <border>
      <left style="hair">
        <color rgb="FF999999"/>
      </left>
      <right style="hair">
        <color rgb="FF999999"/>
      </right>
      <top style="hair">
        <color rgb="FF999999"/>
      </top>
      <bottom style="medium">
        <color rgb="FFFF0000"/>
      </bottom>
      <diagonal/>
    </border>
    <border>
      <left style="hair">
        <color rgb="FF999999"/>
      </left>
      <right style="medium">
        <color rgb="FF000000"/>
      </right>
      <top style="hair">
        <color rgb="FF999999"/>
      </top>
      <bottom style="hair">
        <color rgb="FF999999"/>
      </bottom>
      <diagonal/>
    </border>
    <border>
      <left style="medium">
        <color rgb="FF000000"/>
      </left>
      <right style="hair">
        <color rgb="FFB7B7B7"/>
      </right>
      <top style="hair">
        <color rgb="FFB7B7B7"/>
      </top>
      <bottom/>
      <diagonal/>
    </border>
    <border>
      <left style="medium">
        <color rgb="FF000000"/>
      </left>
      <right style="hair">
        <color rgb="FFB7B7B7"/>
      </right>
      <top style="hair">
        <color rgb="FFB7B7B7"/>
      </top>
      <bottom style="hair">
        <color rgb="FFB7B7B7"/>
      </bottom>
      <diagonal/>
    </border>
    <border>
      <left style="hair">
        <color rgb="FFB7B7B7"/>
      </left>
      <right style="hair">
        <color rgb="FFB7B7B7"/>
      </right>
      <top style="hair">
        <color rgb="FFB7B7B7"/>
      </top>
      <bottom style="hair">
        <color rgb="FFB7B7B7"/>
      </bottom>
      <diagonal/>
    </border>
    <border>
      <left style="hair">
        <color rgb="FFB7B7B7"/>
      </left>
      <right style="medium">
        <color rgb="FF000000"/>
      </right>
      <top style="hair">
        <color rgb="FFB7B7B7"/>
      </top>
      <bottom style="hair">
        <color rgb="FFB7B7B7"/>
      </bottom>
      <diagonal/>
    </border>
    <border>
      <left style="medium">
        <color rgb="FF000000"/>
      </left>
      <right/>
      <top style="hair">
        <color rgb="FF999999"/>
      </top>
      <bottom style="hair">
        <color rgb="FF999999"/>
      </bottom>
      <diagonal/>
    </border>
    <border>
      <left/>
      <right/>
      <top style="hair">
        <color rgb="FF999999"/>
      </top>
      <bottom style="hair">
        <color rgb="FF999999"/>
      </bottom>
      <diagonal/>
    </border>
    <border>
      <left/>
      <right style="medium">
        <color rgb="FF000000"/>
      </right>
      <top style="hair">
        <color rgb="FF999999"/>
      </top>
      <bottom style="hair">
        <color rgb="FF999999"/>
      </bottom>
      <diagonal/>
    </border>
    <border>
      <left style="hair">
        <color rgb="FFB7B7B7"/>
      </left>
      <right style="hair">
        <color rgb="FFB7B7B7"/>
      </right>
      <top style="hair">
        <color rgb="FFB7B7B7"/>
      </top>
      <bottom/>
      <diagonal/>
    </border>
    <border>
      <left style="hair">
        <color rgb="FFB7B7B7"/>
      </left>
      <right style="medium">
        <color rgb="FF000000"/>
      </right>
      <top style="hair">
        <color rgb="FFB7B7B7"/>
      </top>
      <bottom/>
      <diagonal/>
    </border>
    <border>
      <left style="medium">
        <color rgb="FF000000"/>
      </left>
      <right style="hair">
        <color rgb="FF999999"/>
      </right>
      <top style="hair">
        <color rgb="FF999999"/>
      </top>
      <bottom style="hair">
        <color rgb="FF999999"/>
      </bottom>
      <diagonal/>
    </border>
    <border>
      <left style="hair">
        <color rgb="FF999999"/>
      </left>
      <right style="hair">
        <color rgb="FF999999"/>
      </right>
      <top/>
      <bottom style="hair">
        <color rgb="FF999999"/>
      </bottom>
      <diagonal/>
    </border>
    <border>
      <left/>
      <right style="hair">
        <color rgb="FF999999"/>
      </right>
      <top style="hair">
        <color rgb="FF999999"/>
      </top>
      <bottom style="hair">
        <color rgb="FF999999"/>
      </bottom>
      <diagonal/>
    </border>
    <border>
      <left style="medium">
        <color rgb="FF000000"/>
      </left>
      <right style="hair">
        <color rgb="FF999999"/>
      </right>
      <top/>
      <bottom style="hair">
        <color rgb="FF999999"/>
      </bottom>
      <diagonal/>
    </border>
    <border>
      <left/>
      <right style="hair">
        <color rgb="FF999999"/>
      </right>
      <top/>
      <bottom style="hair">
        <color rgb="FF999999"/>
      </bottom>
      <diagonal/>
    </border>
    <border>
      <left/>
      <right style="hair">
        <color rgb="FF999999"/>
      </right>
      <top style="hair">
        <color rgb="FF999999"/>
      </top>
      <bottom style="medium">
        <color rgb="FFFF0000"/>
      </bottom>
      <diagonal/>
    </border>
    <border>
      <left style="medium">
        <color rgb="FF000000"/>
      </left>
      <right style="hair">
        <color rgb="FFB7B7B7"/>
      </right>
      <top style="hair">
        <color rgb="FFB7B7B7"/>
      </top>
      <bottom style="medium">
        <color rgb="FF000000"/>
      </bottom>
      <diagonal/>
    </border>
    <border>
      <left style="hair">
        <color rgb="FFB7B7B7"/>
      </left>
      <right style="hair">
        <color rgb="FFB7B7B7"/>
      </right>
      <top style="hair">
        <color rgb="FFB7B7B7"/>
      </top>
      <bottom style="medium">
        <color rgb="FF000000"/>
      </bottom>
      <diagonal/>
    </border>
    <border>
      <left style="hair">
        <color rgb="FFB7B7B7"/>
      </left>
      <right style="medium">
        <color rgb="FF000000"/>
      </right>
      <top style="hair">
        <color rgb="FFB7B7B7"/>
      </top>
      <bottom style="medium">
        <color rgb="FF000000"/>
      </bottom>
      <diagonal/>
    </border>
    <border>
      <left style="medium">
        <color rgb="FF000000"/>
      </left>
      <right/>
      <top style="thin">
        <color rgb="FF999999"/>
      </top>
      <bottom style="medium">
        <color rgb="FF000000"/>
      </bottom>
      <diagonal/>
    </border>
    <border>
      <left/>
      <right/>
      <top style="thin">
        <color rgb="FF999999"/>
      </top>
      <bottom style="medium">
        <color rgb="FF000000"/>
      </bottom>
      <diagonal/>
    </border>
    <border>
      <left/>
      <right style="medium">
        <color rgb="FF000000"/>
      </right>
      <top style="thin">
        <color rgb="FF999999"/>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999999"/>
      </right>
      <top/>
      <bottom/>
      <diagonal/>
    </border>
    <border>
      <left/>
      <right style="thin">
        <color rgb="FF999999"/>
      </right>
      <top/>
      <bottom style="thin">
        <color rgb="FF999999"/>
      </bottom>
      <diagonal/>
    </border>
    <border>
      <left/>
      <right/>
      <top/>
      <bottom style="thin">
        <color rgb="FF999999"/>
      </bottom>
      <diagonal/>
    </border>
    <border>
      <left/>
      <right style="thin">
        <color rgb="FF999999"/>
      </right>
      <top/>
      <bottom style="medium">
        <color rgb="FF000000"/>
      </bottom>
      <diagonal/>
    </border>
    <border>
      <left style="hair">
        <color rgb="FF274E13"/>
      </left>
      <right style="hair">
        <color rgb="FF274E13"/>
      </right>
      <top style="hair">
        <color rgb="FF274E13"/>
      </top>
      <bottom style="hair">
        <color rgb="FF274E13"/>
      </bottom>
      <diagonal/>
    </border>
    <border>
      <left/>
      <right style="hair">
        <color rgb="FF000000"/>
      </right>
      <top/>
      <bottom style="hair">
        <color rgb="FF000000"/>
      </bottom>
      <diagonal/>
    </border>
    <border>
      <left style="hair">
        <color rgb="FF000000"/>
      </left>
      <right style="medium">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medium">
        <color rgb="FF000000"/>
      </right>
      <top/>
      <bottom style="hair">
        <color rgb="FF000000"/>
      </bottom>
      <diagonal/>
    </border>
    <border>
      <left/>
      <right style="medium">
        <color rgb="FF000000"/>
      </right>
      <top/>
      <bottom style="thin">
        <color rgb="FF999999"/>
      </bottom>
      <diagonal/>
    </border>
    <border>
      <left/>
      <right style="thin">
        <color rgb="FF000000"/>
      </right>
      <top/>
      <bottom style="thin">
        <color rgb="FF999999"/>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thin">
        <color rgb="FF666666"/>
      </right>
      <top style="medium">
        <color rgb="FF000000"/>
      </top>
      <bottom style="thin">
        <color rgb="FF666666"/>
      </bottom>
      <diagonal/>
    </border>
    <border>
      <left style="medium">
        <color rgb="FF000000"/>
      </left>
      <right style="thin">
        <color rgb="FF666666"/>
      </right>
      <top style="thin">
        <color rgb="FF666666"/>
      </top>
      <bottom style="thin">
        <color rgb="FF666666"/>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thin">
        <color rgb="FF000000"/>
      </left>
      <right/>
      <top/>
      <bottom style="thin">
        <color rgb="FF000000"/>
      </bottom>
      <diagonal/>
    </border>
    <border>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style="medium">
        <color rgb="FF000000"/>
      </right>
      <top style="thin">
        <color rgb="FF000000"/>
      </top>
      <bottom style="medium">
        <color rgb="FF000000"/>
      </bottom>
      <diagonal/>
    </border>
    <border>
      <left/>
      <right style="medium">
        <color rgb="FF000000"/>
      </right>
      <top style="thin">
        <color rgb="FFB7B7B7"/>
      </top>
      <bottom/>
      <diagonal/>
    </border>
    <border>
      <left style="thin">
        <color rgb="FF000000"/>
      </left>
      <right style="thin">
        <color rgb="FFB7B7B7"/>
      </right>
      <top style="thin">
        <color rgb="FF000000"/>
      </top>
      <bottom style="thin">
        <color rgb="FFB7B7B7"/>
      </bottom>
      <diagonal/>
    </border>
    <border>
      <left style="thin">
        <color rgb="FF000000"/>
      </left>
      <right style="thin">
        <color rgb="FFB7B7B7"/>
      </right>
      <top/>
      <bottom style="thin">
        <color rgb="FFB7B7B7"/>
      </bottom>
      <diagonal/>
    </border>
    <border>
      <left style="thin">
        <color rgb="FF000000"/>
      </left>
      <right style="thin">
        <color rgb="FFB7B7B7"/>
      </right>
      <top/>
      <bottom style="thin">
        <color rgb="FF000000"/>
      </bottom>
      <diagonal/>
    </border>
    <border>
      <left style="thin">
        <color rgb="FF000000"/>
      </left>
      <right style="thin">
        <color rgb="FF000000"/>
      </right>
      <top style="thin">
        <color rgb="FF000000"/>
      </top>
      <bottom style="thin">
        <color rgb="FFB7B7B7"/>
      </bottom>
      <diagonal/>
    </border>
    <border>
      <left style="thin">
        <color rgb="FF000000"/>
      </left>
      <right/>
      <top style="medium">
        <color rgb="FF000000"/>
      </top>
      <bottom/>
      <diagonal/>
    </border>
    <border>
      <left style="thin">
        <color rgb="FFD9D9D9"/>
      </left>
      <right style="thin">
        <color rgb="FFD9D9D9"/>
      </right>
      <top style="thin">
        <color rgb="FFD9D9D9"/>
      </top>
      <bottom/>
      <diagonal/>
    </border>
    <border>
      <left style="thin">
        <color rgb="FF351C75"/>
      </left>
      <right style="thin">
        <color rgb="FF351C75"/>
      </right>
      <top style="thin">
        <color rgb="FF351C75"/>
      </top>
      <bottom style="thin">
        <color rgb="FF351C75"/>
      </bottom>
      <diagonal/>
    </border>
    <border>
      <left/>
      <right style="thin">
        <color rgb="FF351C75"/>
      </right>
      <top style="thin">
        <color rgb="FF351C75"/>
      </top>
      <bottom style="thin">
        <color rgb="FF351C75"/>
      </bottom>
      <diagonal/>
    </border>
    <border>
      <left style="thin">
        <color rgb="FF351C75"/>
      </left>
      <right/>
      <top style="thin">
        <color rgb="FF351C75"/>
      </top>
      <bottom/>
      <diagonal/>
    </border>
    <border>
      <left/>
      <right/>
      <top style="thin">
        <color rgb="FF351C75"/>
      </top>
      <bottom/>
      <diagonal/>
    </border>
    <border>
      <left/>
      <right style="medium">
        <color rgb="FF000000"/>
      </right>
      <top style="thin">
        <color rgb="FF351C75"/>
      </top>
      <bottom/>
      <diagonal/>
    </border>
    <border>
      <left style="thin">
        <color rgb="FF351C75"/>
      </left>
      <right/>
      <top/>
      <bottom/>
      <diagonal/>
    </border>
    <border>
      <left style="thin">
        <color rgb="FF351C75"/>
      </left>
      <right/>
      <top/>
      <bottom style="thin">
        <color rgb="FF351C75"/>
      </bottom>
      <diagonal/>
    </border>
    <border>
      <left/>
      <right/>
      <top/>
      <bottom style="thin">
        <color rgb="FF351C75"/>
      </bottom>
      <diagonal/>
    </border>
    <border>
      <left/>
      <right style="medium">
        <color rgb="FF000000"/>
      </right>
      <top/>
      <bottom style="thin">
        <color rgb="FF351C75"/>
      </bottom>
      <diagonal/>
    </border>
    <border>
      <left style="thin">
        <color rgb="FFD9D9D9"/>
      </left>
      <right style="thin">
        <color rgb="FFD9D9D9"/>
      </right>
      <top style="thin">
        <color rgb="FF000000"/>
      </top>
      <bottom/>
      <diagonal/>
    </border>
    <border>
      <left style="thin">
        <color rgb="FF351C75"/>
      </left>
      <right/>
      <top style="thin">
        <color rgb="FF000000"/>
      </top>
      <bottom/>
      <diagonal/>
    </border>
    <border>
      <left style="thin">
        <color rgb="FF351C75"/>
      </left>
      <right style="thin">
        <color rgb="FF351C75"/>
      </right>
      <top style="thin">
        <color rgb="FF351C75"/>
      </top>
      <bottom/>
      <diagonal/>
    </border>
    <border>
      <left style="thin">
        <color rgb="FF351C75"/>
      </left>
      <right style="thin">
        <color rgb="FF351C75"/>
      </right>
      <top/>
      <bottom/>
      <diagonal/>
    </border>
    <border>
      <left style="thin">
        <color rgb="FF351C75"/>
      </left>
      <right style="thin">
        <color rgb="FF351C75"/>
      </right>
      <top/>
      <bottom style="thin">
        <color rgb="FF000000"/>
      </bottom>
      <diagonal/>
    </border>
    <border>
      <left style="thin">
        <color rgb="FF351C75"/>
      </left>
      <right style="thin">
        <color rgb="FF351C75"/>
      </right>
      <top/>
      <bottom style="thin">
        <color rgb="FF351C75"/>
      </bottom>
      <diagonal/>
    </border>
    <border>
      <left/>
      <right/>
      <top/>
      <bottom style="thin">
        <color indexed="64"/>
      </bottom>
      <diagonal/>
    </border>
    <border>
      <left style="medium">
        <color indexed="64"/>
      </left>
      <right style="thin">
        <color rgb="FFB7B7B7"/>
      </right>
      <top style="medium">
        <color indexed="64"/>
      </top>
      <bottom style="thin">
        <color rgb="FFB7B7B7"/>
      </bottom>
      <diagonal/>
    </border>
    <border>
      <left style="thin">
        <color rgb="FFB7B7B7"/>
      </left>
      <right/>
      <top style="medium">
        <color indexed="64"/>
      </top>
      <bottom style="thin">
        <color rgb="FFB7B7B7"/>
      </bottom>
      <diagonal/>
    </border>
    <border>
      <left/>
      <right/>
      <top style="medium">
        <color indexed="64"/>
      </top>
      <bottom style="thin">
        <color rgb="FFB7B7B7"/>
      </bottom>
      <diagonal/>
    </border>
    <border>
      <left/>
      <right style="medium">
        <color rgb="FF000000"/>
      </right>
      <top style="medium">
        <color indexed="64"/>
      </top>
      <bottom style="thin">
        <color rgb="FFB7B7B7"/>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B7B7B7"/>
      </right>
      <top style="thin">
        <color rgb="FFB7B7B7"/>
      </top>
      <bottom style="thin">
        <color rgb="FFB7B7B7"/>
      </bottom>
      <diagonal/>
    </border>
    <border>
      <left/>
      <right style="medium">
        <color indexed="64"/>
      </right>
      <top/>
      <bottom/>
      <diagonal/>
    </border>
    <border>
      <left style="medium">
        <color indexed="64"/>
      </left>
      <right/>
      <top/>
      <bottom/>
      <diagonal/>
    </border>
    <border>
      <left style="medium">
        <color indexed="64"/>
      </left>
      <right/>
      <top style="thin">
        <color rgb="FF000000"/>
      </top>
      <bottom/>
      <diagonal/>
    </border>
    <border>
      <left style="medium">
        <color indexed="64"/>
      </left>
      <right/>
      <top style="medium">
        <color rgb="FF000000"/>
      </top>
      <bottom/>
      <diagonal/>
    </border>
    <border>
      <left style="medium">
        <color indexed="64"/>
      </left>
      <right style="thin">
        <color rgb="FF999999"/>
      </right>
      <top/>
      <bottom/>
      <diagonal/>
    </border>
    <border>
      <left style="medium">
        <color indexed="64"/>
      </left>
      <right style="thin">
        <color rgb="FF999999"/>
      </right>
      <top/>
      <bottom style="medium">
        <color rgb="FF000000"/>
      </bottom>
      <diagonal/>
    </border>
    <border>
      <left style="medium">
        <color indexed="64"/>
      </left>
      <right style="hair">
        <color rgb="FF274E13"/>
      </right>
      <top style="hair">
        <color rgb="FF274E13"/>
      </top>
      <bottom style="hair">
        <color rgb="FF274E13"/>
      </bottom>
      <diagonal/>
    </border>
    <border>
      <left style="medium">
        <color indexed="64"/>
      </left>
      <right style="thin">
        <color rgb="FFB7B7B7"/>
      </right>
      <top/>
      <bottom style="thin">
        <color rgb="FFB7B7B7"/>
      </bottom>
      <diagonal/>
    </border>
    <border>
      <left style="medium">
        <color indexed="64"/>
      </left>
      <right style="hair">
        <color rgb="FF000000"/>
      </right>
      <top style="hair">
        <color rgb="FF000000"/>
      </top>
      <bottom style="hair">
        <color rgb="FF000000"/>
      </bottom>
      <diagonal/>
    </border>
    <border>
      <left style="medium">
        <color indexed="64"/>
      </left>
      <right style="thin">
        <color rgb="FFB7B7B7"/>
      </right>
      <top/>
      <bottom/>
      <diagonal/>
    </border>
    <border>
      <left style="medium">
        <color indexed="64"/>
      </left>
      <right style="thin">
        <color rgb="FF999999"/>
      </right>
      <top/>
      <bottom style="thin">
        <color rgb="FF999999"/>
      </bottom>
      <diagonal/>
    </border>
    <border>
      <left style="medium">
        <color indexed="64"/>
      </left>
      <right style="thin">
        <color rgb="FF999999"/>
      </right>
      <top/>
      <bottom style="medium">
        <color indexed="64"/>
      </bottom>
      <diagonal/>
    </border>
    <border>
      <left/>
      <right/>
      <top/>
      <bottom style="medium">
        <color indexed="64"/>
      </bottom>
      <diagonal/>
    </border>
    <border>
      <left/>
      <right style="medium">
        <color rgb="FF000000"/>
      </right>
      <top/>
      <bottom style="medium">
        <color indexed="64"/>
      </bottom>
      <diagonal/>
    </border>
    <border>
      <left/>
      <right style="thin">
        <color rgb="FF999999"/>
      </right>
      <top/>
      <bottom style="medium">
        <color indexed="64"/>
      </bottom>
      <diagonal/>
    </border>
    <border>
      <left/>
      <right style="thin">
        <color rgb="FF000000"/>
      </right>
      <top/>
      <bottom style="medium">
        <color indexed="64"/>
      </bottom>
      <diagonal/>
    </border>
    <border>
      <left/>
      <right style="medium">
        <color indexed="64"/>
      </right>
      <top/>
      <bottom style="medium">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thick">
        <color theme="1" tint="0.499984740745262"/>
      </bottom>
      <diagonal/>
    </border>
    <border>
      <left/>
      <right/>
      <top/>
      <bottom style="thick">
        <color auto="1"/>
      </bottom>
      <diagonal/>
    </border>
    <border>
      <left/>
      <right/>
      <top style="thick">
        <color auto="1"/>
      </top>
      <bottom/>
      <diagonal/>
    </border>
    <border>
      <left style="medium">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style="medium">
        <color auto="1"/>
      </right>
      <top style="thick">
        <color auto="1"/>
      </top>
      <bottom style="thin">
        <color auto="1"/>
      </bottom>
      <diagonal/>
    </border>
    <border>
      <left style="medium">
        <color auto="1"/>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hair">
        <color indexed="64"/>
      </left>
      <right style="hair">
        <color indexed="64"/>
      </right>
      <top style="medium">
        <color auto="1"/>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hair">
        <color auto="1"/>
      </right>
      <top style="medium">
        <color auto="1"/>
      </top>
      <bottom style="hair">
        <color auto="1"/>
      </bottom>
      <diagonal/>
    </border>
    <border>
      <left style="hair">
        <color auto="1"/>
      </left>
      <right style="thin">
        <color auto="1"/>
      </right>
      <top style="hair">
        <color auto="1"/>
      </top>
      <bottom style="hair">
        <color auto="1"/>
      </bottom>
      <diagonal/>
    </border>
    <border>
      <left style="thin">
        <color auto="1"/>
      </left>
      <right/>
      <top style="hair">
        <color auto="1"/>
      </top>
      <bottom style="hair">
        <color indexed="64"/>
      </bottom>
      <diagonal/>
    </border>
    <border>
      <left/>
      <right/>
      <top style="hair">
        <color auto="1"/>
      </top>
      <bottom style="hair">
        <color indexed="64"/>
      </bottom>
      <diagonal/>
    </border>
    <border>
      <left/>
      <right style="hair">
        <color indexed="64"/>
      </right>
      <top style="hair">
        <color auto="1"/>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medium">
        <color indexed="64"/>
      </left>
      <right/>
      <top style="medium">
        <color indexed="64"/>
      </top>
      <bottom/>
      <diagonal/>
    </border>
    <border>
      <left/>
      <right style="thin">
        <color auto="1"/>
      </right>
      <top style="medium">
        <color auto="1"/>
      </top>
      <bottom/>
      <diagonal/>
    </border>
    <border>
      <left style="thin">
        <color auto="1"/>
      </left>
      <right/>
      <top style="medium">
        <color auto="1"/>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rgb="FF002060"/>
      </bottom>
      <diagonal/>
    </border>
    <border>
      <left/>
      <right/>
      <top/>
      <bottom style="thick">
        <color rgb="FF002060"/>
      </bottom>
      <diagonal/>
    </border>
    <border>
      <left/>
      <right style="thick">
        <color rgb="FF002060"/>
      </right>
      <top/>
      <bottom style="thick">
        <color rgb="FF002060"/>
      </bottom>
      <diagonal/>
    </border>
    <border>
      <left/>
      <right/>
      <top style="thin">
        <color auto="1"/>
      </top>
      <bottom/>
      <diagonal/>
    </border>
    <border>
      <left style="medium">
        <color auto="1"/>
      </left>
      <right/>
      <top style="thin">
        <color auto="1"/>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auto="1"/>
      </right>
      <top/>
      <bottom style="thin">
        <color auto="1"/>
      </bottom>
      <diagonal/>
    </border>
    <border>
      <left style="medium">
        <color indexed="64"/>
      </left>
      <right style="thin">
        <color theme="1" tint="0.499984740745262"/>
      </right>
      <top style="medium">
        <color indexed="64"/>
      </top>
      <bottom style="thin">
        <color theme="1" tint="0.499984740745262"/>
      </bottom>
      <diagonal/>
    </border>
    <border>
      <left style="thin">
        <color theme="1" tint="0.499984740745262"/>
      </left>
      <right style="thin">
        <color theme="1" tint="0.499984740745262"/>
      </right>
      <top style="medium">
        <color auto="1"/>
      </top>
      <bottom style="thin">
        <color theme="1" tint="0.499984740745262"/>
      </bottom>
      <diagonal/>
    </border>
    <border>
      <left style="thin">
        <color theme="1" tint="0.499984740745262"/>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theme="1" tint="0.499984740745262"/>
      </right>
      <top style="thin">
        <color auto="1"/>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right style="thin">
        <color auto="1"/>
      </right>
      <top/>
      <bottom/>
      <diagonal/>
    </border>
    <border>
      <left style="thin">
        <color auto="1"/>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auto="1"/>
      </right>
      <top/>
      <bottom style="thin">
        <color theme="1" tint="0.499984740745262"/>
      </bottom>
      <diagonal/>
    </border>
    <border>
      <left style="thin">
        <color auto="1"/>
      </left>
      <right/>
      <top/>
      <bottom style="thin">
        <color theme="1" tint="0.499984740745262"/>
      </bottom>
      <diagonal/>
    </border>
    <border>
      <left/>
      <right style="thin">
        <color theme="1" tint="0.499984740745262"/>
      </right>
      <top/>
      <bottom style="thin">
        <color theme="1" tint="0.499984740745262"/>
      </bottom>
      <diagonal/>
    </border>
    <border>
      <left/>
      <right style="medium">
        <color auto="1"/>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auto="1"/>
      </right>
      <top style="thin">
        <color theme="1" tint="0.499984740745262"/>
      </top>
      <bottom/>
      <diagonal/>
    </border>
    <border>
      <left style="thin">
        <color auto="1"/>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medium">
        <color auto="1"/>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style="medium">
        <color indexed="64"/>
      </bottom>
      <diagonal/>
    </border>
    <border>
      <left/>
      <right/>
      <top style="thin">
        <color theme="1" tint="0.499984740745262"/>
      </top>
      <bottom style="medium">
        <color auto="1"/>
      </bottom>
      <diagonal/>
    </border>
    <border>
      <left/>
      <right style="thin">
        <color auto="1"/>
      </right>
      <top style="thin">
        <color theme="1" tint="0.499984740745262"/>
      </top>
      <bottom style="medium">
        <color auto="1"/>
      </bottom>
      <diagonal/>
    </border>
    <border>
      <left style="thin">
        <color auto="1"/>
      </left>
      <right style="thin">
        <color theme="1" tint="0.499984740745262"/>
      </right>
      <top style="thin">
        <color theme="1" tint="0.499984740745262"/>
      </top>
      <bottom/>
      <diagonal/>
    </border>
    <border>
      <left/>
      <right style="medium">
        <color auto="1"/>
      </right>
      <top style="thin">
        <color theme="1" tint="0.499984740745262"/>
      </top>
      <bottom/>
      <diagonal/>
    </border>
    <border>
      <left style="medium">
        <color auto="1"/>
      </left>
      <right/>
      <top style="thick">
        <color auto="1"/>
      </top>
      <bottom/>
      <diagonal/>
    </border>
    <border>
      <left/>
      <right style="thin">
        <color auto="1"/>
      </right>
      <top style="thick">
        <color auto="1"/>
      </top>
      <bottom/>
      <diagonal/>
    </border>
    <border>
      <left/>
      <right/>
      <top style="thick">
        <color auto="1"/>
      </top>
      <bottom style="thin">
        <color auto="1"/>
      </bottom>
      <diagonal/>
    </border>
    <border>
      <left/>
      <right style="medium">
        <color auto="1"/>
      </right>
      <top style="thick">
        <color auto="1"/>
      </top>
      <bottom style="thin">
        <color auto="1"/>
      </bottom>
      <diagonal/>
    </border>
    <border>
      <left style="medium">
        <color auto="1"/>
      </left>
      <right/>
      <top/>
      <bottom style="thick">
        <color auto="1"/>
      </bottom>
      <diagonal/>
    </border>
    <border>
      <left/>
      <right style="thin">
        <color indexed="64"/>
      </right>
      <top/>
      <bottom style="thick">
        <color auto="1"/>
      </bottom>
      <diagonal/>
    </border>
    <border>
      <left style="thin">
        <color auto="1"/>
      </left>
      <right/>
      <top style="thin">
        <color auto="1"/>
      </top>
      <bottom style="thick">
        <color auto="1"/>
      </bottom>
      <diagonal/>
    </border>
    <border>
      <left/>
      <right style="thin">
        <color indexed="64"/>
      </right>
      <top style="thin">
        <color indexed="64"/>
      </top>
      <bottom style="thick">
        <color auto="1"/>
      </bottom>
      <diagonal/>
    </border>
    <border>
      <left style="thin">
        <color auto="1"/>
      </left>
      <right style="thin">
        <color auto="1"/>
      </right>
      <top style="thin">
        <color auto="1"/>
      </top>
      <bottom style="thick">
        <color auto="1"/>
      </bottom>
      <diagonal/>
    </border>
    <border>
      <left/>
      <right style="medium">
        <color auto="1"/>
      </right>
      <top style="thin">
        <color auto="1"/>
      </top>
      <bottom style="thick">
        <color auto="1"/>
      </bottom>
      <diagonal/>
    </border>
    <border>
      <left/>
      <right style="thin">
        <color indexed="64"/>
      </right>
      <top/>
      <bottom style="thin">
        <color indexed="64"/>
      </bottom>
      <diagonal/>
    </border>
    <border>
      <left style="thin">
        <color auto="1"/>
      </left>
      <right/>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thick">
        <color auto="1"/>
      </left>
      <right/>
      <top style="thick">
        <color auto="1"/>
      </top>
      <bottom/>
      <diagonal/>
    </border>
    <border>
      <left/>
      <right style="thick">
        <color auto="1"/>
      </right>
      <top style="thick">
        <color auto="1"/>
      </top>
      <bottom/>
      <diagonal/>
    </border>
    <border>
      <left style="thin">
        <color auto="1"/>
      </left>
      <right style="thick">
        <color auto="1"/>
      </right>
      <top style="thin">
        <color auto="1"/>
      </top>
      <bottom style="medium">
        <color auto="1"/>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style="thin">
        <color auto="1"/>
      </left>
      <right style="thick">
        <color auto="1"/>
      </right>
      <top style="thick">
        <color auto="1"/>
      </top>
      <bottom/>
      <diagonal/>
    </border>
    <border>
      <left style="thin">
        <color auto="1"/>
      </left>
      <right style="thick">
        <color auto="1"/>
      </right>
      <top/>
      <bottom style="thick">
        <color auto="1"/>
      </bottom>
      <diagonal/>
    </border>
    <border>
      <left style="thick">
        <color rgb="FF000000"/>
      </left>
      <right/>
      <top/>
      <bottom style="medium">
        <color rgb="FF000000"/>
      </bottom>
      <diagonal/>
    </border>
    <border>
      <left/>
      <right style="medium">
        <color indexed="64"/>
      </right>
      <top/>
      <bottom style="medium">
        <color rgb="FF000000"/>
      </bottom>
      <diagonal/>
    </border>
    <border>
      <left style="thick">
        <color rgb="FF000000"/>
      </left>
      <right/>
      <top style="medium">
        <color rgb="FF000000"/>
      </top>
      <bottom style="medium">
        <color rgb="FF000000"/>
      </bottom>
      <diagonal/>
    </border>
    <border>
      <left/>
      <right style="medium">
        <color indexed="64"/>
      </right>
      <top style="medium">
        <color rgb="FF000000"/>
      </top>
      <bottom style="medium">
        <color rgb="FF000000"/>
      </bottom>
      <diagonal/>
    </border>
    <border>
      <left style="thick">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style="thick">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thick">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ck">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thick">
        <color rgb="FF000000"/>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thick">
        <color auto="1"/>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n">
        <color auto="1"/>
      </bottom>
      <diagonal/>
    </border>
    <border>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medium">
        <color indexed="64"/>
      </left>
      <right/>
      <top style="medium">
        <color indexed="64"/>
      </top>
      <bottom style="thin">
        <color indexed="64"/>
      </bottom>
      <diagonal/>
    </border>
    <border>
      <left/>
      <right style="thin">
        <color auto="1"/>
      </right>
      <top style="medium">
        <color indexed="64"/>
      </top>
      <bottom style="thin">
        <color indexed="64"/>
      </bottom>
      <diagonal/>
    </border>
    <border>
      <left style="medium">
        <color auto="1"/>
      </left>
      <right style="medium">
        <color auto="1"/>
      </right>
      <top style="thin">
        <color indexed="64"/>
      </top>
      <bottom/>
      <diagonal/>
    </border>
    <border>
      <left style="medium">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indexed="64"/>
      </left>
      <right/>
      <top style="thin">
        <color indexed="64"/>
      </top>
      <bottom style="medium">
        <color indexed="64"/>
      </bottom>
      <diagonal/>
    </border>
    <border>
      <left/>
      <right style="thin">
        <color auto="1"/>
      </right>
      <top style="thin">
        <color auto="1"/>
      </top>
      <bottom style="medium">
        <color auto="1"/>
      </bottom>
      <diagonal/>
    </border>
    <border>
      <left/>
      <right/>
      <top style="thin">
        <color indexed="64"/>
      </top>
      <bottom style="medium">
        <color indexed="64"/>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auto="1"/>
      </right>
      <top style="thick">
        <color auto="1"/>
      </top>
      <bottom/>
      <diagonal/>
    </border>
    <border>
      <left style="medium">
        <color auto="1"/>
      </left>
      <right style="thin">
        <color auto="1"/>
      </right>
      <top/>
      <bottom/>
      <diagonal/>
    </border>
    <border>
      <left style="thick">
        <color auto="1"/>
      </left>
      <right/>
      <top style="medium">
        <color auto="1"/>
      </top>
      <bottom style="thick">
        <color auto="1"/>
      </bottom>
      <diagonal/>
    </border>
    <border>
      <left/>
      <right/>
      <top style="medium">
        <color auto="1"/>
      </top>
      <bottom style="thick">
        <color auto="1"/>
      </bottom>
      <diagonal/>
    </border>
    <border>
      <left/>
      <right style="medium">
        <color auto="1"/>
      </right>
      <top style="medium">
        <color auto="1"/>
      </top>
      <bottom style="thick">
        <color auto="1"/>
      </bottom>
      <diagonal/>
    </border>
    <border>
      <left style="medium">
        <color auto="1"/>
      </left>
      <right/>
      <top style="medium">
        <color auto="1"/>
      </top>
      <bottom style="thick">
        <color auto="1"/>
      </bottom>
      <diagonal/>
    </border>
    <border>
      <left style="thin">
        <color auto="1"/>
      </left>
      <right/>
      <top style="thick">
        <color auto="1"/>
      </top>
      <bottom/>
      <diagonal/>
    </border>
    <border>
      <left/>
      <right/>
      <top style="thick">
        <color auto="1"/>
      </top>
      <bottom style="thin">
        <color theme="0" tint="-0.24994659260841701"/>
      </bottom>
      <diagonal/>
    </border>
    <border>
      <left style="thick">
        <color auto="1"/>
      </left>
      <right style="thin">
        <color auto="1"/>
      </right>
      <top style="thin">
        <color auto="1"/>
      </top>
      <bottom/>
      <diagonal/>
    </border>
    <border>
      <left/>
      <right/>
      <top style="thin">
        <color theme="0" tint="-0.24994659260841701"/>
      </top>
      <bottom style="thin">
        <color theme="0" tint="-0.24994659260841701"/>
      </bottom>
      <diagonal/>
    </border>
    <border>
      <left/>
      <right/>
      <top style="medium">
        <color auto="1"/>
      </top>
      <bottom style="thin">
        <color theme="0" tint="-0.24994659260841701"/>
      </bottom>
      <diagonal/>
    </border>
    <border>
      <left/>
      <right style="medium">
        <color auto="1"/>
      </right>
      <top style="medium">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style="thick">
        <color auto="1"/>
      </left>
      <right style="thin">
        <color auto="1"/>
      </right>
      <top/>
      <bottom style="thin">
        <color auto="1"/>
      </bottom>
      <diagonal/>
    </border>
    <border>
      <left/>
      <right style="medium">
        <color auto="1"/>
      </right>
      <top style="thin">
        <color theme="0" tint="-0.24994659260841701"/>
      </top>
      <bottom style="thin">
        <color theme="0" tint="-0.24994659260841701"/>
      </bottom>
      <diagonal/>
    </border>
    <border>
      <left style="thin">
        <color rgb="FFCCCCCC"/>
      </left>
      <right/>
      <top style="thin">
        <color rgb="FFB7B7B7"/>
      </top>
      <bottom style="thin">
        <color rgb="FFCCCCCC"/>
      </bottom>
      <diagonal/>
    </border>
    <border>
      <left style="thin">
        <color rgb="FFCCCCCC"/>
      </left>
      <right/>
      <top style="thin">
        <color rgb="FFCCCCCC"/>
      </top>
      <bottom style="thin">
        <color rgb="FFCCCCCC"/>
      </bottom>
      <diagonal/>
    </border>
    <border>
      <left style="thin">
        <color rgb="FFB7B7B7"/>
      </left>
      <right/>
      <top style="thin">
        <color rgb="FFCCCCCC"/>
      </top>
      <bottom style="thin">
        <color rgb="FFB7B7B7"/>
      </bottom>
      <diagonal/>
    </border>
    <border>
      <left style="thin">
        <color auto="1"/>
      </left>
      <right style="medium">
        <color auto="1"/>
      </right>
      <top/>
      <bottom style="thin">
        <color auto="1"/>
      </bottom>
      <diagonal/>
    </border>
    <border>
      <left style="medium">
        <color indexed="64"/>
      </left>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indexed="64"/>
      </bottom>
      <diagonal/>
    </border>
    <border>
      <left style="medium">
        <color auto="1"/>
      </left>
      <right style="thin">
        <color auto="1"/>
      </right>
      <top/>
      <bottom style="medium">
        <color indexed="64"/>
      </bottom>
      <diagonal/>
    </border>
    <border>
      <left style="thick">
        <color auto="1"/>
      </left>
      <right style="thin">
        <color auto="1"/>
      </right>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rgb="FFB7B7B7"/>
      </left>
      <right/>
      <top/>
      <bottom/>
      <diagonal/>
    </border>
    <border>
      <left/>
      <right style="hair">
        <color rgb="FF999999"/>
      </right>
      <top style="hair">
        <color rgb="FF999999"/>
      </top>
      <bottom/>
      <diagonal/>
    </border>
    <border>
      <left style="hair">
        <color rgb="FF999999"/>
      </left>
      <right style="medium">
        <color rgb="FF000000"/>
      </right>
      <top style="hair">
        <color rgb="FF999999"/>
      </top>
      <bottom/>
      <diagonal/>
    </border>
    <border>
      <left/>
      <right style="hair">
        <color rgb="FF999999"/>
      </right>
      <top style="medium">
        <color rgb="FF000000"/>
      </top>
      <bottom style="medium">
        <color rgb="FF000000"/>
      </bottom>
      <diagonal/>
    </border>
    <border>
      <left/>
      <right/>
      <top style="thin">
        <color theme="0" tint="-0.24994659260841701"/>
      </top>
      <bottom/>
      <diagonal/>
    </border>
    <border>
      <left style="thin">
        <color auto="1"/>
      </left>
      <right/>
      <top style="thin">
        <color theme="0" tint="-0.24994659260841701"/>
      </top>
      <bottom/>
      <diagonal/>
    </border>
    <border>
      <left style="medium">
        <color indexed="64"/>
      </left>
      <right/>
      <top/>
      <bottom style="thin">
        <color rgb="FFB7B7B7"/>
      </bottom>
      <diagonal/>
    </border>
    <border>
      <left style="medium">
        <color indexed="64"/>
      </left>
      <right style="thin">
        <color rgb="FFCCCCCC"/>
      </right>
      <top style="thin">
        <color rgb="FFCCCCCC"/>
      </top>
      <bottom style="thin">
        <color rgb="FFCCCCCC"/>
      </bottom>
      <diagonal/>
    </border>
    <border>
      <left style="medium">
        <color indexed="64"/>
      </left>
      <right/>
      <top style="thin">
        <color rgb="FFB7B7B7"/>
      </top>
      <bottom style="thin">
        <color rgb="FFB7B7B7"/>
      </bottom>
      <diagonal/>
    </border>
    <border>
      <left style="medium">
        <color indexed="64"/>
      </left>
      <right/>
      <top/>
      <bottom style="medium">
        <color rgb="FF000000"/>
      </bottom>
      <diagonal/>
    </border>
    <border>
      <left style="medium">
        <color indexed="64"/>
      </left>
      <right style="thin">
        <color rgb="FFD9D9D9"/>
      </right>
      <top style="thin">
        <color rgb="FFD9D9D9"/>
      </top>
      <bottom style="medium">
        <color indexed="64"/>
      </bottom>
      <diagonal/>
    </border>
    <border>
      <left style="thin">
        <color rgb="FFD9D9D9"/>
      </left>
      <right style="thin">
        <color rgb="FFD9D9D9"/>
      </right>
      <top style="thin">
        <color rgb="FFD9D9D9"/>
      </top>
      <bottom style="medium">
        <color indexed="64"/>
      </bottom>
      <diagonal/>
    </border>
    <border>
      <left style="thin">
        <color rgb="FFD9D9D9"/>
      </left>
      <right/>
      <top style="thin">
        <color rgb="FFD9D9D9"/>
      </top>
      <bottom style="medium">
        <color indexed="64"/>
      </bottom>
      <diagonal/>
    </border>
    <border>
      <left/>
      <right/>
      <top style="thin">
        <color rgb="FFD9D9D9"/>
      </top>
      <bottom style="medium">
        <color indexed="64"/>
      </bottom>
      <diagonal/>
    </border>
    <border>
      <left style="medium">
        <color indexed="64"/>
      </left>
      <right style="thin">
        <color rgb="FFB7B7B7"/>
      </right>
      <top style="thin">
        <color rgb="FFB7B7B7"/>
      </top>
      <bottom/>
      <diagonal/>
    </border>
    <border>
      <left style="thin">
        <color rgb="FFB7B7B7"/>
      </left>
      <right style="medium">
        <color indexed="64"/>
      </right>
      <top style="thin">
        <color rgb="FFB7B7B7"/>
      </top>
      <bottom/>
      <diagonal/>
    </border>
    <border>
      <left style="thin">
        <color rgb="FFCCCCCC"/>
      </left>
      <right style="medium">
        <color indexed="64"/>
      </right>
      <top style="thin">
        <color rgb="FFCCCCCC"/>
      </top>
      <bottom style="thin">
        <color rgb="FFCCCCCC"/>
      </bottom>
      <diagonal/>
    </border>
    <border>
      <left/>
      <right style="medium">
        <color indexed="64"/>
      </right>
      <top/>
      <bottom style="thin">
        <color rgb="FFB7B7B7"/>
      </bottom>
      <diagonal/>
    </border>
    <border>
      <left style="thin">
        <color rgb="FFB7B7B7"/>
      </left>
      <right style="medium">
        <color indexed="64"/>
      </right>
      <top style="thin">
        <color rgb="FFB7B7B7"/>
      </top>
      <bottom style="thin">
        <color rgb="FFB7B7B7"/>
      </bottom>
      <diagonal/>
    </border>
    <border>
      <left style="medium">
        <color indexed="64"/>
      </left>
      <right style="medium">
        <color rgb="FF000000"/>
      </right>
      <top style="thin">
        <color rgb="FFD9D9D9"/>
      </top>
      <bottom style="thin">
        <color rgb="FFD9D9D9"/>
      </bottom>
      <diagonal/>
    </border>
    <border>
      <left style="thin">
        <color rgb="FFD9D9D9"/>
      </left>
      <right style="medium">
        <color indexed="64"/>
      </right>
      <top style="thin">
        <color rgb="FFD9D9D9"/>
      </top>
      <bottom style="thin">
        <color rgb="FFD9D9D9"/>
      </bottom>
      <diagonal/>
    </border>
    <border>
      <left style="medium">
        <color indexed="64"/>
      </left>
      <right style="medium">
        <color indexed="64"/>
      </right>
      <top/>
      <bottom style="thin">
        <color rgb="FFB7B7B7"/>
      </bottom>
      <diagonal/>
    </border>
    <border>
      <left style="medium">
        <color indexed="64"/>
      </left>
      <right style="medium">
        <color indexed="64"/>
      </right>
      <top style="thin">
        <color rgb="FFB7B7B7"/>
      </top>
      <bottom/>
      <diagonal/>
    </border>
    <border>
      <left style="medium">
        <color indexed="64"/>
      </left>
      <right style="medium">
        <color indexed="64"/>
      </right>
      <top style="thin">
        <color rgb="FFCCCCCC"/>
      </top>
      <bottom style="thin">
        <color rgb="FFCCCCCC"/>
      </bottom>
      <diagonal/>
    </border>
    <border>
      <left style="medium">
        <color indexed="64"/>
      </left>
      <right style="medium">
        <color indexed="64"/>
      </right>
      <top style="thin">
        <color rgb="FFB7B7B7"/>
      </top>
      <bottom style="thin">
        <color rgb="FFB7B7B7"/>
      </bottom>
      <diagonal/>
    </border>
    <border>
      <left style="medium">
        <color indexed="64"/>
      </left>
      <right style="medium">
        <color indexed="64"/>
      </right>
      <top style="thin">
        <color rgb="FFD9D9D9"/>
      </top>
      <bottom style="thin">
        <color rgb="FFD9D9D9"/>
      </bottom>
      <diagonal/>
    </border>
    <border>
      <left style="thick">
        <color auto="1"/>
      </left>
      <right style="thin">
        <color auto="1"/>
      </right>
      <top style="thick">
        <color auto="1"/>
      </top>
      <bottom/>
      <diagonal/>
    </border>
    <border>
      <left style="medium">
        <color indexed="64"/>
      </left>
      <right/>
      <top style="medium">
        <color auto="1"/>
      </top>
      <bottom style="thin">
        <color theme="0" tint="-0.24994659260841701"/>
      </bottom>
      <diagonal/>
    </border>
    <border>
      <left style="medium">
        <color indexed="64"/>
      </left>
      <right/>
      <top/>
      <bottom style="thin">
        <color rgb="FFD9D9D9"/>
      </bottom>
      <diagonal/>
    </border>
    <border>
      <left/>
      <right/>
      <top/>
      <bottom style="thin">
        <color rgb="FFD9D9D9"/>
      </bottom>
      <diagonal/>
    </border>
    <border>
      <left/>
      <right style="thin">
        <color rgb="FFD9D9D9"/>
      </right>
      <top/>
      <bottom style="thin">
        <color rgb="FFD9D9D9"/>
      </bottom>
      <diagonal/>
    </border>
    <border>
      <left style="medium">
        <color auto="1"/>
      </left>
      <right style="thin">
        <color auto="1"/>
      </right>
      <top style="thick">
        <color auto="1"/>
      </top>
      <bottom/>
      <diagonal/>
    </border>
    <border>
      <left style="medium">
        <color indexed="64"/>
      </left>
      <right style="medium">
        <color indexed="64"/>
      </right>
      <top style="medium">
        <color indexed="64"/>
      </top>
      <bottom style="medium">
        <color indexed="64"/>
      </bottom>
      <diagonal/>
    </border>
    <border>
      <left/>
      <right style="thin">
        <color rgb="FFD9D9D9"/>
      </right>
      <top style="thin">
        <color rgb="FFD9D9D9"/>
      </top>
      <bottom style="medium">
        <color indexed="64"/>
      </bottom>
      <diagonal/>
    </border>
    <border>
      <left style="medium">
        <color auto="1"/>
      </left>
      <right style="medium">
        <color indexed="64"/>
      </right>
      <top style="thin">
        <color auto="1"/>
      </top>
      <bottom style="thin">
        <color auto="1"/>
      </bottom>
      <diagonal/>
    </border>
    <border>
      <left style="medium">
        <color auto="1"/>
      </left>
      <right style="medium">
        <color indexed="64"/>
      </right>
      <top style="thin">
        <color auto="1"/>
      </top>
      <bottom style="medium">
        <color auto="1"/>
      </bottom>
      <diagonal/>
    </border>
    <border>
      <left style="thin">
        <color rgb="FFB7B7B7"/>
      </left>
      <right style="medium">
        <color indexed="64"/>
      </right>
      <top/>
      <bottom style="thin">
        <color rgb="FFB7B7B7"/>
      </bottom>
      <diagonal/>
    </border>
    <border>
      <left style="thin">
        <color rgb="FFB7B7B7"/>
      </left>
      <right style="medium">
        <color indexed="64"/>
      </right>
      <top/>
      <bottom/>
      <diagonal/>
    </border>
    <border>
      <left style="thin">
        <color rgb="FFD9D9D9"/>
      </left>
      <right style="medium">
        <color indexed="64"/>
      </right>
      <top style="thin">
        <color rgb="FFD9D9D9"/>
      </top>
      <bottom style="medium">
        <color indexed="64"/>
      </bottom>
      <diagonal/>
    </border>
    <border>
      <left/>
      <right style="thin">
        <color rgb="FFCCCCCC"/>
      </right>
      <top style="thin">
        <color rgb="FFCCCCCC"/>
      </top>
      <bottom style="thin">
        <color rgb="FFCCCCCC"/>
      </bottom>
      <diagonal/>
    </border>
    <border>
      <left/>
      <right style="medium">
        <color rgb="FF000000"/>
      </right>
      <top style="thin">
        <color rgb="FFD9D9D9"/>
      </top>
      <bottom style="thin">
        <color rgb="FFD9D9D9"/>
      </bottom>
      <diagonal/>
    </border>
  </borders>
  <cellStyleXfs count="25">
    <xf numFmtId="0" fontId="0" fillId="0" borderId="0"/>
    <xf numFmtId="44" fontId="152" fillId="0" borderId="0" applyFont="0" applyFill="0" applyBorder="0" applyAlignment="0" applyProtection="0"/>
    <xf numFmtId="9" fontId="152" fillId="0" borderId="0" applyFont="0" applyFill="0" applyBorder="0" applyAlignment="0" applyProtection="0"/>
    <xf numFmtId="0" fontId="12" fillId="0" borderId="193"/>
    <xf numFmtId="43" fontId="152" fillId="0" borderId="0" applyFont="0" applyFill="0" applyBorder="0" applyAlignment="0" applyProtection="0"/>
    <xf numFmtId="0" fontId="12" fillId="0" borderId="193"/>
    <xf numFmtId="0" fontId="166" fillId="0" borderId="193"/>
    <xf numFmtId="0" fontId="5" fillId="0" borderId="193"/>
    <xf numFmtId="0" fontId="166" fillId="0" borderId="193"/>
    <xf numFmtId="44" fontId="5" fillId="0" borderId="193" applyFont="0" applyFill="0" applyBorder="0" applyAlignment="0" applyProtection="0"/>
    <xf numFmtId="9" fontId="5" fillId="0" borderId="193" applyFont="0" applyFill="0" applyBorder="0" applyAlignment="0" applyProtection="0"/>
    <xf numFmtId="43" fontId="5" fillId="0" borderId="193" applyFont="0" applyFill="0" applyBorder="0" applyAlignment="0" applyProtection="0"/>
    <xf numFmtId="0" fontId="5" fillId="0" borderId="193"/>
    <xf numFmtId="0" fontId="223" fillId="0" borderId="193"/>
    <xf numFmtId="44" fontId="223" fillId="0" borderId="193" applyFont="0" applyFill="0" applyBorder="0" applyAlignment="0" applyProtection="0"/>
    <xf numFmtId="9" fontId="223" fillId="0" borderId="193" applyFont="0" applyFill="0" applyBorder="0" applyAlignment="0" applyProtection="0"/>
    <xf numFmtId="0" fontId="223" fillId="0" borderId="193"/>
    <xf numFmtId="0" fontId="235" fillId="0" borderId="193"/>
    <xf numFmtId="44" fontId="223" fillId="0" borderId="193" applyFont="0" applyFill="0" applyBorder="0" applyAlignment="0" applyProtection="0"/>
    <xf numFmtId="172" fontId="166" fillId="0" borderId="193" applyFont="0" applyFill="0" applyBorder="0" applyAlignment="0" applyProtection="0"/>
    <xf numFmtId="172" fontId="166" fillId="0" borderId="193" applyFont="0" applyFill="0" applyBorder="0" applyAlignment="0" applyProtection="0"/>
    <xf numFmtId="172" fontId="238" fillId="0" borderId="193" applyFont="0" applyFill="0" applyBorder="0" applyAlignment="0" applyProtection="0"/>
    <xf numFmtId="0" fontId="152" fillId="0" borderId="193"/>
    <xf numFmtId="43" fontId="223" fillId="0" borderId="193" applyFont="0" applyFill="0" applyBorder="0" applyAlignment="0" applyProtection="0"/>
    <xf numFmtId="0" fontId="152" fillId="0" borderId="193"/>
  </cellStyleXfs>
  <cellXfs count="3510">
    <xf numFmtId="0" fontId="0" fillId="0" borderId="0" xfId="0"/>
    <xf numFmtId="0" fontId="7" fillId="3" borderId="0" xfId="0" applyFont="1" applyFill="1" applyAlignment="1">
      <alignment horizontal="center" vertical="center" wrapText="1"/>
    </xf>
    <xf numFmtId="165" fontId="7" fillId="3" borderId="0" xfId="0" applyNumberFormat="1" applyFont="1" applyFill="1" applyAlignment="1">
      <alignment horizontal="center" vertical="center" wrapText="1"/>
    </xf>
    <xf numFmtId="0" fontId="8" fillId="0" borderId="0" xfId="0" applyFont="1" applyAlignment="1">
      <alignment horizontal="center"/>
    </xf>
    <xf numFmtId="0" fontId="8" fillId="0" borderId="0" xfId="0" applyFont="1"/>
    <xf numFmtId="165" fontId="8" fillId="0" borderId="0" xfId="0" applyNumberFormat="1" applyFont="1" applyAlignment="1">
      <alignment horizontal="center"/>
    </xf>
    <xf numFmtId="0" fontId="9" fillId="4" borderId="0" xfId="0" applyFont="1" applyFill="1"/>
    <xf numFmtId="165" fontId="9" fillId="4" borderId="0" xfId="0" applyNumberFormat="1" applyFont="1" applyFill="1"/>
    <xf numFmtId="0" fontId="10" fillId="0" borderId="0" xfId="0" applyFont="1" applyAlignment="1">
      <alignment horizontal="center"/>
    </xf>
    <xf numFmtId="0" fontId="10" fillId="0" borderId="0" xfId="0" applyFont="1" applyAlignment="1">
      <alignment horizontal="left"/>
    </xf>
    <xf numFmtId="165" fontId="10" fillId="0" borderId="0" xfId="0" applyNumberFormat="1" applyFont="1" applyAlignment="1">
      <alignment horizontal="center"/>
    </xf>
    <xf numFmtId="0" fontId="14" fillId="7" borderId="0" xfId="0" applyFont="1" applyFill="1" applyAlignment="1">
      <alignment horizontal="center" vertical="center"/>
    </xf>
    <xf numFmtId="0" fontId="15" fillId="8" borderId="0" xfId="0" applyFont="1" applyFill="1" applyAlignment="1">
      <alignment horizontal="left" vertical="center" wrapText="1"/>
    </xf>
    <xf numFmtId="0" fontId="17" fillId="9" borderId="0" xfId="0" applyFont="1" applyFill="1" applyAlignment="1">
      <alignment horizontal="left" vertical="center" wrapText="1"/>
    </xf>
    <xf numFmtId="166" fontId="17" fillId="9" borderId="0" xfId="0" applyNumberFormat="1" applyFont="1" applyFill="1" applyAlignment="1">
      <alignment horizontal="center" vertical="center"/>
    </xf>
    <xf numFmtId="0" fontId="17" fillId="9" borderId="0" xfId="0" applyFont="1" applyFill="1" applyAlignment="1">
      <alignment horizontal="center" vertical="center"/>
    </xf>
    <xf numFmtId="0" fontId="18" fillId="10" borderId="5" xfId="0" applyFont="1" applyFill="1" applyBorder="1" applyAlignment="1">
      <alignment horizontal="left" vertical="center" wrapText="1"/>
    </xf>
    <xf numFmtId="0" fontId="16" fillId="0" borderId="5" xfId="0" applyFont="1" applyBorder="1" applyAlignment="1">
      <alignment horizontal="center" vertical="center"/>
    </xf>
    <xf numFmtId="0" fontId="18" fillId="0" borderId="5" xfId="0" applyFont="1" applyBorder="1" applyAlignment="1">
      <alignment horizontal="left" vertical="center" wrapText="1"/>
    </xf>
    <xf numFmtId="0" fontId="17" fillId="11" borderId="0" xfId="0" applyFont="1" applyFill="1" applyAlignment="1">
      <alignment horizontal="left" vertical="center" wrapText="1"/>
    </xf>
    <xf numFmtId="166" fontId="17" fillId="11" borderId="0" xfId="0" applyNumberFormat="1" applyFont="1" applyFill="1" applyAlignment="1">
      <alignment horizontal="center" vertical="center"/>
    </xf>
    <xf numFmtId="0" fontId="17" fillId="11" borderId="0" xfId="0" applyFont="1" applyFill="1" applyAlignment="1">
      <alignment horizontal="center" vertical="center"/>
    </xf>
    <xf numFmtId="0" fontId="18" fillId="11" borderId="5" xfId="0" applyFont="1" applyFill="1" applyBorder="1" applyAlignment="1">
      <alignment horizontal="left" vertical="center" wrapText="1"/>
    </xf>
    <xf numFmtId="0" fontId="16" fillId="11" borderId="5" xfId="0" applyFont="1" applyFill="1" applyBorder="1" applyAlignment="1">
      <alignment horizontal="center" vertical="center"/>
    </xf>
    <xf numFmtId="0" fontId="17" fillId="9" borderId="5" xfId="0" applyFont="1" applyFill="1" applyBorder="1" applyAlignment="1">
      <alignment horizontal="left" vertical="center" wrapText="1"/>
    </xf>
    <xf numFmtId="166" fontId="17" fillId="9" borderId="5" xfId="0" applyNumberFormat="1" applyFont="1" applyFill="1" applyBorder="1" applyAlignment="1">
      <alignment horizontal="center" vertical="center"/>
    </xf>
    <xf numFmtId="0" fontId="17" fillId="9" borderId="6" xfId="0" applyFont="1" applyFill="1" applyBorder="1" applyAlignment="1">
      <alignment horizontal="left" vertical="center" wrapText="1"/>
    </xf>
    <xf numFmtId="166" fontId="17" fillId="9" borderId="6" xfId="0" applyNumberFormat="1" applyFont="1" applyFill="1" applyBorder="1" applyAlignment="1">
      <alignment horizontal="center" vertical="center"/>
    </xf>
    <xf numFmtId="0" fontId="17" fillId="9" borderId="5" xfId="0" applyFont="1" applyFill="1" applyBorder="1" applyAlignment="1">
      <alignment horizontal="center" vertical="center"/>
    </xf>
    <xf numFmtId="0" fontId="17" fillId="9" borderId="7" xfId="0" applyFont="1" applyFill="1" applyBorder="1" applyAlignment="1">
      <alignment horizontal="center" vertical="center" wrapText="1"/>
    </xf>
    <xf numFmtId="10" fontId="19" fillId="9" borderId="7" xfId="0" applyNumberFormat="1" applyFont="1" applyFill="1" applyBorder="1" applyAlignment="1">
      <alignment horizontal="center" vertical="center" wrapText="1"/>
    </xf>
    <xf numFmtId="10" fontId="21" fillId="9" borderId="7" xfId="0" applyNumberFormat="1" applyFont="1" applyFill="1" applyBorder="1" applyAlignment="1">
      <alignment horizontal="center" vertical="center" wrapText="1"/>
    </xf>
    <xf numFmtId="0" fontId="21" fillId="9" borderId="7" xfId="0" applyFont="1" applyFill="1" applyBorder="1" applyAlignment="1">
      <alignment horizontal="center" vertical="center" wrapText="1"/>
    </xf>
    <xf numFmtId="0" fontId="23" fillId="0" borderId="0" xfId="0" applyFont="1" applyAlignment="1">
      <alignment horizontal="center" wrapText="1"/>
    </xf>
    <xf numFmtId="0" fontId="8" fillId="0" borderId="0" xfId="0" applyFont="1" applyAlignment="1">
      <alignment horizontal="center" wrapText="1"/>
    </xf>
    <xf numFmtId="49" fontId="24" fillId="0" borderId="12" xfId="0" applyNumberFormat="1" applyFont="1" applyBorder="1" applyAlignment="1">
      <alignment vertical="center" wrapText="1"/>
    </xf>
    <xf numFmtId="0" fontId="25" fillId="0" borderId="0" xfId="0" applyFont="1" applyAlignment="1">
      <alignment wrapText="1"/>
    </xf>
    <xf numFmtId="49" fontId="24" fillId="0" borderId="14" xfId="0" applyNumberFormat="1" applyFont="1" applyBorder="1" applyAlignment="1">
      <alignment vertical="center" wrapText="1"/>
    </xf>
    <xf numFmtId="0" fontId="8" fillId="0" borderId="0" xfId="0" applyFont="1" applyAlignment="1">
      <alignment wrapText="1"/>
    </xf>
    <xf numFmtId="0" fontId="23" fillId="0" borderId="20" xfId="0" applyFont="1" applyBorder="1" applyAlignment="1">
      <alignment horizontal="left" vertical="center" wrapText="1"/>
    </xf>
    <xf numFmtId="0" fontId="23" fillId="0" borderId="0" xfId="0" applyFont="1" applyAlignment="1">
      <alignment horizontal="left" vertical="top" wrapText="1"/>
    </xf>
    <xf numFmtId="0" fontId="25" fillId="0" borderId="20" xfId="0" applyFont="1" applyBorder="1" applyAlignment="1">
      <alignment horizontal="center"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21" xfId="0" applyFont="1" applyBorder="1" applyAlignment="1">
      <alignment horizontal="center" vertical="center" wrapText="1"/>
    </xf>
    <xf numFmtId="0" fontId="24" fillId="12" borderId="22" xfId="0" applyFont="1" applyFill="1" applyBorder="1" applyAlignment="1">
      <alignment horizontal="center" wrapText="1"/>
    </xf>
    <xf numFmtId="0" fontId="24" fillId="12" borderId="23" xfId="0" applyFont="1" applyFill="1" applyBorder="1" applyAlignment="1">
      <alignment horizontal="left" wrapText="1"/>
    </xf>
    <xf numFmtId="0" fontId="24" fillId="12" borderId="24" xfId="0" applyFont="1" applyFill="1" applyBorder="1" applyAlignment="1">
      <alignment horizontal="left" wrapText="1"/>
    </xf>
    <xf numFmtId="0" fontId="29" fillId="0" borderId="21" xfId="0" applyFont="1" applyBorder="1" applyAlignment="1">
      <alignment horizontal="center" vertical="center" wrapText="1"/>
    </xf>
    <xf numFmtId="0" fontId="24" fillId="0" borderId="28" xfId="0" applyFont="1" applyBorder="1" applyAlignment="1">
      <alignment horizontal="center" vertical="center" wrapText="1"/>
    </xf>
    <xf numFmtId="0" fontId="25" fillId="0" borderId="29" xfId="0" applyFont="1" applyBorder="1" applyAlignment="1">
      <alignment horizontal="left" vertical="center"/>
    </xf>
    <xf numFmtId="0" fontId="25" fillId="0" borderId="30" xfId="0" applyFont="1" applyBorder="1" applyAlignment="1">
      <alignment horizontal="left" vertical="center"/>
    </xf>
    <xf numFmtId="0" fontId="25" fillId="0" borderId="0" xfId="0" applyFont="1" applyAlignment="1">
      <alignment vertical="center" wrapText="1"/>
    </xf>
    <xf numFmtId="0" fontId="24" fillId="0" borderId="34" xfId="0" applyFont="1" applyBorder="1" applyAlignment="1">
      <alignment horizontal="center" vertical="center" wrapText="1"/>
    </xf>
    <xf numFmtId="0" fontId="25" fillId="3" borderId="35" xfId="0" applyFont="1" applyFill="1" applyBorder="1" applyAlignment="1">
      <alignment horizontal="left" wrapText="1"/>
    </xf>
    <xf numFmtId="0" fontId="25" fillId="3" borderId="36" xfId="0" applyFont="1" applyFill="1" applyBorder="1" applyAlignment="1">
      <alignment horizontal="left" wrapText="1"/>
    </xf>
    <xf numFmtId="0" fontId="25" fillId="0" borderId="35" xfId="0" applyFont="1" applyBorder="1" applyAlignment="1">
      <alignment horizontal="left" vertical="center" wrapText="1"/>
    </xf>
    <xf numFmtId="0" fontId="25" fillId="0" borderId="38" xfId="0" applyFont="1" applyBorder="1" applyAlignment="1">
      <alignment horizontal="left" vertical="center" wrapText="1"/>
    </xf>
    <xf numFmtId="0" fontId="25" fillId="3" borderId="39" xfId="0" applyFont="1" applyFill="1" applyBorder="1" applyAlignment="1">
      <alignment horizontal="left" wrapText="1"/>
    </xf>
    <xf numFmtId="0" fontId="25" fillId="3" borderId="27" xfId="0" applyFont="1" applyFill="1" applyBorder="1" applyAlignment="1">
      <alignment horizontal="left" wrapText="1"/>
    </xf>
    <xf numFmtId="0" fontId="25" fillId="3" borderId="35" xfId="0" applyFont="1" applyFill="1" applyBorder="1" applyAlignment="1">
      <alignment horizontal="left" vertical="center" wrapText="1"/>
    </xf>
    <xf numFmtId="0" fontId="25" fillId="3" borderId="38" xfId="0" applyFont="1" applyFill="1" applyBorder="1" applyAlignment="1">
      <alignment horizontal="left" vertical="center" wrapText="1"/>
    </xf>
    <xf numFmtId="0" fontId="25" fillId="0" borderId="36" xfId="0" applyFont="1" applyBorder="1" applyAlignment="1">
      <alignment horizontal="left" vertical="center" wrapText="1"/>
    </xf>
    <xf numFmtId="0" fontId="25" fillId="3" borderId="36" xfId="0" applyFont="1" applyFill="1" applyBorder="1" applyAlignment="1">
      <alignment horizontal="left" vertical="center" wrapText="1"/>
    </xf>
    <xf numFmtId="0" fontId="24" fillId="3" borderId="41" xfId="0" applyFont="1" applyFill="1" applyBorder="1" applyAlignment="1">
      <alignment horizontal="center" vertical="center" wrapText="1"/>
    </xf>
    <xf numFmtId="0" fontId="25" fillId="0" borderId="42" xfId="0" applyFont="1" applyBorder="1" applyAlignment="1">
      <alignment horizontal="left" vertical="center" wrapText="1"/>
    </xf>
    <xf numFmtId="0" fontId="25" fillId="0" borderId="43" xfId="0" applyFont="1" applyBorder="1" applyAlignment="1">
      <alignment horizontal="left" vertical="center" wrapText="1"/>
    </xf>
    <xf numFmtId="0" fontId="25" fillId="3" borderId="44" xfId="0" applyFont="1" applyFill="1" applyBorder="1" applyAlignment="1">
      <alignment horizontal="left" wrapText="1"/>
    </xf>
    <xf numFmtId="0" fontId="25" fillId="3" borderId="45" xfId="0" applyFont="1" applyFill="1" applyBorder="1" applyAlignment="1">
      <alignment horizontal="left" vertical="center" wrapText="1"/>
    </xf>
    <xf numFmtId="0" fontId="24" fillId="0" borderId="46" xfId="0" applyFont="1" applyBorder="1" applyAlignment="1">
      <alignment horizontal="center" vertical="center" wrapText="1"/>
    </xf>
    <xf numFmtId="0" fontId="25" fillId="0" borderId="39" xfId="0" applyFont="1" applyBorder="1" applyAlignment="1">
      <alignment horizontal="left" wrapText="1"/>
    </xf>
    <xf numFmtId="0" fontId="25" fillId="0" borderId="27" xfId="0" applyFont="1" applyBorder="1" applyAlignment="1">
      <alignment horizontal="left" wrapText="1"/>
    </xf>
    <xf numFmtId="0" fontId="24" fillId="0" borderId="41" xfId="0" applyFont="1" applyBorder="1" applyAlignment="1">
      <alignment horizontal="center" vertical="center" wrapText="1"/>
    </xf>
    <xf numFmtId="0" fontId="25" fillId="0" borderId="35" xfId="0" applyFont="1" applyBorder="1" applyAlignment="1">
      <alignment horizontal="left" wrapText="1"/>
    </xf>
    <xf numFmtId="0" fontId="25" fillId="0" borderId="36" xfId="0" applyFont="1" applyBorder="1" applyAlignment="1">
      <alignment horizontal="left" wrapText="1"/>
    </xf>
    <xf numFmtId="0" fontId="25" fillId="3" borderId="42" xfId="0" applyFont="1" applyFill="1" applyBorder="1" applyAlignment="1">
      <alignment horizontal="left" vertical="center" wrapText="1"/>
    </xf>
    <xf numFmtId="0" fontId="25" fillId="3" borderId="43" xfId="0" applyFont="1" applyFill="1" applyBorder="1" applyAlignment="1">
      <alignment horizontal="left" vertical="center" wrapText="1"/>
    </xf>
    <xf numFmtId="0" fontId="30" fillId="0" borderId="47" xfId="0" applyFont="1" applyBorder="1" applyAlignment="1">
      <alignment horizontal="center" wrapText="1"/>
    </xf>
    <xf numFmtId="0" fontId="30" fillId="0" borderId="48" xfId="0" applyFont="1" applyBorder="1" applyAlignment="1">
      <alignment horizontal="center" wrapText="1"/>
    </xf>
    <xf numFmtId="0" fontId="30" fillId="0" borderId="49" xfId="0" applyFont="1" applyBorder="1" applyAlignment="1">
      <alignment horizontal="center" wrapText="1"/>
    </xf>
    <xf numFmtId="0" fontId="8" fillId="0" borderId="20" xfId="0" applyFont="1" applyBorder="1" applyAlignment="1">
      <alignment horizontal="center" wrapText="1"/>
    </xf>
    <xf numFmtId="0" fontId="8" fillId="0" borderId="21" xfId="0" applyFont="1" applyBorder="1" applyAlignment="1">
      <alignment horizontal="center" wrapText="1"/>
    </xf>
    <xf numFmtId="0" fontId="8" fillId="0" borderId="50" xfId="0" applyFont="1" applyBorder="1" applyAlignment="1">
      <alignment horizontal="center" wrapText="1"/>
    </xf>
    <xf numFmtId="0" fontId="8" fillId="0" borderId="51" xfId="0" applyFont="1" applyBorder="1" applyAlignment="1">
      <alignment horizontal="center" wrapText="1"/>
    </xf>
    <xf numFmtId="0" fontId="8" fillId="0" borderId="30" xfId="0" applyFont="1" applyBorder="1" applyAlignment="1">
      <alignment horizontal="center" wrapText="1"/>
    </xf>
    <xf numFmtId="0" fontId="23" fillId="0" borderId="0" xfId="0" applyFont="1" applyAlignment="1">
      <alignment wrapText="1"/>
    </xf>
    <xf numFmtId="49" fontId="26" fillId="0" borderId="54" xfId="0" applyNumberFormat="1" applyFont="1" applyBorder="1" applyAlignment="1">
      <alignment horizontal="left" vertical="center" wrapText="1" readingOrder="1"/>
    </xf>
    <xf numFmtId="49" fontId="26" fillId="0" borderId="12" xfId="0" applyNumberFormat="1" applyFont="1" applyBorder="1" applyAlignment="1">
      <alignment horizontal="left" vertical="center" wrapText="1" readingOrder="1"/>
    </xf>
    <xf numFmtId="0" fontId="23" fillId="0" borderId="0" xfId="0" applyFont="1" applyAlignment="1">
      <alignment horizontal="center" vertical="center" wrapText="1"/>
    </xf>
    <xf numFmtId="0" fontId="23" fillId="0" borderId="0" xfId="0" applyFont="1" applyAlignment="1">
      <alignment horizontal="left" vertical="center" wrapText="1"/>
    </xf>
    <xf numFmtId="0" fontId="23" fillId="0" borderId="21" xfId="0" applyFont="1" applyBorder="1" applyAlignment="1">
      <alignment horizontal="left" vertical="center" wrapText="1"/>
    </xf>
    <xf numFmtId="49" fontId="24" fillId="0" borderId="54" xfId="0" applyNumberFormat="1" applyFont="1" applyBorder="1" applyAlignment="1">
      <alignment horizontal="left" vertical="center" wrapText="1" readingOrder="1"/>
    </xf>
    <xf numFmtId="49" fontId="24" fillId="0" borderId="12" xfId="0" applyNumberFormat="1" applyFont="1" applyBorder="1" applyAlignment="1">
      <alignment horizontal="left" vertical="center" wrapText="1" readingOrder="1"/>
    </xf>
    <xf numFmtId="0" fontId="33" fillId="0" borderId="20" xfId="0" applyFont="1" applyBorder="1" applyAlignment="1">
      <alignment horizontal="right" vertical="center" wrapText="1"/>
    </xf>
    <xf numFmtId="0" fontId="33" fillId="0" borderId="0" xfId="0" applyFont="1" applyAlignment="1">
      <alignment horizontal="center" vertical="center" wrapText="1"/>
    </xf>
    <xf numFmtId="0" fontId="36" fillId="13" borderId="61" xfId="0" applyFont="1" applyFill="1" applyBorder="1" applyAlignment="1">
      <alignment horizontal="center" vertical="center" wrapText="1"/>
    </xf>
    <xf numFmtId="0" fontId="36" fillId="13" borderId="61" xfId="0" applyFont="1" applyFill="1" applyBorder="1" applyAlignment="1">
      <alignment horizontal="left" vertical="center" wrapText="1"/>
    </xf>
    <xf numFmtId="0" fontId="36" fillId="13" borderId="16" xfId="0" applyFont="1" applyFill="1" applyBorder="1" applyAlignment="1">
      <alignment horizontal="center" vertical="center" wrapText="1"/>
    </xf>
    <xf numFmtId="10" fontId="26" fillId="0" borderId="61" xfId="0" applyNumberFormat="1" applyFont="1" applyBorder="1" applyAlignment="1">
      <alignment horizontal="center" vertical="center" wrapText="1"/>
    </xf>
    <xf numFmtId="10" fontId="26" fillId="0" borderId="61" xfId="0" applyNumberFormat="1" applyFont="1" applyBorder="1" applyAlignment="1">
      <alignment horizontal="left" vertical="center" wrapText="1"/>
    </xf>
    <xf numFmtId="10" fontId="26" fillId="0" borderId="16" xfId="0" applyNumberFormat="1" applyFont="1" applyBorder="1" applyAlignment="1">
      <alignment horizontal="center" vertical="center" wrapText="1"/>
    </xf>
    <xf numFmtId="10" fontId="36" fillId="14" borderId="61" xfId="0" applyNumberFormat="1" applyFont="1" applyFill="1" applyBorder="1" applyAlignment="1">
      <alignment horizontal="center" vertical="center" wrapText="1"/>
    </xf>
    <xf numFmtId="10" fontId="36" fillId="14" borderId="61" xfId="0" applyNumberFormat="1" applyFont="1" applyFill="1" applyBorder="1" applyAlignment="1">
      <alignment horizontal="left" vertical="center" wrapText="1"/>
    </xf>
    <xf numFmtId="10" fontId="36" fillId="14" borderId="16" xfId="0" applyNumberFormat="1" applyFont="1" applyFill="1" applyBorder="1" applyAlignment="1">
      <alignment horizontal="center" vertical="center" wrapText="1"/>
    </xf>
    <xf numFmtId="10" fontId="36" fillId="14" borderId="62" xfId="0" applyNumberFormat="1" applyFont="1" applyFill="1" applyBorder="1" applyAlignment="1">
      <alignment horizontal="center" vertical="center" wrapText="1"/>
    </xf>
    <xf numFmtId="10" fontId="36" fillId="14" borderId="62" xfId="0" applyNumberFormat="1" applyFont="1" applyFill="1" applyBorder="1" applyAlignment="1">
      <alignment horizontal="left" vertical="center" wrapText="1"/>
    </xf>
    <xf numFmtId="10" fontId="36" fillId="14" borderId="30" xfId="0" applyNumberFormat="1" applyFont="1" applyFill="1" applyBorder="1" applyAlignment="1">
      <alignment horizontal="center" vertical="center" wrapText="1"/>
    </xf>
    <xf numFmtId="49" fontId="39" fillId="0" borderId="63" xfId="0" applyNumberFormat="1" applyFont="1" applyBorder="1" applyAlignment="1">
      <alignment horizontal="left" vertical="center"/>
    </xf>
    <xf numFmtId="10" fontId="39" fillId="0" borderId="67" xfId="0" applyNumberFormat="1" applyFont="1" applyBorder="1" applyAlignment="1">
      <alignment horizontal="left" vertical="center"/>
    </xf>
    <xf numFmtId="10" fontId="10" fillId="0" borderId="68" xfId="0" applyNumberFormat="1" applyFont="1" applyBorder="1" applyAlignment="1">
      <alignment horizontal="center" vertical="center"/>
    </xf>
    <xf numFmtId="0" fontId="10" fillId="0" borderId="0" xfId="0" applyFont="1"/>
    <xf numFmtId="49" fontId="39" fillId="0" borderId="69" xfId="0" applyNumberFormat="1" applyFont="1" applyBorder="1" applyAlignment="1">
      <alignment horizontal="left" vertical="center"/>
    </xf>
    <xf numFmtId="14" fontId="39" fillId="0" borderId="73" xfId="0" applyNumberFormat="1" applyFont="1" applyBorder="1" applyAlignment="1">
      <alignment horizontal="left" vertical="center"/>
    </xf>
    <xf numFmtId="10" fontId="10" fillId="0" borderId="74" xfId="0" applyNumberFormat="1" applyFont="1" applyBorder="1" applyAlignment="1">
      <alignment horizontal="center" vertical="center"/>
    </xf>
    <xf numFmtId="167" fontId="39" fillId="0" borderId="73" xfId="0" applyNumberFormat="1" applyFont="1" applyBorder="1" applyAlignment="1">
      <alignment horizontal="left" vertical="center"/>
    </xf>
    <xf numFmtId="14" fontId="10" fillId="0" borderId="74" xfId="0" applyNumberFormat="1" applyFont="1" applyBorder="1" applyAlignment="1">
      <alignment horizontal="center" vertical="center"/>
    </xf>
    <xf numFmtId="49" fontId="39" fillId="0" borderId="75" xfId="0" applyNumberFormat="1" applyFont="1" applyBorder="1" applyAlignment="1">
      <alignment horizontal="left" vertical="center"/>
    </xf>
    <xf numFmtId="4" fontId="39" fillId="0" borderId="78" xfId="0" applyNumberFormat="1" applyFont="1" applyBorder="1" applyAlignment="1">
      <alignment horizontal="left" vertical="center"/>
    </xf>
    <xf numFmtId="10" fontId="10" fillId="0" borderId="21" xfId="0" applyNumberFormat="1" applyFont="1" applyBorder="1" applyAlignment="1">
      <alignment horizontal="center" vertical="center"/>
    </xf>
    <xf numFmtId="0" fontId="41" fillId="0" borderId="0" xfId="0" applyFont="1"/>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8" xfId="0" applyFont="1" applyBorder="1" applyAlignment="1">
      <alignment horizontal="center" vertical="center" wrapText="1"/>
    </xf>
    <xf numFmtId="0" fontId="42" fillId="3" borderId="79" xfId="0" applyFont="1" applyFill="1" applyBorder="1" applyAlignment="1">
      <alignment horizontal="center"/>
    </xf>
    <xf numFmtId="0" fontId="42" fillId="3" borderId="80" xfId="0" applyFont="1" applyFill="1" applyBorder="1"/>
    <xf numFmtId="0" fontId="38" fillId="0" borderId="0" xfId="0" applyFont="1"/>
    <xf numFmtId="0" fontId="38" fillId="0" borderId="81" xfId="0" applyFont="1" applyBorder="1" applyAlignment="1">
      <alignment horizontal="center"/>
    </xf>
    <xf numFmtId="0" fontId="38" fillId="0" borderId="82" xfId="0" applyFont="1" applyBorder="1"/>
    <xf numFmtId="0" fontId="25" fillId="0" borderId="81" xfId="0" applyFont="1" applyBorder="1" applyAlignment="1">
      <alignment horizontal="center"/>
    </xf>
    <xf numFmtId="0" fontId="25" fillId="0" borderId="0" xfId="0" applyFont="1" applyAlignment="1">
      <alignment horizontal="center"/>
    </xf>
    <xf numFmtId="0" fontId="25" fillId="0" borderId="0" xfId="0" applyFont="1"/>
    <xf numFmtId="0" fontId="26" fillId="3" borderId="79" xfId="0" applyFont="1" applyFill="1" applyBorder="1" applyAlignment="1">
      <alignment horizontal="center"/>
    </xf>
    <xf numFmtId="0" fontId="26" fillId="3" borderId="80" xfId="0" applyFont="1" applyFill="1" applyBorder="1"/>
    <xf numFmtId="0" fontId="23" fillId="0" borderId="0" xfId="0" applyFont="1"/>
    <xf numFmtId="0" fontId="38" fillId="0" borderId="82" xfId="0" applyFont="1" applyBorder="1" applyAlignment="1">
      <alignment vertical="center"/>
    </xf>
    <xf numFmtId="0" fontId="38" fillId="0" borderId="0" xfId="0" applyFont="1" applyAlignment="1">
      <alignment horizontal="center"/>
    </xf>
    <xf numFmtId="0" fontId="25" fillId="0" borderId="83" xfId="0" applyFont="1" applyBorder="1" applyAlignment="1">
      <alignment horizontal="center"/>
    </xf>
    <xf numFmtId="0" fontId="24" fillId="3" borderId="80" xfId="0" applyFont="1" applyFill="1" applyBorder="1"/>
    <xf numFmtId="0" fontId="25" fillId="0" borderId="82" xfId="0" applyFont="1" applyBorder="1"/>
    <xf numFmtId="0" fontId="25" fillId="0" borderId="82" xfId="0" applyFont="1" applyBorder="1" applyAlignment="1">
      <alignment horizontal="center"/>
    </xf>
    <xf numFmtId="0" fontId="44" fillId="9" borderId="12" xfId="0" applyFont="1" applyFill="1" applyBorder="1" applyAlignment="1">
      <alignment horizontal="center" vertical="top"/>
    </xf>
    <xf numFmtId="0" fontId="44" fillId="9" borderId="7" xfId="0" applyFont="1" applyFill="1" applyBorder="1" applyAlignment="1">
      <alignment horizontal="center" vertical="top"/>
    </xf>
    <xf numFmtId="0" fontId="44" fillId="9" borderId="84" xfId="0" applyFont="1" applyFill="1" applyBorder="1" applyAlignment="1">
      <alignment horizontal="center" vertical="top"/>
    </xf>
    <xf numFmtId="0" fontId="8" fillId="10" borderId="7" xfId="0" applyFont="1" applyFill="1" applyBorder="1" applyAlignment="1">
      <alignment horizontal="center" vertical="top"/>
    </xf>
    <xf numFmtId="3" fontId="8" fillId="10" borderId="84" xfId="0" applyNumberFormat="1" applyFont="1" applyFill="1" applyBorder="1" applyAlignment="1">
      <alignment horizontal="center" vertical="top"/>
    </xf>
    <xf numFmtId="0" fontId="45" fillId="0" borderId="82" xfId="0" applyFont="1" applyBorder="1" applyAlignment="1">
      <alignment horizontal="center"/>
    </xf>
    <xf numFmtId="4" fontId="25" fillId="0" borderId="82" xfId="0" applyNumberFormat="1" applyFont="1" applyBorder="1" applyAlignment="1">
      <alignment horizontal="center"/>
    </xf>
    <xf numFmtId="0" fontId="8" fillId="8" borderId="7" xfId="0" applyFont="1" applyFill="1" applyBorder="1" applyAlignment="1">
      <alignment horizontal="center" vertical="top"/>
    </xf>
    <xf numFmtId="0" fontId="8" fillId="10" borderId="90" xfId="0" applyFont="1" applyFill="1" applyBorder="1" applyAlignment="1">
      <alignment horizontal="center" vertical="top"/>
    </xf>
    <xf numFmtId="3" fontId="8" fillId="10" borderId="91" xfId="0" applyNumberFormat="1" applyFont="1" applyFill="1" applyBorder="1" applyAlignment="1">
      <alignment horizontal="center" vertical="top"/>
    </xf>
    <xf numFmtId="0" fontId="38" fillId="0" borderId="82" xfId="0" applyFont="1" applyBorder="1" applyAlignment="1">
      <alignment horizontal="center"/>
    </xf>
    <xf numFmtId="0" fontId="44" fillId="16" borderId="92" xfId="0" applyFont="1" applyFill="1" applyBorder="1" applyAlignment="1">
      <alignment horizontal="center" wrapText="1"/>
    </xf>
    <xf numFmtId="0" fontId="44" fillId="16" borderId="93" xfId="0" applyFont="1" applyFill="1" applyBorder="1" applyAlignment="1">
      <alignment horizontal="center"/>
    </xf>
    <xf numFmtId="0" fontId="44" fillId="16" borderId="57" xfId="0" applyFont="1" applyFill="1" applyBorder="1" applyAlignment="1">
      <alignment horizontal="center"/>
    </xf>
    <xf numFmtId="0" fontId="46" fillId="0" borderId="20" xfId="0" applyFont="1" applyBorder="1" applyAlignment="1">
      <alignment horizontal="center" wrapText="1"/>
    </xf>
    <xf numFmtId="0" fontId="46" fillId="0" borderId="0" xfId="0" applyFont="1" applyAlignment="1">
      <alignment horizontal="center"/>
    </xf>
    <xf numFmtId="4" fontId="46" fillId="0" borderId="21" xfId="0" applyNumberFormat="1" applyFont="1" applyBorder="1" applyAlignment="1">
      <alignment horizontal="center"/>
    </xf>
    <xf numFmtId="4" fontId="8" fillId="0" borderId="21" xfId="0" applyNumberFormat="1" applyFont="1" applyBorder="1" applyAlignment="1">
      <alignment horizontal="center"/>
    </xf>
    <xf numFmtId="4" fontId="39" fillId="0" borderId="19" xfId="0" applyNumberFormat="1" applyFont="1" applyBorder="1" applyAlignment="1">
      <alignment horizontal="center"/>
    </xf>
    <xf numFmtId="4" fontId="39" fillId="0" borderId="30" xfId="0" applyNumberFormat="1" applyFont="1" applyBorder="1" applyAlignment="1">
      <alignment horizontal="center"/>
    </xf>
    <xf numFmtId="3" fontId="39" fillId="0" borderId="30" xfId="0" applyNumberFormat="1" applyFont="1" applyBorder="1" applyAlignment="1">
      <alignment horizontal="center"/>
    </xf>
    <xf numFmtId="0" fontId="47" fillId="0" borderId="81" xfId="0" applyFont="1" applyBorder="1"/>
    <xf numFmtId="0" fontId="47" fillId="0" borderId="82" xfId="0" applyFont="1" applyBorder="1"/>
    <xf numFmtId="0" fontId="44" fillId="16" borderId="92" xfId="0" applyFont="1" applyFill="1" applyBorder="1" applyAlignment="1">
      <alignment horizontal="center"/>
    </xf>
    <xf numFmtId="0" fontId="44" fillId="16" borderId="93" xfId="0" applyFont="1" applyFill="1" applyBorder="1" applyAlignment="1">
      <alignment horizontal="center" wrapText="1"/>
    </xf>
    <xf numFmtId="0" fontId="44" fillId="16" borderId="94" xfId="0" applyFont="1" applyFill="1" applyBorder="1" applyAlignment="1">
      <alignment horizontal="center"/>
    </xf>
    <xf numFmtId="0" fontId="46" fillId="0" borderId="20" xfId="0" applyFont="1" applyBorder="1" applyAlignment="1">
      <alignment horizontal="center"/>
    </xf>
    <xf numFmtId="168" fontId="46" fillId="0" borderId="0" xfId="0" applyNumberFormat="1" applyFont="1" applyAlignment="1">
      <alignment horizontal="left" wrapText="1"/>
    </xf>
    <xf numFmtId="4" fontId="46" fillId="0" borderId="0" xfId="0" applyNumberFormat="1" applyFont="1" applyAlignment="1">
      <alignment horizontal="center" wrapText="1"/>
    </xf>
    <xf numFmtId="10" fontId="46" fillId="0" borderId="21" xfId="0" applyNumberFormat="1" applyFont="1" applyBorder="1" applyAlignment="1">
      <alignment horizontal="center" wrapText="1"/>
    </xf>
    <xf numFmtId="4" fontId="25" fillId="0" borderId="18" xfId="0" applyNumberFormat="1" applyFont="1" applyBorder="1" applyAlignment="1">
      <alignment horizontal="center"/>
    </xf>
    <xf numFmtId="9" fontId="25" fillId="0" borderId="82" xfId="0" applyNumberFormat="1" applyFont="1" applyBorder="1" applyAlignment="1">
      <alignment horizontal="center"/>
    </xf>
    <xf numFmtId="1" fontId="24" fillId="0" borderId="51" xfId="0" applyNumberFormat="1" applyFont="1" applyBorder="1" applyAlignment="1">
      <alignment horizontal="center"/>
    </xf>
    <xf numFmtId="0" fontId="49" fillId="0" borderId="81" xfId="0" applyFont="1" applyBorder="1" applyAlignment="1">
      <alignment horizontal="center"/>
    </xf>
    <xf numFmtId="0" fontId="25" fillId="0" borderId="15" xfId="0" applyFont="1" applyBorder="1" applyAlignment="1">
      <alignment horizontal="center"/>
    </xf>
    <xf numFmtId="0" fontId="25" fillId="0" borderId="15" xfId="0" applyFont="1" applyBorder="1" applyAlignment="1">
      <alignment horizontal="center" wrapText="1"/>
    </xf>
    <xf numFmtId="0" fontId="25" fillId="0" borderId="61" xfId="0" applyFont="1" applyBorder="1" applyAlignment="1">
      <alignment horizontal="center"/>
    </xf>
    <xf numFmtId="49" fontId="39" fillId="0" borderId="63" xfId="0" applyNumberFormat="1" applyFont="1" applyBorder="1" applyAlignment="1">
      <alignment horizontal="center" vertical="center"/>
    </xf>
    <xf numFmtId="0" fontId="10" fillId="0" borderId="67" xfId="0" applyFont="1" applyBorder="1" applyAlignment="1">
      <alignment wrapText="1"/>
    </xf>
    <xf numFmtId="10" fontId="39" fillId="0" borderId="67" xfId="0" applyNumberFormat="1" applyFont="1" applyBorder="1" applyAlignment="1">
      <alignment horizontal="center" vertical="center"/>
    </xf>
    <xf numFmtId="169" fontId="25" fillId="0" borderId="0" xfId="0" applyNumberFormat="1" applyFont="1"/>
    <xf numFmtId="49" fontId="39" fillId="0" borderId="69" xfId="0" applyNumberFormat="1" applyFont="1" applyBorder="1" applyAlignment="1">
      <alignment horizontal="center" vertical="center"/>
    </xf>
    <xf numFmtId="0" fontId="10" fillId="0" borderId="73" xfId="0" applyFont="1" applyBorder="1" applyAlignment="1">
      <alignment wrapText="1"/>
    </xf>
    <xf numFmtId="14" fontId="39" fillId="0" borderId="73" xfId="0" applyNumberFormat="1" applyFont="1" applyBorder="1" applyAlignment="1">
      <alignment horizontal="center" vertical="center"/>
    </xf>
    <xf numFmtId="167" fontId="39" fillId="0" borderId="73" xfId="0" applyNumberFormat="1" applyFont="1" applyBorder="1" applyAlignment="1">
      <alignment horizontal="center" vertical="center"/>
    </xf>
    <xf numFmtId="4" fontId="39" fillId="0" borderId="73" xfId="0" applyNumberFormat="1" applyFont="1" applyBorder="1" applyAlignment="1">
      <alignment horizontal="center" vertical="center"/>
    </xf>
    <xf numFmtId="169" fontId="10" fillId="0" borderId="0" xfId="0" applyNumberFormat="1" applyFont="1"/>
    <xf numFmtId="168" fontId="26" fillId="3" borderId="101" xfId="0" applyNumberFormat="1" applyFont="1" applyFill="1" applyBorder="1" applyAlignment="1">
      <alignment horizontal="center"/>
    </xf>
    <xf numFmtId="10" fontId="26" fillId="3" borderId="102" xfId="0" applyNumberFormat="1" applyFont="1" applyFill="1" applyBorder="1" applyAlignment="1">
      <alignment horizontal="center"/>
    </xf>
    <xf numFmtId="0" fontId="53" fillId="2" borderId="0" xfId="0" applyFont="1" applyFill="1" applyAlignment="1">
      <alignment horizontal="center"/>
    </xf>
    <xf numFmtId="170" fontId="26" fillId="9" borderId="69" xfId="0" applyNumberFormat="1" applyFont="1" applyFill="1" applyBorder="1" applyAlignment="1">
      <alignment horizontal="center"/>
    </xf>
    <xf numFmtId="171" fontId="26" fillId="9" borderId="73" xfId="0" applyNumberFormat="1" applyFont="1" applyFill="1" applyBorder="1" applyAlignment="1">
      <alignment wrapText="1"/>
    </xf>
    <xf numFmtId="168" fontId="26" fillId="9" borderId="73" xfId="0" applyNumberFormat="1" applyFont="1" applyFill="1" applyBorder="1" applyAlignment="1">
      <alignment horizontal="right"/>
    </xf>
    <xf numFmtId="10" fontId="26" fillId="9" borderId="103" xfId="0" applyNumberFormat="1" applyFont="1" applyFill="1" applyBorder="1" applyAlignment="1">
      <alignment horizontal="right"/>
    </xf>
    <xf numFmtId="10" fontId="25" fillId="0" borderId="0" xfId="0" applyNumberFormat="1" applyFont="1"/>
    <xf numFmtId="49" fontId="23" fillId="10" borderId="104" xfId="0" applyNumberFormat="1" applyFont="1" applyFill="1" applyBorder="1" applyAlignment="1">
      <alignment horizontal="center"/>
    </xf>
    <xf numFmtId="171" fontId="23" fillId="10" borderId="105" xfId="0" applyNumberFormat="1" applyFont="1" applyFill="1" applyBorder="1" applyAlignment="1">
      <alignment wrapText="1"/>
    </xf>
    <xf numFmtId="171" fontId="23" fillId="10" borderId="105" xfId="0" applyNumberFormat="1" applyFont="1" applyFill="1" applyBorder="1"/>
    <xf numFmtId="10" fontId="23" fillId="10" borderId="106" xfId="0" applyNumberFormat="1" applyFont="1" applyFill="1" applyBorder="1" applyAlignment="1">
      <alignment horizontal="right"/>
    </xf>
    <xf numFmtId="49" fontId="23" fillId="10" borderId="107" xfId="0" applyNumberFormat="1" applyFont="1" applyFill="1" applyBorder="1" applyAlignment="1">
      <alignment horizontal="center"/>
    </xf>
    <xf numFmtId="170" fontId="26" fillId="9" borderId="104" xfId="0" applyNumberFormat="1" applyFont="1" applyFill="1" applyBorder="1" applyAlignment="1">
      <alignment horizontal="center"/>
    </xf>
    <xf numFmtId="171" fontId="26" fillId="9" borderId="105" xfId="0" applyNumberFormat="1" applyFont="1" applyFill="1" applyBorder="1" applyAlignment="1">
      <alignment wrapText="1"/>
    </xf>
    <xf numFmtId="168" fontId="26" fillId="9" borderId="105" xfId="0" applyNumberFormat="1" applyFont="1" applyFill="1" applyBorder="1" applyAlignment="1">
      <alignment horizontal="right"/>
    </xf>
    <xf numFmtId="10" fontId="26" fillId="9" borderId="106" xfId="0" applyNumberFormat="1" applyFont="1" applyFill="1" applyBorder="1" applyAlignment="1">
      <alignment horizontal="right"/>
    </xf>
    <xf numFmtId="0" fontId="54" fillId="0" borderId="0" xfId="0" applyFont="1"/>
    <xf numFmtId="4" fontId="25" fillId="0" borderId="0" xfId="0" applyNumberFormat="1" applyFont="1"/>
    <xf numFmtId="169" fontId="54" fillId="0" borderId="0" xfId="0" applyNumberFormat="1" applyFont="1"/>
    <xf numFmtId="0" fontId="55" fillId="0" borderId="105" xfId="0" applyFont="1" applyBorder="1"/>
    <xf numFmtId="0" fontId="9" fillId="0" borderId="73" xfId="0" applyFont="1" applyBorder="1"/>
    <xf numFmtId="0" fontId="9" fillId="0" borderId="72" xfId="0" applyFont="1" applyBorder="1" applyAlignment="1">
      <alignment horizontal="right"/>
    </xf>
    <xf numFmtId="4" fontId="9" fillId="0" borderId="72" xfId="0" applyNumberFormat="1" applyFont="1" applyBorder="1" applyAlignment="1">
      <alignment horizontal="center"/>
    </xf>
    <xf numFmtId="49" fontId="23" fillId="10" borderId="107" xfId="0" applyNumberFormat="1" applyFont="1" applyFill="1" applyBorder="1" applyAlignment="1">
      <alignment horizontal="center" wrapText="1"/>
    </xf>
    <xf numFmtId="10" fontId="23" fillId="10" borderId="106" xfId="0" applyNumberFormat="1" applyFont="1" applyFill="1" applyBorder="1" applyAlignment="1">
      <alignment horizontal="right" wrapText="1"/>
    </xf>
    <xf numFmtId="169" fontId="25" fillId="0" borderId="0" xfId="0" applyNumberFormat="1" applyFont="1" applyAlignment="1">
      <alignment wrapText="1"/>
    </xf>
    <xf numFmtId="0" fontId="9" fillId="0" borderId="73" xfId="0" applyFont="1" applyBorder="1" applyAlignment="1">
      <alignment wrapText="1"/>
    </xf>
    <xf numFmtId="168" fontId="26" fillId="17" borderId="101" xfId="0" applyNumberFormat="1" applyFont="1" applyFill="1" applyBorder="1" applyAlignment="1">
      <alignment horizontal="right"/>
    </xf>
    <xf numFmtId="10" fontId="26" fillId="17" borderId="102" xfId="0" applyNumberFormat="1" applyFont="1" applyFill="1" applyBorder="1" applyAlignment="1">
      <alignment horizontal="right"/>
    </xf>
    <xf numFmtId="0" fontId="39" fillId="0" borderId="63" xfId="0" applyFont="1" applyBorder="1" applyAlignment="1">
      <alignment horizontal="center" vertical="center" wrapText="1"/>
    </xf>
    <xf numFmtId="4" fontId="39" fillId="0" borderId="67" xfId="0" applyNumberFormat="1" applyFont="1" applyBorder="1" applyAlignment="1">
      <alignment horizontal="center" vertical="center" wrapText="1"/>
    </xf>
    <xf numFmtId="10" fontId="56" fillId="11" borderId="67" xfId="0" applyNumberFormat="1" applyFont="1" applyFill="1" applyBorder="1" applyAlignment="1">
      <alignment horizontal="center" vertical="center" wrapText="1"/>
    </xf>
    <xf numFmtId="0" fontId="39" fillId="0" borderId="104" xfId="0" applyFont="1" applyBorder="1" applyAlignment="1">
      <alignment horizontal="center" vertical="center" wrapText="1"/>
    </xf>
    <xf numFmtId="0" fontId="10" fillId="10" borderId="112" xfId="0" applyFont="1" applyFill="1" applyBorder="1" applyAlignment="1">
      <alignment horizontal="left" vertical="center" wrapText="1"/>
    </xf>
    <xf numFmtId="4" fontId="39" fillId="0" borderId="105" xfId="0" applyNumberFormat="1" applyFont="1" applyBorder="1" applyAlignment="1">
      <alignment horizontal="center" vertical="center" wrapText="1"/>
    </xf>
    <xf numFmtId="10" fontId="10" fillId="10" borderId="105" xfId="0" applyNumberFormat="1" applyFont="1" applyFill="1" applyBorder="1" applyAlignment="1">
      <alignment horizontal="center" vertical="center"/>
    </xf>
    <xf numFmtId="0" fontId="10" fillId="10" borderId="108" xfId="0" applyFont="1" applyFill="1" applyBorder="1" applyAlignment="1">
      <alignment horizontal="left" vertical="center" wrapText="1"/>
    </xf>
    <xf numFmtId="14" fontId="10" fillId="10" borderId="105" xfId="0" applyNumberFormat="1" applyFont="1" applyFill="1" applyBorder="1" applyAlignment="1">
      <alignment horizontal="center" vertical="center"/>
    </xf>
    <xf numFmtId="0" fontId="39" fillId="0" borderId="114" xfId="0" applyFont="1" applyBorder="1" applyAlignment="1">
      <alignment horizontal="center" vertical="center" wrapText="1"/>
    </xf>
    <xf numFmtId="4" fontId="39" fillId="0" borderId="118" xfId="0" applyNumberFormat="1" applyFont="1" applyBorder="1" applyAlignment="1">
      <alignment horizontal="center" vertical="center" wrapText="1"/>
    </xf>
    <xf numFmtId="165" fontId="10" fillId="10" borderId="118" xfId="0" applyNumberFormat="1" applyFont="1" applyFill="1" applyBorder="1" applyAlignment="1">
      <alignment horizontal="center" vertical="center"/>
    </xf>
    <xf numFmtId="0" fontId="57" fillId="20" borderId="70" xfId="0" applyFont="1" applyFill="1" applyBorder="1" applyAlignment="1">
      <alignment horizontal="left" vertical="center"/>
    </xf>
    <xf numFmtId="165" fontId="57" fillId="20" borderId="70" xfId="0" applyNumberFormat="1" applyFont="1" applyFill="1" applyBorder="1" applyAlignment="1">
      <alignment horizontal="left" vertical="center"/>
    </xf>
    <xf numFmtId="49" fontId="8" fillId="0" borderId="104" xfId="0" applyNumberFormat="1" applyFont="1" applyBorder="1" applyAlignment="1">
      <alignment horizontal="center" wrapText="1"/>
    </xf>
    <xf numFmtId="0" fontId="57" fillId="20" borderId="112" xfId="0" applyFont="1" applyFill="1" applyBorder="1" applyAlignment="1">
      <alignment horizontal="left" vertical="center"/>
    </xf>
    <xf numFmtId="165" fontId="57" fillId="20" borderId="112" xfId="0" applyNumberFormat="1" applyFont="1" applyFill="1" applyBorder="1" applyAlignment="1">
      <alignment horizontal="left" vertical="center"/>
    </xf>
    <xf numFmtId="172" fontId="39" fillId="3" borderId="0" xfId="0" applyNumberFormat="1" applyFont="1" applyFill="1" applyAlignment="1">
      <alignment vertical="center" wrapText="1"/>
    </xf>
    <xf numFmtId="0" fontId="10" fillId="0" borderId="20" xfId="0" applyFont="1" applyBorder="1" applyAlignment="1">
      <alignment horizontal="center" vertical="center" wrapText="1"/>
    </xf>
    <xf numFmtId="172" fontId="39" fillId="3" borderId="0" xfId="0" applyNumberFormat="1" applyFont="1" applyFill="1" applyAlignment="1">
      <alignment wrapText="1"/>
    </xf>
    <xf numFmtId="172" fontId="30" fillId="3" borderId="0" xfId="0" applyNumberFormat="1" applyFont="1" applyFill="1" applyAlignment="1">
      <alignment wrapText="1"/>
    </xf>
    <xf numFmtId="49" fontId="58" fillId="19" borderId="104" xfId="0" applyNumberFormat="1" applyFont="1" applyFill="1" applyBorder="1" applyAlignment="1">
      <alignment horizontal="center" vertical="center"/>
    </xf>
    <xf numFmtId="49" fontId="39" fillId="3" borderId="20" xfId="0" applyNumberFormat="1" applyFont="1" applyFill="1" applyBorder="1" applyAlignment="1">
      <alignment horizontal="center" wrapText="1"/>
    </xf>
    <xf numFmtId="49" fontId="10" fillId="10" borderId="20" xfId="0" applyNumberFormat="1" applyFont="1" applyFill="1" applyBorder="1" applyAlignment="1">
      <alignment horizontal="center" vertical="center"/>
    </xf>
    <xf numFmtId="49" fontId="10" fillId="0" borderId="20" xfId="0" applyNumberFormat="1" applyFont="1" applyBorder="1" applyAlignment="1">
      <alignment horizontal="center" vertical="center"/>
    </xf>
    <xf numFmtId="0" fontId="10" fillId="10" borderId="20" xfId="0" applyFont="1" applyFill="1" applyBorder="1" applyAlignment="1">
      <alignment horizontal="center" vertical="center"/>
    </xf>
    <xf numFmtId="0" fontId="10" fillId="0" borderId="20" xfId="0" applyFont="1" applyBorder="1" applyAlignment="1">
      <alignment horizontal="center" vertical="center"/>
    </xf>
    <xf numFmtId="0" fontId="10" fillId="8" borderId="5" xfId="0" applyFont="1" applyFill="1" applyBorder="1" applyAlignment="1">
      <alignment horizontal="center" vertical="center" wrapText="1"/>
    </xf>
    <xf numFmtId="49" fontId="8" fillId="0" borderId="20" xfId="0" applyNumberFormat="1" applyFont="1" applyBorder="1" applyAlignment="1">
      <alignment horizontal="center"/>
    </xf>
    <xf numFmtId="0" fontId="39" fillId="3" borderId="20" xfId="0" applyFont="1" applyFill="1" applyBorder="1" applyAlignment="1">
      <alignment horizontal="center" vertical="top"/>
    </xf>
    <xf numFmtId="49" fontId="10" fillId="0" borderId="20" xfId="0" applyNumberFormat="1" applyFont="1" applyBorder="1" applyAlignment="1">
      <alignment horizontal="center" vertical="center" wrapText="1"/>
    </xf>
    <xf numFmtId="49" fontId="10" fillId="0" borderId="20" xfId="0" applyNumberFormat="1" applyFont="1" applyBorder="1" applyAlignment="1">
      <alignment horizontal="center"/>
    </xf>
    <xf numFmtId="49" fontId="8" fillId="0" borderId="20" xfId="0" applyNumberFormat="1" applyFont="1" applyBorder="1" applyAlignment="1">
      <alignment horizontal="center" wrapText="1"/>
    </xf>
    <xf numFmtId="49" fontId="39" fillId="3" borderId="20" xfId="0" applyNumberFormat="1" applyFont="1" applyFill="1" applyBorder="1" applyAlignment="1">
      <alignment horizontal="center"/>
    </xf>
    <xf numFmtId="0" fontId="8" fillId="0" borderId="20" xfId="0" applyFont="1" applyBorder="1" applyAlignment="1">
      <alignment horizontal="center"/>
    </xf>
    <xf numFmtId="49" fontId="39" fillId="3" borderId="104" xfId="0" applyNumberFormat="1" applyFont="1" applyFill="1" applyBorder="1" applyAlignment="1">
      <alignment horizontal="center" vertical="center"/>
    </xf>
    <xf numFmtId="0" fontId="10" fillId="0" borderId="0" xfId="0" applyFont="1" applyAlignment="1">
      <alignment horizontal="center" vertical="center" wrapText="1"/>
    </xf>
    <xf numFmtId="49" fontId="10" fillId="0" borderId="50" xfId="0" applyNumberFormat="1" applyFont="1" applyBorder="1" applyAlignment="1">
      <alignment horizontal="center" vertical="center" wrapText="1"/>
    </xf>
    <xf numFmtId="0" fontId="26" fillId="10" borderId="0" xfId="0" applyFont="1" applyFill="1" applyAlignment="1">
      <alignment horizontal="center" vertical="center"/>
    </xf>
    <xf numFmtId="0" fontId="59" fillId="10" borderId="0" xfId="0" applyFont="1" applyFill="1" applyAlignment="1">
      <alignment horizontal="right" vertical="center" wrapText="1"/>
    </xf>
    <xf numFmtId="165" fontId="26" fillId="10" borderId="0" xfId="0" applyNumberFormat="1" applyFont="1" applyFill="1" applyAlignment="1">
      <alignment horizontal="right" vertical="center" wrapText="1"/>
    </xf>
    <xf numFmtId="165" fontId="26" fillId="10" borderId="0" xfId="0" applyNumberFormat="1" applyFont="1" applyFill="1" applyAlignment="1">
      <alignment horizontal="center" vertical="center"/>
    </xf>
    <xf numFmtId="49" fontId="24" fillId="0" borderId="125" xfId="0" applyNumberFormat="1" applyFont="1" applyBorder="1" applyAlignment="1">
      <alignment horizontal="left" vertical="center" wrapText="1"/>
    </xf>
    <xf numFmtId="4" fontId="25" fillId="0" borderId="0" xfId="0" applyNumberFormat="1" applyFont="1" applyAlignment="1">
      <alignment horizontal="center" vertical="center" readingOrder="1"/>
    </xf>
    <xf numFmtId="0" fontId="25" fillId="0" borderId="0" xfId="0" applyFont="1" applyAlignment="1">
      <alignment vertical="center"/>
    </xf>
    <xf numFmtId="0" fontId="10" fillId="0" borderId="0" xfId="0" applyFont="1" applyAlignment="1">
      <alignment vertical="center"/>
    </xf>
    <xf numFmtId="49" fontId="24" fillId="0" borderId="119" xfId="0" applyNumberFormat="1" applyFont="1" applyBorder="1" applyAlignment="1">
      <alignment horizontal="left" vertical="center" wrapText="1"/>
    </xf>
    <xf numFmtId="4" fontId="10" fillId="0" borderId="0" xfId="0" applyNumberFormat="1" applyFont="1" applyAlignment="1">
      <alignment horizontal="center" vertical="center" readingOrder="1"/>
    </xf>
    <xf numFmtId="172" fontId="60" fillId="22" borderId="50" xfId="0" applyNumberFormat="1" applyFont="1" applyFill="1" applyBorder="1" applyAlignment="1">
      <alignment horizontal="center" vertical="center" wrapText="1"/>
    </xf>
    <xf numFmtId="172" fontId="60" fillId="22" borderId="51" xfId="0" applyNumberFormat="1" applyFont="1" applyFill="1" applyBorder="1" applyAlignment="1">
      <alignment horizontal="center" vertical="center" wrapText="1"/>
    </xf>
    <xf numFmtId="0" fontId="60" fillId="22" borderId="51" xfId="0" applyFont="1" applyFill="1" applyBorder="1" applyAlignment="1">
      <alignment horizontal="center" vertical="center" wrapText="1"/>
    </xf>
    <xf numFmtId="172" fontId="60" fillId="22" borderId="51" xfId="0" applyNumberFormat="1" applyFont="1" applyFill="1" applyBorder="1" applyAlignment="1">
      <alignment horizontal="left" vertical="center" wrapText="1"/>
    </xf>
    <xf numFmtId="165" fontId="60" fillId="22" borderId="30" xfId="0" applyNumberFormat="1" applyFont="1" applyFill="1" applyBorder="1" applyAlignment="1">
      <alignment horizontal="center" vertical="center" wrapText="1"/>
    </xf>
    <xf numFmtId="172" fontId="61" fillId="23" borderId="20" xfId="0" applyNumberFormat="1" applyFont="1" applyFill="1" applyBorder="1" applyAlignment="1">
      <alignment horizontal="left" vertical="center" wrapText="1"/>
    </xf>
    <xf numFmtId="172" fontId="60" fillId="2" borderId="17" xfId="0" applyNumberFormat="1" applyFont="1" applyFill="1" applyBorder="1" applyAlignment="1">
      <alignment horizontal="center" vertical="center" wrapText="1"/>
    </xf>
    <xf numFmtId="172" fontId="60" fillId="2" borderId="18" xfId="0" applyNumberFormat="1" applyFont="1" applyFill="1" applyBorder="1" applyAlignment="1">
      <alignment horizontal="center" vertical="center" wrapText="1"/>
    </xf>
    <xf numFmtId="0" fontId="60" fillId="2" borderId="18" xfId="0" applyFont="1" applyFill="1" applyBorder="1" applyAlignment="1">
      <alignment horizontal="center" vertical="center" wrapText="1"/>
    </xf>
    <xf numFmtId="172" fontId="60" fillId="2" borderId="18" xfId="0" applyNumberFormat="1" applyFont="1" applyFill="1" applyBorder="1" applyAlignment="1">
      <alignment horizontal="left" vertical="center" wrapText="1"/>
    </xf>
    <xf numFmtId="165" fontId="60" fillId="2" borderId="19" xfId="0" applyNumberFormat="1" applyFont="1" applyFill="1" applyBorder="1" applyAlignment="1">
      <alignment horizontal="center" vertical="center" wrapText="1"/>
    </xf>
    <xf numFmtId="4" fontId="60" fillId="0" borderId="0" xfId="0" applyNumberFormat="1" applyFont="1" applyAlignment="1">
      <alignment horizontal="center" vertical="center"/>
    </xf>
    <xf numFmtId="0" fontId="62" fillId="0" borderId="20" xfId="0" applyFont="1" applyBorder="1" applyAlignment="1">
      <alignment horizontal="center" vertical="center" wrapText="1"/>
    </xf>
    <xf numFmtId="1" fontId="62" fillId="0" borderId="0" xfId="0" applyNumberFormat="1" applyFont="1" applyAlignment="1">
      <alignment horizontal="center" vertical="center" wrapText="1"/>
    </xf>
    <xf numFmtId="0" fontId="62" fillId="0" borderId="0" xfId="0" applyFont="1" applyAlignment="1">
      <alignment horizontal="center" vertical="center" wrapText="1"/>
    </xf>
    <xf numFmtId="0" fontId="62" fillId="0" borderId="0" xfId="0" quotePrefix="1" applyFont="1" applyAlignment="1">
      <alignment horizontal="left" vertical="center" wrapText="1"/>
    </xf>
    <xf numFmtId="169" fontId="63" fillId="0" borderId="0" xfId="0" applyNumberFormat="1" applyFont="1" applyAlignment="1">
      <alignment horizontal="center" vertical="center"/>
    </xf>
    <xf numFmtId="4" fontId="63" fillId="0" borderId="0" xfId="0" applyNumberFormat="1" applyFont="1" applyAlignment="1">
      <alignment horizontal="center" vertical="center"/>
    </xf>
    <xf numFmtId="165" fontId="63" fillId="0" borderId="0" xfId="0" applyNumberFormat="1" applyFont="1" applyAlignment="1">
      <alignment horizontal="center" vertical="center"/>
    </xf>
    <xf numFmtId="165" fontId="63" fillId="0" borderId="21" xfId="0" applyNumberFormat="1" applyFont="1" applyBorder="1" applyAlignment="1">
      <alignment horizontal="center" vertical="center"/>
    </xf>
    <xf numFmtId="0" fontId="10" fillId="9" borderId="20" xfId="0" applyFont="1" applyFill="1" applyBorder="1" applyAlignment="1">
      <alignment horizontal="center" vertical="center" wrapText="1"/>
    </xf>
    <xf numFmtId="172" fontId="10" fillId="9" borderId="0" xfId="0" applyNumberFormat="1" applyFont="1" applyFill="1" applyAlignment="1">
      <alignment horizontal="center" vertical="center"/>
    </xf>
    <xf numFmtId="0" fontId="10" fillId="9" borderId="0" xfId="0" applyFont="1" applyFill="1" applyAlignment="1">
      <alignment horizontal="center" vertical="center"/>
    </xf>
    <xf numFmtId="0" fontId="10" fillId="9" borderId="0" xfId="0" applyFont="1" applyFill="1" applyAlignment="1">
      <alignment horizontal="left" vertical="center" wrapText="1"/>
    </xf>
    <xf numFmtId="0" fontId="10" fillId="9" borderId="0" xfId="0" applyFont="1" applyFill="1" applyAlignment="1">
      <alignment horizontal="center" vertical="center" wrapText="1"/>
    </xf>
    <xf numFmtId="4" fontId="10" fillId="9" borderId="0" xfId="0" applyNumberFormat="1" applyFont="1" applyFill="1" applyAlignment="1">
      <alignment horizontal="center" vertical="center"/>
    </xf>
    <xf numFmtId="165" fontId="10" fillId="9" borderId="0" xfId="0" applyNumberFormat="1" applyFont="1" applyFill="1" applyAlignment="1">
      <alignment horizontal="center" vertical="center" wrapText="1"/>
    </xf>
    <xf numFmtId="165" fontId="10" fillId="9" borderId="21" xfId="0" applyNumberFormat="1" applyFont="1" applyFill="1" applyBorder="1" applyAlignment="1">
      <alignment horizontal="center" vertical="center"/>
    </xf>
    <xf numFmtId="0" fontId="10" fillId="8" borderId="20" xfId="0" applyFont="1" applyFill="1" applyBorder="1" applyAlignment="1">
      <alignment horizontal="center" vertical="center" wrapText="1"/>
    </xf>
    <xf numFmtId="172" fontId="10" fillId="8" borderId="0" xfId="0" applyNumberFormat="1" applyFont="1" applyFill="1" applyAlignment="1">
      <alignment horizontal="center" vertical="center"/>
    </xf>
    <xf numFmtId="0" fontId="10" fillId="8" borderId="0" xfId="0" applyFont="1" applyFill="1" applyAlignment="1">
      <alignment horizontal="center" vertical="center"/>
    </xf>
    <xf numFmtId="0" fontId="10" fillId="8" borderId="0" xfId="0" applyFont="1" applyFill="1" applyAlignment="1">
      <alignment horizontal="left" vertical="center" wrapText="1"/>
    </xf>
    <xf numFmtId="0" fontId="10" fillId="8" borderId="0" xfId="0" applyFont="1" applyFill="1" applyAlignment="1">
      <alignment horizontal="center" vertical="center" wrapText="1"/>
    </xf>
    <xf numFmtId="4" fontId="10" fillId="8" borderId="0" xfId="0" applyNumberFormat="1" applyFont="1" applyFill="1" applyAlignment="1">
      <alignment horizontal="center" vertical="center"/>
    </xf>
    <xf numFmtId="165" fontId="10" fillId="8" borderId="0" xfId="0" applyNumberFormat="1" applyFont="1" applyFill="1" applyAlignment="1">
      <alignment horizontal="center" vertical="center" wrapText="1"/>
    </xf>
    <xf numFmtId="165" fontId="10" fillId="8" borderId="21" xfId="0" applyNumberFormat="1" applyFont="1" applyFill="1" applyBorder="1" applyAlignment="1">
      <alignment horizontal="center" vertical="center"/>
    </xf>
    <xf numFmtId="172" fontId="10" fillId="10" borderId="20" xfId="0" applyNumberFormat="1" applyFont="1" applyFill="1" applyBorder="1" applyAlignment="1">
      <alignment horizontal="center" vertical="center" wrapText="1"/>
    </xf>
    <xf numFmtId="172" fontId="10" fillId="10" borderId="0" xfId="0" applyNumberFormat="1" applyFont="1" applyFill="1" applyAlignment="1">
      <alignment horizontal="center" vertical="center"/>
    </xf>
    <xf numFmtId="0" fontId="10" fillId="10" borderId="0" xfId="0" applyFont="1" applyFill="1" applyAlignment="1">
      <alignment horizontal="center" vertical="center"/>
    </xf>
    <xf numFmtId="172" fontId="10" fillId="10" borderId="0" xfId="0" applyNumberFormat="1" applyFont="1" applyFill="1" applyAlignment="1">
      <alignment horizontal="left" vertical="center" wrapText="1"/>
    </xf>
    <xf numFmtId="169" fontId="10" fillId="10" borderId="0" xfId="0" applyNumberFormat="1" applyFont="1" applyFill="1" applyAlignment="1">
      <alignment horizontal="center" vertical="center"/>
    </xf>
    <xf numFmtId="4" fontId="10" fillId="10" borderId="0" xfId="0" applyNumberFormat="1" applyFont="1" applyFill="1" applyAlignment="1">
      <alignment horizontal="center" vertical="center"/>
    </xf>
    <xf numFmtId="165" fontId="10" fillId="10" borderId="0" xfId="0" applyNumberFormat="1" applyFont="1" applyFill="1" applyAlignment="1">
      <alignment horizontal="center" vertical="center"/>
    </xf>
    <xf numFmtId="165" fontId="10" fillId="10" borderId="21" xfId="0" applyNumberFormat="1" applyFont="1" applyFill="1" applyBorder="1" applyAlignment="1">
      <alignment horizontal="center" vertical="center"/>
    </xf>
    <xf numFmtId="0" fontId="10" fillId="10" borderId="20" xfId="0" applyFont="1" applyFill="1" applyBorder="1" applyAlignment="1">
      <alignment horizontal="center" vertical="center" wrapText="1"/>
    </xf>
    <xf numFmtId="0" fontId="10" fillId="10" borderId="0" xfId="0" applyFont="1" applyFill="1" applyAlignment="1">
      <alignment horizontal="left" vertical="center" wrapText="1"/>
    </xf>
    <xf numFmtId="172" fontId="64" fillId="6" borderId="20" xfId="0" applyNumberFormat="1" applyFont="1" applyFill="1" applyBorder="1" applyAlignment="1">
      <alignment horizontal="center" vertical="center" wrapText="1"/>
    </xf>
    <xf numFmtId="165" fontId="64" fillId="6" borderId="0" xfId="0" applyNumberFormat="1" applyFont="1" applyFill="1" applyAlignment="1">
      <alignment horizontal="center" vertical="center" wrapText="1"/>
    </xf>
    <xf numFmtId="0" fontId="64" fillId="6" borderId="0" xfId="0" applyFont="1" applyFill="1" applyAlignment="1">
      <alignment horizontal="center" vertical="center"/>
    </xf>
    <xf numFmtId="165" fontId="64" fillId="6" borderId="0" xfId="0" applyNumberFormat="1" applyFont="1" applyFill="1" applyAlignment="1">
      <alignment horizontal="left" vertical="center" wrapText="1"/>
    </xf>
    <xf numFmtId="4" fontId="64" fillId="6" borderId="0" xfId="0" applyNumberFormat="1" applyFont="1" applyFill="1" applyAlignment="1">
      <alignment horizontal="center" vertical="center"/>
    </xf>
    <xf numFmtId="165" fontId="64" fillId="6" borderId="21" xfId="0" applyNumberFormat="1" applyFont="1" applyFill="1" applyBorder="1" applyAlignment="1">
      <alignment horizontal="center" vertical="center"/>
    </xf>
    <xf numFmtId="0" fontId="64" fillId="6" borderId="20" xfId="0" applyFont="1" applyFill="1" applyBorder="1" applyAlignment="1">
      <alignment horizontal="center" vertical="center" wrapText="1"/>
    </xf>
    <xf numFmtId="165" fontId="60" fillId="2" borderId="18" xfId="0" applyNumberFormat="1" applyFont="1" applyFill="1" applyBorder="1" applyAlignment="1">
      <alignment horizontal="center" vertical="center" wrapText="1"/>
    </xf>
    <xf numFmtId="0" fontId="65" fillId="18" borderId="20" xfId="0" applyFont="1" applyFill="1" applyBorder="1" applyAlignment="1">
      <alignment horizontal="center" vertical="center" wrapText="1"/>
    </xf>
    <xf numFmtId="0" fontId="65" fillId="18" borderId="0" xfId="0" applyFont="1" applyFill="1" applyAlignment="1">
      <alignment horizontal="center" vertical="center"/>
    </xf>
    <xf numFmtId="172" fontId="65" fillId="18" borderId="0" xfId="0" applyNumberFormat="1" applyFont="1" applyFill="1" applyAlignment="1">
      <alignment horizontal="left" vertical="center" wrapText="1"/>
    </xf>
    <xf numFmtId="172" fontId="65" fillId="18" borderId="0" xfId="0" applyNumberFormat="1" applyFont="1" applyFill="1" applyAlignment="1">
      <alignment horizontal="center" vertical="center" wrapText="1"/>
    </xf>
    <xf numFmtId="4" fontId="65" fillId="18" borderId="0" xfId="0" applyNumberFormat="1" applyFont="1" applyFill="1" applyAlignment="1">
      <alignment horizontal="center" vertical="center" wrapText="1"/>
    </xf>
    <xf numFmtId="165" fontId="65" fillId="18" borderId="0" xfId="0" applyNumberFormat="1" applyFont="1" applyFill="1" applyAlignment="1">
      <alignment horizontal="center" vertical="center" wrapText="1"/>
    </xf>
    <xf numFmtId="165" fontId="65" fillId="18" borderId="21" xfId="0" applyNumberFormat="1" applyFont="1" applyFill="1" applyBorder="1" applyAlignment="1">
      <alignment horizontal="center" vertical="center" wrapText="1"/>
    </xf>
    <xf numFmtId="0" fontId="62"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left" vertical="center" wrapText="1"/>
    </xf>
    <xf numFmtId="0" fontId="63" fillId="0" borderId="0" xfId="0" applyFont="1" applyAlignment="1">
      <alignment horizontal="center" vertical="center"/>
    </xf>
    <xf numFmtId="0" fontId="62" fillId="0" borderId="0" xfId="0" quotePrefix="1" applyFont="1" applyAlignment="1">
      <alignment horizontal="center" vertical="center" wrapText="1"/>
    </xf>
    <xf numFmtId="0" fontId="62" fillId="10" borderId="0" xfId="0" applyFont="1" applyFill="1" applyAlignment="1">
      <alignment horizontal="center" vertical="center" wrapText="1"/>
    </xf>
    <xf numFmtId="173" fontId="62" fillId="0" borderId="0" xfId="0" applyNumberFormat="1" applyFont="1" applyAlignment="1">
      <alignment horizontal="left" vertical="center" wrapText="1"/>
    </xf>
    <xf numFmtId="174" fontId="10" fillId="9" borderId="0" xfId="0" applyNumberFormat="1" applyFont="1" applyFill="1" applyAlignment="1">
      <alignment horizontal="center" vertical="center"/>
    </xf>
    <xf numFmtId="174" fontId="10" fillId="8" borderId="0" xfId="0" applyNumberFormat="1" applyFont="1" applyFill="1" applyAlignment="1">
      <alignment horizontal="center" vertical="center"/>
    </xf>
    <xf numFmtId="175" fontId="62" fillId="0" borderId="0" xfId="0" applyNumberFormat="1" applyFont="1" applyAlignment="1">
      <alignment horizontal="left" vertical="center" wrapText="1"/>
    </xf>
    <xf numFmtId="172" fontId="62" fillId="0" borderId="0" xfId="0" applyNumberFormat="1" applyFont="1" applyAlignment="1">
      <alignment horizontal="center"/>
    </xf>
    <xf numFmtId="0" fontId="62" fillId="0" borderId="0" xfId="0" applyFont="1" applyAlignment="1">
      <alignment horizontal="center"/>
    </xf>
    <xf numFmtId="172" fontId="62" fillId="0" borderId="0" xfId="0" quotePrefix="1" applyNumberFormat="1" applyFont="1" applyAlignment="1">
      <alignment horizontal="left" wrapText="1"/>
    </xf>
    <xf numFmtId="172" fontId="10" fillId="0" borderId="0" xfId="0" applyNumberFormat="1" applyFont="1"/>
    <xf numFmtId="2" fontId="10" fillId="0" borderId="0" xfId="0" applyNumberFormat="1" applyFont="1" applyAlignment="1">
      <alignment horizontal="center"/>
    </xf>
    <xf numFmtId="165" fontId="10" fillId="0" borderId="0" xfId="0" applyNumberFormat="1" applyFont="1"/>
    <xf numFmtId="165" fontId="10" fillId="0" borderId="21" xfId="0" applyNumberFormat="1" applyFont="1" applyBorder="1"/>
    <xf numFmtId="172" fontId="10" fillId="9" borderId="0" xfId="0" applyNumberFormat="1" applyFont="1" applyFill="1" applyAlignment="1">
      <alignment horizontal="center"/>
    </xf>
    <xf numFmtId="0" fontId="10" fillId="9" borderId="0" xfId="0" applyFont="1" applyFill="1" applyAlignment="1">
      <alignment horizontal="center" vertical="top"/>
    </xf>
    <xf numFmtId="2" fontId="10" fillId="9" borderId="0" xfId="0" applyNumberFormat="1" applyFont="1" applyFill="1" applyAlignment="1">
      <alignment horizontal="center" vertical="top"/>
    </xf>
    <xf numFmtId="1" fontId="10" fillId="8" borderId="20" xfId="0" applyNumberFormat="1" applyFont="1" applyFill="1" applyBorder="1" applyAlignment="1">
      <alignment horizontal="center"/>
    </xf>
    <xf numFmtId="172" fontId="10" fillId="8" borderId="0" xfId="0" applyNumberFormat="1" applyFont="1" applyFill="1" applyAlignment="1">
      <alignment horizontal="center"/>
    </xf>
    <xf numFmtId="0" fontId="10" fillId="8" borderId="0" xfId="0" applyFont="1" applyFill="1" applyAlignment="1">
      <alignment horizontal="center" vertical="top"/>
    </xf>
    <xf numFmtId="2" fontId="10" fillId="8" borderId="0" xfId="0" applyNumberFormat="1" applyFont="1" applyFill="1" applyAlignment="1">
      <alignment horizontal="center" vertical="top"/>
    </xf>
    <xf numFmtId="1" fontId="64" fillId="6" borderId="20" xfId="0" applyNumberFormat="1" applyFont="1" applyFill="1" applyBorder="1" applyAlignment="1">
      <alignment horizontal="center"/>
    </xf>
    <xf numFmtId="0" fontId="64" fillId="6" borderId="0" xfId="0" applyFont="1" applyFill="1" applyAlignment="1">
      <alignment horizontal="center" vertical="top"/>
    </xf>
    <xf numFmtId="1" fontId="62" fillId="10" borderId="0" xfId="0" applyNumberFormat="1" applyFont="1" applyFill="1" applyAlignment="1">
      <alignment horizontal="center" vertical="center" wrapText="1"/>
    </xf>
    <xf numFmtId="0" fontId="62" fillId="10" borderId="0" xfId="0" quotePrefix="1" applyFont="1" applyFill="1" applyAlignment="1">
      <alignment horizontal="left" vertical="center" wrapText="1"/>
    </xf>
    <xf numFmtId="169" fontId="63" fillId="10" borderId="0" xfId="0" applyNumberFormat="1" applyFont="1" applyFill="1" applyAlignment="1">
      <alignment horizontal="center" vertical="center"/>
    </xf>
    <xf numFmtId="4" fontId="63" fillId="10" borderId="0" xfId="0" applyNumberFormat="1" applyFont="1" applyFill="1" applyAlignment="1">
      <alignment horizontal="center" vertical="center"/>
    </xf>
    <xf numFmtId="165" fontId="63" fillId="10" borderId="0" xfId="0" applyNumberFormat="1" applyFont="1" applyFill="1" applyAlignment="1">
      <alignment horizontal="center" vertical="center"/>
    </xf>
    <xf numFmtId="165" fontId="63" fillId="10" borderId="21" xfId="0" applyNumberFormat="1" applyFont="1" applyFill="1" applyBorder="1" applyAlignment="1">
      <alignment horizontal="center" vertical="center"/>
    </xf>
    <xf numFmtId="172" fontId="30" fillId="2" borderId="17" xfId="0" applyNumberFormat="1" applyFont="1" applyFill="1" applyBorder="1" applyAlignment="1">
      <alignment horizontal="center" wrapText="1"/>
    </xf>
    <xf numFmtId="172" fontId="30" fillId="2" borderId="18" xfId="0" applyNumberFormat="1" applyFont="1" applyFill="1" applyBorder="1" applyAlignment="1">
      <alignment horizontal="center" wrapText="1"/>
    </xf>
    <xf numFmtId="0" fontId="30" fillId="2" borderId="18" xfId="0" applyFont="1" applyFill="1" applyBorder="1" applyAlignment="1">
      <alignment horizontal="center" wrapText="1"/>
    </xf>
    <xf numFmtId="172" fontId="30" fillId="2" borderId="18" xfId="0" applyNumberFormat="1" applyFont="1" applyFill="1" applyBorder="1" applyAlignment="1">
      <alignment horizontal="left" wrapText="1"/>
    </xf>
    <xf numFmtId="172" fontId="8" fillId="2" borderId="18" xfId="0" applyNumberFormat="1" applyFont="1" applyFill="1" applyBorder="1" applyAlignment="1">
      <alignment horizontal="center"/>
    </xf>
    <xf numFmtId="165" fontId="30" fillId="2" borderId="19" xfId="0" applyNumberFormat="1" applyFont="1" applyFill="1" applyBorder="1" applyAlignment="1">
      <alignment horizontal="center" wrapText="1"/>
    </xf>
    <xf numFmtId="0" fontId="66" fillId="0" borderId="20" xfId="0" applyFont="1" applyBorder="1" applyAlignment="1">
      <alignment horizontal="center" wrapText="1"/>
    </xf>
    <xf numFmtId="0" fontId="66" fillId="0" borderId="0" xfId="0" applyFont="1" applyAlignment="1">
      <alignment horizontal="center"/>
    </xf>
    <xf numFmtId="0" fontId="66" fillId="0" borderId="0" xfId="0" quotePrefix="1" applyFont="1" applyAlignment="1">
      <alignment horizontal="center"/>
    </xf>
    <xf numFmtId="0" fontId="66" fillId="0" borderId="0" xfId="0" quotePrefix="1" applyFont="1" applyAlignment="1">
      <alignment wrapText="1"/>
    </xf>
    <xf numFmtId="0" fontId="9" fillId="0" borderId="0" xfId="0" applyFont="1"/>
    <xf numFmtId="4" fontId="9" fillId="0" borderId="0" xfId="0" applyNumberFormat="1" applyFont="1" applyAlignment="1">
      <alignment horizontal="center"/>
    </xf>
    <xf numFmtId="165" fontId="9" fillId="0" borderId="0" xfId="0" applyNumberFormat="1" applyFont="1"/>
    <xf numFmtId="165" fontId="9" fillId="0" borderId="21" xfId="0" applyNumberFormat="1" applyFont="1" applyBorder="1"/>
    <xf numFmtId="0" fontId="8" fillId="9" borderId="20" xfId="0" applyFont="1" applyFill="1" applyBorder="1" applyAlignment="1">
      <alignment horizontal="center" wrapText="1"/>
    </xf>
    <xf numFmtId="172" fontId="8" fillId="9" borderId="0" xfId="0" applyNumberFormat="1" applyFont="1" applyFill="1" applyAlignment="1">
      <alignment horizontal="center"/>
    </xf>
    <xf numFmtId="0" fontId="8" fillId="9" borderId="0" xfId="0" applyFont="1" applyFill="1" applyAlignment="1">
      <alignment horizontal="center"/>
    </xf>
    <xf numFmtId="4" fontId="8" fillId="9" borderId="0" xfId="0" applyNumberFormat="1" applyFont="1" applyFill="1" applyAlignment="1">
      <alignment horizontal="center"/>
    </xf>
    <xf numFmtId="0" fontId="67" fillId="6" borderId="20" xfId="0" applyFont="1" applyFill="1" applyBorder="1" applyAlignment="1">
      <alignment horizontal="center" wrapText="1"/>
    </xf>
    <xf numFmtId="0" fontId="67" fillId="6" borderId="0" xfId="0" applyFont="1" applyFill="1" applyAlignment="1">
      <alignment horizontal="center"/>
    </xf>
    <xf numFmtId="165" fontId="67" fillId="6" borderId="0" xfId="0" applyNumberFormat="1" applyFont="1" applyFill="1" applyAlignment="1">
      <alignment wrapText="1"/>
    </xf>
    <xf numFmtId="165" fontId="67" fillId="6" borderId="0" xfId="0" applyNumberFormat="1" applyFont="1" applyFill="1" applyAlignment="1">
      <alignment horizontal="center" wrapText="1"/>
    </xf>
    <xf numFmtId="4" fontId="67" fillId="6" borderId="0" xfId="0" applyNumberFormat="1" applyFont="1" applyFill="1" applyAlignment="1">
      <alignment horizontal="center"/>
    </xf>
    <xf numFmtId="165" fontId="67" fillId="6" borderId="21" xfId="0" applyNumberFormat="1" applyFont="1" applyFill="1" applyBorder="1" applyAlignment="1">
      <alignment horizontal="center"/>
    </xf>
    <xf numFmtId="0" fontId="8" fillId="8" borderId="20" xfId="0" applyFont="1" applyFill="1" applyBorder="1" applyAlignment="1">
      <alignment horizontal="center" wrapText="1"/>
    </xf>
    <xf numFmtId="172" fontId="8" fillId="8" borderId="0" xfId="0" applyNumberFormat="1" applyFont="1" applyFill="1" applyAlignment="1">
      <alignment horizontal="center"/>
    </xf>
    <xf numFmtId="0" fontId="8" fillId="8" borderId="0" xfId="0" applyFont="1" applyFill="1" applyAlignment="1">
      <alignment horizontal="center"/>
    </xf>
    <xf numFmtId="4" fontId="8" fillId="8" borderId="0" xfId="0" applyNumberFormat="1" applyFont="1" applyFill="1" applyAlignment="1">
      <alignment horizontal="center"/>
    </xf>
    <xf numFmtId="0" fontId="10" fillId="0" borderId="0" xfId="0" applyFont="1" applyAlignment="1">
      <alignment horizontal="center" vertical="center"/>
    </xf>
    <xf numFmtId="0" fontId="10" fillId="0" borderId="0" xfId="0" applyFont="1" applyAlignment="1">
      <alignment horizontal="left" vertical="center" wrapText="1"/>
    </xf>
    <xf numFmtId="169" fontId="10" fillId="0" borderId="0" xfId="0" applyNumberFormat="1" applyFont="1" applyAlignment="1">
      <alignment horizontal="center" vertical="center"/>
    </xf>
    <xf numFmtId="4" fontId="10" fillId="0" borderId="0" xfId="0" applyNumberFormat="1" applyFont="1" applyAlignment="1">
      <alignment horizontal="center" vertical="center"/>
    </xf>
    <xf numFmtId="165" fontId="10" fillId="0" borderId="0" xfId="0" applyNumberFormat="1" applyFont="1" applyAlignment="1">
      <alignment horizontal="center" vertical="center"/>
    </xf>
    <xf numFmtId="165" fontId="10" fillId="0" borderId="21" xfId="0" applyNumberFormat="1" applyFont="1" applyBorder="1" applyAlignment="1">
      <alignment horizontal="center" vertical="center"/>
    </xf>
    <xf numFmtId="172" fontId="61" fillId="0" borderId="20" xfId="0" applyNumberFormat="1" applyFont="1" applyBorder="1" applyAlignment="1">
      <alignment horizontal="left" vertical="center" wrapText="1"/>
    </xf>
    <xf numFmtId="172" fontId="61" fillId="0" borderId="0" xfId="0" applyNumberFormat="1" applyFont="1" applyAlignment="1">
      <alignment horizontal="left" vertical="center" wrapText="1"/>
    </xf>
    <xf numFmtId="0" fontId="61" fillId="0" borderId="0" xfId="0" applyFont="1" applyAlignment="1">
      <alignment horizontal="left" vertical="center" wrapText="1"/>
    </xf>
    <xf numFmtId="172" fontId="61" fillId="0" borderId="0" xfId="0" applyNumberFormat="1" applyFont="1" applyAlignment="1">
      <alignment horizontal="center" vertical="center" wrapText="1"/>
    </xf>
    <xf numFmtId="172" fontId="61" fillId="0" borderId="21" xfId="0" applyNumberFormat="1" applyFont="1" applyBorder="1" applyAlignment="1">
      <alignment horizontal="left" vertical="center" wrapText="1"/>
    </xf>
    <xf numFmtId="172" fontId="61" fillId="23" borderId="0" xfId="0" applyNumberFormat="1" applyFont="1" applyFill="1" applyAlignment="1">
      <alignment horizontal="left" vertical="center" wrapText="1"/>
    </xf>
    <xf numFmtId="0" fontId="61" fillId="23" borderId="0" xfId="0" applyFont="1" applyFill="1" applyAlignment="1">
      <alignment horizontal="left" vertical="center" wrapText="1"/>
    </xf>
    <xf numFmtId="172" fontId="61" fillId="23" borderId="0" xfId="0" applyNumberFormat="1" applyFont="1" applyFill="1" applyAlignment="1">
      <alignment horizontal="center" vertical="center" wrapText="1"/>
    </xf>
    <xf numFmtId="172" fontId="61" fillId="23" borderId="21" xfId="0" applyNumberFormat="1" applyFont="1" applyFill="1" applyBorder="1" applyAlignment="1">
      <alignment horizontal="left" vertical="center" wrapText="1"/>
    </xf>
    <xf numFmtId="4" fontId="8" fillId="2" borderId="18" xfId="0" applyNumberFormat="1" applyFont="1" applyFill="1" applyBorder="1" applyAlignment="1">
      <alignment horizontal="center"/>
    </xf>
    <xf numFmtId="165" fontId="8" fillId="2" borderId="18" xfId="0" applyNumberFormat="1" applyFont="1" applyFill="1" applyBorder="1" applyAlignment="1">
      <alignment horizontal="center"/>
    </xf>
    <xf numFmtId="1" fontId="66" fillId="0" borderId="0" xfId="0" applyNumberFormat="1" applyFont="1" applyAlignment="1">
      <alignment horizontal="center" wrapText="1"/>
    </xf>
    <xf numFmtId="0" fontId="66" fillId="0" borderId="0" xfId="0" applyFont="1" applyAlignment="1">
      <alignment horizontal="center" wrapText="1"/>
    </xf>
    <xf numFmtId="169" fontId="9" fillId="0" borderId="0" xfId="0" applyNumberFormat="1" applyFont="1"/>
    <xf numFmtId="0" fontId="10" fillId="9" borderId="20" xfId="0" applyFont="1" applyFill="1" applyBorder="1" applyAlignment="1">
      <alignment horizontal="center" wrapText="1"/>
    </xf>
    <xf numFmtId="172" fontId="10" fillId="9" borderId="0" xfId="0" applyNumberFormat="1" applyFont="1" applyFill="1" applyAlignment="1">
      <alignment horizontal="center" vertical="top"/>
    </xf>
    <xf numFmtId="0" fontId="10" fillId="9" borderId="0" xfId="0" applyFont="1" applyFill="1" applyAlignment="1">
      <alignment horizontal="center"/>
    </xf>
    <xf numFmtId="174" fontId="10" fillId="9" borderId="0" xfId="0" applyNumberFormat="1" applyFont="1" applyFill="1" applyAlignment="1">
      <alignment horizontal="center"/>
    </xf>
    <xf numFmtId="165" fontId="10" fillId="9" borderId="21" xfId="0" applyNumberFormat="1" applyFont="1" applyFill="1" applyBorder="1" applyAlignment="1">
      <alignment horizontal="center"/>
    </xf>
    <xf numFmtId="172" fontId="10" fillId="8" borderId="20" xfId="0" applyNumberFormat="1" applyFont="1" applyFill="1" applyBorder="1" applyAlignment="1">
      <alignment horizontal="center" vertical="top" wrapText="1"/>
    </xf>
    <xf numFmtId="172" fontId="10" fillId="8" borderId="0" xfId="0" applyNumberFormat="1" applyFont="1" applyFill="1" applyAlignment="1">
      <alignment horizontal="center" vertical="top" wrapText="1"/>
    </xf>
    <xf numFmtId="174" fontId="10" fillId="8" borderId="0" xfId="0" applyNumberFormat="1" applyFont="1" applyFill="1" applyAlignment="1">
      <alignment horizontal="center"/>
    </xf>
    <xf numFmtId="165" fontId="10" fillId="8" borderId="21" xfId="0" applyNumberFormat="1" applyFont="1" applyFill="1" applyBorder="1" applyAlignment="1">
      <alignment horizontal="center"/>
    </xf>
    <xf numFmtId="0" fontId="9" fillId="10" borderId="20" xfId="0" applyFont="1" applyFill="1" applyBorder="1"/>
    <xf numFmtId="0" fontId="9" fillId="10" borderId="0" xfId="0" applyFont="1" applyFill="1"/>
    <xf numFmtId="4" fontId="9" fillId="10" borderId="0" xfId="0" applyNumberFormat="1" applyFont="1" applyFill="1" applyAlignment="1">
      <alignment horizontal="center"/>
    </xf>
    <xf numFmtId="165" fontId="9" fillId="10" borderId="0" xfId="0" applyNumberFormat="1" applyFont="1" applyFill="1"/>
    <xf numFmtId="165" fontId="9" fillId="10" borderId="21" xfId="0" applyNumberFormat="1" applyFont="1" applyFill="1" applyBorder="1"/>
    <xf numFmtId="1" fontId="9" fillId="0" borderId="0" xfId="0" applyNumberFormat="1" applyFont="1"/>
    <xf numFmtId="172" fontId="8" fillId="9" borderId="0" xfId="0" applyNumberFormat="1" applyFont="1" applyFill="1" applyAlignment="1">
      <alignment horizontal="center" vertical="top"/>
    </xf>
    <xf numFmtId="0" fontId="8" fillId="9" borderId="0" xfId="0" applyFont="1" applyFill="1" applyAlignment="1">
      <alignment horizontal="center" vertical="top"/>
    </xf>
    <xf numFmtId="165" fontId="8" fillId="9" borderId="21" xfId="0" applyNumberFormat="1" applyFont="1" applyFill="1" applyBorder="1" applyAlignment="1">
      <alignment horizontal="center" vertical="top"/>
    </xf>
    <xf numFmtId="1" fontId="68" fillId="0" borderId="120" xfId="0" applyNumberFormat="1" applyFont="1" applyBorder="1" applyAlignment="1">
      <alignment horizontal="center" wrapText="1"/>
    </xf>
    <xf numFmtId="1" fontId="68" fillId="0" borderId="5" xfId="0" applyNumberFormat="1" applyFont="1" applyBorder="1" applyAlignment="1">
      <alignment horizontal="center" wrapText="1"/>
    </xf>
    <xf numFmtId="0" fontId="68" fillId="0" borderId="5" xfId="0" applyFont="1" applyBorder="1" applyAlignment="1">
      <alignment horizontal="center" wrapText="1"/>
    </xf>
    <xf numFmtId="0" fontId="9" fillId="0" borderId="5" xfId="0" applyFont="1" applyBorder="1"/>
    <xf numFmtId="4" fontId="9" fillId="0" borderId="5" xfId="0" applyNumberFormat="1" applyFont="1" applyBorder="1" applyAlignment="1">
      <alignment horizontal="center"/>
    </xf>
    <xf numFmtId="165" fontId="9" fillId="0" borderId="5" xfId="0" applyNumberFormat="1" applyFont="1" applyBorder="1"/>
    <xf numFmtId="165" fontId="9" fillId="0" borderId="121" xfId="0" applyNumberFormat="1" applyFont="1" applyBorder="1"/>
    <xf numFmtId="0" fontId="10" fillId="9" borderId="120" xfId="0" applyFont="1" applyFill="1" applyBorder="1" applyAlignment="1">
      <alignment horizontal="center"/>
    </xf>
    <xf numFmtId="0" fontId="10" fillId="9" borderId="5" xfId="0" applyFont="1" applyFill="1" applyBorder="1" applyAlignment="1">
      <alignment horizontal="center"/>
    </xf>
    <xf numFmtId="4" fontId="10" fillId="9" borderId="5" xfId="0" applyNumberFormat="1" applyFont="1" applyFill="1" applyBorder="1" applyAlignment="1">
      <alignment horizontal="center" wrapText="1"/>
    </xf>
    <xf numFmtId="165" fontId="10" fillId="9" borderId="21" xfId="0" applyNumberFormat="1" applyFont="1" applyFill="1" applyBorder="1" applyAlignment="1">
      <alignment horizontal="center" vertical="top"/>
    </xf>
    <xf numFmtId="0" fontId="10" fillId="8" borderId="120" xfId="0" applyFont="1" applyFill="1" applyBorder="1" applyAlignment="1">
      <alignment horizontal="center"/>
    </xf>
    <xf numFmtId="0" fontId="10" fillId="8" borderId="5" xfId="0" applyFont="1" applyFill="1" applyBorder="1" applyAlignment="1">
      <alignment horizontal="center"/>
    </xf>
    <xf numFmtId="4" fontId="10" fillId="8" borderId="5" xfId="0" applyNumberFormat="1" applyFont="1" applyFill="1" applyBorder="1" applyAlignment="1">
      <alignment horizontal="center" wrapText="1"/>
    </xf>
    <xf numFmtId="174" fontId="8" fillId="9" borderId="0" xfId="0" applyNumberFormat="1" applyFont="1" applyFill="1" applyAlignment="1">
      <alignment horizontal="center"/>
    </xf>
    <xf numFmtId="165" fontId="10" fillId="9" borderId="0" xfId="0" applyNumberFormat="1" applyFont="1" applyFill="1" applyAlignment="1">
      <alignment horizontal="center" wrapText="1"/>
    </xf>
    <xf numFmtId="165" fontId="8" fillId="9" borderId="21" xfId="0" applyNumberFormat="1" applyFont="1" applyFill="1" applyBorder="1" applyAlignment="1">
      <alignment horizontal="center"/>
    </xf>
    <xf numFmtId="4" fontId="8" fillId="9" borderId="0" xfId="0" applyNumberFormat="1" applyFont="1" applyFill="1" applyAlignment="1">
      <alignment horizontal="center" wrapText="1"/>
    </xf>
    <xf numFmtId="4" fontId="67" fillId="6" borderId="0" xfId="0" applyNumberFormat="1" applyFont="1" applyFill="1" applyAlignment="1">
      <alignment horizontal="center" wrapText="1"/>
    </xf>
    <xf numFmtId="174" fontId="10" fillId="9" borderId="0" xfId="0" applyNumberFormat="1" applyFont="1" applyFill="1" applyAlignment="1">
      <alignment horizontal="center" wrapText="1"/>
    </xf>
    <xf numFmtId="174" fontId="10" fillId="8" borderId="5" xfId="0" applyNumberFormat="1" applyFont="1" applyFill="1" applyBorder="1" applyAlignment="1">
      <alignment horizontal="center" wrapText="1"/>
    </xf>
    <xf numFmtId="172" fontId="8" fillId="8" borderId="20" xfId="0" applyNumberFormat="1" applyFont="1" applyFill="1" applyBorder="1" applyAlignment="1">
      <alignment horizontal="center" vertical="top" wrapText="1"/>
    </xf>
    <xf numFmtId="172" fontId="8" fillId="8" borderId="0" xfId="0" applyNumberFormat="1" applyFont="1" applyFill="1" applyAlignment="1">
      <alignment horizontal="center" vertical="top" wrapText="1"/>
    </xf>
    <xf numFmtId="0" fontId="8" fillId="8" borderId="0" xfId="0" applyFont="1" applyFill="1" applyAlignment="1">
      <alignment horizontal="center" vertical="top"/>
    </xf>
    <xf numFmtId="174" fontId="8" fillId="8" borderId="0" xfId="0" applyNumberFormat="1" applyFont="1" applyFill="1" applyAlignment="1">
      <alignment horizontal="center"/>
    </xf>
    <xf numFmtId="165" fontId="8" fillId="8" borderId="21" xfId="0" applyNumberFormat="1" applyFont="1" applyFill="1" applyBorder="1" applyAlignment="1">
      <alignment horizontal="center"/>
    </xf>
    <xf numFmtId="0" fontId="47" fillId="0" borderId="20" xfId="0" applyFont="1" applyBorder="1"/>
    <xf numFmtId="0" fontId="47" fillId="0" borderId="0" xfId="0" applyFont="1"/>
    <xf numFmtId="0" fontId="47" fillId="0" borderId="0" xfId="0" applyFont="1" applyAlignment="1">
      <alignment horizontal="center"/>
    </xf>
    <xf numFmtId="0" fontId="47" fillId="0" borderId="21" xfId="0" applyFont="1" applyBorder="1"/>
    <xf numFmtId="1" fontId="8" fillId="9" borderId="0" xfId="0" applyNumberFormat="1" applyFont="1" applyFill="1" applyAlignment="1">
      <alignment horizontal="center"/>
    </xf>
    <xf numFmtId="176" fontId="8" fillId="9" borderId="0" xfId="0" applyNumberFormat="1" applyFont="1" applyFill="1" applyAlignment="1">
      <alignment horizontal="center"/>
    </xf>
    <xf numFmtId="1" fontId="8" fillId="8" borderId="0" xfId="0" applyNumberFormat="1" applyFont="1" applyFill="1" applyAlignment="1">
      <alignment horizontal="center" vertical="top"/>
    </xf>
    <xf numFmtId="176" fontId="8" fillId="8" borderId="0" xfId="0" applyNumberFormat="1" applyFont="1" applyFill="1" applyAlignment="1">
      <alignment horizontal="center"/>
    </xf>
    <xf numFmtId="4" fontId="30" fillId="2" borderId="18" xfId="0" applyNumberFormat="1" applyFont="1" applyFill="1" applyBorder="1" applyAlignment="1">
      <alignment horizontal="center"/>
    </xf>
    <xf numFmtId="0" fontId="10" fillId="8" borderId="104" xfId="0" applyFont="1" applyFill="1" applyBorder="1" applyAlignment="1">
      <alignment horizontal="center" vertical="top" wrapText="1"/>
    </xf>
    <xf numFmtId="0" fontId="10" fillId="8" borderId="105" xfId="0" applyFont="1" applyFill="1" applyBorder="1" applyAlignment="1">
      <alignment horizontal="center" vertical="top" wrapText="1"/>
    </xf>
    <xf numFmtId="0" fontId="10" fillId="8" borderId="105" xfId="0" applyFont="1" applyFill="1" applyBorder="1" applyAlignment="1">
      <alignment horizontal="center" vertical="top"/>
    </xf>
    <xf numFmtId="174" fontId="10" fillId="8" borderId="105" xfId="0" applyNumberFormat="1" applyFont="1" applyFill="1" applyBorder="1" applyAlignment="1">
      <alignment horizontal="center" wrapText="1"/>
    </xf>
    <xf numFmtId="165" fontId="10" fillId="8" borderId="106" xfId="0" applyNumberFormat="1" applyFont="1" applyFill="1" applyBorder="1" applyAlignment="1">
      <alignment horizontal="center"/>
    </xf>
    <xf numFmtId="176" fontId="10" fillId="0" borderId="104" xfId="0" applyNumberFormat="1" applyFont="1" applyBorder="1"/>
    <xf numFmtId="176" fontId="10" fillId="0" borderId="105" xfId="0" applyNumberFormat="1" applyFont="1" applyBorder="1"/>
    <xf numFmtId="0" fontId="10" fillId="0" borderId="105" xfId="0" applyFont="1" applyBorder="1"/>
    <xf numFmtId="0" fontId="10" fillId="10" borderId="105" xfId="0" applyFont="1" applyFill="1" applyBorder="1" applyAlignment="1">
      <alignment wrapText="1"/>
    </xf>
    <xf numFmtId="176" fontId="10" fillId="10" borderId="105" xfId="0" applyNumberFormat="1" applyFont="1" applyFill="1" applyBorder="1" applyAlignment="1">
      <alignment horizontal="center" wrapText="1"/>
    </xf>
    <xf numFmtId="174" fontId="10" fillId="0" borderId="105" xfId="0" applyNumberFormat="1" applyFont="1" applyBorder="1" applyAlignment="1">
      <alignment horizontal="center" wrapText="1"/>
    </xf>
    <xf numFmtId="165" fontId="10" fillId="10" borderId="105" xfId="0" applyNumberFormat="1" applyFont="1" applyFill="1" applyBorder="1"/>
    <xf numFmtId="165" fontId="10" fillId="0" borderId="106" xfId="0" applyNumberFormat="1" applyFont="1" applyBorder="1"/>
    <xf numFmtId="0" fontId="64" fillId="6" borderId="20" xfId="0" applyFont="1" applyFill="1" applyBorder="1" applyAlignment="1">
      <alignment horizontal="center" wrapText="1"/>
    </xf>
    <xf numFmtId="0" fontId="64" fillId="6" borderId="0" xfId="0" applyFont="1" applyFill="1" applyAlignment="1">
      <alignment horizontal="center"/>
    </xf>
    <xf numFmtId="165" fontId="64" fillId="6" borderId="0" xfId="0" applyNumberFormat="1" applyFont="1" applyFill="1" applyAlignment="1">
      <alignment wrapText="1"/>
    </xf>
    <xf numFmtId="165" fontId="64" fillId="6" borderId="0" xfId="0" applyNumberFormat="1" applyFont="1" applyFill="1" applyAlignment="1">
      <alignment horizontal="center" wrapText="1"/>
    </xf>
    <xf numFmtId="174" fontId="64" fillId="6" borderId="0" xfId="0" applyNumberFormat="1" applyFont="1" applyFill="1" applyAlignment="1">
      <alignment horizontal="center" wrapText="1"/>
    </xf>
    <xf numFmtId="165" fontId="64" fillId="6" borderId="21" xfId="0" applyNumberFormat="1" applyFont="1" applyFill="1" applyBorder="1" applyAlignment="1">
      <alignment horizontal="center"/>
    </xf>
    <xf numFmtId="0" fontId="65" fillId="18" borderId="0" xfId="0" applyFont="1" applyFill="1" applyAlignment="1">
      <alignment horizontal="center"/>
    </xf>
    <xf numFmtId="172" fontId="65" fillId="18" borderId="0" xfId="0" applyNumberFormat="1" applyFont="1" applyFill="1" applyAlignment="1">
      <alignment horizontal="center" wrapText="1"/>
    </xf>
    <xf numFmtId="174" fontId="65" fillId="18" borderId="0" xfId="0" applyNumberFormat="1" applyFont="1" applyFill="1" applyAlignment="1">
      <alignment horizontal="center" wrapText="1"/>
    </xf>
    <xf numFmtId="165" fontId="65" fillId="18" borderId="0" xfId="0" applyNumberFormat="1" applyFont="1" applyFill="1" applyAlignment="1">
      <alignment horizontal="center" wrapText="1"/>
    </xf>
    <xf numFmtId="165" fontId="65" fillId="18" borderId="21" xfId="0" applyNumberFormat="1" applyFont="1" applyFill="1" applyBorder="1" applyAlignment="1">
      <alignment horizontal="center" wrapText="1"/>
    </xf>
    <xf numFmtId="0" fontId="10" fillId="9" borderId="104" xfId="0" applyFont="1" applyFill="1" applyBorder="1" applyAlignment="1">
      <alignment horizontal="center" wrapText="1"/>
    </xf>
    <xf numFmtId="0" fontId="10" fillId="9" borderId="105" xfId="0" applyFont="1" applyFill="1" applyBorder="1" applyAlignment="1">
      <alignment horizontal="center" vertical="top" wrapText="1"/>
    </xf>
    <xf numFmtId="0" fontId="10" fillId="9" borderId="105" xfId="0" applyFont="1" applyFill="1" applyBorder="1" applyAlignment="1">
      <alignment horizontal="center" vertical="top"/>
    </xf>
    <xf numFmtId="174" fontId="10" fillId="9" borderId="105" xfId="0" applyNumberFormat="1" applyFont="1" applyFill="1" applyBorder="1" applyAlignment="1">
      <alignment horizontal="center" wrapText="1"/>
    </xf>
    <xf numFmtId="165" fontId="10" fillId="9" borderId="106" xfId="0" applyNumberFormat="1" applyFont="1" applyFill="1" applyBorder="1" applyAlignment="1">
      <alignment horizontal="center"/>
    </xf>
    <xf numFmtId="1" fontId="62" fillId="0" borderId="0" xfId="0" applyNumberFormat="1" applyFont="1" applyAlignment="1">
      <alignment horizontal="center" wrapText="1"/>
    </xf>
    <xf numFmtId="0" fontId="62" fillId="0" borderId="0" xfId="0" applyFont="1" applyAlignment="1">
      <alignment horizontal="center" wrapText="1"/>
    </xf>
    <xf numFmtId="0" fontId="62" fillId="0" borderId="0" xfId="0" quotePrefix="1" applyFont="1" applyAlignment="1">
      <alignment horizontal="left" wrapText="1"/>
    </xf>
    <xf numFmtId="1" fontId="63" fillId="0" borderId="0" xfId="0" applyNumberFormat="1" applyFont="1" applyAlignment="1">
      <alignment horizontal="center"/>
    </xf>
    <xf numFmtId="165" fontId="63" fillId="0" borderId="0" xfId="0" applyNumberFormat="1" applyFont="1"/>
    <xf numFmtId="165" fontId="63" fillId="0" borderId="21" xfId="0" applyNumberFormat="1" applyFont="1" applyBorder="1"/>
    <xf numFmtId="0" fontId="10" fillId="8" borderId="20" xfId="0" applyFont="1" applyFill="1" applyBorder="1" applyAlignment="1">
      <alignment horizontal="center" vertical="top" wrapText="1"/>
    </xf>
    <xf numFmtId="0" fontId="10" fillId="8" borderId="0" xfId="0" applyFont="1" applyFill="1" applyAlignment="1">
      <alignment horizontal="center" vertical="top" wrapText="1"/>
    </xf>
    <xf numFmtId="14" fontId="62" fillId="0" borderId="0" xfId="0" applyNumberFormat="1" applyFont="1" applyAlignment="1">
      <alignment horizontal="left" wrapText="1"/>
    </xf>
    <xf numFmtId="172" fontId="60" fillId="2" borderId="120" xfId="0" applyNumberFormat="1" applyFont="1" applyFill="1" applyBorder="1" applyAlignment="1">
      <alignment horizontal="center" vertical="center" wrapText="1"/>
    </xf>
    <xf numFmtId="172" fontId="60" fillId="2" borderId="5" xfId="0" applyNumberFormat="1" applyFont="1" applyFill="1" applyBorder="1" applyAlignment="1">
      <alignment horizontal="center" vertical="center" wrapText="1"/>
    </xf>
    <xf numFmtId="0" fontId="39" fillId="2" borderId="5" xfId="0" applyFont="1" applyFill="1" applyBorder="1" applyAlignment="1">
      <alignment horizontal="center" vertical="center" wrapText="1"/>
    </xf>
    <xf numFmtId="172" fontId="39" fillId="2" borderId="5" xfId="0" applyNumberFormat="1" applyFont="1" applyFill="1" applyBorder="1" applyAlignment="1">
      <alignment horizontal="left" vertical="center" wrapText="1"/>
    </xf>
    <xf numFmtId="172" fontId="39" fillId="2" borderId="5" xfId="0" applyNumberFormat="1" applyFont="1" applyFill="1" applyBorder="1" applyAlignment="1">
      <alignment horizontal="center" vertical="center" wrapText="1"/>
    </xf>
    <xf numFmtId="172" fontId="10" fillId="2" borderId="5" xfId="0" applyNumberFormat="1" applyFont="1" applyFill="1" applyBorder="1" applyAlignment="1">
      <alignment horizontal="center" vertical="center"/>
    </xf>
    <xf numFmtId="165" fontId="39" fillId="2" borderId="121" xfId="0" applyNumberFormat="1" applyFont="1" applyFill="1" applyBorder="1" applyAlignment="1">
      <alignment horizontal="center" vertical="center" wrapText="1"/>
    </xf>
    <xf numFmtId="0" fontId="10" fillId="0" borderId="0" xfId="0" applyFont="1" applyAlignment="1">
      <alignment horizontal="left" vertical="center"/>
    </xf>
    <xf numFmtId="0" fontId="69" fillId="0" borderId="0" xfId="0" applyFont="1" applyAlignment="1">
      <alignment horizontal="left" vertical="center"/>
    </xf>
    <xf numFmtId="14" fontId="62" fillId="0" borderId="120" xfId="0" applyNumberFormat="1" applyFont="1" applyBorder="1" applyAlignment="1">
      <alignment horizontal="center" wrapText="1"/>
    </xf>
    <xf numFmtId="176" fontId="62" fillId="0" borderId="5" xfId="0" applyNumberFormat="1" applyFont="1" applyBorder="1" applyAlignment="1">
      <alignment horizontal="center" wrapText="1"/>
    </xf>
    <xf numFmtId="1" fontId="70" fillId="0" borderId="5" xfId="0" applyNumberFormat="1" applyFont="1" applyBorder="1"/>
    <xf numFmtId="4" fontId="70" fillId="0" borderId="5" xfId="0" applyNumberFormat="1" applyFont="1" applyBorder="1" applyAlignment="1">
      <alignment horizontal="center"/>
    </xf>
    <xf numFmtId="165" fontId="70" fillId="0" borderId="5" xfId="0" applyNumberFormat="1" applyFont="1" applyBorder="1"/>
    <xf numFmtId="165" fontId="70" fillId="0" borderId="121" xfId="0" applyNumberFormat="1" applyFont="1" applyBorder="1"/>
    <xf numFmtId="0" fontId="69" fillId="0" borderId="0" xfId="0" applyFont="1"/>
    <xf numFmtId="14" fontId="10" fillId="9" borderId="120" xfId="0" applyNumberFormat="1" applyFont="1" applyFill="1" applyBorder="1" applyAlignment="1">
      <alignment horizontal="center" wrapText="1"/>
    </xf>
    <xf numFmtId="176" fontId="10" fillId="9" borderId="5" xfId="0" applyNumberFormat="1" applyFont="1" applyFill="1" applyBorder="1" applyAlignment="1">
      <alignment horizontal="center"/>
    </xf>
    <xf numFmtId="0" fontId="10" fillId="9" borderId="5" xfId="0" applyFont="1" applyFill="1" applyBorder="1" applyAlignment="1">
      <alignment horizontal="left" vertical="center" wrapText="1"/>
    </xf>
    <xf numFmtId="0" fontId="10" fillId="9" borderId="5" xfId="0" applyFont="1" applyFill="1" applyBorder="1" applyAlignment="1">
      <alignment horizontal="center" vertical="center" wrapText="1"/>
    </xf>
    <xf numFmtId="174" fontId="10" fillId="9" borderId="5" xfId="0" applyNumberFormat="1" applyFont="1" applyFill="1" applyBorder="1" applyAlignment="1">
      <alignment horizontal="center"/>
    </xf>
    <xf numFmtId="165" fontId="10" fillId="9" borderId="5" xfId="0" applyNumberFormat="1" applyFont="1" applyFill="1" applyBorder="1" applyAlignment="1">
      <alignment horizontal="center" vertical="center" wrapText="1"/>
    </xf>
    <xf numFmtId="165" fontId="10" fillId="9" borderId="121" xfId="0" applyNumberFormat="1" applyFont="1" applyFill="1" applyBorder="1" applyAlignment="1">
      <alignment horizontal="center"/>
    </xf>
    <xf numFmtId="14" fontId="10" fillId="8" borderId="120" xfId="0" applyNumberFormat="1" applyFont="1" applyFill="1" applyBorder="1" applyAlignment="1">
      <alignment horizontal="center" vertical="top" wrapText="1"/>
    </xf>
    <xf numFmtId="172" fontId="10" fillId="8" borderId="5" xfId="0" applyNumberFormat="1" applyFont="1" applyFill="1" applyBorder="1" applyAlignment="1">
      <alignment horizontal="center" vertical="top" wrapText="1"/>
    </xf>
    <xf numFmtId="0" fontId="10" fillId="8" borderId="5" xfId="0" applyFont="1" applyFill="1" applyBorder="1" applyAlignment="1">
      <alignment horizontal="center" vertical="top"/>
    </xf>
    <xf numFmtId="0" fontId="10" fillId="8" borderId="5" xfId="0" applyFont="1" applyFill="1" applyBorder="1" applyAlignment="1">
      <alignment horizontal="left" vertical="center" wrapText="1"/>
    </xf>
    <xf numFmtId="165" fontId="10" fillId="8" borderId="5" xfId="0" applyNumberFormat="1" applyFont="1" applyFill="1" applyBorder="1" applyAlignment="1">
      <alignment horizontal="center" vertical="center" wrapText="1"/>
    </xf>
    <xf numFmtId="165" fontId="10" fillId="8" borderId="121" xfId="0" applyNumberFormat="1" applyFont="1" applyFill="1" applyBorder="1" applyAlignment="1">
      <alignment horizontal="center"/>
    </xf>
    <xf numFmtId="14" fontId="70" fillId="0" borderId="120" xfId="0" applyNumberFormat="1" applyFont="1" applyBorder="1"/>
    <xf numFmtId="176" fontId="70" fillId="0" borderId="5" xfId="0" applyNumberFormat="1" applyFont="1" applyBorder="1"/>
    <xf numFmtId="0" fontId="70" fillId="0" borderId="5" xfId="0" applyFont="1" applyBorder="1"/>
    <xf numFmtId="172" fontId="10" fillId="0" borderId="5" xfId="0" applyNumberFormat="1" applyFont="1" applyBorder="1"/>
    <xf numFmtId="176" fontId="10" fillId="10" borderId="5" xfId="0" applyNumberFormat="1" applyFont="1" applyFill="1" applyBorder="1" applyAlignment="1">
      <alignment horizontal="center" wrapText="1"/>
    </xf>
    <xf numFmtId="4" fontId="10" fillId="0" borderId="5" xfId="0" applyNumberFormat="1" applyFont="1" applyBorder="1" applyAlignment="1">
      <alignment horizontal="center" wrapText="1"/>
    </xf>
    <xf numFmtId="165" fontId="70" fillId="10" borderId="5" xfId="0" applyNumberFormat="1" applyFont="1" applyFill="1" applyBorder="1"/>
    <xf numFmtId="174" fontId="10" fillId="0" borderId="5" xfId="0" applyNumberFormat="1" applyFont="1" applyBorder="1" applyAlignment="1">
      <alignment horizontal="center" wrapText="1"/>
    </xf>
    <xf numFmtId="172" fontId="10" fillId="10" borderId="5" xfId="0" applyNumberFormat="1" applyFont="1" applyFill="1" applyBorder="1" applyAlignment="1">
      <alignment wrapText="1"/>
    </xf>
    <xf numFmtId="14" fontId="8" fillId="8" borderId="120" xfId="0" applyNumberFormat="1" applyFont="1" applyFill="1" applyBorder="1" applyAlignment="1">
      <alignment horizontal="center" vertical="top" wrapText="1"/>
    </xf>
    <xf numFmtId="172" fontId="8" fillId="8" borderId="5" xfId="0" applyNumberFormat="1" applyFont="1" applyFill="1" applyBorder="1" applyAlignment="1">
      <alignment horizontal="center" vertical="top" wrapText="1"/>
    </xf>
    <xf numFmtId="0" fontId="8" fillId="8" borderId="5" xfId="0" applyFont="1" applyFill="1" applyBorder="1" applyAlignment="1">
      <alignment horizontal="center" vertical="top"/>
    </xf>
    <xf numFmtId="0" fontId="8" fillId="8" borderId="5" xfId="0" applyFont="1" applyFill="1" applyBorder="1" applyAlignment="1">
      <alignment wrapText="1"/>
    </xf>
    <xf numFmtId="0" fontId="8" fillId="8" borderId="5" xfId="0" applyFont="1" applyFill="1" applyBorder="1" applyAlignment="1">
      <alignment horizontal="center" wrapText="1"/>
    </xf>
    <xf numFmtId="165" fontId="8" fillId="8" borderId="5" xfId="0" applyNumberFormat="1" applyFont="1" applyFill="1" applyBorder="1" applyAlignment="1">
      <alignment horizontal="center" wrapText="1"/>
    </xf>
    <xf numFmtId="165" fontId="8" fillId="8" borderId="121" xfId="0" applyNumberFormat="1" applyFont="1" applyFill="1" applyBorder="1" applyAlignment="1">
      <alignment horizontal="center"/>
    </xf>
    <xf numFmtId="14" fontId="9" fillId="0" borderId="120" xfId="0" applyNumberFormat="1" applyFont="1" applyBorder="1"/>
    <xf numFmtId="176" fontId="9" fillId="0" borderId="5" xfId="0" applyNumberFormat="1" applyFont="1" applyBorder="1"/>
    <xf numFmtId="172" fontId="8" fillId="0" borderId="5" xfId="0" applyNumberFormat="1" applyFont="1" applyBorder="1"/>
    <xf numFmtId="176" fontId="8" fillId="10" borderId="5" xfId="0" applyNumberFormat="1" applyFont="1" applyFill="1" applyBorder="1" applyAlignment="1">
      <alignment horizontal="center" wrapText="1"/>
    </xf>
    <xf numFmtId="174" fontId="8" fillId="0" borderId="5" xfId="0" applyNumberFormat="1" applyFont="1" applyBorder="1" applyAlignment="1">
      <alignment horizontal="center" wrapText="1"/>
    </xf>
    <xf numFmtId="165" fontId="9" fillId="10" borderId="5" xfId="0" applyNumberFormat="1" applyFont="1" applyFill="1" applyBorder="1"/>
    <xf numFmtId="174" fontId="67" fillId="6" borderId="0" xfId="0" applyNumberFormat="1" applyFont="1" applyFill="1" applyAlignment="1">
      <alignment horizontal="center" wrapText="1"/>
    </xf>
    <xf numFmtId="177" fontId="67" fillId="6" borderId="21" xfId="0" applyNumberFormat="1" applyFont="1" applyFill="1" applyBorder="1" applyAlignment="1">
      <alignment horizontal="center"/>
    </xf>
    <xf numFmtId="172" fontId="10" fillId="9" borderId="5" xfId="0" applyNumberFormat="1" applyFont="1" applyFill="1" applyBorder="1" applyAlignment="1">
      <alignment horizontal="center" vertical="top" wrapText="1"/>
    </xf>
    <xf numFmtId="0" fontId="10" fillId="9" borderId="5" xfId="0" applyFont="1" applyFill="1" applyBorder="1" applyAlignment="1">
      <alignment horizontal="center" vertical="top"/>
    </xf>
    <xf numFmtId="174" fontId="10" fillId="9" borderId="5" xfId="0" applyNumberFormat="1" applyFont="1" applyFill="1" applyBorder="1" applyAlignment="1">
      <alignment horizontal="center" wrapText="1"/>
    </xf>
    <xf numFmtId="176" fontId="63" fillId="0" borderId="0" xfId="0" applyNumberFormat="1" applyFont="1" applyAlignment="1">
      <alignment horizontal="center"/>
    </xf>
    <xf numFmtId="4" fontId="63" fillId="0" borderId="0" xfId="0" applyNumberFormat="1" applyFont="1" applyAlignment="1">
      <alignment horizontal="center"/>
    </xf>
    <xf numFmtId="176" fontId="10" fillId="9" borderId="0" xfId="0" applyNumberFormat="1" applyFont="1" applyFill="1" applyAlignment="1">
      <alignment horizontal="center"/>
    </xf>
    <xf numFmtId="0" fontId="10" fillId="9" borderId="0" xfId="0" applyFont="1" applyFill="1" applyAlignment="1">
      <alignment horizontal="center" wrapText="1"/>
    </xf>
    <xf numFmtId="165" fontId="10" fillId="9" borderId="21" xfId="0" applyNumberFormat="1" applyFont="1" applyFill="1" applyBorder="1" applyAlignment="1">
      <alignment horizontal="center" wrapText="1"/>
    </xf>
    <xf numFmtId="0" fontId="10" fillId="8" borderId="20" xfId="0" applyFont="1" applyFill="1" applyBorder="1" applyAlignment="1">
      <alignment horizontal="center"/>
    </xf>
    <xf numFmtId="0" fontId="10" fillId="8" borderId="0" xfId="0" applyFont="1" applyFill="1" applyAlignment="1">
      <alignment horizontal="center"/>
    </xf>
    <xf numFmtId="0" fontId="10" fillId="8" borderId="0" xfId="0" applyFont="1" applyFill="1" applyAlignment="1">
      <alignment horizontal="center" wrapText="1"/>
    </xf>
    <xf numFmtId="174" fontId="10" fillId="8" borderId="0" xfId="0" applyNumberFormat="1" applyFont="1" applyFill="1" applyAlignment="1">
      <alignment horizontal="center" wrapText="1"/>
    </xf>
    <xf numFmtId="165" fontId="10" fillId="8" borderId="0" xfId="0" applyNumberFormat="1" applyFont="1" applyFill="1" applyAlignment="1">
      <alignment horizontal="center" wrapText="1"/>
    </xf>
    <xf numFmtId="176" fontId="62" fillId="0" borderId="0" xfId="0" applyNumberFormat="1" applyFont="1" applyAlignment="1">
      <alignment horizontal="center" wrapText="1"/>
    </xf>
    <xf numFmtId="176" fontId="10" fillId="8" borderId="20" xfId="0" applyNumberFormat="1" applyFont="1" applyFill="1" applyBorder="1" applyAlignment="1">
      <alignment horizontal="center" wrapText="1"/>
    </xf>
    <xf numFmtId="176" fontId="10" fillId="8" borderId="0" xfId="0" applyNumberFormat="1" applyFont="1" applyFill="1" applyAlignment="1">
      <alignment horizontal="center"/>
    </xf>
    <xf numFmtId="176" fontId="10" fillId="10" borderId="20" xfId="0" applyNumberFormat="1" applyFont="1" applyFill="1" applyBorder="1" applyAlignment="1">
      <alignment horizontal="center" wrapText="1"/>
    </xf>
    <xf numFmtId="176" fontId="10" fillId="10" borderId="0" xfId="0" applyNumberFormat="1" applyFont="1" applyFill="1" applyAlignment="1">
      <alignment horizontal="center"/>
    </xf>
    <xf numFmtId="0" fontId="10" fillId="10" borderId="0" xfId="0" applyFont="1" applyFill="1"/>
    <xf numFmtId="14" fontId="10" fillId="10" borderId="0" xfId="0" applyNumberFormat="1" applyFont="1" applyFill="1" applyAlignment="1">
      <alignment horizontal="left"/>
    </xf>
    <xf numFmtId="165" fontId="10" fillId="10" borderId="0" xfId="0" applyNumberFormat="1" applyFont="1" applyFill="1"/>
    <xf numFmtId="165" fontId="10" fillId="10" borderId="21" xfId="0" applyNumberFormat="1" applyFont="1" applyFill="1" applyBorder="1"/>
    <xf numFmtId="174" fontId="65" fillId="18" borderId="0" xfId="0" applyNumberFormat="1" applyFont="1" applyFill="1" applyAlignment="1">
      <alignment horizontal="center" vertical="center" wrapText="1"/>
    </xf>
    <xf numFmtId="178" fontId="10" fillId="8" borderId="121" xfId="0" applyNumberFormat="1" applyFont="1" applyFill="1" applyBorder="1" applyAlignment="1">
      <alignment horizontal="center"/>
    </xf>
    <xf numFmtId="174" fontId="8" fillId="8" borderId="5" xfId="0" applyNumberFormat="1" applyFont="1" applyFill="1" applyBorder="1" applyAlignment="1">
      <alignment horizontal="center" wrapText="1"/>
    </xf>
    <xf numFmtId="172" fontId="64" fillId="6" borderId="0" xfId="0" applyNumberFormat="1" applyFont="1" applyFill="1" applyAlignment="1">
      <alignment horizontal="center" vertical="center" wrapText="1"/>
    </xf>
    <xf numFmtId="172" fontId="60" fillId="10" borderId="20" xfId="0" applyNumberFormat="1" applyFont="1" applyFill="1" applyBorder="1" applyAlignment="1">
      <alignment horizontal="center" vertical="center" wrapText="1"/>
    </xf>
    <xf numFmtId="172" fontId="60" fillId="10" borderId="0" xfId="0" applyNumberFormat="1" applyFont="1" applyFill="1" applyAlignment="1">
      <alignment horizontal="center" vertical="center" wrapText="1"/>
    </xf>
    <xf numFmtId="0" fontId="60" fillId="10" borderId="0" xfId="0" applyFont="1" applyFill="1" applyAlignment="1">
      <alignment horizontal="center" vertical="center" wrapText="1"/>
    </xf>
    <xf numFmtId="172" fontId="60" fillId="10" borderId="0" xfId="0" applyNumberFormat="1" applyFont="1" applyFill="1" applyAlignment="1">
      <alignment horizontal="left" vertical="center" wrapText="1"/>
    </xf>
    <xf numFmtId="165" fontId="60" fillId="10" borderId="21" xfId="0" applyNumberFormat="1" applyFont="1" applyFill="1" applyBorder="1" applyAlignment="1">
      <alignment horizontal="center" vertical="center" wrapText="1"/>
    </xf>
    <xf numFmtId="0" fontId="8" fillId="8" borderId="20" xfId="0" applyFont="1" applyFill="1" applyBorder="1" applyAlignment="1">
      <alignment horizontal="center" vertical="top" wrapText="1"/>
    </xf>
    <xf numFmtId="0" fontId="8" fillId="8" borderId="0" xfId="0" applyFont="1" applyFill="1" applyAlignment="1">
      <alignment horizontal="center" vertical="top" wrapText="1"/>
    </xf>
    <xf numFmtId="4" fontId="71" fillId="9" borderId="0" xfId="0" applyNumberFormat="1" applyFont="1" applyFill="1" applyAlignment="1">
      <alignment horizontal="center" vertical="center"/>
    </xf>
    <xf numFmtId="4" fontId="71" fillId="8" borderId="0" xfId="0" applyNumberFormat="1" applyFont="1" applyFill="1" applyAlignment="1">
      <alignment horizontal="center" vertical="center"/>
    </xf>
    <xf numFmtId="0" fontId="39" fillId="2" borderId="18" xfId="0" applyFont="1" applyFill="1" applyBorder="1" applyAlignment="1">
      <alignment horizontal="center" vertical="center" wrapText="1"/>
    </xf>
    <xf numFmtId="172" fontId="8" fillId="9" borderId="20" xfId="0" applyNumberFormat="1" applyFont="1" applyFill="1" applyBorder="1" applyAlignment="1">
      <alignment horizontal="center" wrapText="1"/>
    </xf>
    <xf numFmtId="4" fontId="8" fillId="9" borderId="0" xfId="0" applyNumberFormat="1" applyFont="1" applyFill="1" applyAlignment="1">
      <alignment horizontal="center" vertical="top"/>
    </xf>
    <xf numFmtId="0" fontId="8" fillId="8" borderId="20" xfId="0" applyFont="1" applyFill="1" applyBorder="1" applyAlignment="1">
      <alignment horizontal="center" vertical="top"/>
    </xf>
    <xf numFmtId="172" fontId="8" fillId="8" borderId="0" xfId="0" applyNumberFormat="1" applyFont="1" applyFill="1" applyAlignment="1">
      <alignment horizontal="center" vertical="top"/>
    </xf>
    <xf numFmtId="172" fontId="67" fillId="6" borderId="20" xfId="0" applyNumberFormat="1" applyFont="1" applyFill="1" applyBorder="1" applyAlignment="1">
      <alignment horizontal="center" wrapText="1"/>
    </xf>
    <xf numFmtId="0" fontId="67" fillId="6" borderId="0" xfId="0" applyFont="1" applyFill="1" applyAlignment="1">
      <alignment horizontal="center" vertical="top"/>
    </xf>
    <xf numFmtId="1" fontId="66" fillId="0" borderId="0" xfId="0" applyNumberFormat="1" applyFont="1" applyAlignment="1">
      <alignment wrapText="1"/>
    </xf>
    <xf numFmtId="0" fontId="8" fillId="9" borderId="0" xfId="0" applyFont="1" applyFill="1" applyAlignment="1">
      <alignment wrapText="1"/>
    </xf>
    <xf numFmtId="0" fontId="8" fillId="9" borderId="0" xfId="0" applyFont="1" applyFill="1" applyAlignment="1">
      <alignment horizontal="center" wrapText="1"/>
    </xf>
    <xf numFmtId="165" fontId="8" fillId="9" borderId="0" xfId="0" applyNumberFormat="1" applyFont="1" applyFill="1" applyAlignment="1">
      <alignment horizontal="center" wrapText="1"/>
    </xf>
    <xf numFmtId="0" fontId="8" fillId="8" borderId="0" xfId="0" applyFont="1" applyFill="1" applyAlignment="1">
      <alignment wrapText="1"/>
    </xf>
    <xf numFmtId="0" fontId="8" fillId="8" borderId="0" xfId="0" applyFont="1" applyFill="1" applyAlignment="1">
      <alignment horizontal="center" wrapText="1"/>
    </xf>
    <xf numFmtId="165" fontId="8" fillId="8" borderId="0" xfId="0" applyNumberFormat="1" applyFont="1" applyFill="1" applyAlignment="1">
      <alignment horizontal="center" wrapText="1"/>
    </xf>
    <xf numFmtId="0" fontId="72" fillId="18" borderId="20" xfId="0" applyFont="1" applyFill="1" applyBorder="1" applyAlignment="1">
      <alignment horizontal="center" wrapText="1"/>
    </xf>
    <xf numFmtId="0" fontId="72" fillId="18" borderId="0" xfId="0" applyFont="1" applyFill="1" applyAlignment="1">
      <alignment horizontal="center"/>
    </xf>
    <xf numFmtId="172" fontId="72" fillId="18" borderId="0" xfId="0" applyNumberFormat="1" applyFont="1" applyFill="1" applyAlignment="1">
      <alignment wrapText="1"/>
    </xf>
    <xf numFmtId="172" fontId="72" fillId="18" borderId="0" xfId="0" applyNumberFormat="1" applyFont="1" applyFill="1" applyAlignment="1">
      <alignment horizontal="center" wrapText="1"/>
    </xf>
    <xf numFmtId="4" fontId="72" fillId="18" borderId="0" xfId="0" applyNumberFormat="1" applyFont="1" applyFill="1" applyAlignment="1">
      <alignment horizontal="center" wrapText="1"/>
    </xf>
    <xf numFmtId="165" fontId="72" fillId="18" borderId="0" xfId="0" applyNumberFormat="1" applyFont="1" applyFill="1" applyAlignment="1">
      <alignment horizontal="center" wrapText="1"/>
    </xf>
    <xf numFmtId="165" fontId="72" fillId="18" borderId="21" xfId="0" applyNumberFormat="1" applyFont="1" applyFill="1" applyBorder="1" applyAlignment="1">
      <alignment horizontal="center" wrapText="1"/>
    </xf>
    <xf numFmtId="169" fontId="63" fillId="0" borderId="0" xfId="0" applyNumberFormat="1" applyFont="1" applyAlignment="1">
      <alignment horizontal="center"/>
    </xf>
    <xf numFmtId="179" fontId="8" fillId="9" borderId="0" xfId="0" applyNumberFormat="1" applyFont="1" applyFill="1" applyAlignment="1">
      <alignment horizontal="center"/>
    </xf>
    <xf numFmtId="173" fontId="62" fillId="0" borderId="0" xfId="0" applyNumberFormat="1" applyFont="1" applyAlignment="1">
      <alignment horizontal="left" wrapText="1"/>
    </xf>
    <xf numFmtId="0" fontId="63" fillId="0" borderId="0" xfId="0" applyFont="1" applyAlignment="1">
      <alignment horizontal="center"/>
    </xf>
    <xf numFmtId="4" fontId="10" fillId="9" borderId="0" xfId="0" applyNumberFormat="1" applyFont="1" applyFill="1" applyAlignment="1">
      <alignment horizontal="center" wrapText="1"/>
    </xf>
    <xf numFmtId="4" fontId="10" fillId="8" borderId="0" xfId="0" applyNumberFormat="1" applyFont="1" applyFill="1" applyAlignment="1">
      <alignment horizontal="center" wrapText="1"/>
    </xf>
    <xf numFmtId="0" fontId="62" fillId="0" borderId="0" xfId="0" applyFont="1" applyAlignment="1">
      <alignment horizontal="left" wrapText="1"/>
    </xf>
    <xf numFmtId="176" fontId="67" fillId="6" borderId="20" xfId="0" applyNumberFormat="1" applyFont="1" applyFill="1" applyBorder="1" applyAlignment="1">
      <alignment horizontal="center"/>
    </xf>
    <xf numFmtId="0" fontId="72" fillId="18" borderId="0" xfId="0" applyFont="1" applyFill="1" applyAlignment="1">
      <alignment horizontal="center" wrapText="1"/>
    </xf>
    <xf numFmtId="0" fontId="66" fillId="0" borderId="0" xfId="0" quotePrefix="1" applyFont="1" applyAlignment="1">
      <alignment horizontal="center" wrapText="1"/>
    </xf>
    <xf numFmtId="176" fontId="8" fillId="8" borderId="20" xfId="0" applyNumberFormat="1" applyFont="1" applyFill="1" applyBorder="1" applyAlignment="1">
      <alignment horizontal="center"/>
    </xf>
    <xf numFmtId="0" fontId="46" fillId="8" borderId="20" xfId="0" applyFont="1" applyFill="1" applyBorder="1" applyAlignment="1">
      <alignment horizontal="center" vertical="top" wrapText="1"/>
    </xf>
    <xf numFmtId="0" fontId="46" fillId="8" borderId="0" xfId="0" applyFont="1" applyFill="1" applyAlignment="1">
      <alignment horizontal="center" vertical="top" wrapText="1"/>
    </xf>
    <xf numFmtId="0" fontId="46" fillId="8" borderId="0" xfId="0" applyFont="1" applyFill="1" applyAlignment="1">
      <alignment horizontal="center" vertical="top"/>
    </xf>
    <xf numFmtId="0" fontId="46" fillId="8" borderId="0" xfId="0" applyFont="1" applyFill="1" applyAlignment="1">
      <alignment horizontal="center" wrapText="1"/>
    </xf>
    <xf numFmtId="4" fontId="46" fillId="8" borderId="0" xfId="0" applyNumberFormat="1" applyFont="1" applyFill="1" applyAlignment="1">
      <alignment horizontal="center"/>
    </xf>
    <xf numFmtId="165" fontId="46" fillId="8" borderId="0" xfId="0" applyNumberFormat="1" applyFont="1" applyFill="1" applyAlignment="1">
      <alignment horizontal="center" wrapText="1"/>
    </xf>
    <xf numFmtId="176" fontId="63" fillId="10" borderId="0" xfId="0" applyNumberFormat="1" applyFont="1" applyFill="1" applyAlignment="1">
      <alignment horizontal="center"/>
    </xf>
    <xf numFmtId="165" fontId="63" fillId="10" borderId="0" xfId="0" applyNumberFormat="1" applyFont="1" applyFill="1"/>
    <xf numFmtId="165" fontId="63" fillId="10" borderId="21" xfId="0" applyNumberFormat="1" applyFont="1" applyFill="1" applyBorder="1"/>
    <xf numFmtId="176" fontId="10" fillId="8" borderId="20" xfId="0" applyNumberFormat="1" applyFont="1" applyFill="1" applyBorder="1" applyAlignment="1">
      <alignment horizontal="center"/>
    </xf>
    <xf numFmtId="176" fontId="64" fillId="6" borderId="20" xfId="0" applyNumberFormat="1" applyFont="1" applyFill="1" applyBorder="1" applyAlignment="1">
      <alignment horizontal="center"/>
    </xf>
    <xf numFmtId="0" fontId="65" fillId="18" borderId="0" xfId="0" applyFont="1" applyFill="1" applyAlignment="1">
      <alignment horizontal="center" vertical="top"/>
    </xf>
    <xf numFmtId="4" fontId="65" fillId="18" borderId="0" xfId="0" applyNumberFormat="1" applyFont="1" applyFill="1" applyAlignment="1">
      <alignment horizontal="center" vertical="center"/>
    </xf>
    <xf numFmtId="173" fontId="66" fillId="0" borderId="0" xfId="0" applyNumberFormat="1" applyFont="1" applyAlignment="1">
      <alignment horizontal="left" wrapText="1"/>
    </xf>
    <xf numFmtId="1" fontId="62" fillId="10" borderId="0" xfId="0" applyNumberFormat="1" applyFont="1" applyFill="1" applyAlignment="1">
      <alignment horizontal="center" wrapText="1"/>
    </xf>
    <xf numFmtId="0" fontId="62" fillId="10" borderId="0" xfId="0" applyFont="1" applyFill="1" applyAlignment="1">
      <alignment horizontal="center" wrapText="1"/>
    </xf>
    <xf numFmtId="0" fontId="62" fillId="10" borderId="0" xfId="0" quotePrefix="1" applyFont="1" applyFill="1" applyAlignment="1">
      <alignment horizontal="left" wrapText="1"/>
    </xf>
    <xf numFmtId="169" fontId="63" fillId="10" borderId="0" xfId="0" applyNumberFormat="1" applyFont="1" applyFill="1" applyAlignment="1">
      <alignment horizontal="center"/>
    </xf>
    <xf numFmtId="1" fontId="9" fillId="0" borderId="20" xfId="0" applyNumberFormat="1" applyFont="1" applyBorder="1"/>
    <xf numFmtId="0" fontId="73" fillId="0" borderId="0" xfId="0" applyFont="1" applyAlignment="1">
      <alignment wrapText="1"/>
    </xf>
    <xf numFmtId="0" fontId="10" fillId="0" borderId="20" xfId="0" applyFont="1" applyBorder="1" applyAlignment="1">
      <alignment horizontal="center"/>
    </xf>
    <xf numFmtId="4" fontId="10" fillId="0" borderId="0" xfId="0" applyNumberFormat="1" applyFont="1" applyAlignment="1">
      <alignment horizontal="center"/>
    </xf>
    <xf numFmtId="17" fontId="62" fillId="0" borderId="0" xfId="0" applyNumberFormat="1" applyFont="1" applyAlignment="1">
      <alignment horizontal="left" wrapText="1"/>
    </xf>
    <xf numFmtId="172" fontId="9" fillId="0" borderId="20" xfId="0" applyNumberFormat="1" applyFont="1" applyBorder="1"/>
    <xf numFmtId="172" fontId="9" fillId="0" borderId="0" xfId="0" applyNumberFormat="1" applyFont="1"/>
    <xf numFmtId="4" fontId="9" fillId="0" borderId="0" xfId="0" applyNumberFormat="1" applyFont="1"/>
    <xf numFmtId="0" fontId="67" fillId="6" borderId="20" xfId="0" applyFont="1" applyFill="1" applyBorder="1" applyAlignment="1">
      <alignment horizontal="center"/>
    </xf>
    <xf numFmtId="180" fontId="66" fillId="0" borderId="0" xfId="0" applyNumberFormat="1" applyFont="1" applyAlignment="1">
      <alignment horizontal="center" wrapText="1"/>
    </xf>
    <xf numFmtId="4" fontId="9" fillId="10" borderId="0" xfId="0" applyNumberFormat="1" applyFont="1" applyFill="1"/>
    <xf numFmtId="172" fontId="66" fillId="0" borderId="20" xfId="0" applyNumberFormat="1" applyFont="1" applyBorder="1" applyAlignment="1">
      <alignment horizontal="center" wrapText="1"/>
    </xf>
    <xf numFmtId="169" fontId="8" fillId="9" borderId="0" xfId="0" applyNumberFormat="1" applyFont="1" applyFill="1" applyAlignment="1">
      <alignment horizontal="center" wrapText="1"/>
    </xf>
    <xf numFmtId="0" fontId="30" fillId="2" borderId="18" xfId="0" applyFont="1" applyFill="1" applyBorder="1" applyAlignment="1">
      <alignment horizontal="left" wrapText="1"/>
    </xf>
    <xf numFmtId="0" fontId="64" fillId="6" borderId="20" xfId="0" applyFont="1" applyFill="1" applyBorder="1" applyAlignment="1">
      <alignment horizontal="center"/>
    </xf>
    <xf numFmtId="0" fontId="46" fillId="9" borderId="20" xfId="0" applyFont="1" applyFill="1" applyBorder="1" applyAlignment="1">
      <alignment horizontal="center" wrapText="1"/>
    </xf>
    <xf numFmtId="172" fontId="46" fillId="9" borderId="0" xfId="0" applyNumberFormat="1" applyFont="1" applyFill="1" applyAlignment="1">
      <alignment horizontal="center" vertical="top"/>
    </xf>
    <xf numFmtId="0" fontId="46" fillId="9" borderId="0" xfId="0" applyFont="1" applyFill="1" applyAlignment="1">
      <alignment horizontal="center"/>
    </xf>
    <xf numFmtId="0" fontId="71" fillId="9" borderId="0" xfId="0" applyFont="1" applyFill="1" applyAlignment="1">
      <alignment horizontal="left" vertical="center" wrapText="1"/>
    </xf>
    <xf numFmtId="0" fontId="71" fillId="9" borderId="0" xfId="0" applyFont="1" applyFill="1" applyAlignment="1">
      <alignment horizontal="center" vertical="center" wrapText="1"/>
    </xf>
    <xf numFmtId="4" fontId="46" fillId="9" borderId="0" xfId="0" applyNumberFormat="1" applyFont="1" applyFill="1" applyAlignment="1">
      <alignment horizontal="center"/>
    </xf>
    <xf numFmtId="165" fontId="71" fillId="9" borderId="0" xfId="0" applyNumberFormat="1" applyFont="1" applyFill="1" applyAlignment="1">
      <alignment horizontal="center" vertical="center" wrapText="1"/>
    </xf>
    <xf numFmtId="165" fontId="71" fillId="9" borderId="21" xfId="0" applyNumberFormat="1" applyFont="1" applyFill="1" applyBorder="1" applyAlignment="1">
      <alignment horizontal="center" vertical="center"/>
    </xf>
    <xf numFmtId="0" fontId="71" fillId="8" borderId="0" xfId="0" applyFont="1" applyFill="1" applyAlignment="1">
      <alignment horizontal="left" vertical="center" wrapText="1"/>
    </xf>
    <xf numFmtId="0" fontId="71" fillId="8" borderId="0" xfId="0" applyFont="1" applyFill="1" applyAlignment="1">
      <alignment horizontal="center" vertical="center" wrapText="1"/>
    </xf>
    <xf numFmtId="165" fontId="71" fillId="8" borderId="0" xfId="0" applyNumberFormat="1" applyFont="1" applyFill="1" applyAlignment="1">
      <alignment horizontal="center" vertical="center" wrapText="1"/>
    </xf>
    <xf numFmtId="165" fontId="71" fillId="8" borderId="21" xfId="0" applyNumberFormat="1" applyFont="1" applyFill="1" applyBorder="1" applyAlignment="1">
      <alignment horizontal="center" vertical="center"/>
    </xf>
    <xf numFmtId="181" fontId="67" fillId="6" borderId="0" xfId="0" applyNumberFormat="1" applyFont="1" applyFill="1" applyAlignment="1">
      <alignment horizontal="center"/>
    </xf>
    <xf numFmtId="165" fontId="72" fillId="18" borderId="0" xfId="0" applyNumberFormat="1" applyFont="1" applyFill="1" applyAlignment="1">
      <alignment horizontal="center"/>
    </xf>
    <xf numFmtId="0" fontId="9" fillId="0" borderId="20" xfId="0" applyFont="1" applyBorder="1"/>
    <xf numFmtId="0" fontId="66" fillId="0" borderId="0" xfId="0" applyFont="1" applyAlignment="1">
      <alignment wrapText="1"/>
    </xf>
    <xf numFmtId="0" fontId="10" fillId="9" borderId="0" xfId="0" applyFont="1" applyFill="1" applyAlignment="1">
      <alignment horizontal="left" wrapText="1"/>
    </xf>
    <xf numFmtId="4" fontId="10" fillId="9" borderId="0" xfId="0" applyNumberFormat="1" applyFont="1" applyFill="1" applyAlignment="1">
      <alignment horizontal="center"/>
    </xf>
    <xf numFmtId="0" fontId="10" fillId="8" borderId="0" xfId="0" applyFont="1" applyFill="1" applyAlignment="1">
      <alignment horizontal="left" wrapText="1"/>
    </xf>
    <xf numFmtId="4" fontId="10" fillId="8" borderId="0" xfId="0" applyNumberFormat="1" applyFont="1" applyFill="1" applyAlignment="1">
      <alignment horizontal="center"/>
    </xf>
    <xf numFmtId="4" fontId="65" fillId="18" borderId="0" xfId="0" applyNumberFormat="1" applyFont="1" applyFill="1" applyAlignment="1">
      <alignment horizontal="center" wrapText="1"/>
    </xf>
    <xf numFmtId="172" fontId="39" fillId="2" borderId="17" xfId="0" applyNumberFormat="1" applyFont="1" applyFill="1" applyBorder="1" applyAlignment="1">
      <alignment horizontal="center" vertical="center" wrapText="1"/>
    </xf>
    <xf numFmtId="172" fontId="39" fillId="2" borderId="18" xfId="0" applyNumberFormat="1" applyFont="1" applyFill="1" applyBorder="1" applyAlignment="1">
      <alignment horizontal="center" vertical="center" wrapText="1"/>
    </xf>
    <xf numFmtId="172" fontId="39" fillId="2" borderId="18" xfId="0" applyNumberFormat="1" applyFont="1" applyFill="1" applyBorder="1" applyAlignment="1">
      <alignment horizontal="left" vertical="center" wrapText="1"/>
    </xf>
    <xf numFmtId="165" fontId="39" fillId="2" borderId="19" xfId="0" applyNumberFormat="1" applyFont="1" applyFill="1" applyBorder="1" applyAlignment="1">
      <alignment horizontal="center" vertical="center" wrapText="1"/>
    </xf>
    <xf numFmtId="1" fontId="62" fillId="0" borderId="0" xfId="0" applyNumberFormat="1" applyFont="1" applyAlignment="1">
      <alignment wrapText="1"/>
    </xf>
    <xf numFmtId="169" fontId="10" fillId="0" borderId="0" xfId="0" applyNumberFormat="1" applyFont="1" applyAlignment="1">
      <alignment horizontal="center"/>
    </xf>
    <xf numFmtId="0" fontId="8" fillId="9" borderId="0" xfId="0" applyFont="1" applyFill="1" applyAlignment="1">
      <alignment horizontal="center" vertical="top" wrapText="1"/>
    </xf>
    <xf numFmtId="14" fontId="66" fillId="0" borderId="0" xfId="0" applyNumberFormat="1" applyFont="1" applyAlignment="1">
      <alignment wrapText="1"/>
    </xf>
    <xf numFmtId="14" fontId="8" fillId="9" borderId="0" xfId="0" applyNumberFormat="1" applyFont="1" applyFill="1" applyAlignment="1">
      <alignment wrapText="1"/>
    </xf>
    <xf numFmtId="4" fontId="10" fillId="9" borderId="0" xfId="0" applyNumberFormat="1" applyFont="1" applyFill="1" applyAlignment="1">
      <alignment horizontal="center" vertical="top"/>
    </xf>
    <xf numFmtId="165" fontId="10" fillId="8" borderId="21" xfId="0" applyNumberFormat="1" applyFont="1" applyFill="1" applyBorder="1" applyAlignment="1">
      <alignment horizontal="center" vertical="top"/>
    </xf>
    <xf numFmtId="0" fontId="74" fillId="10" borderId="20" xfId="0" applyFont="1" applyFill="1" applyBorder="1"/>
    <xf numFmtId="0" fontId="74" fillId="10" borderId="0" xfId="0" applyFont="1" applyFill="1"/>
    <xf numFmtId="0" fontId="72" fillId="18" borderId="0" xfId="0" applyFont="1" applyFill="1" applyAlignment="1">
      <alignment horizontal="center" vertical="top"/>
    </xf>
    <xf numFmtId="4" fontId="72" fillId="18" borderId="0" xfId="0" applyNumberFormat="1" applyFont="1" applyFill="1" applyAlignment="1">
      <alignment horizontal="center"/>
    </xf>
    <xf numFmtId="172" fontId="75" fillId="0" borderId="20" xfId="0" applyNumberFormat="1" applyFont="1" applyBorder="1" applyAlignment="1">
      <alignment horizontal="center" wrapText="1"/>
    </xf>
    <xf numFmtId="172" fontId="75" fillId="0" borderId="0" xfId="0" applyNumberFormat="1" applyFont="1" applyAlignment="1">
      <alignment horizontal="center"/>
    </xf>
    <xf numFmtId="0" fontId="75" fillId="0" borderId="0" xfId="0" applyFont="1" applyAlignment="1">
      <alignment horizontal="center"/>
    </xf>
    <xf numFmtId="165" fontId="75" fillId="0" borderId="0" xfId="0" applyNumberFormat="1" applyFont="1" applyAlignment="1">
      <alignment wrapText="1"/>
    </xf>
    <xf numFmtId="165" fontId="8" fillId="0" borderId="0" xfId="0" applyNumberFormat="1" applyFont="1" applyAlignment="1">
      <alignment horizontal="center" wrapText="1"/>
    </xf>
    <xf numFmtId="4" fontId="8" fillId="0" borderId="0" xfId="0" applyNumberFormat="1" applyFont="1" applyAlignment="1">
      <alignment horizontal="center" wrapText="1"/>
    </xf>
    <xf numFmtId="165" fontId="8" fillId="0" borderId="21" xfId="0" applyNumberFormat="1" applyFont="1" applyBorder="1" applyAlignment="1">
      <alignment horizontal="center"/>
    </xf>
    <xf numFmtId="182" fontId="8" fillId="2" borderId="18" xfId="0" applyNumberFormat="1" applyFont="1" applyFill="1" applyBorder="1" applyAlignment="1">
      <alignment horizontal="center"/>
    </xf>
    <xf numFmtId="172" fontId="66" fillId="0" borderId="0" xfId="0" applyNumberFormat="1" applyFont="1" applyAlignment="1">
      <alignment horizontal="center"/>
    </xf>
    <xf numFmtId="183" fontId="66" fillId="0" borderId="0" xfId="0" applyNumberFormat="1" applyFont="1" applyAlignment="1">
      <alignment horizontal="right" wrapText="1"/>
    </xf>
    <xf numFmtId="182" fontId="9" fillId="0" borderId="0" xfId="0" applyNumberFormat="1" applyFont="1" applyAlignment="1">
      <alignment horizontal="center"/>
    </xf>
    <xf numFmtId="182" fontId="8" fillId="9" borderId="0" xfId="0" applyNumberFormat="1" applyFont="1" applyFill="1" applyAlignment="1">
      <alignment horizontal="center"/>
    </xf>
    <xf numFmtId="182" fontId="67" fillId="6" borderId="0" xfId="0" applyNumberFormat="1" applyFont="1" applyFill="1" applyAlignment="1">
      <alignment horizontal="center"/>
    </xf>
    <xf numFmtId="0" fontId="63" fillId="10" borderId="20" xfId="0" applyFont="1" applyFill="1" applyBorder="1" applyAlignment="1">
      <alignment horizontal="center" vertical="center" wrapText="1"/>
    </xf>
    <xf numFmtId="0" fontId="63" fillId="10" borderId="0" xfId="0" applyFont="1" applyFill="1" applyAlignment="1">
      <alignment horizontal="center" vertical="center"/>
    </xf>
    <xf numFmtId="0" fontId="63" fillId="10" borderId="0" xfId="0" applyFont="1" applyFill="1" applyAlignment="1">
      <alignment horizontal="left" vertical="center" wrapText="1"/>
    </xf>
    <xf numFmtId="14" fontId="62" fillId="10" borderId="0" xfId="0" applyNumberFormat="1" applyFont="1" applyFill="1" applyAlignment="1">
      <alignment horizontal="left" wrapText="1"/>
    </xf>
    <xf numFmtId="17" fontId="62" fillId="10" borderId="0" xfId="0" applyNumberFormat="1" applyFont="1" applyFill="1" applyAlignment="1">
      <alignment horizontal="left" wrapText="1"/>
    </xf>
    <xf numFmtId="1" fontId="76" fillId="0" borderId="20" xfId="0" applyNumberFormat="1" applyFont="1" applyBorder="1" applyAlignment="1">
      <alignment horizontal="center" vertical="center" wrapText="1"/>
    </xf>
    <xf numFmtId="1" fontId="76" fillId="0" borderId="0" xfId="0" applyNumberFormat="1" applyFont="1" applyAlignment="1">
      <alignment horizontal="center" vertical="center" wrapText="1"/>
    </xf>
    <xf numFmtId="0" fontId="76" fillId="0" borderId="0" xfId="0" applyFont="1" applyAlignment="1">
      <alignment horizontal="center" vertical="center" wrapText="1"/>
    </xf>
    <xf numFmtId="0" fontId="77" fillId="0" borderId="0" xfId="0" applyFont="1" applyAlignment="1">
      <alignment horizontal="left" vertical="center" wrapText="1"/>
    </xf>
    <xf numFmtId="182" fontId="8" fillId="0" borderId="0" xfId="0" applyNumberFormat="1" applyFont="1" applyAlignment="1">
      <alignment horizontal="center"/>
    </xf>
    <xf numFmtId="0" fontId="75" fillId="10" borderId="20" xfId="0" applyFont="1" applyFill="1" applyBorder="1"/>
    <xf numFmtId="0" fontId="75" fillId="10" borderId="0" xfId="0" applyFont="1" applyFill="1"/>
    <xf numFmtId="0" fontId="8" fillId="10" borderId="0" xfId="0" applyFont="1" applyFill="1"/>
    <xf numFmtId="4" fontId="8" fillId="10" borderId="0" xfId="0" applyNumberFormat="1" applyFont="1" applyFill="1"/>
    <xf numFmtId="165" fontId="8" fillId="10" borderId="0" xfId="0" applyNumberFormat="1" applyFont="1" applyFill="1"/>
    <xf numFmtId="165" fontId="8" fillId="10" borderId="21" xfId="0" applyNumberFormat="1" applyFont="1" applyFill="1" applyBorder="1"/>
    <xf numFmtId="0" fontId="30" fillId="2" borderId="17" xfId="0" applyFont="1" applyFill="1" applyBorder="1" applyAlignment="1">
      <alignment horizontal="center" wrapText="1"/>
    </xf>
    <xf numFmtId="1" fontId="66" fillId="10" borderId="132" xfId="0" applyNumberFormat="1" applyFont="1" applyFill="1" applyBorder="1" applyAlignment="1">
      <alignment horizontal="center" wrapText="1"/>
    </xf>
    <xf numFmtId="1" fontId="66" fillId="10" borderId="122" xfId="0" applyNumberFormat="1" applyFont="1" applyFill="1" applyBorder="1" applyAlignment="1">
      <alignment horizontal="center" wrapText="1"/>
    </xf>
    <xf numFmtId="0" fontId="66" fillId="10" borderId="122" xfId="0" quotePrefix="1" applyFont="1" applyFill="1" applyBorder="1" applyAlignment="1">
      <alignment wrapText="1"/>
    </xf>
    <xf numFmtId="169" fontId="8" fillId="10" borderId="122" xfId="0" applyNumberFormat="1" applyFont="1" applyFill="1" applyBorder="1"/>
    <xf numFmtId="4" fontId="8" fillId="10" borderId="122" xfId="0" applyNumberFormat="1" applyFont="1" applyFill="1" applyBorder="1"/>
    <xf numFmtId="169" fontId="8" fillId="10" borderId="124" xfId="0" applyNumberFormat="1" applyFont="1" applyFill="1" applyBorder="1"/>
    <xf numFmtId="0" fontId="8" fillId="24" borderId="20" xfId="0" applyFont="1" applyFill="1" applyBorder="1" applyAlignment="1">
      <alignment vertical="top"/>
    </xf>
    <xf numFmtId="0" fontId="8" fillId="24" borderId="0" xfId="0" applyFont="1" applyFill="1" applyAlignment="1">
      <alignment horizontal="center" vertical="top"/>
    </xf>
    <xf numFmtId="0" fontId="8" fillId="24" borderId="0" xfId="0" applyFont="1" applyFill="1" applyAlignment="1">
      <alignment horizontal="center"/>
    </xf>
    <xf numFmtId="4" fontId="8" fillId="24" borderId="0" xfId="0" applyNumberFormat="1" applyFont="1" applyFill="1" applyAlignment="1">
      <alignment horizontal="center" vertical="top"/>
    </xf>
    <xf numFmtId="172" fontId="67" fillId="6" borderId="132" xfId="0" applyNumberFormat="1" applyFont="1" applyFill="1" applyBorder="1" applyAlignment="1">
      <alignment horizontal="center"/>
    </xf>
    <xf numFmtId="0" fontId="67" fillId="6" borderId="122" xfId="0" applyFont="1" applyFill="1" applyBorder="1" applyAlignment="1">
      <alignment horizontal="center"/>
    </xf>
    <xf numFmtId="165" fontId="67" fillId="6" borderId="0" xfId="0" applyNumberFormat="1" applyFont="1" applyFill="1" applyAlignment="1">
      <alignment vertical="top"/>
    </xf>
    <xf numFmtId="165" fontId="67" fillId="6" borderId="0" xfId="0" applyNumberFormat="1" applyFont="1" applyFill="1" applyAlignment="1">
      <alignment horizontal="center" vertical="top"/>
    </xf>
    <xf numFmtId="4" fontId="67" fillId="6" borderId="122" xfId="0" applyNumberFormat="1" applyFont="1" applyFill="1" applyBorder="1" applyAlignment="1">
      <alignment horizontal="center" wrapText="1"/>
    </xf>
    <xf numFmtId="165" fontId="67" fillId="6" borderId="105" xfId="0" applyNumberFormat="1" applyFont="1" applyFill="1" applyBorder="1" applyAlignment="1">
      <alignment horizontal="center" vertical="top"/>
    </xf>
    <xf numFmtId="165" fontId="67" fillId="6" borderId="106" xfId="0" applyNumberFormat="1" applyFont="1" applyFill="1" applyBorder="1" applyAlignment="1">
      <alignment horizontal="center" vertical="top"/>
    </xf>
    <xf numFmtId="4" fontId="67" fillId="6" borderId="122" xfId="0" applyNumberFormat="1" applyFont="1" applyFill="1" applyBorder="1" applyAlignment="1">
      <alignment horizontal="center"/>
    </xf>
    <xf numFmtId="172" fontId="62" fillId="0" borderId="20" xfId="0" applyNumberFormat="1" applyFont="1" applyBorder="1" applyAlignment="1">
      <alignment horizontal="center" vertical="center" wrapText="1"/>
    </xf>
    <xf numFmtId="172" fontId="62" fillId="0" borderId="0" xfId="0" applyNumberFormat="1" applyFont="1" applyAlignment="1">
      <alignment horizontal="center" vertical="center" wrapText="1"/>
    </xf>
    <xf numFmtId="172" fontId="62" fillId="0" borderId="0" xfId="0" applyNumberFormat="1" applyFont="1" applyAlignment="1">
      <alignment horizontal="left" vertical="center" wrapText="1"/>
    </xf>
    <xf numFmtId="172" fontId="39" fillId="0" borderId="0" xfId="0" applyNumberFormat="1" applyFont="1" applyAlignment="1">
      <alignment horizontal="center" vertical="center" wrapText="1"/>
    </xf>
    <xf numFmtId="165" fontId="39" fillId="0" borderId="21" xfId="0" applyNumberFormat="1" applyFont="1" applyBorder="1" applyAlignment="1">
      <alignment horizontal="center" vertical="center" wrapText="1"/>
    </xf>
    <xf numFmtId="172" fontId="66" fillId="0" borderId="120" xfId="0" applyNumberFormat="1" applyFont="1" applyBorder="1"/>
    <xf numFmtId="1" fontId="66" fillId="0" borderId="5" xfId="0" applyNumberFormat="1" applyFont="1" applyBorder="1" applyAlignment="1">
      <alignment wrapText="1"/>
    </xf>
    <xf numFmtId="0" fontId="66" fillId="0" borderId="5" xfId="0" applyFont="1" applyBorder="1" applyAlignment="1">
      <alignment horizontal="center" wrapText="1"/>
    </xf>
    <xf numFmtId="173" fontId="66" fillId="0" borderId="5" xfId="0" applyNumberFormat="1" applyFont="1" applyBorder="1" applyAlignment="1">
      <alignment wrapText="1"/>
    </xf>
    <xf numFmtId="169" fontId="8" fillId="0" borderId="5" xfId="0" applyNumberFormat="1" applyFont="1" applyBorder="1"/>
    <xf numFmtId="176" fontId="8" fillId="0" borderId="5" xfId="0" applyNumberFormat="1" applyFont="1" applyBorder="1"/>
    <xf numFmtId="165" fontId="8" fillId="0" borderId="5" xfId="0" applyNumberFormat="1" applyFont="1" applyBorder="1"/>
    <xf numFmtId="165" fontId="8" fillId="0" borderId="121" xfId="0" applyNumberFormat="1" applyFont="1" applyBorder="1"/>
    <xf numFmtId="172" fontId="8" fillId="9" borderId="120" xfId="0" applyNumberFormat="1" applyFont="1" applyFill="1" applyBorder="1"/>
    <xf numFmtId="172" fontId="8" fillId="9" borderId="5" xfId="0" applyNumberFormat="1" applyFont="1" applyFill="1" applyBorder="1" applyAlignment="1">
      <alignment horizontal="center"/>
    </xf>
    <xf numFmtId="0" fontId="8" fillId="24" borderId="5" xfId="0" applyFont="1" applyFill="1" applyBorder="1" applyAlignment="1">
      <alignment horizontal="center"/>
    </xf>
    <xf numFmtId="172" fontId="67" fillId="6" borderId="120" xfId="0" applyNumberFormat="1" applyFont="1" applyFill="1" applyBorder="1" applyAlignment="1">
      <alignment vertical="top"/>
    </xf>
    <xf numFmtId="0" fontId="67" fillId="6" borderId="5" xfId="0" applyFont="1" applyFill="1" applyBorder="1" applyAlignment="1">
      <alignment horizontal="center"/>
    </xf>
    <xf numFmtId="176" fontId="67" fillId="6" borderId="5" xfId="0" applyNumberFormat="1" applyFont="1" applyFill="1" applyBorder="1" applyAlignment="1">
      <alignment horizontal="center"/>
    </xf>
    <xf numFmtId="173" fontId="66" fillId="0" borderId="0" xfId="0" applyNumberFormat="1" applyFont="1" applyAlignment="1">
      <alignment wrapText="1"/>
    </xf>
    <xf numFmtId="172" fontId="67" fillId="6" borderId="20" xfId="0" applyNumberFormat="1" applyFont="1" applyFill="1" applyBorder="1" applyAlignment="1">
      <alignment horizontal="center"/>
    </xf>
    <xf numFmtId="172" fontId="9" fillId="10" borderId="20" xfId="0" applyNumberFormat="1" applyFont="1" applyFill="1" applyBorder="1"/>
    <xf numFmtId="172" fontId="9" fillId="10" borderId="0" xfId="0" applyNumberFormat="1" applyFont="1" applyFill="1"/>
    <xf numFmtId="172" fontId="66" fillId="0" borderId="0" xfId="0" quotePrefix="1" applyNumberFormat="1" applyFont="1" applyAlignment="1">
      <alignment wrapText="1"/>
    </xf>
    <xf numFmtId="172" fontId="8" fillId="8" borderId="20" xfId="0" applyNumberFormat="1" applyFont="1" applyFill="1" applyBorder="1" applyAlignment="1">
      <alignment horizontal="center"/>
    </xf>
    <xf numFmtId="4" fontId="8" fillId="8" borderId="0" xfId="0" applyNumberFormat="1" applyFont="1" applyFill="1" applyAlignment="1">
      <alignment horizontal="center" wrapText="1"/>
    </xf>
    <xf numFmtId="172" fontId="72" fillId="18" borderId="20" xfId="0" applyNumberFormat="1" applyFont="1" applyFill="1" applyBorder="1" applyAlignment="1">
      <alignment horizontal="center" wrapText="1"/>
    </xf>
    <xf numFmtId="172" fontId="72" fillId="18" borderId="0" xfId="0" applyNumberFormat="1" applyFont="1" applyFill="1" applyAlignment="1">
      <alignment horizontal="center"/>
    </xf>
    <xf numFmtId="49" fontId="72" fillId="18" borderId="0" xfId="0" applyNumberFormat="1" applyFont="1" applyFill="1" applyAlignment="1">
      <alignment horizontal="center"/>
    </xf>
    <xf numFmtId="172" fontId="66" fillId="0" borderId="0" xfId="0" applyNumberFormat="1" applyFont="1" applyAlignment="1">
      <alignment horizontal="center" wrapText="1"/>
    </xf>
    <xf numFmtId="165" fontId="8" fillId="9" borderId="21" xfId="0" applyNumberFormat="1" applyFont="1" applyFill="1" applyBorder="1" applyAlignment="1">
      <alignment horizontal="center" wrapText="1"/>
    </xf>
    <xf numFmtId="172" fontId="66" fillId="0" borderId="0" xfId="0" applyNumberFormat="1" applyFont="1" applyAlignment="1">
      <alignment wrapText="1"/>
    </xf>
    <xf numFmtId="172" fontId="8" fillId="0" borderId="20" xfId="0" applyNumberFormat="1" applyFont="1" applyBorder="1" applyAlignment="1">
      <alignment horizontal="center" wrapText="1"/>
    </xf>
    <xf numFmtId="172" fontId="8" fillId="0" borderId="0" xfId="0" applyNumberFormat="1" applyFont="1" applyAlignment="1">
      <alignment horizontal="center"/>
    </xf>
    <xf numFmtId="165" fontId="8" fillId="0" borderId="0" xfId="0" applyNumberFormat="1" applyFont="1" applyAlignment="1">
      <alignment wrapText="1"/>
    </xf>
    <xf numFmtId="165" fontId="66" fillId="0" borderId="0" xfId="0" quotePrefix="1" applyNumberFormat="1" applyFont="1" applyAlignment="1">
      <alignment wrapText="1"/>
    </xf>
    <xf numFmtId="172" fontId="8" fillId="8" borderId="20" xfId="0" applyNumberFormat="1" applyFont="1" applyFill="1" applyBorder="1" applyAlignment="1">
      <alignment horizontal="center" vertical="top"/>
    </xf>
    <xf numFmtId="172" fontId="30" fillId="2" borderId="17" xfId="0" applyNumberFormat="1" applyFont="1" applyFill="1" applyBorder="1" applyAlignment="1">
      <alignment horizontal="center" vertical="top"/>
    </xf>
    <xf numFmtId="172" fontId="30" fillId="2" borderId="18" xfId="0" applyNumberFormat="1" applyFont="1" applyFill="1" applyBorder="1" applyAlignment="1">
      <alignment horizontal="center" vertical="top"/>
    </xf>
    <xf numFmtId="165" fontId="30" fillId="2" borderId="18" xfId="0" applyNumberFormat="1" applyFont="1" applyFill="1" applyBorder="1" applyAlignment="1">
      <alignment horizontal="left" vertical="top" wrapText="1"/>
    </xf>
    <xf numFmtId="165" fontId="30" fillId="2" borderId="18" xfId="0" applyNumberFormat="1" applyFont="1" applyFill="1" applyBorder="1" applyAlignment="1">
      <alignment horizontal="center" vertical="top"/>
    </xf>
    <xf numFmtId="4" fontId="8" fillId="2" borderId="18" xfId="0" applyNumberFormat="1" applyFont="1" applyFill="1" applyBorder="1" applyAlignment="1">
      <alignment horizontal="center" vertical="top"/>
    </xf>
    <xf numFmtId="165" fontId="8" fillId="2" borderId="18" xfId="0" applyNumberFormat="1" applyFont="1" applyFill="1" applyBorder="1" applyAlignment="1">
      <alignment horizontal="center" vertical="top"/>
    </xf>
    <xf numFmtId="165" fontId="30" fillId="2" borderId="19" xfId="0" applyNumberFormat="1" applyFont="1" applyFill="1" applyBorder="1" applyAlignment="1">
      <alignment horizontal="center" vertical="top"/>
    </xf>
    <xf numFmtId="0" fontId="66" fillId="10" borderId="0" xfId="0" applyFont="1" applyFill="1" applyAlignment="1">
      <alignment horizontal="center" wrapText="1"/>
    </xf>
    <xf numFmtId="169" fontId="9" fillId="10" borderId="0" xfId="0" applyNumberFormat="1" applyFont="1" applyFill="1"/>
    <xf numFmtId="184" fontId="8" fillId="8" borderId="0" xfId="0" applyNumberFormat="1" applyFont="1" applyFill="1" applyAlignment="1">
      <alignment horizontal="center" vertical="top" wrapText="1"/>
    </xf>
    <xf numFmtId="165" fontId="8" fillId="8" borderId="124" xfId="0" applyNumberFormat="1" applyFont="1" applyFill="1" applyBorder="1" applyAlignment="1">
      <alignment horizontal="center" vertical="top"/>
    </xf>
    <xf numFmtId="184" fontId="9" fillId="0" borderId="0" xfId="0" applyNumberFormat="1" applyFont="1" applyAlignment="1">
      <alignment horizontal="center"/>
    </xf>
    <xf numFmtId="165" fontId="72" fillId="18" borderId="0" xfId="0" applyNumberFormat="1" applyFont="1" applyFill="1"/>
    <xf numFmtId="184" fontId="8" fillId="2" borderId="18" xfId="0" applyNumberFormat="1" applyFont="1" applyFill="1" applyBorder="1" applyAlignment="1">
      <alignment horizontal="center"/>
    </xf>
    <xf numFmtId="172" fontId="25" fillId="9" borderId="20" xfId="0" applyNumberFormat="1" applyFont="1" applyFill="1" applyBorder="1" applyAlignment="1">
      <alignment horizontal="center" vertical="top"/>
    </xf>
    <xf numFmtId="172" fontId="25" fillId="9" borderId="0" xfId="0" applyNumberFormat="1" applyFont="1" applyFill="1" applyAlignment="1">
      <alignment horizontal="center" vertical="top"/>
    </xf>
    <xf numFmtId="184" fontId="8" fillId="9" borderId="0" xfId="0" applyNumberFormat="1" applyFont="1" applyFill="1" applyAlignment="1">
      <alignment horizontal="center" vertical="top" wrapText="1"/>
    </xf>
    <xf numFmtId="172" fontId="72" fillId="18" borderId="20" xfId="0" applyNumberFormat="1" applyFont="1" applyFill="1" applyBorder="1" applyAlignment="1">
      <alignment horizontal="center"/>
    </xf>
    <xf numFmtId="165" fontId="72" fillId="18" borderId="0" xfId="0" applyNumberFormat="1" applyFont="1" applyFill="1" applyAlignment="1">
      <alignment wrapText="1"/>
    </xf>
    <xf numFmtId="49" fontId="66" fillId="0" borderId="0" xfId="0" applyNumberFormat="1" applyFont="1" applyAlignment="1">
      <alignment horizontal="center" wrapText="1"/>
    </xf>
    <xf numFmtId="49" fontId="8" fillId="9" borderId="0" xfId="0" applyNumberFormat="1" applyFont="1" applyFill="1" applyAlignment="1">
      <alignment horizontal="center"/>
    </xf>
    <xf numFmtId="49" fontId="8" fillId="8" borderId="0" xfId="0" applyNumberFormat="1" applyFont="1" applyFill="1" applyAlignment="1">
      <alignment horizontal="center"/>
    </xf>
    <xf numFmtId="172" fontId="74" fillId="0" borderId="20" xfId="0" applyNumberFormat="1" applyFont="1" applyBorder="1"/>
    <xf numFmtId="172" fontId="74" fillId="0" borderId="0" xfId="0" applyNumberFormat="1" applyFont="1"/>
    <xf numFmtId="0" fontId="74" fillId="0" borderId="0" xfId="0" applyFont="1"/>
    <xf numFmtId="165" fontId="74" fillId="0" borderId="0" xfId="0" applyNumberFormat="1" applyFont="1"/>
    <xf numFmtId="172" fontId="8" fillId="8" borderId="0" xfId="0" applyNumberFormat="1" applyFont="1" applyFill="1" applyAlignment="1">
      <alignment horizontal="center" wrapText="1"/>
    </xf>
    <xf numFmtId="172" fontId="72" fillId="18" borderId="104" xfId="0" applyNumberFormat="1" applyFont="1" applyFill="1" applyBorder="1" applyAlignment="1">
      <alignment horizontal="center" wrapText="1"/>
    </xf>
    <xf numFmtId="172" fontId="72" fillId="18" borderId="105" xfId="0" applyNumberFormat="1" applyFont="1" applyFill="1" applyBorder="1" applyAlignment="1">
      <alignment horizontal="center"/>
    </xf>
    <xf numFmtId="49" fontId="72" fillId="18" borderId="105" xfId="0" applyNumberFormat="1" applyFont="1" applyFill="1" applyBorder="1" applyAlignment="1">
      <alignment horizontal="center"/>
    </xf>
    <xf numFmtId="172" fontId="72" fillId="18" borderId="105" xfId="0" applyNumberFormat="1" applyFont="1" applyFill="1" applyBorder="1" applyAlignment="1">
      <alignment wrapText="1"/>
    </xf>
    <xf numFmtId="172" fontId="72" fillId="18" borderId="105" xfId="0" applyNumberFormat="1" applyFont="1" applyFill="1" applyBorder="1" applyAlignment="1">
      <alignment horizontal="center" wrapText="1"/>
    </xf>
    <xf numFmtId="4" fontId="72" fillId="18" borderId="105" xfId="0" applyNumberFormat="1" applyFont="1" applyFill="1" applyBorder="1" applyAlignment="1">
      <alignment horizontal="center" wrapText="1"/>
    </xf>
    <xf numFmtId="165" fontId="72" fillId="18" borderId="105" xfId="0" applyNumberFormat="1" applyFont="1" applyFill="1" applyBorder="1" applyAlignment="1">
      <alignment horizontal="center" wrapText="1"/>
    </xf>
    <xf numFmtId="165" fontId="72" fillId="18" borderId="106" xfId="0" applyNumberFormat="1" applyFont="1" applyFill="1" applyBorder="1" applyAlignment="1">
      <alignment horizontal="center" wrapText="1"/>
    </xf>
    <xf numFmtId="49" fontId="8" fillId="9" borderId="0" xfId="0" applyNumberFormat="1" applyFont="1" applyFill="1" applyAlignment="1">
      <alignment horizontal="center" vertical="top" wrapText="1"/>
    </xf>
    <xf numFmtId="49" fontId="30" fillId="2" borderId="18" xfId="0" applyNumberFormat="1" applyFont="1" applyFill="1" applyBorder="1" applyAlignment="1">
      <alignment horizontal="center" wrapText="1"/>
    </xf>
    <xf numFmtId="49" fontId="8" fillId="9" borderId="0" xfId="0" applyNumberFormat="1" applyFont="1" applyFill="1" applyAlignment="1">
      <alignment horizontal="center" wrapText="1"/>
    </xf>
    <xf numFmtId="49" fontId="8" fillId="8" borderId="0" xfId="0" applyNumberFormat="1" applyFont="1" applyFill="1" applyAlignment="1">
      <alignment horizontal="center" wrapText="1"/>
    </xf>
    <xf numFmtId="49" fontId="72" fillId="18" borderId="0" xfId="0" applyNumberFormat="1" applyFont="1" applyFill="1" applyAlignment="1">
      <alignment horizontal="center" wrapText="1"/>
    </xf>
    <xf numFmtId="49" fontId="8" fillId="9" borderId="0" xfId="0" applyNumberFormat="1" applyFont="1" applyFill="1" applyAlignment="1">
      <alignment horizontal="center" vertical="top"/>
    </xf>
    <xf numFmtId="165" fontId="8" fillId="9" borderId="0" xfId="0" applyNumberFormat="1" applyFont="1" applyFill="1" applyAlignment="1">
      <alignment wrapText="1"/>
    </xf>
    <xf numFmtId="172" fontId="30" fillId="2" borderId="18" xfId="0" applyNumberFormat="1" applyFont="1" applyFill="1" applyBorder="1" applyAlignment="1">
      <alignment wrapText="1"/>
    </xf>
    <xf numFmtId="172" fontId="9" fillId="2" borderId="18" xfId="0" applyNumberFormat="1" applyFont="1" applyFill="1" applyBorder="1"/>
    <xf numFmtId="172" fontId="78" fillId="6" borderId="20" xfId="0" applyNumberFormat="1" applyFont="1" applyFill="1" applyBorder="1" applyAlignment="1">
      <alignment horizontal="center"/>
    </xf>
    <xf numFmtId="0" fontId="8" fillId="6" borderId="0" xfId="0" applyFont="1" applyFill="1" applyAlignment="1">
      <alignment horizontal="center"/>
    </xf>
    <xf numFmtId="165" fontId="8" fillId="6" borderId="0" xfId="0" applyNumberFormat="1" applyFont="1" applyFill="1" applyAlignment="1">
      <alignment wrapText="1"/>
    </xf>
    <xf numFmtId="165" fontId="8" fillId="6" borderId="0" xfId="0" applyNumberFormat="1" applyFont="1" applyFill="1" applyAlignment="1">
      <alignment horizontal="center" wrapText="1"/>
    </xf>
    <xf numFmtId="4" fontId="8" fillId="6" borderId="0" xfId="0" applyNumberFormat="1" applyFont="1" applyFill="1" applyAlignment="1">
      <alignment horizontal="center"/>
    </xf>
    <xf numFmtId="165" fontId="8" fillId="6" borderId="21" xfId="0" applyNumberFormat="1" applyFont="1" applyFill="1" applyBorder="1" applyAlignment="1">
      <alignment horizontal="center"/>
    </xf>
    <xf numFmtId="172" fontId="8" fillId="18" borderId="20" xfId="0" applyNumberFormat="1" applyFont="1" applyFill="1" applyBorder="1" applyAlignment="1">
      <alignment horizontal="center" wrapText="1"/>
    </xf>
    <xf numFmtId="172" fontId="8" fillId="18" borderId="0" xfId="0" applyNumberFormat="1" applyFont="1" applyFill="1" applyAlignment="1">
      <alignment horizontal="center"/>
    </xf>
    <xf numFmtId="0" fontId="78" fillId="18" borderId="0" xfId="0" applyFont="1" applyFill="1" applyAlignment="1">
      <alignment horizontal="center"/>
    </xf>
    <xf numFmtId="172" fontId="78" fillId="18" borderId="0" xfId="0" applyNumberFormat="1" applyFont="1" applyFill="1" applyAlignment="1">
      <alignment wrapText="1"/>
    </xf>
    <xf numFmtId="172" fontId="78" fillId="18" borderId="0" xfId="0" applyNumberFormat="1" applyFont="1" applyFill="1" applyAlignment="1">
      <alignment horizontal="center" wrapText="1"/>
    </xf>
    <xf numFmtId="4" fontId="78" fillId="18" borderId="0" xfId="0" applyNumberFormat="1" applyFont="1" applyFill="1" applyAlignment="1">
      <alignment horizontal="center" wrapText="1"/>
    </xf>
    <xf numFmtId="165" fontId="78" fillId="18" borderId="0" xfId="0" applyNumberFormat="1" applyFont="1" applyFill="1" applyAlignment="1">
      <alignment horizontal="center" wrapText="1"/>
    </xf>
    <xf numFmtId="165" fontId="78" fillId="18" borderId="21" xfId="0" applyNumberFormat="1" applyFont="1" applyFill="1" applyBorder="1" applyAlignment="1">
      <alignment horizontal="center" wrapText="1"/>
    </xf>
    <xf numFmtId="172" fontId="66" fillId="10" borderId="0" xfId="0" applyNumberFormat="1" applyFont="1" applyFill="1" applyAlignment="1">
      <alignment horizontal="center"/>
    </xf>
    <xf numFmtId="0" fontId="66" fillId="10" borderId="0" xfId="0" applyFont="1" applyFill="1" applyAlignment="1">
      <alignment horizontal="center"/>
    </xf>
    <xf numFmtId="172" fontId="66" fillId="10" borderId="0" xfId="0" quotePrefix="1" applyNumberFormat="1" applyFont="1" applyFill="1"/>
    <xf numFmtId="1" fontId="66" fillId="10" borderId="0" xfId="0" applyNumberFormat="1" applyFont="1" applyFill="1" applyAlignment="1">
      <alignment horizontal="center" wrapText="1"/>
    </xf>
    <xf numFmtId="4" fontId="67" fillId="6" borderId="0" xfId="0" applyNumberFormat="1" applyFont="1" applyFill="1" applyAlignment="1">
      <alignment horizontal="center" vertical="top"/>
    </xf>
    <xf numFmtId="172" fontId="8" fillId="2" borderId="18" xfId="0" applyNumberFormat="1" applyFont="1" applyFill="1" applyBorder="1" applyAlignment="1">
      <alignment horizontal="center" vertical="top"/>
    </xf>
    <xf numFmtId="1" fontId="66" fillId="0" borderId="20" xfId="0" applyNumberFormat="1" applyFont="1" applyBorder="1" applyAlignment="1">
      <alignment horizontal="center" wrapText="1"/>
    </xf>
    <xf numFmtId="0" fontId="39" fillId="0" borderId="0" xfId="0" applyFont="1" applyAlignment="1">
      <alignment horizontal="center" vertical="center" wrapText="1"/>
    </xf>
    <xf numFmtId="172" fontId="39" fillId="0" borderId="0" xfId="0" applyNumberFormat="1" applyFont="1" applyAlignment="1">
      <alignment horizontal="left" vertical="center" wrapText="1"/>
    </xf>
    <xf numFmtId="165" fontId="39" fillId="0" borderId="0" xfId="0" applyNumberFormat="1" applyFont="1" applyAlignment="1">
      <alignment horizontal="center" vertical="center" wrapText="1"/>
    </xf>
    <xf numFmtId="4" fontId="39" fillId="0" borderId="0" xfId="0" applyNumberFormat="1" applyFont="1" applyAlignment="1">
      <alignment horizontal="center" vertical="center"/>
    </xf>
    <xf numFmtId="182" fontId="8" fillId="8" borderId="0" xfId="0" applyNumberFormat="1" applyFont="1" applyFill="1" applyAlignment="1">
      <alignment horizontal="center"/>
    </xf>
    <xf numFmtId="172" fontId="30" fillId="2" borderId="20" xfId="0" applyNumberFormat="1" applyFont="1" applyFill="1" applyBorder="1" applyAlignment="1">
      <alignment horizontal="center" wrapText="1"/>
    </xf>
    <xf numFmtId="172" fontId="30" fillId="2" borderId="0" xfId="0" applyNumberFormat="1" applyFont="1" applyFill="1" applyAlignment="1">
      <alignment horizontal="center" wrapText="1"/>
    </xf>
    <xf numFmtId="0" fontId="30" fillId="2" borderId="0" xfId="0" applyFont="1" applyFill="1" applyAlignment="1">
      <alignment horizontal="center" wrapText="1"/>
    </xf>
    <xf numFmtId="165" fontId="30" fillId="2" borderId="0" xfId="0" applyNumberFormat="1" applyFont="1" applyFill="1" applyAlignment="1">
      <alignment horizontal="left" wrapText="1"/>
    </xf>
    <xf numFmtId="165" fontId="30" fillId="2" borderId="0" xfId="0" applyNumberFormat="1" applyFont="1" applyFill="1" applyAlignment="1">
      <alignment horizontal="center" wrapText="1"/>
    </xf>
    <xf numFmtId="184" fontId="8" fillId="2" borderId="0" xfId="0" applyNumberFormat="1" applyFont="1" applyFill="1" applyAlignment="1">
      <alignment horizontal="center"/>
    </xf>
    <xf numFmtId="165" fontId="8" fillId="2" borderId="0" xfId="0" applyNumberFormat="1" applyFont="1" applyFill="1" applyAlignment="1">
      <alignment horizontal="center"/>
    </xf>
    <xf numFmtId="185" fontId="30" fillId="2" borderId="21" xfId="0" applyNumberFormat="1" applyFont="1" applyFill="1" applyBorder="1" applyAlignment="1">
      <alignment horizontal="center" wrapText="1"/>
    </xf>
    <xf numFmtId="165" fontId="8" fillId="8" borderId="0" xfId="0" applyNumberFormat="1" applyFont="1" applyFill="1" applyAlignment="1">
      <alignment wrapText="1"/>
    </xf>
    <xf numFmtId="165" fontId="8" fillId="8" borderId="21" xfId="0" applyNumberFormat="1" applyFont="1" applyFill="1" applyBorder="1" applyAlignment="1">
      <alignment horizontal="center" wrapText="1"/>
    </xf>
    <xf numFmtId="174" fontId="67" fillId="6" borderId="0" xfId="0" applyNumberFormat="1" applyFont="1" applyFill="1" applyAlignment="1">
      <alignment horizontal="center"/>
    </xf>
    <xf numFmtId="165" fontId="30" fillId="2" borderId="18" xfId="0" applyNumberFormat="1" applyFont="1" applyFill="1" applyBorder="1" applyAlignment="1">
      <alignment horizontal="left" wrapText="1"/>
    </xf>
    <xf numFmtId="165" fontId="30" fillId="2" borderId="18" xfId="0" applyNumberFormat="1" applyFont="1" applyFill="1" applyBorder="1" applyAlignment="1">
      <alignment horizontal="center" wrapText="1"/>
    </xf>
    <xf numFmtId="172" fontId="25" fillId="9" borderId="20" xfId="0" applyNumberFormat="1" applyFont="1" applyFill="1" applyBorder="1" applyAlignment="1">
      <alignment horizontal="center" vertical="top" wrapText="1"/>
    </xf>
    <xf numFmtId="2" fontId="8" fillId="9" borderId="0" xfId="0" applyNumberFormat="1" applyFont="1" applyFill="1" applyAlignment="1">
      <alignment horizontal="center"/>
    </xf>
    <xf numFmtId="182" fontId="9" fillId="0" borderId="0" xfId="0" applyNumberFormat="1" applyFont="1"/>
    <xf numFmtId="186" fontId="67" fillId="6" borderId="0" xfId="0" applyNumberFormat="1" applyFont="1" applyFill="1" applyAlignment="1">
      <alignment horizontal="center"/>
    </xf>
    <xf numFmtId="172" fontId="30" fillId="2" borderId="0" xfId="0" applyNumberFormat="1" applyFont="1" applyFill="1" applyAlignment="1">
      <alignment horizontal="left" wrapText="1"/>
    </xf>
    <xf numFmtId="184" fontId="8" fillId="9" borderId="0" xfId="0" applyNumberFormat="1" applyFont="1" applyFill="1" applyAlignment="1">
      <alignment horizontal="center" vertical="top"/>
    </xf>
    <xf numFmtId="184" fontId="8" fillId="9" borderId="0" xfId="0" applyNumberFormat="1" applyFont="1" applyFill="1" applyAlignment="1">
      <alignment horizontal="center"/>
    </xf>
    <xf numFmtId="182" fontId="8" fillId="8" borderId="0" xfId="0" applyNumberFormat="1" applyFont="1" applyFill="1" applyAlignment="1">
      <alignment horizontal="center" vertical="top"/>
    </xf>
    <xf numFmtId="186" fontId="8" fillId="9" borderId="0" xfId="0" applyNumberFormat="1" applyFont="1" applyFill="1" applyAlignment="1">
      <alignment horizontal="center" vertical="top"/>
    </xf>
    <xf numFmtId="0" fontId="79" fillId="0" borderId="20" xfId="0" applyFont="1" applyBorder="1"/>
    <xf numFmtId="0" fontId="79" fillId="0" borderId="0" xfId="0" applyFont="1"/>
    <xf numFmtId="172" fontId="9" fillId="0" borderId="21" xfId="0" applyNumberFormat="1" applyFont="1" applyBorder="1"/>
    <xf numFmtId="186" fontId="8" fillId="8" borderId="0" xfId="0" applyNumberFormat="1" applyFont="1" applyFill="1" applyAlignment="1">
      <alignment horizontal="center"/>
    </xf>
    <xf numFmtId="172" fontId="8" fillId="6" borderId="20" xfId="0" applyNumberFormat="1" applyFont="1" applyFill="1" applyBorder="1" applyAlignment="1">
      <alignment horizontal="center" wrapText="1"/>
    </xf>
    <xf numFmtId="182" fontId="8" fillId="6" borderId="0" xfId="0" applyNumberFormat="1" applyFont="1" applyFill="1" applyAlignment="1">
      <alignment horizontal="center"/>
    </xf>
    <xf numFmtId="0" fontId="74" fillId="0" borderId="20" xfId="0" applyFont="1" applyBorder="1"/>
    <xf numFmtId="0" fontId="9" fillId="0" borderId="21" xfId="0" applyFont="1" applyBorder="1"/>
    <xf numFmtId="182" fontId="8" fillId="9" borderId="0" xfId="0" applyNumberFormat="1" applyFont="1" applyFill="1" applyAlignment="1">
      <alignment horizontal="center" vertical="top"/>
    </xf>
    <xf numFmtId="172" fontId="8" fillId="18" borderId="104" xfId="0" applyNumberFormat="1" applyFont="1" applyFill="1" applyBorder="1" applyAlignment="1">
      <alignment horizontal="center" wrapText="1"/>
    </xf>
    <xf numFmtId="172" fontId="8" fillId="18" borderId="105" xfId="0" applyNumberFormat="1" applyFont="1" applyFill="1" applyBorder="1" applyAlignment="1">
      <alignment horizontal="center"/>
    </xf>
    <xf numFmtId="49" fontId="78" fillId="18" borderId="105" xfId="0" applyNumberFormat="1" applyFont="1" applyFill="1" applyBorder="1" applyAlignment="1">
      <alignment horizontal="center"/>
    </xf>
    <xf numFmtId="172" fontId="78" fillId="18" borderId="105" xfId="0" applyNumberFormat="1" applyFont="1" applyFill="1" applyBorder="1" applyAlignment="1">
      <alignment wrapText="1"/>
    </xf>
    <xf numFmtId="172" fontId="78" fillId="18" borderId="105" xfId="0" applyNumberFormat="1" applyFont="1" applyFill="1" applyBorder="1" applyAlignment="1">
      <alignment horizontal="center" wrapText="1"/>
    </xf>
    <xf numFmtId="4" fontId="78" fillId="18" borderId="105" xfId="0" applyNumberFormat="1" applyFont="1" applyFill="1" applyBorder="1" applyAlignment="1">
      <alignment horizontal="center" wrapText="1"/>
    </xf>
    <xf numFmtId="165" fontId="78" fillId="18" borderId="105" xfId="0" applyNumberFormat="1" applyFont="1" applyFill="1" applyBorder="1" applyAlignment="1">
      <alignment horizontal="center" wrapText="1"/>
    </xf>
    <xf numFmtId="165" fontId="78" fillId="18" borderId="106" xfId="0" applyNumberFormat="1" applyFont="1" applyFill="1" applyBorder="1" applyAlignment="1">
      <alignment horizontal="center" wrapText="1"/>
    </xf>
    <xf numFmtId="172" fontId="8" fillId="18" borderId="133" xfId="0" applyNumberFormat="1" applyFont="1" applyFill="1" applyBorder="1" applyAlignment="1">
      <alignment horizontal="center" wrapText="1"/>
    </xf>
    <xf numFmtId="172" fontId="8" fillId="18" borderId="101" xfId="0" applyNumberFormat="1" applyFont="1" applyFill="1" applyBorder="1" applyAlignment="1">
      <alignment horizontal="center"/>
    </xf>
    <xf numFmtId="49" fontId="78" fillId="18" borderId="101" xfId="0" applyNumberFormat="1" applyFont="1" applyFill="1" applyBorder="1" applyAlignment="1">
      <alignment horizontal="center"/>
    </xf>
    <xf numFmtId="172" fontId="78" fillId="18" borderId="101" xfId="0" applyNumberFormat="1" applyFont="1" applyFill="1" applyBorder="1" applyAlignment="1">
      <alignment wrapText="1"/>
    </xf>
    <xf numFmtId="172" fontId="78" fillId="18" borderId="101" xfId="0" applyNumberFormat="1" applyFont="1" applyFill="1" applyBorder="1" applyAlignment="1">
      <alignment horizontal="center" wrapText="1"/>
    </xf>
    <xf numFmtId="4" fontId="78" fillId="18" borderId="101" xfId="0" applyNumberFormat="1" applyFont="1" applyFill="1" applyBorder="1" applyAlignment="1">
      <alignment horizontal="center" wrapText="1"/>
    </xf>
    <xf numFmtId="165" fontId="78" fillId="18" borderId="101" xfId="0" applyNumberFormat="1" applyFont="1" applyFill="1" applyBorder="1" applyAlignment="1">
      <alignment horizontal="center" wrapText="1"/>
    </xf>
    <xf numFmtId="165" fontId="78" fillId="18" borderId="102" xfId="0" applyNumberFormat="1" applyFont="1" applyFill="1" applyBorder="1" applyAlignment="1">
      <alignment horizontal="center" wrapText="1"/>
    </xf>
    <xf numFmtId="0" fontId="24" fillId="0" borderId="63" xfId="0" applyFont="1" applyBorder="1" applyAlignment="1">
      <alignment horizontal="left" vertical="center" wrapText="1"/>
    </xf>
    <xf numFmtId="0" fontId="24" fillId="0" borderId="104" xfId="0" applyFont="1" applyBorder="1" applyAlignment="1">
      <alignment horizontal="left" vertical="center" wrapText="1"/>
    </xf>
    <xf numFmtId="0" fontId="42" fillId="2" borderId="134" xfId="0" applyFont="1" applyFill="1" applyBorder="1" applyAlignment="1">
      <alignment horizontal="center" vertical="center"/>
    </xf>
    <xf numFmtId="0" fontId="42" fillId="2" borderId="135" xfId="0" applyFont="1" applyFill="1" applyBorder="1" applyAlignment="1">
      <alignment horizontal="center" vertical="center"/>
    </xf>
    <xf numFmtId="168" fontId="42" fillId="2" borderId="135" xfId="0" applyNumberFormat="1" applyFont="1" applyFill="1" applyBorder="1" applyAlignment="1">
      <alignment horizontal="center" vertical="center"/>
    </xf>
    <xf numFmtId="0" fontId="42" fillId="2" borderId="136" xfId="0" applyFont="1" applyFill="1" applyBorder="1" applyAlignment="1">
      <alignment horizontal="center" vertical="center"/>
    </xf>
    <xf numFmtId="170" fontId="24" fillId="9" borderId="137" xfId="0" applyNumberFormat="1" applyFont="1" applyFill="1" applyBorder="1" applyAlignment="1">
      <alignment horizontal="center" vertical="center" wrapText="1"/>
    </xf>
    <xf numFmtId="172" fontId="24" fillId="9" borderId="138" xfId="0" applyNumberFormat="1" applyFont="1" applyFill="1" applyBorder="1" applyAlignment="1">
      <alignment horizontal="left" vertical="center" wrapText="1"/>
    </xf>
    <xf numFmtId="168" fontId="24" fillId="9" borderId="138" xfId="0" applyNumberFormat="1" applyFont="1" applyFill="1" applyBorder="1" applyAlignment="1">
      <alignment horizontal="center" vertical="center"/>
    </xf>
    <xf numFmtId="10" fontId="24" fillId="9" borderId="139" xfId="0" applyNumberFormat="1" applyFont="1" applyFill="1" applyBorder="1" applyAlignment="1">
      <alignment horizontal="center" vertical="center"/>
    </xf>
    <xf numFmtId="187" fontId="25" fillId="8" borderId="146" xfId="0" applyNumberFormat="1" applyFont="1" applyFill="1" applyBorder="1" applyAlignment="1">
      <alignment horizontal="center" vertical="center"/>
    </xf>
    <xf numFmtId="187" fontId="25" fillId="0" borderId="147" xfId="0" applyNumberFormat="1" applyFont="1" applyBorder="1" applyAlignment="1">
      <alignment horizontal="center" vertical="center"/>
    </xf>
    <xf numFmtId="10" fontId="25" fillId="8" borderId="148" xfId="0" applyNumberFormat="1" applyFont="1" applyFill="1" applyBorder="1" applyAlignment="1">
      <alignment horizontal="center" vertical="center"/>
    </xf>
    <xf numFmtId="10" fontId="25" fillId="0" borderId="149" xfId="0" applyNumberFormat="1" applyFont="1" applyBorder="1" applyAlignment="1">
      <alignment horizontal="center" vertical="center"/>
    </xf>
    <xf numFmtId="170" fontId="24" fillId="9" borderId="151" xfId="0" applyNumberFormat="1" applyFont="1" applyFill="1" applyBorder="1" applyAlignment="1">
      <alignment horizontal="center" vertical="center" wrapText="1"/>
    </xf>
    <xf numFmtId="172" fontId="24" fillId="9" borderId="152" xfId="0" applyNumberFormat="1" applyFont="1" applyFill="1" applyBorder="1" applyAlignment="1">
      <alignment horizontal="left" vertical="center" wrapText="1"/>
    </xf>
    <xf numFmtId="168" fontId="24" fillId="9" borderId="152" xfId="0" applyNumberFormat="1" applyFont="1" applyFill="1" applyBorder="1" applyAlignment="1">
      <alignment horizontal="center" vertical="center"/>
    </xf>
    <xf numFmtId="10" fontId="24" fillId="9" borderId="153" xfId="0" applyNumberFormat="1" applyFont="1" applyFill="1" applyBorder="1" applyAlignment="1">
      <alignment horizontal="center" vertical="center"/>
    </xf>
    <xf numFmtId="187" fontId="25" fillId="10" borderId="159" xfId="0" applyNumberFormat="1" applyFont="1" applyFill="1" applyBorder="1" applyAlignment="1">
      <alignment horizontal="center" vertical="center"/>
    </xf>
    <xf numFmtId="187" fontId="25" fillId="10" borderId="146" xfId="0" applyNumberFormat="1" applyFont="1" applyFill="1" applyBorder="1" applyAlignment="1">
      <alignment horizontal="center" vertical="center"/>
    </xf>
    <xf numFmtId="187" fontId="25" fillId="10" borderId="149" xfId="0" applyNumberFormat="1" applyFont="1" applyFill="1" applyBorder="1" applyAlignment="1">
      <alignment horizontal="center" vertical="center"/>
    </xf>
    <xf numFmtId="10" fontId="25" fillId="10" borderId="159" xfId="0" applyNumberFormat="1" applyFont="1" applyFill="1" applyBorder="1" applyAlignment="1">
      <alignment horizontal="center" vertical="center"/>
    </xf>
    <xf numFmtId="10" fontId="25" fillId="10" borderId="146" xfId="0" applyNumberFormat="1" applyFont="1" applyFill="1" applyBorder="1" applyAlignment="1">
      <alignment horizontal="center" vertical="center"/>
    </xf>
    <xf numFmtId="10" fontId="25" fillId="10" borderId="149" xfId="0" applyNumberFormat="1" applyFont="1" applyFill="1" applyBorder="1" applyAlignment="1">
      <alignment horizontal="center" vertical="center"/>
    </xf>
    <xf numFmtId="187" fontId="25" fillId="10" borderId="160" xfId="0" applyNumberFormat="1" applyFont="1" applyFill="1" applyBorder="1" applyAlignment="1">
      <alignment horizontal="center" vertical="center"/>
    </xf>
    <xf numFmtId="10" fontId="25" fillId="10" borderId="154" xfId="0" applyNumberFormat="1" applyFont="1" applyFill="1" applyBorder="1" applyAlignment="1">
      <alignment horizontal="center" vertical="center"/>
    </xf>
    <xf numFmtId="10" fontId="25" fillId="10" borderId="155" xfId="0" applyNumberFormat="1" applyFont="1" applyFill="1" applyBorder="1" applyAlignment="1">
      <alignment horizontal="center" vertical="center"/>
    </xf>
    <xf numFmtId="187" fontId="25" fillId="10" borderId="161" xfId="0" applyNumberFormat="1" applyFont="1" applyFill="1" applyBorder="1" applyAlignment="1">
      <alignment horizontal="center" vertical="center"/>
    </xf>
    <xf numFmtId="10" fontId="25" fillId="10" borderId="161" xfId="0" applyNumberFormat="1" applyFont="1" applyFill="1" applyBorder="1" applyAlignment="1">
      <alignment horizontal="center" vertical="center"/>
    </xf>
    <xf numFmtId="187" fontId="25" fillId="10" borderId="162" xfId="0" applyNumberFormat="1" applyFont="1" applyFill="1" applyBorder="1" applyAlignment="1">
      <alignment horizontal="center" vertical="center"/>
    </xf>
    <xf numFmtId="187" fontId="25" fillId="10" borderId="163" xfId="0" applyNumberFormat="1" applyFont="1" applyFill="1" applyBorder="1" applyAlignment="1">
      <alignment horizontal="center" vertical="center"/>
    </xf>
    <xf numFmtId="0" fontId="25" fillId="10" borderId="161" xfId="0" applyFont="1" applyFill="1" applyBorder="1" applyAlignment="1">
      <alignment horizontal="center" vertical="center"/>
    </xf>
    <xf numFmtId="187" fontId="25" fillId="10" borderId="161" xfId="0" applyNumberFormat="1" applyFont="1" applyFill="1" applyBorder="1" applyAlignment="1">
      <alignment horizontal="center"/>
    </xf>
    <xf numFmtId="10" fontId="9" fillId="10" borderId="161" xfId="0" applyNumberFormat="1" applyFont="1" applyFill="1" applyBorder="1"/>
    <xf numFmtId="187" fontId="25" fillId="8" borderId="161" xfId="0" applyNumberFormat="1" applyFont="1" applyFill="1" applyBorder="1" applyAlignment="1">
      <alignment horizontal="center" vertical="center"/>
    </xf>
    <xf numFmtId="10" fontId="25" fillId="8" borderId="164" xfId="0" applyNumberFormat="1" applyFont="1" applyFill="1" applyBorder="1" applyAlignment="1">
      <alignment horizontal="center" vertical="center"/>
    </xf>
    <xf numFmtId="170" fontId="24" fillId="9" borderId="165" xfId="0" applyNumberFormat="1" applyFont="1" applyFill="1" applyBorder="1" applyAlignment="1">
      <alignment horizontal="center" vertical="center" wrapText="1"/>
    </xf>
    <xf numFmtId="0" fontId="24" fillId="9" borderId="166" xfId="0" applyFont="1" applyFill="1" applyBorder="1" applyAlignment="1">
      <alignment horizontal="left" vertical="center" wrapText="1"/>
    </xf>
    <xf numFmtId="168" fontId="24" fillId="9" borderId="166" xfId="0" applyNumberFormat="1" applyFont="1" applyFill="1" applyBorder="1" applyAlignment="1">
      <alignment horizontal="center" vertical="center"/>
    </xf>
    <xf numFmtId="10" fontId="24" fillId="9" borderId="167" xfId="0" applyNumberFormat="1" applyFont="1" applyFill="1" applyBorder="1" applyAlignment="1">
      <alignment horizontal="center" vertical="center"/>
    </xf>
    <xf numFmtId="168" fontId="24" fillId="0" borderId="54" xfId="0" applyNumberFormat="1" applyFont="1" applyBorder="1" applyAlignment="1">
      <alignment horizontal="center" vertical="center"/>
    </xf>
    <xf numFmtId="168" fontId="24" fillId="0" borderId="171" xfId="0" applyNumberFormat="1" applyFont="1" applyBorder="1" applyAlignment="1">
      <alignment horizontal="center" vertical="center"/>
    </xf>
    <xf numFmtId="10" fontId="24" fillId="25" borderId="12" xfId="0" applyNumberFormat="1" applyFont="1" applyFill="1" applyBorder="1" applyAlignment="1">
      <alignment horizontal="center" vertical="center"/>
    </xf>
    <xf numFmtId="10" fontId="24" fillId="25" borderId="7" xfId="0" applyNumberFormat="1" applyFont="1" applyFill="1" applyBorder="1" applyAlignment="1">
      <alignment horizontal="center" vertical="center"/>
    </xf>
    <xf numFmtId="10" fontId="24" fillId="25" borderId="84" xfId="0" applyNumberFormat="1" applyFont="1" applyFill="1" applyBorder="1" applyAlignment="1">
      <alignment horizontal="center" vertical="center"/>
    </xf>
    <xf numFmtId="168" fontId="25" fillId="0" borderId="91" xfId="0" applyNumberFormat="1" applyFont="1" applyBorder="1" applyAlignment="1">
      <alignment horizontal="center" vertical="center"/>
    </xf>
    <xf numFmtId="1" fontId="81" fillId="0" borderId="0" xfId="0" applyNumberFormat="1" applyFont="1" applyAlignment="1">
      <alignment horizontal="center" wrapText="1"/>
    </xf>
    <xf numFmtId="0" fontId="82" fillId="19" borderId="0" xfId="0" applyFont="1" applyFill="1" applyAlignment="1">
      <alignment horizontal="left"/>
    </xf>
    <xf numFmtId="165" fontId="39" fillId="2" borderId="176" xfId="0" applyNumberFormat="1" applyFont="1" applyFill="1" applyBorder="1" applyAlignment="1">
      <alignment horizontal="center" vertical="center"/>
    </xf>
    <xf numFmtId="165" fontId="39" fillId="2" borderId="178" xfId="0" applyNumberFormat="1" applyFont="1" applyFill="1" applyBorder="1" applyAlignment="1">
      <alignment horizontal="center" vertical="center"/>
    </xf>
    <xf numFmtId="169" fontId="39" fillId="2" borderId="178" xfId="0" applyNumberFormat="1" applyFont="1" applyFill="1" applyBorder="1" applyAlignment="1">
      <alignment horizontal="center" vertical="center"/>
    </xf>
    <xf numFmtId="0" fontId="39" fillId="2" borderId="178" xfId="0" applyFont="1" applyFill="1" applyBorder="1" applyAlignment="1">
      <alignment horizontal="center" vertical="center"/>
    </xf>
    <xf numFmtId="0" fontId="39" fillId="2" borderId="178" xfId="0" applyFont="1" applyFill="1" applyBorder="1" applyAlignment="1">
      <alignment vertical="center"/>
    </xf>
    <xf numFmtId="10" fontId="39" fillId="2" borderId="178" xfId="0" applyNumberFormat="1" applyFont="1" applyFill="1" applyBorder="1" applyAlignment="1">
      <alignment horizontal="center" vertical="center"/>
    </xf>
    <xf numFmtId="0" fontId="26" fillId="16" borderId="179" xfId="0" applyFont="1" applyFill="1" applyBorder="1" applyAlignment="1">
      <alignment vertical="center" wrapText="1"/>
    </xf>
    <xf numFmtId="165" fontId="26" fillId="16" borderId="180" xfId="0" applyNumberFormat="1" applyFont="1" applyFill="1" applyBorder="1" applyAlignment="1">
      <alignment horizontal="center" vertical="center"/>
    </xf>
    <xf numFmtId="10" fontId="26" fillId="16" borderId="181" xfId="0" applyNumberFormat="1" applyFont="1" applyFill="1" applyBorder="1" applyAlignment="1">
      <alignment horizontal="center" vertical="center"/>
    </xf>
    <xf numFmtId="169" fontId="26" fillId="16" borderId="180" xfId="0" applyNumberFormat="1" applyFont="1" applyFill="1" applyBorder="1" applyAlignment="1">
      <alignment horizontal="center" vertical="center"/>
    </xf>
    <xf numFmtId="10" fontId="26" fillId="16" borderId="182" xfId="0" applyNumberFormat="1" applyFont="1" applyFill="1" applyBorder="1" applyAlignment="1">
      <alignment horizontal="center" vertical="center"/>
    </xf>
    <xf numFmtId="10" fontId="39" fillId="0" borderId="183" xfId="0" applyNumberFormat="1" applyFont="1" applyBorder="1" applyAlignment="1">
      <alignment horizontal="center" vertical="center"/>
    </xf>
    <xf numFmtId="0" fontId="39" fillId="0" borderId="0" xfId="0" applyFont="1"/>
    <xf numFmtId="172" fontId="57" fillId="19" borderId="182" xfId="0" applyNumberFormat="1" applyFont="1" applyFill="1" applyBorder="1" applyAlignment="1">
      <alignment vertical="center" wrapText="1"/>
    </xf>
    <xf numFmtId="165" fontId="58" fillId="19" borderId="182" xfId="0" applyNumberFormat="1" applyFont="1" applyFill="1" applyBorder="1" applyAlignment="1">
      <alignment horizontal="center" vertical="center"/>
    </xf>
    <xf numFmtId="10" fontId="58" fillId="19" borderId="181" xfId="0" applyNumberFormat="1" applyFont="1" applyFill="1" applyBorder="1" applyAlignment="1">
      <alignment horizontal="center" vertical="center" wrapText="1"/>
    </xf>
    <xf numFmtId="169" fontId="58" fillId="19" borderId="184" xfId="0" applyNumberFormat="1" applyFont="1" applyFill="1" applyBorder="1" applyAlignment="1">
      <alignment horizontal="center" vertical="center"/>
    </xf>
    <xf numFmtId="10" fontId="58" fillId="19" borderId="182" xfId="0" applyNumberFormat="1" applyFont="1" applyFill="1" applyBorder="1" applyAlignment="1">
      <alignment horizontal="center" vertical="center"/>
    </xf>
    <xf numFmtId="169" fontId="58" fillId="19" borderId="182" xfId="0" applyNumberFormat="1" applyFont="1" applyFill="1" applyBorder="1" applyAlignment="1">
      <alignment horizontal="center" vertical="center"/>
    </xf>
    <xf numFmtId="172" fontId="10" fillId="0" borderId="182" xfId="0" applyNumberFormat="1" applyFont="1" applyBorder="1" applyAlignment="1">
      <alignment vertical="center" wrapText="1"/>
    </xf>
    <xf numFmtId="165" fontId="10" fillId="0" borderId="182" xfId="0" applyNumberFormat="1" applyFont="1" applyBorder="1" applyAlignment="1">
      <alignment vertical="center" wrapText="1"/>
    </xf>
    <xf numFmtId="10" fontId="10" fillId="0" borderId="181" xfId="0" applyNumberFormat="1" applyFont="1" applyBorder="1" applyAlignment="1">
      <alignment horizontal="center" vertical="center" wrapText="1"/>
    </xf>
    <xf numFmtId="169" fontId="10" fillId="0" borderId="184" xfId="0" applyNumberFormat="1" applyFont="1" applyBorder="1" applyAlignment="1">
      <alignment horizontal="center" vertical="center"/>
    </xf>
    <xf numFmtId="10" fontId="10" fillId="0" borderId="182" xfId="0" applyNumberFormat="1" applyFont="1" applyBorder="1" applyAlignment="1">
      <alignment horizontal="center" vertical="center"/>
    </xf>
    <xf numFmtId="165" fontId="10" fillId="0" borderId="184" xfId="0" applyNumberFormat="1" applyFont="1" applyBorder="1" applyAlignment="1">
      <alignment horizontal="center" vertical="center"/>
    </xf>
    <xf numFmtId="165" fontId="10" fillId="0" borderId="182" xfId="0" applyNumberFormat="1" applyFont="1" applyBorder="1" applyAlignment="1">
      <alignment horizontal="center" vertical="center"/>
    </xf>
    <xf numFmtId="172" fontId="57" fillId="19" borderId="185" xfId="0" applyNumberFormat="1" applyFont="1" applyFill="1" applyBorder="1" applyAlignment="1">
      <alignment vertical="center" wrapText="1"/>
    </xf>
    <xf numFmtId="172" fontId="39" fillId="3" borderId="179" xfId="0" applyNumberFormat="1" applyFont="1" applyFill="1" applyBorder="1" applyAlignment="1">
      <alignment vertical="center" wrapText="1"/>
    </xf>
    <xf numFmtId="165" fontId="39" fillId="3" borderId="184" xfId="0" applyNumberFormat="1" applyFont="1" applyFill="1" applyBorder="1" applyAlignment="1">
      <alignment vertical="center" wrapText="1"/>
    </xf>
    <xf numFmtId="10" fontId="86" fillId="3" borderId="181" xfId="0" applyNumberFormat="1" applyFont="1" applyFill="1" applyBorder="1" applyAlignment="1">
      <alignment horizontal="center" vertical="center" wrapText="1"/>
    </xf>
    <xf numFmtId="169" fontId="39" fillId="3" borderId="184" xfId="0" applyNumberFormat="1" applyFont="1" applyFill="1" applyBorder="1" applyAlignment="1">
      <alignment horizontal="center" vertical="center"/>
    </xf>
    <xf numFmtId="10" fontId="39" fillId="3" borderId="182" xfId="0" applyNumberFormat="1" applyFont="1" applyFill="1" applyBorder="1" applyAlignment="1">
      <alignment horizontal="center" vertical="center"/>
    </xf>
    <xf numFmtId="169" fontId="39" fillId="3" borderId="182" xfId="0" applyNumberFormat="1" applyFont="1" applyFill="1" applyBorder="1" applyAlignment="1">
      <alignment vertical="center"/>
    </xf>
    <xf numFmtId="10" fontId="39" fillId="3" borderId="182" xfId="0" applyNumberFormat="1" applyFont="1" applyFill="1" applyBorder="1" applyAlignment="1">
      <alignment vertical="center"/>
    </xf>
    <xf numFmtId="165" fontId="39" fillId="3" borderId="182" xfId="0" applyNumberFormat="1" applyFont="1" applyFill="1" applyBorder="1" applyAlignment="1">
      <alignment vertical="center"/>
    </xf>
    <xf numFmtId="165" fontId="39" fillId="3" borderId="182" xfId="0" applyNumberFormat="1" applyFont="1" applyFill="1" applyBorder="1" applyAlignment="1">
      <alignment horizontal="center" vertical="center"/>
    </xf>
    <xf numFmtId="165" fontId="39" fillId="3" borderId="184" xfId="0" applyNumberFormat="1" applyFont="1" applyFill="1" applyBorder="1" applyAlignment="1">
      <alignment horizontal="center" vertical="center"/>
    </xf>
    <xf numFmtId="172" fontId="10" fillId="0" borderId="179" xfId="0" applyNumberFormat="1" applyFont="1" applyBorder="1" applyAlignment="1">
      <alignment vertical="center" wrapText="1"/>
    </xf>
    <xf numFmtId="165" fontId="10" fillId="0" borderId="184" xfId="0" applyNumberFormat="1" applyFont="1" applyBorder="1" applyAlignment="1">
      <alignment vertical="center" wrapText="1"/>
    </xf>
    <xf numFmtId="10" fontId="87" fillId="0" borderId="181" xfId="0" applyNumberFormat="1" applyFont="1" applyBorder="1" applyAlignment="1">
      <alignment horizontal="center" vertical="center" wrapText="1"/>
    </xf>
    <xf numFmtId="169" fontId="10" fillId="0" borderId="182" xfId="0" applyNumberFormat="1" applyFont="1" applyBorder="1" applyAlignment="1">
      <alignment vertical="center"/>
    </xf>
    <xf numFmtId="10" fontId="10" fillId="0" borderId="182" xfId="0" applyNumberFormat="1" applyFont="1" applyBorder="1" applyAlignment="1">
      <alignment vertical="center"/>
    </xf>
    <xf numFmtId="165" fontId="10" fillId="0" borderId="182" xfId="0" applyNumberFormat="1" applyFont="1" applyBorder="1" applyAlignment="1">
      <alignment vertical="center"/>
    </xf>
    <xf numFmtId="172" fontId="24" fillId="3" borderId="179" xfId="0" applyNumberFormat="1" applyFont="1" applyFill="1" applyBorder="1" applyAlignment="1">
      <alignment horizontal="left" vertical="center" wrapText="1"/>
    </xf>
    <xf numFmtId="165" fontId="39" fillId="3" borderId="184" xfId="0" applyNumberFormat="1" applyFont="1" applyFill="1" applyBorder="1" applyAlignment="1">
      <alignment vertical="center"/>
    </xf>
    <xf numFmtId="10" fontId="39" fillId="3" borderId="181" xfId="0" applyNumberFormat="1" applyFont="1" applyFill="1" applyBorder="1" applyAlignment="1">
      <alignment horizontal="center" vertical="center" wrapText="1"/>
    </xf>
    <xf numFmtId="169" fontId="39" fillId="3" borderId="184" xfId="0" applyNumberFormat="1" applyFont="1" applyFill="1" applyBorder="1" applyAlignment="1">
      <alignment vertical="center"/>
    </xf>
    <xf numFmtId="10" fontId="10" fillId="10" borderId="181" xfId="0" applyNumberFormat="1" applyFont="1" applyFill="1" applyBorder="1" applyAlignment="1">
      <alignment horizontal="center" vertical="center" wrapText="1"/>
    </xf>
    <xf numFmtId="169" fontId="10" fillId="10" borderId="184" xfId="0" applyNumberFormat="1" applyFont="1" applyFill="1" applyBorder="1" applyAlignment="1">
      <alignment vertical="center"/>
    </xf>
    <xf numFmtId="10" fontId="10" fillId="10" borderId="182" xfId="0" applyNumberFormat="1" applyFont="1" applyFill="1" applyBorder="1" applyAlignment="1">
      <alignment vertical="center"/>
    </xf>
    <xf numFmtId="169" fontId="10" fillId="10" borderId="182" xfId="0" applyNumberFormat="1" applyFont="1" applyFill="1" applyBorder="1" applyAlignment="1">
      <alignment vertical="center"/>
    </xf>
    <xf numFmtId="165" fontId="10" fillId="10" borderId="182" xfId="0" applyNumberFormat="1" applyFont="1" applyFill="1" applyBorder="1" applyAlignment="1">
      <alignment vertical="center"/>
    </xf>
    <xf numFmtId="165" fontId="8" fillId="0" borderId="184" xfId="0" applyNumberFormat="1" applyFont="1" applyBorder="1" applyAlignment="1">
      <alignment horizontal="center" vertical="center"/>
    </xf>
    <xf numFmtId="10" fontId="8" fillId="0" borderId="182" xfId="0" applyNumberFormat="1" applyFont="1" applyBorder="1" applyAlignment="1">
      <alignment horizontal="center" vertical="center"/>
    </xf>
    <xf numFmtId="10" fontId="86" fillId="10" borderId="181" xfId="0" applyNumberFormat="1" applyFont="1" applyFill="1" applyBorder="1" applyAlignment="1">
      <alignment horizontal="center" vertical="center" wrapText="1"/>
    </xf>
    <xf numFmtId="169" fontId="10" fillId="10" borderId="184" xfId="0" applyNumberFormat="1" applyFont="1" applyFill="1" applyBorder="1" applyAlignment="1">
      <alignment horizontal="center" vertical="center"/>
    </xf>
    <xf numFmtId="10" fontId="10" fillId="10" borderId="182" xfId="0" applyNumberFormat="1" applyFont="1" applyFill="1" applyBorder="1" applyAlignment="1">
      <alignment horizontal="center" vertical="center"/>
    </xf>
    <xf numFmtId="165" fontId="10" fillId="10" borderId="182" xfId="0" applyNumberFormat="1" applyFont="1" applyFill="1" applyBorder="1" applyAlignment="1">
      <alignment horizontal="center" vertical="center"/>
    </xf>
    <xf numFmtId="0" fontId="39" fillId="10" borderId="0" xfId="0" applyFont="1" applyFill="1"/>
    <xf numFmtId="10" fontId="39" fillId="0" borderId="181" xfId="0" applyNumberFormat="1" applyFont="1" applyBorder="1" applyAlignment="1">
      <alignment horizontal="center" vertical="center" wrapText="1"/>
    </xf>
    <xf numFmtId="169" fontId="10" fillId="0" borderId="184" xfId="0" applyNumberFormat="1" applyFont="1" applyBorder="1" applyAlignment="1">
      <alignment vertical="center"/>
    </xf>
    <xf numFmtId="165" fontId="10" fillId="0" borderId="184" xfId="0" applyNumberFormat="1" applyFont="1" applyBorder="1" applyAlignment="1">
      <alignment vertical="center"/>
    </xf>
    <xf numFmtId="165" fontId="39" fillId="0" borderId="182" xfId="0" applyNumberFormat="1" applyFont="1" applyBorder="1" applyAlignment="1">
      <alignment vertical="center"/>
    </xf>
    <xf numFmtId="10" fontId="39" fillId="0" borderId="182" xfId="0" applyNumberFormat="1" applyFont="1" applyBorder="1" applyAlignment="1">
      <alignment vertical="center"/>
    </xf>
    <xf numFmtId="169" fontId="39" fillId="0" borderId="184" xfId="0" applyNumberFormat="1" applyFont="1" applyBorder="1" applyAlignment="1">
      <alignment vertical="center"/>
    </xf>
    <xf numFmtId="169" fontId="39" fillId="0" borderId="182" xfId="0" applyNumberFormat="1" applyFont="1" applyBorder="1" applyAlignment="1">
      <alignment vertical="center"/>
    </xf>
    <xf numFmtId="165" fontId="39" fillId="10" borderId="182" xfId="0" applyNumberFormat="1" applyFont="1" applyFill="1" applyBorder="1" applyAlignment="1">
      <alignment horizontal="center" vertical="center"/>
    </xf>
    <xf numFmtId="10" fontId="39" fillId="10" borderId="182" xfId="0" applyNumberFormat="1" applyFont="1" applyFill="1" applyBorder="1" applyAlignment="1">
      <alignment horizontal="center" vertical="center"/>
    </xf>
    <xf numFmtId="165" fontId="39" fillId="10" borderId="182" xfId="0" applyNumberFormat="1" applyFont="1" applyFill="1" applyBorder="1" applyAlignment="1">
      <alignment vertical="center"/>
    </xf>
    <xf numFmtId="10" fontId="39" fillId="10" borderId="182" xfId="0" applyNumberFormat="1" applyFont="1" applyFill="1" applyBorder="1" applyAlignment="1">
      <alignment vertical="center"/>
    </xf>
    <xf numFmtId="10" fontId="39" fillId="0" borderId="186" xfId="0" applyNumberFormat="1" applyFont="1" applyBorder="1" applyAlignment="1">
      <alignment horizontal="center" vertical="center" wrapText="1"/>
    </xf>
    <xf numFmtId="165" fontId="39" fillId="0" borderId="184" xfId="0" applyNumberFormat="1" applyFont="1" applyBorder="1" applyAlignment="1">
      <alignment vertical="center"/>
    </xf>
    <xf numFmtId="10" fontId="10" fillId="25" borderId="183" xfId="0" applyNumberFormat="1" applyFont="1" applyFill="1" applyBorder="1" applyAlignment="1">
      <alignment vertical="center"/>
    </xf>
    <xf numFmtId="0" fontId="10" fillId="0" borderId="0" xfId="0" applyFont="1" applyAlignment="1">
      <alignment vertical="center" wrapText="1"/>
    </xf>
    <xf numFmtId="165" fontId="10" fillId="0" borderId="0" xfId="0" applyNumberFormat="1" applyFont="1" applyAlignment="1">
      <alignment vertical="center"/>
    </xf>
    <xf numFmtId="169" fontId="10" fillId="0" borderId="0" xfId="0" applyNumberFormat="1" applyFont="1" applyAlignment="1">
      <alignment vertical="center"/>
    </xf>
    <xf numFmtId="10" fontId="10" fillId="0" borderId="0" xfId="0" applyNumberFormat="1" applyFont="1" applyAlignment="1">
      <alignment vertical="center"/>
    </xf>
    <xf numFmtId="0" fontId="39" fillId="0" borderId="104" xfId="0" applyFont="1" applyBorder="1" applyAlignment="1">
      <alignment horizontal="center" wrapText="1"/>
    </xf>
    <xf numFmtId="0" fontId="39" fillId="0" borderId="114" xfId="0" applyFont="1" applyBorder="1" applyAlignment="1">
      <alignment horizontal="center" wrapText="1"/>
    </xf>
    <xf numFmtId="0" fontId="60" fillId="27" borderId="174" xfId="0" applyFont="1" applyFill="1" applyBorder="1" applyAlignment="1">
      <alignment horizontal="center"/>
    </xf>
    <xf numFmtId="0" fontId="60" fillId="27" borderId="90" xfId="0" applyFont="1" applyFill="1" applyBorder="1" applyAlignment="1">
      <alignment horizontal="center" wrapText="1"/>
    </xf>
    <xf numFmtId="0" fontId="60" fillId="27" borderId="90" xfId="0" applyFont="1" applyFill="1" applyBorder="1" applyAlignment="1">
      <alignment horizontal="center"/>
    </xf>
    <xf numFmtId="165" fontId="60" fillId="27" borderId="90" xfId="0" applyNumberFormat="1" applyFont="1" applyFill="1" applyBorder="1" applyAlignment="1">
      <alignment horizontal="center"/>
    </xf>
    <xf numFmtId="0" fontId="60" fillId="27" borderId="91" xfId="0" applyFont="1" applyFill="1" applyBorder="1" applyAlignment="1">
      <alignment horizontal="center"/>
    </xf>
    <xf numFmtId="0" fontId="10" fillId="0" borderId="7" xfId="0" applyFont="1" applyBorder="1" applyAlignment="1">
      <alignment horizontal="center"/>
    </xf>
    <xf numFmtId="0" fontId="10" fillId="0" borderId="7" xfId="0" applyFont="1" applyBorder="1" applyAlignment="1">
      <alignment horizontal="left" wrapText="1"/>
    </xf>
    <xf numFmtId="49" fontId="10" fillId="0" borderId="7" xfId="0" applyNumberFormat="1" applyFont="1" applyBorder="1" applyAlignment="1">
      <alignment horizontal="center"/>
    </xf>
    <xf numFmtId="14" fontId="10" fillId="0" borderId="7" xfId="0" applyNumberFormat="1" applyFont="1" applyBorder="1" applyAlignment="1">
      <alignment horizontal="center"/>
    </xf>
    <xf numFmtId="165" fontId="10" fillId="0" borderId="7" xfId="0" applyNumberFormat="1" applyFont="1" applyBorder="1" applyAlignment="1">
      <alignment horizontal="center"/>
    </xf>
    <xf numFmtId="0" fontId="10" fillId="0" borderId="7" xfId="0" applyFont="1" applyBorder="1" applyAlignment="1">
      <alignment horizontal="left"/>
    </xf>
    <xf numFmtId="0" fontId="10" fillId="3" borderId="7" xfId="0" applyFont="1" applyFill="1" applyBorder="1" applyAlignment="1">
      <alignment horizontal="center"/>
    </xf>
    <xf numFmtId="0" fontId="10" fillId="3" borderId="7" xfId="0" applyFont="1" applyFill="1" applyBorder="1" applyAlignment="1">
      <alignment horizontal="left" wrapText="1"/>
    </xf>
    <xf numFmtId="14" fontId="10" fillId="3" borderId="7" xfId="0" applyNumberFormat="1" applyFont="1" applyFill="1" applyBorder="1" applyAlignment="1">
      <alignment horizontal="center"/>
    </xf>
    <xf numFmtId="165" fontId="10" fillId="3" borderId="7" xfId="0" applyNumberFormat="1" applyFont="1" applyFill="1" applyBorder="1" applyAlignment="1">
      <alignment horizontal="center"/>
    </xf>
    <xf numFmtId="0" fontId="10" fillId="3" borderId="7" xfId="0" applyFont="1" applyFill="1" applyBorder="1" applyAlignment="1">
      <alignment horizontal="left"/>
    </xf>
    <xf numFmtId="49" fontId="10" fillId="3" borderId="7" xfId="0" applyNumberFormat="1" applyFont="1" applyFill="1" applyBorder="1" applyAlignment="1">
      <alignment horizontal="center"/>
    </xf>
    <xf numFmtId="0" fontId="10" fillId="3" borderId="7" xfId="0" applyFont="1" applyFill="1" applyBorder="1" applyAlignment="1">
      <alignment wrapText="1"/>
    </xf>
    <xf numFmtId="0" fontId="10" fillId="3" borderId="7" xfId="0" applyFont="1" applyFill="1" applyBorder="1"/>
    <xf numFmtId="0" fontId="10" fillId="0" borderId="7" xfId="0" applyFont="1" applyBorder="1" applyAlignment="1">
      <alignment wrapText="1"/>
    </xf>
    <xf numFmtId="0" fontId="10" fillId="0" borderId="7" xfId="0" applyFont="1" applyBorder="1"/>
    <xf numFmtId="0" fontId="89" fillId="0" borderId="0" xfId="0" applyFont="1"/>
    <xf numFmtId="49" fontId="24" fillId="0" borderId="63" xfId="0" applyNumberFormat="1" applyFont="1" applyBorder="1"/>
    <xf numFmtId="0" fontId="89" fillId="21" borderId="0" xfId="0" applyFont="1" applyFill="1"/>
    <xf numFmtId="49" fontId="24" fillId="0" borderId="119" xfId="0" applyNumberFormat="1" applyFont="1" applyBorder="1"/>
    <xf numFmtId="0" fontId="89" fillId="10" borderId="12" xfId="0" applyFont="1" applyFill="1" applyBorder="1"/>
    <xf numFmtId="0" fontId="89" fillId="10" borderId="7" xfId="0" applyFont="1" applyFill="1" applyBorder="1" applyAlignment="1">
      <alignment vertical="top"/>
    </xf>
    <xf numFmtId="2" fontId="89" fillId="10" borderId="7" xfId="0" applyNumberFormat="1" applyFont="1" applyFill="1" applyBorder="1" applyAlignment="1">
      <alignment vertical="top"/>
    </xf>
    <xf numFmtId="185" fontId="89" fillId="10" borderId="7" xfId="0" applyNumberFormat="1" applyFont="1" applyFill="1" applyBorder="1" applyAlignment="1">
      <alignment vertical="top"/>
    </xf>
    <xf numFmtId="10" fontId="89" fillId="10" borderId="7" xfId="0" applyNumberFormat="1" applyFont="1" applyFill="1" applyBorder="1" applyAlignment="1">
      <alignment vertical="top"/>
    </xf>
    <xf numFmtId="10" fontId="89" fillId="10" borderId="84" xfId="0" applyNumberFormat="1" applyFont="1" applyFill="1" applyBorder="1" applyAlignment="1">
      <alignment vertical="top"/>
    </xf>
    <xf numFmtId="9" fontId="90" fillId="28" borderId="12" xfId="0" applyNumberFormat="1" applyFont="1" applyFill="1" applyBorder="1" applyAlignment="1">
      <alignment horizontal="center" wrapText="1"/>
    </xf>
    <xf numFmtId="0" fontId="24" fillId="10" borderId="7" xfId="0" applyFont="1" applyFill="1" applyBorder="1" applyAlignment="1">
      <alignment wrapText="1"/>
    </xf>
    <xf numFmtId="9" fontId="91" fillId="29" borderId="12" xfId="0" applyNumberFormat="1" applyFont="1" applyFill="1" applyBorder="1" applyAlignment="1">
      <alignment horizontal="center" wrapText="1"/>
    </xf>
    <xf numFmtId="9" fontId="92" fillId="30" borderId="12" xfId="0" applyNumberFormat="1" applyFont="1" applyFill="1" applyBorder="1" applyAlignment="1">
      <alignment horizontal="center" wrapText="1"/>
    </xf>
    <xf numFmtId="0" fontId="24" fillId="10" borderId="174" xfId="0" applyFont="1" applyFill="1" applyBorder="1" applyAlignment="1">
      <alignment horizontal="center" vertical="center" wrapText="1"/>
    </xf>
    <xf numFmtId="0" fontId="24" fillId="10" borderId="90" xfId="0" applyFont="1" applyFill="1" applyBorder="1" applyAlignment="1">
      <alignment horizontal="center" vertical="center" wrapText="1"/>
    </xf>
    <xf numFmtId="2" fontId="24" fillId="10" borderId="90" xfId="0" applyNumberFormat="1" applyFont="1" applyFill="1" applyBorder="1" applyAlignment="1">
      <alignment horizontal="center" vertical="center" wrapText="1"/>
    </xf>
    <xf numFmtId="185" fontId="24" fillId="10" borderId="90" xfId="0" applyNumberFormat="1" applyFont="1" applyFill="1" applyBorder="1" applyAlignment="1">
      <alignment horizontal="center" vertical="center" wrapText="1"/>
    </xf>
    <xf numFmtId="10" fontId="24" fillId="10" borderId="90" xfId="0" applyNumberFormat="1" applyFont="1" applyFill="1" applyBorder="1" applyAlignment="1">
      <alignment horizontal="center" vertical="center" wrapText="1"/>
    </xf>
    <xf numFmtId="0" fontId="24" fillId="0" borderId="91" xfId="0" applyFont="1" applyBorder="1" applyAlignment="1">
      <alignment horizontal="center" vertical="center" wrapText="1"/>
    </xf>
    <xf numFmtId="0" fontId="89" fillId="0" borderId="0" xfId="0" applyFont="1" applyAlignment="1">
      <alignment vertical="center"/>
    </xf>
    <xf numFmtId="0" fontId="10" fillId="28" borderId="189" xfId="0" applyFont="1" applyFill="1" applyBorder="1" applyAlignment="1">
      <alignment horizontal="right" vertical="top" wrapText="1"/>
    </xf>
    <xf numFmtId="0" fontId="10" fillId="28" borderId="190" xfId="0" applyFont="1" applyFill="1" applyBorder="1" applyAlignment="1">
      <alignment vertical="top" wrapText="1"/>
    </xf>
    <xf numFmtId="0" fontId="10" fillId="28" borderId="190" xfId="0" applyFont="1" applyFill="1" applyBorder="1" applyAlignment="1">
      <alignment horizontal="center" vertical="top" wrapText="1"/>
    </xf>
    <xf numFmtId="2" fontId="10" fillId="28" borderId="190" xfId="0" applyNumberFormat="1" applyFont="1" applyFill="1" applyBorder="1" applyAlignment="1">
      <alignment horizontal="right" vertical="top" wrapText="1"/>
    </xf>
    <xf numFmtId="185" fontId="10" fillId="28" borderId="190" xfId="0" applyNumberFormat="1" applyFont="1" applyFill="1" applyBorder="1" applyAlignment="1">
      <alignment horizontal="right" vertical="top" wrapText="1"/>
    </xf>
    <xf numFmtId="10" fontId="10" fillId="28" borderId="190" xfId="0" applyNumberFormat="1" applyFont="1" applyFill="1" applyBorder="1" applyAlignment="1">
      <alignment horizontal="center" vertical="top" wrapText="1"/>
    </xf>
    <xf numFmtId="10" fontId="10" fillId="28" borderId="191" xfId="0" applyNumberFormat="1" applyFont="1" applyFill="1" applyBorder="1" applyAlignment="1">
      <alignment horizontal="center" vertical="top" wrapText="1"/>
    </xf>
    <xf numFmtId="185" fontId="89" fillId="0" borderId="0" xfId="0" applyNumberFormat="1" applyFont="1" applyAlignment="1">
      <alignment horizontal="right"/>
    </xf>
    <xf numFmtId="0" fontId="10" fillId="28" borderId="192" xfId="0" applyFont="1" applyFill="1" applyBorder="1" applyAlignment="1">
      <alignment horizontal="right" vertical="top" wrapText="1"/>
    </xf>
    <xf numFmtId="0" fontId="10" fillId="28" borderId="193" xfId="0" applyFont="1" applyFill="1" applyBorder="1" applyAlignment="1">
      <alignment vertical="top" wrapText="1"/>
    </xf>
    <xf numFmtId="0" fontId="10" fillId="28" borderId="193" xfId="0" applyFont="1" applyFill="1" applyBorder="1" applyAlignment="1">
      <alignment horizontal="center" vertical="top" wrapText="1"/>
    </xf>
    <xf numFmtId="2" fontId="10" fillId="28" borderId="193" xfId="0" applyNumberFormat="1" applyFont="1" applyFill="1" applyBorder="1" applyAlignment="1">
      <alignment horizontal="right" vertical="top" wrapText="1"/>
    </xf>
    <xf numFmtId="185" fontId="10" fillId="28" borderId="193" xfId="0" applyNumberFormat="1" applyFont="1" applyFill="1" applyBorder="1" applyAlignment="1">
      <alignment horizontal="right" vertical="top" wrapText="1"/>
    </xf>
    <xf numFmtId="10" fontId="10" fillId="28" borderId="193" xfId="0" applyNumberFormat="1" applyFont="1" applyFill="1" applyBorder="1" applyAlignment="1">
      <alignment horizontal="center" vertical="top" wrapText="1"/>
    </xf>
    <xf numFmtId="10" fontId="10" fillId="28" borderId="194" xfId="0" applyNumberFormat="1" applyFont="1" applyFill="1" applyBorder="1" applyAlignment="1">
      <alignment horizontal="center" vertical="top" wrapText="1"/>
    </xf>
    <xf numFmtId="0" fontId="10" fillId="18" borderId="192" xfId="0" applyFont="1" applyFill="1" applyBorder="1" applyAlignment="1">
      <alignment horizontal="right" vertical="top" wrapText="1"/>
    </xf>
    <xf numFmtId="0" fontId="10" fillId="18" borderId="193" xfId="0" applyFont="1" applyFill="1" applyBorder="1" applyAlignment="1">
      <alignment vertical="top" wrapText="1"/>
    </xf>
    <xf numFmtId="0" fontId="10" fillId="18" borderId="193" xfId="0" applyFont="1" applyFill="1" applyBorder="1" applyAlignment="1">
      <alignment horizontal="center" vertical="top" wrapText="1"/>
    </xf>
    <xf numFmtId="2" fontId="10" fillId="18" borderId="193" xfId="0" applyNumberFormat="1" applyFont="1" applyFill="1" applyBorder="1" applyAlignment="1">
      <alignment horizontal="right" vertical="top" wrapText="1"/>
    </xf>
    <xf numFmtId="185" fontId="10" fillId="18" borderId="193" xfId="0" applyNumberFormat="1" applyFont="1" applyFill="1" applyBorder="1" applyAlignment="1">
      <alignment horizontal="right" vertical="top" wrapText="1"/>
    </xf>
    <xf numFmtId="10" fontId="10" fillId="18" borderId="193" xfId="0" applyNumberFormat="1" applyFont="1" applyFill="1" applyBorder="1" applyAlignment="1">
      <alignment horizontal="center" vertical="top" wrapText="1"/>
    </xf>
    <xf numFmtId="10" fontId="10" fillId="18" borderId="194" xfId="0" applyNumberFormat="1" applyFont="1" applyFill="1" applyBorder="1" applyAlignment="1">
      <alignment horizontal="center" vertical="top" wrapText="1"/>
    </xf>
    <xf numFmtId="0" fontId="10" fillId="30" borderId="192" xfId="0" applyFont="1" applyFill="1" applyBorder="1" applyAlignment="1">
      <alignment horizontal="right" vertical="top" wrapText="1"/>
    </xf>
    <xf numFmtId="0" fontId="10" fillId="30" borderId="193" xfId="0" applyFont="1" applyFill="1" applyBorder="1" applyAlignment="1">
      <alignment vertical="top" wrapText="1"/>
    </xf>
    <xf numFmtId="0" fontId="10" fillId="30" borderId="193" xfId="0" applyFont="1" applyFill="1" applyBorder="1" applyAlignment="1">
      <alignment horizontal="center" vertical="top" wrapText="1"/>
    </xf>
    <xf numFmtId="2" fontId="10" fillId="30" borderId="193" xfId="0" applyNumberFormat="1" applyFont="1" applyFill="1" applyBorder="1" applyAlignment="1">
      <alignment horizontal="right" vertical="top" wrapText="1"/>
    </xf>
    <xf numFmtId="185" fontId="10" fillId="30" borderId="193" xfId="0" applyNumberFormat="1" applyFont="1" applyFill="1" applyBorder="1" applyAlignment="1">
      <alignment horizontal="right" vertical="top" wrapText="1"/>
    </xf>
    <xf numFmtId="10" fontId="10" fillId="30" borderId="193" xfId="0" applyNumberFormat="1" applyFont="1" applyFill="1" applyBorder="1" applyAlignment="1">
      <alignment horizontal="center" vertical="top" wrapText="1"/>
    </xf>
    <xf numFmtId="10" fontId="10" fillId="30" borderId="194" xfId="0" applyNumberFormat="1" applyFont="1" applyFill="1" applyBorder="1" applyAlignment="1">
      <alignment horizontal="center" vertical="top" wrapText="1"/>
    </xf>
    <xf numFmtId="0" fontId="24" fillId="0" borderId="0" xfId="0" applyFont="1" applyAlignment="1">
      <alignment horizontal="center"/>
    </xf>
    <xf numFmtId="49" fontId="24" fillId="0" borderId="199" xfId="0" applyNumberFormat="1" applyFont="1" applyBorder="1"/>
    <xf numFmtId="0" fontId="25" fillId="10" borderId="0" xfId="0" applyFont="1" applyFill="1" applyAlignment="1">
      <alignment horizontal="center"/>
    </xf>
    <xf numFmtId="0" fontId="24" fillId="0" borderId="7" xfId="0" applyFont="1" applyBorder="1" applyAlignment="1">
      <alignment horizontal="center"/>
    </xf>
    <xf numFmtId="10" fontId="93" fillId="0" borderId="7" xfId="0" applyNumberFormat="1" applyFont="1" applyBorder="1" applyAlignment="1">
      <alignment horizontal="center"/>
    </xf>
    <xf numFmtId="49" fontId="24" fillId="0" borderId="200" xfId="0" applyNumberFormat="1" applyFont="1" applyBorder="1"/>
    <xf numFmtId="0" fontId="24" fillId="10" borderId="0" xfId="0" applyFont="1" applyFill="1" applyAlignment="1">
      <alignment horizontal="center"/>
    </xf>
    <xf numFmtId="0" fontId="24" fillId="10" borderId="0" xfId="0" applyFont="1" applyFill="1" applyAlignment="1">
      <alignment horizontal="left" vertical="top"/>
    </xf>
    <xf numFmtId="0" fontId="26" fillId="0" borderId="7" xfId="0" applyFont="1" applyBorder="1" applyAlignment="1">
      <alignment horizontal="center"/>
    </xf>
    <xf numFmtId="10" fontId="94" fillId="0" borderId="7" xfId="0" applyNumberFormat="1" applyFont="1" applyBorder="1" applyAlignment="1">
      <alignment horizontal="center"/>
    </xf>
    <xf numFmtId="49" fontId="25" fillId="10" borderId="0" xfId="0" applyNumberFormat="1" applyFont="1" applyFill="1" applyAlignment="1">
      <alignment horizontal="left" vertical="top" wrapText="1"/>
    </xf>
    <xf numFmtId="0" fontId="24" fillId="0" borderId="20" xfId="0" applyFont="1" applyBorder="1"/>
    <xf numFmtId="0" fontId="24" fillId="0" borderId="0" xfId="0" applyFont="1"/>
    <xf numFmtId="0" fontId="24" fillId="0" borderId="21" xfId="0" applyFont="1" applyBorder="1"/>
    <xf numFmtId="0" fontId="24" fillId="10" borderId="0" xfId="0" applyFont="1" applyFill="1"/>
    <xf numFmtId="0" fontId="26" fillId="0" borderId="7" xfId="0" applyFont="1" applyBorder="1" applyAlignment="1">
      <alignment horizontal="center" vertical="center" wrapText="1"/>
    </xf>
    <xf numFmtId="0" fontId="25" fillId="10" borderId="0" xfId="0" applyFont="1" applyFill="1" applyAlignment="1">
      <alignment horizontal="left" wrapText="1"/>
    </xf>
    <xf numFmtId="0" fontId="35" fillId="10" borderId="0" xfId="0" applyFont="1" applyFill="1" applyAlignment="1">
      <alignment horizontal="center"/>
    </xf>
    <xf numFmtId="10" fontId="26" fillId="10" borderId="0" xfId="0" applyNumberFormat="1" applyFont="1" applyFill="1" applyAlignment="1">
      <alignment horizontal="center"/>
    </xf>
    <xf numFmtId="0" fontId="26" fillId="10" borderId="0" xfId="0" applyFont="1" applyFill="1" applyAlignment="1">
      <alignment horizontal="center" vertical="top" wrapText="1"/>
    </xf>
    <xf numFmtId="10" fontId="25" fillId="10" borderId="0" xfId="0" applyNumberFormat="1" applyFont="1" applyFill="1" applyAlignment="1">
      <alignment horizontal="center"/>
    </xf>
    <xf numFmtId="0" fontId="25" fillId="0" borderId="20" xfId="0" applyFont="1" applyBorder="1"/>
    <xf numFmtId="0" fontId="25" fillId="0" borderId="21" xfId="0" applyFont="1" applyBorder="1"/>
    <xf numFmtId="0" fontId="25" fillId="10" borderId="0" xfId="0" applyFont="1" applyFill="1"/>
    <xf numFmtId="0" fontId="24" fillId="0" borderId="7" xfId="0" applyFont="1" applyBorder="1" applyAlignment="1">
      <alignment horizontal="center" vertical="center"/>
    </xf>
    <xf numFmtId="0" fontId="24" fillId="0" borderId="84" xfId="0" applyFont="1" applyBorder="1" applyAlignment="1">
      <alignment horizontal="center" vertical="center"/>
    </xf>
    <xf numFmtId="0" fontId="24" fillId="10" borderId="0" xfId="0" applyFont="1" applyFill="1" applyAlignment="1">
      <alignment horizontal="center" vertical="center"/>
    </xf>
    <xf numFmtId="0" fontId="25" fillId="0" borderId="7" xfId="0" applyFont="1" applyBorder="1" applyAlignment="1">
      <alignment horizontal="center" vertical="center"/>
    </xf>
    <xf numFmtId="10" fontId="25" fillId="2" borderId="7" xfId="0" applyNumberFormat="1" applyFont="1" applyFill="1" applyBorder="1" applyAlignment="1">
      <alignment horizontal="center" vertical="center"/>
    </xf>
    <xf numFmtId="4" fontId="24" fillId="0" borderId="7" xfId="0" applyNumberFormat="1" applyFont="1" applyBorder="1" applyAlignment="1">
      <alignment horizontal="center" vertical="center"/>
    </xf>
    <xf numFmtId="10" fontId="25" fillId="0" borderId="7" xfId="0" applyNumberFormat="1" applyFont="1" applyBorder="1" applyAlignment="1">
      <alignment horizontal="center" vertical="center"/>
    </xf>
    <xf numFmtId="10" fontId="25" fillId="0" borderId="84" xfId="0" applyNumberFormat="1" applyFont="1" applyBorder="1" applyAlignment="1">
      <alignment horizontal="center" vertical="center"/>
    </xf>
    <xf numFmtId="10" fontId="25" fillId="10" borderId="0" xfId="0" applyNumberFormat="1" applyFont="1" applyFill="1" applyAlignment="1">
      <alignment horizontal="center" vertical="center"/>
    </xf>
    <xf numFmtId="10" fontId="95" fillId="0" borderId="7" xfId="0" applyNumberFormat="1" applyFont="1" applyBorder="1" applyAlignment="1">
      <alignment horizontal="center" vertical="center"/>
    </xf>
    <xf numFmtId="10" fontId="25" fillId="0" borderId="7" xfId="0" applyNumberFormat="1" applyFont="1" applyBorder="1" applyAlignment="1">
      <alignment horizontal="center" vertical="center" wrapText="1"/>
    </xf>
    <xf numFmtId="10" fontId="25" fillId="0" borderId="84" xfId="0" applyNumberFormat="1" applyFont="1" applyBorder="1" applyAlignment="1">
      <alignment horizontal="center" vertical="center" wrapText="1"/>
    </xf>
    <xf numFmtId="10" fontId="25" fillId="10" borderId="0" xfId="0" applyNumberFormat="1" applyFont="1" applyFill="1" applyAlignment="1">
      <alignment horizontal="center" vertical="center" wrapText="1"/>
    </xf>
    <xf numFmtId="0" fontId="25" fillId="0" borderId="7" xfId="0" applyFont="1" applyBorder="1" applyAlignment="1">
      <alignment horizontal="center" vertical="center" wrapText="1"/>
    </xf>
    <xf numFmtId="0" fontId="8" fillId="0" borderId="20" xfId="0" applyFont="1" applyBorder="1"/>
    <xf numFmtId="4" fontId="96" fillId="0" borderId="0" xfId="0" applyNumberFormat="1" applyFont="1" applyAlignment="1">
      <alignment horizontal="center" vertical="center"/>
    </xf>
    <xf numFmtId="0" fontId="8" fillId="0" borderId="21" xfId="0" applyFont="1" applyBorder="1"/>
    <xf numFmtId="0" fontId="97" fillId="0" borderId="0" xfId="0" applyFont="1" applyAlignment="1">
      <alignment vertical="center"/>
    </xf>
    <xf numFmtId="0" fontId="98" fillId="0" borderId="7" xfId="0" applyFont="1" applyBorder="1" applyAlignment="1">
      <alignment horizontal="center" vertical="center"/>
    </xf>
    <xf numFmtId="10" fontId="99" fillId="0" borderId="7" xfId="0" applyNumberFormat="1" applyFont="1" applyBorder="1" applyAlignment="1">
      <alignment horizontal="center" vertical="center"/>
    </xf>
    <xf numFmtId="0" fontId="40" fillId="0" borderId="20" xfId="0" applyFont="1" applyBorder="1" applyAlignment="1">
      <alignment horizontal="center" vertical="center"/>
    </xf>
    <xf numFmtId="0" fontId="40" fillId="0" borderId="0" xfId="0" applyFont="1" applyAlignment="1">
      <alignment horizontal="center" vertical="center"/>
    </xf>
    <xf numFmtId="0" fontId="40" fillId="0" borderId="21" xfId="0" applyFont="1" applyBorder="1" applyAlignment="1">
      <alignment horizontal="center" vertical="center"/>
    </xf>
    <xf numFmtId="0" fontId="40" fillId="10" borderId="0" xfId="0" applyFont="1" applyFill="1" applyAlignment="1">
      <alignment horizontal="center" vertical="center"/>
    </xf>
    <xf numFmtId="10" fontId="100" fillId="0" borderId="84" xfId="0" applyNumberFormat="1" applyFont="1" applyBorder="1" applyAlignment="1">
      <alignment horizontal="center"/>
    </xf>
    <xf numFmtId="0" fontId="101" fillId="10" borderId="0" xfId="0" applyFont="1" applyFill="1" applyAlignment="1">
      <alignment horizontal="center"/>
    </xf>
    <xf numFmtId="0" fontId="102" fillId="0" borderId="21" xfId="0" applyFont="1" applyBorder="1" applyAlignment="1">
      <alignment horizontal="center"/>
    </xf>
    <xf numFmtId="0" fontId="25" fillId="10" borderId="0" xfId="0" applyFont="1" applyFill="1" applyAlignment="1">
      <alignment horizontal="left" vertical="top"/>
    </xf>
    <xf numFmtId="0" fontId="103" fillId="10" borderId="0" xfId="0" applyFont="1" applyFill="1" applyAlignment="1">
      <alignment horizontal="left" vertical="center"/>
    </xf>
    <xf numFmtId="0" fontId="23" fillId="0" borderId="20" xfId="0" applyFont="1" applyBorder="1"/>
    <xf numFmtId="0" fontId="23" fillId="0" borderId="21" xfId="0" applyFont="1" applyBorder="1"/>
    <xf numFmtId="0" fontId="23" fillId="10" borderId="0" xfId="0" applyFont="1" applyFill="1"/>
    <xf numFmtId="0" fontId="23" fillId="0" borderId="0" xfId="0" applyFont="1" applyAlignment="1">
      <alignment vertical="top"/>
    </xf>
    <xf numFmtId="10" fontId="25" fillId="31" borderId="7" xfId="0" applyNumberFormat="1" applyFont="1" applyFill="1" applyBorder="1" applyAlignment="1">
      <alignment horizontal="center"/>
    </xf>
    <xf numFmtId="10" fontId="25" fillId="31" borderId="207" xfId="0" applyNumberFormat="1" applyFont="1" applyFill="1" applyBorder="1" applyAlignment="1">
      <alignment horizontal="center"/>
    </xf>
    <xf numFmtId="10" fontId="24" fillId="0" borderId="7" xfId="0" applyNumberFormat="1" applyFont="1" applyBorder="1" applyAlignment="1">
      <alignment horizontal="center" vertical="center"/>
    </xf>
    <xf numFmtId="10" fontId="24" fillId="32" borderId="7" xfId="0" applyNumberFormat="1" applyFont="1" applyFill="1" applyBorder="1" applyAlignment="1">
      <alignment horizontal="center" vertical="center"/>
    </xf>
    <xf numFmtId="10" fontId="24" fillId="32" borderId="84" xfId="0" applyNumberFormat="1" applyFont="1" applyFill="1" applyBorder="1" applyAlignment="1">
      <alignment horizontal="center" vertical="center"/>
    </xf>
    <xf numFmtId="10" fontId="24" fillId="10" borderId="0" xfId="0" applyNumberFormat="1" applyFont="1" applyFill="1" applyAlignment="1">
      <alignment horizontal="center" vertical="center"/>
    </xf>
    <xf numFmtId="49" fontId="39" fillId="0" borderId="7" xfId="0" applyNumberFormat="1" applyFont="1" applyBorder="1" applyAlignment="1">
      <alignment horizontal="center" vertical="center"/>
    </xf>
    <xf numFmtId="10" fontId="39" fillId="0" borderId="7" xfId="0" applyNumberFormat="1" applyFont="1" applyBorder="1" applyAlignment="1">
      <alignment horizontal="center" vertical="center"/>
    </xf>
    <xf numFmtId="0" fontId="39" fillId="0" borderId="7" xfId="0" applyFont="1" applyBorder="1" applyAlignment="1">
      <alignment horizontal="center" vertical="center"/>
    </xf>
    <xf numFmtId="0" fontId="39" fillId="0" borderId="84" xfId="0" applyFont="1" applyBorder="1" applyAlignment="1">
      <alignment horizontal="center" vertical="center"/>
    </xf>
    <xf numFmtId="0" fontId="10" fillId="0" borderId="12" xfId="0" applyFont="1" applyBorder="1" applyAlignment="1">
      <alignment horizontal="center"/>
    </xf>
    <xf numFmtId="10" fontId="10" fillId="0" borderId="7" xfId="0" applyNumberFormat="1" applyFont="1" applyBorder="1" applyAlignment="1">
      <alignment horizontal="center" vertical="center"/>
    </xf>
    <xf numFmtId="10" fontId="10" fillId="0" borderId="84" xfId="0" applyNumberFormat="1" applyFont="1" applyBorder="1" applyAlignment="1">
      <alignment horizontal="center" vertical="center"/>
    </xf>
    <xf numFmtId="0" fontId="10" fillId="33" borderId="12" xfId="0" applyFont="1" applyFill="1" applyBorder="1" applyAlignment="1">
      <alignment horizontal="center"/>
    </xf>
    <xf numFmtId="0" fontId="10" fillId="33" borderId="7" xfId="0" applyFont="1" applyFill="1" applyBorder="1"/>
    <xf numFmtId="10" fontId="10" fillId="33" borderId="7" xfId="0" applyNumberFormat="1" applyFont="1" applyFill="1" applyBorder="1" applyAlignment="1">
      <alignment horizontal="center" vertical="center"/>
    </xf>
    <xf numFmtId="10" fontId="10" fillId="33" borderId="84" xfId="0" applyNumberFormat="1" applyFont="1" applyFill="1" applyBorder="1" applyAlignment="1">
      <alignment horizontal="center" vertical="center"/>
    </xf>
    <xf numFmtId="0" fontId="39" fillId="33" borderId="7" xfId="0" applyFont="1" applyFill="1" applyBorder="1" applyAlignment="1">
      <alignment horizontal="right"/>
    </xf>
    <xf numFmtId="10" fontId="39" fillId="33" borderId="7" xfId="0" applyNumberFormat="1" applyFont="1" applyFill="1" applyBorder="1" applyAlignment="1">
      <alignment horizontal="center" vertical="center"/>
    </xf>
    <xf numFmtId="10" fontId="39" fillId="33" borderId="84" xfId="0" applyNumberFormat="1" applyFont="1" applyFill="1" applyBorder="1" applyAlignment="1">
      <alignment horizontal="center" vertical="center"/>
    </xf>
    <xf numFmtId="0" fontId="10" fillId="0" borderId="7" xfId="0" applyFont="1" applyBorder="1" applyAlignment="1">
      <alignment horizontal="center" vertical="center"/>
    </xf>
    <xf numFmtId="0" fontId="10" fillId="0" borderId="84" xfId="0" applyFont="1" applyBorder="1" applyAlignment="1">
      <alignment horizontal="center" vertical="center"/>
    </xf>
    <xf numFmtId="0" fontId="10" fillId="33" borderId="7" xfId="0" applyFont="1" applyFill="1" applyBorder="1" applyAlignment="1">
      <alignment horizontal="center" vertical="center"/>
    </xf>
    <xf numFmtId="0" fontId="10" fillId="33" borderId="84" xfId="0" applyFont="1" applyFill="1" applyBorder="1" applyAlignment="1">
      <alignment horizontal="center" vertical="center"/>
    </xf>
    <xf numFmtId="0" fontId="10" fillId="33" borderId="7" xfId="0" applyFont="1" applyFill="1" applyBorder="1" applyAlignment="1">
      <alignment horizontal="left"/>
    </xf>
    <xf numFmtId="0" fontId="39" fillId="0" borderId="12" xfId="0" applyFont="1" applyBorder="1" applyAlignment="1">
      <alignment horizontal="center"/>
    </xf>
    <xf numFmtId="0" fontId="39" fillId="0" borderId="7" xfId="0" applyFont="1" applyBorder="1" applyAlignment="1">
      <alignment horizontal="right"/>
    </xf>
    <xf numFmtId="10" fontId="39" fillId="0" borderId="84" xfId="0" applyNumberFormat="1" applyFont="1" applyBorder="1" applyAlignment="1">
      <alignment horizontal="center" vertical="center"/>
    </xf>
    <xf numFmtId="0" fontId="39" fillId="33" borderId="12" xfId="0" applyFont="1" applyFill="1" applyBorder="1" applyAlignment="1">
      <alignment horizontal="center"/>
    </xf>
    <xf numFmtId="0" fontId="10" fillId="0" borderId="12" xfId="0" applyFont="1" applyBorder="1" applyAlignment="1">
      <alignment horizontal="center" vertical="center"/>
    </xf>
    <xf numFmtId="0" fontId="10" fillId="0" borderId="7" xfId="0" applyFont="1" applyBorder="1" applyAlignment="1">
      <alignment vertical="center" wrapText="1"/>
    </xf>
    <xf numFmtId="0" fontId="10" fillId="33" borderId="12" xfId="0" applyFont="1" applyFill="1" applyBorder="1" applyAlignment="1">
      <alignment horizontal="center" vertical="center"/>
    </xf>
    <xf numFmtId="0" fontId="10" fillId="33" borderId="7" xfId="0" applyFont="1" applyFill="1" applyBorder="1" applyAlignment="1">
      <alignment vertical="center" wrapText="1"/>
    </xf>
    <xf numFmtId="0" fontId="106" fillId="34" borderId="12" xfId="0" applyFont="1" applyFill="1" applyBorder="1" applyAlignment="1">
      <alignment horizontal="center"/>
    </xf>
    <xf numFmtId="0" fontId="105" fillId="34" borderId="7" xfId="0" applyFont="1" applyFill="1" applyBorder="1" applyAlignment="1">
      <alignment horizontal="center" vertical="center"/>
    </xf>
    <xf numFmtId="10" fontId="105" fillId="34" borderId="7" xfId="0" applyNumberFormat="1" applyFont="1" applyFill="1" applyBorder="1" applyAlignment="1">
      <alignment horizontal="center" vertical="center"/>
    </xf>
    <xf numFmtId="10" fontId="105" fillId="34" borderId="84" xfId="0" applyNumberFormat="1" applyFont="1" applyFill="1" applyBorder="1" applyAlignment="1">
      <alignment horizontal="center" vertical="center"/>
    </xf>
    <xf numFmtId="0" fontId="10" fillId="0" borderId="20" xfId="0" applyFont="1" applyBorder="1" applyAlignment="1">
      <alignment horizontal="left"/>
    </xf>
    <xf numFmtId="0" fontId="107" fillId="0" borderId="0" xfId="0" applyFont="1"/>
    <xf numFmtId="0" fontId="108" fillId="0" borderId="21" xfId="0" applyFont="1" applyBorder="1"/>
    <xf numFmtId="0" fontId="10" fillId="0" borderId="50" xfId="0" applyFont="1" applyBorder="1" applyAlignment="1">
      <alignment horizontal="left"/>
    </xf>
    <xf numFmtId="0" fontId="10" fillId="0" borderId="51" xfId="0" applyFont="1" applyBorder="1" applyAlignment="1">
      <alignment horizontal="left" vertical="center"/>
    </xf>
    <xf numFmtId="10" fontId="10" fillId="0" borderId="51" xfId="0" applyNumberFormat="1" applyFont="1" applyBorder="1" applyAlignment="1">
      <alignment horizontal="center" vertical="center"/>
    </xf>
    <xf numFmtId="0" fontId="10" fillId="0" borderId="51" xfId="0" applyFont="1" applyBorder="1" applyAlignment="1">
      <alignment horizontal="center" vertical="center"/>
    </xf>
    <xf numFmtId="0" fontId="10" fillId="0" borderId="30" xfId="0" applyFont="1" applyBorder="1" applyAlignment="1">
      <alignment horizontal="center" vertical="center"/>
    </xf>
    <xf numFmtId="49" fontId="24" fillId="0" borderId="54" xfId="0" applyNumberFormat="1" applyFont="1" applyBorder="1" applyAlignment="1">
      <alignment horizontal="left" vertical="center"/>
    </xf>
    <xf numFmtId="49" fontId="24" fillId="0" borderId="12" xfId="0" applyNumberFormat="1" applyFont="1" applyBorder="1" applyAlignment="1">
      <alignment horizontal="left" vertical="center"/>
    </xf>
    <xf numFmtId="49" fontId="24" fillId="0" borderId="174" xfId="0" applyNumberFormat="1" applyFont="1" applyBorder="1" applyAlignment="1">
      <alignment horizontal="left" vertical="center"/>
    </xf>
    <xf numFmtId="49" fontId="24" fillId="0" borderId="87" xfId="0" applyNumberFormat="1" applyFont="1" applyBorder="1" applyAlignment="1">
      <alignment horizontal="center" vertical="center" wrapText="1"/>
    </xf>
    <xf numFmtId="0" fontId="24" fillId="0" borderId="62" xfId="0" applyFont="1" applyBorder="1" applyAlignment="1">
      <alignment horizontal="center" vertical="center" wrapText="1"/>
    </xf>
    <xf numFmtId="0" fontId="24" fillId="0" borderId="62" xfId="0" applyFont="1" applyBorder="1" applyAlignment="1">
      <alignment horizontal="left" vertical="center" wrapText="1"/>
    </xf>
    <xf numFmtId="172" fontId="24" fillId="0" borderId="62" xfId="0" applyNumberFormat="1" applyFont="1" applyBorder="1" applyAlignment="1">
      <alignment horizontal="center" vertical="center"/>
    </xf>
    <xf numFmtId="4" fontId="24" fillId="0" borderId="62" xfId="0" applyNumberFormat="1" applyFont="1" applyBorder="1" applyAlignment="1">
      <alignment horizontal="center" vertical="center"/>
    </xf>
    <xf numFmtId="172" fontId="24" fillId="0" borderId="30" xfId="0" applyNumberFormat="1" applyFont="1" applyBorder="1" applyAlignment="1">
      <alignment horizontal="left" vertical="center" wrapText="1"/>
    </xf>
    <xf numFmtId="49" fontId="85" fillId="5" borderId="69" xfId="0" applyNumberFormat="1" applyFont="1" applyFill="1" applyBorder="1" applyAlignment="1">
      <alignment horizontal="center" vertical="center"/>
    </xf>
    <xf numFmtId="0" fontId="8" fillId="5" borderId="72" xfId="0" applyFont="1" applyFill="1" applyBorder="1" applyAlignment="1">
      <alignment horizontal="center" vertical="center"/>
    </xf>
    <xf numFmtId="0" fontId="85" fillId="5" borderId="72" xfId="0" applyFont="1" applyFill="1" applyBorder="1" applyAlignment="1">
      <alignment horizontal="left" vertical="center" wrapText="1"/>
    </xf>
    <xf numFmtId="4" fontId="8" fillId="5" borderId="72" xfId="0" applyNumberFormat="1" applyFont="1" applyFill="1" applyBorder="1" applyAlignment="1">
      <alignment horizontal="center" vertical="center"/>
    </xf>
    <xf numFmtId="172" fontId="8" fillId="5" borderId="72" xfId="0" applyNumberFormat="1" applyFont="1" applyFill="1" applyBorder="1" applyAlignment="1">
      <alignment horizontal="center" vertical="center"/>
    </xf>
    <xf numFmtId="172" fontId="8" fillId="5" borderId="74" xfId="0" applyNumberFormat="1" applyFont="1" applyFill="1" applyBorder="1" applyAlignment="1">
      <alignment horizontal="left" vertical="center"/>
    </xf>
    <xf numFmtId="0" fontId="8" fillId="0" borderId="72" xfId="0" applyFont="1" applyBorder="1" applyAlignment="1">
      <alignment horizontal="center"/>
    </xf>
    <xf numFmtId="0" fontId="8" fillId="0" borderId="72" xfId="0" applyFont="1" applyBorder="1" applyAlignment="1">
      <alignment horizontal="left" vertical="center" wrapText="1"/>
    </xf>
    <xf numFmtId="0" fontId="8" fillId="0" borderId="72" xfId="0" applyFont="1" applyBorder="1" applyAlignment="1">
      <alignment horizontal="center" vertical="center"/>
    </xf>
    <xf numFmtId="4" fontId="8" fillId="0" borderId="72" xfId="0" applyNumberFormat="1" applyFont="1" applyBorder="1" applyAlignment="1">
      <alignment horizontal="center"/>
    </xf>
    <xf numFmtId="169" fontId="8" fillId="0" borderId="74" xfId="0" applyNumberFormat="1" applyFont="1" applyBorder="1" applyAlignment="1">
      <alignment wrapText="1"/>
    </xf>
    <xf numFmtId="169" fontId="8" fillId="0" borderId="74" xfId="0" applyNumberFormat="1" applyFont="1" applyBorder="1"/>
    <xf numFmtId="190" fontId="8" fillId="0" borderId="74" xfId="0" applyNumberFormat="1" applyFont="1" applyBorder="1" applyAlignment="1">
      <alignment horizontal="left" vertical="center"/>
    </xf>
    <xf numFmtId="49" fontId="26" fillId="35" borderId="69" xfId="0" applyNumberFormat="1" applyFont="1" applyFill="1" applyBorder="1" applyAlignment="1">
      <alignment horizontal="center" vertical="center"/>
    </xf>
    <xf numFmtId="0" fontId="8" fillId="35" borderId="72" xfId="0" applyFont="1" applyFill="1" applyBorder="1" applyAlignment="1">
      <alignment horizontal="center" vertical="center"/>
    </xf>
    <xf numFmtId="0" fontId="26" fillId="35" borderId="72" xfId="0" applyFont="1" applyFill="1" applyBorder="1" applyAlignment="1">
      <alignment horizontal="left" vertical="center" wrapText="1"/>
    </xf>
    <xf numFmtId="4" fontId="8" fillId="35" borderId="72" xfId="0" applyNumberFormat="1" applyFont="1" applyFill="1" applyBorder="1" applyAlignment="1">
      <alignment horizontal="center" vertical="center"/>
    </xf>
    <xf numFmtId="172" fontId="8" fillId="35" borderId="72" xfId="0" applyNumberFormat="1" applyFont="1" applyFill="1" applyBorder="1" applyAlignment="1">
      <alignment horizontal="center" vertical="center"/>
    </xf>
    <xf numFmtId="172" fontId="8" fillId="35" borderId="74" xfId="0" applyNumberFormat="1" applyFont="1" applyFill="1" applyBorder="1" applyAlignment="1">
      <alignment horizontal="left" vertical="center"/>
    </xf>
    <xf numFmtId="49" fontId="8" fillId="0" borderId="104" xfId="0" applyNumberFormat="1" applyFont="1" applyBorder="1" applyAlignment="1">
      <alignment horizontal="center" vertical="center"/>
    </xf>
    <xf numFmtId="0" fontId="8" fillId="0" borderId="109" xfId="0" applyFont="1" applyBorder="1" applyAlignment="1">
      <alignment horizontal="center" vertical="center"/>
    </xf>
    <xf numFmtId="4" fontId="8" fillId="0" borderId="109" xfId="0" applyNumberFormat="1" applyFont="1" applyBorder="1" applyAlignment="1">
      <alignment horizontal="center" vertical="center"/>
    </xf>
    <xf numFmtId="169" fontId="8" fillId="0" borderId="113" xfId="0" applyNumberFormat="1" applyFont="1" applyBorder="1" applyAlignment="1">
      <alignment horizontal="left" vertical="center" wrapText="1"/>
    </xf>
    <xf numFmtId="4" fontId="8" fillId="0" borderId="72" xfId="0" applyNumberFormat="1" applyFont="1" applyBorder="1" applyAlignment="1">
      <alignment horizontal="center" vertical="center"/>
    </xf>
    <xf numFmtId="169" fontId="8" fillId="0" borderId="74" xfId="0" applyNumberFormat="1" applyFont="1" applyBorder="1" applyAlignment="1">
      <alignment horizontal="left" vertical="center" wrapText="1"/>
    </xf>
    <xf numFmtId="172" fontId="110" fillId="35" borderId="72" xfId="0" applyNumberFormat="1" applyFont="1" applyFill="1" applyBorder="1" applyAlignment="1">
      <alignment horizontal="center" vertical="center"/>
    </xf>
    <xf numFmtId="0" fontId="8" fillId="35" borderId="74" xfId="0" applyFont="1" applyFill="1" applyBorder="1" applyAlignment="1">
      <alignment horizontal="left" vertical="center"/>
    </xf>
    <xf numFmtId="169" fontId="8" fillId="0" borderId="113" xfId="0" applyNumberFormat="1" applyFont="1" applyBorder="1" applyAlignment="1">
      <alignment horizontal="left" vertical="center"/>
    </xf>
    <xf numFmtId="2" fontId="8" fillId="10" borderId="109" xfId="0" applyNumberFormat="1" applyFont="1" applyFill="1" applyBorder="1" applyAlignment="1">
      <alignment horizontal="center" vertical="center"/>
    </xf>
    <xf numFmtId="0" fontId="8" fillId="0" borderId="5" xfId="0" applyFont="1" applyBorder="1" applyAlignment="1">
      <alignment horizontal="center" vertical="center"/>
    </xf>
    <xf numFmtId="172" fontId="8" fillId="0" borderId="109"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0" xfId="0" applyNumberFormat="1" applyFont="1" applyAlignment="1">
      <alignment horizontal="center"/>
    </xf>
    <xf numFmtId="169" fontId="8" fillId="10" borderId="74" xfId="0" applyNumberFormat="1" applyFont="1" applyFill="1" applyBorder="1" applyAlignment="1">
      <alignment horizontal="left" vertical="center" wrapText="1"/>
    </xf>
    <xf numFmtId="49" fontId="8" fillId="8" borderId="104" xfId="0" applyNumberFormat="1" applyFont="1" applyFill="1" applyBorder="1" applyAlignment="1">
      <alignment horizontal="center" vertical="center"/>
    </xf>
    <xf numFmtId="0" fontId="8" fillId="8" borderId="109" xfId="0" applyFont="1" applyFill="1" applyBorder="1" applyAlignment="1">
      <alignment horizontal="center" vertical="center"/>
    </xf>
    <xf numFmtId="0" fontId="8" fillId="8" borderId="77" xfId="0" applyFont="1" applyFill="1" applyBorder="1" applyAlignment="1">
      <alignment horizontal="center" vertical="center"/>
    </xf>
    <xf numFmtId="0" fontId="8" fillId="8" borderId="77" xfId="0" applyFont="1" applyFill="1" applyBorder="1" applyAlignment="1">
      <alignment horizontal="left" vertical="center" wrapText="1"/>
    </xf>
    <xf numFmtId="4" fontId="8" fillId="8" borderId="117" xfId="0" applyNumberFormat="1" applyFont="1" applyFill="1" applyBorder="1" applyAlignment="1">
      <alignment horizontal="center" vertical="center"/>
    </xf>
    <xf numFmtId="169" fontId="8" fillId="8" borderId="212" xfId="0" applyNumberFormat="1" applyFont="1" applyFill="1" applyBorder="1" applyAlignment="1">
      <alignment horizontal="left" vertical="center" wrapText="1"/>
    </xf>
    <xf numFmtId="0" fontId="8" fillId="0" borderId="71" xfId="0" applyFont="1" applyBorder="1" applyAlignment="1">
      <alignment horizontal="center" vertical="center"/>
    </xf>
    <xf numFmtId="0" fontId="30" fillId="0" borderId="213" xfId="0" applyFont="1" applyBorder="1" applyAlignment="1">
      <alignment horizontal="center" vertical="center"/>
    </xf>
    <xf numFmtId="0" fontId="39" fillId="10" borderId="79" xfId="0" applyFont="1" applyFill="1" applyBorder="1" applyAlignment="1">
      <alignment horizontal="left" vertical="center" wrapText="1"/>
    </xf>
    <xf numFmtId="4" fontId="39" fillId="0" borderId="18" xfId="0" applyNumberFormat="1" applyFont="1" applyBorder="1" applyAlignment="1">
      <alignment horizontal="center" vertical="center" wrapText="1"/>
    </xf>
    <xf numFmtId="4" fontId="39" fillId="10" borderId="19" xfId="0" applyNumberFormat="1" applyFont="1" applyFill="1" applyBorder="1" applyAlignment="1">
      <alignment horizontal="center" vertical="center"/>
    </xf>
    <xf numFmtId="0" fontId="8" fillId="0" borderId="214" xfId="0" applyFont="1" applyBorder="1" applyAlignment="1">
      <alignment horizontal="center" vertical="center"/>
    </xf>
    <xf numFmtId="0" fontId="10" fillId="10" borderId="81" xfId="0" applyFont="1" applyFill="1" applyBorder="1" applyAlignment="1">
      <alignment horizontal="left" vertical="center" wrapText="1"/>
    </xf>
    <xf numFmtId="4" fontId="10" fillId="0" borderId="0" xfId="0" applyNumberFormat="1" applyFont="1" applyAlignment="1">
      <alignment horizontal="center" vertical="center" wrapText="1"/>
    </xf>
    <xf numFmtId="4" fontId="10" fillId="10" borderId="21" xfId="0" applyNumberFormat="1" applyFont="1" applyFill="1" applyBorder="1" applyAlignment="1">
      <alignment horizontal="center" vertical="center"/>
    </xf>
    <xf numFmtId="0" fontId="8" fillId="0" borderId="215" xfId="0" applyFont="1" applyBorder="1" applyAlignment="1">
      <alignment horizontal="center" vertical="center"/>
    </xf>
    <xf numFmtId="0" fontId="10" fillId="10" borderId="83" xfId="0" applyFont="1" applyFill="1" applyBorder="1" applyAlignment="1">
      <alignment horizontal="left" vertical="center" wrapText="1"/>
    </xf>
    <xf numFmtId="4" fontId="10" fillId="0" borderId="15" xfId="0" applyNumberFormat="1" applyFont="1" applyBorder="1" applyAlignment="1">
      <alignment horizontal="center" vertical="center" wrapText="1"/>
    </xf>
    <xf numFmtId="4" fontId="10" fillId="10" borderId="16" xfId="0" applyNumberFormat="1" applyFont="1" applyFill="1" applyBorder="1" applyAlignment="1">
      <alignment horizontal="center" vertical="center"/>
    </xf>
    <xf numFmtId="0" fontId="8" fillId="0" borderId="77" xfId="0" applyFont="1" applyBorder="1" applyAlignment="1">
      <alignment horizontal="center"/>
    </xf>
    <xf numFmtId="0" fontId="8" fillId="0" borderId="0" xfId="0" applyFont="1" applyAlignment="1">
      <alignment horizontal="left" vertical="center" wrapText="1"/>
    </xf>
    <xf numFmtId="0" fontId="8" fillId="0" borderId="0" xfId="0" applyFont="1" applyAlignment="1">
      <alignment horizontal="center" vertical="center"/>
    </xf>
    <xf numFmtId="4" fontId="8" fillId="0" borderId="0" xfId="0" applyNumberFormat="1" applyFont="1" applyAlignment="1">
      <alignment horizontal="center" vertical="center"/>
    </xf>
    <xf numFmtId="169" fontId="8" fillId="0" borderId="21" xfId="0" applyNumberFormat="1" applyFont="1" applyBorder="1" applyAlignment="1">
      <alignment horizontal="left" vertical="center" wrapText="1"/>
    </xf>
    <xf numFmtId="4" fontId="8" fillId="8" borderId="77" xfId="0" applyNumberFormat="1" applyFont="1" applyFill="1" applyBorder="1" applyAlignment="1">
      <alignment horizontal="center" vertical="center"/>
    </xf>
    <xf numFmtId="169" fontId="8" fillId="8" borderId="21" xfId="0" applyNumberFormat="1" applyFont="1" applyFill="1" applyBorder="1" applyAlignment="1">
      <alignment horizontal="left" vertical="center" wrapText="1"/>
    </xf>
    <xf numFmtId="0" fontId="8" fillId="8" borderId="72" xfId="0" applyFont="1" applyFill="1" applyBorder="1" applyAlignment="1">
      <alignment horizontal="center" vertical="center"/>
    </xf>
    <xf numFmtId="0" fontId="8" fillId="8" borderId="72" xfId="0" applyFont="1" applyFill="1" applyBorder="1" applyAlignment="1">
      <alignment horizontal="left" vertical="center" wrapText="1"/>
    </xf>
    <xf numFmtId="4" fontId="8" fillId="8" borderId="72" xfId="0" applyNumberFormat="1" applyFont="1" applyFill="1" applyBorder="1" applyAlignment="1">
      <alignment horizontal="center" vertical="center"/>
    </xf>
    <xf numFmtId="169" fontId="8" fillId="8" borderId="74" xfId="0" applyNumberFormat="1" applyFont="1" applyFill="1" applyBorder="1" applyAlignment="1">
      <alignment horizontal="left" vertical="center" wrapText="1"/>
    </xf>
    <xf numFmtId="0" fontId="8" fillId="0" borderId="74" xfId="0" applyFont="1" applyBorder="1" applyAlignment="1">
      <alignment horizontal="center" vertical="center"/>
    </xf>
    <xf numFmtId="0" fontId="8" fillId="0" borderId="77" xfId="0" applyFont="1" applyBorder="1" applyAlignment="1">
      <alignment horizontal="center" vertical="center"/>
    </xf>
    <xf numFmtId="4" fontId="8" fillId="0" borderId="0" xfId="0" applyNumberFormat="1" applyFont="1" applyAlignment="1">
      <alignment horizontal="left" vertical="center" wrapText="1"/>
    </xf>
    <xf numFmtId="4" fontId="23" fillId="0" borderId="0" xfId="0" applyNumberFormat="1" applyFont="1" applyAlignment="1">
      <alignment horizontal="center" vertical="center"/>
    </xf>
    <xf numFmtId="4" fontId="8" fillId="8" borderId="77" xfId="0" applyNumberFormat="1" applyFont="1" applyFill="1" applyBorder="1" applyAlignment="1">
      <alignment horizontal="left" vertical="center" wrapText="1"/>
    </xf>
    <xf numFmtId="4" fontId="23" fillId="8" borderId="77" xfId="0" applyNumberFormat="1" applyFont="1" applyFill="1" applyBorder="1" applyAlignment="1">
      <alignment horizontal="center" vertical="center"/>
    </xf>
    <xf numFmtId="0" fontId="8" fillId="0" borderId="74" xfId="0" applyFont="1" applyBorder="1" applyAlignment="1">
      <alignment horizontal="left" vertical="center" wrapText="1"/>
    </xf>
    <xf numFmtId="49" fontId="110" fillId="0" borderId="104" xfId="0" applyNumberFormat="1" applyFont="1" applyBorder="1" applyAlignment="1">
      <alignment horizontal="center" vertical="center"/>
    </xf>
    <xf numFmtId="4" fontId="8" fillId="0" borderId="71" xfId="0" applyNumberFormat="1" applyFont="1" applyBorder="1" applyAlignment="1">
      <alignment horizontal="center" vertical="center"/>
    </xf>
    <xf numFmtId="0" fontId="30" fillId="0" borderId="216" xfId="0" applyFont="1" applyBorder="1" applyAlignment="1">
      <alignment horizontal="center" vertical="center"/>
    </xf>
    <xf numFmtId="0" fontId="8" fillId="0" borderId="207" xfId="0" applyFont="1" applyBorder="1" applyAlignment="1">
      <alignment horizontal="center" vertical="center"/>
    </xf>
    <xf numFmtId="190" fontId="8" fillId="35" borderId="74" xfId="0" applyNumberFormat="1" applyFont="1" applyFill="1" applyBorder="1" applyAlignment="1">
      <alignment horizontal="left" vertical="center"/>
    </xf>
    <xf numFmtId="49" fontId="8" fillId="0" borderId="69" xfId="0" applyNumberFormat="1" applyFont="1" applyBorder="1" applyAlignment="1">
      <alignment horizontal="center" vertical="center" wrapText="1"/>
    </xf>
    <xf numFmtId="0" fontId="8" fillId="10" borderId="0" xfId="0" applyFont="1" applyFill="1" applyAlignment="1">
      <alignment horizontal="center" vertical="center" wrapText="1"/>
    </xf>
    <xf numFmtId="0" fontId="8" fillId="0" borderId="0" xfId="0" applyFont="1" applyAlignment="1">
      <alignment horizontal="center" vertical="center" wrapText="1"/>
    </xf>
    <xf numFmtId="0" fontId="8" fillId="0" borderId="21" xfId="0" applyFont="1" applyBorder="1" applyAlignment="1">
      <alignment vertical="center" wrapText="1"/>
    </xf>
    <xf numFmtId="49" fontId="8" fillId="8" borderId="69" xfId="0" applyNumberFormat="1" applyFont="1" applyFill="1" applyBorder="1" applyAlignment="1">
      <alignment horizontal="center" vertical="center" wrapText="1"/>
    </xf>
    <xf numFmtId="0" fontId="8" fillId="8" borderId="109" xfId="0" applyFont="1" applyFill="1" applyBorder="1" applyAlignment="1">
      <alignment horizontal="left" vertical="center"/>
    </xf>
    <xf numFmtId="0" fontId="8" fillId="8" borderId="21" xfId="0" applyFont="1" applyFill="1" applyBorder="1" applyAlignment="1">
      <alignment horizontal="left" vertical="center"/>
    </xf>
    <xf numFmtId="49" fontId="8" fillId="0" borderId="20" xfId="0" applyNumberFormat="1" applyFont="1" applyBorder="1" applyAlignment="1">
      <alignment horizontal="center" vertical="center" wrapText="1"/>
    </xf>
    <xf numFmtId="4" fontId="10" fillId="0" borderId="16" xfId="0" applyNumberFormat="1" applyFont="1" applyBorder="1" applyAlignment="1">
      <alignment horizontal="center" vertical="center" wrapText="1"/>
    </xf>
    <xf numFmtId="49" fontId="8" fillId="0" borderId="50" xfId="0" applyNumberFormat="1" applyFont="1" applyBorder="1" applyAlignment="1">
      <alignment horizontal="center" vertical="center" wrapText="1"/>
    </xf>
    <xf numFmtId="0" fontId="8" fillId="0" borderId="51" xfId="0" applyFont="1" applyBorder="1" applyAlignment="1">
      <alignment horizontal="center" vertical="center"/>
    </xf>
    <xf numFmtId="0" fontId="8" fillId="0" borderId="51" xfId="0" applyFont="1" applyBorder="1" applyAlignment="1">
      <alignment horizontal="left" vertical="center" wrapText="1"/>
    </xf>
    <xf numFmtId="0" fontId="110" fillId="0" borderId="51" xfId="0" applyFont="1" applyBorder="1" applyAlignment="1">
      <alignment horizontal="center" vertical="center"/>
    </xf>
    <xf numFmtId="0" fontId="8" fillId="0" borderId="30" xfId="0" applyFont="1" applyBorder="1" applyAlignment="1">
      <alignment horizontal="left" vertical="center"/>
    </xf>
    <xf numFmtId="49" fontId="8" fillId="0" borderId="0" xfId="0" applyNumberFormat="1" applyFont="1" applyAlignment="1">
      <alignment horizontal="center" vertical="center" wrapText="1"/>
    </xf>
    <xf numFmtId="0" fontId="110" fillId="0" borderId="0" xfId="0" applyFont="1" applyAlignment="1">
      <alignment horizontal="center" vertical="center"/>
    </xf>
    <xf numFmtId="0" fontId="8" fillId="0" borderId="0" xfId="0" applyFont="1" applyAlignment="1">
      <alignment horizontal="left" vertical="center"/>
    </xf>
    <xf numFmtId="0" fontId="97" fillId="0" borderId="0" xfId="0" applyFont="1"/>
    <xf numFmtId="0" fontId="97" fillId="0" borderId="0" xfId="0" applyFont="1" applyAlignment="1">
      <alignment horizontal="center"/>
    </xf>
    <xf numFmtId="49" fontId="39" fillId="0" borderId="50" xfId="0" applyNumberFormat="1" applyFont="1" applyBorder="1" applyAlignment="1">
      <alignment horizontal="center" vertical="center" wrapText="1"/>
    </xf>
    <xf numFmtId="0" fontId="39" fillId="0" borderId="51" xfId="0" applyFont="1" applyBorder="1" applyAlignment="1">
      <alignment horizontal="center" vertical="center" wrapText="1"/>
    </xf>
    <xf numFmtId="4" fontId="39" fillId="0" borderId="51" xfId="0" applyNumberFormat="1" applyFont="1" applyBorder="1" applyAlignment="1">
      <alignment horizontal="center" vertical="center" wrapText="1"/>
    </xf>
    <xf numFmtId="4" fontId="39" fillId="0" borderId="51" xfId="0" applyNumberFormat="1" applyFont="1" applyBorder="1" applyAlignment="1">
      <alignment horizontal="center" vertical="center"/>
    </xf>
    <xf numFmtId="0" fontId="39" fillId="0" borderId="0" xfId="0" applyFont="1" applyAlignment="1">
      <alignment vertical="center"/>
    </xf>
    <xf numFmtId="0" fontId="39" fillId="0" borderId="0" xfId="0" applyFont="1" applyAlignment="1">
      <alignment horizontal="center" vertical="center"/>
    </xf>
    <xf numFmtId="49" fontId="39" fillId="36" borderId="20" xfId="0" applyNumberFormat="1" applyFont="1" applyFill="1" applyBorder="1" applyAlignment="1">
      <alignment horizontal="left" vertical="center"/>
    </xf>
    <xf numFmtId="0" fontId="70" fillId="36" borderId="0" xfId="0" applyFont="1" applyFill="1"/>
    <xf numFmtId="172" fontId="70" fillId="36" borderId="0" xfId="0" applyNumberFormat="1" applyFont="1" applyFill="1" applyAlignment="1">
      <alignment horizontal="center" wrapText="1"/>
    </xf>
    <xf numFmtId="4" fontId="70" fillId="36" borderId="0" xfId="0" applyNumberFormat="1" applyFont="1" applyFill="1" applyAlignment="1">
      <alignment horizontal="center" wrapText="1"/>
    </xf>
    <xf numFmtId="4" fontId="70" fillId="36" borderId="0" xfId="0" applyNumberFormat="1" applyFont="1" applyFill="1" applyAlignment="1">
      <alignment horizontal="center"/>
    </xf>
    <xf numFmtId="4" fontId="70" fillId="36" borderId="21" xfId="0" applyNumberFormat="1" applyFont="1" applyFill="1" applyBorder="1" applyAlignment="1">
      <alignment horizontal="center"/>
    </xf>
    <xf numFmtId="0" fontId="106" fillId="19" borderId="105" xfId="0" applyFont="1" applyFill="1" applyBorder="1" applyAlignment="1">
      <alignment horizontal="center" vertical="center"/>
    </xf>
    <xf numFmtId="0" fontId="58" fillId="19" borderId="105" xfId="0" applyFont="1" applyFill="1" applyBorder="1" applyAlignment="1">
      <alignment horizontal="left" vertical="center" wrapText="1"/>
    </xf>
    <xf numFmtId="4" fontId="106" fillId="19" borderId="105" xfId="0" applyNumberFormat="1" applyFont="1" applyFill="1" applyBorder="1" applyAlignment="1">
      <alignment horizontal="center" vertical="center" wrapText="1"/>
    </xf>
    <xf numFmtId="4" fontId="106" fillId="19" borderId="105" xfId="0" applyNumberFormat="1" applyFont="1" applyFill="1" applyBorder="1" applyAlignment="1">
      <alignment horizontal="center" vertical="center"/>
    </xf>
    <xf numFmtId="4" fontId="106" fillId="19" borderId="106" xfId="0" applyNumberFormat="1" applyFont="1" applyFill="1" applyBorder="1" applyAlignment="1">
      <alignment horizontal="center" vertical="center" wrapText="1"/>
    </xf>
    <xf numFmtId="0" fontId="10" fillId="3" borderId="0" xfId="0" applyFont="1" applyFill="1" applyAlignment="1">
      <alignment vertical="center"/>
    </xf>
    <xf numFmtId="172" fontId="39" fillId="3" borderId="0" xfId="0" applyNumberFormat="1" applyFont="1" applyFill="1"/>
    <xf numFmtId="172" fontId="39" fillId="3" borderId="0" xfId="0" applyNumberFormat="1" applyFont="1" applyFill="1" applyAlignment="1">
      <alignment horizontal="center" vertical="center" wrapText="1"/>
    </xf>
    <xf numFmtId="172" fontId="39" fillId="3" borderId="0" xfId="0" applyNumberFormat="1" applyFont="1" applyFill="1" applyAlignment="1">
      <alignment horizontal="center" vertical="center"/>
    </xf>
    <xf numFmtId="172" fontId="39" fillId="3" borderId="21" xfId="0" applyNumberFormat="1" applyFont="1" applyFill="1" applyBorder="1"/>
    <xf numFmtId="0" fontId="71" fillId="0" borderId="0" xfId="0" applyFont="1" applyAlignment="1">
      <alignment horizontal="left" vertical="center" wrapText="1"/>
    </xf>
    <xf numFmtId="4" fontId="71" fillId="0" borderId="0" xfId="0" applyNumberFormat="1" applyFont="1" applyAlignment="1">
      <alignment horizontal="center" vertical="center" wrapText="1"/>
    </xf>
    <xf numFmtId="0" fontId="10" fillId="0" borderId="21" xfId="0" applyFont="1" applyBorder="1" applyAlignment="1">
      <alignment horizontal="center" vertical="center"/>
    </xf>
    <xf numFmtId="0" fontId="10" fillId="8" borderId="20" xfId="0" applyFont="1" applyFill="1" applyBorder="1" applyAlignment="1">
      <alignment horizontal="center" vertical="center"/>
    </xf>
    <xf numFmtId="4" fontId="71" fillId="8" borderId="0" xfId="0" applyNumberFormat="1" applyFont="1" applyFill="1" applyAlignment="1">
      <alignment horizontal="center" vertical="center" wrapText="1"/>
    </xf>
    <xf numFmtId="0" fontId="10" fillId="8" borderId="21" xfId="0" applyFont="1" applyFill="1" applyBorder="1" applyAlignment="1">
      <alignment horizontal="center" vertical="center"/>
    </xf>
    <xf numFmtId="0" fontId="10" fillId="10" borderId="0" xfId="0" applyFont="1" applyFill="1" applyAlignment="1">
      <alignment vertical="center"/>
    </xf>
    <xf numFmtId="0" fontId="51" fillId="0" borderId="20" xfId="0" applyFont="1" applyBorder="1" applyAlignment="1">
      <alignment horizontal="center" vertical="center"/>
    </xf>
    <xf numFmtId="0" fontId="51" fillId="0" borderId="79" xfId="0" applyFont="1" applyBorder="1" applyAlignment="1">
      <alignment horizontal="center" vertical="center"/>
    </xf>
    <xf numFmtId="0" fontId="51" fillId="0" borderId="18" xfId="0" applyFont="1" applyBorder="1" applyAlignment="1">
      <alignment horizontal="center" vertical="center"/>
    </xf>
    <xf numFmtId="0" fontId="51" fillId="0" borderId="18" xfId="0" applyFont="1" applyBorder="1" applyAlignment="1">
      <alignment horizontal="left" vertical="center" wrapText="1"/>
    </xf>
    <xf numFmtId="0" fontId="51" fillId="0" borderId="18" xfId="0" applyFont="1" applyBorder="1" applyAlignment="1">
      <alignment horizontal="center" vertical="center" wrapText="1"/>
    </xf>
    <xf numFmtId="4" fontId="111" fillId="0" borderId="80" xfId="0" applyNumberFormat="1" applyFont="1" applyBorder="1" applyAlignment="1">
      <alignment horizontal="center" vertical="center"/>
    </xf>
    <xf numFmtId="0" fontId="51" fillId="0" borderId="0" xfId="0" applyFont="1" applyAlignment="1">
      <alignment horizontal="center" vertical="center"/>
    </xf>
    <xf numFmtId="0" fontId="51" fillId="0" borderId="21" xfId="0" applyFont="1" applyBorder="1" applyAlignment="1">
      <alignment horizontal="center" vertical="center"/>
    </xf>
    <xf numFmtId="0" fontId="51" fillId="0" borderId="83" xfId="0" applyFont="1" applyBorder="1" applyAlignment="1">
      <alignment horizontal="center" vertical="center"/>
    </xf>
    <xf numFmtId="0" fontId="51" fillId="0" borderId="15" xfId="0" applyFont="1" applyBorder="1" applyAlignment="1">
      <alignment horizontal="center" vertical="center"/>
    </xf>
    <xf numFmtId="4" fontId="51" fillId="0" borderId="15" xfId="0" applyNumberFormat="1" applyFont="1" applyBorder="1" applyAlignment="1">
      <alignment horizontal="left" vertical="center" wrapText="1"/>
    </xf>
    <xf numFmtId="0" fontId="51" fillId="0" borderId="15" xfId="0" applyFont="1" applyBorder="1" applyAlignment="1">
      <alignment horizontal="center" vertical="center" wrapText="1"/>
    </xf>
    <xf numFmtId="4" fontId="111" fillId="0" borderId="61" xfId="0" applyNumberFormat="1" applyFont="1" applyBorder="1" applyAlignment="1">
      <alignment horizontal="center" vertical="center"/>
    </xf>
    <xf numFmtId="0" fontId="112" fillId="0" borderId="18" xfId="0" applyFont="1" applyBorder="1"/>
    <xf numFmtId="0" fontId="112" fillId="0" borderId="80" xfId="0" applyFont="1" applyBorder="1"/>
    <xf numFmtId="4" fontId="51" fillId="0" borderId="81" xfId="0" applyNumberFormat="1" applyFont="1" applyBorder="1" applyAlignment="1">
      <alignment horizontal="center" vertical="center"/>
    </xf>
    <xf numFmtId="0" fontId="51" fillId="0" borderId="0" xfId="0" applyFont="1" applyAlignment="1">
      <alignment horizontal="left" vertical="center" wrapText="1"/>
    </xf>
    <xf numFmtId="0" fontId="112" fillId="0" borderId="0" xfId="0" applyFont="1"/>
    <xf numFmtId="0" fontId="112" fillId="0" borderId="82" xfId="0" applyFont="1" applyBorder="1"/>
    <xf numFmtId="0" fontId="51" fillId="0" borderId="81" xfId="0" applyFont="1" applyBorder="1" applyAlignment="1">
      <alignment horizontal="center" vertical="center"/>
    </xf>
    <xf numFmtId="0" fontId="111" fillId="0" borderId="0" xfId="0" applyFont="1" applyAlignment="1">
      <alignment horizontal="left" vertical="center" wrapText="1"/>
    </xf>
    <xf numFmtId="4" fontId="51" fillId="0" borderId="15" xfId="0" applyNumberFormat="1" applyFont="1" applyBorder="1" applyAlignment="1">
      <alignment horizontal="center" vertical="center"/>
    </xf>
    <xf numFmtId="4" fontId="111" fillId="0" borderId="15" xfId="0" applyNumberFormat="1" applyFont="1" applyBorder="1" applyAlignment="1">
      <alignment horizontal="left" vertical="center" wrapText="1"/>
    </xf>
    <xf numFmtId="0" fontId="112" fillId="0" borderId="15" xfId="0" applyFont="1" applyBorder="1"/>
    <xf numFmtId="0" fontId="112" fillId="0" borderId="61" xfId="0" applyFont="1" applyBorder="1"/>
    <xf numFmtId="49" fontId="51" fillId="10" borderId="20" xfId="0" applyNumberFormat="1" applyFont="1" applyFill="1" applyBorder="1" applyAlignment="1">
      <alignment horizontal="center" vertical="center" wrapText="1"/>
    </xf>
    <xf numFmtId="0" fontId="113" fillId="10" borderId="18" xfId="0" applyFont="1" applyFill="1" applyBorder="1" applyAlignment="1">
      <alignment horizontal="left" vertical="center" wrapText="1"/>
    </xf>
    <xf numFmtId="4" fontId="114" fillId="10" borderId="80" xfId="0" applyNumberFormat="1" applyFont="1" applyFill="1" applyBorder="1" applyAlignment="1">
      <alignment horizontal="center" vertical="center" wrapText="1"/>
    </xf>
    <xf numFmtId="172" fontId="111" fillId="0" borderId="0" xfId="0" applyNumberFormat="1" applyFont="1" applyAlignment="1">
      <alignment wrapText="1"/>
    </xf>
    <xf numFmtId="172" fontId="51" fillId="0" borderId="21" xfId="0" applyNumberFormat="1" applyFont="1" applyBorder="1"/>
    <xf numFmtId="4" fontId="51" fillId="0" borderId="0" xfId="0" applyNumberFormat="1" applyFont="1"/>
    <xf numFmtId="172" fontId="51" fillId="0" borderId="0" xfId="0" applyNumberFormat="1" applyFont="1"/>
    <xf numFmtId="49" fontId="111" fillId="0" borderId="0" xfId="0" applyNumberFormat="1" applyFont="1" applyAlignment="1">
      <alignment horizontal="center"/>
    </xf>
    <xf numFmtId="4" fontId="51" fillId="0" borderId="15" xfId="0" applyNumberFormat="1" applyFont="1" applyBorder="1" applyAlignment="1">
      <alignment horizontal="center" vertical="center" wrapText="1"/>
    </xf>
    <xf numFmtId="0" fontId="113" fillId="10" borderId="15" xfId="0" applyFont="1" applyFill="1" applyBorder="1" applyAlignment="1">
      <alignment horizontal="left" vertical="center" wrapText="1"/>
    </xf>
    <xf numFmtId="4" fontId="114" fillId="10" borderId="61" xfId="0" applyNumberFormat="1" applyFont="1" applyFill="1" applyBorder="1" applyAlignment="1">
      <alignment horizontal="center" vertical="center" wrapText="1"/>
    </xf>
    <xf numFmtId="49" fontId="30" fillId="3" borderId="20" xfId="0" applyNumberFormat="1" applyFont="1" applyFill="1" applyBorder="1" applyAlignment="1">
      <alignment horizontal="center" wrapText="1"/>
    </xf>
    <xf numFmtId="0" fontId="9" fillId="3" borderId="0" xfId="0" applyFont="1" applyFill="1"/>
    <xf numFmtId="172" fontId="30" fillId="3" borderId="0" xfId="0" applyNumberFormat="1" applyFont="1" applyFill="1"/>
    <xf numFmtId="172" fontId="9" fillId="3" borderId="0" xfId="0" applyNumberFormat="1" applyFont="1" applyFill="1"/>
    <xf numFmtId="172" fontId="9" fillId="3" borderId="21" xfId="0" applyNumberFormat="1" applyFont="1" applyFill="1" applyBorder="1"/>
    <xf numFmtId="0" fontId="30" fillId="0" borderId="0" xfId="0" applyFont="1"/>
    <xf numFmtId="172" fontId="8" fillId="0" borderId="0" xfId="0" applyNumberFormat="1" applyFont="1" applyAlignment="1">
      <alignment wrapText="1"/>
    </xf>
    <xf numFmtId="172" fontId="71" fillId="0" borderId="0" xfId="0" applyNumberFormat="1" applyFont="1" applyAlignment="1">
      <alignment horizontal="left" vertical="center" wrapText="1"/>
    </xf>
    <xf numFmtId="0" fontId="111" fillId="0" borderId="15" xfId="0" applyFont="1" applyBorder="1" applyAlignment="1">
      <alignment horizontal="left" vertical="center" wrapText="1"/>
    </xf>
    <xf numFmtId="49" fontId="51" fillId="0" borderId="20" xfId="0" applyNumberFormat="1" applyFont="1" applyBorder="1" applyAlignment="1">
      <alignment horizontal="center" vertical="center" wrapText="1"/>
    </xf>
    <xf numFmtId="0" fontId="113" fillId="0" borderId="15" xfId="0" applyFont="1" applyBorder="1" applyAlignment="1">
      <alignment horizontal="left" vertical="center" wrapText="1"/>
    </xf>
    <xf numFmtId="4" fontId="114" fillId="0" borderId="61" xfId="0" applyNumberFormat="1" applyFont="1" applyBorder="1" applyAlignment="1">
      <alignment horizontal="center" vertical="center" wrapText="1"/>
    </xf>
    <xf numFmtId="4" fontId="10" fillId="0" borderId="0" xfId="0" applyNumberFormat="1" applyFont="1"/>
    <xf numFmtId="0" fontId="10" fillId="3" borderId="21" xfId="0" applyFont="1" applyFill="1" applyBorder="1" applyAlignment="1">
      <alignment vertical="center"/>
    </xf>
    <xf numFmtId="0" fontId="70" fillId="36" borderId="0" xfId="0" applyFont="1" applyFill="1" applyAlignment="1">
      <alignment vertical="center"/>
    </xf>
    <xf numFmtId="172" fontId="70" fillId="36" borderId="0" xfId="0" applyNumberFormat="1" applyFont="1" applyFill="1"/>
    <xf numFmtId="172" fontId="10" fillId="36" borderId="0" xfId="0" applyNumberFormat="1" applyFont="1" applyFill="1" applyAlignment="1">
      <alignment horizontal="center" vertical="center" wrapText="1"/>
    </xf>
    <xf numFmtId="2" fontId="70" fillId="36" borderId="0" xfId="0" applyNumberFormat="1" applyFont="1" applyFill="1" applyAlignment="1">
      <alignment horizontal="center" vertical="center"/>
    </xf>
    <xf numFmtId="169" fontId="70" fillId="36" borderId="0" xfId="0" applyNumberFormat="1" applyFont="1" applyFill="1" applyAlignment="1">
      <alignment wrapText="1"/>
    </xf>
    <xf numFmtId="169" fontId="70" fillId="36" borderId="0" xfId="0" applyNumberFormat="1" applyFont="1" applyFill="1"/>
    <xf numFmtId="169" fontId="70" fillId="36" borderId="21" xfId="0" applyNumberFormat="1" applyFont="1" applyFill="1" applyBorder="1"/>
    <xf numFmtId="0" fontId="39" fillId="3" borderId="0" xfId="0" applyFont="1" applyFill="1" applyAlignment="1">
      <alignment vertical="top"/>
    </xf>
    <xf numFmtId="0" fontId="39" fillId="3" borderId="0" xfId="0" applyFont="1" applyFill="1" applyAlignment="1">
      <alignment horizontal="left" vertical="top" wrapText="1"/>
    </xf>
    <xf numFmtId="4" fontId="10" fillId="3" borderId="0" xfId="0" applyNumberFormat="1" applyFont="1" applyFill="1" applyAlignment="1">
      <alignment horizontal="center" vertical="top" wrapText="1"/>
    </xf>
    <xf numFmtId="4" fontId="10" fillId="3" borderId="0" xfId="0" applyNumberFormat="1" applyFont="1" applyFill="1" applyAlignment="1">
      <alignment horizontal="center" vertical="top"/>
    </xf>
    <xf numFmtId="4" fontId="10" fillId="3" borderId="21" xfId="0" applyNumberFormat="1" applyFont="1" applyFill="1" applyBorder="1" applyAlignment="1">
      <alignment horizontal="center" vertical="top"/>
    </xf>
    <xf numFmtId="0" fontId="115" fillId="37" borderId="0" xfId="0" applyFont="1" applyFill="1" applyAlignment="1">
      <alignment horizontal="center" vertical="center"/>
    </xf>
    <xf numFmtId="165" fontId="39" fillId="0" borderId="0" xfId="0" applyNumberFormat="1" applyFont="1" applyAlignment="1">
      <alignment horizontal="center" vertical="center"/>
    </xf>
    <xf numFmtId="49" fontId="10" fillId="8" borderId="20" xfId="0" applyNumberFormat="1" applyFont="1" applyFill="1" applyBorder="1" applyAlignment="1">
      <alignment horizontal="center" vertical="center" wrapText="1"/>
    </xf>
    <xf numFmtId="4" fontId="62" fillId="8" borderId="0" xfId="0" applyNumberFormat="1" applyFont="1" applyFill="1" applyAlignment="1">
      <alignment horizontal="center" vertical="center" wrapText="1"/>
    </xf>
    <xf numFmtId="4" fontId="10" fillId="8" borderId="0" xfId="0" applyNumberFormat="1" applyFont="1" applyFill="1" applyAlignment="1">
      <alignment horizontal="center" vertical="center" wrapText="1"/>
    </xf>
    <xf numFmtId="4" fontId="10" fillId="8" borderId="21" xfId="0" applyNumberFormat="1" applyFont="1" applyFill="1" applyBorder="1" applyAlignment="1">
      <alignment horizontal="center" vertical="center" wrapText="1"/>
    </xf>
    <xf numFmtId="0" fontId="26" fillId="3" borderId="0" xfId="0" applyFont="1" applyFill="1" applyAlignment="1">
      <alignment horizontal="center" vertical="center"/>
    </xf>
    <xf numFmtId="0" fontId="60" fillId="10" borderId="79" xfId="0" applyFont="1" applyFill="1" applyBorder="1" applyAlignment="1">
      <alignment horizontal="center" wrapText="1"/>
    </xf>
    <xf numFmtId="4" fontId="60" fillId="0" borderId="18" xfId="0" applyNumberFormat="1" applyFont="1" applyBorder="1" applyAlignment="1">
      <alignment horizontal="center" wrapText="1"/>
    </xf>
    <xf numFmtId="4" fontId="60" fillId="0" borderId="18" xfId="0" applyNumberFormat="1" applyFont="1" applyBorder="1" applyAlignment="1">
      <alignment horizontal="center"/>
    </xf>
    <xf numFmtId="4" fontId="60" fillId="0" borderId="19" xfId="0" applyNumberFormat="1" applyFont="1" applyBorder="1" applyAlignment="1">
      <alignment horizontal="center"/>
    </xf>
    <xf numFmtId="0" fontId="71" fillId="0" borderId="83" xfId="0" applyFont="1" applyBorder="1" applyAlignment="1">
      <alignment horizontal="center" wrapText="1"/>
    </xf>
    <xf numFmtId="4" fontId="71" fillId="10" borderId="15" xfId="0" applyNumberFormat="1" applyFont="1" applyFill="1" applyBorder="1" applyAlignment="1">
      <alignment horizontal="center" wrapText="1"/>
    </xf>
    <xf numFmtId="4" fontId="71" fillId="10" borderId="15" xfId="0" applyNumberFormat="1" applyFont="1" applyFill="1" applyBorder="1" applyAlignment="1">
      <alignment horizontal="center"/>
    </xf>
    <xf numFmtId="4" fontId="71" fillId="10" borderId="16" xfId="0" applyNumberFormat="1" applyFont="1" applyFill="1" applyBorder="1" applyAlignment="1">
      <alignment horizontal="center"/>
    </xf>
    <xf numFmtId="4" fontId="69" fillId="0" borderId="0" xfId="0" applyNumberFormat="1" applyFont="1" applyAlignment="1">
      <alignment horizontal="center" wrapText="1"/>
    </xf>
    <xf numFmtId="4" fontId="69" fillId="0" borderId="0" xfId="0" applyNumberFormat="1" applyFont="1" applyAlignment="1">
      <alignment horizontal="center"/>
    </xf>
    <xf numFmtId="4" fontId="69" fillId="0" borderId="21" xfId="0" applyNumberFormat="1" applyFont="1" applyBorder="1" applyAlignment="1">
      <alignment horizontal="center"/>
    </xf>
    <xf numFmtId="0" fontId="69" fillId="0" borderId="20" xfId="0" applyFont="1" applyBorder="1"/>
    <xf numFmtId="49" fontId="25" fillId="0" borderId="20" xfId="0" applyNumberFormat="1" applyFont="1" applyBorder="1" applyAlignment="1">
      <alignment horizontal="center" vertical="center" wrapText="1"/>
    </xf>
    <xf numFmtId="0" fontId="116" fillId="0" borderId="0" xfId="0" applyFont="1" applyAlignment="1">
      <alignment horizontal="left" vertical="center" wrapText="1"/>
    </xf>
    <xf numFmtId="4" fontId="116" fillId="0" borderId="0" xfId="0" applyNumberFormat="1" applyFont="1" applyAlignment="1">
      <alignment horizontal="center" vertical="center" wrapText="1"/>
    </xf>
    <xf numFmtId="4" fontId="25" fillId="0" borderId="0" xfId="0" applyNumberFormat="1" applyFont="1" applyAlignment="1">
      <alignment horizontal="center" vertical="center" wrapText="1"/>
    </xf>
    <xf numFmtId="4" fontId="25" fillId="0" borderId="21" xfId="0" applyNumberFormat="1" applyFont="1" applyBorder="1" applyAlignment="1">
      <alignment horizontal="center" vertical="center" wrapText="1"/>
    </xf>
    <xf numFmtId="0" fontId="25" fillId="0" borderId="0" xfId="0" applyFont="1" applyAlignment="1">
      <alignment horizontal="center" vertical="center"/>
    </xf>
    <xf numFmtId="4" fontId="62" fillId="0" borderId="0" xfId="0" applyNumberFormat="1" applyFont="1" applyAlignment="1">
      <alignment horizontal="center" vertical="center" wrapText="1"/>
    </xf>
    <xf numFmtId="4" fontId="10" fillId="0" borderId="21" xfId="0" applyNumberFormat="1" applyFont="1" applyBorder="1" applyAlignment="1">
      <alignment horizontal="center" vertical="center" wrapText="1"/>
    </xf>
    <xf numFmtId="0" fontId="10" fillId="10" borderId="0" xfId="0" applyFont="1" applyFill="1" applyAlignment="1">
      <alignment horizontal="center"/>
    </xf>
    <xf numFmtId="0" fontId="117" fillId="0" borderId="81" xfId="0" applyFont="1" applyBorder="1" applyAlignment="1">
      <alignment horizontal="center" vertical="center" wrapText="1"/>
    </xf>
    <xf numFmtId="4" fontId="118" fillId="0" borderId="0" xfId="0" applyNumberFormat="1" applyFont="1" applyAlignment="1">
      <alignment horizontal="center" wrapText="1"/>
    </xf>
    <xf numFmtId="4" fontId="117" fillId="0" borderId="0" xfId="0" applyNumberFormat="1" applyFont="1" applyAlignment="1">
      <alignment horizontal="center" vertical="center" wrapText="1"/>
    </xf>
    <xf numFmtId="4" fontId="117" fillId="0" borderId="21" xfId="0" applyNumberFormat="1" applyFont="1" applyBorder="1" applyAlignment="1">
      <alignment horizontal="center" vertical="center" wrapText="1"/>
    </xf>
    <xf numFmtId="0" fontId="117" fillId="0" borderId="83" xfId="0" applyFont="1" applyBorder="1" applyAlignment="1">
      <alignment horizontal="center" vertical="center" wrapText="1"/>
    </xf>
    <xf numFmtId="4" fontId="117" fillId="0" borderId="15" xfId="0" applyNumberFormat="1" applyFont="1" applyBorder="1" applyAlignment="1">
      <alignment horizontal="center" vertical="center" wrapText="1"/>
    </xf>
    <xf numFmtId="4" fontId="117" fillId="0" borderId="16" xfId="0" applyNumberFormat="1" applyFont="1" applyBorder="1" applyAlignment="1">
      <alignment horizontal="center" vertical="center" wrapText="1"/>
    </xf>
    <xf numFmtId="0" fontId="10" fillId="0" borderId="81" xfId="0" applyFont="1" applyBorder="1" applyAlignment="1">
      <alignment horizontal="center" vertical="center" wrapText="1"/>
    </xf>
    <xf numFmtId="0" fontId="71" fillId="10" borderId="81" xfId="0" applyFont="1" applyFill="1" applyBorder="1" applyAlignment="1">
      <alignment horizontal="center" wrapText="1"/>
    </xf>
    <xf numFmtId="4" fontId="71" fillId="10" borderId="0" xfId="0" applyNumberFormat="1" applyFont="1" applyFill="1" applyAlignment="1">
      <alignment horizontal="center" wrapText="1"/>
    </xf>
    <xf numFmtId="4" fontId="71" fillId="10" borderId="0" xfId="0" applyNumberFormat="1" applyFont="1" applyFill="1" applyAlignment="1">
      <alignment horizontal="center"/>
    </xf>
    <xf numFmtId="0" fontId="10" fillId="0" borderId="83" xfId="0" applyFont="1" applyBorder="1" applyAlignment="1">
      <alignment horizontal="center" vertical="center" wrapText="1"/>
    </xf>
    <xf numFmtId="49" fontId="10" fillId="8" borderId="20" xfId="0" applyNumberFormat="1" applyFont="1" applyFill="1" applyBorder="1" applyAlignment="1">
      <alignment horizontal="center"/>
    </xf>
    <xf numFmtId="4" fontId="76" fillId="8" borderId="0" xfId="0" applyNumberFormat="1" applyFont="1" applyFill="1" applyAlignment="1">
      <alignment horizontal="center" vertical="center" wrapText="1"/>
    </xf>
    <xf numFmtId="4" fontId="39" fillId="0" borderId="18" xfId="0" applyNumberFormat="1" applyFont="1" applyBorder="1" applyAlignment="1">
      <alignment horizontal="center" vertical="center"/>
    </xf>
    <xf numFmtId="4" fontId="39" fillId="0" borderId="19" xfId="0" applyNumberFormat="1" applyFont="1" applyBorder="1" applyAlignment="1">
      <alignment horizontal="center" vertical="center" wrapText="1"/>
    </xf>
    <xf numFmtId="0" fontId="71" fillId="10" borderId="83" xfId="0" applyFont="1" applyFill="1" applyBorder="1" applyAlignment="1">
      <alignment horizontal="center" wrapText="1"/>
    </xf>
    <xf numFmtId="0" fontId="71" fillId="10" borderId="0" xfId="0" applyFont="1" applyFill="1" applyAlignment="1">
      <alignment horizontal="center" wrapText="1"/>
    </xf>
    <xf numFmtId="4" fontId="71" fillId="10" borderId="21" xfId="0" applyNumberFormat="1" applyFont="1" applyFill="1" applyBorder="1" applyAlignment="1">
      <alignment horizontal="center"/>
    </xf>
    <xf numFmtId="4" fontId="71" fillId="8" borderId="0" xfId="0" applyNumberFormat="1" applyFont="1" applyFill="1" applyAlignment="1">
      <alignment horizontal="center" wrapText="1"/>
    </xf>
    <xf numFmtId="4" fontId="71" fillId="8" borderId="0" xfId="0" applyNumberFormat="1" applyFont="1" applyFill="1" applyAlignment="1">
      <alignment horizontal="center"/>
    </xf>
    <xf numFmtId="4" fontId="71" fillId="8" borderId="21" xfId="0" applyNumberFormat="1" applyFont="1" applyFill="1" applyBorder="1" applyAlignment="1">
      <alignment horizontal="center"/>
    </xf>
    <xf numFmtId="4" fontId="119" fillId="8" borderId="0" xfId="0" applyNumberFormat="1" applyFont="1" applyFill="1" applyAlignment="1">
      <alignment horizontal="center" vertical="center" wrapText="1"/>
    </xf>
    <xf numFmtId="4" fontId="119" fillId="8" borderId="21" xfId="0" applyNumberFormat="1" applyFont="1" applyFill="1" applyBorder="1" applyAlignment="1">
      <alignment horizontal="center" vertical="center" wrapText="1"/>
    </xf>
    <xf numFmtId="0" fontId="39" fillId="0" borderId="79" xfId="0" applyFont="1" applyBorder="1" applyAlignment="1">
      <alignment horizontal="center" vertical="center" wrapText="1"/>
    </xf>
    <xf numFmtId="4" fontId="10" fillId="0" borderId="15" xfId="0" applyNumberFormat="1" applyFont="1" applyBorder="1" applyAlignment="1">
      <alignment horizontal="center" vertical="center"/>
    </xf>
    <xf numFmtId="49" fontId="119" fillId="0" borderId="20" xfId="0" applyNumberFormat="1" applyFont="1" applyBorder="1" applyAlignment="1">
      <alignment horizontal="center"/>
    </xf>
    <xf numFmtId="0" fontId="119" fillId="0" borderId="0" xfId="0" applyFont="1" applyAlignment="1">
      <alignment horizontal="center" vertical="center"/>
    </xf>
    <xf numFmtId="0" fontId="119" fillId="0" borderId="0" xfId="0" applyFont="1" applyAlignment="1">
      <alignment horizontal="left" vertical="center" wrapText="1"/>
    </xf>
    <xf numFmtId="4" fontId="119" fillId="0" borderId="0" xfId="0" applyNumberFormat="1" applyFont="1" applyAlignment="1">
      <alignment horizontal="center" vertical="center" wrapText="1"/>
    </xf>
    <xf numFmtId="0" fontId="115" fillId="0" borderId="0" xfId="0" applyFont="1" applyAlignment="1">
      <alignment horizontal="center" vertical="center"/>
    </xf>
    <xf numFmtId="0" fontId="68" fillId="0" borderId="0" xfId="0" applyFont="1" applyAlignment="1">
      <alignment horizontal="center" vertical="center"/>
    </xf>
    <xf numFmtId="0" fontId="10" fillId="0" borderId="15" xfId="0" applyFont="1" applyBorder="1" applyAlignment="1">
      <alignment horizontal="center" wrapText="1"/>
    </xf>
    <xf numFmtId="0" fontId="10" fillId="0" borderId="0" xfId="0" applyFont="1" applyAlignment="1">
      <alignment horizontal="center" wrapText="1"/>
    </xf>
    <xf numFmtId="49" fontId="10" fillId="10" borderId="20" xfId="0" applyNumberFormat="1" applyFont="1" applyFill="1" applyBorder="1" applyAlignment="1">
      <alignment horizontal="center"/>
    </xf>
    <xf numFmtId="0" fontId="71" fillId="10" borderId="0" xfId="0" applyFont="1" applyFill="1" applyAlignment="1">
      <alignment horizontal="left" vertical="center" wrapText="1"/>
    </xf>
    <xf numFmtId="4" fontId="71" fillId="10" borderId="0" xfId="0" applyNumberFormat="1" applyFont="1" applyFill="1" applyAlignment="1">
      <alignment horizontal="center" vertical="center" wrapText="1"/>
    </xf>
    <xf numFmtId="4" fontId="10" fillId="10" borderId="0" xfId="0" applyNumberFormat="1" applyFont="1" applyFill="1" applyAlignment="1">
      <alignment horizontal="center" vertical="center" wrapText="1"/>
    </xf>
    <xf numFmtId="4" fontId="10" fillId="10" borderId="21" xfId="0" applyNumberFormat="1" applyFont="1" applyFill="1" applyBorder="1" applyAlignment="1">
      <alignment horizontal="center" vertical="center" wrapText="1"/>
    </xf>
    <xf numFmtId="0" fontId="9" fillId="3" borderId="0" xfId="0" applyFont="1" applyFill="1" applyAlignment="1">
      <alignment vertical="top"/>
    </xf>
    <xf numFmtId="0" fontId="30" fillId="3" borderId="0" xfId="0" applyFont="1" applyFill="1" applyAlignment="1">
      <alignment vertical="top" wrapText="1"/>
    </xf>
    <xf numFmtId="4" fontId="68" fillId="8" borderId="0" xfId="0" applyNumberFormat="1" applyFont="1" applyFill="1" applyAlignment="1">
      <alignment horizontal="center"/>
    </xf>
    <xf numFmtId="4" fontId="9" fillId="8" borderId="0" xfId="0" applyNumberFormat="1" applyFont="1" applyFill="1"/>
    <xf numFmtId="4" fontId="9" fillId="8" borderId="21" xfId="0" applyNumberFormat="1" applyFont="1" applyFill="1" applyBorder="1"/>
    <xf numFmtId="0" fontId="30" fillId="0" borderId="79" xfId="0" applyFont="1" applyBorder="1" applyAlignment="1">
      <alignment horizontal="center" wrapText="1"/>
    </xf>
    <xf numFmtId="4" fontId="30" fillId="0" borderId="18" xfId="0" applyNumberFormat="1" applyFont="1" applyBorder="1" applyAlignment="1">
      <alignment horizontal="center" wrapText="1"/>
    </xf>
    <xf numFmtId="4" fontId="30" fillId="0" borderId="18" xfId="0" applyNumberFormat="1" applyFont="1" applyBorder="1" applyAlignment="1">
      <alignment horizontal="center"/>
    </xf>
    <xf numFmtId="4" fontId="30" fillId="0" borderId="19" xfId="0" applyNumberFormat="1" applyFont="1" applyBorder="1" applyAlignment="1">
      <alignment horizontal="center" wrapText="1"/>
    </xf>
    <xf numFmtId="0" fontId="8" fillId="0" borderId="83" xfId="0" applyFont="1" applyBorder="1" applyAlignment="1">
      <alignment horizontal="center" wrapText="1"/>
    </xf>
    <xf numFmtId="4" fontId="9" fillId="10" borderId="15" xfId="0" applyNumberFormat="1" applyFont="1" applyFill="1" applyBorder="1"/>
    <xf numFmtId="4" fontId="9" fillId="10" borderId="15" xfId="0" applyNumberFormat="1" applyFont="1" applyFill="1" applyBorder="1" applyAlignment="1">
      <alignment horizontal="center"/>
    </xf>
    <xf numFmtId="4" fontId="8" fillId="0" borderId="15" xfId="0" applyNumberFormat="1" applyFont="1" applyBorder="1" applyAlignment="1">
      <alignment horizontal="center" wrapText="1"/>
    </xf>
    <xf numFmtId="4" fontId="8" fillId="0" borderId="16" xfId="0" applyNumberFormat="1" applyFont="1" applyBorder="1" applyAlignment="1">
      <alignment horizontal="center" wrapText="1"/>
    </xf>
    <xf numFmtId="4" fontId="9" fillId="0" borderId="15" xfId="0" applyNumberFormat="1" applyFont="1" applyBorder="1"/>
    <xf numFmtId="4" fontId="9" fillId="0" borderId="15" xfId="0" applyNumberFormat="1" applyFont="1" applyBorder="1" applyAlignment="1">
      <alignment horizontal="center"/>
    </xf>
    <xf numFmtId="0" fontId="8" fillId="0" borderId="81" xfId="0" applyFont="1" applyBorder="1" applyAlignment="1">
      <alignment horizontal="center" wrapText="1"/>
    </xf>
    <xf numFmtId="4" fontId="8" fillId="0" borderId="21" xfId="0" applyNumberFormat="1" applyFont="1" applyBorder="1" applyAlignment="1">
      <alignment horizontal="center" wrapText="1"/>
    </xf>
    <xf numFmtId="4" fontId="117" fillId="0" borderId="0" xfId="0" applyNumberFormat="1" applyFont="1" applyAlignment="1">
      <alignment horizontal="center" vertical="center"/>
    </xf>
    <xf numFmtId="4" fontId="76" fillId="8" borderId="0" xfId="0" applyNumberFormat="1" applyFont="1" applyFill="1" applyAlignment="1">
      <alignment horizontal="center" vertical="center"/>
    </xf>
    <xf numFmtId="4" fontId="8" fillId="0" borderId="15" xfId="0" applyNumberFormat="1" applyFont="1" applyBorder="1" applyAlignment="1">
      <alignment horizontal="center"/>
    </xf>
    <xf numFmtId="4" fontId="120" fillId="8" borderId="0" xfId="0" applyNumberFormat="1" applyFont="1" applyFill="1" applyAlignment="1">
      <alignment horizontal="center" vertical="center" wrapText="1"/>
    </xf>
    <xf numFmtId="0" fontId="115" fillId="10" borderId="0" xfId="0" applyFont="1" applyFill="1" applyAlignment="1">
      <alignment horizontal="center" vertical="center"/>
    </xf>
    <xf numFmtId="49" fontId="10" fillId="10" borderId="20" xfId="0" applyNumberFormat="1" applyFont="1" applyFill="1" applyBorder="1" applyAlignment="1">
      <alignment horizontal="center" vertical="center" wrapText="1"/>
    </xf>
    <xf numFmtId="4" fontId="120" fillId="0" borderId="0" xfId="0" applyNumberFormat="1" applyFont="1" applyAlignment="1">
      <alignment horizontal="center" vertical="center" wrapText="1"/>
    </xf>
    <xf numFmtId="0" fontId="10" fillId="0" borderId="122" xfId="0" applyFont="1" applyBorder="1" applyAlignment="1">
      <alignment horizontal="center"/>
    </xf>
    <xf numFmtId="4" fontId="10" fillId="0" borderId="122" xfId="0" applyNumberFormat="1" applyFont="1" applyBorder="1" applyAlignment="1">
      <alignment horizontal="center" wrapText="1"/>
    </xf>
    <xf numFmtId="4" fontId="10" fillId="0" borderId="218" xfId="0" applyNumberFormat="1" applyFont="1" applyBorder="1" applyAlignment="1">
      <alignment horizontal="center"/>
    </xf>
    <xf numFmtId="4" fontId="121" fillId="8" borderId="0" xfId="0" applyNumberFormat="1" applyFont="1" applyFill="1" applyAlignment="1">
      <alignment horizontal="center" vertical="center"/>
    </xf>
    <xf numFmtId="0" fontId="71" fillId="8" borderId="0" xfId="0" applyFont="1" applyFill="1" applyAlignment="1">
      <alignment horizontal="center"/>
    </xf>
    <xf numFmtId="0" fontId="10" fillId="38" borderId="79" xfId="0" applyFont="1" applyFill="1" applyBorder="1" applyAlignment="1">
      <alignment horizontal="center" vertical="center" wrapText="1"/>
    </xf>
    <xf numFmtId="4" fontId="10" fillId="0" borderId="18" xfId="0" applyNumberFormat="1" applyFont="1" applyBorder="1" applyAlignment="1">
      <alignment horizontal="center" vertical="center" wrapText="1"/>
    </xf>
    <xf numFmtId="4" fontId="10" fillId="0" borderId="18" xfId="0" applyNumberFormat="1" applyFont="1" applyBorder="1" applyAlignment="1">
      <alignment horizontal="center" vertical="center"/>
    </xf>
    <xf numFmtId="4" fontId="10" fillId="0" borderId="19" xfId="0" applyNumberFormat="1" applyFont="1" applyBorder="1" applyAlignment="1">
      <alignment horizontal="center" vertical="center" wrapText="1"/>
    </xf>
    <xf numFmtId="0" fontId="10" fillId="38" borderId="81" xfId="0" applyFont="1" applyFill="1" applyBorder="1" applyAlignment="1">
      <alignment horizontal="center" vertical="center" wrapText="1"/>
    </xf>
    <xf numFmtId="0" fontId="71" fillId="38" borderId="79" xfId="0" applyFont="1" applyFill="1" applyBorder="1" applyAlignment="1">
      <alignment horizontal="center" vertical="center" wrapText="1"/>
    </xf>
    <xf numFmtId="0" fontId="71" fillId="38" borderId="81" xfId="0" applyFont="1" applyFill="1" applyBorder="1" applyAlignment="1">
      <alignment horizontal="center" vertical="center" wrapText="1"/>
    </xf>
    <xf numFmtId="49" fontId="39" fillId="0" borderId="20" xfId="0" applyNumberFormat="1" applyFont="1" applyBorder="1" applyAlignment="1">
      <alignment horizontal="left" vertical="center"/>
    </xf>
    <xf numFmtId="0" fontId="70" fillId="0" borderId="0" xfId="0" applyFont="1" applyAlignment="1">
      <alignment vertical="center"/>
    </xf>
    <xf numFmtId="172" fontId="70" fillId="0" borderId="0" xfId="0" applyNumberFormat="1" applyFont="1"/>
    <xf numFmtId="172" fontId="10" fillId="0" borderId="0" xfId="0" applyNumberFormat="1" applyFont="1" applyAlignment="1">
      <alignment horizontal="center" vertical="center" wrapText="1"/>
    </xf>
    <xf numFmtId="2" fontId="70" fillId="0" borderId="0" xfId="0" applyNumberFormat="1" applyFont="1" applyAlignment="1">
      <alignment horizontal="center" vertical="center"/>
    </xf>
    <xf numFmtId="169" fontId="70" fillId="0" borderId="0" xfId="0" applyNumberFormat="1" applyFont="1" applyAlignment="1">
      <alignment wrapText="1"/>
    </xf>
    <xf numFmtId="169" fontId="70" fillId="0" borderId="0" xfId="0" applyNumberFormat="1" applyFont="1"/>
    <xf numFmtId="169" fontId="70" fillId="0" borderId="21" xfId="0" applyNumberFormat="1" applyFont="1" applyBorder="1"/>
    <xf numFmtId="4" fontId="122" fillId="19" borderId="105" xfId="0" applyNumberFormat="1" applyFont="1" applyFill="1" applyBorder="1" applyAlignment="1">
      <alignment horizontal="center" vertical="center" wrapText="1"/>
    </xf>
    <xf numFmtId="4" fontId="106" fillId="19" borderId="106" xfId="0" applyNumberFormat="1" applyFont="1" applyFill="1" applyBorder="1" applyAlignment="1">
      <alignment horizontal="center" vertical="center"/>
    </xf>
    <xf numFmtId="172" fontId="10" fillId="3" borderId="0" xfId="0" applyNumberFormat="1" applyFont="1" applyFill="1" applyAlignment="1">
      <alignment vertical="center"/>
    </xf>
    <xf numFmtId="172" fontId="39" fillId="3" borderId="0" xfId="0" applyNumberFormat="1" applyFont="1" applyFill="1" applyAlignment="1">
      <alignment horizontal="left" wrapText="1"/>
    </xf>
    <xf numFmtId="172" fontId="39" fillId="3" borderId="21" xfId="0" applyNumberFormat="1" applyFont="1" applyFill="1" applyBorder="1" applyAlignment="1">
      <alignment wrapText="1"/>
    </xf>
    <xf numFmtId="0" fontId="39" fillId="39" borderId="0" xfId="0" applyFont="1" applyFill="1" applyAlignment="1">
      <alignment horizontal="center" vertical="center" wrapText="1"/>
    </xf>
    <xf numFmtId="0" fontId="115" fillId="40" borderId="0" xfId="0" applyFont="1" applyFill="1" applyAlignment="1">
      <alignment horizontal="center" vertical="center"/>
    </xf>
    <xf numFmtId="4" fontId="119" fillId="0" borderId="21" xfId="0" applyNumberFormat="1" applyFont="1" applyBorder="1" applyAlignment="1">
      <alignment horizontal="center" vertical="center" wrapText="1"/>
    </xf>
    <xf numFmtId="0" fontId="119" fillId="0" borderId="0" xfId="0" applyFont="1" applyAlignment="1">
      <alignment vertical="center"/>
    </xf>
    <xf numFmtId="0" fontId="123" fillId="0" borderId="0" xfId="0" applyFont="1" applyAlignment="1">
      <alignment horizontal="center" vertical="center"/>
    </xf>
    <xf numFmtId="49" fontId="58" fillId="19" borderId="0" xfId="0" applyNumberFormat="1" applyFont="1" applyFill="1" applyAlignment="1">
      <alignment horizontal="center" vertical="center"/>
    </xf>
    <xf numFmtId="0" fontId="124" fillId="41" borderId="0" xfId="0" applyFont="1" applyFill="1" applyAlignment="1">
      <alignment horizontal="center" vertical="center"/>
    </xf>
    <xf numFmtId="0" fontId="124" fillId="0" borderId="0" xfId="0" applyFont="1" applyAlignment="1">
      <alignment horizontal="center" vertical="center"/>
    </xf>
    <xf numFmtId="49" fontId="39" fillId="0" borderId="0" xfId="0" applyNumberFormat="1" applyFont="1" applyAlignment="1">
      <alignment horizontal="left" vertical="center"/>
    </xf>
    <xf numFmtId="49" fontId="105" fillId="19" borderId="0" xfId="0" applyNumberFormat="1" applyFont="1" applyFill="1" applyAlignment="1">
      <alignment horizontal="center" vertical="center"/>
    </xf>
    <xf numFmtId="0" fontId="125" fillId="0" borderId="0" xfId="0" applyFont="1" applyAlignment="1">
      <alignment vertical="center"/>
    </xf>
    <xf numFmtId="0" fontId="126" fillId="0" borderId="0" xfId="0" applyFont="1" applyAlignment="1">
      <alignment horizontal="left" vertical="top"/>
    </xf>
    <xf numFmtId="49" fontId="39" fillId="0" borderId="0" xfId="0" applyNumberFormat="1" applyFont="1" applyAlignment="1">
      <alignment horizontal="center" vertical="center"/>
    </xf>
    <xf numFmtId="172" fontId="10" fillId="0" borderId="0" xfId="0" applyNumberFormat="1" applyFont="1" applyAlignment="1">
      <alignment vertical="center"/>
    </xf>
    <xf numFmtId="0" fontId="71" fillId="0" borderId="51" xfId="0" applyFont="1" applyBorder="1" applyAlignment="1">
      <alignment horizontal="left" vertical="center" wrapText="1"/>
    </xf>
    <xf numFmtId="4" fontId="71" fillId="0" borderId="51" xfId="0" applyNumberFormat="1" applyFont="1" applyBorder="1" applyAlignment="1">
      <alignment horizontal="center" vertical="center" wrapText="1"/>
    </xf>
    <xf numFmtId="4" fontId="10" fillId="0" borderId="51" xfId="0" applyNumberFormat="1" applyFont="1" applyBorder="1" applyAlignment="1">
      <alignment horizontal="center" vertical="center"/>
    </xf>
    <xf numFmtId="4" fontId="10" fillId="0" borderId="51" xfId="0" applyNumberFormat="1" applyFont="1" applyBorder="1" applyAlignment="1">
      <alignment horizontal="center" vertical="center" wrapText="1"/>
    </xf>
    <xf numFmtId="4" fontId="10" fillId="0" borderId="30" xfId="0" applyNumberFormat="1" applyFont="1" applyBorder="1" applyAlignment="1">
      <alignment horizontal="center" vertical="center" wrapText="1"/>
    </xf>
    <xf numFmtId="49" fontId="39" fillId="0" borderId="0" xfId="0" applyNumberFormat="1" applyFont="1" applyAlignment="1">
      <alignment horizontal="center"/>
    </xf>
    <xf numFmtId="172" fontId="39" fillId="0" borderId="0" xfId="0" applyNumberFormat="1" applyFont="1" applyAlignment="1">
      <alignment wrapText="1"/>
    </xf>
    <xf numFmtId="0" fontId="39" fillId="0" borderId="0" xfId="0" applyFont="1" applyAlignment="1">
      <alignment horizontal="center"/>
    </xf>
    <xf numFmtId="172" fontId="10" fillId="0" borderId="0" xfId="0" applyNumberFormat="1" applyFont="1" applyAlignment="1">
      <alignment horizontal="center" vertical="center"/>
    </xf>
    <xf numFmtId="49" fontId="39" fillId="0" borderId="0" xfId="0" applyNumberFormat="1" applyFont="1" applyAlignment="1">
      <alignment horizontal="left"/>
    </xf>
    <xf numFmtId="0" fontId="39" fillId="3" borderId="0" xfId="0" applyFont="1" applyFill="1"/>
    <xf numFmtId="0" fontId="10" fillId="10" borderId="21" xfId="0" applyFont="1" applyFill="1" applyBorder="1" applyAlignment="1">
      <alignment horizontal="center" vertical="center"/>
    </xf>
    <xf numFmtId="0" fontId="69" fillId="10" borderId="0" xfId="0" applyFont="1" applyFill="1"/>
    <xf numFmtId="49" fontId="10" fillId="8" borderId="20" xfId="0" applyNumberFormat="1" applyFont="1" applyFill="1" applyBorder="1" applyAlignment="1">
      <alignment horizontal="center" vertical="center"/>
    </xf>
    <xf numFmtId="0" fontId="39" fillId="8" borderId="0" xfId="0" applyFont="1" applyFill="1" applyAlignment="1">
      <alignment horizontal="center" vertical="center"/>
    </xf>
    <xf numFmtId="49" fontId="39" fillId="9" borderId="20" xfId="0" applyNumberFormat="1" applyFont="1" applyFill="1" applyBorder="1" applyAlignment="1">
      <alignment horizontal="center" wrapText="1"/>
    </xf>
    <xf numFmtId="0" fontId="10" fillId="9" borderId="0" xfId="0" applyFont="1" applyFill="1" applyAlignment="1">
      <alignment vertical="center"/>
    </xf>
    <xf numFmtId="172" fontId="39" fillId="9" borderId="0" xfId="0" applyNumberFormat="1" applyFont="1" applyFill="1"/>
    <xf numFmtId="172" fontId="39" fillId="9" borderId="0" xfId="0" applyNumberFormat="1" applyFont="1" applyFill="1" applyAlignment="1">
      <alignment horizontal="center" vertical="center" wrapText="1"/>
    </xf>
    <xf numFmtId="172" fontId="39" fillId="9" borderId="0" xfId="0" applyNumberFormat="1" applyFont="1" applyFill="1" applyAlignment="1">
      <alignment horizontal="center" vertical="center"/>
    </xf>
    <xf numFmtId="0" fontId="39" fillId="9" borderId="0" xfId="0" applyFont="1" applyFill="1"/>
    <xf numFmtId="172" fontId="39" fillId="9" borderId="21" xfId="0" applyNumberFormat="1" applyFont="1" applyFill="1" applyBorder="1"/>
    <xf numFmtId="172" fontId="10" fillId="10" borderId="0" xfId="0" applyNumberFormat="1" applyFont="1" applyFill="1"/>
    <xf numFmtId="172" fontId="10" fillId="10" borderId="21" xfId="0" applyNumberFormat="1" applyFont="1" applyFill="1" applyBorder="1"/>
    <xf numFmtId="0" fontId="51" fillId="0" borderId="15" xfId="0" applyFont="1" applyBorder="1" applyAlignment="1">
      <alignment horizontal="left" vertical="center" wrapText="1"/>
    </xf>
    <xf numFmtId="172" fontId="10" fillId="8" borderId="0" xfId="0" applyNumberFormat="1" applyFont="1" applyFill="1"/>
    <xf numFmtId="0" fontId="10" fillId="8" borderId="0" xfId="0" applyFont="1" applyFill="1"/>
    <xf numFmtId="172" fontId="10" fillId="8" borderId="21" xfId="0" applyNumberFormat="1" applyFont="1" applyFill="1" applyBorder="1"/>
    <xf numFmtId="0" fontId="8" fillId="10" borderId="0" xfId="0" applyFont="1" applyFill="1" applyAlignment="1">
      <alignment horizontal="center"/>
    </xf>
    <xf numFmtId="1" fontId="10" fillId="10" borderId="0" xfId="0" applyNumberFormat="1" applyFont="1" applyFill="1" applyAlignment="1">
      <alignment horizontal="center" vertical="center"/>
    </xf>
    <xf numFmtId="1" fontId="10" fillId="8" borderId="0" xfId="0" applyNumberFormat="1" applyFont="1" applyFill="1" applyAlignment="1">
      <alignment horizontal="center" vertical="center"/>
    </xf>
    <xf numFmtId="4" fontId="10" fillId="10" borderId="0" xfId="0" applyNumberFormat="1" applyFont="1" applyFill="1"/>
    <xf numFmtId="49" fontId="10" fillId="0" borderId="0" xfId="0" applyNumberFormat="1" applyFont="1" applyAlignment="1">
      <alignment horizontal="center" vertical="center" wrapText="1"/>
    </xf>
    <xf numFmtId="4" fontId="71" fillId="10" borderId="0" xfId="0" applyNumberFormat="1" applyFont="1" applyFill="1" applyAlignment="1">
      <alignment horizontal="center" vertical="center"/>
    </xf>
    <xf numFmtId="172" fontId="10" fillId="0" borderId="0" xfId="0" applyNumberFormat="1" applyFont="1" applyAlignment="1">
      <alignment vertical="center" wrapText="1"/>
    </xf>
    <xf numFmtId="0" fontId="10" fillId="10" borderId="0" xfId="0" applyFont="1" applyFill="1" applyAlignment="1">
      <alignment horizontal="center" vertical="center" wrapText="1"/>
    </xf>
    <xf numFmtId="172" fontId="10" fillId="10" borderId="0" xfId="0" applyNumberFormat="1" applyFont="1" applyFill="1" applyAlignment="1">
      <alignment vertical="center" wrapText="1"/>
    </xf>
    <xf numFmtId="49" fontId="8" fillId="10" borderId="20" xfId="0" applyNumberFormat="1" applyFont="1" applyFill="1" applyBorder="1" applyAlignment="1">
      <alignment horizontal="center"/>
    </xf>
    <xf numFmtId="0" fontId="8" fillId="10" borderId="0" xfId="0" applyFont="1" applyFill="1" applyAlignment="1">
      <alignment wrapText="1"/>
    </xf>
    <xf numFmtId="4" fontId="8" fillId="10" borderId="0" xfId="0" applyNumberFormat="1" applyFont="1" applyFill="1" applyAlignment="1">
      <alignment horizontal="center" wrapText="1"/>
    </xf>
    <xf numFmtId="0" fontId="9" fillId="10" borderId="21" xfId="0" applyFont="1" applyFill="1" applyBorder="1"/>
    <xf numFmtId="1" fontId="8" fillId="10" borderId="0" xfId="0" applyNumberFormat="1" applyFont="1" applyFill="1" applyAlignment="1">
      <alignment horizontal="center"/>
    </xf>
    <xf numFmtId="1" fontId="10" fillId="0" borderId="0" xfId="0" applyNumberFormat="1" applyFont="1" applyAlignment="1">
      <alignment horizontal="center" vertical="center"/>
    </xf>
    <xf numFmtId="0" fontId="127" fillId="41" borderId="219" xfId="0" applyFont="1" applyFill="1" applyBorder="1" applyAlignment="1">
      <alignment horizontal="center" vertical="center"/>
    </xf>
    <xf numFmtId="4" fontId="121" fillId="8" borderId="0" xfId="0" applyNumberFormat="1" applyFont="1" applyFill="1" applyAlignment="1">
      <alignment horizontal="center" vertical="center" wrapText="1"/>
    </xf>
    <xf numFmtId="0" fontId="128" fillId="41" borderId="219" xfId="0" applyFont="1" applyFill="1" applyBorder="1" applyAlignment="1">
      <alignment horizontal="center" vertical="center"/>
    </xf>
    <xf numFmtId="4" fontId="129" fillId="8" borderId="0" xfId="0" applyNumberFormat="1" applyFont="1" applyFill="1" applyAlignment="1">
      <alignment horizontal="center" vertical="center"/>
    </xf>
    <xf numFmtId="4" fontId="9" fillId="3" borderId="0" xfId="0" applyNumberFormat="1" applyFont="1" applyFill="1" applyAlignment="1">
      <alignment vertical="top"/>
    </xf>
    <xf numFmtId="4" fontId="9" fillId="3" borderId="21" xfId="0" applyNumberFormat="1" applyFont="1" applyFill="1" applyBorder="1" applyAlignment="1">
      <alignment vertical="top"/>
    </xf>
    <xf numFmtId="49" fontId="8" fillId="8" borderId="20" xfId="0" applyNumberFormat="1" applyFont="1" applyFill="1" applyBorder="1" applyAlignment="1">
      <alignment horizontal="center" wrapText="1"/>
    </xf>
    <xf numFmtId="49" fontId="9" fillId="0" borderId="20" xfId="0" applyNumberFormat="1" applyFont="1" applyBorder="1"/>
    <xf numFmtId="0" fontId="8" fillId="10" borderId="81" xfId="0" applyFont="1" applyFill="1" applyBorder="1" applyAlignment="1">
      <alignment horizontal="center" wrapText="1"/>
    </xf>
    <xf numFmtId="4" fontId="8" fillId="10" borderId="21" xfId="0" applyNumberFormat="1" applyFont="1" applyFill="1" applyBorder="1" applyAlignment="1">
      <alignment horizontal="center"/>
    </xf>
    <xf numFmtId="0" fontId="8" fillId="10" borderId="83" xfId="0" applyFont="1" applyFill="1" applyBorder="1" applyAlignment="1">
      <alignment horizontal="center" wrapText="1"/>
    </xf>
    <xf numFmtId="4" fontId="8" fillId="10" borderId="15" xfId="0" applyNumberFormat="1" applyFont="1" applyFill="1" applyBorder="1" applyAlignment="1">
      <alignment horizontal="center" wrapText="1"/>
    </xf>
    <xf numFmtId="4" fontId="8" fillId="10" borderId="16" xfId="0" applyNumberFormat="1" applyFont="1" applyFill="1" applyBorder="1" applyAlignment="1">
      <alignment horizontal="center"/>
    </xf>
    <xf numFmtId="4" fontId="9" fillId="0" borderId="21" xfId="0" applyNumberFormat="1" applyFont="1" applyBorder="1"/>
    <xf numFmtId="4" fontId="130" fillId="8" borderId="0" xfId="0" applyNumberFormat="1" applyFont="1" applyFill="1" applyAlignment="1">
      <alignment horizontal="center" vertical="center"/>
    </xf>
    <xf numFmtId="4" fontId="39" fillId="0" borderId="18" xfId="0" applyNumberFormat="1" applyFont="1" applyBorder="1" applyAlignment="1">
      <alignment horizontal="center" wrapText="1"/>
    </xf>
    <xf numFmtId="0" fontId="10" fillId="10" borderId="83" xfId="0" applyFont="1" applyFill="1" applyBorder="1" applyAlignment="1">
      <alignment horizontal="center" wrapText="1"/>
    </xf>
    <xf numFmtId="4" fontId="10" fillId="10" borderId="15" xfId="0" applyNumberFormat="1" applyFont="1" applyFill="1" applyBorder="1" applyAlignment="1">
      <alignment horizontal="center" wrapText="1"/>
    </xf>
    <xf numFmtId="4" fontId="10" fillId="10" borderId="15" xfId="0" applyNumberFormat="1" applyFont="1" applyFill="1" applyBorder="1" applyAlignment="1">
      <alignment horizontal="center"/>
    </xf>
    <xf numFmtId="4" fontId="10" fillId="10" borderId="16" xfId="0" applyNumberFormat="1" applyFont="1" applyFill="1" applyBorder="1" applyAlignment="1">
      <alignment horizontal="center"/>
    </xf>
    <xf numFmtId="4" fontId="130" fillId="0" borderId="0" xfId="0" applyNumberFormat="1" applyFont="1" applyAlignment="1">
      <alignment horizontal="center"/>
    </xf>
    <xf numFmtId="0" fontId="128" fillId="41" borderId="0" xfId="0" applyFont="1" applyFill="1" applyAlignment="1">
      <alignment horizontal="center" vertical="center"/>
    </xf>
    <xf numFmtId="0" fontId="8" fillId="0" borderId="77" xfId="0" applyFont="1" applyBorder="1" applyAlignment="1">
      <alignment wrapText="1"/>
    </xf>
    <xf numFmtId="0" fontId="8" fillId="0" borderId="77" xfId="0" applyFont="1" applyBorder="1" applyAlignment="1">
      <alignment horizontal="center" wrapText="1"/>
    </xf>
    <xf numFmtId="0" fontId="8" fillId="8" borderId="77" xfId="0" applyFont="1" applyFill="1" applyBorder="1" applyAlignment="1">
      <alignment wrapText="1"/>
    </xf>
    <xf numFmtId="0" fontId="8" fillId="8" borderId="77" xfId="0" applyFont="1" applyFill="1" applyBorder="1" applyAlignment="1">
      <alignment horizontal="center" wrapText="1"/>
    </xf>
    <xf numFmtId="4" fontId="121" fillId="8" borderId="0" xfId="0" applyNumberFormat="1" applyFont="1" applyFill="1" applyAlignment="1">
      <alignment horizontal="center"/>
    </xf>
    <xf numFmtId="4" fontId="130" fillId="8" borderId="0" xfId="0" applyNumberFormat="1" applyFont="1" applyFill="1" applyAlignment="1">
      <alignment horizontal="center"/>
    </xf>
    <xf numFmtId="49" fontId="9" fillId="10" borderId="20" xfId="0" applyNumberFormat="1" applyFont="1" applyFill="1" applyBorder="1"/>
    <xf numFmtId="4" fontId="122" fillId="19" borderId="105" xfId="0" applyNumberFormat="1" applyFont="1" applyFill="1" applyBorder="1" applyAlignment="1">
      <alignment horizontal="center" vertical="center"/>
    </xf>
    <xf numFmtId="0" fontId="131" fillId="0" borderId="0" xfId="0" applyFont="1" applyAlignment="1">
      <alignment horizontal="center" vertical="center"/>
    </xf>
    <xf numFmtId="0" fontId="39" fillId="0" borderId="0" xfId="0" applyFont="1" applyAlignment="1">
      <alignment horizontal="left" vertical="center"/>
    </xf>
    <xf numFmtId="4" fontId="132" fillId="0" borderId="0" xfId="0" applyNumberFormat="1" applyFont="1" applyAlignment="1">
      <alignment horizontal="center" vertical="center" wrapText="1"/>
    </xf>
    <xf numFmtId="172" fontId="30" fillId="0" borderId="0" xfId="0" applyNumberFormat="1" applyFont="1" applyAlignment="1">
      <alignment wrapText="1"/>
    </xf>
    <xf numFmtId="0" fontId="69" fillId="0" borderId="0" xfId="0" applyFont="1" applyAlignment="1">
      <alignment horizontal="center" vertical="center"/>
    </xf>
    <xf numFmtId="0" fontId="9" fillId="0" borderId="79" xfId="0" applyFont="1" applyBorder="1"/>
    <xf numFmtId="0" fontId="9" fillId="0" borderId="18" xfId="0" applyFont="1" applyBorder="1"/>
    <xf numFmtId="0" fontId="78" fillId="0" borderId="18" xfId="0" applyFont="1" applyBorder="1" applyAlignment="1">
      <alignment wrapText="1"/>
    </xf>
    <xf numFmtId="0" fontId="78" fillId="0" borderId="18" xfId="0" applyFont="1" applyBorder="1" applyAlignment="1">
      <alignment horizontal="center" wrapText="1"/>
    </xf>
    <xf numFmtId="4" fontId="133" fillId="0" borderId="80" xfId="0" applyNumberFormat="1" applyFont="1" applyBorder="1" applyAlignment="1">
      <alignment horizontal="center"/>
    </xf>
    <xf numFmtId="0" fontId="9" fillId="0" borderId="83" xfId="0" applyFont="1" applyBorder="1"/>
    <xf numFmtId="0" fontId="9" fillId="0" borderId="15" xfId="0" applyFont="1" applyBorder="1"/>
    <xf numFmtId="4" fontId="78" fillId="0" borderId="15" xfId="0" applyNumberFormat="1" applyFont="1" applyBorder="1" applyAlignment="1">
      <alignment wrapText="1"/>
    </xf>
    <xf numFmtId="0" fontId="78" fillId="0" borderId="15" xfId="0" applyFont="1" applyBorder="1" applyAlignment="1">
      <alignment horizontal="center" wrapText="1"/>
    </xf>
    <xf numFmtId="4" fontId="133" fillId="0" borderId="61" xfId="0" applyNumberFormat="1" applyFont="1" applyBorder="1" applyAlignment="1">
      <alignment horizontal="center"/>
    </xf>
    <xf numFmtId="0" fontId="78" fillId="0" borderId="79" xfId="0" applyFont="1" applyBorder="1" applyAlignment="1">
      <alignment horizontal="center"/>
    </xf>
    <xf numFmtId="0" fontId="78" fillId="0" borderId="18" xfId="0" applyFont="1" applyBorder="1" applyAlignment="1">
      <alignment horizontal="center"/>
    </xf>
    <xf numFmtId="4" fontId="9" fillId="0" borderId="80" xfId="0" applyNumberFormat="1" applyFont="1" applyBorder="1"/>
    <xf numFmtId="4" fontId="78" fillId="0" borderId="81" xfId="0" applyNumberFormat="1" applyFont="1" applyBorder="1" applyAlignment="1">
      <alignment horizontal="center"/>
    </xf>
    <xf numFmtId="0" fontId="78" fillId="0" borderId="0" xfId="0" applyFont="1" applyAlignment="1">
      <alignment horizontal="center"/>
    </xf>
    <xf numFmtId="0" fontId="78" fillId="0" borderId="0" xfId="0" applyFont="1" applyAlignment="1">
      <alignment wrapText="1"/>
    </xf>
    <xf numFmtId="4" fontId="9" fillId="0" borderId="82" xfId="0" applyNumberFormat="1" applyFont="1" applyBorder="1"/>
    <xf numFmtId="0" fontId="78" fillId="0" borderId="81" xfId="0" applyFont="1" applyBorder="1" applyAlignment="1">
      <alignment horizontal="center"/>
    </xf>
    <xf numFmtId="0" fontId="133" fillId="0" borderId="0" xfId="0" applyFont="1" applyAlignment="1">
      <alignment wrapText="1"/>
    </xf>
    <xf numFmtId="0" fontId="78" fillId="0" borderId="83" xfId="0" applyFont="1" applyBorder="1" applyAlignment="1">
      <alignment horizontal="center"/>
    </xf>
    <xf numFmtId="4" fontId="78" fillId="0" borderId="15" xfId="0" applyNumberFormat="1" applyFont="1" applyBorder="1" applyAlignment="1">
      <alignment horizontal="center"/>
    </xf>
    <xf numFmtId="4" fontId="133" fillId="0" borderId="15" xfId="0" applyNumberFormat="1" applyFont="1" applyBorder="1" applyAlignment="1">
      <alignment wrapText="1"/>
    </xf>
    <xf numFmtId="4" fontId="9" fillId="0" borderId="61" xfId="0" applyNumberFormat="1" applyFont="1" applyBorder="1"/>
    <xf numFmtId="172" fontId="78" fillId="0" borderId="18" xfId="0" applyNumberFormat="1" applyFont="1" applyBorder="1" applyAlignment="1">
      <alignment horizontal="center" wrapText="1"/>
    </xf>
    <xf numFmtId="172" fontId="78" fillId="10" borderId="18" xfId="0" applyNumberFormat="1" applyFont="1" applyFill="1" applyBorder="1" applyAlignment="1">
      <alignment wrapText="1"/>
    </xf>
    <xf numFmtId="4" fontId="133" fillId="10" borderId="80" xfId="0" applyNumberFormat="1" applyFont="1" applyFill="1" applyBorder="1" applyAlignment="1">
      <alignment horizontal="center" wrapText="1"/>
    </xf>
    <xf numFmtId="49" fontId="9" fillId="0" borderId="0" xfId="0" applyNumberFormat="1" applyFont="1"/>
    <xf numFmtId="172" fontId="78" fillId="0" borderId="15" xfId="0" applyNumberFormat="1" applyFont="1" applyBorder="1" applyAlignment="1">
      <alignment horizontal="center" wrapText="1"/>
    </xf>
    <xf numFmtId="172" fontId="78" fillId="10" borderId="15" xfId="0" applyNumberFormat="1" applyFont="1" applyFill="1" applyBorder="1" applyAlignment="1">
      <alignment wrapText="1"/>
    </xf>
    <xf numFmtId="4" fontId="133" fillId="10" borderId="61" xfId="0" applyNumberFormat="1" applyFont="1" applyFill="1" applyBorder="1" applyAlignment="1">
      <alignment horizontal="center" wrapText="1"/>
    </xf>
    <xf numFmtId="0" fontId="78" fillId="0" borderId="15" xfId="0" applyFont="1" applyBorder="1" applyAlignment="1">
      <alignment horizontal="center"/>
    </xf>
    <xf numFmtId="0" fontId="133" fillId="0" borderId="15" xfId="0" applyFont="1" applyBorder="1" applyAlignment="1">
      <alignment wrapText="1"/>
    </xf>
    <xf numFmtId="0" fontId="134" fillId="2" borderId="220" xfId="0" applyFont="1" applyFill="1" applyBorder="1" applyAlignment="1">
      <alignment horizontal="center" vertical="center"/>
    </xf>
    <xf numFmtId="0" fontId="135" fillId="2" borderId="219" xfId="0" applyFont="1" applyFill="1" applyBorder="1" applyAlignment="1">
      <alignment vertical="center"/>
    </xf>
    <xf numFmtId="0" fontId="136" fillId="2" borderId="220" xfId="0" applyFont="1" applyFill="1" applyBorder="1" applyAlignment="1">
      <alignment horizontal="center" vertical="center"/>
    </xf>
    <xf numFmtId="4" fontId="10" fillId="0" borderId="81" xfId="0" applyNumberFormat="1" applyFont="1" applyBorder="1" applyAlignment="1">
      <alignment horizontal="center" vertical="center" wrapText="1"/>
    </xf>
    <xf numFmtId="4" fontId="10" fillId="0" borderId="83" xfId="0" applyNumberFormat="1" applyFont="1" applyBorder="1" applyAlignment="1">
      <alignment horizontal="center" vertical="center" wrapText="1"/>
    </xf>
    <xf numFmtId="10" fontId="8" fillId="0" borderId="0" xfId="0" applyNumberFormat="1" applyFont="1" applyAlignment="1">
      <alignment horizontal="center"/>
    </xf>
    <xf numFmtId="10" fontId="8" fillId="0" borderId="5" xfId="0" applyNumberFormat="1" applyFont="1" applyBorder="1" applyAlignment="1">
      <alignment horizontal="center"/>
    </xf>
    <xf numFmtId="4" fontId="68" fillId="0" borderId="0" xfId="0" applyNumberFormat="1" applyFont="1" applyAlignment="1">
      <alignment horizontal="center"/>
    </xf>
    <xf numFmtId="0" fontId="8" fillId="8" borderId="20" xfId="0" applyFont="1" applyFill="1" applyBorder="1" applyAlignment="1">
      <alignment horizontal="center"/>
    </xf>
    <xf numFmtId="49" fontId="46" fillId="8" borderId="20" xfId="0" applyNumberFormat="1" applyFont="1" applyFill="1" applyBorder="1" applyAlignment="1">
      <alignment horizontal="center"/>
    </xf>
    <xf numFmtId="4" fontId="10" fillId="0" borderId="0" xfId="0" applyNumberFormat="1" applyFont="1" applyAlignment="1">
      <alignment horizontal="center" wrapText="1"/>
    </xf>
    <xf numFmtId="4" fontId="10" fillId="0" borderId="21" xfId="0" applyNumberFormat="1" applyFont="1" applyBorder="1" applyAlignment="1">
      <alignment horizontal="center" wrapText="1"/>
    </xf>
    <xf numFmtId="4" fontId="10" fillId="10" borderId="15" xfId="0" applyNumberFormat="1" applyFont="1" applyFill="1" applyBorder="1"/>
    <xf numFmtId="4" fontId="10" fillId="0" borderId="15" xfId="0" applyNumberFormat="1" applyFont="1" applyBorder="1" applyAlignment="1">
      <alignment horizontal="center" wrapText="1"/>
    </xf>
    <xf numFmtId="4" fontId="10" fillId="0" borderId="16" xfId="0" applyNumberFormat="1" applyFont="1" applyBorder="1" applyAlignment="1">
      <alignment horizontal="center" wrapText="1"/>
    </xf>
    <xf numFmtId="0" fontId="10" fillId="10" borderId="81" xfId="0" applyFont="1" applyFill="1" applyBorder="1" applyAlignment="1">
      <alignment horizontal="center" wrapText="1"/>
    </xf>
    <xf numFmtId="4" fontId="10" fillId="10" borderId="0" xfId="0" applyNumberFormat="1" applyFont="1" applyFill="1" applyAlignment="1">
      <alignment horizontal="center" wrapText="1"/>
    </xf>
    <xf numFmtId="4" fontId="10" fillId="10" borderId="0" xfId="0" applyNumberFormat="1" applyFont="1" applyFill="1" applyAlignment="1">
      <alignment horizontal="center"/>
    </xf>
    <xf numFmtId="4" fontId="10" fillId="10" borderId="21" xfId="0" applyNumberFormat="1" applyFont="1" applyFill="1" applyBorder="1" applyAlignment="1">
      <alignment horizontal="center"/>
    </xf>
    <xf numFmtId="0" fontId="137" fillId="40" borderId="0" xfId="0" applyFont="1" applyFill="1" applyAlignment="1">
      <alignment horizontal="center"/>
    </xf>
    <xf numFmtId="14" fontId="8" fillId="0" borderId="0" xfId="0" applyNumberFormat="1" applyFont="1"/>
    <xf numFmtId="49" fontId="39" fillId="0" borderId="0" xfId="0" applyNumberFormat="1" applyFont="1" applyAlignment="1">
      <alignment horizontal="center" wrapText="1"/>
    </xf>
    <xf numFmtId="0" fontId="25" fillId="0" borderId="0" xfId="0" applyFont="1" applyAlignment="1">
      <alignment horizontal="left"/>
    </xf>
    <xf numFmtId="0" fontId="97" fillId="0" borderId="0" xfId="0" applyFont="1" applyAlignment="1">
      <alignment horizontal="left"/>
    </xf>
    <xf numFmtId="0" fontId="10" fillId="36" borderId="0" xfId="0" applyFont="1" applyFill="1"/>
    <xf numFmtId="172" fontId="10" fillId="36" borderId="0" xfId="0" applyNumberFormat="1" applyFont="1" applyFill="1" applyAlignment="1">
      <alignment horizontal="center" wrapText="1"/>
    </xf>
    <xf numFmtId="4" fontId="10" fillId="36" borderId="0" xfId="0" applyNumberFormat="1" applyFont="1" applyFill="1" applyAlignment="1">
      <alignment horizontal="center" wrapText="1"/>
    </xf>
    <xf numFmtId="4" fontId="10" fillId="36" borderId="0" xfId="0" applyNumberFormat="1" applyFont="1" applyFill="1" applyAlignment="1">
      <alignment horizontal="center"/>
    </xf>
    <xf numFmtId="4" fontId="10" fillId="36" borderId="21" xfId="0" applyNumberFormat="1" applyFont="1" applyFill="1" applyBorder="1" applyAlignment="1">
      <alignment horizontal="center"/>
    </xf>
    <xf numFmtId="0" fontId="10" fillId="3" borderId="105" xfId="0" applyFont="1" applyFill="1" applyBorder="1" applyAlignment="1">
      <alignment horizontal="center" vertical="center"/>
    </xf>
    <xf numFmtId="0" fontId="39" fillId="3" borderId="105" xfId="0" applyFont="1" applyFill="1" applyBorder="1" applyAlignment="1">
      <alignment horizontal="left" vertical="center" wrapText="1"/>
    </xf>
    <xf numFmtId="4" fontId="10" fillId="3" borderId="105" xfId="0" applyNumberFormat="1" applyFont="1" applyFill="1" applyBorder="1" applyAlignment="1">
      <alignment horizontal="center" vertical="center" wrapText="1"/>
    </xf>
    <xf numFmtId="4" fontId="10" fillId="3" borderId="105" xfId="0" applyNumberFormat="1" applyFont="1" applyFill="1" applyBorder="1" applyAlignment="1">
      <alignment horizontal="center" vertical="center"/>
    </xf>
    <xf numFmtId="4" fontId="10" fillId="3" borderId="106" xfId="0" applyNumberFormat="1" applyFont="1" applyFill="1" applyBorder="1" applyAlignment="1">
      <alignment horizontal="center" vertical="center" wrapText="1"/>
    </xf>
    <xf numFmtId="0" fontId="10" fillId="8" borderId="0" xfId="0" applyFont="1" applyFill="1" applyAlignment="1">
      <alignment horizontal="left" vertical="center"/>
    </xf>
    <xf numFmtId="172" fontId="78" fillId="0" borderId="18" xfId="0" applyNumberFormat="1" applyFont="1" applyBorder="1" applyAlignment="1">
      <alignment wrapText="1"/>
    </xf>
    <xf numFmtId="4" fontId="133" fillId="0" borderId="80" xfId="0" applyNumberFormat="1" applyFont="1" applyBorder="1" applyAlignment="1">
      <alignment horizontal="center" wrapText="1"/>
    </xf>
    <xf numFmtId="172" fontId="78" fillId="0" borderId="15" xfId="0" applyNumberFormat="1" applyFont="1" applyBorder="1" applyAlignment="1">
      <alignment wrapText="1"/>
    </xf>
    <xf numFmtId="4" fontId="133" fillId="0" borderId="61" xfId="0" applyNumberFormat="1" applyFont="1" applyBorder="1" applyAlignment="1">
      <alignment horizontal="center" wrapText="1"/>
    </xf>
    <xf numFmtId="0" fontId="10" fillId="36" borderId="0" xfId="0" applyFont="1" applyFill="1" applyAlignment="1">
      <alignment vertical="center"/>
    </xf>
    <xf numFmtId="172" fontId="10" fillId="36" borderId="0" xfId="0" applyNumberFormat="1" applyFont="1" applyFill="1"/>
    <xf numFmtId="2" fontId="10" fillId="36" borderId="0" xfId="0" applyNumberFormat="1" applyFont="1" applyFill="1" applyAlignment="1">
      <alignment horizontal="center" vertical="center"/>
    </xf>
    <xf numFmtId="169" fontId="10" fillId="36" borderId="0" xfId="0" applyNumberFormat="1" applyFont="1" applyFill="1" applyAlignment="1">
      <alignment wrapText="1"/>
    </xf>
    <xf numFmtId="169" fontId="10" fillId="36" borderId="0" xfId="0" applyNumberFormat="1" applyFont="1" applyFill="1"/>
    <xf numFmtId="169" fontId="10" fillId="36" borderId="21" xfId="0" applyNumberFormat="1" applyFont="1" applyFill="1" applyBorder="1"/>
    <xf numFmtId="0" fontId="138" fillId="6" borderId="220" xfId="0" applyFont="1" applyFill="1" applyBorder="1" applyAlignment="1">
      <alignment horizontal="center" vertical="center"/>
    </xf>
    <xf numFmtId="0" fontId="139" fillId="6" borderId="219" xfId="0" applyFont="1" applyFill="1" applyBorder="1" applyAlignment="1">
      <alignment horizontal="left" vertical="center"/>
    </xf>
    <xf numFmtId="4" fontId="130" fillId="8" borderId="0" xfId="0" applyNumberFormat="1" applyFont="1" applyFill="1" applyAlignment="1">
      <alignment horizontal="center" vertical="center" wrapText="1"/>
    </xf>
    <xf numFmtId="0" fontId="140" fillId="6" borderId="220" xfId="0" applyFont="1" applyFill="1" applyBorder="1" applyAlignment="1">
      <alignment horizontal="center" vertical="center"/>
    </xf>
    <xf numFmtId="0" fontId="71" fillId="0" borderId="81" xfId="0" applyFont="1" applyBorder="1" applyAlignment="1">
      <alignment horizontal="center" wrapText="1"/>
    </xf>
    <xf numFmtId="4" fontId="10" fillId="0" borderId="21" xfId="0" applyNumberFormat="1" applyFont="1" applyBorder="1" applyAlignment="1">
      <alignment horizontal="center"/>
    </xf>
    <xf numFmtId="0" fontId="10" fillId="0" borderId="20" xfId="0" applyFont="1" applyBorder="1"/>
    <xf numFmtId="10" fontId="8" fillId="0" borderId="5" xfId="0" applyNumberFormat="1" applyFont="1" applyBorder="1" applyAlignment="1">
      <alignment horizontal="left"/>
    </xf>
    <xf numFmtId="0" fontId="8" fillId="3" borderId="0" xfId="0" applyFont="1" applyFill="1" applyAlignment="1">
      <alignment vertical="top"/>
    </xf>
    <xf numFmtId="4" fontId="8" fillId="3" borderId="0" xfId="0" applyNumberFormat="1" applyFont="1" applyFill="1" applyAlignment="1">
      <alignment vertical="top"/>
    </xf>
    <xf numFmtId="4" fontId="8" fillId="3" borderId="21" xfId="0" applyNumberFormat="1" applyFont="1" applyFill="1" applyBorder="1" applyAlignment="1">
      <alignment vertical="top"/>
    </xf>
    <xf numFmtId="4" fontId="8" fillId="8" borderId="0" xfId="0" applyNumberFormat="1" applyFont="1" applyFill="1"/>
    <xf numFmtId="4" fontId="8" fillId="8" borderId="21" xfId="0" applyNumberFormat="1" applyFont="1" applyFill="1" applyBorder="1"/>
    <xf numFmtId="49" fontId="8" fillId="0" borderId="20" xfId="0" applyNumberFormat="1" applyFont="1" applyBorder="1"/>
    <xf numFmtId="4" fontId="8" fillId="0" borderId="0" xfId="0" applyNumberFormat="1" applyFont="1"/>
    <xf numFmtId="4" fontId="8" fillId="0" borderId="21" xfId="0" applyNumberFormat="1" applyFont="1" applyBorder="1"/>
    <xf numFmtId="4" fontId="121" fillId="0" borderId="0" xfId="0" applyNumberFormat="1" applyFont="1" applyAlignment="1">
      <alignment horizontal="center" vertical="center" wrapText="1"/>
    </xf>
    <xf numFmtId="0" fontId="39" fillId="0" borderId="79" xfId="0" applyFont="1" applyBorder="1" applyAlignment="1">
      <alignment horizontal="center" wrapText="1"/>
    </xf>
    <xf numFmtId="4" fontId="39" fillId="0" borderId="18" xfId="0" applyNumberFormat="1" applyFont="1" applyBorder="1" applyAlignment="1">
      <alignment horizontal="center"/>
    </xf>
    <xf numFmtId="4" fontId="39" fillId="0" borderId="19" xfId="0" applyNumberFormat="1" applyFont="1" applyBorder="1" applyAlignment="1">
      <alignment horizontal="center" wrapText="1"/>
    </xf>
    <xf numFmtId="0" fontId="10" fillId="0" borderId="81" xfId="0" applyFont="1" applyBorder="1" applyAlignment="1">
      <alignment horizontal="center" wrapText="1"/>
    </xf>
    <xf numFmtId="0" fontId="10" fillId="0" borderId="83" xfId="0" applyFont="1" applyBorder="1" applyAlignment="1">
      <alignment horizontal="center" wrapText="1"/>
    </xf>
    <xf numFmtId="4" fontId="8" fillId="10" borderId="15" xfId="0" applyNumberFormat="1" applyFont="1" applyFill="1" applyBorder="1"/>
    <xf numFmtId="0" fontId="10" fillId="10" borderId="0" xfId="0" applyFont="1" applyFill="1" applyAlignment="1">
      <alignment horizontal="left" vertical="center"/>
    </xf>
    <xf numFmtId="0" fontId="25" fillId="0" borderId="0" xfId="0" applyFont="1" applyAlignment="1">
      <alignment horizontal="left" vertical="center"/>
    </xf>
    <xf numFmtId="4" fontId="121" fillId="0" borderId="0" xfId="0" applyNumberFormat="1" applyFont="1" applyAlignment="1">
      <alignment horizontal="center"/>
    </xf>
    <xf numFmtId="0" fontId="60" fillId="10" borderId="221" xfId="0" applyFont="1" applyFill="1" applyBorder="1" applyAlignment="1">
      <alignment horizontal="center" wrapText="1"/>
    </xf>
    <xf numFmtId="4" fontId="39" fillId="0" borderId="222" xfId="0" applyNumberFormat="1" applyFont="1" applyBorder="1" applyAlignment="1">
      <alignment horizontal="center" vertical="center" wrapText="1"/>
    </xf>
    <xf numFmtId="4" fontId="39" fillId="0" borderId="222" xfId="0" applyNumberFormat="1" applyFont="1" applyBorder="1" applyAlignment="1">
      <alignment horizontal="center" vertical="center"/>
    </xf>
    <xf numFmtId="4" fontId="60" fillId="0" borderId="222" xfId="0" applyNumberFormat="1" applyFont="1" applyBorder="1" applyAlignment="1">
      <alignment horizontal="center" wrapText="1"/>
    </xf>
    <xf numFmtId="4" fontId="39" fillId="0" borderId="223" xfId="0" applyNumberFormat="1" applyFont="1" applyBorder="1" applyAlignment="1">
      <alignment horizontal="center" vertical="center" wrapText="1"/>
    </xf>
    <xf numFmtId="0" fontId="71" fillId="10" borderId="224" xfId="0" applyFont="1" applyFill="1" applyBorder="1" applyAlignment="1">
      <alignment horizontal="center" wrapText="1"/>
    </xf>
    <xf numFmtId="0" fontId="71" fillId="10" borderId="225" xfId="0" applyFont="1" applyFill="1" applyBorder="1" applyAlignment="1">
      <alignment horizontal="center" wrapText="1"/>
    </xf>
    <xf numFmtId="4" fontId="71" fillId="10" borderId="226" xfId="0" applyNumberFormat="1" applyFont="1" applyFill="1" applyBorder="1" applyAlignment="1">
      <alignment horizontal="center" wrapText="1"/>
    </xf>
    <xf numFmtId="4" fontId="71" fillId="10" borderId="226" xfId="0" applyNumberFormat="1" applyFont="1" applyFill="1" applyBorder="1" applyAlignment="1">
      <alignment horizontal="center"/>
    </xf>
    <xf numFmtId="4" fontId="71" fillId="10" borderId="227" xfId="0" applyNumberFormat="1" applyFont="1" applyFill="1" applyBorder="1" applyAlignment="1">
      <alignment horizontal="center"/>
    </xf>
    <xf numFmtId="4" fontId="71" fillId="0" borderId="2" xfId="0" applyNumberFormat="1" applyFont="1" applyBorder="1" applyAlignment="1">
      <alignment horizontal="center"/>
    </xf>
    <xf numFmtId="4" fontId="71" fillId="0" borderId="13" xfId="0" applyNumberFormat="1" applyFont="1" applyBorder="1" applyAlignment="1">
      <alignment horizontal="center"/>
    </xf>
    <xf numFmtId="4" fontId="71" fillId="0" borderId="15" xfId="0" applyNumberFormat="1" applyFont="1" applyBorder="1" applyAlignment="1">
      <alignment horizontal="center"/>
    </xf>
    <xf numFmtId="0" fontId="39" fillId="0" borderId="221" xfId="0" applyFont="1" applyBorder="1" applyAlignment="1">
      <alignment horizontal="center" vertical="center" wrapText="1"/>
    </xf>
    <xf numFmtId="0" fontId="10" fillId="0" borderId="224" xfId="0" applyFont="1" applyBorder="1" applyAlignment="1">
      <alignment horizontal="center" vertical="center" wrapText="1"/>
    </xf>
    <xf numFmtId="0" fontId="10" fillId="0" borderId="225" xfId="0" applyFont="1" applyBorder="1" applyAlignment="1">
      <alignment horizontal="center" vertical="center" wrapText="1"/>
    </xf>
    <xf numFmtId="4" fontId="10" fillId="0" borderId="226" xfId="0" applyNumberFormat="1" applyFont="1" applyBorder="1" applyAlignment="1">
      <alignment horizontal="center" vertical="center" wrapText="1"/>
    </xf>
    <xf numFmtId="4" fontId="10" fillId="0" borderId="226" xfId="0" applyNumberFormat="1" applyFont="1" applyBorder="1" applyAlignment="1">
      <alignment horizontal="center" vertical="center"/>
    </xf>
    <xf numFmtId="4" fontId="10" fillId="0" borderId="227" xfId="0" applyNumberFormat="1" applyFont="1" applyBorder="1" applyAlignment="1">
      <alignment horizontal="center" vertical="center" wrapText="1"/>
    </xf>
    <xf numFmtId="4" fontId="10" fillId="0" borderId="122" xfId="0" applyNumberFormat="1" applyFont="1" applyBorder="1" applyAlignment="1">
      <alignment horizontal="center" vertical="center" wrapText="1"/>
    </xf>
    <xf numFmtId="4" fontId="130" fillId="0" borderId="0" xfId="0" applyNumberFormat="1" applyFont="1" applyAlignment="1">
      <alignment horizontal="center" vertical="center" wrapText="1"/>
    </xf>
    <xf numFmtId="0" fontId="8" fillId="0" borderId="18" xfId="0" applyFont="1" applyBorder="1"/>
    <xf numFmtId="4" fontId="10" fillId="0" borderId="228" xfId="0" applyNumberFormat="1" applyFont="1" applyBorder="1" applyAlignment="1">
      <alignment horizontal="center" vertical="center"/>
    </xf>
    <xf numFmtId="0" fontId="39" fillId="0" borderId="18" xfId="0" applyFont="1" applyBorder="1" applyAlignment="1">
      <alignment horizontal="center" vertical="center" wrapText="1"/>
    </xf>
    <xf numFmtId="4" fontId="10" fillId="0" borderId="123" xfId="0" applyNumberFormat="1" applyFont="1" applyBorder="1" applyAlignment="1">
      <alignment horizontal="center" vertical="center" wrapText="1"/>
    </xf>
    <xf numFmtId="4" fontId="10" fillId="0" borderId="218" xfId="0" applyNumberFormat="1" applyFont="1" applyBorder="1" applyAlignment="1">
      <alignment horizontal="center" vertical="center"/>
    </xf>
    <xf numFmtId="4" fontId="71" fillId="0" borderId="15" xfId="0" applyNumberFormat="1" applyFont="1" applyBorder="1" applyAlignment="1">
      <alignment horizontal="center" vertical="center" wrapText="1"/>
    </xf>
    <xf numFmtId="0" fontId="10" fillId="0" borderId="0" xfId="0" quotePrefix="1" applyFont="1" applyAlignment="1">
      <alignment horizontal="left" vertical="center"/>
    </xf>
    <xf numFmtId="2" fontId="10" fillId="0" borderId="0" xfId="0" applyNumberFormat="1" applyFont="1" applyAlignment="1">
      <alignment horizontal="center" vertical="center"/>
    </xf>
    <xf numFmtId="169" fontId="10" fillId="0" borderId="0" xfId="0" applyNumberFormat="1" applyFont="1" applyAlignment="1">
      <alignment wrapText="1"/>
    </xf>
    <xf numFmtId="169" fontId="10" fillId="0" borderId="21" xfId="0" applyNumberFormat="1" applyFont="1" applyBorder="1"/>
    <xf numFmtId="14" fontId="39" fillId="0" borderId="0" xfId="0" applyNumberFormat="1" applyFont="1" applyAlignment="1">
      <alignment horizontal="center" vertical="center" wrapText="1"/>
    </xf>
    <xf numFmtId="0" fontId="124" fillId="37" borderId="0" xfId="0" applyFont="1" applyFill="1" applyAlignment="1">
      <alignment horizontal="center" vertical="center"/>
    </xf>
    <xf numFmtId="172" fontId="30" fillId="3" borderId="0" xfId="0" applyNumberFormat="1" applyFont="1" applyFill="1" applyAlignment="1">
      <alignment horizontal="left" wrapText="1"/>
    </xf>
    <xf numFmtId="172" fontId="30" fillId="0" borderId="0" xfId="0" applyNumberFormat="1" applyFont="1" applyAlignment="1">
      <alignment horizontal="left" wrapText="1"/>
    </xf>
    <xf numFmtId="0" fontId="8" fillId="0" borderId="0" xfId="0" applyFont="1" applyAlignment="1">
      <alignment horizontal="left"/>
    </xf>
    <xf numFmtId="172" fontId="10" fillId="0" borderId="21" xfId="0" applyNumberFormat="1" applyFont="1" applyBorder="1"/>
    <xf numFmtId="0" fontId="141" fillId="42" borderId="0" xfId="0" applyFont="1" applyFill="1" applyAlignment="1">
      <alignment horizontal="center" vertical="center"/>
    </xf>
    <xf numFmtId="0" fontId="142" fillId="42" borderId="0" xfId="0" applyFont="1" applyFill="1" applyAlignment="1">
      <alignment vertical="center"/>
    </xf>
    <xf numFmtId="0" fontId="143" fillId="42" borderId="0" xfId="0" applyFont="1" applyFill="1" applyAlignment="1">
      <alignment horizontal="center" vertical="center"/>
    </xf>
    <xf numFmtId="4" fontId="60" fillId="0" borderId="222" xfId="0" applyNumberFormat="1" applyFont="1" applyBorder="1" applyAlignment="1">
      <alignment horizontal="center"/>
    </xf>
    <xf numFmtId="4" fontId="60" fillId="0" borderId="223" xfId="0" applyNumberFormat="1" applyFont="1" applyBorder="1" applyAlignment="1">
      <alignment horizontal="center"/>
    </xf>
    <xf numFmtId="0" fontId="71" fillId="0" borderId="224" xfId="0" applyFont="1" applyBorder="1" applyAlignment="1">
      <alignment horizontal="center" wrapText="1"/>
    </xf>
    <xf numFmtId="0" fontId="71" fillId="0" borderId="225" xfId="0" applyFont="1" applyBorder="1" applyAlignment="1">
      <alignment horizontal="center" wrapText="1"/>
    </xf>
    <xf numFmtId="4" fontId="144" fillId="0" borderId="0" xfId="0" applyNumberFormat="1" applyFont="1" applyAlignment="1">
      <alignment horizontal="center" vertical="center" wrapText="1"/>
    </xf>
    <xf numFmtId="4" fontId="30" fillId="0" borderId="222" xfId="0" applyNumberFormat="1" applyFont="1" applyBorder="1" applyAlignment="1">
      <alignment horizontal="center" wrapText="1"/>
    </xf>
    <xf numFmtId="4" fontId="30" fillId="0" borderId="222" xfId="0" applyNumberFormat="1" applyFont="1" applyBorder="1" applyAlignment="1">
      <alignment horizontal="center"/>
    </xf>
    <xf numFmtId="4" fontId="30" fillId="0" borderId="223" xfId="0" applyNumberFormat="1" applyFont="1" applyBorder="1" applyAlignment="1">
      <alignment horizontal="center" wrapText="1"/>
    </xf>
    <xf numFmtId="0" fontId="10" fillId="10" borderId="224" xfId="0" applyFont="1" applyFill="1" applyBorder="1" applyAlignment="1">
      <alignment horizontal="center" wrapText="1"/>
    </xf>
    <xf numFmtId="0" fontId="10" fillId="10" borderId="225" xfId="0" applyFont="1" applyFill="1" applyBorder="1" applyAlignment="1">
      <alignment horizontal="center" wrapText="1"/>
    </xf>
    <xf numFmtId="4" fontId="10" fillId="10" borderId="226" xfId="0" applyNumberFormat="1" applyFont="1" applyFill="1" applyBorder="1"/>
    <xf numFmtId="4" fontId="10" fillId="10" borderId="226" xfId="0" applyNumberFormat="1" applyFont="1" applyFill="1" applyBorder="1" applyAlignment="1">
      <alignment horizontal="center" wrapText="1"/>
    </xf>
    <xf numFmtId="4" fontId="10" fillId="10" borderId="227" xfId="0" applyNumberFormat="1" applyFont="1" applyFill="1" applyBorder="1" applyAlignment="1">
      <alignment horizontal="center"/>
    </xf>
    <xf numFmtId="0" fontId="39" fillId="0" borderId="221" xfId="0" applyFont="1" applyBorder="1" applyAlignment="1">
      <alignment horizontal="center" wrapText="1"/>
    </xf>
    <xf numFmtId="4" fontId="39" fillId="0" borderId="222" xfId="0" applyNumberFormat="1" applyFont="1" applyBorder="1" applyAlignment="1">
      <alignment horizontal="center" wrapText="1"/>
    </xf>
    <xf numFmtId="4" fontId="39" fillId="0" borderId="222" xfId="0" applyNumberFormat="1" applyFont="1" applyBorder="1" applyAlignment="1">
      <alignment horizontal="center"/>
    </xf>
    <xf numFmtId="4" fontId="39" fillId="0" borderId="223" xfId="0" applyNumberFormat="1" applyFont="1" applyBorder="1" applyAlignment="1">
      <alignment horizontal="center" wrapText="1"/>
    </xf>
    <xf numFmtId="0" fontId="10" fillId="0" borderId="224" xfId="0" applyFont="1" applyBorder="1" applyAlignment="1">
      <alignment horizontal="center" wrapText="1"/>
    </xf>
    <xf numFmtId="4" fontId="63" fillId="0" borderId="21" xfId="0" applyNumberFormat="1" applyFont="1" applyBorder="1" applyAlignment="1">
      <alignment horizontal="center" wrapText="1"/>
    </xf>
    <xf numFmtId="0" fontId="39" fillId="0" borderId="229" xfId="0" applyFont="1" applyBorder="1" applyAlignment="1">
      <alignment horizontal="center" wrapText="1"/>
    </xf>
    <xf numFmtId="0" fontId="10" fillId="0" borderId="225" xfId="0" applyFont="1" applyBorder="1" applyAlignment="1">
      <alignment horizontal="center" wrapText="1"/>
    </xf>
    <xf numFmtId="4" fontId="145" fillId="0" borderId="0" xfId="0" applyNumberFormat="1" applyFont="1" applyAlignment="1">
      <alignment horizontal="center"/>
    </xf>
    <xf numFmtId="0" fontId="47" fillId="0" borderId="18" xfId="0" applyFont="1" applyBorder="1"/>
    <xf numFmtId="0" fontId="131" fillId="0" borderId="0" xfId="0" applyFont="1" applyAlignment="1">
      <alignment vertical="center"/>
    </xf>
    <xf numFmtId="0" fontId="47" fillId="0" borderId="0" xfId="0" applyFont="1" applyAlignment="1">
      <alignment horizontal="left"/>
    </xf>
    <xf numFmtId="49" fontId="58" fillId="0" borderId="20" xfId="0" applyNumberFormat="1" applyFont="1" applyBorder="1" applyAlignment="1">
      <alignment horizontal="center" vertical="center"/>
    </xf>
    <xf numFmtId="0" fontId="106" fillId="0" borderId="0" xfId="0" applyFont="1" applyAlignment="1">
      <alignment horizontal="center" vertical="center"/>
    </xf>
    <xf numFmtId="0" fontId="58" fillId="0" borderId="0" xfId="0" applyFont="1" applyAlignment="1">
      <alignment horizontal="left" vertical="center" wrapText="1"/>
    </xf>
    <xf numFmtId="4" fontId="106" fillId="0" borderId="0" xfId="0" applyNumberFormat="1" applyFont="1" applyAlignment="1">
      <alignment horizontal="center" vertical="center" wrapText="1"/>
    </xf>
    <xf numFmtId="4" fontId="106" fillId="0" borderId="0" xfId="0" applyNumberFormat="1" applyFont="1" applyAlignment="1">
      <alignment horizontal="center" vertical="center"/>
    </xf>
    <xf numFmtId="4" fontId="122" fillId="0" borderId="0" xfId="0" applyNumberFormat="1" applyFont="1" applyAlignment="1">
      <alignment horizontal="center" vertical="center"/>
    </xf>
    <xf numFmtId="4" fontId="106" fillId="0" borderId="21" xfId="0" applyNumberFormat="1" applyFont="1" applyBorder="1" applyAlignment="1">
      <alignment horizontal="center" vertical="center"/>
    </xf>
    <xf numFmtId="49" fontId="39" fillId="0" borderId="20" xfId="0" applyNumberFormat="1" applyFont="1" applyBorder="1" applyAlignment="1">
      <alignment horizontal="center" vertical="center"/>
    </xf>
    <xf numFmtId="0" fontId="39" fillId="0" borderId="0" xfId="0" applyFont="1" applyAlignment="1">
      <alignment horizontal="left" vertical="center" wrapText="1"/>
    </xf>
    <xf numFmtId="4" fontId="10" fillId="0" borderId="21" xfId="0" applyNumberFormat="1" applyFont="1" applyBorder="1" applyAlignment="1">
      <alignment horizontal="center" vertical="center"/>
    </xf>
    <xf numFmtId="49" fontId="39" fillId="0" borderId="81" xfId="0" applyNumberFormat="1" applyFont="1" applyBorder="1" applyAlignment="1">
      <alignment horizontal="left" vertical="center"/>
    </xf>
    <xf numFmtId="169" fontId="70" fillId="0" borderId="82" xfId="0" applyNumberFormat="1" applyFont="1" applyBorder="1"/>
    <xf numFmtId="0" fontId="24" fillId="27" borderId="206" xfId="0" applyFont="1" applyFill="1" applyBorder="1" applyAlignment="1">
      <alignment horizontal="center"/>
    </xf>
    <xf numFmtId="0" fontId="24" fillId="27" borderId="206" xfId="0" applyFont="1" applyFill="1" applyBorder="1" applyAlignment="1">
      <alignment wrapText="1"/>
    </xf>
    <xf numFmtId="0" fontId="24" fillId="27" borderId="206" xfId="0" applyFont="1" applyFill="1" applyBorder="1"/>
    <xf numFmtId="165" fontId="24" fillId="27" borderId="206" xfId="0" applyNumberFormat="1" applyFont="1" applyFill="1" applyBorder="1"/>
    <xf numFmtId="165" fontId="9" fillId="3" borderId="0" xfId="0" applyNumberFormat="1" applyFont="1" applyFill="1"/>
    <xf numFmtId="165" fontId="9" fillId="27" borderId="0" xfId="0" applyNumberFormat="1" applyFont="1" applyFill="1" applyAlignment="1">
      <alignment horizontal="left"/>
    </xf>
    <xf numFmtId="0" fontId="78" fillId="0" borderId="0" xfId="0" applyFont="1" applyAlignment="1">
      <alignment horizontal="center" vertical="top"/>
    </xf>
    <xf numFmtId="172" fontId="78" fillId="0" borderId="0" xfId="0" applyNumberFormat="1" applyFont="1" applyAlignment="1">
      <alignment horizontal="center"/>
    </xf>
    <xf numFmtId="165" fontId="78" fillId="0" borderId="0" xfId="0" applyNumberFormat="1" applyFont="1" applyAlignment="1">
      <alignment vertical="top" wrapText="1"/>
    </xf>
    <xf numFmtId="165" fontId="78" fillId="0" borderId="0" xfId="0" applyNumberFormat="1" applyFont="1" applyAlignment="1">
      <alignment vertical="center"/>
    </xf>
    <xf numFmtId="4" fontId="24" fillId="2" borderId="0" xfId="0" applyNumberFormat="1" applyFont="1" applyFill="1" applyAlignment="1">
      <alignment horizontal="center" vertical="center"/>
    </xf>
    <xf numFmtId="165" fontId="9" fillId="0" borderId="0" xfId="0" applyNumberFormat="1" applyFont="1" applyAlignment="1">
      <alignment horizontal="left" vertical="top"/>
    </xf>
    <xf numFmtId="176" fontId="78" fillId="0" borderId="0" xfId="0" applyNumberFormat="1" applyFont="1" applyAlignment="1">
      <alignment horizontal="center"/>
    </xf>
    <xf numFmtId="165" fontId="78" fillId="0" borderId="0" xfId="0" applyNumberFormat="1" applyFont="1" applyAlignment="1">
      <alignment horizontal="center"/>
    </xf>
    <xf numFmtId="1" fontId="78" fillId="0" borderId="0" xfId="0" applyNumberFormat="1" applyFont="1" applyAlignment="1">
      <alignment horizontal="center"/>
    </xf>
    <xf numFmtId="165" fontId="9" fillId="6" borderId="0" xfId="0" applyNumberFormat="1" applyFont="1" applyFill="1" applyAlignment="1">
      <alignment horizontal="left" vertical="top"/>
    </xf>
    <xf numFmtId="0" fontId="78" fillId="0" borderId="0" xfId="0" applyFont="1" applyAlignment="1">
      <alignment vertical="center"/>
    </xf>
    <xf numFmtId="10" fontId="0" fillId="0" borderId="0" xfId="2" applyNumberFormat="1" applyFont="1"/>
    <xf numFmtId="44" fontId="0" fillId="0" borderId="0" xfId="0" applyNumberFormat="1"/>
    <xf numFmtId="0" fontId="0" fillId="0" borderId="0" xfId="0" applyAlignment="1">
      <alignment vertical="center"/>
    </xf>
    <xf numFmtId="165" fontId="0" fillId="0" borderId="0" xfId="0" applyNumberFormat="1"/>
    <xf numFmtId="44" fontId="0" fillId="0" borderId="0" xfId="1" applyFont="1"/>
    <xf numFmtId="0" fontId="8" fillId="0" borderId="73" xfId="0" applyFont="1" applyBorder="1" applyAlignment="1">
      <alignment wrapText="1"/>
    </xf>
    <xf numFmtId="0" fontId="153" fillId="43" borderId="234" xfId="3" applyFont="1" applyFill="1" applyBorder="1" applyAlignment="1">
      <alignment horizontal="center" vertical="center"/>
    </xf>
    <xf numFmtId="0" fontId="153" fillId="43" borderId="193" xfId="3" applyFont="1" applyFill="1" applyAlignment="1">
      <alignment horizontal="center" vertical="center"/>
    </xf>
    <xf numFmtId="0" fontId="10" fillId="10" borderId="109" xfId="0" applyFont="1" applyFill="1" applyBorder="1" applyAlignment="1">
      <alignment horizontal="center" vertical="center" wrapText="1"/>
    </xf>
    <xf numFmtId="0" fontId="57" fillId="20" borderId="70" xfId="0" applyFont="1" applyFill="1" applyBorder="1" applyAlignment="1">
      <alignment horizontal="center" vertical="center"/>
    </xf>
    <xf numFmtId="0" fontId="57" fillId="20" borderId="112" xfId="0" applyFont="1" applyFill="1" applyBorder="1" applyAlignment="1">
      <alignment horizontal="center" vertical="center"/>
    </xf>
    <xf numFmtId="0" fontId="46" fillId="0" borderId="193" xfId="0" applyFont="1" applyBorder="1" applyAlignment="1">
      <alignment wrapText="1"/>
    </xf>
    <xf numFmtId="172" fontId="10" fillId="0" borderId="179" xfId="0" applyNumberFormat="1" applyFont="1" applyBorder="1" applyAlignment="1">
      <alignment vertical="center"/>
    </xf>
    <xf numFmtId="0" fontId="24" fillId="0" borderId="235" xfId="0" applyFont="1" applyBorder="1" applyAlignment="1">
      <alignment horizontal="left" vertical="center" wrapText="1"/>
    </xf>
    <xf numFmtId="0" fontId="10" fillId="0" borderId="239" xfId="0" applyFont="1" applyBorder="1"/>
    <xf numFmtId="0" fontId="10" fillId="0" borderId="240" xfId="0" applyFont="1" applyBorder="1"/>
    <xf numFmtId="0" fontId="24" fillId="0" borderId="241" xfId="0" applyFont="1" applyBorder="1" applyAlignment="1">
      <alignment horizontal="left" vertical="center" wrapText="1"/>
    </xf>
    <xf numFmtId="0" fontId="10" fillId="0" borderId="193" xfId="0" applyFont="1" applyBorder="1"/>
    <xf numFmtId="0" fontId="10" fillId="0" borderId="242" xfId="0" applyFont="1" applyBorder="1"/>
    <xf numFmtId="0" fontId="82" fillId="19" borderId="193" xfId="0" applyFont="1" applyFill="1" applyBorder="1" applyAlignment="1">
      <alignment horizontal="left"/>
    </xf>
    <xf numFmtId="0" fontId="82" fillId="19" borderId="242" xfId="0" applyFont="1" applyFill="1" applyBorder="1" applyAlignment="1">
      <alignment horizontal="left"/>
    </xf>
    <xf numFmtId="1" fontId="83" fillId="2" borderId="245" xfId="0" applyNumberFormat="1" applyFont="1" applyFill="1" applyBorder="1" applyAlignment="1">
      <alignment horizontal="center" vertical="center" wrapText="1"/>
    </xf>
    <xf numFmtId="0" fontId="10" fillId="0" borderId="193" xfId="0" applyFont="1" applyBorder="1" applyAlignment="1">
      <alignment vertical="center"/>
    </xf>
    <xf numFmtId="0" fontId="10" fillId="0" borderId="242" xfId="0" applyFont="1" applyBorder="1" applyAlignment="1">
      <alignment vertical="center"/>
    </xf>
    <xf numFmtId="188" fontId="84" fillId="16" borderId="248" xfId="0" applyNumberFormat="1" applyFont="1" applyFill="1" applyBorder="1" applyAlignment="1">
      <alignment vertical="center" wrapText="1"/>
    </xf>
    <xf numFmtId="0" fontId="39" fillId="0" borderId="193" xfId="0" applyFont="1" applyBorder="1"/>
    <xf numFmtId="0" fontId="39" fillId="0" borderId="242" xfId="0" applyFont="1" applyBorder="1"/>
    <xf numFmtId="49" fontId="85" fillId="19" borderId="249" xfId="0" applyNumberFormat="1" applyFont="1" applyFill="1" applyBorder="1" applyAlignment="1">
      <alignment horizontal="center" vertical="center"/>
    </xf>
    <xf numFmtId="165" fontId="10" fillId="0" borderId="193" xfId="0" applyNumberFormat="1" applyFont="1" applyBorder="1"/>
    <xf numFmtId="0" fontId="10" fillId="0" borderId="250" xfId="0" applyFont="1" applyBorder="1" applyAlignment="1">
      <alignment horizontal="center"/>
    </xf>
    <xf numFmtId="49" fontId="85" fillId="19" borderId="251" xfId="0" applyNumberFormat="1" applyFont="1" applyFill="1" applyBorder="1" applyAlignment="1">
      <alignment horizontal="center" vertical="center"/>
    </xf>
    <xf numFmtId="172" fontId="39" fillId="3" borderId="248" xfId="0" applyNumberFormat="1" applyFont="1" applyFill="1" applyBorder="1" applyAlignment="1">
      <alignment horizontal="center" vertical="center" wrapText="1"/>
    </xf>
    <xf numFmtId="49" fontId="10" fillId="0" borderId="248" xfId="0" applyNumberFormat="1" applyFont="1" applyBorder="1" applyAlignment="1">
      <alignment horizontal="center" vertical="center"/>
    </xf>
    <xf numFmtId="0" fontId="10" fillId="0" borderId="248" xfId="0" applyFont="1" applyBorder="1" applyAlignment="1">
      <alignment horizontal="center"/>
    </xf>
    <xf numFmtId="172" fontId="25" fillId="10" borderId="248" xfId="0" applyNumberFormat="1" applyFont="1" applyFill="1" applyBorder="1" applyAlignment="1">
      <alignment horizontal="center" vertical="center" wrapText="1"/>
    </xf>
    <xf numFmtId="165" fontId="10" fillId="10" borderId="193" xfId="0" applyNumberFormat="1" applyFont="1" applyFill="1" applyBorder="1"/>
    <xf numFmtId="0" fontId="10" fillId="10" borderId="193" xfId="0" applyFont="1" applyFill="1" applyBorder="1"/>
    <xf numFmtId="0" fontId="10" fillId="10" borderId="242" xfId="0" applyFont="1" applyFill="1" applyBorder="1"/>
    <xf numFmtId="49" fontId="10" fillId="10" borderId="248" xfId="0" applyNumberFormat="1" applyFont="1" applyFill="1" applyBorder="1" applyAlignment="1">
      <alignment horizontal="center" vertical="center"/>
    </xf>
    <xf numFmtId="0" fontId="39" fillId="10" borderId="193" xfId="0" applyFont="1" applyFill="1" applyBorder="1"/>
    <xf numFmtId="0" fontId="39" fillId="10" borderId="242" xfId="0" applyFont="1" applyFill="1" applyBorder="1"/>
    <xf numFmtId="1" fontId="39" fillId="0" borderId="243" xfId="0" applyNumberFormat="1" applyFont="1" applyBorder="1"/>
    <xf numFmtId="172" fontId="39" fillId="0" borderId="193" xfId="0" applyNumberFormat="1" applyFont="1" applyBorder="1" applyAlignment="1">
      <alignment vertical="center" wrapText="1"/>
    </xf>
    <xf numFmtId="165" fontId="10" fillId="0" borderId="254" xfId="0" applyNumberFormat="1" applyFont="1" applyBorder="1"/>
    <xf numFmtId="0" fontId="10" fillId="0" borderId="254" xfId="0" applyFont="1" applyBorder="1"/>
    <xf numFmtId="0" fontId="10" fillId="0" borderId="258" xfId="0" applyFont="1" applyBorder="1"/>
    <xf numFmtId="1" fontId="25" fillId="25" borderId="250" xfId="0" applyNumberFormat="1" applyFont="1" applyFill="1" applyBorder="1"/>
    <xf numFmtId="0" fontId="24" fillId="25" borderId="182" xfId="0" applyFont="1" applyFill="1" applyBorder="1" applyAlignment="1">
      <alignment vertical="center" wrapText="1"/>
    </xf>
    <xf numFmtId="168" fontId="24" fillId="25" borderId="182" xfId="0" applyNumberFormat="1" applyFont="1" applyFill="1" applyBorder="1" applyAlignment="1">
      <alignment vertical="center"/>
    </xf>
    <xf numFmtId="10" fontId="24" fillId="25" borderId="181" xfId="0" applyNumberFormat="1" applyFont="1" applyFill="1" applyBorder="1" applyAlignment="1">
      <alignment horizontal="center" vertical="center"/>
    </xf>
    <xf numFmtId="10" fontId="24" fillId="25" borderId="184" xfId="0" applyNumberFormat="1" applyFont="1" applyFill="1" applyBorder="1" applyAlignment="1">
      <alignment horizontal="center" vertical="center" wrapText="1"/>
    </xf>
    <xf numFmtId="10" fontId="25" fillId="25" borderId="182" xfId="0" applyNumberFormat="1" applyFont="1" applyFill="1" applyBorder="1" applyAlignment="1">
      <alignment vertical="center"/>
    </xf>
    <xf numFmtId="165" fontId="25" fillId="25" borderId="182" xfId="0" applyNumberFormat="1" applyFont="1" applyFill="1" applyBorder="1" applyAlignment="1">
      <alignment vertical="center"/>
    </xf>
    <xf numFmtId="1" fontId="25" fillId="0" borderId="252" xfId="0" applyNumberFormat="1" applyFont="1" applyBorder="1"/>
    <xf numFmtId="169" fontId="24" fillId="0" borderId="176" xfId="0" applyNumberFormat="1" applyFont="1" applyBorder="1" applyAlignment="1">
      <alignment horizontal="center"/>
    </xf>
    <xf numFmtId="10" fontId="24" fillId="0" borderId="176" xfId="0" applyNumberFormat="1" applyFont="1" applyBorder="1" applyAlignment="1">
      <alignment horizontal="center"/>
    </xf>
    <xf numFmtId="10" fontId="24" fillId="26" borderId="188" xfId="0" applyNumberFormat="1" applyFont="1" applyFill="1" applyBorder="1" applyAlignment="1">
      <alignment horizontal="center"/>
    </xf>
    <xf numFmtId="1" fontId="25" fillId="0" borderId="253" xfId="0" applyNumberFormat="1" applyFont="1" applyBorder="1"/>
    <xf numFmtId="169" fontId="24" fillId="0" borderId="256" xfId="0" applyNumberFormat="1" applyFont="1" applyBorder="1" applyAlignment="1">
      <alignment horizontal="center"/>
    </xf>
    <xf numFmtId="10" fontId="24" fillId="0" borderId="256" xfId="0" applyNumberFormat="1" applyFont="1" applyBorder="1" applyAlignment="1">
      <alignment horizontal="center"/>
    </xf>
    <xf numFmtId="165" fontId="24" fillId="0" borderId="256" xfId="0" applyNumberFormat="1" applyFont="1" applyBorder="1" applyAlignment="1">
      <alignment horizontal="center"/>
    </xf>
    <xf numFmtId="165" fontId="89" fillId="0" borderId="256" xfId="0" applyNumberFormat="1" applyFont="1" applyBorder="1"/>
    <xf numFmtId="0" fontId="89" fillId="0" borderId="257" xfId="0" applyFont="1" applyBorder="1"/>
    <xf numFmtId="1" fontId="25" fillId="0" borderId="193" xfId="0" applyNumberFormat="1" applyFont="1" applyBorder="1"/>
    <xf numFmtId="1" fontId="24" fillId="0" borderId="193" xfId="0" applyNumberFormat="1" applyFont="1" applyBorder="1" applyAlignment="1">
      <alignment horizontal="right" vertical="center" wrapText="1"/>
    </xf>
    <xf numFmtId="0" fontId="159" fillId="0" borderId="193" xfId="0" applyFont="1" applyBorder="1"/>
    <xf numFmtId="169" fontId="24" fillId="0" borderId="193" xfId="0" applyNumberFormat="1" applyFont="1" applyBorder="1" applyAlignment="1">
      <alignment horizontal="center"/>
    </xf>
    <xf numFmtId="10" fontId="24" fillId="0" borderId="193" xfId="0" applyNumberFormat="1" applyFont="1" applyBorder="1" applyAlignment="1">
      <alignment horizontal="center"/>
    </xf>
    <xf numFmtId="165" fontId="24" fillId="0" borderId="193" xfId="0" applyNumberFormat="1" applyFont="1" applyBorder="1" applyAlignment="1">
      <alignment horizontal="center"/>
    </xf>
    <xf numFmtId="165" fontId="89" fillId="0" borderId="193" xfId="0" applyNumberFormat="1" applyFont="1" applyBorder="1"/>
    <xf numFmtId="0" fontId="89" fillId="0" borderId="193" xfId="0" applyFont="1" applyBorder="1"/>
    <xf numFmtId="43" fontId="0" fillId="0" borderId="0" xfId="4" applyFont="1"/>
    <xf numFmtId="0" fontId="44" fillId="44" borderId="0" xfId="0" applyFont="1" applyFill="1" applyAlignment="1">
      <alignment wrapText="1"/>
    </xf>
    <xf numFmtId="0" fontId="46" fillId="44" borderId="0" xfId="0" applyFont="1" applyFill="1" applyAlignment="1">
      <alignment wrapText="1"/>
    </xf>
    <xf numFmtId="0" fontId="157" fillId="44" borderId="0" xfId="0" applyFont="1" applyFill="1" applyAlignment="1">
      <alignment wrapText="1"/>
    </xf>
    <xf numFmtId="43" fontId="0" fillId="0" borderId="0" xfId="0" applyNumberFormat="1"/>
    <xf numFmtId="0" fontId="0" fillId="45" borderId="0" xfId="0" applyFill="1"/>
    <xf numFmtId="168" fontId="24" fillId="0" borderId="174" xfId="0" applyNumberFormat="1" applyFont="1" applyBorder="1" applyAlignment="1">
      <alignment horizontal="center" vertical="center"/>
    </xf>
    <xf numFmtId="168" fontId="24" fillId="0" borderId="90" xfId="0" applyNumberFormat="1" applyFont="1" applyBorder="1" applyAlignment="1">
      <alignment horizontal="center" vertical="center"/>
    </xf>
    <xf numFmtId="0" fontId="12" fillId="0" borderId="193" xfId="5" applyAlignment="1">
      <alignment vertical="center"/>
    </xf>
    <xf numFmtId="0" fontId="12" fillId="0" borderId="260" xfId="5" applyBorder="1" applyAlignment="1">
      <alignment vertical="center"/>
    </xf>
    <xf numFmtId="0" fontId="12" fillId="0" borderId="261" xfId="5" applyBorder="1" applyAlignment="1">
      <alignment vertical="center"/>
    </xf>
    <xf numFmtId="0" fontId="12" fillId="0" borderId="262" xfId="5" applyBorder="1" applyAlignment="1">
      <alignment vertical="center"/>
    </xf>
    <xf numFmtId="0" fontId="12" fillId="0" borderId="263" xfId="5" applyBorder="1" applyAlignment="1">
      <alignment vertical="center"/>
    </xf>
    <xf numFmtId="0" fontId="12" fillId="0" borderId="264" xfId="5" applyBorder="1" applyAlignment="1">
      <alignment vertical="center"/>
    </xf>
    <xf numFmtId="0" fontId="165" fillId="0" borderId="193" xfId="5" applyFont="1" applyAlignment="1">
      <alignment vertical="center"/>
    </xf>
    <xf numFmtId="0" fontId="170" fillId="0" borderId="263" xfId="5" applyFont="1" applyBorder="1" applyAlignment="1">
      <alignment vertical="center"/>
    </xf>
    <xf numFmtId="0" fontId="170" fillId="0" borderId="193" xfId="5" applyFont="1" applyAlignment="1">
      <alignment vertical="center"/>
    </xf>
    <xf numFmtId="0" fontId="170" fillId="0" borderId="265" xfId="5" applyFont="1" applyBorder="1" applyAlignment="1">
      <alignment vertical="center"/>
    </xf>
    <xf numFmtId="0" fontId="170" fillId="0" borderId="266" xfId="5" applyFont="1" applyBorder="1" applyAlignment="1">
      <alignment vertical="center"/>
    </xf>
    <xf numFmtId="0" fontId="170" fillId="0" borderId="267" xfId="5" applyFont="1" applyBorder="1" applyAlignment="1">
      <alignment vertical="center"/>
    </xf>
    <xf numFmtId="0" fontId="170" fillId="0" borderId="268" xfId="5" applyFont="1" applyBorder="1" applyAlignment="1">
      <alignment vertical="center"/>
    </xf>
    <xf numFmtId="0" fontId="172" fillId="0" borderId="193" xfId="5" applyFont="1" applyAlignment="1">
      <alignment horizontal="left" vertical="center"/>
    </xf>
    <xf numFmtId="0" fontId="174" fillId="0" borderId="193" xfId="5" applyFont="1" applyAlignment="1">
      <alignment vertical="center"/>
    </xf>
    <xf numFmtId="0" fontId="175" fillId="0" borderId="193" xfId="5" applyFont="1" applyAlignment="1">
      <alignment vertical="center"/>
    </xf>
    <xf numFmtId="0" fontId="170" fillId="0" borderId="270" xfId="5" applyFont="1" applyBorder="1" applyAlignment="1">
      <alignment vertical="center"/>
    </xf>
    <xf numFmtId="0" fontId="170" fillId="0" borderId="271" xfId="5" applyFont="1" applyBorder="1" applyAlignment="1">
      <alignment horizontal="center" vertical="center"/>
    </xf>
    <xf numFmtId="0" fontId="170" fillId="0" borderId="271" xfId="5" applyFont="1" applyBorder="1" applyAlignment="1">
      <alignment vertical="center"/>
    </xf>
    <xf numFmtId="0" fontId="170" fillId="0" borderId="271" xfId="5" applyFont="1" applyBorder="1" applyAlignment="1">
      <alignment horizontal="left" vertical="center"/>
    </xf>
    <xf numFmtId="0" fontId="170" fillId="0" borderId="272" xfId="5" applyFont="1" applyBorder="1" applyAlignment="1">
      <alignment vertical="center"/>
    </xf>
    <xf numFmtId="0" fontId="175" fillId="0" borderId="193" xfId="5" applyFont="1" applyAlignment="1">
      <alignment horizontal="center" vertical="center"/>
    </xf>
    <xf numFmtId="0" fontId="171" fillId="0" borderId="193" xfId="5" applyFont="1" applyAlignment="1">
      <alignment vertical="center"/>
    </xf>
    <xf numFmtId="0" fontId="170" fillId="0" borderId="193" xfId="5" applyFont="1" applyAlignment="1">
      <alignment horizontal="left" vertical="center"/>
    </xf>
    <xf numFmtId="0" fontId="177" fillId="0" borderId="263" xfId="5" applyFont="1" applyBorder="1" applyAlignment="1">
      <alignment vertical="center"/>
    </xf>
    <xf numFmtId="0" fontId="177" fillId="0" borderId="264" xfId="5" applyFont="1" applyBorder="1" applyAlignment="1">
      <alignment vertical="center"/>
    </xf>
    <xf numFmtId="0" fontId="177" fillId="0" borderId="193" xfId="5" applyFont="1" applyAlignment="1">
      <alignment vertical="center"/>
    </xf>
    <xf numFmtId="0" fontId="177" fillId="0" borderId="273" xfId="5" applyFont="1" applyBorder="1" applyAlignment="1">
      <alignment vertical="center"/>
    </xf>
    <xf numFmtId="0" fontId="177" fillId="0" borderId="259" xfId="5" applyFont="1" applyBorder="1" applyAlignment="1">
      <alignment vertical="center"/>
    </xf>
    <xf numFmtId="0" fontId="177" fillId="0" borderId="274" xfId="5" applyFont="1" applyBorder="1" applyAlignment="1">
      <alignment vertical="center"/>
    </xf>
    <xf numFmtId="0" fontId="5" fillId="0" borderId="193" xfId="7" applyAlignment="1">
      <alignment vertical="center"/>
    </xf>
    <xf numFmtId="0" fontId="164" fillId="48" borderId="193" xfId="7" applyFont="1" applyFill="1" applyAlignment="1">
      <alignment horizontal="left" vertical="center"/>
    </xf>
    <xf numFmtId="0" fontId="164" fillId="48" borderId="193" xfId="7" applyFont="1" applyFill="1" applyAlignment="1">
      <alignment vertical="center"/>
    </xf>
    <xf numFmtId="0" fontId="164" fillId="48" borderId="193" xfId="7" applyFont="1" applyFill="1" applyAlignment="1">
      <alignment vertical="center" wrapText="1"/>
    </xf>
    <xf numFmtId="0" fontId="5" fillId="0" borderId="193" xfId="7" applyAlignment="1">
      <alignment horizontal="center" vertical="center"/>
    </xf>
    <xf numFmtId="0" fontId="5" fillId="0" borderId="193" xfId="7" applyAlignment="1">
      <alignment horizontal="left" vertical="center"/>
    </xf>
    <xf numFmtId="0" fontId="182" fillId="0" borderId="193" xfId="7" applyFont="1" applyAlignment="1">
      <alignment vertical="center"/>
    </xf>
    <xf numFmtId="0" fontId="5" fillId="0" borderId="277" xfId="7" applyBorder="1" applyAlignment="1">
      <alignment vertical="center"/>
    </xf>
    <xf numFmtId="193" fontId="184" fillId="49" borderId="193" xfId="8" applyNumberFormat="1" applyFont="1" applyFill="1" applyAlignment="1">
      <alignment horizontal="left" vertical="center"/>
    </xf>
    <xf numFmtId="193" fontId="179" fillId="49" borderId="193" xfId="8" applyNumberFormat="1" applyFont="1" applyFill="1" applyAlignment="1">
      <alignment horizontal="left" vertical="center"/>
    </xf>
    <xf numFmtId="192" fontId="184" fillId="49" borderId="193" xfId="7" applyNumberFormat="1" applyFont="1" applyFill="1" applyAlignment="1">
      <alignment horizontal="left" vertical="center" indent="2"/>
    </xf>
    <xf numFmtId="0" fontId="164" fillId="0" borderId="193" xfId="7" applyFont="1" applyAlignment="1">
      <alignment vertical="center"/>
    </xf>
    <xf numFmtId="14" fontId="5" fillId="0" borderId="193" xfId="7" applyNumberFormat="1" applyAlignment="1">
      <alignment vertical="center"/>
    </xf>
    <xf numFmtId="0" fontId="164" fillId="0" borderId="254" xfId="7" applyFont="1" applyBorder="1" applyAlignment="1">
      <alignment vertical="center"/>
    </xf>
    <xf numFmtId="0" fontId="188" fillId="0" borderId="193" xfId="7" applyFont="1" applyAlignment="1">
      <alignment vertical="center"/>
    </xf>
    <xf numFmtId="16" fontId="5" fillId="0" borderId="193" xfId="7" applyNumberFormat="1" applyAlignment="1">
      <alignment vertical="center"/>
    </xf>
    <xf numFmtId="0" fontId="170" fillId="0" borderId="193" xfId="7" applyFont="1" applyAlignment="1">
      <alignment vertical="center"/>
    </xf>
    <xf numFmtId="0" fontId="170" fillId="0" borderId="193" xfId="7" applyFont="1" applyAlignment="1">
      <alignment horizontal="center" vertical="center"/>
    </xf>
    <xf numFmtId="0" fontId="164" fillId="0" borderId="193" xfId="7" applyFont="1" applyAlignment="1">
      <alignment horizontal="center" vertical="center"/>
    </xf>
    <xf numFmtId="0" fontId="191" fillId="47" borderId="285" xfId="7" applyFont="1" applyFill="1" applyBorder="1" applyAlignment="1">
      <alignment horizontal="center" vertical="center"/>
    </xf>
    <xf numFmtId="0" fontId="191" fillId="47" borderId="285" xfId="7" applyFont="1" applyFill="1" applyBorder="1" applyAlignment="1">
      <alignment horizontal="left" vertical="center" indent="2"/>
    </xf>
    <xf numFmtId="0" fontId="47" fillId="0" borderId="286" xfId="7" applyFont="1" applyBorder="1" applyAlignment="1">
      <alignment horizontal="center" vertical="center"/>
    </xf>
    <xf numFmtId="0" fontId="192" fillId="0" borderId="193" xfId="7" applyFont="1" applyAlignment="1">
      <alignment vertical="center"/>
    </xf>
    <xf numFmtId="0" fontId="47" fillId="0" borderId="287" xfId="7" applyFont="1" applyBorder="1" applyAlignment="1">
      <alignment horizontal="center" vertical="center"/>
    </xf>
    <xf numFmtId="0" fontId="164" fillId="0" borderId="193" xfId="7" applyFont="1" applyAlignment="1">
      <alignment horizontal="right" vertical="center"/>
    </xf>
    <xf numFmtId="14" fontId="164" fillId="0" borderId="193" xfId="7" applyNumberFormat="1" applyFont="1" applyAlignment="1">
      <alignment vertical="center"/>
    </xf>
    <xf numFmtId="0" fontId="47" fillId="0" borderId="288" xfId="7" applyFont="1" applyBorder="1" applyAlignment="1">
      <alignment horizontal="center" vertical="center"/>
    </xf>
    <xf numFmtId="0" fontId="5" fillId="50" borderId="289" xfId="7" applyFill="1" applyBorder="1" applyAlignment="1">
      <alignment vertical="center"/>
    </xf>
    <xf numFmtId="0" fontId="5" fillId="50" borderId="290" xfId="7" applyFill="1" applyBorder="1" applyAlignment="1">
      <alignment vertical="center"/>
    </xf>
    <xf numFmtId="0" fontId="193" fillId="50" borderId="290" xfId="7" applyFont="1" applyFill="1" applyBorder="1" applyAlignment="1">
      <alignment vertical="center"/>
    </xf>
    <xf numFmtId="0" fontId="47" fillId="50" borderId="291" xfId="7" applyFont="1" applyFill="1" applyBorder="1" applyAlignment="1">
      <alignment vertical="center"/>
    </xf>
    <xf numFmtId="4" fontId="194" fillId="0" borderId="193" xfId="7" applyNumberFormat="1" applyFont="1" applyAlignment="1">
      <alignment horizontal="center" vertical="center"/>
    </xf>
    <xf numFmtId="0" fontId="194" fillId="0" borderId="193" xfId="7" applyFont="1" applyAlignment="1">
      <alignment horizontal="center" vertical="center"/>
    </xf>
    <xf numFmtId="0" fontId="194" fillId="0" borderId="193" xfId="7" applyFont="1" applyAlignment="1">
      <alignment vertical="center"/>
    </xf>
    <xf numFmtId="0" fontId="195" fillId="0" borderId="193" xfId="7" applyFont="1" applyAlignment="1">
      <alignment horizontal="center" vertical="center"/>
    </xf>
    <xf numFmtId="0" fontId="196" fillId="0" borderId="193" xfId="7" applyFont="1" applyAlignment="1">
      <alignment horizontal="center" vertical="center"/>
    </xf>
    <xf numFmtId="0" fontId="194" fillId="0" borderId="193" xfId="7" applyFont="1" applyAlignment="1">
      <alignment horizontal="left" vertical="center" indent="1"/>
    </xf>
    <xf numFmtId="197" fontId="197" fillId="0" borderId="193" xfId="7" applyNumberFormat="1" applyFont="1" applyAlignment="1">
      <alignment horizontal="center" vertical="center"/>
    </xf>
    <xf numFmtId="0" fontId="197" fillId="0" borderId="193" xfId="7" applyFont="1" applyAlignment="1">
      <alignment horizontal="center" vertical="center"/>
    </xf>
    <xf numFmtId="0" fontId="197" fillId="0" borderId="193" xfId="7" applyFont="1" applyAlignment="1">
      <alignment vertical="center"/>
    </xf>
    <xf numFmtId="0" fontId="198" fillId="0" borderId="193" xfId="7" applyFont="1" applyAlignment="1">
      <alignment horizontal="center" vertical="center"/>
    </xf>
    <xf numFmtId="4" fontId="198" fillId="0" borderId="193" xfId="7" applyNumberFormat="1" applyFont="1" applyAlignment="1">
      <alignment horizontal="right" vertical="center" indent="1"/>
    </xf>
    <xf numFmtId="0" fontId="164" fillId="47" borderId="193" xfId="7" applyFont="1" applyFill="1" applyAlignment="1">
      <alignment vertical="center"/>
    </xf>
    <xf numFmtId="4" fontId="199" fillId="0" borderId="193" xfId="7" applyNumberFormat="1" applyFont="1" applyAlignment="1">
      <alignment horizontal="right" vertical="center" indent="1"/>
    </xf>
    <xf numFmtId="43" fontId="197" fillId="0" borderId="193" xfId="11" applyFont="1" applyBorder="1" applyAlignment="1" applyProtection="1">
      <alignment vertical="center"/>
    </xf>
    <xf numFmtId="43" fontId="197" fillId="0" borderId="193" xfId="11" applyFont="1" applyBorder="1" applyAlignment="1" applyProtection="1">
      <alignment horizontal="right" vertical="center" indent="1"/>
    </xf>
    <xf numFmtId="0" fontId="197" fillId="0" borderId="193" xfId="7" applyFont="1" applyAlignment="1">
      <alignment horizontal="left" vertical="center" indent="1"/>
    </xf>
    <xf numFmtId="43" fontId="197" fillId="0" borderId="193" xfId="7" applyNumberFormat="1" applyFont="1" applyAlignment="1">
      <alignment horizontal="left" vertical="center" indent="1"/>
    </xf>
    <xf numFmtId="44" fontId="197" fillId="0" borderId="193" xfId="7" applyNumberFormat="1" applyFont="1" applyAlignment="1">
      <alignment horizontal="left" vertical="center" indent="1"/>
    </xf>
    <xf numFmtId="0" fontId="5" fillId="47" borderId="193" xfId="7" applyFill="1" applyAlignment="1">
      <alignment vertical="center"/>
    </xf>
    <xf numFmtId="4" fontId="5" fillId="47" borderId="193" xfId="7" applyNumberFormat="1" applyFill="1" applyAlignment="1">
      <alignment vertical="center"/>
    </xf>
    <xf numFmtId="4" fontId="5" fillId="0" borderId="193" xfId="7" applyNumberFormat="1" applyAlignment="1">
      <alignment vertical="center"/>
    </xf>
    <xf numFmtId="0" fontId="164" fillId="48" borderId="193" xfId="7" applyFont="1" applyFill="1" applyAlignment="1">
      <alignment horizontal="center" vertical="center"/>
    </xf>
    <xf numFmtId="43" fontId="0" fillId="48" borderId="193" xfId="11" applyFont="1" applyFill="1" applyAlignment="1" applyProtection="1">
      <alignment vertical="center"/>
    </xf>
    <xf numFmtId="0" fontId="5" fillId="48" borderId="193" xfId="7" applyFill="1" applyAlignment="1">
      <alignment horizontal="center" vertical="center"/>
    </xf>
    <xf numFmtId="0" fontId="203" fillId="49" borderId="308" xfId="7" applyFont="1" applyFill="1" applyBorder="1" applyAlignment="1">
      <alignment vertical="center"/>
    </xf>
    <xf numFmtId="0" fontId="203" fillId="49" borderId="309" xfId="7" applyFont="1" applyFill="1" applyBorder="1" applyAlignment="1">
      <alignment vertical="center"/>
    </xf>
    <xf numFmtId="0" fontId="203" fillId="49" borderId="310" xfId="7" applyFont="1" applyFill="1" applyBorder="1" applyAlignment="1">
      <alignment vertical="center"/>
    </xf>
    <xf numFmtId="0" fontId="203" fillId="49" borderId="311" xfId="7" applyFont="1" applyFill="1" applyBorder="1" applyAlignment="1">
      <alignment vertical="center"/>
    </xf>
    <xf numFmtId="0" fontId="203" fillId="49" borderId="193" xfId="7" quotePrefix="1" applyFont="1" applyFill="1" applyAlignment="1">
      <alignment vertical="center"/>
    </xf>
    <xf numFmtId="0" fontId="203" fillId="49" borderId="193" xfId="7" applyFont="1" applyFill="1" applyAlignment="1">
      <alignment vertical="center"/>
    </xf>
    <xf numFmtId="0" fontId="203" fillId="49" borderId="312" xfId="7" applyFont="1" applyFill="1" applyBorder="1" applyAlignment="1">
      <alignment vertical="center"/>
    </xf>
    <xf numFmtId="0" fontId="203" fillId="49" borderId="313" xfId="7" applyFont="1" applyFill="1" applyBorder="1" applyAlignment="1">
      <alignment vertical="center"/>
    </xf>
    <xf numFmtId="0" fontId="203" fillId="49" borderId="314" xfId="7" quotePrefix="1" applyFont="1" applyFill="1" applyBorder="1" applyAlignment="1">
      <alignment vertical="center"/>
    </xf>
    <xf numFmtId="0" fontId="203" fillId="49" borderId="314" xfId="7" applyFont="1" applyFill="1" applyBorder="1" applyAlignment="1">
      <alignment vertical="center"/>
    </xf>
    <xf numFmtId="0" fontId="203" fillId="49" borderId="315" xfId="7" applyFont="1" applyFill="1" applyBorder="1" applyAlignment="1">
      <alignment vertical="center"/>
    </xf>
    <xf numFmtId="43" fontId="0" fillId="0" borderId="193" xfId="11" applyFont="1" applyAlignment="1" applyProtection="1">
      <alignment vertical="center"/>
    </xf>
    <xf numFmtId="0" fontId="177" fillId="0" borderId="193" xfId="6" applyFont="1" applyAlignment="1">
      <alignment vertical="center"/>
    </xf>
    <xf numFmtId="0" fontId="47" fillId="0" borderId="193" xfId="7" applyFont="1" applyAlignment="1">
      <alignment vertical="center"/>
    </xf>
    <xf numFmtId="0" fontId="177" fillId="0" borderId="243" xfId="6" applyFont="1" applyBorder="1" applyAlignment="1">
      <alignment vertical="center"/>
    </xf>
    <xf numFmtId="0" fontId="177" fillId="46" borderId="193" xfId="6" applyFont="1" applyFill="1" applyAlignment="1">
      <alignment vertical="center"/>
    </xf>
    <xf numFmtId="0" fontId="178" fillId="46" borderId="193" xfId="6" applyFont="1" applyFill="1" applyAlignment="1">
      <alignment vertical="center"/>
    </xf>
    <xf numFmtId="0" fontId="178" fillId="46" borderId="193" xfId="6" applyFont="1" applyFill="1" applyAlignment="1">
      <alignment horizontal="left" vertical="center"/>
    </xf>
    <xf numFmtId="0" fontId="47" fillId="0" borderId="242" xfId="7" applyFont="1" applyBorder="1" applyAlignment="1">
      <alignment vertical="center"/>
    </xf>
    <xf numFmtId="0" fontId="177" fillId="46" borderId="243" xfId="6" applyFont="1" applyFill="1" applyBorder="1" applyAlignment="1">
      <alignment vertical="center"/>
    </xf>
    <xf numFmtId="0" fontId="177" fillId="0" borderId="193" xfId="6" applyFont="1" applyAlignment="1">
      <alignment horizontal="left" vertical="center"/>
    </xf>
    <xf numFmtId="0" fontId="178" fillId="0" borderId="193" xfId="6" applyFont="1" applyAlignment="1">
      <alignment horizontal="left" vertical="center"/>
    </xf>
    <xf numFmtId="0" fontId="178" fillId="0" borderId="193" xfId="6" applyFont="1" applyAlignment="1">
      <alignment vertical="center"/>
    </xf>
    <xf numFmtId="0" fontId="207" fillId="0" borderId="243" xfId="6" applyFont="1" applyBorder="1" applyAlignment="1">
      <alignment vertical="center"/>
    </xf>
    <xf numFmtId="198" fontId="177" fillId="0" borderId="193" xfId="6" applyNumberFormat="1" applyFont="1" applyAlignment="1">
      <alignment vertical="center"/>
    </xf>
    <xf numFmtId="0" fontId="177" fillId="0" borderId="193" xfId="6" applyFont="1" applyAlignment="1">
      <alignment vertical="center" wrapText="1"/>
    </xf>
    <xf numFmtId="0" fontId="178" fillId="0" borderId="193" xfId="6" applyFont="1" applyAlignment="1">
      <alignment vertical="center" wrapText="1"/>
    </xf>
    <xf numFmtId="0" fontId="208" fillId="0" borderId="193" xfId="12" applyFont="1" applyAlignment="1">
      <alignment vertical="center"/>
    </xf>
    <xf numFmtId="0" fontId="47" fillId="0" borderId="193" xfId="12" applyFont="1" applyAlignment="1">
      <alignment vertical="center"/>
    </xf>
    <xf numFmtId="0" fontId="208" fillId="0" borderId="193" xfId="6" applyFont="1" applyAlignment="1">
      <alignment vertical="center"/>
    </xf>
    <xf numFmtId="0" fontId="210" fillId="0" borderId="193" xfId="12" applyFont="1" applyAlignment="1">
      <alignment vertical="center"/>
    </xf>
    <xf numFmtId="0" fontId="211" fillId="0" borderId="193" xfId="6" applyFont="1" applyAlignment="1">
      <alignment vertical="center"/>
    </xf>
    <xf numFmtId="0" fontId="199" fillId="0" borderId="193" xfId="6" applyFont="1" applyAlignment="1">
      <alignment vertical="center"/>
    </xf>
    <xf numFmtId="0" fontId="177" fillId="0" borderId="305" xfId="6" applyFont="1" applyBorder="1" applyAlignment="1">
      <alignment vertical="center"/>
    </xf>
    <xf numFmtId="0" fontId="177" fillId="0" borderId="254" xfId="6" applyFont="1" applyBorder="1" applyAlignment="1">
      <alignment vertical="center"/>
    </xf>
    <xf numFmtId="0" fontId="47" fillId="0" borderId="254" xfId="7" applyFont="1" applyBorder="1" applyAlignment="1">
      <alignment vertical="center"/>
    </xf>
    <xf numFmtId="0" fontId="47" fillId="0" borderId="258" xfId="7" applyFont="1" applyBorder="1" applyAlignment="1">
      <alignment vertical="center"/>
    </xf>
    <xf numFmtId="0" fontId="166" fillId="0" borderId="193" xfId="6" applyAlignment="1">
      <alignment vertical="center"/>
    </xf>
    <xf numFmtId="0" fontId="166" fillId="0" borderId="193" xfId="6" applyAlignment="1">
      <alignment horizontal="center" vertical="center"/>
    </xf>
    <xf numFmtId="0" fontId="12" fillId="0" borderId="193" xfId="6" applyFont="1" applyAlignment="1">
      <alignment vertical="center"/>
    </xf>
    <xf numFmtId="0" fontId="219" fillId="48" borderId="361" xfId="6" applyFont="1" applyFill="1" applyBorder="1" applyAlignment="1">
      <alignment horizontal="center" vertical="center" wrapText="1"/>
    </xf>
    <xf numFmtId="2" fontId="216" fillId="49" borderId="365" xfId="6" applyNumberFormat="1" applyFont="1" applyFill="1" applyBorder="1" applyAlignment="1" applyProtection="1">
      <alignment horizontal="center" vertical="center"/>
      <protection locked="0"/>
    </xf>
    <xf numFmtId="2" fontId="216" fillId="49" borderId="370" xfId="6" applyNumberFormat="1" applyFont="1" applyFill="1" applyBorder="1" applyAlignment="1" applyProtection="1">
      <alignment horizontal="center" vertical="center"/>
      <protection locked="0"/>
    </xf>
    <xf numFmtId="3" fontId="177" fillId="0" borderId="243" xfId="6" applyNumberFormat="1" applyFont="1" applyBorder="1" applyAlignment="1">
      <alignment horizontal="left" vertical="center" indent="2"/>
    </xf>
    <xf numFmtId="3" fontId="177" fillId="0" borderId="193" xfId="6" applyNumberFormat="1" applyFont="1" applyAlignment="1">
      <alignment horizontal="left" vertical="center" indent="2"/>
    </xf>
    <xf numFmtId="0" fontId="12" fillId="0" borderId="193" xfId="6" applyFont="1" applyAlignment="1">
      <alignment horizontal="center" vertical="center"/>
    </xf>
    <xf numFmtId="0" fontId="12" fillId="0" borderId="242" xfId="6" applyFont="1" applyBorder="1" applyAlignment="1">
      <alignment horizontal="center" vertical="center"/>
    </xf>
    <xf numFmtId="0" fontId="166" fillId="43" borderId="242" xfId="6" applyFill="1" applyBorder="1" applyAlignment="1">
      <alignment vertical="center"/>
    </xf>
    <xf numFmtId="0" fontId="222" fillId="43" borderId="193" xfId="6" applyFont="1" applyFill="1" applyAlignment="1">
      <alignment horizontal="center" vertical="center"/>
    </xf>
    <xf numFmtId="3" fontId="177" fillId="0" borderId="243" xfId="6" applyNumberFormat="1" applyFont="1" applyBorder="1" applyAlignment="1">
      <alignment horizontal="left" vertical="top"/>
    </xf>
    <xf numFmtId="3" fontId="177" fillId="0" borderId="193" xfId="6" applyNumberFormat="1" applyFont="1" applyAlignment="1">
      <alignment horizontal="left" vertical="top"/>
    </xf>
    <xf numFmtId="0" fontId="12" fillId="0" borderId="193" xfId="6" applyFont="1" applyAlignment="1">
      <alignment vertical="top"/>
    </xf>
    <xf numFmtId="0" fontId="222" fillId="43" borderId="193" xfId="6" applyFont="1" applyFill="1" applyAlignment="1">
      <alignment horizontal="center" vertical="top"/>
    </xf>
    <xf numFmtId="0" fontId="166" fillId="43" borderId="242" xfId="6" applyFill="1" applyBorder="1" applyAlignment="1">
      <alignment vertical="top"/>
    </xf>
    <xf numFmtId="0" fontId="166" fillId="0" borderId="193" xfId="6" applyAlignment="1">
      <alignment vertical="top"/>
    </xf>
    <xf numFmtId="0" fontId="12" fillId="0" borderId="234" xfId="6" applyFont="1" applyBorder="1" applyAlignment="1">
      <alignment vertical="center"/>
    </xf>
    <xf numFmtId="0" fontId="222" fillId="43" borderId="234" xfId="6" applyFont="1" applyFill="1" applyBorder="1" applyAlignment="1">
      <alignment vertical="center"/>
    </xf>
    <xf numFmtId="0" fontId="166" fillId="43" borderId="320" xfId="6" applyFill="1" applyBorder="1" applyAlignment="1">
      <alignment vertical="center"/>
    </xf>
    <xf numFmtId="2" fontId="216" fillId="43" borderId="369" xfId="6" applyNumberFormat="1" applyFont="1" applyFill="1" applyBorder="1" applyAlignment="1">
      <alignment horizontal="center" vertical="center"/>
    </xf>
    <xf numFmtId="2" fontId="216" fillId="43" borderId="364" xfId="6" applyNumberFormat="1" applyFont="1" applyFill="1" applyBorder="1" applyAlignment="1">
      <alignment horizontal="center" vertical="center"/>
    </xf>
    <xf numFmtId="0" fontId="222" fillId="43" borderId="380" xfId="6" applyFont="1" applyFill="1" applyBorder="1" applyAlignment="1">
      <alignment vertical="center"/>
    </xf>
    <xf numFmtId="0" fontId="222" fillId="43" borderId="193" xfId="6" applyFont="1" applyFill="1" applyAlignment="1">
      <alignment vertical="center"/>
    </xf>
    <xf numFmtId="0" fontId="222" fillId="43" borderId="381" xfId="6" applyFont="1" applyFill="1" applyBorder="1" applyAlignment="1">
      <alignment horizontal="center" vertical="center"/>
    </xf>
    <xf numFmtId="0" fontId="222" fillId="43" borderId="380" xfId="6" applyFont="1" applyFill="1" applyBorder="1" applyAlignment="1">
      <alignment horizontal="center" vertical="center"/>
    </xf>
    <xf numFmtId="2" fontId="158" fillId="43" borderId="381" xfId="6" applyNumberFormat="1" applyFont="1" applyFill="1" applyBorder="1" applyAlignment="1">
      <alignment horizontal="center" vertical="center"/>
    </xf>
    <xf numFmtId="0" fontId="222" fillId="43" borderId="381" xfId="6" applyFont="1" applyFill="1" applyBorder="1" applyAlignment="1">
      <alignment vertical="center"/>
    </xf>
    <xf numFmtId="0" fontId="12" fillId="43" borderId="380" xfId="6" applyFont="1" applyFill="1" applyBorder="1" applyAlignment="1">
      <alignment vertical="center"/>
    </xf>
    <xf numFmtId="2" fontId="215" fillId="43" borderId="369" xfId="6" applyNumberFormat="1" applyFont="1" applyFill="1" applyBorder="1" applyAlignment="1">
      <alignment horizontal="center" vertical="center"/>
    </xf>
    <xf numFmtId="0" fontId="166" fillId="0" borderId="316" xfId="6" applyBorder="1" applyAlignment="1">
      <alignment vertical="center"/>
    </xf>
    <xf numFmtId="0" fontId="166" fillId="0" borderId="234" xfId="6" applyBorder="1" applyAlignment="1">
      <alignment vertical="center"/>
    </xf>
    <xf numFmtId="0" fontId="12" fillId="0" borderId="243" xfId="6" applyFont="1" applyBorder="1" applyAlignment="1">
      <alignment vertical="center"/>
    </xf>
    <xf numFmtId="0" fontId="166" fillId="43" borderId="193" xfId="6" applyFill="1" applyAlignment="1">
      <alignment vertical="center"/>
    </xf>
    <xf numFmtId="0" fontId="222" fillId="43" borderId="242" xfId="6" applyFont="1" applyFill="1" applyBorder="1" applyAlignment="1">
      <alignment horizontal="center" vertical="center"/>
    </xf>
    <xf numFmtId="0" fontId="166" fillId="0" borderId="243" xfId="6" applyBorder="1" applyAlignment="1">
      <alignment vertical="center"/>
    </xf>
    <xf numFmtId="0" fontId="166" fillId="43" borderId="193" xfId="6" applyFill="1" applyAlignment="1">
      <alignment vertical="center" readingOrder="1"/>
    </xf>
    <xf numFmtId="0" fontId="166" fillId="43" borderId="242" xfId="6" applyFill="1" applyBorder="1" applyAlignment="1">
      <alignment vertical="center" readingOrder="1"/>
    </xf>
    <xf numFmtId="0" fontId="166" fillId="0" borderId="305" xfId="6" applyBorder="1" applyAlignment="1">
      <alignment vertical="center"/>
    </xf>
    <xf numFmtId="0" fontId="166" fillId="0" borderId="254" xfId="6" applyBorder="1" applyAlignment="1">
      <alignment vertical="center"/>
    </xf>
    <xf numFmtId="0" fontId="12" fillId="43" borderId="258" xfId="6" applyFont="1" applyFill="1" applyBorder="1" applyAlignment="1">
      <alignment vertical="center"/>
    </xf>
    <xf numFmtId="0" fontId="223" fillId="0" borderId="302" xfId="13" applyBorder="1"/>
    <xf numFmtId="0" fontId="223" fillId="0" borderId="193" xfId="13"/>
    <xf numFmtId="0" fontId="225" fillId="0" borderId="243" xfId="13" applyFont="1" applyBorder="1"/>
    <xf numFmtId="0" fontId="226" fillId="0" borderId="384" xfId="13" applyFont="1" applyBorder="1" applyAlignment="1">
      <alignment horizontal="left" vertical="center" readingOrder="1"/>
    </xf>
    <xf numFmtId="0" fontId="89" fillId="0" borderId="198" xfId="13" applyFont="1" applyBorder="1" applyAlignment="1">
      <alignment horizontal="left" vertical="center" readingOrder="1"/>
    </xf>
    <xf numFmtId="0" fontId="226" fillId="0" borderId="198" xfId="13" applyFont="1" applyBorder="1" applyAlignment="1">
      <alignment horizontal="left" vertical="center" readingOrder="1"/>
    </xf>
    <xf numFmtId="10" fontId="89" fillId="0" borderId="385" xfId="13" applyNumberFormat="1" applyFont="1" applyBorder="1" applyAlignment="1">
      <alignment horizontal="left" vertical="center" readingOrder="1"/>
    </xf>
    <xf numFmtId="0" fontId="225" fillId="0" borderId="193" xfId="13" applyFont="1"/>
    <xf numFmtId="0" fontId="226" fillId="0" borderId="386" xfId="13" applyFont="1" applyBorder="1" applyAlignment="1">
      <alignment horizontal="left" vertical="center" readingOrder="1"/>
    </xf>
    <xf numFmtId="0" fontId="89" fillId="0" borderId="53" xfId="13" applyFont="1" applyBorder="1" applyAlignment="1">
      <alignment horizontal="left" vertical="center" readingOrder="1"/>
    </xf>
    <xf numFmtId="0" fontId="226" fillId="0" borderId="53" xfId="13" applyFont="1" applyBorder="1" applyAlignment="1">
      <alignment horizontal="left" vertical="center" readingOrder="1"/>
    </xf>
    <xf numFmtId="14" fontId="89" fillId="0" borderId="387" xfId="13" applyNumberFormat="1" applyFont="1" applyBorder="1" applyAlignment="1">
      <alignment horizontal="left" vertical="center" readingOrder="1"/>
    </xf>
    <xf numFmtId="167" fontId="89" fillId="0" borderId="387" xfId="13" applyNumberFormat="1" applyFont="1" applyBorder="1" applyAlignment="1">
      <alignment horizontal="left" vertical="center" readingOrder="1"/>
    </xf>
    <xf numFmtId="0" fontId="89" fillId="0" borderId="53" xfId="13" applyFont="1" applyBorder="1" applyAlignment="1">
      <alignment horizontal="left" vertical="center" wrapText="1" readingOrder="1"/>
    </xf>
    <xf numFmtId="167" fontId="89" fillId="0" borderId="387" xfId="13" applyNumberFormat="1" applyFont="1" applyBorder="1" applyAlignment="1">
      <alignment horizontal="left" vertical="center" wrapText="1" readingOrder="1"/>
    </xf>
    <xf numFmtId="0" fontId="12" fillId="0" borderId="387" xfId="13" applyFont="1" applyBorder="1"/>
    <xf numFmtId="0" fontId="223" fillId="0" borderId="243" xfId="13" applyBorder="1"/>
    <xf numFmtId="0" fontId="153" fillId="0" borderId="195" xfId="13" applyFont="1" applyBorder="1" applyAlignment="1">
      <alignment horizontal="center"/>
    </xf>
    <xf numFmtId="168" fontId="226" fillId="0" borderId="394" xfId="13" applyNumberFormat="1" applyFont="1" applyBorder="1" applyAlignment="1">
      <alignment horizontal="center" vertical="center"/>
    </xf>
    <xf numFmtId="10" fontId="226" fillId="0" borderId="395" xfId="13" applyNumberFormat="1" applyFont="1" applyBorder="1" applyAlignment="1">
      <alignment horizontal="center" vertical="center"/>
    </xf>
    <xf numFmtId="170" fontId="89" fillId="0" borderId="396" xfId="13" applyNumberFormat="1" applyFont="1" applyBorder="1" applyAlignment="1">
      <alignment horizontal="center" vertical="center"/>
    </xf>
    <xf numFmtId="172" fontId="89" fillId="0" borderId="207" xfId="13" applyNumberFormat="1" applyFont="1" applyBorder="1" applyAlignment="1">
      <alignment vertical="center" wrapText="1"/>
    </xf>
    <xf numFmtId="172" fontId="228" fillId="0" borderId="207" xfId="13" applyNumberFormat="1" applyFont="1" applyBorder="1" applyAlignment="1">
      <alignment vertical="center" wrapText="1"/>
    </xf>
    <xf numFmtId="168" fontId="226" fillId="0" borderId="207" xfId="13" applyNumberFormat="1" applyFont="1" applyBorder="1" applyAlignment="1">
      <alignment horizontal="center" vertical="center"/>
    </xf>
    <xf numFmtId="10" fontId="226" fillId="0" borderId="397" xfId="13" applyNumberFormat="1" applyFont="1" applyBorder="1" applyAlignment="1">
      <alignment horizontal="center" vertical="center"/>
    </xf>
    <xf numFmtId="170" fontId="89" fillId="0" borderId="398" xfId="13" applyNumberFormat="1" applyFont="1" applyBorder="1" applyAlignment="1">
      <alignment horizontal="center" vertical="center"/>
    </xf>
    <xf numFmtId="172" fontId="89" fillId="0" borderId="7" xfId="13" applyNumberFormat="1" applyFont="1" applyBorder="1" applyAlignment="1">
      <alignment vertical="center" wrapText="1"/>
    </xf>
    <xf numFmtId="172" fontId="228" fillId="0" borderId="7" xfId="13" applyNumberFormat="1" applyFont="1" applyBorder="1" applyAlignment="1">
      <alignment vertical="center" wrapText="1"/>
    </xf>
    <xf numFmtId="168" fontId="226" fillId="0" borderId="7" xfId="13" applyNumberFormat="1" applyFont="1" applyBorder="1" applyAlignment="1">
      <alignment horizontal="center" vertical="center"/>
    </xf>
    <xf numFmtId="172" fontId="89" fillId="0" borderId="7" xfId="13" applyNumberFormat="1" applyFont="1" applyBorder="1" applyAlignment="1">
      <alignment horizontal="left" vertical="center" wrapText="1"/>
    </xf>
    <xf numFmtId="172" fontId="228" fillId="0" borderId="7" xfId="13" applyNumberFormat="1" applyFont="1" applyBorder="1" applyAlignment="1">
      <alignment horizontal="left" vertical="center" wrapText="1"/>
    </xf>
    <xf numFmtId="0" fontId="89" fillId="0" borderId="398" xfId="13" applyFont="1" applyBorder="1" applyAlignment="1">
      <alignment horizontal="center" vertical="center"/>
    </xf>
    <xf numFmtId="0" fontId="228" fillId="0" borderId="7" xfId="13" applyFont="1" applyBorder="1" applyAlignment="1">
      <alignment horizontal="left" vertical="center" wrapText="1"/>
    </xf>
    <xf numFmtId="168" fontId="228" fillId="0" borderId="7" xfId="13" applyNumberFormat="1" applyFont="1" applyBorder="1" applyAlignment="1">
      <alignment horizontal="center" vertical="center"/>
    </xf>
    <xf numFmtId="0" fontId="55" fillId="0" borderId="193" xfId="13" applyFont="1"/>
    <xf numFmtId="168" fontId="225" fillId="0" borderId="7" xfId="13" applyNumberFormat="1" applyFont="1" applyBorder="1" applyAlignment="1">
      <alignment horizontal="center" vertical="center"/>
    </xf>
    <xf numFmtId="10" fontId="226" fillId="25" borderId="397" xfId="13" applyNumberFormat="1" applyFont="1" applyFill="1" applyBorder="1" applyAlignment="1">
      <alignment horizontal="center" vertical="center"/>
    </xf>
    <xf numFmtId="0" fontId="89" fillId="25" borderId="398" xfId="13" applyFont="1" applyFill="1" applyBorder="1" applyAlignment="1">
      <alignment horizontal="center" vertical="center"/>
    </xf>
    <xf numFmtId="0" fontId="228" fillId="25" borderId="7" xfId="13" applyFont="1" applyFill="1" applyBorder="1" applyAlignment="1">
      <alignment horizontal="right" vertical="center" wrapText="1"/>
    </xf>
    <xf numFmtId="44" fontId="228" fillId="25" borderId="7" xfId="14" applyFont="1" applyFill="1" applyBorder="1" applyAlignment="1">
      <alignment horizontal="right" vertical="center" wrapText="1"/>
    </xf>
    <xf numFmtId="168" fontId="226" fillId="25" borderId="7" xfId="13" applyNumberFormat="1" applyFont="1" applyFill="1" applyBorder="1" applyAlignment="1">
      <alignment horizontal="center" vertical="center"/>
    </xf>
    <xf numFmtId="0" fontId="225" fillId="0" borderId="398" xfId="13" applyFont="1" applyBorder="1" applyAlignment="1">
      <alignment horizontal="center" vertical="center"/>
    </xf>
    <xf numFmtId="0" fontId="225" fillId="0" borderId="7" xfId="13" applyFont="1" applyBorder="1" applyAlignment="1">
      <alignment horizontal="left" vertical="center" wrapText="1"/>
    </xf>
    <xf numFmtId="10" fontId="226" fillId="0" borderId="399" xfId="13" applyNumberFormat="1" applyFont="1" applyBorder="1" applyAlignment="1">
      <alignment horizontal="center" vertical="center"/>
    </xf>
    <xf numFmtId="0" fontId="226" fillId="0" borderId="400" xfId="13" applyFont="1" applyBorder="1" applyAlignment="1">
      <alignment horizontal="center" vertical="center"/>
    </xf>
    <xf numFmtId="0" fontId="226" fillId="0" borderId="206" xfId="13" applyFont="1" applyBorder="1" applyAlignment="1">
      <alignment horizontal="left" vertical="center" wrapText="1"/>
    </xf>
    <xf numFmtId="168" fontId="226" fillId="0" borderId="206" xfId="13" applyNumberFormat="1" applyFont="1" applyBorder="1" applyAlignment="1">
      <alignment horizontal="center" vertical="center"/>
    </xf>
    <xf numFmtId="10" fontId="226" fillId="0" borderId="401" xfId="13" applyNumberFormat="1" applyFont="1" applyBorder="1" applyAlignment="1">
      <alignment horizontal="center" vertical="center"/>
    </xf>
    <xf numFmtId="0" fontId="223" fillId="0" borderId="305" xfId="13" applyBorder="1"/>
    <xf numFmtId="168" fontId="229" fillId="17" borderId="404" xfId="13" applyNumberFormat="1" applyFont="1" applyFill="1" applyBorder="1"/>
    <xf numFmtId="10" fontId="229" fillId="17" borderId="405" xfId="13" applyNumberFormat="1" applyFont="1" applyFill="1" applyBorder="1" applyAlignment="1">
      <alignment horizontal="center"/>
    </xf>
    <xf numFmtId="44" fontId="223" fillId="0" borderId="193" xfId="13" applyNumberFormat="1"/>
    <xf numFmtId="4" fontId="9" fillId="0" borderId="193" xfId="13" applyNumberFormat="1" applyFont="1"/>
    <xf numFmtId="0" fontId="9" fillId="0" borderId="193" xfId="13" applyFont="1" applyAlignment="1">
      <alignment horizontal="center"/>
    </xf>
    <xf numFmtId="0" fontId="9" fillId="0" borderId="193" xfId="13" applyFont="1" applyAlignment="1">
      <alignment wrapText="1"/>
    </xf>
    <xf numFmtId="168" fontId="9" fillId="0" borderId="193" xfId="13" applyNumberFormat="1" applyFont="1"/>
    <xf numFmtId="10" fontId="9" fillId="0" borderId="193" xfId="13" applyNumberFormat="1" applyFont="1"/>
    <xf numFmtId="0" fontId="48" fillId="0" borderId="193" xfId="13" applyFont="1" applyAlignment="1">
      <alignment wrapText="1"/>
    </xf>
    <xf numFmtId="0" fontId="28" fillId="0" borderId="193" xfId="13" applyFont="1" applyAlignment="1">
      <alignment horizontal="center" vertical="center"/>
    </xf>
    <xf numFmtId="0" fontId="48" fillId="0" borderId="193" xfId="13" applyFont="1" applyAlignment="1">
      <alignment horizontal="center" wrapText="1"/>
    </xf>
    <xf numFmtId="0" fontId="230" fillId="0" borderId="193" xfId="13" applyFont="1" applyAlignment="1">
      <alignment horizontal="center"/>
    </xf>
    <xf numFmtId="0" fontId="9" fillId="0" borderId="193" xfId="13" applyFont="1" applyAlignment="1">
      <alignment horizontal="right" wrapText="1"/>
    </xf>
    <xf numFmtId="10" fontId="9" fillId="0" borderId="193" xfId="15" applyNumberFormat="1" applyFont="1"/>
    <xf numFmtId="0" fontId="166" fillId="0" borderId="193" xfId="8" applyAlignment="1">
      <alignment horizontal="center" vertical="center"/>
    </xf>
    <xf numFmtId="0" fontId="166" fillId="0" borderId="193" xfId="8" applyAlignment="1">
      <alignment vertical="center"/>
    </xf>
    <xf numFmtId="0" fontId="215" fillId="0" borderId="421" xfId="8" applyFont="1" applyBorder="1" applyAlignment="1">
      <alignment horizontal="left" vertical="center"/>
    </xf>
    <xf numFmtId="0" fontId="215" fillId="0" borderId="282" xfId="8" applyFont="1" applyBorder="1" applyAlignment="1">
      <alignment horizontal="left" vertical="center"/>
    </xf>
    <xf numFmtId="0" fontId="166" fillId="0" borderId="243" xfId="8" applyBorder="1" applyAlignment="1">
      <alignment vertical="center"/>
    </xf>
    <xf numFmtId="0" fontId="166" fillId="0" borderId="242" xfId="8" applyBorder="1" applyAlignment="1">
      <alignment vertical="center"/>
    </xf>
    <xf numFmtId="0" fontId="180" fillId="0" borderId="370" xfId="8" applyFont="1" applyBorder="1" applyAlignment="1">
      <alignment horizontal="center" vertical="center"/>
    </xf>
    <xf numFmtId="193" fontId="199" fillId="0" borderId="370" xfId="8" applyNumberFormat="1" applyFont="1" applyBorder="1" applyAlignment="1">
      <alignment horizontal="center" vertical="center"/>
    </xf>
    <xf numFmtId="193" fontId="199" fillId="0" borderId="426" xfId="8" applyNumberFormat="1" applyFont="1" applyBorder="1" applyAlignment="1">
      <alignment horizontal="center" vertical="center"/>
    </xf>
    <xf numFmtId="14" fontId="166" fillId="0" borderId="193" xfId="8" applyNumberFormat="1" applyAlignment="1">
      <alignment horizontal="center" vertical="center"/>
    </xf>
    <xf numFmtId="0" fontId="166" fillId="0" borderId="325" xfId="8" applyBorder="1" applyAlignment="1">
      <alignment vertical="center"/>
    </xf>
    <xf numFmtId="0" fontId="166" fillId="0" borderId="316" xfId="8" applyBorder="1" applyAlignment="1">
      <alignment vertical="center"/>
    </xf>
    <xf numFmtId="0" fontId="166" fillId="0" borderId="324" xfId="8" applyBorder="1" applyAlignment="1">
      <alignment vertical="center"/>
    </xf>
    <xf numFmtId="0" fontId="166" fillId="0" borderId="331" xfId="8" applyBorder="1" applyAlignment="1">
      <alignment vertical="center"/>
    </xf>
    <xf numFmtId="0" fontId="166" fillId="0" borderId="330" xfId="8" applyBorder="1" applyAlignment="1">
      <alignment vertical="center"/>
    </xf>
    <xf numFmtId="0" fontId="166" fillId="0" borderId="364" xfId="8" applyBorder="1" applyAlignment="1">
      <alignment vertical="center"/>
    </xf>
    <xf numFmtId="0" fontId="12" fillId="0" borderId="193" xfId="5" quotePrefix="1" applyAlignment="1">
      <alignment vertical="center"/>
    </xf>
    <xf numFmtId="0" fontId="4" fillId="0" borderId="193" xfId="7" applyFont="1" applyAlignment="1">
      <alignment vertical="center"/>
    </xf>
    <xf numFmtId="0" fontId="223" fillId="0" borderId="193" xfId="16" applyAlignment="1">
      <alignment horizontal="left" vertical="center"/>
    </xf>
    <xf numFmtId="0" fontId="216" fillId="0" borderId="302" xfId="17" applyFont="1" applyBorder="1" applyAlignment="1">
      <alignment vertical="center"/>
    </xf>
    <xf numFmtId="0" fontId="216" fillId="0" borderId="239" xfId="17" applyFont="1" applyBorder="1" applyAlignment="1">
      <alignment vertical="center"/>
    </xf>
    <xf numFmtId="0" fontId="236" fillId="0" borderId="239" xfId="17" applyFont="1" applyBorder="1" applyAlignment="1">
      <alignment vertical="center"/>
    </xf>
    <xf numFmtId="2" fontId="237" fillId="0" borderId="239" xfId="17" applyNumberFormat="1" applyFont="1" applyBorder="1" applyAlignment="1">
      <alignment vertical="center"/>
    </xf>
    <xf numFmtId="0" fontId="216" fillId="0" borderId="243" xfId="17" applyFont="1" applyBorder="1" applyAlignment="1">
      <alignment vertical="center"/>
    </xf>
    <xf numFmtId="0" fontId="236" fillId="0" borderId="254" xfId="17" applyFont="1" applyBorder="1" applyAlignment="1">
      <alignment vertical="center"/>
    </xf>
    <xf numFmtId="0" fontId="223" fillId="43" borderId="193" xfId="16" applyFill="1" applyAlignment="1">
      <alignment horizontal="left" vertical="center"/>
    </xf>
    <xf numFmtId="10" fontId="223" fillId="43" borderId="193" xfId="16" applyNumberFormat="1" applyFill="1" applyAlignment="1">
      <alignment horizontal="left" vertical="center"/>
    </xf>
    <xf numFmtId="0" fontId="216" fillId="0" borderId="242" xfId="17" applyFont="1" applyBorder="1" applyAlignment="1">
      <alignment vertical="center"/>
    </xf>
    <xf numFmtId="3" fontId="179" fillId="46" borderId="243" xfId="21" applyNumberFormat="1" applyFont="1" applyFill="1" applyBorder="1" applyAlignment="1" applyProtection="1">
      <alignment vertical="center"/>
      <protection locked="0"/>
    </xf>
    <xf numFmtId="3" fontId="179" fillId="46" borderId="193" xfId="21" applyNumberFormat="1" applyFont="1" applyFill="1" applyBorder="1" applyAlignment="1" applyProtection="1">
      <alignment vertical="center"/>
      <protection locked="0"/>
    </xf>
    <xf numFmtId="0" fontId="179" fillId="0" borderId="242" xfId="17" applyFont="1" applyBorder="1" applyAlignment="1">
      <alignment vertical="center"/>
    </xf>
    <xf numFmtId="0" fontId="239" fillId="0" borderId="193" xfId="16" applyFont="1" applyAlignment="1">
      <alignment horizontal="left" vertical="center"/>
    </xf>
    <xf numFmtId="3" fontId="216" fillId="46" borderId="305" xfId="21" applyNumberFormat="1" applyFont="1" applyFill="1" applyBorder="1" applyAlignment="1" applyProtection="1">
      <alignment vertical="center"/>
      <protection locked="0"/>
    </xf>
    <xf numFmtId="3" fontId="216" fillId="46" borderId="254" xfId="21" applyNumberFormat="1" applyFont="1" applyFill="1" applyBorder="1" applyAlignment="1" applyProtection="1">
      <alignment vertical="center"/>
      <protection locked="0"/>
    </xf>
    <xf numFmtId="0" fontId="177" fillId="0" borderId="254" xfId="17" applyFont="1" applyBorder="1" applyAlignment="1">
      <alignment vertical="center"/>
    </xf>
    <xf numFmtId="0" fontId="177" fillId="0" borderId="258" xfId="17" applyFont="1" applyBorder="1" applyAlignment="1">
      <alignment vertical="center"/>
    </xf>
    <xf numFmtId="0" fontId="154" fillId="0" borderId="302" xfId="0" applyFont="1" applyBorder="1" applyAlignment="1">
      <alignment horizontal="center" vertical="center"/>
    </xf>
    <xf numFmtId="0" fontId="154" fillId="0" borderId="239" xfId="0" applyFont="1" applyBorder="1" applyAlignment="1">
      <alignment vertical="center"/>
    </xf>
    <xf numFmtId="0" fontId="155" fillId="0" borderId="239" xfId="0" applyFont="1" applyBorder="1" applyAlignment="1">
      <alignment horizontal="left" vertical="center"/>
    </xf>
    <xf numFmtId="0" fontId="155" fillId="0" borderId="240" xfId="0" applyFont="1" applyBorder="1" applyAlignment="1">
      <alignment vertical="center"/>
    </xf>
    <xf numFmtId="4" fontId="155" fillId="49" borderId="0" xfId="0" applyNumberFormat="1" applyFont="1" applyFill="1" applyAlignment="1">
      <alignment horizontal="right" vertical="center"/>
    </xf>
    <xf numFmtId="4" fontId="154" fillId="49" borderId="0" xfId="0" applyNumberFormat="1" applyFont="1" applyFill="1" applyAlignment="1">
      <alignment horizontal="right" vertical="center"/>
    </xf>
    <xf numFmtId="0" fontId="170" fillId="0" borderId="0" xfId="0" applyFont="1" applyAlignment="1">
      <alignment horizontal="center" vertical="center"/>
    </xf>
    <xf numFmtId="0" fontId="154" fillId="0" borderId="243" xfId="0" applyFont="1" applyBorder="1" applyAlignment="1">
      <alignment horizontal="center" vertical="center"/>
    </xf>
    <xf numFmtId="0" fontId="170" fillId="0" borderId="242" xfId="0" applyFont="1" applyBorder="1" applyAlignment="1">
      <alignment horizontal="center" vertical="center"/>
    </xf>
    <xf numFmtId="0" fontId="154" fillId="0" borderId="305" xfId="0" applyFont="1" applyBorder="1" applyAlignment="1">
      <alignment horizontal="center" vertical="center"/>
    </xf>
    <xf numFmtId="0" fontId="154" fillId="0" borderId="254" xfId="0" applyFont="1" applyBorder="1" applyAlignment="1">
      <alignment vertical="center"/>
    </xf>
    <xf numFmtId="4" fontId="154" fillId="49" borderId="0" xfId="0" applyNumberFormat="1" applyFont="1" applyFill="1" applyAlignment="1">
      <alignment horizontal="center" vertical="center"/>
    </xf>
    <xf numFmtId="0" fontId="0" fillId="43" borderId="0" xfId="0" applyFill="1"/>
    <xf numFmtId="0" fontId="0" fillId="43" borderId="193" xfId="0" applyFill="1" applyBorder="1"/>
    <xf numFmtId="165" fontId="26" fillId="53" borderId="193" xfId="0" applyNumberFormat="1" applyFont="1" applyFill="1" applyBorder="1" applyAlignment="1">
      <alignment horizontal="right" vertical="center" wrapText="1"/>
    </xf>
    <xf numFmtId="0" fontId="57" fillId="20" borderId="76" xfId="0" applyFont="1" applyFill="1" applyBorder="1" applyAlignment="1">
      <alignment vertical="center"/>
    </xf>
    <xf numFmtId="165" fontId="57" fillId="20" borderId="70" xfId="0" applyNumberFormat="1" applyFont="1" applyFill="1" applyBorder="1" applyAlignment="1">
      <alignment horizontal="center" vertical="center"/>
    </xf>
    <xf numFmtId="0" fontId="155" fillId="0" borderId="302" xfId="0" applyFont="1" applyBorder="1" applyAlignment="1">
      <alignment vertical="center"/>
    </xf>
    <xf numFmtId="0" fontId="170" fillId="0" borderId="243" xfId="0" applyFont="1" applyBorder="1" applyAlignment="1">
      <alignment horizontal="center" vertical="center"/>
    </xf>
    <xf numFmtId="0" fontId="170" fillId="0" borderId="193" xfId="0" applyFont="1" applyBorder="1" applyAlignment="1">
      <alignment horizontal="left" vertical="center"/>
    </xf>
    <xf numFmtId="9" fontId="57" fillId="20" borderId="112" xfId="2" applyFont="1" applyFill="1" applyBorder="1" applyAlignment="1">
      <alignment horizontal="left" vertical="center"/>
    </xf>
    <xf numFmtId="9" fontId="57" fillId="20" borderId="112" xfId="2" applyFont="1" applyFill="1" applyBorder="1" applyAlignment="1">
      <alignment horizontal="right" vertical="center"/>
    </xf>
    <xf numFmtId="0" fontId="24" fillId="0" borderId="63" xfId="24" applyFont="1" applyBorder="1" applyAlignment="1">
      <alignment horizontal="left" vertical="center" wrapText="1"/>
    </xf>
    <xf numFmtId="0" fontId="152" fillId="0" borderId="193" xfId="24"/>
    <xf numFmtId="0" fontId="24" fillId="0" borderId="104" xfId="24" applyFont="1" applyBorder="1" applyAlignment="1">
      <alignment horizontal="left" vertical="center" wrapText="1"/>
    </xf>
    <xf numFmtId="0" fontId="42" fillId="2" borderId="135" xfId="24" applyFont="1" applyFill="1" applyBorder="1" applyAlignment="1">
      <alignment horizontal="center" vertical="center"/>
    </xf>
    <xf numFmtId="0" fontId="42" fillId="2" borderId="136" xfId="24" applyFont="1" applyFill="1" applyBorder="1" applyAlignment="1">
      <alignment horizontal="center" vertical="center"/>
    </xf>
    <xf numFmtId="170" fontId="24" fillId="9" borderId="137" xfId="24" applyNumberFormat="1" applyFont="1" applyFill="1" applyBorder="1" applyAlignment="1">
      <alignment horizontal="center" vertical="center" wrapText="1"/>
    </xf>
    <xf numFmtId="172" fontId="24" fillId="9" borderId="138" xfId="24" applyNumberFormat="1" applyFont="1" applyFill="1" applyBorder="1" applyAlignment="1">
      <alignment horizontal="left" vertical="center" wrapText="1"/>
    </xf>
    <xf numFmtId="168" fontId="24" fillId="9" borderId="138" xfId="24" applyNumberFormat="1" applyFont="1" applyFill="1" applyBorder="1" applyAlignment="1">
      <alignment horizontal="center" vertical="center"/>
    </xf>
    <xf numFmtId="10" fontId="24" fillId="9" borderId="139" xfId="24" applyNumberFormat="1" applyFont="1" applyFill="1" applyBorder="1" applyAlignment="1">
      <alignment horizontal="center" vertical="center"/>
    </xf>
    <xf numFmtId="187" fontId="25" fillId="8" borderId="146" xfId="24" applyNumberFormat="1" applyFont="1" applyFill="1" applyBorder="1" applyAlignment="1">
      <alignment horizontal="center" vertical="center"/>
    </xf>
    <xf numFmtId="187" fontId="25" fillId="0" borderId="147" xfId="24" applyNumberFormat="1" applyFont="1" applyBorder="1" applyAlignment="1">
      <alignment horizontal="center" vertical="center"/>
    </xf>
    <xf numFmtId="10" fontId="25" fillId="8" borderId="148" xfId="24" applyNumberFormat="1" applyFont="1" applyFill="1" applyBorder="1" applyAlignment="1">
      <alignment horizontal="center" vertical="center"/>
    </xf>
    <xf numFmtId="10" fontId="25" fillId="0" borderId="149" xfId="24" applyNumberFormat="1" applyFont="1" applyBorder="1" applyAlignment="1">
      <alignment horizontal="center" vertical="center"/>
    </xf>
    <xf numFmtId="170" fontId="24" fillId="9" borderId="151" xfId="24" applyNumberFormat="1" applyFont="1" applyFill="1" applyBorder="1" applyAlignment="1">
      <alignment horizontal="center" vertical="center" wrapText="1"/>
    </xf>
    <xf numFmtId="172" fontId="24" fillId="9" borderId="152" xfId="24" applyNumberFormat="1" applyFont="1" applyFill="1" applyBorder="1" applyAlignment="1">
      <alignment horizontal="left" vertical="center" wrapText="1"/>
    </xf>
    <xf numFmtId="168" fontId="24" fillId="9" borderId="152" xfId="24" applyNumberFormat="1" applyFont="1" applyFill="1" applyBorder="1" applyAlignment="1">
      <alignment horizontal="center" vertical="center"/>
    </xf>
    <xf numFmtId="10" fontId="24" fillId="9" borderId="153" xfId="24" applyNumberFormat="1" applyFont="1" applyFill="1" applyBorder="1" applyAlignment="1">
      <alignment horizontal="center" vertical="center"/>
    </xf>
    <xf numFmtId="187" fontId="25" fillId="10" borderId="146" xfId="24" applyNumberFormat="1" applyFont="1" applyFill="1" applyBorder="1" applyAlignment="1">
      <alignment horizontal="center" vertical="center"/>
    </xf>
    <xf numFmtId="187" fontId="25" fillId="10" borderId="149" xfId="24" applyNumberFormat="1" applyFont="1" applyFill="1" applyBorder="1" applyAlignment="1">
      <alignment horizontal="center" vertical="center"/>
    </xf>
    <xf numFmtId="10" fontId="25" fillId="10" borderId="146" xfId="24" applyNumberFormat="1" applyFont="1" applyFill="1" applyBorder="1" applyAlignment="1">
      <alignment horizontal="center" vertical="center"/>
    </xf>
    <xf numFmtId="10" fontId="25" fillId="10" borderId="149" xfId="24" applyNumberFormat="1" applyFont="1" applyFill="1" applyBorder="1" applyAlignment="1">
      <alignment horizontal="center" vertical="center"/>
    </xf>
    <xf numFmtId="187" fontId="25" fillId="10" borderId="161" xfId="24" applyNumberFormat="1" applyFont="1" applyFill="1" applyBorder="1" applyAlignment="1">
      <alignment horizontal="center" vertical="center"/>
    </xf>
    <xf numFmtId="10" fontId="25" fillId="10" borderId="161" xfId="24" applyNumberFormat="1" applyFont="1" applyFill="1" applyBorder="1" applyAlignment="1">
      <alignment horizontal="center" vertical="center"/>
    </xf>
    <xf numFmtId="187" fontId="25" fillId="10" borderId="163" xfId="24" applyNumberFormat="1" applyFont="1" applyFill="1" applyBorder="1" applyAlignment="1">
      <alignment horizontal="center" vertical="center"/>
    </xf>
    <xf numFmtId="187" fontId="25" fillId="8" borderId="161" xfId="24" applyNumberFormat="1" applyFont="1" applyFill="1" applyBorder="1" applyAlignment="1">
      <alignment horizontal="center" vertical="center"/>
    </xf>
    <xf numFmtId="170" fontId="24" fillId="9" borderId="165" xfId="24" applyNumberFormat="1" applyFont="1" applyFill="1" applyBorder="1" applyAlignment="1">
      <alignment horizontal="center" vertical="center" wrapText="1"/>
    </xf>
    <xf numFmtId="0" fontId="24" fillId="9" borderId="166" xfId="24" applyFont="1" applyFill="1" applyBorder="1" applyAlignment="1">
      <alignment horizontal="left" vertical="center" wrapText="1"/>
    </xf>
    <xf numFmtId="168" fontId="24" fillId="9" borderId="166" xfId="24" applyNumberFormat="1" applyFont="1" applyFill="1" applyBorder="1" applyAlignment="1">
      <alignment horizontal="center" vertical="center"/>
    </xf>
    <xf numFmtId="10" fontId="24" fillId="9" borderId="167" xfId="24" applyNumberFormat="1" applyFont="1" applyFill="1" applyBorder="1" applyAlignment="1">
      <alignment horizontal="center" vertical="center"/>
    </xf>
    <xf numFmtId="168" fontId="24" fillId="0" borderId="54" xfId="24" applyNumberFormat="1" applyFont="1" applyBorder="1" applyAlignment="1">
      <alignment horizontal="center" vertical="center"/>
    </xf>
    <xf numFmtId="168" fontId="24" fillId="0" borderId="171" xfId="24" applyNumberFormat="1" applyFont="1" applyBorder="1" applyAlignment="1">
      <alignment horizontal="center" vertical="center"/>
    </xf>
    <xf numFmtId="10" fontId="24" fillId="25" borderId="12" xfId="24" applyNumberFormat="1" applyFont="1" applyFill="1" applyBorder="1" applyAlignment="1">
      <alignment horizontal="center" vertical="center"/>
    </xf>
    <xf numFmtId="10" fontId="24" fillId="25" borderId="7" xfId="24" applyNumberFormat="1" applyFont="1" applyFill="1" applyBorder="1" applyAlignment="1">
      <alignment horizontal="center" vertical="center"/>
    </xf>
    <xf numFmtId="10" fontId="24" fillId="25" borderId="84" xfId="24" applyNumberFormat="1" applyFont="1" applyFill="1" applyBorder="1" applyAlignment="1">
      <alignment horizontal="center" vertical="center"/>
    </xf>
    <xf numFmtId="168" fontId="24" fillId="0" borderId="174" xfId="24" applyNumberFormat="1" applyFont="1" applyBorder="1" applyAlignment="1">
      <alignment horizontal="center" vertical="center"/>
    </xf>
    <xf numFmtId="168" fontId="24" fillId="0" borderId="90" xfId="24" applyNumberFormat="1" applyFont="1" applyBorder="1" applyAlignment="1">
      <alignment horizontal="center" vertical="center"/>
    </xf>
    <xf numFmtId="168" fontId="25" fillId="0" borderId="91" xfId="24" applyNumberFormat="1" applyFont="1" applyBorder="1" applyAlignment="1">
      <alignment horizontal="center" vertical="center"/>
    </xf>
    <xf numFmtId="0" fontId="12" fillId="0" borderId="143" xfId="24" applyFont="1" applyBorder="1"/>
    <xf numFmtId="0" fontId="12" fillId="0" borderId="144" xfId="24" applyFont="1" applyBorder="1"/>
    <xf numFmtId="0" fontId="12" fillId="0" borderId="457" xfId="24" applyFont="1" applyBorder="1"/>
    <xf numFmtId="10" fontId="25" fillId="10" borderId="458" xfId="24" applyNumberFormat="1" applyFont="1" applyFill="1" applyBorder="1" applyAlignment="1">
      <alignment horizontal="center" vertical="center"/>
    </xf>
    <xf numFmtId="10" fontId="25" fillId="10" borderId="459" xfId="24" applyNumberFormat="1" applyFont="1" applyFill="1" applyBorder="1" applyAlignment="1">
      <alignment horizontal="center" vertical="center"/>
    </xf>
    <xf numFmtId="10" fontId="25" fillId="10" borderId="370" xfId="24" applyNumberFormat="1" applyFont="1" applyFill="1" applyBorder="1" applyAlignment="1">
      <alignment horizontal="center" vertical="center"/>
    </xf>
    <xf numFmtId="0" fontId="12" fillId="0" borderId="193" xfId="24" applyFont="1"/>
    <xf numFmtId="0" fontId="12" fillId="0" borderId="194" xfId="24" applyFont="1" applyBorder="1"/>
    <xf numFmtId="0" fontId="42" fillId="2" borderId="460" xfId="24" applyFont="1" applyFill="1" applyBorder="1" applyAlignment="1">
      <alignment horizontal="center" vertical="center"/>
    </xf>
    <xf numFmtId="0" fontId="42" fillId="2" borderId="370" xfId="24" applyFont="1" applyFill="1" applyBorder="1" applyAlignment="1">
      <alignment horizontal="center" vertical="center"/>
    </xf>
    <xf numFmtId="168" fontId="42" fillId="2" borderId="370" xfId="24" applyNumberFormat="1" applyFont="1" applyFill="1" applyBorder="1" applyAlignment="1">
      <alignment horizontal="center" vertical="center"/>
    </xf>
    <xf numFmtId="10" fontId="25" fillId="55" borderId="192" xfId="24" applyNumberFormat="1" applyFont="1" applyFill="1" applyBorder="1" applyAlignment="1">
      <alignment horizontal="center" vertical="center"/>
    </xf>
    <xf numFmtId="187" fontId="25" fillId="9" borderId="192" xfId="24" applyNumberFormat="1" applyFont="1" applyFill="1" applyBorder="1" applyAlignment="1">
      <alignment horizontal="center" vertical="center"/>
    </xf>
    <xf numFmtId="164" fontId="152" fillId="0" borderId="193" xfId="24" applyNumberFormat="1"/>
    <xf numFmtId="164" fontId="0" fillId="0" borderId="0" xfId="0" applyNumberFormat="1"/>
    <xf numFmtId="164" fontId="242" fillId="0" borderId="0" xfId="0" applyNumberFormat="1" applyFont="1"/>
    <xf numFmtId="0" fontId="223" fillId="0" borderId="0" xfId="0" applyFont="1"/>
    <xf numFmtId="0" fontId="0" fillId="0" borderId="0" xfId="0" applyAlignment="1">
      <alignment horizontal="left" vertical="center"/>
    </xf>
    <xf numFmtId="4" fontId="156" fillId="0" borderId="436" xfId="1" applyNumberFormat="1" applyFont="1" applyFill="1" applyBorder="1" applyAlignment="1" applyProtection="1">
      <alignment vertical="center"/>
    </xf>
    <xf numFmtId="4" fontId="156" fillId="0" borderId="438" xfId="1" applyNumberFormat="1" applyFont="1" applyFill="1" applyBorder="1" applyAlignment="1" applyProtection="1">
      <alignment vertical="center"/>
    </xf>
    <xf numFmtId="193" fontId="243" fillId="43" borderId="370" xfId="8" applyNumberFormat="1" applyFont="1" applyFill="1" applyBorder="1" applyAlignment="1">
      <alignment horizontal="center" vertical="center"/>
    </xf>
    <xf numFmtId="0" fontId="243" fillId="43" borderId="369" xfId="0" applyFont="1" applyFill="1" applyBorder="1" applyAlignment="1">
      <alignment horizontal="left" vertical="center" wrapText="1"/>
    </xf>
    <xf numFmtId="193" fontId="243" fillId="43" borderId="426" xfId="8" applyNumberFormat="1" applyFont="1" applyFill="1" applyBorder="1" applyAlignment="1">
      <alignment horizontal="center" vertical="center"/>
    </xf>
    <xf numFmtId="0" fontId="156" fillId="43" borderId="453" xfId="0" applyFont="1" applyFill="1" applyBorder="1" applyAlignment="1">
      <alignment horizontal="left" vertical="center"/>
    </xf>
    <xf numFmtId="0" fontId="243" fillId="0" borderId="441" xfId="0" applyFont="1" applyBorder="1" applyAlignment="1">
      <alignment vertical="center"/>
    </xf>
    <xf numFmtId="49" fontId="156" fillId="0" borderId="433" xfId="0" applyNumberFormat="1" applyFont="1" applyBorder="1" applyAlignment="1">
      <alignment horizontal="left" vertical="center"/>
    </xf>
    <xf numFmtId="0" fontId="25" fillId="19" borderId="5" xfId="0" applyFont="1" applyFill="1" applyBorder="1" applyAlignment="1">
      <alignment horizontal="center" vertical="center" wrapText="1"/>
    </xf>
    <xf numFmtId="1" fontId="25" fillId="19" borderId="5" xfId="0" applyNumberFormat="1" applyFont="1" applyFill="1" applyBorder="1" applyAlignment="1">
      <alignment horizontal="center" vertical="center" wrapText="1"/>
    </xf>
    <xf numFmtId="2" fontId="57" fillId="19" borderId="5" xfId="0" applyNumberFormat="1" applyFont="1" applyFill="1" applyBorder="1" applyAlignment="1">
      <alignment horizontal="center" vertical="center"/>
    </xf>
    <xf numFmtId="4" fontId="57" fillId="19" borderId="444" xfId="0" applyNumberFormat="1" applyFont="1" applyFill="1" applyBorder="1" applyAlignment="1">
      <alignment horizontal="center" vertical="center"/>
    </xf>
    <xf numFmtId="165" fontId="57" fillId="19" borderId="5" xfId="0" applyNumberFormat="1" applyFont="1" applyFill="1" applyBorder="1" applyAlignment="1">
      <alignment horizontal="center" vertical="center"/>
    </xf>
    <xf numFmtId="9" fontId="57" fillId="19" borderId="118" xfId="2" applyFont="1" applyFill="1" applyBorder="1" applyAlignment="1">
      <alignment horizontal="center" vertical="center" wrapText="1"/>
    </xf>
    <xf numFmtId="4" fontId="57" fillId="19" borderId="445" xfId="0" applyNumberFormat="1" applyFont="1" applyFill="1" applyBorder="1" applyAlignment="1">
      <alignment horizontal="center" vertical="center"/>
    </xf>
    <xf numFmtId="0" fontId="25" fillId="3" borderId="72" xfId="0" applyFont="1" applyFill="1" applyBorder="1" applyAlignment="1">
      <alignment horizontal="center" vertical="center"/>
    </xf>
    <xf numFmtId="4" fontId="25" fillId="3" borderId="72" xfId="0" applyNumberFormat="1" applyFont="1" applyFill="1" applyBorder="1" applyAlignment="1">
      <alignment horizontal="center" vertical="center"/>
    </xf>
    <xf numFmtId="172" fontId="25" fillId="3" borderId="446" xfId="0" applyNumberFormat="1" applyFont="1" applyFill="1" applyBorder="1" applyAlignment="1">
      <alignment horizontal="center" vertical="center"/>
    </xf>
    <xf numFmtId="165" fontId="24" fillId="3" borderId="73" xfId="0" applyNumberFormat="1" applyFont="1" applyFill="1" applyBorder="1" applyAlignment="1">
      <alignment horizontal="center" vertical="center"/>
    </xf>
    <xf numFmtId="9" fontId="24" fillId="3" borderId="72" xfId="2" applyFont="1" applyFill="1" applyBorder="1" applyAlignment="1">
      <alignment horizontal="center" vertical="center"/>
    </xf>
    <xf numFmtId="0" fontId="243" fillId="21" borderId="5" xfId="0" applyFont="1" applyFill="1" applyBorder="1" applyAlignment="1">
      <alignment horizontal="center" vertical="center" wrapText="1"/>
    </xf>
    <xf numFmtId="168" fontId="243" fillId="0" borderId="5" xfId="0" applyNumberFormat="1" applyFont="1" applyBorder="1" applyAlignment="1">
      <alignment horizontal="center" vertical="center" wrapText="1"/>
    </xf>
    <xf numFmtId="4" fontId="243" fillId="21" borderId="444" xfId="0" applyNumberFormat="1" applyFont="1" applyFill="1" applyBorder="1" applyAlignment="1">
      <alignment horizontal="center" vertical="center" wrapText="1"/>
    </xf>
    <xf numFmtId="9" fontId="243" fillId="0" borderId="5" xfId="2" applyFont="1" applyBorder="1" applyAlignment="1">
      <alignment horizontal="center" vertical="center"/>
    </xf>
    <xf numFmtId="165" fontId="243" fillId="0" borderId="5" xfId="0" applyNumberFormat="1" applyFont="1" applyBorder="1" applyAlignment="1">
      <alignment horizontal="center" vertical="center"/>
    </xf>
    <xf numFmtId="168" fontId="243" fillId="0" borderId="5" xfId="0" applyNumberFormat="1" applyFont="1" applyBorder="1" applyAlignment="1">
      <alignment horizontal="left" vertical="center" wrapText="1"/>
    </xf>
    <xf numFmtId="0" fontId="25" fillId="21" borderId="5" xfId="0" applyFont="1" applyFill="1" applyBorder="1" applyAlignment="1">
      <alignment horizontal="center" vertical="center" wrapText="1"/>
    </xf>
    <xf numFmtId="172" fontId="25" fillId="21" borderId="5" xfId="0" applyNumberFormat="1" applyFont="1" applyFill="1" applyBorder="1" applyAlignment="1">
      <alignment horizontal="center" vertical="center" wrapText="1"/>
    </xf>
    <xf numFmtId="168" fontId="25" fillId="0" borderId="5" xfId="0" applyNumberFormat="1" applyFont="1" applyBorder="1" applyAlignment="1">
      <alignment horizontal="center" vertical="center" wrapText="1"/>
    </xf>
    <xf numFmtId="9" fontId="25" fillId="0" borderId="5" xfId="2" applyFont="1" applyBorder="1" applyAlignment="1">
      <alignment horizontal="center" vertical="center"/>
    </xf>
    <xf numFmtId="165" fontId="25" fillId="0" borderId="5" xfId="0" applyNumberFormat="1" applyFont="1" applyBorder="1" applyAlignment="1">
      <alignment horizontal="center" vertical="center"/>
    </xf>
    <xf numFmtId="165" fontId="25" fillId="56" borderId="5" xfId="0" applyNumberFormat="1" applyFont="1" applyFill="1" applyBorder="1" applyAlignment="1">
      <alignment horizontal="center" vertical="center"/>
    </xf>
    <xf numFmtId="172" fontId="25" fillId="3" borderId="72" xfId="0" applyNumberFormat="1" applyFont="1" applyFill="1" applyBorder="1" applyAlignment="1">
      <alignment horizontal="center" vertical="center"/>
    </xf>
    <xf numFmtId="4" fontId="57" fillId="19" borderId="5" xfId="0" applyNumberFormat="1" applyFont="1" applyFill="1" applyBorder="1" applyAlignment="1">
      <alignment horizontal="center" vertical="center"/>
    </xf>
    <xf numFmtId="168" fontId="25" fillId="0" borderId="5" xfId="0" applyNumberFormat="1" applyFont="1" applyBorder="1" applyAlignment="1">
      <alignment horizontal="center" vertical="center"/>
    </xf>
    <xf numFmtId="168" fontId="243" fillId="0" borderId="5" xfId="0" applyNumberFormat="1" applyFont="1" applyBorder="1" applyAlignment="1">
      <alignment horizontal="center" vertical="center"/>
    </xf>
    <xf numFmtId="9" fontId="57" fillId="19" borderId="5" xfId="2" applyFont="1" applyFill="1" applyBorder="1" applyAlignment="1">
      <alignment horizontal="center" vertical="center"/>
    </xf>
    <xf numFmtId="172" fontId="243" fillId="21" borderId="5" xfId="0" applyNumberFormat="1" applyFont="1" applyFill="1" applyBorder="1" applyAlignment="1">
      <alignment horizontal="center" vertical="center" wrapText="1"/>
    </xf>
    <xf numFmtId="0" fontId="25" fillId="8" borderId="5" xfId="0" applyFont="1" applyFill="1" applyBorder="1" applyAlignment="1">
      <alignment horizontal="center" vertical="center" wrapText="1"/>
    </xf>
    <xf numFmtId="168" fontId="25" fillId="8" borderId="5" xfId="0" applyNumberFormat="1" applyFont="1" applyFill="1" applyBorder="1" applyAlignment="1">
      <alignment horizontal="center" vertical="center"/>
    </xf>
    <xf numFmtId="4" fontId="25" fillId="8" borderId="5" xfId="0" applyNumberFormat="1" applyFont="1" applyFill="1" applyBorder="1" applyAlignment="1">
      <alignment horizontal="center" vertical="center" wrapText="1"/>
    </xf>
    <xf numFmtId="165" fontId="25" fillId="8" borderId="5" xfId="0" applyNumberFormat="1" applyFont="1" applyFill="1" applyBorder="1" applyAlignment="1">
      <alignment horizontal="center" vertical="center"/>
    </xf>
    <xf numFmtId="9" fontId="24" fillId="8" borderId="72" xfId="2" applyFont="1" applyFill="1" applyBorder="1" applyAlignment="1">
      <alignment horizontal="center" vertical="center"/>
    </xf>
    <xf numFmtId="1" fontId="25" fillId="21" borderId="5" xfId="0" applyNumberFormat="1" applyFont="1" applyFill="1" applyBorder="1" applyAlignment="1">
      <alignment horizontal="center" vertical="center" wrapText="1"/>
    </xf>
    <xf numFmtId="1" fontId="243" fillId="21" borderId="5" xfId="0" applyNumberFormat="1" applyFont="1" applyFill="1" applyBorder="1" applyAlignment="1">
      <alignment horizontal="center" vertical="center" wrapText="1"/>
    </xf>
    <xf numFmtId="165" fontId="24" fillId="8" borderId="73" xfId="0" applyNumberFormat="1" applyFont="1" applyFill="1" applyBorder="1" applyAlignment="1">
      <alignment horizontal="center" vertical="center"/>
    </xf>
    <xf numFmtId="49" fontId="57" fillId="19" borderId="5" xfId="0" applyNumberFormat="1" applyFont="1" applyFill="1" applyBorder="1" applyAlignment="1">
      <alignment horizontal="left" vertical="center" wrapText="1"/>
    </xf>
    <xf numFmtId="0" fontId="243" fillId="0" borderId="5" xfId="0" applyFont="1" applyBorder="1" applyAlignment="1">
      <alignment horizontal="center" vertical="center" wrapText="1"/>
    </xf>
    <xf numFmtId="4" fontId="243" fillId="0" borderId="5" xfId="0" applyNumberFormat="1" applyFont="1" applyBorder="1" applyAlignment="1">
      <alignment horizontal="center" vertical="center" wrapText="1"/>
    </xf>
    <xf numFmtId="0" fontId="156" fillId="48" borderId="455" xfId="0" applyFont="1" applyFill="1" applyBorder="1" applyAlignment="1">
      <alignment horizontal="center" vertical="center"/>
    </xf>
    <xf numFmtId="10" fontId="156" fillId="48" borderId="419" xfId="2" applyNumberFormat="1" applyFont="1" applyFill="1" applyBorder="1" applyAlignment="1" applyProtection="1">
      <alignment horizontal="center" vertical="center"/>
    </xf>
    <xf numFmtId="9" fontId="156" fillId="0" borderId="193" xfId="2" applyFont="1" applyBorder="1" applyAlignment="1">
      <alignment horizontal="center" vertical="center" wrapText="1"/>
    </xf>
    <xf numFmtId="0" fontId="243" fillId="0" borderId="462" xfId="0" applyFont="1" applyBorder="1" applyAlignment="1">
      <alignment vertical="center"/>
    </xf>
    <xf numFmtId="4" fontId="156" fillId="0" borderId="461" xfId="1" applyNumberFormat="1" applyFont="1" applyFill="1" applyBorder="1" applyAlignment="1" applyProtection="1">
      <alignment vertical="center"/>
    </xf>
    <xf numFmtId="0" fontId="57" fillId="20" borderId="463" xfId="0" applyFont="1" applyFill="1" applyBorder="1" applyAlignment="1">
      <alignment horizontal="left" vertical="center"/>
    </xf>
    <xf numFmtId="49" fontId="57" fillId="19" borderId="464" xfId="0" applyNumberFormat="1" applyFont="1" applyFill="1" applyBorder="1" applyAlignment="1">
      <alignment horizontal="center" vertical="center" wrapText="1"/>
    </xf>
    <xf numFmtId="49" fontId="24" fillId="3" borderId="249" xfId="0" applyNumberFormat="1" applyFont="1" applyFill="1" applyBorder="1" applyAlignment="1">
      <alignment horizontal="center" vertical="center"/>
    </xf>
    <xf numFmtId="0" fontId="25" fillId="0" borderId="249" xfId="0" applyFont="1" applyBorder="1" applyAlignment="1">
      <alignment horizontal="center" vertical="center" wrapText="1"/>
    </xf>
    <xf numFmtId="0" fontId="25" fillId="0" borderId="243" xfId="0" applyFont="1" applyBorder="1" applyAlignment="1">
      <alignment horizontal="center" vertical="center" wrapText="1"/>
    </xf>
    <xf numFmtId="49" fontId="57" fillId="19" borderId="241" xfId="0" applyNumberFormat="1" applyFont="1" applyFill="1" applyBorder="1" applyAlignment="1">
      <alignment horizontal="center" vertical="center"/>
    </xf>
    <xf numFmtId="49" fontId="25" fillId="10" borderId="243" xfId="0" applyNumberFormat="1" applyFont="1" applyFill="1" applyBorder="1" applyAlignment="1">
      <alignment horizontal="center" vertical="center"/>
    </xf>
    <xf numFmtId="49" fontId="25" fillId="0" borderId="243" xfId="0" applyNumberFormat="1" applyFont="1" applyBorder="1" applyAlignment="1">
      <alignment horizontal="center" vertical="center"/>
    </xf>
    <xf numFmtId="0" fontId="25" fillId="10" borderId="243" xfId="0" applyFont="1" applyFill="1" applyBorder="1" applyAlignment="1">
      <alignment horizontal="center" vertical="center"/>
    </xf>
    <xf numFmtId="0" fontId="25" fillId="0" borderId="243" xfId="0" applyFont="1" applyBorder="1" applyAlignment="1">
      <alignment horizontal="center" vertical="center"/>
    </xf>
    <xf numFmtId="49" fontId="25" fillId="0" borderId="243" xfId="0" applyNumberFormat="1" applyFont="1" applyBorder="1" applyAlignment="1">
      <alignment horizontal="center" vertical="center" wrapText="1"/>
    </xf>
    <xf numFmtId="49" fontId="24" fillId="3" borderId="241" xfId="0" applyNumberFormat="1" applyFont="1" applyFill="1" applyBorder="1" applyAlignment="1">
      <alignment horizontal="center" vertical="center"/>
    </xf>
    <xf numFmtId="0" fontId="243" fillId="0" borderId="193" xfId="0" applyFont="1" applyBorder="1" applyAlignment="1">
      <alignment horizontal="center" vertical="center" wrapText="1"/>
    </xf>
    <xf numFmtId="1" fontId="243" fillId="0" borderId="193" xfId="0" applyNumberFormat="1" applyFont="1" applyBorder="1" applyAlignment="1">
      <alignment horizontal="center" vertical="center" wrapText="1"/>
    </xf>
    <xf numFmtId="49" fontId="156" fillId="0" borderId="193" xfId="0" applyNumberFormat="1" applyFont="1" applyBorder="1" applyAlignment="1">
      <alignment horizontal="left" vertical="center" wrapText="1"/>
    </xf>
    <xf numFmtId="2" fontId="156" fillId="0" borderId="193" xfId="0" applyNumberFormat="1" applyFont="1" applyBorder="1" applyAlignment="1">
      <alignment horizontal="center" vertical="center"/>
    </xf>
    <xf numFmtId="4" fontId="156" fillId="0" borderId="193" xfId="0" applyNumberFormat="1" applyFont="1" applyBorder="1" applyAlignment="1">
      <alignment horizontal="center" vertical="center"/>
    </xf>
    <xf numFmtId="165" fontId="156" fillId="0" borderId="193" xfId="0" applyNumberFormat="1" applyFont="1" applyBorder="1" applyAlignment="1">
      <alignment horizontal="center" vertical="center"/>
    </xf>
    <xf numFmtId="165" fontId="156" fillId="0" borderId="193" xfId="0" applyNumberFormat="1" applyFont="1" applyBorder="1" applyAlignment="1">
      <alignment horizontal="center" vertical="center" wrapText="1"/>
    </xf>
    <xf numFmtId="49" fontId="25" fillId="0" borderId="466" xfId="0" applyNumberFormat="1" applyFont="1" applyBorder="1" applyAlignment="1">
      <alignment horizontal="center" vertical="center" wrapText="1"/>
    </xf>
    <xf numFmtId="165" fontId="57" fillId="20" borderId="463" xfId="0" applyNumberFormat="1" applyFont="1" applyFill="1" applyBorder="1" applyAlignment="1">
      <alignment horizontal="left" vertical="center"/>
    </xf>
    <xf numFmtId="9" fontId="57" fillId="19" borderId="471" xfId="2" applyFont="1" applyFill="1" applyBorder="1" applyAlignment="1">
      <alignment horizontal="center" vertical="center" wrapText="1"/>
    </xf>
    <xf numFmtId="9" fontId="24" fillId="3" borderId="249" xfId="2" applyFont="1" applyFill="1" applyBorder="1" applyAlignment="1">
      <alignment horizontal="center" vertical="center"/>
    </xf>
    <xf numFmtId="9" fontId="57" fillId="20" borderId="465" xfId="2" applyFont="1" applyFill="1" applyBorder="1" applyAlignment="1">
      <alignment horizontal="left" vertical="center"/>
    </xf>
    <xf numFmtId="9" fontId="25" fillId="0" borderId="464" xfId="2" applyFont="1" applyBorder="1" applyAlignment="1">
      <alignment horizontal="center" vertical="center"/>
    </xf>
    <xf numFmtId="9" fontId="243" fillId="0" borderId="464" xfId="2" applyFont="1" applyBorder="1" applyAlignment="1">
      <alignment horizontal="center" vertical="center"/>
    </xf>
    <xf numFmtId="9" fontId="57" fillId="19" borderId="464" xfId="2" applyFont="1" applyFill="1" applyBorder="1" applyAlignment="1">
      <alignment horizontal="center" vertical="center"/>
    </xf>
    <xf numFmtId="9" fontId="24" fillId="8" borderId="249" xfId="2" applyFont="1" applyFill="1" applyBorder="1" applyAlignment="1">
      <alignment horizontal="center" vertical="center"/>
    </xf>
    <xf numFmtId="9" fontId="57" fillId="20" borderId="465" xfId="2" applyFont="1" applyFill="1" applyBorder="1" applyAlignment="1">
      <alignment horizontal="right" vertical="center"/>
    </xf>
    <xf numFmtId="9" fontId="156" fillId="0" borderId="243" xfId="2" applyFont="1" applyBorder="1" applyAlignment="1">
      <alignment horizontal="center" vertical="center" wrapText="1"/>
    </xf>
    <xf numFmtId="10" fontId="57" fillId="19" borderId="479" xfId="0" applyNumberFormat="1" applyFont="1" applyFill="1" applyBorder="1" applyAlignment="1">
      <alignment horizontal="center" vertical="center" wrapText="1"/>
    </xf>
    <xf numFmtId="10" fontId="24" fillId="3" borderId="478" xfId="0" applyNumberFormat="1" applyFont="1" applyFill="1" applyBorder="1" applyAlignment="1">
      <alignment horizontal="center" vertical="center"/>
    </xf>
    <xf numFmtId="10" fontId="57" fillId="20" borderId="481" xfId="0" applyNumberFormat="1" applyFont="1" applyFill="1" applyBorder="1" applyAlignment="1">
      <alignment horizontal="left" vertical="center"/>
    </xf>
    <xf numFmtId="10" fontId="25" fillId="0" borderId="480" xfId="0" applyNumberFormat="1" applyFont="1" applyBorder="1" applyAlignment="1">
      <alignment horizontal="center" vertical="center"/>
    </xf>
    <xf numFmtId="10" fontId="57" fillId="19" borderId="480" xfId="0" applyNumberFormat="1" applyFont="1" applyFill="1" applyBorder="1" applyAlignment="1">
      <alignment horizontal="center" vertical="center"/>
    </xf>
    <xf numFmtId="10" fontId="24" fillId="8" borderId="478" xfId="0" applyNumberFormat="1" applyFont="1" applyFill="1" applyBorder="1" applyAlignment="1">
      <alignment horizontal="center" vertical="center"/>
    </xf>
    <xf numFmtId="10" fontId="57" fillId="20" borderId="481" xfId="0" applyNumberFormat="1" applyFont="1" applyFill="1" applyBorder="1" applyAlignment="1">
      <alignment horizontal="right" vertical="center"/>
    </xf>
    <xf numFmtId="165" fontId="57" fillId="20" borderId="76" xfId="0" applyNumberFormat="1" applyFont="1" applyFill="1" applyBorder="1" applyAlignment="1">
      <alignment vertical="center"/>
    </xf>
    <xf numFmtId="165" fontId="57" fillId="19" borderId="76" xfId="0" applyNumberFormat="1" applyFont="1" applyFill="1" applyBorder="1" applyAlignment="1">
      <alignment vertical="center" wrapText="1"/>
    </xf>
    <xf numFmtId="165" fontId="24" fillId="3" borderId="76" xfId="0" applyNumberFormat="1" applyFont="1" applyFill="1" applyBorder="1" applyAlignment="1">
      <alignment vertical="center"/>
    </xf>
    <xf numFmtId="165" fontId="25" fillId="0" borderId="3" xfId="0" applyNumberFormat="1" applyFont="1" applyBorder="1" applyAlignment="1">
      <alignment vertical="center"/>
    </xf>
    <xf numFmtId="165" fontId="57" fillId="19" borderId="3" xfId="0" applyNumberFormat="1" applyFont="1" applyFill="1" applyBorder="1" applyAlignment="1">
      <alignment vertical="center"/>
    </xf>
    <xf numFmtId="165" fontId="24" fillId="8" borderId="76" xfId="0" applyNumberFormat="1" applyFont="1" applyFill="1" applyBorder="1" applyAlignment="1">
      <alignment vertical="center"/>
    </xf>
    <xf numFmtId="0" fontId="243" fillId="0" borderId="435" xfId="0" applyFont="1" applyBorder="1" applyAlignment="1">
      <alignment vertical="center"/>
    </xf>
    <xf numFmtId="4" fontId="156" fillId="48" borderId="283" xfId="0" applyNumberFormat="1" applyFont="1" applyFill="1" applyBorder="1" applyAlignment="1">
      <alignment horizontal="center" vertical="center"/>
    </xf>
    <xf numFmtId="14" fontId="170" fillId="0" borderId="193" xfId="7" applyNumberFormat="1" applyFont="1" applyAlignment="1">
      <alignment horizontal="center" vertical="center"/>
    </xf>
    <xf numFmtId="165" fontId="243" fillId="0" borderId="445" xfId="0" applyNumberFormat="1" applyFont="1" applyBorder="1" applyAlignment="1">
      <alignment vertical="center"/>
    </xf>
    <xf numFmtId="10" fontId="57" fillId="19" borderId="471" xfId="2" applyNumberFormat="1" applyFont="1" applyFill="1" applyBorder="1" applyAlignment="1">
      <alignment horizontal="center" vertical="center" wrapText="1"/>
    </xf>
    <xf numFmtId="10" fontId="57" fillId="19" borderId="118" xfId="2" applyNumberFormat="1" applyFont="1" applyFill="1" applyBorder="1" applyAlignment="1">
      <alignment horizontal="center" vertical="center" wrapText="1"/>
    </xf>
    <xf numFmtId="10" fontId="24" fillId="3" borderId="249" xfId="2" applyNumberFormat="1" applyFont="1" applyFill="1" applyBorder="1" applyAlignment="1">
      <alignment horizontal="center" vertical="center"/>
    </xf>
    <xf numFmtId="10" fontId="24" fillId="3" borderId="72" xfId="2" applyNumberFormat="1" applyFont="1" applyFill="1" applyBorder="1" applyAlignment="1">
      <alignment horizontal="center" vertical="center"/>
    </xf>
    <xf numFmtId="10" fontId="243" fillId="0" borderId="5" xfId="2" applyNumberFormat="1" applyFont="1" applyBorder="1" applyAlignment="1">
      <alignment horizontal="center" vertical="center"/>
    </xf>
    <xf numFmtId="10" fontId="25" fillId="0" borderId="5" xfId="2" applyNumberFormat="1" applyFont="1" applyBorder="1" applyAlignment="1">
      <alignment horizontal="center" vertical="center"/>
    </xf>
    <xf numFmtId="0" fontId="179" fillId="43" borderId="302" xfId="17" applyFont="1" applyFill="1" applyBorder="1" applyAlignment="1">
      <alignment horizontal="center" vertical="center"/>
    </xf>
    <xf numFmtId="0" fontId="179" fillId="43" borderId="239" xfId="17" applyFont="1" applyFill="1" applyBorder="1" applyAlignment="1">
      <alignment horizontal="center" vertical="center"/>
    </xf>
    <xf numFmtId="0" fontId="179" fillId="43" borderId="240" xfId="17" applyFont="1" applyFill="1" applyBorder="1" applyAlignment="1">
      <alignment horizontal="center" vertical="center"/>
    </xf>
    <xf numFmtId="0" fontId="185" fillId="43" borderId="319" xfId="17" applyFont="1" applyFill="1" applyBorder="1" applyAlignment="1">
      <alignment horizontal="center" vertical="center"/>
    </xf>
    <xf numFmtId="39" fontId="185" fillId="43" borderId="234" xfId="17" applyNumberFormat="1" applyFont="1" applyFill="1" applyBorder="1" applyAlignment="1">
      <alignment horizontal="center" vertical="center"/>
    </xf>
    <xf numFmtId="201" fontId="185" fillId="43" borderId="320" xfId="18" applyNumberFormat="1" applyFont="1" applyFill="1" applyBorder="1" applyAlignment="1">
      <alignment horizontal="center" vertical="center" wrapText="1"/>
    </xf>
    <xf numFmtId="0" fontId="179" fillId="43" borderId="317" xfId="17" applyFont="1" applyFill="1" applyBorder="1" applyAlignment="1">
      <alignment horizontal="center" vertical="center"/>
    </xf>
    <xf numFmtId="0" fontId="179" fillId="43" borderId="316" xfId="17" applyFont="1" applyFill="1" applyBorder="1" applyAlignment="1">
      <alignment horizontal="center" vertical="center"/>
    </xf>
    <xf numFmtId="0" fontId="185" fillId="43" borderId="319" xfId="17" applyFont="1" applyFill="1" applyBorder="1" applyAlignment="1">
      <alignment horizontal="center" vertical="center" wrapText="1"/>
    </xf>
    <xf numFmtId="0" fontId="185" fillId="43" borderId="421" xfId="17" applyFont="1" applyFill="1" applyBorder="1" applyAlignment="1">
      <alignment horizontal="center" vertical="center"/>
    </xf>
    <xf numFmtId="0" fontId="185" fillId="43" borderId="370" xfId="17" applyFont="1" applyFill="1" applyBorder="1" applyAlignment="1">
      <alignment horizontal="center" vertical="center"/>
    </xf>
    <xf numFmtId="0" fontId="185" fillId="43" borderId="427" xfId="17" applyFont="1" applyFill="1" applyBorder="1" applyAlignment="1">
      <alignment horizontal="center" vertical="center" wrapText="1"/>
    </xf>
    <xf numFmtId="165" fontId="25" fillId="0" borderId="445" xfId="0" applyNumberFormat="1" applyFont="1" applyBorder="1" applyAlignment="1">
      <alignment vertical="center"/>
    </xf>
    <xf numFmtId="10" fontId="25" fillId="0" borderId="464" xfId="2" applyNumberFormat="1" applyFont="1" applyBorder="1" applyAlignment="1">
      <alignment horizontal="center" vertical="center"/>
    </xf>
    <xf numFmtId="165" fontId="24" fillId="3" borderId="73" xfId="0" applyNumberFormat="1" applyFont="1" applyFill="1" applyBorder="1" applyAlignment="1">
      <alignment horizontal="left" vertical="center"/>
    </xf>
    <xf numFmtId="165" fontId="24" fillId="3" borderId="76" xfId="0" applyNumberFormat="1" applyFont="1" applyFill="1" applyBorder="1" applyAlignment="1">
      <alignment horizontal="left" vertical="center"/>
    </xf>
    <xf numFmtId="165" fontId="243" fillId="0" borderId="445" xfId="0" applyNumberFormat="1" applyFont="1" applyBorder="1" applyAlignment="1">
      <alignment horizontal="left" vertical="center"/>
    </xf>
    <xf numFmtId="165" fontId="25" fillId="0" borderId="445" xfId="0" applyNumberFormat="1" applyFont="1" applyBorder="1" applyAlignment="1">
      <alignment horizontal="left" vertical="center"/>
    </xf>
    <xf numFmtId="0" fontId="25" fillId="10" borderId="445" xfId="0" applyFont="1" applyFill="1" applyBorder="1" applyAlignment="1">
      <alignment vertical="center" wrapText="1"/>
    </xf>
    <xf numFmtId="203" fontId="156" fillId="0" borderId="440" xfId="0" applyNumberFormat="1" applyFont="1" applyBorder="1" applyAlignment="1">
      <alignment vertical="center"/>
    </xf>
    <xf numFmtId="203" fontId="156" fillId="0" borderId="443" xfId="0" applyNumberFormat="1" applyFont="1" applyBorder="1" applyAlignment="1">
      <alignment vertical="center"/>
    </xf>
    <xf numFmtId="203" fontId="156" fillId="0" borderId="451" xfId="0" applyNumberFormat="1" applyFont="1" applyBorder="1" applyAlignment="1">
      <alignment vertical="center"/>
    </xf>
    <xf numFmtId="0" fontId="57" fillId="20" borderId="465" xfId="0" applyFont="1" applyFill="1" applyBorder="1" applyAlignment="1">
      <alignment horizontal="center" vertical="center"/>
    </xf>
    <xf numFmtId="49" fontId="25" fillId="0" borderId="241" xfId="0" applyNumberFormat="1" applyFont="1" applyBorder="1" applyAlignment="1">
      <alignment horizontal="center" vertical="center" wrapText="1"/>
    </xf>
    <xf numFmtId="49" fontId="25" fillId="0" borderId="241" xfId="0" applyNumberFormat="1" applyFont="1" applyBorder="1" applyAlignment="1">
      <alignment horizontal="center" vertical="center"/>
    </xf>
    <xf numFmtId="49" fontId="24" fillId="3" borderId="243" xfId="0" applyNumberFormat="1" applyFont="1" applyFill="1" applyBorder="1" applyAlignment="1">
      <alignment horizontal="center" vertical="center" wrapText="1"/>
    </xf>
    <xf numFmtId="49" fontId="24" fillId="8" borderId="243" xfId="0" applyNumberFormat="1" applyFont="1" applyFill="1" applyBorder="1" applyAlignment="1">
      <alignment horizontal="center" vertical="center" wrapText="1"/>
    </xf>
    <xf numFmtId="0" fontId="24" fillId="3" borderId="243" xfId="0" applyFont="1" applyFill="1" applyBorder="1" applyAlignment="1">
      <alignment horizontal="center" vertical="center"/>
    </xf>
    <xf numFmtId="49" fontId="24" fillId="3" borderId="243" xfId="0" applyNumberFormat="1" applyFont="1" applyFill="1" applyBorder="1" applyAlignment="1">
      <alignment horizontal="center" vertical="center"/>
    </xf>
    <xf numFmtId="49" fontId="116" fillId="0" borderId="243" xfId="0" applyNumberFormat="1" applyFont="1" applyBorder="1" applyAlignment="1">
      <alignment horizontal="center" vertical="center"/>
    </xf>
    <xf numFmtId="0" fontId="25" fillId="10" borderId="5" xfId="0" applyFont="1" applyFill="1" applyBorder="1" applyAlignment="1">
      <alignment horizontal="center" vertical="center" wrapText="1"/>
    </xf>
    <xf numFmtId="4" fontId="25" fillId="10" borderId="445" xfId="0" applyNumberFormat="1" applyFont="1" applyFill="1" applyBorder="1" applyAlignment="1">
      <alignment horizontal="center" vertical="center" wrapText="1"/>
    </xf>
    <xf numFmtId="0" fontId="243" fillId="10" borderId="5" xfId="0" applyFont="1" applyFill="1" applyBorder="1" applyAlignment="1">
      <alignment horizontal="center" vertical="center" wrapText="1"/>
    </xf>
    <xf numFmtId="0" fontId="243" fillId="10" borderId="5" xfId="0" applyFont="1" applyFill="1" applyBorder="1" applyAlignment="1">
      <alignment horizontal="center" vertical="center"/>
    </xf>
    <xf numFmtId="4" fontId="25" fillId="10" borderId="445" xfId="0" applyNumberFormat="1" applyFont="1" applyFill="1" applyBorder="1" applyAlignment="1">
      <alignment horizontal="center" vertical="center"/>
    </xf>
    <xf numFmtId="4" fontId="89" fillId="3" borderId="72" xfId="0" applyNumberFormat="1" applyFont="1" applyFill="1" applyBorder="1" applyAlignment="1">
      <alignment horizontal="center" vertical="center"/>
    </xf>
    <xf numFmtId="172" fontId="89" fillId="3" borderId="72" xfId="0" applyNumberFormat="1" applyFont="1" applyFill="1" applyBorder="1" applyAlignment="1">
      <alignment vertical="center"/>
    </xf>
    <xf numFmtId="165" fontId="89" fillId="3" borderId="73" xfId="0" applyNumberFormat="1" applyFont="1" applyFill="1" applyBorder="1" applyAlignment="1">
      <alignment vertical="center"/>
    </xf>
    <xf numFmtId="2" fontId="25" fillId="19" borderId="5" xfId="0" applyNumberFormat="1" applyFont="1" applyFill="1" applyBorder="1" applyAlignment="1">
      <alignment horizontal="center" vertical="center"/>
    </xf>
    <xf numFmtId="4" fontId="25" fillId="19" borderId="5" xfId="0" applyNumberFormat="1" applyFont="1" applyFill="1" applyBorder="1" applyAlignment="1">
      <alignment vertical="center"/>
    </xf>
    <xf numFmtId="165" fontId="25" fillId="19" borderId="5" xfId="0" applyNumberFormat="1" applyFont="1" applyFill="1" applyBorder="1" applyAlignment="1">
      <alignment vertical="center"/>
    </xf>
    <xf numFmtId="2" fontId="25" fillId="3" borderId="5" xfId="0" applyNumberFormat="1" applyFont="1" applyFill="1" applyBorder="1" applyAlignment="1">
      <alignment horizontal="center" vertical="center"/>
    </xf>
    <xf numFmtId="4" fontId="25" fillId="3" borderId="5" xfId="0" applyNumberFormat="1" applyFont="1" applyFill="1" applyBorder="1" applyAlignment="1">
      <alignment vertical="center"/>
    </xf>
    <xf numFmtId="165" fontId="25" fillId="3" borderId="5" xfId="0" applyNumberFormat="1" applyFont="1" applyFill="1" applyBorder="1" applyAlignment="1">
      <alignment vertical="center"/>
    </xf>
    <xf numFmtId="9" fontId="24" fillId="3" borderId="471" xfId="2" applyFont="1" applyFill="1" applyBorder="1" applyAlignment="1">
      <alignment horizontal="center" vertical="center" wrapText="1"/>
    </xf>
    <xf numFmtId="9" fontId="24" fillId="3" borderId="118" xfId="2" applyFont="1" applyFill="1" applyBorder="1" applyAlignment="1">
      <alignment horizontal="center" vertical="center" wrapText="1"/>
    </xf>
    <xf numFmtId="165" fontId="24" fillId="3" borderId="76" xfId="0" applyNumberFormat="1" applyFont="1" applyFill="1" applyBorder="1" applyAlignment="1">
      <alignment vertical="center" wrapText="1"/>
    </xf>
    <xf numFmtId="2" fontId="243" fillId="19" borderId="5" xfId="0" applyNumberFormat="1" applyFont="1" applyFill="1" applyBorder="1" applyAlignment="1">
      <alignment horizontal="center" vertical="center"/>
    </xf>
    <xf numFmtId="4" fontId="243" fillId="19" borderId="5" xfId="0" applyNumberFormat="1" applyFont="1" applyFill="1" applyBorder="1" applyAlignment="1">
      <alignment vertical="center"/>
    </xf>
    <xf numFmtId="165" fontId="243" fillId="19" borderId="5" xfId="0" applyNumberFormat="1" applyFont="1" applyFill="1" applyBorder="1" applyAlignment="1">
      <alignment vertical="center"/>
    </xf>
    <xf numFmtId="165" fontId="156" fillId="19" borderId="76" xfId="0" applyNumberFormat="1" applyFont="1" applyFill="1" applyBorder="1" applyAlignment="1">
      <alignment vertical="center" wrapText="1"/>
    </xf>
    <xf numFmtId="9" fontId="156" fillId="19" borderId="471" xfId="2" applyFont="1" applyFill="1" applyBorder="1" applyAlignment="1">
      <alignment horizontal="center" vertical="center" wrapText="1"/>
    </xf>
    <xf numFmtId="9" fontId="156" fillId="19" borderId="118" xfId="2" applyFont="1" applyFill="1" applyBorder="1" applyAlignment="1">
      <alignment horizontal="center" vertical="center" wrapText="1"/>
    </xf>
    <xf numFmtId="2" fontId="243" fillId="3" borderId="5" xfId="0" applyNumberFormat="1" applyFont="1" applyFill="1" applyBorder="1" applyAlignment="1">
      <alignment horizontal="center" vertical="center"/>
    </xf>
    <xf numFmtId="4" fontId="243" fillId="3" borderId="5" xfId="0" applyNumberFormat="1" applyFont="1" applyFill="1" applyBorder="1" applyAlignment="1">
      <alignment vertical="center"/>
    </xf>
    <xf numFmtId="165" fontId="243" fillId="3" borderId="5" xfId="0" applyNumberFormat="1" applyFont="1" applyFill="1" applyBorder="1" applyAlignment="1">
      <alignment vertical="center"/>
    </xf>
    <xf numFmtId="9" fontId="156" fillId="3" borderId="471" xfId="2" applyFont="1" applyFill="1" applyBorder="1" applyAlignment="1">
      <alignment horizontal="center" vertical="center" wrapText="1"/>
    </xf>
    <xf numFmtId="9" fontId="156" fillId="3" borderId="118" xfId="2" applyFont="1" applyFill="1" applyBorder="1" applyAlignment="1">
      <alignment horizontal="center" vertical="center" wrapText="1"/>
    </xf>
    <xf numFmtId="165" fontId="156" fillId="3" borderId="118" xfId="0" applyNumberFormat="1" applyFont="1" applyFill="1" applyBorder="1" applyAlignment="1">
      <alignment horizontal="center" vertical="center" wrapText="1"/>
    </xf>
    <xf numFmtId="165" fontId="156" fillId="3" borderId="76" xfId="0" applyNumberFormat="1" applyFont="1" applyFill="1" applyBorder="1" applyAlignment="1">
      <alignment vertical="center" wrapText="1"/>
    </xf>
    <xf numFmtId="168" fontId="25" fillId="0" borderId="3" xfId="0" applyNumberFormat="1" applyFont="1" applyBorder="1" applyAlignment="1">
      <alignment vertical="center" wrapText="1"/>
    </xf>
    <xf numFmtId="172" fontId="24" fillId="3" borderId="76" xfId="0" applyNumberFormat="1" applyFont="1" applyFill="1" applyBorder="1" applyAlignment="1">
      <alignment vertical="center" wrapText="1"/>
    </xf>
    <xf numFmtId="49" fontId="57" fillId="19" borderId="3" xfId="0" applyNumberFormat="1" applyFont="1" applyFill="1" applyBorder="1" applyAlignment="1">
      <alignment vertical="center" wrapText="1"/>
    </xf>
    <xf numFmtId="0" fontId="116" fillId="0" borderId="3" xfId="0" applyFont="1" applyBorder="1" applyAlignment="1">
      <alignment vertical="center" wrapText="1"/>
    </xf>
    <xf numFmtId="172" fontId="24" fillId="8" borderId="3" xfId="0" applyNumberFormat="1" applyFont="1" applyFill="1" applyBorder="1" applyAlignment="1">
      <alignment vertical="center" wrapText="1"/>
    </xf>
    <xf numFmtId="49" fontId="156" fillId="3" borderId="3" xfId="0" applyNumberFormat="1" applyFont="1" applyFill="1" applyBorder="1" applyAlignment="1">
      <alignment vertical="center" wrapText="1"/>
    </xf>
    <xf numFmtId="49" fontId="156" fillId="19" borderId="3" xfId="0" applyNumberFormat="1" applyFont="1" applyFill="1" applyBorder="1" applyAlignment="1">
      <alignment vertical="center" wrapText="1"/>
    </xf>
    <xf numFmtId="0" fontId="24" fillId="3" borderId="76" xfId="0" applyFont="1" applyFill="1" applyBorder="1" applyAlignment="1">
      <alignment vertical="center" wrapText="1"/>
    </xf>
    <xf numFmtId="0" fontId="25" fillId="10" borderId="445" xfId="0" applyFont="1" applyFill="1" applyBorder="1" applyAlignment="1">
      <alignment vertical="center"/>
    </xf>
    <xf numFmtId="0" fontId="156" fillId="50" borderId="289" xfId="0" applyFont="1" applyFill="1" applyBorder="1" applyAlignment="1">
      <alignment horizontal="right" vertical="center"/>
    </xf>
    <xf numFmtId="0" fontId="156" fillId="50" borderId="291" xfId="0" applyFont="1" applyFill="1" applyBorder="1" applyAlignment="1">
      <alignment vertical="center"/>
    </xf>
    <xf numFmtId="0" fontId="156" fillId="0" borderId="484" xfId="0" applyFont="1" applyBorder="1" applyAlignment="1">
      <alignment horizontal="right" vertical="center"/>
    </xf>
    <xf numFmtId="0" fontId="156" fillId="0" borderId="448" xfId="0" applyFont="1" applyBorder="1" applyAlignment="1">
      <alignment horizontal="right" vertical="center"/>
    </xf>
    <xf numFmtId="0" fontId="156" fillId="0" borderId="449" xfId="0" applyFont="1" applyBorder="1" applyAlignment="1">
      <alignment horizontal="right" vertical="center"/>
    </xf>
    <xf numFmtId="0" fontId="156" fillId="0" borderId="440" xfId="0" applyFont="1" applyBorder="1" applyAlignment="1">
      <alignment horizontal="left" vertical="center"/>
    </xf>
    <xf numFmtId="14" fontId="156" fillId="0" borderId="443" xfId="0" applyNumberFormat="1" applyFont="1" applyBorder="1" applyAlignment="1">
      <alignment horizontal="left" vertical="center"/>
    </xf>
    <xf numFmtId="17" fontId="156" fillId="0" borderId="443" xfId="0" applyNumberFormat="1" applyFont="1" applyBorder="1" applyAlignment="1">
      <alignment horizontal="left" vertical="center"/>
    </xf>
    <xf numFmtId="0" fontId="156" fillId="0" borderId="451" xfId="0" applyFont="1" applyBorder="1" applyAlignment="1">
      <alignment horizontal="left" vertical="center"/>
    </xf>
    <xf numFmtId="0" fontId="89" fillId="3" borderId="72" xfId="0" applyFont="1" applyFill="1" applyBorder="1" applyAlignment="1">
      <alignment horizontal="center" vertical="center"/>
    </xf>
    <xf numFmtId="0" fontId="25" fillId="19" borderId="5" xfId="0" applyFont="1" applyFill="1" applyBorder="1" applyAlignment="1">
      <alignment horizontal="center" vertical="center"/>
    </xf>
    <xf numFmtId="0" fontId="25" fillId="3" borderId="5" xfId="0" applyFont="1" applyFill="1" applyBorder="1" applyAlignment="1">
      <alignment horizontal="center" vertical="center"/>
    </xf>
    <xf numFmtId="0" fontId="243" fillId="19" borderId="5" xfId="0" applyFont="1" applyFill="1" applyBorder="1" applyAlignment="1">
      <alignment horizontal="center" vertical="center"/>
    </xf>
    <xf numFmtId="0" fontId="243" fillId="3" borderId="5" xfId="0" applyFont="1" applyFill="1" applyBorder="1" applyAlignment="1">
      <alignment horizontal="center" vertical="center"/>
    </xf>
    <xf numFmtId="1" fontId="25" fillId="19" borderId="5" xfId="0" applyNumberFormat="1" applyFont="1" applyFill="1" applyBorder="1" applyAlignment="1">
      <alignment horizontal="center" vertical="center"/>
    </xf>
    <xf numFmtId="1" fontId="25" fillId="3" borderId="5" xfId="0" applyNumberFormat="1" applyFont="1" applyFill="1" applyBorder="1" applyAlignment="1">
      <alignment horizontal="center" vertical="center"/>
    </xf>
    <xf numFmtId="1" fontId="243" fillId="19" borderId="5" xfId="0" applyNumberFormat="1" applyFont="1" applyFill="1" applyBorder="1" applyAlignment="1">
      <alignment horizontal="center" vertical="center"/>
    </xf>
    <xf numFmtId="1" fontId="243" fillId="3" borderId="5" xfId="0" applyNumberFormat="1" applyFont="1" applyFill="1" applyBorder="1" applyAlignment="1">
      <alignment horizontal="center" vertical="center"/>
    </xf>
    <xf numFmtId="49" fontId="156" fillId="0" borderId="432" xfId="0" applyNumberFormat="1" applyFont="1" applyBorder="1" applyAlignment="1">
      <alignment horizontal="left" vertical="center"/>
    </xf>
    <xf numFmtId="0" fontId="154" fillId="0" borderId="193" xfId="0" applyFont="1" applyBorder="1" applyAlignment="1">
      <alignment vertical="center"/>
    </xf>
    <xf numFmtId="10" fontId="57" fillId="20" borderId="419" xfId="2" applyNumberFormat="1" applyFont="1" applyFill="1" applyBorder="1" applyAlignment="1">
      <alignment horizontal="center" vertical="center"/>
    </xf>
    <xf numFmtId="0" fontId="57" fillId="20" borderId="465" xfId="0" applyFont="1" applyFill="1" applyBorder="1" applyAlignment="1">
      <alignment vertical="center"/>
    </xf>
    <xf numFmtId="0" fontId="57" fillId="20" borderId="109" xfId="0" applyFont="1" applyFill="1" applyBorder="1" applyAlignment="1">
      <alignment vertical="center"/>
    </xf>
    <xf numFmtId="168" fontId="243" fillId="43" borderId="5" xfId="0" applyNumberFormat="1" applyFont="1" applyFill="1" applyBorder="1" applyAlignment="1">
      <alignment horizontal="center" vertical="center" wrapText="1"/>
    </xf>
    <xf numFmtId="9" fontId="57" fillId="58" borderId="472" xfId="2" applyFont="1" applyFill="1" applyBorder="1" applyAlignment="1">
      <alignment horizontal="center" vertical="center" wrapText="1"/>
    </xf>
    <xf numFmtId="10" fontId="25" fillId="57" borderId="473" xfId="2" applyNumberFormat="1" applyFont="1" applyFill="1" applyBorder="1" applyAlignment="1">
      <alignment horizontal="center" vertical="center"/>
    </xf>
    <xf numFmtId="9" fontId="24" fillId="59" borderId="474" xfId="2" applyFont="1" applyFill="1" applyBorder="1" applyAlignment="1">
      <alignment horizontal="center" vertical="center"/>
    </xf>
    <xf numFmtId="9" fontId="25" fillId="57" borderId="473" xfId="2" applyFont="1" applyFill="1" applyBorder="1" applyAlignment="1">
      <alignment horizontal="center" vertical="center"/>
    </xf>
    <xf numFmtId="9" fontId="243" fillId="57" borderId="473" xfId="2" applyFont="1" applyFill="1" applyBorder="1" applyAlignment="1">
      <alignment horizontal="center" vertical="center"/>
    </xf>
    <xf numFmtId="9" fontId="24" fillId="59" borderId="472" xfId="2" applyFont="1" applyFill="1" applyBorder="1" applyAlignment="1">
      <alignment horizontal="center" vertical="center" wrapText="1"/>
    </xf>
    <xf numFmtId="9" fontId="156" fillId="57" borderId="242" xfId="2" applyFont="1" applyFill="1" applyBorder="1" applyAlignment="1">
      <alignment horizontal="center" vertical="center" wrapText="1"/>
    </xf>
    <xf numFmtId="9" fontId="156" fillId="59" borderId="472" xfId="2" applyFont="1" applyFill="1" applyBorder="1" applyAlignment="1">
      <alignment horizontal="center" vertical="center" wrapText="1"/>
    </xf>
    <xf numFmtId="0" fontId="0" fillId="57" borderId="0" xfId="0" applyFill="1"/>
    <xf numFmtId="14" fontId="156" fillId="43" borderId="433" xfId="0" applyNumberFormat="1" applyFont="1" applyFill="1" applyBorder="1" applyAlignment="1">
      <alignment horizontal="left" vertical="center"/>
    </xf>
    <xf numFmtId="0" fontId="180" fillId="0" borderId="365" xfId="8" applyFont="1" applyBorder="1" applyAlignment="1">
      <alignment horizontal="center" vertical="center"/>
    </xf>
    <xf numFmtId="1" fontId="5" fillId="0" borderId="193" xfId="7" applyNumberFormat="1" applyAlignment="1">
      <alignment horizontal="center" vertical="center"/>
    </xf>
    <xf numFmtId="14" fontId="170" fillId="0" borderId="193" xfId="7" applyNumberFormat="1" applyFont="1" applyAlignment="1">
      <alignment vertical="center"/>
    </xf>
    <xf numFmtId="0" fontId="158" fillId="43" borderId="234" xfId="3" applyFont="1" applyFill="1" applyBorder="1" applyAlignment="1">
      <alignment horizontal="center" vertical="center"/>
    </xf>
    <xf numFmtId="0" fontId="158" fillId="43" borderId="193" xfId="3" applyFont="1" applyFill="1" applyAlignment="1">
      <alignment horizontal="center" vertical="center"/>
    </xf>
    <xf numFmtId="0" fontId="248" fillId="0" borderId="193" xfId="8" applyFont="1" applyAlignment="1">
      <alignment vertical="center"/>
    </xf>
    <xf numFmtId="0" fontId="248" fillId="0" borderId="234" xfId="8" applyFont="1" applyBorder="1" applyAlignment="1">
      <alignment vertical="center"/>
    </xf>
    <xf numFmtId="0" fontId="248" fillId="0" borderId="363" xfId="8" applyFont="1" applyBorder="1" applyAlignment="1">
      <alignment vertical="center"/>
    </xf>
    <xf numFmtId="0" fontId="199" fillId="0" borderId="234" xfId="6" applyFont="1" applyBorder="1" applyAlignment="1">
      <alignment vertical="center"/>
    </xf>
    <xf numFmtId="0" fontId="197" fillId="0" borderId="234" xfId="7" applyFont="1" applyBorder="1" applyAlignment="1">
      <alignment vertical="center"/>
    </xf>
    <xf numFmtId="0" fontId="199" fillId="0" borderId="193" xfId="6" applyFont="1" applyAlignment="1">
      <alignment horizontal="center" vertical="center"/>
    </xf>
    <xf numFmtId="0" fontId="197" fillId="0" borderId="254" xfId="7" applyFont="1" applyBorder="1" applyAlignment="1">
      <alignment vertical="center"/>
    </xf>
    <xf numFmtId="0" fontId="180" fillId="0" borderId="316" xfId="6" applyFont="1" applyBorder="1" applyAlignment="1">
      <alignment vertical="center"/>
    </xf>
    <xf numFmtId="187" fontId="24" fillId="9" borderId="192" xfId="24" applyNumberFormat="1" applyFont="1" applyFill="1" applyBorder="1" applyAlignment="1">
      <alignment horizontal="center" vertical="center"/>
    </xf>
    <xf numFmtId="44" fontId="0" fillId="43" borderId="0" xfId="0" applyNumberFormat="1" applyFill="1"/>
    <xf numFmtId="172" fontId="185" fillId="43" borderId="370" xfId="19" applyFont="1" applyFill="1" applyBorder="1" applyAlignment="1">
      <alignment horizontal="center" vertical="center"/>
    </xf>
    <xf numFmtId="0" fontId="216" fillId="0" borderId="193" xfId="17" applyFont="1" applyAlignment="1">
      <alignment vertical="center"/>
    </xf>
    <xf numFmtId="0" fontId="212" fillId="0" borderId="193" xfId="6" applyFont="1" applyAlignment="1">
      <alignment vertical="center"/>
    </xf>
    <xf numFmtId="0" fontId="236" fillId="0" borderId="193" xfId="17" applyFont="1" applyAlignment="1">
      <alignment vertical="center"/>
    </xf>
    <xf numFmtId="2" fontId="237" fillId="0" borderId="193" xfId="17" applyNumberFormat="1" applyFont="1" applyAlignment="1">
      <alignment vertical="center"/>
    </xf>
    <xf numFmtId="0" fontId="185" fillId="43" borderId="243" xfId="17" applyFont="1" applyFill="1" applyBorder="1" applyAlignment="1">
      <alignment horizontal="center" vertical="center"/>
    </xf>
    <xf numFmtId="0" fontId="185" fillId="43" borderId="193" xfId="17" applyFont="1" applyFill="1" applyAlignment="1">
      <alignment horizontal="left" vertical="center"/>
    </xf>
    <xf numFmtId="14" fontId="185" fillId="43" borderId="193" xfId="17" applyNumberFormat="1" applyFont="1" applyFill="1" applyAlignment="1">
      <alignment horizontal="center" vertical="center"/>
    </xf>
    <xf numFmtId="0" fontId="185" fillId="43" borderId="193" xfId="17" applyFont="1" applyFill="1" applyAlignment="1">
      <alignment horizontal="center" vertical="center"/>
    </xf>
    <xf numFmtId="167" fontId="185" fillId="43" borderId="193" xfId="20" applyNumberFormat="1" applyFont="1" applyFill="1" applyBorder="1" applyAlignment="1">
      <alignment vertical="center"/>
    </xf>
    <xf numFmtId="167" fontId="185" fillId="43" borderId="193" xfId="17" applyNumberFormat="1" applyFont="1" applyFill="1" applyAlignment="1">
      <alignment vertical="center"/>
    </xf>
    <xf numFmtId="167" fontId="185" fillId="43" borderId="193" xfId="19" applyNumberFormat="1" applyFont="1" applyFill="1" applyBorder="1" applyAlignment="1">
      <alignment vertical="center"/>
    </xf>
    <xf numFmtId="167" fontId="185" fillId="43" borderId="242" xfId="19" applyNumberFormat="1" applyFont="1" applyFill="1" applyBorder="1" applyAlignment="1">
      <alignment vertical="center"/>
    </xf>
    <xf numFmtId="0" fontId="185" fillId="43" borderId="370" xfId="17" applyFont="1" applyFill="1" applyBorder="1" applyAlignment="1">
      <alignment horizontal="left" vertical="center"/>
    </xf>
    <xf numFmtId="14" fontId="185" fillId="43" borderId="370" xfId="17" applyNumberFormat="1" applyFont="1" applyFill="1" applyBorder="1" applyAlignment="1">
      <alignment horizontal="center" vertical="center"/>
    </xf>
    <xf numFmtId="167" fontId="185" fillId="43" borderId="370" xfId="20" applyNumberFormat="1" applyFont="1" applyFill="1" applyBorder="1" applyAlignment="1">
      <alignment vertical="center"/>
    </xf>
    <xf numFmtId="167" fontId="185" fillId="43" borderId="370" xfId="17" applyNumberFormat="1" applyFont="1" applyFill="1" applyBorder="1" applyAlignment="1">
      <alignment vertical="center"/>
    </xf>
    <xf numFmtId="167" fontId="185" fillId="43" borderId="370" xfId="19" applyNumberFormat="1" applyFont="1" applyFill="1" applyBorder="1" applyAlignment="1">
      <alignment vertical="center"/>
    </xf>
    <xf numFmtId="0" fontId="249" fillId="43" borderId="370" xfId="17" applyFont="1" applyFill="1" applyBorder="1" applyAlignment="1">
      <alignment horizontal="center" vertical="center"/>
    </xf>
    <xf numFmtId="0" fontId="249" fillId="43" borderId="370" xfId="17" applyFont="1" applyFill="1" applyBorder="1" applyAlignment="1">
      <alignment horizontal="left" vertical="center"/>
    </xf>
    <xf numFmtId="14" fontId="249" fillId="43" borderId="370" xfId="17" applyNumberFormat="1" applyFont="1" applyFill="1" applyBorder="1" applyAlignment="1">
      <alignment horizontal="center" vertical="center"/>
    </xf>
    <xf numFmtId="167" fontId="249" fillId="43" borderId="370" xfId="20" applyNumberFormat="1" applyFont="1" applyFill="1" applyBorder="1" applyAlignment="1">
      <alignment vertical="center"/>
    </xf>
    <xf numFmtId="167" fontId="249" fillId="43" borderId="370" xfId="17" applyNumberFormat="1" applyFont="1" applyFill="1" applyBorder="1" applyAlignment="1">
      <alignment vertical="center"/>
    </xf>
    <xf numFmtId="167" fontId="249" fillId="43" borderId="370" xfId="19" applyNumberFormat="1" applyFont="1" applyFill="1" applyBorder="1" applyAlignment="1">
      <alignment vertical="center"/>
    </xf>
    <xf numFmtId="0" fontId="249" fillId="0" borderId="370" xfId="17" applyFont="1" applyBorder="1" applyAlignment="1">
      <alignment horizontal="center" vertical="center"/>
    </xf>
    <xf numFmtId="0" fontId="249" fillId="0" borderId="370" xfId="17" applyFont="1" applyBorder="1" applyAlignment="1">
      <alignment horizontal="left" vertical="center"/>
    </xf>
    <xf numFmtId="14" fontId="249" fillId="0" borderId="370" xfId="17" applyNumberFormat="1" applyFont="1" applyBorder="1" applyAlignment="1">
      <alignment horizontal="center" vertical="center"/>
    </xf>
    <xf numFmtId="167" fontId="249" fillId="0" borderId="370" xfId="20" applyNumberFormat="1" applyFont="1" applyFill="1" applyBorder="1" applyAlignment="1">
      <alignment vertical="center"/>
    </xf>
    <xf numFmtId="167" fontId="249" fillId="0" borderId="370" xfId="17" applyNumberFormat="1" applyFont="1" applyBorder="1" applyAlignment="1">
      <alignment vertical="center"/>
    </xf>
    <xf numFmtId="167" fontId="249" fillId="0" borderId="370" xfId="19" applyNumberFormat="1" applyFont="1" applyFill="1" applyBorder="1" applyAlignment="1">
      <alignment vertical="center"/>
    </xf>
    <xf numFmtId="0" fontId="249" fillId="0" borderId="370" xfId="17" applyFont="1" applyBorder="1" applyAlignment="1">
      <alignment vertical="center"/>
    </xf>
    <xf numFmtId="14" fontId="249" fillId="0" borderId="370" xfId="17" applyNumberFormat="1" applyFont="1" applyBorder="1" applyAlignment="1">
      <alignment horizontal="left" vertical="center"/>
    </xf>
    <xf numFmtId="0" fontId="249" fillId="43" borderId="421" xfId="17" applyFont="1" applyFill="1" applyBorder="1" applyAlignment="1">
      <alignment horizontal="center" vertical="center"/>
    </xf>
    <xf numFmtId="167" fontId="249" fillId="43" borderId="427" xfId="17" applyNumberFormat="1" applyFont="1" applyFill="1" applyBorder="1" applyAlignment="1">
      <alignment horizontal="center" vertical="center"/>
    </xf>
    <xf numFmtId="0" fontId="249" fillId="0" borderId="421" xfId="17" applyFont="1" applyBorder="1" applyAlignment="1">
      <alignment horizontal="center" vertical="center"/>
    </xf>
    <xf numFmtId="167" fontId="249" fillId="0" borderId="427" xfId="17" applyNumberFormat="1" applyFont="1" applyBorder="1" applyAlignment="1">
      <alignment horizontal="center" vertical="center"/>
    </xf>
    <xf numFmtId="167" fontId="249" fillId="43" borderId="427" xfId="19" applyNumberFormat="1" applyFont="1" applyFill="1" applyBorder="1" applyAlignment="1">
      <alignment vertical="center"/>
    </xf>
    <xf numFmtId="0" fontId="249" fillId="0" borderId="421" xfId="17" applyFont="1" applyBorder="1" applyAlignment="1">
      <alignment vertical="center"/>
    </xf>
    <xf numFmtId="0" fontId="249" fillId="0" borderId="427" xfId="17" applyFont="1" applyBorder="1" applyAlignment="1">
      <alignment vertical="center"/>
    </xf>
    <xf numFmtId="167" fontId="185" fillId="43" borderId="427" xfId="19" applyNumberFormat="1" applyFont="1" applyFill="1" applyBorder="1" applyAlignment="1">
      <alignment vertical="center"/>
    </xf>
    <xf numFmtId="0" fontId="213" fillId="0" borderId="193" xfId="6" applyFont="1" applyAlignment="1">
      <alignment vertical="center"/>
    </xf>
    <xf numFmtId="202" fontId="178" fillId="0" borderId="193" xfId="17" applyNumberFormat="1" applyFont="1" applyAlignment="1">
      <alignment vertical="center"/>
    </xf>
    <xf numFmtId="0" fontId="177" fillId="0" borderId="193" xfId="17" applyFont="1" applyAlignment="1">
      <alignment vertical="center"/>
    </xf>
    <xf numFmtId="0" fontId="179" fillId="0" borderId="193" xfId="17" applyFont="1" applyAlignment="1">
      <alignment vertical="center"/>
    </xf>
    <xf numFmtId="167" fontId="179" fillId="43" borderId="427" xfId="19" applyNumberFormat="1" applyFont="1" applyFill="1" applyBorder="1" applyAlignment="1">
      <alignment horizontal="center" vertical="center" wrapText="1"/>
    </xf>
    <xf numFmtId="165" fontId="246" fillId="60" borderId="122" xfId="0" applyNumberFormat="1" applyFont="1" applyFill="1" applyBorder="1" applyAlignment="1">
      <alignment horizontal="center" vertical="center"/>
    </xf>
    <xf numFmtId="0" fontId="244" fillId="61" borderId="193" xfId="0" applyFont="1" applyFill="1" applyBorder="1" applyAlignment="1">
      <alignment vertical="center"/>
    </xf>
    <xf numFmtId="9" fontId="245" fillId="60" borderId="476" xfId="2" applyFont="1" applyFill="1" applyBorder="1" applyAlignment="1">
      <alignment horizontal="center" vertical="center"/>
    </xf>
    <xf numFmtId="9" fontId="245" fillId="60" borderId="124" xfId="2" applyFont="1" applyFill="1" applyBorder="1" applyAlignment="1">
      <alignment horizontal="center" vertical="center"/>
    </xf>
    <xf numFmtId="9" fontId="245" fillId="60" borderId="477" xfId="2" applyFont="1" applyFill="1" applyBorder="1" applyAlignment="1">
      <alignment horizontal="center" vertical="center"/>
    </xf>
    <xf numFmtId="10" fontId="245" fillId="60" borderId="124" xfId="0" applyNumberFormat="1" applyFont="1" applyFill="1" applyBorder="1" applyAlignment="1">
      <alignment horizontal="center" vertical="center"/>
    </xf>
    <xf numFmtId="10" fontId="245" fillId="60" borderId="482" xfId="0" applyNumberFormat="1" applyFont="1" applyFill="1" applyBorder="1" applyAlignment="1">
      <alignment horizontal="center" vertical="center"/>
    </xf>
    <xf numFmtId="165" fontId="24" fillId="62" borderId="468" xfId="0" applyNumberFormat="1" applyFont="1" applyFill="1" applyBorder="1" applyAlignment="1">
      <alignment horizontal="center" vertical="center"/>
    </xf>
    <xf numFmtId="0" fontId="244" fillId="63" borderId="254" xfId="0" applyFont="1" applyFill="1" applyBorder="1" applyAlignment="1">
      <alignment vertical="center"/>
    </xf>
    <xf numFmtId="0" fontId="244" fillId="63" borderId="258" xfId="0" applyFont="1" applyFill="1" applyBorder="1" applyAlignment="1">
      <alignment vertical="center"/>
    </xf>
    <xf numFmtId="0" fontId="244" fillId="63" borderId="456" xfId="0" applyFont="1" applyFill="1" applyBorder="1" applyAlignment="1">
      <alignment vertical="center"/>
    </xf>
    <xf numFmtId="4" fontId="156" fillId="48" borderId="284" xfId="0" applyNumberFormat="1" applyFont="1" applyFill="1" applyBorder="1" applyAlignment="1">
      <alignment horizontal="center" vertical="center"/>
    </xf>
    <xf numFmtId="165" fontId="243" fillId="0" borderId="445" xfId="0" applyNumberFormat="1" applyFont="1" applyBorder="1" applyAlignment="1">
      <alignment horizontal="center" vertical="center"/>
    </xf>
    <xf numFmtId="165" fontId="57" fillId="20" borderId="493" xfId="0" applyNumberFormat="1" applyFont="1" applyFill="1" applyBorder="1" applyAlignment="1">
      <alignment horizontal="left" vertical="center"/>
    </xf>
    <xf numFmtId="9" fontId="57" fillId="19" borderId="472" xfId="2" applyFont="1" applyFill="1" applyBorder="1" applyAlignment="1">
      <alignment horizontal="center" vertical="center" wrapText="1"/>
    </xf>
    <xf numFmtId="10" fontId="57" fillId="19" borderId="472" xfId="2" applyNumberFormat="1" applyFont="1" applyFill="1" applyBorder="1" applyAlignment="1">
      <alignment horizontal="center" vertical="center" wrapText="1"/>
    </xf>
    <xf numFmtId="10" fontId="24" fillId="3" borderId="474" xfId="2" applyNumberFormat="1" applyFont="1" applyFill="1" applyBorder="1" applyAlignment="1">
      <alignment horizontal="center" vertical="center"/>
    </xf>
    <xf numFmtId="9" fontId="57" fillId="20" borderId="475" xfId="2" applyFont="1" applyFill="1" applyBorder="1" applyAlignment="1">
      <alignment horizontal="left" vertical="center"/>
    </xf>
    <xf numFmtId="9" fontId="24" fillId="3" borderId="474" xfId="2" applyFont="1" applyFill="1" applyBorder="1" applyAlignment="1">
      <alignment horizontal="center" vertical="center"/>
    </xf>
    <xf numFmtId="165" fontId="24" fillId="62" borderId="467" xfId="0" applyNumberFormat="1" applyFont="1" applyFill="1" applyBorder="1" applyAlignment="1">
      <alignment horizontal="center" vertical="center"/>
    </xf>
    <xf numFmtId="165" fontId="25" fillId="0" borderId="473" xfId="0" applyNumberFormat="1" applyFont="1" applyBorder="1" applyAlignment="1">
      <alignment horizontal="center" vertical="center"/>
    </xf>
    <xf numFmtId="165" fontId="156" fillId="0" borderId="242" xfId="0" applyNumberFormat="1" applyFont="1" applyBorder="1" applyAlignment="1">
      <alignment horizontal="center" vertical="center" wrapText="1"/>
    </xf>
    <xf numFmtId="165" fontId="156" fillId="3" borderId="494" xfId="0" applyNumberFormat="1" applyFont="1" applyFill="1" applyBorder="1" applyAlignment="1">
      <alignment vertical="center" wrapText="1"/>
    </xf>
    <xf numFmtId="10" fontId="245" fillId="60" borderId="477" xfId="0" applyNumberFormat="1" applyFont="1" applyFill="1" applyBorder="1" applyAlignment="1">
      <alignment horizontal="center" vertical="center"/>
    </xf>
    <xf numFmtId="165" fontId="24" fillId="62" borderId="495" xfId="0" applyNumberFormat="1" applyFont="1" applyFill="1" applyBorder="1" applyAlignment="1">
      <alignment horizontal="center" vertical="center"/>
    </xf>
    <xf numFmtId="10" fontId="156" fillId="48" borderId="489" xfId="2" applyNumberFormat="1" applyFont="1" applyFill="1" applyBorder="1" applyAlignment="1" applyProtection="1">
      <alignment horizontal="center" vertical="center"/>
    </xf>
    <xf numFmtId="0" fontId="156" fillId="0" borderId="443" xfId="0" applyFont="1" applyBorder="1" applyAlignment="1">
      <alignment horizontal="left" vertical="center" wrapText="1"/>
    </xf>
    <xf numFmtId="0" fontId="245" fillId="20" borderId="465" xfId="0" applyFont="1" applyFill="1" applyBorder="1" applyAlignment="1">
      <alignment horizontal="center" vertical="center"/>
    </xf>
    <xf numFmtId="0" fontId="245" fillId="20" borderId="112" xfId="0" applyFont="1" applyFill="1" applyBorder="1" applyAlignment="1">
      <alignment horizontal="center" vertical="center"/>
    </xf>
    <xf numFmtId="0" fontId="245" fillId="20" borderId="76" xfId="0" applyFont="1" applyFill="1" applyBorder="1" applyAlignment="1">
      <alignment vertical="center"/>
    </xf>
    <xf numFmtId="0" fontId="245" fillId="20" borderId="112" xfId="0" applyFont="1" applyFill="1" applyBorder="1" applyAlignment="1">
      <alignment horizontal="left" vertical="center"/>
    </xf>
    <xf numFmtId="165" fontId="245" fillId="20" borderId="112" xfId="0" applyNumberFormat="1" applyFont="1" applyFill="1" applyBorder="1" applyAlignment="1">
      <alignment horizontal="left" vertical="center"/>
    </xf>
    <xf numFmtId="165" fontId="245" fillId="20" borderId="76" xfId="0" applyNumberFormat="1" applyFont="1" applyFill="1" applyBorder="1" applyAlignment="1">
      <alignment vertical="center"/>
    </xf>
    <xf numFmtId="9" fontId="245" fillId="20" borderId="465" xfId="2" applyFont="1" applyFill="1" applyBorder="1" applyAlignment="1">
      <alignment horizontal="right" vertical="center"/>
    </xf>
    <xf numFmtId="9" fontId="245" fillId="20" borderId="112" xfId="2" applyFont="1" applyFill="1" applyBorder="1" applyAlignment="1">
      <alignment horizontal="right" vertical="center"/>
    </xf>
    <xf numFmtId="49" fontId="245" fillId="19" borderId="241" xfId="0" applyNumberFormat="1" applyFont="1" applyFill="1" applyBorder="1" applyAlignment="1">
      <alignment horizontal="center" vertical="center"/>
    </xf>
    <xf numFmtId="0" fontId="246" fillId="19" borderId="5" xfId="0" applyFont="1" applyFill="1" applyBorder="1" applyAlignment="1">
      <alignment horizontal="center" vertical="center"/>
    </xf>
    <xf numFmtId="1" fontId="246" fillId="19" borderId="5" xfId="0" applyNumberFormat="1" applyFont="1" applyFill="1" applyBorder="1" applyAlignment="1">
      <alignment horizontal="center" vertical="center"/>
    </xf>
    <xf numFmtId="49" fontId="245" fillId="19" borderId="3" xfId="0" applyNumberFormat="1" applyFont="1" applyFill="1" applyBorder="1" applyAlignment="1">
      <alignment vertical="center" wrapText="1"/>
    </xf>
    <xf numFmtId="2" fontId="246" fillId="19" borderId="5" xfId="0" applyNumberFormat="1" applyFont="1" applyFill="1" applyBorder="1" applyAlignment="1">
      <alignment horizontal="center" vertical="center"/>
    </xf>
    <xf numFmtId="4" fontId="246" fillId="19" borderId="5" xfId="0" applyNumberFormat="1" applyFont="1" applyFill="1" applyBorder="1" applyAlignment="1">
      <alignment vertical="center"/>
    </xf>
    <xf numFmtId="165" fontId="246" fillId="19" borderId="5" xfId="0" applyNumberFormat="1" applyFont="1" applyFill="1" applyBorder="1" applyAlignment="1">
      <alignment vertical="center"/>
    </xf>
    <xf numFmtId="165" fontId="245" fillId="19" borderId="76" xfId="0" applyNumberFormat="1" applyFont="1" applyFill="1" applyBorder="1" applyAlignment="1">
      <alignment vertical="center" wrapText="1"/>
    </xf>
    <xf numFmtId="9" fontId="245" fillId="19" borderId="471" xfId="2" applyFont="1" applyFill="1" applyBorder="1" applyAlignment="1">
      <alignment horizontal="center" vertical="center" wrapText="1"/>
    </xf>
    <xf numFmtId="9" fontId="245" fillId="19" borderId="118" xfId="2" applyFont="1" applyFill="1" applyBorder="1" applyAlignment="1">
      <alignment horizontal="center" vertical="center" wrapText="1"/>
    </xf>
    <xf numFmtId="49" fontId="156" fillId="3" borderId="243" xfId="0" applyNumberFormat="1" applyFont="1" applyFill="1" applyBorder="1" applyAlignment="1">
      <alignment horizontal="center" vertical="center"/>
    </xf>
    <xf numFmtId="1" fontId="246" fillId="19" borderId="5" xfId="0" applyNumberFormat="1" applyFont="1" applyFill="1" applyBorder="1" applyAlignment="1">
      <alignment horizontal="left" vertical="center" wrapText="1"/>
    </xf>
    <xf numFmtId="44" fontId="0" fillId="43" borderId="193" xfId="0" applyNumberFormat="1" applyFill="1" applyBorder="1"/>
    <xf numFmtId="204" fontId="0" fillId="43" borderId="193" xfId="2" applyNumberFormat="1" applyFont="1" applyFill="1" applyBorder="1"/>
    <xf numFmtId="10" fontId="0" fillId="43" borderId="193" xfId="2" applyNumberFormat="1" applyFont="1" applyFill="1" applyBorder="1"/>
    <xf numFmtId="10" fontId="25" fillId="64" borderId="464" xfId="2" applyNumberFormat="1" applyFont="1" applyFill="1" applyBorder="1" applyAlignment="1">
      <alignment horizontal="center" vertical="center"/>
    </xf>
    <xf numFmtId="9" fontId="25" fillId="64" borderId="5" xfId="2" applyFont="1" applyFill="1" applyBorder="1" applyAlignment="1">
      <alignment horizontal="center" vertical="center"/>
    </xf>
    <xf numFmtId="165" fontId="25" fillId="65" borderId="5" xfId="0" applyNumberFormat="1" applyFont="1" applyFill="1" applyBorder="1" applyAlignment="1">
      <alignment horizontal="center" vertical="center"/>
    </xf>
    <xf numFmtId="165" fontId="57" fillId="20" borderId="193" xfId="0" applyNumberFormat="1" applyFont="1" applyFill="1" applyBorder="1" applyAlignment="1">
      <alignment vertical="center"/>
    </xf>
    <xf numFmtId="165" fontId="57" fillId="19" borderId="193" xfId="0" applyNumberFormat="1" applyFont="1" applyFill="1" applyBorder="1" applyAlignment="1">
      <alignment vertical="center" wrapText="1"/>
    </xf>
    <xf numFmtId="165" fontId="25" fillId="0" borderId="496" xfId="0" applyNumberFormat="1" applyFont="1" applyBorder="1" applyAlignment="1">
      <alignment horizontal="center" vertical="center"/>
    </xf>
    <xf numFmtId="165" fontId="24" fillId="3" borderId="193" xfId="0" applyNumberFormat="1" applyFont="1" applyFill="1" applyBorder="1" applyAlignment="1">
      <alignment vertical="center"/>
    </xf>
    <xf numFmtId="165" fontId="24" fillId="3" borderId="193" xfId="0" applyNumberFormat="1" applyFont="1" applyFill="1" applyBorder="1" applyAlignment="1">
      <alignment horizontal="left" vertical="center"/>
    </xf>
    <xf numFmtId="165" fontId="243" fillId="0" borderId="496" xfId="0" applyNumberFormat="1" applyFont="1" applyBorder="1" applyAlignment="1">
      <alignment horizontal="center" vertical="center"/>
    </xf>
    <xf numFmtId="165" fontId="57" fillId="19" borderId="193" xfId="0" applyNumberFormat="1" applyFont="1" applyFill="1" applyBorder="1" applyAlignment="1">
      <alignment vertical="center"/>
    </xf>
    <xf numFmtId="165" fontId="24" fillId="8" borderId="193" xfId="0" applyNumberFormat="1" applyFont="1" applyFill="1" applyBorder="1" applyAlignment="1">
      <alignment vertical="center"/>
    </xf>
    <xf numFmtId="165" fontId="24" fillId="3" borderId="193" xfId="0" applyNumberFormat="1" applyFont="1" applyFill="1" applyBorder="1" applyAlignment="1">
      <alignment vertical="center" wrapText="1"/>
    </xf>
    <xf numFmtId="165" fontId="245" fillId="20" borderId="193" xfId="0" applyNumberFormat="1" applyFont="1" applyFill="1" applyBorder="1" applyAlignment="1">
      <alignment vertical="center"/>
    </xf>
    <xf numFmtId="165" fontId="245" fillId="19" borderId="193" xfId="0" applyNumberFormat="1" applyFont="1" applyFill="1" applyBorder="1" applyAlignment="1">
      <alignment vertical="center" wrapText="1"/>
    </xf>
    <xf numFmtId="165" fontId="156" fillId="3" borderId="193" xfId="0" applyNumberFormat="1" applyFont="1" applyFill="1" applyBorder="1" applyAlignment="1">
      <alignment vertical="center" wrapText="1"/>
    </xf>
    <xf numFmtId="165" fontId="156" fillId="19" borderId="193" xfId="0" applyNumberFormat="1" applyFont="1" applyFill="1" applyBorder="1" applyAlignment="1">
      <alignment vertical="center" wrapText="1"/>
    </xf>
    <xf numFmtId="10" fontId="245" fillId="60" borderId="497" xfId="0" applyNumberFormat="1" applyFont="1" applyFill="1" applyBorder="1" applyAlignment="1">
      <alignment horizontal="center" vertical="center"/>
    </xf>
    <xf numFmtId="165" fontId="24" fillId="62" borderId="490" xfId="0" applyNumberFormat="1" applyFont="1" applyFill="1" applyBorder="1" applyAlignment="1">
      <alignment horizontal="center" vertical="center"/>
    </xf>
    <xf numFmtId="9" fontId="57" fillId="19" borderId="473" xfId="2" applyFont="1" applyFill="1" applyBorder="1" applyAlignment="1">
      <alignment horizontal="center" vertical="center"/>
    </xf>
    <xf numFmtId="9" fontId="24" fillId="8" borderId="474" xfId="2" applyFont="1" applyFill="1" applyBorder="1" applyAlignment="1">
      <alignment horizontal="center" vertical="center"/>
    </xf>
    <xf numFmtId="9" fontId="57" fillId="20" borderId="475" xfId="2" applyFont="1" applyFill="1" applyBorder="1" applyAlignment="1">
      <alignment horizontal="right" vertical="center"/>
    </xf>
    <xf numFmtId="9" fontId="24" fillId="3" borderId="472" xfId="2" applyFont="1" applyFill="1" applyBorder="1" applyAlignment="1">
      <alignment horizontal="center" vertical="center" wrapText="1"/>
    </xf>
    <xf numFmtId="9" fontId="25" fillId="64" borderId="473" xfId="2" applyFont="1" applyFill="1" applyBorder="1" applyAlignment="1">
      <alignment horizontal="center" vertical="center"/>
    </xf>
    <xf numFmtId="165" fontId="25" fillId="3" borderId="464" xfId="0" applyNumberFormat="1" applyFont="1" applyFill="1" applyBorder="1" applyAlignment="1">
      <alignment vertical="center"/>
    </xf>
    <xf numFmtId="165" fontId="25" fillId="3" borderId="473" xfId="0" applyNumberFormat="1" applyFont="1" applyFill="1" applyBorder="1" applyAlignment="1">
      <alignment vertical="center"/>
    </xf>
    <xf numFmtId="9" fontId="245" fillId="20" borderId="475" xfId="2" applyFont="1" applyFill="1" applyBorder="1" applyAlignment="1">
      <alignment horizontal="right" vertical="center"/>
    </xf>
    <xf numFmtId="9" fontId="245" fillId="19" borderId="472" xfId="2" applyFont="1" applyFill="1" applyBorder="1" applyAlignment="1">
      <alignment horizontal="center" vertical="center" wrapText="1"/>
    </xf>
    <xf numFmtId="9" fontId="156" fillId="3" borderId="472" xfId="2" applyFont="1" applyFill="1" applyBorder="1" applyAlignment="1">
      <alignment horizontal="center" vertical="center" wrapText="1"/>
    </xf>
    <xf numFmtId="9" fontId="156" fillId="19" borderId="472" xfId="2" applyFont="1" applyFill="1" applyBorder="1" applyAlignment="1">
      <alignment horizontal="center" vertical="center" wrapText="1"/>
    </xf>
    <xf numFmtId="165" fontId="243" fillId="56" borderId="5" xfId="0" applyNumberFormat="1" applyFont="1" applyFill="1" applyBorder="1" applyAlignment="1">
      <alignment horizontal="center" vertical="center"/>
    </xf>
    <xf numFmtId="10" fontId="25" fillId="66" borderId="480" xfId="0" applyNumberFormat="1" applyFont="1" applyFill="1" applyBorder="1" applyAlignment="1">
      <alignment horizontal="center" vertical="center"/>
    </xf>
    <xf numFmtId="10" fontId="25" fillId="3" borderId="76" xfId="2" applyNumberFormat="1" applyFont="1" applyFill="1" applyBorder="1" applyAlignment="1">
      <alignment horizontal="center" vertical="center"/>
    </xf>
    <xf numFmtId="10" fontId="9" fillId="10" borderId="161" xfId="24" applyNumberFormat="1" applyFont="1" applyFill="1" applyBorder="1" applyAlignment="1">
      <alignment horizontal="center" vertical="center"/>
    </xf>
    <xf numFmtId="10" fontId="24" fillId="0" borderId="14" xfId="2" applyNumberFormat="1" applyFont="1" applyBorder="1" applyAlignment="1">
      <alignment horizontal="center" vertical="center"/>
    </xf>
    <xf numFmtId="10" fontId="24" fillId="0" borderId="205" xfId="2" applyNumberFormat="1" applyFont="1" applyBorder="1" applyAlignment="1">
      <alignment horizontal="center" vertical="center"/>
    </xf>
    <xf numFmtId="10" fontId="152" fillId="0" borderId="193" xfId="24" applyNumberFormat="1"/>
    <xf numFmtId="10" fontId="152" fillId="0" borderId="193" xfId="24" applyNumberFormat="1" applyAlignment="1">
      <alignment horizontal="center" vertical="center"/>
    </xf>
    <xf numFmtId="0" fontId="152" fillId="0" borderId="193" xfId="24" applyAlignment="1">
      <alignment horizontal="center" vertical="center"/>
    </xf>
    <xf numFmtId="44" fontId="152" fillId="0" borderId="193" xfId="24" applyNumberFormat="1"/>
    <xf numFmtId="165" fontId="156" fillId="67" borderId="193" xfId="0" applyNumberFormat="1" applyFont="1" applyFill="1" applyBorder="1" applyAlignment="1">
      <alignment vertical="center" wrapText="1"/>
    </xf>
    <xf numFmtId="9" fontId="0" fillId="0" borderId="0" xfId="2" applyFont="1"/>
    <xf numFmtId="205" fontId="0" fillId="0" borderId="0" xfId="0" applyNumberFormat="1"/>
    <xf numFmtId="204" fontId="0" fillId="0" borderId="0" xfId="0" applyNumberFormat="1"/>
    <xf numFmtId="206" fontId="0" fillId="0" borderId="0" xfId="0" applyNumberFormat="1"/>
    <xf numFmtId="208" fontId="152" fillId="0" borderId="193" xfId="24" applyNumberFormat="1"/>
    <xf numFmtId="207" fontId="152" fillId="0" borderId="193" xfId="24" applyNumberFormat="1"/>
    <xf numFmtId="10" fontId="0" fillId="0" borderId="0" xfId="0" applyNumberFormat="1"/>
    <xf numFmtId="209" fontId="25" fillId="0" borderId="5" xfId="2" applyNumberFormat="1" applyFont="1" applyBorder="1" applyAlignment="1">
      <alignment horizontal="center" vertical="center"/>
    </xf>
    <xf numFmtId="0" fontId="152" fillId="0" borderId="0" xfId="0" applyFont="1"/>
    <xf numFmtId="0" fontId="1" fillId="0" borderId="193" xfId="7" applyFont="1" applyAlignment="1">
      <alignment horizontal="left" vertical="center"/>
    </xf>
    <xf numFmtId="210" fontId="0" fillId="0" borderId="0" xfId="0" applyNumberFormat="1"/>
    <xf numFmtId="187" fontId="25" fillId="68" borderId="146" xfId="24" applyNumberFormat="1" applyFont="1" applyFill="1" applyBorder="1" applyAlignment="1">
      <alignment horizontal="center" vertical="center"/>
    </xf>
    <xf numFmtId="187" fontId="25" fillId="68" borderId="163" xfId="24" applyNumberFormat="1" applyFont="1" applyFill="1" applyBorder="1" applyAlignment="1">
      <alignment horizontal="center" vertical="center"/>
    </xf>
    <xf numFmtId="187" fontId="25" fillId="68" borderId="161" xfId="24" applyNumberFormat="1" applyFont="1" applyFill="1" applyBorder="1" applyAlignment="1">
      <alignment horizontal="center" vertical="center"/>
    </xf>
    <xf numFmtId="10" fontId="25" fillId="69" borderId="148" xfId="24" applyNumberFormat="1" applyFont="1" applyFill="1" applyBorder="1" applyAlignment="1">
      <alignment horizontal="center" vertical="center"/>
    </xf>
    <xf numFmtId="10" fontId="25" fillId="0" borderId="370" xfId="24" applyNumberFormat="1" applyFont="1" applyBorder="1" applyAlignment="1">
      <alignment horizontal="center" vertical="center"/>
    </xf>
    <xf numFmtId="165" fontId="156" fillId="0" borderId="193" xfId="0" applyNumberFormat="1" applyFont="1" applyBorder="1" applyAlignment="1">
      <alignment vertical="center" wrapText="1"/>
    </xf>
    <xf numFmtId="10" fontId="242" fillId="0" borderId="0" xfId="2" applyNumberFormat="1" applyFont="1"/>
    <xf numFmtId="4" fontId="0" fillId="0" borderId="0" xfId="0" applyNumberFormat="1"/>
    <xf numFmtId="0" fontId="6" fillId="2" borderId="0" xfId="0" applyFont="1" applyFill="1" applyAlignment="1">
      <alignment horizontal="center" vertical="center"/>
    </xf>
    <xf numFmtId="0" fontId="0" fillId="0" borderId="0" xfId="0"/>
    <xf numFmtId="0" fontId="11" fillId="5" borderId="1" xfId="0" applyFont="1" applyFill="1" applyBorder="1" applyAlignment="1">
      <alignment horizontal="center" vertical="center"/>
    </xf>
    <xf numFmtId="0" fontId="12" fillId="0" borderId="2" xfId="0" applyFont="1" applyBorder="1"/>
    <xf numFmtId="0" fontId="13" fillId="6" borderId="2" xfId="0" applyFont="1" applyFill="1" applyBorder="1" applyAlignment="1">
      <alignment horizontal="center" vertical="center"/>
    </xf>
    <xf numFmtId="0" fontId="16" fillId="0" borderId="3" xfId="0" applyFont="1" applyBorder="1" applyAlignment="1">
      <alignment horizontal="center" vertical="center"/>
    </xf>
    <xf numFmtId="0" fontId="12" fillId="0" borderId="4" xfId="0" applyFont="1" applyBorder="1"/>
    <xf numFmtId="10" fontId="20" fillId="9" borderId="1" xfId="0" applyNumberFormat="1" applyFont="1" applyFill="1" applyBorder="1" applyAlignment="1">
      <alignment horizontal="center" vertical="center" wrapText="1"/>
    </xf>
    <xf numFmtId="0" fontId="12" fillId="0" borderId="8" xfId="0" applyFont="1" applyBorder="1"/>
    <xf numFmtId="0" fontId="24" fillId="0" borderId="34" xfId="0" applyFont="1" applyBorder="1" applyAlignment="1">
      <alignment horizontal="center" vertical="center" wrapText="1"/>
    </xf>
    <xf numFmtId="0" fontId="12" fillId="0" borderId="37" xfId="0" applyFont="1" applyBorder="1"/>
    <xf numFmtId="0" fontId="12" fillId="0" borderId="40" xfId="0" applyFont="1" applyBorder="1"/>
    <xf numFmtId="0" fontId="24" fillId="3" borderId="34" xfId="0" applyFont="1" applyFill="1" applyBorder="1" applyAlignment="1">
      <alignment horizontal="center" vertical="center" wrapText="1"/>
    </xf>
    <xf numFmtId="0" fontId="24" fillId="9" borderId="25" xfId="0" applyFont="1" applyFill="1" applyBorder="1" applyAlignment="1">
      <alignment horizontal="center" wrapText="1"/>
    </xf>
    <xf numFmtId="0" fontId="12" fillId="0" borderId="26" xfId="0" applyFont="1" applyBorder="1"/>
    <xf numFmtId="0" fontId="12" fillId="0" borderId="27" xfId="0" applyFont="1" applyBorder="1"/>
    <xf numFmtId="0" fontId="24" fillId="9" borderId="31" xfId="0" applyFont="1" applyFill="1" applyBorder="1" applyAlignment="1">
      <alignment horizontal="center" wrapText="1"/>
    </xf>
    <xf numFmtId="0" fontId="12" fillId="0" borderId="32" xfId="0" applyFont="1" applyBorder="1"/>
    <xf numFmtId="0" fontId="12" fillId="0" borderId="33" xfId="0" applyFont="1" applyBorder="1"/>
    <xf numFmtId="0" fontId="30" fillId="0" borderId="48" xfId="0" applyFont="1" applyBorder="1" applyAlignment="1">
      <alignment horizontal="center" wrapText="1"/>
    </xf>
    <xf numFmtId="0" fontId="12" fillId="0" borderId="48" xfId="0" applyFont="1" applyBorder="1"/>
    <xf numFmtId="0" fontId="8" fillId="0" borderId="0" xfId="0" applyFont="1" applyAlignment="1">
      <alignment horizontal="center" wrapText="1"/>
    </xf>
    <xf numFmtId="0" fontId="8" fillId="0" borderId="51" xfId="0" applyFont="1" applyBorder="1" applyAlignment="1">
      <alignment horizontal="center" wrapText="1"/>
    </xf>
    <xf numFmtId="0" fontId="12" fillId="0" borderId="51" xfId="0" applyFont="1" applyBorder="1"/>
    <xf numFmtId="0" fontId="31" fillId="10" borderId="52" xfId="0" applyFont="1" applyFill="1" applyBorder="1" applyAlignment="1">
      <alignment horizontal="center" vertical="center" wrapText="1"/>
    </xf>
    <xf numFmtId="0" fontId="12" fillId="0" borderId="53" xfId="0" applyFont="1" applyBorder="1"/>
    <xf numFmtId="0" fontId="12" fillId="0" borderId="24" xfId="0" applyFont="1" applyBorder="1"/>
    <xf numFmtId="0" fontId="25" fillId="0" borderId="55" xfId="0" applyFont="1" applyBorder="1" applyAlignment="1">
      <alignment horizontal="left" vertical="center" wrapText="1" readingOrder="1"/>
    </xf>
    <xf numFmtId="0" fontId="12" fillId="0" borderId="56" xfId="0" applyFont="1" applyBorder="1"/>
    <xf numFmtId="0" fontId="12" fillId="0" borderId="57" xfId="0" applyFont="1" applyBorder="1"/>
    <xf numFmtId="0" fontId="25" fillId="0" borderId="1" xfId="0" applyFont="1" applyBorder="1" applyAlignment="1">
      <alignment horizontal="left" vertical="center" wrapText="1" readingOrder="1"/>
    </xf>
    <xf numFmtId="0" fontId="12" fillId="0" borderId="13" xfId="0" applyFont="1" applyBorder="1"/>
    <xf numFmtId="0" fontId="26" fillId="0" borderId="58" xfId="0" applyFont="1" applyBorder="1" applyAlignment="1">
      <alignment horizontal="left" vertical="center" wrapText="1"/>
    </xf>
    <xf numFmtId="0" fontId="32" fillId="0" borderId="20" xfId="0" applyFont="1" applyBorder="1" applyAlignment="1">
      <alignment horizontal="left" vertical="center" wrapText="1"/>
    </xf>
    <xf numFmtId="0" fontId="12" fillId="0" borderId="21" xfId="0" applyFont="1" applyBorder="1"/>
    <xf numFmtId="0" fontId="34" fillId="0" borderId="0" xfId="0" applyFont="1" applyAlignment="1">
      <alignment horizontal="left" vertical="center" wrapText="1"/>
    </xf>
    <xf numFmtId="0" fontId="35" fillId="5" borderId="59" xfId="0" applyFont="1" applyFill="1" applyBorder="1" applyAlignment="1">
      <alignment horizontal="center" vertical="top" wrapText="1"/>
    </xf>
    <xf numFmtId="0" fontId="36" fillId="13" borderId="60" xfId="0" applyFont="1" applyFill="1" applyBorder="1" applyAlignment="1">
      <alignment horizontal="center" vertical="center" wrapText="1"/>
    </xf>
    <xf numFmtId="0" fontId="12" fillId="0" borderId="61" xfId="0" applyFont="1" applyBorder="1"/>
    <xf numFmtId="0" fontId="22" fillId="10" borderId="9" xfId="0" applyFont="1" applyFill="1" applyBorder="1" applyAlignment="1">
      <alignment horizontal="center" wrapText="1"/>
    </xf>
    <xf numFmtId="0" fontId="12" fillId="0" borderId="10" xfId="0" applyFont="1" applyBorder="1"/>
    <xf numFmtId="0" fontId="12" fillId="0" borderId="11" xfId="0" applyFont="1" applyBorder="1"/>
    <xf numFmtId="0" fontId="25" fillId="0" borderId="2" xfId="0" applyFont="1" applyBorder="1" applyAlignment="1">
      <alignment horizontal="left" wrapText="1"/>
    </xf>
    <xf numFmtId="0" fontId="25" fillId="0" borderId="15" xfId="0" applyFont="1" applyBorder="1" applyAlignment="1">
      <alignment horizontal="left" wrapText="1"/>
    </xf>
    <xf numFmtId="0" fontId="12" fillId="0" borderId="15" xfId="0" applyFont="1" applyBorder="1"/>
    <xf numFmtId="0" fontId="12" fillId="0" borderId="16" xfId="0" applyFont="1" applyBorder="1"/>
    <xf numFmtId="0" fontId="26" fillId="0" borderId="17" xfId="0" applyFont="1" applyBorder="1" applyAlignment="1">
      <alignment horizontal="left" vertical="center" wrapText="1"/>
    </xf>
    <xf numFmtId="0" fontId="12" fillId="0" borderId="18" xfId="0" applyFont="1" applyBorder="1"/>
    <xf numFmtId="0" fontId="12" fillId="0" borderId="19" xfId="0" applyFont="1" applyBorder="1"/>
    <xf numFmtId="0" fontId="23" fillId="0" borderId="20" xfId="0" applyFont="1" applyBorder="1" applyAlignment="1">
      <alignment horizontal="left" vertical="center" wrapText="1"/>
    </xf>
    <xf numFmtId="0" fontId="27" fillId="0" borderId="20" xfId="0" applyFont="1" applyBorder="1" applyAlignment="1">
      <alignment horizontal="left" vertical="center" wrapText="1"/>
    </xf>
    <xf numFmtId="0" fontId="23" fillId="0" borderId="20" xfId="0" applyFont="1" applyBorder="1" applyAlignment="1">
      <alignment horizontal="left" vertical="top" wrapText="1"/>
    </xf>
    <xf numFmtId="0" fontId="28" fillId="0" borderId="20" xfId="0" applyFont="1" applyBorder="1" applyAlignment="1">
      <alignment vertical="top" wrapText="1"/>
    </xf>
    <xf numFmtId="0" fontId="12" fillId="0" borderId="28" xfId="0" applyFont="1" applyBorder="1"/>
    <xf numFmtId="0" fontId="38" fillId="0" borderId="20" xfId="0" applyFont="1" applyBorder="1" applyAlignment="1">
      <alignment horizontal="left" vertical="center" wrapText="1"/>
    </xf>
    <xf numFmtId="0" fontId="23" fillId="0" borderId="60" xfId="0" applyFont="1" applyBorder="1" applyAlignment="1">
      <alignment horizontal="left" vertical="center" wrapText="1"/>
    </xf>
    <xf numFmtId="0" fontId="28" fillId="14" borderId="60" xfId="0" applyFont="1" applyFill="1" applyBorder="1" applyAlignment="1">
      <alignment horizontal="left" vertical="center" wrapText="1"/>
    </xf>
    <xf numFmtId="0" fontId="28" fillId="14" borderId="50" xfId="0" applyFont="1" applyFill="1" applyBorder="1" applyAlignment="1">
      <alignment horizontal="left" vertical="center" wrapText="1"/>
    </xf>
    <xf numFmtId="0" fontId="12" fillId="0" borderId="62" xfId="0" applyFont="1" applyBorder="1"/>
    <xf numFmtId="0" fontId="37" fillId="0" borderId="20" xfId="0" applyFont="1" applyBorder="1" applyAlignment="1">
      <alignment horizontal="left" vertical="center" wrapText="1"/>
    </xf>
    <xf numFmtId="0" fontId="38" fillId="0" borderId="0" xfId="0" applyFont="1" applyAlignment="1">
      <alignment wrapText="1"/>
    </xf>
    <xf numFmtId="0" fontId="23" fillId="0" borderId="0" xfId="0" applyFont="1" applyAlignment="1">
      <alignment horizontal="center" vertical="center" wrapText="1"/>
    </xf>
    <xf numFmtId="0" fontId="50" fillId="0" borderId="0" xfId="0" applyFont="1" applyAlignment="1">
      <alignment horizontal="center"/>
    </xf>
    <xf numFmtId="0" fontId="39" fillId="0" borderId="17" xfId="0" applyFont="1" applyBorder="1" applyAlignment="1">
      <alignment horizontal="right"/>
    </xf>
    <xf numFmtId="0" fontId="39" fillId="0" borderId="50" xfId="0" applyFont="1" applyBorder="1" applyAlignment="1">
      <alignment horizontal="right"/>
    </xf>
    <xf numFmtId="10" fontId="48" fillId="8" borderId="95" xfId="0" applyNumberFormat="1" applyFont="1" applyFill="1" applyBorder="1" applyAlignment="1">
      <alignment horizontal="center" vertical="center"/>
    </xf>
    <xf numFmtId="0" fontId="12" fillId="0" borderId="96" xfId="0" applyFont="1" applyBorder="1"/>
    <xf numFmtId="0" fontId="46" fillId="0" borderId="20" xfId="0" applyFont="1" applyBorder="1" applyAlignment="1">
      <alignment horizontal="center" vertical="center"/>
    </xf>
    <xf numFmtId="0" fontId="12" fillId="0" borderId="20" xfId="0" applyFont="1" applyBorder="1"/>
    <xf numFmtId="0" fontId="38" fillId="0" borderId="81" xfId="0" applyFont="1" applyBorder="1" applyAlignment="1">
      <alignment horizontal="center"/>
    </xf>
    <xf numFmtId="0" fontId="12" fillId="0" borderId="82" xfId="0" applyFont="1" applyBorder="1"/>
    <xf numFmtId="0" fontId="10" fillId="0" borderId="64" xfId="0" applyFont="1" applyBorder="1" applyAlignment="1">
      <alignment wrapText="1"/>
    </xf>
    <xf numFmtId="0" fontId="12" fillId="0" borderId="65" xfId="0" applyFont="1" applyBorder="1"/>
    <xf numFmtId="0" fontId="12" fillId="0" borderId="66" xfId="0" applyFont="1" applyBorder="1"/>
    <xf numFmtId="0" fontId="10" fillId="0" borderId="70" xfId="0" applyFont="1" applyBorder="1" applyAlignment="1">
      <alignment wrapText="1"/>
    </xf>
    <xf numFmtId="0" fontId="12" fillId="0" borderId="71" xfId="0" applyFont="1" applyBorder="1"/>
    <xf numFmtId="0" fontId="12" fillId="0" borderId="72" xfId="0" applyFont="1" applyBorder="1"/>
    <xf numFmtId="0" fontId="10" fillId="0" borderId="76" xfId="0" applyFont="1" applyBorder="1" applyAlignment="1">
      <alignment wrapText="1"/>
    </xf>
    <xf numFmtId="0" fontId="12" fillId="0" borderId="77" xfId="0" applyFont="1" applyBorder="1"/>
    <xf numFmtId="0" fontId="40" fillId="15" borderId="79" xfId="0" applyFont="1" applyFill="1" applyBorder="1" applyAlignment="1">
      <alignment horizontal="center" vertical="center" wrapText="1"/>
    </xf>
    <xf numFmtId="0" fontId="42" fillId="3" borderId="18" xfId="0" applyFont="1" applyFill="1" applyBorder="1"/>
    <xf numFmtId="0" fontId="43" fillId="0" borderId="0" xfId="0" applyFont="1" applyAlignment="1">
      <alignment wrapText="1"/>
    </xf>
    <xf numFmtId="0" fontId="25" fillId="0" borderId="81" xfId="0" applyFont="1" applyBorder="1" applyAlignment="1">
      <alignment horizontal="center"/>
    </xf>
    <xf numFmtId="0" fontId="25" fillId="0" borderId="0" xfId="0" applyFont="1" applyAlignment="1">
      <alignment horizontal="center"/>
    </xf>
    <xf numFmtId="0" fontId="26" fillId="3" borderId="18" xfId="0" applyFont="1" applyFill="1" applyBorder="1"/>
    <xf numFmtId="0" fontId="43" fillId="0" borderId="0" xfId="0" applyFont="1" applyAlignment="1">
      <alignment horizontal="left"/>
    </xf>
    <xf numFmtId="0" fontId="43" fillId="0" borderId="0" xfId="0" applyFont="1" applyAlignment="1">
      <alignment horizontal="center"/>
    </xf>
    <xf numFmtId="0" fontId="38" fillId="0" borderId="0" xfId="0" applyFont="1" applyAlignment="1">
      <alignment horizontal="center"/>
    </xf>
    <xf numFmtId="0" fontId="25" fillId="0" borderId="83" xfId="0" applyFont="1" applyBorder="1" applyAlignment="1">
      <alignment horizontal="center"/>
    </xf>
    <xf numFmtId="0" fontId="38" fillId="0" borderId="0" xfId="0" applyFont="1" applyAlignment="1">
      <alignment vertical="center" wrapText="1"/>
    </xf>
    <xf numFmtId="168" fontId="26" fillId="3" borderId="59" xfId="0" applyNumberFormat="1" applyFont="1" applyFill="1" applyBorder="1" applyAlignment="1">
      <alignment horizontal="center" vertical="top" wrapText="1"/>
    </xf>
    <xf numFmtId="0" fontId="44" fillId="9" borderId="1" xfId="0" applyFont="1" applyFill="1" applyBorder="1" applyAlignment="1">
      <alignment horizontal="center" vertical="top" wrapText="1"/>
    </xf>
    <xf numFmtId="0" fontId="25" fillId="0" borderId="85" xfId="0" applyFont="1" applyBorder="1" applyAlignment="1">
      <alignment horizontal="center" vertical="center"/>
    </xf>
    <xf numFmtId="0" fontId="12" fillId="0" borderId="86" xfId="0" applyFont="1" applyBorder="1"/>
    <xf numFmtId="0" fontId="12" fillId="0" borderId="87" xfId="0" applyFont="1" applyBorder="1"/>
    <xf numFmtId="0" fontId="8" fillId="10" borderId="1" xfId="0" applyFont="1" applyFill="1" applyBorder="1" applyAlignment="1">
      <alignment vertical="top" wrapText="1"/>
    </xf>
    <xf numFmtId="0" fontId="8" fillId="8" borderId="1" xfId="0" applyFont="1" applyFill="1" applyBorder="1" applyAlignment="1">
      <alignment vertical="top" wrapText="1"/>
    </xf>
    <xf numFmtId="0" fontId="8" fillId="10" borderId="88" xfId="0" applyFont="1" applyFill="1" applyBorder="1" applyAlignment="1">
      <alignment vertical="top" wrapText="1"/>
    </xf>
    <xf numFmtId="0" fontId="12" fillId="0" borderId="89" xfId="0" applyFont="1" applyBorder="1"/>
    <xf numFmtId="0" fontId="171" fillId="0" borderId="193" xfId="5" applyFont="1" applyAlignment="1">
      <alignment horizontal="left" vertical="center" indent="1"/>
    </xf>
    <xf numFmtId="0" fontId="171" fillId="0" borderId="269" xfId="5" applyFont="1" applyBorder="1" applyAlignment="1">
      <alignment horizontal="left" vertical="center" indent="1"/>
    </xf>
    <xf numFmtId="0" fontId="12" fillId="0" borderId="259" xfId="5" applyBorder="1" applyAlignment="1">
      <alignment horizontal="center" vertical="center"/>
    </xf>
    <xf numFmtId="0" fontId="167" fillId="46" borderId="193" xfId="6" applyFont="1" applyFill="1" applyAlignment="1">
      <alignment horizontal="center" vertical="center"/>
    </xf>
    <xf numFmtId="0" fontId="167" fillId="46" borderId="264" xfId="6" applyFont="1" applyFill="1" applyBorder="1" applyAlignment="1">
      <alignment horizontal="center" vertical="center"/>
    </xf>
    <xf numFmtId="0" fontId="12" fillId="0" borderId="193" xfId="5" applyAlignment="1">
      <alignment horizontal="center" vertical="center"/>
    </xf>
    <xf numFmtId="0" fontId="168" fillId="0" borderId="193" xfId="5" applyFont="1" applyAlignment="1">
      <alignment horizontal="center" vertical="center"/>
    </xf>
    <xf numFmtId="0" fontId="169" fillId="0" borderId="193" xfId="5" applyFont="1" applyAlignment="1">
      <alignment horizontal="center" vertical="center"/>
    </xf>
    <xf numFmtId="0" fontId="171" fillId="0" borderId="193" xfId="5" applyFont="1" applyAlignment="1">
      <alignment horizontal="center" vertical="center"/>
    </xf>
    <xf numFmtId="0" fontId="172" fillId="0" borderId="193" xfId="5" applyFont="1" applyAlignment="1">
      <alignment horizontal="left" vertical="center"/>
    </xf>
    <xf numFmtId="0" fontId="171" fillId="0" borderId="193" xfId="5" applyFont="1" applyAlignment="1">
      <alignment horizontal="left" vertical="center" wrapText="1" indent="1"/>
    </xf>
    <xf numFmtId="0" fontId="171" fillId="0" borderId="269" xfId="5" applyFont="1" applyBorder="1" applyAlignment="1">
      <alignment horizontal="left" vertical="center" wrapText="1" indent="1"/>
    </xf>
    <xf numFmtId="0" fontId="173" fillId="0" borderId="193" xfId="5" applyFont="1" applyAlignment="1">
      <alignment horizontal="left" vertical="center"/>
    </xf>
    <xf numFmtId="0" fontId="179" fillId="0" borderId="193" xfId="5" applyFont="1" applyAlignment="1">
      <alignment horizontal="center" vertical="center"/>
    </xf>
    <xf numFmtId="191" fontId="180" fillId="0" borderId="193" xfId="5" applyNumberFormat="1" applyFont="1" applyAlignment="1">
      <alignment horizontal="center" vertical="center"/>
    </xf>
    <xf numFmtId="0" fontId="171" fillId="0" borderId="269" xfId="5" applyFont="1" applyBorder="1" applyAlignment="1">
      <alignment horizontal="center" vertical="center"/>
    </xf>
    <xf numFmtId="0" fontId="176" fillId="0" borderId="193" xfId="5" applyFont="1" applyAlignment="1">
      <alignment horizontal="center" vertical="center"/>
    </xf>
    <xf numFmtId="14" fontId="178" fillId="0" borderId="193" xfId="5" applyNumberFormat="1" applyFont="1" applyAlignment="1">
      <alignment horizontal="center" vertical="center"/>
    </xf>
    <xf numFmtId="0" fontId="170" fillId="0" borderId="193" xfId="5" applyFont="1" applyAlignment="1">
      <alignment horizontal="right" vertical="center" indent="2"/>
    </xf>
    <xf numFmtId="0" fontId="181" fillId="47" borderId="275" xfId="7" applyFont="1" applyFill="1" applyBorder="1" applyAlignment="1">
      <alignment horizontal="center" vertical="center"/>
    </xf>
    <xf numFmtId="0" fontId="5" fillId="0" borderId="193" xfId="7" applyAlignment="1">
      <alignment horizontal="center" vertical="center"/>
    </xf>
    <xf numFmtId="0" fontId="183" fillId="48" borderId="276" xfId="7" applyFont="1" applyFill="1" applyBorder="1" applyAlignment="1">
      <alignment horizontal="left" vertical="center"/>
    </xf>
    <xf numFmtId="0" fontId="5" fillId="0" borderId="277" xfId="7" applyBorder="1" applyAlignment="1">
      <alignment horizontal="left" vertical="center"/>
    </xf>
    <xf numFmtId="0" fontId="179" fillId="49" borderId="193" xfId="7" applyFont="1" applyFill="1" applyAlignment="1">
      <alignment horizontal="left" vertical="center" indent="2"/>
    </xf>
    <xf numFmtId="0" fontId="5" fillId="0" borderId="193" xfId="7" applyAlignment="1">
      <alignment horizontal="left" vertical="center"/>
    </xf>
    <xf numFmtId="0" fontId="184" fillId="49" borderId="193" xfId="7" applyFont="1" applyFill="1" applyAlignment="1">
      <alignment horizontal="left" vertical="center" indent="2"/>
    </xf>
    <xf numFmtId="49" fontId="179" fillId="49" borderId="193" xfId="7" applyNumberFormat="1" applyFont="1" applyFill="1" applyAlignment="1">
      <alignment horizontal="left" vertical="center" indent="2"/>
    </xf>
    <xf numFmtId="0" fontId="179" fillId="49" borderId="193" xfId="7" applyFont="1" applyFill="1" applyAlignment="1">
      <alignment horizontal="center" vertical="center"/>
    </xf>
    <xf numFmtId="0" fontId="185" fillId="0" borderId="193" xfId="7" applyFont="1" applyAlignment="1">
      <alignment horizontal="left" vertical="center" indent="3"/>
    </xf>
    <xf numFmtId="0" fontId="179" fillId="49" borderId="277" xfId="7" applyFont="1" applyFill="1" applyBorder="1" applyAlignment="1">
      <alignment horizontal="left" vertical="center" wrapText="1" indent="2"/>
    </xf>
    <xf numFmtId="0" fontId="179" fillId="49" borderId="193" xfId="7" applyFont="1" applyFill="1" applyAlignment="1">
      <alignment horizontal="left" vertical="center" wrapText="1" indent="2"/>
    </xf>
    <xf numFmtId="192" fontId="179" fillId="49" borderId="193" xfId="7" applyNumberFormat="1" applyFont="1" applyFill="1" applyAlignment="1">
      <alignment horizontal="left" vertical="center" indent="2"/>
    </xf>
    <xf numFmtId="17" fontId="179" fillId="49" borderId="193" xfId="7" applyNumberFormat="1" applyFont="1" applyFill="1" applyAlignment="1">
      <alignment horizontal="left" vertical="center" indent="2"/>
    </xf>
    <xf numFmtId="0" fontId="187" fillId="49" borderId="193" xfId="7" applyFont="1" applyFill="1" applyAlignment="1">
      <alignment horizontal="left" vertical="center" wrapText="1" indent="2"/>
    </xf>
    <xf numFmtId="0" fontId="187" fillId="49" borderId="193" xfId="7" applyFont="1" applyFill="1" applyAlignment="1">
      <alignment horizontal="left" vertical="center" indent="2"/>
    </xf>
    <xf numFmtId="194" fontId="179" fillId="49" borderId="193" xfId="7" applyNumberFormat="1" applyFont="1" applyFill="1" applyAlignment="1">
      <alignment horizontal="left" vertical="center" indent="2"/>
    </xf>
    <xf numFmtId="14" fontId="179" fillId="49" borderId="193" xfId="7" applyNumberFormat="1" applyFont="1" applyFill="1" applyAlignment="1">
      <alignment horizontal="left" vertical="center" indent="2"/>
    </xf>
    <xf numFmtId="0" fontId="5" fillId="0" borderId="239" xfId="7" applyBorder="1" applyAlignment="1">
      <alignment horizontal="left" vertical="center"/>
    </xf>
    <xf numFmtId="0" fontId="188" fillId="49" borderId="193" xfId="7" applyFont="1" applyFill="1" applyAlignment="1">
      <alignment horizontal="center" vertical="center"/>
    </xf>
    <xf numFmtId="0" fontId="188" fillId="0" borderId="193" xfId="7" applyFont="1" applyAlignment="1">
      <alignment horizontal="center" vertical="center"/>
    </xf>
    <xf numFmtId="0" fontId="188" fillId="49" borderId="193" xfId="7" applyFont="1" applyFill="1" applyAlignment="1">
      <alignment horizontal="left" vertical="center" indent="2"/>
    </xf>
    <xf numFmtId="0" fontId="189" fillId="49" borderId="193" xfId="7" applyFont="1" applyFill="1" applyAlignment="1">
      <alignment horizontal="left" vertical="center" indent="2"/>
    </xf>
    <xf numFmtId="0" fontId="5" fillId="0" borderId="234" xfId="7" applyBorder="1" applyAlignment="1">
      <alignment horizontal="left" vertical="center"/>
    </xf>
    <xf numFmtId="194" fontId="188" fillId="49" borderId="193" xfId="7" applyNumberFormat="1" applyFont="1" applyFill="1" applyAlignment="1">
      <alignment horizontal="left" vertical="center" indent="2"/>
    </xf>
    <xf numFmtId="0" fontId="188" fillId="0" borderId="193" xfId="7" applyFont="1" applyAlignment="1">
      <alignment horizontal="left" vertical="center"/>
    </xf>
    <xf numFmtId="14" fontId="188" fillId="49" borderId="193" xfId="7" applyNumberFormat="1" applyFont="1" applyFill="1" applyAlignment="1">
      <alignment horizontal="left" vertical="center" indent="2"/>
    </xf>
    <xf numFmtId="14" fontId="179" fillId="49" borderId="193" xfId="7" applyNumberFormat="1" applyFont="1" applyFill="1" applyAlignment="1" applyProtection="1">
      <alignment horizontal="left" vertical="center" indent="2"/>
      <protection locked="0"/>
    </xf>
    <xf numFmtId="0" fontId="179" fillId="49" borderId="193" xfId="7" applyFont="1" applyFill="1" applyAlignment="1" applyProtection="1">
      <alignment horizontal="left" vertical="center" indent="2"/>
      <protection locked="0"/>
    </xf>
    <xf numFmtId="0" fontId="170" fillId="0" borderId="193" xfId="7" applyFont="1" applyAlignment="1">
      <alignment horizontal="left" vertical="center"/>
    </xf>
    <xf numFmtId="49" fontId="179" fillId="49" borderId="277" xfId="7" applyNumberFormat="1" applyFont="1" applyFill="1" applyBorder="1" applyAlignment="1" applyProtection="1">
      <alignment horizontal="left" vertical="center" indent="2"/>
      <protection locked="0"/>
    </xf>
    <xf numFmtId="195" fontId="179" fillId="49" borderId="193" xfId="7" applyNumberFormat="1" applyFont="1" applyFill="1" applyAlignment="1" applyProtection="1">
      <alignment horizontal="left" vertical="center" indent="2"/>
      <protection locked="0"/>
    </xf>
    <xf numFmtId="17" fontId="188" fillId="49" borderId="193" xfId="7" applyNumberFormat="1" applyFont="1" applyFill="1" applyAlignment="1">
      <alignment horizontal="left" vertical="center" indent="2"/>
    </xf>
    <xf numFmtId="192" fontId="179" fillId="49" borderId="193" xfId="7" applyNumberFormat="1" applyFont="1" applyFill="1" applyAlignment="1" applyProtection="1">
      <alignment horizontal="left" vertical="center" indent="2"/>
      <protection locked="0"/>
    </xf>
    <xf numFmtId="0" fontId="190" fillId="47" borderId="278" xfId="7" applyFont="1" applyFill="1" applyBorder="1" applyAlignment="1">
      <alignment horizontal="center" vertical="center"/>
    </xf>
    <xf numFmtId="0" fontId="190" fillId="47" borderId="279" xfId="7" applyFont="1" applyFill="1" applyBorder="1" applyAlignment="1">
      <alignment horizontal="center" vertical="center"/>
    </xf>
    <xf numFmtId="0" fontId="190" fillId="47" borderId="282" xfId="7" applyFont="1" applyFill="1" applyBorder="1" applyAlignment="1">
      <alignment horizontal="center" vertical="center"/>
    </xf>
    <xf numFmtId="0" fontId="190" fillId="47" borderId="283" xfId="7" applyFont="1" applyFill="1" applyBorder="1" applyAlignment="1">
      <alignment horizontal="center" vertical="center"/>
    </xf>
    <xf numFmtId="0" fontId="191" fillId="47" borderId="279" xfId="7" applyFont="1" applyFill="1" applyBorder="1" applyAlignment="1">
      <alignment horizontal="center" vertical="center"/>
    </xf>
    <xf numFmtId="0" fontId="191" fillId="47" borderId="283" xfId="7" applyFont="1" applyFill="1" applyBorder="1" applyAlignment="1">
      <alignment horizontal="center" vertical="center"/>
    </xf>
    <xf numFmtId="0" fontId="191" fillId="47" borderId="280" xfId="7" applyFont="1" applyFill="1" applyBorder="1" applyAlignment="1">
      <alignment horizontal="center" vertical="center"/>
    </xf>
    <xf numFmtId="0" fontId="191" fillId="47" borderId="284" xfId="7" applyFont="1" applyFill="1" applyBorder="1" applyAlignment="1">
      <alignment horizontal="center" vertical="center"/>
    </xf>
    <xf numFmtId="0" fontId="191" fillId="47" borderId="278" xfId="7" applyFont="1" applyFill="1" applyBorder="1" applyAlignment="1">
      <alignment horizontal="center" vertical="center"/>
    </xf>
    <xf numFmtId="0" fontId="191" fillId="47" borderId="281" xfId="7" applyFont="1" applyFill="1" applyBorder="1" applyAlignment="1">
      <alignment horizontal="center" vertical="center"/>
    </xf>
    <xf numFmtId="0" fontId="191" fillId="47" borderId="282" xfId="7" applyFont="1" applyFill="1" applyBorder="1" applyAlignment="1">
      <alignment horizontal="center" vertical="center"/>
    </xf>
    <xf numFmtId="0" fontId="47" fillId="49" borderId="287" xfId="7" applyFont="1" applyFill="1" applyBorder="1" applyAlignment="1">
      <alignment horizontal="center" vertical="center"/>
    </xf>
    <xf numFmtId="196" fontId="47" fillId="49" borderId="287" xfId="7" applyNumberFormat="1" applyFont="1" applyFill="1" applyBorder="1" applyAlignment="1">
      <alignment horizontal="center" vertical="center"/>
    </xf>
    <xf numFmtId="0" fontId="47" fillId="49" borderId="287" xfId="7" applyFont="1" applyFill="1" applyBorder="1" applyAlignment="1">
      <alignment horizontal="right" vertical="center" indent="5"/>
    </xf>
    <xf numFmtId="4" fontId="47" fillId="49" borderId="287" xfId="7" applyNumberFormat="1" applyFont="1" applyFill="1" applyBorder="1" applyAlignment="1">
      <alignment horizontal="right" vertical="center" indent="1"/>
    </xf>
    <xf numFmtId="0" fontId="47" fillId="49" borderId="286" xfId="7" applyFont="1" applyFill="1" applyBorder="1" applyAlignment="1">
      <alignment horizontal="center" vertical="center"/>
    </xf>
    <xf numFmtId="196" fontId="47" fillId="49" borderId="286" xfId="7" applyNumberFormat="1" applyFont="1" applyFill="1" applyBorder="1" applyAlignment="1">
      <alignment horizontal="center" vertical="center"/>
    </xf>
    <xf numFmtId="0" fontId="47" fillId="49" borderId="286" xfId="7" applyFont="1" applyFill="1" applyBorder="1" applyAlignment="1">
      <alignment horizontal="right" vertical="center" indent="5"/>
    </xf>
    <xf numFmtId="4" fontId="47" fillId="49" borderId="286" xfId="7" applyNumberFormat="1" applyFont="1" applyFill="1" applyBorder="1" applyAlignment="1">
      <alignment horizontal="right" vertical="center" indent="1"/>
    </xf>
    <xf numFmtId="0" fontId="47" fillId="49" borderId="288" xfId="7" applyFont="1" applyFill="1" applyBorder="1" applyAlignment="1">
      <alignment horizontal="center" vertical="center"/>
    </xf>
    <xf numFmtId="196" fontId="47" fillId="49" borderId="288" xfId="7" applyNumberFormat="1" applyFont="1" applyFill="1" applyBorder="1" applyAlignment="1">
      <alignment horizontal="center" vertical="center"/>
    </xf>
    <xf numFmtId="0" fontId="47" fillId="49" borderId="288" xfId="7" applyFont="1" applyFill="1" applyBorder="1" applyAlignment="1">
      <alignment horizontal="right" vertical="center" indent="5"/>
    </xf>
    <xf numFmtId="4" fontId="47" fillId="49" borderId="288" xfId="7" applyNumberFormat="1" applyFont="1" applyFill="1" applyBorder="1" applyAlignment="1">
      <alignment horizontal="right" vertical="center" indent="1"/>
    </xf>
    <xf numFmtId="44" fontId="170" fillId="49" borderId="193" xfId="9" applyFont="1" applyFill="1" applyAlignment="1" applyProtection="1">
      <alignment horizontal="right" vertical="center" indent="3"/>
    </xf>
    <xf numFmtId="10" fontId="0" fillId="0" borderId="193" xfId="10" applyNumberFormat="1" applyFont="1" applyAlignment="1" applyProtection="1">
      <alignment horizontal="right" vertical="center" indent="3"/>
    </xf>
    <xf numFmtId="0" fontId="193" fillId="50" borderId="290" xfId="7" applyFont="1" applyFill="1" applyBorder="1" applyAlignment="1">
      <alignment horizontal="right" vertical="center" indent="5"/>
    </xf>
    <xf numFmtId="4" fontId="193" fillId="50" borderId="290" xfId="7" applyNumberFormat="1" applyFont="1" applyFill="1" applyBorder="1" applyAlignment="1">
      <alignment horizontal="right" vertical="center" indent="1"/>
    </xf>
    <xf numFmtId="0" fontId="164" fillId="47" borderId="277" xfId="7" applyFont="1" applyFill="1" applyBorder="1" applyAlignment="1">
      <alignment horizontal="center" vertical="center"/>
    </xf>
    <xf numFmtId="44" fontId="170" fillId="0" borderId="193" xfId="9" applyFont="1" applyAlignment="1" applyProtection="1">
      <alignment horizontal="right" vertical="center" indent="3"/>
    </xf>
    <xf numFmtId="0" fontId="164" fillId="0" borderId="193" xfId="7" applyFont="1" applyAlignment="1">
      <alignment horizontal="center" vertical="center"/>
    </xf>
    <xf numFmtId="0" fontId="164" fillId="0" borderId="193" xfId="7" applyFont="1" applyAlignment="1">
      <alignment horizontal="left" vertical="center"/>
    </xf>
    <xf numFmtId="44" fontId="171" fillId="0" borderId="193" xfId="9" applyFont="1" applyAlignment="1" applyProtection="1">
      <alignment horizontal="right" vertical="center" indent="3"/>
    </xf>
    <xf numFmtId="44" fontId="170" fillId="0" borderId="193" xfId="9" applyFont="1" applyFill="1" applyAlignment="1" applyProtection="1">
      <alignment horizontal="right" vertical="center" indent="3"/>
    </xf>
    <xf numFmtId="198" fontId="170" fillId="49" borderId="193" xfId="9" applyNumberFormat="1" applyFont="1" applyFill="1" applyAlignment="1" applyProtection="1">
      <alignment horizontal="right" vertical="center" indent="5"/>
    </xf>
    <xf numFmtId="198" fontId="170" fillId="0" borderId="193" xfId="9" applyNumberFormat="1" applyFont="1" applyFill="1" applyAlignment="1" applyProtection="1">
      <alignment horizontal="right" vertical="center" indent="5"/>
    </xf>
    <xf numFmtId="198" fontId="0" fillId="0" borderId="193" xfId="9" applyNumberFormat="1" applyFont="1" applyFill="1" applyAlignment="1" applyProtection="1">
      <alignment horizontal="right" vertical="center" indent="5"/>
    </xf>
    <xf numFmtId="14" fontId="5" fillId="0" borderId="193" xfId="7" applyNumberFormat="1" applyAlignment="1">
      <alignment horizontal="right" vertical="center" indent="5"/>
    </xf>
    <xf numFmtId="0" fontId="5" fillId="0" borderId="193" xfId="7" applyAlignment="1">
      <alignment horizontal="right" vertical="center" indent="5"/>
    </xf>
    <xf numFmtId="0" fontId="191" fillId="48" borderId="283" xfId="7" applyFont="1" applyFill="1" applyBorder="1" applyAlignment="1">
      <alignment horizontal="center" vertical="center"/>
    </xf>
    <xf numFmtId="0" fontId="191" fillId="48" borderId="285" xfId="7" applyFont="1" applyFill="1" applyBorder="1" applyAlignment="1">
      <alignment horizontal="center" vertical="center"/>
    </xf>
    <xf numFmtId="0" fontId="170" fillId="49" borderId="292" xfId="7" applyFont="1" applyFill="1" applyBorder="1" applyAlignment="1" applyProtection="1">
      <alignment horizontal="center" vertical="center"/>
      <protection locked="0"/>
    </xf>
    <xf numFmtId="0" fontId="170" fillId="49" borderId="286" xfId="7" applyFont="1" applyFill="1" applyBorder="1" applyAlignment="1" applyProtection="1">
      <alignment horizontal="center" vertical="center"/>
      <protection locked="0"/>
    </xf>
    <xf numFmtId="0" fontId="170" fillId="49" borderId="286" xfId="7" applyFont="1" applyFill="1" applyBorder="1" applyAlignment="1" applyProtection="1">
      <alignment horizontal="left" vertical="center"/>
      <protection locked="0"/>
    </xf>
    <xf numFmtId="44" fontId="5" fillId="49" borderId="298" xfId="9" applyFont="1" applyFill="1" applyBorder="1" applyAlignment="1" applyProtection="1">
      <alignment horizontal="right" vertical="center" indent="1"/>
      <protection locked="0"/>
    </xf>
    <xf numFmtId="10" fontId="0" fillId="0" borderId="287" xfId="10" applyNumberFormat="1" applyFont="1" applyBorder="1" applyAlignment="1" applyProtection="1">
      <alignment horizontal="center" vertical="center"/>
    </xf>
    <xf numFmtId="4" fontId="5" fillId="0" borderId="287" xfId="7" applyNumberFormat="1" applyBorder="1" applyAlignment="1">
      <alignment horizontal="right" vertical="center" indent="1"/>
    </xf>
    <xf numFmtId="10" fontId="163" fillId="0" borderId="287" xfId="10" applyNumberFormat="1" applyFont="1" applyBorder="1" applyAlignment="1" applyProtection="1">
      <alignment horizontal="center" vertical="center"/>
    </xf>
    <xf numFmtId="10" fontId="163" fillId="0" borderId="293" xfId="10" applyNumberFormat="1" applyFont="1" applyBorder="1" applyAlignment="1" applyProtection="1">
      <alignment horizontal="center" vertical="center"/>
    </xf>
    <xf numFmtId="0" fontId="200" fillId="48" borderId="278" xfId="7" applyFont="1" applyFill="1" applyBorder="1" applyAlignment="1">
      <alignment horizontal="center" vertical="center"/>
    </xf>
    <xf numFmtId="0" fontId="200" fillId="48" borderId="279" xfId="7" applyFont="1" applyFill="1" applyBorder="1" applyAlignment="1">
      <alignment horizontal="center" vertical="center"/>
    </xf>
    <xf numFmtId="0" fontId="200" fillId="48" borderId="282" xfId="7" applyFont="1" applyFill="1" applyBorder="1" applyAlignment="1">
      <alignment horizontal="center" vertical="center"/>
    </xf>
    <xf numFmtId="0" fontId="200" fillId="48" borderId="283" xfId="7" applyFont="1" applyFill="1" applyBorder="1" applyAlignment="1">
      <alignment horizontal="center" vertical="center"/>
    </xf>
    <xf numFmtId="0" fontId="200" fillId="48" borderId="279" xfId="7" applyFont="1" applyFill="1" applyBorder="1" applyAlignment="1">
      <alignment horizontal="center" vertical="center" wrapText="1"/>
    </xf>
    <xf numFmtId="0" fontId="200" fillId="48" borderId="281" xfId="7" applyFont="1" applyFill="1" applyBorder="1" applyAlignment="1">
      <alignment horizontal="center" vertical="center"/>
    </xf>
    <xf numFmtId="0" fontId="5" fillId="49" borderId="294" xfId="7" applyFill="1" applyBorder="1" applyAlignment="1" applyProtection="1">
      <alignment horizontal="center" vertical="center"/>
      <protection locked="0"/>
    </xf>
    <xf numFmtId="0" fontId="5" fillId="49" borderId="295" xfId="7" applyFill="1" applyBorder="1" applyAlignment="1" applyProtection="1">
      <alignment horizontal="center" vertical="center"/>
      <protection locked="0"/>
    </xf>
    <xf numFmtId="0" fontId="5" fillId="49" borderId="296" xfId="7" applyFill="1" applyBorder="1" applyAlignment="1" applyProtection="1">
      <alignment horizontal="center" vertical="center"/>
      <protection locked="0"/>
    </xf>
    <xf numFmtId="0" fontId="3" fillId="49" borderId="287" xfId="7" applyFont="1" applyFill="1" applyBorder="1" applyAlignment="1" applyProtection="1">
      <alignment horizontal="left" vertical="center"/>
      <protection locked="0"/>
    </xf>
    <xf numFmtId="0" fontId="5" fillId="49" borderId="287" xfId="7" applyFill="1" applyBorder="1" applyAlignment="1" applyProtection="1">
      <alignment horizontal="left" vertical="center"/>
      <protection locked="0"/>
    </xf>
    <xf numFmtId="44" fontId="2" fillId="49" borderId="298" xfId="9" applyFont="1" applyFill="1" applyBorder="1" applyAlignment="1" applyProtection="1">
      <alignment horizontal="right" vertical="center" indent="1"/>
      <protection locked="0"/>
    </xf>
    <xf numFmtId="10" fontId="0" fillId="0" borderId="293" xfId="10" applyNumberFormat="1" applyFont="1" applyBorder="1" applyAlignment="1" applyProtection="1">
      <alignment horizontal="center" vertical="center"/>
    </xf>
    <xf numFmtId="0" fontId="3" fillId="49" borderId="297" xfId="7" applyFont="1" applyFill="1" applyBorder="1" applyAlignment="1" applyProtection="1">
      <alignment horizontal="left" vertical="center"/>
      <protection locked="0"/>
    </xf>
    <xf numFmtId="0" fontId="5" fillId="49" borderId="296" xfId="7" applyFill="1" applyBorder="1" applyAlignment="1" applyProtection="1">
      <alignment horizontal="left" vertical="center"/>
      <protection locked="0"/>
    </xf>
    <xf numFmtId="0" fontId="5" fillId="49" borderId="287" xfId="7" applyFill="1" applyBorder="1" applyAlignment="1" applyProtection="1">
      <alignment horizontal="center" vertical="center"/>
      <protection locked="0"/>
    </xf>
    <xf numFmtId="0" fontId="5" fillId="49" borderId="299" xfId="7" applyFill="1" applyBorder="1" applyAlignment="1" applyProtection="1">
      <alignment horizontal="center" vertical="center"/>
      <protection locked="0"/>
    </xf>
    <xf numFmtId="4" fontId="5" fillId="49" borderId="297" xfId="7" applyNumberFormat="1" applyFill="1" applyBorder="1" applyAlignment="1" applyProtection="1">
      <alignment horizontal="right" vertical="center" indent="1"/>
      <protection locked="0"/>
    </xf>
    <xf numFmtId="4" fontId="5" fillId="49" borderId="295" xfId="7" applyNumberFormat="1" applyFill="1" applyBorder="1" applyAlignment="1" applyProtection="1">
      <alignment horizontal="right" vertical="center" indent="1"/>
      <protection locked="0"/>
    </xf>
    <xf numFmtId="4" fontId="5" fillId="49" borderId="296" xfId="7" applyNumberFormat="1" applyFill="1" applyBorder="1" applyAlignment="1" applyProtection="1">
      <alignment horizontal="right" vertical="center" indent="1"/>
      <protection locked="0"/>
    </xf>
    <xf numFmtId="4" fontId="5" fillId="49" borderId="287" xfId="7" applyNumberFormat="1" applyFill="1" applyBorder="1" applyAlignment="1" applyProtection="1">
      <alignment horizontal="right" vertical="center" indent="1"/>
      <protection locked="0"/>
    </xf>
    <xf numFmtId="0" fontId="201" fillId="0" borderId="302" xfId="7" applyFont="1" applyBorder="1" applyAlignment="1">
      <alignment horizontal="left" vertical="top"/>
    </xf>
    <xf numFmtId="0" fontId="201" fillId="0" borderId="303" xfId="7" applyFont="1" applyBorder="1" applyAlignment="1">
      <alignment horizontal="left" vertical="top"/>
    </xf>
    <xf numFmtId="0" fontId="201" fillId="0" borderId="305" xfId="7" applyFont="1" applyBorder="1" applyAlignment="1">
      <alignment horizontal="left" vertical="top"/>
    </xf>
    <xf numFmtId="0" fontId="201" fillId="0" borderId="306" xfId="7" applyFont="1" applyBorder="1" applyAlignment="1">
      <alignment horizontal="left" vertical="top"/>
    </xf>
    <xf numFmtId="0" fontId="5" fillId="0" borderId="304" xfId="7" applyBorder="1" applyAlignment="1">
      <alignment horizontal="center" vertical="center"/>
    </xf>
    <xf numFmtId="0" fontId="5" fillId="0" borderId="239" xfId="7" applyBorder="1" applyAlignment="1">
      <alignment horizontal="center" vertical="center"/>
    </xf>
    <xf numFmtId="0" fontId="202" fillId="0" borderId="239" xfId="7" applyFont="1" applyBorder="1" applyAlignment="1">
      <alignment horizontal="center" vertical="center"/>
    </xf>
    <xf numFmtId="0" fontId="202" fillId="0" borderId="240" xfId="7" applyFont="1" applyBorder="1" applyAlignment="1">
      <alignment horizontal="center" vertical="center"/>
    </xf>
    <xf numFmtId="0" fontId="164" fillId="48" borderId="193" xfId="7" applyFont="1" applyFill="1" applyAlignment="1">
      <alignment horizontal="center" vertical="center"/>
    </xf>
    <xf numFmtId="0" fontId="5" fillId="0" borderId="307" xfId="7" applyBorder="1" applyAlignment="1">
      <alignment horizontal="center" vertical="center"/>
    </xf>
    <xf numFmtId="0" fontId="5" fillId="0" borderId="254" xfId="7" applyBorder="1" applyAlignment="1">
      <alignment horizontal="center" vertical="center"/>
    </xf>
    <xf numFmtId="0" fontId="202" fillId="0" borderId="254" xfId="7" applyFont="1" applyBorder="1" applyAlignment="1">
      <alignment horizontal="center" vertical="center"/>
    </xf>
    <xf numFmtId="0" fontId="202" fillId="0" borderId="258" xfId="7" applyFont="1" applyBorder="1" applyAlignment="1">
      <alignment horizontal="center" vertical="center"/>
    </xf>
    <xf numFmtId="0" fontId="5" fillId="49" borderId="300" xfId="7" applyFill="1" applyBorder="1" applyAlignment="1" applyProtection="1">
      <alignment horizontal="center" vertical="center"/>
      <protection locked="0"/>
    </xf>
    <xf numFmtId="0" fontId="5" fillId="49" borderId="288" xfId="7" applyFill="1" applyBorder="1" applyAlignment="1" applyProtection="1">
      <alignment horizontal="center" vertical="center"/>
      <protection locked="0"/>
    </xf>
    <xf numFmtId="4" fontId="5" fillId="49" borderId="288" xfId="7" applyNumberFormat="1" applyFill="1" applyBorder="1" applyAlignment="1" applyProtection="1">
      <alignment horizontal="right" vertical="center" indent="1"/>
      <protection locked="0"/>
    </xf>
    <xf numFmtId="10" fontId="0" fillId="0" borderId="288" xfId="10" applyNumberFormat="1" applyFont="1" applyBorder="1" applyAlignment="1" applyProtection="1">
      <alignment horizontal="center" vertical="center"/>
    </xf>
    <xf numFmtId="4" fontId="5" fillId="0" borderId="288" xfId="7" applyNumberFormat="1" applyBorder="1" applyAlignment="1">
      <alignment horizontal="right" vertical="center" indent="1"/>
    </xf>
    <xf numFmtId="10" fontId="0" fillId="0" borderId="301" xfId="10" applyNumberFormat="1" applyFont="1" applyBorder="1" applyAlignment="1" applyProtection="1">
      <alignment horizontal="center" vertical="center"/>
    </xf>
    <xf numFmtId="0" fontId="204" fillId="0" borderId="302" xfId="6" applyFont="1" applyBorder="1" applyAlignment="1">
      <alignment horizontal="center" vertical="center"/>
    </xf>
    <xf numFmtId="0" fontId="204" fillId="0" borderId="239" xfId="6" applyFont="1" applyBorder="1" applyAlignment="1">
      <alignment horizontal="center" vertical="center"/>
    </xf>
    <xf numFmtId="0" fontId="204" fillId="0" borderId="240" xfId="6" applyFont="1" applyBorder="1" applyAlignment="1">
      <alignment horizontal="center" vertical="center"/>
    </xf>
    <xf numFmtId="0" fontId="204" fillId="0" borderId="243" xfId="6" applyFont="1" applyBorder="1" applyAlignment="1">
      <alignment horizontal="center" vertical="center"/>
    </xf>
    <xf numFmtId="0" fontId="204" fillId="0" borderId="193" xfId="6" applyFont="1" applyAlignment="1">
      <alignment horizontal="center" vertical="center"/>
    </xf>
    <xf numFmtId="0" fontId="204" fillId="0" borderId="242" xfId="6" applyFont="1" applyBorder="1" applyAlignment="1">
      <alignment horizontal="center" vertical="center"/>
    </xf>
    <xf numFmtId="0" fontId="205" fillId="46" borderId="193" xfId="6" applyFont="1" applyFill="1" applyAlignment="1">
      <alignment horizontal="center" vertical="center"/>
    </xf>
    <xf numFmtId="0" fontId="173" fillId="46" borderId="193" xfId="6" applyFont="1" applyFill="1" applyAlignment="1">
      <alignment horizontal="center" vertical="center"/>
    </xf>
    <xf numFmtId="0" fontId="206" fillId="48" borderId="254" xfId="6" applyFont="1" applyFill="1" applyBorder="1" applyAlignment="1">
      <alignment vertical="center"/>
    </xf>
    <xf numFmtId="0" fontId="178" fillId="0" borderId="193" xfId="6" applyFont="1" applyAlignment="1">
      <alignment horizontal="left" vertical="center" indent="1"/>
    </xf>
    <xf numFmtId="0" fontId="177" fillId="0" borderId="193" xfId="6" applyFont="1" applyAlignment="1">
      <alignment horizontal="left" vertical="center" wrapText="1" indent="1"/>
    </xf>
    <xf numFmtId="0" fontId="177" fillId="0" borderId="193" xfId="6" applyFont="1" applyAlignment="1">
      <alignment horizontal="left" vertical="center"/>
    </xf>
    <xf numFmtId="17" fontId="178" fillId="0" borderId="193" xfId="6" applyNumberFormat="1" applyFont="1" applyAlignment="1">
      <alignment horizontal="left" vertical="center" indent="1"/>
    </xf>
    <xf numFmtId="0" fontId="177" fillId="0" borderId="193" xfId="6" applyFont="1" applyAlignment="1">
      <alignment horizontal="left" vertical="center" indent="1"/>
    </xf>
    <xf numFmtId="0" fontId="177" fillId="0" borderId="193" xfId="6" applyFont="1" applyAlignment="1">
      <alignment horizontal="center" vertical="center"/>
    </xf>
    <xf numFmtId="0" fontId="177" fillId="46" borderId="193" xfId="6" applyFont="1" applyFill="1" applyAlignment="1">
      <alignment horizontal="center" vertical="center"/>
    </xf>
    <xf numFmtId="0" fontId="177" fillId="0" borderId="239" xfId="6" applyFont="1" applyBorder="1" applyAlignment="1">
      <alignment horizontal="left" vertical="center"/>
    </xf>
    <xf numFmtId="0" fontId="178" fillId="0" borderId="239" xfId="6" applyFont="1" applyBorder="1" applyAlignment="1">
      <alignment horizontal="left" vertical="center" indent="1"/>
    </xf>
    <xf numFmtId="44" fontId="178" fillId="0" borderId="193" xfId="6" applyNumberFormat="1" applyFont="1" applyAlignment="1">
      <alignment horizontal="center" vertical="center"/>
    </xf>
    <xf numFmtId="14" fontId="178" fillId="0" borderId="193" xfId="6" applyNumberFormat="1" applyFont="1" applyAlignment="1">
      <alignment horizontal="left" vertical="center" indent="1"/>
    </xf>
    <xf numFmtId="0" fontId="178" fillId="0" borderId="193" xfId="6" applyFont="1" applyAlignment="1">
      <alignment horizontal="left" vertical="center"/>
    </xf>
    <xf numFmtId="198" fontId="178" fillId="0" borderId="193" xfId="6" applyNumberFormat="1" applyFont="1" applyAlignment="1">
      <alignment horizontal="right" vertical="center" indent="1"/>
    </xf>
    <xf numFmtId="0" fontId="177" fillId="0" borderId="193" xfId="6" applyFont="1" applyAlignment="1">
      <alignment horizontal="left" vertical="center" wrapText="1"/>
    </xf>
    <xf numFmtId="0" fontId="180" fillId="0" borderId="234" xfId="6" applyFont="1" applyBorder="1" applyAlignment="1">
      <alignment horizontal="center" vertical="center"/>
    </xf>
    <xf numFmtId="0" fontId="208" fillId="0" borderId="193" xfId="12" applyFont="1" applyAlignment="1">
      <alignment horizontal="left" vertical="center"/>
    </xf>
    <xf numFmtId="0" fontId="209" fillId="0" borderId="193" xfId="12" applyFont="1" applyAlignment="1">
      <alignment horizontal="left" vertical="center" indent="1"/>
    </xf>
    <xf numFmtId="0" fontId="208" fillId="46" borderId="193" xfId="12" applyFont="1" applyFill="1" applyAlignment="1">
      <alignment horizontal="left" vertical="center"/>
    </xf>
    <xf numFmtId="0" fontId="209" fillId="46" borderId="193" xfId="12" applyFont="1" applyFill="1" applyAlignment="1">
      <alignment horizontal="left" vertical="center" indent="1"/>
    </xf>
    <xf numFmtId="0" fontId="177" fillId="0" borderId="193" xfId="6" applyFont="1" applyAlignment="1">
      <alignment horizontal="right" vertical="center" indent="1"/>
    </xf>
    <xf numFmtId="0" fontId="180" fillId="0" borderId="193" xfId="6" applyFont="1" applyAlignment="1">
      <alignment horizontal="center" vertical="center"/>
    </xf>
    <xf numFmtId="0" fontId="157" fillId="0" borderId="193" xfId="0" applyFont="1" applyBorder="1" applyAlignment="1">
      <alignment horizontal="center"/>
    </xf>
    <xf numFmtId="0" fontId="185" fillId="43" borderId="234" xfId="17" applyFont="1" applyFill="1" applyBorder="1" applyAlignment="1">
      <alignment horizontal="left" vertical="center"/>
    </xf>
    <xf numFmtId="199" fontId="185" fillId="43" borderId="234" xfId="18" applyNumberFormat="1" applyFont="1" applyFill="1" applyBorder="1" applyAlignment="1">
      <alignment horizontal="center" vertical="center"/>
    </xf>
    <xf numFmtId="200" fontId="185" fillId="43" borderId="234" xfId="17" applyNumberFormat="1" applyFont="1" applyFill="1" applyBorder="1" applyAlignment="1">
      <alignment horizontal="center" vertical="center"/>
    </xf>
    <xf numFmtId="2" fontId="237" fillId="0" borderId="239" xfId="17" applyNumberFormat="1" applyFont="1" applyBorder="1" applyAlignment="1">
      <alignment horizontal="center" vertical="center"/>
    </xf>
    <xf numFmtId="2" fontId="237" fillId="0" borderId="240" xfId="17" applyNumberFormat="1" applyFont="1" applyBorder="1" applyAlignment="1">
      <alignment horizontal="center" vertical="center"/>
    </xf>
    <xf numFmtId="2" fontId="237" fillId="0" borderId="193" xfId="17" applyNumberFormat="1" applyFont="1" applyAlignment="1">
      <alignment horizontal="center" vertical="center"/>
    </xf>
    <xf numFmtId="2" fontId="237" fillId="0" borderId="242" xfId="17" applyNumberFormat="1" applyFont="1" applyBorder="1" applyAlignment="1">
      <alignment horizontal="center" vertical="center"/>
    </xf>
    <xf numFmtId="2" fontId="237" fillId="0" borderId="254" xfId="17" applyNumberFormat="1" applyFont="1" applyBorder="1" applyAlignment="1">
      <alignment horizontal="center" vertical="center"/>
    </xf>
    <xf numFmtId="2" fontId="237" fillId="0" borderId="258" xfId="17" applyNumberFormat="1" applyFont="1" applyBorder="1" applyAlignment="1">
      <alignment horizontal="center" vertical="center"/>
    </xf>
    <xf numFmtId="0" fontId="236" fillId="0" borderId="193" xfId="17" applyFont="1" applyAlignment="1">
      <alignment horizontal="center" vertical="center" wrapText="1"/>
    </xf>
    <xf numFmtId="0" fontId="236" fillId="0" borderId="254" xfId="17" applyFont="1" applyBorder="1" applyAlignment="1">
      <alignment horizontal="center" vertical="center" wrapText="1"/>
    </xf>
    <xf numFmtId="0" fontId="179" fillId="43" borderId="239" xfId="17" applyFont="1" applyFill="1" applyBorder="1" applyAlignment="1">
      <alignment horizontal="left" vertical="center"/>
    </xf>
    <xf numFmtId="0" fontId="179" fillId="43" borderId="239" xfId="17" applyFont="1" applyFill="1" applyBorder="1" applyAlignment="1">
      <alignment horizontal="center" vertical="center"/>
    </xf>
    <xf numFmtId="0" fontId="185" fillId="43" borderId="370" xfId="17" applyFont="1" applyFill="1" applyBorder="1" applyAlignment="1">
      <alignment horizontal="center" vertical="center"/>
    </xf>
    <xf numFmtId="0" fontId="179" fillId="43" borderId="316" xfId="17" applyFont="1" applyFill="1" applyBorder="1" applyAlignment="1">
      <alignment horizontal="center" vertical="center"/>
    </xf>
    <xf numFmtId="0" fontId="179" fillId="43" borderId="318" xfId="17" applyFont="1" applyFill="1" applyBorder="1" applyAlignment="1">
      <alignment horizontal="center" vertical="center"/>
    </xf>
    <xf numFmtId="0" fontId="185" fillId="43" borderId="234" xfId="17" applyFont="1" applyFill="1" applyBorder="1" applyAlignment="1">
      <alignment horizontal="justify" vertical="center" wrapText="1"/>
    </xf>
    <xf numFmtId="0" fontId="185" fillId="43" borderId="234" xfId="17" applyFont="1" applyFill="1" applyBorder="1" applyAlignment="1">
      <alignment horizontal="justify" vertical="center"/>
    </xf>
    <xf numFmtId="202" fontId="185" fillId="43" borderId="234" xfId="17" applyNumberFormat="1" applyFont="1" applyFill="1" applyBorder="1" applyAlignment="1">
      <alignment horizontal="center" vertical="center"/>
    </xf>
    <xf numFmtId="202" fontId="185" fillId="43" borderId="320" xfId="17" applyNumberFormat="1" applyFont="1" applyFill="1" applyBorder="1" applyAlignment="1">
      <alignment horizontal="center" vertical="center"/>
    </xf>
    <xf numFmtId="0" fontId="185" fillId="43" borderId="370" xfId="17" applyFont="1" applyFill="1" applyBorder="1" applyAlignment="1">
      <alignment horizontal="center" vertical="center" wrapText="1"/>
    </xf>
    <xf numFmtId="172" fontId="185" fillId="43" borderId="370" xfId="19" applyFont="1" applyFill="1" applyBorder="1" applyAlignment="1">
      <alignment horizontal="center" vertical="center"/>
    </xf>
    <xf numFmtId="0" fontId="157" fillId="0" borderId="316" xfId="0" applyFont="1" applyBorder="1" applyAlignment="1">
      <alignment horizontal="center"/>
    </xf>
    <xf numFmtId="0" fontId="157" fillId="0" borderId="0" xfId="0" applyFont="1" applyAlignment="1">
      <alignment horizontal="center"/>
    </xf>
    <xf numFmtId="0" fontId="243" fillId="0" borderId="448" xfId="0" applyFont="1" applyBorder="1" applyAlignment="1">
      <alignment horizontal="center" vertical="center"/>
    </xf>
    <xf numFmtId="0" fontId="243" fillId="0" borderId="438" xfId="0" applyFont="1" applyBorder="1" applyAlignment="1">
      <alignment horizontal="center" vertical="center"/>
    </xf>
    <xf numFmtId="0" fontId="243" fillId="43" borderId="325" xfId="0" applyFont="1" applyFill="1" applyBorder="1" applyAlignment="1">
      <alignment horizontal="left" vertical="center"/>
    </xf>
    <xf numFmtId="0" fontId="243" fillId="43" borderId="316" xfId="0" applyFont="1" applyFill="1" applyBorder="1" applyAlignment="1">
      <alignment horizontal="left" vertical="center"/>
    </xf>
    <xf numFmtId="0" fontId="243" fillId="43" borderId="425" xfId="0" applyFont="1" applyFill="1" applyBorder="1" applyAlignment="1">
      <alignment horizontal="left" vertical="center"/>
    </xf>
    <xf numFmtId="14" fontId="243" fillId="43" borderId="428" xfId="0" applyNumberFormat="1" applyFont="1" applyFill="1" applyBorder="1" applyAlignment="1">
      <alignment horizontal="center" vertical="center" wrapText="1"/>
    </xf>
    <xf numFmtId="14" fontId="243" fillId="43" borderId="447" xfId="0" applyNumberFormat="1" applyFont="1" applyFill="1" applyBorder="1" applyAlignment="1">
      <alignment horizontal="center" vertical="center" wrapText="1"/>
    </xf>
    <xf numFmtId="0" fontId="243" fillId="0" borderId="449" xfId="0" applyFont="1" applyBorder="1" applyAlignment="1">
      <alignment horizontal="center" vertical="center"/>
    </xf>
    <xf numFmtId="0" fontId="243" fillId="0" borderId="450" xfId="0" applyFont="1" applyBorder="1" applyAlignment="1">
      <alignment horizontal="center" vertical="center"/>
    </xf>
    <xf numFmtId="0" fontId="246" fillId="60" borderId="485" xfId="0" applyFont="1" applyFill="1" applyBorder="1" applyAlignment="1">
      <alignment horizontal="center" vertical="center" wrapText="1"/>
    </xf>
    <xf numFmtId="0" fontId="246" fillId="60" borderId="486" xfId="0" applyFont="1" applyFill="1" applyBorder="1" applyAlignment="1">
      <alignment horizontal="center" vertical="center" wrapText="1"/>
    </xf>
    <xf numFmtId="0" fontId="246" fillId="60" borderId="487" xfId="0" applyFont="1" applyFill="1" applyBorder="1" applyAlignment="1">
      <alignment horizontal="center" vertical="center" wrapText="1"/>
    </xf>
    <xf numFmtId="0" fontId="156" fillId="48" borderId="372" xfId="0" applyFont="1" applyFill="1" applyBorder="1" applyAlignment="1">
      <alignment horizontal="center" vertical="center"/>
    </xf>
    <xf numFmtId="0" fontId="156" fillId="48" borderId="421" xfId="0" applyFont="1" applyFill="1" applyBorder="1" applyAlignment="1">
      <alignment horizontal="center" vertical="center"/>
    </xf>
    <xf numFmtId="0" fontId="156" fillId="48" borderId="282" xfId="0" applyFont="1" applyFill="1" applyBorder="1" applyAlignment="1">
      <alignment horizontal="center" vertical="center"/>
    </xf>
    <xf numFmtId="0" fontId="156" fillId="48" borderId="373" xfId="0" applyFont="1" applyFill="1" applyBorder="1" applyAlignment="1">
      <alignment horizontal="center" vertical="center"/>
    </xf>
    <xf numFmtId="0" fontId="156" fillId="48" borderId="370" xfId="0" applyFont="1" applyFill="1" applyBorder="1" applyAlignment="1">
      <alignment horizontal="center" vertical="center"/>
    </xf>
    <xf numFmtId="0" fontId="156" fillId="48" borderId="283" xfId="0" applyFont="1" applyFill="1" applyBorder="1" applyAlignment="1">
      <alignment horizontal="center" vertical="center"/>
    </xf>
    <xf numFmtId="4" fontId="156" fillId="48" borderId="373" xfId="0" applyNumberFormat="1" applyFont="1" applyFill="1" applyBorder="1" applyAlignment="1">
      <alignment horizontal="center" vertical="center"/>
    </xf>
    <xf numFmtId="4" fontId="156" fillId="48" borderId="417" xfId="0" applyNumberFormat="1" applyFont="1" applyFill="1" applyBorder="1" applyAlignment="1">
      <alignment horizontal="center" vertical="center"/>
    </xf>
    <xf numFmtId="0" fontId="57" fillId="20" borderId="465" xfId="0" applyFont="1" applyFill="1" applyBorder="1" applyAlignment="1">
      <alignment horizontal="left" vertical="center" wrapText="1"/>
    </xf>
    <xf numFmtId="0" fontId="57" fillId="20" borderId="109" xfId="0" applyFont="1" applyFill="1" applyBorder="1" applyAlignment="1">
      <alignment horizontal="left" vertical="center" wrapText="1"/>
    </xf>
    <xf numFmtId="0" fontId="24" fillId="62" borderId="469" xfId="0" applyFont="1" applyFill="1" applyBorder="1" applyAlignment="1">
      <alignment horizontal="center" vertical="center" wrapText="1"/>
    </xf>
    <xf numFmtId="0" fontId="24" fillId="62" borderId="470" xfId="0" applyFont="1" applyFill="1" applyBorder="1" applyAlignment="1">
      <alignment horizontal="center" vertical="center" wrapText="1"/>
    </xf>
    <xf numFmtId="0" fontId="24" fillId="62" borderId="490" xfId="0" applyFont="1" applyFill="1" applyBorder="1" applyAlignment="1">
      <alignment horizontal="center" vertical="center" wrapText="1"/>
    </xf>
    <xf numFmtId="0" fontId="245" fillId="20" borderId="243" xfId="0" applyFont="1" applyFill="1" applyBorder="1" applyAlignment="1">
      <alignment horizontal="left" vertical="center"/>
    </xf>
    <xf numFmtId="0" fontId="245" fillId="20" borderId="193" xfId="0" applyFont="1" applyFill="1" applyBorder="1" applyAlignment="1">
      <alignment horizontal="left" vertical="center"/>
    </xf>
    <xf numFmtId="0" fontId="245" fillId="20" borderId="77" xfId="0" applyFont="1" applyFill="1" applyBorder="1" applyAlignment="1">
      <alignment horizontal="left" vertical="center"/>
    </xf>
    <xf numFmtId="0" fontId="57" fillId="20" borderId="243" xfId="0" applyFont="1" applyFill="1" applyBorder="1" applyAlignment="1">
      <alignment horizontal="left" vertical="center"/>
    </xf>
    <xf numFmtId="0" fontId="57" fillId="20" borderId="193" xfId="0" applyFont="1" applyFill="1" applyBorder="1" applyAlignment="1">
      <alignment horizontal="left" vertical="center"/>
    </xf>
    <xf numFmtId="0" fontId="57" fillId="20" borderId="77" xfId="0" applyFont="1" applyFill="1" applyBorder="1" applyAlignment="1">
      <alignment horizontal="left" vertical="center"/>
    </xf>
    <xf numFmtId="0" fontId="243" fillId="0" borderId="484" xfId="0" applyFont="1" applyBorder="1" applyAlignment="1">
      <alignment horizontal="center" vertical="center"/>
    </xf>
    <xf numFmtId="0" fontId="243" fillId="0" borderId="439" xfId="0" applyFont="1" applyBorder="1" applyAlignment="1">
      <alignment horizontal="center" vertical="center"/>
    </xf>
    <xf numFmtId="0" fontId="156" fillId="43" borderId="437" xfId="0" applyFont="1" applyFill="1" applyBorder="1" applyAlignment="1">
      <alignment horizontal="left" vertical="center"/>
    </xf>
    <xf numFmtId="0" fontId="156" fillId="43" borderId="442" xfId="0" applyFont="1" applyFill="1" applyBorder="1" applyAlignment="1">
      <alignment horizontal="left" vertical="center"/>
    </xf>
    <xf numFmtId="0" fontId="243" fillId="43" borderId="325" xfId="0" applyFont="1" applyFill="1" applyBorder="1" applyAlignment="1">
      <alignment horizontal="left" vertical="center" wrapText="1"/>
    </xf>
    <xf numFmtId="0" fontId="243" fillId="43" borderId="316" xfId="0" applyFont="1" applyFill="1" applyBorder="1" applyAlignment="1">
      <alignment horizontal="left" vertical="center" wrapText="1"/>
    </xf>
    <xf numFmtId="0" fontId="243" fillId="43" borderId="324" xfId="0" applyFont="1" applyFill="1" applyBorder="1" applyAlignment="1">
      <alignment horizontal="left" vertical="center" wrapText="1"/>
    </xf>
    <xf numFmtId="0" fontId="243" fillId="43" borderId="364" xfId="0" applyFont="1" applyFill="1" applyBorder="1" applyAlignment="1">
      <alignment horizontal="left" vertical="center" wrapText="1"/>
    </xf>
    <xf numFmtId="0" fontId="243" fillId="43" borderId="234" xfId="0" applyFont="1" applyFill="1" applyBorder="1" applyAlignment="1">
      <alignment horizontal="left" vertical="center" wrapText="1"/>
    </xf>
    <xf numFmtId="0" fontId="243" fillId="43" borderId="363" xfId="0" applyFont="1" applyFill="1" applyBorder="1" applyAlignment="1">
      <alignment horizontal="left" vertical="center" wrapText="1"/>
    </xf>
    <xf numFmtId="165" fontId="10" fillId="0" borderId="70" xfId="0" applyNumberFormat="1" applyFont="1" applyBorder="1" applyAlignment="1">
      <alignment horizontal="center" vertical="center" wrapText="1"/>
    </xf>
    <xf numFmtId="0" fontId="12" fillId="0" borderId="74" xfId="0" applyFont="1" applyBorder="1"/>
    <xf numFmtId="165" fontId="39" fillId="0" borderId="112" xfId="0" applyNumberFormat="1" applyFont="1" applyBorder="1" applyAlignment="1">
      <alignment horizontal="center" vertical="center" wrapText="1"/>
    </xf>
    <xf numFmtId="0" fontId="12" fillId="0" borderId="109" xfId="0" applyFont="1" applyBorder="1"/>
    <xf numFmtId="49" fontId="10" fillId="0" borderId="112" xfId="0" applyNumberFormat="1" applyFont="1" applyBorder="1" applyAlignment="1">
      <alignment horizontal="center" vertical="center" wrapText="1"/>
    </xf>
    <xf numFmtId="0" fontId="12" fillId="0" borderId="113" xfId="0" applyFont="1" applyBorder="1"/>
    <xf numFmtId="0" fontId="10" fillId="10" borderId="112" xfId="0" applyFont="1" applyFill="1" applyBorder="1" applyAlignment="1">
      <alignment horizontal="left" vertical="center" wrapText="1"/>
    </xf>
    <xf numFmtId="0" fontId="12" fillId="0" borderId="108" xfId="0" applyFont="1" applyBorder="1"/>
    <xf numFmtId="0" fontId="8" fillId="10" borderId="115" xfId="0" applyFont="1" applyFill="1" applyBorder="1" applyAlignment="1">
      <alignment horizontal="left" vertical="center" wrapText="1"/>
    </xf>
    <xf numFmtId="0" fontId="12" fillId="0" borderId="116" xfId="0" applyFont="1" applyBorder="1"/>
    <xf numFmtId="0" fontId="12" fillId="0" borderId="117" xfId="0" applyFont="1" applyBorder="1"/>
    <xf numFmtId="0" fontId="156" fillId="0" borderId="243" xfId="0" applyFont="1" applyBorder="1" applyAlignment="1">
      <alignment horizontal="center" vertical="center"/>
    </xf>
    <xf numFmtId="0" fontId="156" fillId="0" borderId="193" xfId="0" applyFont="1" applyBorder="1" applyAlignment="1">
      <alignment horizontal="center" vertical="center"/>
    </xf>
    <xf numFmtId="0" fontId="156" fillId="0" borderId="242" xfId="0" applyFont="1" applyBorder="1" applyAlignment="1">
      <alignment horizontal="center" vertical="center"/>
    </xf>
    <xf numFmtId="191" fontId="241" fillId="0" borderId="307" xfId="0" applyNumberFormat="1" applyFont="1" applyBorder="1" applyAlignment="1">
      <alignment horizontal="center" vertical="center"/>
    </xf>
    <xf numFmtId="191" fontId="241" fillId="0" borderId="254" xfId="0" applyNumberFormat="1" applyFont="1" applyBorder="1" applyAlignment="1">
      <alignment horizontal="center" vertical="center"/>
    </xf>
    <xf numFmtId="191" fontId="241" fillId="0" borderId="258" xfId="0" applyNumberFormat="1" applyFont="1" applyBorder="1" applyAlignment="1">
      <alignment horizontal="center" vertical="center"/>
    </xf>
    <xf numFmtId="195" fontId="247" fillId="52" borderId="355" xfId="0" applyNumberFormat="1" applyFont="1" applyFill="1" applyBorder="1" applyAlignment="1">
      <alignment horizontal="center" vertical="center"/>
    </xf>
    <xf numFmtId="0" fontId="156" fillId="0" borderId="431" xfId="0" applyFont="1" applyBorder="1" applyAlignment="1">
      <alignment horizontal="right" vertical="center"/>
    </xf>
    <xf numFmtId="0" fontId="156" fillId="0" borderId="432" xfId="0" applyFont="1" applyBorder="1" applyAlignment="1">
      <alignment horizontal="right" vertical="center"/>
    </xf>
    <xf numFmtId="0" fontId="156" fillId="0" borderId="434" xfId="0" applyFont="1" applyBorder="1" applyAlignment="1">
      <alignment horizontal="right" vertical="center"/>
    </xf>
    <xf numFmtId="165" fontId="26" fillId="18" borderId="64" xfId="0" applyNumberFormat="1" applyFont="1" applyFill="1" applyBorder="1" applyAlignment="1">
      <alignment horizontal="right" vertical="center"/>
    </xf>
    <xf numFmtId="165" fontId="12" fillId="0" borderId="68" xfId="0" applyNumberFormat="1" applyFont="1" applyBorder="1"/>
    <xf numFmtId="165" fontId="10" fillId="0" borderId="112" xfId="0" applyNumberFormat="1" applyFont="1" applyBorder="1" applyAlignment="1">
      <alignment horizontal="right" vertical="center"/>
    </xf>
    <xf numFmtId="181" fontId="240" fillId="0" borderId="239" xfId="0" applyNumberFormat="1" applyFont="1" applyBorder="1" applyAlignment="1">
      <alignment horizontal="center" vertical="center"/>
    </xf>
    <xf numFmtId="181" fontId="240" fillId="0" borderId="240" xfId="0" applyNumberFormat="1" applyFont="1" applyBorder="1" applyAlignment="1">
      <alignment horizontal="center" vertical="center"/>
    </xf>
    <xf numFmtId="181" fontId="240" fillId="0" borderId="193" xfId="0" applyNumberFormat="1" applyFont="1" applyBorder="1" applyAlignment="1">
      <alignment horizontal="center" vertical="center"/>
    </xf>
    <xf numFmtId="181" fontId="240" fillId="0" borderId="242" xfId="0" applyNumberFormat="1" applyFont="1" applyBorder="1" applyAlignment="1">
      <alignment horizontal="center" vertical="center"/>
    </xf>
    <xf numFmtId="0" fontId="156" fillId="52" borderId="416" xfId="0" applyFont="1" applyFill="1" applyBorder="1" applyAlignment="1">
      <alignment horizontal="center" vertical="center"/>
    </xf>
    <xf numFmtId="0" fontId="156" fillId="52" borderId="430" xfId="0" applyFont="1" applyFill="1" applyBorder="1" applyAlignment="1">
      <alignment horizontal="center" vertical="center"/>
    </xf>
    <xf numFmtId="0" fontId="241" fillId="0" borderId="304" xfId="0" applyFont="1" applyBorder="1" applyAlignment="1">
      <alignment horizontal="center" vertical="center"/>
    </xf>
    <xf numFmtId="0" fontId="241" fillId="0" borderId="239" xfId="0" applyFont="1" applyBorder="1" applyAlignment="1">
      <alignment horizontal="center" vertical="center"/>
    </xf>
    <xf numFmtId="0" fontId="241" fillId="0" borderId="240" xfId="0" applyFont="1" applyBorder="1" applyAlignment="1">
      <alignment horizontal="center" vertical="center"/>
    </xf>
    <xf numFmtId="14" fontId="156" fillId="45" borderId="316" xfId="0" applyNumberFormat="1" applyFont="1" applyFill="1" applyBorder="1" applyAlignment="1">
      <alignment horizontal="center" vertical="center"/>
    </xf>
    <xf numFmtId="0" fontId="243" fillId="43" borderId="435" xfId="0" applyFont="1" applyFill="1" applyBorder="1" applyAlignment="1">
      <alignment horizontal="left" vertical="center" wrapText="1"/>
    </xf>
    <xf numFmtId="0" fontId="243" fillId="43" borderId="277" xfId="0" applyFont="1" applyFill="1" applyBorder="1" applyAlignment="1">
      <alignment horizontal="left" vertical="center" wrapText="1"/>
    </xf>
    <xf numFmtId="0" fontId="243" fillId="43" borderId="429" xfId="0" applyFont="1" applyFill="1" applyBorder="1" applyAlignment="1">
      <alignment horizontal="left" vertical="center" wrapText="1"/>
    </xf>
    <xf numFmtId="0" fontId="243" fillId="43" borderId="331" xfId="0" applyFont="1" applyFill="1" applyBorder="1" applyAlignment="1">
      <alignment horizontal="left" vertical="center" wrapText="1"/>
    </xf>
    <xf numFmtId="0" fontId="243" fillId="43" borderId="193" xfId="0" applyFont="1" applyFill="1" applyBorder="1" applyAlignment="1">
      <alignment horizontal="left" vertical="center" wrapText="1"/>
    </xf>
    <xf numFmtId="0" fontId="243" fillId="43" borderId="242" xfId="0" applyFont="1" applyFill="1" applyBorder="1" applyAlignment="1">
      <alignment horizontal="left" vertical="center" wrapText="1"/>
    </xf>
    <xf numFmtId="196" fontId="156" fillId="45" borderId="276" xfId="0" applyNumberFormat="1" applyFont="1" applyFill="1" applyBorder="1" applyAlignment="1">
      <alignment horizontal="center" vertical="center"/>
    </xf>
    <xf numFmtId="0" fontId="156" fillId="43" borderId="483" xfId="0" applyFont="1" applyFill="1" applyBorder="1" applyAlignment="1">
      <alignment horizontal="center" vertical="center"/>
    </xf>
    <xf numFmtId="0" fontId="156" fillId="43" borderId="442" xfId="0" applyFont="1" applyFill="1" applyBorder="1" applyAlignment="1">
      <alignment horizontal="center" vertical="center"/>
    </xf>
    <xf numFmtId="0" fontId="10" fillId="10" borderId="65" xfId="0" applyFont="1" applyFill="1" applyBorder="1" applyAlignment="1">
      <alignment horizontal="left" vertical="center"/>
    </xf>
    <xf numFmtId="165" fontId="39" fillId="0" borderId="64" xfId="0" applyNumberFormat="1" applyFont="1" applyBorder="1" applyAlignment="1">
      <alignment horizontal="center" vertical="center" wrapText="1"/>
    </xf>
    <xf numFmtId="0" fontId="243" fillId="43" borderId="318" xfId="0" applyFont="1" applyFill="1" applyBorder="1" applyAlignment="1">
      <alignment horizontal="left" vertical="center" wrapText="1"/>
    </xf>
    <xf numFmtId="0" fontId="243" fillId="43" borderId="320" xfId="0" applyFont="1" applyFill="1" applyBorder="1" applyAlignment="1">
      <alignment horizontal="left" vertical="center" wrapText="1"/>
    </xf>
    <xf numFmtId="0" fontId="155" fillId="0" borderId="305" xfId="0" applyFont="1" applyBorder="1" applyAlignment="1">
      <alignment horizontal="center" vertical="center"/>
    </xf>
    <xf numFmtId="0" fontId="155" fillId="0" borderId="254" xfId="0" applyFont="1" applyBorder="1" applyAlignment="1">
      <alignment horizontal="center" vertical="center"/>
    </xf>
    <xf numFmtId="0" fontId="155" fillId="0" borderId="258" xfId="0" applyFont="1" applyBorder="1" applyAlignment="1">
      <alignment horizontal="center" vertical="center"/>
    </xf>
    <xf numFmtId="165" fontId="39" fillId="0" borderId="115" xfId="0" applyNumberFormat="1" applyFont="1" applyBorder="1" applyAlignment="1">
      <alignment horizontal="center" vertical="center" wrapText="1"/>
    </xf>
    <xf numFmtId="4" fontId="154" fillId="49" borderId="0" xfId="0" applyNumberFormat="1" applyFont="1" applyFill="1" applyAlignment="1">
      <alignment horizontal="center" vertical="center"/>
    </xf>
    <xf numFmtId="181" fontId="156" fillId="48" borderId="370" xfId="0" applyNumberFormat="1" applyFont="1" applyFill="1" applyBorder="1" applyAlignment="1">
      <alignment horizontal="center" vertical="center"/>
    </xf>
    <xf numFmtId="181" fontId="156" fillId="48" borderId="283" xfId="0" applyNumberFormat="1" applyFont="1" applyFill="1" applyBorder="1" applyAlignment="1">
      <alignment horizontal="center" vertical="center"/>
    </xf>
    <xf numFmtId="4" fontId="156" fillId="48" borderId="370" xfId="0" applyNumberFormat="1" applyFont="1" applyFill="1" applyBorder="1" applyAlignment="1">
      <alignment horizontal="center" vertical="center"/>
    </xf>
    <xf numFmtId="4" fontId="156" fillId="48" borderId="369" xfId="0" applyNumberFormat="1" applyFont="1" applyFill="1" applyBorder="1" applyAlignment="1">
      <alignment horizontal="center" vertical="center"/>
    </xf>
    <xf numFmtId="0" fontId="156" fillId="48" borderId="421" xfId="0" applyFont="1" applyFill="1" applyBorder="1" applyAlignment="1">
      <alignment horizontal="center" vertical="center" wrapText="1"/>
    </xf>
    <xf numFmtId="0" fontId="156" fillId="48" borderId="491" xfId="0" applyFont="1" applyFill="1" applyBorder="1" applyAlignment="1">
      <alignment horizontal="center" vertical="center" wrapText="1"/>
    </xf>
    <xf numFmtId="0" fontId="156" fillId="48" borderId="492" xfId="0" applyFont="1" applyFill="1" applyBorder="1" applyAlignment="1">
      <alignment horizontal="center" vertical="center"/>
    </xf>
    <xf numFmtId="0" fontId="156" fillId="48" borderId="368" xfId="0" applyFont="1" applyFill="1" applyBorder="1" applyAlignment="1">
      <alignment horizontal="center" vertical="center" wrapText="1"/>
    </xf>
    <xf numFmtId="0" fontId="156" fillId="48" borderId="423" xfId="0" applyFont="1" applyFill="1" applyBorder="1" applyAlignment="1">
      <alignment horizontal="center" vertical="center"/>
    </xf>
    <xf numFmtId="0" fontId="156" fillId="48" borderId="370" xfId="0" applyFont="1" applyFill="1" applyBorder="1" applyAlignment="1">
      <alignment horizontal="center" vertical="center" wrapText="1"/>
    </xf>
    <xf numFmtId="0" fontId="156" fillId="48" borderId="427" xfId="0" applyFont="1" applyFill="1" applyBorder="1" applyAlignment="1">
      <alignment horizontal="center" vertical="center"/>
    </xf>
    <xf numFmtId="0" fontId="156" fillId="48" borderId="285" xfId="0" applyFont="1" applyFill="1" applyBorder="1" applyAlignment="1">
      <alignment horizontal="center" vertical="center"/>
    </xf>
    <xf numFmtId="0" fontId="156" fillId="48" borderId="414" xfId="0" applyFont="1" applyFill="1" applyBorder="1" applyAlignment="1">
      <alignment horizontal="center" vertical="center"/>
    </xf>
    <xf numFmtId="0" fontId="156" fillId="48" borderId="454" xfId="0" applyFont="1" applyFill="1" applyBorder="1" applyAlignment="1">
      <alignment horizontal="center" vertical="center"/>
    </xf>
    <xf numFmtId="0" fontId="156" fillId="48" borderId="488" xfId="0" applyFont="1" applyFill="1" applyBorder="1" applyAlignment="1">
      <alignment horizontal="center" vertical="center"/>
    </xf>
    <xf numFmtId="0" fontId="156" fillId="48" borderId="430" xfId="0" applyFont="1" applyFill="1" applyBorder="1" applyAlignment="1">
      <alignment horizontal="center" vertical="center"/>
    </xf>
    <xf numFmtId="0" fontId="156" fillId="48" borderId="452" xfId="0" applyFont="1" applyFill="1" applyBorder="1" applyAlignment="1">
      <alignment horizontal="center" vertical="center"/>
    </xf>
    <xf numFmtId="172" fontId="61" fillId="23" borderId="20" xfId="0" applyNumberFormat="1" applyFont="1" applyFill="1" applyBorder="1" applyAlignment="1">
      <alignment horizontal="left" vertical="center" wrapText="1"/>
    </xf>
    <xf numFmtId="0" fontId="24" fillId="0" borderId="126" xfId="0" applyFont="1" applyBorder="1" applyAlignment="1">
      <alignment horizontal="left" vertical="center" readingOrder="1"/>
    </xf>
    <xf numFmtId="0" fontId="12" fillId="0" borderId="127" xfId="0" applyFont="1" applyBorder="1"/>
    <xf numFmtId="0" fontId="12" fillId="0" borderId="128" xfId="0" applyFont="1" applyBorder="1"/>
    <xf numFmtId="0" fontId="25" fillId="0" borderId="129" xfId="0" applyFont="1" applyBorder="1" applyAlignment="1">
      <alignment horizontal="left" vertical="center" readingOrder="1"/>
    </xf>
    <xf numFmtId="0" fontId="12" fillId="0" borderId="130" xfId="0" applyFont="1" applyBorder="1"/>
    <xf numFmtId="0" fontId="12" fillId="0" borderId="131" xfId="0" applyFont="1" applyBorder="1"/>
    <xf numFmtId="0" fontId="25" fillId="0" borderId="129" xfId="0" applyFont="1" applyBorder="1" applyAlignment="1">
      <alignment horizontal="left" vertical="center" wrapText="1" readingOrder="1"/>
    </xf>
    <xf numFmtId="0" fontId="81" fillId="19" borderId="20" xfId="0" applyFont="1" applyFill="1" applyBorder="1" applyAlignment="1">
      <alignment horizontal="center" vertical="center" wrapText="1"/>
    </xf>
    <xf numFmtId="0" fontId="162" fillId="0" borderId="0" xfId="0" applyFont="1"/>
    <xf numFmtId="0" fontId="161" fillId="0" borderId="21" xfId="0" applyFont="1" applyBorder="1"/>
    <xf numFmtId="0" fontId="166" fillId="0" borderId="254" xfId="6" applyBorder="1" applyAlignment="1">
      <alignment horizontal="center" vertical="center"/>
    </xf>
    <xf numFmtId="0" fontId="166" fillId="0" borderId="302" xfId="6" applyBorder="1" applyAlignment="1">
      <alignment horizontal="center" vertical="center"/>
    </xf>
    <xf numFmtId="0" fontId="166" fillId="0" borderId="240" xfId="6" applyBorder="1" applyAlignment="1">
      <alignment horizontal="center" vertical="center"/>
    </xf>
    <xf numFmtId="0" fontId="166" fillId="0" borderId="243" xfId="6" applyBorder="1" applyAlignment="1">
      <alignment horizontal="center" vertical="center"/>
    </xf>
    <xf numFmtId="0" fontId="166" fillId="0" borderId="242" xfId="6" applyBorder="1" applyAlignment="1">
      <alignment horizontal="center" vertical="center"/>
    </xf>
    <xf numFmtId="0" fontId="166" fillId="0" borderId="305" xfId="6" applyBorder="1" applyAlignment="1">
      <alignment horizontal="center" vertical="center"/>
    </xf>
    <xf numFmtId="0" fontId="166" fillId="0" borderId="258" xfId="6" applyBorder="1" applyAlignment="1">
      <alignment horizontal="center" vertical="center"/>
    </xf>
    <xf numFmtId="0" fontId="166" fillId="0" borderId="239" xfId="6" applyBorder="1" applyAlignment="1">
      <alignment horizontal="center" vertical="center"/>
    </xf>
    <xf numFmtId="0" fontId="167" fillId="0" borderId="243" xfId="6" applyFont="1" applyBorder="1" applyAlignment="1">
      <alignment horizontal="center" vertical="center"/>
    </xf>
    <xf numFmtId="0" fontId="167" fillId="0" borderId="193" xfId="6" applyFont="1" applyAlignment="1">
      <alignment horizontal="center" vertical="center"/>
    </xf>
    <xf numFmtId="0" fontId="167" fillId="0" borderId="242" xfId="6" applyFont="1" applyBorder="1" applyAlignment="1">
      <alignment horizontal="center" vertical="center"/>
    </xf>
    <xf numFmtId="0" fontId="166" fillId="0" borderId="193" xfId="6" applyAlignment="1">
      <alignment horizontal="center" vertical="center"/>
    </xf>
    <xf numFmtId="0" fontId="153" fillId="0" borderId="243" xfId="6" applyFont="1" applyBorder="1" applyAlignment="1">
      <alignment horizontal="center" vertical="center"/>
    </xf>
    <xf numFmtId="0" fontId="153" fillId="0" borderId="193" xfId="6" applyFont="1" applyAlignment="1">
      <alignment horizontal="center" vertical="center"/>
    </xf>
    <xf numFmtId="0" fontId="153" fillId="0" borderId="242" xfId="6" applyFont="1" applyBorder="1" applyAlignment="1">
      <alignment horizontal="center" vertical="center"/>
    </xf>
    <xf numFmtId="0" fontId="214" fillId="48" borderId="317" xfId="6" applyFont="1" applyFill="1" applyBorder="1" applyAlignment="1">
      <alignment horizontal="center" vertical="center"/>
    </xf>
    <xf numFmtId="0" fontId="214" fillId="48" borderId="316" xfId="6" applyFont="1" applyFill="1" applyBorder="1" applyAlignment="1">
      <alignment horizontal="center" vertical="center"/>
    </xf>
    <xf numFmtId="0" fontId="214" fillId="48" borderId="318" xfId="6" applyFont="1" applyFill="1" applyBorder="1" applyAlignment="1">
      <alignment horizontal="center" vertical="center"/>
    </xf>
    <xf numFmtId="0" fontId="214" fillId="48" borderId="243" xfId="6" applyFont="1" applyFill="1" applyBorder="1" applyAlignment="1">
      <alignment horizontal="center" vertical="center"/>
    </xf>
    <xf numFmtId="0" fontId="214" fillId="48" borderId="193" xfId="6" applyFont="1" applyFill="1" applyAlignment="1">
      <alignment horizontal="center" vertical="center"/>
    </xf>
    <xf numFmtId="0" fontId="214" fillId="48" borderId="242" xfId="6" applyFont="1" applyFill="1" applyBorder="1" applyAlignment="1">
      <alignment horizontal="center" vertical="center"/>
    </xf>
    <xf numFmtId="0" fontId="214" fillId="48" borderId="319" xfId="6" applyFont="1" applyFill="1" applyBorder="1" applyAlignment="1">
      <alignment horizontal="center" vertical="center"/>
    </xf>
    <xf numFmtId="0" fontId="214" fillId="48" borderId="234" xfId="6" applyFont="1" applyFill="1" applyBorder="1" applyAlignment="1">
      <alignment horizontal="center" vertical="center"/>
    </xf>
    <xf numFmtId="0" fontId="214" fillId="48" borderId="320" xfId="6" applyFont="1" applyFill="1" applyBorder="1" applyAlignment="1">
      <alignment horizontal="center" vertical="center"/>
    </xf>
    <xf numFmtId="14" fontId="216" fillId="43" borderId="343" xfId="6" applyNumberFormat="1" applyFont="1" applyFill="1" applyBorder="1" applyAlignment="1">
      <alignment horizontal="center" vertical="center"/>
    </xf>
    <xf numFmtId="14" fontId="216" fillId="43" borderId="344" xfId="6" applyNumberFormat="1" applyFont="1" applyFill="1" applyBorder="1" applyAlignment="1">
      <alignment horizontal="center" vertical="center"/>
    </xf>
    <xf numFmtId="14" fontId="216" fillId="43" borderId="345" xfId="6" applyNumberFormat="1" applyFont="1" applyFill="1" applyBorder="1" applyAlignment="1">
      <alignment horizontal="center" vertical="center"/>
    </xf>
    <xf numFmtId="0" fontId="215" fillId="0" borderId="346" xfId="6" applyFont="1" applyBorder="1" applyAlignment="1">
      <alignment horizontal="left" vertical="center" indent="3"/>
    </xf>
    <xf numFmtId="0" fontId="215" fillId="0" borderId="347" xfId="6" applyFont="1" applyBorder="1" applyAlignment="1">
      <alignment horizontal="left" vertical="center" indent="3"/>
    </xf>
    <xf numFmtId="0" fontId="216" fillId="0" borderId="348" xfId="6" applyFont="1" applyBorder="1" applyAlignment="1">
      <alignment horizontal="left" vertical="center" indent="1"/>
    </xf>
    <xf numFmtId="0" fontId="216" fillId="0" borderId="349" xfId="6" applyFont="1" applyBorder="1" applyAlignment="1">
      <alignment horizontal="left" vertical="center" indent="1"/>
    </xf>
    <xf numFmtId="0" fontId="216" fillId="0" borderId="350" xfId="6" applyFont="1" applyBorder="1" applyAlignment="1">
      <alignment horizontal="left" vertical="center" indent="1"/>
    </xf>
    <xf numFmtId="0" fontId="215" fillId="43" borderId="351" xfId="6" applyFont="1" applyFill="1" applyBorder="1" applyAlignment="1">
      <alignment horizontal="left" vertical="center" indent="3"/>
    </xf>
    <xf numFmtId="0" fontId="215" fillId="43" borderId="347" xfId="6" applyFont="1" applyFill="1" applyBorder="1" applyAlignment="1">
      <alignment horizontal="left" vertical="center" indent="3"/>
    </xf>
    <xf numFmtId="198" fontId="216" fillId="43" borderId="339" xfId="6" applyNumberFormat="1" applyFont="1" applyFill="1" applyBorder="1" applyAlignment="1">
      <alignment horizontal="center" vertical="center"/>
    </xf>
    <xf numFmtId="198" fontId="216" fillId="43" borderId="340" xfId="6" applyNumberFormat="1" applyFont="1" applyFill="1" applyBorder="1" applyAlignment="1">
      <alignment horizontal="center" vertical="center"/>
    </xf>
    <xf numFmtId="198" fontId="216" fillId="43" borderId="352" xfId="6" applyNumberFormat="1" applyFont="1" applyFill="1" applyBorder="1" applyAlignment="1">
      <alignment horizontal="center" vertical="center"/>
    </xf>
    <xf numFmtId="0" fontId="206" fillId="48" borderId="302" xfId="6" applyFont="1" applyFill="1" applyBorder="1" applyAlignment="1">
      <alignment horizontal="center" vertical="center"/>
    </xf>
    <xf numFmtId="0" fontId="206" fillId="48" borderId="239" xfId="6" applyFont="1" applyFill="1" applyBorder="1" applyAlignment="1">
      <alignment horizontal="center" vertical="center"/>
    </xf>
    <xf numFmtId="0" fontId="206" fillId="48" borderId="240" xfId="6" applyFont="1" applyFill="1" applyBorder="1" applyAlignment="1">
      <alignment horizontal="center" vertical="center"/>
    </xf>
    <xf numFmtId="0" fontId="215" fillId="0" borderId="321" xfId="6" applyFont="1" applyBorder="1" applyAlignment="1">
      <alignment horizontal="left" vertical="center" wrapText="1" indent="3"/>
    </xf>
    <xf numFmtId="0" fontId="215" fillId="0" borderId="322" xfId="6" applyFont="1" applyBorder="1" applyAlignment="1">
      <alignment horizontal="left" vertical="center" wrapText="1" indent="3"/>
    </xf>
    <xf numFmtId="0" fontId="215" fillId="0" borderId="327" xfId="6" applyFont="1" applyBorder="1" applyAlignment="1">
      <alignment horizontal="left" vertical="center" wrapText="1" indent="3"/>
    </xf>
    <xf numFmtId="0" fontId="215" fillId="0" borderId="328" xfId="6" applyFont="1" applyBorder="1" applyAlignment="1">
      <alignment horizontal="left" vertical="center" wrapText="1" indent="3"/>
    </xf>
    <xf numFmtId="0" fontId="216" fillId="0" borderId="323" xfId="6" applyFont="1" applyBorder="1" applyAlignment="1">
      <alignment horizontal="left" vertical="center" wrapText="1" indent="1"/>
    </xf>
    <xf numFmtId="0" fontId="216" fillId="0" borderId="316" xfId="6" applyFont="1" applyBorder="1" applyAlignment="1">
      <alignment horizontal="left" vertical="center" wrapText="1" indent="1"/>
    </xf>
    <xf numFmtId="0" fontId="216" fillId="0" borderId="324" xfId="6" applyFont="1" applyBorder="1" applyAlignment="1">
      <alignment horizontal="left" vertical="center" wrapText="1" indent="1"/>
    </xf>
    <xf numFmtId="0" fontId="216" fillId="0" borderId="329" xfId="6" applyFont="1" applyBorder="1" applyAlignment="1">
      <alignment horizontal="left" vertical="center" wrapText="1" indent="1"/>
    </xf>
    <xf numFmtId="0" fontId="216" fillId="0" borderId="193" xfId="6" applyFont="1" applyAlignment="1">
      <alignment horizontal="left" vertical="center" wrapText="1" indent="1"/>
    </xf>
    <xf numFmtId="0" fontId="216" fillId="0" borderId="330" xfId="6" applyFont="1" applyBorder="1" applyAlignment="1">
      <alignment horizontal="left" vertical="center" wrapText="1" indent="1"/>
    </xf>
    <xf numFmtId="0" fontId="216" fillId="0" borderId="333" xfId="6" applyFont="1" applyBorder="1" applyAlignment="1">
      <alignment horizontal="left" vertical="center" wrapText="1" indent="1"/>
    </xf>
    <xf numFmtId="0" fontId="216" fillId="0" borderId="334" xfId="6" applyFont="1" applyBorder="1" applyAlignment="1">
      <alignment horizontal="left" vertical="center" wrapText="1" indent="1"/>
    </xf>
    <xf numFmtId="0" fontId="216" fillId="0" borderId="335" xfId="6" applyFont="1" applyBorder="1" applyAlignment="1">
      <alignment horizontal="left" vertical="center" wrapText="1" indent="1"/>
    </xf>
    <xf numFmtId="0" fontId="215" fillId="43" borderId="325" xfId="6" applyFont="1" applyFill="1" applyBorder="1" applyAlignment="1">
      <alignment horizontal="center" vertical="center"/>
    </xf>
    <xf numFmtId="0" fontId="215" fillId="43" borderId="326" xfId="6" applyFont="1" applyFill="1" applyBorder="1" applyAlignment="1">
      <alignment horizontal="center" vertical="center"/>
    </xf>
    <xf numFmtId="0" fontId="215" fillId="43" borderId="331" xfId="6" applyFont="1" applyFill="1" applyBorder="1" applyAlignment="1">
      <alignment horizontal="center" vertical="center"/>
    </xf>
    <xf numFmtId="0" fontId="215" fillId="43" borderId="332" xfId="6" applyFont="1" applyFill="1" applyBorder="1" applyAlignment="1">
      <alignment horizontal="center" vertical="center"/>
    </xf>
    <xf numFmtId="0" fontId="215" fillId="43" borderId="336" xfId="6" applyFont="1" applyFill="1" applyBorder="1" applyAlignment="1">
      <alignment horizontal="center" vertical="center"/>
    </xf>
    <xf numFmtId="0" fontId="215" fillId="43" borderId="337" xfId="6" applyFont="1" applyFill="1" applyBorder="1" applyAlignment="1">
      <alignment horizontal="center" vertical="center"/>
    </xf>
    <xf numFmtId="0" fontId="216" fillId="43" borderId="323" xfId="6" applyFont="1" applyFill="1" applyBorder="1" applyAlignment="1">
      <alignment horizontal="center" vertical="center" wrapText="1"/>
    </xf>
    <xf numFmtId="0" fontId="216" fillId="43" borderId="316" xfId="6" applyFont="1" applyFill="1" applyBorder="1" applyAlignment="1">
      <alignment horizontal="center" vertical="center" wrapText="1"/>
    </xf>
    <xf numFmtId="0" fontId="216" fillId="43" borderId="318" xfId="6" applyFont="1" applyFill="1" applyBorder="1" applyAlignment="1">
      <alignment horizontal="center" vertical="center" wrapText="1"/>
    </xf>
    <xf numFmtId="0" fontId="216" fillId="43" borderId="329" xfId="6" applyFont="1" applyFill="1" applyBorder="1" applyAlignment="1">
      <alignment horizontal="center" vertical="center" wrapText="1"/>
    </xf>
    <xf numFmtId="0" fontId="216" fillId="43" borderId="193" xfId="6" applyFont="1" applyFill="1" applyAlignment="1">
      <alignment horizontal="center" vertical="center" wrapText="1"/>
    </xf>
    <xf numFmtId="0" fontId="216" fillId="43" borderId="242" xfId="6" applyFont="1" applyFill="1" applyBorder="1" applyAlignment="1">
      <alignment horizontal="center" vertical="center" wrapText="1"/>
    </xf>
    <xf numFmtId="191" fontId="199" fillId="43" borderId="333" xfId="6" applyNumberFormat="1" applyFont="1" applyFill="1" applyBorder="1" applyAlignment="1">
      <alignment horizontal="center" vertical="top"/>
    </xf>
    <xf numFmtId="191" fontId="199" fillId="43" borderId="334" xfId="6" applyNumberFormat="1" applyFont="1" applyFill="1" applyBorder="1" applyAlignment="1">
      <alignment horizontal="center" vertical="top"/>
    </xf>
    <xf numFmtId="191" fontId="199" fillId="43" borderId="338" xfId="6" applyNumberFormat="1" applyFont="1" applyFill="1" applyBorder="1" applyAlignment="1">
      <alignment horizontal="center" vertical="top"/>
    </xf>
    <xf numFmtId="0" fontId="215" fillId="0" borderId="327" xfId="6" applyFont="1" applyBorder="1" applyAlignment="1">
      <alignment horizontal="left" vertical="center" indent="3"/>
    </xf>
    <xf numFmtId="0" fontId="215" fillId="0" borderId="328" xfId="6" applyFont="1" applyBorder="1" applyAlignment="1">
      <alignment horizontal="left" vertical="center" indent="3"/>
    </xf>
    <xf numFmtId="0" fontId="216" fillId="0" borderId="339" xfId="6" applyFont="1" applyBorder="1" applyAlignment="1">
      <alignment horizontal="left" vertical="center" wrapText="1" indent="1"/>
    </xf>
    <xf numFmtId="0" fontId="216" fillId="0" borderId="340" xfId="6" applyFont="1" applyBorder="1" applyAlignment="1">
      <alignment horizontal="left" vertical="center" wrapText="1" indent="1"/>
    </xf>
    <xf numFmtId="0" fontId="216" fillId="0" borderId="341" xfId="6" applyFont="1" applyBorder="1" applyAlignment="1">
      <alignment horizontal="left" vertical="center" wrapText="1" indent="1"/>
    </xf>
    <xf numFmtId="0" fontId="215" fillId="43" borderId="342" xfId="6" applyFont="1" applyFill="1" applyBorder="1" applyAlignment="1">
      <alignment horizontal="left" vertical="center" indent="3"/>
    </xf>
    <xf numFmtId="0" fontId="215" fillId="43" borderId="328" xfId="6" applyFont="1" applyFill="1" applyBorder="1" applyAlignment="1">
      <alignment horizontal="left" vertical="center" indent="3"/>
    </xf>
    <xf numFmtId="0" fontId="177" fillId="0" borderId="319" xfId="6" applyFont="1" applyBorder="1" applyAlignment="1">
      <alignment horizontal="left" vertical="center" indent="2"/>
    </xf>
    <xf numFmtId="0" fontId="177" fillId="0" borderId="234" xfId="6" applyFont="1" applyBorder="1" applyAlignment="1">
      <alignment horizontal="left" vertical="center" indent="2"/>
    </xf>
    <xf numFmtId="0" fontId="177" fillId="0" borderId="363" xfId="6" applyFont="1" applyBorder="1" applyAlignment="1">
      <alignment horizontal="left" vertical="center" indent="2"/>
    </xf>
    <xf numFmtId="2" fontId="216" fillId="49" borderId="364" xfId="6" applyNumberFormat="1" applyFont="1" applyFill="1" applyBorder="1" applyAlignment="1" applyProtection="1">
      <alignment horizontal="center" vertical="center"/>
      <protection locked="0"/>
    </xf>
    <xf numFmtId="2" fontId="216" fillId="49" borderId="363" xfId="6" applyNumberFormat="1" applyFont="1" applyFill="1" applyBorder="1" applyAlignment="1" applyProtection="1">
      <alignment horizontal="center" vertical="center"/>
      <protection locked="0"/>
    </xf>
    <xf numFmtId="2" fontId="216" fillId="49" borderId="320" xfId="6" applyNumberFormat="1" applyFont="1" applyFill="1" applyBorder="1" applyAlignment="1" applyProtection="1">
      <alignment horizontal="center" vertical="center"/>
      <protection locked="0"/>
    </xf>
    <xf numFmtId="0" fontId="177" fillId="0" borderId="366" xfId="6" applyFont="1" applyBorder="1" applyAlignment="1">
      <alignment horizontal="left" vertical="center" indent="2"/>
    </xf>
    <xf numFmtId="0" fontId="177" fillId="0" borderId="367" xfId="6" applyFont="1" applyBorder="1" applyAlignment="1">
      <alignment horizontal="left" vertical="center" indent="2"/>
    </xf>
    <xf numFmtId="0" fontId="177" fillId="0" borderId="368" xfId="6" applyFont="1" applyBorder="1" applyAlignment="1">
      <alignment horizontal="left" vertical="center" indent="2"/>
    </xf>
    <xf numFmtId="2" fontId="216" fillId="49" borderId="369" xfId="6" applyNumberFormat="1" applyFont="1" applyFill="1" applyBorder="1" applyAlignment="1" applyProtection="1">
      <alignment horizontal="center" vertical="center"/>
      <protection locked="0"/>
    </xf>
    <xf numFmtId="2" fontId="216" fillId="49" borderId="368" xfId="6" applyNumberFormat="1" applyFont="1" applyFill="1" applyBorder="1" applyAlignment="1" applyProtection="1">
      <alignment horizontal="center" vertical="center"/>
      <protection locked="0"/>
    </xf>
    <xf numFmtId="2" fontId="216" fillId="49" borderId="371" xfId="6" applyNumberFormat="1" applyFont="1" applyFill="1" applyBorder="1" applyAlignment="1" applyProtection="1">
      <alignment horizontal="center" vertical="center"/>
      <protection locked="0"/>
    </xf>
    <xf numFmtId="0" fontId="206" fillId="48" borderId="305" xfId="6" applyFont="1" applyFill="1" applyBorder="1" applyAlignment="1">
      <alignment horizontal="center" vertical="center"/>
    </xf>
    <xf numFmtId="0" fontId="206" fillId="48" borderId="254" xfId="6" applyFont="1" applyFill="1" applyBorder="1" applyAlignment="1">
      <alignment horizontal="center" vertical="center"/>
    </xf>
    <xf numFmtId="0" fontId="206" fillId="48" borderId="258" xfId="6" applyFont="1" applyFill="1" applyBorder="1" applyAlignment="1">
      <alignment horizontal="center" vertical="center"/>
    </xf>
    <xf numFmtId="0" fontId="218" fillId="0" borderId="243" xfId="6" applyFont="1" applyBorder="1" applyAlignment="1">
      <alignment vertical="center"/>
    </xf>
    <xf numFmtId="0" fontId="166" fillId="0" borderId="193" xfId="6" applyAlignment="1">
      <alignment vertical="center"/>
    </xf>
    <xf numFmtId="0" fontId="166" fillId="0" borderId="242" xfId="6" applyBorder="1" applyAlignment="1">
      <alignment vertical="center"/>
    </xf>
    <xf numFmtId="0" fontId="206" fillId="48" borderId="353" xfId="6" applyFont="1" applyFill="1" applyBorder="1" applyAlignment="1">
      <alignment horizontal="left" vertical="center" indent="3"/>
    </xf>
    <xf numFmtId="0" fontId="206" fillId="48" borderId="277" xfId="6" applyFont="1" applyFill="1" applyBorder="1" applyAlignment="1">
      <alignment horizontal="left" vertical="center" indent="3"/>
    </xf>
    <xf numFmtId="0" fontId="206" fillId="48" borderId="354" xfId="6" applyFont="1" applyFill="1" applyBorder="1" applyAlignment="1">
      <alignment horizontal="left" vertical="center" indent="3"/>
    </xf>
    <xf numFmtId="0" fontId="206" fillId="48" borderId="357" xfId="6" applyFont="1" applyFill="1" applyBorder="1" applyAlignment="1">
      <alignment horizontal="left" vertical="center" indent="3"/>
    </xf>
    <xf numFmtId="0" fontId="206" fillId="48" borderId="276" xfId="6" applyFont="1" applyFill="1" applyBorder="1" applyAlignment="1">
      <alignment horizontal="left" vertical="center" indent="3"/>
    </xf>
    <xf numFmtId="0" fontId="206" fillId="48" borderId="358" xfId="6" applyFont="1" applyFill="1" applyBorder="1" applyAlignment="1">
      <alignment horizontal="left" vertical="center" indent="3"/>
    </xf>
    <xf numFmtId="0" fontId="206" fillId="48" borderId="280" xfId="6" applyFont="1" applyFill="1" applyBorder="1" applyAlignment="1">
      <alignment horizontal="center" vertical="center"/>
    </xf>
    <xf numFmtId="0" fontId="206" fillId="48" borderId="355" xfId="6" applyFont="1" applyFill="1" applyBorder="1" applyAlignment="1">
      <alignment horizontal="center" vertical="center"/>
    </xf>
    <xf numFmtId="0" fontId="206" fillId="48" borderId="356" xfId="6" applyFont="1" applyFill="1" applyBorder="1" applyAlignment="1">
      <alignment horizontal="center" vertical="center"/>
    </xf>
    <xf numFmtId="0" fontId="219" fillId="48" borderId="359" xfId="6" applyFont="1" applyFill="1" applyBorder="1" applyAlignment="1">
      <alignment horizontal="center" vertical="center" wrapText="1"/>
    </xf>
    <xf numFmtId="0" fontId="219" fillId="48" borderId="360" xfId="6" applyFont="1" applyFill="1" applyBorder="1" applyAlignment="1">
      <alignment horizontal="center" vertical="center" wrapText="1"/>
    </xf>
    <xf numFmtId="0" fontId="219" fillId="48" borderId="362" xfId="6" applyFont="1" applyFill="1" applyBorder="1" applyAlignment="1">
      <alignment horizontal="center" vertical="center" wrapText="1"/>
    </xf>
    <xf numFmtId="3" fontId="177" fillId="0" borderId="243" xfId="6" applyNumberFormat="1" applyFont="1" applyBorder="1" applyAlignment="1">
      <alignment horizontal="left" vertical="center" indent="2"/>
    </xf>
    <xf numFmtId="3" fontId="177" fillId="0" borderId="193" xfId="6" applyNumberFormat="1" applyFont="1" applyAlignment="1">
      <alignment horizontal="left" vertical="center" indent="2"/>
    </xf>
    <xf numFmtId="0" fontId="12" fillId="0" borderId="193" xfId="6" applyFont="1" applyAlignment="1">
      <alignment horizontal="center" vertical="center"/>
    </xf>
    <xf numFmtId="0" fontId="12" fillId="0" borderId="242" xfId="6" applyFont="1" applyBorder="1" applyAlignment="1">
      <alignment horizontal="center" vertical="center"/>
    </xf>
    <xf numFmtId="0" fontId="166" fillId="43" borderId="193" xfId="6" applyFill="1" applyAlignment="1">
      <alignment horizontal="center" vertical="center"/>
    </xf>
    <xf numFmtId="0" fontId="212" fillId="43" borderId="193" xfId="6" applyFont="1" applyFill="1" applyAlignment="1">
      <alignment horizontal="center" vertical="center"/>
    </xf>
    <xf numFmtId="3" fontId="12" fillId="0" borderId="317" xfId="6" applyNumberFormat="1" applyFont="1" applyBorder="1" applyAlignment="1">
      <alignment vertical="center"/>
    </xf>
    <xf numFmtId="0" fontId="12" fillId="0" borderId="316" xfId="6" applyFont="1" applyBorder="1" applyAlignment="1">
      <alignment vertical="center"/>
    </xf>
    <xf numFmtId="0" fontId="12" fillId="0" borderId="316" xfId="6" applyFont="1" applyBorder="1" applyAlignment="1">
      <alignment horizontal="center" vertical="center"/>
    </xf>
    <xf numFmtId="0" fontId="12" fillId="0" borderId="318" xfId="6" applyFont="1" applyBorder="1" applyAlignment="1">
      <alignment horizontal="center" vertical="center"/>
    </xf>
    <xf numFmtId="0" fontId="177" fillId="0" borderId="319" xfId="6" applyFont="1" applyBorder="1" applyAlignment="1">
      <alignment horizontal="left" vertical="center" indent="1"/>
    </xf>
    <xf numFmtId="0" fontId="177" fillId="0" borderId="234" xfId="6" applyFont="1" applyBorder="1" applyAlignment="1">
      <alignment horizontal="left" vertical="center" indent="1"/>
    </xf>
    <xf numFmtId="0" fontId="177" fillId="0" borderId="363" xfId="6" applyFont="1" applyBorder="1" applyAlignment="1">
      <alignment horizontal="left" vertical="center" indent="1"/>
    </xf>
    <xf numFmtId="2" fontId="216" fillId="43" borderId="369" xfId="6" applyNumberFormat="1" applyFont="1" applyFill="1" applyBorder="1" applyAlignment="1">
      <alignment horizontal="center" vertical="center"/>
    </xf>
    <xf numFmtId="2" fontId="216" fillId="43" borderId="368" xfId="6" applyNumberFormat="1" applyFont="1" applyFill="1" applyBorder="1" applyAlignment="1">
      <alignment horizontal="center" vertical="center"/>
    </xf>
    <xf numFmtId="4" fontId="215" fillId="43" borderId="364" xfId="6" applyNumberFormat="1" applyFont="1" applyFill="1" applyBorder="1" applyAlignment="1">
      <alignment horizontal="center" vertical="center"/>
    </xf>
    <xf numFmtId="4" fontId="215" fillId="43" borderId="234" xfId="6" applyNumberFormat="1" applyFont="1" applyFill="1" applyBorder="1" applyAlignment="1">
      <alignment horizontal="center" vertical="center"/>
    </xf>
    <xf numFmtId="4" fontId="215" fillId="43" borderId="363" xfId="6" applyNumberFormat="1" applyFont="1" applyFill="1" applyBorder="1" applyAlignment="1">
      <alignment horizontal="center" vertical="center"/>
    </xf>
    <xf numFmtId="0" fontId="222" fillId="43" borderId="380" xfId="6" applyFont="1" applyFill="1" applyBorder="1" applyAlignment="1">
      <alignment vertical="center"/>
    </xf>
    <xf numFmtId="0" fontId="222" fillId="43" borderId="193" xfId="6" applyFont="1" applyFill="1" applyAlignment="1">
      <alignment vertical="center"/>
    </xf>
    <xf numFmtId="0" fontId="166" fillId="43" borderId="381" xfId="6" applyFill="1" applyBorder="1" applyAlignment="1">
      <alignment vertical="center"/>
    </xf>
    <xf numFmtId="0" fontId="177" fillId="0" borderId="366" xfId="6" applyFont="1" applyBorder="1" applyAlignment="1">
      <alignment horizontal="left" vertical="center" indent="1"/>
    </xf>
    <xf numFmtId="0" fontId="177" fillId="0" borderId="367" xfId="6" applyFont="1" applyBorder="1" applyAlignment="1">
      <alignment horizontal="left" vertical="center" indent="1"/>
    </xf>
    <xf numFmtId="0" fontId="177" fillId="0" borderId="368" xfId="6" applyFont="1" applyBorder="1" applyAlignment="1">
      <alignment horizontal="left" vertical="center" indent="1"/>
    </xf>
    <xf numFmtId="4" fontId="215" fillId="43" borderId="369" xfId="6" applyNumberFormat="1" applyFont="1" applyFill="1" applyBorder="1" applyAlignment="1">
      <alignment horizontal="center" vertical="center"/>
    </xf>
    <xf numFmtId="4" fontId="215" fillId="43" borderId="367" xfId="6" applyNumberFormat="1" applyFont="1" applyFill="1" applyBorder="1" applyAlignment="1">
      <alignment horizontal="center" vertical="center"/>
    </xf>
    <xf numFmtId="4" fontId="215" fillId="43" borderId="368" xfId="6" applyNumberFormat="1" applyFont="1" applyFill="1" applyBorder="1" applyAlignment="1">
      <alignment horizontal="center" vertical="center"/>
    </xf>
    <xf numFmtId="0" fontId="215" fillId="43" borderId="193" xfId="6" applyFont="1" applyFill="1" applyAlignment="1">
      <alignment horizontal="center" vertical="top"/>
    </xf>
    <xf numFmtId="0" fontId="12" fillId="0" borderId="319" xfId="6" applyFont="1" applyBorder="1" applyAlignment="1">
      <alignment vertical="center"/>
    </xf>
    <xf numFmtId="0" fontId="12" fillId="0" borderId="234" xfId="6" applyFont="1" applyBorder="1" applyAlignment="1">
      <alignment vertical="center"/>
    </xf>
    <xf numFmtId="0" fontId="199" fillId="43" borderId="234" xfId="6" applyFont="1" applyFill="1" applyBorder="1" applyAlignment="1">
      <alignment horizontal="center" vertical="top"/>
    </xf>
    <xf numFmtId="0" fontId="220" fillId="48" borderId="372" xfId="6" applyFont="1" applyFill="1" applyBorder="1" applyAlignment="1">
      <alignment horizontal="center" vertical="center"/>
    </xf>
    <xf numFmtId="0" fontId="220" fillId="48" borderId="373" xfId="6" applyFont="1" applyFill="1" applyBorder="1" applyAlignment="1">
      <alignment horizontal="center" vertical="center"/>
    </xf>
    <xf numFmtId="0" fontId="220" fillId="48" borderId="282" xfId="6" applyFont="1" applyFill="1" applyBorder="1" applyAlignment="1">
      <alignment horizontal="center" vertical="center"/>
    </xf>
    <xf numFmtId="0" fontId="220" fillId="48" borderId="283" xfId="6" applyFont="1" applyFill="1" applyBorder="1" applyAlignment="1">
      <alignment horizontal="center" vertical="center"/>
    </xf>
    <xf numFmtId="0" fontId="220" fillId="48" borderId="304" xfId="6" applyFont="1" applyFill="1" applyBorder="1" applyAlignment="1">
      <alignment horizontal="center" vertical="center" wrapText="1"/>
    </xf>
    <xf numFmtId="0" fontId="220" fillId="48" borderId="303" xfId="6" applyFont="1" applyFill="1" applyBorder="1" applyAlignment="1">
      <alignment horizontal="center" vertical="center" wrapText="1"/>
    </xf>
    <xf numFmtId="0" fontId="220" fillId="48" borderId="307" xfId="6" applyFont="1" applyFill="1" applyBorder="1" applyAlignment="1">
      <alignment horizontal="center" vertical="center" wrapText="1"/>
    </xf>
    <xf numFmtId="0" fontId="220" fillId="48" borderId="306" xfId="6" applyFont="1" applyFill="1" applyBorder="1" applyAlignment="1">
      <alignment horizontal="center" vertical="center" wrapText="1"/>
    </xf>
    <xf numFmtId="0" fontId="220" fillId="48" borderId="239" xfId="6" applyFont="1" applyFill="1" applyBorder="1" applyAlignment="1">
      <alignment horizontal="center" vertical="center" wrapText="1"/>
    </xf>
    <xf numFmtId="0" fontId="220" fillId="48" borderId="254" xfId="6" applyFont="1" applyFill="1" applyBorder="1" applyAlignment="1">
      <alignment horizontal="center" vertical="center" wrapText="1"/>
    </xf>
    <xf numFmtId="0" fontId="220" fillId="48" borderId="374" xfId="6" applyFont="1" applyFill="1" applyBorder="1" applyAlignment="1">
      <alignment horizontal="center" vertical="center" wrapText="1"/>
    </xf>
    <xf numFmtId="0" fontId="220" fillId="48" borderId="377" xfId="6" applyFont="1" applyFill="1" applyBorder="1" applyAlignment="1">
      <alignment horizontal="center" vertical="center" wrapText="1"/>
    </xf>
    <xf numFmtId="0" fontId="220" fillId="48" borderId="375" xfId="6" applyFont="1" applyFill="1" applyBorder="1" applyAlignment="1">
      <alignment horizontal="center" vertical="center"/>
    </xf>
    <xf numFmtId="0" fontId="220" fillId="48" borderId="277" xfId="6" applyFont="1" applyFill="1" applyBorder="1" applyAlignment="1">
      <alignment horizontal="center" vertical="center"/>
    </xf>
    <xf numFmtId="0" fontId="220" fillId="48" borderId="376" xfId="6" applyFont="1" applyFill="1" applyBorder="1" applyAlignment="1">
      <alignment horizontal="center" vertical="center"/>
    </xf>
    <xf numFmtId="0" fontId="220" fillId="48" borderId="378" xfId="6" applyFont="1" applyFill="1" applyBorder="1" applyAlignment="1">
      <alignment horizontal="center" vertical="center"/>
    </xf>
    <xf numFmtId="0" fontId="220" fillId="48" borderId="276" xfId="6" applyFont="1" applyFill="1" applyBorder="1" applyAlignment="1">
      <alignment horizontal="center" vertical="center"/>
    </xf>
    <xf numFmtId="0" fontId="220" fillId="48" borderId="379" xfId="6" applyFont="1" applyFill="1" applyBorder="1" applyAlignment="1">
      <alignment horizontal="center" vertical="center"/>
    </xf>
    <xf numFmtId="2" fontId="215" fillId="43" borderId="369" xfId="6" applyNumberFormat="1" applyFont="1" applyFill="1" applyBorder="1" applyAlignment="1">
      <alignment horizontal="center" vertical="center"/>
    </xf>
    <xf numFmtId="2" fontId="215" fillId="43" borderId="368" xfId="6" applyNumberFormat="1" applyFont="1" applyFill="1" applyBorder="1" applyAlignment="1">
      <alignment horizontal="center" vertical="center"/>
    </xf>
    <xf numFmtId="0" fontId="166" fillId="0" borderId="193" xfId="6" applyAlignment="1">
      <alignment horizontal="center" vertical="center" wrapText="1"/>
    </xf>
    <xf numFmtId="0" fontId="178" fillId="43" borderId="193" xfId="6" applyFont="1" applyFill="1" applyAlignment="1">
      <alignment horizontal="center" vertical="center" readingOrder="1"/>
    </xf>
    <xf numFmtId="0" fontId="215" fillId="0" borderId="193" xfId="6" applyFont="1" applyAlignment="1">
      <alignment horizontal="center" vertical="center"/>
    </xf>
    <xf numFmtId="0" fontId="212" fillId="0" borderId="254" xfId="6" applyFont="1" applyBorder="1" applyAlignment="1">
      <alignment horizontal="center" vertical="center"/>
    </xf>
    <xf numFmtId="0" fontId="218" fillId="0" borderId="366" xfId="6" applyFont="1" applyBorder="1" applyAlignment="1">
      <alignment vertical="center"/>
    </xf>
    <xf numFmtId="0" fontId="218" fillId="0" borderId="367" xfId="6" applyFont="1" applyBorder="1" applyAlignment="1">
      <alignment vertical="center"/>
    </xf>
    <xf numFmtId="0" fontId="218" fillId="0" borderId="371" xfId="6" applyFont="1" applyBorder="1" applyAlignment="1">
      <alignment vertical="center"/>
    </xf>
    <xf numFmtId="0" fontId="166" fillId="43" borderId="242" xfId="6" applyFill="1" applyBorder="1" applyAlignment="1">
      <alignment horizontal="center" vertical="center"/>
    </xf>
    <xf numFmtId="0" fontId="215" fillId="43" borderId="193" xfId="6" applyFont="1" applyFill="1" applyAlignment="1">
      <alignment horizontal="center" vertical="center" readingOrder="1"/>
    </xf>
    <xf numFmtId="0" fontId="222" fillId="0" borderId="317" xfId="6" applyFont="1" applyBorder="1" applyAlignment="1">
      <alignment horizontal="left" vertical="center" indent="2"/>
    </xf>
    <xf numFmtId="0" fontId="222" fillId="0" borderId="316" xfId="6" applyFont="1" applyBorder="1" applyAlignment="1">
      <alignment horizontal="left" vertical="center" indent="2"/>
    </xf>
    <xf numFmtId="0" fontId="222" fillId="0" borderId="193" xfId="6" applyFont="1" applyAlignment="1">
      <alignment horizontal="center" vertical="center" wrapText="1"/>
    </xf>
    <xf numFmtId="0" fontId="222" fillId="0" borderId="242" xfId="6" applyFont="1" applyBorder="1" applyAlignment="1">
      <alignment horizontal="center" vertical="center" wrapText="1"/>
    </xf>
    <xf numFmtId="0" fontId="222" fillId="0" borderId="234" xfId="6" applyFont="1" applyBorder="1" applyAlignment="1">
      <alignment horizontal="center" vertical="center" wrapText="1"/>
    </xf>
    <xf numFmtId="0" fontId="222" fillId="0" borderId="320" xfId="6" applyFont="1" applyBorder="1" applyAlignment="1">
      <alignment horizontal="center" vertical="center" wrapText="1"/>
    </xf>
    <xf numFmtId="0" fontId="12" fillId="0" borderId="243" xfId="6" applyFont="1" applyBorder="1" applyAlignment="1">
      <alignment horizontal="center" vertical="center"/>
    </xf>
    <xf numFmtId="0" fontId="12" fillId="0" borderId="319" xfId="6" applyFont="1" applyBorder="1" applyAlignment="1">
      <alignment horizontal="center" vertical="center"/>
    </xf>
    <xf numFmtId="0" fontId="12" fillId="0" borderId="234" xfId="6" applyFont="1" applyBorder="1" applyAlignment="1">
      <alignment horizontal="center" vertical="center"/>
    </xf>
    <xf numFmtId="3" fontId="222" fillId="0" borderId="317" xfId="6" applyNumberFormat="1" applyFont="1" applyBorder="1" applyAlignment="1">
      <alignment horizontal="left" vertical="center" indent="2"/>
    </xf>
    <xf numFmtId="0" fontId="166" fillId="0" borderId="316" xfId="6" applyBorder="1" applyAlignment="1">
      <alignment horizontal="left" vertical="center" indent="2"/>
    </xf>
    <xf numFmtId="0" fontId="166" fillId="43" borderId="316" xfId="6" applyFill="1" applyBorder="1" applyAlignment="1">
      <alignment horizontal="center" vertical="center"/>
    </xf>
    <xf numFmtId="0" fontId="166" fillId="43" borderId="318" xfId="6" applyFill="1" applyBorder="1" applyAlignment="1">
      <alignment horizontal="center" vertical="center"/>
    </xf>
    <xf numFmtId="0" fontId="166" fillId="43" borderId="234" xfId="6" applyFill="1" applyBorder="1" applyAlignment="1">
      <alignment horizontal="center" vertical="center"/>
    </xf>
    <xf numFmtId="0" fontId="166" fillId="43" borderId="320" xfId="6" applyFill="1" applyBorder="1" applyAlignment="1">
      <alignment horizontal="center" vertical="center"/>
    </xf>
    <xf numFmtId="0" fontId="166" fillId="0" borderId="234" xfId="6" applyBorder="1" applyAlignment="1">
      <alignment vertical="center"/>
    </xf>
    <xf numFmtId="0" fontId="206" fillId="43" borderId="375" xfId="6" applyFont="1" applyFill="1" applyBorder="1" applyAlignment="1">
      <alignment horizontal="center" vertical="center"/>
    </xf>
    <xf numFmtId="0" fontId="206" fillId="43" borderId="378" xfId="6" applyFont="1" applyFill="1" applyBorder="1" applyAlignment="1">
      <alignment horizontal="center" vertical="center"/>
    </xf>
    <xf numFmtId="0" fontId="206" fillId="43" borderId="354" xfId="6" applyFont="1" applyFill="1" applyBorder="1" applyAlignment="1">
      <alignment horizontal="center" vertical="center"/>
    </xf>
    <xf numFmtId="0" fontId="206" fillId="43" borderId="382" xfId="6" applyFont="1" applyFill="1" applyBorder="1" applyAlignment="1">
      <alignment horizontal="center" vertical="center"/>
    </xf>
    <xf numFmtId="0" fontId="206" fillId="43" borderId="358" xfId="6" applyFont="1" applyFill="1" applyBorder="1" applyAlignment="1">
      <alignment horizontal="center" vertical="center"/>
    </xf>
    <xf numFmtId="0" fontId="206" fillId="43" borderId="383" xfId="6" applyFont="1" applyFill="1" applyBorder="1" applyAlignment="1">
      <alignment horizontal="center" vertical="center"/>
    </xf>
    <xf numFmtId="0" fontId="215" fillId="0" borderId="366" xfId="6" applyFont="1" applyBorder="1" applyAlignment="1">
      <alignment horizontal="left" vertical="center" indent="1"/>
    </xf>
    <xf numFmtId="0" fontId="215" fillId="0" borderId="367" xfId="6" applyFont="1" applyBorder="1" applyAlignment="1">
      <alignment horizontal="left" vertical="center" indent="1"/>
    </xf>
    <xf numFmtId="0" fontId="215" fillId="0" borderId="368" xfId="6" applyFont="1" applyBorder="1" applyAlignment="1">
      <alignment horizontal="left" vertical="center" indent="1"/>
    </xf>
    <xf numFmtId="0" fontId="229" fillId="17" borderId="402" xfId="13" applyFont="1" applyFill="1" applyBorder="1" applyAlignment="1">
      <alignment horizontal="center" wrapText="1"/>
    </xf>
    <xf numFmtId="0" fontId="12" fillId="0" borderId="403" xfId="13" applyFont="1" applyBorder="1"/>
    <xf numFmtId="0" fontId="224" fillId="10" borderId="289" xfId="13" applyFont="1" applyFill="1" applyBorder="1" applyAlignment="1">
      <alignment horizontal="center" vertical="center" wrapText="1"/>
    </xf>
    <xf numFmtId="0" fontId="12" fillId="0" borderId="290" xfId="13" applyFont="1" applyBorder="1" applyAlignment="1">
      <alignment vertical="center"/>
    </xf>
    <xf numFmtId="0" fontId="12" fillId="0" borderId="291" xfId="13" applyFont="1" applyBorder="1" applyAlignment="1">
      <alignment vertical="center"/>
    </xf>
    <xf numFmtId="0" fontId="227" fillId="0" borderId="386" xfId="13" applyFont="1" applyBorder="1" applyAlignment="1">
      <alignment horizontal="center" vertical="center" wrapText="1" readingOrder="1"/>
    </xf>
    <xf numFmtId="0" fontId="12" fillId="0" borderId="53" xfId="13" applyFont="1" applyBorder="1"/>
    <xf numFmtId="0" fontId="12" fillId="0" borderId="387" xfId="13" applyFont="1" applyBorder="1"/>
    <xf numFmtId="0" fontId="226" fillId="0" borderId="386" xfId="13" applyFont="1" applyBorder="1" applyAlignment="1">
      <alignment horizontal="center" vertical="center" wrapText="1"/>
    </xf>
    <xf numFmtId="0" fontId="226" fillId="0" borderId="388" xfId="13" applyFont="1" applyBorder="1" applyAlignment="1">
      <alignment horizontal="center" vertical="center"/>
    </xf>
    <xf numFmtId="0" fontId="12" fillId="0" borderId="392" xfId="13" applyFont="1" applyBorder="1"/>
    <xf numFmtId="0" fontId="226" fillId="0" borderId="389" xfId="13" applyFont="1" applyBorder="1" applyAlignment="1">
      <alignment horizontal="center" vertical="center" wrapText="1"/>
    </xf>
    <xf numFmtId="0" fontId="226" fillId="0" borderId="393" xfId="13" applyFont="1" applyBorder="1" applyAlignment="1">
      <alignment horizontal="center" vertical="center" wrapText="1"/>
    </xf>
    <xf numFmtId="0" fontId="226" fillId="0" borderId="390" xfId="13" applyFont="1" applyBorder="1" applyAlignment="1">
      <alignment horizontal="center" vertical="center"/>
    </xf>
    <xf numFmtId="0" fontId="226" fillId="0" borderId="391" xfId="13" applyFont="1" applyBorder="1" applyAlignment="1">
      <alignment horizontal="center" vertical="center"/>
    </xf>
    <xf numFmtId="170" fontId="24" fillId="0" borderId="143" xfId="24" applyNumberFormat="1" applyFont="1" applyBorder="1" applyAlignment="1">
      <alignment horizontal="center" vertical="center" wrapText="1"/>
    </xf>
    <xf numFmtId="0" fontId="12" fillId="0" borderId="137" xfId="24" applyFont="1" applyBorder="1"/>
    <xf numFmtId="172" fontId="25" fillId="0" borderId="144" xfId="24" applyNumberFormat="1" applyFont="1" applyBorder="1" applyAlignment="1">
      <alignment horizontal="left" vertical="center" wrapText="1"/>
    </xf>
    <xf numFmtId="0" fontId="12" fillId="0" borderId="138" xfId="24" applyFont="1" applyBorder="1"/>
    <xf numFmtId="165" fontId="25" fillId="0" borderId="144" xfId="24" applyNumberFormat="1" applyFont="1" applyBorder="1" applyAlignment="1">
      <alignment horizontal="left" vertical="center" wrapText="1"/>
    </xf>
    <xf numFmtId="10" fontId="25" fillId="0" borderId="145" xfId="24" applyNumberFormat="1" applyFont="1" applyBorder="1" applyAlignment="1">
      <alignment horizontal="center" vertical="center"/>
    </xf>
    <xf numFmtId="0" fontId="12" fillId="0" borderId="139" xfId="24" applyFont="1" applyBorder="1"/>
    <xf numFmtId="170" fontId="24" fillId="0" borderId="150" xfId="24" applyNumberFormat="1" applyFont="1" applyBorder="1" applyAlignment="1">
      <alignment horizontal="center" vertical="center" wrapText="1"/>
    </xf>
    <xf numFmtId="0" fontId="25" fillId="10" borderId="64" xfId="24" applyFont="1" applyFill="1" applyBorder="1" applyAlignment="1">
      <alignment horizontal="left" wrapText="1"/>
    </xf>
    <xf numFmtId="0" fontId="12" fillId="0" borderId="65" xfId="24" applyFont="1" applyBorder="1"/>
    <xf numFmtId="0" fontId="12" fillId="0" borderId="68" xfId="24" applyFont="1" applyBorder="1"/>
    <xf numFmtId="0" fontId="25" fillId="10" borderId="112" xfId="24" applyFont="1" applyFill="1" applyBorder="1" applyAlignment="1">
      <alignment horizontal="left" wrapText="1"/>
    </xf>
    <xf numFmtId="0" fontId="12" fillId="0" borderId="108" xfId="24" applyFont="1" applyBorder="1"/>
    <xf numFmtId="0" fontId="12" fillId="0" borderId="113" xfId="24" applyFont="1" applyBorder="1"/>
    <xf numFmtId="0" fontId="80" fillId="19" borderId="17" xfId="24" applyFont="1" applyFill="1" applyBorder="1" applyAlignment="1">
      <alignment horizontal="center" vertical="center" wrapText="1"/>
    </xf>
    <xf numFmtId="0" fontId="12" fillId="0" borderId="18" xfId="24" applyFont="1" applyBorder="1"/>
    <xf numFmtId="0" fontId="12" fillId="0" borderId="19" xfId="24" applyFont="1" applyBorder="1"/>
    <xf numFmtId="10" fontId="25" fillId="9" borderId="140" xfId="24" applyNumberFormat="1" applyFont="1" applyFill="1" applyBorder="1" applyAlignment="1">
      <alignment horizontal="center" vertical="center"/>
    </xf>
    <xf numFmtId="0" fontId="12" fillId="0" borderId="141" xfId="24" applyFont="1" applyBorder="1"/>
    <xf numFmtId="0" fontId="12" fillId="0" borderId="142" xfId="24" applyFont="1" applyBorder="1"/>
    <xf numFmtId="10" fontId="25" fillId="9" borderId="154" xfId="24" applyNumberFormat="1" applyFont="1" applyFill="1" applyBorder="1" applyAlignment="1">
      <alignment horizontal="center" vertical="center"/>
    </xf>
    <xf numFmtId="0" fontId="12" fillId="0" borderId="155" xfId="24" applyFont="1" applyBorder="1" applyAlignment="1">
      <alignment horizontal="center" vertical="center"/>
    </xf>
    <xf numFmtId="0" fontId="12" fillId="0" borderId="156" xfId="24" applyFont="1" applyBorder="1" applyAlignment="1">
      <alignment horizontal="center" vertical="center"/>
    </xf>
    <xf numFmtId="171" fontId="25" fillId="0" borderId="157" xfId="24" applyNumberFormat="1" applyFont="1" applyBorder="1" applyAlignment="1">
      <alignment horizontal="left" vertical="center" wrapText="1"/>
    </xf>
    <xf numFmtId="165" fontId="25" fillId="0" borderId="157" xfId="24" applyNumberFormat="1" applyFont="1" applyBorder="1" applyAlignment="1">
      <alignment horizontal="center" vertical="center" wrapText="1"/>
    </xf>
    <xf numFmtId="10" fontId="25" fillId="0" borderId="158" xfId="24" applyNumberFormat="1" applyFont="1" applyBorder="1" applyAlignment="1">
      <alignment horizontal="center" vertical="center"/>
    </xf>
    <xf numFmtId="10" fontId="25" fillId="9" borderId="195" xfId="24" applyNumberFormat="1" applyFont="1" applyFill="1" applyBorder="1" applyAlignment="1">
      <alignment horizontal="center" vertical="center"/>
    </xf>
    <xf numFmtId="0" fontId="12" fillId="0" borderId="198" xfId="24" applyFont="1" applyBorder="1"/>
    <xf numFmtId="0" fontId="12" fillId="0" borderId="197" xfId="24" applyFont="1" applyBorder="1"/>
    <xf numFmtId="0" fontId="24" fillId="0" borderId="59" xfId="24" applyFont="1" applyBorder="1" applyAlignment="1">
      <alignment horizontal="right"/>
    </xf>
    <xf numFmtId="0" fontId="12" fillId="0" borderId="56" xfId="24" applyFont="1" applyBorder="1"/>
    <xf numFmtId="0" fontId="12" fillId="0" borderId="94" xfId="24" applyFont="1" applyBorder="1"/>
    <xf numFmtId="10" fontId="24" fillId="25" borderId="58" xfId="24" applyNumberFormat="1" applyFont="1" applyFill="1" applyBorder="1" applyAlignment="1">
      <alignment horizontal="right" vertical="center"/>
    </xf>
    <xf numFmtId="0" fontId="12" fillId="0" borderId="2" xfId="24" applyFont="1" applyBorder="1"/>
    <xf numFmtId="0" fontId="12" fillId="0" borderId="8" xfId="24" applyFont="1" applyBorder="1"/>
    <xf numFmtId="0" fontId="24" fillId="0" borderId="172" xfId="24" applyFont="1" applyBorder="1" applyAlignment="1">
      <alignment horizontal="right" wrapText="1"/>
    </xf>
    <xf numFmtId="0" fontId="12" fillId="0" borderId="173" xfId="24" applyFont="1" applyBorder="1"/>
    <xf numFmtId="0" fontId="12" fillId="0" borderId="89" xfId="24" applyFont="1" applyBorder="1"/>
    <xf numFmtId="10" fontId="24" fillId="54" borderId="58" xfId="24" applyNumberFormat="1" applyFont="1" applyFill="1" applyBorder="1" applyAlignment="1">
      <alignment horizontal="right" vertical="center"/>
    </xf>
    <xf numFmtId="0" fontId="12" fillId="43" borderId="2" xfId="24" applyFont="1" applyFill="1" applyBorder="1"/>
    <xf numFmtId="0" fontId="12" fillId="43" borderId="8" xfId="24" applyFont="1" applyFill="1" applyBorder="1"/>
    <xf numFmtId="0" fontId="42" fillId="2" borderId="370" xfId="24" applyFont="1" applyFill="1" applyBorder="1" applyAlignment="1">
      <alignment horizontal="center" vertical="center"/>
    </xf>
    <xf numFmtId="0" fontId="215" fillId="0" borderId="193" xfId="8" applyFont="1" applyAlignment="1">
      <alignment horizontal="center" vertical="center"/>
    </xf>
    <xf numFmtId="0" fontId="215" fillId="0" borderId="330" xfId="8" applyFont="1" applyBorder="1" applyAlignment="1">
      <alignment horizontal="center" vertical="center"/>
    </xf>
    <xf numFmtId="0" fontId="215" fillId="0" borderId="193" xfId="8" applyFont="1" applyAlignment="1">
      <alignment horizontal="center" vertical="top"/>
    </xf>
    <xf numFmtId="0" fontId="215" fillId="0" borderId="330" xfId="8" applyFont="1" applyBorder="1" applyAlignment="1">
      <alignment horizontal="center" vertical="top"/>
    </xf>
    <xf numFmtId="0" fontId="215" fillId="0" borderId="234" xfId="6" applyFont="1" applyBorder="1" applyAlignment="1">
      <alignment horizontal="center" vertical="center"/>
    </xf>
    <xf numFmtId="0" fontId="166" fillId="0" borderId="193" xfId="8" applyAlignment="1">
      <alignment horizontal="center" vertical="center"/>
    </xf>
    <xf numFmtId="0" fontId="166" fillId="0" borderId="302" xfId="8" applyBorder="1" applyAlignment="1">
      <alignment horizontal="center" vertical="center"/>
    </xf>
    <xf numFmtId="0" fontId="166" fillId="0" borderId="239" xfId="8" applyBorder="1" applyAlignment="1">
      <alignment horizontal="center" vertical="center"/>
    </xf>
    <xf numFmtId="0" fontId="166" fillId="0" borderId="240" xfId="8" applyBorder="1" applyAlignment="1">
      <alignment horizontal="center" vertical="center"/>
    </xf>
    <xf numFmtId="0" fontId="166" fillId="0" borderId="243" xfId="8" applyBorder="1" applyAlignment="1">
      <alignment horizontal="center" vertical="center"/>
    </xf>
    <xf numFmtId="0" fontId="166" fillId="0" borderId="242" xfId="8" applyBorder="1" applyAlignment="1">
      <alignment horizontal="center" vertical="center"/>
    </xf>
    <xf numFmtId="0" fontId="231" fillId="0" borderId="302" xfId="8" applyFont="1" applyBorder="1" applyAlignment="1">
      <alignment horizontal="center" vertical="center" readingOrder="2"/>
    </xf>
    <xf numFmtId="0" fontId="231" fillId="0" borderId="239" xfId="8" applyFont="1" applyBorder="1" applyAlignment="1">
      <alignment horizontal="center" vertical="center" readingOrder="2"/>
    </xf>
    <xf numFmtId="0" fontId="231" fillId="0" borderId="243" xfId="8" applyFont="1" applyBorder="1" applyAlignment="1">
      <alignment horizontal="center" vertical="center" readingOrder="2"/>
    </xf>
    <xf numFmtId="0" fontId="231" fillId="0" borderId="193" xfId="8" applyFont="1" applyAlignment="1">
      <alignment horizontal="center" vertical="center" readingOrder="2"/>
    </xf>
    <xf numFmtId="0" fontId="232" fillId="0" borderId="406" xfId="8" applyFont="1" applyBorder="1" applyAlignment="1">
      <alignment horizontal="center" vertical="center" readingOrder="2"/>
    </xf>
    <xf numFmtId="0" fontId="232" fillId="0" borderId="355" xfId="8" applyFont="1" applyBorder="1" applyAlignment="1">
      <alignment horizontal="center" vertical="center" readingOrder="2"/>
    </xf>
    <xf numFmtId="0" fontId="232" fillId="0" borderId="407" xfId="8" applyFont="1" applyBorder="1" applyAlignment="1">
      <alignment horizontal="center" vertical="center" readingOrder="2"/>
    </xf>
    <xf numFmtId="49" fontId="233" fillId="0" borderId="408" xfId="8" applyNumberFormat="1" applyFont="1" applyBorder="1" applyAlignment="1">
      <alignment horizontal="center" vertical="center" readingOrder="2"/>
    </xf>
    <xf numFmtId="49" fontId="233" fillId="0" borderId="367" xfId="8" applyNumberFormat="1" applyFont="1" applyBorder="1" applyAlignment="1">
      <alignment horizontal="center" vertical="center" readingOrder="2"/>
    </xf>
    <xf numFmtId="49" fontId="233" fillId="0" borderId="409" xfId="8" applyNumberFormat="1" applyFont="1" applyBorder="1" applyAlignment="1">
      <alignment horizontal="center" vertical="center" readingOrder="2"/>
    </xf>
    <xf numFmtId="49" fontId="233" fillId="0" borderId="410" xfId="8" applyNumberFormat="1" applyFont="1" applyBorder="1" applyAlignment="1">
      <alignment horizontal="center" vertical="center" readingOrder="2"/>
    </xf>
    <xf numFmtId="49" fontId="233" fillId="0" borderId="411" xfId="8" applyNumberFormat="1" applyFont="1" applyBorder="1" applyAlignment="1">
      <alignment horizontal="center" vertical="center" readingOrder="2"/>
    </xf>
    <xf numFmtId="49" fontId="233" fillId="0" borderId="412" xfId="8" applyNumberFormat="1" applyFont="1" applyBorder="1" applyAlignment="1">
      <alignment horizontal="center" vertical="center" readingOrder="2"/>
    </xf>
    <xf numFmtId="0" fontId="126" fillId="0" borderId="243" xfId="8" applyFont="1" applyBorder="1" applyAlignment="1">
      <alignment horizontal="center" vertical="center" readingOrder="2"/>
    </xf>
    <xf numFmtId="0" fontId="126" fillId="0" borderId="193" xfId="8" applyFont="1" applyAlignment="1">
      <alignment horizontal="center" vertical="center" readingOrder="2"/>
    </xf>
    <xf numFmtId="0" fontId="215" fillId="0" borderId="413" xfId="8" applyFont="1" applyBorder="1" applyAlignment="1">
      <alignment horizontal="center" vertical="center" wrapText="1"/>
    </xf>
    <xf numFmtId="0" fontId="215" fillId="0" borderId="414" xfId="8" applyFont="1" applyBorder="1" applyAlignment="1">
      <alignment horizontal="center" vertical="center" wrapText="1"/>
    </xf>
    <xf numFmtId="0" fontId="215" fillId="0" borderId="366" xfId="8" applyFont="1" applyBorder="1" applyAlignment="1">
      <alignment horizontal="center" vertical="center" wrapText="1"/>
    </xf>
    <xf numFmtId="0" fontId="215" fillId="0" borderId="368" xfId="8" applyFont="1" applyBorder="1" applyAlignment="1">
      <alignment horizontal="center" vertical="center" wrapText="1"/>
    </xf>
    <xf numFmtId="0" fontId="216" fillId="0" borderId="304" xfId="8" applyFont="1" applyBorder="1" applyAlignment="1">
      <alignment vertical="top" wrapText="1"/>
    </xf>
    <xf numFmtId="0" fontId="216" fillId="0" borderId="239" xfId="8" applyFont="1" applyBorder="1" applyAlignment="1">
      <alignment vertical="top" wrapText="1"/>
    </xf>
    <xf numFmtId="0" fontId="216" fillId="0" borderId="240" xfId="8" applyFont="1" applyBorder="1" applyAlignment="1">
      <alignment vertical="top" wrapText="1"/>
    </xf>
    <xf numFmtId="0" fontId="216" fillId="0" borderId="364" xfId="8" applyFont="1" applyBorder="1" applyAlignment="1">
      <alignment vertical="top" wrapText="1"/>
    </xf>
    <xf numFmtId="0" fontId="216" fillId="0" borderId="234" xfId="8" applyFont="1" applyBorder="1" applyAlignment="1">
      <alignment vertical="top" wrapText="1"/>
    </xf>
    <xf numFmtId="0" fontId="216" fillId="0" borderId="320" xfId="8" applyFont="1" applyBorder="1" applyAlignment="1">
      <alignment vertical="top" wrapText="1"/>
    </xf>
    <xf numFmtId="0" fontId="177" fillId="0" borderId="415" xfId="8" applyFont="1" applyBorder="1" applyAlignment="1">
      <alignment horizontal="center" vertical="center"/>
    </xf>
    <xf numFmtId="0" fontId="177" fillId="0" borderId="419" xfId="8" applyFont="1" applyBorder="1" applyAlignment="1">
      <alignment horizontal="center" vertical="center"/>
    </xf>
    <xf numFmtId="0" fontId="215" fillId="0" borderId="416" xfId="8" applyFont="1" applyBorder="1" applyAlignment="1">
      <alignment horizontal="left" vertical="center"/>
    </xf>
    <xf numFmtId="0" fontId="215" fillId="0" borderId="420" xfId="8" applyFont="1" applyBorder="1" applyAlignment="1">
      <alignment horizontal="left" vertical="center"/>
    </xf>
    <xf numFmtId="0" fontId="199" fillId="0" borderId="417" xfId="8" applyFont="1" applyBorder="1" applyAlignment="1">
      <alignment horizontal="center" vertical="center" wrapText="1"/>
    </xf>
    <xf numFmtId="0" fontId="199" fillId="0" borderId="418" xfId="8" applyFont="1" applyBorder="1" applyAlignment="1">
      <alignment horizontal="center" vertical="center" wrapText="1"/>
    </xf>
    <xf numFmtId="0" fontId="199" fillId="0" borderId="234" xfId="8" applyFont="1" applyBorder="1" applyAlignment="1">
      <alignment horizontal="center" vertical="center" wrapText="1"/>
    </xf>
    <xf numFmtId="0" fontId="199" fillId="0" borderId="320" xfId="8" applyFont="1" applyBorder="1" applyAlignment="1">
      <alignment horizontal="center" vertical="center" wrapText="1"/>
    </xf>
    <xf numFmtId="0" fontId="199" fillId="0" borderId="369" xfId="8" applyFont="1" applyBorder="1" applyAlignment="1">
      <alignment horizontal="center" vertical="center" wrapText="1"/>
    </xf>
    <xf numFmtId="0" fontId="199" fillId="0" borderId="367" xfId="8" applyFont="1" applyBorder="1" applyAlignment="1">
      <alignment horizontal="center" vertical="center" wrapText="1"/>
    </xf>
    <xf numFmtId="0" fontId="199" fillId="0" borderId="371" xfId="8" applyFont="1" applyBorder="1" applyAlignment="1">
      <alignment horizontal="center" vertical="center" wrapText="1"/>
    </xf>
    <xf numFmtId="0" fontId="215" fillId="0" borderId="422" xfId="8" applyFont="1" applyBorder="1" applyAlignment="1">
      <alignment horizontal="center" vertical="center" wrapText="1"/>
    </xf>
    <xf numFmtId="0" fontId="215" fillId="0" borderId="423" xfId="8" applyFont="1" applyBorder="1" applyAlignment="1">
      <alignment horizontal="center" vertical="center" wrapText="1"/>
    </xf>
    <xf numFmtId="0" fontId="216" fillId="0" borderId="325" xfId="8" applyFont="1" applyBorder="1" applyAlignment="1">
      <alignment horizontal="left" vertical="center" wrapText="1" indent="1"/>
    </xf>
    <xf numFmtId="0" fontId="216" fillId="0" borderId="316" xfId="8" applyFont="1" applyBorder="1" applyAlignment="1">
      <alignment horizontal="left" vertical="center" wrapText="1" indent="1"/>
    </xf>
    <xf numFmtId="0" fontId="216" fillId="0" borderId="318" xfId="8" applyFont="1" applyBorder="1" applyAlignment="1">
      <alignment horizontal="left" vertical="center" wrapText="1" indent="1"/>
    </xf>
    <xf numFmtId="0" fontId="216" fillId="0" borderId="307" xfId="8" applyFont="1" applyBorder="1" applyAlignment="1">
      <alignment horizontal="left" vertical="center" wrapText="1" indent="1"/>
    </xf>
    <xf numFmtId="0" fontId="216" fillId="0" borderId="254" xfId="8" applyFont="1" applyBorder="1" applyAlignment="1">
      <alignment horizontal="left" vertical="center" wrapText="1" indent="1"/>
    </xf>
    <xf numFmtId="0" fontId="216" fillId="0" borderId="258" xfId="8" applyFont="1" applyBorder="1" applyAlignment="1">
      <alignment horizontal="left" vertical="center" wrapText="1" indent="1"/>
    </xf>
    <xf numFmtId="194" fontId="199" fillId="0" borderId="369" xfId="8" applyNumberFormat="1" applyFont="1" applyBorder="1" applyAlignment="1">
      <alignment horizontal="center" vertical="center" wrapText="1"/>
    </xf>
    <xf numFmtId="194" fontId="199" fillId="0" borderId="367" xfId="8" applyNumberFormat="1" applyFont="1" applyBorder="1" applyAlignment="1">
      <alignment horizontal="center" vertical="center" wrapText="1"/>
    </xf>
    <xf numFmtId="194" fontId="199" fillId="0" borderId="371" xfId="8" applyNumberFormat="1" applyFont="1" applyBorder="1" applyAlignment="1">
      <alignment horizontal="center" vertical="center" wrapText="1"/>
    </xf>
    <xf numFmtId="0" fontId="199" fillId="0" borderId="284" xfId="8" applyFont="1" applyBorder="1" applyAlignment="1">
      <alignment horizontal="center" vertical="center"/>
    </xf>
    <xf numFmtId="0" fontId="199" fillId="0" borderId="424" xfId="8" applyFont="1" applyBorder="1" applyAlignment="1">
      <alignment horizontal="center" vertical="center"/>
    </xf>
    <xf numFmtId="0" fontId="199" fillId="0" borderId="425" xfId="8" applyFont="1" applyBorder="1" applyAlignment="1">
      <alignment horizontal="center" vertical="center"/>
    </xf>
    <xf numFmtId="0" fontId="199" fillId="0" borderId="325" xfId="8" applyFont="1" applyBorder="1" applyAlignment="1" applyProtection="1">
      <alignment horizontal="center" vertical="center"/>
      <protection locked="0"/>
    </xf>
    <xf numFmtId="0" fontId="199" fillId="0" borderId="324" xfId="8" applyFont="1" applyBorder="1" applyAlignment="1" applyProtection="1">
      <alignment horizontal="center" vertical="center"/>
      <protection locked="0"/>
    </xf>
    <xf numFmtId="0" fontId="199" fillId="0" borderId="364" xfId="8" applyFont="1" applyBorder="1" applyAlignment="1" applyProtection="1">
      <alignment horizontal="center" vertical="center"/>
      <protection locked="0"/>
    </xf>
    <xf numFmtId="0" fontId="199" fillId="0" borderId="363" xfId="8" applyFont="1" applyBorder="1" applyAlignment="1" applyProtection="1">
      <alignment horizontal="center" vertical="center"/>
      <protection locked="0"/>
    </xf>
    <xf numFmtId="0" fontId="199" fillId="0" borderId="325" xfId="8" applyFont="1" applyBorder="1" applyAlignment="1" applyProtection="1">
      <alignment horizontal="center" vertical="center" wrapText="1"/>
      <protection locked="0"/>
    </xf>
    <xf numFmtId="0" fontId="199" fillId="0" borderId="316" xfId="8" applyFont="1" applyBorder="1" applyAlignment="1" applyProtection="1">
      <alignment horizontal="center" vertical="center" wrapText="1"/>
      <protection locked="0"/>
    </xf>
    <xf numFmtId="0" fontId="199" fillId="0" borderId="324" xfId="8" applyFont="1" applyBorder="1" applyAlignment="1" applyProtection="1">
      <alignment horizontal="center" vertical="center" wrapText="1"/>
      <protection locked="0"/>
    </xf>
    <xf numFmtId="0" fontId="199" fillId="0" borderId="364" xfId="8" applyFont="1" applyBorder="1" applyAlignment="1" applyProtection="1">
      <alignment horizontal="center" vertical="center" wrapText="1"/>
      <protection locked="0"/>
    </xf>
    <xf numFmtId="0" fontId="199" fillId="0" borderId="234" xfId="8" applyFont="1" applyBorder="1" applyAlignment="1" applyProtection="1">
      <alignment horizontal="center" vertical="center" wrapText="1"/>
      <protection locked="0"/>
    </xf>
    <xf numFmtId="0" fontId="199" fillId="0" borderId="363" xfId="8" applyFont="1" applyBorder="1" applyAlignment="1" applyProtection="1">
      <alignment horizontal="center" vertical="center" wrapText="1"/>
      <protection locked="0"/>
    </xf>
    <xf numFmtId="0" fontId="177" fillId="0" borderId="367" xfId="8" applyFont="1" applyBorder="1" applyAlignment="1">
      <alignment horizontal="center" vertical="center"/>
    </xf>
    <xf numFmtId="0" fontId="12" fillId="0" borderId="367" xfId="8" applyFont="1" applyBorder="1" applyAlignment="1">
      <alignment horizontal="center" vertical="center"/>
    </xf>
    <xf numFmtId="0" fontId="234" fillId="51" borderId="366" xfId="8" applyFont="1" applyFill="1" applyBorder="1" applyAlignment="1">
      <alignment horizontal="center" vertical="center"/>
    </xf>
    <xf numFmtId="0" fontId="234" fillId="51" borderId="367" xfId="8" applyFont="1" applyFill="1" applyBorder="1" applyAlignment="1">
      <alignment horizontal="center" vertical="center"/>
    </xf>
    <xf numFmtId="0" fontId="234" fillId="51" borderId="371" xfId="8" applyFont="1" applyFill="1" applyBorder="1" applyAlignment="1">
      <alignment horizontal="center" vertical="center"/>
    </xf>
    <xf numFmtId="0" fontId="166" fillId="0" borderId="369" xfId="8" applyBorder="1" applyAlignment="1">
      <alignment horizontal="center" vertical="center"/>
    </xf>
    <xf numFmtId="0" fontId="166" fillId="0" borderId="367" xfId="8" applyBorder="1" applyAlignment="1">
      <alignment horizontal="center" vertical="center"/>
    </xf>
    <xf numFmtId="0" fontId="166" fillId="0" borderId="368" xfId="8" applyBorder="1" applyAlignment="1">
      <alignment horizontal="center" vertical="center"/>
    </xf>
    <xf numFmtId="0" fontId="180" fillId="0" borderId="369" xfId="8" applyFont="1" applyBorder="1" applyAlignment="1">
      <alignment horizontal="center" vertical="center"/>
    </xf>
    <xf numFmtId="0" fontId="180" fillId="0" borderId="368" xfId="8" applyFont="1" applyBorder="1" applyAlignment="1">
      <alignment horizontal="center" vertical="center"/>
    </xf>
    <xf numFmtId="0" fontId="180" fillId="0" borderId="367" xfId="8" applyFont="1" applyBorder="1" applyAlignment="1">
      <alignment horizontal="center" vertical="center"/>
    </xf>
    <xf numFmtId="0" fontId="177" fillId="0" borderId="316" xfId="8" applyFont="1" applyBorder="1" applyAlignment="1">
      <alignment horizontal="center" vertical="center"/>
    </xf>
    <xf numFmtId="0" fontId="12" fillId="0" borderId="316" xfId="8" applyFont="1" applyBorder="1" applyAlignment="1">
      <alignment horizontal="center" vertical="center"/>
    </xf>
    <xf numFmtId="0" fontId="166" fillId="0" borderId="325" xfId="8" applyBorder="1" applyAlignment="1">
      <alignment horizontal="center" vertical="center"/>
    </xf>
    <xf numFmtId="0" fontId="166" fillId="0" borderId="316" xfId="8" applyBorder="1" applyAlignment="1">
      <alignment horizontal="center" vertical="center"/>
    </xf>
    <xf numFmtId="0" fontId="166" fillId="0" borderId="324" xfId="8" applyBorder="1" applyAlignment="1">
      <alignment horizontal="center" vertical="center"/>
    </xf>
    <xf numFmtId="0" fontId="166" fillId="0" borderId="331" xfId="8" applyBorder="1" applyAlignment="1">
      <alignment horizontal="center" vertical="center"/>
    </xf>
    <xf numFmtId="0" fontId="166" fillId="0" borderId="330" xfId="8" applyBorder="1" applyAlignment="1">
      <alignment horizontal="center" vertical="center"/>
    </xf>
    <xf numFmtId="0" fontId="166" fillId="0" borderId="364" xfId="8" applyBorder="1" applyAlignment="1">
      <alignment horizontal="center" vertical="center"/>
    </xf>
    <xf numFmtId="0" fontId="166" fillId="0" borderId="234" xfId="8" applyBorder="1" applyAlignment="1">
      <alignment horizontal="center" vertical="center"/>
    </xf>
    <xf numFmtId="0" fontId="166" fillId="0" borderId="363" xfId="8" applyBorder="1" applyAlignment="1">
      <alignment horizontal="center" vertical="center"/>
    </xf>
    <xf numFmtId="0" fontId="180" fillId="0" borderId="364" xfId="8" applyFont="1" applyBorder="1" applyAlignment="1">
      <alignment horizontal="center" vertical="center"/>
    </xf>
    <xf numFmtId="0" fontId="180" fillId="0" borderId="363" xfId="8" applyFont="1" applyBorder="1" applyAlignment="1">
      <alignment horizontal="center" vertical="center"/>
    </xf>
    <xf numFmtId="0" fontId="180" fillId="0" borderId="234" xfId="8" applyFont="1" applyBorder="1" applyAlignment="1">
      <alignment horizontal="center" vertical="center"/>
    </xf>
    <xf numFmtId="0" fontId="51" fillId="2" borderId="60" xfId="0" applyFont="1" applyFill="1" applyBorder="1" applyAlignment="1">
      <alignment horizontal="center" wrapText="1"/>
    </xf>
    <xf numFmtId="0" fontId="52" fillId="15" borderId="20" xfId="0" applyFont="1" applyFill="1" applyBorder="1" applyAlignment="1">
      <alignment horizontal="center" vertical="center" wrapText="1"/>
    </xf>
    <xf numFmtId="170" fontId="26" fillId="3" borderId="97" xfId="0" applyNumberFormat="1" applyFont="1" applyFill="1" applyBorder="1" applyAlignment="1">
      <alignment horizontal="center"/>
    </xf>
    <xf numFmtId="0" fontId="12" fillId="0" borderId="99" xfId="0" applyFont="1" applyBorder="1"/>
    <xf numFmtId="171" fontId="26" fillId="3" borderId="98" xfId="0" applyNumberFormat="1" applyFont="1" applyFill="1" applyBorder="1" applyAlignment="1">
      <alignment horizontal="center" wrapText="1"/>
    </xf>
    <xf numFmtId="0" fontId="12" fillId="0" borderId="100" xfId="0" applyFont="1" applyBorder="1"/>
    <xf numFmtId="168" fontId="26" fillId="3" borderId="64" xfId="0" applyNumberFormat="1" applyFont="1" applyFill="1" applyBorder="1" applyAlignment="1">
      <alignment horizontal="center"/>
    </xf>
    <xf numFmtId="0" fontId="12" fillId="0" borderId="68" xfId="0" applyFont="1" applyBorder="1"/>
    <xf numFmtId="0" fontId="55" fillId="0" borderId="108" xfId="0" applyFont="1" applyBorder="1"/>
    <xf numFmtId="0" fontId="9" fillId="0" borderId="71" xfId="0" applyFont="1" applyBorder="1" applyAlignment="1">
      <alignment horizontal="right"/>
    </xf>
    <xf numFmtId="4" fontId="9" fillId="0" borderId="71" xfId="0" applyNumberFormat="1" applyFont="1" applyBorder="1" applyAlignment="1">
      <alignment horizontal="center"/>
    </xf>
    <xf numFmtId="0" fontId="9" fillId="0" borderId="71" xfId="0" applyFont="1" applyBorder="1" applyAlignment="1">
      <alignment horizontal="center"/>
    </xf>
    <xf numFmtId="0" fontId="9" fillId="0" borderId="71" xfId="0" applyFont="1" applyBorder="1" applyAlignment="1">
      <alignment horizontal="right" wrapText="1"/>
    </xf>
    <xf numFmtId="0" fontId="9" fillId="0" borderId="71" xfId="0" applyFont="1" applyBorder="1" applyAlignment="1">
      <alignment horizontal="center" wrapText="1"/>
    </xf>
    <xf numFmtId="0" fontId="26" fillId="17" borderId="110" xfId="0" applyFont="1" applyFill="1" applyBorder="1" applyAlignment="1">
      <alignment horizontal="right" wrapText="1"/>
    </xf>
    <xf numFmtId="0" fontId="12" fillId="0" borderId="111" xfId="0" applyFont="1" applyBorder="1"/>
    <xf numFmtId="170" fontId="24" fillId="0" borderId="150" xfId="0" applyNumberFormat="1" applyFont="1" applyBorder="1" applyAlignment="1">
      <alignment horizontal="center" vertical="center" wrapText="1"/>
    </xf>
    <xf numFmtId="0" fontId="12" fillId="0" borderId="137" xfId="0" applyFont="1" applyBorder="1"/>
    <xf numFmtId="171" fontId="25" fillId="0" borderId="157" xfId="0" applyNumberFormat="1" applyFont="1" applyBorder="1" applyAlignment="1">
      <alignment horizontal="left" vertical="center" wrapText="1"/>
    </xf>
    <xf numFmtId="0" fontId="12" fillId="0" borderId="138" xfId="0" applyFont="1" applyBorder="1"/>
    <xf numFmtId="165" fontId="25" fillId="0" borderId="157" xfId="0" applyNumberFormat="1" applyFont="1" applyBorder="1" applyAlignment="1">
      <alignment horizontal="center" vertical="center" wrapText="1"/>
    </xf>
    <xf numFmtId="10" fontId="25" fillId="0" borderId="158" xfId="0" applyNumberFormat="1" applyFont="1" applyBorder="1" applyAlignment="1">
      <alignment horizontal="center" vertical="center"/>
    </xf>
    <xf numFmtId="0" fontId="12" fillId="0" borderId="139" xfId="0" applyFont="1" applyBorder="1"/>
    <xf numFmtId="0" fontId="24" fillId="0" borderId="59" xfId="0" applyFont="1" applyBorder="1" applyAlignment="1">
      <alignment horizontal="right"/>
    </xf>
    <xf numFmtId="0" fontId="12" fillId="0" borderId="94" xfId="0" applyFont="1" applyBorder="1"/>
    <xf numFmtId="10" fontId="24" fillId="25" borderId="58" xfId="0" applyNumberFormat="1" applyFont="1" applyFill="1" applyBorder="1" applyAlignment="1">
      <alignment horizontal="right" vertical="center"/>
    </xf>
    <xf numFmtId="0" fontId="24" fillId="0" borderId="172" xfId="0" applyFont="1" applyBorder="1" applyAlignment="1">
      <alignment horizontal="right" wrapText="1"/>
    </xf>
    <xf numFmtId="0" fontId="12" fillId="0" borderId="173" xfId="0" applyFont="1" applyBorder="1"/>
    <xf numFmtId="10" fontId="25" fillId="9" borderId="140" xfId="0" applyNumberFormat="1" applyFont="1" applyFill="1" applyBorder="1" applyAlignment="1">
      <alignment horizontal="center" vertical="center"/>
    </xf>
    <xf numFmtId="0" fontId="12" fillId="0" borderId="141" xfId="0" applyFont="1" applyBorder="1"/>
    <xf numFmtId="0" fontId="12" fillId="0" borderId="142" xfId="0" applyFont="1" applyBorder="1"/>
    <xf numFmtId="10" fontId="25" fillId="9" borderId="154" xfId="0" applyNumberFormat="1" applyFont="1" applyFill="1" applyBorder="1" applyAlignment="1">
      <alignment horizontal="center" vertical="center"/>
    </xf>
    <xf numFmtId="0" fontId="12" fillId="0" borderId="155" xfId="0" applyFont="1" applyBorder="1"/>
    <xf numFmtId="0" fontId="12" fillId="0" borderId="156" xfId="0" applyFont="1" applyBorder="1"/>
    <xf numFmtId="0" fontId="25" fillId="10" borderId="64" xfId="0" applyFont="1" applyFill="1" applyBorder="1" applyAlignment="1">
      <alignment horizontal="left" wrapText="1"/>
    </xf>
    <xf numFmtId="0" fontId="25" fillId="10" borderId="112" xfId="0" applyFont="1" applyFill="1" applyBorder="1" applyAlignment="1">
      <alignment horizontal="left" wrapText="1"/>
    </xf>
    <xf numFmtId="0" fontId="80" fillId="19" borderId="17" xfId="0" applyFont="1" applyFill="1" applyBorder="1" applyAlignment="1">
      <alignment horizontal="center" vertical="center" wrapText="1"/>
    </xf>
    <xf numFmtId="170" fontId="24" fillId="0" borderId="143" xfId="0" applyNumberFormat="1" applyFont="1" applyBorder="1" applyAlignment="1">
      <alignment horizontal="center" vertical="center" wrapText="1"/>
    </xf>
    <xf numFmtId="10" fontId="25" fillId="0" borderId="145" xfId="0" applyNumberFormat="1" applyFont="1" applyBorder="1" applyAlignment="1">
      <alignment horizontal="center" vertical="center"/>
    </xf>
    <xf numFmtId="172" fontId="25" fillId="0" borderId="144" xfId="0" applyNumberFormat="1" applyFont="1" applyBorder="1" applyAlignment="1">
      <alignment horizontal="left" vertical="center" wrapText="1"/>
    </xf>
    <xf numFmtId="165" fontId="25" fillId="0" borderId="144" xfId="0" applyNumberFormat="1" applyFont="1" applyBorder="1" applyAlignment="1">
      <alignment horizontal="left" vertical="center" wrapText="1"/>
    </xf>
    <xf numFmtId="10" fontId="25" fillId="9" borderId="168" xfId="0" applyNumberFormat="1" applyFont="1" applyFill="1" applyBorder="1" applyAlignment="1">
      <alignment horizontal="center" vertical="center"/>
    </xf>
    <xf numFmtId="0" fontId="12" fillId="0" borderId="169" xfId="0" applyFont="1" applyBorder="1"/>
    <xf numFmtId="0" fontId="12" fillId="0" borderId="170" xfId="0" applyFont="1" applyBorder="1"/>
    <xf numFmtId="0" fontId="24" fillId="10" borderId="236" xfId="0" applyFont="1" applyFill="1" applyBorder="1" applyAlignment="1">
      <alignment horizontal="left" wrapText="1"/>
    </xf>
    <xf numFmtId="0" fontId="158" fillId="0" borderId="237" xfId="0" applyFont="1" applyBorder="1"/>
    <xf numFmtId="0" fontId="158" fillId="0" borderId="238" xfId="0" applyFont="1" applyBorder="1"/>
    <xf numFmtId="0" fontId="24" fillId="10" borderId="112" xfId="0" applyFont="1" applyFill="1" applyBorder="1" applyAlignment="1">
      <alignment horizontal="left" wrapText="1"/>
    </xf>
    <xf numFmtId="0" fontId="158" fillId="0" borderId="108" xfId="0" applyFont="1" applyBorder="1"/>
    <xf numFmtId="0" fontId="158" fillId="0" borderId="113" xfId="0" applyFont="1" applyBorder="1"/>
    <xf numFmtId="1" fontId="81" fillId="0" borderId="243" xfId="0" applyNumberFormat="1" applyFont="1" applyBorder="1" applyAlignment="1">
      <alignment horizontal="center" wrapText="1"/>
    </xf>
    <xf numFmtId="0" fontId="0" fillId="0" borderId="193" xfId="0" applyBorder="1"/>
    <xf numFmtId="0" fontId="12" fillId="0" borderId="242" xfId="0" applyFont="1" applyBorder="1"/>
    <xf numFmtId="1" fontId="81" fillId="19" borderId="244" xfId="0" applyNumberFormat="1" applyFont="1" applyFill="1" applyBorder="1" applyAlignment="1">
      <alignment horizontal="center" wrapText="1"/>
    </xf>
    <xf numFmtId="0" fontId="160" fillId="2" borderId="48" xfId="0" applyFont="1" applyFill="1" applyBorder="1" applyAlignment="1">
      <alignment vertical="center" wrapText="1"/>
    </xf>
    <xf numFmtId="0" fontId="12" fillId="0" borderId="49" xfId="0" applyFont="1" applyBorder="1"/>
    <xf numFmtId="169" fontId="39" fillId="2" borderId="193" xfId="0" applyNumberFormat="1" applyFont="1" applyFill="1" applyBorder="1" applyAlignment="1">
      <alignment horizontal="center" vertical="center"/>
    </xf>
    <xf numFmtId="0" fontId="12" fillId="0" borderId="175" xfId="0" applyFont="1" applyBorder="1"/>
    <xf numFmtId="0" fontId="12" fillId="0" borderId="177" xfId="0" applyFont="1" applyBorder="1"/>
    <xf numFmtId="0" fontId="12" fillId="0" borderId="176" xfId="0" applyFont="1" applyBorder="1"/>
    <xf numFmtId="165" fontId="39" fillId="2" borderId="193" xfId="0" applyNumberFormat="1" applyFont="1" applyFill="1" applyBorder="1" applyAlignment="1">
      <alignment horizontal="center" vertical="center"/>
    </xf>
    <xf numFmtId="165" fontId="39" fillId="2" borderId="175" xfId="0" applyNumberFormat="1" applyFont="1" applyFill="1" applyBorder="1" applyAlignment="1">
      <alignment horizontal="center" vertical="center"/>
    </xf>
    <xf numFmtId="0" fontId="12" fillId="0" borderId="178" xfId="0" applyFont="1" applyBorder="1"/>
    <xf numFmtId="0" fontId="39" fillId="2" borderId="194" xfId="0" applyFont="1" applyFill="1" applyBorder="1" applyAlignment="1">
      <alignment horizontal="center" vertical="center"/>
    </xf>
    <xf numFmtId="0" fontId="12" fillId="0" borderId="194" xfId="0" applyFont="1" applyBorder="1"/>
    <xf numFmtId="0" fontId="12" fillId="0" borderId="197" xfId="0" applyFont="1" applyBorder="1"/>
    <xf numFmtId="1" fontId="39" fillId="2" borderId="246" xfId="0" applyNumberFormat="1" applyFont="1" applyFill="1" applyBorder="1" applyAlignment="1">
      <alignment horizontal="center" vertical="center" wrapText="1"/>
    </xf>
    <xf numFmtId="0" fontId="12" fillId="0" borderId="247" xfId="0" applyFont="1" applyBorder="1"/>
    <xf numFmtId="0" fontId="39" fillId="2" borderId="175" xfId="0" applyFont="1" applyFill="1" applyBorder="1" applyAlignment="1">
      <alignment vertical="center" wrapText="1"/>
    </xf>
    <xf numFmtId="0" fontId="39" fillId="2" borderId="194" xfId="0" applyFont="1" applyFill="1" applyBorder="1" applyAlignment="1">
      <alignment horizontal="center" vertical="center" wrapText="1"/>
    </xf>
    <xf numFmtId="1" fontId="24" fillId="0" borderId="177" xfId="0" applyNumberFormat="1" applyFont="1" applyBorder="1" applyAlignment="1">
      <alignment horizontal="right" vertical="center" wrapText="1"/>
    </xf>
    <xf numFmtId="0" fontId="159" fillId="0" borderId="177" xfId="0" applyFont="1" applyBorder="1"/>
    <xf numFmtId="0" fontId="159" fillId="0" borderId="187" xfId="0" applyFont="1" applyBorder="1"/>
    <xf numFmtId="1" fontId="24" fillId="0" borderId="254" xfId="0" applyNumberFormat="1" applyFont="1" applyBorder="1" applyAlignment="1">
      <alignment horizontal="right" vertical="center" wrapText="1"/>
    </xf>
    <xf numFmtId="0" fontId="159" fillId="0" borderId="254" xfId="0" applyFont="1" applyBorder="1"/>
    <xf numFmtId="0" fontId="159" fillId="0" borderId="255" xfId="0" applyFont="1" applyBorder="1"/>
    <xf numFmtId="0" fontId="10" fillId="0" borderId="20" xfId="0" applyFont="1" applyBorder="1" applyAlignment="1">
      <alignment horizontal="center" vertical="center" wrapText="1"/>
    </xf>
    <xf numFmtId="0" fontId="58" fillId="5" borderId="60" xfId="0" applyFont="1" applyFill="1" applyBorder="1" applyAlignment="1">
      <alignment horizontal="center" vertical="center" wrapText="1"/>
    </xf>
    <xf numFmtId="0" fontId="88" fillId="10" borderId="47" xfId="0" applyFont="1" applyFill="1" applyBorder="1" applyAlignment="1">
      <alignment horizontal="center" vertical="center" wrapText="1"/>
    </xf>
    <xf numFmtId="0" fontId="10" fillId="0" borderId="2" xfId="0" applyFont="1" applyBorder="1" applyAlignment="1">
      <alignment horizontal="left" vertical="center" wrapText="1" readingOrder="1"/>
    </xf>
    <xf numFmtId="0" fontId="26" fillId="10" borderId="59" xfId="0" applyFont="1" applyFill="1" applyBorder="1" applyAlignment="1">
      <alignment horizontal="right" wrapText="1"/>
    </xf>
    <xf numFmtId="167" fontId="42" fillId="3" borderId="55" xfId="0" applyNumberFormat="1" applyFont="1" applyFill="1" applyBorder="1" applyAlignment="1">
      <alignment horizontal="right"/>
    </xf>
    <xf numFmtId="0" fontId="70" fillId="0" borderId="58" xfId="0" applyFont="1" applyBorder="1"/>
    <xf numFmtId="185" fontId="24" fillId="10" borderId="195" xfId="0" applyNumberFormat="1" applyFont="1" applyFill="1" applyBorder="1" applyAlignment="1">
      <alignment horizontal="right" wrapText="1"/>
    </xf>
    <xf numFmtId="0" fontId="12" fillId="0" borderId="196" xfId="0" applyFont="1" applyBorder="1"/>
    <xf numFmtId="167" fontId="24" fillId="10" borderId="198" xfId="0" applyNumberFormat="1" applyFont="1" applyFill="1" applyBorder="1" applyAlignment="1">
      <alignment horizontal="right" wrapText="1"/>
    </xf>
    <xf numFmtId="0" fontId="32" fillId="0" borderId="50" xfId="0" applyFont="1" applyBorder="1" applyAlignment="1">
      <alignment horizontal="left" vertical="center" wrapText="1"/>
    </xf>
    <xf numFmtId="0" fontId="12" fillId="0" borderId="30" xfId="0" applyFont="1" applyBorder="1"/>
    <xf numFmtId="0" fontId="81" fillId="5" borderId="47" xfId="0" applyFont="1" applyFill="1" applyBorder="1" applyAlignment="1">
      <alignment horizontal="center" vertical="center" wrapText="1"/>
    </xf>
    <xf numFmtId="0" fontId="31" fillId="10" borderId="47" xfId="0" applyFont="1" applyFill="1" applyBorder="1" applyAlignment="1">
      <alignment horizontal="center" vertical="center" wrapText="1"/>
    </xf>
    <xf numFmtId="0" fontId="25" fillId="0" borderId="1" xfId="0" applyFont="1" applyBorder="1" applyAlignment="1">
      <alignment horizontal="left" vertical="center" readingOrder="1"/>
    </xf>
    <xf numFmtId="49" fontId="25" fillId="0" borderId="126" xfId="0" applyNumberFormat="1" applyFont="1" applyBorder="1"/>
    <xf numFmtId="49" fontId="25" fillId="0" borderId="129" xfId="0" applyNumberFormat="1" applyFont="1" applyBorder="1"/>
    <xf numFmtId="49" fontId="25" fillId="0" borderId="129" xfId="0" applyNumberFormat="1" applyFont="1" applyBorder="1" applyAlignment="1">
      <alignment wrapText="1"/>
    </xf>
    <xf numFmtId="0" fontId="12" fillId="0" borderId="130" xfId="0" applyFont="1" applyBorder="1" applyAlignment="1">
      <alignment wrapText="1"/>
    </xf>
    <xf numFmtId="0" fontId="12" fillId="0" borderId="131" xfId="0" applyFont="1" applyBorder="1" applyAlignment="1">
      <alignment wrapText="1"/>
    </xf>
    <xf numFmtId="0" fontId="25" fillId="0" borderId="60" xfId="0" applyFont="1" applyBorder="1" applyAlignment="1">
      <alignment horizontal="left" vertical="top" wrapText="1"/>
    </xf>
    <xf numFmtId="49" fontId="25" fillId="0" borderId="83" xfId="0" applyNumberFormat="1" applyFont="1" applyBorder="1" applyAlignment="1">
      <alignment horizontal="left" vertical="top" wrapText="1"/>
    </xf>
    <xf numFmtId="0" fontId="24" fillId="0" borderId="20" xfId="0" applyFont="1" applyBorder="1" applyAlignment="1">
      <alignment horizontal="left" vertical="top"/>
    </xf>
    <xf numFmtId="0" fontId="25" fillId="0" borderId="20" xfId="0" applyFont="1" applyBorder="1" applyAlignment="1">
      <alignment horizontal="left" wrapText="1"/>
    </xf>
    <xf numFmtId="0" fontId="35" fillId="5" borderId="201" xfId="0" applyFont="1" applyFill="1" applyBorder="1" applyAlignment="1">
      <alignment horizontal="center"/>
    </xf>
    <xf numFmtId="0" fontId="12" fillId="0" borderId="202" xfId="0" applyFont="1" applyBorder="1"/>
    <xf numFmtId="0" fontId="12" fillId="0" borderId="203" xfId="0" applyFont="1" applyBorder="1"/>
    <xf numFmtId="0" fontId="24" fillId="0" borderId="17" xfId="0" applyFont="1" applyBorder="1" applyAlignment="1">
      <alignment horizontal="left" vertical="top"/>
    </xf>
    <xf numFmtId="10" fontId="26" fillId="10" borderId="1" xfId="0" applyNumberFormat="1" applyFont="1" applyFill="1" applyBorder="1" applyAlignment="1">
      <alignment horizontal="center"/>
    </xf>
    <xf numFmtId="189" fontId="25" fillId="18" borderId="58" xfId="0" applyNumberFormat="1" applyFont="1" applyFill="1" applyBorder="1" applyAlignment="1">
      <alignment horizontal="left"/>
    </xf>
    <xf numFmtId="0" fontId="26" fillId="18" borderId="204" xfId="0" applyFont="1" applyFill="1" applyBorder="1" applyAlignment="1">
      <alignment horizontal="center" vertical="top" wrapText="1"/>
    </xf>
    <xf numFmtId="0" fontId="12" fillId="0" borderId="205" xfId="0" applyFont="1" applyBorder="1"/>
    <xf numFmtId="10" fontId="25" fillId="18" borderId="1" xfId="0" applyNumberFormat="1" applyFont="1" applyFill="1" applyBorder="1" applyAlignment="1">
      <alignment horizontal="center"/>
    </xf>
    <xf numFmtId="0" fontId="25" fillId="0" borderId="58" xfId="0" applyFont="1" applyBorder="1" applyAlignment="1">
      <alignment horizontal="left" wrapText="1"/>
    </xf>
    <xf numFmtId="0" fontId="25" fillId="0" borderId="58" xfId="0" applyFont="1" applyBorder="1" applyAlignment="1">
      <alignment horizontal="left"/>
    </xf>
    <xf numFmtId="0" fontId="24" fillId="0" borderId="206" xfId="0" applyFont="1" applyBorder="1" applyAlignment="1">
      <alignment horizontal="center" vertical="center"/>
    </xf>
    <xf numFmtId="0" fontId="12" fillId="0" borderId="207" xfId="0" applyFont="1" applyBorder="1"/>
    <xf numFmtId="4" fontId="24" fillId="0" borderId="206" xfId="0" applyNumberFormat="1" applyFont="1" applyBorder="1" applyAlignment="1">
      <alignment horizontal="center" vertical="center" wrapText="1"/>
    </xf>
    <xf numFmtId="0" fontId="24" fillId="0" borderId="1" xfId="0" applyFont="1" applyBorder="1" applyAlignment="1">
      <alignment horizontal="center"/>
    </xf>
    <xf numFmtId="0" fontId="24" fillId="0" borderId="17" xfId="0" applyFont="1" applyBorder="1" applyAlignment="1">
      <alignment horizontal="center" vertical="center"/>
    </xf>
    <xf numFmtId="0" fontId="12" fillId="0" borderId="80" xfId="0" applyFont="1" applyBorder="1"/>
    <xf numFmtId="0" fontId="12" fillId="0" borderId="60" xfId="0" applyFont="1" applyBorder="1"/>
    <xf numFmtId="0" fontId="25" fillId="0" borderId="58" xfId="0" applyFont="1" applyBorder="1" applyAlignment="1">
      <alignment horizontal="left" vertical="center" wrapText="1"/>
    </xf>
    <xf numFmtId="0" fontId="25" fillId="0" borderId="58" xfId="0" applyFont="1" applyBorder="1" applyAlignment="1">
      <alignment horizontal="left" vertical="center"/>
    </xf>
    <xf numFmtId="0" fontId="35" fillId="5" borderId="20" xfId="0" applyFont="1" applyFill="1" applyBorder="1" applyAlignment="1">
      <alignment horizontal="center"/>
    </xf>
    <xf numFmtId="0" fontId="40" fillId="5" borderId="47" xfId="0" applyFont="1" applyFill="1" applyBorder="1" applyAlignment="1">
      <alignment horizontal="center" vertical="center"/>
    </xf>
    <xf numFmtId="0" fontId="103" fillId="0" borderId="20" xfId="0" applyFont="1" applyBorder="1" applyAlignment="1">
      <alignment horizontal="right" vertical="center"/>
    </xf>
    <xf numFmtId="0" fontId="12" fillId="0" borderId="50" xfId="0" applyFont="1" applyBorder="1"/>
    <xf numFmtId="0" fontId="25" fillId="0" borderId="47" xfId="0" applyFont="1" applyBorder="1" applyAlignment="1">
      <alignment horizontal="left" vertical="top"/>
    </xf>
    <xf numFmtId="0" fontId="104" fillId="0" borderId="0" xfId="0" applyFont="1" applyAlignment="1">
      <alignment horizontal="center"/>
    </xf>
    <xf numFmtId="0" fontId="103" fillId="0" borderId="0" xfId="0" quotePrefix="1" applyFont="1" applyAlignment="1">
      <alignment horizontal="left" vertical="center"/>
    </xf>
    <xf numFmtId="0" fontId="103" fillId="0" borderId="0" xfId="0" applyFont="1" applyAlignment="1">
      <alignment horizontal="center" vertical="top"/>
    </xf>
    <xf numFmtId="0" fontId="40" fillId="5" borderId="47" xfId="0" applyFont="1" applyFill="1" applyBorder="1" applyAlignment="1">
      <alignment horizontal="center" vertical="center" wrapText="1"/>
    </xf>
    <xf numFmtId="0" fontId="12" fillId="0" borderId="48" xfId="0" applyFont="1" applyBorder="1" applyAlignment="1">
      <alignment wrapText="1"/>
    </xf>
    <xf numFmtId="0" fontId="12" fillId="0" borderId="49" xfId="0" applyFont="1" applyBorder="1" applyAlignment="1">
      <alignment wrapText="1"/>
    </xf>
    <xf numFmtId="0" fontId="105" fillId="34" borderId="58" xfId="0" applyFont="1" applyFill="1" applyBorder="1" applyAlignment="1">
      <alignment horizontal="center" vertical="center"/>
    </xf>
    <xf numFmtId="0" fontId="60" fillId="33" borderId="55" xfId="0" applyFont="1" applyFill="1" applyBorder="1" applyAlignment="1">
      <alignment horizontal="center" vertical="center"/>
    </xf>
    <xf numFmtId="0" fontId="10" fillId="0" borderId="1" xfId="0" applyFont="1" applyBorder="1" applyAlignment="1">
      <alignment wrapText="1"/>
    </xf>
    <xf numFmtId="0" fontId="39" fillId="25" borderId="81" xfId="0" applyFont="1" applyFill="1" applyBorder="1" applyAlignment="1">
      <alignment horizontal="center" vertical="center" readingOrder="1"/>
    </xf>
    <xf numFmtId="0" fontId="105" fillId="15" borderId="52" xfId="0" applyFont="1" applyFill="1" applyBorder="1" applyAlignment="1">
      <alignment horizontal="center" vertical="center"/>
    </xf>
    <xf numFmtId="0" fontId="39" fillId="0" borderId="208" xfId="0" applyFont="1" applyBorder="1" applyAlignment="1">
      <alignment horizontal="center" vertical="center"/>
    </xf>
    <xf numFmtId="0" fontId="12" fillId="0" borderId="14" xfId="0" applyFont="1" applyBorder="1"/>
    <xf numFmtId="0" fontId="39" fillId="0" borderId="209" xfId="0" applyFont="1" applyBorder="1" applyAlignment="1">
      <alignment horizontal="center" vertical="center"/>
    </xf>
    <xf numFmtId="0" fontId="12" fillId="0" borderId="210" xfId="0" applyFont="1" applyBorder="1"/>
    <xf numFmtId="0" fontId="25" fillId="10" borderId="55" xfId="0" applyFont="1" applyFill="1" applyBorder="1" applyAlignment="1">
      <alignment horizontal="left" wrapText="1"/>
    </xf>
    <xf numFmtId="0" fontId="25" fillId="10" borderId="1" xfId="0" applyFont="1" applyFill="1" applyBorder="1" applyAlignment="1">
      <alignment horizontal="left" wrapText="1"/>
    </xf>
    <xf numFmtId="0" fontId="25" fillId="10" borderId="88" xfId="0" applyFont="1" applyFill="1" applyBorder="1" applyAlignment="1">
      <alignment horizontal="left" wrapText="1"/>
    </xf>
    <xf numFmtId="0" fontId="12" fillId="0" borderId="211" xfId="0" applyFont="1" applyBorder="1"/>
    <xf numFmtId="49" fontId="109" fillId="5" borderId="60" xfId="0" quotePrefix="1" applyNumberFormat="1" applyFont="1" applyFill="1" applyBorder="1" applyAlignment="1">
      <alignment horizontal="left" vertical="center" wrapText="1"/>
    </xf>
    <xf numFmtId="172" fontId="126" fillId="0" borderId="0" xfId="0" applyNumberFormat="1" applyFont="1" applyAlignment="1">
      <alignment horizontal="left" vertical="top"/>
    </xf>
    <xf numFmtId="0" fontId="126" fillId="0" borderId="0" xfId="0" applyFont="1" applyAlignment="1">
      <alignment horizontal="left" vertical="top"/>
    </xf>
    <xf numFmtId="0" fontId="25" fillId="0" borderId="217" xfId="0" applyFont="1" applyBorder="1"/>
    <xf numFmtId="0" fontId="25" fillId="0" borderId="79" xfId="0" applyFont="1" applyBorder="1"/>
    <xf numFmtId="0" fontId="25" fillId="0" borderId="79" xfId="0" applyFont="1" applyBorder="1" applyAlignment="1">
      <alignment wrapText="1"/>
    </xf>
    <xf numFmtId="49" fontId="109" fillId="5" borderId="20" xfId="0" applyNumberFormat="1" applyFont="1" applyFill="1" applyBorder="1" applyAlignment="1">
      <alignment horizontal="left" vertical="center" wrapText="1"/>
    </xf>
    <xf numFmtId="4" fontId="39" fillId="0" borderId="51" xfId="0" applyNumberFormat="1" applyFont="1" applyBorder="1" applyAlignment="1">
      <alignment horizontal="center" vertical="center" wrapText="1"/>
    </xf>
    <xf numFmtId="4" fontId="71" fillId="10" borderId="15" xfId="0" applyNumberFormat="1" applyFont="1" applyFill="1" applyBorder="1" applyAlignment="1">
      <alignment horizontal="center"/>
    </xf>
    <xf numFmtId="49" fontId="25" fillId="0" borderId="217" xfId="0" applyNumberFormat="1" applyFont="1" applyBorder="1"/>
    <xf numFmtId="49" fontId="25" fillId="0" borderId="79" xfId="0" applyNumberFormat="1" applyFont="1" applyBorder="1"/>
    <xf numFmtId="49" fontId="25" fillId="0" borderId="79" xfId="0" applyNumberFormat="1" applyFont="1" applyBorder="1" applyAlignment="1">
      <alignment wrapText="1"/>
    </xf>
    <xf numFmtId="0" fontId="71" fillId="0" borderId="79" xfId="0" applyFont="1" applyBorder="1" applyAlignment="1">
      <alignment horizontal="center"/>
    </xf>
    <xf numFmtId="0" fontId="12" fillId="0" borderId="81" xfId="0" applyFont="1" applyBorder="1"/>
    <xf numFmtId="0" fontId="12" fillId="0" borderId="83" xfId="0" applyFont="1" applyBorder="1"/>
    <xf numFmtId="0" fontId="71" fillId="0" borderId="81" xfId="0" applyFont="1" applyBorder="1" applyAlignment="1">
      <alignment horizontal="center"/>
    </xf>
    <xf numFmtId="0" fontId="71" fillId="0" borderId="230" xfId="0" applyFont="1" applyBorder="1" applyAlignment="1">
      <alignment horizontal="center" vertical="center"/>
    </xf>
    <xf numFmtId="0" fontId="12" fillId="0" borderId="231" xfId="0" applyFont="1" applyBorder="1"/>
    <xf numFmtId="0" fontId="12" fillId="0" borderId="232" xfId="0" applyFont="1" applyBorder="1"/>
    <xf numFmtId="0" fontId="71" fillId="0" borderId="231" xfId="0" applyFont="1" applyBorder="1" applyAlignment="1">
      <alignment horizontal="center" vertical="center"/>
    </xf>
    <xf numFmtId="0" fontId="12" fillId="0" borderId="233" xfId="0" applyFont="1" applyBorder="1"/>
  </cellXfs>
  <cellStyles count="25">
    <cellStyle name="Moeda" xfId="1" builtinId="4"/>
    <cellStyle name="Moeda 2" xfId="9" xr:uid="{7CD5E2B5-3341-4BC5-B532-822E4CFA9DB9}"/>
    <cellStyle name="Moeda 2 2 2" xfId="18" xr:uid="{AB1D3E74-92DC-4A56-BF66-6164E15D5796}"/>
    <cellStyle name="Moeda 26" xfId="14" xr:uid="{E76013A6-A721-4B94-9190-95EF95AE8F46}"/>
    <cellStyle name="Normal" xfId="0" builtinId="0"/>
    <cellStyle name="Normal 2" xfId="7" xr:uid="{7636B06B-EBC3-4B3A-B44F-A78BB35F07EF}"/>
    <cellStyle name="Normal 2 7" xfId="17" xr:uid="{FA24BF20-FF29-4A04-8819-CFE0F0CD4B30}"/>
    <cellStyle name="Normal 3" xfId="22" xr:uid="{0B3254AE-0BAB-4D4B-9A35-471484039DDF}"/>
    <cellStyle name="Normal 3 10 2" xfId="3" xr:uid="{473C6E39-1431-4693-A72A-C05382FA948A}"/>
    <cellStyle name="Normal 3 2 3" xfId="6" xr:uid="{23B2E123-855F-464A-B779-D58615576FE2}"/>
    <cellStyle name="Normal 3 4 2" xfId="12" xr:uid="{5F291F8D-F578-495E-A922-F17888B5291D}"/>
    <cellStyle name="Normal 35" xfId="13" xr:uid="{07144C67-AF9A-4CA8-A5CD-AC0546B0DB9E}"/>
    <cellStyle name="Normal 4" xfId="8" xr:uid="{47F70154-F52E-4892-BB49-2CC0DFE81522}"/>
    <cellStyle name="Normal 4 8" xfId="16" xr:uid="{ECAFE141-9C6C-463F-9DED-CC1A5CAF7D28}"/>
    <cellStyle name="Normal 5" xfId="5" xr:uid="{6C389A42-35F8-45E7-A2FE-536B4CC4188B}"/>
    <cellStyle name="Normal 6" xfId="24" xr:uid="{8170395B-8D52-46B1-8BBF-4007F25F0AC7}"/>
    <cellStyle name="Porcentagem" xfId="2" builtinId="5"/>
    <cellStyle name="Porcentagem 2" xfId="10" xr:uid="{570A72C6-442D-47E0-BDA1-24C7EB34941F}"/>
    <cellStyle name="Porcentagem 3 3" xfId="15" xr:uid="{B72CAD9D-3671-4456-A324-6C38B0676FE7}"/>
    <cellStyle name="Separador de milhares 2 2 5" xfId="19" xr:uid="{C9F14C96-8E49-45AF-B79F-9278E48F16C8}"/>
    <cellStyle name="Separador de milhares 4 2 2" xfId="21" xr:uid="{C5056C72-6B22-43A1-BD74-CF7EE3B5D6B8}"/>
    <cellStyle name="Vírgula" xfId="4" builtinId="3"/>
    <cellStyle name="Vírgula 2" xfId="11" xr:uid="{E6D0F084-2196-4658-8935-6EB9B67AC6B4}"/>
    <cellStyle name="Vírgula 2 2 2" xfId="20" xr:uid="{9516FD2B-1B0C-4B3E-B9FB-F2FAA5E57082}"/>
    <cellStyle name="Vírgula 3" xfId="23" xr:uid="{92443C91-9489-4B73-A071-C1752C8B319F}"/>
  </cellStyles>
  <dxfs count="22">
    <dxf>
      <fill>
        <patternFill patternType="solid">
          <fgColor rgb="FFFF0000"/>
          <bgColor rgb="FFFF0000"/>
        </patternFill>
      </fill>
    </dxf>
    <dxf>
      <font>
        <color theme="0"/>
      </font>
      <fill>
        <patternFill patternType="none"/>
      </fill>
    </dxf>
    <dxf>
      <font>
        <b/>
      </font>
      <fill>
        <patternFill patternType="solid">
          <fgColor rgb="FFD8D8D8"/>
          <bgColor rgb="FFD8D8D8"/>
        </patternFill>
      </fill>
    </dxf>
    <dxf>
      <font>
        <color rgb="FFFFFFFF"/>
      </font>
      <fill>
        <patternFill patternType="none"/>
      </fill>
    </dxf>
    <dxf>
      <font>
        <b/>
      </font>
      <fill>
        <patternFill patternType="solid">
          <fgColor rgb="FFD8D8D8"/>
          <bgColor rgb="FFD8D8D8"/>
        </patternFill>
      </fill>
    </dxf>
    <dxf>
      <font>
        <color rgb="FF000000"/>
      </font>
      <fill>
        <patternFill patternType="solid">
          <fgColor rgb="FFFEF2CB"/>
          <bgColor rgb="FFFEF2CB"/>
        </patternFill>
      </fill>
    </dxf>
    <dxf>
      <font>
        <color rgb="FF000000"/>
      </font>
      <fill>
        <patternFill patternType="solid">
          <fgColor rgb="FFFBE4D5"/>
          <bgColor rgb="FFFBE4D5"/>
        </patternFill>
      </fill>
    </dxf>
    <dxf>
      <font>
        <color rgb="FF1F1F1F"/>
      </font>
      <fill>
        <patternFill patternType="solid">
          <fgColor rgb="FFE2EFD9"/>
          <bgColor rgb="FFE2EFD9"/>
        </patternFill>
      </fill>
    </dxf>
    <dxf>
      <fill>
        <patternFill patternType="solid">
          <fgColor rgb="FFB7E1CD"/>
          <bgColor rgb="FFB7E1CD"/>
        </patternFill>
      </fill>
    </dxf>
    <dxf>
      <font>
        <color rgb="FF38761D"/>
      </font>
      <fill>
        <patternFill patternType="solid">
          <fgColor rgb="FFD9EAD3"/>
          <bgColor rgb="FFD9EAD3"/>
        </patternFill>
      </fill>
    </dxf>
    <dxf>
      <font>
        <color rgb="FF38761D"/>
      </font>
      <fill>
        <patternFill patternType="solid">
          <fgColor rgb="FFD9EAD3"/>
          <bgColor rgb="FFD9EAD3"/>
        </patternFill>
      </fill>
    </dxf>
    <dxf>
      <border>
        <top style="thin">
          <color auto="1"/>
        </top>
      </border>
    </dxf>
    <dxf>
      <fill>
        <patternFill patternType="solid">
          <fgColor rgb="FFFF0000"/>
          <bgColor rgb="FFFF0000"/>
        </patternFill>
      </fill>
    </dxf>
    <dxf>
      <font>
        <condense val="0"/>
        <extend val="0"/>
        <color indexed="9"/>
      </font>
    </dxf>
    <dxf>
      <font>
        <color rgb="FF002060"/>
      </font>
      <fill>
        <patternFill>
          <bgColor rgb="FF92D050"/>
        </patternFill>
      </fill>
    </dxf>
    <dxf>
      <font>
        <color rgb="FFC00000"/>
      </font>
      <fill>
        <patternFill>
          <bgColor rgb="FFFFFF66"/>
        </patternFill>
      </fill>
    </dxf>
    <dxf>
      <font>
        <b/>
        <color rgb="FFCC0000"/>
      </font>
      <fill>
        <patternFill patternType="solid">
          <fgColor rgb="FFFFF2CC"/>
          <bgColor rgb="FFFFF2CC"/>
        </patternFill>
      </fill>
    </dxf>
    <dxf>
      <font>
        <b/>
        <color rgb="FF38761D"/>
      </font>
      <fill>
        <patternFill patternType="solid">
          <fgColor rgb="FFD9EAD3"/>
          <bgColor rgb="FFD9EAD3"/>
        </patternFill>
      </fill>
    </dxf>
    <dxf>
      <font>
        <color rgb="FF274E13"/>
      </font>
      <fill>
        <patternFill patternType="solid">
          <fgColor rgb="FFE2EFD9"/>
          <bgColor rgb="FFE2EFD9"/>
        </patternFill>
      </fill>
    </dxf>
    <dxf>
      <font>
        <strike/>
        <color rgb="FF134F5C"/>
      </font>
      <fill>
        <patternFill patternType="solid">
          <fgColor rgb="FFD9D9D9"/>
          <bgColor rgb="FFD9D9D9"/>
        </patternFill>
      </fill>
    </dxf>
    <dxf>
      <font>
        <strike/>
        <color rgb="FF666666"/>
      </font>
      <fill>
        <patternFill patternType="solid">
          <fgColor rgb="FFF3F3F3"/>
          <bgColor rgb="FFF3F3F3"/>
        </patternFill>
      </fill>
    </dxf>
    <dxf>
      <font>
        <strike/>
        <color rgb="FF38761D"/>
      </font>
      <fill>
        <patternFill patternType="solid">
          <fgColor rgb="FFD9D9D9"/>
          <bgColor rgb="FFD9D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1</xdr:col>
      <xdr:colOff>0</xdr:colOff>
      <xdr:row>78</xdr:row>
      <xdr:rowOff>0</xdr:rowOff>
    </xdr:from>
    <xdr:ext cx="7439025" cy="340042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628650" y="17383125"/>
          <a:ext cx="7439025" cy="34004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4</xdr:col>
      <xdr:colOff>242454</xdr:colOff>
      <xdr:row>4</xdr:row>
      <xdr:rowOff>34636</xdr:rowOff>
    </xdr:from>
    <xdr:to>
      <xdr:col>9</xdr:col>
      <xdr:colOff>587490</xdr:colOff>
      <xdr:row>8</xdr:row>
      <xdr:rowOff>77701</xdr:rowOff>
    </xdr:to>
    <xdr:pic>
      <xdr:nvPicPr>
        <xdr:cNvPr id="2" name="Imagem 1">
          <a:extLst>
            <a:ext uri="{FF2B5EF4-FFF2-40B4-BE49-F238E27FC236}">
              <a16:creationId xmlns:a16="http://schemas.microsoft.com/office/drawing/2014/main" id="{ED44A335-F704-4993-B2ED-2010D1EBC2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2654" y="768061"/>
          <a:ext cx="2935836" cy="76696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133351</xdr:colOff>
      <xdr:row>1</xdr:row>
      <xdr:rowOff>171450</xdr:rowOff>
    </xdr:from>
    <xdr:to>
      <xdr:col>10</xdr:col>
      <xdr:colOff>638176</xdr:colOff>
      <xdr:row>6</xdr:row>
      <xdr:rowOff>39444</xdr:rowOff>
    </xdr:to>
    <xdr:pic>
      <xdr:nvPicPr>
        <xdr:cNvPr id="2" name="Imagem 1">
          <a:extLst>
            <a:ext uri="{FF2B5EF4-FFF2-40B4-BE49-F238E27FC236}">
              <a16:creationId xmlns:a16="http://schemas.microsoft.com/office/drawing/2014/main" id="{FED3356C-E835-4287-A79F-1211922408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5526" y="247650"/>
          <a:ext cx="2743200" cy="70619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329045</xdr:colOff>
      <xdr:row>1</xdr:row>
      <xdr:rowOff>121226</xdr:rowOff>
    </xdr:from>
    <xdr:to>
      <xdr:col>3</xdr:col>
      <xdr:colOff>720147</xdr:colOff>
      <xdr:row>6</xdr:row>
      <xdr:rowOff>63977</xdr:rowOff>
    </xdr:to>
    <xdr:pic>
      <xdr:nvPicPr>
        <xdr:cNvPr id="2" name="Imagem 1">
          <a:extLst>
            <a:ext uri="{FF2B5EF4-FFF2-40B4-BE49-F238E27FC236}">
              <a16:creationId xmlns:a16="http://schemas.microsoft.com/office/drawing/2014/main" id="{682EE23E-612A-4923-A44E-23A5FB6E68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770" y="295851"/>
          <a:ext cx="2743777" cy="752376"/>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448226</xdr:colOff>
      <xdr:row>0</xdr:row>
      <xdr:rowOff>174759</xdr:rowOff>
    </xdr:from>
    <xdr:ext cx="1143001" cy="607220"/>
    <xdr:pic>
      <xdr:nvPicPr>
        <xdr:cNvPr id="2" name="image1.png" title="Imagem">
          <a:extLst>
            <a:ext uri="{FF2B5EF4-FFF2-40B4-BE49-F238E27FC236}">
              <a16:creationId xmlns:a16="http://schemas.microsoft.com/office/drawing/2014/main" id="{83969D5C-D67D-4887-BDD2-6A87F67E0966}"/>
            </a:ext>
          </a:extLst>
        </xdr:cNvPr>
        <xdr:cNvPicPr preferRelativeResize="0"/>
      </xdr:nvPicPr>
      <xdr:blipFill rotWithShape="1">
        <a:blip xmlns:r="http://schemas.openxmlformats.org/officeDocument/2006/relationships" r:embed="rId1" cstate="print"/>
        <a:srcRect l="17986" t="-4082" r="12949" b="1"/>
        <a:stretch/>
      </xdr:blipFill>
      <xdr:spPr>
        <a:xfrm>
          <a:off x="2222257" y="174759"/>
          <a:ext cx="1143001" cy="607220"/>
        </a:xfrm>
        <a:prstGeom prst="rect">
          <a:avLst/>
        </a:prstGeom>
        <a:noFill/>
      </xdr:spPr>
    </xdr:pic>
    <xdr:clientData fLocksWithSheet="0"/>
  </xdr:oneCellAnchor>
  <xdr:oneCellAnchor>
    <xdr:from>
      <xdr:col>0</xdr:col>
      <xdr:colOff>114300</xdr:colOff>
      <xdr:row>1</xdr:row>
      <xdr:rowOff>63500</xdr:rowOff>
    </xdr:from>
    <xdr:ext cx="1285875" cy="428625"/>
    <xdr:pic>
      <xdr:nvPicPr>
        <xdr:cNvPr id="3" name="image2.png" title="Imagem">
          <a:extLst>
            <a:ext uri="{FF2B5EF4-FFF2-40B4-BE49-F238E27FC236}">
              <a16:creationId xmlns:a16="http://schemas.microsoft.com/office/drawing/2014/main" id="{47DFC651-9978-40FE-8603-1163E9A177B2}"/>
            </a:ext>
          </a:extLst>
        </xdr:cNvPr>
        <xdr:cNvPicPr preferRelativeResize="0"/>
      </xdr:nvPicPr>
      <xdr:blipFill>
        <a:blip xmlns:r="http://schemas.openxmlformats.org/officeDocument/2006/relationships" r:embed="rId2" cstate="print"/>
        <a:stretch>
          <a:fillRect/>
        </a:stretch>
      </xdr:blipFill>
      <xdr:spPr>
        <a:xfrm>
          <a:off x="114300" y="279400"/>
          <a:ext cx="1285875" cy="4286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xdr:from>
      <xdr:col>12</xdr:col>
      <xdr:colOff>280403</xdr:colOff>
      <xdr:row>38</xdr:row>
      <xdr:rowOff>125831</xdr:rowOff>
    </xdr:from>
    <xdr:to>
      <xdr:col>14</xdr:col>
      <xdr:colOff>241379</xdr:colOff>
      <xdr:row>41</xdr:row>
      <xdr:rowOff>27319</xdr:rowOff>
    </xdr:to>
    <xdr:grpSp>
      <xdr:nvGrpSpPr>
        <xdr:cNvPr id="2" name="Grupo 2">
          <a:extLst>
            <a:ext uri="{FF2B5EF4-FFF2-40B4-BE49-F238E27FC236}">
              <a16:creationId xmlns:a16="http://schemas.microsoft.com/office/drawing/2014/main" id="{275CBE6E-5652-4F2B-8D12-7E5E5FADEC92}"/>
            </a:ext>
          </a:extLst>
        </xdr:cNvPr>
        <xdr:cNvGrpSpPr/>
      </xdr:nvGrpSpPr>
      <xdr:grpSpPr>
        <a:xfrm>
          <a:off x="8214728" y="7622006"/>
          <a:ext cx="1227801" cy="501563"/>
          <a:chOff x="9532571" y="6027861"/>
          <a:chExt cx="1217351" cy="395284"/>
        </a:xfrm>
      </xdr:grpSpPr>
      <xdr:sp macro="" textlink="">
        <xdr:nvSpPr>
          <xdr:cNvPr id="3" name="Retângulo 2">
            <a:extLst>
              <a:ext uri="{FF2B5EF4-FFF2-40B4-BE49-F238E27FC236}">
                <a16:creationId xmlns:a16="http://schemas.microsoft.com/office/drawing/2014/main" id="{90A406A3-5B2A-0A4C-B7F8-A54768FA667C}"/>
              </a:ext>
            </a:extLst>
          </xdr:cNvPr>
          <xdr:cNvSpPr/>
        </xdr:nvSpPr>
        <xdr:spPr>
          <a:xfrm>
            <a:off x="10154200" y="6112059"/>
            <a:ext cx="230188" cy="2206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en-US" sz="800">
                <a:solidFill>
                  <a:sysClr val="windowText" lastClr="000000"/>
                </a:solidFill>
                <a:latin typeface="Arial Black" panose="020B0A04020102020204" pitchFamily="34" charset="0"/>
              </a:rPr>
              <a:t>=</a:t>
            </a:r>
          </a:p>
        </xdr:txBody>
      </xdr:sp>
      <xdr:sp macro="" textlink="$I$45">
        <xdr:nvSpPr>
          <xdr:cNvPr id="4" name="Retângulo 3">
            <a:extLst>
              <a:ext uri="{FF2B5EF4-FFF2-40B4-BE49-F238E27FC236}">
                <a16:creationId xmlns:a16="http://schemas.microsoft.com/office/drawing/2014/main" id="{8AD17B4C-32A3-E70F-1808-717711BF6B92}"/>
              </a:ext>
            </a:extLst>
          </xdr:cNvPr>
          <xdr:cNvSpPr/>
        </xdr:nvSpPr>
        <xdr:spPr>
          <a:xfrm>
            <a:off x="9532571" y="6202544"/>
            <a:ext cx="684335" cy="2206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fld id="{C0433328-C2A0-4AAA-8450-8AE43D773713}" type="TxLink">
              <a:rPr lang="en-US" sz="700" b="1" i="0" u="none" strike="noStrike">
                <a:solidFill>
                  <a:srgbClr val="000000"/>
                </a:solidFill>
                <a:latin typeface="Arial Black" panose="020B0A04020102020204" pitchFamily="34" charset="0"/>
              </a:rPr>
              <a:pPr algn="l"/>
              <a:t>10,00</a:t>
            </a:fld>
            <a:endParaRPr lang="pt-BR" sz="700">
              <a:latin typeface="Arial Black" panose="020B0A04020102020204" pitchFamily="34" charset="0"/>
            </a:endParaRPr>
          </a:p>
        </xdr:txBody>
      </xdr:sp>
      <xdr:sp macro="" textlink="$L$45">
        <xdr:nvSpPr>
          <xdr:cNvPr id="5" name="Retângulo 4">
            <a:extLst>
              <a:ext uri="{FF2B5EF4-FFF2-40B4-BE49-F238E27FC236}">
                <a16:creationId xmlns:a16="http://schemas.microsoft.com/office/drawing/2014/main" id="{DA61DBF4-35A8-CC88-70CA-F0B8608CA837}"/>
              </a:ext>
            </a:extLst>
          </xdr:cNvPr>
          <xdr:cNvSpPr/>
        </xdr:nvSpPr>
        <xdr:spPr>
          <a:xfrm>
            <a:off x="9532571" y="6027861"/>
            <a:ext cx="684335" cy="218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fld id="{3BEF546D-5D2A-4F28-9CD1-D7BE6C26E3F9}" type="TxLink">
              <a:rPr lang="en-US" sz="700" b="1" i="0" u="none" strike="noStrike">
                <a:solidFill>
                  <a:srgbClr val="000000"/>
                </a:solidFill>
                <a:latin typeface="Arial Black" panose="020B0A04020102020204" pitchFamily="34" charset="0"/>
              </a:rPr>
              <a:pPr algn="l"/>
              <a:t>6,46</a:t>
            </a:fld>
            <a:endParaRPr lang="pt-BR" sz="700">
              <a:latin typeface="Arial Black" panose="020B0A04020102020204" pitchFamily="34" charset="0"/>
            </a:endParaRPr>
          </a:p>
        </xdr:txBody>
      </xdr:sp>
      <xdr:sp macro="" textlink="$Q$43">
        <xdr:nvSpPr>
          <xdr:cNvPr id="6" name="Retângulo 5">
            <a:extLst>
              <a:ext uri="{FF2B5EF4-FFF2-40B4-BE49-F238E27FC236}">
                <a16:creationId xmlns:a16="http://schemas.microsoft.com/office/drawing/2014/main" id="{B0CD402B-E0D0-A40D-2823-037F4B885A9B}"/>
              </a:ext>
            </a:extLst>
          </xdr:cNvPr>
          <xdr:cNvSpPr/>
        </xdr:nvSpPr>
        <xdr:spPr>
          <a:xfrm>
            <a:off x="10208152" y="6115162"/>
            <a:ext cx="541770" cy="2229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fld id="{6028E13A-0A66-4B96-B089-FD90E867E420}" type="TxLink">
              <a:rPr lang="en-US" sz="700" b="1" i="0" u="none" strike="noStrike">
                <a:solidFill>
                  <a:srgbClr val="000000"/>
                </a:solidFill>
                <a:latin typeface="Arial Black" panose="020B0A04020102020204" pitchFamily="34" charset="0"/>
                <a:cs typeface="Arial"/>
              </a:rPr>
              <a:pPr algn="l"/>
              <a:t>0,64</a:t>
            </a:fld>
            <a:endParaRPr lang="pt-BR" sz="700" b="1">
              <a:latin typeface="Arial Black" panose="020B0A04020102020204" pitchFamily="34" charset="0"/>
            </a:endParaRPr>
          </a:p>
        </xdr:txBody>
      </xdr:sp>
      <xdr:cxnSp macro="">
        <xdr:nvCxnSpPr>
          <xdr:cNvPr id="7" name="Conector reto 6">
            <a:extLst>
              <a:ext uri="{FF2B5EF4-FFF2-40B4-BE49-F238E27FC236}">
                <a16:creationId xmlns:a16="http://schemas.microsoft.com/office/drawing/2014/main" id="{4B346C70-1C0F-8302-17EF-C9FEA3E7947E}"/>
              </a:ext>
            </a:extLst>
          </xdr:cNvPr>
          <xdr:cNvCxnSpPr/>
        </xdr:nvCxnSpPr>
        <xdr:spPr>
          <a:xfrm flipH="1">
            <a:off x="9573846" y="6230328"/>
            <a:ext cx="608136" cy="1"/>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9525</xdr:colOff>
      <xdr:row>2</xdr:row>
      <xdr:rowOff>123825</xdr:rowOff>
    </xdr:from>
    <xdr:to>
      <xdr:col>2</xdr:col>
      <xdr:colOff>1738312</xdr:colOff>
      <xdr:row>7</xdr:row>
      <xdr:rowOff>142875</xdr:rowOff>
    </xdr:to>
    <xdr:pic>
      <xdr:nvPicPr>
        <xdr:cNvPr id="8" name="Imagem 7">
          <a:extLst>
            <a:ext uri="{FF2B5EF4-FFF2-40B4-BE49-F238E27FC236}">
              <a16:creationId xmlns:a16="http://schemas.microsoft.com/office/drawing/2014/main" id="{3405B5A3-BDDC-4871-AA88-9E7F937C1F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400050"/>
          <a:ext cx="2309812" cy="6858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107154</xdr:colOff>
      <xdr:row>0</xdr:row>
      <xdr:rowOff>92868</xdr:rowOff>
    </xdr:from>
    <xdr:ext cx="1562100" cy="876300"/>
    <xdr:pic>
      <xdr:nvPicPr>
        <xdr:cNvPr id="2" name="image1.png" title="Imagem">
          <a:extLst>
            <a:ext uri="{FF2B5EF4-FFF2-40B4-BE49-F238E27FC236}">
              <a16:creationId xmlns:a16="http://schemas.microsoft.com/office/drawing/2014/main" id="{C0EACC57-A7DB-4626-BA63-2FDDC6F1E85F}"/>
            </a:ext>
          </a:extLst>
        </xdr:cNvPr>
        <xdr:cNvPicPr preferRelativeResize="0"/>
      </xdr:nvPicPr>
      <xdr:blipFill>
        <a:blip xmlns:r="http://schemas.openxmlformats.org/officeDocument/2006/relationships" r:embed="rId1" cstate="print"/>
        <a:stretch>
          <a:fillRect/>
        </a:stretch>
      </xdr:blipFill>
      <xdr:spPr>
        <a:xfrm>
          <a:off x="107154" y="92868"/>
          <a:ext cx="1562100" cy="876300"/>
        </a:xfrm>
        <a:prstGeom prst="rect">
          <a:avLst/>
        </a:prstGeom>
        <a:noFill/>
      </xdr:spPr>
    </xdr:pic>
    <xdr:clientData fLocksWithSheet="0"/>
  </xdr:oneCellAnchor>
  <xdr:oneCellAnchor>
    <xdr:from>
      <xdr:col>4</xdr:col>
      <xdr:colOff>561972</xdr:colOff>
      <xdr:row>0</xdr:row>
      <xdr:rowOff>159544</xdr:rowOff>
    </xdr:from>
    <xdr:ext cx="1362078" cy="707232"/>
    <xdr:pic>
      <xdr:nvPicPr>
        <xdr:cNvPr id="3" name="image2.png" title="Imagem">
          <a:extLst>
            <a:ext uri="{FF2B5EF4-FFF2-40B4-BE49-F238E27FC236}">
              <a16:creationId xmlns:a16="http://schemas.microsoft.com/office/drawing/2014/main" id="{A5BDAF96-A55D-47B7-9642-7F6FC594759C}"/>
            </a:ext>
          </a:extLst>
        </xdr:cNvPr>
        <xdr:cNvPicPr preferRelativeResize="0"/>
      </xdr:nvPicPr>
      <xdr:blipFill>
        <a:blip xmlns:r="http://schemas.openxmlformats.org/officeDocument/2006/relationships" r:embed="rId2" cstate="print"/>
        <a:stretch>
          <a:fillRect/>
        </a:stretch>
      </xdr:blipFill>
      <xdr:spPr>
        <a:xfrm>
          <a:off x="8220072" y="159544"/>
          <a:ext cx="1362078" cy="707232"/>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1</xdr:col>
      <xdr:colOff>60157</xdr:colOff>
      <xdr:row>2</xdr:row>
      <xdr:rowOff>10024</xdr:rowOff>
    </xdr:from>
    <xdr:to>
      <xdr:col>2</xdr:col>
      <xdr:colOff>741947</xdr:colOff>
      <xdr:row>4</xdr:row>
      <xdr:rowOff>80208</xdr:rowOff>
    </xdr:to>
    <xdr:pic>
      <xdr:nvPicPr>
        <xdr:cNvPr id="2" name="Imagem 1">
          <a:extLst>
            <a:ext uri="{FF2B5EF4-FFF2-40B4-BE49-F238E27FC236}">
              <a16:creationId xmlns:a16="http://schemas.microsoft.com/office/drawing/2014/main" id="{12AB642F-F3C4-4AE6-915B-151FA9A524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631" y="260682"/>
          <a:ext cx="1493921" cy="421105"/>
        </a:xfrm>
        <a:prstGeom prst="rect">
          <a:avLst/>
        </a:prstGeom>
        <a:noFill/>
      </xdr:spPr>
    </xdr:pic>
    <xdr:clientData/>
  </xdr:twoCellAnchor>
  <xdr:oneCellAnchor>
    <xdr:from>
      <xdr:col>1</xdr:col>
      <xdr:colOff>60157</xdr:colOff>
      <xdr:row>34</xdr:row>
      <xdr:rowOff>10024</xdr:rowOff>
    </xdr:from>
    <xdr:ext cx="1493921" cy="421105"/>
    <xdr:pic>
      <xdr:nvPicPr>
        <xdr:cNvPr id="4" name="Imagem 3">
          <a:extLst>
            <a:ext uri="{FF2B5EF4-FFF2-40B4-BE49-F238E27FC236}">
              <a16:creationId xmlns:a16="http://schemas.microsoft.com/office/drawing/2014/main" id="{6E9CC83A-8A6E-4F20-B44D-61BCF2CFC9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631" y="260682"/>
          <a:ext cx="1493921" cy="42110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incoln\Desktop\MT%20Parque\Medi&#231;&#227;o\MODELO%20MEDI&#199;&#195;O.xlsx" TargetMode="External"/><Relationship Id="rId1" Type="http://schemas.openxmlformats.org/officeDocument/2006/relationships/externalLinkPath" Target="https://d.docs.live.net/Users/Lincoln/Desktop/MT%20Parque/Medi&#231;&#227;o/MODELO%20MEDI&#199;&#195;O.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4.FEV%20N_DE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4.04%20N_DE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4.05_ND"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Lincoln\Desktop\MT%20Parque\Proposta%20Final\PROPOSTA%20MTPAR%20DOC%20SUNSET%20R$%2013.412.792,05.xlsx" TargetMode="External"/><Relationship Id="rId1" Type="http://schemas.openxmlformats.org/officeDocument/2006/relationships/externalLinkPath" Target="https://d.docs.live.net/Users/Lincoln/Desktop/MT%20Parque/Proposta%20Final/PROPOSTA%20MTPAR%20DOC%20SUNSET%20R$%2013.412.792,05.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Z:\SETOR%20-%20ENGENHARIA%20CIVIL\04%20-%20Medi&#231;&#245;es%20Clientes\Cuiab&#225;\SUNSET-CIVIL\2&#176;%20Medi&#231;&#227;o\BM%2001%20PLANILHA%20DE%20MEDI&#199;&#195;O%20SUNSET%20-%20APROVADA%20FISCAL.xlsx" TargetMode="External"/><Relationship Id="rId1" Type="http://schemas.openxmlformats.org/officeDocument/2006/relationships/externalLinkPath" Target="file:///Z:\SETOR%20-%20ENGENHARIA%20CIVIL\04%20-%20Medi&#231;&#245;es%20Clientes\Cuiab&#225;\SUNSET-CIVIL\2&#176;%20Medi&#231;&#227;o\BM%2001%20PLANILHA%20DE%20MEDI&#199;&#195;O%20SUNSET%20-%20APROVADA%20FISCAL.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Z:\SETOR%20-%20ENGENHARIA%20CIVIL\04%20-%20Medi&#231;&#245;es%20Clientes\Cuiab&#225;\SUNSET-CIVIL\3&#176;%20Medi&#231;&#227;o\BM%2003%20PLANILHA%20DE%20MEDI&#199;&#195;O%20SUNSET%20-%20APROVADA%20FISCAL.xlsx" TargetMode="External"/><Relationship Id="rId1" Type="http://schemas.openxmlformats.org/officeDocument/2006/relationships/externalLinkPath" Target="file:///Z:\SETOR%20-%20ENGENHARIA%20CIVIL\04%20-%20Medi&#231;&#245;es%20Clientes\Cuiab&#225;\SUNSET-CIVIL\3&#176;%20Medi&#231;&#227;o\BM%2003%20PLANILHA%20DE%20MEDI&#199;&#195;O%20SUNSET%20-%20APROVADA%20FISCAL.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4.07_N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Inserção Dados"/>
      <sheetName val="Dados Contrato"/>
      <sheetName val="03-CONTROLE FINANCEIRO"/>
      <sheetName val="Medição Nº"/>
      <sheetName val="Boletim"/>
      <sheetName val="01-RESUMO"/>
      <sheetName val="04-CRONOGRAMA"/>
      <sheetName val="Fotos"/>
    </sheetNames>
    <sheetDataSet>
      <sheetData sheetId="0"/>
      <sheetData sheetId="1">
        <row r="20">
          <cell r="F20" t="str">
            <v>MTPAR</v>
          </cell>
        </row>
        <row r="33">
          <cell r="G33" t="str">
            <v xml:space="preserve"> 15°27'32.69"S</v>
          </cell>
        </row>
        <row r="34">
          <cell r="G34" t="str">
            <v xml:space="preserve"> 56° 4'44.62"O</v>
          </cell>
        </row>
      </sheetData>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
      <sheetName val="24.07_ND"/>
      <sheetName val="✔️KTD"/>
      <sheetName val="✔️KTD_RV01"/>
      <sheetName val="00-INT."/>
      <sheetName val="00 - JT"/>
      <sheetName val="• 01-RES."/>
      <sheetName val="• 02-ORÇ"/>
      <sheetName val="• 03-CP"/>
      <sheetName val="04-CFF"/>
      <sheetName val="05-EV"/>
      <sheetName val="06 - ABC"/>
      <sheetName val="07-BDI"/>
      <sheetName val="08 - ES"/>
      <sheetName val="09 - MC"/>
      <sheetName val="CEL • 02-ORÇ"/>
      <sheetName val="Página15"/>
      <sheetName val="10-QT_AL"/>
      <sheetName val="11 - QT_ KTD"/>
      <sheetName val=" 12 - QT_EM_KTD"/>
      <sheetName val="• CIs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4.08_ND"/>
      <sheetName val="🟠PS"/>
      <sheetName val="00-INT."/>
      <sheetName val="00 - JT"/>
      <sheetName val="01-RES."/>
      <sheetName val="02-ORÇ"/>
      <sheetName val="03-CP"/>
      <sheetName val="04-CFF"/>
      <sheetName val="05-EVE"/>
      <sheetName val="09 - MC"/>
      <sheetName val="06 - ABC"/>
      <sheetName val="06-BDI"/>
      <sheetName val="07 - ES"/>
      <sheetName val="10-QT_AL"/>
      <sheetName val="11 - QT_ WB"/>
      <sheetName val="12 - QT_SUN"/>
      <sheetName val="13 - QT_QUI"/>
      <sheetName val="14 - QT_BES"/>
      <sheetName val="15 - QT_BCE"/>
      <sheetName val="16 - QT_ICONT"/>
      <sheetName val="• CIs EXT"/>
    </sheetNames>
    <sheetDataSet>
      <sheetData sheetId="0"/>
      <sheetData sheetId="1"/>
      <sheetData sheetId="2"/>
      <sheetData sheetId="3"/>
      <sheetData sheetId="4">
        <row r="1">
          <cell r="A1" t="str">
            <v>OBRA:</v>
          </cell>
          <cell r="B1" t="str">
            <v>COMPLEXO SUNSET DO PARQUE NOVO MATO GROSSO</v>
          </cell>
          <cell r="C1" t="str">
            <v>BDI EDIF.:</v>
          </cell>
          <cell r="D1">
            <v>0.25</v>
          </cell>
        </row>
        <row r="2">
          <cell r="A2" t="str">
            <v xml:space="preserve">ENDEREÇO: </v>
          </cell>
          <cell r="B2" t="str">
            <v>MT 251, KM 11, S/N, ÁREA RURAL - PARQUE NOVO MATO GROSSO, CEP 78099-899</v>
          </cell>
          <cell r="C2" t="str">
            <v>BDI DIF.:</v>
          </cell>
          <cell r="D2">
            <v>0.16470000000000001</v>
          </cell>
        </row>
        <row r="3">
          <cell r="A3" t="str">
            <v>MUNICÍPIO:</v>
          </cell>
          <cell r="B3" t="str">
            <v>CUIABÁ - MT</v>
          </cell>
          <cell r="C3" t="str">
            <v>DATA:</v>
          </cell>
          <cell r="D3">
            <v>45672</v>
          </cell>
        </row>
        <row r="4">
          <cell r="A4" t="str">
            <v>OBJETO:</v>
          </cell>
          <cell r="B4" t="str">
            <v>CONTRATAÇÃO DE EMPRESA ESPECIALIZADA PARA EXECUÇÃO DAS OBRAS DO "COMPLEXO SUNSET (WAKE BAR, PRAÇA SUNSET, QUIOSQUE, BANHEIROS DE APOIO E INFRA DE CONTÊINER) DO PARQUE NOVO MATO GROSSO"</v>
          </cell>
          <cell r="C4" t="str">
            <v>PRAZO:</v>
          </cell>
          <cell r="D4" t="str">
            <v>10 MESES</v>
          </cell>
        </row>
        <row r="5">
          <cell r="A5" t="str">
            <v>AGOSTO/2024 - NÃO DESONERADO</v>
          </cell>
          <cell r="B5"/>
          <cell r="C5"/>
          <cell r="D5"/>
        </row>
        <row r="6">
          <cell r="A6" t="str">
            <v>PLANILHA ORÇAMENTÁRIA RESUMIDA</v>
          </cell>
          <cell r="B6"/>
          <cell r="C6"/>
          <cell r="D6"/>
        </row>
        <row r="7">
          <cell r="A7" t="str">
            <v>ITEM</v>
          </cell>
          <cell r="B7" t="str">
            <v>DESCRIÇÃO / ETAPA</v>
          </cell>
          <cell r="C7" t="str">
            <v>TOTAL</v>
          </cell>
          <cell r="D7"/>
        </row>
        <row r="8">
          <cell r="A8"/>
          <cell r="B8"/>
          <cell r="C8" t="str">
            <v>VALOR (R$)</v>
          </cell>
          <cell r="D8" t="str">
            <v>(%)</v>
          </cell>
        </row>
        <row r="9">
          <cell r="A9" t="str">
            <v>A</v>
          </cell>
          <cell r="B9" t="str">
            <v>ADMINISTRAÇÃO DA OBRA E CANTEIRO DE OBRAS</v>
          </cell>
          <cell r="C9">
            <v>2193000.16</v>
          </cell>
          <cell r="D9">
            <v>0.16350064563925004</v>
          </cell>
        </row>
        <row r="10">
          <cell r="A10" t="str">
            <v>A.1</v>
          </cell>
          <cell r="B10" t="str">
            <v>ADMINISTRAÇÃO DA OBRA</v>
          </cell>
          <cell r="C10">
            <v>1004292.2200000001</v>
          </cell>
          <cell r="D10">
            <v>7.4875701960950031E-2</v>
          </cell>
        </row>
        <row r="11">
          <cell r="A11" t="str">
            <v>A.2</v>
          </cell>
          <cell r="B11" t="str">
            <v>INSTALAÇÕES DE CANTEIRO, SERVIÇOS PRELIMINARES E TÉCNICOS</v>
          </cell>
          <cell r="C11">
            <v>1188707.94</v>
          </cell>
          <cell r="D11">
            <v>8.8624943678299997E-2</v>
          </cell>
        </row>
        <row r="12">
          <cell r="A12" t="str">
            <v>B</v>
          </cell>
          <cell r="B12" t="str">
            <v>WAKE BAR</v>
          </cell>
          <cell r="C12">
            <v>1746146.9999999995</v>
          </cell>
          <cell r="D12">
            <v>0.13018519883785118</v>
          </cell>
        </row>
        <row r="13">
          <cell r="A13" t="str">
            <v>B.1</v>
          </cell>
          <cell r="B13" t="str">
            <v>SERVIÇOS DE ESTRUTURA</v>
          </cell>
          <cell r="C13">
            <v>420064.29000000004</v>
          </cell>
          <cell r="D13">
            <v>3.1318184046549805E-2</v>
          </cell>
        </row>
        <row r="14">
          <cell r="A14" t="str">
            <v>B.2</v>
          </cell>
          <cell r="B14" t="str">
            <v>ARQUITETURA</v>
          </cell>
          <cell r="C14">
            <v>1143970.6499999997</v>
          </cell>
          <cell r="D14">
            <v>8.5289524040596726E-2</v>
          </cell>
        </row>
        <row r="15">
          <cell r="A15" t="str">
            <v>B.3</v>
          </cell>
          <cell r="B15" t="str">
            <v>INSTALAÇÕES HIDROSSANITÁRIAIS</v>
          </cell>
          <cell r="C15">
            <v>95934.40999999996</v>
          </cell>
          <cell r="D15">
            <v>7.1524563746591411E-3</v>
          </cell>
        </row>
        <row r="16">
          <cell r="A16" t="str">
            <v>B.4</v>
          </cell>
          <cell r="B16" t="str">
            <v>INSTALAÇÕES ELÉTRICAS E INSTALAÇÕES DE LÓGICA</v>
          </cell>
          <cell r="C16">
            <v>85506.359999999957</v>
          </cell>
          <cell r="D16">
            <v>6.3749858852094818E-3</v>
          </cell>
        </row>
        <row r="17">
          <cell r="A17" t="str">
            <v>B.5</v>
          </cell>
          <cell r="B17" t="str">
            <v>INSTALAÇÕES PREVENÇÃO E COMBATE A INCENDIO E PANICO</v>
          </cell>
          <cell r="C17">
            <v>671.29</v>
          </cell>
          <cell r="D17">
            <v>5.0048490836029914E-5</v>
          </cell>
        </row>
        <row r="18">
          <cell r="A18" t="str">
            <v>C</v>
          </cell>
          <cell r="B18" t="str">
            <v>PRAÇA SUNSET</v>
          </cell>
          <cell r="C18">
            <v>6754877.4200000009</v>
          </cell>
          <cell r="D18">
            <v>0.50361456397886983</v>
          </cell>
        </row>
        <row r="19">
          <cell r="A19" t="str">
            <v>C.1</v>
          </cell>
          <cell r="B19" t="str">
            <v>SERVIÇO DE ESTRUTURA</v>
          </cell>
          <cell r="C19">
            <v>1604577.3800000011</v>
          </cell>
          <cell r="D19">
            <v>0.11963037777805562</v>
          </cell>
        </row>
        <row r="20">
          <cell r="A20" t="str">
            <v>C.2</v>
          </cell>
          <cell r="B20" t="str">
            <v>ARQUITETURA</v>
          </cell>
          <cell r="C20">
            <v>4770351.79</v>
          </cell>
          <cell r="D20">
            <v>0.35565688129788009</v>
          </cell>
        </row>
        <row r="21">
          <cell r="A21" t="str">
            <v>C.3</v>
          </cell>
          <cell r="B21" t="str">
            <v>INSTALAÇÕES HIDROSSANITÁRIAIS</v>
          </cell>
          <cell r="C21">
            <v>118949.92</v>
          </cell>
          <cell r="D21">
            <v>8.868393661556841E-3</v>
          </cell>
        </row>
        <row r="22">
          <cell r="A22" t="str">
            <v>C.4</v>
          </cell>
          <cell r="B22" t="str">
            <v>INSTALAÇÕES ELÉTRICAS</v>
          </cell>
          <cell r="C22">
            <v>260998.33000000005</v>
          </cell>
          <cell r="D22">
            <v>1.9458911241377223E-2</v>
          </cell>
        </row>
        <row r="23">
          <cell r="A23" t="str">
            <v>D</v>
          </cell>
          <cell r="B23" t="str">
            <v>QUIOSQUE</v>
          </cell>
          <cell r="C23">
            <v>206379.06</v>
          </cell>
          <cell r="D23">
            <v>1.5386733741242189E-2</v>
          </cell>
        </row>
        <row r="24">
          <cell r="A24" t="str">
            <v>D.1</v>
          </cell>
          <cell r="B24" t="str">
            <v>SERVIÇOS DE ESTRUTURA</v>
          </cell>
          <cell r="C24">
            <v>31493.25</v>
          </cell>
          <cell r="D24">
            <v>2.3480010636562428E-3</v>
          </cell>
        </row>
        <row r="25">
          <cell r="A25" t="str">
            <v>D.2</v>
          </cell>
          <cell r="B25" t="str">
            <v>ARQUITETURA</v>
          </cell>
          <cell r="C25">
            <v>126010.18999999999</v>
          </cell>
          <cell r="D25">
            <v>9.3947769808300271E-3</v>
          </cell>
        </row>
        <row r="26">
          <cell r="A26" t="str">
            <v>D.3</v>
          </cell>
          <cell r="B26" t="str">
            <v>INSTALAÇÕES HIDROSSANITÁRIAIS</v>
          </cell>
          <cell r="C26">
            <v>20028.319999999996</v>
          </cell>
          <cell r="D26">
            <v>1.4932252677398361E-3</v>
          </cell>
        </row>
        <row r="27">
          <cell r="A27" t="str">
            <v>D.4</v>
          </cell>
          <cell r="B27" t="str">
            <v>INSTALAÇÕES ELÉTRICAS E INSTALAÇÕES DE LÓGICA</v>
          </cell>
          <cell r="C27">
            <v>28502.300000000003</v>
          </cell>
          <cell r="D27">
            <v>2.1250087150944835E-3</v>
          </cell>
        </row>
        <row r="28">
          <cell r="A28" t="str">
            <v>D.5</v>
          </cell>
          <cell r="B28" t="str">
            <v>INSTALAÇÕES PREVENÇÃO E COMBATE A INCENDIO E PANICO</v>
          </cell>
          <cell r="C28">
            <v>345</v>
          </cell>
          <cell r="D28">
            <v>2.5721713921599193E-5</v>
          </cell>
        </row>
        <row r="29">
          <cell r="A29" t="str">
            <v>E</v>
          </cell>
          <cell r="B29" t="str">
            <v xml:space="preserve">BANHEIRO DE APOIO ESPAÇO SHOW </v>
          </cell>
          <cell r="C29">
            <v>1006030.06</v>
          </cell>
          <cell r="D29">
            <v>7.5005267825650063E-2</v>
          </cell>
        </row>
        <row r="30">
          <cell r="A30" t="str">
            <v>E.1</v>
          </cell>
          <cell r="B30" t="str">
            <v>SERVIÇOS DE ESTRUTURA</v>
          </cell>
          <cell r="C30">
            <v>253060.44</v>
          </cell>
          <cell r="D30">
            <v>1.8867096355229037E-2</v>
          </cell>
        </row>
        <row r="31">
          <cell r="A31" t="str">
            <v>E.2</v>
          </cell>
          <cell r="B31" t="str">
            <v>ARQUITETURA</v>
          </cell>
          <cell r="C31">
            <v>603736.82999999996</v>
          </cell>
          <cell r="D31">
            <v>4.5012017464328015E-2</v>
          </cell>
        </row>
        <row r="32">
          <cell r="A32" t="str">
            <v>E.3</v>
          </cell>
          <cell r="B32" t="str">
            <v>INSTALAÇÕES HIDROSSANITÁRIAIS</v>
          </cell>
          <cell r="C32">
            <v>92652.61</v>
          </cell>
          <cell r="D32">
            <v>6.907779502926089E-3</v>
          </cell>
        </row>
        <row r="33">
          <cell r="A33" t="str">
            <v>E.4</v>
          </cell>
          <cell r="B33" t="str">
            <v>INSTALAÇÕES ELÉTRICAS</v>
          </cell>
          <cell r="C33">
            <v>56440.009999999995</v>
          </cell>
          <cell r="D33">
            <v>4.2079240317455004E-3</v>
          </cell>
        </row>
        <row r="34">
          <cell r="A34" t="str">
            <v>E.5</v>
          </cell>
          <cell r="B34" t="str">
            <v>INSTALAÇÕES PREVENÇÃO E COMBATE A INCENDIO E PANICO</v>
          </cell>
          <cell r="C34">
            <v>140.16999999999999</v>
          </cell>
          <cell r="D34">
            <v>1.0450471421421909E-5</v>
          </cell>
        </row>
        <row r="35">
          <cell r="A35" t="str">
            <v>F</v>
          </cell>
          <cell r="B35" t="str">
            <v>BANHEIROS DE APOIO CENTRO DE EVENTOS</v>
          </cell>
          <cell r="C35">
            <v>1253157.7300000002</v>
          </cell>
          <cell r="D35">
            <v>9.3418196996500835E-2</v>
          </cell>
        </row>
        <row r="36">
          <cell r="A36" t="str">
            <v>F.1</v>
          </cell>
          <cell r="B36" t="str">
            <v>SERVIÇOS DE ESTRUTURA</v>
          </cell>
          <cell r="C36">
            <v>264009.67999999993</v>
          </cell>
          <cell r="D36">
            <v>1.9683424526066511E-2</v>
          </cell>
        </row>
        <row r="37">
          <cell r="A37" t="str">
            <v>F.2</v>
          </cell>
          <cell r="B37" t="str">
            <v>ARQUITETURA</v>
          </cell>
          <cell r="C37">
            <v>785508.59000000032</v>
          </cell>
          <cell r="D37">
            <v>5.8564136912865973E-2</v>
          </cell>
        </row>
        <row r="38">
          <cell r="A38" t="str">
            <v>F.3</v>
          </cell>
          <cell r="B38" t="str">
            <v>INSTALAÇÕES HIDROSSANITÁRIAIS</v>
          </cell>
          <cell r="C38">
            <v>124505.89000000003</v>
          </cell>
          <cell r="D38">
            <v>9.2826228525626046E-3</v>
          </cell>
        </row>
        <row r="39">
          <cell r="A39" t="str">
            <v>F.4</v>
          </cell>
          <cell r="B39" t="str">
            <v>INSTALAÇÕES ELÉTRICAS</v>
          </cell>
          <cell r="C39">
            <v>78974.689999999988</v>
          </cell>
          <cell r="D39">
            <v>5.8880127050057402E-3</v>
          </cell>
        </row>
        <row r="40">
          <cell r="A40" t="str">
            <v>F.5</v>
          </cell>
          <cell r="B40" t="str">
            <v>INSTALAÇÕES PREVENÇÃO E COMBATE A INCENDIO E PANICO</v>
          </cell>
          <cell r="C40">
            <v>158.88</v>
          </cell>
          <cell r="D40">
            <v>1.1845408428590376E-5</v>
          </cell>
        </row>
        <row r="41">
          <cell r="A41" t="str">
            <v>G</v>
          </cell>
          <cell r="B41" t="str">
            <v>INFRA CONTÊINERES</v>
          </cell>
          <cell r="C41">
            <v>253200.62</v>
          </cell>
          <cell r="D41">
            <v>1.8877547572207384E-2</v>
          </cell>
        </row>
        <row r="42">
          <cell r="A42" t="str">
            <v>G.1</v>
          </cell>
          <cell r="B42" t="str">
            <v>INSTALAÇÕES HIDROSSANITÁRIAIS - CONTÊINERES PARA USO NO SUNSET</v>
          </cell>
          <cell r="C42">
            <v>27112.310000000005</v>
          </cell>
          <cell r="D42">
            <v>2.0213770480397484E-3</v>
          </cell>
        </row>
        <row r="43">
          <cell r="A43" t="str">
            <v>G.2</v>
          </cell>
          <cell r="B43" t="str">
            <v>INSTALAÇÕES HIDROSSANITÁRIAIS - CONTÊINERES PARA USO NO ESTACIONAMENTO BLOCO DE SERVIÇOS</v>
          </cell>
          <cell r="C43">
            <v>22180.120000000003</v>
          </cell>
          <cell r="D43">
            <v>1.6536542069180891E-3</v>
          </cell>
        </row>
        <row r="44">
          <cell r="A44" t="str">
            <v>G.3</v>
          </cell>
          <cell r="B44" t="str">
            <v>INSTALAÇÕES HIDROSSANITÁRIAIS - CONTÊINERES PARA KARTÓDROMO</v>
          </cell>
          <cell r="C44">
            <v>24803.919999999998</v>
          </cell>
          <cell r="D44">
            <v>1.8492734329687902E-3</v>
          </cell>
        </row>
        <row r="45">
          <cell r="A45" t="str">
            <v>G.4</v>
          </cell>
          <cell r="B45" t="str">
            <v>INSTALAÇÕES HIDROSSANITÁRIAIS - CONTÊINERES PARA PRAÇA DA ORLA</v>
          </cell>
          <cell r="C45">
            <v>17824.43</v>
          </cell>
          <cell r="D45">
            <v>1.328912722537885E-3</v>
          </cell>
        </row>
        <row r="46">
          <cell r="A46" t="str">
            <v>G.5</v>
          </cell>
          <cell r="B46" t="str">
            <v>INSTALAÇÕES HIDROSSANITÁRIAIS - CONTÊINERES AO LADO DO ESPAÇO SHOWS</v>
          </cell>
          <cell r="C46">
            <v>27839.35</v>
          </cell>
          <cell r="D46">
            <v>2.0755820187341231E-3</v>
          </cell>
        </row>
        <row r="47">
          <cell r="A47" t="str">
            <v>G.6</v>
          </cell>
          <cell r="B47" t="str">
            <v>INSTALAÇÕES HIDROSSANITÁRIAIS - CONTÊINERES AO LADO DO CENTRO DE EVENTOS</v>
          </cell>
          <cell r="C47">
            <v>37866.17</v>
          </cell>
          <cell r="D47">
            <v>2.823138527671425E-3</v>
          </cell>
        </row>
        <row r="48">
          <cell r="A48" t="str">
            <v>G.7</v>
          </cell>
          <cell r="B48" t="str">
            <v>INSTALAÇÕES ELÉTRICAS E CABEAMENTO ESTRUTURADO</v>
          </cell>
          <cell r="C48">
            <v>95574.319999999992</v>
          </cell>
          <cell r="D48">
            <v>7.1256096153373217E-3</v>
          </cell>
        </row>
        <row r="49">
          <cell r="A49" t="str">
            <v>IMPORTA O PRESENTE ORÇAMENTO O VALOR DE:</v>
          </cell>
          <cell r="B49"/>
          <cell r="C49">
            <v>13412792.050000001</v>
          </cell>
          <cell r="D49">
            <v>1.0000000000000002</v>
          </cell>
        </row>
        <row r="54">
          <cell r="B54"/>
        </row>
        <row r="55">
          <cell r="B55" t="str">
            <v>Eng. Douglas Fernando Cerqueira</v>
          </cell>
        </row>
        <row r="56">
          <cell r="B56" t="str">
            <v>CREA 029663/MT</v>
          </cell>
        </row>
        <row r="57">
          <cell r="B57" t="str">
            <v>Responsável Técnico</v>
          </cell>
        </row>
        <row r="58">
          <cell r="B58" t="str">
            <v>Construtora Nhambiquaras Ltda.</v>
          </cell>
        </row>
      </sheetData>
      <sheetData sheetId="5">
        <row r="1">
          <cell r="A1" t="str">
            <v>OBRA:</v>
          </cell>
          <cell r="B1" t="str">
            <v>COMPLEXO SUNSET DO PARQUE NOVO MATO GROSSO</v>
          </cell>
        </row>
        <row r="2">
          <cell r="A2" t="str">
            <v xml:space="preserve">ENDEREÇO: </v>
          </cell>
          <cell r="B2" t="str">
            <v>MT 251, KM 11, S/N, ÁREA RURAL - PARQUE NOVO MATO GROSSO, CEP 78099-899</v>
          </cell>
        </row>
        <row r="3">
          <cell r="A3" t="str">
            <v>MUNICÍPIO:</v>
          </cell>
          <cell r="B3" t="str">
            <v>CUIABÁ - MT</v>
          </cell>
        </row>
        <row r="4">
          <cell r="A4" t="str">
            <v>OBJETO:</v>
          </cell>
          <cell r="B4" t="str">
            <v>CONTRATAÇÃO DE EMPRESA ESPECIALIZADA PARA EXECUÇÃO DAS OBRAS DO "COMPLEXO SUNSET (WAKE BAR, PRAÇA SUNSET, QUIOSQUE, BANHEIROS DE APOIO E INFRA DE CONTÊINER) DO PARQUE NOVO MATO GROSSO"</v>
          </cell>
        </row>
      </sheetData>
      <sheetData sheetId="6"/>
      <sheetData sheetId="7"/>
      <sheetData sheetId="8">
        <row r="11">
          <cell r="F11">
            <v>9.0568689260581925E-2</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4.08_ND"/>
      <sheetName val="🟠PS"/>
      <sheetName val="00-INT."/>
      <sheetName val="00 - JT"/>
      <sheetName val="CAPA"/>
      <sheetName val="Inserção Dados"/>
      <sheetName val="Dados Contrato"/>
      <sheetName val="03-CONTROLE FINANCEIRO"/>
      <sheetName val="Medição "/>
      <sheetName val="Boletim"/>
      <sheetName val="01-RESUMO"/>
      <sheetName val="Cronograma"/>
      <sheetName val="Fotos"/>
      <sheetName val="01-RES."/>
      <sheetName val="03-CP"/>
      <sheetName val="04-CFF"/>
      <sheetName val="05-EVE"/>
      <sheetName val="09 - MC"/>
      <sheetName val="06 - ABC"/>
      <sheetName val="06-BDI"/>
      <sheetName val="07 - ES"/>
      <sheetName val="10-QT_AL"/>
      <sheetName val="11 - QT_ WB"/>
      <sheetName val="12 - QT_SUN"/>
      <sheetName val="13 - QT_QUI"/>
      <sheetName val="14 - QT_BES"/>
      <sheetName val="15 - QT_BCE"/>
      <sheetName val="16 - QT_ICONT"/>
      <sheetName val="• CIs EXT"/>
    </sheetNames>
    <sheetDataSet>
      <sheetData sheetId="0"/>
      <sheetData sheetId="1"/>
      <sheetData sheetId="2"/>
      <sheetData sheetId="3"/>
      <sheetData sheetId="4"/>
      <sheetData sheetId="5"/>
      <sheetData sheetId="6"/>
      <sheetData sheetId="7"/>
      <sheetData sheetId="8"/>
      <sheetData sheetId="9"/>
      <sheetData sheetId="10"/>
      <sheetData sheetId="11">
        <row r="9">
          <cell r="E9">
            <v>12917.050000000001</v>
          </cell>
        </row>
        <row r="11">
          <cell r="E11">
            <v>72496.320000000007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4.08_ND"/>
      <sheetName val="🟠PS"/>
      <sheetName val="00-INT."/>
      <sheetName val="00 - JT"/>
      <sheetName val="CAPA"/>
      <sheetName val="Inserção Dados"/>
      <sheetName val="Dados Contrato"/>
      <sheetName val="03-CONTROLE FINANCEIRO"/>
      <sheetName val="Medição "/>
      <sheetName val="Boletim"/>
      <sheetName val="01-RESUMO"/>
      <sheetName val="Cronograma"/>
      <sheetName val="Fotos"/>
      <sheetName val="01-RES."/>
      <sheetName val="03-CP"/>
      <sheetName val="04-CFF"/>
      <sheetName val="05-EVE"/>
      <sheetName val="09 - MC"/>
      <sheetName val="06 - ABC"/>
      <sheetName val="06-BDI"/>
      <sheetName val="07 - ES"/>
      <sheetName val="10-QT_AL"/>
      <sheetName val="11 - QT_ WB"/>
      <sheetName val="12 - QT_SUN"/>
      <sheetName val="13 - QT_QUI"/>
      <sheetName val="14 - QT_BES"/>
      <sheetName val="15 - QT_BCE"/>
      <sheetName val="16 - QT_ICONT"/>
      <sheetName val="• CIs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9">
          <cell r="G9">
            <v>20153.8</v>
          </cell>
        </row>
        <row r="11">
          <cell r="G11">
            <v>59550.630000000005</v>
          </cell>
        </row>
        <row r="14">
          <cell r="G14">
            <v>5235.6499999999996</v>
          </cell>
        </row>
        <row r="34">
          <cell r="G34">
            <v>5950.9999999999991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hyperlink" Target="https://drive.google.com/drive/folders/1h1M3WK6LxPr0PyrW9Kkc_uDj2aE_h59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caixa.gov.br/Downloads/sinapi-manual-de-metodologias-e-conceitos/Livro2_SINAPI_Calculos_e_Parametros_Edicao_Digital_Vigente.pdf"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hyperlink" Target="https://drive.google.com/drive/u/2/folders/1gBDcR2SCd8-0GFBrNL-alwanJEYjVCgW"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I12459"/>
  <sheetViews>
    <sheetView workbookViewId="0">
      <selection sqref="A1:D1"/>
    </sheetView>
  </sheetViews>
  <sheetFormatPr defaultColWidth="12.5703125" defaultRowHeight="15" customHeight="1"/>
  <cols>
    <col min="1" max="1" width="11" customWidth="1"/>
    <col min="2" max="2" width="85.5703125" customWidth="1"/>
    <col min="3" max="3" width="8.140625" customWidth="1"/>
    <col min="4" max="4" width="21.140625" customWidth="1"/>
  </cols>
  <sheetData>
    <row r="1" spans="1:7" ht="33.75" customHeight="1">
      <c r="A1" s="2587" t="s">
        <v>0</v>
      </c>
      <c r="B1" s="2588"/>
      <c r="C1" s="2588"/>
      <c r="D1" s="2588"/>
    </row>
    <row r="2" spans="1:7" ht="12.75" customHeight="1">
      <c r="A2" s="1" t="s">
        <v>1</v>
      </c>
      <c r="B2" s="1" t="s">
        <v>2</v>
      </c>
      <c r="C2" s="1" t="s">
        <v>3</v>
      </c>
      <c r="D2" s="2" t="s">
        <v>4</v>
      </c>
      <c r="E2" t="s">
        <v>4</v>
      </c>
    </row>
    <row r="3" spans="1:7" ht="12.75" customHeight="1">
      <c r="A3" s="3">
        <v>38605</v>
      </c>
      <c r="B3" s="4" t="s">
        <v>5</v>
      </c>
      <c r="C3" s="3" t="s">
        <v>6</v>
      </c>
      <c r="D3" s="5">
        <f t="shared" ref="D3:D66" si="0">G3</f>
        <v>148.11000000000001</v>
      </c>
      <c r="E3">
        <v>162.58000000000001</v>
      </c>
      <c r="F3" s="1789">
        <v>8.8999999999999996E-2</v>
      </c>
      <c r="G3">
        <f t="shared" ref="G3:G66" si="1">TRUNC((1-F3)*E3,2)</f>
        <v>148.11000000000001</v>
      </c>
    </row>
    <row r="4" spans="1:7" ht="12.75" customHeight="1">
      <c r="A4" s="3">
        <v>11270</v>
      </c>
      <c r="B4" s="4" t="s">
        <v>7</v>
      </c>
      <c r="C4" s="3" t="s">
        <v>6</v>
      </c>
      <c r="D4" s="5">
        <f t="shared" si="0"/>
        <v>2.4900000000000002</v>
      </c>
      <c r="E4">
        <v>2.74</v>
      </c>
      <c r="F4" s="1789">
        <v>8.8999999999999996E-2</v>
      </c>
      <c r="G4">
        <f t="shared" si="1"/>
        <v>2.4900000000000002</v>
      </c>
    </row>
    <row r="5" spans="1:7" ht="12.75" customHeight="1">
      <c r="A5" s="3">
        <v>412</v>
      </c>
      <c r="B5" s="4" t="s">
        <v>8</v>
      </c>
      <c r="C5" s="3" t="s">
        <v>6</v>
      </c>
      <c r="D5" s="5">
        <f t="shared" si="0"/>
        <v>1.4</v>
      </c>
      <c r="E5">
        <v>1.54</v>
      </c>
      <c r="F5" s="1789">
        <v>8.8999999999999996E-2</v>
      </c>
      <c r="G5">
        <f t="shared" si="1"/>
        <v>1.4</v>
      </c>
    </row>
    <row r="6" spans="1:7" ht="12.75" customHeight="1">
      <c r="A6" s="3">
        <v>414</v>
      </c>
      <c r="B6" s="4" t="s">
        <v>9</v>
      </c>
      <c r="C6" s="3" t="s">
        <v>6</v>
      </c>
      <c r="D6" s="5">
        <f t="shared" si="0"/>
        <v>0.08</v>
      </c>
      <c r="E6">
        <v>0.09</v>
      </c>
      <c r="F6" s="1789">
        <v>8.8999999999999996E-2</v>
      </c>
      <c r="G6">
        <f t="shared" si="1"/>
        <v>0.08</v>
      </c>
    </row>
    <row r="7" spans="1:7" ht="12.75" customHeight="1">
      <c r="A7" s="3">
        <v>410</v>
      </c>
      <c r="B7" s="4" t="s">
        <v>10</v>
      </c>
      <c r="C7" s="3" t="s">
        <v>6</v>
      </c>
      <c r="D7" s="5">
        <f t="shared" si="0"/>
        <v>0.2</v>
      </c>
      <c r="E7">
        <v>0.23</v>
      </c>
      <c r="F7" s="1789">
        <v>8.8999999999999996E-2</v>
      </c>
      <c r="G7">
        <f t="shared" si="1"/>
        <v>0.2</v>
      </c>
    </row>
    <row r="8" spans="1:7" ht="12.75" customHeight="1">
      <c r="A8" s="3">
        <v>411</v>
      </c>
      <c r="B8" s="4" t="s">
        <v>11</v>
      </c>
      <c r="C8" s="3" t="s">
        <v>6</v>
      </c>
      <c r="D8" s="5">
        <f t="shared" si="0"/>
        <v>0.27</v>
      </c>
      <c r="E8">
        <v>0.3</v>
      </c>
      <c r="F8" s="1789">
        <v>8.8999999999999996E-2</v>
      </c>
      <c r="G8">
        <f t="shared" si="1"/>
        <v>0.27</v>
      </c>
    </row>
    <row r="9" spans="1:7" ht="12.75" customHeight="1">
      <c r="A9" s="3">
        <v>408</v>
      </c>
      <c r="B9" s="4" t="s">
        <v>12</v>
      </c>
      <c r="C9" s="3" t="s">
        <v>6</v>
      </c>
      <c r="D9" s="5">
        <f t="shared" si="0"/>
        <v>1.34</v>
      </c>
      <c r="E9">
        <v>1.48</v>
      </c>
      <c r="F9" s="1789">
        <v>8.8999999999999996E-2</v>
      </c>
      <c r="G9">
        <f t="shared" si="1"/>
        <v>1.34</v>
      </c>
    </row>
    <row r="10" spans="1:7" ht="12.75" customHeight="1">
      <c r="A10" s="3">
        <v>39131</v>
      </c>
      <c r="B10" s="4" t="s">
        <v>13</v>
      </c>
      <c r="C10" s="3" t="s">
        <v>6</v>
      </c>
      <c r="D10" s="5">
        <f t="shared" si="0"/>
        <v>3.71</v>
      </c>
      <c r="E10">
        <v>4.08</v>
      </c>
      <c r="F10" s="1789">
        <v>8.8999999999999996E-2</v>
      </c>
      <c r="G10">
        <f t="shared" si="1"/>
        <v>3.71</v>
      </c>
    </row>
    <row r="11" spans="1:7" ht="12.75" customHeight="1">
      <c r="A11" s="3">
        <v>394</v>
      </c>
      <c r="B11" s="4" t="s">
        <v>14</v>
      </c>
      <c r="C11" s="3" t="s">
        <v>6</v>
      </c>
      <c r="D11" s="5">
        <f t="shared" si="0"/>
        <v>3.76</v>
      </c>
      <c r="E11">
        <v>4.13</v>
      </c>
      <c r="F11" s="1789">
        <v>8.8999999999999996E-2</v>
      </c>
      <c r="G11">
        <f t="shared" si="1"/>
        <v>3.76</v>
      </c>
    </row>
    <row r="12" spans="1:7" ht="12.75" customHeight="1">
      <c r="A12" s="3">
        <v>39130</v>
      </c>
      <c r="B12" s="4" t="s">
        <v>15</v>
      </c>
      <c r="C12" s="3" t="s">
        <v>6</v>
      </c>
      <c r="D12" s="5">
        <f t="shared" si="0"/>
        <v>3.38</v>
      </c>
      <c r="E12">
        <v>3.72</v>
      </c>
      <c r="F12" s="1789">
        <v>8.8999999999999996E-2</v>
      </c>
      <c r="G12">
        <f t="shared" si="1"/>
        <v>3.38</v>
      </c>
    </row>
    <row r="13" spans="1:7" ht="12.75" customHeight="1">
      <c r="A13" s="3">
        <v>395</v>
      </c>
      <c r="B13" s="4" t="s">
        <v>16</v>
      </c>
      <c r="C13" s="3" t="s">
        <v>6</v>
      </c>
      <c r="D13" s="5">
        <f t="shared" si="0"/>
        <v>3.62</v>
      </c>
      <c r="E13">
        <v>3.98</v>
      </c>
      <c r="F13" s="1789">
        <v>8.8999999999999996E-2</v>
      </c>
      <c r="G13">
        <f t="shared" si="1"/>
        <v>3.62</v>
      </c>
    </row>
    <row r="14" spans="1:7" ht="12.75" customHeight="1">
      <c r="A14" s="3">
        <v>39127</v>
      </c>
      <c r="B14" s="4" t="s">
        <v>17</v>
      </c>
      <c r="C14" s="3" t="s">
        <v>6</v>
      </c>
      <c r="D14" s="5">
        <f t="shared" si="0"/>
        <v>1.78</v>
      </c>
      <c r="E14">
        <v>1.96</v>
      </c>
      <c r="F14" s="1789">
        <v>8.8999999999999996E-2</v>
      </c>
      <c r="G14">
        <f t="shared" si="1"/>
        <v>1.78</v>
      </c>
    </row>
    <row r="15" spans="1:7" ht="12.75" customHeight="1">
      <c r="A15" s="3">
        <v>392</v>
      </c>
      <c r="B15" s="4" t="s">
        <v>18</v>
      </c>
      <c r="C15" s="3" t="s">
        <v>6</v>
      </c>
      <c r="D15" s="5">
        <f t="shared" si="0"/>
        <v>1.83</v>
      </c>
      <c r="E15">
        <v>2.0099999999999998</v>
      </c>
      <c r="F15" s="1789">
        <v>8.8999999999999996E-2</v>
      </c>
      <c r="G15">
        <f t="shared" si="1"/>
        <v>1.83</v>
      </c>
    </row>
    <row r="16" spans="1:7" ht="12.75" customHeight="1">
      <c r="A16" s="3">
        <v>39129</v>
      </c>
      <c r="B16" s="4" t="s">
        <v>19</v>
      </c>
      <c r="C16" s="3" t="s">
        <v>6</v>
      </c>
      <c r="D16" s="5">
        <f t="shared" si="0"/>
        <v>2.08</v>
      </c>
      <c r="E16">
        <v>2.29</v>
      </c>
      <c r="F16" s="1789">
        <v>8.8999999999999996E-2</v>
      </c>
      <c r="G16">
        <f t="shared" si="1"/>
        <v>2.08</v>
      </c>
    </row>
    <row r="17" spans="1:7" ht="12.75" customHeight="1">
      <c r="A17" s="3">
        <v>393</v>
      </c>
      <c r="B17" s="4" t="s">
        <v>20</v>
      </c>
      <c r="C17" s="3" t="s">
        <v>6</v>
      </c>
      <c r="D17" s="5">
        <f t="shared" si="0"/>
        <v>2.1800000000000002</v>
      </c>
      <c r="E17">
        <v>2.4</v>
      </c>
      <c r="F17" s="1789">
        <v>8.8999999999999996E-2</v>
      </c>
      <c r="G17">
        <f t="shared" si="1"/>
        <v>2.1800000000000002</v>
      </c>
    </row>
    <row r="18" spans="1:7" ht="12.75" customHeight="1">
      <c r="A18" s="3">
        <v>39133</v>
      </c>
      <c r="B18" s="4" t="s">
        <v>21</v>
      </c>
      <c r="C18" s="3" t="s">
        <v>6</v>
      </c>
      <c r="D18" s="5">
        <f t="shared" si="0"/>
        <v>4.88</v>
      </c>
      <c r="E18">
        <v>5.36</v>
      </c>
      <c r="F18" s="1789">
        <v>8.8999999999999996E-2</v>
      </c>
      <c r="G18">
        <f t="shared" si="1"/>
        <v>4.88</v>
      </c>
    </row>
    <row r="19" spans="1:7" ht="12.75" customHeight="1">
      <c r="A19" s="3">
        <v>397</v>
      </c>
      <c r="B19" s="4" t="s">
        <v>22</v>
      </c>
      <c r="C19" s="3" t="s">
        <v>6</v>
      </c>
      <c r="D19" s="5">
        <f t="shared" si="0"/>
        <v>5.39</v>
      </c>
      <c r="E19">
        <v>5.92</v>
      </c>
      <c r="F19" s="1789">
        <v>8.8999999999999996E-2</v>
      </c>
      <c r="G19">
        <f t="shared" si="1"/>
        <v>5.39</v>
      </c>
    </row>
    <row r="20" spans="1:7" ht="12.75" customHeight="1">
      <c r="A20" s="3">
        <v>39132</v>
      </c>
      <c r="B20" s="4" t="s">
        <v>23</v>
      </c>
      <c r="C20" s="3" t="s">
        <v>6</v>
      </c>
      <c r="D20" s="5">
        <f t="shared" si="0"/>
        <v>3.89</v>
      </c>
      <c r="E20">
        <v>4.28</v>
      </c>
      <c r="F20" s="1789">
        <v>8.8999999999999996E-2</v>
      </c>
      <c r="G20">
        <f t="shared" si="1"/>
        <v>3.89</v>
      </c>
    </row>
    <row r="21" spans="1:7" ht="12.75" customHeight="1">
      <c r="A21" s="3">
        <v>396</v>
      </c>
      <c r="B21" s="4" t="s">
        <v>24</v>
      </c>
      <c r="C21" s="3" t="s">
        <v>6</v>
      </c>
      <c r="D21" s="5">
        <f t="shared" si="0"/>
        <v>4.18</v>
      </c>
      <c r="E21">
        <v>4.59</v>
      </c>
      <c r="F21" s="1789">
        <v>8.8999999999999996E-2</v>
      </c>
      <c r="G21">
        <f t="shared" si="1"/>
        <v>4.18</v>
      </c>
    </row>
    <row r="22" spans="1:7" ht="12.75" customHeight="1">
      <c r="A22" s="3">
        <v>39135</v>
      </c>
      <c r="B22" s="4" t="s">
        <v>25</v>
      </c>
      <c r="C22" s="3" t="s">
        <v>6</v>
      </c>
      <c r="D22" s="5">
        <f t="shared" si="0"/>
        <v>7.8</v>
      </c>
      <c r="E22">
        <v>8.57</v>
      </c>
      <c r="F22" s="1789">
        <v>8.8999999999999996E-2</v>
      </c>
      <c r="G22">
        <f t="shared" si="1"/>
        <v>7.8</v>
      </c>
    </row>
    <row r="23" spans="1:7" ht="12.75" customHeight="1">
      <c r="A23" s="3">
        <v>39128</v>
      </c>
      <c r="B23" s="4" t="s">
        <v>26</v>
      </c>
      <c r="C23" s="3" t="s">
        <v>6</v>
      </c>
      <c r="D23" s="5">
        <f t="shared" si="0"/>
        <v>1.94</v>
      </c>
      <c r="E23">
        <v>2.14</v>
      </c>
      <c r="F23" s="1789">
        <v>8.8999999999999996E-2</v>
      </c>
      <c r="G23">
        <f t="shared" si="1"/>
        <v>1.94</v>
      </c>
    </row>
    <row r="24" spans="1:7" ht="12.75" customHeight="1">
      <c r="A24" s="3">
        <v>400</v>
      </c>
      <c r="B24" s="4" t="s">
        <v>27</v>
      </c>
      <c r="C24" s="3" t="s">
        <v>6</v>
      </c>
      <c r="D24" s="5">
        <f t="shared" si="0"/>
        <v>1.9</v>
      </c>
      <c r="E24">
        <v>2.09</v>
      </c>
      <c r="F24" s="1789">
        <v>8.8999999999999996E-2</v>
      </c>
      <c r="G24">
        <f t="shared" si="1"/>
        <v>1.9</v>
      </c>
    </row>
    <row r="25" spans="1:7" ht="12.75" customHeight="1">
      <c r="A25" s="3">
        <v>39125</v>
      </c>
      <c r="B25" s="4" t="s">
        <v>28</v>
      </c>
      <c r="C25" s="3" t="s">
        <v>6</v>
      </c>
      <c r="D25" s="5">
        <f t="shared" si="0"/>
        <v>1.94</v>
      </c>
      <c r="E25">
        <v>2.14</v>
      </c>
      <c r="F25" s="1789">
        <v>8.8999999999999996E-2</v>
      </c>
      <c r="G25">
        <f t="shared" si="1"/>
        <v>1.94</v>
      </c>
    </row>
    <row r="26" spans="1:7" ht="12.75" customHeight="1">
      <c r="A26" s="3">
        <v>39134</v>
      </c>
      <c r="B26" s="4" t="s">
        <v>29</v>
      </c>
      <c r="C26" s="3" t="s">
        <v>6</v>
      </c>
      <c r="D26" s="5">
        <f t="shared" si="0"/>
        <v>6.5</v>
      </c>
      <c r="E26">
        <v>7.14</v>
      </c>
      <c r="F26" s="1789">
        <v>8.8999999999999996E-2</v>
      </c>
      <c r="G26">
        <f t="shared" si="1"/>
        <v>6.5</v>
      </c>
    </row>
    <row r="27" spans="1:7" ht="12.75" customHeight="1">
      <c r="A27" s="3">
        <v>398</v>
      </c>
      <c r="B27" s="4" t="s">
        <v>30</v>
      </c>
      <c r="C27" s="3" t="s">
        <v>6</v>
      </c>
      <c r="D27" s="5">
        <f t="shared" si="0"/>
        <v>5.99</v>
      </c>
      <c r="E27">
        <v>6.58</v>
      </c>
      <c r="F27" s="1789">
        <v>8.8999999999999996E-2</v>
      </c>
      <c r="G27">
        <f t="shared" si="1"/>
        <v>5.99</v>
      </c>
    </row>
    <row r="28" spans="1:7" ht="12.75" customHeight="1">
      <c r="A28" s="3">
        <v>39126</v>
      </c>
      <c r="B28" s="4" t="s">
        <v>31</v>
      </c>
      <c r="C28" s="3" t="s">
        <v>6</v>
      </c>
      <c r="D28" s="5">
        <f t="shared" si="0"/>
        <v>8.7899999999999991</v>
      </c>
      <c r="E28">
        <v>9.65</v>
      </c>
      <c r="F28" s="1789">
        <v>8.8999999999999996E-2</v>
      </c>
      <c r="G28">
        <f t="shared" si="1"/>
        <v>8.7899999999999991</v>
      </c>
    </row>
    <row r="29" spans="1:7" ht="12.75" customHeight="1">
      <c r="A29" s="3">
        <v>399</v>
      </c>
      <c r="B29" s="4" t="s">
        <v>32</v>
      </c>
      <c r="C29" s="3" t="s">
        <v>6</v>
      </c>
      <c r="D29" s="5">
        <f t="shared" si="0"/>
        <v>7.74</v>
      </c>
      <c r="E29">
        <v>8.5</v>
      </c>
      <c r="F29" s="1789">
        <v>8.8999999999999996E-2</v>
      </c>
      <c r="G29">
        <f t="shared" si="1"/>
        <v>7.74</v>
      </c>
    </row>
    <row r="30" spans="1:7" ht="12.75" customHeight="1">
      <c r="A30" s="3">
        <v>39158</v>
      </c>
      <c r="B30" s="4" t="s">
        <v>33</v>
      </c>
      <c r="C30" s="3" t="s">
        <v>6</v>
      </c>
      <c r="D30" s="5">
        <f t="shared" si="0"/>
        <v>20.78</v>
      </c>
      <c r="E30">
        <v>22.82</v>
      </c>
      <c r="F30" s="1789">
        <v>8.8999999999999996E-2</v>
      </c>
      <c r="G30">
        <f t="shared" si="1"/>
        <v>20.78</v>
      </c>
    </row>
    <row r="31" spans="1:7" ht="12.75" customHeight="1">
      <c r="A31" s="3">
        <v>39141</v>
      </c>
      <c r="B31" s="4" t="s">
        <v>34</v>
      </c>
      <c r="C31" s="3" t="s">
        <v>6</v>
      </c>
      <c r="D31" s="5">
        <f t="shared" si="0"/>
        <v>1.5</v>
      </c>
      <c r="E31">
        <v>1.65</v>
      </c>
      <c r="F31" s="1789">
        <v>8.8999999999999996E-2</v>
      </c>
      <c r="G31">
        <f t="shared" si="1"/>
        <v>1.5</v>
      </c>
    </row>
    <row r="32" spans="1:7" ht="12.75" customHeight="1">
      <c r="A32" s="3">
        <v>39140</v>
      </c>
      <c r="B32" s="4" t="s">
        <v>35</v>
      </c>
      <c r="C32" s="3" t="s">
        <v>6</v>
      </c>
      <c r="D32" s="5">
        <f t="shared" si="0"/>
        <v>1.36</v>
      </c>
      <c r="E32">
        <v>1.5</v>
      </c>
      <c r="F32" s="1789">
        <v>8.8999999999999996E-2</v>
      </c>
      <c r="G32">
        <f t="shared" si="1"/>
        <v>1.36</v>
      </c>
    </row>
    <row r="33" spans="1:7" ht="12.75" customHeight="1">
      <c r="A33" s="3">
        <v>39137</v>
      </c>
      <c r="B33" s="4" t="s">
        <v>36</v>
      </c>
      <c r="C33" s="3" t="s">
        <v>6</v>
      </c>
      <c r="D33" s="5">
        <f t="shared" si="0"/>
        <v>0.78</v>
      </c>
      <c r="E33">
        <v>0.86</v>
      </c>
      <c r="F33" s="1789">
        <v>8.8999999999999996E-2</v>
      </c>
      <c r="G33">
        <f t="shared" si="1"/>
        <v>0.78</v>
      </c>
    </row>
    <row r="34" spans="1:7" ht="12.75" customHeight="1">
      <c r="A34" s="3">
        <v>39139</v>
      </c>
      <c r="B34" s="4" t="s">
        <v>37</v>
      </c>
      <c r="C34" s="3" t="s">
        <v>6</v>
      </c>
      <c r="D34" s="5">
        <f t="shared" si="0"/>
        <v>1.1299999999999999</v>
      </c>
      <c r="E34">
        <v>1.25</v>
      </c>
      <c r="F34" s="1789">
        <v>8.8999999999999996E-2</v>
      </c>
      <c r="G34">
        <f t="shared" si="1"/>
        <v>1.1299999999999999</v>
      </c>
    </row>
    <row r="35" spans="1:7" ht="12.75" customHeight="1">
      <c r="A35" s="3">
        <v>39143</v>
      </c>
      <c r="B35" s="4" t="s">
        <v>38</v>
      </c>
      <c r="C35" s="3" t="s">
        <v>6</v>
      </c>
      <c r="D35" s="5">
        <f t="shared" si="0"/>
        <v>3.11</v>
      </c>
      <c r="E35">
        <v>3.42</v>
      </c>
      <c r="F35" s="1789">
        <v>8.8999999999999996E-2</v>
      </c>
      <c r="G35">
        <f t="shared" si="1"/>
        <v>3.11</v>
      </c>
    </row>
    <row r="36" spans="1:7" ht="12.75" customHeight="1">
      <c r="A36" s="3">
        <v>39142</v>
      </c>
      <c r="B36" s="4" t="s">
        <v>39</v>
      </c>
      <c r="C36" s="3" t="s">
        <v>6</v>
      </c>
      <c r="D36" s="5">
        <f t="shared" si="0"/>
        <v>2.23</v>
      </c>
      <c r="E36">
        <v>2.4500000000000002</v>
      </c>
      <c r="F36" s="1789">
        <v>8.8999999999999996E-2</v>
      </c>
      <c r="G36">
        <f t="shared" si="1"/>
        <v>2.23</v>
      </c>
    </row>
    <row r="37" spans="1:7" ht="12.75" customHeight="1">
      <c r="A37" s="3">
        <v>39138</v>
      </c>
      <c r="B37" s="4" t="s">
        <v>40</v>
      </c>
      <c r="C37" s="3" t="s">
        <v>6</v>
      </c>
      <c r="D37" s="5">
        <f t="shared" si="0"/>
        <v>0.82</v>
      </c>
      <c r="E37">
        <v>0.91</v>
      </c>
      <c r="F37" s="1789">
        <v>8.8999999999999996E-2</v>
      </c>
      <c r="G37">
        <f t="shared" si="1"/>
        <v>0.82</v>
      </c>
    </row>
    <row r="38" spans="1:7" ht="12.75" customHeight="1">
      <c r="A38" s="3">
        <v>39136</v>
      </c>
      <c r="B38" s="4" t="s">
        <v>41</v>
      </c>
      <c r="C38" s="3" t="s">
        <v>6</v>
      </c>
      <c r="D38" s="5">
        <f t="shared" si="0"/>
        <v>0.55000000000000004</v>
      </c>
      <c r="E38">
        <v>0.61</v>
      </c>
      <c r="F38" s="1789">
        <v>8.8999999999999996E-2</v>
      </c>
      <c r="G38">
        <f t="shared" si="1"/>
        <v>0.55000000000000004</v>
      </c>
    </row>
    <row r="39" spans="1:7" ht="12.75" customHeight="1">
      <c r="A39" s="3">
        <v>39144</v>
      </c>
      <c r="B39" s="4" t="s">
        <v>42</v>
      </c>
      <c r="C39" s="3" t="s">
        <v>6</v>
      </c>
      <c r="D39" s="5">
        <f t="shared" si="0"/>
        <v>3.62</v>
      </c>
      <c r="E39">
        <v>3.98</v>
      </c>
      <c r="F39" s="1789">
        <v>8.8999999999999996E-2</v>
      </c>
      <c r="G39">
        <f t="shared" si="1"/>
        <v>3.62</v>
      </c>
    </row>
    <row r="40" spans="1:7" ht="12.75" customHeight="1">
      <c r="A40" s="3">
        <v>39145</v>
      </c>
      <c r="B40" s="4" t="s">
        <v>43</v>
      </c>
      <c r="C40" s="3" t="s">
        <v>6</v>
      </c>
      <c r="D40" s="5">
        <f t="shared" si="0"/>
        <v>5.97</v>
      </c>
      <c r="E40">
        <v>6.56</v>
      </c>
      <c r="F40" s="1789">
        <v>8.8999999999999996E-2</v>
      </c>
      <c r="G40">
        <f t="shared" si="1"/>
        <v>5.97</v>
      </c>
    </row>
    <row r="41" spans="1:7" ht="12.75" customHeight="1">
      <c r="A41" s="3">
        <v>12615</v>
      </c>
      <c r="B41" s="4" t="s">
        <v>44</v>
      </c>
      <c r="C41" s="3" t="s">
        <v>6</v>
      </c>
      <c r="D41" s="5">
        <f t="shared" si="0"/>
        <v>10.6</v>
      </c>
      <c r="E41">
        <v>11.64</v>
      </c>
      <c r="F41" s="1789">
        <v>8.8999999999999996E-2</v>
      </c>
      <c r="G41">
        <f t="shared" si="1"/>
        <v>10.6</v>
      </c>
    </row>
    <row r="42" spans="1:7" ht="12.75" customHeight="1">
      <c r="A42" s="3">
        <v>11927</v>
      </c>
      <c r="B42" s="4" t="s">
        <v>45</v>
      </c>
      <c r="C42" s="3" t="s">
        <v>6</v>
      </c>
      <c r="D42" s="5">
        <f t="shared" si="0"/>
        <v>7.47</v>
      </c>
      <c r="E42">
        <v>8.1999999999999993</v>
      </c>
      <c r="F42" s="1789">
        <v>8.8999999999999996E-2</v>
      </c>
      <c r="G42">
        <f t="shared" si="1"/>
        <v>7.47</v>
      </c>
    </row>
    <row r="43" spans="1:7" ht="12.75" customHeight="1">
      <c r="A43" s="3">
        <v>11928</v>
      </c>
      <c r="B43" s="4" t="s">
        <v>46</v>
      </c>
      <c r="C43" s="3" t="s">
        <v>6</v>
      </c>
      <c r="D43" s="5">
        <f t="shared" si="0"/>
        <v>8.5500000000000007</v>
      </c>
      <c r="E43">
        <v>9.39</v>
      </c>
      <c r="F43" s="1789">
        <v>8.8999999999999996E-2</v>
      </c>
      <c r="G43">
        <f t="shared" si="1"/>
        <v>8.5500000000000007</v>
      </c>
    </row>
    <row r="44" spans="1:7" ht="12.75" customHeight="1">
      <c r="A44" s="3">
        <v>11929</v>
      </c>
      <c r="B44" s="4" t="s">
        <v>47</v>
      </c>
      <c r="C44" s="3" t="s">
        <v>6</v>
      </c>
      <c r="D44" s="5">
        <f t="shared" si="0"/>
        <v>13.23</v>
      </c>
      <c r="E44">
        <v>14.53</v>
      </c>
      <c r="F44" s="1789">
        <v>8.8999999999999996E-2</v>
      </c>
      <c r="G44">
        <f t="shared" si="1"/>
        <v>13.23</v>
      </c>
    </row>
    <row r="45" spans="1:7" ht="12.75" customHeight="1">
      <c r="A45" s="3">
        <v>36801</v>
      </c>
      <c r="B45" s="4" t="s">
        <v>48</v>
      </c>
      <c r="C45" s="3" t="s">
        <v>6</v>
      </c>
      <c r="D45" s="5">
        <f t="shared" si="0"/>
        <v>34.54</v>
      </c>
      <c r="E45">
        <v>37.92</v>
      </c>
      <c r="F45" s="1789">
        <v>8.8999999999999996E-2</v>
      </c>
      <c r="G45">
        <f t="shared" si="1"/>
        <v>34.54</v>
      </c>
    </row>
    <row r="46" spans="1:7" ht="12.75" customHeight="1">
      <c r="A46" s="3">
        <v>36246</v>
      </c>
      <c r="B46" s="4" t="s">
        <v>49</v>
      </c>
      <c r="C46" s="3" t="s">
        <v>50</v>
      </c>
      <c r="D46" s="5">
        <f t="shared" si="0"/>
        <v>3.58</v>
      </c>
      <c r="E46">
        <v>3.93</v>
      </c>
      <c r="F46" s="1789">
        <v>8.8999999999999996E-2</v>
      </c>
      <c r="G46">
        <f t="shared" si="1"/>
        <v>3.58</v>
      </c>
    </row>
    <row r="47" spans="1:7" ht="12.75" customHeight="1">
      <c r="A47" s="3">
        <v>37600</v>
      </c>
      <c r="B47" s="4" t="s">
        <v>51</v>
      </c>
      <c r="C47" s="3" t="s">
        <v>6</v>
      </c>
      <c r="D47" s="5">
        <f t="shared" si="0"/>
        <v>95.52</v>
      </c>
      <c r="E47">
        <v>104.86</v>
      </c>
      <c r="F47" s="1789">
        <v>8.8999999999999996E-2</v>
      </c>
      <c r="G47">
        <f t="shared" si="1"/>
        <v>95.52</v>
      </c>
    </row>
    <row r="48" spans="1:7" ht="12.75" customHeight="1">
      <c r="A48" s="3">
        <v>37599</v>
      </c>
      <c r="B48" s="4" t="s">
        <v>52</v>
      </c>
      <c r="C48" s="3" t="s">
        <v>6</v>
      </c>
      <c r="D48" s="5">
        <f t="shared" si="0"/>
        <v>88.91</v>
      </c>
      <c r="E48">
        <v>97.6</v>
      </c>
      <c r="F48" s="1789">
        <v>8.8999999999999996E-2</v>
      </c>
      <c r="G48">
        <f t="shared" si="1"/>
        <v>88.91</v>
      </c>
    </row>
    <row r="49" spans="1:7" ht="12.75" customHeight="1">
      <c r="A49" s="3">
        <v>1</v>
      </c>
      <c r="B49" s="4" t="s">
        <v>53</v>
      </c>
      <c r="C49" s="3" t="s">
        <v>54</v>
      </c>
      <c r="D49" s="5">
        <f t="shared" si="0"/>
        <v>118.43</v>
      </c>
      <c r="E49">
        <v>130</v>
      </c>
      <c r="F49" s="1789">
        <v>8.8999999999999996E-2</v>
      </c>
      <c r="G49">
        <f t="shared" si="1"/>
        <v>118.43</v>
      </c>
    </row>
    <row r="50" spans="1:7" ht="12.75" customHeight="1">
      <c r="A50" s="3">
        <v>3</v>
      </c>
      <c r="B50" s="4" t="s">
        <v>55</v>
      </c>
      <c r="C50" s="3" t="s">
        <v>56</v>
      </c>
      <c r="D50" s="5">
        <f t="shared" si="0"/>
        <v>14.01</v>
      </c>
      <c r="E50">
        <v>15.38</v>
      </c>
      <c r="F50" s="1789">
        <v>8.8999999999999996E-2</v>
      </c>
      <c r="G50">
        <f t="shared" si="1"/>
        <v>14.01</v>
      </c>
    </row>
    <row r="51" spans="1:7" ht="12.75" customHeight="1">
      <c r="A51" s="3">
        <v>43054</v>
      </c>
      <c r="B51" s="4" t="s">
        <v>57</v>
      </c>
      <c r="C51" s="3" t="s">
        <v>54</v>
      </c>
      <c r="D51" s="5">
        <f t="shared" si="0"/>
        <v>9.08</v>
      </c>
      <c r="E51">
        <v>9.9700000000000006</v>
      </c>
      <c r="F51" s="1789">
        <v>8.8999999999999996E-2</v>
      </c>
      <c r="G51">
        <f t="shared" si="1"/>
        <v>9.08</v>
      </c>
    </row>
    <row r="52" spans="1:7" ht="12.75" customHeight="1">
      <c r="A52" s="3">
        <v>42402</v>
      </c>
      <c r="B52" s="4" t="s">
        <v>58</v>
      </c>
      <c r="C52" s="3" t="s">
        <v>54</v>
      </c>
      <c r="D52" s="5">
        <f t="shared" si="0"/>
        <v>8.68</v>
      </c>
      <c r="E52">
        <v>9.5299999999999994</v>
      </c>
      <c r="F52" s="1789">
        <v>8.8999999999999996E-2</v>
      </c>
      <c r="G52">
        <f t="shared" si="1"/>
        <v>8.68</v>
      </c>
    </row>
    <row r="53" spans="1:7" ht="12.75" customHeight="1">
      <c r="A53" s="3">
        <v>42403</v>
      </c>
      <c r="B53" s="4" t="s">
        <v>59</v>
      </c>
      <c r="C53" s="3" t="s">
        <v>54</v>
      </c>
      <c r="D53" s="5">
        <f t="shared" si="0"/>
        <v>11.13</v>
      </c>
      <c r="E53">
        <v>12.22</v>
      </c>
      <c r="F53" s="1789">
        <v>8.8999999999999996E-2</v>
      </c>
      <c r="G53">
        <f t="shared" si="1"/>
        <v>11.13</v>
      </c>
    </row>
    <row r="54" spans="1:7" ht="12.75" customHeight="1">
      <c r="A54" s="3">
        <v>42404</v>
      </c>
      <c r="B54" s="4" t="s">
        <v>60</v>
      </c>
      <c r="C54" s="3" t="s">
        <v>54</v>
      </c>
      <c r="D54" s="5">
        <f t="shared" si="0"/>
        <v>11.07</v>
      </c>
      <c r="E54">
        <v>12.16</v>
      </c>
      <c r="F54" s="1789">
        <v>8.8999999999999996E-2</v>
      </c>
      <c r="G54">
        <f t="shared" si="1"/>
        <v>11.07</v>
      </c>
    </row>
    <row r="55" spans="1:7" ht="12.75" customHeight="1">
      <c r="A55" s="3">
        <v>42405</v>
      </c>
      <c r="B55" s="4" t="s">
        <v>61</v>
      </c>
      <c r="C55" s="3" t="s">
        <v>54</v>
      </c>
      <c r="D55" s="5">
        <f t="shared" si="0"/>
        <v>11.79</v>
      </c>
      <c r="E55">
        <v>12.95</v>
      </c>
      <c r="F55" s="1789">
        <v>8.8999999999999996E-2</v>
      </c>
      <c r="G55">
        <f t="shared" si="1"/>
        <v>11.79</v>
      </c>
    </row>
    <row r="56" spans="1:7" ht="12.75" customHeight="1">
      <c r="A56" s="3">
        <v>34341</v>
      </c>
      <c r="B56" s="4" t="s">
        <v>62</v>
      </c>
      <c r="C56" s="3" t="s">
        <v>54</v>
      </c>
      <c r="D56" s="5">
        <f t="shared" si="0"/>
        <v>10.23</v>
      </c>
      <c r="E56">
        <v>11.24</v>
      </c>
      <c r="F56" s="1789">
        <v>8.8999999999999996E-2</v>
      </c>
      <c r="G56">
        <f t="shared" si="1"/>
        <v>10.23</v>
      </c>
    </row>
    <row r="57" spans="1:7" ht="12.75" customHeight="1">
      <c r="A57" s="3">
        <v>43053</v>
      </c>
      <c r="B57" s="4" t="s">
        <v>63</v>
      </c>
      <c r="C57" s="3" t="s">
        <v>54</v>
      </c>
      <c r="D57" s="5">
        <f t="shared" si="0"/>
        <v>8.11</v>
      </c>
      <c r="E57">
        <v>8.91</v>
      </c>
      <c r="F57" s="1789">
        <v>8.8999999999999996E-2</v>
      </c>
      <c r="G57">
        <f t="shared" si="1"/>
        <v>8.11</v>
      </c>
    </row>
    <row r="58" spans="1:7" ht="12.75" customHeight="1">
      <c r="A58" s="3">
        <v>43058</v>
      </c>
      <c r="B58" s="4" t="s">
        <v>64</v>
      </c>
      <c r="C58" s="3" t="s">
        <v>54</v>
      </c>
      <c r="D58" s="5">
        <f t="shared" si="0"/>
        <v>8.41</v>
      </c>
      <c r="E58">
        <v>9.24</v>
      </c>
      <c r="F58" s="1789">
        <v>8.8999999999999996E-2</v>
      </c>
      <c r="G58">
        <f t="shared" si="1"/>
        <v>8.41</v>
      </c>
    </row>
    <row r="59" spans="1:7" ht="12.75" customHeight="1">
      <c r="A59" s="3">
        <v>34</v>
      </c>
      <c r="B59" s="4" t="s">
        <v>65</v>
      </c>
      <c r="C59" s="3" t="s">
        <v>54</v>
      </c>
      <c r="D59" s="5">
        <f t="shared" si="0"/>
        <v>8.4499999999999993</v>
      </c>
      <c r="E59">
        <v>9.2799999999999994</v>
      </c>
      <c r="F59" s="1789">
        <v>8.8999999999999996E-2</v>
      </c>
      <c r="G59">
        <f t="shared" si="1"/>
        <v>8.4499999999999993</v>
      </c>
    </row>
    <row r="60" spans="1:7" ht="12.75" customHeight="1">
      <c r="A60" s="3">
        <v>43055</v>
      </c>
      <c r="B60" s="4" t="s">
        <v>66</v>
      </c>
      <c r="C60" s="3" t="s">
        <v>54</v>
      </c>
      <c r="D60" s="5">
        <f t="shared" si="0"/>
        <v>7.32</v>
      </c>
      <c r="E60">
        <v>8.0399999999999991</v>
      </c>
      <c r="F60" s="1789">
        <v>8.8999999999999996E-2</v>
      </c>
      <c r="G60">
        <f t="shared" si="1"/>
        <v>7.32</v>
      </c>
    </row>
    <row r="61" spans="1:7" ht="12.75" customHeight="1">
      <c r="A61" s="3">
        <v>43056</v>
      </c>
      <c r="B61" s="4" t="s">
        <v>67</v>
      </c>
      <c r="C61" s="3" t="s">
        <v>54</v>
      </c>
      <c r="D61" s="5">
        <f t="shared" si="0"/>
        <v>8.44</v>
      </c>
      <c r="E61">
        <v>9.27</v>
      </c>
      <c r="F61" s="1789">
        <v>8.8999999999999996E-2</v>
      </c>
      <c r="G61">
        <f t="shared" si="1"/>
        <v>8.44</v>
      </c>
    </row>
    <row r="62" spans="1:7" ht="12.75" customHeight="1">
      <c r="A62" s="3">
        <v>43057</v>
      </c>
      <c r="B62" s="4" t="s">
        <v>68</v>
      </c>
      <c r="C62" s="3" t="s">
        <v>54</v>
      </c>
      <c r="D62" s="5">
        <f t="shared" si="0"/>
        <v>9.2799999999999994</v>
      </c>
      <c r="E62">
        <v>10.19</v>
      </c>
      <c r="F62" s="1789">
        <v>8.8999999999999996E-2</v>
      </c>
      <c r="G62">
        <f t="shared" si="1"/>
        <v>9.2799999999999994</v>
      </c>
    </row>
    <row r="63" spans="1:7" ht="12.75" customHeight="1">
      <c r="A63" s="3">
        <v>34449</v>
      </c>
      <c r="B63" s="4" t="s">
        <v>69</v>
      </c>
      <c r="C63" s="3" t="s">
        <v>54</v>
      </c>
      <c r="D63" s="5">
        <f t="shared" si="0"/>
        <v>9.92</v>
      </c>
      <c r="E63">
        <v>10.89</v>
      </c>
      <c r="F63" s="1789">
        <v>8.8999999999999996E-2</v>
      </c>
      <c r="G63">
        <f t="shared" si="1"/>
        <v>9.92</v>
      </c>
    </row>
    <row r="64" spans="1:7" ht="12.75" customHeight="1">
      <c r="A64" s="3">
        <v>32</v>
      </c>
      <c r="B64" s="4" t="s">
        <v>70</v>
      </c>
      <c r="C64" s="3" t="s">
        <v>54</v>
      </c>
      <c r="D64" s="5">
        <f t="shared" si="0"/>
        <v>8.91</v>
      </c>
      <c r="E64">
        <v>9.7899999999999991</v>
      </c>
      <c r="F64" s="1789">
        <v>8.8999999999999996E-2</v>
      </c>
      <c r="G64">
        <f t="shared" si="1"/>
        <v>8.91</v>
      </c>
    </row>
    <row r="65" spans="1:7" ht="12.75" customHeight="1">
      <c r="A65" s="3">
        <v>33</v>
      </c>
      <c r="B65" s="4" t="s">
        <v>71</v>
      </c>
      <c r="C65" s="3" t="s">
        <v>54</v>
      </c>
      <c r="D65" s="5">
        <f t="shared" si="0"/>
        <v>8.9700000000000006</v>
      </c>
      <c r="E65">
        <v>9.85</v>
      </c>
      <c r="F65" s="1789">
        <v>8.8999999999999996E-2</v>
      </c>
      <c r="G65">
        <f t="shared" si="1"/>
        <v>8.9700000000000006</v>
      </c>
    </row>
    <row r="66" spans="1:7" ht="12.75" customHeight="1">
      <c r="A66" s="3">
        <v>43061</v>
      </c>
      <c r="B66" s="4" t="s">
        <v>72</v>
      </c>
      <c r="C66" s="3" t="s">
        <v>54</v>
      </c>
      <c r="D66" s="5">
        <f t="shared" si="0"/>
        <v>8.3800000000000008</v>
      </c>
      <c r="E66">
        <v>9.1999999999999993</v>
      </c>
      <c r="F66" s="1789">
        <v>8.8999999999999996E-2</v>
      </c>
      <c r="G66">
        <f t="shared" si="1"/>
        <v>8.3800000000000008</v>
      </c>
    </row>
    <row r="67" spans="1:7" ht="12.75" customHeight="1">
      <c r="A67" s="3">
        <v>43059</v>
      </c>
      <c r="B67" s="4" t="s">
        <v>73</v>
      </c>
      <c r="C67" s="3" t="s">
        <v>54</v>
      </c>
      <c r="D67" s="5">
        <f t="shared" ref="D67:D130" si="2">G67</f>
        <v>7.99</v>
      </c>
      <c r="E67">
        <v>8.7799999999999994</v>
      </c>
      <c r="F67" s="1789">
        <v>8.8999999999999996E-2</v>
      </c>
      <c r="G67">
        <f t="shared" ref="G67:G130" si="3">TRUNC((1-F67)*E67,2)</f>
        <v>7.99</v>
      </c>
    </row>
    <row r="68" spans="1:7" ht="12.75" customHeight="1">
      <c r="A68" s="3">
        <v>43062</v>
      </c>
      <c r="B68" s="4" t="s">
        <v>74</v>
      </c>
      <c r="C68" s="3" t="s">
        <v>54</v>
      </c>
      <c r="D68" s="5">
        <f t="shared" si="2"/>
        <v>8.86</v>
      </c>
      <c r="E68">
        <v>9.73</v>
      </c>
      <c r="F68" s="1789">
        <v>8.8999999999999996E-2</v>
      </c>
      <c r="G68">
        <f t="shared" si="3"/>
        <v>8.86</v>
      </c>
    </row>
    <row r="69" spans="1:7" ht="12.75" customHeight="1">
      <c r="A69" s="3">
        <v>43060</v>
      </c>
      <c r="B69" s="4" t="s">
        <v>75</v>
      </c>
      <c r="C69" s="3" t="s">
        <v>54</v>
      </c>
      <c r="D69" s="5">
        <f t="shared" si="2"/>
        <v>6.96</v>
      </c>
      <c r="E69">
        <v>7.65</v>
      </c>
      <c r="F69" s="1789">
        <v>8.8999999999999996E-2</v>
      </c>
      <c r="G69">
        <f t="shared" si="3"/>
        <v>6.96</v>
      </c>
    </row>
    <row r="70" spans="1:7" ht="12.75" customHeight="1">
      <c r="A70" s="3">
        <v>40410</v>
      </c>
      <c r="B70" s="4" t="s">
        <v>76</v>
      </c>
      <c r="C70" s="3" t="s">
        <v>6</v>
      </c>
      <c r="D70" s="5">
        <f t="shared" si="2"/>
        <v>17.48</v>
      </c>
      <c r="E70">
        <v>19.190000000000001</v>
      </c>
      <c r="F70" s="1789">
        <v>8.8999999999999996E-2</v>
      </c>
      <c r="G70">
        <f t="shared" si="3"/>
        <v>17.48</v>
      </c>
    </row>
    <row r="71" spans="1:7" ht="12.75" customHeight="1">
      <c r="A71" s="3">
        <v>40411</v>
      </c>
      <c r="B71" s="4" t="s">
        <v>77</v>
      </c>
      <c r="C71" s="3" t="s">
        <v>6</v>
      </c>
      <c r="D71" s="5">
        <f t="shared" si="2"/>
        <v>18.96</v>
      </c>
      <c r="E71">
        <v>20.82</v>
      </c>
      <c r="F71" s="1789">
        <v>8.8999999999999996E-2</v>
      </c>
      <c r="G71">
        <f t="shared" si="3"/>
        <v>18.96</v>
      </c>
    </row>
    <row r="72" spans="1:7" ht="12.75" customHeight="1">
      <c r="A72" s="3">
        <v>40412</v>
      </c>
      <c r="B72" s="4" t="s">
        <v>78</v>
      </c>
      <c r="C72" s="3" t="s">
        <v>6</v>
      </c>
      <c r="D72" s="5">
        <f t="shared" si="2"/>
        <v>21.29</v>
      </c>
      <c r="E72">
        <v>23.37</v>
      </c>
      <c r="F72" s="1789">
        <v>8.8999999999999996E-2</v>
      </c>
      <c r="G72">
        <f t="shared" si="3"/>
        <v>21.29</v>
      </c>
    </row>
    <row r="73" spans="1:7" ht="12.75" customHeight="1">
      <c r="A73" s="3">
        <v>44254</v>
      </c>
      <c r="B73" s="4" t="s">
        <v>79</v>
      </c>
      <c r="C73" s="3" t="s">
        <v>6</v>
      </c>
      <c r="D73" s="5">
        <f t="shared" si="2"/>
        <v>25.31</v>
      </c>
      <c r="E73">
        <v>27.79</v>
      </c>
      <c r="F73" s="1789">
        <v>8.8999999999999996E-2</v>
      </c>
      <c r="G73">
        <f t="shared" si="3"/>
        <v>25.31</v>
      </c>
    </row>
    <row r="74" spans="1:7" ht="12.75" customHeight="1">
      <c r="A74" s="3">
        <v>44255</v>
      </c>
      <c r="B74" s="4" t="s">
        <v>80</v>
      </c>
      <c r="C74" s="3" t="s">
        <v>6</v>
      </c>
      <c r="D74" s="5">
        <f t="shared" si="2"/>
        <v>28.05</v>
      </c>
      <c r="E74">
        <v>30.8</v>
      </c>
      <c r="F74" s="1789">
        <v>8.8999999999999996E-2</v>
      </c>
      <c r="G74">
        <f t="shared" si="3"/>
        <v>28.05</v>
      </c>
    </row>
    <row r="75" spans="1:7" ht="12.75" customHeight="1">
      <c r="A75" s="3">
        <v>44256</v>
      </c>
      <c r="B75" s="4" t="s">
        <v>81</v>
      </c>
      <c r="C75" s="3" t="s">
        <v>6</v>
      </c>
      <c r="D75" s="5">
        <f t="shared" si="2"/>
        <v>31.69</v>
      </c>
      <c r="E75">
        <v>34.79</v>
      </c>
      <c r="F75" s="1789">
        <v>8.8999999999999996E-2</v>
      </c>
      <c r="G75">
        <f t="shared" si="3"/>
        <v>31.69</v>
      </c>
    </row>
    <row r="76" spans="1:7" ht="12.75" customHeight="1">
      <c r="A76" s="3">
        <v>44257</v>
      </c>
      <c r="B76" s="4" t="s">
        <v>82</v>
      </c>
      <c r="C76" s="3" t="s">
        <v>6</v>
      </c>
      <c r="D76" s="5">
        <f t="shared" si="2"/>
        <v>50.14</v>
      </c>
      <c r="E76">
        <v>55.04</v>
      </c>
      <c r="F76" s="1789">
        <v>8.8999999999999996E-2</v>
      </c>
      <c r="G76">
        <f t="shared" si="3"/>
        <v>50.14</v>
      </c>
    </row>
    <row r="77" spans="1:7" ht="12.75" customHeight="1">
      <c r="A77" s="3">
        <v>44258</v>
      </c>
      <c r="B77" s="4" t="s">
        <v>83</v>
      </c>
      <c r="C77" s="3" t="s">
        <v>6</v>
      </c>
      <c r="D77" s="5">
        <f t="shared" si="2"/>
        <v>57.3</v>
      </c>
      <c r="E77">
        <v>62.9</v>
      </c>
      <c r="F77" s="1789">
        <v>8.8999999999999996E-2</v>
      </c>
      <c r="G77">
        <f t="shared" si="3"/>
        <v>57.3</v>
      </c>
    </row>
    <row r="78" spans="1:7" ht="12.75" customHeight="1">
      <c r="A78" s="3">
        <v>44259</v>
      </c>
      <c r="B78" s="4" t="s">
        <v>84</v>
      </c>
      <c r="C78" s="3" t="s">
        <v>6</v>
      </c>
      <c r="D78" s="5">
        <f t="shared" si="2"/>
        <v>78.650000000000006</v>
      </c>
      <c r="E78">
        <v>86.34</v>
      </c>
      <c r="F78" s="1789">
        <v>8.8999999999999996E-2</v>
      </c>
      <c r="G78">
        <f t="shared" si="3"/>
        <v>78.650000000000006</v>
      </c>
    </row>
    <row r="79" spans="1:7" ht="12.75" customHeight="1">
      <c r="A79" s="3">
        <v>37997</v>
      </c>
      <c r="B79" s="4" t="s">
        <v>85</v>
      </c>
      <c r="C79" s="3" t="s">
        <v>6</v>
      </c>
      <c r="D79" s="5">
        <f t="shared" si="2"/>
        <v>15.08</v>
      </c>
      <c r="E79">
        <v>16.559999999999999</v>
      </c>
      <c r="F79" s="1789">
        <v>8.8999999999999996E-2</v>
      </c>
      <c r="G79">
        <f t="shared" si="3"/>
        <v>15.08</v>
      </c>
    </row>
    <row r="80" spans="1:7" ht="12.75" customHeight="1">
      <c r="A80" s="3">
        <v>37998</v>
      </c>
      <c r="B80" s="4" t="s">
        <v>86</v>
      </c>
      <c r="C80" s="3" t="s">
        <v>6</v>
      </c>
      <c r="D80" s="5">
        <f t="shared" si="2"/>
        <v>20.18</v>
      </c>
      <c r="E80">
        <v>22.16</v>
      </c>
      <c r="F80" s="1789">
        <v>8.8999999999999996E-2</v>
      </c>
      <c r="G80">
        <f t="shared" si="3"/>
        <v>20.18</v>
      </c>
    </row>
    <row r="81" spans="1:7" ht="12.75" customHeight="1">
      <c r="A81" s="3">
        <v>55</v>
      </c>
      <c r="B81" s="4" t="s">
        <v>87</v>
      </c>
      <c r="C81" s="3" t="s">
        <v>6</v>
      </c>
      <c r="D81" s="5">
        <f t="shared" si="2"/>
        <v>3.79</v>
      </c>
      <c r="E81">
        <v>4.17</v>
      </c>
      <c r="F81" s="1789">
        <v>8.8999999999999996E-2</v>
      </c>
      <c r="G81">
        <f t="shared" si="3"/>
        <v>3.79</v>
      </c>
    </row>
    <row r="82" spans="1:7" ht="12.75" customHeight="1">
      <c r="A82" s="3">
        <v>61</v>
      </c>
      <c r="B82" s="4" t="s">
        <v>88</v>
      </c>
      <c r="C82" s="3" t="s">
        <v>6</v>
      </c>
      <c r="D82" s="5">
        <f t="shared" si="2"/>
        <v>3.58</v>
      </c>
      <c r="E82">
        <v>3.94</v>
      </c>
      <c r="F82" s="1789">
        <v>8.8999999999999996E-2</v>
      </c>
      <c r="G82">
        <f t="shared" si="3"/>
        <v>3.58</v>
      </c>
    </row>
    <row r="83" spans="1:7" ht="12.75" customHeight="1">
      <c r="A83" s="3">
        <v>62</v>
      </c>
      <c r="B83" s="4" t="s">
        <v>89</v>
      </c>
      <c r="C83" s="3" t="s">
        <v>6</v>
      </c>
      <c r="D83" s="5">
        <f t="shared" si="2"/>
        <v>7.44</v>
      </c>
      <c r="E83">
        <v>8.17</v>
      </c>
      <c r="F83" s="1789">
        <v>8.8999999999999996E-2</v>
      </c>
      <c r="G83">
        <f t="shared" si="3"/>
        <v>7.44</v>
      </c>
    </row>
    <row r="84" spans="1:7" ht="12.75" customHeight="1">
      <c r="A84" s="3">
        <v>10899</v>
      </c>
      <c r="B84" s="4" t="s">
        <v>90</v>
      </c>
      <c r="C84" s="3" t="s">
        <v>6</v>
      </c>
      <c r="D84" s="5">
        <f t="shared" si="2"/>
        <v>63.81</v>
      </c>
      <c r="E84">
        <v>70.05</v>
      </c>
      <c r="F84" s="1789">
        <v>8.8999999999999996E-2</v>
      </c>
      <c r="G84">
        <f t="shared" si="3"/>
        <v>63.81</v>
      </c>
    </row>
    <row r="85" spans="1:7" ht="12.75" customHeight="1">
      <c r="A85" s="3">
        <v>10900</v>
      </c>
      <c r="B85" s="4" t="s">
        <v>91</v>
      </c>
      <c r="C85" s="3" t="s">
        <v>6</v>
      </c>
      <c r="D85" s="5">
        <f t="shared" si="2"/>
        <v>49.94</v>
      </c>
      <c r="E85">
        <v>54.82</v>
      </c>
      <c r="F85" s="1789">
        <v>8.8999999999999996E-2</v>
      </c>
      <c r="G85">
        <f t="shared" si="3"/>
        <v>49.94</v>
      </c>
    </row>
    <row r="86" spans="1:7" ht="12.75" customHeight="1">
      <c r="A86" s="3">
        <v>47</v>
      </c>
      <c r="B86" s="4" t="s">
        <v>92</v>
      </c>
      <c r="C86" s="3" t="s">
        <v>6</v>
      </c>
      <c r="D86" s="5">
        <f t="shared" si="2"/>
        <v>48.89</v>
      </c>
      <c r="E86">
        <v>53.67</v>
      </c>
      <c r="F86" s="1789">
        <v>8.8999999999999996E-2</v>
      </c>
      <c r="G86">
        <f t="shared" si="3"/>
        <v>48.89</v>
      </c>
    </row>
    <row r="87" spans="1:7" ht="12.75" customHeight="1">
      <c r="A87" s="3">
        <v>48</v>
      </c>
      <c r="B87" s="4" t="s">
        <v>93</v>
      </c>
      <c r="C87" s="3" t="s">
        <v>6</v>
      </c>
      <c r="D87" s="5">
        <f t="shared" si="2"/>
        <v>12.75</v>
      </c>
      <c r="E87">
        <v>14</v>
      </c>
      <c r="F87" s="1789">
        <v>8.8999999999999996E-2</v>
      </c>
      <c r="G87">
        <f t="shared" si="3"/>
        <v>12.75</v>
      </c>
    </row>
    <row r="88" spans="1:7" ht="12.75" customHeight="1">
      <c r="A88" s="3">
        <v>46</v>
      </c>
      <c r="B88" s="4" t="s">
        <v>94</v>
      </c>
      <c r="C88" s="3" t="s">
        <v>6</v>
      </c>
      <c r="D88" s="5">
        <f t="shared" si="2"/>
        <v>28.59</v>
      </c>
      <c r="E88">
        <v>31.39</v>
      </c>
      <c r="F88" s="1789">
        <v>8.8999999999999996E-2</v>
      </c>
      <c r="G88">
        <f t="shared" si="3"/>
        <v>28.59</v>
      </c>
    </row>
    <row r="89" spans="1:7" ht="12.75" customHeight="1">
      <c r="A89" s="3">
        <v>52</v>
      </c>
      <c r="B89" s="4" t="s">
        <v>95</v>
      </c>
      <c r="C89" s="3" t="s">
        <v>6</v>
      </c>
      <c r="D89" s="5">
        <f t="shared" si="2"/>
        <v>9.68</v>
      </c>
      <c r="E89">
        <v>10.63</v>
      </c>
      <c r="F89" s="1789">
        <v>8.8999999999999996E-2</v>
      </c>
      <c r="G89">
        <f t="shared" si="3"/>
        <v>9.68</v>
      </c>
    </row>
    <row r="90" spans="1:7" ht="12.75" customHeight="1">
      <c r="A90" s="3">
        <v>43</v>
      </c>
      <c r="B90" s="4" t="s">
        <v>96</v>
      </c>
      <c r="C90" s="3" t="s">
        <v>6</v>
      </c>
      <c r="D90" s="5">
        <f t="shared" si="2"/>
        <v>32.700000000000003</v>
      </c>
      <c r="E90">
        <v>35.9</v>
      </c>
      <c r="F90" s="1789">
        <v>8.8999999999999996E-2</v>
      </c>
      <c r="G90">
        <f t="shared" si="3"/>
        <v>32.700000000000003</v>
      </c>
    </row>
    <row r="91" spans="1:7" ht="12.75" customHeight="1">
      <c r="A91" s="3">
        <v>103</v>
      </c>
      <c r="B91" s="4" t="s">
        <v>97</v>
      </c>
      <c r="C91" s="3" t="s">
        <v>6</v>
      </c>
      <c r="D91" s="5">
        <f t="shared" si="2"/>
        <v>33.869999999999997</v>
      </c>
      <c r="E91">
        <v>37.18</v>
      </c>
      <c r="F91" s="1789">
        <v>8.8999999999999996E-2</v>
      </c>
      <c r="G91">
        <f t="shared" si="3"/>
        <v>33.869999999999997</v>
      </c>
    </row>
    <row r="92" spans="1:7" ht="12.75" customHeight="1">
      <c r="A92" s="3">
        <v>107</v>
      </c>
      <c r="B92" s="4" t="s">
        <v>98</v>
      </c>
      <c r="C92" s="3" t="s">
        <v>6</v>
      </c>
      <c r="D92" s="5">
        <f t="shared" si="2"/>
        <v>0.63</v>
      </c>
      <c r="E92">
        <v>0.7</v>
      </c>
      <c r="F92" s="1789">
        <v>8.8999999999999996E-2</v>
      </c>
      <c r="G92">
        <f t="shared" si="3"/>
        <v>0.63</v>
      </c>
    </row>
    <row r="93" spans="1:7" ht="12.75" customHeight="1">
      <c r="A93" s="3">
        <v>65</v>
      </c>
      <c r="B93" s="4" t="s">
        <v>99</v>
      </c>
      <c r="C93" s="3" t="s">
        <v>6</v>
      </c>
      <c r="D93" s="5">
        <f t="shared" si="2"/>
        <v>0.69</v>
      </c>
      <c r="E93">
        <v>0.76</v>
      </c>
      <c r="F93" s="1789">
        <v>8.8999999999999996E-2</v>
      </c>
      <c r="G93">
        <f t="shared" si="3"/>
        <v>0.69</v>
      </c>
    </row>
    <row r="94" spans="1:7" ht="12.75" customHeight="1">
      <c r="A94" s="3">
        <v>108</v>
      </c>
      <c r="B94" s="4" t="s">
        <v>100</v>
      </c>
      <c r="C94" s="3" t="s">
        <v>6</v>
      </c>
      <c r="D94" s="5">
        <f t="shared" si="2"/>
        <v>1.4</v>
      </c>
      <c r="E94">
        <v>1.54</v>
      </c>
      <c r="F94" s="1789">
        <v>8.8999999999999996E-2</v>
      </c>
      <c r="G94">
        <f t="shared" si="3"/>
        <v>1.4</v>
      </c>
    </row>
    <row r="95" spans="1:7" ht="12.75" customHeight="1">
      <c r="A95" s="3">
        <v>110</v>
      </c>
      <c r="B95" s="4" t="s">
        <v>101</v>
      </c>
      <c r="C95" s="3" t="s">
        <v>6</v>
      </c>
      <c r="D95" s="5">
        <f t="shared" si="2"/>
        <v>4.87</v>
      </c>
      <c r="E95">
        <v>5.35</v>
      </c>
      <c r="F95" s="1789">
        <v>8.8999999999999996E-2</v>
      </c>
      <c r="G95">
        <f t="shared" si="3"/>
        <v>4.87</v>
      </c>
    </row>
    <row r="96" spans="1:7" ht="12.75" customHeight="1">
      <c r="A96" s="3">
        <v>109</v>
      </c>
      <c r="B96" s="4" t="s">
        <v>102</v>
      </c>
      <c r="C96" s="3" t="s">
        <v>6</v>
      </c>
      <c r="D96" s="5">
        <f t="shared" si="2"/>
        <v>2.89</v>
      </c>
      <c r="E96">
        <v>3.18</v>
      </c>
      <c r="F96" s="1789">
        <v>8.8999999999999996E-2</v>
      </c>
      <c r="G96">
        <f t="shared" si="3"/>
        <v>2.89</v>
      </c>
    </row>
    <row r="97" spans="1:7" ht="12.75" customHeight="1">
      <c r="A97" s="3">
        <v>111</v>
      </c>
      <c r="B97" s="4" t="s">
        <v>103</v>
      </c>
      <c r="C97" s="3" t="s">
        <v>6</v>
      </c>
      <c r="D97" s="5">
        <f t="shared" si="2"/>
        <v>6.59</v>
      </c>
      <c r="E97">
        <v>7.24</v>
      </c>
      <c r="F97" s="1789">
        <v>8.8999999999999996E-2</v>
      </c>
      <c r="G97">
        <f t="shared" si="3"/>
        <v>6.59</v>
      </c>
    </row>
    <row r="98" spans="1:7" ht="12.75" customHeight="1">
      <c r="A98" s="3">
        <v>112</v>
      </c>
      <c r="B98" s="4" t="s">
        <v>104</v>
      </c>
      <c r="C98" s="3" t="s">
        <v>6</v>
      </c>
      <c r="D98" s="5">
        <f t="shared" si="2"/>
        <v>3.48</v>
      </c>
      <c r="E98">
        <v>3.83</v>
      </c>
      <c r="F98" s="1789">
        <v>8.8999999999999996E-2</v>
      </c>
      <c r="G98">
        <f t="shared" si="3"/>
        <v>3.48</v>
      </c>
    </row>
    <row r="99" spans="1:7" ht="12.75" customHeight="1">
      <c r="A99" s="3">
        <v>113</v>
      </c>
      <c r="B99" s="4" t="s">
        <v>105</v>
      </c>
      <c r="C99" s="3" t="s">
        <v>6</v>
      </c>
      <c r="D99" s="5">
        <f t="shared" si="2"/>
        <v>8.74</v>
      </c>
      <c r="E99">
        <v>9.6</v>
      </c>
      <c r="F99" s="1789">
        <v>8.8999999999999996E-2</v>
      </c>
      <c r="G99">
        <f t="shared" si="3"/>
        <v>8.74</v>
      </c>
    </row>
    <row r="100" spans="1:7" ht="12.75" customHeight="1">
      <c r="A100" s="3">
        <v>104</v>
      </c>
      <c r="B100" s="4" t="s">
        <v>106</v>
      </c>
      <c r="C100" s="3" t="s">
        <v>6</v>
      </c>
      <c r="D100" s="5">
        <f t="shared" si="2"/>
        <v>15.22</v>
      </c>
      <c r="E100">
        <v>16.71</v>
      </c>
      <c r="F100" s="1789">
        <v>8.8999999999999996E-2</v>
      </c>
      <c r="G100">
        <f t="shared" si="3"/>
        <v>15.22</v>
      </c>
    </row>
    <row r="101" spans="1:7" ht="12.75" customHeight="1">
      <c r="A101" s="3">
        <v>102</v>
      </c>
      <c r="B101" s="4" t="s">
        <v>107</v>
      </c>
      <c r="C101" s="3" t="s">
        <v>6</v>
      </c>
      <c r="D101" s="5">
        <f t="shared" si="2"/>
        <v>20.98</v>
      </c>
      <c r="E101">
        <v>23.04</v>
      </c>
      <c r="F101" s="1789">
        <v>8.8999999999999996E-2</v>
      </c>
      <c r="G101">
        <f t="shared" si="3"/>
        <v>20.98</v>
      </c>
    </row>
    <row r="102" spans="1:7" ht="12.75" customHeight="1">
      <c r="A102" s="3">
        <v>95</v>
      </c>
      <c r="B102" s="4" t="s">
        <v>108</v>
      </c>
      <c r="C102" s="3" t="s">
        <v>6</v>
      </c>
      <c r="D102" s="5">
        <f t="shared" si="2"/>
        <v>8.86</v>
      </c>
      <c r="E102">
        <v>9.73</v>
      </c>
      <c r="F102" s="1789">
        <v>8.8999999999999996E-2</v>
      </c>
      <c r="G102">
        <f t="shared" si="3"/>
        <v>8.86</v>
      </c>
    </row>
    <row r="103" spans="1:7" ht="12.75" customHeight="1">
      <c r="A103" s="3">
        <v>96</v>
      </c>
      <c r="B103" s="4" t="s">
        <v>109</v>
      </c>
      <c r="C103" s="3" t="s">
        <v>6</v>
      </c>
      <c r="D103" s="5">
        <f t="shared" si="2"/>
        <v>9.64</v>
      </c>
      <c r="E103">
        <v>10.59</v>
      </c>
      <c r="F103" s="1789">
        <v>8.8999999999999996E-2</v>
      </c>
      <c r="G103">
        <f t="shared" si="3"/>
        <v>9.64</v>
      </c>
    </row>
    <row r="104" spans="1:7" ht="12.75" customHeight="1">
      <c r="A104" s="3">
        <v>97</v>
      </c>
      <c r="B104" s="4" t="s">
        <v>110</v>
      </c>
      <c r="C104" s="3" t="s">
        <v>6</v>
      </c>
      <c r="D104" s="5">
        <f t="shared" si="2"/>
        <v>14.51</v>
      </c>
      <c r="E104">
        <v>15.93</v>
      </c>
      <c r="F104" s="1789">
        <v>8.8999999999999996E-2</v>
      </c>
      <c r="G104">
        <f t="shared" si="3"/>
        <v>14.51</v>
      </c>
    </row>
    <row r="105" spans="1:7" ht="12.75" customHeight="1">
      <c r="A105" s="3">
        <v>98</v>
      </c>
      <c r="B105" s="4" t="s">
        <v>111</v>
      </c>
      <c r="C105" s="3" t="s">
        <v>6</v>
      </c>
      <c r="D105" s="5">
        <f t="shared" si="2"/>
        <v>21.72</v>
      </c>
      <c r="E105">
        <v>23.85</v>
      </c>
      <c r="F105" s="1789">
        <v>8.8999999999999996E-2</v>
      </c>
      <c r="G105">
        <f t="shared" si="3"/>
        <v>21.72</v>
      </c>
    </row>
    <row r="106" spans="1:7" ht="12.75" customHeight="1">
      <c r="A106" s="3">
        <v>99</v>
      </c>
      <c r="B106" s="4" t="s">
        <v>112</v>
      </c>
      <c r="C106" s="3" t="s">
        <v>6</v>
      </c>
      <c r="D106" s="5">
        <f t="shared" si="2"/>
        <v>20.53</v>
      </c>
      <c r="E106">
        <v>22.54</v>
      </c>
      <c r="F106" s="1789">
        <v>8.8999999999999996E-2</v>
      </c>
      <c r="G106">
        <f t="shared" si="3"/>
        <v>20.53</v>
      </c>
    </row>
    <row r="107" spans="1:7" ht="12.75" customHeight="1">
      <c r="A107" s="3">
        <v>60</v>
      </c>
      <c r="B107" s="4" t="s">
        <v>113</v>
      </c>
      <c r="C107" s="3" t="s">
        <v>6</v>
      </c>
      <c r="D107" s="5">
        <f t="shared" si="2"/>
        <v>4.92</v>
      </c>
      <c r="E107">
        <v>5.41</v>
      </c>
      <c r="F107" s="1789">
        <v>8.8999999999999996E-2</v>
      </c>
      <c r="G107">
        <f t="shared" si="3"/>
        <v>4.92</v>
      </c>
    </row>
    <row r="108" spans="1:7" ht="12.75" customHeight="1">
      <c r="A108" s="3">
        <v>72</v>
      </c>
      <c r="B108" s="4" t="s">
        <v>114</v>
      </c>
      <c r="C108" s="3" t="s">
        <v>6</v>
      </c>
      <c r="D108" s="5">
        <f t="shared" si="2"/>
        <v>39.380000000000003</v>
      </c>
      <c r="E108">
        <v>43.23</v>
      </c>
      <c r="F108" s="1789">
        <v>8.8999999999999996E-2</v>
      </c>
      <c r="G108">
        <f t="shared" si="3"/>
        <v>39.380000000000003</v>
      </c>
    </row>
    <row r="109" spans="1:7" ht="12.75" customHeight="1">
      <c r="A109" s="3">
        <v>67</v>
      </c>
      <c r="B109" s="4" t="s">
        <v>115</v>
      </c>
      <c r="C109" s="3" t="s">
        <v>6</v>
      </c>
      <c r="D109" s="5">
        <f t="shared" si="2"/>
        <v>12.73</v>
      </c>
      <c r="E109">
        <v>13.98</v>
      </c>
      <c r="F109" s="1789">
        <v>8.8999999999999996E-2</v>
      </c>
      <c r="G109">
        <f t="shared" si="3"/>
        <v>12.73</v>
      </c>
    </row>
    <row r="110" spans="1:7" ht="12.75" customHeight="1">
      <c r="A110" s="3">
        <v>71</v>
      </c>
      <c r="B110" s="4" t="s">
        <v>116</v>
      </c>
      <c r="C110" s="3" t="s">
        <v>6</v>
      </c>
      <c r="D110" s="5">
        <f t="shared" si="2"/>
        <v>24.32</v>
      </c>
      <c r="E110">
        <v>26.7</v>
      </c>
      <c r="F110" s="1789">
        <v>8.8999999999999996E-2</v>
      </c>
      <c r="G110">
        <f t="shared" si="3"/>
        <v>24.32</v>
      </c>
    </row>
    <row r="111" spans="1:7" ht="12.75" customHeight="1">
      <c r="A111" s="3">
        <v>73</v>
      </c>
      <c r="B111" s="4" t="s">
        <v>117</v>
      </c>
      <c r="C111" s="3" t="s">
        <v>6</v>
      </c>
      <c r="D111" s="5">
        <f t="shared" si="2"/>
        <v>12.18</v>
      </c>
      <c r="E111">
        <v>13.37</v>
      </c>
      <c r="F111" s="1789">
        <v>8.8999999999999996E-2</v>
      </c>
      <c r="G111">
        <f t="shared" si="3"/>
        <v>12.18</v>
      </c>
    </row>
    <row r="112" spans="1:7" ht="12.75" customHeight="1">
      <c r="A112" s="3">
        <v>100</v>
      </c>
      <c r="B112" s="4" t="s">
        <v>118</v>
      </c>
      <c r="C112" s="3" t="s">
        <v>6</v>
      </c>
      <c r="D112" s="5">
        <f t="shared" si="2"/>
        <v>35.869999999999997</v>
      </c>
      <c r="E112">
        <v>39.380000000000003</v>
      </c>
      <c r="F112" s="1789">
        <v>8.8999999999999996E-2</v>
      </c>
      <c r="G112">
        <f t="shared" si="3"/>
        <v>35.869999999999997</v>
      </c>
    </row>
    <row r="113" spans="1:7" ht="12.75" customHeight="1">
      <c r="A113" s="3">
        <v>75</v>
      </c>
      <c r="B113" s="4" t="s">
        <v>119</v>
      </c>
      <c r="C113" s="3" t="s">
        <v>6</v>
      </c>
      <c r="D113" s="5">
        <f t="shared" si="2"/>
        <v>209.18</v>
      </c>
      <c r="E113">
        <v>229.62</v>
      </c>
      <c r="F113" s="1789">
        <v>8.8999999999999996E-2</v>
      </c>
      <c r="G113">
        <f t="shared" si="3"/>
        <v>209.18</v>
      </c>
    </row>
    <row r="114" spans="1:7" ht="12.75" customHeight="1">
      <c r="A114" s="3">
        <v>83</v>
      </c>
      <c r="B114" s="4" t="s">
        <v>120</v>
      </c>
      <c r="C114" s="3" t="s">
        <v>6</v>
      </c>
      <c r="D114" s="5">
        <f t="shared" si="2"/>
        <v>167.24</v>
      </c>
      <c r="E114">
        <v>183.58</v>
      </c>
      <c r="F114" s="1789">
        <v>8.8999999999999996E-2</v>
      </c>
      <c r="G114">
        <f t="shared" si="3"/>
        <v>167.24</v>
      </c>
    </row>
    <row r="115" spans="1:7" ht="12.75" customHeight="1">
      <c r="A115" s="3">
        <v>74</v>
      </c>
      <c r="B115" s="4" t="s">
        <v>121</v>
      </c>
      <c r="C115" s="3" t="s">
        <v>6</v>
      </c>
      <c r="D115" s="5">
        <f t="shared" si="2"/>
        <v>239.1</v>
      </c>
      <c r="E115">
        <v>262.45999999999998</v>
      </c>
      <c r="F115" s="1789">
        <v>8.8999999999999996E-2</v>
      </c>
      <c r="G115">
        <f t="shared" si="3"/>
        <v>239.1</v>
      </c>
    </row>
    <row r="116" spans="1:7" ht="12.75" customHeight="1">
      <c r="A116" s="3">
        <v>106</v>
      </c>
      <c r="B116" s="4" t="s">
        <v>122</v>
      </c>
      <c r="C116" s="3" t="s">
        <v>6</v>
      </c>
      <c r="D116" s="5">
        <f t="shared" si="2"/>
        <v>302.36</v>
      </c>
      <c r="E116">
        <v>331.9</v>
      </c>
      <c r="F116" s="1789">
        <v>8.8999999999999996E-2</v>
      </c>
      <c r="G116">
        <f t="shared" si="3"/>
        <v>302.36</v>
      </c>
    </row>
    <row r="117" spans="1:7" ht="12.75" customHeight="1">
      <c r="A117" s="3">
        <v>88</v>
      </c>
      <c r="B117" s="4" t="s">
        <v>123</v>
      </c>
      <c r="C117" s="3" t="s">
        <v>6</v>
      </c>
      <c r="D117" s="5">
        <f t="shared" si="2"/>
        <v>8.49</v>
      </c>
      <c r="E117">
        <v>9.33</v>
      </c>
      <c r="F117" s="1789">
        <v>8.8999999999999996E-2</v>
      </c>
      <c r="G117">
        <f t="shared" si="3"/>
        <v>8.49</v>
      </c>
    </row>
    <row r="118" spans="1:7" ht="12.75" customHeight="1">
      <c r="A118" s="3">
        <v>82</v>
      </c>
      <c r="B118" s="4" t="s">
        <v>124</v>
      </c>
      <c r="C118" s="3" t="s">
        <v>6</v>
      </c>
      <c r="D118" s="5">
        <f t="shared" si="2"/>
        <v>159.11000000000001</v>
      </c>
      <c r="E118">
        <v>174.66</v>
      </c>
      <c r="F118" s="1789">
        <v>8.8999999999999996E-2</v>
      </c>
      <c r="G118">
        <f t="shared" si="3"/>
        <v>159.11000000000001</v>
      </c>
    </row>
    <row r="119" spans="1:7" ht="12.75" customHeight="1">
      <c r="A119" s="3">
        <v>105</v>
      </c>
      <c r="B119" s="4" t="s">
        <v>125</v>
      </c>
      <c r="C119" s="3" t="s">
        <v>6</v>
      </c>
      <c r="D119" s="5">
        <f t="shared" si="2"/>
        <v>225.46</v>
      </c>
      <c r="E119">
        <v>247.49</v>
      </c>
      <c r="F119" s="1789">
        <v>8.8999999999999996E-2</v>
      </c>
      <c r="G119">
        <f t="shared" si="3"/>
        <v>225.46</v>
      </c>
    </row>
    <row r="120" spans="1:7" ht="12.75" customHeight="1">
      <c r="A120" s="3">
        <v>39719</v>
      </c>
      <c r="B120" s="4" t="s">
        <v>126</v>
      </c>
      <c r="C120" s="3" t="s">
        <v>56</v>
      </c>
      <c r="D120" s="5">
        <f t="shared" si="2"/>
        <v>182.33</v>
      </c>
      <c r="E120">
        <v>200.15</v>
      </c>
      <c r="F120" s="1789">
        <v>8.8999999999999996E-2</v>
      </c>
      <c r="G120">
        <f t="shared" si="3"/>
        <v>182.33</v>
      </c>
    </row>
    <row r="121" spans="1:7" ht="12.75" customHeight="1">
      <c r="A121" s="3">
        <v>3410</v>
      </c>
      <c r="B121" s="4" t="s">
        <v>127</v>
      </c>
      <c r="C121" s="3" t="s">
        <v>54</v>
      </c>
      <c r="D121" s="5">
        <f t="shared" si="2"/>
        <v>41.01</v>
      </c>
      <c r="E121">
        <v>45.02</v>
      </c>
      <c r="F121" s="1789">
        <v>8.8999999999999996E-2</v>
      </c>
      <c r="G121">
        <f t="shared" si="3"/>
        <v>41.01</v>
      </c>
    </row>
    <row r="122" spans="1:7" ht="12.75" customHeight="1">
      <c r="A122" s="3">
        <v>4791</v>
      </c>
      <c r="B122" s="4" t="s">
        <v>128</v>
      </c>
      <c r="C122" s="3" t="s">
        <v>54</v>
      </c>
      <c r="D122" s="5">
        <f t="shared" si="2"/>
        <v>23.23</v>
      </c>
      <c r="E122">
        <v>25.5</v>
      </c>
      <c r="F122" s="1789">
        <v>8.8999999999999996E-2</v>
      </c>
      <c r="G122">
        <f t="shared" si="3"/>
        <v>23.23</v>
      </c>
    </row>
    <row r="123" spans="1:7" ht="12.75" customHeight="1">
      <c r="A123" s="3">
        <v>157</v>
      </c>
      <c r="B123" s="4" t="s">
        <v>129</v>
      </c>
      <c r="C123" s="3" t="s">
        <v>54</v>
      </c>
      <c r="D123" s="5">
        <f t="shared" si="2"/>
        <v>148.47</v>
      </c>
      <c r="E123">
        <v>162.97999999999999</v>
      </c>
      <c r="F123" s="1789">
        <v>8.8999999999999996E-2</v>
      </c>
      <c r="G123">
        <f t="shared" si="3"/>
        <v>148.47</v>
      </c>
    </row>
    <row r="124" spans="1:7" ht="12.75" customHeight="1">
      <c r="A124" s="3">
        <v>156</v>
      </c>
      <c r="B124" s="4" t="s">
        <v>130</v>
      </c>
      <c r="C124" s="3" t="s">
        <v>54</v>
      </c>
      <c r="D124" s="5">
        <f t="shared" si="2"/>
        <v>52.86</v>
      </c>
      <c r="E124">
        <v>58.03</v>
      </c>
      <c r="F124" s="1789">
        <v>8.8999999999999996E-2</v>
      </c>
      <c r="G124">
        <f t="shared" si="3"/>
        <v>52.86</v>
      </c>
    </row>
    <row r="125" spans="1:7" ht="12.75" customHeight="1">
      <c r="A125" s="3">
        <v>131</v>
      </c>
      <c r="B125" s="4" t="s">
        <v>131</v>
      </c>
      <c r="C125" s="3" t="s">
        <v>54</v>
      </c>
      <c r="D125" s="5">
        <f t="shared" si="2"/>
        <v>45.21</v>
      </c>
      <c r="E125">
        <v>49.63</v>
      </c>
      <c r="F125" s="1789">
        <v>8.8999999999999996E-2</v>
      </c>
      <c r="G125">
        <f t="shared" si="3"/>
        <v>45.21</v>
      </c>
    </row>
    <row r="126" spans="1:7" ht="12.75" customHeight="1">
      <c r="A126" s="3">
        <v>21114</v>
      </c>
      <c r="B126" s="4" t="s">
        <v>132</v>
      </c>
      <c r="C126" s="3" t="s">
        <v>6</v>
      </c>
      <c r="D126" s="5">
        <f t="shared" si="2"/>
        <v>35.93</v>
      </c>
      <c r="E126">
        <v>39.450000000000003</v>
      </c>
      <c r="F126" s="1789">
        <v>8.8999999999999996E-2</v>
      </c>
      <c r="G126">
        <f t="shared" si="3"/>
        <v>35.93</v>
      </c>
    </row>
    <row r="127" spans="1:7" ht="12.75" customHeight="1">
      <c r="A127" s="3">
        <v>119</v>
      </c>
      <c r="B127" s="4" t="s">
        <v>133</v>
      </c>
      <c r="C127" s="3" t="s">
        <v>6</v>
      </c>
      <c r="D127" s="5">
        <f t="shared" si="2"/>
        <v>9.11</v>
      </c>
      <c r="E127">
        <v>10</v>
      </c>
      <c r="F127" s="1789">
        <v>8.8999999999999996E-2</v>
      </c>
      <c r="G127">
        <f t="shared" si="3"/>
        <v>9.11</v>
      </c>
    </row>
    <row r="128" spans="1:7" ht="12.75" customHeight="1">
      <c r="A128" s="3">
        <v>122</v>
      </c>
      <c r="B128" s="4" t="s">
        <v>134</v>
      </c>
      <c r="C128" s="3" t="s">
        <v>6</v>
      </c>
      <c r="D128" s="5">
        <f t="shared" si="2"/>
        <v>70.09</v>
      </c>
      <c r="E128">
        <v>76.94</v>
      </c>
      <c r="F128" s="1789">
        <v>8.8999999999999996E-2</v>
      </c>
      <c r="G128">
        <f t="shared" si="3"/>
        <v>70.09</v>
      </c>
    </row>
    <row r="129" spans="1:7" ht="12.75" customHeight="1">
      <c r="A129" s="3">
        <v>20080</v>
      </c>
      <c r="B129" s="4" t="s">
        <v>135</v>
      </c>
      <c r="C129" s="3" t="s">
        <v>6</v>
      </c>
      <c r="D129" s="5">
        <f t="shared" si="2"/>
        <v>22.87</v>
      </c>
      <c r="E129">
        <v>25.11</v>
      </c>
      <c r="F129" s="1789">
        <v>8.8999999999999996E-2</v>
      </c>
      <c r="G129">
        <f t="shared" si="3"/>
        <v>22.87</v>
      </c>
    </row>
    <row r="130" spans="1:7" ht="12.75" customHeight="1">
      <c r="A130" s="3">
        <v>124</v>
      </c>
      <c r="B130" s="4" t="s">
        <v>136</v>
      </c>
      <c r="C130" s="3" t="s">
        <v>56</v>
      </c>
      <c r="D130" s="5">
        <f t="shared" si="2"/>
        <v>17.43</v>
      </c>
      <c r="E130">
        <v>19.14</v>
      </c>
      <c r="F130" s="1789">
        <v>8.8999999999999996E-2</v>
      </c>
      <c r="G130">
        <f t="shared" si="3"/>
        <v>17.43</v>
      </c>
    </row>
    <row r="131" spans="1:7" ht="12.75" customHeight="1">
      <c r="A131" s="3">
        <v>7334</v>
      </c>
      <c r="B131" s="4" t="s">
        <v>137</v>
      </c>
      <c r="C131" s="3" t="s">
        <v>56</v>
      </c>
      <c r="D131" s="5">
        <f t="shared" ref="D131:D194" si="4">G131</f>
        <v>15.11</v>
      </c>
      <c r="E131">
        <v>16.59</v>
      </c>
      <c r="F131" s="1789">
        <v>8.8999999999999996E-2</v>
      </c>
      <c r="G131">
        <f t="shared" ref="G131:G194" si="5">TRUNC((1-F131)*E131,2)</f>
        <v>15.11</v>
      </c>
    </row>
    <row r="132" spans="1:7" ht="12.75" customHeight="1">
      <c r="A132" s="3">
        <v>45146</v>
      </c>
      <c r="B132" s="4" t="s">
        <v>138</v>
      </c>
      <c r="C132" s="3" t="s">
        <v>54</v>
      </c>
      <c r="D132" s="5">
        <f t="shared" si="4"/>
        <v>33.43</v>
      </c>
      <c r="E132">
        <v>36.700000000000003</v>
      </c>
      <c r="F132" s="1789">
        <v>8.8999999999999996E-2</v>
      </c>
      <c r="G132">
        <f t="shared" si="5"/>
        <v>33.43</v>
      </c>
    </row>
    <row r="133" spans="1:7" ht="12.75" customHeight="1">
      <c r="A133" s="3">
        <v>123</v>
      </c>
      <c r="B133" s="4" t="s">
        <v>139</v>
      </c>
      <c r="C133" s="3" t="s">
        <v>56</v>
      </c>
      <c r="D133" s="5">
        <f t="shared" si="4"/>
        <v>7.13</v>
      </c>
      <c r="E133">
        <v>7.83</v>
      </c>
      <c r="F133" s="1789">
        <v>8.8999999999999996E-2</v>
      </c>
      <c r="G133">
        <f t="shared" si="5"/>
        <v>7.13</v>
      </c>
    </row>
    <row r="134" spans="1:7" ht="12.75" customHeight="1">
      <c r="A134" s="3">
        <v>127</v>
      </c>
      <c r="B134" s="4" t="s">
        <v>140</v>
      </c>
      <c r="C134" s="3" t="s">
        <v>56</v>
      </c>
      <c r="D134" s="5">
        <f t="shared" si="4"/>
        <v>17.02</v>
      </c>
      <c r="E134">
        <v>18.690000000000001</v>
      </c>
      <c r="F134" s="1789">
        <v>8.8999999999999996E-2</v>
      </c>
      <c r="G134">
        <f t="shared" si="5"/>
        <v>17.02</v>
      </c>
    </row>
    <row r="135" spans="1:7" ht="12.75" customHeight="1">
      <c r="A135" s="3">
        <v>133</v>
      </c>
      <c r="B135" s="4" t="s">
        <v>141</v>
      </c>
      <c r="C135" s="3" t="s">
        <v>56</v>
      </c>
      <c r="D135" s="5">
        <f t="shared" si="4"/>
        <v>7.06</v>
      </c>
      <c r="E135">
        <v>7.76</v>
      </c>
      <c r="F135" s="1789">
        <v>8.8999999999999996E-2</v>
      </c>
      <c r="G135">
        <f t="shared" si="5"/>
        <v>7.06</v>
      </c>
    </row>
    <row r="136" spans="1:7" ht="12.75" customHeight="1">
      <c r="A136" s="3">
        <v>43617</v>
      </c>
      <c r="B136" s="4" t="s">
        <v>142</v>
      </c>
      <c r="C136" s="3" t="s">
        <v>56</v>
      </c>
      <c r="D136" s="5">
        <f t="shared" si="4"/>
        <v>7.89</v>
      </c>
      <c r="E136">
        <v>8.67</v>
      </c>
      <c r="F136" s="1789">
        <v>8.8999999999999996E-2</v>
      </c>
      <c r="G136">
        <f t="shared" si="5"/>
        <v>7.89</v>
      </c>
    </row>
    <row r="137" spans="1:7" ht="12.75" customHeight="1">
      <c r="A137" s="3">
        <v>132</v>
      </c>
      <c r="B137" s="4" t="s">
        <v>143</v>
      </c>
      <c r="C137" s="3" t="s">
        <v>56</v>
      </c>
      <c r="D137" s="5">
        <f t="shared" si="4"/>
        <v>7.33</v>
      </c>
      <c r="E137">
        <v>8.0500000000000007</v>
      </c>
      <c r="F137" s="1789">
        <v>8.8999999999999996E-2</v>
      </c>
      <c r="G137">
        <f t="shared" si="5"/>
        <v>7.33</v>
      </c>
    </row>
    <row r="138" spans="1:7" ht="12.75" customHeight="1">
      <c r="A138" s="3">
        <v>43618</v>
      </c>
      <c r="B138" s="4" t="s">
        <v>144</v>
      </c>
      <c r="C138" s="3" t="s">
        <v>54</v>
      </c>
      <c r="D138" s="5">
        <f t="shared" si="4"/>
        <v>18.45</v>
      </c>
      <c r="E138">
        <v>20.260000000000002</v>
      </c>
      <c r="F138" s="1789">
        <v>8.8999999999999996E-2</v>
      </c>
      <c r="G138">
        <f t="shared" si="5"/>
        <v>18.45</v>
      </c>
    </row>
    <row r="139" spans="1:7" ht="12.75" customHeight="1">
      <c r="A139" s="3">
        <v>37476</v>
      </c>
      <c r="B139" s="4" t="s">
        <v>145</v>
      </c>
      <c r="C139" s="3" t="s">
        <v>6</v>
      </c>
      <c r="D139" s="5">
        <f t="shared" si="4"/>
        <v>3419.14</v>
      </c>
      <c r="E139">
        <v>3753.18</v>
      </c>
      <c r="F139" s="1789">
        <v>8.8999999999999996E-2</v>
      </c>
      <c r="G139">
        <f t="shared" si="5"/>
        <v>3419.14</v>
      </c>
    </row>
    <row r="140" spans="1:7" ht="12.75" customHeight="1">
      <c r="A140" s="3">
        <v>37478</v>
      </c>
      <c r="B140" s="4" t="s">
        <v>146</v>
      </c>
      <c r="C140" s="3" t="s">
        <v>6</v>
      </c>
      <c r="D140" s="5">
        <f t="shared" si="4"/>
        <v>4282.5600000000004</v>
      </c>
      <c r="E140">
        <v>4700.95</v>
      </c>
      <c r="F140" s="1789">
        <v>8.8999999999999996E-2</v>
      </c>
      <c r="G140">
        <f t="shared" si="5"/>
        <v>4282.5600000000004</v>
      </c>
    </row>
    <row r="141" spans="1:7" ht="12.75" customHeight="1">
      <c r="A141" s="3">
        <v>37477</v>
      </c>
      <c r="B141" s="4" t="s">
        <v>147</v>
      </c>
      <c r="C141" s="3" t="s">
        <v>6</v>
      </c>
      <c r="D141" s="5">
        <f t="shared" si="4"/>
        <v>5802.18</v>
      </c>
      <c r="E141">
        <v>6369.03</v>
      </c>
      <c r="F141" s="1789">
        <v>8.8999999999999996E-2</v>
      </c>
      <c r="G141">
        <f t="shared" si="5"/>
        <v>5802.18</v>
      </c>
    </row>
    <row r="142" spans="1:7" ht="12.75" customHeight="1">
      <c r="A142" s="3">
        <v>37479</v>
      </c>
      <c r="B142" s="4" t="s">
        <v>148</v>
      </c>
      <c r="C142" s="3" t="s">
        <v>6</v>
      </c>
      <c r="D142" s="5">
        <f t="shared" si="4"/>
        <v>6881.46</v>
      </c>
      <c r="E142">
        <v>7553.75</v>
      </c>
      <c r="F142" s="1789">
        <v>8.8999999999999996E-2</v>
      </c>
      <c r="G142">
        <f t="shared" si="5"/>
        <v>6881.46</v>
      </c>
    </row>
    <row r="143" spans="1:7" ht="12.75" customHeight="1">
      <c r="A143" s="3">
        <v>4319</v>
      </c>
      <c r="B143" s="4" t="s">
        <v>149</v>
      </c>
      <c r="C143" s="3" t="s">
        <v>6</v>
      </c>
      <c r="D143" s="5">
        <f t="shared" si="4"/>
        <v>1.62</v>
      </c>
      <c r="E143">
        <v>1.78</v>
      </c>
      <c r="F143" s="1789">
        <v>8.8999999999999996E-2</v>
      </c>
      <c r="G143">
        <f t="shared" si="5"/>
        <v>1.62</v>
      </c>
    </row>
    <row r="144" spans="1:7" ht="12.75" customHeight="1">
      <c r="A144" s="3">
        <v>42409</v>
      </c>
      <c r="B144" s="4" t="s">
        <v>150</v>
      </c>
      <c r="C144" s="3" t="s">
        <v>54</v>
      </c>
      <c r="D144" s="5">
        <f t="shared" si="4"/>
        <v>11.62</v>
      </c>
      <c r="E144">
        <v>12.76</v>
      </c>
      <c r="F144" s="1789">
        <v>8.8999999999999996E-2</v>
      </c>
      <c r="G144">
        <f t="shared" si="5"/>
        <v>11.62</v>
      </c>
    </row>
    <row r="145" spans="1:7" ht="12.75" customHeight="1">
      <c r="A145" s="3">
        <v>40553</v>
      </c>
      <c r="B145" s="4" t="s">
        <v>151</v>
      </c>
      <c r="C145" s="3" t="s">
        <v>152</v>
      </c>
      <c r="D145" s="5">
        <f t="shared" si="4"/>
        <v>54.66</v>
      </c>
      <c r="E145">
        <v>60</v>
      </c>
      <c r="F145" s="1789">
        <v>8.8999999999999996E-2</v>
      </c>
      <c r="G145">
        <f t="shared" si="5"/>
        <v>54.66</v>
      </c>
    </row>
    <row r="146" spans="1:7" ht="12.75" customHeight="1">
      <c r="A146" s="3">
        <v>6114</v>
      </c>
      <c r="B146" s="4" t="s">
        <v>153</v>
      </c>
      <c r="C146" s="3" t="s">
        <v>154</v>
      </c>
      <c r="D146" s="5">
        <f t="shared" si="4"/>
        <v>14.52</v>
      </c>
      <c r="E146">
        <v>15.94</v>
      </c>
      <c r="F146" s="1789">
        <v>8.8999999999999996E-2</v>
      </c>
      <c r="G146">
        <f t="shared" si="5"/>
        <v>14.52</v>
      </c>
    </row>
    <row r="147" spans="1:7" ht="12.75" customHeight="1">
      <c r="A147" s="3">
        <v>40912</v>
      </c>
      <c r="B147" s="4" t="s">
        <v>155</v>
      </c>
      <c r="C147" s="3" t="s">
        <v>156</v>
      </c>
      <c r="D147" s="5">
        <f t="shared" si="4"/>
        <v>2557.11</v>
      </c>
      <c r="E147">
        <v>2806.93</v>
      </c>
      <c r="F147" s="1789">
        <v>8.8999999999999996E-2</v>
      </c>
      <c r="G147">
        <f t="shared" si="5"/>
        <v>2557.11</v>
      </c>
    </row>
    <row r="148" spans="1:7" ht="12.75" customHeight="1">
      <c r="A148" s="3">
        <v>247</v>
      </c>
      <c r="B148" s="4" t="s">
        <v>157</v>
      </c>
      <c r="C148" s="3" t="s">
        <v>154</v>
      </c>
      <c r="D148" s="5">
        <f t="shared" si="4"/>
        <v>14.52</v>
      </c>
      <c r="E148">
        <v>15.94</v>
      </c>
      <c r="F148" s="1789">
        <v>8.8999999999999996E-2</v>
      </c>
      <c r="G148">
        <f t="shared" si="5"/>
        <v>14.52</v>
      </c>
    </row>
    <row r="149" spans="1:7" ht="12.75" customHeight="1">
      <c r="A149" s="3">
        <v>40919</v>
      </c>
      <c r="B149" s="4" t="s">
        <v>158</v>
      </c>
      <c r="C149" s="3" t="s">
        <v>156</v>
      </c>
      <c r="D149" s="5">
        <f t="shared" si="4"/>
        <v>2557.11</v>
      </c>
      <c r="E149">
        <v>2806.93</v>
      </c>
      <c r="F149" s="1789">
        <v>8.8999999999999996E-2</v>
      </c>
      <c r="G149">
        <f t="shared" si="5"/>
        <v>2557.11</v>
      </c>
    </row>
    <row r="150" spans="1:7" ht="12.75" customHeight="1">
      <c r="A150" s="3">
        <v>44499</v>
      </c>
      <c r="B150" s="4" t="s">
        <v>159</v>
      </c>
      <c r="C150" s="3" t="s">
        <v>154</v>
      </c>
      <c r="D150" s="5">
        <f t="shared" si="4"/>
        <v>14.52</v>
      </c>
      <c r="E150">
        <v>15.94</v>
      </c>
      <c r="F150" s="1789">
        <v>8.8999999999999996E-2</v>
      </c>
      <c r="G150">
        <f t="shared" si="5"/>
        <v>14.52</v>
      </c>
    </row>
    <row r="151" spans="1:7" ht="12.75" customHeight="1">
      <c r="A151" s="3">
        <v>40984</v>
      </c>
      <c r="B151" s="4" t="s">
        <v>160</v>
      </c>
      <c r="C151" s="3" t="s">
        <v>156</v>
      </c>
      <c r="D151" s="5">
        <f t="shared" si="4"/>
        <v>2557.11</v>
      </c>
      <c r="E151">
        <v>2806.93</v>
      </c>
      <c r="F151" s="1789">
        <v>8.8999999999999996E-2</v>
      </c>
      <c r="G151">
        <f t="shared" si="5"/>
        <v>2557.11</v>
      </c>
    </row>
    <row r="152" spans="1:7" ht="12.75" customHeight="1">
      <c r="A152" s="3">
        <v>248</v>
      </c>
      <c r="B152" s="4" t="s">
        <v>161</v>
      </c>
      <c r="C152" s="3" t="s">
        <v>154</v>
      </c>
      <c r="D152" s="5">
        <f t="shared" si="4"/>
        <v>14.37</v>
      </c>
      <c r="E152">
        <v>15.78</v>
      </c>
      <c r="F152" s="1789">
        <v>8.8999999999999996E-2</v>
      </c>
      <c r="G152">
        <f t="shared" si="5"/>
        <v>14.37</v>
      </c>
    </row>
    <row r="153" spans="1:7" ht="12.75" customHeight="1">
      <c r="A153" s="3">
        <v>41086</v>
      </c>
      <c r="B153" s="4" t="s">
        <v>162</v>
      </c>
      <c r="C153" s="3" t="s">
        <v>156</v>
      </c>
      <c r="D153" s="5">
        <f t="shared" si="4"/>
        <v>2530.65</v>
      </c>
      <c r="E153">
        <v>2777.89</v>
      </c>
      <c r="F153" s="1789">
        <v>8.8999999999999996E-2</v>
      </c>
      <c r="G153">
        <f t="shared" si="5"/>
        <v>2530.65</v>
      </c>
    </row>
    <row r="154" spans="1:7" ht="12.75" customHeight="1">
      <c r="A154" s="3">
        <v>34466</v>
      </c>
      <c r="B154" s="4" t="s">
        <v>163</v>
      </c>
      <c r="C154" s="3" t="s">
        <v>154</v>
      </c>
      <c r="D154" s="5">
        <f t="shared" si="4"/>
        <v>18.02</v>
      </c>
      <c r="E154">
        <v>19.79</v>
      </c>
      <c r="F154" s="1789">
        <v>8.8999999999999996E-2</v>
      </c>
      <c r="G154">
        <f t="shared" si="5"/>
        <v>18.02</v>
      </c>
    </row>
    <row r="155" spans="1:7" ht="12.75" customHeight="1">
      <c r="A155" s="3">
        <v>41083</v>
      </c>
      <c r="B155" s="4" t="s">
        <v>164</v>
      </c>
      <c r="C155" s="3" t="s">
        <v>156</v>
      </c>
      <c r="D155" s="5">
        <f t="shared" si="4"/>
        <v>3173.79</v>
      </c>
      <c r="E155">
        <v>3483.86</v>
      </c>
      <c r="F155" s="1789">
        <v>8.8999999999999996E-2</v>
      </c>
      <c r="G155">
        <f t="shared" si="5"/>
        <v>3173.79</v>
      </c>
    </row>
    <row r="156" spans="1:7" ht="12.75" customHeight="1">
      <c r="A156" s="3">
        <v>252</v>
      </c>
      <c r="B156" s="4" t="s">
        <v>165</v>
      </c>
      <c r="C156" s="3" t="s">
        <v>154</v>
      </c>
      <c r="D156" s="5">
        <f t="shared" si="4"/>
        <v>14.52</v>
      </c>
      <c r="E156">
        <v>15.94</v>
      </c>
      <c r="F156" s="1789">
        <v>8.8999999999999996E-2</v>
      </c>
      <c r="G156">
        <f t="shared" si="5"/>
        <v>14.52</v>
      </c>
    </row>
    <row r="157" spans="1:7" ht="12.75" customHeight="1">
      <c r="A157" s="3">
        <v>40909</v>
      </c>
      <c r="B157" s="4" t="s">
        <v>166</v>
      </c>
      <c r="C157" s="3" t="s">
        <v>156</v>
      </c>
      <c r="D157" s="5">
        <f t="shared" si="4"/>
        <v>2557.11</v>
      </c>
      <c r="E157">
        <v>2806.93</v>
      </c>
      <c r="F157" s="1789">
        <v>8.8999999999999996E-2</v>
      </c>
      <c r="G157">
        <f t="shared" si="5"/>
        <v>2557.11</v>
      </c>
    </row>
    <row r="158" spans="1:7" ht="12.75" customHeight="1">
      <c r="A158" s="3">
        <v>242</v>
      </c>
      <c r="B158" s="4" t="s">
        <v>167</v>
      </c>
      <c r="C158" s="3" t="s">
        <v>154</v>
      </c>
      <c r="D158" s="5">
        <f t="shared" si="4"/>
        <v>14.37</v>
      </c>
      <c r="E158">
        <v>15.78</v>
      </c>
      <c r="F158" s="1789">
        <v>8.8999999999999996E-2</v>
      </c>
      <c r="G158">
        <f t="shared" si="5"/>
        <v>14.37</v>
      </c>
    </row>
    <row r="159" spans="1:7" ht="12.75" customHeight="1">
      <c r="A159" s="3">
        <v>41085</v>
      </c>
      <c r="B159" s="4" t="s">
        <v>168</v>
      </c>
      <c r="C159" s="3" t="s">
        <v>156</v>
      </c>
      <c r="D159" s="5">
        <f t="shared" si="4"/>
        <v>2530.65</v>
      </c>
      <c r="E159">
        <v>2777.89</v>
      </c>
      <c r="F159" s="1789">
        <v>8.8999999999999996E-2</v>
      </c>
      <c r="G159">
        <f t="shared" si="5"/>
        <v>2530.65</v>
      </c>
    </row>
    <row r="160" spans="1:7" ht="12.75" customHeight="1">
      <c r="A160" s="3">
        <v>427</v>
      </c>
      <c r="B160" s="4" t="s">
        <v>169</v>
      </c>
      <c r="C160" s="3" t="s">
        <v>6</v>
      </c>
      <c r="D160" s="5">
        <f t="shared" si="4"/>
        <v>9.15</v>
      </c>
      <c r="E160">
        <v>10.050000000000001</v>
      </c>
      <c r="F160" s="1789">
        <v>8.8999999999999996E-2</v>
      </c>
      <c r="G160">
        <f t="shared" si="5"/>
        <v>9.15</v>
      </c>
    </row>
    <row r="161" spans="1:7" ht="12.75" customHeight="1">
      <c r="A161" s="3">
        <v>417</v>
      </c>
      <c r="B161" s="4" t="s">
        <v>170</v>
      </c>
      <c r="C161" s="3" t="s">
        <v>6</v>
      </c>
      <c r="D161" s="5">
        <f t="shared" si="4"/>
        <v>4.3</v>
      </c>
      <c r="E161">
        <v>4.7300000000000004</v>
      </c>
      <c r="F161" s="1789">
        <v>8.8999999999999996E-2</v>
      </c>
      <c r="G161">
        <f t="shared" si="5"/>
        <v>4.3</v>
      </c>
    </row>
    <row r="162" spans="1:7" ht="12.75" customHeight="1">
      <c r="A162" s="3">
        <v>11273</v>
      </c>
      <c r="B162" s="4" t="s">
        <v>171</v>
      </c>
      <c r="C162" s="3" t="s">
        <v>6</v>
      </c>
      <c r="D162" s="5">
        <f t="shared" si="4"/>
        <v>13.39</v>
      </c>
      <c r="E162">
        <v>14.7</v>
      </c>
      <c r="F162" s="1789">
        <v>8.8999999999999996E-2</v>
      </c>
      <c r="G162">
        <f t="shared" si="5"/>
        <v>13.39</v>
      </c>
    </row>
    <row r="163" spans="1:7" ht="12.75" customHeight="1">
      <c r="A163" s="3">
        <v>11272</v>
      </c>
      <c r="B163" s="4" t="s">
        <v>172</v>
      </c>
      <c r="C163" s="3" t="s">
        <v>6</v>
      </c>
      <c r="D163" s="5">
        <f t="shared" si="4"/>
        <v>8.08</v>
      </c>
      <c r="E163">
        <v>8.8699999999999992</v>
      </c>
      <c r="F163" s="1789">
        <v>8.8999999999999996E-2</v>
      </c>
      <c r="G163">
        <f t="shared" si="5"/>
        <v>8.08</v>
      </c>
    </row>
    <row r="164" spans="1:7" ht="12.75" customHeight="1">
      <c r="A164" s="3">
        <v>11275</v>
      </c>
      <c r="B164" s="4" t="s">
        <v>173</v>
      </c>
      <c r="C164" s="3" t="s">
        <v>6</v>
      </c>
      <c r="D164" s="5">
        <f t="shared" si="4"/>
        <v>3.24</v>
      </c>
      <c r="E164">
        <v>3.56</v>
      </c>
      <c r="F164" s="1789">
        <v>8.8999999999999996E-2</v>
      </c>
      <c r="G164">
        <f t="shared" si="5"/>
        <v>3.24</v>
      </c>
    </row>
    <row r="165" spans="1:7" ht="12.75" customHeight="1">
      <c r="A165" s="3">
        <v>11274</v>
      </c>
      <c r="B165" s="4" t="s">
        <v>174</v>
      </c>
      <c r="C165" s="3" t="s">
        <v>6</v>
      </c>
      <c r="D165" s="5">
        <f t="shared" si="4"/>
        <v>2.46</v>
      </c>
      <c r="E165">
        <v>2.71</v>
      </c>
      <c r="F165" s="1789">
        <v>8.8999999999999996E-2</v>
      </c>
      <c r="G165">
        <f t="shared" si="5"/>
        <v>2.46</v>
      </c>
    </row>
    <row r="166" spans="1:7" ht="12.75" customHeight="1">
      <c r="A166" s="3">
        <v>38470</v>
      </c>
      <c r="B166" s="4" t="s">
        <v>175</v>
      </c>
      <c r="C166" s="3" t="s">
        <v>6</v>
      </c>
      <c r="D166" s="5">
        <f t="shared" si="4"/>
        <v>45.27</v>
      </c>
      <c r="E166">
        <v>49.7</v>
      </c>
      <c r="F166" s="1789">
        <v>8.8999999999999996E-2</v>
      </c>
      <c r="G166">
        <f t="shared" si="5"/>
        <v>45.27</v>
      </c>
    </row>
    <row r="167" spans="1:7" ht="12.75" customHeight="1">
      <c r="A167" s="3">
        <v>38547</v>
      </c>
      <c r="B167" s="4" t="s">
        <v>176</v>
      </c>
      <c r="C167" s="3" t="s">
        <v>6</v>
      </c>
      <c r="D167" s="5">
        <f t="shared" si="4"/>
        <v>123.54</v>
      </c>
      <c r="E167">
        <v>135.62</v>
      </c>
      <c r="F167" s="1789">
        <v>8.8999999999999996E-2</v>
      </c>
      <c r="G167">
        <f t="shared" si="5"/>
        <v>123.54</v>
      </c>
    </row>
    <row r="168" spans="1:7" ht="12.75" customHeight="1">
      <c r="A168" s="3">
        <v>38469</v>
      </c>
      <c r="B168" s="4" t="s">
        <v>177</v>
      </c>
      <c r="C168" s="3" t="s">
        <v>6</v>
      </c>
      <c r="D168" s="5">
        <f t="shared" si="4"/>
        <v>132.85</v>
      </c>
      <c r="E168">
        <v>145.83000000000001</v>
      </c>
      <c r="F168" s="1789">
        <v>8.8999999999999996E-2</v>
      </c>
      <c r="G168">
        <f t="shared" si="5"/>
        <v>132.85</v>
      </c>
    </row>
    <row r="169" spans="1:7" ht="12.75" customHeight="1">
      <c r="A169" s="3">
        <v>38467</v>
      </c>
      <c r="B169" s="4" t="s">
        <v>178</v>
      </c>
      <c r="C169" s="3" t="s">
        <v>6</v>
      </c>
      <c r="D169" s="5">
        <f t="shared" si="4"/>
        <v>74.739999999999995</v>
      </c>
      <c r="E169">
        <v>82.05</v>
      </c>
      <c r="F169" s="1789">
        <v>8.8999999999999996E-2</v>
      </c>
      <c r="G169">
        <f t="shared" si="5"/>
        <v>74.739999999999995</v>
      </c>
    </row>
    <row r="170" spans="1:7" ht="12.75" customHeight="1">
      <c r="A170" s="3">
        <v>38468</v>
      </c>
      <c r="B170" s="4" t="s">
        <v>179</v>
      </c>
      <c r="C170" s="3" t="s">
        <v>6</v>
      </c>
      <c r="D170" s="5">
        <f t="shared" si="4"/>
        <v>82.25</v>
      </c>
      <c r="E170">
        <v>90.29</v>
      </c>
      <c r="F170" s="1789">
        <v>8.8999999999999996E-2</v>
      </c>
      <c r="G170">
        <f t="shared" si="5"/>
        <v>82.25</v>
      </c>
    </row>
    <row r="171" spans="1:7" ht="12.75" customHeight="1">
      <c r="A171" s="3">
        <v>38471</v>
      </c>
      <c r="B171" s="4" t="s">
        <v>180</v>
      </c>
      <c r="C171" s="3" t="s">
        <v>6</v>
      </c>
      <c r="D171" s="5">
        <f t="shared" si="4"/>
        <v>106.82</v>
      </c>
      <c r="E171">
        <v>117.26</v>
      </c>
      <c r="F171" s="1789">
        <v>8.8999999999999996E-2</v>
      </c>
      <c r="G171">
        <f t="shared" si="5"/>
        <v>106.82</v>
      </c>
    </row>
    <row r="172" spans="1:7" ht="12.75" customHeight="1">
      <c r="A172" s="3">
        <v>37370</v>
      </c>
      <c r="B172" s="4" t="s">
        <v>181</v>
      </c>
      <c r="C172" s="3" t="s">
        <v>154</v>
      </c>
      <c r="D172" s="5">
        <f t="shared" si="4"/>
        <v>0.99</v>
      </c>
      <c r="E172">
        <v>1.0900000000000001</v>
      </c>
      <c r="F172" s="1789">
        <v>8.8999999999999996E-2</v>
      </c>
      <c r="G172">
        <f t="shared" si="5"/>
        <v>0.99</v>
      </c>
    </row>
    <row r="173" spans="1:7" ht="12.75" customHeight="1">
      <c r="A173" s="3">
        <v>40862</v>
      </c>
      <c r="B173" s="4" t="s">
        <v>182</v>
      </c>
      <c r="C173" s="3" t="s">
        <v>156</v>
      </c>
      <c r="D173" s="5">
        <f t="shared" si="4"/>
        <v>187.49</v>
      </c>
      <c r="E173">
        <v>205.81</v>
      </c>
      <c r="F173" s="1789">
        <v>8.8999999999999996E-2</v>
      </c>
      <c r="G173">
        <f t="shared" si="5"/>
        <v>187.49</v>
      </c>
    </row>
    <row r="174" spans="1:7" ht="12.75" customHeight="1">
      <c r="A174" s="3">
        <v>10658</v>
      </c>
      <c r="B174" s="4" t="s">
        <v>183</v>
      </c>
      <c r="C174" s="3" t="s">
        <v>6</v>
      </c>
      <c r="D174" s="5">
        <f t="shared" si="4"/>
        <v>7022.89</v>
      </c>
      <c r="E174">
        <v>7709</v>
      </c>
      <c r="F174" s="1789">
        <v>8.8999999999999996E-2</v>
      </c>
      <c r="G174">
        <f t="shared" si="5"/>
        <v>7022.89</v>
      </c>
    </row>
    <row r="175" spans="1:7" ht="12.75" customHeight="1">
      <c r="A175" s="3">
        <v>253</v>
      </c>
      <c r="B175" s="4" t="s">
        <v>184</v>
      </c>
      <c r="C175" s="3" t="s">
        <v>154</v>
      </c>
      <c r="D175" s="5">
        <f t="shared" si="4"/>
        <v>18.02</v>
      </c>
      <c r="E175">
        <v>19.79</v>
      </c>
      <c r="F175" s="1789">
        <v>8.8999999999999996E-2</v>
      </c>
      <c r="G175">
        <f t="shared" si="5"/>
        <v>18.02</v>
      </c>
    </row>
    <row r="176" spans="1:7" ht="12.75" customHeight="1">
      <c r="A176" s="3">
        <v>40809</v>
      </c>
      <c r="B176" s="4" t="s">
        <v>185</v>
      </c>
      <c r="C176" s="3" t="s">
        <v>156</v>
      </c>
      <c r="D176" s="5">
        <f t="shared" si="4"/>
        <v>3172.4</v>
      </c>
      <c r="E176">
        <v>3482.33</v>
      </c>
      <c r="F176" s="1789">
        <v>8.8999999999999996E-2</v>
      </c>
      <c r="G176">
        <f t="shared" si="5"/>
        <v>3172.4</v>
      </c>
    </row>
    <row r="177" spans="1:7" ht="12.75" customHeight="1">
      <c r="A177" s="3">
        <v>42428</v>
      </c>
      <c r="B177" s="4" t="s">
        <v>186</v>
      </c>
      <c r="C177" s="3" t="s">
        <v>6</v>
      </c>
      <c r="D177" s="5">
        <f t="shared" si="4"/>
        <v>2068.88</v>
      </c>
      <c r="E177">
        <v>2271</v>
      </c>
      <c r="F177" s="1789">
        <v>8.8999999999999996E-2</v>
      </c>
      <c r="G177">
        <f t="shared" si="5"/>
        <v>2068.88</v>
      </c>
    </row>
    <row r="178" spans="1:7" ht="12.75" customHeight="1">
      <c r="A178" s="3">
        <v>301</v>
      </c>
      <c r="B178" s="4" t="s">
        <v>187</v>
      </c>
      <c r="C178" s="3" t="s">
        <v>6</v>
      </c>
      <c r="D178" s="5">
        <f t="shared" si="4"/>
        <v>2.96</v>
      </c>
      <c r="E178">
        <v>3.25</v>
      </c>
      <c r="F178" s="1789">
        <v>8.8999999999999996E-2</v>
      </c>
      <c r="G178">
        <f t="shared" si="5"/>
        <v>2.96</v>
      </c>
    </row>
    <row r="179" spans="1:7" ht="12.75" customHeight="1">
      <c r="A179" s="3">
        <v>296</v>
      </c>
      <c r="B179" s="4" t="s">
        <v>188</v>
      </c>
      <c r="C179" s="3" t="s">
        <v>6</v>
      </c>
      <c r="D179" s="5">
        <f t="shared" si="4"/>
        <v>1.66</v>
      </c>
      <c r="E179">
        <v>1.83</v>
      </c>
      <c r="F179" s="1789">
        <v>8.8999999999999996E-2</v>
      </c>
      <c r="G179">
        <f t="shared" si="5"/>
        <v>1.66</v>
      </c>
    </row>
    <row r="180" spans="1:7" ht="12.75" customHeight="1">
      <c r="A180" s="3">
        <v>297</v>
      </c>
      <c r="B180" s="4" t="s">
        <v>189</v>
      </c>
      <c r="C180" s="3" t="s">
        <v>6</v>
      </c>
      <c r="D180" s="5">
        <f t="shared" si="4"/>
        <v>2.4500000000000002</v>
      </c>
      <c r="E180">
        <v>2.7</v>
      </c>
      <c r="F180" s="1789">
        <v>8.8999999999999996E-2</v>
      </c>
      <c r="G180">
        <f t="shared" si="5"/>
        <v>2.4500000000000002</v>
      </c>
    </row>
    <row r="181" spans="1:7" ht="12.75" customHeight="1">
      <c r="A181" s="3">
        <v>299</v>
      </c>
      <c r="B181" s="4" t="s">
        <v>190</v>
      </c>
      <c r="C181" s="3" t="s">
        <v>6</v>
      </c>
      <c r="D181" s="5">
        <f t="shared" si="4"/>
        <v>3.47</v>
      </c>
      <c r="E181">
        <v>3.81</v>
      </c>
      <c r="F181" s="1789">
        <v>8.8999999999999996E-2</v>
      </c>
      <c r="G181">
        <f t="shared" si="5"/>
        <v>3.47</v>
      </c>
    </row>
    <row r="182" spans="1:7" ht="12.75" customHeight="1">
      <c r="A182" s="3">
        <v>300</v>
      </c>
      <c r="B182" s="4" t="s">
        <v>191</v>
      </c>
      <c r="C182" s="3" t="s">
        <v>6</v>
      </c>
      <c r="D182" s="5">
        <f t="shared" si="4"/>
        <v>12.01</v>
      </c>
      <c r="E182">
        <v>13.19</v>
      </c>
      <c r="F182" s="1789">
        <v>8.8999999999999996E-2</v>
      </c>
      <c r="G182">
        <f t="shared" si="5"/>
        <v>12.01</v>
      </c>
    </row>
    <row r="183" spans="1:7" ht="12.75" customHeight="1">
      <c r="A183" s="3">
        <v>20085</v>
      </c>
      <c r="B183" s="4" t="s">
        <v>192</v>
      </c>
      <c r="C183" s="3" t="s">
        <v>6</v>
      </c>
      <c r="D183" s="5">
        <f t="shared" si="4"/>
        <v>2.19</v>
      </c>
      <c r="E183">
        <v>2.41</v>
      </c>
      <c r="F183" s="1789">
        <v>8.8999999999999996E-2</v>
      </c>
      <c r="G183">
        <f t="shared" si="5"/>
        <v>2.19</v>
      </c>
    </row>
    <row r="184" spans="1:7" ht="12.75" customHeight="1">
      <c r="A184" s="3">
        <v>298</v>
      </c>
      <c r="B184" s="4" t="s">
        <v>193</v>
      </c>
      <c r="C184" s="3" t="s">
        <v>6</v>
      </c>
      <c r="D184" s="5">
        <f t="shared" si="4"/>
        <v>2.66</v>
      </c>
      <c r="E184">
        <v>2.93</v>
      </c>
      <c r="F184" s="1789">
        <v>8.8999999999999996E-2</v>
      </c>
      <c r="G184">
        <f t="shared" si="5"/>
        <v>2.66</v>
      </c>
    </row>
    <row r="185" spans="1:7" ht="12.75" customHeight="1">
      <c r="A185" s="3">
        <v>311</v>
      </c>
      <c r="B185" s="4" t="s">
        <v>194</v>
      </c>
      <c r="C185" s="3" t="s">
        <v>6</v>
      </c>
      <c r="D185" s="5">
        <f t="shared" si="4"/>
        <v>9.91</v>
      </c>
      <c r="E185">
        <v>10.88</v>
      </c>
      <c r="F185" s="1789">
        <v>8.8999999999999996E-2</v>
      </c>
      <c r="G185">
        <f t="shared" si="5"/>
        <v>9.91</v>
      </c>
    </row>
    <row r="186" spans="1:7" ht="12.75" customHeight="1">
      <c r="A186" s="3">
        <v>318</v>
      </c>
      <c r="B186" s="4" t="s">
        <v>195</v>
      </c>
      <c r="C186" s="3" t="s">
        <v>6</v>
      </c>
      <c r="D186" s="5">
        <f t="shared" si="4"/>
        <v>19.96</v>
      </c>
      <c r="E186">
        <v>21.91</v>
      </c>
      <c r="F186" s="1789">
        <v>8.8999999999999996E-2</v>
      </c>
      <c r="G186">
        <f t="shared" si="5"/>
        <v>19.96</v>
      </c>
    </row>
    <row r="187" spans="1:7" ht="12.75" customHeight="1">
      <c r="A187" s="3">
        <v>319</v>
      </c>
      <c r="B187" s="4" t="s">
        <v>196</v>
      </c>
      <c r="C187" s="3" t="s">
        <v>6</v>
      </c>
      <c r="D187" s="5">
        <f t="shared" si="4"/>
        <v>31.29</v>
      </c>
      <c r="E187">
        <v>34.35</v>
      </c>
      <c r="F187" s="1789">
        <v>8.8999999999999996E-2</v>
      </c>
      <c r="G187">
        <f t="shared" si="5"/>
        <v>31.29</v>
      </c>
    </row>
    <row r="188" spans="1:7" ht="12.75" customHeight="1">
      <c r="A188" s="3">
        <v>303</v>
      </c>
      <c r="B188" s="4" t="s">
        <v>197</v>
      </c>
      <c r="C188" s="3" t="s">
        <v>6</v>
      </c>
      <c r="D188" s="5">
        <f t="shared" si="4"/>
        <v>3.27</v>
      </c>
      <c r="E188">
        <v>3.6</v>
      </c>
      <c r="F188" s="1789">
        <v>8.8999999999999996E-2</v>
      </c>
      <c r="G188">
        <f t="shared" si="5"/>
        <v>3.27</v>
      </c>
    </row>
    <row r="189" spans="1:7" ht="12.75" customHeight="1">
      <c r="A189" s="3">
        <v>305</v>
      </c>
      <c r="B189" s="4" t="s">
        <v>198</v>
      </c>
      <c r="C189" s="3" t="s">
        <v>6</v>
      </c>
      <c r="D189" s="5">
        <f t="shared" si="4"/>
        <v>10.31</v>
      </c>
      <c r="E189">
        <v>11.32</v>
      </c>
      <c r="F189" s="1789">
        <v>8.8999999999999996E-2</v>
      </c>
      <c r="G189">
        <f t="shared" si="5"/>
        <v>10.31</v>
      </c>
    </row>
    <row r="190" spans="1:7" ht="12.75" customHeight="1">
      <c r="A190" s="3">
        <v>306</v>
      </c>
      <c r="B190" s="4" t="s">
        <v>199</v>
      </c>
      <c r="C190" s="3" t="s">
        <v>6</v>
      </c>
      <c r="D190" s="5">
        <f t="shared" si="4"/>
        <v>15.64</v>
      </c>
      <c r="E190">
        <v>17.170000000000002</v>
      </c>
      <c r="F190" s="1789">
        <v>8.8999999999999996E-2</v>
      </c>
      <c r="G190">
        <f t="shared" si="5"/>
        <v>15.64</v>
      </c>
    </row>
    <row r="191" spans="1:7" ht="12.75" customHeight="1">
      <c r="A191" s="3">
        <v>307</v>
      </c>
      <c r="B191" s="4" t="s">
        <v>200</v>
      </c>
      <c r="C191" s="3" t="s">
        <v>6</v>
      </c>
      <c r="D191" s="5">
        <f t="shared" si="4"/>
        <v>39.53</v>
      </c>
      <c r="E191">
        <v>43.4</v>
      </c>
      <c r="F191" s="1789">
        <v>8.8999999999999996E-2</v>
      </c>
      <c r="G191">
        <f t="shared" si="5"/>
        <v>39.53</v>
      </c>
    </row>
    <row r="192" spans="1:7" ht="12.75" customHeight="1">
      <c r="A192" s="3">
        <v>309</v>
      </c>
      <c r="B192" s="4" t="s">
        <v>201</v>
      </c>
      <c r="C192" s="3" t="s">
        <v>6</v>
      </c>
      <c r="D192" s="5">
        <f t="shared" si="4"/>
        <v>64.760000000000005</v>
      </c>
      <c r="E192">
        <v>71.09</v>
      </c>
      <c r="F192" s="1789">
        <v>8.8999999999999996E-2</v>
      </c>
      <c r="G192">
        <f t="shared" si="5"/>
        <v>64.760000000000005</v>
      </c>
    </row>
    <row r="193" spans="1:7" ht="12.75" customHeight="1">
      <c r="A193" s="3">
        <v>310</v>
      </c>
      <c r="B193" s="4" t="s">
        <v>202</v>
      </c>
      <c r="C193" s="3" t="s">
        <v>6</v>
      </c>
      <c r="D193" s="5">
        <f t="shared" si="4"/>
        <v>89.76</v>
      </c>
      <c r="E193">
        <v>98.53</v>
      </c>
      <c r="F193" s="1789">
        <v>8.8999999999999996E-2</v>
      </c>
      <c r="G193">
        <f t="shared" si="5"/>
        <v>89.76</v>
      </c>
    </row>
    <row r="194" spans="1:7" ht="12.75" customHeight="1">
      <c r="A194" s="3">
        <v>328</v>
      </c>
      <c r="B194" s="4" t="s">
        <v>203</v>
      </c>
      <c r="C194" s="3" t="s">
        <v>6</v>
      </c>
      <c r="D194" s="5">
        <f t="shared" si="4"/>
        <v>7.84</v>
      </c>
      <c r="E194">
        <v>8.61</v>
      </c>
      <c r="F194" s="1789">
        <v>8.8999999999999996E-2</v>
      </c>
      <c r="G194">
        <f t="shared" si="5"/>
        <v>7.84</v>
      </c>
    </row>
    <row r="195" spans="1:7" ht="12.75" customHeight="1">
      <c r="A195" s="3">
        <v>325</v>
      </c>
      <c r="B195" s="4" t="s">
        <v>204</v>
      </c>
      <c r="C195" s="3" t="s">
        <v>6</v>
      </c>
      <c r="D195" s="5">
        <f t="shared" ref="D195:D258" si="6">G195</f>
        <v>2.31</v>
      </c>
      <c r="E195">
        <v>2.54</v>
      </c>
      <c r="F195" s="1789">
        <v>8.8999999999999996E-2</v>
      </c>
      <c r="G195">
        <f t="shared" ref="G195:G258" si="7">TRUNC((1-F195)*E195,2)</f>
        <v>2.31</v>
      </c>
    </row>
    <row r="196" spans="1:7" ht="12.75" customHeight="1">
      <c r="A196" s="3">
        <v>20326</v>
      </c>
      <c r="B196" s="4" t="s">
        <v>205</v>
      </c>
      <c r="C196" s="3" t="s">
        <v>6</v>
      </c>
      <c r="D196" s="5">
        <f t="shared" si="6"/>
        <v>4.2300000000000004</v>
      </c>
      <c r="E196">
        <v>4.6500000000000004</v>
      </c>
      <c r="F196" s="1789">
        <v>8.8999999999999996E-2</v>
      </c>
      <c r="G196">
        <f t="shared" si="7"/>
        <v>4.2300000000000004</v>
      </c>
    </row>
    <row r="197" spans="1:7" ht="12.75" customHeight="1">
      <c r="A197" s="3">
        <v>329</v>
      </c>
      <c r="B197" s="4" t="s">
        <v>206</v>
      </c>
      <c r="C197" s="3" t="s">
        <v>6</v>
      </c>
      <c r="D197" s="5">
        <f t="shared" si="6"/>
        <v>6.55</v>
      </c>
      <c r="E197">
        <v>7.2</v>
      </c>
      <c r="F197" s="1789">
        <v>8.8999999999999996E-2</v>
      </c>
      <c r="G197">
        <f t="shared" si="7"/>
        <v>6.55</v>
      </c>
    </row>
    <row r="198" spans="1:7" ht="12.75" customHeight="1">
      <c r="A198" s="3">
        <v>308</v>
      </c>
      <c r="B198" s="4" t="s">
        <v>207</v>
      </c>
      <c r="C198" s="3" t="s">
        <v>6</v>
      </c>
      <c r="D198" s="5">
        <f t="shared" si="6"/>
        <v>88.23</v>
      </c>
      <c r="E198">
        <v>96.85</v>
      </c>
      <c r="F198" s="1789">
        <v>8.8999999999999996E-2</v>
      </c>
      <c r="G198">
        <f t="shared" si="7"/>
        <v>88.23</v>
      </c>
    </row>
    <row r="199" spans="1:7" ht="12.75" customHeight="1">
      <c r="A199" s="3">
        <v>39642</v>
      </c>
      <c r="B199" s="4" t="s">
        <v>208</v>
      </c>
      <c r="C199" s="3" t="s">
        <v>6</v>
      </c>
      <c r="D199" s="5">
        <f t="shared" si="6"/>
        <v>2.9</v>
      </c>
      <c r="E199">
        <v>3.19</v>
      </c>
      <c r="F199" s="1789">
        <v>8.8999999999999996E-2</v>
      </c>
      <c r="G199">
        <f t="shared" si="7"/>
        <v>2.9</v>
      </c>
    </row>
    <row r="200" spans="1:7" ht="12.75" customHeight="1">
      <c r="A200" s="3">
        <v>39641</v>
      </c>
      <c r="B200" s="4" t="s">
        <v>209</v>
      </c>
      <c r="C200" s="3" t="s">
        <v>6</v>
      </c>
      <c r="D200" s="5">
        <f t="shared" si="6"/>
        <v>2.5499999999999998</v>
      </c>
      <c r="E200">
        <v>2.8</v>
      </c>
      <c r="F200" s="1789">
        <v>8.8999999999999996E-2</v>
      </c>
      <c r="G200">
        <f t="shared" si="7"/>
        <v>2.5499999999999998</v>
      </c>
    </row>
    <row r="201" spans="1:7" ht="12.75" customHeight="1">
      <c r="A201" s="3">
        <v>39643</v>
      </c>
      <c r="B201" s="4" t="s">
        <v>210</v>
      </c>
      <c r="C201" s="3" t="s">
        <v>6</v>
      </c>
      <c r="D201" s="5">
        <f t="shared" si="6"/>
        <v>3.41</v>
      </c>
      <c r="E201">
        <v>3.75</v>
      </c>
      <c r="F201" s="1789">
        <v>8.8999999999999996E-2</v>
      </c>
      <c r="G201">
        <f t="shared" si="7"/>
        <v>3.41</v>
      </c>
    </row>
    <row r="202" spans="1:7" ht="12.75" customHeight="1">
      <c r="A202" s="3">
        <v>39644</v>
      </c>
      <c r="B202" s="4" t="s">
        <v>211</v>
      </c>
      <c r="C202" s="3" t="s">
        <v>6</v>
      </c>
      <c r="D202" s="5">
        <f t="shared" si="6"/>
        <v>5.29</v>
      </c>
      <c r="E202">
        <v>5.81</v>
      </c>
      <c r="F202" s="1789">
        <v>8.8999999999999996E-2</v>
      </c>
      <c r="G202">
        <f t="shared" si="7"/>
        <v>5.29</v>
      </c>
    </row>
    <row r="203" spans="1:7" ht="12.75" customHeight="1">
      <c r="A203" s="3">
        <v>39645</v>
      </c>
      <c r="B203" s="4" t="s">
        <v>212</v>
      </c>
      <c r="C203" s="3" t="s">
        <v>6</v>
      </c>
      <c r="D203" s="5">
        <f t="shared" si="6"/>
        <v>5.8</v>
      </c>
      <c r="E203">
        <v>6.37</v>
      </c>
      <c r="F203" s="1789">
        <v>8.8999999999999996E-2</v>
      </c>
      <c r="G203">
        <f t="shared" si="7"/>
        <v>5.8</v>
      </c>
    </row>
    <row r="204" spans="1:7" ht="12.75" customHeight="1">
      <c r="A204" s="3">
        <v>41610</v>
      </c>
      <c r="B204" s="4" t="s">
        <v>213</v>
      </c>
      <c r="C204" s="3" t="s">
        <v>6</v>
      </c>
      <c r="D204" s="5">
        <f t="shared" si="6"/>
        <v>634.32000000000005</v>
      </c>
      <c r="E204">
        <v>696.3</v>
      </c>
      <c r="F204" s="1789">
        <v>8.8999999999999996E-2</v>
      </c>
      <c r="G204">
        <f t="shared" si="7"/>
        <v>634.32000000000005</v>
      </c>
    </row>
    <row r="205" spans="1:7" ht="12.75" customHeight="1">
      <c r="A205" s="3">
        <v>41611</v>
      </c>
      <c r="B205" s="4" t="s">
        <v>214</v>
      </c>
      <c r="C205" s="3" t="s">
        <v>6</v>
      </c>
      <c r="D205" s="5">
        <f t="shared" si="6"/>
        <v>999.84</v>
      </c>
      <c r="E205">
        <v>1097.52</v>
      </c>
      <c r="F205" s="1789">
        <v>8.8999999999999996E-2</v>
      </c>
      <c r="G205">
        <f t="shared" si="7"/>
        <v>999.84</v>
      </c>
    </row>
    <row r="206" spans="1:7" ht="12.75" customHeight="1">
      <c r="A206" s="3">
        <v>41612</v>
      </c>
      <c r="B206" s="4" t="s">
        <v>215</v>
      </c>
      <c r="C206" s="3" t="s">
        <v>6</v>
      </c>
      <c r="D206" s="5">
        <f t="shared" si="6"/>
        <v>1403.91</v>
      </c>
      <c r="E206">
        <v>1541.07</v>
      </c>
      <c r="F206" s="1789">
        <v>8.8999999999999996E-2</v>
      </c>
      <c r="G206">
        <f t="shared" si="7"/>
        <v>1403.91</v>
      </c>
    </row>
    <row r="207" spans="1:7" ht="12.75" customHeight="1">
      <c r="A207" s="3">
        <v>41637</v>
      </c>
      <c r="B207" s="4" t="s">
        <v>216</v>
      </c>
      <c r="C207" s="3" t="s">
        <v>6</v>
      </c>
      <c r="D207" s="5">
        <f t="shared" si="6"/>
        <v>131.22999999999999</v>
      </c>
      <c r="E207">
        <v>144.06</v>
      </c>
      <c r="F207" s="1789">
        <v>8.8999999999999996E-2</v>
      </c>
      <c r="G207">
        <f t="shared" si="7"/>
        <v>131.22999999999999</v>
      </c>
    </row>
    <row r="208" spans="1:7" ht="12.75" customHeight="1">
      <c r="A208" s="3">
        <v>41638</v>
      </c>
      <c r="B208" s="4" t="s">
        <v>217</v>
      </c>
      <c r="C208" s="3" t="s">
        <v>6</v>
      </c>
      <c r="D208" s="5">
        <f t="shared" si="6"/>
        <v>170.94</v>
      </c>
      <c r="E208">
        <v>187.65</v>
      </c>
      <c r="F208" s="1789">
        <v>8.8999999999999996E-2</v>
      </c>
      <c r="G208">
        <f t="shared" si="7"/>
        <v>170.94</v>
      </c>
    </row>
    <row r="209" spans="1:7" ht="12.75" customHeight="1">
      <c r="A209" s="3">
        <v>41639</v>
      </c>
      <c r="B209" s="4" t="s">
        <v>218</v>
      </c>
      <c r="C209" s="3" t="s">
        <v>6</v>
      </c>
      <c r="D209" s="5">
        <f t="shared" si="6"/>
        <v>413.57</v>
      </c>
      <c r="E209">
        <v>453.98</v>
      </c>
      <c r="F209" s="1789">
        <v>8.8999999999999996E-2</v>
      </c>
      <c r="G209">
        <f t="shared" si="7"/>
        <v>413.57</v>
      </c>
    </row>
    <row r="210" spans="1:7" ht="12.75" customHeight="1">
      <c r="A210" s="3">
        <v>11789</v>
      </c>
      <c r="B210" s="4" t="s">
        <v>219</v>
      </c>
      <c r="C210" s="3" t="s">
        <v>6</v>
      </c>
      <c r="D210" s="5">
        <f t="shared" si="6"/>
        <v>1.22</v>
      </c>
      <c r="E210">
        <v>1.34</v>
      </c>
      <c r="F210" s="1789">
        <v>8.8999999999999996E-2</v>
      </c>
      <c r="G210">
        <f t="shared" si="7"/>
        <v>1.22</v>
      </c>
    </row>
    <row r="211" spans="1:7" ht="12.75" customHeight="1">
      <c r="A211" s="3">
        <v>20975</v>
      </c>
      <c r="B211" s="4" t="s">
        <v>220</v>
      </c>
      <c r="C211" s="3" t="s">
        <v>6</v>
      </c>
      <c r="D211" s="5">
        <f t="shared" si="6"/>
        <v>10</v>
      </c>
      <c r="E211">
        <v>10.98</v>
      </c>
      <c r="F211" s="1789">
        <v>8.8999999999999996E-2</v>
      </c>
      <c r="G211">
        <f t="shared" si="7"/>
        <v>10</v>
      </c>
    </row>
    <row r="212" spans="1:7" ht="12.75" customHeight="1">
      <c r="A212" s="3">
        <v>20976</v>
      </c>
      <c r="B212" s="4" t="s">
        <v>221</v>
      </c>
      <c r="C212" s="3" t="s">
        <v>6</v>
      </c>
      <c r="D212" s="5">
        <f t="shared" si="6"/>
        <v>15.11</v>
      </c>
      <c r="E212">
        <v>16.59</v>
      </c>
      <c r="F212" s="1789">
        <v>8.8999999999999996E-2</v>
      </c>
      <c r="G212">
        <f t="shared" si="7"/>
        <v>15.11</v>
      </c>
    </row>
    <row r="213" spans="1:7" ht="12.75" customHeight="1">
      <c r="A213" s="3">
        <v>40340</v>
      </c>
      <c r="B213" s="4" t="s">
        <v>222</v>
      </c>
      <c r="C213" s="3" t="s">
        <v>6</v>
      </c>
      <c r="D213" s="5">
        <f t="shared" si="6"/>
        <v>21.78</v>
      </c>
      <c r="E213">
        <v>23.91</v>
      </c>
      <c r="F213" s="1789">
        <v>8.8999999999999996E-2</v>
      </c>
      <c r="G213">
        <f t="shared" si="7"/>
        <v>21.78</v>
      </c>
    </row>
    <row r="214" spans="1:7" ht="12.75" customHeight="1">
      <c r="A214" s="3">
        <v>40341</v>
      </c>
      <c r="B214" s="4" t="s">
        <v>223</v>
      </c>
      <c r="C214" s="3" t="s">
        <v>6</v>
      </c>
      <c r="D214" s="5">
        <f t="shared" si="6"/>
        <v>25.99</v>
      </c>
      <c r="E214">
        <v>28.53</v>
      </c>
      <c r="F214" s="1789">
        <v>8.8999999999999996E-2</v>
      </c>
      <c r="G214">
        <f t="shared" si="7"/>
        <v>25.99</v>
      </c>
    </row>
    <row r="215" spans="1:7" ht="12.75" customHeight="1">
      <c r="A215" s="3">
        <v>40342</v>
      </c>
      <c r="B215" s="4" t="s">
        <v>224</v>
      </c>
      <c r="C215" s="3" t="s">
        <v>6</v>
      </c>
      <c r="D215" s="5">
        <f t="shared" si="6"/>
        <v>31</v>
      </c>
      <c r="E215">
        <v>34.03</v>
      </c>
      <c r="F215" s="1789">
        <v>8.8999999999999996E-2</v>
      </c>
      <c r="G215">
        <f t="shared" si="7"/>
        <v>31</v>
      </c>
    </row>
    <row r="216" spans="1:7" ht="12.75" customHeight="1">
      <c r="A216" s="3">
        <v>40343</v>
      </c>
      <c r="B216" s="4" t="s">
        <v>225</v>
      </c>
      <c r="C216" s="3" t="s">
        <v>6</v>
      </c>
      <c r="D216" s="5">
        <f t="shared" si="6"/>
        <v>36.76</v>
      </c>
      <c r="E216">
        <v>40.36</v>
      </c>
      <c r="F216" s="1789">
        <v>8.8999999999999996E-2</v>
      </c>
      <c r="G216">
        <f t="shared" si="7"/>
        <v>36.76</v>
      </c>
    </row>
    <row r="217" spans="1:7" ht="12.75" customHeight="1">
      <c r="A217" s="3">
        <v>40344</v>
      </c>
      <c r="B217" s="4" t="s">
        <v>226</v>
      </c>
      <c r="C217" s="3" t="s">
        <v>6</v>
      </c>
      <c r="D217" s="5">
        <f t="shared" si="6"/>
        <v>50.12</v>
      </c>
      <c r="E217">
        <v>55.02</v>
      </c>
      <c r="F217" s="1789">
        <v>8.8999999999999996E-2</v>
      </c>
      <c r="G217">
        <f t="shared" si="7"/>
        <v>50.12</v>
      </c>
    </row>
    <row r="218" spans="1:7" ht="12.75" customHeight="1">
      <c r="A218" s="3">
        <v>40345</v>
      </c>
      <c r="B218" s="4" t="s">
        <v>227</v>
      </c>
      <c r="C218" s="3" t="s">
        <v>6</v>
      </c>
      <c r="D218" s="5">
        <f t="shared" si="6"/>
        <v>61.76</v>
      </c>
      <c r="E218">
        <v>67.8</v>
      </c>
      <c r="F218" s="1789">
        <v>8.8999999999999996E-2</v>
      </c>
      <c r="G218">
        <f t="shared" si="7"/>
        <v>61.76</v>
      </c>
    </row>
    <row r="219" spans="1:7" ht="12.75" customHeight="1">
      <c r="A219" s="3">
        <v>40346</v>
      </c>
      <c r="B219" s="4" t="s">
        <v>228</v>
      </c>
      <c r="C219" s="3" t="s">
        <v>6</v>
      </c>
      <c r="D219" s="5">
        <f t="shared" si="6"/>
        <v>71.650000000000006</v>
      </c>
      <c r="E219">
        <v>78.650000000000006</v>
      </c>
      <c r="F219" s="1789">
        <v>8.8999999999999996E-2</v>
      </c>
      <c r="G219">
        <f t="shared" si="7"/>
        <v>71.650000000000006</v>
      </c>
    </row>
    <row r="220" spans="1:7" ht="12.75" customHeight="1">
      <c r="A220" s="3">
        <v>40347</v>
      </c>
      <c r="B220" s="4" t="s">
        <v>229</v>
      </c>
      <c r="C220" s="3" t="s">
        <v>6</v>
      </c>
      <c r="D220" s="5">
        <f t="shared" si="6"/>
        <v>90.01</v>
      </c>
      <c r="E220">
        <v>98.81</v>
      </c>
      <c r="F220" s="1789">
        <v>8.8999999999999996E-2</v>
      </c>
      <c r="G220">
        <f t="shared" si="7"/>
        <v>90.01</v>
      </c>
    </row>
    <row r="221" spans="1:7" ht="12.75" customHeight="1">
      <c r="A221" s="3">
        <v>6138</v>
      </c>
      <c r="B221" s="4" t="s">
        <v>230</v>
      </c>
      <c r="C221" s="3" t="s">
        <v>6</v>
      </c>
      <c r="D221" s="5">
        <f t="shared" si="6"/>
        <v>9.83</v>
      </c>
      <c r="E221">
        <v>10.8</v>
      </c>
      <c r="F221" s="1789">
        <v>8.8999999999999996E-2</v>
      </c>
      <c r="G221">
        <f t="shared" si="7"/>
        <v>9.83</v>
      </c>
    </row>
    <row r="222" spans="1:7" ht="12.75" customHeight="1">
      <c r="A222" s="3">
        <v>43424</v>
      </c>
      <c r="B222" s="4" t="s">
        <v>231</v>
      </c>
      <c r="C222" s="3" t="s">
        <v>6</v>
      </c>
      <c r="D222" s="5">
        <f t="shared" si="6"/>
        <v>531.46</v>
      </c>
      <c r="E222">
        <v>583.39</v>
      </c>
      <c r="F222" s="1789">
        <v>8.8999999999999996E-2</v>
      </c>
      <c r="G222">
        <f t="shared" si="7"/>
        <v>531.46</v>
      </c>
    </row>
    <row r="223" spans="1:7" ht="12.75" customHeight="1">
      <c r="A223" s="3">
        <v>43426</v>
      </c>
      <c r="B223" s="4" t="s">
        <v>232</v>
      </c>
      <c r="C223" s="3" t="s">
        <v>6</v>
      </c>
      <c r="D223" s="5">
        <f t="shared" si="6"/>
        <v>1833.04</v>
      </c>
      <c r="E223">
        <v>2012.12</v>
      </c>
      <c r="F223" s="1789">
        <v>8.8999999999999996E-2</v>
      </c>
      <c r="G223">
        <f t="shared" si="7"/>
        <v>1833.04</v>
      </c>
    </row>
    <row r="224" spans="1:7" ht="12.75" customHeight="1">
      <c r="A224" s="3">
        <v>12565</v>
      </c>
      <c r="B224" s="4" t="s">
        <v>233</v>
      </c>
      <c r="C224" s="3" t="s">
        <v>6</v>
      </c>
      <c r="D224" s="5">
        <f t="shared" si="6"/>
        <v>642.80999999999995</v>
      </c>
      <c r="E224">
        <v>705.62</v>
      </c>
      <c r="F224" s="1789">
        <v>8.8999999999999996E-2</v>
      </c>
      <c r="G224">
        <f t="shared" si="7"/>
        <v>642.80999999999995</v>
      </c>
    </row>
    <row r="225" spans="1:7" ht="12.75" customHeight="1">
      <c r="A225" s="3">
        <v>12567</v>
      </c>
      <c r="B225" s="4" t="s">
        <v>234</v>
      </c>
      <c r="C225" s="3" t="s">
        <v>6</v>
      </c>
      <c r="D225" s="5">
        <f t="shared" si="6"/>
        <v>863.41</v>
      </c>
      <c r="E225">
        <v>947.77</v>
      </c>
      <c r="F225" s="1789">
        <v>8.8999999999999996E-2</v>
      </c>
      <c r="G225">
        <f t="shared" si="7"/>
        <v>863.41</v>
      </c>
    </row>
    <row r="226" spans="1:7" ht="12.75" customHeight="1">
      <c r="A226" s="3">
        <v>12568</v>
      </c>
      <c r="B226" s="4" t="s">
        <v>235</v>
      </c>
      <c r="C226" s="3" t="s">
        <v>6</v>
      </c>
      <c r="D226" s="5">
        <f t="shared" si="6"/>
        <v>1208.78</v>
      </c>
      <c r="E226">
        <v>1326.88</v>
      </c>
      <c r="F226" s="1789">
        <v>8.8999999999999996E-2</v>
      </c>
      <c r="G226">
        <f t="shared" si="7"/>
        <v>1208.78</v>
      </c>
    </row>
    <row r="227" spans="1:7" ht="12.75" customHeight="1">
      <c r="A227" s="3">
        <v>43441</v>
      </c>
      <c r="B227" s="4" t="s">
        <v>236</v>
      </c>
      <c r="C227" s="3" t="s">
        <v>6</v>
      </c>
      <c r="D227" s="5">
        <f t="shared" si="6"/>
        <v>155.4</v>
      </c>
      <c r="E227">
        <v>170.59</v>
      </c>
      <c r="F227" s="1789">
        <v>8.8999999999999996E-2</v>
      </c>
      <c r="G227">
        <f t="shared" si="7"/>
        <v>155.4</v>
      </c>
    </row>
    <row r="228" spans="1:7" ht="12.75" customHeight="1">
      <c r="A228" s="3">
        <v>43423</v>
      </c>
      <c r="B228" s="4" t="s">
        <v>237</v>
      </c>
      <c r="C228" s="3" t="s">
        <v>6</v>
      </c>
      <c r="D228" s="5">
        <f t="shared" si="6"/>
        <v>72.52</v>
      </c>
      <c r="E228">
        <v>79.61</v>
      </c>
      <c r="F228" s="1789">
        <v>8.8999999999999996E-2</v>
      </c>
      <c r="G228">
        <f t="shared" si="7"/>
        <v>72.52</v>
      </c>
    </row>
    <row r="229" spans="1:7" ht="12.75" customHeight="1">
      <c r="A229" s="3">
        <v>12532</v>
      </c>
      <c r="B229" s="4" t="s">
        <v>238</v>
      </c>
      <c r="C229" s="3" t="s">
        <v>6</v>
      </c>
      <c r="D229" s="5">
        <f t="shared" si="6"/>
        <v>111.85</v>
      </c>
      <c r="E229">
        <v>122.78</v>
      </c>
      <c r="F229" s="1789">
        <v>8.8999999999999996E-2</v>
      </c>
      <c r="G229">
        <f t="shared" si="7"/>
        <v>111.85</v>
      </c>
    </row>
    <row r="230" spans="1:7" ht="12.75" customHeight="1">
      <c r="A230" s="3">
        <v>43444</v>
      </c>
      <c r="B230" s="4" t="s">
        <v>239</v>
      </c>
      <c r="C230" s="3" t="s">
        <v>6</v>
      </c>
      <c r="D230" s="5">
        <f t="shared" si="6"/>
        <v>375.58</v>
      </c>
      <c r="E230">
        <v>412.28</v>
      </c>
      <c r="F230" s="1789">
        <v>8.8999999999999996E-2</v>
      </c>
      <c r="G230">
        <f t="shared" si="7"/>
        <v>375.58</v>
      </c>
    </row>
    <row r="231" spans="1:7" ht="12.75" customHeight="1">
      <c r="A231" s="3">
        <v>12551</v>
      </c>
      <c r="B231" s="4" t="s">
        <v>240</v>
      </c>
      <c r="C231" s="3" t="s">
        <v>6</v>
      </c>
      <c r="D231" s="5">
        <f t="shared" si="6"/>
        <v>267.97000000000003</v>
      </c>
      <c r="E231">
        <v>294.14999999999998</v>
      </c>
      <c r="F231" s="1789">
        <v>8.8999999999999996E-2</v>
      </c>
      <c r="G231">
        <f t="shared" si="7"/>
        <v>267.97000000000003</v>
      </c>
    </row>
    <row r="232" spans="1:7" ht="12.75" customHeight="1">
      <c r="A232" s="3">
        <v>43442</v>
      </c>
      <c r="B232" s="4" t="s">
        <v>241</v>
      </c>
      <c r="C232" s="3" t="s">
        <v>6</v>
      </c>
      <c r="D232" s="5">
        <f t="shared" si="6"/>
        <v>207.21</v>
      </c>
      <c r="E232">
        <v>227.46</v>
      </c>
      <c r="F232" s="1789">
        <v>8.8999999999999996E-2</v>
      </c>
      <c r="G232">
        <f t="shared" si="7"/>
        <v>207.21</v>
      </c>
    </row>
    <row r="233" spans="1:7" ht="12.75" customHeight="1">
      <c r="A233" s="3">
        <v>43443</v>
      </c>
      <c r="B233" s="4" t="s">
        <v>242</v>
      </c>
      <c r="C233" s="3" t="s">
        <v>6</v>
      </c>
      <c r="D233" s="5">
        <f t="shared" si="6"/>
        <v>271.95999999999998</v>
      </c>
      <c r="E233">
        <v>298.54000000000002</v>
      </c>
      <c r="F233" s="1789">
        <v>8.8999999999999996E-2</v>
      </c>
      <c r="G233">
        <f t="shared" si="7"/>
        <v>271.95999999999998</v>
      </c>
    </row>
    <row r="234" spans="1:7" ht="12.75" customHeight="1">
      <c r="A234" s="3">
        <v>12544</v>
      </c>
      <c r="B234" s="4" t="s">
        <v>243</v>
      </c>
      <c r="C234" s="3" t="s">
        <v>6</v>
      </c>
      <c r="D234" s="5">
        <f t="shared" si="6"/>
        <v>146.78</v>
      </c>
      <c r="E234">
        <v>161.12</v>
      </c>
      <c r="F234" s="1789">
        <v>8.8999999999999996E-2</v>
      </c>
      <c r="G234">
        <f t="shared" si="7"/>
        <v>146.78</v>
      </c>
    </row>
    <row r="235" spans="1:7" ht="12.75" customHeight="1">
      <c r="A235" s="3">
        <v>12547</v>
      </c>
      <c r="B235" s="4" t="s">
        <v>244</v>
      </c>
      <c r="C235" s="3" t="s">
        <v>6</v>
      </c>
      <c r="D235" s="5">
        <f t="shared" si="6"/>
        <v>197.4</v>
      </c>
      <c r="E235">
        <v>216.69</v>
      </c>
      <c r="F235" s="1789">
        <v>8.8999999999999996E-2</v>
      </c>
      <c r="G235">
        <f t="shared" si="7"/>
        <v>197.4</v>
      </c>
    </row>
    <row r="236" spans="1:7" ht="12.75" customHeight="1">
      <c r="A236" s="3">
        <v>43445</v>
      </c>
      <c r="B236" s="4" t="s">
        <v>245</v>
      </c>
      <c r="C236" s="3" t="s">
        <v>6</v>
      </c>
      <c r="D236" s="5">
        <f t="shared" si="6"/>
        <v>518.04</v>
      </c>
      <c r="E236">
        <v>568.66</v>
      </c>
      <c r="F236" s="1789">
        <v>8.8999999999999996E-2</v>
      </c>
      <c r="G236">
        <f t="shared" si="7"/>
        <v>518.04</v>
      </c>
    </row>
    <row r="237" spans="1:7" ht="12.75" customHeight="1">
      <c r="A237" s="3">
        <v>12563</v>
      </c>
      <c r="B237" s="4" t="s">
        <v>246</v>
      </c>
      <c r="C237" s="3" t="s">
        <v>6</v>
      </c>
      <c r="D237" s="5">
        <f t="shared" si="6"/>
        <v>370.64</v>
      </c>
      <c r="E237">
        <v>406.86</v>
      </c>
      <c r="F237" s="1789">
        <v>8.8999999999999996E-2</v>
      </c>
      <c r="G237">
        <f t="shared" si="7"/>
        <v>370.64</v>
      </c>
    </row>
    <row r="238" spans="1:7" ht="12.75" customHeight="1">
      <c r="A238" s="3">
        <v>43425</v>
      </c>
      <c r="B238" s="4" t="s">
        <v>247</v>
      </c>
      <c r="C238" s="3" t="s">
        <v>6</v>
      </c>
      <c r="D238" s="5">
        <f t="shared" si="6"/>
        <v>233.11</v>
      </c>
      <c r="E238">
        <v>255.89</v>
      </c>
      <c r="F238" s="1789">
        <v>8.8999999999999996E-2</v>
      </c>
      <c r="G238">
        <f t="shared" si="7"/>
        <v>233.11</v>
      </c>
    </row>
    <row r="239" spans="1:7" ht="12.75" customHeight="1">
      <c r="A239" s="3">
        <v>43446</v>
      </c>
      <c r="B239" s="4" t="s">
        <v>248</v>
      </c>
      <c r="C239" s="3" t="s">
        <v>6</v>
      </c>
      <c r="D239" s="5">
        <f t="shared" si="6"/>
        <v>492.14</v>
      </c>
      <c r="E239">
        <v>540.23</v>
      </c>
      <c r="F239" s="1789">
        <v>8.8999999999999996E-2</v>
      </c>
      <c r="G239">
        <f t="shared" si="7"/>
        <v>492.14</v>
      </c>
    </row>
    <row r="240" spans="1:7" ht="12.75" customHeight="1">
      <c r="A240" s="3">
        <v>43447</v>
      </c>
      <c r="B240" s="4" t="s">
        <v>249</v>
      </c>
      <c r="C240" s="3" t="s">
        <v>6</v>
      </c>
      <c r="D240" s="5">
        <f t="shared" si="6"/>
        <v>604.39</v>
      </c>
      <c r="E240">
        <v>663.44</v>
      </c>
      <c r="F240" s="1789">
        <v>8.8999999999999996E-2</v>
      </c>
      <c r="G240">
        <f t="shared" si="7"/>
        <v>604.39</v>
      </c>
    </row>
    <row r="241" spans="1:7" ht="12.75" customHeight="1">
      <c r="A241" s="3">
        <v>43448</v>
      </c>
      <c r="B241" s="4" t="s">
        <v>250</v>
      </c>
      <c r="C241" s="3" t="s">
        <v>6</v>
      </c>
      <c r="D241" s="5">
        <f t="shared" si="6"/>
        <v>846.14</v>
      </c>
      <c r="E241">
        <v>928.81</v>
      </c>
      <c r="F241" s="1789">
        <v>8.8999999999999996E-2</v>
      </c>
      <c r="G241">
        <f t="shared" si="7"/>
        <v>846.14</v>
      </c>
    </row>
    <row r="242" spans="1:7" ht="12.75" customHeight="1">
      <c r="A242" s="3">
        <v>13761</v>
      </c>
      <c r="B242" s="4" t="s">
        <v>251</v>
      </c>
      <c r="C242" s="3" t="s">
        <v>6</v>
      </c>
      <c r="D242" s="5">
        <f t="shared" si="6"/>
        <v>3269.51</v>
      </c>
      <c r="E242">
        <v>3588.93</v>
      </c>
      <c r="F242" s="1789">
        <v>8.8999999999999996E-2</v>
      </c>
      <c r="G242">
        <f t="shared" si="7"/>
        <v>3269.51</v>
      </c>
    </row>
    <row r="243" spans="1:7" ht="12.75" customHeight="1">
      <c r="A243" s="3">
        <v>4814</v>
      </c>
      <c r="B243" s="4" t="s">
        <v>252</v>
      </c>
      <c r="C243" s="3" t="s">
        <v>6</v>
      </c>
      <c r="D243" s="5">
        <f t="shared" si="6"/>
        <v>40.18</v>
      </c>
      <c r="E243">
        <v>44.11</v>
      </c>
      <c r="F243" s="1789">
        <v>8.8999999999999996E-2</v>
      </c>
      <c r="G243">
        <f t="shared" si="7"/>
        <v>40.18</v>
      </c>
    </row>
    <row r="244" spans="1:7" ht="12.75" customHeight="1">
      <c r="A244" s="3">
        <v>44473</v>
      </c>
      <c r="B244" s="4" t="s">
        <v>253</v>
      </c>
      <c r="C244" s="3" t="s">
        <v>6</v>
      </c>
      <c r="D244" s="5">
        <f t="shared" si="6"/>
        <v>2312.21</v>
      </c>
      <c r="E244">
        <v>2538.11</v>
      </c>
      <c r="F244" s="1789">
        <v>8.8999999999999996E-2</v>
      </c>
      <c r="G244">
        <f t="shared" si="7"/>
        <v>2312.21</v>
      </c>
    </row>
    <row r="245" spans="1:7" ht="12.75" customHeight="1">
      <c r="A245" s="3">
        <v>6122</v>
      </c>
      <c r="B245" s="4" t="s">
        <v>254</v>
      </c>
      <c r="C245" s="3" t="s">
        <v>154</v>
      </c>
      <c r="D245" s="5">
        <f t="shared" si="6"/>
        <v>18.61</v>
      </c>
      <c r="E245">
        <v>20.43</v>
      </c>
      <c r="F245" s="1789">
        <v>8.8999999999999996E-2</v>
      </c>
      <c r="G245">
        <f t="shared" si="7"/>
        <v>18.61</v>
      </c>
    </row>
    <row r="246" spans="1:7" ht="12.75" customHeight="1">
      <c r="A246" s="3">
        <v>40810</v>
      </c>
      <c r="B246" s="4" t="s">
        <v>255</v>
      </c>
      <c r="C246" s="3" t="s">
        <v>156</v>
      </c>
      <c r="D246" s="5">
        <f t="shared" si="6"/>
        <v>3276.08</v>
      </c>
      <c r="E246">
        <v>3596.14</v>
      </c>
      <c r="F246" s="1789">
        <v>8.8999999999999996E-2</v>
      </c>
      <c r="G246">
        <f t="shared" si="7"/>
        <v>3276.08</v>
      </c>
    </row>
    <row r="247" spans="1:7" ht="12.75" customHeight="1">
      <c r="A247" s="3">
        <v>21100</v>
      </c>
      <c r="B247" s="4" t="s">
        <v>256</v>
      </c>
      <c r="C247" s="3" t="s">
        <v>6</v>
      </c>
      <c r="D247" s="5">
        <f t="shared" si="6"/>
        <v>3502.88</v>
      </c>
      <c r="E247">
        <v>3845.1</v>
      </c>
      <c r="F247" s="1789">
        <v>8.8999999999999996E-2</v>
      </c>
      <c r="G247">
        <f t="shared" si="7"/>
        <v>3502.88</v>
      </c>
    </row>
    <row r="248" spans="1:7" ht="12.75" customHeight="1">
      <c r="A248" s="3">
        <v>11811</v>
      </c>
      <c r="B248" s="4" t="s">
        <v>257</v>
      </c>
      <c r="C248" s="3" t="s">
        <v>6</v>
      </c>
      <c r="D248" s="5">
        <f t="shared" si="6"/>
        <v>5056.4799999999996</v>
      </c>
      <c r="E248">
        <v>5550.48</v>
      </c>
      <c r="F248" s="1789">
        <v>8.8999999999999996E-2</v>
      </c>
      <c r="G248">
        <f t="shared" si="7"/>
        <v>5056.4799999999996</v>
      </c>
    </row>
    <row r="249" spans="1:7" ht="12.75" customHeight="1">
      <c r="A249" s="3">
        <v>11816</v>
      </c>
      <c r="B249" s="4" t="s">
        <v>258</v>
      </c>
      <c r="C249" s="3" t="s">
        <v>6</v>
      </c>
      <c r="D249" s="5">
        <f t="shared" si="6"/>
        <v>3735.1</v>
      </c>
      <c r="E249">
        <v>4100</v>
      </c>
      <c r="F249" s="1789">
        <v>8.8999999999999996E-2</v>
      </c>
      <c r="G249">
        <f t="shared" si="7"/>
        <v>3735.1</v>
      </c>
    </row>
    <row r="250" spans="1:7" ht="12.75" customHeight="1">
      <c r="A250" s="3">
        <v>11814</v>
      </c>
      <c r="B250" s="4" t="s">
        <v>259</v>
      </c>
      <c r="C250" s="3" t="s">
        <v>6</v>
      </c>
      <c r="D250" s="5">
        <f t="shared" si="6"/>
        <v>8130.37</v>
      </c>
      <c r="E250">
        <v>8924.67</v>
      </c>
      <c r="F250" s="1789">
        <v>8.8999999999999996E-2</v>
      </c>
      <c r="G250">
        <f t="shared" si="7"/>
        <v>8130.37</v>
      </c>
    </row>
    <row r="251" spans="1:7" ht="12.75" customHeight="1">
      <c r="A251" s="3">
        <v>14186</v>
      </c>
      <c r="B251" s="4" t="s">
        <v>260</v>
      </c>
      <c r="C251" s="3" t="s">
        <v>6</v>
      </c>
      <c r="D251" s="5">
        <f t="shared" si="6"/>
        <v>10208.780000000001</v>
      </c>
      <c r="E251">
        <v>11206.13</v>
      </c>
      <c r="F251" s="1789">
        <v>8.8999999999999996E-2</v>
      </c>
      <c r="G251">
        <f t="shared" si="7"/>
        <v>10208.780000000001</v>
      </c>
    </row>
    <row r="252" spans="1:7" ht="12.75" customHeight="1">
      <c r="A252" s="3">
        <v>14185</v>
      </c>
      <c r="B252" s="4" t="s">
        <v>261</v>
      </c>
      <c r="C252" s="3" t="s">
        <v>6</v>
      </c>
      <c r="D252" s="5">
        <f t="shared" si="6"/>
        <v>13224.34</v>
      </c>
      <c r="E252">
        <v>14516.3</v>
      </c>
      <c r="F252" s="1789">
        <v>8.8999999999999996E-2</v>
      </c>
      <c r="G252">
        <f t="shared" si="7"/>
        <v>13224.34</v>
      </c>
    </row>
    <row r="253" spans="1:7" ht="12.75" customHeight="1">
      <c r="A253" s="3">
        <v>44498</v>
      </c>
      <c r="B253" s="4" t="s">
        <v>262</v>
      </c>
      <c r="C253" s="3" t="s">
        <v>6</v>
      </c>
      <c r="D253" s="5">
        <f t="shared" si="6"/>
        <v>289884.28000000003</v>
      </c>
      <c r="E253">
        <v>318204.48</v>
      </c>
      <c r="F253" s="1789">
        <v>8.8999999999999996E-2</v>
      </c>
      <c r="G253">
        <f t="shared" si="7"/>
        <v>289884.28000000003</v>
      </c>
    </row>
    <row r="254" spans="1:7" ht="12.75" customHeight="1">
      <c r="A254" s="3">
        <v>34469</v>
      </c>
      <c r="B254" s="4" t="s">
        <v>263</v>
      </c>
      <c r="C254" s="3" t="s">
        <v>6</v>
      </c>
      <c r="D254" s="5">
        <f t="shared" si="6"/>
        <v>10304.200000000001</v>
      </c>
      <c r="E254">
        <v>11310.87</v>
      </c>
      <c r="F254" s="1789">
        <v>8.8999999999999996E-2</v>
      </c>
      <c r="G254">
        <f t="shared" si="7"/>
        <v>10304.200000000001</v>
      </c>
    </row>
    <row r="255" spans="1:7" ht="12.75" customHeight="1">
      <c r="A255" s="3">
        <v>34476</v>
      </c>
      <c r="B255" s="4" t="s">
        <v>264</v>
      </c>
      <c r="C255" s="3" t="s">
        <v>6</v>
      </c>
      <c r="D255" s="5">
        <f t="shared" si="6"/>
        <v>5374.07</v>
      </c>
      <c r="E255">
        <v>5899.09</v>
      </c>
      <c r="F255" s="1789">
        <v>8.8999999999999996E-2</v>
      </c>
      <c r="G255">
        <f t="shared" si="7"/>
        <v>5374.07</v>
      </c>
    </row>
    <row r="256" spans="1:7" ht="12.75" customHeight="1">
      <c r="A256" s="3">
        <v>34477</v>
      </c>
      <c r="B256" s="4" t="s">
        <v>265</v>
      </c>
      <c r="C256" s="3" t="s">
        <v>6</v>
      </c>
      <c r="D256" s="5">
        <f t="shared" si="6"/>
        <v>7132.43</v>
      </c>
      <c r="E256">
        <v>7829.24</v>
      </c>
      <c r="F256" s="1789">
        <v>8.8999999999999996E-2</v>
      </c>
      <c r="G256">
        <f t="shared" si="7"/>
        <v>7132.43</v>
      </c>
    </row>
    <row r="257" spans="1:7" ht="12.75" customHeight="1">
      <c r="A257" s="3">
        <v>34482</v>
      </c>
      <c r="B257" s="4" t="s">
        <v>266</v>
      </c>
      <c r="C257" s="3" t="s">
        <v>6</v>
      </c>
      <c r="D257" s="5">
        <f t="shared" si="6"/>
        <v>6661.3</v>
      </c>
      <c r="E257">
        <v>7312.08</v>
      </c>
      <c r="F257" s="1789">
        <v>8.8999999999999996E-2</v>
      </c>
      <c r="G257">
        <f t="shared" si="7"/>
        <v>6661.3</v>
      </c>
    </row>
    <row r="258" spans="1:7" ht="12.75" customHeight="1">
      <c r="A258" s="3">
        <v>34472</v>
      </c>
      <c r="B258" s="4" t="s">
        <v>267</v>
      </c>
      <c r="C258" s="3" t="s">
        <v>6</v>
      </c>
      <c r="D258" s="5">
        <f t="shared" si="6"/>
        <v>3170.28</v>
      </c>
      <c r="E258">
        <v>3480</v>
      </c>
      <c r="F258" s="1789">
        <v>8.8999999999999996E-2</v>
      </c>
      <c r="G258">
        <f t="shared" si="7"/>
        <v>3170.28</v>
      </c>
    </row>
    <row r="259" spans="1:7" ht="12.75" customHeight="1">
      <c r="A259" s="3">
        <v>42425</v>
      </c>
      <c r="B259" s="4" t="s">
        <v>268</v>
      </c>
      <c r="C259" s="3" t="s">
        <v>6</v>
      </c>
      <c r="D259" s="5">
        <f t="shared" ref="D259:D322" si="8">G259</f>
        <v>2552.83</v>
      </c>
      <c r="E259">
        <v>2802.23</v>
      </c>
      <c r="F259" s="1789">
        <v>8.8999999999999996E-2</v>
      </c>
      <c r="G259">
        <f t="shared" ref="G259:G322" si="9">TRUNC((1-F259)*E259,2)</f>
        <v>2552.83</v>
      </c>
    </row>
    <row r="260" spans="1:7" ht="12.75" customHeight="1">
      <c r="A260" s="3">
        <v>42422</v>
      </c>
      <c r="B260" s="4" t="s">
        <v>269</v>
      </c>
      <c r="C260" s="3" t="s">
        <v>6</v>
      </c>
      <c r="D260" s="5">
        <f t="shared" si="8"/>
        <v>3789.76</v>
      </c>
      <c r="E260">
        <v>4160</v>
      </c>
      <c r="F260" s="1789">
        <v>8.8999999999999996E-2</v>
      </c>
      <c r="G260">
        <f t="shared" si="9"/>
        <v>3789.76</v>
      </c>
    </row>
    <row r="261" spans="1:7" ht="12.75" customHeight="1">
      <c r="A261" s="3">
        <v>43184</v>
      </c>
      <c r="B261" s="4" t="s">
        <v>270</v>
      </c>
      <c r="C261" s="3" t="s">
        <v>6</v>
      </c>
      <c r="D261" s="5">
        <f t="shared" si="8"/>
        <v>5237.8100000000004</v>
      </c>
      <c r="E261">
        <v>5749.52</v>
      </c>
      <c r="F261" s="1789">
        <v>8.8999999999999996E-2</v>
      </c>
      <c r="G261">
        <f t="shared" si="9"/>
        <v>5237.8100000000004</v>
      </c>
    </row>
    <row r="262" spans="1:7" ht="12.75" customHeight="1">
      <c r="A262" s="3">
        <v>42424</v>
      </c>
      <c r="B262" s="4" t="s">
        <v>271</v>
      </c>
      <c r="C262" s="3" t="s">
        <v>6</v>
      </c>
      <c r="D262" s="5">
        <f t="shared" si="8"/>
        <v>2279.89</v>
      </c>
      <c r="E262">
        <v>2502.63</v>
      </c>
      <c r="F262" s="1789">
        <v>8.8999999999999996E-2</v>
      </c>
      <c r="G262">
        <f t="shared" si="9"/>
        <v>2279.89</v>
      </c>
    </row>
    <row r="263" spans="1:7" ht="12.75" customHeight="1">
      <c r="A263" s="3">
        <v>42421</v>
      </c>
      <c r="B263" s="4" t="s">
        <v>272</v>
      </c>
      <c r="C263" s="3" t="s">
        <v>6</v>
      </c>
      <c r="D263" s="5">
        <f t="shared" si="8"/>
        <v>20758.22</v>
      </c>
      <c r="E263">
        <v>22786.2</v>
      </c>
      <c r="F263" s="1789">
        <v>8.8999999999999996E-2</v>
      </c>
      <c r="G263">
        <f t="shared" si="9"/>
        <v>20758.22</v>
      </c>
    </row>
    <row r="264" spans="1:7" ht="12.75" customHeight="1">
      <c r="A264" s="3">
        <v>42416</v>
      </c>
      <c r="B264" s="4" t="s">
        <v>273</v>
      </c>
      <c r="C264" s="3" t="s">
        <v>6</v>
      </c>
      <c r="D264" s="5">
        <f t="shared" si="8"/>
        <v>9828.3700000000008</v>
      </c>
      <c r="E264">
        <v>10788.56</v>
      </c>
      <c r="F264" s="1789">
        <v>8.8999999999999996E-2</v>
      </c>
      <c r="G264">
        <f t="shared" si="9"/>
        <v>9828.3700000000008</v>
      </c>
    </row>
    <row r="265" spans="1:7" ht="12.75" customHeight="1">
      <c r="A265" s="3">
        <v>42417</v>
      </c>
      <c r="B265" s="4" t="s">
        <v>274</v>
      </c>
      <c r="C265" s="3" t="s">
        <v>6</v>
      </c>
      <c r="D265" s="5">
        <f t="shared" si="8"/>
        <v>11018.41</v>
      </c>
      <c r="E265">
        <v>12094.86</v>
      </c>
      <c r="F265" s="1789">
        <v>8.8999999999999996E-2</v>
      </c>
      <c r="G265">
        <f t="shared" si="9"/>
        <v>11018.41</v>
      </c>
    </row>
    <row r="266" spans="1:7" ht="12.75" customHeight="1">
      <c r="A266" s="3">
        <v>42419</v>
      </c>
      <c r="B266" s="4" t="s">
        <v>275</v>
      </c>
      <c r="C266" s="3" t="s">
        <v>6</v>
      </c>
      <c r="D266" s="5">
        <f t="shared" si="8"/>
        <v>12448.47</v>
      </c>
      <c r="E266">
        <v>13664.63</v>
      </c>
      <c r="F266" s="1789">
        <v>8.8999999999999996E-2</v>
      </c>
      <c r="G266">
        <f t="shared" si="9"/>
        <v>12448.47</v>
      </c>
    </row>
    <row r="267" spans="1:7" ht="12.75" customHeight="1">
      <c r="A267" s="3">
        <v>42420</v>
      </c>
      <c r="B267" s="4" t="s">
        <v>276</v>
      </c>
      <c r="C267" s="3" t="s">
        <v>6</v>
      </c>
      <c r="D267" s="5">
        <f t="shared" si="8"/>
        <v>17109.5</v>
      </c>
      <c r="E267">
        <v>18781.02</v>
      </c>
      <c r="F267" s="1789">
        <v>8.8999999999999996E-2</v>
      </c>
      <c r="G267">
        <f t="shared" si="9"/>
        <v>17109.5</v>
      </c>
    </row>
    <row r="268" spans="1:7" ht="12.75" customHeight="1">
      <c r="A268" s="3">
        <v>43195</v>
      </c>
      <c r="B268" s="4" t="s">
        <v>277</v>
      </c>
      <c r="C268" s="3" t="s">
        <v>6</v>
      </c>
      <c r="D268" s="5">
        <f t="shared" si="8"/>
        <v>6024.49</v>
      </c>
      <c r="E268">
        <v>6613.06</v>
      </c>
      <c r="F268" s="1789">
        <v>8.8999999999999996E-2</v>
      </c>
      <c r="G268">
        <f t="shared" si="9"/>
        <v>6024.49</v>
      </c>
    </row>
    <row r="269" spans="1:7" ht="12.75" customHeight="1">
      <c r="A269" s="3">
        <v>43196</v>
      </c>
      <c r="B269" s="4" t="s">
        <v>278</v>
      </c>
      <c r="C269" s="3" t="s">
        <v>6</v>
      </c>
      <c r="D269" s="5">
        <f t="shared" si="8"/>
        <v>7466.5</v>
      </c>
      <c r="E269">
        <v>8195.94</v>
      </c>
      <c r="F269" s="1789">
        <v>8.8999999999999996E-2</v>
      </c>
      <c r="G269">
        <f t="shared" si="9"/>
        <v>7466.5</v>
      </c>
    </row>
    <row r="270" spans="1:7" ht="12.75" customHeight="1">
      <c r="A270" s="3">
        <v>43198</v>
      </c>
      <c r="B270" s="4" t="s">
        <v>279</v>
      </c>
      <c r="C270" s="3" t="s">
        <v>6</v>
      </c>
      <c r="D270" s="5">
        <f t="shared" si="8"/>
        <v>11095.04</v>
      </c>
      <c r="E270">
        <v>12178.97</v>
      </c>
      <c r="F270" s="1789">
        <v>8.8999999999999996E-2</v>
      </c>
      <c r="G270">
        <f t="shared" si="9"/>
        <v>11095.04</v>
      </c>
    </row>
    <row r="271" spans="1:7" ht="12.75" customHeight="1">
      <c r="A271" s="3">
        <v>43199</v>
      </c>
      <c r="B271" s="4" t="s">
        <v>280</v>
      </c>
      <c r="C271" s="3" t="s">
        <v>6</v>
      </c>
      <c r="D271" s="5">
        <f t="shared" si="8"/>
        <v>11501.6</v>
      </c>
      <c r="E271">
        <v>12625.25</v>
      </c>
      <c r="F271" s="1789">
        <v>8.8999999999999996E-2</v>
      </c>
      <c r="G271">
        <f t="shared" si="9"/>
        <v>11501.6</v>
      </c>
    </row>
    <row r="272" spans="1:7" ht="12.75" customHeight="1">
      <c r="A272" s="3">
        <v>43200</v>
      </c>
      <c r="B272" s="4" t="s">
        <v>281</v>
      </c>
      <c r="C272" s="3" t="s">
        <v>6</v>
      </c>
      <c r="D272" s="5">
        <f t="shared" si="8"/>
        <v>13198.93</v>
      </c>
      <c r="E272">
        <v>14488.4</v>
      </c>
      <c r="F272" s="1789">
        <v>8.8999999999999996E-2</v>
      </c>
      <c r="G272">
        <f t="shared" si="9"/>
        <v>13198.93</v>
      </c>
    </row>
    <row r="273" spans="1:7" ht="12.75" customHeight="1">
      <c r="A273" s="3">
        <v>39556</v>
      </c>
      <c r="B273" s="4" t="s">
        <v>282</v>
      </c>
      <c r="C273" s="3" t="s">
        <v>6</v>
      </c>
      <c r="D273" s="5">
        <f t="shared" si="8"/>
        <v>7208.87</v>
      </c>
      <c r="E273">
        <v>7913.14</v>
      </c>
      <c r="F273" s="1789">
        <v>8.8999999999999996E-2</v>
      </c>
      <c r="G273">
        <f t="shared" si="9"/>
        <v>7208.87</v>
      </c>
    </row>
    <row r="274" spans="1:7" ht="12.75" customHeight="1">
      <c r="A274" s="3">
        <v>39557</v>
      </c>
      <c r="B274" s="4" t="s">
        <v>283</v>
      </c>
      <c r="C274" s="3" t="s">
        <v>6</v>
      </c>
      <c r="D274" s="5">
        <f t="shared" si="8"/>
        <v>7762.37</v>
      </c>
      <c r="E274">
        <v>8520.7199999999993</v>
      </c>
      <c r="F274" s="1789">
        <v>8.8999999999999996E-2</v>
      </c>
      <c r="G274">
        <f t="shared" si="9"/>
        <v>7762.37</v>
      </c>
    </row>
    <row r="275" spans="1:7" ht="12.75" customHeight="1">
      <c r="A275" s="3">
        <v>39559</v>
      </c>
      <c r="B275" s="4" t="s">
        <v>284</v>
      </c>
      <c r="C275" s="3" t="s">
        <v>6</v>
      </c>
      <c r="D275" s="5">
        <f t="shared" si="8"/>
        <v>11471.29</v>
      </c>
      <c r="E275">
        <v>12591.98</v>
      </c>
      <c r="F275" s="1789">
        <v>8.8999999999999996E-2</v>
      </c>
      <c r="G275">
        <f t="shared" si="9"/>
        <v>11471.29</v>
      </c>
    </row>
    <row r="276" spans="1:7" ht="12.75" customHeight="1">
      <c r="A276" s="3">
        <v>39560</v>
      </c>
      <c r="B276" s="4" t="s">
        <v>285</v>
      </c>
      <c r="C276" s="3" t="s">
        <v>6</v>
      </c>
      <c r="D276" s="5">
        <f t="shared" si="8"/>
        <v>13271.17</v>
      </c>
      <c r="E276">
        <v>14567.7</v>
      </c>
      <c r="F276" s="1789">
        <v>8.8999999999999996E-2</v>
      </c>
      <c r="G276">
        <f t="shared" si="9"/>
        <v>13271.17</v>
      </c>
    </row>
    <row r="277" spans="1:7" ht="12.75" customHeight="1">
      <c r="A277" s="3">
        <v>39561</v>
      </c>
      <c r="B277" s="4" t="s">
        <v>286</v>
      </c>
      <c r="C277" s="3" t="s">
        <v>6</v>
      </c>
      <c r="D277" s="5">
        <f t="shared" si="8"/>
        <v>13883.33</v>
      </c>
      <c r="E277">
        <v>15239.67</v>
      </c>
      <c r="F277" s="1789">
        <v>8.8999999999999996E-2</v>
      </c>
      <c r="G277">
        <f t="shared" si="9"/>
        <v>13883.33</v>
      </c>
    </row>
    <row r="278" spans="1:7" ht="12.75" customHeight="1">
      <c r="A278" s="3">
        <v>43190</v>
      </c>
      <c r="B278" s="4" t="s">
        <v>287</v>
      </c>
      <c r="C278" s="3" t="s">
        <v>6</v>
      </c>
      <c r="D278" s="5">
        <f t="shared" si="8"/>
        <v>2048.81</v>
      </c>
      <c r="E278">
        <v>2248.9699999999998</v>
      </c>
      <c r="F278" s="1789">
        <v>8.8999999999999996E-2</v>
      </c>
      <c r="G278">
        <f t="shared" si="9"/>
        <v>2048.81</v>
      </c>
    </row>
    <row r="279" spans="1:7" ht="12.75" customHeight="1">
      <c r="A279" s="3">
        <v>39555</v>
      </c>
      <c r="B279" s="4" t="s">
        <v>288</v>
      </c>
      <c r="C279" s="3" t="s">
        <v>6</v>
      </c>
      <c r="D279" s="5">
        <f t="shared" si="8"/>
        <v>2216.2800000000002</v>
      </c>
      <c r="E279">
        <v>2432.81</v>
      </c>
      <c r="F279" s="1789">
        <v>8.8999999999999996E-2</v>
      </c>
      <c r="G279">
        <f t="shared" si="9"/>
        <v>2216.2800000000002</v>
      </c>
    </row>
    <row r="280" spans="1:7" ht="12.75" customHeight="1">
      <c r="A280" s="3">
        <v>43191</v>
      </c>
      <c r="B280" s="4" t="s">
        <v>289</v>
      </c>
      <c r="C280" s="3" t="s">
        <v>6</v>
      </c>
      <c r="D280" s="5">
        <f t="shared" si="8"/>
        <v>2947.96</v>
      </c>
      <c r="E280">
        <v>3235.97</v>
      </c>
      <c r="F280" s="1789">
        <v>8.8999999999999996E-2</v>
      </c>
      <c r="G280">
        <f t="shared" si="9"/>
        <v>2947.96</v>
      </c>
    </row>
    <row r="281" spans="1:7" ht="12.75" customHeight="1">
      <c r="A281" s="3">
        <v>39548</v>
      </c>
      <c r="B281" s="4" t="s">
        <v>290</v>
      </c>
      <c r="C281" s="3" t="s">
        <v>6</v>
      </c>
      <c r="D281" s="5">
        <f t="shared" si="8"/>
        <v>3287.44</v>
      </c>
      <c r="E281">
        <v>3608.61</v>
      </c>
      <c r="F281" s="1789">
        <v>8.8999999999999996E-2</v>
      </c>
      <c r="G281">
        <f t="shared" si="9"/>
        <v>3287.44</v>
      </c>
    </row>
    <row r="282" spans="1:7" ht="12.75" customHeight="1">
      <c r="A282" s="3">
        <v>43192</v>
      </c>
      <c r="B282" s="4" t="s">
        <v>291</v>
      </c>
      <c r="C282" s="3" t="s">
        <v>6</v>
      </c>
      <c r="D282" s="5">
        <f t="shared" si="8"/>
        <v>3861.57</v>
      </c>
      <c r="E282">
        <v>4238.83</v>
      </c>
      <c r="F282" s="1789">
        <v>8.8999999999999996E-2</v>
      </c>
      <c r="G282">
        <f t="shared" si="9"/>
        <v>3861.57</v>
      </c>
    </row>
    <row r="283" spans="1:7" ht="12.75" customHeight="1">
      <c r="A283" s="3">
        <v>39554</v>
      </c>
      <c r="B283" s="4" t="s">
        <v>292</v>
      </c>
      <c r="C283" s="3" t="s">
        <v>6</v>
      </c>
      <c r="D283" s="5">
        <f t="shared" si="8"/>
        <v>4347.1400000000003</v>
      </c>
      <c r="E283">
        <v>4771.84</v>
      </c>
      <c r="F283" s="1789">
        <v>8.8999999999999996E-2</v>
      </c>
      <c r="G283">
        <f t="shared" si="9"/>
        <v>4347.1400000000003</v>
      </c>
    </row>
    <row r="284" spans="1:7" ht="12.75" customHeight="1">
      <c r="A284" s="3">
        <v>43194</v>
      </c>
      <c r="B284" s="4" t="s">
        <v>293</v>
      </c>
      <c r="C284" s="3" t="s">
        <v>6</v>
      </c>
      <c r="D284" s="5">
        <f t="shared" si="8"/>
        <v>1755.15</v>
      </c>
      <c r="E284">
        <v>1926.63</v>
      </c>
      <c r="F284" s="1789">
        <v>8.8999999999999996E-2</v>
      </c>
      <c r="G284">
        <f t="shared" si="9"/>
        <v>1755.15</v>
      </c>
    </row>
    <row r="285" spans="1:7" ht="12.75" customHeight="1">
      <c r="A285" s="3">
        <v>39551</v>
      </c>
      <c r="B285" s="4" t="s">
        <v>294</v>
      </c>
      <c r="C285" s="3" t="s">
        <v>6</v>
      </c>
      <c r="D285" s="5">
        <f t="shared" si="8"/>
        <v>1932.61</v>
      </c>
      <c r="E285">
        <v>2121.42</v>
      </c>
      <c r="F285" s="1789">
        <v>8.8999999999999996E-2</v>
      </c>
      <c r="G285">
        <f t="shared" si="9"/>
        <v>1932.61</v>
      </c>
    </row>
    <row r="286" spans="1:7" ht="12.75" customHeight="1">
      <c r="A286" s="3">
        <v>43185</v>
      </c>
      <c r="B286" s="4" t="s">
        <v>295</v>
      </c>
      <c r="C286" s="3" t="s">
        <v>6</v>
      </c>
      <c r="D286" s="5">
        <f t="shared" si="8"/>
        <v>5492.14</v>
      </c>
      <c r="E286">
        <v>6028.7</v>
      </c>
      <c r="F286" s="1789">
        <v>8.8999999999999996E-2</v>
      </c>
      <c r="G286">
        <f t="shared" si="9"/>
        <v>5492.14</v>
      </c>
    </row>
    <row r="287" spans="1:7" ht="12.75" customHeight="1">
      <c r="A287" s="3">
        <v>43186</v>
      </c>
      <c r="B287" s="4" t="s">
        <v>296</v>
      </c>
      <c r="C287" s="3" t="s">
        <v>6</v>
      </c>
      <c r="D287" s="5">
        <f t="shared" si="8"/>
        <v>5793.1</v>
      </c>
      <c r="E287">
        <v>6359.06</v>
      </c>
      <c r="F287" s="1789">
        <v>8.8999999999999996E-2</v>
      </c>
      <c r="G287">
        <f t="shared" si="9"/>
        <v>5793.1</v>
      </c>
    </row>
    <row r="288" spans="1:7" ht="12.75" customHeight="1">
      <c r="A288" s="3">
        <v>43187</v>
      </c>
      <c r="B288" s="4" t="s">
        <v>297</v>
      </c>
      <c r="C288" s="3" t="s">
        <v>6</v>
      </c>
      <c r="D288" s="5">
        <f t="shared" si="8"/>
        <v>7687.5</v>
      </c>
      <c r="E288">
        <v>8438.5400000000009</v>
      </c>
      <c r="F288" s="1789">
        <v>8.8999999999999996E-2</v>
      </c>
      <c r="G288">
        <f t="shared" si="9"/>
        <v>7687.5</v>
      </c>
    </row>
    <row r="289" spans="1:7" ht="12.75" customHeight="1">
      <c r="A289" s="3">
        <v>43188</v>
      </c>
      <c r="B289" s="4" t="s">
        <v>298</v>
      </c>
      <c r="C289" s="3" t="s">
        <v>6</v>
      </c>
      <c r="D289" s="5">
        <f t="shared" si="8"/>
        <v>9314.43</v>
      </c>
      <c r="E289">
        <v>10224.41</v>
      </c>
      <c r="F289" s="1789">
        <v>8.8999999999999996E-2</v>
      </c>
      <c r="G289">
        <f t="shared" si="9"/>
        <v>9314.43</v>
      </c>
    </row>
    <row r="290" spans="1:7" ht="12.75" customHeight="1">
      <c r="A290" s="3">
        <v>43189</v>
      </c>
      <c r="B290" s="4" t="s">
        <v>299</v>
      </c>
      <c r="C290" s="3" t="s">
        <v>6</v>
      </c>
      <c r="D290" s="5">
        <f t="shared" si="8"/>
        <v>10477.19</v>
      </c>
      <c r="E290">
        <v>11500.76</v>
      </c>
      <c r="F290" s="1789">
        <v>8.8999999999999996E-2</v>
      </c>
      <c r="G290">
        <f t="shared" si="9"/>
        <v>10477.19</v>
      </c>
    </row>
    <row r="291" spans="1:7" ht="12.75" customHeight="1">
      <c r="A291" s="3">
        <v>39580</v>
      </c>
      <c r="B291" s="4" t="s">
        <v>300</v>
      </c>
      <c r="C291" s="3" t="s">
        <v>6</v>
      </c>
      <c r="D291" s="5">
        <f t="shared" si="8"/>
        <v>82564.539999999994</v>
      </c>
      <c r="E291">
        <v>90630.67</v>
      </c>
      <c r="F291" s="1789">
        <v>8.8999999999999996E-2</v>
      </c>
      <c r="G291">
        <f t="shared" si="9"/>
        <v>82564.539999999994</v>
      </c>
    </row>
    <row r="292" spans="1:7" ht="12.75" customHeight="1">
      <c r="A292" s="3">
        <v>39577</v>
      </c>
      <c r="B292" s="4" t="s">
        <v>301</v>
      </c>
      <c r="C292" s="3" t="s">
        <v>6</v>
      </c>
      <c r="D292" s="5">
        <f t="shared" si="8"/>
        <v>25842.52</v>
      </c>
      <c r="E292">
        <v>28367.21</v>
      </c>
      <c r="F292" s="1789">
        <v>8.8999999999999996E-2</v>
      </c>
      <c r="G292">
        <f t="shared" si="9"/>
        <v>25842.52</v>
      </c>
    </row>
    <row r="293" spans="1:7" ht="12.75" customHeight="1">
      <c r="A293" s="3">
        <v>39578</v>
      </c>
      <c r="B293" s="4" t="s">
        <v>302</v>
      </c>
      <c r="C293" s="3" t="s">
        <v>6</v>
      </c>
      <c r="D293" s="5">
        <f t="shared" si="8"/>
        <v>33350.28</v>
      </c>
      <c r="E293">
        <v>36608.44</v>
      </c>
      <c r="F293" s="1789">
        <v>8.8999999999999996E-2</v>
      </c>
      <c r="G293">
        <f t="shared" si="9"/>
        <v>33350.28</v>
      </c>
    </row>
    <row r="294" spans="1:7" ht="12.75" customHeight="1">
      <c r="A294" s="3">
        <v>39579</v>
      </c>
      <c r="B294" s="4" t="s">
        <v>303</v>
      </c>
      <c r="C294" s="3" t="s">
        <v>6</v>
      </c>
      <c r="D294" s="5">
        <f t="shared" si="8"/>
        <v>48522.06</v>
      </c>
      <c r="E294">
        <v>53262.42</v>
      </c>
      <c r="F294" s="1789">
        <v>8.8999999999999996E-2</v>
      </c>
      <c r="G294">
        <f t="shared" si="9"/>
        <v>48522.06</v>
      </c>
    </row>
    <row r="295" spans="1:7" ht="12.75" customHeight="1">
      <c r="A295" s="3">
        <v>39826</v>
      </c>
      <c r="B295" s="4" t="s">
        <v>304</v>
      </c>
      <c r="C295" s="3" t="s">
        <v>6</v>
      </c>
      <c r="D295" s="5">
        <f t="shared" si="8"/>
        <v>5959.38</v>
      </c>
      <c r="E295">
        <v>6541.59</v>
      </c>
      <c r="F295" s="1789">
        <v>8.8999999999999996E-2</v>
      </c>
      <c r="G295">
        <f t="shared" si="9"/>
        <v>5959.38</v>
      </c>
    </row>
    <row r="296" spans="1:7" ht="12.75" customHeight="1">
      <c r="A296" s="3">
        <v>10700</v>
      </c>
      <c r="B296" s="4" t="s">
        <v>305</v>
      </c>
      <c r="C296" s="3" t="s">
        <v>6</v>
      </c>
      <c r="D296" s="5">
        <f t="shared" si="8"/>
        <v>20666.02</v>
      </c>
      <c r="E296">
        <v>22684.99</v>
      </c>
      <c r="F296" s="1789">
        <v>8.8999999999999996E-2</v>
      </c>
      <c r="G296">
        <f t="shared" si="9"/>
        <v>20666.02</v>
      </c>
    </row>
    <row r="297" spans="1:7" ht="12.75" customHeight="1">
      <c r="A297" s="3">
        <v>346</v>
      </c>
      <c r="B297" s="4" t="s">
        <v>306</v>
      </c>
      <c r="C297" s="3" t="s">
        <v>54</v>
      </c>
      <c r="D297" s="5">
        <f t="shared" si="8"/>
        <v>26.92</v>
      </c>
      <c r="E297">
        <v>29.55</v>
      </c>
      <c r="F297" s="1789">
        <v>8.8999999999999996E-2</v>
      </c>
      <c r="G297">
        <f t="shared" si="9"/>
        <v>26.92</v>
      </c>
    </row>
    <row r="298" spans="1:7" ht="12.75" customHeight="1">
      <c r="A298" s="3">
        <v>3312</v>
      </c>
      <c r="B298" s="4" t="s">
        <v>307</v>
      </c>
      <c r="C298" s="3" t="s">
        <v>54</v>
      </c>
      <c r="D298" s="5">
        <f t="shared" si="8"/>
        <v>23.84</v>
      </c>
      <c r="E298">
        <v>26.17</v>
      </c>
      <c r="F298" s="1789">
        <v>8.8999999999999996E-2</v>
      </c>
      <c r="G298">
        <f t="shared" si="9"/>
        <v>23.84</v>
      </c>
    </row>
    <row r="299" spans="1:7" ht="12.75" customHeight="1">
      <c r="A299" s="3">
        <v>339</v>
      </c>
      <c r="B299" s="4" t="s">
        <v>308</v>
      </c>
      <c r="C299" s="3" t="s">
        <v>50</v>
      </c>
      <c r="D299" s="5">
        <f t="shared" si="8"/>
        <v>1.38</v>
      </c>
      <c r="E299">
        <v>1.52</v>
      </c>
      <c r="F299" s="1789">
        <v>8.8999999999999996E-2</v>
      </c>
      <c r="G299">
        <f t="shared" si="9"/>
        <v>1.38</v>
      </c>
    </row>
    <row r="300" spans="1:7" ht="12.75" customHeight="1">
      <c r="A300" s="3">
        <v>340</v>
      </c>
      <c r="B300" s="4" t="s">
        <v>309</v>
      </c>
      <c r="C300" s="3" t="s">
        <v>50</v>
      </c>
      <c r="D300" s="5">
        <f t="shared" si="8"/>
        <v>1.24</v>
      </c>
      <c r="E300">
        <v>1.37</v>
      </c>
      <c r="F300" s="1789">
        <v>8.8999999999999996E-2</v>
      </c>
      <c r="G300">
        <f t="shared" si="9"/>
        <v>1.24</v>
      </c>
    </row>
    <row r="301" spans="1:7" ht="12.75" customHeight="1">
      <c r="A301" s="3">
        <v>43130</v>
      </c>
      <c r="B301" s="4" t="s">
        <v>310</v>
      </c>
      <c r="C301" s="3" t="s">
        <v>54</v>
      </c>
      <c r="D301" s="5">
        <f t="shared" si="8"/>
        <v>22.72</v>
      </c>
      <c r="E301">
        <v>24.95</v>
      </c>
      <c r="F301" s="1789">
        <v>8.8999999999999996E-2</v>
      </c>
      <c r="G301">
        <f t="shared" si="9"/>
        <v>22.72</v>
      </c>
    </row>
    <row r="302" spans="1:7" ht="12.75" customHeight="1">
      <c r="A302" s="3">
        <v>344</v>
      </c>
      <c r="B302" s="4" t="s">
        <v>311</v>
      </c>
      <c r="C302" s="3" t="s">
        <v>54</v>
      </c>
      <c r="D302" s="5">
        <f t="shared" si="8"/>
        <v>29.88</v>
      </c>
      <c r="E302">
        <v>32.799999999999997</v>
      </c>
      <c r="F302" s="1789">
        <v>8.8999999999999996E-2</v>
      </c>
      <c r="G302">
        <f t="shared" si="9"/>
        <v>29.88</v>
      </c>
    </row>
    <row r="303" spans="1:7" ht="12.75" customHeight="1">
      <c r="A303" s="3">
        <v>345</v>
      </c>
      <c r="B303" s="4" t="s">
        <v>312</v>
      </c>
      <c r="C303" s="3" t="s">
        <v>54</v>
      </c>
      <c r="D303" s="5">
        <f t="shared" si="8"/>
        <v>32.42</v>
      </c>
      <c r="E303">
        <v>35.590000000000003</v>
      </c>
      <c r="F303" s="1789">
        <v>8.8999999999999996E-2</v>
      </c>
      <c r="G303">
        <f t="shared" si="9"/>
        <v>32.42</v>
      </c>
    </row>
    <row r="304" spans="1:7" ht="12.75" customHeight="1">
      <c r="A304" s="3">
        <v>43131</v>
      </c>
      <c r="B304" s="4" t="s">
        <v>313</v>
      </c>
      <c r="C304" s="3" t="s">
        <v>54</v>
      </c>
      <c r="D304" s="5">
        <f t="shared" si="8"/>
        <v>26.4</v>
      </c>
      <c r="E304">
        <v>28.98</v>
      </c>
      <c r="F304" s="1789">
        <v>8.8999999999999996E-2</v>
      </c>
      <c r="G304">
        <f t="shared" si="9"/>
        <v>26.4</v>
      </c>
    </row>
    <row r="305" spans="1:7" ht="12.75" customHeight="1">
      <c r="A305" s="3">
        <v>3313</v>
      </c>
      <c r="B305" s="4" t="s">
        <v>314</v>
      </c>
      <c r="C305" s="3" t="s">
        <v>54</v>
      </c>
      <c r="D305" s="5">
        <f t="shared" si="8"/>
        <v>30.68</v>
      </c>
      <c r="E305">
        <v>33.68</v>
      </c>
      <c r="F305" s="1789">
        <v>8.8999999999999996E-2</v>
      </c>
      <c r="G305">
        <f t="shared" si="9"/>
        <v>30.68</v>
      </c>
    </row>
    <row r="306" spans="1:7" ht="12.75" customHeight="1">
      <c r="A306" s="3">
        <v>43132</v>
      </c>
      <c r="B306" s="4" t="s">
        <v>315</v>
      </c>
      <c r="C306" s="3" t="s">
        <v>54</v>
      </c>
      <c r="D306" s="5">
        <f t="shared" si="8"/>
        <v>22.72</v>
      </c>
      <c r="E306">
        <v>24.95</v>
      </c>
      <c r="F306" s="1789">
        <v>8.8999999999999996E-2</v>
      </c>
      <c r="G306">
        <f t="shared" si="9"/>
        <v>22.72</v>
      </c>
    </row>
    <row r="307" spans="1:7" ht="12.75" customHeight="1">
      <c r="A307" s="3">
        <v>366</v>
      </c>
      <c r="B307" s="4" t="s">
        <v>316</v>
      </c>
      <c r="C307" s="3" t="s">
        <v>152</v>
      </c>
      <c r="D307" s="5">
        <f t="shared" si="8"/>
        <v>120.7</v>
      </c>
      <c r="E307">
        <v>132.5</v>
      </c>
      <c r="F307" s="1789">
        <v>8.8999999999999996E-2</v>
      </c>
      <c r="G307">
        <f t="shared" si="9"/>
        <v>120.7</v>
      </c>
    </row>
    <row r="308" spans="1:7" ht="12.75" customHeight="1">
      <c r="A308" s="3">
        <v>367</v>
      </c>
      <c r="B308" s="4" t="s">
        <v>317</v>
      </c>
      <c r="C308" s="3" t="s">
        <v>152</v>
      </c>
      <c r="D308" s="5">
        <f t="shared" si="8"/>
        <v>122.28</v>
      </c>
      <c r="E308">
        <v>134.22999999999999</v>
      </c>
      <c r="F308" s="1789">
        <v>8.8999999999999996E-2</v>
      </c>
      <c r="G308">
        <f t="shared" si="9"/>
        <v>122.28</v>
      </c>
    </row>
    <row r="309" spans="1:7" ht="12.75" customHeight="1">
      <c r="A309" s="3">
        <v>370</v>
      </c>
      <c r="B309" s="4" t="s">
        <v>318</v>
      </c>
      <c r="C309" s="3" t="s">
        <v>152</v>
      </c>
      <c r="D309" s="5">
        <f t="shared" si="8"/>
        <v>120.7</v>
      </c>
      <c r="E309">
        <v>132.5</v>
      </c>
      <c r="F309" s="1789">
        <v>8.8999999999999996E-2</v>
      </c>
      <c r="G309">
        <f t="shared" si="9"/>
        <v>120.7</v>
      </c>
    </row>
    <row r="310" spans="1:7" ht="12.75" customHeight="1">
      <c r="A310" s="3">
        <v>368</v>
      </c>
      <c r="B310" s="4" t="s">
        <v>319</v>
      </c>
      <c r="C310" s="3" t="s">
        <v>152</v>
      </c>
      <c r="D310" s="5">
        <f t="shared" si="8"/>
        <v>60.35</v>
      </c>
      <c r="E310">
        <v>66.25</v>
      </c>
      <c r="F310" s="1789">
        <v>8.8999999999999996E-2</v>
      </c>
      <c r="G310">
        <f t="shared" si="9"/>
        <v>60.35</v>
      </c>
    </row>
    <row r="311" spans="1:7" ht="12.75" customHeight="1">
      <c r="A311" s="3">
        <v>11075</v>
      </c>
      <c r="B311" s="4" t="s">
        <v>320</v>
      </c>
      <c r="C311" s="3" t="s">
        <v>152</v>
      </c>
      <c r="D311" s="5">
        <f t="shared" si="8"/>
        <v>1385.34</v>
      </c>
      <c r="E311">
        <v>1520.69</v>
      </c>
      <c r="F311" s="1789">
        <v>8.8999999999999996E-2</v>
      </c>
      <c r="G311">
        <f t="shared" si="9"/>
        <v>1385.34</v>
      </c>
    </row>
    <row r="312" spans="1:7" ht="12.75" customHeight="1">
      <c r="A312" s="3">
        <v>1381</v>
      </c>
      <c r="B312" s="4" t="s">
        <v>321</v>
      </c>
      <c r="C312" s="3" t="s">
        <v>54</v>
      </c>
      <c r="D312" s="5">
        <f t="shared" si="8"/>
        <v>1.0900000000000001</v>
      </c>
      <c r="E312">
        <v>1.2</v>
      </c>
      <c r="F312" s="1789">
        <v>8.8999999999999996E-2</v>
      </c>
      <c r="G312">
        <f t="shared" si="9"/>
        <v>1.0900000000000001</v>
      </c>
    </row>
    <row r="313" spans="1:7" ht="12.75" customHeight="1">
      <c r="A313" s="3">
        <v>34353</v>
      </c>
      <c r="B313" s="4" t="s">
        <v>322</v>
      </c>
      <c r="C313" s="3" t="s">
        <v>54</v>
      </c>
      <c r="D313" s="5">
        <f t="shared" si="8"/>
        <v>2.0299999999999998</v>
      </c>
      <c r="E313">
        <v>2.23</v>
      </c>
      <c r="F313" s="1789">
        <v>8.8999999999999996E-2</v>
      </c>
      <c r="G313">
        <f t="shared" si="9"/>
        <v>2.0299999999999998</v>
      </c>
    </row>
    <row r="314" spans="1:7" ht="12.75" customHeight="1">
      <c r="A314" s="3">
        <v>37595</v>
      </c>
      <c r="B314" s="4" t="s">
        <v>323</v>
      </c>
      <c r="C314" s="3" t="s">
        <v>54</v>
      </c>
      <c r="D314" s="5">
        <f t="shared" si="8"/>
        <v>3.36</v>
      </c>
      <c r="E314">
        <v>3.69</v>
      </c>
      <c r="F314" s="1789">
        <v>8.8999999999999996E-2</v>
      </c>
      <c r="G314">
        <f t="shared" si="9"/>
        <v>3.36</v>
      </c>
    </row>
    <row r="315" spans="1:7" ht="12.75" customHeight="1">
      <c r="A315" s="3">
        <v>37596</v>
      </c>
      <c r="B315" s="4" t="s">
        <v>324</v>
      </c>
      <c r="C315" s="3" t="s">
        <v>54</v>
      </c>
      <c r="D315" s="5">
        <f t="shared" si="8"/>
        <v>3.85</v>
      </c>
      <c r="E315">
        <v>4.2300000000000004</v>
      </c>
      <c r="F315" s="1789">
        <v>8.8999999999999996E-2</v>
      </c>
      <c r="G315">
        <f t="shared" si="9"/>
        <v>3.85</v>
      </c>
    </row>
    <row r="316" spans="1:7" ht="12.75" customHeight="1">
      <c r="A316" s="3">
        <v>371</v>
      </c>
      <c r="B316" s="4" t="s">
        <v>325</v>
      </c>
      <c r="C316" s="3" t="s">
        <v>54</v>
      </c>
      <c r="D316" s="5">
        <f t="shared" si="8"/>
        <v>1.19</v>
      </c>
      <c r="E316">
        <v>1.31</v>
      </c>
      <c r="F316" s="1789">
        <v>8.8999999999999996E-2</v>
      </c>
      <c r="G316">
        <f t="shared" si="9"/>
        <v>1.19</v>
      </c>
    </row>
    <row r="317" spans="1:7" ht="12.75" customHeight="1">
      <c r="A317" s="3">
        <v>37553</v>
      </c>
      <c r="B317" s="4" t="s">
        <v>326</v>
      </c>
      <c r="C317" s="3" t="s">
        <v>54</v>
      </c>
      <c r="D317" s="5">
        <f t="shared" si="8"/>
        <v>2.23</v>
      </c>
      <c r="E317">
        <v>2.4500000000000002</v>
      </c>
      <c r="F317" s="1789">
        <v>8.8999999999999996E-2</v>
      </c>
      <c r="G317">
        <f t="shared" si="9"/>
        <v>2.23</v>
      </c>
    </row>
    <row r="318" spans="1:7" ht="12.75" customHeight="1">
      <c r="A318" s="3">
        <v>37552</v>
      </c>
      <c r="B318" s="4" t="s">
        <v>327</v>
      </c>
      <c r="C318" s="3" t="s">
        <v>54</v>
      </c>
      <c r="D318" s="5">
        <f t="shared" si="8"/>
        <v>3.58</v>
      </c>
      <c r="E318">
        <v>3.94</v>
      </c>
      <c r="F318" s="1789">
        <v>8.8999999999999996E-2</v>
      </c>
      <c r="G318">
        <f t="shared" si="9"/>
        <v>3.58</v>
      </c>
    </row>
    <row r="319" spans="1:7" ht="12.75" customHeight="1">
      <c r="A319" s="3">
        <v>36880</v>
      </c>
      <c r="B319" s="4" t="s">
        <v>328</v>
      </c>
      <c r="C319" s="3" t="s">
        <v>54</v>
      </c>
      <c r="D319" s="5">
        <f t="shared" si="8"/>
        <v>3.64</v>
      </c>
      <c r="E319">
        <v>4</v>
      </c>
      <c r="F319" s="1789">
        <v>8.8999999999999996E-2</v>
      </c>
      <c r="G319">
        <f t="shared" si="9"/>
        <v>3.64</v>
      </c>
    </row>
    <row r="320" spans="1:7" ht="12.75" customHeight="1">
      <c r="A320" s="3">
        <v>34355</v>
      </c>
      <c r="B320" s="4" t="s">
        <v>329</v>
      </c>
      <c r="C320" s="3" t="s">
        <v>54</v>
      </c>
      <c r="D320" s="5">
        <f t="shared" si="8"/>
        <v>3.14</v>
      </c>
      <c r="E320">
        <v>3.45</v>
      </c>
      <c r="F320" s="1789">
        <v>8.8999999999999996E-2</v>
      </c>
      <c r="G320">
        <f t="shared" si="9"/>
        <v>3.14</v>
      </c>
    </row>
    <row r="321" spans="1:7" ht="12.75" customHeight="1">
      <c r="A321" s="3">
        <v>130</v>
      </c>
      <c r="B321" s="4" t="s">
        <v>330</v>
      </c>
      <c r="C321" s="3" t="s">
        <v>54</v>
      </c>
      <c r="D321" s="5">
        <f t="shared" si="8"/>
        <v>4.0599999999999996</v>
      </c>
      <c r="E321">
        <v>4.46</v>
      </c>
      <c r="F321" s="1789">
        <v>8.8999999999999996E-2</v>
      </c>
      <c r="G321">
        <f t="shared" si="9"/>
        <v>4.0599999999999996</v>
      </c>
    </row>
    <row r="322" spans="1:7" ht="12.75" customHeight="1">
      <c r="A322" s="3">
        <v>135</v>
      </c>
      <c r="B322" s="4" t="s">
        <v>331</v>
      </c>
      <c r="C322" s="3" t="s">
        <v>54</v>
      </c>
      <c r="D322" s="5">
        <f t="shared" si="8"/>
        <v>3.27</v>
      </c>
      <c r="E322">
        <v>3.59</v>
      </c>
      <c r="F322" s="1789">
        <v>8.8999999999999996E-2</v>
      </c>
      <c r="G322">
        <f t="shared" si="9"/>
        <v>3.27</v>
      </c>
    </row>
    <row r="323" spans="1:7" ht="12.75" customHeight="1">
      <c r="A323" s="3">
        <v>36886</v>
      </c>
      <c r="B323" s="4" t="s">
        <v>332</v>
      </c>
      <c r="C323" s="3" t="s">
        <v>54</v>
      </c>
      <c r="D323" s="5">
        <f t="shared" ref="D323:D386" si="10">G323</f>
        <v>1.1200000000000001</v>
      </c>
      <c r="E323">
        <v>1.24</v>
      </c>
      <c r="F323" s="1789">
        <v>8.8999999999999996E-2</v>
      </c>
      <c r="G323">
        <f t="shared" ref="G323:G386" si="11">TRUNC((1-F323)*E323,2)</f>
        <v>1.1200000000000001</v>
      </c>
    </row>
    <row r="324" spans="1:7" ht="12.75" customHeight="1">
      <c r="A324" s="3">
        <v>38546</v>
      </c>
      <c r="B324" s="4" t="s">
        <v>333</v>
      </c>
      <c r="C324" s="3" t="s">
        <v>152</v>
      </c>
      <c r="D324" s="5">
        <f t="shared" si="10"/>
        <v>670.96</v>
      </c>
      <c r="E324">
        <v>736.52</v>
      </c>
      <c r="F324" s="1789">
        <v>8.8999999999999996E-2</v>
      </c>
      <c r="G324">
        <f t="shared" si="11"/>
        <v>670.96</v>
      </c>
    </row>
    <row r="325" spans="1:7" ht="12.75" customHeight="1">
      <c r="A325" s="3">
        <v>34549</v>
      </c>
      <c r="B325" s="4" t="s">
        <v>334</v>
      </c>
      <c r="C325" s="3" t="s">
        <v>152</v>
      </c>
      <c r="D325" s="5">
        <f t="shared" si="10"/>
        <v>680.69</v>
      </c>
      <c r="E325">
        <v>747.19</v>
      </c>
      <c r="F325" s="1789">
        <v>8.8999999999999996E-2</v>
      </c>
      <c r="G325">
        <f t="shared" si="11"/>
        <v>680.69</v>
      </c>
    </row>
    <row r="326" spans="1:7" ht="12.75" customHeight="1">
      <c r="A326" s="3">
        <v>6081</v>
      </c>
      <c r="B326" s="4" t="s">
        <v>335</v>
      </c>
      <c r="C326" s="3" t="s">
        <v>152</v>
      </c>
      <c r="D326" s="5">
        <f t="shared" si="10"/>
        <v>47.64</v>
      </c>
      <c r="E326">
        <v>52.3</v>
      </c>
      <c r="F326" s="1789">
        <v>8.8999999999999996E-2</v>
      </c>
      <c r="G326">
        <f t="shared" si="11"/>
        <v>47.64</v>
      </c>
    </row>
    <row r="327" spans="1:7" ht="12.75" customHeight="1">
      <c r="A327" s="3">
        <v>6077</v>
      </c>
      <c r="B327" s="4" t="s">
        <v>336</v>
      </c>
      <c r="C327" s="3" t="s">
        <v>152</v>
      </c>
      <c r="D327" s="5">
        <f t="shared" si="10"/>
        <v>34.020000000000003</v>
      </c>
      <c r="E327">
        <v>37.35</v>
      </c>
      <c r="F327" s="1789">
        <v>8.8999999999999996E-2</v>
      </c>
      <c r="G327">
        <f t="shared" si="11"/>
        <v>34.020000000000003</v>
      </c>
    </row>
    <row r="328" spans="1:7" ht="12.75" customHeight="1">
      <c r="A328" s="3">
        <v>6079</v>
      </c>
      <c r="B328" s="4" t="s">
        <v>337</v>
      </c>
      <c r="C328" s="3" t="s">
        <v>152</v>
      </c>
      <c r="D328" s="5">
        <f t="shared" si="10"/>
        <v>34.020000000000003</v>
      </c>
      <c r="E328">
        <v>37.35</v>
      </c>
      <c r="F328" s="1789">
        <v>8.8999999999999996E-2</v>
      </c>
      <c r="G328">
        <f t="shared" si="11"/>
        <v>34.020000000000003</v>
      </c>
    </row>
    <row r="329" spans="1:7" ht="12.75" customHeight="1">
      <c r="A329" s="3">
        <v>1091</v>
      </c>
      <c r="B329" s="4" t="s">
        <v>338</v>
      </c>
      <c r="C329" s="3" t="s">
        <v>6</v>
      </c>
      <c r="D329" s="5">
        <f t="shared" si="10"/>
        <v>36.46</v>
      </c>
      <c r="E329">
        <v>40.03</v>
      </c>
      <c r="F329" s="1789">
        <v>8.8999999999999996E-2</v>
      </c>
      <c r="G329">
        <f t="shared" si="11"/>
        <v>36.46</v>
      </c>
    </row>
    <row r="330" spans="1:7" ht="12.75" customHeight="1">
      <c r="A330" s="3">
        <v>1094</v>
      </c>
      <c r="B330" s="4" t="s">
        <v>339</v>
      </c>
      <c r="C330" s="3" t="s">
        <v>6</v>
      </c>
      <c r="D330" s="5">
        <f t="shared" si="10"/>
        <v>25.5</v>
      </c>
      <c r="E330">
        <v>28</v>
      </c>
      <c r="F330" s="1789">
        <v>8.8999999999999996E-2</v>
      </c>
      <c r="G330">
        <f t="shared" si="11"/>
        <v>25.5</v>
      </c>
    </row>
    <row r="331" spans="1:7" ht="12.75" customHeight="1">
      <c r="A331" s="3">
        <v>1095</v>
      </c>
      <c r="B331" s="4" t="s">
        <v>340</v>
      </c>
      <c r="C331" s="3" t="s">
        <v>6</v>
      </c>
      <c r="D331" s="5">
        <f t="shared" si="10"/>
        <v>54.2</v>
      </c>
      <c r="E331">
        <v>59.5</v>
      </c>
      <c r="F331" s="1789">
        <v>8.8999999999999996E-2</v>
      </c>
      <c r="G331">
        <f t="shared" si="11"/>
        <v>54.2</v>
      </c>
    </row>
    <row r="332" spans="1:7" ht="12.75" customHeight="1">
      <c r="A332" s="3">
        <v>1092</v>
      </c>
      <c r="B332" s="4" t="s">
        <v>341</v>
      </c>
      <c r="C332" s="3" t="s">
        <v>6</v>
      </c>
      <c r="D332" s="5">
        <f t="shared" si="10"/>
        <v>41.94</v>
      </c>
      <c r="E332">
        <v>46.04</v>
      </c>
      <c r="F332" s="1789">
        <v>8.8999999999999996E-2</v>
      </c>
      <c r="G332">
        <f t="shared" si="11"/>
        <v>41.94</v>
      </c>
    </row>
    <row r="333" spans="1:7" ht="12.75" customHeight="1">
      <c r="A333" s="3">
        <v>1093</v>
      </c>
      <c r="B333" s="4" t="s">
        <v>342</v>
      </c>
      <c r="C333" s="3" t="s">
        <v>6</v>
      </c>
      <c r="D333" s="5">
        <f t="shared" si="10"/>
        <v>97.95</v>
      </c>
      <c r="E333">
        <v>107.52</v>
      </c>
      <c r="F333" s="1789">
        <v>8.8999999999999996E-2</v>
      </c>
      <c r="G333">
        <f t="shared" si="11"/>
        <v>97.95</v>
      </c>
    </row>
    <row r="334" spans="1:7" ht="12.75" customHeight="1">
      <c r="A334" s="3">
        <v>1090</v>
      </c>
      <c r="B334" s="4" t="s">
        <v>343</v>
      </c>
      <c r="C334" s="3" t="s">
        <v>6</v>
      </c>
      <c r="D334" s="5">
        <f t="shared" si="10"/>
        <v>70.12</v>
      </c>
      <c r="E334">
        <v>76.98</v>
      </c>
      <c r="F334" s="1789">
        <v>8.8999999999999996E-2</v>
      </c>
      <c r="G334">
        <f t="shared" si="11"/>
        <v>70.12</v>
      </c>
    </row>
    <row r="335" spans="1:7" ht="12.75" customHeight="1">
      <c r="A335" s="3">
        <v>1096</v>
      </c>
      <c r="B335" s="4" t="s">
        <v>344</v>
      </c>
      <c r="C335" s="3" t="s">
        <v>6</v>
      </c>
      <c r="D335" s="5">
        <f t="shared" si="10"/>
        <v>126.2</v>
      </c>
      <c r="E335">
        <v>138.54</v>
      </c>
      <c r="F335" s="1789">
        <v>8.8999999999999996E-2</v>
      </c>
      <c r="G335">
        <f t="shared" si="11"/>
        <v>126.2</v>
      </c>
    </row>
    <row r="336" spans="1:7" ht="12.75" customHeight="1">
      <c r="A336" s="3">
        <v>1097</v>
      </c>
      <c r="B336" s="4" t="s">
        <v>345</v>
      </c>
      <c r="C336" s="3" t="s">
        <v>6</v>
      </c>
      <c r="D336" s="5">
        <f t="shared" si="10"/>
        <v>107.13</v>
      </c>
      <c r="E336">
        <v>117.6</v>
      </c>
      <c r="F336" s="1789">
        <v>8.8999999999999996E-2</v>
      </c>
      <c r="G336">
        <f t="shared" si="11"/>
        <v>107.13</v>
      </c>
    </row>
    <row r="337" spans="1:7" ht="12.75" customHeight="1">
      <c r="A337" s="3">
        <v>378</v>
      </c>
      <c r="B337" s="4" t="s">
        <v>346</v>
      </c>
      <c r="C337" s="3" t="s">
        <v>154</v>
      </c>
      <c r="D337" s="5">
        <f t="shared" si="10"/>
        <v>18.02</v>
      </c>
      <c r="E337">
        <v>19.79</v>
      </c>
      <c r="F337" s="1789">
        <v>8.8999999999999996E-2</v>
      </c>
      <c r="G337">
        <f t="shared" si="11"/>
        <v>18.02</v>
      </c>
    </row>
    <row r="338" spans="1:7" ht="12.75" customHeight="1">
      <c r="A338" s="3">
        <v>40911</v>
      </c>
      <c r="B338" s="4" t="s">
        <v>347</v>
      </c>
      <c r="C338" s="3" t="s">
        <v>156</v>
      </c>
      <c r="D338" s="5">
        <f t="shared" si="10"/>
        <v>3172.4</v>
      </c>
      <c r="E338">
        <v>3482.33</v>
      </c>
      <c r="F338" s="1789">
        <v>8.8999999999999996E-2</v>
      </c>
      <c r="G338">
        <f t="shared" si="11"/>
        <v>3172.4</v>
      </c>
    </row>
    <row r="339" spans="1:7" ht="12.75" customHeight="1">
      <c r="A339" s="3">
        <v>33939</v>
      </c>
      <c r="B339" s="4" t="s">
        <v>348</v>
      </c>
      <c r="C339" s="3" t="s">
        <v>154</v>
      </c>
      <c r="D339" s="5">
        <f t="shared" si="10"/>
        <v>100.88</v>
      </c>
      <c r="E339">
        <v>110.74</v>
      </c>
      <c r="F339" s="1789">
        <v>8.8999999999999996E-2</v>
      </c>
      <c r="G339">
        <f t="shared" si="11"/>
        <v>100.88</v>
      </c>
    </row>
    <row r="340" spans="1:7" ht="12.75" customHeight="1">
      <c r="A340" s="3">
        <v>40815</v>
      </c>
      <c r="B340" s="4" t="s">
        <v>349</v>
      </c>
      <c r="C340" s="3" t="s">
        <v>156</v>
      </c>
      <c r="D340" s="5">
        <f t="shared" si="10"/>
        <v>17748.810000000001</v>
      </c>
      <c r="E340">
        <v>19482.78</v>
      </c>
      <c r="F340" s="1789">
        <v>8.8999999999999996E-2</v>
      </c>
      <c r="G340">
        <f t="shared" si="11"/>
        <v>17748.810000000001</v>
      </c>
    </row>
    <row r="341" spans="1:7" ht="12.75" customHeight="1">
      <c r="A341" s="3">
        <v>33952</v>
      </c>
      <c r="B341" s="4" t="s">
        <v>350</v>
      </c>
      <c r="C341" s="3" t="s">
        <v>154</v>
      </c>
      <c r="D341" s="5">
        <f t="shared" si="10"/>
        <v>106.86</v>
      </c>
      <c r="E341">
        <v>117.31</v>
      </c>
      <c r="F341" s="1789">
        <v>8.8999999999999996E-2</v>
      </c>
      <c r="G341">
        <f t="shared" si="11"/>
        <v>106.86</v>
      </c>
    </row>
    <row r="342" spans="1:7" ht="12.75" customHeight="1">
      <c r="A342" s="3">
        <v>40816</v>
      </c>
      <c r="B342" s="4" t="s">
        <v>351</v>
      </c>
      <c r="C342" s="3" t="s">
        <v>156</v>
      </c>
      <c r="D342" s="5">
        <f t="shared" si="10"/>
        <v>18803.150000000001</v>
      </c>
      <c r="E342">
        <v>20640.13</v>
      </c>
      <c r="F342" s="1789">
        <v>8.8999999999999996E-2</v>
      </c>
      <c r="G342">
        <f t="shared" si="11"/>
        <v>18803.150000000001</v>
      </c>
    </row>
    <row r="343" spans="1:7" ht="12.75" customHeight="1">
      <c r="A343" s="3">
        <v>33953</v>
      </c>
      <c r="B343" s="4" t="s">
        <v>352</v>
      </c>
      <c r="C343" s="3" t="s">
        <v>154</v>
      </c>
      <c r="D343" s="5">
        <f t="shared" si="10"/>
        <v>111.99</v>
      </c>
      <c r="E343">
        <v>122.94</v>
      </c>
      <c r="F343" s="1789">
        <v>8.8999999999999996E-2</v>
      </c>
      <c r="G343">
        <f t="shared" si="11"/>
        <v>111.99</v>
      </c>
    </row>
    <row r="344" spans="1:7" ht="12.75" customHeight="1">
      <c r="A344" s="3">
        <v>40817</v>
      </c>
      <c r="B344" s="4" t="s">
        <v>353</v>
      </c>
      <c r="C344" s="3" t="s">
        <v>156</v>
      </c>
      <c r="D344" s="5">
        <f t="shared" si="10"/>
        <v>19706.310000000001</v>
      </c>
      <c r="E344">
        <v>21631.52</v>
      </c>
      <c r="F344" s="1789">
        <v>8.8999999999999996E-2</v>
      </c>
      <c r="G344">
        <f t="shared" si="11"/>
        <v>19706.310000000001</v>
      </c>
    </row>
    <row r="345" spans="1:7" ht="12.75" customHeight="1">
      <c r="A345" s="3">
        <v>13348</v>
      </c>
      <c r="B345" s="4" t="s">
        <v>354</v>
      </c>
      <c r="C345" s="3" t="s">
        <v>6</v>
      </c>
      <c r="D345" s="5">
        <f t="shared" si="10"/>
        <v>1.48</v>
      </c>
      <c r="E345">
        <v>1.63</v>
      </c>
      <c r="F345" s="1789">
        <v>8.8999999999999996E-2</v>
      </c>
      <c r="G345">
        <f t="shared" si="11"/>
        <v>1.48</v>
      </c>
    </row>
    <row r="346" spans="1:7" ht="12.75" customHeight="1">
      <c r="A346" s="3">
        <v>39212</v>
      </c>
      <c r="B346" s="4" t="s">
        <v>355</v>
      </c>
      <c r="C346" s="3" t="s">
        <v>6</v>
      </c>
      <c r="D346" s="5">
        <f t="shared" si="10"/>
        <v>1.63</v>
      </c>
      <c r="E346">
        <v>1.8</v>
      </c>
      <c r="F346" s="1789">
        <v>8.8999999999999996E-2</v>
      </c>
      <c r="G346">
        <f t="shared" si="11"/>
        <v>1.63</v>
      </c>
    </row>
    <row r="347" spans="1:7" ht="12.75" customHeight="1">
      <c r="A347" s="3">
        <v>39211</v>
      </c>
      <c r="B347" s="4" t="s">
        <v>356</v>
      </c>
      <c r="C347" s="3" t="s">
        <v>6</v>
      </c>
      <c r="D347" s="5">
        <f t="shared" si="10"/>
        <v>1.46</v>
      </c>
      <c r="E347">
        <v>1.61</v>
      </c>
      <c r="F347" s="1789">
        <v>8.8999999999999996E-2</v>
      </c>
      <c r="G347">
        <f t="shared" si="11"/>
        <v>1.46</v>
      </c>
    </row>
    <row r="348" spans="1:7" ht="12.75" customHeight="1">
      <c r="A348" s="3">
        <v>39208</v>
      </c>
      <c r="B348" s="4" t="s">
        <v>357</v>
      </c>
      <c r="C348" s="3" t="s">
        <v>6</v>
      </c>
      <c r="D348" s="5">
        <f t="shared" si="10"/>
        <v>0.44</v>
      </c>
      <c r="E348">
        <v>0.49</v>
      </c>
      <c r="F348" s="1789">
        <v>8.8999999999999996E-2</v>
      </c>
      <c r="G348">
        <f t="shared" si="11"/>
        <v>0.44</v>
      </c>
    </row>
    <row r="349" spans="1:7" ht="12.75" customHeight="1">
      <c r="A349" s="3">
        <v>39210</v>
      </c>
      <c r="B349" s="4" t="s">
        <v>358</v>
      </c>
      <c r="C349" s="3" t="s">
        <v>6</v>
      </c>
      <c r="D349" s="5">
        <f t="shared" si="10"/>
        <v>0.81</v>
      </c>
      <c r="E349">
        <v>0.9</v>
      </c>
      <c r="F349" s="1789">
        <v>8.8999999999999996E-2</v>
      </c>
      <c r="G349">
        <f t="shared" si="11"/>
        <v>0.81</v>
      </c>
    </row>
    <row r="350" spans="1:7" ht="12.75" customHeight="1">
      <c r="A350" s="3">
        <v>39214</v>
      </c>
      <c r="B350" s="4" t="s">
        <v>359</v>
      </c>
      <c r="C350" s="3" t="s">
        <v>6</v>
      </c>
      <c r="D350" s="5">
        <f t="shared" si="10"/>
        <v>3.03</v>
      </c>
      <c r="E350">
        <v>3.33</v>
      </c>
      <c r="F350" s="1789">
        <v>8.8999999999999996E-2</v>
      </c>
      <c r="G350">
        <f t="shared" si="11"/>
        <v>3.03</v>
      </c>
    </row>
    <row r="351" spans="1:7" ht="12.75" customHeight="1">
      <c r="A351" s="3">
        <v>39213</v>
      </c>
      <c r="B351" s="4" t="s">
        <v>360</v>
      </c>
      <c r="C351" s="3" t="s">
        <v>6</v>
      </c>
      <c r="D351" s="5">
        <f t="shared" si="10"/>
        <v>2.14</v>
      </c>
      <c r="E351">
        <v>2.36</v>
      </c>
      <c r="F351" s="1789">
        <v>8.8999999999999996E-2</v>
      </c>
      <c r="G351">
        <f t="shared" si="11"/>
        <v>2.14</v>
      </c>
    </row>
    <row r="352" spans="1:7" ht="12.75" customHeight="1">
      <c r="A352" s="3">
        <v>39209</v>
      </c>
      <c r="B352" s="4" t="s">
        <v>361</v>
      </c>
      <c r="C352" s="3" t="s">
        <v>6</v>
      </c>
      <c r="D352" s="5">
        <f t="shared" si="10"/>
        <v>0.52</v>
      </c>
      <c r="E352">
        <v>0.57999999999999996</v>
      </c>
      <c r="F352" s="1789">
        <v>8.8999999999999996E-2</v>
      </c>
      <c r="G352">
        <f t="shared" si="11"/>
        <v>0.52</v>
      </c>
    </row>
    <row r="353" spans="1:7" ht="12.75" customHeight="1">
      <c r="A353" s="3">
        <v>39207</v>
      </c>
      <c r="B353" s="4" t="s">
        <v>362</v>
      </c>
      <c r="C353" s="3" t="s">
        <v>6</v>
      </c>
      <c r="D353" s="5">
        <f t="shared" si="10"/>
        <v>0.81</v>
      </c>
      <c r="E353">
        <v>0.9</v>
      </c>
      <c r="F353" s="1789">
        <v>8.8999999999999996E-2</v>
      </c>
      <c r="G353">
        <f t="shared" si="11"/>
        <v>0.81</v>
      </c>
    </row>
    <row r="354" spans="1:7" ht="12.75" customHeight="1">
      <c r="A354" s="3">
        <v>39215</v>
      </c>
      <c r="B354" s="4" t="s">
        <v>363</v>
      </c>
      <c r="C354" s="3" t="s">
        <v>6</v>
      </c>
      <c r="D354" s="5">
        <f t="shared" si="10"/>
        <v>5.53</v>
      </c>
      <c r="E354">
        <v>6.08</v>
      </c>
      <c r="F354" s="1789">
        <v>8.8999999999999996E-2</v>
      </c>
      <c r="G354">
        <f t="shared" si="11"/>
        <v>5.53</v>
      </c>
    </row>
    <row r="355" spans="1:7" ht="12.75" customHeight="1">
      <c r="A355" s="3">
        <v>39216</v>
      </c>
      <c r="B355" s="4" t="s">
        <v>364</v>
      </c>
      <c r="C355" s="3" t="s">
        <v>6</v>
      </c>
      <c r="D355" s="5">
        <f t="shared" si="10"/>
        <v>7.72</v>
      </c>
      <c r="E355">
        <v>8.48</v>
      </c>
      <c r="F355" s="1789">
        <v>8.8999999999999996E-2</v>
      </c>
      <c r="G355">
        <f t="shared" si="11"/>
        <v>7.72</v>
      </c>
    </row>
    <row r="356" spans="1:7" ht="12.75" customHeight="1">
      <c r="A356" s="3">
        <v>11267</v>
      </c>
      <c r="B356" s="4" t="s">
        <v>365</v>
      </c>
      <c r="C356" s="3" t="s">
        <v>6</v>
      </c>
      <c r="D356" s="5">
        <f t="shared" si="10"/>
        <v>1.3</v>
      </c>
      <c r="E356">
        <v>1.43</v>
      </c>
      <c r="F356" s="1789">
        <v>8.8999999999999996E-2</v>
      </c>
      <c r="G356">
        <f t="shared" si="11"/>
        <v>1.3</v>
      </c>
    </row>
    <row r="357" spans="1:7" ht="12.75" customHeight="1">
      <c r="A357" s="3">
        <v>379</v>
      </c>
      <c r="B357" s="4" t="s">
        <v>366</v>
      </c>
      <c r="C357" s="3" t="s">
        <v>6</v>
      </c>
      <c r="D357" s="5">
        <f t="shared" si="10"/>
        <v>1.3</v>
      </c>
      <c r="E357">
        <v>1.43</v>
      </c>
      <c r="F357" s="1789">
        <v>8.8999999999999996E-2</v>
      </c>
      <c r="G357">
        <f t="shared" si="11"/>
        <v>1.3</v>
      </c>
    </row>
    <row r="358" spans="1:7" ht="12.75" customHeight="1">
      <c r="A358" s="3">
        <v>510</v>
      </c>
      <c r="B358" s="4" t="s">
        <v>367</v>
      </c>
      <c r="C358" s="3" t="s">
        <v>54</v>
      </c>
      <c r="D358" s="5">
        <f t="shared" si="10"/>
        <v>23.27</v>
      </c>
      <c r="E358">
        <v>25.55</v>
      </c>
      <c r="F358" s="1789">
        <v>8.8999999999999996E-2</v>
      </c>
      <c r="G358">
        <f t="shared" si="11"/>
        <v>23.27</v>
      </c>
    </row>
    <row r="359" spans="1:7" ht="12.75" customHeight="1">
      <c r="A359" s="3">
        <v>516</v>
      </c>
      <c r="B359" s="4" t="s">
        <v>368</v>
      </c>
      <c r="C359" s="3" t="s">
        <v>54</v>
      </c>
      <c r="D359" s="5">
        <f t="shared" si="10"/>
        <v>27.57</v>
      </c>
      <c r="E359">
        <v>30.27</v>
      </c>
      <c r="F359" s="1789">
        <v>8.8999999999999996E-2</v>
      </c>
      <c r="G359">
        <f t="shared" si="11"/>
        <v>27.57</v>
      </c>
    </row>
    <row r="360" spans="1:7" ht="12.75" customHeight="1">
      <c r="A360" s="3">
        <v>509</v>
      </c>
      <c r="B360" s="4" t="s">
        <v>369</v>
      </c>
      <c r="C360" s="3" t="s">
        <v>54</v>
      </c>
      <c r="D360" s="5">
        <f t="shared" si="10"/>
        <v>30.94</v>
      </c>
      <c r="E360">
        <v>33.97</v>
      </c>
      <c r="F360" s="1789">
        <v>8.8999999999999996E-2</v>
      </c>
      <c r="G360">
        <f t="shared" si="11"/>
        <v>30.94</v>
      </c>
    </row>
    <row r="361" spans="1:7" ht="12.75" customHeight="1">
      <c r="A361" s="3">
        <v>40331</v>
      </c>
      <c r="B361" s="4" t="s">
        <v>370</v>
      </c>
      <c r="C361" s="3" t="s">
        <v>154</v>
      </c>
      <c r="D361" s="5">
        <f t="shared" si="10"/>
        <v>9.1</v>
      </c>
      <c r="E361">
        <v>9.99</v>
      </c>
      <c r="F361" s="1789">
        <v>8.8999999999999996E-2</v>
      </c>
      <c r="G361">
        <f t="shared" si="11"/>
        <v>9.1</v>
      </c>
    </row>
    <row r="362" spans="1:7" ht="12.75" customHeight="1">
      <c r="A362" s="3">
        <v>40930</v>
      </c>
      <c r="B362" s="4" t="s">
        <v>371</v>
      </c>
      <c r="C362" s="3" t="s">
        <v>156</v>
      </c>
      <c r="D362" s="5">
        <f t="shared" si="10"/>
        <v>1603.73</v>
      </c>
      <c r="E362">
        <v>1760.41</v>
      </c>
      <c r="F362" s="1789">
        <v>8.8999999999999996E-2</v>
      </c>
      <c r="G362">
        <f t="shared" si="11"/>
        <v>1603.73</v>
      </c>
    </row>
    <row r="363" spans="1:7" ht="12.75" customHeight="1">
      <c r="A363" s="3">
        <v>377</v>
      </c>
      <c r="B363" s="4" t="s">
        <v>372</v>
      </c>
      <c r="C363" s="3" t="s">
        <v>6</v>
      </c>
      <c r="D363" s="5">
        <f t="shared" si="10"/>
        <v>35.17</v>
      </c>
      <c r="E363">
        <v>38.61</v>
      </c>
      <c r="F363" s="1789">
        <v>8.8999999999999996E-2</v>
      </c>
      <c r="G363">
        <f t="shared" si="11"/>
        <v>35.17</v>
      </c>
    </row>
    <row r="364" spans="1:7" ht="12.75" customHeight="1">
      <c r="A364" s="3">
        <v>11761</v>
      </c>
      <c r="B364" s="4" t="s">
        <v>373</v>
      </c>
      <c r="C364" s="3" t="s">
        <v>6</v>
      </c>
      <c r="D364" s="5">
        <f t="shared" si="10"/>
        <v>74.84</v>
      </c>
      <c r="E364">
        <v>82.16</v>
      </c>
      <c r="F364" s="1789">
        <v>8.8999999999999996E-2</v>
      </c>
      <c r="G364">
        <f t="shared" si="11"/>
        <v>74.84</v>
      </c>
    </row>
    <row r="365" spans="1:7" ht="12.75" customHeight="1">
      <c r="A365" s="3">
        <v>7588</v>
      </c>
      <c r="B365" s="4" t="s">
        <v>374</v>
      </c>
      <c r="C365" s="3" t="s">
        <v>6</v>
      </c>
      <c r="D365" s="5">
        <f t="shared" si="10"/>
        <v>48</v>
      </c>
      <c r="E365">
        <v>52.7</v>
      </c>
      <c r="F365" s="1789">
        <v>8.8999999999999996E-2</v>
      </c>
      <c r="G365">
        <f t="shared" si="11"/>
        <v>48</v>
      </c>
    </row>
    <row r="366" spans="1:7" ht="12.75" customHeight="1">
      <c r="A366" s="3">
        <v>34551</v>
      </c>
      <c r="B366" s="4" t="s">
        <v>375</v>
      </c>
      <c r="C366" s="3" t="s">
        <v>154</v>
      </c>
      <c r="D366" s="5">
        <f t="shared" si="10"/>
        <v>13.4</v>
      </c>
      <c r="E366">
        <v>14.72</v>
      </c>
      <c r="F366" s="1789">
        <v>8.8999999999999996E-2</v>
      </c>
      <c r="G366">
        <f t="shared" si="11"/>
        <v>13.4</v>
      </c>
    </row>
    <row r="367" spans="1:7" ht="12.75" customHeight="1">
      <c r="A367" s="3">
        <v>41078</v>
      </c>
      <c r="B367" s="4" t="s">
        <v>376</v>
      </c>
      <c r="C367" s="3" t="s">
        <v>156</v>
      </c>
      <c r="D367" s="5">
        <f t="shared" si="10"/>
        <v>2360.41</v>
      </c>
      <c r="E367">
        <v>2591.02</v>
      </c>
      <c r="F367" s="1789">
        <v>8.8999999999999996E-2</v>
      </c>
      <c r="G367">
        <f t="shared" si="11"/>
        <v>2360.41</v>
      </c>
    </row>
    <row r="368" spans="1:7" ht="12.75" customHeight="1">
      <c r="A368" s="3">
        <v>246</v>
      </c>
      <c r="B368" s="4" t="s">
        <v>377</v>
      </c>
      <c r="C368" s="3" t="s">
        <v>154</v>
      </c>
      <c r="D368" s="5">
        <f t="shared" si="10"/>
        <v>14.52</v>
      </c>
      <c r="E368">
        <v>15.94</v>
      </c>
      <c r="F368" s="1789">
        <v>8.8999999999999996E-2</v>
      </c>
      <c r="G368">
        <f t="shared" si="11"/>
        <v>14.52</v>
      </c>
    </row>
    <row r="369" spans="1:7" ht="12.75" customHeight="1">
      <c r="A369" s="3">
        <v>40927</v>
      </c>
      <c r="B369" s="4" t="s">
        <v>378</v>
      </c>
      <c r="C369" s="3" t="s">
        <v>156</v>
      </c>
      <c r="D369" s="5">
        <f t="shared" si="10"/>
        <v>2557.11</v>
      </c>
      <c r="E369">
        <v>2806.93</v>
      </c>
      <c r="F369" s="1789">
        <v>8.8999999999999996E-2</v>
      </c>
      <c r="G369">
        <f t="shared" si="11"/>
        <v>2557.11</v>
      </c>
    </row>
    <row r="370" spans="1:7" ht="12.75" customHeight="1">
      <c r="A370" s="3">
        <v>2350</v>
      </c>
      <c r="B370" s="4" t="s">
        <v>379</v>
      </c>
      <c r="C370" s="3" t="s">
        <v>154</v>
      </c>
      <c r="D370" s="5">
        <f t="shared" si="10"/>
        <v>14.01</v>
      </c>
      <c r="E370">
        <v>15.38</v>
      </c>
      <c r="F370" s="1789">
        <v>8.8999999999999996E-2</v>
      </c>
      <c r="G370">
        <f t="shared" si="11"/>
        <v>14.01</v>
      </c>
    </row>
    <row r="371" spans="1:7" ht="12.75" customHeight="1">
      <c r="A371" s="3">
        <v>40812</v>
      </c>
      <c r="B371" s="4" t="s">
        <v>380</v>
      </c>
      <c r="C371" s="3" t="s">
        <v>156</v>
      </c>
      <c r="D371" s="5">
        <f t="shared" si="10"/>
        <v>2468.13</v>
      </c>
      <c r="E371">
        <v>2709.26</v>
      </c>
      <c r="F371" s="1789">
        <v>8.8999999999999996E-2</v>
      </c>
      <c r="G371">
        <f t="shared" si="11"/>
        <v>2468.13</v>
      </c>
    </row>
    <row r="372" spans="1:7" ht="12.75" customHeight="1">
      <c r="A372" s="3">
        <v>245</v>
      </c>
      <c r="B372" s="4" t="s">
        <v>381</v>
      </c>
      <c r="C372" s="3" t="s">
        <v>154</v>
      </c>
      <c r="D372" s="5">
        <f t="shared" si="10"/>
        <v>22.52</v>
      </c>
      <c r="E372">
        <v>24.73</v>
      </c>
      <c r="F372" s="1789">
        <v>8.8999999999999996E-2</v>
      </c>
      <c r="G372">
        <f t="shared" si="11"/>
        <v>22.52</v>
      </c>
    </row>
    <row r="373" spans="1:7" ht="12.75" customHeight="1">
      <c r="A373" s="3">
        <v>41090</v>
      </c>
      <c r="B373" s="4" t="s">
        <v>382</v>
      </c>
      <c r="C373" s="3" t="s">
        <v>156</v>
      </c>
      <c r="D373" s="5">
        <f t="shared" si="10"/>
        <v>3965.5</v>
      </c>
      <c r="E373">
        <v>4352.91</v>
      </c>
      <c r="F373" s="1789">
        <v>8.8999999999999996E-2</v>
      </c>
      <c r="G373">
        <f t="shared" si="11"/>
        <v>3965.5</v>
      </c>
    </row>
    <row r="374" spans="1:7" ht="12.75" customHeight="1">
      <c r="A374" s="3">
        <v>251</v>
      </c>
      <c r="B374" s="4" t="s">
        <v>383</v>
      </c>
      <c r="C374" s="3" t="s">
        <v>154</v>
      </c>
      <c r="D374" s="5">
        <f t="shared" si="10"/>
        <v>14.52</v>
      </c>
      <c r="E374">
        <v>15.94</v>
      </c>
      <c r="F374" s="1789">
        <v>8.8999999999999996E-2</v>
      </c>
      <c r="G374">
        <f t="shared" si="11"/>
        <v>14.52</v>
      </c>
    </row>
    <row r="375" spans="1:7" ht="12.75" customHeight="1">
      <c r="A375" s="3">
        <v>40975</v>
      </c>
      <c r="B375" s="4" t="s">
        <v>384</v>
      </c>
      <c r="C375" s="3" t="s">
        <v>156</v>
      </c>
      <c r="D375" s="5">
        <f t="shared" si="10"/>
        <v>2557.11</v>
      </c>
      <c r="E375">
        <v>2806.93</v>
      </c>
      <c r="F375" s="1789">
        <v>8.8999999999999996E-2</v>
      </c>
      <c r="G375">
        <f t="shared" si="11"/>
        <v>2557.11</v>
      </c>
    </row>
    <row r="376" spans="1:7" ht="12.75" customHeight="1">
      <c r="A376" s="3">
        <v>6127</v>
      </c>
      <c r="B376" s="4" t="s">
        <v>385</v>
      </c>
      <c r="C376" s="3" t="s">
        <v>154</v>
      </c>
      <c r="D376" s="5">
        <f t="shared" si="10"/>
        <v>14.52</v>
      </c>
      <c r="E376">
        <v>15.94</v>
      </c>
      <c r="F376" s="1789">
        <v>8.8999999999999996E-2</v>
      </c>
      <c r="G376">
        <f t="shared" si="11"/>
        <v>14.52</v>
      </c>
    </row>
    <row r="377" spans="1:7" ht="12.75" customHeight="1">
      <c r="A377" s="3">
        <v>41072</v>
      </c>
      <c r="B377" s="4" t="s">
        <v>386</v>
      </c>
      <c r="C377" s="3" t="s">
        <v>156</v>
      </c>
      <c r="D377" s="5">
        <f t="shared" si="10"/>
        <v>2557.11</v>
      </c>
      <c r="E377">
        <v>2806.93</v>
      </c>
      <c r="F377" s="1789">
        <v>8.8999999999999996E-2</v>
      </c>
      <c r="G377">
        <f t="shared" si="11"/>
        <v>2557.11</v>
      </c>
    </row>
    <row r="378" spans="1:7" ht="12.75" customHeight="1">
      <c r="A378" s="3">
        <v>6121</v>
      </c>
      <c r="B378" s="4" t="s">
        <v>387</v>
      </c>
      <c r="C378" s="3" t="s">
        <v>154</v>
      </c>
      <c r="D378" s="5">
        <f t="shared" si="10"/>
        <v>13.42</v>
      </c>
      <c r="E378">
        <v>14.74</v>
      </c>
      <c r="F378" s="1789">
        <v>8.8999999999999996E-2</v>
      </c>
      <c r="G378">
        <f t="shared" si="11"/>
        <v>13.42</v>
      </c>
    </row>
    <row r="379" spans="1:7" ht="12.75" customHeight="1">
      <c r="A379" s="3">
        <v>41071</v>
      </c>
      <c r="B379" s="4" t="s">
        <v>388</v>
      </c>
      <c r="C379" s="3" t="s">
        <v>156</v>
      </c>
      <c r="D379" s="5">
        <f t="shared" si="10"/>
        <v>2363.5500000000002</v>
      </c>
      <c r="E379">
        <v>2594.46</v>
      </c>
      <c r="F379" s="1789">
        <v>8.8999999999999996E-2</v>
      </c>
      <c r="G379">
        <f t="shared" si="11"/>
        <v>2363.5500000000002</v>
      </c>
    </row>
    <row r="380" spans="1:7" ht="12.75" customHeight="1">
      <c r="A380" s="3">
        <v>244</v>
      </c>
      <c r="B380" s="4" t="s">
        <v>389</v>
      </c>
      <c r="C380" s="3" t="s">
        <v>154</v>
      </c>
      <c r="D380" s="5">
        <f t="shared" si="10"/>
        <v>8.09</v>
      </c>
      <c r="E380">
        <v>8.89</v>
      </c>
      <c r="F380" s="1789">
        <v>8.8999999999999996E-2</v>
      </c>
      <c r="G380">
        <f t="shared" si="11"/>
        <v>8.09</v>
      </c>
    </row>
    <row r="381" spans="1:7" ht="12.75" customHeight="1">
      <c r="A381" s="3">
        <v>41093</v>
      </c>
      <c r="B381" s="4" t="s">
        <v>390</v>
      </c>
      <c r="C381" s="3" t="s">
        <v>156</v>
      </c>
      <c r="D381" s="5">
        <f t="shared" si="10"/>
        <v>1427.66</v>
      </c>
      <c r="E381">
        <v>1567.14</v>
      </c>
      <c r="F381" s="1789">
        <v>8.8999999999999996E-2</v>
      </c>
      <c r="G381">
        <f t="shared" si="11"/>
        <v>1427.66</v>
      </c>
    </row>
    <row r="382" spans="1:7" ht="12.75" customHeight="1">
      <c r="A382" s="3">
        <v>532</v>
      </c>
      <c r="B382" s="4" t="s">
        <v>391</v>
      </c>
      <c r="C382" s="3" t="s">
        <v>154</v>
      </c>
      <c r="D382" s="5">
        <f t="shared" si="10"/>
        <v>22.64</v>
      </c>
      <c r="E382">
        <v>24.86</v>
      </c>
      <c r="F382" s="1789">
        <v>8.8999999999999996E-2</v>
      </c>
      <c r="G382">
        <f t="shared" si="11"/>
        <v>22.64</v>
      </c>
    </row>
    <row r="383" spans="1:7" ht="12.75" customHeight="1">
      <c r="A383" s="3">
        <v>40931</v>
      </c>
      <c r="B383" s="4" t="s">
        <v>392</v>
      </c>
      <c r="C383" s="3" t="s">
        <v>156</v>
      </c>
      <c r="D383" s="5">
        <f t="shared" si="10"/>
        <v>3987.75</v>
      </c>
      <c r="E383">
        <v>4377.34</v>
      </c>
      <c r="F383" s="1789">
        <v>8.8999999999999996E-2</v>
      </c>
      <c r="G383">
        <f t="shared" si="11"/>
        <v>3987.75</v>
      </c>
    </row>
    <row r="384" spans="1:7" ht="12.75" customHeight="1">
      <c r="A384" s="3">
        <v>36150</v>
      </c>
      <c r="B384" s="4" t="s">
        <v>393</v>
      </c>
      <c r="C384" s="3" t="s">
        <v>6</v>
      </c>
      <c r="D384" s="5">
        <f t="shared" si="10"/>
        <v>43.01</v>
      </c>
      <c r="E384">
        <v>47.22</v>
      </c>
      <c r="F384" s="1789">
        <v>8.8999999999999996E-2</v>
      </c>
      <c r="G384">
        <f t="shared" si="11"/>
        <v>43.01</v>
      </c>
    </row>
    <row r="385" spans="1:7" ht="12.75" customHeight="1">
      <c r="A385" s="3">
        <v>4760</v>
      </c>
      <c r="B385" s="4" t="s">
        <v>394</v>
      </c>
      <c r="C385" s="3" t="s">
        <v>154</v>
      </c>
      <c r="D385" s="5">
        <f t="shared" si="10"/>
        <v>18.02</v>
      </c>
      <c r="E385">
        <v>19.79</v>
      </c>
      <c r="F385" s="1789">
        <v>8.8999999999999996E-2</v>
      </c>
      <c r="G385">
        <f t="shared" si="11"/>
        <v>18.02</v>
      </c>
    </row>
    <row r="386" spans="1:7" ht="12.75" customHeight="1">
      <c r="A386" s="3">
        <v>41069</v>
      </c>
      <c r="B386" s="4" t="s">
        <v>395</v>
      </c>
      <c r="C386" s="3" t="s">
        <v>156</v>
      </c>
      <c r="D386" s="5">
        <f t="shared" si="10"/>
        <v>3172.4</v>
      </c>
      <c r="E386">
        <v>3482.33</v>
      </c>
      <c r="F386" s="1789">
        <v>8.8999999999999996E-2</v>
      </c>
      <c r="G386">
        <f t="shared" si="11"/>
        <v>3172.4</v>
      </c>
    </row>
    <row r="387" spans="1:7" ht="12.75" customHeight="1">
      <c r="A387" s="3">
        <v>10422</v>
      </c>
      <c r="B387" s="4" t="s">
        <v>396</v>
      </c>
      <c r="C387" s="3" t="s">
        <v>6</v>
      </c>
      <c r="D387" s="5">
        <f t="shared" ref="D387:D450" si="12">G387</f>
        <v>340.56</v>
      </c>
      <c r="E387">
        <v>373.84</v>
      </c>
      <c r="F387" s="1789">
        <v>8.8999999999999996E-2</v>
      </c>
      <c r="G387">
        <f t="shared" ref="G387:G450" si="13">TRUNC((1-F387)*E387,2)</f>
        <v>340.56</v>
      </c>
    </row>
    <row r="388" spans="1:7" ht="12.75" customHeight="1">
      <c r="A388" s="3">
        <v>44019</v>
      </c>
      <c r="B388" s="4" t="s">
        <v>397</v>
      </c>
      <c r="C388" s="3" t="s">
        <v>6</v>
      </c>
      <c r="D388" s="5">
        <f t="shared" si="12"/>
        <v>471.42</v>
      </c>
      <c r="E388">
        <v>517.48</v>
      </c>
      <c r="F388" s="1789">
        <v>8.8999999999999996E-2</v>
      </c>
      <c r="G388">
        <f t="shared" si="13"/>
        <v>471.42</v>
      </c>
    </row>
    <row r="389" spans="1:7" ht="12.75" customHeight="1">
      <c r="A389" s="3">
        <v>36520</v>
      </c>
      <c r="B389" s="4" t="s">
        <v>398</v>
      </c>
      <c r="C389" s="3" t="s">
        <v>6</v>
      </c>
      <c r="D389" s="5">
        <f t="shared" si="12"/>
        <v>573.20000000000005</v>
      </c>
      <c r="E389">
        <v>629.20000000000005</v>
      </c>
      <c r="F389" s="1789">
        <v>8.8999999999999996E-2</v>
      </c>
      <c r="G389">
        <f t="shared" si="13"/>
        <v>573.20000000000005</v>
      </c>
    </row>
    <row r="390" spans="1:7" ht="12.75" customHeight="1">
      <c r="A390" s="3">
        <v>42319</v>
      </c>
      <c r="B390" s="4" t="s">
        <v>399</v>
      </c>
      <c r="C390" s="3" t="s">
        <v>6</v>
      </c>
      <c r="D390" s="5">
        <f t="shared" si="12"/>
        <v>513.62</v>
      </c>
      <c r="E390">
        <v>563.79999999999995</v>
      </c>
      <c r="F390" s="1789">
        <v>8.8999999999999996E-2</v>
      </c>
      <c r="G390">
        <f t="shared" si="13"/>
        <v>513.62</v>
      </c>
    </row>
    <row r="391" spans="1:7" ht="12.75" customHeight="1">
      <c r="A391" s="3">
        <v>10420</v>
      </c>
      <c r="B391" s="4" t="s">
        <v>400</v>
      </c>
      <c r="C391" s="3" t="s">
        <v>6</v>
      </c>
      <c r="D391" s="5">
        <f t="shared" si="12"/>
        <v>182.2</v>
      </c>
      <c r="E391">
        <v>200</v>
      </c>
      <c r="F391" s="1789">
        <v>8.8999999999999996E-2</v>
      </c>
      <c r="G391">
        <f t="shared" si="13"/>
        <v>182.2</v>
      </c>
    </row>
    <row r="392" spans="1:7" ht="12.75" customHeight="1">
      <c r="A392" s="3">
        <v>10421</v>
      </c>
      <c r="B392" s="4" t="s">
        <v>401</v>
      </c>
      <c r="C392" s="3" t="s">
        <v>6</v>
      </c>
      <c r="D392" s="5">
        <f t="shared" si="12"/>
        <v>200.21</v>
      </c>
      <c r="E392">
        <v>219.77</v>
      </c>
      <c r="F392" s="1789">
        <v>8.8999999999999996E-2</v>
      </c>
      <c r="G392">
        <f t="shared" si="13"/>
        <v>200.21</v>
      </c>
    </row>
    <row r="393" spans="1:7" ht="12.75" customHeight="1">
      <c r="A393" s="3">
        <v>11786</v>
      </c>
      <c r="B393" s="4" t="s">
        <v>402</v>
      </c>
      <c r="C393" s="3" t="s">
        <v>6</v>
      </c>
      <c r="D393" s="5">
        <f t="shared" si="12"/>
        <v>403.7</v>
      </c>
      <c r="E393">
        <v>443.15</v>
      </c>
      <c r="F393" s="1789">
        <v>8.8999999999999996E-2</v>
      </c>
      <c r="G393">
        <f t="shared" si="13"/>
        <v>403.7</v>
      </c>
    </row>
    <row r="394" spans="1:7" ht="12.75" customHeight="1">
      <c r="A394" s="3">
        <v>4815</v>
      </c>
      <c r="B394" s="4" t="s">
        <v>403</v>
      </c>
      <c r="C394" s="3" t="s">
        <v>6</v>
      </c>
      <c r="D394" s="5">
        <f t="shared" si="12"/>
        <v>6.07</v>
      </c>
      <c r="E394">
        <v>6.67</v>
      </c>
      <c r="F394" s="1789">
        <v>8.8999999999999996E-2</v>
      </c>
      <c r="G394">
        <f t="shared" si="13"/>
        <v>6.07</v>
      </c>
    </row>
    <row r="395" spans="1:7" ht="12.75" customHeight="1">
      <c r="A395" s="3">
        <v>541</v>
      </c>
      <c r="B395" s="4" t="s">
        <v>404</v>
      </c>
      <c r="C395" s="3" t="s">
        <v>6</v>
      </c>
      <c r="D395" s="5">
        <f t="shared" si="12"/>
        <v>204.92</v>
      </c>
      <c r="E395">
        <v>224.95</v>
      </c>
      <c r="F395" s="1789">
        <v>8.8999999999999996E-2</v>
      </c>
      <c r="G395">
        <f t="shared" si="13"/>
        <v>204.92</v>
      </c>
    </row>
    <row r="396" spans="1:7" ht="12.75" customHeight="1">
      <c r="A396" s="3">
        <v>542</v>
      </c>
      <c r="B396" s="4" t="s">
        <v>405</v>
      </c>
      <c r="C396" s="3" t="s">
        <v>6</v>
      </c>
      <c r="D396" s="5">
        <f t="shared" si="12"/>
        <v>256.87</v>
      </c>
      <c r="E396">
        <v>281.97000000000003</v>
      </c>
      <c r="F396" s="1789">
        <v>8.8999999999999996E-2</v>
      </c>
      <c r="G396">
        <f t="shared" si="13"/>
        <v>256.87</v>
      </c>
    </row>
    <row r="397" spans="1:7" ht="12.75" customHeight="1">
      <c r="A397" s="3">
        <v>540</v>
      </c>
      <c r="B397" s="4" t="s">
        <v>406</v>
      </c>
      <c r="C397" s="3" t="s">
        <v>6</v>
      </c>
      <c r="D397" s="5">
        <f t="shared" si="12"/>
        <v>578.87</v>
      </c>
      <c r="E397">
        <v>635.42999999999995</v>
      </c>
      <c r="F397" s="1789">
        <v>8.8999999999999996E-2</v>
      </c>
      <c r="G397">
        <f t="shared" si="13"/>
        <v>578.87</v>
      </c>
    </row>
    <row r="398" spans="1:7" ht="12.75" customHeight="1">
      <c r="A398" s="3">
        <v>38364</v>
      </c>
      <c r="B398" s="4" t="s">
        <v>407</v>
      </c>
      <c r="C398" s="3" t="s">
        <v>6</v>
      </c>
      <c r="D398" s="5">
        <f t="shared" si="12"/>
        <v>798.31</v>
      </c>
      <c r="E398">
        <v>876.31</v>
      </c>
      <c r="F398" s="1789">
        <v>8.8999999999999996E-2</v>
      </c>
      <c r="G398">
        <f t="shared" si="13"/>
        <v>798.31</v>
      </c>
    </row>
    <row r="399" spans="1:7" ht="12.75" customHeight="1">
      <c r="A399" s="3">
        <v>11692</v>
      </c>
      <c r="B399" s="4" t="s">
        <v>408</v>
      </c>
      <c r="C399" s="3" t="s">
        <v>409</v>
      </c>
      <c r="D399" s="5">
        <f t="shared" si="12"/>
        <v>501.29</v>
      </c>
      <c r="E399">
        <v>550.27</v>
      </c>
      <c r="F399" s="1789">
        <v>8.8999999999999996E-2</v>
      </c>
      <c r="G399">
        <f t="shared" si="13"/>
        <v>501.29</v>
      </c>
    </row>
    <row r="400" spans="1:7" ht="12.75" customHeight="1">
      <c r="A400" s="3">
        <v>1746</v>
      </c>
      <c r="B400" s="4" t="s">
        <v>410</v>
      </c>
      <c r="C400" s="3" t="s">
        <v>6</v>
      </c>
      <c r="D400" s="5">
        <f t="shared" si="12"/>
        <v>227.65</v>
      </c>
      <c r="E400">
        <v>249.9</v>
      </c>
      <c r="F400" s="1789">
        <v>8.8999999999999996E-2</v>
      </c>
      <c r="G400">
        <f t="shared" si="13"/>
        <v>227.65</v>
      </c>
    </row>
    <row r="401" spans="1:7" ht="12.75" customHeight="1">
      <c r="A401" s="3">
        <v>1748</v>
      </c>
      <c r="B401" s="4" t="s">
        <v>411</v>
      </c>
      <c r="C401" s="3" t="s">
        <v>6</v>
      </c>
      <c r="D401" s="5">
        <f t="shared" si="12"/>
        <v>302.72000000000003</v>
      </c>
      <c r="E401">
        <v>332.3</v>
      </c>
      <c r="F401" s="1789">
        <v>8.8999999999999996E-2</v>
      </c>
      <c r="G401">
        <f t="shared" si="13"/>
        <v>302.72000000000003</v>
      </c>
    </row>
    <row r="402" spans="1:7" ht="12.75" customHeight="1">
      <c r="A402" s="3">
        <v>1749</v>
      </c>
      <c r="B402" s="4" t="s">
        <v>412</v>
      </c>
      <c r="C402" s="3" t="s">
        <v>6</v>
      </c>
      <c r="D402" s="5">
        <f t="shared" si="12"/>
        <v>438.6</v>
      </c>
      <c r="E402">
        <v>481.45</v>
      </c>
      <c r="F402" s="1789">
        <v>8.8999999999999996E-2</v>
      </c>
      <c r="G402">
        <f t="shared" si="13"/>
        <v>438.6</v>
      </c>
    </row>
    <row r="403" spans="1:7" ht="12.75" customHeight="1">
      <c r="A403" s="3">
        <v>37412</v>
      </c>
      <c r="B403" s="4" t="s">
        <v>413</v>
      </c>
      <c r="C403" s="3" t="s">
        <v>6</v>
      </c>
      <c r="D403" s="5">
        <f t="shared" si="12"/>
        <v>222.53</v>
      </c>
      <c r="E403">
        <v>244.28</v>
      </c>
      <c r="F403" s="1789">
        <v>8.8999999999999996E-2</v>
      </c>
      <c r="G403">
        <f t="shared" si="13"/>
        <v>222.53</v>
      </c>
    </row>
    <row r="404" spans="1:7" ht="12.75" customHeight="1">
      <c r="A404" s="3">
        <v>1745</v>
      </c>
      <c r="B404" s="4" t="s">
        <v>414</v>
      </c>
      <c r="C404" s="3" t="s">
        <v>6</v>
      </c>
      <c r="D404" s="5">
        <f t="shared" si="12"/>
        <v>264.61</v>
      </c>
      <c r="E404">
        <v>290.47000000000003</v>
      </c>
      <c r="F404" s="1789">
        <v>8.8999999999999996E-2</v>
      </c>
      <c r="G404">
        <f t="shared" si="13"/>
        <v>264.61</v>
      </c>
    </row>
    <row r="405" spans="1:7" ht="12.75" customHeight="1">
      <c r="A405" s="3">
        <v>1750</v>
      </c>
      <c r="B405" s="4" t="s">
        <v>415</v>
      </c>
      <c r="C405" s="3" t="s">
        <v>6</v>
      </c>
      <c r="D405" s="5">
        <f t="shared" si="12"/>
        <v>618.38</v>
      </c>
      <c r="E405">
        <v>678.8</v>
      </c>
      <c r="F405" s="1789">
        <v>8.8999999999999996E-2</v>
      </c>
      <c r="G405">
        <f t="shared" si="13"/>
        <v>618.38</v>
      </c>
    </row>
    <row r="406" spans="1:7" ht="12.75" customHeight="1">
      <c r="A406" s="3">
        <v>11687</v>
      </c>
      <c r="B406" s="4" t="s">
        <v>416</v>
      </c>
      <c r="C406" s="3" t="s">
        <v>50</v>
      </c>
      <c r="D406" s="5">
        <f t="shared" si="12"/>
        <v>985.28</v>
      </c>
      <c r="E406">
        <v>1081.54</v>
      </c>
      <c r="F406" s="1789">
        <v>8.8999999999999996E-2</v>
      </c>
      <c r="G406">
        <f t="shared" si="13"/>
        <v>985.28</v>
      </c>
    </row>
    <row r="407" spans="1:7" ht="12.75" customHeight="1">
      <c r="A407" s="3">
        <v>11689</v>
      </c>
      <c r="B407" s="4" t="s">
        <v>417</v>
      </c>
      <c r="C407" s="3" t="s">
        <v>50</v>
      </c>
      <c r="D407" s="5">
        <f t="shared" si="12"/>
        <v>1234.49</v>
      </c>
      <c r="E407">
        <v>1355.1</v>
      </c>
      <c r="F407" s="1789">
        <v>8.8999999999999996E-2</v>
      </c>
      <c r="G407">
        <f t="shared" si="13"/>
        <v>1234.49</v>
      </c>
    </row>
    <row r="408" spans="1:7" ht="12.75" customHeight="1">
      <c r="A408" s="3">
        <v>11693</v>
      </c>
      <c r="B408" s="4" t="s">
        <v>418</v>
      </c>
      <c r="C408" s="3" t="s">
        <v>409</v>
      </c>
      <c r="D408" s="5">
        <f t="shared" si="12"/>
        <v>227.22</v>
      </c>
      <c r="E408">
        <v>249.42</v>
      </c>
      <c r="F408" s="1789">
        <v>8.8999999999999996E-2</v>
      </c>
      <c r="G408">
        <f t="shared" si="13"/>
        <v>227.22</v>
      </c>
    </row>
    <row r="409" spans="1:7" ht="12.75" customHeight="1">
      <c r="A409" s="3">
        <v>36215</v>
      </c>
      <c r="B409" s="4" t="s">
        <v>419</v>
      </c>
      <c r="C409" s="3" t="s">
        <v>6</v>
      </c>
      <c r="D409" s="5">
        <f t="shared" si="12"/>
        <v>867.9</v>
      </c>
      <c r="E409">
        <v>952.7</v>
      </c>
      <c r="F409" s="1789">
        <v>8.8999999999999996E-2</v>
      </c>
      <c r="G409">
        <f t="shared" si="13"/>
        <v>867.9</v>
      </c>
    </row>
    <row r="410" spans="1:7" ht="12.75" customHeight="1">
      <c r="A410" s="3">
        <v>42439</v>
      </c>
      <c r="B410" s="4" t="s">
        <v>420</v>
      </c>
      <c r="C410" s="3" t="s">
        <v>6</v>
      </c>
      <c r="D410" s="5">
        <f t="shared" si="12"/>
        <v>1100.3399999999999</v>
      </c>
      <c r="E410">
        <v>1207.8399999999999</v>
      </c>
      <c r="F410" s="1789">
        <v>8.8999999999999996E-2</v>
      </c>
      <c r="G410">
        <f t="shared" si="13"/>
        <v>1100.3399999999999</v>
      </c>
    </row>
    <row r="411" spans="1:7" ht="12.75" customHeight="1">
      <c r="A411" s="3">
        <v>38381</v>
      </c>
      <c r="B411" s="4" t="s">
        <v>421</v>
      </c>
      <c r="C411" s="3" t="s">
        <v>6</v>
      </c>
      <c r="D411" s="5">
        <f t="shared" si="12"/>
        <v>11.44</v>
      </c>
      <c r="E411">
        <v>12.56</v>
      </c>
      <c r="F411" s="1789">
        <v>8.8999999999999996E-2</v>
      </c>
      <c r="G411">
        <f t="shared" si="13"/>
        <v>11.44</v>
      </c>
    </row>
    <row r="412" spans="1:7" ht="12.75" customHeight="1">
      <c r="A412" s="3">
        <v>39621</v>
      </c>
      <c r="B412" s="4" t="s">
        <v>422</v>
      </c>
      <c r="C412" s="3" t="s">
        <v>423</v>
      </c>
      <c r="D412" s="5">
        <f t="shared" si="12"/>
        <v>994.94</v>
      </c>
      <c r="E412">
        <v>1092.1500000000001</v>
      </c>
      <c r="F412" s="1789">
        <v>8.8999999999999996E-2</v>
      </c>
      <c r="G412">
        <f t="shared" si="13"/>
        <v>994.94</v>
      </c>
    </row>
    <row r="413" spans="1:7" ht="12.75" customHeight="1">
      <c r="A413" s="3">
        <v>39624</v>
      </c>
      <c r="B413" s="4" t="s">
        <v>424</v>
      </c>
      <c r="C413" s="3" t="s">
        <v>423</v>
      </c>
      <c r="D413" s="5">
        <f t="shared" si="12"/>
        <v>1097.53</v>
      </c>
      <c r="E413">
        <v>1204.76</v>
      </c>
      <c r="F413" s="1789">
        <v>8.8999999999999996E-2</v>
      </c>
      <c r="G413">
        <f t="shared" si="13"/>
        <v>1097.53</v>
      </c>
    </row>
    <row r="414" spans="1:7" ht="12.75" customHeight="1">
      <c r="A414" s="3">
        <v>39615</v>
      </c>
      <c r="B414" s="4" t="s">
        <v>425</v>
      </c>
      <c r="C414" s="3" t="s">
        <v>6</v>
      </c>
      <c r="D414" s="5">
        <f t="shared" si="12"/>
        <v>443.5</v>
      </c>
      <c r="E414">
        <v>486.83</v>
      </c>
      <c r="F414" s="1789">
        <v>8.8999999999999996E-2</v>
      </c>
      <c r="G414">
        <f t="shared" si="13"/>
        <v>443.5</v>
      </c>
    </row>
    <row r="415" spans="1:7" ht="12.75" customHeight="1">
      <c r="A415" s="3">
        <v>39620</v>
      </c>
      <c r="B415" s="4" t="s">
        <v>426</v>
      </c>
      <c r="C415" s="3" t="s">
        <v>6</v>
      </c>
      <c r="D415" s="5">
        <f t="shared" si="12"/>
        <v>677.35</v>
      </c>
      <c r="E415">
        <v>743.53</v>
      </c>
      <c r="F415" s="1789">
        <v>8.8999999999999996E-2</v>
      </c>
      <c r="G415">
        <f t="shared" si="13"/>
        <v>677.35</v>
      </c>
    </row>
    <row r="416" spans="1:7" ht="12.75" customHeight="1">
      <c r="A416" s="3">
        <v>39623</v>
      </c>
      <c r="B416" s="4" t="s">
        <v>427</v>
      </c>
      <c r="C416" s="3" t="s">
        <v>6</v>
      </c>
      <c r="D416" s="5">
        <f t="shared" si="12"/>
        <v>725.5</v>
      </c>
      <c r="E416">
        <v>796.38</v>
      </c>
      <c r="F416" s="1789">
        <v>8.8999999999999996E-2</v>
      </c>
      <c r="G416">
        <f t="shared" si="13"/>
        <v>725.5</v>
      </c>
    </row>
    <row r="417" spans="1:7" ht="12.75" customHeight="1">
      <c r="A417" s="3">
        <v>546</v>
      </c>
      <c r="B417" s="4" t="s">
        <v>428</v>
      </c>
      <c r="C417" s="3" t="s">
        <v>54</v>
      </c>
      <c r="D417" s="5">
        <f t="shared" si="12"/>
        <v>8.18</v>
      </c>
      <c r="E417">
        <v>8.98</v>
      </c>
      <c r="F417" s="1789">
        <v>8.8999999999999996E-2</v>
      </c>
      <c r="G417">
        <f t="shared" si="13"/>
        <v>8.18</v>
      </c>
    </row>
    <row r="418" spans="1:7" ht="12.75" customHeight="1">
      <c r="A418" s="3">
        <v>566</v>
      </c>
      <c r="B418" s="4" t="s">
        <v>429</v>
      </c>
      <c r="C418" s="3" t="s">
        <v>50</v>
      </c>
      <c r="D418" s="5">
        <f t="shared" si="12"/>
        <v>3.88</v>
      </c>
      <c r="E418">
        <v>4.26</v>
      </c>
      <c r="F418" s="1789">
        <v>8.8999999999999996E-2</v>
      </c>
      <c r="G418">
        <f t="shared" si="13"/>
        <v>3.88</v>
      </c>
    </row>
    <row r="419" spans="1:7" ht="12.75" customHeight="1">
      <c r="A419" s="3">
        <v>565</v>
      </c>
      <c r="B419" s="4" t="s">
        <v>430</v>
      </c>
      <c r="C419" s="3" t="s">
        <v>50</v>
      </c>
      <c r="D419" s="5">
        <f t="shared" si="12"/>
        <v>14.14</v>
      </c>
      <c r="E419">
        <v>15.53</v>
      </c>
      <c r="F419" s="1789">
        <v>8.8999999999999996E-2</v>
      </c>
      <c r="G419">
        <f t="shared" si="13"/>
        <v>14.14</v>
      </c>
    </row>
    <row r="420" spans="1:7" ht="12.75" customHeight="1">
      <c r="A420" s="3">
        <v>555</v>
      </c>
      <c r="B420" s="4" t="s">
        <v>431</v>
      </c>
      <c r="C420" s="3" t="s">
        <v>50</v>
      </c>
      <c r="D420" s="5">
        <f t="shared" si="12"/>
        <v>10.029999999999999</v>
      </c>
      <c r="E420">
        <v>11.01</v>
      </c>
      <c r="F420" s="1789">
        <v>8.8999999999999996E-2</v>
      </c>
      <c r="G420">
        <f t="shared" si="13"/>
        <v>10.029999999999999</v>
      </c>
    </row>
    <row r="421" spans="1:7" ht="12.75" customHeight="1">
      <c r="A421" s="3">
        <v>557</v>
      </c>
      <c r="B421" s="4" t="s">
        <v>432</v>
      </c>
      <c r="C421" s="3" t="s">
        <v>50</v>
      </c>
      <c r="D421" s="5">
        <f t="shared" si="12"/>
        <v>31.47</v>
      </c>
      <c r="E421">
        <v>34.549999999999997</v>
      </c>
      <c r="F421" s="1789">
        <v>8.8999999999999996E-2</v>
      </c>
      <c r="G421">
        <f t="shared" si="13"/>
        <v>31.47</v>
      </c>
    </row>
    <row r="422" spans="1:7" ht="12.75" customHeight="1">
      <c r="A422" s="3">
        <v>552</v>
      </c>
      <c r="B422" s="4" t="s">
        <v>433</v>
      </c>
      <c r="C422" s="3" t="s">
        <v>50</v>
      </c>
      <c r="D422" s="5">
        <f t="shared" si="12"/>
        <v>15.61</v>
      </c>
      <c r="E422">
        <v>17.14</v>
      </c>
      <c r="F422" s="1789">
        <v>8.8999999999999996E-2</v>
      </c>
      <c r="G422">
        <f t="shared" si="13"/>
        <v>15.61</v>
      </c>
    </row>
    <row r="423" spans="1:7" ht="12.75" customHeight="1">
      <c r="A423" s="3">
        <v>563</v>
      </c>
      <c r="B423" s="4" t="s">
        <v>434</v>
      </c>
      <c r="C423" s="3" t="s">
        <v>50</v>
      </c>
      <c r="D423" s="5">
        <f t="shared" si="12"/>
        <v>23.46</v>
      </c>
      <c r="E423">
        <v>25.76</v>
      </c>
      <c r="F423" s="1789">
        <v>8.8999999999999996E-2</v>
      </c>
      <c r="G423">
        <f t="shared" si="13"/>
        <v>23.46</v>
      </c>
    </row>
    <row r="424" spans="1:7" ht="12.75" customHeight="1">
      <c r="A424" s="3">
        <v>549</v>
      </c>
      <c r="B424" s="4" t="s">
        <v>435</v>
      </c>
      <c r="C424" s="3" t="s">
        <v>50</v>
      </c>
      <c r="D424" s="5">
        <f t="shared" si="12"/>
        <v>42.23</v>
      </c>
      <c r="E424">
        <v>46.36</v>
      </c>
      <c r="F424" s="1789">
        <v>8.8999999999999996E-2</v>
      </c>
      <c r="G424">
        <f t="shared" si="13"/>
        <v>42.23</v>
      </c>
    </row>
    <row r="425" spans="1:7" ht="12.75" customHeight="1">
      <c r="A425" s="3">
        <v>551</v>
      </c>
      <c r="B425" s="4" t="s">
        <v>436</v>
      </c>
      <c r="C425" s="3" t="s">
        <v>50</v>
      </c>
      <c r="D425" s="5">
        <f t="shared" si="12"/>
        <v>83.62</v>
      </c>
      <c r="E425">
        <v>91.8</v>
      </c>
      <c r="F425" s="1789">
        <v>8.8999999999999996E-2</v>
      </c>
      <c r="G425">
        <f t="shared" si="13"/>
        <v>83.62</v>
      </c>
    </row>
    <row r="426" spans="1:7" ht="12.75" customHeight="1">
      <c r="A426" s="3">
        <v>559</v>
      </c>
      <c r="B426" s="4" t="s">
        <v>437</v>
      </c>
      <c r="C426" s="3" t="s">
        <v>50</v>
      </c>
      <c r="D426" s="5">
        <f t="shared" si="12"/>
        <v>20.9</v>
      </c>
      <c r="E426">
        <v>22.95</v>
      </c>
      <c r="F426" s="1789">
        <v>8.8999999999999996E-2</v>
      </c>
      <c r="G426">
        <f t="shared" si="13"/>
        <v>20.9</v>
      </c>
    </row>
    <row r="427" spans="1:7" ht="12.75" customHeight="1">
      <c r="A427" s="3">
        <v>560</v>
      </c>
      <c r="B427" s="4" t="s">
        <v>438</v>
      </c>
      <c r="C427" s="3" t="s">
        <v>50</v>
      </c>
      <c r="D427" s="5">
        <f t="shared" si="12"/>
        <v>26.15</v>
      </c>
      <c r="E427">
        <v>28.71</v>
      </c>
      <c r="F427" s="1789">
        <v>8.8999999999999996E-2</v>
      </c>
      <c r="G427">
        <f t="shared" si="13"/>
        <v>26.15</v>
      </c>
    </row>
    <row r="428" spans="1:7" ht="12.75" customHeight="1">
      <c r="A428" s="3">
        <v>547</v>
      </c>
      <c r="B428" s="4" t="s">
        <v>439</v>
      </c>
      <c r="C428" s="3" t="s">
        <v>50</v>
      </c>
      <c r="D428" s="5">
        <f t="shared" si="12"/>
        <v>31.32</v>
      </c>
      <c r="E428">
        <v>34.380000000000003</v>
      </c>
      <c r="F428" s="1789">
        <v>8.8999999999999996E-2</v>
      </c>
      <c r="G428">
        <f t="shared" si="13"/>
        <v>31.32</v>
      </c>
    </row>
    <row r="429" spans="1:7" ht="12.75" customHeight="1">
      <c r="A429" s="3">
        <v>36207</v>
      </c>
      <c r="B429" s="4" t="s">
        <v>440</v>
      </c>
      <c r="C429" s="3" t="s">
        <v>6</v>
      </c>
      <c r="D429" s="5">
        <f t="shared" si="12"/>
        <v>384.42</v>
      </c>
      <c r="E429">
        <v>421.98</v>
      </c>
      <c r="F429" s="1789">
        <v>8.8999999999999996E-2</v>
      </c>
      <c r="G429">
        <f t="shared" si="13"/>
        <v>384.42</v>
      </c>
    </row>
    <row r="430" spans="1:7" ht="12.75" customHeight="1">
      <c r="A430" s="3">
        <v>36209</v>
      </c>
      <c r="B430" s="4" t="s">
        <v>441</v>
      </c>
      <c r="C430" s="3" t="s">
        <v>6</v>
      </c>
      <c r="D430" s="5">
        <f t="shared" si="12"/>
        <v>441.18</v>
      </c>
      <c r="E430">
        <v>484.29</v>
      </c>
      <c r="F430" s="1789">
        <v>8.8999999999999996E-2</v>
      </c>
      <c r="G430">
        <f t="shared" si="13"/>
        <v>441.18</v>
      </c>
    </row>
    <row r="431" spans="1:7" ht="12.75" customHeight="1">
      <c r="A431" s="3">
        <v>36210</v>
      </c>
      <c r="B431" s="4" t="s">
        <v>442</v>
      </c>
      <c r="C431" s="3" t="s">
        <v>6</v>
      </c>
      <c r="D431" s="5">
        <f t="shared" si="12"/>
        <v>477.34</v>
      </c>
      <c r="E431">
        <v>523.98</v>
      </c>
      <c r="F431" s="1789">
        <v>8.8999999999999996E-2</v>
      </c>
      <c r="G431">
        <f t="shared" si="13"/>
        <v>477.34</v>
      </c>
    </row>
    <row r="432" spans="1:7" ht="12.75" customHeight="1">
      <c r="A432" s="3">
        <v>36204</v>
      </c>
      <c r="B432" s="4" t="s">
        <v>443</v>
      </c>
      <c r="C432" s="3" t="s">
        <v>6</v>
      </c>
      <c r="D432" s="5">
        <f t="shared" si="12"/>
        <v>169.24</v>
      </c>
      <c r="E432">
        <v>185.78</v>
      </c>
      <c r="F432" s="1789">
        <v>8.8999999999999996E-2</v>
      </c>
      <c r="G432">
        <f t="shared" si="13"/>
        <v>169.24</v>
      </c>
    </row>
    <row r="433" spans="1:7" ht="12.75" customHeight="1">
      <c r="A433" s="3">
        <v>36205</v>
      </c>
      <c r="B433" s="4" t="s">
        <v>444</v>
      </c>
      <c r="C433" s="3" t="s">
        <v>6</v>
      </c>
      <c r="D433" s="5">
        <f t="shared" si="12"/>
        <v>187.96</v>
      </c>
      <c r="E433">
        <v>206.33</v>
      </c>
      <c r="F433" s="1789">
        <v>8.8999999999999996E-2</v>
      </c>
      <c r="G433">
        <f t="shared" si="13"/>
        <v>187.96</v>
      </c>
    </row>
    <row r="434" spans="1:7" ht="12.75" customHeight="1">
      <c r="A434" s="3">
        <v>36081</v>
      </c>
      <c r="B434" s="4" t="s">
        <v>445</v>
      </c>
      <c r="C434" s="3" t="s">
        <v>6</v>
      </c>
      <c r="D434" s="5">
        <f t="shared" si="12"/>
        <v>200.42</v>
      </c>
      <c r="E434">
        <v>220</v>
      </c>
      <c r="F434" s="1789">
        <v>8.8999999999999996E-2</v>
      </c>
      <c r="G434">
        <f t="shared" si="13"/>
        <v>200.42</v>
      </c>
    </row>
    <row r="435" spans="1:7" ht="12.75" customHeight="1">
      <c r="A435" s="3">
        <v>36206</v>
      </c>
      <c r="B435" s="4" t="s">
        <v>446</v>
      </c>
      <c r="C435" s="3" t="s">
        <v>6</v>
      </c>
      <c r="D435" s="5">
        <f t="shared" si="12"/>
        <v>209.97</v>
      </c>
      <c r="E435">
        <v>230.49</v>
      </c>
      <c r="F435" s="1789">
        <v>8.8999999999999996E-2</v>
      </c>
      <c r="G435">
        <f t="shared" si="13"/>
        <v>209.97</v>
      </c>
    </row>
    <row r="436" spans="1:7" ht="12.75" customHeight="1">
      <c r="A436" s="3">
        <v>36218</v>
      </c>
      <c r="B436" s="4" t="s">
        <v>447</v>
      </c>
      <c r="C436" s="3" t="s">
        <v>6</v>
      </c>
      <c r="D436" s="5">
        <f t="shared" si="12"/>
        <v>141.75</v>
      </c>
      <c r="E436">
        <v>155.6</v>
      </c>
      <c r="F436" s="1789">
        <v>8.8999999999999996E-2</v>
      </c>
      <c r="G436">
        <f t="shared" si="13"/>
        <v>141.75</v>
      </c>
    </row>
    <row r="437" spans="1:7" ht="12.75" customHeight="1">
      <c r="A437" s="3">
        <v>36220</v>
      </c>
      <c r="B437" s="4" t="s">
        <v>448</v>
      </c>
      <c r="C437" s="3" t="s">
        <v>6</v>
      </c>
      <c r="D437" s="5">
        <f t="shared" si="12"/>
        <v>162.54</v>
      </c>
      <c r="E437">
        <v>178.42</v>
      </c>
      <c r="F437" s="1789">
        <v>8.8999999999999996E-2</v>
      </c>
      <c r="G437">
        <f t="shared" si="13"/>
        <v>162.54</v>
      </c>
    </row>
    <row r="438" spans="1:7" ht="12.75" customHeight="1">
      <c r="A438" s="3">
        <v>36080</v>
      </c>
      <c r="B438" s="4" t="s">
        <v>449</v>
      </c>
      <c r="C438" s="3" t="s">
        <v>6</v>
      </c>
      <c r="D438" s="5">
        <f t="shared" si="12"/>
        <v>175.81</v>
      </c>
      <c r="E438">
        <v>192.99</v>
      </c>
      <c r="F438" s="1789">
        <v>8.8999999999999996E-2</v>
      </c>
      <c r="G438">
        <f t="shared" si="13"/>
        <v>175.81</v>
      </c>
    </row>
    <row r="439" spans="1:7" ht="12.75" customHeight="1">
      <c r="A439" s="3">
        <v>36223</v>
      </c>
      <c r="B439" s="4" t="s">
        <v>450</v>
      </c>
      <c r="C439" s="3" t="s">
        <v>6</v>
      </c>
      <c r="D439" s="5">
        <f t="shared" si="12"/>
        <v>184.1</v>
      </c>
      <c r="E439">
        <v>202.09</v>
      </c>
      <c r="F439" s="1789">
        <v>8.8999999999999996E-2</v>
      </c>
      <c r="G439">
        <f t="shared" si="13"/>
        <v>184.1</v>
      </c>
    </row>
    <row r="440" spans="1:7" ht="12.75" customHeight="1">
      <c r="A440" s="3">
        <v>38127</v>
      </c>
      <c r="B440" s="4" t="s">
        <v>451</v>
      </c>
      <c r="C440" s="3" t="s">
        <v>6</v>
      </c>
      <c r="D440" s="5">
        <f t="shared" si="12"/>
        <v>439.84</v>
      </c>
      <c r="E440">
        <v>482.82</v>
      </c>
      <c r="F440" s="1789">
        <v>8.8999999999999996E-2</v>
      </c>
      <c r="G440">
        <f t="shared" si="13"/>
        <v>439.84</v>
      </c>
    </row>
    <row r="441" spans="1:7" ht="12.75" customHeight="1">
      <c r="A441" s="3">
        <v>38060</v>
      </c>
      <c r="B441" s="4" t="s">
        <v>452</v>
      </c>
      <c r="C441" s="3" t="s">
        <v>6</v>
      </c>
      <c r="D441" s="5">
        <f t="shared" si="12"/>
        <v>56.86</v>
      </c>
      <c r="E441">
        <v>62.42</v>
      </c>
      <c r="F441" s="1789">
        <v>8.8999999999999996E-2</v>
      </c>
      <c r="G441">
        <f t="shared" si="13"/>
        <v>56.86</v>
      </c>
    </row>
    <row r="442" spans="1:7" ht="12.75" customHeight="1">
      <c r="A442" s="3">
        <v>10956</v>
      </c>
      <c r="B442" s="4" t="s">
        <v>453</v>
      </c>
      <c r="C442" s="3" t="s">
        <v>6</v>
      </c>
      <c r="D442" s="5">
        <f t="shared" si="12"/>
        <v>62.36</v>
      </c>
      <c r="E442">
        <v>68.459999999999994</v>
      </c>
      <c r="F442" s="1789">
        <v>8.8999999999999996E-2</v>
      </c>
      <c r="G442">
        <f t="shared" si="13"/>
        <v>62.36</v>
      </c>
    </row>
    <row r="443" spans="1:7" ht="12.75" customHeight="1">
      <c r="A443" s="3">
        <v>39380</v>
      </c>
      <c r="B443" s="4" t="s">
        <v>454</v>
      </c>
      <c r="C443" s="3" t="s">
        <v>6</v>
      </c>
      <c r="D443" s="5">
        <f t="shared" si="12"/>
        <v>20.36</v>
      </c>
      <c r="E443">
        <v>22.35</v>
      </c>
      <c r="F443" s="1789">
        <v>8.8999999999999996E-2</v>
      </c>
      <c r="G443">
        <f t="shared" si="13"/>
        <v>20.36</v>
      </c>
    </row>
    <row r="444" spans="1:7" ht="12.75" customHeight="1">
      <c r="A444" s="3">
        <v>44172</v>
      </c>
      <c r="B444" s="4" t="s">
        <v>455</v>
      </c>
      <c r="C444" s="3" t="s">
        <v>6</v>
      </c>
      <c r="D444" s="5">
        <f t="shared" si="12"/>
        <v>5.62</v>
      </c>
      <c r="E444">
        <v>6.18</v>
      </c>
      <c r="F444" s="1789">
        <v>8.8999999999999996E-2</v>
      </c>
      <c r="G444">
        <f t="shared" si="13"/>
        <v>5.62</v>
      </c>
    </row>
    <row r="445" spans="1:7" ht="12.75" customHeight="1">
      <c r="A445" s="3">
        <v>37597</v>
      </c>
      <c r="B445" s="4" t="s">
        <v>456</v>
      </c>
      <c r="C445" s="3" t="s">
        <v>6</v>
      </c>
      <c r="D445" s="5">
        <f t="shared" si="12"/>
        <v>598039.46</v>
      </c>
      <c r="E445">
        <v>656464.84</v>
      </c>
      <c r="F445" s="1789">
        <v>8.8999999999999996E-2</v>
      </c>
      <c r="G445">
        <f t="shared" si="13"/>
        <v>598039.46</v>
      </c>
    </row>
    <row r="446" spans="1:7" ht="12.75" customHeight="1">
      <c r="A446" s="3">
        <v>183</v>
      </c>
      <c r="B446" s="4" t="s">
        <v>457</v>
      </c>
      <c r="C446" s="3" t="s">
        <v>458</v>
      </c>
      <c r="D446" s="5">
        <f t="shared" si="12"/>
        <v>226.27</v>
      </c>
      <c r="E446">
        <v>248.38</v>
      </c>
      <c r="F446" s="1789">
        <v>8.8999999999999996E-2</v>
      </c>
      <c r="G446">
        <f t="shared" si="13"/>
        <v>226.27</v>
      </c>
    </row>
    <row r="447" spans="1:7" ht="12.75" customHeight="1">
      <c r="A447" s="3">
        <v>184</v>
      </c>
      <c r="B447" s="4" t="s">
        <v>459</v>
      </c>
      <c r="C447" s="3" t="s">
        <v>458</v>
      </c>
      <c r="D447" s="5">
        <f t="shared" si="12"/>
        <v>140.13</v>
      </c>
      <c r="E447">
        <v>153.83000000000001</v>
      </c>
      <c r="F447" s="1789">
        <v>8.8999999999999996E-2</v>
      </c>
      <c r="G447">
        <f t="shared" si="13"/>
        <v>140.13</v>
      </c>
    </row>
    <row r="448" spans="1:7" ht="12.75" customHeight="1">
      <c r="A448" s="3">
        <v>181</v>
      </c>
      <c r="B448" s="4" t="s">
        <v>460</v>
      </c>
      <c r="C448" s="3" t="s">
        <v>458</v>
      </c>
      <c r="D448" s="5">
        <f t="shared" si="12"/>
        <v>302.17</v>
      </c>
      <c r="E448">
        <v>331.7</v>
      </c>
      <c r="F448" s="1789">
        <v>8.8999999999999996E-2</v>
      </c>
      <c r="G448">
        <f t="shared" si="13"/>
        <v>302.17</v>
      </c>
    </row>
    <row r="449" spans="1:7" ht="12.75" customHeight="1">
      <c r="A449" s="3">
        <v>20001</v>
      </c>
      <c r="B449" s="4" t="s">
        <v>461</v>
      </c>
      <c r="C449" s="3" t="s">
        <v>458</v>
      </c>
      <c r="D449" s="5">
        <f t="shared" si="12"/>
        <v>175.17</v>
      </c>
      <c r="E449">
        <v>192.29</v>
      </c>
      <c r="F449" s="1789">
        <v>8.8999999999999996E-2</v>
      </c>
      <c r="G449">
        <f t="shared" si="13"/>
        <v>175.17</v>
      </c>
    </row>
    <row r="450" spans="1:7" ht="12.75" customHeight="1">
      <c r="A450" s="3">
        <v>39837</v>
      </c>
      <c r="B450" s="4" t="s">
        <v>462</v>
      </c>
      <c r="C450" s="3" t="s">
        <v>458</v>
      </c>
      <c r="D450" s="5">
        <f t="shared" si="12"/>
        <v>562.22</v>
      </c>
      <c r="E450">
        <v>617.15</v>
      </c>
      <c r="F450" s="1789">
        <v>8.8999999999999996E-2</v>
      </c>
      <c r="G450">
        <f t="shared" si="13"/>
        <v>562.22</v>
      </c>
    </row>
    <row r="451" spans="1:7" ht="12.75" customHeight="1">
      <c r="A451" s="3">
        <v>43366</v>
      </c>
      <c r="B451" s="4" t="s">
        <v>463</v>
      </c>
      <c r="C451" s="3" t="s">
        <v>54</v>
      </c>
      <c r="D451" s="5">
        <f t="shared" ref="D451:D514" si="14">G451</f>
        <v>1.43</v>
      </c>
      <c r="E451">
        <v>1.58</v>
      </c>
      <c r="F451" s="1789">
        <v>8.8999999999999996E-2</v>
      </c>
      <c r="G451">
        <f t="shared" ref="G451:G514" si="15">TRUNC((1-F451)*E451,2)</f>
        <v>1.43</v>
      </c>
    </row>
    <row r="452" spans="1:7" ht="12.75" customHeight="1">
      <c r="A452" s="3">
        <v>10535</v>
      </c>
      <c r="B452" s="4" t="s">
        <v>464</v>
      </c>
      <c r="C452" s="3" t="s">
        <v>6</v>
      </c>
      <c r="D452" s="5">
        <f t="shared" si="14"/>
        <v>4731.8</v>
      </c>
      <c r="E452">
        <v>5194.08</v>
      </c>
      <c r="F452" s="1789">
        <v>8.8999999999999996E-2</v>
      </c>
      <c r="G452">
        <f t="shared" si="15"/>
        <v>4731.8</v>
      </c>
    </row>
    <row r="453" spans="1:7" ht="12.75" customHeight="1">
      <c r="A453" s="3">
        <v>10537</v>
      </c>
      <c r="B453" s="4" t="s">
        <v>465</v>
      </c>
      <c r="C453" s="3" t="s">
        <v>6</v>
      </c>
      <c r="D453" s="5">
        <f t="shared" si="14"/>
        <v>6452.89</v>
      </c>
      <c r="E453">
        <v>7083.31</v>
      </c>
      <c r="F453" s="1789">
        <v>8.8999999999999996E-2</v>
      </c>
      <c r="G453">
        <f t="shared" si="15"/>
        <v>6452.89</v>
      </c>
    </row>
    <row r="454" spans="1:7" ht="12.75" customHeight="1">
      <c r="A454" s="3">
        <v>13891</v>
      </c>
      <c r="B454" s="4" t="s">
        <v>466</v>
      </c>
      <c r="C454" s="3" t="s">
        <v>6</v>
      </c>
      <c r="D454" s="5">
        <f t="shared" si="14"/>
        <v>5918.76</v>
      </c>
      <c r="E454">
        <v>6497</v>
      </c>
      <c r="F454" s="1789">
        <v>8.8999999999999996E-2</v>
      </c>
      <c r="G454">
        <f t="shared" si="15"/>
        <v>5918.76</v>
      </c>
    </row>
    <row r="455" spans="1:7" ht="12.75" customHeight="1">
      <c r="A455" s="3">
        <v>44492</v>
      </c>
      <c r="B455" s="4" t="s">
        <v>467</v>
      </c>
      <c r="C455" s="3" t="s">
        <v>6</v>
      </c>
      <c r="D455" s="5">
        <f t="shared" si="14"/>
        <v>25744.23</v>
      </c>
      <c r="E455">
        <v>28259.31</v>
      </c>
      <c r="F455" s="1789">
        <v>8.8999999999999996E-2</v>
      </c>
      <c r="G455">
        <f t="shared" si="15"/>
        <v>25744.23</v>
      </c>
    </row>
    <row r="456" spans="1:7" ht="12.75" customHeight="1">
      <c r="A456" s="3">
        <v>36396</v>
      </c>
      <c r="B456" s="4" t="s">
        <v>468</v>
      </c>
      <c r="C456" s="3" t="s">
        <v>6</v>
      </c>
      <c r="D456" s="5">
        <f t="shared" si="14"/>
        <v>5413.49</v>
      </c>
      <c r="E456">
        <v>5942.37</v>
      </c>
      <c r="F456" s="1789">
        <v>8.8999999999999996E-2</v>
      </c>
      <c r="G456">
        <f t="shared" si="15"/>
        <v>5413.49</v>
      </c>
    </row>
    <row r="457" spans="1:7" ht="12.75" customHeight="1">
      <c r="A457" s="3">
        <v>36397</v>
      </c>
      <c r="B457" s="4" t="s">
        <v>469</v>
      </c>
      <c r="C457" s="3" t="s">
        <v>6</v>
      </c>
      <c r="D457" s="5">
        <f t="shared" si="14"/>
        <v>19248.02</v>
      </c>
      <c r="E457">
        <v>21128.46</v>
      </c>
      <c r="F457" s="1789">
        <v>8.8999999999999996E-2</v>
      </c>
      <c r="G457">
        <f t="shared" si="15"/>
        <v>19248.02</v>
      </c>
    </row>
    <row r="458" spans="1:7" ht="12.75" customHeight="1">
      <c r="A458" s="3">
        <v>36398</v>
      </c>
      <c r="B458" s="4" t="s">
        <v>470</v>
      </c>
      <c r="C458" s="3" t="s">
        <v>6</v>
      </c>
      <c r="D458" s="5">
        <f t="shared" si="14"/>
        <v>23394.37</v>
      </c>
      <c r="E458">
        <v>25679.88</v>
      </c>
      <c r="F458" s="1789">
        <v>8.8999999999999996E-2</v>
      </c>
      <c r="G458">
        <f t="shared" si="15"/>
        <v>23394.37</v>
      </c>
    </row>
    <row r="459" spans="1:7" ht="12.75" customHeight="1">
      <c r="A459" s="3">
        <v>647</v>
      </c>
      <c r="B459" s="4" t="s">
        <v>471</v>
      </c>
      <c r="C459" s="3" t="s">
        <v>154</v>
      </c>
      <c r="D459" s="5">
        <f t="shared" si="14"/>
        <v>12.8</v>
      </c>
      <c r="E459">
        <v>14.06</v>
      </c>
      <c r="F459" s="1789">
        <v>8.8999999999999996E-2</v>
      </c>
      <c r="G459">
        <f t="shared" si="15"/>
        <v>12.8</v>
      </c>
    </row>
    <row r="460" spans="1:7" ht="12.75" customHeight="1">
      <c r="A460" s="3">
        <v>40920</v>
      </c>
      <c r="B460" s="4" t="s">
        <v>472</v>
      </c>
      <c r="C460" s="3" t="s">
        <v>156</v>
      </c>
      <c r="D460" s="5">
        <f t="shared" si="14"/>
        <v>2255.31</v>
      </c>
      <c r="E460">
        <v>2475.65</v>
      </c>
      <c r="F460" s="1789">
        <v>8.8999999999999996E-2</v>
      </c>
      <c r="G460">
        <f t="shared" si="15"/>
        <v>2255.31</v>
      </c>
    </row>
    <row r="461" spans="1:7" ht="12.75" customHeight="1">
      <c r="A461" s="3">
        <v>715</v>
      </c>
      <c r="B461" s="4" t="s">
        <v>473</v>
      </c>
      <c r="C461" s="3" t="s">
        <v>6</v>
      </c>
      <c r="D461" s="5">
        <f t="shared" si="14"/>
        <v>24.87</v>
      </c>
      <c r="E461">
        <v>27.3</v>
      </c>
      <c r="F461" s="1789">
        <v>8.8999999999999996E-2</v>
      </c>
      <c r="G461">
        <f t="shared" si="15"/>
        <v>24.87</v>
      </c>
    </row>
    <row r="462" spans="1:7" ht="12.75" customHeight="1">
      <c r="A462" s="3">
        <v>716</v>
      </c>
      <c r="B462" s="4" t="s">
        <v>474</v>
      </c>
      <c r="C462" s="3" t="s">
        <v>6</v>
      </c>
      <c r="D462" s="5">
        <f t="shared" si="14"/>
        <v>28.12</v>
      </c>
      <c r="E462">
        <v>30.87</v>
      </c>
      <c r="F462" s="1789">
        <v>8.8999999999999996E-2</v>
      </c>
      <c r="G462">
        <f t="shared" si="15"/>
        <v>28.12</v>
      </c>
    </row>
    <row r="463" spans="1:7" ht="12.75" customHeight="1">
      <c r="A463" s="3">
        <v>38783</v>
      </c>
      <c r="B463" s="4" t="s">
        <v>475</v>
      </c>
      <c r="C463" s="3" t="s">
        <v>6</v>
      </c>
      <c r="D463" s="5">
        <f t="shared" si="14"/>
        <v>1.31</v>
      </c>
      <c r="E463">
        <v>1.44</v>
      </c>
      <c r="F463" s="1789">
        <v>8.8999999999999996E-2</v>
      </c>
      <c r="G463">
        <f t="shared" si="15"/>
        <v>1.31</v>
      </c>
    </row>
    <row r="464" spans="1:7" ht="12.75" customHeight="1">
      <c r="A464" s="3">
        <v>37593</v>
      </c>
      <c r="B464" s="4" t="s">
        <v>476</v>
      </c>
      <c r="C464" s="3" t="s">
        <v>6</v>
      </c>
      <c r="D464" s="5">
        <f t="shared" si="14"/>
        <v>3.23</v>
      </c>
      <c r="E464">
        <v>3.55</v>
      </c>
      <c r="F464" s="1789">
        <v>8.8999999999999996E-2</v>
      </c>
      <c r="G464">
        <f t="shared" si="15"/>
        <v>3.23</v>
      </c>
    </row>
    <row r="465" spans="1:7" ht="12.75" customHeight="1">
      <c r="A465" s="3">
        <v>37594</v>
      </c>
      <c r="B465" s="4" t="s">
        <v>477</v>
      </c>
      <c r="C465" s="3" t="s">
        <v>6</v>
      </c>
      <c r="D465" s="5">
        <f t="shared" si="14"/>
        <v>4.01</v>
      </c>
      <c r="E465">
        <v>4.41</v>
      </c>
      <c r="F465" s="1789">
        <v>8.8999999999999996E-2</v>
      </c>
      <c r="G465">
        <f t="shared" si="15"/>
        <v>4.01</v>
      </c>
    </row>
    <row r="466" spans="1:7" ht="12.75" customHeight="1">
      <c r="A466" s="3">
        <v>37592</v>
      </c>
      <c r="B466" s="4" t="s">
        <v>478</v>
      </c>
      <c r="C466" s="3" t="s">
        <v>6</v>
      </c>
      <c r="D466" s="5">
        <f t="shared" si="14"/>
        <v>2.54</v>
      </c>
      <c r="E466">
        <v>2.79</v>
      </c>
      <c r="F466" s="1789">
        <v>8.8999999999999996E-2</v>
      </c>
      <c r="G466">
        <f t="shared" si="15"/>
        <v>2.54</v>
      </c>
    </row>
    <row r="467" spans="1:7" ht="12.75" customHeight="1">
      <c r="A467" s="3">
        <v>7270</v>
      </c>
      <c r="B467" s="4" t="s">
        <v>479</v>
      </c>
      <c r="C467" s="3" t="s">
        <v>6</v>
      </c>
      <c r="D467" s="5">
        <f t="shared" si="14"/>
        <v>1.1299999999999999</v>
      </c>
      <c r="E467">
        <v>1.25</v>
      </c>
      <c r="F467" s="1789">
        <v>8.8999999999999996E-2</v>
      </c>
      <c r="G467">
        <f t="shared" si="15"/>
        <v>1.1299999999999999</v>
      </c>
    </row>
    <row r="468" spans="1:7" ht="12.75" customHeight="1">
      <c r="A468" s="3">
        <v>7267</v>
      </c>
      <c r="B468" s="4" t="s">
        <v>480</v>
      </c>
      <c r="C468" s="3" t="s">
        <v>6</v>
      </c>
      <c r="D468" s="5">
        <f t="shared" si="14"/>
        <v>0.89</v>
      </c>
      <c r="E468">
        <v>0.98</v>
      </c>
      <c r="F468" s="1789">
        <v>8.8999999999999996E-2</v>
      </c>
      <c r="G468">
        <f t="shared" si="15"/>
        <v>0.89</v>
      </c>
    </row>
    <row r="469" spans="1:7" ht="12.75" customHeight="1">
      <c r="A469" s="3">
        <v>7271</v>
      </c>
      <c r="B469" s="4" t="s">
        <v>481</v>
      </c>
      <c r="C469" s="3" t="s">
        <v>6</v>
      </c>
      <c r="D469" s="5">
        <f t="shared" si="14"/>
        <v>0.98</v>
      </c>
      <c r="E469">
        <v>1.08</v>
      </c>
      <c r="F469" s="1789">
        <v>8.8999999999999996E-2</v>
      </c>
      <c r="G469">
        <f t="shared" si="15"/>
        <v>0.98</v>
      </c>
    </row>
    <row r="470" spans="1:7" ht="12.75" customHeight="1">
      <c r="A470" s="3">
        <v>7268</v>
      </c>
      <c r="B470" s="4" t="s">
        <v>482</v>
      </c>
      <c r="C470" s="3" t="s">
        <v>6</v>
      </c>
      <c r="D470" s="5">
        <f t="shared" si="14"/>
        <v>1.36</v>
      </c>
      <c r="E470">
        <v>1.5</v>
      </c>
      <c r="F470" s="1789">
        <v>8.8999999999999996E-2</v>
      </c>
      <c r="G470">
        <f t="shared" si="15"/>
        <v>1.36</v>
      </c>
    </row>
    <row r="471" spans="1:7" ht="12.75" customHeight="1">
      <c r="A471" s="3">
        <v>41372</v>
      </c>
      <c r="B471" s="4" t="s">
        <v>483</v>
      </c>
      <c r="C471" s="3" t="s">
        <v>409</v>
      </c>
      <c r="D471" s="5">
        <f t="shared" si="14"/>
        <v>107</v>
      </c>
      <c r="E471">
        <v>117.46</v>
      </c>
      <c r="F471" s="1789">
        <v>8.8999999999999996E-2</v>
      </c>
      <c r="G471">
        <f t="shared" si="15"/>
        <v>107</v>
      </c>
    </row>
    <row r="472" spans="1:7" ht="12.75" customHeight="1">
      <c r="A472" s="3">
        <v>41371</v>
      </c>
      <c r="B472" s="4" t="s">
        <v>484</v>
      </c>
      <c r="C472" s="3" t="s">
        <v>409</v>
      </c>
      <c r="D472" s="5">
        <f t="shared" si="14"/>
        <v>63.24</v>
      </c>
      <c r="E472">
        <v>69.42</v>
      </c>
      <c r="F472" s="1789">
        <v>8.8999999999999996E-2</v>
      </c>
      <c r="G472">
        <f t="shared" si="15"/>
        <v>63.24</v>
      </c>
    </row>
    <row r="473" spans="1:7" ht="12.75" customHeight="1">
      <c r="A473" s="3">
        <v>34556</v>
      </c>
      <c r="B473" s="4" t="s">
        <v>485</v>
      </c>
      <c r="C473" s="3" t="s">
        <v>6</v>
      </c>
      <c r="D473" s="5">
        <f t="shared" si="14"/>
        <v>4.8</v>
      </c>
      <c r="E473">
        <v>5.27</v>
      </c>
      <c r="F473" s="1789">
        <v>8.8999999999999996E-2</v>
      </c>
      <c r="G473">
        <f t="shared" si="15"/>
        <v>4.8</v>
      </c>
    </row>
    <row r="474" spans="1:7" ht="12.75" customHeight="1">
      <c r="A474" s="3">
        <v>37873</v>
      </c>
      <c r="B474" s="4" t="s">
        <v>486</v>
      </c>
      <c r="C474" s="3" t="s">
        <v>6</v>
      </c>
      <c r="D474" s="5">
        <f t="shared" si="14"/>
        <v>4.88</v>
      </c>
      <c r="E474">
        <v>5.36</v>
      </c>
      <c r="F474" s="1789">
        <v>8.8999999999999996E-2</v>
      </c>
      <c r="G474">
        <f t="shared" si="15"/>
        <v>4.88</v>
      </c>
    </row>
    <row r="475" spans="1:7" ht="12.75" customHeight="1">
      <c r="A475" s="3">
        <v>34564</v>
      </c>
      <c r="B475" s="4" t="s">
        <v>487</v>
      </c>
      <c r="C475" s="3" t="s">
        <v>6</v>
      </c>
      <c r="D475" s="5">
        <f t="shared" si="14"/>
        <v>5.1100000000000003</v>
      </c>
      <c r="E475">
        <v>5.62</v>
      </c>
      <c r="F475" s="1789">
        <v>8.8999999999999996E-2</v>
      </c>
      <c r="G475">
        <f t="shared" si="15"/>
        <v>5.1100000000000003</v>
      </c>
    </row>
    <row r="476" spans="1:7" ht="12.75" customHeight="1">
      <c r="A476" s="3">
        <v>34565</v>
      </c>
      <c r="B476" s="4" t="s">
        <v>488</v>
      </c>
      <c r="C476" s="3" t="s">
        <v>6</v>
      </c>
      <c r="D476" s="5">
        <f t="shared" si="14"/>
        <v>5.41</v>
      </c>
      <c r="E476">
        <v>5.94</v>
      </c>
      <c r="F476" s="1789">
        <v>8.8999999999999996E-2</v>
      </c>
      <c r="G476">
        <f t="shared" si="15"/>
        <v>5.41</v>
      </c>
    </row>
    <row r="477" spans="1:7" ht="12.75" customHeight="1">
      <c r="A477" s="3">
        <v>38590</v>
      </c>
      <c r="B477" s="4" t="s">
        <v>489</v>
      </c>
      <c r="C477" s="3" t="s">
        <v>6</v>
      </c>
      <c r="D477" s="5">
        <f t="shared" si="14"/>
        <v>3.99</v>
      </c>
      <c r="E477">
        <v>4.3899999999999997</v>
      </c>
      <c r="F477" s="1789">
        <v>8.8999999999999996E-2</v>
      </c>
      <c r="G477">
        <f t="shared" si="15"/>
        <v>3.99</v>
      </c>
    </row>
    <row r="478" spans="1:7" ht="12.75" customHeight="1">
      <c r="A478" s="3">
        <v>34566</v>
      </c>
      <c r="B478" s="4" t="s">
        <v>490</v>
      </c>
      <c r="C478" s="3" t="s">
        <v>6</v>
      </c>
      <c r="D478" s="5">
        <f t="shared" si="14"/>
        <v>4.1900000000000004</v>
      </c>
      <c r="E478">
        <v>4.6100000000000003</v>
      </c>
      <c r="F478" s="1789">
        <v>8.8999999999999996E-2</v>
      </c>
      <c r="G478">
        <f t="shared" si="15"/>
        <v>4.1900000000000004</v>
      </c>
    </row>
    <row r="479" spans="1:7" ht="12.75" customHeight="1">
      <c r="A479" s="3">
        <v>34567</v>
      </c>
      <c r="B479" s="4" t="s">
        <v>491</v>
      </c>
      <c r="C479" s="3" t="s">
        <v>6</v>
      </c>
      <c r="D479" s="5">
        <f t="shared" si="14"/>
        <v>4.45</v>
      </c>
      <c r="E479">
        <v>4.8899999999999997</v>
      </c>
      <c r="F479" s="1789">
        <v>8.8999999999999996E-2</v>
      </c>
      <c r="G479">
        <f t="shared" si="15"/>
        <v>4.45</v>
      </c>
    </row>
    <row r="480" spans="1:7" ht="12.75" customHeight="1">
      <c r="A480" s="3">
        <v>38591</v>
      </c>
      <c r="B480" s="4" t="s">
        <v>492</v>
      </c>
      <c r="C480" s="3" t="s">
        <v>6</v>
      </c>
      <c r="D480" s="5">
        <f t="shared" si="14"/>
        <v>4.04</v>
      </c>
      <c r="E480">
        <v>4.4400000000000004</v>
      </c>
      <c r="F480" s="1789">
        <v>8.8999999999999996E-2</v>
      </c>
      <c r="G480">
        <f t="shared" si="15"/>
        <v>4.04</v>
      </c>
    </row>
    <row r="481" spans="1:7" ht="12.75" customHeight="1">
      <c r="A481" s="3">
        <v>34568</v>
      </c>
      <c r="B481" s="4" t="s">
        <v>493</v>
      </c>
      <c r="C481" s="3" t="s">
        <v>6</v>
      </c>
      <c r="D481" s="5">
        <f t="shared" si="14"/>
        <v>5.26</v>
      </c>
      <c r="E481">
        <v>5.78</v>
      </c>
      <c r="F481" s="1789">
        <v>8.8999999999999996E-2</v>
      </c>
      <c r="G481">
        <f t="shared" si="15"/>
        <v>5.26</v>
      </c>
    </row>
    <row r="482" spans="1:7" ht="12.75" customHeight="1">
      <c r="A482" s="3">
        <v>34569</v>
      </c>
      <c r="B482" s="4" t="s">
        <v>494</v>
      </c>
      <c r="C482" s="3" t="s">
        <v>6</v>
      </c>
      <c r="D482" s="5">
        <f t="shared" si="14"/>
        <v>5.41</v>
      </c>
      <c r="E482">
        <v>5.94</v>
      </c>
      <c r="F482" s="1789">
        <v>8.8999999999999996E-2</v>
      </c>
      <c r="G482">
        <f t="shared" si="15"/>
        <v>5.41</v>
      </c>
    </row>
    <row r="483" spans="1:7" ht="12.75" customHeight="1">
      <c r="A483" s="3">
        <v>34570</v>
      </c>
      <c r="B483" s="4" t="s">
        <v>495</v>
      </c>
      <c r="C483" s="3" t="s">
        <v>6</v>
      </c>
      <c r="D483" s="5">
        <f t="shared" si="14"/>
        <v>5.87</v>
      </c>
      <c r="E483">
        <v>6.45</v>
      </c>
      <c r="F483" s="1789">
        <v>8.8999999999999996E-2</v>
      </c>
      <c r="G483">
        <f t="shared" si="15"/>
        <v>5.87</v>
      </c>
    </row>
    <row r="484" spans="1:7" ht="12.75" customHeight="1">
      <c r="A484" s="3">
        <v>25070</v>
      </c>
      <c r="B484" s="4" t="s">
        <v>496</v>
      </c>
      <c r="C484" s="3" t="s">
        <v>6</v>
      </c>
      <c r="D484" s="5">
        <f t="shared" si="14"/>
        <v>4.41</v>
      </c>
      <c r="E484">
        <v>4.8499999999999996</v>
      </c>
      <c r="F484" s="1789">
        <v>8.8999999999999996E-2</v>
      </c>
      <c r="G484">
        <f t="shared" si="15"/>
        <v>4.41</v>
      </c>
    </row>
    <row r="485" spans="1:7" ht="12.75" customHeight="1">
      <c r="A485" s="3">
        <v>34571</v>
      </c>
      <c r="B485" s="4" t="s">
        <v>497</v>
      </c>
      <c r="C485" s="3" t="s">
        <v>6</v>
      </c>
      <c r="D485" s="5">
        <f t="shared" si="14"/>
        <v>4.46</v>
      </c>
      <c r="E485">
        <v>4.9000000000000004</v>
      </c>
      <c r="F485" s="1789">
        <v>8.8999999999999996E-2</v>
      </c>
      <c r="G485">
        <f t="shared" si="15"/>
        <v>4.46</v>
      </c>
    </row>
    <row r="486" spans="1:7" ht="12.75" customHeight="1">
      <c r="A486" s="3">
        <v>34573</v>
      </c>
      <c r="B486" s="4" t="s">
        <v>498</v>
      </c>
      <c r="C486" s="3" t="s">
        <v>6</v>
      </c>
      <c r="D486" s="5">
        <f t="shared" si="14"/>
        <v>4.6900000000000004</v>
      </c>
      <c r="E486">
        <v>5.15</v>
      </c>
      <c r="F486" s="1789">
        <v>8.8999999999999996E-2</v>
      </c>
      <c r="G486">
        <f t="shared" si="15"/>
        <v>4.6900000000000004</v>
      </c>
    </row>
    <row r="487" spans="1:7" ht="12.75" customHeight="1">
      <c r="A487" s="3">
        <v>37107</v>
      </c>
      <c r="B487" s="4" t="s">
        <v>499</v>
      </c>
      <c r="C487" s="3" t="s">
        <v>6</v>
      </c>
      <c r="D487" s="5">
        <f t="shared" si="14"/>
        <v>6.2</v>
      </c>
      <c r="E487">
        <v>6.81</v>
      </c>
      <c r="F487" s="1789">
        <v>8.8999999999999996E-2</v>
      </c>
      <c r="G487">
        <f t="shared" si="15"/>
        <v>6.2</v>
      </c>
    </row>
    <row r="488" spans="1:7" ht="12.75" customHeight="1">
      <c r="A488" s="3">
        <v>34576</v>
      </c>
      <c r="B488" s="4" t="s">
        <v>500</v>
      </c>
      <c r="C488" s="3" t="s">
        <v>6</v>
      </c>
      <c r="D488" s="5">
        <f t="shared" si="14"/>
        <v>6.84</v>
      </c>
      <c r="E488">
        <v>7.51</v>
      </c>
      <c r="F488" s="1789">
        <v>8.8999999999999996E-2</v>
      </c>
      <c r="G488">
        <f t="shared" si="15"/>
        <v>6.84</v>
      </c>
    </row>
    <row r="489" spans="1:7" ht="12.75" customHeight="1">
      <c r="A489" s="3">
        <v>34577</v>
      </c>
      <c r="B489" s="4" t="s">
        <v>501</v>
      </c>
      <c r="C489" s="3" t="s">
        <v>6</v>
      </c>
      <c r="D489" s="5">
        <f t="shared" si="14"/>
        <v>7.14</v>
      </c>
      <c r="E489">
        <v>7.84</v>
      </c>
      <c r="F489" s="1789">
        <v>8.8999999999999996E-2</v>
      </c>
      <c r="G489">
        <f t="shared" si="15"/>
        <v>7.14</v>
      </c>
    </row>
    <row r="490" spans="1:7" ht="12.75" customHeight="1">
      <c r="A490" s="3">
        <v>34578</v>
      </c>
      <c r="B490" s="4" t="s">
        <v>502</v>
      </c>
      <c r="C490" s="3" t="s">
        <v>6</v>
      </c>
      <c r="D490" s="5">
        <f t="shared" si="14"/>
        <v>7.74</v>
      </c>
      <c r="E490">
        <v>8.5</v>
      </c>
      <c r="F490" s="1789">
        <v>8.8999999999999996E-2</v>
      </c>
      <c r="G490">
        <f t="shared" si="15"/>
        <v>7.74</v>
      </c>
    </row>
    <row r="491" spans="1:7" ht="12.75" customHeight="1">
      <c r="A491" s="3">
        <v>34579</v>
      </c>
      <c r="B491" s="4" t="s">
        <v>503</v>
      </c>
      <c r="C491" s="3" t="s">
        <v>6</v>
      </c>
      <c r="D491" s="5">
        <f t="shared" si="14"/>
        <v>8.25</v>
      </c>
      <c r="E491">
        <v>9.06</v>
      </c>
      <c r="F491" s="1789">
        <v>8.8999999999999996E-2</v>
      </c>
      <c r="G491">
        <f t="shared" si="15"/>
        <v>8.25</v>
      </c>
    </row>
    <row r="492" spans="1:7" ht="12.75" customHeight="1">
      <c r="A492" s="3">
        <v>25067</v>
      </c>
      <c r="B492" s="4" t="s">
        <v>504</v>
      </c>
      <c r="C492" s="3" t="s">
        <v>6</v>
      </c>
      <c r="D492" s="5">
        <f t="shared" si="14"/>
        <v>5.52</v>
      </c>
      <c r="E492">
        <v>6.07</v>
      </c>
      <c r="F492" s="1789">
        <v>8.8999999999999996E-2</v>
      </c>
      <c r="G492">
        <f t="shared" si="15"/>
        <v>5.52</v>
      </c>
    </row>
    <row r="493" spans="1:7" ht="12.75" customHeight="1">
      <c r="A493" s="3">
        <v>34580</v>
      </c>
      <c r="B493" s="4" t="s">
        <v>505</v>
      </c>
      <c r="C493" s="3" t="s">
        <v>6</v>
      </c>
      <c r="D493" s="5">
        <f t="shared" si="14"/>
        <v>6.16</v>
      </c>
      <c r="E493">
        <v>6.77</v>
      </c>
      <c r="F493" s="1789">
        <v>8.8999999999999996E-2</v>
      </c>
      <c r="G493">
        <f t="shared" si="15"/>
        <v>6.16</v>
      </c>
    </row>
    <row r="494" spans="1:7" ht="12.75" customHeight="1">
      <c r="A494" s="3">
        <v>25071</v>
      </c>
      <c r="B494" s="4" t="s">
        <v>506</v>
      </c>
      <c r="C494" s="3" t="s">
        <v>6</v>
      </c>
      <c r="D494" s="5">
        <f t="shared" si="14"/>
        <v>3.07</v>
      </c>
      <c r="E494">
        <v>3.37</v>
      </c>
      <c r="F494" s="1789">
        <v>8.8999999999999996E-2</v>
      </c>
      <c r="G494">
        <f t="shared" si="15"/>
        <v>3.07</v>
      </c>
    </row>
    <row r="495" spans="1:7" ht="12.75" customHeight="1">
      <c r="A495" s="3">
        <v>44171</v>
      </c>
      <c r="B495" s="4" t="s">
        <v>507</v>
      </c>
      <c r="C495" s="3" t="s">
        <v>6</v>
      </c>
      <c r="D495" s="5">
        <f t="shared" si="14"/>
        <v>16.07</v>
      </c>
      <c r="E495">
        <v>17.649999999999999</v>
      </c>
      <c r="F495" s="1789">
        <v>8.8999999999999996E-2</v>
      </c>
      <c r="G495">
        <f t="shared" si="15"/>
        <v>16.07</v>
      </c>
    </row>
    <row r="496" spans="1:7" ht="12.75" customHeight="1">
      <c r="A496" s="3">
        <v>38395</v>
      </c>
      <c r="B496" s="4" t="s">
        <v>508</v>
      </c>
      <c r="C496" s="3" t="s">
        <v>6</v>
      </c>
      <c r="D496" s="5">
        <f t="shared" si="14"/>
        <v>9.5500000000000007</v>
      </c>
      <c r="E496">
        <v>10.49</v>
      </c>
      <c r="F496" s="1789">
        <v>8.8999999999999996E-2</v>
      </c>
      <c r="G496">
        <f t="shared" si="15"/>
        <v>9.5500000000000007</v>
      </c>
    </row>
    <row r="497" spans="1:7" ht="12.75" customHeight="1">
      <c r="A497" s="3">
        <v>34583</v>
      </c>
      <c r="B497" s="4" t="s">
        <v>509</v>
      </c>
      <c r="C497" s="3" t="s">
        <v>409</v>
      </c>
      <c r="D497" s="5">
        <f t="shared" si="14"/>
        <v>64.67</v>
      </c>
      <c r="E497">
        <v>70.989999999999995</v>
      </c>
      <c r="F497" s="1789">
        <v>8.8999999999999996E-2</v>
      </c>
      <c r="G497">
        <f t="shared" si="15"/>
        <v>64.67</v>
      </c>
    </row>
    <row r="498" spans="1:7" ht="12.75" customHeight="1">
      <c r="A498" s="3">
        <v>34584</v>
      </c>
      <c r="B498" s="4" t="s">
        <v>510</v>
      </c>
      <c r="C498" s="3" t="s">
        <v>409</v>
      </c>
      <c r="D498" s="5">
        <f t="shared" si="14"/>
        <v>47.42</v>
      </c>
      <c r="E498">
        <v>52.06</v>
      </c>
      <c r="F498" s="1789">
        <v>8.8999999999999996E-2</v>
      </c>
      <c r="G498">
        <f t="shared" si="15"/>
        <v>47.42</v>
      </c>
    </row>
    <row r="499" spans="1:7" ht="12.75" customHeight="1">
      <c r="A499" s="3">
        <v>709</v>
      </c>
      <c r="B499" s="4" t="s">
        <v>511</v>
      </c>
      <c r="C499" s="3" t="s">
        <v>409</v>
      </c>
      <c r="D499" s="5">
        <f t="shared" si="14"/>
        <v>663.13</v>
      </c>
      <c r="E499">
        <v>727.92</v>
      </c>
      <c r="F499" s="1789">
        <v>8.8999999999999996E-2</v>
      </c>
      <c r="G499">
        <f t="shared" si="15"/>
        <v>663.13</v>
      </c>
    </row>
    <row r="500" spans="1:7" ht="12.75" customHeight="1">
      <c r="A500" s="3">
        <v>34599</v>
      </c>
      <c r="B500" s="4" t="s">
        <v>512</v>
      </c>
      <c r="C500" s="3" t="s">
        <v>6</v>
      </c>
      <c r="D500" s="5">
        <f t="shared" si="14"/>
        <v>3.15</v>
      </c>
      <c r="E500">
        <v>3.46</v>
      </c>
      <c r="F500" s="1789">
        <v>8.8999999999999996E-2</v>
      </c>
      <c r="G500">
        <f t="shared" si="15"/>
        <v>3.15</v>
      </c>
    </row>
    <row r="501" spans="1:7" ht="12.75" customHeight="1">
      <c r="A501" s="3">
        <v>34592</v>
      </c>
      <c r="B501" s="4" t="s">
        <v>513</v>
      </c>
      <c r="C501" s="3" t="s">
        <v>6</v>
      </c>
      <c r="D501" s="5">
        <f t="shared" si="14"/>
        <v>3.51</v>
      </c>
      <c r="E501">
        <v>3.86</v>
      </c>
      <c r="F501" s="1789">
        <v>8.8999999999999996E-2</v>
      </c>
      <c r="G501">
        <f t="shared" si="15"/>
        <v>3.51</v>
      </c>
    </row>
    <row r="502" spans="1:7" ht="12.75" customHeight="1">
      <c r="A502" s="3">
        <v>37103</v>
      </c>
      <c r="B502" s="4" t="s">
        <v>514</v>
      </c>
      <c r="C502" s="3" t="s">
        <v>6</v>
      </c>
      <c r="D502" s="5">
        <f t="shared" si="14"/>
        <v>4.01</v>
      </c>
      <c r="E502">
        <v>4.41</v>
      </c>
      <c r="F502" s="1789">
        <v>8.8999999999999996E-2</v>
      </c>
      <c r="G502">
        <f t="shared" si="15"/>
        <v>4.01</v>
      </c>
    </row>
    <row r="503" spans="1:7" ht="12.75" customHeight="1">
      <c r="A503" s="3">
        <v>34555</v>
      </c>
      <c r="B503" s="4" t="s">
        <v>515</v>
      </c>
      <c r="C503" s="3" t="s">
        <v>6</v>
      </c>
      <c r="D503" s="5">
        <f t="shared" si="14"/>
        <v>5.0999999999999996</v>
      </c>
      <c r="E503">
        <v>5.6</v>
      </c>
      <c r="F503" s="1789">
        <v>8.8999999999999996E-2</v>
      </c>
      <c r="G503">
        <f t="shared" si="15"/>
        <v>5.0999999999999996</v>
      </c>
    </row>
    <row r="504" spans="1:7" ht="12.75" customHeight="1">
      <c r="A504" s="3">
        <v>674</v>
      </c>
      <c r="B504" s="4" t="s">
        <v>516</v>
      </c>
      <c r="C504" s="3" t="s">
        <v>409</v>
      </c>
      <c r="D504" s="5">
        <f t="shared" si="14"/>
        <v>76.239999999999995</v>
      </c>
      <c r="E504">
        <v>83.69</v>
      </c>
      <c r="F504" s="1789">
        <v>8.8999999999999996E-2</v>
      </c>
      <c r="G504">
        <f t="shared" si="15"/>
        <v>76.239999999999995</v>
      </c>
    </row>
    <row r="505" spans="1:7" ht="12.75" customHeight="1">
      <c r="A505" s="3">
        <v>34600</v>
      </c>
      <c r="B505" s="4" t="s">
        <v>517</v>
      </c>
      <c r="C505" s="3" t="s">
        <v>409</v>
      </c>
      <c r="D505" s="5">
        <f t="shared" si="14"/>
        <v>111.98</v>
      </c>
      <c r="E505">
        <v>122.93</v>
      </c>
      <c r="F505" s="1789">
        <v>8.8999999999999996E-2</v>
      </c>
      <c r="G505">
        <f t="shared" si="15"/>
        <v>111.98</v>
      </c>
    </row>
    <row r="506" spans="1:7" ht="12.75" customHeight="1">
      <c r="A506" s="3">
        <v>652</v>
      </c>
      <c r="B506" s="4" t="s">
        <v>518</v>
      </c>
      <c r="C506" s="3" t="s">
        <v>409</v>
      </c>
      <c r="D506" s="5">
        <f t="shared" si="14"/>
        <v>171.55</v>
      </c>
      <c r="E506">
        <v>188.31</v>
      </c>
      <c r="F506" s="1789">
        <v>8.8999999999999996E-2</v>
      </c>
      <c r="G506">
        <f t="shared" si="15"/>
        <v>171.55</v>
      </c>
    </row>
    <row r="507" spans="1:7" ht="12.75" customHeight="1">
      <c r="A507" s="3">
        <v>651</v>
      </c>
      <c r="B507" s="4" t="s">
        <v>519</v>
      </c>
      <c r="C507" s="3" t="s">
        <v>6</v>
      </c>
      <c r="D507" s="5">
        <f t="shared" si="14"/>
        <v>3.87</v>
      </c>
      <c r="E507">
        <v>4.25</v>
      </c>
      <c r="F507" s="1789">
        <v>8.8999999999999996E-2</v>
      </c>
      <c r="G507">
        <f t="shared" si="15"/>
        <v>3.87</v>
      </c>
    </row>
    <row r="508" spans="1:7" ht="12.75" customHeight="1">
      <c r="A508" s="3">
        <v>654</v>
      </c>
      <c r="B508" s="4" t="s">
        <v>520</v>
      </c>
      <c r="C508" s="3" t="s">
        <v>6</v>
      </c>
      <c r="D508" s="5">
        <f t="shared" si="14"/>
        <v>4.8</v>
      </c>
      <c r="E508">
        <v>5.27</v>
      </c>
      <c r="F508" s="1789">
        <v>8.8999999999999996E-2</v>
      </c>
      <c r="G508">
        <f t="shared" si="15"/>
        <v>4.8</v>
      </c>
    </row>
    <row r="509" spans="1:7" ht="12.75" customHeight="1">
      <c r="A509" s="3">
        <v>650</v>
      </c>
      <c r="B509" s="4" t="s">
        <v>521</v>
      </c>
      <c r="C509" s="3" t="s">
        <v>6</v>
      </c>
      <c r="D509" s="5">
        <f t="shared" si="14"/>
        <v>3.09</v>
      </c>
      <c r="E509">
        <v>3.4</v>
      </c>
      <c r="F509" s="1789">
        <v>8.8999999999999996E-2</v>
      </c>
      <c r="G509">
        <f t="shared" si="15"/>
        <v>3.09</v>
      </c>
    </row>
    <row r="510" spans="1:7" ht="12.75" customHeight="1">
      <c r="A510" s="3">
        <v>718</v>
      </c>
      <c r="B510" s="4" t="s">
        <v>522</v>
      </c>
      <c r="C510" s="3" t="s">
        <v>6</v>
      </c>
      <c r="D510" s="5">
        <f t="shared" si="14"/>
        <v>24.57</v>
      </c>
      <c r="E510">
        <v>26.98</v>
      </c>
      <c r="F510" s="1789">
        <v>8.8999999999999996E-2</v>
      </c>
      <c r="G510">
        <f t="shared" si="15"/>
        <v>24.57</v>
      </c>
    </row>
    <row r="511" spans="1:7" ht="12.75" customHeight="1">
      <c r="A511" s="3">
        <v>11981</v>
      </c>
      <c r="B511" s="4" t="s">
        <v>523</v>
      </c>
      <c r="C511" s="3" t="s">
        <v>6</v>
      </c>
      <c r="D511" s="5">
        <f t="shared" si="14"/>
        <v>23.86</v>
      </c>
      <c r="E511">
        <v>26.2</v>
      </c>
      <c r="F511" s="1789">
        <v>8.8999999999999996E-2</v>
      </c>
      <c r="G511">
        <f t="shared" si="15"/>
        <v>23.86</v>
      </c>
    </row>
    <row r="512" spans="1:7" ht="12.75" customHeight="1">
      <c r="A512" s="3">
        <v>34586</v>
      </c>
      <c r="B512" s="4" t="s">
        <v>524</v>
      </c>
      <c r="C512" s="3" t="s">
        <v>6</v>
      </c>
      <c r="D512" s="5">
        <f t="shared" si="14"/>
        <v>2.76</v>
      </c>
      <c r="E512">
        <v>3.03</v>
      </c>
      <c r="F512" s="1789">
        <v>8.8999999999999996E-2</v>
      </c>
      <c r="G512">
        <f t="shared" si="15"/>
        <v>2.76</v>
      </c>
    </row>
    <row r="513" spans="1:7" ht="12.75" customHeight="1">
      <c r="A513" s="3">
        <v>38603</v>
      </c>
      <c r="B513" s="4" t="s">
        <v>525</v>
      </c>
      <c r="C513" s="3" t="s">
        <v>6</v>
      </c>
      <c r="D513" s="5">
        <f t="shared" si="14"/>
        <v>3.34</v>
      </c>
      <c r="E513">
        <v>3.67</v>
      </c>
      <c r="F513" s="1789">
        <v>8.8999999999999996E-2</v>
      </c>
      <c r="G513">
        <f t="shared" si="15"/>
        <v>3.34</v>
      </c>
    </row>
    <row r="514" spans="1:7" ht="12.75" customHeight="1">
      <c r="A514" s="3">
        <v>34588</v>
      </c>
      <c r="B514" s="4" t="s">
        <v>526</v>
      </c>
      <c r="C514" s="3" t="s">
        <v>6</v>
      </c>
      <c r="D514" s="5">
        <f t="shared" si="14"/>
        <v>3.6</v>
      </c>
      <c r="E514">
        <v>3.96</v>
      </c>
      <c r="F514" s="1789">
        <v>8.8999999999999996E-2</v>
      </c>
      <c r="G514">
        <f t="shared" si="15"/>
        <v>3.6</v>
      </c>
    </row>
    <row r="515" spans="1:7" ht="12.75" customHeight="1">
      <c r="A515" s="3">
        <v>34590</v>
      </c>
      <c r="B515" s="4" t="s">
        <v>527</v>
      </c>
      <c r="C515" s="3" t="s">
        <v>6</v>
      </c>
      <c r="D515" s="5">
        <f t="shared" ref="D515:D578" si="16">G515</f>
        <v>3.28</v>
      </c>
      <c r="E515">
        <v>3.61</v>
      </c>
      <c r="F515" s="1789">
        <v>8.8999999999999996E-2</v>
      </c>
      <c r="G515">
        <f t="shared" ref="G515:G578" si="17">TRUNC((1-F515)*E515,2)</f>
        <v>3.28</v>
      </c>
    </row>
    <row r="516" spans="1:7" ht="12.75" customHeight="1">
      <c r="A516" s="3">
        <v>34591</v>
      </c>
      <c r="B516" s="4" t="s">
        <v>528</v>
      </c>
      <c r="C516" s="3" t="s">
        <v>6</v>
      </c>
      <c r="D516" s="5">
        <f t="shared" si="16"/>
        <v>4.46</v>
      </c>
      <c r="E516">
        <v>4.9000000000000004</v>
      </c>
      <c r="F516" s="1789">
        <v>8.8999999999999996E-2</v>
      </c>
      <c r="G516">
        <f t="shared" si="17"/>
        <v>4.46</v>
      </c>
    </row>
    <row r="517" spans="1:7" ht="12.75" customHeight="1">
      <c r="A517" s="3">
        <v>40517</v>
      </c>
      <c r="B517" s="4" t="s">
        <v>529</v>
      </c>
      <c r="C517" s="3" t="s">
        <v>409</v>
      </c>
      <c r="D517" s="5">
        <f t="shared" si="16"/>
        <v>72.39</v>
      </c>
      <c r="E517">
        <v>79.47</v>
      </c>
      <c r="F517" s="1789">
        <v>8.8999999999999996E-2</v>
      </c>
      <c r="G517">
        <f t="shared" si="17"/>
        <v>72.39</v>
      </c>
    </row>
    <row r="518" spans="1:7" ht="12.75" customHeight="1">
      <c r="A518" s="3">
        <v>40515</v>
      </c>
      <c r="B518" s="4" t="s">
        <v>530</v>
      </c>
      <c r="C518" s="3" t="s">
        <v>409</v>
      </c>
      <c r="D518" s="5">
        <f t="shared" si="16"/>
        <v>162.9</v>
      </c>
      <c r="E518">
        <v>178.82</v>
      </c>
      <c r="F518" s="1789">
        <v>8.8999999999999996E-2</v>
      </c>
      <c r="G518">
        <f t="shared" si="17"/>
        <v>162.9</v>
      </c>
    </row>
    <row r="519" spans="1:7" ht="12.75" customHeight="1">
      <c r="A519" s="3">
        <v>40524</v>
      </c>
      <c r="B519" s="4" t="s">
        <v>531</v>
      </c>
      <c r="C519" s="3" t="s">
        <v>409</v>
      </c>
      <c r="D519" s="5">
        <f t="shared" si="16"/>
        <v>101.81</v>
      </c>
      <c r="E519">
        <v>111.76</v>
      </c>
      <c r="F519" s="1789">
        <v>8.8999999999999996E-2</v>
      </c>
      <c r="G519">
        <f t="shared" si="17"/>
        <v>101.81</v>
      </c>
    </row>
    <row r="520" spans="1:7" ht="12.75" customHeight="1">
      <c r="A520" s="3">
        <v>40529</v>
      </c>
      <c r="B520" s="4" t="s">
        <v>532</v>
      </c>
      <c r="C520" s="3" t="s">
        <v>409</v>
      </c>
      <c r="D520" s="5">
        <f t="shared" si="16"/>
        <v>104.07</v>
      </c>
      <c r="E520">
        <v>114.24</v>
      </c>
      <c r="F520" s="1789">
        <v>8.8999999999999996E-2</v>
      </c>
      <c r="G520">
        <f t="shared" si="17"/>
        <v>104.07</v>
      </c>
    </row>
    <row r="521" spans="1:7" ht="12.75" customHeight="1">
      <c r="A521" s="3">
        <v>36156</v>
      </c>
      <c r="B521" s="4" t="s">
        <v>533</v>
      </c>
      <c r="C521" s="3" t="s">
        <v>409</v>
      </c>
      <c r="D521" s="5">
        <f t="shared" si="16"/>
        <v>79.180000000000007</v>
      </c>
      <c r="E521">
        <v>86.92</v>
      </c>
      <c r="F521" s="1789">
        <v>8.8999999999999996E-2</v>
      </c>
      <c r="G521">
        <f t="shared" si="17"/>
        <v>79.180000000000007</v>
      </c>
    </row>
    <row r="522" spans="1:7" ht="12.75" customHeight="1">
      <c r="A522" s="3">
        <v>36155</v>
      </c>
      <c r="B522" s="4" t="s">
        <v>534</v>
      </c>
      <c r="C522" s="3" t="s">
        <v>409</v>
      </c>
      <c r="D522" s="5">
        <f t="shared" si="16"/>
        <v>68.36</v>
      </c>
      <c r="E522">
        <v>75.040000000000006</v>
      </c>
      <c r="F522" s="1789">
        <v>8.8999999999999996E-2</v>
      </c>
      <c r="G522">
        <f t="shared" si="17"/>
        <v>68.36</v>
      </c>
    </row>
    <row r="523" spans="1:7" ht="12.75" customHeight="1">
      <c r="A523" s="3">
        <v>36154</v>
      </c>
      <c r="B523" s="4" t="s">
        <v>535</v>
      </c>
      <c r="C523" s="3" t="s">
        <v>409</v>
      </c>
      <c r="D523" s="5">
        <f t="shared" si="16"/>
        <v>95.02</v>
      </c>
      <c r="E523">
        <v>104.31</v>
      </c>
      <c r="F523" s="1789">
        <v>8.8999999999999996E-2</v>
      </c>
      <c r="G523">
        <f t="shared" si="17"/>
        <v>95.02</v>
      </c>
    </row>
    <row r="524" spans="1:7" ht="12.75" customHeight="1">
      <c r="A524" s="3">
        <v>36170</v>
      </c>
      <c r="B524" s="4" t="s">
        <v>536</v>
      </c>
      <c r="C524" s="3" t="s">
        <v>409</v>
      </c>
      <c r="D524" s="5">
        <f t="shared" si="16"/>
        <v>86.35</v>
      </c>
      <c r="E524">
        <v>94.79</v>
      </c>
      <c r="F524" s="1789">
        <v>8.8999999999999996E-2</v>
      </c>
      <c r="G524">
        <f t="shared" si="17"/>
        <v>86.35</v>
      </c>
    </row>
    <row r="525" spans="1:7" ht="12.75" customHeight="1">
      <c r="A525" s="3">
        <v>695</v>
      </c>
      <c r="B525" s="4" t="s">
        <v>537</v>
      </c>
      <c r="C525" s="3" t="s">
        <v>409</v>
      </c>
      <c r="D525" s="5">
        <f t="shared" si="16"/>
        <v>69.8</v>
      </c>
      <c r="E525">
        <v>76.62</v>
      </c>
      <c r="F525" s="1789">
        <v>8.8999999999999996E-2</v>
      </c>
      <c r="G525">
        <f t="shared" si="17"/>
        <v>69.8</v>
      </c>
    </row>
    <row r="526" spans="1:7" ht="12.75" customHeight="1">
      <c r="A526" s="3">
        <v>679</v>
      </c>
      <c r="B526" s="4" t="s">
        <v>538</v>
      </c>
      <c r="C526" s="3" t="s">
        <v>409</v>
      </c>
      <c r="D526" s="5">
        <f t="shared" si="16"/>
        <v>104.07</v>
      </c>
      <c r="E526">
        <v>114.24</v>
      </c>
      <c r="F526" s="1789">
        <v>8.8999999999999996E-2</v>
      </c>
      <c r="G526">
        <f t="shared" si="17"/>
        <v>104.07</v>
      </c>
    </row>
    <row r="527" spans="1:7" ht="12.75" customHeight="1">
      <c r="A527" s="3">
        <v>711</v>
      </c>
      <c r="B527" s="4" t="s">
        <v>539</v>
      </c>
      <c r="C527" s="3" t="s">
        <v>409</v>
      </c>
      <c r="D527" s="5">
        <f t="shared" si="16"/>
        <v>68.84</v>
      </c>
      <c r="E527">
        <v>75.569999999999993</v>
      </c>
      <c r="F527" s="1789">
        <v>8.8999999999999996E-2</v>
      </c>
      <c r="G527">
        <f t="shared" si="17"/>
        <v>68.84</v>
      </c>
    </row>
    <row r="528" spans="1:7" ht="12.75" customHeight="1">
      <c r="A528" s="3">
        <v>712</v>
      </c>
      <c r="B528" s="4" t="s">
        <v>540</v>
      </c>
      <c r="C528" s="3" t="s">
        <v>409</v>
      </c>
      <c r="D528" s="5">
        <f t="shared" si="16"/>
        <v>86.71</v>
      </c>
      <c r="E528">
        <v>95.19</v>
      </c>
      <c r="F528" s="1789">
        <v>8.8999999999999996E-2</v>
      </c>
      <c r="G528">
        <f t="shared" si="17"/>
        <v>86.71</v>
      </c>
    </row>
    <row r="529" spans="1:7" ht="12.75" customHeight="1">
      <c r="A529" s="3">
        <v>12614</v>
      </c>
      <c r="B529" s="4" t="s">
        <v>541</v>
      </c>
      <c r="C529" s="3" t="s">
        <v>6</v>
      </c>
      <c r="D529" s="5">
        <f t="shared" si="16"/>
        <v>45.71</v>
      </c>
      <c r="E529">
        <v>50.18</v>
      </c>
      <c r="F529" s="1789">
        <v>8.8999999999999996E-2</v>
      </c>
      <c r="G529">
        <f t="shared" si="17"/>
        <v>45.71</v>
      </c>
    </row>
    <row r="530" spans="1:7" ht="12.75" customHeight="1">
      <c r="A530" s="3">
        <v>6140</v>
      </c>
      <c r="B530" s="4" t="s">
        <v>542</v>
      </c>
      <c r="C530" s="3" t="s">
        <v>6</v>
      </c>
      <c r="D530" s="5">
        <f t="shared" si="16"/>
        <v>3.16</v>
      </c>
      <c r="E530">
        <v>3.47</v>
      </c>
      <c r="F530" s="1789">
        <v>8.8999999999999996E-2</v>
      </c>
      <c r="G530">
        <f t="shared" si="17"/>
        <v>3.16</v>
      </c>
    </row>
    <row r="531" spans="1:7" ht="12.75" customHeight="1">
      <c r="A531" s="3">
        <v>38399</v>
      </c>
      <c r="B531" s="4" t="s">
        <v>543</v>
      </c>
      <c r="C531" s="3" t="s">
        <v>6</v>
      </c>
      <c r="D531" s="5">
        <f t="shared" si="16"/>
        <v>311.54000000000002</v>
      </c>
      <c r="E531">
        <v>341.98</v>
      </c>
      <c r="F531" s="1789">
        <v>8.8999999999999996E-2</v>
      </c>
      <c r="G531">
        <f t="shared" si="17"/>
        <v>311.54000000000002</v>
      </c>
    </row>
    <row r="532" spans="1:7" ht="12.75" customHeight="1">
      <c r="A532" s="3">
        <v>729</v>
      </c>
      <c r="B532" s="4" t="s">
        <v>544</v>
      </c>
      <c r="C532" s="3" t="s">
        <v>6</v>
      </c>
      <c r="D532" s="5">
        <f t="shared" si="16"/>
        <v>726.97</v>
      </c>
      <c r="E532">
        <v>798</v>
      </c>
      <c r="F532" s="1789">
        <v>8.8999999999999996E-2</v>
      </c>
      <c r="G532">
        <f t="shared" si="17"/>
        <v>726.97</v>
      </c>
    </row>
    <row r="533" spans="1:7" ht="12.75" customHeight="1">
      <c r="A533" s="3">
        <v>39925</v>
      </c>
      <c r="B533" s="4" t="s">
        <v>545</v>
      </c>
      <c r="C533" s="3" t="s">
        <v>6</v>
      </c>
      <c r="D533" s="5">
        <f t="shared" si="16"/>
        <v>10504.75</v>
      </c>
      <c r="E533">
        <v>11531.02</v>
      </c>
      <c r="F533" s="1789">
        <v>8.8999999999999996E-2</v>
      </c>
      <c r="G533">
        <f t="shared" si="17"/>
        <v>10504.75</v>
      </c>
    </row>
    <row r="534" spans="1:7" ht="12.75" customHeight="1">
      <c r="A534" s="3">
        <v>731</v>
      </c>
      <c r="B534" s="4" t="s">
        <v>546</v>
      </c>
      <c r="C534" s="3" t="s">
        <v>6</v>
      </c>
      <c r="D534" s="5">
        <f t="shared" si="16"/>
        <v>707.52</v>
      </c>
      <c r="E534">
        <v>776.65</v>
      </c>
      <c r="F534" s="1789">
        <v>8.8999999999999996E-2</v>
      </c>
      <c r="G534">
        <f t="shared" si="17"/>
        <v>707.52</v>
      </c>
    </row>
    <row r="535" spans="1:7" ht="12.75" customHeight="1">
      <c r="A535" s="3">
        <v>10575</v>
      </c>
      <c r="B535" s="4" t="s">
        <v>547</v>
      </c>
      <c r="C535" s="3" t="s">
        <v>6</v>
      </c>
      <c r="D535" s="5">
        <f t="shared" si="16"/>
        <v>1104.1500000000001</v>
      </c>
      <c r="E535">
        <v>1212.02</v>
      </c>
      <c r="F535" s="1789">
        <v>8.8999999999999996E-2</v>
      </c>
      <c r="G535">
        <f t="shared" si="17"/>
        <v>1104.1500000000001</v>
      </c>
    </row>
    <row r="536" spans="1:7" ht="12.75" customHeight="1">
      <c r="A536" s="3">
        <v>733</v>
      </c>
      <c r="B536" s="4" t="s">
        <v>548</v>
      </c>
      <c r="C536" s="3" t="s">
        <v>6</v>
      </c>
      <c r="D536" s="5">
        <f t="shared" si="16"/>
        <v>1208.9000000000001</v>
      </c>
      <c r="E536">
        <v>1327.01</v>
      </c>
      <c r="F536" s="1789">
        <v>8.8999999999999996E-2</v>
      </c>
      <c r="G536">
        <f t="shared" si="17"/>
        <v>1208.9000000000001</v>
      </c>
    </row>
    <row r="537" spans="1:7" ht="12.75" customHeight="1">
      <c r="A537" s="3">
        <v>732</v>
      </c>
      <c r="B537" s="4" t="s">
        <v>549</v>
      </c>
      <c r="C537" s="3" t="s">
        <v>6</v>
      </c>
      <c r="D537" s="5">
        <f t="shared" si="16"/>
        <v>1192.6500000000001</v>
      </c>
      <c r="E537">
        <v>1309.17</v>
      </c>
      <c r="F537" s="1789">
        <v>8.8999999999999996E-2</v>
      </c>
      <c r="G537">
        <f t="shared" si="17"/>
        <v>1192.6500000000001</v>
      </c>
    </row>
    <row r="538" spans="1:7" ht="12.75" customHeight="1">
      <c r="A538" s="3">
        <v>735</v>
      </c>
      <c r="B538" s="4" t="s">
        <v>550</v>
      </c>
      <c r="C538" s="3" t="s">
        <v>6</v>
      </c>
      <c r="D538" s="5">
        <f t="shared" si="16"/>
        <v>2121.67</v>
      </c>
      <c r="E538">
        <v>2328.9499999999998</v>
      </c>
      <c r="F538" s="1789">
        <v>8.8999999999999996E-2</v>
      </c>
      <c r="G538">
        <f t="shared" si="17"/>
        <v>2121.67</v>
      </c>
    </row>
    <row r="539" spans="1:7" ht="12.75" customHeight="1">
      <c r="A539" s="3">
        <v>737</v>
      </c>
      <c r="B539" s="4" t="s">
        <v>551</v>
      </c>
      <c r="C539" s="3" t="s">
        <v>6</v>
      </c>
      <c r="D539" s="5">
        <f t="shared" si="16"/>
        <v>6688.07</v>
      </c>
      <c r="E539">
        <v>7341.47</v>
      </c>
      <c r="F539" s="1789">
        <v>8.8999999999999996E-2</v>
      </c>
      <c r="G539">
        <f t="shared" si="17"/>
        <v>6688.07</v>
      </c>
    </row>
    <row r="540" spans="1:7" ht="12.75" customHeight="1">
      <c r="A540" s="3">
        <v>736</v>
      </c>
      <c r="B540" s="4" t="s">
        <v>552</v>
      </c>
      <c r="C540" s="3" t="s">
        <v>6</v>
      </c>
      <c r="D540" s="5">
        <f t="shared" si="16"/>
        <v>1783.94</v>
      </c>
      <c r="E540">
        <v>1958.23</v>
      </c>
      <c r="F540" s="1789">
        <v>8.8999999999999996E-2</v>
      </c>
      <c r="G540">
        <f t="shared" si="17"/>
        <v>1783.94</v>
      </c>
    </row>
    <row r="541" spans="1:7" ht="12.75" customHeight="1">
      <c r="A541" s="3">
        <v>738</v>
      </c>
      <c r="B541" s="4" t="s">
        <v>553</v>
      </c>
      <c r="C541" s="3" t="s">
        <v>6</v>
      </c>
      <c r="D541" s="5">
        <f t="shared" si="16"/>
        <v>3101.2</v>
      </c>
      <c r="E541">
        <v>3404.18</v>
      </c>
      <c r="F541" s="1789">
        <v>8.8999999999999996E-2</v>
      </c>
      <c r="G541">
        <f t="shared" si="17"/>
        <v>3101.2</v>
      </c>
    </row>
    <row r="542" spans="1:7" ht="12.75" customHeight="1">
      <c r="A542" s="3">
        <v>740</v>
      </c>
      <c r="B542" s="4" t="s">
        <v>554</v>
      </c>
      <c r="C542" s="3" t="s">
        <v>6</v>
      </c>
      <c r="D542" s="5">
        <f t="shared" si="16"/>
        <v>6291.72</v>
      </c>
      <c r="E542">
        <v>6906.39</v>
      </c>
      <c r="F542" s="1789">
        <v>8.8999999999999996E-2</v>
      </c>
      <c r="G542">
        <f t="shared" si="17"/>
        <v>6291.72</v>
      </c>
    </row>
    <row r="543" spans="1:7" ht="12.75" customHeight="1">
      <c r="A543" s="3">
        <v>734</v>
      </c>
      <c r="B543" s="4" t="s">
        <v>555</v>
      </c>
      <c r="C543" s="3" t="s">
        <v>6</v>
      </c>
      <c r="D543" s="5">
        <f t="shared" si="16"/>
        <v>1278.52</v>
      </c>
      <c r="E543">
        <v>1403.43</v>
      </c>
      <c r="F543" s="1789">
        <v>8.8999999999999996E-2</v>
      </c>
      <c r="G543">
        <f t="shared" si="17"/>
        <v>1278.52</v>
      </c>
    </row>
    <row r="544" spans="1:7" ht="12.75" customHeight="1">
      <c r="A544" s="3">
        <v>39008</v>
      </c>
      <c r="B544" s="4" t="s">
        <v>556</v>
      </c>
      <c r="C544" s="3" t="s">
        <v>6</v>
      </c>
      <c r="D544" s="5">
        <f t="shared" si="16"/>
        <v>57682.16</v>
      </c>
      <c r="E544">
        <v>63317.42</v>
      </c>
      <c r="F544" s="1789">
        <v>8.8999999999999996E-2</v>
      </c>
      <c r="G544">
        <f t="shared" si="17"/>
        <v>57682.16</v>
      </c>
    </row>
    <row r="545" spans="1:7" ht="12.75" customHeight="1">
      <c r="A545" s="3">
        <v>39009</v>
      </c>
      <c r="B545" s="4" t="s">
        <v>557</v>
      </c>
      <c r="C545" s="3" t="s">
        <v>6</v>
      </c>
      <c r="D545" s="5">
        <f t="shared" si="16"/>
        <v>61799.29</v>
      </c>
      <c r="E545">
        <v>67836.77</v>
      </c>
      <c r="F545" s="1789">
        <v>8.8999999999999996E-2</v>
      </c>
      <c r="G545">
        <f t="shared" si="17"/>
        <v>61799.29</v>
      </c>
    </row>
    <row r="546" spans="1:7" ht="12.75" customHeight="1">
      <c r="A546" s="3">
        <v>10587</v>
      </c>
      <c r="B546" s="4" t="s">
        <v>558</v>
      </c>
      <c r="C546" s="3" t="s">
        <v>6</v>
      </c>
      <c r="D546" s="5">
        <f t="shared" si="16"/>
        <v>2575.19</v>
      </c>
      <c r="E546">
        <v>2826.78</v>
      </c>
      <c r="F546" s="1789">
        <v>8.8999999999999996E-2</v>
      </c>
      <c r="G546">
        <f t="shared" si="17"/>
        <v>2575.19</v>
      </c>
    </row>
    <row r="547" spans="1:7" ht="12.75" customHeight="1">
      <c r="A547" s="3">
        <v>759</v>
      </c>
      <c r="B547" s="4" t="s">
        <v>559</v>
      </c>
      <c r="C547" s="3" t="s">
        <v>6</v>
      </c>
      <c r="D547" s="5">
        <f t="shared" si="16"/>
        <v>3702.62</v>
      </c>
      <c r="E547">
        <v>4064.35</v>
      </c>
      <c r="F547" s="1789">
        <v>8.8999999999999996E-2</v>
      </c>
      <c r="G547">
        <f t="shared" si="17"/>
        <v>3702.62</v>
      </c>
    </row>
    <row r="548" spans="1:7" ht="12.75" customHeight="1">
      <c r="A548" s="3">
        <v>761</v>
      </c>
      <c r="B548" s="4" t="s">
        <v>560</v>
      </c>
      <c r="C548" s="3" t="s">
        <v>6</v>
      </c>
      <c r="D548" s="5">
        <f t="shared" si="16"/>
        <v>6276.26</v>
      </c>
      <c r="E548">
        <v>6889.42</v>
      </c>
      <c r="F548" s="1789">
        <v>8.8999999999999996E-2</v>
      </c>
      <c r="G548">
        <f t="shared" si="17"/>
        <v>6276.26</v>
      </c>
    </row>
    <row r="549" spans="1:7" ht="12.75" customHeight="1">
      <c r="A549" s="3">
        <v>750</v>
      </c>
      <c r="B549" s="4" t="s">
        <v>561</v>
      </c>
      <c r="C549" s="3" t="s">
        <v>6</v>
      </c>
      <c r="D549" s="5">
        <f t="shared" si="16"/>
        <v>5958.81</v>
      </c>
      <c r="E549">
        <v>6540.96</v>
      </c>
      <c r="F549" s="1789">
        <v>8.8999999999999996E-2</v>
      </c>
      <c r="G549">
        <f t="shared" si="17"/>
        <v>5958.81</v>
      </c>
    </row>
    <row r="550" spans="1:7" ht="12.75" customHeight="1">
      <c r="A550" s="3">
        <v>755</v>
      </c>
      <c r="B550" s="4" t="s">
        <v>562</v>
      </c>
      <c r="C550" s="3" t="s">
        <v>6</v>
      </c>
      <c r="D550" s="5">
        <f t="shared" si="16"/>
        <v>24452.080000000002</v>
      </c>
      <c r="E550">
        <v>26840.93</v>
      </c>
      <c r="F550" s="1789">
        <v>8.8999999999999996E-2</v>
      </c>
      <c r="G550">
        <f t="shared" si="17"/>
        <v>24452.080000000002</v>
      </c>
    </row>
    <row r="551" spans="1:7" ht="12.75" customHeight="1">
      <c r="A551" s="3">
        <v>749</v>
      </c>
      <c r="B551" s="4" t="s">
        <v>563</v>
      </c>
      <c r="C551" s="3" t="s">
        <v>6</v>
      </c>
      <c r="D551" s="5">
        <f t="shared" si="16"/>
        <v>8993.01</v>
      </c>
      <c r="E551">
        <v>9871.59</v>
      </c>
      <c r="F551" s="1789">
        <v>8.8999999999999996E-2</v>
      </c>
      <c r="G551">
        <f t="shared" si="17"/>
        <v>8993.01</v>
      </c>
    </row>
    <row r="552" spans="1:7" ht="12.75" customHeight="1">
      <c r="A552" s="3">
        <v>756</v>
      </c>
      <c r="B552" s="4" t="s">
        <v>564</v>
      </c>
      <c r="C552" s="3" t="s">
        <v>6</v>
      </c>
      <c r="D552" s="5">
        <f t="shared" si="16"/>
        <v>26668.27</v>
      </c>
      <c r="E552">
        <v>29273.63</v>
      </c>
      <c r="F552" s="1789">
        <v>8.8999999999999996E-2</v>
      </c>
      <c r="G552">
        <f t="shared" si="17"/>
        <v>26668.27</v>
      </c>
    </row>
    <row r="553" spans="1:7" ht="12.75" customHeight="1">
      <c r="A553" s="3">
        <v>10588</v>
      </c>
      <c r="B553" s="4" t="s">
        <v>565</v>
      </c>
      <c r="C553" s="3" t="s">
        <v>6</v>
      </c>
      <c r="D553" s="5">
        <f t="shared" si="16"/>
        <v>2673.38</v>
      </c>
      <c r="E553">
        <v>2934.56</v>
      </c>
      <c r="F553" s="1789">
        <v>8.8999999999999996E-2</v>
      </c>
      <c r="G553">
        <f t="shared" si="17"/>
        <v>2673.38</v>
      </c>
    </row>
    <row r="554" spans="1:7" ht="12.75" customHeight="1">
      <c r="A554" s="3">
        <v>10592</v>
      </c>
      <c r="B554" s="4" t="s">
        <v>566</v>
      </c>
      <c r="C554" s="3" t="s">
        <v>6</v>
      </c>
      <c r="D554" s="5">
        <f t="shared" si="16"/>
        <v>3229.09</v>
      </c>
      <c r="E554">
        <v>3544.56</v>
      </c>
      <c r="F554" s="1789">
        <v>8.8999999999999996E-2</v>
      </c>
      <c r="G554">
        <f t="shared" si="17"/>
        <v>3229.09</v>
      </c>
    </row>
    <row r="555" spans="1:7" ht="12.75" customHeight="1">
      <c r="A555" s="3">
        <v>10589</v>
      </c>
      <c r="B555" s="4" t="s">
        <v>567</v>
      </c>
      <c r="C555" s="3" t="s">
        <v>6</v>
      </c>
      <c r="D555" s="5">
        <f t="shared" si="16"/>
        <v>4338.08</v>
      </c>
      <c r="E555">
        <v>4761.8900000000003</v>
      </c>
      <c r="F555" s="1789">
        <v>8.8999999999999996E-2</v>
      </c>
      <c r="G555">
        <f t="shared" si="17"/>
        <v>4338.08</v>
      </c>
    </row>
    <row r="556" spans="1:7" ht="12.75" customHeight="1">
      <c r="A556" s="3">
        <v>760</v>
      </c>
      <c r="B556" s="4" t="s">
        <v>568</v>
      </c>
      <c r="C556" s="3" t="s">
        <v>6</v>
      </c>
      <c r="D556" s="5">
        <f t="shared" si="16"/>
        <v>24218.2</v>
      </c>
      <c r="E556">
        <v>26584.2</v>
      </c>
      <c r="F556" s="1789">
        <v>8.8999999999999996E-2</v>
      </c>
      <c r="G556">
        <f t="shared" si="17"/>
        <v>24218.2</v>
      </c>
    </row>
    <row r="557" spans="1:7" ht="12.75" customHeight="1">
      <c r="A557" s="3">
        <v>751</v>
      </c>
      <c r="B557" s="4" t="s">
        <v>569</v>
      </c>
      <c r="C557" s="3" t="s">
        <v>6</v>
      </c>
      <c r="D557" s="5">
        <f t="shared" si="16"/>
        <v>3814.36</v>
      </c>
      <c r="E557">
        <v>4187.01</v>
      </c>
      <c r="F557" s="1789">
        <v>8.8999999999999996E-2</v>
      </c>
      <c r="G557">
        <f t="shared" si="17"/>
        <v>3814.36</v>
      </c>
    </row>
    <row r="558" spans="1:7" ht="12.75" customHeight="1">
      <c r="A558" s="3">
        <v>754</v>
      </c>
      <c r="B558" s="4" t="s">
        <v>570</v>
      </c>
      <c r="C558" s="3" t="s">
        <v>6</v>
      </c>
      <c r="D558" s="5">
        <f t="shared" si="16"/>
        <v>6054.55</v>
      </c>
      <c r="E558">
        <v>6646.05</v>
      </c>
      <c r="F558" s="1789">
        <v>8.8999999999999996E-2</v>
      </c>
      <c r="G558">
        <f t="shared" si="17"/>
        <v>6054.55</v>
      </c>
    </row>
    <row r="559" spans="1:7" ht="12.75" customHeight="1">
      <c r="A559" s="3">
        <v>757</v>
      </c>
      <c r="B559" s="4" t="s">
        <v>571</v>
      </c>
      <c r="C559" s="3" t="s">
        <v>6</v>
      </c>
      <c r="D559" s="5">
        <f t="shared" si="16"/>
        <v>12109.1</v>
      </c>
      <c r="E559">
        <v>13292.1</v>
      </c>
      <c r="F559" s="1789">
        <v>8.8999999999999996E-2</v>
      </c>
      <c r="G559">
        <f t="shared" si="17"/>
        <v>12109.1</v>
      </c>
    </row>
    <row r="560" spans="1:7" ht="12.75" customHeight="1">
      <c r="A560" s="3">
        <v>44489</v>
      </c>
      <c r="B560" s="4" t="s">
        <v>572</v>
      </c>
      <c r="C560" s="3" t="s">
        <v>6</v>
      </c>
      <c r="D560" s="5">
        <f t="shared" si="16"/>
        <v>180726.39999999999</v>
      </c>
      <c r="E560">
        <v>198382.44</v>
      </c>
      <c r="F560" s="1789">
        <v>8.8999999999999996E-2</v>
      </c>
      <c r="G560">
        <f t="shared" si="17"/>
        <v>180726.39999999999</v>
      </c>
    </row>
    <row r="561" spans="1:7" ht="12.75" customHeight="1">
      <c r="A561" s="3">
        <v>39917</v>
      </c>
      <c r="B561" s="4" t="s">
        <v>573</v>
      </c>
      <c r="C561" s="3" t="s">
        <v>6</v>
      </c>
      <c r="D561" s="5">
        <f t="shared" si="16"/>
        <v>88603.96</v>
      </c>
      <c r="E561">
        <v>97260.12</v>
      </c>
      <c r="F561" s="1789">
        <v>8.8999999999999996E-2</v>
      </c>
      <c r="G561">
        <f t="shared" si="17"/>
        <v>88603.96</v>
      </c>
    </row>
    <row r="562" spans="1:7" ht="12.75" customHeight="1">
      <c r="A562" s="3">
        <v>38167</v>
      </c>
      <c r="B562" s="4" t="s">
        <v>574</v>
      </c>
      <c r="C562" s="3" t="s">
        <v>423</v>
      </c>
      <c r="D562" s="5">
        <f t="shared" si="16"/>
        <v>29.39</v>
      </c>
      <c r="E562">
        <v>32.270000000000003</v>
      </c>
      <c r="F562" s="1789">
        <v>8.8999999999999996E-2</v>
      </c>
      <c r="G562">
        <f t="shared" si="17"/>
        <v>29.39</v>
      </c>
    </row>
    <row r="563" spans="1:7" ht="12.75" customHeight="1">
      <c r="A563" s="3">
        <v>36145</v>
      </c>
      <c r="B563" s="4" t="s">
        <v>575</v>
      </c>
      <c r="C563" s="3" t="s">
        <v>423</v>
      </c>
      <c r="D563" s="5">
        <f t="shared" si="16"/>
        <v>41.71</v>
      </c>
      <c r="E563">
        <v>45.79</v>
      </c>
      <c r="F563" s="1789">
        <v>8.8999999999999996E-2</v>
      </c>
      <c r="G563">
        <f t="shared" si="17"/>
        <v>41.71</v>
      </c>
    </row>
    <row r="564" spans="1:7" ht="12.75" customHeight="1">
      <c r="A564" s="3">
        <v>12893</v>
      </c>
      <c r="B564" s="4" t="s">
        <v>576</v>
      </c>
      <c r="C564" s="3" t="s">
        <v>423</v>
      </c>
      <c r="D564" s="5">
        <f t="shared" si="16"/>
        <v>69.52</v>
      </c>
      <c r="E564">
        <v>76.319999999999993</v>
      </c>
      <c r="F564" s="1789">
        <v>8.8999999999999996E-2</v>
      </c>
      <c r="G564">
        <f t="shared" si="17"/>
        <v>69.52</v>
      </c>
    </row>
    <row r="565" spans="1:7" ht="12.75" customHeight="1">
      <c r="A565" s="3">
        <v>11685</v>
      </c>
      <c r="B565" s="4" t="s">
        <v>577</v>
      </c>
      <c r="C565" s="3" t="s">
        <v>6</v>
      </c>
      <c r="D565" s="5">
        <f t="shared" si="16"/>
        <v>31.82</v>
      </c>
      <c r="E565">
        <v>34.93</v>
      </c>
      <c r="F565" s="1789">
        <v>8.8999999999999996E-2</v>
      </c>
      <c r="G565">
        <f t="shared" si="17"/>
        <v>31.82</v>
      </c>
    </row>
    <row r="566" spans="1:7" ht="12.75" customHeight="1">
      <c r="A566" s="3">
        <v>11680</v>
      </c>
      <c r="B566" s="4" t="s">
        <v>578</v>
      </c>
      <c r="C566" s="3" t="s">
        <v>6</v>
      </c>
      <c r="D566" s="5">
        <f t="shared" si="16"/>
        <v>15.05</v>
      </c>
      <c r="E566">
        <v>16.53</v>
      </c>
      <c r="F566" s="1789">
        <v>8.8999999999999996E-2</v>
      </c>
      <c r="G566">
        <f t="shared" si="17"/>
        <v>15.05</v>
      </c>
    </row>
    <row r="567" spans="1:7" ht="12.75" customHeight="1">
      <c r="A567" s="3">
        <v>11679</v>
      </c>
      <c r="B567" s="4" t="s">
        <v>579</v>
      </c>
      <c r="C567" s="3" t="s">
        <v>6</v>
      </c>
      <c r="D567" s="5">
        <f t="shared" si="16"/>
        <v>20.420000000000002</v>
      </c>
      <c r="E567">
        <v>22.42</v>
      </c>
      <c r="F567" s="1789">
        <v>8.8999999999999996E-2</v>
      </c>
      <c r="G567">
        <f t="shared" si="17"/>
        <v>20.420000000000002</v>
      </c>
    </row>
    <row r="568" spans="1:7" ht="12.75" customHeight="1">
      <c r="A568" s="3">
        <v>2512</v>
      </c>
      <c r="B568" s="4" t="s">
        <v>580</v>
      </c>
      <c r="C568" s="3" t="s">
        <v>6</v>
      </c>
      <c r="D568" s="5">
        <f t="shared" si="16"/>
        <v>39.14</v>
      </c>
      <c r="E568">
        <v>42.97</v>
      </c>
      <c r="F568" s="1789">
        <v>8.8999999999999996E-2</v>
      </c>
      <c r="G568">
        <f t="shared" si="17"/>
        <v>39.14</v>
      </c>
    </row>
    <row r="569" spans="1:7" ht="12.75" customHeight="1">
      <c r="A569" s="3">
        <v>4374</v>
      </c>
      <c r="B569" s="4" t="s">
        <v>581</v>
      </c>
      <c r="C569" s="3" t="s">
        <v>6</v>
      </c>
      <c r="D569" s="5">
        <f t="shared" si="16"/>
        <v>0.4</v>
      </c>
      <c r="E569">
        <v>0.44</v>
      </c>
      <c r="F569" s="1789">
        <v>8.8999999999999996E-2</v>
      </c>
      <c r="G569">
        <f t="shared" si="17"/>
        <v>0.4</v>
      </c>
    </row>
    <row r="570" spans="1:7" ht="12.75" customHeight="1">
      <c r="A570" s="3">
        <v>7568</v>
      </c>
      <c r="B570" s="4" t="s">
        <v>582</v>
      </c>
      <c r="C570" s="3" t="s">
        <v>6</v>
      </c>
      <c r="D570" s="5">
        <f t="shared" si="16"/>
        <v>0.66</v>
      </c>
      <c r="E570">
        <v>0.73</v>
      </c>
      <c r="F570" s="1789">
        <v>8.8999999999999996E-2</v>
      </c>
      <c r="G570">
        <f t="shared" si="17"/>
        <v>0.66</v>
      </c>
    </row>
    <row r="571" spans="1:7" ht="12.75" customHeight="1">
      <c r="A571" s="3">
        <v>7584</v>
      </c>
      <c r="B571" s="4" t="s">
        <v>583</v>
      </c>
      <c r="C571" s="3" t="s">
        <v>6</v>
      </c>
      <c r="D571" s="5">
        <f t="shared" si="16"/>
        <v>1.02</v>
      </c>
      <c r="E571">
        <v>1.1200000000000001</v>
      </c>
      <c r="F571" s="1789">
        <v>8.8999999999999996E-2</v>
      </c>
      <c r="G571">
        <f t="shared" si="17"/>
        <v>1.02</v>
      </c>
    </row>
    <row r="572" spans="1:7" ht="12.75" customHeight="1">
      <c r="A572" s="3">
        <v>11945</v>
      </c>
      <c r="B572" s="4" t="s">
        <v>584</v>
      </c>
      <c r="C572" s="3" t="s">
        <v>6</v>
      </c>
      <c r="D572" s="5">
        <f t="shared" si="16"/>
        <v>0.06</v>
      </c>
      <c r="E572">
        <v>7.0000000000000007E-2</v>
      </c>
      <c r="F572" s="1789">
        <v>8.8999999999999996E-2</v>
      </c>
      <c r="G572">
        <f t="shared" si="17"/>
        <v>0.06</v>
      </c>
    </row>
    <row r="573" spans="1:7" ht="12.75" customHeight="1">
      <c r="A573" s="3">
        <v>11946</v>
      </c>
      <c r="B573" s="4" t="s">
        <v>585</v>
      </c>
      <c r="C573" s="3" t="s">
        <v>6</v>
      </c>
      <c r="D573" s="5">
        <f t="shared" si="16"/>
        <v>7.0000000000000007E-2</v>
      </c>
      <c r="E573">
        <v>0.08</v>
      </c>
      <c r="F573" s="1789">
        <v>8.8999999999999996E-2</v>
      </c>
      <c r="G573">
        <f t="shared" si="17"/>
        <v>7.0000000000000007E-2</v>
      </c>
    </row>
    <row r="574" spans="1:7" ht="12.75" customHeight="1">
      <c r="A574" s="3">
        <v>4375</v>
      </c>
      <c r="B574" s="4" t="s">
        <v>586</v>
      </c>
      <c r="C574" s="3" t="s">
        <v>6</v>
      </c>
      <c r="D574" s="5">
        <f t="shared" si="16"/>
        <v>0.1</v>
      </c>
      <c r="E574">
        <v>0.12</v>
      </c>
      <c r="F574" s="1789">
        <v>8.8999999999999996E-2</v>
      </c>
      <c r="G574">
        <f t="shared" si="17"/>
        <v>0.1</v>
      </c>
    </row>
    <row r="575" spans="1:7" ht="12.75" customHeight="1">
      <c r="A575" s="3">
        <v>11950</v>
      </c>
      <c r="B575" s="4" t="s">
        <v>587</v>
      </c>
      <c r="C575" s="3" t="s">
        <v>6</v>
      </c>
      <c r="D575" s="5">
        <f t="shared" si="16"/>
        <v>0.21</v>
      </c>
      <c r="E575">
        <v>0.24</v>
      </c>
      <c r="F575" s="1789">
        <v>8.8999999999999996E-2</v>
      </c>
      <c r="G575">
        <f t="shared" si="17"/>
        <v>0.21</v>
      </c>
    </row>
    <row r="576" spans="1:7" ht="12.75" customHeight="1">
      <c r="A576" s="3">
        <v>4376</v>
      </c>
      <c r="B576" s="4" t="s">
        <v>588</v>
      </c>
      <c r="C576" s="3" t="s">
        <v>6</v>
      </c>
      <c r="D576" s="5">
        <f t="shared" si="16"/>
        <v>0.2</v>
      </c>
      <c r="E576">
        <v>0.23</v>
      </c>
      <c r="F576" s="1789">
        <v>8.8999999999999996E-2</v>
      </c>
      <c r="G576">
        <f t="shared" si="17"/>
        <v>0.2</v>
      </c>
    </row>
    <row r="577" spans="1:7" ht="12.75" customHeight="1">
      <c r="A577" s="3">
        <v>7583</v>
      </c>
      <c r="B577" s="4" t="s">
        <v>589</v>
      </c>
      <c r="C577" s="3" t="s">
        <v>6</v>
      </c>
      <c r="D577" s="5">
        <f t="shared" si="16"/>
        <v>0.45</v>
      </c>
      <c r="E577">
        <v>0.5</v>
      </c>
      <c r="F577" s="1789">
        <v>8.8999999999999996E-2</v>
      </c>
      <c r="G577">
        <f t="shared" si="17"/>
        <v>0.45</v>
      </c>
    </row>
    <row r="578" spans="1:7" ht="12.75" customHeight="1">
      <c r="A578" s="3">
        <v>4350</v>
      </c>
      <c r="B578" s="4" t="s">
        <v>590</v>
      </c>
      <c r="C578" s="3" t="s">
        <v>6</v>
      </c>
      <c r="D578" s="5">
        <f t="shared" si="16"/>
        <v>0.61</v>
      </c>
      <c r="E578">
        <v>0.67</v>
      </c>
      <c r="F578" s="1789">
        <v>8.8999999999999996E-2</v>
      </c>
      <c r="G578">
        <f t="shared" si="17"/>
        <v>0.61</v>
      </c>
    </row>
    <row r="579" spans="1:7" ht="12.75" customHeight="1">
      <c r="A579" s="3">
        <v>44400</v>
      </c>
      <c r="B579" s="4" t="s">
        <v>591</v>
      </c>
      <c r="C579" s="3" t="s">
        <v>6</v>
      </c>
      <c r="D579" s="5">
        <f t="shared" ref="D579:D642" si="18">G579</f>
        <v>27.95</v>
      </c>
      <c r="E579">
        <v>30.69</v>
      </c>
      <c r="F579" s="1789">
        <v>8.8999999999999996E-2</v>
      </c>
      <c r="G579">
        <f t="shared" ref="G579:G642" si="19">TRUNC((1-F579)*E579,2)</f>
        <v>27.95</v>
      </c>
    </row>
    <row r="580" spans="1:7" ht="12.75" customHeight="1">
      <c r="A580" s="3">
        <v>39886</v>
      </c>
      <c r="B580" s="4" t="s">
        <v>592</v>
      </c>
      <c r="C580" s="3" t="s">
        <v>6</v>
      </c>
      <c r="D580" s="5">
        <f t="shared" si="18"/>
        <v>5.35</v>
      </c>
      <c r="E580">
        <v>5.88</v>
      </c>
      <c r="F580" s="1789">
        <v>8.8999999999999996E-2</v>
      </c>
      <c r="G580">
        <f t="shared" si="19"/>
        <v>5.35</v>
      </c>
    </row>
    <row r="581" spans="1:7" ht="12.75" customHeight="1">
      <c r="A581" s="3">
        <v>39887</v>
      </c>
      <c r="B581" s="4" t="s">
        <v>593</v>
      </c>
      <c r="C581" s="3" t="s">
        <v>6</v>
      </c>
      <c r="D581" s="5">
        <f t="shared" si="18"/>
        <v>8.0299999999999994</v>
      </c>
      <c r="E581">
        <v>8.82</v>
      </c>
      <c r="F581" s="1789">
        <v>8.8999999999999996E-2</v>
      </c>
      <c r="G581">
        <f t="shared" si="19"/>
        <v>8.0299999999999994</v>
      </c>
    </row>
    <row r="582" spans="1:7" ht="12.75" customHeight="1">
      <c r="A582" s="3">
        <v>39888</v>
      </c>
      <c r="B582" s="4" t="s">
        <v>594</v>
      </c>
      <c r="C582" s="3" t="s">
        <v>6</v>
      </c>
      <c r="D582" s="5">
        <f t="shared" si="18"/>
        <v>18.37</v>
      </c>
      <c r="E582">
        <v>20.170000000000002</v>
      </c>
      <c r="F582" s="1789">
        <v>8.8999999999999996E-2</v>
      </c>
      <c r="G582">
        <f t="shared" si="19"/>
        <v>18.37</v>
      </c>
    </row>
    <row r="583" spans="1:7" ht="12.75" customHeight="1">
      <c r="A583" s="3">
        <v>39890</v>
      </c>
      <c r="B583" s="4" t="s">
        <v>595</v>
      </c>
      <c r="C583" s="3" t="s">
        <v>6</v>
      </c>
      <c r="D583" s="5">
        <f t="shared" si="18"/>
        <v>31.37</v>
      </c>
      <c r="E583">
        <v>34.44</v>
      </c>
      <c r="F583" s="1789">
        <v>8.8999999999999996E-2</v>
      </c>
      <c r="G583">
        <f t="shared" si="19"/>
        <v>31.37</v>
      </c>
    </row>
    <row r="584" spans="1:7" ht="12.75" customHeight="1">
      <c r="A584" s="3">
        <v>39891</v>
      </c>
      <c r="B584" s="4" t="s">
        <v>596</v>
      </c>
      <c r="C584" s="3" t="s">
        <v>6</v>
      </c>
      <c r="D584" s="5">
        <f t="shared" si="18"/>
        <v>44.22</v>
      </c>
      <c r="E584">
        <v>48.55</v>
      </c>
      <c r="F584" s="1789">
        <v>8.8999999999999996E-2</v>
      </c>
      <c r="G584">
        <f t="shared" si="19"/>
        <v>44.22</v>
      </c>
    </row>
    <row r="585" spans="1:7" ht="12.75" customHeight="1">
      <c r="A585" s="3">
        <v>39892</v>
      </c>
      <c r="B585" s="4" t="s">
        <v>597</v>
      </c>
      <c r="C585" s="3" t="s">
        <v>6</v>
      </c>
      <c r="D585" s="5">
        <f t="shared" si="18"/>
        <v>137.87</v>
      </c>
      <c r="E585">
        <v>151.35</v>
      </c>
      <c r="F585" s="1789">
        <v>8.8999999999999996E-2</v>
      </c>
      <c r="G585">
        <f t="shared" si="19"/>
        <v>137.87</v>
      </c>
    </row>
    <row r="586" spans="1:7" ht="12.75" customHeight="1">
      <c r="A586" s="3">
        <v>790</v>
      </c>
      <c r="B586" s="4" t="s">
        <v>598</v>
      </c>
      <c r="C586" s="3" t="s">
        <v>6</v>
      </c>
      <c r="D586" s="5">
        <f t="shared" si="18"/>
        <v>15.3</v>
      </c>
      <c r="E586">
        <v>16.8</v>
      </c>
      <c r="F586" s="1789">
        <v>8.8999999999999996E-2</v>
      </c>
      <c r="G586">
        <f t="shared" si="19"/>
        <v>15.3</v>
      </c>
    </row>
    <row r="587" spans="1:7" ht="12.75" customHeight="1">
      <c r="A587" s="3">
        <v>766</v>
      </c>
      <c r="B587" s="4" t="s">
        <v>599</v>
      </c>
      <c r="C587" s="3" t="s">
        <v>6</v>
      </c>
      <c r="D587" s="5">
        <f t="shared" si="18"/>
        <v>15.3</v>
      </c>
      <c r="E587">
        <v>16.8</v>
      </c>
      <c r="F587" s="1789">
        <v>8.8999999999999996E-2</v>
      </c>
      <c r="G587">
        <f t="shared" si="19"/>
        <v>15.3</v>
      </c>
    </row>
    <row r="588" spans="1:7" ht="12.75" customHeight="1">
      <c r="A588" s="3">
        <v>791</v>
      </c>
      <c r="B588" s="4" t="s">
        <v>600</v>
      </c>
      <c r="C588" s="3" t="s">
        <v>6</v>
      </c>
      <c r="D588" s="5">
        <f t="shared" si="18"/>
        <v>15.3</v>
      </c>
      <c r="E588">
        <v>16.8</v>
      </c>
      <c r="F588" s="1789">
        <v>8.8999999999999996E-2</v>
      </c>
      <c r="G588">
        <f t="shared" si="19"/>
        <v>15.3</v>
      </c>
    </row>
    <row r="589" spans="1:7" ht="12.75" customHeight="1">
      <c r="A589" s="3">
        <v>767</v>
      </c>
      <c r="B589" s="4" t="s">
        <v>601</v>
      </c>
      <c r="C589" s="3" t="s">
        <v>6</v>
      </c>
      <c r="D589" s="5">
        <f t="shared" si="18"/>
        <v>15.3</v>
      </c>
      <c r="E589">
        <v>16.8</v>
      </c>
      <c r="F589" s="1789">
        <v>8.8999999999999996E-2</v>
      </c>
      <c r="G589">
        <f t="shared" si="19"/>
        <v>15.3</v>
      </c>
    </row>
    <row r="590" spans="1:7" ht="12.75" customHeight="1">
      <c r="A590" s="3">
        <v>768</v>
      </c>
      <c r="B590" s="4" t="s">
        <v>602</v>
      </c>
      <c r="C590" s="3" t="s">
        <v>6</v>
      </c>
      <c r="D590" s="5">
        <f t="shared" si="18"/>
        <v>12.01</v>
      </c>
      <c r="E590">
        <v>13.19</v>
      </c>
      <c r="F590" s="1789">
        <v>8.8999999999999996E-2</v>
      </c>
      <c r="G590">
        <f t="shared" si="19"/>
        <v>12.01</v>
      </c>
    </row>
    <row r="591" spans="1:7" ht="12.75" customHeight="1">
      <c r="A591" s="3">
        <v>789</v>
      </c>
      <c r="B591" s="4" t="s">
        <v>603</v>
      </c>
      <c r="C591" s="3" t="s">
        <v>6</v>
      </c>
      <c r="D591" s="5">
        <f t="shared" si="18"/>
        <v>11.76</v>
      </c>
      <c r="E591">
        <v>12.91</v>
      </c>
      <c r="F591" s="1789">
        <v>8.8999999999999996E-2</v>
      </c>
      <c r="G591">
        <f t="shared" si="19"/>
        <v>11.76</v>
      </c>
    </row>
    <row r="592" spans="1:7" ht="12.75" customHeight="1">
      <c r="A592" s="3">
        <v>769</v>
      </c>
      <c r="B592" s="4" t="s">
        <v>604</v>
      </c>
      <c r="C592" s="3" t="s">
        <v>6</v>
      </c>
      <c r="D592" s="5">
        <f t="shared" si="18"/>
        <v>12.01</v>
      </c>
      <c r="E592">
        <v>13.19</v>
      </c>
      <c r="F592" s="1789">
        <v>8.8999999999999996E-2</v>
      </c>
      <c r="G592">
        <f t="shared" si="19"/>
        <v>12.01</v>
      </c>
    </row>
    <row r="593" spans="1:7" ht="12.75" customHeight="1">
      <c r="A593" s="3">
        <v>770</v>
      </c>
      <c r="B593" s="4" t="s">
        <v>605</v>
      </c>
      <c r="C593" s="3" t="s">
        <v>6</v>
      </c>
      <c r="D593" s="5">
        <f t="shared" si="18"/>
        <v>4.2300000000000004</v>
      </c>
      <c r="E593">
        <v>4.6500000000000004</v>
      </c>
      <c r="F593" s="1789">
        <v>8.8999999999999996E-2</v>
      </c>
      <c r="G593">
        <f t="shared" si="19"/>
        <v>4.2300000000000004</v>
      </c>
    </row>
    <row r="594" spans="1:7" ht="12.75" customHeight="1">
      <c r="A594" s="3">
        <v>12394</v>
      </c>
      <c r="B594" s="4" t="s">
        <v>606</v>
      </c>
      <c r="C594" s="3" t="s">
        <v>6</v>
      </c>
      <c r="D594" s="5">
        <f t="shared" si="18"/>
        <v>4.2300000000000004</v>
      </c>
      <c r="E594">
        <v>4.6500000000000004</v>
      </c>
      <c r="F594" s="1789">
        <v>8.8999999999999996E-2</v>
      </c>
      <c r="G594">
        <f t="shared" si="19"/>
        <v>4.2300000000000004</v>
      </c>
    </row>
    <row r="595" spans="1:7" ht="12.75" customHeight="1">
      <c r="A595" s="3">
        <v>764</v>
      </c>
      <c r="B595" s="4" t="s">
        <v>607</v>
      </c>
      <c r="C595" s="3" t="s">
        <v>6</v>
      </c>
      <c r="D595" s="5">
        <f t="shared" si="18"/>
        <v>7.39</v>
      </c>
      <c r="E595">
        <v>8.1199999999999992</v>
      </c>
      <c r="F595" s="1789">
        <v>8.8999999999999996E-2</v>
      </c>
      <c r="G595">
        <f t="shared" si="19"/>
        <v>7.39</v>
      </c>
    </row>
    <row r="596" spans="1:7" ht="12.75" customHeight="1">
      <c r="A596" s="3">
        <v>765</v>
      </c>
      <c r="B596" s="4" t="s">
        <v>608</v>
      </c>
      <c r="C596" s="3" t="s">
        <v>6</v>
      </c>
      <c r="D596" s="5">
        <f t="shared" si="18"/>
        <v>7.39</v>
      </c>
      <c r="E596">
        <v>8.1199999999999992</v>
      </c>
      <c r="F596" s="1789">
        <v>8.8999999999999996E-2</v>
      </c>
      <c r="G596">
        <f t="shared" si="19"/>
        <v>7.39</v>
      </c>
    </row>
    <row r="597" spans="1:7" ht="12.75" customHeight="1">
      <c r="A597" s="3">
        <v>787</v>
      </c>
      <c r="B597" s="4" t="s">
        <v>609</v>
      </c>
      <c r="C597" s="3" t="s">
        <v>6</v>
      </c>
      <c r="D597" s="5">
        <f t="shared" si="18"/>
        <v>33.04</v>
      </c>
      <c r="E597">
        <v>36.270000000000003</v>
      </c>
      <c r="F597" s="1789">
        <v>8.8999999999999996E-2</v>
      </c>
      <c r="G597">
        <f t="shared" si="19"/>
        <v>33.04</v>
      </c>
    </row>
    <row r="598" spans="1:7" ht="12.75" customHeight="1">
      <c r="A598" s="3">
        <v>774</v>
      </c>
      <c r="B598" s="4" t="s">
        <v>610</v>
      </c>
      <c r="C598" s="3" t="s">
        <v>6</v>
      </c>
      <c r="D598" s="5">
        <f t="shared" si="18"/>
        <v>33.04</v>
      </c>
      <c r="E598">
        <v>36.270000000000003</v>
      </c>
      <c r="F598" s="1789">
        <v>8.8999999999999996E-2</v>
      </c>
      <c r="G598">
        <f t="shared" si="19"/>
        <v>33.04</v>
      </c>
    </row>
    <row r="599" spans="1:7" ht="12.75" customHeight="1">
      <c r="A599" s="3">
        <v>773</v>
      </c>
      <c r="B599" s="4" t="s">
        <v>611</v>
      </c>
      <c r="C599" s="3" t="s">
        <v>6</v>
      </c>
      <c r="D599" s="5">
        <f t="shared" si="18"/>
        <v>33.04</v>
      </c>
      <c r="E599">
        <v>36.270000000000003</v>
      </c>
      <c r="F599" s="1789">
        <v>8.8999999999999996E-2</v>
      </c>
      <c r="G599">
        <f t="shared" si="19"/>
        <v>33.04</v>
      </c>
    </row>
    <row r="600" spans="1:7" ht="12.75" customHeight="1">
      <c r="A600" s="3">
        <v>775</v>
      </c>
      <c r="B600" s="4" t="s">
        <v>612</v>
      </c>
      <c r="C600" s="3" t="s">
        <v>6</v>
      </c>
      <c r="D600" s="5">
        <f t="shared" si="18"/>
        <v>33.04</v>
      </c>
      <c r="E600">
        <v>36.270000000000003</v>
      </c>
      <c r="F600" s="1789">
        <v>8.8999999999999996E-2</v>
      </c>
      <c r="G600">
        <f t="shared" si="19"/>
        <v>33.04</v>
      </c>
    </row>
    <row r="601" spans="1:7" ht="12.75" customHeight="1">
      <c r="A601" s="3">
        <v>788</v>
      </c>
      <c r="B601" s="4" t="s">
        <v>613</v>
      </c>
      <c r="C601" s="3" t="s">
        <v>6</v>
      </c>
      <c r="D601" s="5">
        <f t="shared" si="18"/>
        <v>20.53</v>
      </c>
      <c r="E601">
        <v>22.54</v>
      </c>
      <c r="F601" s="1789">
        <v>8.8999999999999996E-2</v>
      </c>
      <c r="G601">
        <f t="shared" si="19"/>
        <v>20.53</v>
      </c>
    </row>
    <row r="602" spans="1:7" ht="12.75" customHeight="1">
      <c r="A602" s="3">
        <v>772</v>
      </c>
      <c r="B602" s="4" t="s">
        <v>614</v>
      </c>
      <c r="C602" s="3" t="s">
        <v>6</v>
      </c>
      <c r="D602" s="5">
        <f t="shared" si="18"/>
        <v>20.53</v>
      </c>
      <c r="E602">
        <v>22.54</v>
      </c>
      <c r="F602" s="1789">
        <v>8.8999999999999996E-2</v>
      </c>
      <c r="G602">
        <f t="shared" si="19"/>
        <v>20.53</v>
      </c>
    </row>
    <row r="603" spans="1:7" ht="12.75" customHeight="1">
      <c r="A603" s="3">
        <v>771</v>
      </c>
      <c r="B603" s="4" t="s">
        <v>615</v>
      </c>
      <c r="C603" s="3" t="s">
        <v>6</v>
      </c>
      <c r="D603" s="5">
        <f t="shared" si="18"/>
        <v>20.53</v>
      </c>
      <c r="E603">
        <v>22.54</v>
      </c>
      <c r="F603" s="1789">
        <v>8.8999999999999996E-2</v>
      </c>
      <c r="G603">
        <f t="shared" si="19"/>
        <v>20.53</v>
      </c>
    </row>
    <row r="604" spans="1:7" ht="12.75" customHeight="1">
      <c r="A604" s="3">
        <v>779</v>
      </c>
      <c r="B604" s="4" t="s">
        <v>616</v>
      </c>
      <c r="C604" s="3" t="s">
        <v>6</v>
      </c>
      <c r="D604" s="5">
        <f t="shared" si="18"/>
        <v>5.0999999999999996</v>
      </c>
      <c r="E604">
        <v>5.6</v>
      </c>
      <c r="F604" s="1789">
        <v>8.8999999999999996E-2</v>
      </c>
      <c r="G604">
        <f t="shared" si="19"/>
        <v>5.0999999999999996</v>
      </c>
    </row>
    <row r="605" spans="1:7" ht="12.75" customHeight="1">
      <c r="A605" s="3">
        <v>776</v>
      </c>
      <c r="B605" s="4" t="s">
        <v>617</v>
      </c>
      <c r="C605" s="3" t="s">
        <v>6</v>
      </c>
      <c r="D605" s="5">
        <f t="shared" si="18"/>
        <v>48.71</v>
      </c>
      <c r="E605">
        <v>53.47</v>
      </c>
      <c r="F605" s="1789">
        <v>8.8999999999999996E-2</v>
      </c>
      <c r="G605">
        <f t="shared" si="19"/>
        <v>48.71</v>
      </c>
    </row>
    <row r="606" spans="1:7" ht="12.75" customHeight="1">
      <c r="A606" s="3">
        <v>777</v>
      </c>
      <c r="B606" s="4" t="s">
        <v>618</v>
      </c>
      <c r="C606" s="3" t="s">
        <v>6</v>
      </c>
      <c r="D606" s="5">
        <f t="shared" si="18"/>
        <v>47.35</v>
      </c>
      <c r="E606">
        <v>51.98</v>
      </c>
      <c r="F606" s="1789">
        <v>8.8999999999999996E-2</v>
      </c>
      <c r="G606">
        <f t="shared" si="19"/>
        <v>47.35</v>
      </c>
    </row>
    <row r="607" spans="1:7" ht="12.75" customHeight="1">
      <c r="A607" s="3">
        <v>780</v>
      </c>
      <c r="B607" s="4" t="s">
        <v>619</v>
      </c>
      <c r="C607" s="3" t="s">
        <v>6</v>
      </c>
      <c r="D607" s="5">
        <f t="shared" si="18"/>
        <v>47.59</v>
      </c>
      <c r="E607">
        <v>52.24</v>
      </c>
      <c r="F607" s="1789">
        <v>8.8999999999999996E-2</v>
      </c>
      <c r="G607">
        <f t="shared" si="19"/>
        <v>47.59</v>
      </c>
    </row>
    <row r="608" spans="1:7" ht="12.75" customHeight="1">
      <c r="A608" s="3">
        <v>778</v>
      </c>
      <c r="B608" s="4" t="s">
        <v>620</v>
      </c>
      <c r="C608" s="3" t="s">
        <v>6</v>
      </c>
      <c r="D608" s="5">
        <f t="shared" si="18"/>
        <v>48.71</v>
      </c>
      <c r="E608">
        <v>53.47</v>
      </c>
      <c r="F608" s="1789">
        <v>8.8999999999999996E-2</v>
      </c>
      <c r="G608">
        <f t="shared" si="19"/>
        <v>48.71</v>
      </c>
    </row>
    <row r="609" spans="1:7" ht="12.75" customHeight="1">
      <c r="A609" s="3">
        <v>781</v>
      </c>
      <c r="B609" s="4" t="s">
        <v>621</v>
      </c>
      <c r="C609" s="3" t="s">
        <v>6</v>
      </c>
      <c r="D609" s="5">
        <f t="shared" si="18"/>
        <v>89.99</v>
      </c>
      <c r="E609">
        <v>98.79</v>
      </c>
      <c r="F609" s="1789">
        <v>8.8999999999999996E-2</v>
      </c>
      <c r="G609">
        <f t="shared" si="19"/>
        <v>89.99</v>
      </c>
    </row>
    <row r="610" spans="1:7" ht="12.75" customHeight="1">
      <c r="A610" s="3">
        <v>786</v>
      </c>
      <c r="B610" s="4" t="s">
        <v>622</v>
      </c>
      <c r="C610" s="3" t="s">
        <v>6</v>
      </c>
      <c r="D610" s="5">
        <f t="shared" si="18"/>
        <v>89.99</v>
      </c>
      <c r="E610">
        <v>98.79</v>
      </c>
      <c r="F610" s="1789">
        <v>8.8999999999999996E-2</v>
      </c>
      <c r="G610">
        <f t="shared" si="19"/>
        <v>89.99</v>
      </c>
    </row>
    <row r="611" spans="1:7" ht="12.75" customHeight="1">
      <c r="A611" s="3">
        <v>782</v>
      </c>
      <c r="B611" s="4" t="s">
        <v>623</v>
      </c>
      <c r="C611" s="3" t="s">
        <v>6</v>
      </c>
      <c r="D611" s="5">
        <f t="shared" si="18"/>
        <v>89.99</v>
      </c>
      <c r="E611">
        <v>98.79</v>
      </c>
      <c r="F611" s="1789">
        <v>8.8999999999999996E-2</v>
      </c>
      <c r="G611">
        <f t="shared" si="19"/>
        <v>89.99</v>
      </c>
    </row>
    <row r="612" spans="1:7" ht="12.75" customHeight="1">
      <c r="A612" s="3">
        <v>783</v>
      </c>
      <c r="B612" s="4" t="s">
        <v>624</v>
      </c>
      <c r="C612" s="3" t="s">
        <v>6</v>
      </c>
      <c r="D612" s="5">
        <f t="shared" si="18"/>
        <v>246.31</v>
      </c>
      <c r="E612">
        <v>270.38</v>
      </c>
      <c r="F612" s="1789">
        <v>8.8999999999999996E-2</v>
      </c>
      <c r="G612">
        <f t="shared" si="19"/>
        <v>246.31</v>
      </c>
    </row>
    <row r="613" spans="1:7" ht="12.75" customHeight="1">
      <c r="A613" s="3">
        <v>785</v>
      </c>
      <c r="B613" s="4" t="s">
        <v>625</v>
      </c>
      <c r="C613" s="3" t="s">
        <v>6</v>
      </c>
      <c r="D613" s="5">
        <f t="shared" si="18"/>
        <v>260.26</v>
      </c>
      <c r="E613">
        <v>285.69</v>
      </c>
      <c r="F613" s="1789">
        <v>8.8999999999999996E-2</v>
      </c>
      <c r="G613">
        <f t="shared" si="19"/>
        <v>260.26</v>
      </c>
    </row>
    <row r="614" spans="1:7" ht="12.75" customHeight="1">
      <c r="A614" s="3">
        <v>784</v>
      </c>
      <c r="B614" s="4" t="s">
        <v>626</v>
      </c>
      <c r="C614" s="3" t="s">
        <v>6</v>
      </c>
      <c r="D614" s="5">
        <f t="shared" si="18"/>
        <v>279.19</v>
      </c>
      <c r="E614">
        <v>306.47000000000003</v>
      </c>
      <c r="F614" s="1789">
        <v>8.8999999999999996E-2</v>
      </c>
      <c r="G614">
        <f t="shared" si="19"/>
        <v>279.19</v>
      </c>
    </row>
    <row r="615" spans="1:7" ht="12.75" customHeight="1">
      <c r="A615" s="3">
        <v>828</v>
      </c>
      <c r="B615" s="4" t="s">
        <v>627</v>
      </c>
      <c r="C615" s="3" t="s">
        <v>6</v>
      </c>
      <c r="D615" s="5">
        <f t="shared" si="18"/>
        <v>0.46</v>
      </c>
      <c r="E615">
        <v>0.51</v>
      </c>
      <c r="F615" s="1789">
        <v>8.8999999999999996E-2</v>
      </c>
      <c r="G615">
        <f t="shared" si="19"/>
        <v>0.46</v>
      </c>
    </row>
    <row r="616" spans="1:7" ht="12.75" customHeight="1">
      <c r="A616" s="3">
        <v>829</v>
      </c>
      <c r="B616" s="4" t="s">
        <v>628</v>
      </c>
      <c r="C616" s="3" t="s">
        <v>6</v>
      </c>
      <c r="D616" s="5">
        <f t="shared" si="18"/>
        <v>0.74</v>
      </c>
      <c r="E616">
        <v>0.82</v>
      </c>
      <c r="F616" s="1789">
        <v>8.8999999999999996E-2</v>
      </c>
      <c r="G616">
        <f t="shared" si="19"/>
        <v>0.74</v>
      </c>
    </row>
    <row r="617" spans="1:7" ht="12.75" customHeight="1">
      <c r="A617" s="3">
        <v>812</v>
      </c>
      <c r="B617" s="4" t="s">
        <v>629</v>
      </c>
      <c r="C617" s="3" t="s">
        <v>6</v>
      </c>
      <c r="D617" s="5">
        <f t="shared" si="18"/>
        <v>1.64</v>
      </c>
      <c r="E617">
        <v>1.81</v>
      </c>
      <c r="F617" s="1789">
        <v>8.8999999999999996E-2</v>
      </c>
      <c r="G617">
        <f t="shared" si="19"/>
        <v>1.64</v>
      </c>
    </row>
    <row r="618" spans="1:7" ht="12.75" customHeight="1">
      <c r="A618" s="3">
        <v>819</v>
      </c>
      <c r="B618" s="4" t="s">
        <v>630</v>
      </c>
      <c r="C618" s="3" t="s">
        <v>6</v>
      </c>
      <c r="D618" s="5">
        <f t="shared" si="18"/>
        <v>2.86</v>
      </c>
      <c r="E618">
        <v>3.14</v>
      </c>
      <c r="F618" s="1789">
        <v>8.8999999999999996E-2</v>
      </c>
      <c r="G618">
        <f t="shared" si="19"/>
        <v>2.86</v>
      </c>
    </row>
    <row r="619" spans="1:7" ht="12.75" customHeight="1">
      <c r="A619" s="3">
        <v>818</v>
      </c>
      <c r="B619" s="4" t="s">
        <v>631</v>
      </c>
      <c r="C619" s="3" t="s">
        <v>6</v>
      </c>
      <c r="D619" s="5">
        <f t="shared" si="18"/>
        <v>5.33</v>
      </c>
      <c r="E619">
        <v>5.86</v>
      </c>
      <c r="F619" s="1789">
        <v>8.8999999999999996E-2</v>
      </c>
      <c r="G619">
        <f t="shared" si="19"/>
        <v>5.33</v>
      </c>
    </row>
    <row r="620" spans="1:7" ht="12.75" customHeight="1">
      <c r="A620" s="3">
        <v>832</v>
      </c>
      <c r="B620" s="4" t="s">
        <v>632</v>
      </c>
      <c r="C620" s="3" t="s">
        <v>6</v>
      </c>
      <c r="D620" s="5">
        <f t="shared" si="18"/>
        <v>2.2000000000000002</v>
      </c>
      <c r="E620">
        <v>2.42</v>
      </c>
      <c r="F620" s="1789">
        <v>8.8999999999999996E-2</v>
      </c>
      <c r="G620">
        <f t="shared" si="19"/>
        <v>2.2000000000000002</v>
      </c>
    </row>
    <row r="621" spans="1:7" ht="12.75" customHeight="1">
      <c r="A621" s="3">
        <v>834</v>
      </c>
      <c r="B621" s="4" t="s">
        <v>633</v>
      </c>
      <c r="C621" s="3" t="s">
        <v>6</v>
      </c>
      <c r="D621" s="5">
        <f t="shared" si="18"/>
        <v>2.85</v>
      </c>
      <c r="E621">
        <v>3.13</v>
      </c>
      <c r="F621" s="1789">
        <v>8.8999999999999996E-2</v>
      </c>
      <c r="G621">
        <f t="shared" si="19"/>
        <v>2.85</v>
      </c>
    </row>
    <row r="622" spans="1:7" ht="12.75" customHeight="1">
      <c r="A622" s="3">
        <v>813</v>
      </c>
      <c r="B622" s="4" t="s">
        <v>634</v>
      </c>
      <c r="C622" s="3" t="s">
        <v>6</v>
      </c>
      <c r="D622" s="5">
        <f t="shared" si="18"/>
        <v>3.31</v>
      </c>
      <c r="E622">
        <v>3.64</v>
      </c>
      <c r="F622" s="1789">
        <v>8.8999999999999996E-2</v>
      </c>
      <c r="G622">
        <f t="shared" si="19"/>
        <v>3.31</v>
      </c>
    </row>
    <row r="623" spans="1:7" ht="12.75" customHeight="1">
      <c r="A623" s="3">
        <v>820</v>
      </c>
      <c r="B623" s="4" t="s">
        <v>635</v>
      </c>
      <c r="C623" s="3" t="s">
        <v>6</v>
      </c>
      <c r="D623" s="5">
        <f t="shared" si="18"/>
        <v>4.47</v>
      </c>
      <c r="E623">
        <v>4.91</v>
      </c>
      <c r="F623" s="1789">
        <v>8.8999999999999996E-2</v>
      </c>
      <c r="G623">
        <f t="shared" si="19"/>
        <v>4.47</v>
      </c>
    </row>
    <row r="624" spans="1:7" ht="12.75" customHeight="1">
      <c r="A624" s="3">
        <v>816</v>
      </c>
      <c r="B624" s="4" t="s">
        <v>636</v>
      </c>
      <c r="C624" s="3" t="s">
        <v>6</v>
      </c>
      <c r="D624" s="5">
        <f t="shared" si="18"/>
        <v>7.97</v>
      </c>
      <c r="E624">
        <v>8.75</v>
      </c>
      <c r="F624" s="1789">
        <v>8.8999999999999996E-2</v>
      </c>
      <c r="G624">
        <f t="shared" si="19"/>
        <v>7.97</v>
      </c>
    </row>
    <row r="625" spans="1:7" ht="12.75" customHeight="1">
      <c r="A625" s="3">
        <v>814</v>
      </c>
      <c r="B625" s="4" t="s">
        <v>637</v>
      </c>
      <c r="C625" s="3" t="s">
        <v>6</v>
      </c>
      <c r="D625" s="5">
        <f t="shared" si="18"/>
        <v>9.89</v>
      </c>
      <c r="E625">
        <v>10.86</v>
      </c>
      <c r="F625" s="1789">
        <v>8.8999999999999996E-2</v>
      </c>
      <c r="G625">
        <f t="shared" si="19"/>
        <v>9.89</v>
      </c>
    </row>
    <row r="626" spans="1:7" ht="12.75" customHeight="1">
      <c r="A626" s="3">
        <v>822</v>
      </c>
      <c r="B626" s="4" t="s">
        <v>638</v>
      </c>
      <c r="C626" s="3" t="s">
        <v>6</v>
      </c>
      <c r="D626" s="5">
        <f t="shared" si="18"/>
        <v>12.91</v>
      </c>
      <c r="E626">
        <v>14.18</v>
      </c>
      <c r="F626" s="1789">
        <v>8.8999999999999996E-2</v>
      </c>
      <c r="G626">
        <f t="shared" si="19"/>
        <v>12.91</v>
      </c>
    </row>
    <row r="627" spans="1:7" ht="12.75" customHeight="1">
      <c r="A627" s="3">
        <v>821</v>
      </c>
      <c r="B627" s="4" t="s">
        <v>639</v>
      </c>
      <c r="C627" s="3" t="s">
        <v>6</v>
      </c>
      <c r="D627" s="5">
        <f t="shared" si="18"/>
        <v>14.77</v>
      </c>
      <c r="E627">
        <v>16.22</v>
      </c>
      <c r="F627" s="1789">
        <v>8.8999999999999996E-2</v>
      </c>
      <c r="G627">
        <f t="shared" si="19"/>
        <v>14.77</v>
      </c>
    </row>
    <row r="628" spans="1:7" ht="12.75" customHeight="1">
      <c r="A628" s="3">
        <v>20086</v>
      </c>
      <c r="B628" s="4" t="s">
        <v>640</v>
      </c>
      <c r="C628" s="3" t="s">
        <v>6</v>
      </c>
      <c r="D628" s="5">
        <f t="shared" si="18"/>
        <v>2.61</v>
      </c>
      <c r="E628">
        <v>2.87</v>
      </c>
      <c r="F628" s="1789">
        <v>8.8999999999999996E-2</v>
      </c>
      <c r="G628">
        <f t="shared" si="19"/>
        <v>2.61</v>
      </c>
    </row>
    <row r="629" spans="1:7" ht="12.75" customHeight="1">
      <c r="A629" s="3">
        <v>39191</v>
      </c>
      <c r="B629" s="4" t="s">
        <v>641</v>
      </c>
      <c r="C629" s="3" t="s">
        <v>6</v>
      </c>
      <c r="D629" s="5">
        <f t="shared" si="18"/>
        <v>17.25</v>
      </c>
      <c r="E629">
        <v>18.940000000000001</v>
      </c>
      <c r="F629" s="1789">
        <v>8.8999999999999996E-2</v>
      </c>
      <c r="G629">
        <f t="shared" si="19"/>
        <v>17.25</v>
      </c>
    </row>
    <row r="630" spans="1:7" ht="12.75" customHeight="1">
      <c r="A630" s="3">
        <v>39190</v>
      </c>
      <c r="B630" s="4" t="s">
        <v>642</v>
      </c>
      <c r="C630" s="3" t="s">
        <v>6</v>
      </c>
      <c r="D630" s="5">
        <f t="shared" si="18"/>
        <v>18.02</v>
      </c>
      <c r="E630">
        <v>19.79</v>
      </c>
      <c r="F630" s="1789">
        <v>8.8999999999999996E-2</v>
      </c>
      <c r="G630">
        <f t="shared" si="19"/>
        <v>18.02</v>
      </c>
    </row>
    <row r="631" spans="1:7" ht="12.75" customHeight="1">
      <c r="A631" s="3">
        <v>39189</v>
      </c>
      <c r="B631" s="4" t="s">
        <v>643</v>
      </c>
      <c r="C631" s="3" t="s">
        <v>6</v>
      </c>
      <c r="D631" s="5">
        <f t="shared" si="18"/>
        <v>19.07</v>
      </c>
      <c r="E631">
        <v>20.94</v>
      </c>
      <c r="F631" s="1789">
        <v>8.8999999999999996E-2</v>
      </c>
      <c r="G631">
        <f t="shared" si="19"/>
        <v>19.07</v>
      </c>
    </row>
    <row r="632" spans="1:7" ht="12.75" customHeight="1">
      <c r="A632" s="3">
        <v>39186</v>
      </c>
      <c r="B632" s="4" t="s">
        <v>644</v>
      </c>
      <c r="C632" s="3" t="s">
        <v>6</v>
      </c>
      <c r="D632" s="5">
        <f t="shared" si="18"/>
        <v>17.07</v>
      </c>
      <c r="E632">
        <v>18.739999999999998</v>
      </c>
      <c r="F632" s="1789">
        <v>8.8999999999999996E-2</v>
      </c>
      <c r="G632">
        <f t="shared" si="19"/>
        <v>17.07</v>
      </c>
    </row>
    <row r="633" spans="1:7" ht="12.75" customHeight="1">
      <c r="A633" s="3">
        <v>39188</v>
      </c>
      <c r="B633" s="4" t="s">
        <v>645</v>
      </c>
      <c r="C633" s="3" t="s">
        <v>6</v>
      </c>
      <c r="D633" s="5">
        <f t="shared" si="18"/>
        <v>14.04</v>
      </c>
      <c r="E633">
        <v>15.42</v>
      </c>
      <c r="F633" s="1789">
        <v>8.8999999999999996E-2</v>
      </c>
      <c r="G633">
        <f t="shared" si="19"/>
        <v>14.04</v>
      </c>
    </row>
    <row r="634" spans="1:7" ht="12.75" customHeight="1">
      <c r="A634" s="3">
        <v>39187</v>
      </c>
      <c r="B634" s="4" t="s">
        <v>646</v>
      </c>
      <c r="C634" s="3" t="s">
        <v>6</v>
      </c>
      <c r="D634" s="5">
        <f t="shared" si="18"/>
        <v>14.72</v>
      </c>
      <c r="E634">
        <v>16.16</v>
      </c>
      <c r="F634" s="1789">
        <v>8.8999999999999996E-2</v>
      </c>
      <c r="G634">
        <f t="shared" si="19"/>
        <v>14.72</v>
      </c>
    </row>
    <row r="635" spans="1:7" ht="12.75" customHeight="1">
      <c r="A635" s="3">
        <v>39184</v>
      </c>
      <c r="B635" s="4" t="s">
        <v>647</v>
      </c>
      <c r="C635" s="3" t="s">
        <v>6</v>
      </c>
      <c r="D635" s="5">
        <f t="shared" si="18"/>
        <v>5.53</v>
      </c>
      <c r="E635">
        <v>6.08</v>
      </c>
      <c r="F635" s="1789">
        <v>8.8999999999999996E-2</v>
      </c>
      <c r="G635">
        <f t="shared" si="19"/>
        <v>5.53</v>
      </c>
    </row>
    <row r="636" spans="1:7" ht="12.75" customHeight="1">
      <c r="A636" s="3">
        <v>39185</v>
      </c>
      <c r="B636" s="4" t="s">
        <v>648</v>
      </c>
      <c r="C636" s="3" t="s">
        <v>6</v>
      </c>
      <c r="D636" s="5">
        <f t="shared" si="18"/>
        <v>5.04</v>
      </c>
      <c r="E636">
        <v>5.54</v>
      </c>
      <c r="F636" s="1789">
        <v>8.8999999999999996E-2</v>
      </c>
      <c r="G636">
        <f t="shared" si="19"/>
        <v>5.04</v>
      </c>
    </row>
    <row r="637" spans="1:7" ht="12.75" customHeight="1">
      <c r="A637" s="3">
        <v>39198</v>
      </c>
      <c r="B637" s="4" t="s">
        <v>649</v>
      </c>
      <c r="C637" s="3" t="s">
        <v>6</v>
      </c>
      <c r="D637" s="5">
        <f t="shared" si="18"/>
        <v>56.6</v>
      </c>
      <c r="E637">
        <v>62.14</v>
      </c>
      <c r="F637" s="1789">
        <v>8.8999999999999996E-2</v>
      </c>
      <c r="G637">
        <f t="shared" si="19"/>
        <v>56.6</v>
      </c>
    </row>
    <row r="638" spans="1:7" ht="12.75" customHeight="1">
      <c r="A638" s="3">
        <v>39197</v>
      </c>
      <c r="B638" s="4" t="s">
        <v>650</v>
      </c>
      <c r="C638" s="3" t="s">
        <v>6</v>
      </c>
      <c r="D638" s="5">
        <f t="shared" si="18"/>
        <v>59.14</v>
      </c>
      <c r="E638">
        <v>64.92</v>
      </c>
      <c r="F638" s="1789">
        <v>8.8999999999999996E-2</v>
      </c>
      <c r="G638">
        <f t="shared" si="19"/>
        <v>59.14</v>
      </c>
    </row>
    <row r="639" spans="1:7" ht="12.75" customHeight="1">
      <c r="A639" s="3">
        <v>39196</v>
      </c>
      <c r="B639" s="4" t="s">
        <v>651</v>
      </c>
      <c r="C639" s="3" t="s">
        <v>6</v>
      </c>
      <c r="D639" s="5">
        <f t="shared" si="18"/>
        <v>60.99</v>
      </c>
      <c r="E639">
        <v>66.95</v>
      </c>
      <c r="F639" s="1789">
        <v>8.8999999999999996E-2</v>
      </c>
      <c r="G639">
        <f t="shared" si="19"/>
        <v>60.99</v>
      </c>
    </row>
    <row r="640" spans="1:7" ht="12.75" customHeight="1">
      <c r="A640" s="3">
        <v>39199</v>
      </c>
      <c r="B640" s="4" t="s">
        <v>652</v>
      </c>
      <c r="C640" s="3" t="s">
        <v>6</v>
      </c>
      <c r="D640" s="5">
        <f t="shared" si="18"/>
        <v>54.47</v>
      </c>
      <c r="E640">
        <v>59.8</v>
      </c>
      <c r="F640" s="1789">
        <v>8.8999999999999996E-2</v>
      </c>
      <c r="G640">
        <f t="shared" si="19"/>
        <v>54.47</v>
      </c>
    </row>
    <row r="641" spans="1:7" ht="12.75" customHeight="1">
      <c r="A641" s="3">
        <v>39195</v>
      </c>
      <c r="B641" s="4" t="s">
        <v>653</v>
      </c>
      <c r="C641" s="3" t="s">
        <v>6</v>
      </c>
      <c r="D641" s="5">
        <f t="shared" si="18"/>
        <v>31.44</v>
      </c>
      <c r="E641">
        <v>34.520000000000003</v>
      </c>
      <c r="F641" s="1789">
        <v>8.8999999999999996E-2</v>
      </c>
      <c r="G641">
        <f t="shared" si="19"/>
        <v>31.44</v>
      </c>
    </row>
    <row r="642" spans="1:7" ht="12.75" customHeight="1">
      <c r="A642" s="3">
        <v>39194</v>
      </c>
      <c r="B642" s="4" t="s">
        <v>654</v>
      </c>
      <c r="C642" s="3" t="s">
        <v>6</v>
      </c>
      <c r="D642" s="5">
        <f t="shared" si="18"/>
        <v>33.65</v>
      </c>
      <c r="E642">
        <v>36.94</v>
      </c>
      <c r="F642" s="1789">
        <v>8.8999999999999996E-2</v>
      </c>
      <c r="G642">
        <f t="shared" si="19"/>
        <v>33.65</v>
      </c>
    </row>
    <row r="643" spans="1:7" ht="12.75" customHeight="1">
      <c r="A643" s="3">
        <v>39193</v>
      </c>
      <c r="B643" s="4" t="s">
        <v>655</v>
      </c>
      <c r="C643" s="3" t="s">
        <v>6</v>
      </c>
      <c r="D643" s="5">
        <f t="shared" ref="D643:D706" si="20">G643</f>
        <v>36.880000000000003</v>
      </c>
      <c r="E643">
        <v>40.49</v>
      </c>
      <c r="F643" s="1789">
        <v>8.8999999999999996E-2</v>
      </c>
      <c r="G643">
        <f t="shared" ref="G643:G706" si="21">TRUNC((1-F643)*E643,2)</f>
        <v>36.880000000000003</v>
      </c>
    </row>
    <row r="644" spans="1:7" ht="12.75" customHeight="1">
      <c r="A644" s="3">
        <v>39192</v>
      </c>
      <c r="B644" s="4" t="s">
        <v>656</v>
      </c>
      <c r="C644" s="3" t="s">
        <v>6</v>
      </c>
      <c r="D644" s="5">
        <f t="shared" si="20"/>
        <v>38.36</v>
      </c>
      <c r="E644">
        <v>42.11</v>
      </c>
      <c r="F644" s="1789">
        <v>8.8999999999999996E-2</v>
      </c>
      <c r="G644">
        <f t="shared" si="21"/>
        <v>38.36</v>
      </c>
    </row>
    <row r="645" spans="1:7" ht="12.75" customHeight="1">
      <c r="A645" s="3">
        <v>39920</v>
      </c>
      <c r="B645" s="4" t="s">
        <v>657</v>
      </c>
      <c r="C645" s="3" t="s">
        <v>6</v>
      </c>
      <c r="D645" s="5">
        <f t="shared" si="20"/>
        <v>4.6399999999999997</v>
      </c>
      <c r="E645">
        <v>5.0999999999999996</v>
      </c>
      <c r="F645" s="1789">
        <v>8.8999999999999996E-2</v>
      </c>
      <c r="G645">
        <f t="shared" si="21"/>
        <v>4.6399999999999997</v>
      </c>
    </row>
    <row r="646" spans="1:7" ht="12.75" customHeight="1">
      <c r="A646" s="3">
        <v>39201</v>
      </c>
      <c r="B646" s="4" t="s">
        <v>658</v>
      </c>
      <c r="C646" s="3" t="s">
        <v>6</v>
      </c>
      <c r="D646" s="5">
        <f t="shared" si="20"/>
        <v>67.680000000000007</v>
      </c>
      <c r="E646">
        <v>74.3</v>
      </c>
      <c r="F646" s="1789">
        <v>8.8999999999999996E-2</v>
      </c>
      <c r="G646">
        <f t="shared" si="21"/>
        <v>67.680000000000007</v>
      </c>
    </row>
    <row r="647" spans="1:7" ht="12.75" customHeight="1">
      <c r="A647" s="3">
        <v>39200</v>
      </c>
      <c r="B647" s="4" t="s">
        <v>659</v>
      </c>
      <c r="C647" s="3" t="s">
        <v>6</v>
      </c>
      <c r="D647" s="5">
        <f t="shared" si="20"/>
        <v>68.22</v>
      </c>
      <c r="E647">
        <v>74.89</v>
      </c>
      <c r="F647" s="1789">
        <v>8.8999999999999996E-2</v>
      </c>
      <c r="G647">
        <f t="shared" si="21"/>
        <v>68.22</v>
      </c>
    </row>
    <row r="648" spans="1:7" ht="12.75" customHeight="1">
      <c r="A648" s="3">
        <v>39203</v>
      </c>
      <c r="B648" s="4" t="s">
        <v>660</v>
      </c>
      <c r="C648" s="3" t="s">
        <v>6</v>
      </c>
      <c r="D648" s="5">
        <f t="shared" si="20"/>
        <v>55.08</v>
      </c>
      <c r="E648">
        <v>60.47</v>
      </c>
      <c r="F648" s="1789">
        <v>8.8999999999999996E-2</v>
      </c>
      <c r="G648">
        <f t="shared" si="21"/>
        <v>55.08</v>
      </c>
    </row>
    <row r="649" spans="1:7" ht="12.75" customHeight="1">
      <c r="A649" s="3">
        <v>39202</v>
      </c>
      <c r="B649" s="4" t="s">
        <v>661</v>
      </c>
      <c r="C649" s="3" t="s">
        <v>6</v>
      </c>
      <c r="D649" s="5">
        <f t="shared" si="20"/>
        <v>64.709999999999994</v>
      </c>
      <c r="E649">
        <v>71.040000000000006</v>
      </c>
      <c r="F649" s="1789">
        <v>8.8999999999999996E-2</v>
      </c>
      <c r="G649">
        <f t="shared" si="21"/>
        <v>64.709999999999994</v>
      </c>
    </row>
    <row r="650" spans="1:7" ht="12.75" customHeight="1">
      <c r="A650" s="3">
        <v>39205</v>
      </c>
      <c r="B650" s="4" t="s">
        <v>662</v>
      </c>
      <c r="C650" s="3" t="s">
        <v>6</v>
      </c>
      <c r="D650" s="5">
        <f t="shared" si="20"/>
        <v>107.97</v>
      </c>
      <c r="E650">
        <v>118.52</v>
      </c>
      <c r="F650" s="1789">
        <v>8.8999999999999996E-2</v>
      </c>
      <c r="G650">
        <f t="shared" si="21"/>
        <v>107.97</v>
      </c>
    </row>
    <row r="651" spans="1:7" ht="12.75" customHeight="1">
      <c r="A651" s="3">
        <v>39204</v>
      </c>
      <c r="B651" s="4" t="s">
        <v>663</v>
      </c>
      <c r="C651" s="3" t="s">
        <v>6</v>
      </c>
      <c r="D651" s="5">
        <f t="shared" si="20"/>
        <v>110.57</v>
      </c>
      <c r="E651">
        <v>121.38</v>
      </c>
      <c r="F651" s="1789">
        <v>8.8999999999999996E-2</v>
      </c>
      <c r="G651">
        <f t="shared" si="21"/>
        <v>110.57</v>
      </c>
    </row>
    <row r="652" spans="1:7" ht="12.75" customHeight="1">
      <c r="A652" s="3">
        <v>39206</v>
      </c>
      <c r="B652" s="4" t="s">
        <v>664</v>
      </c>
      <c r="C652" s="3" t="s">
        <v>6</v>
      </c>
      <c r="D652" s="5">
        <f t="shared" si="20"/>
        <v>104.91</v>
      </c>
      <c r="E652">
        <v>115.16</v>
      </c>
      <c r="F652" s="1789">
        <v>8.8999999999999996E-2</v>
      </c>
      <c r="G652">
        <f t="shared" si="21"/>
        <v>104.91</v>
      </c>
    </row>
    <row r="653" spans="1:7" ht="12.75" customHeight="1">
      <c r="A653" s="3">
        <v>798</v>
      </c>
      <c r="B653" s="4" t="s">
        <v>665</v>
      </c>
      <c r="C653" s="3" t="s">
        <v>6</v>
      </c>
      <c r="D653" s="5">
        <f t="shared" si="20"/>
        <v>0.92</v>
      </c>
      <c r="E653">
        <v>1.01</v>
      </c>
      <c r="F653" s="1789">
        <v>8.8999999999999996E-2</v>
      </c>
      <c r="G653">
        <f t="shared" si="21"/>
        <v>0.92</v>
      </c>
    </row>
    <row r="654" spans="1:7" ht="12.75" customHeight="1">
      <c r="A654" s="3">
        <v>797</v>
      </c>
      <c r="B654" s="4" t="s">
        <v>666</v>
      </c>
      <c r="C654" s="3" t="s">
        <v>6</v>
      </c>
      <c r="D654" s="5">
        <f t="shared" si="20"/>
        <v>6.68</v>
      </c>
      <c r="E654">
        <v>7.34</v>
      </c>
      <c r="F654" s="1789">
        <v>8.8999999999999996E-2</v>
      </c>
      <c r="G654">
        <f t="shared" si="21"/>
        <v>6.68</v>
      </c>
    </row>
    <row r="655" spans="1:7" ht="12.75" customHeight="1">
      <c r="A655" s="3">
        <v>796</v>
      </c>
      <c r="B655" s="4" t="s">
        <v>667</v>
      </c>
      <c r="C655" s="3" t="s">
        <v>6</v>
      </c>
      <c r="D655" s="5">
        <f t="shared" si="20"/>
        <v>5.68</v>
      </c>
      <c r="E655">
        <v>6.24</v>
      </c>
      <c r="F655" s="1789">
        <v>8.8999999999999996E-2</v>
      </c>
      <c r="G655">
        <f t="shared" si="21"/>
        <v>5.68</v>
      </c>
    </row>
    <row r="656" spans="1:7" ht="12.75" customHeight="1">
      <c r="A656" s="3">
        <v>799</v>
      </c>
      <c r="B656" s="4" t="s">
        <v>668</v>
      </c>
      <c r="C656" s="3" t="s">
        <v>6</v>
      </c>
      <c r="D656" s="5">
        <f t="shared" si="20"/>
        <v>2.75</v>
      </c>
      <c r="E656">
        <v>3.02</v>
      </c>
      <c r="F656" s="1789">
        <v>8.8999999999999996E-2</v>
      </c>
      <c r="G656">
        <f t="shared" si="21"/>
        <v>2.75</v>
      </c>
    </row>
    <row r="657" spans="1:7" ht="12.75" customHeight="1">
      <c r="A657" s="3">
        <v>792</v>
      </c>
      <c r="B657" s="4" t="s">
        <v>669</v>
      </c>
      <c r="C657" s="3" t="s">
        <v>6</v>
      </c>
      <c r="D657" s="5">
        <f t="shared" si="20"/>
        <v>2.66</v>
      </c>
      <c r="E657">
        <v>2.92</v>
      </c>
      <c r="F657" s="1789">
        <v>8.8999999999999996E-2</v>
      </c>
      <c r="G657">
        <f t="shared" si="21"/>
        <v>2.66</v>
      </c>
    </row>
    <row r="658" spans="1:7" ht="12.75" customHeight="1">
      <c r="A658" s="3">
        <v>38001</v>
      </c>
      <c r="B658" s="4" t="s">
        <v>670</v>
      </c>
      <c r="C658" s="3" t="s">
        <v>6</v>
      </c>
      <c r="D658" s="5">
        <f t="shared" si="20"/>
        <v>1.03</v>
      </c>
      <c r="E658">
        <v>1.1399999999999999</v>
      </c>
      <c r="F658" s="1789">
        <v>8.8999999999999996E-2</v>
      </c>
      <c r="G658">
        <f t="shared" si="21"/>
        <v>1.03</v>
      </c>
    </row>
    <row r="659" spans="1:7" ht="12.75" customHeight="1">
      <c r="A659" s="3">
        <v>38002</v>
      </c>
      <c r="B659" s="4" t="s">
        <v>671</v>
      </c>
      <c r="C659" s="3" t="s">
        <v>6</v>
      </c>
      <c r="D659" s="5">
        <f t="shared" si="20"/>
        <v>3.6</v>
      </c>
      <c r="E659">
        <v>3.96</v>
      </c>
      <c r="F659" s="1789">
        <v>8.8999999999999996E-2</v>
      </c>
      <c r="G659">
        <f t="shared" si="21"/>
        <v>3.6</v>
      </c>
    </row>
    <row r="660" spans="1:7" ht="12.75" customHeight="1">
      <c r="A660" s="3">
        <v>38003</v>
      </c>
      <c r="B660" s="4" t="s">
        <v>672</v>
      </c>
      <c r="C660" s="3" t="s">
        <v>6</v>
      </c>
      <c r="D660" s="5">
        <f t="shared" si="20"/>
        <v>24.65</v>
      </c>
      <c r="E660">
        <v>27.06</v>
      </c>
      <c r="F660" s="1789">
        <v>8.8999999999999996E-2</v>
      </c>
      <c r="G660">
        <f t="shared" si="21"/>
        <v>24.65</v>
      </c>
    </row>
    <row r="661" spans="1:7" ht="12.75" customHeight="1">
      <c r="A661" s="3">
        <v>38004</v>
      </c>
      <c r="B661" s="4" t="s">
        <v>673</v>
      </c>
      <c r="C661" s="3" t="s">
        <v>6</v>
      </c>
      <c r="D661" s="5">
        <f t="shared" si="20"/>
        <v>28.35</v>
      </c>
      <c r="E661">
        <v>31.12</v>
      </c>
      <c r="F661" s="1789">
        <v>8.8999999999999996E-2</v>
      </c>
      <c r="G661">
        <f t="shared" si="21"/>
        <v>28.35</v>
      </c>
    </row>
    <row r="662" spans="1:7" ht="12.75" customHeight="1">
      <c r="A662" s="3">
        <v>44263</v>
      </c>
      <c r="B662" s="4" t="s">
        <v>674</v>
      </c>
      <c r="C662" s="3" t="s">
        <v>6</v>
      </c>
      <c r="D662" s="5">
        <f t="shared" si="20"/>
        <v>50.89</v>
      </c>
      <c r="E662">
        <v>55.87</v>
      </c>
      <c r="F662" s="1789">
        <v>8.8999999999999996E-2</v>
      </c>
      <c r="G662">
        <f t="shared" si="21"/>
        <v>50.89</v>
      </c>
    </row>
    <row r="663" spans="1:7" ht="12.75" customHeight="1">
      <c r="A663" s="3">
        <v>36327</v>
      </c>
      <c r="B663" s="4" t="s">
        <v>675</v>
      </c>
      <c r="C663" s="3" t="s">
        <v>6</v>
      </c>
      <c r="D663" s="5">
        <f t="shared" si="20"/>
        <v>3.67</v>
      </c>
      <c r="E663">
        <v>4.03</v>
      </c>
      <c r="F663" s="1789">
        <v>8.8999999999999996E-2</v>
      </c>
      <c r="G663">
        <f t="shared" si="21"/>
        <v>3.67</v>
      </c>
    </row>
    <row r="664" spans="1:7" ht="12.75" customHeight="1">
      <c r="A664" s="3">
        <v>38992</v>
      </c>
      <c r="B664" s="4" t="s">
        <v>676</v>
      </c>
      <c r="C664" s="3" t="s">
        <v>6</v>
      </c>
      <c r="D664" s="5">
        <f t="shared" si="20"/>
        <v>4.45</v>
      </c>
      <c r="E664">
        <v>4.8899999999999997</v>
      </c>
      <c r="F664" s="1789">
        <v>8.8999999999999996E-2</v>
      </c>
      <c r="G664">
        <f t="shared" si="21"/>
        <v>4.45</v>
      </c>
    </row>
    <row r="665" spans="1:7" ht="12.75" customHeight="1">
      <c r="A665" s="3">
        <v>38993</v>
      </c>
      <c r="B665" s="4" t="s">
        <v>677</v>
      </c>
      <c r="C665" s="3" t="s">
        <v>6</v>
      </c>
      <c r="D665" s="5">
        <f t="shared" si="20"/>
        <v>11.59</v>
      </c>
      <c r="E665">
        <v>12.73</v>
      </c>
      <c r="F665" s="1789">
        <v>8.8999999999999996E-2</v>
      </c>
      <c r="G665">
        <f t="shared" si="21"/>
        <v>11.59</v>
      </c>
    </row>
    <row r="666" spans="1:7" ht="12.75" customHeight="1">
      <c r="A666" s="3">
        <v>44175</v>
      </c>
      <c r="B666" s="4" t="s">
        <v>678</v>
      </c>
      <c r="C666" s="3" t="s">
        <v>6</v>
      </c>
      <c r="D666" s="5">
        <f t="shared" si="20"/>
        <v>20.22</v>
      </c>
      <c r="E666">
        <v>22.2</v>
      </c>
      <c r="F666" s="1789">
        <v>8.8999999999999996E-2</v>
      </c>
      <c r="G666">
        <f t="shared" si="21"/>
        <v>20.22</v>
      </c>
    </row>
    <row r="667" spans="1:7" ht="12.75" customHeight="1">
      <c r="A667" s="3">
        <v>44177</v>
      </c>
      <c r="B667" s="4" t="s">
        <v>679</v>
      </c>
      <c r="C667" s="3" t="s">
        <v>6</v>
      </c>
      <c r="D667" s="5">
        <f t="shared" si="20"/>
        <v>15.11</v>
      </c>
      <c r="E667">
        <v>16.59</v>
      </c>
      <c r="F667" s="1789">
        <v>8.8999999999999996E-2</v>
      </c>
      <c r="G667">
        <f t="shared" si="21"/>
        <v>15.11</v>
      </c>
    </row>
    <row r="668" spans="1:7" ht="12.75" customHeight="1">
      <c r="A668" s="3">
        <v>38418</v>
      </c>
      <c r="B668" s="4" t="s">
        <v>680</v>
      </c>
      <c r="C668" s="3" t="s">
        <v>6</v>
      </c>
      <c r="D668" s="5">
        <f t="shared" si="20"/>
        <v>4.49</v>
      </c>
      <c r="E668">
        <v>4.93</v>
      </c>
      <c r="F668" s="1789">
        <v>8.8999999999999996E-2</v>
      </c>
      <c r="G668">
        <f t="shared" si="21"/>
        <v>4.49</v>
      </c>
    </row>
    <row r="669" spans="1:7" ht="12.75" customHeight="1">
      <c r="A669" s="3">
        <v>39178</v>
      </c>
      <c r="B669" s="4" t="s">
        <v>681</v>
      </c>
      <c r="C669" s="3" t="s">
        <v>6</v>
      </c>
      <c r="D669" s="5">
        <f t="shared" si="20"/>
        <v>1.86</v>
      </c>
      <c r="E669">
        <v>2.0499999999999998</v>
      </c>
      <c r="F669" s="1789">
        <v>8.8999999999999996E-2</v>
      </c>
      <c r="G669">
        <f t="shared" si="21"/>
        <v>1.86</v>
      </c>
    </row>
    <row r="670" spans="1:7" ht="12.75" customHeight="1">
      <c r="A670" s="3">
        <v>39177</v>
      </c>
      <c r="B670" s="4" t="s">
        <v>682</v>
      </c>
      <c r="C670" s="3" t="s">
        <v>6</v>
      </c>
      <c r="D670" s="5">
        <f t="shared" si="20"/>
        <v>1.68</v>
      </c>
      <c r="E670">
        <v>1.85</v>
      </c>
      <c r="F670" s="1789">
        <v>8.8999999999999996E-2</v>
      </c>
      <c r="G670">
        <f t="shared" si="21"/>
        <v>1.68</v>
      </c>
    </row>
    <row r="671" spans="1:7" ht="12.75" customHeight="1">
      <c r="A671" s="3">
        <v>39174</v>
      </c>
      <c r="B671" s="4" t="s">
        <v>683</v>
      </c>
      <c r="C671" s="3" t="s">
        <v>6</v>
      </c>
      <c r="D671" s="5">
        <f t="shared" si="20"/>
        <v>0.83</v>
      </c>
      <c r="E671">
        <v>0.92</v>
      </c>
      <c r="F671" s="1789">
        <v>8.8999999999999996E-2</v>
      </c>
      <c r="G671">
        <f t="shared" si="21"/>
        <v>0.83</v>
      </c>
    </row>
    <row r="672" spans="1:7" ht="12.75" customHeight="1">
      <c r="A672" s="3">
        <v>39176</v>
      </c>
      <c r="B672" s="4" t="s">
        <v>684</v>
      </c>
      <c r="C672" s="3" t="s">
        <v>6</v>
      </c>
      <c r="D672" s="5">
        <f t="shared" si="20"/>
        <v>1.1000000000000001</v>
      </c>
      <c r="E672">
        <v>1.21</v>
      </c>
      <c r="F672" s="1789">
        <v>8.8999999999999996E-2</v>
      </c>
      <c r="G672">
        <f t="shared" si="21"/>
        <v>1.1000000000000001</v>
      </c>
    </row>
    <row r="673" spans="1:7" ht="12.75" customHeight="1">
      <c r="A673" s="3">
        <v>39180</v>
      </c>
      <c r="B673" s="4" t="s">
        <v>685</v>
      </c>
      <c r="C673" s="3" t="s">
        <v>6</v>
      </c>
      <c r="D673" s="5">
        <f t="shared" si="20"/>
        <v>5.0599999999999996</v>
      </c>
      <c r="E673">
        <v>5.56</v>
      </c>
      <c r="F673" s="1789">
        <v>8.8999999999999996E-2</v>
      </c>
      <c r="G673">
        <f t="shared" si="21"/>
        <v>5.0599999999999996</v>
      </c>
    </row>
    <row r="674" spans="1:7" ht="12.75" customHeight="1">
      <c r="A674" s="3">
        <v>39179</v>
      </c>
      <c r="B674" s="4" t="s">
        <v>686</v>
      </c>
      <c r="C674" s="3" t="s">
        <v>6</v>
      </c>
      <c r="D674" s="5">
        <f t="shared" si="20"/>
        <v>4.4800000000000004</v>
      </c>
      <c r="E674">
        <v>4.92</v>
      </c>
      <c r="F674" s="1789">
        <v>8.8999999999999996E-2</v>
      </c>
      <c r="G674">
        <f t="shared" si="21"/>
        <v>4.4800000000000004</v>
      </c>
    </row>
    <row r="675" spans="1:7" ht="12.75" customHeight="1">
      <c r="A675" s="3">
        <v>39175</v>
      </c>
      <c r="B675" s="4" t="s">
        <v>687</v>
      </c>
      <c r="C675" s="3" t="s">
        <v>6</v>
      </c>
      <c r="D675" s="5">
        <f t="shared" si="20"/>
        <v>1.02</v>
      </c>
      <c r="E675">
        <v>1.1299999999999999</v>
      </c>
      <c r="F675" s="1789">
        <v>8.8999999999999996E-2</v>
      </c>
      <c r="G675">
        <f t="shared" si="21"/>
        <v>1.02</v>
      </c>
    </row>
    <row r="676" spans="1:7" ht="12.75" customHeight="1">
      <c r="A676" s="3">
        <v>39217</v>
      </c>
      <c r="B676" s="4" t="s">
        <v>688</v>
      </c>
      <c r="C676" s="3" t="s">
        <v>6</v>
      </c>
      <c r="D676" s="5">
        <f t="shared" si="20"/>
        <v>0.79</v>
      </c>
      <c r="E676">
        <v>0.87</v>
      </c>
      <c r="F676" s="1789">
        <v>8.8999999999999996E-2</v>
      </c>
      <c r="G676">
        <f t="shared" si="21"/>
        <v>0.79</v>
      </c>
    </row>
    <row r="677" spans="1:7" ht="12.75" customHeight="1">
      <c r="A677" s="3">
        <v>39181</v>
      </c>
      <c r="B677" s="4" t="s">
        <v>689</v>
      </c>
      <c r="C677" s="3" t="s">
        <v>6</v>
      </c>
      <c r="D677" s="5">
        <f t="shared" si="20"/>
        <v>6.79</v>
      </c>
      <c r="E677">
        <v>7.46</v>
      </c>
      <c r="F677" s="1789">
        <v>8.8999999999999996E-2</v>
      </c>
      <c r="G677">
        <f t="shared" si="21"/>
        <v>6.79</v>
      </c>
    </row>
    <row r="678" spans="1:7" ht="12.75" customHeight="1">
      <c r="A678" s="3">
        <v>39182</v>
      </c>
      <c r="B678" s="4" t="s">
        <v>690</v>
      </c>
      <c r="C678" s="3" t="s">
        <v>6</v>
      </c>
      <c r="D678" s="5">
        <f t="shared" si="20"/>
        <v>9.5500000000000007</v>
      </c>
      <c r="E678">
        <v>10.49</v>
      </c>
      <c r="F678" s="1789">
        <v>8.8999999999999996E-2</v>
      </c>
      <c r="G678">
        <f t="shared" si="21"/>
        <v>9.5500000000000007</v>
      </c>
    </row>
    <row r="679" spans="1:7" ht="12.75" customHeight="1">
      <c r="A679" s="3">
        <v>12616</v>
      </c>
      <c r="B679" s="4" t="s">
        <v>691</v>
      </c>
      <c r="C679" s="3" t="s">
        <v>6</v>
      </c>
      <c r="D679" s="5">
        <f t="shared" si="20"/>
        <v>13.86</v>
      </c>
      <c r="E679">
        <v>15.22</v>
      </c>
      <c r="F679" s="1789">
        <v>8.8999999999999996E-2</v>
      </c>
      <c r="G679">
        <f t="shared" si="21"/>
        <v>13.86</v>
      </c>
    </row>
    <row r="680" spans="1:7" ht="12.75" customHeight="1">
      <c r="A680" s="3">
        <v>1049</v>
      </c>
      <c r="B680" s="4" t="s">
        <v>692</v>
      </c>
      <c r="C680" s="3" t="s">
        <v>6</v>
      </c>
      <c r="D680" s="5">
        <f t="shared" si="20"/>
        <v>7.99</v>
      </c>
      <c r="E680">
        <v>8.7799999999999994</v>
      </c>
      <c r="F680" s="1789">
        <v>8.8999999999999996E-2</v>
      </c>
      <c r="G680">
        <f t="shared" si="21"/>
        <v>7.99</v>
      </c>
    </row>
    <row r="681" spans="1:7" ht="12.75" customHeight="1">
      <c r="A681" s="3">
        <v>1099</v>
      </c>
      <c r="B681" s="4" t="s">
        <v>693</v>
      </c>
      <c r="C681" s="3" t="s">
        <v>6</v>
      </c>
      <c r="D681" s="5">
        <f t="shared" si="20"/>
        <v>6.12</v>
      </c>
      <c r="E681">
        <v>6.72</v>
      </c>
      <c r="F681" s="1789">
        <v>8.8999999999999996E-2</v>
      </c>
      <c r="G681">
        <f t="shared" si="21"/>
        <v>6.12</v>
      </c>
    </row>
    <row r="682" spans="1:7" ht="12.75" customHeight="1">
      <c r="A682" s="3">
        <v>39678</v>
      </c>
      <c r="B682" s="4" t="s">
        <v>694</v>
      </c>
      <c r="C682" s="3" t="s">
        <v>6</v>
      </c>
      <c r="D682" s="5">
        <f t="shared" si="20"/>
        <v>2.46</v>
      </c>
      <c r="E682">
        <v>2.71</v>
      </c>
      <c r="F682" s="1789">
        <v>8.8999999999999996E-2</v>
      </c>
      <c r="G682">
        <f t="shared" si="21"/>
        <v>2.46</v>
      </c>
    </row>
    <row r="683" spans="1:7" ht="12.75" customHeight="1">
      <c r="A683" s="3">
        <v>1050</v>
      </c>
      <c r="B683" s="4" t="s">
        <v>695</v>
      </c>
      <c r="C683" s="3" t="s">
        <v>6</v>
      </c>
      <c r="D683" s="5">
        <f t="shared" si="20"/>
        <v>4.18</v>
      </c>
      <c r="E683">
        <v>4.59</v>
      </c>
      <c r="F683" s="1789">
        <v>8.8999999999999996E-2</v>
      </c>
      <c r="G683">
        <f t="shared" si="21"/>
        <v>4.18</v>
      </c>
    </row>
    <row r="684" spans="1:7" ht="12.75" customHeight="1">
      <c r="A684" s="3">
        <v>1101</v>
      </c>
      <c r="B684" s="4" t="s">
        <v>696</v>
      </c>
      <c r="C684" s="3" t="s">
        <v>6</v>
      </c>
      <c r="D684" s="5">
        <f t="shared" si="20"/>
        <v>26.38</v>
      </c>
      <c r="E684">
        <v>28.96</v>
      </c>
      <c r="F684" s="1789">
        <v>8.8999999999999996E-2</v>
      </c>
      <c r="G684">
        <f t="shared" si="21"/>
        <v>26.38</v>
      </c>
    </row>
    <row r="685" spans="1:7" ht="12.75" customHeight="1">
      <c r="A685" s="3">
        <v>1100</v>
      </c>
      <c r="B685" s="4" t="s">
        <v>697</v>
      </c>
      <c r="C685" s="3" t="s">
        <v>6</v>
      </c>
      <c r="D685" s="5">
        <f t="shared" si="20"/>
        <v>13.61</v>
      </c>
      <c r="E685">
        <v>14.94</v>
      </c>
      <c r="F685" s="1789">
        <v>8.8999999999999996E-2</v>
      </c>
      <c r="G685">
        <f t="shared" si="21"/>
        <v>13.61</v>
      </c>
    </row>
    <row r="686" spans="1:7" ht="12.75" customHeight="1">
      <c r="A686" s="3">
        <v>39679</v>
      </c>
      <c r="B686" s="4" t="s">
        <v>698</v>
      </c>
      <c r="C686" s="3" t="s">
        <v>6</v>
      </c>
      <c r="D686" s="5">
        <f t="shared" si="20"/>
        <v>52.58</v>
      </c>
      <c r="E686">
        <v>57.72</v>
      </c>
      <c r="F686" s="1789">
        <v>8.8999999999999996E-2</v>
      </c>
      <c r="G686">
        <f t="shared" si="21"/>
        <v>52.58</v>
      </c>
    </row>
    <row r="687" spans="1:7" ht="12.75" customHeight="1">
      <c r="A687" s="3">
        <v>1098</v>
      </c>
      <c r="B687" s="4" t="s">
        <v>699</v>
      </c>
      <c r="C687" s="3" t="s">
        <v>6</v>
      </c>
      <c r="D687" s="5">
        <f t="shared" si="20"/>
        <v>3.26</v>
      </c>
      <c r="E687">
        <v>3.58</v>
      </c>
      <c r="F687" s="1789">
        <v>8.8999999999999996E-2</v>
      </c>
      <c r="G687">
        <f t="shared" si="21"/>
        <v>3.26</v>
      </c>
    </row>
    <row r="688" spans="1:7" ht="12.75" customHeight="1">
      <c r="A688" s="3">
        <v>1102</v>
      </c>
      <c r="B688" s="4" t="s">
        <v>700</v>
      </c>
      <c r="C688" s="3" t="s">
        <v>6</v>
      </c>
      <c r="D688" s="5">
        <f t="shared" si="20"/>
        <v>39.340000000000003</v>
      </c>
      <c r="E688">
        <v>43.19</v>
      </c>
      <c r="F688" s="1789">
        <v>8.8999999999999996E-2</v>
      </c>
      <c r="G688">
        <f t="shared" si="21"/>
        <v>39.340000000000003</v>
      </c>
    </row>
    <row r="689" spans="1:7" ht="12.75" customHeight="1">
      <c r="A689" s="3">
        <v>1051</v>
      </c>
      <c r="B689" s="4" t="s">
        <v>701</v>
      </c>
      <c r="C689" s="3" t="s">
        <v>6</v>
      </c>
      <c r="D689" s="5">
        <f t="shared" si="20"/>
        <v>57.18</v>
      </c>
      <c r="E689">
        <v>62.77</v>
      </c>
      <c r="F689" s="1789">
        <v>8.8999999999999996E-2</v>
      </c>
      <c r="G689">
        <f t="shared" si="21"/>
        <v>57.18</v>
      </c>
    </row>
    <row r="690" spans="1:7" ht="12.75" customHeight="1">
      <c r="A690" s="3">
        <v>37399</v>
      </c>
      <c r="B690" s="4" t="s">
        <v>702</v>
      </c>
      <c r="C690" s="3" t="s">
        <v>6</v>
      </c>
      <c r="D690" s="5">
        <f t="shared" si="20"/>
        <v>18.149999999999999</v>
      </c>
      <c r="E690">
        <v>19.93</v>
      </c>
      <c r="F690" s="1789">
        <v>8.8999999999999996E-2</v>
      </c>
      <c r="G690">
        <f t="shared" si="21"/>
        <v>18.149999999999999</v>
      </c>
    </row>
    <row r="691" spans="1:7" ht="12.75" customHeight="1">
      <c r="A691" s="3">
        <v>43834</v>
      </c>
      <c r="B691" s="4" t="s">
        <v>703</v>
      </c>
      <c r="C691" s="3" t="s">
        <v>50</v>
      </c>
      <c r="D691" s="5">
        <f t="shared" si="20"/>
        <v>25.11</v>
      </c>
      <c r="E691">
        <v>27.57</v>
      </c>
      <c r="F691" s="1789">
        <v>8.8999999999999996E-2</v>
      </c>
      <c r="G691">
        <f t="shared" si="21"/>
        <v>25.11</v>
      </c>
    </row>
    <row r="692" spans="1:7" ht="12.75" customHeight="1">
      <c r="A692" s="3">
        <v>43835</v>
      </c>
      <c r="B692" s="4" t="s">
        <v>704</v>
      </c>
      <c r="C692" s="3" t="s">
        <v>50</v>
      </c>
      <c r="D692" s="5">
        <f t="shared" si="20"/>
        <v>2.25</v>
      </c>
      <c r="E692">
        <v>2.4700000000000002</v>
      </c>
      <c r="F692" s="1789">
        <v>8.8999999999999996E-2</v>
      </c>
      <c r="G692">
        <f t="shared" si="21"/>
        <v>2.25</v>
      </c>
    </row>
    <row r="693" spans="1:7" ht="12.75" customHeight="1">
      <c r="A693" s="3">
        <v>43833</v>
      </c>
      <c r="B693" s="4" t="s">
        <v>705</v>
      </c>
      <c r="C693" s="3" t="s">
        <v>50</v>
      </c>
      <c r="D693" s="5">
        <f t="shared" si="20"/>
        <v>2.34</v>
      </c>
      <c r="E693">
        <v>2.57</v>
      </c>
      <c r="F693" s="1789">
        <v>8.8999999999999996E-2</v>
      </c>
      <c r="G693">
        <f t="shared" si="21"/>
        <v>2.34</v>
      </c>
    </row>
    <row r="694" spans="1:7" ht="12.75" customHeight="1">
      <c r="A694" s="3">
        <v>41955</v>
      </c>
      <c r="B694" s="4" t="s">
        <v>706</v>
      </c>
      <c r="C694" s="3" t="s">
        <v>54</v>
      </c>
      <c r="D694" s="5">
        <f t="shared" si="20"/>
        <v>76.06</v>
      </c>
      <c r="E694">
        <v>83.5</v>
      </c>
      <c r="F694" s="1789">
        <v>8.8999999999999996E-2</v>
      </c>
      <c r="G694">
        <f t="shared" si="21"/>
        <v>76.06</v>
      </c>
    </row>
    <row r="695" spans="1:7" ht="12.75" customHeight="1">
      <c r="A695" s="3">
        <v>41953</v>
      </c>
      <c r="B695" s="4" t="s">
        <v>707</v>
      </c>
      <c r="C695" s="3" t="s">
        <v>54</v>
      </c>
      <c r="D695" s="5">
        <f t="shared" si="20"/>
        <v>72.59</v>
      </c>
      <c r="E695">
        <v>79.69</v>
      </c>
      <c r="F695" s="1789">
        <v>8.8999999999999996E-2</v>
      </c>
      <c r="G695">
        <f t="shared" si="21"/>
        <v>72.59</v>
      </c>
    </row>
    <row r="696" spans="1:7" ht="12.75" customHeight="1">
      <c r="A696" s="3">
        <v>41954</v>
      </c>
      <c r="B696" s="4" t="s">
        <v>708</v>
      </c>
      <c r="C696" s="3" t="s">
        <v>54</v>
      </c>
      <c r="D696" s="5">
        <f t="shared" si="20"/>
        <v>71.900000000000006</v>
      </c>
      <c r="E696">
        <v>78.930000000000007</v>
      </c>
      <c r="F696" s="1789">
        <v>8.8999999999999996E-2</v>
      </c>
      <c r="G696">
        <f t="shared" si="21"/>
        <v>71.900000000000006</v>
      </c>
    </row>
    <row r="697" spans="1:7" ht="12.75" customHeight="1">
      <c r="A697" s="3">
        <v>25004</v>
      </c>
      <c r="B697" s="4" t="s">
        <v>709</v>
      </c>
      <c r="C697" s="3" t="s">
        <v>54</v>
      </c>
      <c r="D697" s="5">
        <f t="shared" si="20"/>
        <v>47.84</v>
      </c>
      <c r="E697">
        <v>52.52</v>
      </c>
      <c r="F697" s="1789">
        <v>8.8999999999999996E-2</v>
      </c>
      <c r="G697">
        <f t="shared" si="21"/>
        <v>47.84</v>
      </c>
    </row>
    <row r="698" spans="1:7" ht="12.75" customHeight="1">
      <c r="A698" s="3">
        <v>25002</v>
      </c>
      <c r="B698" s="4" t="s">
        <v>710</v>
      </c>
      <c r="C698" s="3" t="s">
        <v>54</v>
      </c>
      <c r="D698" s="5">
        <f t="shared" si="20"/>
        <v>47.84</v>
      </c>
      <c r="E698">
        <v>52.52</v>
      </c>
      <c r="F698" s="1789">
        <v>8.8999999999999996E-2</v>
      </c>
      <c r="G698">
        <f t="shared" si="21"/>
        <v>47.84</v>
      </c>
    </row>
    <row r="699" spans="1:7" ht="12.75" customHeight="1">
      <c r="A699" s="3">
        <v>37409</v>
      </c>
      <c r="B699" s="4" t="s">
        <v>711</v>
      </c>
      <c r="C699" s="3" t="s">
        <v>54</v>
      </c>
      <c r="D699" s="5">
        <f t="shared" si="20"/>
        <v>47.84</v>
      </c>
      <c r="E699">
        <v>52.52</v>
      </c>
      <c r="F699" s="1789">
        <v>8.8999999999999996E-2</v>
      </c>
      <c r="G699">
        <f t="shared" si="21"/>
        <v>47.84</v>
      </c>
    </row>
    <row r="700" spans="1:7" ht="12.75" customHeight="1">
      <c r="A700" s="3">
        <v>841</v>
      </c>
      <c r="B700" s="4" t="s">
        <v>712</v>
      </c>
      <c r="C700" s="3" t="s">
        <v>54</v>
      </c>
      <c r="D700" s="5">
        <f t="shared" si="20"/>
        <v>48.42</v>
      </c>
      <c r="E700">
        <v>53.16</v>
      </c>
      <c r="F700" s="1789">
        <v>8.8999999999999996E-2</v>
      </c>
      <c r="G700">
        <f t="shared" si="21"/>
        <v>48.42</v>
      </c>
    </row>
    <row r="701" spans="1:7" ht="12.75" customHeight="1">
      <c r="A701" s="3">
        <v>25005</v>
      </c>
      <c r="B701" s="4" t="s">
        <v>713</v>
      </c>
      <c r="C701" s="3" t="s">
        <v>54</v>
      </c>
      <c r="D701" s="5">
        <f t="shared" si="20"/>
        <v>52.5</v>
      </c>
      <c r="E701">
        <v>57.63</v>
      </c>
      <c r="F701" s="1789">
        <v>8.8999999999999996E-2</v>
      </c>
      <c r="G701">
        <f t="shared" si="21"/>
        <v>52.5</v>
      </c>
    </row>
    <row r="702" spans="1:7" ht="12.75" customHeight="1">
      <c r="A702" s="3">
        <v>25003</v>
      </c>
      <c r="B702" s="4" t="s">
        <v>714</v>
      </c>
      <c r="C702" s="3" t="s">
        <v>54</v>
      </c>
      <c r="D702" s="5">
        <f t="shared" si="20"/>
        <v>53.29</v>
      </c>
      <c r="E702">
        <v>58.5</v>
      </c>
      <c r="F702" s="1789">
        <v>8.8999999999999996E-2</v>
      </c>
      <c r="G702">
        <f t="shared" si="21"/>
        <v>53.29</v>
      </c>
    </row>
    <row r="703" spans="1:7" ht="12.75" customHeight="1">
      <c r="A703" s="3">
        <v>37410</v>
      </c>
      <c r="B703" s="4" t="s">
        <v>715</v>
      </c>
      <c r="C703" s="3" t="s">
        <v>54</v>
      </c>
      <c r="D703" s="5">
        <f t="shared" si="20"/>
        <v>52.5</v>
      </c>
      <c r="E703">
        <v>57.63</v>
      </c>
      <c r="F703" s="1789">
        <v>8.8999999999999996E-2</v>
      </c>
      <c r="G703">
        <f t="shared" si="21"/>
        <v>52.5</v>
      </c>
    </row>
    <row r="704" spans="1:7" ht="12.75" customHeight="1">
      <c r="A704" s="3">
        <v>842</v>
      </c>
      <c r="B704" s="4" t="s">
        <v>716</v>
      </c>
      <c r="C704" s="3" t="s">
        <v>54</v>
      </c>
      <c r="D704" s="5">
        <f t="shared" si="20"/>
        <v>53.24</v>
      </c>
      <c r="E704">
        <v>58.45</v>
      </c>
      <c r="F704" s="1789">
        <v>8.8999999999999996E-2</v>
      </c>
      <c r="G704">
        <f t="shared" si="21"/>
        <v>53.24</v>
      </c>
    </row>
    <row r="705" spans="1:7" ht="12.75" customHeight="1">
      <c r="A705" s="3">
        <v>44391</v>
      </c>
      <c r="B705" s="4" t="s">
        <v>717</v>
      </c>
      <c r="C705" s="3" t="s">
        <v>50</v>
      </c>
      <c r="D705" s="5">
        <f t="shared" si="20"/>
        <v>113.46</v>
      </c>
      <c r="E705">
        <v>124.55</v>
      </c>
      <c r="F705" s="1789">
        <v>8.8999999999999996E-2</v>
      </c>
      <c r="G705">
        <f t="shared" si="21"/>
        <v>113.46</v>
      </c>
    </row>
    <row r="706" spans="1:7" ht="12.75" customHeight="1">
      <c r="A706" s="3">
        <v>44388</v>
      </c>
      <c r="B706" s="4" t="s">
        <v>718</v>
      </c>
      <c r="C706" s="3" t="s">
        <v>50</v>
      </c>
      <c r="D706" s="5">
        <f t="shared" si="20"/>
        <v>2.4500000000000002</v>
      </c>
      <c r="E706">
        <v>2.7</v>
      </c>
      <c r="F706" s="1789">
        <v>8.8999999999999996E-2</v>
      </c>
      <c r="G706">
        <f t="shared" si="21"/>
        <v>2.4500000000000002</v>
      </c>
    </row>
    <row r="707" spans="1:7" ht="12.75" customHeight="1">
      <c r="A707" s="3">
        <v>44392</v>
      </c>
      <c r="B707" s="4" t="s">
        <v>719</v>
      </c>
      <c r="C707" s="3" t="s">
        <v>50</v>
      </c>
      <c r="D707" s="5">
        <f t="shared" ref="D707:D770" si="22">G707</f>
        <v>225.91</v>
      </c>
      <c r="E707">
        <v>247.99</v>
      </c>
      <c r="F707" s="1789">
        <v>8.8999999999999996E-2</v>
      </c>
      <c r="G707">
        <f t="shared" ref="G707:G770" si="23">TRUNC((1-F707)*E707,2)</f>
        <v>225.91</v>
      </c>
    </row>
    <row r="708" spans="1:7" ht="12.75" customHeight="1">
      <c r="A708" s="3">
        <v>44390</v>
      </c>
      <c r="B708" s="4" t="s">
        <v>720</v>
      </c>
      <c r="C708" s="3" t="s">
        <v>50</v>
      </c>
      <c r="D708" s="5">
        <f t="shared" si="22"/>
        <v>47.86</v>
      </c>
      <c r="E708">
        <v>52.54</v>
      </c>
      <c r="F708" s="1789">
        <v>8.8999999999999996E-2</v>
      </c>
      <c r="G708">
        <f t="shared" si="23"/>
        <v>47.86</v>
      </c>
    </row>
    <row r="709" spans="1:7" ht="12.75" customHeight="1">
      <c r="A709" s="3">
        <v>44389</v>
      </c>
      <c r="B709" s="4" t="s">
        <v>721</v>
      </c>
      <c r="C709" s="3" t="s">
        <v>50</v>
      </c>
      <c r="D709" s="5">
        <f t="shared" si="22"/>
        <v>5.64</v>
      </c>
      <c r="E709">
        <v>6.2</v>
      </c>
      <c r="F709" s="1789">
        <v>8.8999999999999996E-2</v>
      </c>
      <c r="G709">
        <f t="shared" si="23"/>
        <v>5.64</v>
      </c>
    </row>
    <row r="710" spans="1:7" ht="12.75" customHeight="1">
      <c r="A710" s="3">
        <v>862</v>
      </c>
      <c r="B710" s="4" t="s">
        <v>722</v>
      </c>
      <c r="C710" s="3" t="s">
        <v>50</v>
      </c>
      <c r="D710" s="5">
        <f t="shared" si="22"/>
        <v>10.34</v>
      </c>
      <c r="E710">
        <v>11.36</v>
      </c>
      <c r="F710" s="1789">
        <v>8.8999999999999996E-2</v>
      </c>
      <c r="G710">
        <f t="shared" si="23"/>
        <v>10.34</v>
      </c>
    </row>
    <row r="711" spans="1:7" ht="12.75" customHeight="1">
      <c r="A711" s="3">
        <v>866</v>
      </c>
      <c r="B711" s="4" t="s">
        <v>723</v>
      </c>
      <c r="C711" s="3" t="s">
        <v>50</v>
      </c>
      <c r="D711" s="5">
        <f t="shared" si="22"/>
        <v>131.54</v>
      </c>
      <c r="E711">
        <v>144.4</v>
      </c>
      <c r="F711" s="1789">
        <v>8.8999999999999996E-2</v>
      </c>
      <c r="G711">
        <f t="shared" si="23"/>
        <v>131.54</v>
      </c>
    </row>
    <row r="712" spans="1:7" ht="12.75" customHeight="1">
      <c r="A712" s="3">
        <v>892</v>
      </c>
      <c r="B712" s="4" t="s">
        <v>724</v>
      </c>
      <c r="C712" s="3" t="s">
        <v>50</v>
      </c>
      <c r="D712" s="5">
        <f t="shared" si="22"/>
        <v>159.24</v>
      </c>
      <c r="E712">
        <v>174.8</v>
      </c>
      <c r="F712" s="1789">
        <v>8.8999999999999996E-2</v>
      </c>
      <c r="G712">
        <f t="shared" si="23"/>
        <v>159.24</v>
      </c>
    </row>
    <row r="713" spans="1:7" ht="12.75" customHeight="1">
      <c r="A713" s="3">
        <v>857</v>
      </c>
      <c r="B713" s="4" t="s">
        <v>725</v>
      </c>
      <c r="C713" s="3" t="s">
        <v>50</v>
      </c>
      <c r="D713" s="5">
        <f t="shared" si="22"/>
        <v>17.309999999999999</v>
      </c>
      <c r="E713">
        <v>19.010000000000002</v>
      </c>
      <c r="F713" s="1789">
        <v>8.8999999999999996E-2</v>
      </c>
      <c r="G713">
        <f t="shared" si="23"/>
        <v>17.309999999999999</v>
      </c>
    </row>
    <row r="714" spans="1:7" ht="12.75" customHeight="1">
      <c r="A714" s="3">
        <v>37404</v>
      </c>
      <c r="B714" s="4" t="s">
        <v>726</v>
      </c>
      <c r="C714" s="3" t="s">
        <v>50</v>
      </c>
      <c r="D714" s="5">
        <f t="shared" si="22"/>
        <v>184.24</v>
      </c>
      <c r="E714">
        <v>202.24</v>
      </c>
      <c r="F714" s="1789">
        <v>8.8999999999999996E-2</v>
      </c>
      <c r="G714">
        <f t="shared" si="23"/>
        <v>184.24</v>
      </c>
    </row>
    <row r="715" spans="1:7" ht="12.75" customHeight="1">
      <c r="A715" s="3">
        <v>868</v>
      </c>
      <c r="B715" s="4" t="s">
        <v>727</v>
      </c>
      <c r="C715" s="3" t="s">
        <v>50</v>
      </c>
      <c r="D715" s="5">
        <f t="shared" si="22"/>
        <v>24.67</v>
      </c>
      <c r="E715">
        <v>27.09</v>
      </c>
      <c r="F715" s="1789">
        <v>8.8999999999999996E-2</v>
      </c>
      <c r="G715">
        <f t="shared" si="23"/>
        <v>24.67</v>
      </c>
    </row>
    <row r="716" spans="1:7" ht="12.75" customHeight="1">
      <c r="A716" s="3">
        <v>863</v>
      </c>
      <c r="B716" s="4" t="s">
        <v>728</v>
      </c>
      <c r="C716" s="3" t="s">
        <v>50</v>
      </c>
      <c r="D716" s="5">
        <f t="shared" si="22"/>
        <v>36.340000000000003</v>
      </c>
      <c r="E716">
        <v>39.9</v>
      </c>
      <c r="F716" s="1789">
        <v>8.8999999999999996E-2</v>
      </c>
      <c r="G716">
        <f t="shared" si="23"/>
        <v>36.340000000000003</v>
      </c>
    </row>
    <row r="717" spans="1:7" ht="12.75" customHeight="1">
      <c r="A717" s="3">
        <v>867</v>
      </c>
      <c r="B717" s="4" t="s">
        <v>729</v>
      </c>
      <c r="C717" s="3" t="s">
        <v>50</v>
      </c>
      <c r="D717" s="5">
        <f t="shared" si="22"/>
        <v>51.78</v>
      </c>
      <c r="E717">
        <v>56.84</v>
      </c>
      <c r="F717" s="1789">
        <v>8.8999999999999996E-2</v>
      </c>
      <c r="G717">
        <f t="shared" si="23"/>
        <v>51.78</v>
      </c>
    </row>
    <row r="718" spans="1:7" ht="12.75" customHeight="1">
      <c r="A718" s="3">
        <v>864</v>
      </c>
      <c r="B718" s="4" t="s">
        <v>730</v>
      </c>
      <c r="C718" s="3" t="s">
        <v>50</v>
      </c>
      <c r="D718" s="5">
        <f t="shared" si="22"/>
        <v>68.39</v>
      </c>
      <c r="E718">
        <v>75.08</v>
      </c>
      <c r="F718" s="1789">
        <v>8.8999999999999996E-2</v>
      </c>
      <c r="G718">
        <f t="shared" si="23"/>
        <v>68.39</v>
      </c>
    </row>
    <row r="719" spans="1:7" ht="12.75" customHeight="1">
      <c r="A719" s="3">
        <v>865</v>
      </c>
      <c r="B719" s="4" t="s">
        <v>731</v>
      </c>
      <c r="C719" s="3" t="s">
        <v>50</v>
      </c>
      <c r="D719" s="5">
        <f t="shared" si="22"/>
        <v>98.38</v>
      </c>
      <c r="E719">
        <v>108</v>
      </c>
      <c r="F719" s="1789">
        <v>8.8999999999999996E-2</v>
      </c>
      <c r="G719">
        <f t="shared" si="23"/>
        <v>98.38</v>
      </c>
    </row>
    <row r="720" spans="1:7" ht="12.75" customHeight="1">
      <c r="A720" s="3">
        <v>993</v>
      </c>
      <c r="B720" s="4" t="s">
        <v>732</v>
      </c>
      <c r="C720" s="3" t="s">
        <v>50</v>
      </c>
      <c r="D720" s="5">
        <f t="shared" si="22"/>
        <v>1.86</v>
      </c>
      <c r="E720">
        <v>2.0499999999999998</v>
      </c>
      <c r="F720" s="1789">
        <v>8.8999999999999996E-2</v>
      </c>
      <c r="G720">
        <f t="shared" si="23"/>
        <v>1.86</v>
      </c>
    </row>
    <row r="721" spans="1:7" ht="12.75" customHeight="1">
      <c r="A721" s="3">
        <v>1020</v>
      </c>
      <c r="B721" s="4" t="s">
        <v>733</v>
      </c>
      <c r="C721" s="3" t="s">
        <v>50</v>
      </c>
      <c r="D721" s="5">
        <f t="shared" si="22"/>
        <v>9.5399999999999991</v>
      </c>
      <c r="E721">
        <v>10.48</v>
      </c>
      <c r="F721" s="1789">
        <v>8.8999999999999996E-2</v>
      </c>
      <c r="G721">
        <f t="shared" si="23"/>
        <v>9.5399999999999991</v>
      </c>
    </row>
    <row r="722" spans="1:7" ht="12.75" customHeight="1">
      <c r="A722" s="3">
        <v>1017</v>
      </c>
      <c r="B722" s="4" t="s">
        <v>734</v>
      </c>
      <c r="C722" s="3" t="s">
        <v>50</v>
      </c>
      <c r="D722" s="5">
        <f t="shared" si="22"/>
        <v>116.98</v>
      </c>
      <c r="E722">
        <v>128.41</v>
      </c>
      <c r="F722" s="1789">
        <v>8.8999999999999996E-2</v>
      </c>
      <c r="G722">
        <f t="shared" si="23"/>
        <v>116.98</v>
      </c>
    </row>
    <row r="723" spans="1:7" ht="12.75" customHeight="1">
      <c r="A723" s="3">
        <v>999</v>
      </c>
      <c r="B723" s="4" t="s">
        <v>735</v>
      </c>
      <c r="C723" s="3" t="s">
        <v>50</v>
      </c>
      <c r="D723" s="5">
        <f t="shared" si="22"/>
        <v>141.72999999999999</v>
      </c>
      <c r="E723">
        <v>155.58000000000001</v>
      </c>
      <c r="F723" s="1789">
        <v>8.8999999999999996E-2</v>
      </c>
      <c r="G723">
        <f t="shared" si="23"/>
        <v>141.72999999999999</v>
      </c>
    </row>
    <row r="724" spans="1:7" ht="12.75" customHeight="1">
      <c r="A724" s="3">
        <v>995</v>
      </c>
      <c r="B724" s="4" t="s">
        <v>736</v>
      </c>
      <c r="C724" s="3" t="s">
        <v>50</v>
      </c>
      <c r="D724" s="5">
        <f t="shared" si="22"/>
        <v>15.19</v>
      </c>
      <c r="E724">
        <v>16.68</v>
      </c>
      <c r="F724" s="1789">
        <v>8.8999999999999996E-2</v>
      </c>
      <c r="G724">
        <f t="shared" si="23"/>
        <v>15.19</v>
      </c>
    </row>
    <row r="725" spans="1:7" ht="12.75" customHeight="1">
      <c r="A725" s="3">
        <v>1000</v>
      </c>
      <c r="B725" s="4" t="s">
        <v>737</v>
      </c>
      <c r="C725" s="3" t="s">
        <v>50</v>
      </c>
      <c r="D725" s="5">
        <f t="shared" si="22"/>
        <v>174.08</v>
      </c>
      <c r="E725">
        <v>191.09</v>
      </c>
      <c r="F725" s="1789">
        <v>8.8999999999999996E-2</v>
      </c>
      <c r="G725">
        <f t="shared" si="23"/>
        <v>174.08</v>
      </c>
    </row>
    <row r="726" spans="1:7" ht="12.75" customHeight="1">
      <c r="A726" s="3">
        <v>1022</v>
      </c>
      <c r="B726" s="4" t="s">
        <v>738</v>
      </c>
      <c r="C726" s="3" t="s">
        <v>50</v>
      </c>
      <c r="D726" s="5">
        <f t="shared" si="22"/>
        <v>2.6</v>
      </c>
      <c r="E726">
        <v>2.86</v>
      </c>
      <c r="F726" s="1789">
        <v>8.8999999999999996E-2</v>
      </c>
      <c r="G726">
        <f t="shared" si="23"/>
        <v>2.6</v>
      </c>
    </row>
    <row r="727" spans="1:7" ht="12.75" customHeight="1">
      <c r="A727" s="3">
        <v>1015</v>
      </c>
      <c r="B727" s="4" t="s">
        <v>739</v>
      </c>
      <c r="C727" s="3" t="s">
        <v>50</v>
      </c>
      <c r="D727" s="5">
        <f t="shared" si="22"/>
        <v>231.33</v>
      </c>
      <c r="E727">
        <v>253.94</v>
      </c>
      <c r="F727" s="1789">
        <v>8.8999999999999996E-2</v>
      </c>
      <c r="G727">
        <f t="shared" si="23"/>
        <v>231.33</v>
      </c>
    </row>
    <row r="728" spans="1:7" ht="12.75" customHeight="1">
      <c r="A728" s="3">
        <v>996</v>
      </c>
      <c r="B728" s="4" t="s">
        <v>740</v>
      </c>
      <c r="C728" s="3" t="s">
        <v>50</v>
      </c>
      <c r="D728" s="5">
        <f t="shared" si="22"/>
        <v>23.56</v>
      </c>
      <c r="E728">
        <v>25.87</v>
      </c>
      <c r="F728" s="1789">
        <v>8.8999999999999996E-2</v>
      </c>
      <c r="G728">
        <f t="shared" si="23"/>
        <v>23.56</v>
      </c>
    </row>
    <row r="729" spans="1:7" ht="12.75" customHeight="1">
      <c r="A729" s="3">
        <v>1001</v>
      </c>
      <c r="B729" s="4" t="s">
        <v>741</v>
      </c>
      <c r="C729" s="3" t="s">
        <v>50</v>
      </c>
      <c r="D729" s="5">
        <f t="shared" si="22"/>
        <v>300.14999999999998</v>
      </c>
      <c r="E729">
        <v>329.48</v>
      </c>
      <c r="F729" s="1789">
        <v>8.8999999999999996E-2</v>
      </c>
      <c r="G729">
        <f t="shared" si="23"/>
        <v>300.14999999999998</v>
      </c>
    </row>
    <row r="730" spans="1:7" ht="12.75" customHeight="1">
      <c r="A730" s="3">
        <v>1019</v>
      </c>
      <c r="B730" s="4" t="s">
        <v>742</v>
      </c>
      <c r="C730" s="3" t="s">
        <v>50</v>
      </c>
      <c r="D730" s="5">
        <f t="shared" si="22"/>
        <v>33.299999999999997</v>
      </c>
      <c r="E730">
        <v>36.56</v>
      </c>
      <c r="F730" s="1789">
        <v>8.8999999999999996E-2</v>
      </c>
      <c r="G730">
        <f t="shared" si="23"/>
        <v>33.299999999999997</v>
      </c>
    </row>
    <row r="731" spans="1:7" ht="12.75" customHeight="1">
      <c r="A731" s="3">
        <v>1021</v>
      </c>
      <c r="B731" s="4" t="s">
        <v>743</v>
      </c>
      <c r="C731" s="3" t="s">
        <v>50</v>
      </c>
      <c r="D731" s="5">
        <f t="shared" si="22"/>
        <v>3.99</v>
      </c>
      <c r="E731">
        <v>4.3899999999999997</v>
      </c>
      <c r="F731" s="1789">
        <v>8.8999999999999996E-2</v>
      </c>
      <c r="G731">
        <f t="shared" si="23"/>
        <v>3.99</v>
      </c>
    </row>
    <row r="732" spans="1:7" ht="12.75" customHeight="1">
      <c r="A732" s="3">
        <v>39249</v>
      </c>
      <c r="B732" s="4" t="s">
        <v>744</v>
      </c>
      <c r="C732" s="3" t="s">
        <v>50</v>
      </c>
      <c r="D732" s="5">
        <f t="shared" si="22"/>
        <v>403.57</v>
      </c>
      <c r="E732">
        <v>443</v>
      </c>
      <c r="F732" s="1789">
        <v>8.8999999999999996E-2</v>
      </c>
      <c r="G732">
        <f t="shared" si="23"/>
        <v>403.57</v>
      </c>
    </row>
    <row r="733" spans="1:7" ht="12.75" customHeight="1">
      <c r="A733" s="3">
        <v>1018</v>
      </c>
      <c r="B733" s="4" t="s">
        <v>745</v>
      </c>
      <c r="C733" s="3" t="s">
        <v>50</v>
      </c>
      <c r="D733" s="5">
        <f t="shared" si="22"/>
        <v>49.24</v>
      </c>
      <c r="E733">
        <v>54.06</v>
      </c>
      <c r="F733" s="1789">
        <v>8.8999999999999996E-2</v>
      </c>
      <c r="G733">
        <f t="shared" si="23"/>
        <v>49.24</v>
      </c>
    </row>
    <row r="734" spans="1:7" ht="12.75" customHeight="1">
      <c r="A734" s="3">
        <v>39250</v>
      </c>
      <c r="B734" s="4" t="s">
        <v>746</v>
      </c>
      <c r="C734" s="3" t="s">
        <v>50</v>
      </c>
      <c r="D734" s="5">
        <f t="shared" si="22"/>
        <v>482.76</v>
      </c>
      <c r="E734">
        <v>529.92999999999995</v>
      </c>
      <c r="F734" s="1789">
        <v>8.8999999999999996E-2</v>
      </c>
      <c r="G734">
        <f t="shared" si="23"/>
        <v>482.76</v>
      </c>
    </row>
    <row r="735" spans="1:7" ht="12.75" customHeight="1">
      <c r="A735" s="3">
        <v>994</v>
      </c>
      <c r="B735" s="4" t="s">
        <v>747</v>
      </c>
      <c r="C735" s="3" t="s">
        <v>50</v>
      </c>
      <c r="D735" s="5">
        <f t="shared" si="22"/>
        <v>5.82</v>
      </c>
      <c r="E735">
        <v>6.39</v>
      </c>
      <c r="F735" s="1789">
        <v>8.8999999999999996E-2</v>
      </c>
      <c r="G735">
        <f t="shared" si="23"/>
        <v>5.82</v>
      </c>
    </row>
    <row r="736" spans="1:7" ht="12.75" customHeight="1">
      <c r="A736" s="3">
        <v>977</v>
      </c>
      <c r="B736" s="4" t="s">
        <v>748</v>
      </c>
      <c r="C736" s="3" t="s">
        <v>50</v>
      </c>
      <c r="D736" s="5">
        <f t="shared" si="22"/>
        <v>68.89</v>
      </c>
      <c r="E736">
        <v>75.63</v>
      </c>
      <c r="F736" s="1789">
        <v>8.8999999999999996E-2</v>
      </c>
      <c r="G736">
        <f t="shared" si="23"/>
        <v>68.89</v>
      </c>
    </row>
    <row r="737" spans="1:7" ht="12.75" customHeight="1">
      <c r="A737" s="3">
        <v>998</v>
      </c>
      <c r="B737" s="4" t="s">
        <v>749</v>
      </c>
      <c r="C737" s="3" t="s">
        <v>50</v>
      </c>
      <c r="D737" s="5">
        <f t="shared" si="22"/>
        <v>89.46</v>
      </c>
      <c r="E737">
        <v>98.2</v>
      </c>
      <c r="F737" s="1789">
        <v>8.8999999999999996E-2</v>
      </c>
      <c r="G737">
        <f t="shared" si="23"/>
        <v>89.46</v>
      </c>
    </row>
    <row r="738" spans="1:7" ht="12.75" customHeight="1">
      <c r="A738" s="3">
        <v>39251</v>
      </c>
      <c r="B738" s="4" t="s">
        <v>750</v>
      </c>
      <c r="C738" s="3" t="s">
        <v>50</v>
      </c>
      <c r="D738" s="5">
        <f t="shared" si="22"/>
        <v>0.64</v>
      </c>
      <c r="E738">
        <v>0.71</v>
      </c>
      <c r="F738" s="1789">
        <v>8.8999999999999996E-2</v>
      </c>
      <c r="G738">
        <f t="shared" si="23"/>
        <v>0.64</v>
      </c>
    </row>
    <row r="739" spans="1:7" ht="12.75" customHeight="1">
      <c r="A739" s="3">
        <v>1011</v>
      </c>
      <c r="B739" s="4" t="s">
        <v>751</v>
      </c>
      <c r="C739" s="3" t="s">
        <v>50</v>
      </c>
      <c r="D739" s="5">
        <f t="shared" si="22"/>
        <v>0.88</v>
      </c>
      <c r="E739">
        <v>0.97</v>
      </c>
      <c r="F739" s="1789">
        <v>8.8999999999999996E-2</v>
      </c>
      <c r="G739">
        <f t="shared" si="23"/>
        <v>0.88</v>
      </c>
    </row>
    <row r="740" spans="1:7" ht="12.75" customHeight="1">
      <c r="A740" s="3">
        <v>39252</v>
      </c>
      <c r="B740" s="4" t="s">
        <v>752</v>
      </c>
      <c r="C740" s="3" t="s">
        <v>50</v>
      </c>
      <c r="D740" s="5">
        <f t="shared" si="22"/>
        <v>1.1499999999999999</v>
      </c>
      <c r="E740">
        <v>1.27</v>
      </c>
      <c r="F740" s="1789">
        <v>8.8999999999999996E-2</v>
      </c>
      <c r="G740">
        <f t="shared" si="23"/>
        <v>1.1499999999999999</v>
      </c>
    </row>
    <row r="741" spans="1:7" ht="12.75" customHeight="1">
      <c r="A741" s="3">
        <v>1013</v>
      </c>
      <c r="B741" s="4" t="s">
        <v>753</v>
      </c>
      <c r="C741" s="3" t="s">
        <v>50</v>
      </c>
      <c r="D741" s="5">
        <f t="shared" si="22"/>
        <v>1.38</v>
      </c>
      <c r="E741">
        <v>1.52</v>
      </c>
      <c r="F741" s="1789">
        <v>8.8999999999999996E-2</v>
      </c>
      <c r="G741">
        <f t="shared" si="23"/>
        <v>1.38</v>
      </c>
    </row>
    <row r="742" spans="1:7" ht="12.75" customHeight="1">
      <c r="A742" s="3">
        <v>980</v>
      </c>
      <c r="B742" s="4" t="s">
        <v>754</v>
      </c>
      <c r="C742" s="3" t="s">
        <v>50</v>
      </c>
      <c r="D742" s="5">
        <f t="shared" si="22"/>
        <v>10.01</v>
      </c>
      <c r="E742">
        <v>10.99</v>
      </c>
      <c r="F742" s="1789">
        <v>8.8999999999999996E-2</v>
      </c>
      <c r="G742">
        <f t="shared" si="23"/>
        <v>10.01</v>
      </c>
    </row>
    <row r="743" spans="1:7" ht="12.75" customHeight="1">
      <c r="A743" s="3">
        <v>39237</v>
      </c>
      <c r="B743" s="4" t="s">
        <v>755</v>
      </c>
      <c r="C743" s="3" t="s">
        <v>50</v>
      </c>
      <c r="D743" s="5">
        <f t="shared" si="22"/>
        <v>106.5</v>
      </c>
      <c r="E743">
        <v>116.91</v>
      </c>
      <c r="F743" s="1789">
        <v>8.8999999999999996E-2</v>
      </c>
      <c r="G743">
        <f t="shared" si="23"/>
        <v>106.5</v>
      </c>
    </row>
    <row r="744" spans="1:7" ht="12.75" customHeight="1">
      <c r="A744" s="3">
        <v>39238</v>
      </c>
      <c r="B744" s="4" t="s">
        <v>756</v>
      </c>
      <c r="C744" s="3" t="s">
        <v>50</v>
      </c>
      <c r="D744" s="5">
        <f t="shared" si="22"/>
        <v>134.31</v>
      </c>
      <c r="E744">
        <v>147.44</v>
      </c>
      <c r="F744" s="1789">
        <v>8.8999999999999996E-2</v>
      </c>
      <c r="G744">
        <f t="shared" si="23"/>
        <v>134.31</v>
      </c>
    </row>
    <row r="745" spans="1:7" ht="12.75" customHeight="1">
      <c r="A745" s="3">
        <v>979</v>
      </c>
      <c r="B745" s="4" t="s">
        <v>757</v>
      </c>
      <c r="C745" s="3" t="s">
        <v>50</v>
      </c>
      <c r="D745" s="5">
        <f t="shared" si="22"/>
        <v>14.3</v>
      </c>
      <c r="E745">
        <v>15.7</v>
      </c>
      <c r="F745" s="1789">
        <v>8.8999999999999996E-2</v>
      </c>
      <c r="G745">
        <f t="shared" si="23"/>
        <v>14.3</v>
      </c>
    </row>
    <row r="746" spans="1:7" ht="12.75" customHeight="1">
      <c r="A746" s="3">
        <v>39239</v>
      </c>
      <c r="B746" s="4" t="s">
        <v>758</v>
      </c>
      <c r="C746" s="3" t="s">
        <v>50</v>
      </c>
      <c r="D746" s="5">
        <f t="shared" si="22"/>
        <v>162.26</v>
      </c>
      <c r="E746">
        <v>178.12</v>
      </c>
      <c r="F746" s="1789">
        <v>8.8999999999999996E-2</v>
      </c>
      <c r="G746">
        <f t="shared" si="23"/>
        <v>162.26</v>
      </c>
    </row>
    <row r="747" spans="1:7" ht="12.75" customHeight="1">
      <c r="A747" s="3">
        <v>1014</v>
      </c>
      <c r="B747" s="4" t="s">
        <v>759</v>
      </c>
      <c r="C747" s="3" t="s">
        <v>50</v>
      </c>
      <c r="D747" s="5">
        <f t="shared" si="22"/>
        <v>2.19</v>
      </c>
      <c r="E747">
        <v>2.41</v>
      </c>
      <c r="F747" s="1789">
        <v>8.8999999999999996E-2</v>
      </c>
      <c r="G747">
        <f t="shared" si="23"/>
        <v>2.19</v>
      </c>
    </row>
    <row r="748" spans="1:7" ht="12.75" customHeight="1">
      <c r="A748" s="3">
        <v>39240</v>
      </c>
      <c r="B748" s="4" t="s">
        <v>760</v>
      </c>
      <c r="C748" s="3" t="s">
        <v>50</v>
      </c>
      <c r="D748" s="5">
        <f t="shared" si="22"/>
        <v>213.42</v>
      </c>
      <c r="E748">
        <v>234.28</v>
      </c>
      <c r="F748" s="1789">
        <v>8.8999999999999996E-2</v>
      </c>
      <c r="G748">
        <f t="shared" si="23"/>
        <v>213.42</v>
      </c>
    </row>
    <row r="749" spans="1:7" ht="12.75" customHeight="1">
      <c r="A749" s="3">
        <v>39232</v>
      </c>
      <c r="B749" s="4" t="s">
        <v>761</v>
      </c>
      <c r="C749" s="3" t="s">
        <v>50</v>
      </c>
      <c r="D749" s="5">
        <f t="shared" si="22"/>
        <v>22.4</v>
      </c>
      <c r="E749">
        <v>24.59</v>
      </c>
      <c r="F749" s="1789">
        <v>8.8999999999999996E-2</v>
      </c>
      <c r="G749">
        <f t="shared" si="23"/>
        <v>22.4</v>
      </c>
    </row>
    <row r="750" spans="1:7" ht="12.75" customHeight="1">
      <c r="A750" s="3">
        <v>39233</v>
      </c>
      <c r="B750" s="4" t="s">
        <v>762</v>
      </c>
      <c r="C750" s="3" t="s">
        <v>50</v>
      </c>
      <c r="D750" s="5">
        <f t="shared" si="22"/>
        <v>32.65</v>
      </c>
      <c r="E750">
        <v>35.840000000000003</v>
      </c>
      <c r="F750" s="1789">
        <v>8.8999999999999996E-2</v>
      </c>
      <c r="G750">
        <f t="shared" si="23"/>
        <v>32.65</v>
      </c>
    </row>
    <row r="751" spans="1:7" ht="12.75" customHeight="1">
      <c r="A751" s="3">
        <v>981</v>
      </c>
      <c r="B751" s="4" t="s">
        <v>763</v>
      </c>
      <c r="C751" s="3" t="s">
        <v>50</v>
      </c>
      <c r="D751" s="5">
        <f t="shared" si="22"/>
        <v>3.64</v>
      </c>
      <c r="E751">
        <v>4</v>
      </c>
      <c r="F751" s="1789">
        <v>8.8999999999999996E-2</v>
      </c>
      <c r="G751">
        <f t="shared" si="23"/>
        <v>3.64</v>
      </c>
    </row>
    <row r="752" spans="1:7" ht="12.75" customHeight="1">
      <c r="A752" s="3">
        <v>39234</v>
      </c>
      <c r="B752" s="4" t="s">
        <v>764</v>
      </c>
      <c r="C752" s="3" t="s">
        <v>50</v>
      </c>
      <c r="D752" s="5">
        <f t="shared" si="22"/>
        <v>45.44</v>
      </c>
      <c r="E752">
        <v>49.88</v>
      </c>
      <c r="F752" s="1789">
        <v>8.8999999999999996E-2</v>
      </c>
      <c r="G752">
        <f t="shared" si="23"/>
        <v>45.44</v>
      </c>
    </row>
    <row r="753" spans="1:7" ht="12.75" customHeight="1">
      <c r="A753" s="3">
        <v>982</v>
      </c>
      <c r="B753" s="4" t="s">
        <v>765</v>
      </c>
      <c r="C753" s="3" t="s">
        <v>50</v>
      </c>
      <c r="D753" s="5">
        <f t="shared" si="22"/>
        <v>5.23</v>
      </c>
      <c r="E753">
        <v>5.75</v>
      </c>
      <c r="F753" s="1789">
        <v>8.8999999999999996E-2</v>
      </c>
      <c r="G753">
        <f t="shared" si="23"/>
        <v>5.23</v>
      </c>
    </row>
    <row r="754" spans="1:7" ht="12.75" customHeight="1">
      <c r="A754" s="3">
        <v>39235</v>
      </c>
      <c r="B754" s="4" t="s">
        <v>766</v>
      </c>
      <c r="C754" s="3" t="s">
        <v>50</v>
      </c>
      <c r="D754" s="5">
        <f t="shared" si="22"/>
        <v>67.02</v>
      </c>
      <c r="E754">
        <v>73.569999999999993</v>
      </c>
      <c r="F754" s="1789">
        <v>8.8999999999999996E-2</v>
      </c>
      <c r="G754">
        <f t="shared" si="23"/>
        <v>67.02</v>
      </c>
    </row>
    <row r="755" spans="1:7" ht="12.75" customHeight="1">
      <c r="A755" s="3">
        <v>39236</v>
      </c>
      <c r="B755" s="4" t="s">
        <v>767</v>
      </c>
      <c r="C755" s="3" t="s">
        <v>50</v>
      </c>
      <c r="D755" s="5">
        <f t="shared" si="22"/>
        <v>88.83</v>
      </c>
      <c r="E755">
        <v>97.51</v>
      </c>
      <c r="F755" s="1789">
        <v>8.8999999999999996E-2</v>
      </c>
      <c r="G755">
        <f t="shared" si="23"/>
        <v>88.83</v>
      </c>
    </row>
    <row r="756" spans="1:7" ht="12.75" customHeight="1">
      <c r="A756" s="3">
        <v>990</v>
      </c>
      <c r="B756" s="4" t="s">
        <v>768</v>
      </c>
      <c r="C756" s="3" t="s">
        <v>50</v>
      </c>
      <c r="D756" s="5">
        <f t="shared" si="22"/>
        <v>157.61000000000001</v>
      </c>
      <c r="E756">
        <v>173.01</v>
      </c>
      <c r="F756" s="1789">
        <v>8.8999999999999996E-2</v>
      </c>
      <c r="G756">
        <f t="shared" si="23"/>
        <v>157.61000000000001</v>
      </c>
    </row>
    <row r="757" spans="1:7" ht="12.75" customHeight="1">
      <c r="A757" s="3">
        <v>39241</v>
      </c>
      <c r="B757" s="4" t="s">
        <v>769</v>
      </c>
      <c r="C757" s="3" t="s">
        <v>50</v>
      </c>
      <c r="D757" s="5">
        <f t="shared" si="22"/>
        <v>15.51</v>
      </c>
      <c r="E757">
        <v>17.03</v>
      </c>
      <c r="F757" s="1789">
        <v>8.8999999999999996E-2</v>
      </c>
      <c r="G757">
        <f t="shared" si="23"/>
        <v>15.51</v>
      </c>
    </row>
    <row r="758" spans="1:7" ht="12.75" customHeight="1">
      <c r="A758" s="3">
        <v>1005</v>
      </c>
      <c r="B758" s="4" t="s">
        <v>770</v>
      </c>
      <c r="C758" s="3" t="s">
        <v>50</v>
      </c>
      <c r="D758" s="5">
        <f t="shared" si="22"/>
        <v>196.23</v>
      </c>
      <c r="E758">
        <v>215.41</v>
      </c>
      <c r="F758" s="1789">
        <v>8.8999999999999996E-2</v>
      </c>
      <c r="G758">
        <f t="shared" si="23"/>
        <v>196.23</v>
      </c>
    </row>
    <row r="759" spans="1:7" ht="12.75" customHeight="1">
      <c r="A759" s="3">
        <v>991</v>
      </c>
      <c r="B759" s="4" t="s">
        <v>771</v>
      </c>
      <c r="C759" s="3" t="s">
        <v>50</v>
      </c>
      <c r="D759" s="5">
        <f t="shared" si="22"/>
        <v>257.02</v>
      </c>
      <c r="E759">
        <v>282.14</v>
      </c>
      <c r="F759" s="1789">
        <v>8.8999999999999996E-2</v>
      </c>
      <c r="G759">
        <f t="shared" si="23"/>
        <v>257.02</v>
      </c>
    </row>
    <row r="760" spans="1:7" ht="12.75" customHeight="1">
      <c r="A760" s="3">
        <v>986</v>
      </c>
      <c r="B760" s="4" t="s">
        <v>772</v>
      </c>
      <c r="C760" s="3" t="s">
        <v>50</v>
      </c>
      <c r="D760" s="5">
        <f t="shared" si="22"/>
        <v>24.51</v>
      </c>
      <c r="E760">
        <v>26.91</v>
      </c>
      <c r="F760" s="1789">
        <v>8.8999999999999996E-2</v>
      </c>
      <c r="G760">
        <f t="shared" si="23"/>
        <v>24.51</v>
      </c>
    </row>
    <row r="761" spans="1:7" ht="12.75" customHeight="1">
      <c r="A761" s="3">
        <v>987</v>
      </c>
      <c r="B761" s="4" t="s">
        <v>773</v>
      </c>
      <c r="C761" s="3" t="s">
        <v>50</v>
      </c>
      <c r="D761" s="5">
        <f t="shared" si="22"/>
        <v>33.56</v>
      </c>
      <c r="E761">
        <v>36.840000000000003</v>
      </c>
      <c r="F761" s="1789">
        <v>8.8999999999999996E-2</v>
      </c>
      <c r="G761">
        <f t="shared" si="23"/>
        <v>33.56</v>
      </c>
    </row>
    <row r="762" spans="1:7" ht="12.75" customHeight="1">
      <c r="A762" s="3">
        <v>1007</v>
      </c>
      <c r="B762" s="4" t="s">
        <v>774</v>
      </c>
      <c r="C762" s="3" t="s">
        <v>50</v>
      </c>
      <c r="D762" s="5">
        <f t="shared" si="22"/>
        <v>46.45</v>
      </c>
      <c r="E762">
        <v>50.99</v>
      </c>
      <c r="F762" s="1789">
        <v>8.8999999999999996E-2</v>
      </c>
      <c r="G762">
        <f t="shared" si="23"/>
        <v>46.45</v>
      </c>
    </row>
    <row r="763" spans="1:7" ht="12.75" customHeight="1">
      <c r="A763" s="3">
        <v>1008</v>
      </c>
      <c r="B763" s="4" t="s">
        <v>775</v>
      </c>
      <c r="C763" s="3" t="s">
        <v>50</v>
      </c>
      <c r="D763" s="5">
        <f t="shared" si="22"/>
        <v>5.89</v>
      </c>
      <c r="E763">
        <v>6.47</v>
      </c>
      <c r="F763" s="1789">
        <v>8.8999999999999996E-2</v>
      </c>
      <c r="G763">
        <f t="shared" si="23"/>
        <v>5.89</v>
      </c>
    </row>
    <row r="764" spans="1:7" ht="12.75" customHeight="1">
      <c r="A764" s="3">
        <v>988</v>
      </c>
      <c r="B764" s="4" t="s">
        <v>776</v>
      </c>
      <c r="C764" s="3" t="s">
        <v>50</v>
      </c>
      <c r="D764" s="5">
        <f t="shared" si="22"/>
        <v>64.05</v>
      </c>
      <c r="E764">
        <v>70.31</v>
      </c>
      <c r="F764" s="1789">
        <v>8.8999999999999996E-2</v>
      </c>
      <c r="G764">
        <f t="shared" si="23"/>
        <v>64.05</v>
      </c>
    </row>
    <row r="765" spans="1:7" ht="12.75" customHeight="1">
      <c r="A765" s="3">
        <v>989</v>
      </c>
      <c r="B765" s="4" t="s">
        <v>777</v>
      </c>
      <c r="C765" s="3" t="s">
        <v>50</v>
      </c>
      <c r="D765" s="5">
        <f t="shared" si="22"/>
        <v>88.42</v>
      </c>
      <c r="E765">
        <v>97.06</v>
      </c>
      <c r="F765" s="1789">
        <v>8.8999999999999996E-2</v>
      </c>
      <c r="G765">
        <f t="shared" si="23"/>
        <v>88.42</v>
      </c>
    </row>
    <row r="766" spans="1:7" ht="12.75" customHeight="1">
      <c r="A766" s="3">
        <v>1006</v>
      </c>
      <c r="B766" s="4" t="s">
        <v>778</v>
      </c>
      <c r="C766" s="3" t="s">
        <v>50</v>
      </c>
      <c r="D766" s="5">
        <f t="shared" si="22"/>
        <v>118.53</v>
      </c>
      <c r="E766">
        <v>130.12</v>
      </c>
      <c r="F766" s="1789">
        <v>8.8999999999999996E-2</v>
      </c>
      <c r="G766">
        <f t="shared" si="23"/>
        <v>118.53</v>
      </c>
    </row>
    <row r="767" spans="1:7" ht="12.75" customHeight="1">
      <c r="A767" s="3">
        <v>43972</v>
      </c>
      <c r="B767" s="4" t="s">
        <v>779</v>
      </c>
      <c r="C767" s="3" t="s">
        <v>50</v>
      </c>
      <c r="D767" s="5">
        <f t="shared" si="22"/>
        <v>4.79</v>
      </c>
      <c r="E767">
        <v>5.26</v>
      </c>
      <c r="F767" s="1789">
        <v>8.8999999999999996E-2</v>
      </c>
      <c r="G767">
        <f t="shared" si="23"/>
        <v>4.79</v>
      </c>
    </row>
    <row r="768" spans="1:7" ht="12.75" customHeight="1">
      <c r="A768" s="3">
        <v>43971</v>
      </c>
      <c r="B768" s="4" t="s">
        <v>780</v>
      </c>
      <c r="C768" s="3" t="s">
        <v>50</v>
      </c>
      <c r="D768" s="5">
        <f t="shared" si="22"/>
        <v>3.66</v>
      </c>
      <c r="E768">
        <v>4.0199999999999996</v>
      </c>
      <c r="F768" s="1789">
        <v>8.8999999999999996E-2</v>
      </c>
      <c r="G768">
        <f t="shared" si="23"/>
        <v>3.66</v>
      </c>
    </row>
    <row r="769" spans="1:7" ht="12.75" customHeight="1">
      <c r="A769" s="3">
        <v>39598</v>
      </c>
      <c r="B769" s="4" t="s">
        <v>781</v>
      </c>
      <c r="C769" s="3" t="s">
        <v>50</v>
      </c>
      <c r="D769" s="5">
        <f t="shared" si="22"/>
        <v>6.78</v>
      </c>
      <c r="E769">
        <v>7.45</v>
      </c>
      <c r="F769" s="1789">
        <v>8.8999999999999996E-2</v>
      </c>
      <c r="G769">
        <f t="shared" si="23"/>
        <v>6.78</v>
      </c>
    </row>
    <row r="770" spans="1:7" ht="12.75" customHeight="1">
      <c r="A770" s="3">
        <v>43973</v>
      </c>
      <c r="B770" s="4" t="s">
        <v>782</v>
      </c>
      <c r="C770" s="3" t="s">
        <v>50</v>
      </c>
      <c r="D770" s="5">
        <f t="shared" si="22"/>
        <v>5.01</v>
      </c>
      <c r="E770">
        <v>5.5</v>
      </c>
      <c r="F770" s="1789">
        <v>8.8999999999999996E-2</v>
      </c>
      <c r="G770">
        <f t="shared" si="23"/>
        <v>5.01</v>
      </c>
    </row>
    <row r="771" spans="1:7" ht="12.75" customHeight="1">
      <c r="A771" s="3">
        <v>39599</v>
      </c>
      <c r="B771" s="4" t="s">
        <v>783</v>
      </c>
      <c r="C771" s="3" t="s">
        <v>50</v>
      </c>
      <c r="D771" s="5">
        <f t="shared" ref="D771:D834" si="24">G771</f>
        <v>9.76</v>
      </c>
      <c r="E771">
        <v>10.72</v>
      </c>
      <c r="F771" s="1789">
        <v>8.8999999999999996E-2</v>
      </c>
      <c r="G771">
        <f t="shared" ref="G771:G834" si="25">TRUNC((1-F771)*E771,2)</f>
        <v>9.76</v>
      </c>
    </row>
    <row r="772" spans="1:7" ht="12.75" customHeight="1">
      <c r="A772" s="3">
        <v>43832</v>
      </c>
      <c r="B772" s="4" t="s">
        <v>784</v>
      </c>
      <c r="C772" s="3" t="s">
        <v>50</v>
      </c>
      <c r="D772" s="5">
        <f t="shared" si="24"/>
        <v>25.73</v>
      </c>
      <c r="E772">
        <v>28.25</v>
      </c>
      <c r="F772" s="1789">
        <v>8.8999999999999996E-2</v>
      </c>
      <c r="G772">
        <f t="shared" si="25"/>
        <v>25.73</v>
      </c>
    </row>
    <row r="773" spans="1:7" ht="12.75" customHeight="1">
      <c r="A773" s="3">
        <v>34602</v>
      </c>
      <c r="B773" s="4" t="s">
        <v>785</v>
      </c>
      <c r="C773" s="3" t="s">
        <v>50</v>
      </c>
      <c r="D773" s="5">
        <f t="shared" si="24"/>
        <v>4.05</v>
      </c>
      <c r="E773">
        <v>4.45</v>
      </c>
      <c r="F773" s="1789">
        <v>8.8999999999999996E-2</v>
      </c>
      <c r="G773">
        <f t="shared" si="25"/>
        <v>4.05</v>
      </c>
    </row>
    <row r="774" spans="1:7" ht="12.75" customHeight="1">
      <c r="A774" s="3">
        <v>34607</v>
      </c>
      <c r="B774" s="4" t="s">
        <v>786</v>
      </c>
      <c r="C774" s="3" t="s">
        <v>50</v>
      </c>
      <c r="D774" s="5">
        <f t="shared" si="24"/>
        <v>9.93</v>
      </c>
      <c r="E774">
        <v>10.91</v>
      </c>
      <c r="F774" s="1789">
        <v>8.8999999999999996E-2</v>
      </c>
      <c r="G774">
        <f t="shared" si="25"/>
        <v>9.93</v>
      </c>
    </row>
    <row r="775" spans="1:7" ht="12.75" customHeight="1">
      <c r="A775" s="3">
        <v>34609</v>
      </c>
      <c r="B775" s="4" t="s">
        <v>787</v>
      </c>
      <c r="C775" s="3" t="s">
        <v>50</v>
      </c>
      <c r="D775" s="5">
        <f t="shared" si="24"/>
        <v>14.45</v>
      </c>
      <c r="E775">
        <v>15.87</v>
      </c>
      <c r="F775" s="1789">
        <v>8.8999999999999996E-2</v>
      </c>
      <c r="G775">
        <f t="shared" si="25"/>
        <v>14.45</v>
      </c>
    </row>
    <row r="776" spans="1:7" ht="12.75" customHeight="1">
      <c r="A776" s="3">
        <v>34618</v>
      </c>
      <c r="B776" s="4" t="s">
        <v>788</v>
      </c>
      <c r="C776" s="3" t="s">
        <v>50</v>
      </c>
      <c r="D776" s="5">
        <f t="shared" si="24"/>
        <v>5.52</v>
      </c>
      <c r="E776">
        <v>6.07</v>
      </c>
      <c r="F776" s="1789">
        <v>8.8999999999999996E-2</v>
      </c>
      <c r="G776">
        <f t="shared" si="25"/>
        <v>5.52</v>
      </c>
    </row>
    <row r="777" spans="1:7" ht="12.75" customHeight="1">
      <c r="A777" s="3">
        <v>34621</v>
      </c>
      <c r="B777" s="4" t="s">
        <v>789</v>
      </c>
      <c r="C777" s="3" t="s">
        <v>50</v>
      </c>
      <c r="D777" s="5">
        <f t="shared" si="24"/>
        <v>13.7</v>
      </c>
      <c r="E777">
        <v>15.04</v>
      </c>
      <c r="F777" s="1789">
        <v>8.8999999999999996E-2</v>
      </c>
      <c r="G777">
        <f t="shared" si="25"/>
        <v>13.7</v>
      </c>
    </row>
    <row r="778" spans="1:7" ht="12.75" customHeight="1">
      <c r="A778" s="3">
        <v>34622</v>
      </c>
      <c r="B778" s="4" t="s">
        <v>790</v>
      </c>
      <c r="C778" s="3" t="s">
        <v>50</v>
      </c>
      <c r="D778" s="5">
        <f t="shared" si="24"/>
        <v>20.350000000000001</v>
      </c>
      <c r="E778">
        <v>22.34</v>
      </c>
      <c r="F778" s="1789">
        <v>8.8999999999999996E-2</v>
      </c>
      <c r="G778">
        <f t="shared" si="25"/>
        <v>20.350000000000001</v>
      </c>
    </row>
    <row r="779" spans="1:7" ht="12.75" customHeight="1">
      <c r="A779" s="3">
        <v>34624</v>
      </c>
      <c r="B779" s="4" t="s">
        <v>791</v>
      </c>
      <c r="C779" s="3" t="s">
        <v>50</v>
      </c>
      <c r="D779" s="5">
        <f t="shared" si="24"/>
        <v>7.37</v>
      </c>
      <c r="E779">
        <v>8.1</v>
      </c>
      <c r="F779" s="1789">
        <v>8.8999999999999996E-2</v>
      </c>
      <c r="G779">
        <f t="shared" si="25"/>
        <v>7.37</v>
      </c>
    </row>
    <row r="780" spans="1:7" ht="12.75" customHeight="1">
      <c r="A780" s="3">
        <v>34627</v>
      </c>
      <c r="B780" s="4" t="s">
        <v>792</v>
      </c>
      <c r="C780" s="3" t="s">
        <v>50</v>
      </c>
      <c r="D780" s="5">
        <f t="shared" si="24"/>
        <v>17.8</v>
      </c>
      <c r="E780">
        <v>19.54</v>
      </c>
      <c r="F780" s="1789">
        <v>8.8999999999999996E-2</v>
      </c>
      <c r="G780">
        <f t="shared" si="25"/>
        <v>17.8</v>
      </c>
    </row>
    <row r="781" spans="1:7" ht="12.75" customHeight="1">
      <c r="A781" s="3">
        <v>34629</v>
      </c>
      <c r="B781" s="4" t="s">
        <v>793</v>
      </c>
      <c r="C781" s="3" t="s">
        <v>50</v>
      </c>
      <c r="D781" s="5">
        <f t="shared" si="24"/>
        <v>27.19</v>
      </c>
      <c r="E781">
        <v>29.85</v>
      </c>
      <c r="F781" s="1789">
        <v>8.8999999999999996E-2</v>
      </c>
      <c r="G781">
        <f t="shared" si="25"/>
        <v>27.19</v>
      </c>
    </row>
    <row r="782" spans="1:7" ht="12.75" customHeight="1">
      <c r="A782" s="3">
        <v>39257</v>
      </c>
      <c r="B782" s="4" t="s">
        <v>794</v>
      </c>
      <c r="C782" s="3" t="s">
        <v>50</v>
      </c>
      <c r="D782" s="5">
        <f t="shared" si="24"/>
        <v>5.52</v>
      </c>
      <c r="E782">
        <v>6.07</v>
      </c>
      <c r="F782" s="1789">
        <v>8.8999999999999996E-2</v>
      </c>
      <c r="G782">
        <f t="shared" si="25"/>
        <v>5.52</v>
      </c>
    </row>
    <row r="783" spans="1:7" ht="12.75" customHeight="1">
      <c r="A783" s="3">
        <v>39261</v>
      </c>
      <c r="B783" s="4" t="s">
        <v>795</v>
      </c>
      <c r="C783" s="3" t="s">
        <v>50</v>
      </c>
      <c r="D783" s="5">
        <f t="shared" si="24"/>
        <v>31.68</v>
      </c>
      <c r="E783">
        <v>34.78</v>
      </c>
      <c r="F783" s="1789">
        <v>8.8999999999999996E-2</v>
      </c>
      <c r="G783">
        <f t="shared" si="25"/>
        <v>31.68</v>
      </c>
    </row>
    <row r="784" spans="1:7" ht="12.75" customHeight="1">
      <c r="A784" s="3">
        <v>39268</v>
      </c>
      <c r="B784" s="4" t="s">
        <v>796</v>
      </c>
      <c r="C784" s="3" t="s">
        <v>50</v>
      </c>
      <c r="D784" s="5">
        <f t="shared" si="24"/>
        <v>495.29</v>
      </c>
      <c r="E784">
        <v>543.67999999999995</v>
      </c>
      <c r="F784" s="1789">
        <v>8.8999999999999996E-2</v>
      </c>
      <c r="G784">
        <f t="shared" si="25"/>
        <v>495.29</v>
      </c>
    </row>
    <row r="785" spans="1:7" ht="12.75" customHeight="1">
      <c r="A785" s="3">
        <v>39262</v>
      </c>
      <c r="B785" s="4" t="s">
        <v>797</v>
      </c>
      <c r="C785" s="3" t="s">
        <v>50</v>
      </c>
      <c r="D785" s="5">
        <f t="shared" si="24"/>
        <v>50.46</v>
      </c>
      <c r="E785">
        <v>55.39</v>
      </c>
      <c r="F785" s="1789">
        <v>8.8999999999999996E-2</v>
      </c>
      <c r="G785">
        <f t="shared" si="25"/>
        <v>50.46</v>
      </c>
    </row>
    <row r="786" spans="1:7" ht="12.75" customHeight="1">
      <c r="A786" s="3">
        <v>39258</v>
      </c>
      <c r="B786" s="4" t="s">
        <v>798</v>
      </c>
      <c r="C786" s="3" t="s">
        <v>50</v>
      </c>
      <c r="D786" s="5">
        <f t="shared" si="24"/>
        <v>8.34</v>
      </c>
      <c r="E786">
        <v>9.16</v>
      </c>
      <c r="F786" s="1789">
        <v>8.8999999999999996E-2</v>
      </c>
      <c r="G786">
        <f t="shared" si="25"/>
        <v>8.34</v>
      </c>
    </row>
    <row r="787" spans="1:7" ht="12.75" customHeight="1">
      <c r="A787" s="3">
        <v>39263</v>
      </c>
      <c r="B787" s="4" t="s">
        <v>799</v>
      </c>
      <c r="C787" s="3" t="s">
        <v>50</v>
      </c>
      <c r="D787" s="5">
        <f t="shared" si="24"/>
        <v>87.25</v>
      </c>
      <c r="E787">
        <v>95.78</v>
      </c>
      <c r="F787" s="1789">
        <v>8.8999999999999996E-2</v>
      </c>
      <c r="G787">
        <f t="shared" si="25"/>
        <v>87.25</v>
      </c>
    </row>
    <row r="788" spans="1:7" ht="12.75" customHeight="1">
      <c r="A788" s="3">
        <v>39264</v>
      </c>
      <c r="B788" s="4" t="s">
        <v>800</v>
      </c>
      <c r="C788" s="3" t="s">
        <v>50</v>
      </c>
      <c r="D788" s="5">
        <f t="shared" si="24"/>
        <v>120.87</v>
      </c>
      <c r="E788">
        <v>132.68</v>
      </c>
      <c r="F788" s="1789">
        <v>8.8999999999999996E-2</v>
      </c>
      <c r="G788">
        <f t="shared" si="25"/>
        <v>120.87</v>
      </c>
    </row>
    <row r="789" spans="1:7" ht="12.75" customHeight="1">
      <c r="A789" s="3">
        <v>39259</v>
      </c>
      <c r="B789" s="4" t="s">
        <v>801</v>
      </c>
      <c r="C789" s="3" t="s">
        <v>50</v>
      </c>
      <c r="D789" s="5">
        <f t="shared" si="24"/>
        <v>12.84</v>
      </c>
      <c r="E789">
        <v>14.1</v>
      </c>
      <c r="F789" s="1789">
        <v>8.8999999999999996E-2</v>
      </c>
      <c r="G789">
        <f t="shared" si="25"/>
        <v>12.84</v>
      </c>
    </row>
    <row r="790" spans="1:7" ht="12.75" customHeight="1">
      <c r="A790" s="3">
        <v>39265</v>
      </c>
      <c r="B790" s="4" t="s">
        <v>802</v>
      </c>
      <c r="C790" s="3" t="s">
        <v>50</v>
      </c>
      <c r="D790" s="5">
        <f t="shared" si="24"/>
        <v>164.09</v>
      </c>
      <c r="E790">
        <v>180.13</v>
      </c>
      <c r="F790" s="1789">
        <v>8.8999999999999996E-2</v>
      </c>
      <c r="G790">
        <f t="shared" si="25"/>
        <v>164.09</v>
      </c>
    </row>
    <row r="791" spans="1:7" ht="12.75" customHeight="1">
      <c r="A791" s="3">
        <v>39260</v>
      </c>
      <c r="B791" s="4" t="s">
        <v>803</v>
      </c>
      <c r="C791" s="3" t="s">
        <v>50</v>
      </c>
      <c r="D791" s="5">
        <f t="shared" si="24"/>
        <v>19.66</v>
      </c>
      <c r="E791">
        <v>21.59</v>
      </c>
      <c r="F791" s="1789">
        <v>8.8999999999999996E-2</v>
      </c>
      <c r="G791">
        <f t="shared" si="25"/>
        <v>19.66</v>
      </c>
    </row>
    <row r="792" spans="1:7" ht="12.75" customHeight="1">
      <c r="A792" s="3">
        <v>39266</v>
      </c>
      <c r="B792" s="4" t="s">
        <v>804</v>
      </c>
      <c r="C792" s="3" t="s">
        <v>50</v>
      </c>
      <c r="D792" s="5">
        <f t="shared" si="24"/>
        <v>247.62</v>
      </c>
      <c r="E792">
        <v>271.82</v>
      </c>
      <c r="F792" s="1789">
        <v>8.8999999999999996E-2</v>
      </c>
      <c r="G792">
        <f t="shared" si="25"/>
        <v>247.62</v>
      </c>
    </row>
    <row r="793" spans="1:7" ht="12.75" customHeight="1">
      <c r="A793" s="3">
        <v>39267</v>
      </c>
      <c r="B793" s="4" t="s">
        <v>805</v>
      </c>
      <c r="C793" s="3" t="s">
        <v>50</v>
      </c>
      <c r="D793" s="5">
        <f t="shared" si="24"/>
        <v>309.58999999999997</v>
      </c>
      <c r="E793">
        <v>339.84</v>
      </c>
      <c r="F793" s="1789">
        <v>8.8999999999999996E-2</v>
      </c>
      <c r="G793">
        <f t="shared" si="25"/>
        <v>309.58999999999997</v>
      </c>
    </row>
    <row r="794" spans="1:7" ht="12.75" customHeight="1">
      <c r="A794" s="3">
        <v>11901</v>
      </c>
      <c r="B794" s="4" t="s">
        <v>806</v>
      </c>
      <c r="C794" s="3" t="s">
        <v>50</v>
      </c>
      <c r="D794" s="5">
        <f t="shared" si="24"/>
        <v>0.87</v>
      </c>
      <c r="E794">
        <v>0.96</v>
      </c>
      <c r="F794" s="1789">
        <v>8.8999999999999996E-2</v>
      </c>
      <c r="G794">
        <f t="shared" si="25"/>
        <v>0.87</v>
      </c>
    </row>
    <row r="795" spans="1:7" ht="12.75" customHeight="1">
      <c r="A795" s="3">
        <v>11902</v>
      </c>
      <c r="B795" s="4" t="s">
        <v>807</v>
      </c>
      <c r="C795" s="3" t="s">
        <v>50</v>
      </c>
      <c r="D795" s="5">
        <f t="shared" si="24"/>
        <v>1.68</v>
      </c>
      <c r="E795">
        <v>1.85</v>
      </c>
      <c r="F795" s="1789">
        <v>8.8999999999999996E-2</v>
      </c>
      <c r="G795">
        <f t="shared" si="25"/>
        <v>1.68</v>
      </c>
    </row>
    <row r="796" spans="1:7" ht="12.75" customHeight="1">
      <c r="A796" s="3">
        <v>11903</v>
      </c>
      <c r="B796" s="4" t="s">
        <v>808</v>
      </c>
      <c r="C796" s="3" t="s">
        <v>50</v>
      </c>
      <c r="D796" s="5">
        <f t="shared" si="24"/>
        <v>1.78</v>
      </c>
      <c r="E796">
        <v>1.96</v>
      </c>
      <c r="F796" s="1789">
        <v>8.8999999999999996E-2</v>
      </c>
      <c r="G796">
        <f t="shared" si="25"/>
        <v>1.78</v>
      </c>
    </row>
    <row r="797" spans="1:7" ht="12.75" customHeight="1">
      <c r="A797" s="3">
        <v>11904</v>
      </c>
      <c r="B797" s="4" t="s">
        <v>809</v>
      </c>
      <c r="C797" s="3" t="s">
        <v>50</v>
      </c>
      <c r="D797" s="5">
        <f t="shared" si="24"/>
        <v>2.7</v>
      </c>
      <c r="E797">
        <v>2.97</v>
      </c>
      <c r="F797" s="1789">
        <v>8.8999999999999996E-2</v>
      </c>
      <c r="G797">
        <f t="shared" si="25"/>
        <v>2.7</v>
      </c>
    </row>
    <row r="798" spans="1:7" ht="12.75" customHeight="1">
      <c r="A798" s="3">
        <v>11905</v>
      </c>
      <c r="B798" s="4" t="s">
        <v>810</v>
      </c>
      <c r="C798" s="3" t="s">
        <v>50</v>
      </c>
      <c r="D798" s="5">
        <f t="shared" si="24"/>
        <v>3.29</v>
      </c>
      <c r="E798">
        <v>3.62</v>
      </c>
      <c r="F798" s="1789">
        <v>8.8999999999999996E-2</v>
      </c>
      <c r="G798">
        <f t="shared" si="25"/>
        <v>3.29</v>
      </c>
    </row>
    <row r="799" spans="1:7" ht="12.75" customHeight="1">
      <c r="A799" s="3">
        <v>11906</v>
      </c>
      <c r="B799" s="4" t="s">
        <v>811</v>
      </c>
      <c r="C799" s="3" t="s">
        <v>50</v>
      </c>
      <c r="D799" s="5">
        <f t="shared" si="24"/>
        <v>4.1900000000000004</v>
      </c>
      <c r="E799">
        <v>4.5999999999999996</v>
      </c>
      <c r="F799" s="1789">
        <v>8.8999999999999996E-2</v>
      </c>
      <c r="G799">
        <f t="shared" si="25"/>
        <v>4.1900000000000004</v>
      </c>
    </row>
    <row r="800" spans="1:7" ht="12.75" customHeight="1">
      <c r="A800" s="3">
        <v>11919</v>
      </c>
      <c r="B800" s="4" t="s">
        <v>812</v>
      </c>
      <c r="C800" s="3" t="s">
        <v>50</v>
      </c>
      <c r="D800" s="5">
        <f t="shared" si="24"/>
        <v>7.67</v>
      </c>
      <c r="E800">
        <v>8.43</v>
      </c>
      <c r="F800" s="1789">
        <v>8.8999999999999996E-2</v>
      </c>
      <c r="G800">
        <f t="shared" si="25"/>
        <v>7.67</v>
      </c>
    </row>
    <row r="801" spans="1:7" ht="12.75" customHeight="1">
      <c r="A801" s="3">
        <v>11920</v>
      </c>
      <c r="B801" s="4" t="s">
        <v>813</v>
      </c>
      <c r="C801" s="3" t="s">
        <v>50</v>
      </c>
      <c r="D801" s="5">
        <f t="shared" si="24"/>
        <v>14.59</v>
      </c>
      <c r="E801">
        <v>16.02</v>
      </c>
      <c r="F801" s="1789">
        <v>8.8999999999999996E-2</v>
      </c>
      <c r="G801">
        <f t="shared" si="25"/>
        <v>14.59</v>
      </c>
    </row>
    <row r="802" spans="1:7" ht="12.75" customHeight="1">
      <c r="A802" s="3">
        <v>11924</v>
      </c>
      <c r="B802" s="4" t="s">
        <v>814</v>
      </c>
      <c r="C802" s="3" t="s">
        <v>50</v>
      </c>
      <c r="D802" s="5">
        <f t="shared" si="24"/>
        <v>122.52</v>
      </c>
      <c r="E802">
        <v>134.49</v>
      </c>
      <c r="F802" s="1789">
        <v>8.8999999999999996E-2</v>
      </c>
      <c r="G802">
        <f t="shared" si="25"/>
        <v>122.52</v>
      </c>
    </row>
    <row r="803" spans="1:7" ht="12.75" customHeight="1">
      <c r="A803" s="3">
        <v>11921</v>
      </c>
      <c r="B803" s="4" t="s">
        <v>815</v>
      </c>
      <c r="C803" s="3" t="s">
        <v>50</v>
      </c>
      <c r="D803" s="5">
        <f t="shared" si="24"/>
        <v>21.35</v>
      </c>
      <c r="E803">
        <v>23.44</v>
      </c>
      <c r="F803" s="1789">
        <v>8.8999999999999996E-2</v>
      </c>
      <c r="G803">
        <f t="shared" si="25"/>
        <v>21.35</v>
      </c>
    </row>
    <row r="804" spans="1:7" ht="12.75" customHeight="1">
      <c r="A804" s="3">
        <v>11922</v>
      </c>
      <c r="B804" s="4" t="s">
        <v>816</v>
      </c>
      <c r="C804" s="3" t="s">
        <v>50</v>
      </c>
      <c r="D804" s="5">
        <f t="shared" si="24"/>
        <v>34.53</v>
      </c>
      <c r="E804">
        <v>37.909999999999997</v>
      </c>
      <c r="F804" s="1789">
        <v>8.8999999999999996E-2</v>
      </c>
      <c r="G804">
        <f t="shared" si="25"/>
        <v>34.53</v>
      </c>
    </row>
    <row r="805" spans="1:7" ht="12.75" customHeight="1">
      <c r="A805" s="3">
        <v>11923</v>
      </c>
      <c r="B805" s="4" t="s">
        <v>817</v>
      </c>
      <c r="C805" s="3" t="s">
        <v>50</v>
      </c>
      <c r="D805" s="5">
        <f t="shared" si="24"/>
        <v>50.55</v>
      </c>
      <c r="E805">
        <v>55.49</v>
      </c>
      <c r="F805" s="1789">
        <v>8.8999999999999996E-2</v>
      </c>
      <c r="G805">
        <f t="shared" si="25"/>
        <v>50.55</v>
      </c>
    </row>
    <row r="806" spans="1:7" ht="12.75" customHeight="1">
      <c r="A806" s="3">
        <v>11916</v>
      </c>
      <c r="B806" s="4" t="s">
        <v>818</v>
      </c>
      <c r="C806" s="3" t="s">
        <v>50</v>
      </c>
      <c r="D806" s="5">
        <f t="shared" si="24"/>
        <v>10.51</v>
      </c>
      <c r="E806">
        <v>11.54</v>
      </c>
      <c r="F806" s="1789">
        <v>8.8999999999999996E-2</v>
      </c>
      <c r="G806">
        <f t="shared" si="25"/>
        <v>10.51</v>
      </c>
    </row>
    <row r="807" spans="1:7" ht="12.75" customHeight="1">
      <c r="A807" s="3">
        <v>11914</v>
      </c>
      <c r="B807" s="4" t="s">
        <v>819</v>
      </c>
      <c r="C807" s="3" t="s">
        <v>50</v>
      </c>
      <c r="D807" s="5">
        <f t="shared" si="24"/>
        <v>75.73</v>
      </c>
      <c r="E807">
        <v>83.13</v>
      </c>
      <c r="F807" s="1789">
        <v>8.8999999999999996E-2</v>
      </c>
      <c r="G807">
        <f t="shared" si="25"/>
        <v>75.73</v>
      </c>
    </row>
    <row r="808" spans="1:7" ht="12.75" customHeight="1">
      <c r="A808" s="3">
        <v>11917</v>
      </c>
      <c r="B808" s="4" t="s">
        <v>820</v>
      </c>
      <c r="C808" s="3" t="s">
        <v>50</v>
      </c>
      <c r="D808" s="5">
        <f t="shared" si="24"/>
        <v>18.510000000000002</v>
      </c>
      <c r="E808">
        <v>20.32</v>
      </c>
      <c r="F808" s="1789">
        <v>8.8999999999999996E-2</v>
      </c>
      <c r="G808">
        <f t="shared" si="25"/>
        <v>18.510000000000002</v>
      </c>
    </row>
    <row r="809" spans="1:7" ht="12.75" customHeight="1">
      <c r="A809" s="3">
        <v>11918</v>
      </c>
      <c r="B809" s="4" t="s">
        <v>821</v>
      </c>
      <c r="C809" s="3" t="s">
        <v>50</v>
      </c>
      <c r="D809" s="5">
        <f t="shared" si="24"/>
        <v>21.96</v>
      </c>
      <c r="E809">
        <v>24.11</v>
      </c>
      <c r="F809" s="1789">
        <v>8.8999999999999996E-2</v>
      </c>
      <c r="G809">
        <f t="shared" si="25"/>
        <v>21.96</v>
      </c>
    </row>
    <row r="810" spans="1:7" ht="12.75" customHeight="1">
      <c r="A810" s="3">
        <v>37734</v>
      </c>
      <c r="B810" s="4" t="s">
        <v>822</v>
      </c>
      <c r="C810" s="3" t="s">
        <v>6</v>
      </c>
      <c r="D810" s="5">
        <f t="shared" si="24"/>
        <v>73294.8</v>
      </c>
      <c r="E810">
        <v>80455.33</v>
      </c>
      <c r="F810" s="1789">
        <v>8.8999999999999996E-2</v>
      </c>
      <c r="G810">
        <f t="shared" si="25"/>
        <v>73294.8</v>
      </c>
    </row>
    <row r="811" spans="1:7" ht="12.75" customHeight="1">
      <c r="A811" s="3">
        <v>42251</v>
      </c>
      <c r="B811" s="4" t="s">
        <v>823</v>
      </c>
      <c r="C811" s="3" t="s">
        <v>6</v>
      </c>
      <c r="D811" s="5">
        <f t="shared" si="24"/>
        <v>83230.710000000006</v>
      </c>
      <c r="E811">
        <v>91361.93</v>
      </c>
      <c r="F811" s="1789">
        <v>8.8999999999999996E-2</v>
      </c>
      <c r="G811">
        <f t="shared" si="25"/>
        <v>83230.710000000006</v>
      </c>
    </row>
    <row r="812" spans="1:7" ht="12.75" customHeight="1">
      <c r="A812" s="3">
        <v>37733</v>
      </c>
      <c r="B812" s="4" t="s">
        <v>824</v>
      </c>
      <c r="C812" s="3" t="s">
        <v>6</v>
      </c>
      <c r="D812" s="5">
        <f t="shared" si="24"/>
        <v>54956.160000000003</v>
      </c>
      <c r="E812">
        <v>60325.1</v>
      </c>
      <c r="F812" s="1789">
        <v>8.8999999999999996E-2</v>
      </c>
      <c r="G812">
        <f t="shared" si="25"/>
        <v>54956.160000000003</v>
      </c>
    </row>
    <row r="813" spans="1:7" ht="12.75" customHeight="1">
      <c r="A813" s="3">
        <v>37735</v>
      </c>
      <c r="B813" s="4" t="s">
        <v>825</v>
      </c>
      <c r="C813" s="3" t="s">
        <v>6</v>
      </c>
      <c r="D813" s="5">
        <f t="shared" si="24"/>
        <v>66222.179999999993</v>
      </c>
      <c r="E813">
        <v>72691.75</v>
      </c>
      <c r="F813" s="1789">
        <v>8.8999999999999996E-2</v>
      </c>
      <c r="G813">
        <f t="shared" si="25"/>
        <v>66222.179999999993</v>
      </c>
    </row>
    <row r="814" spans="1:7" ht="12.75" customHeight="1">
      <c r="A814" s="3">
        <v>5090</v>
      </c>
      <c r="B814" s="4" t="s">
        <v>826</v>
      </c>
      <c r="C814" s="3" t="s">
        <v>6</v>
      </c>
      <c r="D814" s="5">
        <f t="shared" si="24"/>
        <v>21.58</v>
      </c>
      <c r="E814">
        <v>23.69</v>
      </c>
      <c r="F814" s="1789">
        <v>8.8999999999999996E-2</v>
      </c>
      <c r="G814">
        <f t="shared" si="25"/>
        <v>21.58</v>
      </c>
    </row>
    <row r="815" spans="1:7" ht="12.75" customHeight="1">
      <c r="A815" s="3">
        <v>5085</v>
      </c>
      <c r="B815" s="4" t="s">
        <v>827</v>
      </c>
      <c r="C815" s="3" t="s">
        <v>6</v>
      </c>
      <c r="D815" s="5">
        <f t="shared" si="24"/>
        <v>32.130000000000003</v>
      </c>
      <c r="E815">
        <v>35.270000000000003</v>
      </c>
      <c r="F815" s="1789">
        <v>8.8999999999999996E-2</v>
      </c>
      <c r="G815">
        <f t="shared" si="25"/>
        <v>32.130000000000003</v>
      </c>
    </row>
    <row r="816" spans="1:7" ht="12.75" customHeight="1">
      <c r="A816" s="3">
        <v>43603</v>
      </c>
      <c r="B816" s="4" t="s">
        <v>828</v>
      </c>
      <c r="C816" s="3" t="s">
        <v>6</v>
      </c>
      <c r="D816" s="5">
        <f t="shared" si="24"/>
        <v>45.89</v>
      </c>
      <c r="E816">
        <v>50.38</v>
      </c>
      <c r="F816" s="1789">
        <v>8.8999999999999996E-2</v>
      </c>
      <c r="G816">
        <f t="shared" si="25"/>
        <v>45.89</v>
      </c>
    </row>
    <row r="817" spans="1:7" ht="12.75" customHeight="1">
      <c r="A817" s="3">
        <v>38374</v>
      </c>
      <c r="B817" s="4" t="s">
        <v>829</v>
      </c>
      <c r="C817" s="3" t="s">
        <v>6</v>
      </c>
      <c r="D817" s="5">
        <f t="shared" si="24"/>
        <v>1045.73</v>
      </c>
      <c r="E817">
        <v>1147.9000000000001</v>
      </c>
      <c r="F817" s="1789">
        <v>8.8999999999999996E-2</v>
      </c>
      <c r="G817">
        <f t="shared" si="25"/>
        <v>1045.73</v>
      </c>
    </row>
    <row r="818" spans="1:7" ht="12.75" customHeight="1">
      <c r="A818" s="3">
        <v>20212</v>
      </c>
      <c r="B818" s="4" t="s">
        <v>830</v>
      </c>
      <c r="C818" s="3" t="s">
        <v>50</v>
      </c>
      <c r="D818" s="5">
        <f t="shared" si="24"/>
        <v>18.36</v>
      </c>
      <c r="E818">
        <v>20.16</v>
      </c>
      <c r="F818" s="1789">
        <v>8.8999999999999996E-2</v>
      </c>
      <c r="G818">
        <f t="shared" si="25"/>
        <v>18.36</v>
      </c>
    </row>
    <row r="819" spans="1:7" ht="12.75" customHeight="1">
      <c r="A819" s="3">
        <v>20209</v>
      </c>
      <c r="B819" s="4" t="s">
        <v>831</v>
      </c>
      <c r="C819" s="3" t="s">
        <v>50</v>
      </c>
      <c r="D819" s="5">
        <f t="shared" si="24"/>
        <v>21.93</v>
      </c>
      <c r="E819">
        <v>24.08</v>
      </c>
      <c r="F819" s="1789">
        <v>8.8999999999999996E-2</v>
      </c>
      <c r="G819">
        <f t="shared" si="25"/>
        <v>21.93</v>
      </c>
    </row>
    <row r="820" spans="1:7" ht="12.75" customHeight="1">
      <c r="A820" s="3">
        <v>4430</v>
      </c>
      <c r="B820" s="4" t="s">
        <v>832</v>
      </c>
      <c r="C820" s="3" t="s">
        <v>50</v>
      </c>
      <c r="D820" s="5">
        <f t="shared" si="24"/>
        <v>10.74</v>
      </c>
      <c r="E820">
        <v>11.8</v>
      </c>
      <c r="F820" s="1789">
        <v>8.8999999999999996E-2</v>
      </c>
      <c r="G820">
        <f t="shared" si="25"/>
        <v>10.74</v>
      </c>
    </row>
    <row r="821" spans="1:7" ht="12.75" customHeight="1">
      <c r="A821" s="3">
        <v>4433</v>
      </c>
      <c r="B821" s="4" t="s">
        <v>833</v>
      </c>
      <c r="C821" s="3" t="s">
        <v>50</v>
      </c>
      <c r="D821" s="5">
        <f t="shared" si="24"/>
        <v>21.01</v>
      </c>
      <c r="E821">
        <v>23.07</v>
      </c>
      <c r="F821" s="1789">
        <v>8.8999999999999996E-2</v>
      </c>
      <c r="G821">
        <f t="shared" si="25"/>
        <v>21.01</v>
      </c>
    </row>
    <row r="822" spans="1:7" ht="12.75" customHeight="1">
      <c r="A822" s="3">
        <v>4400</v>
      </c>
      <c r="B822" s="4" t="s">
        <v>834</v>
      </c>
      <c r="C822" s="3" t="s">
        <v>50</v>
      </c>
      <c r="D822" s="5">
        <f t="shared" si="24"/>
        <v>17.100000000000001</v>
      </c>
      <c r="E822">
        <v>18.78</v>
      </c>
      <c r="F822" s="1789">
        <v>8.8999999999999996E-2</v>
      </c>
      <c r="G822">
        <f t="shared" si="25"/>
        <v>17.100000000000001</v>
      </c>
    </row>
    <row r="823" spans="1:7" ht="12.75" customHeight="1">
      <c r="A823" s="3">
        <v>2729</v>
      </c>
      <c r="B823" s="4" t="s">
        <v>835</v>
      </c>
      <c r="C823" s="3" t="s">
        <v>6</v>
      </c>
      <c r="D823" s="5">
        <f t="shared" si="24"/>
        <v>32.299999999999997</v>
      </c>
      <c r="E823">
        <v>35.46</v>
      </c>
      <c r="F823" s="1789">
        <v>8.8999999999999996E-2</v>
      </c>
      <c r="G823">
        <f t="shared" si="25"/>
        <v>32.299999999999997</v>
      </c>
    </row>
    <row r="824" spans="1:7" ht="12.75" customHeight="1">
      <c r="A824" s="3">
        <v>4513</v>
      </c>
      <c r="B824" s="4" t="s">
        <v>836</v>
      </c>
      <c r="C824" s="3" t="s">
        <v>50</v>
      </c>
      <c r="D824" s="5">
        <f t="shared" si="24"/>
        <v>7.38</v>
      </c>
      <c r="E824">
        <v>8.11</v>
      </c>
      <c r="F824" s="1789">
        <v>8.8999999999999996E-2</v>
      </c>
      <c r="G824">
        <f t="shared" si="25"/>
        <v>7.38</v>
      </c>
    </row>
    <row r="825" spans="1:7" ht="12.75" customHeight="1">
      <c r="A825" s="3">
        <v>37106</v>
      </c>
      <c r="B825" s="4" t="s">
        <v>837</v>
      </c>
      <c r="C825" s="3" t="s">
        <v>6</v>
      </c>
      <c r="D825" s="5">
        <f t="shared" si="24"/>
        <v>3927.22</v>
      </c>
      <c r="E825">
        <v>4310.8999999999996</v>
      </c>
      <c r="F825" s="1789">
        <v>8.8999999999999996E-2</v>
      </c>
      <c r="G825">
        <f t="shared" si="25"/>
        <v>3927.22</v>
      </c>
    </row>
    <row r="826" spans="1:7" ht="12.75" customHeight="1">
      <c r="A826" s="3">
        <v>11869</v>
      </c>
      <c r="B826" s="4" t="s">
        <v>838</v>
      </c>
      <c r="C826" s="3" t="s">
        <v>6</v>
      </c>
      <c r="D826" s="5">
        <f t="shared" si="24"/>
        <v>785.44</v>
      </c>
      <c r="E826">
        <v>862.18</v>
      </c>
      <c r="F826" s="1789">
        <v>8.8999999999999996E-2</v>
      </c>
      <c r="G826">
        <f t="shared" si="25"/>
        <v>785.44</v>
      </c>
    </row>
    <row r="827" spans="1:7" ht="12.75" customHeight="1">
      <c r="A827" s="3">
        <v>43981</v>
      </c>
      <c r="B827" s="4" t="s">
        <v>839</v>
      </c>
      <c r="C827" s="3" t="s">
        <v>6</v>
      </c>
      <c r="D827" s="5">
        <f t="shared" si="24"/>
        <v>5918.3</v>
      </c>
      <c r="E827">
        <v>6496.49</v>
      </c>
      <c r="F827" s="1789">
        <v>8.8999999999999996E-2</v>
      </c>
      <c r="G827">
        <f t="shared" si="25"/>
        <v>5918.3</v>
      </c>
    </row>
    <row r="828" spans="1:7" ht="12.75" customHeight="1">
      <c r="A828" s="3">
        <v>37104</v>
      </c>
      <c r="B828" s="4" t="s">
        <v>840</v>
      </c>
      <c r="C828" s="3" t="s">
        <v>6</v>
      </c>
      <c r="D828" s="5">
        <f t="shared" si="24"/>
        <v>985.74</v>
      </c>
      <c r="E828">
        <v>1082.05</v>
      </c>
      <c r="F828" s="1789">
        <v>8.8999999999999996E-2</v>
      </c>
      <c r="G828">
        <f t="shared" si="25"/>
        <v>985.74</v>
      </c>
    </row>
    <row r="829" spans="1:7" ht="12.75" customHeight="1">
      <c r="A829" s="3">
        <v>43982</v>
      </c>
      <c r="B829" s="4" t="s">
        <v>841</v>
      </c>
      <c r="C829" s="3" t="s">
        <v>6</v>
      </c>
      <c r="D829" s="5">
        <f t="shared" si="24"/>
        <v>9349.42</v>
      </c>
      <c r="E829">
        <v>10262.82</v>
      </c>
      <c r="F829" s="1789">
        <v>8.8999999999999996E-2</v>
      </c>
      <c r="G829">
        <f t="shared" si="25"/>
        <v>9349.42</v>
      </c>
    </row>
    <row r="830" spans="1:7" ht="12.75" customHeight="1">
      <c r="A830" s="3">
        <v>43978</v>
      </c>
      <c r="B830" s="4" t="s">
        <v>842</v>
      </c>
      <c r="C830" s="3" t="s">
        <v>6</v>
      </c>
      <c r="D830" s="5">
        <f t="shared" si="24"/>
        <v>1460.86</v>
      </c>
      <c r="E830">
        <v>1603.58</v>
      </c>
      <c r="F830" s="1789">
        <v>8.8999999999999996E-2</v>
      </c>
      <c r="G830">
        <f t="shared" si="25"/>
        <v>1460.86</v>
      </c>
    </row>
    <row r="831" spans="1:7" ht="12.75" customHeight="1">
      <c r="A831" s="3">
        <v>11871</v>
      </c>
      <c r="B831" s="4" t="s">
        <v>843</v>
      </c>
      <c r="C831" s="3" t="s">
        <v>6</v>
      </c>
      <c r="D831" s="5">
        <f t="shared" si="24"/>
        <v>366.13</v>
      </c>
      <c r="E831">
        <v>401.9</v>
      </c>
      <c r="F831" s="1789">
        <v>8.8999999999999996E-2</v>
      </c>
      <c r="G831">
        <f t="shared" si="25"/>
        <v>366.13</v>
      </c>
    </row>
    <row r="832" spans="1:7" ht="12.75" customHeight="1">
      <c r="A832" s="3">
        <v>37105</v>
      </c>
      <c r="B832" s="4" t="s">
        <v>844</v>
      </c>
      <c r="C832" s="3" t="s">
        <v>6</v>
      </c>
      <c r="D832" s="5">
        <f t="shared" si="24"/>
        <v>2252.81</v>
      </c>
      <c r="E832">
        <v>2472.9</v>
      </c>
      <c r="F832" s="1789">
        <v>8.8999999999999996E-2</v>
      </c>
      <c r="G832">
        <f t="shared" si="25"/>
        <v>2252.81</v>
      </c>
    </row>
    <row r="833" spans="1:7" ht="12.75" customHeight="1">
      <c r="A833" s="3">
        <v>43980</v>
      </c>
      <c r="B833" s="4" t="s">
        <v>845</v>
      </c>
      <c r="C833" s="3" t="s">
        <v>6</v>
      </c>
      <c r="D833" s="5">
        <f t="shared" si="24"/>
        <v>2805.64</v>
      </c>
      <c r="E833">
        <v>3079.74</v>
      </c>
      <c r="F833" s="1789">
        <v>8.8999999999999996E-2</v>
      </c>
      <c r="G833">
        <f t="shared" si="25"/>
        <v>2805.64</v>
      </c>
    </row>
    <row r="834" spans="1:7" ht="12.75" customHeight="1">
      <c r="A834" s="3">
        <v>43979</v>
      </c>
      <c r="B834" s="4" t="s">
        <v>846</v>
      </c>
      <c r="C834" s="3" t="s">
        <v>6</v>
      </c>
      <c r="D834" s="5">
        <f t="shared" si="24"/>
        <v>527.15</v>
      </c>
      <c r="E834">
        <v>578.65</v>
      </c>
      <c r="F834" s="1789">
        <v>8.8999999999999996E-2</v>
      </c>
      <c r="G834">
        <f t="shared" si="25"/>
        <v>527.15</v>
      </c>
    </row>
    <row r="835" spans="1:7" ht="12.75" customHeight="1">
      <c r="A835" s="3">
        <v>11868</v>
      </c>
      <c r="B835" s="4" t="s">
        <v>847</v>
      </c>
      <c r="C835" s="3" t="s">
        <v>6</v>
      </c>
      <c r="D835" s="5">
        <f t="shared" ref="D835:D898" si="26">G835</f>
        <v>509.8</v>
      </c>
      <c r="E835">
        <v>559.61</v>
      </c>
      <c r="F835" s="1789">
        <v>8.8999999999999996E-2</v>
      </c>
      <c r="G835">
        <f t="shared" ref="G835:G898" si="27">TRUNC((1-F835)*E835,2)</f>
        <v>509.8</v>
      </c>
    </row>
    <row r="836" spans="1:7" ht="12.75" customHeight="1">
      <c r="A836" s="3">
        <v>34636</v>
      </c>
      <c r="B836" s="4" t="s">
        <v>848</v>
      </c>
      <c r="C836" s="3" t="s">
        <v>6</v>
      </c>
      <c r="D836" s="5">
        <f t="shared" si="26"/>
        <v>362.03</v>
      </c>
      <c r="E836">
        <v>397.4</v>
      </c>
      <c r="F836" s="1789">
        <v>8.8999999999999996E-2</v>
      </c>
      <c r="G836">
        <f t="shared" si="27"/>
        <v>362.03</v>
      </c>
    </row>
    <row r="837" spans="1:7" ht="12.75" customHeight="1">
      <c r="A837" s="3">
        <v>34639</v>
      </c>
      <c r="B837" s="4" t="s">
        <v>849</v>
      </c>
      <c r="C837" s="3" t="s">
        <v>6</v>
      </c>
      <c r="D837" s="5">
        <f t="shared" si="26"/>
        <v>835.63</v>
      </c>
      <c r="E837">
        <v>917.27</v>
      </c>
      <c r="F837" s="1789">
        <v>8.8999999999999996E-2</v>
      </c>
      <c r="G837">
        <f t="shared" si="27"/>
        <v>835.63</v>
      </c>
    </row>
    <row r="838" spans="1:7" ht="12.75" customHeight="1">
      <c r="A838" s="3">
        <v>34640</v>
      </c>
      <c r="B838" s="4" t="s">
        <v>850</v>
      </c>
      <c r="C838" s="3" t="s">
        <v>6</v>
      </c>
      <c r="D838" s="5">
        <f t="shared" si="26"/>
        <v>947.89</v>
      </c>
      <c r="E838">
        <v>1040.5</v>
      </c>
      <c r="F838" s="1789">
        <v>8.8999999999999996E-2</v>
      </c>
      <c r="G838">
        <f t="shared" si="27"/>
        <v>947.89</v>
      </c>
    </row>
    <row r="839" spans="1:7" ht="12.75" customHeight="1">
      <c r="A839" s="3">
        <v>43977</v>
      </c>
      <c r="B839" s="4" t="s">
        <v>851</v>
      </c>
      <c r="C839" s="3" t="s">
        <v>6</v>
      </c>
      <c r="D839" s="5">
        <f t="shared" si="26"/>
        <v>1634.1</v>
      </c>
      <c r="E839">
        <v>1793.75</v>
      </c>
      <c r="F839" s="1789">
        <v>8.8999999999999996E-2</v>
      </c>
      <c r="G839">
        <f t="shared" si="27"/>
        <v>1634.1</v>
      </c>
    </row>
    <row r="840" spans="1:7" ht="12.75" customHeight="1">
      <c r="A840" s="3">
        <v>34637</v>
      </c>
      <c r="B840" s="4" t="s">
        <v>852</v>
      </c>
      <c r="C840" s="3" t="s">
        <v>6</v>
      </c>
      <c r="D840" s="5">
        <f t="shared" si="26"/>
        <v>218.93</v>
      </c>
      <c r="E840">
        <v>240.32</v>
      </c>
      <c r="F840" s="1789">
        <v>8.8999999999999996E-2</v>
      </c>
      <c r="G840">
        <f t="shared" si="27"/>
        <v>218.93</v>
      </c>
    </row>
    <row r="841" spans="1:7" ht="12.75" customHeight="1">
      <c r="A841" s="3">
        <v>34638</v>
      </c>
      <c r="B841" s="4" t="s">
        <v>853</v>
      </c>
      <c r="C841" s="3" t="s">
        <v>6</v>
      </c>
      <c r="D841" s="5">
        <f t="shared" si="26"/>
        <v>338.65</v>
      </c>
      <c r="E841">
        <v>371.74</v>
      </c>
      <c r="F841" s="1789">
        <v>8.8999999999999996E-2</v>
      </c>
      <c r="G841">
        <f t="shared" si="27"/>
        <v>338.65</v>
      </c>
    </row>
    <row r="842" spans="1:7" ht="12.75" customHeight="1">
      <c r="A842" s="3">
        <v>34641</v>
      </c>
      <c r="B842" s="4" t="s">
        <v>854</v>
      </c>
      <c r="C842" s="3" t="s">
        <v>6</v>
      </c>
      <c r="D842" s="5">
        <f t="shared" si="26"/>
        <v>95.82</v>
      </c>
      <c r="E842">
        <v>105.19</v>
      </c>
      <c r="F842" s="1789">
        <v>8.8999999999999996E-2</v>
      </c>
      <c r="G842">
        <f t="shared" si="27"/>
        <v>95.82</v>
      </c>
    </row>
    <row r="843" spans="1:7" ht="12.75" customHeight="1">
      <c r="A843" s="3">
        <v>43434</v>
      </c>
      <c r="B843" s="4" t="s">
        <v>855</v>
      </c>
      <c r="C843" s="3" t="s">
        <v>6</v>
      </c>
      <c r="D843" s="5">
        <f t="shared" si="26"/>
        <v>103.6</v>
      </c>
      <c r="E843">
        <v>113.73</v>
      </c>
      <c r="F843" s="1789">
        <v>8.8999999999999996E-2</v>
      </c>
      <c r="G843">
        <f t="shared" si="27"/>
        <v>103.6</v>
      </c>
    </row>
    <row r="844" spans="1:7" ht="12.75" customHeight="1">
      <c r="A844" s="3">
        <v>43435</v>
      </c>
      <c r="B844" s="4" t="s">
        <v>856</v>
      </c>
      <c r="C844" s="3" t="s">
        <v>6</v>
      </c>
      <c r="D844" s="5">
        <f t="shared" si="26"/>
        <v>189.95</v>
      </c>
      <c r="E844">
        <v>208.51</v>
      </c>
      <c r="F844" s="1789">
        <v>8.8999999999999996E-2</v>
      </c>
      <c r="G844">
        <f t="shared" si="27"/>
        <v>189.95</v>
      </c>
    </row>
    <row r="845" spans="1:7" ht="12.75" customHeight="1">
      <c r="A845" s="3">
        <v>43436</v>
      </c>
      <c r="B845" s="4" t="s">
        <v>857</v>
      </c>
      <c r="C845" s="3" t="s">
        <v>6</v>
      </c>
      <c r="D845" s="5">
        <f t="shared" si="26"/>
        <v>332.41</v>
      </c>
      <c r="E845">
        <v>364.89</v>
      </c>
      <c r="F845" s="1789">
        <v>8.8999999999999996E-2</v>
      </c>
      <c r="G845">
        <f t="shared" si="27"/>
        <v>332.41</v>
      </c>
    </row>
    <row r="846" spans="1:7" ht="12.75" customHeight="1">
      <c r="A846" s="3">
        <v>43437</v>
      </c>
      <c r="B846" s="4" t="s">
        <v>858</v>
      </c>
      <c r="C846" s="3" t="s">
        <v>6</v>
      </c>
      <c r="D846" s="5">
        <f t="shared" si="26"/>
        <v>602.66</v>
      </c>
      <c r="E846">
        <v>661.54</v>
      </c>
      <c r="F846" s="1789">
        <v>8.8999999999999996E-2</v>
      </c>
      <c r="G846">
        <f t="shared" si="27"/>
        <v>602.66</v>
      </c>
    </row>
    <row r="847" spans="1:7" ht="12.75" customHeight="1">
      <c r="A847" s="3">
        <v>43438</v>
      </c>
      <c r="B847" s="4" t="s">
        <v>859</v>
      </c>
      <c r="C847" s="3" t="s">
        <v>6</v>
      </c>
      <c r="D847" s="5">
        <f t="shared" si="26"/>
        <v>1079.27</v>
      </c>
      <c r="E847">
        <v>1184.71</v>
      </c>
      <c r="F847" s="1789">
        <v>8.8999999999999996E-2</v>
      </c>
      <c r="G847">
        <f t="shared" si="27"/>
        <v>1079.27</v>
      </c>
    </row>
    <row r="848" spans="1:7" ht="12.75" customHeight="1">
      <c r="A848" s="3">
        <v>41627</v>
      </c>
      <c r="B848" s="4" t="s">
        <v>860</v>
      </c>
      <c r="C848" s="3" t="s">
        <v>6</v>
      </c>
      <c r="D848" s="5">
        <f t="shared" si="26"/>
        <v>159.72</v>
      </c>
      <c r="E848">
        <v>175.33</v>
      </c>
      <c r="F848" s="1789">
        <v>8.8999999999999996E-2</v>
      </c>
      <c r="G848">
        <f t="shared" si="27"/>
        <v>159.72</v>
      </c>
    </row>
    <row r="849" spans="1:7" ht="12.75" customHeight="1">
      <c r="A849" s="3">
        <v>41628</v>
      </c>
      <c r="B849" s="4" t="s">
        <v>861</v>
      </c>
      <c r="C849" s="3" t="s">
        <v>6</v>
      </c>
      <c r="D849" s="5">
        <f t="shared" si="26"/>
        <v>293.56</v>
      </c>
      <c r="E849">
        <v>322.24</v>
      </c>
      <c r="F849" s="1789">
        <v>8.8999999999999996E-2</v>
      </c>
      <c r="G849">
        <f t="shared" si="27"/>
        <v>293.56</v>
      </c>
    </row>
    <row r="850" spans="1:7" ht="12.75" customHeight="1">
      <c r="A850" s="3">
        <v>41629</v>
      </c>
      <c r="B850" s="4" t="s">
        <v>862</v>
      </c>
      <c r="C850" s="3" t="s">
        <v>6</v>
      </c>
      <c r="D850" s="5">
        <f t="shared" si="26"/>
        <v>372.99</v>
      </c>
      <c r="E850">
        <v>409.43</v>
      </c>
      <c r="F850" s="1789">
        <v>8.8999999999999996E-2</v>
      </c>
      <c r="G850">
        <f t="shared" si="27"/>
        <v>372.99</v>
      </c>
    </row>
    <row r="851" spans="1:7" ht="12.75" customHeight="1">
      <c r="A851" s="3">
        <v>43429</v>
      </c>
      <c r="B851" s="4" t="s">
        <v>863</v>
      </c>
      <c r="C851" s="3" t="s">
        <v>6</v>
      </c>
      <c r="D851" s="5">
        <f t="shared" si="26"/>
        <v>82.64</v>
      </c>
      <c r="E851">
        <v>90.72</v>
      </c>
      <c r="F851" s="1789">
        <v>8.8999999999999996E-2</v>
      </c>
      <c r="G851">
        <f t="shared" si="27"/>
        <v>82.64</v>
      </c>
    </row>
    <row r="852" spans="1:7" ht="12.75" customHeight="1">
      <c r="A852" s="3">
        <v>43430</v>
      </c>
      <c r="B852" s="4" t="s">
        <v>864</v>
      </c>
      <c r="C852" s="3" t="s">
        <v>6</v>
      </c>
      <c r="D852" s="5">
        <f t="shared" si="26"/>
        <v>137.27000000000001</v>
      </c>
      <c r="E852">
        <v>150.69</v>
      </c>
      <c r="F852" s="1789">
        <v>8.8999999999999996E-2</v>
      </c>
      <c r="G852">
        <f t="shared" si="27"/>
        <v>137.27000000000001</v>
      </c>
    </row>
    <row r="853" spans="1:7" ht="12.75" customHeight="1">
      <c r="A853" s="3">
        <v>43431</v>
      </c>
      <c r="B853" s="4" t="s">
        <v>865</v>
      </c>
      <c r="C853" s="3" t="s">
        <v>6</v>
      </c>
      <c r="D853" s="5">
        <f t="shared" si="26"/>
        <v>265.93</v>
      </c>
      <c r="E853">
        <v>291.91000000000003</v>
      </c>
      <c r="F853" s="1789">
        <v>8.8999999999999996E-2</v>
      </c>
      <c r="G853">
        <f t="shared" si="27"/>
        <v>265.93</v>
      </c>
    </row>
    <row r="854" spans="1:7" ht="12.75" customHeight="1">
      <c r="A854" s="3">
        <v>43432</v>
      </c>
      <c r="B854" s="4" t="s">
        <v>866</v>
      </c>
      <c r="C854" s="3" t="s">
        <v>6</v>
      </c>
      <c r="D854" s="5">
        <f t="shared" si="26"/>
        <v>552.58000000000004</v>
      </c>
      <c r="E854">
        <v>606.57000000000005</v>
      </c>
      <c r="F854" s="1789">
        <v>8.8999999999999996E-2</v>
      </c>
      <c r="G854">
        <f t="shared" si="27"/>
        <v>552.58000000000004</v>
      </c>
    </row>
    <row r="855" spans="1:7" ht="12.75" customHeight="1">
      <c r="A855" s="3">
        <v>43433</v>
      </c>
      <c r="B855" s="4" t="s">
        <v>867</v>
      </c>
      <c r="C855" s="3" t="s">
        <v>6</v>
      </c>
      <c r="D855" s="5">
        <f t="shared" si="26"/>
        <v>871.18</v>
      </c>
      <c r="E855">
        <v>956.3</v>
      </c>
      <c r="F855" s="1789">
        <v>8.8999999999999996E-2</v>
      </c>
      <c r="G855">
        <f t="shared" si="27"/>
        <v>871.18</v>
      </c>
    </row>
    <row r="856" spans="1:7" ht="12.75" customHeight="1">
      <c r="A856" s="3">
        <v>43094</v>
      </c>
      <c r="B856" s="4" t="s">
        <v>868</v>
      </c>
      <c r="C856" s="3" t="s">
        <v>6</v>
      </c>
      <c r="D856" s="5">
        <f t="shared" si="26"/>
        <v>271</v>
      </c>
      <c r="E856">
        <v>297.48</v>
      </c>
      <c r="F856" s="1789">
        <v>8.8999999999999996E-2</v>
      </c>
      <c r="G856">
        <f t="shared" si="27"/>
        <v>271</v>
      </c>
    </row>
    <row r="857" spans="1:7" ht="12.75" customHeight="1">
      <c r="A857" s="3">
        <v>43093</v>
      </c>
      <c r="B857" s="4" t="s">
        <v>869</v>
      </c>
      <c r="C857" s="3" t="s">
        <v>6</v>
      </c>
      <c r="D857" s="5">
        <f t="shared" si="26"/>
        <v>287.99</v>
      </c>
      <c r="E857">
        <v>316.13</v>
      </c>
      <c r="F857" s="1789">
        <v>8.8999999999999996E-2</v>
      </c>
      <c r="G857">
        <f t="shared" si="27"/>
        <v>287.99</v>
      </c>
    </row>
    <row r="858" spans="1:7" ht="12.75" customHeight="1">
      <c r="A858" s="3">
        <v>11694</v>
      </c>
      <c r="B858" s="4" t="s">
        <v>870</v>
      </c>
      <c r="C858" s="3" t="s">
        <v>6</v>
      </c>
      <c r="D858" s="5">
        <f t="shared" si="26"/>
        <v>804.5</v>
      </c>
      <c r="E858">
        <v>883.1</v>
      </c>
      <c r="F858" s="1789">
        <v>8.8999999999999996E-2</v>
      </c>
      <c r="G858">
        <f t="shared" si="27"/>
        <v>804.5</v>
      </c>
    </row>
    <row r="859" spans="1:7" ht="12.75" customHeight="1">
      <c r="A859" s="3">
        <v>1030</v>
      </c>
      <c r="B859" s="4" t="s">
        <v>871</v>
      </c>
      <c r="C859" s="3" t="s">
        <v>6</v>
      </c>
      <c r="D859" s="5">
        <f t="shared" si="26"/>
        <v>36.39</v>
      </c>
      <c r="E859">
        <v>39.950000000000003</v>
      </c>
      <c r="F859" s="1789">
        <v>8.8999999999999996E-2</v>
      </c>
      <c r="G859">
        <f t="shared" si="27"/>
        <v>36.39</v>
      </c>
    </row>
    <row r="860" spans="1:7" ht="12.75" customHeight="1">
      <c r="A860" s="3">
        <v>11881</v>
      </c>
      <c r="B860" s="4" t="s">
        <v>872</v>
      </c>
      <c r="C860" s="3" t="s">
        <v>6</v>
      </c>
      <c r="D860" s="5">
        <f t="shared" si="26"/>
        <v>146.78</v>
      </c>
      <c r="E860">
        <v>161.12</v>
      </c>
      <c r="F860" s="1789">
        <v>8.8999999999999996E-2</v>
      </c>
      <c r="G860">
        <f t="shared" si="27"/>
        <v>146.78</v>
      </c>
    </row>
    <row r="861" spans="1:7" ht="12.75" customHeight="1">
      <c r="A861" s="3">
        <v>35277</v>
      </c>
      <c r="B861" s="4" t="s">
        <v>873</v>
      </c>
      <c r="C861" s="3" t="s">
        <v>6</v>
      </c>
      <c r="D861" s="5">
        <f t="shared" si="26"/>
        <v>323.01</v>
      </c>
      <c r="E861">
        <v>354.57</v>
      </c>
      <c r="F861" s="1789">
        <v>8.8999999999999996E-2</v>
      </c>
      <c r="G861">
        <f t="shared" si="27"/>
        <v>323.01</v>
      </c>
    </row>
    <row r="862" spans="1:7" ht="12.75" customHeight="1">
      <c r="A862" s="3">
        <v>10521</v>
      </c>
      <c r="B862" s="4" t="s">
        <v>874</v>
      </c>
      <c r="C862" s="3" t="s">
        <v>6</v>
      </c>
      <c r="D862" s="5">
        <f t="shared" si="26"/>
        <v>252.17</v>
      </c>
      <c r="E862">
        <v>276.81</v>
      </c>
      <c r="F862" s="1789">
        <v>8.8999999999999996E-2</v>
      </c>
      <c r="G862">
        <f t="shared" si="27"/>
        <v>252.17</v>
      </c>
    </row>
    <row r="863" spans="1:7" ht="12.75" customHeight="1">
      <c r="A863" s="3">
        <v>10885</v>
      </c>
      <c r="B863" s="4" t="s">
        <v>875</v>
      </c>
      <c r="C863" s="3" t="s">
        <v>6</v>
      </c>
      <c r="D863" s="5">
        <f t="shared" si="26"/>
        <v>318.97000000000003</v>
      </c>
      <c r="E863">
        <v>350.14</v>
      </c>
      <c r="F863" s="1789">
        <v>8.8999999999999996E-2</v>
      </c>
      <c r="G863">
        <f t="shared" si="27"/>
        <v>318.97000000000003</v>
      </c>
    </row>
    <row r="864" spans="1:7" ht="12.75" customHeight="1">
      <c r="A864" s="3">
        <v>20962</v>
      </c>
      <c r="B864" s="4" t="s">
        <v>876</v>
      </c>
      <c r="C864" s="3" t="s">
        <v>6</v>
      </c>
      <c r="D864" s="5">
        <f t="shared" si="26"/>
        <v>264.19</v>
      </c>
      <c r="E864">
        <v>290</v>
      </c>
      <c r="F864" s="1789">
        <v>8.8999999999999996E-2</v>
      </c>
      <c r="G864">
        <f t="shared" si="27"/>
        <v>264.19</v>
      </c>
    </row>
    <row r="865" spans="1:7" ht="12.75" customHeight="1">
      <c r="A865" s="3">
        <v>20963</v>
      </c>
      <c r="B865" s="4" t="s">
        <v>877</v>
      </c>
      <c r="C865" s="3" t="s">
        <v>6</v>
      </c>
      <c r="D865" s="5">
        <f t="shared" si="26"/>
        <v>322.73</v>
      </c>
      <c r="E865">
        <v>354.26</v>
      </c>
      <c r="F865" s="1789">
        <v>8.8999999999999996E-2</v>
      </c>
      <c r="G865">
        <f t="shared" si="27"/>
        <v>322.73</v>
      </c>
    </row>
    <row r="866" spans="1:7" ht="12.75" customHeight="1">
      <c r="A866" s="3">
        <v>34643</v>
      </c>
      <c r="B866" s="4" t="s">
        <v>878</v>
      </c>
      <c r="C866" s="3" t="s">
        <v>6</v>
      </c>
      <c r="D866" s="5">
        <f t="shared" si="26"/>
        <v>37.19</v>
      </c>
      <c r="E866">
        <v>40.83</v>
      </c>
      <c r="F866" s="1789">
        <v>8.8999999999999996E-2</v>
      </c>
      <c r="G866">
        <f t="shared" si="27"/>
        <v>37.19</v>
      </c>
    </row>
    <row r="867" spans="1:7" ht="12.75" customHeight="1">
      <c r="A867" s="3">
        <v>41480</v>
      </c>
      <c r="B867" s="4" t="s">
        <v>879</v>
      </c>
      <c r="C867" s="3" t="s">
        <v>6</v>
      </c>
      <c r="D867" s="5">
        <f t="shared" si="26"/>
        <v>43.12</v>
      </c>
      <c r="E867">
        <v>47.34</v>
      </c>
      <c r="F867" s="1789">
        <v>8.8999999999999996E-2</v>
      </c>
      <c r="G867">
        <f t="shared" si="27"/>
        <v>43.12</v>
      </c>
    </row>
    <row r="868" spans="1:7" ht="12.75" customHeight="1">
      <c r="A868" s="3">
        <v>41474</v>
      </c>
      <c r="B868" s="4" t="s">
        <v>880</v>
      </c>
      <c r="C868" s="3" t="s">
        <v>6</v>
      </c>
      <c r="D868" s="5">
        <f t="shared" si="26"/>
        <v>68.89</v>
      </c>
      <c r="E868">
        <v>75.63</v>
      </c>
      <c r="F868" s="1789">
        <v>8.8999999999999996E-2</v>
      </c>
      <c r="G868">
        <f t="shared" si="27"/>
        <v>68.89</v>
      </c>
    </row>
    <row r="869" spans="1:7" ht="12.75" customHeight="1">
      <c r="A869" s="3">
        <v>41475</v>
      </c>
      <c r="B869" s="4" t="s">
        <v>881</v>
      </c>
      <c r="C869" s="3" t="s">
        <v>6</v>
      </c>
      <c r="D869" s="5">
        <f t="shared" si="26"/>
        <v>58.78</v>
      </c>
      <c r="E869">
        <v>64.53</v>
      </c>
      <c r="F869" s="1789">
        <v>8.8999999999999996E-2</v>
      </c>
      <c r="G869">
        <f t="shared" si="27"/>
        <v>58.78</v>
      </c>
    </row>
    <row r="870" spans="1:7" ht="12.75" customHeight="1">
      <c r="A870" s="3">
        <v>41476</v>
      </c>
      <c r="B870" s="4" t="s">
        <v>882</v>
      </c>
      <c r="C870" s="3" t="s">
        <v>6</v>
      </c>
      <c r="D870" s="5">
        <f t="shared" si="26"/>
        <v>128.72</v>
      </c>
      <c r="E870">
        <v>141.30000000000001</v>
      </c>
      <c r="F870" s="1789">
        <v>8.8999999999999996E-2</v>
      </c>
      <c r="G870">
        <f t="shared" si="27"/>
        <v>128.72</v>
      </c>
    </row>
    <row r="871" spans="1:7" ht="12.75" customHeight="1">
      <c r="A871" s="3">
        <v>2555</v>
      </c>
      <c r="B871" s="4" t="s">
        <v>883</v>
      </c>
      <c r="C871" s="3" t="s">
        <v>6</v>
      </c>
      <c r="D871" s="5">
        <f t="shared" si="26"/>
        <v>1.74</v>
      </c>
      <c r="E871">
        <v>1.92</v>
      </c>
      <c r="F871" s="1789">
        <v>8.8999999999999996E-2</v>
      </c>
      <c r="G871">
        <f t="shared" si="27"/>
        <v>1.74</v>
      </c>
    </row>
    <row r="872" spans="1:7" ht="12.75" customHeight="1">
      <c r="A872" s="3">
        <v>2556</v>
      </c>
      <c r="B872" s="4" t="s">
        <v>884</v>
      </c>
      <c r="C872" s="3" t="s">
        <v>6</v>
      </c>
      <c r="D872" s="5">
        <f t="shared" si="26"/>
        <v>1.81</v>
      </c>
      <c r="E872">
        <v>1.99</v>
      </c>
      <c r="F872" s="1789">
        <v>8.8999999999999996E-2</v>
      </c>
      <c r="G872">
        <f t="shared" si="27"/>
        <v>1.81</v>
      </c>
    </row>
    <row r="873" spans="1:7" ht="12.75" customHeight="1">
      <c r="A873" s="3">
        <v>2557</v>
      </c>
      <c r="B873" s="4" t="s">
        <v>885</v>
      </c>
      <c r="C873" s="3" t="s">
        <v>6</v>
      </c>
      <c r="D873" s="5">
        <f t="shared" si="26"/>
        <v>3.82</v>
      </c>
      <c r="E873">
        <v>4.2</v>
      </c>
      <c r="F873" s="1789">
        <v>8.8999999999999996E-2</v>
      </c>
      <c r="G873">
        <f t="shared" si="27"/>
        <v>3.82</v>
      </c>
    </row>
    <row r="874" spans="1:7" ht="12.75" customHeight="1">
      <c r="A874" s="3">
        <v>10569</v>
      </c>
      <c r="B874" s="4" t="s">
        <v>886</v>
      </c>
      <c r="C874" s="3" t="s">
        <v>6</v>
      </c>
      <c r="D874" s="5">
        <f t="shared" si="26"/>
        <v>3.82</v>
      </c>
      <c r="E874">
        <v>4.2</v>
      </c>
      <c r="F874" s="1789">
        <v>8.8999999999999996E-2</v>
      </c>
      <c r="G874">
        <f t="shared" si="27"/>
        <v>3.82</v>
      </c>
    </row>
    <row r="875" spans="1:7" ht="12.75" customHeight="1">
      <c r="A875" s="3">
        <v>39810</v>
      </c>
      <c r="B875" s="4" t="s">
        <v>887</v>
      </c>
      <c r="C875" s="3" t="s">
        <v>6</v>
      </c>
      <c r="D875" s="5">
        <f t="shared" si="26"/>
        <v>36.56</v>
      </c>
      <c r="E875">
        <v>40.14</v>
      </c>
      <c r="F875" s="1789">
        <v>8.8999999999999996E-2</v>
      </c>
      <c r="G875">
        <f t="shared" si="27"/>
        <v>36.56</v>
      </c>
    </row>
    <row r="876" spans="1:7" ht="12.75" customHeight="1">
      <c r="A876" s="3">
        <v>39811</v>
      </c>
      <c r="B876" s="4" t="s">
        <v>888</v>
      </c>
      <c r="C876" s="3" t="s">
        <v>6</v>
      </c>
      <c r="D876" s="5">
        <f t="shared" si="26"/>
        <v>44.73</v>
      </c>
      <c r="E876">
        <v>49.1</v>
      </c>
      <c r="F876" s="1789">
        <v>8.8999999999999996E-2</v>
      </c>
      <c r="G876">
        <f t="shared" si="27"/>
        <v>44.73</v>
      </c>
    </row>
    <row r="877" spans="1:7" ht="12.75" customHeight="1">
      <c r="A877" s="3">
        <v>39812</v>
      </c>
      <c r="B877" s="4" t="s">
        <v>889</v>
      </c>
      <c r="C877" s="3" t="s">
        <v>6</v>
      </c>
      <c r="D877" s="5">
        <f t="shared" si="26"/>
        <v>73.55</v>
      </c>
      <c r="E877">
        <v>80.739999999999995</v>
      </c>
      <c r="F877" s="1789">
        <v>8.8999999999999996E-2</v>
      </c>
      <c r="G877">
        <f t="shared" si="27"/>
        <v>73.55</v>
      </c>
    </row>
    <row r="878" spans="1:7" ht="12.75" customHeight="1">
      <c r="A878" s="3">
        <v>43096</v>
      </c>
      <c r="B878" s="4" t="s">
        <v>890</v>
      </c>
      <c r="C878" s="3" t="s">
        <v>6</v>
      </c>
      <c r="D878" s="5">
        <f t="shared" si="26"/>
        <v>243.81</v>
      </c>
      <c r="E878">
        <v>267.63</v>
      </c>
      <c r="F878" s="1789">
        <v>8.8999999999999996E-2</v>
      </c>
      <c r="G878">
        <f t="shared" si="27"/>
        <v>243.81</v>
      </c>
    </row>
    <row r="879" spans="1:7" ht="12.75" customHeight="1">
      <c r="A879" s="3">
        <v>43102</v>
      </c>
      <c r="B879" s="4" t="s">
        <v>891</v>
      </c>
      <c r="C879" s="3" t="s">
        <v>6</v>
      </c>
      <c r="D879" s="5">
        <f t="shared" si="26"/>
        <v>148.25</v>
      </c>
      <c r="E879">
        <v>162.74</v>
      </c>
      <c r="F879" s="1789">
        <v>8.8999999999999996E-2</v>
      </c>
      <c r="G879">
        <f t="shared" si="27"/>
        <v>148.25</v>
      </c>
    </row>
    <row r="880" spans="1:7" ht="12.75" customHeight="1">
      <c r="A880" s="3">
        <v>43103</v>
      </c>
      <c r="B880" s="4" t="s">
        <v>892</v>
      </c>
      <c r="C880" s="3" t="s">
        <v>6</v>
      </c>
      <c r="D880" s="5">
        <f t="shared" si="26"/>
        <v>218.3</v>
      </c>
      <c r="E880">
        <v>239.63</v>
      </c>
      <c r="F880" s="1789">
        <v>8.8999999999999996E-2</v>
      </c>
      <c r="G880">
        <f t="shared" si="27"/>
        <v>218.3</v>
      </c>
    </row>
    <row r="881" spans="1:7" ht="12.75" customHeight="1">
      <c r="A881" s="3">
        <v>43098</v>
      </c>
      <c r="B881" s="4" t="s">
        <v>893</v>
      </c>
      <c r="C881" s="3" t="s">
        <v>6</v>
      </c>
      <c r="D881" s="5">
        <f t="shared" si="26"/>
        <v>82.59</v>
      </c>
      <c r="E881">
        <v>90.66</v>
      </c>
      <c r="F881" s="1789">
        <v>8.8999999999999996E-2</v>
      </c>
      <c r="G881">
        <f t="shared" si="27"/>
        <v>82.59</v>
      </c>
    </row>
    <row r="882" spans="1:7" ht="12.75" customHeight="1">
      <c r="A882" s="3">
        <v>43097</v>
      </c>
      <c r="B882" s="4" t="s">
        <v>894</v>
      </c>
      <c r="C882" s="3" t="s">
        <v>6</v>
      </c>
      <c r="D882" s="5">
        <f t="shared" si="26"/>
        <v>48.92</v>
      </c>
      <c r="E882">
        <v>53.71</v>
      </c>
      <c r="F882" s="1789">
        <v>8.8999999999999996E-2</v>
      </c>
      <c r="G882">
        <f t="shared" si="27"/>
        <v>48.92</v>
      </c>
    </row>
    <row r="883" spans="1:7" ht="12.75" customHeight="1">
      <c r="A883" s="3">
        <v>43104</v>
      </c>
      <c r="B883" s="4" t="s">
        <v>895</v>
      </c>
      <c r="C883" s="3" t="s">
        <v>6</v>
      </c>
      <c r="D883" s="5">
        <f t="shared" si="26"/>
        <v>578.78</v>
      </c>
      <c r="E883">
        <v>635.33000000000004</v>
      </c>
      <c r="F883" s="1789">
        <v>8.8999999999999996E-2</v>
      </c>
      <c r="G883">
        <f t="shared" si="27"/>
        <v>578.78</v>
      </c>
    </row>
    <row r="884" spans="1:7" ht="12.75" customHeight="1">
      <c r="A884" s="3">
        <v>39771</v>
      </c>
      <c r="B884" s="4" t="s">
        <v>896</v>
      </c>
      <c r="C884" s="3" t="s">
        <v>6</v>
      </c>
      <c r="D884" s="5">
        <f t="shared" si="26"/>
        <v>36.81</v>
      </c>
      <c r="E884">
        <v>40.409999999999997</v>
      </c>
      <c r="F884" s="1789">
        <v>8.8999999999999996E-2</v>
      </c>
      <c r="G884">
        <f t="shared" si="27"/>
        <v>36.81</v>
      </c>
    </row>
    <row r="885" spans="1:7" ht="12.75" customHeight="1">
      <c r="A885" s="3">
        <v>39772</v>
      </c>
      <c r="B885" s="4" t="s">
        <v>897</v>
      </c>
      <c r="C885" s="3" t="s">
        <v>6</v>
      </c>
      <c r="D885" s="5">
        <f t="shared" si="26"/>
        <v>72.36</v>
      </c>
      <c r="E885">
        <v>79.430000000000007</v>
      </c>
      <c r="F885" s="1789">
        <v>8.8999999999999996E-2</v>
      </c>
      <c r="G885">
        <f t="shared" si="27"/>
        <v>72.36</v>
      </c>
    </row>
    <row r="886" spans="1:7" ht="12.75" customHeight="1">
      <c r="A886" s="3">
        <v>39773</v>
      </c>
      <c r="B886" s="4" t="s">
        <v>898</v>
      </c>
      <c r="C886" s="3" t="s">
        <v>6</v>
      </c>
      <c r="D886" s="5">
        <f t="shared" si="26"/>
        <v>116.29</v>
      </c>
      <c r="E886">
        <v>127.66</v>
      </c>
      <c r="F886" s="1789">
        <v>8.8999999999999996E-2</v>
      </c>
      <c r="G886">
        <f t="shared" si="27"/>
        <v>116.29</v>
      </c>
    </row>
    <row r="887" spans="1:7" ht="12.75" customHeight="1">
      <c r="A887" s="3">
        <v>39774</v>
      </c>
      <c r="B887" s="4" t="s">
        <v>899</v>
      </c>
      <c r="C887" s="3" t="s">
        <v>6</v>
      </c>
      <c r="D887" s="5">
        <f t="shared" si="26"/>
        <v>173.96</v>
      </c>
      <c r="E887">
        <v>190.96</v>
      </c>
      <c r="F887" s="1789">
        <v>8.8999999999999996E-2</v>
      </c>
      <c r="G887">
        <f t="shared" si="27"/>
        <v>173.96</v>
      </c>
    </row>
    <row r="888" spans="1:7" ht="12.75" customHeight="1">
      <c r="A888" s="3">
        <v>39775</v>
      </c>
      <c r="B888" s="4" t="s">
        <v>900</v>
      </c>
      <c r="C888" s="3" t="s">
        <v>6</v>
      </c>
      <c r="D888" s="5">
        <f t="shared" si="26"/>
        <v>232.17</v>
      </c>
      <c r="E888">
        <v>254.86</v>
      </c>
      <c r="F888" s="1789">
        <v>8.8999999999999996E-2</v>
      </c>
      <c r="G888">
        <f t="shared" si="27"/>
        <v>232.17</v>
      </c>
    </row>
    <row r="889" spans="1:7" ht="12.75" customHeight="1">
      <c r="A889" s="3">
        <v>39776</v>
      </c>
      <c r="B889" s="4" t="s">
        <v>901</v>
      </c>
      <c r="C889" s="3" t="s">
        <v>6</v>
      </c>
      <c r="D889" s="5">
        <f t="shared" si="26"/>
        <v>280.58</v>
      </c>
      <c r="E889">
        <v>308</v>
      </c>
      <c r="F889" s="1789">
        <v>8.8999999999999996E-2</v>
      </c>
      <c r="G889">
        <f t="shared" si="27"/>
        <v>280.58</v>
      </c>
    </row>
    <row r="890" spans="1:7" ht="12.75" customHeight="1">
      <c r="A890" s="3">
        <v>39777</v>
      </c>
      <c r="B890" s="4" t="s">
        <v>902</v>
      </c>
      <c r="C890" s="3" t="s">
        <v>6</v>
      </c>
      <c r="D890" s="5">
        <f t="shared" si="26"/>
        <v>355.63</v>
      </c>
      <c r="E890">
        <v>390.38</v>
      </c>
      <c r="F890" s="1789">
        <v>8.8999999999999996E-2</v>
      </c>
      <c r="G890">
        <f t="shared" si="27"/>
        <v>355.63</v>
      </c>
    </row>
    <row r="891" spans="1:7" ht="12.75" customHeight="1">
      <c r="A891" s="3">
        <v>20254</v>
      </c>
      <c r="B891" s="4" t="s">
        <v>903</v>
      </c>
      <c r="C891" s="3" t="s">
        <v>6</v>
      </c>
      <c r="D891" s="5">
        <f t="shared" si="26"/>
        <v>25.8</v>
      </c>
      <c r="E891">
        <v>28.33</v>
      </c>
      <c r="F891" s="1789">
        <v>8.8999999999999996E-2</v>
      </c>
      <c r="G891">
        <f t="shared" si="27"/>
        <v>25.8</v>
      </c>
    </row>
    <row r="892" spans="1:7" ht="12.75" customHeight="1">
      <c r="A892" s="3">
        <v>20253</v>
      </c>
      <c r="B892" s="4" t="s">
        <v>904</v>
      </c>
      <c r="C892" s="3" t="s">
        <v>6</v>
      </c>
      <c r="D892" s="5">
        <f t="shared" si="26"/>
        <v>84.75</v>
      </c>
      <c r="E892">
        <v>93.04</v>
      </c>
      <c r="F892" s="1789">
        <v>8.8999999999999996E-2</v>
      </c>
      <c r="G892">
        <f t="shared" si="27"/>
        <v>84.75</v>
      </c>
    </row>
    <row r="893" spans="1:7" ht="12.75" customHeight="1">
      <c r="A893" s="3">
        <v>14055</v>
      </c>
      <c r="B893" s="4" t="s">
        <v>905</v>
      </c>
      <c r="C893" s="3" t="s">
        <v>6</v>
      </c>
      <c r="D893" s="5">
        <f t="shared" si="26"/>
        <v>774.57</v>
      </c>
      <c r="E893">
        <v>850.25</v>
      </c>
      <c r="F893" s="1789">
        <v>8.8999999999999996E-2</v>
      </c>
      <c r="G893">
        <f t="shared" si="27"/>
        <v>774.57</v>
      </c>
    </row>
    <row r="894" spans="1:7" ht="12.75" customHeight="1">
      <c r="A894" s="3">
        <v>11247</v>
      </c>
      <c r="B894" s="4" t="s">
        <v>906</v>
      </c>
      <c r="C894" s="3" t="s">
        <v>6</v>
      </c>
      <c r="D894" s="5">
        <f t="shared" si="26"/>
        <v>1629.88</v>
      </c>
      <c r="E894">
        <v>1789.12</v>
      </c>
      <c r="F894" s="1789">
        <v>8.8999999999999996E-2</v>
      </c>
      <c r="G894">
        <f t="shared" si="27"/>
        <v>1629.88</v>
      </c>
    </row>
    <row r="895" spans="1:7" ht="12.75" customHeight="1">
      <c r="A895" s="3">
        <v>11250</v>
      </c>
      <c r="B895" s="4" t="s">
        <v>907</v>
      </c>
      <c r="C895" s="3" t="s">
        <v>6</v>
      </c>
      <c r="D895" s="5">
        <f t="shared" si="26"/>
        <v>70.16</v>
      </c>
      <c r="E895">
        <v>77.02</v>
      </c>
      <c r="F895" s="1789">
        <v>8.8999999999999996E-2</v>
      </c>
      <c r="G895">
        <f t="shared" si="27"/>
        <v>70.16</v>
      </c>
    </row>
    <row r="896" spans="1:7" ht="12.75" customHeight="1">
      <c r="A896" s="3">
        <v>11249</v>
      </c>
      <c r="B896" s="4" t="s">
        <v>908</v>
      </c>
      <c r="C896" s="3" t="s">
        <v>6</v>
      </c>
      <c r="D896" s="5">
        <f t="shared" si="26"/>
        <v>3183.73</v>
      </c>
      <c r="E896">
        <v>3494.77</v>
      </c>
      <c r="F896" s="1789">
        <v>8.8999999999999996E-2</v>
      </c>
      <c r="G896">
        <f t="shared" si="27"/>
        <v>3183.73</v>
      </c>
    </row>
    <row r="897" spans="1:7" ht="12.75" customHeight="1">
      <c r="A897" s="3">
        <v>11251</v>
      </c>
      <c r="B897" s="4" t="s">
        <v>909</v>
      </c>
      <c r="C897" s="3" t="s">
        <v>6</v>
      </c>
      <c r="D897" s="5">
        <f t="shared" si="26"/>
        <v>155.41999999999999</v>
      </c>
      <c r="E897">
        <v>170.61</v>
      </c>
      <c r="F897" s="1789">
        <v>8.8999999999999996E-2</v>
      </c>
      <c r="G897">
        <f t="shared" si="27"/>
        <v>155.41999999999999</v>
      </c>
    </row>
    <row r="898" spans="1:7" ht="12.75" customHeight="1">
      <c r="A898" s="3">
        <v>11253</v>
      </c>
      <c r="B898" s="4" t="s">
        <v>910</v>
      </c>
      <c r="C898" s="3" t="s">
        <v>6</v>
      </c>
      <c r="D898" s="5">
        <f t="shared" si="26"/>
        <v>257.55</v>
      </c>
      <c r="E898">
        <v>282.72000000000003</v>
      </c>
      <c r="F898" s="1789">
        <v>8.8999999999999996E-2</v>
      </c>
      <c r="G898">
        <f t="shared" si="27"/>
        <v>257.55</v>
      </c>
    </row>
    <row r="899" spans="1:7" ht="12.75" customHeight="1">
      <c r="A899" s="3">
        <v>11255</v>
      </c>
      <c r="B899" s="4" t="s">
        <v>911</v>
      </c>
      <c r="C899" s="3" t="s">
        <v>6</v>
      </c>
      <c r="D899" s="5">
        <f t="shared" ref="D899:D962" si="28">G899</f>
        <v>385.04</v>
      </c>
      <c r="E899">
        <v>422.66</v>
      </c>
      <c r="F899" s="1789">
        <v>8.8999999999999996E-2</v>
      </c>
      <c r="G899">
        <f t="shared" ref="G899:G962" si="29">TRUNC((1-F899)*E899,2)</f>
        <v>385.04</v>
      </c>
    </row>
    <row r="900" spans="1:7" ht="12.75" customHeight="1">
      <c r="A900" s="3">
        <v>11256</v>
      </c>
      <c r="B900" s="4" t="s">
        <v>912</v>
      </c>
      <c r="C900" s="3" t="s">
        <v>6</v>
      </c>
      <c r="D900" s="5">
        <f t="shared" si="28"/>
        <v>482.31</v>
      </c>
      <c r="E900">
        <v>529.42999999999995</v>
      </c>
      <c r="F900" s="1789">
        <v>8.8999999999999996E-2</v>
      </c>
      <c r="G900">
        <f t="shared" si="29"/>
        <v>482.31</v>
      </c>
    </row>
    <row r="901" spans="1:7" ht="12.75" customHeight="1">
      <c r="A901" s="3">
        <v>1872</v>
      </c>
      <c r="B901" s="4" t="s">
        <v>913</v>
      </c>
      <c r="C901" s="3" t="s">
        <v>6</v>
      </c>
      <c r="D901" s="5">
        <f t="shared" si="28"/>
        <v>2.5</v>
      </c>
      <c r="E901">
        <v>2.75</v>
      </c>
      <c r="F901" s="1789">
        <v>8.8999999999999996E-2</v>
      </c>
      <c r="G901">
        <f t="shared" si="29"/>
        <v>2.5</v>
      </c>
    </row>
    <row r="902" spans="1:7" ht="12.75" customHeight="1">
      <c r="A902" s="3">
        <v>1873</v>
      </c>
      <c r="B902" s="4" t="s">
        <v>914</v>
      </c>
      <c r="C902" s="3" t="s">
        <v>6</v>
      </c>
      <c r="D902" s="5">
        <f t="shared" si="28"/>
        <v>4.9800000000000004</v>
      </c>
      <c r="E902">
        <v>5.47</v>
      </c>
      <c r="F902" s="1789">
        <v>8.8999999999999996E-2</v>
      </c>
      <c r="G902">
        <f t="shared" si="29"/>
        <v>4.9800000000000004</v>
      </c>
    </row>
    <row r="903" spans="1:7" ht="12.75" customHeight="1">
      <c r="A903" s="3">
        <v>39693</v>
      </c>
      <c r="B903" s="4" t="s">
        <v>915</v>
      </c>
      <c r="C903" s="3" t="s">
        <v>6</v>
      </c>
      <c r="D903" s="5">
        <f t="shared" si="28"/>
        <v>3029.13</v>
      </c>
      <c r="E903">
        <v>3325.07</v>
      </c>
      <c r="F903" s="1789">
        <v>8.8999999999999996E-2</v>
      </c>
      <c r="G903">
        <f t="shared" si="29"/>
        <v>3029.13</v>
      </c>
    </row>
    <row r="904" spans="1:7" ht="12.75" customHeight="1">
      <c r="A904" s="3">
        <v>39692</v>
      </c>
      <c r="B904" s="4" t="s">
        <v>916</v>
      </c>
      <c r="C904" s="3" t="s">
        <v>6</v>
      </c>
      <c r="D904" s="5">
        <f t="shared" si="28"/>
        <v>969.25</v>
      </c>
      <c r="E904">
        <v>1063.95</v>
      </c>
      <c r="F904" s="1789">
        <v>8.8999999999999996E-2</v>
      </c>
      <c r="G904">
        <f t="shared" si="29"/>
        <v>969.25</v>
      </c>
    </row>
    <row r="905" spans="1:7" ht="12.75" customHeight="1">
      <c r="A905" s="3">
        <v>1062</v>
      </c>
      <c r="B905" s="4" t="s">
        <v>917</v>
      </c>
      <c r="C905" s="3" t="s">
        <v>6</v>
      </c>
      <c r="D905" s="5">
        <f t="shared" si="28"/>
        <v>307.17</v>
      </c>
      <c r="E905">
        <v>337.18</v>
      </c>
      <c r="F905" s="1789">
        <v>8.8999999999999996E-2</v>
      </c>
      <c r="G905">
        <f t="shared" si="29"/>
        <v>307.17</v>
      </c>
    </row>
    <row r="906" spans="1:7" ht="12.75" customHeight="1">
      <c r="A906" s="3">
        <v>39686</v>
      </c>
      <c r="B906" s="4" t="s">
        <v>918</v>
      </c>
      <c r="C906" s="3" t="s">
        <v>6</v>
      </c>
      <c r="D906" s="5">
        <f t="shared" si="28"/>
        <v>497.37</v>
      </c>
      <c r="E906">
        <v>545.97</v>
      </c>
      <c r="F906" s="1789">
        <v>8.8999999999999996E-2</v>
      </c>
      <c r="G906">
        <f t="shared" si="29"/>
        <v>497.37</v>
      </c>
    </row>
    <row r="907" spans="1:7" ht="12.75" customHeight="1">
      <c r="A907" s="3">
        <v>43095</v>
      </c>
      <c r="B907" s="4" t="s">
        <v>919</v>
      </c>
      <c r="C907" s="3" t="s">
        <v>6</v>
      </c>
      <c r="D907" s="5">
        <f t="shared" si="28"/>
        <v>160.66</v>
      </c>
      <c r="E907">
        <v>176.36</v>
      </c>
      <c r="F907" s="1789">
        <v>8.8999999999999996E-2</v>
      </c>
      <c r="G907">
        <f t="shared" si="29"/>
        <v>160.66</v>
      </c>
    </row>
    <row r="908" spans="1:7" ht="12.75" customHeight="1">
      <c r="A908" s="3">
        <v>1871</v>
      </c>
      <c r="B908" s="4" t="s">
        <v>920</v>
      </c>
      <c r="C908" s="3" t="s">
        <v>6</v>
      </c>
      <c r="D908" s="5">
        <f t="shared" si="28"/>
        <v>4.49</v>
      </c>
      <c r="E908">
        <v>4.93</v>
      </c>
      <c r="F908" s="1789">
        <v>8.8999999999999996E-2</v>
      </c>
      <c r="G908">
        <f t="shared" si="29"/>
        <v>4.49</v>
      </c>
    </row>
    <row r="909" spans="1:7" ht="12.75" customHeight="1">
      <c r="A909" s="3">
        <v>12001</v>
      </c>
      <c r="B909" s="4" t="s">
        <v>921</v>
      </c>
      <c r="C909" s="3" t="s">
        <v>6</v>
      </c>
      <c r="D909" s="5">
        <f t="shared" si="28"/>
        <v>6.48</v>
      </c>
      <c r="E909">
        <v>7.12</v>
      </c>
      <c r="F909" s="1789">
        <v>8.8999999999999996E-2</v>
      </c>
      <c r="G909">
        <f t="shared" si="29"/>
        <v>6.48</v>
      </c>
    </row>
    <row r="910" spans="1:7" ht="12.75" customHeight="1">
      <c r="A910" s="3">
        <v>11882</v>
      </c>
      <c r="B910" s="4" t="s">
        <v>922</v>
      </c>
      <c r="C910" s="3" t="s">
        <v>6</v>
      </c>
      <c r="D910" s="5">
        <f t="shared" si="28"/>
        <v>105.32</v>
      </c>
      <c r="E910">
        <v>115.62</v>
      </c>
      <c r="F910" s="1789">
        <v>8.8999999999999996E-2</v>
      </c>
      <c r="G910">
        <f t="shared" si="29"/>
        <v>105.32</v>
      </c>
    </row>
    <row r="911" spans="1:7" ht="12.75" customHeight="1">
      <c r="A911" s="3">
        <v>1068</v>
      </c>
      <c r="B911" s="4" t="s">
        <v>923</v>
      </c>
      <c r="C911" s="3" t="s">
        <v>6</v>
      </c>
      <c r="D911" s="5">
        <f t="shared" si="28"/>
        <v>2026.12</v>
      </c>
      <c r="E911">
        <v>2224.0700000000002</v>
      </c>
      <c r="F911" s="1789">
        <v>8.8999999999999996E-2</v>
      </c>
      <c r="G911">
        <f t="shared" si="29"/>
        <v>2026.12</v>
      </c>
    </row>
    <row r="912" spans="1:7" ht="12.75" customHeight="1">
      <c r="A912" s="3">
        <v>39690</v>
      </c>
      <c r="B912" s="4" t="s">
        <v>924</v>
      </c>
      <c r="C912" s="3" t="s">
        <v>6</v>
      </c>
      <c r="D912" s="5">
        <f t="shared" si="28"/>
        <v>3399.17</v>
      </c>
      <c r="E912">
        <v>3731.26</v>
      </c>
      <c r="F912" s="1789">
        <v>8.8999999999999996E-2</v>
      </c>
      <c r="G912">
        <f t="shared" si="29"/>
        <v>3399.17</v>
      </c>
    </row>
    <row r="913" spans="1:7" ht="12.75" customHeight="1">
      <c r="A913" s="3">
        <v>39691</v>
      </c>
      <c r="B913" s="4" t="s">
        <v>925</v>
      </c>
      <c r="C913" s="3" t="s">
        <v>6</v>
      </c>
      <c r="D913" s="5">
        <f t="shared" si="28"/>
        <v>4275.21</v>
      </c>
      <c r="E913">
        <v>4692.88</v>
      </c>
      <c r="F913" s="1789">
        <v>8.8999999999999996E-2</v>
      </c>
      <c r="G913">
        <f t="shared" si="29"/>
        <v>4275.21</v>
      </c>
    </row>
    <row r="914" spans="1:7" ht="12.75" customHeight="1">
      <c r="A914" s="3">
        <v>39808</v>
      </c>
      <c r="B914" s="4" t="s">
        <v>926</v>
      </c>
      <c r="C914" s="3" t="s">
        <v>6</v>
      </c>
      <c r="D914" s="5">
        <f t="shared" si="28"/>
        <v>83.87</v>
      </c>
      <c r="E914">
        <v>92.07</v>
      </c>
      <c r="F914" s="1789">
        <v>8.8999999999999996E-2</v>
      </c>
      <c r="G914">
        <f t="shared" si="29"/>
        <v>83.87</v>
      </c>
    </row>
    <row r="915" spans="1:7" ht="12.75" customHeight="1">
      <c r="A915" s="3">
        <v>39809</v>
      </c>
      <c r="B915" s="4" t="s">
        <v>927</v>
      </c>
      <c r="C915" s="3" t="s">
        <v>6</v>
      </c>
      <c r="D915" s="5">
        <f t="shared" si="28"/>
        <v>198.94</v>
      </c>
      <c r="E915">
        <v>218.38</v>
      </c>
      <c r="F915" s="1789">
        <v>8.8999999999999996E-2</v>
      </c>
      <c r="G915">
        <f t="shared" si="29"/>
        <v>198.94</v>
      </c>
    </row>
    <row r="916" spans="1:7" ht="12.75" customHeight="1">
      <c r="A916" s="3">
        <v>43439</v>
      </c>
      <c r="B916" s="4" t="s">
        <v>928</v>
      </c>
      <c r="C916" s="3" t="s">
        <v>6</v>
      </c>
      <c r="D916" s="5">
        <f t="shared" si="28"/>
        <v>483.51</v>
      </c>
      <c r="E916">
        <v>530.75</v>
      </c>
      <c r="F916" s="1789">
        <v>8.8999999999999996E-2</v>
      </c>
      <c r="G916">
        <f t="shared" si="29"/>
        <v>483.51</v>
      </c>
    </row>
    <row r="917" spans="1:7" ht="12.75" customHeight="1">
      <c r="A917" s="3">
        <v>5103</v>
      </c>
      <c r="B917" s="4" t="s">
        <v>929</v>
      </c>
      <c r="C917" s="3" t="s">
        <v>6</v>
      </c>
      <c r="D917" s="5">
        <f t="shared" si="28"/>
        <v>20.440000000000001</v>
      </c>
      <c r="E917">
        <v>22.44</v>
      </c>
      <c r="F917" s="1789">
        <v>8.8999999999999996E-2</v>
      </c>
      <c r="G917">
        <f t="shared" si="29"/>
        <v>20.440000000000001</v>
      </c>
    </row>
    <row r="918" spans="1:7" ht="12.75" customHeight="1">
      <c r="A918" s="3">
        <v>11880</v>
      </c>
      <c r="B918" s="4" t="s">
        <v>930</v>
      </c>
      <c r="C918" s="3" t="s">
        <v>6</v>
      </c>
      <c r="D918" s="5">
        <f t="shared" si="28"/>
        <v>86</v>
      </c>
      <c r="E918">
        <v>94.41</v>
      </c>
      <c r="F918" s="1789">
        <v>8.8999999999999996E-2</v>
      </c>
      <c r="G918">
        <f t="shared" si="29"/>
        <v>86</v>
      </c>
    </row>
    <row r="919" spans="1:7" ht="12.75" customHeight="1">
      <c r="A919" s="3">
        <v>11714</v>
      </c>
      <c r="B919" s="4" t="s">
        <v>931</v>
      </c>
      <c r="C919" s="3" t="s">
        <v>6</v>
      </c>
      <c r="D919" s="5">
        <f t="shared" si="28"/>
        <v>58.59</v>
      </c>
      <c r="E919">
        <v>64.319999999999993</v>
      </c>
      <c r="F919" s="1789">
        <v>8.8999999999999996E-2</v>
      </c>
      <c r="G919">
        <f t="shared" si="29"/>
        <v>58.59</v>
      </c>
    </row>
    <row r="920" spans="1:7" ht="12.75" customHeight="1">
      <c r="A920" s="3">
        <v>11712</v>
      </c>
      <c r="B920" s="4" t="s">
        <v>932</v>
      </c>
      <c r="C920" s="3" t="s">
        <v>6</v>
      </c>
      <c r="D920" s="5">
        <f t="shared" si="28"/>
        <v>38.26</v>
      </c>
      <c r="E920">
        <v>42</v>
      </c>
      <c r="F920" s="1789">
        <v>8.8999999999999996E-2</v>
      </c>
      <c r="G920">
        <f t="shared" si="29"/>
        <v>38.26</v>
      </c>
    </row>
    <row r="921" spans="1:7" ht="12.75" customHeight="1">
      <c r="A921" s="3">
        <v>11717</v>
      </c>
      <c r="B921" s="4" t="s">
        <v>933</v>
      </c>
      <c r="C921" s="3" t="s">
        <v>6</v>
      </c>
      <c r="D921" s="5">
        <f t="shared" si="28"/>
        <v>46.12</v>
      </c>
      <c r="E921">
        <v>50.63</v>
      </c>
      <c r="F921" s="1789">
        <v>8.8999999999999996E-2</v>
      </c>
      <c r="G921">
        <f t="shared" si="29"/>
        <v>46.12</v>
      </c>
    </row>
    <row r="922" spans="1:7" ht="12.75" customHeight="1">
      <c r="A922" s="3">
        <v>1106</v>
      </c>
      <c r="B922" s="4" t="s">
        <v>934</v>
      </c>
      <c r="C922" s="3" t="s">
        <v>54</v>
      </c>
      <c r="D922" s="5">
        <f t="shared" si="28"/>
        <v>0.91</v>
      </c>
      <c r="E922">
        <v>1</v>
      </c>
      <c r="F922" s="1789">
        <v>8.8999999999999996E-2</v>
      </c>
      <c r="G922">
        <f t="shared" si="29"/>
        <v>0.91</v>
      </c>
    </row>
    <row r="923" spans="1:7" ht="12.75" customHeight="1">
      <c r="A923" s="3">
        <v>11161</v>
      </c>
      <c r="B923" s="4" t="s">
        <v>935</v>
      </c>
      <c r="C923" s="3" t="s">
        <v>54</v>
      </c>
      <c r="D923" s="5">
        <f t="shared" si="28"/>
        <v>1.52</v>
      </c>
      <c r="E923">
        <v>1.67</v>
      </c>
      <c r="F923" s="1789">
        <v>8.8999999999999996E-2</v>
      </c>
      <c r="G923">
        <f t="shared" si="29"/>
        <v>1.52</v>
      </c>
    </row>
    <row r="924" spans="1:7" ht="12.75" customHeight="1">
      <c r="A924" s="3">
        <v>1107</v>
      </c>
      <c r="B924" s="4" t="s">
        <v>936</v>
      </c>
      <c r="C924" s="3" t="s">
        <v>54</v>
      </c>
      <c r="D924" s="5">
        <f t="shared" si="28"/>
        <v>0.77</v>
      </c>
      <c r="E924">
        <v>0.85</v>
      </c>
      <c r="F924" s="1789">
        <v>8.8999999999999996E-2</v>
      </c>
      <c r="G924">
        <f t="shared" si="29"/>
        <v>0.77</v>
      </c>
    </row>
    <row r="925" spans="1:7" ht="12.75" customHeight="1">
      <c r="A925" s="3">
        <v>44479</v>
      </c>
      <c r="B925" s="4" t="s">
        <v>937</v>
      </c>
      <c r="C925" s="3" t="s">
        <v>54</v>
      </c>
      <c r="D925" s="5">
        <f t="shared" si="28"/>
        <v>0.2</v>
      </c>
      <c r="E925">
        <v>0.23</v>
      </c>
      <c r="F925" s="1789">
        <v>8.8999999999999996E-2</v>
      </c>
      <c r="G925">
        <f t="shared" si="29"/>
        <v>0.2</v>
      </c>
    </row>
    <row r="926" spans="1:7" ht="12.75" customHeight="1">
      <c r="A926" s="3">
        <v>4759</v>
      </c>
      <c r="B926" s="4" t="s">
        <v>938</v>
      </c>
      <c r="C926" s="3" t="s">
        <v>154</v>
      </c>
      <c r="D926" s="5">
        <f t="shared" si="28"/>
        <v>16.309999999999999</v>
      </c>
      <c r="E926">
        <v>17.91</v>
      </c>
      <c r="F926" s="1789">
        <v>8.8999999999999996E-2</v>
      </c>
      <c r="G926">
        <f t="shared" si="29"/>
        <v>16.309999999999999</v>
      </c>
    </row>
    <row r="927" spans="1:7" ht="12.75" customHeight="1">
      <c r="A927" s="3">
        <v>41068</v>
      </c>
      <c r="B927" s="4" t="s">
        <v>939</v>
      </c>
      <c r="C927" s="3" t="s">
        <v>156</v>
      </c>
      <c r="D927" s="5">
        <f t="shared" si="28"/>
        <v>2873.35</v>
      </c>
      <c r="E927">
        <v>3154.07</v>
      </c>
      <c r="F927" s="1789">
        <v>8.8999999999999996E-2</v>
      </c>
      <c r="G927">
        <f t="shared" si="29"/>
        <v>2873.35</v>
      </c>
    </row>
    <row r="928" spans="1:7" ht="12.75" customHeight="1">
      <c r="A928" s="3">
        <v>12618</v>
      </c>
      <c r="B928" s="4" t="s">
        <v>940</v>
      </c>
      <c r="C928" s="3" t="s">
        <v>6</v>
      </c>
      <c r="D928" s="5">
        <f t="shared" si="28"/>
        <v>141.46</v>
      </c>
      <c r="E928">
        <v>155.28</v>
      </c>
      <c r="F928" s="1789">
        <v>8.8999999999999996E-2</v>
      </c>
      <c r="G928">
        <f t="shared" si="29"/>
        <v>141.46</v>
      </c>
    </row>
    <row r="929" spans="1:7" ht="12.75" customHeight="1">
      <c r="A929" s="3">
        <v>1108</v>
      </c>
      <c r="B929" s="4" t="s">
        <v>941</v>
      </c>
      <c r="C929" s="3" t="s">
        <v>50</v>
      </c>
      <c r="D929" s="5">
        <f t="shared" si="28"/>
        <v>33.04</v>
      </c>
      <c r="E929">
        <v>36.270000000000003</v>
      </c>
      <c r="F929" s="1789">
        <v>8.8999999999999996E-2</v>
      </c>
      <c r="G929">
        <f t="shared" si="29"/>
        <v>33.04</v>
      </c>
    </row>
    <row r="930" spans="1:7" ht="12.75" customHeight="1">
      <c r="A930" s="3">
        <v>1117</v>
      </c>
      <c r="B930" s="4" t="s">
        <v>942</v>
      </c>
      <c r="C930" s="3" t="s">
        <v>50</v>
      </c>
      <c r="D930" s="5">
        <f t="shared" si="28"/>
        <v>33.299999999999997</v>
      </c>
      <c r="E930">
        <v>36.56</v>
      </c>
      <c r="F930" s="1789">
        <v>8.8999999999999996E-2</v>
      </c>
      <c r="G930">
        <f t="shared" si="29"/>
        <v>33.299999999999997</v>
      </c>
    </row>
    <row r="931" spans="1:7" ht="12.75" customHeight="1">
      <c r="A931" s="3">
        <v>1118</v>
      </c>
      <c r="B931" s="4" t="s">
        <v>943</v>
      </c>
      <c r="C931" s="3" t="s">
        <v>50</v>
      </c>
      <c r="D931" s="5">
        <f t="shared" si="28"/>
        <v>39.35</v>
      </c>
      <c r="E931">
        <v>43.2</v>
      </c>
      <c r="F931" s="1789">
        <v>8.8999999999999996E-2</v>
      </c>
      <c r="G931">
        <f t="shared" si="29"/>
        <v>39.35</v>
      </c>
    </row>
    <row r="932" spans="1:7" ht="12.75" customHeight="1">
      <c r="A932" s="3">
        <v>1110</v>
      </c>
      <c r="B932" s="4" t="s">
        <v>944</v>
      </c>
      <c r="C932" s="3" t="s">
        <v>50</v>
      </c>
      <c r="D932" s="5">
        <f t="shared" si="28"/>
        <v>39.35</v>
      </c>
      <c r="E932">
        <v>43.2</v>
      </c>
      <c r="F932" s="1789">
        <v>8.8999999999999996E-2</v>
      </c>
      <c r="G932">
        <f t="shared" si="29"/>
        <v>39.35</v>
      </c>
    </row>
    <row r="933" spans="1:7" ht="12.75" customHeight="1">
      <c r="A933" s="3">
        <v>40784</v>
      </c>
      <c r="B933" s="4" t="s">
        <v>945</v>
      </c>
      <c r="C933" s="3" t="s">
        <v>50</v>
      </c>
      <c r="D933" s="5">
        <f t="shared" si="28"/>
        <v>108.56</v>
      </c>
      <c r="E933">
        <v>119.17</v>
      </c>
      <c r="F933" s="1789">
        <v>8.8999999999999996E-2</v>
      </c>
      <c r="G933">
        <f t="shared" si="29"/>
        <v>108.56</v>
      </c>
    </row>
    <row r="934" spans="1:7" ht="12.75" customHeight="1">
      <c r="A934" s="3">
        <v>40782</v>
      </c>
      <c r="B934" s="4" t="s">
        <v>946</v>
      </c>
      <c r="C934" s="3" t="s">
        <v>50</v>
      </c>
      <c r="D934" s="5">
        <f t="shared" si="28"/>
        <v>42.59</v>
      </c>
      <c r="E934">
        <v>46.76</v>
      </c>
      <c r="F934" s="1789">
        <v>8.8999999999999996E-2</v>
      </c>
      <c r="G934">
        <f t="shared" si="29"/>
        <v>42.59</v>
      </c>
    </row>
    <row r="935" spans="1:7" ht="12.75" customHeight="1">
      <c r="A935" s="3">
        <v>40783</v>
      </c>
      <c r="B935" s="4" t="s">
        <v>947</v>
      </c>
      <c r="C935" s="3" t="s">
        <v>50</v>
      </c>
      <c r="D935" s="5">
        <f t="shared" si="28"/>
        <v>55.49</v>
      </c>
      <c r="E935">
        <v>60.92</v>
      </c>
      <c r="F935" s="1789">
        <v>8.8999999999999996E-2</v>
      </c>
      <c r="G935">
        <f t="shared" si="29"/>
        <v>55.49</v>
      </c>
    </row>
    <row r="936" spans="1:7" ht="12.75" customHeight="1">
      <c r="A936" s="3">
        <v>1109</v>
      </c>
      <c r="B936" s="4" t="s">
        <v>948</v>
      </c>
      <c r="C936" s="3" t="s">
        <v>50</v>
      </c>
      <c r="D936" s="5">
        <f t="shared" si="28"/>
        <v>33.04</v>
      </c>
      <c r="E936">
        <v>36.270000000000003</v>
      </c>
      <c r="F936" s="1789">
        <v>8.8999999999999996E-2</v>
      </c>
      <c r="G936">
        <f t="shared" si="29"/>
        <v>33.04</v>
      </c>
    </row>
    <row r="937" spans="1:7" ht="12.75" customHeight="1">
      <c r="A937" s="3">
        <v>1119</v>
      </c>
      <c r="B937" s="4" t="s">
        <v>949</v>
      </c>
      <c r="C937" s="3" t="s">
        <v>50</v>
      </c>
      <c r="D937" s="5">
        <f t="shared" si="28"/>
        <v>21.29</v>
      </c>
      <c r="E937">
        <v>23.38</v>
      </c>
      <c r="F937" s="1789">
        <v>8.8999999999999996E-2</v>
      </c>
      <c r="G937">
        <f t="shared" si="29"/>
        <v>21.29</v>
      </c>
    </row>
    <row r="938" spans="1:7" ht="12.75" customHeight="1">
      <c r="A938" s="3">
        <v>13115</v>
      </c>
      <c r="B938" s="4" t="s">
        <v>950</v>
      </c>
      <c r="C938" s="3" t="s">
        <v>50</v>
      </c>
      <c r="D938" s="5">
        <f t="shared" si="28"/>
        <v>22.89</v>
      </c>
      <c r="E938">
        <v>25.13</v>
      </c>
      <c r="F938" s="1789">
        <v>8.8999999999999996E-2</v>
      </c>
      <c r="G938">
        <f t="shared" si="29"/>
        <v>22.89</v>
      </c>
    </row>
    <row r="939" spans="1:7" ht="12.75" customHeight="1">
      <c r="A939" s="3">
        <v>10541</v>
      </c>
      <c r="B939" s="4" t="s">
        <v>951</v>
      </c>
      <c r="C939" s="3" t="s">
        <v>50</v>
      </c>
      <c r="D939" s="5">
        <f t="shared" si="28"/>
        <v>27.97</v>
      </c>
      <c r="E939">
        <v>30.71</v>
      </c>
      <c r="F939" s="1789">
        <v>8.8999999999999996E-2</v>
      </c>
      <c r="G939">
        <f t="shared" si="29"/>
        <v>27.97</v>
      </c>
    </row>
    <row r="940" spans="1:7" ht="12.75" customHeight="1">
      <c r="A940" s="3">
        <v>10542</v>
      </c>
      <c r="B940" s="4" t="s">
        <v>952</v>
      </c>
      <c r="C940" s="3" t="s">
        <v>50</v>
      </c>
      <c r="D940" s="5">
        <f t="shared" si="28"/>
        <v>36.58</v>
      </c>
      <c r="E940">
        <v>40.159999999999997</v>
      </c>
      <c r="F940" s="1789">
        <v>8.8999999999999996E-2</v>
      </c>
      <c r="G940">
        <f t="shared" si="29"/>
        <v>36.58</v>
      </c>
    </row>
    <row r="941" spans="1:7" ht="12.75" customHeight="1">
      <c r="A941" s="3">
        <v>10543</v>
      </c>
      <c r="B941" s="4" t="s">
        <v>953</v>
      </c>
      <c r="C941" s="3" t="s">
        <v>50</v>
      </c>
      <c r="D941" s="5">
        <f t="shared" si="28"/>
        <v>59.36</v>
      </c>
      <c r="E941">
        <v>65.16</v>
      </c>
      <c r="F941" s="1789">
        <v>8.8999999999999996E-2</v>
      </c>
      <c r="G941">
        <f t="shared" si="29"/>
        <v>59.36</v>
      </c>
    </row>
    <row r="942" spans="1:7" ht="12.75" customHeight="1">
      <c r="A942" s="3">
        <v>10544</v>
      </c>
      <c r="B942" s="4" t="s">
        <v>954</v>
      </c>
      <c r="C942" s="3" t="s">
        <v>50</v>
      </c>
      <c r="D942" s="5">
        <f t="shared" si="28"/>
        <v>76.77</v>
      </c>
      <c r="E942">
        <v>84.28</v>
      </c>
      <c r="F942" s="1789">
        <v>8.8999999999999996E-2</v>
      </c>
      <c r="G942">
        <f t="shared" si="29"/>
        <v>76.77</v>
      </c>
    </row>
    <row r="943" spans="1:7" ht="12.75" customHeight="1">
      <c r="A943" s="3">
        <v>10545</v>
      </c>
      <c r="B943" s="4" t="s">
        <v>955</v>
      </c>
      <c r="C943" s="3" t="s">
        <v>50</v>
      </c>
      <c r="D943" s="5">
        <f t="shared" si="28"/>
        <v>143.49</v>
      </c>
      <c r="E943">
        <v>157.51</v>
      </c>
      <c r="F943" s="1789">
        <v>8.8999999999999996E-2</v>
      </c>
      <c r="G943">
        <f t="shared" si="29"/>
        <v>143.49</v>
      </c>
    </row>
    <row r="944" spans="1:7" ht="12.75" customHeight="1">
      <c r="A944" s="3">
        <v>38365</v>
      </c>
      <c r="B944" s="4" t="s">
        <v>956</v>
      </c>
      <c r="C944" s="3" t="s">
        <v>409</v>
      </c>
      <c r="D944" s="5">
        <f t="shared" si="28"/>
        <v>2.16</v>
      </c>
      <c r="E944">
        <v>2.38</v>
      </c>
      <c r="F944" s="1789">
        <v>8.8999999999999996E-2</v>
      </c>
      <c r="G944">
        <f t="shared" si="29"/>
        <v>2.16</v>
      </c>
    </row>
    <row r="945" spans="1:7" ht="12.75" customHeight="1">
      <c r="A945" s="3">
        <v>44056</v>
      </c>
      <c r="B945" s="4" t="s">
        <v>957</v>
      </c>
      <c r="C945" s="3" t="s">
        <v>6</v>
      </c>
      <c r="D945" s="5">
        <f t="shared" si="28"/>
        <v>424084.79</v>
      </c>
      <c r="E945">
        <v>465515.69</v>
      </c>
      <c r="F945" s="1789">
        <v>8.8999999999999996E-2</v>
      </c>
      <c r="G945">
        <f t="shared" si="29"/>
        <v>424084.79</v>
      </c>
    </row>
    <row r="946" spans="1:7" ht="12.75" customHeight="1">
      <c r="A946" s="3">
        <v>44057</v>
      </c>
      <c r="B946" s="4" t="s">
        <v>958</v>
      </c>
      <c r="C946" s="3" t="s">
        <v>6</v>
      </c>
      <c r="D946" s="5">
        <f t="shared" si="28"/>
        <v>452628.98</v>
      </c>
      <c r="E946">
        <v>496848.5</v>
      </c>
      <c r="F946" s="1789">
        <v>8.8999999999999996E-2</v>
      </c>
      <c r="G946">
        <f t="shared" si="29"/>
        <v>452628.98</v>
      </c>
    </row>
    <row r="947" spans="1:7" ht="12.75" customHeight="1">
      <c r="A947" s="3">
        <v>37754</v>
      </c>
      <c r="B947" s="4" t="s">
        <v>959</v>
      </c>
      <c r="C947" s="3" t="s">
        <v>6</v>
      </c>
      <c r="D947" s="5">
        <f t="shared" si="28"/>
        <v>467961.28</v>
      </c>
      <c r="E947">
        <v>513678.69</v>
      </c>
      <c r="F947" s="1789">
        <v>8.8999999999999996E-2</v>
      </c>
      <c r="G947">
        <f t="shared" si="29"/>
        <v>467961.28</v>
      </c>
    </row>
    <row r="948" spans="1:7" ht="12.75" customHeight="1">
      <c r="A948" s="3">
        <v>37757</v>
      </c>
      <c r="B948" s="4" t="s">
        <v>960</v>
      </c>
      <c r="C948" s="3" t="s">
        <v>6</v>
      </c>
      <c r="D948" s="5">
        <f t="shared" si="28"/>
        <v>521950.55</v>
      </c>
      <c r="E948">
        <v>572942.43000000005</v>
      </c>
      <c r="F948" s="1789">
        <v>8.8999999999999996E-2</v>
      </c>
      <c r="G948">
        <f t="shared" si="29"/>
        <v>521950.55</v>
      </c>
    </row>
    <row r="949" spans="1:7" ht="12.75" customHeight="1">
      <c r="A949" s="3">
        <v>44058</v>
      </c>
      <c r="B949" s="4" t="s">
        <v>961</v>
      </c>
      <c r="C949" s="3" t="s">
        <v>6</v>
      </c>
      <c r="D949" s="5">
        <f t="shared" si="28"/>
        <v>493406.37</v>
      </c>
      <c r="E949">
        <v>541609.63</v>
      </c>
      <c r="F949" s="1789">
        <v>8.8999999999999996E-2</v>
      </c>
      <c r="G949">
        <f t="shared" si="29"/>
        <v>493406.37</v>
      </c>
    </row>
    <row r="950" spans="1:7" ht="12.75" customHeight="1">
      <c r="A950" s="3">
        <v>37752</v>
      </c>
      <c r="B950" s="4" t="s">
        <v>962</v>
      </c>
      <c r="C950" s="3" t="s">
        <v>6</v>
      </c>
      <c r="D950" s="5">
        <f t="shared" si="28"/>
        <v>513795.04</v>
      </c>
      <c r="E950">
        <v>563990.17000000004</v>
      </c>
      <c r="F950" s="1789">
        <v>8.8999999999999996E-2</v>
      </c>
      <c r="G950">
        <f t="shared" si="29"/>
        <v>513795.04</v>
      </c>
    </row>
    <row r="951" spans="1:7" ht="12.75" customHeight="1">
      <c r="A951" s="3">
        <v>44059</v>
      </c>
      <c r="B951" s="4" t="s">
        <v>963</v>
      </c>
      <c r="C951" s="3" t="s">
        <v>6</v>
      </c>
      <c r="D951" s="5">
        <f t="shared" si="28"/>
        <v>406142.75</v>
      </c>
      <c r="E951">
        <v>445820.81</v>
      </c>
      <c r="F951" s="1789">
        <v>8.8999999999999996E-2</v>
      </c>
      <c r="G951">
        <f t="shared" si="29"/>
        <v>406142.75</v>
      </c>
    </row>
    <row r="952" spans="1:7" ht="12.75" customHeight="1">
      <c r="A952" s="3">
        <v>37750</v>
      </c>
      <c r="B952" s="4" t="s">
        <v>964</v>
      </c>
      <c r="C952" s="3" t="s">
        <v>6</v>
      </c>
      <c r="D952" s="5">
        <f t="shared" si="28"/>
        <v>406958.3</v>
      </c>
      <c r="E952">
        <v>446716.03</v>
      </c>
      <c r="F952" s="1789">
        <v>8.8999999999999996E-2</v>
      </c>
      <c r="G952">
        <f t="shared" si="29"/>
        <v>406958.3</v>
      </c>
    </row>
    <row r="953" spans="1:7" ht="12.75" customHeight="1">
      <c r="A953" s="3">
        <v>37758</v>
      </c>
      <c r="B953" s="4" t="s">
        <v>965</v>
      </c>
      <c r="C953" s="3" t="s">
        <v>6</v>
      </c>
      <c r="D953" s="5">
        <f t="shared" si="28"/>
        <v>647544.86</v>
      </c>
      <c r="E953">
        <v>710806.66</v>
      </c>
      <c r="F953" s="1789">
        <v>8.8999999999999996E-2</v>
      </c>
      <c r="G953">
        <f t="shared" si="29"/>
        <v>647544.86</v>
      </c>
    </row>
    <row r="954" spans="1:7" ht="12.75" customHeight="1">
      <c r="A954" s="3">
        <v>44060</v>
      </c>
      <c r="B954" s="4" t="s">
        <v>966</v>
      </c>
      <c r="C954" s="3" t="s">
        <v>6</v>
      </c>
      <c r="D954" s="5">
        <f t="shared" si="28"/>
        <v>626340.64</v>
      </c>
      <c r="E954">
        <v>687530.9</v>
      </c>
      <c r="F954" s="1789">
        <v>8.8999999999999996E-2</v>
      </c>
      <c r="G954">
        <f t="shared" si="29"/>
        <v>626340.64</v>
      </c>
    </row>
    <row r="955" spans="1:7" ht="12.75" customHeight="1">
      <c r="A955" s="3">
        <v>37749</v>
      </c>
      <c r="B955" s="4" t="s">
        <v>967</v>
      </c>
      <c r="C955" s="3" t="s">
        <v>6</v>
      </c>
      <c r="D955" s="5">
        <f t="shared" si="28"/>
        <v>668749.13</v>
      </c>
      <c r="E955">
        <v>734082.47</v>
      </c>
      <c r="F955" s="1789">
        <v>8.8999999999999996E-2</v>
      </c>
      <c r="G955">
        <f t="shared" si="29"/>
        <v>668749.13</v>
      </c>
    </row>
    <row r="956" spans="1:7" ht="12.75" customHeight="1">
      <c r="A956" s="3">
        <v>44061</v>
      </c>
      <c r="B956" s="4" t="s">
        <v>968</v>
      </c>
      <c r="C956" s="3" t="s">
        <v>6</v>
      </c>
      <c r="D956" s="5">
        <f t="shared" si="28"/>
        <v>614107.44999999995</v>
      </c>
      <c r="E956">
        <v>674102.58</v>
      </c>
      <c r="F956" s="1789">
        <v>8.8999999999999996E-2</v>
      </c>
      <c r="G956">
        <f t="shared" si="29"/>
        <v>614107.44999999995</v>
      </c>
    </row>
    <row r="957" spans="1:7" ht="12.75" customHeight="1">
      <c r="A957" s="3">
        <v>1159</v>
      </c>
      <c r="B957" s="4" t="s">
        <v>969</v>
      </c>
      <c r="C957" s="3" t="s">
        <v>6</v>
      </c>
      <c r="D957" s="5">
        <f t="shared" si="28"/>
        <v>244144.96</v>
      </c>
      <c r="E957">
        <v>267996.67</v>
      </c>
      <c r="F957" s="1789">
        <v>8.8999999999999996E-2</v>
      </c>
      <c r="G957">
        <f t="shared" si="29"/>
        <v>244144.96</v>
      </c>
    </row>
    <row r="958" spans="1:7" ht="12.75" customHeight="1">
      <c r="A958" s="3">
        <v>12114</v>
      </c>
      <c r="B958" s="4" t="s">
        <v>970</v>
      </c>
      <c r="C958" s="3" t="s">
        <v>6</v>
      </c>
      <c r="D958" s="5">
        <f t="shared" si="28"/>
        <v>117.14</v>
      </c>
      <c r="E958">
        <v>128.59</v>
      </c>
      <c r="F958" s="1789">
        <v>8.8999999999999996E-2</v>
      </c>
      <c r="G958">
        <f t="shared" si="29"/>
        <v>117.14</v>
      </c>
    </row>
    <row r="959" spans="1:7" ht="12.75" customHeight="1">
      <c r="A959" s="3">
        <v>38106</v>
      </c>
      <c r="B959" s="4" t="s">
        <v>971</v>
      </c>
      <c r="C959" s="3" t="s">
        <v>6</v>
      </c>
      <c r="D959" s="5">
        <f t="shared" si="28"/>
        <v>15.91</v>
      </c>
      <c r="E959">
        <v>17.47</v>
      </c>
      <c r="F959" s="1789">
        <v>8.8999999999999996E-2</v>
      </c>
      <c r="G959">
        <f t="shared" si="29"/>
        <v>15.91</v>
      </c>
    </row>
    <row r="960" spans="1:7" ht="12.75" customHeight="1">
      <c r="A960" s="3">
        <v>38085</v>
      </c>
      <c r="B960" s="4" t="s">
        <v>972</v>
      </c>
      <c r="C960" s="3" t="s">
        <v>6</v>
      </c>
      <c r="D960" s="5">
        <f t="shared" si="28"/>
        <v>18.8</v>
      </c>
      <c r="E960">
        <v>20.64</v>
      </c>
      <c r="F960" s="1789">
        <v>8.8999999999999996E-2</v>
      </c>
      <c r="G960">
        <f t="shared" si="29"/>
        <v>18.8</v>
      </c>
    </row>
    <row r="961" spans="1:7" ht="12.75" customHeight="1">
      <c r="A961" s="3">
        <v>38599</v>
      </c>
      <c r="B961" s="4" t="s">
        <v>973</v>
      </c>
      <c r="C961" s="3" t="s">
        <v>6</v>
      </c>
      <c r="D961" s="5">
        <f t="shared" si="28"/>
        <v>5.95</v>
      </c>
      <c r="E961">
        <v>6.54</v>
      </c>
      <c r="F961" s="1789">
        <v>8.8999999999999996E-2</v>
      </c>
      <c r="G961">
        <f t="shared" si="29"/>
        <v>5.95</v>
      </c>
    </row>
    <row r="962" spans="1:7" ht="12.75" customHeight="1">
      <c r="A962" s="3">
        <v>38596</v>
      </c>
      <c r="B962" s="4" t="s">
        <v>974</v>
      </c>
      <c r="C962" s="3" t="s">
        <v>6</v>
      </c>
      <c r="D962" s="5">
        <f t="shared" si="28"/>
        <v>4.9400000000000004</v>
      </c>
      <c r="E962">
        <v>5.43</v>
      </c>
      <c r="F962" s="1789">
        <v>8.8999999999999996E-2</v>
      </c>
      <c r="G962">
        <f t="shared" si="29"/>
        <v>4.9400000000000004</v>
      </c>
    </row>
    <row r="963" spans="1:7" ht="12.75" customHeight="1">
      <c r="A963" s="3">
        <v>38600</v>
      </c>
      <c r="B963" s="4" t="s">
        <v>975</v>
      </c>
      <c r="C963" s="3" t="s">
        <v>6</v>
      </c>
      <c r="D963" s="5">
        <f t="shared" ref="D963:D1026" si="30">G963</f>
        <v>6.31</v>
      </c>
      <c r="E963">
        <v>6.93</v>
      </c>
      <c r="F963" s="1789">
        <v>8.8999999999999996E-2</v>
      </c>
      <c r="G963">
        <f t="shared" ref="G963:G1026" si="31">TRUNC((1-F963)*E963,2)</f>
        <v>6.31</v>
      </c>
    </row>
    <row r="964" spans="1:7" ht="12.75" customHeight="1">
      <c r="A964" s="3">
        <v>38597</v>
      </c>
      <c r="B964" s="4" t="s">
        <v>976</v>
      </c>
      <c r="C964" s="3" t="s">
        <v>6</v>
      </c>
      <c r="D964" s="5">
        <f t="shared" si="30"/>
        <v>4.9800000000000004</v>
      </c>
      <c r="E964">
        <v>5.47</v>
      </c>
      <c r="F964" s="1789">
        <v>8.8999999999999996E-2</v>
      </c>
      <c r="G964">
        <f t="shared" si="31"/>
        <v>4.9800000000000004</v>
      </c>
    </row>
    <row r="965" spans="1:7" ht="12.75" customHeight="1">
      <c r="A965" s="3">
        <v>659</v>
      </c>
      <c r="B965" s="4" t="s">
        <v>977</v>
      </c>
      <c r="C965" s="3" t="s">
        <v>6</v>
      </c>
      <c r="D965" s="5">
        <f t="shared" si="30"/>
        <v>2.86</v>
      </c>
      <c r="E965">
        <v>3.14</v>
      </c>
      <c r="F965" s="1789">
        <v>8.8999999999999996E-2</v>
      </c>
      <c r="G965">
        <f t="shared" si="31"/>
        <v>2.86</v>
      </c>
    </row>
    <row r="966" spans="1:7" ht="12.75" customHeight="1">
      <c r="A966" s="3">
        <v>660</v>
      </c>
      <c r="B966" s="4" t="s">
        <v>978</v>
      </c>
      <c r="C966" s="3" t="s">
        <v>6</v>
      </c>
      <c r="D966" s="5">
        <f t="shared" si="30"/>
        <v>3.43</v>
      </c>
      <c r="E966">
        <v>3.77</v>
      </c>
      <c r="F966" s="1789">
        <v>8.8999999999999996E-2</v>
      </c>
      <c r="G966">
        <f t="shared" si="31"/>
        <v>3.43</v>
      </c>
    </row>
    <row r="967" spans="1:7" ht="12.75" customHeight="1">
      <c r="A967" s="3">
        <v>658</v>
      </c>
      <c r="B967" s="4" t="s">
        <v>979</v>
      </c>
      <c r="C967" s="3" t="s">
        <v>6</v>
      </c>
      <c r="D967" s="5">
        <f t="shared" si="30"/>
        <v>1.93</v>
      </c>
      <c r="E967">
        <v>2.12</v>
      </c>
      <c r="F967" s="1789">
        <v>8.8999999999999996E-2</v>
      </c>
      <c r="G967">
        <f t="shared" si="31"/>
        <v>1.93</v>
      </c>
    </row>
    <row r="968" spans="1:7" ht="12.75" customHeight="1">
      <c r="A968" s="3">
        <v>38548</v>
      </c>
      <c r="B968" s="4" t="s">
        <v>980</v>
      </c>
      <c r="C968" s="3" t="s">
        <v>6</v>
      </c>
      <c r="D968" s="5">
        <f t="shared" si="30"/>
        <v>2.39</v>
      </c>
      <c r="E968">
        <v>2.63</v>
      </c>
      <c r="F968" s="1789">
        <v>8.8999999999999996E-2</v>
      </c>
      <c r="G968">
        <f t="shared" si="31"/>
        <v>2.39</v>
      </c>
    </row>
    <row r="969" spans="1:7" ht="12.75" customHeight="1">
      <c r="A969" s="3">
        <v>34649</v>
      </c>
      <c r="B969" s="4" t="s">
        <v>981</v>
      </c>
      <c r="C969" s="3" t="s">
        <v>6</v>
      </c>
      <c r="D969" s="5">
        <f t="shared" si="30"/>
        <v>3.24</v>
      </c>
      <c r="E969">
        <v>3.56</v>
      </c>
      <c r="F969" s="1789">
        <v>8.8999999999999996E-2</v>
      </c>
      <c r="G969">
        <f t="shared" si="31"/>
        <v>3.24</v>
      </c>
    </row>
    <row r="970" spans="1:7" ht="12.75" customHeight="1">
      <c r="A970" s="3">
        <v>34655</v>
      </c>
      <c r="B970" s="4" t="s">
        <v>982</v>
      </c>
      <c r="C970" s="3" t="s">
        <v>6</v>
      </c>
      <c r="D970" s="5">
        <f t="shared" si="30"/>
        <v>4.3</v>
      </c>
      <c r="E970">
        <v>4.7300000000000004</v>
      </c>
      <c r="F970" s="1789">
        <v>8.8999999999999996E-2</v>
      </c>
      <c r="G970">
        <f t="shared" si="31"/>
        <v>4.3</v>
      </c>
    </row>
    <row r="971" spans="1:7" ht="12.75" customHeight="1">
      <c r="A971" s="3">
        <v>40607</v>
      </c>
      <c r="B971" s="4" t="s">
        <v>983</v>
      </c>
      <c r="C971" s="3" t="s">
        <v>6</v>
      </c>
      <c r="D971" s="5">
        <f t="shared" si="30"/>
        <v>6.3</v>
      </c>
      <c r="E971">
        <v>6.92</v>
      </c>
      <c r="F971" s="1789">
        <v>8.8999999999999996E-2</v>
      </c>
      <c r="G971">
        <f t="shared" si="31"/>
        <v>6.3</v>
      </c>
    </row>
    <row r="972" spans="1:7" ht="12.75" customHeight="1">
      <c r="A972" s="3">
        <v>567</v>
      </c>
      <c r="B972" s="4" t="s">
        <v>984</v>
      </c>
      <c r="C972" s="3" t="s">
        <v>50</v>
      </c>
      <c r="D972" s="5">
        <f t="shared" si="30"/>
        <v>10.37</v>
      </c>
      <c r="E972">
        <v>11.39</v>
      </c>
      <c r="F972" s="1789">
        <v>8.8999999999999996E-2</v>
      </c>
      <c r="G972">
        <f t="shared" si="31"/>
        <v>10.37</v>
      </c>
    </row>
    <row r="973" spans="1:7" ht="12.75" customHeight="1">
      <c r="A973" s="3">
        <v>574</v>
      </c>
      <c r="B973" s="4" t="s">
        <v>985</v>
      </c>
      <c r="C973" s="3" t="s">
        <v>50</v>
      </c>
      <c r="D973" s="5">
        <f t="shared" si="30"/>
        <v>27.27</v>
      </c>
      <c r="E973">
        <v>29.94</v>
      </c>
      <c r="F973" s="1789">
        <v>8.8999999999999996E-2</v>
      </c>
      <c r="G973">
        <f t="shared" si="31"/>
        <v>27.27</v>
      </c>
    </row>
    <row r="974" spans="1:7" ht="12.75" customHeight="1">
      <c r="A974" s="3">
        <v>568</v>
      </c>
      <c r="B974" s="4" t="s">
        <v>986</v>
      </c>
      <c r="C974" s="3" t="s">
        <v>50</v>
      </c>
      <c r="D974" s="5">
        <f t="shared" si="30"/>
        <v>57.47</v>
      </c>
      <c r="E974">
        <v>63.09</v>
      </c>
      <c r="F974" s="1789">
        <v>8.8999999999999996E-2</v>
      </c>
      <c r="G974">
        <f t="shared" si="31"/>
        <v>57.47</v>
      </c>
    </row>
    <row r="975" spans="1:7" ht="12.75" customHeight="1">
      <c r="A975" s="3">
        <v>4777</v>
      </c>
      <c r="B975" s="4" t="s">
        <v>987</v>
      </c>
      <c r="C975" s="3" t="s">
        <v>54</v>
      </c>
      <c r="D975" s="5">
        <f t="shared" si="30"/>
        <v>7.3</v>
      </c>
      <c r="E975">
        <v>8.02</v>
      </c>
      <c r="F975" s="1789">
        <v>8.8999999999999996E-2</v>
      </c>
      <c r="G975">
        <f t="shared" si="31"/>
        <v>7.3</v>
      </c>
    </row>
    <row r="976" spans="1:7" ht="12.75" customHeight="1">
      <c r="A976" s="3">
        <v>592</v>
      </c>
      <c r="B976" s="4" t="s">
        <v>988</v>
      </c>
      <c r="C976" s="3" t="s">
        <v>54</v>
      </c>
      <c r="D976" s="5">
        <f t="shared" si="30"/>
        <v>32.39</v>
      </c>
      <c r="E976">
        <v>35.56</v>
      </c>
      <c r="F976" s="1789">
        <v>8.8999999999999996E-2</v>
      </c>
      <c r="G976">
        <f t="shared" si="31"/>
        <v>32.39</v>
      </c>
    </row>
    <row r="977" spans="1:7" ht="12.75" customHeight="1">
      <c r="A977" s="3">
        <v>586</v>
      </c>
      <c r="B977" s="4" t="s">
        <v>989</v>
      </c>
      <c r="C977" s="3" t="s">
        <v>50</v>
      </c>
      <c r="D977" s="5">
        <f t="shared" si="30"/>
        <v>19.03</v>
      </c>
      <c r="E977">
        <v>20.9</v>
      </c>
      <c r="F977" s="1789">
        <v>8.8999999999999996E-2</v>
      </c>
      <c r="G977">
        <f t="shared" si="31"/>
        <v>19.03</v>
      </c>
    </row>
    <row r="978" spans="1:7" ht="12.75" customHeight="1">
      <c r="A978" s="3">
        <v>588</v>
      </c>
      <c r="B978" s="4" t="s">
        <v>990</v>
      </c>
      <c r="C978" s="3" t="s">
        <v>50</v>
      </c>
      <c r="D978" s="5">
        <f t="shared" si="30"/>
        <v>30.12</v>
      </c>
      <c r="E978">
        <v>33.07</v>
      </c>
      <c r="F978" s="1789">
        <v>8.8999999999999996E-2</v>
      </c>
      <c r="G978">
        <f t="shared" si="31"/>
        <v>30.12</v>
      </c>
    </row>
    <row r="979" spans="1:7" ht="12.75" customHeight="1">
      <c r="A979" s="3">
        <v>591</v>
      </c>
      <c r="B979" s="4" t="s">
        <v>991</v>
      </c>
      <c r="C979" s="3" t="s">
        <v>54</v>
      </c>
      <c r="D979" s="5">
        <f t="shared" si="30"/>
        <v>30.22</v>
      </c>
      <c r="E979">
        <v>33.18</v>
      </c>
      <c r="F979" s="1789">
        <v>8.8999999999999996E-2</v>
      </c>
      <c r="G979">
        <f t="shared" si="31"/>
        <v>30.22</v>
      </c>
    </row>
    <row r="980" spans="1:7" ht="12.75" customHeight="1">
      <c r="A980" s="3">
        <v>584</v>
      </c>
      <c r="B980" s="4" t="s">
        <v>992</v>
      </c>
      <c r="C980" s="3" t="s">
        <v>50</v>
      </c>
      <c r="D980" s="5">
        <f t="shared" si="30"/>
        <v>32.17</v>
      </c>
      <c r="E980">
        <v>35.32</v>
      </c>
      <c r="F980" s="1789">
        <v>8.8999999999999996E-2</v>
      </c>
      <c r="G980">
        <f t="shared" si="31"/>
        <v>32.17</v>
      </c>
    </row>
    <row r="981" spans="1:7" ht="12.75" customHeight="1">
      <c r="A981" s="3">
        <v>589</v>
      </c>
      <c r="B981" s="4" t="s">
        <v>993</v>
      </c>
      <c r="C981" s="3" t="s">
        <v>50</v>
      </c>
      <c r="D981" s="5">
        <f t="shared" si="30"/>
        <v>50.92</v>
      </c>
      <c r="E981">
        <v>55.9</v>
      </c>
      <c r="F981" s="1789">
        <v>8.8999999999999996E-2</v>
      </c>
      <c r="G981">
        <f t="shared" si="31"/>
        <v>50.92</v>
      </c>
    </row>
    <row r="982" spans="1:7" ht="12.75" customHeight="1">
      <c r="A982" s="3">
        <v>1165</v>
      </c>
      <c r="B982" s="4" t="s">
        <v>994</v>
      </c>
      <c r="C982" s="3" t="s">
        <v>6</v>
      </c>
      <c r="D982" s="5">
        <f t="shared" si="30"/>
        <v>14.18</v>
      </c>
      <c r="E982">
        <v>15.57</v>
      </c>
      <c r="F982" s="1789">
        <v>8.8999999999999996E-2</v>
      </c>
      <c r="G982">
        <f t="shared" si="31"/>
        <v>14.18</v>
      </c>
    </row>
    <row r="983" spans="1:7" ht="12.75" customHeight="1">
      <c r="A983" s="3">
        <v>1164</v>
      </c>
      <c r="B983" s="4" t="s">
        <v>995</v>
      </c>
      <c r="C983" s="3" t="s">
        <v>6</v>
      </c>
      <c r="D983" s="5">
        <f t="shared" si="30"/>
        <v>11.48</v>
      </c>
      <c r="E983">
        <v>12.61</v>
      </c>
      <c r="F983" s="1789">
        <v>8.8999999999999996E-2</v>
      </c>
      <c r="G983">
        <f t="shared" si="31"/>
        <v>11.48</v>
      </c>
    </row>
    <row r="984" spans="1:7" ht="12.75" customHeight="1">
      <c r="A984" s="3">
        <v>1162</v>
      </c>
      <c r="B984" s="4" t="s">
        <v>996</v>
      </c>
      <c r="C984" s="3" t="s">
        <v>6</v>
      </c>
      <c r="D984" s="5">
        <f t="shared" si="30"/>
        <v>3.99</v>
      </c>
      <c r="E984">
        <v>4.38</v>
      </c>
      <c r="F984" s="1789">
        <v>8.8999999999999996E-2</v>
      </c>
      <c r="G984">
        <f t="shared" si="31"/>
        <v>3.99</v>
      </c>
    </row>
    <row r="985" spans="1:7" ht="12.75" customHeight="1">
      <c r="A985" s="3">
        <v>12395</v>
      </c>
      <c r="B985" s="4" t="s">
        <v>997</v>
      </c>
      <c r="C985" s="3" t="s">
        <v>6</v>
      </c>
      <c r="D985" s="5">
        <f t="shared" si="30"/>
        <v>3.88</v>
      </c>
      <c r="E985">
        <v>4.26</v>
      </c>
      <c r="F985" s="1789">
        <v>8.8999999999999996E-2</v>
      </c>
      <c r="G985">
        <f t="shared" si="31"/>
        <v>3.88</v>
      </c>
    </row>
    <row r="986" spans="1:7" ht="12.75" customHeight="1">
      <c r="A986" s="3">
        <v>1170</v>
      </c>
      <c r="B986" s="4" t="s">
        <v>998</v>
      </c>
      <c r="C986" s="3" t="s">
        <v>6</v>
      </c>
      <c r="D986" s="5">
        <f t="shared" si="30"/>
        <v>7.52</v>
      </c>
      <c r="E986">
        <v>8.26</v>
      </c>
      <c r="F986" s="1789">
        <v>8.8999999999999996E-2</v>
      </c>
      <c r="G986">
        <f t="shared" si="31"/>
        <v>7.52</v>
      </c>
    </row>
    <row r="987" spans="1:7" ht="12.75" customHeight="1">
      <c r="A987" s="3">
        <v>1169</v>
      </c>
      <c r="B987" s="4" t="s">
        <v>999</v>
      </c>
      <c r="C987" s="3" t="s">
        <v>6</v>
      </c>
      <c r="D987" s="5">
        <f t="shared" si="30"/>
        <v>36.950000000000003</v>
      </c>
      <c r="E987">
        <v>40.56</v>
      </c>
      <c r="F987" s="1789">
        <v>8.8999999999999996E-2</v>
      </c>
      <c r="G987">
        <f t="shared" si="31"/>
        <v>36.950000000000003</v>
      </c>
    </row>
    <row r="988" spans="1:7" ht="12.75" customHeight="1">
      <c r="A988" s="3">
        <v>1166</v>
      </c>
      <c r="B988" s="4" t="s">
        <v>1000</v>
      </c>
      <c r="C988" s="3" t="s">
        <v>6</v>
      </c>
      <c r="D988" s="5">
        <f t="shared" si="30"/>
        <v>20.48</v>
      </c>
      <c r="E988">
        <v>22.49</v>
      </c>
      <c r="F988" s="1789">
        <v>8.8999999999999996E-2</v>
      </c>
      <c r="G988">
        <f t="shared" si="31"/>
        <v>20.48</v>
      </c>
    </row>
    <row r="989" spans="1:7" ht="12.75" customHeight="1">
      <c r="A989" s="3">
        <v>1163</v>
      </c>
      <c r="B989" s="4" t="s">
        <v>1001</v>
      </c>
      <c r="C989" s="3" t="s">
        <v>6</v>
      </c>
      <c r="D989" s="5">
        <f t="shared" si="30"/>
        <v>5.16</v>
      </c>
      <c r="E989">
        <v>5.67</v>
      </c>
      <c r="F989" s="1789">
        <v>8.8999999999999996E-2</v>
      </c>
      <c r="G989">
        <f t="shared" si="31"/>
        <v>5.16</v>
      </c>
    </row>
    <row r="990" spans="1:7" ht="12.75" customHeight="1">
      <c r="A990" s="3">
        <v>12396</v>
      </c>
      <c r="B990" s="4" t="s">
        <v>1002</v>
      </c>
      <c r="C990" s="3" t="s">
        <v>6</v>
      </c>
      <c r="D990" s="5">
        <f t="shared" si="30"/>
        <v>3.88</v>
      </c>
      <c r="E990">
        <v>4.26</v>
      </c>
      <c r="F990" s="1789">
        <v>8.8999999999999996E-2</v>
      </c>
      <c r="G990">
        <f t="shared" si="31"/>
        <v>3.88</v>
      </c>
    </row>
    <row r="991" spans="1:7" ht="12.75" customHeight="1">
      <c r="A991" s="3">
        <v>1168</v>
      </c>
      <c r="B991" s="4" t="s">
        <v>1003</v>
      </c>
      <c r="C991" s="3" t="s">
        <v>6</v>
      </c>
      <c r="D991" s="5">
        <f t="shared" si="30"/>
        <v>52.68</v>
      </c>
      <c r="E991">
        <v>57.83</v>
      </c>
      <c r="F991" s="1789">
        <v>8.8999999999999996E-2</v>
      </c>
      <c r="G991">
        <f t="shared" si="31"/>
        <v>52.68</v>
      </c>
    </row>
    <row r="992" spans="1:7" ht="12.75" customHeight="1">
      <c r="A992" s="3">
        <v>1167</v>
      </c>
      <c r="B992" s="4" t="s">
        <v>1004</v>
      </c>
      <c r="C992" s="3" t="s">
        <v>6</v>
      </c>
      <c r="D992" s="5">
        <f t="shared" si="30"/>
        <v>88.12</v>
      </c>
      <c r="E992">
        <v>96.73</v>
      </c>
      <c r="F992" s="1789">
        <v>8.8999999999999996E-2</v>
      </c>
      <c r="G992">
        <f t="shared" si="31"/>
        <v>88.12</v>
      </c>
    </row>
    <row r="993" spans="1:7" ht="12.75" customHeight="1">
      <c r="A993" s="3">
        <v>36331</v>
      </c>
      <c r="B993" s="4" t="s">
        <v>1005</v>
      </c>
      <c r="C993" s="3" t="s">
        <v>6</v>
      </c>
      <c r="D993" s="5">
        <f t="shared" si="30"/>
        <v>2.16</v>
      </c>
      <c r="E993">
        <v>2.38</v>
      </c>
      <c r="F993" s="1789">
        <v>8.8999999999999996E-2</v>
      </c>
      <c r="G993">
        <f t="shared" si="31"/>
        <v>2.16</v>
      </c>
    </row>
    <row r="994" spans="1:7" ht="12.75" customHeight="1">
      <c r="A994" s="3">
        <v>36346</v>
      </c>
      <c r="B994" s="4" t="s">
        <v>1006</v>
      </c>
      <c r="C994" s="3" t="s">
        <v>6</v>
      </c>
      <c r="D994" s="5">
        <f t="shared" si="30"/>
        <v>3.24</v>
      </c>
      <c r="E994">
        <v>3.56</v>
      </c>
      <c r="F994" s="1789">
        <v>8.8999999999999996E-2</v>
      </c>
      <c r="G994">
        <f t="shared" si="31"/>
        <v>3.24</v>
      </c>
    </row>
    <row r="995" spans="1:7" ht="12.75" customHeight="1">
      <c r="A995" s="3">
        <v>1197</v>
      </c>
      <c r="B995" s="4" t="s">
        <v>1007</v>
      </c>
      <c r="C995" s="3" t="s">
        <v>6</v>
      </c>
      <c r="D995" s="5">
        <f t="shared" si="30"/>
        <v>1.37</v>
      </c>
      <c r="E995">
        <v>1.51</v>
      </c>
      <c r="F995" s="1789">
        <v>8.8999999999999996E-2</v>
      </c>
      <c r="G995">
        <f t="shared" si="31"/>
        <v>1.37</v>
      </c>
    </row>
    <row r="996" spans="1:7" ht="12.75" customHeight="1">
      <c r="A996" s="3">
        <v>1202</v>
      </c>
      <c r="B996" s="4" t="s">
        <v>1008</v>
      </c>
      <c r="C996" s="3" t="s">
        <v>6</v>
      </c>
      <c r="D996" s="5">
        <f t="shared" si="30"/>
        <v>3.88</v>
      </c>
      <c r="E996">
        <v>4.2699999999999996</v>
      </c>
      <c r="F996" s="1789">
        <v>8.8999999999999996E-2</v>
      </c>
      <c r="G996">
        <f t="shared" si="31"/>
        <v>3.88</v>
      </c>
    </row>
    <row r="997" spans="1:7" ht="12.75" customHeight="1">
      <c r="A997" s="3">
        <v>1198</v>
      </c>
      <c r="B997" s="4" t="s">
        <v>1009</v>
      </c>
      <c r="C997" s="3" t="s">
        <v>6</v>
      </c>
      <c r="D997" s="5">
        <f t="shared" si="30"/>
        <v>1.79</v>
      </c>
      <c r="E997">
        <v>1.97</v>
      </c>
      <c r="F997" s="1789">
        <v>8.8999999999999996E-2</v>
      </c>
      <c r="G997">
        <f t="shared" si="31"/>
        <v>1.79</v>
      </c>
    </row>
    <row r="998" spans="1:7" ht="12.75" customHeight="1">
      <c r="A998" s="3">
        <v>20088</v>
      </c>
      <c r="B998" s="4" t="s">
        <v>1010</v>
      </c>
      <c r="C998" s="3" t="s">
        <v>6</v>
      </c>
      <c r="D998" s="5">
        <f t="shared" si="30"/>
        <v>10.88</v>
      </c>
      <c r="E998">
        <v>11.95</v>
      </c>
      <c r="F998" s="1789">
        <v>8.8999999999999996E-2</v>
      </c>
      <c r="G998">
        <f t="shared" si="31"/>
        <v>10.88</v>
      </c>
    </row>
    <row r="999" spans="1:7" ht="12.75" customHeight="1">
      <c r="A999" s="3">
        <v>20089</v>
      </c>
      <c r="B999" s="4" t="s">
        <v>1011</v>
      </c>
      <c r="C999" s="3" t="s">
        <v>6</v>
      </c>
      <c r="D999" s="5">
        <f t="shared" si="30"/>
        <v>53.35</v>
      </c>
      <c r="E999">
        <v>58.57</v>
      </c>
      <c r="F999" s="1789">
        <v>8.8999999999999996E-2</v>
      </c>
      <c r="G999">
        <f t="shared" si="31"/>
        <v>53.35</v>
      </c>
    </row>
    <row r="1000" spans="1:7" ht="12.75" customHeight="1">
      <c r="A1000" s="3">
        <v>20087</v>
      </c>
      <c r="B1000" s="4" t="s">
        <v>1012</v>
      </c>
      <c r="C1000" s="3" t="s">
        <v>6</v>
      </c>
      <c r="D1000" s="5">
        <f t="shared" si="30"/>
        <v>9</v>
      </c>
      <c r="E1000">
        <v>9.8800000000000008</v>
      </c>
      <c r="F1000" s="1789">
        <v>8.8999999999999996E-2</v>
      </c>
      <c r="G1000">
        <f t="shared" si="31"/>
        <v>9</v>
      </c>
    </row>
    <row r="1001" spans="1:7" ht="12.75" customHeight="1">
      <c r="A1001" s="3">
        <v>1200</v>
      </c>
      <c r="B1001" s="4" t="s">
        <v>1013</v>
      </c>
      <c r="C1001" s="3" t="s">
        <v>6</v>
      </c>
      <c r="D1001" s="5">
        <f t="shared" si="30"/>
        <v>8.18</v>
      </c>
      <c r="E1001">
        <v>8.98</v>
      </c>
      <c r="F1001" s="1789">
        <v>8.8999999999999996E-2</v>
      </c>
      <c r="G1001">
        <f t="shared" si="31"/>
        <v>8.18</v>
      </c>
    </row>
    <row r="1002" spans="1:7" ht="12.75" customHeight="1">
      <c r="A1002" s="3">
        <v>12909</v>
      </c>
      <c r="B1002" s="4" t="s">
        <v>1014</v>
      </c>
      <c r="C1002" s="3" t="s">
        <v>6</v>
      </c>
      <c r="D1002" s="5">
        <f t="shared" si="30"/>
        <v>3.78</v>
      </c>
      <c r="E1002">
        <v>4.16</v>
      </c>
      <c r="F1002" s="1789">
        <v>8.8999999999999996E-2</v>
      </c>
      <c r="G1002">
        <f t="shared" si="31"/>
        <v>3.78</v>
      </c>
    </row>
    <row r="1003" spans="1:7" ht="12.75" customHeight="1">
      <c r="A1003" s="3">
        <v>12910</v>
      </c>
      <c r="B1003" s="4" t="s">
        <v>1015</v>
      </c>
      <c r="C1003" s="3" t="s">
        <v>6</v>
      </c>
      <c r="D1003" s="5">
        <f t="shared" si="30"/>
        <v>6.81</v>
      </c>
      <c r="E1003">
        <v>7.48</v>
      </c>
      <c r="F1003" s="1789">
        <v>8.8999999999999996E-2</v>
      </c>
      <c r="G1003">
        <f t="shared" si="31"/>
        <v>6.81</v>
      </c>
    </row>
    <row r="1004" spans="1:7" ht="12.75" customHeight="1">
      <c r="A1004" s="3">
        <v>1191</v>
      </c>
      <c r="B1004" s="4" t="s">
        <v>1016</v>
      </c>
      <c r="C1004" s="3" t="s">
        <v>6</v>
      </c>
      <c r="D1004" s="5">
        <f t="shared" si="30"/>
        <v>0.97</v>
      </c>
      <c r="E1004">
        <v>1.07</v>
      </c>
      <c r="F1004" s="1789">
        <v>8.8999999999999996E-2</v>
      </c>
      <c r="G1004">
        <f t="shared" si="31"/>
        <v>0.97</v>
      </c>
    </row>
    <row r="1005" spans="1:7" ht="12.75" customHeight="1">
      <c r="A1005" s="3">
        <v>1185</v>
      </c>
      <c r="B1005" s="4" t="s">
        <v>1017</v>
      </c>
      <c r="C1005" s="3" t="s">
        <v>6</v>
      </c>
      <c r="D1005" s="5">
        <f t="shared" si="30"/>
        <v>0.97</v>
      </c>
      <c r="E1005">
        <v>1.07</v>
      </c>
      <c r="F1005" s="1789">
        <v>8.8999999999999996E-2</v>
      </c>
      <c r="G1005">
        <f t="shared" si="31"/>
        <v>0.97</v>
      </c>
    </row>
    <row r="1006" spans="1:7" ht="12.75" customHeight="1">
      <c r="A1006" s="3">
        <v>1189</v>
      </c>
      <c r="B1006" s="4" t="s">
        <v>1018</v>
      </c>
      <c r="C1006" s="3" t="s">
        <v>6</v>
      </c>
      <c r="D1006" s="5">
        <f t="shared" si="30"/>
        <v>1.6</v>
      </c>
      <c r="E1006">
        <v>1.76</v>
      </c>
      <c r="F1006" s="1789">
        <v>8.8999999999999996E-2</v>
      </c>
      <c r="G1006">
        <f t="shared" si="31"/>
        <v>1.6</v>
      </c>
    </row>
    <row r="1007" spans="1:7" ht="12.75" customHeight="1">
      <c r="A1007" s="3">
        <v>1193</v>
      </c>
      <c r="B1007" s="4" t="s">
        <v>1019</v>
      </c>
      <c r="C1007" s="3" t="s">
        <v>6</v>
      </c>
      <c r="D1007" s="5">
        <f t="shared" si="30"/>
        <v>3.07</v>
      </c>
      <c r="E1007">
        <v>3.38</v>
      </c>
      <c r="F1007" s="1789">
        <v>8.8999999999999996E-2</v>
      </c>
      <c r="G1007">
        <f t="shared" si="31"/>
        <v>3.07</v>
      </c>
    </row>
    <row r="1008" spans="1:7" ht="12.75" customHeight="1">
      <c r="A1008" s="3">
        <v>1194</v>
      </c>
      <c r="B1008" s="4" t="s">
        <v>1020</v>
      </c>
      <c r="C1008" s="3" t="s">
        <v>6</v>
      </c>
      <c r="D1008" s="5">
        <f t="shared" si="30"/>
        <v>5.55</v>
      </c>
      <c r="E1008">
        <v>6.1</v>
      </c>
      <c r="F1008" s="1789">
        <v>8.8999999999999996E-2</v>
      </c>
      <c r="G1008">
        <f t="shared" si="31"/>
        <v>5.55</v>
      </c>
    </row>
    <row r="1009" spans="1:7" ht="12.75" customHeight="1">
      <c r="A1009" s="3">
        <v>1195</v>
      </c>
      <c r="B1009" s="4" t="s">
        <v>1021</v>
      </c>
      <c r="C1009" s="3" t="s">
        <v>6</v>
      </c>
      <c r="D1009" s="5">
        <f t="shared" si="30"/>
        <v>9.34</v>
      </c>
      <c r="E1009">
        <v>10.26</v>
      </c>
      <c r="F1009" s="1789">
        <v>8.8999999999999996E-2</v>
      </c>
      <c r="G1009">
        <f t="shared" si="31"/>
        <v>9.34</v>
      </c>
    </row>
    <row r="1010" spans="1:7" ht="12.75" customHeight="1">
      <c r="A1010" s="3">
        <v>1204</v>
      </c>
      <c r="B1010" s="4" t="s">
        <v>1022</v>
      </c>
      <c r="C1010" s="3" t="s">
        <v>6</v>
      </c>
      <c r="D1010" s="5">
        <f t="shared" si="30"/>
        <v>16.350000000000001</v>
      </c>
      <c r="E1010">
        <v>17.95</v>
      </c>
      <c r="F1010" s="1789">
        <v>8.8999999999999996E-2</v>
      </c>
      <c r="G1010">
        <f t="shared" si="31"/>
        <v>16.350000000000001</v>
      </c>
    </row>
    <row r="1011" spans="1:7" ht="12.75" customHeight="1">
      <c r="A1011" s="3">
        <v>1207</v>
      </c>
      <c r="B1011" s="4" t="s">
        <v>1023</v>
      </c>
      <c r="C1011" s="3" t="s">
        <v>6</v>
      </c>
      <c r="D1011" s="5">
        <f t="shared" si="30"/>
        <v>20.02</v>
      </c>
      <c r="E1011">
        <v>21.98</v>
      </c>
      <c r="F1011" s="1789">
        <v>8.8999999999999996E-2</v>
      </c>
      <c r="G1011">
        <f t="shared" si="31"/>
        <v>20.02</v>
      </c>
    </row>
    <row r="1012" spans="1:7" ht="12.75" customHeight="1">
      <c r="A1012" s="3">
        <v>1206</v>
      </c>
      <c r="B1012" s="4" t="s">
        <v>1024</v>
      </c>
      <c r="C1012" s="3" t="s">
        <v>6</v>
      </c>
      <c r="D1012" s="5">
        <f t="shared" si="30"/>
        <v>5.01</v>
      </c>
      <c r="E1012">
        <v>5.51</v>
      </c>
      <c r="F1012" s="1789">
        <v>8.8999999999999996E-2</v>
      </c>
      <c r="G1012">
        <f t="shared" si="31"/>
        <v>5.01</v>
      </c>
    </row>
    <row r="1013" spans="1:7" ht="12.75" customHeight="1">
      <c r="A1013" s="3">
        <v>1183</v>
      </c>
      <c r="B1013" s="4" t="s">
        <v>1025</v>
      </c>
      <c r="C1013" s="3" t="s">
        <v>6</v>
      </c>
      <c r="D1013" s="5">
        <f t="shared" si="30"/>
        <v>13.08</v>
      </c>
      <c r="E1013">
        <v>14.36</v>
      </c>
      <c r="F1013" s="1789">
        <v>8.8999999999999996E-2</v>
      </c>
      <c r="G1013">
        <f t="shared" si="31"/>
        <v>13.08</v>
      </c>
    </row>
    <row r="1014" spans="1:7" ht="12.75" customHeight="1">
      <c r="A1014" s="3">
        <v>42685</v>
      </c>
      <c r="B1014" s="4" t="s">
        <v>1026</v>
      </c>
      <c r="C1014" s="3" t="s">
        <v>6</v>
      </c>
      <c r="D1014" s="5">
        <f t="shared" si="30"/>
        <v>55.28</v>
      </c>
      <c r="E1014">
        <v>60.69</v>
      </c>
      <c r="F1014" s="1789">
        <v>8.8999999999999996E-2</v>
      </c>
      <c r="G1014">
        <f t="shared" si="31"/>
        <v>55.28</v>
      </c>
    </row>
    <row r="1015" spans="1:7" ht="12.75" customHeight="1">
      <c r="A1015" s="3">
        <v>42686</v>
      </c>
      <c r="B1015" s="4" t="s">
        <v>1027</v>
      </c>
      <c r="C1015" s="3" t="s">
        <v>6</v>
      </c>
      <c r="D1015" s="5">
        <f t="shared" si="30"/>
        <v>60.9</v>
      </c>
      <c r="E1015">
        <v>66.849999999999994</v>
      </c>
      <c r="F1015" s="1789">
        <v>8.8999999999999996E-2</v>
      </c>
      <c r="G1015">
        <f t="shared" si="31"/>
        <v>60.9</v>
      </c>
    </row>
    <row r="1016" spans="1:7" ht="12.75" customHeight="1">
      <c r="A1016" s="3">
        <v>12894</v>
      </c>
      <c r="B1016" s="4" t="s">
        <v>1028</v>
      </c>
      <c r="C1016" s="3" t="s">
        <v>6</v>
      </c>
      <c r="D1016" s="5">
        <f t="shared" si="30"/>
        <v>18.829999999999998</v>
      </c>
      <c r="E1016">
        <v>20.67</v>
      </c>
      <c r="F1016" s="1789">
        <v>8.8999999999999996E-2</v>
      </c>
      <c r="G1016">
        <f t="shared" si="31"/>
        <v>18.829999999999998</v>
      </c>
    </row>
    <row r="1017" spans="1:7" ht="12.75" customHeight="1">
      <c r="A1017" s="3">
        <v>12895</v>
      </c>
      <c r="B1017" s="4" t="s">
        <v>1029</v>
      </c>
      <c r="C1017" s="3" t="s">
        <v>6</v>
      </c>
      <c r="D1017" s="5">
        <f t="shared" si="30"/>
        <v>14.48</v>
      </c>
      <c r="E1017">
        <v>15.9</v>
      </c>
      <c r="F1017" s="1789">
        <v>8.8999999999999996E-2</v>
      </c>
      <c r="G1017">
        <f t="shared" si="31"/>
        <v>14.48</v>
      </c>
    </row>
    <row r="1018" spans="1:7" ht="12.75" customHeight="1">
      <c r="A1018" s="3">
        <v>1631</v>
      </c>
      <c r="B1018" s="4" t="s">
        <v>1030</v>
      </c>
      <c r="C1018" s="3" t="s">
        <v>6</v>
      </c>
      <c r="D1018" s="5">
        <f t="shared" si="30"/>
        <v>164.04</v>
      </c>
      <c r="E1018">
        <v>180.07</v>
      </c>
      <c r="F1018" s="1789">
        <v>8.8999999999999996E-2</v>
      </c>
      <c r="G1018">
        <f t="shared" si="31"/>
        <v>164.04</v>
      </c>
    </row>
    <row r="1019" spans="1:7" ht="12.75" customHeight="1">
      <c r="A1019" s="3">
        <v>1633</v>
      </c>
      <c r="B1019" s="4" t="s">
        <v>1031</v>
      </c>
      <c r="C1019" s="3" t="s">
        <v>6</v>
      </c>
      <c r="D1019" s="5">
        <f t="shared" si="30"/>
        <v>278.72000000000003</v>
      </c>
      <c r="E1019">
        <v>305.95</v>
      </c>
      <c r="F1019" s="1789">
        <v>8.8999999999999996E-2</v>
      </c>
      <c r="G1019">
        <f t="shared" si="31"/>
        <v>278.72000000000003</v>
      </c>
    </row>
    <row r="1020" spans="1:7" ht="12.75" customHeight="1">
      <c r="A1020" s="3">
        <v>10818</v>
      </c>
      <c r="B1020" s="4" t="s">
        <v>1032</v>
      </c>
      <c r="C1020" s="3" t="s">
        <v>54</v>
      </c>
      <c r="D1020" s="5">
        <f t="shared" si="30"/>
        <v>47.89</v>
      </c>
      <c r="E1020">
        <v>52.57</v>
      </c>
      <c r="F1020" s="1789">
        <v>8.8999999999999996E-2</v>
      </c>
      <c r="G1020">
        <f t="shared" si="31"/>
        <v>47.89</v>
      </c>
    </row>
    <row r="1021" spans="1:7" ht="12.75" customHeight="1">
      <c r="A1021" s="3">
        <v>41410</v>
      </c>
      <c r="B1021" s="4" t="s">
        <v>1033</v>
      </c>
      <c r="C1021" s="3" t="s">
        <v>6</v>
      </c>
      <c r="D1021" s="5">
        <f t="shared" si="30"/>
        <v>80.36</v>
      </c>
      <c r="E1021">
        <v>88.22</v>
      </c>
      <c r="F1021" s="1789">
        <v>8.8999999999999996E-2</v>
      </c>
      <c r="G1021">
        <f t="shared" si="31"/>
        <v>80.36</v>
      </c>
    </row>
    <row r="1022" spans="1:7" ht="12.75" customHeight="1">
      <c r="A1022" s="3">
        <v>41411</v>
      </c>
      <c r="B1022" s="4" t="s">
        <v>1034</v>
      </c>
      <c r="C1022" s="3" t="s">
        <v>6</v>
      </c>
      <c r="D1022" s="5">
        <f t="shared" si="30"/>
        <v>72.86</v>
      </c>
      <c r="E1022">
        <v>79.98</v>
      </c>
      <c r="F1022" s="1789">
        <v>8.8999999999999996E-2</v>
      </c>
      <c r="G1022">
        <f t="shared" si="31"/>
        <v>72.86</v>
      </c>
    </row>
    <row r="1023" spans="1:7" ht="12.75" customHeight="1">
      <c r="A1023" s="3">
        <v>41412</v>
      </c>
      <c r="B1023" s="4" t="s">
        <v>1035</v>
      </c>
      <c r="C1023" s="3" t="s">
        <v>6</v>
      </c>
      <c r="D1023" s="5">
        <f t="shared" si="30"/>
        <v>140.93</v>
      </c>
      <c r="E1023">
        <v>154.69999999999999</v>
      </c>
      <c r="F1023" s="1789">
        <v>8.8999999999999996E-2</v>
      </c>
      <c r="G1023">
        <f t="shared" si="31"/>
        <v>140.93</v>
      </c>
    </row>
    <row r="1024" spans="1:7" ht="12.75" customHeight="1">
      <c r="A1024" s="3">
        <v>41413</v>
      </c>
      <c r="B1024" s="4" t="s">
        <v>1036</v>
      </c>
      <c r="C1024" s="3" t="s">
        <v>6</v>
      </c>
      <c r="D1024" s="5">
        <f t="shared" si="30"/>
        <v>126.81</v>
      </c>
      <c r="E1024">
        <v>139.19999999999999</v>
      </c>
      <c r="F1024" s="1789">
        <v>8.8999999999999996E-2</v>
      </c>
      <c r="G1024">
        <f t="shared" si="31"/>
        <v>126.81</v>
      </c>
    </row>
    <row r="1025" spans="1:7" ht="12.75" customHeight="1">
      <c r="A1025" s="3">
        <v>39359</v>
      </c>
      <c r="B1025" s="4" t="s">
        <v>1037</v>
      </c>
      <c r="C1025" s="3" t="s">
        <v>6</v>
      </c>
      <c r="D1025" s="5">
        <f t="shared" si="30"/>
        <v>33.61</v>
      </c>
      <c r="E1025">
        <v>36.9</v>
      </c>
      <c r="F1025" s="1789">
        <v>8.8999999999999996E-2</v>
      </c>
      <c r="G1025">
        <f t="shared" si="31"/>
        <v>33.61</v>
      </c>
    </row>
    <row r="1026" spans="1:7" ht="12.75" customHeight="1">
      <c r="A1026" s="3">
        <v>39360</v>
      </c>
      <c r="B1026" s="4" t="s">
        <v>1038</v>
      </c>
      <c r="C1026" s="3" t="s">
        <v>6</v>
      </c>
      <c r="D1026" s="5">
        <f t="shared" si="30"/>
        <v>33.61</v>
      </c>
      <c r="E1026">
        <v>36.9</v>
      </c>
      <c r="F1026" s="1789">
        <v>8.8999999999999996E-2</v>
      </c>
      <c r="G1026">
        <f t="shared" si="31"/>
        <v>33.61</v>
      </c>
    </row>
    <row r="1027" spans="1:7" ht="12.75" customHeight="1">
      <c r="A1027" s="3">
        <v>10710</v>
      </c>
      <c r="B1027" s="4" t="s">
        <v>1039</v>
      </c>
      <c r="C1027" s="3" t="s">
        <v>409</v>
      </c>
      <c r="D1027" s="5">
        <f t="shared" ref="D1027:D1090" si="32">G1027</f>
        <v>150.33000000000001</v>
      </c>
      <c r="E1027">
        <v>165.02</v>
      </c>
      <c r="F1027" s="1789">
        <v>8.8999999999999996E-2</v>
      </c>
      <c r="G1027">
        <f t="shared" ref="G1027:G1090" si="33">TRUNC((1-F1027)*E1027,2)</f>
        <v>150.33000000000001</v>
      </c>
    </row>
    <row r="1028" spans="1:7" ht="12.75" customHeight="1">
      <c r="A1028" s="3">
        <v>10709</v>
      </c>
      <c r="B1028" s="4" t="s">
        <v>1040</v>
      </c>
      <c r="C1028" s="3" t="s">
        <v>409</v>
      </c>
      <c r="D1028" s="5">
        <f t="shared" si="32"/>
        <v>184.68</v>
      </c>
      <c r="E1028">
        <v>202.73</v>
      </c>
      <c r="F1028" s="1789">
        <v>8.8999999999999996E-2</v>
      </c>
      <c r="G1028">
        <f t="shared" si="33"/>
        <v>184.68</v>
      </c>
    </row>
    <row r="1029" spans="1:7" ht="12.75" customHeight="1">
      <c r="A1029" s="3">
        <v>39636</v>
      </c>
      <c r="B1029" s="4" t="s">
        <v>1041</v>
      </c>
      <c r="C1029" s="3" t="s">
        <v>409</v>
      </c>
      <c r="D1029" s="5">
        <f t="shared" si="32"/>
        <v>188.59</v>
      </c>
      <c r="E1029">
        <v>207.02</v>
      </c>
      <c r="F1029" s="1789">
        <v>8.8999999999999996E-2</v>
      </c>
      <c r="G1029">
        <f t="shared" si="33"/>
        <v>188.59</v>
      </c>
    </row>
    <row r="1030" spans="1:7" ht="12.75" customHeight="1">
      <c r="A1030" s="3">
        <v>10708</v>
      </c>
      <c r="B1030" s="4" t="s">
        <v>1042</v>
      </c>
      <c r="C1030" s="3" t="s">
        <v>409</v>
      </c>
      <c r="D1030" s="5">
        <f t="shared" si="32"/>
        <v>58.19</v>
      </c>
      <c r="E1030">
        <v>63.88</v>
      </c>
      <c r="F1030" s="1789">
        <v>8.8999999999999996E-2</v>
      </c>
      <c r="G1030">
        <f t="shared" si="33"/>
        <v>58.19</v>
      </c>
    </row>
    <row r="1031" spans="1:7" ht="12.75" customHeight="1">
      <c r="A1031" s="3">
        <v>39635</v>
      </c>
      <c r="B1031" s="4" t="s">
        <v>1043</v>
      </c>
      <c r="C1031" s="3" t="s">
        <v>409</v>
      </c>
      <c r="D1031" s="5">
        <f t="shared" si="32"/>
        <v>99.08</v>
      </c>
      <c r="E1031">
        <v>108.76</v>
      </c>
      <c r="F1031" s="1789">
        <v>8.8999999999999996E-2</v>
      </c>
      <c r="G1031">
        <f t="shared" si="33"/>
        <v>99.08</v>
      </c>
    </row>
    <row r="1032" spans="1:7" ht="12.75" customHeight="1">
      <c r="A1032" s="3">
        <v>6117</v>
      </c>
      <c r="B1032" s="4" t="s">
        <v>1044</v>
      </c>
      <c r="C1032" s="3" t="s">
        <v>154</v>
      </c>
      <c r="D1032" s="5">
        <f t="shared" si="32"/>
        <v>14.52</v>
      </c>
      <c r="E1032">
        <v>15.94</v>
      </c>
      <c r="F1032" s="1789">
        <v>8.8999999999999996E-2</v>
      </c>
      <c r="G1032">
        <f t="shared" si="33"/>
        <v>14.52</v>
      </c>
    </row>
    <row r="1033" spans="1:7" ht="12.75" customHeight="1">
      <c r="A1033" s="3">
        <v>40913</v>
      </c>
      <c r="B1033" s="4" t="s">
        <v>1045</v>
      </c>
      <c r="C1033" s="3" t="s">
        <v>156</v>
      </c>
      <c r="D1033" s="5">
        <f t="shared" si="32"/>
        <v>2557.11</v>
      </c>
      <c r="E1033">
        <v>2806.93</v>
      </c>
      <c r="F1033" s="1789">
        <v>8.8999999999999996E-2</v>
      </c>
      <c r="G1033">
        <f t="shared" si="33"/>
        <v>2557.11</v>
      </c>
    </row>
    <row r="1034" spans="1:7" ht="12.75" customHeight="1">
      <c r="A1034" s="3">
        <v>1214</v>
      </c>
      <c r="B1034" s="4" t="s">
        <v>1046</v>
      </c>
      <c r="C1034" s="3" t="s">
        <v>154</v>
      </c>
      <c r="D1034" s="5">
        <f t="shared" si="32"/>
        <v>16.97</v>
      </c>
      <c r="E1034">
        <v>18.63</v>
      </c>
      <c r="F1034" s="1789">
        <v>8.8999999999999996E-2</v>
      </c>
      <c r="G1034">
        <f t="shared" si="33"/>
        <v>16.97</v>
      </c>
    </row>
    <row r="1035" spans="1:7" ht="12.75" customHeight="1">
      <c r="A1035" s="3">
        <v>40915</v>
      </c>
      <c r="B1035" s="4" t="s">
        <v>1047</v>
      </c>
      <c r="C1035" s="3" t="s">
        <v>156</v>
      </c>
      <c r="D1035" s="5">
        <f t="shared" si="32"/>
        <v>2987.28</v>
      </c>
      <c r="E1035">
        <v>3279.13</v>
      </c>
      <c r="F1035" s="1789">
        <v>8.8999999999999996E-2</v>
      </c>
      <c r="G1035">
        <f t="shared" si="33"/>
        <v>2987.28</v>
      </c>
    </row>
    <row r="1036" spans="1:7" ht="12.75" customHeight="1">
      <c r="A1036" s="3">
        <v>40914</v>
      </c>
      <c r="B1036" s="4" t="s">
        <v>1048</v>
      </c>
      <c r="C1036" s="3" t="s">
        <v>156</v>
      </c>
      <c r="D1036" s="5">
        <f t="shared" si="32"/>
        <v>3172.4</v>
      </c>
      <c r="E1036">
        <v>3482.33</v>
      </c>
      <c r="F1036" s="1789">
        <v>8.8999999999999996E-2</v>
      </c>
      <c r="G1036">
        <f t="shared" si="33"/>
        <v>3172.4</v>
      </c>
    </row>
    <row r="1037" spans="1:7" ht="12.75" customHeight="1">
      <c r="A1037" s="3">
        <v>1213</v>
      </c>
      <c r="B1037" s="4" t="s">
        <v>1049</v>
      </c>
      <c r="C1037" s="3" t="s">
        <v>154</v>
      </c>
      <c r="D1037" s="5">
        <f t="shared" si="32"/>
        <v>18.02</v>
      </c>
      <c r="E1037">
        <v>19.79</v>
      </c>
      <c r="F1037" s="1789">
        <v>8.8999999999999996E-2</v>
      </c>
      <c r="G1037">
        <f t="shared" si="33"/>
        <v>18.02</v>
      </c>
    </row>
    <row r="1038" spans="1:7" ht="12.75" customHeight="1">
      <c r="A1038" s="3">
        <v>5091</v>
      </c>
      <c r="B1038" s="4" t="s">
        <v>1050</v>
      </c>
      <c r="C1038" s="3" t="s">
        <v>6</v>
      </c>
      <c r="D1038" s="5">
        <f t="shared" si="32"/>
        <v>21.07</v>
      </c>
      <c r="E1038">
        <v>23.13</v>
      </c>
      <c r="F1038" s="1789">
        <v>8.8999999999999996E-2</v>
      </c>
      <c r="G1038">
        <f t="shared" si="33"/>
        <v>21.07</v>
      </c>
    </row>
    <row r="1039" spans="1:7" ht="12.75" customHeight="1">
      <c r="A1039" s="3">
        <v>14615</v>
      </c>
      <c r="B1039" s="4" t="s">
        <v>1051</v>
      </c>
      <c r="C1039" s="3" t="s">
        <v>6</v>
      </c>
      <c r="D1039" s="5">
        <f t="shared" si="32"/>
        <v>3294.72</v>
      </c>
      <c r="E1039">
        <v>3616.6</v>
      </c>
      <c r="F1039" s="1789">
        <v>8.8999999999999996E-2</v>
      </c>
      <c r="G1039">
        <f t="shared" si="33"/>
        <v>3294.72</v>
      </c>
    </row>
    <row r="1040" spans="1:7" ht="12.75" customHeight="1">
      <c r="A1040" s="3">
        <v>2711</v>
      </c>
      <c r="B1040" s="4" t="s">
        <v>1052</v>
      </c>
      <c r="C1040" s="3" t="s">
        <v>6</v>
      </c>
      <c r="D1040" s="5">
        <f t="shared" si="32"/>
        <v>252.11</v>
      </c>
      <c r="E1040">
        <v>276.75</v>
      </c>
      <c r="F1040" s="1789">
        <v>8.8999999999999996E-2</v>
      </c>
      <c r="G1040">
        <f t="shared" si="33"/>
        <v>252.11</v>
      </c>
    </row>
    <row r="1041" spans="1:7" ht="12.75" customHeight="1">
      <c r="A1041" s="3">
        <v>37727</v>
      </c>
      <c r="B1041" s="4" t="s">
        <v>1053</v>
      </c>
      <c r="C1041" s="3" t="s">
        <v>6</v>
      </c>
      <c r="D1041" s="5">
        <f t="shared" si="32"/>
        <v>17084.2</v>
      </c>
      <c r="E1041">
        <v>18753.240000000002</v>
      </c>
      <c r="F1041" s="1789">
        <v>8.8999999999999996E-2</v>
      </c>
      <c r="G1041">
        <f t="shared" si="33"/>
        <v>17084.2</v>
      </c>
    </row>
    <row r="1042" spans="1:7" ht="12.75" customHeight="1">
      <c r="A1042" s="3">
        <v>37728</v>
      </c>
      <c r="B1042" s="4" t="s">
        <v>1054</v>
      </c>
      <c r="C1042" s="3" t="s">
        <v>6</v>
      </c>
      <c r="D1042" s="5">
        <f t="shared" si="32"/>
        <v>23177.16</v>
      </c>
      <c r="E1042">
        <v>25441.45</v>
      </c>
      <c r="F1042" s="1789">
        <v>8.8999999999999996E-2</v>
      </c>
      <c r="G1042">
        <f t="shared" si="33"/>
        <v>23177.16</v>
      </c>
    </row>
    <row r="1043" spans="1:7" ht="12.75" customHeight="1">
      <c r="A1043" s="3">
        <v>37729</v>
      </c>
      <c r="B1043" s="4" t="s">
        <v>1055</v>
      </c>
      <c r="C1043" s="3" t="s">
        <v>6</v>
      </c>
      <c r="D1043" s="5">
        <f t="shared" si="32"/>
        <v>25088.68</v>
      </c>
      <c r="E1043">
        <v>27539.72</v>
      </c>
      <c r="F1043" s="1789">
        <v>8.8999999999999996E-2</v>
      </c>
      <c r="G1043">
        <f t="shared" si="33"/>
        <v>25088.68</v>
      </c>
    </row>
    <row r="1044" spans="1:7" ht="12.75" customHeight="1">
      <c r="A1044" s="3">
        <v>37730</v>
      </c>
      <c r="B1044" s="4" t="s">
        <v>1056</v>
      </c>
      <c r="C1044" s="3" t="s">
        <v>6</v>
      </c>
      <c r="D1044" s="5">
        <f t="shared" si="32"/>
        <v>27000.19</v>
      </c>
      <c r="E1044">
        <v>29637.98</v>
      </c>
      <c r="F1044" s="1789">
        <v>8.8999999999999996E-2</v>
      </c>
      <c r="G1044">
        <f t="shared" si="33"/>
        <v>27000.19</v>
      </c>
    </row>
    <row r="1045" spans="1:7" ht="12.75" customHeight="1">
      <c r="A1045" s="3">
        <v>37731</v>
      </c>
      <c r="B1045" s="4" t="s">
        <v>1057</v>
      </c>
      <c r="C1045" s="3" t="s">
        <v>6</v>
      </c>
      <c r="D1045" s="5">
        <f t="shared" si="32"/>
        <v>28911.72</v>
      </c>
      <c r="E1045">
        <v>31736.25</v>
      </c>
      <c r="F1045" s="1789">
        <v>8.8999999999999996E-2</v>
      </c>
      <c r="G1045">
        <f t="shared" si="33"/>
        <v>28911.72</v>
      </c>
    </row>
    <row r="1046" spans="1:7" ht="12.75" customHeight="1">
      <c r="A1046" s="3">
        <v>37732</v>
      </c>
      <c r="B1046" s="4" t="s">
        <v>1058</v>
      </c>
      <c r="C1046" s="3" t="s">
        <v>6</v>
      </c>
      <c r="D1046" s="5">
        <f t="shared" si="32"/>
        <v>32973.69</v>
      </c>
      <c r="E1046">
        <v>36195.06</v>
      </c>
      <c r="F1046" s="1789">
        <v>8.8999999999999996E-2</v>
      </c>
      <c r="G1046">
        <f t="shared" si="33"/>
        <v>32973.69</v>
      </c>
    </row>
    <row r="1047" spans="1:7" ht="12.75" customHeight="1">
      <c r="A1047" s="3">
        <v>36496</v>
      </c>
      <c r="B1047" s="4" t="s">
        <v>1059</v>
      </c>
      <c r="C1047" s="3" t="s">
        <v>6</v>
      </c>
      <c r="D1047" s="5">
        <f t="shared" si="32"/>
        <v>8365.23</v>
      </c>
      <c r="E1047">
        <v>9182.4699999999993</v>
      </c>
      <c r="F1047" s="1789">
        <v>8.8999999999999996E-2</v>
      </c>
      <c r="G1047">
        <f t="shared" si="33"/>
        <v>8365.23</v>
      </c>
    </row>
    <row r="1048" spans="1:7" ht="12.75" customHeight="1">
      <c r="A1048" s="3">
        <v>10630</v>
      </c>
      <c r="B1048" s="4" t="s">
        <v>1060</v>
      </c>
      <c r="C1048" s="3" t="s">
        <v>6</v>
      </c>
      <c r="D1048" s="5">
        <f t="shared" si="32"/>
        <v>786919.23</v>
      </c>
      <c r="E1048">
        <v>863797.18</v>
      </c>
      <c r="F1048" s="1789">
        <v>8.8999999999999996E-2</v>
      </c>
      <c r="G1048">
        <f t="shared" si="33"/>
        <v>786919.23</v>
      </c>
    </row>
    <row r="1049" spans="1:7" ht="12.75" customHeight="1">
      <c r="A1049" s="3">
        <v>37762</v>
      </c>
      <c r="B1049" s="4" t="s">
        <v>1061</v>
      </c>
      <c r="C1049" s="3" t="s">
        <v>6</v>
      </c>
      <c r="D1049" s="5">
        <f t="shared" si="32"/>
        <v>674892.67</v>
      </c>
      <c r="E1049">
        <v>740826.21</v>
      </c>
      <c r="F1049" s="1789">
        <v>8.8999999999999996E-2</v>
      </c>
      <c r="G1049">
        <f t="shared" si="33"/>
        <v>674892.67</v>
      </c>
    </row>
    <row r="1050" spans="1:7" ht="12.75" customHeight="1">
      <c r="A1050" s="3">
        <v>37763</v>
      </c>
      <c r="B1050" s="4" t="s">
        <v>1062</v>
      </c>
      <c r="C1050" s="3" t="s">
        <v>6</v>
      </c>
      <c r="D1050" s="5">
        <f t="shared" si="32"/>
        <v>683089.63</v>
      </c>
      <c r="E1050">
        <v>749823.97</v>
      </c>
      <c r="F1050" s="1789">
        <v>8.8999999999999996E-2</v>
      </c>
      <c r="G1050">
        <f t="shared" si="33"/>
        <v>683089.63</v>
      </c>
    </row>
    <row r="1051" spans="1:7" ht="12.75" customHeight="1">
      <c r="A1051" s="3">
        <v>41992</v>
      </c>
      <c r="B1051" s="4" t="s">
        <v>1063</v>
      </c>
      <c r="C1051" s="3" t="s">
        <v>6</v>
      </c>
      <c r="D1051" s="5">
        <f t="shared" si="32"/>
        <v>776536.4</v>
      </c>
      <c r="E1051">
        <v>852400</v>
      </c>
      <c r="F1051" s="1789">
        <v>8.8999999999999996E-2</v>
      </c>
      <c r="G1051">
        <f t="shared" si="33"/>
        <v>776536.4</v>
      </c>
    </row>
    <row r="1052" spans="1:7" ht="12.75" customHeight="1">
      <c r="A1052" s="3">
        <v>13215</v>
      </c>
      <c r="B1052" s="4" t="s">
        <v>1064</v>
      </c>
      <c r="C1052" s="3" t="s">
        <v>6</v>
      </c>
      <c r="D1052" s="5">
        <f t="shared" si="32"/>
        <v>952226.97</v>
      </c>
      <c r="E1052">
        <v>1045254.64</v>
      </c>
      <c r="F1052" s="1789">
        <v>8.8999999999999996E-2</v>
      </c>
      <c r="G1052">
        <f t="shared" si="33"/>
        <v>952226.97</v>
      </c>
    </row>
    <row r="1053" spans="1:7" ht="12.75" customHeight="1">
      <c r="A1053" s="3">
        <v>4235</v>
      </c>
      <c r="B1053" s="4" t="s">
        <v>1065</v>
      </c>
      <c r="C1053" s="3" t="s">
        <v>154</v>
      </c>
      <c r="D1053" s="5">
        <f t="shared" si="32"/>
        <v>15.29</v>
      </c>
      <c r="E1053">
        <v>16.79</v>
      </c>
      <c r="F1053" s="1789">
        <v>8.8999999999999996E-2</v>
      </c>
      <c r="G1053">
        <f t="shared" si="33"/>
        <v>15.29</v>
      </c>
    </row>
    <row r="1054" spans="1:7" ht="12.75" customHeight="1">
      <c r="A1054" s="3">
        <v>40976</v>
      </c>
      <c r="B1054" s="4" t="s">
        <v>1066</v>
      </c>
      <c r="C1054" s="3" t="s">
        <v>156</v>
      </c>
      <c r="D1054" s="5">
        <f t="shared" si="32"/>
        <v>2694.83</v>
      </c>
      <c r="E1054">
        <v>2958.11</v>
      </c>
      <c r="F1054" s="1789">
        <v>8.8999999999999996E-2</v>
      </c>
      <c r="G1054">
        <f t="shared" si="33"/>
        <v>2694.83</v>
      </c>
    </row>
    <row r="1055" spans="1:7" ht="12.75" customHeight="1">
      <c r="A1055" s="3">
        <v>43091</v>
      </c>
      <c r="B1055" s="4" t="s">
        <v>1067</v>
      </c>
      <c r="C1055" s="3" t="s">
        <v>6</v>
      </c>
      <c r="D1055" s="5">
        <f t="shared" si="32"/>
        <v>6710.58</v>
      </c>
      <c r="E1055">
        <v>7366.17</v>
      </c>
      <c r="F1055" s="1789">
        <v>8.8999999999999996E-2</v>
      </c>
      <c r="G1055">
        <f t="shared" si="33"/>
        <v>6710.58</v>
      </c>
    </row>
    <row r="1056" spans="1:7" ht="12.75" customHeight="1">
      <c r="A1056" s="3">
        <v>43092</v>
      </c>
      <c r="B1056" s="4" t="s">
        <v>1068</v>
      </c>
      <c r="C1056" s="3" t="s">
        <v>6</v>
      </c>
      <c r="D1056" s="5">
        <f t="shared" si="32"/>
        <v>8947.44</v>
      </c>
      <c r="E1056">
        <v>9821.56</v>
      </c>
      <c r="F1056" s="1789">
        <v>8.8999999999999996E-2</v>
      </c>
      <c r="G1056">
        <f t="shared" si="33"/>
        <v>8947.44</v>
      </c>
    </row>
    <row r="1057" spans="1:7" ht="12.75" customHeight="1">
      <c r="A1057" s="3">
        <v>43089</v>
      </c>
      <c r="B1057" s="4" t="s">
        <v>1069</v>
      </c>
      <c r="C1057" s="3" t="s">
        <v>6</v>
      </c>
      <c r="D1057" s="5">
        <f t="shared" si="32"/>
        <v>1559.34</v>
      </c>
      <c r="E1057">
        <v>1711.69</v>
      </c>
      <c r="F1057" s="1789">
        <v>8.8999999999999996E-2</v>
      </c>
      <c r="G1057">
        <f t="shared" si="33"/>
        <v>1559.34</v>
      </c>
    </row>
    <row r="1058" spans="1:7" ht="12.75" customHeight="1">
      <c r="A1058" s="3">
        <v>43090</v>
      </c>
      <c r="B1058" s="4" t="s">
        <v>1070</v>
      </c>
      <c r="C1058" s="3" t="s">
        <v>6</v>
      </c>
      <c r="D1058" s="5">
        <f t="shared" si="32"/>
        <v>3441.32</v>
      </c>
      <c r="E1058">
        <v>3777.52</v>
      </c>
      <c r="F1058" s="1789">
        <v>8.8999999999999996E-2</v>
      </c>
      <c r="G1058">
        <f t="shared" si="33"/>
        <v>3441.32</v>
      </c>
    </row>
    <row r="1059" spans="1:7" ht="12.75" customHeight="1">
      <c r="A1059" s="3">
        <v>41967</v>
      </c>
      <c r="B1059" s="4" t="s">
        <v>1071</v>
      </c>
      <c r="C1059" s="3" t="s">
        <v>56</v>
      </c>
      <c r="D1059" s="5">
        <f t="shared" si="32"/>
        <v>19.25</v>
      </c>
      <c r="E1059">
        <v>21.14</v>
      </c>
      <c r="F1059" s="1789">
        <v>8.8999999999999996E-2</v>
      </c>
      <c r="G1059">
        <f t="shared" si="33"/>
        <v>19.25</v>
      </c>
    </row>
    <row r="1060" spans="1:7" ht="12.75" customHeight="1">
      <c r="A1060" s="3">
        <v>12760</v>
      </c>
      <c r="B1060" s="4" t="s">
        <v>1072</v>
      </c>
      <c r="C1060" s="3" t="s">
        <v>409</v>
      </c>
      <c r="D1060" s="5">
        <f t="shared" si="32"/>
        <v>1323.82</v>
      </c>
      <c r="E1060">
        <v>1453.16</v>
      </c>
      <c r="F1060" s="1789">
        <v>8.8999999999999996E-2</v>
      </c>
      <c r="G1060">
        <f t="shared" si="33"/>
        <v>1323.82</v>
      </c>
    </row>
    <row r="1061" spans="1:7" ht="12.75" customHeight="1">
      <c r="A1061" s="3">
        <v>12759</v>
      </c>
      <c r="B1061" s="4" t="s">
        <v>1073</v>
      </c>
      <c r="C1061" s="3" t="s">
        <v>409</v>
      </c>
      <c r="D1061" s="5">
        <f t="shared" si="32"/>
        <v>882.54</v>
      </c>
      <c r="E1061">
        <v>968.76</v>
      </c>
      <c r="F1061" s="1789">
        <v>8.8999999999999996E-2</v>
      </c>
      <c r="G1061">
        <f t="shared" si="33"/>
        <v>882.54</v>
      </c>
    </row>
    <row r="1062" spans="1:7" ht="12.75" customHeight="1">
      <c r="A1062" s="3">
        <v>43105</v>
      </c>
      <c r="B1062" s="4" t="s">
        <v>1074</v>
      </c>
      <c r="C1062" s="3" t="s">
        <v>54</v>
      </c>
      <c r="D1062" s="5">
        <f t="shared" si="32"/>
        <v>42.97</v>
      </c>
      <c r="E1062">
        <v>47.17</v>
      </c>
      <c r="F1062" s="1789">
        <v>8.8999999999999996E-2</v>
      </c>
      <c r="G1062">
        <f t="shared" si="33"/>
        <v>42.97</v>
      </c>
    </row>
    <row r="1063" spans="1:7" ht="12.75" customHeight="1">
      <c r="A1063" s="3">
        <v>40424</v>
      </c>
      <c r="B1063" s="4" t="s">
        <v>1075</v>
      </c>
      <c r="C1063" s="3" t="s">
        <v>54</v>
      </c>
      <c r="D1063" s="5">
        <f t="shared" si="32"/>
        <v>10.91</v>
      </c>
      <c r="E1063">
        <v>11.98</v>
      </c>
      <c r="F1063" s="1789">
        <v>8.8999999999999996E-2</v>
      </c>
      <c r="G1063">
        <f t="shared" si="33"/>
        <v>10.91</v>
      </c>
    </row>
    <row r="1064" spans="1:7" ht="12.75" customHeight="1">
      <c r="A1064" s="3">
        <v>1325</v>
      </c>
      <c r="B1064" s="4" t="s">
        <v>1076</v>
      </c>
      <c r="C1064" s="3" t="s">
        <v>54</v>
      </c>
      <c r="D1064" s="5">
        <f t="shared" si="32"/>
        <v>11.95</v>
      </c>
      <c r="E1064">
        <v>13.12</v>
      </c>
      <c r="F1064" s="1789">
        <v>8.8999999999999996E-2</v>
      </c>
      <c r="G1064">
        <f t="shared" si="33"/>
        <v>11.95</v>
      </c>
    </row>
    <row r="1065" spans="1:7" ht="12.75" customHeight="1">
      <c r="A1065" s="3">
        <v>1327</v>
      </c>
      <c r="B1065" s="4" t="s">
        <v>1077</v>
      </c>
      <c r="C1065" s="3" t="s">
        <v>54</v>
      </c>
      <c r="D1065" s="5">
        <f t="shared" si="32"/>
        <v>12.73</v>
      </c>
      <c r="E1065">
        <v>13.98</v>
      </c>
      <c r="F1065" s="1789">
        <v>8.8999999999999996E-2</v>
      </c>
      <c r="G1065">
        <f t="shared" si="33"/>
        <v>12.73</v>
      </c>
    </row>
    <row r="1066" spans="1:7" ht="12.75" customHeight="1">
      <c r="A1066" s="3">
        <v>1328</v>
      </c>
      <c r="B1066" s="4" t="s">
        <v>1078</v>
      </c>
      <c r="C1066" s="3" t="s">
        <v>54</v>
      </c>
      <c r="D1066" s="5">
        <f t="shared" si="32"/>
        <v>11.98</v>
      </c>
      <c r="E1066">
        <v>13.16</v>
      </c>
      <c r="F1066" s="1789">
        <v>8.8999999999999996E-2</v>
      </c>
      <c r="G1066">
        <f t="shared" si="33"/>
        <v>11.98</v>
      </c>
    </row>
    <row r="1067" spans="1:7" ht="12.75" customHeight="1">
      <c r="A1067" s="3">
        <v>1321</v>
      </c>
      <c r="B1067" s="4" t="s">
        <v>1079</v>
      </c>
      <c r="C1067" s="3" t="s">
        <v>54</v>
      </c>
      <c r="D1067" s="5">
        <f t="shared" si="32"/>
        <v>11.09</v>
      </c>
      <c r="E1067">
        <v>12.18</v>
      </c>
      <c r="F1067" s="1789">
        <v>8.8999999999999996E-2</v>
      </c>
      <c r="G1067">
        <f t="shared" si="33"/>
        <v>11.09</v>
      </c>
    </row>
    <row r="1068" spans="1:7" ht="12.75" customHeight="1">
      <c r="A1068" s="3">
        <v>1318</v>
      </c>
      <c r="B1068" s="4" t="s">
        <v>1080</v>
      </c>
      <c r="C1068" s="3" t="s">
        <v>54</v>
      </c>
      <c r="D1068" s="5">
        <f t="shared" si="32"/>
        <v>11.1</v>
      </c>
      <c r="E1068">
        <v>12.19</v>
      </c>
      <c r="F1068" s="1789">
        <v>8.8999999999999996E-2</v>
      </c>
      <c r="G1068">
        <f t="shared" si="33"/>
        <v>11.1</v>
      </c>
    </row>
    <row r="1069" spans="1:7" ht="12.75" customHeight="1">
      <c r="A1069" s="3">
        <v>1322</v>
      </c>
      <c r="B1069" s="4" t="s">
        <v>1081</v>
      </c>
      <c r="C1069" s="3" t="s">
        <v>54</v>
      </c>
      <c r="D1069" s="5">
        <f t="shared" si="32"/>
        <v>11.73</v>
      </c>
      <c r="E1069">
        <v>12.88</v>
      </c>
      <c r="F1069" s="1789">
        <v>8.8999999999999996E-2</v>
      </c>
      <c r="G1069">
        <f t="shared" si="33"/>
        <v>11.73</v>
      </c>
    </row>
    <row r="1070" spans="1:7" ht="12.75" customHeight="1">
      <c r="A1070" s="3">
        <v>1323</v>
      </c>
      <c r="B1070" s="4" t="s">
        <v>1082</v>
      </c>
      <c r="C1070" s="3" t="s">
        <v>54</v>
      </c>
      <c r="D1070" s="5">
        <f t="shared" si="32"/>
        <v>11.73</v>
      </c>
      <c r="E1070">
        <v>12.88</v>
      </c>
      <c r="F1070" s="1789">
        <v>8.8999999999999996E-2</v>
      </c>
      <c r="G1070">
        <f t="shared" si="33"/>
        <v>11.73</v>
      </c>
    </row>
    <row r="1071" spans="1:7" ht="12.75" customHeight="1">
      <c r="A1071" s="3">
        <v>1319</v>
      </c>
      <c r="B1071" s="4" t="s">
        <v>1083</v>
      </c>
      <c r="C1071" s="3" t="s">
        <v>54</v>
      </c>
      <c r="D1071" s="5">
        <f t="shared" si="32"/>
        <v>9.8800000000000008</v>
      </c>
      <c r="E1071">
        <v>10.85</v>
      </c>
      <c r="F1071" s="1789">
        <v>8.8999999999999996E-2</v>
      </c>
      <c r="G1071">
        <f t="shared" si="33"/>
        <v>9.8800000000000008</v>
      </c>
    </row>
    <row r="1072" spans="1:7" ht="12.75" customHeight="1">
      <c r="A1072" s="3">
        <v>11026</v>
      </c>
      <c r="B1072" s="4" t="s">
        <v>1084</v>
      </c>
      <c r="C1072" s="3" t="s">
        <v>54</v>
      </c>
      <c r="D1072" s="5">
        <f t="shared" si="32"/>
        <v>13.6</v>
      </c>
      <c r="E1072">
        <v>14.93</v>
      </c>
      <c r="F1072" s="1789">
        <v>8.8999999999999996E-2</v>
      </c>
      <c r="G1072">
        <f t="shared" si="33"/>
        <v>13.6</v>
      </c>
    </row>
    <row r="1073" spans="1:7" ht="12.75" customHeight="1">
      <c r="A1073" s="3">
        <v>11027</v>
      </c>
      <c r="B1073" s="4" t="s">
        <v>1085</v>
      </c>
      <c r="C1073" s="3" t="s">
        <v>54</v>
      </c>
      <c r="D1073" s="5">
        <f t="shared" si="32"/>
        <v>14.15</v>
      </c>
      <c r="E1073">
        <v>15.54</v>
      </c>
      <c r="F1073" s="1789">
        <v>8.8999999999999996E-2</v>
      </c>
      <c r="G1073">
        <f t="shared" si="33"/>
        <v>14.15</v>
      </c>
    </row>
    <row r="1074" spans="1:7" ht="12.75" customHeight="1">
      <c r="A1074" s="3">
        <v>11046</v>
      </c>
      <c r="B1074" s="4" t="s">
        <v>1086</v>
      </c>
      <c r="C1074" s="3" t="s">
        <v>54</v>
      </c>
      <c r="D1074" s="5">
        <f t="shared" si="32"/>
        <v>13.55</v>
      </c>
      <c r="E1074">
        <v>14.88</v>
      </c>
      <c r="F1074" s="1789">
        <v>8.8999999999999996E-2</v>
      </c>
      <c r="G1074">
        <f t="shared" si="33"/>
        <v>13.55</v>
      </c>
    </row>
    <row r="1075" spans="1:7" ht="12.75" customHeight="1">
      <c r="A1075" s="3">
        <v>11047</v>
      </c>
      <c r="B1075" s="4" t="s">
        <v>1087</v>
      </c>
      <c r="C1075" s="3" t="s">
        <v>54</v>
      </c>
      <c r="D1075" s="5">
        <f t="shared" si="32"/>
        <v>14.78</v>
      </c>
      <c r="E1075">
        <v>16.23</v>
      </c>
      <c r="F1075" s="1789">
        <v>8.8999999999999996E-2</v>
      </c>
      <c r="G1075">
        <f t="shared" si="33"/>
        <v>14.78</v>
      </c>
    </row>
    <row r="1076" spans="1:7" ht="12.75" customHeight="1">
      <c r="A1076" s="3">
        <v>43668</v>
      </c>
      <c r="B1076" s="4" t="s">
        <v>1088</v>
      </c>
      <c r="C1076" s="3" t="s">
        <v>54</v>
      </c>
      <c r="D1076" s="5">
        <f t="shared" si="32"/>
        <v>13.04</v>
      </c>
      <c r="E1076">
        <v>14.32</v>
      </c>
      <c r="F1076" s="1789">
        <v>8.8999999999999996E-2</v>
      </c>
      <c r="G1076">
        <f t="shared" si="33"/>
        <v>13.04</v>
      </c>
    </row>
    <row r="1077" spans="1:7" ht="12.75" customHeight="1">
      <c r="A1077" s="3">
        <v>11049</v>
      </c>
      <c r="B1077" s="4" t="s">
        <v>1089</v>
      </c>
      <c r="C1077" s="3" t="s">
        <v>54</v>
      </c>
      <c r="D1077" s="5">
        <f t="shared" si="32"/>
        <v>14.12</v>
      </c>
      <c r="E1077">
        <v>15.51</v>
      </c>
      <c r="F1077" s="1789">
        <v>8.8999999999999996E-2</v>
      </c>
      <c r="G1077">
        <f t="shared" si="33"/>
        <v>14.12</v>
      </c>
    </row>
    <row r="1078" spans="1:7" ht="12.75" customHeight="1">
      <c r="A1078" s="3">
        <v>43106</v>
      </c>
      <c r="B1078" s="4" t="s">
        <v>1090</v>
      </c>
      <c r="C1078" s="3" t="s">
        <v>54</v>
      </c>
      <c r="D1078" s="5">
        <f t="shared" si="32"/>
        <v>14.21</v>
      </c>
      <c r="E1078">
        <v>15.6</v>
      </c>
      <c r="F1078" s="1789">
        <v>8.8999999999999996E-2</v>
      </c>
      <c r="G1078">
        <f t="shared" si="33"/>
        <v>14.21</v>
      </c>
    </row>
    <row r="1079" spans="1:7" ht="12.75" customHeight="1">
      <c r="A1079" s="3">
        <v>11051</v>
      </c>
      <c r="B1079" s="4" t="s">
        <v>1091</v>
      </c>
      <c r="C1079" s="3" t="s">
        <v>54</v>
      </c>
      <c r="D1079" s="5">
        <f t="shared" si="32"/>
        <v>14.83</v>
      </c>
      <c r="E1079">
        <v>16.28</v>
      </c>
      <c r="F1079" s="1789">
        <v>8.8999999999999996E-2</v>
      </c>
      <c r="G1079">
        <f t="shared" si="33"/>
        <v>14.83</v>
      </c>
    </row>
    <row r="1080" spans="1:7" ht="12.75" customHeight="1">
      <c r="A1080" s="3">
        <v>11061</v>
      </c>
      <c r="B1080" s="4" t="s">
        <v>1092</v>
      </c>
      <c r="C1080" s="3" t="s">
        <v>54</v>
      </c>
      <c r="D1080" s="5">
        <f t="shared" si="32"/>
        <v>17.8</v>
      </c>
      <c r="E1080">
        <v>19.54</v>
      </c>
      <c r="F1080" s="1789">
        <v>8.8999999999999996E-2</v>
      </c>
      <c r="G1080">
        <f t="shared" si="33"/>
        <v>17.8</v>
      </c>
    </row>
    <row r="1081" spans="1:7" ht="12.75" customHeight="1">
      <c r="A1081" s="3">
        <v>1333</v>
      </c>
      <c r="B1081" s="4" t="s">
        <v>1093</v>
      </c>
      <c r="C1081" s="3" t="s">
        <v>54</v>
      </c>
      <c r="D1081" s="5">
        <f t="shared" si="32"/>
        <v>10.77</v>
      </c>
      <c r="E1081">
        <v>11.83</v>
      </c>
      <c r="F1081" s="1789">
        <v>8.8999999999999996E-2</v>
      </c>
      <c r="G1081">
        <f t="shared" si="33"/>
        <v>10.77</v>
      </c>
    </row>
    <row r="1082" spans="1:7" ht="12.75" customHeight="1">
      <c r="A1082" s="3">
        <v>1330</v>
      </c>
      <c r="B1082" s="4" t="s">
        <v>1094</v>
      </c>
      <c r="C1082" s="3" t="s">
        <v>54</v>
      </c>
      <c r="D1082" s="5">
        <f t="shared" si="32"/>
        <v>10.67</v>
      </c>
      <c r="E1082">
        <v>11.72</v>
      </c>
      <c r="F1082" s="1789">
        <v>8.8999999999999996E-2</v>
      </c>
      <c r="G1082">
        <f t="shared" si="33"/>
        <v>10.67</v>
      </c>
    </row>
    <row r="1083" spans="1:7" ht="12.75" customHeight="1">
      <c r="A1083" s="3">
        <v>43667</v>
      </c>
      <c r="B1083" s="4" t="s">
        <v>1095</v>
      </c>
      <c r="C1083" s="3" t="s">
        <v>54</v>
      </c>
      <c r="D1083" s="5">
        <f t="shared" si="32"/>
        <v>12.93</v>
      </c>
      <c r="E1083">
        <v>14.2</v>
      </c>
      <c r="F1083" s="1789">
        <v>8.8999999999999996E-2</v>
      </c>
      <c r="G1083">
        <f t="shared" si="33"/>
        <v>12.93</v>
      </c>
    </row>
    <row r="1084" spans="1:7" ht="12.75" customHeight="1">
      <c r="A1084" s="3">
        <v>10957</v>
      </c>
      <c r="B1084" s="4" t="s">
        <v>1096</v>
      </c>
      <c r="C1084" s="3" t="s">
        <v>54</v>
      </c>
      <c r="D1084" s="5">
        <f t="shared" si="32"/>
        <v>12.3</v>
      </c>
      <c r="E1084">
        <v>13.51</v>
      </c>
      <c r="F1084" s="1789">
        <v>8.8999999999999996E-2</v>
      </c>
      <c r="G1084">
        <f t="shared" si="33"/>
        <v>12.3</v>
      </c>
    </row>
    <row r="1085" spans="1:7" ht="12.75" customHeight="1">
      <c r="A1085" s="3">
        <v>1332</v>
      </c>
      <c r="B1085" s="4" t="s">
        <v>1097</v>
      </c>
      <c r="C1085" s="3" t="s">
        <v>54</v>
      </c>
      <c r="D1085" s="5">
        <f t="shared" si="32"/>
        <v>10.95</v>
      </c>
      <c r="E1085">
        <v>12.02</v>
      </c>
      <c r="F1085" s="1789">
        <v>8.8999999999999996E-2</v>
      </c>
      <c r="G1085">
        <f t="shared" si="33"/>
        <v>10.95</v>
      </c>
    </row>
    <row r="1086" spans="1:7" ht="12.75" customHeight="1">
      <c r="A1086" s="3">
        <v>1334</v>
      </c>
      <c r="B1086" s="4" t="s">
        <v>1098</v>
      </c>
      <c r="C1086" s="3" t="s">
        <v>54</v>
      </c>
      <c r="D1086" s="5">
        <f t="shared" si="32"/>
        <v>12.13</v>
      </c>
      <c r="E1086">
        <v>13.32</v>
      </c>
      <c r="F1086" s="1789">
        <v>8.8999999999999996E-2</v>
      </c>
      <c r="G1086">
        <f t="shared" si="33"/>
        <v>12.13</v>
      </c>
    </row>
    <row r="1087" spans="1:7" ht="12.75" customHeight="1">
      <c r="A1087" s="3">
        <v>1335</v>
      </c>
      <c r="B1087" s="4" t="s">
        <v>1099</v>
      </c>
      <c r="C1087" s="3" t="s">
        <v>54</v>
      </c>
      <c r="D1087" s="5">
        <f t="shared" si="32"/>
        <v>12.54</v>
      </c>
      <c r="E1087">
        <v>13.77</v>
      </c>
      <c r="F1087" s="1789">
        <v>8.8999999999999996E-2</v>
      </c>
      <c r="G1087">
        <f t="shared" si="33"/>
        <v>12.54</v>
      </c>
    </row>
    <row r="1088" spans="1:7" ht="12.75" customHeight="1">
      <c r="A1088" s="3">
        <v>40425</v>
      </c>
      <c r="B1088" s="4" t="s">
        <v>1100</v>
      </c>
      <c r="C1088" s="3" t="s">
        <v>54</v>
      </c>
      <c r="D1088" s="5">
        <f t="shared" si="32"/>
        <v>10.73</v>
      </c>
      <c r="E1088">
        <v>11.78</v>
      </c>
      <c r="F1088" s="1789">
        <v>8.8999999999999996E-2</v>
      </c>
      <c r="G1088">
        <f t="shared" si="33"/>
        <v>10.73</v>
      </c>
    </row>
    <row r="1089" spans="1:7" ht="12.75" customHeight="1">
      <c r="A1089" s="3">
        <v>1337</v>
      </c>
      <c r="B1089" s="4" t="s">
        <v>1101</v>
      </c>
      <c r="C1089" s="3" t="s">
        <v>54</v>
      </c>
      <c r="D1089" s="5">
        <f t="shared" si="32"/>
        <v>12.3</v>
      </c>
      <c r="E1089">
        <v>13.51</v>
      </c>
      <c r="F1089" s="1789">
        <v>8.8999999999999996E-2</v>
      </c>
      <c r="G1089">
        <f t="shared" si="33"/>
        <v>12.3</v>
      </c>
    </row>
    <row r="1090" spans="1:7" ht="12.75" customHeight="1">
      <c r="A1090" s="3">
        <v>1338</v>
      </c>
      <c r="B1090" s="4" t="s">
        <v>1102</v>
      </c>
      <c r="C1090" s="3" t="s">
        <v>409</v>
      </c>
      <c r="D1090" s="5">
        <f t="shared" si="32"/>
        <v>65.510000000000005</v>
      </c>
      <c r="E1090">
        <v>71.92</v>
      </c>
      <c r="F1090" s="1789">
        <v>8.8999999999999996E-2</v>
      </c>
      <c r="G1090">
        <f t="shared" si="33"/>
        <v>65.510000000000005</v>
      </c>
    </row>
    <row r="1091" spans="1:7" ht="12.75" customHeight="1">
      <c r="A1091" s="3">
        <v>1340</v>
      </c>
      <c r="B1091" s="4" t="s">
        <v>1103</v>
      </c>
      <c r="C1091" s="3" t="s">
        <v>409</v>
      </c>
      <c r="D1091" s="5">
        <f t="shared" ref="D1091:D1154" si="34">G1091</f>
        <v>75.739999999999995</v>
      </c>
      <c r="E1091">
        <v>83.15</v>
      </c>
      <c r="F1091" s="1789">
        <v>8.8999999999999996E-2</v>
      </c>
      <c r="G1091">
        <f t="shared" ref="G1091:G1154" si="35">TRUNC((1-F1091)*E1091,2)</f>
        <v>75.739999999999995</v>
      </c>
    </row>
    <row r="1092" spans="1:7" ht="12.75" customHeight="1">
      <c r="A1092" s="3">
        <v>1341</v>
      </c>
      <c r="B1092" s="4" t="s">
        <v>1104</v>
      </c>
      <c r="C1092" s="3" t="s">
        <v>409</v>
      </c>
      <c r="D1092" s="5">
        <f t="shared" si="34"/>
        <v>72.95</v>
      </c>
      <c r="E1092">
        <v>80.08</v>
      </c>
      <c r="F1092" s="1789">
        <v>8.8999999999999996E-2</v>
      </c>
      <c r="G1092">
        <f t="shared" si="35"/>
        <v>72.95</v>
      </c>
    </row>
    <row r="1093" spans="1:7" ht="12.75" customHeight="1">
      <c r="A1093" s="3">
        <v>34659</v>
      </c>
      <c r="B1093" s="4" t="s">
        <v>1105</v>
      </c>
      <c r="C1093" s="3" t="s">
        <v>409</v>
      </c>
      <c r="D1093" s="5">
        <f t="shared" si="34"/>
        <v>36.76</v>
      </c>
      <c r="E1093">
        <v>40.36</v>
      </c>
      <c r="F1093" s="1789">
        <v>8.8999999999999996E-2</v>
      </c>
      <c r="G1093">
        <f t="shared" si="35"/>
        <v>36.76</v>
      </c>
    </row>
    <row r="1094" spans="1:7" ht="12.75" customHeight="1">
      <c r="A1094" s="3">
        <v>34514</v>
      </c>
      <c r="B1094" s="4" t="s">
        <v>1106</v>
      </c>
      <c r="C1094" s="3" t="s">
        <v>409</v>
      </c>
      <c r="D1094" s="5">
        <f t="shared" si="34"/>
        <v>40.729999999999997</v>
      </c>
      <c r="E1094">
        <v>44.71</v>
      </c>
      <c r="F1094" s="1789">
        <v>8.8999999999999996E-2</v>
      </c>
      <c r="G1094">
        <f t="shared" si="35"/>
        <v>40.729999999999997</v>
      </c>
    </row>
    <row r="1095" spans="1:7" ht="12.75" customHeight="1">
      <c r="A1095" s="3">
        <v>34660</v>
      </c>
      <c r="B1095" s="4" t="s">
        <v>1107</v>
      </c>
      <c r="C1095" s="3" t="s">
        <v>409</v>
      </c>
      <c r="D1095" s="5">
        <f t="shared" si="34"/>
        <v>51.69</v>
      </c>
      <c r="E1095">
        <v>56.74</v>
      </c>
      <c r="F1095" s="1789">
        <v>8.8999999999999996E-2</v>
      </c>
      <c r="G1095">
        <f t="shared" si="35"/>
        <v>51.69</v>
      </c>
    </row>
    <row r="1096" spans="1:7" ht="12.75" customHeight="1">
      <c r="A1096" s="3">
        <v>34661</v>
      </c>
      <c r="B1096" s="4" t="s">
        <v>1108</v>
      </c>
      <c r="C1096" s="3" t="s">
        <v>409</v>
      </c>
      <c r="D1096" s="5">
        <f t="shared" si="34"/>
        <v>74.23</v>
      </c>
      <c r="E1096">
        <v>81.489999999999995</v>
      </c>
      <c r="F1096" s="1789">
        <v>8.8999999999999996E-2</v>
      </c>
      <c r="G1096">
        <f t="shared" si="35"/>
        <v>74.23</v>
      </c>
    </row>
    <row r="1097" spans="1:7" ht="12.75" customHeight="1">
      <c r="A1097" s="3">
        <v>34667</v>
      </c>
      <c r="B1097" s="4" t="s">
        <v>1109</v>
      </c>
      <c r="C1097" s="3" t="s">
        <v>409</v>
      </c>
      <c r="D1097" s="5">
        <f t="shared" si="34"/>
        <v>26.88</v>
      </c>
      <c r="E1097">
        <v>29.51</v>
      </c>
      <c r="F1097" s="1789">
        <v>8.8999999999999996E-2</v>
      </c>
      <c r="G1097">
        <f t="shared" si="35"/>
        <v>26.88</v>
      </c>
    </row>
    <row r="1098" spans="1:7" ht="12.75" customHeight="1">
      <c r="A1098" s="3">
        <v>34668</v>
      </c>
      <c r="B1098" s="4" t="s">
        <v>1110</v>
      </c>
      <c r="C1098" s="3" t="s">
        <v>409</v>
      </c>
      <c r="D1098" s="5">
        <f t="shared" si="34"/>
        <v>35.119999999999997</v>
      </c>
      <c r="E1098">
        <v>38.56</v>
      </c>
      <c r="F1098" s="1789">
        <v>8.8999999999999996E-2</v>
      </c>
      <c r="G1098">
        <f t="shared" si="35"/>
        <v>35.119999999999997</v>
      </c>
    </row>
    <row r="1099" spans="1:7" ht="12.75" customHeight="1">
      <c r="A1099" s="3">
        <v>34741</v>
      </c>
      <c r="B1099" s="4" t="s">
        <v>1111</v>
      </c>
      <c r="C1099" s="3" t="s">
        <v>409</v>
      </c>
      <c r="D1099" s="5">
        <f t="shared" si="34"/>
        <v>38.65</v>
      </c>
      <c r="E1099">
        <v>42.43</v>
      </c>
      <c r="F1099" s="1789">
        <v>8.8999999999999996E-2</v>
      </c>
      <c r="G1099">
        <f t="shared" si="35"/>
        <v>38.65</v>
      </c>
    </row>
    <row r="1100" spans="1:7" ht="12.75" customHeight="1">
      <c r="A1100" s="3">
        <v>34664</v>
      </c>
      <c r="B1100" s="4" t="s">
        <v>1112</v>
      </c>
      <c r="C1100" s="3" t="s">
        <v>409</v>
      </c>
      <c r="D1100" s="5">
        <f t="shared" si="34"/>
        <v>42.17</v>
      </c>
      <c r="E1100">
        <v>46.3</v>
      </c>
      <c r="F1100" s="1789">
        <v>8.8999999999999996E-2</v>
      </c>
      <c r="G1100">
        <f t="shared" si="35"/>
        <v>42.17</v>
      </c>
    </row>
    <row r="1101" spans="1:7" ht="12.75" customHeight="1">
      <c r="A1101" s="3">
        <v>34665</v>
      </c>
      <c r="B1101" s="4" t="s">
        <v>1113</v>
      </c>
      <c r="C1101" s="3" t="s">
        <v>409</v>
      </c>
      <c r="D1101" s="5">
        <f t="shared" si="34"/>
        <v>52.36</v>
      </c>
      <c r="E1101">
        <v>57.48</v>
      </c>
      <c r="F1101" s="1789">
        <v>8.8999999999999996E-2</v>
      </c>
      <c r="G1101">
        <f t="shared" si="35"/>
        <v>52.36</v>
      </c>
    </row>
    <row r="1102" spans="1:7" ht="12.75" customHeight="1">
      <c r="A1102" s="3">
        <v>34666</v>
      </c>
      <c r="B1102" s="4" t="s">
        <v>1114</v>
      </c>
      <c r="C1102" s="3" t="s">
        <v>409</v>
      </c>
      <c r="D1102" s="5">
        <f t="shared" si="34"/>
        <v>79.099999999999994</v>
      </c>
      <c r="E1102">
        <v>86.83</v>
      </c>
      <c r="F1102" s="1789">
        <v>8.8999999999999996E-2</v>
      </c>
      <c r="G1102">
        <f t="shared" si="35"/>
        <v>79.099999999999994</v>
      </c>
    </row>
    <row r="1103" spans="1:7" ht="12.75" customHeight="1">
      <c r="A1103" s="3">
        <v>34669</v>
      </c>
      <c r="B1103" s="4" t="s">
        <v>1115</v>
      </c>
      <c r="C1103" s="3" t="s">
        <v>409</v>
      </c>
      <c r="D1103" s="5">
        <f t="shared" si="34"/>
        <v>28.99</v>
      </c>
      <c r="E1103">
        <v>31.83</v>
      </c>
      <c r="F1103" s="1789">
        <v>8.8999999999999996E-2</v>
      </c>
      <c r="G1103">
        <f t="shared" si="35"/>
        <v>28.99</v>
      </c>
    </row>
    <row r="1104" spans="1:7" ht="12.75" customHeight="1">
      <c r="A1104" s="3">
        <v>34670</v>
      </c>
      <c r="B1104" s="4" t="s">
        <v>1116</v>
      </c>
      <c r="C1104" s="3" t="s">
        <v>409</v>
      </c>
      <c r="D1104" s="5">
        <f t="shared" si="34"/>
        <v>35.47</v>
      </c>
      <c r="E1104">
        <v>38.94</v>
      </c>
      <c r="F1104" s="1789">
        <v>8.8999999999999996E-2</v>
      </c>
      <c r="G1104">
        <f t="shared" si="35"/>
        <v>35.47</v>
      </c>
    </row>
    <row r="1105" spans="1:7" ht="12.75" customHeight="1">
      <c r="A1105" s="3">
        <v>34671</v>
      </c>
      <c r="B1105" s="4" t="s">
        <v>1117</v>
      </c>
      <c r="C1105" s="3" t="s">
        <v>409</v>
      </c>
      <c r="D1105" s="5">
        <f t="shared" si="34"/>
        <v>29.6</v>
      </c>
      <c r="E1105">
        <v>32.5</v>
      </c>
      <c r="F1105" s="1789">
        <v>8.8999999999999996E-2</v>
      </c>
      <c r="G1105">
        <f t="shared" si="35"/>
        <v>29.6</v>
      </c>
    </row>
    <row r="1106" spans="1:7" ht="12.75" customHeight="1">
      <c r="A1106" s="3">
        <v>34672</v>
      </c>
      <c r="B1106" s="4" t="s">
        <v>1118</v>
      </c>
      <c r="C1106" s="3" t="s">
        <v>409</v>
      </c>
      <c r="D1106" s="5">
        <f t="shared" si="34"/>
        <v>31.21</v>
      </c>
      <c r="E1106">
        <v>34.270000000000003</v>
      </c>
      <c r="F1106" s="1789">
        <v>8.8999999999999996E-2</v>
      </c>
      <c r="G1106">
        <f t="shared" si="35"/>
        <v>31.21</v>
      </c>
    </row>
    <row r="1107" spans="1:7" ht="12.75" customHeight="1">
      <c r="A1107" s="3">
        <v>34673</v>
      </c>
      <c r="B1107" s="4" t="s">
        <v>1119</v>
      </c>
      <c r="C1107" s="3" t="s">
        <v>409</v>
      </c>
      <c r="D1107" s="5">
        <f t="shared" si="34"/>
        <v>38.090000000000003</v>
      </c>
      <c r="E1107">
        <v>41.82</v>
      </c>
      <c r="F1107" s="1789">
        <v>8.8999999999999996E-2</v>
      </c>
      <c r="G1107">
        <f t="shared" si="35"/>
        <v>38.090000000000003</v>
      </c>
    </row>
    <row r="1108" spans="1:7" ht="12.75" customHeight="1">
      <c r="A1108" s="3">
        <v>34674</v>
      </c>
      <c r="B1108" s="4" t="s">
        <v>1120</v>
      </c>
      <c r="C1108" s="3" t="s">
        <v>409</v>
      </c>
      <c r="D1108" s="5">
        <f t="shared" si="34"/>
        <v>50.65</v>
      </c>
      <c r="E1108">
        <v>55.6</v>
      </c>
      <c r="F1108" s="1789">
        <v>8.8999999999999996E-2</v>
      </c>
      <c r="G1108">
        <f t="shared" si="35"/>
        <v>50.65</v>
      </c>
    </row>
    <row r="1109" spans="1:7" ht="12.75" customHeight="1">
      <c r="A1109" s="3">
        <v>34675</v>
      </c>
      <c r="B1109" s="4" t="s">
        <v>1121</v>
      </c>
      <c r="C1109" s="3" t="s">
        <v>409</v>
      </c>
      <c r="D1109" s="5">
        <f t="shared" si="34"/>
        <v>61.74</v>
      </c>
      <c r="E1109">
        <v>67.78</v>
      </c>
      <c r="F1109" s="1789">
        <v>8.8999999999999996E-2</v>
      </c>
      <c r="G1109">
        <f t="shared" si="35"/>
        <v>61.74</v>
      </c>
    </row>
    <row r="1110" spans="1:7" ht="12.75" customHeight="1">
      <c r="A1110" s="3">
        <v>34676</v>
      </c>
      <c r="B1110" s="4" t="s">
        <v>1122</v>
      </c>
      <c r="C1110" s="3" t="s">
        <v>409</v>
      </c>
      <c r="D1110" s="5">
        <f t="shared" si="34"/>
        <v>17.77</v>
      </c>
      <c r="E1110">
        <v>19.510000000000002</v>
      </c>
      <c r="F1110" s="1789">
        <v>8.8999999999999996E-2</v>
      </c>
      <c r="G1110">
        <f t="shared" si="35"/>
        <v>17.77</v>
      </c>
    </row>
    <row r="1111" spans="1:7" ht="12.75" customHeight="1">
      <c r="A1111" s="3">
        <v>34677</v>
      </c>
      <c r="B1111" s="4" t="s">
        <v>1123</v>
      </c>
      <c r="C1111" s="3" t="s">
        <v>409</v>
      </c>
      <c r="D1111" s="5">
        <f t="shared" si="34"/>
        <v>23.89</v>
      </c>
      <c r="E1111">
        <v>26.23</v>
      </c>
      <c r="F1111" s="1789">
        <v>8.8999999999999996E-2</v>
      </c>
      <c r="G1111">
        <f t="shared" si="35"/>
        <v>23.89</v>
      </c>
    </row>
    <row r="1112" spans="1:7" ht="12.75" customHeight="1">
      <c r="A1112" s="3">
        <v>43126</v>
      </c>
      <c r="B1112" s="4" t="s">
        <v>1124</v>
      </c>
      <c r="C1112" s="3" t="s">
        <v>409</v>
      </c>
      <c r="D1112" s="5">
        <f t="shared" si="34"/>
        <v>75.8</v>
      </c>
      <c r="E1112">
        <v>83.21</v>
      </c>
      <c r="F1112" s="1789">
        <v>8.8999999999999996E-2</v>
      </c>
      <c r="G1112">
        <f t="shared" si="35"/>
        <v>75.8</v>
      </c>
    </row>
    <row r="1113" spans="1:7" ht="12.75" customHeight="1">
      <c r="A1113" s="3">
        <v>43124</v>
      </c>
      <c r="B1113" s="4" t="s">
        <v>1125</v>
      </c>
      <c r="C1113" s="3" t="s">
        <v>409</v>
      </c>
      <c r="D1113" s="5">
        <f t="shared" si="34"/>
        <v>88.51</v>
      </c>
      <c r="E1113">
        <v>97.16</v>
      </c>
      <c r="F1113" s="1789">
        <v>8.8999999999999996E-2</v>
      </c>
      <c r="G1113">
        <f t="shared" si="35"/>
        <v>88.51</v>
      </c>
    </row>
    <row r="1114" spans="1:7" ht="12.75" customHeight="1">
      <c r="A1114" s="3">
        <v>43125</v>
      </c>
      <c r="B1114" s="4" t="s">
        <v>1126</v>
      </c>
      <c r="C1114" s="3" t="s">
        <v>409</v>
      </c>
      <c r="D1114" s="5">
        <f t="shared" si="34"/>
        <v>114.78</v>
      </c>
      <c r="E1114">
        <v>126</v>
      </c>
      <c r="F1114" s="1789">
        <v>8.8999999999999996E-2</v>
      </c>
      <c r="G1114">
        <f t="shared" si="35"/>
        <v>114.78</v>
      </c>
    </row>
    <row r="1115" spans="1:7" ht="12.75" customHeight="1">
      <c r="A1115" s="3">
        <v>40623</v>
      </c>
      <c r="B1115" s="4" t="s">
        <v>1127</v>
      </c>
      <c r="C1115" s="3" t="s">
        <v>423</v>
      </c>
      <c r="D1115" s="5">
        <f t="shared" si="34"/>
        <v>119.84</v>
      </c>
      <c r="E1115">
        <v>131.55000000000001</v>
      </c>
      <c r="F1115" s="1789">
        <v>8.8999999999999996E-2</v>
      </c>
      <c r="G1115">
        <f t="shared" si="35"/>
        <v>119.84</v>
      </c>
    </row>
    <row r="1116" spans="1:7" ht="12.75" customHeight="1">
      <c r="A1116" s="3">
        <v>43701</v>
      </c>
      <c r="B1116" s="4" t="s">
        <v>1128</v>
      </c>
      <c r="C1116" s="3" t="s">
        <v>54</v>
      </c>
      <c r="D1116" s="5">
        <f t="shared" si="34"/>
        <v>36.090000000000003</v>
      </c>
      <c r="E1116">
        <v>39.619999999999997</v>
      </c>
      <c r="F1116" s="1789">
        <v>8.8999999999999996E-2</v>
      </c>
      <c r="G1116">
        <f t="shared" si="35"/>
        <v>36.090000000000003</v>
      </c>
    </row>
    <row r="1117" spans="1:7" ht="12.75" customHeight="1">
      <c r="A1117" s="3">
        <v>1345</v>
      </c>
      <c r="B1117" s="4" t="s">
        <v>1129</v>
      </c>
      <c r="C1117" s="3" t="s">
        <v>409</v>
      </c>
      <c r="D1117" s="5">
        <f t="shared" si="34"/>
        <v>111.29</v>
      </c>
      <c r="E1117">
        <v>122.17</v>
      </c>
      <c r="F1117" s="1789">
        <v>8.8999999999999996E-2</v>
      </c>
      <c r="G1117">
        <f t="shared" si="35"/>
        <v>111.29</v>
      </c>
    </row>
    <row r="1118" spans="1:7" ht="12.75" customHeight="1">
      <c r="A1118" s="3">
        <v>1346</v>
      </c>
      <c r="B1118" s="4" t="s">
        <v>1130</v>
      </c>
      <c r="C1118" s="3" t="s">
        <v>409</v>
      </c>
      <c r="D1118" s="5">
        <f t="shared" si="34"/>
        <v>64.73</v>
      </c>
      <c r="E1118">
        <v>71.06</v>
      </c>
      <c r="F1118" s="1789">
        <v>8.8999999999999996E-2</v>
      </c>
      <c r="G1118">
        <f t="shared" si="35"/>
        <v>64.73</v>
      </c>
    </row>
    <row r="1119" spans="1:7" ht="12.75" customHeight="1">
      <c r="A1119" s="3">
        <v>1347</v>
      </c>
      <c r="B1119" s="4" t="s">
        <v>1131</v>
      </c>
      <c r="C1119" s="3" t="s">
        <v>409</v>
      </c>
      <c r="D1119" s="5">
        <f t="shared" si="34"/>
        <v>80.209999999999994</v>
      </c>
      <c r="E1119">
        <v>88.05</v>
      </c>
      <c r="F1119" s="1789">
        <v>8.8999999999999996E-2</v>
      </c>
      <c r="G1119">
        <f t="shared" si="35"/>
        <v>80.209999999999994</v>
      </c>
    </row>
    <row r="1120" spans="1:7" ht="12.75" customHeight="1">
      <c r="A1120" s="3">
        <v>43678</v>
      </c>
      <c r="B1120" s="4" t="s">
        <v>1132</v>
      </c>
      <c r="C1120" s="3" t="s">
        <v>409</v>
      </c>
      <c r="D1120" s="5">
        <f t="shared" si="34"/>
        <v>93.04</v>
      </c>
      <c r="E1120">
        <v>102.13</v>
      </c>
      <c r="F1120" s="1789">
        <v>8.8999999999999996E-2</v>
      </c>
      <c r="G1120">
        <f t="shared" si="35"/>
        <v>93.04</v>
      </c>
    </row>
    <row r="1121" spans="1:7" ht="12.75" customHeight="1">
      <c r="A1121" s="3">
        <v>43680</v>
      </c>
      <c r="B1121" s="4" t="s">
        <v>1133</v>
      </c>
      <c r="C1121" s="3" t="s">
        <v>409</v>
      </c>
      <c r="D1121" s="5">
        <f t="shared" si="34"/>
        <v>134.03</v>
      </c>
      <c r="E1121">
        <v>147.13</v>
      </c>
      <c r="F1121" s="1789">
        <v>8.8999999999999996E-2</v>
      </c>
      <c r="G1121">
        <f t="shared" si="35"/>
        <v>134.03</v>
      </c>
    </row>
    <row r="1122" spans="1:7" ht="12.75" customHeight="1">
      <c r="A1122" s="3">
        <v>43679</v>
      </c>
      <c r="B1122" s="4" t="s">
        <v>1134</v>
      </c>
      <c r="C1122" s="3" t="s">
        <v>409</v>
      </c>
      <c r="D1122" s="5">
        <f t="shared" si="34"/>
        <v>47.03</v>
      </c>
      <c r="E1122">
        <v>51.63</v>
      </c>
      <c r="F1122" s="1789">
        <v>8.8999999999999996E-2</v>
      </c>
      <c r="G1122">
        <f t="shared" si="35"/>
        <v>47.03</v>
      </c>
    </row>
    <row r="1123" spans="1:7" ht="12.75" customHeight="1">
      <c r="A1123" s="3">
        <v>1355</v>
      </c>
      <c r="B1123" s="4" t="s">
        <v>1135</v>
      </c>
      <c r="C1123" s="3" t="s">
        <v>409</v>
      </c>
      <c r="D1123" s="5">
        <f t="shared" si="34"/>
        <v>53.53</v>
      </c>
      <c r="E1123">
        <v>58.76</v>
      </c>
      <c r="F1123" s="1789">
        <v>8.8999999999999996E-2</v>
      </c>
      <c r="G1123">
        <f t="shared" si="35"/>
        <v>53.53</v>
      </c>
    </row>
    <row r="1124" spans="1:7" ht="12.75" customHeight="1">
      <c r="A1124" s="3">
        <v>1358</v>
      </c>
      <c r="B1124" s="4" t="s">
        <v>1136</v>
      </c>
      <c r="C1124" s="3" t="s">
        <v>409</v>
      </c>
      <c r="D1124" s="5">
        <f t="shared" si="34"/>
        <v>65.709999999999994</v>
      </c>
      <c r="E1124">
        <v>72.14</v>
      </c>
      <c r="F1124" s="1789">
        <v>8.8999999999999996E-2</v>
      </c>
      <c r="G1124">
        <f t="shared" si="35"/>
        <v>65.709999999999994</v>
      </c>
    </row>
    <row r="1125" spans="1:7" ht="12.75" customHeight="1">
      <c r="A1125" s="3">
        <v>43677</v>
      </c>
      <c r="B1125" s="4" t="s">
        <v>1137</v>
      </c>
      <c r="C1125" s="3" t="s">
        <v>409</v>
      </c>
      <c r="D1125" s="5">
        <f t="shared" si="34"/>
        <v>81.53</v>
      </c>
      <c r="E1125">
        <v>89.5</v>
      </c>
      <c r="F1125" s="1789">
        <v>8.8999999999999996E-2</v>
      </c>
      <c r="G1125">
        <f t="shared" si="35"/>
        <v>81.53</v>
      </c>
    </row>
    <row r="1126" spans="1:7" ht="12.75" customHeight="1">
      <c r="A1126" s="3">
        <v>43682</v>
      </c>
      <c r="B1126" s="4" t="s">
        <v>1138</v>
      </c>
      <c r="C1126" s="3" t="s">
        <v>409</v>
      </c>
      <c r="D1126" s="5">
        <f t="shared" si="34"/>
        <v>24.99</v>
      </c>
      <c r="E1126">
        <v>27.44</v>
      </c>
      <c r="F1126" s="1789">
        <v>8.8999999999999996E-2</v>
      </c>
      <c r="G1126">
        <f t="shared" si="35"/>
        <v>24.99</v>
      </c>
    </row>
    <row r="1127" spans="1:7" ht="12.75" customHeight="1">
      <c r="A1127" s="3">
        <v>43681</v>
      </c>
      <c r="B1127" s="4" t="s">
        <v>1139</v>
      </c>
      <c r="C1127" s="3" t="s">
        <v>409</v>
      </c>
      <c r="D1127" s="5">
        <f t="shared" si="34"/>
        <v>41.4</v>
      </c>
      <c r="E1127">
        <v>45.45</v>
      </c>
      <c r="F1127" s="1789">
        <v>8.8999999999999996E-2</v>
      </c>
      <c r="G1127">
        <f t="shared" si="35"/>
        <v>41.4</v>
      </c>
    </row>
    <row r="1128" spans="1:7" ht="12.75" customHeight="1">
      <c r="A1128" s="3">
        <v>20971</v>
      </c>
      <c r="B1128" s="4" t="s">
        <v>1140</v>
      </c>
      <c r="C1128" s="3" t="s">
        <v>6</v>
      </c>
      <c r="D1128" s="5">
        <f t="shared" si="34"/>
        <v>13.86</v>
      </c>
      <c r="E1128">
        <v>15.22</v>
      </c>
      <c r="F1128" s="1789">
        <v>8.8999999999999996E-2</v>
      </c>
      <c r="G1128">
        <f t="shared" si="35"/>
        <v>13.86</v>
      </c>
    </row>
    <row r="1129" spans="1:7" ht="12.75" customHeight="1">
      <c r="A1129" s="3">
        <v>39746</v>
      </c>
      <c r="B1129" s="4" t="s">
        <v>1141</v>
      </c>
      <c r="C1129" s="3" t="s">
        <v>6</v>
      </c>
      <c r="D1129" s="5">
        <f t="shared" si="34"/>
        <v>78.8</v>
      </c>
      <c r="E1129">
        <v>86.5</v>
      </c>
      <c r="F1129" s="1789">
        <v>8.8999999999999996E-2</v>
      </c>
      <c r="G1129">
        <f t="shared" si="35"/>
        <v>78.8</v>
      </c>
    </row>
    <row r="1130" spans="1:7" ht="12.75" customHeight="1">
      <c r="A1130" s="3">
        <v>13279</v>
      </c>
      <c r="B1130" s="4" t="s">
        <v>1142</v>
      </c>
      <c r="C1130" s="3" t="s">
        <v>54</v>
      </c>
      <c r="D1130" s="5">
        <f t="shared" si="34"/>
        <v>19.95</v>
      </c>
      <c r="E1130">
        <v>21.9</v>
      </c>
      <c r="F1130" s="1789">
        <v>8.8999999999999996E-2</v>
      </c>
      <c r="G1130">
        <f t="shared" si="35"/>
        <v>19.95</v>
      </c>
    </row>
    <row r="1131" spans="1:7" ht="12.75" customHeight="1">
      <c r="A1131" s="3">
        <v>11977</v>
      </c>
      <c r="B1131" s="4" t="s">
        <v>1143</v>
      </c>
      <c r="C1131" s="3" t="s">
        <v>6</v>
      </c>
      <c r="D1131" s="5">
        <f t="shared" si="34"/>
        <v>10.33</v>
      </c>
      <c r="E1131">
        <v>11.35</v>
      </c>
      <c r="F1131" s="1789">
        <v>8.8999999999999996E-2</v>
      </c>
      <c r="G1131">
        <f t="shared" si="35"/>
        <v>10.33</v>
      </c>
    </row>
    <row r="1132" spans="1:7" ht="12.75" customHeight="1">
      <c r="A1132" s="3">
        <v>11976</v>
      </c>
      <c r="B1132" s="4" t="s">
        <v>1144</v>
      </c>
      <c r="C1132" s="3" t="s">
        <v>6</v>
      </c>
      <c r="D1132" s="5">
        <f t="shared" si="34"/>
        <v>1.1499999999999999</v>
      </c>
      <c r="E1132">
        <v>1.27</v>
      </c>
      <c r="F1132" s="1789">
        <v>8.8999999999999996E-2</v>
      </c>
      <c r="G1132">
        <f t="shared" si="35"/>
        <v>1.1499999999999999</v>
      </c>
    </row>
    <row r="1133" spans="1:7" ht="12.75" customHeight="1">
      <c r="A1133" s="3">
        <v>11975</v>
      </c>
      <c r="B1133" s="4" t="s">
        <v>1145</v>
      </c>
      <c r="C1133" s="3" t="s">
        <v>6</v>
      </c>
      <c r="D1133" s="5">
        <f t="shared" si="34"/>
        <v>22.65</v>
      </c>
      <c r="E1133">
        <v>24.87</v>
      </c>
      <c r="F1133" s="1789">
        <v>8.8999999999999996E-2</v>
      </c>
      <c r="G1133">
        <f t="shared" si="35"/>
        <v>22.65</v>
      </c>
    </row>
    <row r="1134" spans="1:7" ht="12.75" customHeight="1">
      <c r="A1134" s="3">
        <v>1368</v>
      </c>
      <c r="B1134" s="4" t="s">
        <v>1146</v>
      </c>
      <c r="C1134" s="3" t="s">
        <v>6</v>
      </c>
      <c r="D1134" s="5">
        <f t="shared" si="34"/>
        <v>85.54</v>
      </c>
      <c r="E1134">
        <v>93.9</v>
      </c>
      <c r="F1134" s="1789">
        <v>8.8999999999999996E-2</v>
      </c>
      <c r="G1134">
        <f t="shared" si="35"/>
        <v>85.54</v>
      </c>
    </row>
    <row r="1135" spans="1:7" ht="12.75" customHeight="1">
      <c r="A1135" s="3">
        <v>1367</v>
      </c>
      <c r="B1135" s="4" t="s">
        <v>1147</v>
      </c>
      <c r="C1135" s="3" t="s">
        <v>6</v>
      </c>
      <c r="D1135" s="5">
        <f t="shared" si="34"/>
        <v>276.7</v>
      </c>
      <c r="E1135">
        <v>303.74</v>
      </c>
      <c r="F1135" s="1789">
        <v>8.8999999999999996E-2</v>
      </c>
      <c r="G1135">
        <f t="shared" si="35"/>
        <v>276.7</v>
      </c>
    </row>
    <row r="1136" spans="1:7" ht="12.75" customHeight="1">
      <c r="A1136" s="3">
        <v>1380</v>
      </c>
      <c r="B1136" s="4" t="s">
        <v>1148</v>
      </c>
      <c r="C1136" s="3" t="s">
        <v>54</v>
      </c>
      <c r="D1136" s="5">
        <f t="shared" si="34"/>
        <v>4.99</v>
      </c>
      <c r="E1136">
        <v>5.48</v>
      </c>
      <c r="F1136" s="1789">
        <v>8.8999999999999996E-2</v>
      </c>
      <c r="G1136">
        <f t="shared" si="35"/>
        <v>4.99</v>
      </c>
    </row>
    <row r="1137" spans="1:7" ht="12.75" customHeight="1">
      <c r="A1137" s="3">
        <v>1375</v>
      </c>
      <c r="B1137" s="4" t="s">
        <v>1149</v>
      </c>
      <c r="C1137" s="3" t="s">
        <v>54</v>
      </c>
      <c r="D1137" s="5">
        <f t="shared" si="34"/>
        <v>16.79</v>
      </c>
      <c r="E1137">
        <v>18.440000000000001</v>
      </c>
      <c r="F1137" s="1789">
        <v>8.8999999999999996E-2</v>
      </c>
      <c r="G1137">
        <f t="shared" si="35"/>
        <v>16.79</v>
      </c>
    </row>
    <row r="1138" spans="1:7" ht="12.75" customHeight="1">
      <c r="A1138" s="3">
        <v>1379</v>
      </c>
      <c r="B1138" s="4" t="s">
        <v>1150</v>
      </c>
      <c r="C1138" s="3" t="s">
        <v>54</v>
      </c>
      <c r="D1138" s="5">
        <f t="shared" si="34"/>
        <v>0.74</v>
      </c>
      <c r="E1138">
        <v>0.82</v>
      </c>
      <c r="F1138" s="1789">
        <v>8.8999999999999996E-2</v>
      </c>
      <c r="G1138">
        <f t="shared" si="35"/>
        <v>0.74</v>
      </c>
    </row>
    <row r="1139" spans="1:7" ht="12.75" customHeight="1">
      <c r="A1139" s="3">
        <v>13284</v>
      </c>
      <c r="B1139" s="4" t="s">
        <v>1151</v>
      </c>
      <c r="C1139" s="3" t="s">
        <v>54</v>
      </c>
      <c r="D1139" s="5">
        <f t="shared" si="34"/>
        <v>0.67</v>
      </c>
      <c r="E1139">
        <v>0.74</v>
      </c>
      <c r="F1139" s="1789">
        <v>8.8999999999999996E-2</v>
      </c>
      <c r="G1139">
        <f t="shared" si="35"/>
        <v>0.67</v>
      </c>
    </row>
    <row r="1140" spans="1:7" ht="12.75" customHeight="1">
      <c r="A1140" s="3">
        <v>44528</v>
      </c>
      <c r="B1140" s="4" t="s">
        <v>1152</v>
      </c>
      <c r="C1140" s="3" t="s">
        <v>54</v>
      </c>
      <c r="D1140" s="5">
        <f t="shared" si="34"/>
        <v>3.98</v>
      </c>
      <c r="E1140">
        <v>4.37</v>
      </c>
      <c r="F1140" s="1789">
        <v>8.8999999999999996E-2</v>
      </c>
      <c r="G1140">
        <f t="shared" si="35"/>
        <v>3.98</v>
      </c>
    </row>
    <row r="1141" spans="1:7" ht="12.75" customHeight="1">
      <c r="A1141" s="3">
        <v>34753</v>
      </c>
      <c r="B1141" s="4" t="s">
        <v>1153</v>
      </c>
      <c r="C1141" s="3" t="s">
        <v>54</v>
      </c>
      <c r="D1141" s="5">
        <f t="shared" si="34"/>
        <v>0.71</v>
      </c>
      <c r="E1141">
        <v>0.79</v>
      </c>
      <c r="F1141" s="1789">
        <v>8.8999999999999996E-2</v>
      </c>
      <c r="G1141">
        <f t="shared" si="35"/>
        <v>0.71</v>
      </c>
    </row>
    <row r="1142" spans="1:7" ht="12.75" customHeight="1">
      <c r="A1142" s="3">
        <v>420</v>
      </c>
      <c r="B1142" s="4" t="s">
        <v>1154</v>
      </c>
      <c r="C1142" s="3" t="s">
        <v>6</v>
      </c>
      <c r="D1142" s="5">
        <f t="shared" si="34"/>
        <v>38.03</v>
      </c>
      <c r="E1142">
        <v>41.75</v>
      </c>
      <c r="F1142" s="1789">
        <v>8.8999999999999996E-2</v>
      </c>
      <c r="G1142">
        <f t="shared" si="35"/>
        <v>38.03</v>
      </c>
    </row>
    <row r="1143" spans="1:7" ht="12.75" customHeight="1">
      <c r="A1143" s="3">
        <v>12327</v>
      </c>
      <c r="B1143" s="4" t="s">
        <v>1155</v>
      </c>
      <c r="C1143" s="3" t="s">
        <v>6</v>
      </c>
      <c r="D1143" s="5">
        <f t="shared" si="34"/>
        <v>45.3</v>
      </c>
      <c r="E1143">
        <v>49.73</v>
      </c>
      <c r="F1143" s="1789">
        <v>8.8999999999999996E-2</v>
      </c>
      <c r="G1143">
        <f t="shared" si="35"/>
        <v>45.3</v>
      </c>
    </row>
    <row r="1144" spans="1:7" ht="12.75" customHeight="1">
      <c r="A1144" s="3">
        <v>36148</v>
      </c>
      <c r="B1144" s="4" t="s">
        <v>1156</v>
      </c>
      <c r="C1144" s="3" t="s">
        <v>6</v>
      </c>
      <c r="D1144" s="5">
        <f t="shared" si="34"/>
        <v>69.52</v>
      </c>
      <c r="E1144">
        <v>76.319999999999993</v>
      </c>
      <c r="F1144" s="1789">
        <v>8.8999999999999996E-2</v>
      </c>
      <c r="G1144">
        <f t="shared" si="35"/>
        <v>69.52</v>
      </c>
    </row>
    <row r="1145" spans="1:7" ht="12.75" customHeight="1">
      <c r="A1145" s="3">
        <v>12329</v>
      </c>
      <c r="B1145" s="4" t="s">
        <v>1157</v>
      </c>
      <c r="C1145" s="3" t="s">
        <v>54</v>
      </c>
      <c r="D1145" s="5">
        <f t="shared" si="34"/>
        <v>125.18</v>
      </c>
      <c r="E1145">
        <v>137.41</v>
      </c>
      <c r="F1145" s="1789">
        <v>8.8999999999999996E-2</v>
      </c>
      <c r="G1145">
        <f t="shared" si="35"/>
        <v>125.18</v>
      </c>
    </row>
    <row r="1146" spans="1:7" ht="12.75" customHeight="1">
      <c r="A1146" s="3">
        <v>1339</v>
      </c>
      <c r="B1146" s="4" t="s">
        <v>1158</v>
      </c>
      <c r="C1146" s="3" t="s">
        <v>54</v>
      </c>
      <c r="D1146" s="5">
        <f t="shared" si="34"/>
        <v>65.69</v>
      </c>
      <c r="E1146">
        <v>72.11</v>
      </c>
      <c r="F1146" s="1789">
        <v>8.8999999999999996E-2</v>
      </c>
      <c r="G1146">
        <f t="shared" si="35"/>
        <v>65.69</v>
      </c>
    </row>
    <row r="1147" spans="1:7" ht="12.75" customHeight="1">
      <c r="A1147" s="3">
        <v>44396</v>
      </c>
      <c r="B1147" s="4" t="s">
        <v>1159</v>
      </c>
      <c r="C1147" s="3" t="s">
        <v>54</v>
      </c>
      <c r="D1147" s="5">
        <f t="shared" si="34"/>
        <v>20.99</v>
      </c>
      <c r="E1147">
        <v>23.05</v>
      </c>
      <c r="F1147" s="1789">
        <v>8.8999999999999996E-2</v>
      </c>
      <c r="G1147">
        <f t="shared" si="35"/>
        <v>20.99</v>
      </c>
    </row>
    <row r="1148" spans="1:7" ht="12.75" customHeight="1">
      <c r="A1148" s="3">
        <v>44327</v>
      </c>
      <c r="B1148" s="4" t="s">
        <v>1160</v>
      </c>
      <c r="C1148" s="3" t="s">
        <v>56</v>
      </c>
      <c r="D1148" s="5">
        <f t="shared" si="34"/>
        <v>71.42</v>
      </c>
      <c r="E1148">
        <v>78.400000000000006</v>
      </c>
      <c r="F1148" s="1789">
        <v>8.8999999999999996E-2</v>
      </c>
      <c r="G1148">
        <f t="shared" si="35"/>
        <v>71.42</v>
      </c>
    </row>
    <row r="1149" spans="1:7" ht="12.75" customHeight="1">
      <c r="A1149" s="3">
        <v>37418</v>
      </c>
      <c r="B1149" s="4" t="s">
        <v>1161</v>
      </c>
      <c r="C1149" s="3" t="s">
        <v>6</v>
      </c>
      <c r="D1149" s="5">
        <f t="shared" si="34"/>
        <v>15.11</v>
      </c>
      <c r="E1149">
        <v>16.59</v>
      </c>
      <c r="F1149" s="1789">
        <v>8.8999999999999996E-2</v>
      </c>
      <c r="G1149">
        <f t="shared" si="35"/>
        <v>15.11</v>
      </c>
    </row>
    <row r="1150" spans="1:7" ht="12.75" customHeight="1">
      <c r="A1150" s="3">
        <v>37419</v>
      </c>
      <c r="B1150" s="4" t="s">
        <v>1162</v>
      </c>
      <c r="C1150" s="3" t="s">
        <v>6</v>
      </c>
      <c r="D1150" s="5">
        <f t="shared" si="34"/>
        <v>15.52</v>
      </c>
      <c r="E1150">
        <v>17.04</v>
      </c>
      <c r="F1150" s="1789">
        <v>8.8999999999999996E-2</v>
      </c>
      <c r="G1150">
        <f t="shared" si="35"/>
        <v>15.52</v>
      </c>
    </row>
    <row r="1151" spans="1:7" ht="12.75" customHeight="1">
      <c r="A1151" s="3">
        <v>1427</v>
      </c>
      <c r="B1151" s="4" t="s">
        <v>1163</v>
      </c>
      <c r="C1151" s="3" t="s">
        <v>6</v>
      </c>
      <c r="D1151" s="5">
        <f t="shared" si="34"/>
        <v>11.77</v>
      </c>
      <c r="E1151">
        <v>12.93</v>
      </c>
      <c r="F1151" s="1789">
        <v>8.8999999999999996E-2</v>
      </c>
      <c r="G1151">
        <f t="shared" si="35"/>
        <v>11.77</v>
      </c>
    </row>
    <row r="1152" spans="1:7" ht="12.75" customHeight="1">
      <c r="A1152" s="3">
        <v>1402</v>
      </c>
      <c r="B1152" s="4" t="s">
        <v>1164</v>
      </c>
      <c r="C1152" s="3" t="s">
        <v>6</v>
      </c>
      <c r="D1152" s="5">
        <f t="shared" si="34"/>
        <v>4.07</v>
      </c>
      <c r="E1152">
        <v>4.47</v>
      </c>
      <c r="F1152" s="1789">
        <v>8.8999999999999996E-2</v>
      </c>
      <c r="G1152">
        <f t="shared" si="35"/>
        <v>4.07</v>
      </c>
    </row>
    <row r="1153" spans="1:7" ht="12.75" customHeight="1">
      <c r="A1153" s="3">
        <v>1420</v>
      </c>
      <c r="B1153" s="4" t="s">
        <v>1165</v>
      </c>
      <c r="C1153" s="3" t="s">
        <v>6</v>
      </c>
      <c r="D1153" s="5">
        <f t="shared" si="34"/>
        <v>5.23</v>
      </c>
      <c r="E1153">
        <v>5.75</v>
      </c>
      <c r="F1153" s="1789">
        <v>8.8999999999999996E-2</v>
      </c>
      <c r="G1153">
        <f t="shared" si="35"/>
        <v>5.23</v>
      </c>
    </row>
    <row r="1154" spans="1:7" ht="12.75" customHeight="1">
      <c r="A1154" s="3">
        <v>1419</v>
      </c>
      <c r="B1154" s="4" t="s">
        <v>1166</v>
      </c>
      <c r="C1154" s="3" t="s">
        <v>6</v>
      </c>
      <c r="D1154" s="5">
        <f t="shared" si="34"/>
        <v>6.33</v>
      </c>
      <c r="E1154">
        <v>6.95</v>
      </c>
      <c r="F1154" s="1789">
        <v>8.8999999999999996E-2</v>
      </c>
      <c r="G1154">
        <f t="shared" si="35"/>
        <v>6.33</v>
      </c>
    </row>
    <row r="1155" spans="1:7" ht="12.75" customHeight="1">
      <c r="A1155" s="3">
        <v>1414</v>
      </c>
      <c r="B1155" s="4" t="s">
        <v>1167</v>
      </c>
      <c r="C1155" s="3" t="s">
        <v>6</v>
      </c>
      <c r="D1155" s="5">
        <f t="shared" ref="D1155:D1218" si="36">G1155</f>
        <v>6.19</v>
      </c>
      <c r="E1155">
        <v>6.8</v>
      </c>
      <c r="F1155" s="1789">
        <v>8.8999999999999996E-2</v>
      </c>
      <c r="G1155">
        <f t="shared" ref="G1155:G1218" si="37">TRUNC((1-F1155)*E1155,2)</f>
        <v>6.19</v>
      </c>
    </row>
    <row r="1156" spans="1:7" ht="12.75" customHeight="1">
      <c r="A1156" s="3">
        <v>1413</v>
      </c>
      <c r="B1156" s="4" t="s">
        <v>1168</v>
      </c>
      <c r="C1156" s="3" t="s">
        <v>6</v>
      </c>
      <c r="D1156" s="5">
        <f t="shared" si="36"/>
        <v>9.14</v>
      </c>
      <c r="E1156">
        <v>10.039999999999999</v>
      </c>
      <c r="F1156" s="1789">
        <v>8.8999999999999996E-2</v>
      </c>
      <c r="G1156">
        <f t="shared" si="37"/>
        <v>9.14</v>
      </c>
    </row>
    <row r="1157" spans="1:7" ht="12.75" customHeight="1">
      <c r="A1157" s="3">
        <v>1412</v>
      </c>
      <c r="B1157" s="4" t="s">
        <v>1169</v>
      </c>
      <c r="C1157" s="3" t="s">
        <v>6</v>
      </c>
      <c r="D1157" s="5">
        <f t="shared" si="36"/>
        <v>7.75</v>
      </c>
      <c r="E1157">
        <v>8.51</v>
      </c>
      <c r="F1157" s="1789">
        <v>8.8999999999999996E-2</v>
      </c>
      <c r="G1157">
        <f t="shared" si="37"/>
        <v>7.75</v>
      </c>
    </row>
    <row r="1158" spans="1:7" ht="12.75" customHeight="1">
      <c r="A1158" s="3">
        <v>1406</v>
      </c>
      <c r="B1158" s="4" t="s">
        <v>1170</v>
      </c>
      <c r="C1158" s="3" t="s">
        <v>6</v>
      </c>
      <c r="D1158" s="5">
        <f t="shared" si="36"/>
        <v>9.34</v>
      </c>
      <c r="E1158">
        <v>10.26</v>
      </c>
      <c r="F1158" s="1789">
        <v>8.8999999999999996E-2</v>
      </c>
      <c r="G1158">
        <f t="shared" si="37"/>
        <v>9.34</v>
      </c>
    </row>
    <row r="1159" spans="1:7" ht="12.75" customHeight="1">
      <c r="A1159" s="3">
        <v>11281</v>
      </c>
      <c r="B1159" s="4" t="s">
        <v>1171</v>
      </c>
      <c r="C1159" s="3" t="s">
        <v>6</v>
      </c>
      <c r="D1159" s="5">
        <f t="shared" si="36"/>
        <v>11407.99</v>
      </c>
      <c r="E1159">
        <v>12522.5</v>
      </c>
      <c r="F1159" s="1789">
        <v>8.8999999999999996E-2</v>
      </c>
      <c r="G1159">
        <f t="shared" si="37"/>
        <v>11407.99</v>
      </c>
    </row>
    <row r="1160" spans="1:7" ht="12.75" customHeight="1">
      <c r="A1160" s="3">
        <v>1442</v>
      </c>
      <c r="B1160" s="4" t="s">
        <v>1172</v>
      </c>
      <c r="C1160" s="3" t="s">
        <v>6</v>
      </c>
      <c r="D1160" s="5">
        <f t="shared" si="36"/>
        <v>9576.92</v>
      </c>
      <c r="E1160">
        <v>10512.54</v>
      </c>
      <c r="F1160" s="1789">
        <v>8.8999999999999996E-2</v>
      </c>
      <c r="G1160">
        <f t="shared" si="37"/>
        <v>9576.92</v>
      </c>
    </row>
    <row r="1161" spans="1:7" ht="12.75" customHeight="1">
      <c r="A1161" s="3">
        <v>13457</v>
      </c>
      <c r="B1161" s="4" t="s">
        <v>1173</v>
      </c>
      <c r="C1161" s="3" t="s">
        <v>6</v>
      </c>
      <c r="D1161" s="5">
        <f t="shared" si="36"/>
        <v>8266.65</v>
      </c>
      <c r="E1161">
        <v>9074.27</v>
      </c>
      <c r="F1161" s="1789">
        <v>8.8999999999999996E-2</v>
      </c>
      <c r="G1161">
        <f t="shared" si="37"/>
        <v>8266.65</v>
      </c>
    </row>
    <row r="1162" spans="1:7" ht="12.75" customHeight="1">
      <c r="A1162" s="3">
        <v>40699</v>
      </c>
      <c r="B1162" s="4" t="s">
        <v>1174</v>
      </c>
      <c r="C1162" s="3" t="s">
        <v>6</v>
      </c>
      <c r="D1162" s="5">
        <f t="shared" si="36"/>
        <v>6390.44</v>
      </c>
      <c r="E1162">
        <v>7014.76</v>
      </c>
      <c r="F1162" s="1789">
        <v>8.8999999999999996E-2</v>
      </c>
      <c r="G1162">
        <f t="shared" si="37"/>
        <v>6390.44</v>
      </c>
    </row>
    <row r="1163" spans="1:7" ht="12.75" customHeight="1">
      <c r="A1163" s="3">
        <v>40701</v>
      </c>
      <c r="B1163" s="4" t="s">
        <v>1175</v>
      </c>
      <c r="C1163" s="3" t="s">
        <v>6</v>
      </c>
      <c r="D1163" s="5">
        <f t="shared" si="36"/>
        <v>112991.82</v>
      </c>
      <c r="E1163">
        <v>124030.54</v>
      </c>
      <c r="F1163" s="1789">
        <v>8.8999999999999996E-2</v>
      </c>
      <c r="G1163">
        <f t="shared" si="37"/>
        <v>112991.82</v>
      </c>
    </row>
    <row r="1164" spans="1:7" ht="12.75" customHeight="1">
      <c r="A1164" s="3">
        <v>40700</v>
      </c>
      <c r="B1164" s="4" t="s">
        <v>1176</v>
      </c>
      <c r="C1164" s="3" t="s">
        <v>6</v>
      </c>
      <c r="D1164" s="5">
        <f t="shared" si="36"/>
        <v>14876.11</v>
      </c>
      <c r="E1164">
        <v>16329.44</v>
      </c>
      <c r="F1164" s="1789">
        <v>8.8999999999999996E-2</v>
      </c>
      <c r="G1164">
        <f t="shared" si="37"/>
        <v>14876.11</v>
      </c>
    </row>
    <row r="1165" spans="1:7" ht="12.75" customHeight="1">
      <c r="A1165" s="3">
        <v>13458</v>
      </c>
      <c r="B1165" s="4" t="s">
        <v>1177</v>
      </c>
      <c r="C1165" s="3" t="s">
        <v>6</v>
      </c>
      <c r="D1165" s="5">
        <f t="shared" si="36"/>
        <v>14135.99</v>
      </c>
      <c r="E1165">
        <v>15517.01</v>
      </c>
      <c r="F1165" s="1789">
        <v>8.8999999999999996E-2</v>
      </c>
      <c r="G1165">
        <f t="shared" si="37"/>
        <v>14135.99</v>
      </c>
    </row>
    <row r="1166" spans="1:7" ht="12.75" customHeight="1">
      <c r="A1166" s="3">
        <v>11134</v>
      </c>
      <c r="B1166" s="4" t="s">
        <v>1178</v>
      </c>
      <c r="C1166" s="3" t="s">
        <v>409</v>
      </c>
      <c r="D1166" s="5">
        <f t="shared" si="36"/>
        <v>92.22</v>
      </c>
      <c r="E1166">
        <v>101.23</v>
      </c>
      <c r="F1166" s="1789">
        <v>8.8999999999999996E-2</v>
      </c>
      <c r="G1166">
        <f t="shared" si="37"/>
        <v>92.22</v>
      </c>
    </row>
    <row r="1167" spans="1:7" ht="12.75" customHeight="1">
      <c r="A1167" s="3">
        <v>11135</v>
      </c>
      <c r="B1167" s="4" t="s">
        <v>1179</v>
      </c>
      <c r="C1167" s="3" t="s">
        <v>409</v>
      </c>
      <c r="D1167" s="5">
        <f t="shared" si="36"/>
        <v>99.57</v>
      </c>
      <c r="E1167">
        <v>109.3</v>
      </c>
      <c r="F1167" s="1789">
        <v>8.8999999999999996E-2</v>
      </c>
      <c r="G1167">
        <f t="shared" si="37"/>
        <v>99.57</v>
      </c>
    </row>
    <row r="1168" spans="1:7" ht="12.75" customHeight="1">
      <c r="A1168" s="3">
        <v>11136</v>
      </c>
      <c r="B1168" s="4" t="s">
        <v>1180</v>
      </c>
      <c r="C1168" s="3" t="s">
        <v>409</v>
      </c>
      <c r="D1168" s="5">
        <f t="shared" si="36"/>
        <v>114.01</v>
      </c>
      <c r="E1168">
        <v>125.15</v>
      </c>
      <c r="F1168" s="1789">
        <v>8.8999999999999996E-2</v>
      </c>
      <c r="G1168">
        <f t="shared" si="37"/>
        <v>114.01</v>
      </c>
    </row>
    <row r="1169" spans="1:7" ht="12.75" customHeight="1">
      <c r="A1169" s="3">
        <v>34743</v>
      </c>
      <c r="B1169" s="4" t="s">
        <v>1181</v>
      </c>
      <c r="C1169" s="3" t="s">
        <v>409</v>
      </c>
      <c r="D1169" s="5">
        <f t="shared" si="36"/>
        <v>137.56</v>
      </c>
      <c r="E1169">
        <v>151</v>
      </c>
      <c r="F1169" s="1789">
        <v>8.8999999999999996E-2</v>
      </c>
      <c r="G1169">
        <f t="shared" si="37"/>
        <v>137.56</v>
      </c>
    </row>
    <row r="1170" spans="1:7" ht="12.75" customHeight="1">
      <c r="A1170" s="3">
        <v>11137</v>
      </c>
      <c r="B1170" s="4" t="s">
        <v>1182</v>
      </c>
      <c r="C1170" s="3" t="s">
        <v>409</v>
      </c>
      <c r="D1170" s="5">
        <f t="shared" si="36"/>
        <v>156.22999999999999</v>
      </c>
      <c r="E1170">
        <v>171.5</v>
      </c>
      <c r="F1170" s="1789">
        <v>8.8999999999999996E-2</v>
      </c>
      <c r="G1170">
        <f t="shared" si="37"/>
        <v>156.22999999999999</v>
      </c>
    </row>
    <row r="1171" spans="1:7" ht="12.75" customHeight="1">
      <c r="A1171" s="3">
        <v>34745</v>
      </c>
      <c r="B1171" s="4" t="s">
        <v>1183</v>
      </c>
      <c r="C1171" s="3" t="s">
        <v>409</v>
      </c>
      <c r="D1171" s="5">
        <f t="shared" si="36"/>
        <v>185.79</v>
      </c>
      <c r="E1171">
        <v>203.95</v>
      </c>
      <c r="F1171" s="1789">
        <v>8.8999999999999996E-2</v>
      </c>
      <c r="G1171">
        <f t="shared" si="37"/>
        <v>185.79</v>
      </c>
    </row>
    <row r="1172" spans="1:7" ht="12.75" customHeight="1">
      <c r="A1172" s="3">
        <v>34746</v>
      </c>
      <c r="B1172" s="4" t="s">
        <v>1184</v>
      </c>
      <c r="C1172" s="3" t="s">
        <v>409</v>
      </c>
      <c r="D1172" s="5">
        <f t="shared" si="36"/>
        <v>50.66</v>
      </c>
      <c r="E1172">
        <v>55.62</v>
      </c>
      <c r="F1172" s="1789">
        <v>8.8999999999999996E-2</v>
      </c>
      <c r="G1172">
        <f t="shared" si="37"/>
        <v>50.66</v>
      </c>
    </row>
    <row r="1173" spans="1:7" ht="12.75" customHeight="1">
      <c r="A1173" s="3">
        <v>1360</v>
      </c>
      <c r="B1173" s="4" t="s">
        <v>1185</v>
      </c>
      <c r="C1173" s="3" t="s">
        <v>409</v>
      </c>
      <c r="D1173" s="5">
        <f t="shared" si="36"/>
        <v>59.11</v>
      </c>
      <c r="E1173">
        <v>64.89</v>
      </c>
      <c r="F1173" s="1789">
        <v>8.8999999999999996E-2</v>
      </c>
      <c r="G1173">
        <f t="shared" si="37"/>
        <v>59.11</v>
      </c>
    </row>
    <row r="1174" spans="1:7" ht="12.75" customHeight="1">
      <c r="A1174" s="3">
        <v>36524</v>
      </c>
      <c r="B1174" s="4" t="s">
        <v>1186</v>
      </c>
      <c r="C1174" s="3" t="s">
        <v>6</v>
      </c>
      <c r="D1174" s="5">
        <f t="shared" si="36"/>
        <v>178969.47</v>
      </c>
      <c r="E1174">
        <v>196453.87</v>
      </c>
      <c r="F1174" s="1789">
        <v>8.8999999999999996E-2</v>
      </c>
      <c r="G1174">
        <f t="shared" si="37"/>
        <v>178969.47</v>
      </c>
    </row>
    <row r="1175" spans="1:7" ht="12.75" customHeight="1">
      <c r="A1175" s="3">
        <v>36526</v>
      </c>
      <c r="B1175" s="4" t="s">
        <v>1187</v>
      </c>
      <c r="C1175" s="3" t="s">
        <v>6</v>
      </c>
      <c r="D1175" s="5">
        <f t="shared" si="36"/>
        <v>144220.89000000001</v>
      </c>
      <c r="E1175">
        <v>158310.53</v>
      </c>
      <c r="F1175" s="1789">
        <v>8.8999999999999996E-2</v>
      </c>
      <c r="G1175">
        <f t="shared" si="37"/>
        <v>144220.89000000001</v>
      </c>
    </row>
    <row r="1176" spans="1:7" ht="12.75" customHeight="1">
      <c r="A1176" s="3">
        <v>36523</v>
      </c>
      <c r="B1176" s="4" t="s">
        <v>1188</v>
      </c>
      <c r="C1176" s="3" t="s">
        <v>6</v>
      </c>
      <c r="D1176" s="5">
        <f t="shared" si="36"/>
        <v>308757.46999999997</v>
      </c>
      <c r="E1176">
        <v>338921.49</v>
      </c>
      <c r="F1176" s="1789">
        <v>8.8999999999999996E-2</v>
      </c>
      <c r="G1176">
        <f t="shared" si="37"/>
        <v>308757.46999999997</v>
      </c>
    </row>
    <row r="1177" spans="1:7" ht="12.75" customHeight="1">
      <c r="A1177" s="3">
        <v>36527</v>
      </c>
      <c r="B1177" s="4" t="s">
        <v>1189</v>
      </c>
      <c r="C1177" s="3" t="s">
        <v>6</v>
      </c>
      <c r="D1177" s="5">
        <f t="shared" si="36"/>
        <v>335374.2</v>
      </c>
      <c r="E1177">
        <v>368138.54</v>
      </c>
      <c r="F1177" s="1789">
        <v>8.8999999999999996E-2</v>
      </c>
      <c r="G1177">
        <f t="shared" si="37"/>
        <v>335374.2</v>
      </c>
    </row>
    <row r="1178" spans="1:7" ht="12.75" customHeight="1">
      <c r="A1178" s="3">
        <v>38642</v>
      </c>
      <c r="B1178" s="4" t="s">
        <v>1190</v>
      </c>
      <c r="C1178" s="3" t="s">
        <v>6</v>
      </c>
      <c r="D1178" s="5">
        <f t="shared" si="36"/>
        <v>78083.72</v>
      </c>
      <c r="E1178">
        <v>85712.1</v>
      </c>
      <c r="F1178" s="1789">
        <v>8.8999999999999996E-2</v>
      </c>
      <c r="G1178">
        <f t="shared" si="37"/>
        <v>78083.72</v>
      </c>
    </row>
    <row r="1179" spans="1:7" ht="12.75" customHeight="1">
      <c r="A1179" s="3">
        <v>36522</v>
      </c>
      <c r="B1179" s="4" t="s">
        <v>1191</v>
      </c>
      <c r="C1179" s="3" t="s">
        <v>6</v>
      </c>
      <c r="D1179" s="5">
        <f t="shared" si="36"/>
        <v>90810.43</v>
      </c>
      <c r="E1179">
        <v>99682.15</v>
      </c>
      <c r="F1179" s="1789">
        <v>8.8999999999999996E-2</v>
      </c>
      <c r="G1179">
        <f t="shared" si="37"/>
        <v>90810.43</v>
      </c>
    </row>
    <row r="1180" spans="1:7" ht="12.75" customHeight="1">
      <c r="A1180" s="3">
        <v>36525</v>
      </c>
      <c r="B1180" s="4" t="s">
        <v>1192</v>
      </c>
      <c r="C1180" s="3" t="s">
        <v>6</v>
      </c>
      <c r="D1180" s="5">
        <f t="shared" si="36"/>
        <v>121616.37</v>
      </c>
      <c r="E1180">
        <v>133497.67000000001</v>
      </c>
      <c r="F1180" s="1789">
        <v>8.8999999999999996E-2</v>
      </c>
      <c r="G1180">
        <f t="shared" si="37"/>
        <v>121616.37</v>
      </c>
    </row>
    <row r="1181" spans="1:7" ht="12.75" customHeight="1">
      <c r="A1181" s="3">
        <v>13803</v>
      </c>
      <c r="B1181" s="4" t="s">
        <v>1193</v>
      </c>
      <c r="C1181" s="3" t="s">
        <v>6</v>
      </c>
      <c r="D1181" s="5">
        <f t="shared" si="36"/>
        <v>121268.39</v>
      </c>
      <c r="E1181">
        <v>133115.69</v>
      </c>
      <c r="F1181" s="1789">
        <v>8.8999999999999996E-2</v>
      </c>
      <c r="G1181">
        <f t="shared" si="37"/>
        <v>121268.39</v>
      </c>
    </row>
    <row r="1182" spans="1:7" ht="12.75" customHeight="1">
      <c r="A1182" s="3">
        <v>34348</v>
      </c>
      <c r="B1182" s="4" t="s">
        <v>1194</v>
      </c>
      <c r="C1182" s="3" t="s">
        <v>50</v>
      </c>
      <c r="D1182" s="5">
        <f t="shared" si="36"/>
        <v>23.8</v>
      </c>
      <c r="E1182">
        <v>26.13</v>
      </c>
      <c r="F1182" s="1789">
        <v>8.8999999999999996E-2</v>
      </c>
      <c r="G1182">
        <f t="shared" si="37"/>
        <v>23.8</v>
      </c>
    </row>
    <row r="1183" spans="1:7" ht="12.75" customHeight="1">
      <c r="A1183" s="3">
        <v>34347</v>
      </c>
      <c r="B1183" s="4" t="s">
        <v>1195</v>
      </c>
      <c r="C1183" s="3" t="s">
        <v>50</v>
      </c>
      <c r="D1183" s="5">
        <f t="shared" si="36"/>
        <v>17.010000000000002</v>
      </c>
      <c r="E1183">
        <v>18.68</v>
      </c>
      <c r="F1183" s="1789">
        <v>8.8999999999999996E-2</v>
      </c>
      <c r="G1183">
        <f t="shared" si="37"/>
        <v>17.010000000000002</v>
      </c>
    </row>
    <row r="1184" spans="1:7" ht="12.75" customHeight="1">
      <c r="A1184" s="3">
        <v>11146</v>
      </c>
      <c r="B1184" s="4" t="s">
        <v>1196</v>
      </c>
      <c r="C1184" s="3" t="s">
        <v>152</v>
      </c>
      <c r="D1184" s="5">
        <f t="shared" si="36"/>
        <v>691.94</v>
      </c>
      <c r="E1184">
        <v>759.54</v>
      </c>
      <c r="F1184" s="1789">
        <v>8.8999999999999996E-2</v>
      </c>
      <c r="G1184">
        <f t="shared" si="37"/>
        <v>691.94</v>
      </c>
    </row>
    <row r="1185" spans="1:7" ht="12.75" customHeight="1">
      <c r="A1185" s="3">
        <v>11147</v>
      </c>
      <c r="B1185" s="4" t="s">
        <v>1197</v>
      </c>
      <c r="C1185" s="3" t="s">
        <v>152</v>
      </c>
      <c r="D1185" s="5">
        <f t="shared" si="36"/>
        <v>719.02</v>
      </c>
      <c r="E1185">
        <v>789.27</v>
      </c>
      <c r="F1185" s="1789">
        <v>8.8999999999999996E-2</v>
      </c>
      <c r="G1185">
        <f t="shared" si="37"/>
        <v>719.02</v>
      </c>
    </row>
    <row r="1186" spans="1:7" ht="12.75" customHeight="1">
      <c r="A1186" s="3">
        <v>34872</v>
      </c>
      <c r="B1186" s="4" t="s">
        <v>1198</v>
      </c>
      <c r="C1186" s="3" t="s">
        <v>152</v>
      </c>
      <c r="D1186" s="5">
        <f t="shared" si="36"/>
        <v>727.09</v>
      </c>
      <c r="E1186">
        <v>798.13</v>
      </c>
      <c r="F1186" s="1789">
        <v>8.8999999999999996E-2</v>
      </c>
      <c r="G1186">
        <f t="shared" si="37"/>
        <v>727.09</v>
      </c>
    </row>
    <row r="1187" spans="1:7" ht="12.75" customHeight="1">
      <c r="A1187" s="3">
        <v>34491</v>
      </c>
      <c r="B1187" s="4" t="s">
        <v>1199</v>
      </c>
      <c r="C1187" s="3" t="s">
        <v>152</v>
      </c>
      <c r="D1187" s="5">
        <f t="shared" si="36"/>
        <v>748.16</v>
      </c>
      <c r="E1187">
        <v>821.26</v>
      </c>
      <c r="F1187" s="1789">
        <v>8.8999999999999996E-2</v>
      </c>
      <c r="G1187">
        <f t="shared" si="37"/>
        <v>748.16</v>
      </c>
    </row>
    <row r="1188" spans="1:7" ht="12.75" customHeight="1">
      <c r="A1188" s="3">
        <v>34770</v>
      </c>
      <c r="B1188" s="4" t="s">
        <v>1200</v>
      </c>
      <c r="C1188" s="3" t="s">
        <v>1201</v>
      </c>
      <c r="D1188" s="5">
        <f t="shared" si="36"/>
        <v>692.79</v>
      </c>
      <c r="E1188">
        <v>760.48</v>
      </c>
      <c r="F1188" s="1789">
        <v>8.8999999999999996E-2</v>
      </c>
      <c r="G1188">
        <f t="shared" si="37"/>
        <v>692.79</v>
      </c>
    </row>
    <row r="1189" spans="1:7" ht="12.75" customHeight="1">
      <c r="A1189" s="3">
        <v>1518</v>
      </c>
      <c r="B1189" s="4" t="s">
        <v>1202</v>
      </c>
      <c r="C1189" s="3" t="s">
        <v>1201</v>
      </c>
      <c r="D1189" s="5">
        <f t="shared" si="36"/>
        <v>706.29</v>
      </c>
      <c r="E1189">
        <v>775.3</v>
      </c>
      <c r="F1189" s="1789">
        <v>8.8999999999999996E-2</v>
      </c>
      <c r="G1189">
        <f t="shared" si="37"/>
        <v>706.29</v>
      </c>
    </row>
    <row r="1190" spans="1:7" ht="12.75" customHeight="1">
      <c r="A1190" s="3">
        <v>41965</v>
      </c>
      <c r="B1190" s="4" t="s">
        <v>1203</v>
      </c>
      <c r="C1190" s="3" t="s">
        <v>1201</v>
      </c>
      <c r="D1190" s="5">
        <f t="shared" si="36"/>
        <v>619.29999999999995</v>
      </c>
      <c r="E1190">
        <v>679.81</v>
      </c>
      <c r="F1190" s="1789">
        <v>8.8999999999999996E-2</v>
      </c>
      <c r="G1190">
        <f t="shared" si="37"/>
        <v>619.29999999999995</v>
      </c>
    </row>
    <row r="1191" spans="1:7" ht="12.75" customHeight="1">
      <c r="A1191" s="3">
        <v>1524</v>
      </c>
      <c r="B1191" s="4" t="s">
        <v>1204</v>
      </c>
      <c r="C1191" s="3" t="s">
        <v>152</v>
      </c>
      <c r="D1191" s="5">
        <f t="shared" si="36"/>
        <v>663.86</v>
      </c>
      <c r="E1191">
        <v>728.72</v>
      </c>
      <c r="F1191" s="1789">
        <v>8.8999999999999996E-2</v>
      </c>
      <c r="G1191">
        <f t="shared" si="37"/>
        <v>663.86</v>
      </c>
    </row>
    <row r="1192" spans="1:7" ht="12.75" customHeight="1">
      <c r="A1192" s="3">
        <v>34492</v>
      </c>
      <c r="B1192" s="4" t="s">
        <v>1205</v>
      </c>
      <c r="C1192" s="3" t="s">
        <v>152</v>
      </c>
      <c r="D1192" s="5">
        <f t="shared" si="36"/>
        <v>614.91999999999996</v>
      </c>
      <c r="E1192">
        <v>675</v>
      </c>
      <c r="F1192" s="1789">
        <v>8.8999999999999996E-2</v>
      </c>
      <c r="G1192">
        <f t="shared" si="37"/>
        <v>614.91999999999996</v>
      </c>
    </row>
    <row r="1193" spans="1:7" ht="12.75" customHeight="1">
      <c r="A1193" s="3">
        <v>38404</v>
      </c>
      <c r="B1193" s="4" t="s">
        <v>1206</v>
      </c>
      <c r="C1193" s="3" t="s">
        <v>152</v>
      </c>
      <c r="D1193" s="5">
        <f t="shared" si="36"/>
        <v>636.94000000000005</v>
      </c>
      <c r="E1193">
        <v>699.17</v>
      </c>
      <c r="F1193" s="1789">
        <v>8.8999999999999996E-2</v>
      </c>
      <c r="G1193">
        <f t="shared" si="37"/>
        <v>636.94000000000005</v>
      </c>
    </row>
    <row r="1194" spans="1:7" ht="12.75" customHeight="1">
      <c r="A1194" s="3">
        <v>39849</v>
      </c>
      <c r="B1194" s="4" t="s">
        <v>1207</v>
      </c>
      <c r="C1194" s="3" t="s">
        <v>152</v>
      </c>
      <c r="D1194" s="5">
        <f t="shared" si="36"/>
        <v>729.93</v>
      </c>
      <c r="E1194">
        <v>801.25</v>
      </c>
      <c r="F1194" s="1789">
        <v>8.8999999999999996E-2</v>
      </c>
      <c r="G1194">
        <f t="shared" si="37"/>
        <v>729.93</v>
      </c>
    </row>
    <row r="1195" spans="1:7" ht="12.75" customHeight="1">
      <c r="A1195" s="3">
        <v>38464</v>
      </c>
      <c r="B1195" s="4" t="s">
        <v>1208</v>
      </c>
      <c r="C1195" s="3" t="s">
        <v>152</v>
      </c>
      <c r="D1195" s="5">
        <f t="shared" si="36"/>
        <v>740.53</v>
      </c>
      <c r="E1195">
        <v>812.88</v>
      </c>
      <c r="F1195" s="1789">
        <v>8.8999999999999996E-2</v>
      </c>
      <c r="G1195">
        <f t="shared" si="37"/>
        <v>740.53</v>
      </c>
    </row>
    <row r="1196" spans="1:7" ht="12.75" customHeight="1">
      <c r="A1196" s="3">
        <v>1527</v>
      </c>
      <c r="B1196" s="4" t="s">
        <v>1209</v>
      </c>
      <c r="C1196" s="3" t="s">
        <v>152</v>
      </c>
      <c r="D1196" s="5">
        <f t="shared" si="36"/>
        <v>684.94</v>
      </c>
      <c r="E1196">
        <v>751.86</v>
      </c>
      <c r="F1196" s="1789">
        <v>8.8999999999999996E-2</v>
      </c>
      <c r="G1196">
        <f t="shared" si="37"/>
        <v>684.94</v>
      </c>
    </row>
    <row r="1197" spans="1:7" ht="12.75" customHeight="1">
      <c r="A1197" s="3">
        <v>34493</v>
      </c>
      <c r="B1197" s="4" t="s">
        <v>1210</v>
      </c>
      <c r="C1197" s="3" t="s">
        <v>152</v>
      </c>
      <c r="D1197" s="5">
        <f t="shared" si="36"/>
        <v>632.25</v>
      </c>
      <c r="E1197">
        <v>694.02</v>
      </c>
      <c r="F1197" s="1789">
        <v>8.8999999999999996E-2</v>
      </c>
      <c r="G1197">
        <f t="shared" si="37"/>
        <v>632.25</v>
      </c>
    </row>
    <row r="1198" spans="1:7" ht="12.75" customHeight="1">
      <c r="A1198" s="3">
        <v>38405</v>
      </c>
      <c r="B1198" s="4" t="s">
        <v>1211</v>
      </c>
      <c r="C1198" s="3" t="s">
        <v>152</v>
      </c>
      <c r="D1198" s="5">
        <f t="shared" si="36"/>
        <v>656.58</v>
      </c>
      <c r="E1198">
        <v>720.73</v>
      </c>
      <c r="F1198" s="1789">
        <v>8.8999999999999996E-2</v>
      </c>
      <c r="G1198">
        <f t="shared" si="37"/>
        <v>656.58</v>
      </c>
    </row>
    <row r="1199" spans="1:7" ht="12.75" customHeight="1">
      <c r="A1199" s="3">
        <v>38408</v>
      </c>
      <c r="B1199" s="4" t="s">
        <v>1212</v>
      </c>
      <c r="C1199" s="3" t="s">
        <v>152</v>
      </c>
      <c r="D1199" s="5">
        <f t="shared" si="36"/>
        <v>726.77</v>
      </c>
      <c r="E1199">
        <v>797.78</v>
      </c>
      <c r="F1199" s="1789">
        <v>8.8999999999999996E-2</v>
      </c>
      <c r="G1199">
        <f t="shared" si="37"/>
        <v>726.77</v>
      </c>
    </row>
    <row r="1200" spans="1:7" ht="12.75" customHeight="1">
      <c r="A1200" s="3">
        <v>1525</v>
      </c>
      <c r="B1200" s="4" t="s">
        <v>1213</v>
      </c>
      <c r="C1200" s="3" t="s">
        <v>152</v>
      </c>
      <c r="D1200" s="5">
        <f t="shared" si="36"/>
        <v>706.01</v>
      </c>
      <c r="E1200">
        <v>774.99</v>
      </c>
      <c r="F1200" s="1789">
        <v>8.8999999999999996E-2</v>
      </c>
      <c r="G1200">
        <f t="shared" si="37"/>
        <v>706.01</v>
      </c>
    </row>
    <row r="1201" spans="1:7" ht="12.75" customHeight="1">
      <c r="A1201" s="3">
        <v>34494</v>
      </c>
      <c r="B1201" s="4" t="s">
        <v>1214</v>
      </c>
      <c r="C1201" s="3" t="s">
        <v>152</v>
      </c>
      <c r="D1201" s="5">
        <f t="shared" si="36"/>
        <v>653.33000000000004</v>
      </c>
      <c r="E1201">
        <v>717.16</v>
      </c>
      <c r="F1201" s="1789">
        <v>8.8999999999999996E-2</v>
      </c>
      <c r="G1201">
        <f t="shared" si="37"/>
        <v>653.33000000000004</v>
      </c>
    </row>
    <row r="1202" spans="1:7" ht="12.75" customHeight="1">
      <c r="A1202" s="3">
        <v>38406</v>
      </c>
      <c r="B1202" s="4" t="s">
        <v>1215</v>
      </c>
      <c r="C1202" s="3" t="s">
        <v>152</v>
      </c>
      <c r="D1202" s="5">
        <f t="shared" si="36"/>
        <v>693.3</v>
      </c>
      <c r="E1202">
        <v>761.04</v>
      </c>
      <c r="F1202" s="1789">
        <v>8.8999999999999996E-2</v>
      </c>
      <c r="G1202">
        <f t="shared" si="37"/>
        <v>693.3</v>
      </c>
    </row>
    <row r="1203" spans="1:7" ht="12.75" customHeight="1">
      <c r="A1203" s="3">
        <v>38409</v>
      </c>
      <c r="B1203" s="4" t="s">
        <v>1216</v>
      </c>
      <c r="C1203" s="3" t="s">
        <v>152</v>
      </c>
      <c r="D1203" s="5">
        <f t="shared" si="36"/>
        <v>731.72</v>
      </c>
      <c r="E1203">
        <v>803.21</v>
      </c>
      <c r="F1203" s="1789">
        <v>8.8999999999999996E-2</v>
      </c>
      <c r="G1203">
        <f t="shared" si="37"/>
        <v>731.72</v>
      </c>
    </row>
    <row r="1204" spans="1:7" ht="12.75" customHeight="1">
      <c r="A1204" s="3">
        <v>43360</v>
      </c>
      <c r="B1204" s="4" t="s">
        <v>1217</v>
      </c>
      <c r="C1204" s="3" t="s">
        <v>152</v>
      </c>
      <c r="D1204" s="5">
        <f t="shared" si="36"/>
        <v>762.98</v>
      </c>
      <c r="E1204">
        <v>837.52</v>
      </c>
      <c r="F1204" s="1789">
        <v>8.8999999999999996E-2</v>
      </c>
      <c r="G1204">
        <f t="shared" si="37"/>
        <v>762.98</v>
      </c>
    </row>
    <row r="1205" spans="1:7" ht="12.75" customHeight="1">
      <c r="A1205" s="3">
        <v>11145</v>
      </c>
      <c r="B1205" s="4" t="s">
        <v>1218</v>
      </c>
      <c r="C1205" s="3" t="s">
        <v>152</v>
      </c>
      <c r="D1205" s="5">
        <f t="shared" si="36"/>
        <v>727.09</v>
      </c>
      <c r="E1205">
        <v>798.13</v>
      </c>
      <c r="F1205" s="1789">
        <v>8.8999999999999996E-2</v>
      </c>
      <c r="G1205">
        <f t="shared" si="37"/>
        <v>727.09</v>
      </c>
    </row>
    <row r="1206" spans="1:7" ht="12.75" customHeight="1">
      <c r="A1206" s="3">
        <v>34495</v>
      </c>
      <c r="B1206" s="4" t="s">
        <v>1219</v>
      </c>
      <c r="C1206" s="3" t="s">
        <v>152</v>
      </c>
      <c r="D1206" s="5">
        <f t="shared" si="36"/>
        <v>674.4</v>
      </c>
      <c r="E1206">
        <v>740.29</v>
      </c>
      <c r="F1206" s="1789">
        <v>8.8999999999999996E-2</v>
      </c>
      <c r="G1206">
        <f t="shared" si="37"/>
        <v>674.4</v>
      </c>
    </row>
    <row r="1207" spans="1:7" ht="12.75" customHeight="1">
      <c r="A1207" s="3">
        <v>34479</v>
      </c>
      <c r="B1207" s="4" t="s">
        <v>1220</v>
      </c>
      <c r="C1207" s="3" t="s">
        <v>152</v>
      </c>
      <c r="D1207" s="5">
        <f t="shared" si="36"/>
        <v>748.16</v>
      </c>
      <c r="E1207">
        <v>821.26</v>
      </c>
      <c r="F1207" s="1789">
        <v>8.8999999999999996E-2</v>
      </c>
      <c r="G1207">
        <f t="shared" si="37"/>
        <v>748.16</v>
      </c>
    </row>
    <row r="1208" spans="1:7" ht="12.75" customHeight="1">
      <c r="A1208" s="3">
        <v>34496</v>
      </c>
      <c r="B1208" s="4" t="s">
        <v>1221</v>
      </c>
      <c r="C1208" s="3" t="s">
        <v>152</v>
      </c>
      <c r="D1208" s="5">
        <f t="shared" si="36"/>
        <v>703.51</v>
      </c>
      <c r="E1208">
        <v>772.25</v>
      </c>
      <c r="F1208" s="1789">
        <v>8.8999999999999996E-2</v>
      </c>
      <c r="G1208">
        <f t="shared" si="37"/>
        <v>703.51</v>
      </c>
    </row>
    <row r="1209" spans="1:7" ht="12.75" customHeight="1">
      <c r="A1209" s="3">
        <v>34481</v>
      </c>
      <c r="B1209" s="4" t="s">
        <v>1222</v>
      </c>
      <c r="C1209" s="3" t="s">
        <v>152</v>
      </c>
      <c r="D1209" s="5">
        <f t="shared" si="36"/>
        <v>781.74</v>
      </c>
      <c r="E1209">
        <v>858.12</v>
      </c>
      <c r="F1209" s="1789">
        <v>8.8999999999999996E-2</v>
      </c>
      <c r="G1209">
        <f t="shared" si="37"/>
        <v>781.74</v>
      </c>
    </row>
    <row r="1210" spans="1:7" ht="12.75" customHeight="1">
      <c r="A1210" s="3">
        <v>34483</v>
      </c>
      <c r="B1210" s="4" t="s">
        <v>1223</v>
      </c>
      <c r="C1210" s="3" t="s">
        <v>152</v>
      </c>
      <c r="D1210" s="5">
        <f t="shared" si="36"/>
        <v>835.24</v>
      </c>
      <c r="E1210">
        <v>916.84</v>
      </c>
      <c r="F1210" s="1789">
        <v>8.8999999999999996E-2</v>
      </c>
      <c r="G1210">
        <f t="shared" si="37"/>
        <v>835.24</v>
      </c>
    </row>
    <row r="1211" spans="1:7" ht="12.75" customHeight="1">
      <c r="A1211" s="3">
        <v>34485</v>
      </c>
      <c r="B1211" s="4" t="s">
        <v>1224</v>
      </c>
      <c r="C1211" s="3" t="s">
        <v>152</v>
      </c>
      <c r="D1211" s="5">
        <f t="shared" si="36"/>
        <v>893.19</v>
      </c>
      <c r="E1211">
        <v>980.46</v>
      </c>
      <c r="F1211" s="1789">
        <v>8.8999999999999996E-2</v>
      </c>
      <c r="G1211">
        <f t="shared" si="37"/>
        <v>893.19</v>
      </c>
    </row>
    <row r="1212" spans="1:7" ht="12.75" customHeight="1">
      <c r="A1212" s="3">
        <v>14041</v>
      </c>
      <c r="B1212" s="4" t="s">
        <v>1225</v>
      </c>
      <c r="C1212" s="3" t="s">
        <v>152</v>
      </c>
      <c r="D1212" s="5">
        <f t="shared" si="36"/>
        <v>580.61</v>
      </c>
      <c r="E1212">
        <v>637.34</v>
      </c>
      <c r="F1212" s="1789">
        <v>8.8999999999999996E-2</v>
      </c>
      <c r="G1212">
        <f t="shared" si="37"/>
        <v>580.61</v>
      </c>
    </row>
    <row r="1213" spans="1:7" ht="12.75" customHeight="1">
      <c r="A1213" s="3">
        <v>1523</v>
      </c>
      <c r="B1213" s="4" t="s">
        <v>1226</v>
      </c>
      <c r="C1213" s="3" t="s">
        <v>152</v>
      </c>
      <c r="D1213" s="5">
        <f t="shared" si="36"/>
        <v>590.1</v>
      </c>
      <c r="E1213">
        <v>647.76</v>
      </c>
      <c r="F1213" s="1789">
        <v>8.8999999999999996E-2</v>
      </c>
      <c r="G1213">
        <f t="shared" si="37"/>
        <v>590.1</v>
      </c>
    </row>
    <row r="1214" spans="1:7" ht="12.75" customHeight="1">
      <c r="A1214" s="3">
        <v>14052</v>
      </c>
      <c r="B1214" s="4" t="s">
        <v>1227</v>
      </c>
      <c r="C1214" s="3" t="s">
        <v>6</v>
      </c>
      <c r="D1214" s="5">
        <f t="shared" si="36"/>
        <v>11.05</v>
      </c>
      <c r="E1214">
        <v>12.13</v>
      </c>
      <c r="F1214" s="1789">
        <v>8.8999999999999996E-2</v>
      </c>
      <c r="G1214">
        <f t="shared" si="37"/>
        <v>11.05</v>
      </c>
    </row>
    <row r="1215" spans="1:7" ht="12.75" customHeight="1">
      <c r="A1215" s="3">
        <v>14054</v>
      </c>
      <c r="B1215" s="4" t="s">
        <v>1228</v>
      </c>
      <c r="C1215" s="3" t="s">
        <v>6</v>
      </c>
      <c r="D1215" s="5">
        <f t="shared" si="36"/>
        <v>14.36</v>
      </c>
      <c r="E1215">
        <v>15.77</v>
      </c>
      <c r="F1215" s="1789">
        <v>8.8999999999999996E-2</v>
      </c>
      <c r="G1215">
        <f t="shared" si="37"/>
        <v>14.36</v>
      </c>
    </row>
    <row r="1216" spans="1:7" ht="12.75" customHeight="1">
      <c r="A1216" s="3">
        <v>14053</v>
      </c>
      <c r="B1216" s="4" t="s">
        <v>1229</v>
      </c>
      <c r="C1216" s="3" t="s">
        <v>6</v>
      </c>
      <c r="D1216" s="5">
        <f t="shared" si="36"/>
        <v>11.21</v>
      </c>
      <c r="E1216">
        <v>12.31</v>
      </c>
      <c r="F1216" s="1789">
        <v>8.8999999999999996E-2</v>
      </c>
      <c r="G1216">
        <f t="shared" si="37"/>
        <v>11.21</v>
      </c>
    </row>
    <row r="1217" spans="1:7" ht="12.75" customHeight="1">
      <c r="A1217" s="3">
        <v>2558</v>
      </c>
      <c r="B1217" s="4" t="s">
        <v>1230</v>
      </c>
      <c r="C1217" s="3" t="s">
        <v>6</v>
      </c>
      <c r="D1217" s="5">
        <f t="shared" si="36"/>
        <v>8.44</v>
      </c>
      <c r="E1217">
        <v>9.27</v>
      </c>
      <c r="F1217" s="1789">
        <v>8.8999999999999996E-2</v>
      </c>
      <c r="G1217">
        <f t="shared" si="37"/>
        <v>8.44</v>
      </c>
    </row>
    <row r="1218" spans="1:7" ht="12.75" customHeight="1">
      <c r="A1218" s="3">
        <v>2560</v>
      </c>
      <c r="B1218" s="4" t="s">
        <v>1231</v>
      </c>
      <c r="C1218" s="3" t="s">
        <v>6</v>
      </c>
      <c r="D1218" s="5">
        <f t="shared" si="36"/>
        <v>14.86</v>
      </c>
      <c r="E1218">
        <v>16.32</v>
      </c>
      <c r="F1218" s="1789">
        <v>8.8999999999999996E-2</v>
      </c>
      <c r="G1218">
        <f t="shared" si="37"/>
        <v>14.86</v>
      </c>
    </row>
    <row r="1219" spans="1:7" ht="12.75" customHeight="1">
      <c r="A1219" s="3">
        <v>2559</v>
      </c>
      <c r="B1219" s="4" t="s">
        <v>1232</v>
      </c>
      <c r="C1219" s="3" t="s">
        <v>6</v>
      </c>
      <c r="D1219" s="5">
        <f t="shared" ref="D1219:D1282" si="38">G1219</f>
        <v>11.88</v>
      </c>
      <c r="E1219">
        <v>13.05</v>
      </c>
      <c r="F1219" s="1789">
        <v>8.8999999999999996E-2</v>
      </c>
      <c r="G1219">
        <f t="shared" ref="G1219:G1282" si="39">TRUNC((1-F1219)*E1219,2)</f>
        <v>11.88</v>
      </c>
    </row>
    <row r="1220" spans="1:7" ht="12.75" customHeight="1">
      <c r="A1220" s="3">
        <v>2592</v>
      </c>
      <c r="B1220" s="4" t="s">
        <v>1233</v>
      </c>
      <c r="C1220" s="3" t="s">
        <v>6</v>
      </c>
      <c r="D1220" s="5">
        <f t="shared" si="38"/>
        <v>197.08</v>
      </c>
      <c r="E1220">
        <v>216.34</v>
      </c>
      <c r="F1220" s="1789">
        <v>8.8999999999999996E-2</v>
      </c>
      <c r="G1220">
        <f t="shared" si="39"/>
        <v>197.08</v>
      </c>
    </row>
    <row r="1221" spans="1:7" ht="12.75" customHeight="1">
      <c r="A1221" s="3">
        <v>2589</v>
      </c>
      <c r="B1221" s="4" t="s">
        <v>1234</v>
      </c>
      <c r="C1221" s="3" t="s">
        <v>6</v>
      </c>
      <c r="D1221" s="5">
        <f t="shared" si="38"/>
        <v>26.36</v>
      </c>
      <c r="E1221">
        <v>28.94</v>
      </c>
      <c r="F1221" s="1789">
        <v>8.8999999999999996E-2</v>
      </c>
      <c r="G1221">
        <f t="shared" si="39"/>
        <v>26.36</v>
      </c>
    </row>
    <row r="1222" spans="1:7" ht="12.75" customHeight="1">
      <c r="A1222" s="3">
        <v>2566</v>
      </c>
      <c r="B1222" s="4" t="s">
        <v>1235</v>
      </c>
      <c r="C1222" s="3" t="s">
        <v>6</v>
      </c>
      <c r="D1222" s="5">
        <f t="shared" si="38"/>
        <v>19.829999999999998</v>
      </c>
      <c r="E1222">
        <v>21.77</v>
      </c>
      <c r="F1222" s="1789">
        <v>8.8999999999999996E-2</v>
      </c>
      <c r="G1222">
        <f t="shared" si="39"/>
        <v>19.829999999999998</v>
      </c>
    </row>
    <row r="1223" spans="1:7" ht="12.75" customHeight="1">
      <c r="A1223" s="3">
        <v>2591</v>
      </c>
      <c r="B1223" s="4" t="s">
        <v>1236</v>
      </c>
      <c r="C1223" s="3" t="s">
        <v>6</v>
      </c>
      <c r="D1223" s="5">
        <f t="shared" si="38"/>
        <v>9.61</v>
      </c>
      <c r="E1223">
        <v>10.55</v>
      </c>
      <c r="F1223" s="1789">
        <v>8.8999999999999996E-2</v>
      </c>
      <c r="G1223">
        <f t="shared" si="39"/>
        <v>9.61</v>
      </c>
    </row>
    <row r="1224" spans="1:7" ht="12.75" customHeight="1">
      <c r="A1224" s="3">
        <v>2590</v>
      </c>
      <c r="B1224" s="4" t="s">
        <v>1237</v>
      </c>
      <c r="C1224" s="3" t="s">
        <v>6</v>
      </c>
      <c r="D1224" s="5">
        <f t="shared" si="38"/>
        <v>16.170000000000002</v>
      </c>
      <c r="E1224">
        <v>17.760000000000002</v>
      </c>
      <c r="F1224" s="1789">
        <v>8.8999999999999996E-2</v>
      </c>
      <c r="G1224">
        <f t="shared" si="39"/>
        <v>16.170000000000002</v>
      </c>
    </row>
    <row r="1225" spans="1:7" ht="12.75" customHeight="1">
      <c r="A1225" s="3">
        <v>2567</v>
      </c>
      <c r="B1225" s="4" t="s">
        <v>1238</v>
      </c>
      <c r="C1225" s="3" t="s">
        <v>6</v>
      </c>
      <c r="D1225" s="5">
        <f t="shared" si="38"/>
        <v>38.659999999999997</v>
      </c>
      <c r="E1225">
        <v>42.44</v>
      </c>
      <c r="F1225" s="1789">
        <v>8.8999999999999996E-2</v>
      </c>
      <c r="G1225">
        <f t="shared" si="39"/>
        <v>38.659999999999997</v>
      </c>
    </row>
    <row r="1226" spans="1:7" ht="12.75" customHeight="1">
      <c r="A1226" s="3">
        <v>2565</v>
      </c>
      <c r="B1226" s="4" t="s">
        <v>1239</v>
      </c>
      <c r="C1226" s="3" t="s">
        <v>6</v>
      </c>
      <c r="D1226" s="5">
        <f t="shared" si="38"/>
        <v>9.6199999999999992</v>
      </c>
      <c r="E1226">
        <v>10.57</v>
      </c>
      <c r="F1226" s="1789">
        <v>8.8999999999999996E-2</v>
      </c>
      <c r="G1226">
        <f t="shared" si="39"/>
        <v>9.6199999999999992</v>
      </c>
    </row>
    <row r="1227" spans="1:7" ht="12.75" customHeight="1">
      <c r="A1227" s="3">
        <v>2568</v>
      </c>
      <c r="B1227" s="4" t="s">
        <v>1240</v>
      </c>
      <c r="C1227" s="3" t="s">
        <v>6</v>
      </c>
      <c r="D1227" s="5">
        <f t="shared" si="38"/>
        <v>107.37</v>
      </c>
      <c r="E1227">
        <v>117.87</v>
      </c>
      <c r="F1227" s="1789">
        <v>8.8999999999999996E-2</v>
      </c>
      <c r="G1227">
        <f t="shared" si="39"/>
        <v>107.37</v>
      </c>
    </row>
    <row r="1228" spans="1:7" ht="12.75" customHeight="1">
      <c r="A1228" s="3">
        <v>2594</v>
      </c>
      <c r="B1228" s="4" t="s">
        <v>1241</v>
      </c>
      <c r="C1228" s="3" t="s">
        <v>6</v>
      </c>
      <c r="D1228" s="5">
        <f t="shared" si="38"/>
        <v>178.88</v>
      </c>
      <c r="E1228">
        <v>196.36</v>
      </c>
      <c r="F1228" s="1789">
        <v>8.8999999999999996E-2</v>
      </c>
      <c r="G1228">
        <f t="shared" si="39"/>
        <v>178.88</v>
      </c>
    </row>
    <row r="1229" spans="1:7" ht="12.75" customHeight="1">
      <c r="A1229" s="3">
        <v>2587</v>
      </c>
      <c r="B1229" s="4" t="s">
        <v>1242</v>
      </c>
      <c r="C1229" s="3" t="s">
        <v>6</v>
      </c>
      <c r="D1229" s="5">
        <f t="shared" si="38"/>
        <v>30.48</v>
      </c>
      <c r="E1229">
        <v>33.46</v>
      </c>
      <c r="F1229" s="1789">
        <v>8.8999999999999996E-2</v>
      </c>
      <c r="G1229">
        <f t="shared" si="39"/>
        <v>30.48</v>
      </c>
    </row>
    <row r="1230" spans="1:7" ht="12.75" customHeight="1">
      <c r="A1230" s="3">
        <v>2588</v>
      </c>
      <c r="B1230" s="4" t="s">
        <v>1243</v>
      </c>
      <c r="C1230" s="3" t="s">
        <v>6</v>
      </c>
      <c r="D1230" s="5">
        <f t="shared" si="38"/>
        <v>24.21</v>
      </c>
      <c r="E1230">
        <v>26.58</v>
      </c>
      <c r="F1230" s="1789">
        <v>8.8999999999999996E-2</v>
      </c>
      <c r="G1230">
        <f t="shared" si="39"/>
        <v>24.21</v>
      </c>
    </row>
    <row r="1231" spans="1:7" ht="12.75" customHeight="1">
      <c r="A1231" s="3">
        <v>2569</v>
      </c>
      <c r="B1231" s="4" t="s">
        <v>1244</v>
      </c>
      <c r="C1231" s="3" t="s">
        <v>6</v>
      </c>
      <c r="D1231" s="5">
        <f t="shared" si="38"/>
        <v>9.32</v>
      </c>
      <c r="E1231">
        <v>10.24</v>
      </c>
      <c r="F1231" s="1789">
        <v>8.8999999999999996E-2</v>
      </c>
      <c r="G1231">
        <f t="shared" si="39"/>
        <v>9.32</v>
      </c>
    </row>
    <row r="1232" spans="1:7" ht="12.75" customHeight="1">
      <c r="A1232" s="3">
        <v>2570</v>
      </c>
      <c r="B1232" s="4" t="s">
        <v>1245</v>
      </c>
      <c r="C1232" s="3" t="s">
        <v>6</v>
      </c>
      <c r="D1232" s="5">
        <f t="shared" si="38"/>
        <v>15.64</v>
      </c>
      <c r="E1232">
        <v>17.170000000000002</v>
      </c>
      <c r="F1232" s="1789">
        <v>8.8999999999999996E-2</v>
      </c>
      <c r="G1232">
        <f t="shared" si="39"/>
        <v>15.64</v>
      </c>
    </row>
    <row r="1233" spans="1:7" ht="12.75" customHeight="1">
      <c r="A1233" s="3">
        <v>2571</v>
      </c>
      <c r="B1233" s="4" t="s">
        <v>1246</v>
      </c>
      <c r="C1233" s="3" t="s">
        <v>6</v>
      </c>
      <c r="D1233" s="5">
        <f t="shared" si="38"/>
        <v>46.43</v>
      </c>
      <c r="E1233">
        <v>50.97</v>
      </c>
      <c r="F1233" s="1789">
        <v>8.8999999999999996E-2</v>
      </c>
      <c r="G1233">
        <f t="shared" si="39"/>
        <v>46.43</v>
      </c>
    </row>
    <row r="1234" spans="1:7" ht="12.75" customHeight="1">
      <c r="A1234" s="3">
        <v>2593</v>
      </c>
      <c r="B1234" s="4" t="s">
        <v>1247</v>
      </c>
      <c r="C1234" s="3" t="s">
        <v>6</v>
      </c>
      <c r="D1234" s="5">
        <f t="shared" si="38"/>
        <v>9.94</v>
      </c>
      <c r="E1234">
        <v>10.92</v>
      </c>
      <c r="F1234" s="1789">
        <v>8.8999999999999996E-2</v>
      </c>
      <c r="G1234">
        <f t="shared" si="39"/>
        <v>9.94</v>
      </c>
    </row>
    <row r="1235" spans="1:7" ht="12.75" customHeight="1">
      <c r="A1235" s="3">
        <v>2572</v>
      </c>
      <c r="B1235" s="4" t="s">
        <v>1248</v>
      </c>
      <c r="C1235" s="3" t="s">
        <v>6</v>
      </c>
      <c r="D1235" s="5">
        <f t="shared" si="38"/>
        <v>137.31</v>
      </c>
      <c r="E1235">
        <v>150.72999999999999</v>
      </c>
      <c r="F1235" s="1789">
        <v>8.8999999999999996E-2</v>
      </c>
      <c r="G1235">
        <f t="shared" si="39"/>
        <v>137.31</v>
      </c>
    </row>
    <row r="1236" spans="1:7" ht="12.75" customHeight="1">
      <c r="A1236" s="3">
        <v>2595</v>
      </c>
      <c r="B1236" s="4" t="s">
        <v>1249</v>
      </c>
      <c r="C1236" s="3" t="s">
        <v>6</v>
      </c>
      <c r="D1236" s="5">
        <f t="shared" si="38"/>
        <v>214.23</v>
      </c>
      <c r="E1236">
        <v>235.17</v>
      </c>
      <c r="F1236" s="1789">
        <v>8.8999999999999996E-2</v>
      </c>
      <c r="G1236">
        <f t="shared" si="39"/>
        <v>214.23</v>
      </c>
    </row>
    <row r="1237" spans="1:7" ht="12.75" customHeight="1">
      <c r="A1237" s="3">
        <v>2576</v>
      </c>
      <c r="B1237" s="4" t="s">
        <v>1250</v>
      </c>
      <c r="C1237" s="3" t="s">
        <v>6</v>
      </c>
      <c r="D1237" s="5">
        <f t="shared" si="38"/>
        <v>36.520000000000003</v>
      </c>
      <c r="E1237">
        <v>40.090000000000003</v>
      </c>
      <c r="F1237" s="1789">
        <v>8.8999999999999996E-2</v>
      </c>
      <c r="G1237">
        <f t="shared" si="39"/>
        <v>36.520000000000003</v>
      </c>
    </row>
    <row r="1238" spans="1:7" ht="12.75" customHeight="1">
      <c r="A1238" s="3">
        <v>2575</v>
      </c>
      <c r="B1238" s="4" t="s">
        <v>1251</v>
      </c>
      <c r="C1238" s="3" t="s">
        <v>6</v>
      </c>
      <c r="D1238" s="5">
        <f t="shared" si="38"/>
        <v>27.45</v>
      </c>
      <c r="E1238">
        <v>30.14</v>
      </c>
      <c r="F1238" s="1789">
        <v>8.8999999999999996E-2</v>
      </c>
      <c r="G1238">
        <f t="shared" si="39"/>
        <v>27.45</v>
      </c>
    </row>
    <row r="1239" spans="1:7" ht="12.75" customHeight="1">
      <c r="A1239" s="3">
        <v>2573</v>
      </c>
      <c r="B1239" s="4" t="s">
        <v>1252</v>
      </c>
      <c r="C1239" s="3" t="s">
        <v>6</v>
      </c>
      <c r="D1239" s="5">
        <f t="shared" si="38"/>
        <v>11.39</v>
      </c>
      <c r="E1239">
        <v>12.51</v>
      </c>
      <c r="F1239" s="1789">
        <v>8.8999999999999996E-2</v>
      </c>
      <c r="G1239">
        <f t="shared" si="39"/>
        <v>11.39</v>
      </c>
    </row>
    <row r="1240" spans="1:7" ht="12.75" customHeight="1">
      <c r="A1240" s="3">
        <v>2586</v>
      </c>
      <c r="B1240" s="4" t="s">
        <v>1253</v>
      </c>
      <c r="C1240" s="3" t="s">
        <v>6</v>
      </c>
      <c r="D1240" s="5">
        <f t="shared" si="38"/>
        <v>18.47</v>
      </c>
      <c r="E1240">
        <v>20.28</v>
      </c>
      <c r="F1240" s="1789">
        <v>8.8999999999999996E-2</v>
      </c>
      <c r="G1240">
        <f t="shared" si="39"/>
        <v>18.47</v>
      </c>
    </row>
    <row r="1241" spans="1:7" ht="12.75" customHeight="1">
      <c r="A1241" s="3">
        <v>2577</v>
      </c>
      <c r="B1241" s="4" t="s">
        <v>1254</v>
      </c>
      <c r="C1241" s="3" t="s">
        <v>6</v>
      </c>
      <c r="D1241" s="5">
        <f t="shared" si="38"/>
        <v>49.48</v>
      </c>
      <c r="E1241">
        <v>54.32</v>
      </c>
      <c r="F1241" s="1789">
        <v>8.8999999999999996E-2</v>
      </c>
      <c r="G1241">
        <f t="shared" si="39"/>
        <v>49.48</v>
      </c>
    </row>
    <row r="1242" spans="1:7" ht="12.75" customHeight="1">
      <c r="A1242" s="3">
        <v>2574</v>
      </c>
      <c r="B1242" s="4" t="s">
        <v>1255</v>
      </c>
      <c r="C1242" s="3" t="s">
        <v>6</v>
      </c>
      <c r="D1242" s="5">
        <f t="shared" si="38"/>
        <v>11.47</v>
      </c>
      <c r="E1242">
        <v>12.6</v>
      </c>
      <c r="F1242" s="1789">
        <v>8.8999999999999996E-2</v>
      </c>
      <c r="G1242">
        <f t="shared" si="39"/>
        <v>11.47</v>
      </c>
    </row>
    <row r="1243" spans="1:7" ht="12.75" customHeight="1">
      <c r="A1243" s="3">
        <v>2578</v>
      </c>
      <c r="B1243" s="4" t="s">
        <v>1256</v>
      </c>
      <c r="C1243" s="3" t="s">
        <v>6</v>
      </c>
      <c r="D1243" s="5">
        <f t="shared" si="38"/>
        <v>154.5</v>
      </c>
      <c r="E1243">
        <v>169.6</v>
      </c>
      <c r="F1243" s="1789">
        <v>8.8999999999999996E-2</v>
      </c>
      <c r="G1243">
        <f t="shared" si="39"/>
        <v>154.5</v>
      </c>
    </row>
    <row r="1244" spans="1:7" ht="12.75" customHeight="1">
      <c r="A1244" s="3">
        <v>2585</v>
      </c>
      <c r="B1244" s="4" t="s">
        <v>1257</v>
      </c>
      <c r="C1244" s="3" t="s">
        <v>6</v>
      </c>
      <c r="D1244" s="5">
        <f t="shared" si="38"/>
        <v>212.01</v>
      </c>
      <c r="E1244">
        <v>232.73</v>
      </c>
      <c r="F1244" s="1789">
        <v>8.8999999999999996E-2</v>
      </c>
      <c r="G1244">
        <f t="shared" si="39"/>
        <v>212.01</v>
      </c>
    </row>
    <row r="1245" spans="1:7" ht="12.75" customHeight="1">
      <c r="A1245" s="3">
        <v>12008</v>
      </c>
      <c r="B1245" s="4" t="s">
        <v>1258</v>
      </c>
      <c r="C1245" s="3" t="s">
        <v>6</v>
      </c>
      <c r="D1245" s="5">
        <f t="shared" si="38"/>
        <v>113.75</v>
      </c>
      <c r="E1245">
        <v>124.87</v>
      </c>
      <c r="F1245" s="1789">
        <v>8.8999999999999996E-2</v>
      </c>
      <c r="G1245">
        <f t="shared" si="39"/>
        <v>113.75</v>
      </c>
    </row>
    <row r="1246" spans="1:7" ht="12.75" customHeight="1">
      <c r="A1246" s="3">
        <v>2582</v>
      </c>
      <c r="B1246" s="4" t="s">
        <v>1259</v>
      </c>
      <c r="C1246" s="3" t="s">
        <v>6</v>
      </c>
      <c r="D1246" s="5">
        <f t="shared" si="38"/>
        <v>33.869999999999997</v>
      </c>
      <c r="E1246">
        <v>37.18</v>
      </c>
      <c r="F1246" s="1789">
        <v>8.8999999999999996E-2</v>
      </c>
      <c r="G1246">
        <f t="shared" si="39"/>
        <v>33.869999999999997</v>
      </c>
    </row>
    <row r="1247" spans="1:7" ht="12.75" customHeight="1">
      <c r="A1247" s="3">
        <v>2597</v>
      </c>
      <c r="B1247" s="4" t="s">
        <v>1260</v>
      </c>
      <c r="C1247" s="3" t="s">
        <v>6</v>
      </c>
      <c r="D1247" s="5">
        <f t="shared" si="38"/>
        <v>29.03</v>
      </c>
      <c r="E1247">
        <v>31.87</v>
      </c>
      <c r="F1247" s="1789">
        <v>8.8999999999999996E-2</v>
      </c>
      <c r="G1247">
        <f t="shared" si="39"/>
        <v>29.03</v>
      </c>
    </row>
    <row r="1248" spans="1:7" ht="12.75" customHeight="1">
      <c r="A1248" s="3">
        <v>2579</v>
      </c>
      <c r="B1248" s="4" t="s">
        <v>1261</v>
      </c>
      <c r="C1248" s="3" t="s">
        <v>6</v>
      </c>
      <c r="D1248" s="5">
        <f t="shared" si="38"/>
        <v>13.81</v>
      </c>
      <c r="E1248">
        <v>15.17</v>
      </c>
      <c r="F1248" s="1789">
        <v>8.8999999999999996E-2</v>
      </c>
      <c r="G1248">
        <f t="shared" si="39"/>
        <v>13.81</v>
      </c>
    </row>
    <row r="1249" spans="1:7" ht="12.75" customHeight="1">
      <c r="A1249" s="3">
        <v>2581</v>
      </c>
      <c r="B1249" s="4" t="s">
        <v>1262</v>
      </c>
      <c r="C1249" s="3" t="s">
        <v>6</v>
      </c>
      <c r="D1249" s="5">
        <f t="shared" si="38"/>
        <v>17.68</v>
      </c>
      <c r="E1249">
        <v>19.41</v>
      </c>
      <c r="F1249" s="1789">
        <v>8.8999999999999996E-2</v>
      </c>
      <c r="G1249">
        <f t="shared" si="39"/>
        <v>17.68</v>
      </c>
    </row>
    <row r="1250" spans="1:7" ht="12.75" customHeight="1">
      <c r="A1250" s="3">
        <v>2596</v>
      </c>
      <c r="B1250" s="4" t="s">
        <v>1263</v>
      </c>
      <c r="C1250" s="3" t="s">
        <v>6</v>
      </c>
      <c r="D1250" s="5">
        <f t="shared" si="38"/>
        <v>52.3</v>
      </c>
      <c r="E1250">
        <v>57.42</v>
      </c>
      <c r="F1250" s="1789">
        <v>8.8999999999999996E-2</v>
      </c>
      <c r="G1250">
        <f t="shared" si="39"/>
        <v>52.3</v>
      </c>
    </row>
    <row r="1251" spans="1:7" ht="12.75" customHeight="1">
      <c r="A1251" s="3">
        <v>2580</v>
      </c>
      <c r="B1251" s="4" t="s">
        <v>1264</v>
      </c>
      <c r="C1251" s="3" t="s">
        <v>6</v>
      </c>
      <c r="D1251" s="5">
        <f t="shared" si="38"/>
        <v>15.14</v>
      </c>
      <c r="E1251">
        <v>16.63</v>
      </c>
      <c r="F1251" s="1789">
        <v>8.8999999999999996E-2</v>
      </c>
      <c r="G1251">
        <f t="shared" si="39"/>
        <v>15.14</v>
      </c>
    </row>
    <row r="1252" spans="1:7" ht="12.75" customHeight="1">
      <c r="A1252" s="3">
        <v>2583</v>
      </c>
      <c r="B1252" s="4" t="s">
        <v>1265</v>
      </c>
      <c r="C1252" s="3" t="s">
        <v>6</v>
      </c>
      <c r="D1252" s="5">
        <f t="shared" si="38"/>
        <v>127.23</v>
      </c>
      <c r="E1252">
        <v>139.66</v>
      </c>
      <c r="F1252" s="1789">
        <v>8.8999999999999996E-2</v>
      </c>
      <c r="G1252">
        <f t="shared" si="39"/>
        <v>127.23</v>
      </c>
    </row>
    <row r="1253" spans="1:7" ht="12.75" customHeight="1">
      <c r="A1253" s="3">
        <v>2584</v>
      </c>
      <c r="B1253" s="4" t="s">
        <v>1266</v>
      </c>
      <c r="C1253" s="3" t="s">
        <v>6</v>
      </c>
      <c r="D1253" s="5">
        <f t="shared" si="38"/>
        <v>211.79</v>
      </c>
      <c r="E1253">
        <v>232.49</v>
      </c>
      <c r="F1253" s="1789">
        <v>8.8999999999999996E-2</v>
      </c>
      <c r="G1253">
        <f t="shared" si="39"/>
        <v>211.79</v>
      </c>
    </row>
    <row r="1254" spans="1:7" ht="12.75" customHeight="1">
      <c r="A1254" s="3">
        <v>12010</v>
      </c>
      <c r="B1254" s="4" t="s">
        <v>1267</v>
      </c>
      <c r="C1254" s="3" t="s">
        <v>6</v>
      </c>
      <c r="D1254" s="5">
        <f t="shared" si="38"/>
        <v>10.54</v>
      </c>
      <c r="E1254">
        <v>11.57</v>
      </c>
      <c r="F1254" s="1789">
        <v>8.8999999999999996E-2</v>
      </c>
      <c r="G1254">
        <f t="shared" si="39"/>
        <v>10.54</v>
      </c>
    </row>
    <row r="1255" spans="1:7" ht="12.75" customHeight="1">
      <c r="A1255" s="3">
        <v>39329</v>
      </c>
      <c r="B1255" s="4" t="s">
        <v>1268</v>
      </c>
      <c r="C1255" s="3" t="s">
        <v>6</v>
      </c>
      <c r="D1255" s="5">
        <f t="shared" si="38"/>
        <v>11.02</v>
      </c>
      <c r="E1255">
        <v>12.1</v>
      </c>
      <c r="F1255" s="1789">
        <v>8.8999999999999996E-2</v>
      </c>
      <c r="G1255">
        <f t="shared" si="39"/>
        <v>11.02</v>
      </c>
    </row>
    <row r="1256" spans="1:7" ht="12.75" customHeight="1">
      <c r="A1256" s="3">
        <v>39330</v>
      </c>
      <c r="B1256" s="4" t="s">
        <v>1269</v>
      </c>
      <c r="C1256" s="3" t="s">
        <v>6</v>
      </c>
      <c r="D1256" s="5">
        <f t="shared" si="38"/>
        <v>11.59</v>
      </c>
      <c r="E1256">
        <v>12.73</v>
      </c>
      <c r="F1256" s="1789">
        <v>8.8999999999999996E-2</v>
      </c>
      <c r="G1256">
        <f t="shared" si="39"/>
        <v>11.59</v>
      </c>
    </row>
    <row r="1257" spans="1:7" ht="12.75" customHeight="1">
      <c r="A1257" s="3">
        <v>39332</v>
      </c>
      <c r="B1257" s="4" t="s">
        <v>1270</v>
      </c>
      <c r="C1257" s="3" t="s">
        <v>6</v>
      </c>
      <c r="D1257" s="5">
        <f t="shared" si="38"/>
        <v>12.96</v>
      </c>
      <c r="E1257">
        <v>14.23</v>
      </c>
      <c r="F1257" s="1789">
        <v>8.8999999999999996E-2</v>
      </c>
      <c r="G1257">
        <f t="shared" si="39"/>
        <v>12.96</v>
      </c>
    </row>
    <row r="1258" spans="1:7" ht="12.75" customHeight="1">
      <c r="A1258" s="3">
        <v>39331</v>
      </c>
      <c r="B1258" s="4" t="s">
        <v>1271</v>
      </c>
      <c r="C1258" s="3" t="s">
        <v>6</v>
      </c>
      <c r="D1258" s="5">
        <f t="shared" si="38"/>
        <v>10.32</v>
      </c>
      <c r="E1258">
        <v>11.33</v>
      </c>
      <c r="F1258" s="1789">
        <v>8.8999999999999996E-2</v>
      </c>
      <c r="G1258">
        <f t="shared" si="39"/>
        <v>10.32</v>
      </c>
    </row>
    <row r="1259" spans="1:7" ht="12.75" customHeight="1">
      <c r="A1259" s="3">
        <v>39333</v>
      </c>
      <c r="B1259" s="4" t="s">
        <v>1272</v>
      </c>
      <c r="C1259" s="3" t="s">
        <v>6</v>
      </c>
      <c r="D1259" s="5">
        <f t="shared" si="38"/>
        <v>10.050000000000001</v>
      </c>
      <c r="E1259">
        <v>11.04</v>
      </c>
      <c r="F1259" s="1789">
        <v>8.8999999999999996E-2</v>
      </c>
      <c r="G1259">
        <f t="shared" si="39"/>
        <v>10.050000000000001</v>
      </c>
    </row>
    <row r="1260" spans="1:7" ht="12.75" customHeight="1">
      <c r="A1260" s="3">
        <v>39335</v>
      </c>
      <c r="B1260" s="4" t="s">
        <v>1273</v>
      </c>
      <c r="C1260" s="3" t="s">
        <v>6</v>
      </c>
      <c r="D1260" s="5">
        <f t="shared" si="38"/>
        <v>11.64</v>
      </c>
      <c r="E1260">
        <v>12.78</v>
      </c>
      <c r="F1260" s="1789">
        <v>8.8999999999999996E-2</v>
      </c>
      <c r="G1260">
        <f t="shared" si="39"/>
        <v>11.64</v>
      </c>
    </row>
    <row r="1261" spans="1:7" ht="12.75" customHeight="1">
      <c r="A1261" s="3">
        <v>39334</v>
      </c>
      <c r="B1261" s="4" t="s">
        <v>1274</v>
      </c>
      <c r="C1261" s="3" t="s">
        <v>6</v>
      </c>
      <c r="D1261" s="5">
        <f t="shared" si="38"/>
        <v>9.25</v>
      </c>
      <c r="E1261">
        <v>10.16</v>
      </c>
      <c r="F1261" s="1789">
        <v>8.8999999999999996E-2</v>
      </c>
      <c r="G1261">
        <f t="shared" si="39"/>
        <v>9.25</v>
      </c>
    </row>
    <row r="1262" spans="1:7" ht="12.75" customHeight="1">
      <c r="A1262" s="3">
        <v>12016</v>
      </c>
      <c r="B1262" s="4" t="s">
        <v>1275</v>
      </c>
      <c r="C1262" s="3" t="s">
        <v>6</v>
      </c>
      <c r="D1262" s="5">
        <f t="shared" si="38"/>
        <v>11.61</v>
      </c>
      <c r="E1262">
        <v>12.75</v>
      </c>
      <c r="F1262" s="1789">
        <v>8.8999999999999996E-2</v>
      </c>
      <c r="G1262">
        <f t="shared" si="39"/>
        <v>11.61</v>
      </c>
    </row>
    <row r="1263" spans="1:7" ht="12.75" customHeight="1">
      <c r="A1263" s="3">
        <v>12015</v>
      </c>
      <c r="B1263" s="4" t="s">
        <v>1276</v>
      </c>
      <c r="C1263" s="3" t="s">
        <v>6</v>
      </c>
      <c r="D1263" s="5">
        <f t="shared" si="38"/>
        <v>13.51</v>
      </c>
      <c r="E1263">
        <v>14.84</v>
      </c>
      <c r="F1263" s="1789">
        <v>8.8999999999999996E-2</v>
      </c>
      <c r="G1263">
        <f t="shared" si="39"/>
        <v>13.51</v>
      </c>
    </row>
    <row r="1264" spans="1:7" ht="12.75" customHeight="1">
      <c r="A1264" s="3">
        <v>12020</v>
      </c>
      <c r="B1264" s="4" t="s">
        <v>1277</v>
      </c>
      <c r="C1264" s="3" t="s">
        <v>6</v>
      </c>
      <c r="D1264" s="5">
        <f t="shared" si="38"/>
        <v>11.61</v>
      </c>
      <c r="E1264">
        <v>12.75</v>
      </c>
      <c r="F1264" s="1789">
        <v>8.8999999999999996E-2</v>
      </c>
      <c r="G1264">
        <f t="shared" si="39"/>
        <v>11.61</v>
      </c>
    </row>
    <row r="1265" spans="1:7" ht="12.75" customHeight="1">
      <c r="A1265" s="3">
        <v>12019</v>
      </c>
      <c r="B1265" s="4" t="s">
        <v>1278</v>
      </c>
      <c r="C1265" s="3" t="s">
        <v>6</v>
      </c>
      <c r="D1265" s="5">
        <f t="shared" si="38"/>
        <v>13.51</v>
      </c>
      <c r="E1265">
        <v>14.84</v>
      </c>
      <c r="F1265" s="1789">
        <v>8.8999999999999996E-2</v>
      </c>
      <c r="G1265">
        <f t="shared" si="39"/>
        <v>13.51</v>
      </c>
    </row>
    <row r="1266" spans="1:7" ht="12.75" customHeight="1">
      <c r="A1266" s="3">
        <v>39336</v>
      </c>
      <c r="B1266" s="4" t="s">
        <v>1279</v>
      </c>
      <c r="C1266" s="3" t="s">
        <v>6</v>
      </c>
      <c r="D1266" s="5">
        <f t="shared" si="38"/>
        <v>11.59</v>
      </c>
      <c r="E1266">
        <v>12.73</v>
      </c>
      <c r="F1266" s="1789">
        <v>8.8999999999999996E-2</v>
      </c>
      <c r="G1266">
        <f t="shared" si="39"/>
        <v>11.59</v>
      </c>
    </row>
    <row r="1267" spans="1:7" ht="12.75" customHeight="1">
      <c r="A1267" s="3">
        <v>39338</v>
      </c>
      <c r="B1267" s="4" t="s">
        <v>1280</v>
      </c>
      <c r="C1267" s="3" t="s">
        <v>6</v>
      </c>
      <c r="D1267" s="5">
        <f t="shared" si="38"/>
        <v>12.96</v>
      </c>
      <c r="E1267">
        <v>14.23</v>
      </c>
      <c r="F1267" s="1789">
        <v>8.8999999999999996E-2</v>
      </c>
      <c r="G1267">
        <f t="shared" si="39"/>
        <v>12.96</v>
      </c>
    </row>
    <row r="1268" spans="1:7" ht="12.75" customHeight="1">
      <c r="A1268" s="3">
        <v>39337</v>
      </c>
      <c r="B1268" s="4" t="s">
        <v>1281</v>
      </c>
      <c r="C1268" s="3" t="s">
        <v>6</v>
      </c>
      <c r="D1268" s="5">
        <f t="shared" si="38"/>
        <v>10.32</v>
      </c>
      <c r="E1268">
        <v>11.33</v>
      </c>
      <c r="F1268" s="1789">
        <v>8.8999999999999996E-2</v>
      </c>
      <c r="G1268">
        <f t="shared" si="39"/>
        <v>10.32</v>
      </c>
    </row>
    <row r="1269" spans="1:7" ht="12.75" customHeight="1">
      <c r="A1269" s="3">
        <v>39341</v>
      </c>
      <c r="B1269" s="4" t="s">
        <v>1282</v>
      </c>
      <c r="C1269" s="3" t="s">
        <v>6</v>
      </c>
      <c r="D1269" s="5">
        <f t="shared" si="38"/>
        <v>16.89</v>
      </c>
      <c r="E1269">
        <v>18.55</v>
      </c>
      <c r="F1269" s="1789">
        <v>8.8999999999999996E-2</v>
      </c>
      <c r="G1269">
        <f t="shared" si="39"/>
        <v>16.89</v>
      </c>
    </row>
    <row r="1270" spans="1:7" ht="12.75" customHeight="1">
      <c r="A1270" s="3">
        <v>39340</v>
      </c>
      <c r="B1270" s="4" t="s">
        <v>1283</v>
      </c>
      <c r="C1270" s="3" t="s">
        <v>6</v>
      </c>
      <c r="D1270" s="5">
        <f t="shared" si="38"/>
        <v>12.4</v>
      </c>
      <c r="E1270">
        <v>13.62</v>
      </c>
      <c r="F1270" s="1789">
        <v>8.8999999999999996E-2</v>
      </c>
      <c r="G1270">
        <f t="shared" si="39"/>
        <v>12.4</v>
      </c>
    </row>
    <row r="1271" spans="1:7" ht="12.75" customHeight="1">
      <c r="A1271" s="3">
        <v>12025</v>
      </c>
      <c r="B1271" s="4" t="s">
        <v>1284</v>
      </c>
      <c r="C1271" s="3" t="s">
        <v>6</v>
      </c>
      <c r="D1271" s="5">
        <f t="shared" si="38"/>
        <v>12.81</v>
      </c>
      <c r="E1271">
        <v>14.07</v>
      </c>
      <c r="F1271" s="1789">
        <v>8.8999999999999996E-2</v>
      </c>
      <c r="G1271">
        <f t="shared" si="39"/>
        <v>12.81</v>
      </c>
    </row>
    <row r="1272" spans="1:7" ht="12.75" customHeight="1">
      <c r="A1272" s="3">
        <v>39342</v>
      </c>
      <c r="B1272" s="4" t="s">
        <v>1285</v>
      </c>
      <c r="C1272" s="3" t="s">
        <v>6</v>
      </c>
      <c r="D1272" s="5">
        <f t="shared" si="38"/>
        <v>16.89</v>
      </c>
      <c r="E1272">
        <v>18.55</v>
      </c>
      <c r="F1272" s="1789">
        <v>8.8999999999999996E-2</v>
      </c>
      <c r="G1272">
        <f t="shared" si="39"/>
        <v>16.89</v>
      </c>
    </row>
    <row r="1273" spans="1:7" ht="12.75" customHeight="1">
      <c r="A1273" s="3">
        <v>39343</v>
      </c>
      <c r="B1273" s="4" t="s">
        <v>1286</v>
      </c>
      <c r="C1273" s="3" t="s">
        <v>6</v>
      </c>
      <c r="D1273" s="5">
        <f t="shared" si="38"/>
        <v>14.26</v>
      </c>
      <c r="E1273">
        <v>15.66</v>
      </c>
      <c r="F1273" s="1789">
        <v>8.8999999999999996E-2</v>
      </c>
      <c r="G1273">
        <f t="shared" si="39"/>
        <v>14.26</v>
      </c>
    </row>
    <row r="1274" spans="1:7" ht="12.75" customHeight="1">
      <c r="A1274" s="3">
        <v>39345</v>
      </c>
      <c r="B1274" s="4" t="s">
        <v>1287</v>
      </c>
      <c r="C1274" s="3" t="s">
        <v>6</v>
      </c>
      <c r="D1274" s="5">
        <f t="shared" si="38"/>
        <v>19.309999999999999</v>
      </c>
      <c r="E1274">
        <v>21.2</v>
      </c>
      <c r="F1274" s="1789">
        <v>8.8999999999999996E-2</v>
      </c>
      <c r="G1274">
        <f t="shared" si="39"/>
        <v>19.309999999999999</v>
      </c>
    </row>
    <row r="1275" spans="1:7" ht="12.75" customHeight="1">
      <c r="A1275" s="3">
        <v>39344</v>
      </c>
      <c r="B1275" s="4" t="s">
        <v>1288</v>
      </c>
      <c r="C1275" s="3" t="s">
        <v>6</v>
      </c>
      <c r="D1275" s="5">
        <f t="shared" si="38"/>
        <v>13.79</v>
      </c>
      <c r="E1275">
        <v>15.14</v>
      </c>
      <c r="F1275" s="1789">
        <v>8.8999999999999996E-2</v>
      </c>
      <c r="G1275">
        <f t="shared" si="39"/>
        <v>13.79</v>
      </c>
    </row>
    <row r="1276" spans="1:7" ht="12.75" customHeight="1">
      <c r="A1276" s="3">
        <v>12623</v>
      </c>
      <c r="B1276" s="4" t="s">
        <v>1289</v>
      </c>
      <c r="C1276" s="3" t="s">
        <v>50</v>
      </c>
      <c r="D1276" s="5">
        <f t="shared" si="38"/>
        <v>37.29</v>
      </c>
      <c r="E1276">
        <v>40.94</v>
      </c>
      <c r="F1276" s="1789">
        <v>8.8999999999999996E-2</v>
      </c>
      <c r="G1276">
        <f t="shared" si="39"/>
        <v>37.29</v>
      </c>
    </row>
    <row r="1277" spans="1:7" ht="12.75" customHeight="1">
      <c r="A1277" s="3">
        <v>34498</v>
      </c>
      <c r="B1277" s="4" t="s">
        <v>1290</v>
      </c>
      <c r="C1277" s="3" t="s">
        <v>6</v>
      </c>
      <c r="D1277" s="5">
        <f t="shared" si="38"/>
        <v>105.32</v>
      </c>
      <c r="E1277">
        <v>115.62</v>
      </c>
      <c r="F1277" s="1789">
        <v>8.8999999999999996E-2</v>
      </c>
      <c r="G1277">
        <f t="shared" si="39"/>
        <v>105.32</v>
      </c>
    </row>
    <row r="1278" spans="1:7" ht="12.75" customHeight="1">
      <c r="A1278" s="3">
        <v>13244</v>
      </c>
      <c r="B1278" s="4" t="s">
        <v>1291</v>
      </c>
      <c r="C1278" s="3" t="s">
        <v>6</v>
      </c>
      <c r="D1278" s="5">
        <f t="shared" si="38"/>
        <v>44.33</v>
      </c>
      <c r="E1278">
        <v>48.67</v>
      </c>
      <c r="F1278" s="1789">
        <v>8.8999999999999996E-2</v>
      </c>
      <c r="G1278">
        <f t="shared" si="39"/>
        <v>44.33</v>
      </c>
    </row>
    <row r="1279" spans="1:7" ht="12.75" customHeight="1">
      <c r="A1279" s="3">
        <v>38998</v>
      </c>
      <c r="B1279" s="4" t="s">
        <v>1292</v>
      </c>
      <c r="C1279" s="3" t="s">
        <v>6</v>
      </c>
      <c r="D1279" s="5">
        <f t="shared" si="38"/>
        <v>9.74</v>
      </c>
      <c r="E1279">
        <v>10.7</v>
      </c>
      <c r="F1279" s="1789">
        <v>8.8999999999999996E-2</v>
      </c>
      <c r="G1279">
        <f t="shared" si="39"/>
        <v>9.74</v>
      </c>
    </row>
    <row r="1280" spans="1:7" ht="12.75" customHeight="1">
      <c r="A1280" s="3">
        <v>38999</v>
      </c>
      <c r="B1280" s="4" t="s">
        <v>1293</v>
      </c>
      <c r="C1280" s="3" t="s">
        <v>6</v>
      </c>
      <c r="D1280" s="5">
        <f t="shared" si="38"/>
        <v>24.65</v>
      </c>
      <c r="E1280">
        <v>27.06</v>
      </c>
      <c r="F1280" s="1789">
        <v>8.8999999999999996E-2</v>
      </c>
      <c r="G1280">
        <f t="shared" si="39"/>
        <v>24.65</v>
      </c>
    </row>
    <row r="1281" spans="1:7" ht="12.75" customHeight="1">
      <c r="A1281" s="3">
        <v>38996</v>
      </c>
      <c r="B1281" s="4" t="s">
        <v>1294</v>
      </c>
      <c r="C1281" s="3" t="s">
        <v>6</v>
      </c>
      <c r="D1281" s="5">
        <f t="shared" si="38"/>
        <v>17.420000000000002</v>
      </c>
      <c r="E1281">
        <v>19.13</v>
      </c>
      <c r="F1281" s="1789">
        <v>8.8999999999999996E-2</v>
      </c>
      <c r="G1281">
        <f t="shared" si="39"/>
        <v>17.420000000000002</v>
      </c>
    </row>
    <row r="1282" spans="1:7" ht="12.75" customHeight="1">
      <c r="A1282" s="3">
        <v>44173</v>
      </c>
      <c r="B1282" s="4" t="s">
        <v>1295</v>
      </c>
      <c r="C1282" s="3" t="s">
        <v>6</v>
      </c>
      <c r="D1282" s="5">
        <f t="shared" si="38"/>
        <v>16.940000000000001</v>
      </c>
      <c r="E1282">
        <v>18.600000000000001</v>
      </c>
      <c r="F1282" s="1789">
        <v>8.8999999999999996E-2</v>
      </c>
      <c r="G1282">
        <f t="shared" si="39"/>
        <v>16.940000000000001</v>
      </c>
    </row>
    <row r="1283" spans="1:7" ht="12.75" customHeight="1">
      <c r="A1283" s="3">
        <v>44174</v>
      </c>
      <c r="B1283" s="4" t="s">
        <v>1296</v>
      </c>
      <c r="C1283" s="3" t="s">
        <v>6</v>
      </c>
      <c r="D1283" s="5">
        <f t="shared" ref="D1283:D1346" si="40">G1283</f>
        <v>27.73</v>
      </c>
      <c r="E1283">
        <v>30.45</v>
      </c>
      <c r="F1283" s="1789">
        <v>8.8999999999999996E-2</v>
      </c>
      <c r="G1283">
        <f t="shared" ref="G1283:G1346" si="41">TRUNC((1-F1283)*E1283,2)</f>
        <v>27.73</v>
      </c>
    </row>
    <row r="1284" spans="1:7" ht="12.75" customHeight="1">
      <c r="A1284" s="3">
        <v>38997</v>
      </c>
      <c r="B1284" s="4" t="s">
        <v>1297</v>
      </c>
      <c r="C1284" s="3" t="s">
        <v>6</v>
      </c>
      <c r="D1284" s="5">
        <f t="shared" si="40"/>
        <v>24.93</v>
      </c>
      <c r="E1284">
        <v>27.37</v>
      </c>
      <c r="F1284" s="1789">
        <v>8.8999999999999996E-2</v>
      </c>
      <c r="G1284">
        <f t="shared" si="41"/>
        <v>24.93</v>
      </c>
    </row>
    <row r="1285" spans="1:7" ht="12.75" customHeight="1">
      <c r="A1285" s="3">
        <v>39600</v>
      </c>
      <c r="B1285" s="4" t="s">
        <v>1298</v>
      </c>
      <c r="C1285" s="3" t="s">
        <v>6</v>
      </c>
      <c r="D1285" s="5">
        <f t="shared" si="40"/>
        <v>19.2</v>
      </c>
      <c r="E1285">
        <v>21.08</v>
      </c>
      <c r="F1285" s="1789">
        <v>8.8999999999999996E-2</v>
      </c>
      <c r="G1285">
        <f t="shared" si="41"/>
        <v>19.2</v>
      </c>
    </row>
    <row r="1286" spans="1:7" ht="12.75" customHeight="1">
      <c r="A1286" s="3">
        <v>39601</v>
      </c>
      <c r="B1286" s="4" t="s">
        <v>1299</v>
      </c>
      <c r="C1286" s="3" t="s">
        <v>6</v>
      </c>
      <c r="D1286" s="5">
        <f t="shared" si="40"/>
        <v>40.729999999999997</v>
      </c>
      <c r="E1286">
        <v>44.71</v>
      </c>
      <c r="F1286" s="1789">
        <v>8.8999999999999996E-2</v>
      </c>
      <c r="G1286">
        <f t="shared" si="41"/>
        <v>40.729999999999997</v>
      </c>
    </row>
    <row r="1287" spans="1:7" ht="12.75" customHeight="1">
      <c r="A1287" s="3">
        <v>39862</v>
      </c>
      <c r="B1287" s="4" t="s">
        <v>1300</v>
      </c>
      <c r="C1287" s="3" t="s">
        <v>6</v>
      </c>
      <c r="D1287" s="5">
        <f t="shared" si="40"/>
        <v>12.52</v>
      </c>
      <c r="E1287">
        <v>13.75</v>
      </c>
      <c r="F1287" s="1789">
        <v>8.8999999999999996E-2</v>
      </c>
      <c r="G1287">
        <f t="shared" si="41"/>
        <v>12.52</v>
      </c>
    </row>
    <row r="1288" spans="1:7" ht="12.75" customHeight="1">
      <c r="A1288" s="3">
        <v>39863</v>
      </c>
      <c r="B1288" s="4" t="s">
        <v>1301</v>
      </c>
      <c r="C1288" s="3" t="s">
        <v>6</v>
      </c>
      <c r="D1288" s="5">
        <f t="shared" si="40"/>
        <v>12.69</v>
      </c>
      <c r="E1288">
        <v>13.94</v>
      </c>
      <c r="F1288" s="1789">
        <v>8.8999999999999996E-2</v>
      </c>
      <c r="G1288">
        <f t="shared" si="41"/>
        <v>12.69</v>
      </c>
    </row>
    <row r="1289" spans="1:7" ht="12.75" customHeight="1">
      <c r="A1289" s="3">
        <v>39864</v>
      </c>
      <c r="B1289" s="4" t="s">
        <v>1302</v>
      </c>
      <c r="C1289" s="3" t="s">
        <v>6</v>
      </c>
      <c r="D1289" s="5">
        <f t="shared" si="40"/>
        <v>15.76</v>
      </c>
      <c r="E1289">
        <v>17.3</v>
      </c>
      <c r="F1289" s="1789">
        <v>8.8999999999999996E-2</v>
      </c>
      <c r="G1289">
        <f t="shared" si="41"/>
        <v>15.76</v>
      </c>
    </row>
    <row r="1290" spans="1:7" ht="12.75" customHeight="1">
      <c r="A1290" s="3">
        <v>39865</v>
      </c>
      <c r="B1290" s="4" t="s">
        <v>1303</v>
      </c>
      <c r="C1290" s="3" t="s">
        <v>6</v>
      </c>
      <c r="D1290" s="5">
        <f t="shared" si="40"/>
        <v>22.21</v>
      </c>
      <c r="E1290">
        <v>24.38</v>
      </c>
      <c r="F1290" s="1789">
        <v>8.8999999999999996E-2</v>
      </c>
      <c r="G1290">
        <f t="shared" si="41"/>
        <v>22.21</v>
      </c>
    </row>
    <row r="1291" spans="1:7" ht="12.75" customHeight="1">
      <c r="A1291" s="3">
        <v>2517</v>
      </c>
      <c r="B1291" s="4" t="s">
        <v>1304</v>
      </c>
      <c r="C1291" s="3" t="s">
        <v>6</v>
      </c>
      <c r="D1291" s="5">
        <f t="shared" si="40"/>
        <v>21.09</v>
      </c>
      <c r="E1291">
        <v>23.16</v>
      </c>
      <c r="F1291" s="1789">
        <v>8.8999999999999996E-2</v>
      </c>
      <c r="G1291">
        <f t="shared" si="41"/>
        <v>21.09</v>
      </c>
    </row>
    <row r="1292" spans="1:7" ht="12.75" customHeight="1">
      <c r="A1292" s="3">
        <v>2522</v>
      </c>
      <c r="B1292" s="4" t="s">
        <v>1305</v>
      </c>
      <c r="C1292" s="3" t="s">
        <v>6</v>
      </c>
      <c r="D1292" s="5">
        <f t="shared" si="40"/>
        <v>13.63</v>
      </c>
      <c r="E1292">
        <v>14.97</v>
      </c>
      <c r="F1292" s="1789">
        <v>8.8999999999999996E-2</v>
      </c>
      <c r="G1292">
        <f t="shared" si="41"/>
        <v>13.63</v>
      </c>
    </row>
    <row r="1293" spans="1:7" ht="12.75" customHeight="1">
      <c r="A1293" s="3">
        <v>2548</v>
      </c>
      <c r="B1293" s="4" t="s">
        <v>1306</v>
      </c>
      <c r="C1293" s="3" t="s">
        <v>6</v>
      </c>
      <c r="D1293" s="5">
        <f t="shared" si="40"/>
        <v>8.39</v>
      </c>
      <c r="E1293">
        <v>9.2100000000000009</v>
      </c>
      <c r="F1293" s="1789">
        <v>8.8999999999999996E-2</v>
      </c>
      <c r="G1293">
        <f t="shared" si="41"/>
        <v>8.39</v>
      </c>
    </row>
    <row r="1294" spans="1:7" ht="12.75" customHeight="1">
      <c r="A1294" s="3">
        <v>2516</v>
      </c>
      <c r="B1294" s="4" t="s">
        <v>1307</v>
      </c>
      <c r="C1294" s="3" t="s">
        <v>6</v>
      </c>
      <c r="D1294" s="5">
        <f t="shared" si="40"/>
        <v>10.95</v>
      </c>
      <c r="E1294">
        <v>12.02</v>
      </c>
      <c r="F1294" s="1789">
        <v>8.8999999999999996E-2</v>
      </c>
      <c r="G1294">
        <f t="shared" si="41"/>
        <v>10.95</v>
      </c>
    </row>
    <row r="1295" spans="1:7" ht="12.75" customHeight="1">
      <c r="A1295" s="3">
        <v>2518</v>
      </c>
      <c r="B1295" s="4" t="s">
        <v>1308</v>
      </c>
      <c r="C1295" s="3" t="s">
        <v>6</v>
      </c>
      <c r="D1295" s="5">
        <f t="shared" si="40"/>
        <v>100.44</v>
      </c>
      <c r="E1295">
        <v>110.26</v>
      </c>
      <c r="F1295" s="1789">
        <v>8.8999999999999996E-2</v>
      </c>
      <c r="G1295">
        <f t="shared" si="41"/>
        <v>100.44</v>
      </c>
    </row>
    <row r="1296" spans="1:7" ht="12.75" customHeight="1">
      <c r="A1296" s="3">
        <v>2521</v>
      </c>
      <c r="B1296" s="4" t="s">
        <v>1309</v>
      </c>
      <c r="C1296" s="3" t="s">
        <v>6</v>
      </c>
      <c r="D1296" s="5">
        <f t="shared" si="40"/>
        <v>42.75</v>
      </c>
      <c r="E1296">
        <v>46.93</v>
      </c>
      <c r="F1296" s="1789">
        <v>8.8999999999999996E-2</v>
      </c>
      <c r="G1296">
        <f t="shared" si="41"/>
        <v>42.75</v>
      </c>
    </row>
    <row r="1297" spans="1:7" ht="12.75" customHeight="1">
      <c r="A1297" s="3">
        <v>2515</v>
      </c>
      <c r="B1297" s="4" t="s">
        <v>1310</v>
      </c>
      <c r="C1297" s="3" t="s">
        <v>6</v>
      </c>
      <c r="D1297" s="5">
        <f t="shared" si="40"/>
        <v>9.11</v>
      </c>
      <c r="E1297">
        <v>10</v>
      </c>
      <c r="F1297" s="1789">
        <v>8.8999999999999996E-2</v>
      </c>
      <c r="G1297">
        <f t="shared" si="41"/>
        <v>9.11</v>
      </c>
    </row>
    <row r="1298" spans="1:7" ht="12.75" customHeight="1">
      <c r="A1298" s="3">
        <v>2519</v>
      </c>
      <c r="B1298" s="4" t="s">
        <v>1311</v>
      </c>
      <c r="C1298" s="3" t="s">
        <v>6</v>
      </c>
      <c r="D1298" s="5">
        <f t="shared" si="40"/>
        <v>121.11</v>
      </c>
      <c r="E1298">
        <v>132.94999999999999</v>
      </c>
      <c r="F1298" s="1789">
        <v>8.8999999999999996E-2</v>
      </c>
      <c r="G1298">
        <f t="shared" si="41"/>
        <v>121.11</v>
      </c>
    </row>
    <row r="1299" spans="1:7" ht="12.75" customHeight="1">
      <c r="A1299" s="3">
        <v>2520</v>
      </c>
      <c r="B1299" s="4" t="s">
        <v>1312</v>
      </c>
      <c r="C1299" s="3" t="s">
        <v>6</v>
      </c>
      <c r="D1299" s="5">
        <f t="shared" si="40"/>
        <v>222.92</v>
      </c>
      <c r="E1299">
        <v>244.7</v>
      </c>
      <c r="F1299" s="1789">
        <v>8.8999999999999996E-2</v>
      </c>
      <c r="G1299">
        <f t="shared" si="41"/>
        <v>222.92</v>
      </c>
    </row>
    <row r="1300" spans="1:7" ht="12.75" customHeight="1">
      <c r="A1300" s="3">
        <v>1602</v>
      </c>
      <c r="B1300" s="4" t="s">
        <v>1313</v>
      </c>
      <c r="C1300" s="3" t="s">
        <v>6</v>
      </c>
      <c r="D1300" s="5">
        <f t="shared" si="40"/>
        <v>54.61</v>
      </c>
      <c r="E1300">
        <v>59.95</v>
      </c>
      <c r="F1300" s="1789">
        <v>8.8999999999999996E-2</v>
      </c>
      <c r="G1300">
        <f t="shared" si="41"/>
        <v>54.61</v>
      </c>
    </row>
    <row r="1301" spans="1:7" ht="12.75" customHeight="1">
      <c r="A1301" s="3">
        <v>1601</v>
      </c>
      <c r="B1301" s="4" t="s">
        <v>1314</v>
      </c>
      <c r="C1301" s="3" t="s">
        <v>6</v>
      </c>
      <c r="D1301" s="5">
        <f t="shared" si="40"/>
        <v>48.67</v>
      </c>
      <c r="E1301">
        <v>53.43</v>
      </c>
      <c r="F1301" s="1789">
        <v>8.8999999999999996E-2</v>
      </c>
      <c r="G1301">
        <f t="shared" si="41"/>
        <v>48.67</v>
      </c>
    </row>
    <row r="1302" spans="1:7" ht="12.75" customHeight="1">
      <c r="A1302" s="3">
        <v>1598</v>
      </c>
      <c r="B1302" s="4" t="s">
        <v>1315</v>
      </c>
      <c r="C1302" s="3" t="s">
        <v>6</v>
      </c>
      <c r="D1302" s="5">
        <f t="shared" si="40"/>
        <v>14.4</v>
      </c>
      <c r="E1302">
        <v>15.81</v>
      </c>
      <c r="F1302" s="1789">
        <v>8.8999999999999996E-2</v>
      </c>
      <c r="G1302">
        <f t="shared" si="41"/>
        <v>14.4</v>
      </c>
    </row>
    <row r="1303" spans="1:7" ht="12.75" customHeight="1">
      <c r="A1303" s="3">
        <v>1600</v>
      </c>
      <c r="B1303" s="4" t="s">
        <v>1316</v>
      </c>
      <c r="C1303" s="3" t="s">
        <v>6</v>
      </c>
      <c r="D1303" s="5">
        <f t="shared" si="40"/>
        <v>21.26</v>
      </c>
      <c r="E1303">
        <v>23.34</v>
      </c>
      <c r="F1303" s="1789">
        <v>8.8999999999999996E-2</v>
      </c>
      <c r="G1303">
        <f t="shared" si="41"/>
        <v>21.26</v>
      </c>
    </row>
    <row r="1304" spans="1:7" ht="12.75" customHeight="1">
      <c r="A1304" s="3">
        <v>1603</v>
      </c>
      <c r="B1304" s="4" t="s">
        <v>1317</v>
      </c>
      <c r="C1304" s="3" t="s">
        <v>6</v>
      </c>
      <c r="D1304" s="5">
        <f t="shared" si="40"/>
        <v>82.45</v>
      </c>
      <c r="E1304">
        <v>90.51</v>
      </c>
      <c r="F1304" s="1789">
        <v>8.8999999999999996E-2</v>
      </c>
      <c r="G1304">
        <f t="shared" si="41"/>
        <v>82.45</v>
      </c>
    </row>
    <row r="1305" spans="1:7" ht="12.75" customHeight="1">
      <c r="A1305" s="3">
        <v>1599</v>
      </c>
      <c r="B1305" s="4" t="s">
        <v>1318</v>
      </c>
      <c r="C1305" s="3" t="s">
        <v>6</v>
      </c>
      <c r="D1305" s="5">
        <f t="shared" si="40"/>
        <v>16.71</v>
      </c>
      <c r="E1305">
        <v>18.350000000000001</v>
      </c>
      <c r="F1305" s="1789">
        <v>8.8999999999999996E-2</v>
      </c>
      <c r="G1305">
        <f t="shared" si="41"/>
        <v>16.71</v>
      </c>
    </row>
    <row r="1306" spans="1:7" ht="12.75" customHeight="1">
      <c r="A1306" s="3">
        <v>1597</v>
      </c>
      <c r="B1306" s="4" t="s">
        <v>1319</v>
      </c>
      <c r="C1306" s="3" t="s">
        <v>6</v>
      </c>
      <c r="D1306" s="5">
        <f t="shared" si="40"/>
        <v>13.54</v>
      </c>
      <c r="E1306">
        <v>14.87</v>
      </c>
      <c r="F1306" s="1789">
        <v>8.8999999999999996E-2</v>
      </c>
      <c r="G1306">
        <f t="shared" si="41"/>
        <v>13.54</v>
      </c>
    </row>
    <row r="1307" spans="1:7" ht="12.75" customHeight="1">
      <c r="A1307" s="3">
        <v>39602</v>
      </c>
      <c r="B1307" s="4" t="s">
        <v>1320</v>
      </c>
      <c r="C1307" s="3" t="s">
        <v>6</v>
      </c>
      <c r="D1307" s="5">
        <f t="shared" si="40"/>
        <v>2.0299999999999998</v>
      </c>
      <c r="E1307">
        <v>2.23</v>
      </c>
      <c r="F1307" s="1789">
        <v>8.8999999999999996E-2</v>
      </c>
      <c r="G1307">
        <f t="shared" si="41"/>
        <v>2.0299999999999998</v>
      </c>
    </row>
    <row r="1308" spans="1:7" ht="12.75" customHeight="1">
      <c r="A1308" s="3">
        <v>39603</v>
      </c>
      <c r="B1308" s="4" t="s">
        <v>1321</v>
      </c>
      <c r="C1308" s="3" t="s">
        <v>6</v>
      </c>
      <c r="D1308" s="5">
        <f t="shared" si="40"/>
        <v>4.33</v>
      </c>
      <c r="E1308">
        <v>4.76</v>
      </c>
      <c r="F1308" s="1789">
        <v>8.8999999999999996E-2</v>
      </c>
      <c r="G1308">
        <f t="shared" si="41"/>
        <v>4.33</v>
      </c>
    </row>
    <row r="1309" spans="1:7" ht="12.75" customHeight="1">
      <c r="A1309" s="3">
        <v>11821</v>
      </c>
      <c r="B1309" s="4" t="s">
        <v>1322</v>
      </c>
      <c r="C1309" s="3" t="s">
        <v>6</v>
      </c>
      <c r="D1309" s="5">
        <f t="shared" si="40"/>
        <v>11.12</v>
      </c>
      <c r="E1309">
        <v>12.21</v>
      </c>
      <c r="F1309" s="1789">
        <v>8.8999999999999996E-2</v>
      </c>
      <c r="G1309">
        <f t="shared" si="41"/>
        <v>11.12</v>
      </c>
    </row>
    <row r="1310" spans="1:7" ht="12.75" customHeight="1">
      <c r="A1310" s="3">
        <v>1562</v>
      </c>
      <c r="B1310" s="4" t="s">
        <v>1323</v>
      </c>
      <c r="C1310" s="3" t="s">
        <v>6</v>
      </c>
      <c r="D1310" s="5">
        <f t="shared" si="40"/>
        <v>18.22</v>
      </c>
      <c r="E1310">
        <v>20</v>
      </c>
      <c r="F1310" s="1789">
        <v>8.8999999999999996E-2</v>
      </c>
      <c r="G1310">
        <f t="shared" si="41"/>
        <v>18.22</v>
      </c>
    </row>
    <row r="1311" spans="1:7" ht="12.75" customHeight="1">
      <c r="A1311" s="3">
        <v>1563</v>
      </c>
      <c r="B1311" s="4" t="s">
        <v>1324</v>
      </c>
      <c r="C1311" s="3" t="s">
        <v>6</v>
      </c>
      <c r="D1311" s="5">
        <f t="shared" si="40"/>
        <v>24.44</v>
      </c>
      <c r="E1311">
        <v>26.83</v>
      </c>
      <c r="F1311" s="1789">
        <v>8.8999999999999996E-2</v>
      </c>
      <c r="G1311">
        <f t="shared" si="41"/>
        <v>24.44</v>
      </c>
    </row>
    <row r="1312" spans="1:7" ht="12.75" customHeight="1">
      <c r="A1312" s="3">
        <v>11856</v>
      </c>
      <c r="B1312" s="4" t="s">
        <v>1325</v>
      </c>
      <c r="C1312" s="3" t="s">
        <v>6</v>
      </c>
      <c r="D1312" s="5">
        <f t="shared" si="40"/>
        <v>7.28</v>
      </c>
      <c r="E1312">
        <v>8</v>
      </c>
      <c r="F1312" s="1789">
        <v>8.8999999999999996E-2</v>
      </c>
      <c r="G1312">
        <f t="shared" si="41"/>
        <v>7.28</v>
      </c>
    </row>
    <row r="1313" spans="1:7" ht="12.75" customHeight="1">
      <c r="A1313" s="3">
        <v>11857</v>
      </c>
      <c r="B1313" s="4" t="s">
        <v>1326</v>
      </c>
      <c r="C1313" s="3" t="s">
        <v>6</v>
      </c>
      <c r="D1313" s="5">
        <f t="shared" si="40"/>
        <v>38.35</v>
      </c>
      <c r="E1313">
        <v>42.1</v>
      </c>
      <c r="F1313" s="1789">
        <v>8.8999999999999996E-2</v>
      </c>
      <c r="G1313">
        <f t="shared" si="41"/>
        <v>38.35</v>
      </c>
    </row>
    <row r="1314" spans="1:7" ht="12.75" customHeight="1">
      <c r="A1314" s="3">
        <v>11858</v>
      </c>
      <c r="B1314" s="4" t="s">
        <v>1327</v>
      </c>
      <c r="C1314" s="3" t="s">
        <v>6</v>
      </c>
      <c r="D1314" s="5">
        <f t="shared" si="40"/>
        <v>47.59</v>
      </c>
      <c r="E1314">
        <v>52.25</v>
      </c>
      <c r="F1314" s="1789">
        <v>8.8999999999999996E-2</v>
      </c>
      <c r="G1314">
        <f t="shared" si="41"/>
        <v>47.59</v>
      </c>
    </row>
    <row r="1315" spans="1:7" ht="12.75" customHeight="1">
      <c r="A1315" s="3">
        <v>1539</v>
      </c>
      <c r="B1315" s="4" t="s">
        <v>1328</v>
      </c>
      <c r="C1315" s="3" t="s">
        <v>6</v>
      </c>
      <c r="D1315" s="5">
        <f t="shared" si="40"/>
        <v>8.56</v>
      </c>
      <c r="E1315">
        <v>9.4</v>
      </c>
      <c r="F1315" s="1789">
        <v>8.8999999999999996E-2</v>
      </c>
      <c r="G1315">
        <f t="shared" si="41"/>
        <v>8.56</v>
      </c>
    </row>
    <row r="1316" spans="1:7" ht="12.75" customHeight="1">
      <c r="A1316" s="3">
        <v>11859</v>
      </c>
      <c r="B1316" s="4" t="s">
        <v>1329</v>
      </c>
      <c r="C1316" s="3" t="s">
        <v>6</v>
      </c>
      <c r="D1316" s="5">
        <f t="shared" si="40"/>
        <v>64.760000000000005</v>
      </c>
      <c r="E1316">
        <v>71.09</v>
      </c>
      <c r="F1316" s="1789">
        <v>8.8999999999999996E-2</v>
      </c>
      <c r="G1316">
        <f t="shared" si="41"/>
        <v>64.760000000000005</v>
      </c>
    </row>
    <row r="1317" spans="1:7" ht="12.75" customHeight="1">
      <c r="A1317" s="3">
        <v>1550</v>
      </c>
      <c r="B1317" s="4" t="s">
        <v>1330</v>
      </c>
      <c r="C1317" s="3" t="s">
        <v>6</v>
      </c>
      <c r="D1317" s="5">
        <f t="shared" si="40"/>
        <v>9.0299999999999994</v>
      </c>
      <c r="E1317">
        <v>9.92</v>
      </c>
      <c r="F1317" s="1789">
        <v>8.8999999999999996E-2</v>
      </c>
      <c r="G1317">
        <f t="shared" si="41"/>
        <v>9.0299999999999994</v>
      </c>
    </row>
    <row r="1318" spans="1:7" ht="12.75" customHeight="1">
      <c r="A1318" s="3">
        <v>11854</v>
      </c>
      <c r="B1318" s="4" t="s">
        <v>1331</v>
      </c>
      <c r="C1318" s="3" t="s">
        <v>6</v>
      </c>
      <c r="D1318" s="5">
        <f t="shared" si="40"/>
        <v>11.28</v>
      </c>
      <c r="E1318">
        <v>12.39</v>
      </c>
      <c r="F1318" s="1789">
        <v>8.8999999999999996E-2</v>
      </c>
      <c r="G1318">
        <f t="shared" si="41"/>
        <v>11.28</v>
      </c>
    </row>
    <row r="1319" spans="1:7" ht="12.75" customHeight="1">
      <c r="A1319" s="3">
        <v>11862</v>
      </c>
      <c r="B1319" s="4" t="s">
        <v>1332</v>
      </c>
      <c r="C1319" s="3" t="s">
        <v>6</v>
      </c>
      <c r="D1319" s="5">
        <f t="shared" si="40"/>
        <v>15.83</v>
      </c>
      <c r="E1319">
        <v>17.38</v>
      </c>
      <c r="F1319" s="1789">
        <v>8.8999999999999996E-2</v>
      </c>
      <c r="G1319">
        <f t="shared" si="41"/>
        <v>15.83</v>
      </c>
    </row>
    <row r="1320" spans="1:7" ht="12.75" customHeight="1">
      <c r="A1320" s="3">
        <v>11863</v>
      </c>
      <c r="B1320" s="4" t="s">
        <v>1333</v>
      </c>
      <c r="C1320" s="3" t="s">
        <v>6</v>
      </c>
      <c r="D1320" s="5">
        <f t="shared" si="40"/>
        <v>6.39</v>
      </c>
      <c r="E1320">
        <v>7.02</v>
      </c>
      <c r="F1320" s="1789">
        <v>8.8999999999999996E-2</v>
      </c>
      <c r="G1320">
        <f t="shared" si="41"/>
        <v>6.39</v>
      </c>
    </row>
    <row r="1321" spans="1:7" ht="12.75" customHeight="1">
      <c r="A1321" s="3">
        <v>11855</v>
      </c>
      <c r="B1321" s="4" t="s">
        <v>1334</v>
      </c>
      <c r="C1321" s="3" t="s">
        <v>6</v>
      </c>
      <c r="D1321" s="5">
        <f t="shared" si="40"/>
        <v>23.64</v>
      </c>
      <c r="E1321">
        <v>25.95</v>
      </c>
      <c r="F1321" s="1789">
        <v>8.8999999999999996E-2</v>
      </c>
      <c r="G1321">
        <f t="shared" si="41"/>
        <v>23.64</v>
      </c>
    </row>
    <row r="1322" spans="1:7" ht="12.75" customHeight="1">
      <c r="A1322" s="3">
        <v>11864</v>
      </c>
      <c r="B1322" s="4" t="s">
        <v>1335</v>
      </c>
      <c r="C1322" s="3" t="s">
        <v>6</v>
      </c>
      <c r="D1322" s="5">
        <f t="shared" si="40"/>
        <v>35.729999999999997</v>
      </c>
      <c r="E1322">
        <v>39.229999999999997</v>
      </c>
      <c r="F1322" s="1789">
        <v>8.8999999999999996E-2</v>
      </c>
      <c r="G1322">
        <f t="shared" si="41"/>
        <v>35.729999999999997</v>
      </c>
    </row>
    <row r="1323" spans="1:7" ht="12.75" customHeight="1">
      <c r="A1323" s="3">
        <v>2527</v>
      </c>
      <c r="B1323" s="4" t="s">
        <v>1336</v>
      </c>
      <c r="C1323" s="3" t="s">
        <v>6</v>
      </c>
      <c r="D1323" s="5">
        <f t="shared" si="40"/>
        <v>7.55</v>
      </c>
      <c r="E1323">
        <v>8.2899999999999991</v>
      </c>
      <c r="F1323" s="1789">
        <v>8.8999999999999996E-2</v>
      </c>
      <c r="G1323">
        <f t="shared" si="41"/>
        <v>7.55</v>
      </c>
    </row>
    <row r="1324" spans="1:7" ht="12.75" customHeight="1">
      <c r="A1324" s="3">
        <v>2526</v>
      </c>
      <c r="B1324" s="4" t="s">
        <v>1337</v>
      </c>
      <c r="C1324" s="3" t="s">
        <v>6</v>
      </c>
      <c r="D1324" s="5">
        <f t="shared" si="40"/>
        <v>4.83</v>
      </c>
      <c r="E1324">
        <v>5.31</v>
      </c>
      <c r="F1324" s="1789">
        <v>8.8999999999999996E-2</v>
      </c>
      <c r="G1324">
        <f t="shared" si="41"/>
        <v>4.83</v>
      </c>
    </row>
    <row r="1325" spans="1:7" ht="12.75" customHeight="1">
      <c r="A1325" s="3">
        <v>2487</v>
      </c>
      <c r="B1325" s="4" t="s">
        <v>1338</v>
      </c>
      <c r="C1325" s="3" t="s">
        <v>6</v>
      </c>
      <c r="D1325" s="5">
        <f t="shared" si="40"/>
        <v>1.64</v>
      </c>
      <c r="E1325">
        <v>1.81</v>
      </c>
      <c r="F1325" s="1789">
        <v>8.8999999999999996E-2</v>
      </c>
      <c r="G1325">
        <f t="shared" si="41"/>
        <v>1.64</v>
      </c>
    </row>
    <row r="1326" spans="1:7" ht="12.75" customHeight="1">
      <c r="A1326" s="3">
        <v>2483</v>
      </c>
      <c r="B1326" s="4" t="s">
        <v>1339</v>
      </c>
      <c r="C1326" s="3" t="s">
        <v>6</v>
      </c>
      <c r="D1326" s="5">
        <f t="shared" si="40"/>
        <v>3.44</v>
      </c>
      <c r="E1326">
        <v>3.78</v>
      </c>
      <c r="F1326" s="1789">
        <v>8.8999999999999996E-2</v>
      </c>
      <c r="G1326">
        <f t="shared" si="41"/>
        <v>3.44</v>
      </c>
    </row>
    <row r="1327" spans="1:7" ht="12.75" customHeight="1">
      <c r="A1327" s="3">
        <v>2528</v>
      </c>
      <c r="B1327" s="4" t="s">
        <v>1340</v>
      </c>
      <c r="C1327" s="3" t="s">
        <v>6</v>
      </c>
      <c r="D1327" s="5">
        <f t="shared" si="40"/>
        <v>19</v>
      </c>
      <c r="E1327">
        <v>20.86</v>
      </c>
      <c r="F1327" s="1789">
        <v>8.8999999999999996E-2</v>
      </c>
      <c r="G1327">
        <f t="shared" si="41"/>
        <v>19</v>
      </c>
    </row>
    <row r="1328" spans="1:7" ht="12.75" customHeight="1">
      <c r="A1328" s="3">
        <v>2489</v>
      </c>
      <c r="B1328" s="4" t="s">
        <v>1341</v>
      </c>
      <c r="C1328" s="3" t="s">
        <v>6</v>
      </c>
      <c r="D1328" s="5">
        <f t="shared" si="40"/>
        <v>8.3699999999999992</v>
      </c>
      <c r="E1328">
        <v>9.19</v>
      </c>
      <c r="F1328" s="1789">
        <v>8.8999999999999996E-2</v>
      </c>
      <c r="G1328">
        <f t="shared" si="41"/>
        <v>8.3699999999999992</v>
      </c>
    </row>
    <row r="1329" spans="1:7" ht="12.75" customHeight="1">
      <c r="A1329" s="3">
        <v>2488</v>
      </c>
      <c r="B1329" s="4" t="s">
        <v>1342</v>
      </c>
      <c r="C1329" s="3" t="s">
        <v>6</v>
      </c>
      <c r="D1329" s="5">
        <f t="shared" si="40"/>
        <v>1.93</v>
      </c>
      <c r="E1329">
        <v>2.12</v>
      </c>
      <c r="F1329" s="1789">
        <v>8.8999999999999996E-2</v>
      </c>
      <c r="G1329">
        <f t="shared" si="41"/>
        <v>1.93</v>
      </c>
    </row>
    <row r="1330" spans="1:7" ht="12.75" customHeight="1">
      <c r="A1330" s="3">
        <v>2484</v>
      </c>
      <c r="B1330" s="4" t="s">
        <v>1343</v>
      </c>
      <c r="C1330" s="3" t="s">
        <v>6</v>
      </c>
      <c r="D1330" s="5">
        <f t="shared" si="40"/>
        <v>27.6</v>
      </c>
      <c r="E1330">
        <v>30.3</v>
      </c>
      <c r="F1330" s="1789">
        <v>8.8999999999999996E-2</v>
      </c>
      <c r="G1330">
        <f t="shared" si="41"/>
        <v>27.6</v>
      </c>
    </row>
    <row r="1331" spans="1:7" ht="12.75" customHeight="1">
      <c r="A1331" s="3">
        <v>2485</v>
      </c>
      <c r="B1331" s="4" t="s">
        <v>1344</v>
      </c>
      <c r="C1331" s="3" t="s">
        <v>6</v>
      </c>
      <c r="D1331" s="5">
        <f t="shared" si="40"/>
        <v>43.26</v>
      </c>
      <c r="E1331">
        <v>47.49</v>
      </c>
      <c r="F1331" s="1789">
        <v>8.8999999999999996E-2</v>
      </c>
      <c r="G1331">
        <f t="shared" si="41"/>
        <v>43.26</v>
      </c>
    </row>
    <row r="1332" spans="1:7" ht="12.75" customHeight="1">
      <c r="A1332" s="3">
        <v>39279</v>
      </c>
      <c r="B1332" s="4" t="s">
        <v>1345</v>
      </c>
      <c r="C1332" s="3" t="s">
        <v>6</v>
      </c>
      <c r="D1332" s="5">
        <f t="shared" si="40"/>
        <v>8.34</v>
      </c>
      <c r="E1332">
        <v>9.16</v>
      </c>
      <c r="F1332" s="1789">
        <v>8.8999999999999996E-2</v>
      </c>
      <c r="G1332">
        <f t="shared" si="41"/>
        <v>8.34</v>
      </c>
    </row>
    <row r="1333" spans="1:7" ht="12.75" customHeight="1">
      <c r="A1333" s="3">
        <v>39280</v>
      </c>
      <c r="B1333" s="4" t="s">
        <v>1346</v>
      </c>
      <c r="C1333" s="3" t="s">
        <v>6</v>
      </c>
      <c r="D1333" s="5">
        <f t="shared" si="40"/>
        <v>9.34</v>
      </c>
      <c r="E1333">
        <v>10.26</v>
      </c>
      <c r="F1333" s="1789">
        <v>8.8999999999999996E-2</v>
      </c>
      <c r="G1333">
        <f t="shared" si="41"/>
        <v>9.34</v>
      </c>
    </row>
    <row r="1334" spans="1:7" ht="12.75" customHeight="1">
      <c r="A1334" s="3">
        <v>39281</v>
      </c>
      <c r="B1334" s="4" t="s">
        <v>1347</v>
      </c>
      <c r="C1334" s="3" t="s">
        <v>6</v>
      </c>
      <c r="D1334" s="5">
        <f t="shared" si="40"/>
        <v>12.35</v>
      </c>
      <c r="E1334">
        <v>13.56</v>
      </c>
      <c r="F1334" s="1789">
        <v>8.8999999999999996E-2</v>
      </c>
      <c r="G1334">
        <f t="shared" si="41"/>
        <v>12.35</v>
      </c>
    </row>
    <row r="1335" spans="1:7" ht="12.75" customHeight="1">
      <c r="A1335" s="3">
        <v>39282</v>
      </c>
      <c r="B1335" s="4" t="s">
        <v>1348</v>
      </c>
      <c r="C1335" s="3" t="s">
        <v>6</v>
      </c>
      <c r="D1335" s="5">
        <f t="shared" si="40"/>
        <v>17.25</v>
      </c>
      <c r="E1335">
        <v>18.940000000000001</v>
      </c>
      <c r="F1335" s="1789">
        <v>8.8999999999999996E-2</v>
      </c>
      <c r="G1335">
        <f t="shared" si="41"/>
        <v>17.25</v>
      </c>
    </row>
    <row r="1336" spans="1:7" ht="12.75" customHeight="1">
      <c r="A1336" s="3">
        <v>38844</v>
      </c>
      <c r="B1336" s="4" t="s">
        <v>1349</v>
      </c>
      <c r="C1336" s="3" t="s">
        <v>6</v>
      </c>
      <c r="D1336" s="5">
        <f t="shared" si="40"/>
        <v>8.4600000000000009</v>
      </c>
      <c r="E1336">
        <v>9.2899999999999991</v>
      </c>
      <c r="F1336" s="1789">
        <v>8.8999999999999996E-2</v>
      </c>
      <c r="G1336">
        <f t="shared" si="41"/>
        <v>8.4600000000000009</v>
      </c>
    </row>
    <row r="1337" spans="1:7" ht="12.75" customHeight="1">
      <c r="A1337" s="3">
        <v>38846</v>
      </c>
      <c r="B1337" s="4" t="s">
        <v>1350</v>
      </c>
      <c r="C1337" s="3" t="s">
        <v>6</v>
      </c>
      <c r="D1337" s="5">
        <f t="shared" si="40"/>
        <v>8.6</v>
      </c>
      <c r="E1337">
        <v>9.4499999999999993</v>
      </c>
      <c r="F1337" s="1789">
        <v>8.8999999999999996E-2</v>
      </c>
      <c r="G1337">
        <f t="shared" si="41"/>
        <v>8.6</v>
      </c>
    </row>
    <row r="1338" spans="1:7" ht="12.75" customHeight="1">
      <c r="A1338" s="3">
        <v>38847</v>
      </c>
      <c r="B1338" s="4" t="s">
        <v>1351</v>
      </c>
      <c r="C1338" s="3" t="s">
        <v>6</v>
      </c>
      <c r="D1338" s="5">
        <f t="shared" si="40"/>
        <v>10.08</v>
      </c>
      <c r="E1338">
        <v>11.07</v>
      </c>
      <c r="F1338" s="1789">
        <v>8.8999999999999996E-2</v>
      </c>
      <c r="G1338">
        <f t="shared" si="41"/>
        <v>10.08</v>
      </c>
    </row>
    <row r="1339" spans="1:7" ht="12.75" customHeight="1">
      <c r="A1339" s="3">
        <v>38850</v>
      </c>
      <c r="B1339" s="4" t="s">
        <v>1352</v>
      </c>
      <c r="C1339" s="3" t="s">
        <v>6</v>
      </c>
      <c r="D1339" s="5">
        <f t="shared" si="40"/>
        <v>18.21</v>
      </c>
      <c r="E1339">
        <v>19.989999999999998</v>
      </c>
      <c r="F1339" s="1789">
        <v>8.8999999999999996E-2</v>
      </c>
      <c r="G1339">
        <f t="shared" si="41"/>
        <v>18.21</v>
      </c>
    </row>
    <row r="1340" spans="1:7" ht="12.75" customHeight="1">
      <c r="A1340" s="3">
        <v>38848</v>
      </c>
      <c r="B1340" s="4" t="s">
        <v>1353</v>
      </c>
      <c r="C1340" s="3" t="s">
        <v>6</v>
      </c>
      <c r="D1340" s="5">
        <f t="shared" si="40"/>
        <v>11.94</v>
      </c>
      <c r="E1340">
        <v>13.11</v>
      </c>
      <c r="F1340" s="1789">
        <v>8.8999999999999996E-2</v>
      </c>
      <c r="G1340">
        <f t="shared" si="41"/>
        <v>11.94</v>
      </c>
    </row>
    <row r="1341" spans="1:7" ht="12.75" customHeight="1">
      <c r="A1341" s="3">
        <v>38851</v>
      </c>
      <c r="B1341" s="4" t="s">
        <v>1354</v>
      </c>
      <c r="C1341" s="3" t="s">
        <v>6</v>
      </c>
      <c r="D1341" s="5">
        <f t="shared" si="40"/>
        <v>20.59</v>
      </c>
      <c r="E1341">
        <v>22.61</v>
      </c>
      <c r="F1341" s="1789">
        <v>8.8999999999999996E-2</v>
      </c>
      <c r="G1341">
        <f t="shared" si="41"/>
        <v>20.59</v>
      </c>
    </row>
    <row r="1342" spans="1:7" ht="12.75" customHeight="1">
      <c r="A1342" s="3">
        <v>38854</v>
      </c>
      <c r="B1342" s="4" t="s">
        <v>1355</v>
      </c>
      <c r="C1342" s="3" t="s">
        <v>6</v>
      </c>
      <c r="D1342" s="5">
        <f t="shared" si="40"/>
        <v>8.94</v>
      </c>
      <c r="E1342">
        <v>9.82</v>
      </c>
      <c r="F1342" s="1789">
        <v>8.8999999999999996E-2</v>
      </c>
      <c r="G1342">
        <f t="shared" si="41"/>
        <v>8.94</v>
      </c>
    </row>
    <row r="1343" spans="1:7" ht="12.75" customHeight="1">
      <c r="A1343" s="3">
        <v>44247</v>
      </c>
      <c r="B1343" s="4" t="s">
        <v>1356</v>
      </c>
      <c r="C1343" s="3" t="s">
        <v>6</v>
      </c>
      <c r="D1343" s="5">
        <f t="shared" si="40"/>
        <v>1390.5</v>
      </c>
      <c r="E1343">
        <v>1526.35</v>
      </c>
      <c r="F1343" s="1789">
        <v>8.8999999999999996E-2</v>
      </c>
      <c r="G1343">
        <f t="shared" si="41"/>
        <v>1390.5</v>
      </c>
    </row>
    <row r="1344" spans="1:7" ht="12.75" customHeight="1">
      <c r="A1344" s="3">
        <v>38005</v>
      </c>
      <c r="B1344" s="4" t="s">
        <v>1357</v>
      </c>
      <c r="C1344" s="3" t="s">
        <v>6</v>
      </c>
      <c r="D1344" s="5">
        <f t="shared" si="40"/>
        <v>16.53</v>
      </c>
      <c r="E1344">
        <v>18.149999999999999</v>
      </c>
      <c r="F1344" s="1789">
        <v>8.8999999999999996E-2</v>
      </c>
      <c r="G1344">
        <f t="shared" si="41"/>
        <v>16.53</v>
      </c>
    </row>
    <row r="1345" spans="1:7" ht="12.75" customHeight="1">
      <c r="A1345" s="3">
        <v>38006</v>
      </c>
      <c r="B1345" s="4" t="s">
        <v>1358</v>
      </c>
      <c r="C1345" s="3" t="s">
        <v>6</v>
      </c>
      <c r="D1345" s="5">
        <f t="shared" si="40"/>
        <v>21.96</v>
      </c>
      <c r="E1345">
        <v>24.11</v>
      </c>
      <c r="F1345" s="1789">
        <v>8.8999999999999996E-2</v>
      </c>
      <c r="G1345">
        <f t="shared" si="41"/>
        <v>21.96</v>
      </c>
    </row>
    <row r="1346" spans="1:7" ht="12.75" customHeight="1">
      <c r="A1346" s="3">
        <v>38428</v>
      </c>
      <c r="B1346" s="4" t="s">
        <v>1359</v>
      </c>
      <c r="C1346" s="3" t="s">
        <v>6</v>
      </c>
      <c r="D1346" s="5">
        <f t="shared" si="40"/>
        <v>19.670000000000002</v>
      </c>
      <c r="E1346">
        <v>21.6</v>
      </c>
      <c r="F1346" s="1789">
        <v>8.8999999999999996E-2</v>
      </c>
      <c r="G1346">
        <f t="shared" si="41"/>
        <v>19.670000000000002</v>
      </c>
    </row>
    <row r="1347" spans="1:7" ht="12.75" customHeight="1">
      <c r="A1347" s="3">
        <v>38007</v>
      </c>
      <c r="B1347" s="4" t="s">
        <v>1360</v>
      </c>
      <c r="C1347" s="3" t="s">
        <v>6</v>
      </c>
      <c r="D1347" s="5">
        <f t="shared" ref="D1347:D1410" si="42">G1347</f>
        <v>25.34</v>
      </c>
      <c r="E1347">
        <v>27.82</v>
      </c>
      <c r="F1347" s="1789">
        <v>8.8999999999999996E-2</v>
      </c>
      <c r="G1347">
        <f t="shared" ref="G1347:G1410" si="43">TRUNC((1-F1347)*E1347,2)</f>
        <v>25.34</v>
      </c>
    </row>
    <row r="1348" spans="1:7" ht="12.75" customHeight="1">
      <c r="A1348" s="3">
        <v>38008</v>
      </c>
      <c r="B1348" s="4" t="s">
        <v>1361</v>
      </c>
      <c r="C1348" s="3" t="s">
        <v>6</v>
      </c>
      <c r="D1348" s="5">
        <f t="shared" si="42"/>
        <v>40.549999999999997</v>
      </c>
      <c r="E1348">
        <v>44.52</v>
      </c>
      <c r="F1348" s="1789">
        <v>8.8999999999999996E-2</v>
      </c>
      <c r="G1348">
        <f t="shared" si="43"/>
        <v>40.549999999999997</v>
      </c>
    </row>
    <row r="1349" spans="1:7" ht="12.75" customHeight="1">
      <c r="A1349" s="3">
        <v>38009</v>
      </c>
      <c r="B1349" s="4" t="s">
        <v>1362</v>
      </c>
      <c r="C1349" s="3" t="s">
        <v>6</v>
      </c>
      <c r="D1349" s="5">
        <f t="shared" si="42"/>
        <v>49.65</v>
      </c>
      <c r="E1349">
        <v>54.51</v>
      </c>
      <c r="F1349" s="1789">
        <v>8.8999999999999996E-2</v>
      </c>
      <c r="G1349">
        <f t="shared" si="43"/>
        <v>49.65</v>
      </c>
    </row>
    <row r="1350" spans="1:7" ht="12.75" customHeight="1">
      <c r="A1350" s="3">
        <v>44248</v>
      </c>
      <c r="B1350" s="4" t="s">
        <v>1363</v>
      </c>
      <c r="C1350" s="3" t="s">
        <v>6</v>
      </c>
      <c r="D1350" s="5">
        <f t="shared" si="42"/>
        <v>80.94</v>
      </c>
      <c r="E1350">
        <v>88.85</v>
      </c>
      <c r="F1350" s="1789">
        <v>8.8999999999999996E-2</v>
      </c>
      <c r="G1350">
        <f t="shared" si="43"/>
        <v>80.94</v>
      </c>
    </row>
    <row r="1351" spans="1:7" ht="12.75" customHeight="1">
      <c r="A1351" s="3">
        <v>44249</v>
      </c>
      <c r="B1351" s="4" t="s">
        <v>1364</v>
      </c>
      <c r="C1351" s="3" t="s">
        <v>6</v>
      </c>
      <c r="D1351" s="5">
        <f t="shared" si="42"/>
        <v>312.29000000000002</v>
      </c>
      <c r="E1351">
        <v>342.8</v>
      </c>
      <c r="F1351" s="1789">
        <v>8.8999999999999996E-2</v>
      </c>
      <c r="G1351">
        <f t="shared" si="43"/>
        <v>312.29000000000002</v>
      </c>
    </row>
    <row r="1352" spans="1:7" ht="12.75" customHeight="1">
      <c r="A1352" s="3">
        <v>44250</v>
      </c>
      <c r="B1352" s="4" t="s">
        <v>1365</v>
      </c>
      <c r="C1352" s="3" t="s">
        <v>6</v>
      </c>
      <c r="D1352" s="5">
        <f t="shared" si="42"/>
        <v>453.51</v>
      </c>
      <c r="E1352">
        <v>497.82</v>
      </c>
      <c r="F1352" s="1789">
        <v>8.8999999999999996E-2</v>
      </c>
      <c r="G1352">
        <f t="shared" si="43"/>
        <v>453.51</v>
      </c>
    </row>
    <row r="1353" spans="1:7" ht="12.75" customHeight="1">
      <c r="A1353" s="3">
        <v>3104</v>
      </c>
      <c r="B1353" s="4" t="s">
        <v>1366</v>
      </c>
      <c r="C1353" s="3" t="s">
        <v>1367</v>
      </c>
      <c r="D1353" s="5">
        <f t="shared" si="42"/>
        <v>132</v>
      </c>
      <c r="E1353">
        <v>144.9</v>
      </c>
      <c r="F1353" s="1789">
        <v>8.8999999999999996E-2</v>
      </c>
      <c r="G1353">
        <f t="shared" si="43"/>
        <v>132</v>
      </c>
    </row>
    <row r="1354" spans="1:7" ht="12.75" customHeight="1">
      <c r="A1354" s="3">
        <v>1607</v>
      </c>
      <c r="B1354" s="4" t="s">
        <v>1368</v>
      </c>
      <c r="C1354" s="3" t="s">
        <v>1367</v>
      </c>
      <c r="D1354" s="5">
        <f t="shared" si="42"/>
        <v>0.23</v>
      </c>
      <c r="E1354">
        <v>0.26</v>
      </c>
      <c r="F1354" s="1789">
        <v>8.8999999999999996E-2</v>
      </c>
      <c r="G1354">
        <f t="shared" si="43"/>
        <v>0.23</v>
      </c>
    </row>
    <row r="1355" spans="1:7" ht="12.75" customHeight="1">
      <c r="A1355" s="3">
        <v>38169</v>
      </c>
      <c r="B1355" s="4" t="s">
        <v>1369</v>
      </c>
      <c r="C1355" s="3" t="s">
        <v>1367</v>
      </c>
      <c r="D1355" s="5">
        <f t="shared" si="42"/>
        <v>85.29</v>
      </c>
      <c r="E1355">
        <v>93.63</v>
      </c>
      <c r="F1355" s="1789">
        <v>8.8999999999999996E-2</v>
      </c>
      <c r="G1355">
        <f t="shared" si="43"/>
        <v>85.29</v>
      </c>
    </row>
    <row r="1356" spans="1:7" ht="12.75" customHeight="1">
      <c r="A1356" s="3">
        <v>6142</v>
      </c>
      <c r="B1356" s="4" t="s">
        <v>1370</v>
      </c>
      <c r="C1356" s="3" t="s">
        <v>6</v>
      </c>
      <c r="D1356" s="5">
        <f t="shared" si="42"/>
        <v>6.87</v>
      </c>
      <c r="E1356">
        <v>7.55</v>
      </c>
      <c r="F1356" s="1789">
        <v>8.8999999999999996E-2</v>
      </c>
      <c r="G1356">
        <f t="shared" si="43"/>
        <v>6.87</v>
      </c>
    </row>
    <row r="1357" spans="1:7" ht="12.75" customHeight="1">
      <c r="A1357" s="3">
        <v>11686</v>
      </c>
      <c r="B1357" s="4" t="s">
        <v>1371</v>
      </c>
      <c r="C1357" s="3" t="s">
        <v>6</v>
      </c>
      <c r="D1357" s="5">
        <f t="shared" si="42"/>
        <v>9.5500000000000007</v>
      </c>
      <c r="E1357">
        <v>10.49</v>
      </c>
      <c r="F1357" s="1789">
        <v>8.8999999999999996E-2</v>
      </c>
      <c r="G1357">
        <f t="shared" si="43"/>
        <v>9.5500000000000007</v>
      </c>
    </row>
    <row r="1358" spans="1:7" ht="12.75" customHeight="1">
      <c r="A1358" s="3">
        <v>37598</v>
      </c>
      <c r="B1358" s="4" t="s">
        <v>1372</v>
      </c>
      <c r="C1358" s="3" t="s">
        <v>6</v>
      </c>
      <c r="D1358" s="5">
        <f t="shared" si="42"/>
        <v>34.71</v>
      </c>
      <c r="E1358">
        <v>38.11</v>
      </c>
      <c r="F1358" s="1789">
        <v>8.8999999999999996E-2</v>
      </c>
      <c r="G1358">
        <f t="shared" si="43"/>
        <v>34.71</v>
      </c>
    </row>
    <row r="1359" spans="1:7" ht="12.75" customHeight="1">
      <c r="A1359" s="3">
        <v>25398</v>
      </c>
      <c r="B1359" s="4" t="s">
        <v>1373</v>
      </c>
      <c r="C1359" s="3" t="s">
        <v>6</v>
      </c>
      <c r="D1359" s="5">
        <f t="shared" si="42"/>
        <v>3706.2</v>
      </c>
      <c r="E1359">
        <v>4068.28</v>
      </c>
      <c r="F1359" s="1789">
        <v>8.8999999999999996E-2</v>
      </c>
      <c r="G1359">
        <f t="shared" si="43"/>
        <v>3706.2</v>
      </c>
    </row>
    <row r="1360" spans="1:7" ht="12.75" customHeight="1">
      <c r="A1360" s="3">
        <v>25399</v>
      </c>
      <c r="B1360" s="4" t="s">
        <v>1374</v>
      </c>
      <c r="C1360" s="3" t="s">
        <v>6</v>
      </c>
      <c r="D1360" s="5">
        <f t="shared" si="42"/>
        <v>2249.98</v>
      </c>
      <c r="E1360">
        <v>2469.8000000000002</v>
      </c>
      <c r="F1360" s="1789">
        <v>8.8999999999999996E-2</v>
      </c>
      <c r="G1360">
        <f t="shared" si="43"/>
        <v>2249.98</v>
      </c>
    </row>
    <row r="1361" spans="1:7" ht="12.75" customHeight="1">
      <c r="A1361" s="3">
        <v>43440</v>
      </c>
      <c r="B1361" s="4" t="s">
        <v>1375</v>
      </c>
      <c r="C1361" s="3" t="s">
        <v>6</v>
      </c>
      <c r="D1361" s="5">
        <f t="shared" si="42"/>
        <v>417.02</v>
      </c>
      <c r="E1361">
        <v>457.77</v>
      </c>
      <c r="F1361" s="1789">
        <v>8.8999999999999996E-2</v>
      </c>
      <c r="G1361">
        <f t="shared" si="43"/>
        <v>417.02</v>
      </c>
    </row>
    <row r="1362" spans="1:7" ht="12.75" customHeight="1">
      <c r="A1362" s="3">
        <v>10667</v>
      </c>
      <c r="B1362" s="4" t="s">
        <v>1376</v>
      </c>
      <c r="C1362" s="3" t="s">
        <v>6</v>
      </c>
      <c r="D1362" s="5">
        <f t="shared" si="42"/>
        <v>17677.04</v>
      </c>
      <c r="E1362">
        <v>19404</v>
      </c>
      <c r="F1362" s="1789">
        <v>8.8999999999999996E-2</v>
      </c>
      <c r="G1362">
        <f t="shared" si="43"/>
        <v>17677.04</v>
      </c>
    </row>
    <row r="1363" spans="1:7" ht="12.75" customHeight="1">
      <c r="A1363" s="3">
        <v>1613</v>
      </c>
      <c r="B1363" s="4" t="s">
        <v>1377</v>
      </c>
      <c r="C1363" s="3" t="s">
        <v>6</v>
      </c>
      <c r="D1363" s="5">
        <f t="shared" si="42"/>
        <v>1646.46</v>
      </c>
      <c r="E1363">
        <v>1807.32</v>
      </c>
      <c r="F1363" s="1789">
        <v>8.8999999999999996E-2</v>
      </c>
      <c r="G1363">
        <f t="shared" si="43"/>
        <v>1646.46</v>
      </c>
    </row>
    <row r="1364" spans="1:7" ht="12.75" customHeight="1">
      <c r="A1364" s="3">
        <v>1626</v>
      </c>
      <c r="B1364" s="4" t="s">
        <v>1378</v>
      </c>
      <c r="C1364" s="3" t="s">
        <v>6</v>
      </c>
      <c r="D1364" s="5">
        <f t="shared" si="42"/>
        <v>2462.48</v>
      </c>
      <c r="E1364">
        <v>2703.06</v>
      </c>
      <c r="F1364" s="1789">
        <v>8.8999999999999996E-2</v>
      </c>
      <c r="G1364">
        <f t="shared" si="43"/>
        <v>2462.48</v>
      </c>
    </row>
    <row r="1365" spans="1:7" ht="12.75" customHeight="1">
      <c r="A1365" s="3">
        <v>1625</v>
      </c>
      <c r="B1365" s="4" t="s">
        <v>1379</v>
      </c>
      <c r="C1365" s="3" t="s">
        <v>6</v>
      </c>
      <c r="D1365" s="5">
        <f t="shared" si="42"/>
        <v>171.99</v>
      </c>
      <c r="E1365">
        <v>188.8</v>
      </c>
      <c r="F1365" s="1789">
        <v>8.8999999999999996E-2</v>
      </c>
      <c r="G1365">
        <f t="shared" si="43"/>
        <v>171.99</v>
      </c>
    </row>
    <row r="1366" spans="1:7" ht="12.75" customHeight="1">
      <c r="A1366" s="3">
        <v>1622</v>
      </c>
      <c r="B1366" s="4" t="s">
        <v>1380</v>
      </c>
      <c r="C1366" s="3" t="s">
        <v>6</v>
      </c>
      <c r="D1366" s="5">
        <f t="shared" si="42"/>
        <v>5556.82</v>
      </c>
      <c r="E1366">
        <v>6099.7</v>
      </c>
      <c r="F1366" s="1789">
        <v>8.8999999999999996E-2</v>
      </c>
      <c r="G1366">
        <f t="shared" si="43"/>
        <v>5556.82</v>
      </c>
    </row>
    <row r="1367" spans="1:7" ht="12.75" customHeight="1">
      <c r="A1367" s="3">
        <v>1620</v>
      </c>
      <c r="B1367" s="4" t="s">
        <v>1381</v>
      </c>
      <c r="C1367" s="3" t="s">
        <v>6</v>
      </c>
      <c r="D1367" s="5">
        <f t="shared" si="42"/>
        <v>362.31</v>
      </c>
      <c r="E1367">
        <v>397.71</v>
      </c>
      <c r="F1367" s="1789">
        <v>8.8999999999999996E-2</v>
      </c>
      <c r="G1367">
        <f t="shared" si="43"/>
        <v>362.31</v>
      </c>
    </row>
    <row r="1368" spans="1:7" ht="12.75" customHeight="1">
      <c r="A1368" s="3">
        <v>1629</v>
      </c>
      <c r="B1368" s="4" t="s">
        <v>1382</v>
      </c>
      <c r="C1368" s="3" t="s">
        <v>6</v>
      </c>
      <c r="D1368" s="5">
        <f t="shared" si="42"/>
        <v>13524</v>
      </c>
      <c r="E1368">
        <v>14845.23</v>
      </c>
      <c r="F1368" s="1789">
        <v>8.8999999999999996E-2</v>
      </c>
      <c r="G1368">
        <f t="shared" si="43"/>
        <v>13524</v>
      </c>
    </row>
    <row r="1369" spans="1:7" ht="12.75" customHeight="1">
      <c r="A1369" s="3">
        <v>1627</v>
      </c>
      <c r="B1369" s="4" t="s">
        <v>1383</v>
      </c>
      <c r="C1369" s="3" t="s">
        <v>6</v>
      </c>
      <c r="D1369" s="5">
        <f t="shared" si="42"/>
        <v>692.55</v>
      </c>
      <c r="E1369">
        <v>760.21</v>
      </c>
      <c r="F1369" s="1789">
        <v>8.8999999999999996E-2</v>
      </c>
      <c r="G1369">
        <f t="shared" si="43"/>
        <v>692.55</v>
      </c>
    </row>
    <row r="1370" spans="1:7" ht="12.75" customHeight="1">
      <c r="A1370" s="3">
        <v>1623</v>
      </c>
      <c r="B1370" s="4" t="s">
        <v>1384</v>
      </c>
      <c r="C1370" s="3" t="s">
        <v>6</v>
      </c>
      <c r="D1370" s="5">
        <f t="shared" si="42"/>
        <v>140.26</v>
      </c>
      <c r="E1370">
        <v>153.97</v>
      </c>
      <c r="F1370" s="1789">
        <v>8.8999999999999996E-2</v>
      </c>
      <c r="G1370">
        <f t="shared" si="43"/>
        <v>140.26</v>
      </c>
    </row>
    <row r="1371" spans="1:7" ht="12.75" customHeight="1">
      <c r="A1371" s="3">
        <v>1619</v>
      </c>
      <c r="B1371" s="4" t="s">
        <v>1385</v>
      </c>
      <c r="C1371" s="3" t="s">
        <v>6</v>
      </c>
      <c r="D1371" s="5">
        <f t="shared" si="42"/>
        <v>192.94</v>
      </c>
      <c r="E1371">
        <v>211.8</v>
      </c>
      <c r="F1371" s="1789">
        <v>8.8999999999999996E-2</v>
      </c>
      <c r="G1371">
        <f t="shared" si="43"/>
        <v>192.94</v>
      </c>
    </row>
    <row r="1372" spans="1:7" ht="12.75" customHeight="1">
      <c r="A1372" s="3">
        <v>1630</v>
      </c>
      <c r="B1372" s="4" t="s">
        <v>1386</v>
      </c>
      <c r="C1372" s="3" t="s">
        <v>6</v>
      </c>
      <c r="D1372" s="5">
        <f t="shared" si="42"/>
        <v>4248.3100000000004</v>
      </c>
      <c r="E1372">
        <v>4663.3500000000004</v>
      </c>
      <c r="F1372" s="1789">
        <v>8.8999999999999996E-2</v>
      </c>
      <c r="G1372">
        <f t="shared" si="43"/>
        <v>4248.3100000000004</v>
      </c>
    </row>
    <row r="1373" spans="1:7" ht="12.75" customHeight="1">
      <c r="A1373" s="3">
        <v>1616</v>
      </c>
      <c r="B1373" s="4" t="s">
        <v>1387</v>
      </c>
      <c r="C1373" s="3" t="s">
        <v>6</v>
      </c>
      <c r="D1373" s="5">
        <f t="shared" si="42"/>
        <v>6533.98</v>
      </c>
      <c r="E1373">
        <v>7172.32</v>
      </c>
      <c r="F1373" s="1789">
        <v>8.8999999999999996E-2</v>
      </c>
      <c r="G1373">
        <f t="shared" si="43"/>
        <v>6533.98</v>
      </c>
    </row>
    <row r="1374" spans="1:7" ht="12.75" customHeight="1">
      <c r="A1374" s="3">
        <v>1614</v>
      </c>
      <c r="B1374" s="4" t="s">
        <v>1388</v>
      </c>
      <c r="C1374" s="3" t="s">
        <v>6</v>
      </c>
      <c r="D1374" s="5">
        <f t="shared" si="42"/>
        <v>298.62</v>
      </c>
      <c r="E1374">
        <v>327.8</v>
      </c>
      <c r="F1374" s="1789">
        <v>8.8999999999999996E-2</v>
      </c>
      <c r="G1374">
        <f t="shared" si="43"/>
        <v>298.62</v>
      </c>
    </row>
    <row r="1375" spans="1:7" ht="12.75" customHeight="1">
      <c r="A1375" s="3">
        <v>1617</v>
      </c>
      <c r="B1375" s="4" t="s">
        <v>1389</v>
      </c>
      <c r="C1375" s="3" t="s">
        <v>6</v>
      </c>
      <c r="D1375" s="5">
        <f t="shared" si="42"/>
        <v>7800.15</v>
      </c>
      <c r="E1375">
        <v>8562.19</v>
      </c>
      <c r="F1375" s="1789">
        <v>8.8999999999999996E-2</v>
      </c>
      <c r="G1375">
        <f t="shared" si="43"/>
        <v>7800.15</v>
      </c>
    </row>
    <row r="1376" spans="1:7" ht="12.75" customHeight="1">
      <c r="A1376" s="3">
        <v>1621</v>
      </c>
      <c r="B1376" s="4" t="s">
        <v>1390</v>
      </c>
      <c r="C1376" s="3" t="s">
        <v>6</v>
      </c>
      <c r="D1376" s="5">
        <f t="shared" si="42"/>
        <v>534.08000000000004</v>
      </c>
      <c r="E1376">
        <v>586.26</v>
      </c>
      <c r="F1376" s="1789">
        <v>8.8999999999999996E-2</v>
      </c>
      <c r="G1376">
        <f t="shared" si="43"/>
        <v>534.08000000000004</v>
      </c>
    </row>
    <row r="1377" spans="1:7" ht="12.75" customHeight="1">
      <c r="A1377" s="3">
        <v>1624</v>
      </c>
      <c r="B1377" s="4" t="s">
        <v>1391</v>
      </c>
      <c r="C1377" s="3" t="s">
        <v>6</v>
      </c>
      <c r="D1377" s="5">
        <f t="shared" si="42"/>
        <v>19173.169999999998</v>
      </c>
      <c r="E1377">
        <v>21046.29</v>
      </c>
      <c r="F1377" s="1789">
        <v>8.8999999999999996E-2</v>
      </c>
      <c r="G1377">
        <f t="shared" si="43"/>
        <v>19173.169999999998</v>
      </c>
    </row>
    <row r="1378" spans="1:7" ht="12.75" customHeight="1">
      <c r="A1378" s="3">
        <v>1615</v>
      </c>
      <c r="B1378" s="4" t="s">
        <v>1392</v>
      </c>
      <c r="C1378" s="3" t="s">
        <v>6</v>
      </c>
      <c r="D1378" s="5">
        <f t="shared" si="42"/>
        <v>1002.92</v>
      </c>
      <c r="E1378">
        <v>1100.9100000000001</v>
      </c>
      <c r="F1378" s="1789">
        <v>8.8999999999999996E-2</v>
      </c>
      <c r="G1378">
        <f t="shared" si="43"/>
        <v>1002.92</v>
      </c>
    </row>
    <row r="1379" spans="1:7" ht="12.75" customHeight="1">
      <c r="A1379" s="3">
        <v>1612</v>
      </c>
      <c r="B1379" s="4" t="s">
        <v>1393</v>
      </c>
      <c r="C1379" s="3" t="s">
        <v>6</v>
      </c>
      <c r="D1379" s="5">
        <f t="shared" si="42"/>
        <v>132.09</v>
      </c>
      <c r="E1379">
        <v>145</v>
      </c>
      <c r="F1379" s="1789">
        <v>8.8999999999999996E-2</v>
      </c>
      <c r="G1379">
        <f t="shared" si="43"/>
        <v>132.09</v>
      </c>
    </row>
    <row r="1380" spans="1:7" ht="12.75" customHeight="1">
      <c r="A1380" s="3">
        <v>1618</v>
      </c>
      <c r="B1380" s="4" t="s">
        <v>1394</v>
      </c>
      <c r="C1380" s="3" t="s">
        <v>6</v>
      </c>
      <c r="D1380" s="5">
        <f t="shared" si="42"/>
        <v>1378.16</v>
      </c>
      <c r="E1380">
        <v>1512.81</v>
      </c>
      <c r="F1380" s="1789">
        <v>8.8999999999999996E-2</v>
      </c>
      <c r="G1380">
        <f t="shared" si="43"/>
        <v>1378.16</v>
      </c>
    </row>
    <row r="1381" spans="1:7" ht="12.75" customHeight="1">
      <c r="A1381" s="3">
        <v>14211</v>
      </c>
      <c r="B1381" s="4" t="s">
        <v>1395</v>
      </c>
      <c r="C1381" s="3" t="s">
        <v>6</v>
      </c>
      <c r="D1381" s="5">
        <f t="shared" si="42"/>
        <v>43.17</v>
      </c>
      <c r="E1381">
        <v>47.39</v>
      </c>
      <c r="F1381" s="1789">
        <v>8.8999999999999996E-2</v>
      </c>
      <c r="G1381">
        <f t="shared" si="43"/>
        <v>43.17</v>
      </c>
    </row>
    <row r="1382" spans="1:7" ht="12.75" customHeight="1">
      <c r="A1382" s="3">
        <v>43657</v>
      </c>
      <c r="B1382" s="4" t="s">
        <v>1396</v>
      </c>
      <c r="C1382" s="3" t="s">
        <v>50</v>
      </c>
      <c r="D1382" s="5">
        <f t="shared" si="42"/>
        <v>5.94</v>
      </c>
      <c r="E1382">
        <v>6.53</v>
      </c>
      <c r="F1382" s="1789">
        <v>8.8999999999999996E-2</v>
      </c>
      <c r="G1382">
        <f t="shared" si="43"/>
        <v>5.94</v>
      </c>
    </row>
    <row r="1383" spans="1:7" ht="12.75" customHeight="1">
      <c r="A1383" s="3">
        <v>38200</v>
      </c>
      <c r="B1383" s="4" t="s">
        <v>1397</v>
      </c>
      <c r="C1383" s="3" t="s">
        <v>1398</v>
      </c>
      <c r="D1383" s="5">
        <f t="shared" si="42"/>
        <v>618.25</v>
      </c>
      <c r="E1383">
        <v>678.65</v>
      </c>
      <c r="F1383" s="1789">
        <v>8.8999999999999996E-2</v>
      </c>
      <c r="G1383">
        <f t="shared" si="43"/>
        <v>618.25</v>
      </c>
    </row>
    <row r="1384" spans="1:7" ht="12.75" customHeight="1">
      <c r="A1384" s="3">
        <v>39269</v>
      </c>
      <c r="B1384" s="4" t="s">
        <v>1399</v>
      </c>
      <c r="C1384" s="3" t="s">
        <v>50</v>
      </c>
      <c r="D1384" s="5">
        <f t="shared" si="42"/>
        <v>1.32</v>
      </c>
      <c r="E1384">
        <v>1.45</v>
      </c>
      <c r="F1384" s="1789">
        <v>8.8999999999999996E-2</v>
      </c>
      <c r="G1384">
        <f t="shared" si="43"/>
        <v>1.32</v>
      </c>
    </row>
    <row r="1385" spans="1:7" ht="12.75" customHeight="1">
      <c r="A1385" s="3">
        <v>11889</v>
      </c>
      <c r="B1385" s="4" t="s">
        <v>1400</v>
      </c>
      <c r="C1385" s="3" t="s">
        <v>50</v>
      </c>
      <c r="D1385" s="5">
        <f t="shared" si="42"/>
        <v>1.81</v>
      </c>
      <c r="E1385">
        <v>1.99</v>
      </c>
      <c r="F1385" s="1789">
        <v>8.8999999999999996E-2</v>
      </c>
      <c r="G1385">
        <f t="shared" si="43"/>
        <v>1.81</v>
      </c>
    </row>
    <row r="1386" spans="1:7" ht="12.75" customHeight="1">
      <c r="A1386" s="3">
        <v>39270</v>
      </c>
      <c r="B1386" s="4" t="s">
        <v>1401</v>
      </c>
      <c r="C1386" s="3" t="s">
        <v>50</v>
      </c>
      <c r="D1386" s="5">
        <f t="shared" si="42"/>
        <v>2.35</v>
      </c>
      <c r="E1386">
        <v>2.58</v>
      </c>
      <c r="F1386" s="1789">
        <v>8.8999999999999996E-2</v>
      </c>
      <c r="G1386">
        <f t="shared" si="43"/>
        <v>2.35</v>
      </c>
    </row>
    <row r="1387" spans="1:7" ht="12.75" customHeight="1">
      <c r="A1387" s="3">
        <v>11890</v>
      </c>
      <c r="B1387" s="4" t="s">
        <v>1402</v>
      </c>
      <c r="C1387" s="3" t="s">
        <v>50</v>
      </c>
      <c r="D1387" s="5">
        <f t="shared" si="42"/>
        <v>3.2</v>
      </c>
      <c r="E1387">
        <v>3.52</v>
      </c>
      <c r="F1387" s="1789">
        <v>8.8999999999999996E-2</v>
      </c>
      <c r="G1387">
        <f t="shared" si="43"/>
        <v>3.2</v>
      </c>
    </row>
    <row r="1388" spans="1:7" ht="12.75" customHeight="1">
      <c r="A1388" s="3">
        <v>11891</v>
      </c>
      <c r="B1388" s="4" t="s">
        <v>1403</v>
      </c>
      <c r="C1388" s="3" t="s">
        <v>50</v>
      </c>
      <c r="D1388" s="5">
        <f t="shared" si="42"/>
        <v>5.19</v>
      </c>
      <c r="E1388">
        <v>5.7</v>
      </c>
      <c r="F1388" s="1789">
        <v>8.8999999999999996E-2</v>
      </c>
      <c r="G1388">
        <f t="shared" si="43"/>
        <v>5.19</v>
      </c>
    </row>
    <row r="1389" spans="1:7" ht="12.75" customHeight="1">
      <c r="A1389" s="3">
        <v>11892</v>
      </c>
      <c r="B1389" s="4" t="s">
        <v>1404</v>
      </c>
      <c r="C1389" s="3" t="s">
        <v>50</v>
      </c>
      <c r="D1389" s="5">
        <f t="shared" si="42"/>
        <v>8.49</v>
      </c>
      <c r="E1389">
        <v>9.32</v>
      </c>
      <c r="F1389" s="1789">
        <v>8.8999999999999996E-2</v>
      </c>
      <c r="G1389">
        <f t="shared" si="43"/>
        <v>8.49</v>
      </c>
    </row>
    <row r="1390" spans="1:7" ht="12.75" customHeight="1">
      <c r="A1390" s="3">
        <v>37601</v>
      </c>
      <c r="B1390" s="4" t="s">
        <v>1405</v>
      </c>
      <c r="C1390" s="3" t="s">
        <v>50</v>
      </c>
      <c r="D1390" s="5">
        <f t="shared" si="42"/>
        <v>7.71</v>
      </c>
      <c r="E1390">
        <v>8.4700000000000006</v>
      </c>
      <c r="F1390" s="1789">
        <v>8.8999999999999996E-2</v>
      </c>
      <c r="G1390">
        <f t="shared" si="43"/>
        <v>7.71</v>
      </c>
    </row>
    <row r="1391" spans="1:7" ht="12.75" customHeight="1">
      <c r="A1391" s="3">
        <v>1634</v>
      </c>
      <c r="B1391" s="4" t="s">
        <v>1406</v>
      </c>
      <c r="C1391" s="3" t="s">
        <v>50</v>
      </c>
      <c r="D1391" s="5">
        <f t="shared" si="42"/>
        <v>7.97</v>
      </c>
      <c r="E1391">
        <v>8.75</v>
      </c>
      <c r="F1391" s="1789">
        <v>8.8999999999999996E-2</v>
      </c>
      <c r="G1391">
        <f t="shared" si="43"/>
        <v>7.97</v>
      </c>
    </row>
    <row r="1392" spans="1:7" ht="12.75" customHeight="1">
      <c r="A1392" s="3">
        <v>5086</v>
      </c>
      <c r="B1392" s="4" t="s">
        <v>1407</v>
      </c>
      <c r="C1392" s="3" t="s">
        <v>54</v>
      </c>
      <c r="D1392" s="5">
        <f t="shared" si="42"/>
        <v>35.31</v>
      </c>
      <c r="E1392">
        <v>38.76</v>
      </c>
      <c r="F1392" s="1789">
        <v>8.8999999999999996E-2</v>
      </c>
      <c r="G1392">
        <f t="shared" si="43"/>
        <v>35.31</v>
      </c>
    </row>
    <row r="1393" spans="1:7" ht="12.75" customHeight="1">
      <c r="A1393" s="3">
        <v>11280</v>
      </c>
      <c r="B1393" s="4" t="s">
        <v>1408</v>
      </c>
      <c r="C1393" s="3" t="s">
        <v>6</v>
      </c>
      <c r="D1393" s="5">
        <f t="shared" si="42"/>
        <v>13215.27</v>
      </c>
      <c r="E1393">
        <v>14506.34</v>
      </c>
      <c r="F1393" s="1789">
        <v>8.8999999999999996E-2</v>
      </c>
      <c r="G1393">
        <f t="shared" si="43"/>
        <v>13215.27</v>
      </c>
    </row>
    <row r="1394" spans="1:7" ht="12.75" customHeight="1">
      <c r="A1394" s="3">
        <v>40519</v>
      </c>
      <c r="B1394" s="4" t="s">
        <v>1409</v>
      </c>
      <c r="C1394" s="3" t="s">
        <v>6</v>
      </c>
      <c r="D1394" s="5">
        <f t="shared" si="42"/>
        <v>108942.19</v>
      </c>
      <c r="E1394">
        <v>119585.29</v>
      </c>
      <c r="F1394" s="1789">
        <v>8.8999999999999996E-2</v>
      </c>
      <c r="G1394">
        <f t="shared" si="43"/>
        <v>108942.19</v>
      </c>
    </row>
    <row r="1395" spans="1:7" ht="12.75" customHeight="1">
      <c r="A1395" s="3">
        <v>39869</v>
      </c>
      <c r="B1395" s="4" t="s">
        <v>1410</v>
      </c>
      <c r="C1395" s="3" t="s">
        <v>6</v>
      </c>
      <c r="D1395" s="5">
        <f t="shared" si="42"/>
        <v>12.43</v>
      </c>
      <c r="E1395">
        <v>13.65</v>
      </c>
      <c r="F1395" s="1789">
        <v>8.8999999999999996E-2</v>
      </c>
      <c r="G1395">
        <f t="shared" si="43"/>
        <v>12.43</v>
      </c>
    </row>
    <row r="1396" spans="1:7" ht="12.75" customHeight="1">
      <c r="A1396" s="3">
        <v>39870</v>
      </c>
      <c r="B1396" s="4" t="s">
        <v>1411</v>
      </c>
      <c r="C1396" s="3" t="s">
        <v>6</v>
      </c>
      <c r="D1396" s="5">
        <f t="shared" si="42"/>
        <v>19.02</v>
      </c>
      <c r="E1396">
        <v>20.88</v>
      </c>
      <c r="F1396" s="1789">
        <v>8.8999999999999996E-2</v>
      </c>
      <c r="G1396">
        <f t="shared" si="43"/>
        <v>19.02</v>
      </c>
    </row>
    <row r="1397" spans="1:7" ht="12.75" customHeight="1">
      <c r="A1397" s="3">
        <v>39871</v>
      </c>
      <c r="B1397" s="4" t="s">
        <v>1412</v>
      </c>
      <c r="C1397" s="3" t="s">
        <v>6</v>
      </c>
      <c r="D1397" s="5">
        <f t="shared" si="42"/>
        <v>21.31</v>
      </c>
      <c r="E1397">
        <v>23.4</v>
      </c>
      <c r="F1397" s="1789">
        <v>8.8999999999999996E-2</v>
      </c>
      <c r="G1397">
        <f t="shared" si="43"/>
        <v>21.31</v>
      </c>
    </row>
    <row r="1398" spans="1:7" ht="12.75" customHeight="1">
      <c r="A1398" s="3">
        <v>12722</v>
      </c>
      <c r="B1398" s="4" t="s">
        <v>1413</v>
      </c>
      <c r="C1398" s="3" t="s">
        <v>6</v>
      </c>
      <c r="D1398" s="5">
        <f t="shared" si="42"/>
        <v>713.46</v>
      </c>
      <c r="E1398">
        <v>783.17</v>
      </c>
      <c r="F1398" s="1789">
        <v>8.8999999999999996E-2</v>
      </c>
      <c r="G1398">
        <f t="shared" si="43"/>
        <v>713.46</v>
      </c>
    </row>
    <row r="1399" spans="1:7" ht="12.75" customHeight="1">
      <c r="A1399" s="3">
        <v>12714</v>
      </c>
      <c r="B1399" s="4" t="s">
        <v>1414</v>
      </c>
      <c r="C1399" s="3" t="s">
        <v>6</v>
      </c>
      <c r="D1399" s="5">
        <f t="shared" si="42"/>
        <v>4.6500000000000004</v>
      </c>
      <c r="E1399">
        <v>5.1100000000000003</v>
      </c>
      <c r="F1399" s="1789">
        <v>8.8999999999999996E-2</v>
      </c>
      <c r="G1399">
        <f t="shared" si="43"/>
        <v>4.6500000000000004</v>
      </c>
    </row>
    <row r="1400" spans="1:7" ht="12.75" customHeight="1">
      <c r="A1400" s="3">
        <v>12715</v>
      </c>
      <c r="B1400" s="4" t="s">
        <v>1415</v>
      </c>
      <c r="C1400" s="3" t="s">
        <v>6</v>
      </c>
      <c r="D1400" s="5">
        <f t="shared" si="42"/>
        <v>10.51</v>
      </c>
      <c r="E1400">
        <v>11.54</v>
      </c>
      <c r="F1400" s="1789">
        <v>8.8999999999999996E-2</v>
      </c>
      <c r="G1400">
        <f t="shared" si="43"/>
        <v>10.51</v>
      </c>
    </row>
    <row r="1401" spans="1:7" ht="12.75" customHeight="1">
      <c r="A1401" s="3">
        <v>12716</v>
      </c>
      <c r="B1401" s="4" t="s">
        <v>1416</v>
      </c>
      <c r="C1401" s="3" t="s">
        <v>6</v>
      </c>
      <c r="D1401" s="5">
        <f t="shared" si="42"/>
        <v>18.05</v>
      </c>
      <c r="E1401">
        <v>19.82</v>
      </c>
      <c r="F1401" s="1789">
        <v>8.8999999999999996E-2</v>
      </c>
      <c r="G1401">
        <f t="shared" si="43"/>
        <v>18.05</v>
      </c>
    </row>
    <row r="1402" spans="1:7" ht="12.75" customHeight="1">
      <c r="A1402" s="3">
        <v>12717</v>
      </c>
      <c r="B1402" s="4" t="s">
        <v>1417</v>
      </c>
      <c r="C1402" s="3" t="s">
        <v>6</v>
      </c>
      <c r="D1402" s="5">
        <f t="shared" si="42"/>
        <v>35.49</v>
      </c>
      <c r="E1402">
        <v>38.96</v>
      </c>
      <c r="F1402" s="1789">
        <v>8.8999999999999996E-2</v>
      </c>
      <c r="G1402">
        <f t="shared" si="43"/>
        <v>35.49</v>
      </c>
    </row>
    <row r="1403" spans="1:7" ht="12.75" customHeight="1">
      <c r="A1403" s="3">
        <v>12718</v>
      </c>
      <c r="B1403" s="4" t="s">
        <v>1418</v>
      </c>
      <c r="C1403" s="3" t="s">
        <v>6</v>
      </c>
      <c r="D1403" s="5">
        <f t="shared" si="42"/>
        <v>54.46</v>
      </c>
      <c r="E1403">
        <v>59.79</v>
      </c>
      <c r="F1403" s="1789">
        <v>8.8999999999999996E-2</v>
      </c>
      <c r="G1403">
        <f t="shared" si="43"/>
        <v>54.46</v>
      </c>
    </row>
    <row r="1404" spans="1:7" ht="12.75" customHeight="1">
      <c r="A1404" s="3">
        <v>12719</v>
      </c>
      <c r="B1404" s="4" t="s">
        <v>1419</v>
      </c>
      <c r="C1404" s="3" t="s">
        <v>6</v>
      </c>
      <c r="D1404" s="5">
        <f t="shared" si="42"/>
        <v>86.47</v>
      </c>
      <c r="E1404">
        <v>94.92</v>
      </c>
      <c r="F1404" s="1789">
        <v>8.8999999999999996E-2</v>
      </c>
      <c r="G1404">
        <f t="shared" si="43"/>
        <v>86.47</v>
      </c>
    </row>
    <row r="1405" spans="1:7" ht="12.75" customHeight="1">
      <c r="A1405" s="3">
        <v>12720</v>
      </c>
      <c r="B1405" s="4" t="s">
        <v>1420</v>
      </c>
      <c r="C1405" s="3" t="s">
        <v>6</v>
      </c>
      <c r="D1405" s="5">
        <f t="shared" si="42"/>
        <v>301.10000000000002</v>
      </c>
      <c r="E1405">
        <v>330.52</v>
      </c>
      <c r="F1405" s="1789">
        <v>8.8999999999999996E-2</v>
      </c>
      <c r="G1405">
        <f t="shared" si="43"/>
        <v>301.10000000000002</v>
      </c>
    </row>
    <row r="1406" spans="1:7" ht="12.75" customHeight="1">
      <c r="A1406" s="3">
        <v>12721</v>
      </c>
      <c r="B1406" s="4" t="s">
        <v>1421</v>
      </c>
      <c r="C1406" s="3" t="s">
        <v>6</v>
      </c>
      <c r="D1406" s="5">
        <f t="shared" si="42"/>
        <v>288.74</v>
      </c>
      <c r="E1406">
        <v>316.95</v>
      </c>
      <c r="F1406" s="1789">
        <v>8.8999999999999996E-2</v>
      </c>
      <c r="G1406">
        <f t="shared" si="43"/>
        <v>288.74</v>
      </c>
    </row>
    <row r="1407" spans="1:7" ht="12.75" customHeight="1">
      <c r="A1407" s="3">
        <v>3468</v>
      </c>
      <c r="B1407" s="4" t="s">
        <v>1422</v>
      </c>
      <c r="C1407" s="3" t="s">
        <v>6</v>
      </c>
      <c r="D1407" s="5">
        <f t="shared" si="42"/>
        <v>31.38</v>
      </c>
      <c r="E1407">
        <v>34.450000000000003</v>
      </c>
      <c r="F1407" s="1789">
        <v>8.8999999999999996E-2</v>
      </c>
      <c r="G1407">
        <f t="shared" si="43"/>
        <v>31.38</v>
      </c>
    </row>
    <row r="1408" spans="1:7" ht="12.75" customHeight="1">
      <c r="A1408" s="3">
        <v>3465</v>
      </c>
      <c r="B1408" s="4" t="s">
        <v>1423</v>
      </c>
      <c r="C1408" s="3" t="s">
        <v>6</v>
      </c>
      <c r="D1408" s="5">
        <f t="shared" si="42"/>
        <v>31.36</v>
      </c>
      <c r="E1408">
        <v>34.43</v>
      </c>
      <c r="F1408" s="1789">
        <v>8.8999999999999996E-2</v>
      </c>
      <c r="G1408">
        <f t="shared" si="43"/>
        <v>31.36</v>
      </c>
    </row>
    <row r="1409" spans="1:7" ht="12.75" customHeight="1">
      <c r="A1409" s="3">
        <v>12403</v>
      </c>
      <c r="B1409" s="4" t="s">
        <v>1424</v>
      </c>
      <c r="C1409" s="3" t="s">
        <v>6</v>
      </c>
      <c r="D1409" s="5">
        <f t="shared" si="42"/>
        <v>22.35</v>
      </c>
      <c r="E1409">
        <v>24.54</v>
      </c>
      <c r="F1409" s="1789">
        <v>8.8999999999999996E-2</v>
      </c>
      <c r="G1409">
        <f t="shared" si="43"/>
        <v>22.35</v>
      </c>
    </row>
    <row r="1410" spans="1:7" ht="12.75" customHeight="1">
      <c r="A1410" s="3">
        <v>3463</v>
      </c>
      <c r="B1410" s="4" t="s">
        <v>1425</v>
      </c>
      <c r="C1410" s="3" t="s">
        <v>6</v>
      </c>
      <c r="D1410" s="5">
        <f t="shared" si="42"/>
        <v>13.06</v>
      </c>
      <c r="E1410">
        <v>14.34</v>
      </c>
      <c r="F1410" s="1789">
        <v>8.8999999999999996E-2</v>
      </c>
      <c r="G1410">
        <f t="shared" si="43"/>
        <v>13.06</v>
      </c>
    </row>
    <row r="1411" spans="1:7" ht="12.75" customHeight="1">
      <c r="A1411" s="3">
        <v>3464</v>
      </c>
      <c r="B1411" s="4" t="s">
        <v>1426</v>
      </c>
      <c r="C1411" s="3" t="s">
        <v>6</v>
      </c>
      <c r="D1411" s="5">
        <f t="shared" ref="D1411:D1474" si="44">G1411</f>
        <v>13.06</v>
      </c>
      <c r="E1411">
        <v>14.34</v>
      </c>
      <c r="F1411" s="1789">
        <v>8.8999999999999996E-2</v>
      </c>
      <c r="G1411">
        <f t="shared" ref="G1411:G1474" si="45">TRUNC((1-F1411)*E1411,2)</f>
        <v>13.06</v>
      </c>
    </row>
    <row r="1412" spans="1:7" ht="12.75" customHeight="1">
      <c r="A1412" s="3">
        <v>3466</v>
      </c>
      <c r="B1412" s="4" t="s">
        <v>1427</v>
      </c>
      <c r="C1412" s="3" t="s">
        <v>6</v>
      </c>
      <c r="D1412" s="5">
        <f t="shared" si="44"/>
        <v>79.67</v>
      </c>
      <c r="E1412">
        <v>87.46</v>
      </c>
      <c r="F1412" s="1789">
        <v>8.8999999999999996E-2</v>
      </c>
      <c r="G1412">
        <f t="shared" si="45"/>
        <v>79.67</v>
      </c>
    </row>
    <row r="1413" spans="1:7" ht="12.75" customHeight="1">
      <c r="A1413" s="3">
        <v>3467</v>
      </c>
      <c r="B1413" s="4" t="s">
        <v>1428</v>
      </c>
      <c r="C1413" s="3" t="s">
        <v>6</v>
      </c>
      <c r="D1413" s="5">
        <f t="shared" si="44"/>
        <v>44.99</v>
      </c>
      <c r="E1413">
        <v>49.39</v>
      </c>
      <c r="F1413" s="1789">
        <v>8.8999999999999996E-2</v>
      </c>
      <c r="G1413">
        <f t="shared" si="45"/>
        <v>44.99</v>
      </c>
    </row>
    <row r="1414" spans="1:7" ht="12.75" customHeight="1">
      <c r="A1414" s="3">
        <v>3462</v>
      </c>
      <c r="B1414" s="4" t="s">
        <v>1429</v>
      </c>
      <c r="C1414" s="3" t="s">
        <v>6</v>
      </c>
      <c r="D1414" s="5">
        <f t="shared" si="44"/>
        <v>8.61</v>
      </c>
      <c r="E1414">
        <v>9.4600000000000009</v>
      </c>
      <c r="F1414" s="1789">
        <v>8.8999999999999996E-2</v>
      </c>
      <c r="G1414">
        <f t="shared" si="45"/>
        <v>8.61</v>
      </c>
    </row>
    <row r="1415" spans="1:7" ht="12.75" customHeight="1">
      <c r="A1415" s="3">
        <v>3446</v>
      </c>
      <c r="B1415" s="4" t="s">
        <v>1430</v>
      </c>
      <c r="C1415" s="3" t="s">
        <v>6</v>
      </c>
      <c r="D1415" s="5">
        <f t="shared" si="44"/>
        <v>26.52</v>
      </c>
      <c r="E1415">
        <v>29.12</v>
      </c>
      <c r="F1415" s="1789">
        <v>8.8999999999999996E-2</v>
      </c>
      <c r="G1415">
        <f t="shared" si="45"/>
        <v>26.52</v>
      </c>
    </row>
    <row r="1416" spans="1:7" ht="12.75" customHeight="1">
      <c r="A1416" s="3">
        <v>3445</v>
      </c>
      <c r="B1416" s="4" t="s">
        <v>1431</v>
      </c>
      <c r="C1416" s="3" t="s">
        <v>6</v>
      </c>
      <c r="D1416" s="5">
        <f t="shared" si="44"/>
        <v>21.65</v>
      </c>
      <c r="E1416">
        <v>23.77</v>
      </c>
      <c r="F1416" s="1789">
        <v>8.8999999999999996E-2</v>
      </c>
      <c r="G1416">
        <f t="shared" si="45"/>
        <v>21.65</v>
      </c>
    </row>
    <row r="1417" spans="1:7" ht="12.75" customHeight="1">
      <c r="A1417" s="3">
        <v>3441</v>
      </c>
      <c r="B1417" s="4" t="s">
        <v>1432</v>
      </c>
      <c r="C1417" s="3" t="s">
        <v>6</v>
      </c>
      <c r="D1417" s="5">
        <f t="shared" si="44"/>
        <v>6.11</v>
      </c>
      <c r="E1417">
        <v>6.71</v>
      </c>
      <c r="F1417" s="1789">
        <v>8.8999999999999996E-2</v>
      </c>
      <c r="G1417">
        <f t="shared" si="45"/>
        <v>6.11</v>
      </c>
    </row>
    <row r="1418" spans="1:7" ht="12.75" customHeight="1">
      <c r="A1418" s="3">
        <v>3444</v>
      </c>
      <c r="B1418" s="4" t="s">
        <v>1433</v>
      </c>
      <c r="C1418" s="3" t="s">
        <v>6</v>
      </c>
      <c r="D1418" s="5">
        <f t="shared" si="44"/>
        <v>13.32</v>
      </c>
      <c r="E1418">
        <v>14.63</v>
      </c>
      <c r="F1418" s="1789">
        <v>8.8999999999999996E-2</v>
      </c>
      <c r="G1418">
        <f t="shared" si="45"/>
        <v>13.32</v>
      </c>
    </row>
    <row r="1419" spans="1:7" ht="12.75" customHeight="1">
      <c r="A1419" s="3">
        <v>12402</v>
      </c>
      <c r="B1419" s="4" t="s">
        <v>1434</v>
      </c>
      <c r="C1419" s="3" t="s">
        <v>6</v>
      </c>
      <c r="D1419" s="5">
        <f t="shared" si="44"/>
        <v>74.56</v>
      </c>
      <c r="E1419">
        <v>81.849999999999994</v>
      </c>
      <c r="F1419" s="1789">
        <v>8.8999999999999996E-2</v>
      </c>
      <c r="G1419">
        <f t="shared" si="45"/>
        <v>74.56</v>
      </c>
    </row>
    <row r="1420" spans="1:7" ht="12.75" customHeight="1">
      <c r="A1420" s="3">
        <v>3447</v>
      </c>
      <c r="B1420" s="4" t="s">
        <v>1435</v>
      </c>
      <c r="C1420" s="3" t="s">
        <v>6</v>
      </c>
      <c r="D1420" s="5">
        <f t="shared" si="44"/>
        <v>38.58</v>
      </c>
      <c r="E1420">
        <v>42.35</v>
      </c>
      <c r="F1420" s="1789">
        <v>8.8999999999999996E-2</v>
      </c>
      <c r="G1420">
        <f t="shared" si="45"/>
        <v>38.58</v>
      </c>
    </row>
    <row r="1421" spans="1:7" ht="12.75" customHeight="1">
      <c r="A1421" s="3">
        <v>3442</v>
      </c>
      <c r="B1421" s="4" t="s">
        <v>1436</v>
      </c>
      <c r="C1421" s="3" t="s">
        <v>6</v>
      </c>
      <c r="D1421" s="5">
        <f t="shared" si="44"/>
        <v>9.1300000000000008</v>
      </c>
      <c r="E1421">
        <v>10.029999999999999</v>
      </c>
      <c r="F1421" s="1789">
        <v>8.8999999999999996E-2</v>
      </c>
      <c r="G1421">
        <f t="shared" si="45"/>
        <v>9.1300000000000008</v>
      </c>
    </row>
    <row r="1422" spans="1:7" ht="12.75" customHeight="1">
      <c r="A1422" s="3">
        <v>3448</v>
      </c>
      <c r="B1422" s="4" t="s">
        <v>1437</v>
      </c>
      <c r="C1422" s="3" t="s">
        <v>6</v>
      </c>
      <c r="D1422" s="5">
        <f t="shared" si="44"/>
        <v>109.01</v>
      </c>
      <c r="E1422">
        <v>119.67</v>
      </c>
      <c r="F1422" s="1789">
        <v>8.8999999999999996E-2</v>
      </c>
      <c r="G1422">
        <f t="shared" si="45"/>
        <v>109.01</v>
      </c>
    </row>
    <row r="1423" spans="1:7" ht="12.75" customHeight="1">
      <c r="A1423" s="3">
        <v>3449</v>
      </c>
      <c r="B1423" s="4" t="s">
        <v>1438</v>
      </c>
      <c r="C1423" s="3" t="s">
        <v>6</v>
      </c>
      <c r="D1423" s="5">
        <f t="shared" si="44"/>
        <v>191.02</v>
      </c>
      <c r="E1423">
        <v>209.69</v>
      </c>
      <c r="F1423" s="1789">
        <v>8.8999999999999996E-2</v>
      </c>
      <c r="G1423">
        <f t="shared" si="45"/>
        <v>191.02</v>
      </c>
    </row>
    <row r="1424" spans="1:7" ht="12.75" customHeight="1">
      <c r="A1424" s="3">
        <v>37438</v>
      </c>
      <c r="B1424" s="4" t="s">
        <v>1439</v>
      </c>
      <c r="C1424" s="3" t="s">
        <v>6</v>
      </c>
      <c r="D1424" s="5">
        <f t="shared" si="44"/>
        <v>207.89</v>
      </c>
      <c r="E1424">
        <v>228.21</v>
      </c>
      <c r="F1424" s="1789">
        <v>8.8999999999999996E-2</v>
      </c>
      <c r="G1424">
        <f t="shared" si="45"/>
        <v>207.89</v>
      </c>
    </row>
    <row r="1425" spans="1:7" ht="12.75" customHeight="1">
      <c r="A1425" s="3">
        <v>37439</v>
      </c>
      <c r="B1425" s="4" t="s">
        <v>1440</v>
      </c>
      <c r="C1425" s="3" t="s">
        <v>6</v>
      </c>
      <c r="D1425" s="5">
        <f t="shared" si="44"/>
        <v>1359.25</v>
      </c>
      <c r="E1425">
        <v>1492.05</v>
      </c>
      <c r="F1425" s="1789">
        <v>8.8999999999999996E-2</v>
      </c>
      <c r="G1425">
        <f t="shared" si="45"/>
        <v>1359.25</v>
      </c>
    </row>
    <row r="1426" spans="1:7" ht="12.75" customHeight="1">
      <c r="A1426" s="3">
        <v>37435</v>
      </c>
      <c r="B1426" s="4" t="s">
        <v>1441</v>
      </c>
      <c r="C1426" s="3" t="s">
        <v>6</v>
      </c>
      <c r="D1426" s="5">
        <f t="shared" si="44"/>
        <v>24.43</v>
      </c>
      <c r="E1426">
        <v>26.82</v>
      </c>
      <c r="F1426" s="1789">
        <v>8.8999999999999996E-2</v>
      </c>
      <c r="G1426">
        <f t="shared" si="45"/>
        <v>24.43</v>
      </c>
    </row>
    <row r="1427" spans="1:7" ht="12.75" customHeight="1">
      <c r="A1427" s="3">
        <v>37436</v>
      </c>
      <c r="B1427" s="4" t="s">
        <v>1442</v>
      </c>
      <c r="C1427" s="3" t="s">
        <v>6</v>
      </c>
      <c r="D1427" s="5">
        <f t="shared" si="44"/>
        <v>28.83</v>
      </c>
      <c r="E1427">
        <v>31.65</v>
      </c>
      <c r="F1427" s="1789">
        <v>8.8999999999999996E-2</v>
      </c>
      <c r="G1427">
        <f t="shared" si="45"/>
        <v>28.83</v>
      </c>
    </row>
    <row r="1428" spans="1:7" ht="12.75" customHeight="1">
      <c r="A1428" s="3">
        <v>37437</v>
      </c>
      <c r="B1428" s="4" t="s">
        <v>1443</v>
      </c>
      <c r="C1428" s="3" t="s">
        <v>6</v>
      </c>
      <c r="D1428" s="5">
        <f t="shared" si="44"/>
        <v>41.7</v>
      </c>
      <c r="E1428">
        <v>45.78</v>
      </c>
      <c r="F1428" s="1789">
        <v>8.8999999999999996E-2</v>
      </c>
      <c r="G1428">
        <f t="shared" si="45"/>
        <v>41.7</v>
      </c>
    </row>
    <row r="1429" spans="1:7" ht="12.75" customHeight="1">
      <c r="A1429" s="3">
        <v>3473</v>
      </c>
      <c r="B1429" s="4" t="s">
        <v>1444</v>
      </c>
      <c r="C1429" s="3" t="s">
        <v>6</v>
      </c>
      <c r="D1429" s="5">
        <f t="shared" si="44"/>
        <v>29.99</v>
      </c>
      <c r="E1429">
        <v>32.92</v>
      </c>
      <c r="F1429" s="1789">
        <v>8.8999999999999996E-2</v>
      </c>
      <c r="G1429">
        <f t="shared" si="45"/>
        <v>29.99</v>
      </c>
    </row>
    <row r="1430" spans="1:7" ht="12.75" customHeight="1">
      <c r="A1430" s="3">
        <v>3474</v>
      </c>
      <c r="B1430" s="4" t="s">
        <v>1445</v>
      </c>
      <c r="C1430" s="3" t="s">
        <v>6</v>
      </c>
      <c r="D1430" s="5">
        <f t="shared" si="44"/>
        <v>24.72</v>
      </c>
      <c r="E1430">
        <v>27.14</v>
      </c>
      <c r="F1430" s="1789">
        <v>8.8999999999999996E-2</v>
      </c>
      <c r="G1430">
        <f t="shared" si="45"/>
        <v>24.72</v>
      </c>
    </row>
    <row r="1431" spans="1:7" ht="12.75" customHeight="1">
      <c r="A1431" s="3">
        <v>3450</v>
      </c>
      <c r="B1431" s="4" t="s">
        <v>1446</v>
      </c>
      <c r="C1431" s="3" t="s">
        <v>6</v>
      </c>
      <c r="D1431" s="5">
        <f t="shared" si="44"/>
        <v>7.16</v>
      </c>
      <c r="E1431">
        <v>7.86</v>
      </c>
      <c r="F1431" s="1789">
        <v>8.8999999999999996E-2</v>
      </c>
      <c r="G1431">
        <f t="shared" si="45"/>
        <v>7.16</v>
      </c>
    </row>
    <row r="1432" spans="1:7" ht="12.75" customHeight="1">
      <c r="A1432" s="3">
        <v>3443</v>
      </c>
      <c r="B1432" s="4" t="s">
        <v>1447</v>
      </c>
      <c r="C1432" s="3" t="s">
        <v>6</v>
      </c>
      <c r="D1432" s="5">
        <f t="shared" si="44"/>
        <v>15.37</v>
      </c>
      <c r="E1432">
        <v>16.88</v>
      </c>
      <c r="F1432" s="1789">
        <v>8.8999999999999996E-2</v>
      </c>
      <c r="G1432">
        <f t="shared" si="45"/>
        <v>15.37</v>
      </c>
    </row>
    <row r="1433" spans="1:7" ht="12.75" customHeight="1">
      <c r="A1433" s="3">
        <v>3453</v>
      </c>
      <c r="B1433" s="4" t="s">
        <v>1448</v>
      </c>
      <c r="C1433" s="3" t="s">
        <v>6</v>
      </c>
      <c r="D1433" s="5">
        <f t="shared" si="44"/>
        <v>87.54</v>
      </c>
      <c r="E1433">
        <v>96.1</v>
      </c>
      <c r="F1433" s="1789">
        <v>8.8999999999999996E-2</v>
      </c>
      <c r="G1433">
        <f t="shared" si="45"/>
        <v>87.54</v>
      </c>
    </row>
    <row r="1434" spans="1:7" ht="12.75" customHeight="1">
      <c r="A1434" s="3">
        <v>3452</v>
      </c>
      <c r="B1434" s="4" t="s">
        <v>1449</v>
      </c>
      <c r="C1434" s="3" t="s">
        <v>6</v>
      </c>
      <c r="D1434" s="5">
        <f t="shared" si="44"/>
        <v>43.2</v>
      </c>
      <c r="E1434">
        <v>47.43</v>
      </c>
      <c r="F1434" s="1789">
        <v>8.8999999999999996E-2</v>
      </c>
      <c r="G1434">
        <f t="shared" si="45"/>
        <v>43.2</v>
      </c>
    </row>
    <row r="1435" spans="1:7" ht="12.75" customHeight="1">
      <c r="A1435" s="3">
        <v>3451</v>
      </c>
      <c r="B1435" s="4" t="s">
        <v>1450</v>
      </c>
      <c r="C1435" s="3" t="s">
        <v>6</v>
      </c>
      <c r="D1435" s="5">
        <f t="shared" si="44"/>
        <v>8.57</v>
      </c>
      <c r="E1435">
        <v>9.41</v>
      </c>
      <c r="F1435" s="1789">
        <v>8.8999999999999996E-2</v>
      </c>
      <c r="G1435">
        <f t="shared" si="45"/>
        <v>8.57</v>
      </c>
    </row>
    <row r="1436" spans="1:7" ht="12.75" customHeight="1">
      <c r="A1436" s="3">
        <v>3454</v>
      </c>
      <c r="B1436" s="4" t="s">
        <v>1451</v>
      </c>
      <c r="C1436" s="3" t="s">
        <v>6</v>
      </c>
      <c r="D1436" s="5">
        <f t="shared" si="44"/>
        <v>133.16</v>
      </c>
      <c r="E1436">
        <v>146.16999999999999</v>
      </c>
      <c r="F1436" s="1789">
        <v>8.8999999999999996E-2</v>
      </c>
      <c r="G1436">
        <f t="shared" si="45"/>
        <v>133.16</v>
      </c>
    </row>
    <row r="1437" spans="1:7" ht="12.75" customHeight="1">
      <c r="A1437" s="3">
        <v>3458</v>
      </c>
      <c r="B1437" s="4" t="s">
        <v>1452</v>
      </c>
      <c r="C1437" s="3" t="s">
        <v>6</v>
      </c>
      <c r="D1437" s="5">
        <f t="shared" si="44"/>
        <v>24.04</v>
      </c>
      <c r="E1437">
        <v>26.39</v>
      </c>
      <c r="F1437" s="1789">
        <v>8.8999999999999996E-2</v>
      </c>
      <c r="G1437">
        <f t="shared" si="45"/>
        <v>24.04</v>
      </c>
    </row>
    <row r="1438" spans="1:7" ht="12.75" customHeight="1">
      <c r="A1438" s="3">
        <v>3457</v>
      </c>
      <c r="B1438" s="4" t="s">
        <v>1453</v>
      </c>
      <c r="C1438" s="3" t="s">
        <v>6</v>
      </c>
      <c r="D1438" s="5">
        <f t="shared" si="44"/>
        <v>18.04</v>
      </c>
      <c r="E1438">
        <v>19.809999999999999</v>
      </c>
      <c r="F1438" s="1789">
        <v>8.8999999999999996E-2</v>
      </c>
      <c r="G1438">
        <f t="shared" si="45"/>
        <v>18.04</v>
      </c>
    </row>
    <row r="1439" spans="1:7" ht="12.75" customHeight="1">
      <c r="A1439" s="3">
        <v>3455</v>
      </c>
      <c r="B1439" s="4" t="s">
        <v>1454</v>
      </c>
      <c r="C1439" s="3" t="s">
        <v>6</v>
      </c>
      <c r="D1439" s="5">
        <f t="shared" si="44"/>
        <v>5.1100000000000003</v>
      </c>
      <c r="E1439">
        <v>5.62</v>
      </c>
      <c r="F1439" s="1789">
        <v>8.8999999999999996E-2</v>
      </c>
      <c r="G1439">
        <f t="shared" si="45"/>
        <v>5.1100000000000003</v>
      </c>
    </row>
    <row r="1440" spans="1:7" ht="12.75" customHeight="1">
      <c r="A1440" s="3">
        <v>3472</v>
      </c>
      <c r="B1440" s="4" t="s">
        <v>1455</v>
      </c>
      <c r="C1440" s="3" t="s">
        <v>6</v>
      </c>
      <c r="D1440" s="5">
        <f t="shared" si="44"/>
        <v>11.51</v>
      </c>
      <c r="E1440">
        <v>12.64</v>
      </c>
      <c r="F1440" s="1789">
        <v>8.8999999999999996E-2</v>
      </c>
      <c r="G1440">
        <f t="shared" si="45"/>
        <v>11.51</v>
      </c>
    </row>
    <row r="1441" spans="1:7" ht="12.75" customHeight="1">
      <c r="A1441" s="3">
        <v>3470</v>
      </c>
      <c r="B1441" s="4" t="s">
        <v>1456</v>
      </c>
      <c r="C1441" s="3" t="s">
        <v>6</v>
      </c>
      <c r="D1441" s="5">
        <f t="shared" si="44"/>
        <v>67.13</v>
      </c>
      <c r="E1441">
        <v>73.69</v>
      </c>
      <c r="F1441" s="1789">
        <v>8.8999999999999996E-2</v>
      </c>
      <c r="G1441">
        <f t="shared" si="45"/>
        <v>67.13</v>
      </c>
    </row>
    <row r="1442" spans="1:7" ht="12.75" customHeight="1">
      <c r="A1442" s="3">
        <v>3471</v>
      </c>
      <c r="B1442" s="4" t="s">
        <v>1457</v>
      </c>
      <c r="C1442" s="3" t="s">
        <v>6</v>
      </c>
      <c r="D1442" s="5">
        <f t="shared" si="44"/>
        <v>36.880000000000003</v>
      </c>
      <c r="E1442">
        <v>40.49</v>
      </c>
      <c r="F1442" s="1789">
        <v>8.8999999999999996E-2</v>
      </c>
      <c r="G1442">
        <f t="shared" si="45"/>
        <v>36.880000000000003</v>
      </c>
    </row>
    <row r="1443" spans="1:7" ht="12.75" customHeight="1">
      <c r="A1443" s="3">
        <v>3456</v>
      </c>
      <c r="B1443" s="4" t="s">
        <v>1458</v>
      </c>
      <c r="C1443" s="3" t="s">
        <v>6</v>
      </c>
      <c r="D1443" s="5">
        <f t="shared" si="44"/>
        <v>7.67</v>
      </c>
      <c r="E1443">
        <v>8.42</v>
      </c>
      <c r="F1443" s="1789">
        <v>8.8999999999999996E-2</v>
      </c>
      <c r="G1443">
        <f t="shared" si="45"/>
        <v>7.67</v>
      </c>
    </row>
    <row r="1444" spans="1:7" ht="12.75" customHeight="1">
      <c r="A1444" s="3">
        <v>3459</v>
      </c>
      <c r="B1444" s="4" t="s">
        <v>1459</v>
      </c>
      <c r="C1444" s="3" t="s">
        <v>6</v>
      </c>
      <c r="D1444" s="5">
        <f t="shared" si="44"/>
        <v>94.68</v>
      </c>
      <c r="E1444">
        <v>103.94</v>
      </c>
      <c r="F1444" s="1789">
        <v>8.8999999999999996E-2</v>
      </c>
      <c r="G1444">
        <f t="shared" si="45"/>
        <v>94.68</v>
      </c>
    </row>
    <row r="1445" spans="1:7" ht="12.75" customHeight="1">
      <c r="A1445" s="3">
        <v>3469</v>
      </c>
      <c r="B1445" s="4" t="s">
        <v>1460</v>
      </c>
      <c r="C1445" s="3" t="s">
        <v>6</v>
      </c>
      <c r="D1445" s="5">
        <f t="shared" si="44"/>
        <v>180.07</v>
      </c>
      <c r="E1445">
        <v>197.67</v>
      </c>
      <c r="F1445" s="1789">
        <v>8.8999999999999996E-2</v>
      </c>
      <c r="G1445">
        <f t="shared" si="45"/>
        <v>180.07</v>
      </c>
    </row>
    <row r="1446" spans="1:7" ht="12.75" customHeight="1">
      <c r="A1446" s="3">
        <v>3460</v>
      </c>
      <c r="B1446" s="4" t="s">
        <v>1461</v>
      </c>
      <c r="C1446" s="3" t="s">
        <v>6</v>
      </c>
      <c r="D1446" s="5">
        <f t="shared" si="44"/>
        <v>262.75</v>
      </c>
      <c r="E1446">
        <v>288.43</v>
      </c>
      <c r="F1446" s="1789">
        <v>8.8999999999999996E-2</v>
      </c>
      <c r="G1446">
        <f t="shared" si="45"/>
        <v>262.75</v>
      </c>
    </row>
    <row r="1447" spans="1:7" ht="12.75" customHeight="1">
      <c r="A1447" s="3">
        <v>3461</v>
      </c>
      <c r="B1447" s="4" t="s">
        <v>1462</v>
      </c>
      <c r="C1447" s="3" t="s">
        <v>6</v>
      </c>
      <c r="D1447" s="5">
        <f t="shared" si="44"/>
        <v>671.59</v>
      </c>
      <c r="E1447">
        <v>737.21</v>
      </c>
      <c r="F1447" s="1789">
        <v>8.8999999999999996E-2</v>
      </c>
      <c r="G1447">
        <f t="shared" si="45"/>
        <v>671.59</v>
      </c>
    </row>
    <row r="1448" spans="1:7" ht="12.75" customHeight="1">
      <c r="A1448" s="3">
        <v>37433</v>
      </c>
      <c r="B1448" s="4" t="s">
        <v>1463</v>
      </c>
      <c r="C1448" s="3" t="s">
        <v>6</v>
      </c>
      <c r="D1448" s="5">
        <f t="shared" si="44"/>
        <v>207.89</v>
      </c>
      <c r="E1448">
        <v>228.21</v>
      </c>
      <c r="F1448" s="1789">
        <v>8.8999999999999996E-2</v>
      </c>
      <c r="G1448">
        <f t="shared" si="45"/>
        <v>207.89</v>
      </c>
    </row>
    <row r="1449" spans="1:7" ht="12.75" customHeight="1">
      <c r="A1449" s="3">
        <v>37430</v>
      </c>
      <c r="B1449" s="4" t="s">
        <v>1464</v>
      </c>
      <c r="C1449" s="3" t="s">
        <v>6</v>
      </c>
      <c r="D1449" s="5">
        <f t="shared" si="44"/>
        <v>26.05</v>
      </c>
      <c r="E1449">
        <v>28.6</v>
      </c>
      <c r="F1449" s="1789">
        <v>8.8999999999999996E-2</v>
      </c>
      <c r="G1449">
        <f t="shared" si="45"/>
        <v>26.05</v>
      </c>
    </row>
    <row r="1450" spans="1:7" ht="12.75" customHeight="1">
      <c r="A1450" s="3">
        <v>37434</v>
      </c>
      <c r="B1450" s="4" t="s">
        <v>1465</v>
      </c>
      <c r="C1450" s="3" t="s">
        <v>6</v>
      </c>
      <c r="D1450" s="5">
        <f t="shared" si="44"/>
        <v>1938.48</v>
      </c>
      <c r="E1450">
        <v>2127.86</v>
      </c>
      <c r="F1450" s="1789">
        <v>8.8999999999999996E-2</v>
      </c>
      <c r="G1450">
        <f t="shared" si="45"/>
        <v>1938.48</v>
      </c>
    </row>
    <row r="1451" spans="1:7" ht="12.75" customHeight="1">
      <c r="A1451" s="3">
        <v>37431</v>
      </c>
      <c r="B1451" s="4" t="s">
        <v>1466</v>
      </c>
      <c r="C1451" s="3" t="s">
        <v>6</v>
      </c>
      <c r="D1451" s="5">
        <f t="shared" si="44"/>
        <v>35.33</v>
      </c>
      <c r="E1451">
        <v>38.79</v>
      </c>
      <c r="F1451" s="1789">
        <v>8.8999999999999996E-2</v>
      </c>
      <c r="G1451">
        <f t="shared" si="45"/>
        <v>35.33</v>
      </c>
    </row>
    <row r="1452" spans="1:7" ht="12.75" customHeight="1">
      <c r="A1452" s="3">
        <v>37432</v>
      </c>
      <c r="B1452" s="4" t="s">
        <v>1467</v>
      </c>
      <c r="C1452" s="3" t="s">
        <v>6</v>
      </c>
      <c r="D1452" s="5">
        <f t="shared" si="44"/>
        <v>65.19</v>
      </c>
      <c r="E1452">
        <v>71.56</v>
      </c>
      <c r="F1452" s="1789">
        <v>8.8999999999999996E-2</v>
      </c>
      <c r="G1452">
        <f t="shared" si="45"/>
        <v>65.19</v>
      </c>
    </row>
    <row r="1453" spans="1:7" ht="12.75" customHeight="1">
      <c r="A1453" s="3">
        <v>37413</v>
      </c>
      <c r="B1453" s="4" t="s">
        <v>1468</v>
      </c>
      <c r="C1453" s="3" t="s">
        <v>6</v>
      </c>
      <c r="D1453" s="5">
        <f t="shared" si="44"/>
        <v>3.46</v>
      </c>
      <c r="E1453">
        <v>3.8</v>
      </c>
      <c r="F1453" s="1789">
        <v>8.8999999999999996E-2</v>
      </c>
      <c r="G1453">
        <f t="shared" si="45"/>
        <v>3.46</v>
      </c>
    </row>
    <row r="1454" spans="1:7" ht="12.75" customHeight="1">
      <c r="A1454" s="3">
        <v>37414</v>
      </c>
      <c r="B1454" s="4" t="s">
        <v>1469</v>
      </c>
      <c r="C1454" s="3" t="s">
        <v>6</v>
      </c>
      <c r="D1454" s="5">
        <f t="shared" si="44"/>
        <v>3.92</v>
      </c>
      <c r="E1454">
        <v>4.3099999999999996</v>
      </c>
      <c r="F1454" s="1789">
        <v>8.8999999999999996E-2</v>
      </c>
      <c r="G1454">
        <f t="shared" si="45"/>
        <v>3.92</v>
      </c>
    </row>
    <row r="1455" spans="1:7" ht="12.75" customHeight="1">
      <c r="A1455" s="3">
        <v>37415</v>
      </c>
      <c r="B1455" s="4" t="s">
        <v>1470</v>
      </c>
      <c r="C1455" s="3" t="s">
        <v>6</v>
      </c>
      <c r="D1455" s="5">
        <f t="shared" si="44"/>
        <v>7.14</v>
      </c>
      <c r="E1455">
        <v>7.84</v>
      </c>
      <c r="F1455" s="1789">
        <v>8.8999999999999996E-2</v>
      </c>
      <c r="G1455">
        <f t="shared" si="45"/>
        <v>7.14</v>
      </c>
    </row>
    <row r="1456" spans="1:7" ht="12.75" customHeight="1">
      <c r="A1456" s="3">
        <v>37416</v>
      </c>
      <c r="B1456" s="4" t="s">
        <v>1471</v>
      </c>
      <c r="C1456" s="3" t="s">
        <v>6</v>
      </c>
      <c r="D1456" s="5">
        <f t="shared" si="44"/>
        <v>3.23</v>
      </c>
      <c r="E1456">
        <v>3.55</v>
      </c>
      <c r="F1456" s="1789">
        <v>8.8999999999999996E-2</v>
      </c>
      <c r="G1456">
        <f t="shared" si="45"/>
        <v>3.23</v>
      </c>
    </row>
    <row r="1457" spans="1:7" ht="12.75" customHeight="1">
      <c r="A1457" s="3">
        <v>37417</v>
      </c>
      <c r="B1457" s="4" t="s">
        <v>1472</v>
      </c>
      <c r="C1457" s="3" t="s">
        <v>6</v>
      </c>
      <c r="D1457" s="5">
        <f t="shared" si="44"/>
        <v>4.6500000000000004</v>
      </c>
      <c r="E1457">
        <v>5.1100000000000003</v>
      </c>
      <c r="F1457" s="1789">
        <v>8.8999999999999996E-2</v>
      </c>
      <c r="G1457">
        <f t="shared" si="45"/>
        <v>4.6500000000000004</v>
      </c>
    </row>
    <row r="1458" spans="1:7" ht="12.75" customHeight="1">
      <c r="A1458" s="3">
        <v>43590</v>
      </c>
      <c r="B1458" s="4" t="s">
        <v>1473</v>
      </c>
      <c r="C1458" s="3" t="s">
        <v>6</v>
      </c>
      <c r="D1458" s="5">
        <f t="shared" si="44"/>
        <v>164.16</v>
      </c>
      <c r="E1458">
        <v>180.2</v>
      </c>
      <c r="F1458" s="1789">
        <v>8.8999999999999996E-2</v>
      </c>
      <c r="G1458">
        <f t="shared" si="45"/>
        <v>164.16</v>
      </c>
    </row>
    <row r="1459" spans="1:7" ht="12.75" customHeight="1">
      <c r="A1459" s="3">
        <v>43589</v>
      </c>
      <c r="B1459" s="4" t="s">
        <v>1474</v>
      </c>
      <c r="C1459" s="3" t="s">
        <v>6</v>
      </c>
      <c r="D1459" s="5">
        <f t="shared" si="44"/>
        <v>29.69</v>
      </c>
      <c r="E1459">
        <v>32.6</v>
      </c>
      <c r="F1459" s="1789">
        <v>8.8999999999999996E-2</v>
      </c>
      <c r="G1459">
        <f t="shared" si="45"/>
        <v>29.69</v>
      </c>
    </row>
    <row r="1460" spans="1:7" ht="12.75" customHeight="1">
      <c r="A1460" s="3">
        <v>34519</v>
      </c>
      <c r="B1460" s="4" t="s">
        <v>1475</v>
      </c>
      <c r="C1460" s="3" t="s">
        <v>6</v>
      </c>
      <c r="D1460" s="5">
        <f t="shared" si="44"/>
        <v>73.97</v>
      </c>
      <c r="E1460">
        <v>81.2</v>
      </c>
      <c r="F1460" s="1789">
        <v>8.8999999999999996E-2</v>
      </c>
      <c r="G1460">
        <f t="shared" si="45"/>
        <v>73.97</v>
      </c>
    </row>
    <row r="1461" spans="1:7" ht="12.75" customHeight="1">
      <c r="A1461" s="3">
        <v>1649</v>
      </c>
      <c r="B1461" s="4" t="s">
        <v>1476</v>
      </c>
      <c r="C1461" s="3" t="s">
        <v>6</v>
      </c>
      <c r="D1461" s="5">
        <f t="shared" si="44"/>
        <v>56.69</v>
      </c>
      <c r="E1461">
        <v>62.23</v>
      </c>
      <c r="F1461" s="1789">
        <v>8.8999999999999996E-2</v>
      </c>
      <c r="G1461">
        <f t="shared" si="45"/>
        <v>56.69</v>
      </c>
    </row>
    <row r="1462" spans="1:7" ht="12.75" customHeight="1">
      <c r="A1462" s="3">
        <v>1653</v>
      </c>
      <c r="B1462" s="4" t="s">
        <v>1477</v>
      </c>
      <c r="C1462" s="3" t="s">
        <v>6</v>
      </c>
      <c r="D1462" s="5">
        <f t="shared" si="44"/>
        <v>44.41</v>
      </c>
      <c r="E1462">
        <v>48.75</v>
      </c>
      <c r="F1462" s="1789">
        <v>8.8999999999999996E-2</v>
      </c>
      <c r="G1462">
        <f t="shared" si="45"/>
        <v>44.41</v>
      </c>
    </row>
    <row r="1463" spans="1:7" ht="12.75" customHeight="1">
      <c r="A1463" s="3">
        <v>1647</v>
      </c>
      <c r="B1463" s="4" t="s">
        <v>1478</v>
      </c>
      <c r="C1463" s="3" t="s">
        <v>6</v>
      </c>
      <c r="D1463" s="5">
        <f t="shared" si="44"/>
        <v>15.89</v>
      </c>
      <c r="E1463">
        <v>17.45</v>
      </c>
      <c r="F1463" s="1789">
        <v>8.8999999999999996E-2</v>
      </c>
      <c r="G1463">
        <f t="shared" si="45"/>
        <v>15.89</v>
      </c>
    </row>
    <row r="1464" spans="1:7" ht="12.75" customHeight="1">
      <c r="A1464" s="3">
        <v>1648</v>
      </c>
      <c r="B1464" s="4" t="s">
        <v>1479</v>
      </c>
      <c r="C1464" s="3" t="s">
        <v>6</v>
      </c>
      <c r="D1464" s="5">
        <f t="shared" si="44"/>
        <v>30.53</v>
      </c>
      <c r="E1464">
        <v>33.520000000000003</v>
      </c>
      <c r="F1464" s="1789">
        <v>8.8999999999999996E-2</v>
      </c>
      <c r="G1464">
        <f t="shared" si="45"/>
        <v>30.53</v>
      </c>
    </row>
    <row r="1465" spans="1:7" ht="12.75" customHeight="1">
      <c r="A1465" s="3">
        <v>1651</v>
      </c>
      <c r="B1465" s="4" t="s">
        <v>1480</v>
      </c>
      <c r="C1465" s="3" t="s">
        <v>6</v>
      </c>
      <c r="D1465" s="5">
        <f t="shared" si="44"/>
        <v>141.65</v>
      </c>
      <c r="E1465">
        <v>155.49</v>
      </c>
      <c r="F1465" s="1789">
        <v>8.8999999999999996E-2</v>
      </c>
      <c r="G1465">
        <f t="shared" si="45"/>
        <v>141.65</v>
      </c>
    </row>
    <row r="1466" spans="1:7" ht="12.75" customHeight="1">
      <c r="A1466" s="3">
        <v>1650</v>
      </c>
      <c r="B1466" s="4" t="s">
        <v>1481</v>
      </c>
      <c r="C1466" s="3" t="s">
        <v>6</v>
      </c>
      <c r="D1466" s="5">
        <f t="shared" si="44"/>
        <v>78.3</v>
      </c>
      <c r="E1466">
        <v>85.95</v>
      </c>
      <c r="F1466" s="1789">
        <v>8.8999999999999996E-2</v>
      </c>
      <c r="G1466">
        <f t="shared" si="45"/>
        <v>78.3</v>
      </c>
    </row>
    <row r="1467" spans="1:7" ht="12.75" customHeight="1">
      <c r="A1467" s="3">
        <v>1654</v>
      </c>
      <c r="B1467" s="4" t="s">
        <v>1482</v>
      </c>
      <c r="C1467" s="3" t="s">
        <v>6</v>
      </c>
      <c r="D1467" s="5">
        <f t="shared" si="44"/>
        <v>21.82</v>
      </c>
      <c r="E1467">
        <v>23.96</v>
      </c>
      <c r="F1467" s="1789">
        <v>8.8999999999999996E-2</v>
      </c>
      <c r="G1467">
        <f t="shared" si="45"/>
        <v>21.82</v>
      </c>
    </row>
    <row r="1468" spans="1:7" ht="12.75" customHeight="1">
      <c r="A1468" s="3">
        <v>1652</v>
      </c>
      <c r="B1468" s="4" t="s">
        <v>1483</v>
      </c>
      <c r="C1468" s="3" t="s">
        <v>6</v>
      </c>
      <c r="D1468" s="5">
        <f t="shared" si="44"/>
        <v>203.31</v>
      </c>
      <c r="E1468">
        <v>223.18</v>
      </c>
      <c r="F1468" s="1789">
        <v>8.8999999999999996E-2</v>
      </c>
      <c r="G1468">
        <f t="shared" si="45"/>
        <v>203.31</v>
      </c>
    </row>
    <row r="1469" spans="1:7" ht="12.75" customHeight="1">
      <c r="A1469" s="3">
        <v>10510</v>
      </c>
      <c r="B1469" s="4" t="s">
        <v>1484</v>
      </c>
      <c r="C1469" s="3" t="s">
        <v>6</v>
      </c>
      <c r="D1469" s="5">
        <f t="shared" si="44"/>
        <v>167.31</v>
      </c>
      <c r="E1469">
        <v>183.66</v>
      </c>
      <c r="F1469" s="1789">
        <v>8.8999999999999996E-2</v>
      </c>
      <c r="G1469">
        <f t="shared" si="45"/>
        <v>167.31</v>
      </c>
    </row>
    <row r="1470" spans="1:7" ht="12.75" customHeight="1">
      <c r="A1470" s="3">
        <v>1747</v>
      </c>
      <c r="B1470" s="4" t="s">
        <v>1485</v>
      </c>
      <c r="C1470" s="3" t="s">
        <v>6</v>
      </c>
      <c r="D1470" s="5">
        <f t="shared" si="44"/>
        <v>181.59</v>
      </c>
      <c r="E1470">
        <v>199.34</v>
      </c>
      <c r="F1470" s="1789">
        <v>8.8999999999999996E-2</v>
      </c>
      <c r="G1470">
        <f t="shared" si="45"/>
        <v>181.59</v>
      </c>
    </row>
    <row r="1471" spans="1:7" ht="12.75" customHeight="1">
      <c r="A1471" s="3">
        <v>1744</v>
      </c>
      <c r="B1471" s="4" t="s">
        <v>1486</v>
      </c>
      <c r="C1471" s="3" t="s">
        <v>6</v>
      </c>
      <c r="D1471" s="5">
        <f t="shared" si="44"/>
        <v>125.78</v>
      </c>
      <c r="E1471">
        <v>138.07</v>
      </c>
      <c r="F1471" s="1789">
        <v>8.8999999999999996E-2</v>
      </c>
      <c r="G1471">
        <f t="shared" si="45"/>
        <v>125.78</v>
      </c>
    </row>
    <row r="1472" spans="1:7" ht="12.75" customHeight="1">
      <c r="A1472" s="3">
        <v>1743</v>
      </c>
      <c r="B1472" s="4" t="s">
        <v>1487</v>
      </c>
      <c r="C1472" s="3" t="s">
        <v>6</v>
      </c>
      <c r="D1472" s="5">
        <f t="shared" si="44"/>
        <v>165.17</v>
      </c>
      <c r="E1472">
        <v>181.31</v>
      </c>
      <c r="F1472" s="1789">
        <v>8.8999999999999996E-2</v>
      </c>
      <c r="G1472">
        <f t="shared" si="45"/>
        <v>165.17</v>
      </c>
    </row>
    <row r="1473" spans="1:7" ht="12.75" customHeight="1">
      <c r="A1473" s="3">
        <v>39640</v>
      </c>
      <c r="B1473" s="4" t="s">
        <v>1488</v>
      </c>
      <c r="C1473" s="3" t="s">
        <v>6</v>
      </c>
      <c r="D1473" s="5">
        <f t="shared" si="44"/>
        <v>11.45</v>
      </c>
      <c r="E1473">
        <v>12.57</v>
      </c>
      <c r="F1473" s="1789">
        <v>8.8999999999999996E-2</v>
      </c>
      <c r="G1473">
        <f t="shared" si="45"/>
        <v>11.45</v>
      </c>
    </row>
    <row r="1474" spans="1:7" ht="12.75" customHeight="1">
      <c r="A1474" s="3">
        <v>7216</v>
      </c>
      <c r="B1474" s="4" t="s">
        <v>1489</v>
      </c>
      <c r="C1474" s="3" t="s">
        <v>6</v>
      </c>
      <c r="D1474" s="5">
        <f t="shared" si="44"/>
        <v>61.53</v>
      </c>
      <c r="E1474">
        <v>67.55</v>
      </c>
      <c r="F1474" s="1789">
        <v>8.8999999999999996E-2</v>
      </c>
      <c r="G1474">
        <f t="shared" si="45"/>
        <v>61.53</v>
      </c>
    </row>
    <row r="1475" spans="1:7" ht="12.75" customHeight="1">
      <c r="A1475" s="3">
        <v>20235</v>
      </c>
      <c r="B1475" s="4" t="s">
        <v>1490</v>
      </c>
      <c r="C1475" s="3" t="s">
        <v>6</v>
      </c>
      <c r="D1475" s="5">
        <f t="shared" ref="D1475:D1538" si="46">G1475</f>
        <v>49.47</v>
      </c>
      <c r="E1475">
        <v>54.31</v>
      </c>
      <c r="F1475" s="1789">
        <v>8.8999999999999996E-2</v>
      </c>
      <c r="G1475">
        <f t="shared" ref="G1475:G1538" si="47">TRUNC((1-F1475)*E1475,2)</f>
        <v>49.47</v>
      </c>
    </row>
    <row r="1476" spans="1:7" ht="12.75" customHeight="1">
      <c r="A1476" s="3">
        <v>7181</v>
      </c>
      <c r="B1476" s="4" t="s">
        <v>1491</v>
      </c>
      <c r="C1476" s="3" t="s">
        <v>6</v>
      </c>
      <c r="D1476" s="5">
        <f t="shared" si="46"/>
        <v>5.22</v>
      </c>
      <c r="E1476">
        <v>5.73</v>
      </c>
      <c r="F1476" s="1789">
        <v>8.8999999999999996E-2</v>
      </c>
      <c r="G1476">
        <f t="shared" si="47"/>
        <v>5.22</v>
      </c>
    </row>
    <row r="1477" spans="1:7" ht="12.75" customHeight="1">
      <c r="A1477" s="3">
        <v>40742</v>
      </c>
      <c r="B1477" s="4" t="s">
        <v>1492</v>
      </c>
      <c r="C1477" s="3" t="s">
        <v>6</v>
      </c>
      <c r="D1477" s="5">
        <f t="shared" si="46"/>
        <v>11.58</v>
      </c>
      <c r="E1477">
        <v>12.72</v>
      </c>
      <c r="F1477" s="1789">
        <v>8.8999999999999996E-2</v>
      </c>
      <c r="G1477">
        <f t="shared" si="47"/>
        <v>11.58</v>
      </c>
    </row>
    <row r="1478" spans="1:7" ht="12.75" customHeight="1">
      <c r="A1478" s="3">
        <v>7214</v>
      </c>
      <c r="B1478" s="4" t="s">
        <v>1493</v>
      </c>
      <c r="C1478" s="3" t="s">
        <v>6</v>
      </c>
      <c r="D1478" s="5">
        <f t="shared" si="46"/>
        <v>60.08</v>
      </c>
      <c r="E1478">
        <v>65.959999999999994</v>
      </c>
      <c r="F1478" s="1789">
        <v>8.8999999999999996E-2</v>
      </c>
      <c r="G1478">
        <f t="shared" si="47"/>
        <v>60.08</v>
      </c>
    </row>
    <row r="1479" spans="1:7" ht="12.75" customHeight="1">
      <c r="A1479" s="3">
        <v>7219</v>
      </c>
      <c r="B1479" s="4" t="s">
        <v>1494</v>
      </c>
      <c r="C1479" s="3" t="s">
        <v>6</v>
      </c>
      <c r="D1479" s="5">
        <f t="shared" si="46"/>
        <v>53.3</v>
      </c>
      <c r="E1479">
        <v>58.51</v>
      </c>
      <c r="F1479" s="1789">
        <v>8.8999999999999996E-2</v>
      </c>
      <c r="G1479">
        <f t="shared" si="47"/>
        <v>53.3</v>
      </c>
    </row>
    <row r="1480" spans="1:7" ht="12.75" customHeight="1">
      <c r="A1480" s="3">
        <v>37971</v>
      </c>
      <c r="B1480" s="4" t="s">
        <v>1495</v>
      </c>
      <c r="C1480" s="3" t="s">
        <v>6</v>
      </c>
      <c r="D1480" s="5">
        <f t="shared" si="46"/>
        <v>4.49</v>
      </c>
      <c r="E1480">
        <v>4.93</v>
      </c>
      <c r="F1480" s="1789">
        <v>8.8999999999999996E-2</v>
      </c>
      <c r="G1480">
        <f t="shared" si="47"/>
        <v>4.49</v>
      </c>
    </row>
    <row r="1481" spans="1:7" ht="12.75" customHeight="1">
      <c r="A1481" s="3">
        <v>37972</v>
      </c>
      <c r="B1481" s="4" t="s">
        <v>1496</v>
      </c>
      <c r="C1481" s="3" t="s">
        <v>6</v>
      </c>
      <c r="D1481" s="5">
        <f t="shared" si="46"/>
        <v>6.36</v>
      </c>
      <c r="E1481">
        <v>6.99</v>
      </c>
      <c r="F1481" s="1789">
        <v>8.8999999999999996E-2</v>
      </c>
      <c r="G1481">
        <f t="shared" si="47"/>
        <v>6.36</v>
      </c>
    </row>
    <row r="1482" spans="1:7" ht="12.75" customHeight="1">
      <c r="A1482" s="3">
        <v>37973</v>
      </c>
      <c r="B1482" s="4" t="s">
        <v>1497</v>
      </c>
      <c r="C1482" s="3" t="s">
        <v>6</v>
      </c>
      <c r="D1482" s="5">
        <f t="shared" si="46"/>
        <v>11.97</v>
      </c>
      <c r="E1482">
        <v>13.14</v>
      </c>
      <c r="F1482" s="1789">
        <v>8.8999999999999996E-2</v>
      </c>
      <c r="G1482">
        <f t="shared" si="47"/>
        <v>11.97</v>
      </c>
    </row>
    <row r="1483" spans="1:7" ht="12.75" customHeight="1">
      <c r="A1483" s="3">
        <v>1926</v>
      </c>
      <c r="B1483" s="4" t="s">
        <v>1498</v>
      </c>
      <c r="C1483" s="3" t="s">
        <v>6</v>
      </c>
      <c r="D1483" s="5">
        <f t="shared" si="46"/>
        <v>1.71</v>
      </c>
      <c r="E1483">
        <v>1.88</v>
      </c>
      <c r="F1483" s="1789">
        <v>8.8999999999999996E-2</v>
      </c>
      <c r="G1483">
        <f t="shared" si="47"/>
        <v>1.71</v>
      </c>
    </row>
    <row r="1484" spans="1:7" ht="12.75" customHeight="1">
      <c r="A1484" s="3">
        <v>1927</v>
      </c>
      <c r="B1484" s="4" t="s">
        <v>1499</v>
      </c>
      <c r="C1484" s="3" t="s">
        <v>6</v>
      </c>
      <c r="D1484" s="5">
        <f t="shared" si="46"/>
        <v>1.92</v>
      </c>
      <c r="E1484">
        <v>2.11</v>
      </c>
      <c r="F1484" s="1789">
        <v>8.8999999999999996E-2</v>
      </c>
      <c r="G1484">
        <f t="shared" si="47"/>
        <v>1.92</v>
      </c>
    </row>
    <row r="1485" spans="1:7" ht="12.75" customHeight="1">
      <c r="A1485" s="3">
        <v>1923</v>
      </c>
      <c r="B1485" s="4" t="s">
        <v>1500</v>
      </c>
      <c r="C1485" s="3" t="s">
        <v>6</v>
      </c>
      <c r="D1485" s="5">
        <f t="shared" si="46"/>
        <v>3.49</v>
      </c>
      <c r="E1485">
        <v>3.84</v>
      </c>
      <c r="F1485" s="1789">
        <v>8.8999999999999996E-2</v>
      </c>
      <c r="G1485">
        <f t="shared" si="47"/>
        <v>3.49</v>
      </c>
    </row>
    <row r="1486" spans="1:7" ht="12.75" customHeight="1">
      <c r="A1486" s="3">
        <v>1929</v>
      </c>
      <c r="B1486" s="4" t="s">
        <v>1501</v>
      </c>
      <c r="C1486" s="3" t="s">
        <v>6</v>
      </c>
      <c r="D1486" s="5">
        <f t="shared" si="46"/>
        <v>4.24</v>
      </c>
      <c r="E1486">
        <v>4.66</v>
      </c>
      <c r="F1486" s="1789">
        <v>8.8999999999999996E-2</v>
      </c>
      <c r="G1486">
        <f t="shared" si="47"/>
        <v>4.24</v>
      </c>
    </row>
    <row r="1487" spans="1:7" ht="12.75" customHeight="1">
      <c r="A1487" s="3">
        <v>1930</v>
      </c>
      <c r="B1487" s="4" t="s">
        <v>1502</v>
      </c>
      <c r="C1487" s="3" t="s">
        <v>6</v>
      </c>
      <c r="D1487" s="5">
        <f t="shared" si="46"/>
        <v>7.26</v>
      </c>
      <c r="E1487">
        <v>7.97</v>
      </c>
      <c r="F1487" s="1789">
        <v>8.8999999999999996E-2</v>
      </c>
      <c r="G1487">
        <f t="shared" si="47"/>
        <v>7.26</v>
      </c>
    </row>
    <row r="1488" spans="1:7" ht="12.75" customHeight="1">
      <c r="A1488" s="3">
        <v>1924</v>
      </c>
      <c r="B1488" s="4" t="s">
        <v>1503</v>
      </c>
      <c r="C1488" s="3" t="s">
        <v>6</v>
      </c>
      <c r="D1488" s="5">
        <f t="shared" si="46"/>
        <v>11.72</v>
      </c>
      <c r="E1488">
        <v>12.87</v>
      </c>
      <c r="F1488" s="1789">
        <v>8.8999999999999996E-2</v>
      </c>
      <c r="G1488">
        <f t="shared" si="47"/>
        <v>11.72</v>
      </c>
    </row>
    <row r="1489" spans="1:7" ht="12.75" customHeight="1">
      <c r="A1489" s="3">
        <v>1922</v>
      </c>
      <c r="B1489" s="4" t="s">
        <v>1504</v>
      </c>
      <c r="C1489" s="3" t="s">
        <v>6</v>
      </c>
      <c r="D1489" s="5">
        <f t="shared" si="46"/>
        <v>24.24</v>
      </c>
      <c r="E1489">
        <v>26.61</v>
      </c>
      <c r="F1489" s="1789">
        <v>8.8999999999999996E-2</v>
      </c>
      <c r="G1489">
        <f t="shared" si="47"/>
        <v>24.24</v>
      </c>
    </row>
    <row r="1490" spans="1:7" ht="12.75" customHeight="1">
      <c r="A1490" s="3">
        <v>1953</v>
      </c>
      <c r="B1490" s="4" t="s">
        <v>1505</v>
      </c>
      <c r="C1490" s="3" t="s">
        <v>6</v>
      </c>
      <c r="D1490" s="5">
        <f t="shared" si="46"/>
        <v>29.58</v>
      </c>
      <c r="E1490">
        <v>32.479999999999997</v>
      </c>
      <c r="F1490" s="1789">
        <v>8.8999999999999996E-2</v>
      </c>
      <c r="G1490">
        <f t="shared" si="47"/>
        <v>29.58</v>
      </c>
    </row>
    <row r="1491" spans="1:7" ht="12.75" customHeight="1">
      <c r="A1491" s="3">
        <v>1962</v>
      </c>
      <c r="B1491" s="4" t="s">
        <v>1506</v>
      </c>
      <c r="C1491" s="3" t="s">
        <v>6</v>
      </c>
      <c r="D1491" s="5">
        <f t="shared" si="46"/>
        <v>143.76</v>
      </c>
      <c r="E1491">
        <v>157.81</v>
      </c>
      <c r="F1491" s="1789">
        <v>8.8999999999999996E-2</v>
      </c>
      <c r="G1491">
        <f t="shared" si="47"/>
        <v>143.76</v>
      </c>
    </row>
    <row r="1492" spans="1:7" ht="12.75" customHeight="1">
      <c r="A1492" s="3">
        <v>1955</v>
      </c>
      <c r="B1492" s="4" t="s">
        <v>1507</v>
      </c>
      <c r="C1492" s="3" t="s">
        <v>6</v>
      </c>
      <c r="D1492" s="5">
        <f t="shared" si="46"/>
        <v>1.64</v>
      </c>
      <c r="E1492">
        <v>1.81</v>
      </c>
      <c r="F1492" s="1789">
        <v>8.8999999999999996E-2</v>
      </c>
      <c r="G1492">
        <f t="shared" si="47"/>
        <v>1.64</v>
      </c>
    </row>
    <row r="1493" spans="1:7" ht="12.75" customHeight="1">
      <c r="A1493" s="3">
        <v>1956</v>
      </c>
      <c r="B1493" s="4" t="s">
        <v>1508</v>
      </c>
      <c r="C1493" s="3" t="s">
        <v>6</v>
      </c>
      <c r="D1493" s="5">
        <f t="shared" si="46"/>
        <v>2.33</v>
      </c>
      <c r="E1493">
        <v>2.56</v>
      </c>
      <c r="F1493" s="1789">
        <v>8.8999999999999996E-2</v>
      </c>
      <c r="G1493">
        <f t="shared" si="47"/>
        <v>2.33</v>
      </c>
    </row>
    <row r="1494" spans="1:7" ht="12.75" customHeight="1">
      <c r="A1494" s="3">
        <v>1957</v>
      </c>
      <c r="B1494" s="4" t="s">
        <v>1509</v>
      </c>
      <c r="C1494" s="3" t="s">
        <v>6</v>
      </c>
      <c r="D1494" s="5">
        <f t="shared" si="46"/>
        <v>5.05</v>
      </c>
      <c r="E1494">
        <v>5.55</v>
      </c>
      <c r="F1494" s="1789">
        <v>8.8999999999999996E-2</v>
      </c>
      <c r="G1494">
        <f t="shared" si="47"/>
        <v>5.05</v>
      </c>
    </row>
    <row r="1495" spans="1:7" ht="12.75" customHeight="1">
      <c r="A1495" s="3">
        <v>1958</v>
      </c>
      <c r="B1495" s="4" t="s">
        <v>1510</v>
      </c>
      <c r="C1495" s="3" t="s">
        <v>6</v>
      </c>
      <c r="D1495" s="5">
        <f t="shared" si="46"/>
        <v>9.41</v>
      </c>
      <c r="E1495">
        <v>10.33</v>
      </c>
      <c r="F1495" s="1789">
        <v>8.8999999999999996E-2</v>
      </c>
      <c r="G1495">
        <f t="shared" si="47"/>
        <v>9.41</v>
      </c>
    </row>
    <row r="1496" spans="1:7" ht="12.75" customHeight="1">
      <c r="A1496" s="3">
        <v>1959</v>
      </c>
      <c r="B1496" s="4" t="s">
        <v>1511</v>
      </c>
      <c r="C1496" s="3" t="s">
        <v>6</v>
      </c>
      <c r="D1496" s="5">
        <f t="shared" si="46"/>
        <v>10.210000000000001</v>
      </c>
      <c r="E1496">
        <v>11.21</v>
      </c>
      <c r="F1496" s="1789">
        <v>8.8999999999999996E-2</v>
      </c>
      <c r="G1496">
        <f t="shared" si="47"/>
        <v>10.210000000000001</v>
      </c>
    </row>
    <row r="1497" spans="1:7" ht="12.75" customHeight="1">
      <c r="A1497" s="3">
        <v>1925</v>
      </c>
      <c r="B1497" s="4" t="s">
        <v>1512</v>
      </c>
      <c r="C1497" s="3" t="s">
        <v>6</v>
      </c>
      <c r="D1497" s="5">
        <f t="shared" si="46"/>
        <v>26.7</v>
      </c>
      <c r="E1497">
        <v>29.31</v>
      </c>
      <c r="F1497" s="1789">
        <v>8.8999999999999996E-2</v>
      </c>
      <c r="G1497">
        <f t="shared" si="47"/>
        <v>26.7</v>
      </c>
    </row>
    <row r="1498" spans="1:7" ht="12.75" customHeight="1">
      <c r="A1498" s="3">
        <v>1960</v>
      </c>
      <c r="B1498" s="4" t="s">
        <v>1513</v>
      </c>
      <c r="C1498" s="3" t="s">
        <v>6</v>
      </c>
      <c r="D1498" s="5">
        <f t="shared" si="46"/>
        <v>40.99</v>
      </c>
      <c r="E1498">
        <v>45</v>
      </c>
      <c r="F1498" s="1789">
        <v>8.8999999999999996E-2</v>
      </c>
      <c r="G1498">
        <f t="shared" si="47"/>
        <v>40.99</v>
      </c>
    </row>
    <row r="1499" spans="1:7" ht="12.75" customHeight="1">
      <c r="A1499" s="3">
        <v>1961</v>
      </c>
      <c r="B1499" s="4" t="s">
        <v>1514</v>
      </c>
      <c r="C1499" s="3" t="s">
        <v>6</v>
      </c>
      <c r="D1499" s="5">
        <f t="shared" si="46"/>
        <v>52.51</v>
      </c>
      <c r="E1499">
        <v>57.65</v>
      </c>
      <c r="F1499" s="1789">
        <v>8.8999999999999996E-2</v>
      </c>
      <c r="G1499">
        <f t="shared" si="47"/>
        <v>52.51</v>
      </c>
    </row>
    <row r="1500" spans="1:7" ht="12.75" customHeight="1">
      <c r="A1500" s="3">
        <v>38423</v>
      </c>
      <c r="B1500" s="4" t="s">
        <v>1515</v>
      </c>
      <c r="C1500" s="3" t="s">
        <v>6</v>
      </c>
      <c r="D1500" s="5">
        <f t="shared" si="46"/>
        <v>30.04</v>
      </c>
      <c r="E1500">
        <v>32.979999999999997</v>
      </c>
      <c r="F1500" s="1789">
        <v>8.8999999999999996E-2</v>
      </c>
      <c r="G1500">
        <f t="shared" si="47"/>
        <v>30.04</v>
      </c>
    </row>
    <row r="1501" spans="1:7" ht="12.75" customHeight="1">
      <c r="A1501" s="3">
        <v>39866</v>
      </c>
      <c r="B1501" s="4" t="s">
        <v>1516</v>
      </c>
      <c r="C1501" s="3" t="s">
        <v>6</v>
      </c>
      <c r="D1501" s="5">
        <f t="shared" si="46"/>
        <v>16.47</v>
      </c>
      <c r="E1501">
        <v>18.079999999999998</v>
      </c>
      <c r="F1501" s="1789">
        <v>8.8999999999999996E-2</v>
      </c>
      <c r="G1501">
        <f t="shared" si="47"/>
        <v>16.47</v>
      </c>
    </row>
    <row r="1502" spans="1:7" ht="12.75" customHeight="1">
      <c r="A1502" s="3">
        <v>39867</v>
      </c>
      <c r="B1502" s="4" t="s">
        <v>1517</v>
      </c>
      <c r="C1502" s="3" t="s">
        <v>6</v>
      </c>
      <c r="D1502" s="5">
        <f t="shared" si="46"/>
        <v>36.61</v>
      </c>
      <c r="E1502">
        <v>40.19</v>
      </c>
      <c r="F1502" s="1789">
        <v>8.8999999999999996E-2</v>
      </c>
      <c r="G1502">
        <f t="shared" si="47"/>
        <v>36.61</v>
      </c>
    </row>
    <row r="1503" spans="1:7" ht="12.75" customHeight="1">
      <c r="A1503" s="3">
        <v>39868</v>
      </c>
      <c r="B1503" s="4" t="s">
        <v>1518</v>
      </c>
      <c r="C1503" s="3" t="s">
        <v>6</v>
      </c>
      <c r="D1503" s="5">
        <f t="shared" si="46"/>
        <v>65.959999999999994</v>
      </c>
      <c r="E1503">
        <v>72.41</v>
      </c>
      <c r="F1503" s="1789">
        <v>8.8999999999999996E-2</v>
      </c>
      <c r="G1503">
        <f t="shared" si="47"/>
        <v>65.959999999999994</v>
      </c>
    </row>
    <row r="1504" spans="1:7" ht="12.75" customHeight="1">
      <c r="A1504" s="3">
        <v>37999</v>
      </c>
      <c r="B1504" s="4" t="s">
        <v>1519</v>
      </c>
      <c r="C1504" s="3" t="s">
        <v>6</v>
      </c>
      <c r="D1504" s="5">
        <f t="shared" si="46"/>
        <v>7.57</v>
      </c>
      <c r="E1504">
        <v>8.31</v>
      </c>
      <c r="F1504" s="1789">
        <v>8.8999999999999996E-2</v>
      </c>
      <c r="G1504">
        <f t="shared" si="47"/>
        <v>7.57</v>
      </c>
    </row>
    <row r="1505" spans="1:7" ht="12.75" customHeight="1">
      <c r="A1505" s="3">
        <v>38000</v>
      </c>
      <c r="B1505" s="4" t="s">
        <v>1520</v>
      </c>
      <c r="C1505" s="3" t="s">
        <v>6</v>
      </c>
      <c r="D1505" s="5">
        <f t="shared" si="46"/>
        <v>8.84</v>
      </c>
      <c r="E1505">
        <v>9.7100000000000009</v>
      </c>
      <c r="F1505" s="1789">
        <v>8.8999999999999996E-2</v>
      </c>
      <c r="G1505">
        <f t="shared" si="47"/>
        <v>8.84</v>
      </c>
    </row>
    <row r="1506" spans="1:7" ht="12.75" customHeight="1">
      <c r="A1506" s="3">
        <v>38129</v>
      </c>
      <c r="B1506" s="4" t="s">
        <v>1521</v>
      </c>
      <c r="C1506" s="3" t="s">
        <v>6</v>
      </c>
      <c r="D1506" s="5">
        <f t="shared" si="46"/>
        <v>3.85</v>
      </c>
      <c r="E1506">
        <v>4.2300000000000004</v>
      </c>
      <c r="F1506" s="1789">
        <v>8.8999999999999996E-2</v>
      </c>
      <c r="G1506">
        <f t="shared" si="47"/>
        <v>3.85</v>
      </c>
    </row>
    <row r="1507" spans="1:7" ht="12.75" customHeight="1">
      <c r="A1507" s="3">
        <v>38025</v>
      </c>
      <c r="B1507" s="4" t="s">
        <v>1522</v>
      </c>
      <c r="C1507" s="3" t="s">
        <v>6</v>
      </c>
      <c r="D1507" s="5">
        <f t="shared" si="46"/>
        <v>5.22</v>
      </c>
      <c r="E1507">
        <v>5.74</v>
      </c>
      <c r="F1507" s="1789">
        <v>8.8999999999999996E-2</v>
      </c>
      <c r="G1507">
        <f t="shared" si="47"/>
        <v>5.22</v>
      </c>
    </row>
    <row r="1508" spans="1:7" ht="12.75" customHeight="1">
      <c r="A1508" s="3">
        <v>38026</v>
      </c>
      <c r="B1508" s="4" t="s">
        <v>1523</v>
      </c>
      <c r="C1508" s="3" t="s">
        <v>6</v>
      </c>
      <c r="D1508" s="5">
        <f t="shared" si="46"/>
        <v>12.91</v>
      </c>
      <c r="E1508">
        <v>14.18</v>
      </c>
      <c r="F1508" s="1789">
        <v>8.8999999999999996E-2</v>
      </c>
      <c r="G1508">
        <f t="shared" si="47"/>
        <v>12.91</v>
      </c>
    </row>
    <row r="1509" spans="1:7" ht="12.75" customHeight="1">
      <c r="A1509" s="3">
        <v>1858</v>
      </c>
      <c r="B1509" s="4" t="s">
        <v>1524</v>
      </c>
      <c r="C1509" s="3" t="s">
        <v>6</v>
      </c>
      <c r="D1509" s="5">
        <f t="shared" si="46"/>
        <v>46.55</v>
      </c>
      <c r="E1509">
        <v>51.1</v>
      </c>
      <c r="F1509" s="1789">
        <v>8.8999999999999996E-2</v>
      </c>
      <c r="G1509">
        <f t="shared" si="47"/>
        <v>46.55</v>
      </c>
    </row>
    <row r="1510" spans="1:7" ht="12.75" customHeight="1">
      <c r="A1510" s="3">
        <v>1844</v>
      </c>
      <c r="B1510" s="4" t="s">
        <v>1525</v>
      </c>
      <c r="C1510" s="3" t="s">
        <v>6</v>
      </c>
      <c r="D1510" s="5">
        <f t="shared" si="46"/>
        <v>106.61</v>
      </c>
      <c r="E1510">
        <v>117.03</v>
      </c>
      <c r="F1510" s="1789">
        <v>8.8999999999999996E-2</v>
      </c>
      <c r="G1510">
        <f t="shared" si="47"/>
        <v>106.61</v>
      </c>
    </row>
    <row r="1511" spans="1:7" ht="12.75" customHeight="1">
      <c r="A1511" s="3">
        <v>1863</v>
      </c>
      <c r="B1511" s="4" t="s">
        <v>1526</v>
      </c>
      <c r="C1511" s="3" t="s">
        <v>6</v>
      </c>
      <c r="D1511" s="5">
        <f t="shared" si="46"/>
        <v>49.54</v>
      </c>
      <c r="E1511">
        <v>54.38</v>
      </c>
      <c r="F1511" s="1789">
        <v>8.8999999999999996E-2</v>
      </c>
      <c r="G1511">
        <f t="shared" si="47"/>
        <v>49.54</v>
      </c>
    </row>
    <row r="1512" spans="1:7" ht="12.75" customHeight="1">
      <c r="A1512" s="3">
        <v>1865</v>
      </c>
      <c r="B1512" s="4" t="s">
        <v>1527</v>
      </c>
      <c r="C1512" s="3" t="s">
        <v>6</v>
      </c>
      <c r="D1512" s="5">
        <f t="shared" si="46"/>
        <v>129.07</v>
      </c>
      <c r="E1512">
        <v>141.69</v>
      </c>
      <c r="F1512" s="1789">
        <v>8.8999999999999996E-2</v>
      </c>
      <c r="G1512">
        <f t="shared" si="47"/>
        <v>129.07</v>
      </c>
    </row>
    <row r="1513" spans="1:7" ht="12.75" customHeight="1">
      <c r="A1513" s="3">
        <v>36355</v>
      </c>
      <c r="B1513" s="4" t="s">
        <v>1528</v>
      </c>
      <c r="C1513" s="3" t="s">
        <v>6</v>
      </c>
      <c r="D1513" s="5">
        <f t="shared" si="46"/>
        <v>9.25</v>
      </c>
      <c r="E1513">
        <v>10.16</v>
      </c>
      <c r="F1513" s="1789">
        <v>8.8999999999999996E-2</v>
      </c>
      <c r="G1513">
        <f t="shared" si="47"/>
        <v>9.25</v>
      </c>
    </row>
    <row r="1514" spans="1:7" ht="12.75" customHeight="1">
      <c r="A1514" s="3">
        <v>36356</v>
      </c>
      <c r="B1514" s="4" t="s">
        <v>1529</v>
      </c>
      <c r="C1514" s="3" t="s">
        <v>6</v>
      </c>
      <c r="D1514" s="5">
        <f t="shared" si="46"/>
        <v>14.88</v>
      </c>
      <c r="E1514">
        <v>16.34</v>
      </c>
      <c r="F1514" s="1789">
        <v>8.8999999999999996E-2</v>
      </c>
      <c r="G1514">
        <f t="shared" si="47"/>
        <v>14.88</v>
      </c>
    </row>
    <row r="1515" spans="1:7" ht="12.75" customHeight="1">
      <c r="A1515" s="3">
        <v>1966</v>
      </c>
      <c r="B1515" s="4" t="s">
        <v>1530</v>
      </c>
      <c r="C1515" s="3" t="s">
        <v>6</v>
      </c>
      <c r="D1515" s="5">
        <f t="shared" si="46"/>
        <v>19.75</v>
      </c>
      <c r="E1515">
        <v>21.68</v>
      </c>
      <c r="F1515" s="1789">
        <v>8.8999999999999996E-2</v>
      </c>
      <c r="G1515">
        <f t="shared" si="47"/>
        <v>19.75</v>
      </c>
    </row>
    <row r="1516" spans="1:7" ht="12.75" customHeight="1">
      <c r="A1516" s="3">
        <v>1933</v>
      </c>
      <c r="B1516" s="4" t="s">
        <v>1531</v>
      </c>
      <c r="C1516" s="3" t="s">
        <v>6</v>
      </c>
      <c r="D1516" s="5">
        <f t="shared" si="46"/>
        <v>4.25</v>
      </c>
      <c r="E1516">
        <v>4.67</v>
      </c>
      <c r="F1516" s="1789">
        <v>8.8999999999999996E-2</v>
      </c>
      <c r="G1516">
        <f t="shared" si="47"/>
        <v>4.25</v>
      </c>
    </row>
    <row r="1517" spans="1:7" ht="12.75" customHeight="1">
      <c r="A1517" s="3">
        <v>1932</v>
      </c>
      <c r="B1517" s="4" t="s">
        <v>1532</v>
      </c>
      <c r="C1517" s="3" t="s">
        <v>6</v>
      </c>
      <c r="D1517" s="5">
        <f t="shared" si="46"/>
        <v>9.73</v>
      </c>
      <c r="E1517">
        <v>10.69</v>
      </c>
      <c r="F1517" s="1789">
        <v>8.8999999999999996E-2</v>
      </c>
      <c r="G1517">
        <f t="shared" si="47"/>
        <v>9.73</v>
      </c>
    </row>
    <row r="1518" spans="1:7" ht="12.75" customHeight="1">
      <c r="A1518" s="3">
        <v>1951</v>
      </c>
      <c r="B1518" s="4" t="s">
        <v>1533</v>
      </c>
      <c r="C1518" s="3" t="s">
        <v>6</v>
      </c>
      <c r="D1518" s="5">
        <f t="shared" si="46"/>
        <v>20.32</v>
      </c>
      <c r="E1518">
        <v>22.31</v>
      </c>
      <c r="F1518" s="1789">
        <v>8.8999999999999996E-2</v>
      </c>
      <c r="G1518">
        <f t="shared" si="47"/>
        <v>20.32</v>
      </c>
    </row>
    <row r="1519" spans="1:7" ht="12.75" customHeight="1">
      <c r="A1519" s="3">
        <v>1970</v>
      </c>
      <c r="B1519" s="4" t="s">
        <v>1534</v>
      </c>
      <c r="C1519" s="3" t="s">
        <v>6</v>
      </c>
      <c r="D1519" s="5">
        <f t="shared" si="46"/>
        <v>49.38</v>
      </c>
      <c r="E1519">
        <v>54.21</v>
      </c>
      <c r="F1519" s="1789">
        <v>8.8999999999999996E-2</v>
      </c>
      <c r="G1519">
        <f t="shared" si="47"/>
        <v>49.38</v>
      </c>
    </row>
    <row r="1520" spans="1:7" ht="12.75" customHeight="1">
      <c r="A1520" s="3">
        <v>1967</v>
      </c>
      <c r="B1520" s="4" t="s">
        <v>1535</v>
      </c>
      <c r="C1520" s="3" t="s">
        <v>6</v>
      </c>
      <c r="D1520" s="5">
        <f t="shared" si="46"/>
        <v>5.85</v>
      </c>
      <c r="E1520">
        <v>6.43</v>
      </c>
      <c r="F1520" s="1789">
        <v>8.8999999999999996E-2</v>
      </c>
      <c r="G1520">
        <f t="shared" si="47"/>
        <v>5.85</v>
      </c>
    </row>
    <row r="1521" spans="1:7" ht="12.75" customHeight="1">
      <c r="A1521" s="3">
        <v>1968</v>
      </c>
      <c r="B1521" s="4" t="s">
        <v>1536</v>
      </c>
      <c r="C1521" s="3" t="s">
        <v>6</v>
      </c>
      <c r="D1521" s="5">
        <f t="shared" si="46"/>
        <v>11.58</v>
      </c>
      <c r="E1521">
        <v>12.72</v>
      </c>
      <c r="F1521" s="1789">
        <v>8.8999999999999996E-2</v>
      </c>
      <c r="G1521">
        <f t="shared" si="47"/>
        <v>11.58</v>
      </c>
    </row>
    <row r="1522" spans="1:7" ht="12.75" customHeight="1">
      <c r="A1522" s="3">
        <v>1969</v>
      </c>
      <c r="B1522" s="4" t="s">
        <v>1537</v>
      </c>
      <c r="C1522" s="3" t="s">
        <v>6</v>
      </c>
      <c r="D1522" s="5">
        <f t="shared" si="46"/>
        <v>37.72</v>
      </c>
      <c r="E1522">
        <v>41.41</v>
      </c>
      <c r="F1522" s="1789">
        <v>8.8999999999999996E-2</v>
      </c>
      <c r="G1522">
        <f t="shared" si="47"/>
        <v>37.72</v>
      </c>
    </row>
    <row r="1523" spans="1:7" ht="12.75" customHeight="1">
      <c r="A1523" s="3">
        <v>1827</v>
      </c>
      <c r="B1523" s="4" t="s">
        <v>1538</v>
      </c>
      <c r="C1523" s="3" t="s">
        <v>6</v>
      </c>
      <c r="D1523" s="5">
        <f t="shared" si="46"/>
        <v>83.59</v>
      </c>
      <c r="E1523">
        <v>91.76</v>
      </c>
      <c r="F1523" s="1789">
        <v>8.8999999999999996E-2</v>
      </c>
      <c r="G1523">
        <f t="shared" si="47"/>
        <v>83.59</v>
      </c>
    </row>
    <row r="1524" spans="1:7" ht="12.75" customHeight="1">
      <c r="A1524" s="3">
        <v>1831</v>
      </c>
      <c r="B1524" s="4" t="s">
        <v>1539</v>
      </c>
      <c r="C1524" s="3" t="s">
        <v>6</v>
      </c>
      <c r="D1524" s="5">
        <f t="shared" si="46"/>
        <v>18.239999999999998</v>
      </c>
      <c r="E1524">
        <v>20.03</v>
      </c>
      <c r="F1524" s="1789">
        <v>8.8999999999999996E-2</v>
      </c>
      <c r="G1524">
        <f t="shared" si="47"/>
        <v>18.239999999999998</v>
      </c>
    </row>
    <row r="1525" spans="1:7" ht="12.75" customHeight="1">
      <c r="A1525" s="3">
        <v>1825</v>
      </c>
      <c r="B1525" s="4" t="s">
        <v>1540</v>
      </c>
      <c r="C1525" s="3" t="s">
        <v>6</v>
      </c>
      <c r="D1525" s="5">
        <f t="shared" si="46"/>
        <v>45.03</v>
      </c>
      <c r="E1525">
        <v>49.43</v>
      </c>
      <c r="F1525" s="1789">
        <v>8.8999999999999996E-2</v>
      </c>
      <c r="G1525">
        <f t="shared" si="47"/>
        <v>45.03</v>
      </c>
    </row>
    <row r="1526" spans="1:7" ht="12.75" customHeight="1">
      <c r="A1526" s="3">
        <v>1828</v>
      </c>
      <c r="B1526" s="4" t="s">
        <v>1541</v>
      </c>
      <c r="C1526" s="3" t="s">
        <v>6</v>
      </c>
      <c r="D1526" s="5">
        <f t="shared" si="46"/>
        <v>102</v>
      </c>
      <c r="E1526">
        <v>111.97</v>
      </c>
      <c r="F1526" s="1789">
        <v>8.8999999999999996E-2</v>
      </c>
      <c r="G1526">
        <f t="shared" si="47"/>
        <v>102</v>
      </c>
    </row>
    <row r="1527" spans="1:7" ht="12.75" customHeight="1">
      <c r="A1527" s="3">
        <v>1845</v>
      </c>
      <c r="B1527" s="4" t="s">
        <v>1542</v>
      </c>
      <c r="C1527" s="3" t="s">
        <v>6</v>
      </c>
      <c r="D1527" s="5">
        <f t="shared" si="46"/>
        <v>22.86</v>
      </c>
      <c r="E1527">
        <v>25.1</v>
      </c>
      <c r="F1527" s="1789">
        <v>8.8999999999999996E-2</v>
      </c>
      <c r="G1527">
        <f t="shared" si="47"/>
        <v>22.86</v>
      </c>
    </row>
    <row r="1528" spans="1:7" ht="12.75" customHeight="1">
      <c r="A1528" s="3">
        <v>1824</v>
      </c>
      <c r="B1528" s="4" t="s">
        <v>1543</v>
      </c>
      <c r="C1528" s="3" t="s">
        <v>6</v>
      </c>
      <c r="D1528" s="5">
        <f t="shared" si="46"/>
        <v>53.98</v>
      </c>
      <c r="E1528">
        <v>59.26</v>
      </c>
      <c r="F1528" s="1789">
        <v>8.8999999999999996E-2</v>
      </c>
      <c r="G1528">
        <f t="shared" si="47"/>
        <v>53.98</v>
      </c>
    </row>
    <row r="1529" spans="1:7" ht="12.75" customHeight="1">
      <c r="A1529" s="3">
        <v>1940</v>
      </c>
      <c r="B1529" s="4" t="s">
        <v>1544</v>
      </c>
      <c r="C1529" s="3" t="s">
        <v>6</v>
      </c>
      <c r="D1529" s="5">
        <f t="shared" si="46"/>
        <v>26.08</v>
      </c>
      <c r="E1529">
        <v>28.63</v>
      </c>
      <c r="F1529" s="1789">
        <v>8.8999999999999996E-2</v>
      </c>
      <c r="G1529">
        <f t="shared" si="47"/>
        <v>26.08</v>
      </c>
    </row>
    <row r="1530" spans="1:7" ht="12.75" customHeight="1">
      <c r="A1530" s="3">
        <v>1937</v>
      </c>
      <c r="B1530" s="4" t="s">
        <v>1545</v>
      </c>
      <c r="C1530" s="3" t="s">
        <v>6</v>
      </c>
      <c r="D1530" s="5">
        <f t="shared" si="46"/>
        <v>4.4000000000000004</v>
      </c>
      <c r="E1530">
        <v>4.83</v>
      </c>
      <c r="F1530" s="1789">
        <v>8.8999999999999996E-2</v>
      </c>
      <c r="G1530">
        <f t="shared" si="47"/>
        <v>4.4000000000000004</v>
      </c>
    </row>
    <row r="1531" spans="1:7" ht="12.75" customHeight="1">
      <c r="A1531" s="3">
        <v>1939</v>
      </c>
      <c r="B1531" s="4" t="s">
        <v>1546</v>
      </c>
      <c r="C1531" s="3" t="s">
        <v>6</v>
      </c>
      <c r="D1531" s="5">
        <f t="shared" si="46"/>
        <v>7.15</v>
      </c>
      <c r="E1531">
        <v>7.85</v>
      </c>
      <c r="F1531" s="1789">
        <v>8.8999999999999996E-2</v>
      </c>
      <c r="G1531">
        <f t="shared" si="47"/>
        <v>7.15</v>
      </c>
    </row>
    <row r="1532" spans="1:7" ht="12.75" customHeight="1">
      <c r="A1532" s="3">
        <v>1938</v>
      </c>
      <c r="B1532" s="4" t="s">
        <v>1547</v>
      </c>
      <c r="C1532" s="3" t="s">
        <v>6</v>
      </c>
      <c r="D1532" s="5">
        <f t="shared" si="46"/>
        <v>5</v>
      </c>
      <c r="E1532">
        <v>5.49</v>
      </c>
      <c r="F1532" s="1789">
        <v>8.8999999999999996E-2</v>
      </c>
      <c r="G1532">
        <f t="shared" si="47"/>
        <v>5</v>
      </c>
    </row>
    <row r="1533" spans="1:7" ht="12.75" customHeight="1">
      <c r="A1533" s="3">
        <v>42693</v>
      </c>
      <c r="B1533" s="4" t="s">
        <v>1548</v>
      </c>
      <c r="C1533" s="3" t="s">
        <v>6</v>
      </c>
      <c r="D1533" s="5">
        <f t="shared" si="46"/>
        <v>362.6</v>
      </c>
      <c r="E1533">
        <v>398.03</v>
      </c>
      <c r="F1533" s="1789">
        <v>8.8999999999999996E-2</v>
      </c>
      <c r="G1533">
        <f t="shared" si="47"/>
        <v>362.6</v>
      </c>
    </row>
    <row r="1534" spans="1:7" ht="12.75" customHeight="1">
      <c r="A1534" s="3">
        <v>42695</v>
      </c>
      <c r="B1534" s="4" t="s">
        <v>1549</v>
      </c>
      <c r="C1534" s="3" t="s">
        <v>6</v>
      </c>
      <c r="D1534" s="5">
        <f t="shared" si="46"/>
        <v>253.33</v>
      </c>
      <c r="E1534">
        <v>278.08</v>
      </c>
      <c r="F1534" s="1789">
        <v>8.8999999999999996E-2</v>
      </c>
      <c r="G1534">
        <f t="shared" si="47"/>
        <v>253.33</v>
      </c>
    </row>
    <row r="1535" spans="1:7" ht="12.75" customHeight="1">
      <c r="A1535" s="3">
        <v>42694</v>
      </c>
      <c r="B1535" s="4" t="s">
        <v>1550</v>
      </c>
      <c r="C1535" s="3" t="s">
        <v>6</v>
      </c>
      <c r="D1535" s="5">
        <f t="shared" si="46"/>
        <v>485.24</v>
      </c>
      <c r="E1535">
        <v>532.65</v>
      </c>
      <c r="F1535" s="1789">
        <v>8.8999999999999996E-2</v>
      </c>
      <c r="G1535">
        <f t="shared" si="47"/>
        <v>485.24</v>
      </c>
    </row>
    <row r="1536" spans="1:7" ht="12.75" customHeight="1">
      <c r="A1536" s="3">
        <v>20097</v>
      </c>
      <c r="B1536" s="4" t="s">
        <v>1551</v>
      </c>
      <c r="C1536" s="3" t="s">
        <v>6</v>
      </c>
      <c r="D1536" s="5">
        <f t="shared" si="46"/>
        <v>21.03</v>
      </c>
      <c r="E1536">
        <v>23.09</v>
      </c>
      <c r="F1536" s="1789">
        <v>8.8999999999999996E-2</v>
      </c>
      <c r="G1536">
        <f t="shared" si="47"/>
        <v>21.03</v>
      </c>
    </row>
    <row r="1537" spans="1:7" ht="12.75" customHeight="1">
      <c r="A1537" s="3">
        <v>20098</v>
      </c>
      <c r="B1537" s="4" t="s">
        <v>1552</v>
      </c>
      <c r="C1537" s="3" t="s">
        <v>6</v>
      </c>
      <c r="D1537" s="5">
        <f t="shared" si="46"/>
        <v>85.98</v>
      </c>
      <c r="E1537">
        <v>94.39</v>
      </c>
      <c r="F1537" s="1789">
        <v>8.8999999999999996E-2</v>
      </c>
      <c r="G1537">
        <f t="shared" si="47"/>
        <v>85.98</v>
      </c>
    </row>
    <row r="1538" spans="1:7" ht="12.75" customHeight="1">
      <c r="A1538" s="3">
        <v>20096</v>
      </c>
      <c r="B1538" s="4" t="s">
        <v>1553</v>
      </c>
      <c r="C1538" s="3" t="s">
        <v>6</v>
      </c>
      <c r="D1538" s="5">
        <f t="shared" si="46"/>
        <v>21.77</v>
      </c>
      <c r="E1538">
        <v>23.9</v>
      </c>
      <c r="F1538" s="1789">
        <v>8.8999999999999996E-2</v>
      </c>
      <c r="G1538">
        <f t="shared" si="47"/>
        <v>21.77</v>
      </c>
    </row>
    <row r="1539" spans="1:7" ht="12.75" customHeight="1">
      <c r="A1539" s="3">
        <v>2628</v>
      </c>
      <c r="B1539" s="4" t="s">
        <v>1554</v>
      </c>
      <c r="C1539" s="3" t="s">
        <v>6</v>
      </c>
      <c r="D1539" s="5">
        <f t="shared" ref="D1539:D1602" si="48">G1539</f>
        <v>236.37</v>
      </c>
      <c r="E1539">
        <v>259.47000000000003</v>
      </c>
      <c r="F1539" s="1789">
        <v>8.8999999999999996E-2</v>
      </c>
      <c r="G1539">
        <f t="shared" ref="G1539:G1602" si="49">TRUNC((1-F1539)*E1539,2)</f>
        <v>236.37</v>
      </c>
    </row>
    <row r="1540" spans="1:7" ht="12.75" customHeight="1">
      <c r="A1540" s="3">
        <v>2622</v>
      </c>
      <c r="B1540" s="4" t="s">
        <v>1555</v>
      </c>
      <c r="C1540" s="3" t="s">
        <v>6</v>
      </c>
      <c r="D1540" s="5">
        <f t="shared" si="48"/>
        <v>5.61</v>
      </c>
      <c r="E1540">
        <v>6.16</v>
      </c>
      <c r="F1540" s="1789">
        <v>8.8999999999999996E-2</v>
      </c>
      <c r="G1540">
        <f t="shared" si="49"/>
        <v>5.61</v>
      </c>
    </row>
    <row r="1541" spans="1:7" ht="12.75" customHeight="1">
      <c r="A1541" s="3">
        <v>2623</v>
      </c>
      <c r="B1541" s="4" t="s">
        <v>1556</v>
      </c>
      <c r="C1541" s="3" t="s">
        <v>6</v>
      </c>
      <c r="D1541" s="5">
        <f t="shared" si="48"/>
        <v>6.75</v>
      </c>
      <c r="E1541">
        <v>7.41</v>
      </c>
      <c r="F1541" s="1789">
        <v>8.8999999999999996E-2</v>
      </c>
      <c r="G1541">
        <f t="shared" si="49"/>
        <v>6.75</v>
      </c>
    </row>
    <row r="1542" spans="1:7" ht="12.75" customHeight="1">
      <c r="A1542" s="3">
        <v>2624</v>
      </c>
      <c r="B1542" s="4" t="s">
        <v>1557</v>
      </c>
      <c r="C1542" s="3" t="s">
        <v>6</v>
      </c>
      <c r="D1542" s="5">
        <f t="shared" si="48"/>
        <v>10.74</v>
      </c>
      <c r="E1542">
        <v>11.79</v>
      </c>
      <c r="F1542" s="1789">
        <v>8.8999999999999996E-2</v>
      </c>
      <c r="G1542">
        <f t="shared" si="49"/>
        <v>10.74</v>
      </c>
    </row>
    <row r="1543" spans="1:7" ht="12.75" customHeight="1">
      <c r="A1543" s="3">
        <v>2625</v>
      </c>
      <c r="B1543" s="4" t="s">
        <v>1558</v>
      </c>
      <c r="C1543" s="3" t="s">
        <v>6</v>
      </c>
      <c r="D1543" s="5">
        <f t="shared" si="48"/>
        <v>22.68</v>
      </c>
      <c r="E1543">
        <v>24.9</v>
      </c>
      <c r="F1543" s="1789">
        <v>8.8999999999999996E-2</v>
      </c>
      <c r="G1543">
        <f t="shared" si="49"/>
        <v>22.68</v>
      </c>
    </row>
    <row r="1544" spans="1:7" ht="12.75" customHeight="1">
      <c r="A1544" s="3">
        <v>2626</v>
      </c>
      <c r="B1544" s="4" t="s">
        <v>1559</v>
      </c>
      <c r="C1544" s="3" t="s">
        <v>6</v>
      </c>
      <c r="D1544" s="5">
        <f t="shared" si="48"/>
        <v>33.229999999999997</v>
      </c>
      <c r="E1544">
        <v>36.479999999999997</v>
      </c>
      <c r="F1544" s="1789">
        <v>8.8999999999999996E-2</v>
      </c>
      <c r="G1544">
        <f t="shared" si="49"/>
        <v>33.229999999999997</v>
      </c>
    </row>
    <row r="1545" spans="1:7" ht="12.75" customHeight="1">
      <c r="A1545" s="3">
        <v>2630</v>
      </c>
      <c r="B1545" s="4" t="s">
        <v>1560</v>
      </c>
      <c r="C1545" s="3" t="s">
        <v>6</v>
      </c>
      <c r="D1545" s="5">
        <f t="shared" si="48"/>
        <v>50.54</v>
      </c>
      <c r="E1545">
        <v>55.48</v>
      </c>
      <c r="F1545" s="1789">
        <v>8.8999999999999996E-2</v>
      </c>
      <c r="G1545">
        <f t="shared" si="49"/>
        <v>50.54</v>
      </c>
    </row>
    <row r="1546" spans="1:7" ht="12.75" customHeight="1">
      <c r="A1546" s="3">
        <v>2627</v>
      </c>
      <c r="B1546" s="4" t="s">
        <v>1561</v>
      </c>
      <c r="C1546" s="3" t="s">
        <v>6</v>
      </c>
      <c r="D1546" s="5">
        <f t="shared" si="48"/>
        <v>89.03</v>
      </c>
      <c r="E1546">
        <v>97.73</v>
      </c>
      <c r="F1546" s="1789">
        <v>8.8999999999999996E-2</v>
      </c>
      <c r="G1546">
        <f t="shared" si="49"/>
        <v>89.03</v>
      </c>
    </row>
    <row r="1547" spans="1:7" ht="12.75" customHeight="1">
      <c r="A1547" s="3">
        <v>2629</v>
      </c>
      <c r="B1547" s="4" t="s">
        <v>1562</v>
      </c>
      <c r="C1547" s="3" t="s">
        <v>6</v>
      </c>
      <c r="D1547" s="5">
        <f t="shared" si="48"/>
        <v>120.42</v>
      </c>
      <c r="E1547">
        <v>132.19</v>
      </c>
      <c r="F1547" s="1789">
        <v>8.8999999999999996E-2</v>
      </c>
      <c r="G1547">
        <f t="shared" si="49"/>
        <v>120.42</v>
      </c>
    </row>
    <row r="1548" spans="1:7" ht="12.75" customHeight="1">
      <c r="A1548" s="3">
        <v>1880</v>
      </c>
      <c r="B1548" s="4" t="s">
        <v>1563</v>
      </c>
      <c r="C1548" s="3" t="s">
        <v>6</v>
      </c>
      <c r="D1548" s="5">
        <f t="shared" si="48"/>
        <v>3.44</v>
      </c>
      <c r="E1548">
        <v>3.78</v>
      </c>
      <c r="F1548" s="1789">
        <v>8.8999999999999996E-2</v>
      </c>
      <c r="G1548">
        <f t="shared" si="49"/>
        <v>3.44</v>
      </c>
    </row>
    <row r="1549" spans="1:7" ht="12.75" customHeight="1">
      <c r="A1549" s="3">
        <v>39274</v>
      </c>
      <c r="B1549" s="4" t="s">
        <v>1564</v>
      </c>
      <c r="C1549" s="3" t="s">
        <v>6</v>
      </c>
      <c r="D1549" s="5">
        <f t="shared" si="48"/>
        <v>2.66</v>
      </c>
      <c r="E1549">
        <v>2.93</v>
      </c>
      <c r="F1549" s="1789">
        <v>8.8999999999999996E-2</v>
      </c>
      <c r="G1549">
        <f t="shared" si="49"/>
        <v>2.66</v>
      </c>
    </row>
    <row r="1550" spans="1:7" ht="12.75" customHeight="1">
      <c r="A1550" s="3">
        <v>12033</v>
      </c>
      <c r="B1550" s="4" t="s">
        <v>1565</v>
      </c>
      <c r="C1550" s="3" t="s">
        <v>6</v>
      </c>
      <c r="D1550" s="5">
        <f t="shared" si="48"/>
        <v>11</v>
      </c>
      <c r="E1550">
        <v>12.08</v>
      </c>
      <c r="F1550" s="1789">
        <v>8.8999999999999996E-2</v>
      </c>
      <c r="G1550">
        <f t="shared" si="49"/>
        <v>11</v>
      </c>
    </row>
    <row r="1551" spans="1:7" ht="12.75" customHeight="1">
      <c r="A1551" s="3">
        <v>40408</v>
      </c>
      <c r="B1551" s="4" t="s">
        <v>1566</v>
      </c>
      <c r="C1551" s="3" t="s">
        <v>6</v>
      </c>
      <c r="D1551" s="5">
        <f t="shared" si="48"/>
        <v>7.23</v>
      </c>
      <c r="E1551">
        <v>7.94</v>
      </c>
      <c r="F1551" s="1789">
        <v>8.8999999999999996E-2</v>
      </c>
      <c r="G1551">
        <f t="shared" si="49"/>
        <v>7.23</v>
      </c>
    </row>
    <row r="1552" spans="1:7" ht="12.75" customHeight="1">
      <c r="A1552" s="3">
        <v>40409</v>
      </c>
      <c r="B1552" s="4" t="s">
        <v>1567</v>
      </c>
      <c r="C1552" s="3" t="s">
        <v>6</v>
      </c>
      <c r="D1552" s="5">
        <f t="shared" si="48"/>
        <v>2.5499999999999998</v>
      </c>
      <c r="E1552">
        <v>2.81</v>
      </c>
      <c r="F1552" s="1789">
        <v>8.8999999999999996E-2</v>
      </c>
      <c r="G1552">
        <f t="shared" si="49"/>
        <v>2.5499999999999998</v>
      </c>
    </row>
    <row r="1553" spans="1:7" ht="12.75" customHeight="1">
      <c r="A1553" s="3">
        <v>39276</v>
      </c>
      <c r="B1553" s="4" t="s">
        <v>1568</v>
      </c>
      <c r="C1553" s="3" t="s">
        <v>6</v>
      </c>
      <c r="D1553" s="5">
        <f t="shared" si="48"/>
        <v>6.51</v>
      </c>
      <c r="E1553">
        <v>7.15</v>
      </c>
      <c r="F1553" s="1789">
        <v>8.8999999999999996E-2</v>
      </c>
      <c r="G1553">
        <f t="shared" si="49"/>
        <v>6.51</v>
      </c>
    </row>
    <row r="1554" spans="1:7" ht="12.75" customHeight="1">
      <c r="A1554" s="3">
        <v>39277</v>
      </c>
      <c r="B1554" s="4" t="s">
        <v>1569</v>
      </c>
      <c r="C1554" s="3" t="s">
        <v>6</v>
      </c>
      <c r="D1554" s="5">
        <f t="shared" si="48"/>
        <v>17.59</v>
      </c>
      <c r="E1554">
        <v>19.309999999999999</v>
      </c>
      <c r="F1554" s="1789">
        <v>8.8999999999999996E-2</v>
      </c>
      <c r="G1554">
        <f t="shared" si="49"/>
        <v>17.59</v>
      </c>
    </row>
    <row r="1555" spans="1:7" ht="12.75" customHeight="1">
      <c r="A1555" s="3">
        <v>12034</v>
      </c>
      <c r="B1555" s="4" t="s">
        <v>1570</v>
      </c>
      <c r="C1555" s="3" t="s">
        <v>6</v>
      </c>
      <c r="D1555" s="5">
        <f t="shared" si="48"/>
        <v>4.9800000000000004</v>
      </c>
      <c r="E1555">
        <v>5.47</v>
      </c>
      <c r="F1555" s="1789">
        <v>8.8999999999999996E-2</v>
      </c>
      <c r="G1555">
        <f t="shared" si="49"/>
        <v>4.9800000000000004</v>
      </c>
    </row>
    <row r="1556" spans="1:7" ht="12.75" customHeight="1">
      <c r="A1556" s="3">
        <v>39879</v>
      </c>
      <c r="B1556" s="4" t="s">
        <v>1571</v>
      </c>
      <c r="C1556" s="3" t="s">
        <v>6</v>
      </c>
      <c r="D1556" s="5">
        <f t="shared" si="48"/>
        <v>4.62</v>
      </c>
      <c r="E1556">
        <v>5.08</v>
      </c>
      <c r="F1556" s="1789">
        <v>8.8999999999999996E-2</v>
      </c>
      <c r="G1556">
        <f t="shared" si="49"/>
        <v>4.62</v>
      </c>
    </row>
    <row r="1557" spans="1:7" ht="12.75" customHeight="1">
      <c r="A1557" s="3">
        <v>39880</v>
      </c>
      <c r="B1557" s="4" t="s">
        <v>1572</v>
      </c>
      <c r="C1557" s="3" t="s">
        <v>6</v>
      </c>
      <c r="D1557" s="5">
        <f t="shared" si="48"/>
        <v>10.24</v>
      </c>
      <c r="E1557">
        <v>11.25</v>
      </c>
      <c r="F1557" s="1789">
        <v>8.8999999999999996E-2</v>
      </c>
      <c r="G1557">
        <f t="shared" si="49"/>
        <v>10.24</v>
      </c>
    </row>
    <row r="1558" spans="1:7" ht="12.75" customHeight="1">
      <c r="A1558" s="3">
        <v>39881</v>
      </c>
      <c r="B1558" s="4" t="s">
        <v>1573</v>
      </c>
      <c r="C1558" s="3" t="s">
        <v>6</v>
      </c>
      <c r="D1558" s="5">
        <f t="shared" si="48"/>
        <v>16.45</v>
      </c>
      <c r="E1558">
        <v>18.059999999999999</v>
      </c>
      <c r="F1558" s="1789">
        <v>8.8999999999999996E-2</v>
      </c>
      <c r="G1558">
        <f t="shared" si="49"/>
        <v>16.45</v>
      </c>
    </row>
    <row r="1559" spans="1:7" ht="12.75" customHeight="1">
      <c r="A1559" s="3">
        <v>39882</v>
      </c>
      <c r="B1559" s="4" t="s">
        <v>1574</v>
      </c>
      <c r="C1559" s="3" t="s">
        <v>6</v>
      </c>
      <c r="D1559" s="5">
        <f t="shared" si="48"/>
        <v>43.34</v>
      </c>
      <c r="E1559">
        <v>47.58</v>
      </c>
      <c r="F1559" s="1789">
        <v>8.8999999999999996E-2</v>
      </c>
      <c r="G1559">
        <f t="shared" si="49"/>
        <v>43.34</v>
      </c>
    </row>
    <row r="1560" spans="1:7" ht="12.75" customHeight="1">
      <c r="A1560" s="3">
        <v>39883</v>
      </c>
      <c r="B1560" s="4" t="s">
        <v>1575</v>
      </c>
      <c r="C1560" s="3" t="s">
        <v>6</v>
      </c>
      <c r="D1560" s="5">
        <f t="shared" si="48"/>
        <v>69.209999999999994</v>
      </c>
      <c r="E1560">
        <v>75.98</v>
      </c>
      <c r="F1560" s="1789">
        <v>8.8999999999999996E-2</v>
      </c>
      <c r="G1560">
        <f t="shared" si="49"/>
        <v>69.209999999999994</v>
      </c>
    </row>
    <row r="1561" spans="1:7" ht="12.75" customHeight="1">
      <c r="A1561" s="3">
        <v>39884</v>
      </c>
      <c r="B1561" s="4" t="s">
        <v>1576</v>
      </c>
      <c r="C1561" s="3" t="s">
        <v>6</v>
      </c>
      <c r="D1561" s="5">
        <f t="shared" si="48"/>
        <v>102.8</v>
      </c>
      <c r="E1561">
        <v>112.85</v>
      </c>
      <c r="F1561" s="1789">
        <v>8.8999999999999996E-2</v>
      </c>
      <c r="G1561">
        <f t="shared" si="49"/>
        <v>102.8</v>
      </c>
    </row>
    <row r="1562" spans="1:7" ht="12.75" customHeight="1">
      <c r="A1562" s="3">
        <v>39885</v>
      </c>
      <c r="B1562" s="4" t="s">
        <v>1577</v>
      </c>
      <c r="C1562" s="3" t="s">
        <v>6</v>
      </c>
      <c r="D1562" s="5">
        <f t="shared" si="48"/>
        <v>244.33</v>
      </c>
      <c r="E1562">
        <v>268.2</v>
      </c>
      <c r="F1562" s="1789">
        <v>8.8999999999999996E-2</v>
      </c>
      <c r="G1562">
        <f t="shared" si="49"/>
        <v>244.33</v>
      </c>
    </row>
    <row r="1563" spans="1:7" ht="12.75" customHeight="1">
      <c r="A1563" s="3">
        <v>1777</v>
      </c>
      <c r="B1563" s="4" t="s">
        <v>1578</v>
      </c>
      <c r="C1563" s="3" t="s">
        <v>6</v>
      </c>
      <c r="D1563" s="5">
        <f t="shared" si="48"/>
        <v>61.12</v>
      </c>
      <c r="E1563">
        <v>67.099999999999994</v>
      </c>
      <c r="F1563" s="1789">
        <v>8.8999999999999996E-2</v>
      </c>
      <c r="G1563">
        <f t="shared" si="49"/>
        <v>61.12</v>
      </c>
    </row>
    <row r="1564" spans="1:7" ht="12.75" customHeight="1">
      <c r="A1564" s="3">
        <v>1819</v>
      </c>
      <c r="B1564" s="4" t="s">
        <v>1579</v>
      </c>
      <c r="C1564" s="3" t="s">
        <v>6</v>
      </c>
      <c r="D1564" s="5">
        <f t="shared" si="48"/>
        <v>44.47</v>
      </c>
      <c r="E1564">
        <v>48.82</v>
      </c>
      <c r="F1564" s="1789">
        <v>8.8999999999999996E-2</v>
      </c>
      <c r="G1564">
        <f t="shared" si="49"/>
        <v>44.47</v>
      </c>
    </row>
    <row r="1565" spans="1:7" ht="12.75" customHeight="1">
      <c r="A1565" s="3">
        <v>1775</v>
      </c>
      <c r="B1565" s="4" t="s">
        <v>1580</v>
      </c>
      <c r="C1565" s="3" t="s">
        <v>6</v>
      </c>
      <c r="D1565" s="5">
        <f t="shared" si="48"/>
        <v>13.3</v>
      </c>
      <c r="E1565">
        <v>14.6</v>
      </c>
      <c r="F1565" s="1789">
        <v>8.8999999999999996E-2</v>
      </c>
      <c r="G1565">
        <f t="shared" si="49"/>
        <v>13.3</v>
      </c>
    </row>
    <row r="1566" spans="1:7" ht="12.75" customHeight="1">
      <c r="A1566" s="3">
        <v>1776</v>
      </c>
      <c r="B1566" s="4" t="s">
        <v>1581</v>
      </c>
      <c r="C1566" s="3" t="s">
        <v>6</v>
      </c>
      <c r="D1566" s="5">
        <f t="shared" si="48"/>
        <v>36.18</v>
      </c>
      <c r="E1566">
        <v>39.72</v>
      </c>
      <c r="F1566" s="1789">
        <v>8.8999999999999996E-2</v>
      </c>
      <c r="G1566">
        <f t="shared" si="49"/>
        <v>36.18</v>
      </c>
    </row>
    <row r="1567" spans="1:7" ht="12.75" customHeight="1">
      <c r="A1567" s="3">
        <v>1778</v>
      </c>
      <c r="B1567" s="4" t="s">
        <v>1582</v>
      </c>
      <c r="C1567" s="3" t="s">
        <v>6</v>
      </c>
      <c r="D1567" s="5">
        <f t="shared" si="48"/>
        <v>147.97</v>
      </c>
      <c r="E1567">
        <v>162.43</v>
      </c>
      <c r="F1567" s="1789">
        <v>8.8999999999999996E-2</v>
      </c>
      <c r="G1567">
        <f t="shared" si="49"/>
        <v>147.97</v>
      </c>
    </row>
    <row r="1568" spans="1:7" ht="12.75" customHeight="1">
      <c r="A1568" s="3">
        <v>1818</v>
      </c>
      <c r="B1568" s="4" t="s">
        <v>1583</v>
      </c>
      <c r="C1568" s="3" t="s">
        <v>6</v>
      </c>
      <c r="D1568" s="5">
        <f t="shared" si="48"/>
        <v>98.22</v>
      </c>
      <c r="E1568">
        <v>107.82</v>
      </c>
      <c r="F1568" s="1789">
        <v>8.8999999999999996E-2</v>
      </c>
      <c r="G1568">
        <f t="shared" si="49"/>
        <v>98.22</v>
      </c>
    </row>
    <row r="1569" spans="1:7" ht="12.75" customHeight="1">
      <c r="A1569" s="3">
        <v>1820</v>
      </c>
      <c r="B1569" s="4" t="s">
        <v>1584</v>
      </c>
      <c r="C1569" s="3" t="s">
        <v>6</v>
      </c>
      <c r="D1569" s="5">
        <f t="shared" si="48"/>
        <v>19.2</v>
      </c>
      <c r="E1569">
        <v>21.08</v>
      </c>
      <c r="F1569" s="1789">
        <v>8.8999999999999996E-2</v>
      </c>
      <c r="G1569">
        <f t="shared" si="49"/>
        <v>19.2</v>
      </c>
    </row>
    <row r="1570" spans="1:7" ht="12.75" customHeight="1">
      <c r="A1570" s="3">
        <v>1779</v>
      </c>
      <c r="B1570" s="4" t="s">
        <v>1585</v>
      </c>
      <c r="C1570" s="3" t="s">
        <v>6</v>
      </c>
      <c r="D1570" s="5">
        <f t="shared" si="48"/>
        <v>215.2</v>
      </c>
      <c r="E1570">
        <v>236.23</v>
      </c>
      <c r="F1570" s="1789">
        <v>8.8999999999999996E-2</v>
      </c>
      <c r="G1570">
        <f t="shared" si="49"/>
        <v>215.2</v>
      </c>
    </row>
    <row r="1571" spans="1:7" ht="12.75" customHeight="1">
      <c r="A1571" s="3">
        <v>1780</v>
      </c>
      <c r="B1571" s="4" t="s">
        <v>1586</v>
      </c>
      <c r="C1571" s="3" t="s">
        <v>6</v>
      </c>
      <c r="D1571" s="5">
        <f t="shared" si="48"/>
        <v>443.64</v>
      </c>
      <c r="E1571">
        <v>486.99</v>
      </c>
      <c r="F1571" s="1789">
        <v>8.8999999999999996E-2</v>
      </c>
      <c r="G1571">
        <f t="shared" si="49"/>
        <v>443.64</v>
      </c>
    </row>
    <row r="1572" spans="1:7" ht="12.75" customHeight="1">
      <c r="A1572" s="3">
        <v>1783</v>
      </c>
      <c r="B1572" s="4" t="s">
        <v>1587</v>
      </c>
      <c r="C1572" s="3" t="s">
        <v>6</v>
      </c>
      <c r="D1572" s="5">
        <f t="shared" si="48"/>
        <v>46.9</v>
      </c>
      <c r="E1572">
        <v>51.49</v>
      </c>
      <c r="F1572" s="1789">
        <v>8.8999999999999996E-2</v>
      </c>
      <c r="G1572">
        <f t="shared" si="49"/>
        <v>46.9</v>
      </c>
    </row>
    <row r="1573" spans="1:7" ht="12.75" customHeight="1">
      <c r="A1573" s="3">
        <v>1782</v>
      </c>
      <c r="B1573" s="4" t="s">
        <v>1588</v>
      </c>
      <c r="C1573" s="3" t="s">
        <v>6</v>
      </c>
      <c r="D1573" s="5">
        <f t="shared" si="48"/>
        <v>37.08</v>
      </c>
      <c r="E1573">
        <v>40.71</v>
      </c>
      <c r="F1573" s="1789">
        <v>8.8999999999999996E-2</v>
      </c>
      <c r="G1573">
        <f t="shared" si="49"/>
        <v>37.08</v>
      </c>
    </row>
    <row r="1574" spans="1:7" ht="12.75" customHeight="1">
      <c r="A1574" s="3">
        <v>1817</v>
      </c>
      <c r="B1574" s="4" t="s">
        <v>1589</v>
      </c>
      <c r="C1574" s="3" t="s">
        <v>6</v>
      </c>
      <c r="D1574" s="5">
        <f t="shared" si="48"/>
        <v>11.05</v>
      </c>
      <c r="E1574">
        <v>12.13</v>
      </c>
      <c r="F1574" s="1789">
        <v>8.8999999999999996E-2</v>
      </c>
      <c r="G1574">
        <f t="shared" si="49"/>
        <v>11.05</v>
      </c>
    </row>
    <row r="1575" spans="1:7" ht="12.75" customHeight="1">
      <c r="A1575" s="3">
        <v>1781</v>
      </c>
      <c r="B1575" s="4" t="s">
        <v>1590</v>
      </c>
      <c r="C1575" s="3" t="s">
        <v>6</v>
      </c>
      <c r="D1575" s="5">
        <f t="shared" si="48"/>
        <v>24.15</v>
      </c>
      <c r="E1575">
        <v>26.52</v>
      </c>
      <c r="F1575" s="1789">
        <v>8.8999999999999996E-2</v>
      </c>
      <c r="G1575">
        <f t="shared" si="49"/>
        <v>24.15</v>
      </c>
    </row>
    <row r="1576" spans="1:7" ht="12.75" customHeight="1">
      <c r="A1576" s="3">
        <v>1784</v>
      </c>
      <c r="B1576" s="4" t="s">
        <v>1591</v>
      </c>
      <c r="C1576" s="3" t="s">
        <v>6</v>
      </c>
      <c r="D1576" s="5">
        <f t="shared" si="48"/>
        <v>132.44999999999999</v>
      </c>
      <c r="E1576">
        <v>145.38999999999999</v>
      </c>
      <c r="F1576" s="1789">
        <v>8.8999999999999996E-2</v>
      </c>
      <c r="G1576">
        <f t="shared" si="49"/>
        <v>132.44999999999999</v>
      </c>
    </row>
    <row r="1577" spans="1:7" ht="12.75" customHeight="1">
      <c r="A1577" s="3">
        <v>1810</v>
      </c>
      <c r="B1577" s="4" t="s">
        <v>1592</v>
      </c>
      <c r="C1577" s="3" t="s">
        <v>6</v>
      </c>
      <c r="D1577" s="5">
        <f t="shared" si="48"/>
        <v>73.459999999999994</v>
      </c>
      <c r="E1577">
        <v>80.64</v>
      </c>
      <c r="F1577" s="1789">
        <v>8.8999999999999996E-2</v>
      </c>
      <c r="G1577">
        <f t="shared" si="49"/>
        <v>73.459999999999994</v>
      </c>
    </row>
    <row r="1578" spans="1:7" ht="12.75" customHeight="1">
      <c r="A1578" s="3">
        <v>1811</v>
      </c>
      <c r="B1578" s="4" t="s">
        <v>1593</v>
      </c>
      <c r="C1578" s="3" t="s">
        <v>6</v>
      </c>
      <c r="D1578" s="5">
        <f t="shared" si="48"/>
        <v>15.88</v>
      </c>
      <c r="E1578">
        <v>17.440000000000001</v>
      </c>
      <c r="F1578" s="1789">
        <v>8.8999999999999996E-2</v>
      </c>
      <c r="G1578">
        <f t="shared" si="49"/>
        <v>15.88</v>
      </c>
    </row>
    <row r="1579" spans="1:7" ht="12.75" customHeight="1">
      <c r="A1579" s="3">
        <v>1812</v>
      </c>
      <c r="B1579" s="4" t="s">
        <v>1594</v>
      </c>
      <c r="C1579" s="3" t="s">
        <v>6</v>
      </c>
      <c r="D1579" s="5">
        <f t="shared" si="48"/>
        <v>185.46</v>
      </c>
      <c r="E1579">
        <v>203.58</v>
      </c>
      <c r="F1579" s="1789">
        <v>8.8999999999999996E-2</v>
      </c>
      <c r="G1579">
        <f t="shared" si="49"/>
        <v>185.46</v>
      </c>
    </row>
    <row r="1580" spans="1:7" ht="12.75" customHeight="1">
      <c r="A1580" s="3">
        <v>40386</v>
      </c>
      <c r="B1580" s="4" t="s">
        <v>1595</v>
      </c>
      <c r="C1580" s="3" t="s">
        <v>6</v>
      </c>
      <c r="D1580" s="5">
        <f t="shared" si="48"/>
        <v>80.400000000000006</v>
      </c>
      <c r="E1580">
        <v>88.26</v>
      </c>
      <c r="F1580" s="1789">
        <v>8.8999999999999996E-2</v>
      </c>
      <c r="G1580">
        <f t="shared" si="49"/>
        <v>80.400000000000006</v>
      </c>
    </row>
    <row r="1581" spans="1:7" ht="12.75" customHeight="1">
      <c r="A1581" s="3">
        <v>40384</v>
      </c>
      <c r="B1581" s="4" t="s">
        <v>1596</v>
      </c>
      <c r="C1581" s="3" t="s">
        <v>6</v>
      </c>
      <c r="D1581" s="5">
        <f t="shared" si="48"/>
        <v>55.04</v>
      </c>
      <c r="E1581">
        <v>60.42</v>
      </c>
      <c r="F1581" s="1789">
        <v>8.8999999999999996E-2</v>
      </c>
      <c r="G1581">
        <f t="shared" si="49"/>
        <v>55.04</v>
      </c>
    </row>
    <row r="1582" spans="1:7" ht="12.75" customHeight="1">
      <c r="A1582" s="3">
        <v>40379</v>
      </c>
      <c r="B1582" s="4" t="s">
        <v>1597</v>
      </c>
      <c r="C1582" s="3" t="s">
        <v>6</v>
      </c>
      <c r="D1582" s="5">
        <f t="shared" si="48"/>
        <v>19.03</v>
      </c>
      <c r="E1582">
        <v>20.89</v>
      </c>
      <c r="F1582" s="1789">
        <v>8.8999999999999996E-2</v>
      </c>
      <c r="G1582">
        <f t="shared" si="49"/>
        <v>19.03</v>
      </c>
    </row>
    <row r="1583" spans="1:7" ht="12.75" customHeight="1">
      <c r="A1583" s="3">
        <v>40423</v>
      </c>
      <c r="B1583" s="4" t="s">
        <v>1598</v>
      </c>
      <c r="C1583" s="3" t="s">
        <v>6</v>
      </c>
      <c r="D1583" s="5">
        <f t="shared" si="48"/>
        <v>36.01</v>
      </c>
      <c r="E1583">
        <v>39.53</v>
      </c>
      <c r="F1583" s="1789">
        <v>8.8999999999999996E-2</v>
      </c>
      <c r="G1583">
        <f t="shared" si="49"/>
        <v>36.01</v>
      </c>
    </row>
    <row r="1584" spans="1:7" ht="12.75" customHeight="1">
      <c r="A1584" s="3">
        <v>40389</v>
      </c>
      <c r="B1584" s="4" t="s">
        <v>1599</v>
      </c>
      <c r="C1584" s="3" t="s">
        <v>6</v>
      </c>
      <c r="D1584" s="5">
        <f t="shared" si="48"/>
        <v>228.37</v>
      </c>
      <c r="E1584">
        <v>250.69</v>
      </c>
      <c r="F1584" s="1789">
        <v>8.8999999999999996E-2</v>
      </c>
      <c r="G1584">
        <f t="shared" si="49"/>
        <v>228.37</v>
      </c>
    </row>
    <row r="1585" spans="1:7" ht="12.75" customHeight="1">
      <c r="A1585" s="3">
        <v>40388</v>
      </c>
      <c r="B1585" s="4" t="s">
        <v>1600</v>
      </c>
      <c r="C1585" s="3" t="s">
        <v>6</v>
      </c>
      <c r="D1585" s="5">
        <f t="shared" si="48"/>
        <v>114.31</v>
      </c>
      <c r="E1585">
        <v>125.48</v>
      </c>
      <c r="F1585" s="1789">
        <v>8.8999999999999996E-2</v>
      </c>
      <c r="G1585">
        <f t="shared" si="49"/>
        <v>114.31</v>
      </c>
    </row>
    <row r="1586" spans="1:7" ht="12.75" customHeight="1">
      <c r="A1586" s="3">
        <v>40381</v>
      </c>
      <c r="B1586" s="4" t="s">
        <v>1601</v>
      </c>
      <c r="C1586" s="3" t="s">
        <v>6</v>
      </c>
      <c r="D1586" s="5">
        <f t="shared" si="48"/>
        <v>25.37</v>
      </c>
      <c r="E1586">
        <v>27.85</v>
      </c>
      <c r="F1586" s="1789">
        <v>8.8999999999999996E-2</v>
      </c>
      <c r="G1586">
        <f t="shared" si="49"/>
        <v>25.37</v>
      </c>
    </row>
    <row r="1587" spans="1:7" ht="12.75" customHeight="1">
      <c r="A1587" s="3">
        <v>40391</v>
      </c>
      <c r="B1587" s="4" t="s">
        <v>1602</v>
      </c>
      <c r="C1587" s="3" t="s">
        <v>6</v>
      </c>
      <c r="D1587" s="5">
        <f t="shared" si="48"/>
        <v>592.76</v>
      </c>
      <c r="E1587">
        <v>650.66999999999996</v>
      </c>
      <c r="F1587" s="1789">
        <v>8.8999999999999996E-2</v>
      </c>
      <c r="G1587">
        <f t="shared" si="49"/>
        <v>592.76</v>
      </c>
    </row>
    <row r="1588" spans="1:7" ht="12.75" customHeight="1">
      <c r="A1588" s="3">
        <v>2609</v>
      </c>
      <c r="B1588" s="4" t="s">
        <v>1603</v>
      </c>
      <c r="C1588" s="3" t="s">
        <v>6</v>
      </c>
      <c r="D1588" s="5">
        <f t="shared" si="48"/>
        <v>5.27</v>
      </c>
      <c r="E1588">
        <v>5.79</v>
      </c>
      <c r="F1588" s="1789">
        <v>8.8999999999999996E-2</v>
      </c>
      <c r="G1588">
        <f t="shared" si="49"/>
        <v>5.27</v>
      </c>
    </row>
    <row r="1589" spans="1:7" ht="12.75" customHeight="1">
      <c r="A1589" s="3">
        <v>2634</v>
      </c>
      <c r="B1589" s="4" t="s">
        <v>1604</v>
      </c>
      <c r="C1589" s="3" t="s">
        <v>6</v>
      </c>
      <c r="D1589" s="5">
        <f t="shared" si="48"/>
        <v>6.92</v>
      </c>
      <c r="E1589">
        <v>7.6</v>
      </c>
      <c r="F1589" s="1789">
        <v>8.8999999999999996E-2</v>
      </c>
      <c r="G1589">
        <f t="shared" si="49"/>
        <v>6.92</v>
      </c>
    </row>
    <row r="1590" spans="1:7" ht="12.75" customHeight="1">
      <c r="A1590" s="3">
        <v>2611</v>
      </c>
      <c r="B1590" s="4" t="s">
        <v>1605</v>
      </c>
      <c r="C1590" s="3" t="s">
        <v>6</v>
      </c>
      <c r="D1590" s="5">
        <f t="shared" si="48"/>
        <v>19.52</v>
      </c>
      <c r="E1590">
        <v>21.43</v>
      </c>
      <c r="F1590" s="1789">
        <v>8.8999999999999996E-2</v>
      </c>
      <c r="G1590">
        <f t="shared" si="49"/>
        <v>19.52</v>
      </c>
    </row>
    <row r="1591" spans="1:7" ht="12.75" customHeight="1">
      <c r="A1591" s="3">
        <v>40414</v>
      </c>
      <c r="B1591" s="4" t="s">
        <v>1606</v>
      </c>
      <c r="C1591" s="3" t="s">
        <v>6</v>
      </c>
      <c r="D1591" s="5">
        <f t="shared" si="48"/>
        <v>15.3</v>
      </c>
      <c r="E1591">
        <v>16.8</v>
      </c>
      <c r="F1591" s="1789">
        <v>8.8999999999999996E-2</v>
      </c>
      <c r="G1591">
        <f t="shared" si="49"/>
        <v>15.3</v>
      </c>
    </row>
    <row r="1592" spans="1:7" ht="12.75" customHeight="1">
      <c r="A1592" s="3">
        <v>40416</v>
      </c>
      <c r="B1592" s="4" t="s">
        <v>1607</v>
      </c>
      <c r="C1592" s="3" t="s">
        <v>6</v>
      </c>
      <c r="D1592" s="5">
        <f t="shared" si="48"/>
        <v>21.15</v>
      </c>
      <c r="E1592">
        <v>23.22</v>
      </c>
      <c r="F1592" s="1789">
        <v>8.8999999999999996E-2</v>
      </c>
      <c r="G1592">
        <f t="shared" si="49"/>
        <v>21.15</v>
      </c>
    </row>
    <row r="1593" spans="1:7" ht="12.75" customHeight="1">
      <c r="A1593" s="3">
        <v>40418</v>
      </c>
      <c r="B1593" s="4" t="s">
        <v>1608</v>
      </c>
      <c r="C1593" s="3" t="s">
        <v>6</v>
      </c>
      <c r="D1593" s="5">
        <f t="shared" si="48"/>
        <v>25.23</v>
      </c>
      <c r="E1593">
        <v>27.7</v>
      </c>
      <c r="F1593" s="1789">
        <v>8.8999999999999996E-2</v>
      </c>
      <c r="G1593">
        <f t="shared" si="49"/>
        <v>25.23</v>
      </c>
    </row>
    <row r="1594" spans="1:7" ht="12.75" customHeight="1">
      <c r="A1594" s="3">
        <v>34359</v>
      </c>
      <c r="B1594" s="4" t="s">
        <v>1609</v>
      </c>
      <c r="C1594" s="3" t="s">
        <v>6</v>
      </c>
      <c r="D1594" s="5">
        <f t="shared" si="48"/>
        <v>9.6</v>
      </c>
      <c r="E1594">
        <v>10.54</v>
      </c>
      <c r="F1594" s="1789">
        <v>8.8999999999999996E-2</v>
      </c>
      <c r="G1594">
        <f t="shared" si="49"/>
        <v>9.6</v>
      </c>
    </row>
    <row r="1595" spans="1:7" ht="12.75" customHeight="1">
      <c r="A1595" s="3">
        <v>1789</v>
      </c>
      <c r="B1595" s="4" t="s">
        <v>1610</v>
      </c>
      <c r="C1595" s="3" t="s">
        <v>6</v>
      </c>
      <c r="D1595" s="5">
        <f t="shared" si="48"/>
        <v>58.66</v>
      </c>
      <c r="E1595">
        <v>64.400000000000006</v>
      </c>
      <c r="F1595" s="1789">
        <v>8.8999999999999996E-2</v>
      </c>
      <c r="G1595">
        <f t="shared" si="49"/>
        <v>58.66</v>
      </c>
    </row>
    <row r="1596" spans="1:7" ht="12.75" customHeight="1">
      <c r="A1596" s="3">
        <v>1788</v>
      </c>
      <c r="B1596" s="4" t="s">
        <v>1611</v>
      </c>
      <c r="C1596" s="3" t="s">
        <v>6</v>
      </c>
      <c r="D1596" s="5">
        <f t="shared" si="48"/>
        <v>47.02</v>
      </c>
      <c r="E1596">
        <v>51.62</v>
      </c>
      <c r="F1596" s="1789">
        <v>8.8999999999999996E-2</v>
      </c>
      <c r="G1596">
        <f t="shared" si="49"/>
        <v>47.02</v>
      </c>
    </row>
    <row r="1597" spans="1:7" ht="12.75" customHeight="1">
      <c r="A1597" s="3">
        <v>1786</v>
      </c>
      <c r="B1597" s="4" t="s">
        <v>1612</v>
      </c>
      <c r="C1597" s="3" t="s">
        <v>6</v>
      </c>
      <c r="D1597" s="5">
        <f t="shared" si="48"/>
        <v>11.67</v>
      </c>
      <c r="E1597">
        <v>12.82</v>
      </c>
      <c r="F1597" s="1789">
        <v>8.8999999999999996E-2</v>
      </c>
      <c r="G1597">
        <f t="shared" si="49"/>
        <v>11.67</v>
      </c>
    </row>
    <row r="1598" spans="1:7" ht="12.75" customHeight="1">
      <c r="A1598" s="3">
        <v>1787</v>
      </c>
      <c r="B1598" s="4" t="s">
        <v>1613</v>
      </c>
      <c r="C1598" s="3" t="s">
        <v>6</v>
      </c>
      <c r="D1598" s="5">
        <f t="shared" si="48"/>
        <v>27.95</v>
      </c>
      <c r="E1598">
        <v>30.69</v>
      </c>
      <c r="F1598" s="1789">
        <v>8.8999999999999996E-2</v>
      </c>
      <c r="G1598">
        <f t="shared" si="49"/>
        <v>27.95</v>
      </c>
    </row>
    <row r="1599" spans="1:7" ht="12.75" customHeight="1">
      <c r="A1599" s="3">
        <v>1791</v>
      </c>
      <c r="B1599" s="4" t="s">
        <v>1614</v>
      </c>
      <c r="C1599" s="3" t="s">
        <v>6</v>
      </c>
      <c r="D1599" s="5">
        <f t="shared" si="48"/>
        <v>169.56</v>
      </c>
      <c r="E1599">
        <v>186.13</v>
      </c>
      <c r="F1599" s="1789">
        <v>8.8999999999999996E-2</v>
      </c>
      <c r="G1599">
        <f t="shared" si="49"/>
        <v>169.56</v>
      </c>
    </row>
    <row r="1600" spans="1:7" ht="12.75" customHeight="1">
      <c r="A1600" s="3">
        <v>1790</v>
      </c>
      <c r="B1600" s="4" t="s">
        <v>1615</v>
      </c>
      <c r="C1600" s="3" t="s">
        <v>6</v>
      </c>
      <c r="D1600" s="5">
        <f t="shared" si="48"/>
        <v>97.7</v>
      </c>
      <c r="E1600">
        <v>107.25</v>
      </c>
      <c r="F1600" s="1789">
        <v>8.8999999999999996E-2</v>
      </c>
      <c r="G1600">
        <f t="shared" si="49"/>
        <v>97.7</v>
      </c>
    </row>
    <row r="1601" spans="1:7" ht="12.75" customHeight="1">
      <c r="A1601" s="3">
        <v>1813</v>
      </c>
      <c r="B1601" s="4" t="s">
        <v>1616</v>
      </c>
      <c r="C1601" s="3" t="s">
        <v>6</v>
      </c>
      <c r="D1601" s="5">
        <f t="shared" si="48"/>
        <v>18.52</v>
      </c>
      <c r="E1601">
        <v>20.34</v>
      </c>
      <c r="F1601" s="1789">
        <v>8.8999999999999996E-2</v>
      </c>
      <c r="G1601">
        <f t="shared" si="49"/>
        <v>18.52</v>
      </c>
    </row>
    <row r="1602" spans="1:7" ht="12.75" customHeight="1">
      <c r="A1602" s="3">
        <v>1792</v>
      </c>
      <c r="B1602" s="4" t="s">
        <v>1617</v>
      </c>
      <c r="C1602" s="3" t="s">
        <v>6</v>
      </c>
      <c r="D1602" s="5">
        <f t="shared" si="48"/>
        <v>228.88</v>
      </c>
      <c r="E1602">
        <v>251.25</v>
      </c>
      <c r="F1602" s="1789">
        <v>8.8999999999999996E-2</v>
      </c>
      <c r="G1602">
        <f t="shared" si="49"/>
        <v>228.88</v>
      </c>
    </row>
    <row r="1603" spans="1:7" ht="12.75" customHeight="1">
      <c r="A1603" s="3">
        <v>1793</v>
      </c>
      <c r="B1603" s="4" t="s">
        <v>1618</v>
      </c>
      <c r="C1603" s="3" t="s">
        <v>6</v>
      </c>
      <c r="D1603" s="5">
        <f t="shared" ref="D1603:D1666" si="50">G1603</f>
        <v>462.5</v>
      </c>
      <c r="E1603">
        <v>507.69</v>
      </c>
      <c r="F1603" s="1789">
        <v>8.8999999999999996E-2</v>
      </c>
      <c r="G1603">
        <f t="shared" ref="G1603:G1666" si="51">TRUNC((1-F1603)*E1603,2)</f>
        <v>462.5</v>
      </c>
    </row>
    <row r="1604" spans="1:7" ht="12.75" customHeight="1">
      <c r="A1604" s="3">
        <v>1809</v>
      </c>
      <c r="B1604" s="4" t="s">
        <v>1619</v>
      </c>
      <c r="C1604" s="3" t="s">
        <v>6</v>
      </c>
      <c r="D1604" s="5">
        <f t="shared" si="50"/>
        <v>55</v>
      </c>
      <c r="E1604">
        <v>60.38</v>
      </c>
      <c r="F1604" s="1789">
        <v>8.8999999999999996E-2</v>
      </c>
      <c r="G1604">
        <f t="shared" si="51"/>
        <v>55</v>
      </c>
    </row>
    <row r="1605" spans="1:7" ht="12.75" customHeight="1">
      <c r="A1605" s="3">
        <v>1814</v>
      </c>
      <c r="B1605" s="4" t="s">
        <v>1620</v>
      </c>
      <c r="C1605" s="3" t="s">
        <v>6</v>
      </c>
      <c r="D1605" s="5">
        <f t="shared" si="50"/>
        <v>45.18</v>
      </c>
      <c r="E1605">
        <v>49.6</v>
      </c>
      <c r="F1605" s="1789">
        <v>8.8999999999999996E-2</v>
      </c>
      <c r="G1605">
        <f t="shared" si="51"/>
        <v>45.18</v>
      </c>
    </row>
    <row r="1606" spans="1:7" ht="12.75" customHeight="1">
      <c r="A1606" s="3">
        <v>1803</v>
      </c>
      <c r="B1606" s="4" t="s">
        <v>1621</v>
      </c>
      <c r="C1606" s="3" t="s">
        <v>6</v>
      </c>
      <c r="D1606" s="5">
        <f t="shared" si="50"/>
        <v>11.41</v>
      </c>
      <c r="E1606">
        <v>12.53</v>
      </c>
      <c r="F1606" s="1789">
        <v>8.8999999999999996E-2</v>
      </c>
      <c r="G1606">
        <f t="shared" si="51"/>
        <v>11.41</v>
      </c>
    </row>
    <row r="1607" spans="1:7" ht="12.75" customHeight="1">
      <c r="A1607" s="3">
        <v>1805</v>
      </c>
      <c r="B1607" s="4" t="s">
        <v>1622</v>
      </c>
      <c r="C1607" s="3" t="s">
        <v>6</v>
      </c>
      <c r="D1607" s="5">
        <f t="shared" si="50"/>
        <v>26.22</v>
      </c>
      <c r="E1607">
        <v>28.79</v>
      </c>
      <c r="F1607" s="1789">
        <v>8.8999999999999996E-2</v>
      </c>
      <c r="G1607">
        <f t="shared" si="51"/>
        <v>26.22</v>
      </c>
    </row>
    <row r="1608" spans="1:7" ht="12.75" customHeight="1">
      <c r="A1608" s="3">
        <v>1821</v>
      </c>
      <c r="B1608" s="4" t="s">
        <v>1623</v>
      </c>
      <c r="C1608" s="3" t="s">
        <v>6</v>
      </c>
      <c r="D1608" s="5">
        <f t="shared" si="50"/>
        <v>154.91999999999999</v>
      </c>
      <c r="E1608">
        <v>170.06</v>
      </c>
      <c r="F1608" s="1789">
        <v>8.8999999999999996E-2</v>
      </c>
      <c r="G1608">
        <f t="shared" si="51"/>
        <v>154.91999999999999</v>
      </c>
    </row>
    <row r="1609" spans="1:7" ht="12.75" customHeight="1">
      <c r="A1609" s="3">
        <v>1806</v>
      </c>
      <c r="B1609" s="4" t="s">
        <v>1624</v>
      </c>
      <c r="C1609" s="3" t="s">
        <v>6</v>
      </c>
      <c r="D1609" s="5">
        <f t="shared" si="50"/>
        <v>92.21</v>
      </c>
      <c r="E1609">
        <v>101.22</v>
      </c>
      <c r="F1609" s="1789">
        <v>8.8999999999999996E-2</v>
      </c>
      <c r="G1609">
        <f t="shared" si="51"/>
        <v>92.21</v>
      </c>
    </row>
    <row r="1610" spans="1:7" ht="12.75" customHeight="1">
      <c r="A1610" s="3">
        <v>1804</v>
      </c>
      <c r="B1610" s="4" t="s">
        <v>1625</v>
      </c>
      <c r="C1610" s="3" t="s">
        <v>6</v>
      </c>
      <c r="D1610" s="5">
        <f t="shared" si="50"/>
        <v>16.25</v>
      </c>
      <c r="E1610">
        <v>17.84</v>
      </c>
      <c r="F1610" s="1789">
        <v>8.8999999999999996E-2</v>
      </c>
      <c r="G1610">
        <f t="shared" si="51"/>
        <v>16.25</v>
      </c>
    </row>
    <row r="1611" spans="1:7" ht="12.75" customHeight="1">
      <c r="A1611" s="3">
        <v>1807</v>
      </c>
      <c r="B1611" s="4" t="s">
        <v>1626</v>
      </c>
      <c r="C1611" s="3" t="s">
        <v>6</v>
      </c>
      <c r="D1611" s="5">
        <f t="shared" si="50"/>
        <v>221.56</v>
      </c>
      <c r="E1611">
        <v>243.21</v>
      </c>
      <c r="F1611" s="1789">
        <v>8.8999999999999996E-2</v>
      </c>
      <c r="G1611">
        <f t="shared" si="51"/>
        <v>221.56</v>
      </c>
    </row>
    <row r="1612" spans="1:7" ht="12.75" customHeight="1">
      <c r="A1612" s="3">
        <v>1808</v>
      </c>
      <c r="B1612" s="4" t="s">
        <v>1627</v>
      </c>
      <c r="C1612" s="3" t="s">
        <v>6</v>
      </c>
      <c r="D1612" s="5">
        <f t="shared" si="50"/>
        <v>444.19</v>
      </c>
      <c r="E1612">
        <v>487.59</v>
      </c>
      <c r="F1612" s="1789">
        <v>8.8999999999999996E-2</v>
      </c>
      <c r="G1612">
        <f t="shared" si="51"/>
        <v>444.19</v>
      </c>
    </row>
    <row r="1613" spans="1:7" ht="12.75" customHeight="1">
      <c r="A1613" s="3">
        <v>1797</v>
      </c>
      <c r="B1613" s="4" t="s">
        <v>1628</v>
      </c>
      <c r="C1613" s="3" t="s">
        <v>6</v>
      </c>
      <c r="D1613" s="5">
        <f t="shared" si="50"/>
        <v>66.62</v>
      </c>
      <c r="E1613">
        <v>73.13</v>
      </c>
      <c r="F1613" s="1789">
        <v>8.8999999999999996E-2</v>
      </c>
      <c r="G1613">
        <f t="shared" si="51"/>
        <v>66.62</v>
      </c>
    </row>
    <row r="1614" spans="1:7" ht="12.75" customHeight="1">
      <c r="A1614" s="3">
        <v>1796</v>
      </c>
      <c r="B1614" s="4" t="s">
        <v>1629</v>
      </c>
      <c r="C1614" s="3" t="s">
        <v>6</v>
      </c>
      <c r="D1614" s="5">
        <f t="shared" si="50"/>
        <v>51.09</v>
      </c>
      <c r="E1614">
        <v>56.09</v>
      </c>
      <c r="F1614" s="1789">
        <v>8.8999999999999996E-2</v>
      </c>
      <c r="G1614">
        <f t="shared" si="51"/>
        <v>51.09</v>
      </c>
    </row>
    <row r="1615" spans="1:7" ht="12.75" customHeight="1">
      <c r="A1615" s="3">
        <v>1794</v>
      </c>
      <c r="B1615" s="4" t="s">
        <v>1630</v>
      </c>
      <c r="C1615" s="3" t="s">
        <v>6</v>
      </c>
      <c r="D1615" s="5">
        <f t="shared" si="50"/>
        <v>12.19</v>
      </c>
      <c r="E1615">
        <v>13.39</v>
      </c>
      <c r="F1615" s="1789">
        <v>8.8999999999999996E-2</v>
      </c>
      <c r="G1615">
        <f t="shared" si="51"/>
        <v>12.19</v>
      </c>
    </row>
    <row r="1616" spans="1:7" ht="12.75" customHeight="1">
      <c r="A1616" s="3">
        <v>1816</v>
      </c>
      <c r="B1616" s="4" t="s">
        <v>1631</v>
      </c>
      <c r="C1616" s="3" t="s">
        <v>6</v>
      </c>
      <c r="D1616" s="5">
        <f t="shared" si="50"/>
        <v>27.5</v>
      </c>
      <c r="E1616">
        <v>30.19</v>
      </c>
      <c r="F1616" s="1789">
        <v>8.8999999999999996E-2</v>
      </c>
      <c r="G1616">
        <f t="shared" si="51"/>
        <v>27.5</v>
      </c>
    </row>
    <row r="1617" spans="1:7" ht="12.75" customHeight="1">
      <c r="A1617" s="3">
        <v>1815</v>
      </c>
      <c r="B1617" s="4" t="s">
        <v>1632</v>
      </c>
      <c r="C1617" s="3" t="s">
        <v>6</v>
      </c>
      <c r="D1617" s="5">
        <f t="shared" si="50"/>
        <v>211.23</v>
      </c>
      <c r="E1617">
        <v>231.87</v>
      </c>
      <c r="F1617" s="1789">
        <v>8.8999999999999996E-2</v>
      </c>
      <c r="G1617">
        <f t="shared" si="51"/>
        <v>211.23</v>
      </c>
    </row>
    <row r="1618" spans="1:7" ht="12.75" customHeight="1">
      <c r="A1618" s="3">
        <v>1798</v>
      </c>
      <c r="B1618" s="4" t="s">
        <v>1633</v>
      </c>
      <c r="C1618" s="3" t="s">
        <v>6</v>
      </c>
      <c r="D1618" s="5">
        <f t="shared" si="50"/>
        <v>94.51</v>
      </c>
      <c r="E1618">
        <v>103.75</v>
      </c>
      <c r="F1618" s="1789">
        <v>8.8999999999999996E-2</v>
      </c>
      <c r="G1618">
        <f t="shared" si="51"/>
        <v>94.51</v>
      </c>
    </row>
    <row r="1619" spans="1:7" ht="12.75" customHeight="1">
      <c r="A1619" s="3">
        <v>1795</v>
      </c>
      <c r="B1619" s="4" t="s">
        <v>1634</v>
      </c>
      <c r="C1619" s="3" t="s">
        <v>6</v>
      </c>
      <c r="D1619" s="5">
        <f t="shared" si="50"/>
        <v>16.89</v>
      </c>
      <c r="E1619">
        <v>18.55</v>
      </c>
      <c r="F1619" s="1789">
        <v>8.8999999999999996E-2</v>
      </c>
      <c r="G1619">
        <f t="shared" si="51"/>
        <v>16.89</v>
      </c>
    </row>
    <row r="1620" spans="1:7" ht="12.75" customHeight="1">
      <c r="A1620" s="3">
        <v>1799</v>
      </c>
      <c r="B1620" s="4" t="s">
        <v>1635</v>
      </c>
      <c r="C1620" s="3" t="s">
        <v>6</v>
      </c>
      <c r="D1620" s="5">
        <f t="shared" si="50"/>
        <v>275.11</v>
      </c>
      <c r="E1620">
        <v>301.99</v>
      </c>
      <c r="F1620" s="1789">
        <v>8.8999999999999996E-2</v>
      </c>
      <c r="G1620">
        <f t="shared" si="51"/>
        <v>275.11</v>
      </c>
    </row>
    <row r="1621" spans="1:7" ht="12.75" customHeight="1">
      <c r="A1621" s="3">
        <v>1800</v>
      </c>
      <c r="B1621" s="4" t="s">
        <v>1636</v>
      </c>
      <c r="C1621" s="3" t="s">
        <v>6</v>
      </c>
      <c r="D1621" s="5">
        <f t="shared" si="50"/>
        <v>525.23</v>
      </c>
      <c r="E1621">
        <v>576.54999999999995</v>
      </c>
      <c r="F1621" s="1789">
        <v>8.8999999999999996E-2</v>
      </c>
      <c r="G1621">
        <f t="shared" si="51"/>
        <v>525.23</v>
      </c>
    </row>
    <row r="1622" spans="1:7" ht="12.75" customHeight="1">
      <c r="A1622" s="3">
        <v>1802</v>
      </c>
      <c r="B1622" s="4" t="s">
        <v>1637</v>
      </c>
      <c r="C1622" s="3" t="s">
        <v>6</v>
      </c>
      <c r="D1622" s="5">
        <f t="shared" si="50"/>
        <v>1313.82</v>
      </c>
      <c r="E1622">
        <v>1442.18</v>
      </c>
      <c r="F1622" s="1789">
        <v>8.8999999999999996E-2</v>
      </c>
      <c r="G1622">
        <f t="shared" si="51"/>
        <v>1313.82</v>
      </c>
    </row>
    <row r="1623" spans="1:7" ht="12.75" customHeight="1">
      <c r="A1623" s="3">
        <v>40385</v>
      </c>
      <c r="B1623" s="4" t="s">
        <v>1638</v>
      </c>
      <c r="C1623" s="3" t="s">
        <v>6</v>
      </c>
      <c r="D1623" s="5">
        <f t="shared" si="50"/>
        <v>80.400000000000006</v>
      </c>
      <c r="E1623">
        <v>88.26</v>
      </c>
      <c r="F1623" s="1789">
        <v>8.8999999999999996E-2</v>
      </c>
      <c r="G1623">
        <f t="shared" si="51"/>
        <v>80.400000000000006</v>
      </c>
    </row>
    <row r="1624" spans="1:7" ht="12.75" customHeight="1">
      <c r="A1624" s="3">
        <v>40383</v>
      </c>
      <c r="B1624" s="4" t="s">
        <v>1639</v>
      </c>
      <c r="C1624" s="3" t="s">
        <v>6</v>
      </c>
      <c r="D1624" s="5">
        <f t="shared" si="50"/>
        <v>55.04</v>
      </c>
      <c r="E1624">
        <v>60.42</v>
      </c>
      <c r="F1624" s="1789">
        <v>8.8999999999999996E-2</v>
      </c>
      <c r="G1624">
        <f t="shared" si="51"/>
        <v>55.04</v>
      </c>
    </row>
    <row r="1625" spans="1:7" ht="12.75" customHeight="1">
      <c r="A1625" s="3">
        <v>40378</v>
      </c>
      <c r="B1625" s="4" t="s">
        <v>1640</v>
      </c>
      <c r="C1625" s="3" t="s">
        <v>6</v>
      </c>
      <c r="D1625" s="5">
        <f t="shared" si="50"/>
        <v>19.03</v>
      </c>
      <c r="E1625">
        <v>20.89</v>
      </c>
      <c r="F1625" s="1789">
        <v>8.8999999999999996E-2</v>
      </c>
      <c r="G1625">
        <f t="shared" si="51"/>
        <v>19.03</v>
      </c>
    </row>
    <row r="1626" spans="1:7" ht="12.75" customHeight="1">
      <c r="A1626" s="3">
        <v>40382</v>
      </c>
      <c r="B1626" s="4" t="s">
        <v>1641</v>
      </c>
      <c r="C1626" s="3" t="s">
        <v>6</v>
      </c>
      <c r="D1626" s="5">
        <f t="shared" si="50"/>
        <v>36.01</v>
      </c>
      <c r="E1626">
        <v>39.53</v>
      </c>
      <c r="F1626" s="1789">
        <v>8.8999999999999996E-2</v>
      </c>
      <c r="G1626">
        <f t="shared" si="51"/>
        <v>36.01</v>
      </c>
    </row>
    <row r="1627" spans="1:7" ht="12.75" customHeight="1">
      <c r="A1627" s="3">
        <v>40422</v>
      </c>
      <c r="B1627" s="4" t="s">
        <v>1642</v>
      </c>
      <c r="C1627" s="3" t="s">
        <v>6</v>
      </c>
      <c r="D1627" s="5">
        <f t="shared" si="50"/>
        <v>245.33</v>
      </c>
      <c r="E1627">
        <v>269.3</v>
      </c>
      <c r="F1627" s="1789">
        <v>8.8999999999999996E-2</v>
      </c>
      <c r="G1627">
        <f t="shared" si="51"/>
        <v>245.33</v>
      </c>
    </row>
    <row r="1628" spans="1:7" ht="12.75" customHeight="1">
      <c r="A1628" s="3">
        <v>40387</v>
      </c>
      <c r="B1628" s="4" t="s">
        <v>1643</v>
      </c>
      <c r="C1628" s="3" t="s">
        <v>6</v>
      </c>
      <c r="D1628" s="5">
        <f t="shared" si="50"/>
        <v>124.91</v>
      </c>
      <c r="E1628">
        <v>137.12</v>
      </c>
      <c r="F1628" s="1789">
        <v>8.8999999999999996E-2</v>
      </c>
      <c r="G1628">
        <f t="shared" si="51"/>
        <v>124.91</v>
      </c>
    </row>
    <row r="1629" spans="1:7" ht="12.75" customHeight="1">
      <c r="A1629" s="3">
        <v>40380</v>
      </c>
      <c r="B1629" s="4" t="s">
        <v>1644</v>
      </c>
      <c r="C1629" s="3" t="s">
        <v>6</v>
      </c>
      <c r="D1629" s="5">
        <f t="shared" si="50"/>
        <v>25.37</v>
      </c>
      <c r="E1629">
        <v>27.85</v>
      </c>
      <c r="F1629" s="1789">
        <v>8.8999999999999996E-2</v>
      </c>
      <c r="G1629">
        <f t="shared" si="51"/>
        <v>25.37</v>
      </c>
    </row>
    <row r="1630" spans="1:7" ht="12.75" customHeight="1">
      <c r="A1630" s="3">
        <v>40390</v>
      </c>
      <c r="B1630" s="4" t="s">
        <v>1645</v>
      </c>
      <c r="C1630" s="3" t="s">
        <v>6</v>
      </c>
      <c r="D1630" s="5">
        <f t="shared" si="50"/>
        <v>516.70000000000005</v>
      </c>
      <c r="E1630">
        <v>567.17999999999995</v>
      </c>
      <c r="F1630" s="1789">
        <v>8.8999999999999996E-2</v>
      </c>
      <c r="G1630">
        <f t="shared" si="51"/>
        <v>516.70000000000005</v>
      </c>
    </row>
    <row r="1631" spans="1:7" ht="12.75" customHeight="1">
      <c r="A1631" s="3">
        <v>2621</v>
      </c>
      <c r="B1631" s="4" t="s">
        <v>1646</v>
      </c>
      <c r="C1631" s="3" t="s">
        <v>6</v>
      </c>
      <c r="D1631" s="5">
        <f t="shared" si="50"/>
        <v>167</v>
      </c>
      <c r="E1631">
        <v>183.32</v>
      </c>
      <c r="F1631" s="1789">
        <v>8.8999999999999996E-2</v>
      </c>
      <c r="G1631">
        <f t="shared" si="51"/>
        <v>167</v>
      </c>
    </row>
    <row r="1632" spans="1:7" ht="12.75" customHeight="1">
      <c r="A1632" s="3">
        <v>2616</v>
      </c>
      <c r="B1632" s="4" t="s">
        <v>1647</v>
      </c>
      <c r="C1632" s="3" t="s">
        <v>6</v>
      </c>
      <c r="D1632" s="5">
        <f t="shared" si="50"/>
        <v>4.72</v>
      </c>
      <c r="E1632">
        <v>5.19</v>
      </c>
      <c r="F1632" s="1789">
        <v>8.8999999999999996E-2</v>
      </c>
      <c r="G1632">
        <f t="shared" si="51"/>
        <v>4.72</v>
      </c>
    </row>
    <row r="1633" spans="1:7" ht="12.75" customHeight="1">
      <c r="A1633" s="3">
        <v>2633</v>
      </c>
      <c r="B1633" s="4" t="s">
        <v>1648</v>
      </c>
      <c r="C1633" s="3" t="s">
        <v>6</v>
      </c>
      <c r="D1633" s="5">
        <f t="shared" si="50"/>
        <v>5.34</v>
      </c>
      <c r="E1633">
        <v>5.87</v>
      </c>
      <c r="F1633" s="1789">
        <v>8.8999999999999996E-2</v>
      </c>
      <c r="G1633">
        <f t="shared" si="51"/>
        <v>5.34</v>
      </c>
    </row>
    <row r="1634" spans="1:7" ht="12.75" customHeight="1">
      <c r="A1634" s="3">
        <v>2617</v>
      </c>
      <c r="B1634" s="4" t="s">
        <v>1649</v>
      </c>
      <c r="C1634" s="3" t="s">
        <v>6</v>
      </c>
      <c r="D1634" s="5">
        <f t="shared" si="50"/>
        <v>7.26</v>
      </c>
      <c r="E1634">
        <v>7.98</v>
      </c>
      <c r="F1634" s="1789">
        <v>8.8999999999999996E-2</v>
      </c>
      <c r="G1634">
        <f t="shared" si="51"/>
        <v>7.26</v>
      </c>
    </row>
    <row r="1635" spans="1:7" ht="12.75" customHeight="1">
      <c r="A1635" s="3">
        <v>2618</v>
      </c>
      <c r="B1635" s="4" t="s">
        <v>1650</v>
      </c>
      <c r="C1635" s="3" t="s">
        <v>6</v>
      </c>
      <c r="D1635" s="5">
        <f t="shared" si="50"/>
        <v>16.54</v>
      </c>
      <c r="E1635">
        <v>18.16</v>
      </c>
      <c r="F1635" s="1789">
        <v>8.8999999999999996E-2</v>
      </c>
      <c r="G1635">
        <f t="shared" si="51"/>
        <v>16.54</v>
      </c>
    </row>
    <row r="1636" spans="1:7" ht="12.75" customHeight="1">
      <c r="A1636" s="3">
        <v>2632</v>
      </c>
      <c r="B1636" s="4" t="s">
        <v>1651</v>
      </c>
      <c r="C1636" s="3" t="s">
        <v>6</v>
      </c>
      <c r="D1636" s="5">
        <f t="shared" si="50"/>
        <v>20.170000000000002</v>
      </c>
      <c r="E1636">
        <v>22.15</v>
      </c>
      <c r="F1636" s="1789">
        <v>8.8999999999999996E-2</v>
      </c>
      <c r="G1636">
        <f t="shared" si="51"/>
        <v>20.170000000000002</v>
      </c>
    </row>
    <row r="1637" spans="1:7" ht="12.75" customHeight="1">
      <c r="A1637" s="3">
        <v>2631</v>
      </c>
      <c r="B1637" s="4" t="s">
        <v>1652</v>
      </c>
      <c r="C1637" s="3" t="s">
        <v>6</v>
      </c>
      <c r="D1637" s="5">
        <f t="shared" si="50"/>
        <v>29.62</v>
      </c>
      <c r="E1637">
        <v>32.520000000000003</v>
      </c>
      <c r="F1637" s="1789">
        <v>8.8999999999999996E-2</v>
      </c>
      <c r="G1637">
        <f t="shared" si="51"/>
        <v>29.62</v>
      </c>
    </row>
    <row r="1638" spans="1:7" ht="12.75" customHeight="1">
      <c r="A1638" s="3">
        <v>2619</v>
      </c>
      <c r="B1638" s="4" t="s">
        <v>1653</v>
      </c>
      <c r="C1638" s="3" t="s">
        <v>6</v>
      </c>
      <c r="D1638" s="5">
        <f t="shared" si="50"/>
        <v>75</v>
      </c>
      <c r="E1638">
        <v>82.33</v>
      </c>
      <c r="F1638" s="1789">
        <v>8.8999999999999996E-2</v>
      </c>
      <c r="G1638">
        <f t="shared" si="51"/>
        <v>75</v>
      </c>
    </row>
    <row r="1639" spans="1:7" ht="12.75" customHeight="1">
      <c r="A1639" s="3">
        <v>2620</v>
      </c>
      <c r="B1639" s="4" t="s">
        <v>1654</v>
      </c>
      <c r="C1639" s="3" t="s">
        <v>6</v>
      </c>
      <c r="D1639" s="5">
        <f t="shared" si="50"/>
        <v>98.46</v>
      </c>
      <c r="E1639">
        <v>108.09</v>
      </c>
      <c r="F1639" s="1789">
        <v>8.8999999999999996E-2</v>
      </c>
      <c r="G1639">
        <f t="shared" si="51"/>
        <v>98.46</v>
      </c>
    </row>
    <row r="1640" spans="1:7" ht="12.75" customHeight="1">
      <c r="A1640" s="3">
        <v>40413</v>
      </c>
      <c r="B1640" s="4" t="s">
        <v>1655</v>
      </c>
      <c r="C1640" s="3" t="s">
        <v>6</v>
      </c>
      <c r="D1640" s="5">
        <f t="shared" si="50"/>
        <v>16.62</v>
      </c>
      <c r="E1640">
        <v>18.25</v>
      </c>
      <c r="F1640" s="1789">
        <v>8.8999999999999996E-2</v>
      </c>
      <c r="G1640">
        <f t="shared" si="51"/>
        <v>16.62</v>
      </c>
    </row>
    <row r="1641" spans="1:7" ht="12.75" customHeight="1">
      <c r="A1641" s="3">
        <v>40415</v>
      </c>
      <c r="B1641" s="4" t="s">
        <v>1656</v>
      </c>
      <c r="C1641" s="3" t="s">
        <v>6</v>
      </c>
      <c r="D1641" s="5">
        <f t="shared" si="50"/>
        <v>23.68</v>
      </c>
      <c r="E1641">
        <v>26</v>
      </c>
      <c r="F1641" s="1789">
        <v>8.8999999999999996E-2</v>
      </c>
      <c r="G1641">
        <f t="shared" si="51"/>
        <v>23.68</v>
      </c>
    </row>
    <row r="1642" spans="1:7" ht="12.75" customHeight="1">
      <c r="A1642" s="3">
        <v>40417</v>
      </c>
      <c r="B1642" s="4" t="s">
        <v>1657</v>
      </c>
      <c r="C1642" s="3" t="s">
        <v>6</v>
      </c>
      <c r="D1642" s="5">
        <f t="shared" si="50"/>
        <v>27.94</v>
      </c>
      <c r="E1642">
        <v>30.68</v>
      </c>
      <c r="F1642" s="1789">
        <v>8.8999999999999996E-2</v>
      </c>
      <c r="G1642">
        <f t="shared" si="51"/>
        <v>27.94</v>
      </c>
    </row>
    <row r="1643" spans="1:7" ht="12.75" customHeight="1">
      <c r="A1643" s="3">
        <v>39271</v>
      </c>
      <c r="B1643" s="4" t="s">
        <v>1658</v>
      </c>
      <c r="C1643" s="3" t="s">
        <v>6</v>
      </c>
      <c r="D1643" s="5">
        <f t="shared" si="50"/>
        <v>2.21</v>
      </c>
      <c r="E1643">
        <v>2.4300000000000002</v>
      </c>
      <c r="F1643" s="1789">
        <v>8.8999999999999996E-2</v>
      </c>
      <c r="G1643">
        <f t="shared" si="51"/>
        <v>2.21</v>
      </c>
    </row>
    <row r="1644" spans="1:7" ht="12.75" customHeight="1">
      <c r="A1644" s="3">
        <v>39273</v>
      </c>
      <c r="B1644" s="4" t="s">
        <v>1659</v>
      </c>
      <c r="C1644" s="3" t="s">
        <v>6</v>
      </c>
      <c r="D1644" s="5">
        <f t="shared" si="50"/>
        <v>3.76</v>
      </c>
      <c r="E1644">
        <v>4.13</v>
      </c>
      <c r="F1644" s="1789">
        <v>8.8999999999999996E-2</v>
      </c>
      <c r="G1644">
        <f t="shared" si="51"/>
        <v>3.76</v>
      </c>
    </row>
    <row r="1645" spans="1:7" ht="12.75" customHeight="1">
      <c r="A1645" s="3">
        <v>39272</v>
      </c>
      <c r="B1645" s="4" t="s">
        <v>1660</v>
      </c>
      <c r="C1645" s="3" t="s">
        <v>6</v>
      </c>
      <c r="D1645" s="5">
        <f t="shared" si="50"/>
        <v>2.72</v>
      </c>
      <c r="E1645">
        <v>2.99</v>
      </c>
      <c r="F1645" s="1789">
        <v>8.8999999999999996E-2</v>
      </c>
      <c r="G1645">
        <f t="shared" si="51"/>
        <v>2.72</v>
      </c>
    </row>
    <row r="1646" spans="1:7" ht="12.75" customHeight="1">
      <c r="A1646" s="3">
        <v>1875</v>
      </c>
      <c r="B1646" s="4" t="s">
        <v>1661</v>
      </c>
      <c r="C1646" s="3" t="s">
        <v>6</v>
      </c>
      <c r="D1646" s="5">
        <f t="shared" si="50"/>
        <v>6.02</v>
      </c>
      <c r="E1646">
        <v>6.61</v>
      </c>
      <c r="F1646" s="1789">
        <v>8.8999999999999996E-2</v>
      </c>
      <c r="G1646">
        <f t="shared" si="51"/>
        <v>6.02</v>
      </c>
    </row>
    <row r="1647" spans="1:7" ht="12.75" customHeight="1">
      <c r="A1647" s="3">
        <v>1874</v>
      </c>
      <c r="B1647" s="4" t="s">
        <v>1662</v>
      </c>
      <c r="C1647" s="3" t="s">
        <v>6</v>
      </c>
      <c r="D1647" s="5">
        <f t="shared" si="50"/>
        <v>4.96</v>
      </c>
      <c r="E1647">
        <v>5.45</v>
      </c>
      <c r="F1647" s="1789">
        <v>8.8999999999999996E-2</v>
      </c>
      <c r="G1647">
        <f t="shared" si="51"/>
        <v>4.96</v>
      </c>
    </row>
    <row r="1648" spans="1:7" ht="12.75" customHeight="1">
      <c r="A1648" s="3">
        <v>1870</v>
      </c>
      <c r="B1648" s="4" t="s">
        <v>1663</v>
      </c>
      <c r="C1648" s="3" t="s">
        <v>6</v>
      </c>
      <c r="D1648" s="5">
        <f t="shared" si="50"/>
        <v>2.86</v>
      </c>
      <c r="E1648">
        <v>3.15</v>
      </c>
      <c r="F1648" s="1789">
        <v>8.8999999999999996E-2</v>
      </c>
      <c r="G1648">
        <f t="shared" si="51"/>
        <v>2.86</v>
      </c>
    </row>
    <row r="1649" spans="1:7" ht="12.75" customHeight="1">
      <c r="A1649" s="3">
        <v>1884</v>
      </c>
      <c r="B1649" s="4" t="s">
        <v>1664</v>
      </c>
      <c r="C1649" s="3" t="s">
        <v>6</v>
      </c>
      <c r="D1649" s="5">
        <f t="shared" si="50"/>
        <v>4.4000000000000004</v>
      </c>
      <c r="E1649">
        <v>4.83</v>
      </c>
      <c r="F1649" s="1789">
        <v>8.8999999999999996E-2</v>
      </c>
      <c r="G1649">
        <f t="shared" si="51"/>
        <v>4.4000000000000004</v>
      </c>
    </row>
    <row r="1650" spans="1:7" ht="12.75" customHeight="1">
      <c r="A1650" s="3">
        <v>1887</v>
      </c>
      <c r="B1650" s="4" t="s">
        <v>1665</v>
      </c>
      <c r="C1650" s="3" t="s">
        <v>6</v>
      </c>
      <c r="D1650" s="5">
        <f t="shared" si="50"/>
        <v>24.95</v>
      </c>
      <c r="E1650">
        <v>27.39</v>
      </c>
      <c r="F1650" s="1789">
        <v>8.8999999999999996E-2</v>
      </c>
      <c r="G1650">
        <f t="shared" si="51"/>
        <v>24.95</v>
      </c>
    </row>
    <row r="1651" spans="1:7" ht="12.75" customHeight="1">
      <c r="A1651" s="3">
        <v>1876</v>
      </c>
      <c r="B1651" s="4" t="s">
        <v>1666</v>
      </c>
      <c r="C1651" s="3" t="s">
        <v>6</v>
      </c>
      <c r="D1651" s="5">
        <f t="shared" si="50"/>
        <v>9.77</v>
      </c>
      <c r="E1651">
        <v>10.73</v>
      </c>
      <c r="F1651" s="1789">
        <v>8.8999999999999996E-2</v>
      </c>
      <c r="G1651">
        <f t="shared" si="51"/>
        <v>9.77</v>
      </c>
    </row>
    <row r="1652" spans="1:7" ht="12.75" customHeight="1">
      <c r="A1652" s="3">
        <v>1879</v>
      </c>
      <c r="B1652" s="4" t="s">
        <v>1667</v>
      </c>
      <c r="C1652" s="3" t="s">
        <v>6</v>
      </c>
      <c r="D1652" s="5">
        <f t="shared" si="50"/>
        <v>2.9</v>
      </c>
      <c r="E1652">
        <v>3.19</v>
      </c>
      <c r="F1652" s="1789">
        <v>8.8999999999999996E-2</v>
      </c>
      <c r="G1652">
        <f t="shared" si="51"/>
        <v>2.9</v>
      </c>
    </row>
    <row r="1653" spans="1:7" ht="12.75" customHeight="1">
      <c r="A1653" s="3">
        <v>1877</v>
      </c>
      <c r="B1653" s="4" t="s">
        <v>1668</v>
      </c>
      <c r="C1653" s="3" t="s">
        <v>6</v>
      </c>
      <c r="D1653" s="5">
        <f t="shared" si="50"/>
        <v>24.97</v>
      </c>
      <c r="E1653">
        <v>27.42</v>
      </c>
      <c r="F1653" s="1789">
        <v>8.8999999999999996E-2</v>
      </c>
      <c r="G1653">
        <f t="shared" si="51"/>
        <v>24.97</v>
      </c>
    </row>
    <row r="1654" spans="1:7" ht="12.75" customHeight="1">
      <c r="A1654" s="3">
        <v>1878</v>
      </c>
      <c r="B1654" s="4" t="s">
        <v>1669</v>
      </c>
      <c r="C1654" s="3" t="s">
        <v>6</v>
      </c>
      <c r="D1654" s="5">
        <f t="shared" si="50"/>
        <v>50.19</v>
      </c>
      <c r="E1654">
        <v>55.1</v>
      </c>
      <c r="F1654" s="1789">
        <v>8.8999999999999996E-2</v>
      </c>
      <c r="G1654">
        <f t="shared" si="51"/>
        <v>50.19</v>
      </c>
    </row>
    <row r="1655" spans="1:7" ht="12.75" customHeight="1">
      <c r="A1655" s="3">
        <v>44472</v>
      </c>
      <c r="B1655" s="4" t="s">
        <v>1670</v>
      </c>
      <c r="C1655" s="3" t="s">
        <v>6</v>
      </c>
      <c r="D1655" s="5">
        <f t="shared" si="50"/>
        <v>52.27</v>
      </c>
      <c r="E1655">
        <v>57.38</v>
      </c>
      <c r="F1655" s="1789">
        <v>8.8999999999999996E-2</v>
      </c>
      <c r="G1655">
        <f t="shared" si="51"/>
        <v>52.27</v>
      </c>
    </row>
    <row r="1656" spans="1:7" ht="12.75" customHeight="1">
      <c r="A1656" s="3">
        <v>38369</v>
      </c>
      <c r="B1656" s="4" t="s">
        <v>1671</v>
      </c>
      <c r="C1656" s="3" t="s">
        <v>6</v>
      </c>
      <c r="D1656" s="5">
        <f t="shared" si="50"/>
        <v>25.23</v>
      </c>
      <c r="E1656">
        <v>27.7</v>
      </c>
      <c r="F1656" s="1789">
        <v>8.8999999999999996E-2</v>
      </c>
      <c r="G1656">
        <f t="shared" si="51"/>
        <v>25.23</v>
      </c>
    </row>
    <row r="1657" spans="1:7" ht="12.75" customHeight="1">
      <c r="A1657" s="3">
        <v>38370</v>
      </c>
      <c r="B1657" s="4" t="s">
        <v>1672</v>
      </c>
      <c r="C1657" s="3" t="s">
        <v>6</v>
      </c>
      <c r="D1657" s="5">
        <f t="shared" si="50"/>
        <v>25.23</v>
      </c>
      <c r="E1657">
        <v>27.7</v>
      </c>
      <c r="F1657" s="1789">
        <v>8.8999999999999996E-2</v>
      </c>
      <c r="G1657">
        <f t="shared" si="51"/>
        <v>25.23</v>
      </c>
    </row>
    <row r="1658" spans="1:7" ht="12.75" customHeight="1">
      <c r="A1658" s="3">
        <v>38372</v>
      </c>
      <c r="B1658" s="4" t="s">
        <v>1673</v>
      </c>
      <c r="C1658" s="3" t="s">
        <v>6</v>
      </c>
      <c r="D1658" s="5">
        <f t="shared" si="50"/>
        <v>23.17</v>
      </c>
      <c r="E1658">
        <v>25.44</v>
      </c>
      <c r="F1658" s="1789">
        <v>8.8999999999999996E-2</v>
      </c>
      <c r="G1658">
        <f t="shared" si="51"/>
        <v>23.17</v>
      </c>
    </row>
    <row r="1659" spans="1:7" ht="12.75" customHeight="1">
      <c r="A1659" s="3">
        <v>2358</v>
      </c>
      <c r="B1659" s="4" t="s">
        <v>1674</v>
      </c>
      <c r="C1659" s="3" t="s">
        <v>154</v>
      </c>
      <c r="D1659" s="5">
        <f t="shared" si="50"/>
        <v>18.46</v>
      </c>
      <c r="E1659">
        <v>20.27</v>
      </c>
      <c r="F1659" s="1789">
        <v>8.8999999999999996E-2</v>
      </c>
      <c r="G1659">
        <f t="shared" si="51"/>
        <v>18.46</v>
      </c>
    </row>
    <row r="1660" spans="1:7" ht="12.75" customHeight="1">
      <c r="A1660" s="3">
        <v>40807</v>
      </c>
      <c r="B1660" s="4" t="s">
        <v>1675</v>
      </c>
      <c r="C1660" s="3" t="s">
        <v>156</v>
      </c>
      <c r="D1660" s="5">
        <f t="shared" si="50"/>
        <v>3251.11</v>
      </c>
      <c r="E1660">
        <v>3568.73</v>
      </c>
      <c r="F1660" s="1789">
        <v>8.8999999999999996E-2</v>
      </c>
      <c r="G1660">
        <f t="shared" si="51"/>
        <v>3251.11</v>
      </c>
    </row>
    <row r="1661" spans="1:7" ht="12.75" customHeight="1">
      <c r="A1661" s="3">
        <v>44330</v>
      </c>
      <c r="B1661" s="4" t="s">
        <v>1676</v>
      </c>
      <c r="C1661" s="3" t="s">
        <v>56</v>
      </c>
      <c r="D1661" s="5">
        <f t="shared" si="50"/>
        <v>8.6999999999999993</v>
      </c>
      <c r="E1661">
        <v>9.56</v>
      </c>
      <c r="F1661" s="1789">
        <v>8.8999999999999996E-2</v>
      </c>
      <c r="G1661">
        <f t="shared" si="51"/>
        <v>8.6999999999999993</v>
      </c>
    </row>
    <row r="1662" spans="1:7" ht="12.75" customHeight="1">
      <c r="A1662" s="3">
        <v>43144</v>
      </c>
      <c r="B1662" s="4" t="s">
        <v>1677</v>
      </c>
      <c r="C1662" s="3" t="s">
        <v>54</v>
      </c>
      <c r="D1662" s="5">
        <f t="shared" si="50"/>
        <v>37.270000000000003</v>
      </c>
      <c r="E1662">
        <v>40.92</v>
      </c>
      <c r="F1662" s="1789">
        <v>8.8999999999999996E-2</v>
      </c>
      <c r="G1662">
        <f t="shared" si="51"/>
        <v>37.270000000000003</v>
      </c>
    </row>
    <row r="1663" spans="1:7" ht="12.75" customHeight="1">
      <c r="A1663" s="3">
        <v>39397</v>
      </c>
      <c r="B1663" s="4" t="s">
        <v>1678</v>
      </c>
      <c r="C1663" s="3" t="s">
        <v>56</v>
      </c>
      <c r="D1663" s="5">
        <f t="shared" si="50"/>
        <v>16.989999999999998</v>
      </c>
      <c r="E1663">
        <v>18.649999999999999</v>
      </c>
      <c r="F1663" s="1789">
        <v>8.8999999999999996E-2</v>
      </c>
      <c r="G1663">
        <f t="shared" si="51"/>
        <v>16.989999999999998</v>
      </c>
    </row>
    <row r="1664" spans="1:7" ht="12.75" customHeight="1">
      <c r="A1664" s="3">
        <v>2692</v>
      </c>
      <c r="B1664" s="4" t="s">
        <v>1679</v>
      </c>
      <c r="C1664" s="3" t="s">
        <v>56</v>
      </c>
      <c r="D1664" s="5">
        <f t="shared" si="50"/>
        <v>6.85</v>
      </c>
      <c r="E1664">
        <v>7.52</v>
      </c>
      <c r="F1664" s="1789">
        <v>8.8999999999999996E-2</v>
      </c>
      <c r="G1664">
        <f t="shared" si="51"/>
        <v>6.85</v>
      </c>
    </row>
    <row r="1665" spans="1:7" ht="12.75" customHeight="1">
      <c r="A1665" s="3">
        <v>44329</v>
      </c>
      <c r="B1665" s="4" t="s">
        <v>1680</v>
      </c>
      <c r="C1665" s="3" t="s">
        <v>56</v>
      </c>
      <c r="D1665" s="5">
        <f t="shared" si="50"/>
        <v>11.41</v>
      </c>
      <c r="E1665">
        <v>12.53</v>
      </c>
      <c r="F1665" s="1789">
        <v>8.8999999999999996E-2</v>
      </c>
      <c r="G1665">
        <f t="shared" si="51"/>
        <v>11.41</v>
      </c>
    </row>
    <row r="1666" spans="1:7" ht="12.75" customHeight="1">
      <c r="A1666" s="3">
        <v>5318</v>
      </c>
      <c r="B1666" s="4" t="s">
        <v>1681</v>
      </c>
      <c r="C1666" s="3" t="s">
        <v>56</v>
      </c>
      <c r="D1666" s="5">
        <f t="shared" si="50"/>
        <v>18.45</v>
      </c>
      <c r="E1666">
        <v>20.260000000000002</v>
      </c>
      <c r="F1666" s="1789">
        <v>8.8999999999999996E-2</v>
      </c>
      <c r="G1666">
        <f t="shared" si="51"/>
        <v>18.45</v>
      </c>
    </row>
    <row r="1667" spans="1:7" ht="12.75" customHeight="1">
      <c r="A1667" s="3">
        <v>5330</v>
      </c>
      <c r="B1667" s="4" t="s">
        <v>1682</v>
      </c>
      <c r="C1667" s="3" t="s">
        <v>56</v>
      </c>
      <c r="D1667" s="5">
        <f t="shared" ref="D1667:D1730" si="52">G1667</f>
        <v>42.06</v>
      </c>
      <c r="E1667">
        <v>46.18</v>
      </c>
      <c r="F1667" s="1789">
        <v>8.8999999999999996E-2</v>
      </c>
      <c r="G1667">
        <f t="shared" ref="G1667:G1730" si="53">TRUNC((1-F1667)*E1667,2)</f>
        <v>42.06</v>
      </c>
    </row>
    <row r="1668" spans="1:7" ht="12.75" customHeight="1">
      <c r="A1668" s="3">
        <v>44532</v>
      </c>
      <c r="B1668" s="4" t="s">
        <v>1683</v>
      </c>
      <c r="C1668" s="3" t="s">
        <v>6</v>
      </c>
      <c r="D1668" s="5">
        <f t="shared" si="52"/>
        <v>46.15</v>
      </c>
      <c r="E1668">
        <v>50.66</v>
      </c>
      <c r="F1668" s="1789">
        <v>8.8999999999999996E-2</v>
      </c>
      <c r="G1668">
        <f t="shared" si="53"/>
        <v>46.15</v>
      </c>
    </row>
    <row r="1669" spans="1:7" ht="12.75" customHeight="1">
      <c r="A1669" s="3">
        <v>44531</v>
      </c>
      <c r="B1669" s="4" t="s">
        <v>1684</v>
      </c>
      <c r="C1669" s="3" t="s">
        <v>6</v>
      </c>
      <c r="D1669" s="5">
        <f t="shared" si="52"/>
        <v>146.69</v>
      </c>
      <c r="E1669">
        <v>161.03</v>
      </c>
      <c r="F1669" s="1789">
        <v>8.8999999999999996E-2</v>
      </c>
      <c r="G1669">
        <f t="shared" si="53"/>
        <v>146.69</v>
      </c>
    </row>
    <row r="1670" spans="1:7" ht="12.75" customHeight="1">
      <c r="A1670" s="3">
        <v>38140</v>
      </c>
      <c r="B1670" s="4" t="s">
        <v>1685</v>
      </c>
      <c r="C1670" s="3" t="s">
        <v>6</v>
      </c>
      <c r="D1670" s="5">
        <f t="shared" si="52"/>
        <v>35.57</v>
      </c>
      <c r="E1670">
        <v>39.049999999999997</v>
      </c>
      <c r="F1670" s="1789">
        <v>8.8999999999999996E-2</v>
      </c>
      <c r="G1670">
        <f t="shared" si="53"/>
        <v>35.57</v>
      </c>
    </row>
    <row r="1671" spans="1:7" ht="12.75" customHeight="1">
      <c r="A1671" s="3">
        <v>13887</v>
      </c>
      <c r="B1671" s="4" t="s">
        <v>1686</v>
      </c>
      <c r="C1671" s="3" t="s">
        <v>6</v>
      </c>
      <c r="D1671" s="5">
        <f t="shared" si="52"/>
        <v>842.24</v>
      </c>
      <c r="E1671">
        <v>924.53</v>
      </c>
      <c r="F1671" s="1789">
        <v>8.8999999999999996E-2</v>
      </c>
      <c r="G1671">
        <f t="shared" si="53"/>
        <v>842.24</v>
      </c>
    </row>
    <row r="1672" spans="1:7" ht="12.75" customHeight="1">
      <c r="A1672" s="3">
        <v>44495</v>
      </c>
      <c r="B1672" s="4" t="s">
        <v>1687</v>
      </c>
      <c r="C1672" s="3" t="s">
        <v>6</v>
      </c>
      <c r="D1672" s="5">
        <f t="shared" si="52"/>
        <v>37.49</v>
      </c>
      <c r="E1672">
        <v>41.16</v>
      </c>
      <c r="F1672" s="1789">
        <v>8.8999999999999996E-2</v>
      </c>
      <c r="G1672">
        <f t="shared" si="53"/>
        <v>37.49</v>
      </c>
    </row>
    <row r="1673" spans="1:7" ht="12.75" customHeight="1">
      <c r="A1673" s="3">
        <v>44533</v>
      </c>
      <c r="B1673" s="4" t="s">
        <v>1688</v>
      </c>
      <c r="C1673" s="3" t="s">
        <v>6</v>
      </c>
      <c r="D1673" s="5">
        <f t="shared" si="52"/>
        <v>35.4</v>
      </c>
      <c r="E1673">
        <v>38.86</v>
      </c>
      <c r="F1673" s="1789">
        <v>8.8999999999999996E-2</v>
      </c>
      <c r="G1673">
        <f t="shared" si="53"/>
        <v>35.4</v>
      </c>
    </row>
    <row r="1674" spans="1:7" ht="12.75" customHeight="1">
      <c r="A1674" s="3">
        <v>44534</v>
      </c>
      <c r="B1674" s="4" t="s">
        <v>1689</v>
      </c>
      <c r="C1674" s="3" t="s">
        <v>6</v>
      </c>
      <c r="D1674" s="5">
        <f t="shared" si="52"/>
        <v>9.2200000000000006</v>
      </c>
      <c r="E1674">
        <v>10.130000000000001</v>
      </c>
      <c r="F1674" s="1789">
        <v>8.8999999999999996E-2</v>
      </c>
      <c r="G1674">
        <f t="shared" si="53"/>
        <v>9.2200000000000006</v>
      </c>
    </row>
    <row r="1675" spans="1:7" ht="12.75" customHeight="1">
      <c r="A1675" s="3">
        <v>34729</v>
      </c>
      <c r="B1675" s="4" t="s">
        <v>1690</v>
      </c>
      <c r="C1675" s="3" t="s">
        <v>6</v>
      </c>
      <c r="D1675" s="5">
        <f t="shared" si="52"/>
        <v>1071.54</v>
      </c>
      <c r="E1675">
        <v>1176.23</v>
      </c>
      <c r="F1675" s="1789">
        <v>8.8999999999999996E-2</v>
      </c>
      <c r="G1675">
        <f t="shared" si="53"/>
        <v>1071.54</v>
      </c>
    </row>
    <row r="1676" spans="1:7" ht="12.75" customHeight="1">
      <c r="A1676" s="3">
        <v>34734</v>
      </c>
      <c r="B1676" s="4" t="s">
        <v>1691</v>
      </c>
      <c r="C1676" s="3" t="s">
        <v>6</v>
      </c>
      <c r="D1676" s="5">
        <f t="shared" si="52"/>
        <v>1659.09</v>
      </c>
      <c r="E1676">
        <v>1821.18</v>
      </c>
      <c r="F1676" s="1789">
        <v>8.8999999999999996E-2</v>
      </c>
      <c r="G1676">
        <f t="shared" si="53"/>
        <v>1659.09</v>
      </c>
    </row>
    <row r="1677" spans="1:7" ht="12.75" customHeight="1">
      <c r="A1677" s="3">
        <v>34738</v>
      </c>
      <c r="B1677" s="4" t="s">
        <v>1692</v>
      </c>
      <c r="C1677" s="3" t="s">
        <v>6</v>
      </c>
      <c r="D1677" s="5">
        <f t="shared" si="52"/>
        <v>3876.15</v>
      </c>
      <c r="E1677">
        <v>4254.84</v>
      </c>
      <c r="F1677" s="1789">
        <v>8.8999999999999996E-2</v>
      </c>
      <c r="G1677">
        <f t="shared" si="53"/>
        <v>3876.15</v>
      </c>
    </row>
    <row r="1678" spans="1:7" ht="12.75" customHeight="1">
      <c r="A1678" s="3">
        <v>34623</v>
      </c>
      <c r="B1678" s="4" t="s">
        <v>1693</v>
      </c>
      <c r="C1678" s="3" t="s">
        <v>6</v>
      </c>
      <c r="D1678" s="5">
        <f t="shared" si="52"/>
        <v>46.45</v>
      </c>
      <c r="E1678">
        <v>50.99</v>
      </c>
      <c r="F1678" s="1789">
        <v>8.8999999999999996E-2</v>
      </c>
      <c r="G1678">
        <f t="shared" si="53"/>
        <v>46.45</v>
      </c>
    </row>
    <row r="1679" spans="1:7" ht="12.75" customHeight="1">
      <c r="A1679" s="3">
        <v>34616</v>
      </c>
      <c r="B1679" s="4" t="s">
        <v>1694</v>
      </c>
      <c r="C1679" s="3" t="s">
        <v>6</v>
      </c>
      <c r="D1679" s="5">
        <f t="shared" si="52"/>
        <v>47.17</v>
      </c>
      <c r="E1679">
        <v>51.78</v>
      </c>
      <c r="F1679" s="1789">
        <v>8.8999999999999996E-2</v>
      </c>
      <c r="G1679">
        <f t="shared" si="53"/>
        <v>47.17</v>
      </c>
    </row>
    <row r="1680" spans="1:7" ht="12.75" customHeight="1">
      <c r="A1680" s="3">
        <v>34628</v>
      </c>
      <c r="B1680" s="4" t="s">
        <v>1695</v>
      </c>
      <c r="C1680" s="3" t="s">
        <v>6</v>
      </c>
      <c r="D1680" s="5">
        <f t="shared" si="52"/>
        <v>66.53</v>
      </c>
      <c r="E1680">
        <v>73.03</v>
      </c>
      <c r="F1680" s="1789">
        <v>8.8999999999999996E-2</v>
      </c>
      <c r="G1680">
        <f t="shared" si="53"/>
        <v>66.53</v>
      </c>
    </row>
    <row r="1681" spans="1:7" ht="12.75" customHeight="1">
      <c r="A1681" s="3">
        <v>34686</v>
      </c>
      <c r="B1681" s="4" t="s">
        <v>1696</v>
      </c>
      <c r="C1681" s="3" t="s">
        <v>6</v>
      </c>
      <c r="D1681" s="5">
        <f t="shared" si="52"/>
        <v>12.19</v>
      </c>
      <c r="E1681">
        <v>13.39</v>
      </c>
      <c r="F1681" s="1789">
        <v>8.8999999999999996E-2</v>
      </c>
      <c r="G1681">
        <f t="shared" si="53"/>
        <v>12.19</v>
      </c>
    </row>
    <row r="1682" spans="1:7" ht="12.75" customHeight="1">
      <c r="A1682" s="3">
        <v>34653</v>
      </c>
      <c r="B1682" s="4" t="s">
        <v>1697</v>
      </c>
      <c r="C1682" s="3" t="s">
        <v>6</v>
      </c>
      <c r="D1682" s="5">
        <f t="shared" si="52"/>
        <v>8.2200000000000006</v>
      </c>
      <c r="E1682">
        <v>9.0299999999999994</v>
      </c>
      <c r="F1682" s="1789">
        <v>8.8999999999999996E-2</v>
      </c>
      <c r="G1682">
        <f t="shared" si="53"/>
        <v>8.2200000000000006</v>
      </c>
    </row>
    <row r="1683" spans="1:7" ht="12.75" customHeight="1">
      <c r="A1683" s="3">
        <v>34688</v>
      </c>
      <c r="B1683" s="4" t="s">
        <v>1698</v>
      </c>
      <c r="C1683" s="3" t="s">
        <v>6</v>
      </c>
      <c r="D1683" s="5">
        <f t="shared" si="52"/>
        <v>14.91</v>
      </c>
      <c r="E1683">
        <v>16.37</v>
      </c>
      <c r="F1683" s="1789">
        <v>8.8999999999999996E-2</v>
      </c>
      <c r="G1683">
        <f t="shared" si="53"/>
        <v>14.91</v>
      </c>
    </row>
    <row r="1684" spans="1:7" ht="12.75" customHeight="1">
      <c r="A1684" s="3">
        <v>34709</v>
      </c>
      <c r="B1684" s="4" t="s">
        <v>1699</v>
      </c>
      <c r="C1684" s="3" t="s">
        <v>6</v>
      </c>
      <c r="D1684" s="5">
        <f t="shared" si="52"/>
        <v>57.79</v>
      </c>
      <c r="E1684">
        <v>63.44</v>
      </c>
      <c r="F1684" s="1789">
        <v>8.8999999999999996E-2</v>
      </c>
      <c r="G1684">
        <f t="shared" si="53"/>
        <v>57.79</v>
      </c>
    </row>
    <row r="1685" spans="1:7" ht="12.75" customHeight="1">
      <c r="A1685" s="3">
        <v>34714</v>
      </c>
      <c r="B1685" s="4" t="s">
        <v>1700</v>
      </c>
      <c r="C1685" s="3" t="s">
        <v>6</v>
      </c>
      <c r="D1685" s="5">
        <f t="shared" si="52"/>
        <v>69.02</v>
      </c>
      <c r="E1685">
        <v>75.77</v>
      </c>
      <c r="F1685" s="1789">
        <v>8.8999999999999996E-2</v>
      </c>
      <c r="G1685">
        <f t="shared" si="53"/>
        <v>69.02</v>
      </c>
    </row>
    <row r="1686" spans="1:7" ht="12.75" customHeight="1">
      <c r="A1686" s="3">
        <v>2391</v>
      </c>
      <c r="B1686" s="4" t="s">
        <v>1701</v>
      </c>
      <c r="C1686" s="3" t="s">
        <v>6</v>
      </c>
      <c r="D1686" s="5">
        <f t="shared" si="52"/>
        <v>315.26</v>
      </c>
      <c r="E1686">
        <v>346.06</v>
      </c>
      <c r="F1686" s="1789">
        <v>8.8999999999999996E-2</v>
      </c>
      <c r="G1686">
        <f t="shared" si="53"/>
        <v>315.26</v>
      </c>
    </row>
    <row r="1687" spans="1:7" ht="12.75" customHeight="1">
      <c r="A1687" s="3">
        <v>2374</v>
      </c>
      <c r="B1687" s="4" t="s">
        <v>1702</v>
      </c>
      <c r="C1687" s="3" t="s">
        <v>6</v>
      </c>
      <c r="D1687" s="5">
        <f t="shared" si="52"/>
        <v>357.64</v>
      </c>
      <c r="E1687">
        <v>392.59</v>
      </c>
      <c r="F1687" s="1789">
        <v>8.8999999999999996E-2</v>
      </c>
      <c r="G1687">
        <f t="shared" si="53"/>
        <v>357.64</v>
      </c>
    </row>
    <row r="1688" spans="1:7" ht="12.75" customHeight="1">
      <c r="A1688" s="3">
        <v>2377</v>
      </c>
      <c r="B1688" s="4" t="s">
        <v>1703</v>
      </c>
      <c r="C1688" s="3" t="s">
        <v>6</v>
      </c>
      <c r="D1688" s="5">
        <f t="shared" si="52"/>
        <v>501.92</v>
      </c>
      <c r="E1688">
        <v>550.96</v>
      </c>
      <c r="F1688" s="1789">
        <v>8.8999999999999996E-2</v>
      </c>
      <c r="G1688">
        <f t="shared" si="53"/>
        <v>501.92</v>
      </c>
    </row>
    <row r="1689" spans="1:7" ht="12.75" customHeight="1">
      <c r="A1689" s="3">
        <v>2393</v>
      </c>
      <c r="B1689" s="4" t="s">
        <v>1704</v>
      </c>
      <c r="C1689" s="3" t="s">
        <v>6</v>
      </c>
      <c r="D1689" s="5">
        <f t="shared" si="52"/>
        <v>840.54</v>
      </c>
      <c r="E1689">
        <v>922.66</v>
      </c>
      <c r="F1689" s="1789">
        <v>8.8999999999999996E-2</v>
      </c>
      <c r="G1689">
        <f t="shared" si="53"/>
        <v>840.54</v>
      </c>
    </row>
    <row r="1690" spans="1:7" ht="12.75" customHeight="1">
      <c r="A1690" s="3">
        <v>34705</v>
      </c>
      <c r="B1690" s="4" t="s">
        <v>1705</v>
      </c>
      <c r="C1690" s="3" t="s">
        <v>6</v>
      </c>
      <c r="D1690" s="5">
        <f t="shared" si="52"/>
        <v>735.17</v>
      </c>
      <c r="E1690">
        <v>807</v>
      </c>
      <c r="F1690" s="1789">
        <v>8.8999999999999996E-2</v>
      </c>
      <c r="G1690">
        <f t="shared" si="53"/>
        <v>735.17</v>
      </c>
    </row>
    <row r="1691" spans="1:7" ht="12.75" customHeight="1">
      <c r="A1691" s="3">
        <v>34707</v>
      </c>
      <c r="B1691" s="4" t="s">
        <v>1706</v>
      </c>
      <c r="C1691" s="3" t="s">
        <v>6</v>
      </c>
      <c r="D1691" s="5">
        <f t="shared" si="52"/>
        <v>1362.29</v>
      </c>
      <c r="E1691">
        <v>1495.38</v>
      </c>
      <c r="F1691" s="1789">
        <v>8.8999999999999996E-2</v>
      </c>
      <c r="G1691">
        <f t="shared" si="53"/>
        <v>1362.29</v>
      </c>
    </row>
    <row r="1692" spans="1:7" ht="12.75" customHeight="1">
      <c r="A1692" s="3">
        <v>34544</v>
      </c>
      <c r="B1692" s="4" t="s">
        <v>1707</v>
      </c>
      <c r="C1692" s="3" t="s">
        <v>6</v>
      </c>
      <c r="D1692" s="5">
        <f t="shared" si="52"/>
        <v>1362.15</v>
      </c>
      <c r="E1692">
        <v>1495.23</v>
      </c>
      <c r="F1692" s="1789">
        <v>8.8999999999999996E-2</v>
      </c>
      <c r="G1692">
        <f t="shared" si="53"/>
        <v>1362.15</v>
      </c>
    </row>
    <row r="1693" spans="1:7" ht="12.75" customHeight="1">
      <c r="A1693" s="3">
        <v>2378</v>
      </c>
      <c r="B1693" s="4" t="s">
        <v>1708</v>
      </c>
      <c r="C1693" s="3" t="s">
        <v>6</v>
      </c>
      <c r="D1693" s="5">
        <f t="shared" si="52"/>
        <v>1154.5999999999999</v>
      </c>
      <c r="E1693">
        <v>1267.4000000000001</v>
      </c>
      <c r="F1693" s="1789">
        <v>8.8999999999999996E-2</v>
      </c>
      <c r="G1693">
        <f t="shared" si="53"/>
        <v>1154.5999999999999</v>
      </c>
    </row>
    <row r="1694" spans="1:7" ht="12.75" customHeight="1">
      <c r="A1694" s="3">
        <v>2379</v>
      </c>
      <c r="B1694" s="4" t="s">
        <v>1709</v>
      </c>
      <c r="C1694" s="3" t="s">
        <v>6</v>
      </c>
      <c r="D1694" s="5">
        <f t="shared" si="52"/>
        <v>1154.5999999999999</v>
      </c>
      <c r="E1694">
        <v>1267.4000000000001</v>
      </c>
      <c r="F1694" s="1789">
        <v>8.8999999999999996E-2</v>
      </c>
      <c r="G1694">
        <f t="shared" si="53"/>
        <v>1154.5999999999999</v>
      </c>
    </row>
    <row r="1695" spans="1:7" ht="12.75" customHeight="1">
      <c r="A1695" s="3">
        <v>2376</v>
      </c>
      <c r="B1695" s="4" t="s">
        <v>1710</v>
      </c>
      <c r="C1695" s="3" t="s">
        <v>6</v>
      </c>
      <c r="D1695" s="5">
        <f t="shared" si="52"/>
        <v>1901.61</v>
      </c>
      <c r="E1695">
        <v>2087.39</v>
      </c>
      <c r="F1695" s="1789">
        <v>8.8999999999999996E-2</v>
      </c>
      <c r="G1695">
        <f t="shared" si="53"/>
        <v>1901.61</v>
      </c>
    </row>
    <row r="1696" spans="1:7" ht="12.75" customHeight="1">
      <c r="A1696" s="3">
        <v>2394</v>
      </c>
      <c r="B1696" s="4" t="s">
        <v>1711</v>
      </c>
      <c r="C1696" s="3" t="s">
        <v>6</v>
      </c>
      <c r="D1696" s="5">
        <f t="shared" si="52"/>
        <v>4065.31</v>
      </c>
      <c r="E1696">
        <v>4462.47</v>
      </c>
      <c r="F1696" s="1789">
        <v>8.8999999999999996E-2</v>
      </c>
      <c r="G1696">
        <f t="shared" si="53"/>
        <v>4065.31</v>
      </c>
    </row>
    <row r="1697" spans="1:7" ht="12.75" customHeight="1">
      <c r="A1697" s="3">
        <v>2388</v>
      </c>
      <c r="B1697" s="4" t="s">
        <v>1712</v>
      </c>
      <c r="C1697" s="3" t="s">
        <v>6</v>
      </c>
      <c r="D1697" s="5">
        <f t="shared" si="52"/>
        <v>57.36</v>
      </c>
      <c r="E1697">
        <v>62.97</v>
      </c>
      <c r="F1697" s="1789">
        <v>8.8999999999999996E-2</v>
      </c>
      <c r="G1697">
        <f t="shared" si="53"/>
        <v>57.36</v>
      </c>
    </row>
    <row r="1698" spans="1:7" ht="12.75" customHeight="1">
      <c r="A1698" s="3">
        <v>34606</v>
      </c>
      <c r="B1698" s="4" t="s">
        <v>1713</v>
      </c>
      <c r="C1698" s="3" t="s">
        <v>6</v>
      </c>
      <c r="D1698" s="5">
        <f t="shared" si="52"/>
        <v>87.99</v>
      </c>
      <c r="E1698">
        <v>96.59</v>
      </c>
      <c r="F1698" s="1789">
        <v>8.8999999999999996E-2</v>
      </c>
      <c r="G1698">
        <f t="shared" si="53"/>
        <v>87.99</v>
      </c>
    </row>
    <row r="1699" spans="1:7" ht="12.75" customHeight="1">
      <c r="A1699" s="3">
        <v>34689</v>
      </c>
      <c r="B1699" s="4" t="s">
        <v>1714</v>
      </c>
      <c r="C1699" s="3" t="s">
        <v>6</v>
      </c>
      <c r="D1699" s="5">
        <f t="shared" si="52"/>
        <v>28.01</v>
      </c>
      <c r="E1699">
        <v>30.75</v>
      </c>
      <c r="F1699" s="1789">
        <v>8.8999999999999996E-2</v>
      </c>
      <c r="G1699">
        <f t="shared" si="53"/>
        <v>28.01</v>
      </c>
    </row>
    <row r="1700" spans="1:7" ht="12.75" customHeight="1">
      <c r="A1700" s="3">
        <v>2370</v>
      </c>
      <c r="B1700" s="4" t="s">
        <v>1715</v>
      </c>
      <c r="C1700" s="3" t="s">
        <v>6</v>
      </c>
      <c r="D1700" s="5">
        <f t="shared" si="52"/>
        <v>10.65</v>
      </c>
      <c r="E1700">
        <v>11.7</v>
      </c>
      <c r="F1700" s="1789">
        <v>8.8999999999999996E-2</v>
      </c>
      <c r="G1700">
        <f t="shared" si="53"/>
        <v>10.65</v>
      </c>
    </row>
    <row r="1701" spans="1:7" ht="12.75" customHeight="1">
      <c r="A1701" s="3">
        <v>2386</v>
      </c>
      <c r="B1701" s="4" t="s">
        <v>1716</v>
      </c>
      <c r="C1701" s="3" t="s">
        <v>6</v>
      </c>
      <c r="D1701" s="5">
        <f t="shared" si="52"/>
        <v>17.87</v>
      </c>
      <c r="E1701">
        <v>19.62</v>
      </c>
      <c r="F1701" s="1789">
        <v>8.8999999999999996E-2</v>
      </c>
      <c r="G1701">
        <f t="shared" si="53"/>
        <v>17.87</v>
      </c>
    </row>
    <row r="1702" spans="1:7" ht="12.75" customHeight="1">
      <c r="A1702" s="3">
        <v>2392</v>
      </c>
      <c r="B1702" s="4" t="s">
        <v>1717</v>
      </c>
      <c r="C1702" s="3" t="s">
        <v>6</v>
      </c>
      <c r="D1702" s="5">
        <f t="shared" si="52"/>
        <v>71.540000000000006</v>
      </c>
      <c r="E1702">
        <v>78.540000000000006</v>
      </c>
      <c r="F1702" s="1789">
        <v>8.8999999999999996E-2</v>
      </c>
      <c r="G1702">
        <f t="shared" si="53"/>
        <v>71.540000000000006</v>
      </c>
    </row>
    <row r="1703" spans="1:7" ht="12.75" customHeight="1">
      <c r="A1703" s="3">
        <v>2373</v>
      </c>
      <c r="B1703" s="4" t="s">
        <v>1718</v>
      </c>
      <c r="C1703" s="3" t="s">
        <v>6</v>
      </c>
      <c r="D1703" s="5">
        <f t="shared" si="52"/>
        <v>100.8</v>
      </c>
      <c r="E1703">
        <v>110.65</v>
      </c>
      <c r="F1703" s="1789">
        <v>8.8999999999999996E-2</v>
      </c>
      <c r="G1703">
        <f t="shared" si="53"/>
        <v>100.8</v>
      </c>
    </row>
    <row r="1704" spans="1:7" ht="12.75" customHeight="1">
      <c r="A1704" s="3">
        <v>39465</v>
      </c>
      <c r="B1704" s="4" t="s">
        <v>1719</v>
      </c>
      <c r="C1704" s="3" t="s">
        <v>6</v>
      </c>
      <c r="D1704" s="5">
        <f t="shared" si="52"/>
        <v>61.58</v>
      </c>
      <c r="E1704">
        <v>67.599999999999994</v>
      </c>
      <c r="F1704" s="1789">
        <v>8.8999999999999996E-2</v>
      </c>
      <c r="G1704">
        <f t="shared" si="53"/>
        <v>61.58</v>
      </c>
    </row>
    <row r="1705" spans="1:7" ht="12.75" customHeight="1">
      <c r="A1705" s="3">
        <v>39466</v>
      </c>
      <c r="B1705" s="4" t="s">
        <v>1720</v>
      </c>
      <c r="C1705" s="3" t="s">
        <v>6</v>
      </c>
      <c r="D1705" s="5">
        <f t="shared" si="52"/>
        <v>69.28</v>
      </c>
      <c r="E1705">
        <v>76.05</v>
      </c>
      <c r="F1705" s="1789">
        <v>8.8999999999999996E-2</v>
      </c>
      <c r="G1705">
        <f t="shared" si="53"/>
        <v>69.28</v>
      </c>
    </row>
    <row r="1706" spans="1:7" ht="12.75" customHeight="1">
      <c r="A1706" s="3">
        <v>39467</v>
      </c>
      <c r="B1706" s="4" t="s">
        <v>1721</v>
      </c>
      <c r="C1706" s="3" t="s">
        <v>6</v>
      </c>
      <c r="D1706" s="5">
        <f t="shared" si="52"/>
        <v>88.61</v>
      </c>
      <c r="E1706">
        <v>97.27</v>
      </c>
      <c r="F1706" s="1789">
        <v>8.8999999999999996E-2</v>
      </c>
      <c r="G1706">
        <f t="shared" si="53"/>
        <v>88.61</v>
      </c>
    </row>
    <row r="1707" spans="1:7" ht="12.75" customHeight="1">
      <c r="A1707" s="3">
        <v>39468</v>
      </c>
      <c r="B1707" s="4" t="s">
        <v>1722</v>
      </c>
      <c r="C1707" s="3" t="s">
        <v>6</v>
      </c>
      <c r="D1707" s="5">
        <f t="shared" si="52"/>
        <v>157.51</v>
      </c>
      <c r="E1707">
        <v>172.9</v>
      </c>
      <c r="F1707" s="1789">
        <v>8.8999999999999996E-2</v>
      </c>
      <c r="G1707">
        <f t="shared" si="53"/>
        <v>157.51</v>
      </c>
    </row>
    <row r="1708" spans="1:7" ht="12.75" customHeight="1">
      <c r="A1708" s="3">
        <v>39469</v>
      </c>
      <c r="B1708" s="4" t="s">
        <v>1723</v>
      </c>
      <c r="C1708" s="3" t="s">
        <v>6</v>
      </c>
      <c r="D1708" s="5">
        <f t="shared" si="52"/>
        <v>64.16</v>
      </c>
      <c r="E1708">
        <v>70.430000000000007</v>
      </c>
      <c r="F1708" s="1789">
        <v>8.8999999999999996E-2</v>
      </c>
      <c r="G1708">
        <f t="shared" si="53"/>
        <v>64.16</v>
      </c>
    </row>
    <row r="1709" spans="1:7" ht="12.75" customHeight="1">
      <c r="A1709" s="3">
        <v>39470</v>
      </c>
      <c r="B1709" s="4" t="s">
        <v>1724</v>
      </c>
      <c r="C1709" s="3" t="s">
        <v>6</v>
      </c>
      <c r="D1709" s="5">
        <f t="shared" si="52"/>
        <v>78.83</v>
      </c>
      <c r="E1709">
        <v>86.54</v>
      </c>
      <c r="F1709" s="1789">
        <v>8.8999999999999996E-2</v>
      </c>
      <c r="G1709">
        <f t="shared" si="53"/>
        <v>78.83</v>
      </c>
    </row>
    <row r="1710" spans="1:7" ht="12.75" customHeight="1">
      <c r="A1710" s="3">
        <v>39471</v>
      </c>
      <c r="B1710" s="4" t="s">
        <v>1725</v>
      </c>
      <c r="C1710" s="3" t="s">
        <v>6</v>
      </c>
      <c r="D1710" s="5">
        <f t="shared" si="52"/>
        <v>94.74</v>
      </c>
      <c r="E1710">
        <v>104</v>
      </c>
      <c r="F1710" s="1789">
        <v>8.8999999999999996E-2</v>
      </c>
      <c r="G1710">
        <f t="shared" si="53"/>
        <v>94.74</v>
      </c>
    </row>
    <row r="1711" spans="1:7" ht="12.75" customHeight="1">
      <c r="A1711" s="3">
        <v>39472</v>
      </c>
      <c r="B1711" s="4" t="s">
        <v>1726</v>
      </c>
      <c r="C1711" s="3" t="s">
        <v>6</v>
      </c>
      <c r="D1711" s="5">
        <f t="shared" si="52"/>
        <v>164.6</v>
      </c>
      <c r="E1711">
        <v>180.69</v>
      </c>
      <c r="F1711" s="1789">
        <v>8.8999999999999996E-2</v>
      </c>
      <c r="G1711">
        <f t="shared" si="53"/>
        <v>164.6</v>
      </c>
    </row>
    <row r="1712" spans="1:7" ht="12.75" customHeight="1">
      <c r="A1712" s="3">
        <v>39473</v>
      </c>
      <c r="B1712" s="4" t="s">
        <v>1727</v>
      </c>
      <c r="C1712" s="3" t="s">
        <v>6</v>
      </c>
      <c r="D1712" s="5">
        <f t="shared" si="52"/>
        <v>106.34</v>
      </c>
      <c r="E1712">
        <v>116.73</v>
      </c>
      <c r="F1712" s="1789">
        <v>8.8999999999999996E-2</v>
      </c>
      <c r="G1712">
        <f t="shared" si="53"/>
        <v>106.34</v>
      </c>
    </row>
    <row r="1713" spans="1:7" ht="12.75" customHeight="1">
      <c r="A1713" s="3">
        <v>39474</v>
      </c>
      <c r="B1713" s="4" t="s">
        <v>1728</v>
      </c>
      <c r="C1713" s="3" t="s">
        <v>6</v>
      </c>
      <c r="D1713" s="5">
        <f t="shared" si="52"/>
        <v>113.36</v>
      </c>
      <c r="E1713">
        <v>124.44</v>
      </c>
      <c r="F1713" s="1789">
        <v>8.8999999999999996E-2</v>
      </c>
      <c r="G1713">
        <f t="shared" si="53"/>
        <v>113.36</v>
      </c>
    </row>
    <row r="1714" spans="1:7" ht="12.75" customHeight="1">
      <c r="A1714" s="3">
        <v>39475</v>
      </c>
      <c r="B1714" s="4" t="s">
        <v>1729</v>
      </c>
      <c r="C1714" s="3" t="s">
        <v>6</v>
      </c>
      <c r="D1714" s="5">
        <f t="shared" si="52"/>
        <v>128.62</v>
      </c>
      <c r="E1714">
        <v>141.19</v>
      </c>
      <c r="F1714" s="1789">
        <v>8.8999999999999996E-2</v>
      </c>
      <c r="G1714">
        <f t="shared" si="53"/>
        <v>128.62</v>
      </c>
    </row>
    <row r="1715" spans="1:7" ht="12.75" customHeight="1">
      <c r="A1715" s="3">
        <v>39476</v>
      </c>
      <c r="B1715" s="4" t="s">
        <v>1730</v>
      </c>
      <c r="C1715" s="3" t="s">
        <v>6</v>
      </c>
      <c r="D1715" s="5">
        <f t="shared" si="52"/>
        <v>242.12</v>
      </c>
      <c r="E1715">
        <v>265.77999999999997</v>
      </c>
      <c r="F1715" s="1789">
        <v>8.8999999999999996E-2</v>
      </c>
      <c r="G1715">
        <f t="shared" si="53"/>
        <v>242.12</v>
      </c>
    </row>
    <row r="1716" spans="1:7" ht="12.75" customHeight="1">
      <c r="A1716" s="3">
        <v>39477</v>
      </c>
      <c r="B1716" s="4" t="s">
        <v>1731</v>
      </c>
      <c r="C1716" s="3" t="s">
        <v>6</v>
      </c>
      <c r="D1716" s="5">
        <f t="shared" si="52"/>
        <v>118.63</v>
      </c>
      <c r="E1716">
        <v>130.22</v>
      </c>
      <c r="F1716" s="1789">
        <v>8.8999999999999996E-2</v>
      </c>
      <c r="G1716">
        <f t="shared" si="53"/>
        <v>118.63</v>
      </c>
    </row>
    <row r="1717" spans="1:7" ht="12.75" customHeight="1">
      <c r="A1717" s="3">
        <v>39478</v>
      </c>
      <c r="B1717" s="4" t="s">
        <v>1732</v>
      </c>
      <c r="C1717" s="3" t="s">
        <v>6</v>
      </c>
      <c r="D1717" s="5">
        <f t="shared" si="52"/>
        <v>122.3</v>
      </c>
      <c r="E1717">
        <v>134.25</v>
      </c>
      <c r="F1717" s="1789">
        <v>8.8999999999999996E-2</v>
      </c>
      <c r="G1717">
        <f t="shared" si="53"/>
        <v>122.3</v>
      </c>
    </row>
    <row r="1718" spans="1:7" ht="12.75" customHeight="1">
      <c r="A1718" s="3">
        <v>39479</v>
      </c>
      <c r="B1718" s="4" t="s">
        <v>1733</v>
      </c>
      <c r="C1718" s="3" t="s">
        <v>6</v>
      </c>
      <c r="D1718" s="5">
        <f t="shared" si="52"/>
        <v>144.1</v>
      </c>
      <c r="E1718">
        <v>158.18</v>
      </c>
      <c r="F1718" s="1789">
        <v>8.8999999999999996E-2</v>
      </c>
      <c r="G1718">
        <f t="shared" si="53"/>
        <v>144.1</v>
      </c>
    </row>
    <row r="1719" spans="1:7" ht="12.75" customHeight="1">
      <c r="A1719" s="3">
        <v>39480</v>
      </c>
      <c r="B1719" s="4" t="s">
        <v>1734</v>
      </c>
      <c r="C1719" s="3" t="s">
        <v>6</v>
      </c>
      <c r="D1719" s="5">
        <f t="shared" si="52"/>
        <v>297.35000000000002</v>
      </c>
      <c r="E1719">
        <v>326.39999999999998</v>
      </c>
      <c r="F1719" s="1789">
        <v>8.8999999999999996E-2</v>
      </c>
      <c r="G1719">
        <f t="shared" si="53"/>
        <v>297.35000000000002</v>
      </c>
    </row>
    <row r="1720" spans="1:7" ht="12.75" customHeight="1">
      <c r="A1720" s="3">
        <v>39459</v>
      </c>
      <c r="B1720" s="4" t="s">
        <v>1735</v>
      </c>
      <c r="C1720" s="3" t="s">
        <v>6</v>
      </c>
      <c r="D1720" s="5">
        <f t="shared" si="52"/>
        <v>252.37</v>
      </c>
      <c r="E1720">
        <v>277.02999999999997</v>
      </c>
      <c r="F1720" s="1789">
        <v>8.8999999999999996E-2</v>
      </c>
      <c r="G1720">
        <f t="shared" si="53"/>
        <v>252.37</v>
      </c>
    </row>
    <row r="1721" spans="1:7" ht="12.75" customHeight="1">
      <c r="A1721" s="3">
        <v>39445</v>
      </c>
      <c r="B1721" s="4" t="s">
        <v>1736</v>
      </c>
      <c r="C1721" s="3" t="s">
        <v>6</v>
      </c>
      <c r="D1721" s="5">
        <f t="shared" si="52"/>
        <v>126.72</v>
      </c>
      <c r="E1721">
        <v>139.1</v>
      </c>
      <c r="F1721" s="1789">
        <v>8.8999999999999996E-2</v>
      </c>
      <c r="G1721">
        <f t="shared" si="53"/>
        <v>126.72</v>
      </c>
    </row>
    <row r="1722" spans="1:7" ht="12.75" customHeight="1">
      <c r="A1722" s="3">
        <v>39446</v>
      </c>
      <c r="B1722" s="4" t="s">
        <v>1737</v>
      </c>
      <c r="C1722" s="3" t="s">
        <v>6</v>
      </c>
      <c r="D1722" s="5">
        <f t="shared" si="52"/>
        <v>128.97</v>
      </c>
      <c r="E1722">
        <v>141.57</v>
      </c>
      <c r="F1722" s="1789">
        <v>8.8999999999999996E-2</v>
      </c>
      <c r="G1722">
        <f t="shared" si="53"/>
        <v>128.97</v>
      </c>
    </row>
    <row r="1723" spans="1:7" ht="12.75" customHeight="1">
      <c r="A1723" s="3">
        <v>39447</v>
      </c>
      <c r="B1723" s="4" t="s">
        <v>1738</v>
      </c>
      <c r="C1723" s="3" t="s">
        <v>6</v>
      </c>
      <c r="D1723" s="5">
        <f t="shared" si="52"/>
        <v>137.91</v>
      </c>
      <c r="E1723">
        <v>151.38999999999999</v>
      </c>
      <c r="F1723" s="1789">
        <v>8.8999999999999996E-2</v>
      </c>
      <c r="G1723">
        <f t="shared" si="53"/>
        <v>137.91</v>
      </c>
    </row>
    <row r="1724" spans="1:7" ht="12.75" customHeight="1">
      <c r="A1724" s="3">
        <v>39448</v>
      </c>
      <c r="B1724" s="4" t="s">
        <v>1739</v>
      </c>
      <c r="C1724" s="3" t="s">
        <v>6</v>
      </c>
      <c r="D1724" s="5">
        <f t="shared" si="52"/>
        <v>235.18</v>
      </c>
      <c r="E1724">
        <v>258.16000000000003</v>
      </c>
      <c r="F1724" s="1789">
        <v>8.8999999999999996E-2</v>
      </c>
      <c r="G1724">
        <f t="shared" si="53"/>
        <v>235.18</v>
      </c>
    </row>
    <row r="1725" spans="1:7" ht="12.75" customHeight="1">
      <c r="A1725" s="3">
        <v>39450</v>
      </c>
      <c r="B1725" s="4" t="s">
        <v>1740</v>
      </c>
      <c r="C1725" s="3" t="s">
        <v>6</v>
      </c>
      <c r="D1725" s="5">
        <f t="shared" si="52"/>
        <v>143.47999999999999</v>
      </c>
      <c r="E1725">
        <v>157.5</v>
      </c>
      <c r="F1725" s="1789">
        <v>8.8999999999999996E-2</v>
      </c>
      <c r="G1725">
        <f t="shared" si="53"/>
        <v>143.47999999999999</v>
      </c>
    </row>
    <row r="1726" spans="1:7" ht="12.75" customHeight="1">
      <c r="A1726" s="3">
        <v>39451</v>
      </c>
      <c r="B1726" s="4" t="s">
        <v>1741</v>
      </c>
      <c r="C1726" s="3" t="s">
        <v>6</v>
      </c>
      <c r="D1726" s="5">
        <f t="shared" si="52"/>
        <v>156.5</v>
      </c>
      <c r="E1726">
        <v>171.79</v>
      </c>
      <c r="F1726" s="1789">
        <v>8.8999999999999996E-2</v>
      </c>
      <c r="G1726">
        <f t="shared" si="53"/>
        <v>156.5</v>
      </c>
    </row>
    <row r="1727" spans="1:7" ht="12.75" customHeight="1">
      <c r="A1727" s="3">
        <v>39452</v>
      </c>
      <c r="B1727" s="4" t="s">
        <v>1742</v>
      </c>
      <c r="C1727" s="3" t="s">
        <v>6</v>
      </c>
      <c r="D1727" s="5">
        <f t="shared" si="52"/>
        <v>157.43</v>
      </c>
      <c r="E1727">
        <v>172.82</v>
      </c>
      <c r="F1727" s="1789">
        <v>8.8999999999999996E-2</v>
      </c>
      <c r="G1727">
        <f t="shared" si="53"/>
        <v>157.43</v>
      </c>
    </row>
    <row r="1728" spans="1:7" ht="12.75" customHeight="1">
      <c r="A1728" s="3">
        <v>39523</v>
      </c>
      <c r="B1728" s="4" t="s">
        <v>1743</v>
      </c>
      <c r="C1728" s="3" t="s">
        <v>6</v>
      </c>
      <c r="D1728" s="5">
        <f t="shared" si="52"/>
        <v>263.47000000000003</v>
      </c>
      <c r="E1728">
        <v>289.20999999999998</v>
      </c>
      <c r="F1728" s="1789">
        <v>8.8999999999999996E-2</v>
      </c>
      <c r="G1728">
        <f t="shared" si="53"/>
        <v>263.47000000000003</v>
      </c>
    </row>
    <row r="1729" spans="1:7" ht="12.75" customHeight="1">
      <c r="A1729" s="3">
        <v>39449</v>
      </c>
      <c r="B1729" s="4" t="s">
        <v>1744</v>
      </c>
      <c r="C1729" s="3" t="s">
        <v>6</v>
      </c>
      <c r="D1729" s="5">
        <f t="shared" si="52"/>
        <v>291.77</v>
      </c>
      <c r="E1729">
        <v>320.27999999999997</v>
      </c>
      <c r="F1729" s="1789">
        <v>8.8999999999999996E-2</v>
      </c>
      <c r="G1729">
        <f t="shared" si="53"/>
        <v>291.77</v>
      </c>
    </row>
    <row r="1730" spans="1:7" ht="12.75" customHeight="1">
      <c r="A1730" s="3">
        <v>39455</v>
      </c>
      <c r="B1730" s="4" t="s">
        <v>1745</v>
      </c>
      <c r="C1730" s="3" t="s">
        <v>6</v>
      </c>
      <c r="D1730" s="5">
        <f t="shared" si="52"/>
        <v>144.37</v>
      </c>
      <c r="E1730">
        <v>158.47999999999999</v>
      </c>
      <c r="F1730" s="1789">
        <v>8.8999999999999996E-2</v>
      </c>
      <c r="G1730">
        <f t="shared" si="53"/>
        <v>144.37</v>
      </c>
    </row>
    <row r="1731" spans="1:7" ht="12.75" customHeight="1">
      <c r="A1731" s="3">
        <v>39456</v>
      </c>
      <c r="B1731" s="4" t="s">
        <v>1746</v>
      </c>
      <c r="C1731" s="3" t="s">
        <v>6</v>
      </c>
      <c r="D1731" s="5">
        <f t="shared" ref="D1731:D1794" si="54">G1731</f>
        <v>144.47999999999999</v>
      </c>
      <c r="E1731">
        <v>158.6</v>
      </c>
      <c r="F1731" s="1789">
        <v>8.8999999999999996E-2</v>
      </c>
      <c r="G1731">
        <f t="shared" ref="G1731:G1794" si="55">TRUNC((1-F1731)*E1731,2)</f>
        <v>144.47999999999999</v>
      </c>
    </row>
    <row r="1732" spans="1:7" ht="12.75" customHeight="1">
      <c r="A1732" s="3">
        <v>39457</v>
      </c>
      <c r="B1732" s="4" t="s">
        <v>1747</v>
      </c>
      <c r="C1732" s="3" t="s">
        <v>6</v>
      </c>
      <c r="D1732" s="5">
        <f t="shared" si="54"/>
        <v>157.51</v>
      </c>
      <c r="E1732">
        <v>172.9</v>
      </c>
      <c r="F1732" s="1789">
        <v>8.8999999999999996E-2</v>
      </c>
      <c r="G1732">
        <f t="shared" si="55"/>
        <v>157.51</v>
      </c>
    </row>
    <row r="1733" spans="1:7" ht="12.75" customHeight="1">
      <c r="A1733" s="3">
        <v>39458</v>
      </c>
      <c r="B1733" s="4" t="s">
        <v>1748</v>
      </c>
      <c r="C1733" s="3" t="s">
        <v>6</v>
      </c>
      <c r="D1733" s="5">
        <f t="shared" si="54"/>
        <v>293.92</v>
      </c>
      <c r="E1733">
        <v>322.64</v>
      </c>
      <c r="F1733" s="1789">
        <v>8.8999999999999996E-2</v>
      </c>
      <c r="G1733">
        <f t="shared" si="55"/>
        <v>293.92</v>
      </c>
    </row>
    <row r="1734" spans="1:7" ht="12.75" customHeight="1">
      <c r="A1734" s="3">
        <v>39464</v>
      </c>
      <c r="B1734" s="4" t="s">
        <v>1749</v>
      </c>
      <c r="C1734" s="3" t="s">
        <v>6</v>
      </c>
      <c r="D1734" s="5">
        <f t="shared" si="54"/>
        <v>472.64</v>
      </c>
      <c r="E1734">
        <v>518.82000000000005</v>
      </c>
      <c r="F1734" s="1789">
        <v>8.8999999999999996E-2</v>
      </c>
      <c r="G1734">
        <f t="shared" si="55"/>
        <v>472.64</v>
      </c>
    </row>
    <row r="1735" spans="1:7" ht="12.75" customHeight="1">
      <c r="A1735" s="3">
        <v>39460</v>
      </c>
      <c r="B1735" s="4" t="s">
        <v>1750</v>
      </c>
      <c r="C1735" s="3" t="s">
        <v>6</v>
      </c>
      <c r="D1735" s="5">
        <f t="shared" si="54"/>
        <v>179.26</v>
      </c>
      <c r="E1735">
        <v>196.78</v>
      </c>
      <c r="F1735" s="1789">
        <v>8.8999999999999996E-2</v>
      </c>
      <c r="G1735">
        <f t="shared" si="55"/>
        <v>179.26</v>
      </c>
    </row>
    <row r="1736" spans="1:7" ht="12.75" customHeight="1">
      <c r="A1736" s="3">
        <v>39461</v>
      </c>
      <c r="B1736" s="4" t="s">
        <v>1751</v>
      </c>
      <c r="C1736" s="3" t="s">
        <v>6</v>
      </c>
      <c r="D1736" s="5">
        <f t="shared" si="54"/>
        <v>210.05</v>
      </c>
      <c r="E1736">
        <v>230.58</v>
      </c>
      <c r="F1736" s="1789">
        <v>8.8999999999999996E-2</v>
      </c>
      <c r="G1736">
        <f t="shared" si="55"/>
        <v>210.05</v>
      </c>
    </row>
    <row r="1737" spans="1:7" ht="12.75" customHeight="1">
      <c r="A1737" s="3">
        <v>39462</v>
      </c>
      <c r="B1737" s="4" t="s">
        <v>1752</v>
      </c>
      <c r="C1737" s="3" t="s">
        <v>6</v>
      </c>
      <c r="D1737" s="5">
        <f t="shared" si="54"/>
        <v>202.44</v>
      </c>
      <c r="E1737">
        <v>222.22</v>
      </c>
      <c r="F1737" s="1789">
        <v>8.8999999999999996E-2</v>
      </c>
      <c r="G1737">
        <f t="shared" si="55"/>
        <v>202.44</v>
      </c>
    </row>
    <row r="1738" spans="1:7" ht="12.75" customHeight="1">
      <c r="A1738" s="3">
        <v>39463</v>
      </c>
      <c r="B1738" s="4" t="s">
        <v>1753</v>
      </c>
      <c r="C1738" s="3" t="s">
        <v>6</v>
      </c>
      <c r="D1738" s="5">
        <f t="shared" si="54"/>
        <v>468.98</v>
      </c>
      <c r="E1738">
        <v>514.79999999999995</v>
      </c>
      <c r="F1738" s="1789">
        <v>8.8999999999999996E-2</v>
      </c>
      <c r="G1738">
        <f t="shared" si="55"/>
        <v>468.98</v>
      </c>
    </row>
    <row r="1739" spans="1:7" ht="12.75" customHeight="1">
      <c r="A1739" s="3">
        <v>26039</v>
      </c>
      <c r="B1739" s="4" t="s">
        <v>1754</v>
      </c>
      <c r="C1739" s="3" t="s">
        <v>6</v>
      </c>
      <c r="D1739" s="5">
        <f t="shared" si="54"/>
        <v>356425.89</v>
      </c>
      <c r="E1739">
        <v>391246.87</v>
      </c>
      <c r="F1739" s="1789">
        <v>8.8999999999999996E-2</v>
      </c>
      <c r="G1739">
        <f t="shared" si="55"/>
        <v>356425.89</v>
      </c>
    </row>
    <row r="1740" spans="1:7" ht="12.75" customHeight="1">
      <c r="A1740" s="3">
        <v>2401</v>
      </c>
      <c r="B1740" s="4" t="s">
        <v>1755</v>
      </c>
      <c r="C1740" s="3" t="s">
        <v>6</v>
      </c>
      <c r="D1740" s="5">
        <f t="shared" si="54"/>
        <v>81981.899999999994</v>
      </c>
      <c r="E1740">
        <v>89991.11</v>
      </c>
      <c r="F1740" s="1789">
        <v>8.8999999999999996E-2</v>
      </c>
      <c r="G1740">
        <f t="shared" si="55"/>
        <v>81981.899999999994</v>
      </c>
    </row>
    <row r="1741" spans="1:7" ht="12.75" customHeight="1">
      <c r="A1741" s="3">
        <v>38870</v>
      </c>
      <c r="B1741" s="4" t="s">
        <v>1756</v>
      </c>
      <c r="C1741" s="3" t="s">
        <v>6</v>
      </c>
      <c r="D1741" s="5">
        <f t="shared" si="54"/>
        <v>29.47</v>
      </c>
      <c r="E1741">
        <v>32.36</v>
      </c>
      <c r="F1741" s="1789">
        <v>8.8999999999999996E-2</v>
      </c>
      <c r="G1741">
        <f t="shared" si="55"/>
        <v>29.47</v>
      </c>
    </row>
    <row r="1742" spans="1:7" ht="12.75" customHeight="1">
      <c r="A1742" s="3">
        <v>38869</v>
      </c>
      <c r="B1742" s="4" t="s">
        <v>1757</v>
      </c>
      <c r="C1742" s="3" t="s">
        <v>6</v>
      </c>
      <c r="D1742" s="5">
        <f t="shared" si="54"/>
        <v>19.89</v>
      </c>
      <c r="E1742">
        <v>21.84</v>
      </c>
      <c r="F1742" s="1789">
        <v>8.8999999999999996E-2</v>
      </c>
      <c r="G1742">
        <f t="shared" si="55"/>
        <v>19.89</v>
      </c>
    </row>
    <row r="1743" spans="1:7" ht="12.75" customHeight="1">
      <c r="A1743" s="3">
        <v>38872</v>
      </c>
      <c r="B1743" s="4" t="s">
        <v>1758</v>
      </c>
      <c r="C1743" s="3" t="s">
        <v>6</v>
      </c>
      <c r="D1743" s="5">
        <f t="shared" si="54"/>
        <v>37.56</v>
      </c>
      <c r="E1743">
        <v>41.23</v>
      </c>
      <c r="F1743" s="1789">
        <v>8.8999999999999996E-2</v>
      </c>
      <c r="G1743">
        <f t="shared" si="55"/>
        <v>37.56</v>
      </c>
    </row>
    <row r="1744" spans="1:7" ht="12.75" customHeight="1">
      <c r="A1744" s="3">
        <v>38871</v>
      </c>
      <c r="B1744" s="4" t="s">
        <v>1759</v>
      </c>
      <c r="C1744" s="3" t="s">
        <v>6</v>
      </c>
      <c r="D1744" s="5">
        <f t="shared" si="54"/>
        <v>25.96</v>
      </c>
      <c r="E1744">
        <v>28.5</v>
      </c>
      <c r="F1744" s="1789">
        <v>8.8999999999999996E-2</v>
      </c>
      <c r="G1744">
        <f t="shared" si="55"/>
        <v>25.96</v>
      </c>
    </row>
    <row r="1745" spans="1:7" ht="12.75" customHeight="1">
      <c r="A1745" s="3">
        <v>39283</v>
      </c>
      <c r="B1745" s="4" t="s">
        <v>1760</v>
      </c>
      <c r="C1745" s="3" t="s">
        <v>6</v>
      </c>
      <c r="D1745" s="5">
        <f t="shared" si="54"/>
        <v>121.66</v>
      </c>
      <c r="E1745">
        <v>133.55000000000001</v>
      </c>
      <c r="F1745" s="1789">
        <v>8.8999999999999996E-2</v>
      </c>
      <c r="G1745">
        <f t="shared" si="55"/>
        <v>121.66</v>
      </c>
    </row>
    <row r="1746" spans="1:7" ht="12.75" customHeight="1">
      <c r="A1746" s="3">
        <v>39285</v>
      </c>
      <c r="B1746" s="4" t="s">
        <v>1761</v>
      </c>
      <c r="C1746" s="3" t="s">
        <v>6</v>
      </c>
      <c r="D1746" s="5">
        <f t="shared" si="54"/>
        <v>139.04</v>
      </c>
      <c r="E1746">
        <v>152.63</v>
      </c>
      <c r="F1746" s="1789">
        <v>8.8999999999999996E-2</v>
      </c>
      <c r="G1746">
        <f t="shared" si="55"/>
        <v>139.04</v>
      </c>
    </row>
    <row r="1747" spans="1:7" ht="12.75" customHeight="1">
      <c r="A1747" s="3">
        <v>39286</v>
      </c>
      <c r="B1747" s="4" t="s">
        <v>1762</v>
      </c>
      <c r="C1747" s="3" t="s">
        <v>6</v>
      </c>
      <c r="D1747" s="5">
        <f t="shared" si="54"/>
        <v>133.27000000000001</v>
      </c>
      <c r="E1747">
        <v>146.29</v>
      </c>
      <c r="F1747" s="1789">
        <v>8.8999999999999996E-2</v>
      </c>
      <c r="G1747">
        <f t="shared" si="55"/>
        <v>133.27000000000001</v>
      </c>
    </row>
    <row r="1748" spans="1:7" ht="12.75" customHeight="1">
      <c r="A1748" s="3">
        <v>39288</v>
      </c>
      <c r="B1748" s="4" t="s">
        <v>1763</v>
      </c>
      <c r="C1748" s="3" t="s">
        <v>6</v>
      </c>
      <c r="D1748" s="5">
        <f t="shared" si="54"/>
        <v>162.21</v>
      </c>
      <c r="E1748">
        <v>178.06</v>
      </c>
      <c r="F1748" s="1789">
        <v>8.8999999999999996E-2</v>
      </c>
      <c r="G1748">
        <f t="shared" si="55"/>
        <v>162.21</v>
      </c>
    </row>
    <row r="1749" spans="1:7" ht="12.75" customHeight="1">
      <c r="A1749" s="3">
        <v>44476</v>
      </c>
      <c r="B1749" s="4" t="s">
        <v>1764</v>
      </c>
      <c r="C1749" s="3" t="s">
        <v>409</v>
      </c>
      <c r="D1749" s="5">
        <f t="shared" si="54"/>
        <v>637.04999999999995</v>
      </c>
      <c r="E1749">
        <v>699.29</v>
      </c>
      <c r="F1749" s="1789">
        <v>8.8999999999999996E-2</v>
      </c>
      <c r="G1749">
        <f t="shared" si="55"/>
        <v>637.04999999999995</v>
      </c>
    </row>
    <row r="1750" spans="1:7" ht="12.75" customHeight="1">
      <c r="A1750" s="3">
        <v>10629</v>
      </c>
      <c r="B1750" s="4" t="s">
        <v>1765</v>
      </c>
      <c r="C1750" s="3" t="s">
        <v>409</v>
      </c>
      <c r="D1750" s="5">
        <f t="shared" si="54"/>
        <v>635.26</v>
      </c>
      <c r="E1750">
        <v>697.33</v>
      </c>
      <c r="F1750" s="1789">
        <v>8.8999999999999996E-2</v>
      </c>
      <c r="G1750">
        <f t="shared" si="55"/>
        <v>635.26</v>
      </c>
    </row>
    <row r="1751" spans="1:7" ht="12.75" customHeight="1">
      <c r="A1751" s="3">
        <v>10698</v>
      </c>
      <c r="B1751" s="4" t="s">
        <v>1766</v>
      </c>
      <c r="C1751" s="3" t="s">
        <v>409</v>
      </c>
      <c r="D1751" s="5">
        <f t="shared" si="54"/>
        <v>206.51</v>
      </c>
      <c r="E1751">
        <v>226.69</v>
      </c>
      <c r="F1751" s="1789">
        <v>8.8999999999999996E-2</v>
      </c>
      <c r="G1751">
        <f t="shared" si="55"/>
        <v>206.51</v>
      </c>
    </row>
    <row r="1752" spans="1:7" ht="12.75" customHeight="1">
      <c r="A1752" s="3">
        <v>40521</v>
      </c>
      <c r="B1752" s="4" t="s">
        <v>1767</v>
      </c>
      <c r="C1752" s="3" t="s">
        <v>6</v>
      </c>
      <c r="D1752" s="5">
        <f t="shared" si="54"/>
        <v>115461.2</v>
      </c>
      <c r="E1752">
        <v>126741.17</v>
      </c>
      <c r="F1752" s="1789">
        <v>8.8999999999999996E-2</v>
      </c>
      <c r="G1752">
        <f t="shared" si="55"/>
        <v>115461.2</v>
      </c>
    </row>
    <row r="1753" spans="1:7" ht="12.75" customHeight="1">
      <c r="A1753" s="3">
        <v>2432</v>
      </c>
      <c r="B1753" s="4" t="s">
        <v>1768</v>
      </c>
      <c r="C1753" s="3" t="s">
        <v>6</v>
      </c>
      <c r="D1753" s="5">
        <f t="shared" si="54"/>
        <v>18.649999999999999</v>
      </c>
      <c r="E1753">
        <v>20.48</v>
      </c>
      <c r="F1753" s="1789">
        <v>8.8999999999999996E-2</v>
      </c>
      <c r="G1753">
        <f t="shared" si="55"/>
        <v>18.649999999999999</v>
      </c>
    </row>
    <row r="1754" spans="1:7" ht="12.75" customHeight="1">
      <c r="A1754" s="3">
        <v>2418</v>
      </c>
      <c r="B1754" s="4" t="s">
        <v>1769</v>
      </c>
      <c r="C1754" s="3" t="s">
        <v>6</v>
      </c>
      <c r="D1754" s="5">
        <f t="shared" si="54"/>
        <v>8.65</v>
      </c>
      <c r="E1754">
        <v>9.5</v>
      </c>
      <c r="F1754" s="1789">
        <v>8.8999999999999996E-2</v>
      </c>
      <c r="G1754">
        <f t="shared" si="55"/>
        <v>8.65</v>
      </c>
    </row>
    <row r="1755" spans="1:7" ht="12.75" customHeight="1">
      <c r="A1755" s="3">
        <v>2433</v>
      </c>
      <c r="B1755" s="4" t="s">
        <v>1770</v>
      </c>
      <c r="C1755" s="3" t="s">
        <v>6</v>
      </c>
      <c r="D1755" s="5">
        <f t="shared" si="54"/>
        <v>6.31</v>
      </c>
      <c r="E1755">
        <v>6.93</v>
      </c>
      <c r="F1755" s="1789">
        <v>8.8999999999999996E-2</v>
      </c>
      <c r="G1755">
        <f t="shared" si="55"/>
        <v>6.31</v>
      </c>
    </row>
    <row r="1756" spans="1:7" ht="12.75" customHeight="1">
      <c r="A1756" s="3">
        <v>2420</v>
      </c>
      <c r="B1756" s="4" t="s">
        <v>1771</v>
      </c>
      <c r="C1756" s="3" t="s">
        <v>6</v>
      </c>
      <c r="D1756" s="5">
        <f t="shared" si="54"/>
        <v>10.85</v>
      </c>
      <c r="E1756">
        <v>11.91</v>
      </c>
      <c r="F1756" s="1789">
        <v>8.8999999999999996E-2</v>
      </c>
      <c r="G1756">
        <f t="shared" si="55"/>
        <v>10.85</v>
      </c>
    </row>
    <row r="1757" spans="1:7" ht="12.75" customHeight="1">
      <c r="A1757" s="3">
        <v>11447</v>
      </c>
      <c r="B1757" s="4" t="s">
        <v>1772</v>
      </c>
      <c r="C1757" s="3" t="s">
        <v>6</v>
      </c>
      <c r="D1757" s="5">
        <f t="shared" si="54"/>
        <v>21.44</v>
      </c>
      <c r="E1757">
        <v>23.54</v>
      </c>
      <c r="F1757" s="1789">
        <v>8.8999999999999996E-2</v>
      </c>
      <c r="G1757">
        <f t="shared" si="55"/>
        <v>21.44</v>
      </c>
    </row>
    <row r="1758" spans="1:7" ht="12.75" customHeight="1">
      <c r="A1758" s="3">
        <v>11451</v>
      </c>
      <c r="B1758" s="4" t="s">
        <v>1773</v>
      </c>
      <c r="C1758" s="3" t="s">
        <v>6</v>
      </c>
      <c r="D1758" s="5">
        <f t="shared" si="54"/>
        <v>57.5</v>
      </c>
      <c r="E1758">
        <v>63.12</v>
      </c>
      <c r="F1758" s="1789">
        <v>8.8999999999999996E-2</v>
      </c>
      <c r="G1758">
        <f t="shared" si="55"/>
        <v>57.5</v>
      </c>
    </row>
    <row r="1759" spans="1:7" ht="12.75" customHeight="1">
      <c r="A1759" s="3">
        <v>11116</v>
      </c>
      <c r="B1759" s="4" t="s">
        <v>1774</v>
      </c>
      <c r="C1759" s="3" t="s">
        <v>6</v>
      </c>
      <c r="D1759" s="5">
        <f t="shared" si="54"/>
        <v>763.53</v>
      </c>
      <c r="E1759">
        <v>838.13</v>
      </c>
      <c r="F1759" s="1789">
        <v>8.8999999999999996E-2</v>
      </c>
      <c r="G1759">
        <f t="shared" si="55"/>
        <v>763.53</v>
      </c>
    </row>
    <row r="1760" spans="1:7" ht="12.75" customHeight="1">
      <c r="A1760" s="3">
        <v>38411</v>
      </c>
      <c r="B1760" s="4" t="s">
        <v>1775</v>
      </c>
      <c r="C1760" s="3" t="s">
        <v>6</v>
      </c>
      <c r="D1760" s="5">
        <f t="shared" si="54"/>
        <v>1567.68</v>
      </c>
      <c r="E1760">
        <v>1720.84</v>
      </c>
      <c r="F1760" s="1789">
        <v>8.8999999999999996E-2</v>
      </c>
      <c r="G1760">
        <f t="shared" si="55"/>
        <v>1567.68</v>
      </c>
    </row>
    <row r="1761" spans="1:7" ht="12.75" customHeight="1">
      <c r="A1761" s="3">
        <v>38189</v>
      </c>
      <c r="B1761" s="4" t="s">
        <v>1776</v>
      </c>
      <c r="C1761" s="3" t="s">
        <v>6</v>
      </c>
      <c r="D1761" s="5">
        <f t="shared" si="54"/>
        <v>171.45</v>
      </c>
      <c r="E1761">
        <v>188.21</v>
      </c>
      <c r="F1761" s="1789">
        <v>8.8999999999999996E-2</v>
      </c>
      <c r="G1761">
        <f t="shared" si="55"/>
        <v>171.45</v>
      </c>
    </row>
    <row r="1762" spans="1:7" ht="12.75" customHeight="1">
      <c r="A1762" s="3">
        <v>38190</v>
      </c>
      <c r="B1762" s="4" t="s">
        <v>1777</v>
      </c>
      <c r="C1762" s="3" t="s">
        <v>6</v>
      </c>
      <c r="D1762" s="5">
        <f t="shared" si="54"/>
        <v>361.22</v>
      </c>
      <c r="E1762">
        <v>396.51</v>
      </c>
      <c r="F1762" s="1789">
        <v>8.8999999999999996E-2</v>
      </c>
      <c r="G1762">
        <f t="shared" si="55"/>
        <v>361.22</v>
      </c>
    </row>
    <row r="1763" spans="1:7" ht="12.75" customHeight="1">
      <c r="A1763" s="3">
        <v>7608</v>
      </c>
      <c r="B1763" s="4" t="s">
        <v>1778</v>
      </c>
      <c r="C1763" s="3" t="s">
        <v>6</v>
      </c>
      <c r="D1763" s="5">
        <f t="shared" si="54"/>
        <v>10.46</v>
      </c>
      <c r="E1763">
        <v>11.49</v>
      </c>
      <c r="F1763" s="1789">
        <v>8.8999999999999996E-2</v>
      </c>
      <c r="G1763">
        <f t="shared" si="55"/>
        <v>10.46</v>
      </c>
    </row>
    <row r="1764" spans="1:7" ht="12.75" customHeight="1">
      <c r="A1764" s="3">
        <v>1370</v>
      </c>
      <c r="B1764" s="4" t="s">
        <v>1779</v>
      </c>
      <c r="C1764" s="3" t="s">
        <v>6</v>
      </c>
      <c r="D1764" s="5">
        <f t="shared" si="54"/>
        <v>116.48</v>
      </c>
      <c r="E1764">
        <v>127.87</v>
      </c>
      <c r="F1764" s="1789">
        <v>8.8999999999999996E-2</v>
      </c>
      <c r="G1764">
        <f t="shared" si="55"/>
        <v>116.48</v>
      </c>
    </row>
    <row r="1765" spans="1:7" ht="12.75" customHeight="1">
      <c r="A1765" s="3">
        <v>36516</v>
      </c>
      <c r="B1765" s="4" t="s">
        <v>1780</v>
      </c>
      <c r="C1765" s="3" t="s">
        <v>6</v>
      </c>
      <c r="D1765" s="5">
        <f t="shared" si="54"/>
        <v>132380.34</v>
      </c>
      <c r="E1765">
        <v>145313.22</v>
      </c>
      <c r="F1765" s="1789">
        <v>8.8999999999999996E-2</v>
      </c>
      <c r="G1765">
        <f t="shared" si="55"/>
        <v>132380.34</v>
      </c>
    </row>
    <row r="1766" spans="1:7" ht="12.75" customHeight="1">
      <c r="A1766" s="3">
        <v>34777</v>
      </c>
      <c r="B1766" s="4" t="s">
        <v>1781</v>
      </c>
      <c r="C1766" s="3" t="s">
        <v>6</v>
      </c>
      <c r="D1766" s="5">
        <f t="shared" si="54"/>
        <v>3.66</v>
      </c>
      <c r="E1766">
        <v>4.0199999999999996</v>
      </c>
      <c r="F1766" s="1789">
        <v>8.8999999999999996E-2</v>
      </c>
      <c r="G1766">
        <f t="shared" si="55"/>
        <v>3.66</v>
      </c>
    </row>
    <row r="1767" spans="1:7" ht="12.75" customHeight="1">
      <c r="A1767" s="3">
        <v>7272</v>
      </c>
      <c r="B1767" s="4" t="s">
        <v>1782</v>
      </c>
      <c r="C1767" s="3" t="s">
        <v>6</v>
      </c>
      <c r="D1767" s="5">
        <f t="shared" si="54"/>
        <v>3.09</v>
      </c>
      <c r="E1767">
        <v>3.4</v>
      </c>
      <c r="F1767" s="1789">
        <v>8.8999999999999996E-2</v>
      </c>
      <c r="G1767">
        <f t="shared" si="55"/>
        <v>3.09</v>
      </c>
    </row>
    <row r="1768" spans="1:7" ht="12.75" customHeight="1">
      <c r="A1768" s="3">
        <v>10605</v>
      </c>
      <c r="B1768" s="4" t="s">
        <v>1783</v>
      </c>
      <c r="C1768" s="3" t="s">
        <v>6</v>
      </c>
      <c r="D1768" s="5">
        <f t="shared" si="54"/>
        <v>5.42</v>
      </c>
      <c r="E1768">
        <v>5.95</v>
      </c>
      <c r="F1768" s="1789">
        <v>8.8999999999999996E-2</v>
      </c>
      <c r="G1768">
        <f t="shared" si="55"/>
        <v>5.42</v>
      </c>
    </row>
    <row r="1769" spans="1:7" ht="12.75" customHeight="1">
      <c r="A1769" s="3">
        <v>10604</v>
      </c>
      <c r="B1769" s="4" t="s">
        <v>1784</v>
      </c>
      <c r="C1769" s="3" t="s">
        <v>6</v>
      </c>
      <c r="D1769" s="5">
        <f t="shared" si="54"/>
        <v>12.63</v>
      </c>
      <c r="E1769">
        <v>13.87</v>
      </c>
      <c r="F1769" s="1789">
        <v>8.8999999999999996E-2</v>
      </c>
      <c r="G1769">
        <f t="shared" si="55"/>
        <v>12.63</v>
      </c>
    </row>
    <row r="1770" spans="1:7" ht="12.75" customHeight="1">
      <c r="A1770" s="3">
        <v>672</v>
      </c>
      <c r="B1770" s="4" t="s">
        <v>1785</v>
      </c>
      <c r="C1770" s="3" t="s">
        <v>6</v>
      </c>
      <c r="D1770" s="5">
        <f t="shared" si="54"/>
        <v>17.38</v>
      </c>
      <c r="E1770">
        <v>19.079999999999998</v>
      </c>
      <c r="F1770" s="1789">
        <v>8.8999999999999996E-2</v>
      </c>
      <c r="G1770">
        <f t="shared" si="55"/>
        <v>17.38</v>
      </c>
    </row>
    <row r="1771" spans="1:7" ht="12.75" customHeight="1">
      <c r="A1771" s="3">
        <v>668</v>
      </c>
      <c r="B1771" s="4" t="s">
        <v>1786</v>
      </c>
      <c r="C1771" s="3" t="s">
        <v>6</v>
      </c>
      <c r="D1771" s="5">
        <f t="shared" si="54"/>
        <v>20.98</v>
      </c>
      <c r="E1771">
        <v>23.03</v>
      </c>
      <c r="F1771" s="1789">
        <v>8.8999999999999996E-2</v>
      </c>
      <c r="G1771">
        <f t="shared" si="55"/>
        <v>20.98</v>
      </c>
    </row>
    <row r="1772" spans="1:7" ht="12.75" customHeight="1">
      <c r="A1772" s="3">
        <v>10578</v>
      </c>
      <c r="B1772" s="4" t="s">
        <v>1787</v>
      </c>
      <c r="C1772" s="3" t="s">
        <v>6</v>
      </c>
      <c r="D1772" s="5">
        <f t="shared" si="54"/>
        <v>24.43</v>
      </c>
      <c r="E1772">
        <v>26.82</v>
      </c>
      <c r="F1772" s="1789">
        <v>8.8999999999999996E-2</v>
      </c>
      <c r="G1772">
        <f t="shared" si="55"/>
        <v>24.43</v>
      </c>
    </row>
    <row r="1773" spans="1:7" ht="12.75" customHeight="1">
      <c r="A1773" s="3">
        <v>666</v>
      </c>
      <c r="B1773" s="4" t="s">
        <v>1788</v>
      </c>
      <c r="C1773" s="3" t="s">
        <v>6</v>
      </c>
      <c r="D1773" s="5">
        <f t="shared" si="54"/>
        <v>27.17</v>
      </c>
      <c r="E1773">
        <v>29.83</v>
      </c>
      <c r="F1773" s="1789">
        <v>8.8999999999999996E-2</v>
      </c>
      <c r="G1773">
        <f t="shared" si="55"/>
        <v>27.17</v>
      </c>
    </row>
    <row r="1774" spans="1:7" ht="12.75" customHeight="1">
      <c r="A1774" s="3">
        <v>665</v>
      </c>
      <c r="B1774" s="4" t="s">
        <v>1789</v>
      </c>
      <c r="C1774" s="3" t="s">
        <v>6</v>
      </c>
      <c r="D1774" s="5">
        <f t="shared" si="54"/>
        <v>36.33</v>
      </c>
      <c r="E1774">
        <v>39.89</v>
      </c>
      <c r="F1774" s="1789">
        <v>8.8999999999999996E-2</v>
      </c>
      <c r="G1774">
        <f t="shared" si="55"/>
        <v>36.33</v>
      </c>
    </row>
    <row r="1775" spans="1:7" ht="12.75" customHeight="1">
      <c r="A1775" s="3">
        <v>10577</v>
      </c>
      <c r="B1775" s="4" t="s">
        <v>1790</v>
      </c>
      <c r="C1775" s="3" t="s">
        <v>6</v>
      </c>
      <c r="D1775" s="5">
        <f t="shared" si="54"/>
        <v>32.229999999999997</v>
      </c>
      <c r="E1775">
        <v>35.380000000000003</v>
      </c>
      <c r="F1775" s="1789">
        <v>8.8999999999999996E-2</v>
      </c>
      <c r="G1775">
        <f t="shared" si="55"/>
        <v>32.229999999999997</v>
      </c>
    </row>
    <row r="1776" spans="1:7" ht="12.75" customHeight="1">
      <c r="A1776" s="3">
        <v>10583</v>
      </c>
      <c r="B1776" s="4" t="s">
        <v>1791</v>
      </c>
      <c r="C1776" s="3" t="s">
        <v>6</v>
      </c>
      <c r="D1776" s="5">
        <f t="shared" si="54"/>
        <v>16.739999999999998</v>
      </c>
      <c r="E1776">
        <v>18.38</v>
      </c>
      <c r="F1776" s="1789">
        <v>8.8999999999999996E-2</v>
      </c>
      <c r="G1776">
        <f t="shared" si="55"/>
        <v>16.739999999999998</v>
      </c>
    </row>
    <row r="1777" spans="1:7" ht="12.75" customHeight="1">
      <c r="A1777" s="3">
        <v>10579</v>
      </c>
      <c r="B1777" s="4" t="s">
        <v>1792</v>
      </c>
      <c r="C1777" s="3" t="s">
        <v>6</v>
      </c>
      <c r="D1777" s="5">
        <f t="shared" si="54"/>
        <v>29.18</v>
      </c>
      <c r="E1777">
        <v>32.04</v>
      </c>
      <c r="F1777" s="1789">
        <v>8.8999999999999996E-2</v>
      </c>
      <c r="G1777">
        <f t="shared" si="55"/>
        <v>29.18</v>
      </c>
    </row>
    <row r="1778" spans="1:7" ht="12.75" customHeight="1">
      <c r="A1778" s="3">
        <v>10582</v>
      </c>
      <c r="B1778" s="4" t="s">
        <v>1793</v>
      </c>
      <c r="C1778" s="3" t="s">
        <v>6</v>
      </c>
      <c r="D1778" s="5">
        <f t="shared" si="54"/>
        <v>14.74</v>
      </c>
      <c r="E1778">
        <v>16.190000000000001</v>
      </c>
      <c r="F1778" s="1789">
        <v>8.8999999999999996E-2</v>
      </c>
      <c r="G1778">
        <f t="shared" si="55"/>
        <v>14.74</v>
      </c>
    </row>
    <row r="1779" spans="1:7" ht="12.75" customHeight="1">
      <c r="A1779" s="3">
        <v>2436</v>
      </c>
      <c r="B1779" s="4" t="s">
        <v>1794</v>
      </c>
      <c r="C1779" s="3" t="s">
        <v>154</v>
      </c>
      <c r="D1779" s="5">
        <f t="shared" si="54"/>
        <v>18.64</v>
      </c>
      <c r="E1779">
        <v>20.47</v>
      </c>
      <c r="F1779" s="1789">
        <v>8.8999999999999996E-2</v>
      </c>
      <c r="G1779">
        <f t="shared" si="55"/>
        <v>18.64</v>
      </c>
    </row>
    <row r="1780" spans="1:7" ht="12.75" customHeight="1">
      <c r="A1780" s="3">
        <v>40918</v>
      </c>
      <c r="B1780" s="4" t="s">
        <v>1795</v>
      </c>
      <c r="C1780" s="3" t="s">
        <v>156</v>
      </c>
      <c r="D1780" s="5">
        <f t="shared" si="54"/>
        <v>3281.79</v>
      </c>
      <c r="E1780">
        <v>3602.41</v>
      </c>
      <c r="F1780" s="1789">
        <v>8.8999999999999996E-2</v>
      </c>
      <c r="G1780">
        <f t="shared" si="55"/>
        <v>3281.79</v>
      </c>
    </row>
    <row r="1781" spans="1:7" ht="12.75" customHeight="1">
      <c r="A1781" s="3">
        <v>10998</v>
      </c>
      <c r="B1781" s="4" t="s">
        <v>1796</v>
      </c>
      <c r="C1781" s="3" t="s">
        <v>54</v>
      </c>
      <c r="D1781" s="5">
        <f t="shared" si="54"/>
        <v>34.17</v>
      </c>
      <c r="E1781">
        <v>37.51</v>
      </c>
      <c r="F1781" s="1789">
        <v>8.8999999999999996E-2</v>
      </c>
      <c r="G1781">
        <f t="shared" si="55"/>
        <v>34.17</v>
      </c>
    </row>
    <row r="1782" spans="1:7" ht="12.75" customHeight="1">
      <c r="A1782" s="3">
        <v>11002</v>
      </c>
      <c r="B1782" s="4" t="s">
        <v>1797</v>
      </c>
      <c r="C1782" s="3" t="s">
        <v>54</v>
      </c>
      <c r="D1782" s="5">
        <f t="shared" si="54"/>
        <v>31.31</v>
      </c>
      <c r="E1782">
        <v>34.369999999999997</v>
      </c>
      <c r="F1782" s="1789">
        <v>8.8999999999999996E-2</v>
      </c>
      <c r="G1782">
        <f t="shared" si="55"/>
        <v>31.31</v>
      </c>
    </row>
    <row r="1783" spans="1:7" ht="12.75" customHeight="1">
      <c r="A1783" s="3">
        <v>10999</v>
      </c>
      <c r="B1783" s="4" t="s">
        <v>1798</v>
      </c>
      <c r="C1783" s="3" t="s">
        <v>54</v>
      </c>
      <c r="D1783" s="5">
        <f t="shared" si="54"/>
        <v>30.08</v>
      </c>
      <c r="E1783">
        <v>33.020000000000003</v>
      </c>
      <c r="F1783" s="1789">
        <v>8.8999999999999996E-2</v>
      </c>
      <c r="G1783">
        <f t="shared" si="55"/>
        <v>30.08</v>
      </c>
    </row>
    <row r="1784" spans="1:7" ht="12.75" customHeight="1">
      <c r="A1784" s="3">
        <v>10997</v>
      </c>
      <c r="B1784" s="4" t="s">
        <v>1799</v>
      </c>
      <c r="C1784" s="3" t="s">
        <v>54</v>
      </c>
      <c r="D1784" s="5">
        <f t="shared" si="54"/>
        <v>32.6</v>
      </c>
      <c r="E1784">
        <v>35.79</v>
      </c>
      <c r="F1784" s="1789">
        <v>8.8999999999999996E-2</v>
      </c>
      <c r="G1784">
        <f t="shared" si="55"/>
        <v>32.6</v>
      </c>
    </row>
    <row r="1785" spans="1:7" ht="12.75" customHeight="1">
      <c r="A1785" s="3">
        <v>2685</v>
      </c>
      <c r="B1785" s="4" t="s">
        <v>1800</v>
      </c>
      <c r="C1785" s="3" t="s">
        <v>50</v>
      </c>
      <c r="D1785" s="5">
        <f t="shared" si="54"/>
        <v>7.17</v>
      </c>
      <c r="E1785">
        <v>7.88</v>
      </c>
      <c r="F1785" s="1789">
        <v>8.8999999999999996E-2</v>
      </c>
      <c r="G1785">
        <f t="shared" si="55"/>
        <v>7.17</v>
      </c>
    </row>
    <row r="1786" spans="1:7" ht="12.75" customHeight="1">
      <c r="A1786" s="3">
        <v>2680</v>
      </c>
      <c r="B1786" s="4" t="s">
        <v>1801</v>
      </c>
      <c r="C1786" s="3" t="s">
        <v>50</v>
      </c>
      <c r="D1786" s="5">
        <f t="shared" si="54"/>
        <v>10.5</v>
      </c>
      <c r="E1786">
        <v>11.53</v>
      </c>
      <c r="F1786" s="1789">
        <v>8.8999999999999996E-2</v>
      </c>
      <c r="G1786">
        <f t="shared" si="55"/>
        <v>10.5</v>
      </c>
    </row>
    <row r="1787" spans="1:7" ht="12.75" customHeight="1">
      <c r="A1787" s="3">
        <v>2684</v>
      </c>
      <c r="B1787" s="4" t="s">
        <v>1802</v>
      </c>
      <c r="C1787" s="3" t="s">
        <v>50</v>
      </c>
      <c r="D1787" s="5">
        <f t="shared" si="54"/>
        <v>9.5500000000000007</v>
      </c>
      <c r="E1787">
        <v>10.49</v>
      </c>
      <c r="F1787" s="1789">
        <v>8.8999999999999996E-2</v>
      </c>
      <c r="G1787">
        <f t="shared" si="55"/>
        <v>9.5500000000000007</v>
      </c>
    </row>
    <row r="1788" spans="1:7" ht="12.75" customHeight="1">
      <c r="A1788" s="3">
        <v>2673</v>
      </c>
      <c r="B1788" s="4" t="s">
        <v>1803</v>
      </c>
      <c r="C1788" s="3" t="s">
        <v>50</v>
      </c>
      <c r="D1788" s="5">
        <f t="shared" si="54"/>
        <v>3.68</v>
      </c>
      <c r="E1788">
        <v>4.05</v>
      </c>
      <c r="F1788" s="1789">
        <v>8.8999999999999996E-2</v>
      </c>
      <c r="G1788">
        <f t="shared" si="55"/>
        <v>3.68</v>
      </c>
    </row>
    <row r="1789" spans="1:7" ht="12.75" customHeight="1">
      <c r="A1789" s="3">
        <v>2681</v>
      </c>
      <c r="B1789" s="4" t="s">
        <v>1804</v>
      </c>
      <c r="C1789" s="3" t="s">
        <v>50</v>
      </c>
      <c r="D1789" s="5">
        <f t="shared" si="54"/>
        <v>17.16</v>
      </c>
      <c r="E1789">
        <v>18.84</v>
      </c>
      <c r="F1789" s="1789">
        <v>8.8999999999999996E-2</v>
      </c>
      <c r="G1789">
        <f t="shared" si="55"/>
        <v>17.16</v>
      </c>
    </row>
    <row r="1790" spans="1:7" ht="12.75" customHeight="1">
      <c r="A1790" s="3">
        <v>2682</v>
      </c>
      <c r="B1790" s="4" t="s">
        <v>1805</v>
      </c>
      <c r="C1790" s="3" t="s">
        <v>50</v>
      </c>
      <c r="D1790" s="5">
        <f t="shared" si="54"/>
        <v>25.04</v>
      </c>
      <c r="E1790">
        <v>27.49</v>
      </c>
      <c r="F1790" s="1789">
        <v>8.8999999999999996E-2</v>
      </c>
      <c r="G1790">
        <f t="shared" si="55"/>
        <v>25.04</v>
      </c>
    </row>
    <row r="1791" spans="1:7" ht="12.75" customHeight="1">
      <c r="A1791" s="3">
        <v>2686</v>
      </c>
      <c r="B1791" s="4" t="s">
        <v>1806</v>
      </c>
      <c r="C1791" s="3" t="s">
        <v>50</v>
      </c>
      <c r="D1791" s="5">
        <f t="shared" si="54"/>
        <v>31.41</v>
      </c>
      <c r="E1791">
        <v>34.479999999999997</v>
      </c>
      <c r="F1791" s="1789">
        <v>8.8999999999999996E-2</v>
      </c>
      <c r="G1791">
        <f t="shared" si="55"/>
        <v>31.41</v>
      </c>
    </row>
    <row r="1792" spans="1:7" ht="12.75" customHeight="1">
      <c r="A1792" s="3">
        <v>2674</v>
      </c>
      <c r="B1792" s="4" t="s">
        <v>1807</v>
      </c>
      <c r="C1792" s="3" t="s">
        <v>50</v>
      </c>
      <c r="D1792" s="5">
        <f t="shared" si="54"/>
        <v>4.59</v>
      </c>
      <c r="E1792">
        <v>5.04</v>
      </c>
      <c r="F1792" s="1789">
        <v>8.8999999999999996E-2</v>
      </c>
      <c r="G1792">
        <f t="shared" si="55"/>
        <v>4.59</v>
      </c>
    </row>
    <row r="1793" spans="1:7" ht="12.75" customHeight="1">
      <c r="A1793" s="3">
        <v>2683</v>
      </c>
      <c r="B1793" s="4" t="s">
        <v>1808</v>
      </c>
      <c r="C1793" s="3" t="s">
        <v>50</v>
      </c>
      <c r="D1793" s="5">
        <f t="shared" si="54"/>
        <v>49.49</v>
      </c>
      <c r="E1793">
        <v>54.33</v>
      </c>
      <c r="F1793" s="1789">
        <v>8.8999999999999996E-2</v>
      </c>
      <c r="G1793">
        <f t="shared" si="55"/>
        <v>49.49</v>
      </c>
    </row>
    <row r="1794" spans="1:7" ht="12.75" customHeight="1">
      <c r="A1794" s="3">
        <v>2676</v>
      </c>
      <c r="B1794" s="4" t="s">
        <v>1809</v>
      </c>
      <c r="C1794" s="3" t="s">
        <v>50</v>
      </c>
      <c r="D1794" s="5">
        <f t="shared" si="54"/>
        <v>2.14</v>
      </c>
      <c r="E1794">
        <v>2.35</v>
      </c>
      <c r="F1794" s="1789">
        <v>8.8999999999999996E-2</v>
      </c>
      <c r="G1794">
        <f t="shared" si="55"/>
        <v>2.14</v>
      </c>
    </row>
    <row r="1795" spans="1:7" ht="12.75" customHeight="1">
      <c r="A1795" s="3">
        <v>2678</v>
      </c>
      <c r="B1795" s="4" t="s">
        <v>1810</v>
      </c>
      <c r="C1795" s="3" t="s">
        <v>50</v>
      </c>
      <c r="D1795" s="5">
        <f t="shared" ref="D1795:D1858" si="56">G1795</f>
        <v>2.68</v>
      </c>
      <c r="E1795">
        <v>2.95</v>
      </c>
      <c r="F1795" s="1789">
        <v>8.8999999999999996E-2</v>
      </c>
      <c r="G1795">
        <f t="shared" ref="G1795:G1858" si="57">TRUNC((1-F1795)*E1795,2)</f>
        <v>2.68</v>
      </c>
    </row>
    <row r="1796" spans="1:7" ht="12.75" customHeight="1">
      <c r="A1796" s="3">
        <v>2679</v>
      </c>
      <c r="B1796" s="4" t="s">
        <v>1811</v>
      </c>
      <c r="C1796" s="3" t="s">
        <v>50</v>
      </c>
      <c r="D1796" s="5">
        <f t="shared" si="56"/>
        <v>4.1399999999999997</v>
      </c>
      <c r="E1796">
        <v>4.55</v>
      </c>
      <c r="F1796" s="1789">
        <v>8.8999999999999996E-2</v>
      </c>
      <c r="G1796">
        <f t="shared" si="57"/>
        <v>4.1399999999999997</v>
      </c>
    </row>
    <row r="1797" spans="1:7" ht="12.75" customHeight="1">
      <c r="A1797" s="3">
        <v>12070</v>
      </c>
      <c r="B1797" s="4" t="s">
        <v>1812</v>
      </c>
      <c r="C1797" s="3" t="s">
        <v>50</v>
      </c>
      <c r="D1797" s="5">
        <f t="shared" si="56"/>
        <v>5.76</v>
      </c>
      <c r="E1797">
        <v>6.33</v>
      </c>
      <c r="F1797" s="1789">
        <v>8.8999999999999996E-2</v>
      </c>
      <c r="G1797">
        <f t="shared" si="57"/>
        <v>5.76</v>
      </c>
    </row>
    <row r="1798" spans="1:7" ht="12.75" customHeight="1">
      <c r="A1798" s="3">
        <v>2675</v>
      </c>
      <c r="B1798" s="4" t="s">
        <v>1813</v>
      </c>
      <c r="C1798" s="3" t="s">
        <v>50</v>
      </c>
      <c r="D1798" s="5">
        <f t="shared" si="56"/>
        <v>7.49</v>
      </c>
      <c r="E1798">
        <v>8.23</v>
      </c>
      <c r="F1798" s="1789">
        <v>8.8999999999999996E-2</v>
      </c>
      <c r="G1798">
        <f t="shared" si="57"/>
        <v>7.49</v>
      </c>
    </row>
    <row r="1799" spans="1:7" ht="12.75" customHeight="1">
      <c r="A1799" s="3">
        <v>12067</v>
      </c>
      <c r="B1799" s="4" t="s">
        <v>1814</v>
      </c>
      <c r="C1799" s="3" t="s">
        <v>50</v>
      </c>
      <c r="D1799" s="5">
        <f t="shared" si="56"/>
        <v>10.16</v>
      </c>
      <c r="E1799">
        <v>11.16</v>
      </c>
      <c r="F1799" s="1789">
        <v>8.8999999999999996E-2</v>
      </c>
      <c r="G1799">
        <f t="shared" si="57"/>
        <v>10.16</v>
      </c>
    </row>
    <row r="1800" spans="1:7" ht="12.75" customHeight="1">
      <c r="A1800" s="3">
        <v>21128</v>
      </c>
      <c r="B1800" s="4" t="s">
        <v>1815</v>
      </c>
      <c r="C1800" s="3" t="s">
        <v>50</v>
      </c>
      <c r="D1800" s="5">
        <f t="shared" si="56"/>
        <v>10.94</v>
      </c>
      <c r="E1800">
        <v>12.01</v>
      </c>
      <c r="F1800" s="1789">
        <v>8.8999999999999996E-2</v>
      </c>
      <c r="G1800">
        <f t="shared" si="57"/>
        <v>10.94</v>
      </c>
    </row>
    <row r="1801" spans="1:7" ht="12.75" customHeight="1">
      <c r="A1801" s="3">
        <v>40400</v>
      </c>
      <c r="B1801" s="4" t="s">
        <v>1816</v>
      </c>
      <c r="C1801" s="3" t="s">
        <v>50</v>
      </c>
      <c r="D1801" s="5">
        <f t="shared" si="56"/>
        <v>1.48</v>
      </c>
      <c r="E1801">
        <v>1.63</v>
      </c>
      <c r="F1801" s="1789">
        <v>8.8999999999999996E-2</v>
      </c>
      <c r="G1801">
        <f t="shared" si="57"/>
        <v>1.48</v>
      </c>
    </row>
    <row r="1802" spans="1:7" ht="12.75" customHeight="1">
      <c r="A1802" s="3">
        <v>40401</v>
      </c>
      <c r="B1802" s="4" t="s">
        <v>1817</v>
      </c>
      <c r="C1802" s="3" t="s">
        <v>50</v>
      </c>
      <c r="D1802" s="5">
        <f t="shared" si="56"/>
        <v>2.1800000000000002</v>
      </c>
      <c r="E1802">
        <v>2.4</v>
      </c>
      <c r="F1802" s="1789">
        <v>8.8999999999999996E-2</v>
      </c>
      <c r="G1802">
        <f t="shared" si="57"/>
        <v>2.1800000000000002</v>
      </c>
    </row>
    <row r="1803" spans="1:7" ht="12.75" customHeight="1">
      <c r="A1803" s="3">
        <v>40402</v>
      </c>
      <c r="B1803" s="4" t="s">
        <v>1818</v>
      </c>
      <c r="C1803" s="3" t="s">
        <v>50</v>
      </c>
      <c r="D1803" s="5">
        <f t="shared" si="56"/>
        <v>2.8</v>
      </c>
      <c r="E1803">
        <v>3.08</v>
      </c>
      <c r="F1803" s="1789">
        <v>8.8999999999999996E-2</v>
      </c>
      <c r="G1803">
        <f t="shared" si="57"/>
        <v>2.8</v>
      </c>
    </row>
    <row r="1804" spans="1:7" ht="12.75" customHeight="1">
      <c r="A1804" s="3">
        <v>21137</v>
      </c>
      <c r="B1804" s="4" t="s">
        <v>1819</v>
      </c>
      <c r="C1804" s="3" t="s">
        <v>50</v>
      </c>
      <c r="D1804" s="5">
        <f t="shared" si="56"/>
        <v>11.19</v>
      </c>
      <c r="E1804">
        <v>12.29</v>
      </c>
      <c r="F1804" s="1789">
        <v>8.8999999999999996E-2</v>
      </c>
      <c r="G1804">
        <f t="shared" si="57"/>
        <v>11.19</v>
      </c>
    </row>
    <row r="1805" spans="1:7" ht="12.75" customHeight="1">
      <c r="A1805" s="3">
        <v>2504</v>
      </c>
      <c r="B1805" s="4" t="s">
        <v>1820</v>
      </c>
      <c r="C1805" s="3" t="s">
        <v>50</v>
      </c>
      <c r="D1805" s="5">
        <f t="shared" si="56"/>
        <v>12.13</v>
      </c>
      <c r="E1805">
        <v>13.32</v>
      </c>
      <c r="F1805" s="1789">
        <v>8.8999999999999996E-2</v>
      </c>
      <c r="G1805">
        <f t="shared" si="57"/>
        <v>12.13</v>
      </c>
    </row>
    <row r="1806" spans="1:7" ht="12.75" customHeight="1">
      <c r="A1806" s="3">
        <v>2501</v>
      </c>
      <c r="B1806" s="4" t="s">
        <v>1821</v>
      </c>
      <c r="C1806" s="3" t="s">
        <v>50</v>
      </c>
      <c r="D1806" s="5">
        <f t="shared" si="56"/>
        <v>15.91</v>
      </c>
      <c r="E1806">
        <v>17.47</v>
      </c>
      <c r="F1806" s="1789">
        <v>8.8999999999999996E-2</v>
      </c>
      <c r="G1806">
        <f t="shared" si="57"/>
        <v>15.91</v>
      </c>
    </row>
    <row r="1807" spans="1:7" ht="12.75" customHeight="1">
      <c r="A1807" s="3">
        <v>2502</v>
      </c>
      <c r="B1807" s="4" t="s">
        <v>1822</v>
      </c>
      <c r="C1807" s="3" t="s">
        <v>50</v>
      </c>
      <c r="D1807" s="5">
        <f t="shared" si="56"/>
        <v>24.02</v>
      </c>
      <c r="E1807">
        <v>26.37</v>
      </c>
      <c r="F1807" s="1789">
        <v>8.8999999999999996E-2</v>
      </c>
      <c r="G1807">
        <f t="shared" si="57"/>
        <v>24.02</v>
      </c>
    </row>
    <row r="1808" spans="1:7" ht="12.75" customHeight="1">
      <c r="A1808" s="3">
        <v>2503</v>
      </c>
      <c r="B1808" s="4" t="s">
        <v>1823</v>
      </c>
      <c r="C1808" s="3" t="s">
        <v>50</v>
      </c>
      <c r="D1808" s="5">
        <f t="shared" si="56"/>
        <v>30.91</v>
      </c>
      <c r="E1808">
        <v>33.94</v>
      </c>
      <c r="F1808" s="1789">
        <v>8.8999999999999996E-2</v>
      </c>
      <c r="G1808">
        <f t="shared" si="57"/>
        <v>30.91</v>
      </c>
    </row>
    <row r="1809" spans="1:7" ht="12.75" customHeight="1">
      <c r="A1809" s="3">
        <v>2500</v>
      </c>
      <c r="B1809" s="4" t="s">
        <v>1824</v>
      </c>
      <c r="C1809" s="3" t="s">
        <v>50</v>
      </c>
      <c r="D1809" s="5">
        <f t="shared" si="56"/>
        <v>41.17</v>
      </c>
      <c r="E1809">
        <v>45.2</v>
      </c>
      <c r="F1809" s="1789">
        <v>8.8999999999999996E-2</v>
      </c>
      <c r="G1809">
        <f t="shared" si="57"/>
        <v>41.17</v>
      </c>
    </row>
    <row r="1810" spans="1:7" ht="12.75" customHeight="1">
      <c r="A1810" s="3">
        <v>2505</v>
      </c>
      <c r="B1810" s="4" t="s">
        <v>1825</v>
      </c>
      <c r="C1810" s="3" t="s">
        <v>50</v>
      </c>
      <c r="D1810" s="5">
        <f t="shared" si="56"/>
        <v>64.17</v>
      </c>
      <c r="E1810">
        <v>70.45</v>
      </c>
      <c r="F1810" s="1789">
        <v>8.8999999999999996E-2</v>
      </c>
      <c r="G1810">
        <f t="shared" si="57"/>
        <v>64.17</v>
      </c>
    </row>
    <row r="1811" spans="1:7" ht="12.75" customHeight="1">
      <c r="A1811" s="3">
        <v>12056</v>
      </c>
      <c r="B1811" s="4" t="s">
        <v>1826</v>
      </c>
      <c r="C1811" s="3" t="s">
        <v>50</v>
      </c>
      <c r="D1811" s="5">
        <f t="shared" si="56"/>
        <v>25.92</v>
      </c>
      <c r="E1811">
        <v>28.46</v>
      </c>
      <c r="F1811" s="1789">
        <v>8.8999999999999996E-2</v>
      </c>
      <c r="G1811">
        <f t="shared" si="57"/>
        <v>25.92</v>
      </c>
    </row>
    <row r="1812" spans="1:7" ht="12.75" customHeight="1">
      <c r="A1812" s="3">
        <v>12057</v>
      </c>
      <c r="B1812" s="4" t="s">
        <v>1827</v>
      </c>
      <c r="C1812" s="3" t="s">
        <v>50</v>
      </c>
      <c r="D1812" s="5">
        <f t="shared" si="56"/>
        <v>22.02</v>
      </c>
      <c r="E1812">
        <v>24.18</v>
      </c>
      <c r="F1812" s="1789">
        <v>8.8999999999999996E-2</v>
      </c>
      <c r="G1812">
        <f t="shared" si="57"/>
        <v>22.02</v>
      </c>
    </row>
    <row r="1813" spans="1:7" ht="12.75" customHeight="1">
      <c r="A1813" s="3">
        <v>12059</v>
      </c>
      <c r="B1813" s="4" t="s">
        <v>1828</v>
      </c>
      <c r="C1813" s="3" t="s">
        <v>50</v>
      </c>
      <c r="D1813" s="5">
        <f t="shared" si="56"/>
        <v>7.72</v>
      </c>
      <c r="E1813">
        <v>8.48</v>
      </c>
      <c r="F1813" s="1789">
        <v>8.8999999999999996E-2</v>
      </c>
      <c r="G1813">
        <f t="shared" si="57"/>
        <v>7.72</v>
      </c>
    </row>
    <row r="1814" spans="1:7" ht="12.75" customHeight="1">
      <c r="A1814" s="3">
        <v>12058</v>
      </c>
      <c r="B1814" s="4" t="s">
        <v>1829</v>
      </c>
      <c r="C1814" s="3" t="s">
        <v>50</v>
      </c>
      <c r="D1814" s="5">
        <f t="shared" si="56"/>
        <v>13.72</v>
      </c>
      <c r="E1814">
        <v>15.07</v>
      </c>
      <c r="F1814" s="1789">
        <v>8.8999999999999996E-2</v>
      </c>
      <c r="G1814">
        <f t="shared" si="57"/>
        <v>13.72</v>
      </c>
    </row>
    <row r="1815" spans="1:7" ht="12.75" customHeight="1">
      <c r="A1815" s="3">
        <v>12060</v>
      </c>
      <c r="B1815" s="4" t="s">
        <v>1830</v>
      </c>
      <c r="C1815" s="3" t="s">
        <v>50</v>
      </c>
      <c r="D1815" s="5">
        <f t="shared" si="56"/>
        <v>57.22</v>
      </c>
      <c r="E1815">
        <v>62.82</v>
      </c>
      <c r="F1815" s="1789">
        <v>8.8999999999999996E-2</v>
      </c>
      <c r="G1815">
        <f t="shared" si="57"/>
        <v>57.22</v>
      </c>
    </row>
    <row r="1816" spans="1:7" ht="12.75" customHeight="1">
      <c r="A1816" s="3">
        <v>12061</v>
      </c>
      <c r="B1816" s="4" t="s">
        <v>1831</v>
      </c>
      <c r="C1816" s="3" t="s">
        <v>50</v>
      </c>
      <c r="D1816" s="5">
        <f t="shared" si="56"/>
        <v>34.94</v>
      </c>
      <c r="E1816">
        <v>38.36</v>
      </c>
      <c r="F1816" s="1789">
        <v>8.8999999999999996E-2</v>
      </c>
      <c r="G1816">
        <f t="shared" si="57"/>
        <v>34.94</v>
      </c>
    </row>
    <row r="1817" spans="1:7" ht="12.75" customHeight="1">
      <c r="A1817" s="3">
        <v>12062</v>
      </c>
      <c r="B1817" s="4" t="s">
        <v>1832</v>
      </c>
      <c r="C1817" s="3" t="s">
        <v>50</v>
      </c>
      <c r="D1817" s="5">
        <f t="shared" si="56"/>
        <v>64.44</v>
      </c>
      <c r="E1817">
        <v>70.739999999999995</v>
      </c>
      <c r="F1817" s="1789">
        <v>8.8999999999999996E-2</v>
      </c>
      <c r="G1817">
        <f t="shared" si="57"/>
        <v>64.44</v>
      </c>
    </row>
    <row r="1818" spans="1:7" ht="12.75" customHeight="1">
      <c r="A1818" s="3">
        <v>2687</v>
      </c>
      <c r="B1818" s="4" t="s">
        <v>1833</v>
      </c>
      <c r="C1818" s="3" t="s">
        <v>50</v>
      </c>
      <c r="D1818" s="5">
        <f t="shared" si="56"/>
        <v>1.86</v>
      </c>
      <c r="E1818">
        <v>2.0499999999999998</v>
      </c>
      <c r="F1818" s="1789">
        <v>8.8999999999999996E-2</v>
      </c>
      <c r="G1818">
        <f t="shared" si="57"/>
        <v>1.86</v>
      </c>
    </row>
    <row r="1819" spans="1:7" ht="12.75" customHeight="1">
      <c r="A1819" s="3">
        <v>2689</v>
      </c>
      <c r="B1819" s="4" t="s">
        <v>1834</v>
      </c>
      <c r="C1819" s="3" t="s">
        <v>50</v>
      </c>
      <c r="D1819" s="5">
        <f t="shared" si="56"/>
        <v>2.23</v>
      </c>
      <c r="E1819">
        <v>2.4500000000000002</v>
      </c>
      <c r="F1819" s="1789">
        <v>8.8999999999999996E-2</v>
      </c>
      <c r="G1819">
        <f t="shared" si="57"/>
        <v>2.23</v>
      </c>
    </row>
    <row r="1820" spans="1:7" ht="12.75" customHeight="1">
      <c r="A1820" s="3">
        <v>2688</v>
      </c>
      <c r="B1820" s="4" t="s">
        <v>1835</v>
      </c>
      <c r="C1820" s="3" t="s">
        <v>50</v>
      </c>
      <c r="D1820" s="5">
        <f t="shared" si="56"/>
        <v>2.41</v>
      </c>
      <c r="E1820">
        <v>2.65</v>
      </c>
      <c r="F1820" s="1789">
        <v>8.8999999999999996E-2</v>
      </c>
      <c r="G1820">
        <f t="shared" si="57"/>
        <v>2.41</v>
      </c>
    </row>
    <row r="1821" spans="1:7" ht="12.75" customHeight="1">
      <c r="A1821" s="3">
        <v>2690</v>
      </c>
      <c r="B1821" s="4" t="s">
        <v>1836</v>
      </c>
      <c r="C1821" s="3" t="s">
        <v>50</v>
      </c>
      <c r="D1821" s="5">
        <f t="shared" si="56"/>
        <v>4.13</v>
      </c>
      <c r="E1821">
        <v>4.54</v>
      </c>
      <c r="F1821" s="1789">
        <v>8.8999999999999996E-2</v>
      </c>
      <c r="G1821">
        <f t="shared" si="57"/>
        <v>4.13</v>
      </c>
    </row>
    <row r="1822" spans="1:7" ht="12.75" customHeight="1">
      <c r="A1822" s="3">
        <v>39243</v>
      </c>
      <c r="B1822" s="4" t="s">
        <v>1837</v>
      </c>
      <c r="C1822" s="3" t="s">
        <v>50</v>
      </c>
      <c r="D1822" s="5">
        <f t="shared" si="56"/>
        <v>2.72</v>
      </c>
      <c r="E1822">
        <v>2.99</v>
      </c>
      <c r="F1822" s="1789">
        <v>8.8999999999999996E-2</v>
      </c>
      <c r="G1822">
        <f t="shared" si="57"/>
        <v>2.72</v>
      </c>
    </row>
    <row r="1823" spans="1:7" ht="12.75" customHeight="1">
      <c r="A1823" s="3">
        <v>39244</v>
      </c>
      <c r="B1823" s="4" t="s">
        <v>1838</v>
      </c>
      <c r="C1823" s="3" t="s">
        <v>50</v>
      </c>
      <c r="D1823" s="5">
        <f t="shared" si="56"/>
        <v>3.68</v>
      </c>
      <c r="E1823">
        <v>4.04</v>
      </c>
      <c r="F1823" s="1789">
        <v>8.8999999999999996E-2</v>
      </c>
      <c r="G1823">
        <f t="shared" si="57"/>
        <v>3.68</v>
      </c>
    </row>
    <row r="1824" spans="1:7" ht="12.75" customHeight="1">
      <c r="A1824" s="3">
        <v>39245</v>
      </c>
      <c r="B1824" s="4" t="s">
        <v>1839</v>
      </c>
      <c r="C1824" s="3" t="s">
        <v>50</v>
      </c>
      <c r="D1824" s="5">
        <f t="shared" si="56"/>
        <v>7.08</v>
      </c>
      <c r="E1824">
        <v>7.78</v>
      </c>
      <c r="F1824" s="1789">
        <v>8.8999999999999996E-2</v>
      </c>
      <c r="G1824">
        <f t="shared" si="57"/>
        <v>7.08</v>
      </c>
    </row>
    <row r="1825" spans="1:7" ht="12.75" customHeight="1">
      <c r="A1825" s="3">
        <v>39254</v>
      </c>
      <c r="B1825" s="4" t="s">
        <v>1840</v>
      </c>
      <c r="C1825" s="3" t="s">
        <v>50</v>
      </c>
      <c r="D1825" s="5">
        <f t="shared" si="56"/>
        <v>10.59</v>
      </c>
      <c r="E1825">
        <v>11.63</v>
      </c>
      <c r="F1825" s="1789">
        <v>8.8999999999999996E-2</v>
      </c>
      <c r="G1825">
        <f t="shared" si="57"/>
        <v>10.59</v>
      </c>
    </row>
    <row r="1826" spans="1:7" ht="12.75" customHeight="1">
      <c r="A1826" s="3">
        <v>39255</v>
      </c>
      <c r="B1826" s="4" t="s">
        <v>1841</v>
      </c>
      <c r="C1826" s="3" t="s">
        <v>50</v>
      </c>
      <c r="D1826" s="5">
        <f t="shared" si="56"/>
        <v>19.600000000000001</v>
      </c>
      <c r="E1826">
        <v>21.52</v>
      </c>
      <c r="F1826" s="1789">
        <v>8.8999999999999996E-2</v>
      </c>
      <c r="G1826">
        <f t="shared" si="57"/>
        <v>19.600000000000001</v>
      </c>
    </row>
    <row r="1827" spans="1:7" ht="12.75" customHeight="1">
      <c r="A1827" s="3">
        <v>39253</v>
      </c>
      <c r="B1827" s="4" t="s">
        <v>1842</v>
      </c>
      <c r="C1827" s="3" t="s">
        <v>50</v>
      </c>
      <c r="D1827" s="5">
        <f t="shared" si="56"/>
        <v>13.5</v>
      </c>
      <c r="E1827">
        <v>14.82</v>
      </c>
      <c r="F1827" s="1789">
        <v>8.8999999999999996E-2</v>
      </c>
      <c r="G1827">
        <f t="shared" si="57"/>
        <v>13.5</v>
      </c>
    </row>
    <row r="1828" spans="1:7" ht="12.75" customHeight="1">
      <c r="A1828" s="3">
        <v>39246</v>
      </c>
      <c r="B1828" s="4" t="s">
        <v>1843</v>
      </c>
      <c r="C1828" s="3" t="s">
        <v>50</v>
      </c>
      <c r="D1828" s="5">
        <f t="shared" si="56"/>
        <v>3.8</v>
      </c>
      <c r="E1828">
        <v>4.18</v>
      </c>
      <c r="F1828" s="1789">
        <v>8.8999999999999996E-2</v>
      </c>
      <c r="G1828">
        <f t="shared" si="57"/>
        <v>3.8</v>
      </c>
    </row>
    <row r="1829" spans="1:7" ht="12.75" customHeight="1">
      <c r="A1829" s="3">
        <v>39247</v>
      </c>
      <c r="B1829" s="4" t="s">
        <v>1844</v>
      </c>
      <c r="C1829" s="3" t="s">
        <v>50</v>
      </c>
      <c r="D1829" s="5">
        <f t="shared" si="56"/>
        <v>3.31</v>
      </c>
      <c r="E1829">
        <v>3.64</v>
      </c>
      <c r="F1829" s="1789">
        <v>8.8999999999999996E-2</v>
      </c>
      <c r="G1829">
        <f t="shared" si="57"/>
        <v>3.31</v>
      </c>
    </row>
    <row r="1830" spans="1:7" ht="12.75" customHeight="1">
      <c r="A1830" s="3">
        <v>2446</v>
      </c>
      <c r="B1830" s="4" t="s">
        <v>1845</v>
      </c>
      <c r="C1830" s="3" t="s">
        <v>50</v>
      </c>
      <c r="D1830" s="5">
        <f t="shared" si="56"/>
        <v>5.46</v>
      </c>
      <c r="E1830">
        <v>6</v>
      </c>
      <c r="F1830" s="1789">
        <v>8.8999999999999996E-2</v>
      </c>
      <c r="G1830">
        <f t="shared" si="57"/>
        <v>5.46</v>
      </c>
    </row>
    <row r="1831" spans="1:7" ht="12.75" customHeight="1">
      <c r="A1831" s="3">
        <v>2442</v>
      </c>
      <c r="B1831" s="4" t="s">
        <v>1846</v>
      </c>
      <c r="C1831" s="3" t="s">
        <v>50</v>
      </c>
      <c r="D1831" s="5">
        <f t="shared" si="56"/>
        <v>7.65</v>
      </c>
      <c r="E1831">
        <v>8.4</v>
      </c>
      <c r="F1831" s="1789">
        <v>8.8999999999999996E-2</v>
      </c>
      <c r="G1831">
        <f t="shared" si="57"/>
        <v>7.65</v>
      </c>
    </row>
    <row r="1832" spans="1:7" ht="12.75" customHeight="1">
      <c r="A1832" s="3">
        <v>39248</v>
      </c>
      <c r="B1832" s="4" t="s">
        <v>1847</v>
      </c>
      <c r="C1832" s="3" t="s">
        <v>50</v>
      </c>
      <c r="D1832" s="5">
        <f t="shared" si="56"/>
        <v>10.66</v>
      </c>
      <c r="E1832">
        <v>11.71</v>
      </c>
      <c r="F1832" s="1789">
        <v>8.8999999999999996E-2</v>
      </c>
      <c r="G1832">
        <f t="shared" si="57"/>
        <v>10.66</v>
      </c>
    </row>
    <row r="1833" spans="1:7" ht="12.75" customHeight="1">
      <c r="A1833" s="3">
        <v>2438</v>
      </c>
      <c r="B1833" s="4" t="s">
        <v>1848</v>
      </c>
      <c r="C1833" s="3" t="s">
        <v>154</v>
      </c>
      <c r="D1833" s="5">
        <f t="shared" si="56"/>
        <v>24.2</v>
      </c>
      <c r="E1833">
        <v>26.57</v>
      </c>
      <c r="F1833" s="1789">
        <v>8.8999999999999996E-2</v>
      </c>
      <c r="G1833">
        <f t="shared" si="57"/>
        <v>24.2</v>
      </c>
    </row>
    <row r="1834" spans="1:7" ht="12.75" customHeight="1">
      <c r="A1834" s="3">
        <v>40922</v>
      </c>
      <c r="B1834" s="4" t="s">
        <v>1849</v>
      </c>
      <c r="C1834" s="3" t="s">
        <v>156</v>
      </c>
      <c r="D1834" s="5">
        <f t="shared" si="56"/>
        <v>4260.3599999999997</v>
      </c>
      <c r="E1834">
        <v>4676.58</v>
      </c>
      <c r="F1834" s="1789">
        <v>8.8999999999999996E-2</v>
      </c>
      <c r="G1834">
        <f t="shared" si="57"/>
        <v>4260.3599999999997</v>
      </c>
    </row>
    <row r="1835" spans="1:7" ht="12.75" customHeight="1">
      <c r="A1835" s="3">
        <v>36486</v>
      </c>
      <c r="B1835" s="4" t="s">
        <v>1850</v>
      </c>
      <c r="C1835" s="3" t="s">
        <v>6</v>
      </c>
      <c r="D1835" s="5">
        <f t="shared" si="56"/>
        <v>66288.03</v>
      </c>
      <c r="E1835">
        <v>72764.03</v>
      </c>
      <c r="F1835" s="1789">
        <v>8.8999999999999996E-2</v>
      </c>
      <c r="G1835">
        <f t="shared" si="57"/>
        <v>66288.03</v>
      </c>
    </row>
    <row r="1836" spans="1:7" ht="12.75" customHeight="1">
      <c r="A1836" s="3">
        <v>37777</v>
      </c>
      <c r="B1836" s="4" t="s">
        <v>1851</v>
      </c>
      <c r="C1836" s="3" t="s">
        <v>6</v>
      </c>
      <c r="D1836" s="5">
        <f t="shared" si="56"/>
        <v>312082.77</v>
      </c>
      <c r="E1836">
        <v>342571.65</v>
      </c>
      <c r="F1836" s="1789">
        <v>8.8999999999999996E-2</v>
      </c>
      <c r="G1836">
        <f t="shared" si="57"/>
        <v>312082.77</v>
      </c>
    </row>
    <row r="1837" spans="1:7" ht="12.75" customHeight="1">
      <c r="A1837" s="3">
        <v>12624</v>
      </c>
      <c r="B1837" s="4" t="s">
        <v>1852</v>
      </c>
      <c r="C1837" s="3" t="s">
        <v>6</v>
      </c>
      <c r="D1837" s="5">
        <f t="shared" si="56"/>
        <v>27.16</v>
      </c>
      <c r="E1837">
        <v>29.82</v>
      </c>
      <c r="F1837" s="1789">
        <v>8.8999999999999996E-2</v>
      </c>
      <c r="G1837">
        <f t="shared" si="57"/>
        <v>27.16</v>
      </c>
    </row>
    <row r="1838" spans="1:7" ht="12.75" customHeight="1">
      <c r="A1838" s="3">
        <v>517</v>
      </c>
      <c r="B1838" s="4" t="s">
        <v>1853</v>
      </c>
      <c r="C1838" s="3" t="s">
        <v>56</v>
      </c>
      <c r="D1838" s="5">
        <f t="shared" si="56"/>
        <v>16.07</v>
      </c>
      <c r="E1838">
        <v>17.64</v>
      </c>
      <c r="F1838" s="1789">
        <v>8.8999999999999996E-2</v>
      </c>
      <c r="G1838">
        <f t="shared" si="57"/>
        <v>16.07</v>
      </c>
    </row>
    <row r="1839" spans="1:7" ht="12.75" customHeight="1">
      <c r="A1839" s="3">
        <v>37534</v>
      </c>
      <c r="B1839" s="4" t="s">
        <v>1854</v>
      </c>
      <c r="C1839" s="3" t="s">
        <v>54</v>
      </c>
      <c r="D1839" s="5">
        <f t="shared" si="56"/>
        <v>19.71</v>
      </c>
      <c r="E1839">
        <v>21.64</v>
      </c>
      <c r="F1839" s="1789">
        <v>8.8999999999999996E-2</v>
      </c>
      <c r="G1839">
        <f t="shared" si="57"/>
        <v>19.71</v>
      </c>
    </row>
    <row r="1840" spans="1:7" ht="12.75" customHeight="1">
      <c r="A1840" s="3">
        <v>37535</v>
      </c>
      <c r="B1840" s="4" t="s">
        <v>1855</v>
      </c>
      <c r="C1840" s="3" t="s">
        <v>54</v>
      </c>
      <c r="D1840" s="5">
        <f t="shared" si="56"/>
        <v>19.71</v>
      </c>
      <c r="E1840">
        <v>21.64</v>
      </c>
      <c r="F1840" s="1789">
        <v>8.8999999999999996E-2</v>
      </c>
      <c r="G1840">
        <f t="shared" si="57"/>
        <v>19.71</v>
      </c>
    </row>
    <row r="1841" spans="1:7" ht="12.75" customHeight="1">
      <c r="A1841" s="3">
        <v>37533</v>
      </c>
      <c r="B1841" s="4" t="s">
        <v>1856</v>
      </c>
      <c r="C1841" s="3" t="s">
        <v>54</v>
      </c>
      <c r="D1841" s="5">
        <f t="shared" si="56"/>
        <v>19.71</v>
      </c>
      <c r="E1841">
        <v>21.64</v>
      </c>
      <c r="F1841" s="1789">
        <v>8.8999999999999996E-2</v>
      </c>
      <c r="G1841">
        <f t="shared" si="57"/>
        <v>19.71</v>
      </c>
    </row>
    <row r="1842" spans="1:7" ht="12.75" customHeight="1">
      <c r="A1842" s="3">
        <v>37537</v>
      </c>
      <c r="B1842" s="4" t="s">
        <v>1857</v>
      </c>
      <c r="C1842" s="3" t="s">
        <v>54</v>
      </c>
      <c r="D1842" s="5">
        <f t="shared" si="56"/>
        <v>14.92</v>
      </c>
      <c r="E1842">
        <v>16.38</v>
      </c>
      <c r="F1842" s="1789">
        <v>8.8999999999999996E-2</v>
      </c>
      <c r="G1842">
        <f t="shared" si="57"/>
        <v>14.92</v>
      </c>
    </row>
    <row r="1843" spans="1:7" ht="12.75" customHeight="1">
      <c r="A1843" s="3">
        <v>37536</v>
      </c>
      <c r="B1843" s="4" t="s">
        <v>1858</v>
      </c>
      <c r="C1843" s="3" t="s">
        <v>54</v>
      </c>
      <c r="D1843" s="5">
        <f t="shared" si="56"/>
        <v>14.92</v>
      </c>
      <c r="E1843">
        <v>16.38</v>
      </c>
      <c r="F1843" s="1789">
        <v>8.8999999999999996E-2</v>
      </c>
      <c r="G1843">
        <f t="shared" si="57"/>
        <v>14.92</v>
      </c>
    </row>
    <row r="1844" spans="1:7" ht="12.75" customHeight="1">
      <c r="A1844" s="3">
        <v>37532</v>
      </c>
      <c r="B1844" s="4" t="s">
        <v>1859</v>
      </c>
      <c r="C1844" s="3" t="s">
        <v>54</v>
      </c>
      <c r="D1844" s="5">
        <f t="shared" si="56"/>
        <v>14.92</v>
      </c>
      <c r="E1844">
        <v>16.38</v>
      </c>
      <c r="F1844" s="1789">
        <v>8.8999999999999996E-2</v>
      </c>
      <c r="G1844">
        <f t="shared" si="57"/>
        <v>14.92</v>
      </c>
    </row>
    <row r="1845" spans="1:7" ht="12.75" customHeight="1">
      <c r="A1845" s="3">
        <v>2696</v>
      </c>
      <c r="B1845" s="4" t="s">
        <v>1860</v>
      </c>
      <c r="C1845" s="3" t="s">
        <v>154</v>
      </c>
      <c r="D1845" s="5">
        <f t="shared" si="56"/>
        <v>18.64</v>
      </c>
      <c r="E1845">
        <v>20.47</v>
      </c>
      <c r="F1845" s="1789">
        <v>8.8999999999999996E-2</v>
      </c>
      <c r="G1845">
        <f t="shared" si="57"/>
        <v>18.64</v>
      </c>
    </row>
    <row r="1846" spans="1:7" ht="12.75" customHeight="1">
      <c r="A1846" s="3">
        <v>40928</v>
      </c>
      <c r="B1846" s="4" t="s">
        <v>1861</v>
      </c>
      <c r="C1846" s="3" t="s">
        <v>156</v>
      </c>
      <c r="D1846" s="5">
        <f t="shared" si="56"/>
        <v>3281.79</v>
      </c>
      <c r="E1846">
        <v>3602.41</v>
      </c>
      <c r="F1846" s="1789">
        <v>8.8999999999999996E-2</v>
      </c>
      <c r="G1846">
        <f t="shared" si="57"/>
        <v>3281.79</v>
      </c>
    </row>
    <row r="1847" spans="1:7" ht="12.75" customHeight="1">
      <c r="A1847" s="3">
        <v>4083</v>
      </c>
      <c r="B1847" s="4" t="s">
        <v>1862</v>
      </c>
      <c r="C1847" s="3" t="s">
        <v>154</v>
      </c>
      <c r="D1847" s="5">
        <f t="shared" si="56"/>
        <v>24.11</v>
      </c>
      <c r="E1847">
        <v>26.47</v>
      </c>
      <c r="F1847" s="1789">
        <v>8.8999999999999996E-2</v>
      </c>
      <c r="G1847">
        <f t="shared" si="57"/>
        <v>24.11</v>
      </c>
    </row>
    <row r="1848" spans="1:7" ht="12.75" customHeight="1">
      <c r="A1848" s="3">
        <v>40818</v>
      </c>
      <c r="B1848" s="4" t="s">
        <v>1863</v>
      </c>
      <c r="C1848" s="3" t="s">
        <v>156</v>
      </c>
      <c r="D1848" s="5">
        <f t="shared" si="56"/>
        <v>4243.12</v>
      </c>
      <c r="E1848">
        <v>4657.66</v>
      </c>
      <c r="F1848" s="1789">
        <v>8.8999999999999996E-2</v>
      </c>
      <c r="G1848">
        <f t="shared" si="57"/>
        <v>4243.12</v>
      </c>
    </row>
    <row r="1849" spans="1:7" ht="12.75" customHeight="1">
      <c r="A1849" s="3">
        <v>43146</v>
      </c>
      <c r="B1849" s="4" t="s">
        <v>1864</v>
      </c>
      <c r="C1849" s="3" t="s">
        <v>54</v>
      </c>
      <c r="D1849" s="5">
        <f t="shared" si="56"/>
        <v>8.7799999999999994</v>
      </c>
      <c r="E1849">
        <v>9.64</v>
      </c>
      <c r="F1849" s="1789">
        <v>8.8999999999999996E-2</v>
      </c>
      <c r="G1849">
        <f t="shared" si="57"/>
        <v>8.7799999999999994</v>
      </c>
    </row>
    <row r="1850" spans="1:7" ht="12.75" customHeight="1">
      <c r="A1850" s="3">
        <v>2705</v>
      </c>
      <c r="B1850" s="4" t="s">
        <v>1865</v>
      </c>
      <c r="C1850" s="3" t="s">
        <v>1866</v>
      </c>
      <c r="D1850" s="5">
        <f t="shared" si="56"/>
        <v>0.92</v>
      </c>
      <c r="E1850">
        <v>1.02</v>
      </c>
      <c r="F1850" s="1789">
        <v>8.8999999999999996E-2</v>
      </c>
      <c r="G1850">
        <f t="shared" si="57"/>
        <v>0.92</v>
      </c>
    </row>
    <row r="1851" spans="1:7" ht="12.75" customHeight="1">
      <c r="A1851" s="3">
        <v>14250</v>
      </c>
      <c r="B1851" s="4" t="s">
        <v>1867</v>
      </c>
      <c r="C1851" s="3" t="s">
        <v>1866</v>
      </c>
      <c r="D1851" s="5">
        <f t="shared" si="56"/>
        <v>0.94</v>
      </c>
      <c r="E1851">
        <v>1.04</v>
      </c>
      <c r="F1851" s="1789">
        <v>8.8999999999999996E-2</v>
      </c>
      <c r="G1851">
        <f t="shared" si="57"/>
        <v>0.94</v>
      </c>
    </row>
    <row r="1852" spans="1:7" ht="12.75" customHeight="1">
      <c r="A1852" s="3">
        <v>11683</v>
      </c>
      <c r="B1852" s="4" t="s">
        <v>1868</v>
      </c>
      <c r="C1852" s="3" t="s">
        <v>6</v>
      </c>
      <c r="D1852" s="5">
        <f t="shared" si="56"/>
        <v>45.12</v>
      </c>
      <c r="E1852">
        <v>49.53</v>
      </c>
      <c r="F1852" s="1789">
        <v>8.8999999999999996E-2</v>
      </c>
      <c r="G1852">
        <f t="shared" si="57"/>
        <v>45.12</v>
      </c>
    </row>
    <row r="1853" spans="1:7" ht="12.75" customHeight="1">
      <c r="A1853" s="3">
        <v>11684</v>
      </c>
      <c r="B1853" s="4" t="s">
        <v>1869</v>
      </c>
      <c r="C1853" s="3" t="s">
        <v>6</v>
      </c>
      <c r="D1853" s="5">
        <f t="shared" si="56"/>
        <v>49.39</v>
      </c>
      <c r="E1853">
        <v>54.22</v>
      </c>
      <c r="F1853" s="1789">
        <v>8.8999999999999996E-2</v>
      </c>
      <c r="G1853">
        <f t="shared" si="57"/>
        <v>49.39</v>
      </c>
    </row>
    <row r="1854" spans="1:7" ht="12.75" customHeight="1">
      <c r="A1854" s="3">
        <v>6141</v>
      </c>
      <c r="B1854" s="4" t="s">
        <v>1870</v>
      </c>
      <c r="C1854" s="3" t="s">
        <v>6</v>
      </c>
      <c r="D1854" s="5">
        <f t="shared" si="56"/>
        <v>6.34</v>
      </c>
      <c r="E1854">
        <v>6.96</v>
      </c>
      <c r="F1854" s="1789">
        <v>8.8999999999999996E-2</v>
      </c>
      <c r="G1854">
        <f t="shared" si="57"/>
        <v>6.34</v>
      </c>
    </row>
    <row r="1855" spans="1:7" ht="12.75" customHeight="1">
      <c r="A1855" s="3">
        <v>11681</v>
      </c>
      <c r="B1855" s="4" t="s">
        <v>1871</v>
      </c>
      <c r="C1855" s="3" t="s">
        <v>6</v>
      </c>
      <c r="D1855" s="5">
        <f t="shared" si="56"/>
        <v>7.98</v>
      </c>
      <c r="E1855">
        <v>8.77</v>
      </c>
      <c r="F1855" s="1789">
        <v>8.8999999999999996E-2</v>
      </c>
      <c r="G1855">
        <f t="shared" si="57"/>
        <v>7.98</v>
      </c>
    </row>
    <row r="1856" spans="1:7" ht="12.75" customHeight="1">
      <c r="A1856" s="3">
        <v>2706</v>
      </c>
      <c r="B1856" s="4" t="s">
        <v>1872</v>
      </c>
      <c r="C1856" s="3" t="s">
        <v>154</v>
      </c>
      <c r="D1856" s="5">
        <f t="shared" si="56"/>
        <v>102.78</v>
      </c>
      <c r="E1856">
        <v>112.83</v>
      </c>
      <c r="F1856" s="1789">
        <v>8.8999999999999996E-2</v>
      </c>
      <c r="G1856">
        <f t="shared" si="57"/>
        <v>102.78</v>
      </c>
    </row>
    <row r="1857" spans="1:7" ht="12.75" customHeight="1">
      <c r="A1857" s="3">
        <v>40811</v>
      </c>
      <c r="B1857" s="4" t="s">
        <v>1873</v>
      </c>
      <c r="C1857" s="3" t="s">
        <v>156</v>
      </c>
      <c r="D1857" s="5">
        <f t="shared" si="56"/>
        <v>18083.03</v>
      </c>
      <c r="E1857">
        <v>19849.650000000001</v>
      </c>
      <c r="F1857" s="1789">
        <v>8.8999999999999996E-2</v>
      </c>
      <c r="G1857">
        <f t="shared" si="57"/>
        <v>18083.03</v>
      </c>
    </row>
    <row r="1858" spans="1:7" ht="12.75" customHeight="1">
      <c r="A1858" s="3">
        <v>2707</v>
      </c>
      <c r="B1858" s="4" t="s">
        <v>1874</v>
      </c>
      <c r="C1858" s="3" t="s">
        <v>154</v>
      </c>
      <c r="D1858" s="5">
        <f t="shared" si="56"/>
        <v>108.5</v>
      </c>
      <c r="E1858">
        <v>119.11</v>
      </c>
      <c r="F1858" s="1789">
        <v>8.8999999999999996E-2</v>
      </c>
      <c r="G1858">
        <f t="shared" si="57"/>
        <v>108.5</v>
      </c>
    </row>
    <row r="1859" spans="1:7" ht="12.75" customHeight="1">
      <c r="A1859" s="3">
        <v>40813</v>
      </c>
      <c r="B1859" s="4" t="s">
        <v>1875</v>
      </c>
      <c r="C1859" s="3" t="s">
        <v>156</v>
      </c>
      <c r="D1859" s="5">
        <f t="shared" ref="D1859:D1922" si="58">G1859</f>
        <v>19091.64</v>
      </c>
      <c r="E1859">
        <v>20956.8</v>
      </c>
      <c r="F1859" s="1789">
        <v>8.8999999999999996E-2</v>
      </c>
      <c r="G1859">
        <f t="shared" ref="G1859:G1922" si="59">TRUNC((1-F1859)*E1859,2)</f>
        <v>19091.64</v>
      </c>
    </row>
    <row r="1860" spans="1:7" ht="12.75" customHeight="1">
      <c r="A1860" s="3">
        <v>2708</v>
      </c>
      <c r="B1860" s="4" t="s">
        <v>1876</v>
      </c>
      <c r="C1860" s="3" t="s">
        <v>154</v>
      </c>
      <c r="D1860" s="5">
        <f t="shared" si="58"/>
        <v>129.4</v>
      </c>
      <c r="E1860">
        <v>142.05000000000001</v>
      </c>
      <c r="F1860" s="1789">
        <v>8.8999999999999996E-2</v>
      </c>
      <c r="G1860">
        <f t="shared" si="59"/>
        <v>129.4</v>
      </c>
    </row>
    <row r="1861" spans="1:7" ht="12.75" customHeight="1">
      <c r="A1861" s="3">
        <v>40814</v>
      </c>
      <c r="B1861" s="4" t="s">
        <v>1877</v>
      </c>
      <c r="C1861" s="3" t="s">
        <v>156</v>
      </c>
      <c r="D1861" s="5">
        <f t="shared" si="58"/>
        <v>22768.54</v>
      </c>
      <c r="E1861">
        <v>24992.91</v>
      </c>
      <c r="F1861" s="1789">
        <v>8.8999999999999996E-2</v>
      </c>
      <c r="G1861">
        <f t="shared" si="59"/>
        <v>22768.54</v>
      </c>
    </row>
    <row r="1862" spans="1:7" ht="12.75" customHeight="1">
      <c r="A1862" s="3">
        <v>38403</v>
      </c>
      <c r="B1862" s="4" t="s">
        <v>1878</v>
      </c>
      <c r="C1862" s="3" t="s">
        <v>6</v>
      </c>
      <c r="D1862" s="5">
        <f t="shared" si="58"/>
        <v>62.45</v>
      </c>
      <c r="E1862">
        <v>68.56</v>
      </c>
      <c r="F1862" s="1789">
        <v>8.8999999999999996E-2</v>
      </c>
      <c r="G1862">
        <f t="shared" si="59"/>
        <v>62.45</v>
      </c>
    </row>
    <row r="1863" spans="1:7" ht="12.75" customHeight="1">
      <c r="A1863" s="3">
        <v>43482</v>
      </c>
      <c r="B1863" s="4" t="s">
        <v>1879</v>
      </c>
      <c r="C1863" s="3" t="s">
        <v>154</v>
      </c>
      <c r="D1863" s="5">
        <f t="shared" si="58"/>
        <v>0.71</v>
      </c>
      <c r="E1863">
        <v>0.79</v>
      </c>
      <c r="F1863" s="1789">
        <v>8.8999999999999996E-2</v>
      </c>
      <c r="G1863">
        <f t="shared" si="59"/>
        <v>0.71</v>
      </c>
    </row>
    <row r="1864" spans="1:7" ht="12.75" customHeight="1">
      <c r="A1864" s="3">
        <v>43494</v>
      </c>
      <c r="B1864" s="4" t="s">
        <v>1880</v>
      </c>
      <c r="C1864" s="3" t="s">
        <v>156</v>
      </c>
      <c r="D1864" s="5">
        <f t="shared" si="58"/>
        <v>134.86000000000001</v>
      </c>
      <c r="E1864">
        <v>148.04</v>
      </c>
      <c r="F1864" s="1789">
        <v>8.8999999999999996E-2</v>
      </c>
      <c r="G1864">
        <f t="shared" si="59"/>
        <v>134.86000000000001</v>
      </c>
    </row>
    <row r="1865" spans="1:7" ht="12.75" customHeight="1">
      <c r="A1865" s="3">
        <v>43483</v>
      </c>
      <c r="B1865" s="4" t="s">
        <v>1881</v>
      </c>
      <c r="C1865" s="3" t="s">
        <v>154</v>
      </c>
      <c r="D1865" s="5">
        <f t="shared" si="58"/>
        <v>1.3</v>
      </c>
      <c r="E1865">
        <v>1.43</v>
      </c>
      <c r="F1865" s="1789">
        <v>8.8999999999999996E-2</v>
      </c>
      <c r="G1865">
        <f t="shared" si="59"/>
        <v>1.3</v>
      </c>
    </row>
    <row r="1866" spans="1:7" ht="12.75" customHeight="1">
      <c r="A1866" s="3">
        <v>43495</v>
      </c>
      <c r="B1866" s="4" t="s">
        <v>1882</v>
      </c>
      <c r="C1866" s="3" t="s">
        <v>156</v>
      </c>
      <c r="D1866" s="5">
        <f t="shared" si="58"/>
        <v>245.94</v>
      </c>
      <c r="E1866">
        <v>269.97000000000003</v>
      </c>
      <c r="F1866" s="1789">
        <v>8.8999999999999996E-2</v>
      </c>
      <c r="G1866">
        <f t="shared" si="59"/>
        <v>245.94</v>
      </c>
    </row>
    <row r="1867" spans="1:7" ht="12.75" customHeight="1">
      <c r="A1867" s="3">
        <v>43484</v>
      </c>
      <c r="B1867" s="4" t="s">
        <v>1883</v>
      </c>
      <c r="C1867" s="3" t="s">
        <v>154</v>
      </c>
      <c r="D1867" s="5">
        <f t="shared" si="58"/>
        <v>1.0900000000000001</v>
      </c>
      <c r="E1867">
        <v>1.2</v>
      </c>
      <c r="F1867" s="1789">
        <v>8.8999999999999996E-2</v>
      </c>
      <c r="G1867">
        <f t="shared" si="59"/>
        <v>1.0900000000000001</v>
      </c>
    </row>
    <row r="1868" spans="1:7" ht="12.75" customHeight="1">
      <c r="A1868" s="3">
        <v>43496</v>
      </c>
      <c r="B1868" s="4" t="s">
        <v>1884</v>
      </c>
      <c r="C1868" s="3" t="s">
        <v>156</v>
      </c>
      <c r="D1868" s="5">
        <f t="shared" si="58"/>
        <v>206.25</v>
      </c>
      <c r="E1868">
        <v>226.41</v>
      </c>
      <c r="F1868" s="1789">
        <v>8.8999999999999996E-2</v>
      </c>
      <c r="G1868">
        <f t="shared" si="59"/>
        <v>206.25</v>
      </c>
    </row>
    <row r="1869" spans="1:7" ht="12.75" customHeight="1">
      <c r="A1869" s="3">
        <v>43485</v>
      </c>
      <c r="B1869" s="4" t="s">
        <v>1885</v>
      </c>
      <c r="C1869" s="3" t="s">
        <v>154</v>
      </c>
      <c r="D1869" s="5">
        <f t="shared" si="58"/>
        <v>0.96</v>
      </c>
      <c r="E1869">
        <v>1.06</v>
      </c>
      <c r="F1869" s="1789">
        <v>8.8999999999999996E-2</v>
      </c>
      <c r="G1869">
        <f t="shared" si="59"/>
        <v>0.96</v>
      </c>
    </row>
    <row r="1870" spans="1:7" ht="12.75" customHeight="1">
      <c r="A1870" s="3">
        <v>43497</v>
      </c>
      <c r="B1870" s="4" t="s">
        <v>1886</v>
      </c>
      <c r="C1870" s="3" t="s">
        <v>156</v>
      </c>
      <c r="D1870" s="5">
        <f t="shared" si="58"/>
        <v>181.47</v>
      </c>
      <c r="E1870">
        <v>199.2</v>
      </c>
      <c r="F1870" s="1789">
        <v>8.8999999999999996E-2</v>
      </c>
      <c r="G1870">
        <f t="shared" si="59"/>
        <v>181.47</v>
      </c>
    </row>
    <row r="1871" spans="1:7" ht="12.75" customHeight="1">
      <c r="A1871" s="3">
        <v>43487</v>
      </c>
      <c r="B1871" s="4" t="s">
        <v>1887</v>
      </c>
      <c r="C1871" s="3" t="s">
        <v>154</v>
      </c>
      <c r="D1871" s="5">
        <f t="shared" si="58"/>
        <v>1.1299999999999999</v>
      </c>
      <c r="E1871">
        <v>1.25</v>
      </c>
      <c r="F1871" s="1789">
        <v>8.8999999999999996E-2</v>
      </c>
      <c r="G1871">
        <f t="shared" si="59"/>
        <v>1.1299999999999999</v>
      </c>
    </row>
    <row r="1872" spans="1:7" ht="12.75" customHeight="1">
      <c r="A1872" s="3">
        <v>43499</v>
      </c>
      <c r="B1872" s="4" t="s">
        <v>1888</v>
      </c>
      <c r="C1872" s="3" t="s">
        <v>156</v>
      </c>
      <c r="D1872" s="5">
        <f t="shared" si="58"/>
        <v>215.14</v>
      </c>
      <c r="E1872">
        <v>236.16</v>
      </c>
      <c r="F1872" s="1789">
        <v>8.8999999999999996E-2</v>
      </c>
      <c r="G1872">
        <f t="shared" si="59"/>
        <v>215.14</v>
      </c>
    </row>
    <row r="1873" spans="1:7" ht="12.75" customHeight="1">
      <c r="A1873" s="3">
        <v>43486</v>
      </c>
      <c r="B1873" s="4" t="s">
        <v>1889</v>
      </c>
      <c r="C1873" s="3" t="s">
        <v>154</v>
      </c>
      <c r="D1873" s="5">
        <f t="shared" si="58"/>
        <v>0.67</v>
      </c>
      <c r="E1873">
        <v>0.74</v>
      </c>
      <c r="F1873" s="1789">
        <v>8.8999999999999996E-2</v>
      </c>
      <c r="G1873">
        <f t="shared" si="59"/>
        <v>0.67</v>
      </c>
    </row>
    <row r="1874" spans="1:7" ht="12.75" customHeight="1">
      <c r="A1874" s="3">
        <v>43498</v>
      </c>
      <c r="B1874" s="4" t="s">
        <v>1890</v>
      </c>
      <c r="C1874" s="3" t="s">
        <v>156</v>
      </c>
      <c r="D1874" s="5">
        <f t="shared" si="58"/>
        <v>127.74</v>
      </c>
      <c r="E1874">
        <v>140.22999999999999</v>
      </c>
      <c r="F1874" s="1789">
        <v>8.8999999999999996E-2</v>
      </c>
      <c r="G1874">
        <f t="shared" si="59"/>
        <v>127.74</v>
      </c>
    </row>
    <row r="1875" spans="1:7" ht="12.75" customHeight="1">
      <c r="A1875" s="3">
        <v>43488</v>
      </c>
      <c r="B1875" s="4" t="s">
        <v>1891</v>
      </c>
      <c r="C1875" s="3" t="s">
        <v>154</v>
      </c>
      <c r="D1875" s="5">
        <f t="shared" si="58"/>
        <v>0.78</v>
      </c>
      <c r="E1875">
        <v>0.86</v>
      </c>
      <c r="F1875" s="1789">
        <v>8.8999999999999996E-2</v>
      </c>
      <c r="G1875">
        <f t="shared" si="59"/>
        <v>0.78</v>
      </c>
    </row>
    <row r="1876" spans="1:7" ht="12.75" customHeight="1">
      <c r="A1876" s="3">
        <v>43500</v>
      </c>
      <c r="B1876" s="4" t="s">
        <v>1892</v>
      </c>
      <c r="C1876" s="3" t="s">
        <v>156</v>
      </c>
      <c r="D1876" s="5">
        <f t="shared" si="58"/>
        <v>148.46</v>
      </c>
      <c r="E1876">
        <v>162.97</v>
      </c>
      <c r="F1876" s="1789">
        <v>8.8999999999999996E-2</v>
      </c>
      <c r="G1876">
        <f t="shared" si="59"/>
        <v>148.46</v>
      </c>
    </row>
    <row r="1877" spans="1:7" ht="12.75" customHeight="1">
      <c r="A1877" s="3">
        <v>43489</v>
      </c>
      <c r="B1877" s="4" t="s">
        <v>1893</v>
      </c>
      <c r="C1877" s="3" t="s">
        <v>154</v>
      </c>
      <c r="D1877" s="5">
        <f t="shared" si="58"/>
        <v>1.1200000000000001</v>
      </c>
      <c r="E1877">
        <v>1.24</v>
      </c>
      <c r="F1877" s="1789">
        <v>8.8999999999999996E-2</v>
      </c>
      <c r="G1877">
        <f t="shared" si="59"/>
        <v>1.1200000000000001</v>
      </c>
    </row>
    <row r="1878" spans="1:7" ht="12.75" customHeight="1">
      <c r="A1878" s="3">
        <v>43501</v>
      </c>
      <c r="B1878" s="4" t="s">
        <v>1894</v>
      </c>
      <c r="C1878" s="3" t="s">
        <v>156</v>
      </c>
      <c r="D1878" s="5">
        <f t="shared" si="58"/>
        <v>212.58</v>
      </c>
      <c r="E1878">
        <v>233.35</v>
      </c>
      <c r="F1878" s="1789">
        <v>8.8999999999999996E-2</v>
      </c>
      <c r="G1878">
        <f t="shared" si="59"/>
        <v>212.58</v>
      </c>
    </row>
    <row r="1879" spans="1:7" ht="12.75" customHeight="1">
      <c r="A1879" s="3">
        <v>43490</v>
      </c>
      <c r="B1879" s="4" t="s">
        <v>1895</v>
      </c>
      <c r="C1879" s="3" t="s">
        <v>154</v>
      </c>
      <c r="D1879" s="5">
        <f t="shared" si="58"/>
        <v>1.57</v>
      </c>
      <c r="E1879">
        <v>1.73</v>
      </c>
      <c r="F1879" s="1789">
        <v>8.8999999999999996E-2</v>
      </c>
      <c r="G1879">
        <f t="shared" si="59"/>
        <v>1.57</v>
      </c>
    </row>
    <row r="1880" spans="1:7" ht="12.75" customHeight="1">
      <c r="A1880" s="3">
        <v>43502</v>
      </c>
      <c r="B1880" s="4" t="s">
        <v>1896</v>
      </c>
      <c r="C1880" s="3" t="s">
        <v>156</v>
      </c>
      <c r="D1880" s="5">
        <f t="shared" si="58"/>
        <v>296.52999999999997</v>
      </c>
      <c r="E1880">
        <v>325.51</v>
      </c>
      <c r="F1880" s="1789">
        <v>8.8999999999999996E-2</v>
      </c>
      <c r="G1880">
        <f t="shared" si="59"/>
        <v>296.52999999999997</v>
      </c>
    </row>
    <row r="1881" spans="1:7" ht="12.75" customHeight="1">
      <c r="A1881" s="3">
        <v>43491</v>
      </c>
      <c r="B1881" s="4" t="s">
        <v>1897</v>
      </c>
      <c r="C1881" s="3" t="s">
        <v>154</v>
      </c>
      <c r="D1881" s="5">
        <f t="shared" si="58"/>
        <v>1.21</v>
      </c>
      <c r="E1881">
        <v>1.33</v>
      </c>
      <c r="F1881" s="1789">
        <v>8.8999999999999996E-2</v>
      </c>
      <c r="G1881">
        <f t="shared" si="59"/>
        <v>1.21</v>
      </c>
    </row>
    <row r="1882" spans="1:7" ht="12.75" customHeight="1">
      <c r="A1882" s="3">
        <v>43503</v>
      </c>
      <c r="B1882" s="4" t="s">
        <v>1898</v>
      </c>
      <c r="C1882" s="3" t="s">
        <v>156</v>
      </c>
      <c r="D1882" s="5">
        <f t="shared" si="58"/>
        <v>227.96</v>
      </c>
      <c r="E1882">
        <v>250.24</v>
      </c>
      <c r="F1882" s="1789">
        <v>8.8999999999999996E-2</v>
      </c>
      <c r="G1882">
        <f t="shared" si="59"/>
        <v>227.96</v>
      </c>
    </row>
    <row r="1883" spans="1:7" ht="12.75" customHeight="1">
      <c r="A1883" s="3">
        <v>43492</v>
      </c>
      <c r="B1883" s="4" t="s">
        <v>1899</v>
      </c>
      <c r="C1883" s="3" t="s">
        <v>154</v>
      </c>
      <c r="D1883" s="5">
        <f t="shared" si="58"/>
        <v>1.63</v>
      </c>
      <c r="E1883">
        <v>1.79</v>
      </c>
      <c r="F1883" s="1789">
        <v>8.8999999999999996E-2</v>
      </c>
      <c r="G1883">
        <f t="shared" si="59"/>
        <v>1.63</v>
      </c>
    </row>
    <row r="1884" spans="1:7" ht="12.75" customHeight="1">
      <c r="A1884" s="3">
        <v>43504</v>
      </c>
      <c r="B1884" s="4" t="s">
        <v>1900</v>
      </c>
      <c r="C1884" s="3" t="s">
        <v>156</v>
      </c>
      <c r="D1884" s="5">
        <f t="shared" si="58"/>
        <v>307.79000000000002</v>
      </c>
      <c r="E1884">
        <v>337.87</v>
      </c>
      <c r="F1884" s="1789">
        <v>8.8999999999999996E-2</v>
      </c>
      <c r="G1884">
        <f t="shared" si="59"/>
        <v>307.79000000000002</v>
      </c>
    </row>
    <row r="1885" spans="1:7" ht="12.75" customHeight="1">
      <c r="A1885" s="3">
        <v>43493</v>
      </c>
      <c r="B1885" s="4" t="s">
        <v>1901</v>
      </c>
      <c r="C1885" s="3" t="s">
        <v>154</v>
      </c>
      <c r="D1885" s="5">
        <f t="shared" si="58"/>
        <v>0.64</v>
      </c>
      <c r="E1885">
        <v>0.71</v>
      </c>
      <c r="F1885" s="1789">
        <v>8.8999999999999996E-2</v>
      </c>
      <c r="G1885">
        <f t="shared" si="59"/>
        <v>0.64</v>
      </c>
    </row>
    <row r="1886" spans="1:7" ht="12.75" customHeight="1">
      <c r="A1886" s="3">
        <v>43505</v>
      </c>
      <c r="B1886" s="4" t="s">
        <v>1902</v>
      </c>
      <c r="C1886" s="3" t="s">
        <v>156</v>
      </c>
      <c r="D1886" s="5">
        <f t="shared" si="58"/>
        <v>121.1</v>
      </c>
      <c r="E1886">
        <v>132.94</v>
      </c>
      <c r="F1886" s="1789">
        <v>8.8999999999999996E-2</v>
      </c>
      <c r="G1886">
        <f t="shared" si="59"/>
        <v>121.1</v>
      </c>
    </row>
    <row r="1887" spans="1:7" ht="12.75" customHeight="1">
      <c r="A1887" s="3">
        <v>37774</v>
      </c>
      <c r="B1887" s="4" t="s">
        <v>1903</v>
      </c>
      <c r="C1887" s="3" t="s">
        <v>6</v>
      </c>
      <c r="D1887" s="5">
        <f t="shared" si="58"/>
        <v>514828.61</v>
      </c>
      <c r="E1887">
        <v>565124.71</v>
      </c>
      <c r="F1887" s="1789">
        <v>8.8999999999999996E-2</v>
      </c>
      <c r="G1887">
        <f t="shared" si="59"/>
        <v>514828.61</v>
      </c>
    </row>
    <row r="1888" spans="1:7" ht="12.75" customHeight="1">
      <c r="A1888" s="3">
        <v>38629</v>
      </c>
      <c r="B1888" s="4" t="s">
        <v>1904</v>
      </c>
      <c r="C1888" s="3" t="s">
        <v>6</v>
      </c>
      <c r="D1888" s="5">
        <f t="shared" si="58"/>
        <v>2602671.33</v>
      </c>
      <c r="E1888">
        <v>2856938.9</v>
      </c>
      <c r="F1888" s="1789">
        <v>8.8999999999999996E-2</v>
      </c>
      <c r="G1888">
        <f t="shared" si="59"/>
        <v>2602671.33</v>
      </c>
    </row>
    <row r="1889" spans="1:7" ht="12.75" customHeight="1">
      <c r="A1889" s="3">
        <v>38630</v>
      </c>
      <c r="B1889" s="4" t="s">
        <v>1905</v>
      </c>
      <c r="C1889" s="3" t="s">
        <v>6</v>
      </c>
      <c r="D1889" s="5">
        <f t="shared" si="58"/>
        <v>1748461.25</v>
      </c>
      <c r="E1889">
        <v>1919276.9</v>
      </c>
      <c r="F1889" s="1789">
        <v>8.8999999999999996E-2</v>
      </c>
      <c r="G1889">
        <f t="shared" si="59"/>
        <v>1748461.25</v>
      </c>
    </row>
    <row r="1890" spans="1:7" ht="12.75" customHeight="1">
      <c r="A1890" s="3">
        <v>38476</v>
      </c>
      <c r="B1890" s="4" t="s">
        <v>1906</v>
      </c>
      <c r="C1890" s="3" t="s">
        <v>6</v>
      </c>
      <c r="D1890" s="5">
        <f t="shared" si="58"/>
        <v>469.41</v>
      </c>
      <c r="E1890">
        <v>515.27</v>
      </c>
      <c r="F1890" s="1789">
        <v>8.8999999999999996E-2</v>
      </c>
      <c r="G1890">
        <f t="shared" si="59"/>
        <v>469.41</v>
      </c>
    </row>
    <row r="1891" spans="1:7" ht="12.75" customHeight="1">
      <c r="A1891" s="3">
        <v>38477</v>
      </c>
      <c r="B1891" s="4" t="s">
        <v>1907</v>
      </c>
      <c r="C1891" s="3" t="s">
        <v>6</v>
      </c>
      <c r="D1891" s="5">
        <f t="shared" si="58"/>
        <v>1329.35</v>
      </c>
      <c r="E1891">
        <v>1459.23</v>
      </c>
      <c r="F1891" s="1789">
        <v>8.8999999999999996E-2</v>
      </c>
      <c r="G1891">
        <f t="shared" si="59"/>
        <v>1329.35</v>
      </c>
    </row>
    <row r="1892" spans="1:7" ht="12.75" customHeight="1">
      <c r="A1892" s="3">
        <v>40635</v>
      </c>
      <c r="B1892" s="4" t="s">
        <v>1908</v>
      </c>
      <c r="C1892" s="3" t="s">
        <v>6</v>
      </c>
      <c r="D1892" s="5">
        <f t="shared" si="58"/>
        <v>865221.61</v>
      </c>
      <c r="E1892">
        <v>949749.3</v>
      </c>
      <c r="F1892" s="1789">
        <v>8.8999999999999996E-2</v>
      </c>
      <c r="G1892">
        <f t="shared" si="59"/>
        <v>865221.61</v>
      </c>
    </row>
    <row r="1893" spans="1:7" ht="12.75" customHeight="1">
      <c r="A1893" s="3">
        <v>36483</v>
      </c>
      <c r="B1893" s="4" t="s">
        <v>1909</v>
      </c>
      <c r="C1893" s="3" t="s">
        <v>6</v>
      </c>
      <c r="D1893" s="5">
        <f t="shared" si="58"/>
        <v>784029.37</v>
      </c>
      <c r="E1893">
        <v>860625</v>
      </c>
      <c r="F1893" s="1789">
        <v>8.8999999999999996E-2</v>
      </c>
      <c r="G1893">
        <f t="shared" si="59"/>
        <v>784029.37</v>
      </c>
    </row>
    <row r="1894" spans="1:7" ht="12.75" customHeight="1">
      <c r="A1894" s="3">
        <v>14525</v>
      </c>
      <c r="B1894" s="4" t="s">
        <v>1910</v>
      </c>
      <c r="C1894" s="3" t="s">
        <v>6</v>
      </c>
      <c r="D1894" s="5">
        <f t="shared" si="58"/>
        <v>820924.87</v>
      </c>
      <c r="E1894">
        <v>901125</v>
      </c>
      <c r="F1894" s="1789">
        <v>8.8999999999999996E-2</v>
      </c>
      <c r="G1894">
        <f t="shared" si="59"/>
        <v>820924.87</v>
      </c>
    </row>
    <row r="1895" spans="1:7" ht="12.75" customHeight="1">
      <c r="A1895" s="3">
        <v>36408</v>
      </c>
      <c r="B1895" s="4" t="s">
        <v>1911</v>
      </c>
      <c r="C1895" s="3" t="s">
        <v>6</v>
      </c>
      <c r="D1895" s="5">
        <f t="shared" si="58"/>
        <v>841217.4</v>
      </c>
      <c r="E1895">
        <v>923400</v>
      </c>
      <c r="F1895" s="1789">
        <v>8.8999999999999996E-2</v>
      </c>
      <c r="G1895">
        <f t="shared" si="59"/>
        <v>841217.4</v>
      </c>
    </row>
    <row r="1896" spans="1:7" ht="12.75" customHeight="1">
      <c r="A1896" s="3">
        <v>2723</v>
      </c>
      <c r="B1896" s="4" t="s">
        <v>1912</v>
      </c>
      <c r="C1896" s="3" t="s">
        <v>6</v>
      </c>
      <c r="D1896" s="5">
        <f t="shared" si="58"/>
        <v>645671.25</v>
      </c>
      <c r="E1896">
        <v>708750</v>
      </c>
      <c r="F1896" s="1789">
        <v>8.8999999999999996E-2</v>
      </c>
      <c r="G1896">
        <f t="shared" si="59"/>
        <v>645671.25</v>
      </c>
    </row>
    <row r="1897" spans="1:7" ht="12.75" customHeight="1">
      <c r="A1897" s="3">
        <v>36481</v>
      </c>
      <c r="B1897" s="4" t="s">
        <v>1913</v>
      </c>
      <c r="C1897" s="3" t="s">
        <v>6</v>
      </c>
      <c r="D1897" s="5">
        <f t="shared" si="58"/>
        <v>770193.56</v>
      </c>
      <c r="E1897">
        <v>845437.5</v>
      </c>
      <c r="F1897" s="1789">
        <v>8.8999999999999996E-2</v>
      </c>
      <c r="G1897">
        <f t="shared" si="59"/>
        <v>770193.56</v>
      </c>
    </row>
    <row r="1898" spans="1:7" ht="12.75" customHeight="1">
      <c r="A1898" s="3">
        <v>36482</v>
      </c>
      <c r="B1898" s="4" t="s">
        <v>1914</v>
      </c>
      <c r="C1898" s="3" t="s">
        <v>6</v>
      </c>
      <c r="D1898" s="5">
        <f t="shared" si="58"/>
        <v>704057.41</v>
      </c>
      <c r="E1898">
        <v>772840.19</v>
      </c>
      <c r="F1898" s="1789">
        <v>8.8999999999999996E-2</v>
      </c>
      <c r="G1898">
        <f t="shared" si="59"/>
        <v>704057.41</v>
      </c>
    </row>
    <row r="1899" spans="1:7" ht="12.75" customHeight="1">
      <c r="A1899" s="3">
        <v>10685</v>
      </c>
      <c r="B1899" s="4" t="s">
        <v>1915</v>
      </c>
      <c r="C1899" s="3" t="s">
        <v>6</v>
      </c>
      <c r="D1899" s="5">
        <f t="shared" si="58"/>
        <v>737910</v>
      </c>
      <c r="E1899">
        <v>810000</v>
      </c>
      <c r="F1899" s="1789">
        <v>8.8999999999999996E-2</v>
      </c>
      <c r="G1899">
        <f t="shared" si="59"/>
        <v>737910</v>
      </c>
    </row>
    <row r="1900" spans="1:7" ht="12.75" customHeight="1">
      <c r="A1900" s="3">
        <v>40636</v>
      </c>
      <c r="B1900" s="4" t="s">
        <v>1916</v>
      </c>
      <c r="C1900" s="3" t="s">
        <v>6</v>
      </c>
      <c r="D1900" s="5">
        <f t="shared" si="58"/>
        <v>832938.04</v>
      </c>
      <c r="E1900">
        <v>914311.8</v>
      </c>
      <c r="F1900" s="1789">
        <v>8.8999999999999996E-2</v>
      </c>
      <c r="G1900">
        <f t="shared" si="59"/>
        <v>832938.04</v>
      </c>
    </row>
    <row r="1901" spans="1:7" ht="12.75" customHeight="1">
      <c r="A1901" s="3">
        <v>4111</v>
      </c>
      <c r="B1901" s="4" t="s">
        <v>1917</v>
      </c>
      <c r="C1901" s="3" t="s">
        <v>6</v>
      </c>
      <c r="D1901" s="5">
        <f t="shared" si="58"/>
        <v>65.12</v>
      </c>
      <c r="E1901">
        <v>71.489999999999995</v>
      </c>
      <c r="F1901" s="1789">
        <v>8.8999999999999996E-2</v>
      </c>
      <c r="G1901">
        <f t="shared" si="59"/>
        <v>65.12</v>
      </c>
    </row>
    <row r="1902" spans="1:7" ht="12.75" customHeight="1">
      <c r="A1902" s="3">
        <v>44538</v>
      </c>
      <c r="B1902" s="4" t="s">
        <v>1918</v>
      </c>
      <c r="C1902" s="3" t="s">
        <v>6</v>
      </c>
      <c r="D1902" s="5">
        <f t="shared" si="58"/>
        <v>85.23</v>
      </c>
      <c r="E1902">
        <v>93.56</v>
      </c>
      <c r="F1902" s="1789">
        <v>8.8999999999999996E-2</v>
      </c>
      <c r="G1902">
        <f t="shared" si="59"/>
        <v>85.23</v>
      </c>
    </row>
    <row r="1903" spans="1:7" ht="12.75" customHeight="1">
      <c r="A1903" s="3">
        <v>12</v>
      </c>
      <c r="B1903" s="4" t="s">
        <v>1919</v>
      </c>
      <c r="C1903" s="3" t="s">
        <v>6</v>
      </c>
      <c r="D1903" s="5">
        <f t="shared" si="58"/>
        <v>18.11</v>
      </c>
      <c r="E1903">
        <v>19.89</v>
      </c>
      <c r="F1903" s="1789">
        <v>8.8999999999999996E-2</v>
      </c>
      <c r="G1903">
        <f t="shared" si="59"/>
        <v>18.11</v>
      </c>
    </row>
    <row r="1904" spans="1:7" ht="12.75" customHeight="1">
      <c r="A1904" s="3">
        <v>37554</v>
      </c>
      <c r="B1904" s="4" t="s">
        <v>1920</v>
      </c>
      <c r="C1904" s="3" t="s">
        <v>6</v>
      </c>
      <c r="D1904" s="5">
        <f t="shared" si="58"/>
        <v>171.06</v>
      </c>
      <c r="E1904">
        <v>187.78</v>
      </c>
      <c r="F1904" s="1789">
        <v>8.8999999999999996E-2</v>
      </c>
      <c r="G1904">
        <f t="shared" si="59"/>
        <v>171.06</v>
      </c>
    </row>
    <row r="1905" spans="1:7" ht="12.75" customHeight="1">
      <c r="A1905" s="3">
        <v>37555</v>
      </c>
      <c r="B1905" s="4" t="s">
        <v>1921</v>
      </c>
      <c r="C1905" s="3" t="s">
        <v>6</v>
      </c>
      <c r="D1905" s="5">
        <f t="shared" si="58"/>
        <v>208.09</v>
      </c>
      <c r="E1905">
        <v>228.42</v>
      </c>
      <c r="F1905" s="1789">
        <v>8.8999999999999996E-2</v>
      </c>
      <c r="G1905">
        <f t="shared" si="59"/>
        <v>208.09</v>
      </c>
    </row>
    <row r="1906" spans="1:7" ht="12.75" customHeight="1">
      <c r="A1906" s="3">
        <v>10902</v>
      </c>
      <c r="B1906" s="4" t="s">
        <v>1922</v>
      </c>
      <c r="C1906" s="3" t="s">
        <v>6</v>
      </c>
      <c r="D1906" s="5">
        <f t="shared" si="58"/>
        <v>52.21</v>
      </c>
      <c r="E1906">
        <v>57.32</v>
      </c>
      <c r="F1906" s="1789">
        <v>8.8999999999999996E-2</v>
      </c>
      <c r="G1906">
        <f t="shared" si="59"/>
        <v>52.21</v>
      </c>
    </row>
    <row r="1907" spans="1:7" ht="12.75" customHeight="1">
      <c r="A1907" s="3">
        <v>20965</v>
      </c>
      <c r="B1907" s="4" t="s">
        <v>1923</v>
      </c>
      <c r="C1907" s="3" t="s">
        <v>6</v>
      </c>
      <c r="D1907" s="5">
        <f t="shared" si="58"/>
        <v>52.7</v>
      </c>
      <c r="E1907">
        <v>57.85</v>
      </c>
      <c r="F1907" s="1789">
        <v>8.8999999999999996E-2</v>
      </c>
      <c r="G1907">
        <f t="shared" si="59"/>
        <v>52.7</v>
      </c>
    </row>
    <row r="1908" spans="1:7" ht="12.75" customHeight="1">
      <c r="A1908" s="3">
        <v>20966</v>
      </c>
      <c r="B1908" s="4" t="s">
        <v>1924</v>
      </c>
      <c r="C1908" s="3" t="s">
        <v>6</v>
      </c>
      <c r="D1908" s="5">
        <f t="shared" si="58"/>
        <v>56.74</v>
      </c>
      <c r="E1908">
        <v>62.29</v>
      </c>
      <c r="F1908" s="1789">
        <v>8.8999999999999996E-2</v>
      </c>
      <c r="G1908">
        <f t="shared" si="59"/>
        <v>56.74</v>
      </c>
    </row>
    <row r="1909" spans="1:7" ht="12.75" customHeight="1">
      <c r="A1909" s="3">
        <v>10903</v>
      </c>
      <c r="B1909" s="4" t="s">
        <v>1925</v>
      </c>
      <c r="C1909" s="3" t="s">
        <v>6</v>
      </c>
      <c r="D1909" s="5">
        <f t="shared" si="58"/>
        <v>86</v>
      </c>
      <c r="E1909">
        <v>94.41</v>
      </c>
      <c r="F1909" s="1789">
        <v>8.8999999999999996E-2</v>
      </c>
      <c r="G1909">
        <f t="shared" si="59"/>
        <v>86</v>
      </c>
    </row>
    <row r="1910" spans="1:7" ht="12.75" customHeight="1">
      <c r="A1910" s="3">
        <v>20967</v>
      </c>
      <c r="B1910" s="4" t="s">
        <v>1926</v>
      </c>
      <c r="C1910" s="3" t="s">
        <v>6</v>
      </c>
      <c r="D1910" s="5">
        <f t="shared" si="58"/>
        <v>86</v>
      </c>
      <c r="E1910">
        <v>94.41</v>
      </c>
      <c r="F1910" s="1789">
        <v>8.8999999999999996E-2</v>
      </c>
      <c r="G1910">
        <f t="shared" si="59"/>
        <v>86</v>
      </c>
    </row>
    <row r="1911" spans="1:7" ht="12.75" customHeight="1">
      <c r="A1911" s="3">
        <v>20968</v>
      </c>
      <c r="B1911" s="4" t="s">
        <v>1927</v>
      </c>
      <c r="C1911" s="3" t="s">
        <v>6</v>
      </c>
      <c r="D1911" s="5">
        <f t="shared" si="58"/>
        <v>94.33</v>
      </c>
      <c r="E1911">
        <v>103.55</v>
      </c>
      <c r="F1911" s="1789">
        <v>8.8999999999999996E-2</v>
      </c>
      <c r="G1911">
        <f t="shared" si="59"/>
        <v>94.33</v>
      </c>
    </row>
    <row r="1912" spans="1:7" ht="12.75" customHeight="1">
      <c r="A1912" s="3">
        <v>11359</v>
      </c>
      <c r="B1912" s="4" t="s">
        <v>1928</v>
      </c>
      <c r="C1912" s="3" t="s">
        <v>6</v>
      </c>
      <c r="D1912" s="5">
        <f t="shared" si="58"/>
        <v>956.55</v>
      </c>
      <c r="E1912">
        <v>1050</v>
      </c>
      <c r="F1912" s="1789">
        <v>8.8999999999999996E-2</v>
      </c>
      <c r="G1912">
        <f t="shared" si="59"/>
        <v>956.55</v>
      </c>
    </row>
    <row r="1913" spans="1:7" ht="12.75" customHeight="1">
      <c r="A1913" s="3">
        <v>39017</v>
      </c>
      <c r="B1913" s="4" t="s">
        <v>1929</v>
      </c>
      <c r="C1913" s="3" t="s">
        <v>6</v>
      </c>
      <c r="D1913" s="5">
        <f t="shared" si="58"/>
        <v>0.2</v>
      </c>
      <c r="E1913">
        <v>0.22</v>
      </c>
      <c r="F1913" s="1789">
        <v>8.8999999999999996E-2</v>
      </c>
      <c r="G1913">
        <f t="shared" si="59"/>
        <v>0.2</v>
      </c>
    </row>
    <row r="1914" spans="1:7" ht="12.75" customHeight="1">
      <c r="A1914" s="3">
        <v>39315</v>
      </c>
      <c r="B1914" s="4" t="s">
        <v>1930</v>
      </c>
      <c r="C1914" s="3" t="s">
        <v>6</v>
      </c>
      <c r="D1914" s="5">
        <f t="shared" si="58"/>
        <v>0.31</v>
      </c>
      <c r="E1914">
        <v>0.35</v>
      </c>
      <c r="F1914" s="1789">
        <v>8.8999999999999996E-2</v>
      </c>
      <c r="G1914">
        <f t="shared" si="59"/>
        <v>0.31</v>
      </c>
    </row>
    <row r="1915" spans="1:7" ht="12.75" customHeight="1">
      <c r="A1915" s="3">
        <v>39016</v>
      </c>
      <c r="B1915" s="4" t="s">
        <v>1931</v>
      </c>
      <c r="C1915" s="3" t="s">
        <v>6</v>
      </c>
      <c r="D1915" s="5">
        <f t="shared" si="58"/>
        <v>0.32</v>
      </c>
      <c r="E1915">
        <v>0.36</v>
      </c>
      <c r="F1915" s="1789">
        <v>8.8999999999999996E-2</v>
      </c>
      <c r="G1915">
        <f t="shared" si="59"/>
        <v>0.32</v>
      </c>
    </row>
    <row r="1916" spans="1:7" ht="12.75" customHeight="1">
      <c r="A1916" s="3">
        <v>39481</v>
      </c>
      <c r="B1916" s="4" t="s">
        <v>1932</v>
      </c>
      <c r="C1916" s="3" t="s">
        <v>6</v>
      </c>
      <c r="D1916" s="5">
        <f t="shared" si="58"/>
        <v>1.58</v>
      </c>
      <c r="E1916">
        <v>1.74</v>
      </c>
      <c r="F1916" s="1789">
        <v>8.8999999999999996E-2</v>
      </c>
      <c r="G1916">
        <f t="shared" si="59"/>
        <v>1.58</v>
      </c>
    </row>
    <row r="1917" spans="1:7" ht="12.75" customHeight="1">
      <c r="A1917" s="3">
        <v>39013</v>
      </c>
      <c r="B1917" s="4" t="s">
        <v>1933</v>
      </c>
      <c r="C1917" s="3" t="s">
        <v>6</v>
      </c>
      <c r="D1917" s="5">
        <f t="shared" si="58"/>
        <v>1.34</v>
      </c>
      <c r="E1917">
        <v>1.48</v>
      </c>
      <c r="F1917" s="1789">
        <v>8.8999999999999996E-2</v>
      </c>
      <c r="G1917">
        <f t="shared" si="59"/>
        <v>1.34</v>
      </c>
    </row>
    <row r="1918" spans="1:7" ht="12.75" customHeight="1">
      <c r="A1918" s="3">
        <v>44919</v>
      </c>
      <c r="B1918" s="4" t="s">
        <v>1934</v>
      </c>
      <c r="C1918" s="3" t="s">
        <v>6</v>
      </c>
      <c r="D1918" s="5">
        <f t="shared" si="58"/>
        <v>2.52</v>
      </c>
      <c r="E1918">
        <v>2.77</v>
      </c>
      <c r="F1918" s="1789">
        <v>8.8999999999999996E-2</v>
      </c>
      <c r="G1918">
        <f t="shared" si="59"/>
        <v>2.52</v>
      </c>
    </row>
    <row r="1919" spans="1:7" ht="12.75" customHeight="1">
      <c r="A1919" s="3">
        <v>40433</v>
      </c>
      <c r="B1919" s="4" t="s">
        <v>1935</v>
      </c>
      <c r="C1919" s="3" t="s">
        <v>6</v>
      </c>
      <c r="D1919" s="5">
        <f t="shared" si="58"/>
        <v>1.39</v>
      </c>
      <c r="E1919">
        <v>1.53</v>
      </c>
      <c r="F1919" s="1789">
        <v>8.8999999999999996E-2</v>
      </c>
      <c r="G1919">
        <f t="shared" si="59"/>
        <v>1.39</v>
      </c>
    </row>
    <row r="1920" spans="1:7" ht="12.75" customHeight="1">
      <c r="A1920" s="3">
        <v>20219</v>
      </c>
      <c r="B1920" s="4" t="s">
        <v>1936</v>
      </c>
      <c r="C1920" s="3" t="s">
        <v>6</v>
      </c>
      <c r="D1920" s="5">
        <f t="shared" si="58"/>
        <v>105676</v>
      </c>
      <c r="E1920">
        <v>116000</v>
      </c>
      <c r="F1920" s="1789">
        <v>8.8999999999999996E-2</v>
      </c>
      <c r="G1920">
        <f t="shared" si="59"/>
        <v>105676</v>
      </c>
    </row>
    <row r="1921" spans="1:7" ht="12.75" customHeight="1">
      <c r="A1921" s="3">
        <v>36484</v>
      </c>
      <c r="B1921" s="4" t="s">
        <v>1937</v>
      </c>
      <c r="C1921" s="3" t="s">
        <v>6</v>
      </c>
      <c r="D1921" s="5">
        <f t="shared" si="58"/>
        <v>224330.89</v>
      </c>
      <c r="E1921">
        <v>246246.87</v>
      </c>
      <c r="F1921" s="1789">
        <v>8.8999999999999996E-2</v>
      </c>
      <c r="G1921">
        <f t="shared" si="59"/>
        <v>224330.89</v>
      </c>
    </row>
    <row r="1922" spans="1:7" ht="12.75" customHeight="1">
      <c r="A1922" s="3">
        <v>38367</v>
      </c>
      <c r="B1922" s="4" t="s">
        <v>1938</v>
      </c>
      <c r="C1922" s="3" t="s">
        <v>6</v>
      </c>
      <c r="D1922" s="5">
        <f t="shared" si="58"/>
        <v>25.21</v>
      </c>
      <c r="E1922">
        <v>27.68</v>
      </c>
      <c r="F1922" s="1789">
        <v>8.8999999999999996E-2</v>
      </c>
      <c r="G1922">
        <f t="shared" si="59"/>
        <v>25.21</v>
      </c>
    </row>
    <row r="1923" spans="1:7" ht="12.75" customHeight="1">
      <c r="A1923" s="3">
        <v>38368</v>
      </c>
      <c r="B1923" s="4" t="s">
        <v>1939</v>
      </c>
      <c r="C1923" s="3" t="s">
        <v>6</v>
      </c>
      <c r="D1923" s="5">
        <f t="shared" ref="D1923:D1986" si="60">G1923</f>
        <v>9</v>
      </c>
      <c r="E1923">
        <v>9.89</v>
      </c>
      <c r="F1923" s="1789">
        <v>8.8999999999999996E-2</v>
      </c>
      <c r="G1923">
        <f t="shared" ref="G1923:G1986" si="61">TRUNC((1-F1923)*E1923,2)</f>
        <v>9</v>
      </c>
    </row>
    <row r="1924" spans="1:7" ht="12.75" customHeight="1">
      <c r="A1924" s="3">
        <v>38091</v>
      </c>
      <c r="B1924" s="4" t="s">
        <v>1940</v>
      </c>
      <c r="C1924" s="3" t="s">
        <v>6</v>
      </c>
      <c r="D1924" s="5">
        <f t="shared" si="60"/>
        <v>2.09</v>
      </c>
      <c r="E1924">
        <v>2.2999999999999998</v>
      </c>
      <c r="F1924" s="1789">
        <v>8.8999999999999996E-2</v>
      </c>
      <c r="G1924">
        <f t="shared" si="61"/>
        <v>2.09</v>
      </c>
    </row>
    <row r="1925" spans="1:7" ht="12.75" customHeight="1">
      <c r="A1925" s="3">
        <v>38095</v>
      </c>
      <c r="B1925" s="4" t="s">
        <v>1941</v>
      </c>
      <c r="C1925" s="3" t="s">
        <v>6</v>
      </c>
      <c r="D1925" s="5">
        <f t="shared" si="60"/>
        <v>4.43</v>
      </c>
      <c r="E1925">
        <v>4.87</v>
      </c>
      <c r="F1925" s="1789">
        <v>8.8999999999999996E-2</v>
      </c>
      <c r="G1925">
        <f t="shared" si="61"/>
        <v>4.43</v>
      </c>
    </row>
    <row r="1926" spans="1:7" ht="12.75" customHeight="1">
      <c r="A1926" s="3">
        <v>38092</v>
      </c>
      <c r="B1926" s="4" t="s">
        <v>1942</v>
      </c>
      <c r="C1926" s="3" t="s">
        <v>6</v>
      </c>
      <c r="D1926" s="5">
        <f t="shared" si="60"/>
        <v>1.98</v>
      </c>
      <c r="E1926">
        <v>2.1800000000000002</v>
      </c>
      <c r="F1926" s="1789">
        <v>8.8999999999999996E-2</v>
      </c>
      <c r="G1926">
        <f t="shared" si="61"/>
        <v>1.98</v>
      </c>
    </row>
    <row r="1927" spans="1:7" ht="12.75" customHeight="1">
      <c r="A1927" s="3">
        <v>38093</v>
      </c>
      <c r="B1927" s="4" t="s">
        <v>1943</v>
      </c>
      <c r="C1927" s="3" t="s">
        <v>6</v>
      </c>
      <c r="D1927" s="5">
        <f t="shared" si="60"/>
        <v>2.04</v>
      </c>
      <c r="E1927">
        <v>2.25</v>
      </c>
      <c r="F1927" s="1789">
        <v>8.8999999999999996E-2</v>
      </c>
      <c r="G1927">
        <f t="shared" si="61"/>
        <v>2.04</v>
      </c>
    </row>
    <row r="1928" spans="1:7" ht="12.75" customHeight="1">
      <c r="A1928" s="3">
        <v>38096</v>
      </c>
      <c r="B1928" s="4" t="s">
        <v>1944</v>
      </c>
      <c r="C1928" s="3" t="s">
        <v>6</v>
      </c>
      <c r="D1928" s="5">
        <f t="shared" si="60"/>
        <v>4.76</v>
      </c>
      <c r="E1928">
        <v>5.23</v>
      </c>
      <c r="F1928" s="1789">
        <v>8.8999999999999996E-2</v>
      </c>
      <c r="G1928">
        <f t="shared" si="61"/>
        <v>4.76</v>
      </c>
    </row>
    <row r="1929" spans="1:7" ht="12.75" customHeight="1">
      <c r="A1929" s="3">
        <v>38094</v>
      </c>
      <c r="B1929" s="4" t="s">
        <v>1945</v>
      </c>
      <c r="C1929" s="3" t="s">
        <v>6</v>
      </c>
      <c r="D1929" s="5">
        <f t="shared" si="60"/>
        <v>2.5099999999999998</v>
      </c>
      <c r="E1929">
        <v>2.76</v>
      </c>
      <c r="F1929" s="1789">
        <v>8.8999999999999996E-2</v>
      </c>
      <c r="G1929">
        <f t="shared" si="61"/>
        <v>2.5099999999999998</v>
      </c>
    </row>
    <row r="1930" spans="1:7" ht="12.75" customHeight="1">
      <c r="A1930" s="3">
        <v>38097</v>
      </c>
      <c r="B1930" s="4" t="s">
        <v>1946</v>
      </c>
      <c r="C1930" s="3" t="s">
        <v>6</v>
      </c>
      <c r="D1930" s="5">
        <f t="shared" si="60"/>
        <v>5.1100000000000003</v>
      </c>
      <c r="E1930">
        <v>5.61</v>
      </c>
      <c r="F1930" s="1789">
        <v>8.8999999999999996E-2</v>
      </c>
      <c r="G1930">
        <f t="shared" si="61"/>
        <v>5.1100000000000003</v>
      </c>
    </row>
    <row r="1931" spans="1:7" ht="12.75" customHeight="1">
      <c r="A1931" s="3">
        <v>38098</v>
      </c>
      <c r="B1931" s="4" t="s">
        <v>1947</v>
      </c>
      <c r="C1931" s="3" t="s">
        <v>6</v>
      </c>
      <c r="D1931" s="5">
        <f t="shared" si="60"/>
        <v>5.1100000000000003</v>
      </c>
      <c r="E1931">
        <v>5.61</v>
      </c>
      <c r="F1931" s="1789">
        <v>8.8999999999999996E-2</v>
      </c>
      <c r="G1931">
        <f t="shared" si="61"/>
        <v>5.1100000000000003</v>
      </c>
    </row>
    <row r="1932" spans="1:7" ht="12.75" customHeight="1">
      <c r="A1932" s="3">
        <v>11186</v>
      </c>
      <c r="B1932" s="4" t="s">
        <v>1948</v>
      </c>
      <c r="C1932" s="3" t="s">
        <v>409</v>
      </c>
      <c r="D1932" s="5">
        <f t="shared" si="60"/>
        <v>470.07</v>
      </c>
      <c r="E1932">
        <v>516</v>
      </c>
      <c r="F1932" s="1789">
        <v>8.8999999999999996E-2</v>
      </c>
      <c r="G1932">
        <f t="shared" si="61"/>
        <v>470.07</v>
      </c>
    </row>
    <row r="1933" spans="1:7" ht="12.75" customHeight="1">
      <c r="A1933" s="3">
        <v>11558</v>
      </c>
      <c r="B1933" s="4" t="s">
        <v>1949</v>
      </c>
      <c r="C1933" s="3" t="s">
        <v>423</v>
      </c>
      <c r="D1933" s="5">
        <f t="shared" si="60"/>
        <v>15.46</v>
      </c>
      <c r="E1933">
        <v>16.98</v>
      </c>
      <c r="F1933" s="1789">
        <v>8.8999999999999996E-2</v>
      </c>
      <c r="G1933">
        <f t="shared" si="61"/>
        <v>15.46</v>
      </c>
    </row>
    <row r="1934" spans="1:7" ht="12.75" customHeight="1">
      <c r="A1934" s="3">
        <v>11557</v>
      </c>
      <c r="B1934" s="4" t="s">
        <v>1950</v>
      </c>
      <c r="C1934" s="3" t="s">
        <v>423</v>
      </c>
      <c r="D1934" s="5">
        <f t="shared" si="60"/>
        <v>39.159999999999997</v>
      </c>
      <c r="E1934">
        <v>42.99</v>
      </c>
      <c r="F1934" s="1789">
        <v>8.8999999999999996E-2</v>
      </c>
      <c r="G1934">
        <f t="shared" si="61"/>
        <v>39.159999999999997</v>
      </c>
    </row>
    <row r="1935" spans="1:7" ht="12.75" customHeight="1">
      <c r="A1935" s="3">
        <v>2759</v>
      </c>
      <c r="B1935" s="4" t="s">
        <v>1951</v>
      </c>
      <c r="C1935" s="3" t="s">
        <v>6</v>
      </c>
      <c r="D1935" s="5">
        <f t="shared" si="60"/>
        <v>8.81</v>
      </c>
      <c r="E1935">
        <v>9.68</v>
      </c>
      <c r="F1935" s="1789">
        <v>8.8999999999999996E-2</v>
      </c>
      <c r="G1935">
        <f t="shared" si="61"/>
        <v>8.81</v>
      </c>
    </row>
    <row r="1936" spans="1:7" ht="12.75" customHeight="1">
      <c r="A1936" s="3">
        <v>38124</v>
      </c>
      <c r="B1936" s="4" t="s">
        <v>1952</v>
      </c>
      <c r="C1936" s="3" t="s">
        <v>6</v>
      </c>
      <c r="D1936" s="5">
        <f t="shared" si="60"/>
        <v>27.23</v>
      </c>
      <c r="E1936">
        <v>29.9</v>
      </c>
      <c r="F1936" s="1789">
        <v>8.8999999999999996E-2</v>
      </c>
      <c r="G1936">
        <f t="shared" si="61"/>
        <v>27.23</v>
      </c>
    </row>
    <row r="1937" spans="1:7" ht="12.75" customHeight="1">
      <c r="A1937" s="3">
        <v>38380</v>
      </c>
      <c r="B1937" s="4" t="s">
        <v>1953</v>
      </c>
      <c r="C1937" s="3" t="s">
        <v>6</v>
      </c>
      <c r="D1937" s="5">
        <f t="shared" si="60"/>
        <v>40.07</v>
      </c>
      <c r="E1937">
        <v>43.99</v>
      </c>
      <c r="F1937" s="1789">
        <v>8.8999999999999996E-2</v>
      </c>
      <c r="G1937">
        <f t="shared" si="61"/>
        <v>40.07</v>
      </c>
    </row>
    <row r="1938" spans="1:7" ht="12.75" customHeight="1">
      <c r="A1938" s="3">
        <v>42429</v>
      </c>
      <c r="B1938" s="4" t="s">
        <v>1954</v>
      </c>
      <c r="C1938" s="3" t="s">
        <v>6</v>
      </c>
      <c r="D1938" s="5">
        <f t="shared" si="60"/>
        <v>5488.86</v>
      </c>
      <c r="E1938">
        <v>6025.1</v>
      </c>
      <c r="F1938" s="1789">
        <v>8.8999999999999996E-2</v>
      </c>
      <c r="G1938">
        <f t="shared" si="61"/>
        <v>5488.86</v>
      </c>
    </row>
    <row r="1939" spans="1:7" ht="12.75" customHeight="1">
      <c r="A1939" s="3">
        <v>39616</v>
      </c>
      <c r="B1939" s="4" t="s">
        <v>1955</v>
      </c>
      <c r="C1939" s="3" t="s">
        <v>6</v>
      </c>
      <c r="D1939" s="5">
        <f t="shared" si="60"/>
        <v>309.64999999999998</v>
      </c>
      <c r="E1939">
        <v>339.91</v>
      </c>
      <c r="F1939" s="1789">
        <v>8.8999999999999996E-2</v>
      </c>
      <c r="G1939">
        <f t="shared" si="61"/>
        <v>309.64999999999998</v>
      </c>
    </row>
    <row r="1940" spans="1:7" ht="12.75" customHeight="1">
      <c r="A1940" s="3">
        <v>39618</v>
      </c>
      <c r="B1940" s="4" t="s">
        <v>1956</v>
      </c>
      <c r="C1940" s="3" t="s">
        <v>6</v>
      </c>
      <c r="D1940" s="5">
        <f t="shared" si="60"/>
        <v>561.66</v>
      </c>
      <c r="E1940">
        <v>616.54</v>
      </c>
      <c r="F1940" s="1789">
        <v>8.8999999999999996E-2</v>
      </c>
      <c r="G1940">
        <f t="shared" si="61"/>
        <v>561.66</v>
      </c>
    </row>
    <row r="1941" spans="1:7" ht="12.75" customHeight="1">
      <c r="A1941" s="3">
        <v>39619</v>
      </c>
      <c r="B1941" s="4" t="s">
        <v>1957</v>
      </c>
      <c r="C1941" s="3" t="s">
        <v>6</v>
      </c>
      <c r="D1941" s="5">
        <f t="shared" si="60"/>
        <v>769.25</v>
      </c>
      <c r="E1941">
        <v>844.41</v>
      </c>
      <c r="F1941" s="1789">
        <v>8.8999999999999996E-2</v>
      </c>
      <c r="G1941">
        <f t="shared" si="61"/>
        <v>769.25</v>
      </c>
    </row>
    <row r="1942" spans="1:7" ht="12.75" customHeight="1">
      <c r="A1942" s="3">
        <v>39613</v>
      </c>
      <c r="B1942" s="4" t="s">
        <v>1958</v>
      </c>
      <c r="C1942" s="3" t="s">
        <v>6</v>
      </c>
      <c r="D1942" s="5">
        <f t="shared" si="60"/>
        <v>123</v>
      </c>
      <c r="E1942">
        <v>135.02000000000001</v>
      </c>
      <c r="F1942" s="1789">
        <v>8.8999999999999996E-2</v>
      </c>
      <c r="G1942">
        <f t="shared" si="61"/>
        <v>123</v>
      </c>
    </row>
    <row r="1943" spans="1:7" ht="12.75" customHeight="1">
      <c r="A1943" s="3">
        <v>39614</v>
      </c>
      <c r="B1943" s="4" t="s">
        <v>1959</v>
      </c>
      <c r="C1943" s="3" t="s">
        <v>6</v>
      </c>
      <c r="D1943" s="5">
        <f t="shared" si="60"/>
        <v>179.44</v>
      </c>
      <c r="E1943">
        <v>196.98</v>
      </c>
      <c r="F1943" s="1789">
        <v>8.8999999999999996E-2</v>
      </c>
      <c r="G1943">
        <f t="shared" si="61"/>
        <v>179.44</v>
      </c>
    </row>
    <row r="1944" spans="1:7" ht="12.75" customHeight="1">
      <c r="A1944" s="3">
        <v>38538</v>
      </c>
      <c r="B1944" s="4" t="s">
        <v>1960</v>
      </c>
      <c r="C1944" s="3" t="s">
        <v>50</v>
      </c>
      <c r="D1944" s="5">
        <f t="shared" si="60"/>
        <v>71.959999999999994</v>
      </c>
      <c r="E1944">
        <v>79</v>
      </c>
      <c r="F1944" s="1789">
        <v>8.8999999999999996E-2</v>
      </c>
      <c r="G1944">
        <f t="shared" si="61"/>
        <v>71.959999999999994</v>
      </c>
    </row>
    <row r="1945" spans="1:7" ht="12.75" customHeight="1">
      <c r="A1945" s="3">
        <v>38539</v>
      </c>
      <c r="B1945" s="4" t="s">
        <v>1961</v>
      </c>
      <c r="C1945" s="3" t="s">
        <v>50</v>
      </c>
      <c r="D1945" s="5">
        <f t="shared" si="60"/>
        <v>97.86</v>
      </c>
      <c r="E1945">
        <v>107.43</v>
      </c>
      <c r="F1945" s="1789">
        <v>8.8999999999999996E-2</v>
      </c>
      <c r="G1945">
        <f t="shared" si="61"/>
        <v>97.86</v>
      </c>
    </row>
    <row r="1946" spans="1:7" ht="12.75" customHeight="1">
      <c r="A1946" s="3">
        <v>38540</v>
      </c>
      <c r="B1946" s="4" t="s">
        <v>1962</v>
      </c>
      <c r="C1946" s="3" t="s">
        <v>50</v>
      </c>
      <c r="D1946" s="5">
        <f t="shared" si="60"/>
        <v>250.81</v>
      </c>
      <c r="E1946">
        <v>275.32</v>
      </c>
      <c r="F1946" s="1789">
        <v>8.8999999999999996E-2</v>
      </c>
      <c r="G1946">
        <f t="shared" si="61"/>
        <v>250.81</v>
      </c>
    </row>
    <row r="1947" spans="1:7" ht="12.75" customHeight="1">
      <c r="A1947" s="3">
        <v>38384</v>
      </c>
      <c r="B1947" s="4" t="s">
        <v>1963</v>
      </c>
      <c r="C1947" s="3" t="s">
        <v>6</v>
      </c>
      <c r="D1947" s="5">
        <f t="shared" si="60"/>
        <v>23.34</v>
      </c>
      <c r="E1947">
        <v>25.63</v>
      </c>
      <c r="F1947" s="1789">
        <v>8.8999999999999996E-2</v>
      </c>
      <c r="G1947">
        <f t="shared" si="61"/>
        <v>23.34</v>
      </c>
    </row>
    <row r="1948" spans="1:7" ht="12.75" customHeight="1">
      <c r="A1948" s="3">
        <v>13</v>
      </c>
      <c r="B1948" s="4" t="s">
        <v>1964</v>
      </c>
      <c r="C1948" s="3" t="s">
        <v>54</v>
      </c>
      <c r="D1948" s="5">
        <f t="shared" si="60"/>
        <v>27.89</v>
      </c>
      <c r="E1948">
        <v>30.62</v>
      </c>
      <c r="F1948" s="1789">
        <v>8.8999999999999996E-2</v>
      </c>
      <c r="G1948">
        <f t="shared" si="61"/>
        <v>27.89</v>
      </c>
    </row>
    <row r="1949" spans="1:7" ht="12.75" customHeight="1">
      <c r="A1949" s="3">
        <v>2762</v>
      </c>
      <c r="B1949" s="4" t="s">
        <v>1965</v>
      </c>
      <c r="C1949" s="3" t="s">
        <v>50</v>
      </c>
      <c r="D1949" s="5">
        <f t="shared" si="60"/>
        <v>11.02</v>
      </c>
      <c r="E1949">
        <v>12.1</v>
      </c>
      <c r="F1949" s="1789">
        <v>8.8999999999999996E-2</v>
      </c>
      <c r="G1949">
        <f t="shared" si="61"/>
        <v>11.02</v>
      </c>
    </row>
    <row r="1950" spans="1:7" ht="12.75" customHeight="1">
      <c r="A1950" s="3">
        <v>21142</v>
      </c>
      <c r="B1950" s="4" t="s">
        <v>1966</v>
      </c>
      <c r="C1950" s="3" t="s">
        <v>6</v>
      </c>
      <c r="D1950" s="5">
        <f t="shared" si="60"/>
        <v>29.84</v>
      </c>
      <c r="E1950">
        <v>32.76</v>
      </c>
      <c r="F1950" s="1789">
        <v>8.8999999999999996E-2</v>
      </c>
      <c r="G1950">
        <f t="shared" si="61"/>
        <v>29.84</v>
      </c>
    </row>
    <row r="1951" spans="1:7" ht="12.75" customHeight="1">
      <c r="A1951" s="3">
        <v>4223</v>
      </c>
      <c r="B1951" s="4" t="s">
        <v>1967</v>
      </c>
      <c r="C1951" s="3" t="s">
        <v>56</v>
      </c>
      <c r="D1951" s="5">
        <f t="shared" si="60"/>
        <v>3.4</v>
      </c>
      <c r="E1951">
        <v>3.74</v>
      </c>
      <c r="F1951" s="1789">
        <v>8.8999999999999996E-2</v>
      </c>
      <c r="G1951">
        <f t="shared" si="61"/>
        <v>3.4</v>
      </c>
    </row>
    <row r="1952" spans="1:7" ht="12.75" customHeight="1">
      <c r="A1952" s="3">
        <v>37372</v>
      </c>
      <c r="B1952" s="4" t="s">
        <v>1968</v>
      </c>
      <c r="C1952" s="3" t="s">
        <v>154</v>
      </c>
      <c r="D1952" s="5">
        <f t="shared" si="60"/>
        <v>1.22</v>
      </c>
      <c r="E1952">
        <v>1.34</v>
      </c>
      <c r="F1952" s="1789">
        <v>8.8999999999999996E-2</v>
      </c>
      <c r="G1952">
        <f t="shared" si="61"/>
        <v>1.22</v>
      </c>
    </row>
    <row r="1953" spans="1:7" ht="12.75" customHeight="1">
      <c r="A1953" s="3">
        <v>40863</v>
      </c>
      <c r="B1953" s="4" t="s">
        <v>1969</v>
      </c>
      <c r="C1953" s="3" t="s">
        <v>156</v>
      </c>
      <c r="D1953" s="5">
        <f t="shared" si="60"/>
        <v>229.64</v>
      </c>
      <c r="E1953">
        <v>252.08</v>
      </c>
      <c r="F1953" s="1789">
        <v>8.8999999999999996E-2</v>
      </c>
      <c r="G1953">
        <f t="shared" si="61"/>
        <v>229.64</v>
      </c>
    </row>
    <row r="1954" spans="1:7" ht="12.75" customHeight="1">
      <c r="A1954" s="3">
        <v>38475</v>
      </c>
      <c r="B1954" s="4" t="s">
        <v>1970</v>
      </c>
      <c r="C1954" s="3" t="s">
        <v>6</v>
      </c>
      <c r="D1954" s="5">
        <f t="shared" si="60"/>
        <v>34.130000000000003</v>
      </c>
      <c r="E1954">
        <v>37.47</v>
      </c>
      <c r="F1954" s="1789">
        <v>8.8999999999999996E-2</v>
      </c>
      <c r="G1954">
        <f t="shared" si="61"/>
        <v>34.130000000000003</v>
      </c>
    </row>
    <row r="1955" spans="1:7" ht="12.75" customHeight="1">
      <c r="A1955" s="3">
        <v>38474</v>
      </c>
      <c r="B1955" s="4" t="s">
        <v>1971</v>
      </c>
      <c r="C1955" s="3" t="s">
        <v>6</v>
      </c>
      <c r="D1955" s="5">
        <f t="shared" si="60"/>
        <v>42.19</v>
      </c>
      <c r="E1955">
        <v>46.32</v>
      </c>
      <c r="F1955" s="1789">
        <v>8.8999999999999996E-2</v>
      </c>
      <c r="G1955">
        <f t="shared" si="61"/>
        <v>42.19</v>
      </c>
    </row>
    <row r="1956" spans="1:7" ht="12.75" customHeight="1">
      <c r="A1956" s="3">
        <v>10886</v>
      </c>
      <c r="B1956" s="4" t="s">
        <v>1972</v>
      </c>
      <c r="C1956" s="3" t="s">
        <v>6</v>
      </c>
      <c r="D1956" s="5">
        <f t="shared" si="60"/>
        <v>179.13</v>
      </c>
      <c r="E1956">
        <v>196.64</v>
      </c>
      <c r="F1956" s="1789">
        <v>8.8999999999999996E-2</v>
      </c>
      <c r="G1956">
        <f t="shared" si="61"/>
        <v>179.13</v>
      </c>
    </row>
    <row r="1957" spans="1:7" ht="12.75" customHeight="1">
      <c r="A1957" s="3">
        <v>10888</v>
      </c>
      <c r="B1957" s="4" t="s">
        <v>1973</v>
      </c>
      <c r="C1957" s="3" t="s">
        <v>6</v>
      </c>
      <c r="D1957" s="5">
        <f t="shared" si="60"/>
        <v>566.96</v>
      </c>
      <c r="E1957">
        <v>622.35</v>
      </c>
      <c r="F1957" s="1789">
        <v>8.8999999999999996E-2</v>
      </c>
      <c r="G1957">
        <f t="shared" si="61"/>
        <v>566.96</v>
      </c>
    </row>
    <row r="1958" spans="1:7" ht="12.75" customHeight="1">
      <c r="A1958" s="3">
        <v>10889</v>
      </c>
      <c r="B1958" s="4" t="s">
        <v>1974</v>
      </c>
      <c r="C1958" s="3" t="s">
        <v>6</v>
      </c>
      <c r="D1958" s="5">
        <f t="shared" si="60"/>
        <v>614.21</v>
      </c>
      <c r="E1958">
        <v>674.22</v>
      </c>
      <c r="F1958" s="1789">
        <v>8.8999999999999996E-2</v>
      </c>
      <c r="G1958">
        <f t="shared" si="61"/>
        <v>614.21</v>
      </c>
    </row>
    <row r="1959" spans="1:7" ht="12.75" customHeight="1">
      <c r="A1959" s="3">
        <v>10890</v>
      </c>
      <c r="B1959" s="4" t="s">
        <v>1975</v>
      </c>
      <c r="C1959" s="3" t="s">
        <v>6</v>
      </c>
      <c r="D1959" s="5">
        <f t="shared" si="60"/>
        <v>283.47000000000003</v>
      </c>
      <c r="E1959">
        <v>311.17</v>
      </c>
      <c r="F1959" s="1789">
        <v>8.8999999999999996E-2</v>
      </c>
      <c r="G1959">
        <f t="shared" si="61"/>
        <v>283.47000000000003</v>
      </c>
    </row>
    <row r="1960" spans="1:7" ht="12.75" customHeight="1">
      <c r="A1960" s="3">
        <v>10891</v>
      </c>
      <c r="B1960" s="4" t="s">
        <v>1976</v>
      </c>
      <c r="C1960" s="3" t="s">
        <v>6</v>
      </c>
      <c r="D1960" s="5">
        <f t="shared" si="60"/>
        <v>173.23</v>
      </c>
      <c r="E1960">
        <v>190.16</v>
      </c>
      <c r="F1960" s="1789">
        <v>8.8999999999999996E-2</v>
      </c>
      <c r="G1960">
        <f t="shared" si="61"/>
        <v>173.23</v>
      </c>
    </row>
    <row r="1961" spans="1:7" ht="12.75" customHeight="1">
      <c r="A1961" s="3">
        <v>10892</v>
      </c>
      <c r="B1961" s="4" t="s">
        <v>1977</v>
      </c>
      <c r="C1961" s="3" t="s">
        <v>6</v>
      </c>
      <c r="D1961" s="5">
        <f t="shared" si="60"/>
        <v>204.73</v>
      </c>
      <c r="E1961">
        <v>224.74</v>
      </c>
      <c r="F1961" s="1789">
        <v>8.8999999999999996E-2</v>
      </c>
      <c r="G1961">
        <f t="shared" si="61"/>
        <v>204.73</v>
      </c>
    </row>
    <row r="1962" spans="1:7" ht="12.75" customHeight="1">
      <c r="A1962" s="3">
        <v>20977</v>
      </c>
      <c r="B1962" s="4" t="s">
        <v>1978</v>
      </c>
      <c r="C1962" s="3" t="s">
        <v>6</v>
      </c>
      <c r="D1962" s="5">
        <f t="shared" si="60"/>
        <v>244.1</v>
      </c>
      <c r="E1962">
        <v>267.95</v>
      </c>
      <c r="F1962" s="1789">
        <v>8.8999999999999996E-2</v>
      </c>
      <c r="G1962">
        <f t="shared" si="61"/>
        <v>244.1</v>
      </c>
    </row>
    <row r="1963" spans="1:7" ht="12.75" customHeight="1">
      <c r="A1963" s="3">
        <v>3073</v>
      </c>
      <c r="B1963" s="4" t="s">
        <v>1979</v>
      </c>
      <c r="C1963" s="3" t="s">
        <v>6</v>
      </c>
      <c r="D1963" s="5">
        <f t="shared" si="60"/>
        <v>122.94</v>
      </c>
      <c r="E1963">
        <v>134.96</v>
      </c>
      <c r="F1963" s="1789">
        <v>8.8999999999999996E-2</v>
      </c>
      <c r="G1963">
        <f t="shared" si="61"/>
        <v>122.94</v>
      </c>
    </row>
    <row r="1964" spans="1:7" ht="12.75" customHeight="1">
      <c r="A1964" s="3">
        <v>3074</v>
      </c>
      <c r="B1964" s="4" t="s">
        <v>1980</v>
      </c>
      <c r="C1964" s="3" t="s">
        <v>6</v>
      </c>
      <c r="D1964" s="5">
        <f t="shared" si="60"/>
        <v>77.61</v>
      </c>
      <c r="E1964">
        <v>85.2</v>
      </c>
      <c r="F1964" s="1789">
        <v>8.8999999999999996E-2</v>
      </c>
      <c r="G1964">
        <f t="shared" si="61"/>
        <v>77.61</v>
      </c>
    </row>
    <row r="1965" spans="1:7" ht="12.75" customHeight="1">
      <c r="A1965" s="3">
        <v>3076</v>
      </c>
      <c r="B1965" s="4" t="s">
        <v>1981</v>
      </c>
      <c r="C1965" s="3" t="s">
        <v>6</v>
      </c>
      <c r="D1965" s="5">
        <f t="shared" si="60"/>
        <v>101.07</v>
      </c>
      <c r="E1965">
        <v>110.95</v>
      </c>
      <c r="F1965" s="1789">
        <v>8.8999999999999996E-2</v>
      </c>
      <c r="G1965">
        <f t="shared" si="61"/>
        <v>101.07</v>
      </c>
    </row>
    <row r="1966" spans="1:7" ht="12.75" customHeight="1">
      <c r="A1966" s="3">
        <v>3075</v>
      </c>
      <c r="B1966" s="4" t="s">
        <v>1982</v>
      </c>
      <c r="C1966" s="3" t="s">
        <v>6</v>
      </c>
      <c r="D1966" s="5">
        <f t="shared" si="60"/>
        <v>63.87</v>
      </c>
      <c r="E1966">
        <v>70.11</v>
      </c>
      <c r="F1966" s="1789">
        <v>8.8999999999999996E-2</v>
      </c>
      <c r="G1966">
        <f t="shared" si="61"/>
        <v>63.87</v>
      </c>
    </row>
    <row r="1967" spans="1:7" ht="12.75" customHeight="1">
      <c r="A1967" s="3">
        <v>10781</v>
      </c>
      <c r="B1967" s="4" t="s">
        <v>1983</v>
      </c>
      <c r="C1967" s="3" t="s">
        <v>6</v>
      </c>
      <c r="D1967" s="5">
        <f t="shared" si="60"/>
        <v>8.65</v>
      </c>
      <c r="E1967">
        <v>9.5</v>
      </c>
      <c r="F1967" s="1789">
        <v>8.8999999999999996E-2</v>
      </c>
      <c r="G1967">
        <f t="shared" si="61"/>
        <v>8.65</v>
      </c>
    </row>
    <row r="1968" spans="1:7" ht="12.75" customHeight="1">
      <c r="A1968" s="3">
        <v>11480</v>
      </c>
      <c r="B1968" s="4" t="s">
        <v>1984</v>
      </c>
      <c r="C1968" s="3" t="s">
        <v>1367</v>
      </c>
      <c r="D1968" s="5">
        <f t="shared" si="60"/>
        <v>105.93</v>
      </c>
      <c r="E1968">
        <v>116.28</v>
      </c>
      <c r="F1968" s="1789">
        <v>8.8999999999999996E-2</v>
      </c>
      <c r="G1968">
        <f t="shared" si="61"/>
        <v>105.93</v>
      </c>
    </row>
    <row r="1969" spans="1:7" ht="12.75" customHeight="1">
      <c r="A1969" s="3">
        <v>43612</v>
      </c>
      <c r="B1969" s="4" t="s">
        <v>1985</v>
      </c>
      <c r="C1969" s="3" t="s">
        <v>1367</v>
      </c>
      <c r="D1969" s="5">
        <f t="shared" si="60"/>
        <v>83.37</v>
      </c>
      <c r="E1969">
        <v>91.52</v>
      </c>
      <c r="F1969" s="1789">
        <v>8.8999999999999996E-2</v>
      </c>
      <c r="G1969">
        <f t="shared" si="61"/>
        <v>83.37</v>
      </c>
    </row>
    <row r="1970" spans="1:7" ht="12.75" customHeight="1">
      <c r="A1970" s="3">
        <v>43613</v>
      </c>
      <c r="B1970" s="4" t="s">
        <v>1986</v>
      </c>
      <c r="C1970" s="3" t="s">
        <v>1367</v>
      </c>
      <c r="D1970" s="5">
        <f t="shared" si="60"/>
        <v>69.02</v>
      </c>
      <c r="E1970">
        <v>75.77</v>
      </c>
      <c r="F1970" s="1789">
        <v>8.8999999999999996E-2</v>
      </c>
      <c r="G1970">
        <f t="shared" si="61"/>
        <v>69.02</v>
      </c>
    </row>
    <row r="1971" spans="1:7" ht="12.75" customHeight="1">
      <c r="A1971" s="3">
        <v>11469</v>
      </c>
      <c r="B1971" s="4" t="s">
        <v>1987</v>
      </c>
      <c r="C1971" s="3" t="s">
        <v>6</v>
      </c>
      <c r="D1971" s="5">
        <f t="shared" si="60"/>
        <v>11.3</v>
      </c>
      <c r="E1971">
        <v>12.41</v>
      </c>
      <c r="F1971" s="1789">
        <v>8.8999999999999996E-2</v>
      </c>
      <c r="G1971">
        <f t="shared" si="61"/>
        <v>11.3</v>
      </c>
    </row>
    <row r="1972" spans="1:7" ht="12.75" customHeight="1">
      <c r="A1972" s="3">
        <v>11468</v>
      </c>
      <c r="B1972" s="4" t="s">
        <v>1988</v>
      </c>
      <c r="C1972" s="3" t="s">
        <v>6</v>
      </c>
      <c r="D1972" s="5">
        <f t="shared" si="60"/>
        <v>11.31</v>
      </c>
      <c r="E1972">
        <v>12.42</v>
      </c>
      <c r="F1972" s="1789">
        <v>8.8999999999999996E-2</v>
      </c>
      <c r="G1972">
        <f t="shared" si="61"/>
        <v>11.31</v>
      </c>
    </row>
    <row r="1973" spans="1:7" ht="12.75" customHeight="1">
      <c r="A1973" s="3">
        <v>11484</v>
      </c>
      <c r="B1973" s="4" t="s">
        <v>1989</v>
      </c>
      <c r="C1973" s="3" t="s">
        <v>6</v>
      </c>
      <c r="D1973" s="5">
        <f t="shared" si="60"/>
        <v>49.69</v>
      </c>
      <c r="E1973">
        <v>54.55</v>
      </c>
      <c r="F1973" s="1789">
        <v>8.8999999999999996E-2</v>
      </c>
      <c r="G1973">
        <f t="shared" si="61"/>
        <v>49.69</v>
      </c>
    </row>
    <row r="1974" spans="1:7" ht="12.75" customHeight="1">
      <c r="A1974" s="3">
        <v>38155</v>
      </c>
      <c r="B1974" s="4" t="s">
        <v>1990</v>
      </c>
      <c r="C1974" s="3" t="s">
        <v>6</v>
      </c>
      <c r="D1974" s="5">
        <f t="shared" si="60"/>
        <v>77.16</v>
      </c>
      <c r="E1974">
        <v>84.7</v>
      </c>
      <c r="F1974" s="1789">
        <v>8.8999999999999996E-2</v>
      </c>
      <c r="G1974">
        <f t="shared" si="61"/>
        <v>77.16</v>
      </c>
    </row>
    <row r="1975" spans="1:7" ht="12.75" customHeight="1">
      <c r="A1975" s="3">
        <v>11467</v>
      </c>
      <c r="B1975" s="4" t="s">
        <v>1991</v>
      </c>
      <c r="C1975" s="3" t="s">
        <v>6</v>
      </c>
      <c r="D1975" s="5">
        <f t="shared" si="60"/>
        <v>17.62</v>
      </c>
      <c r="E1975">
        <v>19.350000000000001</v>
      </c>
      <c r="F1975" s="1789">
        <v>8.8999999999999996E-2</v>
      </c>
      <c r="G1975">
        <f t="shared" si="61"/>
        <v>17.62</v>
      </c>
    </row>
    <row r="1976" spans="1:7" ht="12.75" customHeight="1">
      <c r="A1976" s="3">
        <v>38153</v>
      </c>
      <c r="B1976" s="4" t="s">
        <v>1992</v>
      </c>
      <c r="C1976" s="3" t="s">
        <v>1367</v>
      </c>
      <c r="D1976" s="5">
        <f t="shared" si="60"/>
        <v>45.03</v>
      </c>
      <c r="E1976">
        <v>49.44</v>
      </c>
      <c r="F1976" s="1789">
        <v>8.8999999999999996E-2</v>
      </c>
      <c r="G1976">
        <f t="shared" si="61"/>
        <v>45.03</v>
      </c>
    </row>
    <row r="1977" spans="1:7" ht="12.75" customHeight="1">
      <c r="A1977" s="3">
        <v>43607</v>
      </c>
      <c r="B1977" s="4" t="s">
        <v>1993</v>
      </c>
      <c r="C1977" s="3" t="s">
        <v>1367</v>
      </c>
      <c r="D1977" s="5">
        <f t="shared" si="60"/>
        <v>85.17</v>
      </c>
      <c r="E1977">
        <v>93.5</v>
      </c>
      <c r="F1977" s="1789">
        <v>8.8999999999999996E-2</v>
      </c>
      <c r="G1977">
        <f t="shared" si="61"/>
        <v>85.17</v>
      </c>
    </row>
    <row r="1978" spans="1:7" ht="12.75" customHeight="1">
      <c r="A1978" s="3">
        <v>3080</v>
      </c>
      <c r="B1978" s="4" t="s">
        <v>1994</v>
      </c>
      <c r="C1978" s="3" t="s">
        <v>1367</v>
      </c>
      <c r="D1978" s="5">
        <f t="shared" si="60"/>
        <v>57.27</v>
      </c>
      <c r="E1978">
        <v>62.87</v>
      </c>
      <c r="F1978" s="1789">
        <v>8.8999999999999996E-2</v>
      </c>
      <c r="G1978">
        <f t="shared" si="61"/>
        <v>57.27</v>
      </c>
    </row>
    <row r="1979" spans="1:7" ht="12.75" customHeight="1">
      <c r="A1979" s="3">
        <v>3081</v>
      </c>
      <c r="B1979" s="4" t="s">
        <v>1995</v>
      </c>
      <c r="C1979" s="3" t="s">
        <v>1367</v>
      </c>
      <c r="D1979" s="5">
        <f t="shared" si="60"/>
        <v>113.31</v>
      </c>
      <c r="E1979">
        <v>124.38</v>
      </c>
      <c r="F1979" s="1789">
        <v>8.8999999999999996E-2</v>
      </c>
      <c r="G1979">
        <f t="shared" si="61"/>
        <v>113.31</v>
      </c>
    </row>
    <row r="1980" spans="1:7" ht="12.75" customHeight="1">
      <c r="A1980" s="3">
        <v>3090</v>
      </c>
      <c r="B1980" s="4" t="s">
        <v>1996</v>
      </c>
      <c r="C1980" s="3" t="s">
        <v>1367</v>
      </c>
      <c r="D1980" s="5">
        <f t="shared" si="60"/>
        <v>51.11</v>
      </c>
      <c r="E1980">
        <v>56.11</v>
      </c>
      <c r="F1980" s="1789">
        <v>8.8999999999999996E-2</v>
      </c>
      <c r="G1980">
        <f t="shared" si="61"/>
        <v>51.11</v>
      </c>
    </row>
    <row r="1981" spans="1:7" ht="12.75" customHeight="1">
      <c r="A1981" s="3">
        <v>43611</v>
      </c>
      <c r="B1981" s="4" t="s">
        <v>1997</v>
      </c>
      <c r="C1981" s="3" t="s">
        <v>1367</v>
      </c>
      <c r="D1981" s="5">
        <f t="shared" si="60"/>
        <v>84.82</v>
      </c>
      <c r="E1981">
        <v>93.11</v>
      </c>
      <c r="F1981" s="1789">
        <v>8.8999999999999996E-2</v>
      </c>
      <c r="G1981">
        <f t="shared" si="61"/>
        <v>84.82</v>
      </c>
    </row>
    <row r="1982" spans="1:7" ht="12.75" customHeight="1">
      <c r="A1982" s="3">
        <v>3103</v>
      </c>
      <c r="B1982" s="4" t="s">
        <v>1998</v>
      </c>
      <c r="C1982" s="3" t="s">
        <v>6</v>
      </c>
      <c r="D1982" s="5">
        <f t="shared" si="60"/>
        <v>42.37</v>
      </c>
      <c r="E1982">
        <v>46.52</v>
      </c>
      <c r="F1982" s="1789">
        <v>8.8999999999999996E-2</v>
      </c>
      <c r="G1982">
        <f t="shared" si="61"/>
        <v>42.37</v>
      </c>
    </row>
    <row r="1983" spans="1:7" ht="12.75" customHeight="1">
      <c r="A1983" s="3">
        <v>3097</v>
      </c>
      <c r="B1983" s="4" t="s">
        <v>1999</v>
      </c>
      <c r="C1983" s="3" t="s">
        <v>1367</v>
      </c>
      <c r="D1983" s="5">
        <f t="shared" si="60"/>
        <v>64.12</v>
      </c>
      <c r="E1983">
        <v>70.39</v>
      </c>
      <c r="F1983" s="1789">
        <v>8.8999999999999996E-2</v>
      </c>
      <c r="G1983">
        <f t="shared" si="61"/>
        <v>64.12</v>
      </c>
    </row>
    <row r="1984" spans="1:7" ht="12.75" customHeight="1">
      <c r="A1984" s="3">
        <v>3099</v>
      </c>
      <c r="B1984" s="4" t="s">
        <v>2000</v>
      </c>
      <c r="C1984" s="3" t="s">
        <v>1367</v>
      </c>
      <c r="D1984" s="5">
        <f t="shared" si="60"/>
        <v>102.67</v>
      </c>
      <c r="E1984">
        <v>112.71</v>
      </c>
      <c r="F1984" s="1789">
        <v>8.8999999999999996E-2</v>
      </c>
      <c r="G1984">
        <f t="shared" si="61"/>
        <v>102.67</v>
      </c>
    </row>
    <row r="1985" spans="1:7" ht="12.75" customHeight="1">
      <c r="A1985" s="3">
        <v>38151</v>
      </c>
      <c r="B1985" s="4" t="s">
        <v>2001</v>
      </c>
      <c r="C1985" s="3" t="s">
        <v>1367</v>
      </c>
      <c r="D1985" s="5">
        <f t="shared" si="60"/>
        <v>74.430000000000007</v>
      </c>
      <c r="E1985">
        <v>81.709999999999994</v>
      </c>
      <c r="F1985" s="1789">
        <v>8.8999999999999996E-2</v>
      </c>
      <c r="G1985">
        <f t="shared" si="61"/>
        <v>74.430000000000007</v>
      </c>
    </row>
    <row r="1986" spans="1:7" ht="12.75" customHeight="1">
      <c r="A1986" s="3">
        <v>38152</v>
      </c>
      <c r="B1986" s="4" t="s">
        <v>2002</v>
      </c>
      <c r="C1986" s="3" t="s">
        <v>1367</v>
      </c>
      <c r="D1986" s="5">
        <f t="shared" si="60"/>
        <v>120.07</v>
      </c>
      <c r="E1986">
        <v>131.81</v>
      </c>
      <c r="F1986" s="1789">
        <v>8.8999999999999996E-2</v>
      </c>
      <c r="G1986">
        <f t="shared" si="61"/>
        <v>120.07</v>
      </c>
    </row>
    <row r="1987" spans="1:7" ht="12.75" customHeight="1">
      <c r="A1987" s="3">
        <v>43610</v>
      </c>
      <c r="B1987" s="4" t="s">
        <v>2003</v>
      </c>
      <c r="C1987" s="3" t="s">
        <v>1367</v>
      </c>
      <c r="D1987" s="5">
        <f t="shared" ref="D1987:D2050" si="62">G1987</f>
        <v>63.62</v>
      </c>
      <c r="E1987">
        <v>69.84</v>
      </c>
      <c r="F1987" s="1789">
        <v>8.8999999999999996E-2</v>
      </c>
      <c r="G1987">
        <f t="shared" ref="G1987:G2050" si="63">TRUNC((1-F1987)*E1987,2)</f>
        <v>63.62</v>
      </c>
    </row>
    <row r="1988" spans="1:7" ht="12.75" customHeight="1">
      <c r="A1988" s="3">
        <v>3093</v>
      </c>
      <c r="B1988" s="4" t="s">
        <v>2004</v>
      </c>
      <c r="C1988" s="3" t="s">
        <v>1367</v>
      </c>
      <c r="D1988" s="5">
        <f t="shared" si="62"/>
        <v>102.67</v>
      </c>
      <c r="E1988">
        <v>112.71</v>
      </c>
      <c r="F1988" s="1789">
        <v>8.8999999999999996E-2</v>
      </c>
      <c r="G1988">
        <f t="shared" si="63"/>
        <v>102.67</v>
      </c>
    </row>
    <row r="1989" spans="1:7" ht="12.75" customHeight="1">
      <c r="A1989" s="3">
        <v>38165</v>
      </c>
      <c r="B1989" s="4" t="s">
        <v>2005</v>
      </c>
      <c r="C1989" s="3" t="s">
        <v>1367</v>
      </c>
      <c r="D1989" s="5">
        <f t="shared" si="62"/>
        <v>74.41</v>
      </c>
      <c r="E1989">
        <v>81.69</v>
      </c>
      <c r="F1989" s="1789">
        <v>8.8999999999999996E-2</v>
      </c>
      <c r="G1989">
        <f t="shared" si="63"/>
        <v>74.41</v>
      </c>
    </row>
    <row r="1990" spans="1:7" ht="12.75" customHeight="1">
      <c r="A1990" s="3">
        <v>38177</v>
      </c>
      <c r="B1990" s="4" t="s">
        <v>2006</v>
      </c>
      <c r="C1990" s="3" t="s">
        <v>6</v>
      </c>
      <c r="D1990" s="5">
        <f t="shared" si="62"/>
        <v>22.1</v>
      </c>
      <c r="E1990">
        <v>24.27</v>
      </c>
      <c r="F1990" s="1789">
        <v>8.8999999999999996E-2</v>
      </c>
      <c r="G1990">
        <f t="shared" si="63"/>
        <v>22.1</v>
      </c>
    </row>
    <row r="1991" spans="1:7" ht="12.75" customHeight="1">
      <c r="A1991" s="3">
        <v>11458</v>
      </c>
      <c r="B1991" s="4" t="s">
        <v>2007</v>
      </c>
      <c r="C1991" s="3" t="s">
        <v>6</v>
      </c>
      <c r="D1991" s="5">
        <f t="shared" si="62"/>
        <v>26.4</v>
      </c>
      <c r="E1991">
        <v>28.98</v>
      </c>
      <c r="F1991" s="1789">
        <v>8.8999999999999996E-2</v>
      </c>
      <c r="G1991">
        <f t="shared" si="63"/>
        <v>26.4</v>
      </c>
    </row>
    <row r="1992" spans="1:7" ht="12.75" customHeight="1">
      <c r="A1992" s="3">
        <v>3108</v>
      </c>
      <c r="B1992" s="4" t="s">
        <v>2008</v>
      </c>
      <c r="C1992" s="3" t="s">
        <v>6</v>
      </c>
      <c r="D1992" s="5">
        <f t="shared" si="62"/>
        <v>112.23</v>
      </c>
      <c r="E1992">
        <v>123.2</v>
      </c>
      <c r="F1992" s="1789">
        <v>8.8999999999999996E-2</v>
      </c>
      <c r="G1992">
        <f t="shared" si="63"/>
        <v>112.23</v>
      </c>
    </row>
    <row r="1993" spans="1:7" ht="12.75" customHeight="1">
      <c r="A1993" s="3">
        <v>3105</v>
      </c>
      <c r="B1993" s="4" t="s">
        <v>2009</v>
      </c>
      <c r="C1993" s="3" t="s">
        <v>6</v>
      </c>
      <c r="D1993" s="5">
        <f t="shared" si="62"/>
        <v>146.79</v>
      </c>
      <c r="E1993">
        <v>161.13999999999999</v>
      </c>
      <c r="F1993" s="1789">
        <v>8.8999999999999996E-2</v>
      </c>
      <c r="G1993">
        <f t="shared" si="63"/>
        <v>146.79</v>
      </c>
    </row>
    <row r="1994" spans="1:7" ht="12.75" customHeight="1">
      <c r="A1994" s="3">
        <v>38178</v>
      </c>
      <c r="B1994" s="4" t="s">
        <v>2010</v>
      </c>
      <c r="C1994" s="3" t="s">
        <v>6</v>
      </c>
      <c r="D1994" s="5">
        <f t="shared" si="62"/>
        <v>24.33</v>
      </c>
      <c r="E1994">
        <v>26.71</v>
      </c>
      <c r="F1994" s="1789">
        <v>8.8999999999999996E-2</v>
      </c>
      <c r="G1994">
        <f t="shared" si="63"/>
        <v>24.33</v>
      </c>
    </row>
    <row r="1995" spans="1:7" ht="12.75" customHeight="1">
      <c r="A1995" s="3">
        <v>43575</v>
      </c>
      <c r="B1995" s="4" t="s">
        <v>2011</v>
      </c>
      <c r="C1995" s="3" t="s">
        <v>6</v>
      </c>
      <c r="D1995" s="5">
        <f t="shared" si="62"/>
        <v>52.71</v>
      </c>
      <c r="E1995">
        <v>57.87</v>
      </c>
      <c r="F1995" s="1789">
        <v>8.8999999999999996E-2</v>
      </c>
      <c r="G1995">
        <f t="shared" si="63"/>
        <v>52.71</v>
      </c>
    </row>
    <row r="1996" spans="1:7" ht="12.75" customHeight="1">
      <c r="A1996" s="3">
        <v>43577</v>
      </c>
      <c r="B1996" s="4" t="s">
        <v>2012</v>
      </c>
      <c r="C1996" s="3" t="s">
        <v>6</v>
      </c>
      <c r="D1996" s="5">
        <f t="shared" si="62"/>
        <v>91.66</v>
      </c>
      <c r="E1996">
        <v>100.62</v>
      </c>
      <c r="F1996" s="1789">
        <v>8.8999999999999996E-2</v>
      </c>
      <c r="G1996">
        <f t="shared" si="63"/>
        <v>91.66</v>
      </c>
    </row>
    <row r="1997" spans="1:7" ht="12.75" customHeight="1">
      <c r="A1997" s="3">
        <v>43458</v>
      </c>
      <c r="B1997" s="4" t="s">
        <v>2013</v>
      </c>
      <c r="C1997" s="3" t="s">
        <v>154</v>
      </c>
      <c r="D1997" s="5">
        <f t="shared" si="62"/>
        <v>0.05</v>
      </c>
      <c r="E1997">
        <v>0.06</v>
      </c>
      <c r="F1997" s="1789">
        <v>8.8999999999999996E-2</v>
      </c>
      <c r="G1997">
        <f t="shared" si="63"/>
        <v>0.05</v>
      </c>
    </row>
    <row r="1998" spans="1:7" ht="12.75" customHeight="1">
      <c r="A1998" s="3">
        <v>43470</v>
      </c>
      <c r="B1998" s="4" t="s">
        <v>2014</v>
      </c>
      <c r="C1998" s="3" t="s">
        <v>156</v>
      </c>
      <c r="D1998" s="5">
        <f t="shared" si="62"/>
        <v>9.92</v>
      </c>
      <c r="E1998">
        <v>10.89</v>
      </c>
      <c r="F1998" s="1789">
        <v>8.8999999999999996E-2</v>
      </c>
      <c r="G1998">
        <f t="shared" si="63"/>
        <v>9.92</v>
      </c>
    </row>
    <row r="1999" spans="1:7" ht="12.75" customHeight="1">
      <c r="A1999" s="3">
        <v>43459</v>
      </c>
      <c r="B1999" s="4" t="s">
        <v>2015</v>
      </c>
      <c r="C1999" s="3" t="s">
        <v>154</v>
      </c>
      <c r="D1999" s="5">
        <f t="shared" si="62"/>
        <v>0.44</v>
      </c>
      <c r="E1999">
        <v>0.49</v>
      </c>
      <c r="F1999" s="1789">
        <v>8.8999999999999996E-2</v>
      </c>
      <c r="G1999">
        <f t="shared" si="63"/>
        <v>0.44</v>
      </c>
    </row>
    <row r="2000" spans="1:7" ht="12.75" customHeight="1">
      <c r="A2000" s="3">
        <v>43471</v>
      </c>
      <c r="B2000" s="4" t="s">
        <v>2016</v>
      </c>
      <c r="C2000" s="3" t="s">
        <v>156</v>
      </c>
      <c r="D2000" s="5">
        <f t="shared" si="62"/>
        <v>84.04</v>
      </c>
      <c r="E2000">
        <v>92.26</v>
      </c>
      <c r="F2000" s="1789">
        <v>8.8999999999999996E-2</v>
      </c>
      <c r="G2000">
        <f t="shared" si="63"/>
        <v>84.04</v>
      </c>
    </row>
    <row r="2001" spans="1:7" ht="12.75" customHeight="1">
      <c r="A2001" s="3">
        <v>43460</v>
      </c>
      <c r="B2001" s="4" t="s">
        <v>2017</v>
      </c>
      <c r="C2001" s="3" t="s">
        <v>154</v>
      </c>
      <c r="D2001" s="5">
        <f t="shared" si="62"/>
        <v>0.77</v>
      </c>
      <c r="E2001">
        <v>0.85</v>
      </c>
      <c r="F2001" s="1789">
        <v>8.8999999999999996E-2</v>
      </c>
      <c r="G2001">
        <f t="shared" si="63"/>
        <v>0.77</v>
      </c>
    </row>
    <row r="2002" spans="1:7" ht="12.75" customHeight="1">
      <c r="A2002" s="3">
        <v>43472</v>
      </c>
      <c r="B2002" s="4" t="s">
        <v>2018</v>
      </c>
      <c r="C2002" s="3" t="s">
        <v>156</v>
      </c>
      <c r="D2002" s="5">
        <f t="shared" si="62"/>
        <v>145.51</v>
      </c>
      <c r="E2002">
        <v>159.72999999999999</v>
      </c>
      <c r="F2002" s="1789">
        <v>8.8999999999999996E-2</v>
      </c>
      <c r="G2002">
        <f t="shared" si="63"/>
        <v>145.51</v>
      </c>
    </row>
    <row r="2003" spans="1:7" ht="12.75" customHeight="1">
      <c r="A2003" s="3">
        <v>43461</v>
      </c>
      <c r="B2003" s="4" t="s">
        <v>2019</v>
      </c>
      <c r="C2003" s="3" t="s">
        <v>154</v>
      </c>
      <c r="D2003" s="5">
        <f t="shared" si="62"/>
        <v>0.28000000000000003</v>
      </c>
      <c r="E2003">
        <v>0.31</v>
      </c>
      <c r="F2003" s="1789">
        <v>8.8999999999999996E-2</v>
      </c>
      <c r="G2003">
        <f t="shared" si="63"/>
        <v>0.28000000000000003</v>
      </c>
    </row>
    <row r="2004" spans="1:7" ht="12.75" customHeight="1">
      <c r="A2004" s="3">
        <v>43473</v>
      </c>
      <c r="B2004" s="4" t="s">
        <v>2020</v>
      </c>
      <c r="C2004" s="3" t="s">
        <v>156</v>
      </c>
      <c r="D2004" s="5">
        <f t="shared" si="62"/>
        <v>54</v>
      </c>
      <c r="E2004">
        <v>59.28</v>
      </c>
      <c r="F2004" s="1789">
        <v>8.8999999999999996E-2</v>
      </c>
      <c r="G2004">
        <f t="shared" si="63"/>
        <v>54</v>
      </c>
    </row>
    <row r="2005" spans="1:7" ht="12.75" customHeight="1">
      <c r="A2005" s="3">
        <v>43463</v>
      </c>
      <c r="B2005" s="4" t="s">
        <v>2021</v>
      </c>
      <c r="C2005" s="3" t="s">
        <v>154</v>
      </c>
      <c r="D2005" s="5">
        <f t="shared" si="62"/>
        <v>0.09</v>
      </c>
      <c r="E2005">
        <v>0.1</v>
      </c>
      <c r="F2005" s="1789">
        <v>8.8999999999999996E-2</v>
      </c>
      <c r="G2005">
        <f t="shared" si="63"/>
        <v>0.09</v>
      </c>
    </row>
    <row r="2006" spans="1:7" ht="12.75" customHeight="1">
      <c r="A2006" s="3">
        <v>43475</v>
      </c>
      <c r="B2006" s="4" t="s">
        <v>2022</v>
      </c>
      <c r="C2006" s="3" t="s">
        <v>156</v>
      </c>
      <c r="D2006" s="5">
        <f t="shared" si="62"/>
        <v>17.059999999999999</v>
      </c>
      <c r="E2006">
        <v>18.73</v>
      </c>
      <c r="F2006" s="1789">
        <v>8.8999999999999996E-2</v>
      </c>
      <c r="G2006">
        <f t="shared" si="63"/>
        <v>17.059999999999999</v>
      </c>
    </row>
    <row r="2007" spans="1:7" ht="12.75" customHeight="1">
      <c r="A2007" s="3">
        <v>43462</v>
      </c>
      <c r="B2007" s="4" t="s">
        <v>2023</v>
      </c>
      <c r="C2007" s="3" t="s">
        <v>154</v>
      </c>
      <c r="D2007" s="5">
        <f t="shared" si="62"/>
        <v>0</v>
      </c>
      <c r="E2007">
        <v>0.01</v>
      </c>
      <c r="F2007" s="1789">
        <v>8.8999999999999996E-2</v>
      </c>
      <c r="G2007">
        <f t="shared" si="63"/>
        <v>0</v>
      </c>
    </row>
    <row r="2008" spans="1:7" ht="12.75" customHeight="1">
      <c r="A2008" s="3">
        <v>43474</v>
      </c>
      <c r="B2008" s="4" t="s">
        <v>2024</v>
      </c>
      <c r="C2008" s="3" t="s">
        <v>156</v>
      </c>
      <c r="D2008" s="5">
        <f t="shared" si="62"/>
        <v>2.08</v>
      </c>
      <c r="E2008">
        <v>2.29</v>
      </c>
      <c r="F2008" s="1789">
        <v>8.8999999999999996E-2</v>
      </c>
      <c r="G2008">
        <f t="shared" si="63"/>
        <v>2.08</v>
      </c>
    </row>
    <row r="2009" spans="1:7" ht="12.75" customHeight="1">
      <c r="A2009" s="3">
        <v>43464</v>
      </c>
      <c r="B2009" s="4" t="s">
        <v>2025</v>
      </c>
      <c r="C2009" s="3" t="s">
        <v>154</v>
      </c>
      <c r="D2009" s="5">
        <f t="shared" si="62"/>
        <v>0</v>
      </c>
      <c r="E2009">
        <v>0.01</v>
      </c>
      <c r="F2009" s="1789">
        <v>8.8999999999999996E-2</v>
      </c>
      <c r="G2009">
        <f t="shared" si="63"/>
        <v>0</v>
      </c>
    </row>
    <row r="2010" spans="1:7" ht="12.75" customHeight="1">
      <c r="A2010" s="3">
        <v>43476</v>
      </c>
      <c r="B2010" s="4" t="s">
        <v>2026</v>
      </c>
      <c r="C2010" s="3" t="s">
        <v>156</v>
      </c>
      <c r="D2010" s="5">
        <f t="shared" si="62"/>
        <v>0</v>
      </c>
      <c r="E2010">
        <v>0.01</v>
      </c>
      <c r="F2010" s="1789">
        <v>8.8999999999999996E-2</v>
      </c>
      <c r="G2010">
        <f t="shared" si="63"/>
        <v>0</v>
      </c>
    </row>
    <row r="2011" spans="1:7" ht="12.75" customHeight="1">
      <c r="A2011" s="3">
        <v>43465</v>
      </c>
      <c r="B2011" s="4" t="s">
        <v>2027</v>
      </c>
      <c r="C2011" s="3" t="s">
        <v>154</v>
      </c>
      <c r="D2011" s="5">
        <f t="shared" si="62"/>
        <v>0.74</v>
      </c>
      <c r="E2011">
        <v>0.82</v>
      </c>
      <c r="F2011" s="1789">
        <v>8.8999999999999996E-2</v>
      </c>
      <c r="G2011">
        <f t="shared" si="63"/>
        <v>0.74</v>
      </c>
    </row>
    <row r="2012" spans="1:7" ht="12.75" customHeight="1">
      <c r="A2012" s="3">
        <v>43477</v>
      </c>
      <c r="B2012" s="4" t="s">
        <v>2028</v>
      </c>
      <c r="C2012" s="3" t="s">
        <v>156</v>
      </c>
      <c r="D2012" s="5">
        <f t="shared" si="62"/>
        <v>141.38999999999999</v>
      </c>
      <c r="E2012">
        <v>155.21</v>
      </c>
      <c r="F2012" s="1789">
        <v>8.8999999999999996E-2</v>
      </c>
      <c r="G2012">
        <f t="shared" si="63"/>
        <v>141.38999999999999</v>
      </c>
    </row>
    <row r="2013" spans="1:7" ht="12.75" customHeight="1">
      <c r="A2013" s="3">
        <v>43466</v>
      </c>
      <c r="B2013" s="4" t="s">
        <v>2029</v>
      </c>
      <c r="C2013" s="3" t="s">
        <v>154</v>
      </c>
      <c r="D2013" s="5">
        <f t="shared" si="62"/>
        <v>1.79</v>
      </c>
      <c r="E2013">
        <v>1.97</v>
      </c>
      <c r="F2013" s="1789">
        <v>8.8999999999999996E-2</v>
      </c>
      <c r="G2013">
        <f t="shared" si="63"/>
        <v>1.79</v>
      </c>
    </row>
    <row r="2014" spans="1:7" ht="12.75" customHeight="1">
      <c r="A2014" s="3">
        <v>43478</v>
      </c>
      <c r="B2014" s="4" t="s">
        <v>2030</v>
      </c>
      <c r="C2014" s="3" t="s">
        <v>156</v>
      </c>
      <c r="D2014" s="5">
        <f t="shared" si="62"/>
        <v>338.17</v>
      </c>
      <c r="E2014">
        <v>371.21</v>
      </c>
      <c r="F2014" s="1789">
        <v>8.8999999999999996E-2</v>
      </c>
      <c r="G2014">
        <f t="shared" si="63"/>
        <v>338.17</v>
      </c>
    </row>
    <row r="2015" spans="1:7" ht="12.75" customHeight="1">
      <c r="A2015" s="3">
        <v>43467</v>
      </c>
      <c r="B2015" s="4" t="s">
        <v>2031</v>
      </c>
      <c r="C2015" s="3" t="s">
        <v>154</v>
      </c>
      <c r="D2015" s="5">
        <f t="shared" si="62"/>
        <v>0.55000000000000004</v>
      </c>
      <c r="E2015">
        <v>0.61</v>
      </c>
      <c r="F2015" s="1789">
        <v>8.8999999999999996E-2</v>
      </c>
      <c r="G2015">
        <f t="shared" si="63"/>
        <v>0.55000000000000004</v>
      </c>
    </row>
    <row r="2016" spans="1:7" ht="12.75" customHeight="1">
      <c r="A2016" s="3">
        <v>43479</v>
      </c>
      <c r="B2016" s="4" t="s">
        <v>2032</v>
      </c>
      <c r="C2016" s="3" t="s">
        <v>156</v>
      </c>
      <c r="D2016" s="5">
        <f t="shared" si="62"/>
        <v>104.5</v>
      </c>
      <c r="E2016">
        <v>114.72</v>
      </c>
      <c r="F2016" s="1789">
        <v>8.8999999999999996E-2</v>
      </c>
      <c r="G2016">
        <f t="shared" si="63"/>
        <v>104.5</v>
      </c>
    </row>
    <row r="2017" spans="1:7" ht="12.75" customHeight="1">
      <c r="A2017" s="3">
        <v>43468</v>
      </c>
      <c r="B2017" s="4" t="s">
        <v>2033</v>
      </c>
      <c r="C2017" s="3" t="s">
        <v>154</v>
      </c>
      <c r="D2017" s="5">
        <f t="shared" si="62"/>
        <v>1.1200000000000001</v>
      </c>
      <c r="E2017">
        <v>1.23</v>
      </c>
      <c r="F2017" s="1789">
        <v>8.8999999999999996E-2</v>
      </c>
      <c r="G2017">
        <f t="shared" si="63"/>
        <v>1.1200000000000001</v>
      </c>
    </row>
    <row r="2018" spans="1:7" ht="12.75" customHeight="1">
      <c r="A2018" s="3">
        <v>43480</v>
      </c>
      <c r="B2018" s="4" t="s">
        <v>2034</v>
      </c>
      <c r="C2018" s="3" t="s">
        <v>156</v>
      </c>
      <c r="D2018" s="5">
        <f t="shared" si="62"/>
        <v>211.63</v>
      </c>
      <c r="E2018">
        <v>232.31</v>
      </c>
      <c r="F2018" s="1789">
        <v>8.8999999999999996E-2</v>
      </c>
      <c r="G2018">
        <f t="shared" si="63"/>
        <v>211.63</v>
      </c>
    </row>
    <row r="2019" spans="1:7" ht="12.75" customHeight="1">
      <c r="A2019" s="3">
        <v>43469</v>
      </c>
      <c r="B2019" s="4" t="s">
        <v>2035</v>
      </c>
      <c r="C2019" s="3" t="s">
        <v>154</v>
      </c>
      <c r="D2019" s="5">
        <f t="shared" si="62"/>
        <v>0.06</v>
      </c>
      <c r="E2019">
        <v>7.0000000000000007E-2</v>
      </c>
      <c r="F2019" s="1789">
        <v>8.8999999999999996E-2</v>
      </c>
      <c r="G2019">
        <f t="shared" si="63"/>
        <v>0.06</v>
      </c>
    </row>
    <row r="2020" spans="1:7" ht="12.75" customHeight="1">
      <c r="A2020" s="3">
        <v>43481</v>
      </c>
      <c r="B2020" s="4" t="s">
        <v>2036</v>
      </c>
      <c r="C2020" s="3" t="s">
        <v>156</v>
      </c>
      <c r="D2020" s="5">
        <f t="shared" si="62"/>
        <v>11.63</v>
      </c>
      <c r="E2020">
        <v>12.77</v>
      </c>
      <c r="F2020" s="1789">
        <v>8.8999999999999996E-2</v>
      </c>
      <c r="G2020">
        <f t="shared" si="63"/>
        <v>11.63</v>
      </c>
    </row>
    <row r="2021" spans="1:7" ht="12.75" customHeight="1">
      <c r="A2021" s="3">
        <v>3119</v>
      </c>
      <c r="B2021" s="4" t="s">
        <v>2037</v>
      </c>
      <c r="C2021" s="3" t="s">
        <v>6</v>
      </c>
      <c r="D2021" s="5">
        <f t="shared" si="62"/>
        <v>2.85</v>
      </c>
      <c r="E2021">
        <v>3.13</v>
      </c>
      <c r="F2021" s="1789">
        <v>8.8999999999999996E-2</v>
      </c>
      <c r="G2021">
        <f t="shared" si="63"/>
        <v>2.85</v>
      </c>
    </row>
    <row r="2022" spans="1:7" ht="12.75" customHeight="1">
      <c r="A2022" s="3">
        <v>3122</v>
      </c>
      <c r="B2022" s="4" t="s">
        <v>2038</v>
      </c>
      <c r="C2022" s="3" t="s">
        <v>6</v>
      </c>
      <c r="D2022" s="5">
        <f t="shared" si="62"/>
        <v>5.81</v>
      </c>
      <c r="E2022">
        <v>6.38</v>
      </c>
      <c r="F2022" s="1789">
        <v>8.8999999999999996E-2</v>
      </c>
      <c r="G2022">
        <f t="shared" si="63"/>
        <v>5.81</v>
      </c>
    </row>
    <row r="2023" spans="1:7" ht="12.75" customHeight="1">
      <c r="A2023" s="3">
        <v>3121</v>
      </c>
      <c r="B2023" s="4" t="s">
        <v>2039</v>
      </c>
      <c r="C2023" s="3" t="s">
        <v>6</v>
      </c>
      <c r="D2023" s="5">
        <f t="shared" si="62"/>
        <v>6.59</v>
      </c>
      <c r="E2023">
        <v>7.24</v>
      </c>
      <c r="F2023" s="1789">
        <v>8.8999999999999996E-2</v>
      </c>
      <c r="G2023">
        <f t="shared" si="63"/>
        <v>6.59</v>
      </c>
    </row>
    <row r="2024" spans="1:7" ht="12.75" customHeight="1">
      <c r="A2024" s="3">
        <v>3120</v>
      </c>
      <c r="B2024" s="4" t="s">
        <v>2040</v>
      </c>
      <c r="C2024" s="3" t="s">
        <v>6</v>
      </c>
      <c r="D2024" s="5">
        <f t="shared" si="62"/>
        <v>12.49</v>
      </c>
      <c r="E2024">
        <v>13.72</v>
      </c>
      <c r="F2024" s="1789">
        <v>8.8999999999999996E-2</v>
      </c>
      <c r="G2024">
        <f t="shared" si="63"/>
        <v>12.49</v>
      </c>
    </row>
    <row r="2025" spans="1:7" ht="12.75" customHeight="1">
      <c r="A2025" s="3">
        <v>11455</v>
      </c>
      <c r="B2025" s="4" t="s">
        <v>2041</v>
      </c>
      <c r="C2025" s="3" t="s">
        <v>6</v>
      </c>
      <c r="D2025" s="5">
        <f t="shared" si="62"/>
        <v>18.07</v>
      </c>
      <c r="E2025">
        <v>19.84</v>
      </c>
      <c r="F2025" s="1789">
        <v>8.8999999999999996E-2</v>
      </c>
      <c r="G2025">
        <f t="shared" si="63"/>
        <v>18.07</v>
      </c>
    </row>
    <row r="2026" spans="1:7" ht="12.75" customHeight="1">
      <c r="A2026" s="3">
        <v>11456</v>
      </c>
      <c r="B2026" s="4" t="s">
        <v>2042</v>
      </c>
      <c r="C2026" s="3" t="s">
        <v>6</v>
      </c>
      <c r="D2026" s="5">
        <f t="shared" si="62"/>
        <v>21.6</v>
      </c>
      <c r="E2026">
        <v>23.72</v>
      </c>
      <c r="F2026" s="1789">
        <v>8.8999999999999996E-2</v>
      </c>
      <c r="G2026">
        <f t="shared" si="63"/>
        <v>21.6</v>
      </c>
    </row>
    <row r="2027" spans="1:7" ht="12.75" customHeight="1">
      <c r="A2027" s="3">
        <v>3107</v>
      </c>
      <c r="B2027" s="4" t="s">
        <v>2043</v>
      </c>
      <c r="C2027" s="3" t="s">
        <v>6</v>
      </c>
      <c r="D2027" s="5">
        <f t="shared" si="62"/>
        <v>9.11</v>
      </c>
      <c r="E2027">
        <v>10</v>
      </c>
      <c r="F2027" s="1789">
        <v>8.8999999999999996E-2</v>
      </c>
      <c r="G2027">
        <f t="shared" si="63"/>
        <v>9.11</v>
      </c>
    </row>
    <row r="2028" spans="1:7" ht="12.75" customHeight="1">
      <c r="A2028" s="3">
        <v>43583</v>
      </c>
      <c r="B2028" s="4" t="s">
        <v>2044</v>
      </c>
      <c r="C2028" s="3" t="s">
        <v>6</v>
      </c>
      <c r="D2028" s="5">
        <f t="shared" si="62"/>
        <v>10.27</v>
      </c>
      <c r="E2028">
        <v>11.28</v>
      </c>
      <c r="F2028" s="1789">
        <v>8.8999999999999996E-2</v>
      </c>
      <c r="G2028">
        <f t="shared" si="63"/>
        <v>10.27</v>
      </c>
    </row>
    <row r="2029" spans="1:7" ht="12.75" customHeight="1">
      <c r="A2029" s="3">
        <v>43586</v>
      </c>
      <c r="B2029" s="4" t="s">
        <v>2045</v>
      </c>
      <c r="C2029" s="3" t="s">
        <v>6</v>
      </c>
      <c r="D2029" s="5">
        <f t="shared" si="62"/>
        <v>10.53</v>
      </c>
      <c r="E2029">
        <v>11.56</v>
      </c>
      <c r="F2029" s="1789">
        <v>8.8999999999999996E-2</v>
      </c>
      <c r="G2029">
        <f t="shared" si="63"/>
        <v>10.53</v>
      </c>
    </row>
    <row r="2030" spans="1:7" ht="12.75" customHeight="1">
      <c r="A2030" s="3">
        <v>11461</v>
      </c>
      <c r="B2030" s="4" t="s">
        <v>2046</v>
      </c>
      <c r="C2030" s="3" t="s">
        <v>6</v>
      </c>
      <c r="D2030" s="5">
        <f t="shared" si="62"/>
        <v>11.47</v>
      </c>
      <c r="E2030">
        <v>12.6</v>
      </c>
      <c r="F2030" s="1789">
        <v>8.8999999999999996E-2</v>
      </c>
      <c r="G2030">
        <f t="shared" si="63"/>
        <v>11.47</v>
      </c>
    </row>
    <row r="2031" spans="1:7" ht="12.75" customHeight="1">
      <c r="A2031" s="3">
        <v>43587</v>
      </c>
      <c r="B2031" s="4" t="s">
        <v>2047</v>
      </c>
      <c r="C2031" s="3" t="s">
        <v>6</v>
      </c>
      <c r="D2031" s="5">
        <f t="shared" si="62"/>
        <v>13.24</v>
      </c>
      <c r="E2031">
        <v>14.54</v>
      </c>
      <c r="F2031" s="1789">
        <v>8.8999999999999996E-2</v>
      </c>
      <c r="G2031">
        <f t="shared" si="63"/>
        <v>13.24</v>
      </c>
    </row>
    <row r="2032" spans="1:7" ht="12.75" customHeight="1">
      <c r="A2032" s="3">
        <v>3106</v>
      </c>
      <c r="B2032" s="4" t="s">
        <v>2048</v>
      </c>
      <c r="C2032" s="3" t="s">
        <v>6</v>
      </c>
      <c r="D2032" s="5">
        <f t="shared" si="62"/>
        <v>16.79</v>
      </c>
      <c r="E2032">
        <v>18.440000000000001</v>
      </c>
      <c r="F2032" s="1789">
        <v>8.8999999999999996E-2</v>
      </c>
      <c r="G2032">
        <f t="shared" si="63"/>
        <v>16.79</v>
      </c>
    </row>
    <row r="2033" spans="1:7" ht="12.75" customHeight="1">
      <c r="A2033" s="3">
        <v>44539</v>
      </c>
      <c r="B2033" s="4" t="s">
        <v>2049</v>
      </c>
      <c r="C2033" s="3" t="s">
        <v>54</v>
      </c>
      <c r="D2033" s="5">
        <f t="shared" si="62"/>
        <v>3.03</v>
      </c>
      <c r="E2033">
        <v>3.33</v>
      </c>
      <c r="F2033" s="1789">
        <v>8.8999999999999996E-2</v>
      </c>
      <c r="G2033">
        <f t="shared" si="63"/>
        <v>3.03</v>
      </c>
    </row>
    <row r="2034" spans="1:7" ht="12.75" customHeight="1">
      <c r="A2034" s="3">
        <v>3123</v>
      </c>
      <c r="B2034" s="4" t="s">
        <v>2050</v>
      </c>
      <c r="C2034" s="3" t="s">
        <v>54</v>
      </c>
      <c r="D2034" s="5">
        <f t="shared" si="62"/>
        <v>2.83</v>
      </c>
      <c r="E2034">
        <v>3.11</v>
      </c>
      <c r="F2034" s="1789">
        <v>8.8999999999999996E-2</v>
      </c>
      <c r="G2034">
        <f t="shared" si="63"/>
        <v>2.83</v>
      </c>
    </row>
    <row r="2035" spans="1:7" ht="12.75" customHeight="1">
      <c r="A2035" s="3">
        <v>38125</v>
      </c>
      <c r="B2035" s="4" t="s">
        <v>2051</v>
      </c>
      <c r="C2035" s="3" t="s">
        <v>54</v>
      </c>
      <c r="D2035" s="5">
        <f t="shared" si="62"/>
        <v>1.03</v>
      </c>
      <c r="E2035">
        <v>1.1399999999999999</v>
      </c>
      <c r="F2035" s="1789">
        <v>8.8999999999999996E-2</v>
      </c>
      <c r="G2035">
        <f t="shared" si="63"/>
        <v>1.03</v>
      </c>
    </row>
    <row r="2036" spans="1:7" ht="12.75" customHeight="1">
      <c r="A2036" s="3">
        <v>39014</v>
      </c>
      <c r="B2036" s="4" t="s">
        <v>2052</v>
      </c>
      <c r="C2036" s="3" t="s">
        <v>54</v>
      </c>
      <c r="D2036" s="5">
        <f t="shared" si="62"/>
        <v>8.24</v>
      </c>
      <c r="E2036">
        <v>9.0500000000000007</v>
      </c>
      <c r="F2036" s="1789">
        <v>8.8999999999999996E-2</v>
      </c>
      <c r="G2036">
        <f t="shared" si="63"/>
        <v>8.24</v>
      </c>
    </row>
    <row r="2037" spans="1:7" ht="12.75" customHeight="1">
      <c r="A2037" s="3">
        <v>39365</v>
      </c>
      <c r="B2037" s="4" t="s">
        <v>2053</v>
      </c>
      <c r="C2037" s="3" t="s">
        <v>6</v>
      </c>
      <c r="D2037" s="5">
        <f t="shared" si="62"/>
        <v>1552.48</v>
      </c>
      <c r="E2037">
        <v>1704.15</v>
      </c>
      <c r="F2037" s="1789">
        <v>8.8999999999999996E-2</v>
      </c>
      <c r="G2037">
        <f t="shared" si="63"/>
        <v>1552.48</v>
      </c>
    </row>
    <row r="2038" spans="1:7" ht="12.75" customHeight="1">
      <c r="A2038" s="3">
        <v>39366</v>
      </c>
      <c r="B2038" s="4" t="s">
        <v>2054</v>
      </c>
      <c r="C2038" s="3" t="s">
        <v>6</v>
      </c>
      <c r="D2038" s="5">
        <f t="shared" si="62"/>
        <v>2355.36</v>
      </c>
      <c r="E2038">
        <v>2585.4699999999998</v>
      </c>
      <c r="F2038" s="1789">
        <v>8.8999999999999996E-2</v>
      </c>
      <c r="G2038">
        <f t="shared" si="63"/>
        <v>2355.36</v>
      </c>
    </row>
    <row r="2039" spans="1:7" ht="12.75" customHeight="1">
      <c r="A2039" s="3">
        <v>39367</v>
      </c>
      <c r="B2039" s="4" t="s">
        <v>2055</v>
      </c>
      <c r="C2039" s="3" t="s">
        <v>6</v>
      </c>
      <c r="D2039" s="5">
        <f t="shared" si="62"/>
        <v>4035.76</v>
      </c>
      <c r="E2039">
        <v>4430.04</v>
      </c>
      <c r="F2039" s="1789">
        <v>8.8999999999999996E-2</v>
      </c>
      <c r="G2039">
        <f t="shared" si="63"/>
        <v>4035.76</v>
      </c>
    </row>
    <row r="2040" spans="1:7" ht="12.75" customHeight="1">
      <c r="A2040" s="3">
        <v>37394</v>
      </c>
      <c r="B2040" s="4" t="s">
        <v>2056</v>
      </c>
      <c r="C2040" s="3" t="s">
        <v>2057</v>
      </c>
      <c r="D2040" s="5">
        <f t="shared" si="62"/>
        <v>41.96</v>
      </c>
      <c r="E2040">
        <v>46.06</v>
      </c>
      <c r="F2040" s="1789">
        <v>8.8999999999999996E-2</v>
      </c>
      <c r="G2040">
        <f t="shared" si="63"/>
        <v>41.96</v>
      </c>
    </row>
    <row r="2041" spans="1:7" ht="12.75" customHeight="1">
      <c r="A2041" s="3">
        <v>14146</v>
      </c>
      <c r="B2041" s="4" t="s">
        <v>2058</v>
      </c>
      <c r="C2041" s="3" t="s">
        <v>2057</v>
      </c>
      <c r="D2041" s="5">
        <f t="shared" si="62"/>
        <v>67.47</v>
      </c>
      <c r="E2041">
        <v>74.069999999999993</v>
      </c>
      <c r="F2041" s="1789">
        <v>8.8999999999999996E-2</v>
      </c>
      <c r="G2041">
        <f t="shared" si="63"/>
        <v>67.47</v>
      </c>
    </row>
    <row r="2042" spans="1:7" ht="12.75" customHeight="1">
      <c r="A2042" s="3">
        <v>938</v>
      </c>
      <c r="B2042" s="4" t="s">
        <v>2059</v>
      </c>
      <c r="C2042" s="3" t="s">
        <v>50</v>
      </c>
      <c r="D2042" s="5">
        <f t="shared" si="62"/>
        <v>1.51</v>
      </c>
      <c r="E2042">
        <v>1.66</v>
      </c>
      <c r="F2042" s="1789">
        <v>8.8999999999999996E-2</v>
      </c>
      <c r="G2042">
        <f t="shared" si="63"/>
        <v>1.51</v>
      </c>
    </row>
    <row r="2043" spans="1:7" ht="12.75" customHeight="1">
      <c r="A2043" s="3">
        <v>937</v>
      </c>
      <c r="B2043" s="4" t="s">
        <v>2060</v>
      </c>
      <c r="C2043" s="3" t="s">
        <v>50</v>
      </c>
      <c r="D2043" s="5">
        <f t="shared" si="62"/>
        <v>8.84</v>
      </c>
      <c r="E2043">
        <v>9.7100000000000009</v>
      </c>
      <c r="F2043" s="1789">
        <v>8.8999999999999996E-2</v>
      </c>
      <c r="G2043">
        <f t="shared" si="63"/>
        <v>8.84</v>
      </c>
    </row>
    <row r="2044" spans="1:7" ht="12.75" customHeight="1">
      <c r="A2044" s="3">
        <v>939</v>
      </c>
      <c r="B2044" s="4" t="s">
        <v>2061</v>
      </c>
      <c r="C2044" s="3" t="s">
        <v>50</v>
      </c>
      <c r="D2044" s="5">
        <f t="shared" si="62"/>
        <v>2.4500000000000002</v>
      </c>
      <c r="E2044">
        <v>2.69</v>
      </c>
      <c r="F2044" s="1789">
        <v>8.8999999999999996E-2</v>
      </c>
      <c r="G2044">
        <f t="shared" si="63"/>
        <v>2.4500000000000002</v>
      </c>
    </row>
    <row r="2045" spans="1:7" ht="12.75" customHeight="1">
      <c r="A2045" s="3">
        <v>944</v>
      </c>
      <c r="B2045" s="4" t="s">
        <v>2062</v>
      </c>
      <c r="C2045" s="3" t="s">
        <v>50</v>
      </c>
      <c r="D2045" s="5">
        <f t="shared" si="62"/>
        <v>3.87</v>
      </c>
      <c r="E2045">
        <v>4.25</v>
      </c>
      <c r="F2045" s="1789">
        <v>8.8999999999999996E-2</v>
      </c>
      <c r="G2045">
        <f t="shared" si="63"/>
        <v>3.87</v>
      </c>
    </row>
    <row r="2046" spans="1:7" ht="12.75" customHeight="1">
      <c r="A2046" s="3">
        <v>940</v>
      </c>
      <c r="B2046" s="4" t="s">
        <v>2063</v>
      </c>
      <c r="C2046" s="3" t="s">
        <v>50</v>
      </c>
      <c r="D2046" s="5">
        <f t="shared" si="62"/>
        <v>5.59</v>
      </c>
      <c r="E2046">
        <v>6.14</v>
      </c>
      <c r="F2046" s="1789">
        <v>8.8999999999999996E-2</v>
      </c>
      <c r="G2046">
        <f t="shared" si="63"/>
        <v>5.59</v>
      </c>
    </row>
    <row r="2047" spans="1:7" ht="12.75" customHeight="1">
      <c r="A2047" s="3">
        <v>44397</v>
      </c>
      <c r="B2047" s="4" t="s">
        <v>2064</v>
      </c>
      <c r="C2047" s="3" t="s">
        <v>50</v>
      </c>
      <c r="D2047" s="5">
        <f t="shared" si="62"/>
        <v>1.84</v>
      </c>
      <c r="E2047">
        <v>2.0299999999999998</v>
      </c>
      <c r="F2047" s="1789">
        <v>8.8999999999999996E-2</v>
      </c>
      <c r="G2047">
        <f t="shared" si="63"/>
        <v>1.84</v>
      </c>
    </row>
    <row r="2048" spans="1:7" ht="12.75" customHeight="1">
      <c r="A2048" s="3">
        <v>406</v>
      </c>
      <c r="B2048" s="4" t="s">
        <v>2065</v>
      </c>
      <c r="C2048" s="3" t="s">
        <v>6</v>
      </c>
      <c r="D2048" s="5">
        <f t="shared" si="62"/>
        <v>78.47</v>
      </c>
      <c r="E2048">
        <v>86.14</v>
      </c>
      <c r="F2048" s="1789">
        <v>8.8999999999999996E-2</v>
      </c>
      <c r="G2048">
        <f t="shared" si="63"/>
        <v>78.47</v>
      </c>
    </row>
    <row r="2049" spans="1:7" ht="12.75" customHeight="1">
      <c r="A2049" s="3">
        <v>42529</v>
      </c>
      <c r="B2049" s="4" t="s">
        <v>2066</v>
      </c>
      <c r="C2049" s="3" t="s">
        <v>50</v>
      </c>
      <c r="D2049" s="5">
        <f t="shared" si="62"/>
        <v>1.22</v>
      </c>
      <c r="E2049">
        <v>1.35</v>
      </c>
      <c r="F2049" s="1789">
        <v>8.8999999999999996E-2</v>
      </c>
      <c r="G2049">
        <f t="shared" si="63"/>
        <v>1.22</v>
      </c>
    </row>
    <row r="2050" spans="1:7" ht="12.75" customHeight="1">
      <c r="A2050" s="3">
        <v>39634</v>
      </c>
      <c r="B2050" s="4" t="s">
        <v>2067</v>
      </c>
      <c r="C2050" s="3" t="s">
        <v>50</v>
      </c>
      <c r="D2050" s="5">
        <f t="shared" si="62"/>
        <v>7</v>
      </c>
      <c r="E2050">
        <v>7.69</v>
      </c>
      <c r="F2050" s="1789">
        <v>8.8999999999999996E-2</v>
      </c>
      <c r="G2050">
        <f t="shared" si="63"/>
        <v>7</v>
      </c>
    </row>
    <row r="2051" spans="1:7" ht="12.75" customHeight="1">
      <c r="A2051" s="3">
        <v>39701</v>
      </c>
      <c r="B2051" s="4" t="s">
        <v>2068</v>
      </c>
      <c r="C2051" s="3" t="s">
        <v>6</v>
      </c>
      <c r="D2051" s="5">
        <f t="shared" ref="D2051:D2114" si="64">G2051</f>
        <v>100.5</v>
      </c>
      <c r="E2051">
        <v>110.32</v>
      </c>
      <c r="F2051" s="1789">
        <v>8.8999999999999996E-2</v>
      </c>
      <c r="G2051">
        <f t="shared" ref="G2051:G2114" si="65">TRUNC((1-F2051)*E2051,2)</f>
        <v>100.5</v>
      </c>
    </row>
    <row r="2052" spans="1:7" ht="12.75" customHeight="1">
      <c r="A2052" s="3">
        <v>12815</v>
      </c>
      <c r="B2052" s="4" t="s">
        <v>2069</v>
      </c>
      <c r="C2052" s="3" t="s">
        <v>6</v>
      </c>
      <c r="D2052" s="5">
        <f t="shared" si="64"/>
        <v>10.27</v>
      </c>
      <c r="E2052">
        <v>11.28</v>
      </c>
      <c r="F2052" s="1789">
        <v>8.8999999999999996E-2</v>
      </c>
      <c r="G2052">
        <f t="shared" si="65"/>
        <v>10.27</v>
      </c>
    </row>
    <row r="2053" spans="1:7" ht="12.75" customHeight="1">
      <c r="A2053" s="3">
        <v>39431</v>
      </c>
      <c r="B2053" s="4" t="s">
        <v>2070</v>
      </c>
      <c r="C2053" s="3" t="s">
        <v>50</v>
      </c>
      <c r="D2053" s="5">
        <f t="shared" si="64"/>
        <v>0.35</v>
      </c>
      <c r="E2053">
        <v>0.39</v>
      </c>
      <c r="F2053" s="1789">
        <v>8.8999999999999996E-2</v>
      </c>
      <c r="G2053">
        <f t="shared" si="65"/>
        <v>0.35</v>
      </c>
    </row>
    <row r="2054" spans="1:7" ht="12.75" customHeight="1">
      <c r="A2054" s="3">
        <v>39432</v>
      </c>
      <c r="B2054" s="4" t="s">
        <v>2071</v>
      </c>
      <c r="C2054" s="3" t="s">
        <v>50</v>
      </c>
      <c r="D2054" s="5">
        <f t="shared" si="64"/>
        <v>3.13</v>
      </c>
      <c r="E2054">
        <v>3.44</v>
      </c>
      <c r="F2054" s="1789">
        <v>8.8999999999999996E-2</v>
      </c>
      <c r="G2054">
        <f t="shared" si="65"/>
        <v>3.13</v>
      </c>
    </row>
    <row r="2055" spans="1:7" ht="12.75" customHeight="1">
      <c r="A2055" s="3">
        <v>20111</v>
      </c>
      <c r="B2055" s="4" t="s">
        <v>2072</v>
      </c>
      <c r="C2055" s="3" t="s">
        <v>6</v>
      </c>
      <c r="D2055" s="5">
        <f t="shared" si="64"/>
        <v>11.15</v>
      </c>
      <c r="E2055">
        <v>12.24</v>
      </c>
      <c r="F2055" s="1789">
        <v>8.8999999999999996E-2</v>
      </c>
      <c r="G2055">
        <f t="shared" si="65"/>
        <v>11.15</v>
      </c>
    </row>
    <row r="2056" spans="1:7" ht="12.75" customHeight="1">
      <c r="A2056" s="3">
        <v>21127</v>
      </c>
      <c r="B2056" s="4" t="s">
        <v>2073</v>
      </c>
      <c r="C2056" s="3" t="s">
        <v>6</v>
      </c>
      <c r="D2056" s="5">
        <f t="shared" si="64"/>
        <v>4.2</v>
      </c>
      <c r="E2056">
        <v>4.62</v>
      </c>
      <c r="F2056" s="1789">
        <v>8.8999999999999996E-2</v>
      </c>
      <c r="G2056">
        <f t="shared" si="65"/>
        <v>4.2</v>
      </c>
    </row>
    <row r="2057" spans="1:7" ht="12.75" customHeight="1">
      <c r="A2057" s="3">
        <v>404</v>
      </c>
      <c r="B2057" s="4" t="s">
        <v>2074</v>
      </c>
      <c r="C2057" s="3" t="s">
        <v>50</v>
      </c>
      <c r="D2057" s="5">
        <f t="shared" si="64"/>
        <v>1.51</v>
      </c>
      <c r="E2057">
        <v>1.66</v>
      </c>
      <c r="F2057" s="1789">
        <v>8.8999999999999996E-2</v>
      </c>
      <c r="G2057">
        <f t="shared" si="65"/>
        <v>1.51</v>
      </c>
    </row>
    <row r="2058" spans="1:7" ht="12.75" customHeight="1">
      <c r="A2058" s="3">
        <v>14151</v>
      </c>
      <c r="B2058" s="4" t="s">
        <v>2075</v>
      </c>
      <c r="C2058" s="3" t="s">
        <v>6</v>
      </c>
      <c r="D2058" s="5">
        <f t="shared" si="64"/>
        <v>48.49</v>
      </c>
      <c r="E2058">
        <v>53.23</v>
      </c>
      <c r="F2058" s="1789">
        <v>8.8999999999999996E-2</v>
      </c>
      <c r="G2058">
        <f t="shared" si="65"/>
        <v>48.49</v>
      </c>
    </row>
    <row r="2059" spans="1:7" ht="12.75" customHeight="1">
      <c r="A2059" s="3">
        <v>14153</v>
      </c>
      <c r="B2059" s="4" t="s">
        <v>2076</v>
      </c>
      <c r="C2059" s="3" t="s">
        <v>6</v>
      </c>
      <c r="D2059" s="5">
        <f t="shared" si="64"/>
        <v>54.82</v>
      </c>
      <c r="E2059">
        <v>60.18</v>
      </c>
      <c r="F2059" s="1789">
        <v>8.8999999999999996E-2</v>
      </c>
      <c r="G2059">
        <f t="shared" si="65"/>
        <v>54.82</v>
      </c>
    </row>
    <row r="2060" spans="1:7" ht="12.75" customHeight="1">
      <c r="A2060" s="3">
        <v>14152</v>
      </c>
      <c r="B2060" s="4" t="s">
        <v>2077</v>
      </c>
      <c r="C2060" s="3" t="s">
        <v>6</v>
      </c>
      <c r="D2060" s="5">
        <f t="shared" si="64"/>
        <v>42.08</v>
      </c>
      <c r="E2060">
        <v>46.2</v>
      </c>
      <c r="F2060" s="1789">
        <v>8.8999999999999996E-2</v>
      </c>
      <c r="G2060">
        <f t="shared" si="65"/>
        <v>42.08</v>
      </c>
    </row>
    <row r="2061" spans="1:7" ht="12.75" customHeight="1">
      <c r="A2061" s="3">
        <v>14154</v>
      </c>
      <c r="B2061" s="4" t="s">
        <v>2078</v>
      </c>
      <c r="C2061" s="3" t="s">
        <v>6</v>
      </c>
      <c r="D2061" s="5">
        <f t="shared" si="64"/>
        <v>147.30000000000001</v>
      </c>
      <c r="E2061">
        <v>161.69999999999999</v>
      </c>
      <c r="F2061" s="1789">
        <v>8.8999999999999996E-2</v>
      </c>
      <c r="G2061">
        <f t="shared" si="65"/>
        <v>147.30000000000001</v>
      </c>
    </row>
    <row r="2062" spans="1:7" ht="12.75" customHeight="1">
      <c r="A2062" s="3">
        <v>3146</v>
      </c>
      <c r="B2062" s="4" t="s">
        <v>2079</v>
      </c>
      <c r="C2062" s="3" t="s">
        <v>6</v>
      </c>
      <c r="D2062" s="5">
        <f t="shared" si="64"/>
        <v>3.59</v>
      </c>
      <c r="E2062">
        <v>3.95</v>
      </c>
      <c r="F2062" s="1789">
        <v>8.8999999999999996E-2</v>
      </c>
      <c r="G2062">
        <f t="shared" si="65"/>
        <v>3.59</v>
      </c>
    </row>
    <row r="2063" spans="1:7" ht="12.75" customHeight="1">
      <c r="A2063" s="3">
        <v>3143</v>
      </c>
      <c r="B2063" s="4" t="s">
        <v>2080</v>
      </c>
      <c r="C2063" s="3" t="s">
        <v>6</v>
      </c>
      <c r="D2063" s="5">
        <f t="shared" si="64"/>
        <v>8.18</v>
      </c>
      <c r="E2063">
        <v>8.98</v>
      </c>
      <c r="F2063" s="1789">
        <v>8.8999999999999996E-2</v>
      </c>
      <c r="G2063">
        <f t="shared" si="65"/>
        <v>8.18</v>
      </c>
    </row>
    <row r="2064" spans="1:7" ht="12.75" customHeight="1">
      <c r="A2064" s="3">
        <v>3148</v>
      </c>
      <c r="B2064" s="4" t="s">
        <v>2081</v>
      </c>
      <c r="C2064" s="3" t="s">
        <v>6</v>
      </c>
      <c r="D2064" s="5">
        <f t="shared" si="64"/>
        <v>13.26</v>
      </c>
      <c r="E2064">
        <v>14.56</v>
      </c>
      <c r="F2064" s="1789">
        <v>8.8999999999999996E-2</v>
      </c>
      <c r="G2064">
        <f t="shared" si="65"/>
        <v>13.26</v>
      </c>
    </row>
    <row r="2065" spans="1:7" ht="12.75" customHeight="1">
      <c r="A2065" s="3">
        <v>4310</v>
      </c>
      <c r="B2065" s="4" t="s">
        <v>2082</v>
      </c>
      <c r="C2065" s="3" t="s">
        <v>6</v>
      </c>
      <c r="D2065" s="5">
        <f t="shared" si="64"/>
        <v>2.85</v>
      </c>
      <c r="E2065">
        <v>3.13</v>
      </c>
      <c r="F2065" s="1789">
        <v>8.8999999999999996E-2</v>
      </c>
      <c r="G2065">
        <f t="shared" si="65"/>
        <v>2.85</v>
      </c>
    </row>
    <row r="2066" spans="1:7" ht="12.75" customHeight="1">
      <c r="A2066" s="3">
        <v>4311</v>
      </c>
      <c r="B2066" s="4" t="s">
        <v>2083</v>
      </c>
      <c r="C2066" s="3" t="s">
        <v>6</v>
      </c>
      <c r="D2066" s="5">
        <f t="shared" si="64"/>
        <v>2</v>
      </c>
      <c r="E2066">
        <v>2.2000000000000002</v>
      </c>
      <c r="F2066" s="1789">
        <v>8.8999999999999996E-2</v>
      </c>
      <c r="G2066">
        <f t="shared" si="65"/>
        <v>2</v>
      </c>
    </row>
    <row r="2067" spans="1:7" ht="12.75" customHeight="1">
      <c r="A2067" s="3">
        <v>4312</v>
      </c>
      <c r="B2067" s="4" t="s">
        <v>2084</v>
      </c>
      <c r="C2067" s="3" t="s">
        <v>6</v>
      </c>
      <c r="D2067" s="5">
        <f t="shared" si="64"/>
        <v>2.8</v>
      </c>
      <c r="E2067">
        <v>3.08</v>
      </c>
      <c r="F2067" s="1789">
        <v>8.8999999999999996E-2</v>
      </c>
      <c r="G2067">
        <f t="shared" si="65"/>
        <v>2.8</v>
      </c>
    </row>
    <row r="2068" spans="1:7" ht="12.75" customHeight="1">
      <c r="A2068" s="3">
        <v>13261</v>
      </c>
      <c r="B2068" s="4" t="s">
        <v>2085</v>
      </c>
      <c r="C2068" s="3" t="s">
        <v>6</v>
      </c>
      <c r="D2068" s="5">
        <f t="shared" si="64"/>
        <v>4.29</v>
      </c>
      <c r="E2068">
        <v>4.71</v>
      </c>
      <c r="F2068" s="1789">
        <v>8.8999999999999996E-2</v>
      </c>
      <c r="G2068">
        <f t="shared" si="65"/>
        <v>4.29</v>
      </c>
    </row>
    <row r="2069" spans="1:7" ht="12.75" customHeight="1">
      <c r="A2069" s="3">
        <v>3272</v>
      </c>
      <c r="B2069" s="4" t="s">
        <v>2086</v>
      </c>
      <c r="C2069" s="3" t="s">
        <v>6</v>
      </c>
      <c r="D2069" s="5">
        <f t="shared" si="64"/>
        <v>39.090000000000003</v>
      </c>
      <c r="E2069">
        <v>42.91</v>
      </c>
      <c r="F2069" s="1789">
        <v>8.8999999999999996E-2</v>
      </c>
      <c r="G2069">
        <f t="shared" si="65"/>
        <v>39.090000000000003</v>
      </c>
    </row>
    <row r="2070" spans="1:7" ht="12.75" customHeight="1">
      <c r="A2070" s="3">
        <v>3265</v>
      </c>
      <c r="B2070" s="4" t="s">
        <v>2087</v>
      </c>
      <c r="C2070" s="3" t="s">
        <v>6</v>
      </c>
      <c r="D2070" s="5">
        <f t="shared" si="64"/>
        <v>31.05</v>
      </c>
      <c r="E2070">
        <v>34.090000000000003</v>
      </c>
      <c r="F2070" s="1789">
        <v>8.8999999999999996E-2</v>
      </c>
      <c r="G2070">
        <f t="shared" si="65"/>
        <v>31.05</v>
      </c>
    </row>
    <row r="2071" spans="1:7" ht="12.75" customHeight="1">
      <c r="A2071" s="3">
        <v>3262</v>
      </c>
      <c r="B2071" s="4" t="s">
        <v>2088</v>
      </c>
      <c r="C2071" s="3" t="s">
        <v>6</v>
      </c>
      <c r="D2071" s="5">
        <f t="shared" si="64"/>
        <v>13.59</v>
      </c>
      <c r="E2071">
        <v>14.92</v>
      </c>
      <c r="F2071" s="1789">
        <v>8.8999999999999996E-2</v>
      </c>
      <c r="G2071">
        <f t="shared" si="65"/>
        <v>13.59</v>
      </c>
    </row>
    <row r="2072" spans="1:7" ht="12.75" customHeight="1">
      <c r="A2072" s="3">
        <v>3264</v>
      </c>
      <c r="B2072" s="4" t="s">
        <v>2089</v>
      </c>
      <c r="C2072" s="3" t="s">
        <v>6</v>
      </c>
      <c r="D2072" s="5">
        <f t="shared" si="64"/>
        <v>22.32</v>
      </c>
      <c r="E2072">
        <v>24.51</v>
      </c>
      <c r="F2072" s="1789">
        <v>8.8999999999999996E-2</v>
      </c>
      <c r="G2072">
        <f t="shared" si="65"/>
        <v>22.32</v>
      </c>
    </row>
    <row r="2073" spans="1:7" ht="12.75" customHeight="1">
      <c r="A2073" s="3">
        <v>3267</v>
      </c>
      <c r="B2073" s="4" t="s">
        <v>2090</v>
      </c>
      <c r="C2073" s="3" t="s">
        <v>6</v>
      </c>
      <c r="D2073" s="5">
        <f t="shared" si="64"/>
        <v>72.930000000000007</v>
      </c>
      <c r="E2073">
        <v>80.06</v>
      </c>
      <c r="F2073" s="1789">
        <v>8.8999999999999996E-2</v>
      </c>
      <c r="G2073">
        <f t="shared" si="65"/>
        <v>72.930000000000007</v>
      </c>
    </row>
    <row r="2074" spans="1:7" ht="12.75" customHeight="1">
      <c r="A2074" s="3">
        <v>3266</v>
      </c>
      <c r="B2074" s="4" t="s">
        <v>2091</v>
      </c>
      <c r="C2074" s="3" t="s">
        <v>6</v>
      </c>
      <c r="D2074" s="5">
        <f t="shared" si="64"/>
        <v>46.4</v>
      </c>
      <c r="E2074">
        <v>50.94</v>
      </c>
      <c r="F2074" s="1789">
        <v>8.8999999999999996E-2</v>
      </c>
      <c r="G2074">
        <f t="shared" si="65"/>
        <v>46.4</v>
      </c>
    </row>
    <row r="2075" spans="1:7" ht="12.75" customHeight="1">
      <c r="A2075" s="3">
        <v>3263</v>
      </c>
      <c r="B2075" s="4" t="s">
        <v>2092</v>
      </c>
      <c r="C2075" s="3" t="s">
        <v>6</v>
      </c>
      <c r="D2075" s="5">
        <f t="shared" si="64"/>
        <v>18.559999999999999</v>
      </c>
      <c r="E2075">
        <v>20.38</v>
      </c>
      <c r="F2075" s="1789">
        <v>8.8999999999999996E-2</v>
      </c>
      <c r="G2075">
        <f t="shared" si="65"/>
        <v>18.559999999999999</v>
      </c>
    </row>
    <row r="2076" spans="1:7" ht="12.75" customHeight="1">
      <c r="A2076" s="3">
        <v>3268</v>
      </c>
      <c r="B2076" s="4" t="s">
        <v>2093</v>
      </c>
      <c r="C2076" s="3" t="s">
        <v>6</v>
      </c>
      <c r="D2076" s="5">
        <f t="shared" si="64"/>
        <v>98.6</v>
      </c>
      <c r="E2076">
        <v>108.24</v>
      </c>
      <c r="F2076" s="1789">
        <v>8.8999999999999996E-2</v>
      </c>
      <c r="G2076">
        <f t="shared" si="65"/>
        <v>98.6</v>
      </c>
    </row>
    <row r="2077" spans="1:7" ht="12.75" customHeight="1">
      <c r="A2077" s="3">
        <v>3271</v>
      </c>
      <c r="B2077" s="4" t="s">
        <v>2094</v>
      </c>
      <c r="C2077" s="3" t="s">
        <v>6</v>
      </c>
      <c r="D2077" s="5">
        <f t="shared" si="64"/>
        <v>145.78</v>
      </c>
      <c r="E2077">
        <v>160.03</v>
      </c>
      <c r="F2077" s="1789">
        <v>8.8999999999999996E-2</v>
      </c>
      <c r="G2077">
        <f t="shared" si="65"/>
        <v>145.78</v>
      </c>
    </row>
    <row r="2078" spans="1:7" ht="12.75" customHeight="1">
      <c r="A2078" s="3">
        <v>3270</v>
      </c>
      <c r="B2078" s="4" t="s">
        <v>2095</v>
      </c>
      <c r="C2078" s="3" t="s">
        <v>6</v>
      </c>
      <c r="D2078" s="5">
        <f t="shared" si="64"/>
        <v>244.93</v>
      </c>
      <c r="E2078">
        <v>268.86</v>
      </c>
      <c r="F2078" s="1789">
        <v>8.8999999999999996E-2</v>
      </c>
      <c r="G2078">
        <f t="shared" si="65"/>
        <v>244.93</v>
      </c>
    </row>
    <row r="2079" spans="1:7" ht="12.75" customHeight="1">
      <c r="A2079" s="3">
        <v>3275</v>
      </c>
      <c r="B2079" s="4" t="s">
        <v>2096</v>
      </c>
      <c r="C2079" s="3" t="s">
        <v>409</v>
      </c>
      <c r="D2079" s="5">
        <f t="shared" si="64"/>
        <v>106.83</v>
      </c>
      <c r="E2079">
        <v>117.27</v>
      </c>
      <c r="F2079" s="1789">
        <v>8.8999999999999996E-2</v>
      </c>
      <c r="G2079">
        <f t="shared" si="65"/>
        <v>106.83</v>
      </c>
    </row>
    <row r="2080" spans="1:7" ht="12.75" customHeight="1">
      <c r="A2080" s="3">
        <v>39512</v>
      </c>
      <c r="B2080" s="4" t="s">
        <v>2097</v>
      </c>
      <c r="C2080" s="3" t="s">
        <v>409</v>
      </c>
      <c r="D2080" s="5">
        <f t="shared" si="64"/>
        <v>112.1</v>
      </c>
      <c r="E2080">
        <v>123.06</v>
      </c>
      <c r="F2080" s="1789">
        <v>8.8999999999999996E-2</v>
      </c>
      <c r="G2080">
        <f t="shared" si="65"/>
        <v>112.1</v>
      </c>
    </row>
    <row r="2081" spans="1:7" ht="12.75" customHeight="1">
      <c r="A2081" s="3">
        <v>39511</v>
      </c>
      <c r="B2081" s="4" t="s">
        <v>2098</v>
      </c>
      <c r="C2081" s="3" t="s">
        <v>409</v>
      </c>
      <c r="D2081" s="5">
        <f t="shared" si="64"/>
        <v>122.28</v>
      </c>
      <c r="E2081">
        <v>134.22999999999999</v>
      </c>
      <c r="F2081" s="1789">
        <v>8.8999999999999996E-2</v>
      </c>
      <c r="G2081">
        <f t="shared" si="65"/>
        <v>122.28</v>
      </c>
    </row>
    <row r="2082" spans="1:7" ht="12.75" customHeight="1">
      <c r="A2082" s="3">
        <v>39513</v>
      </c>
      <c r="B2082" s="4" t="s">
        <v>2099</v>
      </c>
      <c r="C2082" s="3" t="s">
        <v>409</v>
      </c>
      <c r="D2082" s="5">
        <f t="shared" si="64"/>
        <v>131.15</v>
      </c>
      <c r="E2082">
        <v>143.97</v>
      </c>
      <c r="F2082" s="1789">
        <v>8.8999999999999996E-2</v>
      </c>
      <c r="G2082">
        <f t="shared" si="65"/>
        <v>131.15</v>
      </c>
    </row>
    <row r="2083" spans="1:7" ht="12.75" customHeight="1">
      <c r="A2083" s="3">
        <v>3286</v>
      </c>
      <c r="B2083" s="4" t="s">
        <v>2100</v>
      </c>
      <c r="C2083" s="3" t="s">
        <v>409</v>
      </c>
      <c r="D2083" s="5">
        <f t="shared" si="64"/>
        <v>84.39</v>
      </c>
      <c r="E2083">
        <v>92.64</v>
      </c>
      <c r="F2083" s="1789">
        <v>8.8999999999999996E-2</v>
      </c>
      <c r="G2083">
        <f t="shared" si="65"/>
        <v>84.39</v>
      </c>
    </row>
    <row r="2084" spans="1:7" ht="12.75" customHeight="1">
      <c r="A2084" s="3">
        <v>3287</v>
      </c>
      <c r="B2084" s="4" t="s">
        <v>2101</v>
      </c>
      <c r="C2084" s="3" t="s">
        <v>409</v>
      </c>
      <c r="D2084" s="5">
        <f t="shared" si="64"/>
        <v>127.54</v>
      </c>
      <c r="E2084">
        <v>140</v>
      </c>
      <c r="F2084" s="1789">
        <v>8.8999999999999996E-2</v>
      </c>
      <c r="G2084">
        <f t="shared" si="65"/>
        <v>127.54</v>
      </c>
    </row>
    <row r="2085" spans="1:7" ht="12.75" customHeight="1">
      <c r="A2085" s="3">
        <v>3283</v>
      </c>
      <c r="B2085" s="4" t="s">
        <v>2102</v>
      </c>
      <c r="C2085" s="3" t="s">
        <v>409</v>
      </c>
      <c r="D2085" s="5">
        <f t="shared" si="64"/>
        <v>26.79</v>
      </c>
      <c r="E2085">
        <v>29.41</v>
      </c>
      <c r="F2085" s="1789">
        <v>8.8999999999999996E-2</v>
      </c>
      <c r="G2085">
        <f t="shared" si="65"/>
        <v>26.79</v>
      </c>
    </row>
    <row r="2086" spans="1:7" ht="12.75" customHeight="1">
      <c r="A2086" s="3">
        <v>11587</v>
      </c>
      <c r="B2086" s="4" t="s">
        <v>2103</v>
      </c>
      <c r="C2086" s="3" t="s">
        <v>409</v>
      </c>
      <c r="D2086" s="5">
        <f t="shared" si="64"/>
        <v>73.25</v>
      </c>
      <c r="E2086">
        <v>80.41</v>
      </c>
      <c r="F2086" s="1789">
        <v>8.8999999999999996E-2</v>
      </c>
      <c r="G2086">
        <f t="shared" si="65"/>
        <v>73.25</v>
      </c>
    </row>
    <row r="2087" spans="1:7" ht="12.75" customHeight="1">
      <c r="A2087" s="3">
        <v>36225</v>
      </c>
      <c r="B2087" s="4" t="s">
        <v>2104</v>
      </c>
      <c r="C2087" s="3" t="s">
        <v>409</v>
      </c>
      <c r="D2087" s="5">
        <f t="shared" si="64"/>
        <v>29.76</v>
      </c>
      <c r="E2087">
        <v>32.67</v>
      </c>
      <c r="F2087" s="1789">
        <v>8.8999999999999996E-2</v>
      </c>
      <c r="G2087">
        <f t="shared" si="65"/>
        <v>29.76</v>
      </c>
    </row>
    <row r="2088" spans="1:7" ht="12.75" customHeight="1">
      <c r="A2088" s="3">
        <v>36230</v>
      </c>
      <c r="B2088" s="4" t="s">
        <v>2105</v>
      </c>
      <c r="C2088" s="3" t="s">
        <v>409</v>
      </c>
      <c r="D2088" s="5">
        <f t="shared" si="64"/>
        <v>21.86</v>
      </c>
      <c r="E2088">
        <v>24</v>
      </c>
      <c r="F2088" s="1789">
        <v>8.8999999999999996E-2</v>
      </c>
      <c r="G2088">
        <f t="shared" si="65"/>
        <v>21.86</v>
      </c>
    </row>
    <row r="2089" spans="1:7" ht="12.75" customHeight="1">
      <c r="A2089" s="3">
        <v>36238</v>
      </c>
      <c r="B2089" s="4" t="s">
        <v>2106</v>
      </c>
      <c r="C2089" s="3" t="s">
        <v>409</v>
      </c>
      <c r="D2089" s="5">
        <f t="shared" si="64"/>
        <v>21.36</v>
      </c>
      <c r="E2089">
        <v>23.45</v>
      </c>
      <c r="F2089" s="1789">
        <v>8.8999999999999996E-2</v>
      </c>
      <c r="G2089">
        <f t="shared" si="65"/>
        <v>21.36</v>
      </c>
    </row>
    <row r="2090" spans="1:7" ht="12.75" customHeight="1">
      <c r="A2090" s="3">
        <v>39363</v>
      </c>
      <c r="B2090" s="4" t="s">
        <v>2107</v>
      </c>
      <c r="C2090" s="3" t="s">
        <v>6</v>
      </c>
      <c r="D2090" s="5">
        <f t="shared" si="64"/>
        <v>4576.18</v>
      </c>
      <c r="E2090">
        <v>5023.25</v>
      </c>
      <c r="F2090" s="1789">
        <v>8.8999999999999996E-2</v>
      </c>
      <c r="G2090">
        <f t="shared" si="65"/>
        <v>4576.18</v>
      </c>
    </row>
    <row r="2091" spans="1:7" ht="12.75" customHeight="1">
      <c r="A2091" s="3">
        <v>39361</v>
      </c>
      <c r="B2091" s="4" t="s">
        <v>2108</v>
      </c>
      <c r="C2091" s="3" t="s">
        <v>6</v>
      </c>
      <c r="D2091" s="5">
        <f t="shared" si="64"/>
        <v>1398.05</v>
      </c>
      <c r="E2091">
        <v>1534.64</v>
      </c>
      <c r="F2091" s="1789">
        <v>8.8999999999999996E-2</v>
      </c>
      <c r="G2091">
        <f t="shared" si="65"/>
        <v>1398.05</v>
      </c>
    </row>
    <row r="2092" spans="1:7" ht="12.75" customHeight="1">
      <c r="A2092" s="3">
        <v>39362</v>
      </c>
      <c r="B2092" s="4" t="s">
        <v>2109</v>
      </c>
      <c r="C2092" s="3" t="s">
        <v>6</v>
      </c>
      <c r="D2092" s="5">
        <f t="shared" si="64"/>
        <v>2469.73</v>
      </c>
      <c r="E2092">
        <v>2711.02</v>
      </c>
      <c r="F2092" s="1789">
        <v>8.8999999999999996E-2</v>
      </c>
      <c r="G2092">
        <f t="shared" si="65"/>
        <v>2469.73</v>
      </c>
    </row>
    <row r="2093" spans="1:7" ht="12.75" customHeight="1">
      <c r="A2093" s="3">
        <v>39364</v>
      </c>
      <c r="B2093" s="4" t="s">
        <v>2110</v>
      </c>
      <c r="C2093" s="3" t="s">
        <v>6</v>
      </c>
      <c r="D2093" s="5">
        <f t="shared" si="64"/>
        <v>9652.3799999999992</v>
      </c>
      <c r="E2093">
        <v>10595.37</v>
      </c>
      <c r="F2093" s="1789">
        <v>8.8999999999999996E-2</v>
      </c>
      <c r="G2093">
        <f t="shared" si="65"/>
        <v>9652.3799999999992</v>
      </c>
    </row>
    <row r="2094" spans="1:7" ht="12.75" customHeight="1">
      <c r="A2094" s="3">
        <v>14576</v>
      </c>
      <c r="B2094" s="4" t="s">
        <v>2111</v>
      </c>
      <c r="C2094" s="3" t="s">
        <v>6</v>
      </c>
      <c r="D2094" s="5">
        <f t="shared" si="64"/>
        <v>5721561.5099999998</v>
      </c>
      <c r="E2094">
        <v>6280528.5599999996</v>
      </c>
      <c r="F2094" s="1789">
        <v>8.8999999999999996E-2</v>
      </c>
      <c r="G2094">
        <f t="shared" si="65"/>
        <v>5721561.5099999998</v>
      </c>
    </row>
    <row r="2095" spans="1:7" ht="12.75" customHeight="1">
      <c r="A2095" s="3">
        <v>13877</v>
      </c>
      <c r="B2095" s="4" t="s">
        <v>2112</v>
      </c>
      <c r="C2095" s="3" t="s">
        <v>6</v>
      </c>
      <c r="D2095" s="5">
        <f t="shared" si="64"/>
        <v>2449315.14</v>
      </c>
      <c r="E2095">
        <v>2688600.6</v>
      </c>
      <c r="F2095" s="1789">
        <v>8.8999999999999996E-2</v>
      </c>
      <c r="G2095">
        <f t="shared" si="65"/>
        <v>2449315.14</v>
      </c>
    </row>
    <row r="2096" spans="1:7" ht="12.75" customHeight="1">
      <c r="A2096" s="3">
        <v>7307</v>
      </c>
      <c r="B2096" s="4" t="s">
        <v>2113</v>
      </c>
      <c r="C2096" s="3" t="s">
        <v>56</v>
      </c>
      <c r="D2096" s="5">
        <f t="shared" si="64"/>
        <v>33.020000000000003</v>
      </c>
      <c r="E2096">
        <v>36.25</v>
      </c>
      <c r="F2096" s="1789">
        <v>8.8999999999999996E-2</v>
      </c>
      <c r="G2096">
        <f t="shared" si="65"/>
        <v>33.020000000000003</v>
      </c>
    </row>
    <row r="2097" spans="1:7" ht="12.75" customHeight="1">
      <c r="A2097" s="3">
        <v>38122</v>
      </c>
      <c r="B2097" s="4" t="s">
        <v>2114</v>
      </c>
      <c r="C2097" s="3" t="s">
        <v>56</v>
      </c>
      <c r="D2097" s="5">
        <f t="shared" si="64"/>
        <v>9.64</v>
      </c>
      <c r="E2097">
        <v>10.59</v>
      </c>
      <c r="F2097" s="1789">
        <v>8.8999999999999996E-2</v>
      </c>
      <c r="G2097">
        <f t="shared" si="65"/>
        <v>9.64</v>
      </c>
    </row>
    <row r="2098" spans="1:7" ht="12.75" customHeight="1">
      <c r="A2098" s="3">
        <v>43653</v>
      </c>
      <c r="B2098" s="4" t="s">
        <v>2115</v>
      </c>
      <c r="C2098" s="3" t="s">
        <v>56</v>
      </c>
      <c r="D2098" s="5">
        <f t="shared" si="64"/>
        <v>30.73</v>
      </c>
      <c r="E2098">
        <v>33.74</v>
      </c>
      <c r="F2098" s="1789">
        <v>8.8999999999999996E-2</v>
      </c>
      <c r="G2098">
        <f t="shared" si="65"/>
        <v>30.73</v>
      </c>
    </row>
    <row r="2099" spans="1:7" ht="12.75" customHeight="1">
      <c r="A2099" s="3">
        <v>38633</v>
      </c>
      <c r="B2099" s="4" t="s">
        <v>2116</v>
      </c>
      <c r="C2099" s="3" t="s">
        <v>6</v>
      </c>
      <c r="D2099" s="5">
        <f t="shared" si="64"/>
        <v>22.21</v>
      </c>
      <c r="E2099">
        <v>24.38</v>
      </c>
      <c r="F2099" s="1789">
        <v>8.8999999999999996E-2</v>
      </c>
      <c r="G2099">
        <f t="shared" si="65"/>
        <v>22.21</v>
      </c>
    </row>
    <row r="2100" spans="1:7" ht="12.75" customHeight="1">
      <c r="A2100" s="3">
        <v>12344</v>
      </c>
      <c r="B2100" s="4" t="s">
        <v>2117</v>
      </c>
      <c r="C2100" s="3" t="s">
        <v>6</v>
      </c>
      <c r="D2100" s="5">
        <f t="shared" si="64"/>
        <v>5.97</v>
      </c>
      <c r="E2100">
        <v>6.56</v>
      </c>
      <c r="F2100" s="1789">
        <v>8.8999999999999996E-2</v>
      </c>
      <c r="G2100">
        <f t="shared" si="65"/>
        <v>5.97</v>
      </c>
    </row>
    <row r="2101" spans="1:7" ht="12.75" customHeight="1">
      <c r="A2101" s="3">
        <v>12343</v>
      </c>
      <c r="B2101" s="4" t="s">
        <v>2118</v>
      </c>
      <c r="C2101" s="3" t="s">
        <v>6</v>
      </c>
      <c r="D2101" s="5">
        <f t="shared" si="64"/>
        <v>9.26</v>
      </c>
      <c r="E2101">
        <v>10.17</v>
      </c>
      <c r="F2101" s="1789">
        <v>8.8999999999999996E-2</v>
      </c>
      <c r="G2101">
        <f t="shared" si="65"/>
        <v>9.26</v>
      </c>
    </row>
    <row r="2102" spans="1:7" ht="12.75" customHeight="1">
      <c r="A2102" s="3">
        <v>3295</v>
      </c>
      <c r="B2102" s="4" t="s">
        <v>2119</v>
      </c>
      <c r="C2102" s="3" t="s">
        <v>6</v>
      </c>
      <c r="D2102" s="5">
        <f t="shared" si="64"/>
        <v>32.35</v>
      </c>
      <c r="E2102">
        <v>35.520000000000003</v>
      </c>
      <c r="F2102" s="1789">
        <v>8.8999999999999996E-2</v>
      </c>
      <c r="G2102">
        <f t="shared" si="65"/>
        <v>32.35</v>
      </c>
    </row>
    <row r="2103" spans="1:7" ht="12.75" customHeight="1">
      <c r="A2103" s="3">
        <v>3302</v>
      </c>
      <c r="B2103" s="4" t="s">
        <v>2120</v>
      </c>
      <c r="C2103" s="3" t="s">
        <v>6</v>
      </c>
      <c r="D2103" s="5">
        <f t="shared" si="64"/>
        <v>33.83</v>
      </c>
      <c r="E2103">
        <v>37.14</v>
      </c>
      <c r="F2103" s="1789">
        <v>8.8999999999999996E-2</v>
      </c>
      <c r="G2103">
        <f t="shared" si="65"/>
        <v>33.83</v>
      </c>
    </row>
    <row r="2104" spans="1:7" ht="12.75" customHeight="1">
      <c r="A2104" s="3">
        <v>3297</v>
      </c>
      <c r="B2104" s="4" t="s">
        <v>2121</v>
      </c>
      <c r="C2104" s="3" t="s">
        <v>6</v>
      </c>
      <c r="D2104" s="5">
        <f t="shared" si="64"/>
        <v>36.11</v>
      </c>
      <c r="E2104">
        <v>39.64</v>
      </c>
      <c r="F2104" s="1789">
        <v>8.8999999999999996E-2</v>
      </c>
      <c r="G2104">
        <f t="shared" si="65"/>
        <v>36.11</v>
      </c>
    </row>
    <row r="2105" spans="1:7" ht="12.75" customHeight="1">
      <c r="A2105" s="3">
        <v>3294</v>
      </c>
      <c r="B2105" s="4" t="s">
        <v>2122</v>
      </c>
      <c r="C2105" s="3" t="s">
        <v>6</v>
      </c>
      <c r="D2105" s="5">
        <f t="shared" si="64"/>
        <v>36.659999999999997</v>
      </c>
      <c r="E2105">
        <v>40.25</v>
      </c>
      <c r="F2105" s="1789">
        <v>8.8999999999999996E-2</v>
      </c>
      <c r="G2105">
        <f t="shared" si="65"/>
        <v>36.659999999999997</v>
      </c>
    </row>
    <row r="2106" spans="1:7" ht="12.75" customHeight="1">
      <c r="A2106" s="3">
        <v>3292</v>
      </c>
      <c r="B2106" s="4" t="s">
        <v>2123</v>
      </c>
      <c r="C2106" s="3" t="s">
        <v>6</v>
      </c>
      <c r="D2106" s="5">
        <f t="shared" si="64"/>
        <v>34.44</v>
      </c>
      <c r="E2106">
        <v>37.81</v>
      </c>
      <c r="F2106" s="1789">
        <v>8.8999999999999996E-2</v>
      </c>
      <c r="G2106">
        <f t="shared" si="65"/>
        <v>34.44</v>
      </c>
    </row>
    <row r="2107" spans="1:7" ht="12.75" customHeight="1">
      <c r="A2107" s="3">
        <v>3298</v>
      </c>
      <c r="B2107" s="4" t="s">
        <v>2124</v>
      </c>
      <c r="C2107" s="3" t="s">
        <v>6</v>
      </c>
      <c r="D2107" s="5">
        <f t="shared" si="64"/>
        <v>80.72</v>
      </c>
      <c r="E2107">
        <v>88.61</v>
      </c>
      <c r="F2107" s="1789">
        <v>8.8999999999999996E-2</v>
      </c>
      <c r="G2107">
        <f t="shared" si="65"/>
        <v>80.72</v>
      </c>
    </row>
    <row r="2108" spans="1:7" ht="12.75" customHeight="1">
      <c r="A2108" s="3">
        <v>34802</v>
      </c>
      <c r="B2108" s="4" t="s">
        <v>2125</v>
      </c>
      <c r="C2108" s="3" t="s">
        <v>6</v>
      </c>
      <c r="D2108" s="5">
        <f t="shared" si="64"/>
        <v>1325.22</v>
      </c>
      <c r="E2108">
        <v>1454.69</v>
      </c>
      <c r="F2108" s="1789">
        <v>8.8999999999999996E-2</v>
      </c>
      <c r="G2108">
        <f t="shared" si="65"/>
        <v>1325.22</v>
      </c>
    </row>
    <row r="2109" spans="1:7" ht="12.75" customHeight="1">
      <c r="A2109" s="3">
        <v>11588</v>
      </c>
      <c r="B2109" s="4" t="s">
        <v>2126</v>
      </c>
      <c r="C2109" s="3" t="s">
        <v>6</v>
      </c>
      <c r="D2109" s="5">
        <f t="shared" si="64"/>
        <v>1429.7</v>
      </c>
      <c r="E2109">
        <v>1569.38</v>
      </c>
      <c r="F2109" s="1789">
        <v>8.8999999999999996E-2</v>
      </c>
      <c r="G2109">
        <f t="shared" si="65"/>
        <v>1429.7</v>
      </c>
    </row>
    <row r="2110" spans="1:7" ht="12.75" customHeight="1">
      <c r="A2110" s="3">
        <v>34383</v>
      </c>
      <c r="B2110" s="4" t="s">
        <v>2127</v>
      </c>
      <c r="C2110" s="3" t="s">
        <v>6</v>
      </c>
      <c r="D2110" s="5">
        <f t="shared" si="64"/>
        <v>1572.77</v>
      </c>
      <c r="E2110">
        <v>1726.43</v>
      </c>
      <c r="F2110" s="1789">
        <v>8.8999999999999996E-2</v>
      </c>
      <c r="G2110">
        <f t="shared" si="65"/>
        <v>1572.77</v>
      </c>
    </row>
    <row r="2111" spans="1:7" ht="12.75" customHeight="1">
      <c r="A2111" s="3">
        <v>40451</v>
      </c>
      <c r="B2111" s="4" t="s">
        <v>2128</v>
      </c>
      <c r="C2111" s="3" t="s">
        <v>409</v>
      </c>
      <c r="D2111" s="5">
        <f t="shared" si="64"/>
        <v>127.13</v>
      </c>
      <c r="E2111">
        <v>139.55000000000001</v>
      </c>
      <c r="F2111" s="1789">
        <v>8.8999999999999996E-2</v>
      </c>
      <c r="G2111">
        <f t="shared" si="65"/>
        <v>127.13</v>
      </c>
    </row>
    <row r="2112" spans="1:7" ht="12.75" customHeight="1">
      <c r="A2112" s="3">
        <v>40453</v>
      </c>
      <c r="B2112" s="4" t="s">
        <v>2129</v>
      </c>
      <c r="C2112" s="3" t="s">
        <v>409</v>
      </c>
      <c r="D2112" s="5">
        <f t="shared" si="64"/>
        <v>137.55000000000001</v>
      </c>
      <c r="E2112">
        <v>150.99</v>
      </c>
      <c r="F2112" s="1789">
        <v>8.8999999999999996E-2</v>
      </c>
      <c r="G2112">
        <f t="shared" si="65"/>
        <v>137.55000000000001</v>
      </c>
    </row>
    <row r="2113" spans="1:7" ht="12.75" customHeight="1">
      <c r="A2113" s="3">
        <v>40452</v>
      </c>
      <c r="B2113" s="4" t="s">
        <v>2130</v>
      </c>
      <c r="C2113" s="3" t="s">
        <v>409</v>
      </c>
      <c r="D2113" s="5">
        <f t="shared" si="64"/>
        <v>150.87</v>
      </c>
      <c r="E2113">
        <v>165.62</v>
      </c>
      <c r="F2113" s="1789">
        <v>8.8999999999999996E-2</v>
      </c>
      <c r="G2113">
        <f t="shared" si="65"/>
        <v>150.87</v>
      </c>
    </row>
    <row r="2114" spans="1:7" ht="12.75" customHeight="1">
      <c r="A2114" s="3">
        <v>11594</v>
      </c>
      <c r="B2114" s="4" t="s">
        <v>2131</v>
      </c>
      <c r="C2114" s="3" t="s">
        <v>6</v>
      </c>
      <c r="D2114" s="5">
        <f t="shared" si="64"/>
        <v>455.69</v>
      </c>
      <c r="E2114">
        <v>500.21</v>
      </c>
      <c r="F2114" s="1789">
        <v>8.8999999999999996E-2</v>
      </c>
      <c r="G2114">
        <f t="shared" si="65"/>
        <v>455.69</v>
      </c>
    </row>
    <row r="2115" spans="1:7" ht="12.75" customHeight="1">
      <c r="A2115" s="3">
        <v>3311</v>
      </c>
      <c r="B2115" s="4" t="s">
        <v>2132</v>
      </c>
      <c r="C2115" s="3" t="s">
        <v>152</v>
      </c>
      <c r="D2115" s="5">
        <f t="shared" ref="D2115:D2178" si="66">G2115</f>
        <v>455.69</v>
      </c>
      <c r="E2115">
        <v>500.21</v>
      </c>
      <c r="F2115" s="1789">
        <v>8.8999999999999996E-2</v>
      </c>
      <c r="G2115">
        <f t="shared" ref="G2115:G2178" si="67">TRUNC((1-F2115)*E2115,2)</f>
        <v>455.69</v>
      </c>
    </row>
    <row r="2116" spans="1:7" ht="12.75" customHeight="1">
      <c r="A2116" s="3">
        <v>11599</v>
      </c>
      <c r="B2116" s="4" t="s">
        <v>2133</v>
      </c>
      <c r="C2116" s="3" t="s">
        <v>6</v>
      </c>
      <c r="D2116" s="5">
        <f t="shared" si="66"/>
        <v>606</v>
      </c>
      <c r="E2116">
        <v>665.21</v>
      </c>
      <c r="F2116" s="1789">
        <v>8.8999999999999996E-2</v>
      </c>
      <c r="G2116">
        <f t="shared" si="67"/>
        <v>606</v>
      </c>
    </row>
    <row r="2117" spans="1:7" ht="12.75" customHeight="1">
      <c r="A2117" s="3">
        <v>11593</v>
      </c>
      <c r="B2117" s="4" t="s">
        <v>2134</v>
      </c>
      <c r="C2117" s="3" t="s">
        <v>6</v>
      </c>
      <c r="D2117" s="5">
        <f t="shared" si="66"/>
        <v>849.58</v>
      </c>
      <c r="E2117">
        <v>932.59</v>
      </c>
      <c r="F2117" s="1789">
        <v>8.8999999999999996E-2</v>
      </c>
      <c r="G2117">
        <f t="shared" si="67"/>
        <v>849.58</v>
      </c>
    </row>
    <row r="2118" spans="1:7" ht="12.75" customHeight="1">
      <c r="A2118" s="3">
        <v>3314</v>
      </c>
      <c r="B2118" s="4" t="s">
        <v>2135</v>
      </c>
      <c r="C2118" s="3" t="s">
        <v>152</v>
      </c>
      <c r="D2118" s="5">
        <f t="shared" si="66"/>
        <v>607.62</v>
      </c>
      <c r="E2118">
        <v>666.99</v>
      </c>
      <c r="F2118" s="1789">
        <v>8.8999999999999996E-2</v>
      </c>
      <c r="G2118">
        <f t="shared" si="67"/>
        <v>607.62</v>
      </c>
    </row>
    <row r="2119" spans="1:7" ht="12.75" customHeight="1">
      <c r="A2119" s="3">
        <v>11597</v>
      </c>
      <c r="B2119" s="4" t="s">
        <v>2136</v>
      </c>
      <c r="C2119" s="3" t="s">
        <v>6</v>
      </c>
      <c r="D2119" s="5">
        <f t="shared" si="66"/>
        <v>706.59</v>
      </c>
      <c r="E2119">
        <v>775.63</v>
      </c>
      <c r="F2119" s="1789">
        <v>8.8999999999999996E-2</v>
      </c>
      <c r="G2119">
        <f t="shared" si="67"/>
        <v>706.59</v>
      </c>
    </row>
    <row r="2120" spans="1:7" ht="12.75" customHeight="1">
      <c r="A2120" s="3">
        <v>3309</v>
      </c>
      <c r="B2120" s="4" t="s">
        <v>2137</v>
      </c>
      <c r="C2120" s="3" t="s">
        <v>152</v>
      </c>
      <c r="D2120" s="5">
        <f t="shared" si="66"/>
        <v>482.53</v>
      </c>
      <c r="E2120">
        <v>529.67999999999995</v>
      </c>
      <c r="F2120" s="1789">
        <v>8.8999999999999996E-2</v>
      </c>
      <c r="G2120">
        <f t="shared" si="67"/>
        <v>482.53</v>
      </c>
    </row>
    <row r="2121" spans="1:7" ht="12.75" customHeight="1">
      <c r="A2121" s="3">
        <v>34612</v>
      </c>
      <c r="B2121" s="4" t="s">
        <v>2138</v>
      </c>
      <c r="C2121" s="3" t="s">
        <v>6</v>
      </c>
      <c r="D2121" s="5">
        <f t="shared" si="66"/>
        <v>873.94</v>
      </c>
      <c r="E2121">
        <v>959.32</v>
      </c>
      <c r="F2121" s="1789">
        <v>8.8999999999999996E-2</v>
      </c>
      <c r="G2121">
        <f t="shared" si="67"/>
        <v>873.94</v>
      </c>
    </row>
    <row r="2122" spans="1:7" ht="12.75" customHeight="1">
      <c r="A2122" s="3">
        <v>34635</v>
      </c>
      <c r="B2122" s="4" t="s">
        <v>2139</v>
      </c>
      <c r="C2122" s="3" t="s">
        <v>6</v>
      </c>
      <c r="D2122" s="5">
        <f t="shared" si="66"/>
        <v>1123.8399999999999</v>
      </c>
      <c r="E2122">
        <v>1233.6400000000001</v>
      </c>
      <c r="F2122" s="1789">
        <v>8.8999999999999996E-2</v>
      </c>
      <c r="G2122">
        <f t="shared" si="67"/>
        <v>1123.8399999999999</v>
      </c>
    </row>
    <row r="2123" spans="1:7" ht="12.75" customHeight="1">
      <c r="A2123" s="3">
        <v>34633</v>
      </c>
      <c r="B2123" s="4" t="s">
        <v>2140</v>
      </c>
      <c r="C2123" s="3" t="s">
        <v>6</v>
      </c>
      <c r="D2123" s="5">
        <f t="shared" si="66"/>
        <v>1238.77</v>
      </c>
      <c r="E2123">
        <v>1359.8</v>
      </c>
      <c r="F2123" s="1789">
        <v>8.8999999999999996E-2</v>
      </c>
      <c r="G2123">
        <f t="shared" si="67"/>
        <v>1238.77</v>
      </c>
    </row>
    <row r="2124" spans="1:7" ht="12.75" customHeight="1">
      <c r="A2124" s="3">
        <v>40440</v>
      </c>
      <c r="B2124" s="4" t="s">
        <v>2141</v>
      </c>
      <c r="C2124" s="3" t="s">
        <v>152</v>
      </c>
      <c r="D2124" s="5">
        <f t="shared" si="66"/>
        <v>632.9</v>
      </c>
      <c r="E2124">
        <v>694.74</v>
      </c>
      <c r="F2124" s="1789">
        <v>8.8999999999999996E-2</v>
      </c>
      <c r="G2124">
        <f t="shared" si="67"/>
        <v>632.9</v>
      </c>
    </row>
    <row r="2125" spans="1:7" ht="12.75" customHeight="1">
      <c r="A2125" s="3">
        <v>40441</v>
      </c>
      <c r="B2125" s="4" t="s">
        <v>2142</v>
      </c>
      <c r="C2125" s="3" t="s">
        <v>152</v>
      </c>
      <c r="D2125" s="5">
        <f t="shared" si="66"/>
        <v>404.07</v>
      </c>
      <c r="E2125">
        <v>443.55</v>
      </c>
      <c r="F2125" s="1789">
        <v>8.8999999999999996E-2</v>
      </c>
      <c r="G2125">
        <f t="shared" si="67"/>
        <v>404.07</v>
      </c>
    </row>
    <row r="2126" spans="1:7" ht="12.75" customHeight="1">
      <c r="A2126" s="3">
        <v>40449</v>
      </c>
      <c r="B2126" s="4" t="s">
        <v>2143</v>
      </c>
      <c r="C2126" s="3" t="s">
        <v>152</v>
      </c>
      <c r="D2126" s="5">
        <f t="shared" si="66"/>
        <v>339.69</v>
      </c>
      <c r="E2126">
        <v>372.88</v>
      </c>
      <c r="F2126" s="1789">
        <v>8.8999999999999996E-2</v>
      </c>
      <c r="G2126">
        <f t="shared" si="67"/>
        <v>339.69</v>
      </c>
    </row>
    <row r="2127" spans="1:7" ht="12.75" customHeight="1">
      <c r="A2127" s="3">
        <v>34800</v>
      </c>
      <c r="B2127" s="4" t="s">
        <v>2144</v>
      </c>
      <c r="C2127" s="3" t="s">
        <v>152</v>
      </c>
      <c r="D2127" s="5">
        <f t="shared" si="66"/>
        <v>424.79</v>
      </c>
      <c r="E2127">
        <v>466.29</v>
      </c>
      <c r="F2127" s="1789">
        <v>8.8999999999999996E-2</v>
      </c>
      <c r="G2127">
        <f t="shared" si="67"/>
        <v>424.79</v>
      </c>
    </row>
    <row r="2128" spans="1:7" ht="12.75" customHeight="1">
      <c r="A2128" s="3">
        <v>11592</v>
      </c>
      <c r="B2128" s="4" t="s">
        <v>2145</v>
      </c>
      <c r="C2128" s="3" t="s">
        <v>6</v>
      </c>
      <c r="D2128" s="5">
        <f t="shared" si="66"/>
        <v>607.62</v>
      </c>
      <c r="E2128">
        <v>666.99</v>
      </c>
      <c r="F2128" s="1789">
        <v>8.8999999999999996E-2</v>
      </c>
      <c r="G2128">
        <f t="shared" si="67"/>
        <v>607.62</v>
      </c>
    </row>
    <row r="2129" spans="1:7" ht="12.75" customHeight="1">
      <c r="A2129" s="3">
        <v>40438</v>
      </c>
      <c r="B2129" s="4" t="s">
        <v>2146</v>
      </c>
      <c r="C2129" s="3" t="s">
        <v>152</v>
      </c>
      <c r="D2129" s="5">
        <f t="shared" si="66"/>
        <v>283</v>
      </c>
      <c r="E2129">
        <v>310.64999999999998</v>
      </c>
      <c r="F2129" s="1789">
        <v>8.8999999999999996E-2</v>
      </c>
      <c r="G2129">
        <f t="shared" si="67"/>
        <v>283</v>
      </c>
    </row>
    <row r="2130" spans="1:7" ht="12.75" customHeight="1">
      <c r="A2130" s="3">
        <v>40436</v>
      </c>
      <c r="B2130" s="4" t="s">
        <v>2147</v>
      </c>
      <c r="C2130" s="3" t="s">
        <v>152</v>
      </c>
      <c r="D2130" s="5">
        <f t="shared" si="66"/>
        <v>352.88</v>
      </c>
      <c r="E2130">
        <v>387.36</v>
      </c>
      <c r="F2130" s="1789">
        <v>8.8999999999999996E-2</v>
      </c>
      <c r="G2130">
        <f t="shared" si="67"/>
        <v>352.88</v>
      </c>
    </row>
    <row r="2131" spans="1:7" ht="12.75" customHeight="1">
      <c r="A2131" s="3">
        <v>11596</v>
      </c>
      <c r="B2131" s="4" t="s">
        <v>2148</v>
      </c>
      <c r="C2131" s="3" t="s">
        <v>6</v>
      </c>
      <c r="D2131" s="5">
        <f t="shared" si="66"/>
        <v>482.53</v>
      </c>
      <c r="E2131">
        <v>529.67999999999995</v>
      </c>
      <c r="F2131" s="1789">
        <v>8.8999999999999996E-2</v>
      </c>
      <c r="G2131">
        <f t="shared" si="67"/>
        <v>482.53</v>
      </c>
    </row>
    <row r="2132" spans="1:7" ht="12.75" customHeight="1">
      <c r="A2132" s="3">
        <v>4315</v>
      </c>
      <c r="B2132" s="4" t="s">
        <v>2149</v>
      </c>
      <c r="C2132" s="3" t="s">
        <v>6</v>
      </c>
      <c r="D2132" s="5">
        <f t="shared" si="66"/>
        <v>2.06</v>
      </c>
      <c r="E2132">
        <v>2.27</v>
      </c>
      <c r="F2132" s="1789">
        <v>8.8999999999999996E-2</v>
      </c>
      <c r="G2132">
        <f t="shared" si="67"/>
        <v>2.06</v>
      </c>
    </row>
    <row r="2133" spans="1:7" ht="12.75" customHeight="1">
      <c r="A2133" s="3">
        <v>402</v>
      </c>
      <c r="B2133" s="4" t="s">
        <v>2150</v>
      </c>
      <c r="C2133" s="3" t="s">
        <v>6</v>
      </c>
      <c r="D2133" s="5">
        <f t="shared" si="66"/>
        <v>16.93</v>
      </c>
      <c r="E2133">
        <v>18.59</v>
      </c>
      <c r="F2133" s="1789">
        <v>8.8999999999999996E-2</v>
      </c>
      <c r="G2133">
        <f t="shared" si="67"/>
        <v>16.93</v>
      </c>
    </row>
    <row r="2134" spans="1:7" ht="12.75" customHeight="1">
      <c r="A2134" s="3">
        <v>4226</v>
      </c>
      <c r="B2134" s="4" t="s">
        <v>2151</v>
      </c>
      <c r="C2134" s="3" t="s">
        <v>54</v>
      </c>
      <c r="D2134" s="5">
        <f t="shared" si="66"/>
        <v>7.68</v>
      </c>
      <c r="E2134">
        <v>8.44</v>
      </c>
      <c r="F2134" s="1789">
        <v>8.8999999999999996E-2</v>
      </c>
      <c r="G2134">
        <f t="shared" si="67"/>
        <v>7.68</v>
      </c>
    </row>
    <row r="2135" spans="1:7" ht="12.75" customHeight="1">
      <c r="A2135" s="3">
        <v>4222</v>
      </c>
      <c r="B2135" s="4" t="s">
        <v>2152</v>
      </c>
      <c r="C2135" s="3" t="s">
        <v>56</v>
      </c>
      <c r="D2135" s="5">
        <f t="shared" si="66"/>
        <v>5.46</v>
      </c>
      <c r="E2135">
        <v>6</v>
      </c>
      <c r="F2135" s="1789">
        <v>8.8999999999999996E-2</v>
      </c>
      <c r="G2135">
        <f t="shared" si="67"/>
        <v>5.46</v>
      </c>
    </row>
    <row r="2136" spans="1:7" ht="12.75" customHeight="1">
      <c r="A2136" s="3">
        <v>34804</v>
      </c>
      <c r="B2136" s="4" t="s">
        <v>2153</v>
      </c>
      <c r="C2136" s="3" t="s">
        <v>409</v>
      </c>
      <c r="D2136" s="5">
        <f t="shared" si="66"/>
        <v>51.29</v>
      </c>
      <c r="E2136">
        <v>56.31</v>
      </c>
      <c r="F2136" s="1789">
        <v>8.8999999999999996E-2</v>
      </c>
      <c r="G2136">
        <f t="shared" si="67"/>
        <v>51.29</v>
      </c>
    </row>
    <row r="2137" spans="1:7" ht="12.75" customHeight="1">
      <c r="A2137" s="3">
        <v>4013</v>
      </c>
      <c r="B2137" s="4" t="s">
        <v>2154</v>
      </c>
      <c r="C2137" s="3" t="s">
        <v>409</v>
      </c>
      <c r="D2137" s="5">
        <f t="shared" si="66"/>
        <v>7.08</v>
      </c>
      <c r="E2137">
        <v>7.78</v>
      </c>
      <c r="F2137" s="1789">
        <v>8.8999999999999996E-2</v>
      </c>
      <c r="G2137">
        <f t="shared" si="67"/>
        <v>7.08</v>
      </c>
    </row>
    <row r="2138" spans="1:7" ht="12.75" customHeight="1">
      <c r="A2138" s="3">
        <v>4011</v>
      </c>
      <c r="B2138" s="4" t="s">
        <v>2155</v>
      </c>
      <c r="C2138" s="3" t="s">
        <v>409</v>
      </c>
      <c r="D2138" s="5">
        <f t="shared" si="66"/>
        <v>7.91</v>
      </c>
      <c r="E2138">
        <v>8.69</v>
      </c>
      <c r="F2138" s="1789">
        <v>8.8999999999999996E-2</v>
      </c>
      <c r="G2138">
        <f t="shared" si="67"/>
        <v>7.91</v>
      </c>
    </row>
    <row r="2139" spans="1:7" ht="12.75" customHeight="1">
      <c r="A2139" s="3">
        <v>4021</v>
      </c>
      <c r="B2139" s="4" t="s">
        <v>2156</v>
      </c>
      <c r="C2139" s="3" t="s">
        <v>409</v>
      </c>
      <c r="D2139" s="5">
        <f t="shared" si="66"/>
        <v>9.8699999999999992</v>
      </c>
      <c r="E2139">
        <v>10.84</v>
      </c>
      <c r="F2139" s="1789">
        <v>8.8999999999999996E-2</v>
      </c>
      <c r="G2139">
        <f t="shared" si="67"/>
        <v>9.8699999999999992</v>
      </c>
    </row>
    <row r="2140" spans="1:7" ht="12.75" customHeight="1">
      <c r="A2140" s="3">
        <v>4019</v>
      </c>
      <c r="B2140" s="4" t="s">
        <v>2157</v>
      </c>
      <c r="C2140" s="3" t="s">
        <v>409</v>
      </c>
      <c r="D2140" s="5">
        <f t="shared" si="66"/>
        <v>11.85</v>
      </c>
      <c r="E2140">
        <v>13.01</v>
      </c>
      <c r="F2140" s="1789">
        <v>8.8999999999999996E-2</v>
      </c>
      <c r="G2140">
        <f t="shared" si="67"/>
        <v>11.85</v>
      </c>
    </row>
    <row r="2141" spans="1:7" ht="12.75" customHeight="1">
      <c r="A2141" s="3">
        <v>4012</v>
      </c>
      <c r="B2141" s="4" t="s">
        <v>2158</v>
      </c>
      <c r="C2141" s="3" t="s">
        <v>409</v>
      </c>
      <c r="D2141" s="5">
        <f t="shared" si="66"/>
        <v>15.87</v>
      </c>
      <c r="E2141">
        <v>17.43</v>
      </c>
      <c r="F2141" s="1789">
        <v>8.8999999999999996E-2</v>
      </c>
      <c r="G2141">
        <f t="shared" si="67"/>
        <v>15.87</v>
      </c>
    </row>
    <row r="2142" spans="1:7" ht="12.75" customHeight="1">
      <c r="A2142" s="3">
        <v>4020</v>
      </c>
      <c r="B2142" s="4" t="s">
        <v>2159</v>
      </c>
      <c r="C2142" s="3" t="s">
        <v>409</v>
      </c>
      <c r="D2142" s="5">
        <f t="shared" si="66"/>
        <v>19.88</v>
      </c>
      <c r="E2142">
        <v>21.83</v>
      </c>
      <c r="F2142" s="1789">
        <v>8.8999999999999996E-2</v>
      </c>
      <c r="G2142">
        <f t="shared" si="67"/>
        <v>19.88</v>
      </c>
    </row>
    <row r="2143" spans="1:7" ht="12.75" customHeight="1">
      <c r="A2143" s="3">
        <v>4018</v>
      </c>
      <c r="B2143" s="4" t="s">
        <v>2160</v>
      </c>
      <c r="C2143" s="3" t="s">
        <v>409</v>
      </c>
      <c r="D2143" s="5">
        <f t="shared" si="66"/>
        <v>23.82</v>
      </c>
      <c r="E2143">
        <v>26.15</v>
      </c>
      <c r="F2143" s="1789">
        <v>8.8999999999999996E-2</v>
      </c>
      <c r="G2143">
        <f t="shared" si="67"/>
        <v>23.82</v>
      </c>
    </row>
    <row r="2144" spans="1:7" ht="12.75" customHeight="1">
      <c r="A2144" s="3">
        <v>36498</v>
      </c>
      <c r="B2144" s="4" t="s">
        <v>2161</v>
      </c>
      <c r="C2144" s="3" t="s">
        <v>6</v>
      </c>
      <c r="D2144" s="5">
        <f t="shared" si="66"/>
        <v>7835.15</v>
      </c>
      <c r="E2144">
        <v>8600.61</v>
      </c>
      <c r="F2144" s="1789">
        <v>8.8999999999999996E-2</v>
      </c>
      <c r="G2144">
        <f t="shared" si="67"/>
        <v>7835.15</v>
      </c>
    </row>
    <row r="2145" spans="1:7" ht="12.75" customHeight="1">
      <c r="A2145" s="3">
        <v>12872</v>
      </c>
      <c r="B2145" s="4" t="s">
        <v>2162</v>
      </c>
      <c r="C2145" s="3" t="s">
        <v>154</v>
      </c>
      <c r="D2145" s="5">
        <f t="shared" si="66"/>
        <v>17.21</v>
      </c>
      <c r="E2145">
        <v>18.899999999999999</v>
      </c>
      <c r="F2145" s="1789">
        <v>8.8999999999999996E-2</v>
      </c>
      <c r="G2145">
        <f t="shared" si="67"/>
        <v>17.21</v>
      </c>
    </row>
    <row r="2146" spans="1:7" ht="12.75" customHeight="1">
      <c r="A2146" s="3">
        <v>41075</v>
      </c>
      <c r="B2146" s="4" t="s">
        <v>2163</v>
      </c>
      <c r="C2146" s="3" t="s">
        <v>156</v>
      </c>
      <c r="D2146" s="5">
        <f t="shared" si="66"/>
        <v>3032.29</v>
      </c>
      <c r="E2146">
        <v>3328.54</v>
      </c>
      <c r="F2146" s="1789">
        <v>8.8999999999999996E-2</v>
      </c>
      <c r="G2146">
        <f t="shared" si="67"/>
        <v>3032.29</v>
      </c>
    </row>
    <row r="2147" spans="1:7" ht="12.75" customHeight="1">
      <c r="A2147" s="3">
        <v>44324</v>
      </c>
      <c r="B2147" s="4" t="s">
        <v>2164</v>
      </c>
      <c r="C2147" s="3" t="s">
        <v>54</v>
      </c>
      <c r="D2147" s="5">
        <f t="shared" si="66"/>
        <v>3.1</v>
      </c>
      <c r="E2147">
        <v>3.41</v>
      </c>
      <c r="F2147" s="1789">
        <v>8.8999999999999996E-2</v>
      </c>
      <c r="G2147">
        <f t="shared" si="67"/>
        <v>3.1</v>
      </c>
    </row>
    <row r="2148" spans="1:7" ht="12.75" customHeight="1">
      <c r="A2148" s="3">
        <v>3315</v>
      </c>
      <c r="B2148" s="4" t="s">
        <v>2165</v>
      </c>
      <c r="C2148" s="3" t="s">
        <v>54</v>
      </c>
      <c r="D2148" s="5">
        <f t="shared" si="66"/>
        <v>0.9</v>
      </c>
      <c r="E2148">
        <v>0.99</v>
      </c>
      <c r="F2148" s="1789">
        <v>8.8999999999999996E-2</v>
      </c>
      <c r="G2148">
        <f t="shared" si="67"/>
        <v>0.9</v>
      </c>
    </row>
    <row r="2149" spans="1:7" ht="12.75" customHeight="1">
      <c r="A2149" s="3">
        <v>36870</v>
      </c>
      <c r="B2149" s="4" t="s">
        <v>2166</v>
      </c>
      <c r="C2149" s="3" t="s">
        <v>54</v>
      </c>
      <c r="D2149" s="5">
        <f t="shared" si="66"/>
        <v>0.69</v>
      </c>
      <c r="E2149">
        <v>0.76</v>
      </c>
      <c r="F2149" s="1789">
        <v>8.8999999999999996E-2</v>
      </c>
      <c r="G2149">
        <f t="shared" si="67"/>
        <v>0.69</v>
      </c>
    </row>
    <row r="2150" spans="1:7" ht="12.75" customHeight="1">
      <c r="A2150" s="3">
        <v>5092</v>
      </c>
      <c r="B2150" s="4" t="s">
        <v>2167</v>
      </c>
      <c r="C2150" s="3" t="s">
        <v>423</v>
      </c>
      <c r="D2150" s="5">
        <f t="shared" si="66"/>
        <v>18.93</v>
      </c>
      <c r="E2150">
        <v>20.78</v>
      </c>
      <c r="F2150" s="1789">
        <v>8.8999999999999996E-2</v>
      </c>
      <c r="G2150">
        <f t="shared" si="67"/>
        <v>18.93</v>
      </c>
    </row>
    <row r="2151" spans="1:7" ht="12.75" customHeight="1">
      <c r="A2151" s="3">
        <v>11462</v>
      </c>
      <c r="B2151" s="4" t="s">
        <v>2168</v>
      </c>
      <c r="C2151" s="3" t="s">
        <v>423</v>
      </c>
      <c r="D2151" s="5">
        <f t="shared" si="66"/>
        <v>19.350000000000001</v>
      </c>
      <c r="E2151">
        <v>21.25</v>
      </c>
      <c r="F2151" s="1789">
        <v>8.8999999999999996E-2</v>
      </c>
      <c r="G2151">
        <f t="shared" si="67"/>
        <v>19.350000000000001</v>
      </c>
    </row>
    <row r="2152" spans="1:7" ht="12.75" customHeight="1">
      <c r="A2152" s="3">
        <v>36529</v>
      </c>
      <c r="B2152" s="4" t="s">
        <v>2169</v>
      </c>
      <c r="C2152" s="3" t="s">
        <v>6</v>
      </c>
      <c r="D2152" s="5">
        <f t="shared" si="66"/>
        <v>56937.49</v>
      </c>
      <c r="E2152">
        <v>62499.99</v>
      </c>
      <c r="F2152" s="1789">
        <v>8.8999999999999996E-2</v>
      </c>
      <c r="G2152">
        <f t="shared" si="67"/>
        <v>56937.49</v>
      </c>
    </row>
    <row r="2153" spans="1:7" ht="12.75" customHeight="1">
      <c r="A2153" s="3">
        <v>3318</v>
      </c>
      <c r="B2153" s="4" t="s">
        <v>2170</v>
      </c>
      <c r="C2153" s="3" t="s">
        <v>6</v>
      </c>
      <c r="D2153" s="5">
        <f t="shared" si="66"/>
        <v>44639</v>
      </c>
      <c r="E2153">
        <v>49000</v>
      </c>
      <c r="F2153" s="1789">
        <v>8.8999999999999996E-2</v>
      </c>
      <c r="G2153">
        <f t="shared" si="67"/>
        <v>44639</v>
      </c>
    </row>
    <row r="2154" spans="1:7" ht="12.75" customHeight="1">
      <c r="A2154" s="3">
        <v>3324</v>
      </c>
      <c r="B2154" s="4" t="s">
        <v>2171</v>
      </c>
      <c r="C2154" s="3" t="s">
        <v>409</v>
      </c>
      <c r="D2154" s="5">
        <f t="shared" si="66"/>
        <v>10.4</v>
      </c>
      <c r="E2154">
        <v>11.42</v>
      </c>
      <c r="F2154" s="1789">
        <v>8.8999999999999996E-2</v>
      </c>
      <c r="G2154">
        <f t="shared" si="67"/>
        <v>10.4</v>
      </c>
    </row>
    <row r="2155" spans="1:7" ht="12.75" customHeight="1">
      <c r="A2155" s="3">
        <v>3322</v>
      </c>
      <c r="B2155" s="4" t="s">
        <v>2172</v>
      </c>
      <c r="C2155" s="3" t="s">
        <v>409</v>
      </c>
      <c r="D2155" s="5">
        <f t="shared" si="66"/>
        <v>14.57</v>
      </c>
      <c r="E2155">
        <v>16</v>
      </c>
      <c r="F2155" s="1789">
        <v>8.8999999999999996E-2</v>
      </c>
      <c r="G2155">
        <f t="shared" si="67"/>
        <v>14.57</v>
      </c>
    </row>
    <row r="2156" spans="1:7" ht="12.75" customHeight="1">
      <c r="A2156" s="3">
        <v>5076</v>
      </c>
      <c r="B2156" s="4" t="s">
        <v>2173</v>
      </c>
      <c r="C2156" s="3" t="s">
        <v>54</v>
      </c>
      <c r="D2156" s="5">
        <f t="shared" si="66"/>
        <v>16.47</v>
      </c>
      <c r="E2156">
        <v>18.09</v>
      </c>
      <c r="F2156" s="1789">
        <v>8.8999999999999996E-2</v>
      </c>
      <c r="G2156">
        <f t="shared" si="67"/>
        <v>16.47</v>
      </c>
    </row>
    <row r="2157" spans="1:7" ht="12.75" customHeight="1">
      <c r="A2157" s="3">
        <v>5077</v>
      </c>
      <c r="B2157" s="4" t="s">
        <v>2174</v>
      </c>
      <c r="C2157" s="3" t="s">
        <v>54</v>
      </c>
      <c r="D2157" s="5">
        <f t="shared" si="66"/>
        <v>18.22</v>
      </c>
      <c r="E2157">
        <v>20</v>
      </c>
      <c r="F2157" s="1789">
        <v>8.8999999999999996E-2</v>
      </c>
      <c r="G2157">
        <f t="shared" si="67"/>
        <v>18.22</v>
      </c>
    </row>
    <row r="2158" spans="1:7" ht="12.75" customHeight="1">
      <c r="A2158" s="3">
        <v>11837</v>
      </c>
      <c r="B2158" s="4" t="s">
        <v>2175</v>
      </c>
      <c r="C2158" s="3" t="s">
        <v>6</v>
      </c>
      <c r="D2158" s="5">
        <f t="shared" si="66"/>
        <v>58.5</v>
      </c>
      <c r="E2158">
        <v>64.22</v>
      </c>
      <c r="F2158" s="1789">
        <v>8.8999999999999996E-2</v>
      </c>
      <c r="G2158">
        <f t="shared" si="67"/>
        <v>58.5</v>
      </c>
    </row>
    <row r="2159" spans="1:7" ht="12.75" customHeight="1">
      <c r="A2159" s="3">
        <v>38055</v>
      </c>
      <c r="B2159" s="4" t="s">
        <v>2176</v>
      </c>
      <c r="C2159" s="3" t="s">
        <v>6</v>
      </c>
      <c r="D2159" s="5">
        <f t="shared" si="66"/>
        <v>5.3</v>
      </c>
      <c r="E2159">
        <v>5.82</v>
      </c>
      <c r="F2159" s="1789">
        <v>8.8999999999999996E-2</v>
      </c>
      <c r="G2159">
        <f t="shared" si="67"/>
        <v>5.3</v>
      </c>
    </row>
    <row r="2160" spans="1:7" ht="12.75" customHeight="1">
      <c r="A2160" s="3">
        <v>415</v>
      </c>
      <c r="B2160" s="4" t="s">
        <v>2177</v>
      </c>
      <c r="C2160" s="3" t="s">
        <v>6</v>
      </c>
      <c r="D2160" s="5">
        <f t="shared" si="66"/>
        <v>23.98</v>
      </c>
      <c r="E2160">
        <v>26.33</v>
      </c>
      <c r="F2160" s="1789">
        <v>8.8999999999999996E-2</v>
      </c>
      <c r="G2160">
        <f t="shared" si="67"/>
        <v>23.98</v>
      </c>
    </row>
    <row r="2161" spans="1:7" ht="12.75" customHeight="1">
      <c r="A2161" s="3">
        <v>416</v>
      </c>
      <c r="B2161" s="4" t="s">
        <v>2178</v>
      </c>
      <c r="C2161" s="3" t="s">
        <v>6</v>
      </c>
      <c r="D2161" s="5">
        <f t="shared" si="66"/>
        <v>8.7799999999999994</v>
      </c>
      <c r="E2161">
        <v>9.64</v>
      </c>
      <c r="F2161" s="1789">
        <v>8.8999999999999996E-2</v>
      </c>
      <c r="G2161">
        <f t="shared" si="67"/>
        <v>8.7799999999999994</v>
      </c>
    </row>
    <row r="2162" spans="1:7" ht="12.75" customHeight="1">
      <c r="A2162" s="3">
        <v>425</v>
      </c>
      <c r="B2162" s="4" t="s">
        <v>2179</v>
      </c>
      <c r="C2162" s="3" t="s">
        <v>6</v>
      </c>
      <c r="D2162" s="5">
        <f t="shared" si="66"/>
        <v>5.43</v>
      </c>
      <c r="E2162">
        <v>5.97</v>
      </c>
      <c r="F2162" s="1789">
        <v>8.8999999999999996E-2</v>
      </c>
      <c r="G2162">
        <f t="shared" si="67"/>
        <v>5.43</v>
      </c>
    </row>
    <row r="2163" spans="1:7" ht="12.75" customHeight="1">
      <c r="A2163" s="3">
        <v>426</v>
      </c>
      <c r="B2163" s="4" t="s">
        <v>2180</v>
      </c>
      <c r="C2163" s="3" t="s">
        <v>6</v>
      </c>
      <c r="D2163" s="5">
        <f t="shared" si="66"/>
        <v>29.98</v>
      </c>
      <c r="E2163">
        <v>32.909999999999997</v>
      </c>
      <c r="F2163" s="1789">
        <v>8.8999999999999996E-2</v>
      </c>
      <c r="G2163">
        <f t="shared" si="67"/>
        <v>29.98</v>
      </c>
    </row>
    <row r="2164" spans="1:7" ht="12.75" customHeight="1">
      <c r="A2164" s="3">
        <v>38056</v>
      </c>
      <c r="B2164" s="4" t="s">
        <v>2181</v>
      </c>
      <c r="C2164" s="3" t="s">
        <v>6</v>
      </c>
      <c r="D2164" s="5">
        <f t="shared" si="66"/>
        <v>29.27</v>
      </c>
      <c r="E2164">
        <v>32.14</v>
      </c>
      <c r="F2164" s="1789">
        <v>8.8999999999999996E-2</v>
      </c>
      <c r="G2164">
        <f t="shared" si="67"/>
        <v>29.27</v>
      </c>
    </row>
    <row r="2165" spans="1:7" ht="12.75" customHeight="1">
      <c r="A2165" s="3">
        <v>1564</v>
      </c>
      <c r="B2165" s="4" t="s">
        <v>2182</v>
      </c>
      <c r="C2165" s="3" t="s">
        <v>6</v>
      </c>
      <c r="D2165" s="5">
        <f t="shared" si="66"/>
        <v>11.16</v>
      </c>
      <c r="E2165">
        <v>12.26</v>
      </c>
      <c r="F2165" s="1789">
        <v>8.8999999999999996E-2</v>
      </c>
      <c r="G2165">
        <f t="shared" si="67"/>
        <v>11.16</v>
      </c>
    </row>
    <row r="2166" spans="1:7" ht="12.75" customHeight="1">
      <c r="A2166" s="3">
        <v>11032</v>
      </c>
      <c r="B2166" s="4" t="s">
        <v>2183</v>
      </c>
      <c r="C2166" s="3" t="s">
        <v>6</v>
      </c>
      <c r="D2166" s="5">
        <f t="shared" si="66"/>
        <v>11.65</v>
      </c>
      <c r="E2166">
        <v>12.79</v>
      </c>
      <c r="F2166" s="1789">
        <v>8.8999999999999996E-2</v>
      </c>
      <c r="G2166">
        <f t="shared" si="67"/>
        <v>11.65</v>
      </c>
    </row>
    <row r="2167" spans="1:7" ht="12.75" customHeight="1">
      <c r="A2167" s="3">
        <v>36786</v>
      </c>
      <c r="B2167" s="4" t="s">
        <v>2184</v>
      </c>
      <c r="C2167" s="3" t="s">
        <v>2185</v>
      </c>
      <c r="D2167" s="5">
        <f t="shared" si="66"/>
        <v>140.87</v>
      </c>
      <c r="E2167">
        <v>154.63999999999999</v>
      </c>
      <c r="F2167" s="1789">
        <v>8.8999999999999996E-2</v>
      </c>
      <c r="G2167">
        <f t="shared" si="67"/>
        <v>140.87</v>
      </c>
    </row>
    <row r="2168" spans="1:7" ht="12.75" customHeight="1">
      <c r="A2168" s="3">
        <v>36785</v>
      </c>
      <c r="B2168" s="4" t="s">
        <v>2186</v>
      </c>
      <c r="C2168" s="3" t="s">
        <v>2185</v>
      </c>
      <c r="D2168" s="5">
        <f t="shared" si="66"/>
        <v>122.42</v>
      </c>
      <c r="E2168">
        <v>134.38</v>
      </c>
      <c r="F2168" s="1789">
        <v>8.8999999999999996E-2</v>
      </c>
      <c r="G2168">
        <f t="shared" si="67"/>
        <v>122.42</v>
      </c>
    </row>
    <row r="2169" spans="1:7" ht="12.75" customHeight="1">
      <c r="A2169" s="3">
        <v>36782</v>
      </c>
      <c r="B2169" s="4" t="s">
        <v>2187</v>
      </c>
      <c r="C2169" s="3" t="s">
        <v>2185</v>
      </c>
      <c r="D2169" s="5">
        <f t="shared" si="66"/>
        <v>146.12</v>
      </c>
      <c r="E2169">
        <v>160.4</v>
      </c>
      <c r="F2169" s="1789">
        <v>8.8999999999999996E-2</v>
      </c>
      <c r="G2169">
        <f t="shared" si="67"/>
        <v>146.12</v>
      </c>
    </row>
    <row r="2170" spans="1:7" ht="12.75" customHeight="1">
      <c r="A2170" s="3">
        <v>44481</v>
      </c>
      <c r="B2170" s="4" t="s">
        <v>2188</v>
      </c>
      <c r="C2170" s="3" t="s">
        <v>2185</v>
      </c>
      <c r="D2170" s="5">
        <f t="shared" si="66"/>
        <v>164.59</v>
      </c>
      <c r="E2170">
        <v>180.68</v>
      </c>
      <c r="F2170" s="1789">
        <v>8.8999999999999996E-2</v>
      </c>
      <c r="G2170">
        <f t="shared" si="67"/>
        <v>164.59</v>
      </c>
    </row>
    <row r="2171" spans="1:7" ht="12.75" customHeight="1">
      <c r="A2171" s="3">
        <v>4824</v>
      </c>
      <c r="B2171" s="4" t="s">
        <v>2189</v>
      </c>
      <c r="C2171" s="3" t="s">
        <v>54</v>
      </c>
      <c r="D2171" s="5">
        <f t="shared" si="66"/>
        <v>0.59</v>
      </c>
      <c r="E2171">
        <v>0.65</v>
      </c>
      <c r="F2171" s="1789">
        <v>8.8999999999999996E-2</v>
      </c>
      <c r="G2171">
        <f t="shared" si="67"/>
        <v>0.59</v>
      </c>
    </row>
    <row r="2172" spans="1:7" ht="12.75" customHeight="1">
      <c r="A2172" s="3">
        <v>11795</v>
      </c>
      <c r="B2172" s="4" t="s">
        <v>2190</v>
      </c>
      <c r="C2172" s="3" t="s">
        <v>409</v>
      </c>
      <c r="D2172" s="5">
        <f t="shared" si="66"/>
        <v>574.78</v>
      </c>
      <c r="E2172">
        <v>630.94000000000005</v>
      </c>
      <c r="F2172" s="1789">
        <v>8.8999999999999996E-2</v>
      </c>
      <c r="G2172">
        <f t="shared" si="67"/>
        <v>574.78</v>
      </c>
    </row>
    <row r="2173" spans="1:7" ht="12.75" customHeight="1">
      <c r="A2173" s="3">
        <v>134</v>
      </c>
      <c r="B2173" s="4" t="s">
        <v>2191</v>
      </c>
      <c r="C2173" s="3" t="s">
        <v>54</v>
      </c>
      <c r="D2173" s="5">
        <f t="shared" si="66"/>
        <v>1.67</v>
      </c>
      <c r="E2173">
        <v>1.84</v>
      </c>
      <c r="F2173" s="1789">
        <v>8.8999999999999996E-2</v>
      </c>
      <c r="G2173">
        <f t="shared" si="67"/>
        <v>1.67</v>
      </c>
    </row>
    <row r="2174" spans="1:7" ht="12.75" customHeight="1">
      <c r="A2174" s="3">
        <v>4229</v>
      </c>
      <c r="B2174" s="4" t="s">
        <v>2192</v>
      </c>
      <c r="C2174" s="3" t="s">
        <v>54</v>
      </c>
      <c r="D2174" s="5">
        <f t="shared" si="66"/>
        <v>40.770000000000003</v>
      </c>
      <c r="E2174">
        <v>44.76</v>
      </c>
      <c r="F2174" s="1789">
        <v>8.8999999999999996E-2</v>
      </c>
      <c r="G2174">
        <f t="shared" si="67"/>
        <v>40.770000000000003</v>
      </c>
    </row>
    <row r="2175" spans="1:7" ht="12.75" customHeight="1">
      <c r="A2175" s="3">
        <v>11731</v>
      </c>
      <c r="B2175" s="4" t="s">
        <v>2193</v>
      </c>
      <c r="C2175" s="3" t="s">
        <v>6</v>
      </c>
      <c r="D2175" s="5">
        <f t="shared" si="66"/>
        <v>8.73</v>
      </c>
      <c r="E2175">
        <v>9.59</v>
      </c>
      <c r="F2175" s="1789">
        <v>8.8999999999999996E-2</v>
      </c>
      <c r="G2175">
        <f t="shared" si="67"/>
        <v>8.73</v>
      </c>
    </row>
    <row r="2176" spans="1:7" ht="12.75" customHeight="1">
      <c r="A2176" s="3">
        <v>11732</v>
      </c>
      <c r="B2176" s="4" t="s">
        <v>2194</v>
      </c>
      <c r="C2176" s="3" t="s">
        <v>6</v>
      </c>
      <c r="D2176" s="5">
        <f t="shared" si="66"/>
        <v>22.9</v>
      </c>
      <c r="E2176">
        <v>25.14</v>
      </c>
      <c r="F2176" s="1789">
        <v>8.8999999999999996E-2</v>
      </c>
      <c r="G2176">
        <f t="shared" si="67"/>
        <v>22.9</v>
      </c>
    </row>
    <row r="2177" spans="1:7" ht="12.75" customHeight="1">
      <c r="A2177" s="3">
        <v>11244</v>
      </c>
      <c r="B2177" s="4" t="s">
        <v>2195</v>
      </c>
      <c r="C2177" s="3" t="s">
        <v>6</v>
      </c>
      <c r="D2177" s="5">
        <f t="shared" si="66"/>
        <v>257.63</v>
      </c>
      <c r="E2177">
        <v>282.8</v>
      </c>
      <c r="F2177" s="1789">
        <v>8.8999999999999996E-2</v>
      </c>
      <c r="G2177">
        <f t="shared" si="67"/>
        <v>257.63</v>
      </c>
    </row>
    <row r="2178" spans="1:7" ht="12.75" customHeight="1">
      <c r="A2178" s="3">
        <v>11235</v>
      </c>
      <c r="B2178" s="4" t="s">
        <v>2196</v>
      </c>
      <c r="C2178" s="3" t="s">
        <v>6</v>
      </c>
      <c r="D2178" s="5">
        <f t="shared" si="66"/>
        <v>196.6</v>
      </c>
      <c r="E2178">
        <v>215.81</v>
      </c>
      <c r="F2178" s="1789">
        <v>8.8999999999999996E-2</v>
      </c>
      <c r="G2178">
        <f t="shared" si="67"/>
        <v>196.6</v>
      </c>
    </row>
    <row r="2179" spans="1:7" ht="12.75" customHeight="1">
      <c r="A2179" s="3">
        <v>11236</v>
      </c>
      <c r="B2179" s="4" t="s">
        <v>2197</v>
      </c>
      <c r="C2179" s="3" t="s">
        <v>6</v>
      </c>
      <c r="D2179" s="5">
        <f t="shared" ref="D2179:D2242" si="68">G2179</f>
        <v>249.85</v>
      </c>
      <c r="E2179">
        <v>274.26</v>
      </c>
      <c r="F2179" s="1789">
        <v>8.8999999999999996E-2</v>
      </c>
      <c r="G2179">
        <f t="shared" ref="G2179:G2242" si="69">TRUNC((1-F2179)*E2179,2)</f>
        <v>249.85</v>
      </c>
    </row>
    <row r="2180" spans="1:7" ht="12.75" customHeight="1">
      <c r="A2180" s="3">
        <v>11245</v>
      </c>
      <c r="B2180" s="4" t="s">
        <v>2198</v>
      </c>
      <c r="C2180" s="3" t="s">
        <v>6</v>
      </c>
      <c r="D2180" s="5">
        <f t="shared" si="68"/>
        <v>356.34</v>
      </c>
      <c r="E2180">
        <v>391.16</v>
      </c>
      <c r="F2180" s="1789">
        <v>8.8999999999999996E-2</v>
      </c>
      <c r="G2180">
        <f t="shared" si="69"/>
        <v>356.34</v>
      </c>
    </row>
    <row r="2181" spans="1:7" ht="12.75" customHeight="1">
      <c r="A2181" s="3">
        <v>36494</v>
      </c>
      <c r="B2181" s="4" t="s">
        <v>2199</v>
      </c>
      <c r="C2181" s="3" t="s">
        <v>6</v>
      </c>
      <c r="D2181" s="5">
        <f t="shared" si="68"/>
        <v>680115.23</v>
      </c>
      <c r="E2181">
        <v>746558.98</v>
      </c>
      <c r="F2181" s="1789">
        <v>8.8999999999999996E-2</v>
      </c>
      <c r="G2181">
        <f t="shared" si="69"/>
        <v>680115.23</v>
      </c>
    </row>
    <row r="2182" spans="1:7" ht="12.75" customHeight="1">
      <c r="A2182" s="3">
        <v>36493</v>
      </c>
      <c r="B2182" s="4" t="s">
        <v>2200</v>
      </c>
      <c r="C2182" s="3" t="s">
        <v>6</v>
      </c>
      <c r="D2182" s="5">
        <f t="shared" si="68"/>
        <v>770542.93</v>
      </c>
      <c r="E2182">
        <v>845821</v>
      </c>
      <c r="F2182" s="1789">
        <v>8.8999999999999996E-2</v>
      </c>
      <c r="G2182">
        <f t="shared" si="69"/>
        <v>770542.93</v>
      </c>
    </row>
    <row r="2183" spans="1:7" ht="12.75" customHeight="1">
      <c r="A2183" s="3">
        <v>36492</v>
      </c>
      <c r="B2183" s="4" t="s">
        <v>2201</v>
      </c>
      <c r="C2183" s="3" t="s">
        <v>6</v>
      </c>
      <c r="D2183" s="5">
        <f t="shared" si="68"/>
        <v>1431376.53</v>
      </c>
      <c r="E2183">
        <v>1571214.64</v>
      </c>
      <c r="F2183" s="1789">
        <v>8.8999999999999996E-2</v>
      </c>
      <c r="G2183">
        <f t="shared" si="69"/>
        <v>1431376.53</v>
      </c>
    </row>
    <row r="2184" spans="1:7" ht="12.75" customHeight="1">
      <c r="A2184" s="3">
        <v>36499</v>
      </c>
      <c r="B2184" s="4" t="s">
        <v>2202</v>
      </c>
      <c r="C2184" s="3" t="s">
        <v>6</v>
      </c>
      <c r="D2184" s="5">
        <f t="shared" si="68"/>
        <v>4230.9799999999996</v>
      </c>
      <c r="E2184">
        <v>4644.33</v>
      </c>
      <c r="F2184" s="1789">
        <v>8.8999999999999996E-2</v>
      </c>
      <c r="G2184">
        <f t="shared" si="69"/>
        <v>4230.9799999999996</v>
      </c>
    </row>
    <row r="2185" spans="1:7" ht="12.75" customHeight="1">
      <c r="A2185" s="3">
        <v>13533</v>
      </c>
      <c r="B2185" s="4" t="s">
        <v>2203</v>
      </c>
      <c r="C2185" s="3" t="s">
        <v>6</v>
      </c>
      <c r="D2185" s="5">
        <f t="shared" si="68"/>
        <v>193950.17</v>
      </c>
      <c r="E2185">
        <v>212898.11</v>
      </c>
      <c r="F2185" s="1789">
        <v>8.8999999999999996E-2</v>
      </c>
      <c r="G2185">
        <f t="shared" si="69"/>
        <v>193950.17</v>
      </c>
    </row>
    <row r="2186" spans="1:7" ht="12.75" customHeight="1">
      <c r="A2186" s="3">
        <v>13333</v>
      </c>
      <c r="B2186" s="4" t="s">
        <v>2204</v>
      </c>
      <c r="C2186" s="3" t="s">
        <v>6</v>
      </c>
      <c r="D2186" s="5">
        <f t="shared" si="68"/>
        <v>216973.47</v>
      </c>
      <c r="E2186">
        <v>238170.66</v>
      </c>
      <c r="F2186" s="1789">
        <v>8.8999999999999996E-2</v>
      </c>
      <c r="G2186">
        <f t="shared" si="69"/>
        <v>216973.47</v>
      </c>
    </row>
    <row r="2187" spans="1:7" ht="12.75" customHeight="1">
      <c r="A2187" s="3">
        <v>39585</v>
      </c>
      <c r="B2187" s="4" t="s">
        <v>2205</v>
      </c>
      <c r="C2187" s="3" t="s">
        <v>6</v>
      </c>
      <c r="D2187" s="5">
        <f t="shared" si="68"/>
        <v>140099.76</v>
      </c>
      <c r="E2187">
        <v>153786.79</v>
      </c>
      <c r="F2187" s="1789">
        <v>8.8999999999999996E-2</v>
      </c>
      <c r="G2187">
        <f t="shared" si="69"/>
        <v>140099.76</v>
      </c>
    </row>
    <row r="2188" spans="1:7" ht="12.75" customHeight="1">
      <c r="A2188" s="3">
        <v>39586</v>
      </c>
      <c r="B2188" s="4" t="s">
        <v>2206</v>
      </c>
      <c r="C2188" s="3" t="s">
        <v>6</v>
      </c>
      <c r="D2188" s="5">
        <f t="shared" si="68"/>
        <v>164327.53</v>
      </c>
      <c r="E2188">
        <v>180381.49</v>
      </c>
      <c r="F2188" s="1789">
        <v>8.8999999999999996E-2</v>
      </c>
      <c r="G2188">
        <f t="shared" si="69"/>
        <v>164327.53</v>
      </c>
    </row>
    <row r="2189" spans="1:7" ht="12.75" customHeight="1">
      <c r="A2189" s="3">
        <v>39587</v>
      </c>
      <c r="B2189" s="4" t="s">
        <v>2207</v>
      </c>
      <c r="C2189" s="3" t="s">
        <v>6</v>
      </c>
      <c r="D2189" s="5">
        <f t="shared" si="68"/>
        <v>200142.52</v>
      </c>
      <c r="E2189">
        <v>219695.42</v>
      </c>
      <c r="F2189" s="1789">
        <v>8.8999999999999996E-2</v>
      </c>
      <c r="G2189">
        <f t="shared" si="69"/>
        <v>200142.52</v>
      </c>
    </row>
    <row r="2190" spans="1:7" ht="12.75" customHeight="1">
      <c r="A2190" s="3">
        <v>39588</v>
      </c>
      <c r="B2190" s="4" t="s">
        <v>2208</v>
      </c>
      <c r="C2190" s="3" t="s">
        <v>6</v>
      </c>
      <c r="D2190" s="5">
        <f t="shared" si="68"/>
        <v>231743.96</v>
      </c>
      <c r="E2190">
        <v>254384.16</v>
      </c>
      <c r="F2190" s="1789">
        <v>8.8999999999999996E-2</v>
      </c>
      <c r="G2190">
        <f t="shared" si="69"/>
        <v>231743.96</v>
      </c>
    </row>
    <row r="2191" spans="1:7" ht="12.75" customHeight="1">
      <c r="A2191" s="3">
        <v>39584</v>
      </c>
      <c r="B2191" s="4" t="s">
        <v>2209</v>
      </c>
      <c r="C2191" s="3" t="s">
        <v>6</v>
      </c>
      <c r="D2191" s="5">
        <f t="shared" si="68"/>
        <v>124762.52</v>
      </c>
      <c r="E2191">
        <v>136951.18</v>
      </c>
      <c r="F2191" s="1789">
        <v>8.8999999999999996E-2</v>
      </c>
      <c r="G2191">
        <f t="shared" si="69"/>
        <v>124762.52</v>
      </c>
    </row>
    <row r="2192" spans="1:7" ht="12.75" customHeight="1">
      <c r="A2192" s="3">
        <v>39590</v>
      </c>
      <c r="B2192" s="4" t="s">
        <v>2210</v>
      </c>
      <c r="C2192" s="3" t="s">
        <v>6</v>
      </c>
      <c r="D2192" s="5">
        <f t="shared" si="68"/>
        <v>121770.92</v>
      </c>
      <c r="E2192">
        <v>133667.32</v>
      </c>
      <c r="F2192" s="1789">
        <v>8.8999999999999996E-2</v>
      </c>
      <c r="G2192">
        <f t="shared" si="69"/>
        <v>121770.92</v>
      </c>
    </row>
    <row r="2193" spans="1:7" ht="12.75" customHeight="1">
      <c r="A2193" s="3">
        <v>39592</v>
      </c>
      <c r="B2193" s="4" t="s">
        <v>2211</v>
      </c>
      <c r="C2193" s="3" t="s">
        <v>6</v>
      </c>
      <c r="D2193" s="5">
        <f t="shared" si="68"/>
        <v>174987.75</v>
      </c>
      <c r="E2193">
        <v>192083.16</v>
      </c>
      <c r="F2193" s="1789">
        <v>8.8999999999999996E-2</v>
      </c>
      <c r="G2193">
        <f t="shared" si="69"/>
        <v>174987.75</v>
      </c>
    </row>
    <row r="2194" spans="1:7" ht="12.75" customHeight="1">
      <c r="A2194" s="3">
        <v>39593</v>
      </c>
      <c r="B2194" s="4" t="s">
        <v>2212</v>
      </c>
      <c r="C2194" s="3" t="s">
        <v>6</v>
      </c>
      <c r="D2194" s="5">
        <f t="shared" si="68"/>
        <v>200142.52</v>
      </c>
      <c r="E2194">
        <v>219695.42</v>
      </c>
      <c r="F2194" s="1789">
        <v>8.8999999999999996E-2</v>
      </c>
      <c r="G2194">
        <f t="shared" si="69"/>
        <v>200142.52</v>
      </c>
    </row>
    <row r="2195" spans="1:7" ht="12.75" customHeight="1">
      <c r="A2195" s="3">
        <v>14254</v>
      </c>
      <c r="B2195" s="4" t="s">
        <v>2213</v>
      </c>
      <c r="C2195" s="3" t="s">
        <v>6</v>
      </c>
      <c r="D2195" s="5">
        <f t="shared" si="68"/>
        <v>113765.22</v>
      </c>
      <c r="E2195">
        <v>124879.5</v>
      </c>
      <c r="F2195" s="1789">
        <v>8.8999999999999996E-2</v>
      </c>
      <c r="G2195">
        <f t="shared" si="69"/>
        <v>113765.22</v>
      </c>
    </row>
    <row r="2196" spans="1:7" ht="12.75" customHeight="1">
      <c r="A2196" s="3">
        <v>44494</v>
      </c>
      <c r="B2196" s="4" t="s">
        <v>2214</v>
      </c>
      <c r="C2196" s="3" t="s">
        <v>6</v>
      </c>
      <c r="D2196" s="5">
        <f t="shared" si="68"/>
        <v>95003.03</v>
      </c>
      <c r="E2196">
        <v>104284.34</v>
      </c>
      <c r="F2196" s="1789">
        <v>8.8999999999999996E-2</v>
      </c>
      <c r="G2196">
        <f t="shared" si="69"/>
        <v>95003.03</v>
      </c>
    </row>
    <row r="2197" spans="1:7" ht="12.75" customHeight="1">
      <c r="A2197" s="3">
        <v>25019</v>
      </c>
      <c r="B2197" s="4" t="s">
        <v>2215</v>
      </c>
      <c r="C2197" s="3" t="s">
        <v>6</v>
      </c>
      <c r="D2197" s="5">
        <f t="shared" si="68"/>
        <v>162845.82</v>
      </c>
      <c r="E2197">
        <v>178755.02</v>
      </c>
      <c r="F2197" s="1789">
        <v>8.8999999999999996E-2</v>
      </c>
      <c r="G2197">
        <f t="shared" si="69"/>
        <v>162845.82</v>
      </c>
    </row>
    <row r="2198" spans="1:7" ht="12.75" customHeight="1">
      <c r="A2198" s="3">
        <v>36501</v>
      </c>
      <c r="B2198" s="4" t="s">
        <v>2216</v>
      </c>
      <c r="C2198" s="3" t="s">
        <v>6</v>
      </c>
      <c r="D2198" s="5">
        <f t="shared" si="68"/>
        <v>144988.9</v>
      </c>
      <c r="E2198">
        <v>159153.57</v>
      </c>
      <c r="F2198" s="1789">
        <v>8.8999999999999996E-2</v>
      </c>
      <c r="G2198">
        <f t="shared" si="69"/>
        <v>144988.9</v>
      </c>
    </row>
    <row r="2199" spans="1:7" ht="12.75" customHeight="1">
      <c r="A2199" s="3">
        <v>44493</v>
      </c>
      <c r="B2199" s="4" t="s">
        <v>2217</v>
      </c>
      <c r="C2199" s="3" t="s">
        <v>6</v>
      </c>
      <c r="D2199" s="5">
        <f t="shared" si="68"/>
        <v>174304.43</v>
      </c>
      <c r="E2199">
        <v>191333.08</v>
      </c>
      <c r="F2199" s="1789">
        <v>8.8999999999999996E-2</v>
      </c>
      <c r="G2199">
        <f t="shared" si="69"/>
        <v>174304.43</v>
      </c>
    </row>
    <row r="2200" spans="1:7" ht="12.75" customHeight="1">
      <c r="A2200" s="3">
        <v>36500</v>
      </c>
      <c r="B2200" s="4" t="s">
        <v>2218</v>
      </c>
      <c r="C2200" s="3" t="s">
        <v>6</v>
      </c>
      <c r="D2200" s="5">
        <f t="shared" si="68"/>
        <v>102459.69</v>
      </c>
      <c r="E2200">
        <v>112469.48</v>
      </c>
      <c r="F2200" s="1789">
        <v>8.8999999999999996E-2</v>
      </c>
      <c r="G2200">
        <f t="shared" si="69"/>
        <v>102459.69</v>
      </c>
    </row>
    <row r="2201" spans="1:7" ht="12.75" customHeight="1">
      <c r="A2201" s="3">
        <v>20017</v>
      </c>
      <c r="B2201" s="4" t="s">
        <v>2219</v>
      </c>
      <c r="C2201" s="3" t="s">
        <v>50</v>
      </c>
      <c r="D2201" s="5">
        <f t="shared" si="68"/>
        <v>8.2200000000000006</v>
      </c>
      <c r="E2201">
        <v>9.0299999999999994</v>
      </c>
      <c r="F2201" s="1789">
        <v>8.8999999999999996E-2</v>
      </c>
      <c r="G2201">
        <f t="shared" si="69"/>
        <v>8.2200000000000006</v>
      </c>
    </row>
    <row r="2202" spans="1:7" ht="12.75" customHeight="1">
      <c r="A2202" s="3">
        <v>20007</v>
      </c>
      <c r="B2202" s="4" t="s">
        <v>2220</v>
      </c>
      <c r="C2202" s="3" t="s">
        <v>50</v>
      </c>
      <c r="D2202" s="5">
        <f t="shared" si="68"/>
        <v>4.91</v>
      </c>
      <c r="E2202">
        <v>5.39</v>
      </c>
      <c r="F2202" s="1789">
        <v>8.8999999999999996E-2</v>
      </c>
      <c r="G2202">
        <f t="shared" si="69"/>
        <v>4.91</v>
      </c>
    </row>
    <row r="2203" spans="1:7" ht="12.75" customHeight="1">
      <c r="A2203" s="3">
        <v>39831</v>
      </c>
      <c r="B2203" s="4" t="s">
        <v>2221</v>
      </c>
      <c r="C2203" s="3" t="s">
        <v>458</v>
      </c>
      <c r="D2203" s="5">
        <f t="shared" si="68"/>
        <v>440.02</v>
      </c>
      <c r="E2203">
        <v>483.01</v>
      </c>
      <c r="F2203" s="1789">
        <v>8.8999999999999996E-2</v>
      </c>
      <c r="G2203">
        <f t="shared" si="69"/>
        <v>440.02</v>
      </c>
    </row>
    <row r="2204" spans="1:7" ht="12.75" customHeight="1">
      <c r="A2204" s="3">
        <v>36888</v>
      </c>
      <c r="B2204" s="4" t="s">
        <v>2222</v>
      </c>
      <c r="C2204" s="3" t="s">
        <v>50</v>
      </c>
      <c r="D2204" s="5">
        <f t="shared" si="68"/>
        <v>22.7</v>
      </c>
      <c r="E2204">
        <v>24.92</v>
      </c>
      <c r="F2204" s="1789">
        <v>8.8999999999999996E-2</v>
      </c>
      <c r="G2204">
        <f t="shared" si="69"/>
        <v>22.7</v>
      </c>
    </row>
    <row r="2205" spans="1:7" ht="12.75" customHeight="1">
      <c r="A2205" s="3">
        <v>39836</v>
      </c>
      <c r="B2205" s="4" t="s">
        <v>2223</v>
      </c>
      <c r="C2205" s="3" t="s">
        <v>458</v>
      </c>
      <c r="D2205" s="5">
        <f t="shared" si="68"/>
        <v>386.64</v>
      </c>
      <c r="E2205">
        <v>424.42</v>
      </c>
      <c r="F2205" s="1789">
        <v>8.8999999999999996E-2</v>
      </c>
      <c r="G2205">
        <f t="shared" si="69"/>
        <v>386.64</v>
      </c>
    </row>
    <row r="2206" spans="1:7" ht="12.75" customHeight="1">
      <c r="A2206" s="3">
        <v>39830</v>
      </c>
      <c r="B2206" s="4" t="s">
        <v>2224</v>
      </c>
      <c r="C2206" s="3" t="s">
        <v>458</v>
      </c>
      <c r="D2206" s="5">
        <f t="shared" si="68"/>
        <v>440.96</v>
      </c>
      <c r="E2206">
        <v>484.04</v>
      </c>
      <c r="F2206" s="1789">
        <v>8.8999999999999996E-2</v>
      </c>
      <c r="G2206">
        <f t="shared" si="69"/>
        <v>440.96</v>
      </c>
    </row>
    <row r="2207" spans="1:7" ht="12.75" customHeight="1">
      <c r="A2207" s="3">
        <v>40527</v>
      </c>
      <c r="B2207" s="4" t="s">
        <v>2225</v>
      </c>
      <c r="C2207" s="3" t="s">
        <v>6</v>
      </c>
      <c r="D2207" s="5">
        <f t="shared" si="68"/>
        <v>2150.4899999999998</v>
      </c>
      <c r="E2207">
        <v>2360.59</v>
      </c>
      <c r="F2207" s="1789">
        <v>8.8999999999999996E-2</v>
      </c>
      <c r="G2207">
        <f t="shared" si="69"/>
        <v>2150.4899999999998</v>
      </c>
    </row>
    <row r="2208" spans="1:7" ht="12.75" customHeight="1">
      <c r="A2208" s="3">
        <v>36497</v>
      </c>
      <c r="B2208" s="4" t="s">
        <v>2226</v>
      </c>
      <c r="C2208" s="3" t="s">
        <v>6</v>
      </c>
      <c r="D2208" s="5">
        <f t="shared" si="68"/>
        <v>2455.02</v>
      </c>
      <c r="E2208">
        <v>2694.87</v>
      </c>
      <c r="F2208" s="1789">
        <v>8.8999999999999996E-2</v>
      </c>
      <c r="G2208">
        <f t="shared" si="69"/>
        <v>2455.02</v>
      </c>
    </row>
    <row r="2209" spans="1:7" ht="12.75" customHeight="1">
      <c r="A2209" s="3">
        <v>36487</v>
      </c>
      <c r="B2209" s="4" t="s">
        <v>2227</v>
      </c>
      <c r="C2209" s="3" t="s">
        <v>6</v>
      </c>
      <c r="D2209" s="5">
        <f t="shared" si="68"/>
        <v>4274.57</v>
      </c>
      <c r="E2209">
        <v>4692.18</v>
      </c>
      <c r="F2209" s="1789">
        <v>8.8999999999999996E-2</v>
      </c>
      <c r="G2209">
        <f t="shared" si="69"/>
        <v>4274.57</v>
      </c>
    </row>
    <row r="2210" spans="1:7" ht="12.75" customHeight="1">
      <c r="A2210" s="3">
        <v>44475</v>
      </c>
      <c r="B2210" s="4" t="s">
        <v>2228</v>
      </c>
      <c r="C2210" s="3" t="s">
        <v>6</v>
      </c>
      <c r="D2210" s="5">
        <f t="shared" si="68"/>
        <v>1189286.03</v>
      </c>
      <c r="E2210">
        <v>1305473.1499999999</v>
      </c>
      <c r="F2210" s="1789">
        <v>8.8999999999999996E-2</v>
      </c>
      <c r="G2210">
        <f t="shared" si="69"/>
        <v>1189286.03</v>
      </c>
    </row>
    <row r="2211" spans="1:7" ht="12.75" customHeight="1">
      <c r="A2211" s="3">
        <v>44474</v>
      </c>
      <c r="B2211" s="4" t="s">
        <v>2229</v>
      </c>
      <c r="C2211" s="3" t="s">
        <v>6</v>
      </c>
      <c r="D2211" s="5">
        <f t="shared" si="68"/>
        <v>2287088.54</v>
      </c>
      <c r="E2211">
        <v>2510525.2999999998</v>
      </c>
      <c r="F2211" s="1789">
        <v>8.8999999999999996E-2</v>
      </c>
      <c r="G2211">
        <f t="shared" si="69"/>
        <v>2287088.54</v>
      </c>
    </row>
    <row r="2212" spans="1:7" ht="12.75" customHeight="1">
      <c r="A2212" s="3">
        <v>44490</v>
      </c>
      <c r="B2212" s="4" t="s">
        <v>2230</v>
      </c>
      <c r="C2212" s="3" t="s">
        <v>6</v>
      </c>
      <c r="D2212" s="5">
        <f t="shared" si="68"/>
        <v>3888050.51</v>
      </c>
      <c r="E2212">
        <v>4267892.99</v>
      </c>
      <c r="F2212" s="1789">
        <v>8.8999999999999996E-2</v>
      </c>
      <c r="G2212">
        <f t="shared" si="69"/>
        <v>3888050.51</v>
      </c>
    </row>
    <row r="2213" spans="1:7" ht="12.75" customHeight="1">
      <c r="A2213" s="3">
        <v>37776</v>
      </c>
      <c r="B2213" s="4" t="s">
        <v>2231</v>
      </c>
      <c r="C2213" s="3" t="s">
        <v>6</v>
      </c>
      <c r="D2213" s="5">
        <f t="shared" si="68"/>
        <v>238287.8</v>
      </c>
      <c r="E2213">
        <v>261567.29</v>
      </c>
      <c r="F2213" s="1789">
        <v>8.8999999999999996E-2</v>
      </c>
      <c r="G2213">
        <f t="shared" si="69"/>
        <v>238287.8</v>
      </c>
    </row>
    <row r="2214" spans="1:7" ht="12.75" customHeight="1">
      <c r="A2214" s="3">
        <v>37775</v>
      </c>
      <c r="B2214" s="4" t="s">
        <v>2232</v>
      </c>
      <c r="C2214" s="3" t="s">
        <v>6</v>
      </c>
      <c r="D2214" s="5">
        <f t="shared" si="68"/>
        <v>375321.32</v>
      </c>
      <c r="E2214">
        <v>411988.28</v>
      </c>
      <c r="F2214" s="1789">
        <v>8.8999999999999996E-2</v>
      </c>
      <c r="G2214">
        <f t="shared" si="69"/>
        <v>375321.32</v>
      </c>
    </row>
    <row r="2215" spans="1:7" ht="12.75" customHeight="1">
      <c r="A2215" s="3">
        <v>36491</v>
      </c>
      <c r="B2215" s="4" t="s">
        <v>2233</v>
      </c>
      <c r="C2215" s="3" t="s">
        <v>6</v>
      </c>
      <c r="D2215" s="5">
        <f t="shared" si="68"/>
        <v>1389926.21</v>
      </c>
      <c r="E2215">
        <v>1525714.84</v>
      </c>
      <c r="F2215" s="1789">
        <v>8.8999999999999996E-2</v>
      </c>
      <c r="G2215">
        <f t="shared" si="69"/>
        <v>1389926.21</v>
      </c>
    </row>
    <row r="2216" spans="1:7" ht="12.75" customHeight="1">
      <c r="A2216" s="3">
        <v>10712</v>
      </c>
      <c r="B2216" s="4" t="s">
        <v>2234</v>
      </c>
      <c r="C2216" s="3" t="s">
        <v>6</v>
      </c>
      <c r="D2216" s="5">
        <f t="shared" si="68"/>
        <v>93830.33</v>
      </c>
      <c r="E2216">
        <v>102997.07</v>
      </c>
      <c r="F2216" s="1789">
        <v>8.8999999999999996E-2</v>
      </c>
      <c r="G2216">
        <f t="shared" si="69"/>
        <v>93830.33</v>
      </c>
    </row>
    <row r="2217" spans="1:7" ht="12.75" customHeight="1">
      <c r="A2217" s="3">
        <v>3363</v>
      </c>
      <c r="B2217" s="4" t="s">
        <v>2235</v>
      </c>
      <c r="C2217" s="3" t="s">
        <v>6</v>
      </c>
      <c r="D2217" s="5">
        <f t="shared" si="68"/>
        <v>131981.12</v>
      </c>
      <c r="E2217">
        <v>144875</v>
      </c>
      <c r="F2217" s="1789">
        <v>8.8999999999999996E-2</v>
      </c>
      <c r="G2217">
        <f t="shared" si="69"/>
        <v>131981.12</v>
      </c>
    </row>
    <row r="2218" spans="1:7" ht="12.75" customHeight="1">
      <c r="A2218" s="3">
        <v>3365</v>
      </c>
      <c r="B2218" s="4" t="s">
        <v>2236</v>
      </c>
      <c r="C2218" s="3" t="s">
        <v>6</v>
      </c>
      <c r="D2218" s="5">
        <f t="shared" si="68"/>
        <v>308505.87</v>
      </c>
      <c r="E2218">
        <v>338645.31</v>
      </c>
      <c r="F2218" s="1789">
        <v>8.8999999999999996E-2</v>
      </c>
      <c r="G2218">
        <f t="shared" si="69"/>
        <v>308505.87</v>
      </c>
    </row>
    <row r="2219" spans="1:7" ht="12.75" customHeight="1">
      <c r="A2219" s="3">
        <v>7569</v>
      </c>
      <c r="B2219" s="4" t="s">
        <v>2237</v>
      </c>
      <c r="C2219" s="3" t="s">
        <v>6</v>
      </c>
      <c r="D2219" s="5">
        <f t="shared" si="68"/>
        <v>79.11</v>
      </c>
      <c r="E2219">
        <v>86.84</v>
      </c>
      <c r="F2219" s="1789">
        <v>8.8999999999999996E-2</v>
      </c>
      <c r="G2219">
        <f t="shared" si="69"/>
        <v>79.11</v>
      </c>
    </row>
    <row r="2220" spans="1:7" ht="12.75" customHeight="1">
      <c r="A2220" s="3">
        <v>3378</v>
      </c>
      <c r="B2220" s="4" t="s">
        <v>2238</v>
      </c>
      <c r="C2220" s="3" t="s">
        <v>6</v>
      </c>
      <c r="D2220" s="5">
        <f t="shared" si="68"/>
        <v>84.91</v>
      </c>
      <c r="E2220">
        <v>93.21</v>
      </c>
      <c r="F2220" s="1789">
        <v>8.8999999999999996E-2</v>
      </c>
      <c r="G2220">
        <f t="shared" si="69"/>
        <v>84.91</v>
      </c>
    </row>
    <row r="2221" spans="1:7" ht="12.75" customHeight="1">
      <c r="A2221" s="3">
        <v>3380</v>
      </c>
      <c r="B2221" s="4" t="s">
        <v>2239</v>
      </c>
      <c r="C2221" s="3" t="s">
        <v>6</v>
      </c>
      <c r="D2221" s="5">
        <f t="shared" si="68"/>
        <v>59.44</v>
      </c>
      <c r="E2221">
        <v>65.25</v>
      </c>
      <c r="F2221" s="1789">
        <v>8.8999999999999996E-2</v>
      </c>
      <c r="G2221">
        <f t="shared" si="69"/>
        <v>59.44</v>
      </c>
    </row>
    <row r="2222" spans="1:7" ht="12.75" customHeight="1">
      <c r="A2222" s="3">
        <v>3379</v>
      </c>
      <c r="B2222" s="4" t="s">
        <v>2240</v>
      </c>
      <c r="C2222" s="3" t="s">
        <v>6</v>
      </c>
      <c r="D2222" s="5">
        <f t="shared" si="68"/>
        <v>57.38</v>
      </c>
      <c r="E2222">
        <v>62.99</v>
      </c>
      <c r="F2222" s="1789">
        <v>8.8999999999999996E-2</v>
      </c>
      <c r="G2222">
        <f t="shared" si="69"/>
        <v>57.38</v>
      </c>
    </row>
    <row r="2223" spans="1:7" ht="12.75" customHeight="1">
      <c r="A2223" s="3">
        <v>11991</v>
      </c>
      <c r="B2223" s="4" t="s">
        <v>2241</v>
      </c>
      <c r="C2223" s="3" t="s">
        <v>6</v>
      </c>
      <c r="D2223" s="5">
        <f t="shared" si="68"/>
        <v>66.63</v>
      </c>
      <c r="E2223">
        <v>73.14</v>
      </c>
      <c r="F2223" s="1789">
        <v>8.8999999999999996E-2</v>
      </c>
      <c r="G2223">
        <f t="shared" si="69"/>
        <v>66.63</v>
      </c>
    </row>
    <row r="2224" spans="1:7" ht="12.75" customHeight="1">
      <c r="A2224" s="3">
        <v>34349</v>
      </c>
      <c r="B2224" s="4" t="s">
        <v>2242</v>
      </c>
      <c r="C2224" s="3" t="s">
        <v>6</v>
      </c>
      <c r="D2224" s="5">
        <f t="shared" si="68"/>
        <v>29.14</v>
      </c>
      <c r="E2224">
        <v>31.99</v>
      </c>
      <c r="F2224" s="1789">
        <v>8.8999999999999996E-2</v>
      </c>
      <c r="G2224">
        <f t="shared" si="69"/>
        <v>29.14</v>
      </c>
    </row>
    <row r="2225" spans="1:7" ht="12.75" customHeight="1">
      <c r="A2225" s="3">
        <v>11029</v>
      </c>
      <c r="B2225" s="4" t="s">
        <v>2243</v>
      </c>
      <c r="C2225" s="3" t="s">
        <v>1367</v>
      </c>
      <c r="D2225" s="5">
        <f t="shared" si="68"/>
        <v>1.78</v>
      </c>
      <c r="E2225">
        <v>1.96</v>
      </c>
      <c r="F2225" s="1789">
        <v>8.8999999999999996E-2</v>
      </c>
      <c r="G2225">
        <f t="shared" si="69"/>
        <v>1.78</v>
      </c>
    </row>
    <row r="2226" spans="1:7" ht="12.75" customHeight="1">
      <c r="A2226" s="3">
        <v>4316</v>
      </c>
      <c r="B2226" s="4" t="s">
        <v>2244</v>
      </c>
      <c r="C2226" s="3" t="s">
        <v>6</v>
      </c>
      <c r="D2226" s="5">
        <f t="shared" si="68"/>
        <v>1.8</v>
      </c>
      <c r="E2226">
        <v>1.98</v>
      </c>
      <c r="F2226" s="1789">
        <v>8.8999999999999996E-2</v>
      </c>
      <c r="G2226">
        <f t="shared" si="69"/>
        <v>1.8</v>
      </c>
    </row>
    <row r="2227" spans="1:7" ht="12.75" customHeight="1">
      <c r="A2227" s="3">
        <v>4313</v>
      </c>
      <c r="B2227" s="4" t="s">
        <v>2245</v>
      </c>
      <c r="C2227" s="3" t="s">
        <v>1367</v>
      </c>
      <c r="D2227" s="5">
        <f t="shared" si="68"/>
        <v>2.58</v>
      </c>
      <c r="E2227">
        <v>2.84</v>
      </c>
      <c r="F2227" s="1789">
        <v>8.8999999999999996E-2</v>
      </c>
      <c r="G2227">
        <f t="shared" si="69"/>
        <v>2.58</v>
      </c>
    </row>
    <row r="2228" spans="1:7" ht="12.75" customHeight="1">
      <c r="A2228" s="3">
        <v>4317</v>
      </c>
      <c r="B2228" s="4" t="s">
        <v>2246</v>
      </c>
      <c r="C2228" s="3" t="s">
        <v>6</v>
      </c>
      <c r="D2228" s="5">
        <f t="shared" si="68"/>
        <v>2.95</v>
      </c>
      <c r="E2228">
        <v>3.24</v>
      </c>
      <c r="F2228" s="1789">
        <v>8.8999999999999996E-2</v>
      </c>
      <c r="G2228">
        <f t="shared" si="69"/>
        <v>2.95</v>
      </c>
    </row>
    <row r="2229" spans="1:7" ht="12.75" customHeight="1">
      <c r="A2229" s="3">
        <v>4314</v>
      </c>
      <c r="B2229" s="4" t="s">
        <v>2247</v>
      </c>
      <c r="C2229" s="3" t="s">
        <v>1367</v>
      </c>
      <c r="D2229" s="5">
        <f t="shared" si="68"/>
        <v>3.45</v>
      </c>
      <c r="E2229">
        <v>3.79</v>
      </c>
      <c r="F2229" s="1789">
        <v>8.8999999999999996E-2</v>
      </c>
      <c r="G2229">
        <f t="shared" si="69"/>
        <v>3.45</v>
      </c>
    </row>
    <row r="2230" spans="1:7" ht="12.75" customHeight="1">
      <c r="A2230" s="3">
        <v>10921</v>
      </c>
      <c r="B2230" s="4" t="s">
        <v>2248</v>
      </c>
      <c r="C2230" s="3" t="s">
        <v>6</v>
      </c>
      <c r="D2230" s="5">
        <f t="shared" si="68"/>
        <v>5108.88</v>
      </c>
      <c r="E2230">
        <v>5608</v>
      </c>
      <c r="F2230" s="1789">
        <v>8.8999999999999996E-2</v>
      </c>
      <c r="G2230">
        <f t="shared" si="69"/>
        <v>5108.88</v>
      </c>
    </row>
    <row r="2231" spans="1:7" ht="12.75" customHeight="1">
      <c r="A2231" s="3">
        <v>10922</v>
      </c>
      <c r="B2231" s="4" t="s">
        <v>2249</v>
      </c>
      <c r="C2231" s="3" t="s">
        <v>6</v>
      </c>
      <c r="D2231" s="5">
        <f t="shared" si="68"/>
        <v>4627.49</v>
      </c>
      <c r="E2231">
        <v>5079.58</v>
      </c>
      <c r="F2231" s="1789">
        <v>8.8999999999999996E-2</v>
      </c>
      <c r="G2231">
        <f t="shared" si="69"/>
        <v>4627.49</v>
      </c>
    </row>
    <row r="2232" spans="1:7" ht="12.75" customHeight="1">
      <c r="A2232" s="3">
        <v>10923</v>
      </c>
      <c r="B2232" s="4" t="s">
        <v>2250</v>
      </c>
      <c r="C2232" s="3" t="s">
        <v>6</v>
      </c>
      <c r="D2232" s="5">
        <f t="shared" si="68"/>
        <v>2735.04</v>
      </c>
      <c r="E2232">
        <v>3002.25</v>
      </c>
      <c r="F2232" s="1789">
        <v>8.8999999999999996E-2</v>
      </c>
      <c r="G2232">
        <f t="shared" si="69"/>
        <v>2735.04</v>
      </c>
    </row>
    <row r="2233" spans="1:7" ht="12.75" customHeight="1">
      <c r="A2233" s="3">
        <v>10924</v>
      </c>
      <c r="B2233" s="4" t="s">
        <v>2251</v>
      </c>
      <c r="C2233" s="3" t="s">
        <v>6</v>
      </c>
      <c r="D2233" s="5">
        <f t="shared" si="68"/>
        <v>2880.53</v>
      </c>
      <c r="E2233">
        <v>3161.95</v>
      </c>
      <c r="F2233" s="1789">
        <v>8.8999999999999996E-2</v>
      </c>
      <c r="G2233">
        <f t="shared" si="69"/>
        <v>2880.53</v>
      </c>
    </row>
    <row r="2234" spans="1:7" ht="12.75" customHeight="1">
      <c r="A2234" s="3">
        <v>37772</v>
      </c>
      <c r="B2234" s="4" t="s">
        <v>2252</v>
      </c>
      <c r="C2234" s="3" t="s">
        <v>6</v>
      </c>
      <c r="D2234" s="5">
        <f t="shared" si="68"/>
        <v>312471.90000000002</v>
      </c>
      <c r="E2234">
        <v>342998.8</v>
      </c>
      <c r="F2234" s="1789">
        <v>8.8999999999999996E-2</v>
      </c>
      <c r="G2234">
        <f t="shared" si="69"/>
        <v>312471.90000000002</v>
      </c>
    </row>
    <row r="2235" spans="1:7" ht="12.75" customHeight="1">
      <c r="A2235" s="3">
        <v>37771</v>
      </c>
      <c r="B2235" s="4" t="s">
        <v>2253</v>
      </c>
      <c r="C2235" s="3" t="s">
        <v>6</v>
      </c>
      <c r="D2235" s="5">
        <f t="shared" si="68"/>
        <v>332420.33</v>
      </c>
      <c r="E2235">
        <v>364896.09</v>
      </c>
      <c r="F2235" s="1789">
        <v>8.8999999999999996E-2</v>
      </c>
      <c r="G2235">
        <f t="shared" si="69"/>
        <v>332420.33</v>
      </c>
    </row>
    <row r="2236" spans="1:7" ht="12.75" customHeight="1">
      <c r="A2236" s="3">
        <v>12772</v>
      </c>
      <c r="B2236" s="4" t="s">
        <v>2254</v>
      </c>
      <c r="C2236" s="3" t="s">
        <v>6</v>
      </c>
      <c r="D2236" s="5">
        <f t="shared" si="68"/>
        <v>724.89</v>
      </c>
      <c r="E2236">
        <v>795.71</v>
      </c>
      <c r="F2236" s="1789">
        <v>8.8999999999999996E-2</v>
      </c>
      <c r="G2236">
        <f t="shared" si="69"/>
        <v>724.89</v>
      </c>
    </row>
    <row r="2237" spans="1:7" ht="12.75" customHeight="1">
      <c r="A2237" s="3">
        <v>12770</v>
      </c>
      <c r="B2237" s="4" t="s">
        <v>2255</v>
      </c>
      <c r="C2237" s="3" t="s">
        <v>6</v>
      </c>
      <c r="D2237" s="5">
        <f t="shared" si="68"/>
        <v>436.16</v>
      </c>
      <c r="E2237">
        <v>478.78</v>
      </c>
      <c r="F2237" s="1789">
        <v>8.8999999999999996E-2</v>
      </c>
      <c r="G2237">
        <f t="shared" si="69"/>
        <v>436.16</v>
      </c>
    </row>
    <row r="2238" spans="1:7" ht="12.75" customHeight="1">
      <c r="A2238" s="3">
        <v>12775</v>
      </c>
      <c r="B2238" s="4" t="s">
        <v>2256</v>
      </c>
      <c r="C2238" s="3" t="s">
        <v>6</v>
      </c>
      <c r="D2238" s="5">
        <f t="shared" si="68"/>
        <v>319.44</v>
      </c>
      <c r="E2238">
        <v>350.65</v>
      </c>
      <c r="F2238" s="1789">
        <v>8.8999999999999996E-2</v>
      </c>
      <c r="G2238">
        <f t="shared" si="69"/>
        <v>319.44</v>
      </c>
    </row>
    <row r="2239" spans="1:7" ht="12.75" customHeight="1">
      <c r="A2239" s="3">
        <v>12768</v>
      </c>
      <c r="B2239" s="4" t="s">
        <v>2257</v>
      </c>
      <c r="C2239" s="3" t="s">
        <v>6</v>
      </c>
      <c r="D2239" s="5">
        <f t="shared" si="68"/>
        <v>1019.77</v>
      </c>
      <c r="E2239">
        <v>1119.4000000000001</v>
      </c>
      <c r="F2239" s="1789">
        <v>8.8999999999999996E-2</v>
      </c>
      <c r="G2239">
        <f t="shared" si="69"/>
        <v>1019.77</v>
      </c>
    </row>
    <row r="2240" spans="1:7" ht="12.75" customHeight="1">
      <c r="A2240" s="3">
        <v>12769</v>
      </c>
      <c r="B2240" s="4" t="s">
        <v>2258</v>
      </c>
      <c r="C2240" s="3" t="s">
        <v>6</v>
      </c>
      <c r="D2240" s="5">
        <f t="shared" si="68"/>
        <v>83.54</v>
      </c>
      <c r="E2240">
        <v>91.71</v>
      </c>
      <c r="F2240" s="1789">
        <v>8.8999999999999996E-2</v>
      </c>
      <c r="G2240">
        <f t="shared" si="69"/>
        <v>83.54</v>
      </c>
    </row>
    <row r="2241" spans="1:7" ht="12.75" customHeight="1">
      <c r="A2241" s="3">
        <v>12773</v>
      </c>
      <c r="B2241" s="4" t="s">
        <v>2259</v>
      </c>
      <c r="C2241" s="3" t="s">
        <v>6</v>
      </c>
      <c r="D2241" s="5">
        <f t="shared" si="68"/>
        <v>89.68</v>
      </c>
      <c r="E2241">
        <v>98.45</v>
      </c>
      <c r="F2241" s="1789">
        <v>8.8999999999999996E-2</v>
      </c>
      <c r="G2241">
        <f t="shared" si="69"/>
        <v>89.68</v>
      </c>
    </row>
    <row r="2242" spans="1:7" ht="12.75" customHeight="1">
      <c r="A2242" s="3">
        <v>12774</v>
      </c>
      <c r="B2242" s="4" t="s">
        <v>2260</v>
      </c>
      <c r="C2242" s="3" t="s">
        <v>6</v>
      </c>
      <c r="D2242" s="5">
        <f t="shared" si="68"/>
        <v>110.57</v>
      </c>
      <c r="E2242">
        <v>121.38</v>
      </c>
      <c r="F2242" s="1789">
        <v>8.8999999999999996E-2</v>
      </c>
      <c r="G2242">
        <f t="shared" si="69"/>
        <v>110.57</v>
      </c>
    </row>
    <row r="2243" spans="1:7" ht="12.75" customHeight="1">
      <c r="A2243" s="3">
        <v>12776</v>
      </c>
      <c r="B2243" s="4" t="s">
        <v>2261</v>
      </c>
      <c r="C2243" s="3" t="s">
        <v>6</v>
      </c>
      <c r="D2243" s="5">
        <f t="shared" ref="D2243:D2306" si="70">G2243</f>
        <v>1646.37</v>
      </c>
      <c r="E2243">
        <v>1807.22</v>
      </c>
      <c r="F2243" s="1789">
        <v>8.8999999999999996E-2</v>
      </c>
      <c r="G2243">
        <f t="shared" ref="G2243:G2306" si="71">TRUNC((1-F2243)*E2243,2)</f>
        <v>1646.37</v>
      </c>
    </row>
    <row r="2244" spans="1:7" ht="12.75" customHeight="1">
      <c r="A2244" s="3">
        <v>12777</v>
      </c>
      <c r="B2244" s="4" t="s">
        <v>2262</v>
      </c>
      <c r="C2244" s="3" t="s">
        <v>6</v>
      </c>
      <c r="D2244" s="5">
        <f t="shared" si="70"/>
        <v>2150.12</v>
      </c>
      <c r="E2244">
        <v>2360.1799999999998</v>
      </c>
      <c r="F2244" s="1789">
        <v>8.8999999999999996E-2</v>
      </c>
      <c r="G2244">
        <f t="shared" si="71"/>
        <v>2150.12</v>
      </c>
    </row>
    <row r="2245" spans="1:7" ht="12.75" customHeight="1">
      <c r="A2245" s="3">
        <v>12873</v>
      </c>
      <c r="B2245" s="4" t="s">
        <v>2263</v>
      </c>
      <c r="C2245" s="3" t="s">
        <v>154</v>
      </c>
      <c r="D2245" s="5">
        <f t="shared" si="70"/>
        <v>15.82</v>
      </c>
      <c r="E2245">
        <v>17.37</v>
      </c>
      <c r="F2245" s="1789">
        <v>8.8999999999999996E-2</v>
      </c>
      <c r="G2245">
        <f t="shared" si="71"/>
        <v>15.82</v>
      </c>
    </row>
    <row r="2246" spans="1:7" ht="12.75" customHeight="1">
      <c r="A2246" s="3">
        <v>41076</v>
      </c>
      <c r="B2246" s="4" t="s">
        <v>2264</v>
      </c>
      <c r="C2246" s="3" t="s">
        <v>156</v>
      </c>
      <c r="D2246" s="5">
        <f t="shared" si="70"/>
        <v>2785.5</v>
      </c>
      <c r="E2246">
        <v>3057.63</v>
      </c>
      <c r="F2246" s="1789">
        <v>8.8999999999999996E-2</v>
      </c>
      <c r="G2246">
        <f t="shared" si="71"/>
        <v>2785.5</v>
      </c>
    </row>
    <row r="2247" spans="1:7" ht="12.75" customHeight="1">
      <c r="A2247" s="3">
        <v>140</v>
      </c>
      <c r="B2247" s="4" t="s">
        <v>2265</v>
      </c>
      <c r="C2247" s="3" t="s">
        <v>54</v>
      </c>
      <c r="D2247" s="5">
        <f t="shared" si="70"/>
        <v>18.739999999999998</v>
      </c>
      <c r="E2247">
        <v>20.58</v>
      </c>
      <c r="F2247" s="1789">
        <v>8.8999999999999996E-2</v>
      </c>
      <c r="G2247">
        <f t="shared" si="71"/>
        <v>18.739999999999998</v>
      </c>
    </row>
    <row r="2248" spans="1:7" ht="12.75" customHeight="1">
      <c r="A2248" s="3">
        <v>151</v>
      </c>
      <c r="B2248" s="4" t="s">
        <v>2266</v>
      </c>
      <c r="C2248" s="3" t="s">
        <v>56</v>
      </c>
      <c r="D2248" s="5">
        <f t="shared" si="70"/>
        <v>27.67</v>
      </c>
      <c r="E2248">
        <v>30.38</v>
      </c>
      <c r="F2248" s="1789">
        <v>8.8999999999999996E-2</v>
      </c>
      <c r="G2248">
        <f t="shared" si="71"/>
        <v>27.67</v>
      </c>
    </row>
    <row r="2249" spans="1:7" ht="12.75" customHeight="1">
      <c r="A2249" s="3">
        <v>7340</v>
      </c>
      <c r="B2249" s="4" t="s">
        <v>2267</v>
      </c>
      <c r="C2249" s="3" t="s">
        <v>56</v>
      </c>
      <c r="D2249" s="5">
        <f t="shared" si="70"/>
        <v>28.2</v>
      </c>
      <c r="E2249">
        <v>30.96</v>
      </c>
      <c r="F2249" s="1789">
        <v>8.8999999999999996E-2</v>
      </c>
      <c r="G2249">
        <f t="shared" si="71"/>
        <v>28.2</v>
      </c>
    </row>
    <row r="2250" spans="1:7" ht="12.75" customHeight="1">
      <c r="A2250" s="3">
        <v>40929</v>
      </c>
      <c r="B2250" s="4" t="s">
        <v>2268</v>
      </c>
      <c r="C2250" s="3" t="s">
        <v>156</v>
      </c>
      <c r="D2250" s="5">
        <f t="shared" si="70"/>
        <v>1849.88</v>
      </c>
      <c r="E2250">
        <v>2030.61</v>
      </c>
      <c r="F2250" s="1789">
        <v>8.8999999999999996E-2</v>
      </c>
      <c r="G2250">
        <f t="shared" si="71"/>
        <v>1849.88</v>
      </c>
    </row>
    <row r="2251" spans="1:7" ht="12.75" customHeight="1">
      <c r="A2251" s="3">
        <v>2701</v>
      </c>
      <c r="B2251" s="4" t="s">
        <v>2269</v>
      </c>
      <c r="C2251" s="3" t="s">
        <v>154</v>
      </c>
      <c r="D2251" s="5">
        <f t="shared" si="70"/>
        <v>10.51</v>
      </c>
      <c r="E2251">
        <v>11.54</v>
      </c>
      <c r="F2251" s="1789">
        <v>8.8999999999999996E-2</v>
      </c>
      <c r="G2251">
        <f t="shared" si="71"/>
        <v>10.51</v>
      </c>
    </row>
    <row r="2252" spans="1:7" ht="12.75" customHeight="1">
      <c r="A2252" s="3">
        <v>38114</v>
      </c>
      <c r="B2252" s="4" t="s">
        <v>2270</v>
      </c>
      <c r="C2252" s="3" t="s">
        <v>6</v>
      </c>
      <c r="D2252" s="5">
        <f t="shared" si="70"/>
        <v>15.38</v>
      </c>
      <c r="E2252">
        <v>16.89</v>
      </c>
      <c r="F2252" s="1789">
        <v>8.8999999999999996E-2</v>
      </c>
      <c r="G2252">
        <f t="shared" si="71"/>
        <v>15.38</v>
      </c>
    </row>
    <row r="2253" spans="1:7" ht="12.75" customHeight="1">
      <c r="A2253" s="3">
        <v>38064</v>
      </c>
      <c r="B2253" s="4" t="s">
        <v>2271</v>
      </c>
      <c r="C2253" s="3" t="s">
        <v>6</v>
      </c>
      <c r="D2253" s="5">
        <f t="shared" si="70"/>
        <v>17.2</v>
      </c>
      <c r="E2253">
        <v>18.89</v>
      </c>
      <c r="F2253" s="1789">
        <v>8.8999999999999996E-2</v>
      </c>
      <c r="G2253">
        <f t="shared" si="71"/>
        <v>17.2</v>
      </c>
    </row>
    <row r="2254" spans="1:7" ht="12.75" customHeight="1">
      <c r="A2254" s="3">
        <v>38115</v>
      </c>
      <c r="B2254" s="4" t="s">
        <v>2272</v>
      </c>
      <c r="C2254" s="3" t="s">
        <v>6</v>
      </c>
      <c r="D2254" s="5">
        <f t="shared" si="70"/>
        <v>16.43</v>
      </c>
      <c r="E2254">
        <v>18.04</v>
      </c>
      <c r="F2254" s="1789">
        <v>8.8999999999999996E-2</v>
      </c>
      <c r="G2254">
        <f t="shared" si="71"/>
        <v>16.43</v>
      </c>
    </row>
    <row r="2255" spans="1:7" ht="12.75" customHeight="1">
      <c r="A2255" s="3">
        <v>38065</v>
      </c>
      <c r="B2255" s="4" t="s">
        <v>2273</v>
      </c>
      <c r="C2255" s="3" t="s">
        <v>6</v>
      </c>
      <c r="D2255" s="5">
        <f t="shared" si="70"/>
        <v>24.41</v>
      </c>
      <c r="E2255">
        <v>26.8</v>
      </c>
      <c r="F2255" s="1789">
        <v>8.8999999999999996E-2</v>
      </c>
      <c r="G2255">
        <f t="shared" si="71"/>
        <v>24.41</v>
      </c>
    </row>
    <row r="2256" spans="1:7" ht="12.75" customHeight="1">
      <c r="A2256" s="3">
        <v>38078</v>
      </c>
      <c r="B2256" s="4" t="s">
        <v>2274</v>
      </c>
      <c r="C2256" s="3" t="s">
        <v>6</v>
      </c>
      <c r="D2256" s="5">
        <f t="shared" si="70"/>
        <v>14.23</v>
      </c>
      <c r="E2256">
        <v>15.63</v>
      </c>
      <c r="F2256" s="1789">
        <v>8.8999999999999996E-2</v>
      </c>
      <c r="G2256">
        <f t="shared" si="71"/>
        <v>14.23</v>
      </c>
    </row>
    <row r="2257" spans="1:7" ht="12.75" customHeight="1">
      <c r="A2257" s="3">
        <v>38113</v>
      </c>
      <c r="B2257" s="4" t="s">
        <v>2275</v>
      </c>
      <c r="C2257" s="3" t="s">
        <v>6</v>
      </c>
      <c r="D2257" s="5">
        <f t="shared" si="70"/>
        <v>7.73</v>
      </c>
      <c r="E2257">
        <v>8.49</v>
      </c>
      <c r="F2257" s="1789">
        <v>8.8999999999999996E-2</v>
      </c>
      <c r="G2257">
        <f t="shared" si="71"/>
        <v>7.73</v>
      </c>
    </row>
    <row r="2258" spans="1:7" ht="12.75" customHeight="1">
      <c r="A2258" s="3">
        <v>38063</v>
      </c>
      <c r="B2258" s="4" t="s">
        <v>2276</v>
      </c>
      <c r="C2258" s="3" t="s">
        <v>6</v>
      </c>
      <c r="D2258" s="5">
        <f t="shared" si="70"/>
        <v>8.2899999999999991</v>
      </c>
      <c r="E2258">
        <v>9.11</v>
      </c>
      <c r="F2258" s="1789">
        <v>8.8999999999999996E-2</v>
      </c>
      <c r="G2258">
        <f t="shared" si="71"/>
        <v>8.2899999999999991</v>
      </c>
    </row>
    <row r="2259" spans="1:7" ht="12.75" customHeight="1">
      <c r="A2259" s="3">
        <v>38080</v>
      </c>
      <c r="B2259" s="4" t="s">
        <v>2277</v>
      </c>
      <c r="C2259" s="3" t="s">
        <v>6</v>
      </c>
      <c r="D2259" s="5">
        <f t="shared" si="70"/>
        <v>24.73</v>
      </c>
      <c r="E2259">
        <v>27.15</v>
      </c>
      <c r="F2259" s="1789">
        <v>8.8999999999999996E-2</v>
      </c>
      <c r="G2259">
        <f t="shared" si="71"/>
        <v>24.73</v>
      </c>
    </row>
    <row r="2260" spans="1:7" ht="12.75" customHeight="1">
      <c r="A2260" s="3">
        <v>38069</v>
      </c>
      <c r="B2260" s="4" t="s">
        <v>2278</v>
      </c>
      <c r="C2260" s="3" t="s">
        <v>6</v>
      </c>
      <c r="D2260" s="5">
        <f t="shared" si="70"/>
        <v>13.52</v>
      </c>
      <c r="E2260">
        <v>14.85</v>
      </c>
      <c r="F2260" s="1789">
        <v>8.8999999999999996E-2</v>
      </c>
      <c r="G2260">
        <f t="shared" si="71"/>
        <v>13.52</v>
      </c>
    </row>
    <row r="2261" spans="1:7" ht="12.75" customHeight="1">
      <c r="A2261" s="3">
        <v>38077</v>
      </c>
      <c r="B2261" s="4" t="s">
        <v>2279</v>
      </c>
      <c r="C2261" s="3" t="s">
        <v>6</v>
      </c>
      <c r="D2261" s="5">
        <f t="shared" si="70"/>
        <v>13.21</v>
      </c>
      <c r="E2261">
        <v>14.51</v>
      </c>
      <c r="F2261" s="1789">
        <v>8.8999999999999996E-2</v>
      </c>
      <c r="G2261">
        <f t="shared" si="71"/>
        <v>13.21</v>
      </c>
    </row>
    <row r="2262" spans="1:7" ht="12.75" customHeight="1">
      <c r="A2262" s="3">
        <v>38073</v>
      </c>
      <c r="B2262" s="4" t="s">
        <v>2280</v>
      </c>
      <c r="C2262" s="3" t="s">
        <v>6</v>
      </c>
      <c r="D2262" s="5">
        <f t="shared" si="70"/>
        <v>20.14</v>
      </c>
      <c r="E2262">
        <v>22.11</v>
      </c>
      <c r="F2262" s="1789">
        <v>8.8999999999999996E-2</v>
      </c>
      <c r="G2262">
        <f t="shared" si="71"/>
        <v>20.14</v>
      </c>
    </row>
    <row r="2263" spans="1:7" ht="12.75" customHeight="1">
      <c r="A2263" s="3">
        <v>38112</v>
      </c>
      <c r="B2263" s="4" t="s">
        <v>2281</v>
      </c>
      <c r="C2263" s="3" t="s">
        <v>6</v>
      </c>
      <c r="D2263" s="5">
        <f t="shared" si="70"/>
        <v>5.93</v>
      </c>
      <c r="E2263">
        <v>6.52</v>
      </c>
      <c r="F2263" s="1789">
        <v>8.8999999999999996E-2</v>
      </c>
      <c r="G2263">
        <f t="shared" si="71"/>
        <v>5.93</v>
      </c>
    </row>
    <row r="2264" spans="1:7" ht="12.75" customHeight="1">
      <c r="A2264" s="3">
        <v>38062</v>
      </c>
      <c r="B2264" s="4" t="s">
        <v>2282</v>
      </c>
      <c r="C2264" s="3" t="s">
        <v>6</v>
      </c>
      <c r="D2264" s="5">
        <f t="shared" si="70"/>
        <v>6.09</v>
      </c>
      <c r="E2264">
        <v>6.69</v>
      </c>
      <c r="F2264" s="1789">
        <v>8.8999999999999996E-2</v>
      </c>
      <c r="G2264">
        <f t="shared" si="71"/>
        <v>6.09</v>
      </c>
    </row>
    <row r="2265" spans="1:7" ht="12.75" customHeight="1">
      <c r="A2265" s="3">
        <v>12128</v>
      </c>
      <c r="B2265" s="4" t="s">
        <v>2283</v>
      </c>
      <c r="C2265" s="3" t="s">
        <v>6</v>
      </c>
      <c r="D2265" s="5">
        <f t="shared" si="70"/>
        <v>8.15</v>
      </c>
      <c r="E2265">
        <v>8.9499999999999993</v>
      </c>
      <c r="F2265" s="1789">
        <v>8.8999999999999996E-2</v>
      </c>
      <c r="G2265">
        <f t="shared" si="71"/>
        <v>8.15</v>
      </c>
    </row>
    <row r="2266" spans="1:7" ht="12.75" customHeight="1">
      <c r="A2266" s="3">
        <v>12129</v>
      </c>
      <c r="B2266" s="4" t="s">
        <v>2284</v>
      </c>
      <c r="C2266" s="3" t="s">
        <v>6</v>
      </c>
      <c r="D2266" s="5">
        <f t="shared" si="70"/>
        <v>10.76</v>
      </c>
      <c r="E2266">
        <v>11.82</v>
      </c>
      <c r="F2266" s="1789">
        <v>8.8999999999999996E-2</v>
      </c>
      <c r="G2266">
        <f t="shared" si="71"/>
        <v>10.76</v>
      </c>
    </row>
    <row r="2267" spans="1:7" ht="12.75" customHeight="1">
      <c r="A2267" s="3">
        <v>38081</v>
      </c>
      <c r="B2267" s="4" t="s">
        <v>2285</v>
      </c>
      <c r="C2267" s="3" t="s">
        <v>6</v>
      </c>
      <c r="D2267" s="5">
        <f t="shared" si="70"/>
        <v>20.98</v>
      </c>
      <c r="E2267">
        <v>23.03</v>
      </c>
      <c r="F2267" s="1789">
        <v>8.8999999999999996E-2</v>
      </c>
      <c r="G2267">
        <f t="shared" si="71"/>
        <v>20.98</v>
      </c>
    </row>
    <row r="2268" spans="1:7" ht="12.75" customHeight="1">
      <c r="A2268" s="3">
        <v>38070</v>
      </c>
      <c r="B2268" s="4" t="s">
        <v>2286</v>
      </c>
      <c r="C2268" s="3" t="s">
        <v>6</v>
      </c>
      <c r="D2268" s="5">
        <f t="shared" si="70"/>
        <v>14.45</v>
      </c>
      <c r="E2268">
        <v>15.87</v>
      </c>
      <c r="F2268" s="1789">
        <v>8.8999999999999996E-2</v>
      </c>
      <c r="G2268">
        <f t="shared" si="71"/>
        <v>14.45</v>
      </c>
    </row>
    <row r="2269" spans="1:7" ht="12.75" customHeight="1">
      <c r="A2269" s="3">
        <v>38074</v>
      </c>
      <c r="B2269" s="4" t="s">
        <v>2287</v>
      </c>
      <c r="C2269" s="3" t="s">
        <v>6</v>
      </c>
      <c r="D2269" s="5">
        <f t="shared" si="70"/>
        <v>21.98</v>
      </c>
      <c r="E2269">
        <v>24.13</v>
      </c>
      <c r="F2269" s="1789">
        <v>8.8999999999999996E-2</v>
      </c>
      <c r="G2269">
        <f t="shared" si="71"/>
        <v>21.98</v>
      </c>
    </row>
    <row r="2270" spans="1:7" ht="12.75" customHeight="1">
      <c r="A2270" s="3">
        <v>38079</v>
      </c>
      <c r="B2270" s="4" t="s">
        <v>2288</v>
      </c>
      <c r="C2270" s="3" t="s">
        <v>6</v>
      </c>
      <c r="D2270" s="5">
        <f t="shared" si="70"/>
        <v>18.86</v>
      </c>
      <c r="E2270">
        <v>20.71</v>
      </c>
      <c r="F2270" s="1789">
        <v>8.8999999999999996E-2</v>
      </c>
      <c r="G2270">
        <f t="shared" si="71"/>
        <v>18.86</v>
      </c>
    </row>
    <row r="2271" spans="1:7" ht="12.75" customHeight="1">
      <c r="A2271" s="3">
        <v>38072</v>
      </c>
      <c r="B2271" s="4" t="s">
        <v>2289</v>
      </c>
      <c r="C2271" s="3" t="s">
        <v>6</v>
      </c>
      <c r="D2271" s="5">
        <f t="shared" si="70"/>
        <v>18.12</v>
      </c>
      <c r="E2271">
        <v>19.899999999999999</v>
      </c>
      <c r="F2271" s="1789">
        <v>8.8999999999999996E-2</v>
      </c>
      <c r="G2271">
        <f t="shared" si="71"/>
        <v>18.12</v>
      </c>
    </row>
    <row r="2272" spans="1:7" ht="12.75" customHeight="1">
      <c r="A2272" s="3">
        <v>38068</v>
      </c>
      <c r="B2272" s="4" t="s">
        <v>2290</v>
      </c>
      <c r="C2272" s="3" t="s">
        <v>6</v>
      </c>
      <c r="D2272" s="5">
        <f t="shared" si="70"/>
        <v>12.51</v>
      </c>
      <c r="E2272">
        <v>13.74</v>
      </c>
      <c r="F2272" s="1789">
        <v>8.8999999999999996E-2</v>
      </c>
      <c r="G2272">
        <f t="shared" si="71"/>
        <v>12.51</v>
      </c>
    </row>
    <row r="2273" spans="1:7" ht="12.75" customHeight="1">
      <c r="A2273" s="3">
        <v>38071</v>
      </c>
      <c r="B2273" s="4" t="s">
        <v>2291</v>
      </c>
      <c r="C2273" s="3" t="s">
        <v>6</v>
      </c>
      <c r="D2273" s="5">
        <f t="shared" si="70"/>
        <v>14.96</v>
      </c>
      <c r="E2273">
        <v>16.43</v>
      </c>
      <c r="F2273" s="1789">
        <v>8.8999999999999996E-2</v>
      </c>
      <c r="G2273">
        <f t="shared" si="71"/>
        <v>14.96</v>
      </c>
    </row>
    <row r="2274" spans="1:7" ht="12.75" customHeight="1">
      <c r="A2274" s="3">
        <v>38412</v>
      </c>
      <c r="B2274" s="4" t="s">
        <v>2292</v>
      </c>
      <c r="C2274" s="3" t="s">
        <v>6</v>
      </c>
      <c r="D2274" s="5">
        <f t="shared" si="70"/>
        <v>1243.9100000000001</v>
      </c>
      <c r="E2274">
        <v>1365.44</v>
      </c>
      <c r="F2274" s="1789">
        <v>8.8999999999999996E-2</v>
      </c>
      <c r="G2274">
        <f t="shared" si="71"/>
        <v>1243.9100000000001</v>
      </c>
    </row>
    <row r="2275" spans="1:7" ht="12.75" customHeight="1">
      <c r="A2275" s="3">
        <v>3405</v>
      </c>
      <c r="B2275" s="4" t="s">
        <v>2293</v>
      </c>
      <c r="C2275" s="3" t="s">
        <v>6</v>
      </c>
      <c r="D2275" s="5">
        <f t="shared" si="70"/>
        <v>87.94</v>
      </c>
      <c r="E2275">
        <v>96.54</v>
      </c>
      <c r="F2275" s="1789">
        <v>8.8999999999999996E-2</v>
      </c>
      <c r="G2275">
        <f t="shared" si="71"/>
        <v>87.94</v>
      </c>
    </row>
    <row r="2276" spans="1:7" ht="12.75" customHeight="1">
      <c r="A2276" s="3">
        <v>3394</v>
      </c>
      <c r="B2276" s="4" t="s">
        <v>2294</v>
      </c>
      <c r="C2276" s="3" t="s">
        <v>6</v>
      </c>
      <c r="D2276" s="5">
        <f t="shared" si="70"/>
        <v>464.24</v>
      </c>
      <c r="E2276">
        <v>509.6</v>
      </c>
      <c r="F2276" s="1789">
        <v>8.8999999999999996E-2</v>
      </c>
      <c r="G2276">
        <f t="shared" si="71"/>
        <v>464.24</v>
      </c>
    </row>
    <row r="2277" spans="1:7" ht="12.75" customHeight="1">
      <c r="A2277" s="3">
        <v>3393</v>
      </c>
      <c r="B2277" s="4" t="s">
        <v>2295</v>
      </c>
      <c r="C2277" s="3" t="s">
        <v>6</v>
      </c>
      <c r="D2277" s="5">
        <f t="shared" si="70"/>
        <v>790.42</v>
      </c>
      <c r="E2277">
        <v>867.65</v>
      </c>
      <c r="F2277" s="1789">
        <v>8.8999999999999996E-2</v>
      </c>
      <c r="G2277">
        <f t="shared" si="71"/>
        <v>790.42</v>
      </c>
    </row>
    <row r="2278" spans="1:7" ht="12.75" customHeight="1">
      <c r="A2278" s="3">
        <v>3406</v>
      </c>
      <c r="B2278" s="4" t="s">
        <v>2296</v>
      </c>
      <c r="C2278" s="3" t="s">
        <v>6</v>
      </c>
      <c r="D2278" s="5">
        <f t="shared" si="70"/>
        <v>26.92</v>
      </c>
      <c r="E2278">
        <v>29.55</v>
      </c>
      <c r="F2278" s="1789">
        <v>8.8999999999999996E-2</v>
      </c>
      <c r="G2278">
        <f t="shared" si="71"/>
        <v>26.92</v>
      </c>
    </row>
    <row r="2279" spans="1:7" ht="12.75" customHeight="1">
      <c r="A2279" s="3">
        <v>3395</v>
      </c>
      <c r="B2279" s="4" t="s">
        <v>2297</v>
      </c>
      <c r="C2279" s="3" t="s">
        <v>6</v>
      </c>
      <c r="D2279" s="5">
        <f t="shared" si="70"/>
        <v>113.55</v>
      </c>
      <c r="E2279">
        <v>124.65</v>
      </c>
      <c r="F2279" s="1789">
        <v>8.8999999999999996E-2</v>
      </c>
      <c r="G2279">
        <f t="shared" si="71"/>
        <v>113.55</v>
      </c>
    </row>
    <row r="2280" spans="1:7" ht="12.75" customHeight="1">
      <c r="A2280" s="3">
        <v>3398</v>
      </c>
      <c r="B2280" s="4" t="s">
        <v>2298</v>
      </c>
      <c r="C2280" s="3" t="s">
        <v>6</v>
      </c>
      <c r="D2280" s="5">
        <f t="shared" si="70"/>
        <v>5.39</v>
      </c>
      <c r="E2280">
        <v>5.92</v>
      </c>
      <c r="F2280" s="1789">
        <v>8.8999999999999996E-2</v>
      </c>
      <c r="G2280">
        <f t="shared" si="71"/>
        <v>5.39</v>
      </c>
    </row>
    <row r="2281" spans="1:7" ht="12.75" customHeight="1">
      <c r="A2281" s="3">
        <v>40662</v>
      </c>
      <c r="B2281" s="4" t="s">
        <v>2299</v>
      </c>
      <c r="C2281" s="3" t="s">
        <v>6</v>
      </c>
      <c r="D2281" s="5">
        <f t="shared" si="70"/>
        <v>293.5</v>
      </c>
      <c r="E2281">
        <v>322.18</v>
      </c>
      <c r="F2281" s="1789">
        <v>8.8999999999999996E-2</v>
      </c>
      <c r="G2281">
        <f t="shared" si="71"/>
        <v>293.5</v>
      </c>
    </row>
    <row r="2282" spans="1:7" ht="12.75" customHeight="1">
      <c r="A2282" s="3">
        <v>3437</v>
      </c>
      <c r="B2282" s="4" t="s">
        <v>2300</v>
      </c>
      <c r="C2282" s="3" t="s">
        <v>409</v>
      </c>
      <c r="D2282" s="5">
        <f t="shared" si="70"/>
        <v>815.3</v>
      </c>
      <c r="E2282">
        <v>894.96</v>
      </c>
      <c r="F2282" s="1789">
        <v>8.8999999999999996E-2</v>
      </c>
      <c r="G2282">
        <f t="shared" si="71"/>
        <v>815.3</v>
      </c>
    </row>
    <row r="2283" spans="1:7" ht="12.75" customHeight="1">
      <c r="A2283" s="3">
        <v>11190</v>
      </c>
      <c r="B2283" s="4" t="s">
        <v>2301</v>
      </c>
      <c r="C2283" s="3" t="s">
        <v>6</v>
      </c>
      <c r="D2283" s="5">
        <f t="shared" si="70"/>
        <v>159.36000000000001</v>
      </c>
      <c r="E2283">
        <v>174.93</v>
      </c>
      <c r="F2283" s="1789">
        <v>8.8999999999999996E-2</v>
      </c>
      <c r="G2283">
        <f t="shared" si="71"/>
        <v>159.36000000000001</v>
      </c>
    </row>
    <row r="2284" spans="1:7" ht="12.75" customHeight="1">
      <c r="A2284" s="3">
        <v>34377</v>
      </c>
      <c r="B2284" s="4" t="s">
        <v>2302</v>
      </c>
      <c r="C2284" s="3" t="s">
        <v>6</v>
      </c>
      <c r="D2284" s="5">
        <f t="shared" si="70"/>
        <v>159.87</v>
      </c>
      <c r="E2284">
        <v>175.49</v>
      </c>
      <c r="F2284" s="1789">
        <v>8.8999999999999996E-2</v>
      </c>
      <c r="G2284">
        <f t="shared" si="71"/>
        <v>159.87</v>
      </c>
    </row>
    <row r="2285" spans="1:7" ht="12.75" customHeight="1">
      <c r="A2285" s="3">
        <v>3428</v>
      </c>
      <c r="B2285" s="4" t="s">
        <v>2303</v>
      </c>
      <c r="C2285" s="3" t="s">
        <v>409</v>
      </c>
      <c r="D2285" s="5">
        <f t="shared" si="70"/>
        <v>1209.3699999999999</v>
      </c>
      <c r="E2285">
        <v>1327.52</v>
      </c>
      <c r="F2285" s="1789">
        <v>8.8999999999999996E-2</v>
      </c>
      <c r="G2285">
        <f t="shared" si="71"/>
        <v>1209.3699999999999</v>
      </c>
    </row>
    <row r="2286" spans="1:7" ht="12.75" customHeight="1">
      <c r="A2286" s="3">
        <v>3429</v>
      </c>
      <c r="B2286" s="4" t="s">
        <v>2304</v>
      </c>
      <c r="C2286" s="3" t="s">
        <v>409</v>
      </c>
      <c r="D2286" s="5">
        <f t="shared" si="70"/>
        <v>690.96</v>
      </c>
      <c r="E2286">
        <v>758.47</v>
      </c>
      <c r="F2286" s="1789">
        <v>8.8999999999999996E-2</v>
      </c>
      <c r="G2286">
        <f t="shared" si="71"/>
        <v>690.96</v>
      </c>
    </row>
    <row r="2287" spans="1:7" ht="12.75" customHeight="1">
      <c r="A2287" s="3">
        <v>11199</v>
      </c>
      <c r="B2287" s="4" t="s">
        <v>2305</v>
      </c>
      <c r="C2287" s="3" t="s">
        <v>6</v>
      </c>
      <c r="D2287" s="5">
        <f t="shared" si="70"/>
        <v>880.11</v>
      </c>
      <c r="E2287">
        <v>966.1</v>
      </c>
      <c r="F2287" s="1789">
        <v>8.8999999999999996E-2</v>
      </c>
      <c r="G2287">
        <f t="shared" si="71"/>
        <v>880.11</v>
      </c>
    </row>
    <row r="2288" spans="1:7" ht="12.75" customHeight="1">
      <c r="A2288" s="3">
        <v>36896</v>
      </c>
      <c r="B2288" s="4" t="s">
        <v>2306</v>
      </c>
      <c r="C2288" s="3" t="s">
        <v>6</v>
      </c>
      <c r="D2288" s="5">
        <f t="shared" si="70"/>
        <v>309.64</v>
      </c>
      <c r="E2288">
        <v>339.9</v>
      </c>
      <c r="F2288" s="1789">
        <v>8.8999999999999996E-2</v>
      </c>
      <c r="G2288">
        <f t="shared" si="71"/>
        <v>309.64</v>
      </c>
    </row>
    <row r="2289" spans="1:7" ht="12.75" customHeight="1">
      <c r="A2289" s="3">
        <v>34367</v>
      </c>
      <c r="B2289" s="4" t="s">
        <v>2307</v>
      </c>
      <c r="C2289" s="3" t="s">
        <v>6</v>
      </c>
      <c r="D2289" s="5">
        <f t="shared" si="70"/>
        <v>399.09</v>
      </c>
      <c r="E2289">
        <v>438.08</v>
      </c>
      <c r="F2289" s="1789">
        <v>8.8999999999999996E-2</v>
      </c>
      <c r="G2289">
        <f t="shared" si="71"/>
        <v>399.09</v>
      </c>
    </row>
    <row r="2290" spans="1:7" ht="12.75" customHeight="1">
      <c r="A2290" s="3">
        <v>36897</v>
      </c>
      <c r="B2290" s="4" t="s">
        <v>2308</v>
      </c>
      <c r="C2290" s="3" t="s">
        <v>6</v>
      </c>
      <c r="D2290" s="5">
        <f t="shared" si="70"/>
        <v>483.19</v>
      </c>
      <c r="E2290">
        <v>530.4</v>
      </c>
      <c r="F2290" s="1789">
        <v>8.8999999999999996E-2</v>
      </c>
      <c r="G2290">
        <f t="shared" si="71"/>
        <v>483.19</v>
      </c>
    </row>
    <row r="2291" spans="1:7" ht="12.75" customHeight="1">
      <c r="A2291" s="3">
        <v>34369</v>
      </c>
      <c r="B2291" s="4" t="s">
        <v>2309</v>
      </c>
      <c r="C2291" s="3" t="s">
        <v>6</v>
      </c>
      <c r="D2291" s="5">
        <f t="shared" si="70"/>
        <v>556.07000000000005</v>
      </c>
      <c r="E2291">
        <v>610.4</v>
      </c>
      <c r="F2291" s="1789">
        <v>8.8999999999999996E-2</v>
      </c>
      <c r="G2291">
        <f t="shared" si="71"/>
        <v>556.07000000000005</v>
      </c>
    </row>
    <row r="2292" spans="1:7" ht="12.75" customHeight="1">
      <c r="A2292" s="3">
        <v>34364</v>
      </c>
      <c r="B2292" s="4" t="s">
        <v>2310</v>
      </c>
      <c r="C2292" s="3" t="s">
        <v>6</v>
      </c>
      <c r="D2292" s="5">
        <f t="shared" si="70"/>
        <v>524.59</v>
      </c>
      <c r="E2292">
        <v>575.84</v>
      </c>
      <c r="F2292" s="1789">
        <v>8.8999999999999996E-2</v>
      </c>
      <c r="G2292">
        <f t="shared" si="71"/>
        <v>524.59</v>
      </c>
    </row>
    <row r="2293" spans="1:7" ht="12.75" customHeight="1">
      <c r="A2293" s="3">
        <v>40659</v>
      </c>
      <c r="B2293" s="4" t="s">
        <v>2311</v>
      </c>
      <c r="C2293" s="3" t="s">
        <v>409</v>
      </c>
      <c r="D2293" s="5">
        <f t="shared" si="70"/>
        <v>1153.54</v>
      </c>
      <c r="E2293">
        <v>1266.24</v>
      </c>
      <c r="F2293" s="1789">
        <v>8.8999999999999996E-2</v>
      </c>
      <c r="G2293">
        <f t="shared" si="71"/>
        <v>1153.54</v>
      </c>
    </row>
    <row r="2294" spans="1:7" ht="12.75" customHeight="1">
      <c r="A2294" s="3">
        <v>40660</v>
      </c>
      <c r="B2294" s="4" t="s">
        <v>2312</v>
      </c>
      <c r="C2294" s="3" t="s">
        <v>409</v>
      </c>
      <c r="D2294" s="5">
        <f t="shared" si="70"/>
        <v>1461.98</v>
      </c>
      <c r="E2294">
        <v>1604.81</v>
      </c>
      <c r="F2294" s="1789">
        <v>8.8999999999999996E-2</v>
      </c>
      <c r="G2294">
        <f t="shared" si="71"/>
        <v>1461.98</v>
      </c>
    </row>
    <row r="2295" spans="1:7" ht="12.75" customHeight="1">
      <c r="A2295" s="3">
        <v>40661</v>
      </c>
      <c r="B2295" s="4" t="s">
        <v>2313</v>
      </c>
      <c r="C2295" s="3" t="s">
        <v>409</v>
      </c>
      <c r="D2295" s="5">
        <f t="shared" si="70"/>
        <v>898.86</v>
      </c>
      <c r="E2295">
        <v>986.68</v>
      </c>
      <c r="F2295" s="1789">
        <v>8.8999999999999996E-2</v>
      </c>
      <c r="G2295">
        <f t="shared" si="71"/>
        <v>898.86</v>
      </c>
    </row>
    <row r="2296" spans="1:7" ht="12.75" customHeight="1">
      <c r="A2296" s="3">
        <v>3421</v>
      </c>
      <c r="B2296" s="4" t="s">
        <v>2314</v>
      </c>
      <c r="C2296" s="3" t="s">
        <v>409</v>
      </c>
      <c r="D2296" s="5">
        <f t="shared" si="70"/>
        <v>905.74</v>
      </c>
      <c r="E2296">
        <v>994.23</v>
      </c>
      <c r="F2296" s="1789">
        <v>8.8999999999999996E-2</v>
      </c>
      <c r="G2296">
        <f t="shared" si="71"/>
        <v>905.74</v>
      </c>
    </row>
    <row r="2297" spans="1:7" ht="12.75" customHeight="1">
      <c r="A2297" s="3">
        <v>599</v>
      </c>
      <c r="B2297" s="4" t="s">
        <v>2315</v>
      </c>
      <c r="C2297" s="3" t="s">
        <v>409</v>
      </c>
      <c r="D2297" s="5">
        <f t="shared" si="70"/>
        <v>564.72</v>
      </c>
      <c r="E2297">
        <v>619.9</v>
      </c>
      <c r="F2297" s="1789">
        <v>8.8999999999999996E-2</v>
      </c>
      <c r="G2297">
        <f t="shared" si="71"/>
        <v>564.72</v>
      </c>
    </row>
    <row r="2298" spans="1:7" ht="12.75" customHeight="1">
      <c r="A2298" s="3">
        <v>44053</v>
      </c>
      <c r="B2298" s="4" t="s">
        <v>2316</v>
      </c>
      <c r="C2298" s="3" t="s">
        <v>6</v>
      </c>
      <c r="D2298" s="5">
        <f t="shared" si="70"/>
        <v>1253.44</v>
      </c>
      <c r="E2298">
        <v>1375.9</v>
      </c>
      <c r="F2298" s="1789">
        <v>8.8999999999999996E-2</v>
      </c>
      <c r="G2298">
        <f t="shared" si="71"/>
        <v>1253.44</v>
      </c>
    </row>
    <row r="2299" spans="1:7" ht="12.75" customHeight="1">
      <c r="A2299" s="3">
        <v>3423</v>
      </c>
      <c r="B2299" s="4" t="s">
        <v>2317</v>
      </c>
      <c r="C2299" s="3" t="s">
        <v>409</v>
      </c>
      <c r="D2299" s="5">
        <f t="shared" si="70"/>
        <v>1277.31</v>
      </c>
      <c r="E2299">
        <v>1402.1</v>
      </c>
      <c r="F2299" s="1789">
        <v>8.8999999999999996E-2</v>
      </c>
      <c r="G2299">
        <f t="shared" si="71"/>
        <v>1277.31</v>
      </c>
    </row>
    <row r="2300" spans="1:7" ht="12.75" customHeight="1">
      <c r="A2300" s="3">
        <v>34381</v>
      </c>
      <c r="B2300" s="4" t="s">
        <v>2318</v>
      </c>
      <c r="C2300" s="3" t="s">
        <v>6</v>
      </c>
      <c r="D2300" s="5">
        <f t="shared" si="70"/>
        <v>228.02</v>
      </c>
      <c r="E2300">
        <v>250.3</v>
      </c>
      <c r="F2300" s="1789">
        <v>8.8999999999999996E-2</v>
      </c>
      <c r="G2300">
        <f t="shared" si="71"/>
        <v>228.02</v>
      </c>
    </row>
    <row r="2301" spans="1:7" ht="12.75" customHeight="1">
      <c r="A2301" s="3">
        <v>34797</v>
      </c>
      <c r="B2301" s="4" t="s">
        <v>2319</v>
      </c>
      <c r="C2301" s="3" t="s">
        <v>6</v>
      </c>
      <c r="D2301" s="5">
        <f t="shared" si="70"/>
        <v>347.1</v>
      </c>
      <c r="E2301">
        <v>381.02</v>
      </c>
      <c r="F2301" s="1789">
        <v>8.8999999999999996E-2</v>
      </c>
      <c r="G2301">
        <f t="shared" si="71"/>
        <v>347.1</v>
      </c>
    </row>
    <row r="2302" spans="1:7" ht="12.75" customHeight="1">
      <c r="A2302" s="3">
        <v>44054</v>
      </c>
      <c r="B2302" s="4" t="s">
        <v>2320</v>
      </c>
      <c r="C2302" s="3" t="s">
        <v>6</v>
      </c>
      <c r="D2302" s="5">
        <f t="shared" si="70"/>
        <v>449.66</v>
      </c>
      <c r="E2302">
        <v>493.59</v>
      </c>
      <c r="F2302" s="1789">
        <v>8.8999999999999996E-2</v>
      </c>
      <c r="G2302">
        <f t="shared" si="71"/>
        <v>449.66</v>
      </c>
    </row>
    <row r="2303" spans="1:7" ht="12.75" customHeight="1">
      <c r="A2303" s="3">
        <v>44399</v>
      </c>
      <c r="B2303" s="4" t="s">
        <v>2321</v>
      </c>
      <c r="C2303" s="3" t="s">
        <v>6</v>
      </c>
      <c r="D2303" s="5">
        <f t="shared" si="70"/>
        <v>614.37</v>
      </c>
      <c r="E2303">
        <v>674.4</v>
      </c>
      <c r="F2303" s="1789">
        <v>8.8999999999999996E-2</v>
      </c>
      <c r="G2303">
        <f t="shared" si="71"/>
        <v>614.37</v>
      </c>
    </row>
    <row r="2304" spans="1:7" ht="12.75" customHeight="1">
      <c r="A2304" s="3">
        <v>44503</v>
      </c>
      <c r="B2304" s="4" t="s">
        <v>2322</v>
      </c>
      <c r="C2304" s="3" t="s">
        <v>154</v>
      </c>
      <c r="D2304" s="5">
        <f t="shared" si="70"/>
        <v>14.27</v>
      </c>
      <c r="E2304">
        <v>15.67</v>
      </c>
      <c r="F2304" s="1789">
        <v>8.8999999999999996E-2</v>
      </c>
      <c r="G2304">
        <f t="shared" si="71"/>
        <v>14.27</v>
      </c>
    </row>
    <row r="2305" spans="1:7" ht="12.75" customHeight="1">
      <c r="A2305" s="3">
        <v>41077</v>
      </c>
      <c r="B2305" s="4" t="s">
        <v>2323</v>
      </c>
      <c r="C2305" s="3" t="s">
        <v>156</v>
      </c>
      <c r="D2305" s="5">
        <f t="shared" si="70"/>
        <v>2515.17</v>
      </c>
      <c r="E2305">
        <v>2760.9</v>
      </c>
      <c r="F2305" s="1789">
        <v>8.8999999999999996E-2</v>
      </c>
      <c r="G2305">
        <f t="shared" si="71"/>
        <v>2515.17</v>
      </c>
    </row>
    <row r="2306" spans="1:7" ht="12.75" customHeight="1">
      <c r="A2306" s="3">
        <v>37963</v>
      </c>
      <c r="B2306" s="4" t="s">
        <v>2324</v>
      </c>
      <c r="C2306" s="3" t="s">
        <v>6</v>
      </c>
      <c r="D2306" s="5">
        <f t="shared" si="70"/>
        <v>3.92</v>
      </c>
      <c r="E2306">
        <v>4.3099999999999996</v>
      </c>
      <c r="F2306" s="1789">
        <v>8.8999999999999996E-2</v>
      </c>
      <c r="G2306">
        <f t="shared" si="71"/>
        <v>3.92</v>
      </c>
    </row>
    <row r="2307" spans="1:7" ht="12.75" customHeight="1">
      <c r="A2307" s="3">
        <v>37964</v>
      </c>
      <c r="B2307" s="4" t="s">
        <v>2325</v>
      </c>
      <c r="C2307" s="3" t="s">
        <v>6</v>
      </c>
      <c r="D2307" s="5">
        <f t="shared" ref="D2307:D2370" si="72">G2307</f>
        <v>5.24</v>
      </c>
      <c r="E2307">
        <v>5.76</v>
      </c>
      <c r="F2307" s="1789">
        <v>8.8999999999999996E-2</v>
      </c>
      <c r="G2307">
        <f t="shared" ref="G2307:G2370" si="73">TRUNC((1-F2307)*E2307,2)</f>
        <v>5.24</v>
      </c>
    </row>
    <row r="2308" spans="1:7" ht="12.75" customHeight="1">
      <c r="A2308" s="3">
        <v>37965</v>
      </c>
      <c r="B2308" s="4" t="s">
        <v>2326</v>
      </c>
      <c r="C2308" s="3" t="s">
        <v>6</v>
      </c>
      <c r="D2308" s="5">
        <f t="shared" si="72"/>
        <v>7.57</v>
      </c>
      <c r="E2308">
        <v>8.31</v>
      </c>
      <c r="F2308" s="1789">
        <v>8.8999999999999996E-2</v>
      </c>
      <c r="G2308">
        <f t="shared" si="73"/>
        <v>7.57</v>
      </c>
    </row>
    <row r="2309" spans="1:7" ht="12.75" customHeight="1">
      <c r="A2309" s="3">
        <v>37966</v>
      </c>
      <c r="B2309" s="4" t="s">
        <v>2327</v>
      </c>
      <c r="C2309" s="3" t="s">
        <v>6</v>
      </c>
      <c r="D2309" s="5">
        <f t="shared" si="72"/>
        <v>13.28</v>
      </c>
      <c r="E2309">
        <v>14.58</v>
      </c>
      <c r="F2309" s="1789">
        <v>8.8999999999999996E-2</v>
      </c>
      <c r="G2309">
        <f t="shared" si="73"/>
        <v>13.28</v>
      </c>
    </row>
    <row r="2310" spans="1:7" ht="12.75" customHeight="1">
      <c r="A2310" s="3">
        <v>37967</v>
      </c>
      <c r="B2310" s="4" t="s">
        <v>2328</v>
      </c>
      <c r="C2310" s="3" t="s">
        <v>6</v>
      </c>
      <c r="D2310" s="5">
        <f t="shared" si="72"/>
        <v>22.32</v>
      </c>
      <c r="E2310">
        <v>24.51</v>
      </c>
      <c r="F2310" s="1789">
        <v>8.8999999999999996E-2</v>
      </c>
      <c r="G2310">
        <f t="shared" si="73"/>
        <v>22.32</v>
      </c>
    </row>
    <row r="2311" spans="1:7" ht="12.75" customHeight="1">
      <c r="A2311" s="3">
        <v>37968</v>
      </c>
      <c r="B2311" s="4" t="s">
        <v>2329</v>
      </c>
      <c r="C2311" s="3" t="s">
        <v>6</v>
      </c>
      <c r="D2311" s="5">
        <f t="shared" si="72"/>
        <v>47.39</v>
      </c>
      <c r="E2311">
        <v>52.03</v>
      </c>
      <c r="F2311" s="1789">
        <v>8.8999999999999996E-2</v>
      </c>
      <c r="G2311">
        <f t="shared" si="73"/>
        <v>47.39</v>
      </c>
    </row>
    <row r="2312" spans="1:7" ht="12.75" customHeight="1">
      <c r="A2312" s="3">
        <v>37969</v>
      </c>
      <c r="B2312" s="4" t="s">
        <v>2330</v>
      </c>
      <c r="C2312" s="3" t="s">
        <v>6</v>
      </c>
      <c r="D2312" s="5">
        <f t="shared" si="72"/>
        <v>119.77</v>
      </c>
      <c r="E2312">
        <v>131.47999999999999</v>
      </c>
      <c r="F2312" s="1789">
        <v>8.8999999999999996E-2</v>
      </c>
      <c r="G2312">
        <f t="shared" si="73"/>
        <v>119.77</v>
      </c>
    </row>
    <row r="2313" spans="1:7" ht="12.75" customHeight="1">
      <c r="A2313" s="3">
        <v>37970</v>
      </c>
      <c r="B2313" s="4" t="s">
        <v>2331</v>
      </c>
      <c r="C2313" s="3" t="s">
        <v>6</v>
      </c>
      <c r="D2313" s="5">
        <f t="shared" si="72"/>
        <v>173.29</v>
      </c>
      <c r="E2313">
        <v>190.23</v>
      </c>
      <c r="F2313" s="1789">
        <v>8.8999999999999996E-2</v>
      </c>
      <c r="G2313">
        <f t="shared" si="73"/>
        <v>173.29</v>
      </c>
    </row>
    <row r="2314" spans="1:7" ht="12.75" customHeight="1">
      <c r="A2314" s="3">
        <v>44251</v>
      </c>
      <c r="B2314" s="4" t="s">
        <v>2332</v>
      </c>
      <c r="C2314" s="3" t="s">
        <v>6</v>
      </c>
      <c r="D2314" s="5">
        <f t="shared" si="72"/>
        <v>200.17</v>
      </c>
      <c r="E2314">
        <v>219.73</v>
      </c>
      <c r="F2314" s="1789">
        <v>8.8999999999999996E-2</v>
      </c>
      <c r="G2314">
        <f t="shared" si="73"/>
        <v>200.17</v>
      </c>
    </row>
    <row r="2315" spans="1:7" ht="12.75" customHeight="1">
      <c r="A2315" s="3">
        <v>21118</v>
      </c>
      <c r="B2315" s="4" t="s">
        <v>2333</v>
      </c>
      <c r="C2315" s="3" t="s">
        <v>6</v>
      </c>
      <c r="D2315" s="5">
        <f t="shared" si="72"/>
        <v>3.11</v>
      </c>
      <c r="E2315">
        <v>3.42</v>
      </c>
      <c r="F2315" s="1789">
        <v>8.8999999999999996E-2</v>
      </c>
      <c r="G2315">
        <f t="shared" si="73"/>
        <v>3.11</v>
      </c>
    </row>
    <row r="2316" spans="1:7" ht="12.75" customHeight="1">
      <c r="A2316" s="3">
        <v>37956</v>
      </c>
      <c r="B2316" s="4" t="s">
        <v>2334</v>
      </c>
      <c r="C2316" s="3" t="s">
        <v>6</v>
      </c>
      <c r="D2316" s="5">
        <f t="shared" si="72"/>
        <v>3.82</v>
      </c>
      <c r="E2316">
        <v>4.2</v>
      </c>
      <c r="F2316" s="1789">
        <v>8.8999999999999996E-2</v>
      </c>
      <c r="G2316">
        <f t="shared" si="73"/>
        <v>3.82</v>
      </c>
    </row>
    <row r="2317" spans="1:7" ht="12.75" customHeight="1">
      <c r="A2317" s="3">
        <v>37957</v>
      </c>
      <c r="B2317" s="4" t="s">
        <v>2335</v>
      </c>
      <c r="C2317" s="3" t="s">
        <v>6</v>
      </c>
      <c r="D2317" s="5">
        <f t="shared" si="72"/>
        <v>8.15</v>
      </c>
      <c r="E2317">
        <v>8.9499999999999993</v>
      </c>
      <c r="F2317" s="1789">
        <v>8.8999999999999996E-2</v>
      </c>
      <c r="G2317">
        <f t="shared" si="73"/>
        <v>8.15</v>
      </c>
    </row>
    <row r="2318" spans="1:7" ht="12.75" customHeight="1">
      <c r="A2318" s="3">
        <v>37958</v>
      </c>
      <c r="B2318" s="4" t="s">
        <v>2336</v>
      </c>
      <c r="C2318" s="3" t="s">
        <v>6</v>
      </c>
      <c r="D2318" s="5">
        <f t="shared" si="72"/>
        <v>14.73</v>
      </c>
      <c r="E2318">
        <v>16.170000000000002</v>
      </c>
      <c r="F2318" s="1789">
        <v>8.8999999999999996E-2</v>
      </c>
      <c r="G2318">
        <f t="shared" si="73"/>
        <v>14.73</v>
      </c>
    </row>
    <row r="2319" spans="1:7" ht="12.75" customHeight="1">
      <c r="A2319" s="3">
        <v>37959</v>
      </c>
      <c r="B2319" s="4" t="s">
        <v>2337</v>
      </c>
      <c r="C2319" s="3" t="s">
        <v>6</v>
      </c>
      <c r="D2319" s="5">
        <f t="shared" si="72"/>
        <v>22.68</v>
      </c>
      <c r="E2319">
        <v>24.9</v>
      </c>
      <c r="F2319" s="1789">
        <v>8.8999999999999996E-2</v>
      </c>
      <c r="G2319">
        <f t="shared" si="73"/>
        <v>22.68</v>
      </c>
    </row>
    <row r="2320" spans="1:7" ht="12.75" customHeight="1">
      <c r="A2320" s="3">
        <v>37960</v>
      </c>
      <c r="B2320" s="4" t="s">
        <v>2338</v>
      </c>
      <c r="C2320" s="3" t="s">
        <v>6</v>
      </c>
      <c r="D2320" s="5">
        <f t="shared" si="72"/>
        <v>57.95</v>
      </c>
      <c r="E2320">
        <v>63.62</v>
      </c>
      <c r="F2320" s="1789">
        <v>8.8999999999999996E-2</v>
      </c>
      <c r="G2320">
        <f t="shared" si="73"/>
        <v>57.95</v>
      </c>
    </row>
    <row r="2321" spans="1:7" ht="12.75" customHeight="1">
      <c r="A2321" s="3">
        <v>37961</v>
      </c>
      <c r="B2321" s="4" t="s">
        <v>2339</v>
      </c>
      <c r="C2321" s="3" t="s">
        <v>6</v>
      </c>
      <c r="D2321" s="5">
        <f t="shared" si="72"/>
        <v>124.56</v>
      </c>
      <c r="E2321">
        <v>136.72999999999999</v>
      </c>
      <c r="F2321" s="1789">
        <v>8.8999999999999996E-2</v>
      </c>
      <c r="G2321">
        <f t="shared" si="73"/>
        <v>124.56</v>
      </c>
    </row>
    <row r="2322" spans="1:7" ht="12.75" customHeight="1">
      <c r="A2322" s="3">
        <v>37962</v>
      </c>
      <c r="B2322" s="4" t="s">
        <v>2340</v>
      </c>
      <c r="C2322" s="3" t="s">
        <v>6</v>
      </c>
      <c r="D2322" s="5">
        <f t="shared" si="72"/>
        <v>143.59</v>
      </c>
      <c r="E2322">
        <v>157.62</v>
      </c>
      <c r="F2322" s="1789">
        <v>8.8999999999999996E-2</v>
      </c>
      <c r="G2322">
        <f t="shared" si="73"/>
        <v>143.59</v>
      </c>
    </row>
    <row r="2323" spans="1:7" ht="12.75" customHeight="1">
      <c r="A2323" s="3">
        <v>3533</v>
      </c>
      <c r="B2323" s="4" t="s">
        <v>2341</v>
      </c>
      <c r="C2323" s="3" t="s">
        <v>6</v>
      </c>
      <c r="D2323" s="5">
        <f t="shared" si="72"/>
        <v>2.14</v>
      </c>
      <c r="E2323">
        <v>2.35</v>
      </c>
      <c r="F2323" s="1789">
        <v>8.8999999999999996E-2</v>
      </c>
      <c r="G2323">
        <f t="shared" si="73"/>
        <v>2.14</v>
      </c>
    </row>
    <row r="2324" spans="1:7" ht="12.75" customHeight="1">
      <c r="A2324" s="3">
        <v>3538</v>
      </c>
      <c r="B2324" s="4" t="s">
        <v>2342</v>
      </c>
      <c r="C2324" s="3" t="s">
        <v>6</v>
      </c>
      <c r="D2324" s="5">
        <f t="shared" si="72"/>
        <v>4.05</v>
      </c>
      <c r="E2324">
        <v>4.45</v>
      </c>
      <c r="F2324" s="1789">
        <v>8.8999999999999996E-2</v>
      </c>
      <c r="G2324">
        <f t="shared" si="73"/>
        <v>4.05</v>
      </c>
    </row>
    <row r="2325" spans="1:7" ht="12.75" customHeight="1">
      <c r="A2325" s="3">
        <v>3498</v>
      </c>
      <c r="B2325" s="4" t="s">
        <v>2343</v>
      </c>
      <c r="C2325" s="3" t="s">
        <v>6</v>
      </c>
      <c r="D2325" s="5">
        <f t="shared" si="72"/>
        <v>3.93</v>
      </c>
      <c r="E2325">
        <v>4.32</v>
      </c>
      <c r="F2325" s="1789">
        <v>8.8999999999999996E-2</v>
      </c>
      <c r="G2325">
        <f t="shared" si="73"/>
        <v>3.93</v>
      </c>
    </row>
    <row r="2326" spans="1:7" ht="12.75" customHeight="1">
      <c r="A2326" s="3">
        <v>3496</v>
      </c>
      <c r="B2326" s="4" t="s">
        <v>2344</v>
      </c>
      <c r="C2326" s="3" t="s">
        <v>6</v>
      </c>
      <c r="D2326" s="5">
        <f t="shared" si="72"/>
        <v>2.63</v>
      </c>
      <c r="E2326">
        <v>2.89</v>
      </c>
      <c r="F2326" s="1789">
        <v>8.8999999999999996E-2</v>
      </c>
      <c r="G2326">
        <f t="shared" si="73"/>
        <v>2.63</v>
      </c>
    </row>
    <row r="2327" spans="1:7" ht="12.75" customHeight="1">
      <c r="A2327" s="3">
        <v>38429</v>
      </c>
      <c r="B2327" s="4" t="s">
        <v>2345</v>
      </c>
      <c r="C2327" s="3" t="s">
        <v>6</v>
      </c>
      <c r="D2327" s="5">
        <f t="shared" si="72"/>
        <v>10.6</v>
      </c>
      <c r="E2327">
        <v>11.64</v>
      </c>
      <c r="F2327" s="1789">
        <v>8.8999999999999996E-2</v>
      </c>
      <c r="G2327">
        <f t="shared" si="73"/>
        <v>10.6</v>
      </c>
    </row>
    <row r="2328" spans="1:7" ht="12.75" customHeight="1">
      <c r="A2328" s="3">
        <v>38431</v>
      </c>
      <c r="B2328" s="4" t="s">
        <v>2346</v>
      </c>
      <c r="C2328" s="3" t="s">
        <v>6</v>
      </c>
      <c r="D2328" s="5">
        <f t="shared" si="72"/>
        <v>13.3</v>
      </c>
      <c r="E2328">
        <v>14.6</v>
      </c>
      <c r="F2328" s="1789">
        <v>8.8999999999999996E-2</v>
      </c>
      <c r="G2328">
        <f t="shared" si="73"/>
        <v>13.3</v>
      </c>
    </row>
    <row r="2329" spans="1:7" ht="12.75" customHeight="1">
      <c r="A2329" s="3">
        <v>38430</v>
      </c>
      <c r="B2329" s="4" t="s">
        <v>2347</v>
      </c>
      <c r="C2329" s="3" t="s">
        <v>6</v>
      </c>
      <c r="D2329" s="5">
        <f t="shared" si="72"/>
        <v>20.62</v>
      </c>
      <c r="E2329">
        <v>22.64</v>
      </c>
      <c r="F2329" s="1789">
        <v>8.8999999999999996E-2</v>
      </c>
      <c r="G2329">
        <f t="shared" si="73"/>
        <v>20.62</v>
      </c>
    </row>
    <row r="2330" spans="1:7" ht="12.75" customHeight="1">
      <c r="A2330" s="3">
        <v>36348</v>
      </c>
      <c r="B2330" s="4" t="s">
        <v>2348</v>
      </c>
      <c r="C2330" s="3" t="s">
        <v>6</v>
      </c>
      <c r="D2330" s="5">
        <f t="shared" si="72"/>
        <v>1.91</v>
      </c>
      <c r="E2330">
        <v>2.1</v>
      </c>
      <c r="F2330" s="1789">
        <v>8.8999999999999996E-2</v>
      </c>
      <c r="G2330">
        <f t="shared" si="73"/>
        <v>1.91</v>
      </c>
    </row>
    <row r="2331" spans="1:7" ht="12.75" customHeight="1">
      <c r="A2331" s="3">
        <v>36349</v>
      </c>
      <c r="B2331" s="4" t="s">
        <v>2349</v>
      </c>
      <c r="C2331" s="3" t="s">
        <v>6</v>
      </c>
      <c r="D2331" s="5">
        <f t="shared" si="72"/>
        <v>2.64</v>
      </c>
      <c r="E2331">
        <v>2.9</v>
      </c>
      <c r="F2331" s="1789">
        <v>8.8999999999999996E-2</v>
      </c>
      <c r="G2331">
        <f t="shared" si="73"/>
        <v>2.64</v>
      </c>
    </row>
    <row r="2332" spans="1:7" ht="12.75" customHeight="1">
      <c r="A2332" s="3">
        <v>38987</v>
      </c>
      <c r="B2332" s="4" t="s">
        <v>2350</v>
      </c>
      <c r="C2332" s="3" t="s">
        <v>6</v>
      </c>
      <c r="D2332" s="5">
        <f t="shared" si="72"/>
        <v>12.69</v>
      </c>
      <c r="E2332">
        <v>13.94</v>
      </c>
      <c r="F2332" s="1789">
        <v>8.8999999999999996E-2</v>
      </c>
      <c r="G2332">
        <f t="shared" si="73"/>
        <v>12.69</v>
      </c>
    </row>
    <row r="2333" spans="1:7" ht="12.75" customHeight="1">
      <c r="A2333" s="3">
        <v>38988</v>
      </c>
      <c r="B2333" s="4" t="s">
        <v>2351</v>
      </c>
      <c r="C2333" s="3" t="s">
        <v>6</v>
      </c>
      <c r="D2333" s="5">
        <f t="shared" si="72"/>
        <v>20.68</v>
      </c>
      <c r="E2333">
        <v>22.71</v>
      </c>
      <c r="F2333" s="1789">
        <v>8.8999999999999996E-2</v>
      </c>
      <c r="G2333">
        <f t="shared" si="73"/>
        <v>20.68</v>
      </c>
    </row>
    <row r="2334" spans="1:7" ht="12.75" customHeight="1">
      <c r="A2334" s="3">
        <v>38989</v>
      </c>
      <c r="B2334" s="4" t="s">
        <v>2352</v>
      </c>
      <c r="C2334" s="3" t="s">
        <v>6</v>
      </c>
      <c r="D2334" s="5">
        <f t="shared" si="72"/>
        <v>34.81</v>
      </c>
      <c r="E2334">
        <v>38.22</v>
      </c>
      <c r="F2334" s="1789">
        <v>8.8999999999999996E-2</v>
      </c>
      <c r="G2334">
        <f t="shared" si="73"/>
        <v>34.81</v>
      </c>
    </row>
    <row r="2335" spans="1:7" ht="12.75" customHeight="1">
      <c r="A2335" s="3">
        <v>38990</v>
      </c>
      <c r="B2335" s="4" t="s">
        <v>2353</v>
      </c>
      <c r="C2335" s="3" t="s">
        <v>6</v>
      </c>
      <c r="D2335" s="5">
        <f t="shared" si="72"/>
        <v>69.569999999999993</v>
      </c>
      <c r="E2335">
        <v>76.37</v>
      </c>
      <c r="F2335" s="1789">
        <v>8.8999999999999996E-2</v>
      </c>
      <c r="G2335">
        <f t="shared" si="73"/>
        <v>69.569999999999993</v>
      </c>
    </row>
    <row r="2336" spans="1:7" ht="12.75" customHeight="1">
      <c r="A2336" s="3">
        <v>38991</v>
      </c>
      <c r="B2336" s="4" t="s">
        <v>2354</v>
      </c>
      <c r="C2336" s="3" t="s">
        <v>6</v>
      </c>
      <c r="D2336" s="5">
        <f t="shared" si="72"/>
        <v>125.18</v>
      </c>
      <c r="E2336">
        <v>137.41999999999999</v>
      </c>
      <c r="F2336" s="1789">
        <v>8.8999999999999996E-2</v>
      </c>
      <c r="G2336">
        <f t="shared" si="73"/>
        <v>125.18</v>
      </c>
    </row>
    <row r="2337" spans="1:7" ht="12.75" customHeight="1">
      <c r="A2337" s="3">
        <v>38433</v>
      </c>
      <c r="B2337" s="4" t="s">
        <v>2355</v>
      </c>
      <c r="C2337" s="3" t="s">
        <v>6</v>
      </c>
      <c r="D2337" s="5">
        <f t="shared" si="72"/>
        <v>6.46</v>
      </c>
      <c r="E2337">
        <v>7.1</v>
      </c>
      <c r="F2337" s="1789">
        <v>8.8999999999999996E-2</v>
      </c>
      <c r="G2337">
        <f t="shared" si="73"/>
        <v>6.46</v>
      </c>
    </row>
    <row r="2338" spans="1:7" ht="12.75" customHeight="1">
      <c r="A2338" s="3">
        <v>38440</v>
      </c>
      <c r="B2338" s="4" t="s">
        <v>2356</v>
      </c>
      <c r="C2338" s="3" t="s">
        <v>6</v>
      </c>
      <c r="D2338" s="5">
        <f t="shared" si="72"/>
        <v>272.83</v>
      </c>
      <c r="E2338">
        <v>299.49</v>
      </c>
      <c r="F2338" s="1789">
        <v>8.8999999999999996E-2</v>
      </c>
      <c r="G2338">
        <f t="shared" si="73"/>
        <v>272.83</v>
      </c>
    </row>
    <row r="2339" spans="1:7" ht="12.75" customHeight="1">
      <c r="A2339" s="3">
        <v>36359</v>
      </c>
      <c r="B2339" s="4" t="s">
        <v>2357</v>
      </c>
      <c r="C2339" s="3" t="s">
        <v>6</v>
      </c>
      <c r="D2339" s="5">
        <f t="shared" si="72"/>
        <v>1.7</v>
      </c>
      <c r="E2339">
        <v>1.87</v>
      </c>
      <c r="F2339" s="1789">
        <v>8.8999999999999996E-2</v>
      </c>
      <c r="G2339">
        <f t="shared" si="73"/>
        <v>1.7</v>
      </c>
    </row>
    <row r="2340" spans="1:7" ht="12.75" customHeight="1">
      <c r="A2340" s="3">
        <v>36360</v>
      </c>
      <c r="B2340" s="4" t="s">
        <v>2358</v>
      </c>
      <c r="C2340" s="3" t="s">
        <v>6</v>
      </c>
      <c r="D2340" s="5">
        <f t="shared" si="72"/>
        <v>2.2799999999999998</v>
      </c>
      <c r="E2340">
        <v>2.5099999999999998</v>
      </c>
      <c r="F2340" s="1789">
        <v>8.8999999999999996E-2</v>
      </c>
      <c r="G2340">
        <f t="shared" si="73"/>
        <v>2.2799999999999998</v>
      </c>
    </row>
    <row r="2341" spans="1:7" ht="12.75" customHeight="1">
      <c r="A2341" s="3">
        <v>38434</v>
      </c>
      <c r="B2341" s="4" t="s">
        <v>2359</v>
      </c>
      <c r="C2341" s="3" t="s">
        <v>6</v>
      </c>
      <c r="D2341" s="5">
        <f t="shared" si="72"/>
        <v>3.48</v>
      </c>
      <c r="E2341">
        <v>3.83</v>
      </c>
      <c r="F2341" s="1789">
        <v>8.8999999999999996E-2</v>
      </c>
      <c r="G2341">
        <f t="shared" si="73"/>
        <v>3.48</v>
      </c>
    </row>
    <row r="2342" spans="1:7" ht="12.75" customHeight="1">
      <c r="A2342" s="3">
        <v>38435</v>
      </c>
      <c r="B2342" s="4" t="s">
        <v>2360</v>
      </c>
      <c r="C2342" s="3" t="s">
        <v>6</v>
      </c>
      <c r="D2342" s="5">
        <f t="shared" si="72"/>
        <v>7.84</v>
      </c>
      <c r="E2342">
        <v>8.61</v>
      </c>
      <c r="F2342" s="1789">
        <v>8.8999999999999996E-2</v>
      </c>
      <c r="G2342">
        <f t="shared" si="73"/>
        <v>7.84</v>
      </c>
    </row>
    <row r="2343" spans="1:7" ht="12.75" customHeight="1">
      <c r="A2343" s="3">
        <v>38436</v>
      </c>
      <c r="B2343" s="4" t="s">
        <v>2361</v>
      </c>
      <c r="C2343" s="3" t="s">
        <v>6</v>
      </c>
      <c r="D2343" s="5">
        <f t="shared" si="72"/>
        <v>13</v>
      </c>
      <c r="E2343">
        <v>14.28</v>
      </c>
      <c r="F2343" s="1789">
        <v>8.8999999999999996E-2</v>
      </c>
      <c r="G2343">
        <f t="shared" si="73"/>
        <v>13</v>
      </c>
    </row>
    <row r="2344" spans="1:7" ht="12.75" customHeight="1">
      <c r="A2344" s="3">
        <v>38437</v>
      </c>
      <c r="B2344" s="4" t="s">
        <v>2362</v>
      </c>
      <c r="C2344" s="3" t="s">
        <v>6</v>
      </c>
      <c r="D2344" s="5">
        <f t="shared" si="72"/>
        <v>21.09</v>
      </c>
      <c r="E2344">
        <v>23.16</v>
      </c>
      <c r="F2344" s="1789">
        <v>8.8999999999999996E-2</v>
      </c>
      <c r="G2344">
        <f t="shared" si="73"/>
        <v>21.09</v>
      </c>
    </row>
    <row r="2345" spans="1:7" ht="12.75" customHeight="1">
      <c r="A2345" s="3">
        <v>38438</v>
      </c>
      <c r="B2345" s="4" t="s">
        <v>2363</v>
      </c>
      <c r="C2345" s="3" t="s">
        <v>6</v>
      </c>
      <c r="D2345" s="5">
        <f t="shared" si="72"/>
        <v>61.21</v>
      </c>
      <c r="E2345">
        <v>67.19</v>
      </c>
      <c r="F2345" s="1789">
        <v>8.8999999999999996E-2</v>
      </c>
      <c r="G2345">
        <f t="shared" si="73"/>
        <v>61.21</v>
      </c>
    </row>
    <row r="2346" spans="1:7" ht="12.75" customHeight="1">
      <c r="A2346" s="3">
        <v>38439</v>
      </c>
      <c r="B2346" s="4" t="s">
        <v>2364</v>
      </c>
      <c r="C2346" s="3" t="s">
        <v>6</v>
      </c>
      <c r="D2346" s="5">
        <f t="shared" si="72"/>
        <v>77.77</v>
      </c>
      <c r="E2346">
        <v>85.37</v>
      </c>
      <c r="F2346" s="1789">
        <v>8.8999999999999996E-2</v>
      </c>
      <c r="G2346">
        <f t="shared" si="73"/>
        <v>77.77</v>
      </c>
    </row>
    <row r="2347" spans="1:7" ht="12.75" customHeight="1">
      <c r="A2347" s="3">
        <v>10836</v>
      </c>
      <c r="B2347" s="4" t="s">
        <v>2365</v>
      </c>
      <c r="C2347" s="3" t="s">
        <v>6</v>
      </c>
      <c r="D2347" s="5">
        <f t="shared" si="72"/>
        <v>17.190000000000001</v>
      </c>
      <c r="E2347">
        <v>18.88</v>
      </c>
      <c r="F2347" s="1789">
        <v>8.8999999999999996E-2</v>
      </c>
      <c r="G2347">
        <f t="shared" si="73"/>
        <v>17.190000000000001</v>
      </c>
    </row>
    <row r="2348" spans="1:7" ht="12.75" customHeight="1">
      <c r="A2348" s="3">
        <v>10835</v>
      </c>
      <c r="B2348" s="4" t="s">
        <v>2366</v>
      </c>
      <c r="C2348" s="3" t="s">
        <v>6</v>
      </c>
      <c r="D2348" s="5">
        <f t="shared" si="72"/>
        <v>4.8</v>
      </c>
      <c r="E2348">
        <v>5.27</v>
      </c>
      <c r="F2348" s="1789">
        <v>8.8999999999999996E-2</v>
      </c>
      <c r="G2348">
        <f t="shared" si="73"/>
        <v>4.8</v>
      </c>
    </row>
    <row r="2349" spans="1:7" ht="12.75" customHeight="1">
      <c r="A2349" s="3">
        <v>3475</v>
      </c>
      <c r="B2349" s="4" t="s">
        <v>2367</v>
      </c>
      <c r="C2349" s="3" t="s">
        <v>6</v>
      </c>
      <c r="D2349" s="5">
        <f t="shared" si="72"/>
        <v>3.75</v>
      </c>
      <c r="E2349">
        <v>4.12</v>
      </c>
      <c r="F2349" s="1789">
        <v>8.8999999999999996E-2</v>
      </c>
      <c r="G2349">
        <f t="shared" si="73"/>
        <v>3.75</v>
      </c>
    </row>
    <row r="2350" spans="1:7" ht="12.75" customHeight="1">
      <c r="A2350" s="3">
        <v>3485</v>
      </c>
      <c r="B2350" s="4" t="s">
        <v>2368</v>
      </c>
      <c r="C2350" s="3" t="s">
        <v>6</v>
      </c>
      <c r="D2350" s="5">
        <f t="shared" si="72"/>
        <v>10.37</v>
      </c>
      <c r="E2350">
        <v>11.39</v>
      </c>
      <c r="F2350" s="1789">
        <v>8.8999999999999996E-2</v>
      </c>
      <c r="G2350">
        <f t="shared" si="73"/>
        <v>10.37</v>
      </c>
    </row>
    <row r="2351" spans="1:7" ht="12.75" customHeight="1">
      <c r="A2351" s="3">
        <v>3534</v>
      </c>
      <c r="B2351" s="4" t="s">
        <v>2369</v>
      </c>
      <c r="C2351" s="3" t="s">
        <v>6</v>
      </c>
      <c r="D2351" s="5">
        <f t="shared" si="72"/>
        <v>5.94</v>
      </c>
      <c r="E2351">
        <v>6.53</v>
      </c>
      <c r="F2351" s="1789">
        <v>8.8999999999999996E-2</v>
      </c>
      <c r="G2351">
        <f t="shared" si="73"/>
        <v>5.94</v>
      </c>
    </row>
    <row r="2352" spans="1:7" ht="12.75" customHeight="1">
      <c r="A2352" s="3">
        <v>3543</v>
      </c>
      <c r="B2352" s="4" t="s">
        <v>2370</v>
      </c>
      <c r="C2352" s="3" t="s">
        <v>6</v>
      </c>
      <c r="D2352" s="5">
        <f t="shared" si="72"/>
        <v>1.37</v>
      </c>
      <c r="E2352">
        <v>1.51</v>
      </c>
      <c r="F2352" s="1789">
        <v>8.8999999999999996E-2</v>
      </c>
      <c r="G2352">
        <f t="shared" si="73"/>
        <v>1.37</v>
      </c>
    </row>
    <row r="2353" spans="1:7" ht="12.75" customHeight="1">
      <c r="A2353" s="3">
        <v>3482</v>
      </c>
      <c r="B2353" s="4" t="s">
        <v>2371</v>
      </c>
      <c r="C2353" s="3" t="s">
        <v>6</v>
      </c>
      <c r="D2353" s="5">
        <f t="shared" si="72"/>
        <v>4.25</v>
      </c>
      <c r="E2353">
        <v>4.67</v>
      </c>
      <c r="F2353" s="1789">
        <v>8.8999999999999996E-2</v>
      </c>
      <c r="G2353">
        <f t="shared" si="73"/>
        <v>4.25</v>
      </c>
    </row>
    <row r="2354" spans="1:7" ht="12.75" customHeight="1">
      <c r="A2354" s="3">
        <v>3505</v>
      </c>
      <c r="B2354" s="4" t="s">
        <v>2372</v>
      </c>
      <c r="C2354" s="3" t="s">
        <v>6</v>
      </c>
      <c r="D2354" s="5">
        <f t="shared" si="72"/>
        <v>2.04</v>
      </c>
      <c r="E2354">
        <v>2.25</v>
      </c>
      <c r="F2354" s="1789">
        <v>8.8999999999999996E-2</v>
      </c>
      <c r="G2354">
        <f t="shared" si="73"/>
        <v>2.04</v>
      </c>
    </row>
    <row r="2355" spans="1:7" ht="12.75" customHeight="1">
      <c r="A2355" s="3">
        <v>3521</v>
      </c>
      <c r="B2355" s="4" t="s">
        <v>2373</v>
      </c>
      <c r="C2355" s="3" t="s">
        <v>6</v>
      </c>
      <c r="D2355" s="5">
        <f t="shared" si="72"/>
        <v>1.54</v>
      </c>
      <c r="E2355">
        <v>1.7</v>
      </c>
      <c r="F2355" s="1789">
        <v>8.8999999999999996E-2</v>
      </c>
      <c r="G2355">
        <f t="shared" si="73"/>
        <v>1.54</v>
      </c>
    </row>
    <row r="2356" spans="1:7" ht="12.75" customHeight="1">
      <c r="A2356" s="3">
        <v>3531</v>
      </c>
      <c r="B2356" s="4" t="s">
        <v>2374</v>
      </c>
      <c r="C2356" s="3" t="s">
        <v>6</v>
      </c>
      <c r="D2356" s="5">
        <f t="shared" si="72"/>
        <v>2.95</v>
      </c>
      <c r="E2356">
        <v>3.24</v>
      </c>
      <c r="F2356" s="1789">
        <v>8.8999999999999996E-2</v>
      </c>
      <c r="G2356">
        <f t="shared" si="73"/>
        <v>2.95</v>
      </c>
    </row>
    <row r="2357" spans="1:7" ht="12.75" customHeight="1">
      <c r="A2357" s="3">
        <v>3522</v>
      </c>
      <c r="B2357" s="4" t="s">
        <v>2375</v>
      </c>
      <c r="C2357" s="3" t="s">
        <v>6</v>
      </c>
      <c r="D2357" s="5">
        <f t="shared" si="72"/>
        <v>1.9</v>
      </c>
      <c r="E2357">
        <v>2.09</v>
      </c>
      <c r="F2357" s="1789">
        <v>8.8999999999999996E-2</v>
      </c>
      <c r="G2357">
        <f t="shared" si="73"/>
        <v>1.9</v>
      </c>
    </row>
    <row r="2358" spans="1:7" ht="12.75" customHeight="1">
      <c r="A2358" s="3">
        <v>3527</v>
      </c>
      <c r="B2358" s="4" t="s">
        <v>2376</v>
      </c>
      <c r="C2358" s="3" t="s">
        <v>6</v>
      </c>
      <c r="D2358" s="5">
        <f t="shared" si="72"/>
        <v>10</v>
      </c>
      <c r="E2358">
        <v>10.98</v>
      </c>
      <c r="F2358" s="1789">
        <v>8.8999999999999996E-2</v>
      </c>
      <c r="G2358">
        <f t="shared" si="73"/>
        <v>10</v>
      </c>
    </row>
    <row r="2359" spans="1:7" ht="12.75" customHeight="1">
      <c r="A2359" s="3">
        <v>3516</v>
      </c>
      <c r="B2359" s="4" t="s">
        <v>2377</v>
      </c>
      <c r="C2359" s="3" t="s">
        <v>6</v>
      </c>
      <c r="D2359" s="5">
        <f t="shared" si="72"/>
        <v>1.98</v>
      </c>
      <c r="E2359">
        <v>2.1800000000000002</v>
      </c>
      <c r="F2359" s="1789">
        <v>8.8999999999999996E-2</v>
      </c>
      <c r="G2359">
        <f t="shared" si="73"/>
        <v>1.98</v>
      </c>
    </row>
    <row r="2360" spans="1:7" ht="12.75" customHeight="1">
      <c r="A2360" s="3">
        <v>3517</v>
      </c>
      <c r="B2360" s="4" t="s">
        <v>2378</v>
      </c>
      <c r="C2360" s="3" t="s">
        <v>6</v>
      </c>
      <c r="D2360" s="5">
        <f t="shared" si="72"/>
        <v>1.78</v>
      </c>
      <c r="E2360">
        <v>1.96</v>
      </c>
      <c r="F2360" s="1789">
        <v>8.8999999999999996E-2</v>
      </c>
      <c r="G2360">
        <f t="shared" si="73"/>
        <v>1.78</v>
      </c>
    </row>
    <row r="2361" spans="1:7" ht="12.75" customHeight="1">
      <c r="A2361" s="3">
        <v>3515</v>
      </c>
      <c r="B2361" s="4" t="s">
        <v>2379</v>
      </c>
      <c r="C2361" s="3" t="s">
        <v>6</v>
      </c>
      <c r="D2361" s="5">
        <f t="shared" si="72"/>
        <v>5.0999999999999996</v>
      </c>
      <c r="E2361">
        <v>5.6</v>
      </c>
      <c r="F2361" s="1789">
        <v>8.8999999999999996E-2</v>
      </c>
      <c r="G2361">
        <f t="shared" si="73"/>
        <v>5.0999999999999996</v>
      </c>
    </row>
    <row r="2362" spans="1:7" ht="12.75" customHeight="1">
      <c r="A2362" s="3">
        <v>20147</v>
      </c>
      <c r="B2362" s="4" t="s">
        <v>2380</v>
      </c>
      <c r="C2362" s="3" t="s">
        <v>6</v>
      </c>
      <c r="D2362" s="5">
        <f t="shared" si="72"/>
        <v>4.1900000000000004</v>
      </c>
      <c r="E2362">
        <v>4.5999999999999996</v>
      </c>
      <c r="F2362" s="1789">
        <v>8.8999999999999996E-2</v>
      </c>
      <c r="G2362">
        <f t="shared" si="73"/>
        <v>4.1900000000000004</v>
      </c>
    </row>
    <row r="2363" spans="1:7" ht="12.75" customHeight="1">
      <c r="A2363" s="3">
        <v>3524</v>
      </c>
      <c r="B2363" s="4" t="s">
        <v>2381</v>
      </c>
      <c r="C2363" s="3" t="s">
        <v>6</v>
      </c>
      <c r="D2363" s="5">
        <f t="shared" si="72"/>
        <v>6.31</v>
      </c>
      <c r="E2363">
        <v>6.93</v>
      </c>
      <c r="F2363" s="1789">
        <v>8.8999999999999996E-2</v>
      </c>
      <c r="G2363">
        <f t="shared" si="73"/>
        <v>6.31</v>
      </c>
    </row>
    <row r="2364" spans="1:7" ht="12.75" customHeight="1">
      <c r="A2364" s="3">
        <v>3532</v>
      </c>
      <c r="B2364" s="4" t="s">
        <v>2382</v>
      </c>
      <c r="C2364" s="3" t="s">
        <v>6</v>
      </c>
      <c r="D2364" s="5">
        <f t="shared" si="72"/>
        <v>14.58</v>
      </c>
      <c r="E2364">
        <v>16.010000000000002</v>
      </c>
      <c r="F2364" s="1789">
        <v>8.8999999999999996E-2</v>
      </c>
      <c r="G2364">
        <f t="shared" si="73"/>
        <v>14.58</v>
      </c>
    </row>
    <row r="2365" spans="1:7" ht="12.75" customHeight="1">
      <c r="A2365" s="3">
        <v>3528</v>
      </c>
      <c r="B2365" s="4" t="s">
        <v>2383</v>
      </c>
      <c r="C2365" s="3" t="s">
        <v>6</v>
      </c>
      <c r="D2365" s="5">
        <f t="shared" si="72"/>
        <v>7.74</v>
      </c>
      <c r="E2365">
        <v>8.5</v>
      </c>
      <c r="F2365" s="1789">
        <v>8.8999999999999996E-2</v>
      </c>
      <c r="G2365">
        <f t="shared" si="73"/>
        <v>7.74</v>
      </c>
    </row>
    <row r="2366" spans="1:7" ht="12.75" customHeight="1">
      <c r="A2366" s="3">
        <v>37952</v>
      </c>
      <c r="B2366" s="4" t="s">
        <v>2384</v>
      </c>
      <c r="C2366" s="3" t="s">
        <v>6</v>
      </c>
      <c r="D2366" s="5">
        <f t="shared" si="72"/>
        <v>55.5</v>
      </c>
      <c r="E2366">
        <v>60.93</v>
      </c>
      <c r="F2366" s="1789">
        <v>8.8999999999999996E-2</v>
      </c>
      <c r="G2366">
        <f t="shared" si="73"/>
        <v>55.5</v>
      </c>
    </row>
    <row r="2367" spans="1:7" ht="12.75" customHeight="1">
      <c r="A2367" s="3">
        <v>37951</v>
      </c>
      <c r="B2367" s="4" t="s">
        <v>2385</v>
      </c>
      <c r="C2367" s="3" t="s">
        <v>6</v>
      </c>
      <c r="D2367" s="5">
        <f t="shared" si="72"/>
        <v>2.08</v>
      </c>
      <c r="E2367">
        <v>2.29</v>
      </c>
      <c r="F2367" s="1789">
        <v>8.8999999999999996E-2</v>
      </c>
      <c r="G2367">
        <f t="shared" si="73"/>
        <v>2.08</v>
      </c>
    </row>
    <row r="2368" spans="1:7" ht="12.75" customHeight="1">
      <c r="A2368" s="3">
        <v>3518</v>
      </c>
      <c r="B2368" s="4" t="s">
        <v>2386</v>
      </c>
      <c r="C2368" s="3" t="s">
        <v>6</v>
      </c>
      <c r="D2368" s="5">
        <f t="shared" si="72"/>
        <v>3.2</v>
      </c>
      <c r="E2368">
        <v>3.52</v>
      </c>
      <c r="F2368" s="1789">
        <v>8.8999999999999996E-2</v>
      </c>
      <c r="G2368">
        <f t="shared" si="73"/>
        <v>3.2</v>
      </c>
    </row>
    <row r="2369" spans="1:7" ht="12.75" customHeight="1">
      <c r="A2369" s="3">
        <v>3519</v>
      </c>
      <c r="B2369" s="4" t="s">
        <v>2387</v>
      </c>
      <c r="C2369" s="3" t="s">
        <v>6</v>
      </c>
      <c r="D2369" s="5">
        <f t="shared" si="72"/>
        <v>6.71</v>
      </c>
      <c r="E2369">
        <v>7.37</v>
      </c>
      <c r="F2369" s="1789">
        <v>8.8999999999999996E-2</v>
      </c>
      <c r="G2369">
        <f t="shared" si="73"/>
        <v>6.71</v>
      </c>
    </row>
    <row r="2370" spans="1:7" ht="12.75" customHeight="1">
      <c r="A2370" s="3">
        <v>3520</v>
      </c>
      <c r="B2370" s="4" t="s">
        <v>2388</v>
      </c>
      <c r="C2370" s="3" t="s">
        <v>6</v>
      </c>
      <c r="D2370" s="5">
        <f t="shared" si="72"/>
        <v>7.04</v>
      </c>
      <c r="E2370">
        <v>7.73</v>
      </c>
      <c r="F2370" s="1789">
        <v>8.8999999999999996E-2</v>
      </c>
      <c r="G2370">
        <f t="shared" si="73"/>
        <v>7.04</v>
      </c>
    </row>
    <row r="2371" spans="1:7" ht="12.75" customHeight="1">
      <c r="A2371" s="3">
        <v>37950</v>
      </c>
      <c r="B2371" s="4" t="s">
        <v>2389</v>
      </c>
      <c r="C2371" s="3" t="s">
        <v>6</v>
      </c>
      <c r="D2371" s="5">
        <f t="shared" ref="D2371:D2434" si="74">G2371</f>
        <v>51.09</v>
      </c>
      <c r="E2371">
        <v>56.09</v>
      </c>
      <c r="F2371" s="1789">
        <v>8.8999999999999996E-2</v>
      </c>
      <c r="G2371">
        <f t="shared" ref="G2371:G2434" si="75">TRUNC((1-F2371)*E2371,2)</f>
        <v>51.09</v>
      </c>
    </row>
    <row r="2372" spans="1:7" ht="12.75" customHeight="1">
      <c r="A2372" s="3">
        <v>37949</v>
      </c>
      <c r="B2372" s="4" t="s">
        <v>2390</v>
      </c>
      <c r="C2372" s="3" t="s">
        <v>6</v>
      </c>
      <c r="D2372" s="5">
        <f t="shared" si="74"/>
        <v>1.88</v>
      </c>
      <c r="E2372">
        <v>2.0699999999999998</v>
      </c>
      <c r="F2372" s="1789">
        <v>8.8999999999999996E-2</v>
      </c>
      <c r="G2372">
        <f t="shared" si="75"/>
        <v>1.88</v>
      </c>
    </row>
    <row r="2373" spans="1:7" ht="12.75" customHeight="1">
      <c r="A2373" s="3">
        <v>3526</v>
      </c>
      <c r="B2373" s="4" t="s">
        <v>2391</v>
      </c>
      <c r="C2373" s="3" t="s">
        <v>6</v>
      </c>
      <c r="D2373" s="5">
        <f t="shared" si="74"/>
        <v>2.58</v>
      </c>
      <c r="E2373">
        <v>2.84</v>
      </c>
      <c r="F2373" s="1789">
        <v>8.8999999999999996E-2</v>
      </c>
      <c r="G2373">
        <f t="shared" si="75"/>
        <v>2.58</v>
      </c>
    </row>
    <row r="2374" spans="1:7" ht="12.75" customHeight="1">
      <c r="A2374" s="3">
        <v>3509</v>
      </c>
      <c r="B2374" s="4" t="s">
        <v>2392</v>
      </c>
      <c r="C2374" s="3" t="s">
        <v>6</v>
      </c>
      <c r="D2374" s="5">
        <f t="shared" si="74"/>
        <v>5.89</v>
      </c>
      <c r="E2374">
        <v>6.47</v>
      </c>
      <c r="F2374" s="1789">
        <v>8.8999999999999996E-2</v>
      </c>
      <c r="G2374">
        <f t="shared" si="75"/>
        <v>5.89</v>
      </c>
    </row>
    <row r="2375" spans="1:7" ht="12.75" customHeight="1">
      <c r="A2375" s="3">
        <v>3530</v>
      </c>
      <c r="B2375" s="4" t="s">
        <v>2393</v>
      </c>
      <c r="C2375" s="3" t="s">
        <v>6</v>
      </c>
      <c r="D2375" s="5">
        <f t="shared" si="74"/>
        <v>161.94999999999999</v>
      </c>
      <c r="E2375">
        <v>177.78</v>
      </c>
      <c r="F2375" s="1789">
        <v>8.8999999999999996E-2</v>
      </c>
      <c r="G2375">
        <f t="shared" si="75"/>
        <v>161.94999999999999</v>
      </c>
    </row>
    <row r="2376" spans="1:7" ht="12.75" customHeight="1">
      <c r="A2376" s="3">
        <v>3542</v>
      </c>
      <c r="B2376" s="4" t="s">
        <v>2394</v>
      </c>
      <c r="C2376" s="3" t="s">
        <v>6</v>
      </c>
      <c r="D2376" s="5">
        <f t="shared" si="74"/>
        <v>0.46</v>
      </c>
      <c r="E2376">
        <v>0.51</v>
      </c>
      <c r="F2376" s="1789">
        <v>8.8999999999999996E-2</v>
      </c>
      <c r="G2376">
        <f t="shared" si="75"/>
        <v>0.46</v>
      </c>
    </row>
    <row r="2377" spans="1:7" ht="12.75" customHeight="1">
      <c r="A2377" s="3">
        <v>3529</v>
      </c>
      <c r="B2377" s="4" t="s">
        <v>2395</v>
      </c>
      <c r="C2377" s="3" t="s">
        <v>6</v>
      </c>
      <c r="D2377" s="5">
        <f t="shared" si="74"/>
        <v>0.56000000000000005</v>
      </c>
      <c r="E2377">
        <v>0.62</v>
      </c>
      <c r="F2377" s="1789">
        <v>8.8999999999999996E-2</v>
      </c>
      <c r="G2377">
        <f t="shared" si="75"/>
        <v>0.56000000000000005</v>
      </c>
    </row>
    <row r="2378" spans="1:7" ht="12.75" customHeight="1">
      <c r="A2378" s="3">
        <v>3536</v>
      </c>
      <c r="B2378" s="4" t="s">
        <v>2396</v>
      </c>
      <c r="C2378" s="3" t="s">
        <v>6</v>
      </c>
      <c r="D2378" s="5">
        <f t="shared" si="74"/>
        <v>1.89</v>
      </c>
      <c r="E2378">
        <v>2.08</v>
      </c>
      <c r="F2378" s="1789">
        <v>8.8999999999999996E-2</v>
      </c>
      <c r="G2378">
        <f t="shared" si="75"/>
        <v>1.89</v>
      </c>
    </row>
    <row r="2379" spans="1:7" ht="12.75" customHeight="1">
      <c r="A2379" s="3">
        <v>3535</v>
      </c>
      <c r="B2379" s="4" t="s">
        <v>2397</v>
      </c>
      <c r="C2379" s="3" t="s">
        <v>6</v>
      </c>
      <c r="D2379" s="5">
        <f t="shared" si="74"/>
        <v>4.6100000000000003</v>
      </c>
      <c r="E2379">
        <v>5.07</v>
      </c>
      <c r="F2379" s="1789">
        <v>8.8999999999999996E-2</v>
      </c>
      <c r="G2379">
        <f t="shared" si="75"/>
        <v>4.6100000000000003</v>
      </c>
    </row>
    <row r="2380" spans="1:7" ht="12.75" customHeight="1">
      <c r="A2380" s="3">
        <v>3540</v>
      </c>
      <c r="B2380" s="4" t="s">
        <v>2398</v>
      </c>
      <c r="C2380" s="3" t="s">
        <v>6</v>
      </c>
      <c r="D2380" s="5">
        <f t="shared" si="74"/>
        <v>3.9</v>
      </c>
      <c r="E2380">
        <v>4.29</v>
      </c>
      <c r="F2380" s="1789">
        <v>8.8999999999999996E-2</v>
      </c>
      <c r="G2380">
        <f t="shared" si="75"/>
        <v>3.9</v>
      </c>
    </row>
    <row r="2381" spans="1:7" ht="12.75" customHeight="1">
      <c r="A2381" s="3">
        <v>3539</v>
      </c>
      <c r="B2381" s="4" t="s">
        <v>2399</v>
      </c>
      <c r="C2381" s="3" t="s">
        <v>6</v>
      </c>
      <c r="D2381" s="5">
        <f t="shared" si="74"/>
        <v>22.66</v>
      </c>
      <c r="E2381">
        <v>24.88</v>
      </c>
      <c r="F2381" s="1789">
        <v>8.8999999999999996E-2</v>
      </c>
      <c r="G2381">
        <f t="shared" si="75"/>
        <v>22.66</v>
      </c>
    </row>
    <row r="2382" spans="1:7" ht="12.75" customHeight="1">
      <c r="A2382" s="3">
        <v>3513</v>
      </c>
      <c r="B2382" s="4" t="s">
        <v>2400</v>
      </c>
      <c r="C2382" s="3" t="s">
        <v>6</v>
      </c>
      <c r="D2382" s="5">
        <f t="shared" si="74"/>
        <v>79.930000000000007</v>
      </c>
      <c r="E2382">
        <v>87.74</v>
      </c>
      <c r="F2382" s="1789">
        <v>8.8999999999999996E-2</v>
      </c>
      <c r="G2382">
        <f t="shared" si="75"/>
        <v>79.930000000000007</v>
      </c>
    </row>
    <row r="2383" spans="1:7" ht="12.75" customHeight="1">
      <c r="A2383" s="3">
        <v>3510</v>
      </c>
      <c r="B2383" s="4" t="s">
        <v>2401</v>
      </c>
      <c r="C2383" s="3" t="s">
        <v>6</v>
      </c>
      <c r="D2383" s="5">
        <f t="shared" si="74"/>
        <v>9.86</v>
      </c>
      <c r="E2383">
        <v>10.83</v>
      </c>
      <c r="F2383" s="1789">
        <v>8.8999999999999996E-2</v>
      </c>
      <c r="G2383">
        <f t="shared" si="75"/>
        <v>9.86</v>
      </c>
    </row>
    <row r="2384" spans="1:7" ht="12.75" customHeight="1">
      <c r="A2384" s="3">
        <v>38913</v>
      </c>
      <c r="B2384" s="4" t="s">
        <v>2402</v>
      </c>
      <c r="C2384" s="3" t="s">
        <v>6</v>
      </c>
      <c r="D2384" s="5">
        <f t="shared" si="74"/>
        <v>9.41</v>
      </c>
      <c r="E2384">
        <v>10.33</v>
      </c>
      <c r="F2384" s="1789">
        <v>8.8999999999999996E-2</v>
      </c>
      <c r="G2384">
        <f t="shared" si="75"/>
        <v>9.41</v>
      </c>
    </row>
    <row r="2385" spans="1:7" ht="12.75" customHeight="1">
      <c r="A2385" s="3">
        <v>38914</v>
      </c>
      <c r="B2385" s="4" t="s">
        <v>2403</v>
      </c>
      <c r="C2385" s="3" t="s">
        <v>6</v>
      </c>
      <c r="D2385" s="5">
        <f t="shared" si="74"/>
        <v>11.56</v>
      </c>
      <c r="E2385">
        <v>12.69</v>
      </c>
      <c r="F2385" s="1789">
        <v>8.8999999999999996E-2</v>
      </c>
      <c r="G2385">
        <f t="shared" si="75"/>
        <v>11.56</v>
      </c>
    </row>
    <row r="2386" spans="1:7" ht="12.75" customHeight="1">
      <c r="A2386" s="3">
        <v>38915</v>
      </c>
      <c r="B2386" s="4" t="s">
        <v>2404</v>
      </c>
      <c r="C2386" s="3" t="s">
        <v>6</v>
      </c>
      <c r="D2386" s="5">
        <f t="shared" si="74"/>
        <v>22.27</v>
      </c>
      <c r="E2386">
        <v>24.45</v>
      </c>
      <c r="F2386" s="1789">
        <v>8.8999999999999996E-2</v>
      </c>
      <c r="G2386">
        <f t="shared" si="75"/>
        <v>22.27</v>
      </c>
    </row>
    <row r="2387" spans="1:7" ht="12.75" customHeight="1">
      <c r="A2387" s="3">
        <v>38916</v>
      </c>
      <c r="B2387" s="4" t="s">
        <v>2405</v>
      </c>
      <c r="C2387" s="3" t="s">
        <v>6</v>
      </c>
      <c r="D2387" s="5">
        <f t="shared" si="74"/>
        <v>30.82</v>
      </c>
      <c r="E2387">
        <v>33.840000000000003</v>
      </c>
      <c r="F2387" s="1789">
        <v>8.8999999999999996E-2</v>
      </c>
      <c r="G2387">
        <f t="shared" si="75"/>
        <v>30.82</v>
      </c>
    </row>
    <row r="2388" spans="1:7" ht="12.75" customHeight="1">
      <c r="A2388" s="3">
        <v>39300</v>
      </c>
      <c r="B2388" s="4" t="s">
        <v>2406</v>
      </c>
      <c r="C2388" s="3" t="s">
        <v>6</v>
      </c>
      <c r="D2388" s="5">
        <f t="shared" si="74"/>
        <v>8.39</v>
      </c>
      <c r="E2388">
        <v>9.2200000000000006</v>
      </c>
      <c r="F2388" s="1789">
        <v>8.8999999999999996E-2</v>
      </c>
      <c r="G2388">
        <f t="shared" si="75"/>
        <v>8.39</v>
      </c>
    </row>
    <row r="2389" spans="1:7" ht="12.75" customHeight="1">
      <c r="A2389" s="3">
        <v>39301</v>
      </c>
      <c r="B2389" s="4" t="s">
        <v>2407</v>
      </c>
      <c r="C2389" s="3" t="s">
        <v>6</v>
      </c>
      <c r="D2389" s="5">
        <f t="shared" si="74"/>
        <v>11.25</v>
      </c>
      <c r="E2389">
        <v>12.35</v>
      </c>
      <c r="F2389" s="1789">
        <v>8.8999999999999996E-2</v>
      </c>
      <c r="G2389">
        <f t="shared" si="75"/>
        <v>11.25</v>
      </c>
    </row>
    <row r="2390" spans="1:7" ht="12.75" customHeight="1">
      <c r="A2390" s="3">
        <v>39302</v>
      </c>
      <c r="B2390" s="4" t="s">
        <v>2408</v>
      </c>
      <c r="C2390" s="3" t="s">
        <v>6</v>
      </c>
      <c r="D2390" s="5">
        <f t="shared" si="74"/>
        <v>20.45</v>
      </c>
      <c r="E2390">
        <v>22.45</v>
      </c>
      <c r="F2390" s="1789">
        <v>8.8999999999999996E-2</v>
      </c>
      <c r="G2390">
        <f t="shared" si="75"/>
        <v>20.45</v>
      </c>
    </row>
    <row r="2391" spans="1:7" ht="12.75" customHeight="1">
      <c r="A2391" s="3">
        <v>38941</v>
      </c>
      <c r="B2391" s="4" t="s">
        <v>2409</v>
      </c>
      <c r="C2391" s="3" t="s">
        <v>6</v>
      </c>
      <c r="D2391" s="5">
        <f t="shared" si="74"/>
        <v>15.18</v>
      </c>
      <c r="E2391">
        <v>16.670000000000002</v>
      </c>
      <c r="F2391" s="1789">
        <v>8.8999999999999996E-2</v>
      </c>
      <c r="G2391">
        <f t="shared" si="75"/>
        <v>15.18</v>
      </c>
    </row>
    <row r="2392" spans="1:7" ht="12.75" customHeight="1">
      <c r="A2392" s="3">
        <v>38923</v>
      </c>
      <c r="B2392" s="4" t="s">
        <v>2410</v>
      </c>
      <c r="C2392" s="3" t="s">
        <v>6</v>
      </c>
      <c r="D2392" s="5">
        <f t="shared" si="74"/>
        <v>10.07</v>
      </c>
      <c r="E2392">
        <v>11.06</v>
      </c>
      <c r="F2392" s="1789">
        <v>8.8999999999999996E-2</v>
      </c>
      <c r="G2392">
        <f t="shared" si="75"/>
        <v>10.07</v>
      </c>
    </row>
    <row r="2393" spans="1:7" ht="12.75" customHeight="1">
      <c r="A2393" s="3">
        <v>38925</v>
      </c>
      <c r="B2393" s="4" t="s">
        <v>2411</v>
      </c>
      <c r="C2393" s="3" t="s">
        <v>6</v>
      </c>
      <c r="D2393" s="5">
        <f t="shared" si="74"/>
        <v>11.68</v>
      </c>
      <c r="E2393">
        <v>12.83</v>
      </c>
      <c r="F2393" s="1789">
        <v>8.8999999999999996E-2</v>
      </c>
      <c r="G2393">
        <f t="shared" si="75"/>
        <v>11.68</v>
      </c>
    </row>
    <row r="2394" spans="1:7" ht="12.75" customHeight="1">
      <c r="A2394" s="3">
        <v>38926</v>
      </c>
      <c r="B2394" s="4" t="s">
        <v>2412</v>
      </c>
      <c r="C2394" s="3" t="s">
        <v>6</v>
      </c>
      <c r="D2394" s="5">
        <f t="shared" si="74"/>
        <v>13.86</v>
      </c>
      <c r="E2394">
        <v>15.22</v>
      </c>
      <c r="F2394" s="1789">
        <v>8.8999999999999996E-2</v>
      </c>
      <c r="G2394">
        <f t="shared" si="75"/>
        <v>13.86</v>
      </c>
    </row>
    <row r="2395" spans="1:7" ht="12.75" customHeight="1">
      <c r="A2395" s="3">
        <v>38927</v>
      </c>
      <c r="B2395" s="4" t="s">
        <v>2413</v>
      </c>
      <c r="C2395" s="3" t="s">
        <v>6</v>
      </c>
      <c r="D2395" s="5">
        <f t="shared" si="74"/>
        <v>17.5</v>
      </c>
      <c r="E2395">
        <v>19.22</v>
      </c>
      <c r="F2395" s="1789">
        <v>8.8999999999999996E-2</v>
      </c>
      <c r="G2395">
        <f t="shared" si="75"/>
        <v>17.5</v>
      </c>
    </row>
    <row r="2396" spans="1:7" ht="12.75" customHeight="1">
      <c r="A2396" s="3">
        <v>39304</v>
      </c>
      <c r="B2396" s="4" t="s">
        <v>2414</v>
      </c>
      <c r="C2396" s="3" t="s">
        <v>6</v>
      </c>
      <c r="D2396" s="5">
        <f t="shared" si="74"/>
        <v>9.94</v>
      </c>
      <c r="E2396">
        <v>10.92</v>
      </c>
      <c r="F2396" s="1789">
        <v>8.8999999999999996E-2</v>
      </c>
      <c r="G2396">
        <f t="shared" si="75"/>
        <v>9.94</v>
      </c>
    </row>
    <row r="2397" spans="1:7" ht="12.75" customHeight="1">
      <c r="A2397" s="3">
        <v>39305</v>
      </c>
      <c r="B2397" s="4" t="s">
        <v>2415</v>
      </c>
      <c r="C2397" s="3" t="s">
        <v>6</v>
      </c>
      <c r="D2397" s="5">
        <f t="shared" si="74"/>
        <v>10.9</v>
      </c>
      <c r="E2397">
        <v>11.97</v>
      </c>
      <c r="F2397" s="1789">
        <v>8.8999999999999996E-2</v>
      </c>
      <c r="G2397">
        <f t="shared" si="75"/>
        <v>10.9</v>
      </c>
    </row>
    <row r="2398" spans="1:7" ht="12.75" customHeight="1">
      <c r="A2398" s="3">
        <v>39306</v>
      </c>
      <c r="B2398" s="4" t="s">
        <v>2416</v>
      </c>
      <c r="C2398" s="3" t="s">
        <v>6</v>
      </c>
      <c r="D2398" s="5">
        <f t="shared" si="74"/>
        <v>14.65</v>
      </c>
      <c r="E2398">
        <v>16.09</v>
      </c>
      <c r="F2398" s="1789">
        <v>8.8999999999999996E-2</v>
      </c>
      <c r="G2398">
        <f t="shared" si="75"/>
        <v>14.65</v>
      </c>
    </row>
    <row r="2399" spans="1:7" ht="12.75" customHeight="1">
      <c r="A2399" s="3">
        <v>38928</v>
      </c>
      <c r="B2399" s="4" t="s">
        <v>2417</v>
      </c>
      <c r="C2399" s="3" t="s">
        <v>6</v>
      </c>
      <c r="D2399" s="5">
        <f t="shared" si="74"/>
        <v>19.37</v>
      </c>
      <c r="E2399">
        <v>21.27</v>
      </c>
      <c r="F2399" s="1789">
        <v>8.8999999999999996E-2</v>
      </c>
      <c r="G2399">
        <f t="shared" si="75"/>
        <v>19.37</v>
      </c>
    </row>
    <row r="2400" spans="1:7" ht="12.75" customHeight="1">
      <c r="A2400" s="3">
        <v>38917</v>
      </c>
      <c r="B2400" s="4" t="s">
        <v>2418</v>
      </c>
      <c r="C2400" s="3" t="s">
        <v>6</v>
      </c>
      <c r="D2400" s="5">
        <f t="shared" si="74"/>
        <v>10.83</v>
      </c>
      <c r="E2400">
        <v>11.89</v>
      </c>
      <c r="F2400" s="1789">
        <v>8.8999999999999996E-2</v>
      </c>
      <c r="G2400">
        <f t="shared" si="75"/>
        <v>10.83</v>
      </c>
    </row>
    <row r="2401" spans="1:7" ht="12.75" customHeight="1">
      <c r="A2401" s="3">
        <v>38919</v>
      </c>
      <c r="B2401" s="4" t="s">
        <v>2419</v>
      </c>
      <c r="C2401" s="3" t="s">
        <v>6</v>
      </c>
      <c r="D2401" s="5">
        <f t="shared" si="74"/>
        <v>12.71</v>
      </c>
      <c r="E2401">
        <v>13.96</v>
      </c>
      <c r="F2401" s="1789">
        <v>8.8999999999999996E-2</v>
      </c>
      <c r="G2401">
        <f t="shared" si="75"/>
        <v>12.71</v>
      </c>
    </row>
    <row r="2402" spans="1:7" ht="12.75" customHeight="1">
      <c r="A2402" s="3">
        <v>38922</v>
      </c>
      <c r="B2402" s="4" t="s">
        <v>2420</v>
      </c>
      <c r="C2402" s="3" t="s">
        <v>6</v>
      </c>
      <c r="D2402" s="5">
        <f t="shared" si="74"/>
        <v>17.05</v>
      </c>
      <c r="E2402">
        <v>18.72</v>
      </c>
      <c r="F2402" s="1789">
        <v>8.8999999999999996E-2</v>
      </c>
      <c r="G2402">
        <f t="shared" si="75"/>
        <v>17.05</v>
      </c>
    </row>
    <row r="2403" spans="1:7" ht="12.75" customHeight="1">
      <c r="A2403" s="3">
        <v>20151</v>
      </c>
      <c r="B2403" s="4" t="s">
        <v>2421</v>
      </c>
      <c r="C2403" s="3" t="s">
        <v>6</v>
      </c>
      <c r="D2403" s="5">
        <f t="shared" si="74"/>
        <v>17.3</v>
      </c>
      <c r="E2403">
        <v>19</v>
      </c>
      <c r="F2403" s="1789">
        <v>8.8999999999999996E-2</v>
      </c>
      <c r="G2403">
        <f t="shared" si="75"/>
        <v>17.3</v>
      </c>
    </row>
    <row r="2404" spans="1:7" ht="12.75" customHeight="1">
      <c r="A2404" s="3">
        <v>20152</v>
      </c>
      <c r="B2404" s="4" t="s">
        <v>2422</v>
      </c>
      <c r="C2404" s="3" t="s">
        <v>6</v>
      </c>
      <c r="D2404" s="5">
        <f t="shared" si="74"/>
        <v>62.64</v>
      </c>
      <c r="E2404">
        <v>68.760000000000005</v>
      </c>
      <c r="F2404" s="1789">
        <v>8.8999999999999996E-2</v>
      </c>
      <c r="G2404">
        <f t="shared" si="75"/>
        <v>62.64</v>
      </c>
    </row>
    <row r="2405" spans="1:7" ht="12.75" customHeight="1">
      <c r="A2405" s="3">
        <v>20148</v>
      </c>
      <c r="B2405" s="4" t="s">
        <v>2423</v>
      </c>
      <c r="C2405" s="3" t="s">
        <v>6</v>
      </c>
      <c r="D2405" s="5">
        <f t="shared" si="74"/>
        <v>3.39</v>
      </c>
      <c r="E2405">
        <v>3.73</v>
      </c>
      <c r="F2405" s="1789">
        <v>8.8999999999999996E-2</v>
      </c>
      <c r="G2405">
        <f t="shared" si="75"/>
        <v>3.39</v>
      </c>
    </row>
    <row r="2406" spans="1:7" ht="12.75" customHeight="1">
      <c r="A2406" s="3">
        <v>20149</v>
      </c>
      <c r="B2406" s="4" t="s">
        <v>2424</v>
      </c>
      <c r="C2406" s="3" t="s">
        <v>6</v>
      </c>
      <c r="D2406" s="5">
        <f t="shared" si="74"/>
        <v>5.68</v>
      </c>
      <c r="E2406">
        <v>6.24</v>
      </c>
      <c r="F2406" s="1789">
        <v>8.8999999999999996E-2</v>
      </c>
      <c r="G2406">
        <f t="shared" si="75"/>
        <v>5.68</v>
      </c>
    </row>
    <row r="2407" spans="1:7" ht="12.75" customHeight="1">
      <c r="A2407" s="3">
        <v>20150</v>
      </c>
      <c r="B2407" s="4" t="s">
        <v>2425</v>
      </c>
      <c r="C2407" s="3" t="s">
        <v>6</v>
      </c>
      <c r="D2407" s="5">
        <f t="shared" si="74"/>
        <v>14.64</v>
      </c>
      <c r="E2407">
        <v>16.079999999999998</v>
      </c>
      <c r="F2407" s="1789">
        <v>8.8999999999999996E-2</v>
      </c>
      <c r="G2407">
        <f t="shared" si="75"/>
        <v>14.64</v>
      </c>
    </row>
    <row r="2408" spans="1:7" ht="12.75" customHeight="1">
      <c r="A2408" s="3">
        <v>20157</v>
      </c>
      <c r="B2408" s="4" t="s">
        <v>2426</v>
      </c>
      <c r="C2408" s="3" t="s">
        <v>6</v>
      </c>
      <c r="D2408" s="5">
        <f t="shared" si="74"/>
        <v>16.440000000000001</v>
      </c>
      <c r="E2408">
        <v>18.05</v>
      </c>
      <c r="F2408" s="1789">
        <v>8.8999999999999996E-2</v>
      </c>
      <c r="G2408">
        <f t="shared" si="75"/>
        <v>16.440000000000001</v>
      </c>
    </row>
    <row r="2409" spans="1:7" ht="12.75" customHeight="1">
      <c r="A2409" s="3">
        <v>20158</v>
      </c>
      <c r="B2409" s="4" t="s">
        <v>2427</v>
      </c>
      <c r="C2409" s="3" t="s">
        <v>6</v>
      </c>
      <c r="D2409" s="5">
        <f t="shared" si="74"/>
        <v>65.290000000000006</v>
      </c>
      <c r="E2409">
        <v>71.67</v>
      </c>
      <c r="F2409" s="1789">
        <v>8.8999999999999996E-2</v>
      </c>
      <c r="G2409">
        <f t="shared" si="75"/>
        <v>65.290000000000006</v>
      </c>
    </row>
    <row r="2410" spans="1:7" ht="12.75" customHeight="1">
      <c r="A2410" s="3">
        <v>20154</v>
      </c>
      <c r="B2410" s="4" t="s">
        <v>2428</v>
      </c>
      <c r="C2410" s="3" t="s">
        <v>6</v>
      </c>
      <c r="D2410" s="5">
        <f t="shared" si="74"/>
        <v>3.33</v>
      </c>
      <c r="E2410">
        <v>3.66</v>
      </c>
      <c r="F2410" s="1789">
        <v>8.8999999999999996E-2</v>
      </c>
      <c r="G2410">
        <f t="shared" si="75"/>
        <v>3.33</v>
      </c>
    </row>
    <row r="2411" spans="1:7" ht="12.75" customHeight="1">
      <c r="A2411" s="3">
        <v>20155</v>
      </c>
      <c r="B2411" s="4" t="s">
        <v>2429</v>
      </c>
      <c r="C2411" s="3" t="s">
        <v>6</v>
      </c>
      <c r="D2411" s="5">
        <f t="shared" si="74"/>
        <v>5.07</v>
      </c>
      <c r="E2411">
        <v>5.57</v>
      </c>
      <c r="F2411" s="1789">
        <v>8.8999999999999996E-2</v>
      </c>
      <c r="G2411">
        <f t="shared" si="75"/>
        <v>5.07</v>
      </c>
    </row>
    <row r="2412" spans="1:7" ht="12.75" customHeight="1">
      <c r="A2412" s="3">
        <v>20156</v>
      </c>
      <c r="B2412" s="4" t="s">
        <v>2430</v>
      </c>
      <c r="C2412" s="3" t="s">
        <v>6</v>
      </c>
      <c r="D2412" s="5">
        <f t="shared" si="74"/>
        <v>14.25</v>
      </c>
      <c r="E2412">
        <v>15.65</v>
      </c>
      <c r="F2412" s="1789">
        <v>8.8999999999999996E-2</v>
      </c>
      <c r="G2412">
        <f t="shared" si="75"/>
        <v>14.25</v>
      </c>
    </row>
    <row r="2413" spans="1:7" ht="12.75" customHeight="1">
      <c r="A2413" s="3">
        <v>3499</v>
      </c>
      <c r="B2413" s="4" t="s">
        <v>2431</v>
      </c>
      <c r="C2413" s="3" t="s">
        <v>6</v>
      </c>
      <c r="D2413" s="5">
        <f t="shared" si="74"/>
        <v>0.88</v>
      </c>
      <c r="E2413">
        <v>0.97</v>
      </c>
      <c r="F2413" s="1789">
        <v>8.8999999999999996E-2</v>
      </c>
      <c r="G2413">
        <f t="shared" si="75"/>
        <v>0.88</v>
      </c>
    </row>
    <row r="2414" spans="1:7" ht="12.75" customHeight="1">
      <c r="A2414" s="3">
        <v>3500</v>
      </c>
      <c r="B2414" s="4" t="s">
        <v>2432</v>
      </c>
      <c r="C2414" s="3" t="s">
        <v>6</v>
      </c>
      <c r="D2414" s="5">
        <f t="shared" si="74"/>
        <v>1.17</v>
      </c>
      <c r="E2414">
        <v>1.29</v>
      </c>
      <c r="F2414" s="1789">
        <v>8.8999999999999996E-2</v>
      </c>
      <c r="G2414">
        <f t="shared" si="75"/>
        <v>1.17</v>
      </c>
    </row>
    <row r="2415" spans="1:7" ht="12.75" customHeight="1">
      <c r="A2415" s="3">
        <v>3501</v>
      </c>
      <c r="B2415" s="4" t="s">
        <v>2433</v>
      </c>
      <c r="C2415" s="3" t="s">
        <v>6</v>
      </c>
      <c r="D2415" s="5">
        <f t="shared" si="74"/>
        <v>3.24</v>
      </c>
      <c r="E2415">
        <v>3.56</v>
      </c>
      <c r="F2415" s="1789">
        <v>8.8999999999999996E-2</v>
      </c>
      <c r="G2415">
        <f t="shared" si="75"/>
        <v>3.24</v>
      </c>
    </row>
    <row r="2416" spans="1:7" ht="12.75" customHeight="1">
      <c r="A2416" s="3">
        <v>3502</v>
      </c>
      <c r="B2416" s="4" t="s">
        <v>2434</v>
      </c>
      <c r="C2416" s="3" t="s">
        <v>6</v>
      </c>
      <c r="D2416" s="5">
        <f t="shared" si="74"/>
        <v>4.66</v>
      </c>
      <c r="E2416">
        <v>5.12</v>
      </c>
      <c r="F2416" s="1789">
        <v>8.8999999999999996E-2</v>
      </c>
      <c r="G2416">
        <f t="shared" si="75"/>
        <v>4.66</v>
      </c>
    </row>
    <row r="2417" spans="1:7" ht="12.75" customHeight="1">
      <c r="A2417" s="3">
        <v>3503</v>
      </c>
      <c r="B2417" s="4" t="s">
        <v>2435</v>
      </c>
      <c r="C2417" s="3" t="s">
        <v>6</v>
      </c>
      <c r="D2417" s="5">
        <f t="shared" si="74"/>
        <v>5.85</v>
      </c>
      <c r="E2417">
        <v>6.43</v>
      </c>
      <c r="F2417" s="1789">
        <v>8.8999999999999996E-2</v>
      </c>
      <c r="G2417">
        <f t="shared" si="75"/>
        <v>5.85</v>
      </c>
    </row>
    <row r="2418" spans="1:7" ht="12.75" customHeight="1">
      <c r="A2418" s="3">
        <v>3477</v>
      </c>
      <c r="B2418" s="4" t="s">
        <v>2436</v>
      </c>
      <c r="C2418" s="3" t="s">
        <v>6</v>
      </c>
      <c r="D2418" s="5">
        <f t="shared" si="74"/>
        <v>21.29</v>
      </c>
      <c r="E2418">
        <v>23.38</v>
      </c>
      <c r="F2418" s="1789">
        <v>8.8999999999999996E-2</v>
      </c>
      <c r="G2418">
        <f t="shared" si="75"/>
        <v>21.29</v>
      </c>
    </row>
    <row r="2419" spans="1:7" ht="12.75" customHeight="1">
      <c r="A2419" s="3">
        <v>3478</v>
      </c>
      <c r="B2419" s="4" t="s">
        <v>2437</v>
      </c>
      <c r="C2419" s="3" t="s">
        <v>6</v>
      </c>
      <c r="D2419" s="5">
        <f t="shared" si="74"/>
        <v>51.07</v>
      </c>
      <c r="E2419">
        <v>56.06</v>
      </c>
      <c r="F2419" s="1789">
        <v>8.8999999999999996E-2</v>
      </c>
      <c r="G2419">
        <f t="shared" si="75"/>
        <v>51.07</v>
      </c>
    </row>
    <row r="2420" spans="1:7" ht="12.75" customHeight="1">
      <c r="A2420" s="3">
        <v>3525</v>
      </c>
      <c r="B2420" s="4" t="s">
        <v>2438</v>
      </c>
      <c r="C2420" s="3" t="s">
        <v>6</v>
      </c>
      <c r="D2420" s="5">
        <f t="shared" si="74"/>
        <v>63.03</v>
      </c>
      <c r="E2420">
        <v>69.19</v>
      </c>
      <c r="F2420" s="1789">
        <v>8.8999999999999996E-2</v>
      </c>
      <c r="G2420">
        <f t="shared" si="75"/>
        <v>63.03</v>
      </c>
    </row>
    <row r="2421" spans="1:7" ht="12.75" customHeight="1">
      <c r="A2421" s="3">
        <v>3511</v>
      </c>
      <c r="B2421" s="4" t="s">
        <v>2439</v>
      </c>
      <c r="C2421" s="3" t="s">
        <v>6</v>
      </c>
      <c r="D2421" s="5">
        <f t="shared" si="74"/>
        <v>66.84</v>
      </c>
      <c r="E2421">
        <v>73.38</v>
      </c>
      <c r="F2421" s="1789">
        <v>8.8999999999999996E-2</v>
      </c>
      <c r="G2421">
        <f t="shared" si="75"/>
        <v>66.84</v>
      </c>
    </row>
    <row r="2422" spans="1:7" ht="12.75" customHeight="1">
      <c r="A2422" s="3">
        <v>12032</v>
      </c>
      <c r="B2422" s="4" t="s">
        <v>2440</v>
      </c>
      <c r="C2422" s="3" t="s">
        <v>458</v>
      </c>
      <c r="D2422" s="5">
        <f t="shared" si="74"/>
        <v>58.93</v>
      </c>
      <c r="E2422">
        <v>64.69</v>
      </c>
      <c r="F2422" s="1789">
        <v>8.8999999999999996E-2</v>
      </c>
      <c r="G2422">
        <f t="shared" si="75"/>
        <v>58.93</v>
      </c>
    </row>
    <row r="2423" spans="1:7" ht="12.75" customHeight="1">
      <c r="A2423" s="3">
        <v>12030</v>
      </c>
      <c r="B2423" s="4" t="s">
        <v>2441</v>
      </c>
      <c r="C2423" s="3" t="s">
        <v>458</v>
      </c>
      <c r="D2423" s="5">
        <f t="shared" si="74"/>
        <v>55.37</v>
      </c>
      <c r="E2423">
        <v>60.78</v>
      </c>
      <c r="F2423" s="1789">
        <v>8.8999999999999996E-2</v>
      </c>
      <c r="G2423">
        <f t="shared" si="75"/>
        <v>55.37</v>
      </c>
    </row>
    <row r="2424" spans="1:7" ht="12.75" customHeight="1">
      <c r="A2424" s="3">
        <v>10908</v>
      </c>
      <c r="B2424" s="4" t="s">
        <v>2442</v>
      </c>
      <c r="C2424" s="3" t="s">
        <v>6</v>
      </c>
      <c r="D2424" s="5">
        <f t="shared" si="74"/>
        <v>16.16</v>
      </c>
      <c r="E2424">
        <v>17.739999999999998</v>
      </c>
      <c r="F2424" s="1789">
        <v>8.8999999999999996E-2</v>
      </c>
      <c r="G2424">
        <f t="shared" si="75"/>
        <v>16.16</v>
      </c>
    </row>
    <row r="2425" spans="1:7" ht="12.75" customHeight="1">
      <c r="A2425" s="3">
        <v>10909</v>
      </c>
      <c r="B2425" s="4" t="s">
        <v>2443</v>
      </c>
      <c r="C2425" s="3" t="s">
        <v>6</v>
      </c>
      <c r="D2425" s="5">
        <f t="shared" si="74"/>
        <v>18.8</v>
      </c>
      <c r="E2425">
        <v>20.64</v>
      </c>
      <c r="F2425" s="1789">
        <v>8.8999999999999996E-2</v>
      </c>
      <c r="G2425">
        <f t="shared" si="75"/>
        <v>18.8</v>
      </c>
    </row>
    <row r="2426" spans="1:7" ht="12.75" customHeight="1">
      <c r="A2426" s="3">
        <v>3669</v>
      </c>
      <c r="B2426" s="4" t="s">
        <v>2444</v>
      </c>
      <c r="C2426" s="3" t="s">
        <v>6</v>
      </c>
      <c r="D2426" s="5">
        <f t="shared" si="74"/>
        <v>11.55</v>
      </c>
      <c r="E2426">
        <v>12.68</v>
      </c>
      <c r="F2426" s="1789">
        <v>8.8999999999999996E-2</v>
      </c>
      <c r="G2426">
        <f t="shared" si="75"/>
        <v>11.55</v>
      </c>
    </row>
    <row r="2427" spans="1:7" ht="12.75" customHeight="1">
      <c r="A2427" s="3">
        <v>20139</v>
      </c>
      <c r="B2427" s="4" t="s">
        <v>2445</v>
      </c>
      <c r="C2427" s="3" t="s">
        <v>6</v>
      </c>
      <c r="D2427" s="5">
        <f t="shared" si="74"/>
        <v>99.33</v>
      </c>
      <c r="E2427">
        <v>109.04</v>
      </c>
      <c r="F2427" s="1789">
        <v>8.8999999999999996E-2</v>
      </c>
      <c r="G2427">
        <f t="shared" si="75"/>
        <v>99.33</v>
      </c>
    </row>
    <row r="2428" spans="1:7" ht="12.75" customHeight="1">
      <c r="A2428" s="3">
        <v>3668</v>
      </c>
      <c r="B2428" s="4" t="s">
        <v>2446</v>
      </c>
      <c r="C2428" s="3" t="s">
        <v>6</v>
      </c>
      <c r="D2428" s="5">
        <f t="shared" si="74"/>
        <v>35.479999999999997</v>
      </c>
      <c r="E2428">
        <v>38.950000000000003</v>
      </c>
      <c r="F2428" s="1789">
        <v>8.8999999999999996E-2</v>
      </c>
      <c r="G2428">
        <f t="shared" si="75"/>
        <v>35.479999999999997</v>
      </c>
    </row>
    <row r="2429" spans="1:7" ht="12.75" customHeight="1">
      <c r="A2429" s="3">
        <v>10911</v>
      </c>
      <c r="B2429" s="4" t="s">
        <v>2447</v>
      </c>
      <c r="C2429" s="3" t="s">
        <v>6</v>
      </c>
      <c r="D2429" s="5">
        <f t="shared" si="74"/>
        <v>15.55</v>
      </c>
      <c r="E2429">
        <v>17.07</v>
      </c>
      <c r="F2429" s="1789">
        <v>8.8999999999999996E-2</v>
      </c>
      <c r="G2429">
        <f t="shared" si="75"/>
        <v>15.55</v>
      </c>
    </row>
    <row r="2430" spans="1:7" ht="12.75" customHeight="1">
      <c r="A2430" s="3">
        <v>3659</v>
      </c>
      <c r="B2430" s="4" t="s">
        <v>2448</v>
      </c>
      <c r="C2430" s="3" t="s">
        <v>6</v>
      </c>
      <c r="D2430" s="5">
        <f t="shared" si="74"/>
        <v>15.85</v>
      </c>
      <c r="E2430">
        <v>17.399999999999999</v>
      </c>
      <c r="F2430" s="1789">
        <v>8.8999999999999996E-2</v>
      </c>
      <c r="G2430">
        <f t="shared" si="75"/>
        <v>15.85</v>
      </c>
    </row>
    <row r="2431" spans="1:7" ht="12.75" customHeight="1">
      <c r="A2431" s="3">
        <v>3660</v>
      </c>
      <c r="B2431" s="4" t="s">
        <v>2449</v>
      </c>
      <c r="C2431" s="3" t="s">
        <v>6</v>
      </c>
      <c r="D2431" s="5">
        <f t="shared" si="74"/>
        <v>20.49</v>
      </c>
      <c r="E2431">
        <v>22.5</v>
      </c>
      <c r="F2431" s="1789">
        <v>8.8999999999999996E-2</v>
      </c>
      <c r="G2431">
        <f t="shared" si="75"/>
        <v>20.49</v>
      </c>
    </row>
    <row r="2432" spans="1:7" ht="12.75" customHeight="1">
      <c r="A2432" s="3">
        <v>20144</v>
      </c>
      <c r="B2432" s="4" t="s">
        <v>2450</v>
      </c>
      <c r="C2432" s="3" t="s">
        <v>6</v>
      </c>
      <c r="D2432" s="5">
        <f t="shared" si="74"/>
        <v>45.89</v>
      </c>
      <c r="E2432">
        <v>50.38</v>
      </c>
      <c r="F2432" s="1789">
        <v>8.8999999999999996E-2</v>
      </c>
      <c r="G2432">
        <f t="shared" si="75"/>
        <v>45.89</v>
      </c>
    </row>
    <row r="2433" spans="1:7" ht="12.75" customHeight="1">
      <c r="A2433" s="3">
        <v>20143</v>
      </c>
      <c r="B2433" s="4" t="s">
        <v>2451</v>
      </c>
      <c r="C2433" s="3" t="s">
        <v>6</v>
      </c>
      <c r="D2433" s="5">
        <f t="shared" si="74"/>
        <v>58.72</v>
      </c>
      <c r="E2433">
        <v>64.459999999999994</v>
      </c>
      <c r="F2433" s="1789">
        <v>8.8999999999999996E-2</v>
      </c>
      <c r="G2433">
        <f t="shared" si="75"/>
        <v>58.72</v>
      </c>
    </row>
    <row r="2434" spans="1:7" ht="12.75" customHeight="1">
      <c r="A2434" s="3">
        <v>20145</v>
      </c>
      <c r="B2434" s="4" t="s">
        <v>2452</v>
      </c>
      <c r="C2434" s="3" t="s">
        <v>6</v>
      </c>
      <c r="D2434" s="5">
        <f t="shared" si="74"/>
        <v>113.27</v>
      </c>
      <c r="E2434">
        <v>124.34</v>
      </c>
      <c r="F2434" s="1789">
        <v>8.8999999999999996E-2</v>
      </c>
      <c r="G2434">
        <f t="shared" si="75"/>
        <v>113.27</v>
      </c>
    </row>
    <row r="2435" spans="1:7" ht="12.75" customHeight="1">
      <c r="A2435" s="3">
        <v>20146</v>
      </c>
      <c r="B2435" s="4" t="s">
        <v>2453</v>
      </c>
      <c r="C2435" s="3" t="s">
        <v>6</v>
      </c>
      <c r="D2435" s="5">
        <f t="shared" ref="D2435:D2498" si="76">G2435</f>
        <v>154.84</v>
      </c>
      <c r="E2435">
        <v>169.97</v>
      </c>
      <c r="F2435" s="1789">
        <v>8.8999999999999996E-2</v>
      </c>
      <c r="G2435">
        <f t="shared" ref="G2435:G2498" si="77">TRUNC((1-F2435)*E2435,2)</f>
        <v>154.84</v>
      </c>
    </row>
    <row r="2436" spans="1:7" ht="12.75" customHeight="1">
      <c r="A2436" s="3">
        <v>20140</v>
      </c>
      <c r="B2436" s="4" t="s">
        <v>2454</v>
      </c>
      <c r="C2436" s="3" t="s">
        <v>6</v>
      </c>
      <c r="D2436" s="5">
        <f t="shared" si="76"/>
        <v>7.26</v>
      </c>
      <c r="E2436">
        <v>7.97</v>
      </c>
      <c r="F2436" s="1789">
        <v>8.8999999999999996E-2</v>
      </c>
      <c r="G2436">
        <f t="shared" si="77"/>
        <v>7.26</v>
      </c>
    </row>
    <row r="2437" spans="1:7" ht="12.75" customHeight="1">
      <c r="A2437" s="3">
        <v>20141</v>
      </c>
      <c r="B2437" s="4" t="s">
        <v>2455</v>
      </c>
      <c r="C2437" s="3" t="s">
        <v>6</v>
      </c>
      <c r="D2437" s="5">
        <f t="shared" si="76"/>
        <v>17.79</v>
      </c>
      <c r="E2437">
        <v>19.53</v>
      </c>
      <c r="F2437" s="1789">
        <v>8.8999999999999996E-2</v>
      </c>
      <c r="G2437">
        <f t="shared" si="77"/>
        <v>17.79</v>
      </c>
    </row>
    <row r="2438" spans="1:7" ht="12.75" customHeight="1">
      <c r="A2438" s="3">
        <v>20142</v>
      </c>
      <c r="B2438" s="4" t="s">
        <v>2456</v>
      </c>
      <c r="C2438" s="3" t="s">
        <v>6</v>
      </c>
      <c r="D2438" s="5">
        <f t="shared" si="76"/>
        <v>31.29</v>
      </c>
      <c r="E2438">
        <v>34.35</v>
      </c>
      <c r="F2438" s="1789">
        <v>8.8999999999999996E-2</v>
      </c>
      <c r="G2438">
        <f t="shared" si="77"/>
        <v>31.29</v>
      </c>
    </row>
    <row r="2439" spans="1:7" ht="12.75" customHeight="1">
      <c r="A2439" s="3">
        <v>3670</v>
      </c>
      <c r="B2439" s="4" t="s">
        <v>2457</v>
      </c>
      <c r="C2439" s="3" t="s">
        <v>6</v>
      </c>
      <c r="D2439" s="5">
        <f t="shared" si="76"/>
        <v>20.350000000000001</v>
      </c>
      <c r="E2439">
        <v>22.34</v>
      </c>
      <c r="F2439" s="1789">
        <v>8.8999999999999996E-2</v>
      </c>
      <c r="G2439">
        <f t="shared" si="77"/>
        <v>20.350000000000001</v>
      </c>
    </row>
    <row r="2440" spans="1:7" ht="12.75" customHeight="1">
      <c r="A2440" s="3">
        <v>3666</v>
      </c>
      <c r="B2440" s="4" t="s">
        <v>2458</v>
      </c>
      <c r="C2440" s="3" t="s">
        <v>6</v>
      </c>
      <c r="D2440" s="5">
        <f t="shared" si="76"/>
        <v>3.19</v>
      </c>
      <c r="E2440">
        <v>3.51</v>
      </c>
      <c r="F2440" s="1789">
        <v>8.8999999999999996E-2</v>
      </c>
      <c r="G2440">
        <f t="shared" si="77"/>
        <v>3.19</v>
      </c>
    </row>
    <row r="2441" spans="1:7" ht="12.75" customHeight="1">
      <c r="A2441" s="3">
        <v>3662</v>
      </c>
      <c r="B2441" s="4" t="s">
        <v>2459</v>
      </c>
      <c r="C2441" s="3" t="s">
        <v>6</v>
      </c>
      <c r="D2441" s="5">
        <f t="shared" si="76"/>
        <v>8.35</v>
      </c>
      <c r="E2441">
        <v>9.17</v>
      </c>
      <c r="F2441" s="1789">
        <v>8.8999999999999996E-2</v>
      </c>
      <c r="G2441">
        <f t="shared" si="77"/>
        <v>8.35</v>
      </c>
    </row>
    <row r="2442" spans="1:7" ht="12.75" customHeight="1">
      <c r="A2442" s="3">
        <v>3658</v>
      </c>
      <c r="B2442" s="4" t="s">
        <v>2460</v>
      </c>
      <c r="C2442" s="3" t="s">
        <v>6</v>
      </c>
      <c r="D2442" s="5">
        <f t="shared" si="76"/>
        <v>15.82</v>
      </c>
      <c r="E2442">
        <v>17.37</v>
      </c>
      <c r="F2442" s="1789">
        <v>8.8999999999999996E-2</v>
      </c>
      <c r="G2442">
        <f t="shared" si="77"/>
        <v>15.82</v>
      </c>
    </row>
    <row r="2443" spans="1:7" ht="12.75" customHeight="1">
      <c r="A2443" s="3">
        <v>14157</v>
      </c>
      <c r="B2443" s="4" t="s">
        <v>2461</v>
      </c>
      <c r="C2443" s="3" t="s">
        <v>6</v>
      </c>
      <c r="D2443" s="5">
        <f t="shared" si="76"/>
        <v>1.24</v>
      </c>
      <c r="E2443">
        <v>1.37</v>
      </c>
      <c r="F2443" s="1789">
        <v>8.8999999999999996E-2</v>
      </c>
      <c r="G2443">
        <f t="shared" si="77"/>
        <v>1.24</v>
      </c>
    </row>
    <row r="2444" spans="1:7" ht="12.75" customHeight="1">
      <c r="A2444" s="3">
        <v>42696</v>
      </c>
      <c r="B2444" s="4" t="s">
        <v>2462</v>
      </c>
      <c r="C2444" s="3" t="s">
        <v>6</v>
      </c>
      <c r="D2444" s="5">
        <f t="shared" si="76"/>
        <v>125.47</v>
      </c>
      <c r="E2444">
        <v>137.72999999999999</v>
      </c>
      <c r="F2444" s="1789">
        <v>8.8999999999999996E-2</v>
      </c>
      <c r="G2444">
        <f t="shared" si="77"/>
        <v>125.47</v>
      </c>
    </row>
    <row r="2445" spans="1:7" ht="12.75" customHeight="1">
      <c r="A2445" s="3">
        <v>39875</v>
      </c>
      <c r="B2445" s="4" t="s">
        <v>2463</v>
      </c>
      <c r="C2445" s="3" t="s">
        <v>6</v>
      </c>
      <c r="D2445" s="5">
        <f t="shared" si="76"/>
        <v>585.65</v>
      </c>
      <c r="E2445">
        <v>642.87</v>
      </c>
      <c r="F2445" s="1789">
        <v>8.8999999999999996E-2</v>
      </c>
      <c r="G2445">
        <f t="shared" si="77"/>
        <v>585.65</v>
      </c>
    </row>
    <row r="2446" spans="1:7" ht="12.75" customHeight="1">
      <c r="A2446" s="3">
        <v>39876</v>
      </c>
      <c r="B2446" s="4" t="s">
        <v>2464</v>
      </c>
      <c r="C2446" s="3" t="s">
        <v>6</v>
      </c>
      <c r="D2446" s="5">
        <f t="shared" si="76"/>
        <v>733.23</v>
      </c>
      <c r="E2446">
        <v>804.87</v>
      </c>
      <c r="F2446" s="1789">
        <v>8.8999999999999996E-2</v>
      </c>
      <c r="G2446">
        <f t="shared" si="77"/>
        <v>733.23</v>
      </c>
    </row>
    <row r="2447" spans="1:7" ht="12.75" customHeight="1">
      <c r="A2447" s="3">
        <v>39877</v>
      </c>
      <c r="B2447" s="4" t="s">
        <v>2465</v>
      </c>
      <c r="C2447" s="3" t="s">
        <v>6</v>
      </c>
      <c r="D2447" s="5">
        <f t="shared" si="76"/>
        <v>1016.96</v>
      </c>
      <c r="E2447">
        <v>1116.32</v>
      </c>
      <c r="F2447" s="1789">
        <v>8.8999999999999996E-2</v>
      </c>
      <c r="G2447">
        <f t="shared" si="77"/>
        <v>1016.96</v>
      </c>
    </row>
    <row r="2448" spans="1:7" ht="12.75" customHeight="1">
      <c r="A2448" s="3">
        <v>39878</v>
      </c>
      <c r="B2448" s="4" t="s">
        <v>2466</v>
      </c>
      <c r="C2448" s="3" t="s">
        <v>6</v>
      </c>
      <c r="D2448" s="5">
        <f t="shared" si="76"/>
        <v>1343.25</v>
      </c>
      <c r="E2448">
        <v>1474.48</v>
      </c>
      <c r="F2448" s="1789">
        <v>8.8999999999999996E-2</v>
      </c>
      <c r="G2448">
        <f t="shared" si="77"/>
        <v>1343.25</v>
      </c>
    </row>
    <row r="2449" spans="1:7" ht="12.75" customHeight="1">
      <c r="A2449" s="3">
        <v>39872</v>
      </c>
      <c r="B2449" s="4" t="s">
        <v>2467</v>
      </c>
      <c r="C2449" s="3" t="s">
        <v>6</v>
      </c>
      <c r="D2449" s="5">
        <f t="shared" si="76"/>
        <v>401.62</v>
      </c>
      <c r="E2449">
        <v>440.86</v>
      </c>
      <c r="F2449" s="1789">
        <v>8.8999999999999996E-2</v>
      </c>
      <c r="G2449">
        <f t="shared" si="77"/>
        <v>401.62</v>
      </c>
    </row>
    <row r="2450" spans="1:7" ht="12.75" customHeight="1">
      <c r="A2450" s="3">
        <v>39873</v>
      </c>
      <c r="B2450" s="4" t="s">
        <v>2468</v>
      </c>
      <c r="C2450" s="3" t="s">
        <v>6</v>
      </c>
      <c r="D2450" s="5">
        <f t="shared" si="76"/>
        <v>465.85</v>
      </c>
      <c r="E2450">
        <v>511.37</v>
      </c>
      <c r="F2450" s="1789">
        <v>8.8999999999999996E-2</v>
      </c>
      <c r="G2450">
        <f t="shared" si="77"/>
        <v>465.85</v>
      </c>
    </row>
    <row r="2451" spans="1:7" ht="12.75" customHeight="1">
      <c r="A2451" s="3">
        <v>39874</v>
      </c>
      <c r="B2451" s="4" t="s">
        <v>2469</v>
      </c>
      <c r="C2451" s="3" t="s">
        <v>6</v>
      </c>
      <c r="D2451" s="5">
        <f t="shared" si="76"/>
        <v>511.69</v>
      </c>
      <c r="E2451">
        <v>561.67999999999995</v>
      </c>
      <c r="F2451" s="1789">
        <v>8.8999999999999996E-2</v>
      </c>
      <c r="G2451">
        <f t="shared" si="77"/>
        <v>511.69</v>
      </c>
    </row>
    <row r="2452" spans="1:7" ht="12.75" customHeight="1">
      <c r="A2452" s="3">
        <v>3674</v>
      </c>
      <c r="B2452" s="4" t="s">
        <v>2470</v>
      </c>
      <c r="C2452" s="3" t="s">
        <v>50</v>
      </c>
      <c r="D2452" s="5">
        <f t="shared" si="76"/>
        <v>78.849999999999994</v>
      </c>
      <c r="E2452">
        <v>86.56</v>
      </c>
      <c r="F2452" s="1789">
        <v>8.8999999999999996E-2</v>
      </c>
      <c r="G2452">
        <f t="shared" si="77"/>
        <v>78.849999999999994</v>
      </c>
    </row>
    <row r="2453" spans="1:7" ht="12.75" customHeight="1">
      <c r="A2453" s="3">
        <v>3681</v>
      </c>
      <c r="B2453" s="4" t="s">
        <v>2471</v>
      </c>
      <c r="C2453" s="3" t="s">
        <v>50</v>
      </c>
      <c r="D2453" s="5">
        <f t="shared" si="76"/>
        <v>117.31</v>
      </c>
      <c r="E2453">
        <v>128.78</v>
      </c>
      <c r="F2453" s="1789">
        <v>8.8999999999999996E-2</v>
      </c>
      <c r="G2453">
        <f t="shared" si="77"/>
        <v>117.31</v>
      </c>
    </row>
    <row r="2454" spans="1:7" ht="12.75" customHeight="1">
      <c r="A2454" s="3">
        <v>3676</v>
      </c>
      <c r="B2454" s="4" t="s">
        <v>2472</v>
      </c>
      <c r="C2454" s="3" t="s">
        <v>50</v>
      </c>
      <c r="D2454" s="5">
        <f t="shared" si="76"/>
        <v>441.53</v>
      </c>
      <c r="E2454">
        <v>484.67</v>
      </c>
      <c r="F2454" s="1789">
        <v>8.8999999999999996E-2</v>
      </c>
      <c r="G2454">
        <f t="shared" si="77"/>
        <v>441.53</v>
      </c>
    </row>
    <row r="2455" spans="1:7" ht="12.75" customHeight="1">
      <c r="A2455" s="3">
        <v>3679</v>
      </c>
      <c r="B2455" s="4" t="s">
        <v>2473</v>
      </c>
      <c r="C2455" s="3" t="s">
        <v>50</v>
      </c>
      <c r="D2455" s="5">
        <f t="shared" si="76"/>
        <v>365.28</v>
      </c>
      <c r="E2455">
        <v>400.97</v>
      </c>
      <c r="F2455" s="1789">
        <v>8.8999999999999996E-2</v>
      </c>
      <c r="G2455">
        <f t="shared" si="77"/>
        <v>365.28</v>
      </c>
    </row>
    <row r="2456" spans="1:7" ht="12.75" customHeight="1">
      <c r="A2456" s="3">
        <v>3672</v>
      </c>
      <c r="B2456" s="4" t="s">
        <v>2474</v>
      </c>
      <c r="C2456" s="3" t="s">
        <v>50</v>
      </c>
      <c r="D2456" s="5">
        <f t="shared" si="76"/>
        <v>1.23</v>
      </c>
      <c r="E2456">
        <v>1.36</v>
      </c>
      <c r="F2456" s="1789">
        <v>8.8999999999999996E-2</v>
      </c>
      <c r="G2456">
        <f t="shared" si="77"/>
        <v>1.23</v>
      </c>
    </row>
    <row r="2457" spans="1:7" ht="12.75" customHeight="1">
      <c r="A2457" s="3">
        <v>3671</v>
      </c>
      <c r="B2457" s="4" t="s">
        <v>2475</v>
      </c>
      <c r="C2457" s="3" t="s">
        <v>50</v>
      </c>
      <c r="D2457" s="5">
        <f t="shared" si="76"/>
        <v>1.17</v>
      </c>
      <c r="E2457">
        <v>1.29</v>
      </c>
      <c r="F2457" s="1789">
        <v>8.8999999999999996E-2</v>
      </c>
      <c r="G2457">
        <f t="shared" si="77"/>
        <v>1.17</v>
      </c>
    </row>
    <row r="2458" spans="1:7" ht="12.75" customHeight="1">
      <c r="A2458" s="3">
        <v>3673</v>
      </c>
      <c r="B2458" s="4" t="s">
        <v>2476</v>
      </c>
      <c r="C2458" s="3" t="s">
        <v>50</v>
      </c>
      <c r="D2458" s="5">
        <f t="shared" si="76"/>
        <v>1.84</v>
      </c>
      <c r="E2458">
        <v>2.02</v>
      </c>
      <c r="F2458" s="1789">
        <v>8.8999999999999996E-2</v>
      </c>
      <c r="G2458">
        <f t="shared" si="77"/>
        <v>1.84</v>
      </c>
    </row>
    <row r="2459" spans="1:7" ht="12.75" customHeight="1">
      <c r="A2459" s="3">
        <v>38394</v>
      </c>
      <c r="B2459" s="4" t="s">
        <v>2477</v>
      </c>
      <c r="C2459" s="3" t="s">
        <v>6</v>
      </c>
      <c r="D2459" s="5">
        <f t="shared" si="76"/>
        <v>368.49</v>
      </c>
      <c r="E2459">
        <v>404.49</v>
      </c>
      <c r="F2459" s="1789">
        <v>8.8999999999999996E-2</v>
      </c>
      <c r="G2459">
        <f t="shared" si="77"/>
        <v>368.49</v>
      </c>
    </row>
    <row r="2460" spans="1:7" ht="12.75" customHeight="1">
      <c r="A2460" s="3">
        <v>3729</v>
      </c>
      <c r="B2460" s="4" t="s">
        <v>2478</v>
      </c>
      <c r="C2460" s="3" t="s">
        <v>6</v>
      </c>
      <c r="D2460" s="5">
        <f t="shared" si="76"/>
        <v>108.6</v>
      </c>
      <c r="E2460">
        <v>119.21</v>
      </c>
      <c r="F2460" s="1789">
        <v>8.8999999999999996E-2</v>
      </c>
      <c r="G2460">
        <f t="shared" si="77"/>
        <v>108.6</v>
      </c>
    </row>
    <row r="2461" spans="1:7" ht="12.75" customHeight="1">
      <c r="A2461" s="3">
        <v>39357</v>
      </c>
      <c r="B2461" s="4" t="s">
        <v>2479</v>
      </c>
      <c r="C2461" s="3" t="s">
        <v>6</v>
      </c>
      <c r="D2461" s="5">
        <f t="shared" si="76"/>
        <v>52.16</v>
      </c>
      <c r="E2461">
        <v>57.26</v>
      </c>
      <c r="F2461" s="1789">
        <v>8.8999999999999996E-2</v>
      </c>
      <c r="G2461">
        <f t="shared" si="77"/>
        <v>52.16</v>
      </c>
    </row>
    <row r="2462" spans="1:7" ht="12.75" customHeight="1">
      <c r="A2462" s="3">
        <v>39358</v>
      </c>
      <c r="B2462" s="4" t="s">
        <v>2480</v>
      </c>
      <c r="C2462" s="3" t="s">
        <v>6</v>
      </c>
      <c r="D2462" s="5">
        <f t="shared" si="76"/>
        <v>52.16</v>
      </c>
      <c r="E2462">
        <v>57.26</v>
      </c>
      <c r="F2462" s="1789">
        <v>8.8999999999999996E-2</v>
      </c>
      <c r="G2462">
        <f t="shared" si="77"/>
        <v>52.16</v>
      </c>
    </row>
    <row r="2463" spans="1:7" ht="12.75" customHeight="1">
      <c r="A2463" s="3">
        <v>39355</v>
      </c>
      <c r="B2463" s="4" t="s">
        <v>2481</v>
      </c>
      <c r="C2463" s="3" t="s">
        <v>6</v>
      </c>
      <c r="D2463" s="5">
        <f t="shared" si="76"/>
        <v>76.010000000000005</v>
      </c>
      <c r="E2463">
        <v>83.44</v>
      </c>
      <c r="F2463" s="1789">
        <v>8.8999999999999996E-2</v>
      </c>
      <c r="G2463">
        <f t="shared" si="77"/>
        <v>76.010000000000005</v>
      </c>
    </row>
    <row r="2464" spans="1:7" ht="12.75" customHeight="1">
      <c r="A2464" s="3">
        <v>39356</v>
      </c>
      <c r="B2464" s="4" t="s">
        <v>2482</v>
      </c>
      <c r="C2464" s="3" t="s">
        <v>6</v>
      </c>
      <c r="D2464" s="5">
        <f t="shared" si="76"/>
        <v>72.540000000000006</v>
      </c>
      <c r="E2464">
        <v>79.63</v>
      </c>
      <c r="F2464" s="1789">
        <v>8.8999999999999996E-2</v>
      </c>
      <c r="G2464">
        <f t="shared" si="77"/>
        <v>72.540000000000006</v>
      </c>
    </row>
    <row r="2465" spans="1:7" ht="12.75" customHeight="1">
      <c r="A2465" s="3">
        <v>39353</v>
      </c>
      <c r="B2465" s="4" t="s">
        <v>2483</v>
      </c>
      <c r="C2465" s="3" t="s">
        <v>6</v>
      </c>
      <c r="D2465" s="5">
        <f t="shared" si="76"/>
        <v>166.53</v>
      </c>
      <c r="E2465">
        <v>182.8</v>
      </c>
      <c r="F2465" s="1789">
        <v>8.8999999999999996E-2</v>
      </c>
      <c r="G2465">
        <f t="shared" si="77"/>
        <v>166.53</v>
      </c>
    </row>
    <row r="2466" spans="1:7" ht="12.75" customHeight="1">
      <c r="A2466" s="3">
        <v>39354</v>
      </c>
      <c r="B2466" s="4" t="s">
        <v>2484</v>
      </c>
      <c r="C2466" s="3" t="s">
        <v>6</v>
      </c>
      <c r="D2466" s="5">
        <f t="shared" si="76"/>
        <v>351.34</v>
      </c>
      <c r="E2466">
        <v>385.67</v>
      </c>
      <c r="F2466" s="1789">
        <v>8.8999999999999996E-2</v>
      </c>
      <c r="G2466">
        <f t="shared" si="77"/>
        <v>351.34</v>
      </c>
    </row>
    <row r="2467" spans="1:7" ht="12.75" customHeight="1">
      <c r="A2467" s="3">
        <v>39398</v>
      </c>
      <c r="B2467" s="4" t="s">
        <v>2485</v>
      </c>
      <c r="C2467" s="3" t="s">
        <v>6</v>
      </c>
      <c r="D2467" s="5">
        <f t="shared" si="76"/>
        <v>70.459999999999994</v>
      </c>
      <c r="E2467">
        <v>77.349999999999994</v>
      </c>
      <c r="F2467" s="1789">
        <v>8.8999999999999996E-2</v>
      </c>
      <c r="G2467">
        <f t="shared" si="77"/>
        <v>70.459999999999994</v>
      </c>
    </row>
    <row r="2468" spans="1:7" ht="12.75" customHeight="1">
      <c r="A2468" s="3">
        <v>13343</v>
      </c>
      <c r="B2468" s="4" t="s">
        <v>2486</v>
      </c>
      <c r="C2468" s="3" t="s">
        <v>6</v>
      </c>
      <c r="D2468" s="5">
        <f t="shared" si="76"/>
        <v>42.99</v>
      </c>
      <c r="E2468">
        <v>47.19</v>
      </c>
      <c r="F2468" s="1789">
        <v>8.8999999999999996E-2</v>
      </c>
      <c r="G2468">
        <f t="shared" si="77"/>
        <v>42.99</v>
      </c>
    </row>
    <row r="2469" spans="1:7" ht="12.75" customHeight="1">
      <c r="A2469" s="3">
        <v>12118</v>
      </c>
      <c r="B2469" s="4" t="s">
        <v>2487</v>
      </c>
      <c r="C2469" s="3" t="s">
        <v>6</v>
      </c>
      <c r="D2469" s="5">
        <f t="shared" si="76"/>
        <v>19.55</v>
      </c>
      <c r="E2469">
        <v>21.46</v>
      </c>
      <c r="F2469" s="1789">
        <v>8.8999999999999996E-2</v>
      </c>
      <c r="G2469">
        <f t="shared" si="77"/>
        <v>19.55</v>
      </c>
    </row>
    <row r="2470" spans="1:7" ht="12.75" customHeight="1">
      <c r="A2470" s="3">
        <v>39482</v>
      </c>
      <c r="B2470" s="4" t="s">
        <v>2488</v>
      </c>
      <c r="C2470" s="3" t="s">
        <v>6</v>
      </c>
      <c r="D2470" s="5">
        <f t="shared" si="76"/>
        <v>641.29999999999995</v>
      </c>
      <c r="E2470">
        <v>703.96</v>
      </c>
      <c r="F2470" s="1789">
        <v>8.8999999999999996E-2</v>
      </c>
      <c r="G2470">
        <f t="shared" si="77"/>
        <v>641.29999999999995</v>
      </c>
    </row>
    <row r="2471" spans="1:7" ht="12.75" customHeight="1">
      <c r="A2471" s="3">
        <v>39486</v>
      </c>
      <c r="B2471" s="4" t="s">
        <v>2489</v>
      </c>
      <c r="C2471" s="3" t="s">
        <v>6</v>
      </c>
      <c r="D2471" s="5">
        <f t="shared" si="76"/>
        <v>523.39</v>
      </c>
      <c r="E2471">
        <v>574.53</v>
      </c>
      <c r="F2471" s="1789">
        <v>8.8999999999999996E-2</v>
      </c>
      <c r="G2471">
        <f t="shared" si="77"/>
        <v>523.39</v>
      </c>
    </row>
    <row r="2472" spans="1:7" ht="12.75" customHeight="1">
      <c r="A2472" s="3">
        <v>39484</v>
      </c>
      <c r="B2472" s="4" t="s">
        <v>2490</v>
      </c>
      <c r="C2472" s="3" t="s">
        <v>6</v>
      </c>
      <c r="D2472" s="5">
        <f t="shared" si="76"/>
        <v>641.29999999999995</v>
      </c>
      <c r="E2472">
        <v>703.96</v>
      </c>
      <c r="F2472" s="1789">
        <v>8.8999999999999996E-2</v>
      </c>
      <c r="G2472">
        <f t="shared" si="77"/>
        <v>641.29999999999995</v>
      </c>
    </row>
    <row r="2473" spans="1:7" ht="12.75" customHeight="1">
      <c r="A2473" s="3">
        <v>39488</v>
      </c>
      <c r="B2473" s="4" t="s">
        <v>2491</v>
      </c>
      <c r="C2473" s="3" t="s">
        <v>6</v>
      </c>
      <c r="D2473" s="5">
        <f t="shared" si="76"/>
        <v>531.96</v>
      </c>
      <c r="E2473">
        <v>583.94000000000005</v>
      </c>
      <c r="F2473" s="1789">
        <v>8.8999999999999996E-2</v>
      </c>
      <c r="G2473">
        <f t="shared" si="77"/>
        <v>531.96</v>
      </c>
    </row>
    <row r="2474" spans="1:7" ht="12.75" customHeight="1">
      <c r="A2474" s="3">
        <v>39485</v>
      </c>
      <c r="B2474" s="4" t="s">
        <v>2492</v>
      </c>
      <c r="C2474" s="3" t="s">
        <v>6</v>
      </c>
      <c r="D2474" s="5">
        <f t="shared" si="76"/>
        <v>641.29999999999995</v>
      </c>
      <c r="E2474">
        <v>703.96</v>
      </c>
      <c r="F2474" s="1789">
        <v>8.8999999999999996E-2</v>
      </c>
      <c r="G2474">
        <f t="shared" si="77"/>
        <v>641.29999999999995</v>
      </c>
    </row>
    <row r="2475" spans="1:7" ht="12.75" customHeight="1">
      <c r="A2475" s="3">
        <v>39489</v>
      </c>
      <c r="B2475" s="4" t="s">
        <v>2493</v>
      </c>
      <c r="C2475" s="3" t="s">
        <v>6</v>
      </c>
      <c r="D2475" s="5">
        <f t="shared" si="76"/>
        <v>540.98</v>
      </c>
      <c r="E2475">
        <v>593.84</v>
      </c>
      <c r="F2475" s="1789">
        <v>8.8999999999999996E-2</v>
      </c>
      <c r="G2475">
        <f t="shared" si="77"/>
        <v>540.98</v>
      </c>
    </row>
    <row r="2476" spans="1:7" ht="12.75" customHeight="1">
      <c r="A2476" s="3">
        <v>39490</v>
      </c>
      <c r="B2476" s="4" t="s">
        <v>2494</v>
      </c>
      <c r="C2476" s="3" t="s">
        <v>6</v>
      </c>
      <c r="D2476" s="5">
        <f t="shared" si="76"/>
        <v>806.14</v>
      </c>
      <c r="E2476">
        <v>884.9</v>
      </c>
      <c r="F2476" s="1789">
        <v>8.8999999999999996E-2</v>
      </c>
      <c r="G2476">
        <f t="shared" si="77"/>
        <v>806.14</v>
      </c>
    </row>
    <row r="2477" spans="1:7" ht="12.75" customHeight="1">
      <c r="A2477" s="3">
        <v>39494</v>
      </c>
      <c r="B2477" s="4" t="s">
        <v>2495</v>
      </c>
      <c r="C2477" s="3" t="s">
        <v>6</v>
      </c>
      <c r="D2477" s="5">
        <f t="shared" si="76"/>
        <v>578.87</v>
      </c>
      <c r="E2477">
        <v>635.42999999999995</v>
      </c>
      <c r="F2477" s="1789">
        <v>8.8999999999999996E-2</v>
      </c>
      <c r="G2477">
        <f t="shared" si="77"/>
        <v>578.87</v>
      </c>
    </row>
    <row r="2478" spans="1:7" ht="12.75" customHeight="1">
      <c r="A2478" s="3">
        <v>39495</v>
      </c>
      <c r="B2478" s="4" t="s">
        <v>2496</v>
      </c>
      <c r="C2478" s="3" t="s">
        <v>6</v>
      </c>
      <c r="D2478" s="5">
        <f t="shared" si="76"/>
        <v>652.32000000000005</v>
      </c>
      <c r="E2478">
        <v>716.05</v>
      </c>
      <c r="F2478" s="1789">
        <v>8.8999999999999996E-2</v>
      </c>
      <c r="G2478">
        <f t="shared" si="77"/>
        <v>652.32000000000005</v>
      </c>
    </row>
    <row r="2479" spans="1:7" ht="12.75" customHeight="1">
      <c r="A2479" s="3">
        <v>39496</v>
      </c>
      <c r="B2479" s="4" t="s">
        <v>2497</v>
      </c>
      <c r="C2479" s="3" t="s">
        <v>6</v>
      </c>
      <c r="D2479" s="5">
        <f t="shared" si="76"/>
        <v>717.54</v>
      </c>
      <c r="E2479">
        <v>787.65</v>
      </c>
      <c r="F2479" s="1789">
        <v>8.8999999999999996E-2</v>
      </c>
      <c r="G2479">
        <f t="shared" si="77"/>
        <v>717.54</v>
      </c>
    </row>
    <row r="2480" spans="1:7" ht="12.75" customHeight="1">
      <c r="A2480" s="3">
        <v>39492</v>
      </c>
      <c r="B2480" s="4" t="s">
        <v>2498</v>
      </c>
      <c r="C2480" s="3" t="s">
        <v>6</v>
      </c>
      <c r="D2480" s="5">
        <f t="shared" si="76"/>
        <v>830.72</v>
      </c>
      <c r="E2480">
        <v>911.88</v>
      </c>
      <c r="F2480" s="1789">
        <v>8.8999999999999996E-2</v>
      </c>
      <c r="G2480">
        <f t="shared" si="77"/>
        <v>830.72</v>
      </c>
    </row>
    <row r="2481" spans="1:7" ht="12.75" customHeight="1">
      <c r="A2481" s="3">
        <v>39497</v>
      </c>
      <c r="B2481" s="4" t="s">
        <v>2499</v>
      </c>
      <c r="C2481" s="3" t="s">
        <v>6</v>
      </c>
      <c r="D2481" s="5">
        <f t="shared" si="76"/>
        <v>750.36</v>
      </c>
      <c r="E2481">
        <v>823.67</v>
      </c>
      <c r="F2481" s="1789">
        <v>8.8999999999999996E-2</v>
      </c>
      <c r="G2481">
        <f t="shared" si="77"/>
        <v>750.36</v>
      </c>
    </row>
    <row r="2482" spans="1:7" ht="12.75" customHeight="1">
      <c r="A2482" s="3">
        <v>39493</v>
      </c>
      <c r="B2482" s="4" t="s">
        <v>2500</v>
      </c>
      <c r="C2482" s="3" t="s">
        <v>6</v>
      </c>
      <c r="D2482" s="5">
        <f t="shared" si="76"/>
        <v>891.03</v>
      </c>
      <c r="E2482">
        <v>978.08</v>
      </c>
      <c r="F2482" s="1789">
        <v>8.8999999999999996E-2</v>
      </c>
      <c r="G2482">
        <f t="shared" si="77"/>
        <v>891.03</v>
      </c>
    </row>
    <row r="2483" spans="1:7" ht="12.75" customHeight="1">
      <c r="A2483" s="3">
        <v>43628</v>
      </c>
      <c r="B2483" s="4" t="s">
        <v>2501</v>
      </c>
      <c r="C2483" s="3" t="s">
        <v>6</v>
      </c>
      <c r="D2483" s="5">
        <f t="shared" si="76"/>
        <v>945.08</v>
      </c>
      <c r="E2483">
        <v>1037.42</v>
      </c>
      <c r="F2483" s="1789">
        <v>8.8999999999999996E-2</v>
      </c>
      <c r="G2483">
        <f t="shared" si="77"/>
        <v>945.08</v>
      </c>
    </row>
    <row r="2484" spans="1:7" ht="12.75" customHeight="1">
      <c r="A2484" s="3">
        <v>39500</v>
      </c>
      <c r="B2484" s="4" t="s">
        <v>2502</v>
      </c>
      <c r="C2484" s="3" t="s">
        <v>6</v>
      </c>
      <c r="D2484" s="5">
        <f t="shared" si="76"/>
        <v>972.19</v>
      </c>
      <c r="E2484">
        <v>1067.17</v>
      </c>
      <c r="F2484" s="1789">
        <v>8.8999999999999996E-2</v>
      </c>
      <c r="G2484">
        <f t="shared" si="77"/>
        <v>972.19</v>
      </c>
    </row>
    <row r="2485" spans="1:7" ht="12.75" customHeight="1">
      <c r="A2485" s="3">
        <v>39498</v>
      </c>
      <c r="B2485" s="4" t="s">
        <v>2503</v>
      </c>
      <c r="C2485" s="3" t="s">
        <v>6</v>
      </c>
      <c r="D2485" s="5">
        <f t="shared" si="76"/>
        <v>1199.03</v>
      </c>
      <c r="E2485">
        <v>1316.17</v>
      </c>
      <c r="F2485" s="1789">
        <v>8.8999999999999996E-2</v>
      </c>
      <c r="G2485">
        <f t="shared" si="77"/>
        <v>1199.03</v>
      </c>
    </row>
    <row r="2486" spans="1:7" ht="12.75" customHeight="1">
      <c r="A2486" s="3">
        <v>43621</v>
      </c>
      <c r="B2486" s="4" t="s">
        <v>2504</v>
      </c>
      <c r="C2486" s="3" t="s">
        <v>6</v>
      </c>
      <c r="D2486" s="5">
        <f t="shared" si="76"/>
        <v>1004.15</v>
      </c>
      <c r="E2486">
        <v>1102.26</v>
      </c>
      <c r="F2486" s="1789">
        <v>8.8999999999999996E-2</v>
      </c>
      <c r="G2486">
        <f t="shared" si="77"/>
        <v>1004.15</v>
      </c>
    </row>
    <row r="2487" spans="1:7" ht="12.75" customHeight="1">
      <c r="A2487" s="3">
        <v>39501</v>
      </c>
      <c r="B2487" s="4" t="s">
        <v>2505</v>
      </c>
      <c r="C2487" s="3" t="s">
        <v>6</v>
      </c>
      <c r="D2487" s="5">
        <f t="shared" si="76"/>
        <v>998.51</v>
      </c>
      <c r="E2487">
        <v>1096.07</v>
      </c>
      <c r="F2487" s="1789">
        <v>8.8999999999999996E-2</v>
      </c>
      <c r="G2487">
        <f t="shared" si="77"/>
        <v>998.51</v>
      </c>
    </row>
    <row r="2488" spans="1:7" ht="12.75" customHeight="1">
      <c r="A2488" s="3">
        <v>39499</v>
      </c>
      <c r="B2488" s="4" t="s">
        <v>2506</v>
      </c>
      <c r="C2488" s="3" t="s">
        <v>6</v>
      </c>
      <c r="D2488" s="5">
        <f t="shared" si="76"/>
        <v>1216.05</v>
      </c>
      <c r="E2488">
        <v>1334.86</v>
      </c>
      <c r="F2488" s="1789">
        <v>8.8999999999999996E-2</v>
      </c>
      <c r="G2488">
        <f t="shared" si="77"/>
        <v>1216.05</v>
      </c>
    </row>
    <row r="2489" spans="1:7" ht="12.75" customHeight="1">
      <c r="A2489" s="3">
        <v>3733</v>
      </c>
      <c r="B2489" s="4" t="s">
        <v>2507</v>
      </c>
      <c r="C2489" s="3" t="s">
        <v>409</v>
      </c>
      <c r="D2489" s="5">
        <f t="shared" si="76"/>
        <v>73.599999999999994</v>
      </c>
      <c r="E2489">
        <v>80.8</v>
      </c>
      <c r="F2489" s="1789">
        <v>8.8999999999999996E-2</v>
      </c>
      <c r="G2489">
        <f t="shared" si="77"/>
        <v>73.599999999999994</v>
      </c>
    </row>
    <row r="2490" spans="1:7" ht="12.75" customHeight="1">
      <c r="A2490" s="3">
        <v>3731</v>
      </c>
      <c r="B2490" s="4" t="s">
        <v>2508</v>
      </c>
      <c r="C2490" s="3" t="s">
        <v>409</v>
      </c>
      <c r="D2490" s="5">
        <f t="shared" si="76"/>
        <v>68.319999999999993</v>
      </c>
      <c r="E2490">
        <v>75</v>
      </c>
      <c r="F2490" s="1789">
        <v>8.8999999999999996E-2</v>
      </c>
      <c r="G2490">
        <f t="shared" si="77"/>
        <v>68.319999999999993</v>
      </c>
    </row>
    <row r="2491" spans="1:7" ht="12.75" customHeight="1">
      <c r="A2491" s="3">
        <v>38137</v>
      </c>
      <c r="B2491" s="4" t="s">
        <v>2509</v>
      </c>
      <c r="C2491" s="3" t="s">
        <v>409</v>
      </c>
      <c r="D2491" s="5">
        <f t="shared" si="76"/>
        <v>68.72</v>
      </c>
      <c r="E2491">
        <v>75.44</v>
      </c>
      <c r="F2491" s="1789">
        <v>8.8999999999999996E-2</v>
      </c>
      <c r="G2491">
        <f t="shared" si="77"/>
        <v>68.72</v>
      </c>
    </row>
    <row r="2492" spans="1:7" ht="12.75" customHeight="1">
      <c r="A2492" s="3">
        <v>38138</v>
      </c>
      <c r="B2492" s="4" t="s">
        <v>2510</v>
      </c>
      <c r="C2492" s="3" t="s">
        <v>409</v>
      </c>
      <c r="D2492" s="5">
        <f t="shared" si="76"/>
        <v>67.48</v>
      </c>
      <c r="E2492">
        <v>74.08</v>
      </c>
      <c r="F2492" s="1789">
        <v>8.8999999999999996E-2</v>
      </c>
      <c r="G2492">
        <f t="shared" si="77"/>
        <v>67.48</v>
      </c>
    </row>
    <row r="2493" spans="1:7" ht="12.75" customHeight="1">
      <c r="A2493" s="3">
        <v>3736</v>
      </c>
      <c r="B2493" s="4" t="s">
        <v>2511</v>
      </c>
      <c r="C2493" s="3" t="s">
        <v>409</v>
      </c>
      <c r="D2493" s="5">
        <f t="shared" si="76"/>
        <v>54.52</v>
      </c>
      <c r="E2493">
        <v>59.85</v>
      </c>
      <c r="F2493" s="1789">
        <v>8.8999999999999996E-2</v>
      </c>
      <c r="G2493">
        <f t="shared" si="77"/>
        <v>54.52</v>
      </c>
    </row>
    <row r="2494" spans="1:7" ht="12.75" customHeight="1">
      <c r="A2494" s="3">
        <v>3741</v>
      </c>
      <c r="B2494" s="4" t="s">
        <v>2512</v>
      </c>
      <c r="C2494" s="3" t="s">
        <v>409</v>
      </c>
      <c r="D2494" s="5">
        <f t="shared" si="76"/>
        <v>56.83</v>
      </c>
      <c r="E2494">
        <v>62.39</v>
      </c>
      <c r="F2494" s="1789">
        <v>8.8999999999999996E-2</v>
      </c>
      <c r="G2494">
        <f t="shared" si="77"/>
        <v>56.83</v>
      </c>
    </row>
    <row r="2495" spans="1:7" ht="12.75" customHeight="1">
      <c r="A2495" s="3">
        <v>3745</v>
      </c>
      <c r="B2495" s="4" t="s">
        <v>2513</v>
      </c>
      <c r="C2495" s="3" t="s">
        <v>409</v>
      </c>
      <c r="D2495" s="5">
        <f t="shared" si="76"/>
        <v>61.28</v>
      </c>
      <c r="E2495">
        <v>67.27</v>
      </c>
      <c r="F2495" s="1789">
        <v>8.8999999999999996E-2</v>
      </c>
      <c r="G2495">
        <f t="shared" si="77"/>
        <v>61.28</v>
      </c>
    </row>
    <row r="2496" spans="1:7" ht="12.75" customHeight="1">
      <c r="A2496" s="3">
        <v>3743</v>
      </c>
      <c r="B2496" s="4" t="s">
        <v>2514</v>
      </c>
      <c r="C2496" s="3" t="s">
        <v>409</v>
      </c>
      <c r="D2496" s="5">
        <f t="shared" si="76"/>
        <v>56.62</v>
      </c>
      <c r="E2496">
        <v>62.16</v>
      </c>
      <c r="F2496" s="1789">
        <v>8.8999999999999996E-2</v>
      </c>
      <c r="G2496">
        <f t="shared" si="77"/>
        <v>56.62</v>
      </c>
    </row>
    <row r="2497" spans="1:7" ht="12.75" customHeight="1">
      <c r="A2497" s="3">
        <v>3744</v>
      </c>
      <c r="B2497" s="4" t="s">
        <v>2515</v>
      </c>
      <c r="C2497" s="3" t="s">
        <v>409</v>
      </c>
      <c r="D2497" s="5">
        <f t="shared" si="76"/>
        <v>62.33</v>
      </c>
      <c r="E2497">
        <v>68.430000000000007</v>
      </c>
      <c r="F2497" s="1789">
        <v>8.8999999999999996E-2</v>
      </c>
      <c r="G2497">
        <f t="shared" si="77"/>
        <v>62.33</v>
      </c>
    </row>
    <row r="2498" spans="1:7" ht="12.75" customHeight="1">
      <c r="A2498" s="3">
        <v>3739</v>
      </c>
      <c r="B2498" s="4" t="s">
        <v>2516</v>
      </c>
      <c r="C2498" s="3" t="s">
        <v>409</v>
      </c>
      <c r="D2498" s="5">
        <f t="shared" si="76"/>
        <v>65.510000000000005</v>
      </c>
      <c r="E2498">
        <v>71.91</v>
      </c>
      <c r="F2498" s="1789">
        <v>8.8999999999999996E-2</v>
      </c>
      <c r="G2498">
        <f t="shared" si="77"/>
        <v>65.510000000000005</v>
      </c>
    </row>
    <row r="2499" spans="1:7" ht="12.75" customHeight="1">
      <c r="A2499" s="3">
        <v>3737</v>
      </c>
      <c r="B2499" s="4" t="s">
        <v>2517</v>
      </c>
      <c r="C2499" s="3" t="s">
        <v>409</v>
      </c>
      <c r="D2499" s="5">
        <f t="shared" ref="D2499:D2562" si="78">G2499</f>
        <v>68.680000000000007</v>
      </c>
      <c r="E2499">
        <v>75.39</v>
      </c>
      <c r="F2499" s="1789">
        <v>8.8999999999999996E-2</v>
      </c>
      <c r="G2499">
        <f t="shared" ref="G2499:G2562" si="79">TRUNC((1-F2499)*E2499,2)</f>
        <v>68.680000000000007</v>
      </c>
    </row>
    <row r="2500" spans="1:7" ht="12.75" customHeight="1">
      <c r="A2500" s="3">
        <v>3738</v>
      </c>
      <c r="B2500" s="4" t="s">
        <v>2518</v>
      </c>
      <c r="C2500" s="3" t="s">
        <v>409</v>
      </c>
      <c r="D2500" s="5">
        <f t="shared" si="78"/>
        <v>79.239999999999995</v>
      </c>
      <c r="E2500">
        <v>86.99</v>
      </c>
      <c r="F2500" s="1789">
        <v>8.8999999999999996E-2</v>
      </c>
      <c r="G2500">
        <f t="shared" si="79"/>
        <v>79.239999999999995</v>
      </c>
    </row>
    <row r="2501" spans="1:7" ht="12.75" customHeight="1">
      <c r="A2501" s="3">
        <v>3747</v>
      </c>
      <c r="B2501" s="4" t="s">
        <v>2519</v>
      </c>
      <c r="C2501" s="3" t="s">
        <v>409</v>
      </c>
      <c r="D2501" s="5">
        <f t="shared" si="78"/>
        <v>62.33</v>
      </c>
      <c r="E2501">
        <v>68.430000000000007</v>
      </c>
      <c r="F2501" s="1789">
        <v>8.8999999999999996E-2</v>
      </c>
      <c r="G2501">
        <f t="shared" si="79"/>
        <v>62.33</v>
      </c>
    </row>
    <row r="2502" spans="1:7" ht="12.75" customHeight="1">
      <c r="A2502" s="3">
        <v>11649</v>
      </c>
      <c r="B2502" s="4" t="s">
        <v>2520</v>
      </c>
      <c r="C2502" s="3" t="s">
        <v>6</v>
      </c>
      <c r="D2502" s="5">
        <f t="shared" si="78"/>
        <v>452.24</v>
      </c>
      <c r="E2502">
        <v>496.43</v>
      </c>
      <c r="F2502" s="1789">
        <v>8.8999999999999996E-2</v>
      </c>
      <c r="G2502">
        <f t="shared" si="79"/>
        <v>452.24</v>
      </c>
    </row>
    <row r="2503" spans="1:7" ht="12.75" customHeight="1">
      <c r="A2503" s="3">
        <v>11650</v>
      </c>
      <c r="B2503" s="4" t="s">
        <v>2521</v>
      </c>
      <c r="C2503" s="3" t="s">
        <v>6</v>
      </c>
      <c r="D2503" s="5">
        <f t="shared" si="78"/>
        <v>770.82</v>
      </c>
      <c r="E2503">
        <v>846.13</v>
      </c>
      <c r="F2503" s="1789">
        <v>8.8999999999999996E-2</v>
      </c>
      <c r="G2503">
        <f t="shared" si="79"/>
        <v>770.82</v>
      </c>
    </row>
    <row r="2504" spans="1:7" ht="12.75" customHeight="1">
      <c r="A2504" s="3">
        <v>3742</v>
      </c>
      <c r="B2504" s="4" t="s">
        <v>2522</v>
      </c>
      <c r="C2504" s="3" t="s">
        <v>409</v>
      </c>
      <c r="D2504" s="5">
        <f t="shared" si="78"/>
        <v>82.19</v>
      </c>
      <c r="E2504">
        <v>90.23</v>
      </c>
      <c r="F2504" s="1789">
        <v>8.8999999999999996E-2</v>
      </c>
      <c r="G2504">
        <f t="shared" si="79"/>
        <v>82.19</v>
      </c>
    </row>
    <row r="2505" spans="1:7" ht="12.75" customHeight="1">
      <c r="A2505" s="3">
        <v>3746</v>
      </c>
      <c r="B2505" s="4" t="s">
        <v>2523</v>
      </c>
      <c r="C2505" s="3" t="s">
        <v>409</v>
      </c>
      <c r="D2505" s="5">
        <f t="shared" si="78"/>
        <v>95.98</v>
      </c>
      <c r="E2505">
        <v>105.36</v>
      </c>
      <c r="F2505" s="1789">
        <v>8.8999999999999996E-2</v>
      </c>
      <c r="G2505">
        <f t="shared" si="79"/>
        <v>95.98</v>
      </c>
    </row>
    <row r="2506" spans="1:7" ht="12.75" customHeight="1">
      <c r="A2506" s="3">
        <v>21106</v>
      </c>
      <c r="B2506" s="4" t="s">
        <v>2524</v>
      </c>
      <c r="C2506" s="3" t="s">
        <v>54</v>
      </c>
      <c r="D2506" s="5">
        <f t="shared" si="78"/>
        <v>35.67</v>
      </c>
      <c r="E2506">
        <v>39.159999999999997</v>
      </c>
      <c r="F2506" s="1789">
        <v>8.8999999999999996E-2</v>
      </c>
      <c r="G2506">
        <f t="shared" si="79"/>
        <v>35.67</v>
      </c>
    </row>
    <row r="2507" spans="1:7" ht="12.75" customHeight="1">
      <c r="A2507" s="3">
        <v>39388</v>
      </c>
      <c r="B2507" s="4" t="s">
        <v>2525</v>
      </c>
      <c r="C2507" s="3" t="s">
        <v>6</v>
      </c>
      <c r="D2507" s="5">
        <f t="shared" si="78"/>
        <v>4.46</v>
      </c>
      <c r="E2507">
        <v>4.9000000000000004</v>
      </c>
      <c r="F2507" s="1789">
        <v>8.8999999999999996E-2</v>
      </c>
      <c r="G2507">
        <f t="shared" si="79"/>
        <v>4.46</v>
      </c>
    </row>
    <row r="2508" spans="1:7" ht="12.75" customHeight="1">
      <c r="A2508" s="3">
        <v>39387</v>
      </c>
      <c r="B2508" s="4" t="s">
        <v>2526</v>
      </c>
      <c r="C2508" s="3" t="s">
        <v>6</v>
      </c>
      <c r="D2508" s="5">
        <f t="shared" si="78"/>
        <v>6.96</v>
      </c>
      <c r="E2508">
        <v>7.65</v>
      </c>
      <c r="F2508" s="1789">
        <v>8.8999999999999996E-2</v>
      </c>
      <c r="G2508">
        <f t="shared" si="79"/>
        <v>6.96</v>
      </c>
    </row>
    <row r="2509" spans="1:7" ht="12.75" customHeight="1">
      <c r="A2509" s="3">
        <v>39386</v>
      </c>
      <c r="B2509" s="4" t="s">
        <v>2527</v>
      </c>
      <c r="C2509" s="3" t="s">
        <v>6</v>
      </c>
      <c r="D2509" s="5">
        <f t="shared" si="78"/>
        <v>4.8499999999999996</v>
      </c>
      <c r="E2509">
        <v>5.33</v>
      </c>
      <c r="F2509" s="1789">
        <v>8.8999999999999996E-2</v>
      </c>
      <c r="G2509">
        <f t="shared" si="79"/>
        <v>4.8499999999999996</v>
      </c>
    </row>
    <row r="2510" spans="1:7" ht="12.75" customHeight="1">
      <c r="A2510" s="3">
        <v>38194</v>
      </c>
      <c r="B2510" s="4" t="s">
        <v>2528</v>
      </c>
      <c r="C2510" s="3" t="s">
        <v>6</v>
      </c>
      <c r="D2510" s="5">
        <f t="shared" si="78"/>
        <v>3.63</v>
      </c>
      <c r="E2510">
        <v>3.99</v>
      </c>
      <c r="F2510" s="1789">
        <v>8.8999999999999996E-2</v>
      </c>
      <c r="G2510">
        <f t="shared" si="79"/>
        <v>3.63</v>
      </c>
    </row>
    <row r="2511" spans="1:7" ht="12.75" customHeight="1">
      <c r="A2511" s="3">
        <v>38193</v>
      </c>
      <c r="B2511" s="4" t="s">
        <v>2529</v>
      </c>
      <c r="C2511" s="3" t="s">
        <v>6</v>
      </c>
      <c r="D2511" s="5">
        <f t="shared" si="78"/>
        <v>3.15</v>
      </c>
      <c r="E2511">
        <v>3.46</v>
      </c>
      <c r="F2511" s="1789">
        <v>8.8999999999999996E-2</v>
      </c>
      <c r="G2511">
        <f t="shared" si="79"/>
        <v>3.15</v>
      </c>
    </row>
    <row r="2512" spans="1:7" ht="12.75" customHeight="1">
      <c r="A2512" s="3">
        <v>746</v>
      </c>
      <c r="B2512" s="4" t="s">
        <v>2530</v>
      </c>
      <c r="C2512" s="3" t="s">
        <v>6</v>
      </c>
      <c r="D2512" s="5">
        <f t="shared" si="78"/>
        <v>2458.7800000000002</v>
      </c>
      <c r="E2512">
        <v>2699</v>
      </c>
      <c r="F2512" s="1789">
        <v>8.8999999999999996E-2</v>
      </c>
      <c r="G2512">
        <f t="shared" si="79"/>
        <v>2458.7800000000002</v>
      </c>
    </row>
    <row r="2513" spans="1:7" ht="12.75" customHeight="1">
      <c r="A2513" s="3">
        <v>20269</v>
      </c>
      <c r="B2513" s="4" t="s">
        <v>2531</v>
      </c>
      <c r="C2513" s="3" t="s">
        <v>6</v>
      </c>
      <c r="D2513" s="5">
        <f t="shared" si="78"/>
        <v>85.71</v>
      </c>
      <c r="E2513">
        <v>94.09</v>
      </c>
      <c r="F2513" s="1789">
        <v>8.8999999999999996E-2</v>
      </c>
      <c r="G2513">
        <f t="shared" si="79"/>
        <v>85.71</v>
      </c>
    </row>
    <row r="2514" spans="1:7" ht="12.75" customHeight="1">
      <c r="A2514" s="3">
        <v>20270</v>
      </c>
      <c r="B2514" s="4" t="s">
        <v>2532</v>
      </c>
      <c r="C2514" s="3" t="s">
        <v>6</v>
      </c>
      <c r="D2514" s="5">
        <f t="shared" si="78"/>
        <v>94.71</v>
      </c>
      <c r="E2514">
        <v>103.97</v>
      </c>
      <c r="F2514" s="1789">
        <v>8.8999999999999996E-2</v>
      </c>
      <c r="G2514">
        <f t="shared" si="79"/>
        <v>94.71</v>
      </c>
    </row>
    <row r="2515" spans="1:7" ht="12.75" customHeight="1">
      <c r="A2515" s="3">
        <v>11696</v>
      </c>
      <c r="B2515" s="4" t="s">
        <v>2533</v>
      </c>
      <c r="C2515" s="3" t="s">
        <v>6</v>
      </c>
      <c r="D2515" s="5">
        <f t="shared" si="78"/>
        <v>151.61000000000001</v>
      </c>
      <c r="E2515">
        <v>166.43</v>
      </c>
      <c r="F2515" s="1789">
        <v>8.8999999999999996E-2</v>
      </c>
      <c r="G2515">
        <f t="shared" si="79"/>
        <v>151.61000000000001</v>
      </c>
    </row>
    <row r="2516" spans="1:7" ht="12.75" customHeight="1">
      <c r="A2516" s="3">
        <v>10427</v>
      </c>
      <c r="B2516" s="4" t="s">
        <v>2534</v>
      </c>
      <c r="C2516" s="3" t="s">
        <v>6</v>
      </c>
      <c r="D2516" s="5">
        <f t="shared" si="78"/>
        <v>424.28</v>
      </c>
      <c r="E2516">
        <v>465.73</v>
      </c>
      <c r="F2516" s="1789">
        <v>8.8999999999999996E-2</v>
      </c>
      <c r="G2516">
        <f t="shared" si="79"/>
        <v>424.28</v>
      </c>
    </row>
    <row r="2517" spans="1:7" ht="12.75" customHeight="1">
      <c r="A2517" s="3">
        <v>10428</v>
      </c>
      <c r="B2517" s="4" t="s">
        <v>2535</v>
      </c>
      <c r="C2517" s="3" t="s">
        <v>6</v>
      </c>
      <c r="D2517" s="5">
        <f t="shared" si="78"/>
        <v>437.14</v>
      </c>
      <c r="E2517">
        <v>479.85</v>
      </c>
      <c r="F2517" s="1789">
        <v>8.8999999999999996E-2</v>
      </c>
      <c r="G2517">
        <f t="shared" si="79"/>
        <v>437.14</v>
      </c>
    </row>
    <row r="2518" spans="1:7" ht="12.75" customHeight="1">
      <c r="A2518" s="3">
        <v>36521</v>
      </c>
      <c r="B2518" s="4" t="s">
        <v>2536</v>
      </c>
      <c r="C2518" s="3" t="s">
        <v>6</v>
      </c>
      <c r="D2518" s="5">
        <f t="shared" si="78"/>
        <v>136.38999999999999</v>
      </c>
      <c r="E2518">
        <v>149.72</v>
      </c>
      <c r="F2518" s="1789">
        <v>8.8999999999999996E-2</v>
      </c>
      <c r="G2518">
        <f t="shared" si="79"/>
        <v>136.38999999999999</v>
      </c>
    </row>
    <row r="2519" spans="1:7" ht="12.75" customHeight="1">
      <c r="A2519" s="3">
        <v>36794</v>
      </c>
      <c r="B2519" s="4" t="s">
        <v>2537</v>
      </c>
      <c r="C2519" s="3" t="s">
        <v>6</v>
      </c>
      <c r="D2519" s="5">
        <f t="shared" si="78"/>
        <v>145.19999999999999</v>
      </c>
      <c r="E2519">
        <v>159.38999999999999</v>
      </c>
      <c r="F2519" s="1789">
        <v>8.8999999999999996E-2</v>
      </c>
      <c r="G2519">
        <f t="shared" si="79"/>
        <v>145.19999999999999</v>
      </c>
    </row>
    <row r="2520" spans="1:7" ht="12.75" customHeight="1">
      <c r="A2520" s="3">
        <v>10426</v>
      </c>
      <c r="B2520" s="4" t="s">
        <v>2538</v>
      </c>
      <c r="C2520" s="3" t="s">
        <v>6</v>
      </c>
      <c r="D2520" s="5">
        <f t="shared" si="78"/>
        <v>162.59</v>
      </c>
      <c r="E2520">
        <v>178.48</v>
      </c>
      <c r="F2520" s="1789">
        <v>8.8999999999999996E-2</v>
      </c>
      <c r="G2520">
        <f t="shared" si="79"/>
        <v>162.59</v>
      </c>
    </row>
    <row r="2521" spans="1:7" ht="12.75" customHeight="1">
      <c r="A2521" s="3">
        <v>10425</v>
      </c>
      <c r="B2521" s="4" t="s">
        <v>2539</v>
      </c>
      <c r="C2521" s="3" t="s">
        <v>6</v>
      </c>
      <c r="D2521" s="5">
        <f t="shared" si="78"/>
        <v>82.49</v>
      </c>
      <c r="E2521">
        <v>90.55</v>
      </c>
      <c r="F2521" s="1789">
        <v>8.8999999999999996E-2</v>
      </c>
      <c r="G2521">
        <f t="shared" si="79"/>
        <v>82.49</v>
      </c>
    </row>
    <row r="2522" spans="1:7" ht="12.75" customHeight="1">
      <c r="A2522" s="3">
        <v>10431</v>
      </c>
      <c r="B2522" s="4" t="s">
        <v>2540</v>
      </c>
      <c r="C2522" s="3" t="s">
        <v>6</v>
      </c>
      <c r="D2522" s="5">
        <f t="shared" si="78"/>
        <v>282.41000000000003</v>
      </c>
      <c r="E2522">
        <v>310</v>
      </c>
      <c r="F2522" s="1789">
        <v>8.8999999999999996E-2</v>
      </c>
      <c r="G2522">
        <f t="shared" si="79"/>
        <v>282.41000000000003</v>
      </c>
    </row>
    <row r="2523" spans="1:7" ht="12.75" customHeight="1">
      <c r="A2523" s="3">
        <v>10429</v>
      </c>
      <c r="B2523" s="4" t="s">
        <v>2541</v>
      </c>
      <c r="C2523" s="3" t="s">
        <v>6</v>
      </c>
      <c r="D2523" s="5">
        <f t="shared" si="78"/>
        <v>139.31</v>
      </c>
      <c r="E2523">
        <v>152.93</v>
      </c>
      <c r="F2523" s="1789">
        <v>8.8999999999999996E-2</v>
      </c>
      <c r="G2523">
        <f t="shared" si="79"/>
        <v>139.31</v>
      </c>
    </row>
    <row r="2524" spans="1:7" ht="12.75" customHeight="1">
      <c r="A2524" s="3">
        <v>10853</v>
      </c>
      <c r="B2524" s="4" t="s">
        <v>2542</v>
      </c>
      <c r="C2524" s="3" t="s">
        <v>6</v>
      </c>
      <c r="D2524" s="5">
        <f t="shared" si="78"/>
        <v>92.73</v>
      </c>
      <c r="E2524">
        <v>101.79</v>
      </c>
      <c r="F2524" s="1789">
        <v>8.8999999999999996E-2</v>
      </c>
      <c r="G2524">
        <f t="shared" si="79"/>
        <v>92.73</v>
      </c>
    </row>
    <row r="2525" spans="1:7" ht="12.75" customHeight="1">
      <c r="A2525" s="3">
        <v>5093</v>
      </c>
      <c r="B2525" s="4" t="s">
        <v>2543</v>
      </c>
      <c r="C2525" s="3" t="s">
        <v>423</v>
      </c>
      <c r="D2525" s="5">
        <f t="shared" si="78"/>
        <v>18.73</v>
      </c>
      <c r="E2525">
        <v>20.56</v>
      </c>
      <c r="F2525" s="1789">
        <v>8.8999999999999996E-2</v>
      </c>
      <c r="G2525">
        <f t="shared" si="79"/>
        <v>18.73</v>
      </c>
    </row>
    <row r="2526" spans="1:7" ht="12.75" customHeight="1">
      <c r="A2526" s="3">
        <v>44331</v>
      </c>
      <c r="B2526" s="4" t="s">
        <v>2544</v>
      </c>
      <c r="C2526" s="3" t="s">
        <v>56</v>
      </c>
      <c r="D2526" s="5">
        <f t="shared" si="78"/>
        <v>45.46</v>
      </c>
      <c r="E2526">
        <v>49.91</v>
      </c>
      <c r="F2526" s="1789">
        <v>8.8999999999999996E-2</v>
      </c>
      <c r="G2526">
        <f t="shared" si="79"/>
        <v>45.46</v>
      </c>
    </row>
    <row r="2527" spans="1:7" ht="12.75" customHeight="1">
      <c r="A2527" s="3">
        <v>37768</v>
      </c>
      <c r="B2527" s="4" t="s">
        <v>2545</v>
      </c>
      <c r="C2527" s="3" t="s">
        <v>6</v>
      </c>
      <c r="D2527" s="5">
        <f t="shared" si="78"/>
        <v>268745</v>
      </c>
      <c r="E2527">
        <v>295000</v>
      </c>
      <c r="F2527" s="1789">
        <v>8.8999999999999996E-2</v>
      </c>
      <c r="G2527">
        <f t="shared" si="79"/>
        <v>268745</v>
      </c>
    </row>
    <row r="2528" spans="1:7" ht="12.75" customHeight="1">
      <c r="A2528" s="3">
        <v>37773</v>
      </c>
      <c r="B2528" s="4" t="s">
        <v>2546</v>
      </c>
      <c r="C2528" s="3" t="s">
        <v>6</v>
      </c>
      <c r="D2528" s="5">
        <f t="shared" si="78"/>
        <v>228209.8</v>
      </c>
      <c r="E2528">
        <v>250504.73</v>
      </c>
      <c r="F2528" s="1789">
        <v>8.8999999999999996E-2</v>
      </c>
      <c r="G2528">
        <f t="shared" si="79"/>
        <v>228209.8</v>
      </c>
    </row>
    <row r="2529" spans="1:7" ht="12.75" customHeight="1">
      <c r="A2529" s="3">
        <v>37769</v>
      </c>
      <c r="B2529" s="4" t="s">
        <v>2547</v>
      </c>
      <c r="C2529" s="3" t="s">
        <v>6</v>
      </c>
      <c r="D2529" s="5">
        <f t="shared" si="78"/>
        <v>382051.97</v>
      </c>
      <c r="E2529">
        <v>419376.48</v>
      </c>
      <c r="F2529" s="1789">
        <v>8.8999999999999996E-2</v>
      </c>
      <c r="G2529">
        <f t="shared" si="79"/>
        <v>382051.97</v>
      </c>
    </row>
    <row r="2530" spans="1:7" ht="12.75" customHeight="1">
      <c r="A2530" s="3">
        <v>37770</v>
      </c>
      <c r="B2530" s="4" t="s">
        <v>2548</v>
      </c>
      <c r="C2530" s="3" t="s">
        <v>6</v>
      </c>
      <c r="D2530" s="5">
        <f t="shared" si="78"/>
        <v>648403.15</v>
      </c>
      <c r="E2530">
        <v>711748.8</v>
      </c>
      <c r="F2530" s="1789">
        <v>8.8999999999999996E-2</v>
      </c>
      <c r="G2530">
        <f t="shared" si="79"/>
        <v>648403.15</v>
      </c>
    </row>
    <row r="2531" spans="1:7" ht="12.75" customHeight="1">
      <c r="A2531" s="3">
        <v>38382</v>
      </c>
      <c r="B2531" s="4" t="s">
        <v>2549</v>
      </c>
      <c r="C2531" s="3" t="s">
        <v>6</v>
      </c>
      <c r="D2531" s="5">
        <f t="shared" si="78"/>
        <v>13.4</v>
      </c>
      <c r="E2531">
        <v>14.72</v>
      </c>
      <c r="F2531" s="1789">
        <v>8.8999999999999996E-2</v>
      </c>
      <c r="G2531">
        <f t="shared" si="79"/>
        <v>13.4</v>
      </c>
    </row>
    <row r="2532" spans="1:7" ht="12.75" customHeight="1">
      <c r="A2532" s="3">
        <v>38383</v>
      </c>
      <c r="B2532" s="4" t="s">
        <v>2550</v>
      </c>
      <c r="C2532" s="3" t="s">
        <v>6</v>
      </c>
      <c r="D2532" s="5">
        <f t="shared" si="78"/>
        <v>2.5</v>
      </c>
      <c r="E2532">
        <v>2.75</v>
      </c>
      <c r="F2532" s="1789">
        <v>8.8999999999999996E-2</v>
      </c>
      <c r="G2532">
        <f t="shared" si="79"/>
        <v>2.5</v>
      </c>
    </row>
    <row r="2533" spans="1:7" ht="12.75" customHeight="1">
      <c r="A2533" s="3">
        <v>3768</v>
      </c>
      <c r="B2533" s="4" t="s">
        <v>2551</v>
      </c>
      <c r="C2533" s="3" t="s">
        <v>6</v>
      </c>
      <c r="D2533" s="5">
        <f t="shared" si="78"/>
        <v>3.15</v>
      </c>
      <c r="E2533">
        <v>3.46</v>
      </c>
      <c r="F2533" s="1789">
        <v>8.8999999999999996E-2</v>
      </c>
      <c r="G2533">
        <f t="shared" si="79"/>
        <v>3.15</v>
      </c>
    </row>
    <row r="2534" spans="1:7" ht="12.75" customHeight="1">
      <c r="A2534" s="3">
        <v>3767</v>
      </c>
      <c r="B2534" s="4" t="s">
        <v>2552</v>
      </c>
      <c r="C2534" s="3" t="s">
        <v>6</v>
      </c>
      <c r="D2534" s="5">
        <f t="shared" si="78"/>
        <v>1.05</v>
      </c>
      <c r="E2534">
        <v>1.1599999999999999</v>
      </c>
      <c r="F2534" s="1789">
        <v>8.8999999999999996E-2</v>
      </c>
      <c r="G2534">
        <f t="shared" si="79"/>
        <v>1.05</v>
      </c>
    </row>
    <row r="2535" spans="1:7" ht="12.75" customHeight="1">
      <c r="A2535" s="3">
        <v>13192</v>
      </c>
      <c r="B2535" s="4" t="s">
        <v>2553</v>
      </c>
      <c r="C2535" s="3" t="s">
        <v>6</v>
      </c>
      <c r="D2535" s="5">
        <f t="shared" si="78"/>
        <v>5963.01</v>
      </c>
      <c r="E2535">
        <v>6545.57</v>
      </c>
      <c r="F2535" s="1789">
        <v>8.8999999999999996E-2</v>
      </c>
      <c r="G2535">
        <f t="shared" si="79"/>
        <v>5963.01</v>
      </c>
    </row>
    <row r="2536" spans="1:7" ht="12.75" customHeight="1">
      <c r="A2536" s="3">
        <v>38413</v>
      </c>
      <c r="B2536" s="4" t="s">
        <v>2554</v>
      </c>
      <c r="C2536" s="3" t="s">
        <v>6</v>
      </c>
      <c r="D2536" s="5">
        <f t="shared" si="78"/>
        <v>986.19</v>
      </c>
      <c r="E2536">
        <v>1082.54</v>
      </c>
      <c r="F2536" s="1789">
        <v>8.8999999999999996E-2</v>
      </c>
      <c r="G2536">
        <f t="shared" si="79"/>
        <v>986.19</v>
      </c>
    </row>
    <row r="2537" spans="1:7" ht="12.75" customHeight="1">
      <c r="A2537" s="3">
        <v>42440</v>
      </c>
      <c r="B2537" s="4" t="s">
        <v>2555</v>
      </c>
      <c r="C2537" s="3" t="s">
        <v>6</v>
      </c>
      <c r="D2537" s="5">
        <f t="shared" si="78"/>
        <v>1125.9100000000001</v>
      </c>
      <c r="E2537">
        <v>1235.9100000000001</v>
      </c>
      <c r="F2537" s="1789">
        <v>8.8999999999999996E-2</v>
      </c>
      <c r="G2537">
        <f t="shared" si="79"/>
        <v>1125.9100000000001</v>
      </c>
    </row>
    <row r="2538" spans="1:7" ht="12.75" customHeight="1">
      <c r="A2538" s="3">
        <v>20193</v>
      </c>
      <c r="B2538" s="4" t="s">
        <v>2556</v>
      </c>
      <c r="C2538" s="3" t="s">
        <v>2557</v>
      </c>
      <c r="D2538" s="5">
        <f t="shared" si="78"/>
        <v>24.59</v>
      </c>
      <c r="E2538">
        <v>27</v>
      </c>
      <c r="F2538" s="1789">
        <v>8.8999999999999996E-2</v>
      </c>
      <c r="G2538">
        <f t="shared" si="79"/>
        <v>24.59</v>
      </c>
    </row>
    <row r="2539" spans="1:7" ht="12.75" customHeight="1">
      <c r="A2539" s="3">
        <v>10527</v>
      </c>
      <c r="B2539" s="4" t="s">
        <v>2558</v>
      </c>
      <c r="C2539" s="3" t="s">
        <v>2559</v>
      </c>
      <c r="D2539" s="5">
        <f t="shared" si="78"/>
        <v>32.79</v>
      </c>
      <c r="E2539">
        <v>36</v>
      </c>
      <c r="F2539" s="1789">
        <v>8.8999999999999996E-2</v>
      </c>
      <c r="G2539">
        <f t="shared" si="79"/>
        <v>32.79</v>
      </c>
    </row>
    <row r="2540" spans="1:7" ht="12.75" customHeight="1">
      <c r="A2540" s="3">
        <v>41805</v>
      </c>
      <c r="B2540" s="4" t="s">
        <v>2560</v>
      </c>
      <c r="C2540" s="3" t="s">
        <v>156</v>
      </c>
      <c r="D2540" s="5">
        <f t="shared" si="78"/>
        <v>942.88</v>
      </c>
      <c r="E2540">
        <v>1035</v>
      </c>
      <c r="F2540" s="1789">
        <v>8.8999999999999996E-2</v>
      </c>
      <c r="G2540">
        <f t="shared" si="79"/>
        <v>942.88</v>
      </c>
    </row>
    <row r="2541" spans="1:7" ht="12.75" customHeight="1">
      <c r="A2541" s="3">
        <v>40271</v>
      </c>
      <c r="B2541" s="4" t="s">
        <v>2561</v>
      </c>
      <c r="C2541" s="3" t="s">
        <v>2562</v>
      </c>
      <c r="D2541" s="5">
        <f t="shared" si="78"/>
        <v>25.09</v>
      </c>
      <c r="E2541">
        <v>27.55</v>
      </c>
      <c r="F2541" s="1789">
        <v>8.8999999999999996E-2</v>
      </c>
      <c r="G2541">
        <f t="shared" si="79"/>
        <v>25.09</v>
      </c>
    </row>
    <row r="2542" spans="1:7" ht="12.75" customHeight="1">
      <c r="A2542" s="3">
        <v>40287</v>
      </c>
      <c r="B2542" s="4" t="s">
        <v>2563</v>
      </c>
      <c r="C2542" s="3" t="s">
        <v>156</v>
      </c>
      <c r="D2542" s="5">
        <f t="shared" si="78"/>
        <v>9.66</v>
      </c>
      <c r="E2542">
        <v>10.61</v>
      </c>
      <c r="F2542" s="1789">
        <v>8.8999999999999996E-2</v>
      </c>
      <c r="G2542">
        <f t="shared" si="79"/>
        <v>9.66</v>
      </c>
    </row>
    <row r="2543" spans="1:7" ht="12.75" customHeight="1">
      <c r="A2543" s="3">
        <v>4084</v>
      </c>
      <c r="B2543" s="4" t="s">
        <v>2564</v>
      </c>
      <c r="C2543" s="3" t="s">
        <v>154</v>
      </c>
      <c r="D2543" s="5">
        <f t="shared" si="78"/>
        <v>3.07</v>
      </c>
      <c r="E2543">
        <v>3.38</v>
      </c>
      <c r="F2543" s="1789">
        <v>8.8999999999999996E-2</v>
      </c>
      <c r="G2543">
        <f t="shared" si="79"/>
        <v>3.07</v>
      </c>
    </row>
    <row r="2544" spans="1:7" ht="12.75" customHeight="1">
      <c r="A2544" s="3">
        <v>743</v>
      </c>
      <c r="B2544" s="4" t="s">
        <v>2565</v>
      </c>
      <c r="C2544" s="3" t="s">
        <v>154</v>
      </c>
      <c r="D2544" s="5">
        <f t="shared" si="78"/>
        <v>3.07</v>
      </c>
      <c r="E2544">
        <v>3.38</v>
      </c>
      <c r="F2544" s="1789">
        <v>8.8999999999999996E-2</v>
      </c>
      <c r="G2544">
        <f t="shared" si="79"/>
        <v>3.07</v>
      </c>
    </row>
    <row r="2545" spans="1:7" ht="12.75" customHeight="1">
      <c r="A2545" s="3">
        <v>40293</v>
      </c>
      <c r="B2545" s="4" t="s">
        <v>2566</v>
      </c>
      <c r="C2545" s="3" t="s">
        <v>154</v>
      </c>
      <c r="D2545" s="5">
        <f t="shared" si="78"/>
        <v>3.68</v>
      </c>
      <c r="E2545">
        <v>4.05</v>
      </c>
      <c r="F2545" s="1789">
        <v>8.8999999999999996E-2</v>
      </c>
      <c r="G2545">
        <f t="shared" si="79"/>
        <v>3.68</v>
      </c>
    </row>
    <row r="2546" spans="1:7" ht="12.75" customHeight="1">
      <c r="A2546" s="3">
        <v>40294</v>
      </c>
      <c r="B2546" s="4" t="s">
        <v>2567</v>
      </c>
      <c r="C2546" s="3" t="s">
        <v>154</v>
      </c>
      <c r="D2546" s="5">
        <f t="shared" si="78"/>
        <v>3.07</v>
      </c>
      <c r="E2546">
        <v>3.38</v>
      </c>
      <c r="F2546" s="1789">
        <v>8.8999999999999996E-2</v>
      </c>
      <c r="G2546">
        <f t="shared" si="79"/>
        <v>3.07</v>
      </c>
    </row>
    <row r="2547" spans="1:7" ht="12.75" customHeight="1">
      <c r="A2547" s="3">
        <v>4085</v>
      </c>
      <c r="B2547" s="4" t="s">
        <v>2568</v>
      </c>
      <c r="C2547" s="3" t="s">
        <v>154</v>
      </c>
      <c r="D2547" s="5">
        <f t="shared" si="78"/>
        <v>4.3</v>
      </c>
      <c r="E2547">
        <v>4.7300000000000004</v>
      </c>
      <c r="F2547" s="1789">
        <v>8.8999999999999996E-2</v>
      </c>
      <c r="G2547">
        <f t="shared" si="79"/>
        <v>4.3</v>
      </c>
    </row>
    <row r="2548" spans="1:7" ht="12.75" customHeight="1">
      <c r="A2548" s="3">
        <v>10779</v>
      </c>
      <c r="B2548" s="4" t="s">
        <v>2569</v>
      </c>
      <c r="C2548" s="3" t="s">
        <v>156</v>
      </c>
      <c r="D2548" s="5">
        <f t="shared" si="78"/>
        <v>948</v>
      </c>
      <c r="E2548">
        <v>1040.6199999999999</v>
      </c>
      <c r="F2548" s="1789">
        <v>8.8999999999999996E-2</v>
      </c>
      <c r="G2548">
        <f t="shared" si="79"/>
        <v>948</v>
      </c>
    </row>
    <row r="2549" spans="1:7" ht="12.75" customHeight="1">
      <c r="A2549" s="3">
        <v>10777</v>
      </c>
      <c r="B2549" s="4" t="s">
        <v>2570</v>
      </c>
      <c r="C2549" s="3" t="s">
        <v>156</v>
      </c>
      <c r="D2549" s="5">
        <f t="shared" si="78"/>
        <v>861.1</v>
      </c>
      <c r="E2549">
        <v>945.23</v>
      </c>
      <c r="F2549" s="1789">
        <v>8.8999999999999996E-2</v>
      </c>
      <c r="G2549">
        <f t="shared" si="79"/>
        <v>861.1</v>
      </c>
    </row>
    <row r="2550" spans="1:7" ht="12.75" customHeight="1">
      <c r="A2550" s="3">
        <v>10775</v>
      </c>
      <c r="B2550" s="4" t="s">
        <v>2571</v>
      </c>
      <c r="C2550" s="3" t="s">
        <v>156</v>
      </c>
      <c r="D2550" s="5">
        <f t="shared" si="78"/>
        <v>758.4</v>
      </c>
      <c r="E2550">
        <v>832.5</v>
      </c>
      <c r="F2550" s="1789">
        <v>8.8999999999999996E-2</v>
      </c>
      <c r="G2550">
        <f t="shared" si="79"/>
        <v>758.4</v>
      </c>
    </row>
    <row r="2551" spans="1:7" ht="12.75" customHeight="1">
      <c r="A2551" s="3">
        <v>10776</v>
      </c>
      <c r="B2551" s="4" t="s">
        <v>2572</v>
      </c>
      <c r="C2551" s="3" t="s">
        <v>156</v>
      </c>
      <c r="D2551" s="5">
        <f t="shared" si="78"/>
        <v>592.5</v>
      </c>
      <c r="E2551">
        <v>650.39</v>
      </c>
      <c r="F2551" s="1789">
        <v>8.8999999999999996E-2</v>
      </c>
      <c r="G2551">
        <f t="shared" si="79"/>
        <v>592.5</v>
      </c>
    </row>
    <row r="2552" spans="1:7" ht="12.75" customHeight="1">
      <c r="A2552" s="3">
        <v>10778</v>
      </c>
      <c r="B2552" s="4" t="s">
        <v>2573</v>
      </c>
      <c r="C2552" s="3" t="s">
        <v>156</v>
      </c>
      <c r="D2552" s="5">
        <f t="shared" si="78"/>
        <v>948</v>
      </c>
      <c r="E2552">
        <v>1040.6199999999999</v>
      </c>
      <c r="F2552" s="1789">
        <v>8.8999999999999996E-2</v>
      </c>
      <c r="G2552">
        <f t="shared" si="79"/>
        <v>948</v>
      </c>
    </row>
    <row r="2553" spans="1:7" ht="12.75" customHeight="1">
      <c r="A2553" s="3">
        <v>40339</v>
      </c>
      <c r="B2553" s="4" t="s">
        <v>2574</v>
      </c>
      <c r="C2553" s="3" t="s">
        <v>2562</v>
      </c>
      <c r="D2553" s="5">
        <f t="shared" si="78"/>
        <v>8.8000000000000007</v>
      </c>
      <c r="E2553">
        <v>9.66</v>
      </c>
      <c r="F2553" s="1789">
        <v>8.8999999999999996E-2</v>
      </c>
      <c r="G2553">
        <f t="shared" si="79"/>
        <v>8.8000000000000007</v>
      </c>
    </row>
    <row r="2554" spans="1:7" ht="12.75" customHeight="1">
      <c r="A2554" s="3">
        <v>10749</v>
      </c>
      <c r="B2554" s="4" t="s">
        <v>2575</v>
      </c>
      <c r="C2554" s="3" t="s">
        <v>2562</v>
      </c>
      <c r="D2554" s="5">
        <f t="shared" si="78"/>
        <v>29.1</v>
      </c>
      <c r="E2554">
        <v>31.95</v>
      </c>
      <c r="F2554" s="1789">
        <v>8.8999999999999996E-2</v>
      </c>
      <c r="G2554">
        <f t="shared" si="79"/>
        <v>29.1</v>
      </c>
    </row>
    <row r="2555" spans="1:7" ht="12.75" customHeight="1">
      <c r="A2555" s="3">
        <v>40290</v>
      </c>
      <c r="B2555" s="4" t="s">
        <v>2576</v>
      </c>
      <c r="C2555" s="3" t="s">
        <v>2562</v>
      </c>
      <c r="D2555" s="5">
        <f t="shared" si="78"/>
        <v>15.74</v>
      </c>
      <c r="E2555">
        <v>17.28</v>
      </c>
      <c r="F2555" s="1789">
        <v>8.8999999999999996E-2</v>
      </c>
      <c r="G2555">
        <f t="shared" si="79"/>
        <v>15.74</v>
      </c>
    </row>
    <row r="2556" spans="1:7" ht="12.75" customHeight="1">
      <c r="A2556" s="3">
        <v>3346</v>
      </c>
      <c r="B2556" s="4" t="s">
        <v>2577</v>
      </c>
      <c r="C2556" s="3" t="s">
        <v>154</v>
      </c>
      <c r="D2556" s="5">
        <f t="shared" si="78"/>
        <v>16.72</v>
      </c>
      <c r="E2556">
        <v>18.36</v>
      </c>
      <c r="F2556" s="1789">
        <v>8.8999999999999996E-2</v>
      </c>
      <c r="G2556">
        <f t="shared" si="79"/>
        <v>16.72</v>
      </c>
    </row>
    <row r="2557" spans="1:7" ht="12.75" customHeight="1">
      <c r="A2557" s="3">
        <v>3348</v>
      </c>
      <c r="B2557" s="4" t="s">
        <v>2578</v>
      </c>
      <c r="C2557" s="3" t="s">
        <v>154</v>
      </c>
      <c r="D2557" s="5">
        <f t="shared" si="78"/>
        <v>20</v>
      </c>
      <c r="E2557">
        <v>21.96</v>
      </c>
      <c r="F2557" s="1789">
        <v>8.8999999999999996E-2</v>
      </c>
      <c r="G2557">
        <f t="shared" si="79"/>
        <v>20</v>
      </c>
    </row>
    <row r="2558" spans="1:7" ht="12.75" customHeight="1">
      <c r="A2558" s="3">
        <v>39833</v>
      </c>
      <c r="B2558" s="4" t="s">
        <v>2579</v>
      </c>
      <c r="C2558" s="3" t="s">
        <v>154</v>
      </c>
      <c r="D2558" s="5">
        <f t="shared" si="78"/>
        <v>27.4</v>
      </c>
      <c r="E2558">
        <v>30.08</v>
      </c>
      <c r="F2558" s="1789">
        <v>8.8999999999999996E-2</v>
      </c>
      <c r="G2558">
        <f t="shared" si="79"/>
        <v>27.4</v>
      </c>
    </row>
    <row r="2559" spans="1:7" ht="12.75" customHeight="1">
      <c r="A2559" s="3">
        <v>7252</v>
      </c>
      <c r="B2559" s="4" t="s">
        <v>2580</v>
      </c>
      <c r="C2559" s="3" t="s">
        <v>154</v>
      </c>
      <c r="D2559" s="5">
        <f t="shared" si="78"/>
        <v>2.13</v>
      </c>
      <c r="E2559">
        <v>2.34</v>
      </c>
      <c r="F2559" s="1789">
        <v>8.8999999999999996E-2</v>
      </c>
      <c r="G2559">
        <f t="shared" si="79"/>
        <v>2.13</v>
      </c>
    </row>
    <row r="2560" spans="1:7" ht="12.75" customHeight="1">
      <c r="A2560" s="3">
        <v>7247</v>
      </c>
      <c r="B2560" s="4" t="s">
        <v>2581</v>
      </c>
      <c r="C2560" s="3" t="s">
        <v>154</v>
      </c>
      <c r="D2560" s="5">
        <f t="shared" si="78"/>
        <v>2.13</v>
      </c>
      <c r="E2560">
        <v>2.34</v>
      </c>
      <c r="F2560" s="1789">
        <v>8.8999999999999996E-2</v>
      </c>
      <c r="G2560">
        <f t="shared" si="79"/>
        <v>2.13</v>
      </c>
    </row>
    <row r="2561" spans="1:7" ht="12.75" customHeight="1">
      <c r="A2561" s="3">
        <v>40291</v>
      </c>
      <c r="B2561" s="4" t="s">
        <v>2582</v>
      </c>
      <c r="C2561" s="3" t="s">
        <v>2562</v>
      </c>
      <c r="D2561" s="5">
        <f t="shared" si="78"/>
        <v>819.9</v>
      </c>
      <c r="E2561">
        <v>900</v>
      </c>
      <c r="F2561" s="1789">
        <v>8.8999999999999996E-2</v>
      </c>
      <c r="G2561">
        <f t="shared" si="79"/>
        <v>819.9</v>
      </c>
    </row>
    <row r="2562" spans="1:7" ht="12.75" customHeight="1">
      <c r="A2562" s="3">
        <v>40275</v>
      </c>
      <c r="B2562" s="4" t="s">
        <v>2583</v>
      </c>
      <c r="C2562" s="3" t="s">
        <v>2562</v>
      </c>
      <c r="D2562" s="5">
        <f t="shared" si="78"/>
        <v>26.23</v>
      </c>
      <c r="E2562">
        <v>28.8</v>
      </c>
      <c r="F2562" s="1789">
        <v>8.8999999999999996E-2</v>
      </c>
      <c r="G2562">
        <f t="shared" si="79"/>
        <v>26.23</v>
      </c>
    </row>
    <row r="2563" spans="1:7" ht="12.75" customHeight="1">
      <c r="A2563" s="3">
        <v>42408</v>
      </c>
      <c r="B2563" s="4" t="s">
        <v>2584</v>
      </c>
      <c r="C2563" s="3" t="s">
        <v>409</v>
      </c>
      <c r="D2563" s="5">
        <f t="shared" ref="D2563:D2626" si="80">G2563</f>
        <v>2.52</v>
      </c>
      <c r="E2563">
        <v>2.77</v>
      </c>
      <c r="F2563" s="1789">
        <v>8.8999999999999996E-2</v>
      </c>
      <c r="G2563">
        <f t="shared" ref="G2563:G2626" si="81">TRUNC((1-F2563)*E2563,2)</f>
        <v>2.52</v>
      </c>
    </row>
    <row r="2564" spans="1:7" ht="12.75" customHeight="1">
      <c r="A2564" s="3">
        <v>3777</v>
      </c>
      <c r="B2564" s="4" t="s">
        <v>2585</v>
      </c>
      <c r="C2564" s="3" t="s">
        <v>409</v>
      </c>
      <c r="D2564" s="5">
        <f t="shared" si="80"/>
        <v>1.82</v>
      </c>
      <c r="E2564">
        <v>2</v>
      </c>
      <c r="F2564" s="1789">
        <v>8.8999999999999996E-2</v>
      </c>
      <c r="G2564">
        <f t="shared" si="81"/>
        <v>1.82</v>
      </c>
    </row>
    <row r="2565" spans="1:7" ht="12.75" customHeight="1">
      <c r="A2565" s="3">
        <v>44699</v>
      </c>
      <c r="B2565" s="4" t="s">
        <v>2586</v>
      </c>
      <c r="C2565" s="3" t="s">
        <v>54</v>
      </c>
      <c r="D2565" s="5">
        <f t="shared" si="80"/>
        <v>43.71</v>
      </c>
      <c r="E2565">
        <v>47.99</v>
      </c>
      <c r="F2565" s="1789">
        <v>8.8999999999999996E-2</v>
      </c>
      <c r="G2565">
        <f t="shared" si="81"/>
        <v>43.71</v>
      </c>
    </row>
    <row r="2566" spans="1:7" ht="12.75" customHeight="1">
      <c r="A2566" s="3">
        <v>3798</v>
      </c>
      <c r="B2566" s="4" t="s">
        <v>2587</v>
      </c>
      <c r="C2566" s="3" t="s">
        <v>6</v>
      </c>
      <c r="D2566" s="5">
        <f t="shared" si="80"/>
        <v>83.9</v>
      </c>
      <c r="E2566">
        <v>92.1</v>
      </c>
      <c r="F2566" s="1789">
        <v>8.8999999999999996E-2</v>
      </c>
      <c r="G2566">
        <f t="shared" si="81"/>
        <v>83.9</v>
      </c>
    </row>
    <row r="2567" spans="1:7" ht="12.75" customHeight="1">
      <c r="A2567" s="3">
        <v>38769</v>
      </c>
      <c r="B2567" s="4" t="s">
        <v>2588</v>
      </c>
      <c r="C2567" s="3" t="s">
        <v>6</v>
      </c>
      <c r="D2567" s="5">
        <f t="shared" si="80"/>
        <v>65.52</v>
      </c>
      <c r="E2567">
        <v>71.930000000000007</v>
      </c>
      <c r="F2567" s="1789">
        <v>8.8999999999999996E-2</v>
      </c>
      <c r="G2567">
        <f t="shared" si="81"/>
        <v>65.52</v>
      </c>
    </row>
    <row r="2568" spans="1:7" ht="12.75" customHeight="1">
      <c r="A2568" s="3">
        <v>38774</v>
      </c>
      <c r="B2568" s="4" t="s">
        <v>2589</v>
      </c>
      <c r="C2568" s="3" t="s">
        <v>6</v>
      </c>
      <c r="D2568" s="5">
        <f t="shared" si="80"/>
        <v>9.1199999999999992</v>
      </c>
      <c r="E2568">
        <v>10.02</v>
      </c>
      <c r="F2568" s="1789">
        <v>8.8999999999999996E-2</v>
      </c>
      <c r="G2568">
        <f t="shared" si="81"/>
        <v>9.1199999999999992</v>
      </c>
    </row>
    <row r="2569" spans="1:7" ht="12.75" customHeight="1">
      <c r="A2569" s="3">
        <v>42247</v>
      </c>
      <c r="B2569" s="4" t="s">
        <v>2590</v>
      </c>
      <c r="C2569" s="3" t="s">
        <v>6</v>
      </c>
      <c r="D2569" s="5">
        <f t="shared" si="80"/>
        <v>311.68</v>
      </c>
      <c r="E2569">
        <v>342.13</v>
      </c>
      <c r="F2569" s="1789">
        <v>8.8999999999999996E-2</v>
      </c>
      <c r="G2569">
        <f t="shared" si="81"/>
        <v>311.68</v>
      </c>
    </row>
    <row r="2570" spans="1:7" ht="12.75" customHeight="1">
      <c r="A2570" s="3">
        <v>42248</v>
      </c>
      <c r="B2570" s="4" t="s">
        <v>2591</v>
      </c>
      <c r="C2570" s="3" t="s">
        <v>6</v>
      </c>
      <c r="D2570" s="5">
        <f t="shared" si="80"/>
        <v>362.04</v>
      </c>
      <c r="E2570">
        <v>397.42</v>
      </c>
      <c r="F2570" s="1789">
        <v>8.8999999999999996E-2</v>
      </c>
      <c r="G2570">
        <f t="shared" si="81"/>
        <v>362.04</v>
      </c>
    </row>
    <row r="2571" spans="1:7" ht="12.75" customHeight="1">
      <c r="A2571" s="3">
        <v>42249</v>
      </c>
      <c r="B2571" s="4" t="s">
        <v>2592</v>
      </c>
      <c r="C2571" s="3" t="s">
        <v>6</v>
      </c>
      <c r="D2571" s="5">
        <f t="shared" si="80"/>
        <v>599.78</v>
      </c>
      <c r="E2571">
        <v>658.38</v>
      </c>
      <c r="F2571" s="1789">
        <v>8.8999999999999996E-2</v>
      </c>
      <c r="G2571">
        <f t="shared" si="81"/>
        <v>599.78</v>
      </c>
    </row>
    <row r="2572" spans="1:7" ht="12.75" customHeight="1">
      <c r="A2572" s="3">
        <v>42244</v>
      </c>
      <c r="B2572" s="4" t="s">
        <v>2593</v>
      </c>
      <c r="C2572" s="3" t="s">
        <v>6</v>
      </c>
      <c r="D2572" s="5">
        <f t="shared" si="80"/>
        <v>93.66</v>
      </c>
      <c r="E2572">
        <v>102.82</v>
      </c>
      <c r="F2572" s="1789">
        <v>8.8999999999999996E-2</v>
      </c>
      <c r="G2572">
        <f t="shared" si="81"/>
        <v>93.66</v>
      </c>
    </row>
    <row r="2573" spans="1:7" ht="12.75" customHeight="1">
      <c r="A2573" s="3">
        <v>42245</v>
      </c>
      <c r="B2573" s="4" t="s">
        <v>2594</v>
      </c>
      <c r="C2573" s="3" t="s">
        <v>6</v>
      </c>
      <c r="D2573" s="5">
        <f t="shared" si="80"/>
        <v>172.84</v>
      </c>
      <c r="E2573">
        <v>189.73</v>
      </c>
      <c r="F2573" s="1789">
        <v>8.8999999999999996E-2</v>
      </c>
      <c r="G2573">
        <f t="shared" si="81"/>
        <v>172.84</v>
      </c>
    </row>
    <row r="2574" spans="1:7" ht="12.75" customHeight="1">
      <c r="A2574" s="3">
        <v>42246</v>
      </c>
      <c r="B2574" s="4" t="s">
        <v>2595</v>
      </c>
      <c r="C2574" s="3" t="s">
        <v>6</v>
      </c>
      <c r="D2574" s="5">
        <f t="shared" si="80"/>
        <v>191.32</v>
      </c>
      <c r="E2574">
        <v>210.02</v>
      </c>
      <c r="F2574" s="1789">
        <v>8.8999999999999996E-2</v>
      </c>
      <c r="G2574">
        <f t="shared" si="81"/>
        <v>191.32</v>
      </c>
    </row>
    <row r="2575" spans="1:7" ht="12.75" customHeight="1">
      <c r="A2575" s="3">
        <v>42243</v>
      </c>
      <c r="B2575" s="4" t="s">
        <v>2596</v>
      </c>
      <c r="C2575" s="3" t="s">
        <v>6</v>
      </c>
      <c r="D2575" s="5">
        <f t="shared" si="80"/>
        <v>230.71</v>
      </c>
      <c r="E2575">
        <v>253.25</v>
      </c>
      <c r="F2575" s="1789">
        <v>8.8999999999999996E-2</v>
      </c>
      <c r="G2575">
        <f t="shared" si="81"/>
        <v>230.71</v>
      </c>
    </row>
    <row r="2576" spans="1:7" ht="12.75" customHeight="1">
      <c r="A2576" s="3">
        <v>38889</v>
      </c>
      <c r="B2576" s="4" t="s">
        <v>2597</v>
      </c>
      <c r="C2576" s="3" t="s">
        <v>6</v>
      </c>
      <c r="D2576" s="5">
        <f t="shared" si="80"/>
        <v>50.22</v>
      </c>
      <c r="E2576">
        <v>55.13</v>
      </c>
      <c r="F2576" s="1789">
        <v>8.8999999999999996E-2</v>
      </c>
      <c r="G2576">
        <f t="shared" si="81"/>
        <v>50.22</v>
      </c>
    </row>
    <row r="2577" spans="1:7" ht="12.75" customHeight="1">
      <c r="A2577" s="3">
        <v>38784</v>
      </c>
      <c r="B2577" s="4" t="s">
        <v>2598</v>
      </c>
      <c r="C2577" s="3" t="s">
        <v>6</v>
      </c>
      <c r="D2577" s="5">
        <f t="shared" si="80"/>
        <v>67.180000000000007</v>
      </c>
      <c r="E2577">
        <v>73.75</v>
      </c>
      <c r="F2577" s="1789">
        <v>8.8999999999999996E-2</v>
      </c>
      <c r="G2577">
        <f t="shared" si="81"/>
        <v>67.180000000000007</v>
      </c>
    </row>
    <row r="2578" spans="1:7" ht="12.75" customHeight="1">
      <c r="A2578" s="3">
        <v>3780</v>
      </c>
      <c r="B2578" s="4" t="s">
        <v>2599</v>
      </c>
      <c r="C2578" s="3" t="s">
        <v>6</v>
      </c>
      <c r="D2578" s="5">
        <f t="shared" si="80"/>
        <v>103.3</v>
      </c>
      <c r="E2578">
        <v>113.4</v>
      </c>
      <c r="F2578" s="1789">
        <v>8.8999999999999996E-2</v>
      </c>
      <c r="G2578">
        <f t="shared" si="81"/>
        <v>103.3</v>
      </c>
    </row>
    <row r="2579" spans="1:7" ht="12.75" customHeight="1">
      <c r="A2579" s="3">
        <v>38773</v>
      </c>
      <c r="B2579" s="4" t="s">
        <v>2600</v>
      </c>
      <c r="C2579" s="3" t="s">
        <v>6</v>
      </c>
      <c r="D2579" s="5">
        <f t="shared" si="80"/>
        <v>6.58</v>
      </c>
      <c r="E2579">
        <v>7.23</v>
      </c>
      <c r="F2579" s="1789">
        <v>8.8999999999999996E-2</v>
      </c>
      <c r="G2579">
        <f t="shared" si="81"/>
        <v>6.58</v>
      </c>
    </row>
    <row r="2580" spans="1:7" ht="12.75" customHeight="1">
      <c r="A2580" s="3">
        <v>12271</v>
      </c>
      <c r="B2580" s="4" t="s">
        <v>2601</v>
      </c>
      <c r="C2580" s="3" t="s">
        <v>6</v>
      </c>
      <c r="D2580" s="5">
        <f t="shared" si="80"/>
        <v>367.44</v>
      </c>
      <c r="E2580">
        <v>403.34</v>
      </c>
      <c r="F2580" s="1789">
        <v>8.8999999999999996E-2</v>
      </c>
      <c r="G2580">
        <f t="shared" si="81"/>
        <v>367.44</v>
      </c>
    </row>
    <row r="2581" spans="1:7" ht="12.75" customHeight="1">
      <c r="A2581" s="3">
        <v>39385</v>
      </c>
      <c r="B2581" s="4" t="s">
        <v>2602</v>
      </c>
      <c r="C2581" s="3" t="s">
        <v>6</v>
      </c>
      <c r="D2581" s="5">
        <f t="shared" si="80"/>
        <v>8.34</v>
      </c>
      <c r="E2581">
        <v>9.16</v>
      </c>
      <c r="F2581" s="1789">
        <v>8.8999999999999996E-2</v>
      </c>
      <c r="G2581">
        <f t="shared" si="81"/>
        <v>8.34</v>
      </c>
    </row>
    <row r="2582" spans="1:7" ht="12.75" customHeight="1">
      <c r="A2582" s="3">
        <v>39389</v>
      </c>
      <c r="B2582" s="4" t="s">
        <v>2603</v>
      </c>
      <c r="C2582" s="3" t="s">
        <v>6</v>
      </c>
      <c r="D2582" s="5">
        <f t="shared" si="80"/>
        <v>9.0500000000000007</v>
      </c>
      <c r="E2582">
        <v>9.94</v>
      </c>
      <c r="F2582" s="1789">
        <v>8.8999999999999996E-2</v>
      </c>
      <c r="G2582">
        <f t="shared" si="81"/>
        <v>9.0500000000000007</v>
      </c>
    </row>
    <row r="2583" spans="1:7" ht="12.75" customHeight="1">
      <c r="A2583" s="3">
        <v>39390</v>
      </c>
      <c r="B2583" s="4" t="s">
        <v>2604</v>
      </c>
      <c r="C2583" s="3" t="s">
        <v>6</v>
      </c>
      <c r="D2583" s="5">
        <f t="shared" si="80"/>
        <v>18.989999999999998</v>
      </c>
      <c r="E2583">
        <v>20.85</v>
      </c>
      <c r="F2583" s="1789">
        <v>8.8999999999999996E-2</v>
      </c>
      <c r="G2583">
        <f t="shared" si="81"/>
        <v>18.989999999999998</v>
      </c>
    </row>
    <row r="2584" spans="1:7" ht="12.75" customHeight="1">
      <c r="A2584" s="3">
        <v>39391</v>
      </c>
      <c r="B2584" s="4" t="s">
        <v>2605</v>
      </c>
      <c r="C2584" s="3" t="s">
        <v>6</v>
      </c>
      <c r="D2584" s="5">
        <f t="shared" si="80"/>
        <v>21.32</v>
      </c>
      <c r="E2584">
        <v>23.41</v>
      </c>
      <c r="F2584" s="1789">
        <v>8.8999999999999996E-2</v>
      </c>
      <c r="G2584">
        <f t="shared" si="81"/>
        <v>21.32</v>
      </c>
    </row>
    <row r="2585" spans="1:7" ht="12.75" customHeight="1">
      <c r="A2585" s="3">
        <v>3803</v>
      </c>
      <c r="B2585" s="4" t="s">
        <v>2606</v>
      </c>
      <c r="C2585" s="3" t="s">
        <v>6</v>
      </c>
      <c r="D2585" s="5">
        <f t="shared" si="80"/>
        <v>62.13</v>
      </c>
      <c r="E2585">
        <v>68.2</v>
      </c>
      <c r="F2585" s="1789">
        <v>8.8999999999999996E-2</v>
      </c>
      <c r="G2585">
        <f t="shared" si="81"/>
        <v>62.13</v>
      </c>
    </row>
    <row r="2586" spans="1:7" ht="12.75" customHeight="1">
      <c r="A2586" s="3">
        <v>38770</v>
      </c>
      <c r="B2586" s="4" t="s">
        <v>2607</v>
      </c>
      <c r="C2586" s="3" t="s">
        <v>6</v>
      </c>
      <c r="D2586" s="5">
        <f t="shared" si="80"/>
        <v>71.94</v>
      </c>
      <c r="E2586">
        <v>78.97</v>
      </c>
      <c r="F2586" s="1789">
        <v>8.8999999999999996E-2</v>
      </c>
      <c r="G2586">
        <f t="shared" si="81"/>
        <v>71.94</v>
      </c>
    </row>
    <row r="2587" spans="1:7" ht="12.75" customHeight="1">
      <c r="A2587" s="3">
        <v>12267</v>
      </c>
      <c r="B2587" s="4" t="s">
        <v>2608</v>
      </c>
      <c r="C2587" s="3" t="s">
        <v>6</v>
      </c>
      <c r="D2587" s="5">
        <f t="shared" si="80"/>
        <v>210.82</v>
      </c>
      <c r="E2587">
        <v>231.42</v>
      </c>
      <c r="F2587" s="1789">
        <v>8.8999999999999996E-2</v>
      </c>
      <c r="G2587">
        <f t="shared" si="81"/>
        <v>210.82</v>
      </c>
    </row>
    <row r="2588" spans="1:7" ht="12.75" customHeight="1">
      <c r="A2588" s="3">
        <v>43265</v>
      </c>
      <c r="B2588" s="4" t="s">
        <v>2609</v>
      </c>
      <c r="C2588" s="3" t="s">
        <v>6</v>
      </c>
      <c r="D2588" s="5">
        <f t="shared" si="80"/>
        <v>26.11</v>
      </c>
      <c r="E2588">
        <v>28.67</v>
      </c>
      <c r="F2588" s="1789">
        <v>8.8999999999999996E-2</v>
      </c>
      <c r="G2588">
        <f t="shared" si="81"/>
        <v>26.11</v>
      </c>
    </row>
    <row r="2589" spans="1:7" ht="12.75" customHeight="1">
      <c r="A2589" s="3">
        <v>12266</v>
      </c>
      <c r="B2589" s="4" t="s">
        <v>2610</v>
      </c>
      <c r="C2589" s="3" t="s">
        <v>6</v>
      </c>
      <c r="D2589" s="5">
        <f t="shared" si="80"/>
        <v>107.9</v>
      </c>
      <c r="E2589">
        <v>118.45</v>
      </c>
      <c r="F2589" s="1789">
        <v>8.8999999999999996E-2</v>
      </c>
      <c r="G2589">
        <f t="shared" si="81"/>
        <v>107.9</v>
      </c>
    </row>
    <row r="2590" spans="1:7" ht="12.75" customHeight="1">
      <c r="A2590" s="3">
        <v>39378</v>
      </c>
      <c r="B2590" s="4" t="s">
        <v>2611</v>
      </c>
      <c r="C2590" s="3" t="s">
        <v>6</v>
      </c>
      <c r="D2590" s="5">
        <f t="shared" si="80"/>
        <v>76.5</v>
      </c>
      <c r="E2590">
        <v>83.98</v>
      </c>
      <c r="F2590" s="1789">
        <v>8.8999999999999996E-2</v>
      </c>
      <c r="G2590">
        <f t="shared" si="81"/>
        <v>76.5</v>
      </c>
    </row>
    <row r="2591" spans="1:7" ht="12.75" customHeight="1">
      <c r="A2591" s="3">
        <v>43543</v>
      </c>
      <c r="B2591" s="4" t="s">
        <v>2612</v>
      </c>
      <c r="C2591" s="3" t="s">
        <v>6</v>
      </c>
      <c r="D2591" s="5">
        <f t="shared" si="80"/>
        <v>159.38</v>
      </c>
      <c r="E2591">
        <v>174.96</v>
      </c>
      <c r="F2591" s="1789">
        <v>8.8999999999999996E-2</v>
      </c>
      <c r="G2591">
        <f t="shared" si="81"/>
        <v>159.38</v>
      </c>
    </row>
    <row r="2592" spans="1:7" ht="12.75" customHeight="1">
      <c r="A2592" s="3">
        <v>38775</v>
      </c>
      <c r="B2592" s="4" t="s">
        <v>2613</v>
      </c>
      <c r="C2592" s="3" t="s">
        <v>6</v>
      </c>
      <c r="D2592" s="5">
        <f t="shared" si="80"/>
        <v>81.099999999999994</v>
      </c>
      <c r="E2592">
        <v>89.03</v>
      </c>
      <c r="F2592" s="1789">
        <v>8.8999999999999996E-2</v>
      </c>
      <c r="G2592">
        <f t="shared" si="81"/>
        <v>81.099999999999994</v>
      </c>
    </row>
    <row r="2593" spans="1:7" ht="12.75" customHeight="1">
      <c r="A2593" s="3">
        <v>44252</v>
      </c>
      <c r="B2593" s="4" t="s">
        <v>2614</v>
      </c>
      <c r="C2593" s="3" t="s">
        <v>6</v>
      </c>
      <c r="D2593" s="5">
        <f t="shared" si="80"/>
        <v>163.82</v>
      </c>
      <c r="E2593">
        <v>179.83</v>
      </c>
      <c r="F2593" s="1789">
        <v>8.8999999999999996E-2</v>
      </c>
      <c r="G2593">
        <f t="shared" si="81"/>
        <v>163.82</v>
      </c>
    </row>
    <row r="2594" spans="1:7" ht="12.75" customHeight="1">
      <c r="A2594" s="3">
        <v>21119</v>
      </c>
      <c r="B2594" s="4" t="s">
        <v>2615</v>
      </c>
      <c r="C2594" s="3" t="s">
        <v>6</v>
      </c>
      <c r="D2594" s="5">
        <f t="shared" si="80"/>
        <v>1.63</v>
      </c>
      <c r="E2594">
        <v>1.8</v>
      </c>
      <c r="F2594" s="1789">
        <v>8.8999999999999996E-2</v>
      </c>
      <c r="G2594">
        <f t="shared" si="81"/>
        <v>1.63</v>
      </c>
    </row>
    <row r="2595" spans="1:7" ht="12.75" customHeight="1">
      <c r="A2595" s="3">
        <v>37974</v>
      </c>
      <c r="B2595" s="4" t="s">
        <v>2616</v>
      </c>
      <c r="C2595" s="3" t="s">
        <v>6</v>
      </c>
      <c r="D2595" s="5">
        <f t="shared" si="80"/>
        <v>2.12</v>
      </c>
      <c r="E2595">
        <v>2.33</v>
      </c>
      <c r="F2595" s="1789">
        <v>8.8999999999999996E-2</v>
      </c>
      <c r="G2595">
        <f t="shared" si="81"/>
        <v>2.12</v>
      </c>
    </row>
    <row r="2596" spans="1:7" ht="12.75" customHeight="1">
      <c r="A2596" s="3">
        <v>37975</v>
      </c>
      <c r="B2596" s="4" t="s">
        <v>2617</v>
      </c>
      <c r="C2596" s="3" t="s">
        <v>6</v>
      </c>
      <c r="D2596" s="5">
        <f t="shared" si="80"/>
        <v>4.72</v>
      </c>
      <c r="E2596">
        <v>5.19</v>
      </c>
      <c r="F2596" s="1789">
        <v>8.8999999999999996E-2</v>
      </c>
      <c r="G2596">
        <f t="shared" si="81"/>
        <v>4.72</v>
      </c>
    </row>
    <row r="2597" spans="1:7" ht="12.75" customHeight="1">
      <c r="A2597" s="3">
        <v>37976</v>
      </c>
      <c r="B2597" s="4" t="s">
        <v>2618</v>
      </c>
      <c r="C2597" s="3" t="s">
        <v>6</v>
      </c>
      <c r="D2597" s="5">
        <f t="shared" si="80"/>
        <v>10.53</v>
      </c>
      <c r="E2597">
        <v>11.56</v>
      </c>
      <c r="F2597" s="1789">
        <v>8.8999999999999996E-2</v>
      </c>
      <c r="G2597">
        <f t="shared" si="81"/>
        <v>10.53</v>
      </c>
    </row>
    <row r="2598" spans="1:7" ht="12.75" customHeight="1">
      <c r="A2598" s="3">
        <v>37977</v>
      </c>
      <c r="B2598" s="4" t="s">
        <v>2619</v>
      </c>
      <c r="C2598" s="3" t="s">
        <v>6</v>
      </c>
      <c r="D2598" s="5">
        <f t="shared" si="80"/>
        <v>14.57</v>
      </c>
      <c r="E2598">
        <v>16</v>
      </c>
      <c r="F2598" s="1789">
        <v>8.8999999999999996E-2</v>
      </c>
      <c r="G2598">
        <f t="shared" si="81"/>
        <v>14.57</v>
      </c>
    </row>
    <row r="2599" spans="1:7" ht="12.75" customHeight="1">
      <c r="A2599" s="3">
        <v>37978</v>
      </c>
      <c r="B2599" s="4" t="s">
        <v>2620</v>
      </c>
      <c r="C2599" s="3" t="s">
        <v>6</v>
      </c>
      <c r="D2599" s="5">
        <f t="shared" si="80"/>
        <v>28.89</v>
      </c>
      <c r="E2599">
        <v>31.72</v>
      </c>
      <c r="F2599" s="1789">
        <v>8.8999999999999996E-2</v>
      </c>
      <c r="G2599">
        <f t="shared" si="81"/>
        <v>28.89</v>
      </c>
    </row>
    <row r="2600" spans="1:7" ht="12.75" customHeight="1">
      <c r="A2600" s="3">
        <v>37979</v>
      </c>
      <c r="B2600" s="4" t="s">
        <v>2621</v>
      </c>
      <c r="C2600" s="3" t="s">
        <v>6</v>
      </c>
      <c r="D2600" s="5">
        <f t="shared" si="80"/>
        <v>122.64</v>
      </c>
      <c r="E2600">
        <v>134.63</v>
      </c>
      <c r="F2600" s="1789">
        <v>8.8999999999999996E-2</v>
      </c>
      <c r="G2600">
        <f t="shared" si="81"/>
        <v>122.64</v>
      </c>
    </row>
    <row r="2601" spans="1:7" ht="12.75" customHeight="1">
      <c r="A2601" s="3">
        <v>37980</v>
      </c>
      <c r="B2601" s="4" t="s">
        <v>2622</v>
      </c>
      <c r="C2601" s="3" t="s">
        <v>6</v>
      </c>
      <c r="D2601" s="5">
        <f t="shared" si="80"/>
        <v>140.88</v>
      </c>
      <c r="E2601">
        <v>154.65</v>
      </c>
      <c r="F2601" s="1789">
        <v>8.8999999999999996E-2</v>
      </c>
      <c r="G2601">
        <f t="shared" si="81"/>
        <v>140.88</v>
      </c>
    </row>
    <row r="2602" spans="1:7" ht="12.75" customHeight="1">
      <c r="A2602" s="3">
        <v>36147</v>
      </c>
      <c r="B2602" s="4" t="s">
        <v>2623</v>
      </c>
      <c r="C2602" s="3" t="s">
        <v>423</v>
      </c>
      <c r="D2602" s="5">
        <f t="shared" si="80"/>
        <v>374.81</v>
      </c>
      <c r="E2602">
        <v>411.43</v>
      </c>
      <c r="F2602" s="1789">
        <v>8.8999999999999996E-2</v>
      </c>
      <c r="G2602">
        <f t="shared" si="81"/>
        <v>374.81</v>
      </c>
    </row>
    <row r="2603" spans="1:7" ht="12.75" customHeight="1">
      <c r="A2603" s="3">
        <v>12731</v>
      </c>
      <c r="B2603" s="4" t="s">
        <v>2624</v>
      </c>
      <c r="C2603" s="3" t="s">
        <v>6</v>
      </c>
      <c r="D2603" s="5">
        <f t="shared" si="80"/>
        <v>334.22</v>
      </c>
      <c r="E2603">
        <v>366.88</v>
      </c>
      <c r="F2603" s="1789">
        <v>8.8999999999999996E-2</v>
      </c>
      <c r="G2603">
        <f t="shared" si="81"/>
        <v>334.22</v>
      </c>
    </row>
    <row r="2604" spans="1:7" ht="12.75" customHeight="1">
      <c r="A2604" s="3">
        <v>12723</v>
      </c>
      <c r="B2604" s="4" t="s">
        <v>2625</v>
      </c>
      <c r="C2604" s="3" t="s">
        <v>6</v>
      </c>
      <c r="D2604" s="5">
        <f t="shared" si="80"/>
        <v>2.58</v>
      </c>
      <c r="E2604">
        <v>2.84</v>
      </c>
      <c r="F2604" s="1789">
        <v>8.8999999999999996E-2</v>
      </c>
      <c r="G2604">
        <f t="shared" si="81"/>
        <v>2.58</v>
      </c>
    </row>
    <row r="2605" spans="1:7" ht="12.75" customHeight="1">
      <c r="A2605" s="3">
        <v>12724</v>
      </c>
      <c r="B2605" s="4" t="s">
        <v>2626</v>
      </c>
      <c r="C2605" s="3" t="s">
        <v>6</v>
      </c>
      <c r="D2605" s="5">
        <f t="shared" si="80"/>
        <v>4.97</v>
      </c>
      <c r="E2605">
        <v>5.46</v>
      </c>
      <c r="F2605" s="1789">
        <v>8.8999999999999996E-2</v>
      </c>
      <c r="G2605">
        <f t="shared" si="81"/>
        <v>4.97</v>
      </c>
    </row>
    <row r="2606" spans="1:7" ht="12.75" customHeight="1">
      <c r="A2606" s="3">
        <v>12725</v>
      </c>
      <c r="B2606" s="4" t="s">
        <v>2627</v>
      </c>
      <c r="C2606" s="3" t="s">
        <v>6</v>
      </c>
      <c r="D2606" s="5">
        <f t="shared" si="80"/>
        <v>9.98</v>
      </c>
      <c r="E2606">
        <v>10.96</v>
      </c>
      <c r="F2606" s="1789">
        <v>8.8999999999999996E-2</v>
      </c>
      <c r="G2606">
        <f t="shared" si="81"/>
        <v>9.98</v>
      </c>
    </row>
    <row r="2607" spans="1:7" ht="12.75" customHeight="1">
      <c r="A2607" s="3">
        <v>12726</v>
      </c>
      <c r="B2607" s="4" t="s">
        <v>2628</v>
      </c>
      <c r="C2607" s="3" t="s">
        <v>6</v>
      </c>
      <c r="D2607" s="5">
        <f t="shared" si="80"/>
        <v>22.04</v>
      </c>
      <c r="E2607">
        <v>24.2</v>
      </c>
      <c r="F2607" s="1789">
        <v>8.8999999999999996E-2</v>
      </c>
      <c r="G2607">
        <f t="shared" si="81"/>
        <v>22.04</v>
      </c>
    </row>
    <row r="2608" spans="1:7" ht="12.75" customHeight="1">
      <c r="A2608" s="3">
        <v>12727</v>
      </c>
      <c r="B2608" s="4" t="s">
        <v>2629</v>
      </c>
      <c r="C2608" s="3" t="s">
        <v>6</v>
      </c>
      <c r="D2608" s="5">
        <f t="shared" si="80"/>
        <v>27.95</v>
      </c>
      <c r="E2608">
        <v>30.69</v>
      </c>
      <c r="F2608" s="1789">
        <v>8.8999999999999996E-2</v>
      </c>
      <c r="G2608">
        <f t="shared" si="81"/>
        <v>27.95</v>
      </c>
    </row>
    <row r="2609" spans="1:7" ht="12.75" customHeight="1">
      <c r="A2609" s="3">
        <v>12728</v>
      </c>
      <c r="B2609" s="4" t="s">
        <v>2630</v>
      </c>
      <c r="C2609" s="3" t="s">
        <v>6</v>
      </c>
      <c r="D2609" s="5">
        <f t="shared" si="80"/>
        <v>45.67</v>
      </c>
      <c r="E2609">
        <v>50.14</v>
      </c>
      <c r="F2609" s="1789">
        <v>8.8999999999999996E-2</v>
      </c>
      <c r="G2609">
        <f t="shared" si="81"/>
        <v>45.67</v>
      </c>
    </row>
    <row r="2610" spans="1:7" ht="12.75" customHeight="1">
      <c r="A2610" s="3">
        <v>12729</v>
      </c>
      <c r="B2610" s="4" t="s">
        <v>2631</v>
      </c>
      <c r="C2610" s="3" t="s">
        <v>6</v>
      </c>
      <c r="D2610" s="5">
        <f t="shared" si="80"/>
        <v>149.69999999999999</v>
      </c>
      <c r="E2610">
        <v>164.33</v>
      </c>
      <c r="F2610" s="1789">
        <v>8.8999999999999996E-2</v>
      </c>
      <c r="G2610">
        <f t="shared" si="81"/>
        <v>149.69999999999999</v>
      </c>
    </row>
    <row r="2611" spans="1:7" ht="12.75" customHeight="1">
      <c r="A2611" s="3">
        <v>12730</v>
      </c>
      <c r="B2611" s="4" t="s">
        <v>2632</v>
      </c>
      <c r="C2611" s="3" t="s">
        <v>6</v>
      </c>
      <c r="D2611" s="5">
        <f t="shared" si="80"/>
        <v>229.2</v>
      </c>
      <c r="E2611">
        <v>251.6</v>
      </c>
      <c r="F2611" s="1789">
        <v>8.8999999999999996E-2</v>
      </c>
      <c r="G2611">
        <f t="shared" si="81"/>
        <v>229.2</v>
      </c>
    </row>
    <row r="2612" spans="1:7" ht="12.75" customHeight="1">
      <c r="A2612" s="3">
        <v>3840</v>
      </c>
      <c r="B2612" s="4" t="s">
        <v>2633</v>
      </c>
      <c r="C2612" s="3" t="s">
        <v>6</v>
      </c>
      <c r="D2612" s="5">
        <f t="shared" si="80"/>
        <v>32.32</v>
      </c>
      <c r="E2612">
        <v>35.479999999999997</v>
      </c>
      <c r="F2612" s="1789">
        <v>8.8999999999999996E-2</v>
      </c>
      <c r="G2612">
        <f t="shared" si="81"/>
        <v>32.32</v>
      </c>
    </row>
    <row r="2613" spans="1:7" ht="12.75" customHeight="1">
      <c r="A2613" s="3">
        <v>3838</v>
      </c>
      <c r="B2613" s="4" t="s">
        <v>2634</v>
      </c>
      <c r="C2613" s="3" t="s">
        <v>6</v>
      </c>
      <c r="D2613" s="5">
        <f t="shared" si="80"/>
        <v>71.33</v>
      </c>
      <c r="E2613">
        <v>78.3</v>
      </c>
      <c r="F2613" s="1789">
        <v>8.8999999999999996E-2</v>
      </c>
      <c r="G2613">
        <f t="shared" si="81"/>
        <v>71.33</v>
      </c>
    </row>
    <row r="2614" spans="1:7" ht="12.75" customHeight="1">
      <c r="A2614" s="3">
        <v>3844</v>
      </c>
      <c r="B2614" s="4" t="s">
        <v>2635</v>
      </c>
      <c r="C2614" s="3" t="s">
        <v>6</v>
      </c>
      <c r="D2614" s="5">
        <f t="shared" si="80"/>
        <v>127.23</v>
      </c>
      <c r="E2614">
        <v>139.66999999999999</v>
      </c>
      <c r="F2614" s="1789">
        <v>8.8999999999999996E-2</v>
      </c>
      <c r="G2614">
        <f t="shared" si="81"/>
        <v>127.23</v>
      </c>
    </row>
    <row r="2615" spans="1:7" ht="12.75" customHeight="1">
      <c r="A2615" s="3">
        <v>3839</v>
      </c>
      <c r="B2615" s="4" t="s">
        <v>2636</v>
      </c>
      <c r="C2615" s="3" t="s">
        <v>6</v>
      </c>
      <c r="D2615" s="5">
        <f t="shared" si="80"/>
        <v>231.75</v>
      </c>
      <c r="E2615">
        <v>254.4</v>
      </c>
      <c r="F2615" s="1789">
        <v>8.8999999999999996E-2</v>
      </c>
      <c r="G2615">
        <f t="shared" si="81"/>
        <v>231.75</v>
      </c>
    </row>
    <row r="2616" spans="1:7" ht="12.75" customHeight="1">
      <c r="A2616" s="3">
        <v>3843</v>
      </c>
      <c r="B2616" s="4" t="s">
        <v>2637</v>
      </c>
      <c r="C2616" s="3" t="s">
        <v>6</v>
      </c>
      <c r="D2616" s="5">
        <f t="shared" si="80"/>
        <v>318.08</v>
      </c>
      <c r="E2616">
        <v>349.16</v>
      </c>
      <c r="F2616" s="1789">
        <v>8.8999999999999996E-2</v>
      </c>
      <c r="G2616">
        <f t="shared" si="81"/>
        <v>318.08</v>
      </c>
    </row>
    <row r="2617" spans="1:7" ht="12.75" customHeight="1">
      <c r="A2617" s="3">
        <v>3900</v>
      </c>
      <c r="B2617" s="4" t="s">
        <v>2638</v>
      </c>
      <c r="C2617" s="3" t="s">
        <v>6</v>
      </c>
      <c r="D2617" s="5">
        <f t="shared" si="80"/>
        <v>36.51</v>
      </c>
      <c r="E2617">
        <v>40.08</v>
      </c>
      <c r="F2617" s="1789">
        <v>8.8999999999999996E-2</v>
      </c>
      <c r="G2617">
        <f t="shared" si="81"/>
        <v>36.51</v>
      </c>
    </row>
    <row r="2618" spans="1:7" ht="12.75" customHeight="1">
      <c r="A2618" s="3">
        <v>3846</v>
      </c>
      <c r="B2618" s="4" t="s">
        <v>2639</v>
      </c>
      <c r="C2618" s="3" t="s">
        <v>6</v>
      </c>
      <c r="D2618" s="5">
        <f t="shared" si="80"/>
        <v>10.96</v>
      </c>
      <c r="E2618">
        <v>12.04</v>
      </c>
      <c r="F2618" s="1789">
        <v>8.8999999999999996E-2</v>
      </c>
      <c r="G2618">
        <f t="shared" si="81"/>
        <v>10.96</v>
      </c>
    </row>
    <row r="2619" spans="1:7" ht="12.75" customHeight="1">
      <c r="A2619" s="3">
        <v>3886</v>
      </c>
      <c r="B2619" s="4" t="s">
        <v>2640</v>
      </c>
      <c r="C2619" s="3" t="s">
        <v>6</v>
      </c>
      <c r="D2619" s="5">
        <f t="shared" si="80"/>
        <v>14.56</v>
      </c>
      <c r="E2619">
        <v>15.99</v>
      </c>
      <c r="F2619" s="1789">
        <v>8.8999999999999996E-2</v>
      </c>
      <c r="G2619">
        <f t="shared" si="81"/>
        <v>14.56</v>
      </c>
    </row>
    <row r="2620" spans="1:7" ht="12.75" customHeight="1">
      <c r="A2620" s="3">
        <v>3854</v>
      </c>
      <c r="B2620" s="4" t="s">
        <v>2641</v>
      </c>
      <c r="C2620" s="3" t="s">
        <v>6</v>
      </c>
      <c r="D2620" s="5">
        <f t="shared" si="80"/>
        <v>8.2899999999999991</v>
      </c>
      <c r="E2620">
        <v>9.11</v>
      </c>
      <c r="F2620" s="1789">
        <v>8.8999999999999996E-2</v>
      </c>
      <c r="G2620">
        <f t="shared" si="81"/>
        <v>8.2899999999999991</v>
      </c>
    </row>
    <row r="2621" spans="1:7" ht="12.75" customHeight="1">
      <c r="A2621" s="3">
        <v>3873</v>
      </c>
      <c r="B2621" s="4" t="s">
        <v>2642</v>
      </c>
      <c r="C2621" s="3" t="s">
        <v>6</v>
      </c>
      <c r="D2621" s="5">
        <f t="shared" si="80"/>
        <v>9.66</v>
      </c>
      <c r="E2621">
        <v>10.61</v>
      </c>
      <c r="F2621" s="1789">
        <v>8.8999999999999996E-2</v>
      </c>
      <c r="G2621">
        <f t="shared" si="81"/>
        <v>9.66</v>
      </c>
    </row>
    <row r="2622" spans="1:7" ht="12.75" customHeight="1">
      <c r="A2622" s="3">
        <v>38021</v>
      </c>
      <c r="B2622" s="4" t="s">
        <v>2643</v>
      </c>
      <c r="C2622" s="3" t="s">
        <v>6</v>
      </c>
      <c r="D2622" s="5">
        <f t="shared" si="80"/>
        <v>17.149999999999999</v>
      </c>
      <c r="E2622">
        <v>18.829999999999998</v>
      </c>
      <c r="F2622" s="1789">
        <v>8.8999999999999996E-2</v>
      </c>
      <c r="G2622">
        <f t="shared" si="81"/>
        <v>17.149999999999999</v>
      </c>
    </row>
    <row r="2623" spans="1:7" ht="12.75" customHeight="1">
      <c r="A2623" s="3">
        <v>43838</v>
      </c>
      <c r="B2623" s="4" t="s">
        <v>2644</v>
      </c>
      <c r="C2623" s="3" t="s">
        <v>6</v>
      </c>
      <c r="D2623" s="5">
        <f t="shared" si="80"/>
        <v>22.17</v>
      </c>
      <c r="E2623">
        <v>24.34</v>
      </c>
      <c r="F2623" s="1789">
        <v>8.8999999999999996E-2</v>
      </c>
      <c r="G2623">
        <f t="shared" si="81"/>
        <v>22.17</v>
      </c>
    </row>
    <row r="2624" spans="1:7" ht="12.75" customHeight="1">
      <c r="A2624" s="3">
        <v>3847</v>
      </c>
      <c r="B2624" s="4" t="s">
        <v>2645</v>
      </c>
      <c r="C2624" s="3" t="s">
        <v>6</v>
      </c>
      <c r="D2624" s="5">
        <f t="shared" si="80"/>
        <v>22.36</v>
      </c>
      <c r="E2624">
        <v>24.55</v>
      </c>
      <c r="F2624" s="1789">
        <v>8.8999999999999996E-2</v>
      </c>
      <c r="G2624">
        <f t="shared" si="81"/>
        <v>22.36</v>
      </c>
    </row>
    <row r="2625" spans="1:7" ht="12.75" customHeight="1">
      <c r="A2625" s="3">
        <v>38022</v>
      </c>
      <c r="B2625" s="4" t="s">
        <v>2646</v>
      </c>
      <c r="C2625" s="3" t="s">
        <v>6</v>
      </c>
      <c r="D2625" s="5">
        <f t="shared" si="80"/>
        <v>30.73</v>
      </c>
      <c r="E2625">
        <v>33.74</v>
      </c>
      <c r="F2625" s="1789">
        <v>8.8999999999999996E-2</v>
      </c>
      <c r="G2625">
        <f t="shared" si="81"/>
        <v>30.73</v>
      </c>
    </row>
    <row r="2626" spans="1:7" ht="12.75" customHeight="1">
      <c r="A2626" s="3">
        <v>3826</v>
      </c>
      <c r="B2626" s="4" t="s">
        <v>2647</v>
      </c>
      <c r="C2626" s="3" t="s">
        <v>6</v>
      </c>
      <c r="D2626" s="5">
        <f t="shared" si="80"/>
        <v>32.06</v>
      </c>
      <c r="E2626">
        <v>35.200000000000003</v>
      </c>
      <c r="F2626" s="1789">
        <v>8.8999999999999996E-2</v>
      </c>
      <c r="G2626">
        <f t="shared" si="81"/>
        <v>32.06</v>
      </c>
    </row>
    <row r="2627" spans="1:7" ht="12.75" customHeight="1">
      <c r="A2627" s="3">
        <v>3825</v>
      </c>
      <c r="B2627" s="4" t="s">
        <v>2648</v>
      </c>
      <c r="C2627" s="3" t="s">
        <v>6</v>
      </c>
      <c r="D2627" s="5">
        <f t="shared" ref="D2627:D2690" si="82">G2627</f>
        <v>9.2100000000000009</v>
      </c>
      <c r="E2627">
        <v>10.119999999999999</v>
      </c>
      <c r="F2627" s="1789">
        <v>8.8999999999999996E-2</v>
      </c>
      <c r="G2627">
        <f t="shared" ref="G2627:G2690" si="83">TRUNC((1-F2627)*E2627,2)</f>
        <v>9.2100000000000009</v>
      </c>
    </row>
    <row r="2628" spans="1:7" ht="12.75" customHeight="1">
      <c r="A2628" s="3">
        <v>3827</v>
      </c>
      <c r="B2628" s="4" t="s">
        <v>2649</v>
      </c>
      <c r="C2628" s="3" t="s">
        <v>6</v>
      </c>
      <c r="D2628" s="5">
        <f t="shared" si="82"/>
        <v>20.149999999999999</v>
      </c>
      <c r="E2628">
        <v>22.12</v>
      </c>
      <c r="F2628" s="1789">
        <v>8.8999999999999996E-2</v>
      </c>
      <c r="G2628">
        <f t="shared" si="83"/>
        <v>20.149999999999999</v>
      </c>
    </row>
    <row r="2629" spans="1:7" ht="12.75" customHeight="1">
      <c r="A2629" s="3">
        <v>3830</v>
      </c>
      <c r="B2629" s="4" t="s">
        <v>2650</v>
      </c>
      <c r="C2629" s="3" t="s">
        <v>6</v>
      </c>
      <c r="D2629" s="5">
        <f t="shared" si="82"/>
        <v>167.46</v>
      </c>
      <c r="E2629">
        <v>183.83</v>
      </c>
      <c r="F2629" s="1789">
        <v>8.8999999999999996E-2</v>
      </c>
      <c r="G2629">
        <f t="shared" si="83"/>
        <v>167.46</v>
      </c>
    </row>
    <row r="2630" spans="1:7" ht="12.75" customHeight="1">
      <c r="A2630" s="3">
        <v>37981</v>
      </c>
      <c r="B2630" s="4" t="s">
        <v>2651</v>
      </c>
      <c r="C2630" s="3" t="s">
        <v>6</v>
      </c>
      <c r="D2630" s="5">
        <f t="shared" si="82"/>
        <v>6.13</v>
      </c>
      <c r="E2630">
        <v>6.73</v>
      </c>
      <c r="F2630" s="1789">
        <v>8.8999999999999996E-2</v>
      </c>
      <c r="G2630">
        <f t="shared" si="83"/>
        <v>6.13</v>
      </c>
    </row>
    <row r="2631" spans="1:7" ht="12.75" customHeight="1">
      <c r="A2631" s="3">
        <v>37982</v>
      </c>
      <c r="B2631" s="4" t="s">
        <v>2652</v>
      </c>
      <c r="C2631" s="3" t="s">
        <v>6</v>
      </c>
      <c r="D2631" s="5">
        <f t="shared" si="82"/>
        <v>8.9</v>
      </c>
      <c r="E2631">
        <v>9.77</v>
      </c>
      <c r="F2631" s="1789">
        <v>8.8999999999999996E-2</v>
      </c>
      <c r="G2631">
        <f t="shared" si="83"/>
        <v>8.9</v>
      </c>
    </row>
    <row r="2632" spans="1:7" ht="12.75" customHeight="1">
      <c r="A2632" s="3">
        <v>37983</v>
      </c>
      <c r="B2632" s="4" t="s">
        <v>2653</v>
      </c>
      <c r="C2632" s="3" t="s">
        <v>6</v>
      </c>
      <c r="D2632" s="5">
        <f t="shared" si="82"/>
        <v>13.16</v>
      </c>
      <c r="E2632">
        <v>14.45</v>
      </c>
      <c r="F2632" s="1789">
        <v>8.8999999999999996E-2</v>
      </c>
      <c r="G2632">
        <f t="shared" si="83"/>
        <v>13.16</v>
      </c>
    </row>
    <row r="2633" spans="1:7" ht="12.75" customHeight="1">
      <c r="A2633" s="3">
        <v>37984</v>
      </c>
      <c r="B2633" s="4" t="s">
        <v>2654</v>
      </c>
      <c r="C2633" s="3" t="s">
        <v>6</v>
      </c>
      <c r="D2633" s="5">
        <f t="shared" si="82"/>
        <v>18.489999999999998</v>
      </c>
      <c r="E2633">
        <v>20.3</v>
      </c>
      <c r="F2633" s="1789">
        <v>8.8999999999999996E-2</v>
      </c>
      <c r="G2633">
        <f t="shared" si="83"/>
        <v>18.489999999999998</v>
      </c>
    </row>
    <row r="2634" spans="1:7" ht="12.75" customHeight="1">
      <c r="A2634" s="3">
        <v>37985</v>
      </c>
      <c r="B2634" s="4" t="s">
        <v>2655</v>
      </c>
      <c r="C2634" s="3" t="s">
        <v>6</v>
      </c>
      <c r="D2634" s="5">
        <f t="shared" si="82"/>
        <v>26.27</v>
      </c>
      <c r="E2634">
        <v>28.84</v>
      </c>
      <c r="F2634" s="1789">
        <v>8.8999999999999996E-2</v>
      </c>
      <c r="G2634">
        <f t="shared" si="83"/>
        <v>26.27</v>
      </c>
    </row>
    <row r="2635" spans="1:7" ht="12.75" customHeight="1">
      <c r="A2635" s="3">
        <v>20165</v>
      </c>
      <c r="B2635" s="4" t="s">
        <v>2656</v>
      </c>
      <c r="C2635" s="3" t="s">
        <v>6</v>
      </c>
      <c r="D2635" s="5">
        <f t="shared" si="82"/>
        <v>20.76</v>
      </c>
      <c r="E2635">
        <v>22.79</v>
      </c>
      <c r="F2635" s="1789">
        <v>8.8999999999999996E-2</v>
      </c>
      <c r="G2635">
        <f t="shared" si="83"/>
        <v>20.76</v>
      </c>
    </row>
    <row r="2636" spans="1:7" ht="12.75" customHeight="1">
      <c r="A2636" s="3">
        <v>20166</v>
      </c>
      <c r="B2636" s="4" t="s">
        <v>2657</v>
      </c>
      <c r="C2636" s="3" t="s">
        <v>6</v>
      </c>
      <c r="D2636" s="5">
        <f t="shared" si="82"/>
        <v>63.4</v>
      </c>
      <c r="E2636">
        <v>69.599999999999994</v>
      </c>
      <c r="F2636" s="1789">
        <v>8.8999999999999996E-2</v>
      </c>
      <c r="G2636">
        <f t="shared" si="83"/>
        <v>63.4</v>
      </c>
    </row>
    <row r="2637" spans="1:7" ht="12.75" customHeight="1">
      <c r="A2637" s="3">
        <v>20164</v>
      </c>
      <c r="B2637" s="4" t="s">
        <v>2658</v>
      </c>
      <c r="C2637" s="3" t="s">
        <v>6</v>
      </c>
      <c r="D2637" s="5">
        <f t="shared" si="82"/>
        <v>9.9700000000000006</v>
      </c>
      <c r="E2637">
        <v>10.95</v>
      </c>
      <c r="F2637" s="1789">
        <v>8.8999999999999996E-2</v>
      </c>
      <c r="G2637">
        <f t="shared" si="83"/>
        <v>9.9700000000000006</v>
      </c>
    </row>
    <row r="2638" spans="1:7" ht="12.75" customHeight="1">
      <c r="A2638" s="3">
        <v>3893</v>
      </c>
      <c r="B2638" s="4" t="s">
        <v>2659</v>
      </c>
      <c r="C2638" s="3" t="s">
        <v>6</v>
      </c>
      <c r="D2638" s="5">
        <f t="shared" si="82"/>
        <v>15.63</v>
      </c>
      <c r="E2638">
        <v>17.16</v>
      </c>
      <c r="F2638" s="1789">
        <v>8.8999999999999996E-2</v>
      </c>
      <c r="G2638">
        <f t="shared" si="83"/>
        <v>15.63</v>
      </c>
    </row>
    <row r="2639" spans="1:7" ht="12.75" customHeight="1">
      <c r="A2639" s="3">
        <v>3848</v>
      </c>
      <c r="B2639" s="4" t="s">
        <v>2660</v>
      </c>
      <c r="C2639" s="3" t="s">
        <v>6</v>
      </c>
      <c r="D2639" s="5">
        <f t="shared" si="82"/>
        <v>9.52</v>
      </c>
      <c r="E2639">
        <v>10.46</v>
      </c>
      <c r="F2639" s="1789">
        <v>8.8999999999999996E-2</v>
      </c>
      <c r="G2639">
        <f t="shared" si="83"/>
        <v>9.52</v>
      </c>
    </row>
    <row r="2640" spans="1:7" ht="12.75" customHeight="1">
      <c r="A2640" s="3">
        <v>3895</v>
      </c>
      <c r="B2640" s="4" t="s">
        <v>2661</v>
      </c>
      <c r="C2640" s="3" t="s">
        <v>6</v>
      </c>
      <c r="D2640" s="5">
        <f t="shared" si="82"/>
        <v>10.58</v>
      </c>
      <c r="E2640">
        <v>11.62</v>
      </c>
      <c r="F2640" s="1789">
        <v>8.8999999999999996E-2</v>
      </c>
      <c r="G2640">
        <f t="shared" si="83"/>
        <v>10.58</v>
      </c>
    </row>
    <row r="2641" spans="1:7" ht="12.75" customHeight="1">
      <c r="A2641" s="3">
        <v>12404</v>
      </c>
      <c r="B2641" s="4" t="s">
        <v>2662</v>
      </c>
      <c r="C2641" s="3" t="s">
        <v>6</v>
      </c>
      <c r="D2641" s="5">
        <f t="shared" si="82"/>
        <v>8.2200000000000006</v>
      </c>
      <c r="E2641">
        <v>9.0299999999999994</v>
      </c>
      <c r="F2641" s="1789">
        <v>8.8999999999999996E-2</v>
      </c>
      <c r="G2641">
        <f t="shared" si="83"/>
        <v>8.2200000000000006</v>
      </c>
    </row>
    <row r="2642" spans="1:7" ht="12.75" customHeight="1">
      <c r="A2642" s="3">
        <v>3939</v>
      </c>
      <c r="B2642" s="4" t="s">
        <v>2663</v>
      </c>
      <c r="C2642" s="3" t="s">
        <v>6</v>
      </c>
      <c r="D2642" s="5">
        <f t="shared" si="82"/>
        <v>16.95</v>
      </c>
      <c r="E2642">
        <v>18.61</v>
      </c>
      <c r="F2642" s="1789">
        <v>8.8999999999999996E-2</v>
      </c>
      <c r="G2642">
        <f t="shared" si="83"/>
        <v>16.95</v>
      </c>
    </row>
    <row r="2643" spans="1:7" ht="12.75" customHeight="1">
      <c r="A2643" s="3">
        <v>3911</v>
      </c>
      <c r="B2643" s="4" t="s">
        <v>2664</v>
      </c>
      <c r="C2643" s="3" t="s">
        <v>6</v>
      </c>
      <c r="D2643" s="5">
        <f t="shared" si="82"/>
        <v>13.84</v>
      </c>
      <c r="E2643">
        <v>15.2</v>
      </c>
      <c r="F2643" s="1789">
        <v>8.8999999999999996E-2</v>
      </c>
      <c r="G2643">
        <f t="shared" si="83"/>
        <v>13.84</v>
      </c>
    </row>
    <row r="2644" spans="1:7" ht="12.75" customHeight="1">
      <c r="A2644" s="3">
        <v>3908</v>
      </c>
      <c r="B2644" s="4" t="s">
        <v>2665</v>
      </c>
      <c r="C2644" s="3" t="s">
        <v>6</v>
      </c>
      <c r="D2644" s="5">
        <f t="shared" si="82"/>
        <v>4.47</v>
      </c>
      <c r="E2644">
        <v>4.91</v>
      </c>
      <c r="F2644" s="1789">
        <v>8.8999999999999996E-2</v>
      </c>
      <c r="G2644">
        <f t="shared" si="83"/>
        <v>4.47</v>
      </c>
    </row>
    <row r="2645" spans="1:7" ht="12.75" customHeight="1">
      <c r="A2645" s="3">
        <v>3910</v>
      </c>
      <c r="B2645" s="4" t="s">
        <v>2666</v>
      </c>
      <c r="C2645" s="3" t="s">
        <v>6</v>
      </c>
      <c r="D2645" s="5">
        <f t="shared" si="82"/>
        <v>9.91</v>
      </c>
      <c r="E2645">
        <v>10.88</v>
      </c>
      <c r="F2645" s="1789">
        <v>8.8999999999999996E-2</v>
      </c>
      <c r="G2645">
        <f t="shared" si="83"/>
        <v>9.91</v>
      </c>
    </row>
    <row r="2646" spans="1:7" ht="12.75" customHeight="1">
      <c r="A2646" s="3">
        <v>3913</v>
      </c>
      <c r="B2646" s="4" t="s">
        <v>2667</v>
      </c>
      <c r="C2646" s="3" t="s">
        <v>6</v>
      </c>
      <c r="D2646" s="5">
        <f t="shared" si="82"/>
        <v>47.37</v>
      </c>
      <c r="E2646">
        <v>52</v>
      </c>
      <c r="F2646" s="1789">
        <v>8.8999999999999996E-2</v>
      </c>
      <c r="G2646">
        <f t="shared" si="83"/>
        <v>47.37</v>
      </c>
    </row>
    <row r="2647" spans="1:7" ht="12.75" customHeight="1">
      <c r="A2647" s="3">
        <v>3912</v>
      </c>
      <c r="B2647" s="4" t="s">
        <v>2668</v>
      </c>
      <c r="C2647" s="3" t="s">
        <v>6</v>
      </c>
      <c r="D2647" s="5">
        <f t="shared" si="82"/>
        <v>25.96</v>
      </c>
      <c r="E2647">
        <v>28.5</v>
      </c>
      <c r="F2647" s="1789">
        <v>8.8999999999999996E-2</v>
      </c>
      <c r="G2647">
        <f t="shared" si="83"/>
        <v>25.96</v>
      </c>
    </row>
    <row r="2648" spans="1:7" ht="12.75" customHeight="1">
      <c r="A2648" s="3">
        <v>3909</v>
      </c>
      <c r="B2648" s="4" t="s">
        <v>2669</v>
      </c>
      <c r="C2648" s="3" t="s">
        <v>6</v>
      </c>
      <c r="D2648" s="5">
        <f t="shared" si="82"/>
        <v>6.09</v>
      </c>
      <c r="E2648">
        <v>6.69</v>
      </c>
      <c r="F2648" s="1789">
        <v>8.8999999999999996E-2</v>
      </c>
      <c r="G2648">
        <f t="shared" si="83"/>
        <v>6.09</v>
      </c>
    </row>
    <row r="2649" spans="1:7" ht="12.75" customHeight="1">
      <c r="A2649" s="3">
        <v>3914</v>
      </c>
      <c r="B2649" s="4" t="s">
        <v>2670</v>
      </c>
      <c r="C2649" s="3" t="s">
        <v>6</v>
      </c>
      <c r="D2649" s="5">
        <f t="shared" si="82"/>
        <v>71.45</v>
      </c>
      <c r="E2649">
        <v>78.44</v>
      </c>
      <c r="F2649" s="1789">
        <v>8.8999999999999996E-2</v>
      </c>
      <c r="G2649">
        <f t="shared" si="83"/>
        <v>71.45</v>
      </c>
    </row>
    <row r="2650" spans="1:7" ht="12.75" customHeight="1">
      <c r="A2650" s="3">
        <v>3915</v>
      </c>
      <c r="B2650" s="4" t="s">
        <v>2671</v>
      </c>
      <c r="C2650" s="3" t="s">
        <v>6</v>
      </c>
      <c r="D2650" s="5">
        <f t="shared" si="82"/>
        <v>112.69</v>
      </c>
      <c r="E2650">
        <v>123.7</v>
      </c>
      <c r="F2650" s="1789">
        <v>8.8999999999999996E-2</v>
      </c>
      <c r="G2650">
        <f t="shared" si="83"/>
        <v>112.69</v>
      </c>
    </row>
    <row r="2651" spans="1:7" ht="12.75" customHeight="1">
      <c r="A2651" s="3">
        <v>3916</v>
      </c>
      <c r="B2651" s="4" t="s">
        <v>2672</v>
      </c>
      <c r="C2651" s="3" t="s">
        <v>6</v>
      </c>
      <c r="D2651" s="5">
        <f t="shared" si="82"/>
        <v>205.3</v>
      </c>
      <c r="E2651">
        <v>225.36</v>
      </c>
      <c r="F2651" s="1789">
        <v>8.8999999999999996E-2</v>
      </c>
      <c r="G2651">
        <f t="shared" si="83"/>
        <v>205.3</v>
      </c>
    </row>
    <row r="2652" spans="1:7" ht="12.75" customHeight="1">
      <c r="A2652" s="3">
        <v>3917</v>
      </c>
      <c r="B2652" s="4" t="s">
        <v>2673</v>
      </c>
      <c r="C2652" s="3" t="s">
        <v>6</v>
      </c>
      <c r="D2652" s="5">
        <f t="shared" si="82"/>
        <v>338.62</v>
      </c>
      <c r="E2652">
        <v>371.71</v>
      </c>
      <c r="F2652" s="1789">
        <v>8.8999999999999996E-2</v>
      </c>
      <c r="G2652">
        <f t="shared" si="83"/>
        <v>338.62</v>
      </c>
    </row>
    <row r="2653" spans="1:7" ht="12.75" customHeight="1">
      <c r="A2653" s="3">
        <v>1904</v>
      </c>
      <c r="B2653" s="4" t="s">
        <v>2674</v>
      </c>
      <c r="C2653" s="3" t="s">
        <v>6</v>
      </c>
      <c r="D2653" s="5">
        <f t="shared" si="82"/>
        <v>0.99</v>
      </c>
      <c r="E2653">
        <v>1.0900000000000001</v>
      </c>
      <c r="F2653" s="1789">
        <v>8.8999999999999996E-2</v>
      </c>
      <c r="G2653">
        <f t="shared" si="83"/>
        <v>0.99</v>
      </c>
    </row>
    <row r="2654" spans="1:7" ht="12.75" customHeight="1">
      <c r="A2654" s="3">
        <v>1899</v>
      </c>
      <c r="B2654" s="4" t="s">
        <v>2675</v>
      </c>
      <c r="C2654" s="3" t="s">
        <v>6</v>
      </c>
      <c r="D2654" s="5">
        <f t="shared" si="82"/>
        <v>1.1200000000000001</v>
      </c>
      <c r="E2654">
        <v>1.24</v>
      </c>
      <c r="F2654" s="1789">
        <v>8.8999999999999996E-2</v>
      </c>
      <c r="G2654">
        <f t="shared" si="83"/>
        <v>1.1200000000000001</v>
      </c>
    </row>
    <row r="2655" spans="1:7" ht="12.75" customHeight="1">
      <c r="A2655" s="3">
        <v>1900</v>
      </c>
      <c r="B2655" s="4" t="s">
        <v>2676</v>
      </c>
      <c r="C2655" s="3" t="s">
        <v>6</v>
      </c>
      <c r="D2655" s="5">
        <f t="shared" si="82"/>
        <v>1.82</v>
      </c>
      <c r="E2655">
        <v>2</v>
      </c>
      <c r="F2655" s="1789">
        <v>8.8999999999999996E-2</v>
      </c>
      <c r="G2655">
        <f t="shared" si="83"/>
        <v>1.82</v>
      </c>
    </row>
    <row r="2656" spans="1:7" ht="12.75" customHeight="1">
      <c r="A2656" s="3">
        <v>12407</v>
      </c>
      <c r="B2656" s="4" t="s">
        <v>2677</v>
      </c>
      <c r="C2656" s="3" t="s">
        <v>6</v>
      </c>
      <c r="D2656" s="5">
        <f t="shared" si="82"/>
        <v>25.63</v>
      </c>
      <c r="E2656">
        <v>28.14</v>
      </c>
      <c r="F2656" s="1789">
        <v>8.8999999999999996E-2</v>
      </c>
      <c r="G2656">
        <f t="shared" si="83"/>
        <v>25.63</v>
      </c>
    </row>
    <row r="2657" spans="1:7" ht="12.75" customHeight="1">
      <c r="A2657" s="3">
        <v>12408</v>
      </c>
      <c r="B2657" s="4" t="s">
        <v>2678</v>
      </c>
      <c r="C2657" s="3" t="s">
        <v>6</v>
      </c>
      <c r="D2657" s="5">
        <f t="shared" si="82"/>
        <v>14.46</v>
      </c>
      <c r="E2657">
        <v>15.88</v>
      </c>
      <c r="F2657" s="1789">
        <v>8.8999999999999996E-2</v>
      </c>
      <c r="G2657">
        <f t="shared" si="83"/>
        <v>14.46</v>
      </c>
    </row>
    <row r="2658" spans="1:7" ht="12.75" customHeight="1">
      <c r="A2658" s="3">
        <v>12409</v>
      </c>
      <c r="B2658" s="4" t="s">
        <v>2679</v>
      </c>
      <c r="C2658" s="3" t="s">
        <v>6</v>
      </c>
      <c r="D2658" s="5">
        <f t="shared" si="82"/>
        <v>14.46</v>
      </c>
      <c r="E2658">
        <v>15.88</v>
      </c>
      <c r="F2658" s="1789">
        <v>8.8999999999999996E-2</v>
      </c>
      <c r="G2658">
        <f t="shared" si="83"/>
        <v>14.46</v>
      </c>
    </row>
    <row r="2659" spans="1:7" ht="12.75" customHeight="1">
      <c r="A2659" s="3">
        <v>12410</v>
      </c>
      <c r="B2659" s="4" t="s">
        <v>2680</v>
      </c>
      <c r="C2659" s="3" t="s">
        <v>6</v>
      </c>
      <c r="D2659" s="5">
        <f t="shared" si="82"/>
        <v>9.9600000000000009</v>
      </c>
      <c r="E2659">
        <v>10.94</v>
      </c>
      <c r="F2659" s="1789">
        <v>8.8999999999999996E-2</v>
      </c>
      <c r="G2659">
        <f t="shared" si="83"/>
        <v>9.9600000000000009</v>
      </c>
    </row>
    <row r="2660" spans="1:7" ht="12.75" customHeight="1">
      <c r="A2660" s="3">
        <v>3936</v>
      </c>
      <c r="B2660" s="4" t="s">
        <v>2681</v>
      </c>
      <c r="C2660" s="3" t="s">
        <v>6</v>
      </c>
      <c r="D2660" s="5">
        <f t="shared" si="82"/>
        <v>18.010000000000002</v>
      </c>
      <c r="E2660">
        <v>19.77</v>
      </c>
      <c r="F2660" s="1789">
        <v>8.8999999999999996E-2</v>
      </c>
      <c r="G2660">
        <f t="shared" si="83"/>
        <v>18.010000000000002</v>
      </c>
    </row>
    <row r="2661" spans="1:7" ht="12.75" customHeight="1">
      <c r="A2661" s="3">
        <v>3922</v>
      </c>
      <c r="B2661" s="4" t="s">
        <v>2682</v>
      </c>
      <c r="C2661" s="3" t="s">
        <v>6</v>
      </c>
      <c r="D2661" s="5">
        <f t="shared" si="82"/>
        <v>16.559999999999999</v>
      </c>
      <c r="E2661">
        <v>18.18</v>
      </c>
      <c r="F2661" s="1789">
        <v>8.8999999999999996E-2</v>
      </c>
      <c r="G2661">
        <f t="shared" si="83"/>
        <v>16.559999999999999</v>
      </c>
    </row>
    <row r="2662" spans="1:7" ht="12.75" customHeight="1">
      <c r="A2662" s="3">
        <v>3924</v>
      </c>
      <c r="B2662" s="4" t="s">
        <v>2683</v>
      </c>
      <c r="C2662" s="3" t="s">
        <v>6</v>
      </c>
      <c r="D2662" s="5">
        <f t="shared" si="82"/>
        <v>18.010000000000002</v>
      </c>
      <c r="E2662">
        <v>19.77</v>
      </c>
      <c r="F2662" s="1789">
        <v>8.8999999999999996E-2</v>
      </c>
      <c r="G2662">
        <f t="shared" si="83"/>
        <v>18.010000000000002</v>
      </c>
    </row>
    <row r="2663" spans="1:7" ht="12.75" customHeight="1">
      <c r="A2663" s="3">
        <v>3923</v>
      </c>
      <c r="B2663" s="4" t="s">
        <v>2684</v>
      </c>
      <c r="C2663" s="3" t="s">
        <v>6</v>
      </c>
      <c r="D2663" s="5">
        <f t="shared" si="82"/>
        <v>18.010000000000002</v>
      </c>
      <c r="E2663">
        <v>19.77</v>
      </c>
      <c r="F2663" s="1789">
        <v>8.8999999999999996E-2</v>
      </c>
      <c r="G2663">
        <f t="shared" si="83"/>
        <v>18.010000000000002</v>
      </c>
    </row>
    <row r="2664" spans="1:7" ht="12.75" customHeight="1">
      <c r="A2664" s="3">
        <v>3937</v>
      </c>
      <c r="B2664" s="4" t="s">
        <v>2685</v>
      </c>
      <c r="C2664" s="3" t="s">
        <v>6</v>
      </c>
      <c r="D2664" s="5">
        <f t="shared" si="82"/>
        <v>14.85</v>
      </c>
      <c r="E2664">
        <v>16.309999999999999</v>
      </c>
      <c r="F2664" s="1789">
        <v>8.8999999999999996E-2</v>
      </c>
      <c r="G2664">
        <f t="shared" si="83"/>
        <v>14.85</v>
      </c>
    </row>
    <row r="2665" spans="1:7" ht="12.75" customHeight="1">
      <c r="A2665" s="3">
        <v>3921</v>
      </c>
      <c r="B2665" s="4" t="s">
        <v>2686</v>
      </c>
      <c r="C2665" s="3" t="s">
        <v>6</v>
      </c>
      <c r="D2665" s="5">
        <f t="shared" si="82"/>
        <v>14.86</v>
      </c>
      <c r="E2665">
        <v>16.32</v>
      </c>
      <c r="F2665" s="1789">
        <v>8.8999999999999996E-2</v>
      </c>
      <c r="G2665">
        <f t="shared" si="83"/>
        <v>14.86</v>
      </c>
    </row>
    <row r="2666" spans="1:7" ht="12.75" customHeight="1">
      <c r="A2666" s="3">
        <v>3920</v>
      </c>
      <c r="B2666" s="4" t="s">
        <v>2687</v>
      </c>
      <c r="C2666" s="3" t="s">
        <v>6</v>
      </c>
      <c r="D2666" s="5">
        <f t="shared" si="82"/>
        <v>14.85</v>
      </c>
      <c r="E2666">
        <v>16.309999999999999</v>
      </c>
      <c r="F2666" s="1789">
        <v>8.8999999999999996E-2</v>
      </c>
      <c r="G2666">
        <f t="shared" si="83"/>
        <v>14.85</v>
      </c>
    </row>
    <row r="2667" spans="1:7" ht="12.75" customHeight="1">
      <c r="A2667" s="3">
        <v>3938</v>
      </c>
      <c r="B2667" s="4" t="s">
        <v>2688</v>
      </c>
      <c r="C2667" s="3" t="s">
        <v>6</v>
      </c>
      <c r="D2667" s="5">
        <f t="shared" si="82"/>
        <v>9.7899999999999991</v>
      </c>
      <c r="E2667">
        <v>10.75</v>
      </c>
      <c r="F2667" s="1789">
        <v>8.8999999999999996E-2</v>
      </c>
      <c r="G2667">
        <f t="shared" si="83"/>
        <v>9.7899999999999991</v>
      </c>
    </row>
    <row r="2668" spans="1:7" ht="12.75" customHeight="1">
      <c r="A2668" s="3">
        <v>3919</v>
      </c>
      <c r="B2668" s="4" t="s">
        <v>2689</v>
      </c>
      <c r="C2668" s="3" t="s">
        <v>6</v>
      </c>
      <c r="D2668" s="5">
        <f t="shared" si="82"/>
        <v>9.98</v>
      </c>
      <c r="E2668">
        <v>10.96</v>
      </c>
      <c r="F2668" s="1789">
        <v>8.8999999999999996E-2</v>
      </c>
      <c r="G2668">
        <f t="shared" si="83"/>
        <v>9.98</v>
      </c>
    </row>
    <row r="2669" spans="1:7" ht="12.75" customHeight="1">
      <c r="A2669" s="3">
        <v>3927</v>
      </c>
      <c r="B2669" s="4" t="s">
        <v>2690</v>
      </c>
      <c r="C2669" s="3" t="s">
        <v>6</v>
      </c>
      <c r="D2669" s="5">
        <f t="shared" si="82"/>
        <v>50.57</v>
      </c>
      <c r="E2669">
        <v>55.52</v>
      </c>
      <c r="F2669" s="1789">
        <v>8.8999999999999996E-2</v>
      </c>
      <c r="G2669">
        <f t="shared" si="83"/>
        <v>50.57</v>
      </c>
    </row>
    <row r="2670" spans="1:7" ht="12.75" customHeight="1">
      <c r="A2670" s="3">
        <v>3928</v>
      </c>
      <c r="B2670" s="4" t="s">
        <v>2691</v>
      </c>
      <c r="C2670" s="3" t="s">
        <v>6</v>
      </c>
      <c r="D2670" s="5">
        <f t="shared" si="82"/>
        <v>50.57</v>
      </c>
      <c r="E2670">
        <v>55.52</v>
      </c>
      <c r="F2670" s="1789">
        <v>8.8999999999999996E-2</v>
      </c>
      <c r="G2670">
        <f t="shared" si="83"/>
        <v>50.57</v>
      </c>
    </row>
    <row r="2671" spans="1:7" ht="12.75" customHeight="1">
      <c r="A2671" s="3">
        <v>3926</v>
      </c>
      <c r="B2671" s="4" t="s">
        <v>2692</v>
      </c>
      <c r="C2671" s="3" t="s">
        <v>6</v>
      </c>
      <c r="D2671" s="5">
        <f t="shared" si="82"/>
        <v>28.83</v>
      </c>
      <c r="E2671">
        <v>31.65</v>
      </c>
      <c r="F2671" s="1789">
        <v>8.8999999999999996E-2</v>
      </c>
      <c r="G2671">
        <f t="shared" si="83"/>
        <v>28.83</v>
      </c>
    </row>
    <row r="2672" spans="1:7" ht="12.75" customHeight="1">
      <c r="A2672" s="3">
        <v>3935</v>
      </c>
      <c r="B2672" s="4" t="s">
        <v>2693</v>
      </c>
      <c r="C2672" s="3" t="s">
        <v>6</v>
      </c>
      <c r="D2672" s="5">
        <f t="shared" si="82"/>
        <v>28.83</v>
      </c>
      <c r="E2672">
        <v>31.65</v>
      </c>
      <c r="F2672" s="1789">
        <v>8.8999999999999996E-2</v>
      </c>
      <c r="G2672">
        <f t="shared" si="83"/>
        <v>28.83</v>
      </c>
    </row>
    <row r="2673" spans="1:7" ht="12.75" customHeight="1">
      <c r="A2673" s="3">
        <v>3925</v>
      </c>
      <c r="B2673" s="4" t="s">
        <v>2694</v>
      </c>
      <c r="C2673" s="3" t="s">
        <v>6</v>
      </c>
      <c r="D2673" s="5">
        <f t="shared" si="82"/>
        <v>28.83</v>
      </c>
      <c r="E2673">
        <v>31.65</v>
      </c>
      <c r="F2673" s="1789">
        <v>8.8999999999999996E-2</v>
      </c>
      <c r="G2673">
        <f t="shared" si="83"/>
        <v>28.83</v>
      </c>
    </row>
    <row r="2674" spans="1:7" ht="12.75" customHeight="1">
      <c r="A2674" s="3">
        <v>12406</v>
      </c>
      <c r="B2674" s="4" t="s">
        <v>2695</v>
      </c>
      <c r="C2674" s="3" t="s">
        <v>6</v>
      </c>
      <c r="D2674" s="5">
        <f t="shared" si="82"/>
        <v>7.07</v>
      </c>
      <c r="E2674">
        <v>7.77</v>
      </c>
      <c r="F2674" s="1789">
        <v>8.8999999999999996E-2</v>
      </c>
      <c r="G2674">
        <f t="shared" si="83"/>
        <v>7.07</v>
      </c>
    </row>
    <row r="2675" spans="1:7" ht="12.75" customHeight="1">
      <c r="A2675" s="3">
        <v>3929</v>
      </c>
      <c r="B2675" s="4" t="s">
        <v>2696</v>
      </c>
      <c r="C2675" s="3" t="s">
        <v>6</v>
      </c>
      <c r="D2675" s="5">
        <f t="shared" si="82"/>
        <v>77.06</v>
      </c>
      <c r="E2675">
        <v>84.59</v>
      </c>
      <c r="F2675" s="1789">
        <v>8.8999999999999996E-2</v>
      </c>
      <c r="G2675">
        <f t="shared" si="83"/>
        <v>77.06</v>
      </c>
    </row>
    <row r="2676" spans="1:7" ht="12.75" customHeight="1">
      <c r="A2676" s="3">
        <v>3931</v>
      </c>
      <c r="B2676" s="4" t="s">
        <v>2697</v>
      </c>
      <c r="C2676" s="3" t="s">
        <v>6</v>
      </c>
      <c r="D2676" s="5">
        <f t="shared" si="82"/>
        <v>77.06</v>
      </c>
      <c r="E2676">
        <v>84.59</v>
      </c>
      <c r="F2676" s="1789">
        <v>8.8999999999999996E-2</v>
      </c>
      <c r="G2676">
        <f t="shared" si="83"/>
        <v>77.06</v>
      </c>
    </row>
    <row r="2677" spans="1:7" ht="12.75" customHeight="1">
      <c r="A2677" s="3">
        <v>3930</v>
      </c>
      <c r="B2677" s="4" t="s">
        <v>2698</v>
      </c>
      <c r="C2677" s="3" t="s">
        <v>6</v>
      </c>
      <c r="D2677" s="5">
        <f t="shared" si="82"/>
        <v>77.06</v>
      </c>
      <c r="E2677">
        <v>84.59</v>
      </c>
      <c r="F2677" s="1789">
        <v>8.8999999999999996E-2</v>
      </c>
      <c r="G2677">
        <f t="shared" si="83"/>
        <v>77.06</v>
      </c>
    </row>
    <row r="2678" spans="1:7" ht="12.75" customHeight="1">
      <c r="A2678" s="3">
        <v>3932</v>
      </c>
      <c r="B2678" s="4" t="s">
        <v>2699</v>
      </c>
      <c r="C2678" s="3" t="s">
        <v>6</v>
      </c>
      <c r="D2678" s="5">
        <f t="shared" si="82"/>
        <v>133.06</v>
      </c>
      <c r="E2678">
        <v>146.07</v>
      </c>
      <c r="F2678" s="1789">
        <v>8.8999999999999996E-2</v>
      </c>
      <c r="G2678">
        <f t="shared" si="83"/>
        <v>133.06</v>
      </c>
    </row>
    <row r="2679" spans="1:7" ht="12.75" customHeight="1">
      <c r="A2679" s="3">
        <v>3933</v>
      </c>
      <c r="B2679" s="4" t="s">
        <v>2700</v>
      </c>
      <c r="C2679" s="3" t="s">
        <v>6</v>
      </c>
      <c r="D2679" s="5">
        <f t="shared" si="82"/>
        <v>133.06</v>
      </c>
      <c r="E2679">
        <v>146.07</v>
      </c>
      <c r="F2679" s="1789">
        <v>8.8999999999999996E-2</v>
      </c>
      <c r="G2679">
        <f t="shared" si="83"/>
        <v>133.06</v>
      </c>
    </row>
    <row r="2680" spans="1:7" ht="12.75" customHeight="1">
      <c r="A2680" s="3">
        <v>3934</v>
      </c>
      <c r="B2680" s="4" t="s">
        <v>2701</v>
      </c>
      <c r="C2680" s="3" t="s">
        <v>6</v>
      </c>
      <c r="D2680" s="5">
        <f t="shared" si="82"/>
        <v>133.06</v>
      </c>
      <c r="E2680">
        <v>146.07</v>
      </c>
      <c r="F2680" s="1789">
        <v>8.8999999999999996E-2</v>
      </c>
      <c r="G2680">
        <f t="shared" si="83"/>
        <v>133.06</v>
      </c>
    </row>
    <row r="2681" spans="1:7" ht="12.75" customHeight="1">
      <c r="A2681" s="3">
        <v>40364</v>
      </c>
      <c r="B2681" s="4" t="s">
        <v>2702</v>
      </c>
      <c r="C2681" s="3" t="s">
        <v>6</v>
      </c>
      <c r="D2681" s="5">
        <f t="shared" si="82"/>
        <v>53.4</v>
      </c>
      <c r="E2681">
        <v>58.62</v>
      </c>
      <c r="F2681" s="1789">
        <v>8.8999999999999996E-2</v>
      </c>
      <c r="G2681">
        <f t="shared" si="83"/>
        <v>53.4</v>
      </c>
    </row>
    <row r="2682" spans="1:7" ht="12.75" customHeight="1">
      <c r="A2682" s="3">
        <v>40361</v>
      </c>
      <c r="B2682" s="4" t="s">
        <v>2703</v>
      </c>
      <c r="C2682" s="3" t="s">
        <v>6</v>
      </c>
      <c r="D2682" s="5">
        <f t="shared" si="82"/>
        <v>41.75</v>
      </c>
      <c r="E2682">
        <v>45.83</v>
      </c>
      <c r="F2682" s="1789">
        <v>8.8999999999999996E-2</v>
      </c>
      <c r="G2682">
        <f t="shared" si="83"/>
        <v>41.75</v>
      </c>
    </row>
    <row r="2683" spans="1:7" ht="12.75" customHeight="1">
      <c r="A2683" s="3">
        <v>40358</v>
      </c>
      <c r="B2683" s="4" t="s">
        <v>2704</v>
      </c>
      <c r="C2683" s="3" t="s">
        <v>6</v>
      </c>
      <c r="D2683" s="5">
        <f t="shared" si="82"/>
        <v>15.91</v>
      </c>
      <c r="E2683">
        <v>17.47</v>
      </c>
      <c r="F2683" s="1789">
        <v>8.8999999999999996E-2</v>
      </c>
      <c r="G2683">
        <f t="shared" si="83"/>
        <v>15.91</v>
      </c>
    </row>
    <row r="2684" spans="1:7" ht="12.75" customHeight="1">
      <c r="A2684" s="3">
        <v>40370</v>
      </c>
      <c r="B2684" s="4" t="s">
        <v>2705</v>
      </c>
      <c r="C2684" s="3" t="s">
        <v>6</v>
      </c>
      <c r="D2684" s="5">
        <f t="shared" si="82"/>
        <v>169.44</v>
      </c>
      <c r="E2684">
        <v>186</v>
      </c>
      <c r="F2684" s="1789">
        <v>8.8999999999999996E-2</v>
      </c>
      <c r="G2684">
        <f t="shared" si="83"/>
        <v>169.44</v>
      </c>
    </row>
    <row r="2685" spans="1:7" ht="12.75" customHeight="1">
      <c r="A2685" s="3">
        <v>40367</v>
      </c>
      <c r="B2685" s="4" t="s">
        <v>2706</v>
      </c>
      <c r="C2685" s="3" t="s">
        <v>6</v>
      </c>
      <c r="D2685" s="5">
        <f t="shared" si="82"/>
        <v>84.22</v>
      </c>
      <c r="E2685">
        <v>92.45</v>
      </c>
      <c r="F2685" s="1789">
        <v>8.8999999999999996E-2</v>
      </c>
      <c r="G2685">
        <f t="shared" si="83"/>
        <v>84.22</v>
      </c>
    </row>
    <row r="2686" spans="1:7" ht="12.75" customHeight="1">
      <c r="A2686" s="3">
        <v>40373</v>
      </c>
      <c r="B2686" s="4" t="s">
        <v>2707</v>
      </c>
      <c r="C2686" s="3" t="s">
        <v>6</v>
      </c>
      <c r="D2686" s="5">
        <f t="shared" si="82"/>
        <v>229.13</v>
      </c>
      <c r="E2686">
        <v>251.52</v>
      </c>
      <c r="F2686" s="1789">
        <v>8.8999999999999996E-2</v>
      </c>
      <c r="G2686">
        <f t="shared" si="83"/>
        <v>229.13</v>
      </c>
    </row>
    <row r="2687" spans="1:7" ht="12.75" customHeight="1">
      <c r="A2687" s="3">
        <v>40355</v>
      </c>
      <c r="B2687" s="4" t="s">
        <v>2708</v>
      </c>
      <c r="C2687" s="3" t="s">
        <v>6</v>
      </c>
      <c r="D2687" s="5">
        <f t="shared" si="82"/>
        <v>11.39</v>
      </c>
      <c r="E2687">
        <v>12.51</v>
      </c>
      <c r="F2687" s="1789">
        <v>8.8999999999999996E-2</v>
      </c>
      <c r="G2687">
        <f t="shared" si="83"/>
        <v>11.39</v>
      </c>
    </row>
    <row r="2688" spans="1:7" ht="12.75" customHeight="1">
      <c r="A2688" s="3">
        <v>3907</v>
      </c>
      <c r="B2688" s="4" t="s">
        <v>2709</v>
      </c>
      <c r="C2688" s="3" t="s">
        <v>6</v>
      </c>
      <c r="D2688" s="5">
        <f t="shared" si="82"/>
        <v>4.1900000000000004</v>
      </c>
      <c r="E2688">
        <v>4.6100000000000003</v>
      </c>
      <c r="F2688" s="1789">
        <v>8.8999999999999996E-2</v>
      </c>
      <c r="G2688">
        <f t="shared" si="83"/>
        <v>4.1900000000000004</v>
      </c>
    </row>
    <row r="2689" spans="1:7" ht="12.75" customHeight="1">
      <c r="A2689" s="3">
        <v>3889</v>
      </c>
      <c r="B2689" s="4" t="s">
        <v>2710</v>
      </c>
      <c r="C2689" s="3" t="s">
        <v>6</v>
      </c>
      <c r="D2689" s="5">
        <f t="shared" si="82"/>
        <v>2.98</v>
      </c>
      <c r="E2689">
        <v>3.28</v>
      </c>
      <c r="F2689" s="1789">
        <v>8.8999999999999996E-2</v>
      </c>
      <c r="G2689">
        <f t="shared" si="83"/>
        <v>2.98</v>
      </c>
    </row>
    <row r="2690" spans="1:7" ht="12.75" customHeight="1">
      <c r="A2690" s="3">
        <v>3868</v>
      </c>
      <c r="B2690" s="4" t="s">
        <v>2711</v>
      </c>
      <c r="C2690" s="3" t="s">
        <v>6</v>
      </c>
      <c r="D2690" s="5">
        <f t="shared" si="82"/>
        <v>1.0900000000000001</v>
      </c>
      <c r="E2690">
        <v>1.2</v>
      </c>
      <c r="F2690" s="1789">
        <v>8.8999999999999996E-2</v>
      </c>
      <c r="G2690">
        <f t="shared" si="83"/>
        <v>1.0900000000000001</v>
      </c>
    </row>
    <row r="2691" spans="1:7" ht="12.75" customHeight="1">
      <c r="A2691" s="3">
        <v>3869</v>
      </c>
      <c r="B2691" s="4" t="s">
        <v>2712</v>
      </c>
      <c r="C2691" s="3" t="s">
        <v>6</v>
      </c>
      <c r="D2691" s="5">
        <f t="shared" ref="D2691:D2754" si="84">G2691</f>
        <v>2.4300000000000002</v>
      </c>
      <c r="E2691">
        <v>2.67</v>
      </c>
      <c r="F2691" s="1789">
        <v>8.8999999999999996E-2</v>
      </c>
      <c r="G2691">
        <f t="shared" ref="G2691:G2754" si="85">TRUNC((1-F2691)*E2691,2)</f>
        <v>2.4300000000000002</v>
      </c>
    </row>
    <row r="2692" spans="1:7" ht="12.75" customHeight="1">
      <c r="A2692" s="3">
        <v>3872</v>
      </c>
      <c r="B2692" s="4" t="s">
        <v>2713</v>
      </c>
      <c r="C2692" s="3" t="s">
        <v>6</v>
      </c>
      <c r="D2692" s="5">
        <f t="shared" si="84"/>
        <v>4.1399999999999997</v>
      </c>
      <c r="E2692">
        <v>4.55</v>
      </c>
      <c r="F2692" s="1789">
        <v>8.8999999999999996E-2</v>
      </c>
      <c r="G2692">
        <f t="shared" si="85"/>
        <v>4.1399999999999997</v>
      </c>
    </row>
    <row r="2693" spans="1:7" ht="12.75" customHeight="1">
      <c r="A2693" s="3">
        <v>3850</v>
      </c>
      <c r="B2693" s="4" t="s">
        <v>2714</v>
      </c>
      <c r="C2693" s="3" t="s">
        <v>6</v>
      </c>
      <c r="D2693" s="5">
        <f t="shared" si="84"/>
        <v>9.57</v>
      </c>
      <c r="E2693">
        <v>10.51</v>
      </c>
      <c r="F2693" s="1789">
        <v>8.8999999999999996E-2</v>
      </c>
      <c r="G2693">
        <f t="shared" si="85"/>
        <v>9.57</v>
      </c>
    </row>
    <row r="2694" spans="1:7" ht="12.75" customHeight="1">
      <c r="A2694" s="3">
        <v>38023</v>
      </c>
      <c r="B2694" s="4" t="s">
        <v>2715</v>
      </c>
      <c r="C2694" s="3" t="s">
        <v>6</v>
      </c>
      <c r="D2694" s="5">
        <f t="shared" si="84"/>
        <v>4.87</v>
      </c>
      <c r="E2694">
        <v>5.35</v>
      </c>
      <c r="F2694" s="1789">
        <v>8.8999999999999996E-2</v>
      </c>
      <c r="G2694">
        <f t="shared" si="85"/>
        <v>4.87</v>
      </c>
    </row>
    <row r="2695" spans="1:7" ht="12.75" customHeight="1">
      <c r="A2695" s="3">
        <v>37986</v>
      </c>
      <c r="B2695" s="4" t="s">
        <v>2716</v>
      </c>
      <c r="C2695" s="3" t="s">
        <v>6</v>
      </c>
      <c r="D2695" s="5">
        <f t="shared" si="84"/>
        <v>2.09</v>
      </c>
      <c r="E2695">
        <v>2.2999999999999998</v>
      </c>
      <c r="F2695" s="1789">
        <v>8.8999999999999996E-2</v>
      </c>
      <c r="G2695">
        <f t="shared" si="85"/>
        <v>2.09</v>
      </c>
    </row>
    <row r="2696" spans="1:7" ht="12.75" customHeight="1">
      <c r="A2696" s="3">
        <v>37987</v>
      </c>
      <c r="B2696" s="4" t="s">
        <v>2717</v>
      </c>
      <c r="C2696" s="3" t="s">
        <v>6</v>
      </c>
      <c r="D2696" s="5">
        <f t="shared" si="84"/>
        <v>104.5</v>
      </c>
      <c r="E2696">
        <v>114.72</v>
      </c>
      <c r="F2696" s="1789">
        <v>8.8999999999999996E-2</v>
      </c>
      <c r="G2696">
        <f t="shared" si="85"/>
        <v>104.5</v>
      </c>
    </row>
    <row r="2697" spans="1:7" ht="12.75" customHeight="1">
      <c r="A2697" s="3">
        <v>37988</v>
      </c>
      <c r="B2697" s="4" t="s">
        <v>2718</v>
      </c>
      <c r="C2697" s="3" t="s">
        <v>6</v>
      </c>
      <c r="D2697" s="5">
        <f t="shared" si="84"/>
        <v>166.06</v>
      </c>
      <c r="E2697">
        <v>182.29</v>
      </c>
      <c r="F2697" s="1789">
        <v>8.8999999999999996E-2</v>
      </c>
      <c r="G2697">
        <f t="shared" si="85"/>
        <v>166.06</v>
      </c>
    </row>
    <row r="2698" spans="1:7" ht="12.75" customHeight="1">
      <c r="A2698" s="3">
        <v>21120</v>
      </c>
      <c r="B2698" s="4" t="s">
        <v>2719</v>
      </c>
      <c r="C2698" s="3" t="s">
        <v>6</v>
      </c>
      <c r="D2698" s="5">
        <f t="shared" si="84"/>
        <v>10.68</v>
      </c>
      <c r="E2698">
        <v>11.73</v>
      </c>
      <c r="F2698" s="1789">
        <v>8.8999999999999996E-2</v>
      </c>
      <c r="G2698">
        <f t="shared" si="85"/>
        <v>10.68</v>
      </c>
    </row>
    <row r="2699" spans="1:7" ht="12.75" customHeight="1">
      <c r="A2699" s="3">
        <v>39318</v>
      </c>
      <c r="B2699" s="4" t="s">
        <v>2720</v>
      </c>
      <c r="C2699" s="3" t="s">
        <v>6</v>
      </c>
      <c r="D2699" s="5">
        <f t="shared" si="84"/>
        <v>9.93</v>
      </c>
      <c r="E2699">
        <v>10.91</v>
      </c>
      <c r="F2699" s="1789">
        <v>8.8999999999999996E-2</v>
      </c>
      <c r="G2699">
        <f t="shared" si="85"/>
        <v>9.93</v>
      </c>
    </row>
    <row r="2700" spans="1:7" ht="12.75" customHeight="1">
      <c r="A2700" s="3">
        <v>40366</v>
      </c>
      <c r="B2700" s="4" t="s">
        <v>2721</v>
      </c>
      <c r="C2700" s="3" t="s">
        <v>6</v>
      </c>
      <c r="D2700" s="5">
        <f t="shared" si="84"/>
        <v>41.65</v>
      </c>
      <c r="E2700">
        <v>45.72</v>
      </c>
      <c r="F2700" s="1789">
        <v>8.8999999999999996E-2</v>
      </c>
      <c r="G2700">
        <f t="shared" si="85"/>
        <v>41.65</v>
      </c>
    </row>
    <row r="2701" spans="1:7" ht="12.75" customHeight="1">
      <c r="A2701" s="3">
        <v>40363</v>
      </c>
      <c r="B2701" s="4" t="s">
        <v>2722</v>
      </c>
      <c r="C2701" s="3" t="s">
        <v>6</v>
      </c>
      <c r="D2701" s="5">
        <f t="shared" si="84"/>
        <v>32.57</v>
      </c>
      <c r="E2701">
        <v>35.76</v>
      </c>
      <c r="F2701" s="1789">
        <v>8.8999999999999996E-2</v>
      </c>
      <c r="G2701">
        <f t="shared" si="85"/>
        <v>32.57</v>
      </c>
    </row>
    <row r="2702" spans="1:7" ht="12.75" customHeight="1">
      <c r="A2702" s="3">
        <v>40354</v>
      </c>
      <c r="B2702" s="4" t="s">
        <v>2723</v>
      </c>
      <c r="C2702" s="3" t="s">
        <v>6</v>
      </c>
      <c r="D2702" s="5">
        <f t="shared" si="84"/>
        <v>14.18</v>
      </c>
      <c r="E2702">
        <v>15.57</v>
      </c>
      <c r="F2702" s="1789">
        <v>8.8999999999999996E-2</v>
      </c>
      <c r="G2702">
        <f t="shared" si="85"/>
        <v>14.18</v>
      </c>
    </row>
    <row r="2703" spans="1:7" ht="12.75" customHeight="1">
      <c r="A2703" s="3">
        <v>40360</v>
      </c>
      <c r="B2703" s="4" t="s">
        <v>2724</v>
      </c>
      <c r="C2703" s="3" t="s">
        <v>6</v>
      </c>
      <c r="D2703" s="5">
        <f t="shared" si="84"/>
        <v>21.35</v>
      </c>
      <c r="E2703">
        <v>23.44</v>
      </c>
      <c r="F2703" s="1789">
        <v>8.8999999999999996E-2</v>
      </c>
      <c r="G2703">
        <f t="shared" si="85"/>
        <v>21.35</v>
      </c>
    </row>
    <row r="2704" spans="1:7" ht="12.75" customHeight="1">
      <c r="A2704" s="3">
        <v>40372</v>
      </c>
      <c r="B2704" s="4" t="s">
        <v>2725</v>
      </c>
      <c r="C2704" s="3" t="s">
        <v>6</v>
      </c>
      <c r="D2704" s="5">
        <f t="shared" si="84"/>
        <v>131.9</v>
      </c>
      <c r="E2704">
        <v>144.79</v>
      </c>
      <c r="F2704" s="1789">
        <v>8.8999999999999996E-2</v>
      </c>
      <c r="G2704">
        <f t="shared" si="85"/>
        <v>131.9</v>
      </c>
    </row>
    <row r="2705" spans="1:7" ht="12.75" customHeight="1">
      <c r="A2705" s="3">
        <v>40369</v>
      </c>
      <c r="B2705" s="4" t="s">
        <v>2726</v>
      </c>
      <c r="C2705" s="3" t="s">
        <v>6</v>
      </c>
      <c r="D2705" s="5">
        <f t="shared" si="84"/>
        <v>65.64</v>
      </c>
      <c r="E2705">
        <v>72.06</v>
      </c>
      <c r="F2705" s="1789">
        <v>8.8999999999999996E-2</v>
      </c>
      <c r="G2705">
        <f t="shared" si="85"/>
        <v>65.64</v>
      </c>
    </row>
    <row r="2706" spans="1:7" ht="12.75" customHeight="1">
      <c r="A2706" s="3">
        <v>40357</v>
      </c>
      <c r="B2706" s="4" t="s">
        <v>2727</v>
      </c>
      <c r="C2706" s="3" t="s">
        <v>6</v>
      </c>
      <c r="D2706" s="5">
        <f t="shared" si="84"/>
        <v>15.91</v>
      </c>
      <c r="E2706">
        <v>17.47</v>
      </c>
      <c r="F2706" s="1789">
        <v>8.8999999999999996E-2</v>
      </c>
      <c r="G2706">
        <f t="shared" si="85"/>
        <v>15.91</v>
      </c>
    </row>
    <row r="2707" spans="1:7" ht="12.75" customHeight="1">
      <c r="A2707" s="3">
        <v>40375</v>
      </c>
      <c r="B2707" s="4" t="s">
        <v>2728</v>
      </c>
      <c r="C2707" s="3" t="s">
        <v>6</v>
      </c>
      <c r="D2707" s="5">
        <f t="shared" si="84"/>
        <v>178.55</v>
      </c>
      <c r="E2707">
        <v>196</v>
      </c>
      <c r="F2707" s="1789">
        <v>8.8999999999999996E-2</v>
      </c>
      <c r="G2707">
        <f t="shared" si="85"/>
        <v>178.55</v>
      </c>
    </row>
    <row r="2708" spans="1:7" ht="12.75" customHeight="1">
      <c r="A2708" s="3">
        <v>1893</v>
      </c>
      <c r="B2708" s="4" t="s">
        <v>2729</v>
      </c>
      <c r="C2708" s="3" t="s">
        <v>6</v>
      </c>
      <c r="D2708" s="5">
        <f t="shared" si="84"/>
        <v>3.75</v>
      </c>
      <c r="E2708">
        <v>4.12</v>
      </c>
      <c r="F2708" s="1789">
        <v>8.8999999999999996E-2</v>
      </c>
      <c r="G2708">
        <f t="shared" si="85"/>
        <v>3.75</v>
      </c>
    </row>
    <row r="2709" spans="1:7" ht="12.75" customHeight="1">
      <c r="A2709" s="3">
        <v>1902</v>
      </c>
      <c r="B2709" s="4" t="s">
        <v>2730</v>
      </c>
      <c r="C2709" s="3" t="s">
        <v>6</v>
      </c>
      <c r="D2709" s="5">
        <f t="shared" si="84"/>
        <v>2.73</v>
      </c>
      <c r="E2709">
        <v>3</v>
      </c>
      <c r="F2709" s="1789">
        <v>8.8999999999999996E-2</v>
      </c>
      <c r="G2709">
        <f t="shared" si="85"/>
        <v>2.73</v>
      </c>
    </row>
    <row r="2710" spans="1:7" ht="12.75" customHeight="1">
      <c r="A2710" s="3">
        <v>1901</v>
      </c>
      <c r="B2710" s="4" t="s">
        <v>2731</v>
      </c>
      <c r="C2710" s="3" t="s">
        <v>6</v>
      </c>
      <c r="D2710" s="5">
        <f t="shared" si="84"/>
        <v>0.85</v>
      </c>
      <c r="E2710">
        <v>0.94</v>
      </c>
      <c r="F2710" s="1789">
        <v>8.8999999999999996E-2</v>
      </c>
      <c r="G2710">
        <f t="shared" si="85"/>
        <v>0.85</v>
      </c>
    </row>
    <row r="2711" spans="1:7" ht="12.75" customHeight="1">
      <c r="A2711" s="3">
        <v>1892</v>
      </c>
      <c r="B2711" s="4" t="s">
        <v>2732</v>
      </c>
      <c r="C2711" s="3" t="s">
        <v>6</v>
      </c>
      <c r="D2711" s="5">
        <f t="shared" si="84"/>
        <v>1.75</v>
      </c>
      <c r="E2711">
        <v>1.93</v>
      </c>
      <c r="F2711" s="1789">
        <v>8.8999999999999996E-2</v>
      </c>
      <c r="G2711">
        <f t="shared" si="85"/>
        <v>1.75</v>
      </c>
    </row>
    <row r="2712" spans="1:7" ht="12.75" customHeight="1">
      <c r="A2712" s="3">
        <v>1907</v>
      </c>
      <c r="B2712" s="4" t="s">
        <v>2733</v>
      </c>
      <c r="C2712" s="3" t="s">
        <v>6</v>
      </c>
      <c r="D2712" s="5">
        <f t="shared" si="84"/>
        <v>12.08</v>
      </c>
      <c r="E2712">
        <v>13.27</v>
      </c>
      <c r="F2712" s="1789">
        <v>8.8999999999999996E-2</v>
      </c>
      <c r="G2712">
        <f t="shared" si="85"/>
        <v>12.08</v>
      </c>
    </row>
    <row r="2713" spans="1:7" ht="12.75" customHeight="1">
      <c r="A2713" s="3">
        <v>1894</v>
      </c>
      <c r="B2713" s="4" t="s">
        <v>2734</v>
      </c>
      <c r="C2713" s="3" t="s">
        <v>6</v>
      </c>
      <c r="D2713" s="5">
        <f t="shared" si="84"/>
        <v>5.43</v>
      </c>
      <c r="E2713">
        <v>5.97</v>
      </c>
      <c r="F2713" s="1789">
        <v>8.8999999999999996E-2</v>
      </c>
      <c r="G2713">
        <f t="shared" si="85"/>
        <v>5.43</v>
      </c>
    </row>
    <row r="2714" spans="1:7" ht="12.75" customHeight="1">
      <c r="A2714" s="3">
        <v>1891</v>
      </c>
      <c r="B2714" s="4" t="s">
        <v>2735</v>
      </c>
      <c r="C2714" s="3" t="s">
        <v>6</v>
      </c>
      <c r="D2714" s="5">
        <f t="shared" si="84"/>
        <v>1.25</v>
      </c>
      <c r="E2714">
        <v>1.38</v>
      </c>
      <c r="F2714" s="1789">
        <v>8.8999999999999996E-2</v>
      </c>
      <c r="G2714">
        <f t="shared" si="85"/>
        <v>1.25</v>
      </c>
    </row>
    <row r="2715" spans="1:7" ht="12.75" customHeight="1">
      <c r="A2715" s="3">
        <v>1896</v>
      </c>
      <c r="B2715" s="4" t="s">
        <v>2736</v>
      </c>
      <c r="C2715" s="3" t="s">
        <v>6</v>
      </c>
      <c r="D2715" s="5">
        <f t="shared" si="84"/>
        <v>16.23</v>
      </c>
      <c r="E2715">
        <v>17.82</v>
      </c>
      <c r="F2715" s="1789">
        <v>8.8999999999999996E-2</v>
      </c>
      <c r="G2715">
        <f t="shared" si="85"/>
        <v>16.23</v>
      </c>
    </row>
    <row r="2716" spans="1:7" ht="12.75" customHeight="1">
      <c r="A2716" s="3">
        <v>1895</v>
      </c>
      <c r="B2716" s="4" t="s">
        <v>2737</v>
      </c>
      <c r="C2716" s="3" t="s">
        <v>6</v>
      </c>
      <c r="D2716" s="5">
        <f t="shared" si="84"/>
        <v>28.52</v>
      </c>
      <c r="E2716">
        <v>31.31</v>
      </c>
      <c r="F2716" s="1789">
        <v>8.8999999999999996E-2</v>
      </c>
      <c r="G2716">
        <f t="shared" si="85"/>
        <v>28.52</v>
      </c>
    </row>
    <row r="2717" spans="1:7" ht="12.75" customHeight="1">
      <c r="A2717" s="3">
        <v>2641</v>
      </c>
      <c r="B2717" s="4" t="s">
        <v>2738</v>
      </c>
      <c r="C2717" s="3" t="s">
        <v>6</v>
      </c>
      <c r="D2717" s="5">
        <f t="shared" si="84"/>
        <v>29.4</v>
      </c>
      <c r="E2717">
        <v>32.28</v>
      </c>
      <c r="F2717" s="1789">
        <v>8.8999999999999996E-2</v>
      </c>
      <c r="G2717">
        <f t="shared" si="85"/>
        <v>29.4</v>
      </c>
    </row>
    <row r="2718" spans="1:7" ht="12.75" customHeight="1">
      <c r="A2718" s="3">
        <v>2636</v>
      </c>
      <c r="B2718" s="4" t="s">
        <v>2739</v>
      </c>
      <c r="C2718" s="3" t="s">
        <v>6</v>
      </c>
      <c r="D2718" s="5">
        <f t="shared" si="84"/>
        <v>1.89</v>
      </c>
      <c r="E2718">
        <v>2.08</v>
      </c>
      <c r="F2718" s="1789">
        <v>8.8999999999999996E-2</v>
      </c>
      <c r="G2718">
        <f t="shared" si="85"/>
        <v>1.89</v>
      </c>
    </row>
    <row r="2719" spans="1:7" ht="12.75" customHeight="1">
      <c r="A2719" s="3">
        <v>2637</v>
      </c>
      <c r="B2719" s="4" t="s">
        <v>2740</v>
      </c>
      <c r="C2719" s="3" t="s">
        <v>6</v>
      </c>
      <c r="D2719" s="5">
        <f t="shared" si="84"/>
        <v>2.0099999999999998</v>
      </c>
      <c r="E2719">
        <v>2.21</v>
      </c>
      <c r="F2719" s="1789">
        <v>8.8999999999999996E-2</v>
      </c>
      <c r="G2719">
        <f t="shared" si="85"/>
        <v>2.0099999999999998</v>
      </c>
    </row>
    <row r="2720" spans="1:7" ht="12.75" customHeight="1">
      <c r="A2720" s="3">
        <v>2638</v>
      </c>
      <c r="B2720" s="4" t="s">
        <v>2741</v>
      </c>
      <c r="C2720" s="3" t="s">
        <v>6</v>
      </c>
      <c r="D2720" s="5">
        <f t="shared" si="84"/>
        <v>2.34</v>
      </c>
      <c r="E2720">
        <v>2.57</v>
      </c>
      <c r="F2720" s="1789">
        <v>8.8999999999999996E-2</v>
      </c>
      <c r="G2720">
        <f t="shared" si="85"/>
        <v>2.34</v>
      </c>
    </row>
    <row r="2721" spans="1:7" ht="12.75" customHeight="1">
      <c r="A2721" s="3">
        <v>2639</v>
      </c>
      <c r="B2721" s="4" t="s">
        <v>2742</v>
      </c>
      <c r="C2721" s="3" t="s">
        <v>6</v>
      </c>
      <c r="D2721" s="5">
        <f t="shared" si="84"/>
        <v>4.1500000000000004</v>
      </c>
      <c r="E2721">
        <v>4.5599999999999996</v>
      </c>
      <c r="F2721" s="1789">
        <v>8.8999999999999996E-2</v>
      </c>
      <c r="G2721">
        <f t="shared" si="85"/>
        <v>4.1500000000000004</v>
      </c>
    </row>
    <row r="2722" spans="1:7" ht="12.75" customHeight="1">
      <c r="A2722" s="3">
        <v>2644</v>
      </c>
      <c r="B2722" s="4" t="s">
        <v>2743</v>
      </c>
      <c r="C2722" s="3" t="s">
        <v>6</v>
      </c>
      <c r="D2722" s="5">
        <f t="shared" si="84"/>
        <v>6.01</v>
      </c>
      <c r="E2722">
        <v>6.6</v>
      </c>
      <c r="F2722" s="1789">
        <v>8.8999999999999996E-2</v>
      </c>
      <c r="G2722">
        <f t="shared" si="85"/>
        <v>6.01</v>
      </c>
    </row>
    <row r="2723" spans="1:7" ht="12.75" customHeight="1">
      <c r="A2723" s="3">
        <v>2640</v>
      </c>
      <c r="B2723" s="4" t="s">
        <v>2744</v>
      </c>
      <c r="C2723" s="3" t="s">
        <v>6</v>
      </c>
      <c r="D2723" s="5">
        <f t="shared" si="84"/>
        <v>12.23</v>
      </c>
      <c r="E2723">
        <v>13.43</v>
      </c>
      <c r="F2723" s="1789">
        <v>8.8999999999999996E-2</v>
      </c>
      <c r="G2723">
        <f t="shared" si="85"/>
        <v>12.23</v>
      </c>
    </row>
    <row r="2724" spans="1:7" ht="12.75" customHeight="1">
      <c r="A2724" s="3">
        <v>2642</v>
      </c>
      <c r="B2724" s="4" t="s">
        <v>2745</v>
      </c>
      <c r="C2724" s="3" t="s">
        <v>6</v>
      </c>
      <c r="D2724" s="5">
        <f t="shared" si="84"/>
        <v>18.62</v>
      </c>
      <c r="E2724">
        <v>20.45</v>
      </c>
      <c r="F2724" s="1789">
        <v>8.8999999999999996E-2</v>
      </c>
      <c r="G2724">
        <f t="shared" si="85"/>
        <v>18.62</v>
      </c>
    </row>
    <row r="2725" spans="1:7" ht="12.75" customHeight="1">
      <c r="A2725" s="3">
        <v>2643</v>
      </c>
      <c r="B2725" s="4" t="s">
        <v>2746</v>
      </c>
      <c r="C2725" s="3" t="s">
        <v>6</v>
      </c>
      <c r="D2725" s="5">
        <f t="shared" si="84"/>
        <v>8.3800000000000008</v>
      </c>
      <c r="E2725">
        <v>9.1999999999999993</v>
      </c>
      <c r="F2725" s="1789">
        <v>8.8999999999999996E-2</v>
      </c>
      <c r="G2725">
        <f t="shared" si="85"/>
        <v>8.3800000000000008</v>
      </c>
    </row>
    <row r="2726" spans="1:7" ht="12.75" customHeight="1">
      <c r="A2726" s="3">
        <v>39855</v>
      </c>
      <c r="B2726" s="4" t="s">
        <v>2747</v>
      </c>
      <c r="C2726" s="3" t="s">
        <v>6</v>
      </c>
      <c r="D2726" s="5">
        <f t="shared" si="84"/>
        <v>2.61</v>
      </c>
      <c r="E2726">
        <v>2.87</v>
      </c>
      <c r="F2726" s="1789">
        <v>8.8999999999999996E-2</v>
      </c>
      <c r="G2726">
        <f t="shared" si="85"/>
        <v>2.61</v>
      </c>
    </row>
    <row r="2727" spans="1:7" ht="12.75" customHeight="1">
      <c r="A2727" s="3">
        <v>39856</v>
      </c>
      <c r="B2727" s="4" t="s">
        <v>2748</v>
      </c>
      <c r="C2727" s="3" t="s">
        <v>6</v>
      </c>
      <c r="D2727" s="5">
        <f t="shared" si="84"/>
        <v>6.16</v>
      </c>
      <c r="E2727">
        <v>6.77</v>
      </c>
      <c r="F2727" s="1789">
        <v>8.8999999999999996E-2</v>
      </c>
      <c r="G2727">
        <f t="shared" si="85"/>
        <v>6.16</v>
      </c>
    </row>
    <row r="2728" spans="1:7" ht="12.75" customHeight="1">
      <c r="A2728" s="3">
        <v>39857</v>
      </c>
      <c r="B2728" s="4" t="s">
        <v>2749</v>
      </c>
      <c r="C2728" s="3" t="s">
        <v>6</v>
      </c>
      <c r="D2728" s="5">
        <f t="shared" si="84"/>
        <v>9.98</v>
      </c>
      <c r="E2728">
        <v>10.96</v>
      </c>
      <c r="F2728" s="1789">
        <v>8.8999999999999996E-2</v>
      </c>
      <c r="G2728">
        <f t="shared" si="85"/>
        <v>9.98</v>
      </c>
    </row>
    <row r="2729" spans="1:7" ht="12.75" customHeight="1">
      <c r="A2729" s="3">
        <v>39858</v>
      </c>
      <c r="B2729" s="4" t="s">
        <v>2750</v>
      </c>
      <c r="C2729" s="3" t="s">
        <v>6</v>
      </c>
      <c r="D2729" s="5">
        <f t="shared" si="84"/>
        <v>22.16</v>
      </c>
      <c r="E2729">
        <v>24.33</v>
      </c>
      <c r="F2729" s="1789">
        <v>8.8999999999999996E-2</v>
      </c>
      <c r="G2729">
        <f t="shared" si="85"/>
        <v>22.16</v>
      </c>
    </row>
    <row r="2730" spans="1:7" ht="12.75" customHeight="1">
      <c r="A2730" s="3">
        <v>39859</v>
      </c>
      <c r="B2730" s="4" t="s">
        <v>2751</v>
      </c>
      <c r="C2730" s="3" t="s">
        <v>6</v>
      </c>
      <c r="D2730" s="5">
        <f t="shared" si="84"/>
        <v>34.17</v>
      </c>
      <c r="E2730">
        <v>37.51</v>
      </c>
      <c r="F2730" s="1789">
        <v>8.8999999999999996E-2</v>
      </c>
      <c r="G2730">
        <f t="shared" si="85"/>
        <v>34.17</v>
      </c>
    </row>
    <row r="2731" spans="1:7" ht="12.75" customHeight="1">
      <c r="A2731" s="3">
        <v>39860</v>
      </c>
      <c r="B2731" s="4" t="s">
        <v>2752</v>
      </c>
      <c r="C2731" s="3" t="s">
        <v>6</v>
      </c>
      <c r="D2731" s="5">
        <f t="shared" si="84"/>
        <v>52.43</v>
      </c>
      <c r="E2731">
        <v>57.56</v>
      </c>
      <c r="F2731" s="1789">
        <v>8.8999999999999996E-2</v>
      </c>
      <c r="G2731">
        <f t="shared" si="85"/>
        <v>52.43</v>
      </c>
    </row>
    <row r="2732" spans="1:7" ht="12.75" customHeight="1">
      <c r="A2732" s="3">
        <v>39861</v>
      </c>
      <c r="B2732" s="4" t="s">
        <v>2753</v>
      </c>
      <c r="C2732" s="3" t="s">
        <v>6</v>
      </c>
      <c r="D2732" s="5">
        <f t="shared" si="84"/>
        <v>149.69999999999999</v>
      </c>
      <c r="E2732">
        <v>164.33</v>
      </c>
      <c r="F2732" s="1789">
        <v>8.8999999999999996E-2</v>
      </c>
      <c r="G2732">
        <f t="shared" si="85"/>
        <v>149.69999999999999</v>
      </c>
    </row>
    <row r="2733" spans="1:7" ht="12.75" customHeight="1">
      <c r="A2733" s="3">
        <v>3867</v>
      </c>
      <c r="B2733" s="4" t="s">
        <v>2754</v>
      </c>
      <c r="C2733" s="3" t="s">
        <v>6</v>
      </c>
      <c r="D2733" s="5">
        <f t="shared" si="84"/>
        <v>58.31</v>
      </c>
      <c r="E2733">
        <v>64.010000000000005</v>
      </c>
      <c r="F2733" s="1789">
        <v>8.8999999999999996E-2</v>
      </c>
      <c r="G2733">
        <f t="shared" si="85"/>
        <v>58.31</v>
      </c>
    </row>
    <row r="2734" spans="1:7" ht="12.75" customHeight="1">
      <c r="A2734" s="3">
        <v>3861</v>
      </c>
      <c r="B2734" s="4" t="s">
        <v>2755</v>
      </c>
      <c r="C2734" s="3" t="s">
        <v>6</v>
      </c>
      <c r="D2734" s="5">
        <f t="shared" si="84"/>
        <v>0.6</v>
      </c>
      <c r="E2734">
        <v>0.66</v>
      </c>
      <c r="F2734" s="1789">
        <v>8.8999999999999996E-2</v>
      </c>
      <c r="G2734">
        <f t="shared" si="85"/>
        <v>0.6</v>
      </c>
    </row>
    <row r="2735" spans="1:7" ht="12.75" customHeight="1">
      <c r="A2735" s="3">
        <v>3904</v>
      </c>
      <c r="B2735" s="4" t="s">
        <v>2756</v>
      </c>
      <c r="C2735" s="3" t="s">
        <v>6</v>
      </c>
      <c r="D2735" s="5">
        <f t="shared" si="84"/>
        <v>0.63</v>
      </c>
      <c r="E2735">
        <v>0.7</v>
      </c>
      <c r="F2735" s="1789">
        <v>8.8999999999999996E-2</v>
      </c>
      <c r="G2735">
        <f t="shared" si="85"/>
        <v>0.63</v>
      </c>
    </row>
    <row r="2736" spans="1:7" ht="12.75" customHeight="1">
      <c r="A2736" s="3">
        <v>3903</v>
      </c>
      <c r="B2736" s="4" t="s">
        <v>2757</v>
      </c>
      <c r="C2736" s="3" t="s">
        <v>6</v>
      </c>
      <c r="D2736" s="5">
        <f t="shared" si="84"/>
        <v>1.56</v>
      </c>
      <c r="E2736">
        <v>1.72</v>
      </c>
      <c r="F2736" s="1789">
        <v>8.8999999999999996E-2</v>
      </c>
      <c r="G2736">
        <f t="shared" si="85"/>
        <v>1.56</v>
      </c>
    </row>
    <row r="2737" spans="1:7" ht="12.75" customHeight="1">
      <c r="A2737" s="3">
        <v>3862</v>
      </c>
      <c r="B2737" s="4" t="s">
        <v>2758</v>
      </c>
      <c r="C2737" s="3" t="s">
        <v>6</v>
      </c>
      <c r="D2737" s="5">
        <f t="shared" si="84"/>
        <v>3.33</v>
      </c>
      <c r="E2737">
        <v>3.66</v>
      </c>
      <c r="F2737" s="1789">
        <v>8.8999999999999996E-2</v>
      </c>
      <c r="G2737">
        <f t="shared" si="85"/>
        <v>3.33</v>
      </c>
    </row>
    <row r="2738" spans="1:7" ht="12.75" customHeight="1">
      <c r="A2738" s="3">
        <v>3863</v>
      </c>
      <c r="B2738" s="4" t="s">
        <v>2759</v>
      </c>
      <c r="C2738" s="3" t="s">
        <v>6</v>
      </c>
      <c r="D2738" s="5">
        <f t="shared" si="84"/>
        <v>3.41</v>
      </c>
      <c r="E2738">
        <v>3.75</v>
      </c>
      <c r="F2738" s="1789">
        <v>8.8999999999999996E-2</v>
      </c>
      <c r="G2738">
        <f t="shared" si="85"/>
        <v>3.41</v>
      </c>
    </row>
    <row r="2739" spans="1:7" ht="12.75" customHeight="1">
      <c r="A2739" s="3">
        <v>3864</v>
      </c>
      <c r="B2739" s="4" t="s">
        <v>2760</v>
      </c>
      <c r="C2739" s="3" t="s">
        <v>6</v>
      </c>
      <c r="D2739" s="5">
        <f t="shared" si="84"/>
        <v>10.45</v>
      </c>
      <c r="E2739">
        <v>11.48</v>
      </c>
      <c r="F2739" s="1789">
        <v>8.8999999999999996E-2</v>
      </c>
      <c r="G2739">
        <f t="shared" si="85"/>
        <v>10.45</v>
      </c>
    </row>
    <row r="2740" spans="1:7" ht="12.75" customHeight="1">
      <c r="A2740" s="3">
        <v>3865</v>
      </c>
      <c r="B2740" s="4" t="s">
        <v>2761</v>
      </c>
      <c r="C2740" s="3" t="s">
        <v>6</v>
      </c>
      <c r="D2740" s="5">
        <f t="shared" si="84"/>
        <v>15.29</v>
      </c>
      <c r="E2740">
        <v>16.79</v>
      </c>
      <c r="F2740" s="1789">
        <v>8.8999999999999996E-2</v>
      </c>
      <c r="G2740">
        <f t="shared" si="85"/>
        <v>15.29</v>
      </c>
    </row>
    <row r="2741" spans="1:7" ht="12.75" customHeight="1">
      <c r="A2741" s="3">
        <v>3866</v>
      </c>
      <c r="B2741" s="4" t="s">
        <v>2762</v>
      </c>
      <c r="C2741" s="3" t="s">
        <v>6</v>
      </c>
      <c r="D2741" s="5">
        <f t="shared" si="84"/>
        <v>34.340000000000003</v>
      </c>
      <c r="E2741">
        <v>37.700000000000003</v>
      </c>
      <c r="F2741" s="1789">
        <v>8.8999999999999996E-2</v>
      </c>
      <c r="G2741">
        <f t="shared" si="85"/>
        <v>34.340000000000003</v>
      </c>
    </row>
    <row r="2742" spans="1:7" ht="12.75" customHeight="1">
      <c r="A2742" s="3">
        <v>3878</v>
      </c>
      <c r="B2742" s="4" t="s">
        <v>2763</v>
      </c>
      <c r="C2742" s="3" t="s">
        <v>6</v>
      </c>
      <c r="D2742" s="5">
        <f t="shared" si="84"/>
        <v>9.36</v>
      </c>
      <c r="E2742">
        <v>10.28</v>
      </c>
      <c r="F2742" s="1789">
        <v>8.8999999999999996E-2</v>
      </c>
      <c r="G2742">
        <f t="shared" si="85"/>
        <v>9.36</v>
      </c>
    </row>
    <row r="2743" spans="1:7" ht="12.75" customHeight="1">
      <c r="A2743" s="3">
        <v>3883</v>
      </c>
      <c r="B2743" s="4" t="s">
        <v>2764</v>
      </c>
      <c r="C2743" s="3" t="s">
        <v>6</v>
      </c>
      <c r="D2743" s="5">
        <f t="shared" si="84"/>
        <v>1.19</v>
      </c>
      <c r="E2743">
        <v>1.31</v>
      </c>
      <c r="F2743" s="1789">
        <v>8.8999999999999996E-2</v>
      </c>
      <c r="G2743">
        <f t="shared" si="85"/>
        <v>1.19</v>
      </c>
    </row>
    <row r="2744" spans="1:7" ht="12.75" customHeight="1">
      <c r="A2744" s="3">
        <v>3876</v>
      </c>
      <c r="B2744" s="4" t="s">
        <v>2765</v>
      </c>
      <c r="C2744" s="3" t="s">
        <v>6</v>
      </c>
      <c r="D2744" s="5">
        <f t="shared" si="84"/>
        <v>3.72</v>
      </c>
      <c r="E2744">
        <v>4.09</v>
      </c>
      <c r="F2744" s="1789">
        <v>8.8999999999999996E-2</v>
      </c>
      <c r="G2744">
        <f t="shared" si="85"/>
        <v>3.72</v>
      </c>
    </row>
    <row r="2745" spans="1:7" ht="12.75" customHeight="1">
      <c r="A2745" s="3">
        <v>3884</v>
      </c>
      <c r="B2745" s="4" t="s">
        <v>2766</v>
      </c>
      <c r="C2745" s="3" t="s">
        <v>6</v>
      </c>
      <c r="D2745" s="5">
        <f t="shared" si="84"/>
        <v>1.89</v>
      </c>
      <c r="E2745">
        <v>2.08</v>
      </c>
      <c r="F2745" s="1789">
        <v>8.8999999999999996E-2</v>
      </c>
      <c r="G2745">
        <f t="shared" si="85"/>
        <v>1.89</v>
      </c>
    </row>
    <row r="2746" spans="1:7" ht="12.75" customHeight="1">
      <c r="A2746" s="3">
        <v>12892</v>
      </c>
      <c r="B2746" s="4" t="s">
        <v>2767</v>
      </c>
      <c r="C2746" s="3" t="s">
        <v>423</v>
      </c>
      <c r="D2746" s="5">
        <f t="shared" si="84"/>
        <v>13.03</v>
      </c>
      <c r="E2746">
        <v>14.31</v>
      </c>
      <c r="F2746" s="1789">
        <v>8.8999999999999996E-2</v>
      </c>
      <c r="G2746">
        <f t="shared" si="85"/>
        <v>13.03</v>
      </c>
    </row>
    <row r="2747" spans="1:7" ht="12.75" customHeight="1">
      <c r="A2747" s="3">
        <v>38447</v>
      </c>
      <c r="B2747" s="4" t="s">
        <v>2768</v>
      </c>
      <c r="C2747" s="3" t="s">
        <v>6</v>
      </c>
      <c r="D2747" s="5">
        <f t="shared" si="84"/>
        <v>79.86</v>
      </c>
      <c r="E2747">
        <v>87.67</v>
      </c>
      <c r="F2747" s="1789">
        <v>8.8999999999999996E-2</v>
      </c>
      <c r="G2747">
        <f t="shared" si="85"/>
        <v>79.86</v>
      </c>
    </row>
    <row r="2748" spans="1:7" ht="12.75" customHeight="1">
      <c r="A2748" s="3">
        <v>36320</v>
      </c>
      <c r="B2748" s="4" t="s">
        <v>2769</v>
      </c>
      <c r="C2748" s="3" t="s">
        <v>6</v>
      </c>
      <c r="D2748" s="5">
        <f t="shared" si="84"/>
        <v>2.14</v>
      </c>
      <c r="E2748">
        <v>2.36</v>
      </c>
      <c r="F2748" s="1789">
        <v>8.8999999999999996E-2</v>
      </c>
      <c r="G2748">
        <f t="shared" si="85"/>
        <v>2.14</v>
      </c>
    </row>
    <row r="2749" spans="1:7" ht="12.75" customHeight="1">
      <c r="A2749" s="3">
        <v>36324</v>
      </c>
      <c r="B2749" s="4" t="s">
        <v>2770</v>
      </c>
      <c r="C2749" s="3" t="s">
        <v>6</v>
      </c>
      <c r="D2749" s="5">
        <f t="shared" si="84"/>
        <v>1.95</v>
      </c>
      <c r="E2749">
        <v>2.15</v>
      </c>
      <c r="F2749" s="1789">
        <v>8.8999999999999996E-2</v>
      </c>
      <c r="G2749">
        <f t="shared" si="85"/>
        <v>1.95</v>
      </c>
    </row>
    <row r="2750" spans="1:7" ht="12.75" customHeight="1">
      <c r="A2750" s="3">
        <v>38441</v>
      </c>
      <c r="B2750" s="4" t="s">
        <v>2771</v>
      </c>
      <c r="C2750" s="3" t="s">
        <v>6</v>
      </c>
      <c r="D2750" s="5">
        <f t="shared" si="84"/>
        <v>3.5</v>
      </c>
      <c r="E2750">
        <v>3.85</v>
      </c>
      <c r="F2750" s="1789">
        <v>8.8999999999999996E-2</v>
      </c>
      <c r="G2750">
        <f t="shared" si="85"/>
        <v>3.5</v>
      </c>
    </row>
    <row r="2751" spans="1:7" ht="12.75" customHeight="1">
      <c r="A2751" s="3">
        <v>38442</v>
      </c>
      <c r="B2751" s="4" t="s">
        <v>2772</v>
      </c>
      <c r="C2751" s="3" t="s">
        <v>6</v>
      </c>
      <c r="D2751" s="5">
        <f t="shared" si="84"/>
        <v>9.98</v>
      </c>
      <c r="E2751">
        <v>10.96</v>
      </c>
      <c r="F2751" s="1789">
        <v>8.8999999999999996E-2</v>
      </c>
      <c r="G2751">
        <f t="shared" si="85"/>
        <v>9.98</v>
      </c>
    </row>
    <row r="2752" spans="1:7" ht="12.75" customHeight="1">
      <c r="A2752" s="3">
        <v>38443</v>
      </c>
      <c r="B2752" s="4" t="s">
        <v>2773</v>
      </c>
      <c r="C2752" s="3" t="s">
        <v>6</v>
      </c>
      <c r="D2752" s="5">
        <f t="shared" si="84"/>
        <v>12.1</v>
      </c>
      <c r="E2752">
        <v>13.29</v>
      </c>
      <c r="F2752" s="1789">
        <v>8.8999999999999996E-2</v>
      </c>
      <c r="G2752">
        <f t="shared" si="85"/>
        <v>12.1</v>
      </c>
    </row>
    <row r="2753" spans="1:7" ht="12.75" customHeight="1">
      <c r="A2753" s="3">
        <v>38444</v>
      </c>
      <c r="B2753" s="4" t="s">
        <v>2774</v>
      </c>
      <c r="C2753" s="3" t="s">
        <v>6</v>
      </c>
      <c r="D2753" s="5">
        <f t="shared" si="84"/>
        <v>20.329999999999998</v>
      </c>
      <c r="E2753">
        <v>22.32</v>
      </c>
      <c r="F2753" s="1789">
        <v>8.8999999999999996E-2</v>
      </c>
      <c r="G2753">
        <f t="shared" si="85"/>
        <v>20.329999999999998</v>
      </c>
    </row>
    <row r="2754" spans="1:7" ht="12.75" customHeight="1">
      <c r="A2754" s="3">
        <v>38445</v>
      </c>
      <c r="B2754" s="4" t="s">
        <v>2775</v>
      </c>
      <c r="C2754" s="3" t="s">
        <v>6</v>
      </c>
      <c r="D2754" s="5">
        <f t="shared" si="84"/>
        <v>37.700000000000003</v>
      </c>
      <c r="E2754">
        <v>41.39</v>
      </c>
      <c r="F2754" s="1789">
        <v>8.8999999999999996E-2</v>
      </c>
      <c r="G2754">
        <f t="shared" si="85"/>
        <v>37.700000000000003</v>
      </c>
    </row>
    <row r="2755" spans="1:7" ht="12.75" customHeight="1">
      <c r="A2755" s="3">
        <v>38446</v>
      </c>
      <c r="B2755" s="4" t="s">
        <v>2776</v>
      </c>
      <c r="C2755" s="3" t="s">
        <v>6</v>
      </c>
      <c r="D2755" s="5">
        <f t="shared" ref="D2755:D2818" si="86">G2755</f>
        <v>61.71</v>
      </c>
      <c r="E2755">
        <v>67.739999999999995</v>
      </c>
      <c r="F2755" s="1789">
        <v>8.8999999999999996E-2</v>
      </c>
      <c r="G2755">
        <f t="shared" ref="G2755:G2818" si="87">TRUNC((1-F2755)*E2755,2)</f>
        <v>61.71</v>
      </c>
    </row>
    <row r="2756" spans="1:7" ht="12.75" customHeight="1">
      <c r="A2756" s="3">
        <v>3837</v>
      </c>
      <c r="B2756" s="4" t="s">
        <v>2777</v>
      </c>
      <c r="C2756" s="3" t="s">
        <v>6</v>
      </c>
      <c r="D2756" s="5">
        <f t="shared" si="86"/>
        <v>27.84</v>
      </c>
      <c r="E2756">
        <v>30.56</v>
      </c>
      <c r="F2756" s="1789">
        <v>8.8999999999999996E-2</v>
      </c>
      <c r="G2756">
        <f t="shared" si="87"/>
        <v>27.84</v>
      </c>
    </row>
    <row r="2757" spans="1:7" ht="12.75" customHeight="1">
      <c r="A2757" s="3">
        <v>3845</v>
      </c>
      <c r="B2757" s="4" t="s">
        <v>2778</v>
      </c>
      <c r="C2757" s="3" t="s">
        <v>6</v>
      </c>
      <c r="D2757" s="5">
        <f t="shared" si="86"/>
        <v>10.16</v>
      </c>
      <c r="E2757">
        <v>11.16</v>
      </c>
      <c r="F2757" s="1789">
        <v>8.8999999999999996E-2</v>
      </c>
      <c r="G2757">
        <f t="shared" si="87"/>
        <v>10.16</v>
      </c>
    </row>
    <row r="2758" spans="1:7" ht="12.75" customHeight="1">
      <c r="A2758" s="3">
        <v>11045</v>
      </c>
      <c r="B2758" s="4" t="s">
        <v>2779</v>
      </c>
      <c r="C2758" s="3" t="s">
        <v>6</v>
      </c>
      <c r="D2758" s="5">
        <f t="shared" si="86"/>
        <v>19.61</v>
      </c>
      <c r="E2758">
        <v>21.53</v>
      </c>
      <c r="F2758" s="1789">
        <v>8.8999999999999996E-2</v>
      </c>
      <c r="G2758">
        <f t="shared" si="87"/>
        <v>19.61</v>
      </c>
    </row>
    <row r="2759" spans="1:7" ht="12.75" customHeight="1">
      <c r="A2759" s="3">
        <v>20170</v>
      </c>
      <c r="B2759" s="4" t="s">
        <v>2780</v>
      </c>
      <c r="C2759" s="3" t="s">
        <v>6</v>
      </c>
      <c r="D2759" s="5">
        <f t="shared" si="86"/>
        <v>11.49</v>
      </c>
      <c r="E2759">
        <v>12.62</v>
      </c>
      <c r="F2759" s="1789">
        <v>8.8999999999999996E-2</v>
      </c>
      <c r="G2759">
        <f t="shared" si="87"/>
        <v>11.49</v>
      </c>
    </row>
    <row r="2760" spans="1:7" ht="12.75" customHeight="1">
      <c r="A2760" s="3">
        <v>20171</v>
      </c>
      <c r="B2760" s="4" t="s">
        <v>2781</v>
      </c>
      <c r="C2760" s="3" t="s">
        <v>6</v>
      </c>
      <c r="D2760" s="5">
        <f t="shared" si="86"/>
        <v>33.159999999999997</v>
      </c>
      <c r="E2760">
        <v>36.4</v>
      </c>
      <c r="F2760" s="1789">
        <v>8.8999999999999996E-2</v>
      </c>
      <c r="G2760">
        <f t="shared" si="87"/>
        <v>33.159999999999997</v>
      </c>
    </row>
    <row r="2761" spans="1:7" ht="12.75" customHeight="1">
      <c r="A2761" s="3">
        <v>20167</v>
      </c>
      <c r="B2761" s="4" t="s">
        <v>2782</v>
      </c>
      <c r="C2761" s="3" t="s">
        <v>6</v>
      </c>
      <c r="D2761" s="5">
        <f t="shared" si="86"/>
        <v>4.17</v>
      </c>
      <c r="E2761">
        <v>4.58</v>
      </c>
      <c r="F2761" s="1789">
        <v>8.8999999999999996E-2</v>
      </c>
      <c r="G2761">
        <f t="shared" si="87"/>
        <v>4.17</v>
      </c>
    </row>
    <row r="2762" spans="1:7" ht="12.75" customHeight="1">
      <c r="A2762" s="3">
        <v>20168</v>
      </c>
      <c r="B2762" s="4" t="s">
        <v>2783</v>
      </c>
      <c r="C2762" s="3" t="s">
        <v>6</v>
      </c>
      <c r="D2762" s="5">
        <f t="shared" si="86"/>
        <v>8.58</v>
      </c>
      <c r="E2762">
        <v>9.42</v>
      </c>
      <c r="F2762" s="1789">
        <v>8.8999999999999996E-2</v>
      </c>
      <c r="G2762">
        <f t="shared" si="87"/>
        <v>8.58</v>
      </c>
    </row>
    <row r="2763" spans="1:7" ht="12.75" customHeight="1">
      <c r="A2763" s="3">
        <v>20169</v>
      </c>
      <c r="B2763" s="4" t="s">
        <v>2784</v>
      </c>
      <c r="C2763" s="3" t="s">
        <v>6</v>
      </c>
      <c r="D2763" s="5">
        <f t="shared" si="86"/>
        <v>10.01</v>
      </c>
      <c r="E2763">
        <v>10.99</v>
      </c>
      <c r="F2763" s="1789">
        <v>8.8999999999999996E-2</v>
      </c>
      <c r="G2763">
        <f t="shared" si="87"/>
        <v>10.01</v>
      </c>
    </row>
    <row r="2764" spans="1:7" ht="12.75" customHeight="1">
      <c r="A2764" s="3">
        <v>3899</v>
      </c>
      <c r="B2764" s="4" t="s">
        <v>2785</v>
      </c>
      <c r="C2764" s="3" t="s">
        <v>6</v>
      </c>
      <c r="D2764" s="5">
        <f t="shared" si="86"/>
        <v>5.55</v>
      </c>
      <c r="E2764">
        <v>6.1</v>
      </c>
      <c r="F2764" s="1789">
        <v>8.8999999999999996E-2</v>
      </c>
      <c r="G2764">
        <f t="shared" si="87"/>
        <v>5.55</v>
      </c>
    </row>
    <row r="2765" spans="1:7" ht="12.75" customHeight="1">
      <c r="A2765" s="3">
        <v>38676</v>
      </c>
      <c r="B2765" s="4" t="s">
        <v>2786</v>
      </c>
      <c r="C2765" s="3" t="s">
        <v>6</v>
      </c>
      <c r="D2765" s="5">
        <f t="shared" si="86"/>
        <v>27.78</v>
      </c>
      <c r="E2765">
        <v>30.5</v>
      </c>
      <c r="F2765" s="1789">
        <v>8.8999999999999996E-2</v>
      </c>
      <c r="G2765">
        <f t="shared" si="87"/>
        <v>27.78</v>
      </c>
    </row>
    <row r="2766" spans="1:7" ht="12.75" customHeight="1">
      <c r="A2766" s="3">
        <v>3897</v>
      </c>
      <c r="B2766" s="4" t="s">
        <v>2787</v>
      </c>
      <c r="C2766" s="3" t="s">
        <v>6</v>
      </c>
      <c r="D2766" s="5">
        <f t="shared" si="86"/>
        <v>1.35</v>
      </c>
      <c r="E2766">
        <v>1.49</v>
      </c>
      <c r="F2766" s="1789">
        <v>8.8999999999999996E-2</v>
      </c>
      <c r="G2766">
        <f t="shared" si="87"/>
        <v>1.35</v>
      </c>
    </row>
    <row r="2767" spans="1:7" ht="12.75" customHeight="1">
      <c r="A2767" s="3">
        <v>3875</v>
      </c>
      <c r="B2767" s="4" t="s">
        <v>2788</v>
      </c>
      <c r="C2767" s="3" t="s">
        <v>6</v>
      </c>
      <c r="D2767" s="5">
        <f t="shared" si="86"/>
        <v>2.79</v>
      </c>
      <c r="E2767">
        <v>3.07</v>
      </c>
      <c r="F2767" s="1789">
        <v>8.8999999999999996E-2</v>
      </c>
      <c r="G2767">
        <f t="shared" si="87"/>
        <v>2.79</v>
      </c>
    </row>
    <row r="2768" spans="1:7" ht="12.75" customHeight="1">
      <c r="A2768" s="3">
        <v>3898</v>
      </c>
      <c r="B2768" s="4" t="s">
        <v>2789</v>
      </c>
      <c r="C2768" s="3" t="s">
        <v>6</v>
      </c>
      <c r="D2768" s="5">
        <f t="shared" si="86"/>
        <v>5.68</v>
      </c>
      <c r="E2768">
        <v>6.24</v>
      </c>
      <c r="F2768" s="1789">
        <v>8.8999999999999996E-2</v>
      </c>
      <c r="G2768">
        <f t="shared" si="87"/>
        <v>5.68</v>
      </c>
    </row>
    <row r="2769" spans="1:7" ht="12.75" customHeight="1">
      <c r="A2769" s="3">
        <v>3855</v>
      </c>
      <c r="B2769" s="4" t="s">
        <v>2790</v>
      </c>
      <c r="C2769" s="3" t="s">
        <v>6</v>
      </c>
      <c r="D2769" s="5">
        <f t="shared" si="86"/>
        <v>4.04</v>
      </c>
      <c r="E2769">
        <v>4.4400000000000004</v>
      </c>
      <c r="F2769" s="1789">
        <v>8.8999999999999996E-2</v>
      </c>
      <c r="G2769">
        <f t="shared" si="87"/>
        <v>4.04</v>
      </c>
    </row>
    <row r="2770" spans="1:7" ht="12.75" customHeight="1">
      <c r="A2770" s="3">
        <v>3874</v>
      </c>
      <c r="B2770" s="4" t="s">
        <v>2791</v>
      </c>
      <c r="C2770" s="3" t="s">
        <v>6</v>
      </c>
      <c r="D2770" s="5">
        <f t="shared" si="86"/>
        <v>4.68</v>
      </c>
      <c r="E2770">
        <v>5.14</v>
      </c>
      <c r="F2770" s="1789">
        <v>8.8999999999999996E-2</v>
      </c>
      <c r="G2770">
        <f t="shared" si="87"/>
        <v>4.68</v>
      </c>
    </row>
    <row r="2771" spans="1:7" ht="12.75" customHeight="1">
      <c r="A2771" s="3">
        <v>3870</v>
      </c>
      <c r="B2771" s="4" t="s">
        <v>2792</v>
      </c>
      <c r="C2771" s="3" t="s">
        <v>6</v>
      </c>
      <c r="D2771" s="5">
        <f t="shared" si="86"/>
        <v>5.13</v>
      </c>
      <c r="E2771">
        <v>5.64</v>
      </c>
      <c r="F2771" s="1789">
        <v>8.8999999999999996E-2</v>
      </c>
      <c r="G2771">
        <f t="shared" si="87"/>
        <v>5.13</v>
      </c>
    </row>
    <row r="2772" spans="1:7" ht="12.75" customHeight="1">
      <c r="A2772" s="3">
        <v>38678</v>
      </c>
      <c r="B2772" s="4" t="s">
        <v>2793</v>
      </c>
      <c r="C2772" s="3" t="s">
        <v>6</v>
      </c>
      <c r="D2772" s="5">
        <f t="shared" si="86"/>
        <v>13.6</v>
      </c>
      <c r="E2772">
        <v>14.93</v>
      </c>
      <c r="F2772" s="1789">
        <v>8.8999999999999996E-2</v>
      </c>
      <c r="G2772">
        <f t="shared" si="87"/>
        <v>13.6</v>
      </c>
    </row>
    <row r="2773" spans="1:7" ht="12.75" customHeight="1">
      <c r="A2773" s="3">
        <v>3859</v>
      </c>
      <c r="B2773" s="4" t="s">
        <v>2794</v>
      </c>
      <c r="C2773" s="3" t="s">
        <v>6</v>
      </c>
      <c r="D2773" s="5">
        <f t="shared" si="86"/>
        <v>1.03</v>
      </c>
      <c r="E2773">
        <v>1.1399999999999999</v>
      </c>
      <c r="F2773" s="1789">
        <v>8.8999999999999996E-2</v>
      </c>
      <c r="G2773">
        <f t="shared" si="87"/>
        <v>1.03</v>
      </c>
    </row>
    <row r="2774" spans="1:7" ht="12.75" customHeight="1">
      <c r="A2774" s="3">
        <v>3856</v>
      </c>
      <c r="B2774" s="4" t="s">
        <v>2795</v>
      </c>
      <c r="C2774" s="3" t="s">
        <v>6</v>
      </c>
      <c r="D2774" s="5">
        <f t="shared" si="86"/>
        <v>1.43</v>
      </c>
      <c r="E2774">
        <v>1.58</v>
      </c>
      <c r="F2774" s="1789">
        <v>8.8999999999999996E-2</v>
      </c>
      <c r="G2774">
        <f t="shared" si="87"/>
        <v>1.43</v>
      </c>
    </row>
    <row r="2775" spans="1:7" ht="12.75" customHeight="1">
      <c r="A2775" s="3">
        <v>3906</v>
      </c>
      <c r="B2775" s="4" t="s">
        <v>2796</v>
      </c>
      <c r="C2775" s="3" t="s">
        <v>6</v>
      </c>
      <c r="D2775" s="5">
        <f t="shared" si="86"/>
        <v>1.18</v>
      </c>
      <c r="E2775">
        <v>1.3</v>
      </c>
      <c r="F2775" s="1789">
        <v>8.8999999999999996E-2</v>
      </c>
      <c r="G2775">
        <f t="shared" si="87"/>
        <v>1.18</v>
      </c>
    </row>
    <row r="2776" spans="1:7" ht="12.75" customHeight="1">
      <c r="A2776" s="3">
        <v>3860</v>
      </c>
      <c r="B2776" s="4" t="s">
        <v>2797</v>
      </c>
      <c r="C2776" s="3" t="s">
        <v>6</v>
      </c>
      <c r="D2776" s="5">
        <f t="shared" si="86"/>
        <v>3.52</v>
      </c>
      <c r="E2776">
        <v>3.87</v>
      </c>
      <c r="F2776" s="1789">
        <v>8.8999999999999996E-2</v>
      </c>
      <c r="G2776">
        <f t="shared" si="87"/>
        <v>3.52</v>
      </c>
    </row>
    <row r="2777" spans="1:7" ht="12.75" customHeight="1">
      <c r="A2777" s="3">
        <v>3905</v>
      </c>
      <c r="B2777" s="4" t="s">
        <v>2798</v>
      </c>
      <c r="C2777" s="3" t="s">
        <v>6</v>
      </c>
      <c r="D2777" s="5">
        <f t="shared" si="86"/>
        <v>8.08</v>
      </c>
      <c r="E2777">
        <v>8.8699999999999992</v>
      </c>
      <c r="F2777" s="1789">
        <v>8.8999999999999996E-2</v>
      </c>
      <c r="G2777">
        <f t="shared" si="87"/>
        <v>8.08</v>
      </c>
    </row>
    <row r="2778" spans="1:7" ht="12.75" customHeight="1">
      <c r="A2778" s="3">
        <v>3871</v>
      </c>
      <c r="B2778" s="4" t="s">
        <v>2799</v>
      </c>
      <c r="C2778" s="3" t="s">
        <v>6</v>
      </c>
      <c r="D2778" s="5">
        <f t="shared" si="86"/>
        <v>14.3</v>
      </c>
      <c r="E2778">
        <v>15.7</v>
      </c>
      <c r="F2778" s="1789">
        <v>8.8999999999999996E-2</v>
      </c>
      <c r="G2778">
        <f t="shared" si="87"/>
        <v>14.3</v>
      </c>
    </row>
    <row r="2779" spans="1:7" ht="12.75" customHeight="1">
      <c r="A2779" s="3">
        <v>39292</v>
      </c>
      <c r="B2779" s="4" t="s">
        <v>2800</v>
      </c>
      <c r="C2779" s="3" t="s">
        <v>6</v>
      </c>
      <c r="D2779" s="5">
        <f t="shared" si="86"/>
        <v>7.57</v>
      </c>
      <c r="E2779">
        <v>8.32</v>
      </c>
      <c r="F2779" s="1789">
        <v>8.8999999999999996E-2</v>
      </c>
      <c r="G2779">
        <f t="shared" si="87"/>
        <v>7.57</v>
      </c>
    </row>
    <row r="2780" spans="1:7" ht="12.75" customHeight="1">
      <c r="A2780" s="3">
        <v>39293</v>
      </c>
      <c r="B2780" s="4" t="s">
        <v>2801</v>
      </c>
      <c r="C2780" s="3" t="s">
        <v>6</v>
      </c>
      <c r="D2780" s="5">
        <f t="shared" si="86"/>
        <v>11.77</v>
      </c>
      <c r="E2780">
        <v>12.92</v>
      </c>
      <c r="F2780" s="1789">
        <v>8.8999999999999996E-2</v>
      </c>
      <c r="G2780">
        <f t="shared" si="87"/>
        <v>11.77</v>
      </c>
    </row>
    <row r="2781" spans="1:7" ht="12.75" customHeight="1">
      <c r="A2781" s="3">
        <v>39294</v>
      </c>
      <c r="B2781" s="4" t="s">
        <v>2802</v>
      </c>
      <c r="C2781" s="3" t="s">
        <v>6</v>
      </c>
      <c r="D2781" s="5">
        <f t="shared" si="86"/>
        <v>12.58</v>
      </c>
      <c r="E2781">
        <v>13.81</v>
      </c>
      <c r="F2781" s="1789">
        <v>8.8999999999999996E-2</v>
      </c>
      <c r="G2781">
        <f t="shared" si="87"/>
        <v>12.58</v>
      </c>
    </row>
    <row r="2782" spans="1:7" ht="12.75" customHeight="1">
      <c r="A2782" s="3">
        <v>39295</v>
      </c>
      <c r="B2782" s="4" t="s">
        <v>2803</v>
      </c>
      <c r="C2782" s="3" t="s">
        <v>6</v>
      </c>
      <c r="D2782" s="5">
        <f t="shared" si="86"/>
        <v>17.3</v>
      </c>
      <c r="E2782">
        <v>19</v>
      </c>
      <c r="F2782" s="1789">
        <v>8.8999999999999996E-2</v>
      </c>
      <c r="G2782">
        <f t="shared" si="87"/>
        <v>17.3</v>
      </c>
    </row>
    <row r="2783" spans="1:7" ht="12.75" customHeight="1">
      <c r="A2783" s="3">
        <v>39312</v>
      </c>
      <c r="B2783" s="4" t="s">
        <v>2804</v>
      </c>
      <c r="C2783" s="3" t="s">
        <v>6</v>
      </c>
      <c r="D2783" s="5">
        <f t="shared" si="86"/>
        <v>11.61</v>
      </c>
      <c r="E2783">
        <v>12.75</v>
      </c>
      <c r="F2783" s="1789">
        <v>8.8999999999999996E-2</v>
      </c>
      <c r="G2783">
        <f t="shared" si="87"/>
        <v>11.61</v>
      </c>
    </row>
    <row r="2784" spans="1:7" ht="12.75" customHeight="1">
      <c r="A2784" s="3">
        <v>39313</v>
      </c>
      <c r="B2784" s="4" t="s">
        <v>2805</v>
      </c>
      <c r="C2784" s="3" t="s">
        <v>6</v>
      </c>
      <c r="D2784" s="5">
        <f t="shared" si="86"/>
        <v>15.59</v>
      </c>
      <c r="E2784">
        <v>17.12</v>
      </c>
      <c r="F2784" s="1789">
        <v>8.8999999999999996E-2</v>
      </c>
      <c r="G2784">
        <f t="shared" si="87"/>
        <v>15.59</v>
      </c>
    </row>
    <row r="2785" spans="1:7" ht="12.75" customHeight="1">
      <c r="A2785" s="3">
        <v>39314</v>
      </c>
      <c r="B2785" s="4" t="s">
        <v>2806</v>
      </c>
      <c r="C2785" s="3" t="s">
        <v>6</v>
      </c>
      <c r="D2785" s="5">
        <f t="shared" si="86"/>
        <v>22.95</v>
      </c>
      <c r="E2785">
        <v>25.2</v>
      </c>
      <c r="F2785" s="1789">
        <v>8.8999999999999996E-2</v>
      </c>
      <c r="G2785">
        <f t="shared" si="87"/>
        <v>22.95</v>
      </c>
    </row>
    <row r="2786" spans="1:7" ht="12.75" customHeight="1">
      <c r="A2786" s="3">
        <v>39296</v>
      </c>
      <c r="B2786" s="4" t="s">
        <v>2807</v>
      </c>
      <c r="C2786" s="3" t="s">
        <v>6</v>
      </c>
      <c r="D2786" s="5">
        <f t="shared" si="86"/>
        <v>6.9</v>
      </c>
      <c r="E2786">
        <v>7.58</v>
      </c>
      <c r="F2786" s="1789">
        <v>8.8999999999999996E-2</v>
      </c>
      <c r="G2786">
        <f t="shared" si="87"/>
        <v>6.9</v>
      </c>
    </row>
    <row r="2787" spans="1:7" ht="12.75" customHeight="1">
      <c r="A2787" s="3">
        <v>39297</v>
      </c>
      <c r="B2787" s="4" t="s">
        <v>2808</v>
      </c>
      <c r="C2787" s="3" t="s">
        <v>6</v>
      </c>
      <c r="D2787" s="5">
        <f t="shared" si="86"/>
        <v>9.36</v>
      </c>
      <c r="E2787">
        <v>10.28</v>
      </c>
      <c r="F2787" s="1789">
        <v>8.8999999999999996E-2</v>
      </c>
      <c r="G2787">
        <f t="shared" si="87"/>
        <v>9.36</v>
      </c>
    </row>
    <row r="2788" spans="1:7" ht="12.75" customHeight="1">
      <c r="A2788" s="3">
        <v>39298</v>
      </c>
      <c r="B2788" s="4" t="s">
        <v>2809</v>
      </c>
      <c r="C2788" s="3" t="s">
        <v>6</v>
      </c>
      <c r="D2788" s="5">
        <f t="shared" si="86"/>
        <v>17.98</v>
      </c>
      <c r="E2788">
        <v>19.739999999999998</v>
      </c>
      <c r="F2788" s="1789">
        <v>8.8999999999999996E-2</v>
      </c>
      <c r="G2788">
        <f t="shared" si="87"/>
        <v>17.98</v>
      </c>
    </row>
    <row r="2789" spans="1:7" ht="12.75" customHeight="1">
      <c r="A2789" s="3">
        <v>39299</v>
      </c>
      <c r="B2789" s="4" t="s">
        <v>2810</v>
      </c>
      <c r="C2789" s="3" t="s">
        <v>6</v>
      </c>
      <c r="D2789" s="5">
        <f t="shared" si="86"/>
        <v>21.3</v>
      </c>
      <c r="E2789">
        <v>23.39</v>
      </c>
      <c r="F2789" s="1789">
        <v>8.8999999999999996E-2</v>
      </c>
      <c r="G2789">
        <f t="shared" si="87"/>
        <v>21.3</v>
      </c>
    </row>
    <row r="2790" spans="1:7" ht="12.75" customHeight="1">
      <c r="A2790" s="3">
        <v>39308</v>
      </c>
      <c r="B2790" s="4" t="s">
        <v>2811</v>
      </c>
      <c r="C2790" s="3" t="s">
        <v>6</v>
      </c>
      <c r="D2790" s="5">
        <f t="shared" si="86"/>
        <v>5.75</v>
      </c>
      <c r="E2790">
        <v>6.32</v>
      </c>
      <c r="F2790" s="1789">
        <v>8.8999999999999996E-2</v>
      </c>
      <c r="G2790">
        <f t="shared" si="87"/>
        <v>5.75</v>
      </c>
    </row>
    <row r="2791" spans="1:7" ht="12.75" customHeight="1">
      <c r="A2791" s="3">
        <v>39309</v>
      </c>
      <c r="B2791" s="4" t="s">
        <v>2812</v>
      </c>
      <c r="C2791" s="3" t="s">
        <v>6</v>
      </c>
      <c r="D2791" s="5">
        <f t="shared" si="86"/>
        <v>6.56</v>
      </c>
      <c r="E2791">
        <v>7.21</v>
      </c>
      <c r="F2791" s="1789">
        <v>8.8999999999999996E-2</v>
      </c>
      <c r="G2791">
        <f t="shared" si="87"/>
        <v>6.56</v>
      </c>
    </row>
    <row r="2792" spans="1:7" ht="12.75" customHeight="1">
      <c r="A2792" s="3">
        <v>39310</v>
      </c>
      <c r="B2792" s="4" t="s">
        <v>2813</v>
      </c>
      <c r="C2792" s="3" t="s">
        <v>6</v>
      </c>
      <c r="D2792" s="5">
        <f t="shared" si="86"/>
        <v>12.26</v>
      </c>
      <c r="E2792">
        <v>13.46</v>
      </c>
      <c r="F2792" s="1789">
        <v>8.8999999999999996E-2</v>
      </c>
      <c r="G2792">
        <f t="shared" si="87"/>
        <v>12.26</v>
      </c>
    </row>
    <row r="2793" spans="1:7" ht="12.75" customHeight="1">
      <c r="A2793" s="3">
        <v>39311</v>
      </c>
      <c r="B2793" s="4" t="s">
        <v>2814</v>
      </c>
      <c r="C2793" s="3" t="s">
        <v>6</v>
      </c>
      <c r="D2793" s="5">
        <f t="shared" si="86"/>
        <v>17.36</v>
      </c>
      <c r="E2793">
        <v>19.059999999999999</v>
      </c>
      <c r="F2793" s="1789">
        <v>8.8999999999999996E-2</v>
      </c>
      <c r="G2793">
        <f t="shared" si="87"/>
        <v>17.36</v>
      </c>
    </row>
    <row r="2794" spans="1:7" ht="12.75" customHeight="1">
      <c r="A2794" s="3">
        <v>37427</v>
      </c>
      <c r="B2794" s="4" t="s">
        <v>2815</v>
      </c>
      <c r="C2794" s="3" t="s">
        <v>6</v>
      </c>
      <c r="D2794" s="5">
        <f t="shared" si="86"/>
        <v>54.76</v>
      </c>
      <c r="E2794">
        <v>60.11</v>
      </c>
      <c r="F2794" s="1789">
        <v>8.8999999999999996E-2</v>
      </c>
      <c r="G2794">
        <f t="shared" si="87"/>
        <v>54.76</v>
      </c>
    </row>
    <row r="2795" spans="1:7" ht="12.75" customHeight="1">
      <c r="A2795" s="3">
        <v>37424</v>
      </c>
      <c r="B2795" s="4" t="s">
        <v>2816</v>
      </c>
      <c r="C2795" s="3" t="s">
        <v>6</v>
      </c>
      <c r="D2795" s="5">
        <f t="shared" si="86"/>
        <v>10.54</v>
      </c>
      <c r="E2795">
        <v>11.58</v>
      </c>
      <c r="F2795" s="1789">
        <v>8.8999999999999996E-2</v>
      </c>
      <c r="G2795">
        <f t="shared" si="87"/>
        <v>10.54</v>
      </c>
    </row>
    <row r="2796" spans="1:7" ht="12.75" customHeight="1">
      <c r="A2796" s="3">
        <v>37428</v>
      </c>
      <c r="B2796" s="4" t="s">
        <v>2817</v>
      </c>
      <c r="C2796" s="3" t="s">
        <v>6</v>
      </c>
      <c r="D2796" s="5">
        <f t="shared" si="86"/>
        <v>188.73</v>
      </c>
      <c r="E2796">
        <v>207.17</v>
      </c>
      <c r="F2796" s="1789">
        <v>8.8999999999999996E-2</v>
      </c>
      <c r="G2796">
        <f t="shared" si="87"/>
        <v>188.73</v>
      </c>
    </row>
    <row r="2797" spans="1:7" ht="12.75" customHeight="1">
      <c r="A2797" s="3">
        <v>37425</v>
      </c>
      <c r="B2797" s="4" t="s">
        <v>2818</v>
      </c>
      <c r="C2797" s="3" t="s">
        <v>6</v>
      </c>
      <c r="D2797" s="5">
        <f t="shared" si="86"/>
        <v>11.36</v>
      </c>
      <c r="E2797">
        <v>12.48</v>
      </c>
      <c r="F2797" s="1789">
        <v>8.8999999999999996E-2</v>
      </c>
      <c r="G2797">
        <f t="shared" si="87"/>
        <v>11.36</v>
      </c>
    </row>
    <row r="2798" spans="1:7" ht="12.75" customHeight="1">
      <c r="A2798" s="3">
        <v>37429</v>
      </c>
      <c r="B2798" s="4" t="s">
        <v>2819</v>
      </c>
      <c r="C2798" s="3" t="s">
        <v>6</v>
      </c>
      <c r="D2798" s="5">
        <f t="shared" si="86"/>
        <v>2386.65</v>
      </c>
      <c r="E2798">
        <v>2619.8200000000002</v>
      </c>
      <c r="F2798" s="1789">
        <v>8.8999999999999996E-2</v>
      </c>
      <c r="G2798">
        <f t="shared" si="87"/>
        <v>2386.65</v>
      </c>
    </row>
    <row r="2799" spans="1:7" ht="12.75" customHeight="1">
      <c r="A2799" s="3">
        <v>37426</v>
      </c>
      <c r="B2799" s="4" t="s">
        <v>2820</v>
      </c>
      <c r="C2799" s="3" t="s">
        <v>6</v>
      </c>
      <c r="D2799" s="5">
        <f t="shared" si="86"/>
        <v>22.95</v>
      </c>
      <c r="E2799">
        <v>25.2</v>
      </c>
      <c r="F2799" s="1789">
        <v>8.8999999999999996E-2</v>
      </c>
      <c r="G2799">
        <f t="shared" si="87"/>
        <v>22.95</v>
      </c>
    </row>
    <row r="2800" spans="1:7" ht="12.75" customHeight="1">
      <c r="A2800" s="3">
        <v>11519</v>
      </c>
      <c r="B2800" s="4" t="s">
        <v>2821</v>
      </c>
      <c r="C2800" s="3" t="s">
        <v>423</v>
      </c>
      <c r="D2800" s="5">
        <f t="shared" si="86"/>
        <v>42.86</v>
      </c>
      <c r="E2800">
        <v>47.05</v>
      </c>
      <c r="F2800" s="1789">
        <v>8.8999999999999996E-2</v>
      </c>
      <c r="G2800">
        <f t="shared" si="87"/>
        <v>42.86</v>
      </c>
    </row>
    <row r="2801" spans="1:7" ht="12.75" customHeight="1">
      <c r="A2801" s="3">
        <v>11520</v>
      </c>
      <c r="B2801" s="4" t="s">
        <v>2822</v>
      </c>
      <c r="C2801" s="3" t="s">
        <v>423</v>
      </c>
      <c r="D2801" s="5">
        <f t="shared" si="86"/>
        <v>19.809999999999999</v>
      </c>
      <c r="E2801">
        <v>21.75</v>
      </c>
      <c r="F2801" s="1789">
        <v>8.8999999999999996E-2</v>
      </c>
      <c r="G2801">
        <f t="shared" si="87"/>
        <v>19.809999999999999</v>
      </c>
    </row>
    <row r="2802" spans="1:7" ht="12.75" customHeight="1">
      <c r="A2802" s="3">
        <v>11518</v>
      </c>
      <c r="B2802" s="4" t="s">
        <v>2823</v>
      </c>
      <c r="C2802" s="3" t="s">
        <v>423</v>
      </c>
      <c r="D2802" s="5">
        <f t="shared" si="86"/>
        <v>72.05</v>
      </c>
      <c r="E2802">
        <v>79.09</v>
      </c>
      <c r="F2802" s="1789">
        <v>8.8999999999999996E-2</v>
      </c>
      <c r="G2802">
        <f t="shared" si="87"/>
        <v>72.05</v>
      </c>
    </row>
    <row r="2803" spans="1:7" ht="12.75" customHeight="1">
      <c r="A2803" s="3">
        <v>38473</v>
      </c>
      <c r="B2803" s="4" t="s">
        <v>2824</v>
      </c>
      <c r="C2803" s="3" t="s">
        <v>6</v>
      </c>
      <c r="D2803" s="5">
        <f t="shared" si="86"/>
        <v>142.03</v>
      </c>
      <c r="E2803">
        <v>155.91</v>
      </c>
      <c r="F2803" s="1789">
        <v>8.8999999999999996E-2</v>
      </c>
      <c r="G2803">
        <f t="shared" si="87"/>
        <v>142.03</v>
      </c>
    </row>
    <row r="2804" spans="1:7" ht="12.75" customHeight="1">
      <c r="A2804" s="3">
        <v>4244</v>
      </c>
      <c r="B2804" s="4" t="s">
        <v>2825</v>
      </c>
      <c r="C2804" s="3" t="s">
        <v>154</v>
      </c>
      <c r="D2804" s="5">
        <f t="shared" si="86"/>
        <v>17.55</v>
      </c>
      <c r="E2804">
        <v>19.27</v>
      </c>
      <c r="F2804" s="1789">
        <v>8.8999999999999996E-2</v>
      </c>
      <c r="G2804">
        <f t="shared" si="87"/>
        <v>17.55</v>
      </c>
    </row>
    <row r="2805" spans="1:7" ht="12.75" customHeight="1">
      <c r="A2805" s="3">
        <v>40977</v>
      </c>
      <c r="B2805" s="4" t="s">
        <v>2826</v>
      </c>
      <c r="C2805" s="3" t="s">
        <v>156</v>
      </c>
      <c r="D2805" s="5">
        <f t="shared" si="86"/>
        <v>3092.57</v>
      </c>
      <c r="E2805">
        <v>3394.7</v>
      </c>
      <c r="F2805" s="1789">
        <v>8.8999999999999996E-2</v>
      </c>
      <c r="G2805">
        <f t="shared" si="87"/>
        <v>3092.57</v>
      </c>
    </row>
    <row r="2806" spans="1:7" ht="12.75" customHeight="1">
      <c r="A2806" s="3">
        <v>4115</v>
      </c>
      <c r="B2806" s="4" t="s">
        <v>2827</v>
      </c>
      <c r="C2806" s="3" t="s">
        <v>50</v>
      </c>
      <c r="D2806" s="5">
        <f t="shared" si="86"/>
        <v>31.62</v>
      </c>
      <c r="E2806">
        <v>34.71</v>
      </c>
      <c r="F2806" s="1789">
        <v>8.8999999999999996E-2</v>
      </c>
      <c r="G2806">
        <f t="shared" si="87"/>
        <v>31.62</v>
      </c>
    </row>
    <row r="2807" spans="1:7" ht="12.75" customHeight="1">
      <c r="A2807" s="3">
        <v>4119</v>
      </c>
      <c r="B2807" s="4" t="s">
        <v>2828</v>
      </c>
      <c r="C2807" s="3" t="s">
        <v>50</v>
      </c>
      <c r="D2807" s="5">
        <f t="shared" si="86"/>
        <v>63.86</v>
      </c>
      <c r="E2807">
        <v>70.099999999999994</v>
      </c>
      <c r="F2807" s="1789">
        <v>8.8999999999999996E-2</v>
      </c>
      <c r="G2807">
        <f t="shared" si="87"/>
        <v>63.86</v>
      </c>
    </row>
    <row r="2808" spans="1:7" ht="12.75" customHeight="1">
      <c r="A2808" s="3">
        <v>2794</v>
      </c>
      <c r="B2808" s="4" t="s">
        <v>2829</v>
      </c>
      <c r="C2808" s="3" t="s">
        <v>50</v>
      </c>
      <c r="D2808" s="5">
        <f t="shared" si="86"/>
        <v>169.4</v>
      </c>
      <c r="E2808">
        <v>185.95</v>
      </c>
      <c r="F2808" s="1789">
        <v>8.8999999999999996E-2</v>
      </c>
      <c r="G2808">
        <f t="shared" si="87"/>
        <v>169.4</v>
      </c>
    </row>
    <row r="2809" spans="1:7" ht="12.75" customHeight="1">
      <c r="A2809" s="3">
        <v>2788</v>
      </c>
      <c r="B2809" s="4" t="s">
        <v>2830</v>
      </c>
      <c r="C2809" s="3" t="s">
        <v>50</v>
      </c>
      <c r="D2809" s="5">
        <f t="shared" si="86"/>
        <v>246.78</v>
      </c>
      <c r="E2809">
        <v>270.89</v>
      </c>
      <c r="F2809" s="1789">
        <v>8.8999999999999996E-2</v>
      </c>
      <c r="G2809">
        <f t="shared" si="87"/>
        <v>246.78</v>
      </c>
    </row>
    <row r="2810" spans="1:7" ht="12.75" customHeight="1">
      <c r="A2810" s="3">
        <v>4006</v>
      </c>
      <c r="B2810" s="4" t="s">
        <v>2831</v>
      </c>
      <c r="C2810" s="3" t="s">
        <v>152</v>
      </c>
      <c r="D2810" s="5">
        <f t="shared" si="86"/>
        <v>2364.39</v>
      </c>
      <c r="E2810">
        <v>2595.38</v>
      </c>
      <c r="F2810" s="1789">
        <v>8.8999999999999996E-2</v>
      </c>
      <c r="G2810">
        <f t="shared" si="87"/>
        <v>2364.39</v>
      </c>
    </row>
    <row r="2811" spans="1:7" ht="12.75" customHeight="1">
      <c r="A2811" s="3">
        <v>36151</v>
      </c>
      <c r="B2811" s="4" t="s">
        <v>2832</v>
      </c>
      <c r="C2811" s="3" t="s">
        <v>6</v>
      </c>
      <c r="D2811" s="5">
        <f t="shared" si="86"/>
        <v>28.96</v>
      </c>
      <c r="E2811">
        <v>31.8</v>
      </c>
      <c r="F2811" s="1789">
        <v>8.8999999999999996E-2</v>
      </c>
      <c r="G2811">
        <f t="shared" si="87"/>
        <v>28.96</v>
      </c>
    </row>
    <row r="2812" spans="1:7" ht="12.75" customHeight="1">
      <c r="A2812" s="3">
        <v>37457</v>
      </c>
      <c r="B2812" s="4" t="s">
        <v>2833</v>
      </c>
      <c r="C2812" s="3" t="s">
        <v>50</v>
      </c>
      <c r="D2812" s="5">
        <f t="shared" si="86"/>
        <v>2.99</v>
      </c>
      <c r="E2812">
        <v>3.29</v>
      </c>
      <c r="F2812" s="1789">
        <v>8.8999999999999996E-2</v>
      </c>
      <c r="G2812">
        <f t="shared" si="87"/>
        <v>2.99</v>
      </c>
    </row>
    <row r="2813" spans="1:7" ht="12.75" customHeight="1">
      <c r="A2813" s="3">
        <v>37456</v>
      </c>
      <c r="B2813" s="4" t="s">
        <v>2834</v>
      </c>
      <c r="C2813" s="3" t="s">
        <v>50</v>
      </c>
      <c r="D2813" s="5">
        <f t="shared" si="86"/>
        <v>1.58</v>
      </c>
      <c r="E2813">
        <v>1.74</v>
      </c>
      <c r="F2813" s="1789">
        <v>8.8999999999999996E-2</v>
      </c>
      <c r="G2813">
        <f t="shared" si="87"/>
        <v>1.58</v>
      </c>
    </row>
    <row r="2814" spans="1:7" ht="12.75" customHeight="1">
      <c r="A2814" s="3">
        <v>37461</v>
      </c>
      <c r="B2814" s="4" t="s">
        <v>2835</v>
      </c>
      <c r="C2814" s="3" t="s">
        <v>50</v>
      </c>
      <c r="D2814" s="5">
        <f t="shared" si="86"/>
        <v>11.15</v>
      </c>
      <c r="E2814">
        <v>12.24</v>
      </c>
      <c r="F2814" s="1789">
        <v>8.8999999999999996E-2</v>
      </c>
      <c r="G2814">
        <f t="shared" si="87"/>
        <v>11.15</v>
      </c>
    </row>
    <row r="2815" spans="1:7" ht="12.75" customHeight="1">
      <c r="A2815" s="3">
        <v>37460</v>
      </c>
      <c r="B2815" s="4" t="s">
        <v>2836</v>
      </c>
      <c r="C2815" s="3" t="s">
        <v>50</v>
      </c>
      <c r="D2815" s="5">
        <f t="shared" si="86"/>
        <v>15.23</v>
      </c>
      <c r="E2815">
        <v>16.72</v>
      </c>
      <c r="F2815" s="1789">
        <v>8.8999999999999996E-2</v>
      </c>
      <c r="G2815">
        <f t="shared" si="87"/>
        <v>15.23</v>
      </c>
    </row>
    <row r="2816" spans="1:7" ht="12.75" customHeight="1">
      <c r="A2816" s="3">
        <v>37458</v>
      </c>
      <c r="B2816" s="4" t="s">
        <v>2837</v>
      </c>
      <c r="C2816" s="3" t="s">
        <v>50</v>
      </c>
      <c r="D2816" s="5">
        <f t="shared" si="86"/>
        <v>4.46</v>
      </c>
      <c r="E2816">
        <v>4.9000000000000004</v>
      </c>
      <c r="F2816" s="1789">
        <v>8.8999999999999996E-2</v>
      </c>
      <c r="G2816">
        <f t="shared" si="87"/>
        <v>4.46</v>
      </c>
    </row>
    <row r="2817" spans="1:7" ht="12.75" customHeight="1">
      <c r="A2817" s="3">
        <v>37454</v>
      </c>
      <c r="B2817" s="4" t="s">
        <v>2838</v>
      </c>
      <c r="C2817" s="3" t="s">
        <v>50</v>
      </c>
      <c r="D2817" s="5">
        <f t="shared" si="86"/>
        <v>1.1599999999999999</v>
      </c>
      <c r="E2817">
        <v>1.28</v>
      </c>
      <c r="F2817" s="1789">
        <v>8.8999999999999996E-2</v>
      </c>
      <c r="G2817">
        <f t="shared" si="87"/>
        <v>1.1599999999999999</v>
      </c>
    </row>
    <row r="2818" spans="1:7" ht="12.75" customHeight="1">
      <c r="A2818" s="3">
        <v>37455</v>
      </c>
      <c r="B2818" s="4" t="s">
        <v>2839</v>
      </c>
      <c r="C2818" s="3" t="s">
        <v>50</v>
      </c>
      <c r="D2818" s="5">
        <f t="shared" si="86"/>
        <v>1.96</v>
      </c>
      <c r="E2818">
        <v>2.16</v>
      </c>
      <c r="F2818" s="1789">
        <v>8.8999999999999996E-2</v>
      </c>
      <c r="G2818">
        <f t="shared" si="87"/>
        <v>1.96</v>
      </c>
    </row>
    <row r="2819" spans="1:7" ht="12.75" customHeight="1">
      <c r="A2819" s="3">
        <v>37459</v>
      </c>
      <c r="B2819" s="4" t="s">
        <v>2840</v>
      </c>
      <c r="C2819" s="3" t="s">
        <v>50</v>
      </c>
      <c r="D2819" s="5">
        <f t="shared" ref="D2819:D2882" si="88">G2819</f>
        <v>6.26</v>
      </c>
      <c r="E2819">
        <v>6.88</v>
      </c>
      <c r="F2819" s="1789">
        <v>8.8999999999999996E-2</v>
      </c>
      <c r="G2819">
        <f t="shared" ref="G2819:G2882" si="89">TRUNC((1-F2819)*E2819,2)</f>
        <v>6.26</v>
      </c>
    </row>
    <row r="2820" spans="1:7" ht="12.75" customHeight="1">
      <c r="A2820" s="3">
        <v>21029</v>
      </c>
      <c r="B2820" s="4" t="s">
        <v>2841</v>
      </c>
      <c r="C2820" s="3" t="s">
        <v>6</v>
      </c>
      <c r="D2820" s="5">
        <f t="shared" si="88"/>
        <v>396.28</v>
      </c>
      <c r="E2820">
        <v>435</v>
      </c>
      <c r="F2820" s="1789">
        <v>8.8999999999999996E-2</v>
      </c>
      <c r="G2820">
        <f t="shared" si="89"/>
        <v>396.28</v>
      </c>
    </row>
    <row r="2821" spans="1:7" ht="12.75" customHeight="1">
      <c r="A2821" s="3">
        <v>21030</v>
      </c>
      <c r="B2821" s="4" t="s">
        <v>2842</v>
      </c>
      <c r="C2821" s="3" t="s">
        <v>6</v>
      </c>
      <c r="D2821" s="5">
        <f t="shared" si="88"/>
        <v>488.48</v>
      </c>
      <c r="E2821">
        <v>536.21</v>
      </c>
      <c r="F2821" s="1789">
        <v>8.8999999999999996E-2</v>
      </c>
      <c r="G2821">
        <f t="shared" si="89"/>
        <v>488.48</v>
      </c>
    </row>
    <row r="2822" spans="1:7" ht="12.75" customHeight="1">
      <c r="A2822" s="3">
        <v>21031</v>
      </c>
      <c r="B2822" s="4" t="s">
        <v>2843</v>
      </c>
      <c r="C2822" s="3" t="s">
        <v>6</v>
      </c>
      <c r="D2822" s="5">
        <f t="shared" si="88"/>
        <v>608.15</v>
      </c>
      <c r="E2822">
        <v>667.57</v>
      </c>
      <c r="F2822" s="1789">
        <v>8.8999999999999996E-2</v>
      </c>
      <c r="G2822">
        <f t="shared" si="89"/>
        <v>608.15</v>
      </c>
    </row>
    <row r="2823" spans="1:7" ht="12.75" customHeight="1">
      <c r="A2823" s="3">
        <v>21032</v>
      </c>
      <c r="B2823" s="4" t="s">
        <v>2844</v>
      </c>
      <c r="C2823" s="3" t="s">
        <v>6</v>
      </c>
      <c r="D2823" s="5">
        <f t="shared" si="88"/>
        <v>649.35</v>
      </c>
      <c r="E2823">
        <v>712.79</v>
      </c>
      <c r="F2823" s="1789">
        <v>8.8999999999999996E-2</v>
      </c>
      <c r="G2823">
        <f t="shared" si="89"/>
        <v>649.35</v>
      </c>
    </row>
    <row r="2824" spans="1:7" ht="12.75" customHeight="1">
      <c r="A2824" s="3">
        <v>37527</v>
      </c>
      <c r="B2824" s="4" t="s">
        <v>2845</v>
      </c>
      <c r="C2824" s="3" t="s">
        <v>6</v>
      </c>
      <c r="D2824" s="5">
        <f t="shared" si="88"/>
        <v>586.57000000000005</v>
      </c>
      <c r="E2824">
        <v>643.88</v>
      </c>
      <c r="F2824" s="1789">
        <v>8.8999999999999996E-2</v>
      </c>
      <c r="G2824">
        <f t="shared" si="89"/>
        <v>586.57000000000005</v>
      </c>
    </row>
    <row r="2825" spans="1:7" ht="12.75" customHeight="1">
      <c r="A2825" s="3">
        <v>37528</v>
      </c>
      <c r="B2825" s="4" t="s">
        <v>2846</v>
      </c>
      <c r="C2825" s="3" t="s">
        <v>6</v>
      </c>
      <c r="D2825" s="5">
        <f t="shared" si="88"/>
        <v>699.38</v>
      </c>
      <c r="E2825">
        <v>767.71</v>
      </c>
      <c r="F2825" s="1789">
        <v>8.8999999999999996E-2</v>
      </c>
      <c r="G2825">
        <f t="shared" si="89"/>
        <v>699.38</v>
      </c>
    </row>
    <row r="2826" spans="1:7" ht="12.75" customHeight="1">
      <c r="A2826" s="3">
        <v>37529</v>
      </c>
      <c r="B2826" s="4" t="s">
        <v>2847</v>
      </c>
      <c r="C2826" s="3" t="s">
        <v>6</v>
      </c>
      <c r="D2826" s="5">
        <f t="shared" si="88"/>
        <v>706.24</v>
      </c>
      <c r="E2826">
        <v>775.24</v>
      </c>
      <c r="F2826" s="1789">
        <v>8.8999999999999996E-2</v>
      </c>
      <c r="G2826">
        <f t="shared" si="89"/>
        <v>706.24</v>
      </c>
    </row>
    <row r="2827" spans="1:7" ht="12.75" customHeight="1">
      <c r="A2827" s="3">
        <v>37530</v>
      </c>
      <c r="B2827" s="4" t="s">
        <v>2848</v>
      </c>
      <c r="C2827" s="3" t="s">
        <v>6</v>
      </c>
      <c r="D2827" s="5">
        <f t="shared" si="88"/>
        <v>922.04</v>
      </c>
      <c r="E2827">
        <v>1012.12</v>
      </c>
      <c r="F2827" s="1789">
        <v>8.8999999999999996E-2</v>
      </c>
      <c r="G2827">
        <f t="shared" si="89"/>
        <v>922.04</v>
      </c>
    </row>
    <row r="2828" spans="1:7" ht="12.75" customHeight="1">
      <c r="A2828" s="3">
        <v>21034</v>
      </c>
      <c r="B2828" s="4" t="s">
        <v>2849</v>
      </c>
      <c r="C2828" s="3" t="s">
        <v>6</v>
      </c>
      <c r="D2828" s="5">
        <f t="shared" si="88"/>
        <v>786.67</v>
      </c>
      <c r="E2828">
        <v>863.53</v>
      </c>
      <c r="F2828" s="1789">
        <v>8.8999999999999996E-2</v>
      </c>
      <c r="G2828">
        <f t="shared" si="89"/>
        <v>786.67</v>
      </c>
    </row>
    <row r="2829" spans="1:7" ht="12.75" customHeight="1">
      <c r="A2829" s="3">
        <v>37531</v>
      </c>
      <c r="B2829" s="4" t="s">
        <v>2850</v>
      </c>
      <c r="C2829" s="3" t="s">
        <v>6</v>
      </c>
      <c r="D2829" s="5">
        <f t="shared" si="88"/>
        <v>990.71</v>
      </c>
      <c r="E2829">
        <v>1087.5</v>
      </c>
      <c r="F2829" s="1789">
        <v>8.8999999999999996E-2</v>
      </c>
      <c r="G2829">
        <f t="shared" si="89"/>
        <v>990.71</v>
      </c>
    </row>
    <row r="2830" spans="1:7" ht="12.75" customHeight="1">
      <c r="A2830" s="3">
        <v>21036</v>
      </c>
      <c r="B2830" s="4" t="s">
        <v>2851</v>
      </c>
      <c r="C2830" s="3" t="s">
        <v>6</v>
      </c>
      <c r="D2830" s="5">
        <f t="shared" si="88"/>
        <v>1204.54</v>
      </c>
      <c r="E2830">
        <v>1322.22</v>
      </c>
      <c r="F2830" s="1789">
        <v>8.8999999999999996E-2</v>
      </c>
      <c r="G2830">
        <f t="shared" si="89"/>
        <v>1204.54</v>
      </c>
    </row>
    <row r="2831" spans="1:7" ht="12.75" customHeight="1">
      <c r="A2831" s="3">
        <v>21037</v>
      </c>
      <c r="B2831" s="4" t="s">
        <v>2852</v>
      </c>
      <c r="C2831" s="3" t="s">
        <v>6</v>
      </c>
      <c r="D2831" s="5">
        <f t="shared" si="88"/>
        <v>1373.25</v>
      </c>
      <c r="E2831">
        <v>1507.42</v>
      </c>
      <c r="F2831" s="1789">
        <v>8.8999999999999996E-2</v>
      </c>
      <c r="G2831">
        <f t="shared" si="89"/>
        <v>1373.25</v>
      </c>
    </row>
    <row r="2832" spans="1:7" ht="12.75" customHeight="1">
      <c r="A2832" s="3">
        <v>20185</v>
      </c>
      <c r="B2832" s="4" t="s">
        <v>2853</v>
      </c>
      <c r="C2832" s="3" t="s">
        <v>50</v>
      </c>
      <c r="D2832" s="5">
        <f t="shared" si="88"/>
        <v>18.12</v>
      </c>
      <c r="E2832">
        <v>19.899999999999999</v>
      </c>
      <c r="F2832" s="1789">
        <v>8.8999999999999996E-2</v>
      </c>
      <c r="G2832">
        <f t="shared" si="89"/>
        <v>18.12</v>
      </c>
    </row>
    <row r="2833" spans="1:7" ht="12.75" customHeight="1">
      <c r="A2833" s="3">
        <v>20260</v>
      </c>
      <c r="B2833" s="4" t="s">
        <v>2854</v>
      </c>
      <c r="C2833" s="3" t="s">
        <v>6</v>
      </c>
      <c r="D2833" s="5">
        <f t="shared" si="88"/>
        <v>14.57</v>
      </c>
      <c r="E2833">
        <v>16</v>
      </c>
      <c r="F2833" s="1789">
        <v>8.8999999999999996E-2</v>
      </c>
      <c r="G2833">
        <f t="shared" si="89"/>
        <v>14.57</v>
      </c>
    </row>
    <row r="2834" spans="1:7" ht="12.75" customHeight="1">
      <c r="A2834" s="3">
        <v>37523</v>
      </c>
      <c r="B2834" s="4" t="s">
        <v>2855</v>
      </c>
      <c r="C2834" s="3" t="s">
        <v>6</v>
      </c>
      <c r="D2834" s="5">
        <f t="shared" si="88"/>
        <v>462210.09</v>
      </c>
      <c r="E2834">
        <v>507365.64</v>
      </c>
      <c r="F2834" s="1789">
        <v>8.8999999999999996E-2</v>
      </c>
      <c r="G2834">
        <f t="shared" si="89"/>
        <v>462210.09</v>
      </c>
    </row>
    <row r="2835" spans="1:7" ht="12.75" customHeight="1">
      <c r="A2835" s="3">
        <v>37515</v>
      </c>
      <c r="B2835" s="4" t="s">
        <v>2856</v>
      </c>
      <c r="C2835" s="3" t="s">
        <v>6</v>
      </c>
      <c r="D2835" s="5">
        <f t="shared" si="88"/>
        <v>410928.41</v>
      </c>
      <c r="E2835">
        <v>451074</v>
      </c>
      <c r="F2835" s="1789">
        <v>8.8999999999999996E-2</v>
      </c>
      <c r="G2835">
        <f t="shared" si="89"/>
        <v>410928.41</v>
      </c>
    </row>
    <row r="2836" spans="1:7" ht="12.75" customHeight="1">
      <c r="A2836" s="3">
        <v>12899</v>
      </c>
      <c r="B2836" s="4" t="s">
        <v>2857</v>
      </c>
      <c r="C2836" s="3" t="s">
        <v>6</v>
      </c>
      <c r="D2836" s="5">
        <f t="shared" si="88"/>
        <v>101.74</v>
      </c>
      <c r="E2836">
        <v>111.68</v>
      </c>
      <c r="F2836" s="1789">
        <v>8.8999999999999996E-2</v>
      </c>
      <c r="G2836">
        <f t="shared" si="89"/>
        <v>101.74</v>
      </c>
    </row>
    <row r="2837" spans="1:7" ht="12.75" customHeight="1">
      <c r="A2837" s="3">
        <v>12898</v>
      </c>
      <c r="B2837" s="4" t="s">
        <v>2858</v>
      </c>
      <c r="C2837" s="3" t="s">
        <v>6</v>
      </c>
      <c r="D2837" s="5">
        <f t="shared" si="88"/>
        <v>161.38999999999999</v>
      </c>
      <c r="E2837">
        <v>177.16</v>
      </c>
      <c r="F2837" s="1789">
        <v>8.8999999999999996E-2</v>
      </c>
      <c r="G2837">
        <f t="shared" si="89"/>
        <v>161.38999999999999</v>
      </c>
    </row>
    <row r="2838" spans="1:7" ht="12.75" customHeight="1">
      <c r="A2838" s="3">
        <v>39699</v>
      </c>
      <c r="B2838" s="4" t="s">
        <v>2859</v>
      </c>
      <c r="C2838" s="3" t="s">
        <v>409</v>
      </c>
      <c r="D2838" s="5">
        <f t="shared" si="88"/>
        <v>16.11</v>
      </c>
      <c r="E2838">
        <v>17.690000000000001</v>
      </c>
      <c r="F2838" s="1789">
        <v>8.8999999999999996E-2</v>
      </c>
      <c r="G2838">
        <f t="shared" si="89"/>
        <v>16.11</v>
      </c>
    </row>
    <row r="2839" spans="1:7" ht="12.75" customHeight="1">
      <c r="A2839" s="3">
        <v>42528</v>
      </c>
      <c r="B2839" s="4" t="s">
        <v>2860</v>
      </c>
      <c r="C2839" s="3" t="s">
        <v>409</v>
      </c>
      <c r="D2839" s="5">
        <f t="shared" si="88"/>
        <v>8.32</v>
      </c>
      <c r="E2839">
        <v>9.14</v>
      </c>
      <c r="F2839" s="1789">
        <v>8.8999999999999996E-2</v>
      </c>
      <c r="G2839">
        <f t="shared" si="89"/>
        <v>8.32</v>
      </c>
    </row>
    <row r="2840" spans="1:7" ht="12.75" customHeight="1">
      <c r="A2840" s="3">
        <v>39696</v>
      </c>
      <c r="B2840" s="4" t="s">
        <v>2861</v>
      </c>
      <c r="C2840" s="3" t="s">
        <v>409</v>
      </c>
      <c r="D2840" s="5">
        <f t="shared" si="88"/>
        <v>5.85</v>
      </c>
      <c r="E2840">
        <v>6.43</v>
      </c>
      <c r="F2840" s="1789">
        <v>8.8999999999999996E-2</v>
      </c>
      <c r="G2840">
        <f t="shared" si="89"/>
        <v>5.85</v>
      </c>
    </row>
    <row r="2841" spans="1:7" ht="12.75" customHeight="1">
      <c r="A2841" s="3">
        <v>39700</v>
      </c>
      <c r="B2841" s="4" t="s">
        <v>2862</v>
      </c>
      <c r="C2841" s="3" t="s">
        <v>409</v>
      </c>
      <c r="D2841" s="5">
        <f t="shared" si="88"/>
        <v>27.22</v>
      </c>
      <c r="E2841">
        <v>29.89</v>
      </c>
      <c r="F2841" s="1789">
        <v>8.8999999999999996E-2</v>
      </c>
      <c r="G2841">
        <f t="shared" si="89"/>
        <v>27.22</v>
      </c>
    </row>
    <row r="2842" spans="1:7" ht="12.75" customHeight="1">
      <c r="A2842" s="3">
        <v>11621</v>
      </c>
      <c r="B2842" s="4" t="s">
        <v>2863</v>
      </c>
      <c r="C2842" s="3" t="s">
        <v>409</v>
      </c>
      <c r="D2842" s="5">
        <f t="shared" si="88"/>
        <v>54.18</v>
      </c>
      <c r="E2842">
        <v>59.48</v>
      </c>
      <c r="F2842" s="1789">
        <v>8.8999999999999996E-2</v>
      </c>
      <c r="G2842">
        <f t="shared" si="89"/>
        <v>54.18</v>
      </c>
    </row>
    <row r="2843" spans="1:7" ht="12.75" customHeight="1">
      <c r="A2843" s="3">
        <v>4014</v>
      </c>
      <c r="B2843" s="4" t="s">
        <v>2864</v>
      </c>
      <c r="C2843" s="3" t="s">
        <v>409</v>
      </c>
      <c r="D2843" s="5">
        <f t="shared" si="88"/>
        <v>56.06</v>
      </c>
      <c r="E2843">
        <v>61.54</v>
      </c>
      <c r="F2843" s="1789">
        <v>8.8999999999999996E-2</v>
      </c>
      <c r="G2843">
        <f t="shared" si="89"/>
        <v>56.06</v>
      </c>
    </row>
    <row r="2844" spans="1:7" ht="12.75" customHeight="1">
      <c r="A2844" s="3">
        <v>4015</v>
      </c>
      <c r="B2844" s="4" t="s">
        <v>2865</v>
      </c>
      <c r="C2844" s="3" t="s">
        <v>409</v>
      </c>
      <c r="D2844" s="5">
        <f t="shared" si="88"/>
        <v>68.84</v>
      </c>
      <c r="E2844">
        <v>75.569999999999993</v>
      </c>
      <c r="F2844" s="1789">
        <v>8.8999999999999996E-2</v>
      </c>
      <c r="G2844">
        <f t="shared" si="89"/>
        <v>68.84</v>
      </c>
    </row>
    <row r="2845" spans="1:7" ht="12.75" customHeight="1">
      <c r="A2845" s="3">
        <v>4017</v>
      </c>
      <c r="B2845" s="4" t="s">
        <v>2866</v>
      </c>
      <c r="C2845" s="3" t="s">
        <v>409</v>
      </c>
      <c r="D2845" s="5">
        <f t="shared" si="88"/>
        <v>100.17</v>
      </c>
      <c r="E2845">
        <v>109.96</v>
      </c>
      <c r="F2845" s="1789">
        <v>8.8999999999999996E-2</v>
      </c>
      <c r="G2845">
        <f t="shared" si="89"/>
        <v>100.17</v>
      </c>
    </row>
    <row r="2846" spans="1:7" ht="12.75" customHeight="1">
      <c r="A2846" s="3">
        <v>4016</v>
      </c>
      <c r="B2846" s="4" t="s">
        <v>2867</v>
      </c>
      <c r="C2846" s="3" t="s">
        <v>409</v>
      </c>
      <c r="D2846" s="5">
        <f t="shared" si="88"/>
        <v>39.56</v>
      </c>
      <c r="E2846">
        <v>43.43</v>
      </c>
      <c r="F2846" s="1789">
        <v>8.8999999999999996E-2</v>
      </c>
      <c r="G2846">
        <f t="shared" si="89"/>
        <v>39.56</v>
      </c>
    </row>
    <row r="2847" spans="1:7" ht="12.75" customHeight="1">
      <c r="A2847" s="3">
        <v>38544</v>
      </c>
      <c r="B2847" s="4" t="s">
        <v>2868</v>
      </c>
      <c r="C2847" s="3" t="s">
        <v>409</v>
      </c>
      <c r="D2847" s="5">
        <f t="shared" si="88"/>
        <v>10.14</v>
      </c>
      <c r="E2847">
        <v>11.14</v>
      </c>
      <c r="F2847" s="1789">
        <v>8.8999999999999996E-2</v>
      </c>
      <c r="G2847">
        <f t="shared" si="89"/>
        <v>10.14</v>
      </c>
    </row>
    <row r="2848" spans="1:7" ht="12.75" customHeight="1">
      <c r="A2848" s="3">
        <v>38545</v>
      </c>
      <c r="B2848" s="4" t="s">
        <v>2869</v>
      </c>
      <c r="C2848" s="3" t="s">
        <v>409</v>
      </c>
      <c r="D2848" s="5">
        <f t="shared" si="88"/>
        <v>6.52</v>
      </c>
      <c r="E2848">
        <v>7.16</v>
      </c>
      <c r="F2848" s="1789">
        <v>8.8999999999999996E-2</v>
      </c>
      <c r="G2848">
        <f t="shared" si="89"/>
        <v>6.52</v>
      </c>
    </row>
    <row r="2849" spans="1:7" ht="12.75" customHeight="1">
      <c r="A2849" s="3">
        <v>42527</v>
      </c>
      <c r="B2849" s="4" t="s">
        <v>2870</v>
      </c>
      <c r="C2849" s="3" t="s">
        <v>409</v>
      </c>
      <c r="D2849" s="5">
        <f t="shared" si="88"/>
        <v>22</v>
      </c>
      <c r="E2849">
        <v>24.16</v>
      </c>
      <c r="F2849" s="1789">
        <v>8.8999999999999996E-2</v>
      </c>
      <c r="G2849">
        <f t="shared" si="89"/>
        <v>22</v>
      </c>
    </row>
    <row r="2850" spans="1:7" ht="12.75" customHeight="1">
      <c r="A2850" s="3">
        <v>39323</v>
      </c>
      <c r="B2850" s="4" t="s">
        <v>2871</v>
      </c>
      <c r="C2850" s="3" t="s">
        <v>409</v>
      </c>
      <c r="D2850" s="5">
        <f t="shared" si="88"/>
        <v>24.88</v>
      </c>
      <c r="E2850">
        <v>27.32</v>
      </c>
      <c r="F2850" s="1789">
        <v>8.8999999999999996E-2</v>
      </c>
      <c r="G2850">
        <f t="shared" si="89"/>
        <v>24.88</v>
      </c>
    </row>
    <row r="2851" spans="1:7" ht="12.75" customHeight="1">
      <c r="A2851" s="3">
        <v>626</v>
      </c>
      <c r="B2851" s="4" t="s">
        <v>2872</v>
      </c>
      <c r="C2851" s="3" t="s">
        <v>54</v>
      </c>
      <c r="D2851" s="5">
        <f t="shared" si="88"/>
        <v>18.649999999999999</v>
      </c>
      <c r="E2851">
        <v>20.48</v>
      </c>
      <c r="F2851" s="1789">
        <v>8.8999999999999996E-2</v>
      </c>
      <c r="G2851">
        <f t="shared" si="89"/>
        <v>18.649999999999999</v>
      </c>
    </row>
    <row r="2852" spans="1:7" ht="12.75" customHeight="1">
      <c r="A2852" s="3">
        <v>44504</v>
      </c>
      <c r="B2852" s="4" t="s">
        <v>2873</v>
      </c>
      <c r="C2852" s="3" t="s">
        <v>409</v>
      </c>
      <c r="D2852" s="5">
        <f t="shared" si="88"/>
        <v>12.04</v>
      </c>
      <c r="E2852">
        <v>13.22</v>
      </c>
      <c r="F2852" s="1789">
        <v>8.8999999999999996E-2</v>
      </c>
      <c r="G2852">
        <f t="shared" si="89"/>
        <v>12.04</v>
      </c>
    </row>
    <row r="2853" spans="1:7" ht="12.75" customHeight="1">
      <c r="A2853" s="3">
        <v>44505</v>
      </c>
      <c r="B2853" s="4" t="s">
        <v>2874</v>
      </c>
      <c r="C2853" s="3" t="s">
        <v>409</v>
      </c>
      <c r="D2853" s="5">
        <f t="shared" si="88"/>
        <v>18.170000000000002</v>
      </c>
      <c r="E2853">
        <v>19.95</v>
      </c>
      <c r="F2853" s="1789">
        <v>8.8999999999999996E-2</v>
      </c>
      <c r="G2853">
        <f t="shared" si="89"/>
        <v>18.170000000000002</v>
      </c>
    </row>
    <row r="2854" spans="1:7" ht="12.75" customHeight="1">
      <c r="A2854" s="3">
        <v>44506</v>
      </c>
      <c r="B2854" s="4" t="s">
        <v>2875</v>
      </c>
      <c r="C2854" s="3" t="s">
        <v>409</v>
      </c>
      <c r="D2854" s="5">
        <f t="shared" si="88"/>
        <v>19.28</v>
      </c>
      <c r="E2854">
        <v>21.17</v>
      </c>
      <c r="F2854" s="1789">
        <v>8.8999999999999996E-2</v>
      </c>
      <c r="G2854">
        <f t="shared" si="89"/>
        <v>19.28</v>
      </c>
    </row>
    <row r="2855" spans="1:7" ht="12.75" customHeight="1">
      <c r="A2855" s="3">
        <v>44507</v>
      </c>
      <c r="B2855" s="4" t="s">
        <v>2876</v>
      </c>
      <c r="C2855" s="3" t="s">
        <v>409</v>
      </c>
      <c r="D2855" s="5">
        <f t="shared" si="88"/>
        <v>24.11</v>
      </c>
      <c r="E2855">
        <v>26.47</v>
      </c>
      <c r="F2855" s="1789">
        <v>8.8999999999999996E-2</v>
      </c>
      <c r="G2855">
        <f t="shared" si="89"/>
        <v>24.11</v>
      </c>
    </row>
    <row r="2856" spans="1:7" ht="12.75" customHeight="1">
      <c r="A2856" s="3">
        <v>44508</v>
      </c>
      <c r="B2856" s="4" t="s">
        <v>2877</v>
      </c>
      <c r="C2856" s="3" t="s">
        <v>409</v>
      </c>
      <c r="D2856" s="5">
        <f t="shared" si="88"/>
        <v>36.159999999999997</v>
      </c>
      <c r="E2856">
        <v>39.700000000000003</v>
      </c>
      <c r="F2856" s="1789">
        <v>8.8999999999999996E-2</v>
      </c>
      <c r="G2856">
        <f t="shared" si="89"/>
        <v>36.159999999999997</v>
      </c>
    </row>
    <row r="2857" spans="1:7" ht="12.75" customHeight="1">
      <c r="A2857" s="3">
        <v>44509</v>
      </c>
      <c r="B2857" s="4" t="s">
        <v>2878</v>
      </c>
      <c r="C2857" s="3" t="s">
        <v>409</v>
      </c>
      <c r="D2857" s="5">
        <f t="shared" si="88"/>
        <v>48.44</v>
      </c>
      <c r="E2857">
        <v>53.18</v>
      </c>
      <c r="F2857" s="1789">
        <v>8.8999999999999996E-2</v>
      </c>
      <c r="G2857">
        <f t="shared" si="89"/>
        <v>48.44</v>
      </c>
    </row>
    <row r="2858" spans="1:7" ht="12.75" customHeight="1">
      <c r="A2858" s="3">
        <v>44510</v>
      </c>
      <c r="B2858" s="4" t="s">
        <v>2879</v>
      </c>
      <c r="C2858" s="3" t="s">
        <v>409</v>
      </c>
      <c r="D2858" s="5">
        <f t="shared" si="88"/>
        <v>60.15</v>
      </c>
      <c r="E2858">
        <v>66.03</v>
      </c>
      <c r="F2858" s="1789">
        <v>8.8999999999999996E-2</v>
      </c>
      <c r="G2858">
        <f t="shared" si="89"/>
        <v>60.15</v>
      </c>
    </row>
    <row r="2859" spans="1:7" ht="12.75" customHeight="1">
      <c r="A2859" s="3">
        <v>44512</v>
      </c>
      <c r="B2859" s="4" t="s">
        <v>2880</v>
      </c>
      <c r="C2859" s="3" t="s">
        <v>409</v>
      </c>
      <c r="D2859" s="5">
        <f t="shared" si="88"/>
        <v>13.42</v>
      </c>
      <c r="E2859">
        <v>14.74</v>
      </c>
      <c r="F2859" s="1789">
        <v>8.8999999999999996E-2</v>
      </c>
      <c r="G2859">
        <f t="shared" si="89"/>
        <v>13.42</v>
      </c>
    </row>
    <row r="2860" spans="1:7" ht="12.75" customHeight="1">
      <c r="A2860" s="3">
        <v>44513</v>
      </c>
      <c r="B2860" s="4" t="s">
        <v>2881</v>
      </c>
      <c r="C2860" s="3" t="s">
        <v>409</v>
      </c>
      <c r="D2860" s="5">
        <f t="shared" si="88"/>
        <v>18.940000000000001</v>
      </c>
      <c r="E2860">
        <v>20.8</v>
      </c>
      <c r="F2860" s="1789">
        <v>8.8999999999999996E-2</v>
      </c>
      <c r="G2860">
        <f t="shared" si="89"/>
        <v>18.940000000000001</v>
      </c>
    </row>
    <row r="2861" spans="1:7" ht="12.75" customHeight="1">
      <c r="A2861" s="3">
        <v>44514</v>
      </c>
      <c r="B2861" s="4" t="s">
        <v>2882</v>
      </c>
      <c r="C2861" s="3" t="s">
        <v>409</v>
      </c>
      <c r="D2861" s="5">
        <f t="shared" si="88"/>
        <v>21.48</v>
      </c>
      <c r="E2861">
        <v>23.58</v>
      </c>
      <c r="F2861" s="1789">
        <v>8.8999999999999996E-2</v>
      </c>
      <c r="G2861">
        <f t="shared" si="89"/>
        <v>21.48</v>
      </c>
    </row>
    <row r="2862" spans="1:7" ht="12.75" customHeight="1">
      <c r="A2862" s="3">
        <v>44515</v>
      </c>
      <c r="B2862" s="4" t="s">
        <v>2883</v>
      </c>
      <c r="C2862" s="3" t="s">
        <v>409</v>
      </c>
      <c r="D2862" s="5">
        <f t="shared" si="88"/>
        <v>26.38</v>
      </c>
      <c r="E2862">
        <v>28.96</v>
      </c>
      <c r="F2862" s="1789">
        <v>8.8999999999999996E-2</v>
      </c>
      <c r="G2862">
        <f t="shared" si="89"/>
        <v>26.38</v>
      </c>
    </row>
    <row r="2863" spans="1:7" ht="12.75" customHeight="1">
      <c r="A2863" s="3">
        <v>44511</v>
      </c>
      <c r="B2863" s="4" t="s">
        <v>2884</v>
      </c>
      <c r="C2863" s="3" t="s">
        <v>409</v>
      </c>
      <c r="D2863" s="5">
        <f t="shared" si="88"/>
        <v>39.04</v>
      </c>
      <c r="E2863">
        <v>42.86</v>
      </c>
      <c r="F2863" s="1789">
        <v>8.8999999999999996E-2</v>
      </c>
      <c r="G2863">
        <f t="shared" si="89"/>
        <v>39.04</v>
      </c>
    </row>
    <row r="2864" spans="1:7" ht="12.75" customHeight="1">
      <c r="A2864" s="3">
        <v>44516</v>
      </c>
      <c r="B2864" s="4" t="s">
        <v>2885</v>
      </c>
      <c r="C2864" s="3" t="s">
        <v>409</v>
      </c>
      <c r="D2864" s="5">
        <f t="shared" si="88"/>
        <v>52.77</v>
      </c>
      <c r="E2864">
        <v>57.93</v>
      </c>
      <c r="F2864" s="1789">
        <v>8.8999999999999996E-2</v>
      </c>
      <c r="G2864">
        <f t="shared" si="89"/>
        <v>52.77</v>
      </c>
    </row>
    <row r="2865" spans="1:7" ht="12.75" customHeight="1">
      <c r="A2865" s="3">
        <v>44517</v>
      </c>
      <c r="B2865" s="4" t="s">
        <v>2886</v>
      </c>
      <c r="C2865" s="3" t="s">
        <v>409</v>
      </c>
      <c r="D2865" s="5">
        <f t="shared" si="88"/>
        <v>65.81</v>
      </c>
      <c r="E2865">
        <v>72.25</v>
      </c>
      <c r="F2865" s="1789">
        <v>8.8999999999999996E-2</v>
      </c>
      <c r="G2865">
        <f t="shared" si="89"/>
        <v>65.81</v>
      </c>
    </row>
    <row r="2866" spans="1:7" ht="12.75" customHeight="1">
      <c r="A2866" s="3">
        <v>11479</v>
      </c>
      <c r="B2866" s="4" t="s">
        <v>2887</v>
      </c>
      <c r="C2866" s="3" t="s">
        <v>6</v>
      </c>
      <c r="D2866" s="5">
        <f t="shared" si="88"/>
        <v>30.09</v>
      </c>
      <c r="E2866">
        <v>33.04</v>
      </c>
      <c r="F2866" s="1789">
        <v>8.8999999999999996E-2</v>
      </c>
      <c r="G2866">
        <f t="shared" si="89"/>
        <v>30.09</v>
      </c>
    </row>
    <row r="2867" spans="1:7" ht="12.75" customHeight="1">
      <c r="A2867" s="3">
        <v>11481</v>
      </c>
      <c r="B2867" s="4" t="s">
        <v>2888</v>
      </c>
      <c r="C2867" s="3" t="s">
        <v>6</v>
      </c>
      <c r="D2867" s="5">
        <f t="shared" si="88"/>
        <v>27.22</v>
      </c>
      <c r="E2867">
        <v>29.88</v>
      </c>
      <c r="F2867" s="1789">
        <v>8.8999999999999996E-2</v>
      </c>
      <c r="G2867">
        <f t="shared" si="89"/>
        <v>27.22</v>
      </c>
    </row>
    <row r="2868" spans="1:7" ht="12.75" customHeight="1">
      <c r="A2868" s="3">
        <v>43609</v>
      </c>
      <c r="B2868" s="4" t="s">
        <v>2889</v>
      </c>
      <c r="C2868" s="3" t="s">
        <v>6</v>
      </c>
      <c r="D2868" s="5">
        <f t="shared" si="88"/>
        <v>27.22</v>
      </c>
      <c r="E2868">
        <v>29.88</v>
      </c>
      <c r="F2868" s="1789">
        <v>8.8999999999999996E-2</v>
      </c>
      <c r="G2868">
        <f t="shared" si="89"/>
        <v>27.22</v>
      </c>
    </row>
    <row r="2869" spans="1:7" ht="12.75" customHeight="1">
      <c r="A2869" s="3">
        <v>11478</v>
      </c>
      <c r="B2869" s="4" t="s">
        <v>2890</v>
      </c>
      <c r="C2869" s="3" t="s">
        <v>6</v>
      </c>
      <c r="D2869" s="5">
        <f t="shared" si="88"/>
        <v>51.63</v>
      </c>
      <c r="E2869">
        <v>56.68</v>
      </c>
      <c r="F2869" s="1789">
        <v>8.8999999999999996E-2</v>
      </c>
      <c r="G2869">
        <f t="shared" si="89"/>
        <v>51.63</v>
      </c>
    </row>
    <row r="2870" spans="1:7" ht="12.75" customHeight="1">
      <c r="A2870" s="3">
        <v>43608</v>
      </c>
      <c r="B2870" s="4" t="s">
        <v>2891</v>
      </c>
      <c r="C2870" s="3" t="s">
        <v>6</v>
      </c>
      <c r="D2870" s="5">
        <f t="shared" si="88"/>
        <v>39.4</v>
      </c>
      <c r="E2870">
        <v>43.25</v>
      </c>
      <c r="F2870" s="1789">
        <v>8.8999999999999996E-2</v>
      </c>
      <c r="G2870">
        <f t="shared" si="89"/>
        <v>39.4</v>
      </c>
    </row>
    <row r="2871" spans="1:7" ht="12.75" customHeight="1">
      <c r="A2871" s="3">
        <v>11476</v>
      </c>
      <c r="B2871" s="4" t="s">
        <v>2892</v>
      </c>
      <c r="C2871" s="3" t="s">
        <v>6</v>
      </c>
      <c r="D2871" s="5">
        <f t="shared" si="88"/>
        <v>39.4</v>
      </c>
      <c r="E2871">
        <v>43.25</v>
      </c>
      <c r="F2871" s="1789">
        <v>8.8999999999999996E-2</v>
      </c>
      <c r="G2871">
        <f t="shared" si="89"/>
        <v>39.4</v>
      </c>
    </row>
    <row r="2872" spans="1:7" ht="12.75" customHeight="1">
      <c r="A2872" s="3">
        <v>40637</v>
      </c>
      <c r="B2872" s="4" t="s">
        <v>2893</v>
      </c>
      <c r="C2872" s="3" t="s">
        <v>6</v>
      </c>
      <c r="D2872" s="5">
        <f t="shared" si="88"/>
        <v>722488.6</v>
      </c>
      <c r="E2872">
        <v>793072.01</v>
      </c>
      <c r="F2872" s="1789">
        <v>8.8999999999999996E-2</v>
      </c>
      <c r="G2872">
        <f t="shared" si="89"/>
        <v>722488.6</v>
      </c>
    </row>
    <row r="2873" spans="1:7" ht="12.75" customHeight="1">
      <c r="A2873" s="3">
        <v>13836</v>
      </c>
      <c r="B2873" s="4" t="s">
        <v>2894</v>
      </c>
      <c r="C2873" s="3" t="s">
        <v>6</v>
      </c>
      <c r="D2873" s="5">
        <f t="shared" si="88"/>
        <v>61229.09</v>
      </c>
      <c r="E2873">
        <v>67210.86</v>
      </c>
      <c r="F2873" s="1789">
        <v>8.8999999999999996E-2</v>
      </c>
      <c r="G2873">
        <f t="shared" si="89"/>
        <v>61229.09</v>
      </c>
    </row>
    <row r="2874" spans="1:7" ht="12.75" customHeight="1">
      <c r="A2874" s="3">
        <v>14534</v>
      </c>
      <c r="B2874" s="4" t="s">
        <v>2895</v>
      </c>
      <c r="C2874" s="3" t="s">
        <v>6</v>
      </c>
      <c r="D2874" s="5">
        <f t="shared" si="88"/>
        <v>25632.12</v>
      </c>
      <c r="E2874">
        <v>28136.25</v>
      </c>
      <c r="F2874" s="1789">
        <v>8.8999999999999996E-2</v>
      </c>
      <c r="G2874">
        <f t="shared" si="89"/>
        <v>25632.12</v>
      </c>
    </row>
    <row r="2875" spans="1:7" ht="12.75" customHeight="1">
      <c r="A2875" s="3">
        <v>14619</v>
      </c>
      <c r="B2875" s="4" t="s">
        <v>2896</v>
      </c>
      <c r="C2875" s="3" t="s">
        <v>6</v>
      </c>
      <c r="D2875" s="5">
        <f t="shared" si="88"/>
        <v>16855.79</v>
      </c>
      <c r="E2875">
        <v>18502.52</v>
      </c>
      <c r="F2875" s="1789">
        <v>8.8999999999999996E-2</v>
      </c>
      <c r="G2875">
        <f t="shared" si="89"/>
        <v>16855.79</v>
      </c>
    </row>
    <row r="2876" spans="1:7" ht="12.75" customHeight="1">
      <c r="A2876" s="3">
        <v>14535</v>
      </c>
      <c r="B2876" s="4" t="s">
        <v>2897</v>
      </c>
      <c r="C2876" s="3" t="s">
        <v>6</v>
      </c>
      <c r="D2876" s="5">
        <f t="shared" si="88"/>
        <v>254401.24</v>
      </c>
      <c r="E2876">
        <v>279254.93</v>
      </c>
      <c r="F2876" s="1789">
        <v>8.8999999999999996E-2</v>
      </c>
      <c r="G2876">
        <f t="shared" si="89"/>
        <v>254401.24</v>
      </c>
    </row>
    <row r="2877" spans="1:7" ht="12.75" customHeight="1">
      <c r="A2877" s="3">
        <v>39813</v>
      </c>
      <c r="B2877" s="4" t="s">
        <v>2898</v>
      </c>
      <c r="C2877" s="3" t="s">
        <v>6</v>
      </c>
      <c r="D2877" s="5">
        <f t="shared" si="88"/>
        <v>35868.1</v>
      </c>
      <c r="E2877">
        <v>39372.230000000003</v>
      </c>
      <c r="F2877" s="1789">
        <v>8.8999999999999996E-2</v>
      </c>
      <c r="G2877">
        <f t="shared" si="89"/>
        <v>35868.1</v>
      </c>
    </row>
    <row r="2878" spans="1:7" ht="12.75" customHeight="1">
      <c r="A2878" s="3">
        <v>40403</v>
      </c>
      <c r="B2878" s="4" t="s">
        <v>2899</v>
      </c>
      <c r="C2878" s="3" t="s">
        <v>6</v>
      </c>
      <c r="D2878" s="5">
        <f t="shared" si="88"/>
        <v>603.71</v>
      </c>
      <c r="E2878">
        <v>662.7</v>
      </c>
      <c r="F2878" s="1789">
        <v>8.8999999999999996E-2</v>
      </c>
      <c r="G2878">
        <f t="shared" si="89"/>
        <v>603.71</v>
      </c>
    </row>
    <row r="2879" spans="1:7" ht="12.75" customHeight="1">
      <c r="A2879" s="3">
        <v>12868</v>
      </c>
      <c r="B2879" s="4" t="s">
        <v>2900</v>
      </c>
      <c r="C2879" s="3" t="s">
        <v>154</v>
      </c>
      <c r="D2879" s="5">
        <f t="shared" si="88"/>
        <v>16.68</v>
      </c>
      <c r="E2879">
        <v>18.32</v>
      </c>
      <c r="F2879" s="1789">
        <v>8.8999999999999996E-2</v>
      </c>
      <c r="G2879">
        <f t="shared" si="89"/>
        <v>16.68</v>
      </c>
    </row>
    <row r="2880" spans="1:7" ht="12.75" customHeight="1">
      <c r="A2880" s="3">
        <v>40916</v>
      </c>
      <c r="B2880" s="4" t="s">
        <v>2901</v>
      </c>
      <c r="C2880" s="3" t="s">
        <v>156</v>
      </c>
      <c r="D2880" s="5">
        <f t="shared" si="88"/>
        <v>2940.14</v>
      </c>
      <c r="E2880">
        <v>3227.38</v>
      </c>
      <c r="F2880" s="1789">
        <v>8.8999999999999996E-2</v>
      </c>
      <c r="G2880">
        <f t="shared" si="89"/>
        <v>2940.14</v>
      </c>
    </row>
    <row r="2881" spans="1:7" ht="12.75" customHeight="1">
      <c r="A2881" s="3">
        <v>4755</v>
      </c>
      <c r="B2881" s="4" t="s">
        <v>2902</v>
      </c>
      <c r="C2881" s="3" t="s">
        <v>154</v>
      </c>
      <c r="D2881" s="5">
        <f t="shared" si="88"/>
        <v>18.02</v>
      </c>
      <c r="E2881">
        <v>19.79</v>
      </c>
      <c r="F2881" s="1789">
        <v>8.8999999999999996E-2</v>
      </c>
      <c r="G2881">
        <f t="shared" si="89"/>
        <v>18.02</v>
      </c>
    </row>
    <row r="2882" spans="1:7" ht="12.75" customHeight="1">
      <c r="A2882" s="3">
        <v>41067</v>
      </c>
      <c r="B2882" s="4" t="s">
        <v>2903</v>
      </c>
      <c r="C2882" s="3" t="s">
        <v>156</v>
      </c>
      <c r="D2882" s="5">
        <f t="shared" si="88"/>
        <v>3172.4</v>
      </c>
      <c r="E2882">
        <v>3482.33</v>
      </c>
      <c r="F2882" s="1789">
        <v>8.8999999999999996E-2</v>
      </c>
      <c r="G2882">
        <f t="shared" si="89"/>
        <v>3172.4</v>
      </c>
    </row>
    <row r="2883" spans="1:7" ht="12.75" customHeight="1">
      <c r="A2883" s="3">
        <v>38463</v>
      </c>
      <c r="B2883" s="4" t="s">
        <v>2904</v>
      </c>
      <c r="C2883" s="3" t="s">
        <v>6</v>
      </c>
      <c r="D2883" s="5">
        <f t="shared" ref="D2883:D2946" si="90">G2883</f>
        <v>34.49</v>
      </c>
      <c r="E2883">
        <v>37.869999999999997</v>
      </c>
      <c r="F2883" s="1789">
        <v>8.8999999999999996E-2</v>
      </c>
      <c r="G2883">
        <f t="shared" ref="G2883:G2946" si="91">TRUNC((1-F2883)*E2883,2)</f>
        <v>34.49</v>
      </c>
    </row>
    <row r="2884" spans="1:7" ht="12.75" customHeight="1">
      <c r="A2884" s="3">
        <v>40703</v>
      </c>
      <c r="B2884" s="4" t="s">
        <v>2905</v>
      </c>
      <c r="C2884" s="3" t="s">
        <v>6</v>
      </c>
      <c r="D2884" s="5">
        <f t="shared" si="90"/>
        <v>11377.27</v>
      </c>
      <c r="E2884">
        <v>12488.78</v>
      </c>
      <c r="F2884" s="1789">
        <v>8.8999999999999996E-2</v>
      </c>
      <c r="G2884">
        <f t="shared" si="91"/>
        <v>11377.27</v>
      </c>
    </row>
    <row r="2885" spans="1:7" ht="12.75" customHeight="1">
      <c r="A2885" s="3">
        <v>14531</v>
      </c>
      <c r="B2885" s="4" t="s">
        <v>2906</v>
      </c>
      <c r="C2885" s="3" t="s">
        <v>6</v>
      </c>
      <c r="D2885" s="5">
        <f t="shared" si="90"/>
        <v>21211.53</v>
      </c>
      <c r="E2885">
        <v>23283.79</v>
      </c>
      <c r="F2885" s="1789">
        <v>8.8999999999999996E-2</v>
      </c>
      <c r="G2885">
        <f t="shared" si="91"/>
        <v>21211.53</v>
      </c>
    </row>
    <row r="2886" spans="1:7" ht="12.75" customHeight="1">
      <c r="A2886" s="3">
        <v>36533</v>
      </c>
      <c r="B2886" s="4" t="s">
        <v>2907</v>
      </c>
      <c r="C2886" s="3" t="s">
        <v>6</v>
      </c>
      <c r="D2886" s="5">
        <f t="shared" si="90"/>
        <v>24409.05</v>
      </c>
      <c r="E2886">
        <v>26793.69</v>
      </c>
      <c r="F2886" s="1789">
        <v>8.8999999999999996E-2</v>
      </c>
      <c r="G2886">
        <f t="shared" si="91"/>
        <v>24409.05</v>
      </c>
    </row>
    <row r="2887" spans="1:7" ht="12.75" customHeight="1">
      <c r="A2887" s="3">
        <v>11616</v>
      </c>
      <c r="B2887" s="4" t="s">
        <v>2908</v>
      </c>
      <c r="C2887" s="3" t="s">
        <v>6</v>
      </c>
      <c r="D2887" s="5">
        <f t="shared" si="90"/>
        <v>23053.98</v>
      </c>
      <c r="E2887">
        <v>25306.240000000002</v>
      </c>
      <c r="F2887" s="1789">
        <v>8.8999999999999996E-2</v>
      </c>
      <c r="G2887">
        <f t="shared" si="91"/>
        <v>23053.98</v>
      </c>
    </row>
    <row r="2888" spans="1:7" ht="12.75" customHeight="1">
      <c r="A2888" s="3">
        <v>41898</v>
      </c>
      <c r="B2888" s="4" t="s">
        <v>2909</v>
      </c>
      <c r="C2888" s="3" t="s">
        <v>6</v>
      </c>
      <c r="D2888" s="5">
        <f t="shared" si="90"/>
        <v>25938.87</v>
      </c>
      <c r="E2888">
        <v>28472.97</v>
      </c>
      <c r="F2888" s="1789">
        <v>8.8999999999999996E-2</v>
      </c>
      <c r="G2888">
        <f t="shared" si="91"/>
        <v>25938.87</v>
      </c>
    </row>
    <row r="2889" spans="1:7" ht="12.75" customHeight="1">
      <c r="A2889" s="3">
        <v>13447</v>
      </c>
      <c r="B2889" s="4" t="s">
        <v>2910</v>
      </c>
      <c r="C2889" s="3" t="s">
        <v>6</v>
      </c>
      <c r="D2889" s="5">
        <f t="shared" si="90"/>
        <v>47729.3</v>
      </c>
      <c r="E2889">
        <v>52392.21</v>
      </c>
      <c r="F2889" s="1789">
        <v>8.8999999999999996E-2</v>
      </c>
      <c r="G2889">
        <f t="shared" si="91"/>
        <v>47729.3</v>
      </c>
    </row>
    <row r="2890" spans="1:7" ht="12.75" customHeight="1">
      <c r="A2890" s="3">
        <v>14529</v>
      </c>
      <c r="B2890" s="4" t="s">
        <v>2911</v>
      </c>
      <c r="C2890" s="3" t="s">
        <v>6</v>
      </c>
      <c r="D2890" s="5">
        <f t="shared" si="90"/>
        <v>26693.78</v>
      </c>
      <c r="E2890">
        <v>29301.63</v>
      </c>
      <c r="F2890" s="1789">
        <v>8.8999999999999996E-2</v>
      </c>
      <c r="G2890">
        <f t="shared" si="91"/>
        <v>26693.78</v>
      </c>
    </row>
    <row r="2891" spans="1:7" ht="12.75" customHeight="1">
      <c r="A2891" s="3">
        <v>10747</v>
      </c>
      <c r="B2891" s="4" t="s">
        <v>2912</v>
      </c>
      <c r="C2891" s="3" t="s">
        <v>6</v>
      </c>
      <c r="D2891" s="5">
        <f t="shared" si="90"/>
        <v>26190.68</v>
      </c>
      <c r="E2891">
        <v>28749.38</v>
      </c>
      <c r="F2891" s="1789">
        <v>8.8999999999999996E-2</v>
      </c>
      <c r="G2891">
        <f t="shared" si="91"/>
        <v>26190.68</v>
      </c>
    </row>
    <row r="2892" spans="1:7" ht="12.75" customHeight="1">
      <c r="A2892" s="3">
        <v>36141</v>
      </c>
      <c r="B2892" s="4" t="s">
        <v>2913</v>
      </c>
      <c r="C2892" s="3" t="s">
        <v>6</v>
      </c>
      <c r="D2892" s="5">
        <f t="shared" si="90"/>
        <v>39.1</v>
      </c>
      <c r="E2892">
        <v>42.93</v>
      </c>
      <c r="F2892" s="1789">
        <v>8.8999999999999996E-2</v>
      </c>
      <c r="G2892">
        <f t="shared" si="91"/>
        <v>39.1</v>
      </c>
    </row>
    <row r="2893" spans="1:7" ht="12.75" customHeight="1">
      <c r="A2893" s="3">
        <v>43651</v>
      </c>
      <c r="B2893" s="4" t="s">
        <v>2914</v>
      </c>
      <c r="C2893" s="3" t="s">
        <v>54</v>
      </c>
      <c r="D2893" s="5">
        <f t="shared" si="90"/>
        <v>5.62</v>
      </c>
      <c r="E2893">
        <v>6.17</v>
      </c>
      <c r="F2893" s="1789">
        <v>8.8999999999999996E-2</v>
      </c>
      <c r="G2893">
        <f t="shared" si="91"/>
        <v>5.62</v>
      </c>
    </row>
    <row r="2894" spans="1:7" ht="12.75" customHeight="1">
      <c r="A2894" s="3">
        <v>43626</v>
      </c>
      <c r="B2894" s="4" t="s">
        <v>2915</v>
      </c>
      <c r="C2894" s="3" t="s">
        <v>54</v>
      </c>
      <c r="D2894" s="5">
        <f t="shared" si="90"/>
        <v>3.12</v>
      </c>
      <c r="E2894">
        <v>3.43</v>
      </c>
      <c r="F2894" s="1789">
        <v>8.8999999999999996E-2</v>
      </c>
      <c r="G2894">
        <f t="shared" si="91"/>
        <v>3.12</v>
      </c>
    </row>
    <row r="2895" spans="1:7" ht="12.75" customHeight="1">
      <c r="A2895" s="3">
        <v>39434</v>
      </c>
      <c r="B2895" s="4" t="s">
        <v>2916</v>
      </c>
      <c r="C2895" s="3" t="s">
        <v>54</v>
      </c>
      <c r="D2895" s="5">
        <f t="shared" si="90"/>
        <v>3.91</v>
      </c>
      <c r="E2895">
        <v>4.3</v>
      </c>
      <c r="F2895" s="1789">
        <v>8.8999999999999996E-2</v>
      </c>
      <c r="G2895">
        <f t="shared" si="91"/>
        <v>3.91</v>
      </c>
    </row>
    <row r="2896" spans="1:7" ht="12.75" customHeight="1">
      <c r="A2896" s="3">
        <v>39433</v>
      </c>
      <c r="B2896" s="4" t="s">
        <v>2917</v>
      </c>
      <c r="C2896" s="3" t="s">
        <v>54</v>
      </c>
      <c r="D2896" s="5">
        <f t="shared" si="90"/>
        <v>3.11</v>
      </c>
      <c r="E2896">
        <v>3.42</v>
      </c>
      <c r="F2896" s="1789">
        <v>8.8999999999999996E-2</v>
      </c>
      <c r="G2896">
        <f t="shared" si="91"/>
        <v>3.11</v>
      </c>
    </row>
    <row r="2897" spans="1:7" ht="12.75" customHeight="1">
      <c r="A2897" s="3">
        <v>4049</v>
      </c>
      <c r="B2897" s="4" t="s">
        <v>2918</v>
      </c>
      <c r="C2897" s="3" t="s">
        <v>56</v>
      </c>
      <c r="D2897" s="5">
        <f t="shared" si="90"/>
        <v>62.71</v>
      </c>
      <c r="E2897">
        <v>68.84</v>
      </c>
      <c r="F2897" s="1789">
        <v>8.8999999999999996E-2</v>
      </c>
      <c r="G2897">
        <f t="shared" si="91"/>
        <v>62.71</v>
      </c>
    </row>
    <row r="2898" spans="1:7" ht="12.75" customHeight="1">
      <c r="A2898" s="3">
        <v>38120</v>
      </c>
      <c r="B2898" s="4" t="s">
        <v>2919</v>
      </c>
      <c r="C2898" s="3" t="s">
        <v>54</v>
      </c>
      <c r="D2898" s="5">
        <f t="shared" si="90"/>
        <v>132.77000000000001</v>
      </c>
      <c r="E2898">
        <v>145.75</v>
      </c>
      <c r="F2898" s="1789">
        <v>8.8999999999999996E-2</v>
      </c>
      <c r="G2898">
        <f t="shared" si="91"/>
        <v>132.77000000000001</v>
      </c>
    </row>
    <row r="2899" spans="1:7" ht="12.75" customHeight="1">
      <c r="A2899" s="3">
        <v>43652</v>
      </c>
      <c r="B2899" s="4" t="s">
        <v>2920</v>
      </c>
      <c r="C2899" s="3" t="s">
        <v>54</v>
      </c>
      <c r="D2899" s="5">
        <f t="shared" si="90"/>
        <v>12.59</v>
      </c>
      <c r="E2899">
        <v>13.82</v>
      </c>
      <c r="F2899" s="1789">
        <v>8.8999999999999996E-2</v>
      </c>
      <c r="G2899">
        <f t="shared" si="91"/>
        <v>12.59</v>
      </c>
    </row>
    <row r="2900" spans="1:7" ht="12.75" customHeight="1">
      <c r="A2900" s="3">
        <v>10498</v>
      </c>
      <c r="B2900" s="4" t="s">
        <v>2921</v>
      </c>
      <c r="C2900" s="3" t="s">
        <v>54</v>
      </c>
      <c r="D2900" s="5">
        <f t="shared" si="90"/>
        <v>10.44</v>
      </c>
      <c r="E2900">
        <v>11.46</v>
      </c>
      <c r="F2900" s="1789">
        <v>8.8999999999999996E-2</v>
      </c>
      <c r="G2900">
        <f t="shared" si="91"/>
        <v>10.44</v>
      </c>
    </row>
    <row r="2901" spans="1:7" ht="12.75" customHeight="1">
      <c r="A2901" s="3">
        <v>4823</v>
      </c>
      <c r="B2901" s="4" t="s">
        <v>2922</v>
      </c>
      <c r="C2901" s="3" t="s">
        <v>54</v>
      </c>
      <c r="D2901" s="5">
        <f t="shared" si="90"/>
        <v>34.78</v>
      </c>
      <c r="E2901">
        <v>38.18</v>
      </c>
      <c r="F2901" s="1789">
        <v>8.8999999999999996E-2</v>
      </c>
      <c r="G2901">
        <f t="shared" si="91"/>
        <v>34.78</v>
      </c>
    </row>
    <row r="2902" spans="1:7" ht="12.75" customHeight="1">
      <c r="A2902" s="3">
        <v>38877</v>
      </c>
      <c r="B2902" s="4" t="s">
        <v>2923</v>
      </c>
      <c r="C2902" s="3" t="s">
        <v>54</v>
      </c>
      <c r="D2902" s="5">
        <f t="shared" si="90"/>
        <v>6.2</v>
      </c>
      <c r="E2902">
        <v>6.81</v>
      </c>
      <c r="F2902" s="1789">
        <v>8.8999999999999996E-2</v>
      </c>
      <c r="G2902">
        <f t="shared" si="91"/>
        <v>6.2</v>
      </c>
    </row>
    <row r="2903" spans="1:7" ht="12.75" customHeight="1">
      <c r="A2903" s="3">
        <v>34546</v>
      </c>
      <c r="B2903" s="4" t="s">
        <v>2924</v>
      </c>
      <c r="C2903" s="3" t="s">
        <v>54</v>
      </c>
      <c r="D2903" s="5">
        <f t="shared" si="90"/>
        <v>6.38</v>
      </c>
      <c r="E2903">
        <v>7.01</v>
      </c>
      <c r="F2903" s="1789">
        <v>8.8999999999999996E-2</v>
      </c>
      <c r="G2903">
        <f t="shared" si="91"/>
        <v>6.38</v>
      </c>
    </row>
    <row r="2904" spans="1:7" ht="12.75" customHeight="1">
      <c r="A2904" s="3">
        <v>41387</v>
      </c>
      <c r="B2904" s="4" t="s">
        <v>2925</v>
      </c>
      <c r="C2904" s="3" t="s">
        <v>50</v>
      </c>
      <c r="D2904" s="5">
        <f t="shared" si="90"/>
        <v>56</v>
      </c>
      <c r="E2904">
        <v>61.48</v>
      </c>
      <c r="F2904" s="1789">
        <v>8.8999999999999996E-2</v>
      </c>
      <c r="G2904">
        <f t="shared" si="91"/>
        <v>56</v>
      </c>
    </row>
    <row r="2905" spans="1:7" ht="12.75" customHeight="1">
      <c r="A2905" s="3">
        <v>41388</v>
      </c>
      <c r="B2905" s="4" t="s">
        <v>2926</v>
      </c>
      <c r="C2905" s="3" t="s">
        <v>50</v>
      </c>
      <c r="D2905" s="5">
        <f t="shared" si="90"/>
        <v>67.2</v>
      </c>
      <c r="E2905">
        <v>73.77</v>
      </c>
      <c r="F2905" s="1789">
        <v>8.8999999999999996E-2</v>
      </c>
      <c r="G2905">
        <f t="shared" si="91"/>
        <v>67.2</v>
      </c>
    </row>
    <row r="2906" spans="1:7" ht="12.75" customHeight="1">
      <c r="A2906" s="3">
        <v>41380</v>
      </c>
      <c r="B2906" s="4" t="s">
        <v>2927</v>
      </c>
      <c r="C2906" s="3" t="s">
        <v>6</v>
      </c>
      <c r="D2906" s="5">
        <f t="shared" si="90"/>
        <v>447.11</v>
      </c>
      <c r="E2906">
        <v>490.8</v>
      </c>
      <c r="F2906" s="1789">
        <v>8.8999999999999996E-2</v>
      </c>
      <c r="G2906">
        <f t="shared" si="91"/>
        <v>447.11</v>
      </c>
    </row>
    <row r="2907" spans="1:7" ht="12.75" customHeight="1">
      <c r="A2907" s="3">
        <v>41381</v>
      </c>
      <c r="B2907" s="4" t="s">
        <v>2928</v>
      </c>
      <c r="C2907" s="3" t="s">
        <v>6</v>
      </c>
      <c r="D2907" s="5">
        <f t="shared" si="90"/>
        <v>468.4</v>
      </c>
      <c r="E2907">
        <v>514.16999999999996</v>
      </c>
      <c r="F2907" s="1789">
        <v>8.8999999999999996E-2</v>
      </c>
      <c r="G2907">
        <f t="shared" si="91"/>
        <v>468.4</v>
      </c>
    </row>
    <row r="2908" spans="1:7" ht="12.75" customHeight="1">
      <c r="A2908" s="3">
        <v>41382</v>
      </c>
      <c r="B2908" s="4" t="s">
        <v>2929</v>
      </c>
      <c r="C2908" s="3" t="s">
        <v>6</v>
      </c>
      <c r="D2908" s="5">
        <f t="shared" si="90"/>
        <v>453.39</v>
      </c>
      <c r="E2908">
        <v>497.69</v>
      </c>
      <c r="F2908" s="1789">
        <v>8.8999999999999996E-2</v>
      </c>
      <c r="G2908">
        <f t="shared" si="91"/>
        <v>453.39</v>
      </c>
    </row>
    <row r="2909" spans="1:7" ht="12.75" customHeight="1">
      <c r="A2909" s="3">
        <v>41383</v>
      </c>
      <c r="B2909" s="4" t="s">
        <v>2930</v>
      </c>
      <c r="C2909" s="3" t="s">
        <v>6</v>
      </c>
      <c r="D2909" s="5">
        <f t="shared" si="90"/>
        <v>615.38</v>
      </c>
      <c r="E2909">
        <v>675.51</v>
      </c>
      <c r="F2909" s="1789">
        <v>8.8999999999999996E-2</v>
      </c>
      <c r="G2909">
        <f t="shared" si="91"/>
        <v>615.38</v>
      </c>
    </row>
    <row r="2910" spans="1:7" ht="12.75" customHeight="1">
      <c r="A2910" s="3">
        <v>41385</v>
      </c>
      <c r="B2910" s="4" t="s">
        <v>2931</v>
      </c>
      <c r="C2910" s="3" t="s">
        <v>6</v>
      </c>
      <c r="D2910" s="5">
        <f t="shared" si="90"/>
        <v>765.77</v>
      </c>
      <c r="E2910">
        <v>840.59</v>
      </c>
      <c r="F2910" s="1789">
        <v>8.8999999999999996E-2</v>
      </c>
      <c r="G2910">
        <f t="shared" si="91"/>
        <v>765.77</v>
      </c>
    </row>
    <row r="2911" spans="1:7" ht="12.75" customHeight="1">
      <c r="A2911" s="3">
        <v>4058</v>
      </c>
      <c r="B2911" s="4" t="s">
        <v>2932</v>
      </c>
      <c r="C2911" s="3" t="s">
        <v>154</v>
      </c>
      <c r="D2911" s="5">
        <f t="shared" si="90"/>
        <v>23.7</v>
      </c>
      <c r="E2911">
        <v>26.02</v>
      </c>
      <c r="F2911" s="1789">
        <v>8.8999999999999996E-2</v>
      </c>
      <c r="G2911">
        <f t="shared" si="91"/>
        <v>23.7</v>
      </c>
    </row>
    <row r="2912" spans="1:7" ht="12.75" customHeight="1">
      <c r="A2912" s="3">
        <v>40974</v>
      </c>
      <c r="B2912" s="4" t="s">
        <v>2933</v>
      </c>
      <c r="C2912" s="3" t="s">
        <v>156</v>
      </c>
      <c r="D2912" s="5">
        <f t="shared" si="90"/>
        <v>4170.72</v>
      </c>
      <c r="E2912">
        <v>4578.18</v>
      </c>
      <c r="F2912" s="1789">
        <v>8.8999999999999996E-2</v>
      </c>
      <c r="G2912">
        <f t="shared" si="91"/>
        <v>4170.72</v>
      </c>
    </row>
    <row r="2913" spans="1:7" ht="12.75" customHeight="1">
      <c r="A2913" s="3">
        <v>34794</v>
      </c>
      <c r="B2913" s="4" t="s">
        <v>2934</v>
      </c>
      <c r="C2913" s="3" t="s">
        <v>154</v>
      </c>
      <c r="D2913" s="5">
        <f t="shared" si="90"/>
        <v>19.850000000000001</v>
      </c>
      <c r="E2913">
        <v>21.8</v>
      </c>
      <c r="F2913" s="1789">
        <v>8.8999999999999996E-2</v>
      </c>
      <c r="G2913">
        <f t="shared" si="91"/>
        <v>19.850000000000001</v>
      </c>
    </row>
    <row r="2914" spans="1:7" ht="12.75" customHeight="1">
      <c r="A2914" s="3">
        <v>40925</v>
      </c>
      <c r="B2914" s="4" t="s">
        <v>2935</v>
      </c>
      <c r="C2914" s="3" t="s">
        <v>156</v>
      </c>
      <c r="D2914" s="5">
        <f t="shared" si="90"/>
        <v>3495.05</v>
      </c>
      <c r="E2914">
        <v>3836.5</v>
      </c>
      <c r="F2914" s="1789">
        <v>8.8999999999999996E-2</v>
      </c>
      <c r="G2914">
        <f t="shared" si="91"/>
        <v>3495.05</v>
      </c>
    </row>
    <row r="2915" spans="1:7" ht="12.75" customHeight="1">
      <c r="A2915" s="3">
        <v>13741</v>
      </c>
      <c r="B2915" s="4" t="s">
        <v>2936</v>
      </c>
      <c r="C2915" s="3" t="s">
        <v>6</v>
      </c>
      <c r="D2915" s="5">
        <f t="shared" si="90"/>
        <v>2558.6799999999998</v>
      </c>
      <c r="E2915">
        <v>2808.65</v>
      </c>
      <c r="F2915" s="1789">
        <v>8.8999999999999996E-2</v>
      </c>
      <c r="G2915">
        <f t="shared" si="91"/>
        <v>2558.6799999999998</v>
      </c>
    </row>
    <row r="2916" spans="1:7" ht="12.75" customHeight="1">
      <c r="A2916" s="3">
        <v>3288</v>
      </c>
      <c r="B2916" s="4" t="s">
        <v>2937</v>
      </c>
      <c r="C2916" s="3" t="s">
        <v>50</v>
      </c>
      <c r="D2916" s="5">
        <f t="shared" si="90"/>
        <v>6.37</v>
      </c>
      <c r="E2916">
        <v>7</v>
      </c>
      <c r="F2916" s="1789">
        <v>8.8999999999999996E-2</v>
      </c>
      <c r="G2916">
        <f t="shared" si="91"/>
        <v>6.37</v>
      </c>
    </row>
    <row r="2917" spans="1:7" ht="12.75" customHeight="1">
      <c r="A2917" s="3">
        <v>13587</v>
      </c>
      <c r="B2917" s="4" t="s">
        <v>2938</v>
      </c>
      <c r="C2917" s="3" t="s">
        <v>50</v>
      </c>
      <c r="D2917" s="5">
        <f t="shared" si="90"/>
        <v>3.85</v>
      </c>
      <c r="E2917">
        <v>4.2300000000000004</v>
      </c>
      <c r="F2917" s="1789">
        <v>8.8999999999999996E-2</v>
      </c>
      <c r="G2917">
        <f t="shared" si="91"/>
        <v>3.85</v>
      </c>
    </row>
    <row r="2918" spans="1:7" ht="12.75" customHeight="1">
      <c r="A2918" s="3">
        <v>38598</v>
      </c>
      <c r="B2918" s="4" t="s">
        <v>2939</v>
      </c>
      <c r="C2918" s="3" t="s">
        <v>6</v>
      </c>
      <c r="D2918" s="5">
        <f t="shared" si="90"/>
        <v>3.51</v>
      </c>
      <c r="E2918">
        <v>3.86</v>
      </c>
      <c r="F2918" s="1789">
        <v>8.8999999999999996E-2</v>
      </c>
      <c r="G2918">
        <f t="shared" si="91"/>
        <v>3.51</v>
      </c>
    </row>
    <row r="2919" spans="1:7" ht="12.75" customHeight="1">
      <c r="A2919" s="3">
        <v>38595</v>
      </c>
      <c r="B2919" s="4" t="s">
        <v>2940</v>
      </c>
      <c r="C2919" s="3" t="s">
        <v>6</v>
      </c>
      <c r="D2919" s="5">
        <f t="shared" si="90"/>
        <v>2.97</v>
      </c>
      <c r="E2919">
        <v>3.27</v>
      </c>
      <c r="F2919" s="1789">
        <v>8.8999999999999996E-2</v>
      </c>
      <c r="G2919">
        <f t="shared" si="91"/>
        <v>2.97</v>
      </c>
    </row>
    <row r="2920" spans="1:7" ht="12.75" customHeight="1">
      <c r="A2920" s="3">
        <v>38592</v>
      </c>
      <c r="B2920" s="4" t="s">
        <v>2941</v>
      </c>
      <c r="C2920" s="3" t="s">
        <v>6</v>
      </c>
      <c r="D2920" s="5">
        <f t="shared" si="90"/>
        <v>3</v>
      </c>
      <c r="E2920">
        <v>3.3</v>
      </c>
      <c r="F2920" s="1789">
        <v>8.8999999999999996E-2</v>
      </c>
      <c r="G2920">
        <f t="shared" si="91"/>
        <v>3</v>
      </c>
    </row>
    <row r="2921" spans="1:7" ht="12.75" customHeight="1">
      <c r="A2921" s="3">
        <v>38588</v>
      </c>
      <c r="B2921" s="4" t="s">
        <v>2942</v>
      </c>
      <c r="C2921" s="3" t="s">
        <v>6</v>
      </c>
      <c r="D2921" s="5">
        <f t="shared" si="90"/>
        <v>2.4</v>
      </c>
      <c r="E2921">
        <v>2.64</v>
      </c>
      <c r="F2921" s="1789">
        <v>8.8999999999999996E-2</v>
      </c>
      <c r="G2921">
        <f t="shared" si="91"/>
        <v>2.4</v>
      </c>
    </row>
    <row r="2922" spans="1:7" ht="12.75" customHeight="1">
      <c r="A2922" s="3">
        <v>38593</v>
      </c>
      <c r="B2922" s="4" t="s">
        <v>2943</v>
      </c>
      <c r="C2922" s="3" t="s">
        <v>6</v>
      </c>
      <c r="D2922" s="5">
        <f t="shared" si="90"/>
        <v>3.32</v>
      </c>
      <c r="E2922">
        <v>3.65</v>
      </c>
      <c r="F2922" s="1789">
        <v>8.8999999999999996E-2</v>
      </c>
      <c r="G2922">
        <f t="shared" si="91"/>
        <v>3.32</v>
      </c>
    </row>
    <row r="2923" spans="1:7" ht="12.75" customHeight="1">
      <c r="A2923" s="3">
        <v>38589</v>
      </c>
      <c r="B2923" s="4" t="s">
        <v>2944</v>
      </c>
      <c r="C2923" s="3" t="s">
        <v>6</v>
      </c>
      <c r="D2923" s="5">
        <f t="shared" si="90"/>
        <v>2.52</v>
      </c>
      <c r="E2923">
        <v>2.77</v>
      </c>
      <c r="F2923" s="1789">
        <v>8.8999999999999996E-2</v>
      </c>
      <c r="G2923">
        <f t="shared" si="91"/>
        <v>2.52</v>
      </c>
    </row>
    <row r="2924" spans="1:7" ht="12.75" customHeight="1">
      <c r="A2924" s="3">
        <v>38594</v>
      </c>
      <c r="B2924" s="4" t="s">
        <v>2945</v>
      </c>
      <c r="C2924" s="3" t="s">
        <v>6</v>
      </c>
      <c r="D2924" s="5">
        <f t="shared" si="90"/>
        <v>5.23</v>
      </c>
      <c r="E2924">
        <v>5.75</v>
      </c>
      <c r="F2924" s="1789">
        <v>8.8999999999999996E-2</v>
      </c>
      <c r="G2924">
        <f t="shared" si="91"/>
        <v>5.23</v>
      </c>
    </row>
    <row r="2925" spans="1:7" ht="12.75" customHeight="1">
      <c r="A2925" s="3">
        <v>34773</v>
      </c>
      <c r="B2925" s="4" t="s">
        <v>2946</v>
      </c>
      <c r="C2925" s="3" t="s">
        <v>6</v>
      </c>
      <c r="D2925" s="5">
        <f t="shared" si="90"/>
        <v>2.4700000000000002</v>
      </c>
      <c r="E2925">
        <v>2.72</v>
      </c>
      <c r="F2925" s="1789">
        <v>8.8999999999999996E-2</v>
      </c>
      <c r="G2925">
        <f t="shared" si="91"/>
        <v>2.4700000000000002</v>
      </c>
    </row>
    <row r="2926" spans="1:7" ht="12.75" customHeight="1">
      <c r="A2926" s="3">
        <v>34769</v>
      </c>
      <c r="B2926" s="4" t="s">
        <v>2947</v>
      </c>
      <c r="C2926" s="3" t="s">
        <v>6</v>
      </c>
      <c r="D2926" s="5">
        <f t="shared" si="90"/>
        <v>3.07</v>
      </c>
      <c r="E2926">
        <v>3.37</v>
      </c>
      <c r="F2926" s="1789">
        <v>8.8999999999999996E-2</v>
      </c>
      <c r="G2926">
        <f t="shared" si="91"/>
        <v>3.07</v>
      </c>
    </row>
    <row r="2927" spans="1:7" ht="12.75" customHeight="1">
      <c r="A2927" s="3">
        <v>34763</v>
      </c>
      <c r="B2927" s="4" t="s">
        <v>2948</v>
      </c>
      <c r="C2927" s="3" t="s">
        <v>6</v>
      </c>
      <c r="D2927" s="5">
        <f t="shared" si="90"/>
        <v>1.89</v>
      </c>
      <c r="E2927">
        <v>2.08</v>
      </c>
      <c r="F2927" s="1789">
        <v>8.8999999999999996E-2</v>
      </c>
      <c r="G2927">
        <f t="shared" si="91"/>
        <v>1.89</v>
      </c>
    </row>
    <row r="2928" spans="1:7" ht="12.75" customHeight="1">
      <c r="A2928" s="3">
        <v>34774</v>
      </c>
      <c r="B2928" s="4" t="s">
        <v>2949</v>
      </c>
      <c r="C2928" s="3" t="s">
        <v>6</v>
      </c>
      <c r="D2928" s="5">
        <f t="shared" si="90"/>
        <v>2.35</v>
      </c>
      <c r="E2928">
        <v>2.59</v>
      </c>
      <c r="F2928" s="1789">
        <v>8.8999999999999996E-2</v>
      </c>
      <c r="G2928">
        <f t="shared" si="91"/>
        <v>2.35</v>
      </c>
    </row>
    <row r="2929" spans="1:7" ht="12.75" customHeight="1">
      <c r="A2929" s="3">
        <v>34771</v>
      </c>
      <c r="B2929" s="4" t="s">
        <v>2950</v>
      </c>
      <c r="C2929" s="3" t="s">
        <v>6</v>
      </c>
      <c r="D2929" s="5">
        <f t="shared" si="90"/>
        <v>2.84</v>
      </c>
      <c r="E2929">
        <v>3.12</v>
      </c>
      <c r="F2929" s="1789">
        <v>8.8999999999999996E-2</v>
      </c>
      <c r="G2929">
        <f t="shared" si="91"/>
        <v>2.84</v>
      </c>
    </row>
    <row r="2930" spans="1:7" ht="12.75" customHeight="1">
      <c r="A2930" s="3">
        <v>34764</v>
      </c>
      <c r="B2930" s="4" t="s">
        <v>2951</v>
      </c>
      <c r="C2930" s="3" t="s">
        <v>6</v>
      </c>
      <c r="D2930" s="5">
        <f t="shared" si="90"/>
        <v>1.85</v>
      </c>
      <c r="E2930">
        <v>2.04</v>
      </c>
      <c r="F2930" s="1789">
        <v>8.8999999999999996E-2</v>
      </c>
      <c r="G2930">
        <f t="shared" si="91"/>
        <v>1.85</v>
      </c>
    </row>
    <row r="2931" spans="1:7" ht="12.75" customHeight="1">
      <c r="A2931" s="3">
        <v>34788</v>
      </c>
      <c r="B2931" s="4" t="s">
        <v>2952</v>
      </c>
      <c r="C2931" s="3" t="s">
        <v>6</v>
      </c>
      <c r="D2931" s="5">
        <f t="shared" si="90"/>
        <v>1.81</v>
      </c>
      <c r="E2931">
        <v>1.99</v>
      </c>
      <c r="F2931" s="1789">
        <v>8.8999999999999996E-2</v>
      </c>
      <c r="G2931">
        <f t="shared" si="91"/>
        <v>1.81</v>
      </c>
    </row>
    <row r="2932" spans="1:7" ht="12.75" customHeight="1">
      <c r="A2932" s="3">
        <v>34781</v>
      </c>
      <c r="B2932" s="4" t="s">
        <v>2953</v>
      </c>
      <c r="C2932" s="3" t="s">
        <v>6</v>
      </c>
      <c r="D2932" s="5">
        <f t="shared" si="90"/>
        <v>2.0499999999999998</v>
      </c>
      <c r="E2932">
        <v>2.2599999999999998</v>
      </c>
      <c r="F2932" s="1789">
        <v>8.8999999999999996E-2</v>
      </c>
      <c r="G2932">
        <f t="shared" si="91"/>
        <v>2.0499999999999998</v>
      </c>
    </row>
    <row r="2933" spans="1:7" ht="12.75" customHeight="1">
      <c r="A2933" s="3">
        <v>41682</v>
      </c>
      <c r="B2933" s="4" t="s">
        <v>2954</v>
      </c>
      <c r="C2933" s="3" t="s">
        <v>6</v>
      </c>
      <c r="D2933" s="5">
        <f t="shared" si="90"/>
        <v>40.33</v>
      </c>
      <c r="E2933">
        <v>44.28</v>
      </c>
      <c r="F2933" s="1789">
        <v>8.8999999999999996E-2</v>
      </c>
      <c r="G2933">
        <f t="shared" si="91"/>
        <v>40.33</v>
      </c>
    </row>
    <row r="2934" spans="1:7" ht="12.75" customHeight="1">
      <c r="A2934" s="3">
        <v>41683</v>
      </c>
      <c r="B2934" s="4" t="s">
        <v>2955</v>
      </c>
      <c r="C2934" s="3" t="s">
        <v>6</v>
      </c>
      <c r="D2934" s="5">
        <f t="shared" si="90"/>
        <v>29.67</v>
      </c>
      <c r="E2934">
        <v>32.57</v>
      </c>
      <c r="F2934" s="1789">
        <v>8.8999999999999996E-2</v>
      </c>
      <c r="G2934">
        <f t="shared" si="91"/>
        <v>29.67</v>
      </c>
    </row>
    <row r="2935" spans="1:7" ht="12.75" customHeight="1">
      <c r="A2935" s="3">
        <v>41680</v>
      </c>
      <c r="B2935" s="4" t="s">
        <v>2956</v>
      </c>
      <c r="C2935" s="3" t="s">
        <v>6</v>
      </c>
      <c r="D2935" s="5">
        <f t="shared" si="90"/>
        <v>15.97</v>
      </c>
      <c r="E2935">
        <v>17.54</v>
      </c>
      <c r="F2935" s="1789">
        <v>8.8999999999999996E-2</v>
      </c>
      <c r="G2935">
        <f t="shared" si="91"/>
        <v>15.97</v>
      </c>
    </row>
    <row r="2936" spans="1:7" ht="12.75" customHeight="1">
      <c r="A2936" s="3">
        <v>41679</v>
      </c>
      <c r="B2936" s="4" t="s">
        <v>2957</v>
      </c>
      <c r="C2936" s="3" t="s">
        <v>6</v>
      </c>
      <c r="D2936" s="5">
        <f t="shared" si="90"/>
        <v>36.520000000000003</v>
      </c>
      <c r="E2936">
        <v>40.090000000000003</v>
      </c>
      <c r="F2936" s="1789">
        <v>8.8999999999999996E-2</v>
      </c>
      <c r="G2936">
        <f t="shared" si="91"/>
        <v>36.520000000000003</v>
      </c>
    </row>
    <row r="2937" spans="1:7" ht="12.75" customHeight="1">
      <c r="A2937" s="3">
        <v>41681</v>
      </c>
      <c r="B2937" s="4" t="s">
        <v>2958</v>
      </c>
      <c r="C2937" s="3" t="s">
        <v>6</v>
      </c>
      <c r="D2937" s="5">
        <f t="shared" si="90"/>
        <v>24.99</v>
      </c>
      <c r="E2937">
        <v>27.44</v>
      </c>
      <c r="F2937" s="1789">
        <v>8.8999999999999996E-2</v>
      </c>
      <c r="G2937">
        <f t="shared" si="91"/>
        <v>24.99</v>
      </c>
    </row>
    <row r="2938" spans="1:7" ht="12.75" customHeight="1">
      <c r="A2938" s="3">
        <v>43386</v>
      </c>
      <c r="B2938" s="4" t="s">
        <v>2959</v>
      </c>
      <c r="C2938" s="3" t="s">
        <v>6</v>
      </c>
      <c r="D2938" s="5">
        <f t="shared" si="90"/>
        <v>57.07</v>
      </c>
      <c r="E2938">
        <v>62.65</v>
      </c>
      <c r="F2938" s="1789">
        <v>8.8999999999999996E-2</v>
      </c>
      <c r="G2938">
        <f t="shared" si="91"/>
        <v>57.07</v>
      </c>
    </row>
    <row r="2939" spans="1:7" ht="12.75" customHeight="1">
      <c r="A2939" s="3">
        <v>4059</v>
      </c>
      <c r="B2939" s="4" t="s">
        <v>2960</v>
      </c>
      <c r="C2939" s="3" t="s">
        <v>50</v>
      </c>
      <c r="D2939" s="5">
        <f t="shared" si="90"/>
        <v>40.33</v>
      </c>
      <c r="E2939">
        <v>44.28</v>
      </c>
      <c r="F2939" s="1789">
        <v>8.8999999999999996E-2</v>
      </c>
      <c r="G2939">
        <f t="shared" si="91"/>
        <v>40.33</v>
      </c>
    </row>
    <row r="2940" spans="1:7" ht="12.75" customHeight="1">
      <c r="A2940" s="3">
        <v>4062</v>
      </c>
      <c r="B2940" s="4" t="s">
        <v>2961</v>
      </c>
      <c r="C2940" s="3" t="s">
        <v>6</v>
      </c>
      <c r="D2940" s="5">
        <f t="shared" si="90"/>
        <v>40.33</v>
      </c>
      <c r="E2940">
        <v>44.28</v>
      </c>
      <c r="F2940" s="1789">
        <v>8.8999999999999996E-2</v>
      </c>
      <c r="G2940">
        <f t="shared" si="91"/>
        <v>40.33</v>
      </c>
    </row>
    <row r="2941" spans="1:7" ht="12.75" customHeight="1">
      <c r="A2941" s="3">
        <v>4061</v>
      </c>
      <c r="B2941" s="4" t="s">
        <v>2962</v>
      </c>
      <c r="C2941" s="3" t="s">
        <v>6</v>
      </c>
      <c r="D2941" s="5">
        <f t="shared" si="90"/>
        <v>50.22</v>
      </c>
      <c r="E2941">
        <v>55.13</v>
      </c>
      <c r="F2941" s="1789">
        <v>8.8999999999999996E-2</v>
      </c>
      <c r="G2941">
        <f t="shared" si="91"/>
        <v>50.22</v>
      </c>
    </row>
    <row r="2942" spans="1:7" ht="12.75" customHeight="1">
      <c r="A2942" s="3">
        <v>41315</v>
      </c>
      <c r="B2942" s="4" t="s">
        <v>2963</v>
      </c>
      <c r="C2942" s="3" t="s">
        <v>54</v>
      </c>
      <c r="D2942" s="5">
        <f t="shared" si="90"/>
        <v>87.41</v>
      </c>
      <c r="E2942">
        <v>95.95</v>
      </c>
      <c r="F2942" s="1789">
        <v>8.8999999999999996E-2</v>
      </c>
      <c r="G2942">
        <f t="shared" si="91"/>
        <v>87.41</v>
      </c>
    </row>
    <row r="2943" spans="1:7" ht="12.75" customHeight="1">
      <c r="A2943" s="3">
        <v>43148</v>
      </c>
      <c r="B2943" s="4" t="s">
        <v>2964</v>
      </c>
      <c r="C2943" s="3" t="s">
        <v>54</v>
      </c>
      <c r="D2943" s="5">
        <f t="shared" si="90"/>
        <v>59.33</v>
      </c>
      <c r="E2943">
        <v>65.13</v>
      </c>
      <c r="F2943" s="1789">
        <v>8.8999999999999996E-2</v>
      </c>
      <c r="G2943">
        <f t="shared" si="91"/>
        <v>59.33</v>
      </c>
    </row>
    <row r="2944" spans="1:7" ht="12.75" customHeight="1">
      <c r="A2944" s="3">
        <v>43147</v>
      </c>
      <c r="B2944" s="4" t="s">
        <v>2965</v>
      </c>
      <c r="C2944" s="3" t="s">
        <v>54</v>
      </c>
      <c r="D2944" s="5">
        <f t="shared" si="90"/>
        <v>22.97</v>
      </c>
      <c r="E2944">
        <v>25.22</v>
      </c>
      <c r="F2944" s="1789">
        <v>8.8999999999999996E-2</v>
      </c>
      <c r="G2944">
        <f t="shared" si="91"/>
        <v>22.97</v>
      </c>
    </row>
    <row r="2945" spans="1:7" ht="12.75" customHeight="1">
      <c r="A2945" s="3">
        <v>10608</v>
      </c>
      <c r="B2945" s="4" t="s">
        <v>2966</v>
      </c>
      <c r="C2945" s="3" t="s">
        <v>6</v>
      </c>
      <c r="D2945" s="5">
        <f t="shared" si="90"/>
        <v>8759.08</v>
      </c>
      <c r="E2945">
        <v>9614.7999999999993</v>
      </c>
      <c r="F2945" s="1789">
        <v>8.8999999999999996E-2</v>
      </c>
      <c r="G2945">
        <f t="shared" si="91"/>
        <v>8759.08</v>
      </c>
    </row>
    <row r="2946" spans="1:7" ht="12.75" customHeight="1">
      <c r="A2946" s="3">
        <v>4069</v>
      </c>
      <c r="B2946" s="4" t="s">
        <v>2967</v>
      </c>
      <c r="C2946" s="3" t="s">
        <v>154</v>
      </c>
      <c r="D2946" s="5">
        <f t="shared" si="90"/>
        <v>52.03</v>
      </c>
      <c r="E2946">
        <v>57.12</v>
      </c>
      <c r="F2946" s="1789">
        <v>8.8999999999999996E-2</v>
      </c>
      <c r="G2946">
        <f t="shared" si="91"/>
        <v>52.03</v>
      </c>
    </row>
    <row r="2947" spans="1:7" ht="12.75" customHeight="1">
      <c r="A2947" s="3">
        <v>40819</v>
      </c>
      <c r="B2947" s="4" t="s">
        <v>2968</v>
      </c>
      <c r="C2947" s="3" t="s">
        <v>156</v>
      </c>
      <c r="D2947" s="5">
        <f t="shared" ref="D2947:D3010" si="92">G2947</f>
        <v>9157.8799999999992</v>
      </c>
      <c r="E2947">
        <v>10052.56</v>
      </c>
      <c r="F2947" s="1789">
        <v>8.8999999999999996E-2</v>
      </c>
      <c r="G2947">
        <f t="shared" ref="G2947:G3010" si="93">TRUNC((1-F2947)*E2947,2)</f>
        <v>9157.8799999999992</v>
      </c>
    </row>
    <row r="2948" spans="1:7" ht="12.75" customHeight="1">
      <c r="A2948" s="3">
        <v>34361</v>
      </c>
      <c r="B2948" s="4" t="s">
        <v>2969</v>
      </c>
      <c r="C2948" s="3" t="s">
        <v>54</v>
      </c>
      <c r="D2948" s="5">
        <f t="shared" si="92"/>
        <v>16.72</v>
      </c>
      <c r="E2948">
        <v>18.36</v>
      </c>
      <c r="F2948" s="1789">
        <v>8.8999999999999996E-2</v>
      </c>
      <c r="G2948">
        <f t="shared" si="93"/>
        <v>16.72</v>
      </c>
    </row>
    <row r="2949" spans="1:7" ht="12.75" customHeight="1">
      <c r="A2949" s="3">
        <v>36512</v>
      </c>
      <c r="B2949" s="4" t="s">
        <v>2970</v>
      </c>
      <c r="C2949" s="3" t="s">
        <v>6</v>
      </c>
      <c r="D2949" s="5">
        <f t="shared" si="92"/>
        <v>19564.150000000001</v>
      </c>
      <c r="E2949">
        <v>21475.47</v>
      </c>
      <c r="F2949" s="1789">
        <v>8.8999999999999996E-2</v>
      </c>
      <c r="G2949">
        <f t="shared" si="93"/>
        <v>19564.150000000001</v>
      </c>
    </row>
    <row r="2950" spans="1:7" ht="12.75" customHeight="1">
      <c r="A2950" s="3">
        <v>44478</v>
      </c>
      <c r="B2950" s="4" t="s">
        <v>2971</v>
      </c>
      <c r="C2950" s="3" t="s">
        <v>54</v>
      </c>
      <c r="D2950" s="5">
        <f t="shared" si="92"/>
        <v>13.65</v>
      </c>
      <c r="E2950">
        <v>14.99</v>
      </c>
      <c r="F2950" s="1789">
        <v>8.8999999999999996E-2</v>
      </c>
      <c r="G2950">
        <f t="shared" si="93"/>
        <v>13.65</v>
      </c>
    </row>
    <row r="2951" spans="1:7" ht="12.75" customHeight="1">
      <c r="A2951" s="3">
        <v>44477</v>
      </c>
      <c r="B2951" s="4" t="s">
        <v>2972</v>
      </c>
      <c r="C2951" s="3" t="s">
        <v>54</v>
      </c>
      <c r="D2951" s="5">
        <f t="shared" si="92"/>
        <v>13.65</v>
      </c>
      <c r="E2951">
        <v>14.99</v>
      </c>
      <c r="F2951" s="1789">
        <v>8.8999999999999996E-2</v>
      </c>
      <c r="G2951">
        <f t="shared" si="93"/>
        <v>13.65</v>
      </c>
    </row>
    <row r="2952" spans="1:7" ht="12.75" customHeight="1">
      <c r="A2952" s="3">
        <v>11697</v>
      </c>
      <c r="B2952" s="4" t="s">
        <v>2973</v>
      </c>
      <c r="C2952" s="3" t="s">
        <v>6</v>
      </c>
      <c r="D2952" s="5">
        <f t="shared" si="92"/>
        <v>634.45000000000005</v>
      </c>
      <c r="E2952">
        <v>696.44</v>
      </c>
      <c r="F2952" s="1789">
        <v>8.8999999999999996E-2</v>
      </c>
      <c r="G2952">
        <f t="shared" si="93"/>
        <v>634.45000000000005</v>
      </c>
    </row>
    <row r="2953" spans="1:7" ht="12.75" customHeight="1">
      <c r="A2953" s="3">
        <v>11698</v>
      </c>
      <c r="B2953" s="4" t="s">
        <v>2974</v>
      </c>
      <c r="C2953" s="3" t="s">
        <v>6</v>
      </c>
      <c r="D2953" s="5">
        <f t="shared" si="92"/>
        <v>756.87</v>
      </c>
      <c r="E2953">
        <v>830.82</v>
      </c>
      <c r="F2953" s="1789">
        <v>8.8999999999999996E-2</v>
      </c>
      <c r="G2953">
        <f t="shared" si="93"/>
        <v>756.87</v>
      </c>
    </row>
    <row r="2954" spans="1:7" ht="12.75" customHeight="1">
      <c r="A2954" s="3">
        <v>11699</v>
      </c>
      <c r="B2954" s="4" t="s">
        <v>2975</v>
      </c>
      <c r="C2954" s="3" t="s">
        <v>6</v>
      </c>
      <c r="D2954" s="5">
        <f t="shared" si="92"/>
        <v>836.52</v>
      </c>
      <c r="E2954">
        <v>918.25</v>
      </c>
      <c r="F2954" s="1789">
        <v>8.8999999999999996E-2</v>
      </c>
      <c r="G2954">
        <f t="shared" si="93"/>
        <v>836.52</v>
      </c>
    </row>
    <row r="2955" spans="1:7" ht="12.75" customHeight="1">
      <c r="A2955" s="3">
        <v>10432</v>
      </c>
      <c r="B2955" s="4" t="s">
        <v>2976</v>
      </c>
      <c r="C2955" s="3" t="s">
        <v>6</v>
      </c>
      <c r="D2955" s="5">
        <f t="shared" si="92"/>
        <v>317.20999999999998</v>
      </c>
      <c r="E2955">
        <v>348.21</v>
      </c>
      <c r="F2955" s="1789">
        <v>8.8999999999999996E-2</v>
      </c>
      <c r="G2955">
        <f t="shared" si="93"/>
        <v>317.20999999999998</v>
      </c>
    </row>
    <row r="2956" spans="1:7" ht="12.75" customHeight="1">
      <c r="A2956" s="3">
        <v>44020</v>
      </c>
      <c r="B2956" s="4" t="s">
        <v>2977</v>
      </c>
      <c r="C2956" s="3" t="s">
        <v>6</v>
      </c>
      <c r="D2956" s="5">
        <f t="shared" si="92"/>
        <v>782.63</v>
      </c>
      <c r="E2956">
        <v>859.09</v>
      </c>
      <c r="F2956" s="1789">
        <v>8.8999999999999996E-2</v>
      </c>
      <c r="G2956">
        <f t="shared" si="93"/>
        <v>782.63</v>
      </c>
    </row>
    <row r="2957" spans="1:7" ht="12.75" customHeight="1">
      <c r="A2957" s="3">
        <v>41419</v>
      </c>
      <c r="B2957" s="4" t="s">
        <v>2978</v>
      </c>
      <c r="C2957" s="3" t="s">
        <v>6</v>
      </c>
      <c r="D2957" s="5">
        <f t="shared" si="92"/>
        <v>8.3800000000000008</v>
      </c>
      <c r="E2957">
        <v>9.1999999999999993</v>
      </c>
      <c r="F2957" s="1789">
        <v>8.8999999999999996E-2</v>
      </c>
      <c r="G2957">
        <f t="shared" si="93"/>
        <v>8.3800000000000008</v>
      </c>
    </row>
    <row r="2958" spans="1:7" ht="12.75" customHeight="1">
      <c r="A2958" s="3">
        <v>41420</v>
      </c>
      <c r="B2958" s="4" t="s">
        <v>2979</v>
      </c>
      <c r="C2958" s="3" t="s">
        <v>6</v>
      </c>
      <c r="D2958" s="5">
        <f t="shared" si="92"/>
        <v>11.39</v>
      </c>
      <c r="E2958">
        <v>12.51</v>
      </c>
      <c r="F2958" s="1789">
        <v>8.8999999999999996E-2</v>
      </c>
      <c r="G2958">
        <f t="shared" si="93"/>
        <v>11.39</v>
      </c>
    </row>
    <row r="2959" spans="1:7" ht="12.75" customHeight="1">
      <c r="A2959" s="3">
        <v>41421</v>
      </c>
      <c r="B2959" s="4" t="s">
        <v>2980</v>
      </c>
      <c r="C2959" s="3" t="s">
        <v>6</v>
      </c>
      <c r="D2959" s="5">
        <f t="shared" si="92"/>
        <v>11.36</v>
      </c>
      <c r="E2959">
        <v>12.48</v>
      </c>
      <c r="F2959" s="1789">
        <v>8.8999999999999996E-2</v>
      </c>
      <c r="G2959">
        <f t="shared" si="93"/>
        <v>11.36</v>
      </c>
    </row>
    <row r="2960" spans="1:7" ht="12.75" customHeight="1">
      <c r="A2960" s="3">
        <v>41422</v>
      </c>
      <c r="B2960" s="4" t="s">
        <v>2981</v>
      </c>
      <c r="C2960" s="3" t="s">
        <v>6</v>
      </c>
      <c r="D2960" s="5">
        <f t="shared" si="92"/>
        <v>15.56</v>
      </c>
      <c r="E2960">
        <v>17.09</v>
      </c>
      <c r="F2960" s="1789">
        <v>8.8999999999999996E-2</v>
      </c>
      <c r="G2960">
        <f t="shared" si="93"/>
        <v>15.56</v>
      </c>
    </row>
    <row r="2961" spans="1:7" ht="12.75" customHeight="1">
      <c r="A2961" s="3">
        <v>41425</v>
      </c>
      <c r="B2961" s="4" t="s">
        <v>2982</v>
      </c>
      <c r="C2961" s="3" t="s">
        <v>6</v>
      </c>
      <c r="D2961" s="5">
        <f t="shared" si="92"/>
        <v>7.96</v>
      </c>
      <c r="E2961">
        <v>8.74</v>
      </c>
      <c r="F2961" s="1789">
        <v>8.8999999999999996E-2</v>
      </c>
      <c r="G2961">
        <f t="shared" si="93"/>
        <v>7.96</v>
      </c>
    </row>
    <row r="2962" spans="1:7" ht="12.75" customHeight="1">
      <c r="A2962" s="3">
        <v>41426</v>
      </c>
      <c r="B2962" s="4" t="s">
        <v>2983</v>
      </c>
      <c r="C2962" s="3" t="s">
        <v>6</v>
      </c>
      <c r="D2962" s="5">
        <f t="shared" si="92"/>
        <v>14.35</v>
      </c>
      <c r="E2962">
        <v>15.76</v>
      </c>
      <c r="F2962" s="1789">
        <v>8.8999999999999996E-2</v>
      </c>
      <c r="G2962">
        <f t="shared" si="93"/>
        <v>14.35</v>
      </c>
    </row>
    <row r="2963" spans="1:7" ht="12.75" customHeight="1">
      <c r="A2963" s="3">
        <v>41414</v>
      </c>
      <c r="B2963" s="4" t="s">
        <v>2984</v>
      </c>
      <c r="C2963" s="3" t="s">
        <v>6</v>
      </c>
      <c r="D2963" s="5">
        <f t="shared" si="92"/>
        <v>26.36</v>
      </c>
      <c r="E2963">
        <v>28.94</v>
      </c>
      <c r="F2963" s="1789">
        <v>8.8999999999999996E-2</v>
      </c>
      <c r="G2963">
        <f t="shared" si="93"/>
        <v>26.36</v>
      </c>
    </row>
    <row r="2964" spans="1:7" ht="12.75" customHeight="1">
      <c r="A2964" s="3">
        <v>41415</v>
      </c>
      <c r="B2964" s="4" t="s">
        <v>2985</v>
      </c>
      <c r="C2964" s="3" t="s">
        <v>6</v>
      </c>
      <c r="D2964" s="5">
        <f t="shared" si="92"/>
        <v>30.7</v>
      </c>
      <c r="E2964">
        <v>33.700000000000003</v>
      </c>
      <c r="F2964" s="1789">
        <v>8.8999999999999996E-2</v>
      </c>
      <c r="G2964">
        <f t="shared" si="93"/>
        <v>30.7</v>
      </c>
    </row>
    <row r="2965" spans="1:7" ht="12.75" customHeight="1">
      <c r="A2965" s="3">
        <v>37514</v>
      </c>
      <c r="B2965" s="4" t="s">
        <v>2986</v>
      </c>
      <c r="C2965" s="3" t="s">
        <v>6</v>
      </c>
      <c r="D2965" s="5">
        <f t="shared" si="92"/>
        <v>277855</v>
      </c>
      <c r="E2965">
        <v>305000</v>
      </c>
      <c r="F2965" s="1789">
        <v>8.8999999999999996E-2</v>
      </c>
      <c r="G2965">
        <f t="shared" si="93"/>
        <v>277855</v>
      </c>
    </row>
    <row r="2966" spans="1:7" ht="12.75" customHeight="1">
      <c r="A2966" s="3">
        <v>37519</v>
      </c>
      <c r="B2966" s="4" t="s">
        <v>2987</v>
      </c>
      <c r="C2966" s="3" t="s">
        <v>6</v>
      </c>
      <c r="D2966" s="5">
        <f t="shared" si="92"/>
        <v>428811.78</v>
      </c>
      <c r="E2966">
        <v>470704.48</v>
      </c>
      <c r="F2966" s="1789">
        <v>8.8999999999999996E-2</v>
      </c>
      <c r="G2966">
        <f t="shared" si="93"/>
        <v>428811.78</v>
      </c>
    </row>
    <row r="2967" spans="1:7" ht="12.75" customHeight="1">
      <c r="A2967" s="3">
        <v>37520</v>
      </c>
      <c r="B2967" s="4" t="s">
        <v>2988</v>
      </c>
      <c r="C2967" s="3" t="s">
        <v>6</v>
      </c>
      <c r="D2967" s="5">
        <f t="shared" si="92"/>
        <v>421782.07</v>
      </c>
      <c r="E2967">
        <v>462988.01</v>
      </c>
      <c r="F2967" s="1789">
        <v>8.8999999999999996E-2</v>
      </c>
      <c r="G2967">
        <f t="shared" si="93"/>
        <v>421782.07</v>
      </c>
    </row>
    <row r="2968" spans="1:7" ht="12.75" customHeight="1">
      <c r="A2968" s="3">
        <v>37521</v>
      </c>
      <c r="B2968" s="4" t="s">
        <v>2989</v>
      </c>
      <c r="C2968" s="3" t="s">
        <v>6</v>
      </c>
      <c r="D2968" s="5">
        <f t="shared" si="92"/>
        <v>514574.15</v>
      </c>
      <c r="E2968">
        <v>564845.39</v>
      </c>
      <c r="F2968" s="1789">
        <v>8.8999999999999996E-2</v>
      </c>
      <c r="G2968">
        <f t="shared" si="93"/>
        <v>514574.15</v>
      </c>
    </row>
    <row r="2969" spans="1:7" ht="12.75" customHeight="1">
      <c r="A2969" s="3">
        <v>37522</v>
      </c>
      <c r="B2969" s="4" t="s">
        <v>2990</v>
      </c>
      <c r="C2969" s="3" t="s">
        <v>6</v>
      </c>
      <c r="D2969" s="5">
        <f t="shared" si="92"/>
        <v>530055.5</v>
      </c>
      <c r="E2969">
        <v>581839.18999999994</v>
      </c>
      <c r="F2969" s="1789">
        <v>8.8999999999999996E-2</v>
      </c>
      <c r="G2969">
        <f t="shared" si="93"/>
        <v>530055.5</v>
      </c>
    </row>
    <row r="2970" spans="1:7" ht="12.75" customHeight="1">
      <c r="A2970" s="3">
        <v>37546</v>
      </c>
      <c r="B2970" s="4" t="s">
        <v>2991</v>
      </c>
      <c r="C2970" s="3" t="s">
        <v>6</v>
      </c>
      <c r="D2970" s="5">
        <f t="shared" si="92"/>
        <v>11857.76</v>
      </c>
      <c r="E2970">
        <v>13016.21</v>
      </c>
      <c r="F2970" s="1789">
        <v>8.8999999999999996E-2</v>
      </c>
      <c r="G2970">
        <f t="shared" si="93"/>
        <v>11857.76</v>
      </c>
    </row>
    <row r="2971" spans="1:7" ht="12.75" customHeight="1">
      <c r="A2971" s="3">
        <v>37544</v>
      </c>
      <c r="B2971" s="4" t="s">
        <v>2992</v>
      </c>
      <c r="C2971" s="3" t="s">
        <v>6</v>
      </c>
      <c r="D2971" s="5">
        <f t="shared" si="92"/>
        <v>12541.58</v>
      </c>
      <c r="E2971">
        <v>13766.83</v>
      </c>
      <c r="F2971" s="1789">
        <v>8.8999999999999996E-2</v>
      </c>
      <c r="G2971">
        <f t="shared" si="93"/>
        <v>12541.58</v>
      </c>
    </row>
    <row r="2972" spans="1:7" ht="12.75" customHeight="1">
      <c r="A2972" s="3">
        <v>37545</v>
      </c>
      <c r="B2972" s="4" t="s">
        <v>2993</v>
      </c>
      <c r="C2972" s="3" t="s">
        <v>6</v>
      </c>
      <c r="D2972" s="5">
        <f t="shared" si="92"/>
        <v>14922.79</v>
      </c>
      <c r="E2972">
        <v>16380.68</v>
      </c>
      <c r="F2972" s="1789">
        <v>8.8999999999999996E-2</v>
      </c>
      <c r="G2972">
        <f t="shared" si="93"/>
        <v>14922.79</v>
      </c>
    </row>
    <row r="2973" spans="1:7" ht="12.75" customHeight="1">
      <c r="A2973" s="3">
        <v>36793</v>
      </c>
      <c r="B2973" s="4" t="s">
        <v>2994</v>
      </c>
      <c r="C2973" s="3" t="s">
        <v>6</v>
      </c>
      <c r="D2973" s="5">
        <f t="shared" si="92"/>
        <v>873.02</v>
      </c>
      <c r="E2973">
        <v>958.32</v>
      </c>
      <c r="F2973" s="1789">
        <v>8.8999999999999996E-2</v>
      </c>
      <c r="G2973">
        <f t="shared" si="93"/>
        <v>873.02</v>
      </c>
    </row>
    <row r="2974" spans="1:7" ht="12.75" customHeight="1">
      <c r="A2974" s="3">
        <v>11769</v>
      </c>
      <c r="B2974" s="4" t="s">
        <v>2995</v>
      </c>
      <c r="C2974" s="3" t="s">
        <v>6</v>
      </c>
      <c r="D2974" s="5">
        <f t="shared" si="92"/>
        <v>385.8</v>
      </c>
      <c r="E2974">
        <v>423.5</v>
      </c>
      <c r="F2974" s="1789">
        <v>8.8999999999999996E-2</v>
      </c>
      <c r="G2974">
        <f t="shared" si="93"/>
        <v>385.8</v>
      </c>
    </row>
    <row r="2975" spans="1:7" ht="12.75" customHeight="1">
      <c r="A2975" s="3">
        <v>11771</v>
      </c>
      <c r="B2975" s="4" t="s">
        <v>2996</v>
      </c>
      <c r="C2975" s="3" t="s">
        <v>6</v>
      </c>
      <c r="D2975" s="5">
        <f t="shared" si="92"/>
        <v>472.57</v>
      </c>
      <c r="E2975">
        <v>518.74</v>
      </c>
      <c r="F2975" s="1789">
        <v>8.8999999999999996E-2</v>
      </c>
      <c r="G2975">
        <f t="shared" si="93"/>
        <v>472.57</v>
      </c>
    </row>
    <row r="2976" spans="1:7" ht="12.75" customHeight="1">
      <c r="A2976" s="3">
        <v>39919</v>
      </c>
      <c r="B2976" s="4" t="s">
        <v>2997</v>
      </c>
      <c r="C2976" s="3" t="s">
        <v>6</v>
      </c>
      <c r="D2976" s="5">
        <f t="shared" si="92"/>
        <v>59354.68</v>
      </c>
      <c r="E2976">
        <v>65153.33</v>
      </c>
      <c r="F2976" s="1789">
        <v>8.8999999999999996E-2</v>
      </c>
      <c r="G2976">
        <f t="shared" si="93"/>
        <v>59354.68</v>
      </c>
    </row>
    <row r="2977" spans="1:7" ht="12.75" customHeight="1">
      <c r="A2977" s="3">
        <v>38385</v>
      </c>
      <c r="B2977" s="4" t="s">
        <v>2998</v>
      </c>
      <c r="C2977" s="3" t="s">
        <v>6</v>
      </c>
      <c r="D2977" s="5">
        <f t="shared" si="92"/>
        <v>54.95</v>
      </c>
      <c r="E2977">
        <v>60.32</v>
      </c>
      <c r="F2977" s="1789">
        <v>8.8999999999999996E-2</v>
      </c>
      <c r="G2977">
        <f t="shared" si="93"/>
        <v>54.95</v>
      </c>
    </row>
    <row r="2978" spans="1:7" ht="12.75" customHeight="1">
      <c r="A2978" s="3">
        <v>36800</v>
      </c>
      <c r="B2978" s="4" t="s">
        <v>2999</v>
      </c>
      <c r="C2978" s="3" t="s">
        <v>6</v>
      </c>
      <c r="D2978" s="5">
        <f t="shared" si="92"/>
        <v>231.82</v>
      </c>
      <c r="E2978">
        <v>254.47</v>
      </c>
      <c r="F2978" s="1789">
        <v>8.8999999999999996E-2</v>
      </c>
      <c r="G2978">
        <f t="shared" si="93"/>
        <v>231.82</v>
      </c>
    </row>
    <row r="2979" spans="1:7" ht="12.75" customHeight="1">
      <c r="A2979" s="3">
        <v>37587</v>
      </c>
      <c r="B2979" s="4" t="s">
        <v>3000</v>
      </c>
      <c r="C2979" s="3" t="s">
        <v>6</v>
      </c>
      <c r="D2979" s="5">
        <f t="shared" si="92"/>
        <v>509.32</v>
      </c>
      <c r="E2979">
        <v>559.08000000000004</v>
      </c>
      <c r="F2979" s="1789">
        <v>8.8999999999999996E-2</v>
      </c>
      <c r="G2979">
        <f t="shared" si="93"/>
        <v>509.32</v>
      </c>
    </row>
    <row r="2980" spans="1:7" ht="12.75" customHeight="1">
      <c r="A2980" s="3">
        <v>11561</v>
      </c>
      <c r="B2980" s="4" t="s">
        <v>3001</v>
      </c>
      <c r="C2980" s="3" t="s">
        <v>6</v>
      </c>
      <c r="D2980" s="5">
        <f t="shared" si="92"/>
        <v>249.9</v>
      </c>
      <c r="E2980">
        <v>274.32</v>
      </c>
      <c r="F2980" s="1789">
        <v>8.8999999999999996E-2</v>
      </c>
      <c r="G2980">
        <f t="shared" si="93"/>
        <v>249.9</v>
      </c>
    </row>
    <row r="2981" spans="1:7" ht="12.75" customHeight="1">
      <c r="A2981" s="3">
        <v>43604</v>
      </c>
      <c r="B2981" s="4" t="s">
        <v>3002</v>
      </c>
      <c r="C2981" s="3" t="s">
        <v>6</v>
      </c>
      <c r="D2981" s="5">
        <f t="shared" si="92"/>
        <v>133.22</v>
      </c>
      <c r="E2981">
        <v>146.24</v>
      </c>
      <c r="F2981" s="1789">
        <v>8.8999999999999996E-2</v>
      </c>
      <c r="G2981">
        <f t="shared" si="93"/>
        <v>133.22</v>
      </c>
    </row>
    <row r="2982" spans="1:7" ht="12.75" customHeight="1">
      <c r="A2982" s="3">
        <v>11560</v>
      </c>
      <c r="B2982" s="4" t="s">
        <v>3003</v>
      </c>
      <c r="C2982" s="3" t="s">
        <v>6</v>
      </c>
      <c r="D2982" s="5">
        <f t="shared" si="92"/>
        <v>192.88</v>
      </c>
      <c r="E2982">
        <v>211.73</v>
      </c>
      <c r="F2982" s="1789">
        <v>8.8999999999999996E-2</v>
      </c>
      <c r="G2982">
        <f t="shared" si="93"/>
        <v>192.88</v>
      </c>
    </row>
    <row r="2983" spans="1:7" ht="12.75" customHeight="1">
      <c r="A2983" s="3">
        <v>11499</v>
      </c>
      <c r="B2983" s="4" t="s">
        <v>3004</v>
      </c>
      <c r="C2983" s="3" t="s">
        <v>6</v>
      </c>
      <c r="D2983" s="5">
        <f t="shared" si="92"/>
        <v>711.4</v>
      </c>
      <c r="E2983">
        <v>780.91</v>
      </c>
      <c r="F2983" s="1789">
        <v>8.8999999999999996E-2</v>
      </c>
      <c r="G2983">
        <f t="shared" si="93"/>
        <v>711.4</v>
      </c>
    </row>
    <row r="2984" spans="1:7" ht="12.75" customHeight="1">
      <c r="A2984" s="3">
        <v>34761</v>
      </c>
      <c r="B2984" s="4" t="s">
        <v>3005</v>
      </c>
      <c r="C2984" s="3" t="s">
        <v>154</v>
      </c>
      <c r="D2984" s="5">
        <f t="shared" si="92"/>
        <v>15.78</v>
      </c>
      <c r="E2984">
        <v>17.329999999999998</v>
      </c>
      <c r="F2984" s="1789">
        <v>8.8999999999999996E-2</v>
      </c>
      <c r="G2984">
        <f t="shared" si="93"/>
        <v>15.78</v>
      </c>
    </row>
    <row r="2985" spans="1:7" ht="12.75" customHeight="1">
      <c r="A2985" s="3">
        <v>40924</v>
      </c>
      <c r="B2985" s="4" t="s">
        <v>3006</v>
      </c>
      <c r="C2985" s="3" t="s">
        <v>156</v>
      </c>
      <c r="D2985" s="5">
        <f t="shared" si="92"/>
        <v>2779.35</v>
      </c>
      <c r="E2985">
        <v>3050.88</v>
      </c>
      <c r="F2985" s="1789">
        <v>8.8999999999999996E-2</v>
      </c>
      <c r="G2985">
        <f t="shared" si="93"/>
        <v>2779.35</v>
      </c>
    </row>
    <row r="2986" spans="1:7" ht="12.75" customHeight="1">
      <c r="A2986" s="3">
        <v>40983</v>
      </c>
      <c r="B2986" s="4" t="s">
        <v>3007</v>
      </c>
      <c r="C2986" s="3" t="s">
        <v>156</v>
      </c>
      <c r="D2986" s="5">
        <f t="shared" si="92"/>
        <v>2894.24</v>
      </c>
      <c r="E2986">
        <v>3177</v>
      </c>
      <c r="F2986" s="1789">
        <v>8.8999999999999996E-2</v>
      </c>
      <c r="G2986">
        <f t="shared" si="93"/>
        <v>2894.24</v>
      </c>
    </row>
    <row r="2987" spans="1:7" ht="12.75" customHeight="1">
      <c r="A2987" s="3">
        <v>44497</v>
      </c>
      <c r="B2987" s="4" t="s">
        <v>3008</v>
      </c>
      <c r="C2987" s="3" t="s">
        <v>154</v>
      </c>
      <c r="D2987" s="5">
        <f t="shared" si="92"/>
        <v>16.440000000000001</v>
      </c>
      <c r="E2987">
        <v>18.05</v>
      </c>
      <c r="F2987" s="1789">
        <v>8.8999999999999996E-2</v>
      </c>
      <c r="G2987">
        <f t="shared" si="93"/>
        <v>16.440000000000001</v>
      </c>
    </row>
    <row r="2988" spans="1:7" ht="12.75" customHeight="1">
      <c r="A2988" s="3">
        <v>2437</v>
      </c>
      <c r="B2988" s="4" t="s">
        <v>3009</v>
      </c>
      <c r="C2988" s="3" t="s">
        <v>154</v>
      </c>
      <c r="D2988" s="5">
        <f t="shared" si="92"/>
        <v>12.31</v>
      </c>
      <c r="E2988">
        <v>13.52</v>
      </c>
      <c r="F2988" s="1789">
        <v>8.8999999999999996E-2</v>
      </c>
      <c r="G2988">
        <f t="shared" si="93"/>
        <v>12.31</v>
      </c>
    </row>
    <row r="2989" spans="1:7" ht="12.75" customHeight="1">
      <c r="A2989" s="3">
        <v>40921</v>
      </c>
      <c r="B2989" s="4" t="s">
        <v>3010</v>
      </c>
      <c r="C2989" s="3" t="s">
        <v>156</v>
      </c>
      <c r="D2989" s="5">
        <f t="shared" si="92"/>
        <v>2168.77</v>
      </c>
      <c r="E2989">
        <v>2380.65</v>
      </c>
      <c r="F2989" s="1789">
        <v>8.8999999999999996E-2</v>
      </c>
      <c r="G2989">
        <f t="shared" si="93"/>
        <v>2168.77</v>
      </c>
    </row>
    <row r="2990" spans="1:7" ht="12.75" customHeight="1">
      <c r="A2990" s="3">
        <v>14252</v>
      </c>
      <c r="B2990" s="4" t="s">
        <v>3011</v>
      </c>
      <c r="C2990" s="3" t="s">
        <v>6</v>
      </c>
      <c r="D2990" s="5">
        <f t="shared" si="92"/>
        <v>2405.5300000000002</v>
      </c>
      <c r="E2990">
        <v>2640.54</v>
      </c>
      <c r="F2990" s="1789">
        <v>8.8999999999999996E-2</v>
      </c>
      <c r="G2990">
        <f t="shared" si="93"/>
        <v>2405.5300000000002</v>
      </c>
    </row>
    <row r="2991" spans="1:7" ht="12.75" customHeight="1">
      <c r="A2991" s="3">
        <v>730</v>
      </c>
      <c r="B2991" s="4" t="s">
        <v>3012</v>
      </c>
      <c r="C2991" s="3" t="s">
        <v>6</v>
      </c>
      <c r="D2991" s="5">
        <f t="shared" si="92"/>
        <v>6427.14</v>
      </c>
      <c r="E2991">
        <v>7055.04</v>
      </c>
      <c r="F2991" s="1789">
        <v>8.8999999999999996E-2</v>
      </c>
      <c r="G2991">
        <f t="shared" si="93"/>
        <v>6427.14</v>
      </c>
    </row>
    <row r="2992" spans="1:7" ht="12.75" customHeight="1">
      <c r="A2992" s="3">
        <v>723</v>
      </c>
      <c r="B2992" s="4" t="s">
        <v>3013</v>
      </c>
      <c r="C2992" s="3" t="s">
        <v>6</v>
      </c>
      <c r="D2992" s="5">
        <f t="shared" si="92"/>
        <v>3194.51</v>
      </c>
      <c r="E2992">
        <v>3506.6</v>
      </c>
      <c r="F2992" s="1789">
        <v>8.8999999999999996E-2</v>
      </c>
      <c r="G2992">
        <f t="shared" si="93"/>
        <v>3194.51</v>
      </c>
    </row>
    <row r="2993" spans="1:7" ht="12.75" customHeight="1">
      <c r="A2993" s="3">
        <v>36502</v>
      </c>
      <c r="B2993" s="4" t="s">
        <v>3014</v>
      </c>
      <c r="C2993" s="3" t="s">
        <v>6</v>
      </c>
      <c r="D2993" s="5">
        <f t="shared" si="92"/>
        <v>3002.46</v>
      </c>
      <c r="E2993">
        <v>3295.79</v>
      </c>
      <c r="F2993" s="1789">
        <v>8.8999999999999996E-2</v>
      </c>
      <c r="G2993">
        <f t="shared" si="93"/>
        <v>3002.46</v>
      </c>
    </row>
    <row r="2994" spans="1:7" ht="12.75" customHeight="1">
      <c r="A2994" s="3">
        <v>36503</v>
      </c>
      <c r="B2994" s="4" t="s">
        <v>3015</v>
      </c>
      <c r="C2994" s="3" t="s">
        <v>6</v>
      </c>
      <c r="D2994" s="5">
        <f t="shared" si="92"/>
        <v>3702.39</v>
      </c>
      <c r="E2994">
        <v>4064.1</v>
      </c>
      <c r="F2994" s="1789">
        <v>8.8999999999999996E-2</v>
      </c>
      <c r="G2994">
        <f t="shared" si="93"/>
        <v>3702.39</v>
      </c>
    </row>
    <row r="2995" spans="1:7" ht="12.75" customHeight="1">
      <c r="A2995" s="3">
        <v>4090</v>
      </c>
      <c r="B2995" s="4" t="s">
        <v>3016</v>
      </c>
      <c r="C2995" s="3" t="s">
        <v>6</v>
      </c>
      <c r="D2995" s="5">
        <f t="shared" si="92"/>
        <v>1024875</v>
      </c>
      <c r="E2995">
        <v>1125000</v>
      </c>
      <c r="F2995" s="1789">
        <v>8.8999999999999996E-2</v>
      </c>
      <c r="G2995">
        <f t="shared" si="93"/>
        <v>1024875</v>
      </c>
    </row>
    <row r="2996" spans="1:7" ht="12.75" customHeight="1">
      <c r="A2996" s="3">
        <v>13227</v>
      </c>
      <c r="B2996" s="4" t="s">
        <v>3017</v>
      </c>
      <c r="C2996" s="3" t="s">
        <v>6</v>
      </c>
      <c r="D2996" s="5">
        <f t="shared" si="92"/>
        <v>1273534.98</v>
      </c>
      <c r="E2996">
        <v>1397952.78</v>
      </c>
      <c r="F2996" s="1789">
        <v>8.8999999999999996E-2</v>
      </c>
      <c r="G2996">
        <f t="shared" si="93"/>
        <v>1273534.98</v>
      </c>
    </row>
    <row r="2997" spans="1:7" ht="12.75" customHeight="1">
      <c r="A2997" s="3">
        <v>10597</v>
      </c>
      <c r="B2997" s="4" t="s">
        <v>3018</v>
      </c>
      <c r="C2997" s="3" t="s">
        <v>6</v>
      </c>
      <c r="D2997" s="5">
        <f t="shared" si="92"/>
        <v>1340559.8600000001</v>
      </c>
      <c r="E2997">
        <v>1471525.65</v>
      </c>
      <c r="F2997" s="1789">
        <v>8.8999999999999996E-2</v>
      </c>
      <c r="G2997">
        <f t="shared" si="93"/>
        <v>1340559.8600000001</v>
      </c>
    </row>
    <row r="2998" spans="1:7" ht="12.75" customHeight="1">
      <c r="A2998" s="3">
        <v>39628</v>
      </c>
      <c r="B2998" s="4" t="s">
        <v>3019</v>
      </c>
      <c r="C2998" s="3" t="s">
        <v>6</v>
      </c>
      <c r="D2998" s="5">
        <f t="shared" si="92"/>
        <v>3735.51</v>
      </c>
      <c r="E2998">
        <v>4100.46</v>
      </c>
      <c r="F2998" s="1789">
        <v>8.8999999999999996E-2</v>
      </c>
      <c r="G2998">
        <f t="shared" si="93"/>
        <v>3735.51</v>
      </c>
    </row>
    <row r="2999" spans="1:7" ht="12.75" customHeight="1">
      <c r="A2999" s="3">
        <v>39404</v>
      </c>
      <c r="B2999" s="4" t="s">
        <v>3020</v>
      </c>
      <c r="C2999" s="3" t="s">
        <v>6</v>
      </c>
      <c r="D2999" s="5">
        <f t="shared" si="92"/>
        <v>1852.31</v>
      </c>
      <c r="E2999">
        <v>2033.28</v>
      </c>
      <c r="F2999" s="1789">
        <v>8.8999999999999996E-2</v>
      </c>
      <c r="G2999">
        <f t="shared" si="93"/>
        <v>1852.31</v>
      </c>
    </row>
    <row r="3000" spans="1:7" ht="12.75" customHeight="1">
      <c r="A3000" s="3">
        <v>39402</v>
      </c>
      <c r="B3000" s="4" t="s">
        <v>3021</v>
      </c>
      <c r="C3000" s="3" t="s">
        <v>6</v>
      </c>
      <c r="D3000" s="5">
        <f t="shared" si="92"/>
        <v>1525.96</v>
      </c>
      <c r="E3000">
        <v>1675.04</v>
      </c>
      <c r="F3000" s="1789">
        <v>8.8999999999999996E-2</v>
      </c>
      <c r="G3000">
        <f t="shared" si="93"/>
        <v>1525.96</v>
      </c>
    </row>
    <row r="3001" spans="1:7" ht="12.75" customHeight="1">
      <c r="A3001" s="3">
        <v>39403</v>
      </c>
      <c r="B3001" s="4" t="s">
        <v>3022</v>
      </c>
      <c r="C3001" s="3" t="s">
        <v>6</v>
      </c>
      <c r="D3001" s="5">
        <f t="shared" si="92"/>
        <v>1492.76</v>
      </c>
      <c r="E3001">
        <v>1638.6</v>
      </c>
      <c r="F3001" s="1789">
        <v>8.8999999999999996E-2</v>
      </c>
      <c r="G3001">
        <f t="shared" si="93"/>
        <v>1492.76</v>
      </c>
    </row>
    <row r="3002" spans="1:7" ht="12.75" customHeight="1">
      <c r="A3002" s="3">
        <v>4093</v>
      </c>
      <c r="B3002" s="4" t="s">
        <v>3023</v>
      </c>
      <c r="C3002" s="3" t="s">
        <v>154</v>
      </c>
      <c r="D3002" s="5">
        <f t="shared" si="92"/>
        <v>23.77</v>
      </c>
      <c r="E3002">
        <v>26.1</v>
      </c>
      <c r="F3002" s="1789">
        <v>8.8999999999999996E-2</v>
      </c>
      <c r="G3002">
        <f t="shared" si="93"/>
        <v>23.77</v>
      </c>
    </row>
    <row r="3003" spans="1:7" ht="12.75" customHeight="1">
      <c r="A3003" s="3">
        <v>10512</v>
      </c>
      <c r="B3003" s="4" t="s">
        <v>3024</v>
      </c>
      <c r="C3003" s="3" t="s">
        <v>156</v>
      </c>
      <c r="D3003" s="5">
        <f t="shared" si="92"/>
        <v>4183.45</v>
      </c>
      <c r="E3003">
        <v>4592.16</v>
      </c>
      <c r="F3003" s="1789">
        <v>8.8999999999999996E-2</v>
      </c>
      <c r="G3003">
        <f t="shared" si="93"/>
        <v>4183.45</v>
      </c>
    </row>
    <row r="3004" spans="1:7" ht="12.75" customHeight="1">
      <c r="A3004" s="3">
        <v>4243</v>
      </c>
      <c r="B3004" s="4" t="s">
        <v>3025</v>
      </c>
      <c r="C3004" s="3" t="s">
        <v>154</v>
      </c>
      <c r="D3004" s="5">
        <f t="shared" si="92"/>
        <v>15.54</v>
      </c>
      <c r="E3004">
        <v>17.059999999999999</v>
      </c>
      <c r="F3004" s="1789">
        <v>8.8999999999999996E-2</v>
      </c>
      <c r="G3004">
        <f t="shared" si="93"/>
        <v>15.54</v>
      </c>
    </row>
    <row r="3005" spans="1:7" ht="12.75" customHeight="1">
      <c r="A3005" s="3">
        <v>20020</v>
      </c>
      <c r="B3005" s="4" t="s">
        <v>3026</v>
      </c>
      <c r="C3005" s="3" t="s">
        <v>154</v>
      </c>
      <c r="D3005" s="5">
        <f t="shared" si="92"/>
        <v>24.69</v>
      </c>
      <c r="E3005">
        <v>27.11</v>
      </c>
      <c r="F3005" s="1789">
        <v>8.8999999999999996E-2</v>
      </c>
      <c r="G3005">
        <f t="shared" si="93"/>
        <v>24.69</v>
      </c>
    </row>
    <row r="3006" spans="1:7" ht="12.75" customHeight="1">
      <c r="A3006" s="3">
        <v>41038</v>
      </c>
      <c r="B3006" s="4" t="s">
        <v>3027</v>
      </c>
      <c r="C3006" s="3" t="s">
        <v>156</v>
      </c>
      <c r="D3006" s="5">
        <f t="shared" si="92"/>
        <v>4347.45</v>
      </c>
      <c r="E3006">
        <v>4772.18</v>
      </c>
      <c r="F3006" s="1789">
        <v>8.8999999999999996E-2</v>
      </c>
      <c r="G3006">
        <f t="shared" si="93"/>
        <v>4347.45</v>
      </c>
    </row>
    <row r="3007" spans="1:7" ht="12.75" customHeight="1">
      <c r="A3007" s="3">
        <v>4094</v>
      </c>
      <c r="B3007" s="4" t="s">
        <v>3028</v>
      </c>
      <c r="C3007" s="3" t="s">
        <v>154</v>
      </c>
      <c r="D3007" s="5">
        <f t="shared" si="92"/>
        <v>29.56</v>
      </c>
      <c r="E3007">
        <v>32.450000000000003</v>
      </c>
      <c r="F3007" s="1789">
        <v>8.8999999999999996E-2</v>
      </c>
      <c r="G3007">
        <f t="shared" si="93"/>
        <v>29.56</v>
      </c>
    </row>
    <row r="3008" spans="1:7" ht="12.75" customHeight="1">
      <c r="A3008" s="3">
        <v>40988</v>
      </c>
      <c r="B3008" s="4" t="s">
        <v>3029</v>
      </c>
      <c r="C3008" s="3" t="s">
        <v>156</v>
      </c>
      <c r="D3008" s="5">
        <f t="shared" si="92"/>
        <v>5203.4799999999996</v>
      </c>
      <c r="E3008">
        <v>5711.84</v>
      </c>
      <c r="F3008" s="1789">
        <v>8.8999999999999996E-2</v>
      </c>
      <c r="G3008">
        <f t="shared" si="93"/>
        <v>5203.4799999999996</v>
      </c>
    </row>
    <row r="3009" spans="1:7" ht="12.75" customHeight="1">
      <c r="A3009" s="3">
        <v>4095</v>
      </c>
      <c r="B3009" s="4" t="s">
        <v>3030</v>
      </c>
      <c r="C3009" s="3" t="s">
        <v>154</v>
      </c>
      <c r="D3009" s="5">
        <f t="shared" si="92"/>
        <v>19.79</v>
      </c>
      <c r="E3009">
        <v>21.73</v>
      </c>
      <c r="F3009" s="1789">
        <v>8.8999999999999996E-2</v>
      </c>
      <c r="G3009">
        <f t="shared" si="93"/>
        <v>19.79</v>
      </c>
    </row>
    <row r="3010" spans="1:7" ht="12.75" customHeight="1">
      <c r="A3010" s="3">
        <v>40990</v>
      </c>
      <c r="B3010" s="4" t="s">
        <v>3031</v>
      </c>
      <c r="C3010" s="3" t="s">
        <v>156</v>
      </c>
      <c r="D3010" s="5">
        <f t="shared" si="92"/>
        <v>3484.71</v>
      </c>
      <c r="E3010">
        <v>3825.15</v>
      </c>
      <c r="F3010" s="1789">
        <v>8.8999999999999996E-2</v>
      </c>
      <c r="G3010">
        <f t="shared" si="93"/>
        <v>3484.71</v>
      </c>
    </row>
    <row r="3011" spans="1:7" ht="12.75" customHeight="1">
      <c r="A3011" s="3">
        <v>4096</v>
      </c>
      <c r="B3011" s="4" t="s">
        <v>3032</v>
      </c>
      <c r="C3011" s="3" t="s">
        <v>154</v>
      </c>
      <c r="D3011" s="5">
        <f t="shared" ref="D3011:D3074" si="94">G3011</f>
        <v>26.75</v>
      </c>
      <c r="E3011">
        <v>29.37</v>
      </c>
      <c r="F3011" s="1789">
        <v>8.8999999999999996E-2</v>
      </c>
      <c r="G3011">
        <f t="shared" ref="G3011:G3074" si="95">TRUNC((1-F3011)*E3011,2)</f>
        <v>26.75</v>
      </c>
    </row>
    <row r="3012" spans="1:7" ht="12.75" customHeight="1">
      <c r="A3012" s="3">
        <v>40992</v>
      </c>
      <c r="B3012" s="4" t="s">
        <v>3033</v>
      </c>
      <c r="C3012" s="3" t="s">
        <v>156</v>
      </c>
      <c r="D3012" s="5">
        <f t="shared" si="94"/>
        <v>4710.1099999999997</v>
      </c>
      <c r="E3012">
        <v>5170.2700000000004</v>
      </c>
      <c r="F3012" s="1789">
        <v>8.8999999999999996E-2</v>
      </c>
      <c r="G3012">
        <f t="shared" si="95"/>
        <v>4710.1099999999997</v>
      </c>
    </row>
    <row r="3013" spans="1:7" ht="12.75" customHeight="1">
      <c r="A3013" s="3">
        <v>4114</v>
      </c>
      <c r="B3013" s="4" t="s">
        <v>3034</v>
      </c>
      <c r="C3013" s="3" t="s">
        <v>6</v>
      </c>
      <c r="D3013" s="5">
        <f t="shared" si="94"/>
        <v>92.45</v>
      </c>
      <c r="E3013">
        <v>101.49</v>
      </c>
      <c r="F3013" s="1789">
        <v>8.8999999999999996E-2</v>
      </c>
      <c r="G3013">
        <f t="shared" si="95"/>
        <v>92.45</v>
      </c>
    </row>
    <row r="3014" spans="1:7" ht="12.75" customHeight="1">
      <c r="A3014" s="3">
        <v>36797</v>
      </c>
      <c r="B3014" s="4" t="s">
        <v>3035</v>
      </c>
      <c r="C3014" s="3" t="s">
        <v>6</v>
      </c>
      <c r="D3014" s="5">
        <f t="shared" si="94"/>
        <v>82.31</v>
      </c>
      <c r="E3014">
        <v>90.36</v>
      </c>
      <c r="F3014" s="1789">
        <v>8.8999999999999996E-2</v>
      </c>
      <c r="G3014">
        <f t="shared" si="95"/>
        <v>82.31</v>
      </c>
    </row>
    <row r="3015" spans="1:7" ht="12.75" customHeight="1">
      <c r="A3015" s="3">
        <v>4107</v>
      </c>
      <c r="B3015" s="4" t="s">
        <v>3036</v>
      </c>
      <c r="C3015" s="3" t="s">
        <v>6</v>
      </c>
      <c r="D3015" s="5">
        <f t="shared" si="94"/>
        <v>77.61</v>
      </c>
      <c r="E3015">
        <v>85.2</v>
      </c>
      <c r="F3015" s="1789">
        <v>8.8999999999999996E-2</v>
      </c>
      <c r="G3015">
        <f t="shared" si="95"/>
        <v>77.61</v>
      </c>
    </row>
    <row r="3016" spans="1:7" ht="12.75" customHeight="1">
      <c r="A3016" s="3">
        <v>4102</v>
      </c>
      <c r="B3016" s="4" t="s">
        <v>3037</v>
      </c>
      <c r="C3016" s="3" t="s">
        <v>6</v>
      </c>
      <c r="D3016" s="5">
        <f t="shared" si="94"/>
        <v>94.74</v>
      </c>
      <c r="E3016">
        <v>104</v>
      </c>
      <c r="F3016" s="1789">
        <v>8.8999999999999996E-2</v>
      </c>
      <c r="G3016">
        <f t="shared" si="95"/>
        <v>94.74</v>
      </c>
    </row>
    <row r="3017" spans="1:7" ht="12.75" customHeight="1">
      <c r="A3017" s="3">
        <v>36799</v>
      </c>
      <c r="B3017" s="4" t="s">
        <v>3038</v>
      </c>
      <c r="C3017" s="3" t="s">
        <v>6</v>
      </c>
      <c r="D3017" s="5">
        <f t="shared" si="94"/>
        <v>79.900000000000006</v>
      </c>
      <c r="E3017">
        <v>87.71</v>
      </c>
      <c r="F3017" s="1789">
        <v>8.8999999999999996E-2</v>
      </c>
      <c r="G3017">
        <f t="shared" si="95"/>
        <v>79.900000000000006</v>
      </c>
    </row>
    <row r="3018" spans="1:7" ht="12.75" customHeight="1">
      <c r="A3018" s="3">
        <v>2747</v>
      </c>
      <c r="B3018" s="4" t="s">
        <v>3039</v>
      </c>
      <c r="C3018" s="3" t="s">
        <v>50</v>
      </c>
      <c r="D3018" s="5">
        <f t="shared" si="94"/>
        <v>35.83</v>
      </c>
      <c r="E3018">
        <v>39.340000000000003</v>
      </c>
      <c r="F3018" s="1789">
        <v>8.8999999999999996E-2</v>
      </c>
      <c r="G3018">
        <f t="shared" si="95"/>
        <v>35.83</v>
      </c>
    </row>
    <row r="3019" spans="1:7" ht="12.75" customHeight="1">
      <c r="A3019" s="3">
        <v>21138</v>
      </c>
      <c r="B3019" s="4" t="s">
        <v>3040</v>
      </c>
      <c r="C3019" s="3" t="s">
        <v>50</v>
      </c>
      <c r="D3019" s="5">
        <f t="shared" si="94"/>
        <v>11.36</v>
      </c>
      <c r="E3019">
        <v>12.47</v>
      </c>
      <c r="F3019" s="1789">
        <v>8.8999999999999996E-2</v>
      </c>
      <c r="G3019">
        <f t="shared" si="95"/>
        <v>11.36</v>
      </c>
    </row>
    <row r="3020" spans="1:7" ht="12.75" customHeight="1">
      <c r="A3020" s="3">
        <v>10826</v>
      </c>
      <c r="B3020" s="4" t="s">
        <v>3041</v>
      </c>
      <c r="C3020" s="3" t="s">
        <v>6</v>
      </c>
      <c r="D3020" s="5">
        <f t="shared" si="94"/>
        <v>117.8</v>
      </c>
      <c r="E3020">
        <v>129.31</v>
      </c>
      <c r="F3020" s="1789">
        <v>8.8999999999999996E-2</v>
      </c>
      <c r="G3020">
        <f t="shared" si="95"/>
        <v>117.8</v>
      </c>
    </row>
    <row r="3021" spans="1:7" ht="12.75" customHeight="1">
      <c r="A3021" s="3">
        <v>365</v>
      </c>
      <c r="B3021" s="4" t="s">
        <v>3042</v>
      </c>
      <c r="C3021" s="3" t="s">
        <v>6</v>
      </c>
      <c r="D3021" s="5">
        <f t="shared" si="94"/>
        <v>73.03</v>
      </c>
      <c r="E3021">
        <v>80.17</v>
      </c>
      <c r="F3021" s="1789">
        <v>8.8999999999999996E-2</v>
      </c>
      <c r="G3021">
        <f t="shared" si="95"/>
        <v>73.03</v>
      </c>
    </row>
    <row r="3022" spans="1:7" ht="12.75" customHeight="1">
      <c r="A3022" s="3">
        <v>38639</v>
      </c>
      <c r="B3022" s="4" t="s">
        <v>3043</v>
      </c>
      <c r="C3022" s="3" t="s">
        <v>6</v>
      </c>
      <c r="D3022" s="5">
        <f t="shared" si="94"/>
        <v>282.70999999999998</v>
      </c>
      <c r="E3022">
        <v>310.33999999999997</v>
      </c>
      <c r="F3022" s="1789">
        <v>8.8999999999999996E-2</v>
      </c>
      <c r="G3022">
        <f t="shared" si="95"/>
        <v>282.70999999999998</v>
      </c>
    </row>
    <row r="3023" spans="1:7" ht="12.75" customHeight="1">
      <c r="A3023" s="3">
        <v>38640</v>
      </c>
      <c r="B3023" s="4" t="s">
        <v>3044</v>
      </c>
      <c r="C3023" s="3" t="s">
        <v>6</v>
      </c>
      <c r="D3023" s="5">
        <f t="shared" si="94"/>
        <v>4.2300000000000004</v>
      </c>
      <c r="E3023">
        <v>4.6500000000000004</v>
      </c>
      <c r="F3023" s="1789">
        <v>8.8999999999999996E-2</v>
      </c>
      <c r="G3023">
        <f t="shared" si="95"/>
        <v>4.2300000000000004</v>
      </c>
    </row>
    <row r="3024" spans="1:7" ht="12.75" customHeight="1">
      <c r="A3024" s="3">
        <v>358</v>
      </c>
      <c r="B3024" s="4" t="s">
        <v>3045</v>
      </c>
      <c r="C3024" s="3" t="s">
        <v>6</v>
      </c>
      <c r="D3024" s="5">
        <f t="shared" si="94"/>
        <v>87.16</v>
      </c>
      <c r="E3024">
        <v>95.68</v>
      </c>
      <c r="F3024" s="1789">
        <v>8.8999999999999996E-2</v>
      </c>
      <c r="G3024">
        <f t="shared" si="95"/>
        <v>87.16</v>
      </c>
    </row>
    <row r="3025" spans="1:7" ht="12.75" customHeight="1">
      <c r="A3025" s="3">
        <v>359</v>
      </c>
      <c r="B3025" s="4" t="s">
        <v>3046</v>
      </c>
      <c r="C3025" s="3" t="s">
        <v>6</v>
      </c>
      <c r="D3025" s="5">
        <f t="shared" si="94"/>
        <v>179.05</v>
      </c>
      <c r="E3025">
        <v>196.55</v>
      </c>
      <c r="F3025" s="1789">
        <v>8.8999999999999996E-2</v>
      </c>
      <c r="G3025">
        <f t="shared" si="95"/>
        <v>179.05</v>
      </c>
    </row>
    <row r="3026" spans="1:7" ht="12.75" customHeight="1">
      <c r="A3026" s="3">
        <v>38641</v>
      </c>
      <c r="B3026" s="4" t="s">
        <v>3047</v>
      </c>
      <c r="C3026" s="3" t="s">
        <v>6</v>
      </c>
      <c r="D3026" s="5">
        <f t="shared" si="94"/>
        <v>176.69</v>
      </c>
      <c r="E3026">
        <v>193.96</v>
      </c>
      <c r="F3026" s="1789">
        <v>8.8999999999999996E-2</v>
      </c>
      <c r="G3026">
        <f t="shared" si="95"/>
        <v>176.69</v>
      </c>
    </row>
    <row r="3027" spans="1:7" ht="12.75" customHeight="1">
      <c r="A3027" s="3">
        <v>360</v>
      </c>
      <c r="B3027" s="4" t="s">
        <v>3048</v>
      </c>
      <c r="C3027" s="3" t="s">
        <v>6</v>
      </c>
      <c r="D3027" s="5">
        <f t="shared" si="94"/>
        <v>4.09</v>
      </c>
      <c r="E3027">
        <v>4.5</v>
      </c>
      <c r="F3027" s="1789">
        <v>8.8999999999999996E-2</v>
      </c>
      <c r="G3027">
        <f t="shared" si="95"/>
        <v>4.09</v>
      </c>
    </row>
    <row r="3028" spans="1:7" ht="12.75" customHeight="1">
      <c r="A3028" s="3">
        <v>42430</v>
      </c>
      <c r="B3028" s="4" t="s">
        <v>3049</v>
      </c>
      <c r="C3028" s="3" t="s">
        <v>6</v>
      </c>
      <c r="D3028" s="5">
        <f t="shared" si="94"/>
        <v>5861.57</v>
      </c>
      <c r="E3028">
        <v>6434.22</v>
      </c>
      <c r="F3028" s="1789">
        <v>8.8999999999999996E-2</v>
      </c>
      <c r="G3028">
        <f t="shared" si="95"/>
        <v>5861.57</v>
      </c>
    </row>
    <row r="3029" spans="1:7" ht="12.75" customHeight="1">
      <c r="A3029" s="3">
        <v>4209</v>
      </c>
      <c r="B3029" s="4" t="s">
        <v>3050</v>
      </c>
      <c r="C3029" s="3" t="s">
        <v>6</v>
      </c>
      <c r="D3029" s="5">
        <f t="shared" si="94"/>
        <v>16.7</v>
      </c>
      <c r="E3029">
        <v>18.34</v>
      </c>
      <c r="F3029" s="1789">
        <v>8.8999999999999996E-2</v>
      </c>
      <c r="G3029">
        <f t="shared" si="95"/>
        <v>16.7</v>
      </c>
    </row>
    <row r="3030" spans="1:7" ht="12.75" customHeight="1">
      <c r="A3030" s="3">
        <v>4180</v>
      </c>
      <c r="B3030" s="4" t="s">
        <v>3051</v>
      </c>
      <c r="C3030" s="3" t="s">
        <v>6</v>
      </c>
      <c r="D3030" s="5">
        <f t="shared" si="94"/>
        <v>12.58</v>
      </c>
      <c r="E3030">
        <v>13.81</v>
      </c>
      <c r="F3030" s="1789">
        <v>8.8999999999999996E-2</v>
      </c>
      <c r="G3030">
        <f t="shared" si="95"/>
        <v>12.58</v>
      </c>
    </row>
    <row r="3031" spans="1:7" ht="12.75" customHeight="1">
      <c r="A3031" s="3">
        <v>4177</v>
      </c>
      <c r="B3031" s="4" t="s">
        <v>3052</v>
      </c>
      <c r="C3031" s="3" t="s">
        <v>6</v>
      </c>
      <c r="D3031" s="5">
        <f t="shared" si="94"/>
        <v>4.17</v>
      </c>
      <c r="E3031">
        <v>4.58</v>
      </c>
      <c r="F3031" s="1789">
        <v>8.8999999999999996E-2</v>
      </c>
      <c r="G3031">
        <f t="shared" si="95"/>
        <v>4.17</v>
      </c>
    </row>
    <row r="3032" spans="1:7" ht="12.75" customHeight="1">
      <c r="A3032" s="3">
        <v>4179</v>
      </c>
      <c r="B3032" s="4" t="s">
        <v>3053</v>
      </c>
      <c r="C3032" s="3" t="s">
        <v>6</v>
      </c>
      <c r="D3032" s="5">
        <f t="shared" si="94"/>
        <v>8.5399999999999991</v>
      </c>
      <c r="E3032">
        <v>9.3800000000000008</v>
      </c>
      <c r="F3032" s="1789">
        <v>8.8999999999999996E-2</v>
      </c>
      <c r="G3032">
        <f t="shared" si="95"/>
        <v>8.5399999999999991</v>
      </c>
    </row>
    <row r="3033" spans="1:7" ht="12.75" customHeight="1">
      <c r="A3033" s="3">
        <v>4208</v>
      </c>
      <c r="B3033" s="4" t="s">
        <v>3054</v>
      </c>
      <c r="C3033" s="3" t="s">
        <v>6</v>
      </c>
      <c r="D3033" s="5">
        <f t="shared" si="94"/>
        <v>39.770000000000003</v>
      </c>
      <c r="E3033">
        <v>43.66</v>
      </c>
      <c r="F3033" s="1789">
        <v>8.8999999999999996E-2</v>
      </c>
      <c r="G3033">
        <f t="shared" si="95"/>
        <v>39.770000000000003</v>
      </c>
    </row>
    <row r="3034" spans="1:7" ht="12.75" customHeight="1">
      <c r="A3034" s="3">
        <v>4181</v>
      </c>
      <c r="B3034" s="4" t="s">
        <v>3055</v>
      </c>
      <c r="C3034" s="3" t="s">
        <v>6</v>
      </c>
      <c r="D3034" s="5">
        <f t="shared" si="94"/>
        <v>25.98</v>
      </c>
      <c r="E3034">
        <v>28.52</v>
      </c>
      <c r="F3034" s="1789">
        <v>8.8999999999999996E-2</v>
      </c>
      <c r="G3034">
        <f t="shared" si="95"/>
        <v>25.98</v>
      </c>
    </row>
    <row r="3035" spans="1:7" ht="12.75" customHeight="1">
      <c r="A3035" s="3">
        <v>4178</v>
      </c>
      <c r="B3035" s="4" t="s">
        <v>3056</v>
      </c>
      <c r="C3035" s="3" t="s">
        <v>6</v>
      </c>
      <c r="D3035" s="5">
        <f t="shared" si="94"/>
        <v>5.78</v>
      </c>
      <c r="E3035">
        <v>6.35</v>
      </c>
      <c r="F3035" s="1789">
        <v>8.8999999999999996E-2</v>
      </c>
      <c r="G3035">
        <f t="shared" si="95"/>
        <v>5.78</v>
      </c>
    </row>
    <row r="3036" spans="1:7" ht="12.75" customHeight="1">
      <c r="A3036" s="3">
        <v>4182</v>
      </c>
      <c r="B3036" s="4" t="s">
        <v>3057</v>
      </c>
      <c r="C3036" s="3" t="s">
        <v>6</v>
      </c>
      <c r="D3036" s="5">
        <f t="shared" si="94"/>
        <v>64.69</v>
      </c>
      <c r="E3036">
        <v>71.02</v>
      </c>
      <c r="F3036" s="1789">
        <v>8.8999999999999996E-2</v>
      </c>
      <c r="G3036">
        <f t="shared" si="95"/>
        <v>64.69</v>
      </c>
    </row>
    <row r="3037" spans="1:7" ht="12.75" customHeight="1">
      <c r="A3037" s="3">
        <v>4183</v>
      </c>
      <c r="B3037" s="4" t="s">
        <v>3058</v>
      </c>
      <c r="C3037" s="3" t="s">
        <v>6</v>
      </c>
      <c r="D3037" s="5">
        <f t="shared" si="94"/>
        <v>104.16</v>
      </c>
      <c r="E3037">
        <v>114.34</v>
      </c>
      <c r="F3037" s="1789">
        <v>8.8999999999999996E-2</v>
      </c>
      <c r="G3037">
        <f t="shared" si="95"/>
        <v>104.16</v>
      </c>
    </row>
    <row r="3038" spans="1:7" ht="12.75" customHeight="1">
      <c r="A3038" s="3">
        <v>4184</v>
      </c>
      <c r="B3038" s="4" t="s">
        <v>3059</v>
      </c>
      <c r="C3038" s="3" t="s">
        <v>6</v>
      </c>
      <c r="D3038" s="5">
        <f t="shared" si="94"/>
        <v>229.93</v>
      </c>
      <c r="E3038">
        <v>252.4</v>
      </c>
      <c r="F3038" s="1789">
        <v>8.8999999999999996E-2</v>
      </c>
      <c r="G3038">
        <f t="shared" si="95"/>
        <v>229.93</v>
      </c>
    </row>
    <row r="3039" spans="1:7" ht="12.75" customHeight="1">
      <c r="A3039" s="3">
        <v>4185</v>
      </c>
      <c r="B3039" s="4" t="s">
        <v>3060</v>
      </c>
      <c r="C3039" s="3" t="s">
        <v>6</v>
      </c>
      <c r="D3039" s="5">
        <f t="shared" si="94"/>
        <v>382.05</v>
      </c>
      <c r="E3039">
        <v>419.38</v>
      </c>
      <c r="F3039" s="1789">
        <v>8.8999999999999996E-2</v>
      </c>
      <c r="G3039">
        <f t="shared" si="95"/>
        <v>382.05</v>
      </c>
    </row>
    <row r="3040" spans="1:7" ht="12.75" customHeight="1">
      <c r="A3040" s="3">
        <v>4205</v>
      </c>
      <c r="B3040" s="4" t="s">
        <v>3061</v>
      </c>
      <c r="C3040" s="3" t="s">
        <v>6</v>
      </c>
      <c r="D3040" s="5">
        <f t="shared" si="94"/>
        <v>22.06</v>
      </c>
      <c r="E3040">
        <v>24.22</v>
      </c>
      <c r="F3040" s="1789">
        <v>8.8999999999999996E-2</v>
      </c>
      <c r="G3040">
        <f t="shared" si="95"/>
        <v>22.06</v>
      </c>
    </row>
    <row r="3041" spans="1:7" ht="12.75" customHeight="1">
      <c r="A3041" s="3">
        <v>4192</v>
      </c>
      <c r="B3041" s="4" t="s">
        <v>3062</v>
      </c>
      <c r="C3041" s="3" t="s">
        <v>6</v>
      </c>
      <c r="D3041" s="5">
        <f t="shared" si="94"/>
        <v>22.06</v>
      </c>
      <c r="E3041">
        <v>24.22</v>
      </c>
      <c r="F3041" s="1789">
        <v>8.8999999999999996E-2</v>
      </c>
      <c r="G3041">
        <f t="shared" si="95"/>
        <v>22.06</v>
      </c>
    </row>
    <row r="3042" spans="1:7" ht="12.75" customHeight="1">
      <c r="A3042" s="3">
        <v>4191</v>
      </c>
      <c r="B3042" s="4" t="s">
        <v>3063</v>
      </c>
      <c r="C3042" s="3" t="s">
        <v>6</v>
      </c>
      <c r="D3042" s="5">
        <f t="shared" si="94"/>
        <v>22.06</v>
      </c>
      <c r="E3042">
        <v>24.22</v>
      </c>
      <c r="F3042" s="1789">
        <v>8.8999999999999996E-2</v>
      </c>
      <c r="G3042">
        <f t="shared" si="95"/>
        <v>22.06</v>
      </c>
    </row>
    <row r="3043" spans="1:7" ht="12.75" customHeight="1">
      <c r="A3043" s="3">
        <v>4207</v>
      </c>
      <c r="B3043" s="4" t="s">
        <v>3064</v>
      </c>
      <c r="C3043" s="3" t="s">
        <v>6</v>
      </c>
      <c r="D3043" s="5">
        <f t="shared" si="94"/>
        <v>17.75</v>
      </c>
      <c r="E3043">
        <v>19.489999999999998</v>
      </c>
      <c r="F3043" s="1789">
        <v>8.8999999999999996E-2</v>
      </c>
      <c r="G3043">
        <f t="shared" si="95"/>
        <v>17.75</v>
      </c>
    </row>
    <row r="3044" spans="1:7" ht="12.75" customHeight="1">
      <c r="A3044" s="3">
        <v>4206</v>
      </c>
      <c r="B3044" s="4" t="s">
        <v>3065</v>
      </c>
      <c r="C3044" s="3" t="s">
        <v>6</v>
      </c>
      <c r="D3044" s="5">
        <f t="shared" si="94"/>
        <v>17.23</v>
      </c>
      <c r="E3044">
        <v>18.920000000000002</v>
      </c>
      <c r="F3044" s="1789">
        <v>8.8999999999999996E-2</v>
      </c>
      <c r="G3044">
        <f t="shared" si="95"/>
        <v>17.23</v>
      </c>
    </row>
    <row r="3045" spans="1:7" ht="12.75" customHeight="1">
      <c r="A3045" s="3">
        <v>4190</v>
      </c>
      <c r="B3045" s="4" t="s">
        <v>3066</v>
      </c>
      <c r="C3045" s="3" t="s">
        <v>6</v>
      </c>
      <c r="D3045" s="5">
        <f t="shared" si="94"/>
        <v>17.23</v>
      </c>
      <c r="E3045">
        <v>18.920000000000002</v>
      </c>
      <c r="F3045" s="1789">
        <v>8.8999999999999996E-2</v>
      </c>
      <c r="G3045">
        <f t="shared" si="95"/>
        <v>17.23</v>
      </c>
    </row>
    <row r="3046" spans="1:7" ht="12.75" customHeight="1">
      <c r="A3046" s="3">
        <v>4186</v>
      </c>
      <c r="B3046" s="4" t="s">
        <v>3067</v>
      </c>
      <c r="C3046" s="3" t="s">
        <v>6</v>
      </c>
      <c r="D3046" s="5">
        <f t="shared" si="94"/>
        <v>5.09</v>
      </c>
      <c r="E3046">
        <v>5.59</v>
      </c>
      <c r="F3046" s="1789">
        <v>8.8999999999999996E-2</v>
      </c>
      <c r="G3046">
        <f t="shared" si="95"/>
        <v>5.09</v>
      </c>
    </row>
    <row r="3047" spans="1:7" ht="12.75" customHeight="1">
      <c r="A3047" s="3">
        <v>4188</v>
      </c>
      <c r="B3047" s="4" t="s">
        <v>3068</v>
      </c>
      <c r="C3047" s="3" t="s">
        <v>6</v>
      </c>
      <c r="D3047" s="5">
        <f t="shared" si="94"/>
        <v>10.4</v>
      </c>
      <c r="E3047">
        <v>11.42</v>
      </c>
      <c r="F3047" s="1789">
        <v>8.8999999999999996E-2</v>
      </c>
      <c r="G3047">
        <f t="shared" si="95"/>
        <v>10.4</v>
      </c>
    </row>
    <row r="3048" spans="1:7" ht="12.75" customHeight="1">
      <c r="A3048" s="3">
        <v>4189</v>
      </c>
      <c r="B3048" s="4" t="s">
        <v>3069</v>
      </c>
      <c r="C3048" s="3" t="s">
        <v>6</v>
      </c>
      <c r="D3048" s="5">
        <f t="shared" si="94"/>
        <v>10.4</v>
      </c>
      <c r="E3048">
        <v>11.42</v>
      </c>
      <c r="F3048" s="1789">
        <v>8.8999999999999996E-2</v>
      </c>
      <c r="G3048">
        <f t="shared" si="95"/>
        <v>10.4</v>
      </c>
    </row>
    <row r="3049" spans="1:7" ht="12.75" customHeight="1">
      <c r="A3049" s="3">
        <v>4197</v>
      </c>
      <c r="B3049" s="4" t="s">
        <v>3070</v>
      </c>
      <c r="C3049" s="3" t="s">
        <v>6</v>
      </c>
      <c r="D3049" s="5">
        <f t="shared" si="94"/>
        <v>55.08</v>
      </c>
      <c r="E3049">
        <v>60.47</v>
      </c>
      <c r="F3049" s="1789">
        <v>8.8999999999999996E-2</v>
      </c>
      <c r="G3049">
        <f t="shared" si="95"/>
        <v>55.08</v>
      </c>
    </row>
    <row r="3050" spans="1:7" ht="12.75" customHeight="1">
      <c r="A3050" s="3">
        <v>4194</v>
      </c>
      <c r="B3050" s="4" t="s">
        <v>3071</v>
      </c>
      <c r="C3050" s="3" t="s">
        <v>6</v>
      </c>
      <c r="D3050" s="5">
        <f t="shared" si="94"/>
        <v>33.28</v>
      </c>
      <c r="E3050">
        <v>36.54</v>
      </c>
      <c r="F3050" s="1789">
        <v>8.8999999999999996E-2</v>
      </c>
      <c r="G3050">
        <f t="shared" si="95"/>
        <v>33.28</v>
      </c>
    </row>
    <row r="3051" spans="1:7" ht="12.75" customHeight="1">
      <c r="A3051" s="3">
        <v>4193</v>
      </c>
      <c r="B3051" s="4" t="s">
        <v>3072</v>
      </c>
      <c r="C3051" s="3" t="s">
        <v>6</v>
      </c>
      <c r="D3051" s="5">
        <f t="shared" si="94"/>
        <v>33.28</v>
      </c>
      <c r="E3051">
        <v>36.54</v>
      </c>
      <c r="F3051" s="1789">
        <v>8.8999999999999996E-2</v>
      </c>
      <c r="G3051">
        <f t="shared" si="95"/>
        <v>33.28</v>
      </c>
    </row>
    <row r="3052" spans="1:7" ht="12.75" customHeight="1">
      <c r="A3052" s="3">
        <v>4204</v>
      </c>
      <c r="B3052" s="4" t="s">
        <v>3073</v>
      </c>
      <c r="C3052" s="3" t="s">
        <v>6</v>
      </c>
      <c r="D3052" s="5">
        <f t="shared" si="94"/>
        <v>33.28</v>
      </c>
      <c r="E3052">
        <v>36.54</v>
      </c>
      <c r="F3052" s="1789">
        <v>8.8999999999999996E-2</v>
      </c>
      <c r="G3052">
        <f t="shared" si="95"/>
        <v>33.28</v>
      </c>
    </row>
    <row r="3053" spans="1:7" ht="12.75" customHeight="1">
      <c r="A3053" s="3">
        <v>4187</v>
      </c>
      <c r="B3053" s="4" t="s">
        <v>3074</v>
      </c>
      <c r="C3053" s="3" t="s">
        <v>6</v>
      </c>
      <c r="D3053" s="5">
        <f t="shared" si="94"/>
        <v>6.63</v>
      </c>
      <c r="E3053">
        <v>7.28</v>
      </c>
      <c r="F3053" s="1789">
        <v>8.8999999999999996E-2</v>
      </c>
      <c r="G3053">
        <f t="shared" si="95"/>
        <v>6.63</v>
      </c>
    </row>
    <row r="3054" spans="1:7" ht="12.75" customHeight="1">
      <c r="A3054" s="3">
        <v>4202</v>
      </c>
      <c r="B3054" s="4" t="s">
        <v>3075</v>
      </c>
      <c r="C3054" s="3" t="s">
        <v>6</v>
      </c>
      <c r="D3054" s="5">
        <f t="shared" si="94"/>
        <v>100.61</v>
      </c>
      <c r="E3054">
        <v>110.44</v>
      </c>
      <c r="F3054" s="1789">
        <v>8.8999999999999996E-2</v>
      </c>
      <c r="G3054">
        <f t="shared" si="95"/>
        <v>100.61</v>
      </c>
    </row>
    <row r="3055" spans="1:7" ht="12.75" customHeight="1">
      <c r="A3055" s="3">
        <v>4203</v>
      </c>
      <c r="B3055" s="4" t="s">
        <v>3076</v>
      </c>
      <c r="C3055" s="3" t="s">
        <v>6</v>
      </c>
      <c r="D3055" s="5">
        <f t="shared" si="94"/>
        <v>88.85</v>
      </c>
      <c r="E3055">
        <v>97.54</v>
      </c>
      <c r="F3055" s="1789">
        <v>8.8999999999999996E-2</v>
      </c>
      <c r="G3055">
        <f t="shared" si="95"/>
        <v>88.85</v>
      </c>
    </row>
    <row r="3056" spans="1:7" ht="12.75" customHeight="1">
      <c r="A3056" s="3">
        <v>40368</v>
      </c>
      <c r="B3056" s="4" t="s">
        <v>3077</v>
      </c>
      <c r="C3056" s="3" t="s">
        <v>6</v>
      </c>
      <c r="D3056" s="5">
        <f t="shared" si="94"/>
        <v>51.03</v>
      </c>
      <c r="E3056">
        <v>56.02</v>
      </c>
      <c r="F3056" s="1789">
        <v>8.8999999999999996E-2</v>
      </c>
      <c r="G3056">
        <f t="shared" si="95"/>
        <v>51.03</v>
      </c>
    </row>
    <row r="3057" spans="1:7" ht="12.75" customHeight="1">
      <c r="A3057" s="3">
        <v>40365</v>
      </c>
      <c r="B3057" s="4" t="s">
        <v>3078</v>
      </c>
      <c r="C3057" s="3" t="s">
        <v>6</v>
      </c>
      <c r="D3057" s="5">
        <f t="shared" si="94"/>
        <v>34.42</v>
      </c>
      <c r="E3057">
        <v>37.79</v>
      </c>
      <c r="F3057" s="1789">
        <v>8.8999999999999996E-2</v>
      </c>
      <c r="G3057">
        <f t="shared" si="95"/>
        <v>34.42</v>
      </c>
    </row>
    <row r="3058" spans="1:7" ht="12.75" customHeight="1">
      <c r="A3058" s="3">
        <v>40356</v>
      </c>
      <c r="B3058" s="4" t="s">
        <v>3079</v>
      </c>
      <c r="C3058" s="3" t="s">
        <v>6</v>
      </c>
      <c r="D3058" s="5">
        <f t="shared" si="94"/>
        <v>11.76</v>
      </c>
      <c r="E3058">
        <v>12.91</v>
      </c>
      <c r="F3058" s="1789">
        <v>8.8999999999999996E-2</v>
      </c>
      <c r="G3058">
        <f t="shared" si="95"/>
        <v>11.76</v>
      </c>
    </row>
    <row r="3059" spans="1:7" ht="12.75" customHeight="1">
      <c r="A3059" s="3">
        <v>40362</v>
      </c>
      <c r="B3059" s="4" t="s">
        <v>3080</v>
      </c>
      <c r="C3059" s="3" t="s">
        <v>6</v>
      </c>
      <c r="D3059" s="5">
        <f t="shared" si="94"/>
        <v>22.8</v>
      </c>
      <c r="E3059">
        <v>25.03</v>
      </c>
      <c r="F3059" s="1789">
        <v>8.8999999999999996E-2</v>
      </c>
      <c r="G3059">
        <f t="shared" si="95"/>
        <v>22.8</v>
      </c>
    </row>
    <row r="3060" spans="1:7" ht="12.75" customHeight="1">
      <c r="A3060" s="3">
        <v>40374</v>
      </c>
      <c r="B3060" s="4" t="s">
        <v>3081</v>
      </c>
      <c r="C3060" s="3" t="s">
        <v>6</v>
      </c>
      <c r="D3060" s="5">
        <f t="shared" si="94"/>
        <v>133.37</v>
      </c>
      <c r="E3060">
        <v>146.41</v>
      </c>
      <c r="F3060" s="1789">
        <v>8.8999999999999996E-2</v>
      </c>
      <c r="G3060">
        <f t="shared" si="95"/>
        <v>133.37</v>
      </c>
    </row>
    <row r="3061" spans="1:7" ht="12.75" customHeight="1">
      <c r="A3061" s="3">
        <v>40371</v>
      </c>
      <c r="B3061" s="4" t="s">
        <v>3082</v>
      </c>
      <c r="C3061" s="3" t="s">
        <v>6</v>
      </c>
      <c r="D3061" s="5">
        <f t="shared" si="94"/>
        <v>83.95</v>
      </c>
      <c r="E3061">
        <v>92.16</v>
      </c>
      <c r="F3061" s="1789">
        <v>8.8999999999999996E-2</v>
      </c>
      <c r="G3061">
        <f t="shared" si="95"/>
        <v>83.95</v>
      </c>
    </row>
    <row r="3062" spans="1:7" ht="12.75" customHeight="1">
      <c r="A3062" s="3">
        <v>40359</v>
      </c>
      <c r="B3062" s="4" t="s">
        <v>3083</v>
      </c>
      <c r="C3062" s="3" t="s">
        <v>6</v>
      </c>
      <c r="D3062" s="5">
        <f t="shared" si="94"/>
        <v>15.19</v>
      </c>
      <c r="E3062">
        <v>16.68</v>
      </c>
      <c r="F3062" s="1789">
        <v>8.8999999999999996E-2</v>
      </c>
      <c r="G3062">
        <f t="shared" si="95"/>
        <v>15.19</v>
      </c>
    </row>
    <row r="3063" spans="1:7" ht="12.75" customHeight="1">
      <c r="A3063" s="3">
        <v>7595</v>
      </c>
      <c r="B3063" s="4" t="s">
        <v>3084</v>
      </c>
      <c r="C3063" s="3" t="s">
        <v>154</v>
      </c>
      <c r="D3063" s="5">
        <f t="shared" si="94"/>
        <v>14.52</v>
      </c>
      <c r="E3063">
        <v>15.94</v>
      </c>
      <c r="F3063" s="1789">
        <v>8.8999999999999996E-2</v>
      </c>
      <c r="G3063">
        <f t="shared" si="95"/>
        <v>14.52</v>
      </c>
    </row>
    <row r="3064" spans="1:7" ht="12.75" customHeight="1">
      <c r="A3064" s="3">
        <v>41094</v>
      </c>
      <c r="B3064" s="4" t="s">
        <v>3085</v>
      </c>
      <c r="C3064" s="3" t="s">
        <v>156</v>
      </c>
      <c r="D3064" s="5">
        <f t="shared" si="94"/>
        <v>2557.11</v>
      </c>
      <c r="E3064">
        <v>2806.93</v>
      </c>
      <c r="F3064" s="1789">
        <v>8.8999999999999996E-2</v>
      </c>
      <c r="G3064">
        <f t="shared" si="95"/>
        <v>2557.11</v>
      </c>
    </row>
    <row r="3065" spans="1:7" ht="12.75" customHeight="1">
      <c r="A3065" s="3">
        <v>39609</v>
      </c>
      <c r="B3065" s="4" t="s">
        <v>3086</v>
      </c>
      <c r="C3065" s="3" t="s">
        <v>6</v>
      </c>
      <c r="D3065" s="5">
        <f t="shared" si="94"/>
        <v>42891.15</v>
      </c>
      <c r="E3065">
        <v>47081.4</v>
      </c>
      <c r="F3065" s="1789">
        <v>8.8999999999999996E-2</v>
      </c>
      <c r="G3065">
        <f t="shared" si="95"/>
        <v>42891.15</v>
      </c>
    </row>
    <row r="3066" spans="1:7" ht="12.75" customHeight="1">
      <c r="A3066" s="3">
        <v>39610</v>
      </c>
      <c r="B3066" s="4" t="s">
        <v>3087</v>
      </c>
      <c r="C3066" s="3" t="s">
        <v>6</v>
      </c>
      <c r="D3066" s="5">
        <f t="shared" si="94"/>
        <v>62607.7</v>
      </c>
      <c r="E3066">
        <v>68724.160000000003</v>
      </c>
      <c r="F3066" s="1789">
        <v>8.8999999999999996E-2</v>
      </c>
      <c r="G3066">
        <f t="shared" si="95"/>
        <v>62607.7</v>
      </c>
    </row>
    <row r="3067" spans="1:7" ht="12.75" customHeight="1">
      <c r="A3067" s="3">
        <v>39611</v>
      </c>
      <c r="B3067" s="4" t="s">
        <v>3088</v>
      </c>
      <c r="C3067" s="3" t="s">
        <v>6</v>
      </c>
      <c r="D3067" s="5">
        <f t="shared" si="94"/>
        <v>75765.58</v>
      </c>
      <c r="E3067">
        <v>83167.490000000005</v>
      </c>
      <c r="F3067" s="1789">
        <v>8.8999999999999996E-2</v>
      </c>
      <c r="G3067">
        <f t="shared" si="95"/>
        <v>75765.58</v>
      </c>
    </row>
    <row r="3068" spans="1:7" ht="12.75" customHeight="1">
      <c r="A3068" s="3">
        <v>39612</v>
      </c>
      <c r="B3068" s="4" t="s">
        <v>3089</v>
      </c>
      <c r="C3068" s="3" t="s">
        <v>6</v>
      </c>
      <c r="D3068" s="5">
        <f t="shared" si="94"/>
        <v>118688.49</v>
      </c>
      <c r="E3068">
        <v>130283.75</v>
      </c>
      <c r="F3068" s="1789">
        <v>8.8999999999999996E-2</v>
      </c>
      <c r="G3068">
        <f t="shared" si="95"/>
        <v>118688.49</v>
      </c>
    </row>
    <row r="3069" spans="1:7" ht="12.75" customHeight="1">
      <c r="A3069" s="3">
        <v>39608</v>
      </c>
      <c r="B3069" s="4" t="s">
        <v>3090</v>
      </c>
      <c r="C3069" s="3" t="s">
        <v>6</v>
      </c>
      <c r="D3069" s="5">
        <f t="shared" si="94"/>
        <v>34295.32</v>
      </c>
      <c r="E3069">
        <v>37645.800000000003</v>
      </c>
      <c r="F3069" s="1789">
        <v>8.8999999999999996E-2</v>
      </c>
      <c r="G3069">
        <f t="shared" si="95"/>
        <v>34295.32</v>
      </c>
    </row>
    <row r="3070" spans="1:7" ht="12.75" customHeight="1">
      <c r="A3070" s="3">
        <v>38175</v>
      </c>
      <c r="B3070" s="4" t="s">
        <v>3091</v>
      </c>
      <c r="C3070" s="3" t="s">
        <v>6</v>
      </c>
      <c r="D3070" s="5">
        <f t="shared" si="94"/>
        <v>5.01</v>
      </c>
      <c r="E3070">
        <v>5.5</v>
      </c>
      <c r="F3070" s="1789">
        <v>8.8999999999999996E-2</v>
      </c>
      <c r="G3070">
        <f t="shared" si="95"/>
        <v>5.01</v>
      </c>
    </row>
    <row r="3071" spans="1:7" ht="12.75" customHeight="1">
      <c r="A3071" s="3">
        <v>38176</v>
      </c>
      <c r="B3071" s="4" t="s">
        <v>3092</v>
      </c>
      <c r="C3071" s="3" t="s">
        <v>6</v>
      </c>
      <c r="D3071" s="5">
        <f t="shared" si="94"/>
        <v>14.73</v>
      </c>
      <c r="E3071">
        <v>16.18</v>
      </c>
      <c r="F3071" s="1789">
        <v>8.8999999999999996E-2</v>
      </c>
      <c r="G3071">
        <f t="shared" si="95"/>
        <v>14.73</v>
      </c>
    </row>
    <row r="3072" spans="1:7" ht="12.75" customHeight="1">
      <c r="A3072" s="3">
        <v>36152</v>
      </c>
      <c r="B3072" s="4" t="s">
        <v>3093</v>
      </c>
      <c r="C3072" s="3" t="s">
        <v>6</v>
      </c>
      <c r="D3072" s="5">
        <f t="shared" si="94"/>
        <v>5.64</v>
      </c>
      <c r="E3072">
        <v>6.2</v>
      </c>
      <c r="F3072" s="1789">
        <v>8.8999999999999996E-2</v>
      </c>
      <c r="G3072">
        <f t="shared" si="95"/>
        <v>5.64</v>
      </c>
    </row>
    <row r="3073" spans="1:7" ht="12.75" customHeight="1">
      <c r="A3073" s="3">
        <v>4221</v>
      </c>
      <c r="B3073" s="4" t="s">
        <v>3094</v>
      </c>
      <c r="C3073" s="3" t="s">
        <v>56</v>
      </c>
      <c r="D3073" s="5">
        <f t="shared" si="94"/>
        <v>5.47</v>
      </c>
      <c r="E3073">
        <v>6.01</v>
      </c>
      <c r="F3073" s="1789">
        <v>8.8999999999999996E-2</v>
      </c>
      <c r="G3073">
        <f t="shared" si="95"/>
        <v>5.47</v>
      </c>
    </row>
    <row r="3074" spans="1:7" ht="12.75" customHeight="1">
      <c r="A3074" s="3">
        <v>4227</v>
      </c>
      <c r="B3074" s="4" t="s">
        <v>3095</v>
      </c>
      <c r="C3074" s="3" t="s">
        <v>56</v>
      </c>
      <c r="D3074" s="5">
        <f t="shared" si="94"/>
        <v>25.52</v>
      </c>
      <c r="E3074">
        <v>28.02</v>
      </c>
      <c r="F3074" s="1789">
        <v>8.8999999999999996E-2</v>
      </c>
      <c r="G3074">
        <f t="shared" si="95"/>
        <v>25.52</v>
      </c>
    </row>
    <row r="3075" spans="1:7" ht="12.75" customHeight="1">
      <c r="A3075" s="3">
        <v>38170</v>
      </c>
      <c r="B3075" s="4" t="s">
        <v>3096</v>
      </c>
      <c r="C3075" s="3" t="s">
        <v>6</v>
      </c>
      <c r="D3075" s="5">
        <f t="shared" ref="D3075:D3138" si="96">G3075</f>
        <v>21.9</v>
      </c>
      <c r="E3075">
        <v>24.04</v>
      </c>
      <c r="F3075" s="1789">
        <v>8.8999999999999996E-2</v>
      </c>
      <c r="G3075">
        <f t="shared" ref="G3075:G3138" si="97">TRUNC((1-F3075)*E3075,2)</f>
        <v>21.9</v>
      </c>
    </row>
    <row r="3076" spans="1:7" ht="12.75" customHeight="1">
      <c r="A3076" s="3">
        <v>4252</v>
      </c>
      <c r="B3076" s="4" t="s">
        <v>3097</v>
      </c>
      <c r="C3076" s="3" t="s">
        <v>154</v>
      </c>
      <c r="D3076" s="5">
        <f t="shared" si="96"/>
        <v>14.92</v>
      </c>
      <c r="E3076">
        <v>16.38</v>
      </c>
      <c r="F3076" s="1789">
        <v>8.8999999999999996E-2</v>
      </c>
      <c r="G3076">
        <f t="shared" si="97"/>
        <v>14.92</v>
      </c>
    </row>
    <row r="3077" spans="1:7" ht="12.75" customHeight="1">
      <c r="A3077" s="3">
        <v>40980</v>
      </c>
      <c r="B3077" s="4" t="s">
        <v>3098</v>
      </c>
      <c r="C3077" s="3" t="s">
        <v>156</v>
      </c>
      <c r="D3077" s="5">
        <f t="shared" si="96"/>
        <v>2628.25</v>
      </c>
      <c r="E3077">
        <v>2885.02</v>
      </c>
      <c r="F3077" s="1789">
        <v>8.8999999999999996E-2</v>
      </c>
      <c r="G3077">
        <f t="shared" si="97"/>
        <v>2628.25</v>
      </c>
    </row>
    <row r="3078" spans="1:7" ht="12.75" customHeight="1">
      <c r="A3078" s="3">
        <v>41031</v>
      </c>
      <c r="B3078" s="4" t="s">
        <v>3099</v>
      </c>
      <c r="C3078" s="3" t="s">
        <v>156</v>
      </c>
      <c r="D3078" s="5">
        <f t="shared" si="96"/>
        <v>2737.39</v>
      </c>
      <c r="E3078">
        <v>3004.82</v>
      </c>
      <c r="F3078" s="1789">
        <v>8.8999999999999996E-2</v>
      </c>
      <c r="G3078">
        <f t="shared" si="97"/>
        <v>2737.39</v>
      </c>
    </row>
    <row r="3079" spans="1:7" ht="12.75" customHeight="1">
      <c r="A3079" s="3">
        <v>37666</v>
      </c>
      <c r="B3079" s="4" t="s">
        <v>3100</v>
      </c>
      <c r="C3079" s="3" t="s">
        <v>154</v>
      </c>
      <c r="D3079" s="5">
        <f t="shared" si="96"/>
        <v>13.93</v>
      </c>
      <c r="E3079">
        <v>15.3</v>
      </c>
      <c r="F3079" s="1789">
        <v>8.8999999999999996E-2</v>
      </c>
      <c r="G3079">
        <f t="shared" si="97"/>
        <v>13.93</v>
      </c>
    </row>
    <row r="3080" spans="1:7" ht="12.75" customHeight="1">
      <c r="A3080" s="3">
        <v>40986</v>
      </c>
      <c r="B3080" s="4" t="s">
        <v>3101</v>
      </c>
      <c r="C3080" s="3" t="s">
        <v>156</v>
      </c>
      <c r="D3080" s="5">
        <f t="shared" si="96"/>
        <v>2455.9899999999998</v>
      </c>
      <c r="E3080">
        <v>2695.93</v>
      </c>
      <c r="F3080" s="1789">
        <v>8.8999999999999996E-2</v>
      </c>
      <c r="G3080">
        <f t="shared" si="97"/>
        <v>2455.9899999999998</v>
      </c>
    </row>
    <row r="3081" spans="1:7" ht="12.75" customHeight="1">
      <c r="A3081" s="3">
        <v>4250</v>
      </c>
      <c r="B3081" s="4" t="s">
        <v>3102</v>
      </c>
      <c r="C3081" s="3" t="s">
        <v>154</v>
      </c>
      <c r="D3081" s="5">
        <f t="shared" si="96"/>
        <v>15.38</v>
      </c>
      <c r="E3081">
        <v>16.89</v>
      </c>
      <c r="F3081" s="1789">
        <v>8.8999999999999996E-2</v>
      </c>
      <c r="G3081">
        <f t="shared" si="97"/>
        <v>15.38</v>
      </c>
    </row>
    <row r="3082" spans="1:7" ht="12.75" customHeight="1">
      <c r="A3082" s="3">
        <v>40978</v>
      </c>
      <c r="B3082" s="4" t="s">
        <v>3103</v>
      </c>
      <c r="C3082" s="3" t="s">
        <v>156</v>
      </c>
      <c r="D3082" s="5">
        <f t="shared" si="96"/>
        <v>2710.97</v>
      </c>
      <c r="E3082">
        <v>2975.82</v>
      </c>
      <c r="F3082" s="1789">
        <v>8.8999999999999996E-2</v>
      </c>
      <c r="G3082">
        <f t="shared" si="97"/>
        <v>2710.97</v>
      </c>
    </row>
    <row r="3083" spans="1:7" ht="12.75" customHeight="1">
      <c r="A3083" s="3">
        <v>44501</v>
      </c>
      <c r="B3083" s="4" t="s">
        <v>3104</v>
      </c>
      <c r="C3083" s="3" t="s">
        <v>154</v>
      </c>
      <c r="D3083" s="5">
        <f t="shared" si="96"/>
        <v>15.54</v>
      </c>
      <c r="E3083">
        <v>17.059999999999999</v>
      </c>
      <c r="F3083" s="1789">
        <v>8.8999999999999996E-2</v>
      </c>
      <c r="G3083">
        <f t="shared" si="97"/>
        <v>15.54</v>
      </c>
    </row>
    <row r="3084" spans="1:7" ht="12.75" customHeight="1">
      <c r="A3084" s="3">
        <v>41043</v>
      </c>
      <c r="B3084" s="4" t="s">
        <v>3105</v>
      </c>
      <c r="C3084" s="3" t="s">
        <v>156</v>
      </c>
      <c r="D3084" s="5">
        <f t="shared" si="96"/>
        <v>2737.39</v>
      </c>
      <c r="E3084">
        <v>3004.82</v>
      </c>
      <c r="F3084" s="1789">
        <v>8.8999999999999996E-2</v>
      </c>
      <c r="G3084">
        <f t="shared" si="97"/>
        <v>2737.39</v>
      </c>
    </row>
    <row r="3085" spans="1:7" ht="12.75" customHeight="1">
      <c r="A3085" s="3">
        <v>4234</v>
      </c>
      <c r="B3085" s="4" t="s">
        <v>3106</v>
      </c>
      <c r="C3085" s="3" t="s">
        <v>154</v>
      </c>
      <c r="D3085" s="5">
        <f t="shared" si="96"/>
        <v>18.02</v>
      </c>
      <c r="E3085">
        <v>19.79</v>
      </c>
      <c r="F3085" s="1789">
        <v>8.8999999999999996E-2</v>
      </c>
      <c r="G3085">
        <f t="shared" si="97"/>
        <v>18.02</v>
      </c>
    </row>
    <row r="3086" spans="1:7" ht="12.75" customHeight="1">
      <c r="A3086" s="3">
        <v>40987</v>
      </c>
      <c r="B3086" s="4" t="s">
        <v>3107</v>
      </c>
      <c r="C3086" s="3" t="s">
        <v>156</v>
      </c>
      <c r="D3086" s="5">
        <f t="shared" si="96"/>
        <v>3172.4</v>
      </c>
      <c r="E3086">
        <v>3482.33</v>
      </c>
      <c r="F3086" s="1789">
        <v>8.8999999999999996E-2</v>
      </c>
      <c r="G3086">
        <f t="shared" si="97"/>
        <v>3172.4</v>
      </c>
    </row>
    <row r="3087" spans="1:7" ht="12.75" customHeight="1">
      <c r="A3087" s="3">
        <v>4253</v>
      </c>
      <c r="B3087" s="4" t="s">
        <v>3108</v>
      </c>
      <c r="C3087" s="3" t="s">
        <v>154</v>
      </c>
      <c r="D3087" s="5">
        <f t="shared" si="96"/>
        <v>15.04</v>
      </c>
      <c r="E3087">
        <v>16.52</v>
      </c>
      <c r="F3087" s="1789">
        <v>8.8999999999999996E-2</v>
      </c>
      <c r="G3087">
        <f t="shared" si="97"/>
        <v>15.04</v>
      </c>
    </row>
    <row r="3088" spans="1:7" ht="12.75" customHeight="1">
      <c r="A3088" s="3">
        <v>40981</v>
      </c>
      <c r="B3088" s="4" t="s">
        <v>3109</v>
      </c>
      <c r="C3088" s="3" t="s">
        <v>156</v>
      </c>
      <c r="D3088" s="5">
        <f t="shared" si="96"/>
        <v>2650.42</v>
      </c>
      <c r="E3088">
        <v>2909.36</v>
      </c>
      <c r="F3088" s="1789">
        <v>8.8999999999999996E-2</v>
      </c>
      <c r="G3088">
        <f t="shared" si="97"/>
        <v>2650.42</v>
      </c>
    </row>
    <row r="3089" spans="1:7" ht="12.75" customHeight="1">
      <c r="A3089" s="3">
        <v>4254</v>
      </c>
      <c r="B3089" s="4" t="s">
        <v>3110</v>
      </c>
      <c r="C3089" s="3" t="s">
        <v>154</v>
      </c>
      <c r="D3089" s="5">
        <f t="shared" si="96"/>
        <v>18.7</v>
      </c>
      <c r="E3089">
        <v>20.53</v>
      </c>
      <c r="F3089" s="1789">
        <v>8.8999999999999996E-2</v>
      </c>
      <c r="G3089">
        <f t="shared" si="97"/>
        <v>18.7</v>
      </c>
    </row>
    <row r="3090" spans="1:7" ht="12.75" customHeight="1">
      <c r="A3090" s="3">
        <v>41036</v>
      </c>
      <c r="B3090" s="4" t="s">
        <v>3111</v>
      </c>
      <c r="C3090" s="3" t="s">
        <v>156</v>
      </c>
      <c r="D3090" s="5">
        <f t="shared" si="96"/>
        <v>3291.94</v>
      </c>
      <c r="E3090">
        <v>3613.55</v>
      </c>
      <c r="F3090" s="1789">
        <v>8.8999999999999996E-2</v>
      </c>
      <c r="G3090">
        <f t="shared" si="97"/>
        <v>3291.94</v>
      </c>
    </row>
    <row r="3091" spans="1:7" ht="12.75" customHeight="1">
      <c r="A3091" s="3">
        <v>4251</v>
      </c>
      <c r="B3091" s="4" t="s">
        <v>3112</v>
      </c>
      <c r="C3091" s="3" t="s">
        <v>154</v>
      </c>
      <c r="D3091" s="5">
        <f t="shared" si="96"/>
        <v>13.14</v>
      </c>
      <c r="E3091">
        <v>14.43</v>
      </c>
      <c r="F3091" s="1789">
        <v>8.8999999999999996E-2</v>
      </c>
      <c r="G3091">
        <f t="shared" si="97"/>
        <v>13.14</v>
      </c>
    </row>
    <row r="3092" spans="1:7" ht="12.75" customHeight="1">
      <c r="A3092" s="3">
        <v>40979</v>
      </c>
      <c r="B3092" s="4" t="s">
        <v>3113</v>
      </c>
      <c r="C3092" s="3" t="s">
        <v>156</v>
      </c>
      <c r="D3092" s="5">
        <f t="shared" si="96"/>
        <v>2314.1</v>
      </c>
      <c r="E3092">
        <v>2540.1799999999998</v>
      </c>
      <c r="F3092" s="1789">
        <v>8.8999999999999996E-2</v>
      </c>
      <c r="G3092">
        <f t="shared" si="97"/>
        <v>2314.1</v>
      </c>
    </row>
    <row r="3093" spans="1:7" ht="12.75" customHeight="1">
      <c r="A3093" s="3">
        <v>4230</v>
      </c>
      <c r="B3093" s="4" t="s">
        <v>3114</v>
      </c>
      <c r="C3093" s="3" t="s">
        <v>154</v>
      </c>
      <c r="D3093" s="5">
        <f t="shared" si="96"/>
        <v>15.78</v>
      </c>
      <c r="E3093">
        <v>17.329999999999998</v>
      </c>
      <c r="F3093" s="1789">
        <v>8.8999999999999996E-2</v>
      </c>
      <c r="G3093">
        <f t="shared" si="97"/>
        <v>15.78</v>
      </c>
    </row>
    <row r="3094" spans="1:7" ht="12.75" customHeight="1">
      <c r="A3094" s="3">
        <v>40998</v>
      </c>
      <c r="B3094" s="4" t="s">
        <v>3115</v>
      </c>
      <c r="C3094" s="3" t="s">
        <v>156</v>
      </c>
      <c r="D3094" s="5">
        <f t="shared" si="96"/>
        <v>2780.48</v>
      </c>
      <c r="E3094">
        <v>3052.12</v>
      </c>
      <c r="F3094" s="1789">
        <v>8.8999999999999996E-2</v>
      </c>
      <c r="G3094">
        <f t="shared" si="97"/>
        <v>2780.48</v>
      </c>
    </row>
    <row r="3095" spans="1:7" ht="12.75" customHeight="1">
      <c r="A3095" s="3">
        <v>4257</v>
      </c>
      <c r="B3095" s="4" t="s">
        <v>3116</v>
      </c>
      <c r="C3095" s="3" t="s">
        <v>154</v>
      </c>
      <c r="D3095" s="5">
        <f t="shared" si="96"/>
        <v>13.48</v>
      </c>
      <c r="E3095">
        <v>14.8</v>
      </c>
      <c r="F3095" s="1789">
        <v>8.8999999999999996E-2</v>
      </c>
      <c r="G3095">
        <f t="shared" si="97"/>
        <v>13.48</v>
      </c>
    </row>
    <row r="3096" spans="1:7" ht="12.75" customHeight="1">
      <c r="A3096" s="3">
        <v>40982</v>
      </c>
      <c r="B3096" s="4" t="s">
        <v>3117</v>
      </c>
      <c r="C3096" s="3" t="s">
        <v>156</v>
      </c>
      <c r="D3096" s="5">
        <f t="shared" si="96"/>
        <v>2374.0300000000002</v>
      </c>
      <c r="E3096">
        <v>2605.9699999999998</v>
      </c>
      <c r="F3096" s="1789">
        <v>8.8999999999999996E-2</v>
      </c>
      <c r="G3096">
        <f t="shared" si="97"/>
        <v>2374.0300000000002</v>
      </c>
    </row>
    <row r="3097" spans="1:7" ht="12.75" customHeight="1">
      <c r="A3097" s="3">
        <v>4240</v>
      </c>
      <c r="B3097" s="4" t="s">
        <v>3118</v>
      </c>
      <c r="C3097" s="3" t="s">
        <v>154</v>
      </c>
      <c r="D3097" s="5">
        <f t="shared" si="96"/>
        <v>22.22</v>
      </c>
      <c r="E3097">
        <v>24.4</v>
      </c>
      <c r="F3097" s="1789">
        <v>8.8999999999999996E-2</v>
      </c>
      <c r="G3097">
        <f t="shared" si="97"/>
        <v>22.22</v>
      </c>
    </row>
    <row r="3098" spans="1:7" ht="12.75" customHeight="1">
      <c r="A3098" s="3">
        <v>41026</v>
      </c>
      <c r="B3098" s="4" t="s">
        <v>3119</v>
      </c>
      <c r="C3098" s="3" t="s">
        <v>156</v>
      </c>
      <c r="D3098" s="5">
        <f t="shared" si="96"/>
        <v>3911.69</v>
      </c>
      <c r="E3098">
        <v>4293.8500000000004</v>
      </c>
      <c r="F3098" s="1789">
        <v>8.8999999999999996E-2</v>
      </c>
      <c r="G3098">
        <f t="shared" si="97"/>
        <v>3911.69</v>
      </c>
    </row>
    <row r="3099" spans="1:7" ht="12.75" customHeight="1">
      <c r="A3099" s="3">
        <v>4239</v>
      </c>
      <c r="B3099" s="4" t="s">
        <v>3120</v>
      </c>
      <c r="C3099" s="3" t="s">
        <v>154</v>
      </c>
      <c r="D3099" s="5">
        <f t="shared" si="96"/>
        <v>22.22</v>
      </c>
      <c r="E3099">
        <v>24.4</v>
      </c>
      <c r="F3099" s="1789">
        <v>8.8999999999999996E-2</v>
      </c>
      <c r="G3099">
        <f t="shared" si="97"/>
        <v>22.22</v>
      </c>
    </row>
    <row r="3100" spans="1:7" ht="12.75" customHeight="1">
      <c r="A3100" s="3">
        <v>41024</v>
      </c>
      <c r="B3100" s="4" t="s">
        <v>3121</v>
      </c>
      <c r="C3100" s="3" t="s">
        <v>156</v>
      </c>
      <c r="D3100" s="5">
        <f t="shared" si="96"/>
        <v>3911.69</v>
      </c>
      <c r="E3100">
        <v>4293.8500000000004</v>
      </c>
      <c r="F3100" s="1789">
        <v>8.8999999999999996E-2</v>
      </c>
      <c r="G3100">
        <f t="shared" si="97"/>
        <v>3911.69</v>
      </c>
    </row>
    <row r="3101" spans="1:7" ht="12.75" customHeight="1">
      <c r="A3101" s="3">
        <v>4248</v>
      </c>
      <c r="B3101" s="4" t="s">
        <v>3122</v>
      </c>
      <c r="C3101" s="3" t="s">
        <v>154</v>
      </c>
      <c r="D3101" s="5">
        <f t="shared" si="96"/>
        <v>15.54</v>
      </c>
      <c r="E3101">
        <v>17.059999999999999</v>
      </c>
      <c r="F3101" s="1789">
        <v>8.8999999999999996E-2</v>
      </c>
      <c r="G3101">
        <f t="shared" si="97"/>
        <v>15.54</v>
      </c>
    </row>
    <row r="3102" spans="1:7" ht="12.75" customHeight="1">
      <c r="A3102" s="3">
        <v>41033</v>
      </c>
      <c r="B3102" s="4" t="s">
        <v>3123</v>
      </c>
      <c r="C3102" s="3" t="s">
        <v>156</v>
      </c>
      <c r="D3102" s="5">
        <f t="shared" si="96"/>
        <v>2737.39</v>
      </c>
      <c r="E3102">
        <v>3004.82</v>
      </c>
      <c r="F3102" s="1789">
        <v>8.8999999999999996E-2</v>
      </c>
      <c r="G3102">
        <f t="shared" si="97"/>
        <v>2737.39</v>
      </c>
    </row>
    <row r="3103" spans="1:7" ht="12.75" customHeight="1">
      <c r="A3103" s="3">
        <v>44500</v>
      </c>
      <c r="B3103" s="4" t="s">
        <v>3124</v>
      </c>
      <c r="C3103" s="3" t="s">
        <v>154</v>
      </c>
      <c r="D3103" s="5">
        <f t="shared" si="96"/>
        <v>15.54</v>
      </c>
      <c r="E3103">
        <v>17.059999999999999</v>
      </c>
      <c r="F3103" s="1789">
        <v>8.8999999999999996E-2</v>
      </c>
      <c r="G3103">
        <f t="shared" si="97"/>
        <v>15.54</v>
      </c>
    </row>
    <row r="3104" spans="1:7" ht="12.75" customHeight="1">
      <c r="A3104" s="3">
        <v>41040</v>
      </c>
      <c r="B3104" s="4" t="s">
        <v>3125</v>
      </c>
      <c r="C3104" s="3" t="s">
        <v>156</v>
      </c>
      <c r="D3104" s="5">
        <f t="shared" si="96"/>
        <v>2737.39</v>
      </c>
      <c r="E3104">
        <v>3004.82</v>
      </c>
      <c r="F3104" s="1789">
        <v>8.8999999999999996E-2</v>
      </c>
      <c r="G3104">
        <f t="shared" si="97"/>
        <v>2737.39</v>
      </c>
    </row>
    <row r="3105" spans="1:7" ht="12.75" customHeight="1">
      <c r="A3105" s="3">
        <v>4238</v>
      </c>
      <c r="B3105" s="4" t="s">
        <v>3126</v>
      </c>
      <c r="C3105" s="3" t="s">
        <v>154</v>
      </c>
      <c r="D3105" s="5">
        <f t="shared" si="96"/>
        <v>15.38</v>
      </c>
      <c r="E3105">
        <v>16.89</v>
      </c>
      <c r="F3105" s="1789">
        <v>8.8999999999999996E-2</v>
      </c>
      <c r="G3105">
        <f t="shared" si="97"/>
        <v>15.38</v>
      </c>
    </row>
    <row r="3106" spans="1:7" ht="12.75" customHeight="1">
      <c r="A3106" s="3">
        <v>41012</v>
      </c>
      <c r="B3106" s="4" t="s">
        <v>3127</v>
      </c>
      <c r="C3106" s="3" t="s">
        <v>156</v>
      </c>
      <c r="D3106" s="5">
        <f t="shared" si="96"/>
        <v>2710.97</v>
      </c>
      <c r="E3106">
        <v>2975.82</v>
      </c>
      <c r="F3106" s="1789">
        <v>8.8999999999999996E-2</v>
      </c>
      <c r="G3106">
        <f t="shared" si="97"/>
        <v>2710.97</v>
      </c>
    </row>
    <row r="3107" spans="1:7" ht="12.75" customHeight="1">
      <c r="A3107" s="3">
        <v>4233</v>
      </c>
      <c r="B3107" s="4" t="s">
        <v>3128</v>
      </c>
      <c r="C3107" s="3" t="s">
        <v>154</v>
      </c>
      <c r="D3107" s="5">
        <f t="shared" si="96"/>
        <v>22.22</v>
      </c>
      <c r="E3107">
        <v>24.4</v>
      </c>
      <c r="F3107" s="1789">
        <v>8.8999999999999996E-2</v>
      </c>
      <c r="G3107">
        <f t="shared" si="97"/>
        <v>22.22</v>
      </c>
    </row>
    <row r="3108" spans="1:7" ht="12.75" customHeight="1">
      <c r="A3108" s="3">
        <v>41001</v>
      </c>
      <c r="B3108" s="4" t="s">
        <v>3129</v>
      </c>
      <c r="C3108" s="3" t="s">
        <v>156</v>
      </c>
      <c r="D3108" s="5">
        <f t="shared" si="96"/>
        <v>3911.69</v>
      </c>
      <c r="E3108">
        <v>4293.8500000000004</v>
      </c>
      <c r="F3108" s="1789">
        <v>8.8999999999999996E-2</v>
      </c>
      <c r="G3108">
        <f t="shared" si="97"/>
        <v>3911.69</v>
      </c>
    </row>
    <row r="3109" spans="1:7" ht="12.75" customHeight="1">
      <c r="A3109" s="3">
        <v>2</v>
      </c>
      <c r="B3109" s="4" t="s">
        <v>3130</v>
      </c>
      <c r="C3109" s="3" t="s">
        <v>152</v>
      </c>
      <c r="D3109" s="5">
        <f t="shared" si="96"/>
        <v>25.95</v>
      </c>
      <c r="E3109">
        <v>28.49</v>
      </c>
      <c r="F3109" s="1789">
        <v>8.8999999999999996E-2</v>
      </c>
      <c r="G3109">
        <f t="shared" si="97"/>
        <v>25.95</v>
      </c>
    </row>
    <row r="3110" spans="1:7" ht="12.75" customHeight="1">
      <c r="A3110" s="3">
        <v>36517</v>
      </c>
      <c r="B3110" s="4" t="s">
        <v>3131</v>
      </c>
      <c r="C3110" s="3" t="s">
        <v>6</v>
      </c>
      <c r="D3110" s="5">
        <f t="shared" si="96"/>
        <v>495492.9</v>
      </c>
      <c r="E3110">
        <v>543900</v>
      </c>
      <c r="F3110" s="1789">
        <v>8.8999999999999996E-2</v>
      </c>
      <c r="G3110">
        <f t="shared" si="97"/>
        <v>495492.9</v>
      </c>
    </row>
    <row r="3111" spans="1:7" ht="12.75" customHeight="1">
      <c r="A3111" s="3">
        <v>4262</v>
      </c>
      <c r="B3111" s="4" t="s">
        <v>3132</v>
      </c>
      <c r="C3111" s="3" t="s">
        <v>6</v>
      </c>
      <c r="D3111" s="5">
        <f t="shared" si="96"/>
        <v>557987.5</v>
      </c>
      <c r="E3111">
        <v>612500</v>
      </c>
      <c r="F3111" s="1789">
        <v>8.8999999999999996E-2</v>
      </c>
      <c r="G3111">
        <f t="shared" si="97"/>
        <v>557987.5</v>
      </c>
    </row>
    <row r="3112" spans="1:7" ht="12.75" customHeight="1">
      <c r="A3112" s="3">
        <v>4263</v>
      </c>
      <c r="B3112" s="4" t="s">
        <v>3133</v>
      </c>
      <c r="C3112" s="3" t="s">
        <v>6</v>
      </c>
      <c r="D3112" s="5">
        <f t="shared" si="96"/>
        <v>773742.62</v>
      </c>
      <c r="E3112">
        <v>849333.29</v>
      </c>
      <c r="F3112" s="1789">
        <v>8.8999999999999996E-2</v>
      </c>
      <c r="G3112">
        <f t="shared" si="97"/>
        <v>773742.62</v>
      </c>
    </row>
    <row r="3113" spans="1:7" ht="12.75" customHeight="1">
      <c r="A3113" s="3">
        <v>36518</v>
      </c>
      <c r="B3113" s="4" t="s">
        <v>3134</v>
      </c>
      <c r="C3113" s="3" t="s">
        <v>6</v>
      </c>
      <c r="D3113" s="5">
        <f t="shared" si="96"/>
        <v>880876.22</v>
      </c>
      <c r="E3113">
        <v>966933.29</v>
      </c>
      <c r="F3113" s="1789">
        <v>8.8999999999999996E-2</v>
      </c>
      <c r="G3113">
        <f t="shared" si="97"/>
        <v>880876.22</v>
      </c>
    </row>
    <row r="3114" spans="1:7" ht="12.75" customHeight="1">
      <c r="A3114" s="3">
        <v>14221</v>
      </c>
      <c r="B3114" s="4" t="s">
        <v>3135</v>
      </c>
      <c r="C3114" s="3" t="s">
        <v>6</v>
      </c>
      <c r="D3114" s="5">
        <f t="shared" si="96"/>
        <v>514092.45</v>
      </c>
      <c r="E3114">
        <v>564316.64</v>
      </c>
      <c r="F3114" s="1789">
        <v>8.8999999999999996E-2</v>
      </c>
      <c r="G3114">
        <f t="shared" si="97"/>
        <v>514092.45</v>
      </c>
    </row>
    <row r="3115" spans="1:7" ht="12.75" customHeight="1">
      <c r="A3115" s="3">
        <v>38402</v>
      </c>
      <c r="B3115" s="4" t="s">
        <v>3136</v>
      </c>
      <c r="C3115" s="3" t="s">
        <v>6</v>
      </c>
      <c r="D3115" s="5">
        <f t="shared" si="96"/>
        <v>17.54</v>
      </c>
      <c r="E3115">
        <v>19.260000000000002</v>
      </c>
      <c r="F3115" s="1789">
        <v>8.8999999999999996E-2</v>
      </c>
      <c r="G3115">
        <f t="shared" si="97"/>
        <v>17.54</v>
      </c>
    </row>
    <row r="3116" spans="1:7" ht="12.75" customHeight="1">
      <c r="A3116" s="3">
        <v>3412</v>
      </c>
      <c r="B3116" s="4" t="s">
        <v>3137</v>
      </c>
      <c r="C3116" s="3" t="s">
        <v>409</v>
      </c>
      <c r="D3116" s="5">
        <f t="shared" si="96"/>
        <v>18.16</v>
      </c>
      <c r="E3116">
        <v>19.940000000000001</v>
      </c>
      <c r="F3116" s="1789">
        <v>8.8999999999999996E-2</v>
      </c>
      <c r="G3116">
        <f t="shared" si="97"/>
        <v>18.16</v>
      </c>
    </row>
    <row r="3117" spans="1:7" ht="12.75" customHeight="1">
      <c r="A3117" s="3">
        <v>3413</v>
      </c>
      <c r="B3117" s="4" t="s">
        <v>3138</v>
      </c>
      <c r="C3117" s="3" t="s">
        <v>409</v>
      </c>
      <c r="D3117" s="5">
        <f t="shared" si="96"/>
        <v>40.89</v>
      </c>
      <c r="E3117">
        <v>44.89</v>
      </c>
      <c r="F3117" s="1789">
        <v>8.8999999999999996E-2</v>
      </c>
      <c r="G3117">
        <f t="shared" si="97"/>
        <v>40.89</v>
      </c>
    </row>
    <row r="3118" spans="1:7" ht="12.75" customHeight="1">
      <c r="A3118" s="3">
        <v>39744</v>
      </c>
      <c r="B3118" s="4" t="s">
        <v>3139</v>
      </c>
      <c r="C3118" s="3" t="s">
        <v>409</v>
      </c>
      <c r="D3118" s="5">
        <f t="shared" si="96"/>
        <v>31.74</v>
      </c>
      <c r="E3118">
        <v>34.85</v>
      </c>
      <c r="F3118" s="1789">
        <v>8.8999999999999996E-2</v>
      </c>
      <c r="G3118">
        <f t="shared" si="97"/>
        <v>31.74</v>
      </c>
    </row>
    <row r="3119" spans="1:7" ht="12.75" customHeight="1">
      <c r="A3119" s="3">
        <v>39745</v>
      </c>
      <c r="B3119" s="4" t="s">
        <v>3140</v>
      </c>
      <c r="C3119" s="3" t="s">
        <v>409</v>
      </c>
      <c r="D3119" s="5">
        <f t="shared" si="96"/>
        <v>67.010000000000005</v>
      </c>
      <c r="E3119">
        <v>73.56</v>
      </c>
      <c r="F3119" s="1789">
        <v>8.8999999999999996E-2</v>
      </c>
      <c r="G3119">
        <f t="shared" si="97"/>
        <v>67.010000000000005</v>
      </c>
    </row>
    <row r="3120" spans="1:7" ht="12.75" customHeight="1">
      <c r="A3120" s="3">
        <v>39637</v>
      </c>
      <c r="B3120" s="4" t="s">
        <v>3141</v>
      </c>
      <c r="C3120" s="3" t="s">
        <v>409</v>
      </c>
      <c r="D3120" s="5">
        <f t="shared" si="96"/>
        <v>87.82</v>
      </c>
      <c r="E3120">
        <v>96.41</v>
      </c>
      <c r="F3120" s="1789">
        <v>8.8999999999999996E-2</v>
      </c>
      <c r="G3120">
        <f t="shared" si="97"/>
        <v>87.82</v>
      </c>
    </row>
    <row r="3121" spans="1:7" ht="12.75" customHeight="1">
      <c r="A3121" s="3">
        <v>39638</v>
      </c>
      <c r="B3121" s="4" t="s">
        <v>3142</v>
      </c>
      <c r="C3121" s="3" t="s">
        <v>409</v>
      </c>
      <c r="D3121" s="5">
        <f t="shared" si="96"/>
        <v>99.38</v>
      </c>
      <c r="E3121">
        <v>109.09</v>
      </c>
      <c r="F3121" s="1789">
        <v>8.8999999999999996E-2</v>
      </c>
      <c r="G3121">
        <f t="shared" si="97"/>
        <v>99.38</v>
      </c>
    </row>
    <row r="3122" spans="1:7" ht="12.75" customHeight="1">
      <c r="A3122" s="3">
        <v>39639</v>
      </c>
      <c r="B3122" s="4" t="s">
        <v>3143</v>
      </c>
      <c r="C3122" s="3" t="s">
        <v>409</v>
      </c>
      <c r="D3122" s="5">
        <f t="shared" si="96"/>
        <v>149.94</v>
      </c>
      <c r="E3122">
        <v>164.59</v>
      </c>
      <c r="F3122" s="1789">
        <v>8.8999999999999996E-2</v>
      </c>
      <c r="G3122">
        <f t="shared" si="97"/>
        <v>149.94</v>
      </c>
    </row>
    <row r="3123" spans="1:7" ht="12.75" customHeight="1">
      <c r="A3123" s="3">
        <v>39517</v>
      </c>
      <c r="B3123" s="4" t="s">
        <v>3144</v>
      </c>
      <c r="C3123" s="3" t="s">
        <v>409</v>
      </c>
      <c r="D3123" s="5">
        <f t="shared" si="96"/>
        <v>166.89</v>
      </c>
      <c r="E3123">
        <v>183.2</v>
      </c>
      <c r="F3123" s="1789">
        <v>8.8999999999999996E-2</v>
      </c>
      <c r="G3123">
        <f t="shared" si="97"/>
        <v>166.89</v>
      </c>
    </row>
    <row r="3124" spans="1:7" ht="12.75" customHeight="1">
      <c r="A3124" s="3">
        <v>39518</v>
      </c>
      <c r="B3124" s="4" t="s">
        <v>3145</v>
      </c>
      <c r="C3124" s="3" t="s">
        <v>409</v>
      </c>
      <c r="D3124" s="5">
        <f t="shared" si="96"/>
        <v>197.86</v>
      </c>
      <c r="E3124">
        <v>217.19</v>
      </c>
      <c r="F3124" s="1789">
        <v>8.8999999999999996E-2</v>
      </c>
      <c r="G3124">
        <f t="shared" si="97"/>
        <v>197.86</v>
      </c>
    </row>
    <row r="3125" spans="1:7" ht="12.75" customHeight="1">
      <c r="A3125" s="3">
        <v>38366</v>
      </c>
      <c r="B3125" s="4" t="s">
        <v>3146</v>
      </c>
      <c r="C3125" s="3" t="s">
        <v>409</v>
      </c>
      <c r="D3125" s="5">
        <f t="shared" si="96"/>
        <v>5.74</v>
      </c>
      <c r="E3125">
        <v>6.31</v>
      </c>
      <c r="F3125" s="1789">
        <v>8.8999999999999996E-2</v>
      </c>
      <c r="G3125">
        <f t="shared" si="97"/>
        <v>5.74</v>
      </c>
    </row>
    <row r="3126" spans="1:7" ht="12.75" customHeight="1">
      <c r="A3126" s="3">
        <v>11703</v>
      </c>
      <c r="B3126" s="4" t="s">
        <v>3147</v>
      </c>
      <c r="C3126" s="3" t="s">
        <v>6</v>
      </c>
      <c r="D3126" s="5">
        <f t="shared" si="96"/>
        <v>27.42</v>
      </c>
      <c r="E3126">
        <v>30.1</v>
      </c>
      <c r="F3126" s="1789">
        <v>8.8999999999999996E-2</v>
      </c>
      <c r="G3126">
        <f t="shared" si="97"/>
        <v>27.42</v>
      </c>
    </row>
    <row r="3127" spans="1:7" ht="12.75" customHeight="1">
      <c r="A3127" s="3">
        <v>37400</v>
      </c>
      <c r="B3127" s="4" t="s">
        <v>3148</v>
      </c>
      <c r="C3127" s="3" t="s">
        <v>6</v>
      </c>
      <c r="D3127" s="5">
        <f t="shared" si="96"/>
        <v>45.51</v>
      </c>
      <c r="E3127">
        <v>49.96</v>
      </c>
      <c r="F3127" s="1789">
        <v>8.8999999999999996E-2</v>
      </c>
      <c r="G3127">
        <f t="shared" si="97"/>
        <v>45.51</v>
      </c>
    </row>
    <row r="3128" spans="1:7" ht="12.75" customHeight="1">
      <c r="A3128" s="3">
        <v>25400</v>
      </c>
      <c r="B3128" s="4" t="s">
        <v>3149</v>
      </c>
      <c r="C3128" s="3" t="s">
        <v>6</v>
      </c>
      <c r="D3128" s="5">
        <f t="shared" si="96"/>
        <v>4043.1</v>
      </c>
      <c r="E3128">
        <v>4438.1000000000004</v>
      </c>
      <c r="F3128" s="1789">
        <v>8.8999999999999996E-2</v>
      </c>
      <c r="G3128">
        <f t="shared" si="97"/>
        <v>4043.1</v>
      </c>
    </row>
    <row r="3129" spans="1:7" ht="12.75" customHeight="1">
      <c r="A3129" s="3">
        <v>4276</v>
      </c>
      <c r="B3129" s="4" t="s">
        <v>3150</v>
      </c>
      <c r="C3129" s="3" t="s">
        <v>6</v>
      </c>
      <c r="D3129" s="5">
        <f t="shared" si="96"/>
        <v>212.17</v>
      </c>
      <c r="E3129">
        <v>232.9</v>
      </c>
      <c r="F3129" s="1789">
        <v>8.8999999999999996E-2</v>
      </c>
      <c r="G3129">
        <f t="shared" si="97"/>
        <v>212.17</v>
      </c>
    </row>
    <row r="3130" spans="1:7" ht="12.75" customHeight="1">
      <c r="A3130" s="3">
        <v>4273</v>
      </c>
      <c r="B3130" s="4" t="s">
        <v>3151</v>
      </c>
      <c r="C3130" s="3" t="s">
        <v>6</v>
      </c>
      <c r="D3130" s="5">
        <f t="shared" si="96"/>
        <v>385.22</v>
      </c>
      <c r="E3130">
        <v>422.86</v>
      </c>
      <c r="F3130" s="1789">
        <v>8.8999999999999996E-2</v>
      </c>
      <c r="G3130">
        <f t="shared" si="97"/>
        <v>385.22</v>
      </c>
    </row>
    <row r="3131" spans="1:7" ht="12.75" customHeight="1">
      <c r="A3131" s="3">
        <v>4274</v>
      </c>
      <c r="B3131" s="4" t="s">
        <v>3152</v>
      </c>
      <c r="C3131" s="3" t="s">
        <v>6</v>
      </c>
      <c r="D3131" s="5">
        <f t="shared" si="96"/>
        <v>140.93</v>
      </c>
      <c r="E3131">
        <v>154.69999999999999</v>
      </c>
      <c r="F3131" s="1789">
        <v>8.8999999999999996E-2</v>
      </c>
      <c r="G3131">
        <f t="shared" si="97"/>
        <v>140.93</v>
      </c>
    </row>
    <row r="3132" spans="1:7" ht="12.75" customHeight="1">
      <c r="A3132" s="3">
        <v>39438</v>
      </c>
      <c r="B3132" s="4" t="s">
        <v>3153</v>
      </c>
      <c r="C3132" s="3" t="s">
        <v>6</v>
      </c>
      <c r="D3132" s="5">
        <f t="shared" si="96"/>
        <v>0.24</v>
      </c>
      <c r="E3132">
        <v>0.27</v>
      </c>
      <c r="F3132" s="1789">
        <v>8.8999999999999996E-2</v>
      </c>
      <c r="G3132">
        <f t="shared" si="97"/>
        <v>0.24</v>
      </c>
    </row>
    <row r="3133" spans="1:7" ht="12.75" customHeight="1">
      <c r="A3133" s="3">
        <v>4379</v>
      </c>
      <c r="B3133" s="4" t="s">
        <v>3154</v>
      </c>
      <c r="C3133" s="3" t="s">
        <v>6</v>
      </c>
      <c r="D3133" s="5">
        <f t="shared" si="96"/>
        <v>0.04</v>
      </c>
      <c r="E3133">
        <v>0.05</v>
      </c>
      <c r="F3133" s="1789">
        <v>8.8999999999999996E-2</v>
      </c>
      <c r="G3133">
        <f t="shared" si="97"/>
        <v>0.04</v>
      </c>
    </row>
    <row r="3134" spans="1:7" ht="12.75" customHeight="1">
      <c r="A3134" s="3">
        <v>4377</v>
      </c>
      <c r="B3134" s="4" t="s">
        <v>3155</v>
      </c>
      <c r="C3134" s="3" t="s">
        <v>6</v>
      </c>
      <c r="D3134" s="5">
        <f t="shared" si="96"/>
        <v>0.17</v>
      </c>
      <c r="E3134">
        <v>0.19</v>
      </c>
      <c r="F3134" s="1789">
        <v>8.8999999999999996E-2</v>
      </c>
      <c r="G3134">
        <f t="shared" si="97"/>
        <v>0.17</v>
      </c>
    </row>
    <row r="3135" spans="1:7" ht="12.75" customHeight="1">
      <c r="A3135" s="3">
        <v>4356</v>
      </c>
      <c r="B3135" s="4" t="s">
        <v>3156</v>
      </c>
      <c r="C3135" s="3" t="s">
        <v>6</v>
      </c>
      <c r="D3135" s="5">
        <f t="shared" si="96"/>
        <v>0.24</v>
      </c>
      <c r="E3135">
        <v>0.27</v>
      </c>
      <c r="F3135" s="1789">
        <v>8.8999999999999996E-2</v>
      </c>
      <c r="G3135">
        <f t="shared" si="97"/>
        <v>0.24</v>
      </c>
    </row>
    <row r="3136" spans="1:7" ht="12.75" customHeight="1">
      <c r="A3136" s="3">
        <v>13246</v>
      </c>
      <c r="B3136" s="4" t="s">
        <v>3157</v>
      </c>
      <c r="C3136" s="3" t="s">
        <v>6</v>
      </c>
      <c r="D3136" s="5">
        <f t="shared" si="96"/>
        <v>0.42</v>
      </c>
      <c r="E3136">
        <v>0.47</v>
      </c>
      <c r="F3136" s="1789">
        <v>8.8999999999999996E-2</v>
      </c>
      <c r="G3136">
        <f t="shared" si="97"/>
        <v>0.42</v>
      </c>
    </row>
    <row r="3137" spans="1:7" ht="12.75" customHeight="1">
      <c r="A3137" s="3">
        <v>13294</v>
      </c>
      <c r="B3137" s="4" t="s">
        <v>3158</v>
      </c>
      <c r="C3137" s="3" t="s">
        <v>6</v>
      </c>
      <c r="D3137" s="5">
        <f t="shared" si="96"/>
        <v>1.44</v>
      </c>
      <c r="E3137">
        <v>1.59</v>
      </c>
      <c r="F3137" s="1789">
        <v>8.8999999999999996E-2</v>
      </c>
      <c r="G3137">
        <f t="shared" si="97"/>
        <v>1.44</v>
      </c>
    </row>
    <row r="3138" spans="1:7" ht="12.75" customHeight="1">
      <c r="A3138" s="3">
        <v>11963</v>
      </c>
      <c r="B3138" s="4" t="s">
        <v>3159</v>
      </c>
      <c r="C3138" s="3" t="s">
        <v>6</v>
      </c>
      <c r="D3138" s="5">
        <f t="shared" si="96"/>
        <v>9.11</v>
      </c>
      <c r="E3138">
        <v>10.01</v>
      </c>
      <c r="F3138" s="1789">
        <v>8.8999999999999996E-2</v>
      </c>
      <c r="G3138">
        <f t="shared" si="97"/>
        <v>9.11</v>
      </c>
    </row>
    <row r="3139" spans="1:7" ht="12.75" customHeight="1">
      <c r="A3139" s="3">
        <v>11964</v>
      </c>
      <c r="B3139" s="4" t="s">
        <v>3160</v>
      </c>
      <c r="C3139" s="3" t="s">
        <v>6</v>
      </c>
      <c r="D3139" s="5">
        <f t="shared" ref="D3139:D3202" si="98">G3139</f>
        <v>2.29</v>
      </c>
      <c r="E3139">
        <v>2.52</v>
      </c>
      <c r="F3139" s="1789">
        <v>8.8999999999999996E-2</v>
      </c>
      <c r="G3139">
        <f t="shared" ref="G3139:G3202" si="99">TRUNC((1-F3139)*E3139,2)</f>
        <v>2.29</v>
      </c>
    </row>
    <row r="3140" spans="1:7" ht="12.75" customHeight="1">
      <c r="A3140" s="3">
        <v>4346</v>
      </c>
      <c r="B3140" s="4" t="s">
        <v>3161</v>
      </c>
      <c r="C3140" s="3" t="s">
        <v>6</v>
      </c>
      <c r="D3140" s="5">
        <f t="shared" si="98"/>
        <v>9.77</v>
      </c>
      <c r="E3140">
        <v>10.73</v>
      </c>
      <c r="F3140" s="1789">
        <v>8.8999999999999996E-2</v>
      </c>
      <c r="G3140">
        <f t="shared" si="99"/>
        <v>9.77</v>
      </c>
    </row>
    <row r="3141" spans="1:7" ht="12.75" customHeight="1">
      <c r="A3141" s="3">
        <v>11955</v>
      </c>
      <c r="B3141" s="4" t="s">
        <v>3162</v>
      </c>
      <c r="C3141" s="3" t="s">
        <v>6</v>
      </c>
      <c r="D3141" s="5">
        <f t="shared" si="98"/>
        <v>4.2699999999999996</v>
      </c>
      <c r="E3141">
        <v>4.6900000000000004</v>
      </c>
      <c r="F3141" s="1789">
        <v>8.8999999999999996E-2</v>
      </c>
      <c r="G3141">
        <f t="shared" si="99"/>
        <v>4.2699999999999996</v>
      </c>
    </row>
    <row r="3142" spans="1:7" ht="12.75" customHeight="1">
      <c r="A3142" s="3">
        <v>11960</v>
      </c>
      <c r="B3142" s="4" t="s">
        <v>3163</v>
      </c>
      <c r="C3142" s="3" t="s">
        <v>6</v>
      </c>
      <c r="D3142" s="5">
        <f t="shared" si="98"/>
        <v>0.13</v>
      </c>
      <c r="E3142">
        <v>0.15</v>
      </c>
      <c r="F3142" s="1789">
        <v>8.8999999999999996E-2</v>
      </c>
      <c r="G3142">
        <f t="shared" si="99"/>
        <v>0.13</v>
      </c>
    </row>
    <row r="3143" spans="1:7" ht="12.75" customHeight="1">
      <c r="A3143" s="3">
        <v>4333</v>
      </c>
      <c r="B3143" s="4" t="s">
        <v>3164</v>
      </c>
      <c r="C3143" s="3" t="s">
        <v>6</v>
      </c>
      <c r="D3143" s="5">
        <f t="shared" si="98"/>
        <v>0.24</v>
      </c>
      <c r="E3143">
        <v>0.27</v>
      </c>
      <c r="F3143" s="1789">
        <v>8.8999999999999996E-2</v>
      </c>
      <c r="G3143">
        <f t="shared" si="99"/>
        <v>0.24</v>
      </c>
    </row>
    <row r="3144" spans="1:7" ht="12.75" customHeight="1">
      <c r="A3144" s="3">
        <v>4358</v>
      </c>
      <c r="B3144" s="4" t="s">
        <v>3165</v>
      </c>
      <c r="C3144" s="3" t="s">
        <v>6</v>
      </c>
      <c r="D3144" s="5">
        <f t="shared" si="98"/>
        <v>1.95</v>
      </c>
      <c r="E3144">
        <v>2.15</v>
      </c>
      <c r="F3144" s="1789">
        <v>8.8999999999999996E-2</v>
      </c>
      <c r="G3144">
        <f t="shared" si="99"/>
        <v>1.95</v>
      </c>
    </row>
    <row r="3145" spans="1:7" ht="12.75" customHeight="1">
      <c r="A3145" s="3">
        <v>39435</v>
      </c>
      <c r="B3145" s="4" t="s">
        <v>3166</v>
      </c>
      <c r="C3145" s="3" t="s">
        <v>6</v>
      </c>
      <c r="D3145" s="5">
        <f t="shared" si="98"/>
        <v>0.1</v>
      </c>
      <c r="E3145">
        <v>0.11</v>
      </c>
      <c r="F3145" s="1789">
        <v>8.8999999999999996E-2</v>
      </c>
      <c r="G3145">
        <f t="shared" si="99"/>
        <v>0.1</v>
      </c>
    </row>
    <row r="3146" spans="1:7" ht="12.75" customHeight="1">
      <c r="A3146" s="3">
        <v>39436</v>
      </c>
      <c r="B3146" s="4" t="s">
        <v>3167</v>
      </c>
      <c r="C3146" s="3" t="s">
        <v>6</v>
      </c>
      <c r="D3146" s="5">
        <f t="shared" si="98"/>
        <v>0.16</v>
      </c>
      <c r="E3146">
        <v>0.18</v>
      </c>
      <c r="F3146" s="1789">
        <v>8.8999999999999996E-2</v>
      </c>
      <c r="G3146">
        <f t="shared" si="99"/>
        <v>0.16</v>
      </c>
    </row>
    <row r="3147" spans="1:7" ht="12.75" customHeight="1">
      <c r="A3147" s="3">
        <v>39437</v>
      </c>
      <c r="B3147" s="4" t="s">
        <v>3168</v>
      </c>
      <c r="C3147" s="3" t="s">
        <v>6</v>
      </c>
      <c r="D3147" s="5">
        <f t="shared" si="98"/>
        <v>0.21</v>
      </c>
      <c r="E3147">
        <v>0.24</v>
      </c>
      <c r="F3147" s="1789">
        <v>8.8999999999999996E-2</v>
      </c>
      <c r="G3147">
        <f t="shared" si="99"/>
        <v>0.21</v>
      </c>
    </row>
    <row r="3148" spans="1:7" ht="12.75" customHeight="1">
      <c r="A3148" s="3">
        <v>39439</v>
      </c>
      <c r="B3148" s="4" t="s">
        <v>3169</v>
      </c>
      <c r="C3148" s="3" t="s">
        <v>6</v>
      </c>
      <c r="D3148" s="5">
        <f t="shared" si="98"/>
        <v>0.14000000000000001</v>
      </c>
      <c r="E3148">
        <v>0.16</v>
      </c>
      <c r="F3148" s="1789">
        <v>8.8999999999999996E-2</v>
      </c>
      <c r="G3148">
        <f t="shared" si="99"/>
        <v>0.14000000000000001</v>
      </c>
    </row>
    <row r="3149" spans="1:7" ht="12.75" customHeight="1">
      <c r="A3149" s="3">
        <v>39440</v>
      </c>
      <c r="B3149" s="4" t="s">
        <v>3170</v>
      </c>
      <c r="C3149" s="3" t="s">
        <v>6</v>
      </c>
      <c r="D3149" s="5">
        <f t="shared" si="98"/>
        <v>0.19</v>
      </c>
      <c r="E3149">
        <v>0.21</v>
      </c>
      <c r="F3149" s="1789">
        <v>8.8999999999999996E-2</v>
      </c>
      <c r="G3149">
        <f t="shared" si="99"/>
        <v>0.19</v>
      </c>
    </row>
    <row r="3150" spans="1:7" ht="12.75" customHeight="1">
      <c r="A3150" s="3">
        <v>39441</v>
      </c>
      <c r="B3150" s="4" t="s">
        <v>3171</v>
      </c>
      <c r="C3150" s="3" t="s">
        <v>6</v>
      </c>
      <c r="D3150" s="5">
        <f t="shared" si="98"/>
        <v>0.24</v>
      </c>
      <c r="E3150">
        <v>0.27</v>
      </c>
      <c r="F3150" s="1789">
        <v>8.8999999999999996E-2</v>
      </c>
      <c r="G3150">
        <f t="shared" si="99"/>
        <v>0.24</v>
      </c>
    </row>
    <row r="3151" spans="1:7" ht="12.75" customHeight="1">
      <c r="A3151" s="3">
        <v>39442</v>
      </c>
      <c r="B3151" s="4" t="s">
        <v>3172</v>
      </c>
      <c r="C3151" s="3" t="s">
        <v>6</v>
      </c>
      <c r="D3151" s="5">
        <f t="shared" si="98"/>
        <v>0.17</v>
      </c>
      <c r="E3151">
        <v>0.19</v>
      </c>
      <c r="F3151" s="1789">
        <v>8.8999999999999996E-2</v>
      </c>
      <c r="G3151">
        <f t="shared" si="99"/>
        <v>0.17</v>
      </c>
    </row>
    <row r="3152" spans="1:7" ht="12.75" customHeight="1">
      <c r="A3152" s="3">
        <v>39443</v>
      </c>
      <c r="B3152" s="4" t="s">
        <v>3173</v>
      </c>
      <c r="C3152" s="3" t="s">
        <v>6</v>
      </c>
      <c r="D3152" s="5">
        <f t="shared" si="98"/>
        <v>0.22</v>
      </c>
      <c r="E3152">
        <v>0.25</v>
      </c>
      <c r="F3152" s="1789">
        <v>8.8999999999999996E-2</v>
      </c>
      <c r="G3152">
        <f t="shared" si="99"/>
        <v>0.22</v>
      </c>
    </row>
    <row r="3153" spans="1:7" ht="12.75" customHeight="1">
      <c r="A3153" s="3">
        <v>4329</v>
      </c>
      <c r="B3153" s="4" t="s">
        <v>3174</v>
      </c>
      <c r="C3153" s="3" t="s">
        <v>6</v>
      </c>
      <c r="D3153" s="5">
        <f t="shared" si="98"/>
        <v>2.08</v>
      </c>
      <c r="E3153">
        <v>2.29</v>
      </c>
      <c r="F3153" s="1789">
        <v>8.8999999999999996E-2</v>
      </c>
      <c r="G3153">
        <f t="shared" si="99"/>
        <v>2.08</v>
      </c>
    </row>
    <row r="3154" spans="1:7" ht="12.75" customHeight="1">
      <c r="A3154" s="3">
        <v>4383</v>
      </c>
      <c r="B3154" s="4" t="s">
        <v>3175</v>
      </c>
      <c r="C3154" s="3" t="s">
        <v>6</v>
      </c>
      <c r="D3154" s="5">
        <f t="shared" si="98"/>
        <v>18.850000000000001</v>
      </c>
      <c r="E3154">
        <v>20.7</v>
      </c>
      <c r="F3154" s="1789">
        <v>8.8999999999999996E-2</v>
      </c>
      <c r="G3154">
        <f t="shared" si="99"/>
        <v>18.850000000000001</v>
      </c>
    </row>
    <row r="3155" spans="1:7" ht="12.75" customHeight="1">
      <c r="A3155" s="3">
        <v>4344</v>
      </c>
      <c r="B3155" s="4" t="s">
        <v>3176</v>
      </c>
      <c r="C3155" s="3" t="s">
        <v>6</v>
      </c>
      <c r="D3155" s="5">
        <f t="shared" si="98"/>
        <v>19.760000000000002</v>
      </c>
      <c r="E3155">
        <v>21.7</v>
      </c>
      <c r="F3155" s="1789">
        <v>8.8999999999999996E-2</v>
      </c>
      <c r="G3155">
        <f t="shared" si="99"/>
        <v>19.760000000000002</v>
      </c>
    </row>
    <row r="3156" spans="1:7" ht="12.75" customHeight="1">
      <c r="A3156" s="3">
        <v>436</v>
      </c>
      <c r="B3156" s="4" t="s">
        <v>3177</v>
      </c>
      <c r="C3156" s="3" t="s">
        <v>6</v>
      </c>
      <c r="D3156" s="5">
        <f t="shared" si="98"/>
        <v>11.05</v>
      </c>
      <c r="E3156">
        <v>12.13</v>
      </c>
      <c r="F3156" s="1789">
        <v>8.8999999999999996E-2</v>
      </c>
      <c r="G3156">
        <f t="shared" si="99"/>
        <v>11.05</v>
      </c>
    </row>
    <row r="3157" spans="1:7" ht="12.75" customHeight="1">
      <c r="A3157" s="3">
        <v>442</v>
      </c>
      <c r="B3157" s="4" t="s">
        <v>3178</v>
      </c>
      <c r="C3157" s="3" t="s">
        <v>6</v>
      </c>
      <c r="D3157" s="5">
        <f t="shared" si="98"/>
        <v>6.53</v>
      </c>
      <c r="E3157">
        <v>7.17</v>
      </c>
      <c r="F3157" s="1789">
        <v>8.8999999999999996E-2</v>
      </c>
      <c r="G3157">
        <f t="shared" si="99"/>
        <v>6.53</v>
      </c>
    </row>
    <row r="3158" spans="1:7" ht="12.75" customHeight="1">
      <c r="A3158" s="3">
        <v>4335</v>
      </c>
      <c r="B3158" s="4" t="s">
        <v>3179</v>
      </c>
      <c r="C3158" s="3" t="s">
        <v>6</v>
      </c>
      <c r="D3158" s="5">
        <f t="shared" si="98"/>
        <v>13.27</v>
      </c>
      <c r="E3158">
        <v>14.57</v>
      </c>
      <c r="F3158" s="1789">
        <v>8.8999999999999996E-2</v>
      </c>
      <c r="G3158">
        <f t="shared" si="99"/>
        <v>13.27</v>
      </c>
    </row>
    <row r="3159" spans="1:7" ht="12.75" customHeight="1">
      <c r="A3159" s="3">
        <v>4334</v>
      </c>
      <c r="B3159" s="4" t="s">
        <v>3180</v>
      </c>
      <c r="C3159" s="3" t="s">
        <v>6</v>
      </c>
      <c r="D3159" s="5">
        <f t="shared" si="98"/>
        <v>18.21</v>
      </c>
      <c r="E3159">
        <v>19.989999999999998</v>
      </c>
      <c r="F3159" s="1789">
        <v>8.8999999999999996E-2</v>
      </c>
      <c r="G3159">
        <f t="shared" si="99"/>
        <v>18.21</v>
      </c>
    </row>
    <row r="3160" spans="1:7" ht="12.75" customHeight="1">
      <c r="A3160" s="3">
        <v>11953</v>
      </c>
      <c r="B3160" s="4" t="s">
        <v>3181</v>
      </c>
      <c r="C3160" s="3" t="s">
        <v>6</v>
      </c>
      <c r="D3160" s="5">
        <f t="shared" si="98"/>
        <v>3.13</v>
      </c>
      <c r="E3160">
        <v>3.44</v>
      </c>
      <c r="F3160" s="1789">
        <v>8.8999999999999996E-2</v>
      </c>
      <c r="G3160">
        <f t="shared" si="99"/>
        <v>3.13</v>
      </c>
    </row>
    <row r="3161" spans="1:7" ht="12.75" customHeight="1">
      <c r="A3161" s="3">
        <v>4343</v>
      </c>
      <c r="B3161" s="4" t="s">
        <v>3182</v>
      </c>
      <c r="C3161" s="3" t="s">
        <v>6</v>
      </c>
      <c r="D3161" s="5">
        <f t="shared" si="98"/>
        <v>4.47</v>
      </c>
      <c r="E3161">
        <v>4.91</v>
      </c>
      <c r="F3161" s="1789">
        <v>8.8999999999999996E-2</v>
      </c>
      <c r="G3161">
        <f t="shared" si="99"/>
        <v>4.47</v>
      </c>
    </row>
    <row r="3162" spans="1:7" ht="12.75" customHeight="1">
      <c r="A3162" s="3">
        <v>430</v>
      </c>
      <c r="B3162" s="4" t="s">
        <v>3183</v>
      </c>
      <c r="C3162" s="3" t="s">
        <v>6</v>
      </c>
      <c r="D3162" s="5">
        <f t="shared" si="98"/>
        <v>9.8800000000000008</v>
      </c>
      <c r="E3162">
        <v>10.85</v>
      </c>
      <c r="F3162" s="1789">
        <v>8.8999999999999996E-2</v>
      </c>
      <c r="G3162">
        <f t="shared" si="99"/>
        <v>9.8800000000000008</v>
      </c>
    </row>
    <row r="3163" spans="1:7" ht="12.75" customHeight="1">
      <c r="A3163" s="3">
        <v>441</v>
      </c>
      <c r="B3163" s="4" t="s">
        <v>3184</v>
      </c>
      <c r="C3163" s="3" t="s">
        <v>6</v>
      </c>
      <c r="D3163" s="5">
        <f t="shared" si="98"/>
        <v>10.87</v>
      </c>
      <c r="E3163">
        <v>11.94</v>
      </c>
      <c r="F3163" s="1789">
        <v>8.8999999999999996E-2</v>
      </c>
      <c r="G3163">
        <f t="shared" si="99"/>
        <v>10.87</v>
      </c>
    </row>
    <row r="3164" spans="1:7" ht="12.75" customHeight="1">
      <c r="A3164" s="3">
        <v>431</v>
      </c>
      <c r="B3164" s="4" t="s">
        <v>3185</v>
      </c>
      <c r="C3164" s="3" t="s">
        <v>6</v>
      </c>
      <c r="D3164" s="5">
        <f t="shared" si="98"/>
        <v>13.13</v>
      </c>
      <c r="E3164">
        <v>14.42</v>
      </c>
      <c r="F3164" s="1789">
        <v>8.8999999999999996E-2</v>
      </c>
      <c r="G3164">
        <f t="shared" si="99"/>
        <v>13.13</v>
      </c>
    </row>
    <row r="3165" spans="1:7" ht="12.75" customHeight="1">
      <c r="A3165" s="3">
        <v>432</v>
      </c>
      <c r="B3165" s="4" t="s">
        <v>3186</v>
      </c>
      <c r="C3165" s="3" t="s">
        <v>6</v>
      </c>
      <c r="D3165" s="5">
        <f t="shared" si="98"/>
        <v>14.49</v>
      </c>
      <c r="E3165">
        <v>15.91</v>
      </c>
      <c r="F3165" s="1789">
        <v>8.8999999999999996E-2</v>
      </c>
      <c r="G3165">
        <f t="shared" si="99"/>
        <v>14.49</v>
      </c>
    </row>
    <row r="3166" spans="1:7" ht="12.75" customHeight="1">
      <c r="A3166" s="3">
        <v>429</v>
      </c>
      <c r="B3166" s="4" t="s">
        <v>3187</v>
      </c>
      <c r="C3166" s="3" t="s">
        <v>6</v>
      </c>
      <c r="D3166" s="5">
        <f t="shared" si="98"/>
        <v>19.54</v>
      </c>
      <c r="E3166">
        <v>21.45</v>
      </c>
      <c r="F3166" s="1789">
        <v>8.8999999999999996E-2</v>
      </c>
      <c r="G3166">
        <f t="shared" si="99"/>
        <v>19.54</v>
      </c>
    </row>
    <row r="3167" spans="1:7" ht="12.75" customHeight="1">
      <c r="A3167" s="3">
        <v>439</v>
      </c>
      <c r="B3167" s="4" t="s">
        <v>3188</v>
      </c>
      <c r="C3167" s="3" t="s">
        <v>6</v>
      </c>
      <c r="D3167" s="5">
        <f t="shared" si="98"/>
        <v>16.649999999999999</v>
      </c>
      <c r="E3167">
        <v>18.28</v>
      </c>
      <c r="F3167" s="1789">
        <v>8.8999999999999996E-2</v>
      </c>
      <c r="G3167">
        <f t="shared" si="99"/>
        <v>16.649999999999999</v>
      </c>
    </row>
    <row r="3168" spans="1:7" ht="12.75" customHeight="1">
      <c r="A3168" s="3">
        <v>433</v>
      </c>
      <c r="B3168" s="4" t="s">
        <v>3189</v>
      </c>
      <c r="C3168" s="3" t="s">
        <v>6</v>
      </c>
      <c r="D3168" s="5">
        <f t="shared" si="98"/>
        <v>19.440000000000001</v>
      </c>
      <c r="E3168">
        <v>21.34</v>
      </c>
      <c r="F3168" s="1789">
        <v>8.8999999999999996E-2</v>
      </c>
      <c r="G3168">
        <f t="shared" si="99"/>
        <v>19.440000000000001</v>
      </c>
    </row>
    <row r="3169" spans="1:7" ht="12.75" customHeight="1">
      <c r="A3169" s="3">
        <v>437</v>
      </c>
      <c r="B3169" s="4" t="s">
        <v>3190</v>
      </c>
      <c r="C3169" s="3" t="s">
        <v>6</v>
      </c>
      <c r="D3169" s="5">
        <f t="shared" si="98"/>
        <v>25.82</v>
      </c>
      <c r="E3169">
        <v>28.35</v>
      </c>
      <c r="F3169" s="1789">
        <v>8.8999999999999996E-2</v>
      </c>
      <c r="G3169">
        <f t="shared" si="99"/>
        <v>25.82</v>
      </c>
    </row>
    <row r="3170" spans="1:7" ht="12.75" customHeight="1">
      <c r="A3170" s="3">
        <v>11790</v>
      </c>
      <c r="B3170" s="4" t="s">
        <v>3191</v>
      </c>
      <c r="C3170" s="3" t="s">
        <v>6</v>
      </c>
      <c r="D3170" s="5">
        <f t="shared" si="98"/>
        <v>29.29</v>
      </c>
      <c r="E3170">
        <v>32.159999999999997</v>
      </c>
      <c r="F3170" s="1789">
        <v>8.8999999999999996E-2</v>
      </c>
      <c r="G3170">
        <f t="shared" si="99"/>
        <v>29.29</v>
      </c>
    </row>
    <row r="3171" spans="1:7" ht="12.75" customHeight="1">
      <c r="A3171" s="3">
        <v>428</v>
      </c>
      <c r="B3171" s="4" t="s">
        <v>3192</v>
      </c>
      <c r="C3171" s="3" t="s">
        <v>6</v>
      </c>
      <c r="D3171" s="5">
        <f t="shared" si="98"/>
        <v>31.85</v>
      </c>
      <c r="E3171">
        <v>34.97</v>
      </c>
      <c r="F3171" s="1789">
        <v>8.8999999999999996E-2</v>
      </c>
      <c r="G3171">
        <f t="shared" si="99"/>
        <v>31.85</v>
      </c>
    </row>
    <row r="3172" spans="1:7" ht="12.75" customHeight="1">
      <c r="A3172" s="3">
        <v>4384</v>
      </c>
      <c r="B3172" s="4" t="s">
        <v>3193</v>
      </c>
      <c r="C3172" s="3" t="s">
        <v>6</v>
      </c>
      <c r="D3172" s="5">
        <f t="shared" si="98"/>
        <v>21.67</v>
      </c>
      <c r="E3172">
        <v>23.79</v>
      </c>
      <c r="F3172" s="1789">
        <v>8.8999999999999996E-2</v>
      </c>
      <c r="G3172">
        <f t="shared" si="99"/>
        <v>21.67</v>
      </c>
    </row>
    <row r="3173" spans="1:7" ht="12.75" customHeight="1">
      <c r="A3173" s="3">
        <v>4351</v>
      </c>
      <c r="B3173" s="4" t="s">
        <v>3194</v>
      </c>
      <c r="C3173" s="3" t="s">
        <v>6</v>
      </c>
      <c r="D3173" s="5">
        <f t="shared" si="98"/>
        <v>16.07</v>
      </c>
      <c r="E3173">
        <v>17.64</v>
      </c>
      <c r="F3173" s="1789">
        <v>8.8999999999999996E-2</v>
      </c>
      <c r="G3173">
        <f t="shared" si="99"/>
        <v>16.07</v>
      </c>
    </row>
    <row r="3174" spans="1:7" ht="12.75" customHeight="1">
      <c r="A3174" s="3">
        <v>11054</v>
      </c>
      <c r="B3174" s="4" t="s">
        <v>3195</v>
      </c>
      <c r="C3174" s="3" t="s">
        <v>6</v>
      </c>
      <c r="D3174" s="5">
        <f t="shared" si="98"/>
        <v>0.03</v>
      </c>
      <c r="E3174">
        <v>0.04</v>
      </c>
      <c r="F3174" s="1789">
        <v>8.8999999999999996E-2</v>
      </c>
      <c r="G3174">
        <f t="shared" si="99"/>
        <v>0.03</v>
      </c>
    </row>
    <row r="3175" spans="1:7" ht="12.75" customHeight="1">
      <c r="A3175" s="3">
        <v>11055</v>
      </c>
      <c r="B3175" s="4" t="s">
        <v>3196</v>
      </c>
      <c r="C3175" s="3" t="s">
        <v>6</v>
      </c>
      <c r="D3175" s="5">
        <f t="shared" si="98"/>
        <v>7.0000000000000007E-2</v>
      </c>
      <c r="E3175">
        <v>0.08</v>
      </c>
      <c r="F3175" s="1789">
        <v>8.8999999999999996E-2</v>
      </c>
      <c r="G3175">
        <f t="shared" si="99"/>
        <v>7.0000000000000007E-2</v>
      </c>
    </row>
    <row r="3176" spans="1:7" ht="12.75" customHeight="1">
      <c r="A3176" s="3">
        <v>11056</v>
      </c>
      <c r="B3176" s="4" t="s">
        <v>3197</v>
      </c>
      <c r="C3176" s="3" t="s">
        <v>6</v>
      </c>
      <c r="D3176" s="5">
        <f t="shared" si="98"/>
        <v>7.0000000000000007E-2</v>
      </c>
      <c r="E3176">
        <v>0.08</v>
      </c>
      <c r="F3176" s="1789">
        <v>8.8999999999999996E-2</v>
      </c>
      <c r="G3176">
        <f t="shared" si="99"/>
        <v>7.0000000000000007E-2</v>
      </c>
    </row>
    <row r="3177" spans="1:7" ht="12.75" customHeight="1">
      <c r="A3177" s="3">
        <v>11057</v>
      </c>
      <c r="B3177" s="4" t="s">
        <v>3198</v>
      </c>
      <c r="C3177" s="3" t="s">
        <v>6</v>
      </c>
      <c r="D3177" s="5">
        <f t="shared" si="98"/>
        <v>0.15</v>
      </c>
      <c r="E3177">
        <v>0.17</v>
      </c>
      <c r="F3177" s="1789">
        <v>8.8999999999999996E-2</v>
      </c>
      <c r="G3177">
        <f t="shared" si="99"/>
        <v>0.15</v>
      </c>
    </row>
    <row r="3178" spans="1:7" ht="12.75" customHeight="1">
      <c r="A3178" s="3">
        <v>11059</v>
      </c>
      <c r="B3178" s="4" t="s">
        <v>3199</v>
      </c>
      <c r="C3178" s="3" t="s">
        <v>6</v>
      </c>
      <c r="D3178" s="5">
        <f t="shared" si="98"/>
        <v>0.3</v>
      </c>
      <c r="E3178">
        <v>0.34</v>
      </c>
      <c r="F3178" s="1789">
        <v>8.8999999999999996E-2</v>
      </c>
      <c r="G3178">
        <f t="shared" si="99"/>
        <v>0.3</v>
      </c>
    </row>
    <row r="3179" spans="1:7" ht="12.75" customHeight="1">
      <c r="A3179" s="3">
        <v>11058</v>
      </c>
      <c r="B3179" s="4" t="s">
        <v>3200</v>
      </c>
      <c r="C3179" s="3" t="s">
        <v>6</v>
      </c>
      <c r="D3179" s="5">
        <f t="shared" si="98"/>
        <v>0.4</v>
      </c>
      <c r="E3179">
        <v>0.44</v>
      </c>
      <c r="F3179" s="1789">
        <v>8.8999999999999996E-2</v>
      </c>
      <c r="G3179">
        <f t="shared" si="99"/>
        <v>0.4</v>
      </c>
    </row>
    <row r="3180" spans="1:7" ht="12.75" customHeight="1">
      <c r="A3180" s="3">
        <v>4380</v>
      </c>
      <c r="B3180" s="4" t="s">
        <v>3201</v>
      </c>
      <c r="C3180" s="3" t="s">
        <v>6</v>
      </c>
      <c r="D3180" s="5">
        <f t="shared" si="98"/>
        <v>1.33</v>
      </c>
      <c r="E3180">
        <v>1.47</v>
      </c>
      <c r="F3180" s="1789">
        <v>8.8999999999999996E-2</v>
      </c>
      <c r="G3180">
        <f t="shared" si="99"/>
        <v>1.33</v>
      </c>
    </row>
    <row r="3181" spans="1:7" ht="12.75" customHeight="1">
      <c r="A3181" s="3">
        <v>4299</v>
      </c>
      <c r="B3181" s="4" t="s">
        <v>3202</v>
      </c>
      <c r="C3181" s="3" t="s">
        <v>6</v>
      </c>
      <c r="D3181" s="5">
        <f t="shared" si="98"/>
        <v>1.26</v>
      </c>
      <c r="E3181">
        <v>1.39</v>
      </c>
      <c r="F3181" s="1789">
        <v>8.8999999999999996E-2</v>
      </c>
      <c r="G3181">
        <f t="shared" si="99"/>
        <v>1.26</v>
      </c>
    </row>
    <row r="3182" spans="1:7" ht="12.75" customHeight="1">
      <c r="A3182" s="3">
        <v>4304</v>
      </c>
      <c r="B3182" s="4" t="s">
        <v>3203</v>
      </c>
      <c r="C3182" s="3" t="s">
        <v>6</v>
      </c>
      <c r="D3182" s="5">
        <f t="shared" si="98"/>
        <v>1.72</v>
      </c>
      <c r="E3182">
        <v>1.89</v>
      </c>
      <c r="F3182" s="1789">
        <v>8.8999999999999996E-2</v>
      </c>
      <c r="G3182">
        <f t="shared" si="99"/>
        <v>1.72</v>
      </c>
    </row>
    <row r="3183" spans="1:7" ht="12.75" customHeight="1">
      <c r="A3183" s="3">
        <v>4305</v>
      </c>
      <c r="B3183" s="4" t="s">
        <v>3204</v>
      </c>
      <c r="C3183" s="3" t="s">
        <v>6</v>
      </c>
      <c r="D3183" s="5">
        <f t="shared" si="98"/>
        <v>2</v>
      </c>
      <c r="E3183">
        <v>2.2000000000000002</v>
      </c>
      <c r="F3183" s="1789">
        <v>8.8999999999999996E-2</v>
      </c>
      <c r="G3183">
        <f t="shared" si="99"/>
        <v>2</v>
      </c>
    </row>
    <row r="3184" spans="1:7" ht="12.75" customHeight="1">
      <c r="A3184" s="3">
        <v>4306</v>
      </c>
      <c r="B3184" s="4" t="s">
        <v>3205</v>
      </c>
      <c r="C3184" s="3" t="s">
        <v>6</v>
      </c>
      <c r="D3184" s="5">
        <f t="shared" si="98"/>
        <v>2.3199999999999998</v>
      </c>
      <c r="E3184">
        <v>2.5499999999999998</v>
      </c>
      <c r="F3184" s="1789">
        <v>8.8999999999999996E-2</v>
      </c>
      <c r="G3184">
        <f t="shared" si="99"/>
        <v>2.3199999999999998</v>
      </c>
    </row>
    <row r="3185" spans="1:7" ht="12.75" customHeight="1">
      <c r="A3185" s="3">
        <v>4308</v>
      </c>
      <c r="B3185" s="4" t="s">
        <v>3206</v>
      </c>
      <c r="C3185" s="3" t="s">
        <v>6</v>
      </c>
      <c r="D3185" s="5">
        <f t="shared" si="98"/>
        <v>4.8099999999999996</v>
      </c>
      <c r="E3185">
        <v>5.29</v>
      </c>
      <c r="F3185" s="1789">
        <v>8.8999999999999996E-2</v>
      </c>
      <c r="G3185">
        <f t="shared" si="99"/>
        <v>4.8099999999999996</v>
      </c>
    </row>
    <row r="3186" spans="1:7" ht="12.75" customHeight="1">
      <c r="A3186" s="3">
        <v>4302</v>
      </c>
      <c r="B3186" s="4" t="s">
        <v>3207</v>
      </c>
      <c r="C3186" s="3" t="s">
        <v>6</v>
      </c>
      <c r="D3186" s="5">
        <f t="shared" si="98"/>
        <v>3.61</v>
      </c>
      <c r="E3186">
        <v>3.97</v>
      </c>
      <c r="F3186" s="1789">
        <v>8.8999999999999996E-2</v>
      </c>
      <c r="G3186">
        <f t="shared" si="99"/>
        <v>3.61</v>
      </c>
    </row>
    <row r="3187" spans="1:7" ht="12.75" customHeight="1">
      <c r="A3187" s="3">
        <v>4300</v>
      </c>
      <c r="B3187" s="4" t="s">
        <v>3208</v>
      </c>
      <c r="C3187" s="3" t="s">
        <v>6</v>
      </c>
      <c r="D3187" s="5">
        <f t="shared" si="98"/>
        <v>0.85</v>
      </c>
      <c r="E3187">
        <v>0.94</v>
      </c>
      <c r="F3187" s="1789">
        <v>8.8999999999999996E-2</v>
      </c>
      <c r="G3187">
        <f t="shared" si="99"/>
        <v>0.85</v>
      </c>
    </row>
    <row r="3188" spans="1:7" ht="12.75" customHeight="1">
      <c r="A3188" s="3">
        <v>4301</v>
      </c>
      <c r="B3188" s="4" t="s">
        <v>3209</v>
      </c>
      <c r="C3188" s="3" t="s">
        <v>6</v>
      </c>
      <c r="D3188" s="5">
        <f t="shared" si="98"/>
        <v>1.04</v>
      </c>
      <c r="E3188">
        <v>1.1499999999999999</v>
      </c>
      <c r="F3188" s="1789">
        <v>8.8999999999999996E-2</v>
      </c>
      <c r="G3188">
        <f t="shared" si="99"/>
        <v>1.04</v>
      </c>
    </row>
    <row r="3189" spans="1:7" ht="12.75" customHeight="1">
      <c r="A3189" s="3">
        <v>4320</v>
      </c>
      <c r="B3189" s="4" t="s">
        <v>3210</v>
      </c>
      <c r="C3189" s="3" t="s">
        <v>6</v>
      </c>
      <c r="D3189" s="5">
        <f t="shared" si="98"/>
        <v>3.18</v>
      </c>
      <c r="E3189">
        <v>3.5</v>
      </c>
      <c r="F3189" s="1789">
        <v>8.8999999999999996E-2</v>
      </c>
      <c r="G3189">
        <f t="shared" si="99"/>
        <v>3.18</v>
      </c>
    </row>
    <row r="3190" spans="1:7" ht="12.75" customHeight="1">
      <c r="A3190" s="3">
        <v>4318</v>
      </c>
      <c r="B3190" s="4" t="s">
        <v>3211</v>
      </c>
      <c r="C3190" s="3" t="s">
        <v>6</v>
      </c>
      <c r="D3190" s="5">
        <f t="shared" si="98"/>
        <v>1.54</v>
      </c>
      <c r="E3190">
        <v>1.7</v>
      </c>
      <c r="F3190" s="1789">
        <v>8.8999999999999996E-2</v>
      </c>
      <c r="G3190">
        <f t="shared" si="99"/>
        <v>1.54</v>
      </c>
    </row>
    <row r="3191" spans="1:7" ht="12.75" customHeight="1">
      <c r="A3191" s="3">
        <v>40547</v>
      </c>
      <c r="B3191" s="4" t="s">
        <v>3212</v>
      </c>
      <c r="C3191" s="3" t="s">
        <v>2057</v>
      </c>
      <c r="D3191" s="5">
        <f t="shared" si="98"/>
        <v>26.33</v>
      </c>
      <c r="E3191">
        <v>28.91</v>
      </c>
      <c r="F3191" s="1789">
        <v>8.8999999999999996E-2</v>
      </c>
      <c r="G3191">
        <f t="shared" si="99"/>
        <v>26.33</v>
      </c>
    </row>
    <row r="3192" spans="1:7" ht="12.75" customHeight="1">
      <c r="A3192" s="3">
        <v>11962</v>
      </c>
      <c r="B3192" s="4" t="s">
        <v>3213</v>
      </c>
      <c r="C3192" s="3" t="s">
        <v>6</v>
      </c>
      <c r="D3192" s="5">
        <f t="shared" si="98"/>
        <v>0.2</v>
      </c>
      <c r="E3192">
        <v>0.23</v>
      </c>
      <c r="F3192" s="1789">
        <v>8.8999999999999996E-2</v>
      </c>
      <c r="G3192">
        <f t="shared" si="99"/>
        <v>0.2</v>
      </c>
    </row>
    <row r="3193" spans="1:7" ht="12.75" customHeight="1">
      <c r="A3193" s="3">
        <v>4332</v>
      </c>
      <c r="B3193" s="4" t="s">
        <v>3214</v>
      </c>
      <c r="C3193" s="3" t="s">
        <v>6</v>
      </c>
      <c r="D3193" s="5">
        <f t="shared" si="98"/>
        <v>1.04</v>
      </c>
      <c r="E3193">
        <v>1.1499999999999999</v>
      </c>
      <c r="F3193" s="1789">
        <v>8.8999999999999996E-2</v>
      </c>
      <c r="G3193">
        <f t="shared" si="99"/>
        <v>1.04</v>
      </c>
    </row>
    <row r="3194" spans="1:7" ht="12.75" customHeight="1">
      <c r="A3194" s="3">
        <v>4331</v>
      </c>
      <c r="B3194" s="4" t="s">
        <v>3215</v>
      </c>
      <c r="C3194" s="3" t="s">
        <v>6</v>
      </c>
      <c r="D3194" s="5">
        <f t="shared" si="98"/>
        <v>3.95</v>
      </c>
      <c r="E3194">
        <v>4.34</v>
      </c>
      <c r="F3194" s="1789">
        <v>8.8999999999999996E-2</v>
      </c>
      <c r="G3194">
        <f t="shared" si="99"/>
        <v>3.95</v>
      </c>
    </row>
    <row r="3195" spans="1:7" ht="12.75" customHeight="1">
      <c r="A3195" s="3">
        <v>4336</v>
      </c>
      <c r="B3195" s="4" t="s">
        <v>3216</v>
      </c>
      <c r="C3195" s="3" t="s">
        <v>6</v>
      </c>
      <c r="D3195" s="5">
        <f t="shared" si="98"/>
        <v>5.05</v>
      </c>
      <c r="E3195">
        <v>5.55</v>
      </c>
      <c r="F3195" s="1789">
        <v>8.8999999999999996E-2</v>
      </c>
      <c r="G3195">
        <f t="shared" si="99"/>
        <v>5.05</v>
      </c>
    </row>
    <row r="3196" spans="1:7" ht="12.75" customHeight="1">
      <c r="A3196" s="3">
        <v>11948</v>
      </c>
      <c r="B3196" s="4" t="s">
        <v>3217</v>
      </c>
      <c r="C3196" s="3" t="s">
        <v>6</v>
      </c>
      <c r="D3196" s="5">
        <f t="shared" si="98"/>
        <v>0.64</v>
      </c>
      <c r="E3196">
        <v>0.71</v>
      </c>
      <c r="F3196" s="1789">
        <v>8.8999999999999996E-2</v>
      </c>
      <c r="G3196">
        <f t="shared" si="99"/>
        <v>0.64</v>
      </c>
    </row>
    <row r="3197" spans="1:7" ht="12.75" customHeight="1">
      <c r="A3197" s="3">
        <v>4382</v>
      </c>
      <c r="B3197" s="4" t="s">
        <v>3218</v>
      </c>
      <c r="C3197" s="3" t="s">
        <v>6</v>
      </c>
      <c r="D3197" s="5">
        <f t="shared" si="98"/>
        <v>1.08</v>
      </c>
      <c r="E3197">
        <v>1.19</v>
      </c>
      <c r="F3197" s="1789">
        <v>8.8999999999999996E-2</v>
      </c>
      <c r="G3197">
        <f t="shared" si="99"/>
        <v>1.08</v>
      </c>
    </row>
    <row r="3198" spans="1:7" ht="12.75" customHeight="1">
      <c r="A3198" s="3">
        <v>4354</v>
      </c>
      <c r="B3198" s="4" t="s">
        <v>3219</v>
      </c>
      <c r="C3198" s="3" t="s">
        <v>6</v>
      </c>
      <c r="D3198" s="5">
        <f t="shared" si="98"/>
        <v>45.34</v>
      </c>
      <c r="E3198">
        <v>49.78</v>
      </c>
      <c r="F3198" s="1789">
        <v>8.8999999999999996E-2</v>
      </c>
      <c r="G3198">
        <f t="shared" si="99"/>
        <v>45.34</v>
      </c>
    </row>
    <row r="3199" spans="1:7" ht="12.75" customHeight="1">
      <c r="A3199" s="3">
        <v>40839</v>
      </c>
      <c r="B3199" s="4" t="s">
        <v>3220</v>
      </c>
      <c r="C3199" s="3" t="s">
        <v>2057</v>
      </c>
      <c r="D3199" s="5">
        <f t="shared" si="98"/>
        <v>109.11</v>
      </c>
      <c r="E3199">
        <v>119.78</v>
      </c>
      <c r="F3199" s="1789">
        <v>8.8999999999999996E-2</v>
      </c>
      <c r="G3199">
        <f t="shared" si="99"/>
        <v>109.11</v>
      </c>
    </row>
    <row r="3200" spans="1:7" ht="12.75" customHeight="1">
      <c r="A3200" s="3">
        <v>40552</v>
      </c>
      <c r="B3200" s="4" t="s">
        <v>3221</v>
      </c>
      <c r="C3200" s="3" t="s">
        <v>2057</v>
      </c>
      <c r="D3200" s="5">
        <f t="shared" si="98"/>
        <v>45.14</v>
      </c>
      <c r="E3200">
        <v>49.56</v>
      </c>
      <c r="F3200" s="1789">
        <v>8.8999999999999996E-2</v>
      </c>
      <c r="G3200">
        <f t="shared" si="99"/>
        <v>45.14</v>
      </c>
    </row>
    <row r="3201" spans="1:7" ht="12.75" customHeight="1">
      <c r="A3201" s="3">
        <v>40549</v>
      </c>
      <c r="B3201" s="4" t="s">
        <v>3222</v>
      </c>
      <c r="C3201" s="3" t="s">
        <v>2057</v>
      </c>
      <c r="D3201" s="5">
        <f t="shared" si="98"/>
        <v>178.73</v>
      </c>
      <c r="E3201">
        <v>196.2</v>
      </c>
      <c r="F3201" s="1789">
        <v>8.8999999999999996E-2</v>
      </c>
      <c r="G3201">
        <f t="shared" si="99"/>
        <v>178.73</v>
      </c>
    </row>
    <row r="3202" spans="1:7" ht="12.75" customHeight="1">
      <c r="A3202" s="3">
        <v>4385</v>
      </c>
      <c r="B3202" s="4" t="s">
        <v>3223</v>
      </c>
      <c r="C3202" s="3" t="s">
        <v>3224</v>
      </c>
      <c r="D3202" s="5">
        <f t="shared" si="98"/>
        <v>6661.68</v>
      </c>
      <c r="E3202">
        <v>7312.5</v>
      </c>
      <c r="F3202" s="1789">
        <v>8.8999999999999996E-2</v>
      </c>
      <c r="G3202">
        <f t="shared" si="99"/>
        <v>6661.68</v>
      </c>
    </row>
    <row r="3203" spans="1:7" ht="12.75" customHeight="1">
      <c r="A3203" s="3">
        <v>20078</v>
      </c>
      <c r="B3203" s="4" t="s">
        <v>3225</v>
      </c>
      <c r="C3203" s="3" t="s">
        <v>6</v>
      </c>
      <c r="D3203" s="5">
        <f t="shared" ref="D3203:D3266" si="100">G3203</f>
        <v>28.92</v>
      </c>
      <c r="E3203">
        <v>31.75</v>
      </c>
      <c r="F3203" s="1789">
        <v>8.8999999999999996E-2</v>
      </c>
      <c r="G3203">
        <f t="shared" ref="G3203:G3266" si="101">TRUNC((1-F3203)*E3203,2)</f>
        <v>28.92</v>
      </c>
    </row>
    <row r="3204" spans="1:7" ht="12.75" customHeight="1">
      <c r="A3204" s="3">
        <v>39897</v>
      </c>
      <c r="B3204" s="4" t="s">
        <v>3226</v>
      </c>
      <c r="C3204" s="3" t="s">
        <v>6</v>
      </c>
      <c r="D3204" s="5">
        <f t="shared" si="100"/>
        <v>48.06</v>
      </c>
      <c r="E3204">
        <v>52.76</v>
      </c>
      <c r="F3204" s="1789">
        <v>8.8999999999999996E-2</v>
      </c>
      <c r="G3204">
        <f t="shared" si="101"/>
        <v>48.06</v>
      </c>
    </row>
    <row r="3205" spans="1:7" ht="12.75" customHeight="1">
      <c r="A3205" s="3">
        <v>118</v>
      </c>
      <c r="B3205" s="4" t="s">
        <v>3227</v>
      </c>
      <c r="C3205" s="3" t="s">
        <v>6</v>
      </c>
      <c r="D3205" s="5">
        <f t="shared" si="100"/>
        <v>61.16</v>
      </c>
      <c r="E3205">
        <v>67.14</v>
      </c>
      <c r="F3205" s="1789">
        <v>8.8999999999999996E-2</v>
      </c>
      <c r="G3205">
        <f t="shared" si="101"/>
        <v>61.16</v>
      </c>
    </row>
    <row r="3206" spans="1:7" ht="12.75" customHeight="1">
      <c r="A3206" s="3">
        <v>4396</v>
      </c>
      <c r="B3206" s="4" t="s">
        <v>3228</v>
      </c>
      <c r="C3206" s="3" t="s">
        <v>409</v>
      </c>
      <c r="D3206" s="5">
        <f t="shared" si="100"/>
        <v>188.4</v>
      </c>
      <c r="E3206">
        <v>206.81</v>
      </c>
      <c r="F3206" s="1789">
        <v>8.8999999999999996E-2</v>
      </c>
      <c r="G3206">
        <f t="shared" si="101"/>
        <v>188.4</v>
      </c>
    </row>
    <row r="3207" spans="1:7" ht="12.75" customHeight="1">
      <c r="A3207" s="3">
        <v>36881</v>
      </c>
      <c r="B3207" s="4" t="s">
        <v>3229</v>
      </c>
      <c r="C3207" s="3" t="s">
        <v>409</v>
      </c>
      <c r="D3207" s="5">
        <f t="shared" si="100"/>
        <v>121.34</v>
      </c>
      <c r="E3207">
        <v>133.19999999999999</v>
      </c>
      <c r="F3207" s="1789">
        <v>8.8999999999999996E-2</v>
      </c>
      <c r="G3207">
        <f t="shared" si="101"/>
        <v>121.34</v>
      </c>
    </row>
    <row r="3208" spans="1:7" ht="12.75" customHeight="1">
      <c r="A3208" s="3">
        <v>4397</v>
      </c>
      <c r="B3208" s="4" t="s">
        <v>3230</v>
      </c>
      <c r="C3208" s="3" t="s">
        <v>409</v>
      </c>
      <c r="D3208" s="5">
        <f t="shared" si="100"/>
        <v>204.94</v>
      </c>
      <c r="E3208">
        <v>224.97</v>
      </c>
      <c r="F3208" s="1789">
        <v>8.8999999999999996E-2</v>
      </c>
      <c r="G3208">
        <f t="shared" si="101"/>
        <v>204.94</v>
      </c>
    </row>
    <row r="3209" spans="1:7" ht="12.75" customHeight="1">
      <c r="A3209" s="3">
        <v>36882</v>
      </c>
      <c r="B3209" s="4" t="s">
        <v>3231</v>
      </c>
      <c r="C3209" s="3" t="s">
        <v>409</v>
      </c>
      <c r="D3209" s="5">
        <f t="shared" si="100"/>
        <v>145.09</v>
      </c>
      <c r="E3209">
        <v>159.27000000000001</v>
      </c>
      <c r="F3209" s="1789">
        <v>8.8999999999999996E-2</v>
      </c>
      <c r="G3209">
        <f t="shared" si="101"/>
        <v>145.09</v>
      </c>
    </row>
    <row r="3210" spans="1:7" ht="12.75" customHeight="1">
      <c r="A3210" s="3">
        <v>4751</v>
      </c>
      <c r="B3210" s="4" t="s">
        <v>3232</v>
      </c>
      <c r="C3210" s="3" t="s">
        <v>154</v>
      </c>
      <c r="D3210" s="5">
        <f t="shared" si="100"/>
        <v>18.02</v>
      </c>
      <c r="E3210">
        <v>19.79</v>
      </c>
      <c r="F3210" s="1789">
        <v>8.8999999999999996E-2</v>
      </c>
      <c r="G3210">
        <f t="shared" si="101"/>
        <v>18.02</v>
      </c>
    </row>
    <row r="3211" spans="1:7" ht="12.75" customHeight="1">
      <c r="A3211" s="3">
        <v>41066</v>
      </c>
      <c r="B3211" s="4" t="s">
        <v>3233</v>
      </c>
      <c r="C3211" s="3" t="s">
        <v>156</v>
      </c>
      <c r="D3211" s="5">
        <f t="shared" si="100"/>
        <v>3172.4</v>
      </c>
      <c r="E3211">
        <v>3482.33</v>
      </c>
      <c r="F3211" s="1789">
        <v>8.8999999999999996E-2</v>
      </c>
      <c r="G3211">
        <f t="shared" si="101"/>
        <v>3172.4</v>
      </c>
    </row>
    <row r="3212" spans="1:7" ht="12.75" customHeight="1">
      <c r="A3212" s="3">
        <v>39604</v>
      </c>
      <c r="B3212" s="4" t="s">
        <v>3234</v>
      </c>
      <c r="C3212" s="3" t="s">
        <v>6</v>
      </c>
      <c r="D3212" s="5">
        <f t="shared" si="100"/>
        <v>16.22</v>
      </c>
      <c r="E3212">
        <v>17.809999999999999</v>
      </c>
      <c r="F3212" s="1789">
        <v>8.8999999999999996E-2</v>
      </c>
      <c r="G3212">
        <f t="shared" si="101"/>
        <v>16.22</v>
      </c>
    </row>
    <row r="3213" spans="1:7" ht="12.75" customHeight="1">
      <c r="A3213" s="3">
        <v>39605</v>
      </c>
      <c r="B3213" s="4" t="s">
        <v>3235</v>
      </c>
      <c r="C3213" s="3" t="s">
        <v>6</v>
      </c>
      <c r="D3213" s="5">
        <f t="shared" si="100"/>
        <v>17.62</v>
      </c>
      <c r="E3213">
        <v>19.350000000000001</v>
      </c>
      <c r="F3213" s="1789">
        <v>8.8999999999999996E-2</v>
      </c>
      <c r="G3213">
        <f t="shared" si="101"/>
        <v>17.62</v>
      </c>
    </row>
    <row r="3214" spans="1:7" ht="12.75" customHeight="1">
      <c r="A3214" s="3">
        <v>39606</v>
      </c>
      <c r="B3214" s="4" t="s">
        <v>3236</v>
      </c>
      <c r="C3214" s="3" t="s">
        <v>6</v>
      </c>
      <c r="D3214" s="5">
        <f t="shared" si="100"/>
        <v>30.87</v>
      </c>
      <c r="E3214">
        <v>33.89</v>
      </c>
      <c r="F3214" s="1789">
        <v>8.8999999999999996E-2</v>
      </c>
      <c r="G3214">
        <f t="shared" si="101"/>
        <v>30.87</v>
      </c>
    </row>
    <row r="3215" spans="1:7" ht="12.75" customHeight="1">
      <c r="A3215" s="3">
        <v>39607</v>
      </c>
      <c r="B3215" s="4" t="s">
        <v>3237</v>
      </c>
      <c r="C3215" s="3" t="s">
        <v>6</v>
      </c>
      <c r="D3215" s="5">
        <f t="shared" si="100"/>
        <v>41.76</v>
      </c>
      <c r="E3215">
        <v>45.85</v>
      </c>
      <c r="F3215" s="1789">
        <v>8.8999999999999996E-2</v>
      </c>
      <c r="G3215">
        <f t="shared" si="101"/>
        <v>41.76</v>
      </c>
    </row>
    <row r="3216" spans="1:7" ht="12.75" customHeight="1">
      <c r="A3216" s="3">
        <v>39594</v>
      </c>
      <c r="B3216" s="4" t="s">
        <v>3238</v>
      </c>
      <c r="C3216" s="3" t="s">
        <v>6</v>
      </c>
      <c r="D3216" s="5">
        <f t="shared" si="100"/>
        <v>245.36</v>
      </c>
      <c r="E3216">
        <v>269.33999999999997</v>
      </c>
      <c r="F3216" s="1789">
        <v>8.8999999999999996E-2</v>
      </c>
      <c r="G3216">
        <f t="shared" si="101"/>
        <v>245.36</v>
      </c>
    </row>
    <row r="3217" spans="1:7" ht="12.75" customHeight="1">
      <c r="A3217" s="3">
        <v>39596</v>
      </c>
      <c r="B3217" s="4" t="s">
        <v>3239</v>
      </c>
      <c r="C3217" s="3" t="s">
        <v>6</v>
      </c>
      <c r="D3217" s="5">
        <f t="shared" si="100"/>
        <v>657.11</v>
      </c>
      <c r="E3217">
        <v>721.31</v>
      </c>
      <c r="F3217" s="1789">
        <v>8.8999999999999996E-2</v>
      </c>
      <c r="G3217">
        <f t="shared" si="101"/>
        <v>657.11</v>
      </c>
    </row>
    <row r="3218" spans="1:7" ht="12.75" customHeight="1">
      <c r="A3218" s="3">
        <v>39595</v>
      </c>
      <c r="B3218" s="4" t="s">
        <v>3240</v>
      </c>
      <c r="C3218" s="3" t="s">
        <v>6</v>
      </c>
      <c r="D3218" s="5">
        <f t="shared" si="100"/>
        <v>1476.44</v>
      </c>
      <c r="E3218">
        <v>1620.69</v>
      </c>
      <c r="F3218" s="1789">
        <v>8.8999999999999996E-2</v>
      </c>
      <c r="G3218">
        <f t="shared" si="101"/>
        <v>1476.44</v>
      </c>
    </row>
    <row r="3219" spans="1:7" ht="12.75" customHeight="1">
      <c r="A3219" s="3">
        <v>39597</v>
      </c>
      <c r="B3219" s="4" t="s">
        <v>3241</v>
      </c>
      <c r="C3219" s="3" t="s">
        <v>6</v>
      </c>
      <c r="D3219" s="5">
        <f t="shared" si="100"/>
        <v>2316</v>
      </c>
      <c r="E3219">
        <v>2542.27</v>
      </c>
      <c r="F3219" s="1789">
        <v>8.8999999999999996E-2</v>
      </c>
      <c r="G3219">
        <f t="shared" si="101"/>
        <v>2316</v>
      </c>
    </row>
    <row r="3220" spans="1:7" ht="12.75" customHeight="1">
      <c r="A3220" s="3">
        <v>10731</v>
      </c>
      <c r="B3220" s="4" t="s">
        <v>3242</v>
      </c>
      <c r="C3220" s="3" t="s">
        <v>409</v>
      </c>
      <c r="D3220" s="5">
        <f t="shared" si="100"/>
        <v>40.99</v>
      </c>
      <c r="E3220">
        <v>45</v>
      </c>
      <c r="F3220" s="1789">
        <v>8.8999999999999996E-2</v>
      </c>
      <c r="G3220">
        <f t="shared" si="101"/>
        <v>40.99</v>
      </c>
    </row>
    <row r="3221" spans="1:7" ht="12.75" customHeight="1">
      <c r="A3221" s="3">
        <v>4704</v>
      </c>
      <c r="B3221" s="4" t="s">
        <v>3243</v>
      </c>
      <c r="C3221" s="3" t="s">
        <v>409</v>
      </c>
      <c r="D3221" s="5">
        <f t="shared" si="100"/>
        <v>36.99</v>
      </c>
      <c r="E3221">
        <v>40.61</v>
      </c>
      <c r="F3221" s="1789">
        <v>8.8999999999999996E-2</v>
      </c>
      <c r="G3221">
        <f t="shared" si="101"/>
        <v>36.99</v>
      </c>
    </row>
    <row r="3222" spans="1:7" ht="12.75" customHeight="1">
      <c r="A3222" s="3">
        <v>10730</v>
      </c>
      <c r="B3222" s="4" t="s">
        <v>3244</v>
      </c>
      <c r="C3222" s="3" t="s">
        <v>409</v>
      </c>
      <c r="D3222" s="5">
        <f t="shared" si="100"/>
        <v>39.630000000000003</v>
      </c>
      <c r="E3222">
        <v>43.51</v>
      </c>
      <c r="F3222" s="1789">
        <v>8.8999999999999996E-2</v>
      </c>
      <c r="G3222">
        <f t="shared" si="101"/>
        <v>39.630000000000003</v>
      </c>
    </row>
    <row r="3223" spans="1:7" ht="12.75" customHeight="1">
      <c r="A3223" s="3">
        <v>4720</v>
      </c>
      <c r="B3223" s="4" t="s">
        <v>3245</v>
      </c>
      <c r="C3223" s="3" t="s">
        <v>152</v>
      </c>
      <c r="D3223" s="5">
        <f t="shared" si="100"/>
        <v>156.93</v>
      </c>
      <c r="E3223">
        <v>172.27</v>
      </c>
      <c r="F3223" s="1789">
        <v>8.8999999999999996E-2</v>
      </c>
      <c r="G3223">
        <f t="shared" si="101"/>
        <v>156.93</v>
      </c>
    </row>
    <row r="3224" spans="1:7" ht="12.75" customHeight="1">
      <c r="A3224" s="3">
        <v>4721</v>
      </c>
      <c r="B3224" s="4" t="s">
        <v>3246</v>
      </c>
      <c r="C3224" s="3" t="s">
        <v>152</v>
      </c>
      <c r="D3224" s="5">
        <f t="shared" si="100"/>
        <v>135.93</v>
      </c>
      <c r="E3224">
        <v>149.21</v>
      </c>
      <c r="F3224" s="1789">
        <v>8.8999999999999996E-2</v>
      </c>
      <c r="G3224">
        <f t="shared" si="101"/>
        <v>135.93</v>
      </c>
    </row>
    <row r="3225" spans="1:7" ht="12.75" customHeight="1">
      <c r="A3225" s="3">
        <v>4718</v>
      </c>
      <c r="B3225" s="4" t="s">
        <v>3247</v>
      </c>
      <c r="C3225" s="3" t="s">
        <v>152</v>
      </c>
      <c r="D3225" s="5">
        <f t="shared" si="100"/>
        <v>136.65</v>
      </c>
      <c r="E3225">
        <v>150</v>
      </c>
      <c r="F3225" s="1789">
        <v>8.8999999999999996E-2</v>
      </c>
      <c r="G3225">
        <f t="shared" si="101"/>
        <v>136.65</v>
      </c>
    </row>
    <row r="3226" spans="1:7" ht="12.75" customHeight="1">
      <c r="A3226" s="3">
        <v>4722</v>
      </c>
      <c r="B3226" s="4" t="s">
        <v>3248</v>
      </c>
      <c r="C3226" s="3" t="s">
        <v>152</v>
      </c>
      <c r="D3226" s="5">
        <f t="shared" si="100"/>
        <v>128.4</v>
      </c>
      <c r="E3226">
        <v>140.94999999999999</v>
      </c>
      <c r="F3226" s="1789">
        <v>8.8999999999999996E-2</v>
      </c>
      <c r="G3226">
        <f t="shared" si="101"/>
        <v>128.4</v>
      </c>
    </row>
    <row r="3227" spans="1:7" ht="12.75" customHeight="1">
      <c r="A3227" s="3">
        <v>4730</v>
      </c>
      <c r="B3227" s="4" t="s">
        <v>3249</v>
      </c>
      <c r="C3227" s="3" t="s">
        <v>152</v>
      </c>
      <c r="D3227" s="5">
        <f t="shared" si="100"/>
        <v>127.76</v>
      </c>
      <c r="E3227">
        <v>140.25</v>
      </c>
      <c r="F3227" s="1789">
        <v>8.8999999999999996E-2</v>
      </c>
      <c r="G3227">
        <f t="shared" si="101"/>
        <v>127.76</v>
      </c>
    </row>
    <row r="3228" spans="1:7" ht="12.75" customHeight="1">
      <c r="A3228" s="3">
        <v>13186</v>
      </c>
      <c r="B3228" s="4" t="s">
        <v>3250</v>
      </c>
      <c r="C3228" s="3" t="s">
        <v>152</v>
      </c>
      <c r="D3228" s="5">
        <f t="shared" si="100"/>
        <v>147.41999999999999</v>
      </c>
      <c r="E3228">
        <v>161.83000000000001</v>
      </c>
      <c r="F3228" s="1789">
        <v>8.8999999999999996E-2</v>
      </c>
      <c r="G3228">
        <f t="shared" si="101"/>
        <v>147.41999999999999</v>
      </c>
    </row>
    <row r="3229" spans="1:7" ht="12.75" customHeight="1">
      <c r="A3229" s="3">
        <v>10737</v>
      </c>
      <c r="B3229" s="4" t="s">
        <v>3251</v>
      </c>
      <c r="C3229" s="3" t="s">
        <v>409</v>
      </c>
      <c r="D3229" s="5">
        <f t="shared" si="100"/>
        <v>128.82</v>
      </c>
      <c r="E3229">
        <v>141.41</v>
      </c>
      <c r="F3229" s="1789">
        <v>8.8999999999999996E-2</v>
      </c>
      <c r="G3229">
        <f t="shared" si="101"/>
        <v>128.82</v>
      </c>
    </row>
    <row r="3230" spans="1:7" ht="12.75" customHeight="1">
      <c r="A3230" s="3">
        <v>10734</v>
      </c>
      <c r="B3230" s="4" t="s">
        <v>3252</v>
      </c>
      <c r="C3230" s="3" t="s">
        <v>409</v>
      </c>
      <c r="D3230" s="5">
        <f t="shared" si="100"/>
        <v>76.63</v>
      </c>
      <c r="E3230">
        <v>84.12</v>
      </c>
      <c r="F3230" s="1789">
        <v>8.8999999999999996E-2</v>
      </c>
      <c r="G3230">
        <f t="shared" si="101"/>
        <v>76.63</v>
      </c>
    </row>
    <row r="3231" spans="1:7" ht="12.75" customHeight="1">
      <c r="A3231" s="3">
        <v>4708</v>
      </c>
      <c r="B3231" s="4" t="s">
        <v>3253</v>
      </c>
      <c r="C3231" s="3" t="s">
        <v>409</v>
      </c>
      <c r="D3231" s="5">
        <f t="shared" si="100"/>
        <v>148.63999999999999</v>
      </c>
      <c r="E3231">
        <v>163.16999999999999</v>
      </c>
      <c r="F3231" s="1789">
        <v>8.8999999999999996E-2</v>
      </c>
      <c r="G3231">
        <f t="shared" si="101"/>
        <v>148.63999999999999</v>
      </c>
    </row>
    <row r="3232" spans="1:7" ht="12.75" customHeight="1">
      <c r="A3232" s="3">
        <v>4712</v>
      </c>
      <c r="B3232" s="4" t="s">
        <v>3254</v>
      </c>
      <c r="C3232" s="3" t="s">
        <v>409</v>
      </c>
      <c r="D3232" s="5">
        <f t="shared" si="100"/>
        <v>72.67</v>
      </c>
      <c r="E3232">
        <v>79.77</v>
      </c>
      <c r="F3232" s="1789">
        <v>8.8999999999999996E-2</v>
      </c>
      <c r="G3232">
        <f t="shared" si="101"/>
        <v>72.67</v>
      </c>
    </row>
    <row r="3233" spans="1:7" ht="12.75" customHeight="1">
      <c r="A3233" s="3">
        <v>4710</v>
      </c>
      <c r="B3233" s="4" t="s">
        <v>3255</v>
      </c>
      <c r="C3233" s="3" t="s">
        <v>409</v>
      </c>
      <c r="D3233" s="5">
        <f t="shared" si="100"/>
        <v>233.05</v>
      </c>
      <c r="E3233">
        <v>255.82</v>
      </c>
      <c r="F3233" s="1789">
        <v>8.8999999999999996E-2</v>
      </c>
      <c r="G3233">
        <f t="shared" si="101"/>
        <v>233.05</v>
      </c>
    </row>
    <row r="3234" spans="1:7" ht="12.75" customHeight="1">
      <c r="A3234" s="3">
        <v>4750</v>
      </c>
      <c r="B3234" s="4" t="s">
        <v>3256</v>
      </c>
      <c r="C3234" s="3" t="s">
        <v>154</v>
      </c>
      <c r="D3234" s="5">
        <f t="shared" si="100"/>
        <v>18.02</v>
      </c>
      <c r="E3234">
        <v>19.79</v>
      </c>
      <c r="F3234" s="1789">
        <v>8.8999999999999996E-2</v>
      </c>
      <c r="G3234">
        <f t="shared" si="101"/>
        <v>18.02</v>
      </c>
    </row>
    <row r="3235" spans="1:7" ht="12.75" customHeight="1">
      <c r="A3235" s="3">
        <v>41065</v>
      </c>
      <c r="B3235" s="4" t="s">
        <v>3257</v>
      </c>
      <c r="C3235" s="3" t="s">
        <v>156</v>
      </c>
      <c r="D3235" s="5">
        <f t="shared" si="100"/>
        <v>3172.4</v>
      </c>
      <c r="E3235">
        <v>3482.33</v>
      </c>
      <c r="F3235" s="1789">
        <v>8.8999999999999996E-2</v>
      </c>
      <c r="G3235">
        <f t="shared" si="101"/>
        <v>3172.4</v>
      </c>
    </row>
    <row r="3236" spans="1:7" ht="12.75" customHeight="1">
      <c r="A3236" s="3">
        <v>34747</v>
      </c>
      <c r="B3236" s="4" t="s">
        <v>3258</v>
      </c>
      <c r="C3236" s="3" t="s">
        <v>50</v>
      </c>
      <c r="D3236" s="5">
        <f t="shared" si="100"/>
        <v>98.41</v>
      </c>
      <c r="E3236">
        <v>108.03</v>
      </c>
      <c r="F3236" s="1789">
        <v>8.8999999999999996E-2</v>
      </c>
      <c r="G3236">
        <f t="shared" si="101"/>
        <v>98.41</v>
      </c>
    </row>
    <row r="3237" spans="1:7" ht="12.75" customHeight="1">
      <c r="A3237" s="3">
        <v>4826</v>
      </c>
      <c r="B3237" s="4" t="s">
        <v>3259</v>
      </c>
      <c r="C3237" s="3" t="s">
        <v>50</v>
      </c>
      <c r="D3237" s="5">
        <f t="shared" si="100"/>
        <v>105.82</v>
      </c>
      <c r="E3237">
        <v>116.16</v>
      </c>
      <c r="F3237" s="1789">
        <v>8.8999999999999996E-2</v>
      </c>
      <c r="G3237">
        <f t="shared" si="101"/>
        <v>105.82</v>
      </c>
    </row>
    <row r="3238" spans="1:7" ht="12.75" customHeight="1">
      <c r="A3238" s="3">
        <v>41975</v>
      </c>
      <c r="B3238" s="4" t="s">
        <v>3260</v>
      </c>
      <c r="C3238" s="3" t="s">
        <v>409</v>
      </c>
      <c r="D3238" s="5">
        <f t="shared" si="100"/>
        <v>93.86</v>
      </c>
      <c r="E3238">
        <v>103.04</v>
      </c>
      <c r="F3238" s="1789">
        <v>8.8999999999999996E-2</v>
      </c>
      <c r="G3238">
        <f t="shared" si="101"/>
        <v>93.86</v>
      </c>
    </row>
    <row r="3239" spans="1:7" ht="12.75" customHeight="1">
      <c r="A3239" s="3">
        <v>4825</v>
      </c>
      <c r="B3239" s="4" t="s">
        <v>3261</v>
      </c>
      <c r="C3239" s="3" t="s">
        <v>50</v>
      </c>
      <c r="D3239" s="5">
        <f t="shared" si="100"/>
        <v>146.47</v>
      </c>
      <c r="E3239">
        <v>160.79</v>
      </c>
      <c r="F3239" s="1789">
        <v>8.8999999999999996E-2</v>
      </c>
      <c r="G3239">
        <f t="shared" si="101"/>
        <v>146.47</v>
      </c>
    </row>
    <row r="3240" spans="1:7" ht="12.75" customHeight="1">
      <c r="A3240" s="3">
        <v>34744</v>
      </c>
      <c r="B3240" s="4" t="s">
        <v>3262</v>
      </c>
      <c r="C3240" s="3" t="s">
        <v>409</v>
      </c>
      <c r="D3240" s="5">
        <f t="shared" si="100"/>
        <v>33.880000000000003</v>
      </c>
      <c r="E3240">
        <v>37.200000000000003</v>
      </c>
      <c r="F3240" s="1789">
        <v>8.8999999999999996E-2</v>
      </c>
      <c r="G3240">
        <f t="shared" si="101"/>
        <v>33.880000000000003</v>
      </c>
    </row>
    <row r="3241" spans="1:7" ht="12.75" customHeight="1">
      <c r="A3241" s="3">
        <v>39430</v>
      </c>
      <c r="B3241" s="4" t="s">
        <v>3263</v>
      </c>
      <c r="C3241" s="3" t="s">
        <v>6</v>
      </c>
      <c r="D3241" s="5">
        <f t="shared" si="100"/>
        <v>1.58</v>
      </c>
      <c r="E3241">
        <v>1.74</v>
      </c>
      <c r="F3241" s="1789">
        <v>8.8999999999999996E-2</v>
      </c>
      <c r="G3241">
        <f t="shared" si="101"/>
        <v>1.58</v>
      </c>
    </row>
    <row r="3242" spans="1:7" ht="12.75" customHeight="1">
      <c r="A3242" s="3">
        <v>39573</v>
      </c>
      <c r="B3242" s="4" t="s">
        <v>3264</v>
      </c>
      <c r="C3242" s="3" t="s">
        <v>6</v>
      </c>
      <c r="D3242" s="5">
        <f t="shared" si="100"/>
        <v>1.55</v>
      </c>
      <c r="E3242">
        <v>1.71</v>
      </c>
      <c r="F3242" s="1789">
        <v>8.8999999999999996E-2</v>
      </c>
      <c r="G3242">
        <f t="shared" si="101"/>
        <v>1.55</v>
      </c>
    </row>
    <row r="3243" spans="1:7" ht="12.75" customHeight="1">
      <c r="A3243" s="3">
        <v>38410</v>
      </c>
      <c r="B3243" s="4" t="s">
        <v>3265</v>
      </c>
      <c r="C3243" s="3" t="s">
        <v>6</v>
      </c>
      <c r="D3243" s="5">
        <f t="shared" si="100"/>
        <v>13885.27</v>
      </c>
      <c r="E3243">
        <v>15241.8</v>
      </c>
      <c r="F3243" s="1789">
        <v>8.8999999999999996E-2</v>
      </c>
      <c r="G3243">
        <f t="shared" si="101"/>
        <v>13885.27</v>
      </c>
    </row>
    <row r="3244" spans="1:7" ht="12.75" customHeight="1">
      <c r="A3244" s="3">
        <v>43082</v>
      </c>
      <c r="B3244" s="4" t="s">
        <v>3266</v>
      </c>
      <c r="C3244" s="3" t="s">
        <v>54</v>
      </c>
      <c r="D3244" s="5">
        <f t="shared" si="100"/>
        <v>9.11</v>
      </c>
      <c r="E3244">
        <v>10</v>
      </c>
      <c r="F3244" s="1789">
        <v>8.8999999999999996E-2</v>
      </c>
      <c r="G3244">
        <f t="shared" si="101"/>
        <v>9.11</v>
      </c>
    </row>
    <row r="3245" spans="1:7" ht="12.75" customHeight="1">
      <c r="A3245" s="3">
        <v>43083</v>
      </c>
      <c r="B3245" s="4" t="s">
        <v>3267</v>
      </c>
      <c r="C3245" s="3" t="s">
        <v>54</v>
      </c>
      <c r="D3245" s="5">
        <f t="shared" si="100"/>
        <v>7.88</v>
      </c>
      <c r="E3245">
        <v>8.66</v>
      </c>
      <c r="F3245" s="1789">
        <v>8.8999999999999996E-2</v>
      </c>
      <c r="G3245">
        <f t="shared" si="101"/>
        <v>7.88</v>
      </c>
    </row>
    <row r="3246" spans="1:7" ht="12.75" customHeight="1">
      <c r="A3246" s="3">
        <v>40535</v>
      </c>
      <c r="B3246" s="4" t="s">
        <v>3268</v>
      </c>
      <c r="C3246" s="3" t="s">
        <v>54</v>
      </c>
      <c r="D3246" s="5">
        <f t="shared" si="100"/>
        <v>7.88</v>
      </c>
      <c r="E3246">
        <v>8.66</v>
      </c>
      <c r="F3246" s="1789">
        <v>8.8999999999999996E-2</v>
      </c>
      <c r="G3246">
        <f t="shared" si="101"/>
        <v>7.88</v>
      </c>
    </row>
    <row r="3247" spans="1:7" ht="12.75" customHeight="1">
      <c r="A3247" s="3">
        <v>40598</v>
      </c>
      <c r="B3247" s="4" t="s">
        <v>3269</v>
      </c>
      <c r="C3247" s="3" t="s">
        <v>54</v>
      </c>
      <c r="D3247" s="5">
        <f t="shared" si="100"/>
        <v>7.69</v>
      </c>
      <c r="E3247">
        <v>8.4499999999999993</v>
      </c>
      <c r="F3247" s="1789">
        <v>8.8999999999999996E-2</v>
      </c>
      <c r="G3247">
        <f t="shared" si="101"/>
        <v>7.69</v>
      </c>
    </row>
    <row r="3248" spans="1:7" ht="12.75" customHeight="1">
      <c r="A3248" s="3">
        <v>43692</v>
      </c>
      <c r="B3248" s="4" t="s">
        <v>3270</v>
      </c>
      <c r="C3248" s="3" t="s">
        <v>54</v>
      </c>
      <c r="D3248" s="5">
        <f t="shared" si="100"/>
        <v>8.3000000000000007</v>
      </c>
      <c r="E3248">
        <v>9.1199999999999992</v>
      </c>
      <c r="F3248" s="1789">
        <v>8.8999999999999996E-2</v>
      </c>
      <c r="G3248">
        <f t="shared" si="101"/>
        <v>8.3000000000000007</v>
      </c>
    </row>
    <row r="3249" spans="1:7" ht="12.75" customHeight="1">
      <c r="A3249" s="3">
        <v>43665</v>
      </c>
      <c r="B3249" s="4" t="s">
        <v>3271</v>
      </c>
      <c r="C3249" s="3" t="s">
        <v>54</v>
      </c>
      <c r="D3249" s="5">
        <f t="shared" si="100"/>
        <v>7.82</v>
      </c>
      <c r="E3249">
        <v>8.59</v>
      </c>
      <c r="F3249" s="1789">
        <v>8.8999999999999996E-2</v>
      </c>
      <c r="G3249">
        <f t="shared" si="101"/>
        <v>7.82</v>
      </c>
    </row>
    <row r="3250" spans="1:7" ht="12.75" customHeight="1">
      <c r="A3250" s="3">
        <v>10966</v>
      </c>
      <c r="B3250" s="4" t="s">
        <v>3272</v>
      </c>
      <c r="C3250" s="3" t="s">
        <v>54</v>
      </c>
      <c r="D3250" s="5">
        <f t="shared" si="100"/>
        <v>8.3000000000000007</v>
      </c>
      <c r="E3250">
        <v>9.1199999999999992</v>
      </c>
      <c r="F3250" s="1789">
        <v>8.8999999999999996E-2</v>
      </c>
      <c r="G3250">
        <f t="shared" si="101"/>
        <v>8.3000000000000007</v>
      </c>
    </row>
    <row r="3251" spans="1:7" ht="12.75" customHeight="1">
      <c r="A3251" s="3">
        <v>39427</v>
      </c>
      <c r="B3251" s="4" t="s">
        <v>3273</v>
      </c>
      <c r="C3251" s="3" t="s">
        <v>50</v>
      </c>
      <c r="D3251" s="5">
        <f t="shared" si="100"/>
        <v>4.2</v>
      </c>
      <c r="E3251">
        <v>4.62</v>
      </c>
      <c r="F3251" s="1789">
        <v>8.8999999999999996E-2</v>
      </c>
      <c r="G3251">
        <f t="shared" si="101"/>
        <v>4.2</v>
      </c>
    </row>
    <row r="3252" spans="1:7" ht="12.75" customHeight="1">
      <c r="A3252" s="3">
        <v>39424</v>
      </c>
      <c r="B3252" s="4" t="s">
        <v>3274</v>
      </c>
      <c r="C3252" s="3" t="s">
        <v>50</v>
      </c>
      <c r="D3252" s="5">
        <f t="shared" si="100"/>
        <v>2.5</v>
      </c>
      <c r="E3252">
        <v>2.75</v>
      </c>
      <c r="F3252" s="1789">
        <v>8.8999999999999996E-2</v>
      </c>
      <c r="G3252">
        <f t="shared" si="101"/>
        <v>2.5</v>
      </c>
    </row>
    <row r="3253" spans="1:7" ht="12.75" customHeight="1">
      <c r="A3253" s="3">
        <v>39425</v>
      </c>
      <c r="B3253" s="4" t="s">
        <v>3275</v>
      </c>
      <c r="C3253" s="3" t="s">
        <v>50</v>
      </c>
      <c r="D3253" s="5">
        <f t="shared" si="100"/>
        <v>2.46</v>
      </c>
      <c r="E3253">
        <v>2.71</v>
      </c>
      <c r="F3253" s="1789">
        <v>8.8999999999999996E-2</v>
      </c>
      <c r="G3253">
        <f t="shared" si="101"/>
        <v>2.46</v>
      </c>
    </row>
    <row r="3254" spans="1:7" ht="12.75" customHeight="1">
      <c r="A3254" s="3">
        <v>40664</v>
      </c>
      <c r="B3254" s="4" t="s">
        <v>3276</v>
      </c>
      <c r="C3254" s="3" t="s">
        <v>54</v>
      </c>
      <c r="D3254" s="5">
        <f t="shared" si="100"/>
        <v>16.18</v>
      </c>
      <c r="E3254">
        <v>17.77</v>
      </c>
      <c r="F3254" s="1789">
        <v>8.8999999999999996E-2</v>
      </c>
      <c r="G3254">
        <f t="shared" si="101"/>
        <v>16.18</v>
      </c>
    </row>
    <row r="3255" spans="1:7" ht="12.75" customHeight="1">
      <c r="A3255" s="3">
        <v>34360</v>
      </c>
      <c r="B3255" s="4" t="s">
        <v>3277</v>
      </c>
      <c r="C3255" s="3" t="s">
        <v>54</v>
      </c>
      <c r="D3255" s="5">
        <f t="shared" si="100"/>
        <v>37.78</v>
      </c>
      <c r="E3255">
        <v>41.48</v>
      </c>
      <c r="F3255" s="1789">
        <v>8.8999999999999996E-2</v>
      </c>
      <c r="G3255">
        <f t="shared" si="101"/>
        <v>37.78</v>
      </c>
    </row>
    <row r="3256" spans="1:7" ht="12.75" customHeight="1">
      <c r="A3256" s="3">
        <v>20259</v>
      </c>
      <c r="B3256" s="4" t="s">
        <v>3278</v>
      </c>
      <c r="C3256" s="3" t="s">
        <v>50</v>
      </c>
      <c r="D3256" s="5">
        <f t="shared" si="100"/>
        <v>11.75</v>
      </c>
      <c r="E3256">
        <v>12.9</v>
      </c>
      <c r="F3256" s="1789">
        <v>8.8999999999999996E-2</v>
      </c>
      <c r="G3256">
        <f t="shared" si="101"/>
        <v>11.75</v>
      </c>
    </row>
    <row r="3257" spans="1:7" ht="12.75" customHeight="1">
      <c r="A3257" s="3">
        <v>14077</v>
      </c>
      <c r="B3257" s="4" t="s">
        <v>3279</v>
      </c>
      <c r="C3257" s="3" t="s">
        <v>50</v>
      </c>
      <c r="D3257" s="5">
        <f t="shared" si="100"/>
        <v>179.86</v>
      </c>
      <c r="E3257">
        <v>197.44</v>
      </c>
      <c r="F3257" s="1789">
        <v>8.8999999999999996E-2</v>
      </c>
      <c r="G3257">
        <f t="shared" si="101"/>
        <v>179.86</v>
      </c>
    </row>
    <row r="3258" spans="1:7" ht="12.75" customHeight="1">
      <c r="A3258" s="3">
        <v>3678</v>
      </c>
      <c r="B3258" s="4" t="s">
        <v>3280</v>
      </c>
      <c r="C3258" s="3" t="s">
        <v>50</v>
      </c>
      <c r="D3258" s="5">
        <f t="shared" si="100"/>
        <v>81.290000000000006</v>
      </c>
      <c r="E3258">
        <v>89.24</v>
      </c>
      <c r="F3258" s="1789">
        <v>8.8999999999999996E-2</v>
      </c>
      <c r="G3258">
        <f t="shared" si="101"/>
        <v>81.290000000000006</v>
      </c>
    </row>
    <row r="3259" spans="1:7" ht="12.75" customHeight="1">
      <c r="A3259" s="3">
        <v>11552</v>
      </c>
      <c r="B3259" s="4" t="s">
        <v>3281</v>
      </c>
      <c r="C3259" s="3" t="s">
        <v>50</v>
      </c>
      <c r="D3259" s="5">
        <f t="shared" si="100"/>
        <v>7.72</v>
      </c>
      <c r="E3259">
        <v>8.48</v>
      </c>
      <c r="F3259" s="1789">
        <v>8.8999999999999996E-2</v>
      </c>
      <c r="G3259">
        <f t="shared" si="101"/>
        <v>7.72</v>
      </c>
    </row>
    <row r="3260" spans="1:7" ht="12.75" customHeight="1">
      <c r="A3260" s="3">
        <v>585</v>
      </c>
      <c r="B3260" s="4" t="s">
        <v>3282</v>
      </c>
      <c r="C3260" s="3" t="s">
        <v>54</v>
      </c>
      <c r="D3260" s="5">
        <f t="shared" si="100"/>
        <v>30.22</v>
      </c>
      <c r="E3260">
        <v>33.18</v>
      </c>
      <c r="F3260" s="1789">
        <v>8.8999999999999996E-2</v>
      </c>
      <c r="G3260">
        <f t="shared" si="101"/>
        <v>30.22</v>
      </c>
    </row>
    <row r="3261" spans="1:7" ht="12.75" customHeight="1">
      <c r="A3261" s="3">
        <v>39418</v>
      </c>
      <c r="B3261" s="4" t="s">
        <v>3283</v>
      </c>
      <c r="C3261" s="3" t="s">
        <v>50</v>
      </c>
      <c r="D3261" s="5">
        <f t="shared" si="100"/>
        <v>4.7</v>
      </c>
      <c r="E3261">
        <v>5.16</v>
      </c>
      <c r="F3261" s="1789">
        <v>8.8999999999999996E-2</v>
      </c>
      <c r="G3261">
        <f t="shared" si="101"/>
        <v>4.7</v>
      </c>
    </row>
    <row r="3262" spans="1:7" ht="12.75" customHeight="1">
      <c r="A3262" s="3">
        <v>39419</v>
      </c>
      <c r="B3262" s="4" t="s">
        <v>3284</v>
      </c>
      <c r="C3262" s="3" t="s">
        <v>50</v>
      </c>
      <c r="D3262" s="5">
        <f t="shared" si="100"/>
        <v>5.72</v>
      </c>
      <c r="E3262">
        <v>6.28</v>
      </c>
      <c r="F3262" s="1789">
        <v>8.8999999999999996E-2</v>
      </c>
      <c r="G3262">
        <f t="shared" si="101"/>
        <v>5.72</v>
      </c>
    </row>
    <row r="3263" spans="1:7" ht="12.75" customHeight="1">
      <c r="A3263" s="3">
        <v>39420</v>
      </c>
      <c r="B3263" s="4" t="s">
        <v>3285</v>
      </c>
      <c r="C3263" s="3" t="s">
        <v>50</v>
      </c>
      <c r="D3263" s="5">
        <f t="shared" si="100"/>
        <v>6.32</v>
      </c>
      <c r="E3263">
        <v>6.94</v>
      </c>
      <c r="F3263" s="1789">
        <v>8.8999999999999996E-2</v>
      </c>
      <c r="G3263">
        <f t="shared" si="101"/>
        <v>6.32</v>
      </c>
    </row>
    <row r="3264" spans="1:7" ht="12.75" customHeight="1">
      <c r="A3264" s="3">
        <v>39571</v>
      </c>
      <c r="B3264" s="4" t="s">
        <v>3286</v>
      </c>
      <c r="C3264" s="3" t="s">
        <v>50</v>
      </c>
      <c r="D3264" s="5">
        <f t="shared" si="100"/>
        <v>3.81</v>
      </c>
      <c r="E3264">
        <v>4.1900000000000004</v>
      </c>
      <c r="F3264" s="1789">
        <v>8.8999999999999996E-2</v>
      </c>
      <c r="G3264">
        <f t="shared" si="101"/>
        <v>3.81</v>
      </c>
    </row>
    <row r="3265" spans="1:7" ht="12.75" customHeight="1">
      <c r="A3265" s="3">
        <v>39421</v>
      </c>
      <c r="B3265" s="4" t="s">
        <v>3287</v>
      </c>
      <c r="C3265" s="3" t="s">
        <v>50</v>
      </c>
      <c r="D3265" s="5">
        <f t="shared" si="100"/>
        <v>5.55</v>
      </c>
      <c r="E3265">
        <v>6.1</v>
      </c>
      <c r="F3265" s="1789">
        <v>8.8999999999999996E-2</v>
      </c>
      <c r="G3265">
        <f t="shared" si="101"/>
        <v>5.55</v>
      </c>
    </row>
    <row r="3266" spans="1:7" ht="12.75" customHeight="1">
      <c r="A3266" s="3">
        <v>39422</v>
      </c>
      <c r="B3266" s="4" t="s">
        <v>3288</v>
      </c>
      <c r="C3266" s="3" t="s">
        <v>50</v>
      </c>
      <c r="D3266" s="5">
        <f t="shared" si="100"/>
        <v>6.49</v>
      </c>
      <c r="E3266">
        <v>7.13</v>
      </c>
      <c r="F3266" s="1789">
        <v>8.8999999999999996E-2</v>
      </c>
      <c r="G3266">
        <f t="shared" si="101"/>
        <v>6.49</v>
      </c>
    </row>
    <row r="3267" spans="1:7" ht="12.75" customHeight="1">
      <c r="A3267" s="3">
        <v>39423</v>
      </c>
      <c r="B3267" s="4" t="s">
        <v>3289</v>
      </c>
      <c r="C3267" s="3" t="s">
        <v>50</v>
      </c>
      <c r="D3267" s="5">
        <f t="shared" ref="D3267:D3330" si="102">G3267</f>
        <v>7.54</v>
      </c>
      <c r="E3267">
        <v>8.2799999999999994</v>
      </c>
      <c r="F3267" s="1789">
        <v>8.8999999999999996E-2</v>
      </c>
      <c r="G3267">
        <f t="shared" ref="G3267:G3330" si="103">TRUNC((1-F3267)*E3267,2)</f>
        <v>7.54</v>
      </c>
    </row>
    <row r="3268" spans="1:7" ht="12.75" customHeight="1">
      <c r="A3268" s="3">
        <v>39426</v>
      </c>
      <c r="B3268" s="4" t="s">
        <v>3290</v>
      </c>
      <c r="C3268" s="3" t="s">
        <v>50</v>
      </c>
      <c r="D3268" s="5">
        <f t="shared" si="102"/>
        <v>16.95</v>
      </c>
      <c r="E3268">
        <v>18.61</v>
      </c>
      <c r="F3268" s="1789">
        <v>8.8999999999999996E-2</v>
      </c>
      <c r="G3268">
        <f t="shared" si="103"/>
        <v>16.95</v>
      </c>
    </row>
    <row r="3269" spans="1:7" ht="12.75" customHeight="1">
      <c r="A3269" s="3">
        <v>39429</v>
      </c>
      <c r="B3269" s="4" t="s">
        <v>3291</v>
      </c>
      <c r="C3269" s="3" t="s">
        <v>50</v>
      </c>
      <c r="D3269" s="5">
        <f t="shared" si="102"/>
        <v>5.34</v>
      </c>
      <c r="E3269">
        <v>5.87</v>
      </c>
      <c r="F3269" s="1789">
        <v>8.8999999999999996E-2</v>
      </c>
      <c r="G3269">
        <f t="shared" si="103"/>
        <v>5.34</v>
      </c>
    </row>
    <row r="3270" spans="1:7" ht="12.75" customHeight="1">
      <c r="A3270" s="3">
        <v>39428</v>
      </c>
      <c r="B3270" s="4" t="s">
        <v>3292</v>
      </c>
      <c r="C3270" s="3" t="s">
        <v>50</v>
      </c>
      <c r="D3270" s="5">
        <f t="shared" si="102"/>
        <v>4.08</v>
      </c>
      <c r="E3270">
        <v>4.4800000000000004</v>
      </c>
      <c r="F3270" s="1789">
        <v>8.8999999999999996E-2</v>
      </c>
      <c r="G3270">
        <f t="shared" si="103"/>
        <v>4.08</v>
      </c>
    </row>
    <row r="3271" spans="1:7" ht="12.75" customHeight="1">
      <c r="A3271" s="3">
        <v>39572</v>
      </c>
      <c r="B3271" s="4" t="s">
        <v>3293</v>
      </c>
      <c r="C3271" s="3" t="s">
        <v>50</v>
      </c>
      <c r="D3271" s="5">
        <f t="shared" si="102"/>
        <v>3.53</v>
      </c>
      <c r="E3271">
        <v>3.88</v>
      </c>
      <c r="F3271" s="1789">
        <v>8.8999999999999996E-2</v>
      </c>
      <c r="G3271">
        <f t="shared" si="103"/>
        <v>3.53</v>
      </c>
    </row>
    <row r="3272" spans="1:7" ht="12.75" customHeight="1">
      <c r="A3272" s="3">
        <v>39570</v>
      </c>
      <c r="B3272" s="4" t="s">
        <v>3294</v>
      </c>
      <c r="C3272" s="3" t="s">
        <v>50</v>
      </c>
      <c r="D3272" s="5">
        <f t="shared" si="102"/>
        <v>3.75</v>
      </c>
      <c r="E3272">
        <v>4.12</v>
      </c>
      <c r="F3272" s="1789">
        <v>8.8999999999999996E-2</v>
      </c>
      <c r="G3272">
        <f t="shared" si="103"/>
        <v>3.75</v>
      </c>
    </row>
    <row r="3273" spans="1:7" ht="12.75" customHeight="1">
      <c r="A3273" s="3">
        <v>39569</v>
      </c>
      <c r="B3273" s="4" t="s">
        <v>3295</v>
      </c>
      <c r="C3273" s="3" t="s">
        <v>50</v>
      </c>
      <c r="D3273" s="5">
        <f t="shared" si="102"/>
        <v>3.7</v>
      </c>
      <c r="E3273">
        <v>4.07</v>
      </c>
      <c r="F3273" s="1789">
        <v>8.8999999999999996E-2</v>
      </c>
      <c r="G3273">
        <f t="shared" si="103"/>
        <v>3.7</v>
      </c>
    </row>
    <row r="3274" spans="1:7" ht="12.75" customHeight="1">
      <c r="A3274" s="3">
        <v>39029</v>
      </c>
      <c r="B3274" s="4" t="s">
        <v>3296</v>
      </c>
      <c r="C3274" s="3" t="s">
        <v>50</v>
      </c>
      <c r="D3274" s="5">
        <f t="shared" si="102"/>
        <v>11.97</v>
      </c>
      <c r="E3274">
        <v>13.14</v>
      </c>
      <c r="F3274" s="1789">
        <v>8.8999999999999996E-2</v>
      </c>
      <c r="G3274">
        <f t="shared" si="103"/>
        <v>11.97</v>
      </c>
    </row>
    <row r="3275" spans="1:7" ht="12.75" customHeight="1">
      <c r="A3275" s="3">
        <v>39028</v>
      </c>
      <c r="B3275" s="4" t="s">
        <v>3297</v>
      </c>
      <c r="C3275" s="3" t="s">
        <v>50</v>
      </c>
      <c r="D3275" s="5">
        <f t="shared" si="102"/>
        <v>6.96</v>
      </c>
      <c r="E3275">
        <v>7.65</v>
      </c>
      <c r="F3275" s="1789">
        <v>8.8999999999999996E-2</v>
      </c>
      <c r="G3275">
        <f t="shared" si="103"/>
        <v>6.96</v>
      </c>
    </row>
    <row r="3276" spans="1:7" ht="12.75" customHeight="1">
      <c r="A3276" s="3">
        <v>39328</v>
      </c>
      <c r="B3276" s="4" t="s">
        <v>3298</v>
      </c>
      <c r="C3276" s="3" t="s">
        <v>50</v>
      </c>
      <c r="D3276" s="5">
        <f t="shared" si="102"/>
        <v>3.82</v>
      </c>
      <c r="E3276">
        <v>4.2</v>
      </c>
      <c r="F3276" s="1789">
        <v>8.8999999999999996E-2</v>
      </c>
      <c r="G3276">
        <f t="shared" si="103"/>
        <v>3.82</v>
      </c>
    </row>
    <row r="3277" spans="1:7" ht="12.75" customHeight="1">
      <c r="A3277" s="3">
        <v>38541</v>
      </c>
      <c r="B3277" s="4" t="s">
        <v>3299</v>
      </c>
      <c r="C3277" s="3" t="s">
        <v>6</v>
      </c>
      <c r="D3277" s="5">
        <f t="shared" si="102"/>
        <v>3621584.57</v>
      </c>
      <c r="E3277">
        <v>3975394.7</v>
      </c>
      <c r="F3277" s="1789">
        <v>8.8999999999999996E-2</v>
      </c>
      <c r="G3277">
        <f t="shared" si="103"/>
        <v>3621584.57</v>
      </c>
    </row>
    <row r="3278" spans="1:7" ht="12.75" customHeight="1">
      <c r="A3278" s="3">
        <v>38542</v>
      </c>
      <c r="B3278" s="4" t="s">
        <v>3300</v>
      </c>
      <c r="C3278" s="3" t="s">
        <v>6</v>
      </c>
      <c r="D3278" s="5">
        <f t="shared" si="102"/>
        <v>5631418.3700000001</v>
      </c>
      <c r="E3278">
        <v>6181578.9000000004</v>
      </c>
      <c r="F3278" s="1789">
        <v>8.8999999999999996E-2</v>
      </c>
      <c r="G3278">
        <f t="shared" si="103"/>
        <v>5631418.3700000001</v>
      </c>
    </row>
    <row r="3279" spans="1:7" ht="12.75" customHeight="1">
      <c r="A3279" s="3">
        <v>38543</v>
      </c>
      <c r="B3279" s="4" t="s">
        <v>3301</v>
      </c>
      <c r="C3279" s="3" t="s">
        <v>6</v>
      </c>
      <c r="D3279" s="5">
        <f t="shared" si="102"/>
        <v>1378726.61</v>
      </c>
      <c r="E3279">
        <v>1513421.09</v>
      </c>
      <c r="F3279" s="1789">
        <v>8.8999999999999996E-2</v>
      </c>
      <c r="G3279">
        <f t="shared" si="103"/>
        <v>1378726.61</v>
      </c>
    </row>
    <row r="3280" spans="1:7" ht="12.75" customHeight="1">
      <c r="A3280" s="3">
        <v>40406</v>
      </c>
      <c r="B3280" s="4" t="s">
        <v>3302</v>
      </c>
      <c r="C3280" s="3" t="s">
        <v>6</v>
      </c>
      <c r="D3280" s="5">
        <f t="shared" si="102"/>
        <v>76617.240000000005</v>
      </c>
      <c r="E3280">
        <v>84102.36</v>
      </c>
      <c r="F3280" s="1789">
        <v>8.8999999999999996E-2</v>
      </c>
      <c r="G3280">
        <f t="shared" si="103"/>
        <v>76617.240000000005</v>
      </c>
    </row>
    <row r="3281" spans="1:7" ht="12.75" customHeight="1">
      <c r="A3281" s="3">
        <v>40789</v>
      </c>
      <c r="B3281" s="4" t="s">
        <v>3303</v>
      </c>
      <c r="C3281" s="3" t="s">
        <v>6</v>
      </c>
      <c r="D3281" s="5">
        <f t="shared" si="102"/>
        <v>11041.32</v>
      </c>
      <c r="E3281">
        <v>12120.01</v>
      </c>
      <c r="F3281" s="1789">
        <v>8.8999999999999996E-2</v>
      </c>
      <c r="G3281">
        <f t="shared" si="103"/>
        <v>11041.32</v>
      </c>
    </row>
    <row r="3282" spans="1:7" ht="12.75" customHeight="1">
      <c r="A3282" s="3">
        <v>40791</v>
      </c>
      <c r="B3282" s="4" t="s">
        <v>3304</v>
      </c>
      <c r="C3282" s="3" t="s">
        <v>6</v>
      </c>
      <c r="D3282" s="5">
        <f t="shared" si="102"/>
        <v>34564.160000000003</v>
      </c>
      <c r="E3282">
        <v>37940.910000000003</v>
      </c>
      <c r="F3282" s="1789">
        <v>8.8999999999999996E-2</v>
      </c>
      <c r="G3282">
        <f t="shared" si="103"/>
        <v>34564.160000000003</v>
      </c>
    </row>
    <row r="3283" spans="1:7" ht="12.75" customHeight="1">
      <c r="A3283" s="3">
        <v>11651</v>
      </c>
      <c r="B3283" s="4" t="s">
        <v>3305</v>
      </c>
      <c r="C3283" s="3" t="s">
        <v>6</v>
      </c>
      <c r="D3283" s="5">
        <f t="shared" si="102"/>
        <v>18903.63</v>
      </c>
      <c r="E3283">
        <v>20750.419999999998</v>
      </c>
      <c r="F3283" s="1789">
        <v>8.8999999999999996E-2</v>
      </c>
      <c r="G3283">
        <f t="shared" si="103"/>
        <v>18903.63</v>
      </c>
    </row>
    <row r="3284" spans="1:7" ht="12.75" customHeight="1">
      <c r="A3284" s="3">
        <v>40435</v>
      </c>
      <c r="B3284" s="4" t="s">
        <v>3306</v>
      </c>
      <c r="C3284" s="3" t="s">
        <v>6</v>
      </c>
      <c r="D3284" s="5">
        <f t="shared" si="102"/>
        <v>756357.75</v>
      </c>
      <c r="E3284">
        <v>830250</v>
      </c>
      <c r="F3284" s="1789">
        <v>8.8999999999999996E-2</v>
      </c>
      <c r="G3284">
        <f t="shared" si="103"/>
        <v>756357.75</v>
      </c>
    </row>
    <row r="3285" spans="1:7" ht="12.75" customHeight="1">
      <c r="A3285" s="3">
        <v>39012</v>
      </c>
      <c r="B3285" s="4" t="s">
        <v>3307</v>
      </c>
      <c r="C3285" s="3" t="s">
        <v>6</v>
      </c>
      <c r="D3285" s="5">
        <f t="shared" si="102"/>
        <v>789154.74</v>
      </c>
      <c r="E3285">
        <v>866251.09</v>
      </c>
      <c r="F3285" s="1789">
        <v>8.8999999999999996E-2</v>
      </c>
      <c r="G3285">
        <f t="shared" si="103"/>
        <v>789154.74</v>
      </c>
    </row>
    <row r="3286" spans="1:7" ht="12.75" customHeight="1">
      <c r="A3286" s="3">
        <v>13617</v>
      </c>
      <c r="B3286" s="4" t="s">
        <v>3308</v>
      </c>
      <c r="C3286" s="3" t="s">
        <v>6</v>
      </c>
      <c r="D3286" s="5">
        <f t="shared" si="102"/>
        <v>89458.36</v>
      </c>
      <c r="E3286">
        <v>98197.99</v>
      </c>
      <c r="F3286" s="1789">
        <v>8.8999999999999996E-2</v>
      </c>
      <c r="G3286">
        <f t="shared" si="103"/>
        <v>89458.36</v>
      </c>
    </row>
    <row r="3287" spans="1:7" ht="12.75" customHeight="1">
      <c r="A3287" s="3">
        <v>35274</v>
      </c>
      <c r="B3287" s="4" t="s">
        <v>3309</v>
      </c>
      <c r="C3287" s="3" t="s">
        <v>50</v>
      </c>
      <c r="D3287" s="5">
        <f t="shared" si="102"/>
        <v>40.909999999999997</v>
      </c>
      <c r="E3287">
        <v>44.91</v>
      </c>
      <c r="F3287" s="1789">
        <v>8.8999999999999996E-2</v>
      </c>
      <c r="G3287">
        <f t="shared" si="103"/>
        <v>40.909999999999997</v>
      </c>
    </row>
    <row r="3288" spans="1:7" ht="12.75" customHeight="1">
      <c r="A3288" s="3">
        <v>35275</v>
      </c>
      <c r="B3288" s="4" t="s">
        <v>3310</v>
      </c>
      <c r="C3288" s="3" t="s">
        <v>50</v>
      </c>
      <c r="D3288" s="5">
        <f t="shared" si="102"/>
        <v>86.83</v>
      </c>
      <c r="E3288">
        <v>95.32</v>
      </c>
      <c r="F3288" s="1789">
        <v>8.8999999999999996E-2</v>
      </c>
      <c r="G3288">
        <f t="shared" si="103"/>
        <v>86.83</v>
      </c>
    </row>
    <row r="3289" spans="1:7" ht="12.75" customHeight="1">
      <c r="A3289" s="3">
        <v>35276</v>
      </c>
      <c r="B3289" s="4" t="s">
        <v>3311</v>
      </c>
      <c r="C3289" s="3" t="s">
        <v>50</v>
      </c>
      <c r="D3289" s="5">
        <f t="shared" si="102"/>
        <v>151.09</v>
      </c>
      <c r="E3289">
        <v>165.86</v>
      </c>
      <c r="F3289" s="1789">
        <v>8.8999999999999996E-2</v>
      </c>
      <c r="G3289">
        <f t="shared" si="103"/>
        <v>151.09</v>
      </c>
    </row>
    <row r="3290" spans="1:7" ht="12.75" customHeight="1">
      <c r="A3290" s="3">
        <v>38386</v>
      </c>
      <c r="B3290" s="4" t="s">
        <v>3312</v>
      </c>
      <c r="C3290" s="3" t="s">
        <v>6</v>
      </c>
      <c r="D3290" s="5">
        <f t="shared" si="102"/>
        <v>5.89</v>
      </c>
      <c r="E3290">
        <v>6.47</v>
      </c>
      <c r="F3290" s="1789">
        <v>8.8999999999999996E-2</v>
      </c>
      <c r="G3290">
        <f t="shared" si="103"/>
        <v>5.89</v>
      </c>
    </row>
    <row r="3291" spans="1:7" ht="12.75" customHeight="1">
      <c r="A3291" s="3">
        <v>11091</v>
      </c>
      <c r="B3291" s="4" t="s">
        <v>3313</v>
      </c>
      <c r="C3291" s="3" t="s">
        <v>6</v>
      </c>
      <c r="D3291" s="5">
        <f t="shared" si="102"/>
        <v>1.53</v>
      </c>
      <c r="E3291">
        <v>1.69</v>
      </c>
      <c r="F3291" s="1789">
        <v>8.8999999999999996E-2</v>
      </c>
      <c r="G3291">
        <f t="shared" si="103"/>
        <v>1.53</v>
      </c>
    </row>
    <row r="3292" spans="1:7" ht="12.75" customHeight="1">
      <c r="A3292" s="3">
        <v>37586</v>
      </c>
      <c r="B3292" s="4" t="s">
        <v>3314</v>
      </c>
      <c r="C3292" s="3" t="s">
        <v>2057</v>
      </c>
      <c r="D3292" s="5">
        <f t="shared" si="102"/>
        <v>46.34</v>
      </c>
      <c r="E3292">
        <v>50.87</v>
      </c>
      <c r="F3292" s="1789">
        <v>8.8999999999999996E-2</v>
      </c>
      <c r="G3292">
        <f t="shared" si="103"/>
        <v>46.34</v>
      </c>
    </row>
    <row r="3293" spans="1:7" ht="12.75" customHeight="1">
      <c r="A3293" s="3">
        <v>37395</v>
      </c>
      <c r="B3293" s="4" t="s">
        <v>3315</v>
      </c>
      <c r="C3293" s="3" t="s">
        <v>2057</v>
      </c>
      <c r="D3293" s="5">
        <f t="shared" si="102"/>
        <v>39.840000000000003</v>
      </c>
      <c r="E3293">
        <v>43.74</v>
      </c>
      <c r="F3293" s="1789">
        <v>8.8999999999999996E-2</v>
      </c>
      <c r="G3293">
        <f t="shared" si="103"/>
        <v>39.840000000000003</v>
      </c>
    </row>
    <row r="3294" spans="1:7" ht="12.75" customHeight="1">
      <c r="A3294" s="3">
        <v>14147</v>
      </c>
      <c r="B3294" s="4" t="s">
        <v>3316</v>
      </c>
      <c r="C3294" s="3" t="s">
        <v>2057</v>
      </c>
      <c r="D3294" s="5">
        <f t="shared" si="102"/>
        <v>52.85</v>
      </c>
      <c r="E3294">
        <v>58.02</v>
      </c>
      <c r="F3294" s="1789">
        <v>8.8999999999999996E-2</v>
      </c>
      <c r="G3294">
        <f t="shared" si="103"/>
        <v>52.85</v>
      </c>
    </row>
    <row r="3295" spans="1:7" ht="12.75" customHeight="1">
      <c r="A3295" s="3">
        <v>37396</v>
      </c>
      <c r="B3295" s="4" t="s">
        <v>3317</v>
      </c>
      <c r="C3295" s="3" t="s">
        <v>2057</v>
      </c>
      <c r="D3295" s="5">
        <f t="shared" si="102"/>
        <v>32.6</v>
      </c>
      <c r="E3295">
        <v>35.79</v>
      </c>
      <c r="F3295" s="1789">
        <v>8.8999999999999996E-2</v>
      </c>
      <c r="G3295">
        <f t="shared" si="103"/>
        <v>32.6</v>
      </c>
    </row>
    <row r="3296" spans="1:7" ht="12.75" customHeight="1">
      <c r="A3296" s="3">
        <v>37397</v>
      </c>
      <c r="B3296" s="4" t="s">
        <v>3318</v>
      </c>
      <c r="C3296" s="3" t="s">
        <v>2057</v>
      </c>
      <c r="D3296" s="5">
        <f t="shared" si="102"/>
        <v>34.15</v>
      </c>
      <c r="E3296">
        <v>37.49</v>
      </c>
      <c r="F3296" s="1789">
        <v>8.8999999999999996E-2</v>
      </c>
      <c r="G3296">
        <f t="shared" si="103"/>
        <v>34.15</v>
      </c>
    </row>
    <row r="3297" spans="1:7" ht="12.75" customHeight="1">
      <c r="A3297" s="3">
        <v>43606</v>
      </c>
      <c r="B3297" s="4" t="s">
        <v>3319</v>
      </c>
      <c r="C3297" s="3" t="s">
        <v>6</v>
      </c>
      <c r="D3297" s="5">
        <f t="shared" si="102"/>
        <v>9.26</v>
      </c>
      <c r="E3297">
        <v>10.17</v>
      </c>
      <c r="F3297" s="1789">
        <v>8.8999999999999996E-2</v>
      </c>
      <c r="G3297">
        <f t="shared" si="103"/>
        <v>9.26</v>
      </c>
    </row>
    <row r="3298" spans="1:7" ht="12.75" customHeight="1">
      <c r="A3298" s="3">
        <v>444</v>
      </c>
      <c r="B3298" s="4" t="s">
        <v>3320</v>
      </c>
      <c r="C3298" s="3" t="s">
        <v>6</v>
      </c>
      <c r="D3298" s="5">
        <f t="shared" si="102"/>
        <v>33.549999999999997</v>
      </c>
      <c r="E3298">
        <v>36.83</v>
      </c>
      <c r="F3298" s="1789">
        <v>8.8999999999999996E-2</v>
      </c>
      <c r="G3298">
        <f t="shared" si="103"/>
        <v>33.549999999999997</v>
      </c>
    </row>
    <row r="3299" spans="1:7" ht="12.75" customHeight="1">
      <c r="A3299" s="3">
        <v>445</v>
      </c>
      <c r="B3299" s="4" t="s">
        <v>3321</v>
      </c>
      <c r="C3299" s="3" t="s">
        <v>6</v>
      </c>
      <c r="D3299" s="5">
        <f t="shared" si="102"/>
        <v>45.92</v>
      </c>
      <c r="E3299">
        <v>50.41</v>
      </c>
      <c r="F3299" s="1789">
        <v>8.8999999999999996E-2</v>
      </c>
      <c r="G3299">
        <f t="shared" si="103"/>
        <v>45.92</v>
      </c>
    </row>
    <row r="3300" spans="1:7" ht="12.75" customHeight="1">
      <c r="A3300" s="3">
        <v>4783</v>
      </c>
      <c r="B3300" s="4" t="s">
        <v>3322</v>
      </c>
      <c r="C3300" s="3" t="s">
        <v>154</v>
      </c>
      <c r="D3300" s="5">
        <f t="shared" si="102"/>
        <v>18.02</v>
      </c>
      <c r="E3300">
        <v>19.79</v>
      </c>
      <c r="F3300" s="1789">
        <v>8.8999999999999996E-2</v>
      </c>
      <c r="G3300">
        <f t="shared" si="103"/>
        <v>18.02</v>
      </c>
    </row>
    <row r="3301" spans="1:7" ht="12.75" customHeight="1">
      <c r="A3301" s="3">
        <v>41079</v>
      </c>
      <c r="B3301" s="4" t="s">
        <v>3323</v>
      </c>
      <c r="C3301" s="3" t="s">
        <v>156</v>
      </c>
      <c r="D3301" s="5">
        <f t="shared" si="102"/>
        <v>3172.4</v>
      </c>
      <c r="E3301">
        <v>3482.33</v>
      </c>
      <c r="F3301" s="1789">
        <v>8.8999999999999996E-2</v>
      </c>
      <c r="G3301">
        <f t="shared" si="103"/>
        <v>3172.4</v>
      </c>
    </row>
    <row r="3302" spans="1:7" ht="12.75" customHeight="1">
      <c r="A3302" s="3">
        <v>12874</v>
      </c>
      <c r="B3302" s="4" t="s">
        <v>3324</v>
      </c>
      <c r="C3302" s="3" t="s">
        <v>154</v>
      </c>
      <c r="D3302" s="5">
        <f t="shared" si="102"/>
        <v>17.5</v>
      </c>
      <c r="E3302">
        <v>19.21</v>
      </c>
      <c r="F3302" s="1789">
        <v>8.8999999999999996E-2</v>
      </c>
      <c r="G3302">
        <f t="shared" si="103"/>
        <v>17.5</v>
      </c>
    </row>
    <row r="3303" spans="1:7" ht="12.75" customHeight="1">
      <c r="A3303" s="3">
        <v>41082</v>
      </c>
      <c r="B3303" s="4" t="s">
        <v>3325</v>
      </c>
      <c r="C3303" s="3" t="s">
        <v>156</v>
      </c>
      <c r="D3303" s="5">
        <f t="shared" si="102"/>
        <v>3080.6</v>
      </c>
      <c r="E3303">
        <v>3381.56</v>
      </c>
      <c r="F3303" s="1789">
        <v>8.8999999999999996E-2</v>
      </c>
      <c r="G3303">
        <f t="shared" si="103"/>
        <v>3080.6</v>
      </c>
    </row>
    <row r="3304" spans="1:7" ht="12.75" customHeight="1">
      <c r="A3304" s="3">
        <v>4785</v>
      </c>
      <c r="B3304" s="4" t="s">
        <v>3326</v>
      </c>
      <c r="C3304" s="3" t="s">
        <v>154</v>
      </c>
      <c r="D3304" s="5">
        <f t="shared" si="102"/>
        <v>18.02</v>
      </c>
      <c r="E3304">
        <v>19.79</v>
      </c>
      <c r="F3304" s="1789">
        <v>8.8999999999999996E-2</v>
      </c>
      <c r="G3304">
        <f t="shared" si="103"/>
        <v>18.02</v>
      </c>
    </row>
    <row r="3305" spans="1:7" ht="12.75" customHeight="1">
      <c r="A3305" s="3">
        <v>41081</v>
      </c>
      <c r="B3305" s="4" t="s">
        <v>3327</v>
      </c>
      <c r="C3305" s="3" t="s">
        <v>156</v>
      </c>
      <c r="D3305" s="5">
        <f t="shared" si="102"/>
        <v>3172.4</v>
      </c>
      <c r="E3305">
        <v>3482.33</v>
      </c>
      <c r="F3305" s="1789">
        <v>8.8999999999999996E-2</v>
      </c>
      <c r="G3305">
        <f t="shared" si="103"/>
        <v>3172.4</v>
      </c>
    </row>
    <row r="3306" spans="1:7" ht="12.75" customHeight="1">
      <c r="A3306" s="3">
        <v>4801</v>
      </c>
      <c r="B3306" s="4" t="s">
        <v>3328</v>
      </c>
      <c r="C3306" s="3" t="s">
        <v>409</v>
      </c>
      <c r="D3306" s="5">
        <f t="shared" si="102"/>
        <v>76.78</v>
      </c>
      <c r="E3306">
        <v>84.29</v>
      </c>
      <c r="F3306" s="1789">
        <v>8.8999999999999996E-2</v>
      </c>
      <c r="G3306">
        <f t="shared" si="103"/>
        <v>76.78</v>
      </c>
    </row>
    <row r="3307" spans="1:7" ht="12.75" customHeight="1">
      <c r="A3307" s="3">
        <v>4794</v>
      </c>
      <c r="B3307" s="4" t="s">
        <v>3329</v>
      </c>
      <c r="C3307" s="3" t="s">
        <v>409</v>
      </c>
      <c r="D3307" s="5">
        <f t="shared" si="102"/>
        <v>349.75</v>
      </c>
      <c r="E3307">
        <v>383.92</v>
      </c>
      <c r="F3307" s="1789">
        <v>8.8999999999999996E-2</v>
      </c>
      <c r="G3307">
        <f t="shared" si="103"/>
        <v>349.75</v>
      </c>
    </row>
    <row r="3308" spans="1:7" ht="12.75" customHeight="1">
      <c r="A3308" s="3">
        <v>4796</v>
      </c>
      <c r="B3308" s="4" t="s">
        <v>3330</v>
      </c>
      <c r="C3308" s="3" t="s">
        <v>409</v>
      </c>
      <c r="D3308" s="5">
        <f t="shared" si="102"/>
        <v>212.43</v>
      </c>
      <c r="E3308">
        <v>233.19</v>
      </c>
      <c r="F3308" s="1789">
        <v>8.8999999999999996E-2</v>
      </c>
      <c r="G3308">
        <f t="shared" si="103"/>
        <v>212.43</v>
      </c>
    </row>
    <row r="3309" spans="1:7" ht="12.75" customHeight="1">
      <c r="A3309" s="3">
        <v>4800</v>
      </c>
      <c r="B3309" s="4" t="s">
        <v>3331</v>
      </c>
      <c r="C3309" s="3" t="s">
        <v>409</v>
      </c>
      <c r="D3309" s="5">
        <f t="shared" si="102"/>
        <v>58.42</v>
      </c>
      <c r="E3309">
        <v>64.13</v>
      </c>
      <c r="F3309" s="1789">
        <v>8.8999999999999996E-2</v>
      </c>
      <c r="G3309">
        <f t="shared" si="103"/>
        <v>58.42</v>
      </c>
    </row>
    <row r="3310" spans="1:7" ht="12.75" customHeight="1">
      <c r="A3310" s="3">
        <v>4795</v>
      </c>
      <c r="B3310" s="4" t="s">
        <v>3332</v>
      </c>
      <c r="C3310" s="3" t="s">
        <v>409</v>
      </c>
      <c r="D3310" s="5">
        <f t="shared" si="102"/>
        <v>340.46</v>
      </c>
      <c r="E3310">
        <v>373.73</v>
      </c>
      <c r="F3310" s="1789">
        <v>8.8999999999999996E-2</v>
      </c>
      <c r="G3310">
        <f t="shared" si="103"/>
        <v>340.46</v>
      </c>
    </row>
    <row r="3311" spans="1:7" ht="12.75" customHeight="1">
      <c r="A3311" s="3">
        <v>39694</v>
      </c>
      <c r="B3311" s="4" t="s">
        <v>3333</v>
      </c>
      <c r="C3311" s="3" t="s">
        <v>409</v>
      </c>
      <c r="D3311" s="5">
        <f t="shared" si="102"/>
        <v>343.41</v>
      </c>
      <c r="E3311">
        <v>376.96</v>
      </c>
      <c r="F3311" s="1789">
        <v>8.8999999999999996E-2</v>
      </c>
      <c r="G3311">
        <f t="shared" si="103"/>
        <v>343.41</v>
      </c>
    </row>
    <row r="3312" spans="1:7" ht="12.75" customHeight="1">
      <c r="A3312" s="3">
        <v>1292</v>
      </c>
      <c r="B3312" s="4" t="s">
        <v>3334</v>
      </c>
      <c r="C3312" s="3" t="s">
        <v>409</v>
      </c>
      <c r="D3312" s="5">
        <f t="shared" si="102"/>
        <v>59.24</v>
      </c>
      <c r="E3312">
        <v>65.03</v>
      </c>
      <c r="F3312" s="1789">
        <v>8.8999999999999996E-2</v>
      </c>
      <c r="G3312">
        <f t="shared" si="103"/>
        <v>59.24</v>
      </c>
    </row>
    <row r="3313" spans="1:7" ht="12.75" customHeight="1">
      <c r="A3313" s="3">
        <v>1287</v>
      </c>
      <c r="B3313" s="4" t="s">
        <v>3335</v>
      </c>
      <c r="C3313" s="3" t="s">
        <v>409</v>
      </c>
      <c r="D3313" s="5">
        <f t="shared" si="102"/>
        <v>29.06</v>
      </c>
      <c r="E3313">
        <v>31.9</v>
      </c>
      <c r="F3313" s="1789">
        <v>8.8999999999999996E-2</v>
      </c>
      <c r="G3313">
        <f t="shared" si="103"/>
        <v>29.06</v>
      </c>
    </row>
    <row r="3314" spans="1:7" ht="12.75" customHeight="1">
      <c r="A3314" s="3">
        <v>4786</v>
      </c>
      <c r="B3314" s="4" t="s">
        <v>3336</v>
      </c>
      <c r="C3314" s="3" t="s">
        <v>409</v>
      </c>
      <c r="D3314" s="5">
        <f t="shared" si="102"/>
        <v>107.95</v>
      </c>
      <c r="E3314">
        <v>118.5</v>
      </c>
      <c r="F3314" s="1789">
        <v>8.8999999999999996E-2</v>
      </c>
      <c r="G3314">
        <f t="shared" si="103"/>
        <v>107.95</v>
      </c>
    </row>
    <row r="3315" spans="1:7" ht="12.75" customHeight="1">
      <c r="A3315" s="3">
        <v>10840</v>
      </c>
      <c r="B3315" s="4" t="s">
        <v>3337</v>
      </c>
      <c r="C3315" s="3" t="s">
        <v>409</v>
      </c>
      <c r="D3315" s="5">
        <f t="shared" si="102"/>
        <v>380.79</v>
      </c>
      <c r="E3315">
        <v>418</v>
      </c>
      <c r="F3315" s="1789">
        <v>8.8999999999999996E-2</v>
      </c>
      <c r="G3315">
        <f t="shared" si="103"/>
        <v>380.79</v>
      </c>
    </row>
    <row r="3316" spans="1:7" ht="12.75" customHeight="1">
      <c r="A3316" s="3">
        <v>10841</v>
      </c>
      <c r="B3316" s="4" t="s">
        <v>3338</v>
      </c>
      <c r="C3316" s="3" t="s">
        <v>409</v>
      </c>
      <c r="D3316" s="5">
        <f t="shared" si="102"/>
        <v>287.39</v>
      </c>
      <c r="E3316">
        <v>315.47000000000003</v>
      </c>
      <c r="F3316" s="1789">
        <v>8.8999999999999996E-2</v>
      </c>
      <c r="G3316">
        <f t="shared" si="103"/>
        <v>287.39</v>
      </c>
    </row>
    <row r="3317" spans="1:7" ht="12.75" customHeight="1">
      <c r="A3317" s="3">
        <v>44540</v>
      </c>
      <c r="B3317" s="4" t="s">
        <v>3339</v>
      </c>
      <c r="C3317" s="3" t="s">
        <v>409</v>
      </c>
      <c r="D3317" s="5">
        <f t="shared" si="102"/>
        <v>367.22</v>
      </c>
      <c r="E3317">
        <v>403.1</v>
      </c>
      <c r="F3317" s="1789">
        <v>8.8999999999999996E-2</v>
      </c>
      <c r="G3317">
        <f t="shared" si="103"/>
        <v>367.22</v>
      </c>
    </row>
    <row r="3318" spans="1:7" ht="12.75" customHeight="1">
      <c r="A3318" s="3">
        <v>10842</v>
      </c>
      <c r="B3318" s="4" t="s">
        <v>3340</v>
      </c>
      <c r="C3318" s="3" t="s">
        <v>409</v>
      </c>
      <c r="D3318" s="5">
        <f t="shared" si="102"/>
        <v>415.12</v>
      </c>
      <c r="E3318">
        <v>455.68</v>
      </c>
      <c r="F3318" s="1789">
        <v>8.8999999999999996E-2</v>
      </c>
      <c r="G3318">
        <f t="shared" si="103"/>
        <v>415.12</v>
      </c>
    </row>
    <row r="3319" spans="1:7" ht="12.75" customHeight="1">
      <c r="A3319" s="3">
        <v>21108</v>
      </c>
      <c r="B3319" s="4" t="s">
        <v>3341</v>
      </c>
      <c r="C3319" s="3" t="s">
        <v>409</v>
      </c>
      <c r="D3319" s="5">
        <f t="shared" si="102"/>
        <v>68.45</v>
      </c>
      <c r="E3319">
        <v>75.14</v>
      </c>
      <c r="F3319" s="1789">
        <v>8.8999999999999996E-2</v>
      </c>
      <c r="G3319">
        <f t="shared" si="103"/>
        <v>68.45</v>
      </c>
    </row>
    <row r="3320" spans="1:7" ht="12.75" customHeight="1">
      <c r="A3320" s="3">
        <v>38195</v>
      </c>
      <c r="B3320" s="4" t="s">
        <v>3342</v>
      </c>
      <c r="C3320" s="3" t="s">
        <v>409</v>
      </c>
      <c r="D3320" s="5">
        <f t="shared" si="102"/>
        <v>93.24</v>
      </c>
      <c r="E3320">
        <v>102.36</v>
      </c>
      <c r="F3320" s="1789">
        <v>8.8999999999999996E-2</v>
      </c>
      <c r="G3320">
        <f t="shared" si="103"/>
        <v>93.24</v>
      </c>
    </row>
    <row r="3321" spans="1:7" ht="12.75" customHeight="1">
      <c r="A3321" s="3">
        <v>38180</v>
      </c>
      <c r="B3321" s="4" t="s">
        <v>3343</v>
      </c>
      <c r="C3321" s="3" t="s">
        <v>409</v>
      </c>
      <c r="D3321" s="5">
        <f t="shared" si="102"/>
        <v>171.04</v>
      </c>
      <c r="E3321">
        <v>187.75</v>
      </c>
      <c r="F3321" s="1789">
        <v>8.8999999999999996E-2</v>
      </c>
      <c r="G3321">
        <f t="shared" si="103"/>
        <v>171.04</v>
      </c>
    </row>
    <row r="3322" spans="1:7" ht="12.75" customHeight="1">
      <c r="A3322" s="3">
        <v>40648</v>
      </c>
      <c r="B3322" s="4" t="s">
        <v>3344</v>
      </c>
      <c r="C3322" s="3" t="s">
        <v>409</v>
      </c>
      <c r="D3322" s="5">
        <f t="shared" si="102"/>
        <v>207.27</v>
      </c>
      <c r="E3322">
        <v>227.52</v>
      </c>
      <c r="F3322" s="1789">
        <v>8.8999999999999996E-2</v>
      </c>
      <c r="G3322">
        <f t="shared" si="103"/>
        <v>207.27</v>
      </c>
    </row>
    <row r="3323" spans="1:7" ht="12.75" customHeight="1">
      <c r="A3323" s="3">
        <v>40649</v>
      </c>
      <c r="B3323" s="4" t="s">
        <v>3345</v>
      </c>
      <c r="C3323" s="3" t="s">
        <v>409</v>
      </c>
      <c r="D3323" s="5">
        <f t="shared" si="102"/>
        <v>120.73</v>
      </c>
      <c r="E3323">
        <v>132.53</v>
      </c>
      <c r="F3323" s="1789">
        <v>8.8999999999999996E-2</v>
      </c>
      <c r="G3323">
        <f t="shared" si="103"/>
        <v>120.73</v>
      </c>
    </row>
    <row r="3324" spans="1:7" ht="12.75" customHeight="1">
      <c r="A3324" s="3">
        <v>40650</v>
      </c>
      <c r="B3324" s="4" t="s">
        <v>3346</v>
      </c>
      <c r="C3324" s="3" t="s">
        <v>409</v>
      </c>
      <c r="D3324" s="5">
        <f t="shared" si="102"/>
        <v>155.44999999999999</v>
      </c>
      <c r="E3324">
        <v>170.64</v>
      </c>
      <c r="F3324" s="1789">
        <v>8.8999999999999996E-2</v>
      </c>
      <c r="G3324">
        <f t="shared" si="103"/>
        <v>155.44999999999999</v>
      </c>
    </row>
    <row r="3325" spans="1:7" ht="12.75" customHeight="1">
      <c r="A3325" s="3">
        <v>40651</v>
      </c>
      <c r="B3325" s="4" t="s">
        <v>3347</v>
      </c>
      <c r="C3325" s="3" t="s">
        <v>409</v>
      </c>
      <c r="D3325" s="5">
        <f t="shared" si="102"/>
        <v>286.70999999999998</v>
      </c>
      <c r="E3325">
        <v>314.73</v>
      </c>
      <c r="F3325" s="1789">
        <v>8.8999999999999996E-2</v>
      </c>
      <c r="G3325">
        <f t="shared" si="103"/>
        <v>286.70999999999998</v>
      </c>
    </row>
    <row r="3326" spans="1:7" ht="12.75" customHeight="1">
      <c r="A3326" s="3">
        <v>40652</v>
      </c>
      <c r="B3326" s="4" t="s">
        <v>3348</v>
      </c>
      <c r="C3326" s="3" t="s">
        <v>409</v>
      </c>
      <c r="D3326" s="5">
        <f t="shared" si="102"/>
        <v>153.72</v>
      </c>
      <c r="E3326">
        <v>168.74</v>
      </c>
      <c r="F3326" s="1789">
        <v>8.8999999999999996E-2</v>
      </c>
      <c r="G3326">
        <f t="shared" si="103"/>
        <v>153.72</v>
      </c>
    </row>
    <row r="3327" spans="1:7" ht="12.75" customHeight="1">
      <c r="A3327" s="3">
        <v>40647</v>
      </c>
      <c r="B3327" s="4" t="s">
        <v>3349</v>
      </c>
      <c r="C3327" s="3" t="s">
        <v>409</v>
      </c>
      <c r="D3327" s="5">
        <f t="shared" si="102"/>
        <v>169.26</v>
      </c>
      <c r="E3327">
        <v>185.8</v>
      </c>
      <c r="F3327" s="1789">
        <v>8.8999999999999996E-2</v>
      </c>
      <c r="G3327">
        <f t="shared" si="103"/>
        <v>169.26</v>
      </c>
    </row>
    <row r="3328" spans="1:7" ht="12.75" customHeight="1">
      <c r="A3328" s="3">
        <v>40653</v>
      </c>
      <c r="B3328" s="4" t="s">
        <v>3350</v>
      </c>
      <c r="C3328" s="3" t="s">
        <v>409</v>
      </c>
      <c r="D3328" s="5">
        <f t="shared" si="102"/>
        <v>129.54</v>
      </c>
      <c r="E3328">
        <v>142.19999999999999</v>
      </c>
      <c r="F3328" s="1789">
        <v>8.8999999999999996E-2</v>
      </c>
      <c r="G3328">
        <f t="shared" si="103"/>
        <v>129.54</v>
      </c>
    </row>
    <row r="3329" spans="1:7" ht="12.75" customHeight="1">
      <c r="A3329" s="3">
        <v>38135</v>
      </c>
      <c r="B3329" s="4" t="s">
        <v>3351</v>
      </c>
      <c r="C3329" s="3" t="s">
        <v>409</v>
      </c>
      <c r="D3329" s="5">
        <f t="shared" si="102"/>
        <v>87.11</v>
      </c>
      <c r="E3329">
        <v>95.63</v>
      </c>
      <c r="F3329" s="1789">
        <v>8.8999999999999996E-2</v>
      </c>
      <c r="G3329">
        <f t="shared" si="103"/>
        <v>87.11</v>
      </c>
    </row>
    <row r="3330" spans="1:7" ht="12.75" customHeight="1">
      <c r="A3330" s="3">
        <v>36178</v>
      </c>
      <c r="B3330" s="4" t="s">
        <v>3352</v>
      </c>
      <c r="C3330" s="3" t="s">
        <v>6</v>
      </c>
      <c r="D3330" s="5">
        <f t="shared" si="102"/>
        <v>18.09</v>
      </c>
      <c r="E3330">
        <v>19.86</v>
      </c>
      <c r="F3330" s="1789">
        <v>8.8999999999999996E-2</v>
      </c>
      <c r="G3330">
        <f t="shared" si="103"/>
        <v>18.09</v>
      </c>
    </row>
    <row r="3331" spans="1:7" ht="12.75" customHeight="1">
      <c r="A3331" s="3">
        <v>38181</v>
      </c>
      <c r="B3331" s="4" t="s">
        <v>3353</v>
      </c>
      <c r="C3331" s="3" t="s">
        <v>409</v>
      </c>
      <c r="D3331" s="5">
        <f t="shared" ref="D3331:D3394" si="104">G3331</f>
        <v>233.48</v>
      </c>
      <c r="E3331">
        <v>256.3</v>
      </c>
      <c r="F3331" s="1789">
        <v>8.8999999999999996E-2</v>
      </c>
      <c r="G3331">
        <f t="shared" ref="G3331:G3394" si="105">TRUNC((1-F3331)*E3331,2)</f>
        <v>233.48</v>
      </c>
    </row>
    <row r="3332" spans="1:7" ht="12.75" customHeight="1">
      <c r="A3332" s="3">
        <v>38182</v>
      </c>
      <c r="B3332" s="4" t="s">
        <v>3354</v>
      </c>
      <c r="C3332" s="3" t="s">
        <v>409</v>
      </c>
      <c r="D3332" s="5">
        <f t="shared" si="104"/>
        <v>222.41</v>
      </c>
      <c r="E3332">
        <v>244.14</v>
      </c>
      <c r="F3332" s="1789">
        <v>8.8999999999999996E-2</v>
      </c>
      <c r="G3332">
        <f t="shared" si="105"/>
        <v>222.41</v>
      </c>
    </row>
    <row r="3333" spans="1:7" ht="12.75" customHeight="1">
      <c r="A3333" s="3">
        <v>38186</v>
      </c>
      <c r="B3333" s="4" t="s">
        <v>3355</v>
      </c>
      <c r="C3333" s="3" t="s">
        <v>409</v>
      </c>
      <c r="D3333" s="5">
        <f t="shared" si="104"/>
        <v>578.12</v>
      </c>
      <c r="E3333">
        <v>634.6</v>
      </c>
      <c r="F3333" s="1789">
        <v>8.8999999999999996E-2</v>
      </c>
      <c r="G3333">
        <f t="shared" si="105"/>
        <v>578.12</v>
      </c>
    </row>
    <row r="3334" spans="1:7" ht="12.75" customHeight="1">
      <c r="A3334" s="3">
        <v>38185</v>
      </c>
      <c r="B3334" s="4" t="s">
        <v>3356</v>
      </c>
      <c r="C3334" s="3" t="s">
        <v>409</v>
      </c>
      <c r="D3334" s="5">
        <f t="shared" si="104"/>
        <v>514.72</v>
      </c>
      <c r="E3334">
        <v>565.01</v>
      </c>
      <c r="F3334" s="1789">
        <v>8.8999999999999996E-2</v>
      </c>
      <c r="G3334">
        <f t="shared" si="105"/>
        <v>514.72</v>
      </c>
    </row>
    <row r="3335" spans="1:7" ht="12.75" customHeight="1">
      <c r="A3335" s="3">
        <v>40654</v>
      </c>
      <c r="B3335" s="4" t="s">
        <v>3357</v>
      </c>
      <c r="C3335" s="3" t="s">
        <v>409</v>
      </c>
      <c r="D3335" s="5">
        <f t="shared" si="104"/>
        <v>201.22</v>
      </c>
      <c r="E3335">
        <v>220.88</v>
      </c>
      <c r="F3335" s="1789">
        <v>8.8999999999999996E-2</v>
      </c>
      <c r="G3335">
        <f t="shared" si="105"/>
        <v>201.22</v>
      </c>
    </row>
    <row r="3336" spans="1:7" ht="12.75" customHeight="1">
      <c r="A3336" s="3">
        <v>44541</v>
      </c>
      <c r="B3336" s="4" t="s">
        <v>3358</v>
      </c>
      <c r="C3336" s="3" t="s">
        <v>409</v>
      </c>
      <c r="D3336" s="5">
        <f t="shared" si="104"/>
        <v>303.35000000000002</v>
      </c>
      <c r="E3336">
        <v>332.99</v>
      </c>
      <c r="F3336" s="1789">
        <v>8.8999999999999996E-2</v>
      </c>
      <c r="G3336">
        <f t="shared" si="105"/>
        <v>303.35000000000002</v>
      </c>
    </row>
    <row r="3337" spans="1:7" ht="12.75" customHeight="1">
      <c r="A3337" s="3">
        <v>4822</v>
      </c>
      <c r="B3337" s="4" t="s">
        <v>3359</v>
      </c>
      <c r="C3337" s="3" t="s">
        <v>409</v>
      </c>
      <c r="D3337" s="5">
        <f t="shared" si="104"/>
        <v>405.46</v>
      </c>
      <c r="E3337">
        <v>445.08</v>
      </c>
      <c r="F3337" s="1789">
        <v>8.8999999999999996E-2</v>
      </c>
      <c r="G3337">
        <f t="shared" si="105"/>
        <v>405.46</v>
      </c>
    </row>
    <row r="3338" spans="1:7" ht="12.75" customHeight="1">
      <c r="A3338" s="3">
        <v>4818</v>
      </c>
      <c r="B3338" s="4" t="s">
        <v>3360</v>
      </c>
      <c r="C3338" s="3" t="s">
        <v>409</v>
      </c>
      <c r="D3338" s="5">
        <f t="shared" si="104"/>
        <v>416.76</v>
      </c>
      <c r="E3338">
        <v>457.48</v>
      </c>
      <c r="F3338" s="1789">
        <v>8.8999999999999996E-2</v>
      </c>
      <c r="G3338">
        <f t="shared" si="105"/>
        <v>416.76</v>
      </c>
    </row>
    <row r="3339" spans="1:7" ht="12.75" customHeight="1">
      <c r="A3339" s="3">
        <v>39567</v>
      </c>
      <c r="B3339" s="4" t="s">
        <v>3361</v>
      </c>
      <c r="C3339" s="3" t="s">
        <v>409</v>
      </c>
      <c r="D3339" s="5">
        <f t="shared" si="104"/>
        <v>47.46</v>
      </c>
      <c r="E3339">
        <v>52.1</v>
      </c>
      <c r="F3339" s="1789">
        <v>8.8999999999999996E-2</v>
      </c>
      <c r="G3339">
        <f t="shared" si="105"/>
        <v>47.46</v>
      </c>
    </row>
    <row r="3340" spans="1:7" ht="12.75" customHeight="1">
      <c r="A3340" s="3">
        <v>39566</v>
      </c>
      <c r="B3340" s="4" t="s">
        <v>3362</v>
      </c>
      <c r="C3340" s="3" t="s">
        <v>409</v>
      </c>
      <c r="D3340" s="5">
        <f t="shared" si="104"/>
        <v>50.24</v>
      </c>
      <c r="E3340">
        <v>55.15</v>
      </c>
      <c r="F3340" s="1789">
        <v>8.8999999999999996E-2</v>
      </c>
      <c r="G3340">
        <f t="shared" si="105"/>
        <v>50.24</v>
      </c>
    </row>
    <row r="3341" spans="1:7" ht="12.75" customHeight="1">
      <c r="A3341" s="3">
        <v>39416</v>
      </c>
      <c r="B3341" s="4" t="s">
        <v>3363</v>
      </c>
      <c r="C3341" s="3" t="s">
        <v>409</v>
      </c>
      <c r="D3341" s="5">
        <f t="shared" si="104"/>
        <v>30.61</v>
      </c>
      <c r="E3341">
        <v>33.61</v>
      </c>
      <c r="F3341" s="1789">
        <v>8.8999999999999996E-2</v>
      </c>
      <c r="G3341">
        <f t="shared" si="105"/>
        <v>30.61</v>
      </c>
    </row>
    <row r="3342" spans="1:7" ht="12.75" customHeight="1">
      <c r="A3342" s="3">
        <v>39417</v>
      </c>
      <c r="B3342" s="4" t="s">
        <v>3364</v>
      </c>
      <c r="C3342" s="3" t="s">
        <v>409</v>
      </c>
      <c r="D3342" s="5">
        <f t="shared" si="104"/>
        <v>29.86</v>
      </c>
      <c r="E3342">
        <v>32.78</v>
      </c>
      <c r="F3342" s="1789">
        <v>8.8999999999999996E-2</v>
      </c>
      <c r="G3342">
        <f t="shared" si="105"/>
        <v>29.86</v>
      </c>
    </row>
    <row r="3343" spans="1:7" ht="12.75" customHeight="1">
      <c r="A3343" s="3">
        <v>43742</v>
      </c>
      <c r="B3343" s="4" t="s">
        <v>3365</v>
      </c>
      <c r="C3343" s="3" t="s">
        <v>409</v>
      </c>
      <c r="D3343" s="5">
        <f t="shared" si="104"/>
        <v>32.21</v>
      </c>
      <c r="E3343">
        <v>35.36</v>
      </c>
      <c r="F3343" s="1789">
        <v>8.8999999999999996E-2</v>
      </c>
      <c r="G3343">
        <f t="shared" si="105"/>
        <v>32.21</v>
      </c>
    </row>
    <row r="3344" spans="1:7" ht="12.75" customHeight="1">
      <c r="A3344" s="3">
        <v>39414</v>
      </c>
      <c r="B3344" s="4" t="s">
        <v>3366</v>
      </c>
      <c r="C3344" s="3" t="s">
        <v>409</v>
      </c>
      <c r="D3344" s="5">
        <f t="shared" si="104"/>
        <v>28.99</v>
      </c>
      <c r="E3344">
        <v>31.83</v>
      </c>
      <c r="F3344" s="1789">
        <v>8.8999999999999996E-2</v>
      </c>
      <c r="G3344">
        <f t="shared" si="105"/>
        <v>28.99</v>
      </c>
    </row>
    <row r="3345" spans="1:7" ht="12.75" customHeight="1">
      <c r="A3345" s="3">
        <v>39415</v>
      </c>
      <c r="B3345" s="4" t="s">
        <v>3367</v>
      </c>
      <c r="C3345" s="3" t="s">
        <v>409</v>
      </c>
      <c r="D3345" s="5">
        <f t="shared" si="104"/>
        <v>24.99</v>
      </c>
      <c r="E3345">
        <v>27.44</v>
      </c>
      <c r="F3345" s="1789">
        <v>8.8999999999999996E-2</v>
      </c>
      <c r="G3345">
        <f t="shared" si="105"/>
        <v>24.99</v>
      </c>
    </row>
    <row r="3346" spans="1:7" ht="12.75" customHeight="1">
      <c r="A3346" s="3">
        <v>43740</v>
      </c>
      <c r="B3346" s="4" t="s">
        <v>3368</v>
      </c>
      <c r="C3346" s="3" t="s">
        <v>409</v>
      </c>
      <c r="D3346" s="5">
        <f t="shared" si="104"/>
        <v>30.52</v>
      </c>
      <c r="E3346">
        <v>33.51</v>
      </c>
      <c r="F3346" s="1789">
        <v>8.8999999999999996E-2</v>
      </c>
      <c r="G3346">
        <f t="shared" si="105"/>
        <v>30.52</v>
      </c>
    </row>
    <row r="3347" spans="1:7" ht="12.75" customHeight="1">
      <c r="A3347" s="3">
        <v>39412</v>
      </c>
      <c r="B3347" s="4" t="s">
        <v>3369</v>
      </c>
      <c r="C3347" s="3" t="s">
        <v>409</v>
      </c>
      <c r="D3347" s="5">
        <f t="shared" si="104"/>
        <v>20.93</v>
      </c>
      <c r="E3347">
        <v>22.98</v>
      </c>
      <c r="F3347" s="1789">
        <v>8.8999999999999996E-2</v>
      </c>
      <c r="G3347">
        <f t="shared" si="105"/>
        <v>20.93</v>
      </c>
    </row>
    <row r="3348" spans="1:7" ht="12.75" customHeight="1">
      <c r="A3348" s="3">
        <v>39413</v>
      </c>
      <c r="B3348" s="4" t="s">
        <v>3370</v>
      </c>
      <c r="C3348" s="3" t="s">
        <v>409</v>
      </c>
      <c r="D3348" s="5">
        <f t="shared" si="104"/>
        <v>22.63</v>
      </c>
      <c r="E3348">
        <v>24.85</v>
      </c>
      <c r="F3348" s="1789">
        <v>8.8999999999999996E-2</v>
      </c>
      <c r="G3348">
        <f t="shared" si="105"/>
        <v>22.63</v>
      </c>
    </row>
    <row r="3349" spans="1:7" ht="12.75" customHeight="1">
      <c r="A3349" s="3">
        <v>43741</v>
      </c>
      <c r="B3349" s="4" t="s">
        <v>3371</v>
      </c>
      <c r="C3349" s="3" t="s">
        <v>409</v>
      </c>
      <c r="D3349" s="5">
        <f t="shared" si="104"/>
        <v>24.13</v>
      </c>
      <c r="E3349">
        <v>26.49</v>
      </c>
      <c r="F3349" s="1789">
        <v>8.8999999999999996E-2</v>
      </c>
      <c r="G3349">
        <f t="shared" si="105"/>
        <v>24.13</v>
      </c>
    </row>
    <row r="3350" spans="1:7" ht="12.75" customHeight="1">
      <c r="A3350" s="3">
        <v>11062</v>
      </c>
      <c r="B3350" s="4" t="s">
        <v>3372</v>
      </c>
      <c r="C3350" s="3" t="s">
        <v>409</v>
      </c>
      <c r="D3350" s="5">
        <f t="shared" si="104"/>
        <v>45.7</v>
      </c>
      <c r="E3350">
        <v>50.17</v>
      </c>
      <c r="F3350" s="1789">
        <v>8.8999999999999996E-2</v>
      </c>
      <c r="G3350">
        <f t="shared" si="105"/>
        <v>45.7</v>
      </c>
    </row>
    <row r="3351" spans="1:7" ht="12.75" customHeight="1">
      <c r="A3351" s="3">
        <v>11063</v>
      </c>
      <c r="B3351" s="4" t="s">
        <v>3373</v>
      </c>
      <c r="C3351" s="3" t="s">
        <v>409</v>
      </c>
      <c r="D3351" s="5">
        <f t="shared" si="104"/>
        <v>27.97</v>
      </c>
      <c r="E3351">
        <v>30.71</v>
      </c>
      <c r="F3351" s="1789">
        <v>8.8999999999999996E-2</v>
      </c>
      <c r="G3351">
        <f t="shared" si="105"/>
        <v>27.97</v>
      </c>
    </row>
    <row r="3352" spans="1:7" ht="12.75" customHeight="1">
      <c r="A3352" s="3">
        <v>13521</v>
      </c>
      <c r="B3352" s="4" t="s">
        <v>3374</v>
      </c>
      <c r="C3352" s="3" t="s">
        <v>6</v>
      </c>
      <c r="D3352" s="5">
        <f t="shared" si="104"/>
        <v>120.25</v>
      </c>
      <c r="E3352">
        <v>132</v>
      </c>
      <c r="F3352" s="1789">
        <v>8.8999999999999996E-2</v>
      </c>
      <c r="G3352">
        <f t="shared" si="105"/>
        <v>120.25</v>
      </c>
    </row>
    <row r="3353" spans="1:7" ht="12.75" customHeight="1">
      <c r="A3353" s="3">
        <v>10851</v>
      </c>
      <c r="B3353" s="4" t="s">
        <v>3375</v>
      </c>
      <c r="C3353" s="3" t="s">
        <v>6</v>
      </c>
      <c r="D3353" s="5">
        <f t="shared" si="104"/>
        <v>75.209999999999994</v>
      </c>
      <c r="E3353">
        <v>82.56</v>
      </c>
      <c r="F3353" s="1789">
        <v>8.8999999999999996E-2</v>
      </c>
      <c r="G3353">
        <f t="shared" si="105"/>
        <v>75.209999999999994</v>
      </c>
    </row>
    <row r="3354" spans="1:7" ht="12.75" customHeight="1">
      <c r="A3354" s="3">
        <v>39515</v>
      </c>
      <c r="B3354" s="4" t="s">
        <v>3376</v>
      </c>
      <c r="C3354" s="3" t="s">
        <v>6</v>
      </c>
      <c r="D3354" s="5">
        <f t="shared" si="104"/>
        <v>51.92</v>
      </c>
      <c r="E3354">
        <v>57</v>
      </c>
      <c r="F3354" s="1789">
        <v>8.8999999999999996E-2</v>
      </c>
      <c r="G3354">
        <f t="shared" si="105"/>
        <v>51.92</v>
      </c>
    </row>
    <row r="3355" spans="1:7" ht="12.75" customHeight="1">
      <c r="A3355" s="3">
        <v>39516</v>
      </c>
      <c r="B3355" s="4" t="s">
        <v>3377</v>
      </c>
      <c r="C3355" s="3" t="s">
        <v>6</v>
      </c>
      <c r="D3355" s="5">
        <f t="shared" si="104"/>
        <v>43.78</v>
      </c>
      <c r="E3355">
        <v>48.06</v>
      </c>
      <c r="F3355" s="1789">
        <v>8.8999999999999996E-2</v>
      </c>
      <c r="G3355">
        <f t="shared" si="105"/>
        <v>43.78</v>
      </c>
    </row>
    <row r="3356" spans="1:7" ht="12.75" customHeight="1">
      <c r="A3356" s="3">
        <v>39514</v>
      </c>
      <c r="B3356" s="4" t="s">
        <v>3378</v>
      </c>
      <c r="C3356" s="3" t="s">
        <v>6</v>
      </c>
      <c r="D3356" s="5">
        <f t="shared" si="104"/>
        <v>27.23</v>
      </c>
      <c r="E3356">
        <v>29.9</v>
      </c>
      <c r="F3356" s="1789">
        <v>8.8999999999999996E-2</v>
      </c>
      <c r="G3356">
        <f t="shared" si="105"/>
        <v>27.23</v>
      </c>
    </row>
    <row r="3357" spans="1:7" ht="12.75" customHeight="1">
      <c r="A3357" s="3">
        <v>4812</v>
      </c>
      <c r="B3357" s="4" t="s">
        <v>3379</v>
      </c>
      <c r="C3357" s="3" t="s">
        <v>409</v>
      </c>
      <c r="D3357" s="5">
        <f t="shared" si="104"/>
        <v>12.55</v>
      </c>
      <c r="E3357">
        <v>13.78</v>
      </c>
      <c r="F3357" s="1789">
        <v>8.8999999999999996E-2</v>
      </c>
      <c r="G3357">
        <f t="shared" si="105"/>
        <v>12.55</v>
      </c>
    </row>
    <row r="3358" spans="1:7" ht="12.75" customHeight="1">
      <c r="A3358" s="3">
        <v>10849</v>
      </c>
      <c r="B3358" s="4" t="s">
        <v>3380</v>
      </c>
      <c r="C3358" s="3" t="s">
        <v>6</v>
      </c>
      <c r="D3358" s="5">
        <f t="shared" si="104"/>
        <v>1749.12</v>
      </c>
      <c r="E3358">
        <v>1920.01</v>
      </c>
      <c r="F3358" s="1789">
        <v>8.8999999999999996E-2</v>
      </c>
      <c r="G3358">
        <f t="shared" si="105"/>
        <v>1749.12</v>
      </c>
    </row>
    <row r="3359" spans="1:7" ht="12.75" customHeight="1">
      <c r="A3359" s="3">
        <v>10848</v>
      </c>
      <c r="B3359" s="4" t="s">
        <v>3381</v>
      </c>
      <c r="C3359" s="3" t="s">
        <v>6</v>
      </c>
      <c r="D3359" s="5">
        <f t="shared" si="104"/>
        <v>1098.67</v>
      </c>
      <c r="E3359">
        <v>1206.01</v>
      </c>
      <c r="F3359" s="1789">
        <v>8.8999999999999996E-2</v>
      </c>
      <c r="G3359">
        <f t="shared" si="105"/>
        <v>1098.67</v>
      </c>
    </row>
    <row r="3360" spans="1:7" ht="12.75" customHeight="1">
      <c r="A3360" s="3">
        <v>4813</v>
      </c>
      <c r="B3360" s="4" t="s">
        <v>3382</v>
      </c>
      <c r="C3360" s="3" t="s">
        <v>409</v>
      </c>
      <c r="D3360" s="5">
        <f t="shared" si="104"/>
        <v>364.4</v>
      </c>
      <c r="E3360">
        <v>400</v>
      </c>
      <c r="F3360" s="1789">
        <v>8.8999999999999996E-2</v>
      </c>
      <c r="G3360">
        <f t="shared" si="105"/>
        <v>364.4</v>
      </c>
    </row>
    <row r="3361" spans="1:7" ht="12.75" customHeight="1">
      <c r="A3361" s="3">
        <v>37560</v>
      </c>
      <c r="B3361" s="4" t="s">
        <v>3383</v>
      </c>
      <c r="C3361" s="3" t="s">
        <v>6</v>
      </c>
      <c r="D3361" s="5">
        <f t="shared" si="104"/>
        <v>17.75</v>
      </c>
      <c r="E3361">
        <v>19.489999999999998</v>
      </c>
      <c r="F3361" s="1789">
        <v>8.8999999999999996E-2</v>
      </c>
      <c r="G3361">
        <f t="shared" si="105"/>
        <v>17.75</v>
      </c>
    </row>
    <row r="3362" spans="1:7" ht="12.75" customHeight="1">
      <c r="A3362" s="3">
        <v>37557</v>
      </c>
      <c r="B3362" s="4" t="s">
        <v>3384</v>
      </c>
      <c r="C3362" s="3" t="s">
        <v>6</v>
      </c>
      <c r="D3362" s="5">
        <f t="shared" si="104"/>
        <v>5.38</v>
      </c>
      <c r="E3362">
        <v>5.91</v>
      </c>
      <c r="F3362" s="1789">
        <v>8.8999999999999996E-2</v>
      </c>
      <c r="G3362">
        <f t="shared" si="105"/>
        <v>5.38</v>
      </c>
    </row>
    <row r="3363" spans="1:7" ht="12.75" customHeight="1">
      <c r="A3363" s="3">
        <v>37556</v>
      </c>
      <c r="B3363" s="4" t="s">
        <v>3385</v>
      </c>
      <c r="C3363" s="3" t="s">
        <v>6</v>
      </c>
      <c r="D3363" s="5">
        <f t="shared" si="104"/>
        <v>10.43</v>
      </c>
      <c r="E3363">
        <v>11.45</v>
      </c>
      <c r="F3363" s="1789">
        <v>8.8999999999999996E-2</v>
      </c>
      <c r="G3363">
        <f t="shared" si="105"/>
        <v>10.43</v>
      </c>
    </row>
    <row r="3364" spans="1:7" ht="12.75" customHeight="1">
      <c r="A3364" s="3">
        <v>37559</v>
      </c>
      <c r="B3364" s="4" t="s">
        <v>3386</v>
      </c>
      <c r="C3364" s="3" t="s">
        <v>6</v>
      </c>
      <c r="D3364" s="5">
        <f t="shared" si="104"/>
        <v>12.79</v>
      </c>
      <c r="E3364">
        <v>14.04</v>
      </c>
      <c r="F3364" s="1789">
        <v>8.8999999999999996E-2</v>
      </c>
      <c r="G3364">
        <f t="shared" si="105"/>
        <v>12.79</v>
      </c>
    </row>
    <row r="3365" spans="1:7" ht="12.75" customHeight="1">
      <c r="A3365" s="3">
        <v>37539</v>
      </c>
      <c r="B3365" s="4" t="s">
        <v>3387</v>
      </c>
      <c r="C3365" s="3" t="s">
        <v>6</v>
      </c>
      <c r="D3365" s="5">
        <f t="shared" si="104"/>
        <v>9.01</v>
      </c>
      <c r="E3365">
        <v>9.9</v>
      </c>
      <c r="F3365" s="1789">
        <v>8.8999999999999996E-2</v>
      </c>
      <c r="G3365">
        <f t="shared" si="105"/>
        <v>9.01</v>
      </c>
    </row>
    <row r="3366" spans="1:7" ht="12.75" customHeight="1">
      <c r="A3366" s="3">
        <v>37558</v>
      </c>
      <c r="B3366" s="4" t="s">
        <v>3388</v>
      </c>
      <c r="C3366" s="3" t="s">
        <v>6</v>
      </c>
      <c r="D3366" s="5">
        <f t="shared" si="104"/>
        <v>16.8</v>
      </c>
      <c r="E3366">
        <v>18.45</v>
      </c>
      <c r="F3366" s="1789">
        <v>8.8999999999999996E-2</v>
      </c>
      <c r="G3366">
        <f t="shared" si="105"/>
        <v>16.8</v>
      </c>
    </row>
    <row r="3367" spans="1:7" ht="12.75" customHeight="1">
      <c r="A3367" s="3">
        <v>34723</v>
      </c>
      <c r="B3367" s="4" t="s">
        <v>3389</v>
      </c>
      <c r="C3367" s="3" t="s">
        <v>409</v>
      </c>
      <c r="D3367" s="5">
        <f t="shared" si="104"/>
        <v>841.76</v>
      </c>
      <c r="E3367">
        <v>924</v>
      </c>
      <c r="F3367" s="1789">
        <v>8.8999999999999996E-2</v>
      </c>
      <c r="G3367">
        <f t="shared" si="105"/>
        <v>841.76</v>
      </c>
    </row>
    <row r="3368" spans="1:7" ht="12.75" customHeight="1">
      <c r="A3368" s="3">
        <v>34721</v>
      </c>
      <c r="B3368" s="4" t="s">
        <v>3390</v>
      </c>
      <c r="C3368" s="3" t="s">
        <v>409</v>
      </c>
      <c r="D3368" s="5">
        <f t="shared" si="104"/>
        <v>1049.48</v>
      </c>
      <c r="E3368">
        <v>1152.01</v>
      </c>
      <c r="F3368" s="1789">
        <v>8.8999999999999996E-2</v>
      </c>
      <c r="G3368">
        <f t="shared" si="105"/>
        <v>1049.48</v>
      </c>
    </row>
    <row r="3369" spans="1:7" ht="12.75" customHeight="1">
      <c r="A3369" s="3">
        <v>4309</v>
      </c>
      <c r="B3369" s="4" t="s">
        <v>3391</v>
      </c>
      <c r="C3369" s="3" t="s">
        <v>6</v>
      </c>
      <c r="D3369" s="5">
        <f t="shared" si="104"/>
        <v>6.93</v>
      </c>
      <c r="E3369">
        <v>7.61</v>
      </c>
      <c r="F3369" s="1789">
        <v>8.8999999999999996E-2</v>
      </c>
      <c r="G3369">
        <f t="shared" si="105"/>
        <v>6.93</v>
      </c>
    </row>
    <row r="3370" spans="1:7" ht="12.75" customHeight="1">
      <c r="A3370" s="3">
        <v>4307</v>
      </c>
      <c r="B3370" s="4" t="s">
        <v>3392</v>
      </c>
      <c r="C3370" s="3" t="s">
        <v>6</v>
      </c>
      <c r="D3370" s="5">
        <f t="shared" si="104"/>
        <v>11.85</v>
      </c>
      <c r="E3370">
        <v>13.01</v>
      </c>
      <c r="F3370" s="1789">
        <v>8.8999999999999996E-2</v>
      </c>
      <c r="G3370">
        <f t="shared" si="105"/>
        <v>11.85</v>
      </c>
    </row>
    <row r="3371" spans="1:7" ht="12.75" customHeight="1">
      <c r="A3371" s="3">
        <v>10850</v>
      </c>
      <c r="B3371" s="4" t="s">
        <v>3393</v>
      </c>
      <c r="C3371" s="3" t="s">
        <v>6</v>
      </c>
      <c r="D3371" s="5">
        <f t="shared" si="104"/>
        <v>54.66</v>
      </c>
      <c r="E3371">
        <v>60</v>
      </c>
      <c r="F3371" s="1789">
        <v>8.8999999999999996E-2</v>
      </c>
      <c r="G3371">
        <f t="shared" si="105"/>
        <v>54.66</v>
      </c>
    </row>
    <row r="3372" spans="1:7" ht="12.75" customHeight="1">
      <c r="A3372" s="3">
        <v>42438</v>
      </c>
      <c r="B3372" s="4" t="s">
        <v>3394</v>
      </c>
      <c r="C3372" s="3" t="s">
        <v>6</v>
      </c>
      <c r="D3372" s="5">
        <f t="shared" si="104"/>
        <v>1904.67</v>
      </c>
      <c r="E3372">
        <v>2090.75</v>
      </c>
      <c r="F3372" s="1789">
        <v>8.8999999999999996E-2</v>
      </c>
      <c r="G3372">
        <f t="shared" si="105"/>
        <v>1904.67</v>
      </c>
    </row>
    <row r="3373" spans="1:7" ht="12.75" customHeight="1">
      <c r="A3373" s="3">
        <v>4792</v>
      </c>
      <c r="B3373" s="4" t="s">
        <v>3395</v>
      </c>
      <c r="C3373" s="3" t="s">
        <v>409</v>
      </c>
      <c r="D3373" s="5">
        <f t="shared" si="104"/>
        <v>164.18</v>
      </c>
      <c r="E3373">
        <v>180.23</v>
      </c>
      <c r="F3373" s="1789">
        <v>8.8999999999999996E-2</v>
      </c>
      <c r="G3373">
        <f t="shared" si="105"/>
        <v>164.18</v>
      </c>
    </row>
    <row r="3374" spans="1:7" ht="12.75" customHeight="1">
      <c r="A3374" s="3">
        <v>4790</v>
      </c>
      <c r="B3374" s="4" t="s">
        <v>3396</v>
      </c>
      <c r="C3374" s="3" t="s">
        <v>409</v>
      </c>
      <c r="D3374" s="5">
        <f t="shared" si="104"/>
        <v>98.71</v>
      </c>
      <c r="E3374">
        <v>108.36</v>
      </c>
      <c r="F3374" s="1789">
        <v>8.8999999999999996E-2</v>
      </c>
      <c r="G3374">
        <f t="shared" si="105"/>
        <v>98.71</v>
      </c>
    </row>
    <row r="3375" spans="1:7" ht="12.75" customHeight="1">
      <c r="A3375" s="3">
        <v>40671</v>
      </c>
      <c r="B3375" s="4" t="s">
        <v>3397</v>
      </c>
      <c r="C3375" s="3" t="s">
        <v>409</v>
      </c>
      <c r="D3375" s="5">
        <f t="shared" si="104"/>
        <v>118.78</v>
      </c>
      <c r="E3375">
        <v>130.38999999999999</v>
      </c>
      <c r="F3375" s="1789">
        <v>8.8999999999999996E-2</v>
      </c>
      <c r="G3375">
        <f t="shared" si="105"/>
        <v>118.78</v>
      </c>
    </row>
    <row r="3376" spans="1:7" ht="12.75" customHeight="1">
      <c r="A3376" s="3">
        <v>7552</v>
      </c>
      <c r="B3376" s="4" t="s">
        <v>3398</v>
      </c>
      <c r="C3376" s="3" t="s">
        <v>6</v>
      </c>
      <c r="D3376" s="5">
        <f t="shared" si="104"/>
        <v>27.34</v>
      </c>
      <c r="E3376">
        <v>30.02</v>
      </c>
      <c r="F3376" s="1789">
        <v>8.8999999999999996E-2</v>
      </c>
      <c r="G3376">
        <f t="shared" si="105"/>
        <v>27.34</v>
      </c>
    </row>
    <row r="3377" spans="1:7" ht="12.75" customHeight="1">
      <c r="A3377" s="3">
        <v>4893</v>
      </c>
      <c r="B3377" s="4" t="s">
        <v>3399</v>
      </c>
      <c r="C3377" s="3" t="s">
        <v>6</v>
      </c>
      <c r="D3377" s="5">
        <f t="shared" si="104"/>
        <v>10.42</v>
      </c>
      <c r="E3377">
        <v>11.44</v>
      </c>
      <c r="F3377" s="1789">
        <v>8.8999999999999996E-2</v>
      </c>
      <c r="G3377">
        <f t="shared" si="105"/>
        <v>10.42</v>
      </c>
    </row>
    <row r="3378" spans="1:7" ht="12.75" customHeight="1">
      <c r="A3378" s="3">
        <v>4894</v>
      </c>
      <c r="B3378" s="4" t="s">
        <v>3400</v>
      </c>
      <c r="C3378" s="3" t="s">
        <v>6</v>
      </c>
      <c r="D3378" s="5">
        <f t="shared" si="104"/>
        <v>8.93</v>
      </c>
      <c r="E3378">
        <v>9.81</v>
      </c>
      <c r="F3378" s="1789">
        <v>8.8999999999999996E-2</v>
      </c>
      <c r="G3378">
        <f t="shared" si="105"/>
        <v>8.93</v>
      </c>
    </row>
    <row r="3379" spans="1:7" ht="12.75" customHeight="1">
      <c r="A3379" s="3">
        <v>4888</v>
      </c>
      <c r="B3379" s="4" t="s">
        <v>3401</v>
      </c>
      <c r="C3379" s="3" t="s">
        <v>6</v>
      </c>
      <c r="D3379" s="5">
        <f t="shared" si="104"/>
        <v>3.04</v>
      </c>
      <c r="E3379">
        <v>3.34</v>
      </c>
      <c r="F3379" s="1789">
        <v>8.8999999999999996E-2</v>
      </c>
      <c r="G3379">
        <f t="shared" si="105"/>
        <v>3.04</v>
      </c>
    </row>
    <row r="3380" spans="1:7" ht="12.75" customHeight="1">
      <c r="A3380" s="3">
        <v>4890</v>
      </c>
      <c r="B3380" s="4" t="s">
        <v>3402</v>
      </c>
      <c r="C3380" s="3" t="s">
        <v>6</v>
      </c>
      <c r="D3380" s="5">
        <f t="shared" si="104"/>
        <v>5.72</v>
      </c>
      <c r="E3380">
        <v>6.28</v>
      </c>
      <c r="F3380" s="1789">
        <v>8.8999999999999996E-2</v>
      </c>
      <c r="G3380">
        <f t="shared" si="105"/>
        <v>5.72</v>
      </c>
    </row>
    <row r="3381" spans="1:7" ht="12.75" customHeight="1">
      <c r="A3381" s="3">
        <v>12411</v>
      </c>
      <c r="B3381" s="4" t="s">
        <v>3403</v>
      </c>
      <c r="C3381" s="3" t="s">
        <v>6</v>
      </c>
      <c r="D3381" s="5">
        <f t="shared" si="104"/>
        <v>30.81</v>
      </c>
      <c r="E3381">
        <v>33.83</v>
      </c>
      <c r="F3381" s="1789">
        <v>8.8999999999999996E-2</v>
      </c>
      <c r="G3381">
        <f t="shared" si="105"/>
        <v>30.81</v>
      </c>
    </row>
    <row r="3382" spans="1:7" ht="12.75" customHeight="1">
      <c r="A3382" s="3">
        <v>4891</v>
      </c>
      <c r="B3382" s="4" t="s">
        <v>3404</v>
      </c>
      <c r="C3382" s="3" t="s">
        <v>6</v>
      </c>
      <c r="D3382" s="5">
        <f t="shared" si="104"/>
        <v>15.4</v>
      </c>
      <c r="E3382">
        <v>16.91</v>
      </c>
      <c r="F3382" s="1789">
        <v>8.8999999999999996E-2</v>
      </c>
      <c r="G3382">
        <f t="shared" si="105"/>
        <v>15.4</v>
      </c>
    </row>
    <row r="3383" spans="1:7" ht="12.75" customHeight="1">
      <c r="A3383" s="3">
        <v>4889</v>
      </c>
      <c r="B3383" s="4" t="s">
        <v>3405</v>
      </c>
      <c r="C3383" s="3" t="s">
        <v>6</v>
      </c>
      <c r="D3383" s="5">
        <f t="shared" si="104"/>
        <v>4.1100000000000003</v>
      </c>
      <c r="E3383">
        <v>4.5199999999999996</v>
      </c>
      <c r="F3383" s="1789">
        <v>8.8999999999999996E-2</v>
      </c>
      <c r="G3383">
        <f t="shared" si="105"/>
        <v>4.1100000000000003</v>
      </c>
    </row>
    <row r="3384" spans="1:7" ht="12.75" customHeight="1">
      <c r="A3384" s="3">
        <v>4892</v>
      </c>
      <c r="B3384" s="4" t="s">
        <v>3406</v>
      </c>
      <c r="C3384" s="3" t="s">
        <v>6</v>
      </c>
      <c r="D3384" s="5">
        <f t="shared" si="104"/>
        <v>43.15</v>
      </c>
      <c r="E3384">
        <v>47.37</v>
      </c>
      <c r="F3384" s="1789">
        <v>8.8999999999999996E-2</v>
      </c>
      <c r="G3384">
        <f t="shared" si="105"/>
        <v>43.15</v>
      </c>
    </row>
    <row r="3385" spans="1:7" ht="12.75" customHeight="1">
      <c r="A3385" s="3">
        <v>12412</v>
      </c>
      <c r="B3385" s="4" t="s">
        <v>3407</v>
      </c>
      <c r="C3385" s="3" t="s">
        <v>6</v>
      </c>
      <c r="D3385" s="5">
        <f t="shared" si="104"/>
        <v>80.2</v>
      </c>
      <c r="E3385">
        <v>88.04</v>
      </c>
      <c r="F3385" s="1789">
        <v>8.8999999999999996E-2</v>
      </c>
      <c r="G3385">
        <f t="shared" si="105"/>
        <v>80.2</v>
      </c>
    </row>
    <row r="3386" spans="1:7" ht="12.75" customHeight="1">
      <c r="A3386" s="3">
        <v>4907</v>
      </c>
      <c r="B3386" s="4" t="s">
        <v>3408</v>
      </c>
      <c r="C3386" s="3" t="s">
        <v>6</v>
      </c>
      <c r="D3386" s="5">
        <f t="shared" si="104"/>
        <v>18.04</v>
      </c>
      <c r="E3386">
        <v>19.809999999999999</v>
      </c>
      <c r="F3386" s="1789">
        <v>8.8999999999999996E-2</v>
      </c>
      <c r="G3386">
        <f t="shared" si="105"/>
        <v>18.04</v>
      </c>
    </row>
    <row r="3387" spans="1:7" ht="12.75" customHeight="1">
      <c r="A3387" s="3">
        <v>4902</v>
      </c>
      <c r="B3387" s="4" t="s">
        <v>3409</v>
      </c>
      <c r="C3387" s="3" t="s">
        <v>6</v>
      </c>
      <c r="D3387" s="5">
        <f t="shared" si="104"/>
        <v>46.82</v>
      </c>
      <c r="E3387">
        <v>51.4</v>
      </c>
      <c r="F3387" s="1789">
        <v>8.8999999999999996E-2</v>
      </c>
      <c r="G3387">
        <f t="shared" si="105"/>
        <v>46.82</v>
      </c>
    </row>
    <row r="3388" spans="1:7" ht="12.75" customHeight="1">
      <c r="A3388" s="3">
        <v>4741</v>
      </c>
      <c r="B3388" s="4" t="s">
        <v>3410</v>
      </c>
      <c r="C3388" s="3" t="s">
        <v>152</v>
      </c>
      <c r="D3388" s="5">
        <f t="shared" si="104"/>
        <v>128.4</v>
      </c>
      <c r="E3388">
        <v>140.94999999999999</v>
      </c>
      <c r="F3388" s="1789">
        <v>8.8999999999999996E-2</v>
      </c>
      <c r="G3388">
        <f t="shared" si="105"/>
        <v>128.4</v>
      </c>
    </row>
    <row r="3389" spans="1:7" ht="12.75" customHeight="1">
      <c r="A3389" s="3">
        <v>4752</v>
      </c>
      <c r="B3389" s="4" t="s">
        <v>3411</v>
      </c>
      <c r="C3389" s="3" t="s">
        <v>154</v>
      </c>
      <c r="D3389" s="5">
        <f t="shared" si="104"/>
        <v>14.88</v>
      </c>
      <c r="E3389">
        <v>16.34</v>
      </c>
      <c r="F3389" s="1789">
        <v>8.8999999999999996E-2</v>
      </c>
      <c r="G3389">
        <f t="shared" si="105"/>
        <v>14.88</v>
      </c>
    </row>
    <row r="3390" spans="1:7" ht="12.75" customHeight="1">
      <c r="A3390" s="3">
        <v>41091</v>
      </c>
      <c r="B3390" s="4" t="s">
        <v>3412</v>
      </c>
      <c r="C3390" s="3" t="s">
        <v>156</v>
      </c>
      <c r="D3390" s="5">
        <f t="shared" si="104"/>
        <v>2622.07</v>
      </c>
      <c r="E3390">
        <v>2878.24</v>
      </c>
      <c r="F3390" s="1789">
        <v>8.8999999999999996E-2</v>
      </c>
      <c r="G3390">
        <f t="shared" si="105"/>
        <v>2622.07</v>
      </c>
    </row>
    <row r="3391" spans="1:7" ht="12.75" customHeight="1">
      <c r="A3391" s="3">
        <v>13954</v>
      </c>
      <c r="B3391" s="4" t="s">
        <v>3413</v>
      </c>
      <c r="C3391" s="3" t="s">
        <v>6</v>
      </c>
      <c r="D3391" s="5">
        <f t="shared" si="104"/>
        <v>6459.61</v>
      </c>
      <c r="E3391">
        <v>7090.69</v>
      </c>
      <c r="F3391" s="1789">
        <v>8.8999999999999996E-2</v>
      </c>
      <c r="G3391">
        <f t="shared" si="105"/>
        <v>6459.61</v>
      </c>
    </row>
    <row r="3392" spans="1:7" ht="12.75" customHeight="1">
      <c r="A3392" s="3">
        <v>3411</v>
      </c>
      <c r="B3392" s="4" t="s">
        <v>3414</v>
      </c>
      <c r="C3392" s="3" t="s">
        <v>54</v>
      </c>
      <c r="D3392" s="5">
        <f t="shared" si="104"/>
        <v>50.98</v>
      </c>
      <c r="E3392">
        <v>55.97</v>
      </c>
      <c r="F3392" s="1789">
        <v>8.8999999999999996E-2</v>
      </c>
      <c r="G3392">
        <f t="shared" si="105"/>
        <v>50.98</v>
      </c>
    </row>
    <row r="3393" spans="1:7" ht="12.75" customHeight="1">
      <c r="A3393" s="3">
        <v>39995</v>
      </c>
      <c r="B3393" s="4" t="s">
        <v>3415</v>
      </c>
      <c r="C3393" s="3" t="s">
        <v>152</v>
      </c>
      <c r="D3393" s="5">
        <f t="shared" si="104"/>
        <v>392.27</v>
      </c>
      <c r="E3393">
        <v>430.6</v>
      </c>
      <c r="F3393" s="1789">
        <v>8.8999999999999996E-2</v>
      </c>
      <c r="G3393">
        <f t="shared" si="105"/>
        <v>392.27</v>
      </c>
    </row>
    <row r="3394" spans="1:7" ht="12.75" customHeight="1">
      <c r="A3394" s="3">
        <v>11615</v>
      </c>
      <c r="B3394" s="4" t="s">
        <v>3416</v>
      </c>
      <c r="C3394" s="3" t="s">
        <v>409</v>
      </c>
      <c r="D3394" s="5">
        <f t="shared" si="104"/>
        <v>3.32</v>
      </c>
      <c r="E3394">
        <v>3.65</v>
      </c>
      <c r="F3394" s="1789">
        <v>8.8999999999999996E-2</v>
      </c>
      <c r="G3394">
        <f t="shared" si="105"/>
        <v>3.32</v>
      </c>
    </row>
    <row r="3395" spans="1:7" ht="12.75" customHeight="1">
      <c r="A3395" s="3">
        <v>3408</v>
      </c>
      <c r="B3395" s="4" t="s">
        <v>3417</v>
      </c>
      <c r="C3395" s="3" t="s">
        <v>409</v>
      </c>
      <c r="D3395" s="5">
        <f t="shared" ref="D3395:D3458" si="106">G3395</f>
        <v>8.83</v>
      </c>
      <c r="E3395">
        <v>9.6999999999999993</v>
      </c>
      <c r="F3395" s="1789">
        <v>8.8999999999999996E-2</v>
      </c>
      <c r="G3395">
        <f t="shared" ref="G3395:G3458" si="107">TRUNC((1-F3395)*E3395,2)</f>
        <v>8.83</v>
      </c>
    </row>
    <row r="3396" spans="1:7" ht="12.75" customHeight="1">
      <c r="A3396" s="3">
        <v>3409</v>
      </c>
      <c r="B3396" s="4" t="s">
        <v>3418</v>
      </c>
      <c r="C3396" s="3" t="s">
        <v>409</v>
      </c>
      <c r="D3396" s="5">
        <f t="shared" si="106"/>
        <v>22.09</v>
      </c>
      <c r="E3396">
        <v>24.25</v>
      </c>
      <c r="F3396" s="1789">
        <v>8.8999999999999996E-2</v>
      </c>
      <c r="G3396">
        <f t="shared" si="107"/>
        <v>22.09</v>
      </c>
    </row>
    <row r="3397" spans="1:7" ht="12.75" customHeight="1">
      <c r="A3397" s="3">
        <v>11427</v>
      </c>
      <c r="B3397" s="4" t="s">
        <v>3419</v>
      </c>
      <c r="C3397" s="3" t="s">
        <v>54</v>
      </c>
      <c r="D3397" s="5">
        <f t="shared" si="106"/>
        <v>99.47</v>
      </c>
      <c r="E3397">
        <v>109.19</v>
      </c>
      <c r="F3397" s="1789">
        <v>8.8999999999999996E-2</v>
      </c>
      <c r="G3397">
        <f t="shared" si="107"/>
        <v>99.47</v>
      </c>
    </row>
    <row r="3398" spans="1:7" ht="12.75" customHeight="1">
      <c r="A3398" s="3">
        <v>4491</v>
      </c>
      <c r="B3398" s="4" t="s">
        <v>3420</v>
      </c>
      <c r="C3398" s="3" t="s">
        <v>50</v>
      </c>
      <c r="D3398" s="5">
        <f t="shared" si="106"/>
        <v>10.5</v>
      </c>
      <c r="E3398">
        <v>11.53</v>
      </c>
      <c r="F3398" s="1789">
        <v>8.8999999999999996E-2</v>
      </c>
      <c r="G3398">
        <f t="shared" si="107"/>
        <v>10.5</v>
      </c>
    </row>
    <row r="3399" spans="1:7" ht="12.75" customHeight="1">
      <c r="A3399" s="3">
        <v>2745</v>
      </c>
      <c r="B3399" s="4" t="s">
        <v>3421</v>
      </c>
      <c r="C3399" s="3" t="s">
        <v>50</v>
      </c>
      <c r="D3399" s="5">
        <f t="shared" si="106"/>
        <v>4.18</v>
      </c>
      <c r="E3399">
        <v>4.59</v>
      </c>
      <c r="F3399" s="1789">
        <v>8.8999999999999996E-2</v>
      </c>
      <c r="G3399">
        <f t="shared" si="107"/>
        <v>4.18</v>
      </c>
    </row>
    <row r="3400" spans="1:7" ht="12.75" customHeight="1">
      <c r="A3400" s="3">
        <v>14439</v>
      </c>
      <c r="B3400" s="4" t="s">
        <v>3422</v>
      </c>
      <c r="C3400" s="3" t="s">
        <v>50</v>
      </c>
      <c r="D3400" s="5">
        <f t="shared" si="106"/>
        <v>5.18</v>
      </c>
      <c r="E3400">
        <v>5.69</v>
      </c>
      <c r="F3400" s="1789">
        <v>8.8999999999999996E-2</v>
      </c>
      <c r="G3400">
        <f t="shared" si="107"/>
        <v>5.18</v>
      </c>
    </row>
    <row r="3401" spans="1:7" ht="12.75" customHeight="1">
      <c r="A3401" s="3">
        <v>44496</v>
      </c>
      <c r="B3401" s="4" t="s">
        <v>3423</v>
      </c>
      <c r="C3401" s="3" t="s">
        <v>6</v>
      </c>
      <c r="D3401" s="5">
        <f t="shared" si="106"/>
        <v>236.69</v>
      </c>
      <c r="E3401">
        <v>259.82</v>
      </c>
      <c r="F3401" s="1789">
        <v>8.8999999999999996E-2</v>
      </c>
      <c r="G3401">
        <f t="shared" si="107"/>
        <v>236.69</v>
      </c>
    </row>
    <row r="3402" spans="1:7" ht="12.75" customHeight="1">
      <c r="A3402" s="3">
        <v>12362</v>
      </c>
      <c r="B3402" s="4" t="s">
        <v>3424</v>
      </c>
      <c r="C3402" s="3" t="s">
        <v>6</v>
      </c>
      <c r="D3402" s="5">
        <f t="shared" si="106"/>
        <v>18.22</v>
      </c>
      <c r="E3402">
        <v>20.010000000000002</v>
      </c>
      <c r="F3402" s="1789">
        <v>8.8999999999999996E-2</v>
      </c>
      <c r="G3402">
        <f t="shared" si="107"/>
        <v>18.22</v>
      </c>
    </row>
    <row r="3403" spans="1:7" ht="12.75" customHeight="1">
      <c r="A3403" s="3">
        <v>421</v>
      </c>
      <c r="B3403" s="4" t="s">
        <v>3425</v>
      </c>
      <c r="C3403" s="3" t="s">
        <v>6</v>
      </c>
      <c r="D3403" s="5">
        <f t="shared" si="106"/>
        <v>19.239999999999998</v>
      </c>
      <c r="E3403">
        <v>21.12</v>
      </c>
      <c r="F3403" s="1789">
        <v>8.8999999999999996E-2</v>
      </c>
      <c r="G3403">
        <f t="shared" si="107"/>
        <v>19.239999999999998</v>
      </c>
    </row>
    <row r="3404" spans="1:7" ht="12.75" customHeight="1">
      <c r="A3404" s="3">
        <v>14148</v>
      </c>
      <c r="B3404" s="4" t="s">
        <v>3426</v>
      </c>
      <c r="C3404" s="3" t="s">
        <v>6</v>
      </c>
      <c r="D3404" s="5">
        <f t="shared" si="106"/>
        <v>0.89</v>
      </c>
      <c r="E3404">
        <v>0.98</v>
      </c>
      <c r="F3404" s="1789">
        <v>8.8999999999999996E-2</v>
      </c>
      <c r="G3404">
        <f t="shared" si="107"/>
        <v>0.89</v>
      </c>
    </row>
    <row r="3405" spans="1:7" ht="12.75" customHeight="1">
      <c r="A3405" s="3">
        <v>4341</v>
      </c>
      <c r="B3405" s="4" t="s">
        <v>3427</v>
      </c>
      <c r="C3405" s="3" t="s">
        <v>6</v>
      </c>
      <c r="D3405" s="5">
        <f t="shared" si="106"/>
        <v>0.97</v>
      </c>
      <c r="E3405">
        <v>1.07</v>
      </c>
      <c r="F3405" s="1789">
        <v>8.8999999999999996E-2</v>
      </c>
      <c r="G3405">
        <f t="shared" si="107"/>
        <v>0.97</v>
      </c>
    </row>
    <row r="3406" spans="1:7" ht="12.75" customHeight="1">
      <c r="A3406" s="3">
        <v>4337</v>
      </c>
      <c r="B3406" s="4" t="s">
        <v>3428</v>
      </c>
      <c r="C3406" s="3" t="s">
        <v>6</v>
      </c>
      <c r="D3406" s="5">
        <f t="shared" si="106"/>
        <v>2.4500000000000002</v>
      </c>
      <c r="E3406">
        <v>2.7</v>
      </c>
      <c r="F3406" s="1789">
        <v>8.8999999999999996E-2</v>
      </c>
      <c r="G3406">
        <f t="shared" si="107"/>
        <v>2.4500000000000002</v>
      </c>
    </row>
    <row r="3407" spans="1:7" ht="12.75" customHeight="1">
      <c r="A3407" s="3">
        <v>4339</v>
      </c>
      <c r="B3407" s="4" t="s">
        <v>3429</v>
      </c>
      <c r="C3407" s="3" t="s">
        <v>6</v>
      </c>
      <c r="D3407" s="5">
        <f t="shared" si="106"/>
        <v>0.51</v>
      </c>
      <c r="E3407">
        <v>0.56999999999999995</v>
      </c>
      <c r="F3407" s="1789">
        <v>8.8999999999999996E-2</v>
      </c>
      <c r="G3407">
        <f t="shared" si="107"/>
        <v>0.51</v>
      </c>
    </row>
    <row r="3408" spans="1:7" ht="12.75" customHeight="1">
      <c r="A3408" s="3">
        <v>39997</v>
      </c>
      <c r="B3408" s="4" t="s">
        <v>3430</v>
      </c>
      <c r="C3408" s="3" t="s">
        <v>6</v>
      </c>
      <c r="D3408" s="5">
        <f t="shared" si="106"/>
        <v>0.28999999999999998</v>
      </c>
      <c r="E3408">
        <v>0.32</v>
      </c>
      <c r="F3408" s="1789">
        <v>8.8999999999999996E-2</v>
      </c>
      <c r="G3408">
        <f t="shared" si="107"/>
        <v>0.28999999999999998</v>
      </c>
    </row>
    <row r="3409" spans="1:7" ht="12.75" customHeight="1">
      <c r="A3409" s="3">
        <v>11971</v>
      </c>
      <c r="B3409" s="4" t="s">
        <v>3431</v>
      </c>
      <c r="C3409" s="3" t="s">
        <v>6</v>
      </c>
      <c r="D3409" s="5">
        <f t="shared" si="106"/>
        <v>4.08</v>
      </c>
      <c r="E3409">
        <v>4.4800000000000004</v>
      </c>
      <c r="F3409" s="1789">
        <v>8.8999999999999996E-2</v>
      </c>
      <c r="G3409">
        <f t="shared" si="107"/>
        <v>4.08</v>
      </c>
    </row>
    <row r="3410" spans="1:7" ht="12.75" customHeight="1">
      <c r="A3410" s="3">
        <v>4342</v>
      </c>
      <c r="B3410" s="4" t="s">
        <v>3432</v>
      </c>
      <c r="C3410" s="3" t="s">
        <v>6</v>
      </c>
      <c r="D3410" s="5">
        <f t="shared" si="106"/>
        <v>0.2</v>
      </c>
      <c r="E3410">
        <v>0.23</v>
      </c>
      <c r="F3410" s="1789">
        <v>8.8999999999999996E-2</v>
      </c>
      <c r="G3410">
        <f t="shared" si="107"/>
        <v>0.2</v>
      </c>
    </row>
    <row r="3411" spans="1:7" ht="12.75" customHeight="1">
      <c r="A3411" s="3">
        <v>4330</v>
      </c>
      <c r="B3411" s="4" t="s">
        <v>3433</v>
      </c>
      <c r="C3411" s="3" t="s">
        <v>6</v>
      </c>
      <c r="D3411" s="5">
        <f t="shared" si="106"/>
        <v>0.13</v>
      </c>
      <c r="E3411">
        <v>0.15</v>
      </c>
      <c r="F3411" s="1789">
        <v>8.8999999999999996E-2</v>
      </c>
      <c r="G3411">
        <f t="shared" si="107"/>
        <v>0.13</v>
      </c>
    </row>
    <row r="3412" spans="1:7" ht="12.75" customHeight="1">
      <c r="A3412" s="3">
        <v>4340</v>
      </c>
      <c r="B3412" s="4" t="s">
        <v>3434</v>
      </c>
      <c r="C3412" s="3" t="s">
        <v>6</v>
      </c>
      <c r="D3412" s="5">
        <f t="shared" si="106"/>
        <v>1.1299999999999999</v>
      </c>
      <c r="E3412">
        <v>1.25</v>
      </c>
      <c r="F3412" s="1789">
        <v>8.8999999999999996E-2</v>
      </c>
      <c r="G3412">
        <f t="shared" si="107"/>
        <v>1.1299999999999999</v>
      </c>
    </row>
    <row r="3413" spans="1:7" ht="12.75" customHeight="1">
      <c r="A3413" s="3">
        <v>5088</v>
      </c>
      <c r="B3413" s="4" t="s">
        <v>3435</v>
      </c>
      <c r="C3413" s="3" t="s">
        <v>6</v>
      </c>
      <c r="D3413" s="5">
        <f t="shared" si="106"/>
        <v>7.22</v>
      </c>
      <c r="E3413">
        <v>7.93</v>
      </c>
      <c r="F3413" s="1789">
        <v>8.8999999999999996E-2</v>
      </c>
      <c r="G3413">
        <f t="shared" si="107"/>
        <v>7.22</v>
      </c>
    </row>
    <row r="3414" spans="1:7" ht="12.75" customHeight="1">
      <c r="A3414" s="3">
        <v>11154</v>
      </c>
      <c r="B3414" s="4" t="s">
        <v>3436</v>
      </c>
      <c r="C3414" s="3" t="s">
        <v>6</v>
      </c>
      <c r="D3414" s="5">
        <f t="shared" si="106"/>
        <v>1637.05</v>
      </c>
      <c r="E3414">
        <v>1796.99</v>
      </c>
      <c r="F3414" s="1789">
        <v>8.8999999999999996E-2</v>
      </c>
      <c r="G3414">
        <f t="shared" si="107"/>
        <v>1637.05</v>
      </c>
    </row>
    <row r="3415" spans="1:7" ht="12.75" customHeight="1">
      <c r="A3415" s="3">
        <v>4989</v>
      </c>
      <c r="B3415" s="4" t="s">
        <v>3437</v>
      </c>
      <c r="C3415" s="3" t="s">
        <v>6</v>
      </c>
      <c r="D3415" s="5">
        <f t="shared" si="106"/>
        <v>338.93</v>
      </c>
      <c r="E3415">
        <v>372.05</v>
      </c>
      <c r="F3415" s="1789">
        <v>8.8999999999999996E-2</v>
      </c>
      <c r="G3415">
        <f t="shared" si="107"/>
        <v>338.93</v>
      </c>
    </row>
    <row r="3416" spans="1:7" ht="12.75" customHeight="1">
      <c r="A3416" s="3">
        <v>4982</v>
      </c>
      <c r="B3416" s="4" t="s">
        <v>3438</v>
      </c>
      <c r="C3416" s="3" t="s">
        <v>6</v>
      </c>
      <c r="D3416" s="5">
        <f t="shared" si="106"/>
        <v>317.89999999999998</v>
      </c>
      <c r="E3416">
        <v>348.96</v>
      </c>
      <c r="F3416" s="1789">
        <v>8.8999999999999996E-2</v>
      </c>
      <c r="G3416">
        <f t="shared" si="107"/>
        <v>317.89999999999998</v>
      </c>
    </row>
    <row r="3417" spans="1:7" ht="12.75" customHeight="1">
      <c r="A3417" s="3">
        <v>4962</v>
      </c>
      <c r="B3417" s="4" t="s">
        <v>3439</v>
      </c>
      <c r="C3417" s="3" t="s">
        <v>6</v>
      </c>
      <c r="D3417" s="5">
        <f t="shared" si="106"/>
        <v>250.7</v>
      </c>
      <c r="E3417">
        <v>275.2</v>
      </c>
      <c r="F3417" s="1789">
        <v>8.8999999999999996E-2</v>
      </c>
      <c r="G3417">
        <f t="shared" si="107"/>
        <v>250.7</v>
      </c>
    </row>
    <row r="3418" spans="1:7" ht="12.75" customHeight="1">
      <c r="A3418" s="3">
        <v>4981</v>
      </c>
      <c r="B3418" s="4" t="s">
        <v>3440</v>
      </c>
      <c r="C3418" s="3" t="s">
        <v>6</v>
      </c>
      <c r="D3418" s="5">
        <f t="shared" si="106"/>
        <v>223.19</v>
      </c>
      <c r="E3418">
        <v>245</v>
      </c>
      <c r="F3418" s="1789">
        <v>8.8999999999999996E-2</v>
      </c>
      <c r="G3418">
        <f t="shared" si="107"/>
        <v>223.19</v>
      </c>
    </row>
    <row r="3419" spans="1:7" ht="12.75" customHeight="1">
      <c r="A3419" s="3">
        <v>4964</v>
      </c>
      <c r="B3419" s="4" t="s">
        <v>3441</v>
      </c>
      <c r="C3419" s="3" t="s">
        <v>6</v>
      </c>
      <c r="D3419" s="5">
        <f t="shared" si="106"/>
        <v>283.14</v>
      </c>
      <c r="E3419">
        <v>310.81</v>
      </c>
      <c r="F3419" s="1789">
        <v>8.8999999999999996E-2</v>
      </c>
      <c r="G3419">
        <f t="shared" si="107"/>
        <v>283.14</v>
      </c>
    </row>
    <row r="3420" spans="1:7" ht="12.75" customHeight="1">
      <c r="A3420" s="3">
        <v>4992</v>
      </c>
      <c r="B3420" s="4" t="s">
        <v>3442</v>
      </c>
      <c r="C3420" s="3" t="s">
        <v>6</v>
      </c>
      <c r="D3420" s="5">
        <f t="shared" si="106"/>
        <v>276.58</v>
      </c>
      <c r="E3420">
        <v>303.61</v>
      </c>
      <c r="F3420" s="1789">
        <v>8.8999999999999996E-2</v>
      </c>
      <c r="G3420">
        <f t="shared" si="107"/>
        <v>276.58</v>
      </c>
    </row>
    <row r="3421" spans="1:7" ht="12.75" customHeight="1">
      <c r="A3421" s="3">
        <v>4987</v>
      </c>
      <c r="B3421" s="4" t="s">
        <v>3443</v>
      </c>
      <c r="C3421" s="3" t="s">
        <v>6</v>
      </c>
      <c r="D3421" s="5">
        <f t="shared" si="106"/>
        <v>316.43</v>
      </c>
      <c r="E3421">
        <v>347.35</v>
      </c>
      <c r="F3421" s="1789">
        <v>8.8999999999999996E-2</v>
      </c>
      <c r="G3421">
        <f t="shared" si="107"/>
        <v>316.43</v>
      </c>
    </row>
    <row r="3422" spans="1:7" ht="12.75" customHeight="1">
      <c r="A3422" s="3">
        <v>4930</v>
      </c>
      <c r="B3422" s="4" t="s">
        <v>3444</v>
      </c>
      <c r="C3422" s="3" t="s">
        <v>409</v>
      </c>
      <c r="D3422" s="5">
        <f t="shared" si="106"/>
        <v>693.39</v>
      </c>
      <c r="E3422">
        <v>761.14</v>
      </c>
      <c r="F3422" s="1789">
        <v>8.8999999999999996E-2</v>
      </c>
      <c r="G3422">
        <f t="shared" si="107"/>
        <v>693.39</v>
      </c>
    </row>
    <row r="3423" spans="1:7" ht="12.75" customHeight="1">
      <c r="A3423" s="3">
        <v>4998</v>
      </c>
      <c r="B3423" s="4" t="s">
        <v>3445</v>
      </c>
      <c r="C3423" s="3" t="s">
        <v>409</v>
      </c>
      <c r="D3423" s="5">
        <f t="shared" si="106"/>
        <v>596.63</v>
      </c>
      <c r="E3423">
        <v>654.91999999999996</v>
      </c>
      <c r="F3423" s="1789">
        <v>8.8999999999999996E-2</v>
      </c>
      <c r="G3423">
        <f t="shared" si="107"/>
        <v>596.63</v>
      </c>
    </row>
    <row r="3424" spans="1:7" ht="12.75" customHeight="1">
      <c r="A3424" s="3">
        <v>39021</v>
      </c>
      <c r="B3424" s="4" t="s">
        <v>3446</v>
      </c>
      <c r="C3424" s="3" t="s">
        <v>6</v>
      </c>
      <c r="D3424" s="5">
        <f t="shared" si="106"/>
        <v>737.26</v>
      </c>
      <c r="E3424">
        <v>809.29</v>
      </c>
      <c r="F3424" s="1789">
        <v>8.8999999999999996E-2</v>
      </c>
      <c r="G3424">
        <f t="shared" si="107"/>
        <v>737.26</v>
      </c>
    </row>
    <row r="3425" spans="1:7" ht="12.75" customHeight="1">
      <c r="A3425" s="3">
        <v>39022</v>
      </c>
      <c r="B3425" s="4" t="s">
        <v>3447</v>
      </c>
      <c r="C3425" s="3" t="s">
        <v>6</v>
      </c>
      <c r="D3425" s="5">
        <f t="shared" si="106"/>
        <v>660.38</v>
      </c>
      <c r="E3425">
        <v>724.9</v>
      </c>
      <c r="F3425" s="1789">
        <v>8.8999999999999996E-2</v>
      </c>
      <c r="G3425">
        <f t="shared" si="107"/>
        <v>660.38</v>
      </c>
    </row>
    <row r="3426" spans="1:7" ht="12.75" customHeight="1">
      <c r="A3426" s="3">
        <v>39024</v>
      </c>
      <c r="B3426" s="4" t="s">
        <v>3448</v>
      </c>
      <c r="C3426" s="3" t="s">
        <v>6</v>
      </c>
      <c r="D3426" s="5">
        <f t="shared" si="106"/>
        <v>682.8</v>
      </c>
      <c r="E3426">
        <v>749.51</v>
      </c>
      <c r="F3426" s="1789">
        <v>8.8999999999999996E-2</v>
      </c>
      <c r="G3426">
        <f t="shared" si="107"/>
        <v>682.8</v>
      </c>
    </row>
    <row r="3427" spans="1:7" ht="12.75" customHeight="1">
      <c r="A3427" s="3">
        <v>4914</v>
      </c>
      <c r="B3427" s="4" t="s">
        <v>3449</v>
      </c>
      <c r="C3427" s="3" t="s">
        <v>409</v>
      </c>
      <c r="D3427" s="5">
        <f t="shared" si="106"/>
        <v>553.63</v>
      </c>
      <c r="E3427">
        <v>607.72</v>
      </c>
      <c r="F3427" s="1789">
        <v>8.8999999999999996E-2</v>
      </c>
      <c r="G3427">
        <f t="shared" si="107"/>
        <v>553.63</v>
      </c>
    </row>
    <row r="3428" spans="1:7" ht="12.75" customHeight="1">
      <c r="A3428" s="3">
        <v>4917</v>
      </c>
      <c r="B3428" s="4" t="s">
        <v>3450</v>
      </c>
      <c r="C3428" s="3" t="s">
        <v>409</v>
      </c>
      <c r="D3428" s="5">
        <f t="shared" si="106"/>
        <v>382.34</v>
      </c>
      <c r="E3428">
        <v>419.7</v>
      </c>
      <c r="F3428" s="1789">
        <v>8.8999999999999996E-2</v>
      </c>
      <c r="G3428">
        <f t="shared" si="107"/>
        <v>382.34</v>
      </c>
    </row>
    <row r="3429" spans="1:7" ht="12.75" customHeight="1">
      <c r="A3429" s="3">
        <v>39025</v>
      </c>
      <c r="B3429" s="4" t="s">
        <v>3451</v>
      </c>
      <c r="C3429" s="3" t="s">
        <v>6</v>
      </c>
      <c r="D3429" s="5">
        <f t="shared" si="106"/>
        <v>700.14</v>
      </c>
      <c r="E3429">
        <v>768.55</v>
      </c>
      <c r="F3429" s="1789">
        <v>8.8999999999999996E-2</v>
      </c>
      <c r="G3429">
        <f t="shared" si="107"/>
        <v>700.14</v>
      </c>
    </row>
    <row r="3430" spans="1:7" ht="12.75" customHeight="1">
      <c r="A3430" s="3">
        <v>4922</v>
      </c>
      <c r="B3430" s="4" t="s">
        <v>3452</v>
      </c>
      <c r="C3430" s="3" t="s">
        <v>409</v>
      </c>
      <c r="D3430" s="5">
        <f t="shared" si="106"/>
        <v>354.66</v>
      </c>
      <c r="E3430">
        <v>389.31</v>
      </c>
      <c r="F3430" s="1789">
        <v>8.8999999999999996E-2</v>
      </c>
      <c r="G3430">
        <f t="shared" si="107"/>
        <v>354.66</v>
      </c>
    </row>
    <row r="3431" spans="1:7" ht="12.75" customHeight="1">
      <c r="A3431" s="3">
        <v>4911</v>
      </c>
      <c r="B3431" s="4" t="s">
        <v>3453</v>
      </c>
      <c r="C3431" s="3" t="s">
        <v>409</v>
      </c>
      <c r="D3431" s="5">
        <f t="shared" si="106"/>
        <v>395.62</v>
      </c>
      <c r="E3431">
        <v>434.28</v>
      </c>
      <c r="F3431" s="1789">
        <v>8.8999999999999996E-2</v>
      </c>
      <c r="G3431">
        <f t="shared" si="107"/>
        <v>395.62</v>
      </c>
    </row>
    <row r="3432" spans="1:7" ht="12.75" customHeight="1">
      <c r="A3432" s="3">
        <v>37518</v>
      </c>
      <c r="B3432" s="4" t="s">
        <v>3454</v>
      </c>
      <c r="C3432" s="3" t="s">
        <v>409</v>
      </c>
      <c r="D3432" s="5">
        <f t="shared" si="106"/>
        <v>642.89</v>
      </c>
      <c r="E3432">
        <v>705.7</v>
      </c>
      <c r="F3432" s="1789">
        <v>8.8999999999999996E-2</v>
      </c>
      <c r="G3432">
        <f t="shared" si="107"/>
        <v>642.89</v>
      </c>
    </row>
    <row r="3433" spans="1:7" ht="12.75" customHeight="1">
      <c r="A3433" s="3">
        <v>4910</v>
      </c>
      <c r="B3433" s="4" t="s">
        <v>3455</v>
      </c>
      <c r="C3433" s="3" t="s">
        <v>409</v>
      </c>
      <c r="D3433" s="5">
        <f t="shared" si="106"/>
        <v>541.96</v>
      </c>
      <c r="E3433">
        <v>594.91</v>
      </c>
      <c r="F3433" s="1789">
        <v>8.8999999999999996E-2</v>
      </c>
      <c r="G3433">
        <f t="shared" si="107"/>
        <v>541.96</v>
      </c>
    </row>
    <row r="3434" spans="1:7" ht="12.75" customHeight="1">
      <c r="A3434" s="3">
        <v>4943</v>
      </c>
      <c r="B3434" s="4" t="s">
        <v>3456</v>
      </c>
      <c r="C3434" s="3" t="s">
        <v>409</v>
      </c>
      <c r="D3434" s="5">
        <f t="shared" si="106"/>
        <v>807.4</v>
      </c>
      <c r="E3434">
        <v>886.28</v>
      </c>
      <c r="F3434" s="1789">
        <v>8.8999999999999996E-2</v>
      </c>
      <c r="G3434">
        <f t="shared" si="107"/>
        <v>807.4</v>
      </c>
    </row>
    <row r="3435" spans="1:7" ht="12.75" customHeight="1">
      <c r="A3435" s="3">
        <v>5002</v>
      </c>
      <c r="B3435" s="4" t="s">
        <v>3457</v>
      </c>
      <c r="C3435" s="3" t="s">
        <v>409</v>
      </c>
      <c r="D3435" s="5">
        <f t="shared" si="106"/>
        <v>434.92</v>
      </c>
      <c r="E3435">
        <v>477.42</v>
      </c>
      <c r="F3435" s="1789">
        <v>8.8999999999999996E-2</v>
      </c>
      <c r="G3435">
        <f t="shared" si="107"/>
        <v>434.92</v>
      </c>
    </row>
    <row r="3436" spans="1:7" ht="12.75" customHeight="1">
      <c r="A3436" s="3">
        <v>4977</v>
      </c>
      <c r="B3436" s="4" t="s">
        <v>3458</v>
      </c>
      <c r="C3436" s="3" t="s">
        <v>409</v>
      </c>
      <c r="D3436" s="5">
        <f t="shared" si="106"/>
        <v>293.58999999999997</v>
      </c>
      <c r="E3436">
        <v>322.27999999999997</v>
      </c>
      <c r="F3436" s="1789">
        <v>8.8999999999999996E-2</v>
      </c>
      <c r="G3436">
        <f t="shared" si="107"/>
        <v>293.58999999999997</v>
      </c>
    </row>
    <row r="3437" spans="1:7" ht="12.75" customHeight="1">
      <c r="A3437" s="3">
        <v>5028</v>
      </c>
      <c r="B3437" s="4" t="s">
        <v>3459</v>
      </c>
      <c r="C3437" s="3" t="s">
        <v>409</v>
      </c>
      <c r="D3437" s="5">
        <f t="shared" si="106"/>
        <v>718.37</v>
      </c>
      <c r="E3437">
        <v>788.56</v>
      </c>
      <c r="F3437" s="1789">
        <v>8.8999999999999996E-2</v>
      </c>
      <c r="G3437">
        <f t="shared" si="107"/>
        <v>718.37</v>
      </c>
    </row>
    <row r="3438" spans="1:7" ht="12.75" customHeight="1">
      <c r="A3438" s="3">
        <v>4969</v>
      </c>
      <c r="B3438" s="4" t="s">
        <v>3460</v>
      </c>
      <c r="C3438" s="3" t="s">
        <v>409</v>
      </c>
      <c r="D3438" s="5">
        <f t="shared" si="106"/>
        <v>415.23</v>
      </c>
      <c r="E3438">
        <v>455.8</v>
      </c>
      <c r="F3438" s="1789">
        <v>8.8999999999999996E-2</v>
      </c>
      <c r="G3438">
        <f t="shared" si="107"/>
        <v>415.23</v>
      </c>
    </row>
    <row r="3439" spans="1:7" ht="12.75" customHeight="1">
      <c r="A3439" s="3">
        <v>11364</v>
      </c>
      <c r="B3439" s="4" t="s">
        <v>3461</v>
      </c>
      <c r="C3439" s="3" t="s">
        <v>6</v>
      </c>
      <c r="D3439" s="5">
        <f t="shared" si="106"/>
        <v>191.74</v>
      </c>
      <c r="E3439">
        <v>210.48</v>
      </c>
      <c r="F3439" s="1789">
        <v>8.8999999999999996E-2</v>
      </c>
      <c r="G3439">
        <f t="shared" si="107"/>
        <v>191.74</v>
      </c>
    </row>
    <row r="3440" spans="1:7" ht="12.75" customHeight="1">
      <c r="A3440" s="3">
        <v>11365</v>
      </c>
      <c r="B3440" s="4" t="s">
        <v>3462</v>
      </c>
      <c r="C3440" s="3" t="s">
        <v>6</v>
      </c>
      <c r="D3440" s="5">
        <f t="shared" si="106"/>
        <v>198.98</v>
      </c>
      <c r="E3440">
        <v>218.42</v>
      </c>
      <c r="F3440" s="1789">
        <v>8.8999999999999996E-2</v>
      </c>
      <c r="G3440">
        <f t="shared" si="107"/>
        <v>198.98</v>
      </c>
    </row>
    <row r="3441" spans="1:7" ht="12.75" customHeight="1">
      <c r="A3441" s="3">
        <v>11366</v>
      </c>
      <c r="B3441" s="4" t="s">
        <v>3463</v>
      </c>
      <c r="C3441" s="3" t="s">
        <v>6</v>
      </c>
      <c r="D3441" s="5">
        <f t="shared" si="106"/>
        <v>211.51</v>
      </c>
      <c r="E3441">
        <v>232.18</v>
      </c>
      <c r="F3441" s="1789">
        <v>8.8999999999999996E-2</v>
      </c>
      <c r="G3441">
        <f t="shared" si="107"/>
        <v>211.51</v>
      </c>
    </row>
    <row r="3442" spans="1:7" ht="12.75" customHeight="1">
      <c r="A3442" s="3">
        <v>43777</v>
      </c>
      <c r="B3442" s="4" t="s">
        <v>3464</v>
      </c>
      <c r="C3442" s="3" t="s">
        <v>6</v>
      </c>
      <c r="D3442" s="5">
        <f t="shared" si="106"/>
        <v>248.45</v>
      </c>
      <c r="E3442">
        <v>272.73</v>
      </c>
      <c r="F3442" s="1789">
        <v>8.8999999999999996E-2</v>
      </c>
      <c r="G3442">
        <f t="shared" si="107"/>
        <v>248.45</v>
      </c>
    </row>
    <row r="3443" spans="1:7" ht="12.75" customHeight="1">
      <c r="A3443" s="3">
        <v>20322</v>
      </c>
      <c r="B3443" s="4" t="s">
        <v>3465</v>
      </c>
      <c r="C3443" s="3" t="s">
        <v>6</v>
      </c>
      <c r="D3443" s="5">
        <f t="shared" si="106"/>
        <v>230.64</v>
      </c>
      <c r="E3443">
        <v>253.18</v>
      </c>
      <c r="F3443" s="1789">
        <v>8.8999999999999996E-2</v>
      </c>
      <c r="G3443">
        <f t="shared" si="107"/>
        <v>230.64</v>
      </c>
    </row>
    <row r="3444" spans="1:7" ht="12.75" customHeight="1">
      <c r="A3444" s="3">
        <v>10553</v>
      </c>
      <c r="B3444" s="4" t="s">
        <v>3466</v>
      </c>
      <c r="C3444" s="3" t="s">
        <v>6</v>
      </c>
      <c r="D3444" s="5">
        <f t="shared" si="106"/>
        <v>209.42</v>
      </c>
      <c r="E3444">
        <v>229.89</v>
      </c>
      <c r="F3444" s="1789">
        <v>8.8999999999999996E-2</v>
      </c>
      <c r="G3444">
        <f t="shared" si="107"/>
        <v>209.42</v>
      </c>
    </row>
    <row r="3445" spans="1:7" ht="12.75" customHeight="1">
      <c r="A3445" s="3">
        <v>5020</v>
      </c>
      <c r="B3445" s="4" t="s">
        <v>3467</v>
      </c>
      <c r="C3445" s="3" t="s">
        <v>6</v>
      </c>
      <c r="D3445" s="5">
        <f t="shared" si="106"/>
        <v>220.79</v>
      </c>
      <c r="E3445">
        <v>242.37</v>
      </c>
      <c r="F3445" s="1789">
        <v>8.8999999999999996E-2</v>
      </c>
      <c r="G3445">
        <f t="shared" si="107"/>
        <v>220.79</v>
      </c>
    </row>
    <row r="3446" spans="1:7" ht="12.75" customHeight="1">
      <c r="A3446" s="3">
        <v>10554</v>
      </c>
      <c r="B3446" s="4" t="s">
        <v>3468</v>
      </c>
      <c r="C3446" s="3" t="s">
        <v>6</v>
      </c>
      <c r="D3446" s="5">
        <f t="shared" si="106"/>
        <v>211.27</v>
      </c>
      <c r="E3446">
        <v>231.92</v>
      </c>
      <c r="F3446" s="1789">
        <v>8.8999999999999996E-2</v>
      </c>
      <c r="G3446">
        <f t="shared" si="107"/>
        <v>211.27</v>
      </c>
    </row>
    <row r="3447" spans="1:7" ht="12.75" customHeight="1">
      <c r="A3447" s="3">
        <v>10555</v>
      </c>
      <c r="B3447" s="4" t="s">
        <v>3469</v>
      </c>
      <c r="C3447" s="3" t="s">
        <v>6</v>
      </c>
      <c r="D3447" s="5">
        <f t="shared" si="106"/>
        <v>230.41</v>
      </c>
      <c r="E3447">
        <v>252.92</v>
      </c>
      <c r="F3447" s="1789">
        <v>8.8999999999999996E-2</v>
      </c>
      <c r="G3447">
        <f t="shared" si="107"/>
        <v>230.41</v>
      </c>
    </row>
    <row r="3448" spans="1:7" ht="12.75" customHeight="1">
      <c r="A3448" s="3">
        <v>10556</v>
      </c>
      <c r="B3448" s="4" t="s">
        <v>3470</v>
      </c>
      <c r="C3448" s="3" t="s">
        <v>6</v>
      </c>
      <c r="D3448" s="5">
        <f t="shared" si="106"/>
        <v>306.35000000000002</v>
      </c>
      <c r="E3448">
        <v>336.28</v>
      </c>
      <c r="F3448" s="1789">
        <v>8.8999999999999996E-2</v>
      </c>
      <c r="G3448">
        <f t="shared" si="107"/>
        <v>306.35000000000002</v>
      </c>
    </row>
    <row r="3449" spans="1:7" ht="12.75" customHeight="1">
      <c r="A3449" s="3">
        <v>39502</v>
      </c>
      <c r="B3449" s="4" t="s">
        <v>3471</v>
      </c>
      <c r="C3449" s="3" t="s">
        <v>6</v>
      </c>
      <c r="D3449" s="5">
        <f t="shared" si="106"/>
        <v>430.19</v>
      </c>
      <c r="E3449">
        <v>472.22</v>
      </c>
      <c r="F3449" s="1789">
        <v>8.8999999999999996E-2</v>
      </c>
      <c r="G3449">
        <f t="shared" si="107"/>
        <v>430.19</v>
      </c>
    </row>
    <row r="3450" spans="1:7" ht="12.75" customHeight="1">
      <c r="A3450" s="3">
        <v>39504</v>
      </c>
      <c r="B3450" s="4" t="s">
        <v>3472</v>
      </c>
      <c r="C3450" s="3" t="s">
        <v>6</v>
      </c>
      <c r="D3450" s="5">
        <f t="shared" si="106"/>
        <v>475.71</v>
      </c>
      <c r="E3450">
        <v>522.19000000000005</v>
      </c>
      <c r="F3450" s="1789">
        <v>8.8999999999999996E-2</v>
      </c>
      <c r="G3450">
        <f t="shared" si="107"/>
        <v>475.71</v>
      </c>
    </row>
    <row r="3451" spans="1:7" ht="12.75" customHeight="1">
      <c r="A3451" s="3">
        <v>39503</v>
      </c>
      <c r="B3451" s="4" t="s">
        <v>3473</v>
      </c>
      <c r="C3451" s="3" t="s">
        <v>6</v>
      </c>
      <c r="D3451" s="5">
        <f t="shared" si="106"/>
        <v>500.67</v>
      </c>
      <c r="E3451">
        <v>549.59</v>
      </c>
      <c r="F3451" s="1789">
        <v>8.8999999999999996E-2</v>
      </c>
      <c r="G3451">
        <f t="shared" si="107"/>
        <v>500.67</v>
      </c>
    </row>
    <row r="3452" spans="1:7" ht="12.75" customHeight="1">
      <c r="A3452" s="3">
        <v>39505</v>
      </c>
      <c r="B3452" s="4" t="s">
        <v>3474</v>
      </c>
      <c r="C3452" s="3" t="s">
        <v>6</v>
      </c>
      <c r="D3452" s="5">
        <f t="shared" si="106"/>
        <v>539.54</v>
      </c>
      <c r="E3452">
        <v>592.26</v>
      </c>
      <c r="F3452" s="1789">
        <v>8.8999999999999996E-2</v>
      </c>
      <c r="G3452">
        <f t="shared" si="107"/>
        <v>539.54</v>
      </c>
    </row>
    <row r="3453" spans="1:7" ht="12.75" customHeight="1">
      <c r="A3453" s="3">
        <v>44471</v>
      </c>
      <c r="B3453" s="4" t="s">
        <v>3475</v>
      </c>
      <c r="C3453" s="3" t="s">
        <v>6</v>
      </c>
      <c r="D3453" s="5">
        <f t="shared" si="106"/>
        <v>492.2</v>
      </c>
      <c r="E3453">
        <v>540.29</v>
      </c>
      <c r="F3453" s="1789">
        <v>8.8999999999999996E-2</v>
      </c>
      <c r="G3453">
        <f t="shared" si="107"/>
        <v>492.2</v>
      </c>
    </row>
    <row r="3454" spans="1:7" ht="12.75" customHeight="1">
      <c r="A3454" s="3">
        <v>4944</v>
      </c>
      <c r="B3454" s="4" t="s">
        <v>3476</v>
      </c>
      <c r="C3454" s="3" t="s">
        <v>409</v>
      </c>
      <c r="D3454" s="5">
        <f t="shared" si="106"/>
        <v>1207.06</v>
      </c>
      <c r="E3454">
        <v>1324.99</v>
      </c>
      <c r="F3454" s="1789">
        <v>8.8999999999999996E-2</v>
      </c>
      <c r="G3454">
        <f t="shared" si="107"/>
        <v>1207.06</v>
      </c>
    </row>
    <row r="3455" spans="1:7" ht="12.75" customHeight="1">
      <c r="A3455" s="3">
        <v>21102</v>
      </c>
      <c r="B3455" s="4" t="s">
        <v>3477</v>
      </c>
      <c r="C3455" s="3" t="s">
        <v>6</v>
      </c>
      <c r="D3455" s="5">
        <f t="shared" si="106"/>
        <v>32.61</v>
      </c>
      <c r="E3455">
        <v>35.799999999999997</v>
      </c>
      <c r="F3455" s="1789">
        <v>8.8999999999999996E-2</v>
      </c>
      <c r="G3455">
        <f t="shared" si="107"/>
        <v>32.61</v>
      </c>
    </row>
    <row r="3456" spans="1:7" ht="12.75" customHeight="1">
      <c r="A3456" s="3">
        <v>21101</v>
      </c>
      <c r="B3456" s="4" t="s">
        <v>3478</v>
      </c>
      <c r="C3456" s="3" t="s">
        <v>6</v>
      </c>
      <c r="D3456" s="5">
        <f t="shared" si="106"/>
        <v>20.94</v>
      </c>
      <c r="E3456">
        <v>22.99</v>
      </c>
      <c r="F3456" s="1789">
        <v>8.8999999999999996E-2</v>
      </c>
      <c r="G3456">
        <f t="shared" si="107"/>
        <v>20.94</v>
      </c>
    </row>
    <row r="3457" spans="1:7" ht="12.75" customHeight="1">
      <c r="A3457" s="3">
        <v>34713</v>
      </c>
      <c r="B3457" s="4" t="s">
        <v>3479</v>
      </c>
      <c r="C3457" s="3" t="s">
        <v>409</v>
      </c>
      <c r="D3457" s="5">
        <f t="shared" si="106"/>
        <v>388.62</v>
      </c>
      <c r="E3457">
        <v>426.59</v>
      </c>
      <c r="F3457" s="1789">
        <v>8.8999999999999996E-2</v>
      </c>
      <c r="G3457">
        <f t="shared" si="107"/>
        <v>388.62</v>
      </c>
    </row>
    <row r="3458" spans="1:7" ht="12.75" customHeight="1">
      <c r="A3458" s="3">
        <v>37563</v>
      </c>
      <c r="B3458" s="4" t="s">
        <v>3480</v>
      </c>
      <c r="C3458" s="3" t="s">
        <v>409</v>
      </c>
      <c r="D3458" s="5">
        <f t="shared" si="106"/>
        <v>762.98</v>
      </c>
      <c r="E3458">
        <v>837.53</v>
      </c>
      <c r="F3458" s="1789">
        <v>8.8999999999999996E-2</v>
      </c>
      <c r="G3458">
        <f t="shared" si="107"/>
        <v>762.98</v>
      </c>
    </row>
    <row r="3459" spans="1:7" ht="12.75" customHeight="1">
      <c r="A3459" s="3">
        <v>4948</v>
      </c>
      <c r="B3459" s="4" t="s">
        <v>3481</v>
      </c>
      <c r="C3459" s="3" t="s">
        <v>409</v>
      </c>
      <c r="D3459" s="5">
        <f t="shared" ref="D3459:D3522" si="108">G3459</f>
        <v>663.81</v>
      </c>
      <c r="E3459">
        <v>728.67</v>
      </c>
      <c r="F3459" s="1789">
        <v>8.8999999999999996E-2</v>
      </c>
      <c r="G3459">
        <f t="shared" ref="G3459:G3522" si="109">TRUNC((1-F3459)*E3459,2)</f>
        <v>663.81</v>
      </c>
    </row>
    <row r="3460" spans="1:7" ht="12.75" customHeight="1">
      <c r="A3460" s="3">
        <v>37561</v>
      </c>
      <c r="B3460" s="4" t="s">
        <v>3482</v>
      </c>
      <c r="C3460" s="3" t="s">
        <v>409</v>
      </c>
      <c r="D3460" s="5">
        <f t="shared" si="108"/>
        <v>619.1</v>
      </c>
      <c r="E3460">
        <v>679.59</v>
      </c>
      <c r="F3460" s="1789">
        <v>8.8999999999999996E-2</v>
      </c>
      <c r="G3460">
        <f t="shared" si="109"/>
        <v>619.1</v>
      </c>
    </row>
    <row r="3461" spans="1:7" ht="12.75" customHeight="1">
      <c r="A3461" s="3">
        <v>37562</v>
      </c>
      <c r="B3461" s="4" t="s">
        <v>3483</v>
      </c>
      <c r="C3461" s="3" t="s">
        <v>409</v>
      </c>
      <c r="D3461" s="5">
        <f t="shared" si="108"/>
        <v>811.71</v>
      </c>
      <c r="E3461">
        <v>891.02</v>
      </c>
      <c r="F3461" s="1789">
        <v>8.8999999999999996E-2</v>
      </c>
      <c r="G3461">
        <f t="shared" si="109"/>
        <v>811.71</v>
      </c>
    </row>
    <row r="3462" spans="1:7" ht="12.75" customHeight="1">
      <c r="A3462" s="3">
        <v>14164</v>
      </c>
      <c r="B3462" s="4" t="s">
        <v>3484</v>
      </c>
      <c r="C3462" s="3" t="s">
        <v>6</v>
      </c>
      <c r="D3462" s="5">
        <f t="shared" si="108"/>
        <v>1672.92</v>
      </c>
      <c r="E3462">
        <v>1836.36</v>
      </c>
      <c r="F3462" s="1789">
        <v>8.8999999999999996E-2</v>
      </c>
      <c r="G3462">
        <f t="shared" si="109"/>
        <v>1672.92</v>
      </c>
    </row>
    <row r="3463" spans="1:7" ht="12.75" customHeight="1">
      <c r="A3463" s="3">
        <v>14163</v>
      </c>
      <c r="B3463" s="4" t="s">
        <v>3485</v>
      </c>
      <c r="C3463" s="3" t="s">
        <v>6</v>
      </c>
      <c r="D3463" s="5">
        <f t="shared" si="108"/>
        <v>1901.38</v>
      </c>
      <c r="E3463">
        <v>2087.14</v>
      </c>
      <c r="F3463" s="1789">
        <v>8.8999999999999996E-2</v>
      </c>
      <c r="G3463">
        <f t="shared" si="109"/>
        <v>1901.38</v>
      </c>
    </row>
    <row r="3464" spans="1:7" ht="12.75" customHeight="1">
      <c r="A3464" s="3">
        <v>5051</v>
      </c>
      <c r="B3464" s="4" t="s">
        <v>3486</v>
      </c>
      <c r="C3464" s="3" t="s">
        <v>6</v>
      </c>
      <c r="D3464" s="5">
        <f t="shared" si="108"/>
        <v>1617.09</v>
      </c>
      <c r="E3464">
        <v>1775.08</v>
      </c>
      <c r="F3464" s="1789">
        <v>8.8999999999999996E-2</v>
      </c>
      <c r="G3464">
        <f t="shared" si="109"/>
        <v>1617.09</v>
      </c>
    </row>
    <row r="3465" spans="1:7" ht="12.75" customHeight="1">
      <c r="A3465" s="3">
        <v>5052</v>
      </c>
      <c r="B3465" s="4" t="s">
        <v>3487</v>
      </c>
      <c r="C3465" s="3" t="s">
        <v>6</v>
      </c>
      <c r="D3465" s="5">
        <f t="shared" si="108"/>
        <v>1204.83</v>
      </c>
      <c r="E3465">
        <v>1322.54</v>
      </c>
      <c r="F3465" s="1789">
        <v>8.8999999999999996E-2</v>
      </c>
      <c r="G3465">
        <f t="shared" si="109"/>
        <v>1204.83</v>
      </c>
    </row>
    <row r="3466" spans="1:7" ht="12.75" customHeight="1">
      <c r="A3466" s="3">
        <v>14162</v>
      </c>
      <c r="B3466" s="4" t="s">
        <v>3488</v>
      </c>
      <c r="C3466" s="3" t="s">
        <v>6</v>
      </c>
      <c r="D3466" s="5">
        <f t="shared" si="108"/>
        <v>1614.75</v>
      </c>
      <c r="E3466">
        <v>1772.51</v>
      </c>
      <c r="F3466" s="1789">
        <v>8.8999999999999996E-2</v>
      </c>
      <c r="G3466">
        <f t="shared" si="109"/>
        <v>1614.75</v>
      </c>
    </row>
    <row r="3467" spans="1:7" ht="12.75" customHeight="1">
      <c r="A3467" s="3">
        <v>14166</v>
      </c>
      <c r="B3467" s="4" t="s">
        <v>3489</v>
      </c>
      <c r="C3467" s="3" t="s">
        <v>6</v>
      </c>
      <c r="D3467" s="5">
        <f t="shared" si="108"/>
        <v>1220.1199999999999</v>
      </c>
      <c r="E3467">
        <v>1339.33</v>
      </c>
      <c r="F3467" s="1789">
        <v>8.8999999999999996E-2</v>
      </c>
      <c r="G3467">
        <f t="shared" si="109"/>
        <v>1220.1199999999999</v>
      </c>
    </row>
    <row r="3468" spans="1:7" ht="12.75" customHeight="1">
      <c r="A3468" s="3">
        <v>14165</v>
      </c>
      <c r="B3468" s="4" t="s">
        <v>3490</v>
      </c>
      <c r="C3468" s="3" t="s">
        <v>6</v>
      </c>
      <c r="D3468" s="5">
        <f t="shared" si="108"/>
        <v>1690.32</v>
      </c>
      <c r="E3468">
        <v>1855.46</v>
      </c>
      <c r="F3468" s="1789">
        <v>8.8999999999999996E-2</v>
      </c>
      <c r="G3468">
        <f t="shared" si="109"/>
        <v>1690.32</v>
      </c>
    </row>
    <row r="3469" spans="1:7" ht="12.75" customHeight="1">
      <c r="A3469" s="3">
        <v>5050</v>
      </c>
      <c r="B3469" s="4" t="s">
        <v>3491</v>
      </c>
      <c r="C3469" s="3" t="s">
        <v>6</v>
      </c>
      <c r="D3469" s="5">
        <f t="shared" si="108"/>
        <v>416.02</v>
      </c>
      <c r="E3469">
        <v>456.67</v>
      </c>
      <c r="F3469" s="1789">
        <v>8.8999999999999996E-2</v>
      </c>
      <c r="G3469">
        <f t="shared" si="109"/>
        <v>416.02</v>
      </c>
    </row>
    <row r="3470" spans="1:7" ht="12.75" customHeight="1">
      <c r="A3470" s="3">
        <v>12366</v>
      </c>
      <c r="B3470" s="4" t="s">
        <v>3492</v>
      </c>
      <c r="C3470" s="3" t="s">
        <v>6</v>
      </c>
      <c r="D3470" s="5">
        <f t="shared" si="108"/>
        <v>943.93</v>
      </c>
      <c r="E3470">
        <v>1036.1500000000001</v>
      </c>
      <c r="F3470" s="1789">
        <v>8.8999999999999996E-2</v>
      </c>
      <c r="G3470">
        <f t="shared" si="109"/>
        <v>943.93</v>
      </c>
    </row>
    <row r="3471" spans="1:7" ht="12.75" customHeight="1">
      <c r="A3471" s="3">
        <v>5045</v>
      </c>
      <c r="B3471" s="4" t="s">
        <v>3493</v>
      </c>
      <c r="C3471" s="3" t="s">
        <v>6</v>
      </c>
      <c r="D3471" s="5">
        <f t="shared" si="108"/>
        <v>1303.99</v>
      </c>
      <c r="E3471">
        <v>1431.39</v>
      </c>
      <c r="F3471" s="1789">
        <v>8.8999999999999996E-2</v>
      </c>
      <c r="G3471">
        <f t="shared" si="109"/>
        <v>1303.99</v>
      </c>
    </row>
    <row r="3472" spans="1:7" ht="12.75" customHeight="1">
      <c r="A3472" s="3">
        <v>5035</v>
      </c>
      <c r="B3472" s="4" t="s">
        <v>3494</v>
      </c>
      <c r="C3472" s="3" t="s">
        <v>6</v>
      </c>
      <c r="D3472" s="5">
        <f t="shared" si="108"/>
        <v>1499.27</v>
      </c>
      <c r="E3472">
        <v>1645.75</v>
      </c>
      <c r="F3472" s="1789">
        <v>8.8999999999999996E-2</v>
      </c>
      <c r="G3472">
        <f t="shared" si="109"/>
        <v>1499.27</v>
      </c>
    </row>
    <row r="3473" spans="1:7" ht="12.75" customHeight="1">
      <c r="A3473" s="3">
        <v>41180</v>
      </c>
      <c r="B3473" s="4" t="s">
        <v>3495</v>
      </c>
      <c r="C3473" s="3" t="s">
        <v>6</v>
      </c>
      <c r="D3473" s="5">
        <f t="shared" si="108"/>
        <v>3370.36</v>
      </c>
      <c r="E3473">
        <v>3699.63</v>
      </c>
      <c r="F3473" s="1789">
        <v>8.8999999999999996E-2</v>
      </c>
      <c r="G3473">
        <f t="shared" si="109"/>
        <v>3370.36</v>
      </c>
    </row>
    <row r="3474" spans="1:7" ht="12.75" customHeight="1">
      <c r="A3474" s="3">
        <v>41181</v>
      </c>
      <c r="B3474" s="4" t="s">
        <v>3496</v>
      </c>
      <c r="C3474" s="3" t="s">
        <v>6</v>
      </c>
      <c r="D3474" s="5">
        <f t="shared" si="108"/>
        <v>4462.25</v>
      </c>
      <c r="E3474">
        <v>4898.1899999999996</v>
      </c>
      <c r="F3474" s="1789">
        <v>8.8999999999999996E-2</v>
      </c>
      <c r="G3474">
        <f t="shared" si="109"/>
        <v>4462.25</v>
      </c>
    </row>
    <row r="3475" spans="1:7" ht="12.75" customHeight="1">
      <c r="A3475" s="3">
        <v>41182</v>
      </c>
      <c r="B3475" s="4" t="s">
        <v>3497</v>
      </c>
      <c r="C3475" s="3" t="s">
        <v>6</v>
      </c>
      <c r="D3475" s="5">
        <f t="shared" si="108"/>
        <v>6401.47</v>
      </c>
      <c r="E3475">
        <v>7026.87</v>
      </c>
      <c r="F3475" s="1789">
        <v>8.8999999999999996E-2</v>
      </c>
      <c r="G3475">
        <f t="shared" si="109"/>
        <v>6401.47</v>
      </c>
    </row>
    <row r="3476" spans="1:7" ht="12.75" customHeight="1">
      <c r="A3476" s="3">
        <v>41183</v>
      </c>
      <c r="B3476" s="4" t="s">
        <v>3498</v>
      </c>
      <c r="C3476" s="3" t="s">
        <v>6</v>
      </c>
      <c r="D3476" s="5">
        <f t="shared" si="108"/>
        <v>7992.37</v>
      </c>
      <c r="E3476">
        <v>8773.19</v>
      </c>
      <c r="F3476" s="1789">
        <v>8.8999999999999996E-2</v>
      </c>
      <c r="G3476">
        <f t="shared" si="109"/>
        <v>7992.37</v>
      </c>
    </row>
    <row r="3477" spans="1:7" ht="12.75" customHeight="1">
      <c r="A3477" s="3">
        <v>41184</v>
      </c>
      <c r="B3477" s="4" t="s">
        <v>3499</v>
      </c>
      <c r="C3477" s="3" t="s">
        <v>6</v>
      </c>
      <c r="D3477" s="5">
        <f t="shared" si="108"/>
        <v>12168.87</v>
      </c>
      <c r="E3477">
        <v>13357.71</v>
      </c>
      <c r="F3477" s="1789">
        <v>8.8999999999999996E-2</v>
      </c>
      <c r="G3477">
        <f t="shared" si="109"/>
        <v>12168.87</v>
      </c>
    </row>
    <row r="3478" spans="1:7" ht="12.75" customHeight="1">
      <c r="A3478" s="3">
        <v>41185</v>
      </c>
      <c r="B3478" s="4" t="s">
        <v>3500</v>
      </c>
      <c r="C3478" s="3" t="s">
        <v>6</v>
      </c>
      <c r="D3478" s="5">
        <f t="shared" si="108"/>
        <v>4512.76</v>
      </c>
      <c r="E3478">
        <v>4953.6400000000003</v>
      </c>
      <c r="F3478" s="1789">
        <v>8.8999999999999996E-2</v>
      </c>
      <c r="G3478">
        <f t="shared" si="109"/>
        <v>4512.76</v>
      </c>
    </row>
    <row r="3479" spans="1:7" ht="12.75" customHeight="1">
      <c r="A3479" s="3">
        <v>41186</v>
      </c>
      <c r="B3479" s="4" t="s">
        <v>3501</v>
      </c>
      <c r="C3479" s="3" t="s">
        <v>6</v>
      </c>
      <c r="D3479" s="5">
        <f t="shared" si="108"/>
        <v>6324.11</v>
      </c>
      <c r="E3479">
        <v>6941.95</v>
      </c>
      <c r="F3479" s="1789">
        <v>8.8999999999999996E-2</v>
      </c>
      <c r="G3479">
        <f t="shared" si="109"/>
        <v>6324.11</v>
      </c>
    </row>
    <row r="3480" spans="1:7" ht="12.75" customHeight="1">
      <c r="A3480" s="3">
        <v>41187</v>
      </c>
      <c r="B3480" s="4" t="s">
        <v>3502</v>
      </c>
      <c r="C3480" s="3" t="s">
        <v>6</v>
      </c>
      <c r="D3480" s="5">
        <f t="shared" si="108"/>
        <v>8481.17</v>
      </c>
      <c r="E3480">
        <v>9309.74</v>
      </c>
      <c r="F3480" s="1789">
        <v>8.8999999999999996E-2</v>
      </c>
      <c r="G3480">
        <f t="shared" si="109"/>
        <v>8481.17</v>
      </c>
    </row>
    <row r="3481" spans="1:7" ht="12.75" customHeight="1">
      <c r="A3481" s="3">
        <v>41188</v>
      </c>
      <c r="B3481" s="4" t="s">
        <v>3503</v>
      </c>
      <c r="C3481" s="3" t="s">
        <v>6</v>
      </c>
      <c r="D3481" s="5">
        <f t="shared" si="108"/>
        <v>10845.52</v>
      </c>
      <c r="E3481">
        <v>11905.08</v>
      </c>
      <c r="F3481" s="1789">
        <v>8.8999999999999996E-2</v>
      </c>
      <c r="G3481">
        <f t="shared" si="109"/>
        <v>10845.52</v>
      </c>
    </row>
    <row r="3482" spans="1:7" ht="12.75" customHeight="1">
      <c r="A3482" s="3">
        <v>5036</v>
      </c>
      <c r="B3482" s="4" t="s">
        <v>3504</v>
      </c>
      <c r="C3482" s="3" t="s">
        <v>6</v>
      </c>
      <c r="D3482" s="5">
        <f t="shared" si="108"/>
        <v>2300.16</v>
      </c>
      <c r="E3482">
        <v>2524.88</v>
      </c>
      <c r="F3482" s="1789">
        <v>8.8999999999999996E-2</v>
      </c>
      <c r="G3482">
        <f t="shared" si="109"/>
        <v>2300.16</v>
      </c>
    </row>
    <row r="3483" spans="1:7" ht="12.75" customHeight="1">
      <c r="A3483" s="3">
        <v>41189</v>
      </c>
      <c r="B3483" s="4" t="s">
        <v>3505</v>
      </c>
      <c r="C3483" s="3" t="s">
        <v>6</v>
      </c>
      <c r="D3483" s="5">
        <f t="shared" si="108"/>
        <v>13943.05</v>
      </c>
      <c r="E3483">
        <v>15305.22</v>
      </c>
      <c r="F3483" s="1789">
        <v>8.8999999999999996E-2</v>
      </c>
      <c r="G3483">
        <f t="shared" si="109"/>
        <v>13943.05</v>
      </c>
    </row>
    <row r="3484" spans="1:7" ht="12.75" customHeight="1">
      <c r="A3484" s="3">
        <v>41190</v>
      </c>
      <c r="B3484" s="4" t="s">
        <v>3506</v>
      </c>
      <c r="C3484" s="3" t="s">
        <v>6</v>
      </c>
      <c r="D3484" s="5">
        <f t="shared" si="108"/>
        <v>4848.8999999999996</v>
      </c>
      <c r="E3484">
        <v>5322.62</v>
      </c>
      <c r="F3484" s="1789">
        <v>8.8999999999999996E-2</v>
      </c>
      <c r="G3484">
        <f t="shared" si="109"/>
        <v>4848.8999999999996</v>
      </c>
    </row>
    <row r="3485" spans="1:7" ht="12.75" customHeight="1">
      <c r="A3485" s="3">
        <v>41191</v>
      </c>
      <c r="B3485" s="4" t="s">
        <v>3507</v>
      </c>
      <c r="C3485" s="3" t="s">
        <v>6</v>
      </c>
      <c r="D3485" s="5">
        <f t="shared" si="108"/>
        <v>7435.61</v>
      </c>
      <c r="E3485">
        <v>8162.04</v>
      </c>
      <c r="F3485" s="1789">
        <v>8.8999999999999996E-2</v>
      </c>
      <c r="G3485">
        <f t="shared" si="109"/>
        <v>7435.61</v>
      </c>
    </row>
    <row r="3486" spans="1:7" ht="12.75" customHeight="1">
      <c r="A3486" s="3">
        <v>41192</v>
      </c>
      <c r="B3486" s="4" t="s">
        <v>3508</v>
      </c>
      <c r="C3486" s="3" t="s">
        <v>6</v>
      </c>
      <c r="D3486" s="5">
        <f t="shared" si="108"/>
        <v>7751.57</v>
      </c>
      <c r="E3486">
        <v>8508.86</v>
      </c>
      <c r="F3486" s="1789">
        <v>8.8999999999999996E-2</v>
      </c>
      <c r="G3486">
        <f t="shared" si="109"/>
        <v>7751.57</v>
      </c>
    </row>
    <row r="3487" spans="1:7" ht="12.75" customHeight="1">
      <c r="A3487" s="3">
        <v>41193</v>
      </c>
      <c r="B3487" s="4" t="s">
        <v>3509</v>
      </c>
      <c r="C3487" s="3" t="s">
        <v>6</v>
      </c>
      <c r="D3487" s="5">
        <f t="shared" si="108"/>
        <v>12665.81</v>
      </c>
      <c r="E3487">
        <v>13903.2</v>
      </c>
      <c r="F3487" s="1789">
        <v>8.8999999999999996E-2</v>
      </c>
      <c r="G3487">
        <f t="shared" si="109"/>
        <v>12665.81</v>
      </c>
    </row>
    <row r="3488" spans="1:7" ht="12.75" customHeight="1">
      <c r="A3488" s="3">
        <v>41194</v>
      </c>
      <c r="B3488" s="4" t="s">
        <v>3510</v>
      </c>
      <c r="C3488" s="3" t="s">
        <v>6</v>
      </c>
      <c r="D3488" s="5">
        <f t="shared" si="108"/>
        <v>15113.18</v>
      </c>
      <c r="E3488">
        <v>16589.669999999998</v>
      </c>
      <c r="F3488" s="1789">
        <v>8.8999999999999996E-2</v>
      </c>
      <c r="G3488">
        <f t="shared" si="109"/>
        <v>15113.18</v>
      </c>
    </row>
    <row r="3489" spans="1:7" ht="12.75" customHeight="1">
      <c r="A3489" s="3">
        <v>5044</v>
      </c>
      <c r="B3489" s="4" t="s">
        <v>3511</v>
      </c>
      <c r="C3489" s="3" t="s">
        <v>6</v>
      </c>
      <c r="D3489" s="5">
        <f t="shared" si="108"/>
        <v>813.24</v>
      </c>
      <c r="E3489">
        <v>892.69</v>
      </c>
      <c r="F3489" s="1789">
        <v>8.8999999999999996E-2</v>
      </c>
      <c r="G3489">
        <f t="shared" si="109"/>
        <v>813.24</v>
      </c>
    </row>
    <row r="3490" spans="1:7" ht="12.75" customHeight="1">
      <c r="A3490" s="3">
        <v>5059</v>
      </c>
      <c r="B3490" s="4" t="s">
        <v>3512</v>
      </c>
      <c r="C3490" s="3" t="s">
        <v>6</v>
      </c>
      <c r="D3490" s="5">
        <f t="shared" si="108"/>
        <v>972.53</v>
      </c>
      <c r="E3490">
        <v>1067.55</v>
      </c>
      <c r="F3490" s="1789">
        <v>8.8999999999999996E-2</v>
      </c>
      <c r="G3490">
        <f t="shared" si="109"/>
        <v>972.53</v>
      </c>
    </row>
    <row r="3491" spans="1:7" ht="12.75" customHeight="1">
      <c r="A3491" s="3">
        <v>41201</v>
      </c>
      <c r="B3491" s="4" t="s">
        <v>3513</v>
      </c>
      <c r="C3491" s="3" t="s">
        <v>6</v>
      </c>
      <c r="D3491" s="5">
        <f t="shared" si="108"/>
        <v>1973.69</v>
      </c>
      <c r="E3491">
        <v>2166.5100000000002</v>
      </c>
      <c r="F3491" s="1789">
        <v>8.8999999999999996E-2</v>
      </c>
      <c r="G3491">
        <f t="shared" si="109"/>
        <v>1973.69</v>
      </c>
    </row>
    <row r="3492" spans="1:7" ht="12.75" customHeight="1">
      <c r="A3492" s="3">
        <v>41199</v>
      </c>
      <c r="B3492" s="4" t="s">
        <v>3514</v>
      </c>
      <c r="C3492" s="3" t="s">
        <v>6</v>
      </c>
      <c r="D3492" s="5">
        <f t="shared" si="108"/>
        <v>634.21</v>
      </c>
      <c r="E3492">
        <v>696.18</v>
      </c>
      <c r="F3492" s="1789">
        <v>8.8999999999999996E-2</v>
      </c>
      <c r="G3492">
        <f t="shared" si="109"/>
        <v>634.21</v>
      </c>
    </row>
    <row r="3493" spans="1:7" ht="12.75" customHeight="1">
      <c r="A3493" s="3">
        <v>5057</v>
      </c>
      <c r="B3493" s="4" t="s">
        <v>3515</v>
      </c>
      <c r="C3493" s="3" t="s">
        <v>6</v>
      </c>
      <c r="D3493" s="5">
        <f t="shared" si="108"/>
        <v>858.61</v>
      </c>
      <c r="E3493">
        <v>942.5</v>
      </c>
      <c r="F3493" s="1789">
        <v>8.8999999999999996E-2</v>
      </c>
      <c r="G3493">
        <f t="shared" si="109"/>
        <v>858.61</v>
      </c>
    </row>
    <row r="3494" spans="1:7" ht="12.75" customHeight="1">
      <c r="A3494" s="3">
        <v>41200</v>
      </c>
      <c r="B3494" s="4" t="s">
        <v>3516</v>
      </c>
      <c r="C3494" s="3" t="s">
        <v>6</v>
      </c>
      <c r="D3494" s="5">
        <f t="shared" si="108"/>
        <v>1234.4100000000001</v>
      </c>
      <c r="E3494">
        <v>1355.01</v>
      </c>
      <c r="F3494" s="1789">
        <v>8.8999999999999996E-2</v>
      </c>
      <c r="G3494">
        <f t="shared" si="109"/>
        <v>1234.4100000000001</v>
      </c>
    </row>
    <row r="3495" spans="1:7" ht="12.75" customHeight="1">
      <c r="A3495" s="3">
        <v>41205</v>
      </c>
      <c r="B3495" s="4" t="s">
        <v>3517</v>
      </c>
      <c r="C3495" s="3" t="s">
        <v>6</v>
      </c>
      <c r="D3495" s="5">
        <f t="shared" si="108"/>
        <v>2287.34</v>
      </c>
      <c r="E3495">
        <v>2510.81</v>
      </c>
      <c r="F3495" s="1789">
        <v>8.8999999999999996E-2</v>
      </c>
      <c r="G3495">
        <f t="shared" si="109"/>
        <v>2287.34</v>
      </c>
    </row>
    <row r="3496" spans="1:7" ht="12.75" customHeight="1">
      <c r="A3496" s="3">
        <v>41202</v>
      </c>
      <c r="B3496" s="4" t="s">
        <v>3518</v>
      </c>
      <c r="C3496" s="3" t="s">
        <v>6</v>
      </c>
      <c r="D3496" s="5">
        <f t="shared" si="108"/>
        <v>667.46</v>
      </c>
      <c r="E3496">
        <v>732.67</v>
      </c>
      <c r="F3496" s="1789">
        <v>8.8999999999999996E-2</v>
      </c>
      <c r="G3496">
        <f t="shared" si="109"/>
        <v>667.46</v>
      </c>
    </row>
    <row r="3497" spans="1:7" ht="12.75" customHeight="1">
      <c r="A3497" s="3">
        <v>41206</v>
      </c>
      <c r="B3497" s="4" t="s">
        <v>3519</v>
      </c>
      <c r="C3497" s="3" t="s">
        <v>6</v>
      </c>
      <c r="D3497" s="5">
        <f t="shared" si="108"/>
        <v>3015.76</v>
      </c>
      <c r="E3497">
        <v>3310.39</v>
      </c>
      <c r="F3497" s="1789">
        <v>8.8999999999999996E-2</v>
      </c>
      <c r="G3497">
        <f t="shared" si="109"/>
        <v>3015.76</v>
      </c>
    </row>
    <row r="3498" spans="1:7" ht="12.75" customHeight="1">
      <c r="A3498" s="3">
        <v>12372</v>
      </c>
      <c r="B3498" s="4" t="s">
        <v>3520</v>
      </c>
      <c r="C3498" s="3" t="s">
        <v>6</v>
      </c>
      <c r="D3498" s="5">
        <f t="shared" si="108"/>
        <v>700.84</v>
      </c>
      <c r="E3498">
        <v>769.31</v>
      </c>
      <c r="F3498" s="1789">
        <v>8.8999999999999996E-2</v>
      </c>
      <c r="G3498">
        <f t="shared" si="109"/>
        <v>700.84</v>
      </c>
    </row>
    <row r="3499" spans="1:7" ht="12.75" customHeight="1">
      <c r="A3499" s="3">
        <v>41207</v>
      </c>
      <c r="B3499" s="4" t="s">
        <v>3521</v>
      </c>
      <c r="C3499" s="3" t="s">
        <v>6</v>
      </c>
      <c r="D3499" s="5">
        <f t="shared" si="108"/>
        <v>4059.82</v>
      </c>
      <c r="E3499">
        <v>4456.45</v>
      </c>
      <c r="F3499" s="1789">
        <v>8.8999999999999996E-2</v>
      </c>
      <c r="G3499">
        <f t="shared" si="109"/>
        <v>4059.82</v>
      </c>
    </row>
    <row r="3500" spans="1:7" ht="12.75" customHeight="1">
      <c r="A3500" s="3">
        <v>41203</v>
      </c>
      <c r="B3500" s="4" t="s">
        <v>3522</v>
      </c>
      <c r="C3500" s="3" t="s">
        <v>6</v>
      </c>
      <c r="D3500" s="5">
        <f t="shared" si="108"/>
        <v>1069.2</v>
      </c>
      <c r="E3500">
        <v>1173.6600000000001</v>
      </c>
      <c r="F3500" s="1789">
        <v>8.8999999999999996E-2</v>
      </c>
      <c r="G3500">
        <f t="shared" si="109"/>
        <v>1069.2</v>
      </c>
    </row>
    <row r="3501" spans="1:7" ht="12.75" customHeight="1">
      <c r="A3501" s="3">
        <v>41204</v>
      </c>
      <c r="B3501" s="4" t="s">
        <v>3523</v>
      </c>
      <c r="C3501" s="3" t="s">
        <v>6</v>
      </c>
      <c r="D3501" s="5">
        <f t="shared" si="108"/>
        <v>1511.57</v>
      </c>
      <c r="E3501">
        <v>1659.25</v>
      </c>
      <c r="F3501" s="1789">
        <v>8.8999999999999996E-2</v>
      </c>
      <c r="G3501">
        <f t="shared" si="109"/>
        <v>1511.57</v>
      </c>
    </row>
    <row r="3502" spans="1:7" ht="12.75" customHeight="1">
      <c r="A3502" s="3">
        <v>41210</v>
      </c>
      <c r="B3502" s="4" t="s">
        <v>3524</v>
      </c>
      <c r="C3502" s="3" t="s">
        <v>6</v>
      </c>
      <c r="D3502" s="5">
        <f t="shared" si="108"/>
        <v>2525.0500000000002</v>
      </c>
      <c r="E3502">
        <v>2771.74</v>
      </c>
      <c r="F3502" s="1789">
        <v>8.8999999999999996E-2</v>
      </c>
      <c r="G3502">
        <f t="shared" si="109"/>
        <v>2525.0500000000002</v>
      </c>
    </row>
    <row r="3503" spans="1:7" ht="12.75" customHeight="1">
      <c r="A3503" s="3">
        <v>41208</v>
      </c>
      <c r="B3503" s="4" t="s">
        <v>3525</v>
      </c>
      <c r="C3503" s="3" t="s">
        <v>6</v>
      </c>
      <c r="D3503" s="5">
        <f t="shared" si="108"/>
        <v>883.91</v>
      </c>
      <c r="E3503">
        <v>970.27</v>
      </c>
      <c r="F3503" s="1789">
        <v>8.8999999999999996E-2</v>
      </c>
      <c r="G3503">
        <f t="shared" si="109"/>
        <v>883.91</v>
      </c>
    </row>
    <row r="3504" spans="1:7" ht="12.75" customHeight="1">
      <c r="A3504" s="3">
        <v>41211</v>
      </c>
      <c r="B3504" s="4" t="s">
        <v>3526</v>
      </c>
      <c r="C3504" s="3" t="s">
        <v>6</v>
      </c>
      <c r="D3504" s="5">
        <f t="shared" si="108"/>
        <v>3557.77</v>
      </c>
      <c r="E3504">
        <v>3905.35</v>
      </c>
      <c r="F3504" s="1789">
        <v>8.8999999999999996E-2</v>
      </c>
      <c r="G3504">
        <f t="shared" si="109"/>
        <v>3557.77</v>
      </c>
    </row>
    <row r="3505" spans="1:7" ht="12.75" customHeight="1">
      <c r="A3505" s="3">
        <v>13339</v>
      </c>
      <c r="B3505" s="4" t="s">
        <v>3527</v>
      </c>
      <c r="C3505" s="3" t="s">
        <v>6</v>
      </c>
      <c r="D3505" s="5">
        <f t="shared" si="108"/>
        <v>1197.9100000000001</v>
      </c>
      <c r="E3505">
        <v>1314.95</v>
      </c>
      <c r="F3505" s="1789">
        <v>8.8999999999999996E-2</v>
      </c>
      <c r="G3505">
        <f t="shared" si="109"/>
        <v>1197.9100000000001</v>
      </c>
    </row>
    <row r="3506" spans="1:7" ht="12.75" customHeight="1">
      <c r="A3506" s="3">
        <v>41213</v>
      </c>
      <c r="B3506" s="4" t="s">
        <v>3528</v>
      </c>
      <c r="C3506" s="3" t="s">
        <v>6</v>
      </c>
      <c r="D3506" s="5">
        <f t="shared" si="108"/>
        <v>7374.39</v>
      </c>
      <c r="E3506">
        <v>8094.83</v>
      </c>
      <c r="F3506" s="1789">
        <v>8.8999999999999996E-2</v>
      </c>
      <c r="G3506">
        <f t="shared" si="109"/>
        <v>7374.39</v>
      </c>
    </row>
    <row r="3507" spans="1:7" ht="12.75" customHeight="1">
      <c r="A3507" s="3">
        <v>41209</v>
      </c>
      <c r="B3507" s="4" t="s">
        <v>3529</v>
      </c>
      <c r="C3507" s="3" t="s">
        <v>6</v>
      </c>
      <c r="D3507" s="5">
        <f t="shared" si="108"/>
        <v>1648.19</v>
      </c>
      <c r="E3507">
        <v>1809.21</v>
      </c>
      <c r="F3507" s="1789">
        <v>8.8999999999999996E-2</v>
      </c>
      <c r="G3507">
        <f t="shared" si="109"/>
        <v>1648.19</v>
      </c>
    </row>
    <row r="3508" spans="1:7" ht="12.75" customHeight="1">
      <c r="A3508" s="3">
        <v>41216</v>
      </c>
      <c r="B3508" s="4" t="s">
        <v>3530</v>
      </c>
      <c r="C3508" s="3" t="s">
        <v>6</v>
      </c>
      <c r="D3508" s="5">
        <f t="shared" si="108"/>
        <v>3087.27</v>
      </c>
      <c r="E3508">
        <v>3388.89</v>
      </c>
      <c r="F3508" s="1789">
        <v>8.8999999999999996E-2</v>
      </c>
      <c r="G3508">
        <f t="shared" si="109"/>
        <v>3087.27</v>
      </c>
    </row>
    <row r="3509" spans="1:7" ht="12.75" customHeight="1">
      <c r="A3509" s="3">
        <v>41217</v>
      </c>
      <c r="B3509" s="4" t="s">
        <v>3531</v>
      </c>
      <c r="C3509" s="3" t="s">
        <v>6</v>
      </c>
      <c r="D3509" s="5">
        <f t="shared" si="108"/>
        <v>4950</v>
      </c>
      <c r="E3509">
        <v>5433.6</v>
      </c>
      <c r="F3509" s="1789">
        <v>8.8999999999999996E-2</v>
      </c>
      <c r="G3509">
        <f t="shared" si="109"/>
        <v>4950</v>
      </c>
    </row>
    <row r="3510" spans="1:7" ht="12.75" customHeight="1">
      <c r="A3510" s="3">
        <v>41218</v>
      </c>
      <c r="B3510" s="4" t="s">
        <v>3532</v>
      </c>
      <c r="C3510" s="3" t="s">
        <v>6</v>
      </c>
      <c r="D3510" s="5">
        <f t="shared" si="108"/>
        <v>6638.11</v>
      </c>
      <c r="E3510">
        <v>7286.62</v>
      </c>
      <c r="F3510" s="1789">
        <v>8.8999999999999996E-2</v>
      </c>
      <c r="G3510">
        <f t="shared" si="109"/>
        <v>6638.11</v>
      </c>
    </row>
    <row r="3511" spans="1:7" ht="12.75" customHeight="1">
      <c r="A3511" s="3">
        <v>41214</v>
      </c>
      <c r="B3511" s="4" t="s">
        <v>3533</v>
      </c>
      <c r="C3511" s="3" t="s">
        <v>6</v>
      </c>
      <c r="D3511" s="5">
        <f t="shared" si="108"/>
        <v>1399.63</v>
      </c>
      <c r="E3511">
        <v>1536.37</v>
      </c>
      <c r="F3511" s="1789">
        <v>8.8999999999999996E-2</v>
      </c>
      <c r="G3511">
        <f t="shared" si="109"/>
        <v>1399.63</v>
      </c>
    </row>
    <row r="3512" spans="1:7" ht="12.75" customHeight="1">
      <c r="A3512" s="3">
        <v>41215</v>
      </c>
      <c r="B3512" s="4" t="s">
        <v>3534</v>
      </c>
      <c r="C3512" s="3" t="s">
        <v>6</v>
      </c>
      <c r="D3512" s="5">
        <f t="shared" si="108"/>
        <v>2107.33</v>
      </c>
      <c r="E3512">
        <v>2313.21</v>
      </c>
      <c r="F3512" s="1789">
        <v>8.8999999999999996E-2</v>
      </c>
      <c r="G3512">
        <f t="shared" si="109"/>
        <v>2107.33</v>
      </c>
    </row>
    <row r="3513" spans="1:7" ht="12.75" customHeight="1">
      <c r="A3513" s="3">
        <v>41221</v>
      </c>
      <c r="B3513" s="4" t="s">
        <v>3535</v>
      </c>
      <c r="C3513" s="3" t="s">
        <v>6</v>
      </c>
      <c r="D3513" s="5">
        <f t="shared" si="108"/>
        <v>6101.83</v>
      </c>
      <c r="E3513">
        <v>6697.95</v>
      </c>
      <c r="F3513" s="1789">
        <v>8.8999999999999996E-2</v>
      </c>
      <c r="G3513">
        <f t="shared" si="109"/>
        <v>6101.83</v>
      </c>
    </row>
    <row r="3514" spans="1:7" ht="12.75" customHeight="1">
      <c r="A3514" s="3">
        <v>41222</v>
      </c>
      <c r="B3514" s="4" t="s">
        <v>3536</v>
      </c>
      <c r="C3514" s="3" t="s">
        <v>6</v>
      </c>
      <c r="D3514" s="5">
        <f t="shared" si="108"/>
        <v>8731.7800000000007</v>
      </c>
      <c r="E3514">
        <v>9584.84</v>
      </c>
      <c r="F3514" s="1789">
        <v>8.8999999999999996E-2</v>
      </c>
      <c r="G3514">
        <f t="shared" si="109"/>
        <v>8731.7800000000007</v>
      </c>
    </row>
    <row r="3515" spans="1:7" ht="12.75" customHeight="1">
      <c r="A3515" s="3">
        <v>41195</v>
      </c>
      <c r="B3515" s="4" t="s">
        <v>3537</v>
      </c>
      <c r="C3515" s="3" t="s">
        <v>6</v>
      </c>
      <c r="D3515" s="5">
        <f t="shared" si="108"/>
        <v>448.78</v>
      </c>
      <c r="E3515">
        <v>492.63</v>
      </c>
      <c r="F3515" s="1789">
        <v>8.8999999999999996E-2</v>
      </c>
      <c r="G3515">
        <f t="shared" si="109"/>
        <v>448.78</v>
      </c>
    </row>
    <row r="3516" spans="1:7" ht="12.75" customHeight="1">
      <c r="A3516" s="3">
        <v>41198</v>
      </c>
      <c r="B3516" s="4" t="s">
        <v>3538</v>
      </c>
      <c r="C3516" s="3" t="s">
        <v>6</v>
      </c>
      <c r="D3516" s="5">
        <f t="shared" si="108"/>
        <v>1753.75</v>
      </c>
      <c r="E3516">
        <v>1925.09</v>
      </c>
      <c r="F3516" s="1789">
        <v>8.8999999999999996E-2</v>
      </c>
      <c r="G3516">
        <f t="shared" si="109"/>
        <v>1753.75</v>
      </c>
    </row>
    <row r="3517" spans="1:7" ht="12.75" customHeight="1">
      <c r="A3517" s="3">
        <v>41196</v>
      </c>
      <c r="B3517" s="4" t="s">
        <v>3539</v>
      </c>
      <c r="C3517" s="3" t="s">
        <v>6</v>
      </c>
      <c r="D3517" s="5">
        <f t="shared" si="108"/>
        <v>556.29999999999995</v>
      </c>
      <c r="E3517">
        <v>610.65</v>
      </c>
      <c r="F3517" s="1789">
        <v>8.8999999999999996E-2</v>
      </c>
      <c r="G3517">
        <f t="shared" si="109"/>
        <v>556.29999999999995</v>
      </c>
    </row>
    <row r="3518" spans="1:7" ht="12.75" customHeight="1">
      <c r="A3518" s="3">
        <v>5033</v>
      </c>
      <c r="B3518" s="4" t="s">
        <v>3540</v>
      </c>
      <c r="C3518" s="3" t="s">
        <v>6</v>
      </c>
      <c r="D3518" s="5">
        <f t="shared" si="108"/>
        <v>730.39</v>
      </c>
      <c r="E3518">
        <v>801.75</v>
      </c>
      <c r="F3518" s="1789">
        <v>8.8999999999999996E-2</v>
      </c>
      <c r="G3518">
        <f t="shared" si="109"/>
        <v>730.39</v>
      </c>
    </row>
    <row r="3519" spans="1:7" ht="12.75" customHeight="1">
      <c r="A3519" s="3">
        <v>41197</v>
      </c>
      <c r="B3519" s="4" t="s">
        <v>3541</v>
      </c>
      <c r="C3519" s="3" t="s">
        <v>6</v>
      </c>
      <c r="D3519" s="5">
        <f t="shared" si="108"/>
        <v>1084.9000000000001</v>
      </c>
      <c r="E3519">
        <v>1190.8900000000001</v>
      </c>
      <c r="F3519" s="1789">
        <v>8.8999999999999996E-2</v>
      </c>
      <c r="G3519">
        <f t="shared" si="109"/>
        <v>1084.9000000000001</v>
      </c>
    </row>
    <row r="3520" spans="1:7" ht="12.75" customHeight="1">
      <c r="A3520" s="3">
        <v>12388</v>
      </c>
      <c r="B3520" s="4" t="s">
        <v>3542</v>
      </c>
      <c r="C3520" s="3" t="s">
        <v>6</v>
      </c>
      <c r="D3520" s="5">
        <f t="shared" si="108"/>
        <v>246.25</v>
      </c>
      <c r="E3520">
        <v>270.31</v>
      </c>
      <c r="F3520" s="1789">
        <v>8.8999999999999996E-2</v>
      </c>
      <c r="G3520">
        <f t="shared" si="109"/>
        <v>246.25</v>
      </c>
    </row>
    <row r="3521" spans="1:7" ht="12.75" customHeight="1">
      <c r="A3521" s="3">
        <v>2731</v>
      </c>
      <c r="B3521" s="4" t="s">
        <v>3543</v>
      </c>
      <c r="C3521" s="3" t="s">
        <v>50</v>
      </c>
      <c r="D3521" s="5">
        <f t="shared" si="108"/>
        <v>119.37</v>
      </c>
      <c r="E3521">
        <v>131.04</v>
      </c>
      <c r="F3521" s="1789">
        <v>8.8999999999999996E-2</v>
      </c>
      <c r="G3521">
        <f t="shared" si="109"/>
        <v>119.37</v>
      </c>
    </row>
    <row r="3522" spans="1:7" ht="12.75" customHeight="1">
      <c r="A3522" s="3">
        <v>41457</v>
      </c>
      <c r="B3522" s="4" t="s">
        <v>3544</v>
      </c>
      <c r="C3522" s="3" t="s">
        <v>6</v>
      </c>
      <c r="D3522" s="5">
        <f t="shared" si="108"/>
        <v>1661.73</v>
      </c>
      <c r="E3522">
        <v>1824.08</v>
      </c>
      <c r="F3522" s="1789">
        <v>8.8999999999999996E-2</v>
      </c>
      <c r="G3522">
        <f t="shared" si="109"/>
        <v>1661.73</v>
      </c>
    </row>
    <row r="3523" spans="1:7" ht="12.75" customHeight="1">
      <c r="A3523" s="3">
        <v>41458</v>
      </c>
      <c r="B3523" s="4" t="s">
        <v>3545</v>
      </c>
      <c r="C3523" s="3" t="s">
        <v>6</v>
      </c>
      <c r="D3523" s="5">
        <f t="shared" ref="D3523:D3586" si="110">G3523</f>
        <v>2319.87</v>
      </c>
      <c r="E3523">
        <v>2546.5100000000002</v>
      </c>
      <c r="F3523" s="1789">
        <v>8.8999999999999996E-2</v>
      </c>
      <c r="G3523">
        <f t="shared" ref="G3523:G3586" si="111">TRUNC((1-F3523)*E3523,2)</f>
        <v>2319.87</v>
      </c>
    </row>
    <row r="3524" spans="1:7" ht="12.75" customHeight="1">
      <c r="A3524" s="3">
        <v>41459</v>
      </c>
      <c r="B3524" s="4" t="s">
        <v>3546</v>
      </c>
      <c r="C3524" s="3" t="s">
        <v>6</v>
      </c>
      <c r="D3524" s="5">
        <f t="shared" si="110"/>
        <v>3236.04</v>
      </c>
      <c r="E3524">
        <v>3552.19</v>
      </c>
      <c r="F3524" s="1789">
        <v>8.8999999999999996E-2</v>
      </c>
      <c r="G3524">
        <f t="shared" si="111"/>
        <v>3236.04</v>
      </c>
    </row>
    <row r="3525" spans="1:7" ht="12.75" customHeight="1">
      <c r="A3525" s="3">
        <v>41461</v>
      </c>
      <c r="B3525" s="4" t="s">
        <v>3547</v>
      </c>
      <c r="C3525" s="3" t="s">
        <v>6</v>
      </c>
      <c r="D3525" s="5">
        <f t="shared" si="110"/>
        <v>4412.18</v>
      </c>
      <c r="E3525">
        <v>4843.2299999999996</v>
      </c>
      <c r="F3525" s="1789">
        <v>8.8999999999999996E-2</v>
      </c>
      <c r="G3525">
        <f t="shared" si="111"/>
        <v>4412.18</v>
      </c>
    </row>
    <row r="3526" spans="1:7" ht="12.75" customHeight="1">
      <c r="A3526" s="3">
        <v>44537</v>
      </c>
      <c r="B3526" s="4" t="s">
        <v>3548</v>
      </c>
      <c r="C3526" s="3" t="s">
        <v>1201</v>
      </c>
      <c r="D3526" s="5">
        <f t="shared" si="110"/>
        <v>347.39</v>
      </c>
      <c r="E3526">
        <v>381.33</v>
      </c>
      <c r="F3526" s="1789">
        <v>8.8999999999999996E-2</v>
      </c>
      <c r="G3526">
        <f t="shared" si="111"/>
        <v>347.39</v>
      </c>
    </row>
    <row r="3527" spans="1:7" ht="12.75" customHeight="1">
      <c r="A3527" s="3">
        <v>11844</v>
      </c>
      <c r="B3527" s="4" t="s">
        <v>3549</v>
      </c>
      <c r="C3527" s="3" t="s">
        <v>50</v>
      </c>
      <c r="D3527" s="5">
        <f t="shared" si="110"/>
        <v>42.84</v>
      </c>
      <c r="E3527">
        <v>47.03</v>
      </c>
      <c r="F3527" s="1789">
        <v>8.8999999999999996E-2</v>
      </c>
      <c r="G3527">
        <f t="shared" si="111"/>
        <v>42.84</v>
      </c>
    </row>
    <row r="3528" spans="1:7" ht="12.75" customHeight="1">
      <c r="A3528" s="3">
        <v>4465</v>
      </c>
      <c r="B3528" s="4" t="s">
        <v>3550</v>
      </c>
      <c r="C3528" s="3" t="s">
        <v>50</v>
      </c>
      <c r="D3528" s="5">
        <f t="shared" si="110"/>
        <v>35.6</v>
      </c>
      <c r="E3528">
        <v>39.08</v>
      </c>
      <c r="F3528" s="1789">
        <v>8.8999999999999996E-2</v>
      </c>
      <c r="G3528">
        <f t="shared" si="111"/>
        <v>35.6</v>
      </c>
    </row>
    <row r="3529" spans="1:7" ht="12.75" customHeight="1">
      <c r="A3529" s="3">
        <v>35273</v>
      </c>
      <c r="B3529" s="4" t="s">
        <v>3551</v>
      </c>
      <c r="C3529" s="3" t="s">
        <v>50</v>
      </c>
      <c r="D3529" s="5">
        <f t="shared" si="110"/>
        <v>42.69</v>
      </c>
      <c r="E3529">
        <v>46.87</v>
      </c>
      <c r="F3529" s="1789">
        <v>8.8999999999999996E-2</v>
      </c>
      <c r="G3529">
        <f t="shared" si="111"/>
        <v>42.69</v>
      </c>
    </row>
    <row r="3530" spans="1:7" ht="12.75" customHeight="1">
      <c r="A3530" s="3">
        <v>4470</v>
      </c>
      <c r="B3530" s="4" t="s">
        <v>3552</v>
      </c>
      <c r="C3530" s="3" t="s">
        <v>50</v>
      </c>
      <c r="D3530" s="5">
        <f t="shared" si="110"/>
        <v>98.54</v>
      </c>
      <c r="E3530">
        <v>108.17</v>
      </c>
      <c r="F3530" s="1789">
        <v>8.8999999999999996E-2</v>
      </c>
      <c r="G3530">
        <f t="shared" si="111"/>
        <v>98.54</v>
      </c>
    </row>
    <row r="3531" spans="1:7" ht="12.75" customHeight="1">
      <c r="A3531" s="3">
        <v>20204</v>
      </c>
      <c r="B3531" s="4" t="s">
        <v>3553</v>
      </c>
      <c r="C3531" s="3" t="s">
        <v>50</v>
      </c>
      <c r="D3531" s="5">
        <f t="shared" si="110"/>
        <v>65.69</v>
      </c>
      <c r="E3531">
        <v>72.11</v>
      </c>
      <c r="F3531" s="1789">
        <v>8.8999999999999996E-2</v>
      </c>
      <c r="G3531">
        <f t="shared" si="111"/>
        <v>65.69</v>
      </c>
    </row>
    <row r="3532" spans="1:7" ht="12.75" customHeight="1">
      <c r="A3532" s="3">
        <v>20208</v>
      </c>
      <c r="B3532" s="4" t="s">
        <v>3554</v>
      </c>
      <c r="C3532" s="3" t="s">
        <v>50</v>
      </c>
      <c r="D3532" s="5">
        <f t="shared" si="110"/>
        <v>88.68</v>
      </c>
      <c r="E3532">
        <v>97.35</v>
      </c>
      <c r="F3532" s="1789">
        <v>8.8999999999999996E-2</v>
      </c>
      <c r="G3532">
        <f t="shared" si="111"/>
        <v>88.68</v>
      </c>
    </row>
    <row r="3533" spans="1:7" ht="12.75" customHeight="1">
      <c r="A3533" s="3">
        <v>4437</v>
      </c>
      <c r="B3533" s="4" t="s">
        <v>3555</v>
      </c>
      <c r="C3533" s="3" t="s">
        <v>50</v>
      </c>
      <c r="D3533" s="5">
        <f t="shared" si="110"/>
        <v>73.900000000000006</v>
      </c>
      <c r="E3533">
        <v>81.13</v>
      </c>
      <c r="F3533" s="1789">
        <v>8.8999999999999996E-2</v>
      </c>
      <c r="G3533">
        <f t="shared" si="111"/>
        <v>73.900000000000006</v>
      </c>
    </row>
    <row r="3534" spans="1:7" ht="12.75" customHeight="1">
      <c r="A3534" s="3">
        <v>14580</v>
      </c>
      <c r="B3534" s="4" t="s">
        <v>3556</v>
      </c>
      <c r="C3534" s="3" t="s">
        <v>50</v>
      </c>
      <c r="D3534" s="5">
        <f t="shared" si="110"/>
        <v>73.900000000000006</v>
      </c>
      <c r="E3534">
        <v>81.13</v>
      </c>
      <c r="F3534" s="1789">
        <v>8.8999999999999996E-2</v>
      </c>
      <c r="G3534">
        <f t="shared" si="111"/>
        <v>73.900000000000006</v>
      </c>
    </row>
    <row r="3535" spans="1:7" ht="12.75" customHeight="1">
      <c r="A3535" s="3">
        <v>40304</v>
      </c>
      <c r="B3535" s="4" t="s">
        <v>3557</v>
      </c>
      <c r="C3535" s="3" t="s">
        <v>54</v>
      </c>
      <c r="D3535" s="5">
        <f t="shared" si="110"/>
        <v>20.14</v>
      </c>
      <c r="E3535">
        <v>22.11</v>
      </c>
      <c r="F3535" s="1789">
        <v>8.8999999999999996E-2</v>
      </c>
      <c r="G3535">
        <f t="shared" si="111"/>
        <v>20.14</v>
      </c>
    </row>
    <row r="3536" spans="1:7" ht="12.75" customHeight="1">
      <c r="A3536" s="3">
        <v>5065</v>
      </c>
      <c r="B3536" s="4" t="s">
        <v>3558</v>
      </c>
      <c r="C3536" s="3" t="s">
        <v>54</v>
      </c>
      <c r="D3536" s="5">
        <f t="shared" si="110"/>
        <v>31.03</v>
      </c>
      <c r="E3536">
        <v>34.07</v>
      </c>
      <c r="F3536" s="1789">
        <v>8.8999999999999996E-2</v>
      </c>
      <c r="G3536">
        <f t="shared" si="111"/>
        <v>31.03</v>
      </c>
    </row>
    <row r="3537" spans="1:7" ht="12.75" customHeight="1">
      <c r="A3537" s="3">
        <v>5072</v>
      </c>
      <c r="B3537" s="4" t="s">
        <v>3559</v>
      </c>
      <c r="C3537" s="3" t="s">
        <v>54</v>
      </c>
      <c r="D3537" s="5">
        <f t="shared" si="110"/>
        <v>28.71</v>
      </c>
      <c r="E3537">
        <v>31.52</v>
      </c>
      <c r="F3537" s="1789">
        <v>8.8999999999999996E-2</v>
      </c>
      <c r="G3537">
        <f t="shared" si="111"/>
        <v>28.71</v>
      </c>
    </row>
    <row r="3538" spans="1:7" ht="12.75" customHeight="1">
      <c r="A3538" s="3">
        <v>5066</v>
      </c>
      <c r="B3538" s="4" t="s">
        <v>3560</v>
      </c>
      <c r="C3538" s="3" t="s">
        <v>54</v>
      </c>
      <c r="D3538" s="5">
        <f t="shared" si="110"/>
        <v>21.49</v>
      </c>
      <c r="E3538">
        <v>23.6</v>
      </c>
      <c r="F3538" s="1789">
        <v>8.8999999999999996E-2</v>
      </c>
      <c r="G3538">
        <f t="shared" si="111"/>
        <v>21.49</v>
      </c>
    </row>
    <row r="3539" spans="1:7" ht="12.75" customHeight="1">
      <c r="A3539" s="3">
        <v>5063</v>
      </c>
      <c r="B3539" s="4" t="s">
        <v>3561</v>
      </c>
      <c r="C3539" s="3" t="s">
        <v>54</v>
      </c>
      <c r="D3539" s="5">
        <f t="shared" si="110"/>
        <v>19.46</v>
      </c>
      <c r="E3539">
        <v>21.37</v>
      </c>
      <c r="F3539" s="1789">
        <v>8.8999999999999996E-2</v>
      </c>
      <c r="G3539">
        <f t="shared" si="111"/>
        <v>19.46</v>
      </c>
    </row>
    <row r="3540" spans="1:7" ht="12.75" customHeight="1">
      <c r="A3540" s="3">
        <v>20247</v>
      </c>
      <c r="B3540" s="4" t="s">
        <v>3562</v>
      </c>
      <c r="C3540" s="3" t="s">
        <v>54</v>
      </c>
      <c r="D3540" s="5">
        <f t="shared" si="110"/>
        <v>18.059999999999999</v>
      </c>
      <c r="E3540">
        <v>19.829999999999998</v>
      </c>
      <c r="F3540" s="1789">
        <v>8.8999999999999996E-2</v>
      </c>
      <c r="G3540">
        <f t="shared" si="111"/>
        <v>18.059999999999999</v>
      </c>
    </row>
    <row r="3541" spans="1:7" ht="12.75" customHeight="1">
      <c r="A3541" s="3">
        <v>5074</v>
      </c>
      <c r="B3541" s="4" t="s">
        <v>3563</v>
      </c>
      <c r="C3541" s="3" t="s">
        <v>54</v>
      </c>
      <c r="D3541" s="5">
        <f t="shared" si="110"/>
        <v>18.28</v>
      </c>
      <c r="E3541">
        <v>20.07</v>
      </c>
      <c r="F3541" s="1789">
        <v>8.8999999999999996E-2</v>
      </c>
      <c r="G3541">
        <f t="shared" si="111"/>
        <v>18.28</v>
      </c>
    </row>
    <row r="3542" spans="1:7" ht="12.75" customHeight="1">
      <c r="A3542" s="3">
        <v>5067</v>
      </c>
      <c r="B3542" s="4" t="s">
        <v>3564</v>
      </c>
      <c r="C3542" s="3" t="s">
        <v>54</v>
      </c>
      <c r="D3542" s="5">
        <f t="shared" si="110"/>
        <v>17.39</v>
      </c>
      <c r="E3542">
        <v>19.09</v>
      </c>
      <c r="F3542" s="1789">
        <v>8.8999999999999996E-2</v>
      </c>
      <c r="G3542">
        <f t="shared" si="111"/>
        <v>17.39</v>
      </c>
    </row>
    <row r="3543" spans="1:7" ht="12.75" customHeight="1">
      <c r="A3543" s="3">
        <v>5078</v>
      </c>
      <c r="B3543" s="4" t="s">
        <v>3565</v>
      </c>
      <c r="C3543" s="3" t="s">
        <v>54</v>
      </c>
      <c r="D3543" s="5">
        <f t="shared" si="110"/>
        <v>17.190000000000001</v>
      </c>
      <c r="E3543">
        <v>18.87</v>
      </c>
      <c r="F3543" s="1789">
        <v>8.8999999999999996E-2</v>
      </c>
      <c r="G3543">
        <f t="shared" si="111"/>
        <v>17.190000000000001</v>
      </c>
    </row>
    <row r="3544" spans="1:7" ht="12.75" customHeight="1">
      <c r="A3544" s="3">
        <v>5068</v>
      </c>
      <c r="B3544" s="4" t="s">
        <v>3566</v>
      </c>
      <c r="C3544" s="3" t="s">
        <v>54</v>
      </c>
      <c r="D3544" s="5">
        <f t="shared" si="110"/>
        <v>16.309999999999999</v>
      </c>
      <c r="E3544">
        <v>17.91</v>
      </c>
      <c r="F3544" s="1789">
        <v>8.8999999999999996E-2</v>
      </c>
      <c r="G3544">
        <f t="shared" si="111"/>
        <v>16.309999999999999</v>
      </c>
    </row>
    <row r="3545" spans="1:7" ht="12.75" customHeight="1">
      <c r="A3545" s="3">
        <v>5073</v>
      </c>
      <c r="B3545" s="4" t="s">
        <v>3567</v>
      </c>
      <c r="C3545" s="3" t="s">
        <v>54</v>
      </c>
      <c r="D3545" s="5">
        <f t="shared" si="110"/>
        <v>16.63</v>
      </c>
      <c r="E3545">
        <v>18.260000000000002</v>
      </c>
      <c r="F3545" s="1789">
        <v>8.8999999999999996E-2</v>
      </c>
      <c r="G3545">
        <f t="shared" si="111"/>
        <v>16.63</v>
      </c>
    </row>
    <row r="3546" spans="1:7" ht="12.75" customHeight="1">
      <c r="A3546" s="3">
        <v>5069</v>
      </c>
      <c r="B3546" s="4" t="s">
        <v>3568</v>
      </c>
      <c r="C3546" s="3" t="s">
        <v>54</v>
      </c>
      <c r="D3546" s="5">
        <f t="shared" si="110"/>
        <v>16.63</v>
      </c>
      <c r="E3546">
        <v>18.260000000000002</v>
      </c>
      <c r="F3546" s="1789">
        <v>8.8999999999999996E-2</v>
      </c>
      <c r="G3546">
        <f t="shared" si="111"/>
        <v>16.63</v>
      </c>
    </row>
    <row r="3547" spans="1:7" ht="12.75" customHeight="1">
      <c r="A3547" s="3">
        <v>5070</v>
      </c>
      <c r="B3547" s="4" t="s">
        <v>3569</v>
      </c>
      <c r="C3547" s="3" t="s">
        <v>54</v>
      </c>
      <c r="D3547" s="5">
        <f t="shared" si="110"/>
        <v>16.809999999999999</v>
      </c>
      <c r="E3547">
        <v>18.46</v>
      </c>
      <c r="F3547" s="1789">
        <v>8.8999999999999996E-2</v>
      </c>
      <c r="G3547">
        <f t="shared" si="111"/>
        <v>16.809999999999999</v>
      </c>
    </row>
    <row r="3548" spans="1:7" ht="12.75" customHeight="1">
      <c r="A3548" s="3">
        <v>5071</v>
      </c>
      <c r="B3548" s="4" t="s">
        <v>3570</v>
      </c>
      <c r="C3548" s="3" t="s">
        <v>54</v>
      </c>
      <c r="D3548" s="5">
        <f t="shared" si="110"/>
        <v>16.309999999999999</v>
      </c>
      <c r="E3548">
        <v>17.91</v>
      </c>
      <c r="F3548" s="1789">
        <v>8.8999999999999996E-2</v>
      </c>
      <c r="G3548">
        <f t="shared" si="111"/>
        <v>16.309999999999999</v>
      </c>
    </row>
    <row r="3549" spans="1:7" ht="12.75" customHeight="1">
      <c r="A3549" s="3">
        <v>5061</v>
      </c>
      <c r="B3549" s="4" t="s">
        <v>3571</v>
      </c>
      <c r="C3549" s="3" t="s">
        <v>54</v>
      </c>
      <c r="D3549" s="5">
        <f t="shared" si="110"/>
        <v>16.04</v>
      </c>
      <c r="E3549">
        <v>17.61</v>
      </c>
      <c r="F3549" s="1789">
        <v>8.8999999999999996E-2</v>
      </c>
      <c r="G3549">
        <f t="shared" si="111"/>
        <v>16.04</v>
      </c>
    </row>
    <row r="3550" spans="1:7" ht="12.75" customHeight="1">
      <c r="A3550" s="3">
        <v>5075</v>
      </c>
      <c r="B3550" s="4" t="s">
        <v>3572</v>
      </c>
      <c r="C3550" s="3" t="s">
        <v>54</v>
      </c>
      <c r="D3550" s="5">
        <f t="shared" si="110"/>
        <v>16.309999999999999</v>
      </c>
      <c r="E3550">
        <v>17.91</v>
      </c>
      <c r="F3550" s="1789">
        <v>8.8999999999999996E-2</v>
      </c>
      <c r="G3550">
        <f t="shared" si="111"/>
        <v>16.309999999999999</v>
      </c>
    </row>
    <row r="3551" spans="1:7" ht="12.75" customHeight="1">
      <c r="A3551" s="3">
        <v>39027</v>
      </c>
      <c r="B3551" s="4" t="s">
        <v>3573</v>
      </c>
      <c r="C3551" s="3" t="s">
        <v>54</v>
      </c>
      <c r="D3551" s="5">
        <f t="shared" si="110"/>
        <v>16.29</v>
      </c>
      <c r="E3551">
        <v>17.89</v>
      </c>
      <c r="F3551" s="1789">
        <v>8.8999999999999996E-2</v>
      </c>
      <c r="G3551">
        <f t="shared" si="111"/>
        <v>16.29</v>
      </c>
    </row>
    <row r="3552" spans="1:7" ht="12.75" customHeight="1">
      <c r="A3552" s="3">
        <v>5062</v>
      </c>
      <c r="B3552" s="4" t="s">
        <v>3574</v>
      </c>
      <c r="C3552" s="3" t="s">
        <v>54</v>
      </c>
      <c r="D3552" s="5">
        <f t="shared" si="110"/>
        <v>16.53</v>
      </c>
      <c r="E3552">
        <v>18.149999999999999</v>
      </c>
      <c r="F3552" s="1789">
        <v>8.8999999999999996E-2</v>
      </c>
      <c r="G3552">
        <f t="shared" si="111"/>
        <v>16.53</v>
      </c>
    </row>
    <row r="3553" spans="1:7" ht="12.75" customHeight="1">
      <c r="A3553" s="3">
        <v>40568</v>
      </c>
      <c r="B3553" s="4" t="s">
        <v>3575</v>
      </c>
      <c r="C3553" s="3" t="s">
        <v>54</v>
      </c>
      <c r="D3553" s="5">
        <f t="shared" si="110"/>
        <v>16.440000000000001</v>
      </c>
      <c r="E3553">
        <v>18.05</v>
      </c>
      <c r="F3553" s="1789">
        <v>8.8999999999999996E-2</v>
      </c>
      <c r="G3553">
        <f t="shared" si="111"/>
        <v>16.440000000000001</v>
      </c>
    </row>
    <row r="3554" spans="1:7" ht="12.75" customHeight="1">
      <c r="A3554" s="3">
        <v>39026</v>
      </c>
      <c r="B3554" s="4" t="s">
        <v>3576</v>
      </c>
      <c r="C3554" s="3" t="s">
        <v>54</v>
      </c>
      <c r="D3554" s="5">
        <f t="shared" si="110"/>
        <v>18.34</v>
      </c>
      <c r="E3554">
        <v>20.14</v>
      </c>
      <c r="F3554" s="1789">
        <v>8.8999999999999996E-2</v>
      </c>
      <c r="G3554">
        <f t="shared" si="111"/>
        <v>18.34</v>
      </c>
    </row>
    <row r="3555" spans="1:7" ht="12.75" customHeight="1">
      <c r="A3555" s="3">
        <v>42431</v>
      </c>
      <c r="B3555" s="4" t="s">
        <v>3577</v>
      </c>
      <c r="C3555" s="3" t="s">
        <v>6</v>
      </c>
      <c r="D3555" s="5">
        <f t="shared" si="110"/>
        <v>3605.6</v>
      </c>
      <c r="E3555">
        <v>3957.85</v>
      </c>
      <c r="F3555" s="1789">
        <v>8.8999999999999996E-2</v>
      </c>
      <c r="G3555">
        <f t="shared" si="111"/>
        <v>3605.6</v>
      </c>
    </row>
    <row r="3556" spans="1:7" ht="12.75" customHeight="1">
      <c r="A3556" s="3">
        <v>44074</v>
      </c>
      <c r="B3556" s="4" t="s">
        <v>3578</v>
      </c>
      <c r="C3556" s="3" t="s">
        <v>56</v>
      </c>
      <c r="D3556" s="5">
        <f t="shared" si="110"/>
        <v>554.89</v>
      </c>
      <c r="E3556">
        <v>609.1</v>
      </c>
      <c r="F3556" s="1789">
        <v>8.8999999999999996E-2</v>
      </c>
      <c r="G3556">
        <f t="shared" si="111"/>
        <v>554.89</v>
      </c>
    </row>
    <row r="3557" spans="1:7" ht="12.75" customHeight="1">
      <c r="A3557" s="3">
        <v>44072</v>
      </c>
      <c r="B3557" s="4" t="s">
        <v>3579</v>
      </c>
      <c r="C3557" s="3" t="s">
        <v>56</v>
      </c>
      <c r="D3557" s="5">
        <f t="shared" si="110"/>
        <v>95.1</v>
      </c>
      <c r="E3557">
        <v>104.4</v>
      </c>
      <c r="F3557" s="1789">
        <v>8.8999999999999996E-2</v>
      </c>
      <c r="G3557">
        <f t="shared" si="111"/>
        <v>95.1</v>
      </c>
    </row>
    <row r="3558" spans="1:7" ht="12.75" customHeight="1">
      <c r="A3558" s="3">
        <v>511</v>
      </c>
      <c r="B3558" s="4" t="s">
        <v>3580</v>
      </c>
      <c r="C3558" s="3" t="s">
        <v>56</v>
      </c>
      <c r="D3558" s="5">
        <f t="shared" si="110"/>
        <v>34.07</v>
      </c>
      <c r="E3558">
        <v>37.4</v>
      </c>
      <c r="F3558" s="1789">
        <v>8.8999999999999996E-2</v>
      </c>
      <c r="G3558">
        <f t="shared" si="111"/>
        <v>34.07</v>
      </c>
    </row>
    <row r="3559" spans="1:7" ht="12.75" customHeight="1">
      <c r="A3559" s="3">
        <v>37540</v>
      </c>
      <c r="B3559" s="4" t="s">
        <v>3581</v>
      </c>
      <c r="C3559" s="3" t="s">
        <v>6</v>
      </c>
      <c r="D3559" s="5">
        <f t="shared" si="110"/>
        <v>77153.710000000006</v>
      </c>
      <c r="E3559">
        <v>84691.23</v>
      </c>
      <c r="F3559" s="1789">
        <v>8.8999999999999996E-2</v>
      </c>
      <c r="G3559">
        <f t="shared" si="111"/>
        <v>77153.710000000006</v>
      </c>
    </row>
    <row r="3560" spans="1:7" ht="12.75" customHeight="1">
      <c r="A3560" s="3">
        <v>37548</v>
      </c>
      <c r="B3560" s="4" t="s">
        <v>3582</v>
      </c>
      <c r="C3560" s="3" t="s">
        <v>6</v>
      </c>
      <c r="D3560" s="5">
        <f t="shared" si="110"/>
        <v>102266.86</v>
      </c>
      <c r="E3560">
        <v>112257.81</v>
      </c>
      <c r="F3560" s="1789">
        <v>8.8999999999999996E-2</v>
      </c>
      <c r="G3560">
        <f t="shared" si="111"/>
        <v>102266.86</v>
      </c>
    </row>
    <row r="3561" spans="1:7" ht="12.75" customHeight="1">
      <c r="A3561" s="3">
        <v>39828</v>
      </c>
      <c r="B3561" s="4" t="s">
        <v>3583</v>
      </c>
      <c r="C3561" s="3" t="s">
        <v>6</v>
      </c>
      <c r="D3561" s="5">
        <f t="shared" si="110"/>
        <v>613.5</v>
      </c>
      <c r="E3561">
        <v>673.44</v>
      </c>
      <c r="F3561" s="1789">
        <v>8.8999999999999996E-2</v>
      </c>
      <c r="G3561">
        <f t="shared" si="111"/>
        <v>613.5</v>
      </c>
    </row>
    <row r="3562" spans="1:7" ht="12.75" customHeight="1">
      <c r="A3562" s="3">
        <v>38392</v>
      </c>
      <c r="B3562" s="4" t="s">
        <v>3584</v>
      </c>
      <c r="C3562" s="3" t="s">
        <v>6</v>
      </c>
      <c r="D3562" s="5">
        <f t="shared" si="110"/>
        <v>65.040000000000006</v>
      </c>
      <c r="E3562">
        <v>71.400000000000006</v>
      </c>
      <c r="F3562" s="1789">
        <v>8.8999999999999996E-2</v>
      </c>
      <c r="G3562">
        <f t="shared" si="111"/>
        <v>65.040000000000006</v>
      </c>
    </row>
    <row r="3563" spans="1:7" ht="12.75" customHeight="1">
      <c r="A3563" s="3">
        <v>11735</v>
      </c>
      <c r="B3563" s="4" t="s">
        <v>3585</v>
      </c>
      <c r="C3563" s="3" t="s">
        <v>6</v>
      </c>
      <c r="D3563" s="5">
        <f t="shared" si="110"/>
        <v>8.0399999999999991</v>
      </c>
      <c r="E3563">
        <v>8.83</v>
      </c>
      <c r="F3563" s="1789">
        <v>8.8999999999999996E-2</v>
      </c>
      <c r="G3563">
        <f t="shared" si="111"/>
        <v>8.0399999999999991</v>
      </c>
    </row>
    <row r="3564" spans="1:7" ht="12.75" customHeight="1">
      <c r="A3564" s="3">
        <v>11737</v>
      </c>
      <c r="B3564" s="4" t="s">
        <v>3586</v>
      </c>
      <c r="C3564" s="3" t="s">
        <v>6</v>
      </c>
      <c r="D3564" s="5">
        <f t="shared" si="110"/>
        <v>11.4</v>
      </c>
      <c r="E3564">
        <v>12.52</v>
      </c>
      <c r="F3564" s="1789">
        <v>8.8999999999999996E-2</v>
      </c>
      <c r="G3564">
        <f t="shared" si="111"/>
        <v>11.4</v>
      </c>
    </row>
    <row r="3565" spans="1:7" ht="12.75" customHeight="1">
      <c r="A3565" s="3">
        <v>11738</v>
      </c>
      <c r="B3565" s="4" t="s">
        <v>3587</v>
      </c>
      <c r="C3565" s="3" t="s">
        <v>6</v>
      </c>
      <c r="D3565" s="5">
        <f t="shared" si="110"/>
        <v>14.38</v>
      </c>
      <c r="E3565">
        <v>15.79</v>
      </c>
      <c r="F3565" s="1789">
        <v>8.8999999999999996E-2</v>
      </c>
      <c r="G3565">
        <f t="shared" si="111"/>
        <v>14.38</v>
      </c>
    </row>
    <row r="3566" spans="1:7" ht="12.75" customHeight="1">
      <c r="A3566" s="3">
        <v>36143</v>
      </c>
      <c r="B3566" s="4" t="s">
        <v>3588</v>
      </c>
      <c r="C3566" s="3" t="s">
        <v>6</v>
      </c>
      <c r="D3566" s="5">
        <f t="shared" si="110"/>
        <v>29.68</v>
      </c>
      <c r="E3566">
        <v>32.590000000000003</v>
      </c>
      <c r="F3566" s="1789">
        <v>8.8999999999999996E-2</v>
      </c>
      <c r="G3566">
        <f t="shared" si="111"/>
        <v>29.68</v>
      </c>
    </row>
    <row r="3567" spans="1:7" ht="12.75" customHeight="1">
      <c r="A3567" s="3">
        <v>36142</v>
      </c>
      <c r="B3567" s="4" t="s">
        <v>3589</v>
      </c>
      <c r="C3567" s="3" t="s">
        <v>6</v>
      </c>
      <c r="D3567" s="5">
        <f t="shared" si="110"/>
        <v>2.16</v>
      </c>
      <c r="E3567">
        <v>2.38</v>
      </c>
      <c r="F3567" s="1789">
        <v>8.8999999999999996E-2</v>
      </c>
      <c r="G3567">
        <f t="shared" si="111"/>
        <v>2.16</v>
      </c>
    </row>
    <row r="3568" spans="1:7" ht="12.75" customHeight="1">
      <c r="A3568" s="3">
        <v>36146</v>
      </c>
      <c r="B3568" s="4" t="s">
        <v>3590</v>
      </c>
      <c r="C3568" s="3" t="s">
        <v>6</v>
      </c>
      <c r="D3568" s="5">
        <f t="shared" si="110"/>
        <v>246.24</v>
      </c>
      <c r="E3568">
        <v>270.3</v>
      </c>
      <c r="F3568" s="1789">
        <v>8.8999999999999996E-2</v>
      </c>
      <c r="G3568">
        <f t="shared" si="111"/>
        <v>246.24</v>
      </c>
    </row>
    <row r="3569" spans="1:7" ht="12.75" customHeight="1">
      <c r="A3569" s="3">
        <v>39015</v>
      </c>
      <c r="B3569" s="4" t="s">
        <v>3591</v>
      </c>
      <c r="C3569" s="3" t="s">
        <v>6</v>
      </c>
      <c r="D3569" s="5">
        <f t="shared" si="110"/>
        <v>0.88</v>
      </c>
      <c r="E3569">
        <v>0.97</v>
      </c>
      <c r="F3569" s="1789">
        <v>8.8999999999999996E-2</v>
      </c>
      <c r="G3569">
        <f t="shared" si="111"/>
        <v>0.88</v>
      </c>
    </row>
    <row r="3570" spans="1:7" ht="12.75" customHeight="1">
      <c r="A3570" s="3">
        <v>38377</v>
      </c>
      <c r="B3570" s="4" t="s">
        <v>3592</v>
      </c>
      <c r="C3570" s="3" t="s">
        <v>6</v>
      </c>
      <c r="D3570" s="5">
        <f t="shared" si="110"/>
        <v>50.68</v>
      </c>
      <c r="E3570">
        <v>55.64</v>
      </c>
      <c r="F3570" s="1789">
        <v>8.8999999999999996E-2</v>
      </c>
      <c r="G3570">
        <f t="shared" si="111"/>
        <v>50.68</v>
      </c>
    </row>
    <row r="3571" spans="1:7" ht="12.75" customHeight="1">
      <c r="A3571" s="3">
        <v>38376</v>
      </c>
      <c r="B3571" s="4" t="s">
        <v>3593</v>
      </c>
      <c r="C3571" s="3" t="s">
        <v>6</v>
      </c>
      <c r="D3571" s="5">
        <f t="shared" si="110"/>
        <v>57.78</v>
      </c>
      <c r="E3571">
        <v>63.43</v>
      </c>
      <c r="F3571" s="1789">
        <v>8.8999999999999996E-2</v>
      </c>
      <c r="G3571">
        <f t="shared" si="111"/>
        <v>57.78</v>
      </c>
    </row>
    <row r="3572" spans="1:7" ht="12.75" customHeight="1">
      <c r="A3572" s="3">
        <v>38116</v>
      </c>
      <c r="B3572" s="4" t="s">
        <v>3594</v>
      </c>
      <c r="C3572" s="3" t="s">
        <v>6</v>
      </c>
      <c r="D3572" s="5">
        <f t="shared" si="110"/>
        <v>4.97</v>
      </c>
      <c r="E3572">
        <v>5.46</v>
      </c>
      <c r="F3572" s="1789">
        <v>8.8999999999999996E-2</v>
      </c>
      <c r="G3572">
        <f t="shared" si="111"/>
        <v>4.97</v>
      </c>
    </row>
    <row r="3573" spans="1:7" ht="12.75" customHeight="1">
      <c r="A3573" s="3">
        <v>38066</v>
      </c>
      <c r="B3573" s="4" t="s">
        <v>3595</v>
      </c>
      <c r="C3573" s="3" t="s">
        <v>6</v>
      </c>
      <c r="D3573" s="5">
        <f t="shared" si="110"/>
        <v>8.2100000000000009</v>
      </c>
      <c r="E3573">
        <v>9.02</v>
      </c>
      <c r="F3573" s="1789">
        <v>8.8999999999999996E-2</v>
      </c>
      <c r="G3573">
        <f t="shared" si="111"/>
        <v>8.2100000000000009</v>
      </c>
    </row>
    <row r="3574" spans="1:7" ht="12.75" customHeight="1">
      <c r="A3574" s="3">
        <v>38117</v>
      </c>
      <c r="B3574" s="4" t="s">
        <v>3596</v>
      </c>
      <c r="C3574" s="3" t="s">
        <v>6</v>
      </c>
      <c r="D3574" s="5">
        <f t="shared" si="110"/>
        <v>8.4700000000000006</v>
      </c>
      <c r="E3574">
        <v>9.3000000000000007</v>
      </c>
      <c r="F3574" s="1789">
        <v>8.8999999999999996E-2</v>
      </c>
      <c r="G3574">
        <f t="shared" si="111"/>
        <v>8.4700000000000006</v>
      </c>
    </row>
    <row r="3575" spans="1:7" ht="12.75" customHeight="1">
      <c r="A3575" s="3">
        <v>38067</v>
      </c>
      <c r="B3575" s="4" t="s">
        <v>3597</v>
      </c>
      <c r="C3575" s="3" t="s">
        <v>6</v>
      </c>
      <c r="D3575" s="5">
        <f t="shared" si="110"/>
        <v>11.56</v>
      </c>
      <c r="E3575">
        <v>12.7</v>
      </c>
      <c r="F3575" s="1789">
        <v>8.8999999999999996E-2</v>
      </c>
      <c r="G3575">
        <f t="shared" si="111"/>
        <v>11.56</v>
      </c>
    </row>
    <row r="3576" spans="1:7" ht="12.75" customHeight="1">
      <c r="A3576" s="3">
        <v>11522</v>
      </c>
      <c r="B3576" s="4" t="s">
        <v>3598</v>
      </c>
      <c r="C3576" s="3" t="s">
        <v>6</v>
      </c>
      <c r="D3576" s="5">
        <f t="shared" si="110"/>
        <v>14</v>
      </c>
      <c r="E3576">
        <v>15.37</v>
      </c>
      <c r="F3576" s="1789">
        <v>8.8999999999999996E-2</v>
      </c>
      <c r="G3576">
        <f t="shared" si="111"/>
        <v>14</v>
      </c>
    </row>
    <row r="3577" spans="1:7" ht="12.75" customHeight="1">
      <c r="A3577" s="3">
        <v>43600</v>
      </c>
      <c r="B3577" s="4" t="s">
        <v>3599</v>
      </c>
      <c r="C3577" s="3" t="s">
        <v>6</v>
      </c>
      <c r="D3577" s="5">
        <f t="shared" si="110"/>
        <v>56.13</v>
      </c>
      <c r="E3577">
        <v>61.62</v>
      </c>
      <c r="F3577" s="1789">
        <v>8.8999999999999996E-2</v>
      </c>
      <c r="G3577">
        <f t="shared" si="111"/>
        <v>56.13</v>
      </c>
    </row>
    <row r="3578" spans="1:7" ht="12.75" customHeight="1">
      <c r="A3578" s="3">
        <v>5080</v>
      </c>
      <c r="B3578" s="4" t="s">
        <v>3600</v>
      </c>
      <c r="C3578" s="3" t="s">
        <v>6</v>
      </c>
      <c r="D3578" s="5">
        <f t="shared" si="110"/>
        <v>21.89</v>
      </c>
      <c r="E3578">
        <v>24.03</v>
      </c>
      <c r="F3578" s="1789">
        <v>8.8999999999999996E-2</v>
      </c>
      <c r="G3578">
        <f t="shared" si="111"/>
        <v>21.89</v>
      </c>
    </row>
    <row r="3579" spans="1:7" ht="12.75" customHeight="1">
      <c r="A3579" s="3">
        <v>38168</v>
      </c>
      <c r="B3579" s="4" t="s">
        <v>3601</v>
      </c>
      <c r="C3579" s="3" t="s">
        <v>6</v>
      </c>
      <c r="D3579" s="5">
        <f t="shared" si="110"/>
        <v>152.82</v>
      </c>
      <c r="E3579">
        <v>167.75</v>
      </c>
      <c r="F3579" s="1789">
        <v>8.8999999999999996E-2</v>
      </c>
      <c r="G3579">
        <f t="shared" si="111"/>
        <v>152.82</v>
      </c>
    </row>
    <row r="3580" spans="1:7" ht="12.75" customHeight="1">
      <c r="A3580" s="3">
        <v>43601</v>
      </c>
      <c r="B3580" s="4" t="s">
        <v>3602</v>
      </c>
      <c r="C3580" s="3" t="s">
        <v>6</v>
      </c>
      <c r="D3580" s="5">
        <f t="shared" si="110"/>
        <v>76.400000000000006</v>
      </c>
      <c r="E3580">
        <v>83.87</v>
      </c>
      <c r="F3580" s="1789">
        <v>8.8999999999999996E-2</v>
      </c>
      <c r="G3580">
        <f t="shared" si="111"/>
        <v>76.400000000000006</v>
      </c>
    </row>
    <row r="3581" spans="1:7" ht="12.75" customHeight="1">
      <c r="A3581" s="3">
        <v>13393</v>
      </c>
      <c r="B3581" s="4" t="s">
        <v>3603</v>
      </c>
      <c r="C3581" s="3" t="s">
        <v>6</v>
      </c>
      <c r="D3581" s="5">
        <f t="shared" si="110"/>
        <v>410.49</v>
      </c>
      <c r="E3581">
        <v>450.6</v>
      </c>
      <c r="F3581" s="1789">
        <v>8.8999999999999996E-2</v>
      </c>
      <c r="G3581">
        <f t="shared" si="111"/>
        <v>410.49</v>
      </c>
    </row>
    <row r="3582" spans="1:7" ht="12.75" customHeight="1">
      <c r="A3582" s="3">
        <v>13395</v>
      </c>
      <c r="B3582" s="4" t="s">
        <v>3604</v>
      </c>
      <c r="C3582" s="3" t="s">
        <v>6</v>
      </c>
      <c r="D3582" s="5">
        <f t="shared" si="110"/>
        <v>575.26</v>
      </c>
      <c r="E3582">
        <v>631.47</v>
      </c>
      <c r="F3582" s="1789">
        <v>8.8999999999999996E-2</v>
      </c>
      <c r="G3582">
        <f t="shared" si="111"/>
        <v>575.26</v>
      </c>
    </row>
    <row r="3583" spans="1:7" ht="12.75" customHeight="1">
      <c r="A3583" s="3">
        <v>12039</v>
      </c>
      <c r="B3583" s="4" t="s">
        <v>3605</v>
      </c>
      <c r="C3583" s="3" t="s">
        <v>6</v>
      </c>
      <c r="D3583" s="5">
        <f t="shared" si="110"/>
        <v>604.54</v>
      </c>
      <c r="E3583">
        <v>663.61</v>
      </c>
      <c r="F3583" s="1789">
        <v>8.8999999999999996E-2</v>
      </c>
      <c r="G3583">
        <f t="shared" si="111"/>
        <v>604.54</v>
      </c>
    </row>
    <row r="3584" spans="1:7" ht="12.75" customHeight="1">
      <c r="A3584" s="3">
        <v>13396</v>
      </c>
      <c r="B3584" s="4" t="s">
        <v>3606</v>
      </c>
      <c r="C3584" s="3" t="s">
        <v>6</v>
      </c>
      <c r="D3584" s="5">
        <f t="shared" si="110"/>
        <v>849.05</v>
      </c>
      <c r="E3584">
        <v>932</v>
      </c>
      <c r="F3584" s="1789">
        <v>8.8999999999999996E-2</v>
      </c>
      <c r="G3584">
        <f t="shared" si="111"/>
        <v>849.05</v>
      </c>
    </row>
    <row r="3585" spans="1:7" ht="12.75" customHeight="1">
      <c r="A3585" s="3">
        <v>12041</v>
      </c>
      <c r="B3585" s="4" t="s">
        <v>3607</v>
      </c>
      <c r="C3585" s="3" t="s">
        <v>6</v>
      </c>
      <c r="D3585" s="5">
        <f t="shared" si="110"/>
        <v>693.3</v>
      </c>
      <c r="E3585">
        <v>761.04</v>
      </c>
      <c r="F3585" s="1789">
        <v>8.8999999999999996E-2</v>
      </c>
      <c r="G3585">
        <f t="shared" si="111"/>
        <v>693.3</v>
      </c>
    </row>
    <row r="3586" spans="1:7" ht="12.75" customHeight="1">
      <c r="A3586" s="3">
        <v>12043</v>
      </c>
      <c r="B3586" s="4" t="s">
        <v>3608</v>
      </c>
      <c r="C3586" s="3" t="s">
        <v>6</v>
      </c>
      <c r="D3586" s="5">
        <f t="shared" si="110"/>
        <v>1463.8</v>
      </c>
      <c r="E3586">
        <v>1606.81</v>
      </c>
      <c r="F3586" s="1789">
        <v>8.8999999999999996E-2</v>
      </c>
      <c r="G3586">
        <f t="shared" si="111"/>
        <v>1463.8</v>
      </c>
    </row>
    <row r="3587" spans="1:7" ht="12.75" customHeight="1">
      <c r="A3587" s="3">
        <v>39762</v>
      </c>
      <c r="B3587" s="4" t="s">
        <v>3609</v>
      </c>
      <c r="C3587" s="3" t="s">
        <v>6</v>
      </c>
      <c r="D3587" s="5">
        <f t="shared" ref="D3587:D3650" si="112">G3587</f>
        <v>696.8</v>
      </c>
      <c r="E3587">
        <v>764.88</v>
      </c>
      <c r="F3587" s="1789">
        <v>8.8999999999999996E-2</v>
      </c>
      <c r="G3587">
        <f t="shared" ref="G3587:G3650" si="113">TRUNC((1-F3587)*E3587,2)</f>
        <v>696.8</v>
      </c>
    </row>
    <row r="3588" spans="1:7" ht="12.75" customHeight="1">
      <c r="A3588" s="3">
        <v>12042</v>
      </c>
      <c r="B3588" s="4" t="s">
        <v>3610</v>
      </c>
      <c r="C3588" s="3" t="s">
        <v>6</v>
      </c>
      <c r="D3588" s="5">
        <f t="shared" si="112"/>
        <v>1017.31</v>
      </c>
      <c r="E3588">
        <v>1116.7</v>
      </c>
      <c r="F3588" s="1789">
        <v>8.8999999999999996E-2</v>
      </c>
      <c r="G3588">
        <f t="shared" si="113"/>
        <v>1017.31</v>
      </c>
    </row>
    <row r="3589" spans="1:7" ht="12.75" customHeight="1">
      <c r="A3589" s="3">
        <v>39763</v>
      </c>
      <c r="B3589" s="4" t="s">
        <v>3611</v>
      </c>
      <c r="C3589" s="3" t="s">
        <v>6</v>
      </c>
      <c r="D3589" s="5">
        <f t="shared" si="112"/>
        <v>1190.6400000000001</v>
      </c>
      <c r="E3589">
        <v>1306.96</v>
      </c>
      <c r="F3589" s="1789">
        <v>8.8999999999999996E-2</v>
      </c>
      <c r="G3589">
        <f t="shared" si="113"/>
        <v>1190.6400000000001</v>
      </c>
    </row>
    <row r="3590" spans="1:7" ht="12.75" customHeight="1">
      <c r="A3590" s="3">
        <v>39760</v>
      </c>
      <c r="B3590" s="4" t="s">
        <v>3612</v>
      </c>
      <c r="C3590" s="3" t="s">
        <v>6</v>
      </c>
      <c r="D3590" s="5">
        <f t="shared" si="112"/>
        <v>1186.72</v>
      </c>
      <c r="E3590">
        <v>1302.6600000000001</v>
      </c>
      <c r="F3590" s="1789">
        <v>8.8999999999999996E-2</v>
      </c>
      <c r="G3590">
        <f t="shared" si="113"/>
        <v>1186.72</v>
      </c>
    </row>
    <row r="3591" spans="1:7" ht="12.75" customHeight="1">
      <c r="A3591" s="3">
        <v>39756</v>
      </c>
      <c r="B3591" s="4" t="s">
        <v>3613</v>
      </c>
      <c r="C3591" s="3" t="s">
        <v>6</v>
      </c>
      <c r="D3591" s="5">
        <f t="shared" si="112"/>
        <v>426.1</v>
      </c>
      <c r="E3591">
        <v>467.73</v>
      </c>
      <c r="F3591" s="1789">
        <v>8.8999999999999996E-2</v>
      </c>
      <c r="G3591">
        <f t="shared" si="113"/>
        <v>426.1</v>
      </c>
    </row>
    <row r="3592" spans="1:7" ht="12.75" customHeight="1">
      <c r="A3592" s="3">
        <v>12038</v>
      </c>
      <c r="B3592" s="4" t="s">
        <v>3614</v>
      </c>
      <c r="C3592" s="3" t="s">
        <v>6</v>
      </c>
      <c r="D3592" s="5">
        <f t="shared" si="112"/>
        <v>532.42999999999995</v>
      </c>
      <c r="E3592">
        <v>584.45000000000005</v>
      </c>
      <c r="F3592" s="1789">
        <v>8.8999999999999996E-2</v>
      </c>
      <c r="G3592">
        <f t="shared" si="113"/>
        <v>532.42999999999995</v>
      </c>
    </row>
    <row r="3593" spans="1:7" ht="12.75" customHeight="1">
      <c r="A3593" s="3">
        <v>39757</v>
      </c>
      <c r="B3593" s="4" t="s">
        <v>3615</v>
      </c>
      <c r="C3593" s="3" t="s">
        <v>6</v>
      </c>
      <c r="D3593" s="5">
        <f t="shared" si="112"/>
        <v>492.33</v>
      </c>
      <c r="E3593">
        <v>540.42999999999995</v>
      </c>
      <c r="F3593" s="1789">
        <v>8.8999999999999996E-2</v>
      </c>
      <c r="G3593">
        <f t="shared" si="113"/>
        <v>492.33</v>
      </c>
    </row>
    <row r="3594" spans="1:7" ht="12.75" customHeight="1">
      <c r="A3594" s="3">
        <v>39758</v>
      </c>
      <c r="B3594" s="4" t="s">
        <v>3616</v>
      </c>
      <c r="C3594" s="3" t="s">
        <v>6</v>
      </c>
      <c r="D3594" s="5">
        <f t="shared" si="112"/>
        <v>717.5</v>
      </c>
      <c r="E3594">
        <v>787.6</v>
      </c>
      <c r="F3594" s="1789">
        <v>8.8999999999999996E-2</v>
      </c>
      <c r="G3594">
        <f t="shared" si="113"/>
        <v>717.5</v>
      </c>
    </row>
    <row r="3595" spans="1:7" ht="12.75" customHeight="1">
      <c r="A3595" s="3">
        <v>39759</v>
      </c>
      <c r="B3595" s="4" t="s">
        <v>3617</v>
      </c>
      <c r="C3595" s="3" t="s">
        <v>6</v>
      </c>
      <c r="D3595" s="5">
        <f t="shared" si="112"/>
        <v>886.12</v>
      </c>
      <c r="E3595">
        <v>972.69</v>
      </c>
      <c r="F3595" s="1789">
        <v>8.8999999999999996E-2</v>
      </c>
      <c r="G3595">
        <f t="shared" si="113"/>
        <v>886.12</v>
      </c>
    </row>
    <row r="3596" spans="1:7" ht="12.75" customHeight="1">
      <c r="A3596" s="3">
        <v>39761</v>
      </c>
      <c r="B3596" s="4" t="s">
        <v>3618</v>
      </c>
      <c r="C3596" s="3" t="s">
        <v>6</v>
      </c>
      <c r="D3596" s="5">
        <f t="shared" si="112"/>
        <v>1065.1500000000001</v>
      </c>
      <c r="E3596">
        <v>1169.21</v>
      </c>
      <c r="F3596" s="1789">
        <v>8.8999999999999996E-2</v>
      </c>
      <c r="G3596">
        <f t="shared" si="113"/>
        <v>1065.1500000000001</v>
      </c>
    </row>
    <row r="3597" spans="1:7" ht="12.75" customHeight="1">
      <c r="A3597" s="3">
        <v>39805</v>
      </c>
      <c r="B3597" s="4" t="s">
        <v>3619</v>
      </c>
      <c r="C3597" s="3" t="s">
        <v>6</v>
      </c>
      <c r="D3597" s="5">
        <f t="shared" si="112"/>
        <v>152.66</v>
      </c>
      <c r="E3597">
        <v>167.58</v>
      </c>
      <c r="F3597" s="1789">
        <v>8.8999999999999996E-2</v>
      </c>
      <c r="G3597">
        <f t="shared" si="113"/>
        <v>152.66</v>
      </c>
    </row>
    <row r="3598" spans="1:7" ht="12.75" customHeight="1">
      <c r="A3598" s="3">
        <v>39806</v>
      </c>
      <c r="B3598" s="4" t="s">
        <v>3620</v>
      </c>
      <c r="C3598" s="3" t="s">
        <v>6</v>
      </c>
      <c r="D3598" s="5">
        <f t="shared" si="112"/>
        <v>282.83</v>
      </c>
      <c r="E3598">
        <v>310.47000000000003</v>
      </c>
      <c r="F3598" s="1789">
        <v>8.8999999999999996E-2</v>
      </c>
      <c r="G3598">
        <f t="shared" si="113"/>
        <v>282.83</v>
      </c>
    </row>
    <row r="3599" spans="1:7" ht="12.75" customHeight="1">
      <c r="A3599" s="3">
        <v>39807</v>
      </c>
      <c r="B3599" s="4" t="s">
        <v>3621</v>
      </c>
      <c r="C3599" s="3" t="s">
        <v>6</v>
      </c>
      <c r="D3599" s="5">
        <f t="shared" si="112"/>
        <v>612.98</v>
      </c>
      <c r="E3599">
        <v>672.87</v>
      </c>
      <c r="F3599" s="1789">
        <v>8.8999999999999996E-2</v>
      </c>
      <c r="G3599">
        <f t="shared" si="113"/>
        <v>612.98</v>
      </c>
    </row>
    <row r="3600" spans="1:7" ht="12.75" customHeight="1">
      <c r="A3600" s="3">
        <v>43100</v>
      </c>
      <c r="B3600" s="4" t="s">
        <v>3622</v>
      </c>
      <c r="C3600" s="3" t="s">
        <v>6</v>
      </c>
      <c r="D3600" s="5">
        <f t="shared" si="112"/>
        <v>479.22</v>
      </c>
      <c r="E3600">
        <v>526.04</v>
      </c>
      <c r="F3600" s="1789">
        <v>8.8999999999999996E-2</v>
      </c>
      <c r="G3600">
        <f t="shared" si="113"/>
        <v>479.22</v>
      </c>
    </row>
    <row r="3601" spans="1:7" ht="12.75" customHeight="1">
      <c r="A3601" s="3">
        <v>39804</v>
      </c>
      <c r="B3601" s="4" t="s">
        <v>3623</v>
      </c>
      <c r="C3601" s="3" t="s">
        <v>6</v>
      </c>
      <c r="D3601" s="5">
        <f t="shared" si="112"/>
        <v>89.64</v>
      </c>
      <c r="E3601">
        <v>98.4</v>
      </c>
      <c r="F3601" s="1789">
        <v>8.8999999999999996E-2</v>
      </c>
      <c r="G3601">
        <f t="shared" si="113"/>
        <v>89.64</v>
      </c>
    </row>
    <row r="3602" spans="1:7" ht="12.75" customHeight="1">
      <c r="A3602" s="3">
        <v>39796</v>
      </c>
      <c r="B3602" s="4" t="s">
        <v>3624</v>
      </c>
      <c r="C3602" s="3" t="s">
        <v>6</v>
      </c>
      <c r="D3602" s="5">
        <f t="shared" si="112"/>
        <v>92.84</v>
      </c>
      <c r="E3602">
        <v>101.92</v>
      </c>
      <c r="F3602" s="1789">
        <v>8.8999999999999996E-2</v>
      </c>
      <c r="G3602">
        <f t="shared" si="113"/>
        <v>92.84</v>
      </c>
    </row>
    <row r="3603" spans="1:7" ht="12.75" customHeight="1">
      <c r="A3603" s="3">
        <v>39797</v>
      </c>
      <c r="B3603" s="4" t="s">
        <v>3625</v>
      </c>
      <c r="C3603" s="3" t="s">
        <v>6</v>
      </c>
      <c r="D3603" s="5">
        <f t="shared" si="112"/>
        <v>145.75</v>
      </c>
      <c r="E3603">
        <v>159.99</v>
      </c>
      <c r="F3603" s="1789">
        <v>8.8999999999999996E-2</v>
      </c>
      <c r="G3603">
        <f t="shared" si="113"/>
        <v>145.75</v>
      </c>
    </row>
    <row r="3604" spans="1:7" ht="12.75" customHeight="1">
      <c r="A3604" s="3">
        <v>39798</v>
      </c>
      <c r="B3604" s="4" t="s">
        <v>3626</v>
      </c>
      <c r="C3604" s="3" t="s">
        <v>6</v>
      </c>
      <c r="D3604" s="5">
        <f t="shared" si="112"/>
        <v>250</v>
      </c>
      <c r="E3604">
        <v>274.43</v>
      </c>
      <c r="F3604" s="1789">
        <v>8.8999999999999996E-2</v>
      </c>
      <c r="G3604">
        <f t="shared" si="113"/>
        <v>250</v>
      </c>
    </row>
    <row r="3605" spans="1:7" ht="12.75" customHeight="1">
      <c r="A3605" s="3">
        <v>39794</v>
      </c>
      <c r="B3605" s="4" t="s">
        <v>3627</v>
      </c>
      <c r="C3605" s="3" t="s">
        <v>6</v>
      </c>
      <c r="D3605" s="5">
        <f t="shared" si="112"/>
        <v>39.4</v>
      </c>
      <c r="E3605">
        <v>43.26</v>
      </c>
      <c r="F3605" s="1789">
        <v>8.8999999999999996E-2</v>
      </c>
      <c r="G3605">
        <f t="shared" si="113"/>
        <v>39.4</v>
      </c>
    </row>
    <row r="3606" spans="1:7" ht="12.75" customHeight="1">
      <c r="A3606" s="3">
        <v>39795</v>
      </c>
      <c r="B3606" s="4" t="s">
        <v>3628</v>
      </c>
      <c r="C3606" s="3" t="s">
        <v>6</v>
      </c>
      <c r="D3606" s="5">
        <f t="shared" si="112"/>
        <v>62.25</v>
      </c>
      <c r="E3606">
        <v>68.34</v>
      </c>
      <c r="F3606" s="1789">
        <v>8.8999999999999996E-2</v>
      </c>
      <c r="G3606">
        <f t="shared" si="113"/>
        <v>62.25</v>
      </c>
    </row>
    <row r="3607" spans="1:7" ht="12.75" customHeight="1">
      <c r="A3607" s="3">
        <v>39801</v>
      </c>
      <c r="B3607" s="4" t="s">
        <v>3629</v>
      </c>
      <c r="C3607" s="3" t="s">
        <v>6</v>
      </c>
      <c r="D3607" s="5">
        <f t="shared" si="112"/>
        <v>131.47</v>
      </c>
      <c r="E3607">
        <v>144.32</v>
      </c>
      <c r="F3607" s="1789">
        <v>8.8999999999999996E-2</v>
      </c>
      <c r="G3607">
        <f t="shared" si="113"/>
        <v>131.47</v>
      </c>
    </row>
    <row r="3608" spans="1:7" ht="12.75" customHeight="1">
      <c r="A3608" s="3">
        <v>39802</v>
      </c>
      <c r="B3608" s="4" t="s">
        <v>3630</v>
      </c>
      <c r="C3608" s="3" t="s">
        <v>6</v>
      </c>
      <c r="D3608" s="5">
        <f t="shared" si="112"/>
        <v>192.72</v>
      </c>
      <c r="E3608">
        <v>211.55</v>
      </c>
      <c r="F3608" s="1789">
        <v>8.8999999999999996E-2</v>
      </c>
      <c r="G3608">
        <f t="shared" si="113"/>
        <v>192.72</v>
      </c>
    </row>
    <row r="3609" spans="1:7" ht="12.75" customHeight="1">
      <c r="A3609" s="3">
        <v>39803</v>
      </c>
      <c r="B3609" s="4" t="s">
        <v>3631</v>
      </c>
      <c r="C3609" s="3" t="s">
        <v>6</v>
      </c>
      <c r="D3609" s="5">
        <f t="shared" si="112"/>
        <v>268.83999999999997</v>
      </c>
      <c r="E3609">
        <v>295.11</v>
      </c>
      <c r="F3609" s="1789">
        <v>8.8999999999999996E-2</v>
      </c>
      <c r="G3609">
        <f t="shared" si="113"/>
        <v>268.83999999999997</v>
      </c>
    </row>
    <row r="3610" spans="1:7" ht="12.75" customHeight="1">
      <c r="A3610" s="3">
        <v>39799</v>
      </c>
      <c r="B3610" s="4" t="s">
        <v>3632</v>
      </c>
      <c r="C3610" s="3" t="s">
        <v>6</v>
      </c>
      <c r="D3610" s="5">
        <f t="shared" si="112"/>
        <v>45.93</v>
      </c>
      <c r="E3610">
        <v>50.42</v>
      </c>
      <c r="F3610" s="1789">
        <v>8.8999999999999996E-2</v>
      </c>
      <c r="G3610">
        <f t="shared" si="113"/>
        <v>45.93</v>
      </c>
    </row>
    <row r="3611" spans="1:7" ht="12.75" customHeight="1">
      <c r="A3611" s="3">
        <v>39800</v>
      </c>
      <c r="B3611" s="4" t="s">
        <v>3633</v>
      </c>
      <c r="C3611" s="3" t="s">
        <v>6</v>
      </c>
      <c r="D3611" s="5">
        <f t="shared" si="112"/>
        <v>78.25</v>
      </c>
      <c r="E3611">
        <v>85.9</v>
      </c>
      <c r="F3611" s="1789">
        <v>8.8999999999999996E-2</v>
      </c>
      <c r="G3611">
        <f t="shared" si="113"/>
        <v>78.25</v>
      </c>
    </row>
    <row r="3612" spans="1:7" ht="12.75" customHeight="1">
      <c r="A3612" s="3">
        <v>43837</v>
      </c>
      <c r="B3612" s="4" t="s">
        <v>3634</v>
      </c>
      <c r="C3612" s="3" t="s">
        <v>6</v>
      </c>
      <c r="D3612" s="5">
        <f t="shared" si="112"/>
        <v>981.29</v>
      </c>
      <c r="E3612">
        <v>1077.1600000000001</v>
      </c>
      <c r="F3612" s="1789">
        <v>8.8999999999999996E-2</v>
      </c>
      <c r="G3612">
        <f t="shared" si="113"/>
        <v>981.29</v>
      </c>
    </row>
    <row r="3613" spans="1:7" ht="12.75" customHeight="1">
      <c r="A3613" s="3">
        <v>43836</v>
      </c>
      <c r="B3613" s="4" t="s">
        <v>3635</v>
      </c>
      <c r="C3613" s="3" t="s">
        <v>6</v>
      </c>
      <c r="D3613" s="5">
        <f t="shared" si="112"/>
        <v>1996.76</v>
      </c>
      <c r="E3613">
        <v>2191.84</v>
      </c>
      <c r="F3613" s="1789">
        <v>8.8999999999999996E-2</v>
      </c>
      <c r="G3613">
        <f t="shared" si="113"/>
        <v>1996.76</v>
      </c>
    </row>
    <row r="3614" spans="1:7" ht="12.75" customHeight="1">
      <c r="A3614" s="3">
        <v>21059</v>
      </c>
      <c r="B3614" s="4" t="s">
        <v>3636</v>
      </c>
      <c r="C3614" s="3" t="s">
        <v>6</v>
      </c>
      <c r="D3614" s="5">
        <f t="shared" si="112"/>
        <v>56.51</v>
      </c>
      <c r="E3614">
        <v>62.04</v>
      </c>
      <c r="F3614" s="1789">
        <v>8.8999999999999996E-2</v>
      </c>
      <c r="G3614">
        <f t="shared" si="113"/>
        <v>56.51</v>
      </c>
    </row>
    <row r="3615" spans="1:7" ht="12.75" customHeight="1">
      <c r="A3615" s="3">
        <v>11234</v>
      </c>
      <c r="B3615" s="4" t="s">
        <v>3637</v>
      </c>
      <c r="C3615" s="3" t="s">
        <v>6</v>
      </c>
      <c r="D3615" s="5">
        <f t="shared" si="112"/>
        <v>85.18</v>
      </c>
      <c r="E3615">
        <v>93.51</v>
      </c>
      <c r="F3615" s="1789">
        <v>8.8999999999999996E-2</v>
      </c>
      <c r="G3615">
        <f t="shared" si="113"/>
        <v>85.18</v>
      </c>
    </row>
    <row r="3616" spans="1:7" ht="12.75" customHeight="1">
      <c r="A3616" s="3">
        <v>21060</v>
      </c>
      <c r="B3616" s="4" t="s">
        <v>3638</v>
      </c>
      <c r="C3616" s="3" t="s">
        <v>6</v>
      </c>
      <c r="D3616" s="5">
        <f t="shared" si="112"/>
        <v>104.85</v>
      </c>
      <c r="E3616">
        <v>115.1</v>
      </c>
      <c r="F3616" s="1789">
        <v>8.8999999999999996E-2</v>
      </c>
      <c r="G3616">
        <f t="shared" si="113"/>
        <v>104.85</v>
      </c>
    </row>
    <row r="3617" spans="1:7" ht="12.75" customHeight="1">
      <c r="A3617" s="3">
        <v>21061</v>
      </c>
      <c r="B3617" s="4" t="s">
        <v>3639</v>
      </c>
      <c r="C3617" s="3" t="s">
        <v>6</v>
      </c>
      <c r="D3617" s="5">
        <f t="shared" si="112"/>
        <v>131.06</v>
      </c>
      <c r="E3617">
        <v>143.87</v>
      </c>
      <c r="F3617" s="1789">
        <v>8.8999999999999996E-2</v>
      </c>
      <c r="G3617">
        <f t="shared" si="113"/>
        <v>131.06</v>
      </c>
    </row>
    <row r="3618" spans="1:7" ht="12.75" customHeight="1">
      <c r="A3618" s="3">
        <v>21062</v>
      </c>
      <c r="B3618" s="4" t="s">
        <v>3640</v>
      </c>
      <c r="C3618" s="3" t="s">
        <v>6</v>
      </c>
      <c r="D3618" s="5">
        <f t="shared" si="112"/>
        <v>206.43</v>
      </c>
      <c r="E3618">
        <v>226.6</v>
      </c>
      <c r="F3618" s="1789">
        <v>8.8999999999999996E-2</v>
      </c>
      <c r="G3618">
        <f t="shared" si="113"/>
        <v>206.43</v>
      </c>
    </row>
    <row r="3619" spans="1:7" ht="12.75" customHeight="1">
      <c r="A3619" s="3">
        <v>11708</v>
      </c>
      <c r="B3619" s="4" t="s">
        <v>3641</v>
      </c>
      <c r="C3619" s="3" t="s">
        <v>6</v>
      </c>
      <c r="D3619" s="5">
        <f t="shared" si="112"/>
        <v>22.51</v>
      </c>
      <c r="E3619">
        <v>24.72</v>
      </c>
      <c r="F3619" s="1789">
        <v>8.8999999999999996E-2</v>
      </c>
      <c r="G3619">
        <f t="shared" si="113"/>
        <v>22.51</v>
      </c>
    </row>
    <row r="3620" spans="1:7" ht="12.75" customHeight="1">
      <c r="A3620" s="3">
        <v>11709</v>
      </c>
      <c r="B3620" s="4" t="s">
        <v>3642</v>
      </c>
      <c r="C3620" s="3" t="s">
        <v>6</v>
      </c>
      <c r="D3620" s="5">
        <f t="shared" si="112"/>
        <v>52.91</v>
      </c>
      <c r="E3620">
        <v>58.08</v>
      </c>
      <c r="F3620" s="1789">
        <v>8.8999999999999996E-2</v>
      </c>
      <c r="G3620">
        <f t="shared" si="113"/>
        <v>52.91</v>
      </c>
    </row>
    <row r="3621" spans="1:7" ht="12.75" customHeight="1">
      <c r="A3621" s="3">
        <v>11710</v>
      </c>
      <c r="B3621" s="4" t="s">
        <v>3643</v>
      </c>
      <c r="C3621" s="3" t="s">
        <v>6</v>
      </c>
      <c r="D3621" s="5">
        <f t="shared" si="112"/>
        <v>121.64</v>
      </c>
      <c r="E3621">
        <v>133.53</v>
      </c>
      <c r="F3621" s="1789">
        <v>8.8999999999999996E-2</v>
      </c>
      <c r="G3621">
        <f t="shared" si="113"/>
        <v>121.64</v>
      </c>
    </row>
    <row r="3622" spans="1:7" ht="12.75" customHeight="1">
      <c r="A3622" s="3">
        <v>11707</v>
      </c>
      <c r="B3622" s="4" t="s">
        <v>3644</v>
      </c>
      <c r="C3622" s="3" t="s">
        <v>6</v>
      </c>
      <c r="D3622" s="5">
        <f t="shared" si="112"/>
        <v>16.87</v>
      </c>
      <c r="E3622">
        <v>18.52</v>
      </c>
      <c r="F3622" s="1789">
        <v>8.8999999999999996E-2</v>
      </c>
      <c r="G3622">
        <f t="shared" si="113"/>
        <v>16.87</v>
      </c>
    </row>
    <row r="3623" spans="1:7" ht="12.75" customHeight="1">
      <c r="A3623" s="3">
        <v>5102</v>
      </c>
      <c r="B3623" s="4" t="s">
        <v>3645</v>
      </c>
      <c r="C3623" s="3" t="s">
        <v>6</v>
      </c>
      <c r="D3623" s="5">
        <f t="shared" si="112"/>
        <v>11.3</v>
      </c>
      <c r="E3623">
        <v>12.41</v>
      </c>
      <c r="F3623" s="1789">
        <v>8.8999999999999996E-2</v>
      </c>
      <c r="G3623">
        <f t="shared" si="113"/>
        <v>11.3</v>
      </c>
    </row>
    <row r="3624" spans="1:7" ht="12.75" customHeight="1">
      <c r="A3624" s="3">
        <v>11711</v>
      </c>
      <c r="B3624" s="4" t="s">
        <v>3646</v>
      </c>
      <c r="C3624" s="3" t="s">
        <v>6</v>
      </c>
      <c r="D3624" s="5">
        <f t="shared" si="112"/>
        <v>9.41</v>
      </c>
      <c r="E3624">
        <v>10.34</v>
      </c>
      <c r="F3624" s="1789">
        <v>8.8999999999999996E-2</v>
      </c>
      <c r="G3624">
        <f t="shared" si="113"/>
        <v>9.41</v>
      </c>
    </row>
    <row r="3625" spans="1:7" ht="12.75" customHeight="1">
      <c r="A3625" s="3">
        <v>11739</v>
      </c>
      <c r="B3625" s="4" t="s">
        <v>3647</v>
      </c>
      <c r="C3625" s="3" t="s">
        <v>6</v>
      </c>
      <c r="D3625" s="5">
        <f t="shared" si="112"/>
        <v>8.0500000000000007</v>
      </c>
      <c r="E3625">
        <v>8.84</v>
      </c>
      <c r="F3625" s="1789">
        <v>8.8999999999999996E-2</v>
      </c>
      <c r="G3625">
        <f t="shared" si="113"/>
        <v>8.0500000000000007</v>
      </c>
    </row>
    <row r="3626" spans="1:7" ht="12.75" customHeight="1">
      <c r="A3626" s="3">
        <v>11741</v>
      </c>
      <c r="B3626" s="4" t="s">
        <v>3648</v>
      </c>
      <c r="C3626" s="3" t="s">
        <v>6</v>
      </c>
      <c r="D3626" s="5">
        <f t="shared" si="112"/>
        <v>10.25</v>
      </c>
      <c r="E3626">
        <v>11.26</v>
      </c>
      <c r="F3626" s="1789">
        <v>8.8999999999999996E-2</v>
      </c>
      <c r="G3626">
        <f t="shared" si="113"/>
        <v>10.25</v>
      </c>
    </row>
    <row r="3627" spans="1:7" ht="12.75" customHeight="1">
      <c r="A3627" s="3">
        <v>11745</v>
      </c>
      <c r="B3627" s="4" t="s">
        <v>3649</v>
      </c>
      <c r="C3627" s="3" t="s">
        <v>6</v>
      </c>
      <c r="D3627" s="5">
        <f t="shared" si="112"/>
        <v>13.51</v>
      </c>
      <c r="E3627">
        <v>14.83</v>
      </c>
      <c r="F3627" s="1789">
        <v>8.8999999999999996E-2</v>
      </c>
      <c r="G3627">
        <f t="shared" si="113"/>
        <v>13.51</v>
      </c>
    </row>
    <row r="3628" spans="1:7" ht="12.75" customHeight="1">
      <c r="A3628" s="3">
        <v>11743</v>
      </c>
      <c r="B3628" s="4" t="s">
        <v>3650</v>
      </c>
      <c r="C3628" s="3" t="s">
        <v>6</v>
      </c>
      <c r="D3628" s="5">
        <f t="shared" si="112"/>
        <v>8.6</v>
      </c>
      <c r="E3628">
        <v>9.4499999999999993</v>
      </c>
      <c r="F3628" s="1789">
        <v>8.8999999999999996E-2</v>
      </c>
      <c r="G3628">
        <f t="shared" si="113"/>
        <v>8.6</v>
      </c>
    </row>
    <row r="3629" spans="1:7" ht="12.75" customHeight="1">
      <c r="A3629" s="3">
        <v>5104</v>
      </c>
      <c r="B3629" s="4" t="s">
        <v>3651</v>
      </c>
      <c r="C3629" s="3" t="s">
        <v>54</v>
      </c>
      <c r="D3629" s="5">
        <f t="shared" si="112"/>
        <v>61.61</v>
      </c>
      <c r="E3629">
        <v>67.63</v>
      </c>
      <c r="F3629" s="1789">
        <v>8.8999999999999996E-2</v>
      </c>
      <c r="G3629">
        <f t="shared" si="113"/>
        <v>61.61</v>
      </c>
    </row>
    <row r="3630" spans="1:7" ht="12.75" customHeight="1">
      <c r="A3630" s="3">
        <v>44530</v>
      </c>
      <c r="B3630" s="4" t="s">
        <v>3652</v>
      </c>
      <c r="C3630" s="3" t="s">
        <v>6</v>
      </c>
      <c r="D3630" s="5">
        <f t="shared" si="112"/>
        <v>84.08</v>
      </c>
      <c r="E3630">
        <v>92.3</v>
      </c>
      <c r="F3630" s="1789">
        <v>8.8999999999999996E-2</v>
      </c>
      <c r="G3630">
        <f t="shared" si="113"/>
        <v>84.08</v>
      </c>
    </row>
    <row r="3631" spans="1:7" ht="12.75" customHeight="1">
      <c r="A3631" s="3">
        <v>2710</v>
      </c>
      <c r="B3631" s="4" t="s">
        <v>3653</v>
      </c>
      <c r="C3631" s="3" t="s">
        <v>6</v>
      </c>
      <c r="D3631" s="5">
        <f t="shared" si="112"/>
        <v>67.14</v>
      </c>
      <c r="E3631">
        <v>73.709999999999994</v>
      </c>
      <c r="F3631" s="1789">
        <v>8.8999999999999996E-2</v>
      </c>
      <c r="G3631">
        <f t="shared" si="113"/>
        <v>67.14</v>
      </c>
    </row>
    <row r="3632" spans="1:7" ht="12.75" customHeight="1">
      <c r="A3632" s="3">
        <v>14575</v>
      </c>
      <c r="B3632" s="4" t="s">
        <v>3654</v>
      </c>
      <c r="C3632" s="3" t="s">
        <v>6</v>
      </c>
      <c r="D3632" s="5">
        <f t="shared" si="112"/>
        <v>4971671.5999999996</v>
      </c>
      <c r="E3632">
        <v>5457378.2699999996</v>
      </c>
      <c r="F3632" s="1789">
        <v>8.8999999999999996E-2</v>
      </c>
      <c r="G3632">
        <f t="shared" si="113"/>
        <v>4971671.5999999996</v>
      </c>
    </row>
    <row r="3633" spans="1:7" ht="12.75" customHeight="1">
      <c r="A3633" s="3">
        <v>20043</v>
      </c>
      <c r="B3633" s="4" t="s">
        <v>3655</v>
      </c>
      <c r="C3633" s="3" t="s">
        <v>6</v>
      </c>
      <c r="D3633" s="5">
        <f t="shared" si="112"/>
        <v>7.59</v>
      </c>
      <c r="E3633">
        <v>8.34</v>
      </c>
      <c r="F3633" s="1789">
        <v>8.8999999999999996E-2</v>
      </c>
      <c r="G3633">
        <f t="shared" si="113"/>
        <v>7.59</v>
      </c>
    </row>
    <row r="3634" spans="1:7" ht="12.75" customHeight="1">
      <c r="A3634" s="3">
        <v>20044</v>
      </c>
      <c r="B3634" s="4" t="s">
        <v>3656</v>
      </c>
      <c r="C3634" s="3" t="s">
        <v>6</v>
      </c>
      <c r="D3634" s="5">
        <f t="shared" si="112"/>
        <v>8.8000000000000007</v>
      </c>
      <c r="E3634">
        <v>9.67</v>
      </c>
      <c r="F3634" s="1789">
        <v>8.8999999999999996E-2</v>
      </c>
      <c r="G3634">
        <f t="shared" si="113"/>
        <v>8.8000000000000007</v>
      </c>
    </row>
    <row r="3635" spans="1:7" ht="12.75" customHeight="1">
      <c r="A3635" s="3">
        <v>20042</v>
      </c>
      <c r="B3635" s="4" t="s">
        <v>3657</v>
      </c>
      <c r="C3635" s="3" t="s">
        <v>6</v>
      </c>
      <c r="D3635" s="5">
        <f t="shared" si="112"/>
        <v>6.59</v>
      </c>
      <c r="E3635">
        <v>7.24</v>
      </c>
      <c r="F3635" s="1789">
        <v>8.8999999999999996E-2</v>
      </c>
      <c r="G3635">
        <f t="shared" si="113"/>
        <v>6.59</v>
      </c>
    </row>
    <row r="3636" spans="1:7" ht="12.75" customHeight="1">
      <c r="A3636" s="3">
        <v>20046</v>
      </c>
      <c r="B3636" s="4" t="s">
        <v>3658</v>
      </c>
      <c r="C3636" s="3" t="s">
        <v>6</v>
      </c>
      <c r="D3636" s="5">
        <f t="shared" si="112"/>
        <v>15.6</v>
      </c>
      <c r="E3636">
        <v>17.13</v>
      </c>
      <c r="F3636" s="1789">
        <v>8.8999999999999996E-2</v>
      </c>
      <c r="G3636">
        <f t="shared" si="113"/>
        <v>15.6</v>
      </c>
    </row>
    <row r="3637" spans="1:7" ht="12.75" customHeight="1">
      <c r="A3637" s="3">
        <v>20047</v>
      </c>
      <c r="B3637" s="4" t="s">
        <v>3659</v>
      </c>
      <c r="C3637" s="3" t="s">
        <v>6</v>
      </c>
      <c r="D3637" s="5">
        <f t="shared" si="112"/>
        <v>46.8</v>
      </c>
      <c r="E3637">
        <v>51.38</v>
      </c>
      <c r="F3637" s="1789">
        <v>8.8999999999999996E-2</v>
      </c>
      <c r="G3637">
        <f t="shared" si="113"/>
        <v>46.8</v>
      </c>
    </row>
    <row r="3638" spans="1:7" ht="12.75" customHeight="1">
      <c r="A3638" s="3">
        <v>20045</v>
      </c>
      <c r="B3638" s="4" t="s">
        <v>3660</v>
      </c>
      <c r="C3638" s="3" t="s">
        <v>6</v>
      </c>
      <c r="D3638" s="5">
        <f t="shared" si="112"/>
        <v>7.89</v>
      </c>
      <c r="E3638">
        <v>8.67</v>
      </c>
      <c r="F3638" s="1789">
        <v>8.8999999999999996E-2</v>
      </c>
      <c r="G3638">
        <f t="shared" si="113"/>
        <v>7.89</v>
      </c>
    </row>
    <row r="3639" spans="1:7" ht="12.75" customHeight="1">
      <c r="A3639" s="3">
        <v>20972</v>
      </c>
      <c r="B3639" s="4" t="s">
        <v>3661</v>
      </c>
      <c r="C3639" s="3" t="s">
        <v>6</v>
      </c>
      <c r="D3639" s="5">
        <f t="shared" si="112"/>
        <v>104.04</v>
      </c>
      <c r="E3639">
        <v>114.21</v>
      </c>
      <c r="F3639" s="1789">
        <v>8.8999999999999996E-2</v>
      </c>
      <c r="G3639">
        <f t="shared" si="113"/>
        <v>104.04</v>
      </c>
    </row>
    <row r="3640" spans="1:7" ht="12.75" customHeight="1">
      <c r="A3640" s="3">
        <v>11321</v>
      </c>
      <c r="B3640" s="4" t="s">
        <v>3662</v>
      </c>
      <c r="C3640" s="3" t="s">
        <v>6</v>
      </c>
      <c r="D3640" s="5">
        <f t="shared" si="112"/>
        <v>18.09</v>
      </c>
      <c r="E3640">
        <v>19.86</v>
      </c>
      <c r="F3640" s="1789">
        <v>8.8999999999999996E-2</v>
      </c>
      <c r="G3640">
        <f t="shared" si="113"/>
        <v>18.09</v>
      </c>
    </row>
    <row r="3641" spans="1:7" ht="12.75" customHeight="1">
      <c r="A3641" s="3">
        <v>11323</v>
      </c>
      <c r="B3641" s="4" t="s">
        <v>3663</v>
      </c>
      <c r="C3641" s="3" t="s">
        <v>6</v>
      </c>
      <c r="D3641" s="5">
        <f t="shared" si="112"/>
        <v>20.8</v>
      </c>
      <c r="E3641">
        <v>22.84</v>
      </c>
      <c r="F3641" s="1789">
        <v>8.8999999999999996E-2</v>
      </c>
      <c r="G3641">
        <f t="shared" si="113"/>
        <v>20.8</v>
      </c>
    </row>
    <row r="3642" spans="1:7" ht="12.75" customHeight="1">
      <c r="A3642" s="3">
        <v>20327</v>
      </c>
      <c r="B3642" s="4" t="s">
        <v>3664</v>
      </c>
      <c r="C3642" s="3" t="s">
        <v>6</v>
      </c>
      <c r="D3642" s="5">
        <f t="shared" si="112"/>
        <v>11.8</v>
      </c>
      <c r="E3642">
        <v>12.96</v>
      </c>
      <c r="F3642" s="1789">
        <v>8.8999999999999996E-2</v>
      </c>
      <c r="G3642">
        <f t="shared" si="113"/>
        <v>11.8</v>
      </c>
    </row>
    <row r="3643" spans="1:7" ht="12.75" customHeight="1">
      <c r="A3643" s="3">
        <v>6034</v>
      </c>
      <c r="B3643" s="4" t="s">
        <v>3665</v>
      </c>
      <c r="C3643" s="3" t="s">
        <v>6</v>
      </c>
      <c r="D3643" s="5">
        <f t="shared" si="112"/>
        <v>8.5500000000000007</v>
      </c>
      <c r="E3643">
        <v>9.39</v>
      </c>
      <c r="F3643" s="1789">
        <v>8.8999999999999996E-2</v>
      </c>
      <c r="G3643">
        <f t="shared" si="113"/>
        <v>8.5500000000000007</v>
      </c>
    </row>
    <row r="3644" spans="1:7" ht="12.75" customHeight="1">
      <c r="A3644" s="3">
        <v>6036</v>
      </c>
      <c r="B3644" s="4" t="s">
        <v>3666</v>
      </c>
      <c r="C3644" s="3" t="s">
        <v>6</v>
      </c>
      <c r="D3644" s="5">
        <f t="shared" si="112"/>
        <v>11.65</v>
      </c>
      <c r="E3644">
        <v>12.79</v>
      </c>
      <c r="F3644" s="1789">
        <v>8.8999999999999996E-2</v>
      </c>
      <c r="G3644">
        <f t="shared" si="113"/>
        <v>11.65</v>
      </c>
    </row>
    <row r="3645" spans="1:7" ht="12.75" customHeight="1">
      <c r="A3645" s="3">
        <v>6031</v>
      </c>
      <c r="B3645" s="4" t="s">
        <v>3667</v>
      </c>
      <c r="C3645" s="3" t="s">
        <v>6</v>
      </c>
      <c r="D3645" s="5">
        <f t="shared" si="112"/>
        <v>13.69</v>
      </c>
      <c r="E3645">
        <v>15.03</v>
      </c>
      <c r="F3645" s="1789">
        <v>8.8999999999999996E-2</v>
      </c>
      <c r="G3645">
        <f t="shared" si="113"/>
        <v>13.69</v>
      </c>
    </row>
    <row r="3646" spans="1:7" ht="12.75" customHeight="1">
      <c r="A3646" s="3">
        <v>6029</v>
      </c>
      <c r="B3646" s="4" t="s">
        <v>3668</v>
      </c>
      <c r="C3646" s="3" t="s">
        <v>6</v>
      </c>
      <c r="D3646" s="5">
        <f t="shared" si="112"/>
        <v>13.83</v>
      </c>
      <c r="E3646">
        <v>15.19</v>
      </c>
      <c r="F3646" s="1789">
        <v>8.8999999999999996E-2</v>
      </c>
      <c r="G3646">
        <f t="shared" si="113"/>
        <v>13.83</v>
      </c>
    </row>
    <row r="3647" spans="1:7" ht="12.75" customHeight="1">
      <c r="A3647" s="3">
        <v>6033</v>
      </c>
      <c r="B3647" s="4" t="s">
        <v>3669</v>
      </c>
      <c r="C3647" s="3" t="s">
        <v>6</v>
      </c>
      <c r="D3647" s="5">
        <f t="shared" si="112"/>
        <v>18.23</v>
      </c>
      <c r="E3647">
        <v>20.02</v>
      </c>
      <c r="F3647" s="1789">
        <v>8.8999999999999996E-2</v>
      </c>
      <c r="G3647">
        <f t="shared" si="113"/>
        <v>18.23</v>
      </c>
    </row>
    <row r="3648" spans="1:7" ht="12.75" customHeight="1">
      <c r="A3648" s="3">
        <v>11672</v>
      </c>
      <c r="B3648" s="4" t="s">
        <v>3670</v>
      </c>
      <c r="C3648" s="3" t="s">
        <v>6</v>
      </c>
      <c r="D3648" s="5">
        <f t="shared" si="112"/>
        <v>39.67</v>
      </c>
      <c r="E3648">
        <v>43.55</v>
      </c>
      <c r="F3648" s="1789">
        <v>8.8999999999999996E-2</v>
      </c>
      <c r="G3648">
        <f t="shared" si="113"/>
        <v>39.67</v>
      </c>
    </row>
    <row r="3649" spans="1:7" ht="12.75" customHeight="1">
      <c r="A3649" s="3">
        <v>11669</v>
      </c>
      <c r="B3649" s="4" t="s">
        <v>3671</v>
      </c>
      <c r="C3649" s="3" t="s">
        <v>6</v>
      </c>
      <c r="D3649" s="5">
        <f t="shared" si="112"/>
        <v>37.770000000000003</v>
      </c>
      <c r="E3649">
        <v>41.47</v>
      </c>
      <c r="F3649" s="1789">
        <v>8.8999999999999996E-2</v>
      </c>
      <c r="G3649">
        <f t="shared" si="113"/>
        <v>37.770000000000003</v>
      </c>
    </row>
    <row r="3650" spans="1:7" ht="12.75" customHeight="1">
      <c r="A3650" s="3">
        <v>11670</v>
      </c>
      <c r="B3650" s="4" t="s">
        <v>3672</v>
      </c>
      <c r="C3650" s="3" t="s">
        <v>6</v>
      </c>
      <c r="D3650" s="5">
        <f t="shared" si="112"/>
        <v>14.46</v>
      </c>
      <c r="E3650">
        <v>15.88</v>
      </c>
      <c r="F3650" s="1789">
        <v>8.8999999999999996E-2</v>
      </c>
      <c r="G3650">
        <f t="shared" si="113"/>
        <v>14.46</v>
      </c>
    </row>
    <row r="3651" spans="1:7" ht="12.75" customHeight="1">
      <c r="A3651" s="3">
        <v>20055</v>
      </c>
      <c r="B3651" s="4" t="s">
        <v>3673</v>
      </c>
      <c r="C3651" s="3" t="s">
        <v>6</v>
      </c>
      <c r="D3651" s="5">
        <f t="shared" ref="D3651:D3714" si="114">G3651</f>
        <v>28.29</v>
      </c>
      <c r="E3651">
        <v>31.06</v>
      </c>
      <c r="F3651" s="1789">
        <v>8.8999999999999996E-2</v>
      </c>
      <c r="G3651">
        <f t="shared" ref="G3651:G3714" si="115">TRUNC((1-F3651)*E3651,2)</f>
        <v>28.29</v>
      </c>
    </row>
    <row r="3652" spans="1:7" ht="12.75" customHeight="1">
      <c r="A3652" s="3">
        <v>11671</v>
      </c>
      <c r="B3652" s="4" t="s">
        <v>3674</v>
      </c>
      <c r="C3652" s="3" t="s">
        <v>6</v>
      </c>
      <c r="D3652" s="5">
        <f t="shared" si="114"/>
        <v>60.71</v>
      </c>
      <c r="E3652">
        <v>66.650000000000006</v>
      </c>
      <c r="F3652" s="1789">
        <v>8.8999999999999996E-2</v>
      </c>
      <c r="G3652">
        <f t="shared" si="115"/>
        <v>60.71</v>
      </c>
    </row>
    <row r="3653" spans="1:7" ht="12.75" customHeight="1">
      <c r="A3653" s="3">
        <v>6032</v>
      </c>
      <c r="B3653" s="4" t="s">
        <v>3675</v>
      </c>
      <c r="C3653" s="3" t="s">
        <v>6</v>
      </c>
      <c r="D3653" s="5">
        <f t="shared" si="114"/>
        <v>17.329999999999998</v>
      </c>
      <c r="E3653">
        <v>19.03</v>
      </c>
      <c r="F3653" s="1789">
        <v>8.8999999999999996E-2</v>
      </c>
      <c r="G3653">
        <f t="shared" si="115"/>
        <v>17.329999999999998</v>
      </c>
    </row>
    <row r="3654" spans="1:7" ht="12.75" customHeight="1">
      <c r="A3654" s="3">
        <v>11673</v>
      </c>
      <c r="B3654" s="4" t="s">
        <v>3676</v>
      </c>
      <c r="C3654" s="3" t="s">
        <v>6</v>
      </c>
      <c r="D3654" s="5">
        <f t="shared" si="114"/>
        <v>13.65</v>
      </c>
      <c r="E3654">
        <v>14.99</v>
      </c>
      <c r="F3654" s="1789">
        <v>8.8999999999999996E-2</v>
      </c>
      <c r="G3654">
        <f t="shared" si="115"/>
        <v>13.65</v>
      </c>
    </row>
    <row r="3655" spans="1:7" ht="12.75" customHeight="1">
      <c r="A3655" s="3">
        <v>11674</v>
      </c>
      <c r="B3655" s="4" t="s">
        <v>3677</v>
      </c>
      <c r="C3655" s="3" t="s">
        <v>6</v>
      </c>
      <c r="D3655" s="5">
        <f t="shared" si="114"/>
        <v>17.579999999999998</v>
      </c>
      <c r="E3655">
        <v>19.3</v>
      </c>
      <c r="F3655" s="1789">
        <v>8.8999999999999996E-2</v>
      </c>
      <c r="G3655">
        <f t="shared" si="115"/>
        <v>17.579999999999998</v>
      </c>
    </row>
    <row r="3656" spans="1:7" ht="12.75" customHeight="1">
      <c r="A3656" s="3">
        <v>11675</v>
      </c>
      <c r="B3656" s="4" t="s">
        <v>3678</v>
      </c>
      <c r="C3656" s="3" t="s">
        <v>6</v>
      </c>
      <c r="D3656" s="5">
        <f t="shared" si="114"/>
        <v>27.92</v>
      </c>
      <c r="E3656">
        <v>30.65</v>
      </c>
      <c r="F3656" s="1789">
        <v>8.8999999999999996E-2</v>
      </c>
      <c r="G3656">
        <f t="shared" si="115"/>
        <v>27.92</v>
      </c>
    </row>
    <row r="3657" spans="1:7" ht="12.75" customHeight="1">
      <c r="A3657" s="3">
        <v>11676</v>
      </c>
      <c r="B3657" s="4" t="s">
        <v>3679</v>
      </c>
      <c r="C3657" s="3" t="s">
        <v>6</v>
      </c>
      <c r="D3657" s="5">
        <f t="shared" si="114"/>
        <v>37.340000000000003</v>
      </c>
      <c r="E3657">
        <v>40.99</v>
      </c>
      <c r="F3657" s="1789">
        <v>8.8999999999999996E-2</v>
      </c>
      <c r="G3657">
        <f t="shared" si="115"/>
        <v>37.340000000000003</v>
      </c>
    </row>
    <row r="3658" spans="1:7" ht="12.75" customHeight="1">
      <c r="A3658" s="3">
        <v>11677</v>
      </c>
      <c r="B3658" s="4" t="s">
        <v>3680</v>
      </c>
      <c r="C3658" s="3" t="s">
        <v>6</v>
      </c>
      <c r="D3658" s="5">
        <f t="shared" si="114"/>
        <v>38.56</v>
      </c>
      <c r="E3658">
        <v>42.33</v>
      </c>
      <c r="F3658" s="1789">
        <v>8.8999999999999996E-2</v>
      </c>
      <c r="G3658">
        <f t="shared" si="115"/>
        <v>38.56</v>
      </c>
    </row>
    <row r="3659" spans="1:7" ht="12.75" customHeight="1">
      <c r="A3659" s="3">
        <v>11678</v>
      </c>
      <c r="B3659" s="4" t="s">
        <v>3681</v>
      </c>
      <c r="C3659" s="3" t="s">
        <v>6</v>
      </c>
      <c r="D3659" s="5">
        <f t="shared" si="114"/>
        <v>70.62</v>
      </c>
      <c r="E3659">
        <v>77.52</v>
      </c>
      <c r="F3659" s="1789">
        <v>8.8999999999999996E-2</v>
      </c>
      <c r="G3659">
        <f t="shared" si="115"/>
        <v>70.62</v>
      </c>
    </row>
    <row r="3660" spans="1:7" ht="12.75" customHeight="1">
      <c r="A3660" s="3">
        <v>6038</v>
      </c>
      <c r="B3660" s="4" t="s">
        <v>3682</v>
      </c>
      <c r="C3660" s="3" t="s">
        <v>6</v>
      </c>
      <c r="D3660" s="5">
        <f t="shared" si="114"/>
        <v>4.4800000000000004</v>
      </c>
      <c r="E3660">
        <v>4.92</v>
      </c>
      <c r="F3660" s="1789">
        <v>8.8999999999999996E-2</v>
      </c>
      <c r="G3660">
        <f t="shared" si="115"/>
        <v>4.4800000000000004</v>
      </c>
    </row>
    <row r="3661" spans="1:7" ht="12.75" customHeight="1">
      <c r="A3661" s="3">
        <v>11718</v>
      </c>
      <c r="B3661" s="4" t="s">
        <v>3683</v>
      </c>
      <c r="C3661" s="3" t="s">
        <v>6</v>
      </c>
      <c r="D3661" s="5">
        <f t="shared" si="114"/>
        <v>12.77</v>
      </c>
      <c r="E3661">
        <v>14.02</v>
      </c>
      <c r="F3661" s="1789">
        <v>8.8999999999999996E-2</v>
      </c>
      <c r="G3661">
        <f t="shared" si="115"/>
        <v>12.77</v>
      </c>
    </row>
    <row r="3662" spans="1:7" ht="12.75" customHeight="1">
      <c r="A3662" s="3">
        <v>6037</v>
      </c>
      <c r="B3662" s="4" t="s">
        <v>3684</v>
      </c>
      <c r="C3662" s="3" t="s">
        <v>6</v>
      </c>
      <c r="D3662" s="5">
        <f t="shared" si="114"/>
        <v>9.31</v>
      </c>
      <c r="E3662">
        <v>10.23</v>
      </c>
      <c r="F3662" s="1789">
        <v>8.8999999999999996E-2</v>
      </c>
      <c r="G3662">
        <f t="shared" si="115"/>
        <v>9.31</v>
      </c>
    </row>
    <row r="3663" spans="1:7" ht="12.75" customHeight="1">
      <c r="A3663" s="3">
        <v>11719</v>
      </c>
      <c r="B3663" s="4" t="s">
        <v>3685</v>
      </c>
      <c r="C3663" s="3" t="s">
        <v>6</v>
      </c>
      <c r="D3663" s="5">
        <f t="shared" si="114"/>
        <v>10.35</v>
      </c>
      <c r="E3663">
        <v>11.37</v>
      </c>
      <c r="F3663" s="1789">
        <v>8.8999999999999996E-2</v>
      </c>
      <c r="G3663">
        <f t="shared" si="115"/>
        <v>10.35</v>
      </c>
    </row>
    <row r="3664" spans="1:7" ht="12.75" customHeight="1">
      <c r="A3664" s="3">
        <v>6010</v>
      </c>
      <c r="B3664" s="4" t="s">
        <v>3686</v>
      </c>
      <c r="C3664" s="3" t="s">
        <v>6</v>
      </c>
      <c r="D3664" s="5">
        <f t="shared" si="114"/>
        <v>67.94</v>
      </c>
      <c r="E3664">
        <v>74.58</v>
      </c>
      <c r="F3664" s="1789">
        <v>8.8999999999999996E-2</v>
      </c>
      <c r="G3664">
        <f t="shared" si="115"/>
        <v>67.94</v>
      </c>
    </row>
    <row r="3665" spans="1:7" ht="12.75" customHeight="1">
      <c r="A3665" s="3">
        <v>6017</v>
      </c>
      <c r="B3665" s="4" t="s">
        <v>3687</v>
      </c>
      <c r="C3665" s="3" t="s">
        <v>6</v>
      </c>
      <c r="D3665" s="5">
        <f t="shared" si="114"/>
        <v>53.81</v>
      </c>
      <c r="E3665">
        <v>59.07</v>
      </c>
      <c r="F3665" s="1789">
        <v>8.8999999999999996E-2</v>
      </c>
      <c r="G3665">
        <f t="shared" si="115"/>
        <v>53.81</v>
      </c>
    </row>
    <row r="3666" spans="1:7" ht="12.75" customHeight="1">
      <c r="A3666" s="3">
        <v>6020</v>
      </c>
      <c r="B3666" s="4" t="s">
        <v>3688</v>
      </c>
      <c r="C3666" s="3" t="s">
        <v>6</v>
      </c>
      <c r="D3666" s="5">
        <f t="shared" si="114"/>
        <v>23.71</v>
      </c>
      <c r="E3666">
        <v>26.03</v>
      </c>
      <c r="F3666" s="1789">
        <v>8.8999999999999996E-2</v>
      </c>
      <c r="G3666">
        <f t="shared" si="115"/>
        <v>23.71</v>
      </c>
    </row>
    <row r="3667" spans="1:7" ht="12.75" customHeight="1">
      <c r="A3667" s="3">
        <v>6019</v>
      </c>
      <c r="B3667" s="4" t="s">
        <v>3689</v>
      </c>
      <c r="C3667" s="3" t="s">
        <v>6</v>
      </c>
      <c r="D3667" s="5">
        <f t="shared" si="114"/>
        <v>39.479999999999997</v>
      </c>
      <c r="E3667">
        <v>43.34</v>
      </c>
      <c r="F3667" s="1789">
        <v>8.8999999999999996E-2</v>
      </c>
      <c r="G3667">
        <f t="shared" si="115"/>
        <v>39.479999999999997</v>
      </c>
    </row>
    <row r="3668" spans="1:7" ht="12.75" customHeight="1">
      <c r="A3668" s="3">
        <v>6011</v>
      </c>
      <c r="B3668" s="4" t="s">
        <v>3690</v>
      </c>
      <c r="C3668" s="3" t="s">
        <v>6</v>
      </c>
      <c r="D3668" s="5">
        <f t="shared" si="114"/>
        <v>196.25</v>
      </c>
      <c r="E3668">
        <v>215.43</v>
      </c>
      <c r="F3668" s="1789">
        <v>8.8999999999999996E-2</v>
      </c>
      <c r="G3668">
        <f t="shared" si="115"/>
        <v>196.25</v>
      </c>
    </row>
    <row r="3669" spans="1:7" ht="12.75" customHeight="1">
      <c r="A3669" s="3">
        <v>6028</v>
      </c>
      <c r="B3669" s="4" t="s">
        <v>3691</v>
      </c>
      <c r="C3669" s="3" t="s">
        <v>6</v>
      </c>
      <c r="D3669" s="5">
        <f t="shared" si="114"/>
        <v>94.62</v>
      </c>
      <c r="E3669">
        <v>103.87</v>
      </c>
      <c r="F3669" s="1789">
        <v>8.8999999999999996E-2</v>
      </c>
      <c r="G3669">
        <f t="shared" si="115"/>
        <v>94.62</v>
      </c>
    </row>
    <row r="3670" spans="1:7" ht="12.75" customHeight="1">
      <c r="A3670" s="3">
        <v>6016</v>
      </c>
      <c r="B3670" s="4" t="s">
        <v>3692</v>
      </c>
      <c r="C3670" s="3" t="s">
        <v>6</v>
      </c>
      <c r="D3670" s="5">
        <f t="shared" si="114"/>
        <v>25.01</v>
      </c>
      <c r="E3670">
        <v>27.46</v>
      </c>
      <c r="F3670" s="1789">
        <v>8.8999999999999996E-2</v>
      </c>
      <c r="G3670">
        <f t="shared" si="115"/>
        <v>25.01</v>
      </c>
    </row>
    <row r="3671" spans="1:7" ht="12.75" customHeight="1">
      <c r="A3671" s="3">
        <v>6012</v>
      </c>
      <c r="B3671" s="4" t="s">
        <v>3693</v>
      </c>
      <c r="C3671" s="3" t="s">
        <v>6</v>
      </c>
      <c r="D3671" s="5">
        <f t="shared" si="114"/>
        <v>237.59</v>
      </c>
      <c r="E3671">
        <v>260.81</v>
      </c>
      <c r="F3671" s="1789">
        <v>8.8999999999999996E-2</v>
      </c>
      <c r="G3671">
        <f t="shared" si="115"/>
        <v>237.59</v>
      </c>
    </row>
    <row r="3672" spans="1:7" ht="12.75" customHeight="1">
      <c r="A3672" s="3">
        <v>6027</v>
      </c>
      <c r="B3672" s="4" t="s">
        <v>3694</v>
      </c>
      <c r="C3672" s="3" t="s">
        <v>6</v>
      </c>
      <c r="D3672" s="5">
        <f t="shared" si="114"/>
        <v>495.08</v>
      </c>
      <c r="E3672">
        <v>543.45000000000005</v>
      </c>
      <c r="F3672" s="1789">
        <v>8.8999999999999996E-2</v>
      </c>
      <c r="G3672">
        <f t="shared" si="115"/>
        <v>495.08</v>
      </c>
    </row>
    <row r="3673" spans="1:7" ht="12.75" customHeight="1">
      <c r="A3673" s="3">
        <v>6015</v>
      </c>
      <c r="B3673" s="4" t="s">
        <v>3695</v>
      </c>
      <c r="C3673" s="3" t="s">
        <v>6</v>
      </c>
      <c r="D3673" s="5">
        <f t="shared" si="114"/>
        <v>108.63</v>
      </c>
      <c r="E3673">
        <v>119.25</v>
      </c>
      <c r="F3673" s="1789">
        <v>8.8999999999999996E-2</v>
      </c>
      <c r="G3673">
        <f t="shared" si="115"/>
        <v>108.63</v>
      </c>
    </row>
    <row r="3674" spans="1:7" ht="12.75" customHeight="1">
      <c r="A3674" s="3">
        <v>6014</v>
      </c>
      <c r="B3674" s="4" t="s">
        <v>3696</v>
      </c>
      <c r="C3674" s="3" t="s">
        <v>6</v>
      </c>
      <c r="D3674" s="5">
        <f t="shared" si="114"/>
        <v>103.86</v>
      </c>
      <c r="E3674">
        <v>114.01</v>
      </c>
      <c r="F3674" s="1789">
        <v>8.8999999999999996E-2</v>
      </c>
      <c r="G3674">
        <f t="shared" si="115"/>
        <v>103.86</v>
      </c>
    </row>
    <row r="3675" spans="1:7" ht="12.75" customHeight="1">
      <c r="A3675" s="3">
        <v>6006</v>
      </c>
      <c r="B3675" s="4" t="s">
        <v>3697</v>
      </c>
      <c r="C3675" s="3" t="s">
        <v>6</v>
      </c>
      <c r="D3675" s="5">
        <f t="shared" si="114"/>
        <v>54.09</v>
      </c>
      <c r="E3675">
        <v>59.38</v>
      </c>
      <c r="F3675" s="1789">
        <v>8.8999999999999996E-2</v>
      </c>
      <c r="G3675">
        <f t="shared" si="115"/>
        <v>54.09</v>
      </c>
    </row>
    <row r="3676" spans="1:7" ht="12.75" customHeight="1">
      <c r="A3676" s="3">
        <v>6013</v>
      </c>
      <c r="B3676" s="4" t="s">
        <v>3698</v>
      </c>
      <c r="C3676" s="3" t="s">
        <v>6</v>
      </c>
      <c r="D3676" s="5">
        <f t="shared" si="114"/>
        <v>74.7</v>
      </c>
      <c r="E3676">
        <v>82</v>
      </c>
      <c r="F3676" s="1789">
        <v>8.8999999999999996E-2</v>
      </c>
      <c r="G3676">
        <f t="shared" si="115"/>
        <v>74.7</v>
      </c>
    </row>
    <row r="3677" spans="1:7" ht="12.75" customHeight="1">
      <c r="A3677" s="3">
        <v>6005</v>
      </c>
      <c r="B3677" s="4" t="s">
        <v>3699</v>
      </c>
      <c r="C3677" s="3" t="s">
        <v>6</v>
      </c>
      <c r="D3677" s="5">
        <f t="shared" si="114"/>
        <v>61.02</v>
      </c>
      <c r="E3677">
        <v>66.989999999999995</v>
      </c>
      <c r="F3677" s="1789">
        <v>8.8999999999999996E-2</v>
      </c>
      <c r="G3677">
        <f t="shared" si="115"/>
        <v>61.02</v>
      </c>
    </row>
    <row r="3678" spans="1:7" ht="12.75" customHeight="1">
      <c r="A3678" s="3">
        <v>11756</v>
      </c>
      <c r="B3678" s="4" t="s">
        <v>3700</v>
      </c>
      <c r="C3678" s="3" t="s">
        <v>6</v>
      </c>
      <c r="D3678" s="5">
        <f t="shared" si="114"/>
        <v>29.14</v>
      </c>
      <c r="E3678">
        <v>31.99</v>
      </c>
      <c r="F3678" s="1789">
        <v>8.8999999999999996E-2</v>
      </c>
      <c r="G3678">
        <f t="shared" si="115"/>
        <v>29.14</v>
      </c>
    </row>
    <row r="3679" spans="1:7" ht="12.75" customHeight="1">
      <c r="A3679" s="3">
        <v>10904</v>
      </c>
      <c r="B3679" s="4" t="s">
        <v>3701</v>
      </c>
      <c r="C3679" s="3" t="s">
        <v>6</v>
      </c>
      <c r="D3679" s="5">
        <f t="shared" si="114"/>
        <v>145.66</v>
      </c>
      <c r="E3679">
        <v>159.9</v>
      </c>
      <c r="F3679" s="1789">
        <v>8.8999999999999996E-2</v>
      </c>
      <c r="G3679">
        <f t="shared" si="115"/>
        <v>145.66</v>
      </c>
    </row>
    <row r="3680" spans="1:7" ht="12.75" customHeight="1">
      <c r="A3680" s="3">
        <v>11752</v>
      </c>
      <c r="B3680" s="4" t="s">
        <v>3702</v>
      </c>
      <c r="C3680" s="3" t="s">
        <v>6</v>
      </c>
      <c r="D3680" s="5">
        <f t="shared" si="114"/>
        <v>16.8</v>
      </c>
      <c r="E3680">
        <v>18.45</v>
      </c>
      <c r="F3680" s="1789">
        <v>8.8999999999999996E-2</v>
      </c>
      <c r="G3680">
        <f t="shared" si="115"/>
        <v>16.8</v>
      </c>
    </row>
    <row r="3681" spans="1:7" ht="12.75" customHeight="1">
      <c r="A3681" s="3">
        <v>11753</v>
      </c>
      <c r="B3681" s="4" t="s">
        <v>3703</v>
      </c>
      <c r="C3681" s="3" t="s">
        <v>6</v>
      </c>
      <c r="D3681" s="5">
        <f t="shared" si="114"/>
        <v>20.059999999999999</v>
      </c>
      <c r="E3681">
        <v>22.02</v>
      </c>
      <c r="F3681" s="1789">
        <v>8.8999999999999996E-2</v>
      </c>
      <c r="G3681">
        <f t="shared" si="115"/>
        <v>20.059999999999999</v>
      </c>
    </row>
    <row r="3682" spans="1:7" ht="12.75" customHeight="1">
      <c r="A3682" s="3">
        <v>6021</v>
      </c>
      <c r="B3682" s="4" t="s">
        <v>3704</v>
      </c>
      <c r="C3682" s="3" t="s">
        <v>6</v>
      </c>
      <c r="D3682" s="5">
        <f t="shared" si="114"/>
        <v>55.68</v>
      </c>
      <c r="E3682">
        <v>61.12</v>
      </c>
      <c r="F3682" s="1789">
        <v>8.8999999999999996E-2</v>
      </c>
      <c r="G3682">
        <f t="shared" si="115"/>
        <v>55.68</v>
      </c>
    </row>
    <row r="3683" spans="1:7" ht="12.75" customHeight="1">
      <c r="A3683" s="3">
        <v>6024</v>
      </c>
      <c r="B3683" s="4" t="s">
        <v>3705</v>
      </c>
      <c r="C3683" s="3" t="s">
        <v>6</v>
      </c>
      <c r="D3683" s="5">
        <f t="shared" si="114"/>
        <v>57.55</v>
      </c>
      <c r="E3683">
        <v>63.18</v>
      </c>
      <c r="F3683" s="1789">
        <v>8.8999999999999996E-2</v>
      </c>
      <c r="G3683">
        <f t="shared" si="115"/>
        <v>57.55</v>
      </c>
    </row>
    <row r="3684" spans="1:7" ht="12.75" customHeight="1">
      <c r="A3684" s="3">
        <v>38379</v>
      </c>
      <c r="B3684" s="4" t="s">
        <v>3706</v>
      </c>
      <c r="C3684" s="3" t="s">
        <v>50</v>
      </c>
      <c r="D3684" s="5">
        <f t="shared" si="114"/>
        <v>67.8</v>
      </c>
      <c r="E3684">
        <v>74.430000000000007</v>
      </c>
      <c r="F3684" s="1789">
        <v>8.8999999999999996E-2</v>
      </c>
      <c r="G3684">
        <f t="shared" si="115"/>
        <v>67.8</v>
      </c>
    </row>
    <row r="3685" spans="1:7" ht="12.75" customHeight="1">
      <c r="A3685" s="3">
        <v>13897</v>
      </c>
      <c r="B3685" s="4" t="s">
        <v>3707</v>
      </c>
      <c r="C3685" s="3" t="s">
        <v>6</v>
      </c>
      <c r="D3685" s="5">
        <f t="shared" si="114"/>
        <v>5891.17</v>
      </c>
      <c r="E3685">
        <v>6466.71</v>
      </c>
      <c r="F3685" s="1789">
        <v>8.8999999999999996E-2</v>
      </c>
      <c r="G3685">
        <f t="shared" si="115"/>
        <v>5891.17</v>
      </c>
    </row>
    <row r="3686" spans="1:7" ht="12.75" customHeight="1">
      <c r="A3686" s="3">
        <v>10640</v>
      </c>
      <c r="B3686" s="4" t="s">
        <v>3708</v>
      </c>
      <c r="C3686" s="3" t="s">
        <v>6</v>
      </c>
      <c r="D3686" s="5">
        <f t="shared" si="114"/>
        <v>12759.03</v>
      </c>
      <c r="E3686">
        <v>14005.53</v>
      </c>
      <c r="F3686" s="1789">
        <v>8.8999999999999996E-2</v>
      </c>
      <c r="G3686">
        <f t="shared" si="115"/>
        <v>12759.03</v>
      </c>
    </row>
    <row r="3687" spans="1:7" ht="12.75" customHeight="1">
      <c r="A3687" s="3">
        <v>34357</v>
      </c>
      <c r="B3687" s="4" t="s">
        <v>3709</v>
      </c>
      <c r="C3687" s="3" t="s">
        <v>54</v>
      </c>
      <c r="D3687" s="5">
        <f t="shared" si="114"/>
        <v>6.41</v>
      </c>
      <c r="E3687">
        <v>7.04</v>
      </c>
      <c r="F3687" s="1789">
        <v>8.8999999999999996E-2</v>
      </c>
      <c r="G3687">
        <f t="shared" si="115"/>
        <v>6.41</v>
      </c>
    </row>
    <row r="3688" spans="1:7" ht="12.75" customHeight="1">
      <c r="A3688" s="3">
        <v>37329</v>
      </c>
      <c r="B3688" s="4" t="s">
        <v>3710</v>
      </c>
      <c r="C3688" s="3" t="s">
        <v>54</v>
      </c>
      <c r="D3688" s="5">
        <f t="shared" si="114"/>
        <v>135.19</v>
      </c>
      <c r="E3688">
        <v>148.4</v>
      </c>
      <c r="F3688" s="1789">
        <v>8.8999999999999996E-2</v>
      </c>
      <c r="G3688">
        <f t="shared" si="115"/>
        <v>135.19</v>
      </c>
    </row>
    <row r="3689" spans="1:7" ht="12.75" customHeight="1">
      <c r="A3689" s="3">
        <v>2510</v>
      </c>
      <c r="B3689" s="4" t="s">
        <v>3711</v>
      </c>
      <c r="C3689" s="3" t="s">
        <v>6</v>
      </c>
      <c r="D3689" s="5">
        <f t="shared" si="114"/>
        <v>35.6</v>
      </c>
      <c r="E3689">
        <v>39.08</v>
      </c>
      <c r="F3689" s="1789">
        <v>8.8999999999999996E-2</v>
      </c>
      <c r="G3689">
        <f t="shared" si="115"/>
        <v>35.6</v>
      </c>
    </row>
    <row r="3690" spans="1:7" ht="12.75" customHeight="1">
      <c r="A3690" s="3">
        <v>12359</v>
      </c>
      <c r="B3690" s="4" t="s">
        <v>3712</v>
      </c>
      <c r="C3690" s="3" t="s">
        <v>6</v>
      </c>
      <c r="D3690" s="5">
        <f t="shared" si="114"/>
        <v>142.78</v>
      </c>
      <c r="E3690">
        <v>156.72999999999999</v>
      </c>
      <c r="F3690" s="1789">
        <v>8.8999999999999996E-2</v>
      </c>
      <c r="G3690">
        <f t="shared" si="115"/>
        <v>142.78</v>
      </c>
    </row>
    <row r="3691" spans="1:7" ht="12.75" customHeight="1">
      <c r="A3691" s="3">
        <v>7353</v>
      </c>
      <c r="B3691" s="4" t="s">
        <v>3713</v>
      </c>
      <c r="C3691" s="3" t="s">
        <v>56</v>
      </c>
      <c r="D3691" s="5">
        <f t="shared" si="114"/>
        <v>28.83</v>
      </c>
      <c r="E3691">
        <v>31.65</v>
      </c>
      <c r="F3691" s="1789">
        <v>8.8999999999999996E-2</v>
      </c>
      <c r="G3691">
        <f t="shared" si="115"/>
        <v>28.83</v>
      </c>
    </row>
    <row r="3692" spans="1:7" ht="12.75" customHeight="1">
      <c r="A3692" s="3">
        <v>36144</v>
      </c>
      <c r="B3692" s="4" t="s">
        <v>3714</v>
      </c>
      <c r="C3692" s="3" t="s">
        <v>6</v>
      </c>
      <c r="D3692" s="5">
        <f t="shared" si="114"/>
        <v>1.62</v>
      </c>
      <c r="E3692">
        <v>1.78</v>
      </c>
      <c r="F3692" s="1789">
        <v>8.8999999999999996E-2</v>
      </c>
      <c r="G3692">
        <f t="shared" si="115"/>
        <v>1.62</v>
      </c>
    </row>
    <row r="3693" spans="1:7" ht="12.75" customHeight="1">
      <c r="A3693" s="3">
        <v>10518</v>
      </c>
      <c r="B3693" s="4" t="s">
        <v>3715</v>
      </c>
      <c r="C3693" s="3" t="s">
        <v>6</v>
      </c>
      <c r="D3693" s="5">
        <f t="shared" si="114"/>
        <v>106.55</v>
      </c>
      <c r="E3693">
        <v>116.96</v>
      </c>
      <c r="F3693" s="1789">
        <v>8.8999999999999996E-2</v>
      </c>
      <c r="G3693">
        <f t="shared" si="115"/>
        <v>106.55</v>
      </c>
    </row>
    <row r="3694" spans="1:7" ht="12.75" customHeight="1">
      <c r="A3694" s="3">
        <v>36530</v>
      </c>
      <c r="B3694" s="4" t="s">
        <v>3716</v>
      </c>
      <c r="C3694" s="3" t="s">
        <v>6</v>
      </c>
      <c r="D3694" s="5">
        <f t="shared" si="114"/>
        <v>353596.86</v>
      </c>
      <c r="E3694">
        <v>388141.45</v>
      </c>
      <c r="F3694" s="1789">
        <v>8.8999999999999996E-2</v>
      </c>
      <c r="G3694">
        <f t="shared" si="115"/>
        <v>353596.86</v>
      </c>
    </row>
    <row r="3695" spans="1:7" ht="12.75" customHeight="1">
      <c r="A3695" s="3">
        <v>6046</v>
      </c>
      <c r="B3695" s="4" t="s">
        <v>3717</v>
      </c>
      <c r="C3695" s="3" t="s">
        <v>6</v>
      </c>
      <c r="D3695" s="5">
        <f t="shared" si="114"/>
        <v>383531</v>
      </c>
      <c r="E3695">
        <v>421000</v>
      </c>
      <c r="F3695" s="1789">
        <v>8.8999999999999996E-2</v>
      </c>
      <c r="G3695">
        <f t="shared" si="115"/>
        <v>383531</v>
      </c>
    </row>
    <row r="3696" spans="1:7" ht="12.75" customHeight="1">
      <c r="A3696" s="3">
        <v>36531</v>
      </c>
      <c r="B3696" s="4" t="s">
        <v>3718</v>
      </c>
      <c r="C3696" s="3" t="s">
        <v>6</v>
      </c>
      <c r="D3696" s="5">
        <f t="shared" si="114"/>
        <v>397562.59</v>
      </c>
      <c r="E3696">
        <v>436402.41</v>
      </c>
      <c r="F3696" s="1789">
        <v>8.8999999999999996E-2</v>
      </c>
      <c r="G3696">
        <f t="shared" si="115"/>
        <v>397562.59</v>
      </c>
    </row>
    <row r="3697" spans="1:7" ht="12.75" customHeight="1">
      <c r="A3697" s="3">
        <v>34684</v>
      </c>
      <c r="B3697" s="4" t="s">
        <v>3719</v>
      </c>
      <c r="C3697" s="3" t="s">
        <v>409</v>
      </c>
      <c r="D3697" s="5">
        <f t="shared" si="114"/>
        <v>255.32</v>
      </c>
      <c r="E3697">
        <v>280.27</v>
      </c>
      <c r="F3697" s="1789">
        <v>8.8999999999999996E-2</v>
      </c>
      <c r="G3697">
        <f t="shared" si="115"/>
        <v>255.32</v>
      </c>
    </row>
    <row r="3698" spans="1:7" ht="12.75" customHeight="1">
      <c r="A3698" s="3">
        <v>34683</v>
      </c>
      <c r="B3698" s="4" t="s">
        <v>3720</v>
      </c>
      <c r="C3698" s="3" t="s">
        <v>409</v>
      </c>
      <c r="D3698" s="5">
        <f t="shared" si="114"/>
        <v>159.57</v>
      </c>
      <c r="E3698">
        <v>175.17</v>
      </c>
      <c r="F3698" s="1789">
        <v>8.8999999999999996E-2</v>
      </c>
      <c r="G3698">
        <f t="shared" si="115"/>
        <v>159.57</v>
      </c>
    </row>
    <row r="3699" spans="1:7" ht="12.75" customHeight="1">
      <c r="A3699" s="3">
        <v>10515</v>
      </c>
      <c r="B3699" s="4" t="s">
        <v>3721</v>
      </c>
      <c r="C3699" s="3" t="s">
        <v>409</v>
      </c>
      <c r="D3699" s="5">
        <f t="shared" si="114"/>
        <v>42.38</v>
      </c>
      <c r="E3699">
        <v>46.53</v>
      </c>
      <c r="F3699" s="1789">
        <v>8.8999999999999996E-2</v>
      </c>
      <c r="G3699">
        <f t="shared" si="115"/>
        <v>42.38</v>
      </c>
    </row>
    <row r="3700" spans="1:7" ht="12.75" customHeight="1">
      <c r="A3700" s="3">
        <v>536</v>
      </c>
      <c r="B3700" s="4" t="s">
        <v>3722</v>
      </c>
      <c r="C3700" s="3" t="s">
        <v>409</v>
      </c>
      <c r="D3700" s="5">
        <f t="shared" si="114"/>
        <v>30.66</v>
      </c>
      <c r="E3700">
        <v>33.659999999999997</v>
      </c>
      <c r="F3700" s="1789">
        <v>8.8999999999999996E-2</v>
      </c>
      <c r="G3700">
        <f t="shared" si="115"/>
        <v>30.66</v>
      </c>
    </row>
    <row r="3701" spans="1:7" ht="12.75" customHeight="1">
      <c r="A3701" s="3">
        <v>153</v>
      </c>
      <c r="B3701" s="4" t="s">
        <v>3723</v>
      </c>
      <c r="C3701" s="3" t="s">
        <v>56</v>
      </c>
      <c r="D3701" s="5">
        <f t="shared" si="114"/>
        <v>96.21</v>
      </c>
      <c r="E3701">
        <v>105.61</v>
      </c>
      <c r="F3701" s="1789">
        <v>8.8999999999999996E-2</v>
      </c>
      <c r="G3701">
        <f t="shared" si="115"/>
        <v>96.21</v>
      </c>
    </row>
    <row r="3702" spans="1:7" ht="12.75" customHeight="1">
      <c r="A3702" s="3">
        <v>34682</v>
      </c>
      <c r="B3702" s="4" t="s">
        <v>3724</v>
      </c>
      <c r="C3702" s="3" t="s">
        <v>409</v>
      </c>
      <c r="D3702" s="5">
        <f t="shared" si="114"/>
        <v>122.02</v>
      </c>
      <c r="E3702">
        <v>133.94999999999999</v>
      </c>
      <c r="F3702" s="1789">
        <v>8.8999999999999996E-2</v>
      </c>
      <c r="G3702">
        <f t="shared" si="115"/>
        <v>122.02</v>
      </c>
    </row>
    <row r="3703" spans="1:7" ht="12.75" customHeight="1">
      <c r="A3703" s="3">
        <v>20205</v>
      </c>
      <c r="B3703" s="4" t="s">
        <v>3725</v>
      </c>
      <c r="C3703" s="3" t="s">
        <v>50</v>
      </c>
      <c r="D3703" s="5">
        <f t="shared" si="114"/>
        <v>2.73</v>
      </c>
      <c r="E3703">
        <v>3</v>
      </c>
      <c r="F3703" s="1789">
        <v>8.8999999999999996E-2</v>
      </c>
      <c r="G3703">
        <f t="shared" si="115"/>
        <v>2.73</v>
      </c>
    </row>
    <row r="3704" spans="1:7" ht="12.75" customHeight="1">
      <c r="A3704" s="3">
        <v>4412</v>
      </c>
      <c r="B3704" s="4" t="s">
        <v>3726</v>
      </c>
      <c r="C3704" s="3" t="s">
        <v>50</v>
      </c>
      <c r="D3704" s="5">
        <f t="shared" si="114"/>
        <v>1.63</v>
      </c>
      <c r="E3704">
        <v>1.8</v>
      </c>
      <c r="F3704" s="1789">
        <v>8.8999999999999996E-2</v>
      </c>
      <c r="G3704">
        <f t="shared" si="115"/>
        <v>1.63</v>
      </c>
    </row>
    <row r="3705" spans="1:7" ht="12.75" customHeight="1">
      <c r="A3705" s="3">
        <v>4408</v>
      </c>
      <c r="B3705" s="4" t="s">
        <v>3727</v>
      </c>
      <c r="C3705" s="3" t="s">
        <v>50</v>
      </c>
      <c r="D3705" s="5">
        <f t="shared" si="114"/>
        <v>2.04</v>
      </c>
      <c r="E3705">
        <v>2.2400000000000002</v>
      </c>
      <c r="F3705" s="1789">
        <v>8.8999999999999996E-2</v>
      </c>
      <c r="G3705">
        <f t="shared" si="115"/>
        <v>2.04</v>
      </c>
    </row>
    <row r="3706" spans="1:7" ht="12.75" customHeight="1">
      <c r="A3706" s="3">
        <v>36250</v>
      </c>
      <c r="B3706" s="4" t="s">
        <v>3728</v>
      </c>
      <c r="C3706" s="3" t="s">
        <v>50</v>
      </c>
      <c r="D3706" s="5">
        <f t="shared" si="114"/>
        <v>4.0599999999999996</v>
      </c>
      <c r="E3706">
        <v>4.46</v>
      </c>
      <c r="F3706" s="1789">
        <v>8.8999999999999996E-2</v>
      </c>
      <c r="G3706">
        <f t="shared" si="115"/>
        <v>4.0599999999999996</v>
      </c>
    </row>
    <row r="3707" spans="1:7" ht="12.75" customHeight="1">
      <c r="A3707" s="3">
        <v>10857</v>
      </c>
      <c r="B3707" s="4" t="s">
        <v>3729</v>
      </c>
      <c r="C3707" s="3" t="s">
        <v>50</v>
      </c>
      <c r="D3707" s="5">
        <f t="shared" si="114"/>
        <v>15.96</v>
      </c>
      <c r="E3707">
        <v>17.53</v>
      </c>
      <c r="F3707" s="1789">
        <v>8.8999999999999996E-2</v>
      </c>
      <c r="G3707">
        <f t="shared" si="115"/>
        <v>15.96</v>
      </c>
    </row>
    <row r="3708" spans="1:7" ht="12.75" customHeight="1">
      <c r="A3708" s="3">
        <v>4803</v>
      </c>
      <c r="B3708" s="4" t="s">
        <v>3730</v>
      </c>
      <c r="C3708" s="3" t="s">
        <v>50</v>
      </c>
      <c r="D3708" s="5">
        <f t="shared" si="114"/>
        <v>31.21</v>
      </c>
      <c r="E3708">
        <v>34.270000000000003</v>
      </c>
      <c r="F3708" s="1789">
        <v>8.8999999999999996E-2</v>
      </c>
      <c r="G3708">
        <f t="shared" si="115"/>
        <v>31.21</v>
      </c>
    </row>
    <row r="3709" spans="1:7" ht="12.75" customHeight="1">
      <c r="A3709" s="3">
        <v>6186</v>
      </c>
      <c r="B3709" s="4" t="s">
        <v>3731</v>
      </c>
      <c r="C3709" s="3" t="s">
        <v>50</v>
      </c>
      <c r="D3709" s="5">
        <f t="shared" si="114"/>
        <v>18.440000000000001</v>
      </c>
      <c r="E3709">
        <v>20.25</v>
      </c>
      <c r="F3709" s="1789">
        <v>8.8999999999999996E-2</v>
      </c>
      <c r="G3709">
        <f t="shared" si="115"/>
        <v>18.440000000000001</v>
      </c>
    </row>
    <row r="3710" spans="1:7" ht="12.75" customHeight="1">
      <c r="A3710" s="3">
        <v>4829</v>
      </c>
      <c r="B3710" s="4" t="s">
        <v>3732</v>
      </c>
      <c r="C3710" s="3" t="s">
        <v>50</v>
      </c>
      <c r="D3710" s="5">
        <f t="shared" si="114"/>
        <v>49.61</v>
      </c>
      <c r="E3710">
        <v>54.46</v>
      </c>
      <c r="F3710" s="1789">
        <v>8.8999999999999996E-2</v>
      </c>
      <c r="G3710">
        <f t="shared" si="115"/>
        <v>49.61</v>
      </c>
    </row>
    <row r="3711" spans="1:7" ht="12.75" customHeight="1">
      <c r="A3711" s="3">
        <v>39829</v>
      </c>
      <c r="B3711" s="4" t="s">
        <v>3733</v>
      </c>
      <c r="C3711" s="3" t="s">
        <v>50</v>
      </c>
      <c r="D3711" s="5">
        <f t="shared" si="114"/>
        <v>54.09</v>
      </c>
      <c r="E3711">
        <v>59.38</v>
      </c>
      <c r="F3711" s="1789">
        <v>8.8999999999999996E-2</v>
      </c>
      <c r="G3711">
        <f t="shared" si="115"/>
        <v>54.09</v>
      </c>
    </row>
    <row r="3712" spans="1:7" ht="12.75" customHeight="1">
      <c r="A3712" s="3">
        <v>20231</v>
      </c>
      <c r="B3712" s="4" t="s">
        <v>3734</v>
      </c>
      <c r="C3712" s="3" t="s">
        <v>50</v>
      </c>
      <c r="D3712" s="5">
        <f t="shared" si="114"/>
        <v>56.67</v>
      </c>
      <c r="E3712">
        <v>62.21</v>
      </c>
      <c r="F3712" s="1789">
        <v>8.8999999999999996E-2</v>
      </c>
      <c r="G3712">
        <f t="shared" si="115"/>
        <v>56.67</v>
      </c>
    </row>
    <row r="3713" spans="1:7" ht="12.75" customHeight="1">
      <c r="A3713" s="3">
        <v>4804</v>
      </c>
      <c r="B3713" s="4" t="s">
        <v>3735</v>
      </c>
      <c r="C3713" s="3" t="s">
        <v>50</v>
      </c>
      <c r="D3713" s="5">
        <f t="shared" si="114"/>
        <v>23.96</v>
      </c>
      <c r="E3713">
        <v>26.31</v>
      </c>
      <c r="F3713" s="1789">
        <v>8.8999999999999996E-2</v>
      </c>
      <c r="G3713">
        <f t="shared" si="115"/>
        <v>23.96</v>
      </c>
    </row>
    <row r="3714" spans="1:7" ht="12.75" customHeight="1">
      <c r="A3714" s="3">
        <v>34680</v>
      </c>
      <c r="B3714" s="4" t="s">
        <v>3736</v>
      </c>
      <c r="C3714" s="3" t="s">
        <v>50</v>
      </c>
      <c r="D3714" s="5">
        <f t="shared" si="114"/>
        <v>37.54</v>
      </c>
      <c r="E3714">
        <v>41.21</v>
      </c>
      <c r="F3714" s="1789">
        <v>8.8999999999999996E-2</v>
      </c>
      <c r="G3714">
        <f t="shared" si="115"/>
        <v>37.54</v>
      </c>
    </row>
    <row r="3715" spans="1:7" ht="12.75" customHeight="1">
      <c r="A3715" s="3">
        <v>11573</v>
      </c>
      <c r="B3715" s="4" t="s">
        <v>3737</v>
      </c>
      <c r="C3715" s="3" t="s">
        <v>6</v>
      </c>
      <c r="D3715" s="5">
        <f t="shared" ref="D3715:D3778" si="116">G3715</f>
        <v>6.26</v>
      </c>
      <c r="E3715">
        <v>6.88</v>
      </c>
      <c r="F3715" s="1789">
        <v>8.8999999999999996E-2</v>
      </c>
      <c r="G3715">
        <f t="shared" ref="G3715:G3778" si="117">TRUNC((1-F3715)*E3715,2)</f>
        <v>6.26</v>
      </c>
    </row>
    <row r="3716" spans="1:7" ht="12.75" customHeight="1">
      <c r="A3716" s="3">
        <v>38401</v>
      </c>
      <c r="B3716" s="4" t="s">
        <v>3738</v>
      </c>
      <c r="C3716" s="3" t="s">
        <v>6</v>
      </c>
      <c r="D3716" s="5">
        <f t="shared" si="116"/>
        <v>20.88</v>
      </c>
      <c r="E3716">
        <v>22.92</v>
      </c>
      <c r="F3716" s="1789">
        <v>8.8999999999999996E-2</v>
      </c>
      <c r="G3716">
        <f t="shared" si="117"/>
        <v>20.88</v>
      </c>
    </row>
    <row r="3717" spans="1:7" ht="12.75" customHeight="1">
      <c r="A3717" s="3">
        <v>11575</v>
      </c>
      <c r="B3717" s="4" t="s">
        <v>3739</v>
      </c>
      <c r="C3717" s="3" t="s">
        <v>6</v>
      </c>
      <c r="D3717" s="5">
        <f t="shared" si="116"/>
        <v>60.44</v>
      </c>
      <c r="E3717">
        <v>66.349999999999994</v>
      </c>
      <c r="F3717" s="1789">
        <v>8.8999999999999996E-2</v>
      </c>
      <c r="G3717">
        <f t="shared" si="117"/>
        <v>60.44</v>
      </c>
    </row>
    <row r="3718" spans="1:7" ht="12.75" customHeight="1">
      <c r="A3718" s="3">
        <v>38179</v>
      </c>
      <c r="B3718" s="4" t="s">
        <v>3740</v>
      </c>
      <c r="C3718" s="3" t="s">
        <v>6</v>
      </c>
      <c r="D3718" s="5">
        <f t="shared" si="116"/>
        <v>49.97</v>
      </c>
      <c r="E3718">
        <v>54.86</v>
      </c>
      <c r="F3718" s="1789">
        <v>8.8999999999999996E-2</v>
      </c>
      <c r="G3718">
        <f t="shared" si="117"/>
        <v>49.97</v>
      </c>
    </row>
    <row r="3719" spans="1:7" ht="12.75" customHeight="1">
      <c r="A3719" s="3">
        <v>20256</v>
      </c>
      <c r="B3719" s="4" t="s">
        <v>3741</v>
      </c>
      <c r="C3719" s="3" t="s">
        <v>6</v>
      </c>
      <c r="D3719" s="5">
        <f t="shared" si="116"/>
        <v>0.28999999999999998</v>
      </c>
      <c r="E3719">
        <v>0.32</v>
      </c>
      <c r="F3719" s="1789">
        <v>8.8999999999999996E-2</v>
      </c>
      <c r="G3719">
        <f t="shared" si="117"/>
        <v>0.28999999999999998</v>
      </c>
    </row>
    <row r="3720" spans="1:7" ht="12.75" customHeight="1">
      <c r="A3720" s="3">
        <v>14511</v>
      </c>
      <c r="B3720" s="4" t="s">
        <v>3742</v>
      </c>
      <c r="C3720" s="3" t="s">
        <v>6</v>
      </c>
      <c r="D3720" s="5">
        <f t="shared" si="116"/>
        <v>899348.53</v>
      </c>
      <c r="E3720">
        <v>987210.25</v>
      </c>
      <c r="F3720" s="1789">
        <v>8.8999999999999996E-2</v>
      </c>
      <c r="G3720">
        <f t="shared" si="117"/>
        <v>899348.53</v>
      </c>
    </row>
    <row r="3721" spans="1:7" ht="12.75" customHeight="1">
      <c r="A3721" s="3">
        <v>10642</v>
      </c>
      <c r="B3721" s="4" t="s">
        <v>3743</v>
      </c>
      <c r="C3721" s="3" t="s">
        <v>6</v>
      </c>
      <c r="D3721" s="5">
        <f t="shared" si="116"/>
        <v>847230</v>
      </c>
      <c r="E3721">
        <v>930000</v>
      </c>
      <c r="F3721" s="1789">
        <v>8.8999999999999996E-2</v>
      </c>
      <c r="G3721">
        <f t="shared" si="117"/>
        <v>847230</v>
      </c>
    </row>
    <row r="3722" spans="1:7" ht="12.75" customHeight="1">
      <c r="A3722" s="3">
        <v>14489</v>
      </c>
      <c r="B3722" s="4" t="s">
        <v>3744</v>
      </c>
      <c r="C3722" s="3" t="s">
        <v>6</v>
      </c>
      <c r="D3722" s="5">
        <f t="shared" si="116"/>
        <v>751477.24</v>
      </c>
      <c r="E3722">
        <v>824892.7</v>
      </c>
      <c r="F3722" s="1789">
        <v>8.8999999999999996E-2</v>
      </c>
      <c r="G3722">
        <f t="shared" si="117"/>
        <v>751477.24</v>
      </c>
    </row>
    <row r="3723" spans="1:7" ht="12.75" customHeight="1">
      <c r="A3723" s="3">
        <v>14513</v>
      </c>
      <c r="B3723" s="4" t="s">
        <v>3745</v>
      </c>
      <c r="C3723" s="3" t="s">
        <v>6</v>
      </c>
      <c r="D3723" s="5">
        <f t="shared" si="116"/>
        <v>563625.77</v>
      </c>
      <c r="E3723">
        <v>618689.1</v>
      </c>
      <c r="F3723" s="1789">
        <v>8.8999999999999996E-2</v>
      </c>
      <c r="G3723">
        <f t="shared" si="117"/>
        <v>563625.77</v>
      </c>
    </row>
    <row r="3724" spans="1:7" ht="12.75" customHeight="1">
      <c r="A3724" s="3">
        <v>13600</v>
      </c>
      <c r="B3724" s="4" t="s">
        <v>3746</v>
      </c>
      <c r="C3724" s="3" t="s">
        <v>6</v>
      </c>
      <c r="D3724" s="5">
        <f t="shared" si="116"/>
        <v>727235.96</v>
      </c>
      <c r="E3724">
        <v>798283.17</v>
      </c>
      <c r="F3724" s="1789">
        <v>8.8999999999999996E-2</v>
      </c>
      <c r="G3724">
        <f t="shared" si="117"/>
        <v>727235.96</v>
      </c>
    </row>
    <row r="3725" spans="1:7" ht="12.75" customHeight="1">
      <c r="A3725" s="3">
        <v>10646</v>
      </c>
      <c r="B3725" s="4" t="s">
        <v>3747</v>
      </c>
      <c r="C3725" s="3" t="s">
        <v>6</v>
      </c>
      <c r="D3725" s="5">
        <f t="shared" si="116"/>
        <v>542105.94999999995</v>
      </c>
      <c r="E3725">
        <v>595066.91</v>
      </c>
      <c r="F3725" s="1789">
        <v>8.8999999999999996E-2</v>
      </c>
      <c r="G3725">
        <f t="shared" si="117"/>
        <v>542105.94999999995</v>
      </c>
    </row>
    <row r="3726" spans="1:7" ht="12.75" customHeight="1">
      <c r="A3726" s="3">
        <v>6070</v>
      </c>
      <c r="B3726" s="4" t="s">
        <v>3748</v>
      </c>
      <c r="C3726" s="3" t="s">
        <v>6</v>
      </c>
      <c r="D3726" s="5">
        <f t="shared" si="116"/>
        <v>740721.07</v>
      </c>
      <c r="E3726">
        <v>813085.7</v>
      </c>
      <c r="F3726" s="1789">
        <v>8.8999999999999996E-2</v>
      </c>
      <c r="G3726">
        <f t="shared" si="117"/>
        <v>740721.07</v>
      </c>
    </row>
    <row r="3727" spans="1:7" ht="12.75" customHeight="1">
      <c r="A3727" s="3">
        <v>6069</v>
      </c>
      <c r="B3727" s="4" t="s">
        <v>3749</v>
      </c>
      <c r="C3727" s="3" t="s">
        <v>6</v>
      </c>
      <c r="D3727" s="5">
        <f t="shared" si="116"/>
        <v>163636.45000000001</v>
      </c>
      <c r="E3727">
        <v>179622.89</v>
      </c>
      <c r="F3727" s="1789">
        <v>8.8999999999999996E-2</v>
      </c>
      <c r="G3727">
        <f t="shared" si="117"/>
        <v>163636.45000000001</v>
      </c>
    </row>
    <row r="3728" spans="1:7" ht="12.75" customHeight="1">
      <c r="A3728" s="3">
        <v>14626</v>
      </c>
      <c r="B3728" s="4" t="s">
        <v>3750</v>
      </c>
      <c r="C3728" s="3" t="s">
        <v>6</v>
      </c>
      <c r="D3728" s="5">
        <f t="shared" si="116"/>
        <v>810920.17</v>
      </c>
      <c r="E3728">
        <v>890142.89</v>
      </c>
      <c r="F3728" s="1789">
        <v>8.8999999999999996E-2</v>
      </c>
      <c r="G3728">
        <f t="shared" si="117"/>
        <v>810920.17</v>
      </c>
    </row>
    <row r="3729" spans="1:7" ht="12.75" customHeight="1">
      <c r="A3729" s="3">
        <v>6067</v>
      </c>
      <c r="B3729" s="4" t="s">
        <v>3751</v>
      </c>
      <c r="C3729" s="3" t="s">
        <v>6</v>
      </c>
      <c r="D3729" s="5">
        <f t="shared" si="116"/>
        <v>665680.71</v>
      </c>
      <c r="E3729">
        <v>730714.29</v>
      </c>
      <c r="F3729" s="1789">
        <v>8.8999999999999996E-2</v>
      </c>
      <c r="G3729">
        <f t="shared" si="117"/>
        <v>665680.71</v>
      </c>
    </row>
    <row r="3730" spans="1:7" ht="12.75" customHeight="1">
      <c r="A3730" s="3">
        <v>38393</v>
      </c>
      <c r="B3730" s="4" t="s">
        <v>3752</v>
      </c>
      <c r="C3730" s="3" t="s">
        <v>6</v>
      </c>
      <c r="D3730" s="5">
        <f t="shared" si="116"/>
        <v>18.22</v>
      </c>
      <c r="E3730">
        <v>20</v>
      </c>
      <c r="F3730" s="1789">
        <v>8.8999999999999996E-2</v>
      </c>
      <c r="G3730">
        <f t="shared" si="117"/>
        <v>18.22</v>
      </c>
    </row>
    <row r="3731" spans="1:7" ht="12.75" customHeight="1">
      <c r="A3731" s="3">
        <v>38390</v>
      </c>
      <c r="B3731" s="4" t="s">
        <v>3753</v>
      </c>
      <c r="C3731" s="3" t="s">
        <v>6</v>
      </c>
      <c r="D3731" s="5">
        <f t="shared" si="116"/>
        <v>40.409999999999997</v>
      </c>
      <c r="E3731">
        <v>44.36</v>
      </c>
      <c r="F3731" s="1789">
        <v>8.8999999999999996E-2</v>
      </c>
      <c r="G3731">
        <f t="shared" si="117"/>
        <v>40.409999999999997</v>
      </c>
    </row>
    <row r="3732" spans="1:7" ht="12.75" customHeight="1">
      <c r="A3732" s="3">
        <v>36532</v>
      </c>
      <c r="B3732" s="4" t="s">
        <v>3754</v>
      </c>
      <c r="C3732" s="3" t="s">
        <v>6</v>
      </c>
      <c r="D3732" s="5">
        <f t="shared" si="116"/>
        <v>29562.32</v>
      </c>
      <c r="E3732">
        <v>32450.41</v>
      </c>
      <c r="F3732" s="1789">
        <v>8.8999999999999996E-2</v>
      </c>
      <c r="G3732">
        <f t="shared" si="117"/>
        <v>29562.32</v>
      </c>
    </row>
    <row r="3733" spans="1:7" ht="12.75" customHeight="1">
      <c r="A3733" s="3">
        <v>11578</v>
      </c>
      <c r="B3733" s="4" t="s">
        <v>3755</v>
      </c>
      <c r="C3733" s="3" t="s">
        <v>6</v>
      </c>
      <c r="D3733" s="5">
        <f t="shared" si="116"/>
        <v>13.04</v>
      </c>
      <c r="E3733">
        <v>14.32</v>
      </c>
      <c r="F3733" s="1789">
        <v>8.8999999999999996E-2</v>
      </c>
      <c r="G3733">
        <f t="shared" si="117"/>
        <v>13.04</v>
      </c>
    </row>
    <row r="3734" spans="1:7" ht="12.75" customHeight="1">
      <c r="A3734" s="3">
        <v>11577</v>
      </c>
      <c r="B3734" s="4" t="s">
        <v>3756</v>
      </c>
      <c r="C3734" s="3" t="s">
        <v>6</v>
      </c>
      <c r="D3734" s="5">
        <f t="shared" si="116"/>
        <v>12.45</v>
      </c>
      <c r="E3734">
        <v>13.67</v>
      </c>
      <c r="F3734" s="1789">
        <v>8.8999999999999996E-2</v>
      </c>
      <c r="G3734">
        <f t="shared" si="117"/>
        <v>12.45</v>
      </c>
    </row>
    <row r="3735" spans="1:7" ht="12.75" customHeight="1">
      <c r="A3735" s="3">
        <v>42432</v>
      </c>
      <c r="B3735" s="4" t="s">
        <v>3757</v>
      </c>
      <c r="C3735" s="3" t="s">
        <v>6</v>
      </c>
      <c r="D3735" s="5">
        <f t="shared" si="116"/>
        <v>2208.84</v>
      </c>
      <c r="E3735">
        <v>2424.64</v>
      </c>
      <c r="F3735" s="1789">
        <v>8.8999999999999996E-2</v>
      </c>
      <c r="G3735">
        <f t="shared" si="117"/>
        <v>2208.84</v>
      </c>
    </row>
    <row r="3736" spans="1:7" ht="12.75" customHeight="1">
      <c r="A3736" s="3">
        <v>42437</v>
      </c>
      <c r="B3736" s="4" t="s">
        <v>3758</v>
      </c>
      <c r="C3736" s="3" t="s">
        <v>6</v>
      </c>
      <c r="D3736" s="5">
        <f t="shared" si="116"/>
        <v>1679.31</v>
      </c>
      <c r="E3736">
        <v>1843.37</v>
      </c>
      <c r="F3736" s="1789">
        <v>8.8999999999999996E-2</v>
      </c>
      <c r="G3736">
        <f t="shared" si="117"/>
        <v>1679.31</v>
      </c>
    </row>
    <row r="3737" spans="1:7" ht="12.75" customHeight="1">
      <c r="A3737" s="3">
        <v>1116</v>
      </c>
      <c r="B3737" s="4" t="s">
        <v>3759</v>
      </c>
      <c r="C3737" s="3" t="s">
        <v>50</v>
      </c>
      <c r="D3737" s="5">
        <f t="shared" si="116"/>
        <v>23.58</v>
      </c>
      <c r="E3737">
        <v>25.89</v>
      </c>
      <c r="F3737" s="1789">
        <v>8.8999999999999996E-2</v>
      </c>
      <c r="G3737">
        <f t="shared" si="117"/>
        <v>23.58</v>
      </c>
    </row>
    <row r="3738" spans="1:7" ht="12.75" customHeight="1">
      <c r="A3738" s="3">
        <v>1115</v>
      </c>
      <c r="B3738" s="4" t="s">
        <v>3760</v>
      </c>
      <c r="C3738" s="3" t="s">
        <v>50</v>
      </c>
      <c r="D3738" s="5">
        <f t="shared" si="116"/>
        <v>28.25</v>
      </c>
      <c r="E3738">
        <v>31.02</v>
      </c>
      <c r="F3738" s="1789">
        <v>8.8999999999999996E-2</v>
      </c>
      <c r="G3738">
        <f t="shared" si="117"/>
        <v>28.25</v>
      </c>
    </row>
    <row r="3739" spans="1:7" ht="12.75" customHeight="1">
      <c r="A3739" s="3">
        <v>1113</v>
      </c>
      <c r="B3739" s="4" t="s">
        <v>3761</v>
      </c>
      <c r="C3739" s="3" t="s">
        <v>50</v>
      </c>
      <c r="D3739" s="5">
        <f t="shared" si="116"/>
        <v>33.04</v>
      </c>
      <c r="E3739">
        <v>36.270000000000003</v>
      </c>
      <c r="F3739" s="1789">
        <v>8.8999999999999996E-2</v>
      </c>
      <c r="G3739">
        <f t="shared" si="117"/>
        <v>33.04</v>
      </c>
    </row>
    <row r="3740" spans="1:7" ht="12.75" customHeight="1">
      <c r="A3740" s="3">
        <v>1114</v>
      </c>
      <c r="B3740" s="4" t="s">
        <v>3762</v>
      </c>
      <c r="C3740" s="3" t="s">
        <v>50</v>
      </c>
      <c r="D3740" s="5">
        <f t="shared" si="116"/>
        <v>39.35</v>
      </c>
      <c r="E3740">
        <v>43.2</v>
      </c>
      <c r="F3740" s="1789">
        <v>8.8999999999999996E-2</v>
      </c>
      <c r="G3740">
        <f t="shared" si="117"/>
        <v>39.35</v>
      </c>
    </row>
    <row r="3741" spans="1:7" ht="12.75" customHeight="1">
      <c r="A3741" s="3">
        <v>40873</v>
      </c>
      <c r="B3741" s="4" t="s">
        <v>3763</v>
      </c>
      <c r="C3741" s="3" t="s">
        <v>50</v>
      </c>
      <c r="D3741" s="5">
        <f t="shared" si="116"/>
        <v>30.8</v>
      </c>
      <c r="E3741">
        <v>33.81</v>
      </c>
      <c r="F3741" s="1789">
        <v>8.8999999999999996E-2</v>
      </c>
      <c r="G3741">
        <f t="shared" si="117"/>
        <v>30.8</v>
      </c>
    </row>
    <row r="3742" spans="1:7" ht="12.75" customHeight="1">
      <c r="A3742" s="3">
        <v>20214</v>
      </c>
      <c r="B3742" s="4" t="s">
        <v>3764</v>
      </c>
      <c r="C3742" s="3" t="s">
        <v>6</v>
      </c>
      <c r="D3742" s="5">
        <f t="shared" si="116"/>
        <v>51.27</v>
      </c>
      <c r="E3742">
        <v>56.28</v>
      </c>
      <c r="F3742" s="1789">
        <v>8.8999999999999996E-2</v>
      </c>
      <c r="G3742">
        <f t="shared" si="117"/>
        <v>51.27</v>
      </c>
    </row>
    <row r="3743" spans="1:7" ht="12.75" customHeight="1">
      <c r="A3743" s="3">
        <v>7237</v>
      </c>
      <c r="B3743" s="4" t="s">
        <v>3765</v>
      </c>
      <c r="C3743" s="3" t="s">
        <v>6</v>
      </c>
      <c r="D3743" s="5">
        <f t="shared" si="116"/>
        <v>50.19</v>
      </c>
      <c r="E3743">
        <v>55.1</v>
      </c>
      <c r="F3743" s="1789">
        <v>8.8999999999999996E-2</v>
      </c>
      <c r="G3743">
        <f t="shared" si="117"/>
        <v>50.19</v>
      </c>
    </row>
    <row r="3744" spans="1:7" ht="12.75" customHeight="1">
      <c r="A3744" s="3">
        <v>11757</v>
      </c>
      <c r="B3744" s="4" t="s">
        <v>3766</v>
      </c>
      <c r="C3744" s="3" t="s">
        <v>6</v>
      </c>
      <c r="D3744" s="5">
        <f t="shared" si="116"/>
        <v>26.72</v>
      </c>
      <c r="E3744">
        <v>29.34</v>
      </c>
      <c r="F3744" s="1789">
        <v>8.8999999999999996E-2</v>
      </c>
      <c r="G3744">
        <f t="shared" si="117"/>
        <v>26.72</v>
      </c>
    </row>
    <row r="3745" spans="1:7" ht="12.75" customHeight="1">
      <c r="A3745" s="3">
        <v>11758</v>
      </c>
      <c r="B3745" s="4" t="s">
        <v>3767</v>
      </c>
      <c r="C3745" s="3" t="s">
        <v>6</v>
      </c>
      <c r="D3745" s="5">
        <f t="shared" si="116"/>
        <v>43.71</v>
      </c>
      <c r="E3745">
        <v>47.99</v>
      </c>
      <c r="F3745" s="1789">
        <v>8.8999999999999996E-2</v>
      </c>
      <c r="G3745">
        <f t="shared" si="117"/>
        <v>43.71</v>
      </c>
    </row>
    <row r="3746" spans="1:7" ht="12.75" customHeight="1">
      <c r="A3746" s="3">
        <v>37526</v>
      </c>
      <c r="B3746" s="4" t="s">
        <v>3768</v>
      </c>
      <c r="C3746" s="3" t="s">
        <v>6</v>
      </c>
      <c r="D3746" s="5">
        <f t="shared" si="116"/>
        <v>3.63</v>
      </c>
      <c r="E3746">
        <v>3.99</v>
      </c>
      <c r="F3746" s="1789">
        <v>8.8999999999999996E-2</v>
      </c>
      <c r="G3746">
        <f t="shared" si="117"/>
        <v>3.63</v>
      </c>
    </row>
    <row r="3747" spans="1:7" ht="12.75" customHeight="1">
      <c r="A3747" s="3">
        <v>6076</v>
      </c>
      <c r="B3747" s="4" t="s">
        <v>3769</v>
      </c>
      <c r="C3747" s="3" t="s">
        <v>152</v>
      </c>
      <c r="D3747" s="5">
        <f t="shared" si="116"/>
        <v>60.58</v>
      </c>
      <c r="E3747">
        <v>66.5</v>
      </c>
      <c r="F3747" s="1789">
        <v>8.8999999999999996E-2</v>
      </c>
      <c r="G3747">
        <f t="shared" si="117"/>
        <v>60.58</v>
      </c>
    </row>
    <row r="3748" spans="1:7" ht="12.75" customHeight="1">
      <c r="A3748" s="3">
        <v>13109</v>
      </c>
      <c r="B3748" s="4" t="s">
        <v>3770</v>
      </c>
      <c r="C3748" s="3" t="s">
        <v>6</v>
      </c>
      <c r="D3748" s="5">
        <f t="shared" si="116"/>
        <v>246.81</v>
      </c>
      <c r="E3748">
        <v>270.93</v>
      </c>
      <c r="F3748" s="1789">
        <v>8.8999999999999996E-2</v>
      </c>
      <c r="G3748">
        <f t="shared" si="117"/>
        <v>246.81</v>
      </c>
    </row>
    <row r="3749" spans="1:7" ht="12.75" customHeight="1">
      <c r="A3749" s="3">
        <v>13110</v>
      </c>
      <c r="B3749" s="4" t="s">
        <v>3771</v>
      </c>
      <c r="C3749" s="3" t="s">
        <v>6</v>
      </c>
      <c r="D3749" s="5">
        <f t="shared" si="116"/>
        <v>324.82</v>
      </c>
      <c r="E3749">
        <v>356.56</v>
      </c>
      <c r="F3749" s="1789">
        <v>8.8999999999999996E-2</v>
      </c>
      <c r="G3749">
        <f t="shared" si="117"/>
        <v>324.82</v>
      </c>
    </row>
    <row r="3750" spans="1:7" ht="12.75" customHeight="1">
      <c r="A3750" s="3">
        <v>7581</v>
      </c>
      <c r="B3750" s="4" t="s">
        <v>3772</v>
      </c>
      <c r="C3750" s="3" t="s">
        <v>6</v>
      </c>
      <c r="D3750" s="5">
        <f t="shared" si="116"/>
        <v>4.8099999999999996</v>
      </c>
      <c r="E3750">
        <v>5.28</v>
      </c>
      <c r="F3750" s="1789">
        <v>8.8999999999999996E-2</v>
      </c>
      <c r="G3750">
        <f t="shared" si="117"/>
        <v>4.8099999999999996</v>
      </c>
    </row>
    <row r="3751" spans="1:7" ht="12.75" customHeight="1">
      <c r="A3751" s="3">
        <v>4509</v>
      </c>
      <c r="B3751" s="4" t="s">
        <v>3773</v>
      </c>
      <c r="C3751" s="3" t="s">
        <v>50</v>
      </c>
      <c r="D3751" s="5">
        <f t="shared" si="116"/>
        <v>5.32</v>
      </c>
      <c r="E3751">
        <v>5.85</v>
      </c>
      <c r="F3751" s="1789">
        <v>8.8999999999999996E-2</v>
      </c>
      <c r="G3751">
        <f t="shared" si="117"/>
        <v>5.32</v>
      </c>
    </row>
    <row r="3752" spans="1:7" ht="12.75" customHeight="1">
      <c r="A3752" s="3">
        <v>4512</v>
      </c>
      <c r="B3752" s="4" t="s">
        <v>3774</v>
      </c>
      <c r="C3752" s="3" t="s">
        <v>50</v>
      </c>
      <c r="D3752" s="5">
        <f t="shared" si="116"/>
        <v>2.54</v>
      </c>
      <c r="E3752">
        <v>2.79</v>
      </c>
      <c r="F3752" s="1789">
        <v>8.8999999999999996E-2</v>
      </c>
      <c r="G3752">
        <f t="shared" si="117"/>
        <v>2.54</v>
      </c>
    </row>
    <row r="3753" spans="1:7" ht="12.75" customHeight="1">
      <c r="A3753" s="3">
        <v>4517</v>
      </c>
      <c r="B3753" s="4" t="s">
        <v>3775</v>
      </c>
      <c r="C3753" s="3" t="s">
        <v>50</v>
      </c>
      <c r="D3753" s="5">
        <f t="shared" si="116"/>
        <v>3.67</v>
      </c>
      <c r="E3753">
        <v>4.03</v>
      </c>
      <c r="F3753" s="1789">
        <v>8.8999999999999996E-2</v>
      </c>
      <c r="G3753">
        <f t="shared" si="117"/>
        <v>3.67</v>
      </c>
    </row>
    <row r="3754" spans="1:7" ht="12.75" customHeight="1">
      <c r="A3754" s="3">
        <v>20206</v>
      </c>
      <c r="B3754" s="4" t="s">
        <v>3776</v>
      </c>
      <c r="C3754" s="3" t="s">
        <v>50</v>
      </c>
      <c r="D3754" s="5">
        <f t="shared" si="116"/>
        <v>7.38</v>
      </c>
      <c r="E3754">
        <v>8.11</v>
      </c>
      <c r="F3754" s="1789">
        <v>8.8999999999999996E-2</v>
      </c>
      <c r="G3754">
        <f t="shared" si="117"/>
        <v>7.38</v>
      </c>
    </row>
    <row r="3755" spans="1:7" ht="12.75" customHeight="1">
      <c r="A3755" s="3">
        <v>4460</v>
      </c>
      <c r="B3755" s="4" t="s">
        <v>3777</v>
      </c>
      <c r="C3755" s="3" t="s">
        <v>50</v>
      </c>
      <c r="D3755" s="5">
        <f t="shared" si="116"/>
        <v>7.57</v>
      </c>
      <c r="E3755">
        <v>8.32</v>
      </c>
      <c r="F3755" s="1789">
        <v>8.8999999999999996E-2</v>
      </c>
      <c r="G3755">
        <f t="shared" si="117"/>
        <v>7.57</v>
      </c>
    </row>
    <row r="3756" spans="1:7" ht="12.75" customHeight="1">
      <c r="A3756" s="3">
        <v>4415</v>
      </c>
      <c r="B3756" s="4" t="s">
        <v>3778</v>
      </c>
      <c r="C3756" s="3" t="s">
        <v>50</v>
      </c>
      <c r="D3756" s="5">
        <f t="shared" si="116"/>
        <v>4.0599999999999996</v>
      </c>
      <c r="E3756">
        <v>4.46</v>
      </c>
      <c r="F3756" s="1789">
        <v>8.8999999999999996E-2</v>
      </c>
      <c r="G3756">
        <f t="shared" si="117"/>
        <v>4.0599999999999996</v>
      </c>
    </row>
    <row r="3757" spans="1:7" ht="12.75" customHeight="1">
      <c r="A3757" s="3">
        <v>4417</v>
      </c>
      <c r="B3757" s="4" t="s">
        <v>3779</v>
      </c>
      <c r="C3757" s="3" t="s">
        <v>50</v>
      </c>
      <c r="D3757" s="5">
        <f t="shared" si="116"/>
        <v>5.84</v>
      </c>
      <c r="E3757">
        <v>6.42</v>
      </c>
      <c r="F3757" s="1789">
        <v>8.8999999999999996E-2</v>
      </c>
      <c r="G3757">
        <f t="shared" si="117"/>
        <v>5.84</v>
      </c>
    </row>
    <row r="3758" spans="1:7" ht="12.75" customHeight="1">
      <c r="A3758" s="3">
        <v>37373</v>
      </c>
      <c r="B3758" s="4" t="s">
        <v>3780</v>
      </c>
      <c r="C3758" s="3" t="s">
        <v>154</v>
      </c>
      <c r="D3758" s="5">
        <f t="shared" si="116"/>
        <v>0.03</v>
      </c>
      <c r="E3758">
        <v>0.04</v>
      </c>
      <c r="F3758" s="1789">
        <v>8.8999999999999996E-2</v>
      </c>
      <c r="G3758">
        <f t="shared" si="117"/>
        <v>0.03</v>
      </c>
    </row>
    <row r="3759" spans="1:7" ht="12.75" customHeight="1">
      <c r="A3759" s="3">
        <v>40864</v>
      </c>
      <c r="B3759" s="4" t="s">
        <v>3781</v>
      </c>
      <c r="C3759" s="3" t="s">
        <v>156</v>
      </c>
      <c r="D3759" s="5">
        <f t="shared" si="116"/>
        <v>6.65</v>
      </c>
      <c r="E3759">
        <v>7.31</v>
      </c>
      <c r="F3759" s="1789">
        <v>8.8999999999999996E-2</v>
      </c>
      <c r="G3759">
        <f t="shared" si="117"/>
        <v>6.65</v>
      </c>
    </row>
    <row r="3760" spans="1:7" ht="12.75" customHeight="1">
      <c r="A3760" s="3">
        <v>4734</v>
      </c>
      <c r="B3760" s="4" t="s">
        <v>3782</v>
      </c>
      <c r="C3760" s="3" t="s">
        <v>152</v>
      </c>
      <c r="D3760" s="5">
        <f t="shared" si="116"/>
        <v>446.85</v>
      </c>
      <c r="E3760">
        <v>490.51</v>
      </c>
      <c r="F3760" s="1789">
        <v>8.8999999999999996E-2</v>
      </c>
      <c r="G3760">
        <f t="shared" si="117"/>
        <v>446.85</v>
      </c>
    </row>
    <row r="3761" spans="1:7" ht="12.75" customHeight="1">
      <c r="A3761" s="3">
        <v>6085</v>
      </c>
      <c r="B3761" s="4" t="s">
        <v>3783</v>
      </c>
      <c r="C3761" s="3" t="s">
        <v>56</v>
      </c>
      <c r="D3761" s="5">
        <f t="shared" si="116"/>
        <v>5.39</v>
      </c>
      <c r="E3761">
        <v>5.92</v>
      </c>
      <c r="F3761" s="1789">
        <v>8.8999999999999996E-2</v>
      </c>
      <c r="G3761">
        <f t="shared" si="117"/>
        <v>5.39</v>
      </c>
    </row>
    <row r="3762" spans="1:7" ht="12.75" customHeight="1">
      <c r="A3762" s="3">
        <v>38396</v>
      </c>
      <c r="B3762" s="4" t="s">
        <v>3784</v>
      </c>
      <c r="C3762" s="3" t="s">
        <v>6</v>
      </c>
      <c r="D3762" s="5">
        <f t="shared" si="116"/>
        <v>582.58000000000004</v>
      </c>
      <c r="E3762">
        <v>639.5</v>
      </c>
      <c r="F3762" s="1789">
        <v>8.8999999999999996E-2</v>
      </c>
      <c r="G3762">
        <f t="shared" si="117"/>
        <v>582.58000000000004</v>
      </c>
    </row>
    <row r="3763" spans="1:7" ht="12.75" customHeight="1">
      <c r="A3763" s="3">
        <v>11622</v>
      </c>
      <c r="B3763" s="4" t="s">
        <v>3785</v>
      </c>
      <c r="C3763" s="3" t="s">
        <v>54</v>
      </c>
      <c r="D3763" s="5">
        <f t="shared" si="116"/>
        <v>72.489999999999995</v>
      </c>
      <c r="E3763">
        <v>79.58</v>
      </c>
      <c r="F3763" s="1789">
        <v>8.8999999999999996E-2</v>
      </c>
      <c r="G3763">
        <f t="shared" si="117"/>
        <v>72.489999999999995</v>
      </c>
    </row>
    <row r="3764" spans="1:7" ht="12.75" customHeight="1">
      <c r="A3764" s="3">
        <v>43143</v>
      </c>
      <c r="B3764" s="4" t="s">
        <v>3786</v>
      </c>
      <c r="C3764" s="3" t="s">
        <v>56</v>
      </c>
      <c r="D3764" s="5">
        <f t="shared" si="116"/>
        <v>27.38</v>
      </c>
      <c r="E3764">
        <v>30.06</v>
      </c>
      <c r="F3764" s="1789">
        <v>8.8999999999999996E-2</v>
      </c>
      <c r="G3764">
        <f t="shared" si="117"/>
        <v>27.38</v>
      </c>
    </row>
    <row r="3765" spans="1:7" ht="12.75" customHeight="1">
      <c r="A3765" s="3">
        <v>7317</v>
      </c>
      <c r="B3765" s="4" t="s">
        <v>3787</v>
      </c>
      <c r="C3765" s="3" t="s">
        <v>54</v>
      </c>
      <c r="D3765" s="5">
        <f t="shared" si="116"/>
        <v>39.31</v>
      </c>
      <c r="E3765">
        <v>43.16</v>
      </c>
      <c r="F3765" s="1789">
        <v>8.8999999999999996E-2</v>
      </c>
      <c r="G3765">
        <f t="shared" si="117"/>
        <v>39.31</v>
      </c>
    </row>
    <row r="3766" spans="1:7" ht="12.75" customHeight="1">
      <c r="A3766" s="3">
        <v>142</v>
      </c>
      <c r="B3766" s="4" t="s">
        <v>3788</v>
      </c>
      <c r="C3766" s="3" t="s">
        <v>3789</v>
      </c>
      <c r="D3766" s="5">
        <f t="shared" si="116"/>
        <v>34.200000000000003</v>
      </c>
      <c r="E3766">
        <v>37.549999999999997</v>
      </c>
      <c r="F3766" s="1789">
        <v>8.8999999999999996E-2</v>
      </c>
      <c r="G3766">
        <f t="shared" si="117"/>
        <v>34.200000000000003</v>
      </c>
    </row>
    <row r="3767" spans="1:7" ht="12.75" customHeight="1">
      <c r="A3767" s="3">
        <v>43142</v>
      </c>
      <c r="B3767" s="4" t="s">
        <v>3790</v>
      </c>
      <c r="C3767" s="3" t="s">
        <v>56</v>
      </c>
      <c r="D3767" s="5">
        <f t="shared" si="116"/>
        <v>155.38</v>
      </c>
      <c r="E3767">
        <v>170.57</v>
      </c>
      <c r="F3767" s="1789">
        <v>8.8999999999999996E-2</v>
      </c>
      <c r="G3767">
        <f t="shared" si="117"/>
        <v>155.38</v>
      </c>
    </row>
    <row r="3768" spans="1:7" ht="12.75" customHeight="1">
      <c r="A3768" s="3">
        <v>38123</v>
      </c>
      <c r="B3768" s="4" t="s">
        <v>3791</v>
      </c>
      <c r="C3768" s="3" t="s">
        <v>54</v>
      </c>
      <c r="D3768" s="5">
        <f t="shared" si="116"/>
        <v>34.08</v>
      </c>
      <c r="E3768">
        <v>37.42</v>
      </c>
      <c r="F3768" s="1789">
        <v>8.8999999999999996E-2</v>
      </c>
      <c r="G3768">
        <f t="shared" si="117"/>
        <v>34.08</v>
      </c>
    </row>
    <row r="3769" spans="1:7" ht="12.75" customHeight="1">
      <c r="A3769" s="3">
        <v>42699</v>
      </c>
      <c r="B3769" s="4" t="s">
        <v>3792</v>
      </c>
      <c r="C3769" s="3" t="s">
        <v>6</v>
      </c>
      <c r="D3769" s="5">
        <f t="shared" si="116"/>
        <v>27.34</v>
      </c>
      <c r="E3769">
        <v>30.02</v>
      </c>
      <c r="F3769" s="1789">
        <v>8.8999999999999996E-2</v>
      </c>
      <c r="G3769">
        <f t="shared" si="117"/>
        <v>27.34</v>
      </c>
    </row>
    <row r="3770" spans="1:7" ht="12.75" customHeight="1">
      <c r="A3770" s="3">
        <v>37743</v>
      </c>
      <c r="B3770" s="4" t="s">
        <v>3793</v>
      </c>
      <c r="C3770" s="3" t="s">
        <v>6</v>
      </c>
      <c r="D3770" s="5">
        <f t="shared" si="116"/>
        <v>213373.3</v>
      </c>
      <c r="E3770">
        <v>234218.78</v>
      </c>
      <c r="F3770" s="1789">
        <v>8.8999999999999996E-2</v>
      </c>
      <c r="G3770">
        <f t="shared" si="117"/>
        <v>213373.3</v>
      </c>
    </row>
    <row r="3771" spans="1:7" ht="12.75" customHeight="1">
      <c r="A3771" s="3">
        <v>37744</v>
      </c>
      <c r="B3771" s="4" t="s">
        <v>3794</v>
      </c>
      <c r="C3771" s="3" t="s">
        <v>6</v>
      </c>
      <c r="D3771" s="5">
        <f t="shared" si="116"/>
        <v>250886.87</v>
      </c>
      <c r="E3771">
        <v>275397.23</v>
      </c>
      <c r="F3771" s="1789">
        <v>8.8999999999999996E-2</v>
      </c>
      <c r="G3771">
        <f t="shared" si="117"/>
        <v>250886.87</v>
      </c>
    </row>
    <row r="3772" spans="1:7" ht="12.75" customHeight="1">
      <c r="A3772" s="3">
        <v>37741</v>
      </c>
      <c r="B3772" s="4" t="s">
        <v>3795</v>
      </c>
      <c r="C3772" s="3" t="s">
        <v>6</v>
      </c>
      <c r="D3772" s="5">
        <f t="shared" si="116"/>
        <v>194019.17</v>
      </c>
      <c r="E3772">
        <v>212973.85</v>
      </c>
      <c r="F3772" s="1789">
        <v>8.8999999999999996E-2</v>
      </c>
      <c r="G3772">
        <f t="shared" si="117"/>
        <v>194019.17</v>
      </c>
    </row>
    <row r="3773" spans="1:7" ht="12.75" customHeight="1">
      <c r="A3773" s="3">
        <v>39396</v>
      </c>
      <c r="B3773" s="4" t="s">
        <v>3796</v>
      </c>
      <c r="C3773" s="3" t="s">
        <v>6</v>
      </c>
      <c r="D3773" s="5">
        <f t="shared" si="116"/>
        <v>69.709999999999994</v>
      </c>
      <c r="E3773">
        <v>76.53</v>
      </c>
      <c r="F3773" s="1789">
        <v>8.8999999999999996E-2</v>
      </c>
      <c r="G3773">
        <f t="shared" si="117"/>
        <v>69.709999999999994</v>
      </c>
    </row>
    <row r="3774" spans="1:7" ht="12.75" customHeight="1">
      <c r="A3774" s="3">
        <v>39392</v>
      </c>
      <c r="B3774" s="4" t="s">
        <v>3797</v>
      </c>
      <c r="C3774" s="3" t="s">
        <v>6</v>
      </c>
      <c r="D3774" s="5">
        <f t="shared" si="116"/>
        <v>78.64</v>
      </c>
      <c r="E3774">
        <v>86.33</v>
      </c>
      <c r="F3774" s="1789">
        <v>8.8999999999999996E-2</v>
      </c>
      <c r="G3774">
        <f t="shared" si="117"/>
        <v>78.64</v>
      </c>
    </row>
    <row r="3775" spans="1:7" ht="12.75" customHeight="1">
      <c r="A3775" s="3">
        <v>39393</v>
      </c>
      <c r="B3775" s="4" t="s">
        <v>3798</v>
      </c>
      <c r="C3775" s="3" t="s">
        <v>6</v>
      </c>
      <c r="D3775" s="5">
        <f t="shared" si="116"/>
        <v>48.63</v>
      </c>
      <c r="E3775">
        <v>53.39</v>
      </c>
      <c r="F3775" s="1789">
        <v>8.8999999999999996E-2</v>
      </c>
      <c r="G3775">
        <f t="shared" si="117"/>
        <v>48.63</v>
      </c>
    </row>
    <row r="3776" spans="1:7" ht="12.75" customHeight="1">
      <c r="A3776" s="3">
        <v>39394</v>
      </c>
      <c r="B3776" s="4" t="s">
        <v>3799</v>
      </c>
      <c r="C3776" s="3" t="s">
        <v>6</v>
      </c>
      <c r="D3776" s="5">
        <f t="shared" si="116"/>
        <v>54.74</v>
      </c>
      <c r="E3776">
        <v>60.09</v>
      </c>
      <c r="F3776" s="1789">
        <v>8.8999999999999996E-2</v>
      </c>
      <c r="G3776">
        <f t="shared" si="117"/>
        <v>54.74</v>
      </c>
    </row>
    <row r="3777" spans="1:7" ht="12.75" customHeight="1">
      <c r="A3777" s="3">
        <v>39395</v>
      </c>
      <c r="B3777" s="4" t="s">
        <v>3800</v>
      </c>
      <c r="C3777" s="3" t="s">
        <v>6</v>
      </c>
      <c r="D3777" s="5">
        <f t="shared" si="116"/>
        <v>50.9</v>
      </c>
      <c r="E3777">
        <v>55.88</v>
      </c>
      <c r="F3777" s="1789">
        <v>8.8999999999999996E-2</v>
      </c>
      <c r="G3777">
        <f t="shared" si="117"/>
        <v>50.9</v>
      </c>
    </row>
    <row r="3778" spans="1:7" ht="12.75" customHeight="1">
      <c r="A3778" s="3">
        <v>14618</v>
      </c>
      <c r="B3778" s="4" t="s">
        <v>3801</v>
      </c>
      <c r="C3778" s="3" t="s">
        <v>6</v>
      </c>
      <c r="D3778" s="5">
        <f t="shared" si="116"/>
        <v>1439.34</v>
      </c>
      <c r="E3778">
        <v>1579.96</v>
      </c>
      <c r="F3778" s="1789">
        <v>8.8999999999999996E-2</v>
      </c>
      <c r="G3778">
        <f t="shared" si="117"/>
        <v>1439.34</v>
      </c>
    </row>
    <row r="3779" spans="1:7" ht="12.75" customHeight="1">
      <c r="A3779" s="3">
        <v>40269</v>
      </c>
      <c r="B3779" s="4" t="s">
        <v>3802</v>
      </c>
      <c r="C3779" s="3" t="s">
        <v>6</v>
      </c>
      <c r="D3779" s="5">
        <f t="shared" ref="D3779:D3842" si="118">G3779</f>
        <v>5799.01</v>
      </c>
      <c r="E3779">
        <v>6365.55</v>
      </c>
      <c r="F3779" s="1789">
        <v>8.8999999999999996E-2</v>
      </c>
      <c r="G3779">
        <f t="shared" ref="G3779:G3842" si="119">TRUNC((1-F3779)*E3779,2)</f>
        <v>5799.01</v>
      </c>
    </row>
    <row r="3780" spans="1:7" ht="12.75" customHeight="1">
      <c r="A3780" s="3">
        <v>6110</v>
      </c>
      <c r="B3780" s="4" t="s">
        <v>3803</v>
      </c>
      <c r="C3780" s="3" t="s">
        <v>154</v>
      </c>
      <c r="D3780" s="5">
        <f t="shared" si="118"/>
        <v>18.02</v>
      </c>
      <c r="E3780">
        <v>19.79</v>
      </c>
      <c r="F3780" s="1789">
        <v>8.8999999999999996E-2</v>
      </c>
      <c r="G3780">
        <f t="shared" si="119"/>
        <v>18.02</v>
      </c>
    </row>
    <row r="3781" spans="1:7" ht="12.75" customHeight="1">
      <c r="A3781" s="3">
        <v>40910</v>
      </c>
      <c r="B3781" s="4" t="s">
        <v>3804</v>
      </c>
      <c r="C3781" s="3" t="s">
        <v>156</v>
      </c>
      <c r="D3781" s="5">
        <f t="shared" si="118"/>
        <v>3172.4</v>
      </c>
      <c r="E3781">
        <v>3482.33</v>
      </c>
      <c r="F3781" s="1789">
        <v>8.8999999999999996E-2</v>
      </c>
      <c r="G3781">
        <f t="shared" si="119"/>
        <v>3172.4</v>
      </c>
    </row>
    <row r="3782" spans="1:7" ht="12.75" customHeight="1">
      <c r="A3782" s="3">
        <v>6111</v>
      </c>
      <c r="B3782" s="4" t="s">
        <v>3805</v>
      </c>
      <c r="C3782" s="3" t="s">
        <v>154</v>
      </c>
      <c r="D3782" s="5">
        <f t="shared" si="118"/>
        <v>13.42</v>
      </c>
      <c r="E3782">
        <v>14.74</v>
      </c>
      <c r="F3782" s="1789">
        <v>8.8999999999999996E-2</v>
      </c>
      <c r="G3782">
        <f t="shared" si="119"/>
        <v>13.42</v>
      </c>
    </row>
    <row r="3783" spans="1:7" ht="12.75" customHeight="1">
      <c r="A3783" s="3">
        <v>41084</v>
      </c>
      <c r="B3783" s="4" t="s">
        <v>3806</v>
      </c>
      <c r="C3783" s="3" t="s">
        <v>156</v>
      </c>
      <c r="D3783" s="5">
        <f t="shared" si="118"/>
        <v>2363.5500000000002</v>
      </c>
      <c r="E3783">
        <v>2594.46</v>
      </c>
      <c r="F3783" s="1789">
        <v>8.8999999999999996E-2</v>
      </c>
      <c r="G3783">
        <f t="shared" si="119"/>
        <v>2363.5500000000002</v>
      </c>
    </row>
    <row r="3784" spans="1:7" ht="12.75" customHeight="1">
      <c r="A3784" s="3">
        <v>44535</v>
      </c>
      <c r="B3784" s="4" t="s">
        <v>3807</v>
      </c>
      <c r="C3784" s="3" t="s">
        <v>152</v>
      </c>
      <c r="D3784" s="5">
        <f t="shared" si="118"/>
        <v>63.22</v>
      </c>
      <c r="E3784">
        <v>69.400000000000006</v>
      </c>
      <c r="F3784" s="1789">
        <v>8.8999999999999996E-2</v>
      </c>
      <c r="G3784">
        <f t="shared" si="119"/>
        <v>63.22</v>
      </c>
    </row>
    <row r="3785" spans="1:7" ht="12.75" customHeight="1">
      <c r="A3785" s="3">
        <v>44945</v>
      </c>
      <c r="B3785" s="4" t="s">
        <v>3808</v>
      </c>
      <c r="C3785" s="3" t="s">
        <v>6</v>
      </c>
      <c r="D3785" s="5">
        <f t="shared" si="118"/>
        <v>10.47</v>
      </c>
      <c r="E3785">
        <v>11.5</v>
      </c>
      <c r="F3785" s="1789">
        <v>8.8999999999999996E-2</v>
      </c>
      <c r="G3785">
        <f t="shared" si="119"/>
        <v>10.47</v>
      </c>
    </row>
    <row r="3786" spans="1:7" ht="12.75" customHeight="1">
      <c r="A3786" s="3">
        <v>38637</v>
      </c>
      <c r="B3786" s="4" t="s">
        <v>3809</v>
      </c>
      <c r="C3786" s="3" t="s">
        <v>6</v>
      </c>
      <c r="D3786" s="5">
        <f t="shared" si="118"/>
        <v>247.3</v>
      </c>
      <c r="E3786">
        <v>271.47000000000003</v>
      </c>
      <c r="F3786" s="1789">
        <v>8.8999999999999996E-2</v>
      </c>
      <c r="G3786">
        <f t="shared" si="119"/>
        <v>247.3</v>
      </c>
    </row>
    <row r="3787" spans="1:7" ht="12.75" customHeight="1">
      <c r="A3787" s="3">
        <v>6150</v>
      </c>
      <c r="B3787" s="4" t="s">
        <v>3810</v>
      </c>
      <c r="C3787" s="3" t="s">
        <v>6</v>
      </c>
      <c r="D3787" s="5">
        <f t="shared" si="118"/>
        <v>250.33</v>
      </c>
      <c r="E3787">
        <v>274.79000000000002</v>
      </c>
      <c r="F3787" s="1789">
        <v>8.8999999999999996E-2</v>
      </c>
      <c r="G3787">
        <f t="shared" si="119"/>
        <v>250.33</v>
      </c>
    </row>
    <row r="3788" spans="1:7" ht="12.75" customHeight="1">
      <c r="A3788" s="3">
        <v>6136</v>
      </c>
      <c r="B3788" s="4" t="s">
        <v>3811</v>
      </c>
      <c r="C3788" s="3" t="s">
        <v>6</v>
      </c>
      <c r="D3788" s="5">
        <f t="shared" si="118"/>
        <v>196.77</v>
      </c>
      <c r="E3788">
        <v>216</v>
      </c>
      <c r="F3788" s="1789">
        <v>8.8999999999999996E-2</v>
      </c>
      <c r="G3788">
        <f t="shared" si="119"/>
        <v>196.77</v>
      </c>
    </row>
    <row r="3789" spans="1:7" ht="12.75" customHeight="1">
      <c r="A3789" s="3">
        <v>38638</v>
      </c>
      <c r="B3789" s="4" t="s">
        <v>3812</v>
      </c>
      <c r="C3789" s="3" t="s">
        <v>6</v>
      </c>
      <c r="D3789" s="5">
        <f t="shared" si="118"/>
        <v>208.4</v>
      </c>
      <c r="E3789">
        <v>228.76</v>
      </c>
      <c r="F3789" s="1789">
        <v>8.8999999999999996E-2</v>
      </c>
      <c r="G3789">
        <f t="shared" si="119"/>
        <v>208.4</v>
      </c>
    </row>
    <row r="3790" spans="1:7" ht="12.75" customHeight="1">
      <c r="A3790" s="3">
        <v>20262</v>
      </c>
      <c r="B3790" s="4" t="s">
        <v>3813</v>
      </c>
      <c r="C3790" s="3" t="s">
        <v>6</v>
      </c>
      <c r="D3790" s="5">
        <f t="shared" si="118"/>
        <v>19.18</v>
      </c>
      <c r="E3790">
        <v>21.06</v>
      </c>
      <c r="F3790" s="1789">
        <v>8.8999999999999996E-2</v>
      </c>
      <c r="G3790">
        <f t="shared" si="119"/>
        <v>19.18</v>
      </c>
    </row>
    <row r="3791" spans="1:7" ht="12.75" customHeight="1">
      <c r="A3791" s="3">
        <v>6145</v>
      </c>
      <c r="B3791" s="4" t="s">
        <v>3814</v>
      </c>
      <c r="C3791" s="3" t="s">
        <v>6</v>
      </c>
      <c r="D3791" s="5">
        <f t="shared" si="118"/>
        <v>21.19</v>
      </c>
      <c r="E3791">
        <v>23.27</v>
      </c>
      <c r="F3791" s="1789">
        <v>8.8999999999999996E-2</v>
      </c>
      <c r="G3791">
        <f t="shared" si="119"/>
        <v>21.19</v>
      </c>
    </row>
    <row r="3792" spans="1:7" ht="12.75" customHeight="1">
      <c r="A3792" s="3">
        <v>6149</v>
      </c>
      <c r="B3792" s="4" t="s">
        <v>3815</v>
      </c>
      <c r="C3792" s="3" t="s">
        <v>6</v>
      </c>
      <c r="D3792" s="5">
        <f t="shared" si="118"/>
        <v>14.01</v>
      </c>
      <c r="E3792">
        <v>15.38</v>
      </c>
      <c r="F3792" s="1789">
        <v>8.8999999999999996E-2</v>
      </c>
      <c r="G3792">
        <f t="shared" si="119"/>
        <v>14.01</v>
      </c>
    </row>
    <row r="3793" spans="1:7" ht="12.75" customHeight="1">
      <c r="A3793" s="3">
        <v>6146</v>
      </c>
      <c r="B3793" s="4" t="s">
        <v>3816</v>
      </c>
      <c r="C3793" s="3" t="s">
        <v>6</v>
      </c>
      <c r="D3793" s="5">
        <f t="shared" si="118"/>
        <v>20.14</v>
      </c>
      <c r="E3793">
        <v>22.11</v>
      </c>
      <c r="F3793" s="1789">
        <v>8.8999999999999996E-2</v>
      </c>
      <c r="G3793">
        <f t="shared" si="119"/>
        <v>20.14</v>
      </c>
    </row>
    <row r="3794" spans="1:7" ht="12.75" customHeight="1">
      <c r="A3794" s="3">
        <v>44536</v>
      </c>
      <c r="B3794" s="4" t="s">
        <v>3817</v>
      </c>
      <c r="C3794" s="3" t="s">
        <v>54</v>
      </c>
      <c r="D3794" s="5">
        <f t="shared" si="118"/>
        <v>2.87</v>
      </c>
      <c r="E3794">
        <v>3.16</v>
      </c>
      <c r="F3794" s="1789">
        <v>8.8999999999999996E-2</v>
      </c>
      <c r="G3794">
        <f t="shared" si="119"/>
        <v>2.87</v>
      </c>
    </row>
    <row r="3795" spans="1:7" ht="12.75" customHeight="1">
      <c r="A3795" s="3">
        <v>39961</v>
      </c>
      <c r="B3795" s="4" t="s">
        <v>3818</v>
      </c>
      <c r="C3795" s="3" t="s">
        <v>6</v>
      </c>
      <c r="D3795" s="5">
        <f t="shared" si="118"/>
        <v>22.6</v>
      </c>
      <c r="E3795">
        <v>24.81</v>
      </c>
      <c r="F3795" s="1789">
        <v>8.8999999999999996E-2</v>
      </c>
      <c r="G3795">
        <f t="shared" si="119"/>
        <v>22.6</v>
      </c>
    </row>
    <row r="3796" spans="1:7" ht="12.75" customHeight="1">
      <c r="A3796" s="3">
        <v>42433</v>
      </c>
      <c r="B3796" s="4" t="s">
        <v>3819</v>
      </c>
      <c r="C3796" s="3" t="s">
        <v>6</v>
      </c>
      <c r="D3796" s="5">
        <f t="shared" si="118"/>
        <v>4362.9399999999996</v>
      </c>
      <c r="E3796">
        <v>4789.18</v>
      </c>
      <c r="F3796" s="1789">
        <v>8.8999999999999996E-2</v>
      </c>
      <c r="G3796">
        <f t="shared" si="119"/>
        <v>4362.9399999999996</v>
      </c>
    </row>
    <row r="3797" spans="1:7" ht="12.75" customHeight="1">
      <c r="A3797" s="3">
        <v>42434</v>
      </c>
      <c r="B3797" s="4" t="s">
        <v>3820</v>
      </c>
      <c r="C3797" s="3" t="s">
        <v>6</v>
      </c>
      <c r="D3797" s="5">
        <f t="shared" si="118"/>
        <v>4714.78</v>
      </c>
      <c r="E3797">
        <v>5175.3999999999996</v>
      </c>
      <c r="F3797" s="1789">
        <v>8.8999999999999996E-2</v>
      </c>
      <c r="G3797">
        <f t="shared" si="119"/>
        <v>4714.78</v>
      </c>
    </row>
    <row r="3798" spans="1:7" ht="12.75" customHeight="1">
      <c r="A3798" s="3">
        <v>42435</v>
      </c>
      <c r="B3798" s="4" t="s">
        <v>3821</v>
      </c>
      <c r="C3798" s="3" t="s">
        <v>6</v>
      </c>
      <c r="D3798" s="5">
        <f t="shared" si="118"/>
        <v>2351.09</v>
      </c>
      <c r="E3798">
        <v>2580.7800000000002</v>
      </c>
      <c r="F3798" s="1789">
        <v>8.8999999999999996E-2</v>
      </c>
      <c r="G3798">
        <f t="shared" si="119"/>
        <v>2351.09</v>
      </c>
    </row>
    <row r="3799" spans="1:7" ht="12.75" customHeight="1">
      <c r="A3799" s="3">
        <v>38061</v>
      </c>
      <c r="B3799" s="4" t="s">
        <v>3822</v>
      </c>
      <c r="C3799" s="3" t="s">
        <v>6</v>
      </c>
      <c r="D3799" s="5">
        <f t="shared" si="118"/>
        <v>50.24</v>
      </c>
      <c r="E3799">
        <v>55.15</v>
      </c>
      <c r="F3799" s="1789">
        <v>8.8999999999999996E-2</v>
      </c>
      <c r="G3799">
        <f t="shared" si="119"/>
        <v>50.24</v>
      </c>
    </row>
    <row r="3800" spans="1:7" ht="12.75" customHeight="1">
      <c r="A3800" s="3">
        <v>20250</v>
      </c>
      <c r="B3800" s="4" t="s">
        <v>3823</v>
      </c>
      <c r="C3800" s="3" t="s">
        <v>54</v>
      </c>
      <c r="D3800" s="5">
        <f t="shared" si="118"/>
        <v>16.39</v>
      </c>
      <c r="E3800">
        <v>18</v>
      </c>
      <c r="F3800" s="1789">
        <v>8.8999999999999996E-2</v>
      </c>
      <c r="G3800">
        <f t="shared" si="119"/>
        <v>16.39</v>
      </c>
    </row>
    <row r="3801" spans="1:7" ht="12.75" customHeight="1">
      <c r="A3801" s="3">
        <v>13388</v>
      </c>
      <c r="B3801" s="4" t="s">
        <v>3824</v>
      </c>
      <c r="C3801" s="3" t="s">
        <v>54</v>
      </c>
      <c r="D3801" s="5">
        <f t="shared" si="118"/>
        <v>158.66</v>
      </c>
      <c r="E3801">
        <v>174.17</v>
      </c>
      <c r="F3801" s="1789">
        <v>8.8999999999999996E-2</v>
      </c>
      <c r="G3801">
        <f t="shared" si="119"/>
        <v>158.66</v>
      </c>
    </row>
    <row r="3802" spans="1:7" ht="12.75" customHeight="1">
      <c r="A3802" s="3">
        <v>39914</v>
      </c>
      <c r="B3802" s="4" t="s">
        <v>3825</v>
      </c>
      <c r="C3802" s="3" t="s">
        <v>54</v>
      </c>
      <c r="D3802" s="5">
        <f t="shared" si="118"/>
        <v>227.22</v>
      </c>
      <c r="E3802">
        <v>249.42</v>
      </c>
      <c r="F3802" s="1789">
        <v>8.8999999999999996E-2</v>
      </c>
      <c r="G3802">
        <f t="shared" si="119"/>
        <v>227.22</v>
      </c>
    </row>
    <row r="3803" spans="1:7" ht="12.75" customHeight="1">
      <c r="A3803" s="3">
        <v>12732</v>
      </c>
      <c r="B3803" s="4" t="s">
        <v>3826</v>
      </c>
      <c r="C3803" s="3" t="s">
        <v>6</v>
      </c>
      <c r="D3803" s="5">
        <f t="shared" si="118"/>
        <v>262.18</v>
      </c>
      <c r="E3803">
        <v>287.8</v>
      </c>
      <c r="F3803" s="1789">
        <v>8.8999999999999996E-2</v>
      </c>
      <c r="G3803">
        <f t="shared" si="119"/>
        <v>262.18</v>
      </c>
    </row>
    <row r="3804" spans="1:7" ht="12.75" customHeight="1">
      <c r="A3804" s="3">
        <v>6160</v>
      </c>
      <c r="B3804" s="4" t="s">
        <v>3827</v>
      </c>
      <c r="C3804" s="3" t="s">
        <v>154</v>
      </c>
      <c r="D3804" s="5">
        <f t="shared" si="118"/>
        <v>18.02</v>
      </c>
      <c r="E3804">
        <v>19.79</v>
      </c>
      <c r="F3804" s="1789">
        <v>8.8999999999999996E-2</v>
      </c>
      <c r="G3804">
        <f t="shared" si="119"/>
        <v>18.02</v>
      </c>
    </row>
    <row r="3805" spans="1:7" ht="12.75" customHeight="1">
      <c r="A3805" s="3">
        <v>41087</v>
      </c>
      <c r="B3805" s="4" t="s">
        <v>3828</v>
      </c>
      <c r="C3805" s="3" t="s">
        <v>156</v>
      </c>
      <c r="D3805" s="5">
        <f t="shared" si="118"/>
        <v>3172.4</v>
      </c>
      <c r="E3805">
        <v>3482.33</v>
      </c>
      <c r="F3805" s="1789">
        <v>8.8999999999999996E-2</v>
      </c>
      <c r="G3805">
        <f t="shared" si="119"/>
        <v>3172.4</v>
      </c>
    </row>
    <row r="3806" spans="1:7" ht="12.75" customHeight="1">
      <c r="A3806" s="3">
        <v>6166</v>
      </c>
      <c r="B3806" s="4" t="s">
        <v>3829</v>
      </c>
      <c r="C3806" s="3" t="s">
        <v>154</v>
      </c>
      <c r="D3806" s="5">
        <f t="shared" si="118"/>
        <v>21.17</v>
      </c>
      <c r="E3806">
        <v>23.24</v>
      </c>
      <c r="F3806" s="1789">
        <v>8.8999999999999996E-2</v>
      </c>
      <c r="G3806">
        <f t="shared" si="119"/>
        <v>21.17</v>
      </c>
    </row>
    <row r="3807" spans="1:7" ht="12.75" customHeight="1">
      <c r="A3807" s="3">
        <v>41088</v>
      </c>
      <c r="B3807" s="4" t="s">
        <v>3830</v>
      </c>
      <c r="C3807" s="3" t="s">
        <v>156</v>
      </c>
      <c r="D3807" s="5">
        <f t="shared" si="118"/>
        <v>3727.96</v>
      </c>
      <c r="E3807">
        <v>4092.17</v>
      </c>
      <c r="F3807" s="1789">
        <v>8.8999999999999996E-2</v>
      </c>
      <c r="G3807">
        <f t="shared" si="119"/>
        <v>3727.96</v>
      </c>
    </row>
    <row r="3808" spans="1:7" ht="12.75" customHeight="1">
      <c r="A3808" s="3">
        <v>20232</v>
      </c>
      <c r="B3808" s="4" t="s">
        <v>3831</v>
      </c>
      <c r="C3808" s="3" t="s">
        <v>50</v>
      </c>
      <c r="D3808" s="5">
        <f t="shared" si="118"/>
        <v>80.22</v>
      </c>
      <c r="E3808">
        <v>88.06</v>
      </c>
      <c r="F3808" s="1789">
        <v>8.8999999999999996E-2</v>
      </c>
      <c r="G3808">
        <f t="shared" si="119"/>
        <v>80.22</v>
      </c>
    </row>
    <row r="3809" spans="1:7" ht="12.75" customHeight="1">
      <c r="A3809" s="3">
        <v>10856</v>
      </c>
      <c r="B3809" s="4" t="s">
        <v>3832</v>
      </c>
      <c r="C3809" s="3" t="s">
        <v>50</v>
      </c>
      <c r="D3809" s="5">
        <f t="shared" si="118"/>
        <v>103.25</v>
      </c>
      <c r="E3809">
        <v>113.34</v>
      </c>
      <c r="F3809" s="1789">
        <v>8.8999999999999996E-2</v>
      </c>
      <c r="G3809">
        <f t="shared" si="119"/>
        <v>103.25</v>
      </c>
    </row>
    <row r="3810" spans="1:7" ht="12.75" customHeight="1">
      <c r="A3810" s="3">
        <v>4828</v>
      </c>
      <c r="B3810" s="4" t="s">
        <v>3833</v>
      </c>
      <c r="C3810" s="3" t="s">
        <v>50</v>
      </c>
      <c r="D3810" s="5">
        <f t="shared" si="118"/>
        <v>74.05</v>
      </c>
      <c r="E3810">
        <v>81.290000000000006</v>
      </c>
      <c r="F3810" s="1789">
        <v>8.8999999999999996E-2</v>
      </c>
      <c r="G3810">
        <f t="shared" si="119"/>
        <v>74.05</v>
      </c>
    </row>
    <row r="3811" spans="1:7" ht="12.75" customHeight="1">
      <c r="A3811" s="3">
        <v>20249</v>
      </c>
      <c r="B3811" s="4" t="s">
        <v>3834</v>
      </c>
      <c r="C3811" s="3" t="s">
        <v>50</v>
      </c>
      <c r="D3811" s="5">
        <f t="shared" si="118"/>
        <v>40.54</v>
      </c>
      <c r="E3811">
        <v>44.51</v>
      </c>
      <c r="F3811" s="1789">
        <v>8.8999999999999996E-2</v>
      </c>
      <c r="G3811">
        <f t="shared" si="119"/>
        <v>40.54</v>
      </c>
    </row>
    <row r="3812" spans="1:7" ht="12.75" customHeight="1">
      <c r="A3812" s="3">
        <v>11609</v>
      </c>
      <c r="B3812" s="4" t="s">
        <v>3835</v>
      </c>
      <c r="C3812" s="3" t="s">
        <v>56</v>
      </c>
      <c r="D3812" s="5">
        <f t="shared" si="118"/>
        <v>12.04</v>
      </c>
      <c r="E3812">
        <v>13.22</v>
      </c>
      <c r="F3812" s="1789">
        <v>8.8999999999999996E-2</v>
      </c>
      <c r="G3812">
        <f t="shared" si="119"/>
        <v>12.04</v>
      </c>
    </row>
    <row r="3813" spans="1:7" ht="12.75" customHeight="1">
      <c r="A3813" s="3">
        <v>20083</v>
      </c>
      <c r="B3813" s="4" t="s">
        <v>3836</v>
      </c>
      <c r="C3813" s="3" t="s">
        <v>6</v>
      </c>
      <c r="D3813" s="5">
        <f t="shared" si="118"/>
        <v>79.41</v>
      </c>
      <c r="E3813">
        <v>87.17</v>
      </c>
      <c r="F3813" s="1789">
        <v>8.8999999999999996E-2</v>
      </c>
      <c r="G3813">
        <f t="shared" si="119"/>
        <v>79.41</v>
      </c>
    </row>
    <row r="3814" spans="1:7" ht="12.75" customHeight="1">
      <c r="A3814" s="3">
        <v>10691</v>
      </c>
      <c r="B3814" s="4" t="s">
        <v>3837</v>
      </c>
      <c r="C3814" s="3" t="s">
        <v>56</v>
      </c>
      <c r="D3814" s="5">
        <f t="shared" si="118"/>
        <v>87.75</v>
      </c>
      <c r="E3814">
        <v>96.33</v>
      </c>
      <c r="F3814" s="1789">
        <v>8.8999999999999996E-2</v>
      </c>
      <c r="G3814">
        <f t="shared" si="119"/>
        <v>87.75</v>
      </c>
    </row>
    <row r="3815" spans="1:7" ht="12.75" customHeight="1">
      <c r="A3815" s="3">
        <v>12295</v>
      </c>
      <c r="B3815" s="4" t="s">
        <v>3838</v>
      </c>
      <c r="C3815" s="3" t="s">
        <v>6</v>
      </c>
      <c r="D3815" s="5">
        <f t="shared" si="118"/>
        <v>2.5099999999999998</v>
      </c>
      <c r="E3815">
        <v>2.76</v>
      </c>
      <c r="F3815" s="1789">
        <v>8.8999999999999996E-2</v>
      </c>
      <c r="G3815">
        <f t="shared" si="119"/>
        <v>2.5099999999999998</v>
      </c>
    </row>
    <row r="3816" spans="1:7" ht="12.75" customHeight="1">
      <c r="A3816" s="3">
        <v>12296</v>
      </c>
      <c r="B3816" s="4" t="s">
        <v>3839</v>
      </c>
      <c r="C3816" s="3" t="s">
        <v>6</v>
      </c>
      <c r="D3816" s="5">
        <f t="shared" si="118"/>
        <v>3.25</v>
      </c>
      <c r="E3816">
        <v>3.57</v>
      </c>
      <c r="F3816" s="1789">
        <v>8.8999999999999996E-2</v>
      </c>
      <c r="G3816">
        <f t="shared" si="119"/>
        <v>3.25</v>
      </c>
    </row>
    <row r="3817" spans="1:7" ht="12.75" customHeight="1">
      <c r="A3817" s="3">
        <v>12294</v>
      </c>
      <c r="B3817" s="4" t="s">
        <v>3840</v>
      </c>
      <c r="C3817" s="3" t="s">
        <v>6</v>
      </c>
      <c r="D3817" s="5">
        <f t="shared" si="118"/>
        <v>7.79</v>
      </c>
      <c r="E3817">
        <v>8.56</v>
      </c>
      <c r="F3817" s="1789">
        <v>8.8999999999999996E-2</v>
      </c>
      <c r="G3817">
        <f t="shared" si="119"/>
        <v>7.79</v>
      </c>
    </row>
    <row r="3818" spans="1:7" ht="12.75" customHeight="1">
      <c r="A3818" s="3">
        <v>14543</v>
      </c>
      <c r="B3818" s="4" t="s">
        <v>3841</v>
      </c>
      <c r="C3818" s="3" t="s">
        <v>6</v>
      </c>
      <c r="D3818" s="5">
        <f t="shared" si="118"/>
        <v>5.56</v>
      </c>
      <c r="E3818">
        <v>6.11</v>
      </c>
      <c r="F3818" s="1789">
        <v>8.8999999999999996E-2</v>
      </c>
      <c r="G3818">
        <f t="shared" si="119"/>
        <v>5.56</v>
      </c>
    </row>
    <row r="3819" spans="1:7" ht="12.75" customHeight="1">
      <c r="A3819" s="3">
        <v>13329</v>
      </c>
      <c r="B3819" s="4" t="s">
        <v>3842</v>
      </c>
      <c r="C3819" s="3" t="s">
        <v>6</v>
      </c>
      <c r="D3819" s="5">
        <f t="shared" si="118"/>
        <v>3.27</v>
      </c>
      <c r="E3819">
        <v>3.59</v>
      </c>
      <c r="F3819" s="1789">
        <v>8.8999999999999996E-2</v>
      </c>
      <c r="G3819">
        <f t="shared" si="119"/>
        <v>3.27</v>
      </c>
    </row>
    <row r="3820" spans="1:7" ht="12.75" customHeight="1">
      <c r="A3820" s="3">
        <v>21047</v>
      </c>
      <c r="B3820" s="4" t="s">
        <v>3843</v>
      </c>
      <c r="C3820" s="3" t="s">
        <v>6</v>
      </c>
      <c r="D3820" s="5">
        <f t="shared" si="118"/>
        <v>58.14</v>
      </c>
      <c r="E3820">
        <v>63.83</v>
      </c>
      <c r="F3820" s="1789">
        <v>8.8999999999999996E-2</v>
      </c>
      <c r="G3820">
        <f t="shared" si="119"/>
        <v>58.14</v>
      </c>
    </row>
    <row r="3821" spans="1:7" ht="12.75" customHeight="1">
      <c r="A3821" s="3">
        <v>21042</v>
      </c>
      <c r="B3821" s="4" t="s">
        <v>3844</v>
      </c>
      <c r="C3821" s="3" t="s">
        <v>6</v>
      </c>
      <c r="D3821" s="5">
        <f t="shared" si="118"/>
        <v>44.82</v>
      </c>
      <c r="E3821">
        <v>49.2</v>
      </c>
      <c r="F3821" s="1789">
        <v>8.8999999999999996E-2</v>
      </c>
      <c r="G3821">
        <f t="shared" si="119"/>
        <v>44.82</v>
      </c>
    </row>
    <row r="3822" spans="1:7" ht="12.75" customHeight="1">
      <c r="A3822" s="3">
        <v>21043</v>
      </c>
      <c r="B3822" s="4" t="s">
        <v>3845</v>
      </c>
      <c r="C3822" s="3" t="s">
        <v>6</v>
      </c>
      <c r="D3822" s="5">
        <f t="shared" si="118"/>
        <v>56.61</v>
      </c>
      <c r="E3822">
        <v>62.15</v>
      </c>
      <c r="F3822" s="1789">
        <v>8.8999999999999996E-2</v>
      </c>
      <c r="G3822">
        <f t="shared" si="119"/>
        <v>56.61</v>
      </c>
    </row>
    <row r="3823" spans="1:7" ht="12.75" customHeight="1">
      <c r="A3823" s="3">
        <v>21044</v>
      </c>
      <c r="B3823" s="4" t="s">
        <v>3846</v>
      </c>
      <c r="C3823" s="3" t="s">
        <v>6</v>
      </c>
      <c r="D3823" s="5">
        <f t="shared" si="118"/>
        <v>39.44</v>
      </c>
      <c r="E3823">
        <v>43.3</v>
      </c>
      <c r="F3823" s="1789">
        <v>8.8999999999999996E-2</v>
      </c>
      <c r="G3823">
        <f t="shared" si="119"/>
        <v>39.44</v>
      </c>
    </row>
    <row r="3824" spans="1:7" ht="12.75" customHeight="1">
      <c r="A3824" s="3">
        <v>21045</v>
      </c>
      <c r="B3824" s="4" t="s">
        <v>3847</v>
      </c>
      <c r="C3824" s="3" t="s">
        <v>6</v>
      </c>
      <c r="D3824" s="5">
        <f t="shared" si="118"/>
        <v>54.02</v>
      </c>
      <c r="E3824">
        <v>59.3</v>
      </c>
      <c r="F3824" s="1789">
        <v>8.8999999999999996E-2</v>
      </c>
      <c r="G3824">
        <f t="shared" si="119"/>
        <v>54.02</v>
      </c>
    </row>
    <row r="3825" spans="1:7" ht="12.75" customHeight="1">
      <c r="A3825" s="3">
        <v>21041</v>
      </c>
      <c r="B3825" s="4" t="s">
        <v>3848</v>
      </c>
      <c r="C3825" s="3" t="s">
        <v>6</v>
      </c>
      <c r="D3825" s="5">
        <f t="shared" si="118"/>
        <v>46.58</v>
      </c>
      <c r="E3825">
        <v>51.14</v>
      </c>
      <c r="F3825" s="1789">
        <v>8.8999999999999996E-2</v>
      </c>
      <c r="G3825">
        <f t="shared" si="119"/>
        <v>46.58</v>
      </c>
    </row>
    <row r="3826" spans="1:7" ht="12.75" customHeight="1">
      <c r="A3826" s="3">
        <v>21040</v>
      </c>
      <c r="B3826" s="4" t="s">
        <v>3849</v>
      </c>
      <c r="C3826" s="3" t="s">
        <v>6</v>
      </c>
      <c r="D3826" s="5">
        <f t="shared" si="118"/>
        <v>38.590000000000003</v>
      </c>
      <c r="E3826">
        <v>42.37</v>
      </c>
      <c r="F3826" s="1789">
        <v>8.8999999999999996E-2</v>
      </c>
      <c r="G3826">
        <f t="shared" si="119"/>
        <v>38.590000000000003</v>
      </c>
    </row>
    <row r="3827" spans="1:7" ht="12.75" customHeight="1">
      <c r="A3827" s="3">
        <v>14149</v>
      </c>
      <c r="B3827" s="4" t="s">
        <v>3850</v>
      </c>
      <c r="C3827" s="3" t="s">
        <v>2057</v>
      </c>
      <c r="D3827" s="5">
        <f t="shared" si="118"/>
        <v>188.11</v>
      </c>
      <c r="E3827">
        <v>206.49</v>
      </c>
      <c r="F3827" s="1789">
        <v>8.8999999999999996E-2</v>
      </c>
      <c r="G3827">
        <f t="shared" si="119"/>
        <v>188.11</v>
      </c>
    </row>
    <row r="3828" spans="1:7" ht="12.75" customHeight="1">
      <c r="A3828" s="3">
        <v>38099</v>
      </c>
      <c r="B3828" s="4" t="s">
        <v>3851</v>
      </c>
      <c r="C3828" s="3" t="s">
        <v>6</v>
      </c>
      <c r="D3828" s="5">
        <f t="shared" si="118"/>
        <v>1.3</v>
      </c>
      <c r="E3828">
        <v>1.43</v>
      </c>
      <c r="F3828" s="1789">
        <v>8.8999999999999996E-2</v>
      </c>
      <c r="G3828">
        <f t="shared" si="119"/>
        <v>1.3</v>
      </c>
    </row>
    <row r="3829" spans="1:7" ht="12.75" customHeight="1">
      <c r="A3829" s="3">
        <v>38100</v>
      </c>
      <c r="B3829" s="4" t="s">
        <v>3852</v>
      </c>
      <c r="C3829" s="3" t="s">
        <v>6</v>
      </c>
      <c r="D3829" s="5">
        <f t="shared" si="118"/>
        <v>2.13</v>
      </c>
      <c r="E3829">
        <v>2.34</v>
      </c>
      <c r="F3829" s="1789">
        <v>8.8999999999999996E-2</v>
      </c>
      <c r="G3829">
        <f t="shared" si="119"/>
        <v>2.13</v>
      </c>
    </row>
    <row r="3830" spans="1:7" ht="12.75" customHeight="1">
      <c r="A3830" s="3">
        <v>7576</v>
      </c>
      <c r="B3830" s="4" t="s">
        <v>3853</v>
      </c>
      <c r="C3830" s="3" t="s">
        <v>6</v>
      </c>
      <c r="D3830" s="5">
        <f t="shared" si="118"/>
        <v>197.55</v>
      </c>
      <c r="E3830">
        <v>216.85</v>
      </c>
      <c r="F3830" s="1789">
        <v>8.8999999999999996E-2</v>
      </c>
      <c r="G3830">
        <f t="shared" si="119"/>
        <v>197.55</v>
      </c>
    </row>
    <row r="3831" spans="1:7" ht="12.75" customHeight="1">
      <c r="A3831" s="3">
        <v>3384</v>
      </c>
      <c r="B3831" s="4" t="s">
        <v>3854</v>
      </c>
      <c r="C3831" s="3" t="s">
        <v>6</v>
      </c>
      <c r="D3831" s="5">
        <f t="shared" si="118"/>
        <v>6.8</v>
      </c>
      <c r="E3831">
        <v>7.47</v>
      </c>
      <c r="F3831" s="1789">
        <v>8.8999999999999996E-2</v>
      </c>
      <c r="G3831">
        <f t="shared" si="119"/>
        <v>6.8</v>
      </c>
    </row>
    <row r="3832" spans="1:7" ht="12.75" customHeight="1">
      <c r="A3832" s="3">
        <v>7572</v>
      </c>
      <c r="B3832" s="4" t="s">
        <v>3855</v>
      </c>
      <c r="C3832" s="3" t="s">
        <v>6</v>
      </c>
      <c r="D3832" s="5">
        <f t="shared" si="118"/>
        <v>8.2100000000000009</v>
      </c>
      <c r="E3832">
        <v>9.02</v>
      </c>
      <c r="F3832" s="1789">
        <v>8.8999999999999996E-2</v>
      </c>
      <c r="G3832">
        <f t="shared" si="119"/>
        <v>8.2100000000000009</v>
      </c>
    </row>
    <row r="3833" spans="1:7" ht="12.75" customHeight="1">
      <c r="A3833" s="3">
        <v>3396</v>
      </c>
      <c r="B3833" s="4" t="s">
        <v>3856</v>
      </c>
      <c r="C3833" s="3" t="s">
        <v>6</v>
      </c>
      <c r="D3833" s="5">
        <f t="shared" si="118"/>
        <v>5.55</v>
      </c>
      <c r="E3833">
        <v>6.1</v>
      </c>
      <c r="F3833" s="1789">
        <v>8.8999999999999996E-2</v>
      </c>
      <c r="G3833">
        <f t="shared" si="119"/>
        <v>5.55</v>
      </c>
    </row>
    <row r="3834" spans="1:7" ht="12.75" customHeight="1">
      <c r="A3834" s="3">
        <v>37590</v>
      </c>
      <c r="B3834" s="4" t="s">
        <v>3857</v>
      </c>
      <c r="C3834" s="3" t="s">
        <v>6</v>
      </c>
      <c r="D3834" s="5">
        <f t="shared" si="118"/>
        <v>15.35</v>
      </c>
      <c r="E3834">
        <v>16.86</v>
      </c>
      <c r="F3834" s="1789">
        <v>8.8999999999999996E-2</v>
      </c>
      <c r="G3834">
        <f t="shared" si="119"/>
        <v>15.35</v>
      </c>
    </row>
    <row r="3835" spans="1:7" ht="12.75" customHeight="1">
      <c r="A3835" s="3">
        <v>37591</v>
      </c>
      <c r="B3835" s="4" t="s">
        <v>3858</v>
      </c>
      <c r="C3835" s="3" t="s">
        <v>6</v>
      </c>
      <c r="D3835" s="5">
        <f t="shared" si="118"/>
        <v>18.46</v>
      </c>
      <c r="E3835">
        <v>20.27</v>
      </c>
      <c r="F3835" s="1789">
        <v>8.8999999999999996E-2</v>
      </c>
      <c r="G3835">
        <f t="shared" si="119"/>
        <v>18.46</v>
      </c>
    </row>
    <row r="3836" spans="1:7" ht="12.75" customHeight="1">
      <c r="A3836" s="3">
        <v>12626</v>
      </c>
      <c r="B3836" s="4" t="s">
        <v>3859</v>
      </c>
      <c r="C3836" s="3" t="s">
        <v>6</v>
      </c>
      <c r="D3836" s="5">
        <f t="shared" si="118"/>
        <v>34.590000000000003</v>
      </c>
      <c r="E3836">
        <v>37.979999999999997</v>
      </c>
      <c r="F3836" s="1789">
        <v>8.8999999999999996E-2</v>
      </c>
      <c r="G3836">
        <f t="shared" si="119"/>
        <v>34.590000000000003</v>
      </c>
    </row>
    <row r="3837" spans="1:7" ht="12.75" customHeight="1">
      <c r="A3837" s="3">
        <v>11033</v>
      </c>
      <c r="B3837" s="4" t="s">
        <v>3860</v>
      </c>
      <c r="C3837" s="3" t="s">
        <v>6</v>
      </c>
      <c r="D3837" s="5">
        <f t="shared" si="118"/>
        <v>6.63</v>
      </c>
      <c r="E3837">
        <v>7.28</v>
      </c>
      <c r="F3837" s="1789">
        <v>8.8999999999999996E-2</v>
      </c>
      <c r="G3837">
        <f t="shared" si="119"/>
        <v>6.63</v>
      </c>
    </row>
    <row r="3838" spans="1:7" ht="12.75" customHeight="1">
      <c r="A3838" s="3">
        <v>390</v>
      </c>
      <c r="B3838" s="4" t="s">
        <v>3861</v>
      </c>
      <c r="C3838" s="3" t="s">
        <v>6</v>
      </c>
      <c r="D3838" s="5">
        <f t="shared" si="118"/>
        <v>10.039999999999999</v>
      </c>
      <c r="E3838">
        <v>11.03</v>
      </c>
      <c r="F3838" s="1789">
        <v>8.8999999999999996E-2</v>
      </c>
      <c r="G3838">
        <f t="shared" si="119"/>
        <v>10.039999999999999</v>
      </c>
    </row>
    <row r="3839" spans="1:7" ht="12.75" customHeight="1">
      <c r="A3839" s="3">
        <v>42436</v>
      </c>
      <c r="B3839" s="4" t="s">
        <v>3862</v>
      </c>
      <c r="C3839" s="3" t="s">
        <v>6</v>
      </c>
      <c r="D3839" s="5">
        <f t="shared" si="118"/>
        <v>2460.92</v>
      </c>
      <c r="E3839">
        <v>2701.34</v>
      </c>
      <c r="F3839" s="1789">
        <v>8.8999999999999996E-2</v>
      </c>
      <c r="G3839">
        <f t="shared" si="119"/>
        <v>2460.92</v>
      </c>
    </row>
    <row r="3840" spans="1:7" ht="12.75" customHeight="1">
      <c r="A3840" s="3">
        <v>6194</v>
      </c>
      <c r="B3840" s="4" t="s">
        <v>3863</v>
      </c>
      <c r="C3840" s="3" t="s">
        <v>50</v>
      </c>
      <c r="D3840" s="5">
        <f t="shared" si="118"/>
        <v>7.49</v>
      </c>
      <c r="E3840">
        <v>8.23</v>
      </c>
      <c r="F3840" s="1789">
        <v>8.8999999999999996E-2</v>
      </c>
      <c r="G3840">
        <f t="shared" si="119"/>
        <v>7.49</v>
      </c>
    </row>
    <row r="3841" spans="1:7" ht="12.75" customHeight="1">
      <c r="A3841" s="3">
        <v>10567</v>
      </c>
      <c r="B3841" s="4" t="s">
        <v>3864</v>
      </c>
      <c r="C3841" s="3" t="s">
        <v>50</v>
      </c>
      <c r="D3841" s="5">
        <f t="shared" si="118"/>
        <v>11.87</v>
      </c>
      <c r="E3841">
        <v>13.03</v>
      </c>
      <c r="F3841" s="1789">
        <v>8.8999999999999996E-2</v>
      </c>
      <c r="G3841">
        <f t="shared" si="119"/>
        <v>11.87</v>
      </c>
    </row>
    <row r="3842" spans="1:7" ht="12.75" customHeight="1">
      <c r="A3842" s="3">
        <v>6212</v>
      </c>
      <c r="B3842" s="4" t="s">
        <v>3865</v>
      </c>
      <c r="C3842" s="3" t="s">
        <v>50</v>
      </c>
      <c r="D3842" s="5">
        <f t="shared" si="118"/>
        <v>17.41</v>
      </c>
      <c r="E3842">
        <v>19.12</v>
      </c>
      <c r="F3842" s="1789">
        <v>8.8999999999999996E-2</v>
      </c>
      <c r="G3842">
        <f t="shared" si="119"/>
        <v>17.41</v>
      </c>
    </row>
    <row r="3843" spans="1:7" ht="12.75" customHeight="1">
      <c r="A3843" s="3">
        <v>3993</v>
      </c>
      <c r="B3843" s="4" t="s">
        <v>3866</v>
      </c>
      <c r="C3843" s="3" t="s">
        <v>409</v>
      </c>
      <c r="D3843" s="5">
        <f t="shared" ref="D3843:D3906" si="120">G3843</f>
        <v>98.18</v>
      </c>
      <c r="E3843">
        <v>107.78</v>
      </c>
      <c r="F3843" s="1789">
        <v>8.8999999999999996E-2</v>
      </c>
      <c r="G3843">
        <f t="shared" ref="G3843:G3906" si="121">TRUNC((1-F3843)*E3843,2)</f>
        <v>98.18</v>
      </c>
    </row>
    <row r="3844" spans="1:7" ht="12.75" customHeight="1">
      <c r="A3844" s="3">
        <v>3990</v>
      </c>
      <c r="B3844" s="4" t="s">
        <v>3867</v>
      </c>
      <c r="C3844" s="3" t="s">
        <v>50</v>
      </c>
      <c r="D3844" s="5">
        <f t="shared" si="120"/>
        <v>18.47</v>
      </c>
      <c r="E3844">
        <v>20.28</v>
      </c>
      <c r="F3844" s="1789">
        <v>8.8999999999999996E-2</v>
      </c>
      <c r="G3844">
        <f t="shared" si="121"/>
        <v>18.47</v>
      </c>
    </row>
    <row r="3845" spans="1:7" ht="12.75" customHeight="1">
      <c r="A3845" s="3">
        <v>3992</v>
      </c>
      <c r="B3845" s="4" t="s">
        <v>3868</v>
      </c>
      <c r="C3845" s="3" t="s">
        <v>50</v>
      </c>
      <c r="D3845" s="5">
        <f t="shared" si="120"/>
        <v>24.94</v>
      </c>
      <c r="E3845">
        <v>27.38</v>
      </c>
      <c r="F3845" s="1789">
        <v>8.8999999999999996E-2</v>
      </c>
      <c r="G3845">
        <f t="shared" si="121"/>
        <v>24.94</v>
      </c>
    </row>
    <row r="3846" spans="1:7" ht="12.75" customHeight="1">
      <c r="A3846" s="3">
        <v>6178</v>
      </c>
      <c r="B3846" s="4" t="s">
        <v>3869</v>
      </c>
      <c r="C3846" s="3" t="s">
        <v>409</v>
      </c>
      <c r="D3846" s="5">
        <f t="shared" si="120"/>
        <v>307.79000000000002</v>
      </c>
      <c r="E3846">
        <v>337.87</v>
      </c>
      <c r="F3846" s="1789">
        <v>8.8999999999999996E-2</v>
      </c>
      <c r="G3846">
        <f t="shared" si="121"/>
        <v>307.79000000000002</v>
      </c>
    </row>
    <row r="3847" spans="1:7" ht="12.75" customHeight="1">
      <c r="A3847" s="3">
        <v>6180</v>
      </c>
      <c r="B3847" s="4" t="s">
        <v>3870</v>
      </c>
      <c r="C3847" s="3" t="s">
        <v>409</v>
      </c>
      <c r="D3847" s="5">
        <f t="shared" si="120"/>
        <v>332.19</v>
      </c>
      <c r="E3847">
        <v>364.65</v>
      </c>
      <c r="F3847" s="1789">
        <v>8.8999999999999996E-2</v>
      </c>
      <c r="G3847">
        <f t="shared" si="121"/>
        <v>332.19</v>
      </c>
    </row>
    <row r="3848" spans="1:7" ht="12.75" customHeight="1">
      <c r="A3848" s="3">
        <v>6182</v>
      </c>
      <c r="B3848" s="4" t="s">
        <v>3871</v>
      </c>
      <c r="C3848" s="3" t="s">
        <v>409</v>
      </c>
      <c r="D3848" s="5">
        <f t="shared" si="120"/>
        <v>412.33</v>
      </c>
      <c r="E3848">
        <v>452.62</v>
      </c>
      <c r="F3848" s="1789">
        <v>8.8999999999999996E-2</v>
      </c>
      <c r="G3848">
        <f t="shared" si="121"/>
        <v>412.33</v>
      </c>
    </row>
    <row r="3849" spans="1:7" ht="12.75" customHeight="1">
      <c r="A3849" s="3">
        <v>43614</v>
      </c>
      <c r="B3849" s="4" t="s">
        <v>3872</v>
      </c>
      <c r="C3849" s="3" t="s">
        <v>50</v>
      </c>
      <c r="D3849" s="5">
        <f t="shared" si="120"/>
        <v>12.48</v>
      </c>
      <c r="E3849">
        <v>13.7</v>
      </c>
      <c r="F3849" s="1789">
        <v>8.8999999999999996E-2</v>
      </c>
      <c r="G3849">
        <f t="shared" si="121"/>
        <v>12.48</v>
      </c>
    </row>
    <row r="3850" spans="1:7" ht="12.75" customHeight="1">
      <c r="A3850" s="3">
        <v>6193</v>
      </c>
      <c r="B3850" s="4" t="s">
        <v>3873</v>
      </c>
      <c r="C3850" s="3" t="s">
        <v>50</v>
      </c>
      <c r="D3850" s="5">
        <f t="shared" si="120"/>
        <v>15.18</v>
      </c>
      <c r="E3850">
        <v>16.670000000000002</v>
      </c>
      <c r="F3850" s="1789">
        <v>8.8999999999999996E-2</v>
      </c>
      <c r="G3850">
        <f t="shared" si="121"/>
        <v>15.18</v>
      </c>
    </row>
    <row r="3851" spans="1:7" ht="12.75" customHeight="1">
      <c r="A3851" s="3">
        <v>6189</v>
      </c>
      <c r="B3851" s="4" t="s">
        <v>3874</v>
      </c>
      <c r="C3851" s="3" t="s">
        <v>50</v>
      </c>
      <c r="D3851" s="5">
        <f t="shared" si="120"/>
        <v>22.16</v>
      </c>
      <c r="E3851">
        <v>24.33</v>
      </c>
      <c r="F3851" s="1789">
        <v>8.8999999999999996E-2</v>
      </c>
      <c r="G3851">
        <f t="shared" si="121"/>
        <v>22.16</v>
      </c>
    </row>
    <row r="3852" spans="1:7" ht="12.75" customHeight="1">
      <c r="A3852" s="3">
        <v>6214</v>
      </c>
      <c r="B3852" s="4" t="s">
        <v>3875</v>
      </c>
      <c r="C3852" s="3" t="s">
        <v>409</v>
      </c>
      <c r="D3852" s="5">
        <f t="shared" si="120"/>
        <v>192.81</v>
      </c>
      <c r="E3852">
        <v>211.65</v>
      </c>
      <c r="F3852" s="1789">
        <v>8.8999999999999996E-2</v>
      </c>
      <c r="G3852">
        <f t="shared" si="121"/>
        <v>192.81</v>
      </c>
    </row>
    <row r="3853" spans="1:7" ht="12.75" customHeight="1">
      <c r="A3853" s="3">
        <v>36153</v>
      </c>
      <c r="B3853" s="4" t="s">
        <v>3876</v>
      </c>
      <c r="C3853" s="3" t="s">
        <v>6</v>
      </c>
      <c r="D3853" s="5">
        <f t="shared" si="120"/>
        <v>193.73</v>
      </c>
      <c r="E3853">
        <v>212.66</v>
      </c>
      <c r="F3853" s="1789">
        <v>8.8999999999999996E-2</v>
      </c>
      <c r="G3853">
        <f t="shared" si="121"/>
        <v>193.73</v>
      </c>
    </row>
    <row r="3854" spans="1:7" ht="12.75" customHeight="1">
      <c r="A3854" s="3">
        <v>10740</v>
      </c>
      <c r="B3854" s="4" t="s">
        <v>3877</v>
      </c>
      <c r="C3854" s="3" t="s">
        <v>6</v>
      </c>
      <c r="D3854" s="5">
        <f t="shared" si="120"/>
        <v>9531.27</v>
      </c>
      <c r="E3854">
        <v>10462.43</v>
      </c>
      <c r="F3854" s="1789">
        <v>8.8999999999999996E-2</v>
      </c>
      <c r="G3854">
        <f t="shared" si="121"/>
        <v>9531.27</v>
      </c>
    </row>
    <row r="3855" spans="1:7" ht="12.75" customHeight="1">
      <c r="A3855" s="3">
        <v>13914</v>
      </c>
      <c r="B3855" s="4" t="s">
        <v>3878</v>
      </c>
      <c r="C3855" s="3" t="s">
        <v>6</v>
      </c>
      <c r="D3855" s="5">
        <f t="shared" si="120"/>
        <v>689.62</v>
      </c>
      <c r="E3855">
        <v>757</v>
      </c>
      <c r="F3855" s="1789">
        <v>8.8999999999999996E-2</v>
      </c>
      <c r="G3855">
        <f t="shared" si="121"/>
        <v>689.62</v>
      </c>
    </row>
    <row r="3856" spans="1:7" ht="12.75" customHeight="1">
      <c r="A3856" s="3">
        <v>10742</v>
      </c>
      <c r="B3856" s="4" t="s">
        <v>3879</v>
      </c>
      <c r="C3856" s="3" t="s">
        <v>6</v>
      </c>
      <c r="D3856" s="5">
        <f t="shared" si="120"/>
        <v>1005.82</v>
      </c>
      <c r="E3856">
        <v>1104.0899999999999</v>
      </c>
      <c r="F3856" s="1789">
        <v>8.8999999999999996E-2</v>
      </c>
      <c r="G3856">
        <f t="shared" si="121"/>
        <v>1005.82</v>
      </c>
    </row>
    <row r="3857" spans="1:7" ht="12.75" customHeight="1">
      <c r="A3857" s="3">
        <v>38465</v>
      </c>
      <c r="B3857" s="4" t="s">
        <v>3880</v>
      </c>
      <c r="C3857" s="3" t="s">
        <v>6</v>
      </c>
      <c r="D3857" s="5">
        <f t="shared" si="120"/>
        <v>35.18</v>
      </c>
      <c r="E3857">
        <v>38.619999999999997</v>
      </c>
      <c r="F3857" s="1789">
        <v>8.8999999999999996E-2</v>
      </c>
      <c r="G3857">
        <f t="shared" si="121"/>
        <v>35.18</v>
      </c>
    </row>
    <row r="3858" spans="1:7" ht="12.75" customHeight="1">
      <c r="A3858" s="3">
        <v>7543</v>
      </c>
      <c r="B3858" s="4" t="s">
        <v>3881</v>
      </c>
      <c r="C3858" s="3" t="s">
        <v>6</v>
      </c>
      <c r="D3858" s="5">
        <f t="shared" si="120"/>
        <v>5.64</v>
      </c>
      <c r="E3858">
        <v>6.2</v>
      </c>
      <c r="F3858" s="1789">
        <v>8.8999999999999996E-2</v>
      </c>
      <c r="G3858">
        <f t="shared" si="121"/>
        <v>5.64</v>
      </c>
    </row>
    <row r="3859" spans="1:7" ht="12.75" customHeight="1">
      <c r="A3859" s="3">
        <v>43427</v>
      </c>
      <c r="B3859" s="4" t="s">
        <v>3882</v>
      </c>
      <c r="C3859" s="3" t="s">
        <v>6</v>
      </c>
      <c r="D3859" s="5">
        <f t="shared" si="120"/>
        <v>1665.53</v>
      </c>
      <c r="E3859">
        <v>1828.25</v>
      </c>
      <c r="F3859" s="1789">
        <v>8.8999999999999996E-2</v>
      </c>
      <c r="G3859">
        <f t="shared" si="121"/>
        <v>1665.53</v>
      </c>
    </row>
    <row r="3860" spans="1:7" ht="12.75" customHeight="1">
      <c r="A3860" s="3">
        <v>41613</v>
      </c>
      <c r="B3860" s="4" t="s">
        <v>3883</v>
      </c>
      <c r="C3860" s="3" t="s">
        <v>6</v>
      </c>
      <c r="D3860" s="5">
        <f t="shared" si="120"/>
        <v>107.06</v>
      </c>
      <c r="E3860">
        <v>117.52</v>
      </c>
      <c r="F3860" s="1789">
        <v>8.8999999999999996E-2</v>
      </c>
      <c r="G3860">
        <f t="shared" si="121"/>
        <v>107.06</v>
      </c>
    </row>
    <row r="3861" spans="1:7" ht="12.75" customHeight="1">
      <c r="A3861" s="3">
        <v>41614</v>
      </c>
      <c r="B3861" s="4" t="s">
        <v>3884</v>
      </c>
      <c r="C3861" s="3" t="s">
        <v>6</v>
      </c>
      <c r="D3861" s="5">
        <f t="shared" si="120"/>
        <v>136.41</v>
      </c>
      <c r="E3861">
        <v>149.74</v>
      </c>
      <c r="F3861" s="1789">
        <v>8.8999999999999996E-2</v>
      </c>
      <c r="G3861">
        <f t="shared" si="121"/>
        <v>136.41</v>
      </c>
    </row>
    <row r="3862" spans="1:7" ht="12.75" customHeight="1">
      <c r="A3862" s="3">
        <v>41615</v>
      </c>
      <c r="B3862" s="4" t="s">
        <v>3885</v>
      </c>
      <c r="C3862" s="3" t="s">
        <v>6</v>
      </c>
      <c r="D3862" s="5">
        <f t="shared" si="120"/>
        <v>210.84</v>
      </c>
      <c r="E3862">
        <v>231.44</v>
      </c>
      <c r="F3862" s="1789">
        <v>8.8999999999999996E-2</v>
      </c>
      <c r="G3862">
        <f t="shared" si="121"/>
        <v>210.84</v>
      </c>
    </row>
    <row r="3863" spans="1:7" ht="12.75" customHeight="1">
      <c r="A3863" s="3">
        <v>41616</v>
      </c>
      <c r="B3863" s="4" t="s">
        <v>3886</v>
      </c>
      <c r="C3863" s="3" t="s">
        <v>6</v>
      </c>
      <c r="D3863" s="5">
        <f t="shared" si="120"/>
        <v>315.02999999999997</v>
      </c>
      <c r="E3863">
        <v>345.81</v>
      </c>
      <c r="F3863" s="1789">
        <v>8.8999999999999996E-2</v>
      </c>
      <c r="G3863">
        <f t="shared" si="121"/>
        <v>315.02999999999997</v>
      </c>
    </row>
    <row r="3864" spans="1:7" ht="12.75" customHeight="1">
      <c r="A3864" s="3">
        <v>41617</v>
      </c>
      <c r="B3864" s="4" t="s">
        <v>3887</v>
      </c>
      <c r="C3864" s="3" t="s">
        <v>6</v>
      </c>
      <c r="D3864" s="5">
        <f t="shared" si="120"/>
        <v>626.4</v>
      </c>
      <c r="E3864">
        <v>687.6</v>
      </c>
      <c r="F3864" s="1789">
        <v>8.8999999999999996E-2</v>
      </c>
      <c r="G3864">
        <f t="shared" si="121"/>
        <v>626.4</v>
      </c>
    </row>
    <row r="3865" spans="1:7" ht="12.75" customHeight="1">
      <c r="A3865" s="3">
        <v>41618</v>
      </c>
      <c r="B3865" s="4" t="s">
        <v>3888</v>
      </c>
      <c r="C3865" s="3" t="s">
        <v>6</v>
      </c>
      <c r="D3865" s="5">
        <f t="shared" si="120"/>
        <v>1153.18</v>
      </c>
      <c r="E3865">
        <v>1265.8399999999999</v>
      </c>
      <c r="F3865" s="1789">
        <v>8.8999999999999996E-2</v>
      </c>
      <c r="G3865">
        <f t="shared" si="121"/>
        <v>1153.18</v>
      </c>
    </row>
    <row r="3866" spans="1:7" ht="12.75" customHeight="1">
      <c r="A3866" s="3">
        <v>43428</v>
      </c>
      <c r="B3866" s="4" t="s">
        <v>3889</v>
      </c>
      <c r="C3866" s="3" t="s">
        <v>6</v>
      </c>
      <c r="D3866" s="5">
        <f t="shared" si="120"/>
        <v>2025.58</v>
      </c>
      <c r="E3866">
        <v>2223.4699999999998</v>
      </c>
      <c r="F3866" s="1789">
        <v>8.8999999999999996E-2</v>
      </c>
      <c r="G3866">
        <f t="shared" si="121"/>
        <v>2025.58</v>
      </c>
    </row>
    <row r="3867" spans="1:7" ht="12.75" customHeight="1">
      <c r="A3867" s="3">
        <v>41619</v>
      </c>
      <c r="B3867" s="4" t="s">
        <v>3890</v>
      </c>
      <c r="C3867" s="3" t="s">
        <v>6</v>
      </c>
      <c r="D3867" s="5">
        <f t="shared" si="120"/>
        <v>131.22999999999999</v>
      </c>
      <c r="E3867">
        <v>144.06</v>
      </c>
      <c r="F3867" s="1789">
        <v>8.8999999999999996E-2</v>
      </c>
      <c r="G3867">
        <f t="shared" si="121"/>
        <v>131.22999999999999</v>
      </c>
    </row>
    <row r="3868" spans="1:7" ht="12.75" customHeight="1">
      <c r="A3868" s="3">
        <v>41620</v>
      </c>
      <c r="B3868" s="4" t="s">
        <v>3891</v>
      </c>
      <c r="C3868" s="3" t="s">
        <v>6</v>
      </c>
      <c r="D3868" s="5">
        <f t="shared" si="120"/>
        <v>165.77</v>
      </c>
      <c r="E3868">
        <v>181.97</v>
      </c>
      <c r="F3868" s="1789">
        <v>8.8999999999999996E-2</v>
      </c>
      <c r="G3868">
        <f t="shared" si="121"/>
        <v>165.77</v>
      </c>
    </row>
    <row r="3869" spans="1:7" ht="12.75" customHeight="1">
      <c r="A3869" s="3">
        <v>41622</v>
      </c>
      <c r="B3869" s="4" t="s">
        <v>3892</v>
      </c>
      <c r="C3869" s="3" t="s">
        <v>6</v>
      </c>
      <c r="D3869" s="5">
        <f t="shared" si="120"/>
        <v>287.51</v>
      </c>
      <c r="E3869">
        <v>315.60000000000002</v>
      </c>
      <c r="F3869" s="1789">
        <v>8.8999999999999996E-2</v>
      </c>
      <c r="G3869">
        <f t="shared" si="121"/>
        <v>287.51</v>
      </c>
    </row>
    <row r="3870" spans="1:7" ht="12.75" customHeight="1">
      <c r="A3870" s="3">
        <v>41623</v>
      </c>
      <c r="B3870" s="4" t="s">
        <v>3893</v>
      </c>
      <c r="C3870" s="3" t="s">
        <v>6</v>
      </c>
      <c r="D3870" s="5">
        <f t="shared" si="120"/>
        <v>442.06</v>
      </c>
      <c r="E3870">
        <v>485.25</v>
      </c>
      <c r="F3870" s="1789">
        <v>8.8999999999999996E-2</v>
      </c>
      <c r="G3870">
        <f t="shared" si="121"/>
        <v>442.06</v>
      </c>
    </row>
    <row r="3871" spans="1:7" ht="12.75" customHeight="1">
      <c r="A3871" s="3">
        <v>41624</v>
      </c>
      <c r="B3871" s="4" t="s">
        <v>3894</v>
      </c>
      <c r="C3871" s="3" t="s">
        <v>6</v>
      </c>
      <c r="D3871" s="5">
        <f t="shared" si="120"/>
        <v>828.88</v>
      </c>
      <c r="E3871">
        <v>909.86</v>
      </c>
      <c r="F3871" s="1789">
        <v>8.8999999999999996E-2</v>
      </c>
      <c r="G3871">
        <f t="shared" si="121"/>
        <v>828.88</v>
      </c>
    </row>
    <row r="3872" spans="1:7" ht="12.75" customHeight="1">
      <c r="A3872" s="3">
        <v>41625</v>
      </c>
      <c r="B3872" s="4" t="s">
        <v>3895</v>
      </c>
      <c r="C3872" s="3" t="s">
        <v>6</v>
      </c>
      <c r="D3872" s="5">
        <f t="shared" si="120"/>
        <v>1275.27</v>
      </c>
      <c r="E3872">
        <v>1399.86</v>
      </c>
      <c r="F3872" s="1789">
        <v>8.8999999999999996E-2</v>
      </c>
      <c r="G3872">
        <f t="shared" si="121"/>
        <v>1275.27</v>
      </c>
    </row>
    <row r="3873" spans="1:7" ht="12.75" customHeight="1">
      <c r="A3873" s="3">
        <v>39352</v>
      </c>
      <c r="B3873" s="4" t="s">
        <v>3896</v>
      </c>
      <c r="C3873" s="3" t="s">
        <v>6</v>
      </c>
      <c r="D3873" s="5">
        <f t="shared" si="120"/>
        <v>3.48</v>
      </c>
      <c r="E3873">
        <v>3.83</v>
      </c>
      <c r="F3873" s="1789">
        <v>8.8999999999999996E-2</v>
      </c>
      <c r="G3873">
        <f t="shared" si="121"/>
        <v>3.48</v>
      </c>
    </row>
    <row r="3874" spans="1:7" ht="12.75" customHeight="1">
      <c r="A3874" s="3">
        <v>39346</v>
      </c>
      <c r="B3874" s="4" t="s">
        <v>3897</v>
      </c>
      <c r="C3874" s="3" t="s">
        <v>6</v>
      </c>
      <c r="D3874" s="5">
        <f t="shared" si="120"/>
        <v>3.48</v>
      </c>
      <c r="E3874">
        <v>3.83</v>
      </c>
      <c r="F3874" s="1789">
        <v>8.8999999999999996E-2</v>
      </c>
      <c r="G3874">
        <f t="shared" si="121"/>
        <v>3.48</v>
      </c>
    </row>
    <row r="3875" spans="1:7" ht="12.75" customHeight="1">
      <c r="A3875" s="3">
        <v>39350</v>
      </c>
      <c r="B3875" s="4" t="s">
        <v>3898</v>
      </c>
      <c r="C3875" s="3" t="s">
        <v>6</v>
      </c>
      <c r="D3875" s="5">
        <f t="shared" si="120"/>
        <v>3.75</v>
      </c>
      <c r="E3875">
        <v>4.12</v>
      </c>
      <c r="F3875" s="1789">
        <v>8.8999999999999996E-2</v>
      </c>
      <c r="G3875">
        <f t="shared" si="121"/>
        <v>3.75</v>
      </c>
    </row>
    <row r="3876" spans="1:7" ht="12.75" customHeight="1">
      <c r="A3876" s="3">
        <v>39351</v>
      </c>
      <c r="B3876" s="4" t="s">
        <v>3899</v>
      </c>
      <c r="C3876" s="3" t="s">
        <v>6</v>
      </c>
      <c r="D3876" s="5">
        <f t="shared" si="120"/>
        <v>4.34</v>
      </c>
      <c r="E3876">
        <v>4.7699999999999996</v>
      </c>
      <c r="F3876" s="1789">
        <v>8.8999999999999996E-2</v>
      </c>
      <c r="G3876">
        <f t="shared" si="121"/>
        <v>4.34</v>
      </c>
    </row>
    <row r="3877" spans="1:7" ht="12.75" customHeight="1">
      <c r="A3877" s="3">
        <v>38837</v>
      </c>
      <c r="B3877" s="4" t="s">
        <v>3900</v>
      </c>
      <c r="C3877" s="3" t="s">
        <v>6</v>
      </c>
      <c r="D3877" s="5">
        <f t="shared" si="120"/>
        <v>7.52</v>
      </c>
      <c r="E3877">
        <v>8.26</v>
      </c>
      <c r="F3877" s="1789">
        <v>8.8999999999999996E-2</v>
      </c>
      <c r="G3877">
        <f t="shared" si="121"/>
        <v>7.52</v>
      </c>
    </row>
    <row r="3878" spans="1:7" ht="12.75" customHeight="1">
      <c r="A3878" s="3">
        <v>38836</v>
      </c>
      <c r="B3878" s="4" t="s">
        <v>3901</v>
      </c>
      <c r="C3878" s="3" t="s">
        <v>6</v>
      </c>
      <c r="D3878" s="5">
        <f t="shared" si="120"/>
        <v>5.25</v>
      </c>
      <c r="E3878">
        <v>5.77</v>
      </c>
      <c r="F3878" s="1789">
        <v>8.8999999999999996E-2</v>
      </c>
      <c r="G3878">
        <f t="shared" si="121"/>
        <v>5.25</v>
      </c>
    </row>
    <row r="3879" spans="1:7" ht="12.75" customHeight="1">
      <c r="A3879" s="3">
        <v>2666</v>
      </c>
      <c r="B3879" s="4" t="s">
        <v>3902</v>
      </c>
      <c r="C3879" s="3" t="s">
        <v>6</v>
      </c>
      <c r="D3879" s="5">
        <f t="shared" si="120"/>
        <v>5.51</v>
      </c>
      <c r="E3879">
        <v>6.05</v>
      </c>
      <c r="F3879" s="1789">
        <v>8.8999999999999996E-2</v>
      </c>
      <c r="G3879">
        <f t="shared" si="121"/>
        <v>5.51</v>
      </c>
    </row>
    <row r="3880" spans="1:7" ht="12.75" customHeight="1">
      <c r="A3880" s="3">
        <v>2668</v>
      </c>
      <c r="B3880" s="4" t="s">
        <v>3903</v>
      </c>
      <c r="C3880" s="3" t="s">
        <v>6</v>
      </c>
      <c r="D3880" s="5">
        <f t="shared" si="120"/>
        <v>6.29</v>
      </c>
      <c r="E3880">
        <v>6.91</v>
      </c>
      <c r="F3880" s="1789">
        <v>8.8999999999999996E-2</v>
      </c>
      <c r="G3880">
        <f t="shared" si="121"/>
        <v>6.29</v>
      </c>
    </row>
    <row r="3881" spans="1:7" ht="12.75" customHeight="1">
      <c r="A3881" s="3">
        <v>2664</v>
      </c>
      <c r="B3881" s="4" t="s">
        <v>3904</v>
      </c>
      <c r="C3881" s="3" t="s">
        <v>6</v>
      </c>
      <c r="D3881" s="5">
        <f t="shared" si="120"/>
        <v>9.2899999999999991</v>
      </c>
      <c r="E3881">
        <v>10.199999999999999</v>
      </c>
      <c r="F3881" s="1789">
        <v>8.8999999999999996E-2</v>
      </c>
      <c r="G3881">
        <f t="shared" si="121"/>
        <v>9.2899999999999991</v>
      </c>
    </row>
    <row r="3882" spans="1:7" ht="12.75" customHeight="1">
      <c r="A3882" s="3">
        <v>2662</v>
      </c>
      <c r="B3882" s="4" t="s">
        <v>3905</v>
      </c>
      <c r="C3882" s="3" t="s">
        <v>6</v>
      </c>
      <c r="D3882" s="5">
        <f t="shared" si="120"/>
        <v>11.39</v>
      </c>
      <c r="E3882">
        <v>12.51</v>
      </c>
      <c r="F3882" s="1789">
        <v>8.8999999999999996E-2</v>
      </c>
      <c r="G3882">
        <f t="shared" si="121"/>
        <v>11.39</v>
      </c>
    </row>
    <row r="3883" spans="1:7" ht="12.75" customHeight="1">
      <c r="A3883" s="3">
        <v>20964</v>
      </c>
      <c r="B3883" s="4" t="s">
        <v>3906</v>
      </c>
      <c r="C3883" s="3" t="s">
        <v>6</v>
      </c>
      <c r="D3883" s="5">
        <f t="shared" si="120"/>
        <v>56.87</v>
      </c>
      <c r="E3883">
        <v>62.43</v>
      </c>
      <c r="F3883" s="1789">
        <v>8.8999999999999996E-2</v>
      </c>
      <c r="G3883">
        <f t="shared" si="121"/>
        <v>56.87</v>
      </c>
    </row>
    <row r="3884" spans="1:7" ht="12.75" customHeight="1">
      <c r="A3884" s="3">
        <v>10905</v>
      </c>
      <c r="B3884" s="4" t="s">
        <v>3907</v>
      </c>
      <c r="C3884" s="3" t="s">
        <v>6</v>
      </c>
      <c r="D3884" s="5">
        <f t="shared" si="120"/>
        <v>76.290000000000006</v>
      </c>
      <c r="E3884">
        <v>83.75</v>
      </c>
      <c r="F3884" s="1789">
        <v>8.8999999999999996E-2</v>
      </c>
      <c r="G3884">
        <f t="shared" si="121"/>
        <v>76.290000000000006</v>
      </c>
    </row>
    <row r="3885" spans="1:7" ht="12.75" customHeight="1">
      <c r="A3885" s="3">
        <v>11289</v>
      </c>
      <c r="B3885" s="4" t="s">
        <v>3908</v>
      </c>
      <c r="C3885" s="3" t="s">
        <v>6</v>
      </c>
      <c r="D3885" s="5">
        <f t="shared" si="120"/>
        <v>91.74</v>
      </c>
      <c r="E3885">
        <v>100.71</v>
      </c>
      <c r="F3885" s="1789">
        <v>8.8999999999999996E-2</v>
      </c>
      <c r="G3885">
        <f t="shared" si="121"/>
        <v>91.74</v>
      </c>
    </row>
    <row r="3886" spans="1:7" ht="12.75" customHeight="1">
      <c r="A3886" s="3">
        <v>11241</v>
      </c>
      <c r="B3886" s="4" t="s">
        <v>3909</v>
      </c>
      <c r="C3886" s="3" t="s">
        <v>6</v>
      </c>
      <c r="D3886" s="5">
        <f t="shared" si="120"/>
        <v>229.37</v>
      </c>
      <c r="E3886">
        <v>251.78</v>
      </c>
      <c r="F3886" s="1789">
        <v>8.8999999999999996E-2</v>
      </c>
      <c r="G3886">
        <f t="shared" si="121"/>
        <v>229.37</v>
      </c>
    </row>
    <row r="3887" spans="1:7" ht="12.75" customHeight="1">
      <c r="A3887" s="3">
        <v>11301</v>
      </c>
      <c r="B3887" s="4" t="s">
        <v>3910</v>
      </c>
      <c r="C3887" s="3" t="s">
        <v>6</v>
      </c>
      <c r="D3887" s="5">
        <f t="shared" si="120"/>
        <v>581.61</v>
      </c>
      <c r="E3887">
        <v>638.44000000000005</v>
      </c>
      <c r="F3887" s="1789">
        <v>8.8999999999999996E-2</v>
      </c>
      <c r="G3887">
        <f t="shared" si="121"/>
        <v>581.61</v>
      </c>
    </row>
    <row r="3888" spans="1:7" ht="12.75" customHeight="1">
      <c r="A3888" s="3">
        <v>21090</v>
      </c>
      <c r="B3888" s="4" t="s">
        <v>3911</v>
      </c>
      <c r="C3888" s="3" t="s">
        <v>6</v>
      </c>
      <c r="D3888" s="5">
        <f t="shared" si="120"/>
        <v>712.69</v>
      </c>
      <c r="E3888">
        <v>782.32</v>
      </c>
      <c r="F3888" s="1789">
        <v>8.8999999999999996E-2</v>
      </c>
      <c r="G3888">
        <f t="shared" si="121"/>
        <v>712.69</v>
      </c>
    </row>
    <row r="3889" spans="1:7" ht="12.75" customHeight="1">
      <c r="A3889" s="3">
        <v>11315</v>
      </c>
      <c r="B3889" s="4" t="s">
        <v>3912</v>
      </c>
      <c r="C3889" s="3" t="s">
        <v>6</v>
      </c>
      <c r="D3889" s="5">
        <f t="shared" si="120"/>
        <v>139.25</v>
      </c>
      <c r="E3889">
        <v>152.86000000000001</v>
      </c>
      <c r="F3889" s="1789">
        <v>8.8999999999999996E-2</v>
      </c>
      <c r="G3889">
        <f t="shared" si="121"/>
        <v>139.25</v>
      </c>
    </row>
    <row r="3890" spans="1:7" ht="12.75" customHeight="1">
      <c r="A3890" s="3">
        <v>21071</v>
      </c>
      <c r="B3890" s="4" t="s">
        <v>3913</v>
      </c>
      <c r="C3890" s="3" t="s">
        <v>6</v>
      </c>
      <c r="D3890" s="5">
        <f t="shared" si="120"/>
        <v>212.98</v>
      </c>
      <c r="E3890">
        <v>233.79</v>
      </c>
      <c r="F3890" s="1789">
        <v>8.8999999999999996E-2</v>
      </c>
      <c r="G3890">
        <f t="shared" si="121"/>
        <v>212.98</v>
      </c>
    </row>
    <row r="3891" spans="1:7" ht="12.75" customHeight="1">
      <c r="A3891" s="3">
        <v>14112</v>
      </c>
      <c r="B3891" s="4" t="s">
        <v>3914</v>
      </c>
      <c r="C3891" s="3" t="s">
        <v>6</v>
      </c>
      <c r="D3891" s="5">
        <f t="shared" si="120"/>
        <v>297.35000000000002</v>
      </c>
      <c r="E3891">
        <v>326.41000000000003</v>
      </c>
      <c r="F3891" s="1789">
        <v>8.8999999999999996E-2</v>
      </c>
      <c r="G3891">
        <f t="shared" si="121"/>
        <v>297.35000000000002</v>
      </c>
    </row>
    <row r="3892" spans="1:7" ht="12.75" customHeight="1">
      <c r="A3892" s="3">
        <v>11316</v>
      </c>
      <c r="B3892" s="4" t="s">
        <v>3915</v>
      </c>
      <c r="C3892" s="3" t="s">
        <v>6</v>
      </c>
      <c r="D3892" s="5">
        <f t="shared" si="120"/>
        <v>458.74</v>
      </c>
      <c r="E3892">
        <v>503.56</v>
      </c>
      <c r="F3892" s="1789">
        <v>8.8999999999999996E-2</v>
      </c>
      <c r="G3892">
        <f t="shared" si="121"/>
        <v>458.74</v>
      </c>
    </row>
    <row r="3893" spans="1:7" ht="12.75" customHeight="1">
      <c r="A3893" s="3">
        <v>6243</v>
      </c>
      <c r="B3893" s="4" t="s">
        <v>3916</v>
      </c>
      <c r="C3893" s="3" t="s">
        <v>6</v>
      </c>
      <c r="D3893" s="5">
        <f t="shared" si="120"/>
        <v>528.38</v>
      </c>
      <c r="E3893">
        <v>580</v>
      </c>
      <c r="F3893" s="1789">
        <v>8.8999999999999996E-2</v>
      </c>
      <c r="G3893">
        <f t="shared" si="121"/>
        <v>528.38</v>
      </c>
    </row>
    <row r="3894" spans="1:7" ht="12.75" customHeight="1">
      <c r="A3894" s="3">
        <v>6240</v>
      </c>
      <c r="B3894" s="4" t="s">
        <v>3917</v>
      </c>
      <c r="C3894" s="3" t="s">
        <v>6</v>
      </c>
      <c r="D3894" s="5">
        <f t="shared" si="120"/>
        <v>699.58</v>
      </c>
      <c r="E3894">
        <v>767.93</v>
      </c>
      <c r="F3894" s="1789">
        <v>8.8999999999999996E-2</v>
      </c>
      <c r="G3894">
        <f t="shared" si="121"/>
        <v>699.58</v>
      </c>
    </row>
    <row r="3895" spans="1:7" ht="12.75" customHeight="1">
      <c r="A3895" s="3">
        <v>11296</v>
      </c>
      <c r="B3895" s="4" t="s">
        <v>3918</v>
      </c>
      <c r="C3895" s="3" t="s">
        <v>6</v>
      </c>
      <c r="D3895" s="5">
        <f t="shared" si="120"/>
        <v>2229.02</v>
      </c>
      <c r="E3895">
        <v>2446.79</v>
      </c>
      <c r="F3895" s="1789">
        <v>8.8999999999999996E-2</v>
      </c>
      <c r="G3895">
        <f t="shared" si="121"/>
        <v>2229.02</v>
      </c>
    </row>
    <row r="3896" spans="1:7" ht="12.75" customHeight="1">
      <c r="A3896" s="3">
        <v>11299</v>
      </c>
      <c r="B3896" s="4" t="s">
        <v>3919</v>
      </c>
      <c r="C3896" s="3" t="s">
        <v>6</v>
      </c>
      <c r="D3896" s="5">
        <f t="shared" si="120"/>
        <v>754.47</v>
      </c>
      <c r="E3896">
        <v>828.18</v>
      </c>
      <c r="F3896" s="1789">
        <v>8.8999999999999996E-2</v>
      </c>
      <c r="G3896">
        <f t="shared" si="121"/>
        <v>754.47</v>
      </c>
    </row>
    <row r="3897" spans="1:7" ht="12.75" customHeight="1">
      <c r="A3897" s="3">
        <v>11688</v>
      </c>
      <c r="B3897" s="4" t="s">
        <v>3920</v>
      </c>
      <c r="C3897" s="3" t="s">
        <v>6</v>
      </c>
      <c r="D3897" s="5">
        <f t="shared" si="120"/>
        <v>454.27</v>
      </c>
      <c r="E3897">
        <v>498.65</v>
      </c>
      <c r="F3897" s="1789">
        <v>8.8999999999999996E-2</v>
      </c>
      <c r="G3897">
        <f t="shared" si="121"/>
        <v>454.27</v>
      </c>
    </row>
    <row r="3898" spans="1:7" ht="12.75" customHeight="1">
      <c r="A3898" s="3">
        <v>37736</v>
      </c>
      <c r="B3898" s="4" t="s">
        <v>3921</v>
      </c>
      <c r="C3898" s="3" t="s">
        <v>6</v>
      </c>
      <c r="D3898" s="5">
        <f t="shared" si="120"/>
        <v>78300.45</v>
      </c>
      <c r="E3898">
        <v>85950</v>
      </c>
      <c r="F3898" s="1789">
        <v>8.8999999999999996E-2</v>
      </c>
      <c r="G3898">
        <f t="shared" si="121"/>
        <v>78300.45</v>
      </c>
    </row>
    <row r="3899" spans="1:7" ht="12.75" customHeight="1">
      <c r="A3899" s="3">
        <v>37739</v>
      </c>
      <c r="B3899" s="4" t="s">
        <v>3922</v>
      </c>
      <c r="C3899" s="3" t="s">
        <v>6</v>
      </c>
      <c r="D3899" s="5">
        <f t="shared" si="120"/>
        <v>96369.77</v>
      </c>
      <c r="E3899">
        <v>105784.61</v>
      </c>
      <c r="F3899" s="1789">
        <v>8.8999999999999996E-2</v>
      </c>
      <c r="G3899">
        <f t="shared" si="121"/>
        <v>96369.77</v>
      </c>
    </row>
    <row r="3900" spans="1:7" ht="12.75" customHeight="1">
      <c r="A3900" s="3">
        <v>37740</v>
      </c>
      <c r="B3900" s="4" t="s">
        <v>3923</v>
      </c>
      <c r="C3900" s="3" t="s">
        <v>6</v>
      </c>
      <c r="D3900" s="5">
        <f t="shared" si="120"/>
        <v>54993.61</v>
      </c>
      <c r="E3900">
        <v>60366.21</v>
      </c>
      <c r="F3900" s="1789">
        <v>8.8999999999999996E-2</v>
      </c>
      <c r="G3900">
        <f t="shared" si="121"/>
        <v>54993.61</v>
      </c>
    </row>
    <row r="3901" spans="1:7" ht="12.75" customHeight="1">
      <c r="A3901" s="3">
        <v>37738</v>
      </c>
      <c r="B3901" s="4" t="s">
        <v>3924</v>
      </c>
      <c r="C3901" s="3" t="s">
        <v>6</v>
      </c>
      <c r="D3901" s="5">
        <f t="shared" si="120"/>
        <v>65337.66</v>
      </c>
      <c r="E3901">
        <v>71720.820000000007</v>
      </c>
      <c r="F3901" s="1789">
        <v>8.8999999999999996E-2</v>
      </c>
      <c r="G3901">
        <f t="shared" si="121"/>
        <v>65337.66</v>
      </c>
    </row>
    <row r="3902" spans="1:7" ht="12.75" customHeight="1">
      <c r="A3902" s="3">
        <v>37737</v>
      </c>
      <c r="B3902" s="4" t="s">
        <v>3925</v>
      </c>
      <c r="C3902" s="3" t="s">
        <v>6</v>
      </c>
      <c r="D3902" s="5">
        <f t="shared" si="120"/>
        <v>51982.06</v>
      </c>
      <c r="E3902">
        <v>57060.45</v>
      </c>
      <c r="F3902" s="1789">
        <v>8.8999999999999996E-2</v>
      </c>
      <c r="G3902">
        <f t="shared" si="121"/>
        <v>51982.06</v>
      </c>
    </row>
    <row r="3903" spans="1:7" ht="12.75" customHeight="1">
      <c r="A3903" s="3">
        <v>25014</v>
      </c>
      <c r="B3903" s="4" t="s">
        <v>3926</v>
      </c>
      <c r="C3903" s="3" t="s">
        <v>6</v>
      </c>
      <c r="D3903" s="5">
        <f t="shared" si="120"/>
        <v>108874.28</v>
      </c>
      <c r="E3903">
        <v>119510.74</v>
      </c>
      <c r="F3903" s="1789">
        <v>8.8999999999999996E-2</v>
      </c>
      <c r="G3903">
        <f t="shared" si="121"/>
        <v>108874.28</v>
      </c>
    </row>
    <row r="3904" spans="1:7" ht="12.75" customHeight="1">
      <c r="A3904" s="3">
        <v>25013</v>
      </c>
      <c r="B3904" s="4" t="s">
        <v>3927</v>
      </c>
      <c r="C3904" s="3" t="s">
        <v>6</v>
      </c>
      <c r="D3904" s="5">
        <f t="shared" si="120"/>
        <v>114111.77</v>
      </c>
      <c r="E3904">
        <v>125259.91</v>
      </c>
      <c r="F3904" s="1789">
        <v>8.8999999999999996E-2</v>
      </c>
      <c r="G3904">
        <f t="shared" si="121"/>
        <v>114111.77</v>
      </c>
    </row>
    <row r="3905" spans="1:7" ht="12.75" customHeight="1">
      <c r="A3905" s="3">
        <v>14405</v>
      </c>
      <c r="B3905" s="4" t="s">
        <v>3928</v>
      </c>
      <c r="C3905" s="3" t="s">
        <v>6</v>
      </c>
      <c r="D3905" s="5">
        <f t="shared" si="120"/>
        <v>133948.75</v>
      </c>
      <c r="E3905">
        <v>147034.85999999999</v>
      </c>
      <c r="F3905" s="1789">
        <v>8.8999999999999996E-2</v>
      </c>
      <c r="G3905">
        <f t="shared" si="121"/>
        <v>133948.75</v>
      </c>
    </row>
    <row r="3906" spans="1:7" ht="12.75" customHeight="1">
      <c r="A3906" s="3">
        <v>20271</v>
      </c>
      <c r="B3906" s="4" t="s">
        <v>3929</v>
      </c>
      <c r="C3906" s="3" t="s">
        <v>6</v>
      </c>
      <c r="D3906" s="5">
        <f t="shared" si="120"/>
        <v>475.28</v>
      </c>
      <c r="E3906">
        <v>521.72</v>
      </c>
      <c r="F3906" s="1789">
        <v>8.8999999999999996E-2</v>
      </c>
      <c r="G3906">
        <f t="shared" si="121"/>
        <v>475.28</v>
      </c>
    </row>
    <row r="3907" spans="1:7" ht="12.75" customHeight="1">
      <c r="A3907" s="3">
        <v>10423</v>
      </c>
      <c r="B3907" s="4" t="s">
        <v>3930</v>
      </c>
      <c r="C3907" s="3" t="s">
        <v>6</v>
      </c>
      <c r="D3907" s="5">
        <f t="shared" ref="D3907:D3970" si="122">G3907</f>
        <v>348.96</v>
      </c>
      <c r="E3907">
        <v>383.06</v>
      </c>
      <c r="F3907" s="1789">
        <v>8.8999999999999996E-2</v>
      </c>
      <c r="G3907">
        <f t="shared" ref="G3907:G3970" si="123">TRUNC((1-F3907)*E3907,2)</f>
        <v>348.96</v>
      </c>
    </row>
    <row r="3908" spans="1:7" ht="12.75" customHeight="1">
      <c r="A3908" s="3">
        <v>36790</v>
      </c>
      <c r="B3908" s="4" t="s">
        <v>3931</v>
      </c>
      <c r="C3908" s="3" t="s">
        <v>6</v>
      </c>
      <c r="D3908" s="5">
        <f t="shared" si="122"/>
        <v>308.54000000000002</v>
      </c>
      <c r="E3908">
        <v>338.69</v>
      </c>
      <c r="F3908" s="1789">
        <v>8.8999999999999996E-2</v>
      </c>
      <c r="G3908">
        <f t="shared" si="123"/>
        <v>308.54000000000002</v>
      </c>
    </row>
    <row r="3909" spans="1:7" ht="12.75" customHeight="1">
      <c r="A3909" s="3">
        <v>37589</v>
      </c>
      <c r="B3909" s="4" t="s">
        <v>3932</v>
      </c>
      <c r="C3909" s="3" t="s">
        <v>6</v>
      </c>
      <c r="D3909" s="5">
        <f t="shared" si="122"/>
        <v>378.04</v>
      </c>
      <c r="E3909">
        <v>414.98</v>
      </c>
      <c r="F3909" s="1789">
        <v>8.8999999999999996E-2</v>
      </c>
      <c r="G3909">
        <f t="shared" si="123"/>
        <v>378.04</v>
      </c>
    </row>
    <row r="3910" spans="1:7" ht="12.75" customHeight="1">
      <c r="A3910" s="3">
        <v>11690</v>
      </c>
      <c r="B3910" s="4" t="s">
        <v>3933</v>
      </c>
      <c r="C3910" s="3" t="s">
        <v>6</v>
      </c>
      <c r="D3910" s="5">
        <f t="shared" si="122"/>
        <v>200.82</v>
      </c>
      <c r="E3910">
        <v>220.45</v>
      </c>
      <c r="F3910" s="1789">
        <v>8.8999999999999996E-2</v>
      </c>
      <c r="G3910">
        <f t="shared" si="123"/>
        <v>200.82</v>
      </c>
    </row>
    <row r="3911" spans="1:7" ht="12.75" customHeight="1">
      <c r="A3911" s="3">
        <v>20234</v>
      </c>
      <c r="B3911" s="4" t="s">
        <v>3934</v>
      </c>
      <c r="C3911" s="3" t="s">
        <v>6</v>
      </c>
      <c r="D3911" s="5">
        <f t="shared" si="122"/>
        <v>254.15</v>
      </c>
      <c r="E3911">
        <v>278.98</v>
      </c>
      <c r="F3911" s="1789">
        <v>8.8999999999999996E-2</v>
      </c>
      <c r="G3911">
        <f t="shared" si="123"/>
        <v>254.15</v>
      </c>
    </row>
    <row r="3912" spans="1:7" ht="12.75" customHeight="1">
      <c r="A3912" s="3">
        <v>44480</v>
      </c>
      <c r="B3912" s="4" t="s">
        <v>3935</v>
      </c>
      <c r="C3912" s="3" t="s">
        <v>152</v>
      </c>
      <c r="D3912" s="5">
        <f t="shared" si="122"/>
        <v>17.91</v>
      </c>
      <c r="E3912">
        <v>19.670000000000002</v>
      </c>
      <c r="F3912" s="1789">
        <v>8.8999999999999996E-2</v>
      </c>
      <c r="G3912">
        <f t="shared" si="123"/>
        <v>17.91</v>
      </c>
    </row>
    <row r="3913" spans="1:7" ht="12.75" customHeight="1">
      <c r="A3913" s="3">
        <v>11457</v>
      </c>
      <c r="B3913" s="4" t="s">
        <v>3936</v>
      </c>
      <c r="C3913" s="3" t="s">
        <v>6</v>
      </c>
      <c r="D3913" s="5">
        <f t="shared" si="122"/>
        <v>49.41</v>
      </c>
      <c r="E3913">
        <v>54.24</v>
      </c>
      <c r="F3913" s="1789">
        <v>8.8999999999999996E-2</v>
      </c>
      <c r="G3913">
        <f t="shared" si="123"/>
        <v>49.41</v>
      </c>
    </row>
    <row r="3914" spans="1:7" ht="12.75" customHeight="1">
      <c r="A3914" s="3">
        <v>44073</v>
      </c>
      <c r="B3914" s="4" t="s">
        <v>3937</v>
      </c>
      <c r="C3914" s="3" t="s">
        <v>50</v>
      </c>
      <c r="D3914" s="5">
        <f t="shared" si="122"/>
        <v>0.64</v>
      </c>
      <c r="E3914">
        <v>0.71</v>
      </c>
      <c r="F3914" s="1789">
        <v>8.8999999999999996E-2</v>
      </c>
      <c r="G3914">
        <f t="shared" si="123"/>
        <v>0.64</v>
      </c>
    </row>
    <row r="3915" spans="1:7" ht="12.75" customHeight="1">
      <c r="A3915" s="3">
        <v>44253</v>
      </c>
      <c r="B3915" s="4" t="s">
        <v>3938</v>
      </c>
      <c r="C3915" s="3" t="s">
        <v>6</v>
      </c>
      <c r="D3915" s="5">
        <f t="shared" si="122"/>
        <v>241.99</v>
      </c>
      <c r="E3915">
        <v>265.64</v>
      </c>
      <c r="F3915" s="1789">
        <v>8.8999999999999996E-2</v>
      </c>
      <c r="G3915">
        <f t="shared" si="123"/>
        <v>241.99</v>
      </c>
    </row>
    <row r="3916" spans="1:7" ht="12.75" customHeight="1">
      <c r="A3916" s="3">
        <v>21121</v>
      </c>
      <c r="B3916" s="4" t="s">
        <v>3939</v>
      </c>
      <c r="C3916" s="3" t="s">
        <v>6</v>
      </c>
      <c r="D3916" s="5">
        <f t="shared" si="122"/>
        <v>3.47</v>
      </c>
      <c r="E3916">
        <v>3.81</v>
      </c>
      <c r="F3916" s="1789">
        <v>8.8999999999999996E-2</v>
      </c>
      <c r="G3916">
        <f t="shared" si="123"/>
        <v>3.47</v>
      </c>
    </row>
    <row r="3917" spans="1:7" ht="12.75" customHeight="1">
      <c r="A3917" s="3">
        <v>38010</v>
      </c>
      <c r="B3917" s="4" t="s">
        <v>3940</v>
      </c>
      <c r="C3917" s="3" t="s">
        <v>6</v>
      </c>
      <c r="D3917" s="5">
        <f t="shared" si="122"/>
        <v>4.3099999999999996</v>
      </c>
      <c r="E3917">
        <v>4.74</v>
      </c>
      <c r="F3917" s="1789">
        <v>8.8999999999999996E-2</v>
      </c>
      <c r="G3917">
        <f t="shared" si="123"/>
        <v>4.3099999999999996</v>
      </c>
    </row>
    <row r="3918" spans="1:7" ht="12.75" customHeight="1">
      <c r="A3918" s="3">
        <v>38011</v>
      </c>
      <c r="B3918" s="4" t="s">
        <v>3941</v>
      </c>
      <c r="C3918" s="3" t="s">
        <v>6</v>
      </c>
      <c r="D3918" s="5">
        <f t="shared" si="122"/>
        <v>8.66</v>
      </c>
      <c r="E3918">
        <v>9.51</v>
      </c>
      <c r="F3918" s="1789">
        <v>8.8999999999999996E-2</v>
      </c>
      <c r="G3918">
        <f t="shared" si="123"/>
        <v>8.66</v>
      </c>
    </row>
    <row r="3919" spans="1:7" ht="12.75" customHeight="1">
      <c r="A3919" s="3">
        <v>38012</v>
      </c>
      <c r="B3919" s="4" t="s">
        <v>3942</v>
      </c>
      <c r="C3919" s="3" t="s">
        <v>6</v>
      </c>
      <c r="D3919" s="5">
        <f t="shared" si="122"/>
        <v>33.03</v>
      </c>
      <c r="E3919">
        <v>36.26</v>
      </c>
      <c r="F3919" s="1789">
        <v>8.8999999999999996E-2</v>
      </c>
      <c r="G3919">
        <f t="shared" si="123"/>
        <v>33.03</v>
      </c>
    </row>
    <row r="3920" spans="1:7" ht="12.75" customHeight="1">
      <c r="A3920" s="3">
        <v>38013</v>
      </c>
      <c r="B3920" s="4" t="s">
        <v>3943</v>
      </c>
      <c r="C3920" s="3" t="s">
        <v>6</v>
      </c>
      <c r="D3920" s="5">
        <f t="shared" si="122"/>
        <v>42.43</v>
      </c>
      <c r="E3920">
        <v>46.58</v>
      </c>
      <c r="F3920" s="1789">
        <v>8.8999999999999996E-2</v>
      </c>
      <c r="G3920">
        <f t="shared" si="123"/>
        <v>42.43</v>
      </c>
    </row>
    <row r="3921" spans="1:7" ht="12.75" customHeight="1">
      <c r="A3921" s="3">
        <v>38014</v>
      </c>
      <c r="B3921" s="4" t="s">
        <v>3944</v>
      </c>
      <c r="C3921" s="3" t="s">
        <v>6</v>
      </c>
      <c r="D3921" s="5">
        <f t="shared" si="122"/>
        <v>70.86</v>
      </c>
      <c r="E3921">
        <v>77.790000000000006</v>
      </c>
      <c r="F3921" s="1789">
        <v>8.8999999999999996E-2</v>
      </c>
      <c r="G3921">
        <f t="shared" si="123"/>
        <v>70.86</v>
      </c>
    </row>
    <row r="3922" spans="1:7" ht="12.75" customHeight="1">
      <c r="A3922" s="3">
        <v>38015</v>
      </c>
      <c r="B3922" s="4" t="s">
        <v>3945</v>
      </c>
      <c r="C3922" s="3" t="s">
        <v>6</v>
      </c>
      <c r="D3922" s="5">
        <f t="shared" si="122"/>
        <v>166.61</v>
      </c>
      <c r="E3922">
        <v>182.89</v>
      </c>
      <c r="F3922" s="1789">
        <v>8.8999999999999996E-2</v>
      </c>
      <c r="G3922">
        <f t="shared" si="123"/>
        <v>166.61</v>
      </c>
    </row>
    <row r="3923" spans="1:7" ht="12.75" customHeight="1">
      <c r="A3923" s="3">
        <v>38016</v>
      </c>
      <c r="B3923" s="4" t="s">
        <v>3946</v>
      </c>
      <c r="C3923" s="3" t="s">
        <v>6</v>
      </c>
      <c r="D3923" s="5">
        <f t="shared" si="122"/>
        <v>193.75</v>
      </c>
      <c r="E3923">
        <v>212.68</v>
      </c>
      <c r="F3923" s="1789">
        <v>8.8999999999999996E-2</v>
      </c>
      <c r="G3923">
        <f t="shared" si="123"/>
        <v>193.75</v>
      </c>
    </row>
    <row r="3924" spans="1:7" ht="12.75" customHeight="1">
      <c r="A3924" s="3">
        <v>12741</v>
      </c>
      <c r="B3924" s="4" t="s">
        <v>3947</v>
      </c>
      <c r="C3924" s="3" t="s">
        <v>6</v>
      </c>
      <c r="D3924" s="5">
        <f t="shared" si="122"/>
        <v>1258.93</v>
      </c>
      <c r="E3924">
        <v>1381.93</v>
      </c>
      <c r="F3924" s="1789">
        <v>8.8999999999999996E-2</v>
      </c>
      <c r="G3924">
        <f t="shared" si="123"/>
        <v>1258.93</v>
      </c>
    </row>
    <row r="3925" spans="1:7" ht="12.75" customHeight="1">
      <c r="A3925" s="3">
        <v>12733</v>
      </c>
      <c r="B3925" s="4" t="s">
        <v>3948</v>
      </c>
      <c r="C3925" s="3" t="s">
        <v>6</v>
      </c>
      <c r="D3925" s="5">
        <f t="shared" si="122"/>
        <v>6.33</v>
      </c>
      <c r="E3925">
        <v>6.95</v>
      </c>
      <c r="F3925" s="1789">
        <v>8.8999999999999996E-2</v>
      </c>
      <c r="G3925">
        <f t="shared" si="123"/>
        <v>6.33</v>
      </c>
    </row>
    <row r="3926" spans="1:7" ht="12.75" customHeight="1">
      <c r="A3926" s="3">
        <v>12734</v>
      </c>
      <c r="B3926" s="4" t="s">
        <v>3949</v>
      </c>
      <c r="C3926" s="3" t="s">
        <v>6</v>
      </c>
      <c r="D3926" s="5">
        <f t="shared" si="122"/>
        <v>13.5</v>
      </c>
      <c r="E3926">
        <v>14.82</v>
      </c>
      <c r="F3926" s="1789">
        <v>8.8999999999999996E-2</v>
      </c>
      <c r="G3926">
        <f t="shared" si="123"/>
        <v>13.5</v>
      </c>
    </row>
    <row r="3927" spans="1:7" ht="12.75" customHeight="1">
      <c r="A3927" s="3">
        <v>12735</v>
      </c>
      <c r="B3927" s="4" t="s">
        <v>3950</v>
      </c>
      <c r="C3927" s="3" t="s">
        <v>6</v>
      </c>
      <c r="D3927" s="5">
        <f t="shared" si="122"/>
        <v>22.21</v>
      </c>
      <c r="E3927">
        <v>24.38</v>
      </c>
      <c r="F3927" s="1789">
        <v>8.8999999999999996E-2</v>
      </c>
      <c r="G3927">
        <f t="shared" si="123"/>
        <v>22.21</v>
      </c>
    </row>
    <row r="3928" spans="1:7" ht="12.75" customHeight="1">
      <c r="A3928" s="3">
        <v>12736</v>
      </c>
      <c r="B3928" s="4" t="s">
        <v>3951</v>
      </c>
      <c r="C3928" s="3" t="s">
        <v>6</v>
      </c>
      <c r="D3928" s="5">
        <f t="shared" si="122"/>
        <v>50.77</v>
      </c>
      <c r="E3928">
        <v>55.73</v>
      </c>
      <c r="F3928" s="1789">
        <v>8.8999999999999996E-2</v>
      </c>
      <c r="G3928">
        <f t="shared" si="123"/>
        <v>50.77</v>
      </c>
    </row>
    <row r="3929" spans="1:7" ht="12.75" customHeight="1">
      <c r="A3929" s="3">
        <v>12737</v>
      </c>
      <c r="B3929" s="4" t="s">
        <v>3952</v>
      </c>
      <c r="C3929" s="3" t="s">
        <v>6</v>
      </c>
      <c r="D3929" s="5">
        <f t="shared" si="122"/>
        <v>65.400000000000006</v>
      </c>
      <c r="E3929">
        <v>71.8</v>
      </c>
      <c r="F3929" s="1789">
        <v>8.8999999999999996E-2</v>
      </c>
      <c r="G3929">
        <f t="shared" si="123"/>
        <v>65.400000000000006</v>
      </c>
    </row>
    <row r="3930" spans="1:7" ht="12.75" customHeight="1">
      <c r="A3930" s="3">
        <v>12738</v>
      </c>
      <c r="B3930" s="4" t="s">
        <v>3953</v>
      </c>
      <c r="C3930" s="3" t="s">
        <v>6</v>
      </c>
      <c r="D3930" s="5">
        <f t="shared" si="122"/>
        <v>129.28</v>
      </c>
      <c r="E3930">
        <v>141.91</v>
      </c>
      <c r="F3930" s="1789">
        <v>8.8999999999999996E-2</v>
      </c>
      <c r="G3930">
        <f t="shared" si="123"/>
        <v>129.28</v>
      </c>
    </row>
    <row r="3931" spans="1:7" ht="12.75" customHeight="1">
      <c r="A3931" s="3">
        <v>12739</v>
      </c>
      <c r="B3931" s="4" t="s">
        <v>3954</v>
      </c>
      <c r="C3931" s="3" t="s">
        <v>6</v>
      </c>
      <c r="D3931" s="5">
        <f t="shared" si="122"/>
        <v>368.01</v>
      </c>
      <c r="E3931">
        <v>403.97</v>
      </c>
      <c r="F3931" s="1789">
        <v>8.8999999999999996E-2</v>
      </c>
      <c r="G3931">
        <f t="shared" si="123"/>
        <v>368.01</v>
      </c>
    </row>
    <row r="3932" spans="1:7" ht="12.75" customHeight="1">
      <c r="A3932" s="3">
        <v>12740</v>
      </c>
      <c r="B3932" s="4" t="s">
        <v>3955</v>
      </c>
      <c r="C3932" s="3" t="s">
        <v>6</v>
      </c>
      <c r="D3932" s="5">
        <f t="shared" si="122"/>
        <v>575.78</v>
      </c>
      <c r="E3932">
        <v>632.04</v>
      </c>
      <c r="F3932" s="1789">
        <v>8.8999999999999996E-2</v>
      </c>
      <c r="G3932">
        <f t="shared" si="123"/>
        <v>575.78</v>
      </c>
    </row>
    <row r="3933" spans="1:7" ht="12.75" customHeight="1">
      <c r="A3933" s="3">
        <v>6297</v>
      </c>
      <c r="B3933" s="4" t="s">
        <v>3956</v>
      </c>
      <c r="C3933" s="3" t="s">
        <v>6</v>
      </c>
      <c r="D3933" s="5">
        <f t="shared" si="122"/>
        <v>30.96</v>
      </c>
      <c r="E3933">
        <v>33.99</v>
      </c>
      <c r="F3933" s="1789">
        <v>8.8999999999999996E-2</v>
      </c>
      <c r="G3933">
        <f t="shared" si="123"/>
        <v>30.96</v>
      </c>
    </row>
    <row r="3934" spans="1:7" ht="12.75" customHeight="1">
      <c r="A3934" s="3">
        <v>6296</v>
      </c>
      <c r="B3934" s="4" t="s">
        <v>3957</v>
      </c>
      <c r="C3934" s="3" t="s">
        <v>6</v>
      </c>
      <c r="D3934" s="5">
        <f t="shared" si="122"/>
        <v>24.44</v>
      </c>
      <c r="E3934">
        <v>26.83</v>
      </c>
      <c r="F3934" s="1789">
        <v>8.8999999999999996E-2</v>
      </c>
      <c r="G3934">
        <f t="shared" si="123"/>
        <v>24.44</v>
      </c>
    </row>
    <row r="3935" spans="1:7" ht="12.75" customHeight="1">
      <c r="A3935" s="3">
        <v>6294</v>
      </c>
      <c r="B3935" s="4" t="s">
        <v>3958</v>
      </c>
      <c r="C3935" s="3" t="s">
        <v>6</v>
      </c>
      <c r="D3935" s="5">
        <f t="shared" si="122"/>
        <v>6.96</v>
      </c>
      <c r="E3935">
        <v>7.65</v>
      </c>
      <c r="F3935" s="1789">
        <v>8.8999999999999996E-2</v>
      </c>
      <c r="G3935">
        <f t="shared" si="123"/>
        <v>6.96</v>
      </c>
    </row>
    <row r="3936" spans="1:7" ht="12.75" customHeight="1">
      <c r="A3936" s="3">
        <v>6323</v>
      </c>
      <c r="B3936" s="4" t="s">
        <v>3959</v>
      </c>
      <c r="C3936" s="3" t="s">
        <v>6</v>
      </c>
      <c r="D3936" s="5">
        <f t="shared" si="122"/>
        <v>15.96</v>
      </c>
      <c r="E3936">
        <v>17.53</v>
      </c>
      <c r="F3936" s="1789">
        <v>8.8999999999999996E-2</v>
      </c>
      <c r="G3936">
        <f t="shared" si="123"/>
        <v>15.96</v>
      </c>
    </row>
    <row r="3937" spans="1:7" ht="12.75" customHeight="1">
      <c r="A3937" s="3">
        <v>6299</v>
      </c>
      <c r="B3937" s="4" t="s">
        <v>3960</v>
      </c>
      <c r="C3937" s="3" t="s">
        <v>6</v>
      </c>
      <c r="D3937" s="5">
        <f t="shared" si="122"/>
        <v>93.12</v>
      </c>
      <c r="E3937">
        <v>102.22</v>
      </c>
      <c r="F3937" s="1789">
        <v>8.8999999999999996E-2</v>
      </c>
      <c r="G3937">
        <f t="shared" si="123"/>
        <v>93.12</v>
      </c>
    </row>
    <row r="3938" spans="1:7" ht="12.75" customHeight="1">
      <c r="A3938" s="3">
        <v>6298</v>
      </c>
      <c r="B3938" s="4" t="s">
        <v>3961</v>
      </c>
      <c r="C3938" s="3" t="s">
        <v>6</v>
      </c>
      <c r="D3938" s="5">
        <f t="shared" si="122"/>
        <v>49.03</v>
      </c>
      <c r="E3938">
        <v>53.83</v>
      </c>
      <c r="F3938" s="1789">
        <v>8.8999999999999996E-2</v>
      </c>
      <c r="G3938">
        <f t="shared" si="123"/>
        <v>49.03</v>
      </c>
    </row>
    <row r="3939" spans="1:7" ht="12.75" customHeight="1">
      <c r="A3939" s="3">
        <v>6295</v>
      </c>
      <c r="B3939" s="4" t="s">
        <v>3962</v>
      </c>
      <c r="C3939" s="3" t="s">
        <v>6</v>
      </c>
      <c r="D3939" s="5">
        <f t="shared" si="122"/>
        <v>9.92</v>
      </c>
      <c r="E3939">
        <v>10.89</v>
      </c>
      <c r="F3939" s="1789">
        <v>8.8999999999999996E-2</v>
      </c>
      <c r="G3939">
        <f t="shared" si="123"/>
        <v>9.92</v>
      </c>
    </row>
    <row r="3940" spans="1:7" ht="12.75" customHeight="1">
      <c r="A3940" s="3">
        <v>6322</v>
      </c>
      <c r="B3940" s="4" t="s">
        <v>3963</v>
      </c>
      <c r="C3940" s="3" t="s">
        <v>6</v>
      </c>
      <c r="D3940" s="5">
        <f t="shared" si="122"/>
        <v>124.72</v>
      </c>
      <c r="E3940">
        <v>136.91</v>
      </c>
      <c r="F3940" s="1789">
        <v>8.8999999999999996E-2</v>
      </c>
      <c r="G3940">
        <f t="shared" si="123"/>
        <v>124.72</v>
      </c>
    </row>
    <row r="3941" spans="1:7" ht="12.75" customHeight="1">
      <c r="A3941" s="3">
        <v>6300</v>
      </c>
      <c r="B3941" s="4" t="s">
        <v>3964</v>
      </c>
      <c r="C3941" s="3" t="s">
        <v>6</v>
      </c>
      <c r="D3941" s="5">
        <f t="shared" si="122"/>
        <v>229.94</v>
      </c>
      <c r="E3941">
        <v>252.41</v>
      </c>
      <c r="F3941" s="1789">
        <v>8.8999999999999996E-2</v>
      </c>
      <c r="G3941">
        <f t="shared" si="123"/>
        <v>229.94</v>
      </c>
    </row>
    <row r="3942" spans="1:7" ht="12.75" customHeight="1">
      <c r="A3942" s="3">
        <v>6321</v>
      </c>
      <c r="B3942" s="4" t="s">
        <v>3965</v>
      </c>
      <c r="C3942" s="3" t="s">
        <v>6</v>
      </c>
      <c r="D3942" s="5">
        <f t="shared" si="122"/>
        <v>328.47</v>
      </c>
      <c r="E3942">
        <v>360.56</v>
      </c>
      <c r="F3942" s="1789">
        <v>8.8999999999999996E-2</v>
      </c>
      <c r="G3942">
        <f t="shared" si="123"/>
        <v>328.47</v>
      </c>
    </row>
    <row r="3943" spans="1:7" ht="12.75" customHeight="1">
      <c r="A3943" s="3">
        <v>6301</v>
      </c>
      <c r="B3943" s="4" t="s">
        <v>3966</v>
      </c>
      <c r="C3943" s="3" t="s">
        <v>6</v>
      </c>
      <c r="D3943" s="5">
        <f t="shared" si="122"/>
        <v>769.89</v>
      </c>
      <c r="E3943">
        <v>845.11</v>
      </c>
      <c r="F3943" s="1789">
        <v>8.8999999999999996E-2</v>
      </c>
      <c r="G3943">
        <f t="shared" si="123"/>
        <v>769.89</v>
      </c>
    </row>
    <row r="3944" spans="1:7" ht="12.75" customHeight="1">
      <c r="A3944" s="3">
        <v>20183</v>
      </c>
      <c r="B3944" s="4" t="s">
        <v>3967</v>
      </c>
      <c r="C3944" s="3" t="s">
        <v>6</v>
      </c>
      <c r="D3944" s="5">
        <f t="shared" si="122"/>
        <v>42.83</v>
      </c>
      <c r="E3944">
        <v>47.02</v>
      </c>
      <c r="F3944" s="1789">
        <v>8.8999999999999996E-2</v>
      </c>
      <c r="G3944">
        <f t="shared" si="123"/>
        <v>42.83</v>
      </c>
    </row>
    <row r="3945" spans="1:7" ht="12.75" customHeight="1">
      <c r="A3945" s="3">
        <v>38448</v>
      </c>
      <c r="B3945" s="4" t="s">
        <v>3968</v>
      </c>
      <c r="C3945" s="3" t="s">
        <v>6</v>
      </c>
      <c r="D3945" s="5">
        <f t="shared" si="122"/>
        <v>194.38</v>
      </c>
      <c r="E3945">
        <v>213.37</v>
      </c>
      <c r="F3945" s="1789">
        <v>8.8999999999999996E-2</v>
      </c>
      <c r="G3945">
        <f t="shared" si="123"/>
        <v>194.38</v>
      </c>
    </row>
    <row r="3946" spans="1:7" ht="12.75" customHeight="1">
      <c r="A3946" s="3">
        <v>20182</v>
      </c>
      <c r="B3946" s="4" t="s">
        <v>3969</v>
      </c>
      <c r="C3946" s="3" t="s">
        <v>6</v>
      </c>
      <c r="D3946" s="5">
        <f t="shared" si="122"/>
        <v>24.9</v>
      </c>
      <c r="E3946">
        <v>27.34</v>
      </c>
      <c r="F3946" s="1789">
        <v>8.8999999999999996E-2</v>
      </c>
      <c r="G3946">
        <f t="shared" si="123"/>
        <v>24.9</v>
      </c>
    </row>
    <row r="3947" spans="1:7" ht="12.75" customHeight="1">
      <c r="A3947" s="3">
        <v>7105</v>
      </c>
      <c r="B3947" s="4" t="s">
        <v>3970</v>
      </c>
      <c r="C3947" s="3" t="s">
        <v>6</v>
      </c>
      <c r="D3947" s="5">
        <f t="shared" si="122"/>
        <v>34.76</v>
      </c>
      <c r="E3947">
        <v>38.159999999999997</v>
      </c>
      <c r="F3947" s="1789">
        <v>8.8999999999999996E-2</v>
      </c>
      <c r="G3947">
        <f t="shared" si="123"/>
        <v>34.76</v>
      </c>
    </row>
    <row r="3948" spans="1:7" ht="12.75" customHeight="1">
      <c r="A3948" s="3">
        <v>7119</v>
      </c>
      <c r="B3948" s="4" t="s">
        <v>3971</v>
      </c>
      <c r="C3948" s="3" t="s">
        <v>6</v>
      </c>
      <c r="D3948" s="5">
        <f t="shared" si="122"/>
        <v>8.82</v>
      </c>
      <c r="E3948">
        <v>9.69</v>
      </c>
      <c r="F3948" s="1789">
        <v>8.8999999999999996E-2</v>
      </c>
      <c r="G3948">
        <f t="shared" si="123"/>
        <v>8.82</v>
      </c>
    </row>
    <row r="3949" spans="1:7" ht="12.75" customHeight="1">
      <c r="A3949" s="3">
        <v>7126</v>
      </c>
      <c r="B3949" s="4" t="s">
        <v>3972</v>
      </c>
      <c r="C3949" s="3" t="s">
        <v>6</v>
      </c>
      <c r="D3949" s="5">
        <f t="shared" si="122"/>
        <v>18.010000000000002</v>
      </c>
      <c r="E3949">
        <v>19.78</v>
      </c>
      <c r="F3949" s="1789">
        <v>8.8999999999999996E-2</v>
      </c>
      <c r="G3949">
        <f t="shared" si="123"/>
        <v>18.010000000000002</v>
      </c>
    </row>
    <row r="3950" spans="1:7" ht="12.75" customHeight="1">
      <c r="A3950" s="3">
        <v>7120</v>
      </c>
      <c r="B3950" s="4" t="s">
        <v>3973</v>
      </c>
      <c r="C3950" s="3" t="s">
        <v>6</v>
      </c>
      <c r="D3950" s="5">
        <f t="shared" si="122"/>
        <v>6.76</v>
      </c>
      <c r="E3950">
        <v>7.43</v>
      </c>
      <c r="F3950" s="1789">
        <v>8.8999999999999996E-2</v>
      </c>
      <c r="G3950">
        <f t="shared" si="123"/>
        <v>6.76</v>
      </c>
    </row>
    <row r="3951" spans="1:7" ht="12.75" customHeight="1">
      <c r="A3951" s="3">
        <v>6319</v>
      </c>
      <c r="B3951" s="4" t="s">
        <v>3974</v>
      </c>
      <c r="C3951" s="3" t="s">
        <v>6</v>
      </c>
      <c r="D3951" s="5">
        <f t="shared" si="122"/>
        <v>36.369999999999997</v>
      </c>
      <c r="E3951">
        <v>39.93</v>
      </c>
      <c r="F3951" s="1789">
        <v>8.8999999999999996E-2</v>
      </c>
      <c r="G3951">
        <f t="shared" si="123"/>
        <v>36.369999999999997</v>
      </c>
    </row>
    <row r="3952" spans="1:7" ht="12.75" customHeight="1">
      <c r="A3952" s="3">
        <v>6304</v>
      </c>
      <c r="B3952" s="4" t="s">
        <v>3975</v>
      </c>
      <c r="C3952" s="3" t="s">
        <v>6</v>
      </c>
      <c r="D3952" s="5">
        <f t="shared" si="122"/>
        <v>36.369999999999997</v>
      </c>
      <c r="E3952">
        <v>39.93</v>
      </c>
      <c r="F3952" s="1789">
        <v>8.8999999999999996E-2</v>
      </c>
      <c r="G3952">
        <f t="shared" si="123"/>
        <v>36.369999999999997</v>
      </c>
    </row>
    <row r="3953" spans="1:7" ht="12.75" customHeight="1">
      <c r="A3953" s="3">
        <v>21116</v>
      </c>
      <c r="B3953" s="4" t="s">
        <v>3976</v>
      </c>
      <c r="C3953" s="3" t="s">
        <v>6</v>
      </c>
      <c r="D3953" s="5">
        <f t="shared" si="122"/>
        <v>27.53</v>
      </c>
      <c r="E3953">
        <v>30.23</v>
      </c>
      <c r="F3953" s="1789">
        <v>8.8999999999999996E-2</v>
      </c>
      <c r="G3953">
        <f t="shared" si="123"/>
        <v>27.53</v>
      </c>
    </row>
    <row r="3954" spans="1:7" ht="12.75" customHeight="1">
      <c r="A3954" s="3">
        <v>6320</v>
      </c>
      <c r="B3954" s="4" t="s">
        <v>3977</v>
      </c>
      <c r="C3954" s="3" t="s">
        <v>6</v>
      </c>
      <c r="D3954" s="5">
        <f t="shared" si="122"/>
        <v>18.73</v>
      </c>
      <c r="E3954">
        <v>20.56</v>
      </c>
      <c r="F3954" s="1789">
        <v>8.8999999999999996E-2</v>
      </c>
      <c r="G3954">
        <f t="shared" si="123"/>
        <v>18.73</v>
      </c>
    </row>
    <row r="3955" spans="1:7" ht="12.75" customHeight="1">
      <c r="A3955" s="3">
        <v>6303</v>
      </c>
      <c r="B3955" s="4" t="s">
        <v>3978</v>
      </c>
      <c r="C3955" s="3" t="s">
        <v>6</v>
      </c>
      <c r="D3955" s="5">
        <f t="shared" si="122"/>
        <v>18.73</v>
      </c>
      <c r="E3955">
        <v>20.56</v>
      </c>
      <c r="F3955" s="1789">
        <v>8.8999999999999996E-2</v>
      </c>
      <c r="G3955">
        <f t="shared" si="123"/>
        <v>18.73</v>
      </c>
    </row>
    <row r="3956" spans="1:7" ht="12.75" customHeight="1">
      <c r="A3956" s="3">
        <v>6308</v>
      </c>
      <c r="B3956" s="4" t="s">
        <v>3979</v>
      </c>
      <c r="C3956" s="3" t="s">
        <v>6</v>
      </c>
      <c r="D3956" s="5">
        <f t="shared" si="122"/>
        <v>100.65</v>
      </c>
      <c r="E3956">
        <v>110.49</v>
      </c>
      <c r="F3956" s="1789">
        <v>8.8999999999999996E-2</v>
      </c>
      <c r="G3956">
        <f t="shared" si="123"/>
        <v>100.65</v>
      </c>
    </row>
    <row r="3957" spans="1:7" ht="12.75" customHeight="1">
      <c r="A3957" s="3">
        <v>6317</v>
      </c>
      <c r="B3957" s="4" t="s">
        <v>3980</v>
      </c>
      <c r="C3957" s="3" t="s">
        <v>6</v>
      </c>
      <c r="D3957" s="5">
        <f t="shared" si="122"/>
        <v>100.65</v>
      </c>
      <c r="E3957">
        <v>110.49</v>
      </c>
      <c r="F3957" s="1789">
        <v>8.8999999999999996E-2</v>
      </c>
      <c r="G3957">
        <f t="shared" si="123"/>
        <v>100.65</v>
      </c>
    </row>
    <row r="3958" spans="1:7" ht="12.75" customHeight="1">
      <c r="A3958" s="3">
        <v>6307</v>
      </c>
      <c r="B3958" s="4" t="s">
        <v>3981</v>
      </c>
      <c r="C3958" s="3" t="s">
        <v>6</v>
      </c>
      <c r="D3958" s="5">
        <f t="shared" si="122"/>
        <v>100.65</v>
      </c>
      <c r="E3958">
        <v>110.49</v>
      </c>
      <c r="F3958" s="1789">
        <v>8.8999999999999996E-2</v>
      </c>
      <c r="G3958">
        <f t="shared" si="123"/>
        <v>100.65</v>
      </c>
    </row>
    <row r="3959" spans="1:7" ht="12.75" customHeight="1">
      <c r="A3959" s="3">
        <v>6309</v>
      </c>
      <c r="B3959" s="4" t="s">
        <v>3982</v>
      </c>
      <c r="C3959" s="3" t="s">
        <v>6</v>
      </c>
      <c r="D3959" s="5">
        <f t="shared" si="122"/>
        <v>103.58</v>
      </c>
      <c r="E3959">
        <v>113.7</v>
      </c>
      <c r="F3959" s="1789">
        <v>8.8999999999999996E-2</v>
      </c>
      <c r="G3959">
        <f t="shared" si="123"/>
        <v>103.58</v>
      </c>
    </row>
    <row r="3960" spans="1:7" ht="12.75" customHeight="1">
      <c r="A3960" s="3">
        <v>6318</v>
      </c>
      <c r="B3960" s="4" t="s">
        <v>3983</v>
      </c>
      <c r="C3960" s="3" t="s">
        <v>6</v>
      </c>
      <c r="D3960" s="5">
        <f t="shared" si="122"/>
        <v>54.29</v>
      </c>
      <c r="E3960">
        <v>59.6</v>
      </c>
      <c r="F3960" s="1789">
        <v>8.8999999999999996E-2</v>
      </c>
      <c r="G3960">
        <f t="shared" si="123"/>
        <v>54.29</v>
      </c>
    </row>
    <row r="3961" spans="1:7" ht="12.75" customHeight="1">
      <c r="A3961" s="3">
        <v>6306</v>
      </c>
      <c r="B3961" s="4" t="s">
        <v>3984</v>
      </c>
      <c r="C3961" s="3" t="s">
        <v>6</v>
      </c>
      <c r="D3961" s="5">
        <f t="shared" si="122"/>
        <v>54.29</v>
      </c>
      <c r="E3961">
        <v>59.6</v>
      </c>
      <c r="F3961" s="1789">
        <v>8.8999999999999996E-2</v>
      </c>
      <c r="G3961">
        <f t="shared" si="123"/>
        <v>54.29</v>
      </c>
    </row>
    <row r="3962" spans="1:7" ht="12.75" customHeight="1">
      <c r="A3962" s="3">
        <v>6305</v>
      </c>
      <c r="B3962" s="4" t="s">
        <v>3985</v>
      </c>
      <c r="C3962" s="3" t="s">
        <v>6</v>
      </c>
      <c r="D3962" s="5">
        <f t="shared" si="122"/>
        <v>54.29</v>
      </c>
      <c r="E3962">
        <v>59.6</v>
      </c>
      <c r="F3962" s="1789">
        <v>8.8999999999999996E-2</v>
      </c>
      <c r="G3962">
        <f t="shared" si="123"/>
        <v>54.29</v>
      </c>
    </row>
    <row r="3963" spans="1:7" ht="12.75" customHeight="1">
      <c r="A3963" s="3">
        <v>6302</v>
      </c>
      <c r="B3963" s="4" t="s">
        <v>3986</v>
      </c>
      <c r="C3963" s="3" t="s">
        <v>6</v>
      </c>
      <c r="D3963" s="5">
        <f t="shared" si="122"/>
        <v>11.51</v>
      </c>
      <c r="E3963">
        <v>12.64</v>
      </c>
      <c r="F3963" s="1789">
        <v>8.8999999999999996E-2</v>
      </c>
      <c r="G3963">
        <f t="shared" si="123"/>
        <v>11.51</v>
      </c>
    </row>
    <row r="3964" spans="1:7" ht="12.75" customHeight="1">
      <c r="A3964" s="3">
        <v>6312</v>
      </c>
      <c r="B3964" s="4" t="s">
        <v>3987</v>
      </c>
      <c r="C3964" s="3" t="s">
        <v>6</v>
      </c>
      <c r="D3964" s="5">
        <f t="shared" si="122"/>
        <v>144.77000000000001</v>
      </c>
      <c r="E3964">
        <v>158.91999999999999</v>
      </c>
      <c r="F3964" s="1789">
        <v>8.8999999999999996E-2</v>
      </c>
      <c r="G3964">
        <f t="shared" si="123"/>
        <v>144.77000000000001</v>
      </c>
    </row>
    <row r="3965" spans="1:7" ht="12.75" customHeight="1">
      <c r="A3965" s="3">
        <v>6311</v>
      </c>
      <c r="B3965" s="4" t="s">
        <v>3988</v>
      </c>
      <c r="C3965" s="3" t="s">
        <v>6</v>
      </c>
      <c r="D3965" s="5">
        <f t="shared" si="122"/>
        <v>144.77000000000001</v>
      </c>
      <c r="E3965">
        <v>158.91999999999999</v>
      </c>
      <c r="F3965" s="1789">
        <v>8.8999999999999996E-2</v>
      </c>
      <c r="G3965">
        <f t="shared" si="123"/>
        <v>144.77000000000001</v>
      </c>
    </row>
    <row r="3966" spans="1:7" ht="12.75" customHeight="1">
      <c r="A3966" s="3">
        <v>6310</v>
      </c>
      <c r="B3966" s="4" t="s">
        <v>3989</v>
      </c>
      <c r="C3966" s="3" t="s">
        <v>6</v>
      </c>
      <c r="D3966" s="5">
        <f t="shared" si="122"/>
        <v>144.77000000000001</v>
      </c>
      <c r="E3966">
        <v>158.91999999999999</v>
      </c>
      <c r="F3966" s="1789">
        <v>8.8999999999999996E-2</v>
      </c>
      <c r="G3966">
        <f t="shared" si="123"/>
        <v>144.77000000000001</v>
      </c>
    </row>
    <row r="3967" spans="1:7" ht="12.75" customHeight="1">
      <c r="A3967" s="3">
        <v>6314</v>
      </c>
      <c r="B3967" s="4" t="s">
        <v>3990</v>
      </c>
      <c r="C3967" s="3" t="s">
        <v>6</v>
      </c>
      <c r="D3967" s="5">
        <f t="shared" si="122"/>
        <v>144.77000000000001</v>
      </c>
      <c r="E3967">
        <v>158.91999999999999</v>
      </c>
      <c r="F3967" s="1789">
        <v>8.8999999999999996E-2</v>
      </c>
      <c r="G3967">
        <f t="shared" si="123"/>
        <v>144.77000000000001</v>
      </c>
    </row>
    <row r="3968" spans="1:7" ht="12.75" customHeight="1">
      <c r="A3968" s="3">
        <v>6313</v>
      </c>
      <c r="B3968" s="4" t="s">
        <v>3991</v>
      </c>
      <c r="C3968" s="3" t="s">
        <v>6</v>
      </c>
      <c r="D3968" s="5">
        <f t="shared" si="122"/>
        <v>144.77000000000001</v>
      </c>
      <c r="E3968">
        <v>158.91999999999999</v>
      </c>
      <c r="F3968" s="1789">
        <v>8.8999999999999996E-2</v>
      </c>
      <c r="G3968">
        <f t="shared" si="123"/>
        <v>144.77000000000001</v>
      </c>
    </row>
    <row r="3969" spans="1:7" ht="12.75" customHeight="1">
      <c r="A3969" s="3">
        <v>6315</v>
      </c>
      <c r="B3969" s="4" t="s">
        <v>3992</v>
      </c>
      <c r="C3969" s="3" t="s">
        <v>6</v>
      </c>
      <c r="D3969" s="5">
        <f t="shared" si="122"/>
        <v>274.12</v>
      </c>
      <c r="E3969">
        <v>300.91000000000003</v>
      </c>
      <c r="F3969" s="1789">
        <v>8.8999999999999996E-2</v>
      </c>
      <c r="G3969">
        <f t="shared" si="123"/>
        <v>274.12</v>
      </c>
    </row>
    <row r="3970" spans="1:7" ht="12.75" customHeight="1">
      <c r="A3970" s="3">
        <v>6316</v>
      </c>
      <c r="B3970" s="4" t="s">
        <v>3993</v>
      </c>
      <c r="C3970" s="3" t="s">
        <v>6</v>
      </c>
      <c r="D3970" s="5">
        <f t="shared" si="122"/>
        <v>274.12</v>
      </c>
      <c r="E3970">
        <v>300.91000000000003</v>
      </c>
      <c r="F3970" s="1789">
        <v>8.8999999999999996E-2</v>
      </c>
      <c r="G3970">
        <f t="shared" si="123"/>
        <v>274.12</v>
      </c>
    </row>
    <row r="3971" spans="1:7" ht="12.75" customHeight="1">
      <c r="A3971" s="3">
        <v>39324</v>
      </c>
      <c r="B3971" s="4" t="s">
        <v>3994</v>
      </c>
      <c r="C3971" s="3" t="s">
        <v>6</v>
      </c>
      <c r="D3971" s="5">
        <f t="shared" ref="D3971:D4034" si="124">G3971</f>
        <v>4.51</v>
      </c>
      <c r="E3971">
        <v>4.96</v>
      </c>
      <c r="F3971" s="1789">
        <v>8.8999999999999996E-2</v>
      </c>
      <c r="G3971">
        <f t="shared" ref="G3971:G4034" si="125">TRUNC((1-F3971)*E3971,2)</f>
        <v>4.51</v>
      </c>
    </row>
    <row r="3972" spans="1:7" ht="12.75" customHeight="1">
      <c r="A3972" s="3">
        <v>39325</v>
      </c>
      <c r="B3972" s="4" t="s">
        <v>3995</v>
      </c>
      <c r="C3972" s="3" t="s">
        <v>6</v>
      </c>
      <c r="D3972" s="5">
        <f t="shared" si="124"/>
        <v>6.8</v>
      </c>
      <c r="E3972">
        <v>7.47</v>
      </c>
      <c r="F3972" s="1789">
        <v>8.8999999999999996E-2</v>
      </c>
      <c r="G3972">
        <f t="shared" si="125"/>
        <v>6.8</v>
      </c>
    </row>
    <row r="3973" spans="1:7" ht="12.75" customHeight="1">
      <c r="A3973" s="3">
        <v>39326</v>
      </c>
      <c r="B3973" s="4" t="s">
        <v>3996</v>
      </c>
      <c r="C3973" s="3" t="s">
        <v>6</v>
      </c>
      <c r="D3973" s="5">
        <f t="shared" si="124"/>
        <v>24.42</v>
      </c>
      <c r="E3973">
        <v>26.81</v>
      </c>
      <c r="F3973" s="1789">
        <v>8.8999999999999996E-2</v>
      </c>
      <c r="G3973">
        <f t="shared" si="125"/>
        <v>24.42</v>
      </c>
    </row>
    <row r="3974" spans="1:7" ht="12.75" customHeight="1">
      <c r="A3974" s="3">
        <v>39327</v>
      </c>
      <c r="B3974" s="4" t="s">
        <v>3997</v>
      </c>
      <c r="C3974" s="3" t="s">
        <v>6</v>
      </c>
      <c r="D3974" s="5">
        <f t="shared" si="124"/>
        <v>36.85</v>
      </c>
      <c r="E3974">
        <v>40.46</v>
      </c>
      <c r="F3974" s="1789">
        <v>8.8999999999999996E-2</v>
      </c>
      <c r="G3974">
        <f t="shared" si="125"/>
        <v>36.85</v>
      </c>
    </row>
    <row r="3975" spans="1:7" ht="12.75" customHeight="1">
      <c r="A3975" s="3">
        <v>11378</v>
      </c>
      <c r="B3975" s="4" t="s">
        <v>3998</v>
      </c>
      <c r="C3975" s="3" t="s">
        <v>6</v>
      </c>
      <c r="D3975" s="5">
        <f t="shared" si="124"/>
        <v>56.6</v>
      </c>
      <c r="E3975">
        <v>62.13</v>
      </c>
      <c r="F3975" s="1789">
        <v>8.8999999999999996E-2</v>
      </c>
      <c r="G3975">
        <f t="shared" si="125"/>
        <v>56.6</v>
      </c>
    </row>
    <row r="3976" spans="1:7" ht="12.75" customHeight="1">
      <c r="A3976" s="3">
        <v>11379</v>
      </c>
      <c r="B3976" s="4" t="s">
        <v>3999</v>
      </c>
      <c r="C3976" s="3" t="s">
        <v>6</v>
      </c>
      <c r="D3976" s="5">
        <f t="shared" si="124"/>
        <v>47.82</v>
      </c>
      <c r="E3976">
        <v>52.5</v>
      </c>
      <c r="F3976" s="1789">
        <v>8.8999999999999996E-2</v>
      </c>
      <c r="G3976">
        <f t="shared" si="125"/>
        <v>47.82</v>
      </c>
    </row>
    <row r="3977" spans="1:7" ht="12.75" customHeight="1">
      <c r="A3977" s="3">
        <v>11493</v>
      </c>
      <c r="B3977" s="4" t="s">
        <v>4000</v>
      </c>
      <c r="C3977" s="3" t="s">
        <v>6</v>
      </c>
      <c r="D3977" s="5">
        <f t="shared" si="124"/>
        <v>27.58</v>
      </c>
      <c r="E3977">
        <v>30.28</v>
      </c>
      <c r="F3977" s="1789">
        <v>8.8999999999999996E-2</v>
      </c>
      <c r="G3977">
        <f t="shared" si="125"/>
        <v>27.58</v>
      </c>
    </row>
    <row r="3978" spans="1:7" ht="12.75" customHeight="1">
      <c r="A3978" s="3">
        <v>7106</v>
      </c>
      <c r="B3978" s="4" t="s">
        <v>4001</v>
      </c>
      <c r="C3978" s="3" t="s">
        <v>6</v>
      </c>
      <c r="D3978" s="5">
        <f t="shared" si="124"/>
        <v>111.5</v>
      </c>
      <c r="E3978">
        <v>122.4</v>
      </c>
      <c r="F3978" s="1789">
        <v>8.8999999999999996E-2</v>
      </c>
      <c r="G3978">
        <f t="shared" si="125"/>
        <v>111.5</v>
      </c>
    </row>
    <row r="3979" spans="1:7" ht="12.75" customHeight="1">
      <c r="A3979" s="3">
        <v>7104</v>
      </c>
      <c r="B3979" s="4" t="s">
        <v>4002</v>
      </c>
      <c r="C3979" s="3" t="s">
        <v>6</v>
      </c>
      <c r="D3979" s="5">
        <f t="shared" si="124"/>
        <v>3</v>
      </c>
      <c r="E3979">
        <v>3.3</v>
      </c>
      <c r="F3979" s="1789">
        <v>8.8999999999999996E-2</v>
      </c>
      <c r="G3979">
        <f t="shared" si="125"/>
        <v>3</v>
      </c>
    </row>
    <row r="3980" spans="1:7" ht="12.75" customHeight="1">
      <c r="A3980" s="3">
        <v>7136</v>
      </c>
      <c r="B3980" s="4" t="s">
        <v>4003</v>
      </c>
      <c r="C3980" s="3" t="s">
        <v>6</v>
      </c>
      <c r="D3980" s="5">
        <f t="shared" si="124"/>
        <v>5.22</v>
      </c>
      <c r="E3980">
        <v>5.74</v>
      </c>
      <c r="F3980" s="1789">
        <v>8.8999999999999996E-2</v>
      </c>
      <c r="G3980">
        <f t="shared" si="125"/>
        <v>5.22</v>
      </c>
    </row>
    <row r="3981" spans="1:7" ht="12.75" customHeight="1">
      <c r="A3981" s="3">
        <v>7128</v>
      </c>
      <c r="B3981" s="4" t="s">
        <v>4004</v>
      </c>
      <c r="C3981" s="3" t="s">
        <v>6</v>
      </c>
      <c r="D3981" s="5">
        <f t="shared" si="124"/>
        <v>6.78</v>
      </c>
      <c r="E3981">
        <v>7.45</v>
      </c>
      <c r="F3981" s="1789">
        <v>8.8999999999999996E-2</v>
      </c>
      <c r="G3981">
        <f t="shared" si="125"/>
        <v>6.78</v>
      </c>
    </row>
    <row r="3982" spans="1:7" ht="12.75" customHeight="1">
      <c r="A3982" s="3">
        <v>7108</v>
      </c>
      <c r="B3982" s="4" t="s">
        <v>4005</v>
      </c>
      <c r="C3982" s="3" t="s">
        <v>6</v>
      </c>
      <c r="D3982" s="5">
        <f t="shared" si="124"/>
        <v>6.76</v>
      </c>
      <c r="E3982">
        <v>7.43</v>
      </c>
      <c r="F3982" s="1789">
        <v>8.8999999999999996E-2</v>
      </c>
      <c r="G3982">
        <f t="shared" si="125"/>
        <v>6.76</v>
      </c>
    </row>
    <row r="3983" spans="1:7" ht="12.75" customHeight="1">
      <c r="A3983" s="3">
        <v>7129</v>
      </c>
      <c r="B3983" s="4" t="s">
        <v>4006</v>
      </c>
      <c r="C3983" s="3" t="s">
        <v>6</v>
      </c>
      <c r="D3983" s="5">
        <f t="shared" si="124"/>
        <v>7.97</v>
      </c>
      <c r="E3983">
        <v>8.75</v>
      </c>
      <c r="F3983" s="1789">
        <v>8.8999999999999996E-2</v>
      </c>
      <c r="G3983">
        <f t="shared" si="125"/>
        <v>7.97</v>
      </c>
    </row>
    <row r="3984" spans="1:7" ht="12.75" customHeight="1">
      <c r="A3984" s="3">
        <v>7130</v>
      </c>
      <c r="B3984" s="4" t="s">
        <v>4007</v>
      </c>
      <c r="C3984" s="3" t="s">
        <v>6</v>
      </c>
      <c r="D3984" s="5">
        <f t="shared" si="124"/>
        <v>11.57</v>
      </c>
      <c r="E3984">
        <v>12.71</v>
      </c>
      <c r="F3984" s="1789">
        <v>8.8999999999999996E-2</v>
      </c>
      <c r="G3984">
        <f t="shared" si="125"/>
        <v>11.57</v>
      </c>
    </row>
    <row r="3985" spans="1:7" ht="12.75" customHeight="1">
      <c r="A3985" s="3">
        <v>7131</v>
      </c>
      <c r="B3985" s="4" t="s">
        <v>4008</v>
      </c>
      <c r="C3985" s="3" t="s">
        <v>6</v>
      </c>
      <c r="D3985" s="5">
        <f t="shared" si="124"/>
        <v>14.16</v>
      </c>
      <c r="E3985">
        <v>15.55</v>
      </c>
      <c r="F3985" s="1789">
        <v>8.8999999999999996E-2</v>
      </c>
      <c r="G3985">
        <f t="shared" si="125"/>
        <v>14.16</v>
      </c>
    </row>
    <row r="3986" spans="1:7" ht="12.75" customHeight="1">
      <c r="A3986" s="3">
        <v>7132</v>
      </c>
      <c r="B3986" s="4" t="s">
        <v>4009</v>
      </c>
      <c r="C3986" s="3" t="s">
        <v>6</v>
      </c>
      <c r="D3986" s="5">
        <f t="shared" si="124"/>
        <v>33.35</v>
      </c>
      <c r="E3986">
        <v>36.61</v>
      </c>
      <c r="F3986" s="1789">
        <v>8.8999999999999996E-2</v>
      </c>
      <c r="G3986">
        <f t="shared" si="125"/>
        <v>33.35</v>
      </c>
    </row>
    <row r="3987" spans="1:7" ht="12.75" customHeight="1">
      <c r="A3987" s="3">
        <v>7133</v>
      </c>
      <c r="B3987" s="4" t="s">
        <v>4010</v>
      </c>
      <c r="C3987" s="3" t="s">
        <v>6</v>
      </c>
      <c r="D3987" s="5">
        <f t="shared" si="124"/>
        <v>77.069999999999993</v>
      </c>
      <c r="E3987">
        <v>84.6</v>
      </c>
      <c r="F3987" s="1789">
        <v>8.8999999999999996E-2</v>
      </c>
      <c r="G3987">
        <f t="shared" si="125"/>
        <v>77.069999999999993</v>
      </c>
    </row>
    <row r="3988" spans="1:7" ht="12.75" customHeight="1">
      <c r="A3988" s="3">
        <v>37420</v>
      </c>
      <c r="B3988" s="4" t="s">
        <v>4011</v>
      </c>
      <c r="C3988" s="3" t="s">
        <v>6</v>
      </c>
      <c r="D3988" s="5">
        <f t="shared" si="124"/>
        <v>36.47</v>
      </c>
      <c r="E3988">
        <v>40.04</v>
      </c>
      <c r="F3988" s="1789">
        <v>8.8999999999999996E-2</v>
      </c>
      <c r="G3988">
        <f t="shared" si="125"/>
        <v>36.47</v>
      </c>
    </row>
    <row r="3989" spans="1:7" ht="12.75" customHeight="1">
      <c r="A3989" s="3">
        <v>37421</v>
      </c>
      <c r="B3989" s="4" t="s">
        <v>4012</v>
      </c>
      <c r="C3989" s="3" t="s">
        <v>6</v>
      </c>
      <c r="D3989" s="5">
        <f t="shared" si="124"/>
        <v>49.85</v>
      </c>
      <c r="E3989">
        <v>54.73</v>
      </c>
      <c r="F3989" s="1789">
        <v>8.8999999999999996E-2</v>
      </c>
      <c r="G3989">
        <f t="shared" si="125"/>
        <v>49.85</v>
      </c>
    </row>
    <row r="3990" spans="1:7" ht="12.75" customHeight="1">
      <c r="A3990" s="3">
        <v>37422</v>
      </c>
      <c r="B3990" s="4" t="s">
        <v>4013</v>
      </c>
      <c r="C3990" s="3" t="s">
        <v>6</v>
      </c>
      <c r="D3990" s="5">
        <f t="shared" si="124"/>
        <v>46.67</v>
      </c>
      <c r="E3990">
        <v>51.23</v>
      </c>
      <c r="F3990" s="1789">
        <v>8.8999999999999996E-2</v>
      </c>
      <c r="G3990">
        <f t="shared" si="125"/>
        <v>46.67</v>
      </c>
    </row>
    <row r="3991" spans="1:7" ht="12.75" customHeight="1">
      <c r="A3991" s="3">
        <v>37443</v>
      </c>
      <c r="B3991" s="4" t="s">
        <v>4014</v>
      </c>
      <c r="C3991" s="3" t="s">
        <v>6</v>
      </c>
      <c r="D3991" s="5">
        <f t="shared" si="124"/>
        <v>171.34</v>
      </c>
      <c r="E3991">
        <v>188.09</v>
      </c>
      <c r="F3991" s="1789">
        <v>8.8999999999999996E-2</v>
      </c>
      <c r="G3991">
        <f t="shared" si="125"/>
        <v>171.34</v>
      </c>
    </row>
    <row r="3992" spans="1:7" ht="12.75" customHeight="1">
      <c r="A3992" s="3">
        <v>37444</v>
      </c>
      <c r="B3992" s="4" t="s">
        <v>4015</v>
      </c>
      <c r="C3992" s="3" t="s">
        <v>6</v>
      </c>
      <c r="D3992" s="5">
        <f t="shared" si="124"/>
        <v>174.25</v>
      </c>
      <c r="E3992">
        <v>191.28</v>
      </c>
      <c r="F3992" s="1789">
        <v>8.8999999999999996E-2</v>
      </c>
      <c r="G3992">
        <f t="shared" si="125"/>
        <v>174.25</v>
      </c>
    </row>
    <row r="3993" spans="1:7" ht="12.75" customHeight="1">
      <c r="A3993" s="3">
        <v>37445</v>
      </c>
      <c r="B3993" s="4" t="s">
        <v>4016</v>
      </c>
      <c r="C3993" s="3" t="s">
        <v>6</v>
      </c>
      <c r="D3993" s="5">
        <f t="shared" si="124"/>
        <v>264.13</v>
      </c>
      <c r="E3993">
        <v>289.94</v>
      </c>
      <c r="F3993" s="1789">
        <v>8.8999999999999996E-2</v>
      </c>
      <c r="G3993">
        <f t="shared" si="125"/>
        <v>264.13</v>
      </c>
    </row>
    <row r="3994" spans="1:7" ht="12.75" customHeight="1">
      <c r="A3994" s="3">
        <v>37446</v>
      </c>
      <c r="B3994" s="4" t="s">
        <v>4017</v>
      </c>
      <c r="C3994" s="3" t="s">
        <v>6</v>
      </c>
      <c r="D3994" s="5">
        <f t="shared" si="124"/>
        <v>287.94</v>
      </c>
      <c r="E3994">
        <v>316.08</v>
      </c>
      <c r="F3994" s="1789">
        <v>8.8999999999999996E-2</v>
      </c>
      <c r="G3994">
        <f t="shared" si="125"/>
        <v>287.94</v>
      </c>
    </row>
    <row r="3995" spans="1:7" ht="12.75" customHeight="1">
      <c r="A3995" s="3">
        <v>37447</v>
      </c>
      <c r="B3995" s="4" t="s">
        <v>4018</v>
      </c>
      <c r="C3995" s="3" t="s">
        <v>6</v>
      </c>
      <c r="D3995" s="5">
        <f t="shared" si="124"/>
        <v>292.44</v>
      </c>
      <c r="E3995">
        <v>321.02</v>
      </c>
      <c r="F3995" s="1789">
        <v>8.8999999999999996E-2</v>
      </c>
      <c r="G3995">
        <f t="shared" si="125"/>
        <v>292.44</v>
      </c>
    </row>
    <row r="3996" spans="1:7" ht="12.75" customHeight="1">
      <c r="A3996" s="3">
        <v>37448</v>
      </c>
      <c r="B3996" s="4" t="s">
        <v>4019</v>
      </c>
      <c r="C3996" s="3" t="s">
        <v>6</v>
      </c>
      <c r="D3996" s="5">
        <f t="shared" si="124"/>
        <v>401.14</v>
      </c>
      <c r="E3996">
        <v>440.33</v>
      </c>
      <c r="F3996" s="1789">
        <v>8.8999999999999996E-2</v>
      </c>
      <c r="G3996">
        <f t="shared" si="125"/>
        <v>401.14</v>
      </c>
    </row>
    <row r="3997" spans="1:7" ht="12.75" customHeight="1">
      <c r="A3997" s="3">
        <v>37440</v>
      </c>
      <c r="B3997" s="4" t="s">
        <v>4020</v>
      </c>
      <c r="C3997" s="3" t="s">
        <v>6</v>
      </c>
      <c r="D3997" s="5">
        <f t="shared" si="124"/>
        <v>136</v>
      </c>
      <c r="E3997">
        <v>149.29</v>
      </c>
      <c r="F3997" s="1789">
        <v>8.8999999999999996E-2</v>
      </c>
      <c r="G3997">
        <f t="shared" si="125"/>
        <v>136</v>
      </c>
    </row>
    <row r="3998" spans="1:7" ht="12.75" customHeight="1">
      <c r="A3998" s="3">
        <v>37441</v>
      </c>
      <c r="B3998" s="4" t="s">
        <v>4021</v>
      </c>
      <c r="C3998" s="3" t="s">
        <v>6</v>
      </c>
      <c r="D3998" s="5">
        <f t="shared" si="124"/>
        <v>136</v>
      </c>
      <c r="E3998">
        <v>149.29</v>
      </c>
      <c r="F3998" s="1789">
        <v>8.8999999999999996E-2</v>
      </c>
      <c r="G3998">
        <f t="shared" si="125"/>
        <v>136</v>
      </c>
    </row>
    <row r="3999" spans="1:7" ht="12.75" customHeight="1">
      <c r="A3999" s="3">
        <v>37442</v>
      </c>
      <c r="B3999" s="4" t="s">
        <v>4022</v>
      </c>
      <c r="C3999" s="3" t="s">
        <v>6</v>
      </c>
      <c r="D3999" s="5">
        <f t="shared" si="124"/>
        <v>163.81</v>
      </c>
      <c r="E3999">
        <v>179.82</v>
      </c>
      <c r="F3999" s="1789">
        <v>8.8999999999999996E-2</v>
      </c>
      <c r="G3999">
        <f t="shared" si="125"/>
        <v>163.81</v>
      </c>
    </row>
    <row r="4000" spans="1:7" ht="12.75" customHeight="1">
      <c r="A4000" s="3">
        <v>38017</v>
      </c>
      <c r="B4000" s="4" t="s">
        <v>4023</v>
      </c>
      <c r="C4000" s="3" t="s">
        <v>6</v>
      </c>
      <c r="D4000" s="5">
        <f t="shared" si="124"/>
        <v>9.23</v>
      </c>
      <c r="E4000">
        <v>10.14</v>
      </c>
      <c r="F4000" s="1789">
        <v>8.8999999999999996E-2</v>
      </c>
      <c r="G4000">
        <f t="shared" si="125"/>
        <v>9.23</v>
      </c>
    </row>
    <row r="4001" spans="1:7" ht="12.75" customHeight="1">
      <c r="A4001" s="3">
        <v>38018</v>
      </c>
      <c r="B4001" s="4" t="s">
        <v>4024</v>
      </c>
      <c r="C4001" s="3" t="s">
        <v>6</v>
      </c>
      <c r="D4001" s="5">
        <f t="shared" si="124"/>
        <v>10.38</v>
      </c>
      <c r="E4001">
        <v>11.4</v>
      </c>
      <c r="F4001" s="1789">
        <v>8.8999999999999996E-2</v>
      </c>
      <c r="G4001">
        <f t="shared" si="125"/>
        <v>10.38</v>
      </c>
    </row>
    <row r="4002" spans="1:7" ht="12.75" customHeight="1">
      <c r="A4002" s="3">
        <v>39895</v>
      </c>
      <c r="B4002" s="4" t="s">
        <v>4025</v>
      </c>
      <c r="C4002" s="3" t="s">
        <v>6</v>
      </c>
      <c r="D4002" s="5">
        <f t="shared" si="124"/>
        <v>45.73</v>
      </c>
      <c r="E4002">
        <v>50.2</v>
      </c>
      <c r="F4002" s="1789">
        <v>8.8999999999999996E-2</v>
      </c>
      <c r="G4002">
        <f t="shared" si="125"/>
        <v>45.73</v>
      </c>
    </row>
    <row r="4003" spans="1:7" ht="12.75" customHeight="1">
      <c r="A4003" s="3">
        <v>39896</v>
      </c>
      <c r="B4003" s="4" t="s">
        <v>4026</v>
      </c>
      <c r="C4003" s="3" t="s">
        <v>6</v>
      </c>
      <c r="D4003" s="5">
        <f t="shared" si="124"/>
        <v>67.03</v>
      </c>
      <c r="E4003">
        <v>73.58</v>
      </c>
      <c r="F4003" s="1789">
        <v>8.8999999999999996E-2</v>
      </c>
      <c r="G4003">
        <f t="shared" si="125"/>
        <v>67.03</v>
      </c>
    </row>
    <row r="4004" spans="1:7" ht="12.75" customHeight="1">
      <c r="A4004" s="3">
        <v>38873</v>
      </c>
      <c r="B4004" s="4" t="s">
        <v>4027</v>
      </c>
      <c r="C4004" s="3" t="s">
        <v>6</v>
      </c>
      <c r="D4004" s="5">
        <f t="shared" si="124"/>
        <v>14.33</v>
      </c>
      <c r="E4004">
        <v>15.74</v>
      </c>
      <c r="F4004" s="1789">
        <v>8.8999999999999996E-2</v>
      </c>
      <c r="G4004">
        <f t="shared" si="125"/>
        <v>14.33</v>
      </c>
    </row>
    <row r="4005" spans="1:7" ht="12.75" customHeight="1">
      <c r="A4005" s="3">
        <v>38874</v>
      </c>
      <c r="B4005" s="4" t="s">
        <v>4028</v>
      </c>
      <c r="C4005" s="3" t="s">
        <v>6</v>
      </c>
      <c r="D4005" s="5">
        <f t="shared" si="124"/>
        <v>18.149999999999999</v>
      </c>
      <c r="E4005">
        <v>19.93</v>
      </c>
      <c r="F4005" s="1789">
        <v>8.8999999999999996E-2</v>
      </c>
      <c r="G4005">
        <f t="shared" si="125"/>
        <v>18.149999999999999</v>
      </c>
    </row>
    <row r="4006" spans="1:7" ht="12.75" customHeight="1">
      <c r="A4006" s="3">
        <v>38875</v>
      </c>
      <c r="B4006" s="4" t="s">
        <v>4029</v>
      </c>
      <c r="C4006" s="3" t="s">
        <v>6</v>
      </c>
      <c r="D4006" s="5">
        <f t="shared" si="124"/>
        <v>28.76</v>
      </c>
      <c r="E4006">
        <v>31.58</v>
      </c>
      <c r="F4006" s="1789">
        <v>8.8999999999999996E-2</v>
      </c>
      <c r="G4006">
        <f t="shared" si="125"/>
        <v>28.76</v>
      </c>
    </row>
    <row r="4007" spans="1:7" ht="12.75" customHeight="1">
      <c r="A4007" s="3">
        <v>38876</v>
      </c>
      <c r="B4007" s="4" t="s">
        <v>4030</v>
      </c>
      <c r="C4007" s="3" t="s">
        <v>6</v>
      </c>
      <c r="D4007" s="5">
        <f t="shared" si="124"/>
        <v>38.659999999999997</v>
      </c>
      <c r="E4007">
        <v>42.44</v>
      </c>
      <c r="F4007" s="1789">
        <v>8.8999999999999996E-2</v>
      </c>
      <c r="G4007">
        <f t="shared" si="125"/>
        <v>38.659999999999997</v>
      </c>
    </row>
    <row r="4008" spans="1:7" ht="12.75" customHeight="1">
      <c r="A4008" s="3">
        <v>39000</v>
      </c>
      <c r="B4008" s="4" t="s">
        <v>4031</v>
      </c>
      <c r="C4008" s="3" t="s">
        <v>6</v>
      </c>
      <c r="D4008" s="5">
        <f t="shared" si="124"/>
        <v>29.14</v>
      </c>
      <c r="E4008">
        <v>31.99</v>
      </c>
      <c r="F4008" s="1789">
        <v>8.8999999999999996E-2</v>
      </c>
      <c r="G4008">
        <f t="shared" si="125"/>
        <v>29.14</v>
      </c>
    </row>
    <row r="4009" spans="1:7" ht="12.75" customHeight="1">
      <c r="A4009" s="3">
        <v>38674</v>
      </c>
      <c r="B4009" s="4" t="s">
        <v>4032</v>
      </c>
      <c r="C4009" s="3" t="s">
        <v>6</v>
      </c>
      <c r="D4009" s="5">
        <f t="shared" si="124"/>
        <v>31.08</v>
      </c>
      <c r="E4009">
        <v>34.119999999999997</v>
      </c>
      <c r="F4009" s="1789">
        <v>8.8999999999999996E-2</v>
      </c>
      <c r="G4009">
        <f t="shared" si="125"/>
        <v>31.08</v>
      </c>
    </row>
    <row r="4010" spans="1:7" ht="12.75" customHeight="1">
      <c r="A4010" s="3">
        <v>38019</v>
      </c>
      <c r="B4010" s="4" t="s">
        <v>4033</v>
      </c>
      <c r="C4010" s="3" t="s">
        <v>6</v>
      </c>
      <c r="D4010" s="5">
        <f t="shared" si="124"/>
        <v>6.57</v>
      </c>
      <c r="E4010">
        <v>7.22</v>
      </c>
      <c r="F4010" s="1789">
        <v>8.8999999999999996E-2</v>
      </c>
      <c r="G4010">
        <f t="shared" si="125"/>
        <v>6.57</v>
      </c>
    </row>
    <row r="4011" spans="1:7" ht="12.75" customHeight="1">
      <c r="A4011" s="3">
        <v>38020</v>
      </c>
      <c r="B4011" s="4" t="s">
        <v>4034</v>
      </c>
      <c r="C4011" s="3" t="s">
        <v>6</v>
      </c>
      <c r="D4011" s="5">
        <f t="shared" si="124"/>
        <v>8.09</v>
      </c>
      <c r="E4011">
        <v>8.89</v>
      </c>
      <c r="F4011" s="1789">
        <v>8.8999999999999996E-2</v>
      </c>
      <c r="G4011">
        <f t="shared" si="125"/>
        <v>8.09</v>
      </c>
    </row>
    <row r="4012" spans="1:7" ht="12.75" customHeight="1">
      <c r="A4012" s="3">
        <v>38454</v>
      </c>
      <c r="B4012" s="4" t="s">
        <v>4035</v>
      </c>
      <c r="C4012" s="3" t="s">
        <v>6</v>
      </c>
      <c r="D4012" s="5">
        <f t="shared" si="124"/>
        <v>10.92</v>
      </c>
      <c r="E4012">
        <v>11.99</v>
      </c>
      <c r="F4012" s="1789">
        <v>8.8999999999999996E-2</v>
      </c>
      <c r="G4012">
        <f t="shared" si="125"/>
        <v>10.92</v>
      </c>
    </row>
    <row r="4013" spans="1:7" ht="12.75" customHeight="1">
      <c r="A4013" s="3">
        <v>38455</v>
      </c>
      <c r="B4013" s="4" t="s">
        <v>4036</v>
      </c>
      <c r="C4013" s="3" t="s">
        <v>6</v>
      </c>
      <c r="D4013" s="5">
        <f t="shared" si="124"/>
        <v>14.62</v>
      </c>
      <c r="E4013">
        <v>16.05</v>
      </c>
      <c r="F4013" s="1789">
        <v>8.8999999999999996E-2</v>
      </c>
      <c r="G4013">
        <f t="shared" si="125"/>
        <v>14.62</v>
      </c>
    </row>
    <row r="4014" spans="1:7" ht="12.75" customHeight="1">
      <c r="A4014" s="3">
        <v>38462</v>
      </c>
      <c r="B4014" s="4" t="s">
        <v>4037</v>
      </c>
      <c r="C4014" s="3" t="s">
        <v>6</v>
      </c>
      <c r="D4014" s="5">
        <f t="shared" si="124"/>
        <v>235.83</v>
      </c>
      <c r="E4014">
        <v>258.88</v>
      </c>
      <c r="F4014" s="1789">
        <v>8.8999999999999996E-2</v>
      </c>
      <c r="G4014">
        <f t="shared" si="125"/>
        <v>235.83</v>
      </c>
    </row>
    <row r="4015" spans="1:7" ht="12.75" customHeight="1">
      <c r="A4015" s="3">
        <v>36362</v>
      </c>
      <c r="B4015" s="4" t="s">
        <v>4038</v>
      </c>
      <c r="C4015" s="3" t="s">
        <v>6</v>
      </c>
      <c r="D4015" s="5">
        <f t="shared" si="124"/>
        <v>3.25</v>
      </c>
      <c r="E4015">
        <v>3.57</v>
      </c>
      <c r="F4015" s="1789">
        <v>8.8999999999999996E-2</v>
      </c>
      <c r="G4015">
        <f t="shared" si="125"/>
        <v>3.25</v>
      </c>
    </row>
    <row r="4016" spans="1:7" ht="12.75" customHeight="1">
      <c r="A4016" s="3">
        <v>36298</v>
      </c>
      <c r="B4016" s="4" t="s">
        <v>4039</v>
      </c>
      <c r="C4016" s="3" t="s">
        <v>6</v>
      </c>
      <c r="D4016" s="5">
        <f t="shared" si="124"/>
        <v>2.79</v>
      </c>
      <c r="E4016">
        <v>3.07</v>
      </c>
      <c r="F4016" s="1789">
        <v>8.8999999999999996E-2</v>
      </c>
      <c r="G4016">
        <f t="shared" si="125"/>
        <v>2.79</v>
      </c>
    </row>
    <row r="4017" spans="1:7" ht="12.75" customHeight="1">
      <c r="A4017" s="3">
        <v>38456</v>
      </c>
      <c r="B4017" s="4" t="s">
        <v>4040</v>
      </c>
      <c r="C4017" s="3" t="s">
        <v>6</v>
      </c>
      <c r="D4017" s="5">
        <f t="shared" si="124"/>
        <v>6.96</v>
      </c>
      <c r="E4017">
        <v>7.65</v>
      </c>
      <c r="F4017" s="1789">
        <v>8.8999999999999996E-2</v>
      </c>
      <c r="G4017">
        <f t="shared" si="125"/>
        <v>6.96</v>
      </c>
    </row>
    <row r="4018" spans="1:7" ht="12.75" customHeight="1">
      <c r="A4018" s="3">
        <v>38457</v>
      </c>
      <c r="B4018" s="4" t="s">
        <v>4041</v>
      </c>
      <c r="C4018" s="3" t="s">
        <v>6</v>
      </c>
      <c r="D4018" s="5">
        <f t="shared" si="124"/>
        <v>12.7</v>
      </c>
      <c r="E4018">
        <v>13.95</v>
      </c>
      <c r="F4018" s="1789">
        <v>8.8999999999999996E-2</v>
      </c>
      <c r="G4018">
        <f t="shared" si="125"/>
        <v>12.7</v>
      </c>
    </row>
    <row r="4019" spans="1:7" ht="12.75" customHeight="1">
      <c r="A4019" s="3">
        <v>38458</v>
      </c>
      <c r="B4019" s="4" t="s">
        <v>4042</v>
      </c>
      <c r="C4019" s="3" t="s">
        <v>6</v>
      </c>
      <c r="D4019" s="5">
        <f t="shared" si="124"/>
        <v>24.47</v>
      </c>
      <c r="E4019">
        <v>26.87</v>
      </c>
      <c r="F4019" s="1789">
        <v>8.8999999999999996E-2</v>
      </c>
      <c r="G4019">
        <f t="shared" si="125"/>
        <v>24.47</v>
      </c>
    </row>
    <row r="4020" spans="1:7" ht="12.75" customHeight="1">
      <c r="A4020" s="3">
        <v>38459</v>
      </c>
      <c r="B4020" s="4" t="s">
        <v>4043</v>
      </c>
      <c r="C4020" s="3" t="s">
        <v>6</v>
      </c>
      <c r="D4020" s="5">
        <f t="shared" si="124"/>
        <v>38.479999999999997</v>
      </c>
      <c r="E4020">
        <v>42.24</v>
      </c>
      <c r="F4020" s="1789">
        <v>8.8999999999999996E-2</v>
      </c>
      <c r="G4020">
        <f t="shared" si="125"/>
        <v>38.479999999999997</v>
      </c>
    </row>
    <row r="4021" spans="1:7" ht="12.75" customHeight="1">
      <c r="A4021" s="3">
        <v>38460</v>
      </c>
      <c r="B4021" s="4" t="s">
        <v>4044</v>
      </c>
      <c r="C4021" s="3" t="s">
        <v>6</v>
      </c>
      <c r="D4021" s="5">
        <f t="shared" si="124"/>
        <v>82.55</v>
      </c>
      <c r="E4021">
        <v>90.62</v>
      </c>
      <c r="F4021" s="1789">
        <v>8.8999999999999996E-2</v>
      </c>
      <c r="G4021">
        <f t="shared" si="125"/>
        <v>82.55</v>
      </c>
    </row>
    <row r="4022" spans="1:7" ht="12.75" customHeight="1">
      <c r="A4022" s="3">
        <v>38461</v>
      </c>
      <c r="B4022" s="4" t="s">
        <v>4045</v>
      </c>
      <c r="C4022" s="3" t="s">
        <v>6</v>
      </c>
      <c r="D4022" s="5">
        <f t="shared" si="124"/>
        <v>110.78</v>
      </c>
      <c r="E4022">
        <v>121.61</v>
      </c>
      <c r="F4022" s="1789">
        <v>8.8999999999999996E-2</v>
      </c>
      <c r="G4022">
        <f t="shared" si="125"/>
        <v>110.78</v>
      </c>
    </row>
    <row r="4023" spans="1:7" ht="12.75" customHeight="1">
      <c r="A4023" s="3">
        <v>7094</v>
      </c>
      <c r="B4023" s="4" t="s">
        <v>4046</v>
      </c>
      <c r="C4023" s="3" t="s">
        <v>6</v>
      </c>
      <c r="D4023" s="5">
        <f t="shared" si="124"/>
        <v>9.81</v>
      </c>
      <c r="E4023">
        <v>10.77</v>
      </c>
      <c r="F4023" s="1789">
        <v>8.8999999999999996E-2</v>
      </c>
      <c r="G4023">
        <f t="shared" si="125"/>
        <v>9.81</v>
      </c>
    </row>
    <row r="4024" spans="1:7" ht="12.75" customHeight="1">
      <c r="A4024" s="3">
        <v>7116</v>
      </c>
      <c r="B4024" s="4" t="s">
        <v>4047</v>
      </c>
      <c r="C4024" s="3" t="s">
        <v>6</v>
      </c>
      <c r="D4024" s="5">
        <f t="shared" si="124"/>
        <v>3.11</v>
      </c>
      <c r="E4024">
        <v>3.42</v>
      </c>
      <c r="F4024" s="1789">
        <v>8.8999999999999996E-2</v>
      </c>
      <c r="G4024">
        <f t="shared" si="125"/>
        <v>3.11</v>
      </c>
    </row>
    <row r="4025" spans="1:7" ht="12.75" customHeight="1">
      <c r="A4025" s="3">
        <v>7118</v>
      </c>
      <c r="B4025" s="4" t="s">
        <v>4048</v>
      </c>
      <c r="C4025" s="3" t="s">
        <v>6</v>
      </c>
      <c r="D4025" s="5">
        <f t="shared" si="124"/>
        <v>20.170000000000002</v>
      </c>
      <c r="E4025">
        <v>22.15</v>
      </c>
      <c r="F4025" s="1789">
        <v>8.8999999999999996E-2</v>
      </c>
      <c r="G4025">
        <f t="shared" si="125"/>
        <v>20.170000000000002</v>
      </c>
    </row>
    <row r="4026" spans="1:7" ht="12.75" customHeight="1">
      <c r="A4026" s="3">
        <v>7098</v>
      </c>
      <c r="B4026" s="4" t="s">
        <v>4049</v>
      </c>
      <c r="C4026" s="3" t="s">
        <v>6</v>
      </c>
      <c r="D4026" s="5">
        <f t="shared" si="124"/>
        <v>2.99</v>
      </c>
      <c r="E4026">
        <v>3.29</v>
      </c>
      <c r="F4026" s="1789">
        <v>8.8999999999999996E-2</v>
      </c>
      <c r="G4026">
        <f t="shared" si="125"/>
        <v>2.99</v>
      </c>
    </row>
    <row r="4027" spans="1:7" ht="12.75" customHeight="1">
      <c r="A4027" s="3">
        <v>7110</v>
      </c>
      <c r="B4027" s="4" t="s">
        <v>4050</v>
      </c>
      <c r="C4027" s="3" t="s">
        <v>6</v>
      </c>
      <c r="D4027" s="5">
        <f t="shared" si="124"/>
        <v>38.36</v>
      </c>
      <c r="E4027">
        <v>42.11</v>
      </c>
      <c r="F4027" s="1789">
        <v>8.8999999999999996E-2</v>
      </c>
      <c r="G4027">
        <f t="shared" si="125"/>
        <v>38.36</v>
      </c>
    </row>
    <row r="4028" spans="1:7" ht="12.75" customHeight="1">
      <c r="A4028" s="3">
        <v>7123</v>
      </c>
      <c r="B4028" s="4" t="s">
        <v>4051</v>
      </c>
      <c r="C4028" s="3" t="s">
        <v>6</v>
      </c>
      <c r="D4028" s="5">
        <f t="shared" si="124"/>
        <v>3.62</v>
      </c>
      <c r="E4028">
        <v>3.98</v>
      </c>
      <c r="F4028" s="1789">
        <v>8.8999999999999996E-2</v>
      </c>
      <c r="G4028">
        <f t="shared" si="125"/>
        <v>3.62</v>
      </c>
    </row>
    <row r="4029" spans="1:7" ht="12.75" customHeight="1">
      <c r="A4029" s="3">
        <v>7121</v>
      </c>
      <c r="B4029" s="4" t="s">
        <v>4052</v>
      </c>
      <c r="C4029" s="3" t="s">
        <v>6</v>
      </c>
      <c r="D4029" s="5">
        <f t="shared" si="124"/>
        <v>7.16</v>
      </c>
      <c r="E4029">
        <v>7.87</v>
      </c>
      <c r="F4029" s="1789">
        <v>8.8999999999999996E-2</v>
      </c>
      <c r="G4029">
        <f t="shared" si="125"/>
        <v>7.16</v>
      </c>
    </row>
    <row r="4030" spans="1:7" ht="12.75" customHeight="1">
      <c r="A4030" s="3">
        <v>7137</v>
      </c>
      <c r="B4030" s="4" t="s">
        <v>4053</v>
      </c>
      <c r="C4030" s="3" t="s">
        <v>6</v>
      </c>
      <c r="D4030" s="5">
        <f t="shared" si="124"/>
        <v>7.83</v>
      </c>
      <c r="E4030">
        <v>8.6</v>
      </c>
      <c r="F4030" s="1789">
        <v>8.8999999999999996E-2</v>
      </c>
      <c r="G4030">
        <f t="shared" si="125"/>
        <v>7.83</v>
      </c>
    </row>
    <row r="4031" spans="1:7" ht="12.75" customHeight="1">
      <c r="A4031" s="3">
        <v>7122</v>
      </c>
      <c r="B4031" s="4" t="s">
        <v>4054</v>
      </c>
      <c r="C4031" s="3" t="s">
        <v>6</v>
      </c>
      <c r="D4031" s="5">
        <f t="shared" si="124"/>
        <v>8.6199999999999992</v>
      </c>
      <c r="E4031">
        <v>9.4700000000000006</v>
      </c>
      <c r="F4031" s="1789">
        <v>8.8999999999999996E-2</v>
      </c>
      <c r="G4031">
        <f t="shared" si="125"/>
        <v>8.6199999999999992</v>
      </c>
    </row>
    <row r="4032" spans="1:7" ht="12.75" customHeight="1">
      <c r="A4032" s="3">
        <v>7114</v>
      </c>
      <c r="B4032" s="4" t="s">
        <v>4055</v>
      </c>
      <c r="C4032" s="3" t="s">
        <v>6</v>
      </c>
      <c r="D4032" s="5">
        <f t="shared" si="124"/>
        <v>10.029999999999999</v>
      </c>
      <c r="E4032">
        <v>11.01</v>
      </c>
      <c r="F4032" s="1789">
        <v>8.8999999999999996E-2</v>
      </c>
      <c r="G4032">
        <f t="shared" si="125"/>
        <v>10.029999999999999</v>
      </c>
    </row>
    <row r="4033" spans="1:7" ht="12.75" customHeight="1">
      <c r="A4033" s="3">
        <v>7109</v>
      </c>
      <c r="B4033" s="4" t="s">
        <v>4056</v>
      </c>
      <c r="C4033" s="3" t="s">
        <v>6</v>
      </c>
      <c r="D4033" s="5">
        <f t="shared" si="124"/>
        <v>1.98</v>
      </c>
      <c r="E4033">
        <v>2.1800000000000002</v>
      </c>
      <c r="F4033" s="1789">
        <v>8.8999999999999996E-2</v>
      </c>
      <c r="G4033">
        <f t="shared" si="125"/>
        <v>1.98</v>
      </c>
    </row>
    <row r="4034" spans="1:7" ht="12.75" customHeight="1">
      <c r="A4034" s="3">
        <v>7135</v>
      </c>
      <c r="B4034" s="4" t="s">
        <v>4057</v>
      </c>
      <c r="C4034" s="3" t="s">
        <v>6</v>
      </c>
      <c r="D4034" s="5">
        <f t="shared" si="124"/>
        <v>4.07</v>
      </c>
      <c r="E4034">
        <v>4.47</v>
      </c>
      <c r="F4034" s="1789">
        <v>8.8999999999999996E-2</v>
      </c>
      <c r="G4034">
        <f t="shared" si="125"/>
        <v>4.07</v>
      </c>
    </row>
    <row r="4035" spans="1:7" ht="12.75" customHeight="1">
      <c r="A4035" s="3">
        <v>37947</v>
      </c>
      <c r="B4035" s="4" t="s">
        <v>4058</v>
      </c>
      <c r="C4035" s="3" t="s">
        <v>6</v>
      </c>
      <c r="D4035" s="5">
        <f t="shared" ref="D4035:D4098" si="126">G4035</f>
        <v>3.3</v>
      </c>
      <c r="E4035">
        <v>3.63</v>
      </c>
      <c r="F4035" s="1789">
        <v>8.8999999999999996E-2</v>
      </c>
      <c r="G4035">
        <f t="shared" ref="G4035:G4098" si="127">TRUNC((1-F4035)*E4035,2)</f>
        <v>3.3</v>
      </c>
    </row>
    <row r="4036" spans="1:7" ht="12.75" customHeight="1">
      <c r="A4036" s="3">
        <v>7103</v>
      </c>
      <c r="B4036" s="4" t="s">
        <v>4059</v>
      </c>
      <c r="C4036" s="3" t="s">
        <v>6</v>
      </c>
      <c r="D4036" s="5">
        <f t="shared" si="126"/>
        <v>10.78</v>
      </c>
      <c r="E4036">
        <v>11.84</v>
      </c>
      <c r="F4036" s="1789">
        <v>8.8999999999999996E-2</v>
      </c>
      <c r="G4036">
        <f t="shared" si="127"/>
        <v>10.78</v>
      </c>
    </row>
    <row r="4037" spans="1:7" ht="12.75" customHeight="1">
      <c r="A4037" s="3">
        <v>40419</v>
      </c>
      <c r="B4037" s="4" t="s">
        <v>4060</v>
      </c>
      <c r="C4037" s="3" t="s">
        <v>6</v>
      </c>
      <c r="D4037" s="5">
        <f t="shared" si="126"/>
        <v>27.22</v>
      </c>
      <c r="E4037">
        <v>29.89</v>
      </c>
      <c r="F4037" s="1789">
        <v>8.8999999999999996E-2</v>
      </c>
      <c r="G4037">
        <f t="shared" si="127"/>
        <v>27.22</v>
      </c>
    </row>
    <row r="4038" spans="1:7" ht="12.75" customHeight="1">
      <c r="A4038" s="3">
        <v>40420</v>
      </c>
      <c r="B4038" s="4" t="s">
        <v>4061</v>
      </c>
      <c r="C4038" s="3" t="s">
        <v>6</v>
      </c>
      <c r="D4038" s="5">
        <f t="shared" si="126"/>
        <v>39.72</v>
      </c>
      <c r="E4038">
        <v>43.61</v>
      </c>
      <c r="F4038" s="1789">
        <v>8.8999999999999996E-2</v>
      </c>
      <c r="G4038">
        <f t="shared" si="127"/>
        <v>39.72</v>
      </c>
    </row>
    <row r="4039" spans="1:7" ht="12.75" customHeight="1">
      <c r="A4039" s="3">
        <v>40421</v>
      </c>
      <c r="B4039" s="4" t="s">
        <v>4062</v>
      </c>
      <c r="C4039" s="3" t="s">
        <v>6</v>
      </c>
      <c r="D4039" s="5">
        <f t="shared" si="126"/>
        <v>42.29</v>
      </c>
      <c r="E4039">
        <v>46.43</v>
      </c>
      <c r="F4039" s="1789">
        <v>8.8999999999999996E-2</v>
      </c>
      <c r="G4039">
        <f t="shared" si="127"/>
        <v>42.29</v>
      </c>
    </row>
    <row r="4040" spans="1:7" ht="12.75" customHeight="1">
      <c r="A4040" s="3">
        <v>38905</v>
      </c>
      <c r="B4040" s="4" t="s">
        <v>4063</v>
      </c>
      <c r="C4040" s="3" t="s">
        <v>6</v>
      </c>
      <c r="D4040" s="5">
        <f t="shared" si="126"/>
        <v>18.55</v>
      </c>
      <c r="E4040">
        <v>20.37</v>
      </c>
      <c r="F4040" s="1789">
        <v>8.8999999999999996E-2</v>
      </c>
      <c r="G4040">
        <f t="shared" si="127"/>
        <v>18.55</v>
      </c>
    </row>
    <row r="4041" spans="1:7" ht="12.75" customHeight="1">
      <c r="A4041" s="3">
        <v>38907</v>
      </c>
      <c r="B4041" s="4" t="s">
        <v>4064</v>
      </c>
      <c r="C4041" s="3" t="s">
        <v>6</v>
      </c>
      <c r="D4041" s="5">
        <f t="shared" si="126"/>
        <v>17.88</v>
      </c>
      <c r="E4041">
        <v>19.63</v>
      </c>
      <c r="F4041" s="1789">
        <v>8.8999999999999996E-2</v>
      </c>
      <c r="G4041">
        <f t="shared" si="127"/>
        <v>17.88</v>
      </c>
    </row>
    <row r="4042" spans="1:7" ht="12.75" customHeight="1">
      <c r="A4042" s="3">
        <v>38910</v>
      </c>
      <c r="B4042" s="4" t="s">
        <v>4065</v>
      </c>
      <c r="C4042" s="3" t="s">
        <v>6</v>
      </c>
      <c r="D4042" s="5">
        <f t="shared" si="126"/>
        <v>20.91</v>
      </c>
      <c r="E4042">
        <v>22.96</v>
      </c>
      <c r="F4042" s="1789">
        <v>8.8999999999999996E-2</v>
      </c>
      <c r="G4042">
        <f t="shared" si="127"/>
        <v>20.91</v>
      </c>
    </row>
    <row r="4043" spans="1:7" ht="12.75" customHeight="1">
      <c r="A4043" s="3">
        <v>11655</v>
      </c>
      <c r="B4043" s="4" t="s">
        <v>4066</v>
      </c>
      <c r="C4043" s="3" t="s">
        <v>6</v>
      </c>
      <c r="D4043" s="5">
        <f t="shared" si="126"/>
        <v>14.41</v>
      </c>
      <c r="E4043">
        <v>15.82</v>
      </c>
      <c r="F4043" s="1789">
        <v>8.8999999999999996E-2</v>
      </c>
      <c r="G4043">
        <f t="shared" si="127"/>
        <v>14.41</v>
      </c>
    </row>
    <row r="4044" spans="1:7" ht="12.75" customHeight="1">
      <c r="A4044" s="3">
        <v>11656</v>
      </c>
      <c r="B4044" s="4" t="s">
        <v>4067</v>
      </c>
      <c r="C4044" s="3" t="s">
        <v>6</v>
      </c>
      <c r="D4044" s="5">
        <f t="shared" si="126"/>
        <v>16.54</v>
      </c>
      <c r="E4044">
        <v>18.16</v>
      </c>
      <c r="F4044" s="1789">
        <v>8.8999999999999996E-2</v>
      </c>
      <c r="G4044">
        <f t="shared" si="127"/>
        <v>16.54</v>
      </c>
    </row>
    <row r="4045" spans="1:7" ht="12.75" customHeight="1">
      <c r="A4045" s="3">
        <v>7091</v>
      </c>
      <c r="B4045" s="4" t="s">
        <v>4068</v>
      </c>
      <c r="C4045" s="3" t="s">
        <v>6</v>
      </c>
      <c r="D4045" s="5">
        <f t="shared" si="126"/>
        <v>13.54</v>
      </c>
      <c r="E4045">
        <v>14.87</v>
      </c>
      <c r="F4045" s="1789">
        <v>8.8999999999999996E-2</v>
      </c>
      <c r="G4045">
        <f t="shared" si="127"/>
        <v>13.54</v>
      </c>
    </row>
    <row r="4046" spans="1:7" ht="12.75" customHeight="1">
      <c r="A4046" s="3">
        <v>37948</v>
      </c>
      <c r="B4046" s="4" t="s">
        <v>4069</v>
      </c>
      <c r="C4046" s="3" t="s">
        <v>6</v>
      </c>
      <c r="D4046" s="5">
        <f t="shared" si="126"/>
        <v>3.13</v>
      </c>
      <c r="E4046">
        <v>3.44</v>
      </c>
      <c r="F4046" s="1789">
        <v>8.8999999999999996E-2</v>
      </c>
      <c r="G4046">
        <f t="shared" si="127"/>
        <v>3.13</v>
      </c>
    </row>
    <row r="4047" spans="1:7" ht="12.75" customHeight="1">
      <c r="A4047" s="3">
        <v>7097</v>
      </c>
      <c r="B4047" s="4" t="s">
        <v>4070</v>
      </c>
      <c r="C4047" s="3" t="s">
        <v>6</v>
      </c>
      <c r="D4047" s="5">
        <f t="shared" si="126"/>
        <v>6.36</v>
      </c>
      <c r="E4047">
        <v>6.99</v>
      </c>
      <c r="F4047" s="1789">
        <v>8.8999999999999996E-2</v>
      </c>
      <c r="G4047">
        <f t="shared" si="127"/>
        <v>6.36</v>
      </c>
    </row>
    <row r="4048" spans="1:7" ht="12.75" customHeight="1">
      <c r="A4048" s="3">
        <v>11658</v>
      </c>
      <c r="B4048" s="4" t="s">
        <v>4071</v>
      </c>
      <c r="C4048" s="3" t="s">
        <v>6</v>
      </c>
      <c r="D4048" s="5">
        <f t="shared" si="126"/>
        <v>14.06</v>
      </c>
      <c r="E4048">
        <v>15.44</v>
      </c>
      <c r="F4048" s="1789">
        <v>8.8999999999999996E-2</v>
      </c>
      <c r="G4048">
        <f t="shared" si="127"/>
        <v>14.06</v>
      </c>
    </row>
    <row r="4049" spans="1:7" ht="12.75" customHeight="1">
      <c r="A4049" s="3">
        <v>7146</v>
      </c>
      <c r="B4049" s="4" t="s">
        <v>4072</v>
      </c>
      <c r="C4049" s="3" t="s">
        <v>6</v>
      </c>
      <c r="D4049" s="5">
        <f t="shared" si="126"/>
        <v>131.30000000000001</v>
      </c>
      <c r="E4049">
        <v>144.13</v>
      </c>
      <c r="F4049" s="1789">
        <v>8.8999999999999996E-2</v>
      </c>
      <c r="G4049">
        <f t="shared" si="127"/>
        <v>131.30000000000001</v>
      </c>
    </row>
    <row r="4050" spans="1:7" ht="12.75" customHeight="1">
      <c r="A4050" s="3">
        <v>7138</v>
      </c>
      <c r="B4050" s="4" t="s">
        <v>4073</v>
      </c>
      <c r="C4050" s="3" t="s">
        <v>6</v>
      </c>
      <c r="D4050" s="5">
        <f t="shared" si="126"/>
        <v>0.82</v>
      </c>
      <c r="E4050">
        <v>0.91</v>
      </c>
      <c r="F4050" s="1789">
        <v>8.8999999999999996E-2</v>
      </c>
      <c r="G4050">
        <f t="shared" si="127"/>
        <v>0.82</v>
      </c>
    </row>
    <row r="4051" spans="1:7" ht="12.75" customHeight="1">
      <c r="A4051" s="3">
        <v>7139</v>
      </c>
      <c r="B4051" s="4" t="s">
        <v>4074</v>
      </c>
      <c r="C4051" s="3" t="s">
        <v>6</v>
      </c>
      <c r="D4051" s="5">
        <f t="shared" si="126"/>
        <v>0.93</v>
      </c>
      <c r="E4051">
        <v>1.03</v>
      </c>
      <c r="F4051" s="1789">
        <v>8.8999999999999996E-2</v>
      </c>
      <c r="G4051">
        <f t="shared" si="127"/>
        <v>0.93</v>
      </c>
    </row>
    <row r="4052" spans="1:7" ht="12.75" customHeight="1">
      <c r="A4052" s="3">
        <v>7140</v>
      </c>
      <c r="B4052" s="4" t="s">
        <v>4075</v>
      </c>
      <c r="C4052" s="3" t="s">
        <v>6</v>
      </c>
      <c r="D4052" s="5">
        <f t="shared" si="126"/>
        <v>2.95</v>
      </c>
      <c r="E4052">
        <v>3.24</v>
      </c>
      <c r="F4052" s="1789">
        <v>8.8999999999999996E-2</v>
      </c>
      <c r="G4052">
        <f t="shared" si="127"/>
        <v>2.95</v>
      </c>
    </row>
    <row r="4053" spans="1:7" ht="12.75" customHeight="1">
      <c r="A4053" s="3">
        <v>7141</v>
      </c>
      <c r="B4053" s="4" t="s">
        <v>4076</v>
      </c>
      <c r="C4053" s="3" t="s">
        <v>6</v>
      </c>
      <c r="D4053" s="5">
        <f t="shared" si="126"/>
        <v>7.22</v>
      </c>
      <c r="E4053">
        <v>7.93</v>
      </c>
      <c r="F4053" s="1789">
        <v>8.8999999999999996E-2</v>
      </c>
      <c r="G4053">
        <f t="shared" si="127"/>
        <v>7.22</v>
      </c>
    </row>
    <row r="4054" spans="1:7" ht="12.75" customHeight="1">
      <c r="A4054" s="3">
        <v>7143</v>
      </c>
      <c r="B4054" s="4" t="s">
        <v>4077</v>
      </c>
      <c r="C4054" s="3" t="s">
        <v>6</v>
      </c>
      <c r="D4054" s="5">
        <f t="shared" si="126"/>
        <v>24.24</v>
      </c>
      <c r="E4054">
        <v>26.61</v>
      </c>
      <c r="F4054" s="1789">
        <v>8.8999999999999996E-2</v>
      </c>
      <c r="G4054">
        <f t="shared" si="127"/>
        <v>24.24</v>
      </c>
    </row>
    <row r="4055" spans="1:7" ht="12.75" customHeight="1">
      <c r="A4055" s="3">
        <v>7144</v>
      </c>
      <c r="B4055" s="4" t="s">
        <v>4078</v>
      </c>
      <c r="C4055" s="3" t="s">
        <v>6</v>
      </c>
      <c r="D4055" s="5">
        <f t="shared" si="126"/>
        <v>44.96</v>
      </c>
      <c r="E4055">
        <v>49.36</v>
      </c>
      <c r="F4055" s="1789">
        <v>8.8999999999999996E-2</v>
      </c>
      <c r="G4055">
        <f t="shared" si="127"/>
        <v>44.96</v>
      </c>
    </row>
    <row r="4056" spans="1:7" ht="12.75" customHeight="1">
      <c r="A4056" s="3">
        <v>7145</v>
      </c>
      <c r="B4056" s="4" t="s">
        <v>4079</v>
      </c>
      <c r="C4056" s="3" t="s">
        <v>6</v>
      </c>
      <c r="D4056" s="5">
        <f t="shared" si="126"/>
        <v>61.14</v>
      </c>
      <c r="E4056">
        <v>67.12</v>
      </c>
      <c r="F4056" s="1789">
        <v>8.8999999999999996E-2</v>
      </c>
      <c r="G4056">
        <f t="shared" si="127"/>
        <v>61.14</v>
      </c>
    </row>
    <row r="4057" spans="1:7" ht="12.75" customHeight="1">
      <c r="A4057" s="3">
        <v>7142</v>
      </c>
      <c r="B4057" s="4" t="s">
        <v>4080</v>
      </c>
      <c r="C4057" s="3" t="s">
        <v>6</v>
      </c>
      <c r="D4057" s="5">
        <f t="shared" si="126"/>
        <v>7.55</v>
      </c>
      <c r="E4057">
        <v>8.2899999999999991</v>
      </c>
      <c r="F4057" s="1789">
        <v>8.8999999999999996E-2</v>
      </c>
      <c r="G4057">
        <f t="shared" si="127"/>
        <v>7.55</v>
      </c>
    </row>
    <row r="4058" spans="1:7" ht="12.75" customHeight="1">
      <c r="A4058" s="3">
        <v>3593</v>
      </c>
      <c r="B4058" s="4" t="s">
        <v>4081</v>
      </c>
      <c r="C4058" s="3" t="s">
        <v>6</v>
      </c>
      <c r="D4058" s="5">
        <f t="shared" si="126"/>
        <v>67.19</v>
      </c>
      <c r="E4058">
        <v>73.760000000000005</v>
      </c>
      <c r="F4058" s="1789">
        <v>8.8999999999999996E-2</v>
      </c>
      <c r="G4058">
        <f t="shared" si="127"/>
        <v>67.19</v>
      </c>
    </row>
    <row r="4059" spans="1:7" ht="12.75" customHeight="1">
      <c r="A4059" s="3">
        <v>3588</v>
      </c>
      <c r="B4059" s="4" t="s">
        <v>4082</v>
      </c>
      <c r="C4059" s="3" t="s">
        <v>6</v>
      </c>
      <c r="D4059" s="5">
        <f t="shared" si="126"/>
        <v>51.79</v>
      </c>
      <c r="E4059">
        <v>56.86</v>
      </c>
      <c r="F4059" s="1789">
        <v>8.8999999999999996E-2</v>
      </c>
      <c r="G4059">
        <f t="shared" si="127"/>
        <v>51.79</v>
      </c>
    </row>
    <row r="4060" spans="1:7" ht="12.75" customHeight="1">
      <c r="A4060" s="3">
        <v>3585</v>
      </c>
      <c r="B4060" s="4" t="s">
        <v>4083</v>
      </c>
      <c r="C4060" s="3" t="s">
        <v>6</v>
      </c>
      <c r="D4060" s="5">
        <f t="shared" si="126"/>
        <v>15.99</v>
      </c>
      <c r="E4060">
        <v>17.559999999999999</v>
      </c>
      <c r="F4060" s="1789">
        <v>8.8999999999999996E-2</v>
      </c>
      <c r="G4060">
        <f t="shared" si="127"/>
        <v>15.99</v>
      </c>
    </row>
    <row r="4061" spans="1:7" ht="12.75" customHeight="1">
      <c r="A4061" s="3">
        <v>3587</v>
      </c>
      <c r="B4061" s="4" t="s">
        <v>4084</v>
      </c>
      <c r="C4061" s="3" t="s">
        <v>6</v>
      </c>
      <c r="D4061" s="5">
        <f t="shared" si="126"/>
        <v>32.14</v>
      </c>
      <c r="E4061">
        <v>35.28</v>
      </c>
      <c r="F4061" s="1789">
        <v>8.8999999999999996E-2</v>
      </c>
      <c r="G4061">
        <f t="shared" si="127"/>
        <v>32.14</v>
      </c>
    </row>
    <row r="4062" spans="1:7" ht="12.75" customHeight="1">
      <c r="A4062" s="3">
        <v>3590</v>
      </c>
      <c r="B4062" s="4" t="s">
        <v>4085</v>
      </c>
      <c r="C4062" s="3" t="s">
        <v>6</v>
      </c>
      <c r="D4062" s="5">
        <f t="shared" si="126"/>
        <v>190.79</v>
      </c>
      <c r="E4062">
        <v>209.44</v>
      </c>
      <c r="F4062" s="1789">
        <v>8.8999999999999996E-2</v>
      </c>
      <c r="G4062">
        <f t="shared" si="127"/>
        <v>190.79</v>
      </c>
    </row>
    <row r="4063" spans="1:7" ht="12.75" customHeight="1">
      <c r="A4063" s="3">
        <v>3589</v>
      </c>
      <c r="B4063" s="4" t="s">
        <v>4086</v>
      </c>
      <c r="C4063" s="3" t="s">
        <v>6</v>
      </c>
      <c r="D4063" s="5">
        <f t="shared" si="126"/>
        <v>102.4</v>
      </c>
      <c r="E4063">
        <v>112.41</v>
      </c>
      <c r="F4063" s="1789">
        <v>8.8999999999999996E-2</v>
      </c>
      <c r="G4063">
        <f t="shared" si="127"/>
        <v>102.4</v>
      </c>
    </row>
    <row r="4064" spans="1:7" ht="12.75" customHeight="1">
      <c r="A4064" s="3">
        <v>3586</v>
      </c>
      <c r="B4064" s="4" t="s">
        <v>4087</v>
      </c>
      <c r="C4064" s="3" t="s">
        <v>6</v>
      </c>
      <c r="D4064" s="5">
        <f t="shared" si="126"/>
        <v>20.95</v>
      </c>
      <c r="E4064">
        <v>23</v>
      </c>
      <c r="F4064" s="1789">
        <v>8.8999999999999996E-2</v>
      </c>
      <c r="G4064">
        <f t="shared" si="127"/>
        <v>20.95</v>
      </c>
    </row>
    <row r="4065" spans="1:7" ht="12.75" customHeight="1">
      <c r="A4065" s="3">
        <v>3592</v>
      </c>
      <c r="B4065" s="4" t="s">
        <v>4088</v>
      </c>
      <c r="C4065" s="3" t="s">
        <v>6</v>
      </c>
      <c r="D4065" s="5">
        <f t="shared" si="126"/>
        <v>301.58999999999997</v>
      </c>
      <c r="E4065">
        <v>331.06</v>
      </c>
      <c r="F4065" s="1789">
        <v>8.8999999999999996E-2</v>
      </c>
      <c r="G4065">
        <f t="shared" si="127"/>
        <v>301.58999999999997</v>
      </c>
    </row>
    <row r="4066" spans="1:7" ht="12.75" customHeight="1">
      <c r="A4066" s="3">
        <v>3591</v>
      </c>
      <c r="B4066" s="4" t="s">
        <v>4089</v>
      </c>
      <c r="C4066" s="3" t="s">
        <v>6</v>
      </c>
      <c r="D4066" s="5">
        <f t="shared" si="126"/>
        <v>483.46</v>
      </c>
      <c r="E4066">
        <v>530.70000000000005</v>
      </c>
      <c r="F4066" s="1789">
        <v>8.8999999999999996E-2</v>
      </c>
      <c r="G4066">
        <f t="shared" si="127"/>
        <v>483.46</v>
      </c>
    </row>
    <row r="4067" spans="1:7" ht="12.75" customHeight="1">
      <c r="A4067" s="3">
        <v>40396</v>
      </c>
      <c r="B4067" s="4" t="s">
        <v>4090</v>
      </c>
      <c r="C4067" s="3" t="s">
        <v>6</v>
      </c>
      <c r="D4067" s="5">
        <f t="shared" si="126"/>
        <v>118.53</v>
      </c>
      <c r="E4067">
        <v>130.11000000000001</v>
      </c>
      <c r="F4067" s="1789">
        <v>8.8999999999999996E-2</v>
      </c>
      <c r="G4067">
        <f t="shared" si="127"/>
        <v>118.53</v>
      </c>
    </row>
    <row r="4068" spans="1:7" ht="12.75" customHeight="1">
      <c r="A4068" s="3">
        <v>40395</v>
      </c>
      <c r="B4068" s="4" t="s">
        <v>4091</v>
      </c>
      <c r="C4068" s="3" t="s">
        <v>6</v>
      </c>
      <c r="D4068" s="5">
        <f t="shared" si="126"/>
        <v>90.96</v>
      </c>
      <c r="E4068">
        <v>99.85</v>
      </c>
      <c r="F4068" s="1789">
        <v>8.8999999999999996E-2</v>
      </c>
      <c r="G4068">
        <f t="shared" si="127"/>
        <v>90.96</v>
      </c>
    </row>
    <row r="4069" spans="1:7" ht="12.75" customHeight="1">
      <c r="A4069" s="3">
        <v>40392</v>
      </c>
      <c r="B4069" s="4" t="s">
        <v>4092</v>
      </c>
      <c r="C4069" s="3" t="s">
        <v>6</v>
      </c>
      <c r="D4069" s="5">
        <f t="shared" si="126"/>
        <v>29.27</v>
      </c>
      <c r="E4069">
        <v>32.130000000000003</v>
      </c>
      <c r="F4069" s="1789">
        <v>8.8999999999999996E-2</v>
      </c>
      <c r="G4069">
        <f t="shared" si="127"/>
        <v>29.27</v>
      </c>
    </row>
    <row r="4070" spans="1:7" ht="12.75" customHeight="1">
      <c r="A4070" s="3">
        <v>40394</v>
      </c>
      <c r="B4070" s="4" t="s">
        <v>4093</v>
      </c>
      <c r="C4070" s="3" t="s">
        <v>6</v>
      </c>
      <c r="D4070" s="5">
        <f t="shared" si="126"/>
        <v>59.22</v>
      </c>
      <c r="E4070">
        <v>65.010000000000005</v>
      </c>
      <c r="F4070" s="1789">
        <v>8.8999999999999996E-2</v>
      </c>
      <c r="G4070">
        <f t="shared" si="127"/>
        <v>59.22</v>
      </c>
    </row>
    <row r="4071" spans="1:7" ht="12.75" customHeight="1">
      <c r="A4071" s="3">
        <v>40398</v>
      </c>
      <c r="B4071" s="4" t="s">
        <v>4094</v>
      </c>
      <c r="C4071" s="3" t="s">
        <v>6</v>
      </c>
      <c r="D4071" s="5">
        <f t="shared" si="126"/>
        <v>380.26</v>
      </c>
      <c r="E4071">
        <v>417.42</v>
      </c>
      <c r="F4071" s="1789">
        <v>8.8999999999999996E-2</v>
      </c>
      <c r="G4071">
        <f t="shared" si="127"/>
        <v>380.26</v>
      </c>
    </row>
    <row r="4072" spans="1:7" ht="12.75" customHeight="1">
      <c r="A4072" s="3">
        <v>40397</v>
      </c>
      <c r="B4072" s="4" t="s">
        <v>4095</v>
      </c>
      <c r="C4072" s="3" t="s">
        <v>6</v>
      </c>
      <c r="D4072" s="5">
        <f t="shared" si="126"/>
        <v>194.74</v>
      </c>
      <c r="E4072">
        <v>213.77</v>
      </c>
      <c r="F4072" s="1789">
        <v>8.8999999999999996E-2</v>
      </c>
      <c r="G4072">
        <f t="shared" si="127"/>
        <v>194.74</v>
      </c>
    </row>
    <row r="4073" spans="1:7" ht="12.75" customHeight="1">
      <c r="A4073" s="3">
        <v>40393</v>
      </c>
      <c r="B4073" s="4" t="s">
        <v>4096</v>
      </c>
      <c r="C4073" s="3" t="s">
        <v>6</v>
      </c>
      <c r="D4073" s="5">
        <f t="shared" si="126"/>
        <v>37.69</v>
      </c>
      <c r="E4073">
        <v>41.38</v>
      </c>
      <c r="F4073" s="1789">
        <v>8.8999999999999996E-2</v>
      </c>
      <c r="G4073">
        <f t="shared" si="127"/>
        <v>37.69</v>
      </c>
    </row>
    <row r="4074" spans="1:7" ht="12.75" customHeight="1">
      <c r="A4074" s="3">
        <v>40399</v>
      </c>
      <c r="B4074" s="4" t="s">
        <v>4097</v>
      </c>
      <c r="C4074" s="3" t="s">
        <v>6</v>
      </c>
      <c r="D4074" s="5">
        <f t="shared" si="126"/>
        <v>622.11</v>
      </c>
      <c r="E4074">
        <v>682.89</v>
      </c>
      <c r="F4074" s="1789">
        <v>8.8999999999999996E-2</v>
      </c>
      <c r="G4074">
        <f t="shared" si="127"/>
        <v>622.11</v>
      </c>
    </row>
    <row r="4075" spans="1:7" ht="12.75" customHeight="1">
      <c r="A4075" s="3">
        <v>39322</v>
      </c>
      <c r="B4075" s="4" t="s">
        <v>4098</v>
      </c>
      <c r="C4075" s="3" t="s">
        <v>6</v>
      </c>
      <c r="D4075" s="5">
        <f t="shared" si="126"/>
        <v>8.82</v>
      </c>
      <c r="E4075">
        <v>9.69</v>
      </c>
      <c r="F4075" s="1789">
        <v>8.8999999999999996E-2</v>
      </c>
      <c r="G4075">
        <f t="shared" si="127"/>
        <v>8.82</v>
      </c>
    </row>
    <row r="4076" spans="1:7" ht="12.75" customHeight="1">
      <c r="A4076" s="3">
        <v>39289</v>
      </c>
      <c r="B4076" s="4" t="s">
        <v>4099</v>
      </c>
      <c r="C4076" s="3" t="s">
        <v>6</v>
      </c>
      <c r="D4076" s="5">
        <f t="shared" si="126"/>
        <v>16.45</v>
      </c>
      <c r="E4076">
        <v>18.059999999999999</v>
      </c>
      <c r="F4076" s="1789">
        <v>8.8999999999999996E-2</v>
      </c>
      <c r="G4076">
        <f t="shared" si="127"/>
        <v>16.45</v>
      </c>
    </row>
    <row r="4077" spans="1:7" ht="12.75" customHeight="1">
      <c r="A4077" s="3">
        <v>39290</v>
      </c>
      <c r="B4077" s="4" t="s">
        <v>4100</v>
      </c>
      <c r="C4077" s="3" t="s">
        <v>6</v>
      </c>
      <c r="D4077" s="5">
        <f t="shared" si="126"/>
        <v>27.77</v>
      </c>
      <c r="E4077">
        <v>30.49</v>
      </c>
      <c r="F4077" s="1789">
        <v>8.8999999999999996E-2</v>
      </c>
      <c r="G4077">
        <f t="shared" si="127"/>
        <v>27.77</v>
      </c>
    </row>
    <row r="4078" spans="1:7" ht="12.75" customHeight="1">
      <c r="A4078" s="3">
        <v>39291</v>
      </c>
      <c r="B4078" s="4" t="s">
        <v>4101</v>
      </c>
      <c r="C4078" s="3" t="s">
        <v>6</v>
      </c>
      <c r="D4078" s="5">
        <f t="shared" si="126"/>
        <v>30.71</v>
      </c>
      <c r="E4078">
        <v>33.72</v>
      </c>
      <c r="F4078" s="1789">
        <v>8.8999999999999996E-2</v>
      </c>
      <c r="G4078">
        <f t="shared" si="127"/>
        <v>30.71</v>
      </c>
    </row>
    <row r="4079" spans="1:7" ht="12.75" customHeight="1">
      <c r="A4079" s="3">
        <v>41892</v>
      </c>
      <c r="B4079" s="4" t="s">
        <v>4102</v>
      </c>
      <c r="C4079" s="3" t="s">
        <v>6</v>
      </c>
      <c r="D4079" s="5">
        <f t="shared" si="126"/>
        <v>71.22</v>
      </c>
      <c r="E4079">
        <v>78.180000000000007</v>
      </c>
      <c r="F4079" s="1789">
        <v>8.8999999999999996E-2</v>
      </c>
      <c r="G4079">
        <f t="shared" si="127"/>
        <v>71.22</v>
      </c>
    </row>
    <row r="4080" spans="1:7" ht="12.75" customHeight="1">
      <c r="A4080" s="3">
        <v>7048</v>
      </c>
      <c r="B4080" s="4" t="s">
        <v>4103</v>
      </c>
      <c r="C4080" s="3" t="s">
        <v>6</v>
      </c>
      <c r="D4080" s="5">
        <f t="shared" si="126"/>
        <v>15.36</v>
      </c>
      <c r="E4080">
        <v>16.87</v>
      </c>
      <c r="F4080" s="1789">
        <v>8.8999999999999996E-2</v>
      </c>
      <c r="G4080">
        <f t="shared" si="127"/>
        <v>15.36</v>
      </c>
    </row>
    <row r="4081" spans="1:7" ht="12.75" customHeight="1">
      <c r="A4081" s="3">
        <v>7088</v>
      </c>
      <c r="B4081" s="4" t="s">
        <v>4104</v>
      </c>
      <c r="C4081" s="3" t="s">
        <v>6</v>
      </c>
      <c r="D4081" s="5">
        <f t="shared" si="126"/>
        <v>33.61</v>
      </c>
      <c r="E4081">
        <v>36.9</v>
      </c>
      <c r="F4081" s="1789">
        <v>8.8999999999999996E-2</v>
      </c>
      <c r="G4081">
        <f t="shared" si="127"/>
        <v>33.61</v>
      </c>
    </row>
    <row r="4082" spans="1:7" ht="12.75" customHeight="1">
      <c r="A4082" s="3">
        <v>20179</v>
      </c>
      <c r="B4082" s="4" t="s">
        <v>4105</v>
      </c>
      <c r="C4082" s="3" t="s">
        <v>6</v>
      </c>
      <c r="D4082" s="5">
        <f t="shared" si="126"/>
        <v>37.07</v>
      </c>
      <c r="E4082">
        <v>40.700000000000003</v>
      </c>
      <c r="F4082" s="1789">
        <v>8.8999999999999996E-2</v>
      </c>
      <c r="G4082">
        <f t="shared" si="127"/>
        <v>37.07</v>
      </c>
    </row>
    <row r="4083" spans="1:7" ht="12.75" customHeight="1">
      <c r="A4083" s="3">
        <v>20178</v>
      </c>
      <c r="B4083" s="4" t="s">
        <v>4106</v>
      </c>
      <c r="C4083" s="3" t="s">
        <v>6</v>
      </c>
      <c r="D4083" s="5">
        <f t="shared" si="126"/>
        <v>44.44</v>
      </c>
      <c r="E4083">
        <v>48.79</v>
      </c>
      <c r="F4083" s="1789">
        <v>8.8999999999999996E-2</v>
      </c>
      <c r="G4083">
        <f t="shared" si="127"/>
        <v>44.44</v>
      </c>
    </row>
    <row r="4084" spans="1:7" ht="12.75" customHeight="1">
      <c r="A4084" s="3">
        <v>20180</v>
      </c>
      <c r="B4084" s="4" t="s">
        <v>4107</v>
      </c>
      <c r="C4084" s="3" t="s">
        <v>6</v>
      </c>
      <c r="D4084" s="5">
        <f t="shared" si="126"/>
        <v>73.36</v>
      </c>
      <c r="E4084">
        <v>80.53</v>
      </c>
      <c r="F4084" s="1789">
        <v>8.8999999999999996E-2</v>
      </c>
      <c r="G4084">
        <f t="shared" si="127"/>
        <v>73.36</v>
      </c>
    </row>
    <row r="4085" spans="1:7" ht="12.75" customHeight="1">
      <c r="A4085" s="3">
        <v>20181</v>
      </c>
      <c r="B4085" s="4" t="s">
        <v>4108</v>
      </c>
      <c r="C4085" s="3" t="s">
        <v>6</v>
      </c>
      <c r="D4085" s="5">
        <f t="shared" si="126"/>
        <v>98.22</v>
      </c>
      <c r="E4085">
        <v>107.82</v>
      </c>
      <c r="F4085" s="1789">
        <v>8.8999999999999996E-2</v>
      </c>
      <c r="G4085">
        <f t="shared" si="127"/>
        <v>98.22</v>
      </c>
    </row>
    <row r="4086" spans="1:7" ht="12.75" customHeight="1">
      <c r="A4086" s="3">
        <v>20177</v>
      </c>
      <c r="B4086" s="4" t="s">
        <v>4109</v>
      </c>
      <c r="C4086" s="3" t="s">
        <v>6</v>
      </c>
      <c r="D4086" s="5">
        <f t="shared" si="126"/>
        <v>24.29</v>
      </c>
      <c r="E4086">
        <v>26.67</v>
      </c>
      <c r="F4086" s="1789">
        <v>8.8999999999999996E-2</v>
      </c>
      <c r="G4086">
        <f t="shared" si="127"/>
        <v>24.29</v>
      </c>
    </row>
    <row r="4087" spans="1:7" ht="12.75" customHeight="1">
      <c r="A4087" s="3">
        <v>7070</v>
      </c>
      <c r="B4087" s="4" t="s">
        <v>4110</v>
      </c>
      <c r="C4087" s="3" t="s">
        <v>6</v>
      </c>
      <c r="D4087" s="5">
        <f t="shared" si="126"/>
        <v>174.34</v>
      </c>
      <c r="E4087">
        <v>191.38</v>
      </c>
      <c r="F4087" s="1789">
        <v>8.8999999999999996E-2</v>
      </c>
      <c r="G4087">
        <f t="shared" si="127"/>
        <v>174.34</v>
      </c>
    </row>
    <row r="4088" spans="1:7" ht="12.75" customHeight="1">
      <c r="A4088" s="3">
        <v>40945</v>
      </c>
      <c r="B4088" s="4" t="s">
        <v>4111</v>
      </c>
      <c r="C4088" s="3" t="s">
        <v>154</v>
      </c>
      <c r="D4088" s="5">
        <f t="shared" si="126"/>
        <v>14.23</v>
      </c>
      <c r="E4088">
        <v>15.63</v>
      </c>
      <c r="F4088" s="1789">
        <v>8.8999999999999996E-2</v>
      </c>
      <c r="G4088">
        <f t="shared" si="127"/>
        <v>14.23</v>
      </c>
    </row>
    <row r="4089" spans="1:7" ht="12.75" customHeight="1">
      <c r="A4089" s="3">
        <v>40946</v>
      </c>
      <c r="B4089" s="4" t="s">
        <v>4112</v>
      </c>
      <c r="C4089" s="3" t="s">
        <v>156</v>
      </c>
      <c r="D4089" s="5">
        <f t="shared" si="126"/>
        <v>2506.58</v>
      </c>
      <c r="E4089">
        <v>2751.47</v>
      </c>
      <c r="F4089" s="1789">
        <v>8.8999999999999996E-2</v>
      </c>
      <c r="G4089">
        <f t="shared" si="127"/>
        <v>2506.58</v>
      </c>
    </row>
    <row r="4090" spans="1:7" ht="12.75" customHeight="1">
      <c r="A4090" s="3">
        <v>7153</v>
      </c>
      <c r="B4090" s="4" t="s">
        <v>4113</v>
      </c>
      <c r="C4090" s="3" t="s">
        <v>154</v>
      </c>
      <c r="D4090" s="5">
        <f t="shared" si="126"/>
        <v>24.77</v>
      </c>
      <c r="E4090">
        <v>27.19</v>
      </c>
      <c r="F4090" s="1789">
        <v>8.8999999999999996E-2</v>
      </c>
      <c r="G4090">
        <f t="shared" si="127"/>
        <v>24.77</v>
      </c>
    </row>
    <row r="4091" spans="1:7" ht="12.75" customHeight="1">
      <c r="A4091" s="3">
        <v>41089</v>
      </c>
      <c r="B4091" s="4" t="s">
        <v>4114</v>
      </c>
      <c r="C4091" s="3" t="s">
        <v>156</v>
      </c>
      <c r="D4091" s="5">
        <f t="shared" si="126"/>
        <v>4362.04</v>
      </c>
      <c r="E4091">
        <v>4788.1899999999996</v>
      </c>
      <c r="F4091" s="1789">
        <v>8.8999999999999996E-2</v>
      </c>
      <c r="G4091">
        <f t="shared" si="127"/>
        <v>4362.04</v>
      </c>
    </row>
    <row r="4092" spans="1:7" ht="12.75" customHeight="1">
      <c r="A4092" s="3">
        <v>40943</v>
      </c>
      <c r="B4092" s="4" t="s">
        <v>4115</v>
      </c>
      <c r="C4092" s="3" t="s">
        <v>154</v>
      </c>
      <c r="D4092" s="5">
        <f t="shared" si="126"/>
        <v>24.53</v>
      </c>
      <c r="E4092">
        <v>26.93</v>
      </c>
      <c r="F4092" s="1789">
        <v>8.8999999999999996E-2</v>
      </c>
      <c r="G4092">
        <f t="shared" si="127"/>
        <v>24.53</v>
      </c>
    </row>
    <row r="4093" spans="1:7" ht="12.75" customHeight="1">
      <c r="A4093" s="3">
        <v>40944</v>
      </c>
      <c r="B4093" s="4" t="s">
        <v>4116</v>
      </c>
      <c r="C4093" s="3" t="s">
        <v>156</v>
      </c>
      <c r="D4093" s="5">
        <f t="shared" si="126"/>
        <v>4319.26</v>
      </c>
      <c r="E4093">
        <v>4741.24</v>
      </c>
      <c r="F4093" s="1789">
        <v>8.8999999999999996E-2</v>
      </c>
      <c r="G4093">
        <f t="shared" si="127"/>
        <v>4319.26</v>
      </c>
    </row>
    <row r="4094" spans="1:7" ht="12.75" customHeight="1">
      <c r="A4094" s="3">
        <v>6175</v>
      </c>
      <c r="B4094" s="4" t="s">
        <v>4117</v>
      </c>
      <c r="C4094" s="3" t="s">
        <v>154</v>
      </c>
      <c r="D4094" s="5">
        <f t="shared" si="126"/>
        <v>19.079999999999998</v>
      </c>
      <c r="E4094">
        <v>20.95</v>
      </c>
      <c r="F4094" s="1789">
        <v>8.8999999999999996E-2</v>
      </c>
      <c r="G4094">
        <f t="shared" si="127"/>
        <v>19.079999999999998</v>
      </c>
    </row>
    <row r="4095" spans="1:7" ht="12.75" customHeight="1">
      <c r="A4095" s="3">
        <v>41092</v>
      </c>
      <c r="B4095" s="4" t="s">
        <v>4118</v>
      </c>
      <c r="C4095" s="3" t="s">
        <v>156</v>
      </c>
      <c r="D4095" s="5">
        <f t="shared" si="126"/>
        <v>3358.96</v>
      </c>
      <c r="E4095">
        <v>3687.12</v>
      </c>
      <c r="F4095" s="1789">
        <v>8.8999999999999996E-2</v>
      </c>
      <c r="G4095">
        <f t="shared" si="127"/>
        <v>3358.96</v>
      </c>
    </row>
    <row r="4096" spans="1:7" ht="12.75" customHeight="1">
      <c r="A4096" s="3">
        <v>37712</v>
      </c>
      <c r="B4096" s="4" t="s">
        <v>4119</v>
      </c>
      <c r="C4096" s="3" t="s">
        <v>409</v>
      </c>
      <c r="D4096" s="5">
        <f t="shared" si="126"/>
        <v>69.430000000000007</v>
      </c>
      <c r="E4096">
        <v>76.22</v>
      </c>
      <c r="F4096" s="1789">
        <v>8.8999999999999996E-2</v>
      </c>
      <c r="G4096">
        <f t="shared" si="127"/>
        <v>69.430000000000007</v>
      </c>
    </row>
    <row r="4097" spans="1:7" ht="12.75" customHeight="1">
      <c r="A4097" s="3">
        <v>34558</v>
      </c>
      <c r="B4097" s="4" t="s">
        <v>4120</v>
      </c>
      <c r="C4097" s="3" t="s">
        <v>50</v>
      </c>
      <c r="D4097" s="5">
        <f t="shared" si="126"/>
        <v>3.14</v>
      </c>
      <c r="E4097">
        <v>3.45</v>
      </c>
      <c r="F4097" s="1789">
        <v>8.8999999999999996E-2</v>
      </c>
      <c r="G4097">
        <f t="shared" si="127"/>
        <v>3.14</v>
      </c>
    </row>
    <row r="4098" spans="1:7" ht="12.75" customHeight="1">
      <c r="A4098" s="3">
        <v>34547</v>
      </c>
      <c r="B4098" s="4" t="s">
        <v>4121</v>
      </c>
      <c r="C4098" s="3" t="s">
        <v>50</v>
      </c>
      <c r="D4098" s="5">
        <f t="shared" si="126"/>
        <v>3.87</v>
      </c>
      <c r="E4098">
        <v>4.25</v>
      </c>
      <c r="F4098" s="1789">
        <v>8.8999999999999996E-2</v>
      </c>
      <c r="G4098">
        <f t="shared" si="127"/>
        <v>3.87</v>
      </c>
    </row>
    <row r="4099" spans="1:7" ht="12.75" customHeight="1">
      <c r="A4099" s="3">
        <v>34548</v>
      </c>
      <c r="B4099" s="4" t="s">
        <v>4122</v>
      </c>
      <c r="C4099" s="3" t="s">
        <v>50</v>
      </c>
      <c r="D4099" s="5">
        <f t="shared" ref="D4099:D4162" si="128">G4099</f>
        <v>6.34</v>
      </c>
      <c r="E4099">
        <v>6.97</v>
      </c>
      <c r="F4099" s="1789">
        <v>8.8999999999999996E-2</v>
      </c>
      <c r="G4099">
        <f t="shared" ref="G4099:G4162" si="129">TRUNC((1-F4099)*E4099,2)</f>
        <v>6.34</v>
      </c>
    </row>
    <row r="4100" spans="1:7" ht="12.75" customHeight="1">
      <c r="A4100" s="3">
        <v>34550</v>
      </c>
      <c r="B4100" s="4" t="s">
        <v>4123</v>
      </c>
      <c r="C4100" s="3" t="s">
        <v>50</v>
      </c>
      <c r="D4100" s="5">
        <f t="shared" si="128"/>
        <v>1.67</v>
      </c>
      <c r="E4100">
        <v>1.84</v>
      </c>
      <c r="F4100" s="1789">
        <v>8.8999999999999996E-2</v>
      </c>
      <c r="G4100">
        <f t="shared" si="129"/>
        <v>1.67</v>
      </c>
    </row>
    <row r="4101" spans="1:7" ht="12.75" customHeight="1">
      <c r="A4101" s="3">
        <v>34557</v>
      </c>
      <c r="B4101" s="4" t="s">
        <v>4124</v>
      </c>
      <c r="C4101" s="3" t="s">
        <v>50</v>
      </c>
      <c r="D4101" s="5">
        <f t="shared" si="128"/>
        <v>2.4500000000000002</v>
      </c>
      <c r="E4101">
        <v>2.69</v>
      </c>
      <c r="F4101" s="1789">
        <v>8.8999999999999996E-2</v>
      </c>
      <c r="G4101">
        <f t="shared" si="129"/>
        <v>2.4500000000000002</v>
      </c>
    </row>
    <row r="4102" spans="1:7" ht="12.75" customHeight="1">
      <c r="A4102" s="3">
        <v>37411</v>
      </c>
      <c r="B4102" s="4" t="s">
        <v>4125</v>
      </c>
      <c r="C4102" s="3" t="s">
        <v>409</v>
      </c>
      <c r="D4102" s="5">
        <f t="shared" si="128"/>
        <v>17.920000000000002</v>
      </c>
      <c r="E4102">
        <v>19.68</v>
      </c>
      <c r="F4102" s="1789">
        <v>8.8999999999999996E-2</v>
      </c>
      <c r="G4102">
        <f t="shared" si="129"/>
        <v>17.920000000000002</v>
      </c>
    </row>
    <row r="4103" spans="1:7" ht="12.75" customHeight="1">
      <c r="A4103" s="3">
        <v>39508</v>
      </c>
      <c r="B4103" s="4" t="s">
        <v>4126</v>
      </c>
      <c r="C4103" s="3" t="s">
        <v>409</v>
      </c>
      <c r="D4103" s="5">
        <f t="shared" si="128"/>
        <v>10.06</v>
      </c>
      <c r="E4103">
        <v>11.05</v>
      </c>
      <c r="F4103" s="1789">
        <v>8.8999999999999996E-2</v>
      </c>
      <c r="G4103">
        <f t="shared" si="129"/>
        <v>10.06</v>
      </c>
    </row>
    <row r="4104" spans="1:7" ht="12.75" customHeight="1">
      <c r="A4104" s="3">
        <v>39507</v>
      </c>
      <c r="B4104" s="4" t="s">
        <v>4127</v>
      </c>
      <c r="C4104" s="3" t="s">
        <v>409</v>
      </c>
      <c r="D4104" s="5">
        <f t="shared" si="128"/>
        <v>15.02</v>
      </c>
      <c r="E4104">
        <v>16.489999999999998</v>
      </c>
      <c r="F4104" s="1789">
        <v>8.8999999999999996E-2</v>
      </c>
      <c r="G4104">
        <f t="shared" si="129"/>
        <v>15.02</v>
      </c>
    </row>
    <row r="4105" spans="1:7" ht="12.75" customHeight="1">
      <c r="A4105" s="3">
        <v>7155</v>
      </c>
      <c r="B4105" s="4" t="s">
        <v>4128</v>
      </c>
      <c r="C4105" s="3" t="s">
        <v>409</v>
      </c>
      <c r="D4105" s="5">
        <f t="shared" si="128"/>
        <v>19.28</v>
      </c>
      <c r="E4105">
        <v>21.17</v>
      </c>
      <c r="F4105" s="1789">
        <v>8.8999999999999996E-2</v>
      </c>
      <c r="G4105">
        <f t="shared" si="129"/>
        <v>19.28</v>
      </c>
    </row>
    <row r="4106" spans="1:7" ht="12.75" customHeight="1">
      <c r="A4106" s="3">
        <v>42406</v>
      </c>
      <c r="B4106" s="4" t="s">
        <v>4129</v>
      </c>
      <c r="C4106" s="3" t="s">
        <v>409</v>
      </c>
      <c r="D4106" s="5">
        <f t="shared" si="128"/>
        <v>22.1</v>
      </c>
      <c r="E4106">
        <v>24.27</v>
      </c>
      <c r="F4106" s="1789">
        <v>8.8999999999999996E-2</v>
      </c>
      <c r="G4106">
        <f t="shared" si="129"/>
        <v>22.1</v>
      </c>
    </row>
    <row r="4107" spans="1:7" ht="12.75" customHeight="1">
      <c r="A4107" s="3">
        <v>7156</v>
      </c>
      <c r="B4107" s="4" t="s">
        <v>4130</v>
      </c>
      <c r="C4107" s="3" t="s">
        <v>409</v>
      </c>
      <c r="D4107" s="5">
        <f t="shared" si="128"/>
        <v>27.66</v>
      </c>
      <c r="E4107">
        <v>30.37</v>
      </c>
      <c r="F4107" s="1789">
        <v>8.8999999999999996E-2</v>
      </c>
      <c r="G4107">
        <f t="shared" si="129"/>
        <v>27.66</v>
      </c>
    </row>
    <row r="4108" spans="1:7" ht="12.75" customHeight="1">
      <c r="A4108" s="3">
        <v>43127</v>
      </c>
      <c r="B4108" s="4" t="s">
        <v>4131</v>
      </c>
      <c r="C4108" s="3" t="s">
        <v>409</v>
      </c>
      <c r="D4108" s="5">
        <f t="shared" si="128"/>
        <v>39.590000000000003</v>
      </c>
      <c r="E4108">
        <v>43.46</v>
      </c>
      <c r="F4108" s="1789">
        <v>8.8999999999999996E-2</v>
      </c>
      <c r="G4108">
        <f t="shared" si="129"/>
        <v>39.590000000000003</v>
      </c>
    </row>
    <row r="4109" spans="1:7" ht="12.75" customHeight="1">
      <c r="A4109" s="3">
        <v>10917</v>
      </c>
      <c r="B4109" s="4" t="s">
        <v>4132</v>
      </c>
      <c r="C4109" s="3" t="s">
        <v>409</v>
      </c>
      <c r="D4109" s="5">
        <f t="shared" si="128"/>
        <v>8.35</v>
      </c>
      <c r="E4109">
        <v>9.17</v>
      </c>
      <c r="F4109" s="1789">
        <v>8.8999999999999996E-2</v>
      </c>
      <c r="G4109">
        <f t="shared" si="129"/>
        <v>8.35</v>
      </c>
    </row>
    <row r="4110" spans="1:7" ht="12.75" customHeight="1">
      <c r="A4110" s="3">
        <v>21141</v>
      </c>
      <c r="B4110" s="4" t="s">
        <v>4133</v>
      </c>
      <c r="C4110" s="3" t="s">
        <v>409</v>
      </c>
      <c r="D4110" s="5">
        <f t="shared" si="128"/>
        <v>12.93</v>
      </c>
      <c r="E4110">
        <v>14.2</v>
      </c>
      <c r="F4110" s="1789">
        <v>8.8999999999999996E-2</v>
      </c>
      <c r="G4110">
        <f t="shared" si="129"/>
        <v>12.93</v>
      </c>
    </row>
    <row r="4111" spans="1:7" ht="12.75" customHeight="1">
      <c r="A4111" s="3">
        <v>39509</v>
      </c>
      <c r="B4111" s="4" t="s">
        <v>4134</v>
      </c>
      <c r="C4111" s="3" t="s">
        <v>409</v>
      </c>
      <c r="D4111" s="5">
        <f t="shared" si="128"/>
        <v>12.44</v>
      </c>
      <c r="E4111">
        <v>13.66</v>
      </c>
      <c r="F4111" s="1789">
        <v>8.8999999999999996E-2</v>
      </c>
      <c r="G4111">
        <f t="shared" si="129"/>
        <v>12.44</v>
      </c>
    </row>
    <row r="4112" spans="1:7" ht="12.75" customHeight="1">
      <c r="A4112" s="3">
        <v>44529</v>
      </c>
      <c r="B4112" s="4" t="s">
        <v>4135</v>
      </c>
      <c r="C4112" s="3" t="s">
        <v>409</v>
      </c>
      <c r="D4112" s="5">
        <f t="shared" si="128"/>
        <v>14.72</v>
      </c>
      <c r="E4112">
        <v>16.16</v>
      </c>
      <c r="F4112" s="1789">
        <v>8.8999999999999996E-2</v>
      </c>
      <c r="G4112">
        <f t="shared" si="129"/>
        <v>14.72</v>
      </c>
    </row>
    <row r="4113" spans="1:7" ht="12.75" customHeight="1">
      <c r="A4113" s="3">
        <v>7167</v>
      </c>
      <c r="B4113" s="4" t="s">
        <v>4136</v>
      </c>
      <c r="C4113" s="3" t="s">
        <v>409</v>
      </c>
      <c r="D4113" s="5">
        <f t="shared" si="128"/>
        <v>22.66</v>
      </c>
      <c r="E4113">
        <v>24.88</v>
      </c>
      <c r="F4113" s="1789">
        <v>8.8999999999999996E-2</v>
      </c>
      <c r="G4113">
        <f t="shared" si="129"/>
        <v>22.66</v>
      </c>
    </row>
    <row r="4114" spans="1:7" ht="12.75" customHeight="1">
      <c r="A4114" s="3">
        <v>10928</v>
      </c>
      <c r="B4114" s="4" t="s">
        <v>4137</v>
      </c>
      <c r="C4114" s="3" t="s">
        <v>409</v>
      </c>
      <c r="D4114" s="5">
        <f t="shared" si="128"/>
        <v>13.02</v>
      </c>
      <c r="E4114">
        <v>14.3</v>
      </c>
      <c r="F4114" s="1789">
        <v>8.8999999999999996E-2</v>
      </c>
      <c r="G4114">
        <f t="shared" si="129"/>
        <v>13.02</v>
      </c>
    </row>
    <row r="4115" spans="1:7" ht="12.75" customHeight="1">
      <c r="A4115" s="3">
        <v>10933</v>
      </c>
      <c r="B4115" s="4" t="s">
        <v>4138</v>
      </c>
      <c r="C4115" s="3" t="s">
        <v>409</v>
      </c>
      <c r="D4115" s="5">
        <f t="shared" si="128"/>
        <v>19.649999999999999</v>
      </c>
      <c r="E4115">
        <v>21.57</v>
      </c>
      <c r="F4115" s="1789">
        <v>8.8999999999999996E-2</v>
      </c>
      <c r="G4115">
        <f t="shared" si="129"/>
        <v>19.649999999999999</v>
      </c>
    </row>
    <row r="4116" spans="1:7" ht="12.75" customHeight="1">
      <c r="A4116" s="3">
        <v>7158</v>
      </c>
      <c r="B4116" s="4" t="s">
        <v>4139</v>
      </c>
      <c r="C4116" s="3" t="s">
        <v>409</v>
      </c>
      <c r="D4116" s="5">
        <f t="shared" si="128"/>
        <v>33.32</v>
      </c>
      <c r="E4116">
        <v>36.58</v>
      </c>
      <c r="F4116" s="1789">
        <v>8.8999999999999996E-2</v>
      </c>
      <c r="G4116">
        <f t="shared" si="129"/>
        <v>33.32</v>
      </c>
    </row>
    <row r="4117" spans="1:7" ht="12.75" customHeight="1">
      <c r="A4117" s="3">
        <v>10927</v>
      </c>
      <c r="B4117" s="4" t="s">
        <v>4140</v>
      </c>
      <c r="C4117" s="3" t="s">
        <v>409</v>
      </c>
      <c r="D4117" s="5">
        <f t="shared" si="128"/>
        <v>21.3</v>
      </c>
      <c r="E4117">
        <v>23.39</v>
      </c>
      <c r="F4117" s="1789">
        <v>8.8999999999999996E-2</v>
      </c>
      <c r="G4117">
        <f t="shared" si="129"/>
        <v>21.3</v>
      </c>
    </row>
    <row r="4118" spans="1:7" ht="12.75" customHeight="1">
      <c r="A4118" s="3">
        <v>7162</v>
      </c>
      <c r="B4118" s="4" t="s">
        <v>4141</v>
      </c>
      <c r="C4118" s="3" t="s">
        <v>409</v>
      </c>
      <c r="D4118" s="5">
        <f t="shared" si="128"/>
        <v>52.14</v>
      </c>
      <c r="E4118">
        <v>57.24</v>
      </c>
      <c r="F4118" s="1789">
        <v>8.8999999999999996E-2</v>
      </c>
      <c r="G4118">
        <f t="shared" si="129"/>
        <v>52.14</v>
      </c>
    </row>
    <row r="4119" spans="1:7" ht="12.75" customHeight="1">
      <c r="A4119" s="3">
        <v>10932</v>
      </c>
      <c r="B4119" s="4" t="s">
        <v>4142</v>
      </c>
      <c r="C4119" s="3" t="s">
        <v>409</v>
      </c>
      <c r="D4119" s="5">
        <f t="shared" si="128"/>
        <v>90.69</v>
      </c>
      <c r="E4119">
        <v>99.56</v>
      </c>
      <c r="F4119" s="1789">
        <v>8.8999999999999996E-2</v>
      </c>
      <c r="G4119">
        <f t="shared" si="129"/>
        <v>90.69</v>
      </c>
    </row>
    <row r="4120" spans="1:7" ht="12.75" customHeight="1">
      <c r="A4120" s="3">
        <v>10937</v>
      </c>
      <c r="B4120" s="4" t="s">
        <v>4143</v>
      </c>
      <c r="C4120" s="3" t="s">
        <v>409</v>
      </c>
      <c r="D4120" s="5">
        <f t="shared" si="128"/>
        <v>23.31</v>
      </c>
      <c r="E4120">
        <v>25.59</v>
      </c>
      <c r="F4120" s="1789">
        <v>8.8999999999999996E-2</v>
      </c>
      <c r="G4120">
        <f t="shared" si="129"/>
        <v>23.31</v>
      </c>
    </row>
    <row r="4121" spans="1:7" ht="12.75" customHeight="1">
      <c r="A4121" s="3">
        <v>10935</v>
      </c>
      <c r="B4121" s="4" t="s">
        <v>4144</v>
      </c>
      <c r="C4121" s="3" t="s">
        <v>409</v>
      </c>
      <c r="D4121" s="5">
        <f t="shared" si="128"/>
        <v>40.43</v>
      </c>
      <c r="E4121">
        <v>44.38</v>
      </c>
      <c r="F4121" s="1789">
        <v>8.8999999999999996E-2</v>
      </c>
      <c r="G4121">
        <f t="shared" si="129"/>
        <v>40.43</v>
      </c>
    </row>
    <row r="4122" spans="1:7" ht="12.75" customHeight="1">
      <c r="A4122" s="3">
        <v>10931</v>
      </c>
      <c r="B4122" s="4" t="s">
        <v>4145</v>
      </c>
      <c r="C4122" s="3" t="s">
        <v>409</v>
      </c>
      <c r="D4122" s="5">
        <f t="shared" si="128"/>
        <v>11.36</v>
      </c>
      <c r="E4122">
        <v>12.48</v>
      </c>
      <c r="F4122" s="1789">
        <v>8.8999999999999996E-2</v>
      </c>
      <c r="G4122">
        <f t="shared" si="129"/>
        <v>11.36</v>
      </c>
    </row>
    <row r="4123" spans="1:7" ht="12.75" customHeight="1">
      <c r="A4123" s="3">
        <v>7164</v>
      </c>
      <c r="B4123" s="4" t="s">
        <v>4146</v>
      </c>
      <c r="C4123" s="3" t="s">
        <v>409</v>
      </c>
      <c r="D4123" s="5">
        <f t="shared" si="128"/>
        <v>37.630000000000003</v>
      </c>
      <c r="E4123">
        <v>41.31</v>
      </c>
      <c r="F4123" s="1789">
        <v>8.8999999999999996E-2</v>
      </c>
      <c r="G4123">
        <f t="shared" si="129"/>
        <v>37.630000000000003</v>
      </c>
    </row>
    <row r="4124" spans="1:7" ht="12.75" customHeight="1">
      <c r="A4124" s="3">
        <v>36887</v>
      </c>
      <c r="B4124" s="4" t="s">
        <v>4147</v>
      </c>
      <c r="C4124" s="3" t="s">
        <v>409</v>
      </c>
      <c r="D4124" s="5">
        <f t="shared" si="128"/>
        <v>11.14</v>
      </c>
      <c r="E4124">
        <v>12.23</v>
      </c>
      <c r="F4124" s="1789">
        <v>8.8999999999999996E-2</v>
      </c>
      <c r="G4124">
        <f t="shared" si="129"/>
        <v>11.14</v>
      </c>
    </row>
    <row r="4125" spans="1:7" ht="12.75" customHeight="1">
      <c r="A4125" s="3">
        <v>34630</v>
      </c>
      <c r="B4125" s="4" t="s">
        <v>4148</v>
      </c>
      <c r="C4125" s="3" t="s">
        <v>6</v>
      </c>
      <c r="D4125" s="5">
        <f t="shared" si="128"/>
        <v>1128.47</v>
      </c>
      <c r="E4125">
        <v>1238.72</v>
      </c>
      <c r="F4125" s="1789">
        <v>8.8999999999999996E-2</v>
      </c>
      <c r="G4125">
        <f t="shared" si="129"/>
        <v>1128.47</v>
      </c>
    </row>
    <row r="4126" spans="1:7" ht="12.75" customHeight="1">
      <c r="A4126" s="3">
        <v>7161</v>
      </c>
      <c r="B4126" s="4" t="s">
        <v>4149</v>
      </c>
      <c r="C4126" s="3" t="s">
        <v>409</v>
      </c>
      <c r="D4126" s="5">
        <f t="shared" si="128"/>
        <v>4.68</v>
      </c>
      <c r="E4126">
        <v>5.14</v>
      </c>
      <c r="F4126" s="1789">
        <v>8.8999999999999996E-2</v>
      </c>
      <c r="G4126">
        <f t="shared" si="129"/>
        <v>4.68</v>
      </c>
    </row>
    <row r="4127" spans="1:7" ht="12.75" customHeight="1">
      <c r="A4127" s="3">
        <v>7170</v>
      </c>
      <c r="B4127" s="4" t="s">
        <v>4150</v>
      </c>
      <c r="C4127" s="3" t="s">
        <v>409</v>
      </c>
      <c r="D4127" s="5">
        <f t="shared" si="128"/>
        <v>2.68</v>
      </c>
      <c r="E4127">
        <v>2.95</v>
      </c>
      <c r="F4127" s="1789">
        <v>8.8999999999999996E-2</v>
      </c>
      <c r="G4127">
        <f t="shared" si="129"/>
        <v>2.68</v>
      </c>
    </row>
    <row r="4128" spans="1:7" ht="12.75" customHeight="1">
      <c r="A4128" s="3">
        <v>37524</v>
      </c>
      <c r="B4128" s="4" t="s">
        <v>4151</v>
      </c>
      <c r="C4128" s="3" t="s">
        <v>50</v>
      </c>
      <c r="D4128" s="5">
        <f t="shared" si="128"/>
        <v>2.4500000000000002</v>
      </c>
      <c r="E4128">
        <v>2.7</v>
      </c>
      <c r="F4128" s="1789">
        <v>8.8999999999999996E-2</v>
      </c>
      <c r="G4128">
        <f t="shared" si="129"/>
        <v>2.4500000000000002</v>
      </c>
    </row>
    <row r="4129" spans="1:7" ht="12.75" customHeight="1">
      <c r="A4129" s="3">
        <v>37525</v>
      </c>
      <c r="B4129" s="4" t="s">
        <v>4152</v>
      </c>
      <c r="C4129" s="3" t="s">
        <v>50</v>
      </c>
      <c r="D4129" s="5">
        <f t="shared" si="128"/>
        <v>3.36</v>
      </c>
      <c r="E4129">
        <v>3.69</v>
      </c>
      <c r="F4129" s="1789">
        <v>8.8999999999999996E-2</v>
      </c>
      <c r="G4129">
        <f t="shared" si="129"/>
        <v>3.36</v>
      </c>
    </row>
    <row r="4130" spans="1:7" ht="12.75" customHeight="1">
      <c r="A4130" s="3">
        <v>36789</v>
      </c>
      <c r="B4130" s="4" t="s">
        <v>4153</v>
      </c>
      <c r="C4130" s="3" t="s">
        <v>6</v>
      </c>
      <c r="D4130" s="5">
        <f t="shared" si="128"/>
        <v>3.11</v>
      </c>
      <c r="E4130">
        <v>3.42</v>
      </c>
      <c r="F4130" s="1789">
        <v>8.8999999999999996E-2</v>
      </c>
      <c r="G4130">
        <f t="shared" si="129"/>
        <v>3.11</v>
      </c>
    </row>
    <row r="4131" spans="1:7" ht="12.75" customHeight="1">
      <c r="A4131" s="3">
        <v>7173</v>
      </c>
      <c r="B4131" s="4" t="s">
        <v>4154</v>
      </c>
      <c r="C4131" s="3" t="s">
        <v>3224</v>
      </c>
      <c r="D4131" s="5">
        <f t="shared" si="128"/>
        <v>2016.68</v>
      </c>
      <c r="E4131">
        <v>2213.71</v>
      </c>
      <c r="F4131" s="1789">
        <v>8.8999999999999996E-2</v>
      </c>
      <c r="G4131">
        <f t="shared" si="129"/>
        <v>2016.68</v>
      </c>
    </row>
    <row r="4132" spans="1:7" ht="12.75" customHeight="1">
      <c r="A4132" s="3">
        <v>7175</v>
      </c>
      <c r="B4132" s="4" t="s">
        <v>4155</v>
      </c>
      <c r="C4132" s="3" t="s">
        <v>6</v>
      </c>
      <c r="D4132" s="5">
        <f t="shared" si="128"/>
        <v>2.27</v>
      </c>
      <c r="E4132">
        <v>2.5</v>
      </c>
      <c r="F4132" s="1789">
        <v>8.8999999999999996E-2</v>
      </c>
      <c r="G4132">
        <f t="shared" si="129"/>
        <v>2.27</v>
      </c>
    </row>
    <row r="4133" spans="1:7" ht="12.75" customHeight="1">
      <c r="A4133" s="3">
        <v>40741</v>
      </c>
      <c r="B4133" s="4" t="s">
        <v>4156</v>
      </c>
      <c r="C4133" s="3" t="s">
        <v>6</v>
      </c>
      <c r="D4133" s="5">
        <f t="shared" si="128"/>
        <v>3.2</v>
      </c>
      <c r="E4133">
        <v>3.52</v>
      </c>
      <c r="F4133" s="1789">
        <v>8.8999999999999996E-2</v>
      </c>
      <c r="G4133">
        <f t="shared" si="129"/>
        <v>3.2</v>
      </c>
    </row>
    <row r="4134" spans="1:7" ht="12.75" customHeight="1">
      <c r="A4134" s="3">
        <v>7184</v>
      </c>
      <c r="B4134" s="4" t="s">
        <v>4157</v>
      </c>
      <c r="C4134" s="3" t="s">
        <v>409</v>
      </c>
      <c r="D4134" s="5">
        <f t="shared" si="128"/>
        <v>47.86</v>
      </c>
      <c r="E4134">
        <v>52.54</v>
      </c>
      <c r="F4134" s="1789">
        <v>8.8999999999999996E-2</v>
      </c>
      <c r="G4134">
        <f t="shared" si="129"/>
        <v>47.86</v>
      </c>
    </row>
    <row r="4135" spans="1:7" ht="12.75" customHeight="1">
      <c r="A4135" s="3">
        <v>34458</v>
      </c>
      <c r="B4135" s="4" t="s">
        <v>4158</v>
      </c>
      <c r="C4135" s="3" t="s">
        <v>6</v>
      </c>
      <c r="D4135" s="5">
        <f t="shared" si="128"/>
        <v>140.02000000000001</v>
      </c>
      <c r="E4135">
        <v>153.71</v>
      </c>
      <c r="F4135" s="1789">
        <v>8.8999999999999996E-2</v>
      </c>
      <c r="G4135">
        <f t="shared" si="129"/>
        <v>140.02000000000001</v>
      </c>
    </row>
    <row r="4136" spans="1:7" ht="12.75" customHeight="1">
      <c r="A4136" s="3">
        <v>34464</v>
      </c>
      <c r="B4136" s="4" t="s">
        <v>4159</v>
      </c>
      <c r="C4136" s="3" t="s">
        <v>6</v>
      </c>
      <c r="D4136" s="5">
        <f t="shared" si="128"/>
        <v>208.43</v>
      </c>
      <c r="E4136">
        <v>228.8</v>
      </c>
      <c r="F4136" s="1789">
        <v>8.8999999999999996E-2</v>
      </c>
      <c r="G4136">
        <f t="shared" si="129"/>
        <v>208.43</v>
      </c>
    </row>
    <row r="4137" spans="1:7" ht="12.75" customHeight="1">
      <c r="A4137" s="3">
        <v>34468</v>
      </c>
      <c r="B4137" s="4" t="s">
        <v>4160</v>
      </c>
      <c r="C4137" s="3" t="s">
        <v>6</v>
      </c>
      <c r="D4137" s="5">
        <f t="shared" si="128"/>
        <v>262.77999999999997</v>
      </c>
      <c r="E4137">
        <v>288.45999999999998</v>
      </c>
      <c r="F4137" s="1789">
        <v>8.8999999999999996E-2</v>
      </c>
      <c r="G4137">
        <f t="shared" si="129"/>
        <v>262.77999999999997</v>
      </c>
    </row>
    <row r="4138" spans="1:7" ht="12.75" customHeight="1">
      <c r="A4138" s="3">
        <v>34473</v>
      </c>
      <c r="B4138" s="4" t="s">
        <v>4161</v>
      </c>
      <c r="C4138" s="3" t="s">
        <v>6</v>
      </c>
      <c r="D4138" s="5">
        <f t="shared" si="128"/>
        <v>159.4</v>
      </c>
      <c r="E4138">
        <v>174.98</v>
      </c>
      <c r="F4138" s="1789">
        <v>8.8999999999999996E-2</v>
      </c>
      <c r="G4138">
        <f t="shared" si="129"/>
        <v>159.4</v>
      </c>
    </row>
    <row r="4139" spans="1:7" ht="12.75" customHeight="1">
      <c r="A4139" s="3">
        <v>34480</v>
      </c>
      <c r="B4139" s="4" t="s">
        <v>4162</v>
      </c>
      <c r="C4139" s="3" t="s">
        <v>6</v>
      </c>
      <c r="D4139" s="5">
        <f t="shared" si="128"/>
        <v>294.58999999999997</v>
      </c>
      <c r="E4139">
        <v>323.38</v>
      </c>
      <c r="F4139" s="1789">
        <v>8.8999999999999996E-2</v>
      </c>
      <c r="G4139">
        <f t="shared" si="129"/>
        <v>294.58999999999997</v>
      </c>
    </row>
    <row r="4140" spans="1:7" ht="12.75" customHeight="1">
      <c r="A4140" s="3">
        <v>34486</v>
      </c>
      <c r="B4140" s="4" t="s">
        <v>4163</v>
      </c>
      <c r="C4140" s="3" t="s">
        <v>6</v>
      </c>
      <c r="D4140" s="5">
        <f t="shared" si="128"/>
        <v>348.79</v>
      </c>
      <c r="E4140">
        <v>382.87</v>
      </c>
      <c r="F4140" s="1789">
        <v>8.8999999999999996E-2</v>
      </c>
      <c r="G4140">
        <f t="shared" si="129"/>
        <v>348.79</v>
      </c>
    </row>
    <row r="4141" spans="1:7" ht="12.75" customHeight="1">
      <c r="A4141" s="3">
        <v>7190</v>
      </c>
      <c r="B4141" s="4" t="s">
        <v>4164</v>
      </c>
      <c r="C4141" s="3" t="s">
        <v>6</v>
      </c>
      <c r="D4141" s="5">
        <f t="shared" si="128"/>
        <v>11.64</v>
      </c>
      <c r="E4141">
        <v>12.78</v>
      </c>
      <c r="F4141" s="1789">
        <v>8.8999999999999996E-2</v>
      </c>
      <c r="G4141">
        <f t="shared" si="129"/>
        <v>11.64</v>
      </c>
    </row>
    <row r="4142" spans="1:7" ht="12.75" customHeight="1">
      <c r="A4142" s="3">
        <v>34417</v>
      </c>
      <c r="B4142" s="4" t="s">
        <v>4165</v>
      </c>
      <c r="C4142" s="3" t="s">
        <v>6</v>
      </c>
      <c r="D4142" s="5">
        <f t="shared" si="128"/>
        <v>18.62</v>
      </c>
      <c r="E4142">
        <v>20.45</v>
      </c>
      <c r="F4142" s="1789">
        <v>8.8999999999999996E-2</v>
      </c>
      <c r="G4142">
        <f t="shared" si="129"/>
        <v>18.62</v>
      </c>
    </row>
    <row r="4143" spans="1:7" ht="12.75" customHeight="1">
      <c r="A4143" s="3">
        <v>7213</v>
      </c>
      <c r="B4143" s="4" t="s">
        <v>4166</v>
      </c>
      <c r="C4143" s="3" t="s">
        <v>409</v>
      </c>
      <c r="D4143" s="5">
        <f t="shared" si="128"/>
        <v>17.09</v>
      </c>
      <c r="E4143">
        <v>18.760000000000002</v>
      </c>
      <c r="F4143" s="1789">
        <v>8.8999999999999996E-2</v>
      </c>
      <c r="G4143">
        <f t="shared" si="129"/>
        <v>17.09</v>
      </c>
    </row>
    <row r="4144" spans="1:7" ht="12.75" customHeight="1">
      <c r="A4144" s="3">
        <v>7195</v>
      </c>
      <c r="B4144" s="4" t="s">
        <v>4167</v>
      </c>
      <c r="C4144" s="3" t="s">
        <v>6</v>
      </c>
      <c r="D4144" s="5">
        <f t="shared" si="128"/>
        <v>50.17</v>
      </c>
      <c r="E4144">
        <v>55.08</v>
      </c>
      <c r="F4144" s="1789">
        <v>8.8999999999999996E-2</v>
      </c>
      <c r="G4144">
        <f t="shared" si="129"/>
        <v>50.17</v>
      </c>
    </row>
    <row r="4145" spans="1:7" ht="12.75" customHeight="1">
      <c r="A4145" s="3">
        <v>7186</v>
      </c>
      <c r="B4145" s="4" t="s">
        <v>4168</v>
      </c>
      <c r="C4145" s="3" t="s">
        <v>6</v>
      </c>
      <c r="D4145" s="5">
        <f t="shared" si="128"/>
        <v>54.66</v>
      </c>
      <c r="E4145">
        <v>60</v>
      </c>
      <c r="F4145" s="1789">
        <v>8.8999999999999996E-2</v>
      </c>
      <c r="G4145">
        <f t="shared" si="129"/>
        <v>54.66</v>
      </c>
    </row>
    <row r="4146" spans="1:7" ht="12.75" customHeight="1">
      <c r="A4146" s="3">
        <v>7194</v>
      </c>
      <c r="B4146" s="4" t="s">
        <v>4169</v>
      </c>
      <c r="C4146" s="3" t="s">
        <v>409</v>
      </c>
      <c r="D4146" s="5">
        <f t="shared" si="128"/>
        <v>25.19</v>
      </c>
      <c r="E4146">
        <v>27.66</v>
      </c>
      <c r="F4146" s="1789">
        <v>8.8999999999999996E-2</v>
      </c>
      <c r="G4146">
        <f t="shared" si="129"/>
        <v>25.19</v>
      </c>
    </row>
    <row r="4147" spans="1:7" ht="12.75" customHeight="1">
      <c r="A4147" s="3">
        <v>7197</v>
      </c>
      <c r="B4147" s="4" t="s">
        <v>4170</v>
      </c>
      <c r="C4147" s="3" t="s">
        <v>6</v>
      </c>
      <c r="D4147" s="5">
        <f t="shared" si="128"/>
        <v>106.36</v>
      </c>
      <c r="E4147">
        <v>116.76</v>
      </c>
      <c r="F4147" s="1789">
        <v>8.8999999999999996E-2</v>
      </c>
      <c r="G4147">
        <f t="shared" si="129"/>
        <v>106.36</v>
      </c>
    </row>
    <row r="4148" spans="1:7" ht="12.75" customHeight="1">
      <c r="A4148" s="3">
        <v>7192</v>
      </c>
      <c r="B4148" s="4" t="s">
        <v>4171</v>
      </c>
      <c r="C4148" s="3" t="s">
        <v>6</v>
      </c>
      <c r="D4148" s="5">
        <f t="shared" si="128"/>
        <v>95.29</v>
      </c>
      <c r="E4148">
        <v>104.61</v>
      </c>
      <c r="F4148" s="1789">
        <v>8.8999999999999996E-2</v>
      </c>
      <c r="G4148">
        <f t="shared" si="129"/>
        <v>95.29</v>
      </c>
    </row>
    <row r="4149" spans="1:7" ht="12.75" customHeight="1">
      <c r="A4149" s="3">
        <v>7193</v>
      </c>
      <c r="B4149" s="4" t="s">
        <v>4172</v>
      </c>
      <c r="C4149" s="3" t="s">
        <v>6</v>
      </c>
      <c r="D4149" s="5">
        <f t="shared" si="128"/>
        <v>107.28</v>
      </c>
      <c r="E4149">
        <v>117.77</v>
      </c>
      <c r="F4149" s="1789">
        <v>8.8999999999999996E-2</v>
      </c>
      <c r="G4149">
        <f t="shared" si="129"/>
        <v>107.28</v>
      </c>
    </row>
    <row r="4150" spans="1:7" ht="12.75" customHeight="1">
      <c r="A4150" s="3">
        <v>7189</v>
      </c>
      <c r="B4150" s="4" t="s">
        <v>4173</v>
      </c>
      <c r="C4150" s="3" t="s">
        <v>6</v>
      </c>
      <c r="D4150" s="5">
        <f t="shared" si="128"/>
        <v>124.67</v>
      </c>
      <c r="E4150">
        <v>136.86000000000001</v>
      </c>
      <c r="F4150" s="1789">
        <v>8.8999999999999996E-2</v>
      </c>
      <c r="G4150">
        <f t="shared" si="129"/>
        <v>124.67</v>
      </c>
    </row>
    <row r="4151" spans="1:7" ht="12.75" customHeight="1">
      <c r="A4151" s="3">
        <v>34402</v>
      </c>
      <c r="B4151" s="4" t="s">
        <v>4174</v>
      </c>
      <c r="C4151" s="3" t="s">
        <v>6</v>
      </c>
      <c r="D4151" s="5">
        <f t="shared" si="128"/>
        <v>176.02</v>
      </c>
      <c r="E4151">
        <v>193.22</v>
      </c>
      <c r="F4151" s="1789">
        <v>8.8999999999999996E-2</v>
      </c>
      <c r="G4151">
        <f t="shared" si="129"/>
        <v>176.02</v>
      </c>
    </row>
    <row r="4152" spans="1:7" ht="12.75" customHeight="1">
      <c r="A4152" s="3">
        <v>7245</v>
      </c>
      <c r="B4152" s="4" t="s">
        <v>4175</v>
      </c>
      <c r="C4152" s="3" t="s">
        <v>6</v>
      </c>
      <c r="D4152" s="5">
        <f t="shared" si="128"/>
        <v>45.55</v>
      </c>
      <c r="E4152">
        <v>50</v>
      </c>
      <c r="F4152" s="1789">
        <v>8.8999999999999996E-2</v>
      </c>
      <c r="G4152">
        <f t="shared" si="129"/>
        <v>45.55</v>
      </c>
    </row>
    <row r="4153" spans="1:7" ht="12.75" customHeight="1">
      <c r="A4153" s="3">
        <v>34425</v>
      </c>
      <c r="B4153" s="4" t="s">
        <v>4176</v>
      </c>
      <c r="C4153" s="3" t="s">
        <v>6</v>
      </c>
      <c r="D4153" s="5">
        <f t="shared" si="128"/>
        <v>113.07</v>
      </c>
      <c r="E4153">
        <v>124.12</v>
      </c>
      <c r="F4153" s="1789">
        <v>8.8999999999999996E-2</v>
      </c>
      <c r="G4153">
        <f t="shared" si="129"/>
        <v>113.07</v>
      </c>
    </row>
    <row r="4154" spans="1:7" ht="12.75" customHeight="1">
      <c r="A4154" s="3">
        <v>7223</v>
      </c>
      <c r="B4154" s="4" t="s">
        <v>4177</v>
      </c>
      <c r="C4154" s="3" t="s">
        <v>6</v>
      </c>
      <c r="D4154" s="5">
        <f t="shared" si="128"/>
        <v>126</v>
      </c>
      <c r="E4154">
        <v>138.32</v>
      </c>
      <c r="F4154" s="1789">
        <v>8.8999999999999996E-2</v>
      </c>
      <c r="G4154">
        <f t="shared" si="129"/>
        <v>126</v>
      </c>
    </row>
    <row r="4155" spans="1:7" ht="12.75" customHeight="1">
      <c r="A4155" s="3">
        <v>7234</v>
      </c>
      <c r="B4155" s="4" t="s">
        <v>4178</v>
      </c>
      <c r="C4155" s="3" t="s">
        <v>6</v>
      </c>
      <c r="D4155" s="5">
        <f t="shared" si="128"/>
        <v>190.15</v>
      </c>
      <c r="E4155">
        <v>208.73</v>
      </c>
      <c r="F4155" s="1789">
        <v>8.8999999999999996E-2</v>
      </c>
      <c r="G4155">
        <f t="shared" si="129"/>
        <v>190.15</v>
      </c>
    </row>
    <row r="4156" spans="1:7" ht="12.75" customHeight="1">
      <c r="A4156" s="3">
        <v>7224</v>
      </c>
      <c r="B4156" s="4" t="s">
        <v>4179</v>
      </c>
      <c r="C4156" s="3" t="s">
        <v>6</v>
      </c>
      <c r="D4156" s="5">
        <f t="shared" si="128"/>
        <v>231.65</v>
      </c>
      <c r="E4156">
        <v>254.29</v>
      </c>
      <c r="F4156" s="1789">
        <v>8.8999999999999996E-2</v>
      </c>
      <c r="G4156">
        <f t="shared" si="129"/>
        <v>231.65</v>
      </c>
    </row>
    <row r="4157" spans="1:7" ht="12.75" customHeight="1">
      <c r="A4157" s="3">
        <v>7225</v>
      </c>
      <c r="B4157" s="4" t="s">
        <v>4180</v>
      </c>
      <c r="C4157" s="3" t="s">
        <v>6</v>
      </c>
      <c r="D4157" s="5">
        <f t="shared" si="128"/>
        <v>248.4</v>
      </c>
      <c r="E4157">
        <v>272.67</v>
      </c>
      <c r="F4157" s="1789">
        <v>8.8999999999999996E-2</v>
      </c>
      <c r="G4157">
        <f t="shared" si="129"/>
        <v>248.4</v>
      </c>
    </row>
    <row r="4158" spans="1:7" ht="12.75" customHeight="1">
      <c r="A4158" s="3">
        <v>7226</v>
      </c>
      <c r="B4158" s="4" t="s">
        <v>4181</v>
      </c>
      <c r="C4158" s="3" t="s">
        <v>6</v>
      </c>
      <c r="D4158" s="5">
        <f t="shared" si="128"/>
        <v>265.07</v>
      </c>
      <c r="E4158">
        <v>290.97000000000003</v>
      </c>
      <c r="F4158" s="1789">
        <v>8.8999999999999996E-2</v>
      </c>
      <c r="G4158">
        <f t="shared" si="129"/>
        <v>265.07</v>
      </c>
    </row>
    <row r="4159" spans="1:7" ht="12.75" customHeight="1">
      <c r="A4159" s="3">
        <v>7227</v>
      </c>
      <c r="B4159" s="4" t="s">
        <v>4182</v>
      </c>
      <c r="C4159" s="3" t="s">
        <v>6</v>
      </c>
      <c r="D4159" s="5">
        <f t="shared" si="128"/>
        <v>301.72000000000003</v>
      </c>
      <c r="E4159">
        <v>331.2</v>
      </c>
      <c r="F4159" s="1789">
        <v>8.8999999999999996E-2</v>
      </c>
      <c r="G4159">
        <f t="shared" si="129"/>
        <v>301.72000000000003</v>
      </c>
    </row>
    <row r="4160" spans="1:7" ht="12.75" customHeight="1">
      <c r="A4160" s="3">
        <v>7212</v>
      </c>
      <c r="B4160" s="4" t="s">
        <v>4183</v>
      </c>
      <c r="C4160" s="3" t="s">
        <v>6</v>
      </c>
      <c r="D4160" s="5">
        <f t="shared" si="128"/>
        <v>331.52</v>
      </c>
      <c r="E4160">
        <v>363.91</v>
      </c>
      <c r="F4160" s="1789">
        <v>8.8999999999999996E-2</v>
      </c>
      <c r="G4160">
        <f t="shared" si="129"/>
        <v>331.52</v>
      </c>
    </row>
    <row r="4161" spans="1:7" ht="12.75" customHeight="1">
      <c r="A4161" s="3">
        <v>7229</v>
      </c>
      <c r="B4161" s="4" t="s">
        <v>4184</v>
      </c>
      <c r="C4161" s="3" t="s">
        <v>6</v>
      </c>
      <c r="D4161" s="5">
        <f t="shared" si="128"/>
        <v>210.14</v>
      </c>
      <c r="E4161">
        <v>230.67</v>
      </c>
      <c r="F4161" s="1789">
        <v>8.8999999999999996E-2</v>
      </c>
      <c r="G4161">
        <f t="shared" si="129"/>
        <v>210.14</v>
      </c>
    </row>
    <row r="4162" spans="1:7" ht="12.75" customHeight="1">
      <c r="A4162" s="3">
        <v>7230</v>
      </c>
      <c r="B4162" s="4" t="s">
        <v>4185</v>
      </c>
      <c r="C4162" s="3" t="s">
        <v>6</v>
      </c>
      <c r="D4162" s="5">
        <f t="shared" si="128"/>
        <v>349.84</v>
      </c>
      <c r="E4162">
        <v>384.02</v>
      </c>
      <c r="F4162" s="1789">
        <v>8.8999999999999996E-2</v>
      </c>
      <c r="G4162">
        <f t="shared" si="129"/>
        <v>349.84</v>
      </c>
    </row>
    <row r="4163" spans="1:7" ht="12.75" customHeight="1">
      <c r="A4163" s="3">
        <v>7231</v>
      </c>
      <c r="B4163" s="4" t="s">
        <v>4186</v>
      </c>
      <c r="C4163" s="3" t="s">
        <v>6</v>
      </c>
      <c r="D4163" s="5">
        <f t="shared" ref="D4163:D4226" si="130">G4163</f>
        <v>496.28</v>
      </c>
      <c r="E4163">
        <v>544.77</v>
      </c>
      <c r="F4163" s="1789">
        <v>8.8999999999999996E-2</v>
      </c>
      <c r="G4163">
        <f t="shared" ref="G4163:G4226" si="131">TRUNC((1-F4163)*E4163,2)</f>
        <v>496.28</v>
      </c>
    </row>
    <row r="4164" spans="1:7" ht="12.75" customHeight="1">
      <c r="A4164" s="3">
        <v>7220</v>
      </c>
      <c r="B4164" s="4" t="s">
        <v>4187</v>
      </c>
      <c r="C4164" s="3" t="s">
        <v>6</v>
      </c>
      <c r="D4164" s="5">
        <f t="shared" si="130"/>
        <v>612.61</v>
      </c>
      <c r="E4164">
        <v>672.46</v>
      </c>
      <c r="F4164" s="1789">
        <v>8.8999999999999996E-2</v>
      </c>
      <c r="G4164">
        <f t="shared" si="131"/>
        <v>612.61</v>
      </c>
    </row>
    <row r="4165" spans="1:7" ht="12.75" customHeight="1">
      <c r="A4165" s="3">
        <v>34447</v>
      </c>
      <c r="B4165" s="4" t="s">
        <v>4188</v>
      </c>
      <c r="C4165" s="3" t="s">
        <v>6</v>
      </c>
      <c r="D4165" s="5">
        <f t="shared" si="130"/>
        <v>684.99</v>
      </c>
      <c r="E4165">
        <v>751.91</v>
      </c>
      <c r="F4165" s="1789">
        <v>8.8999999999999996E-2</v>
      </c>
      <c r="G4165">
        <f t="shared" si="131"/>
        <v>684.99</v>
      </c>
    </row>
    <row r="4166" spans="1:7" ht="12.75" customHeight="1">
      <c r="A4166" s="3">
        <v>7233</v>
      </c>
      <c r="B4166" s="4" t="s">
        <v>4189</v>
      </c>
      <c r="C4166" s="3" t="s">
        <v>6</v>
      </c>
      <c r="D4166" s="5">
        <f t="shared" si="130"/>
        <v>785.79</v>
      </c>
      <c r="E4166">
        <v>862.56</v>
      </c>
      <c r="F4166" s="1789">
        <v>8.8999999999999996E-2</v>
      </c>
      <c r="G4166">
        <f t="shared" si="131"/>
        <v>785.79</v>
      </c>
    </row>
    <row r="4167" spans="1:7" ht="12.75" customHeight="1">
      <c r="A4167" s="3">
        <v>40740</v>
      </c>
      <c r="B4167" s="4" t="s">
        <v>4190</v>
      </c>
      <c r="C4167" s="3" t="s">
        <v>409</v>
      </c>
      <c r="D4167" s="5">
        <f t="shared" si="130"/>
        <v>119.92</v>
      </c>
      <c r="E4167">
        <v>131.63999999999999</v>
      </c>
      <c r="F4167" s="1789">
        <v>8.8999999999999996E-2</v>
      </c>
      <c r="G4167">
        <f t="shared" si="131"/>
        <v>119.92</v>
      </c>
    </row>
    <row r="4168" spans="1:7" ht="12.75" customHeight="1">
      <c r="A4168" s="3">
        <v>25007</v>
      </c>
      <c r="B4168" s="4" t="s">
        <v>4191</v>
      </c>
      <c r="C4168" s="3" t="s">
        <v>409</v>
      </c>
      <c r="D4168" s="5">
        <f t="shared" si="130"/>
        <v>34.31</v>
      </c>
      <c r="E4168">
        <v>37.67</v>
      </c>
      <c r="F4168" s="1789">
        <v>8.8999999999999996E-2</v>
      </c>
      <c r="G4168">
        <f t="shared" si="131"/>
        <v>34.31</v>
      </c>
    </row>
    <row r="4169" spans="1:7" ht="12.75" customHeight="1">
      <c r="A4169" s="3">
        <v>43071</v>
      </c>
      <c r="B4169" s="4" t="s">
        <v>4192</v>
      </c>
      <c r="C4169" s="3" t="s">
        <v>409</v>
      </c>
      <c r="D4169" s="5">
        <f t="shared" si="130"/>
        <v>135.03</v>
      </c>
      <c r="E4169">
        <v>148.22999999999999</v>
      </c>
      <c r="F4169" s="1789">
        <v>8.8999999999999996E-2</v>
      </c>
      <c r="G4169">
        <f t="shared" si="131"/>
        <v>135.03</v>
      </c>
    </row>
    <row r="4170" spans="1:7" ht="12.75" customHeight="1">
      <c r="A4170" s="3">
        <v>39520</v>
      </c>
      <c r="B4170" s="4" t="s">
        <v>4193</v>
      </c>
      <c r="C4170" s="3" t="s">
        <v>409</v>
      </c>
      <c r="D4170" s="5">
        <f t="shared" si="130"/>
        <v>110.16</v>
      </c>
      <c r="E4170">
        <v>120.93</v>
      </c>
      <c r="F4170" s="1789">
        <v>8.8999999999999996E-2</v>
      </c>
      <c r="G4170">
        <f t="shared" si="131"/>
        <v>110.16</v>
      </c>
    </row>
    <row r="4171" spans="1:7" ht="12.75" customHeight="1">
      <c r="A4171" s="3">
        <v>39521</v>
      </c>
      <c r="B4171" s="4" t="s">
        <v>4194</v>
      </c>
      <c r="C4171" s="3" t="s">
        <v>409</v>
      </c>
      <c r="D4171" s="5">
        <f t="shared" si="130"/>
        <v>113.76</v>
      </c>
      <c r="E4171">
        <v>124.88</v>
      </c>
      <c r="F4171" s="1789">
        <v>8.8999999999999996E-2</v>
      </c>
      <c r="G4171">
        <f t="shared" si="131"/>
        <v>113.76</v>
      </c>
    </row>
    <row r="4172" spans="1:7" ht="12.75" customHeight="1">
      <c r="A4172" s="3">
        <v>39522</v>
      </c>
      <c r="B4172" s="4" t="s">
        <v>4195</v>
      </c>
      <c r="C4172" s="3" t="s">
        <v>409</v>
      </c>
      <c r="D4172" s="5">
        <f t="shared" si="130"/>
        <v>117.48</v>
      </c>
      <c r="E4172">
        <v>128.96</v>
      </c>
      <c r="F4172" s="1789">
        <v>8.8999999999999996E-2</v>
      </c>
      <c r="G4172">
        <f t="shared" si="131"/>
        <v>117.48</v>
      </c>
    </row>
    <row r="4173" spans="1:7" ht="12.75" customHeight="1">
      <c r="A4173" s="3">
        <v>7243</v>
      </c>
      <c r="B4173" s="4" t="s">
        <v>4196</v>
      </c>
      <c r="C4173" s="3" t="s">
        <v>409</v>
      </c>
      <c r="D4173" s="5">
        <f t="shared" si="130"/>
        <v>35.85</v>
      </c>
      <c r="E4173">
        <v>39.36</v>
      </c>
      <c r="F4173" s="1789">
        <v>8.8999999999999996E-2</v>
      </c>
      <c r="G4173">
        <f t="shared" si="131"/>
        <v>35.85</v>
      </c>
    </row>
    <row r="4174" spans="1:7" ht="12.75" customHeight="1">
      <c r="A4174" s="3">
        <v>11067</v>
      </c>
      <c r="B4174" s="4" t="s">
        <v>4197</v>
      </c>
      <c r="C4174" s="3" t="s">
        <v>6</v>
      </c>
      <c r="D4174" s="5">
        <f t="shared" si="130"/>
        <v>363.37</v>
      </c>
      <c r="E4174">
        <v>398.88</v>
      </c>
      <c r="F4174" s="1789">
        <v>8.8999999999999996E-2</v>
      </c>
      <c r="G4174">
        <f t="shared" si="131"/>
        <v>363.37</v>
      </c>
    </row>
    <row r="4175" spans="1:7" ht="12.75" customHeight="1">
      <c r="A4175" s="3">
        <v>11068</v>
      </c>
      <c r="B4175" s="4" t="s">
        <v>4198</v>
      </c>
      <c r="C4175" s="3" t="s">
        <v>6</v>
      </c>
      <c r="D4175" s="5">
        <f t="shared" si="130"/>
        <v>459.07</v>
      </c>
      <c r="E4175">
        <v>503.92</v>
      </c>
      <c r="F4175" s="1789">
        <v>8.8999999999999996E-2</v>
      </c>
      <c r="G4175">
        <f t="shared" si="131"/>
        <v>459.07</v>
      </c>
    </row>
    <row r="4176" spans="1:7" ht="12.75" customHeight="1">
      <c r="A4176" s="3">
        <v>7246</v>
      </c>
      <c r="B4176" s="4" t="s">
        <v>4199</v>
      </c>
      <c r="C4176" s="3" t="s">
        <v>6</v>
      </c>
      <c r="D4176" s="5">
        <f t="shared" si="130"/>
        <v>50.3</v>
      </c>
      <c r="E4176">
        <v>55.22</v>
      </c>
      <c r="F4176" s="1789">
        <v>8.8999999999999996E-2</v>
      </c>
      <c r="G4176">
        <f t="shared" si="131"/>
        <v>50.3</v>
      </c>
    </row>
    <row r="4177" spans="1:7" ht="12.75" customHeight="1">
      <c r="A4177" s="3">
        <v>12869</v>
      </c>
      <c r="B4177" s="4" t="s">
        <v>4200</v>
      </c>
      <c r="C4177" s="3" t="s">
        <v>154</v>
      </c>
      <c r="D4177" s="5">
        <f t="shared" si="130"/>
        <v>17.8</v>
      </c>
      <c r="E4177">
        <v>19.54</v>
      </c>
      <c r="F4177" s="1789">
        <v>8.8999999999999996E-2</v>
      </c>
      <c r="G4177">
        <f t="shared" si="131"/>
        <v>17.8</v>
      </c>
    </row>
    <row r="4178" spans="1:7" ht="12.75" customHeight="1">
      <c r="A4178" s="3">
        <v>41097</v>
      </c>
      <c r="B4178" s="4" t="s">
        <v>4201</v>
      </c>
      <c r="C4178" s="3" t="s">
        <v>156</v>
      </c>
      <c r="D4178" s="5">
        <f t="shared" si="130"/>
        <v>3134.68</v>
      </c>
      <c r="E4178">
        <v>3440.93</v>
      </c>
      <c r="F4178" s="1789">
        <v>8.8999999999999996E-2</v>
      </c>
      <c r="G4178">
        <f t="shared" si="131"/>
        <v>3134.68</v>
      </c>
    </row>
    <row r="4179" spans="1:7" ht="12.75" customHeight="1">
      <c r="A4179" s="3">
        <v>1574</v>
      </c>
      <c r="B4179" s="4" t="s">
        <v>4202</v>
      </c>
      <c r="C4179" s="3" t="s">
        <v>6</v>
      </c>
      <c r="D4179" s="5">
        <f t="shared" si="130"/>
        <v>1.85</v>
      </c>
      <c r="E4179">
        <v>2.04</v>
      </c>
      <c r="F4179" s="1789">
        <v>8.8999999999999996E-2</v>
      </c>
      <c r="G4179">
        <f t="shared" si="131"/>
        <v>1.85</v>
      </c>
    </row>
    <row r="4180" spans="1:7" ht="12.75" customHeight="1">
      <c r="A4180" s="3">
        <v>1581</v>
      </c>
      <c r="B4180" s="4" t="s">
        <v>4203</v>
      </c>
      <c r="C4180" s="3" t="s">
        <v>6</v>
      </c>
      <c r="D4180" s="5">
        <f t="shared" si="130"/>
        <v>12.89</v>
      </c>
      <c r="E4180">
        <v>14.16</v>
      </c>
      <c r="F4180" s="1789">
        <v>8.8999999999999996E-2</v>
      </c>
      <c r="G4180">
        <f t="shared" si="131"/>
        <v>12.89</v>
      </c>
    </row>
    <row r="4181" spans="1:7" ht="12.75" customHeight="1">
      <c r="A4181" s="3">
        <v>1575</v>
      </c>
      <c r="B4181" s="4" t="s">
        <v>4204</v>
      </c>
      <c r="C4181" s="3" t="s">
        <v>6</v>
      </c>
      <c r="D4181" s="5">
        <f t="shared" si="130"/>
        <v>2.2000000000000002</v>
      </c>
      <c r="E4181">
        <v>2.42</v>
      </c>
      <c r="F4181" s="1789">
        <v>8.8999999999999996E-2</v>
      </c>
      <c r="G4181">
        <f t="shared" si="131"/>
        <v>2.2000000000000002</v>
      </c>
    </row>
    <row r="4182" spans="1:7" ht="12.75" customHeight="1">
      <c r="A4182" s="3">
        <v>1570</v>
      </c>
      <c r="B4182" s="4" t="s">
        <v>4205</v>
      </c>
      <c r="C4182" s="3" t="s">
        <v>6</v>
      </c>
      <c r="D4182" s="5">
        <f t="shared" si="130"/>
        <v>1.1100000000000001</v>
      </c>
      <c r="E4182">
        <v>1.22</v>
      </c>
      <c r="F4182" s="1789">
        <v>8.8999999999999996E-2</v>
      </c>
      <c r="G4182">
        <f t="shared" si="131"/>
        <v>1.1100000000000001</v>
      </c>
    </row>
    <row r="4183" spans="1:7" ht="12.75" customHeight="1">
      <c r="A4183" s="3">
        <v>1576</v>
      </c>
      <c r="B4183" s="4" t="s">
        <v>4206</v>
      </c>
      <c r="C4183" s="3" t="s">
        <v>6</v>
      </c>
      <c r="D4183" s="5">
        <f t="shared" si="130"/>
        <v>3.05</v>
      </c>
      <c r="E4183">
        <v>3.35</v>
      </c>
      <c r="F4183" s="1789">
        <v>8.8999999999999996E-2</v>
      </c>
      <c r="G4183">
        <f t="shared" si="131"/>
        <v>3.05</v>
      </c>
    </row>
    <row r="4184" spans="1:7" ht="12.75" customHeight="1">
      <c r="A4184" s="3">
        <v>1577</v>
      </c>
      <c r="B4184" s="4" t="s">
        <v>4207</v>
      </c>
      <c r="C4184" s="3" t="s">
        <v>6</v>
      </c>
      <c r="D4184" s="5">
        <f t="shared" si="130"/>
        <v>3.44</v>
      </c>
      <c r="E4184">
        <v>3.78</v>
      </c>
      <c r="F4184" s="1789">
        <v>8.8999999999999996E-2</v>
      </c>
      <c r="G4184">
        <f t="shared" si="131"/>
        <v>3.44</v>
      </c>
    </row>
    <row r="4185" spans="1:7" ht="12.75" customHeight="1">
      <c r="A4185" s="3">
        <v>1571</v>
      </c>
      <c r="B4185" s="4" t="s">
        <v>4208</v>
      </c>
      <c r="C4185" s="3" t="s">
        <v>6</v>
      </c>
      <c r="D4185" s="5">
        <f t="shared" si="130"/>
        <v>1.43</v>
      </c>
      <c r="E4185">
        <v>1.58</v>
      </c>
      <c r="F4185" s="1789">
        <v>8.8999999999999996E-2</v>
      </c>
      <c r="G4185">
        <f t="shared" si="131"/>
        <v>1.43</v>
      </c>
    </row>
    <row r="4186" spans="1:7" ht="12.75" customHeight="1">
      <c r="A4186" s="3">
        <v>1578</v>
      </c>
      <c r="B4186" s="4" t="s">
        <v>4209</v>
      </c>
      <c r="C4186" s="3" t="s">
        <v>6</v>
      </c>
      <c r="D4186" s="5">
        <f t="shared" si="130"/>
        <v>5.97</v>
      </c>
      <c r="E4186">
        <v>6.56</v>
      </c>
      <c r="F4186" s="1789">
        <v>8.8999999999999996E-2</v>
      </c>
      <c r="G4186">
        <f t="shared" si="131"/>
        <v>5.97</v>
      </c>
    </row>
    <row r="4187" spans="1:7" ht="12.75" customHeight="1">
      <c r="A4187" s="3">
        <v>1573</v>
      </c>
      <c r="B4187" s="4" t="s">
        <v>4210</v>
      </c>
      <c r="C4187" s="3" t="s">
        <v>6</v>
      </c>
      <c r="D4187" s="5">
        <f t="shared" si="130"/>
        <v>1.72</v>
      </c>
      <c r="E4187">
        <v>1.89</v>
      </c>
      <c r="F4187" s="1789">
        <v>8.8999999999999996E-2</v>
      </c>
      <c r="G4187">
        <f t="shared" si="131"/>
        <v>1.72</v>
      </c>
    </row>
    <row r="4188" spans="1:7" ht="12.75" customHeight="1">
      <c r="A4188" s="3">
        <v>1579</v>
      </c>
      <c r="B4188" s="4" t="s">
        <v>4211</v>
      </c>
      <c r="C4188" s="3" t="s">
        <v>6</v>
      </c>
      <c r="D4188" s="5">
        <f t="shared" si="130"/>
        <v>7.45</v>
      </c>
      <c r="E4188">
        <v>8.18</v>
      </c>
      <c r="F4188" s="1789">
        <v>8.8999999999999996E-2</v>
      </c>
      <c r="G4188">
        <f t="shared" si="131"/>
        <v>7.45</v>
      </c>
    </row>
    <row r="4189" spans="1:7" ht="12.75" customHeight="1">
      <c r="A4189" s="3">
        <v>1580</v>
      </c>
      <c r="B4189" s="4" t="s">
        <v>4212</v>
      </c>
      <c r="C4189" s="3" t="s">
        <v>6</v>
      </c>
      <c r="D4189" s="5">
        <f t="shared" si="130"/>
        <v>9.17</v>
      </c>
      <c r="E4189">
        <v>10.07</v>
      </c>
      <c r="F4189" s="1789">
        <v>8.8999999999999996E-2</v>
      </c>
      <c r="G4189">
        <f t="shared" si="131"/>
        <v>9.17</v>
      </c>
    </row>
    <row r="4190" spans="1:7" ht="12.75" customHeight="1">
      <c r="A4190" s="3">
        <v>39321</v>
      </c>
      <c r="B4190" s="4" t="s">
        <v>4213</v>
      </c>
      <c r="C4190" s="3" t="s">
        <v>6</v>
      </c>
      <c r="D4190" s="5">
        <f t="shared" si="130"/>
        <v>18.57</v>
      </c>
      <c r="E4190">
        <v>20.39</v>
      </c>
      <c r="F4190" s="1789">
        <v>8.8999999999999996E-2</v>
      </c>
      <c r="G4190">
        <f t="shared" si="131"/>
        <v>18.57</v>
      </c>
    </row>
    <row r="4191" spans="1:7" ht="12.75" customHeight="1">
      <c r="A4191" s="3">
        <v>39319</v>
      </c>
      <c r="B4191" s="4" t="s">
        <v>4214</v>
      </c>
      <c r="C4191" s="3" t="s">
        <v>6</v>
      </c>
      <c r="D4191" s="5">
        <f t="shared" si="130"/>
        <v>7.73</v>
      </c>
      <c r="E4191">
        <v>8.49</v>
      </c>
      <c r="F4191" s="1789">
        <v>8.8999999999999996E-2</v>
      </c>
      <c r="G4191">
        <f t="shared" si="131"/>
        <v>7.73</v>
      </c>
    </row>
    <row r="4192" spans="1:7" ht="12.75" customHeight="1">
      <c r="A4192" s="3">
        <v>39320</v>
      </c>
      <c r="B4192" s="4" t="s">
        <v>4215</v>
      </c>
      <c r="C4192" s="3" t="s">
        <v>6</v>
      </c>
      <c r="D4192" s="5">
        <f t="shared" si="130"/>
        <v>14.86</v>
      </c>
      <c r="E4192">
        <v>16.32</v>
      </c>
      <c r="F4192" s="1789">
        <v>8.8999999999999996E-2</v>
      </c>
      <c r="G4192">
        <f t="shared" si="131"/>
        <v>14.86</v>
      </c>
    </row>
    <row r="4193" spans="1:7" ht="12.75" customHeight="1">
      <c r="A4193" s="3">
        <v>1591</v>
      </c>
      <c r="B4193" s="4" t="s">
        <v>4216</v>
      </c>
      <c r="C4193" s="3" t="s">
        <v>6</v>
      </c>
      <c r="D4193" s="5">
        <f t="shared" si="130"/>
        <v>28.45</v>
      </c>
      <c r="E4193">
        <v>31.23</v>
      </c>
      <c r="F4193" s="1789">
        <v>8.8999999999999996E-2</v>
      </c>
      <c r="G4193">
        <f t="shared" si="131"/>
        <v>28.45</v>
      </c>
    </row>
    <row r="4194" spans="1:7" ht="12.75" customHeight="1">
      <c r="A4194" s="3">
        <v>1547</v>
      </c>
      <c r="B4194" s="4" t="s">
        <v>4217</v>
      </c>
      <c r="C4194" s="3" t="s">
        <v>6</v>
      </c>
      <c r="D4194" s="5">
        <f t="shared" si="130"/>
        <v>149.09</v>
      </c>
      <c r="E4194">
        <v>163.66</v>
      </c>
      <c r="F4194" s="1789">
        <v>8.8999999999999996E-2</v>
      </c>
      <c r="G4194">
        <f t="shared" si="131"/>
        <v>149.09</v>
      </c>
    </row>
    <row r="4195" spans="1:7" ht="12.75" customHeight="1">
      <c r="A4195" s="3">
        <v>38196</v>
      </c>
      <c r="B4195" s="4" t="s">
        <v>4218</v>
      </c>
      <c r="C4195" s="3" t="s">
        <v>6</v>
      </c>
      <c r="D4195" s="5">
        <f t="shared" si="130"/>
        <v>29.03</v>
      </c>
      <c r="E4195">
        <v>31.87</v>
      </c>
      <c r="F4195" s="1789">
        <v>8.8999999999999996E-2</v>
      </c>
      <c r="G4195">
        <f t="shared" si="131"/>
        <v>29.03</v>
      </c>
    </row>
    <row r="4196" spans="1:7" ht="12.75" customHeight="1">
      <c r="A4196" s="3">
        <v>1543</v>
      </c>
      <c r="B4196" s="4" t="s">
        <v>4219</v>
      </c>
      <c r="C4196" s="3" t="s">
        <v>6</v>
      </c>
      <c r="D4196" s="5">
        <f t="shared" si="130"/>
        <v>30.85</v>
      </c>
      <c r="E4196">
        <v>33.869999999999997</v>
      </c>
      <c r="F4196" s="1789">
        <v>8.8999999999999996E-2</v>
      </c>
      <c r="G4196">
        <f t="shared" si="131"/>
        <v>30.85</v>
      </c>
    </row>
    <row r="4197" spans="1:7" ht="12.75" customHeight="1">
      <c r="A4197" s="3">
        <v>1585</v>
      </c>
      <c r="B4197" s="4" t="s">
        <v>4220</v>
      </c>
      <c r="C4197" s="3" t="s">
        <v>6</v>
      </c>
      <c r="D4197" s="5">
        <f t="shared" si="130"/>
        <v>5.97</v>
      </c>
      <c r="E4197">
        <v>6.56</v>
      </c>
      <c r="F4197" s="1789">
        <v>8.8999999999999996E-2</v>
      </c>
      <c r="G4197">
        <f t="shared" si="131"/>
        <v>5.97</v>
      </c>
    </row>
    <row r="4198" spans="1:7" ht="12.75" customHeight="1">
      <c r="A4198" s="3">
        <v>1593</v>
      </c>
      <c r="B4198" s="4" t="s">
        <v>4221</v>
      </c>
      <c r="C4198" s="3" t="s">
        <v>6</v>
      </c>
      <c r="D4198" s="5">
        <f t="shared" si="130"/>
        <v>31.73</v>
      </c>
      <c r="E4198">
        <v>34.83</v>
      </c>
      <c r="F4198" s="1789">
        <v>8.8999999999999996E-2</v>
      </c>
      <c r="G4198">
        <f t="shared" si="131"/>
        <v>31.73</v>
      </c>
    </row>
    <row r="4199" spans="1:7" ht="12.75" customHeight="1">
      <c r="A4199" s="3">
        <v>11838</v>
      </c>
      <c r="B4199" s="4" t="s">
        <v>4222</v>
      </c>
      <c r="C4199" s="3" t="s">
        <v>6</v>
      </c>
      <c r="D4199" s="5">
        <f t="shared" si="130"/>
        <v>41.86</v>
      </c>
      <c r="E4199">
        <v>45.96</v>
      </c>
      <c r="F4199" s="1789">
        <v>8.8999999999999996E-2</v>
      </c>
      <c r="G4199">
        <f t="shared" si="131"/>
        <v>41.86</v>
      </c>
    </row>
    <row r="4200" spans="1:7" ht="12.75" customHeight="1">
      <c r="A4200" s="3">
        <v>1594</v>
      </c>
      <c r="B4200" s="4" t="s">
        <v>4223</v>
      </c>
      <c r="C4200" s="3" t="s">
        <v>6</v>
      </c>
      <c r="D4200" s="5">
        <f t="shared" si="130"/>
        <v>42.33</v>
      </c>
      <c r="E4200">
        <v>46.47</v>
      </c>
      <c r="F4200" s="1789">
        <v>8.8999999999999996E-2</v>
      </c>
      <c r="G4200">
        <f t="shared" si="131"/>
        <v>42.33</v>
      </c>
    </row>
    <row r="4201" spans="1:7" ht="12.75" customHeight="1">
      <c r="A4201" s="3">
        <v>1586</v>
      </c>
      <c r="B4201" s="4" t="s">
        <v>4224</v>
      </c>
      <c r="C4201" s="3" t="s">
        <v>6</v>
      </c>
      <c r="D4201" s="5">
        <f t="shared" si="130"/>
        <v>7.56</v>
      </c>
      <c r="E4201">
        <v>8.3000000000000007</v>
      </c>
      <c r="F4201" s="1789">
        <v>8.8999999999999996E-2</v>
      </c>
      <c r="G4201">
        <f t="shared" si="131"/>
        <v>7.56</v>
      </c>
    </row>
    <row r="4202" spans="1:7" ht="12.75" customHeight="1">
      <c r="A4202" s="3">
        <v>11839</v>
      </c>
      <c r="B4202" s="4" t="s">
        <v>4225</v>
      </c>
      <c r="C4202" s="3" t="s">
        <v>6</v>
      </c>
      <c r="D4202" s="5">
        <f t="shared" si="130"/>
        <v>60.92</v>
      </c>
      <c r="E4202">
        <v>66.88</v>
      </c>
      <c r="F4202" s="1789">
        <v>8.8999999999999996E-2</v>
      </c>
      <c r="G4202">
        <f t="shared" si="131"/>
        <v>60.92</v>
      </c>
    </row>
    <row r="4203" spans="1:7" ht="12.75" customHeight="1">
      <c r="A4203" s="3">
        <v>1587</v>
      </c>
      <c r="B4203" s="4" t="s">
        <v>4226</v>
      </c>
      <c r="C4203" s="3" t="s">
        <v>6</v>
      </c>
      <c r="D4203" s="5">
        <f t="shared" si="130"/>
        <v>7.69</v>
      </c>
      <c r="E4203">
        <v>8.4499999999999993</v>
      </c>
      <c r="F4203" s="1789">
        <v>8.8999999999999996E-2</v>
      </c>
      <c r="G4203">
        <f t="shared" si="131"/>
        <v>7.69</v>
      </c>
    </row>
    <row r="4204" spans="1:7" ht="12.75" customHeight="1">
      <c r="A4204" s="3">
        <v>1545</v>
      </c>
      <c r="B4204" s="4" t="s">
        <v>4227</v>
      </c>
      <c r="C4204" s="3" t="s">
        <v>6</v>
      </c>
      <c r="D4204" s="5">
        <f t="shared" si="130"/>
        <v>73.099999999999994</v>
      </c>
      <c r="E4204">
        <v>80.25</v>
      </c>
      <c r="F4204" s="1789">
        <v>8.8999999999999996E-2</v>
      </c>
      <c r="G4204">
        <f t="shared" si="131"/>
        <v>73.099999999999994</v>
      </c>
    </row>
    <row r="4205" spans="1:7" ht="12.75" customHeight="1">
      <c r="A4205" s="3">
        <v>1588</v>
      </c>
      <c r="B4205" s="4" t="s">
        <v>4228</v>
      </c>
      <c r="C4205" s="3" t="s">
        <v>6</v>
      </c>
      <c r="D4205" s="5">
        <f t="shared" si="130"/>
        <v>10.56</v>
      </c>
      <c r="E4205">
        <v>11.6</v>
      </c>
      <c r="F4205" s="1789">
        <v>8.8999999999999996E-2</v>
      </c>
      <c r="G4205">
        <f t="shared" si="131"/>
        <v>10.56</v>
      </c>
    </row>
    <row r="4206" spans="1:7" ht="12.75" customHeight="1">
      <c r="A4206" s="3">
        <v>1535</v>
      </c>
      <c r="B4206" s="4" t="s">
        <v>4229</v>
      </c>
      <c r="C4206" s="3" t="s">
        <v>6</v>
      </c>
      <c r="D4206" s="5">
        <f t="shared" si="130"/>
        <v>6.08</v>
      </c>
      <c r="E4206">
        <v>6.68</v>
      </c>
      <c r="F4206" s="1789">
        <v>8.8999999999999996E-2</v>
      </c>
      <c r="G4206">
        <f t="shared" si="131"/>
        <v>6.08</v>
      </c>
    </row>
    <row r="4207" spans="1:7" ht="12.75" customHeight="1">
      <c r="A4207" s="3">
        <v>1589</v>
      </c>
      <c r="B4207" s="4" t="s">
        <v>4230</v>
      </c>
      <c r="C4207" s="3" t="s">
        <v>6</v>
      </c>
      <c r="D4207" s="5">
        <f t="shared" si="130"/>
        <v>10.89</v>
      </c>
      <c r="E4207">
        <v>11.96</v>
      </c>
      <c r="F4207" s="1789">
        <v>8.8999999999999996E-2</v>
      </c>
      <c r="G4207">
        <f t="shared" si="131"/>
        <v>10.89</v>
      </c>
    </row>
    <row r="4208" spans="1:7" ht="12.75" customHeight="1">
      <c r="A4208" s="3">
        <v>1546</v>
      </c>
      <c r="B4208" s="4" t="s">
        <v>4231</v>
      </c>
      <c r="C4208" s="3" t="s">
        <v>6</v>
      </c>
      <c r="D4208" s="5">
        <f t="shared" si="130"/>
        <v>123.37</v>
      </c>
      <c r="E4208">
        <v>135.43</v>
      </c>
      <c r="F4208" s="1789">
        <v>8.8999999999999996E-2</v>
      </c>
      <c r="G4208">
        <f t="shared" si="131"/>
        <v>123.37</v>
      </c>
    </row>
    <row r="4209" spans="1:7" ht="12.75" customHeight="1">
      <c r="A4209" s="3">
        <v>1590</v>
      </c>
      <c r="B4209" s="4" t="s">
        <v>4232</v>
      </c>
      <c r="C4209" s="3" t="s">
        <v>6</v>
      </c>
      <c r="D4209" s="5">
        <f t="shared" si="130"/>
        <v>19.18</v>
      </c>
      <c r="E4209">
        <v>21.06</v>
      </c>
      <c r="F4209" s="1789">
        <v>8.8999999999999996E-2</v>
      </c>
      <c r="G4209">
        <f t="shared" si="131"/>
        <v>19.18</v>
      </c>
    </row>
    <row r="4210" spans="1:7" ht="12.75" customHeight="1">
      <c r="A4210" s="3">
        <v>1542</v>
      </c>
      <c r="B4210" s="4" t="s">
        <v>4233</v>
      </c>
      <c r="C4210" s="3" t="s">
        <v>6</v>
      </c>
      <c r="D4210" s="5">
        <f t="shared" si="130"/>
        <v>25.41</v>
      </c>
      <c r="E4210">
        <v>27.9</v>
      </c>
      <c r="F4210" s="1789">
        <v>8.8999999999999996E-2</v>
      </c>
      <c r="G4210">
        <f t="shared" si="131"/>
        <v>25.41</v>
      </c>
    </row>
    <row r="4211" spans="1:7" ht="12.75" customHeight="1">
      <c r="A4211" s="3">
        <v>38415</v>
      </c>
      <c r="B4211" s="4" t="s">
        <v>4234</v>
      </c>
      <c r="C4211" s="3" t="s">
        <v>6</v>
      </c>
      <c r="D4211" s="5">
        <f t="shared" si="130"/>
        <v>1067.33</v>
      </c>
      <c r="E4211">
        <v>1171.6099999999999</v>
      </c>
      <c r="F4211" s="1789">
        <v>8.8999999999999996E-2</v>
      </c>
      <c r="G4211">
        <f t="shared" si="131"/>
        <v>1067.33</v>
      </c>
    </row>
    <row r="4212" spans="1:7" ht="12.75" customHeight="1">
      <c r="A4212" s="3">
        <v>38414</v>
      </c>
      <c r="B4212" s="4" t="s">
        <v>4235</v>
      </c>
      <c r="C4212" s="3" t="s">
        <v>6</v>
      </c>
      <c r="D4212" s="5">
        <f t="shared" si="130"/>
        <v>1498.02</v>
      </c>
      <c r="E4212">
        <v>1644.37</v>
      </c>
      <c r="F4212" s="1789">
        <v>8.8999999999999996E-2</v>
      </c>
      <c r="G4212">
        <f t="shared" si="131"/>
        <v>1498.02</v>
      </c>
    </row>
    <row r="4213" spans="1:7" ht="12.75" customHeight="1">
      <c r="A4213" s="3">
        <v>38128</v>
      </c>
      <c r="B4213" s="4" t="s">
        <v>4236</v>
      </c>
      <c r="C4213" s="3" t="s">
        <v>54</v>
      </c>
      <c r="D4213" s="5">
        <f t="shared" si="130"/>
        <v>0.61</v>
      </c>
      <c r="E4213">
        <v>0.67</v>
      </c>
      <c r="F4213" s="1789">
        <v>8.8999999999999996E-2</v>
      </c>
      <c r="G4213">
        <f t="shared" si="131"/>
        <v>0.61</v>
      </c>
    </row>
    <row r="4214" spans="1:7" ht="12.75" customHeight="1">
      <c r="A4214" s="3">
        <v>7253</v>
      </c>
      <c r="B4214" s="4" t="s">
        <v>4237</v>
      </c>
      <c r="C4214" s="3" t="s">
        <v>152</v>
      </c>
      <c r="D4214" s="5">
        <f t="shared" si="130"/>
        <v>130.79</v>
      </c>
      <c r="E4214">
        <v>143.57</v>
      </c>
      <c r="F4214" s="1789">
        <v>8.8999999999999996E-2</v>
      </c>
      <c r="G4214">
        <f t="shared" si="131"/>
        <v>130.79</v>
      </c>
    </row>
    <row r="4215" spans="1:7" ht="12.75" customHeight="1">
      <c r="A4215" s="3">
        <v>4806</v>
      </c>
      <c r="B4215" s="4" t="s">
        <v>4238</v>
      </c>
      <c r="C4215" s="3" t="s">
        <v>50</v>
      </c>
      <c r="D4215" s="5">
        <f t="shared" si="130"/>
        <v>18.12</v>
      </c>
      <c r="E4215">
        <v>19.899999999999999</v>
      </c>
      <c r="F4215" s="1789">
        <v>8.8999999999999996E-2</v>
      </c>
      <c r="G4215">
        <f t="shared" si="131"/>
        <v>18.12</v>
      </c>
    </row>
    <row r="4216" spans="1:7" ht="12.75" customHeight="1">
      <c r="A4216" s="3">
        <v>34401</v>
      </c>
      <c r="B4216" s="4" t="s">
        <v>4239</v>
      </c>
      <c r="C4216" s="3" t="s">
        <v>6</v>
      </c>
      <c r="D4216" s="5">
        <f t="shared" si="130"/>
        <v>2.35</v>
      </c>
      <c r="E4216">
        <v>2.58</v>
      </c>
      <c r="F4216" s="1789">
        <v>8.8999999999999996E-2</v>
      </c>
      <c r="G4216">
        <f t="shared" si="131"/>
        <v>2.35</v>
      </c>
    </row>
    <row r="4217" spans="1:7" ht="12.75" customHeight="1">
      <c r="A4217" s="3">
        <v>7260</v>
      </c>
      <c r="B4217" s="4" t="s">
        <v>4240</v>
      </c>
      <c r="C4217" s="3" t="s">
        <v>6</v>
      </c>
      <c r="D4217" s="5">
        <f t="shared" si="130"/>
        <v>2.0699999999999998</v>
      </c>
      <c r="E4217">
        <v>2.2799999999999998</v>
      </c>
      <c r="F4217" s="1789">
        <v>8.8999999999999996E-2</v>
      </c>
      <c r="G4217">
        <f t="shared" si="131"/>
        <v>2.0699999999999998</v>
      </c>
    </row>
    <row r="4218" spans="1:7" ht="12.75" customHeight="1">
      <c r="A4218" s="3">
        <v>7256</v>
      </c>
      <c r="B4218" s="4" t="s">
        <v>4241</v>
      </c>
      <c r="C4218" s="3" t="s">
        <v>6</v>
      </c>
      <c r="D4218" s="5">
        <f t="shared" si="130"/>
        <v>2.0499999999999998</v>
      </c>
      <c r="E4218">
        <v>2.2599999999999998</v>
      </c>
      <c r="F4218" s="1789">
        <v>8.8999999999999996E-2</v>
      </c>
      <c r="G4218">
        <f t="shared" si="131"/>
        <v>2.0499999999999998</v>
      </c>
    </row>
    <row r="4219" spans="1:7" ht="12.75" customHeight="1">
      <c r="A4219" s="3">
        <v>7258</v>
      </c>
      <c r="B4219" s="4" t="s">
        <v>4242</v>
      </c>
      <c r="C4219" s="3" t="s">
        <v>6</v>
      </c>
      <c r="D4219" s="5">
        <f t="shared" si="130"/>
        <v>0.83</v>
      </c>
      <c r="E4219">
        <v>0.92</v>
      </c>
      <c r="F4219" s="1789">
        <v>8.8999999999999996E-2</v>
      </c>
      <c r="G4219">
        <f t="shared" si="131"/>
        <v>0.83</v>
      </c>
    </row>
    <row r="4220" spans="1:7" ht="12.75" customHeight="1">
      <c r="A4220" s="3">
        <v>34400</v>
      </c>
      <c r="B4220" s="4" t="s">
        <v>4243</v>
      </c>
      <c r="C4220" s="3" t="s">
        <v>6</v>
      </c>
      <c r="D4220" s="5">
        <f t="shared" si="130"/>
        <v>3.61</v>
      </c>
      <c r="E4220">
        <v>3.97</v>
      </c>
      <c r="F4220" s="1789">
        <v>8.8999999999999996E-2</v>
      </c>
      <c r="G4220">
        <f t="shared" si="131"/>
        <v>3.61</v>
      </c>
    </row>
    <row r="4221" spans="1:7" ht="12.75" customHeight="1">
      <c r="A4221" s="3">
        <v>10617</v>
      </c>
      <c r="B4221" s="4" t="s">
        <v>4244</v>
      </c>
      <c r="C4221" s="3" t="s">
        <v>6</v>
      </c>
      <c r="D4221" s="5">
        <f t="shared" si="130"/>
        <v>6.91</v>
      </c>
      <c r="E4221">
        <v>7.59</v>
      </c>
      <c r="F4221" s="1789">
        <v>8.8999999999999996E-2</v>
      </c>
      <c r="G4221">
        <f t="shared" si="131"/>
        <v>6.91</v>
      </c>
    </row>
    <row r="4222" spans="1:7" ht="12.75" customHeight="1">
      <c r="A4222" s="3">
        <v>44261</v>
      </c>
      <c r="B4222" s="4" t="s">
        <v>4245</v>
      </c>
      <c r="C4222" s="3" t="s">
        <v>6</v>
      </c>
      <c r="D4222" s="5">
        <f t="shared" si="130"/>
        <v>123.44</v>
      </c>
      <c r="E4222">
        <v>135.5</v>
      </c>
      <c r="F4222" s="1789">
        <v>8.8999999999999996E-2</v>
      </c>
      <c r="G4222">
        <f t="shared" si="131"/>
        <v>123.44</v>
      </c>
    </row>
    <row r="4223" spans="1:7" ht="12.75" customHeight="1">
      <c r="A4223" s="3">
        <v>7274</v>
      </c>
      <c r="B4223" s="4" t="s">
        <v>4246</v>
      </c>
      <c r="C4223" s="3" t="s">
        <v>6</v>
      </c>
      <c r="D4223" s="5">
        <f t="shared" si="130"/>
        <v>59.76</v>
      </c>
      <c r="E4223">
        <v>65.599999999999994</v>
      </c>
      <c r="F4223" s="1789">
        <v>8.8999999999999996E-2</v>
      </c>
      <c r="G4223">
        <f t="shared" si="131"/>
        <v>59.76</v>
      </c>
    </row>
    <row r="4224" spans="1:7" ht="12.75" customHeight="1">
      <c r="A4224" s="3">
        <v>44326</v>
      </c>
      <c r="B4224" s="4" t="s">
        <v>4247</v>
      </c>
      <c r="C4224" s="3" t="s">
        <v>6</v>
      </c>
      <c r="D4224" s="5">
        <f t="shared" si="130"/>
        <v>1290.72</v>
      </c>
      <c r="E4224">
        <v>1416.82</v>
      </c>
      <c r="F4224" s="1789">
        <v>8.8999999999999996E-2</v>
      </c>
      <c r="G4224">
        <f t="shared" si="131"/>
        <v>1290.72</v>
      </c>
    </row>
    <row r="4225" spans="1:7" ht="12.75" customHeight="1">
      <c r="A4225" s="3">
        <v>154</v>
      </c>
      <c r="B4225" s="4" t="s">
        <v>4248</v>
      </c>
      <c r="C4225" s="3" t="s">
        <v>56</v>
      </c>
      <c r="D4225" s="5">
        <f t="shared" si="130"/>
        <v>72.319999999999993</v>
      </c>
      <c r="E4225">
        <v>79.39</v>
      </c>
      <c r="F4225" s="1789">
        <v>8.8999999999999996E-2</v>
      </c>
      <c r="G4225">
        <f t="shared" si="131"/>
        <v>72.319999999999993</v>
      </c>
    </row>
    <row r="4226" spans="1:7" ht="12.75" customHeight="1">
      <c r="A4226" s="3">
        <v>38121</v>
      </c>
      <c r="B4226" s="4" t="s">
        <v>4249</v>
      </c>
      <c r="C4226" s="3" t="s">
        <v>56</v>
      </c>
      <c r="D4226" s="5">
        <f t="shared" si="130"/>
        <v>11.27</v>
      </c>
      <c r="E4226">
        <v>12.38</v>
      </c>
      <c r="F4226" s="1789">
        <v>8.8999999999999996E-2</v>
      </c>
      <c r="G4226">
        <f t="shared" si="131"/>
        <v>11.27</v>
      </c>
    </row>
    <row r="4227" spans="1:7" ht="12.75" customHeight="1">
      <c r="A4227" s="3">
        <v>43776</v>
      </c>
      <c r="B4227" s="4" t="s">
        <v>4250</v>
      </c>
      <c r="C4227" s="3" t="s">
        <v>56</v>
      </c>
      <c r="D4227" s="5">
        <f t="shared" ref="D4227:D4290" si="132">G4227</f>
        <v>21.31</v>
      </c>
      <c r="E4227">
        <v>23.4</v>
      </c>
      <c r="F4227" s="1789">
        <v>8.8999999999999996E-2</v>
      </c>
      <c r="G4227">
        <f t="shared" ref="G4227:G4290" si="133">TRUNC((1-F4227)*E4227,2)</f>
        <v>21.31</v>
      </c>
    </row>
    <row r="4228" spans="1:7" ht="12.75" customHeight="1">
      <c r="A4228" s="3">
        <v>7343</v>
      </c>
      <c r="B4228" s="4" t="s">
        <v>4251</v>
      </c>
      <c r="C4228" s="3" t="s">
        <v>56</v>
      </c>
      <c r="D4228" s="5">
        <f t="shared" si="132"/>
        <v>16.579999999999998</v>
      </c>
      <c r="E4228">
        <v>18.21</v>
      </c>
      <c r="F4228" s="1789">
        <v>8.8999999999999996E-2</v>
      </c>
      <c r="G4228">
        <f t="shared" si="133"/>
        <v>16.579999999999998</v>
      </c>
    </row>
    <row r="4229" spans="1:7" ht="12.75" customHeight="1">
      <c r="A4229" s="3">
        <v>7348</v>
      </c>
      <c r="B4229" s="4" t="s">
        <v>4252</v>
      </c>
      <c r="C4229" s="3" t="s">
        <v>56</v>
      </c>
      <c r="D4229" s="5">
        <f t="shared" si="132"/>
        <v>17.440000000000001</v>
      </c>
      <c r="E4229">
        <v>19.149999999999999</v>
      </c>
      <c r="F4229" s="1789">
        <v>8.8999999999999996E-2</v>
      </c>
      <c r="G4229">
        <f t="shared" si="133"/>
        <v>17.440000000000001</v>
      </c>
    </row>
    <row r="4230" spans="1:7" ht="12.75" customHeight="1">
      <c r="A4230" s="3">
        <v>7313</v>
      </c>
      <c r="B4230" s="4" t="s">
        <v>4253</v>
      </c>
      <c r="C4230" s="3" t="s">
        <v>56</v>
      </c>
      <c r="D4230" s="5">
        <f t="shared" si="132"/>
        <v>20.76</v>
      </c>
      <c r="E4230">
        <v>22.79</v>
      </c>
      <c r="F4230" s="1789">
        <v>8.8999999999999996E-2</v>
      </c>
      <c r="G4230">
        <f t="shared" si="133"/>
        <v>20.76</v>
      </c>
    </row>
    <row r="4231" spans="1:7" ht="12.75" customHeight="1">
      <c r="A4231" s="3">
        <v>7319</v>
      </c>
      <c r="B4231" s="4" t="s">
        <v>4254</v>
      </c>
      <c r="C4231" s="3" t="s">
        <v>56</v>
      </c>
      <c r="D4231" s="5">
        <f t="shared" si="132"/>
        <v>11.87</v>
      </c>
      <c r="E4231">
        <v>13.04</v>
      </c>
      <c r="F4231" s="1789">
        <v>8.8999999999999996E-2</v>
      </c>
      <c r="G4231">
        <f t="shared" si="133"/>
        <v>11.87</v>
      </c>
    </row>
    <row r="4232" spans="1:7" ht="12.75" customHeight="1">
      <c r="A4232" s="3">
        <v>7314</v>
      </c>
      <c r="B4232" s="4" t="s">
        <v>4255</v>
      </c>
      <c r="C4232" s="3" t="s">
        <v>56</v>
      </c>
      <c r="D4232" s="5">
        <f t="shared" si="132"/>
        <v>39.42</v>
      </c>
      <c r="E4232">
        <v>43.28</v>
      </c>
      <c r="F4232" s="1789">
        <v>8.8999999999999996E-2</v>
      </c>
      <c r="G4232">
        <f t="shared" si="133"/>
        <v>39.42</v>
      </c>
    </row>
    <row r="4233" spans="1:7" ht="12.75" customHeight="1">
      <c r="A4233" s="3">
        <v>7304</v>
      </c>
      <c r="B4233" s="4" t="s">
        <v>4256</v>
      </c>
      <c r="C4233" s="3" t="s">
        <v>56</v>
      </c>
      <c r="D4233" s="5">
        <f t="shared" si="132"/>
        <v>63.16</v>
      </c>
      <c r="E4233">
        <v>69.34</v>
      </c>
      <c r="F4233" s="1789">
        <v>8.8999999999999996E-2</v>
      </c>
      <c r="G4233">
        <f t="shared" si="133"/>
        <v>63.16</v>
      </c>
    </row>
    <row r="4234" spans="1:7" ht="12.75" customHeight="1">
      <c r="A4234" s="3">
        <v>43649</v>
      </c>
      <c r="B4234" s="4" t="s">
        <v>4257</v>
      </c>
      <c r="C4234" s="3" t="s">
        <v>56</v>
      </c>
      <c r="D4234" s="5">
        <f t="shared" si="132"/>
        <v>32.659999999999997</v>
      </c>
      <c r="E4234">
        <v>35.86</v>
      </c>
      <c r="F4234" s="1789">
        <v>8.8999999999999996E-2</v>
      </c>
      <c r="G4234">
        <f t="shared" si="133"/>
        <v>32.659999999999997</v>
      </c>
    </row>
    <row r="4235" spans="1:7" ht="12.75" customHeight="1">
      <c r="A4235" s="3">
        <v>43650</v>
      </c>
      <c r="B4235" s="4" t="s">
        <v>4258</v>
      </c>
      <c r="C4235" s="3" t="s">
        <v>56</v>
      </c>
      <c r="D4235" s="5">
        <f t="shared" si="132"/>
        <v>30.87</v>
      </c>
      <c r="E4235">
        <v>33.89</v>
      </c>
      <c r="F4235" s="1789">
        <v>8.8999999999999996E-2</v>
      </c>
      <c r="G4235">
        <f t="shared" si="133"/>
        <v>30.87</v>
      </c>
    </row>
    <row r="4236" spans="1:7" ht="12.75" customHeight="1">
      <c r="A4236" s="3">
        <v>7311</v>
      </c>
      <c r="B4236" s="4" t="s">
        <v>4259</v>
      </c>
      <c r="C4236" s="3" t="s">
        <v>56</v>
      </c>
      <c r="D4236" s="5">
        <f t="shared" si="132"/>
        <v>31.62</v>
      </c>
      <c r="E4236">
        <v>34.71</v>
      </c>
      <c r="F4236" s="1789">
        <v>8.8999999999999996E-2</v>
      </c>
      <c r="G4236">
        <f t="shared" si="133"/>
        <v>31.62</v>
      </c>
    </row>
    <row r="4237" spans="1:7" ht="12.75" customHeight="1">
      <c r="A4237" s="3">
        <v>7292</v>
      </c>
      <c r="B4237" s="4" t="s">
        <v>4260</v>
      </c>
      <c r="C4237" s="3" t="s">
        <v>56</v>
      </c>
      <c r="D4237" s="5">
        <f t="shared" si="132"/>
        <v>30.61</v>
      </c>
      <c r="E4237">
        <v>33.61</v>
      </c>
      <c r="F4237" s="1789">
        <v>8.8999999999999996E-2</v>
      </c>
      <c r="G4237">
        <f t="shared" si="133"/>
        <v>30.61</v>
      </c>
    </row>
    <row r="4238" spans="1:7" ht="12.75" customHeight="1">
      <c r="A4238" s="3">
        <v>7293</v>
      </c>
      <c r="B4238" s="4" t="s">
        <v>4261</v>
      </c>
      <c r="C4238" s="3" t="s">
        <v>56</v>
      </c>
      <c r="D4238" s="5">
        <f t="shared" si="132"/>
        <v>33.869999999999997</v>
      </c>
      <c r="E4238">
        <v>37.18</v>
      </c>
      <c r="F4238" s="1789">
        <v>8.8999999999999996E-2</v>
      </c>
      <c r="G4238">
        <f t="shared" si="133"/>
        <v>33.869999999999997</v>
      </c>
    </row>
    <row r="4239" spans="1:7" ht="12.75" customHeight="1">
      <c r="A4239" s="3">
        <v>7306</v>
      </c>
      <c r="B4239" s="4" t="s">
        <v>4262</v>
      </c>
      <c r="C4239" s="3" t="s">
        <v>56</v>
      </c>
      <c r="D4239" s="5">
        <f t="shared" si="132"/>
        <v>37.369999999999997</v>
      </c>
      <c r="E4239">
        <v>41.03</v>
      </c>
      <c r="F4239" s="1789">
        <v>8.8999999999999996E-2</v>
      </c>
      <c r="G4239">
        <f t="shared" si="133"/>
        <v>37.369999999999997</v>
      </c>
    </row>
    <row r="4240" spans="1:7" ht="12.75" customHeight="1">
      <c r="A4240" s="3">
        <v>7288</v>
      </c>
      <c r="B4240" s="4" t="s">
        <v>4263</v>
      </c>
      <c r="C4240" s="3" t="s">
        <v>56</v>
      </c>
      <c r="D4240" s="5">
        <f t="shared" si="132"/>
        <v>31.03</v>
      </c>
      <c r="E4240">
        <v>34.07</v>
      </c>
      <c r="F4240" s="1789">
        <v>8.8999999999999996E-2</v>
      </c>
      <c r="G4240">
        <f t="shared" si="133"/>
        <v>31.03</v>
      </c>
    </row>
    <row r="4241" spans="1:7" ht="12.75" customHeight="1">
      <c r="A4241" s="3">
        <v>43625</v>
      </c>
      <c r="B4241" s="4" t="s">
        <v>4264</v>
      </c>
      <c r="C4241" s="3" t="s">
        <v>56</v>
      </c>
      <c r="D4241" s="5">
        <f t="shared" si="132"/>
        <v>25.06</v>
      </c>
      <c r="E4241">
        <v>27.51</v>
      </c>
      <c r="F4241" s="1789">
        <v>8.8999999999999996E-2</v>
      </c>
      <c r="G4241">
        <f t="shared" si="133"/>
        <v>25.06</v>
      </c>
    </row>
    <row r="4242" spans="1:7" ht="12.75" customHeight="1">
      <c r="A4242" s="3">
        <v>43647</v>
      </c>
      <c r="B4242" s="4" t="s">
        <v>4265</v>
      </c>
      <c r="C4242" s="3" t="s">
        <v>56</v>
      </c>
      <c r="D4242" s="5">
        <f t="shared" si="132"/>
        <v>22.76</v>
      </c>
      <c r="E4242">
        <v>24.99</v>
      </c>
      <c r="F4242" s="1789">
        <v>8.8999999999999996E-2</v>
      </c>
      <c r="G4242">
        <f t="shared" si="133"/>
        <v>22.76</v>
      </c>
    </row>
    <row r="4243" spans="1:7" ht="12.75" customHeight="1">
      <c r="A4243" s="3">
        <v>43648</v>
      </c>
      <c r="B4243" s="4" t="s">
        <v>4266</v>
      </c>
      <c r="C4243" s="3" t="s">
        <v>56</v>
      </c>
      <c r="D4243" s="5">
        <f t="shared" si="132"/>
        <v>21.96</v>
      </c>
      <c r="E4243">
        <v>24.11</v>
      </c>
      <c r="F4243" s="1789">
        <v>8.8999999999999996E-2</v>
      </c>
      <c r="G4243">
        <f t="shared" si="133"/>
        <v>21.96</v>
      </c>
    </row>
    <row r="4244" spans="1:7" ht="12.75" customHeight="1">
      <c r="A4244" s="3">
        <v>35693</v>
      </c>
      <c r="B4244" s="4" t="s">
        <v>4267</v>
      </c>
      <c r="C4244" s="3" t="s">
        <v>56</v>
      </c>
      <c r="D4244" s="5">
        <f t="shared" si="132"/>
        <v>10.85</v>
      </c>
      <c r="E4244">
        <v>11.91</v>
      </c>
      <c r="F4244" s="1789">
        <v>8.8999999999999996E-2</v>
      </c>
      <c r="G4244">
        <f t="shared" si="133"/>
        <v>10.85</v>
      </c>
    </row>
    <row r="4245" spans="1:7" ht="12.75" customHeight="1">
      <c r="A4245" s="3">
        <v>7356</v>
      </c>
      <c r="B4245" s="4" t="s">
        <v>4268</v>
      </c>
      <c r="C4245" s="3" t="s">
        <v>56</v>
      </c>
      <c r="D4245" s="5">
        <f t="shared" si="132"/>
        <v>26.01</v>
      </c>
      <c r="E4245">
        <v>28.56</v>
      </c>
      <c r="F4245" s="1789">
        <v>8.8999999999999996E-2</v>
      </c>
      <c r="G4245">
        <f t="shared" si="133"/>
        <v>26.01</v>
      </c>
    </row>
    <row r="4246" spans="1:7" ht="12.75" customHeight="1">
      <c r="A4246" s="3">
        <v>35692</v>
      </c>
      <c r="B4246" s="4" t="s">
        <v>4269</v>
      </c>
      <c r="C4246" s="3" t="s">
        <v>56</v>
      </c>
      <c r="D4246" s="5">
        <f t="shared" si="132"/>
        <v>17.02</v>
      </c>
      <c r="E4246">
        <v>18.690000000000001</v>
      </c>
      <c r="F4246" s="1789">
        <v>8.8999999999999996E-2</v>
      </c>
      <c r="G4246">
        <f t="shared" si="133"/>
        <v>17.02</v>
      </c>
    </row>
    <row r="4247" spans="1:7" ht="12.75" customHeight="1">
      <c r="A4247" s="3">
        <v>43624</v>
      </c>
      <c r="B4247" s="4" t="s">
        <v>4270</v>
      </c>
      <c r="C4247" s="3" t="s">
        <v>56</v>
      </c>
      <c r="D4247" s="5">
        <f t="shared" si="132"/>
        <v>31.71</v>
      </c>
      <c r="E4247">
        <v>34.81</v>
      </c>
      <c r="F4247" s="1789">
        <v>8.8999999999999996E-2</v>
      </c>
      <c r="G4247">
        <f t="shared" si="133"/>
        <v>31.71</v>
      </c>
    </row>
    <row r="4248" spans="1:7" ht="12.75" customHeight="1">
      <c r="A4248" s="3">
        <v>7342</v>
      </c>
      <c r="B4248" s="4" t="s">
        <v>4271</v>
      </c>
      <c r="C4248" s="3" t="s">
        <v>54</v>
      </c>
      <c r="D4248" s="5">
        <f t="shared" si="132"/>
        <v>2.27</v>
      </c>
      <c r="E4248">
        <v>2.5</v>
      </c>
      <c r="F4248" s="1789">
        <v>8.8999999999999996E-2</v>
      </c>
      <c r="G4248">
        <f t="shared" si="133"/>
        <v>2.27</v>
      </c>
    </row>
    <row r="4249" spans="1:7" ht="12.75" customHeight="1">
      <c r="A4249" s="3">
        <v>7350</v>
      </c>
      <c r="B4249" s="4" t="s">
        <v>4272</v>
      </c>
      <c r="C4249" s="3" t="s">
        <v>56</v>
      </c>
      <c r="D4249" s="5">
        <f t="shared" si="132"/>
        <v>37.549999999999997</v>
      </c>
      <c r="E4249">
        <v>41.22</v>
      </c>
      <c r="F4249" s="1789">
        <v>8.8999999999999996E-2</v>
      </c>
      <c r="G4249">
        <f t="shared" si="133"/>
        <v>37.549999999999997</v>
      </c>
    </row>
    <row r="4250" spans="1:7" ht="12.75" customHeight="1">
      <c r="A4250" s="3">
        <v>39574</v>
      </c>
      <c r="B4250" s="4" t="s">
        <v>4273</v>
      </c>
      <c r="C4250" s="3" t="s">
        <v>6</v>
      </c>
      <c r="D4250" s="5">
        <f t="shared" si="132"/>
        <v>3.56</v>
      </c>
      <c r="E4250">
        <v>3.91</v>
      </c>
      <c r="F4250" s="1789">
        <v>8.8999999999999996E-2</v>
      </c>
      <c r="G4250">
        <f t="shared" si="133"/>
        <v>3.56</v>
      </c>
    </row>
    <row r="4251" spans="1:7" ht="12.75" customHeight="1">
      <c r="A4251" s="3">
        <v>11060</v>
      </c>
      <c r="B4251" s="4" t="s">
        <v>4274</v>
      </c>
      <c r="C4251" s="3" t="s">
        <v>6</v>
      </c>
      <c r="D4251" s="5">
        <f t="shared" si="132"/>
        <v>39.29</v>
      </c>
      <c r="E4251">
        <v>43.13</v>
      </c>
      <c r="F4251" s="1789">
        <v>8.8999999999999996E-2</v>
      </c>
      <c r="G4251">
        <f t="shared" si="133"/>
        <v>39.29</v>
      </c>
    </row>
    <row r="4252" spans="1:7" ht="12.75" customHeight="1">
      <c r="A4252" s="3">
        <v>37401</v>
      </c>
      <c r="B4252" s="4" t="s">
        <v>4275</v>
      </c>
      <c r="C4252" s="3" t="s">
        <v>6</v>
      </c>
      <c r="D4252" s="5">
        <f t="shared" si="132"/>
        <v>45.51</v>
      </c>
      <c r="E4252">
        <v>49.96</v>
      </c>
      <c r="F4252" s="1789">
        <v>8.8999999999999996E-2</v>
      </c>
      <c r="G4252">
        <f t="shared" si="133"/>
        <v>45.51</v>
      </c>
    </row>
    <row r="4253" spans="1:7" ht="12.75" customHeight="1">
      <c r="A4253" s="3">
        <v>7525</v>
      </c>
      <c r="B4253" s="4" t="s">
        <v>4276</v>
      </c>
      <c r="C4253" s="3" t="s">
        <v>6</v>
      </c>
      <c r="D4253" s="5">
        <f t="shared" si="132"/>
        <v>39.1</v>
      </c>
      <c r="E4253">
        <v>42.93</v>
      </c>
      <c r="F4253" s="1789">
        <v>8.8999999999999996E-2</v>
      </c>
      <c r="G4253">
        <f t="shared" si="133"/>
        <v>39.1</v>
      </c>
    </row>
    <row r="4254" spans="1:7" ht="12.75" customHeight="1">
      <c r="A4254" s="3">
        <v>7524</v>
      </c>
      <c r="B4254" s="4" t="s">
        <v>4277</v>
      </c>
      <c r="C4254" s="3" t="s">
        <v>6</v>
      </c>
      <c r="D4254" s="5">
        <f t="shared" si="132"/>
        <v>36.85</v>
      </c>
      <c r="E4254">
        <v>40.46</v>
      </c>
      <c r="F4254" s="1789">
        <v>8.8999999999999996E-2</v>
      </c>
      <c r="G4254">
        <f t="shared" si="133"/>
        <v>36.85</v>
      </c>
    </row>
    <row r="4255" spans="1:7" ht="12.75" customHeight="1">
      <c r="A4255" s="3">
        <v>38105</v>
      </c>
      <c r="B4255" s="4" t="s">
        <v>4278</v>
      </c>
      <c r="C4255" s="3" t="s">
        <v>6</v>
      </c>
      <c r="D4255" s="5">
        <f t="shared" si="132"/>
        <v>9.4600000000000009</v>
      </c>
      <c r="E4255">
        <v>10.39</v>
      </c>
      <c r="F4255" s="1789">
        <v>8.8999999999999996E-2</v>
      </c>
      <c r="G4255">
        <f t="shared" si="133"/>
        <v>9.4600000000000009</v>
      </c>
    </row>
    <row r="4256" spans="1:7" ht="12.75" customHeight="1">
      <c r="A4256" s="3">
        <v>38084</v>
      </c>
      <c r="B4256" s="4" t="s">
        <v>4279</v>
      </c>
      <c r="C4256" s="3" t="s">
        <v>6</v>
      </c>
      <c r="D4256" s="5">
        <f t="shared" si="132"/>
        <v>13.44</v>
      </c>
      <c r="E4256">
        <v>14.76</v>
      </c>
      <c r="F4256" s="1789">
        <v>8.8999999999999996E-2</v>
      </c>
      <c r="G4256">
        <f t="shared" si="133"/>
        <v>13.44</v>
      </c>
    </row>
    <row r="4257" spans="1:7" ht="12.75" customHeight="1">
      <c r="A4257" s="3">
        <v>38103</v>
      </c>
      <c r="B4257" s="4" t="s">
        <v>4280</v>
      </c>
      <c r="C4257" s="3" t="s">
        <v>6</v>
      </c>
      <c r="D4257" s="5">
        <f t="shared" si="132"/>
        <v>14.21</v>
      </c>
      <c r="E4257">
        <v>15.6</v>
      </c>
      <c r="F4257" s="1789">
        <v>8.8999999999999996E-2</v>
      </c>
      <c r="G4257">
        <f t="shared" si="133"/>
        <v>14.21</v>
      </c>
    </row>
    <row r="4258" spans="1:7" ht="12.75" customHeight="1">
      <c r="A4258" s="3">
        <v>38082</v>
      </c>
      <c r="B4258" s="4" t="s">
        <v>4281</v>
      </c>
      <c r="C4258" s="3" t="s">
        <v>6</v>
      </c>
      <c r="D4258" s="5">
        <f t="shared" si="132"/>
        <v>17.5</v>
      </c>
      <c r="E4258">
        <v>19.22</v>
      </c>
      <c r="F4258" s="1789">
        <v>8.8999999999999996E-2</v>
      </c>
      <c r="G4258">
        <f t="shared" si="133"/>
        <v>17.5</v>
      </c>
    </row>
    <row r="4259" spans="1:7" ht="12.75" customHeight="1">
      <c r="A4259" s="3">
        <v>38104</v>
      </c>
      <c r="B4259" s="4" t="s">
        <v>4282</v>
      </c>
      <c r="C4259" s="3" t="s">
        <v>6</v>
      </c>
      <c r="D4259" s="5">
        <f t="shared" si="132"/>
        <v>27.83</v>
      </c>
      <c r="E4259">
        <v>30.55</v>
      </c>
      <c r="F4259" s="1789">
        <v>8.8999999999999996E-2</v>
      </c>
      <c r="G4259">
        <f t="shared" si="133"/>
        <v>27.83</v>
      </c>
    </row>
    <row r="4260" spans="1:7" ht="12.75" customHeight="1">
      <c r="A4260" s="3">
        <v>38083</v>
      </c>
      <c r="B4260" s="4" t="s">
        <v>4283</v>
      </c>
      <c r="C4260" s="3" t="s">
        <v>6</v>
      </c>
      <c r="D4260" s="5">
        <f t="shared" si="132"/>
        <v>30.9</v>
      </c>
      <c r="E4260">
        <v>33.92</v>
      </c>
      <c r="F4260" s="1789">
        <v>8.8999999999999996E-2</v>
      </c>
      <c r="G4260">
        <f t="shared" si="133"/>
        <v>30.9</v>
      </c>
    </row>
    <row r="4261" spans="1:7" ht="12.75" customHeight="1">
      <c r="A4261" s="3">
        <v>38101</v>
      </c>
      <c r="B4261" s="4" t="s">
        <v>4284</v>
      </c>
      <c r="C4261" s="3" t="s">
        <v>6</v>
      </c>
      <c r="D4261" s="5">
        <f t="shared" si="132"/>
        <v>6.75</v>
      </c>
      <c r="E4261">
        <v>7.42</v>
      </c>
      <c r="F4261" s="1789">
        <v>8.8999999999999996E-2</v>
      </c>
      <c r="G4261">
        <f t="shared" si="133"/>
        <v>6.75</v>
      </c>
    </row>
    <row r="4262" spans="1:7" ht="12.75" customHeight="1">
      <c r="A4262" s="3">
        <v>7528</v>
      </c>
      <c r="B4262" s="4" t="s">
        <v>4285</v>
      </c>
      <c r="C4262" s="3" t="s">
        <v>6</v>
      </c>
      <c r="D4262" s="5">
        <f t="shared" si="132"/>
        <v>7.94</v>
      </c>
      <c r="E4262">
        <v>8.7200000000000006</v>
      </c>
      <c r="F4262" s="1789">
        <v>8.8999999999999996E-2</v>
      </c>
      <c r="G4262">
        <f t="shared" si="133"/>
        <v>7.94</v>
      </c>
    </row>
    <row r="4263" spans="1:7" ht="12.75" customHeight="1">
      <c r="A4263" s="3">
        <v>12147</v>
      </c>
      <c r="B4263" s="4" t="s">
        <v>4286</v>
      </c>
      <c r="C4263" s="3" t="s">
        <v>6</v>
      </c>
      <c r="D4263" s="5">
        <f t="shared" si="132"/>
        <v>12.1</v>
      </c>
      <c r="E4263">
        <v>13.29</v>
      </c>
      <c r="F4263" s="1789">
        <v>8.8999999999999996E-2</v>
      </c>
      <c r="G4263">
        <f t="shared" si="133"/>
        <v>12.1</v>
      </c>
    </row>
    <row r="4264" spans="1:7" ht="12.75" customHeight="1">
      <c r="A4264" s="3">
        <v>38075</v>
      </c>
      <c r="B4264" s="4" t="s">
        <v>4287</v>
      </c>
      <c r="C4264" s="3" t="s">
        <v>6</v>
      </c>
      <c r="D4264" s="5">
        <f t="shared" si="132"/>
        <v>13.75</v>
      </c>
      <c r="E4264">
        <v>15.1</v>
      </c>
      <c r="F4264" s="1789">
        <v>8.8999999999999996E-2</v>
      </c>
      <c r="G4264">
        <f t="shared" si="133"/>
        <v>13.75</v>
      </c>
    </row>
    <row r="4265" spans="1:7" ht="12.75" customHeight="1">
      <c r="A4265" s="3">
        <v>38102</v>
      </c>
      <c r="B4265" s="4" t="s">
        <v>4288</v>
      </c>
      <c r="C4265" s="3" t="s">
        <v>6</v>
      </c>
      <c r="D4265" s="5">
        <f t="shared" si="132"/>
        <v>8.64</v>
      </c>
      <c r="E4265">
        <v>9.49</v>
      </c>
      <c r="F4265" s="1789">
        <v>8.8999999999999996E-2</v>
      </c>
      <c r="G4265">
        <f t="shared" si="133"/>
        <v>8.64</v>
      </c>
    </row>
    <row r="4266" spans="1:7" ht="12.75" customHeight="1">
      <c r="A4266" s="3">
        <v>38076</v>
      </c>
      <c r="B4266" s="4" t="s">
        <v>4289</v>
      </c>
      <c r="C4266" s="3" t="s">
        <v>6</v>
      </c>
      <c r="D4266" s="5">
        <f t="shared" si="132"/>
        <v>15.42</v>
      </c>
      <c r="E4266">
        <v>16.93</v>
      </c>
      <c r="F4266" s="1789">
        <v>8.8999999999999996E-2</v>
      </c>
      <c r="G4266">
        <f t="shared" si="133"/>
        <v>15.42</v>
      </c>
    </row>
    <row r="4267" spans="1:7" ht="12.75" customHeight="1">
      <c r="A4267" s="3">
        <v>7592</v>
      </c>
      <c r="B4267" s="4" t="s">
        <v>4290</v>
      </c>
      <c r="C4267" s="3" t="s">
        <v>154</v>
      </c>
      <c r="D4267" s="5">
        <f t="shared" si="132"/>
        <v>18.02</v>
      </c>
      <c r="E4267">
        <v>19.79</v>
      </c>
      <c r="F4267" s="1789">
        <v>8.8999999999999996E-2</v>
      </c>
      <c r="G4267">
        <f t="shared" si="133"/>
        <v>18.02</v>
      </c>
    </row>
    <row r="4268" spans="1:7" ht="12.75" customHeight="1">
      <c r="A4268" s="3">
        <v>40820</v>
      </c>
      <c r="B4268" s="4" t="s">
        <v>4291</v>
      </c>
      <c r="C4268" s="3" t="s">
        <v>156</v>
      </c>
      <c r="D4268" s="5">
        <f t="shared" si="132"/>
        <v>3172.4</v>
      </c>
      <c r="E4268">
        <v>3482.33</v>
      </c>
      <c r="F4268" s="1789">
        <v>8.8999999999999996E-2</v>
      </c>
      <c r="G4268">
        <f t="shared" si="133"/>
        <v>3172.4</v>
      </c>
    </row>
    <row r="4269" spans="1:7" ht="12.75" customHeight="1">
      <c r="A4269" s="3">
        <v>11826</v>
      </c>
      <c r="B4269" s="4" t="s">
        <v>4292</v>
      </c>
      <c r="C4269" s="3" t="s">
        <v>6</v>
      </c>
      <c r="D4269" s="5">
        <f t="shared" si="132"/>
        <v>50.8</v>
      </c>
      <c r="E4269">
        <v>55.77</v>
      </c>
      <c r="F4269" s="1789">
        <v>8.8999999999999996E-2</v>
      </c>
      <c r="G4269">
        <f t="shared" si="133"/>
        <v>50.8</v>
      </c>
    </row>
    <row r="4270" spans="1:7" ht="12.75" customHeight="1">
      <c r="A4270" s="3">
        <v>7606</v>
      </c>
      <c r="B4270" s="4" t="s">
        <v>4293</v>
      </c>
      <c r="C4270" s="3" t="s">
        <v>6</v>
      </c>
      <c r="D4270" s="5">
        <f t="shared" si="132"/>
        <v>61.1</v>
      </c>
      <c r="E4270">
        <v>67.069999999999993</v>
      </c>
      <c r="F4270" s="1789">
        <v>8.8999999999999996E-2</v>
      </c>
      <c r="G4270">
        <f t="shared" si="133"/>
        <v>61.1</v>
      </c>
    </row>
    <row r="4271" spans="1:7" ht="12.75" customHeight="1">
      <c r="A4271" s="3">
        <v>11763</v>
      </c>
      <c r="B4271" s="4" t="s">
        <v>4294</v>
      </c>
      <c r="C4271" s="3" t="s">
        <v>6</v>
      </c>
      <c r="D4271" s="5">
        <f t="shared" si="132"/>
        <v>133.41999999999999</v>
      </c>
      <c r="E4271">
        <v>146.46</v>
      </c>
      <c r="F4271" s="1789">
        <v>8.8999999999999996E-2</v>
      </c>
      <c r="G4271">
        <f t="shared" si="133"/>
        <v>133.41999999999999</v>
      </c>
    </row>
    <row r="4272" spans="1:7" ht="12.75" customHeight="1">
      <c r="A4272" s="3">
        <v>11764</v>
      </c>
      <c r="B4272" s="4" t="s">
        <v>4295</v>
      </c>
      <c r="C4272" s="3" t="s">
        <v>6</v>
      </c>
      <c r="D4272" s="5">
        <f t="shared" si="132"/>
        <v>109.47</v>
      </c>
      <c r="E4272">
        <v>120.17</v>
      </c>
      <c r="F4272" s="1789">
        <v>8.8999999999999996E-2</v>
      </c>
      <c r="G4272">
        <f t="shared" si="133"/>
        <v>109.47</v>
      </c>
    </row>
    <row r="4273" spans="1:7" ht="12.75" customHeight="1">
      <c r="A4273" s="3">
        <v>11829</v>
      </c>
      <c r="B4273" s="4" t="s">
        <v>4296</v>
      </c>
      <c r="C4273" s="3" t="s">
        <v>6</v>
      </c>
      <c r="D4273" s="5">
        <f t="shared" si="132"/>
        <v>26.45</v>
      </c>
      <c r="E4273">
        <v>29.04</v>
      </c>
      <c r="F4273" s="1789">
        <v>8.8999999999999996E-2</v>
      </c>
      <c r="G4273">
        <f t="shared" si="133"/>
        <v>26.45</v>
      </c>
    </row>
    <row r="4274" spans="1:7" ht="12.75" customHeight="1">
      <c r="A4274" s="3">
        <v>11830</v>
      </c>
      <c r="B4274" s="4" t="s">
        <v>4297</v>
      </c>
      <c r="C4274" s="3" t="s">
        <v>6</v>
      </c>
      <c r="D4274" s="5">
        <f t="shared" si="132"/>
        <v>28.56</v>
      </c>
      <c r="E4274">
        <v>31.36</v>
      </c>
      <c r="F4274" s="1789">
        <v>8.8999999999999996E-2</v>
      </c>
      <c r="G4274">
        <f t="shared" si="133"/>
        <v>28.56</v>
      </c>
    </row>
    <row r="4275" spans="1:7" ht="12.75" customHeight="1">
      <c r="A4275" s="3">
        <v>11825</v>
      </c>
      <c r="B4275" s="4" t="s">
        <v>4298</v>
      </c>
      <c r="C4275" s="3" t="s">
        <v>6</v>
      </c>
      <c r="D4275" s="5">
        <f t="shared" si="132"/>
        <v>64.27</v>
      </c>
      <c r="E4275">
        <v>70.55</v>
      </c>
      <c r="F4275" s="1789">
        <v>8.8999999999999996E-2</v>
      </c>
      <c r="G4275">
        <f t="shared" si="133"/>
        <v>64.27</v>
      </c>
    </row>
    <row r="4276" spans="1:7" ht="12.75" customHeight="1">
      <c r="A4276" s="3">
        <v>11767</v>
      </c>
      <c r="B4276" s="4" t="s">
        <v>4299</v>
      </c>
      <c r="C4276" s="3" t="s">
        <v>6</v>
      </c>
      <c r="D4276" s="5">
        <f t="shared" si="132"/>
        <v>171.19</v>
      </c>
      <c r="E4276">
        <v>187.92</v>
      </c>
      <c r="F4276" s="1789">
        <v>8.8999999999999996E-2</v>
      </c>
      <c r="G4276">
        <f t="shared" si="133"/>
        <v>171.19</v>
      </c>
    </row>
    <row r="4277" spans="1:7" ht="12.75" customHeight="1">
      <c r="A4277" s="3">
        <v>11766</v>
      </c>
      <c r="B4277" s="4" t="s">
        <v>4300</v>
      </c>
      <c r="C4277" s="3" t="s">
        <v>6</v>
      </c>
      <c r="D4277" s="5">
        <f t="shared" si="132"/>
        <v>39.9</v>
      </c>
      <c r="E4277">
        <v>43.8</v>
      </c>
      <c r="F4277" s="1789">
        <v>8.8999999999999996E-2</v>
      </c>
      <c r="G4277">
        <f t="shared" si="133"/>
        <v>39.9</v>
      </c>
    </row>
    <row r="4278" spans="1:7" ht="12.75" customHeight="1">
      <c r="A4278" s="3">
        <v>11765</v>
      </c>
      <c r="B4278" s="4" t="s">
        <v>4301</v>
      </c>
      <c r="C4278" s="3" t="s">
        <v>6</v>
      </c>
      <c r="D4278" s="5">
        <f t="shared" si="132"/>
        <v>72.95</v>
      </c>
      <c r="E4278">
        <v>80.08</v>
      </c>
      <c r="F4278" s="1789">
        <v>8.8999999999999996E-2</v>
      </c>
      <c r="G4278">
        <f t="shared" si="133"/>
        <v>72.95</v>
      </c>
    </row>
    <row r="4279" spans="1:7" ht="12.75" customHeight="1">
      <c r="A4279" s="3">
        <v>11824</v>
      </c>
      <c r="B4279" s="4" t="s">
        <v>4302</v>
      </c>
      <c r="C4279" s="3" t="s">
        <v>6</v>
      </c>
      <c r="D4279" s="5">
        <f t="shared" si="132"/>
        <v>46.93</v>
      </c>
      <c r="E4279">
        <v>51.52</v>
      </c>
      <c r="F4279" s="1789">
        <v>8.8999999999999996E-2</v>
      </c>
      <c r="G4279">
        <f t="shared" si="133"/>
        <v>46.93</v>
      </c>
    </row>
    <row r="4280" spans="1:7" ht="12.75" customHeight="1">
      <c r="A4280" s="3">
        <v>44045</v>
      </c>
      <c r="B4280" s="4" t="s">
        <v>4303</v>
      </c>
      <c r="C4280" s="3" t="s">
        <v>6</v>
      </c>
      <c r="D4280" s="5">
        <f t="shared" si="132"/>
        <v>325.63</v>
      </c>
      <c r="E4280">
        <v>357.45</v>
      </c>
      <c r="F4280" s="1789">
        <v>8.8999999999999996E-2</v>
      </c>
      <c r="G4280">
        <f t="shared" si="133"/>
        <v>325.63</v>
      </c>
    </row>
    <row r="4281" spans="1:7" ht="12.75" customHeight="1">
      <c r="A4281" s="3">
        <v>39702</v>
      </c>
      <c r="B4281" s="4" t="s">
        <v>4304</v>
      </c>
      <c r="C4281" s="3" t="s">
        <v>6</v>
      </c>
      <c r="D4281" s="5">
        <f t="shared" si="132"/>
        <v>2162.6999999999998</v>
      </c>
      <c r="E4281">
        <v>2373.9899999999998</v>
      </c>
      <c r="F4281" s="1789">
        <v>8.8999999999999996E-2</v>
      </c>
      <c r="G4281">
        <f t="shared" si="133"/>
        <v>2162.6999999999998</v>
      </c>
    </row>
    <row r="4282" spans="1:7" ht="12.75" customHeight="1">
      <c r="A4282" s="3">
        <v>13415</v>
      </c>
      <c r="B4282" s="4" t="s">
        <v>4305</v>
      </c>
      <c r="C4282" s="3" t="s">
        <v>6</v>
      </c>
      <c r="D4282" s="5">
        <f t="shared" si="132"/>
        <v>71</v>
      </c>
      <c r="E4282">
        <v>77.94</v>
      </c>
      <c r="F4282" s="1789">
        <v>8.8999999999999996E-2</v>
      </c>
      <c r="G4282">
        <f t="shared" si="133"/>
        <v>71</v>
      </c>
    </row>
    <row r="4283" spans="1:7" ht="12.75" customHeight="1">
      <c r="A4283" s="3">
        <v>7602</v>
      </c>
      <c r="B4283" s="4" t="s">
        <v>4306</v>
      </c>
      <c r="C4283" s="3" t="s">
        <v>6</v>
      </c>
      <c r="D4283" s="5">
        <f t="shared" si="132"/>
        <v>45.3</v>
      </c>
      <c r="E4283">
        <v>49.73</v>
      </c>
      <c r="F4283" s="1789">
        <v>8.8999999999999996E-2</v>
      </c>
      <c r="G4283">
        <f t="shared" si="133"/>
        <v>45.3</v>
      </c>
    </row>
    <row r="4284" spans="1:7" ht="12.75" customHeight="1">
      <c r="A4284" s="3">
        <v>7603</v>
      </c>
      <c r="B4284" s="4" t="s">
        <v>4307</v>
      </c>
      <c r="C4284" s="3" t="s">
        <v>6</v>
      </c>
      <c r="D4284" s="5">
        <f t="shared" si="132"/>
        <v>38.43</v>
      </c>
      <c r="E4284">
        <v>42.19</v>
      </c>
      <c r="F4284" s="1789">
        <v>8.8999999999999996E-2</v>
      </c>
      <c r="G4284">
        <f t="shared" si="133"/>
        <v>38.43</v>
      </c>
    </row>
    <row r="4285" spans="1:7" ht="12.75" customHeight="1">
      <c r="A4285" s="3">
        <v>11777</v>
      </c>
      <c r="B4285" s="4" t="s">
        <v>4308</v>
      </c>
      <c r="C4285" s="3" t="s">
        <v>6</v>
      </c>
      <c r="D4285" s="5">
        <f t="shared" si="132"/>
        <v>185.48</v>
      </c>
      <c r="E4285">
        <v>203.61</v>
      </c>
      <c r="F4285" s="1789">
        <v>8.8999999999999996E-2</v>
      </c>
      <c r="G4285">
        <f t="shared" si="133"/>
        <v>185.48</v>
      </c>
    </row>
    <row r="4286" spans="1:7" ht="12.75" customHeight="1">
      <c r="A4286" s="3">
        <v>13417</v>
      </c>
      <c r="B4286" s="4" t="s">
        <v>4309</v>
      </c>
      <c r="C4286" s="3" t="s">
        <v>6</v>
      </c>
      <c r="D4286" s="5">
        <f t="shared" si="132"/>
        <v>92.47</v>
      </c>
      <c r="E4286">
        <v>101.51</v>
      </c>
      <c r="F4286" s="1789">
        <v>8.8999999999999996E-2</v>
      </c>
      <c r="G4286">
        <f t="shared" si="133"/>
        <v>92.47</v>
      </c>
    </row>
    <row r="4287" spans="1:7" ht="12.75" customHeight="1">
      <c r="A4287" s="3">
        <v>36791</v>
      </c>
      <c r="B4287" s="4" t="s">
        <v>4310</v>
      </c>
      <c r="C4287" s="3" t="s">
        <v>6</v>
      </c>
      <c r="D4287" s="5">
        <f t="shared" si="132"/>
        <v>138.79</v>
      </c>
      <c r="E4287">
        <v>152.35</v>
      </c>
      <c r="F4287" s="1789">
        <v>8.8999999999999996E-2</v>
      </c>
      <c r="G4287">
        <f t="shared" si="133"/>
        <v>138.79</v>
      </c>
    </row>
    <row r="4288" spans="1:7" ht="12.75" customHeight="1">
      <c r="A4288" s="3">
        <v>36795</v>
      </c>
      <c r="B4288" s="4" t="s">
        <v>4311</v>
      </c>
      <c r="C4288" s="3" t="s">
        <v>6</v>
      </c>
      <c r="D4288" s="5">
        <f t="shared" si="132"/>
        <v>1754.84</v>
      </c>
      <c r="E4288">
        <v>1926.28</v>
      </c>
      <c r="F4288" s="1789">
        <v>8.8999999999999996E-2</v>
      </c>
      <c r="G4288">
        <f t="shared" si="133"/>
        <v>1754.84</v>
      </c>
    </row>
    <row r="4289" spans="1:7" ht="12.75" customHeight="1">
      <c r="A4289" s="3">
        <v>36796</v>
      </c>
      <c r="B4289" s="4" t="s">
        <v>4312</v>
      </c>
      <c r="C4289" s="3" t="s">
        <v>6</v>
      </c>
      <c r="D4289" s="5">
        <f t="shared" si="132"/>
        <v>145.82</v>
      </c>
      <c r="E4289">
        <v>160.07</v>
      </c>
      <c r="F4289" s="1789">
        <v>8.8999999999999996E-2</v>
      </c>
      <c r="G4289">
        <f t="shared" si="133"/>
        <v>145.82</v>
      </c>
    </row>
    <row r="4290" spans="1:7" ht="12.75" customHeight="1">
      <c r="A4290" s="3">
        <v>36792</v>
      </c>
      <c r="B4290" s="4" t="s">
        <v>4313</v>
      </c>
      <c r="C4290" s="3" t="s">
        <v>6</v>
      </c>
      <c r="D4290" s="5">
        <f t="shared" si="132"/>
        <v>184.72</v>
      </c>
      <c r="E4290">
        <v>202.77</v>
      </c>
      <c r="F4290" s="1789">
        <v>8.8999999999999996E-2</v>
      </c>
      <c r="G4290">
        <f t="shared" si="133"/>
        <v>184.72</v>
      </c>
    </row>
    <row r="4291" spans="1:7" ht="12.75" customHeight="1">
      <c r="A4291" s="3">
        <v>11773</v>
      </c>
      <c r="B4291" s="4" t="s">
        <v>4314</v>
      </c>
      <c r="C4291" s="3" t="s">
        <v>6</v>
      </c>
      <c r="D4291" s="5">
        <f t="shared" ref="D4291:D4354" si="134">G4291</f>
        <v>122.96</v>
      </c>
      <c r="E4291">
        <v>134.97999999999999</v>
      </c>
      <c r="F4291" s="1789">
        <v>8.8999999999999996E-2</v>
      </c>
      <c r="G4291">
        <f t="shared" ref="G4291:G4354" si="135">TRUNC((1-F4291)*E4291,2)</f>
        <v>122.96</v>
      </c>
    </row>
    <row r="4292" spans="1:7" ht="12.75" customHeight="1">
      <c r="A4292" s="3">
        <v>11762</v>
      </c>
      <c r="B4292" s="4" t="s">
        <v>4315</v>
      </c>
      <c r="C4292" s="3" t="s">
        <v>6</v>
      </c>
      <c r="D4292" s="5">
        <f t="shared" si="134"/>
        <v>58.32</v>
      </c>
      <c r="E4292">
        <v>64.02</v>
      </c>
      <c r="F4292" s="1789">
        <v>8.8999999999999996E-2</v>
      </c>
      <c r="G4292">
        <f t="shared" si="135"/>
        <v>58.32</v>
      </c>
    </row>
    <row r="4293" spans="1:7" ht="12.75" customHeight="1">
      <c r="A4293" s="3">
        <v>7604</v>
      </c>
      <c r="B4293" s="4" t="s">
        <v>4316</v>
      </c>
      <c r="C4293" s="3" t="s">
        <v>6</v>
      </c>
      <c r="D4293" s="5">
        <f t="shared" si="134"/>
        <v>49.38</v>
      </c>
      <c r="E4293">
        <v>54.21</v>
      </c>
      <c r="F4293" s="1789">
        <v>8.8999999999999996E-2</v>
      </c>
      <c r="G4293">
        <f t="shared" si="135"/>
        <v>49.38</v>
      </c>
    </row>
    <row r="4294" spans="1:7" ht="12.75" customHeight="1">
      <c r="A4294" s="3">
        <v>13984</v>
      </c>
      <c r="B4294" s="4" t="s">
        <v>4317</v>
      </c>
      <c r="C4294" s="3" t="s">
        <v>6</v>
      </c>
      <c r="D4294" s="5">
        <f t="shared" si="134"/>
        <v>71.760000000000005</v>
      </c>
      <c r="E4294">
        <v>78.78</v>
      </c>
      <c r="F4294" s="1789">
        <v>8.8999999999999996E-2</v>
      </c>
      <c r="G4294">
        <f t="shared" si="135"/>
        <v>71.760000000000005</v>
      </c>
    </row>
    <row r="4295" spans="1:7" ht="12.75" customHeight="1">
      <c r="A4295" s="3">
        <v>11772</v>
      </c>
      <c r="B4295" s="4" t="s">
        <v>4318</v>
      </c>
      <c r="C4295" s="3" t="s">
        <v>6</v>
      </c>
      <c r="D4295" s="5">
        <f t="shared" si="134"/>
        <v>123.34</v>
      </c>
      <c r="E4295">
        <v>135.4</v>
      </c>
      <c r="F4295" s="1789">
        <v>8.8999999999999996E-2</v>
      </c>
      <c r="G4295">
        <f t="shared" si="135"/>
        <v>123.34</v>
      </c>
    </row>
    <row r="4296" spans="1:7" ht="12.75" customHeight="1">
      <c r="A4296" s="3">
        <v>13983</v>
      </c>
      <c r="B4296" s="4" t="s">
        <v>4319</v>
      </c>
      <c r="C4296" s="3" t="s">
        <v>6</v>
      </c>
      <c r="D4296" s="5">
        <f t="shared" si="134"/>
        <v>93.41</v>
      </c>
      <c r="E4296">
        <v>102.54</v>
      </c>
      <c r="F4296" s="1789">
        <v>8.8999999999999996E-2</v>
      </c>
      <c r="G4296">
        <f t="shared" si="135"/>
        <v>93.41</v>
      </c>
    </row>
    <row r="4297" spans="1:7" ht="12.75" customHeight="1">
      <c r="A4297" s="3">
        <v>13416</v>
      </c>
      <c r="B4297" s="4" t="s">
        <v>4320</v>
      </c>
      <c r="C4297" s="3" t="s">
        <v>6</v>
      </c>
      <c r="D4297" s="5">
        <f t="shared" si="134"/>
        <v>82.97</v>
      </c>
      <c r="E4297">
        <v>91.08</v>
      </c>
      <c r="F4297" s="1789">
        <v>8.8999999999999996E-2</v>
      </c>
      <c r="G4297">
        <f t="shared" si="135"/>
        <v>82.97</v>
      </c>
    </row>
    <row r="4298" spans="1:7" ht="12.75" customHeight="1">
      <c r="A4298" s="3">
        <v>40329</v>
      </c>
      <c r="B4298" s="4" t="s">
        <v>4321</v>
      </c>
      <c r="C4298" s="3" t="s">
        <v>6</v>
      </c>
      <c r="D4298" s="5">
        <f t="shared" si="134"/>
        <v>16.579999999999998</v>
      </c>
      <c r="E4298">
        <v>18.2</v>
      </c>
      <c r="F4298" s="1789">
        <v>8.8999999999999996E-2</v>
      </c>
      <c r="G4298">
        <f t="shared" si="135"/>
        <v>16.579999999999998</v>
      </c>
    </row>
    <row r="4299" spans="1:7" ht="12.75" customHeight="1">
      <c r="A4299" s="3">
        <v>11823</v>
      </c>
      <c r="B4299" s="4" t="s">
        <v>4322</v>
      </c>
      <c r="C4299" s="3" t="s">
        <v>6</v>
      </c>
      <c r="D4299" s="5">
        <f t="shared" si="134"/>
        <v>6.97</v>
      </c>
      <c r="E4299">
        <v>7.66</v>
      </c>
      <c r="F4299" s="1789">
        <v>8.8999999999999996E-2</v>
      </c>
      <c r="G4299">
        <f t="shared" si="135"/>
        <v>6.97</v>
      </c>
    </row>
    <row r="4300" spans="1:7" ht="12.75" customHeight="1">
      <c r="A4300" s="3">
        <v>11822</v>
      </c>
      <c r="B4300" s="4" t="s">
        <v>4323</v>
      </c>
      <c r="C4300" s="3" t="s">
        <v>6</v>
      </c>
      <c r="D4300" s="5">
        <f t="shared" si="134"/>
        <v>33.299999999999997</v>
      </c>
      <c r="E4300">
        <v>36.56</v>
      </c>
      <c r="F4300" s="1789">
        <v>8.8999999999999996E-2</v>
      </c>
      <c r="G4300">
        <f t="shared" si="135"/>
        <v>33.299999999999997</v>
      </c>
    </row>
    <row r="4301" spans="1:7" ht="12.75" customHeight="1">
      <c r="A4301" s="3">
        <v>11831</v>
      </c>
      <c r="B4301" s="4" t="s">
        <v>4324</v>
      </c>
      <c r="C4301" s="3" t="s">
        <v>6</v>
      </c>
      <c r="D4301" s="5">
        <f t="shared" si="134"/>
        <v>20.04</v>
      </c>
      <c r="E4301">
        <v>22</v>
      </c>
      <c r="F4301" s="1789">
        <v>8.8999999999999996E-2</v>
      </c>
      <c r="G4301">
        <f t="shared" si="135"/>
        <v>20.04</v>
      </c>
    </row>
    <row r="4302" spans="1:7" ht="12.75" customHeight="1">
      <c r="A4302" s="3">
        <v>7613</v>
      </c>
      <c r="B4302" s="4" t="s">
        <v>4325</v>
      </c>
      <c r="C4302" s="3" t="s">
        <v>6</v>
      </c>
      <c r="D4302" s="5">
        <f t="shared" si="134"/>
        <v>201232.49</v>
      </c>
      <c r="E4302">
        <v>220891.87</v>
      </c>
      <c r="F4302" s="1789">
        <v>8.8999999999999996E-2</v>
      </c>
      <c r="G4302">
        <f t="shared" si="135"/>
        <v>201232.49</v>
      </c>
    </row>
    <row r="4303" spans="1:7" ht="12.75" customHeight="1">
      <c r="A4303" s="3">
        <v>7619</v>
      </c>
      <c r="B4303" s="4" t="s">
        <v>4326</v>
      </c>
      <c r="C4303" s="3" t="s">
        <v>6</v>
      </c>
      <c r="D4303" s="5">
        <f t="shared" si="134"/>
        <v>31106.23</v>
      </c>
      <c r="E4303">
        <v>34145.15</v>
      </c>
      <c r="F4303" s="1789">
        <v>8.8999999999999996E-2</v>
      </c>
      <c r="G4303">
        <f t="shared" si="135"/>
        <v>31106.23</v>
      </c>
    </row>
    <row r="4304" spans="1:7" ht="12.75" customHeight="1">
      <c r="A4304" s="3">
        <v>12076</v>
      </c>
      <c r="B4304" s="4" t="s">
        <v>4327</v>
      </c>
      <c r="C4304" s="3" t="s">
        <v>6</v>
      </c>
      <c r="D4304" s="5">
        <f t="shared" si="134"/>
        <v>14268.91</v>
      </c>
      <c r="E4304">
        <v>15662.91</v>
      </c>
      <c r="F4304" s="1789">
        <v>8.8999999999999996E-2</v>
      </c>
      <c r="G4304">
        <f t="shared" si="135"/>
        <v>14268.91</v>
      </c>
    </row>
    <row r="4305" spans="1:7" ht="12.75" customHeight="1">
      <c r="A4305" s="3">
        <v>7614</v>
      </c>
      <c r="B4305" s="4" t="s">
        <v>4328</v>
      </c>
      <c r="C4305" s="3" t="s">
        <v>6</v>
      </c>
      <c r="D4305" s="5">
        <f t="shared" si="134"/>
        <v>39232.370000000003</v>
      </c>
      <c r="E4305">
        <v>43065.18</v>
      </c>
      <c r="F4305" s="1789">
        <v>8.8999999999999996E-2</v>
      </c>
      <c r="G4305">
        <f t="shared" si="135"/>
        <v>39232.370000000003</v>
      </c>
    </row>
    <row r="4306" spans="1:7" ht="12.75" customHeight="1">
      <c r="A4306" s="3">
        <v>7618</v>
      </c>
      <c r="B4306" s="4" t="s">
        <v>4329</v>
      </c>
      <c r="C4306" s="3" t="s">
        <v>6</v>
      </c>
      <c r="D4306" s="5">
        <f t="shared" si="134"/>
        <v>254451.47</v>
      </c>
      <c r="E4306">
        <v>279310.07</v>
      </c>
      <c r="F4306" s="1789">
        <v>8.8999999999999996E-2</v>
      </c>
      <c r="G4306">
        <f t="shared" si="135"/>
        <v>254451.47</v>
      </c>
    </row>
    <row r="4307" spans="1:7" ht="12.75" customHeight="1">
      <c r="A4307" s="3">
        <v>7620</v>
      </c>
      <c r="B4307" s="4" t="s">
        <v>4330</v>
      </c>
      <c r="C4307" s="3" t="s">
        <v>6</v>
      </c>
      <c r="D4307" s="5">
        <f t="shared" si="134"/>
        <v>55037.24</v>
      </c>
      <c r="E4307">
        <v>60414.1</v>
      </c>
      <c r="F4307" s="1789">
        <v>8.8999999999999996E-2</v>
      </c>
      <c r="G4307">
        <f t="shared" si="135"/>
        <v>55037.24</v>
      </c>
    </row>
    <row r="4308" spans="1:7" ht="12.75" customHeight="1">
      <c r="A4308" s="3">
        <v>7610</v>
      </c>
      <c r="B4308" s="4" t="s">
        <v>4331</v>
      </c>
      <c r="C4308" s="3" t="s">
        <v>6</v>
      </c>
      <c r="D4308" s="5">
        <f t="shared" si="134"/>
        <v>17428.45</v>
      </c>
      <c r="E4308">
        <v>19131.13</v>
      </c>
      <c r="F4308" s="1789">
        <v>8.8999999999999996E-2</v>
      </c>
      <c r="G4308">
        <f t="shared" si="135"/>
        <v>17428.45</v>
      </c>
    </row>
    <row r="4309" spans="1:7" ht="12.75" customHeight="1">
      <c r="A4309" s="3">
        <v>7615</v>
      </c>
      <c r="B4309" s="4" t="s">
        <v>4332</v>
      </c>
      <c r="C4309" s="3" t="s">
        <v>6</v>
      </c>
      <c r="D4309" s="5">
        <f t="shared" si="134"/>
        <v>64210.12</v>
      </c>
      <c r="E4309">
        <v>70483.12</v>
      </c>
      <c r="F4309" s="1789">
        <v>8.8999999999999996E-2</v>
      </c>
      <c r="G4309">
        <f t="shared" si="135"/>
        <v>64210.12</v>
      </c>
    </row>
    <row r="4310" spans="1:7" ht="12.75" customHeight="1">
      <c r="A4310" s="3">
        <v>7617</v>
      </c>
      <c r="B4310" s="4" t="s">
        <v>4333</v>
      </c>
      <c r="C4310" s="3" t="s">
        <v>6</v>
      </c>
      <c r="D4310" s="5">
        <f t="shared" si="134"/>
        <v>19466.87</v>
      </c>
      <c r="E4310">
        <v>21368.69</v>
      </c>
      <c r="F4310" s="1789">
        <v>8.8999999999999996E-2</v>
      </c>
      <c r="G4310">
        <f t="shared" si="135"/>
        <v>19466.87</v>
      </c>
    </row>
    <row r="4311" spans="1:7" ht="12.75" customHeight="1">
      <c r="A4311" s="3">
        <v>7616</v>
      </c>
      <c r="B4311" s="4" t="s">
        <v>4334</v>
      </c>
      <c r="C4311" s="3" t="s">
        <v>6</v>
      </c>
      <c r="D4311" s="5">
        <f t="shared" si="134"/>
        <v>104780.73</v>
      </c>
      <c r="E4311">
        <v>115017.27</v>
      </c>
      <c r="F4311" s="1789">
        <v>8.8999999999999996E-2</v>
      </c>
      <c r="G4311">
        <f t="shared" si="135"/>
        <v>104780.73</v>
      </c>
    </row>
    <row r="4312" spans="1:7" ht="12.75" customHeight="1">
      <c r="A4312" s="3">
        <v>7611</v>
      </c>
      <c r="B4312" s="4" t="s">
        <v>4335</v>
      </c>
      <c r="C4312" s="3" t="s">
        <v>6</v>
      </c>
      <c r="D4312" s="5">
        <f t="shared" si="134"/>
        <v>25174.44</v>
      </c>
      <c r="E4312">
        <v>27633.86</v>
      </c>
      <c r="F4312" s="1789">
        <v>8.8999999999999996E-2</v>
      </c>
      <c r="G4312">
        <f t="shared" si="135"/>
        <v>25174.44</v>
      </c>
    </row>
    <row r="4313" spans="1:7" ht="12.75" customHeight="1">
      <c r="A4313" s="3">
        <v>7612</v>
      </c>
      <c r="B4313" s="4" t="s">
        <v>4336</v>
      </c>
      <c r="C4313" s="3" t="s">
        <v>6</v>
      </c>
      <c r="D4313" s="5">
        <f t="shared" si="134"/>
        <v>143724.68</v>
      </c>
      <c r="E4313">
        <v>157765.84</v>
      </c>
      <c r="F4313" s="1789">
        <v>8.8999999999999996E-2</v>
      </c>
      <c r="G4313">
        <f t="shared" si="135"/>
        <v>143724.68</v>
      </c>
    </row>
    <row r="4314" spans="1:7" ht="12.75" customHeight="1">
      <c r="A4314" s="3">
        <v>37371</v>
      </c>
      <c r="B4314" s="4" t="s">
        <v>4337</v>
      </c>
      <c r="C4314" s="3" t="s">
        <v>154</v>
      </c>
      <c r="D4314" s="5">
        <f t="shared" si="134"/>
        <v>0.74</v>
      </c>
      <c r="E4314">
        <v>0.82</v>
      </c>
      <c r="F4314" s="1789">
        <v>8.8999999999999996E-2</v>
      </c>
      <c r="G4314">
        <f t="shared" si="135"/>
        <v>0.74</v>
      </c>
    </row>
    <row r="4315" spans="1:7" ht="12.75" customHeight="1">
      <c r="A4315" s="3">
        <v>40861</v>
      </c>
      <c r="B4315" s="4" t="s">
        <v>4338</v>
      </c>
      <c r="C4315" s="3" t="s">
        <v>156</v>
      </c>
      <c r="D4315" s="5">
        <f t="shared" si="134"/>
        <v>140.44999999999999</v>
      </c>
      <c r="E4315">
        <v>154.18</v>
      </c>
      <c r="F4315" s="1789">
        <v>8.8999999999999996E-2</v>
      </c>
      <c r="G4315">
        <f t="shared" si="135"/>
        <v>140.44999999999999</v>
      </c>
    </row>
    <row r="4316" spans="1:7" ht="12.75" customHeight="1">
      <c r="A4316" s="3">
        <v>36510</v>
      </c>
      <c r="B4316" s="4" t="s">
        <v>4339</v>
      </c>
      <c r="C4316" s="3" t="s">
        <v>6</v>
      </c>
      <c r="D4316" s="5">
        <f t="shared" si="134"/>
        <v>948888.64</v>
      </c>
      <c r="E4316">
        <v>1041590.17</v>
      </c>
      <c r="F4316" s="1789">
        <v>8.8999999999999996E-2</v>
      </c>
      <c r="G4316">
        <f t="shared" si="135"/>
        <v>948888.64</v>
      </c>
    </row>
    <row r="4317" spans="1:7" ht="12.75" customHeight="1">
      <c r="A4317" s="3">
        <v>25020</v>
      </c>
      <c r="B4317" s="4" t="s">
        <v>4340</v>
      </c>
      <c r="C4317" s="3" t="s">
        <v>6</v>
      </c>
      <c r="D4317" s="5">
        <f t="shared" si="134"/>
        <v>3909087.37</v>
      </c>
      <c r="E4317">
        <v>4290985.04</v>
      </c>
      <c r="F4317" s="1789">
        <v>8.8999999999999996E-2</v>
      </c>
      <c r="G4317">
        <f t="shared" si="135"/>
        <v>3909087.37</v>
      </c>
    </row>
    <row r="4318" spans="1:7" ht="12.75" customHeight="1">
      <c r="A4318" s="3">
        <v>7622</v>
      </c>
      <c r="B4318" s="4" t="s">
        <v>4341</v>
      </c>
      <c r="C4318" s="3" t="s">
        <v>6</v>
      </c>
      <c r="D4318" s="5">
        <f t="shared" si="134"/>
        <v>920560.67</v>
      </c>
      <c r="E4318">
        <v>1010494.7</v>
      </c>
      <c r="F4318" s="1789">
        <v>8.8999999999999996E-2</v>
      </c>
      <c r="G4318">
        <f t="shared" si="135"/>
        <v>920560.67</v>
      </c>
    </row>
    <row r="4319" spans="1:7" ht="12.75" customHeight="1">
      <c r="A4319" s="3">
        <v>7624</v>
      </c>
      <c r="B4319" s="4" t="s">
        <v>4342</v>
      </c>
      <c r="C4319" s="3" t="s">
        <v>6</v>
      </c>
      <c r="D4319" s="5">
        <f t="shared" si="134"/>
        <v>1193410</v>
      </c>
      <c r="E4319">
        <v>1310000</v>
      </c>
      <c r="F4319" s="1789">
        <v>8.8999999999999996E-2</v>
      </c>
      <c r="G4319">
        <f t="shared" si="135"/>
        <v>1193410</v>
      </c>
    </row>
    <row r="4320" spans="1:7" ht="12.75" customHeight="1">
      <c r="A4320" s="3">
        <v>7625</v>
      </c>
      <c r="B4320" s="4" t="s">
        <v>4343</v>
      </c>
      <c r="C4320" s="3" t="s">
        <v>6</v>
      </c>
      <c r="D4320" s="5">
        <f t="shared" si="134"/>
        <v>1186110.74</v>
      </c>
      <c r="E4320">
        <v>1301987.6399999999</v>
      </c>
      <c r="F4320" s="1789">
        <v>8.8999999999999996E-2</v>
      </c>
      <c r="G4320">
        <f t="shared" si="135"/>
        <v>1186110.74</v>
      </c>
    </row>
    <row r="4321" spans="1:7" ht="12.75" customHeight="1">
      <c r="A4321" s="3">
        <v>7623</v>
      </c>
      <c r="B4321" s="4" t="s">
        <v>4344</v>
      </c>
      <c r="C4321" s="3" t="s">
        <v>6</v>
      </c>
      <c r="D4321" s="5">
        <f t="shared" si="134"/>
        <v>3909087.37</v>
      </c>
      <c r="E4321">
        <v>4290985.04</v>
      </c>
      <c r="F4321" s="1789">
        <v>8.8999999999999996E-2</v>
      </c>
      <c r="G4321">
        <f t="shared" si="135"/>
        <v>3909087.37</v>
      </c>
    </row>
    <row r="4322" spans="1:7" ht="12.75" customHeight="1">
      <c r="A4322" s="3">
        <v>36508</v>
      </c>
      <c r="B4322" s="4" t="s">
        <v>4345</v>
      </c>
      <c r="C4322" s="3" t="s">
        <v>6</v>
      </c>
      <c r="D4322" s="5">
        <f t="shared" si="134"/>
        <v>1758071.69</v>
      </c>
      <c r="E4322">
        <v>1929826.23</v>
      </c>
      <c r="F4322" s="1789">
        <v>8.8999999999999996E-2</v>
      </c>
      <c r="G4322">
        <f t="shared" si="135"/>
        <v>1758071.69</v>
      </c>
    </row>
    <row r="4323" spans="1:7" ht="12.75" customHeight="1">
      <c r="A4323" s="3">
        <v>36509</v>
      </c>
      <c r="B4323" s="4" t="s">
        <v>4346</v>
      </c>
      <c r="C4323" s="3" t="s">
        <v>6</v>
      </c>
      <c r="D4323" s="5">
        <f t="shared" si="134"/>
        <v>963486.9</v>
      </c>
      <c r="E4323">
        <v>1057614.6100000001</v>
      </c>
      <c r="F4323" s="1789">
        <v>8.8999999999999996E-2</v>
      </c>
      <c r="G4323">
        <f t="shared" si="135"/>
        <v>963486.9</v>
      </c>
    </row>
    <row r="4324" spans="1:7" ht="12.75" customHeight="1">
      <c r="A4324" s="3">
        <v>13238</v>
      </c>
      <c r="B4324" s="4" t="s">
        <v>4347</v>
      </c>
      <c r="C4324" s="3" t="s">
        <v>6</v>
      </c>
      <c r="D4324" s="5">
        <f t="shared" si="134"/>
        <v>295219.90000000002</v>
      </c>
      <c r="E4324">
        <v>324061.37</v>
      </c>
      <c r="F4324" s="1789">
        <v>8.8999999999999996E-2</v>
      </c>
      <c r="G4324">
        <f t="shared" si="135"/>
        <v>295219.90000000002</v>
      </c>
    </row>
    <row r="4325" spans="1:7" ht="12.75" customHeight="1">
      <c r="A4325" s="3">
        <v>36511</v>
      </c>
      <c r="B4325" s="4" t="s">
        <v>4348</v>
      </c>
      <c r="C4325" s="3" t="s">
        <v>6</v>
      </c>
      <c r="D4325" s="5">
        <f t="shared" si="134"/>
        <v>342080.21</v>
      </c>
      <c r="E4325">
        <v>375499.69</v>
      </c>
      <c r="F4325" s="1789">
        <v>8.8999999999999996E-2</v>
      </c>
      <c r="G4325">
        <f t="shared" si="135"/>
        <v>342080.21</v>
      </c>
    </row>
    <row r="4326" spans="1:7" ht="12.75" customHeight="1">
      <c r="A4326" s="3">
        <v>36515</v>
      </c>
      <c r="B4326" s="4" t="s">
        <v>4349</v>
      </c>
      <c r="C4326" s="3" t="s">
        <v>6</v>
      </c>
      <c r="D4326" s="5">
        <f t="shared" si="134"/>
        <v>100749.63</v>
      </c>
      <c r="E4326">
        <v>110592.36</v>
      </c>
      <c r="F4326" s="1789">
        <v>8.8999999999999996E-2</v>
      </c>
      <c r="G4326">
        <f t="shared" si="135"/>
        <v>100749.63</v>
      </c>
    </row>
    <row r="4327" spans="1:7" ht="12.75" customHeight="1">
      <c r="A4327" s="3">
        <v>10598</v>
      </c>
      <c r="B4327" s="4" t="s">
        <v>4350</v>
      </c>
      <c r="C4327" s="3" t="s">
        <v>6</v>
      </c>
      <c r="D4327" s="5">
        <f t="shared" si="134"/>
        <v>163380.78</v>
      </c>
      <c r="E4327">
        <v>179342.24</v>
      </c>
      <c r="F4327" s="1789">
        <v>8.8999999999999996E-2</v>
      </c>
      <c r="G4327">
        <f t="shared" si="135"/>
        <v>163380.78</v>
      </c>
    </row>
    <row r="4328" spans="1:7" ht="12.75" customHeight="1">
      <c r="A4328" s="3">
        <v>7640</v>
      </c>
      <c r="B4328" s="4" t="s">
        <v>4351</v>
      </c>
      <c r="C4328" s="3" t="s">
        <v>6</v>
      </c>
      <c r="D4328" s="5">
        <f t="shared" si="134"/>
        <v>250702.64</v>
      </c>
      <c r="E4328">
        <v>275195</v>
      </c>
      <c r="F4328" s="1789">
        <v>8.8999999999999996E-2</v>
      </c>
      <c r="G4328">
        <f t="shared" si="135"/>
        <v>250702.64</v>
      </c>
    </row>
    <row r="4329" spans="1:7" ht="12.75" customHeight="1">
      <c r="A4329" s="3">
        <v>36513</v>
      </c>
      <c r="B4329" s="4" t="s">
        <v>4352</v>
      </c>
      <c r="C4329" s="3" t="s">
        <v>6</v>
      </c>
      <c r="D4329" s="5">
        <f t="shared" si="134"/>
        <v>241506.29</v>
      </c>
      <c r="E4329">
        <v>265100.21000000002</v>
      </c>
      <c r="F4329" s="1789">
        <v>8.8999999999999996E-2</v>
      </c>
      <c r="G4329">
        <f t="shared" si="135"/>
        <v>241506.29</v>
      </c>
    </row>
    <row r="4330" spans="1:7" ht="12.75" customHeight="1">
      <c r="A4330" s="3">
        <v>36514</v>
      </c>
      <c r="B4330" s="4" t="s">
        <v>4353</v>
      </c>
      <c r="C4330" s="3" t="s">
        <v>6</v>
      </c>
      <c r="D4330" s="5">
        <f t="shared" si="134"/>
        <v>269446.75</v>
      </c>
      <c r="E4330">
        <v>295770.31</v>
      </c>
      <c r="F4330" s="1789">
        <v>8.8999999999999996E-2</v>
      </c>
      <c r="G4330">
        <f t="shared" si="135"/>
        <v>269446.75</v>
      </c>
    </row>
    <row r="4331" spans="1:7" ht="12.75" customHeight="1">
      <c r="A4331" s="3">
        <v>11572</v>
      </c>
      <c r="B4331" s="4" t="s">
        <v>4354</v>
      </c>
      <c r="C4331" s="3" t="s">
        <v>6</v>
      </c>
      <c r="D4331" s="5">
        <f t="shared" si="134"/>
        <v>33.58</v>
      </c>
      <c r="E4331">
        <v>36.869999999999997</v>
      </c>
      <c r="F4331" s="1789">
        <v>8.8999999999999996E-2</v>
      </c>
      <c r="G4331">
        <f t="shared" si="135"/>
        <v>33.58</v>
      </c>
    </row>
    <row r="4332" spans="1:7" ht="12.75" customHeight="1">
      <c r="A4332" s="3">
        <v>36149</v>
      </c>
      <c r="B4332" s="4" t="s">
        <v>4355</v>
      </c>
      <c r="C4332" s="3" t="s">
        <v>6</v>
      </c>
      <c r="D4332" s="5">
        <f t="shared" si="134"/>
        <v>170.19</v>
      </c>
      <c r="E4332">
        <v>186.82</v>
      </c>
      <c r="F4332" s="1789">
        <v>8.8999999999999996E-2</v>
      </c>
      <c r="G4332">
        <f t="shared" si="135"/>
        <v>170.19</v>
      </c>
    </row>
    <row r="4333" spans="1:7" ht="12.75" customHeight="1">
      <c r="A4333" s="3">
        <v>42407</v>
      </c>
      <c r="B4333" s="4" t="s">
        <v>4356</v>
      </c>
      <c r="C4333" s="3" t="s">
        <v>50</v>
      </c>
      <c r="D4333" s="5">
        <f t="shared" si="134"/>
        <v>6.31</v>
      </c>
      <c r="E4333">
        <v>6.93</v>
      </c>
      <c r="F4333" s="1789">
        <v>8.8999999999999996E-2</v>
      </c>
      <c r="G4333">
        <f t="shared" si="135"/>
        <v>6.31</v>
      </c>
    </row>
    <row r="4334" spans="1:7" ht="12.75" customHeight="1">
      <c r="A4334" s="3">
        <v>11581</v>
      </c>
      <c r="B4334" s="4" t="s">
        <v>4357</v>
      </c>
      <c r="C4334" s="3" t="s">
        <v>50</v>
      </c>
      <c r="D4334" s="5">
        <f t="shared" si="134"/>
        <v>22.17</v>
      </c>
      <c r="E4334">
        <v>24.34</v>
      </c>
      <c r="F4334" s="1789">
        <v>8.8999999999999996E-2</v>
      </c>
      <c r="G4334">
        <f t="shared" si="135"/>
        <v>22.17</v>
      </c>
    </row>
    <row r="4335" spans="1:7" ht="12.75" customHeight="1">
      <c r="A4335" s="3">
        <v>43605</v>
      </c>
      <c r="B4335" s="4" t="s">
        <v>4358</v>
      </c>
      <c r="C4335" s="3" t="s">
        <v>50</v>
      </c>
      <c r="D4335" s="5">
        <f t="shared" si="134"/>
        <v>45.35</v>
      </c>
      <c r="E4335">
        <v>49.79</v>
      </c>
      <c r="F4335" s="1789">
        <v>8.8999999999999996E-2</v>
      </c>
      <c r="G4335">
        <f t="shared" si="135"/>
        <v>45.35</v>
      </c>
    </row>
    <row r="4336" spans="1:7" ht="12.75" customHeight="1">
      <c r="A4336" s="3">
        <v>11580</v>
      </c>
      <c r="B4336" s="4" t="s">
        <v>4359</v>
      </c>
      <c r="C4336" s="3" t="s">
        <v>50</v>
      </c>
      <c r="D4336" s="5">
        <f t="shared" si="134"/>
        <v>8.89</v>
      </c>
      <c r="E4336">
        <v>9.76</v>
      </c>
      <c r="F4336" s="1789">
        <v>8.8999999999999996E-2</v>
      </c>
      <c r="G4336">
        <f t="shared" si="135"/>
        <v>8.89</v>
      </c>
    </row>
    <row r="4337" spans="1:7" ht="12.75" customHeight="1">
      <c r="A4337" s="3">
        <v>10743</v>
      </c>
      <c r="B4337" s="4" t="s">
        <v>4360</v>
      </c>
      <c r="C4337" s="3" t="s">
        <v>6</v>
      </c>
      <c r="D4337" s="5">
        <f t="shared" si="134"/>
        <v>556.83000000000004</v>
      </c>
      <c r="E4337">
        <v>611.23</v>
      </c>
      <c r="F4337" s="1789">
        <v>8.8999999999999996E-2</v>
      </c>
      <c r="G4337">
        <f t="shared" si="135"/>
        <v>556.83000000000004</v>
      </c>
    </row>
    <row r="4338" spans="1:7" ht="12.75" customHeight="1">
      <c r="A4338" s="3">
        <v>39848</v>
      </c>
      <c r="B4338" s="4" t="s">
        <v>4361</v>
      </c>
      <c r="C4338" s="3" t="s">
        <v>50</v>
      </c>
      <c r="D4338" s="5">
        <f t="shared" si="134"/>
        <v>1.62</v>
      </c>
      <c r="E4338">
        <v>1.78</v>
      </c>
      <c r="F4338" s="1789">
        <v>8.8999999999999996E-2</v>
      </c>
      <c r="G4338">
        <f t="shared" si="135"/>
        <v>1.62</v>
      </c>
    </row>
    <row r="4339" spans="1:7" ht="12.75" customHeight="1">
      <c r="A4339" s="3">
        <v>20999</v>
      </c>
      <c r="B4339" s="4" t="s">
        <v>4362</v>
      </c>
      <c r="C4339" s="3" t="s">
        <v>50</v>
      </c>
      <c r="D4339" s="5">
        <f t="shared" si="134"/>
        <v>10.95</v>
      </c>
      <c r="E4339">
        <v>12.02</v>
      </c>
      <c r="F4339" s="1789">
        <v>8.8999999999999996E-2</v>
      </c>
      <c r="G4339">
        <f t="shared" si="135"/>
        <v>10.95</v>
      </c>
    </row>
    <row r="4340" spans="1:7" ht="12.75" customHeight="1">
      <c r="A4340" s="3">
        <v>21001</v>
      </c>
      <c r="B4340" s="4" t="s">
        <v>4363</v>
      </c>
      <c r="C4340" s="3" t="s">
        <v>50</v>
      </c>
      <c r="D4340" s="5">
        <f t="shared" si="134"/>
        <v>20.440000000000001</v>
      </c>
      <c r="E4340">
        <v>22.44</v>
      </c>
      <c r="F4340" s="1789">
        <v>8.8999999999999996E-2</v>
      </c>
      <c r="G4340">
        <f t="shared" si="135"/>
        <v>20.440000000000001</v>
      </c>
    </row>
    <row r="4341" spans="1:7" ht="12.75" customHeight="1">
      <c r="A4341" s="3">
        <v>21003</v>
      </c>
      <c r="B4341" s="4" t="s">
        <v>4364</v>
      </c>
      <c r="C4341" s="3" t="s">
        <v>50</v>
      </c>
      <c r="D4341" s="5">
        <f t="shared" si="134"/>
        <v>33.58</v>
      </c>
      <c r="E4341">
        <v>36.869999999999997</v>
      </c>
      <c r="F4341" s="1789">
        <v>8.8999999999999996E-2</v>
      </c>
      <c r="G4341">
        <f t="shared" si="135"/>
        <v>33.58</v>
      </c>
    </row>
    <row r="4342" spans="1:7" ht="12.75" customHeight="1">
      <c r="A4342" s="3">
        <v>21006</v>
      </c>
      <c r="B4342" s="4" t="s">
        <v>4365</v>
      </c>
      <c r="C4342" s="3" t="s">
        <v>50</v>
      </c>
      <c r="D4342" s="5">
        <f t="shared" si="134"/>
        <v>71.290000000000006</v>
      </c>
      <c r="E4342">
        <v>78.260000000000005</v>
      </c>
      <c r="F4342" s="1789">
        <v>8.8999999999999996E-2</v>
      </c>
      <c r="G4342">
        <f t="shared" si="135"/>
        <v>71.290000000000006</v>
      </c>
    </row>
    <row r="4343" spans="1:7" ht="12.75" customHeight="1">
      <c r="A4343" s="3">
        <v>21019</v>
      </c>
      <c r="B4343" s="4" t="s">
        <v>4366</v>
      </c>
      <c r="C4343" s="3" t="s">
        <v>50</v>
      </c>
      <c r="D4343" s="5">
        <f t="shared" si="134"/>
        <v>24.77</v>
      </c>
      <c r="E4343">
        <v>27.2</v>
      </c>
      <c r="F4343" s="1789">
        <v>8.8999999999999996E-2</v>
      </c>
      <c r="G4343">
        <f t="shared" si="135"/>
        <v>24.77</v>
      </c>
    </row>
    <row r="4344" spans="1:7" ht="12.75" customHeight="1">
      <c r="A4344" s="3">
        <v>21021</v>
      </c>
      <c r="B4344" s="4" t="s">
        <v>4367</v>
      </c>
      <c r="C4344" s="3" t="s">
        <v>50</v>
      </c>
      <c r="D4344" s="5">
        <f t="shared" si="134"/>
        <v>39.17</v>
      </c>
      <c r="E4344">
        <v>43</v>
      </c>
      <c r="F4344" s="1789">
        <v>8.8999999999999996E-2</v>
      </c>
      <c r="G4344">
        <f t="shared" si="135"/>
        <v>39.17</v>
      </c>
    </row>
    <row r="4345" spans="1:7" ht="12.75" customHeight="1">
      <c r="A4345" s="3">
        <v>21024</v>
      </c>
      <c r="B4345" s="4" t="s">
        <v>4368</v>
      </c>
      <c r="C4345" s="3" t="s">
        <v>50</v>
      </c>
      <c r="D4345" s="5">
        <f t="shared" si="134"/>
        <v>83.93</v>
      </c>
      <c r="E4345">
        <v>92.13</v>
      </c>
      <c r="F4345" s="1789">
        <v>8.8999999999999996E-2</v>
      </c>
      <c r="G4345">
        <f t="shared" si="135"/>
        <v>83.93</v>
      </c>
    </row>
    <row r="4346" spans="1:7" ht="12.75" customHeight="1">
      <c r="A4346" s="3">
        <v>40624</v>
      </c>
      <c r="B4346" s="4" t="s">
        <v>4369</v>
      </c>
      <c r="C4346" s="3" t="s">
        <v>50</v>
      </c>
      <c r="D4346" s="5">
        <f t="shared" si="134"/>
        <v>78.72</v>
      </c>
      <c r="E4346">
        <v>86.42</v>
      </c>
      <c r="F4346" s="1789">
        <v>8.8999999999999996E-2</v>
      </c>
      <c r="G4346">
        <f t="shared" si="135"/>
        <v>78.72</v>
      </c>
    </row>
    <row r="4347" spans="1:7" ht="12.75" customHeight="1">
      <c r="A4347" s="3">
        <v>42575</v>
      </c>
      <c r="B4347" s="4" t="s">
        <v>4370</v>
      </c>
      <c r="C4347" s="3" t="s">
        <v>50</v>
      </c>
      <c r="D4347" s="5">
        <f t="shared" si="134"/>
        <v>72.239999999999995</v>
      </c>
      <c r="E4347">
        <v>79.3</v>
      </c>
      <c r="F4347" s="1789">
        <v>8.8999999999999996E-2</v>
      </c>
      <c r="G4347">
        <f t="shared" si="135"/>
        <v>72.239999999999995</v>
      </c>
    </row>
    <row r="4348" spans="1:7" ht="12.75" customHeight="1">
      <c r="A4348" s="3">
        <v>13127</v>
      </c>
      <c r="B4348" s="4" t="s">
        <v>4371</v>
      </c>
      <c r="C4348" s="3" t="s">
        <v>50</v>
      </c>
      <c r="D4348" s="5">
        <f t="shared" si="134"/>
        <v>35.11</v>
      </c>
      <c r="E4348">
        <v>38.549999999999997</v>
      </c>
      <c r="F4348" s="1789">
        <v>8.8999999999999996E-2</v>
      </c>
      <c r="G4348">
        <f t="shared" si="135"/>
        <v>35.11</v>
      </c>
    </row>
    <row r="4349" spans="1:7" ht="12.75" customHeight="1">
      <c r="A4349" s="3">
        <v>13137</v>
      </c>
      <c r="B4349" s="4" t="s">
        <v>4372</v>
      </c>
      <c r="C4349" s="3" t="s">
        <v>50</v>
      </c>
      <c r="D4349" s="5">
        <f t="shared" si="134"/>
        <v>46.59</v>
      </c>
      <c r="E4349">
        <v>51.15</v>
      </c>
      <c r="F4349" s="1789">
        <v>8.8999999999999996E-2</v>
      </c>
      <c r="G4349">
        <f t="shared" si="135"/>
        <v>46.59</v>
      </c>
    </row>
    <row r="4350" spans="1:7" ht="12.75" customHeight="1">
      <c r="A4350" s="3">
        <v>42574</v>
      </c>
      <c r="B4350" s="4" t="s">
        <v>4373</v>
      </c>
      <c r="C4350" s="3" t="s">
        <v>50</v>
      </c>
      <c r="D4350" s="5">
        <f t="shared" si="134"/>
        <v>53.91</v>
      </c>
      <c r="E4350">
        <v>59.18</v>
      </c>
      <c r="F4350" s="1789">
        <v>8.8999999999999996E-2</v>
      </c>
      <c r="G4350">
        <f t="shared" si="135"/>
        <v>53.91</v>
      </c>
    </row>
    <row r="4351" spans="1:7" ht="12.75" customHeight="1">
      <c r="A4351" s="3">
        <v>20989</v>
      </c>
      <c r="B4351" s="4" t="s">
        <v>4374</v>
      </c>
      <c r="C4351" s="3" t="s">
        <v>50</v>
      </c>
      <c r="D4351" s="5">
        <f t="shared" si="134"/>
        <v>1669.47</v>
      </c>
      <c r="E4351">
        <v>1832.57</v>
      </c>
      <c r="F4351" s="1789">
        <v>8.8999999999999996E-2</v>
      </c>
      <c r="G4351">
        <f t="shared" si="135"/>
        <v>1669.47</v>
      </c>
    </row>
    <row r="4352" spans="1:7" ht="12.75" customHeight="1">
      <c r="A4352" s="3">
        <v>21147</v>
      </c>
      <c r="B4352" s="4" t="s">
        <v>4375</v>
      </c>
      <c r="C4352" s="3" t="s">
        <v>50</v>
      </c>
      <c r="D4352" s="5">
        <f t="shared" si="134"/>
        <v>156.52000000000001</v>
      </c>
      <c r="E4352">
        <v>171.82</v>
      </c>
      <c r="F4352" s="1789">
        <v>8.8999999999999996E-2</v>
      </c>
      <c r="G4352">
        <f t="shared" si="135"/>
        <v>156.52000000000001</v>
      </c>
    </row>
    <row r="4353" spans="1:7" ht="12.75" customHeight="1">
      <c r="A4353" s="3">
        <v>21148</v>
      </c>
      <c r="B4353" s="4" t="s">
        <v>4376</v>
      </c>
      <c r="C4353" s="3" t="s">
        <v>50</v>
      </c>
      <c r="D4353" s="5">
        <f t="shared" si="134"/>
        <v>96.61</v>
      </c>
      <c r="E4353">
        <v>106.05</v>
      </c>
      <c r="F4353" s="1789">
        <v>8.8999999999999996E-2</v>
      </c>
      <c r="G4353">
        <f t="shared" si="135"/>
        <v>96.61</v>
      </c>
    </row>
    <row r="4354" spans="1:7" ht="12.75" customHeight="1">
      <c r="A4354" s="3">
        <v>20984</v>
      </c>
      <c r="B4354" s="4" t="s">
        <v>4377</v>
      </c>
      <c r="C4354" s="3" t="s">
        <v>50</v>
      </c>
      <c r="D4354" s="5">
        <f t="shared" si="134"/>
        <v>3203.38</v>
      </c>
      <c r="E4354">
        <v>3516.34</v>
      </c>
      <c r="F4354" s="1789">
        <v>8.8999999999999996E-2</v>
      </c>
      <c r="G4354">
        <f t="shared" si="135"/>
        <v>3203.38</v>
      </c>
    </row>
    <row r="4355" spans="1:7" ht="12.75" customHeight="1">
      <c r="A4355" s="3">
        <v>13042</v>
      </c>
      <c r="B4355" s="4" t="s">
        <v>4378</v>
      </c>
      <c r="C4355" s="3" t="s">
        <v>50</v>
      </c>
      <c r="D4355" s="5">
        <f t="shared" ref="D4355:D4418" si="136">G4355</f>
        <v>1775.14</v>
      </c>
      <c r="E4355">
        <v>1948.57</v>
      </c>
      <c r="F4355" s="1789">
        <v>8.8999999999999996E-2</v>
      </c>
      <c r="G4355">
        <f t="shared" ref="G4355:G4418" si="137">TRUNC((1-F4355)*E4355,2)</f>
        <v>1775.14</v>
      </c>
    </row>
    <row r="4356" spans="1:7" ht="12.75" customHeight="1">
      <c r="A4356" s="3">
        <v>21150</v>
      </c>
      <c r="B4356" s="4" t="s">
        <v>4379</v>
      </c>
      <c r="C4356" s="3" t="s">
        <v>50</v>
      </c>
      <c r="D4356" s="5">
        <f t="shared" si="136"/>
        <v>47.9</v>
      </c>
      <c r="E4356">
        <v>52.58</v>
      </c>
      <c r="F4356" s="1789">
        <v>8.8999999999999996E-2</v>
      </c>
      <c r="G4356">
        <f t="shared" si="137"/>
        <v>47.9</v>
      </c>
    </row>
    <row r="4357" spans="1:7" ht="12.75" customHeight="1">
      <c r="A4357" s="3">
        <v>13141</v>
      </c>
      <c r="B4357" s="4" t="s">
        <v>4380</v>
      </c>
      <c r="C4357" s="3" t="s">
        <v>50</v>
      </c>
      <c r="D4357" s="5">
        <f t="shared" si="136"/>
        <v>60.35</v>
      </c>
      <c r="E4357">
        <v>66.25</v>
      </c>
      <c r="F4357" s="1789">
        <v>8.8999999999999996E-2</v>
      </c>
      <c r="G4357">
        <f t="shared" si="137"/>
        <v>60.35</v>
      </c>
    </row>
    <row r="4358" spans="1:7" ht="12.75" customHeight="1">
      <c r="A4358" s="3">
        <v>42576</v>
      </c>
      <c r="B4358" s="4" t="s">
        <v>4381</v>
      </c>
      <c r="C4358" s="3" t="s">
        <v>50</v>
      </c>
      <c r="D4358" s="5">
        <f t="shared" si="136"/>
        <v>197.06</v>
      </c>
      <c r="E4358">
        <v>216.32</v>
      </c>
      <c r="F4358" s="1789">
        <v>8.8999999999999996E-2</v>
      </c>
      <c r="G4358">
        <f t="shared" si="137"/>
        <v>197.06</v>
      </c>
    </row>
    <row r="4359" spans="1:7" ht="12.75" customHeight="1">
      <c r="A4359" s="3">
        <v>21151</v>
      </c>
      <c r="B4359" s="4" t="s">
        <v>4382</v>
      </c>
      <c r="C4359" s="3" t="s">
        <v>50</v>
      </c>
      <c r="D4359" s="5">
        <f t="shared" si="136"/>
        <v>286.73</v>
      </c>
      <c r="E4359">
        <v>314.75</v>
      </c>
      <c r="F4359" s="1789">
        <v>8.8999999999999996E-2</v>
      </c>
      <c r="G4359">
        <f t="shared" si="137"/>
        <v>286.73</v>
      </c>
    </row>
    <row r="4360" spans="1:7" ht="12.75" customHeight="1">
      <c r="A4360" s="3">
        <v>13142</v>
      </c>
      <c r="B4360" s="4" t="s">
        <v>4383</v>
      </c>
      <c r="C4360" s="3" t="s">
        <v>50</v>
      </c>
      <c r="D4360" s="5">
        <f t="shared" si="136"/>
        <v>409.92</v>
      </c>
      <c r="E4360">
        <v>449.97</v>
      </c>
      <c r="F4360" s="1789">
        <v>8.8999999999999996E-2</v>
      </c>
      <c r="G4360">
        <f t="shared" si="137"/>
        <v>409.92</v>
      </c>
    </row>
    <row r="4361" spans="1:7" ht="12.75" customHeight="1">
      <c r="A4361" s="3">
        <v>42577</v>
      </c>
      <c r="B4361" s="4" t="s">
        <v>4384</v>
      </c>
      <c r="C4361" s="3" t="s">
        <v>50</v>
      </c>
      <c r="D4361" s="5">
        <f t="shared" si="136"/>
        <v>449.79</v>
      </c>
      <c r="E4361">
        <v>493.74</v>
      </c>
      <c r="F4361" s="1789">
        <v>8.8999999999999996E-2</v>
      </c>
      <c r="G4361">
        <f t="shared" si="137"/>
        <v>449.79</v>
      </c>
    </row>
    <row r="4362" spans="1:7" ht="12.75" customHeight="1">
      <c r="A4362" s="3">
        <v>20994</v>
      </c>
      <c r="B4362" s="4" t="s">
        <v>4385</v>
      </c>
      <c r="C4362" s="3" t="s">
        <v>50</v>
      </c>
      <c r="D4362" s="5">
        <f t="shared" si="136"/>
        <v>772.88</v>
      </c>
      <c r="E4362">
        <v>848.39</v>
      </c>
      <c r="F4362" s="1789">
        <v>8.8999999999999996E-2</v>
      </c>
      <c r="G4362">
        <f t="shared" si="137"/>
        <v>772.88</v>
      </c>
    </row>
    <row r="4363" spans="1:7" ht="12.75" customHeight="1">
      <c r="A4363" s="3">
        <v>7672</v>
      </c>
      <c r="B4363" s="4" t="s">
        <v>4386</v>
      </c>
      <c r="C4363" s="3" t="s">
        <v>50</v>
      </c>
      <c r="D4363" s="5">
        <f t="shared" si="136"/>
        <v>506.31</v>
      </c>
      <c r="E4363">
        <v>555.78</v>
      </c>
      <c r="F4363" s="1789">
        <v>8.8999999999999996E-2</v>
      </c>
      <c r="G4363">
        <f t="shared" si="137"/>
        <v>506.31</v>
      </c>
    </row>
    <row r="4364" spans="1:7" ht="12.75" customHeight="1">
      <c r="A4364" s="3">
        <v>20995</v>
      </c>
      <c r="B4364" s="4" t="s">
        <v>4387</v>
      </c>
      <c r="C4364" s="3" t="s">
        <v>50</v>
      </c>
      <c r="D4364" s="5">
        <f t="shared" si="136"/>
        <v>1015.71</v>
      </c>
      <c r="E4364">
        <v>1114.94</v>
      </c>
      <c r="F4364" s="1789">
        <v>8.8999999999999996E-2</v>
      </c>
      <c r="G4364">
        <f t="shared" si="137"/>
        <v>1015.71</v>
      </c>
    </row>
    <row r="4365" spans="1:7" ht="12.75" customHeight="1">
      <c r="A4365" s="3">
        <v>7690</v>
      </c>
      <c r="B4365" s="4" t="s">
        <v>4388</v>
      </c>
      <c r="C4365" s="3" t="s">
        <v>50</v>
      </c>
      <c r="D4365" s="5">
        <f t="shared" si="136"/>
        <v>587.44000000000005</v>
      </c>
      <c r="E4365">
        <v>644.84</v>
      </c>
      <c r="F4365" s="1789">
        <v>8.8999999999999996E-2</v>
      </c>
      <c r="G4365">
        <f t="shared" si="137"/>
        <v>587.44000000000005</v>
      </c>
    </row>
    <row r="4366" spans="1:7" ht="12.75" customHeight="1">
      <c r="A4366" s="3">
        <v>20980</v>
      </c>
      <c r="B4366" s="4" t="s">
        <v>4389</v>
      </c>
      <c r="C4366" s="3" t="s">
        <v>50</v>
      </c>
      <c r="D4366" s="5">
        <f t="shared" si="136"/>
        <v>640.85</v>
      </c>
      <c r="E4366">
        <v>703.46</v>
      </c>
      <c r="F4366" s="1789">
        <v>8.8999999999999996E-2</v>
      </c>
      <c r="G4366">
        <f t="shared" si="137"/>
        <v>640.85</v>
      </c>
    </row>
    <row r="4367" spans="1:7" ht="12.75" customHeight="1">
      <c r="A4367" s="3">
        <v>7661</v>
      </c>
      <c r="B4367" s="4" t="s">
        <v>4390</v>
      </c>
      <c r="C4367" s="3" t="s">
        <v>50</v>
      </c>
      <c r="D4367" s="5">
        <f t="shared" si="136"/>
        <v>762.35</v>
      </c>
      <c r="E4367">
        <v>836.83</v>
      </c>
      <c r="F4367" s="1789">
        <v>8.8999999999999996E-2</v>
      </c>
      <c r="G4367">
        <f t="shared" si="137"/>
        <v>762.35</v>
      </c>
    </row>
    <row r="4368" spans="1:7" ht="12.75" customHeight="1">
      <c r="A4368" s="3">
        <v>21016</v>
      </c>
      <c r="B4368" s="4" t="s">
        <v>4391</v>
      </c>
      <c r="C4368" s="3" t="s">
        <v>50</v>
      </c>
      <c r="D4368" s="5">
        <f t="shared" si="136"/>
        <v>144.30000000000001</v>
      </c>
      <c r="E4368">
        <v>158.4</v>
      </c>
      <c r="F4368" s="1789">
        <v>8.8999999999999996E-2</v>
      </c>
      <c r="G4368">
        <f t="shared" si="137"/>
        <v>144.30000000000001</v>
      </c>
    </row>
    <row r="4369" spans="1:7" ht="12.75" customHeight="1">
      <c r="A4369" s="3">
        <v>21008</v>
      </c>
      <c r="B4369" s="4" t="s">
        <v>4392</v>
      </c>
      <c r="C4369" s="3" t="s">
        <v>50</v>
      </c>
      <c r="D4369" s="5">
        <f t="shared" si="136"/>
        <v>16.850000000000001</v>
      </c>
      <c r="E4369">
        <v>18.5</v>
      </c>
      <c r="F4369" s="1789">
        <v>8.8999999999999996E-2</v>
      </c>
      <c r="G4369">
        <f t="shared" si="137"/>
        <v>16.850000000000001</v>
      </c>
    </row>
    <row r="4370" spans="1:7" ht="12.75" customHeight="1">
      <c r="A4370" s="3">
        <v>21009</v>
      </c>
      <c r="B4370" s="4" t="s">
        <v>4393</v>
      </c>
      <c r="C4370" s="3" t="s">
        <v>50</v>
      </c>
      <c r="D4370" s="5">
        <f t="shared" si="136"/>
        <v>21.94</v>
      </c>
      <c r="E4370">
        <v>24.09</v>
      </c>
      <c r="F4370" s="1789">
        <v>8.8999999999999996E-2</v>
      </c>
      <c r="G4370">
        <f t="shared" si="137"/>
        <v>21.94</v>
      </c>
    </row>
    <row r="4371" spans="1:7" ht="12.75" customHeight="1">
      <c r="A4371" s="3">
        <v>21010</v>
      </c>
      <c r="B4371" s="4" t="s">
        <v>4394</v>
      </c>
      <c r="C4371" s="3" t="s">
        <v>50</v>
      </c>
      <c r="D4371" s="5">
        <f t="shared" si="136"/>
        <v>29.47</v>
      </c>
      <c r="E4371">
        <v>32.35</v>
      </c>
      <c r="F4371" s="1789">
        <v>8.8999999999999996E-2</v>
      </c>
      <c r="G4371">
        <f t="shared" si="137"/>
        <v>29.47</v>
      </c>
    </row>
    <row r="4372" spans="1:7" ht="12.75" customHeight="1">
      <c r="A4372" s="3">
        <v>21011</v>
      </c>
      <c r="B4372" s="4" t="s">
        <v>4395</v>
      </c>
      <c r="C4372" s="3" t="s">
        <v>50</v>
      </c>
      <c r="D4372" s="5">
        <f t="shared" si="136"/>
        <v>42.95</v>
      </c>
      <c r="E4372">
        <v>47.15</v>
      </c>
      <c r="F4372" s="1789">
        <v>8.8999999999999996E-2</v>
      </c>
      <c r="G4372">
        <f t="shared" si="137"/>
        <v>42.95</v>
      </c>
    </row>
    <row r="4373" spans="1:7" ht="12.75" customHeight="1">
      <c r="A4373" s="3">
        <v>21012</v>
      </c>
      <c r="B4373" s="4" t="s">
        <v>4396</v>
      </c>
      <c r="C4373" s="3" t="s">
        <v>50</v>
      </c>
      <c r="D4373" s="5">
        <f t="shared" si="136"/>
        <v>47.46</v>
      </c>
      <c r="E4373">
        <v>52.1</v>
      </c>
      <c r="F4373" s="1789">
        <v>8.8999999999999996E-2</v>
      </c>
      <c r="G4373">
        <f t="shared" si="137"/>
        <v>47.46</v>
      </c>
    </row>
    <row r="4374" spans="1:7" ht="12.75" customHeight="1">
      <c r="A4374" s="3">
        <v>21013</v>
      </c>
      <c r="B4374" s="4" t="s">
        <v>4397</v>
      </c>
      <c r="C4374" s="3" t="s">
        <v>50</v>
      </c>
      <c r="D4374" s="5">
        <f t="shared" si="136"/>
        <v>61.93</v>
      </c>
      <c r="E4374">
        <v>67.989999999999995</v>
      </c>
      <c r="F4374" s="1789">
        <v>8.8999999999999996E-2</v>
      </c>
      <c r="G4374">
        <f t="shared" si="137"/>
        <v>61.93</v>
      </c>
    </row>
    <row r="4375" spans="1:7" ht="12.75" customHeight="1">
      <c r="A4375" s="3">
        <v>21014</v>
      </c>
      <c r="B4375" s="4" t="s">
        <v>4398</v>
      </c>
      <c r="C4375" s="3" t="s">
        <v>50</v>
      </c>
      <c r="D4375" s="5">
        <f t="shared" si="136"/>
        <v>86.67</v>
      </c>
      <c r="E4375">
        <v>95.14</v>
      </c>
      <c r="F4375" s="1789">
        <v>8.8999999999999996E-2</v>
      </c>
      <c r="G4375">
        <f t="shared" si="137"/>
        <v>86.67</v>
      </c>
    </row>
    <row r="4376" spans="1:7" ht="12.75" customHeight="1">
      <c r="A4376" s="3">
        <v>21015</v>
      </c>
      <c r="B4376" s="4" t="s">
        <v>4399</v>
      </c>
      <c r="C4376" s="3" t="s">
        <v>50</v>
      </c>
      <c r="D4376" s="5">
        <f t="shared" si="136"/>
        <v>99.57</v>
      </c>
      <c r="E4376">
        <v>109.3</v>
      </c>
      <c r="F4376" s="1789">
        <v>8.8999999999999996E-2</v>
      </c>
      <c r="G4376">
        <f t="shared" si="137"/>
        <v>99.57</v>
      </c>
    </row>
    <row r="4377" spans="1:7" ht="12.75" customHeight="1">
      <c r="A4377" s="3">
        <v>7697</v>
      </c>
      <c r="B4377" s="4" t="s">
        <v>4400</v>
      </c>
      <c r="C4377" s="3" t="s">
        <v>50</v>
      </c>
      <c r="D4377" s="5">
        <f t="shared" si="136"/>
        <v>47.5</v>
      </c>
      <c r="E4377">
        <v>52.15</v>
      </c>
      <c r="F4377" s="1789">
        <v>8.8999999999999996E-2</v>
      </c>
      <c r="G4377">
        <f t="shared" si="137"/>
        <v>47.5</v>
      </c>
    </row>
    <row r="4378" spans="1:7" ht="12.75" customHeight="1">
      <c r="A4378" s="3">
        <v>7698</v>
      </c>
      <c r="B4378" s="4" t="s">
        <v>4401</v>
      </c>
      <c r="C4378" s="3" t="s">
        <v>50</v>
      </c>
      <c r="D4378" s="5">
        <f t="shared" si="136"/>
        <v>40.89</v>
      </c>
      <c r="E4378">
        <v>44.89</v>
      </c>
      <c r="F4378" s="1789">
        <v>8.8999999999999996E-2</v>
      </c>
      <c r="G4378">
        <f t="shared" si="137"/>
        <v>40.89</v>
      </c>
    </row>
    <row r="4379" spans="1:7" ht="12.75" customHeight="1">
      <c r="A4379" s="3">
        <v>7691</v>
      </c>
      <c r="B4379" s="4" t="s">
        <v>4402</v>
      </c>
      <c r="C4379" s="3" t="s">
        <v>50</v>
      </c>
      <c r="D4379" s="5">
        <f t="shared" si="136"/>
        <v>17.28</v>
      </c>
      <c r="E4379">
        <v>18.97</v>
      </c>
      <c r="F4379" s="1789">
        <v>8.8999999999999996E-2</v>
      </c>
      <c r="G4379">
        <f t="shared" si="137"/>
        <v>17.28</v>
      </c>
    </row>
    <row r="4380" spans="1:7" ht="12.75" customHeight="1">
      <c r="A4380" s="3">
        <v>40626</v>
      </c>
      <c r="B4380" s="4" t="s">
        <v>4403</v>
      </c>
      <c r="C4380" s="3" t="s">
        <v>50</v>
      </c>
      <c r="D4380" s="5">
        <f t="shared" si="136"/>
        <v>32.43</v>
      </c>
      <c r="E4380">
        <v>35.6</v>
      </c>
      <c r="F4380" s="1789">
        <v>8.8999999999999996E-2</v>
      </c>
      <c r="G4380">
        <f t="shared" si="137"/>
        <v>32.43</v>
      </c>
    </row>
    <row r="4381" spans="1:7" ht="12.75" customHeight="1">
      <c r="A4381" s="3">
        <v>7701</v>
      </c>
      <c r="B4381" s="4" t="s">
        <v>4404</v>
      </c>
      <c r="C4381" s="3" t="s">
        <v>50</v>
      </c>
      <c r="D4381" s="5">
        <f t="shared" si="136"/>
        <v>85.02</v>
      </c>
      <c r="E4381">
        <v>93.33</v>
      </c>
      <c r="F4381" s="1789">
        <v>8.8999999999999996E-2</v>
      </c>
      <c r="G4381">
        <f t="shared" si="137"/>
        <v>85.02</v>
      </c>
    </row>
    <row r="4382" spans="1:7" ht="12.75" customHeight="1">
      <c r="A4382" s="3">
        <v>7696</v>
      </c>
      <c r="B4382" s="4" t="s">
        <v>4405</v>
      </c>
      <c r="C4382" s="3" t="s">
        <v>50</v>
      </c>
      <c r="D4382" s="5">
        <f t="shared" si="136"/>
        <v>68.510000000000005</v>
      </c>
      <c r="E4382">
        <v>75.209999999999994</v>
      </c>
      <c r="F4382" s="1789">
        <v>8.8999999999999996E-2</v>
      </c>
      <c r="G4382">
        <f t="shared" si="137"/>
        <v>68.510000000000005</v>
      </c>
    </row>
    <row r="4383" spans="1:7" ht="12.75" customHeight="1">
      <c r="A4383" s="3">
        <v>7700</v>
      </c>
      <c r="B4383" s="4" t="s">
        <v>4406</v>
      </c>
      <c r="C4383" s="3" t="s">
        <v>50</v>
      </c>
      <c r="D4383" s="5">
        <f t="shared" si="136"/>
        <v>21.85</v>
      </c>
      <c r="E4383">
        <v>23.99</v>
      </c>
      <c r="F4383" s="1789">
        <v>8.8999999999999996E-2</v>
      </c>
      <c r="G4383">
        <f t="shared" si="137"/>
        <v>21.85</v>
      </c>
    </row>
    <row r="4384" spans="1:7" ht="12.75" customHeight="1">
      <c r="A4384" s="3">
        <v>7694</v>
      </c>
      <c r="B4384" s="4" t="s">
        <v>4407</v>
      </c>
      <c r="C4384" s="3" t="s">
        <v>50</v>
      </c>
      <c r="D4384" s="5">
        <f t="shared" si="136"/>
        <v>114.42</v>
      </c>
      <c r="E4384">
        <v>125.6</v>
      </c>
      <c r="F4384" s="1789">
        <v>8.8999999999999996E-2</v>
      </c>
      <c r="G4384">
        <f t="shared" si="137"/>
        <v>114.42</v>
      </c>
    </row>
    <row r="4385" spans="1:7" ht="12.75" customHeight="1">
      <c r="A4385" s="3">
        <v>7693</v>
      </c>
      <c r="B4385" s="4" t="s">
        <v>4408</v>
      </c>
      <c r="C4385" s="3" t="s">
        <v>50</v>
      </c>
      <c r="D4385" s="5">
        <f t="shared" si="136"/>
        <v>157.58000000000001</v>
      </c>
      <c r="E4385">
        <v>172.98</v>
      </c>
      <c r="F4385" s="1789">
        <v>8.8999999999999996E-2</v>
      </c>
      <c r="G4385">
        <f t="shared" si="137"/>
        <v>157.58000000000001</v>
      </c>
    </row>
    <row r="4386" spans="1:7" ht="12.75" customHeight="1">
      <c r="A4386" s="3">
        <v>7692</v>
      </c>
      <c r="B4386" s="4" t="s">
        <v>4409</v>
      </c>
      <c r="C4386" s="3" t="s">
        <v>50</v>
      </c>
      <c r="D4386" s="5">
        <f t="shared" si="136"/>
        <v>235.93</v>
      </c>
      <c r="E4386">
        <v>258.98</v>
      </c>
      <c r="F4386" s="1789">
        <v>8.8999999999999996E-2</v>
      </c>
      <c r="G4386">
        <f t="shared" si="137"/>
        <v>235.93</v>
      </c>
    </row>
    <row r="4387" spans="1:7" ht="12.75" customHeight="1">
      <c r="A4387" s="3">
        <v>7695</v>
      </c>
      <c r="B4387" s="4" t="s">
        <v>4410</v>
      </c>
      <c r="C4387" s="3" t="s">
        <v>50</v>
      </c>
      <c r="D4387" s="5">
        <f t="shared" si="136"/>
        <v>255.87</v>
      </c>
      <c r="E4387">
        <v>280.87</v>
      </c>
      <c r="F4387" s="1789">
        <v>8.8999999999999996E-2</v>
      </c>
      <c r="G4387">
        <f t="shared" si="137"/>
        <v>255.87</v>
      </c>
    </row>
    <row r="4388" spans="1:7" ht="12.75" customHeight="1">
      <c r="A4388" s="3">
        <v>13356</v>
      </c>
      <c r="B4388" s="4" t="s">
        <v>4411</v>
      </c>
      <c r="C4388" s="3" t="s">
        <v>50</v>
      </c>
      <c r="D4388" s="5">
        <f t="shared" si="136"/>
        <v>18.54</v>
      </c>
      <c r="E4388">
        <v>20.36</v>
      </c>
      <c r="F4388" s="1789">
        <v>8.8999999999999996E-2</v>
      </c>
      <c r="G4388">
        <f t="shared" si="137"/>
        <v>18.54</v>
      </c>
    </row>
    <row r="4389" spans="1:7" ht="12.75" customHeight="1">
      <c r="A4389" s="3">
        <v>36365</v>
      </c>
      <c r="B4389" s="4" t="s">
        <v>4412</v>
      </c>
      <c r="C4389" s="3" t="s">
        <v>50</v>
      </c>
      <c r="D4389" s="5">
        <f t="shared" si="136"/>
        <v>34</v>
      </c>
      <c r="E4389">
        <v>37.33</v>
      </c>
      <c r="F4389" s="1789">
        <v>8.8999999999999996E-2</v>
      </c>
      <c r="G4389">
        <f t="shared" si="137"/>
        <v>34</v>
      </c>
    </row>
    <row r="4390" spans="1:7" ht="12.75" customHeight="1">
      <c r="A4390" s="3">
        <v>41930</v>
      </c>
      <c r="B4390" s="4" t="s">
        <v>4413</v>
      </c>
      <c r="C4390" s="3" t="s">
        <v>50</v>
      </c>
      <c r="D4390" s="5">
        <f t="shared" si="136"/>
        <v>113.26</v>
      </c>
      <c r="E4390">
        <v>124.33</v>
      </c>
      <c r="F4390" s="1789">
        <v>8.8999999999999996E-2</v>
      </c>
      <c r="G4390">
        <f t="shared" si="137"/>
        <v>113.26</v>
      </c>
    </row>
    <row r="4391" spans="1:7" ht="12.75" customHeight="1">
      <c r="A4391" s="3">
        <v>41931</v>
      </c>
      <c r="B4391" s="4" t="s">
        <v>4414</v>
      </c>
      <c r="C4391" s="3" t="s">
        <v>50</v>
      </c>
      <c r="D4391" s="5">
        <f t="shared" si="136"/>
        <v>177.38</v>
      </c>
      <c r="E4391">
        <v>194.72</v>
      </c>
      <c r="F4391" s="1789">
        <v>8.8999999999999996E-2</v>
      </c>
      <c r="G4391">
        <f t="shared" si="137"/>
        <v>177.38</v>
      </c>
    </row>
    <row r="4392" spans="1:7" ht="12.75" customHeight="1">
      <c r="A4392" s="3">
        <v>41932</v>
      </c>
      <c r="B4392" s="4" t="s">
        <v>4415</v>
      </c>
      <c r="C4392" s="3" t="s">
        <v>50</v>
      </c>
      <c r="D4392" s="5">
        <f t="shared" si="136"/>
        <v>273.04000000000002</v>
      </c>
      <c r="E4392">
        <v>299.72000000000003</v>
      </c>
      <c r="F4392" s="1789">
        <v>8.8999999999999996E-2</v>
      </c>
      <c r="G4392">
        <f t="shared" si="137"/>
        <v>273.04000000000002</v>
      </c>
    </row>
    <row r="4393" spans="1:7" ht="12.75" customHeight="1">
      <c r="A4393" s="3">
        <v>41933</v>
      </c>
      <c r="B4393" s="4" t="s">
        <v>4416</v>
      </c>
      <c r="C4393" s="3" t="s">
        <v>50</v>
      </c>
      <c r="D4393" s="5">
        <f t="shared" si="136"/>
        <v>385.87</v>
      </c>
      <c r="E4393">
        <v>423.57</v>
      </c>
      <c r="F4393" s="1789">
        <v>8.8999999999999996E-2</v>
      </c>
      <c r="G4393">
        <f t="shared" si="137"/>
        <v>385.87</v>
      </c>
    </row>
    <row r="4394" spans="1:7" ht="12.75" customHeight="1">
      <c r="A4394" s="3">
        <v>41934</v>
      </c>
      <c r="B4394" s="4" t="s">
        <v>4417</v>
      </c>
      <c r="C4394" s="3" t="s">
        <v>50</v>
      </c>
      <c r="D4394" s="5">
        <f t="shared" si="136"/>
        <v>449.39</v>
      </c>
      <c r="E4394">
        <v>493.3</v>
      </c>
      <c r="F4394" s="1789">
        <v>8.8999999999999996E-2</v>
      </c>
      <c r="G4394">
        <f t="shared" si="137"/>
        <v>449.39</v>
      </c>
    </row>
    <row r="4395" spans="1:7" ht="12.75" customHeight="1">
      <c r="A4395" s="3">
        <v>41936</v>
      </c>
      <c r="B4395" s="4" t="s">
        <v>4418</v>
      </c>
      <c r="C4395" s="3" t="s">
        <v>50</v>
      </c>
      <c r="D4395" s="5">
        <f t="shared" si="136"/>
        <v>66.69</v>
      </c>
      <c r="E4395">
        <v>73.209999999999994</v>
      </c>
      <c r="F4395" s="1789">
        <v>8.8999999999999996E-2</v>
      </c>
      <c r="G4395">
        <f t="shared" si="137"/>
        <v>66.69</v>
      </c>
    </row>
    <row r="4396" spans="1:7" ht="12.75" customHeight="1">
      <c r="A4396" s="3">
        <v>44812</v>
      </c>
      <c r="B4396" s="4" t="s">
        <v>4419</v>
      </c>
      <c r="C4396" s="3" t="s">
        <v>50</v>
      </c>
      <c r="D4396" s="5">
        <f t="shared" si="136"/>
        <v>381.1</v>
      </c>
      <c r="E4396">
        <v>418.34</v>
      </c>
      <c r="F4396" s="1789">
        <v>8.8999999999999996E-2</v>
      </c>
      <c r="G4396">
        <f t="shared" si="137"/>
        <v>381.1</v>
      </c>
    </row>
    <row r="4397" spans="1:7" ht="12.75" customHeight="1">
      <c r="A4397" s="3">
        <v>41785</v>
      </c>
      <c r="B4397" s="4" t="s">
        <v>4420</v>
      </c>
      <c r="C4397" s="3" t="s">
        <v>50</v>
      </c>
      <c r="D4397" s="5">
        <f t="shared" si="136"/>
        <v>1412.35</v>
      </c>
      <c r="E4397">
        <v>1550.33</v>
      </c>
      <c r="F4397" s="1789">
        <v>8.8999999999999996E-2</v>
      </c>
      <c r="G4397">
        <f t="shared" si="137"/>
        <v>1412.35</v>
      </c>
    </row>
    <row r="4398" spans="1:7" ht="12.75" customHeight="1">
      <c r="A4398" s="3">
        <v>41781</v>
      </c>
      <c r="B4398" s="4" t="s">
        <v>4421</v>
      </c>
      <c r="C4398" s="3" t="s">
        <v>50</v>
      </c>
      <c r="D4398" s="5">
        <f t="shared" si="136"/>
        <v>255.01</v>
      </c>
      <c r="E4398">
        <v>279.93</v>
      </c>
      <c r="F4398" s="1789">
        <v>8.8999999999999996E-2</v>
      </c>
      <c r="G4398">
        <f t="shared" si="137"/>
        <v>255.01</v>
      </c>
    </row>
    <row r="4399" spans="1:7" ht="12.75" customHeight="1">
      <c r="A4399" s="3">
        <v>41783</v>
      </c>
      <c r="B4399" s="4" t="s">
        <v>4422</v>
      </c>
      <c r="C4399" s="3" t="s">
        <v>50</v>
      </c>
      <c r="D4399" s="5">
        <f t="shared" si="136"/>
        <v>916.82</v>
      </c>
      <c r="E4399">
        <v>1006.39</v>
      </c>
      <c r="F4399" s="1789">
        <v>8.8999999999999996E-2</v>
      </c>
      <c r="G4399">
        <f t="shared" si="137"/>
        <v>916.82</v>
      </c>
    </row>
    <row r="4400" spans="1:7" ht="12.75" customHeight="1">
      <c r="A4400" s="3">
        <v>41786</v>
      </c>
      <c r="B4400" s="4" t="s">
        <v>4423</v>
      </c>
      <c r="C4400" s="3" t="s">
        <v>50</v>
      </c>
      <c r="D4400" s="5">
        <f t="shared" si="136"/>
        <v>1951.95</v>
      </c>
      <c r="E4400">
        <v>2142.65</v>
      </c>
      <c r="F4400" s="1789">
        <v>8.8999999999999996E-2</v>
      </c>
      <c r="G4400">
        <f t="shared" si="137"/>
        <v>1951.95</v>
      </c>
    </row>
    <row r="4401" spans="1:7" ht="12.75" customHeight="1">
      <c r="A4401" s="3">
        <v>41779</v>
      </c>
      <c r="B4401" s="4" t="s">
        <v>4424</v>
      </c>
      <c r="C4401" s="3" t="s">
        <v>50</v>
      </c>
      <c r="D4401" s="5">
        <f t="shared" si="136"/>
        <v>100.43</v>
      </c>
      <c r="E4401">
        <v>110.25</v>
      </c>
      <c r="F4401" s="1789">
        <v>8.8999999999999996E-2</v>
      </c>
      <c r="G4401">
        <f t="shared" si="137"/>
        <v>100.43</v>
      </c>
    </row>
    <row r="4402" spans="1:7" ht="12.75" customHeight="1">
      <c r="A4402" s="3">
        <v>41780</v>
      </c>
      <c r="B4402" s="4" t="s">
        <v>4425</v>
      </c>
      <c r="C4402" s="3" t="s">
        <v>50</v>
      </c>
      <c r="D4402" s="5">
        <f t="shared" si="136"/>
        <v>157.34</v>
      </c>
      <c r="E4402">
        <v>172.72</v>
      </c>
      <c r="F4402" s="1789">
        <v>8.8999999999999996E-2</v>
      </c>
      <c r="G4402">
        <f t="shared" si="137"/>
        <v>157.34</v>
      </c>
    </row>
    <row r="4403" spans="1:7" ht="12.75" customHeight="1">
      <c r="A4403" s="3">
        <v>41782</v>
      </c>
      <c r="B4403" s="4" t="s">
        <v>4426</v>
      </c>
      <c r="C4403" s="3" t="s">
        <v>50</v>
      </c>
      <c r="D4403" s="5">
        <f t="shared" si="136"/>
        <v>563.66</v>
      </c>
      <c r="E4403">
        <v>618.73</v>
      </c>
      <c r="F4403" s="1789">
        <v>8.8999999999999996E-2</v>
      </c>
      <c r="G4403">
        <f t="shared" si="137"/>
        <v>563.66</v>
      </c>
    </row>
    <row r="4404" spans="1:7" ht="12.75" customHeight="1">
      <c r="A4404" s="3">
        <v>38130</v>
      </c>
      <c r="B4404" s="4" t="s">
        <v>4427</v>
      </c>
      <c r="C4404" s="3" t="s">
        <v>50</v>
      </c>
      <c r="D4404" s="5">
        <f t="shared" si="136"/>
        <v>37.64</v>
      </c>
      <c r="E4404">
        <v>41.32</v>
      </c>
      <c r="F4404" s="1789">
        <v>8.8999999999999996E-2</v>
      </c>
      <c r="G4404">
        <f t="shared" si="137"/>
        <v>37.64</v>
      </c>
    </row>
    <row r="4405" spans="1:7" ht="12.75" customHeight="1">
      <c r="A4405" s="3">
        <v>44260</v>
      </c>
      <c r="B4405" s="4" t="s">
        <v>4428</v>
      </c>
      <c r="C4405" s="3" t="s">
        <v>50</v>
      </c>
      <c r="D4405" s="5">
        <f t="shared" si="136"/>
        <v>356.31</v>
      </c>
      <c r="E4405">
        <v>391.12</v>
      </c>
      <c r="F4405" s="1789">
        <v>8.8999999999999996E-2</v>
      </c>
      <c r="G4405">
        <f t="shared" si="137"/>
        <v>356.31</v>
      </c>
    </row>
    <row r="4406" spans="1:7" ht="12.75" customHeight="1">
      <c r="A4406" s="3">
        <v>21123</v>
      </c>
      <c r="B4406" s="4" t="s">
        <v>4429</v>
      </c>
      <c r="C4406" s="3" t="s">
        <v>50</v>
      </c>
      <c r="D4406" s="5">
        <f t="shared" si="136"/>
        <v>10.47</v>
      </c>
      <c r="E4406">
        <v>11.5</v>
      </c>
      <c r="F4406" s="1789">
        <v>8.8999999999999996E-2</v>
      </c>
      <c r="G4406">
        <f t="shared" si="137"/>
        <v>10.47</v>
      </c>
    </row>
    <row r="4407" spans="1:7" ht="12.75" customHeight="1">
      <c r="A4407" s="3">
        <v>21124</v>
      </c>
      <c r="B4407" s="4" t="s">
        <v>4430</v>
      </c>
      <c r="C4407" s="3" t="s">
        <v>50</v>
      </c>
      <c r="D4407" s="5">
        <f t="shared" si="136"/>
        <v>16.73</v>
      </c>
      <c r="E4407">
        <v>18.37</v>
      </c>
      <c r="F4407" s="1789">
        <v>8.8999999999999996E-2</v>
      </c>
      <c r="G4407">
        <f t="shared" si="137"/>
        <v>16.73</v>
      </c>
    </row>
    <row r="4408" spans="1:7" ht="12.75" customHeight="1">
      <c r="A4408" s="3">
        <v>21125</v>
      </c>
      <c r="B4408" s="4" t="s">
        <v>4431</v>
      </c>
      <c r="C4408" s="3" t="s">
        <v>50</v>
      </c>
      <c r="D4408" s="5">
        <f t="shared" si="136"/>
        <v>28.82</v>
      </c>
      <c r="E4408">
        <v>31.64</v>
      </c>
      <c r="F4408" s="1789">
        <v>8.8999999999999996E-2</v>
      </c>
      <c r="G4408">
        <f t="shared" si="137"/>
        <v>28.82</v>
      </c>
    </row>
    <row r="4409" spans="1:7" ht="12.75" customHeight="1">
      <c r="A4409" s="3">
        <v>38028</v>
      </c>
      <c r="B4409" s="4" t="s">
        <v>4432</v>
      </c>
      <c r="C4409" s="3" t="s">
        <v>50</v>
      </c>
      <c r="D4409" s="5">
        <f t="shared" si="136"/>
        <v>50.39</v>
      </c>
      <c r="E4409">
        <v>55.32</v>
      </c>
      <c r="F4409" s="1789">
        <v>8.8999999999999996E-2</v>
      </c>
      <c r="G4409">
        <f t="shared" si="137"/>
        <v>50.39</v>
      </c>
    </row>
    <row r="4410" spans="1:7" ht="12.75" customHeight="1">
      <c r="A4410" s="3">
        <v>38029</v>
      </c>
      <c r="B4410" s="4" t="s">
        <v>4433</v>
      </c>
      <c r="C4410" s="3" t="s">
        <v>50</v>
      </c>
      <c r="D4410" s="5">
        <f t="shared" si="136"/>
        <v>73.760000000000005</v>
      </c>
      <c r="E4410">
        <v>80.97</v>
      </c>
      <c r="F4410" s="1789">
        <v>8.8999999999999996E-2</v>
      </c>
      <c r="G4410">
        <f t="shared" si="137"/>
        <v>73.760000000000005</v>
      </c>
    </row>
    <row r="4411" spans="1:7" ht="12.75" customHeight="1">
      <c r="A4411" s="3">
        <v>38030</v>
      </c>
      <c r="B4411" s="4" t="s">
        <v>4434</v>
      </c>
      <c r="C4411" s="3" t="s">
        <v>50</v>
      </c>
      <c r="D4411" s="5">
        <f t="shared" si="136"/>
        <v>119.27</v>
      </c>
      <c r="E4411">
        <v>130.93</v>
      </c>
      <c r="F4411" s="1789">
        <v>8.8999999999999996E-2</v>
      </c>
      <c r="G4411">
        <f t="shared" si="137"/>
        <v>119.27</v>
      </c>
    </row>
    <row r="4412" spans="1:7" ht="12.75" customHeight="1">
      <c r="A4412" s="3">
        <v>38031</v>
      </c>
      <c r="B4412" s="4" t="s">
        <v>4435</v>
      </c>
      <c r="C4412" s="3" t="s">
        <v>50</v>
      </c>
      <c r="D4412" s="5">
        <f t="shared" si="136"/>
        <v>187.21</v>
      </c>
      <c r="E4412">
        <v>205.51</v>
      </c>
      <c r="F4412" s="1789">
        <v>8.8999999999999996E-2</v>
      </c>
      <c r="G4412">
        <f t="shared" si="137"/>
        <v>187.21</v>
      </c>
    </row>
    <row r="4413" spans="1:7" ht="12.75" customHeight="1">
      <c r="A4413" s="3">
        <v>39735</v>
      </c>
      <c r="B4413" s="4" t="s">
        <v>4436</v>
      </c>
      <c r="C4413" s="3" t="s">
        <v>50</v>
      </c>
      <c r="D4413" s="5">
        <f t="shared" si="136"/>
        <v>71.319999999999993</v>
      </c>
      <c r="E4413">
        <v>78.290000000000006</v>
      </c>
      <c r="F4413" s="1789">
        <v>8.8999999999999996E-2</v>
      </c>
      <c r="G4413">
        <f t="shared" si="137"/>
        <v>71.319999999999993</v>
      </c>
    </row>
    <row r="4414" spans="1:7" ht="12.75" customHeight="1">
      <c r="A4414" s="3">
        <v>39734</v>
      </c>
      <c r="B4414" s="4" t="s">
        <v>4437</v>
      </c>
      <c r="C4414" s="3" t="s">
        <v>50</v>
      </c>
      <c r="D4414" s="5">
        <f t="shared" si="136"/>
        <v>84.6</v>
      </c>
      <c r="E4414">
        <v>92.87</v>
      </c>
      <c r="F4414" s="1789">
        <v>8.8999999999999996E-2</v>
      </c>
      <c r="G4414">
        <f t="shared" si="137"/>
        <v>84.6</v>
      </c>
    </row>
    <row r="4415" spans="1:7" ht="12.75" customHeight="1">
      <c r="A4415" s="3">
        <v>39736</v>
      </c>
      <c r="B4415" s="4" t="s">
        <v>4438</v>
      </c>
      <c r="C4415" s="3" t="s">
        <v>50</v>
      </c>
      <c r="D4415" s="5">
        <f t="shared" si="136"/>
        <v>96.55</v>
      </c>
      <c r="E4415">
        <v>105.99</v>
      </c>
      <c r="F4415" s="1789">
        <v>8.8999999999999996E-2</v>
      </c>
      <c r="G4415">
        <f t="shared" si="137"/>
        <v>96.55</v>
      </c>
    </row>
    <row r="4416" spans="1:7" ht="12.75" customHeight="1">
      <c r="A4416" s="3">
        <v>39737</v>
      </c>
      <c r="B4416" s="4" t="s">
        <v>4439</v>
      </c>
      <c r="C4416" s="3" t="s">
        <v>50</v>
      </c>
      <c r="D4416" s="5">
        <f t="shared" si="136"/>
        <v>12.98</v>
      </c>
      <c r="E4416">
        <v>14.25</v>
      </c>
      <c r="F4416" s="1789">
        <v>8.8999999999999996E-2</v>
      </c>
      <c r="G4416">
        <f t="shared" si="137"/>
        <v>12.98</v>
      </c>
    </row>
    <row r="4417" spans="1:7" ht="12.75" customHeight="1">
      <c r="A4417" s="3">
        <v>39738</v>
      </c>
      <c r="B4417" s="4" t="s">
        <v>4440</v>
      </c>
      <c r="C4417" s="3" t="s">
        <v>50</v>
      </c>
      <c r="D4417" s="5">
        <f t="shared" si="136"/>
        <v>4.6900000000000004</v>
      </c>
      <c r="E4417">
        <v>5.15</v>
      </c>
      <c r="F4417" s="1789">
        <v>8.8999999999999996E-2</v>
      </c>
      <c r="G4417">
        <f t="shared" si="137"/>
        <v>4.6900000000000004</v>
      </c>
    </row>
    <row r="4418" spans="1:7" ht="12.75" customHeight="1">
      <c r="A4418" s="3">
        <v>39739</v>
      </c>
      <c r="B4418" s="4" t="s">
        <v>4441</v>
      </c>
      <c r="C4418" s="3" t="s">
        <v>50</v>
      </c>
      <c r="D4418" s="5">
        <f t="shared" si="136"/>
        <v>66.760000000000005</v>
      </c>
      <c r="E4418">
        <v>73.290000000000006</v>
      </c>
      <c r="F4418" s="1789">
        <v>8.8999999999999996E-2</v>
      </c>
      <c r="G4418">
        <f t="shared" si="137"/>
        <v>66.760000000000005</v>
      </c>
    </row>
    <row r="4419" spans="1:7" ht="12.75" customHeight="1">
      <c r="A4419" s="3">
        <v>39733</v>
      </c>
      <c r="B4419" s="4" t="s">
        <v>4442</v>
      </c>
      <c r="C4419" s="3" t="s">
        <v>50</v>
      </c>
      <c r="D4419" s="5">
        <f t="shared" ref="D4419:D4482" si="138">G4419</f>
        <v>115.54</v>
      </c>
      <c r="E4419">
        <v>126.83</v>
      </c>
      <c r="F4419" s="1789">
        <v>8.8999999999999996E-2</v>
      </c>
      <c r="G4419">
        <f t="shared" ref="G4419:G4482" si="139">TRUNC((1-F4419)*E4419,2)</f>
        <v>115.54</v>
      </c>
    </row>
    <row r="4420" spans="1:7" ht="12.75" customHeight="1">
      <c r="A4420" s="3">
        <v>39854</v>
      </c>
      <c r="B4420" s="4" t="s">
        <v>4443</v>
      </c>
      <c r="C4420" s="3" t="s">
        <v>50</v>
      </c>
      <c r="D4420" s="5">
        <f t="shared" si="138"/>
        <v>117.18</v>
      </c>
      <c r="E4420">
        <v>128.63</v>
      </c>
      <c r="F4420" s="1789">
        <v>8.8999999999999996E-2</v>
      </c>
      <c r="G4420">
        <f t="shared" si="139"/>
        <v>117.18</v>
      </c>
    </row>
    <row r="4421" spans="1:7" ht="12.75" customHeight="1">
      <c r="A4421" s="3">
        <v>39740</v>
      </c>
      <c r="B4421" s="4" t="s">
        <v>4444</v>
      </c>
      <c r="C4421" s="3" t="s">
        <v>50</v>
      </c>
      <c r="D4421" s="5">
        <f t="shared" si="138"/>
        <v>64.11</v>
      </c>
      <c r="E4421">
        <v>70.38</v>
      </c>
      <c r="F4421" s="1789">
        <v>8.8999999999999996E-2</v>
      </c>
      <c r="G4421">
        <f t="shared" si="139"/>
        <v>64.11</v>
      </c>
    </row>
    <row r="4422" spans="1:7" ht="12.75" customHeight="1">
      <c r="A4422" s="3">
        <v>39741</v>
      </c>
      <c r="B4422" s="4" t="s">
        <v>4445</v>
      </c>
      <c r="C4422" s="3" t="s">
        <v>50</v>
      </c>
      <c r="D4422" s="5">
        <f t="shared" si="138"/>
        <v>11.81</v>
      </c>
      <c r="E4422">
        <v>12.97</v>
      </c>
      <c r="F4422" s="1789">
        <v>8.8999999999999996E-2</v>
      </c>
      <c r="G4422">
        <f t="shared" si="139"/>
        <v>11.81</v>
      </c>
    </row>
    <row r="4423" spans="1:7" ht="12.75" customHeight="1">
      <c r="A4423" s="3">
        <v>39853</v>
      </c>
      <c r="B4423" s="4" t="s">
        <v>4446</v>
      </c>
      <c r="C4423" s="3" t="s">
        <v>50</v>
      </c>
      <c r="D4423" s="5">
        <f t="shared" si="138"/>
        <v>15.51</v>
      </c>
      <c r="E4423">
        <v>17.03</v>
      </c>
      <c r="F4423" s="1789">
        <v>8.8999999999999996E-2</v>
      </c>
      <c r="G4423">
        <f t="shared" si="139"/>
        <v>15.51</v>
      </c>
    </row>
    <row r="4424" spans="1:7" ht="12.75" customHeight="1">
      <c r="A4424" s="3">
        <v>39742</v>
      </c>
      <c r="B4424" s="4" t="s">
        <v>4447</v>
      </c>
      <c r="C4424" s="3" t="s">
        <v>50</v>
      </c>
      <c r="D4424" s="5">
        <f t="shared" si="138"/>
        <v>51.53</v>
      </c>
      <c r="E4424">
        <v>56.57</v>
      </c>
      <c r="F4424" s="1789">
        <v>8.8999999999999996E-2</v>
      </c>
      <c r="G4424">
        <f t="shared" si="139"/>
        <v>51.53</v>
      </c>
    </row>
    <row r="4425" spans="1:7" ht="12.75" customHeight="1">
      <c r="A4425" s="3">
        <v>39751</v>
      </c>
      <c r="B4425" s="4" t="s">
        <v>4448</v>
      </c>
      <c r="C4425" s="3" t="s">
        <v>50</v>
      </c>
      <c r="D4425" s="5">
        <f t="shared" si="138"/>
        <v>160.59</v>
      </c>
      <c r="E4425">
        <v>176.28</v>
      </c>
      <c r="F4425" s="1789">
        <v>8.8999999999999996E-2</v>
      </c>
      <c r="G4425">
        <f t="shared" si="139"/>
        <v>160.59</v>
      </c>
    </row>
    <row r="4426" spans="1:7" ht="12.75" customHeight="1">
      <c r="A4426" s="3">
        <v>39750</v>
      </c>
      <c r="B4426" s="4" t="s">
        <v>4449</v>
      </c>
      <c r="C4426" s="3" t="s">
        <v>50</v>
      </c>
      <c r="D4426" s="5">
        <f t="shared" si="138"/>
        <v>133.47</v>
      </c>
      <c r="E4426">
        <v>146.52000000000001</v>
      </c>
      <c r="F4426" s="1789">
        <v>8.8999999999999996E-2</v>
      </c>
      <c r="G4426">
        <f t="shared" si="139"/>
        <v>133.47</v>
      </c>
    </row>
    <row r="4427" spans="1:7" ht="12.75" customHeight="1">
      <c r="A4427" s="3">
        <v>39747</v>
      </c>
      <c r="B4427" s="4" t="s">
        <v>4450</v>
      </c>
      <c r="C4427" s="3" t="s">
        <v>50</v>
      </c>
      <c r="D4427" s="5">
        <f t="shared" si="138"/>
        <v>42.93</v>
      </c>
      <c r="E4427">
        <v>47.13</v>
      </c>
      <c r="F4427" s="1789">
        <v>8.8999999999999996E-2</v>
      </c>
      <c r="G4427">
        <f t="shared" si="139"/>
        <v>42.93</v>
      </c>
    </row>
    <row r="4428" spans="1:7" ht="12.75" customHeight="1">
      <c r="A4428" s="3">
        <v>39749</v>
      </c>
      <c r="B4428" s="4" t="s">
        <v>4451</v>
      </c>
      <c r="C4428" s="3" t="s">
        <v>50</v>
      </c>
      <c r="D4428" s="5">
        <f t="shared" si="138"/>
        <v>88.37</v>
      </c>
      <c r="E4428">
        <v>97.01</v>
      </c>
      <c r="F4428" s="1789">
        <v>8.8999999999999996E-2</v>
      </c>
      <c r="G4428">
        <f t="shared" si="139"/>
        <v>88.37</v>
      </c>
    </row>
    <row r="4429" spans="1:7" ht="12.75" customHeight="1">
      <c r="A4429" s="3">
        <v>39753</v>
      </c>
      <c r="B4429" s="4" t="s">
        <v>4452</v>
      </c>
      <c r="C4429" s="3" t="s">
        <v>50</v>
      </c>
      <c r="D4429" s="5">
        <f t="shared" si="138"/>
        <v>295.60000000000002</v>
      </c>
      <c r="E4429">
        <v>324.48</v>
      </c>
      <c r="F4429" s="1789">
        <v>8.8999999999999996E-2</v>
      </c>
      <c r="G4429">
        <f t="shared" si="139"/>
        <v>295.60000000000002</v>
      </c>
    </row>
    <row r="4430" spans="1:7" ht="12.75" customHeight="1">
      <c r="A4430" s="3">
        <v>39748</v>
      </c>
      <c r="B4430" s="4" t="s">
        <v>4453</v>
      </c>
      <c r="C4430" s="3" t="s">
        <v>50</v>
      </c>
      <c r="D4430" s="5">
        <f t="shared" si="138"/>
        <v>69.47</v>
      </c>
      <c r="E4430">
        <v>76.260000000000005</v>
      </c>
      <c r="F4430" s="1789">
        <v>8.8999999999999996E-2</v>
      </c>
      <c r="G4430">
        <f t="shared" si="139"/>
        <v>69.47</v>
      </c>
    </row>
    <row r="4431" spans="1:7" ht="12.75" customHeight="1">
      <c r="A4431" s="3">
        <v>39754</v>
      </c>
      <c r="B4431" s="4" t="s">
        <v>4454</v>
      </c>
      <c r="C4431" s="3" t="s">
        <v>50</v>
      </c>
      <c r="D4431" s="5">
        <f t="shared" si="138"/>
        <v>435.5</v>
      </c>
      <c r="E4431">
        <v>478.05</v>
      </c>
      <c r="F4431" s="1789">
        <v>8.8999999999999996E-2</v>
      </c>
      <c r="G4431">
        <f t="shared" si="139"/>
        <v>435.5</v>
      </c>
    </row>
    <row r="4432" spans="1:7" ht="12.75" customHeight="1">
      <c r="A4432" s="3">
        <v>39755</v>
      </c>
      <c r="B4432" s="4" t="s">
        <v>4455</v>
      </c>
      <c r="C4432" s="3" t="s">
        <v>50</v>
      </c>
      <c r="D4432" s="5">
        <f t="shared" si="138"/>
        <v>660.32</v>
      </c>
      <c r="E4432">
        <v>724.84</v>
      </c>
      <c r="F4432" s="1789">
        <v>8.8999999999999996E-2</v>
      </c>
      <c r="G4432">
        <f t="shared" si="139"/>
        <v>660.32</v>
      </c>
    </row>
    <row r="4433" spans="1:7" ht="12.75" customHeight="1">
      <c r="A4433" s="3">
        <v>12742</v>
      </c>
      <c r="B4433" s="4" t="s">
        <v>4456</v>
      </c>
      <c r="C4433" s="3" t="s">
        <v>50</v>
      </c>
      <c r="D4433" s="5">
        <f t="shared" si="138"/>
        <v>522.86</v>
      </c>
      <c r="E4433">
        <v>573.95000000000005</v>
      </c>
      <c r="F4433" s="1789">
        <v>8.8999999999999996E-2</v>
      </c>
      <c r="G4433">
        <f t="shared" si="139"/>
        <v>522.86</v>
      </c>
    </row>
    <row r="4434" spans="1:7" ht="12.75" customHeight="1">
      <c r="A4434" s="3">
        <v>12713</v>
      </c>
      <c r="B4434" s="4" t="s">
        <v>4457</v>
      </c>
      <c r="C4434" s="3" t="s">
        <v>50</v>
      </c>
      <c r="D4434" s="5">
        <f t="shared" si="138"/>
        <v>27.73</v>
      </c>
      <c r="E4434">
        <v>30.44</v>
      </c>
      <c r="F4434" s="1789">
        <v>8.8999999999999996E-2</v>
      </c>
      <c r="G4434">
        <f t="shared" si="139"/>
        <v>27.73</v>
      </c>
    </row>
    <row r="4435" spans="1:7" ht="12.75" customHeight="1">
      <c r="A4435" s="3">
        <v>12743</v>
      </c>
      <c r="B4435" s="4" t="s">
        <v>4458</v>
      </c>
      <c r="C4435" s="3" t="s">
        <v>50</v>
      </c>
      <c r="D4435" s="5">
        <f t="shared" si="138"/>
        <v>47.69</v>
      </c>
      <c r="E4435">
        <v>52.36</v>
      </c>
      <c r="F4435" s="1789">
        <v>8.8999999999999996E-2</v>
      </c>
      <c r="G4435">
        <f t="shared" si="139"/>
        <v>47.69</v>
      </c>
    </row>
    <row r="4436" spans="1:7" ht="12.75" customHeight="1">
      <c r="A4436" s="3">
        <v>12744</v>
      </c>
      <c r="B4436" s="4" t="s">
        <v>4459</v>
      </c>
      <c r="C4436" s="3" t="s">
        <v>50</v>
      </c>
      <c r="D4436" s="5">
        <f t="shared" si="138"/>
        <v>60.54</v>
      </c>
      <c r="E4436">
        <v>66.459999999999994</v>
      </c>
      <c r="F4436" s="1789">
        <v>8.8999999999999996E-2</v>
      </c>
      <c r="G4436">
        <f t="shared" si="139"/>
        <v>60.54</v>
      </c>
    </row>
    <row r="4437" spans="1:7" ht="12.75" customHeight="1">
      <c r="A4437" s="3">
        <v>12745</v>
      </c>
      <c r="B4437" s="4" t="s">
        <v>4460</v>
      </c>
      <c r="C4437" s="3" t="s">
        <v>50</v>
      </c>
      <c r="D4437" s="5">
        <f t="shared" si="138"/>
        <v>87.92</v>
      </c>
      <c r="E4437">
        <v>96.51</v>
      </c>
      <c r="F4437" s="1789">
        <v>8.8999999999999996E-2</v>
      </c>
      <c r="G4437">
        <f t="shared" si="139"/>
        <v>87.92</v>
      </c>
    </row>
    <row r="4438" spans="1:7" ht="12.75" customHeight="1">
      <c r="A4438" s="3">
        <v>12746</v>
      </c>
      <c r="B4438" s="4" t="s">
        <v>4461</v>
      </c>
      <c r="C4438" s="3" t="s">
        <v>50</v>
      </c>
      <c r="D4438" s="5">
        <f t="shared" si="138"/>
        <v>118.72</v>
      </c>
      <c r="E4438">
        <v>130.32</v>
      </c>
      <c r="F4438" s="1789">
        <v>8.8999999999999996E-2</v>
      </c>
      <c r="G4438">
        <f t="shared" si="139"/>
        <v>118.72</v>
      </c>
    </row>
    <row r="4439" spans="1:7" ht="12.75" customHeight="1">
      <c r="A4439" s="3">
        <v>12747</v>
      </c>
      <c r="B4439" s="4" t="s">
        <v>4462</v>
      </c>
      <c r="C4439" s="3" t="s">
        <v>50</v>
      </c>
      <c r="D4439" s="5">
        <f t="shared" si="138"/>
        <v>172.17</v>
      </c>
      <c r="E4439">
        <v>189</v>
      </c>
      <c r="F4439" s="1789">
        <v>8.8999999999999996E-2</v>
      </c>
      <c r="G4439">
        <f t="shared" si="139"/>
        <v>172.17</v>
      </c>
    </row>
    <row r="4440" spans="1:7" ht="12.75" customHeight="1">
      <c r="A4440" s="3">
        <v>12748</v>
      </c>
      <c r="B4440" s="4" t="s">
        <v>4463</v>
      </c>
      <c r="C4440" s="3" t="s">
        <v>50</v>
      </c>
      <c r="D4440" s="5">
        <f t="shared" si="138"/>
        <v>242.56</v>
      </c>
      <c r="E4440">
        <v>266.26</v>
      </c>
      <c r="F4440" s="1789">
        <v>8.8999999999999996E-2</v>
      </c>
      <c r="G4440">
        <f t="shared" si="139"/>
        <v>242.56</v>
      </c>
    </row>
    <row r="4441" spans="1:7" ht="12.75" customHeight="1">
      <c r="A4441" s="3">
        <v>12749</v>
      </c>
      <c r="B4441" s="4" t="s">
        <v>4464</v>
      </c>
      <c r="C4441" s="3" t="s">
        <v>50</v>
      </c>
      <c r="D4441" s="5">
        <f t="shared" si="138"/>
        <v>354.58</v>
      </c>
      <c r="E4441">
        <v>389.23</v>
      </c>
      <c r="F4441" s="1789">
        <v>8.8999999999999996E-2</v>
      </c>
      <c r="G4441">
        <f t="shared" si="139"/>
        <v>354.58</v>
      </c>
    </row>
    <row r="4442" spans="1:7" ht="12.75" customHeight="1">
      <c r="A4442" s="3">
        <v>39660</v>
      </c>
      <c r="B4442" s="4" t="s">
        <v>4465</v>
      </c>
      <c r="C4442" s="3" t="s">
        <v>50</v>
      </c>
      <c r="D4442" s="5">
        <f t="shared" si="138"/>
        <v>36.53</v>
      </c>
      <c r="E4442">
        <v>40.1</v>
      </c>
      <c r="F4442" s="1789">
        <v>8.8999999999999996E-2</v>
      </c>
      <c r="G4442">
        <f t="shared" si="139"/>
        <v>36.53</v>
      </c>
    </row>
    <row r="4443" spans="1:7" ht="12.75" customHeight="1">
      <c r="A4443" s="3">
        <v>39662</v>
      </c>
      <c r="B4443" s="4" t="s">
        <v>4466</v>
      </c>
      <c r="C4443" s="3" t="s">
        <v>50</v>
      </c>
      <c r="D4443" s="5">
        <f t="shared" si="138"/>
        <v>17.5</v>
      </c>
      <c r="E4443">
        <v>19.22</v>
      </c>
      <c r="F4443" s="1789">
        <v>8.8999999999999996E-2</v>
      </c>
      <c r="G4443">
        <f t="shared" si="139"/>
        <v>17.5</v>
      </c>
    </row>
    <row r="4444" spans="1:7" ht="12.75" customHeight="1">
      <c r="A4444" s="3">
        <v>39661</v>
      </c>
      <c r="B4444" s="4" t="s">
        <v>4467</v>
      </c>
      <c r="C4444" s="3" t="s">
        <v>50</v>
      </c>
      <c r="D4444" s="5">
        <f t="shared" si="138"/>
        <v>11.94</v>
      </c>
      <c r="E4444">
        <v>13.11</v>
      </c>
      <c r="F4444" s="1789">
        <v>8.8999999999999996E-2</v>
      </c>
      <c r="G4444">
        <f t="shared" si="139"/>
        <v>11.94</v>
      </c>
    </row>
    <row r="4445" spans="1:7" ht="12.75" customHeight="1">
      <c r="A4445" s="3">
        <v>39666</v>
      </c>
      <c r="B4445" s="4" t="s">
        <v>4468</v>
      </c>
      <c r="C4445" s="3" t="s">
        <v>50</v>
      </c>
      <c r="D4445" s="5">
        <f t="shared" si="138"/>
        <v>54.96</v>
      </c>
      <c r="E4445">
        <v>60.33</v>
      </c>
      <c r="F4445" s="1789">
        <v>8.8999999999999996E-2</v>
      </c>
      <c r="G4445">
        <f t="shared" si="139"/>
        <v>54.96</v>
      </c>
    </row>
    <row r="4446" spans="1:7" ht="12.75" customHeight="1">
      <c r="A4446" s="3">
        <v>39664</v>
      </c>
      <c r="B4446" s="4" t="s">
        <v>4469</v>
      </c>
      <c r="C4446" s="3" t="s">
        <v>50</v>
      </c>
      <c r="D4446" s="5">
        <f t="shared" si="138"/>
        <v>26.93</v>
      </c>
      <c r="E4446">
        <v>29.57</v>
      </c>
      <c r="F4446" s="1789">
        <v>8.8999999999999996E-2</v>
      </c>
      <c r="G4446">
        <f t="shared" si="139"/>
        <v>26.93</v>
      </c>
    </row>
    <row r="4447" spans="1:7" ht="12.75" customHeight="1">
      <c r="A4447" s="3">
        <v>39663</v>
      </c>
      <c r="B4447" s="4" t="s">
        <v>4470</v>
      </c>
      <c r="C4447" s="3" t="s">
        <v>50</v>
      </c>
      <c r="D4447" s="5">
        <f t="shared" si="138"/>
        <v>21.53</v>
      </c>
      <c r="E4447">
        <v>23.64</v>
      </c>
      <c r="F4447" s="1789">
        <v>8.8999999999999996E-2</v>
      </c>
      <c r="G4447">
        <f t="shared" si="139"/>
        <v>21.53</v>
      </c>
    </row>
    <row r="4448" spans="1:7" ht="12.75" customHeight="1">
      <c r="A4448" s="3">
        <v>39665</v>
      </c>
      <c r="B4448" s="4" t="s">
        <v>4471</v>
      </c>
      <c r="C4448" s="3" t="s">
        <v>50</v>
      </c>
      <c r="D4448" s="5">
        <f t="shared" si="138"/>
        <v>45.44</v>
      </c>
      <c r="E4448">
        <v>49.88</v>
      </c>
      <c r="F4448" s="1789">
        <v>8.8999999999999996E-2</v>
      </c>
      <c r="G4448">
        <f t="shared" si="139"/>
        <v>45.44</v>
      </c>
    </row>
    <row r="4449" spans="1:7" ht="12.75" customHeight="1">
      <c r="A4449" s="3">
        <v>39752</v>
      </c>
      <c r="B4449" s="4" t="s">
        <v>4472</v>
      </c>
      <c r="C4449" s="3" t="s">
        <v>50</v>
      </c>
      <c r="D4449" s="5">
        <f t="shared" si="138"/>
        <v>228.5</v>
      </c>
      <c r="E4449">
        <v>250.83</v>
      </c>
      <c r="F4449" s="1789">
        <v>8.8999999999999996E-2</v>
      </c>
      <c r="G4449">
        <f t="shared" si="139"/>
        <v>228.5</v>
      </c>
    </row>
    <row r="4450" spans="1:7" ht="12.75" customHeight="1">
      <c r="A4450" s="3">
        <v>7725</v>
      </c>
      <c r="B4450" s="4" t="s">
        <v>4473</v>
      </c>
      <c r="C4450" s="3" t="s">
        <v>50</v>
      </c>
      <c r="D4450" s="5">
        <f t="shared" si="138"/>
        <v>205.49</v>
      </c>
      <c r="E4450">
        <v>225.57</v>
      </c>
      <c r="F4450" s="1789">
        <v>8.8999999999999996E-2</v>
      </c>
      <c r="G4450">
        <f t="shared" si="139"/>
        <v>205.49</v>
      </c>
    </row>
    <row r="4451" spans="1:7" ht="12.75" customHeight="1">
      <c r="A4451" s="3">
        <v>7753</v>
      </c>
      <c r="B4451" s="4" t="s">
        <v>4474</v>
      </c>
      <c r="C4451" s="3" t="s">
        <v>50</v>
      </c>
      <c r="D4451" s="5">
        <f t="shared" si="138"/>
        <v>400.62</v>
      </c>
      <c r="E4451">
        <v>439.76</v>
      </c>
      <c r="F4451" s="1789">
        <v>8.8999999999999996E-2</v>
      </c>
      <c r="G4451">
        <f t="shared" si="139"/>
        <v>400.62</v>
      </c>
    </row>
    <row r="4452" spans="1:7" ht="12.75" customHeight="1">
      <c r="A4452" s="3">
        <v>13256</v>
      </c>
      <c r="B4452" s="4" t="s">
        <v>4475</v>
      </c>
      <c r="C4452" s="3" t="s">
        <v>50</v>
      </c>
      <c r="D4452" s="5">
        <f t="shared" si="138"/>
        <v>561.22</v>
      </c>
      <c r="E4452">
        <v>616.04999999999995</v>
      </c>
      <c r="F4452" s="1789">
        <v>8.8999999999999996E-2</v>
      </c>
      <c r="G4452">
        <f t="shared" si="139"/>
        <v>561.22</v>
      </c>
    </row>
    <row r="4453" spans="1:7" ht="12.75" customHeight="1">
      <c r="A4453" s="3">
        <v>7757</v>
      </c>
      <c r="B4453" s="4" t="s">
        <v>4476</v>
      </c>
      <c r="C4453" s="3" t="s">
        <v>50</v>
      </c>
      <c r="D4453" s="5">
        <f t="shared" si="138"/>
        <v>598.34</v>
      </c>
      <c r="E4453">
        <v>656.8</v>
      </c>
      <c r="F4453" s="1789">
        <v>8.8999999999999996E-2</v>
      </c>
      <c r="G4453">
        <f t="shared" si="139"/>
        <v>598.34</v>
      </c>
    </row>
    <row r="4454" spans="1:7" ht="12.75" customHeight="1">
      <c r="A4454" s="3">
        <v>7758</v>
      </c>
      <c r="B4454" s="4" t="s">
        <v>4477</v>
      </c>
      <c r="C4454" s="3" t="s">
        <v>50</v>
      </c>
      <c r="D4454" s="5">
        <f t="shared" si="138"/>
        <v>866.87</v>
      </c>
      <c r="E4454">
        <v>951.56</v>
      </c>
      <c r="F4454" s="1789">
        <v>8.8999999999999996E-2</v>
      </c>
      <c r="G4454">
        <f t="shared" si="139"/>
        <v>866.87</v>
      </c>
    </row>
    <row r="4455" spans="1:7" ht="12.75" customHeight="1">
      <c r="A4455" s="3">
        <v>7759</v>
      </c>
      <c r="B4455" s="4" t="s">
        <v>4478</v>
      </c>
      <c r="C4455" s="3" t="s">
        <v>50</v>
      </c>
      <c r="D4455" s="5">
        <f t="shared" si="138"/>
        <v>2402.1</v>
      </c>
      <c r="E4455">
        <v>2636.78</v>
      </c>
      <c r="F4455" s="1789">
        <v>8.8999999999999996E-2</v>
      </c>
      <c r="G4455">
        <f t="shared" si="139"/>
        <v>2402.1</v>
      </c>
    </row>
    <row r="4456" spans="1:7" ht="12.75" customHeight="1">
      <c r="A4456" s="3">
        <v>40334</v>
      </c>
      <c r="B4456" s="4" t="s">
        <v>4479</v>
      </c>
      <c r="C4456" s="3" t="s">
        <v>50</v>
      </c>
      <c r="D4456" s="5">
        <f t="shared" si="138"/>
        <v>94.1</v>
      </c>
      <c r="E4456">
        <v>103.3</v>
      </c>
      <c r="F4456" s="1789">
        <v>8.8999999999999996E-2</v>
      </c>
      <c r="G4456">
        <f t="shared" si="139"/>
        <v>94.1</v>
      </c>
    </row>
    <row r="4457" spans="1:7" ht="12.75" customHeight="1">
      <c r="A4457" s="3">
        <v>7745</v>
      </c>
      <c r="B4457" s="4" t="s">
        <v>4480</v>
      </c>
      <c r="C4457" s="3" t="s">
        <v>50</v>
      </c>
      <c r="D4457" s="5">
        <f t="shared" si="138"/>
        <v>106.19</v>
      </c>
      <c r="E4457">
        <v>116.57</v>
      </c>
      <c r="F4457" s="1789">
        <v>8.8999999999999996E-2</v>
      </c>
      <c r="G4457">
        <f t="shared" si="139"/>
        <v>106.19</v>
      </c>
    </row>
    <row r="4458" spans="1:7" ht="12.75" customHeight="1">
      <c r="A4458" s="3">
        <v>7742</v>
      </c>
      <c r="B4458" s="4" t="s">
        <v>4481</v>
      </c>
      <c r="C4458" s="3" t="s">
        <v>50</v>
      </c>
      <c r="D4458" s="5">
        <f t="shared" si="138"/>
        <v>280.08</v>
      </c>
      <c r="E4458">
        <v>307.45</v>
      </c>
      <c r="F4458" s="1789">
        <v>8.8999999999999996E-2</v>
      </c>
      <c r="G4458">
        <f t="shared" si="139"/>
        <v>280.08</v>
      </c>
    </row>
    <row r="4459" spans="1:7" ht="12.75" customHeight="1">
      <c r="A4459" s="3">
        <v>7750</v>
      </c>
      <c r="B4459" s="4" t="s">
        <v>4482</v>
      </c>
      <c r="C4459" s="3" t="s">
        <v>50</v>
      </c>
      <c r="D4459" s="5">
        <f t="shared" si="138"/>
        <v>341.9</v>
      </c>
      <c r="E4459">
        <v>375.31</v>
      </c>
      <c r="F4459" s="1789">
        <v>8.8999999999999996E-2</v>
      </c>
      <c r="G4459">
        <f t="shared" si="139"/>
        <v>341.9</v>
      </c>
    </row>
    <row r="4460" spans="1:7" ht="12.75" customHeight="1">
      <c r="A4460" s="3">
        <v>7756</v>
      </c>
      <c r="B4460" s="4" t="s">
        <v>4483</v>
      </c>
      <c r="C4460" s="3" t="s">
        <v>50</v>
      </c>
      <c r="D4460" s="5">
        <f t="shared" si="138"/>
        <v>392.85</v>
      </c>
      <c r="E4460">
        <v>431.23</v>
      </c>
      <c r="F4460" s="1789">
        <v>8.8999999999999996E-2</v>
      </c>
      <c r="G4460">
        <f t="shared" si="139"/>
        <v>392.85</v>
      </c>
    </row>
    <row r="4461" spans="1:7" ht="12.75" customHeight="1">
      <c r="A4461" s="3">
        <v>7765</v>
      </c>
      <c r="B4461" s="4" t="s">
        <v>4484</v>
      </c>
      <c r="C4461" s="3" t="s">
        <v>50</v>
      </c>
      <c r="D4461" s="5">
        <f t="shared" si="138"/>
        <v>440.34</v>
      </c>
      <c r="E4461">
        <v>483.36</v>
      </c>
      <c r="F4461" s="1789">
        <v>8.8999999999999996E-2</v>
      </c>
      <c r="G4461">
        <f t="shared" si="139"/>
        <v>440.34</v>
      </c>
    </row>
    <row r="4462" spans="1:7" ht="12.75" customHeight="1">
      <c r="A4462" s="3">
        <v>12569</v>
      </c>
      <c r="B4462" s="4" t="s">
        <v>4485</v>
      </c>
      <c r="C4462" s="3" t="s">
        <v>50</v>
      </c>
      <c r="D4462" s="5">
        <f t="shared" si="138"/>
        <v>607.84</v>
      </c>
      <c r="E4462">
        <v>667.23</v>
      </c>
      <c r="F4462" s="1789">
        <v>8.8999999999999996E-2</v>
      </c>
      <c r="G4462">
        <f t="shared" si="139"/>
        <v>607.84</v>
      </c>
    </row>
    <row r="4463" spans="1:7" ht="12.75" customHeight="1">
      <c r="A4463" s="3">
        <v>7766</v>
      </c>
      <c r="B4463" s="4" t="s">
        <v>4486</v>
      </c>
      <c r="C4463" s="3" t="s">
        <v>50</v>
      </c>
      <c r="D4463" s="5">
        <f t="shared" si="138"/>
        <v>645.83000000000004</v>
      </c>
      <c r="E4463">
        <v>708.93</v>
      </c>
      <c r="F4463" s="1789">
        <v>8.8999999999999996E-2</v>
      </c>
      <c r="G4463">
        <f t="shared" si="139"/>
        <v>645.83000000000004</v>
      </c>
    </row>
    <row r="4464" spans="1:7" ht="12.75" customHeight="1">
      <c r="A4464" s="3">
        <v>7767</v>
      </c>
      <c r="B4464" s="4" t="s">
        <v>4487</v>
      </c>
      <c r="C4464" s="3" t="s">
        <v>50</v>
      </c>
      <c r="D4464" s="5">
        <f t="shared" si="138"/>
        <v>927.3</v>
      </c>
      <c r="E4464">
        <v>1017.9</v>
      </c>
      <c r="F4464" s="1789">
        <v>8.8999999999999996E-2</v>
      </c>
      <c r="G4464">
        <f t="shared" si="139"/>
        <v>927.3</v>
      </c>
    </row>
    <row r="4465" spans="1:7" ht="12.75" customHeight="1">
      <c r="A4465" s="3">
        <v>7727</v>
      </c>
      <c r="B4465" s="4" t="s">
        <v>4488</v>
      </c>
      <c r="C4465" s="3" t="s">
        <v>50</v>
      </c>
      <c r="D4465" s="5">
        <f t="shared" si="138"/>
        <v>2693.87</v>
      </c>
      <c r="E4465">
        <v>2957.05</v>
      </c>
      <c r="F4465" s="1789">
        <v>8.8999999999999996E-2</v>
      </c>
      <c r="G4465">
        <f t="shared" si="139"/>
        <v>2693.87</v>
      </c>
    </row>
    <row r="4466" spans="1:7" ht="12.75" customHeight="1">
      <c r="A4466" s="3">
        <v>7760</v>
      </c>
      <c r="B4466" s="4" t="s">
        <v>4489</v>
      </c>
      <c r="C4466" s="3" t="s">
        <v>50</v>
      </c>
      <c r="D4466" s="5">
        <f t="shared" si="138"/>
        <v>107.06</v>
      </c>
      <c r="E4466">
        <v>117.52</v>
      </c>
      <c r="F4466" s="1789">
        <v>8.8999999999999996E-2</v>
      </c>
      <c r="G4466">
        <f t="shared" si="139"/>
        <v>107.06</v>
      </c>
    </row>
    <row r="4467" spans="1:7" ht="12.75" customHeight="1">
      <c r="A4467" s="3">
        <v>7761</v>
      </c>
      <c r="B4467" s="4" t="s">
        <v>4490</v>
      </c>
      <c r="C4467" s="3" t="s">
        <v>50</v>
      </c>
      <c r="D4467" s="5">
        <f t="shared" si="138"/>
        <v>112.24</v>
      </c>
      <c r="E4467">
        <v>123.21</v>
      </c>
      <c r="F4467" s="1789">
        <v>8.8999999999999996E-2</v>
      </c>
      <c r="G4467">
        <f t="shared" si="139"/>
        <v>112.24</v>
      </c>
    </row>
    <row r="4468" spans="1:7" ht="12.75" customHeight="1">
      <c r="A4468" s="3">
        <v>7752</v>
      </c>
      <c r="B4468" s="4" t="s">
        <v>4491</v>
      </c>
      <c r="C4468" s="3" t="s">
        <v>50</v>
      </c>
      <c r="D4468" s="5">
        <f t="shared" si="138"/>
        <v>136.41</v>
      </c>
      <c r="E4468">
        <v>149.74</v>
      </c>
      <c r="F4468" s="1789">
        <v>8.8999999999999996E-2</v>
      </c>
      <c r="G4468">
        <f t="shared" si="139"/>
        <v>136.41</v>
      </c>
    </row>
    <row r="4469" spans="1:7" ht="12.75" customHeight="1">
      <c r="A4469" s="3">
        <v>7762</v>
      </c>
      <c r="B4469" s="4" t="s">
        <v>4492</v>
      </c>
      <c r="C4469" s="3" t="s">
        <v>50</v>
      </c>
      <c r="D4469" s="5">
        <f t="shared" si="138"/>
        <v>178.29</v>
      </c>
      <c r="E4469">
        <v>195.71</v>
      </c>
      <c r="F4469" s="1789">
        <v>8.8999999999999996E-2</v>
      </c>
      <c r="G4469">
        <f t="shared" si="139"/>
        <v>178.29</v>
      </c>
    </row>
    <row r="4470" spans="1:7" ht="12.75" customHeight="1">
      <c r="A4470" s="3">
        <v>7722</v>
      </c>
      <c r="B4470" s="4" t="s">
        <v>4493</v>
      </c>
      <c r="C4470" s="3" t="s">
        <v>50</v>
      </c>
      <c r="D4470" s="5">
        <f t="shared" si="138"/>
        <v>272.83</v>
      </c>
      <c r="E4470">
        <v>299.49</v>
      </c>
      <c r="F4470" s="1789">
        <v>8.8999999999999996E-2</v>
      </c>
      <c r="G4470">
        <f t="shared" si="139"/>
        <v>272.83</v>
      </c>
    </row>
    <row r="4471" spans="1:7" ht="12.75" customHeight="1">
      <c r="A4471" s="3">
        <v>7763</v>
      </c>
      <c r="B4471" s="4" t="s">
        <v>4494</v>
      </c>
      <c r="C4471" s="3" t="s">
        <v>50</v>
      </c>
      <c r="D4471" s="5">
        <f t="shared" si="138"/>
        <v>332.41</v>
      </c>
      <c r="E4471">
        <v>364.89</v>
      </c>
      <c r="F4471" s="1789">
        <v>8.8999999999999996E-2</v>
      </c>
      <c r="G4471">
        <f t="shared" si="139"/>
        <v>332.41</v>
      </c>
    </row>
    <row r="4472" spans="1:7" ht="12.75" customHeight="1">
      <c r="A4472" s="3">
        <v>7764</v>
      </c>
      <c r="B4472" s="4" t="s">
        <v>4495</v>
      </c>
      <c r="C4472" s="3" t="s">
        <v>50</v>
      </c>
      <c r="D4472" s="5">
        <f t="shared" si="138"/>
        <v>397.16</v>
      </c>
      <c r="E4472">
        <v>435.97</v>
      </c>
      <c r="F4472" s="1789">
        <v>8.8999999999999996E-2</v>
      </c>
      <c r="G4472">
        <f t="shared" si="139"/>
        <v>397.16</v>
      </c>
    </row>
    <row r="4473" spans="1:7" ht="12.75" customHeight="1">
      <c r="A4473" s="3">
        <v>12572</v>
      </c>
      <c r="B4473" s="4" t="s">
        <v>4496</v>
      </c>
      <c r="C4473" s="3" t="s">
        <v>50</v>
      </c>
      <c r="D4473" s="5">
        <f t="shared" si="138"/>
        <v>561.22</v>
      </c>
      <c r="E4473">
        <v>616.04999999999995</v>
      </c>
      <c r="F4473" s="1789">
        <v>8.8999999999999996E-2</v>
      </c>
      <c r="G4473">
        <f t="shared" si="139"/>
        <v>561.22</v>
      </c>
    </row>
    <row r="4474" spans="1:7" ht="12.75" customHeight="1">
      <c r="A4474" s="3">
        <v>12573</v>
      </c>
      <c r="B4474" s="4" t="s">
        <v>4497</v>
      </c>
      <c r="C4474" s="3" t="s">
        <v>50</v>
      </c>
      <c r="D4474" s="5">
        <f t="shared" si="138"/>
        <v>738.21</v>
      </c>
      <c r="E4474">
        <v>810.34</v>
      </c>
      <c r="F4474" s="1789">
        <v>8.8999999999999996E-2</v>
      </c>
      <c r="G4474">
        <f t="shared" si="139"/>
        <v>738.21</v>
      </c>
    </row>
    <row r="4475" spans="1:7" ht="12.75" customHeight="1">
      <c r="A4475" s="3">
        <v>12574</v>
      </c>
      <c r="B4475" s="4" t="s">
        <v>4498</v>
      </c>
      <c r="C4475" s="3" t="s">
        <v>50</v>
      </c>
      <c r="D4475" s="5">
        <f t="shared" si="138"/>
        <v>892.59</v>
      </c>
      <c r="E4475">
        <v>979.8</v>
      </c>
      <c r="F4475" s="1789">
        <v>8.8999999999999996E-2</v>
      </c>
      <c r="G4475">
        <f t="shared" si="139"/>
        <v>892.59</v>
      </c>
    </row>
    <row r="4476" spans="1:7" ht="12.75" customHeight="1">
      <c r="A4476" s="3">
        <v>12575</v>
      </c>
      <c r="B4476" s="4" t="s">
        <v>4499</v>
      </c>
      <c r="C4476" s="3" t="s">
        <v>50</v>
      </c>
      <c r="D4476" s="5">
        <f t="shared" si="138"/>
        <v>1355.56</v>
      </c>
      <c r="E4476">
        <v>1488</v>
      </c>
      <c r="F4476" s="1789">
        <v>8.8999999999999996E-2</v>
      </c>
      <c r="G4476">
        <f t="shared" si="139"/>
        <v>1355.56</v>
      </c>
    </row>
    <row r="4477" spans="1:7" ht="12.75" customHeight="1">
      <c r="A4477" s="3">
        <v>12576</v>
      </c>
      <c r="B4477" s="4" t="s">
        <v>4500</v>
      </c>
      <c r="C4477" s="3" t="s">
        <v>50</v>
      </c>
      <c r="D4477" s="5">
        <f t="shared" si="138"/>
        <v>164.04</v>
      </c>
      <c r="E4477">
        <v>180.07</v>
      </c>
      <c r="F4477" s="1789">
        <v>8.8999999999999996E-2</v>
      </c>
      <c r="G4477">
        <f t="shared" si="139"/>
        <v>164.04</v>
      </c>
    </row>
    <row r="4478" spans="1:7" ht="12.75" customHeight="1">
      <c r="A4478" s="3">
        <v>12577</v>
      </c>
      <c r="B4478" s="4" t="s">
        <v>4501</v>
      </c>
      <c r="C4478" s="3" t="s">
        <v>50</v>
      </c>
      <c r="D4478" s="5">
        <f t="shared" si="138"/>
        <v>221.02</v>
      </c>
      <c r="E4478">
        <v>242.62</v>
      </c>
      <c r="F4478" s="1789">
        <v>8.8999999999999996E-2</v>
      </c>
      <c r="G4478">
        <f t="shared" si="139"/>
        <v>221.02</v>
      </c>
    </row>
    <row r="4479" spans="1:7" ht="12.75" customHeight="1">
      <c r="A4479" s="3">
        <v>12578</v>
      </c>
      <c r="B4479" s="4" t="s">
        <v>4502</v>
      </c>
      <c r="C4479" s="3" t="s">
        <v>50</v>
      </c>
      <c r="D4479" s="5">
        <f t="shared" si="138"/>
        <v>267.64999999999998</v>
      </c>
      <c r="E4479">
        <v>293.8</v>
      </c>
      <c r="F4479" s="1789">
        <v>8.8999999999999996E-2</v>
      </c>
      <c r="G4479">
        <f t="shared" si="139"/>
        <v>267.64999999999998</v>
      </c>
    </row>
    <row r="4480" spans="1:7" ht="12.75" customHeight="1">
      <c r="A4480" s="3">
        <v>12579</v>
      </c>
      <c r="B4480" s="4" t="s">
        <v>4503</v>
      </c>
      <c r="C4480" s="3" t="s">
        <v>50</v>
      </c>
      <c r="D4480" s="5">
        <f t="shared" si="138"/>
        <v>461.06</v>
      </c>
      <c r="E4480">
        <v>506.11</v>
      </c>
      <c r="F4480" s="1789">
        <v>8.8999999999999996E-2</v>
      </c>
      <c r="G4480">
        <f t="shared" si="139"/>
        <v>461.06</v>
      </c>
    </row>
    <row r="4481" spans="1:7" ht="12.75" customHeight="1">
      <c r="A4481" s="3">
        <v>12580</v>
      </c>
      <c r="B4481" s="4" t="s">
        <v>4504</v>
      </c>
      <c r="C4481" s="3" t="s">
        <v>50</v>
      </c>
      <c r="D4481" s="5">
        <f t="shared" si="138"/>
        <v>480.4</v>
      </c>
      <c r="E4481">
        <v>527.34</v>
      </c>
      <c r="F4481" s="1789">
        <v>8.8999999999999996E-2</v>
      </c>
      <c r="G4481">
        <f t="shared" si="139"/>
        <v>480.4</v>
      </c>
    </row>
    <row r="4482" spans="1:7" ht="12.75" customHeight="1">
      <c r="A4482" s="3">
        <v>12581</v>
      </c>
      <c r="B4482" s="4" t="s">
        <v>4505</v>
      </c>
      <c r="C4482" s="3" t="s">
        <v>50</v>
      </c>
      <c r="D4482" s="5">
        <f t="shared" si="138"/>
        <v>514.59</v>
      </c>
      <c r="E4482">
        <v>564.87</v>
      </c>
      <c r="F4482" s="1789">
        <v>8.8999999999999996E-2</v>
      </c>
      <c r="G4482">
        <f t="shared" si="139"/>
        <v>514.59</v>
      </c>
    </row>
    <row r="4483" spans="1:7" ht="12.75" customHeight="1">
      <c r="A4483" s="3">
        <v>7720</v>
      </c>
      <c r="B4483" s="4" t="s">
        <v>4506</v>
      </c>
      <c r="C4483" s="3" t="s">
        <v>50</v>
      </c>
      <c r="D4483" s="5">
        <f t="shared" ref="D4483:D4546" si="140">G4483</f>
        <v>804.7</v>
      </c>
      <c r="E4483">
        <v>883.32</v>
      </c>
      <c r="F4483" s="1789">
        <v>8.8999999999999996E-2</v>
      </c>
      <c r="G4483">
        <f t="shared" ref="G4483:G4546" si="141">TRUNC((1-F4483)*E4483,2)</f>
        <v>804.7</v>
      </c>
    </row>
    <row r="4484" spans="1:7" ht="12.75" customHeight="1">
      <c r="A4484" s="3">
        <v>40335</v>
      </c>
      <c r="B4484" s="4" t="s">
        <v>4507</v>
      </c>
      <c r="C4484" s="3" t="s">
        <v>50</v>
      </c>
      <c r="D4484" s="5">
        <f t="shared" si="140"/>
        <v>168.36</v>
      </c>
      <c r="E4484">
        <v>184.81</v>
      </c>
      <c r="F4484" s="1789">
        <v>8.8999999999999996E-2</v>
      </c>
      <c r="G4484">
        <f t="shared" si="141"/>
        <v>168.36</v>
      </c>
    </row>
    <row r="4485" spans="1:7" ht="12.75" customHeight="1">
      <c r="A4485" s="3">
        <v>7740</v>
      </c>
      <c r="B4485" s="4" t="s">
        <v>4508</v>
      </c>
      <c r="C4485" s="3" t="s">
        <v>50</v>
      </c>
      <c r="D4485" s="5">
        <f t="shared" si="140"/>
        <v>172.68</v>
      </c>
      <c r="E4485">
        <v>189.55</v>
      </c>
      <c r="F4485" s="1789">
        <v>8.8999999999999996E-2</v>
      </c>
      <c r="G4485">
        <f t="shared" si="141"/>
        <v>172.68</v>
      </c>
    </row>
    <row r="4486" spans="1:7" ht="12.75" customHeight="1">
      <c r="A4486" s="3">
        <v>7741</v>
      </c>
      <c r="B4486" s="4" t="s">
        <v>4509</v>
      </c>
      <c r="C4486" s="3" t="s">
        <v>50</v>
      </c>
      <c r="D4486" s="5">
        <f t="shared" si="140"/>
        <v>319.45999999999998</v>
      </c>
      <c r="E4486">
        <v>350.67</v>
      </c>
      <c r="F4486" s="1789">
        <v>8.8999999999999996E-2</v>
      </c>
      <c r="G4486">
        <f t="shared" si="141"/>
        <v>319.45999999999998</v>
      </c>
    </row>
    <row r="4487" spans="1:7" ht="12.75" customHeight="1">
      <c r="A4487" s="3">
        <v>7774</v>
      </c>
      <c r="B4487" s="4" t="s">
        <v>4510</v>
      </c>
      <c r="C4487" s="3" t="s">
        <v>50</v>
      </c>
      <c r="D4487" s="5">
        <f t="shared" si="140"/>
        <v>391.98</v>
      </c>
      <c r="E4487">
        <v>430.28</v>
      </c>
      <c r="F4487" s="1789">
        <v>8.8999999999999996E-2</v>
      </c>
      <c r="G4487">
        <f t="shared" si="141"/>
        <v>391.98</v>
      </c>
    </row>
    <row r="4488" spans="1:7" ht="12.75" customHeight="1">
      <c r="A4488" s="3">
        <v>7744</v>
      </c>
      <c r="B4488" s="4" t="s">
        <v>4511</v>
      </c>
      <c r="C4488" s="3" t="s">
        <v>50</v>
      </c>
      <c r="D4488" s="5">
        <f t="shared" si="140"/>
        <v>512</v>
      </c>
      <c r="E4488">
        <v>562.02</v>
      </c>
      <c r="F4488" s="1789">
        <v>8.8999999999999996E-2</v>
      </c>
      <c r="G4488">
        <f t="shared" si="141"/>
        <v>512</v>
      </c>
    </row>
    <row r="4489" spans="1:7" ht="12.75" customHeight="1">
      <c r="A4489" s="3">
        <v>7773</v>
      </c>
      <c r="B4489" s="4" t="s">
        <v>4512</v>
      </c>
      <c r="C4489" s="3" t="s">
        <v>50</v>
      </c>
      <c r="D4489" s="5">
        <f t="shared" si="140"/>
        <v>523.30999999999995</v>
      </c>
      <c r="E4489">
        <v>574.44000000000005</v>
      </c>
      <c r="F4489" s="1789">
        <v>8.8999999999999996E-2</v>
      </c>
      <c r="G4489">
        <f t="shared" si="141"/>
        <v>523.30999999999995</v>
      </c>
    </row>
    <row r="4490" spans="1:7" ht="12.75" customHeight="1">
      <c r="A4490" s="3">
        <v>7754</v>
      </c>
      <c r="B4490" s="4" t="s">
        <v>4513</v>
      </c>
      <c r="C4490" s="3" t="s">
        <v>50</v>
      </c>
      <c r="D4490" s="5">
        <f t="shared" si="140"/>
        <v>793.48</v>
      </c>
      <c r="E4490">
        <v>871</v>
      </c>
      <c r="F4490" s="1789">
        <v>8.8999999999999996E-2</v>
      </c>
      <c r="G4490">
        <f t="shared" si="141"/>
        <v>793.48</v>
      </c>
    </row>
    <row r="4491" spans="1:7" ht="12.75" customHeight="1">
      <c r="A4491" s="3">
        <v>7735</v>
      </c>
      <c r="B4491" s="4" t="s">
        <v>4514</v>
      </c>
      <c r="C4491" s="3" t="s">
        <v>50</v>
      </c>
      <c r="D4491" s="5">
        <f t="shared" si="140"/>
        <v>1027.47</v>
      </c>
      <c r="E4491">
        <v>1127.8499999999999</v>
      </c>
      <c r="F4491" s="1789">
        <v>8.8999999999999996E-2</v>
      </c>
      <c r="G4491">
        <f t="shared" si="141"/>
        <v>1027.47</v>
      </c>
    </row>
    <row r="4492" spans="1:7" ht="12.75" customHeight="1">
      <c r="A4492" s="3">
        <v>7755</v>
      </c>
      <c r="B4492" s="4" t="s">
        <v>4515</v>
      </c>
      <c r="C4492" s="3" t="s">
        <v>50</v>
      </c>
      <c r="D4492" s="5">
        <f t="shared" si="140"/>
        <v>203.76</v>
      </c>
      <c r="E4492">
        <v>223.67</v>
      </c>
      <c r="F4492" s="1789">
        <v>8.8999999999999996E-2</v>
      </c>
      <c r="G4492">
        <f t="shared" si="141"/>
        <v>203.76</v>
      </c>
    </row>
    <row r="4493" spans="1:7" ht="12.75" customHeight="1">
      <c r="A4493" s="3">
        <v>7776</v>
      </c>
      <c r="B4493" s="4" t="s">
        <v>4516</v>
      </c>
      <c r="C4493" s="3" t="s">
        <v>50</v>
      </c>
      <c r="D4493" s="5">
        <f t="shared" si="140"/>
        <v>424.79</v>
      </c>
      <c r="E4493">
        <v>466.3</v>
      </c>
      <c r="F4493" s="1789">
        <v>8.8999999999999996E-2</v>
      </c>
      <c r="G4493">
        <f t="shared" si="141"/>
        <v>424.79</v>
      </c>
    </row>
    <row r="4494" spans="1:7" ht="12.75" customHeight="1">
      <c r="A4494" s="3">
        <v>7743</v>
      </c>
      <c r="B4494" s="4" t="s">
        <v>4517</v>
      </c>
      <c r="C4494" s="3" t="s">
        <v>50</v>
      </c>
      <c r="D4494" s="5">
        <f t="shared" si="140"/>
        <v>449.83</v>
      </c>
      <c r="E4494">
        <v>493.78</v>
      </c>
      <c r="F4494" s="1789">
        <v>8.8999999999999996E-2</v>
      </c>
      <c r="G4494">
        <f t="shared" si="141"/>
        <v>449.83</v>
      </c>
    </row>
    <row r="4495" spans="1:7" ht="12.75" customHeight="1">
      <c r="A4495" s="3">
        <v>7733</v>
      </c>
      <c r="B4495" s="4" t="s">
        <v>4518</v>
      </c>
      <c r="C4495" s="3" t="s">
        <v>50</v>
      </c>
      <c r="D4495" s="5">
        <f t="shared" si="140"/>
        <v>587.12</v>
      </c>
      <c r="E4495">
        <v>644.48</v>
      </c>
      <c r="F4495" s="1789">
        <v>8.8999999999999996E-2</v>
      </c>
      <c r="G4495">
        <f t="shared" si="141"/>
        <v>587.12</v>
      </c>
    </row>
    <row r="4496" spans="1:7" ht="12.75" customHeight="1">
      <c r="A4496" s="3">
        <v>7775</v>
      </c>
      <c r="B4496" s="4" t="s">
        <v>4519</v>
      </c>
      <c r="C4496" s="3" t="s">
        <v>50</v>
      </c>
      <c r="D4496" s="5">
        <f t="shared" si="140"/>
        <v>643.24</v>
      </c>
      <c r="E4496">
        <v>706.09</v>
      </c>
      <c r="F4496" s="1789">
        <v>8.8999999999999996E-2</v>
      </c>
      <c r="G4496">
        <f t="shared" si="141"/>
        <v>643.24</v>
      </c>
    </row>
    <row r="4497" spans="1:7" ht="12.75" customHeight="1">
      <c r="A4497" s="3">
        <v>7734</v>
      </c>
      <c r="B4497" s="4" t="s">
        <v>4520</v>
      </c>
      <c r="C4497" s="3" t="s">
        <v>50</v>
      </c>
      <c r="D4497" s="5">
        <f t="shared" si="140"/>
        <v>910.9</v>
      </c>
      <c r="E4497">
        <v>999.9</v>
      </c>
      <c r="F4497" s="1789">
        <v>8.8999999999999996E-2</v>
      </c>
      <c r="G4497">
        <f t="shared" si="141"/>
        <v>910.9</v>
      </c>
    </row>
    <row r="4498" spans="1:7" ht="12.75" customHeight="1">
      <c r="A4498" s="3">
        <v>7714</v>
      </c>
      <c r="B4498" s="4" t="s">
        <v>4521</v>
      </c>
      <c r="C4498" s="3" t="s">
        <v>50</v>
      </c>
      <c r="D4498" s="5">
        <f t="shared" si="140"/>
        <v>126.92</v>
      </c>
      <c r="E4498">
        <v>139.32</v>
      </c>
      <c r="F4498" s="1789">
        <v>8.8999999999999996E-2</v>
      </c>
      <c r="G4498">
        <f t="shared" si="141"/>
        <v>126.92</v>
      </c>
    </row>
    <row r="4499" spans="1:7" ht="12.75" customHeight="1">
      <c r="A4499" s="3">
        <v>37449</v>
      </c>
      <c r="B4499" s="4" t="s">
        <v>4522</v>
      </c>
      <c r="C4499" s="3" t="s">
        <v>50</v>
      </c>
      <c r="D4499" s="5">
        <f t="shared" si="140"/>
        <v>33.57</v>
      </c>
      <c r="E4499">
        <v>36.86</v>
      </c>
      <c r="F4499" s="1789">
        <v>8.8999999999999996E-2</v>
      </c>
      <c r="G4499">
        <f t="shared" si="141"/>
        <v>33.57</v>
      </c>
    </row>
    <row r="4500" spans="1:7" ht="12.75" customHeight="1">
      <c r="A4500" s="3">
        <v>37450</v>
      </c>
      <c r="B4500" s="4" t="s">
        <v>4523</v>
      </c>
      <c r="C4500" s="3" t="s">
        <v>50</v>
      </c>
      <c r="D4500" s="5">
        <f t="shared" si="140"/>
        <v>47.01</v>
      </c>
      <c r="E4500">
        <v>51.61</v>
      </c>
      <c r="F4500" s="1789">
        <v>8.8999999999999996E-2</v>
      </c>
      <c r="G4500">
        <f t="shared" si="141"/>
        <v>47.01</v>
      </c>
    </row>
    <row r="4501" spans="1:7" ht="12.75" customHeight="1">
      <c r="A4501" s="3">
        <v>37451</v>
      </c>
      <c r="B4501" s="4" t="s">
        <v>4524</v>
      </c>
      <c r="C4501" s="3" t="s">
        <v>50</v>
      </c>
      <c r="D4501" s="5">
        <f t="shared" si="140"/>
        <v>65.63</v>
      </c>
      <c r="E4501">
        <v>72.05</v>
      </c>
      <c r="F4501" s="1789">
        <v>8.8999999999999996E-2</v>
      </c>
      <c r="G4501">
        <f t="shared" si="141"/>
        <v>65.63</v>
      </c>
    </row>
    <row r="4502" spans="1:7" ht="12.75" customHeight="1">
      <c r="A4502" s="3">
        <v>37452</v>
      </c>
      <c r="B4502" s="4" t="s">
        <v>4525</v>
      </c>
      <c r="C4502" s="3" t="s">
        <v>50</v>
      </c>
      <c r="D4502" s="5">
        <f t="shared" si="140"/>
        <v>95.39</v>
      </c>
      <c r="E4502">
        <v>104.72</v>
      </c>
      <c r="F4502" s="1789">
        <v>8.8999999999999996E-2</v>
      </c>
      <c r="G4502">
        <f t="shared" si="141"/>
        <v>95.39</v>
      </c>
    </row>
    <row r="4503" spans="1:7" ht="12.75" customHeight="1">
      <c r="A4503" s="3">
        <v>37453</v>
      </c>
      <c r="B4503" s="4" t="s">
        <v>4526</v>
      </c>
      <c r="C4503" s="3" t="s">
        <v>50</v>
      </c>
      <c r="D4503" s="5">
        <f t="shared" si="140"/>
        <v>109.86</v>
      </c>
      <c r="E4503">
        <v>120.6</v>
      </c>
      <c r="F4503" s="1789">
        <v>8.8999999999999996E-2</v>
      </c>
      <c r="G4503">
        <f t="shared" si="141"/>
        <v>109.86</v>
      </c>
    </row>
    <row r="4504" spans="1:7" ht="12.75" customHeight="1">
      <c r="A4504" s="3">
        <v>7778</v>
      </c>
      <c r="B4504" s="4" t="s">
        <v>4527</v>
      </c>
      <c r="C4504" s="3" t="s">
        <v>50</v>
      </c>
      <c r="D4504" s="5">
        <f t="shared" si="140"/>
        <v>41.21</v>
      </c>
      <c r="E4504">
        <v>45.24</v>
      </c>
      <c r="F4504" s="1789">
        <v>8.8999999999999996E-2</v>
      </c>
      <c r="G4504">
        <f t="shared" si="141"/>
        <v>41.21</v>
      </c>
    </row>
    <row r="4505" spans="1:7" ht="12.75" customHeight="1">
      <c r="A4505" s="3">
        <v>7796</v>
      </c>
      <c r="B4505" s="4" t="s">
        <v>4528</v>
      </c>
      <c r="C4505" s="3" t="s">
        <v>50</v>
      </c>
      <c r="D4505" s="5">
        <f t="shared" si="140"/>
        <v>56.48</v>
      </c>
      <c r="E4505">
        <v>62</v>
      </c>
      <c r="F4505" s="1789">
        <v>8.8999999999999996E-2</v>
      </c>
      <c r="G4505">
        <f t="shared" si="141"/>
        <v>56.48</v>
      </c>
    </row>
    <row r="4506" spans="1:7" ht="12.75" customHeight="1">
      <c r="A4506" s="3">
        <v>7781</v>
      </c>
      <c r="B4506" s="4" t="s">
        <v>4529</v>
      </c>
      <c r="C4506" s="3" t="s">
        <v>50</v>
      </c>
      <c r="D4506" s="5">
        <f t="shared" si="140"/>
        <v>66.73</v>
      </c>
      <c r="E4506">
        <v>73.260000000000005</v>
      </c>
      <c r="F4506" s="1789">
        <v>8.8999999999999996E-2</v>
      </c>
      <c r="G4506">
        <f t="shared" si="141"/>
        <v>66.73</v>
      </c>
    </row>
    <row r="4507" spans="1:7" ht="12.75" customHeight="1">
      <c r="A4507" s="3">
        <v>7795</v>
      </c>
      <c r="B4507" s="4" t="s">
        <v>4530</v>
      </c>
      <c r="C4507" s="3" t="s">
        <v>50</v>
      </c>
      <c r="D4507" s="5">
        <f t="shared" si="140"/>
        <v>99.33</v>
      </c>
      <c r="E4507">
        <v>109.04</v>
      </c>
      <c r="F4507" s="1789">
        <v>8.8999999999999996E-2</v>
      </c>
      <c r="G4507">
        <f t="shared" si="141"/>
        <v>99.33</v>
      </c>
    </row>
    <row r="4508" spans="1:7" ht="12.75" customHeight="1">
      <c r="A4508" s="3">
        <v>7791</v>
      </c>
      <c r="B4508" s="4" t="s">
        <v>4531</v>
      </c>
      <c r="C4508" s="3" t="s">
        <v>50</v>
      </c>
      <c r="D4508" s="5">
        <f t="shared" si="140"/>
        <v>118.91</v>
      </c>
      <c r="E4508">
        <v>130.53</v>
      </c>
      <c r="F4508" s="1789">
        <v>8.8999999999999996E-2</v>
      </c>
      <c r="G4508">
        <f t="shared" si="141"/>
        <v>118.91</v>
      </c>
    </row>
    <row r="4509" spans="1:7" ht="12.75" customHeight="1">
      <c r="A4509" s="3">
        <v>7783</v>
      </c>
      <c r="B4509" s="4" t="s">
        <v>4532</v>
      </c>
      <c r="C4509" s="3" t="s">
        <v>50</v>
      </c>
      <c r="D4509" s="5">
        <f t="shared" si="140"/>
        <v>42.13</v>
      </c>
      <c r="E4509">
        <v>46.25</v>
      </c>
      <c r="F4509" s="1789">
        <v>8.8999999999999996E-2</v>
      </c>
      <c r="G4509">
        <f t="shared" si="141"/>
        <v>42.13</v>
      </c>
    </row>
    <row r="4510" spans="1:7" ht="12.75" customHeight="1">
      <c r="A4510" s="3">
        <v>7790</v>
      </c>
      <c r="B4510" s="4" t="s">
        <v>4533</v>
      </c>
      <c r="C4510" s="3" t="s">
        <v>50</v>
      </c>
      <c r="D4510" s="5">
        <f t="shared" si="140"/>
        <v>66.400000000000006</v>
      </c>
      <c r="E4510">
        <v>72.89</v>
      </c>
      <c r="F4510" s="1789">
        <v>8.8999999999999996E-2</v>
      </c>
      <c r="G4510">
        <f t="shared" si="141"/>
        <v>66.400000000000006</v>
      </c>
    </row>
    <row r="4511" spans="1:7" ht="12.75" customHeight="1">
      <c r="A4511" s="3">
        <v>7785</v>
      </c>
      <c r="B4511" s="4" t="s">
        <v>4534</v>
      </c>
      <c r="C4511" s="3" t="s">
        <v>50</v>
      </c>
      <c r="D4511" s="5">
        <f t="shared" si="140"/>
        <v>73.27</v>
      </c>
      <c r="E4511">
        <v>80.430000000000007</v>
      </c>
      <c r="F4511" s="1789">
        <v>8.8999999999999996E-2</v>
      </c>
      <c r="G4511">
        <f t="shared" si="141"/>
        <v>73.27</v>
      </c>
    </row>
    <row r="4512" spans="1:7" ht="12.75" customHeight="1">
      <c r="A4512" s="3">
        <v>7792</v>
      </c>
      <c r="B4512" s="4" t="s">
        <v>4535</v>
      </c>
      <c r="C4512" s="3" t="s">
        <v>50</v>
      </c>
      <c r="D4512" s="5">
        <f t="shared" si="140"/>
        <v>103.91</v>
      </c>
      <c r="E4512">
        <v>114.07</v>
      </c>
      <c r="F4512" s="1789">
        <v>8.8999999999999996E-2</v>
      </c>
      <c r="G4512">
        <f t="shared" si="141"/>
        <v>103.91</v>
      </c>
    </row>
    <row r="4513" spans="1:7" ht="12.75" customHeight="1">
      <c r="A4513" s="3">
        <v>7793</v>
      </c>
      <c r="B4513" s="4" t="s">
        <v>4536</v>
      </c>
      <c r="C4513" s="3" t="s">
        <v>50</v>
      </c>
      <c r="D4513" s="5">
        <f t="shared" si="140"/>
        <v>122.72</v>
      </c>
      <c r="E4513">
        <v>134.72</v>
      </c>
      <c r="F4513" s="1789">
        <v>8.8999999999999996E-2</v>
      </c>
      <c r="G4513">
        <f t="shared" si="141"/>
        <v>122.72</v>
      </c>
    </row>
    <row r="4514" spans="1:7" ht="12.75" customHeight="1">
      <c r="A4514" s="3">
        <v>13159</v>
      </c>
      <c r="B4514" s="4" t="s">
        <v>4537</v>
      </c>
      <c r="C4514" s="3" t="s">
        <v>50</v>
      </c>
      <c r="D4514" s="5">
        <f t="shared" si="140"/>
        <v>106.85</v>
      </c>
      <c r="E4514">
        <v>117.29</v>
      </c>
      <c r="F4514" s="1789">
        <v>8.8999999999999996E-2</v>
      </c>
      <c r="G4514">
        <f t="shared" si="141"/>
        <v>106.85</v>
      </c>
    </row>
    <row r="4515" spans="1:7" ht="12.75" customHeight="1">
      <c r="A4515" s="3">
        <v>13168</v>
      </c>
      <c r="B4515" s="4" t="s">
        <v>4538</v>
      </c>
      <c r="C4515" s="3" t="s">
        <v>50</v>
      </c>
      <c r="D4515" s="5">
        <f t="shared" si="140"/>
        <v>129.75</v>
      </c>
      <c r="E4515">
        <v>142.43</v>
      </c>
      <c r="F4515" s="1789">
        <v>8.8999999999999996E-2</v>
      </c>
      <c r="G4515">
        <f t="shared" si="141"/>
        <v>129.75</v>
      </c>
    </row>
    <row r="4516" spans="1:7" ht="12.75" customHeight="1">
      <c r="A4516" s="3">
        <v>13173</v>
      </c>
      <c r="B4516" s="4" t="s">
        <v>4539</v>
      </c>
      <c r="C4516" s="3" t="s">
        <v>50</v>
      </c>
      <c r="D4516" s="5">
        <f t="shared" si="140"/>
        <v>175.54</v>
      </c>
      <c r="E4516">
        <v>192.7</v>
      </c>
      <c r="F4516" s="1789">
        <v>8.8999999999999996E-2</v>
      </c>
      <c r="G4516">
        <f t="shared" si="141"/>
        <v>175.54</v>
      </c>
    </row>
    <row r="4517" spans="1:7" ht="12.75" customHeight="1">
      <c r="A4517" s="3">
        <v>12583</v>
      </c>
      <c r="B4517" s="4" t="s">
        <v>4540</v>
      </c>
      <c r="C4517" s="3" t="s">
        <v>50</v>
      </c>
      <c r="D4517" s="5">
        <f t="shared" si="140"/>
        <v>35.1</v>
      </c>
      <c r="E4517">
        <v>38.54</v>
      </c>
      <c r="F4517" s="1789">
        <v>8.8999999999999996E-2</v>
      </c>
      <c r="G4517">
        <f t="shared" si="141"/>
        <v>35.1</v>
      </c>
    </row>
    <row r="4518" spans="1:7" ht="12.75" customHeight="1">
      <c r="A4518" s="3">
        <v>12584</v>
      </c>
      <c r="B4518" s="4" t="s">
        <v>4541</v>
      </c>
      <c r="C4518" s="3" t="s">
        <v>50</v>
      </c>
      <c r="D4518" s="5">
        <f t="shared" si="140"/>
        <v>45.79</v>
      </c>
      <c r="E4518">
        <v>50.27</v>
      </c>
      <c r="F4518" s="1789">
        <v>8.8999999999999996E-2</v>
      </c>
      <c r="G4518">
        <f t="shared" si="141"/>
        <v>45.79</v>
      </c>
    </row>
    <row r="4519" spans="1:7" ht="12.75" customHeight="1">
      <c r="A4519" s="3">
        <v>12613</v>
      </c>
      <c r="B4519" s="4" t="s">
        <v>4542</v>
      </c>
      <c r="C4519" s="3" t="s">
        <v>6</v>
      </c>
      <c r="D4519" s="5">
        <f t="shared" si="140"/>
        <v>17.190000000000001</v>
      </c>
      <c r="E4519">
        <v>18.87</v>
      </c>
      <c r="F4519" s="1789">
        <v>8.8999999999999996E-2</v>
      </c>
      <c r="G4519">
        <f t="shared" si="141"/>
        <v>17.190000000000001</v>
      </c>
    </row>
    <row r="4520" spans="1:7" ht="12.75" customHeight="1">
      <c r="A4520" s="3">
        <v>1031</v>
      </c>
      <c r="B4520" s="4" t="s">
        <v>4543</v>
      </c>
      <c r="C4520" s="3" t="s">
        <v>6</v>
      </c>
      <c r="D4520" s="5">
        <f t="shared" si="140"/>
        <v>11.03</v>
      </c>
      <c r="E4520">
        <v>12.11</v>
      </c>
      <c r="F4520" s="1789">
        <v>8.8999999999999996E-2</v>
      </c>
      <c r="G4520">
        <f t="shared" si="141"/>
        <v>11.03</v>
      </c>
    </row>
    <row r="4521" spans="1:7" ht="12.75" customHeight="1">
      <c r="A4521" s="3">
        <v>39707</v>
      </c>
      <c r="B4521" s="4" t="s">
        <v>4544</v>
      </c>
      <c r="C4521" s="3" t="s">
        <v>50</v>
      </c>
      <c r="D4521" s="5">
        <f t="shared" si="140"/>
        <v>5.7</v>
      </c>
      <c r="E4521">
        <v>6.26</v>
      </c>
      <c r="F4521" s="1789">
        <v>8.8999999999999996E-2</v>
      </c>
      <c r="G4521">
        <f t="shared" si="141"/>
        <v>5.7</v>
      </c>
    </row>
    <row r="4522" spans="1:7" ht="12.75" customHeight="1">
      <c r="A4522" s="3">
        <v>39708</v>
      </c>
      <c r="B4522" s="4" t="s">
        <v>4545</v>
      </c>
      <c r="C4522" s="3" t="s">
        <v>50</v>
      </c>
      <c r="D4522" s="5">
        <f t="shared" si="140"/>
        <v>5.52</v>
      </c>
      <c r="E4522">
        <v>6.06</v>
      </c>
      <c r="F4522" s="1789">
        <v>8.8999999999999996E-2</v>
      </c>
      <c r="G4522">
        <f t="shared" si="141"/>
        <v>5.52</v>
      </c>
    </row>
    <row r="4523" spans="1:7" ht="12.75" customHeight="1">
      <c r="A4523" s="3">
        <v>39710</v>
      </c>
      <c r="B4523" s="4" t="s">
        <v>4546</v>
      </c>
      <c r="C4523" s="3" t="s">
        <v>50</v>
      </c>
      <c r="D4523" s="5">
        <f t="shared" si="140"/>
        <v>3.88</v>
      </c>
      <c r="E4523">
        <v>4.2699999999999996</v>
      </c>
      <c r="F4523" s="1789">
        <v>8.8999999999999996E-2</v>
      </c>
      <c r="G4523">
        <f t="shared" si="141"/>
        <v>3.88</v>
      </c>
    </row>
    <row r="4524" spans="1:7" ht="12.75" customHeight="1">
      <c r="A4524" s="3">
        <v>39709</v>
      </c>
      <c r="B4524" s="4" t="s">
        <v>4547</v>
      </c>
      <c r="C4524" s="3" t="s">
        <v>50</v>
      </c>
      <c r="D4524" s="5">
        <f t="shared" si="140"/>
        <v>5.39</v>
      </c>
      <c r="E4524">
        <v>5.92</v>
      </c>
      <c r="F4524" s="1789">
        <v>8.8999999999999996E-2</v>
      </c>
      <c r="G4524">
        <f t="shared" si="141"/>
        <v>5.39</v>
      </c>
    </row>
    <row r="4525" spans="1:7" ht="12.75" customHeight="1">
      <c r="A4525" s="3">
        <v>39711</v>
      </c>
      <c r="B4525" s="4" t="s">
        <v>4548</v>
      </c>
      <c r="C4525" s="3" t="s">
        <v>50</v>
      </c>
      <c r="D4525" s="5">
        <f t="shared" si="140"/>
        <v>6.05</v>
      </c>
      <c r="E4525">
        <v>6.65</v>
      </c>
      <c r="F4525" s="1789">
        <v>8.8999999999999996E-2</v>
      </c>
      <c r="G4525">
        <f t="shared" si="141"/>
        <v>6.05</v>
      </c>
    </row>
    <row r="4526" spans="1:7" ht="12.75" customHeight="1">
      <c r="A4526" s="3">
        <v>39712</v>
      </c>
      <c r="B4526" s="4" t="s">
        <v>4549</v>
      </c>
      <c r="C4526" s="3" t="s">
        <v>50</v>
      </c>
      <c r="D4526" s="5">
        <f t="shared" si="140"/>
        <v>2.12</v>
      </c>
      <c r="E4526">
        <v>2.33</v>
      </c>
      <c r="F4526" s="1789">
        <v>8.8999999999999996E-2</v>
      </c>
      <c r="G4526">
        <f t="shared" si="141"/>
        <v>2.12</v>
      </c>
    </row>
    <row r="4527" spans="1:7" ht="12.75" customHeight="1">
      <c r="A4527" s="3">
        <v>39713</v>
      </c>
      <c r="B4527" s="4" t="s">
        <v>4550</v>
      </c>
      <c r="C4527" s="3" t="s">
        <v>50</v>
      </c>
      <c r="D4527" s="5">
        <f t="shared" si="140"/>
        <v>1.67</v>
      </c>
      <c r="E4527">
        <v>1.84</v>
      </c>
      <c r="F4527" s="1789">
        <v>8.8999999999999996E-2</v>
      </c>
      <c r="G4527">
        <f t="shared" si="141"/>
        <v>1.67</v>
      </c>
    </row>
    <row r="4528" spans="1:7" ht="12.75" customHeight="1">
      <c r="A4528" s="3">
        <v>39714</v>
      </c>
      <c r="B4528" s="4" t="s">
        <v>4551</v>
      </c>
      <c r="C4528" s="3" t="s">
        <v>50</v>
      </c>
      <c r="D4528" s="5">
        <f t="shared" si="140"/>
        <v>3.84</v>
      </c>
      <c r="E4528">
        <v>4.22</v>
      </c>
      <c r="F4528" s="1789">
        <v>8.8999999999999996E-2</v>
      </c>
      <c r="G4528">
        <f t="shared" si="141"/>
        <v>3.84</v>
      </c>
    </row>
    <row r="4529" spans="1:7" ht="12.75" customHeight="1">
      <c r="A4529" s="3">
        <v>39715</v>
      </c>
      <c r="B4529" s="4" t="s">
        <v>4552</v>
      </c>
      <c r="C4529" s="3" t="s">
        <v>50</v>
      </c>
      <c r="D4529" s="5">
        <f t="shared" si="140"/>
        <v>2.73</v>
      </c>
      <c r="E4529">
        <v>3</v>
      </c>
      <c r="F4529" s="1789">
        <v>8.8999999999999996E-2</v>
      </c>
      <c r="G4529">
        <f t="shared" si="141"/>
        <v>2.73</v>
      </c>
    </row>
    <row r="4530" spans="1:7" ht="12.75" customHeight="1">
      <c r="A4530" s="3">
        <v>39716</v>
      </c>
      <c r="B4530" s="4" t="s">
        <v>4553</v>
      </c>
      <c r="C4530" s="3" t="s">
        <v>50</v>
      </c>
      <c r="D4530" s="5">
        <f t="shared" si="140"/>
        <v>2.0699999999999998</v>
      </c>
      <c r="E4530">
        <v>2.2799999999999998</v>
      </c>
      <c r="F4530" s="1789">
        <v>8.8999999999999996E-2</v>
      </c>
      <c r="G4530">
        <f t="shared" si="141"/>
        <v>2.0699999999999998</v>
      </c>
    </row>
    <row r="4531" spans="1:7" ht="12.75" customHeight="1">
      <c r="A4531" s="3">
        <v>39718</v>
      </c>
      <c r="B4531" s="4" t="s">
        <v>4554</v>
      </c>
      <c r="C4531" s="3" t="s">
        <v>50</v>
      </c>
      <c r="D4531" s="5">
        <f t="shared" si="140"/>
        <v>3.53</v>
      </c>
      <c r="E4531">
        <v>3.88</v>
      </c>
      <c r="F4531" s="1789">
        <v>8.8999999999999996E-2</v>
      </c>
      <c r="G4531">
        <f t="shared" si="141"/>
        <v>3.53</v>
      </c>
    </row>
    <row r="4532" spans="1:7" ht="12.75" customHeight="1">
      <c r="A4532" s="3">
        <v>9813</v>
      </c>
      <c r="B4532" s="4" t="s">
        <v>4555</v>
      </c>
      <c r="C4532" s="3" t="s">
        <v>50</v>
      </c>
      <c r="D4532" s="5">
        <f t="shared" si="140"/>
        <v>4.6500000000000004</v>
      </c>
      <c r="E4532">
        <v>5.1100000000000003</v>
      </c>
      <c r="F4532" s="1789">
        <v>8.8999999999999996E-2</v>
      </c>
      <c r="G4532">
        <f t="shared" si="141"/>
        <v>4.6500000000000004</v>
      </c>
    </row>
    <row r="4533" spans="1:7" ht="12.75" customHeight="1">
      <c r="A4533" s="3">
        <v>9815</v>
      </c>
      <c r="B4533" s="4" t="s">
        <v>4556</v>
      </c>
      <c r="C4533" s="3" t="s">
        <v>50</v>
      </c>
      <c r="D4533" s="5">
        <f t="shared" si="140"/>
        <v>9.19</v>
      </c>
      <c r="E4533">
        <v>10.09</v>
      </c>
      <c r="F4533" s="1789">
        <v>8.8999999999999996E-2</v>
      </c>
      <c r="G4533">
        <f t="shared" si="141"/>
        <v>9.19</v>
      </c>
    </row>
    <row r="4534" spans="1:7" ht="12.75" customHeight="1">
      <c r="A4534" s="3">
        <v>44543</v>
      </c>
      <c r="B4534" s="4" t="s">
        <v>4557</v>
      </c>
      <c r="C4534" s="3" t="s">
        <v>50</v>
      </c>
      <c r="D4534" s="5">
        <f t="shared" si="140"/>
        <v>4574.51</v>
      </c>
      <c r="E4534">
        <v>5021.42</v>
      </c>
      <c r="F4534" s="1789">
        <v>8.8999999999999996E-2</v>
      </c>
      <c r="G4534">
        <f t="shared" si="141"/>
        <v>4574.51</v>
      </c>
    </row>
    <row r="4535" spans="1:7" ht="12.75" customHeight="1">
      <c r="A4535" s="3">
        <v>44526</v>
      </c>
      <c r="B4535" s="4" t="s">
        <v>4558</v>
      </c>
      <c r="C4535" s="3" t="s">
        <v>50</v>
      </c>
      <c r="D4535" s="5">
        <f t="shared" si="140"/>
        <v>112.11</v>
      </c>
      <c r="E4535">
        <v>123.07</v>
      </c>
      <c r="F4535" s="1789">
        <v>8.8999999999999996E-2</v>
      </c>
      <c r="G4535">
        <f t="shared" si="141"/>
        <v>112.11</v>
      </c>
    </row>
    <row r="4536" spans="1:7" ht="12.75" customHeight="1">
      <c r="A4536" s="3">
        <v>44545</v>
      </c>
      <c r="B4536" s="4" t="s">
        <v>4559</v>
      </c>
      <c r="C4536" s="3" t="s">
        <v>50</v>
      </c>
      <c r="D4536" s="5">
        <f t="shared" si="140"/>
        <v>240.65</v>
      </c>
      <c r="E4536">
        <v>264.17</v>
      </c>
      <c r="F4536" s="1789">
        <v>8.8999999999999996E-2</v>
      </c>
      <c r="G4536">
        <f t="shared" si="141"/>
        <v>240.65</v>
      </c>
    </row>
    <row r="4537" spans="1:7" ht="12.75" customHeight="1">
      <c r="A4537" s="3">
        <v>44525</v>
      </c>
      <c r="B4537" s="4" t="s">
        <v>4560</v>
      </c>
      <c r="C4537" s="3" t="s">
        <v>50</v>
      </c>
      <c r="D4537" s="5">
        <f t="shared" si="140"/>
        <v>4149.05</v>
      </c>
      <c r="E4537">
        <v>4554.3999999999996</v>
      </c>
      <c r="F4537" s="1789">
        <v>8.8999999999999996E-2</v>
      </c>
      <c r="G4537">
        <f t="shared" si="141"/>
        <v>4149.05</v>
      </c>
    </row>
    <row r="4538" spans="1:7" ht="12.75" customHeight="1">
      <c r="A4538" s="3">
        <v>44547</v>
      </c>
      <c r="B4538" s="4" t="s">
        <v>4561</v>
      </c>
      <c r="C4538" s="3" t="s">
        <v>50</v>
      </c>
      <c r="D4538" s="5">
        <f t="shared" si="140"/>
        <v>375.14</v>
      </c>
      <c r="E4538">
        <v>411.8</v>
      </c>
      <c r="F4538" s="1789">
        <v>8.8999999999999996E-2</v>
      </c>
      <c r="G4538">
        <f t="shared" si="141"/>
        <v>375.14</v>
      </c>
    </row>
    <row r="4539" spans="1:7" ht="12.75" customHeight="1">
      <c r="A4539" s="3">
        <v>44519</v>
      </c>
      <c r="B4539" s="4" t="s">
        <v>4562</v>
      </c>
      <c r="C4539" s="3" t="s">
        <v>50</v>
      </c>
      <c r="D4539" s="5">
        <f t="shared" si="140"/>
        <v>919.22</v>
      </c>
      <c r="E4539">
        <v>1009.03</v>
      </c>
      <c r="F4539" s="1789">
        <v>8.8999999999999996E-2</v>
      </c>
      <c r="G4539">
        <f t="shared" si="141"/>
        <v>919.22</v>
      </c>
    </row>
    <row r="4540" spans="1:7" ht="12.75" customHeight="1">
      <c r="A4540" s="3">
        <v>44520</v>
      </c>
      <c r="B4540" s="4" t="s">
        <v>4563</v>
      </c>
      <c r="C4540" s="3" t="s">
        <v>50</v>
      </c>
      <c r="D4540" s="5">
        <f t="shared" si="140"/>
        <v>1480.52</v>
      </c>
      <c r="E4540">
        <v>1625.17</v>
      </c>
      <c r="F4540" s="1789">
        <v>8.8999999999999996E-2</v>
      </c>
      <c r="G4540">
        <f t="shared" si="141"/>
        <v>1480.52</v>
      </c>
    </row>
    <row r="4541" spans="1:7" ht="12.75" customHeight="1">
      <c r="A4541" s="3">
        <v>44521</v>
      </c>
      <c r="B4541" s="4" t="s">
        <v>4564</v>
      </c>
      <c r="C4541" s="3" t="s">
        <v>50</v>
      </c>
      <c r="D4541" s="5">
        <f t="shared" si="140"/>
        <v>23.88</v>
      </c>
      <c r="E4541">
        <v>26.22</v>
      </c>
      <c r="F4541" s="1789">
        <v>8.8999999999999996E-2</v>
      </c>
      <c r="G4541">
        <f t="shared" si="141"/>
        <v>23.88</v>
      </c>
    </row>
    <row r="4542" spans="1:7" ht="12.75" customHeight="1">
      <c r="A4542" s="3">
        <v>44522</v>
      </c>
      <c r="B4542" s="4" t="s">
        <v>4565</v>
      </c>
      <c r="C4542" s="3" t="s">
        <v>50</v>
      </c>
      <c r="D4542" s="5">
        <f t="shared" si="140"/>
        <v>2599.27</v>
      </c>
      <c r="E4542">
        <v>2853.21</v>
      </c>
      <c r="F4542" s="1789">
        <v>8.8999999999999996E-2</v>
      </c>
      <c r="G4542">
        <f t="shared" si="141"/>
        <v>2599.27</v>
      </c>
    </row>
    <row r="4543" spans="1:7" ht="12.75" customHeight="1">
      <c r="A4543" s="3">
        <v>44523</v>
      </c>
      <c r="B4543" s="4" t="s">
        <v>4566</v>
      </c>
      <c r="C4543" s="3" t="s">
        <v>50</v>
      </c>
      <c r="D4543" s="5">
        <f t="shared" si="140"/>
        <v>3865.84</v>
      </c>
      <c r="E4543">
        <v>4243.5200000000004</v>
      </c>
      <c r="F4543" s="1789">
        <v>8.8999999999999996E-2</v>
      </c>
      <c r="G4543">
        <f t="shared" si="141"/>
        <v>3865.84</v>
      </c>
    </row>
    <row r="4544" spans="1:7" ht="12.75" customHeight="1">
      <c r="A4544" s="3">
        <v>44527</v>
      </c>
      <c r="B4544" s="4" t="s">
        <v>4567</v>
      </c>
      <c r="C4544" s="3" t="s">
        <v>50</v>
      </c>
      <c r="D4544" s="5">
        <f t="shared" si="140"/>
        <v>1938.62</v>
      </c>
      <c r="E4544">
        <v>2128.02</v>
      </c>
      <c r="F4544" s="1789">
        <v>8.8999999999999996E-2</v>
      </c>
      <c r="G4544">
        <f t="shared" si="141"/>
        <v>1938.62</v>
      </c>
    </row>
    <row r="4545" spans="1:7" ht="12.75" customHeight="1">
      <c r="A4545" s="3">
        <v>44524</v>
      </c>
      <c r="B4545" s="4" t="s">
        <v>4568</v>
      </c>
      <c r="C4545" s="3" t="s">
        <v>50</v>
      </c>
      <c r="D4545" s="5">
        <f t="shared" si="140"/>
        <v>53.41</v>
      </c>
      <c r="E4545">
        <v>58.63</v>
      </c>
      <c r="F4545" s="1789">
        <v>8.8999999999999996E-2</v>
      </c>
      <c r="G4545">
        <f t="shared" si="141"/>
        <v>53.41</v>
      </c>
    </row>
    <row r="4546" spans="1:7" ht="12.75" customHeight="1">
      <c r="A4546" s="3">
        <v>44542</v>
      </c>
      <c r="B4546" s="4" t="s">
        <v>4569</v>
      </c>
      <c r="C4546" s="3" t="s">
        <v>50</v>
      </c>
      <c r="D4546" s="5">
        <f t="shared" si="140"/>
        <v>2529.25</v>
      </c>
      <c r="E4546">
        <v>2776.35</v>
      </c>
      <c r="F4546" s="1789">
        <v>8.8999999999999996E-2</v>
      </c>
      <c r="G4546">
        <f t="shared" si="141"/>
        <v>2529.25</v>
      </c>
    </row>
    <row r="4547" spans="1:7" ht="12.75" customHeight="1">
      <c r="A4547" s="3">
        <v>9877</v>
      </c>
      <c r="B4547" s="4" t="s">
        <v>4570</v>
      </c>
      <c r="C4547" s="3" t="s">
        <v>50</v>
      </c>
      <c r="D4547" s="5">
        <f t="shared" ref="D4547:D4610" si="142">G4547</f>
        <v>104.76</v>
      </c>
      <c r="E4547">
        <v>115</v>
      </c>
      <c r="F4547" s="1789">
        <v>8.8999999999999996E-2</v>
      </c>
      <c r="G4547">
        <f t="shared" ref="G4547:G4610" si="143">TRUNC((1-F4547)*E4547,2)</f>
        <v>104.76</v>
      </c>
    </row>
    <row r="4548" spans="1:7" ht="12.75" customHeight="1">
      <c r="A4548" s="3">
        <v>9878</v>
      </c>
      <c r="B4548" s="4" t="s">
        <v>4571</v>
      </c>
      <c r="C4548" s="3" t="s">
        <v>50</v>
      </c>
      <c r="D4548" s="5">
        <f t="shared" si="142"/>
        <v>128.97</v>
      </c>
      <c r="E4548">
        <v>141.58000000000001</v>
      </c>
      <c r="F4548" s="1789">
        <v>8.8999999999999996E-2</v>
      </c>
      <c r="G4548">
        <f t="shared" si="143"/>
        <v>128.97</v>
      </c>
    </row>
    <row r="4549" spans="1:7" ht="12.75" customHeight="1">
      <c r="A4549" s="3">
        <v>41986</v>
      </c>
      <c r="B4549" s="4" t="s">
        <v>4572</v>
      </c>
      <c r="C4549" s="3" t="s">
        <v>50</v>
      </c>
      <c r="D4549" s="5">
        <f t="shared" si="142"/>
        <v>3021.49</v>
      </c>
      <c r="E4549">
        <v>3316.68</v>
      </c>
      <c r="F4549" s="1789">
        <v>8.8999999999999996E-2</v>
      </c>
      <c r="G4549">
        <f t="shared" si="143"/>
        <v>3021.49</v>
      </c>
    </row>
    <row r="4550" spans="1:7" ht="12.75" customHeight="1">
      <c r="A4550" s="3">
        <v>43422</v>
      </c>
      <c r="B4550" s="4" t="s">
        <v>4573</v>
      </c>
      <c r="C4550" s="3" t="s">
        <v>50</v>
      </c>
      <c r="D4550" s="5">
        <f t="shared" si="142"/>
        <v>3705.56</v>
      </c>
      <c r="E4550">
        <v>4067.58</v>
      </c>
      <c r="F4550" s="1789">
        <v>8.8999999999999996E-2</v>
      </c>
      <c r="G4550">
        <f t="shared" si="143"/>
        <v>3705.56</v>
      </c>
    </row>
    <row r="4551" spans="1:7" ht="12.75" customHeight="1">
      <c r="A4551" s="3">
        <v>41987</v>
      </c>
      <c r="B4551" s="4" t="s">
        <v>4574</v>
      </c>
      <c r="C4551" s="3" t="s">
        <v>50</v>
      </c>
      <c r="D4551" s="5">
        <f t="shared" si="142"/>
        <v>4295.0600000000004</v>
      </c>
      <c r="E4551">
        <v>4714.67</v>
      </c>
      <c r="F4551" s="1789">
        <v>8.8999999999999996E-2</v>
      </c>
      <c r="G4551">
        <f t="shared" si="143"/>
        <v>4295.0600000000004</v>
      </c>
    </row>
    <row r="4552" spans="1:7" ht="12.75" customHeight="1">
      <c r="A4552" s="3">
        <v>41988</v>
      </c>
      <c r="B4552" s="4" t="s">
        <v>4575</v>
      </c>
      <c r="C4552" s="3" t="s">
        <v>50</v>
      </c>
      <c r="D4552" s="5">
        <f t="shared" si="142"/>
        <v>5673.17</v>
      </c>
      <c r="E4552">
        <v>6227.41</v>
      </c>
      <c r="F4552" s="1789">
        <v>8.8999999999999996E-2</v>
      </c>
      <c r="G4552">
        <f t="shared" si="143"/>
        <v>5673.17</v>
      </c>
    </row>
    <row r="4553" spans="1:7" ht="12.75" customHeight="1">
      <c r="A4553" s="3">
        <v>41697</v>
      </c>
      <c r="B4553" s="4" t="s">
        <v>4576</v>
      </c>
      <c r="C4553" s="3" t="s">
        <v>50</v>
      </c>
      <c r="D4553" s="5">
        <f t="shared" si="142"/>
        <v>1005.55</v>
      </c>
      <c r="E4553">
        <v>1103.79</v>
      </c>
      <c r="F4553" s="1789">
        <v>8.8999999999999996E-2</v>
      </c>
      <c r="G4553">
        <f t="shared" si="143"/>
        <v>1005.55</v>
      </c>
    </row>
    <row r="4554" spans="1:7" ht="12.75" customHeight="1">
      <c r="A4554" s="3">
        <v>41985</v>
      </c>
      <c r="B4554" s="4" t="s">
        <v>4577</v>
      </c>
      <c r="C4554" s="3" t="s">
        <v>50</v>
      </c>
      <c r="D4554" s="5">
        <f t="shared" si="142"/>
        <v>1400.46</v>
      </c>
      <c r="E4554">
        <v>1537.28</v>
      </c>
      <c r="F4554" s="1789">
        <v>8.8999999999999996E-2</v>
      </c>
      <c r="G4554">
        <f t="shared" si="143"/>
        <v>1400.46</v>
      </c>
    </row>
    <row r="4555" spans="1:7" ht="12.75" customHeight="1">
      <c r="A4555" s="3">
        <v>41699</v>
      </c>
      <c r="B4555" s="4" t="s">
        <v>4578</v>
      </c>
      <c r="C4555" s="3" t="s">
        <v>50</v>
      </c>
      <c r="D4555" s="5">
        <f t="shared" si="142"/>
        <v>1994.18</v>
      </c>
      <c r="E4555">
        <v>2189.0100000000002</v>
      </c>
      <c r="F4555" s="1789">
        <v>8.8999999999999996E-2</v>
      </c>
      <c r="G4555">
        <f t="shared" si="143"/>
        <v>1994.18</v>
      </c>
    </row>
    <row r="4556" spans="1:7" ht="12.75" customHeight="1">
      <c r="A4556" s="3">
        <v>38053</v>
      </c>
      <c r="B4556" s="4" t="s">
        <v>4579</v>
      </c>
      <c r="C4556" s="3" t="s">
        <v>50</v>
      </c>
      <c r="D4556" s="5">
        <f t="shared" si="142"/>
        <v>23.82</v>
      </c>
      <c r="E4556">
        <v>26.15</v>
      </c>
      <c r="F4556" s="1789">
        <v>8.8999999999999996E-2</v>
      </c>
      <c r="G4556">
        <f t="shared" si="143"/>
        <v>23.82</v>
      </c>
    </row>
    <row r="4557" spans="1:7" ht="12.75" customHeight="1">
      <c r="A4557" s="3">
        <v>38054</v>
      </c>
      <c r="B4557" s="4" t="s">
        <v>4580</v>
      </c>
      <c r="C4557" s="3" t="s">
        <v>50</v>
      </c>
      <c r="D4557" s="5">
        <f t="shared" si="142"/>
        <v>40.94</v>
      </c>
      <c r="E4557">
        <v>44.95</v>
      </c>
      <c r="F4557" s="1789">
        <v>8.8999999999999996E-2</v>
      </c>
      <c r="G4557">
        <f t="shared" si="143"/>
        <v>40.94</v>
      </c>
    </row>
    <row r="4558" spans="1:7" ht="12.75" customHeight="1">
      <c r="A4558" s="3">
        <v>38052</v>
      </c>
      <c r="B4558" s="4" t="s">
        <v>4581</v>
      </c>
      <c r="C4558" s="3" t="s">
        <v>50</v>
      </c>
      <c r="D4558" s="5">
        <f t="shared" si="142"/>
        <v>11.53</v>
      </c>
      <c r="E4558">
        <v>12.66</v>
      </c>
      <c r="F4558" s="1789">
        <v>8.8999999999999996E-2</v>
      </c>
      <c r="G4558">
        <f t="shared" si="143"/>
        <v>11.53</v>
      </c>
    </row>
    <row r="4559" spans="1:7" ht="12.75" customHeight="1">
      <c r="A4559" s="3">
        <v>38051</v>
      </c>
      <c r="B4559" s="4" t="s">
        <v>4582</v>
      </c>
      <c r="C4559" s="3" t="s">
        <v>50</v>
      </c>
      <c r="D4559" s="5">
        <f t="shared" si="142"/>
        <v>7.18</v>
      </c>
      <c r="E4559">
        <v>7.89</v>
      </c>
      <c r="F4559" s="1789">
        <v>8.8999999999999996E-2</v>
      </c>
      <c r="G4559">
        <f t="shared" si="143"/>
        <v>7.18</v>
      </c>
    </row>
    <row r="4560" spans="1:7" ht="12.75" customHeight="1">
      <c r="A4560" s="3">
        <v>38787</v>
      </c>
      <c r="B4560" s="4" t="s">
        <v>4583</v>
      </c>
      <c r="C4560" s="3" t="s">
        <v>50</v>
      </c>
      <c r="D4560" s="5">
        <f t="shared" si="142"/>
        <v>4.34</v>
      </c>
      <c r="E4560">
        <v>4.7699999999999996</v>
      </c>
      <c r="F4560" s="1789">
        <v>8.8999999999999996E-2</v>
      </c>
      <c r="G4560">
        <f t="shared" si="143"/>
        <v>4.34</v>
      </c>
    </row>
    <row r="4561" spans="1:7" ht="12.75" customHeight="1">
      <c r="A4561" s="3">
        <v>38825</v>
      </c>
      <c r="B4561" s="4" t="s">
        <v>4584</v>
      </c>
      <c r="C4561" s="3" t="s">
        <v>50</v>
      </c>
      <c r="D4561" s="5">
        <f t="shared" si="142"/>
        <v>5.61</v>
      </c>
      <c r="E4561">
        <v>6.16</v>
      </c>
      <c r="F4561" s="1789">
        <v>8.8999999999999996E-2</v>
      </c>
      <c r="G4561">
        <f t="shared" si="143"/>
        <v>5.61</v>
      </c>
    </row>
    <row r="4562" spans="1:7" ht="12.75" customHeight="1">
      <c r="A4562" s="3">
        <v>38826</v>
      </c>
      <c r="B4562" s="4" t="s">
        <v>4585</v>
      </c>
      <c r="C4562" s="3" t="s">
        <v>50</v>
      </c>
      <c r="D4562" s="5">
        <f t="shared" si="142"/>
        <v>7.98</v>
      </c>
      <c r="E4562">
        <v>8.77</v>
      </c>
      <c r="F4562" s="1789">
        <v>8.8999999999999996E-2</v>
      </c>
      <c r="G4562">
        <f t="shared" si="143"/>
        <v>7.98</v>
      </c>
    </row>
    <row r="4563" spans="1:7" ht="12.75" customHeight="1">
      <c r="A4563" s="3">
        <v>38827</v>
      </c>
      <c r="B4563" s="4" t="s">
        <v>4586</v>
      </c>
      <c r="C4563" s="3" t="s">
        <v>50</v>
      </c>
      <c r="D4563" s="5">
        <f t="shared" si="142"/>
        <v>13.06</v>
      </c>
      <c r="E4563">
        <v>14.34</v>
      </c>
      <c r="F4563" s="1789">
        <v>8.8999999999999996E-2</v>
      </c>
      <c r="G4563">
        <f t="shared" si="143"/>
        <v>13.06</v>
      </c>
    </row>
    <row r="4564" spans="1:7" ht="12.75" customHeight="1">
      <c r="A4564" s="3">
        <v>38828</v>
      </c>
      <c r="B4564" s="4" t="s">
        <v>4587</v>
      </c>
      <c r="C4564" s="3" t="s">
        <v>50</v>
      </c>
      <c r="D4564" s="5">
        <f t="shared" si="142"/>
        <v>8.36</v>
      </c>
      <c r="E4564">
        <v>9.18</v>
      </c>
      <c r="F4564" s="1789">
        <v>8.8999999999999996E-2</v>
      </c>
      <c r="G4564">
        <f t="shared" si="143"/>
        <v>8.36</v>
      </c>
    </row>
    <row r="4565" spans="1:7" ht="12.75" customHeight="1">
      <c r="A4565" s="3">
        <v>38829</v>
      </c>
      <c r="B4565" s="4" t="s">
        <v>4588</v>
      </c>
      <c r="C4565" s="3" t="s">
        <v>50</v>
      </c>
      <c r="D4565" s="5">
        <f t="shared" si="142"/>
        <v>13.71</v>
      </c>
      <c r="E4565">
        <v>15.05</v>
      </c>
      <c r="F4565" s="1789">
        <v>8.8999999999999996E-2</v>
      </c>
      <c r="G4565">
        <f t="shared" si="143"/>
        <v>13.71</v>
      </c>
    </row>
    <row r="4566" spans="1:7" ht="12.75" customHeight="1">
      <c r="A4566" s="3">
        <v>38830</v>
      </c>
      <c r="B4566" s="4" t="s">
        <v>4589</v>
      </c>
      <c r="C4566" s="3" t="s">
        <v>50</v>
      </c>
      <c r="D4566" s="5">
        <f t="shared" si="142"/>
        <v>18.97</v>
      </c>
      <c r="E4566">
        <v>20.83</v>
      </c>
      <c r="F4566" s="1789">
        <v>8.8999999999999996E-2</v>
      </c>
      <c r="G4566">
        <f t="shared" si="143"/>
        <v>18.97</v>
      </c>
    </row>
    <row r="4567" spans="1:7" ht="12.75" customHeight="1">
      <c r="A4567" s="3">
        <v>38831</v>
      </c>
      <c r="B4567" s="4" t="s">
        <v>4590</v>
      </c>
      <c r="C4567" s="3" t="s">
        <v>50</v>
      </c>
      <c r="D4567" s="5">
        <f t="shared" si="142"/>
        <v>26.46</v>
      </c>
      <c r="E4567">
        <v>29.05</v>
      </c>
      <c r="F4567" s="1789">
        <v>8.8999999999999996E-2</v>
      </c>
      <c r="G4567">
        <f t="shared" si="143"/>
        <v>26.46</v>
      </c>
    </row>
    <row r="4568" spans="1:7" ht="12.75" customHeight="1">
      <c r="A4568" s="3">
        <v>36274</v>
      </c>
      <c r="B4568" s="4" t="s">
        <v>4591</v>
      </c>
      <c r="C4568" s="3" t="s">
        <v>50</v>
      </c>
      <c r="D4568" s="5">
        <f t="shared" si="142"/>
        <v>8.74</v>
      </c>
      <c r="E4568">
        <v>9.6</v>
      </c>
      <c r="F4568" s="1789">
        <v>8.8999999999999996E-2</v>
      </c>
      <c r="G4568">
        <f t="shared" si="143"/>
        <v>8.74</v>
      </c>
    </row>
    <row r="4569" spans="1:7" ht="12.75" customHeight="1">
      <c r="A4569" s="3">
        <v>36278</v>
      </c>
      <c r="B4569" s="4" t="s">
        <v>4592</v>
      </c>
      <c r="C4569" s="3" t="s">
        <v>50</v>
      </c>
      <c r="D4569" s="5">
        <f t="shared" si="142"/>
        <v>11.86</v>
      </c>
      <c r="E4569">
        <v>13.02</v>
      </c>
      <c r="F4569" s="1789">
        <v>8.8999999999999996E-2</v>
      </c>
      <c r="G4569">
        <f t="shared" si="143"/>
        <v>11.86</v>
      </c>
    </row>
    <row r="4570" spans="1:7" ht="12.75" customHeight="1">
      <c r="A4570" s="3">
        <v>38977</v>
      </c>
      <c r="B4570" s="4" t="s">
        <v>4593</v>
      </c>
      <c r="C4570" s="3" t="s">
        <v>50</v>
      </c>
      <c r="D4570" s="5">
        <f t="shared" si="142"/>
        <v>116.02</v>
      </c>
      <c r="E4570">
        <v>127.36</v>
      </c>
      <c r="F4570" s="1789">
        <v>8.8999999999999996E-2</v>
      </c>
      <c r="G4570">
        <f t="shared" si="143"/>
        <v>116.02</v>
      </c>
    </row>
    <row r="4571" spans="1:7" ht="12.75" customHeight="1">
      <c r="A4571" s="3">
        <v>38971</v>
      </c>
      <c r="B4571" s="4" t="s">
        <v>4594</v>
      </c>
      <c r="C4571" s="3" t="s">
        <v>50</v>
      </c>
      <c r="D4571" s="5">
        <f t="shared" si="142"/>
        <v>9.73</v>
      </c>
      <c r="E4571">
        <v>10.69</v>
      </c>
      <c r="F4571" s="1789">
        <v>8.8999999999999996E-2</v>
      </c>
      <c r="G4571">
        <f t="shared" si="143"/>
        <v>9.73</v>
      </c>
    </row>
    <row r="4572" spans="1:7" ht="12.75" customHeight="1">
      <c r="A4572" s="3">
        <v>38972</v>
      </c>
      <c r="B4572" s="4" t="s">
        <v>4595</v>
      </c>
      <c r="C4572" s="3" t="s">
        <v>50</v>
      </c>
      <c r="D4572" s="5">
        <f t="shared" si="142"/>
        <v>13.12</v>
      </c>
      <c r="E4572">
        <v>14.41</v>
      </c>
      <c r="F4572" s="1789">
        <v>8.8999999999999996E-2</v>
      </c>
      <c r="G4572">
        <f t="shared" si="143"/>
        <v>13.12</v>
      </c>
    </row>
    <row r="4573" spans="1:7" ht="12.75" customHeight="1">
      <c r="A4573" s="3">
        <v>38973</v>
      </c>
      <c r="B4573" s="4" t="s">
        <v>4596</v>
      </c>
      <c r="C4573" s="3" t="s">
        <v>50</v>
      </c>
      <c r="D4573" s="5">
        <f t="shared" si="142"/>
        <v>21.69</v>
      </c>
      <c r="E4573">
        <v>23.81</v>
      </c>
      <c r="F4573" s="1789">
        <v>8.8999999999999996E-2</v>
      </c>
      <c r="G4573">
        <f t="shared" si="143"/>
        <v>21.69</v>
      </c>
    </row>
    <row r="4574" spans="1:7" ht="12.75" customHeight="1">
      <c r="A4574" s="3">
        <v>38974</v>
      </c>
      <c r="B4574" s="4" t="s">
        <v>4597</v>
      </c>
      <c r="C4574" s="3" t="s">
        <v>50</v>
      </c>
      <c r="D4574" s="5">
        <f t="shared" si="142"/>
        <v>35.22</v>
      </c>
      <c r="E4574">
        <v>38.67</v>
      </c>
      <c r="F4574" s="1789">
        <v>8.8999999999999996E-2</v>
      </c>
      <c r="G4574">
        <f t="shared" si="143"/>
        <v>35.22</v>
      </c>
    </row>
    <row r="4575" spans="1:7" ht="12.75" customHeight="1">
      <c r="A4575" s="3">
        <v>38975</v>
      </c>
      <c r="B4575" s="4" t="s">
        <v>4598</v>
      </c>
      <c r="C4575" s="3" t="s">
        <v>50</v>
      </c>
      <c r="D4575" s="5">
        <f t="shared" si="142"/>
        <v>45.16</v>
      </c>
      <c r="E4575">
        <v>49.58</v>
      </c>
      <c r="F4575" s="1789">
        <v>8.8999999999999996E-2</v>
      </c>
      <c r="G4575">
        <f t="shared" si="143"/>
        <v>45.16</v>
      </c>
    </row>
    <row r="4576" spans="1:7" ht="12.75" customHeight="1">
      <c r="A4576" s="3">
        <v>38976</v>
      </c>
      <c r="B4576" s="4" t="s">
        <v>4599</v>
      </c>
      <c r="C4576" s="3" t="s">
        <v>50</v>
      </c>
      <c r="D4576" s="5">
        <f t="shared" si="142"/>
        <v>77.650000000000006</v>
      </c>
      <c r="E4576">
        <v>85.24</v>
      </c>
      <c r="F4576" s="1789">
        <v>8.8999999999999996E-2</v>
      </c>
      <c r="G4576">
        <f t="shared" si="143"/>
        <v>77.650000000000006</v>
      </c>
    </row>
    <row r="4577" spans="1:7" ht="12.75" customHeight="1">
      <c r="A4577" s="3">
        <v>44176</v>
      </c>
      <c r="B4577" s="4" t="s">
        <v>4600</v>
      </c>
      <c r="C4577" s="3" t="s">
        <v>50</v>
      </c>
      <c r="D4577" s="5">
        <f t="shared" si="142"/>
        <v>17.84</v>
      </c>
      <c r="E4577">
        <v>19.59</v>
      </c>
      <c r="F4577" s="1789">
        <v>8.8999999999999996E-2</v>
      </c>
      <c r="G4577">
        <f t="shared" si="143"/>
        <v>17.84</v>
      </c>
    </row>
    <row r="4578" spans="1:7" ht="12.75" customHeight="1">
      <c r="A4578" s="3">
        <v>38986</v>
      </c>
      <c r="B4578" s="4" t="s">
        <v>4601</v>
      </c>
      <c r="C4578" s="3" t="s">
        <v>50</v>
      </c>
      <c r="D4578" s="5">
        <f t="shared" si="142"/>
        <v>234.4</v>
      </c>
      <c r="E4578">
        <v>257.31</v>
      </c>
      <c r="F4578" s="1789">
        <v>8.8999999999999996E-2</v>
      </c>
      <c r="G4578">
        <f t="shared" si="143"/>
        <v>234.4</v>
      </c>
    </row>
    <row r="4579" spans="1:7" ht="12.75" customHeight="1">
      <c r="A4579" s="3">
        <v>38978</v>
      </c>
      <c r="B4579" s="4" t="s">
        <v>4602</v>
      </c>
      <c r="C4579" s="3" t="s">
        <v>50</v>
      </c>
      <c r="D4579" s="5">
        <f t="shared" si="142"/>
        <v>9.61</v>
      </c>
      <c r="E4579">
        <v>10.55</v>
      </c>
      <c r="F4579" s="1789">
        <v>8.8999999999999996E-2</v>
      </c>
      <c r="G4579">
        <f t="shared" si="143"/>
        <v>9.61</v>
      </c>
    </row>
    <row r="4580" spans="1:7" ht="12.75" customHeight="1">
      <c r="A4580" s="3">
        <v>38979</v>
      </c>
      <c r="B4580" s="4" t="s">
        <v>4603</v>
      </c>
      <c r="C4580" s="3" t="s">
        <v>50</v>
      </c>
      <c r="D4580" s="5">
        <f t="shared" si="142"/>
        <v>13.29</v>
      </c>
      <c r="E4580">
        <v>14.59</v>
      </c>
      <c r="F4580" s="1789">
        <v>8.8999999999999996E-2</v>
      </c>
      <c r="G4580">
        <f t="shared" si="143"/>
        <v>13.29</v>
      </c>
    </row>
    <row r="4581" spans="1:7" ht="12.75" customHeight="1">
      <c r="A4581" s="3">
        <v>38980</v>
      </c>
      <c r="B4581" s="4" t="s">
        <v>4604</v>
      </c>
      <c r="C4581" s="3" t="s">
        <v>50</v>
      </c>
      <c r="D4581" s="5">
        <f t="shared" si="142"/>
        <v>17.79</v>
      </c>
      <c r="E4581">
        <v>19.53</v>
      </c>
      <c r="F4581" s="1789">
        <v>8.8999999999999996E-2</v>
      </c>
      <c r="G4581">
        <f t="shared" si="143"/>
        <v>17.79</v>
      </c>
    </row>
    <row r="4582" spans="1:7" ht="12.75" customHeight="1">
      <c r="A4582" s="3">
        <v>38981</v>
      </c>
      <c r="B4582" s="4" t="s">
        <v>4605</v>
      </c>
      <c r="C4582" s="3" t="s">
        <v>50</v>
      </c>
      <c r="D4582" s="5">
        <f t="shared" si="142"/>
        <v>25.67</v>
      </c>
      <c r="E4582">
        <v>28.18</v>
      </c>
      <c r="F4582" s="1789">
        <v>8.8999999999999996E-2</v>
      </c>
      <c r="G4582">
        <f t="shared" si="143"/>
        <v>25.67</v>
      </c>
    </row>
    <row r="4583" spans="1:7" ht="12.75" customHeight="1">
      <c r="A4583" s="3">
        <v>38982</v>
      </c>
      <c r="B4583" s="4" t="s">
        <v>4606</v>
      </c>
      <c r="C4583" s="3" t="s">
        <v>50</v>
      </c>
      <c r="D4583" s="5">
        <f t="shared" si="142"/>
        <v>40.56</v>
      </c>
      <c r="E4583">
        <v>44.53</v>
      </c>
      <c r="F4583" s="1789">
        <v>8.8999999999999996E-2</v>
      </c>
      <c r="G4583">
        <f t="shared" si="143"/>
        <v>40.56</v>
      </c>
    </row>
    <row r="4584" spans="1:7" ht="12.75" customHeight="1">
      <c r="A4584" s="3">
        <v>38983</v>
      </c>
      <c r="B4584" s="4" t="s">
        <v>4607</v>
      </c>
      <c r="C4584" s="3" t="s">
        <v>50</v>
      </c>
      <c r="D4584" s="5">
        <f t="shared" si="142"/>
        <v>71.37</v>
      </c>
      <c r="E4584">
        <v>78.349999999999994</v>
      </c>
      <c r="F4584" s="1789">
        <v>8.8999999999999996E-2</v>
      </c>
      <c r="G4584">
        <f t="shared" si="143"/>
        <v>71.37</v>
      </c>
    </row>
    <row r="4585" spans="1:7" ht="12.75" customHeight="1">
      <c r="A4585" s="3">
        <v>38984</v>
      </c>
      <c r="B4585" s="4" t="s">
        <v>4608</v>
      </c>
      <c r="C4585" s="3" t="s">
        <v>50</v>
      </c>
      <c r="D4585" s="5">
        <f t="shared" si="142"/>
        <v>98.11</v>
      </c>
      <c r="E4585">
        <v>107.7</v>
      </c>
      <c r="F4585" s="1789">
        <v>8.8999999999999996E-2</v>
      </c>
      <c r="G4585">
        <f t="shared" si="143"/>
        <v>98.11</v>
      </c>
    </row>
    <row r="4586" spans="1:7" ht="12.75" customHeight="1">
      <c r="A4586" s="3">
        <v>38985</v>
      </c>
      <c r="B4586" s="4" t="s">
        <v>4609</v>
      </c>
      <c r="C4586" s="3" t="s">
        <v>50</v>
      </c>
      <c r="D4586" s="5">
        <f t="shared" si="142"/>
        <v>168.68</v>
      </c>
      <c r="E4586">
        <v>185.17</v>
      </c>
      <c r="F4586" s="1789">
        <v>8.8999999999999996E-2</v>
      </c>
      <c r="G4586">
        <f t="shared" si="143"/>
        <v>168.68</v>
      </c>
    </row>
    <row r="4587" spans="1:7" ht="12.75" customHeight="1">
      <c r="A4587" s="3">
        <v>38032</v>
      </c>
      <c r="B4587" s="4" t="s">
        <v>4610</v>
      </c>
      <c r="C4587" s="3" t="s">
        <v>50</v>
      </c>
      <c r="D4587" s="5">
        <f t="shared" si="142"/>
        <v>49.88</v>
      </c>
      <c r="E4587">
        <v>54.76</v>
      </c>
      <c r="F4587" s="1789">
        <v>8.8999999999999996E-2</v>
      </c>
      <c r="G4587">
        <f t="shared" si="143"/>
        <v>49.88</v>
      </c>
    </row>
    <row r="4588" spans="1:7" ht="12.75" customHeight="1">
      <c r="A4588" s="3">
        <v>38033</v>
      </c>
      <c r="B4588" s="4" t="s">
        <v>4611</v>
      </c>
      <c r="C4588" s="3" t="s">
        <v>50</v>
      </c>
      <c r="D4588" s="5">
        <f t="shared" si="142"/>
        <v>84.8</v>
      </c>
      <c r="E4588">
        <v>93.09</v>
      </c>
      <c r="F4588" s="1789">
        <v>8.8999999999999996E-2</v>
      </c>
      <c r="G4588">
        <f t="shared" si="143"/>
        <v>84.8</v>
      </c>
    </row>
    <row r="4589" spans="1:7" ht="12.75" customHeight="1">
      <c r="A4589" s="3">
        <v>38034</v>
      </c>
      <c r="B4589" s="4" t="s">
        <v>4612</v>
      </c>
      <c r="C4589" s="3" t="s">
        <v>50</v>
      </c>
      <c r="D4589" s="5">
        <f t="shared" si="142"/>
        <v>132.85</v>
      </c>
      <c r="E4589">
        <v>145.83000000000001</v>
      </c>
      <c r="F4589" s="1789">
        <v>8.8999999999999996E-2</v>
      </c>
      <c r="G4589">
        <f t="shared" si="143"/>
        <v>132.85</v>
      </c>
    </row>
    <row r="4590" spans="1:7" ht="12.75" customHeight="1">
      <c r="A4590" s="3">
        <v>38035</v>
      </c>
      <c r="B4590" s="4" t="s">
        <v>4613</v>
      </c>
      <c r="C4590" s="3" t="s">
        <v>50</v>
      </c>
      <c r="D4590" s="5">
        <f t="shared" si="142"/>
        <v>195.44</v>
      </c>
      <c r="E4590">
        <v>214.54</v>
      </c>
      <c r="F4590" s="1789">
        <v>8.8999999999999996E-2</v>
      </c>
      <c r="G4590">
        <f t="shared" si="143"/>
        <v>195.44</v>
      </c>
    </row>
    <row r="4591" spans="1:7" ht="12.75" customHeight="1">
      <c r="A4591" s="3">
        <v>38036</v>
      </c>
      <c r="B4591" s="4" t="s">
        <v>4614</v>
      </c>
      <c r="C4591" s="3" t="s">
        <v>50</v>
      </c>
      <c r="D4591" s="5">
        <f t="shared" si="142"/>
        <v>263.27999999999997</v>
      </c>
      <c r="E4591">
        <v>289.01</v>
      </c>
      <c r="F4591" s="1789">
        <v>8.8999999999999996E-2</v>
      </c>
      <c r="G4591">
        <f t="shared" si="143"/>
        <v>263.27999999999997</v>
      </c>
    </row>
    <row r="4592" spans="1:7" ht="12.75" customHeight="1">
      <c r="A4592" s="3">
        <v>38037</v>
      </c>
      <c r="B4592" s="4" t="s">
        <v>4615</v>
      </c>
      <c r="C4592" s="3" t="s">
        <v>50</v>
      </c>
      <c r="D4592" s="5">
        <f t="shared" si="142"/>
        <v>347.77</v>
      </c>
      <c r="E4592">
        <v>381.75</v>
      </c>
      <c r="F4592" s="1789">
        <v>8.8999999999999996E-2</v>
      </c>
      <c r="G4592">
        <f t="shared" si="143"/>
        <v>347.77</v>
      </c>
    </row>
    <row r="4593" spans="1:7" ht="12.75" customHeight="1">
      <c r="A4593" s="3">
        <v>9850</v>
      </c>
      <c r="B4593" s="4" t="s">
        <v>4616</v>
      </c>
      <c r="C4593" s="3" t="s">
        <v>50</v>
      </c>
      <c r="D4593" s="5">
        <f t="shared" si="142"/>
        <v>134.6</v>
      </c>
      <c r="E4593">
        <v>147.75</v>
      </c>
      <c r="F4593" s="1789">
        <v>8.8999999999999996E-2</v>
      </c>
      <c r="G4593">
        <f t="shared" si="143"/>
        <v>134.6</v>
      </c>
    </row>
    <row r="4594" spans="1:7" ht="12.75" customHeight="1">
      <c r="A4594" s="3">
        <v>9853</v>
      </c>
      <c r="B4594" s="4" t="s">
        <v>4617</v>
      </c>
      <c r="C4594" s="3" t="s">
        <v>50</v>
      </c>
      <c r="D4594" s="5">
        <f t="shared" si="142"/>
        <v>239.35</v>
      </c>
      <c r="E4594">
        <v>262.74</v>
      </c>
      <c r="F4594" s="1789">
        <v>8.8999999999999996E-2</v>
      </c>
      <c r="G4594">
        <f t="shared" si="143"/>
        <v>239.35</v>
      </c>
    </row>
    <row r="4595" spans="1:7" ht="12.75" customHeight="1">
      <c r="A4595" s="3">
        <v>9854</v>
      </c>
      <c r="B4595" s="4" t="s">
        <v>4618</v>
      </c>
      <c r="C4595" s="3" t="s">
        <v>50</v>
      </c>
      <c r="D4595" s="5">
        <f t="shared" si="142"/>
        <v>104.87</v>
      </c>
      <c r="E4595">
        <v>115.12</v>
      </c>
      <c r="F4595" s="1789">
        <v>8.8999999999999996E-2</v>
      </c>
      <c r="G4595">
        <f t="shared" si="143"/>
        <v>104.87</v>
      </c>
    </row>
    <row r="4596" spans="1:7" ht="12.75" customHeight="1">
      <c r="A4596" s="3">
        <v>9851</v>
      </c>
      <c r="B4596" s="4" t="s">
        <v>4619</v>
      </c>
      <c r="C4596" s="3" t="s">
        <v>50</v>
      </c>
      <c r="D4596" s="5">
        <f t="shared" si="142"/>
        <v>181.85</v>
      </c>
      <c r="E4596">
        <v>199.62</v>
      </c>
      <c r="F4596" s="1789">
        <v>8.8999999999999996E-2</v>
      </c>
      <c r="G4596">
        <f t="shared" si="143"/>
        <v>181.85</v>
      </c>
    </row>
    <row r="4597" spans="1:7" ht="12.75" customHeight="1">
      <c r="A4597" s="3">
        <v>9825</v>
      </c>
      <c r="B4597" s="4" t="s">
        <v>4620</v>
      </c>
      <c r="C4597" s="3" t="s">
        <v>50</v>
      </c>
      <c r="D4597" s="5">
        <f t="shared" si="142"/>
        <v>28.86</v>
      </c>
      <c r="E4597">
        <v>31.68</v>
      </c>
      <c r="F4597" s="1789">
        <v>8.8999999999999996E-2</v>
      </c>
      <c r="G4597">
        <f t="shared" si="143"/>
        <v>28.86</v>
      </c>
    </row>
    <row r="4598" spans="1:7" ht="12.75" customHeight="1">
      <c r="A4598" s="3">
        <v>9828</v>
      </c>
      <c r="B4598" s="4" t="s">
        <v>4621</v>
      </c>
      <c r="C4598" s="3" t="s">
        <v>50</v>
      </c>
      <c r="D4598" s="5">
        <f t="shared" si="142"/>
        <v>77.680000000000007</v>
      </c>
      <c r="E4598">
        <v>85.27</v>
      </c>
      <c r="F4598" s="1789">
        <v>8.8999999999999996E-2</v>
      </c>
      <c r="G4598">
        <f t="shared" si="143"/>
        <v>77.680000000000007</v>
      </c>
    </row>
    <row r="4599" spans="1:7" ht="12.75" customHeight="1">
      <c r="A4599" s="3">
        <v>9829</v>
      </c>
      <c r="B4599" s="4" t="s">
        <v>4622</v>
      </c>
      <c r="C4599" s="3" t="s">
        <v>50</v>
      </c>
      <c r="D4599" s="5">
        <f t="shared" si="142"/>
        <v>131.63</v>
      </c>
      <c r="E4599">
        <v>144.5</v>
      </c>
      <c r="F4599" s="1789">
        <v>8.8999999999999996E-2</v>
      </c>
      <c r="G4599">
        <f t="shared" si="143"/>
        <v>131.63</v>
      </c>
    </row>
    <row r="4600" spans="1:7" ht="12.75" customHeight="1">
      <c r="A4600" s="3">
        <v>9826</v>
      </c>
      <c r="B4600" s="4" t="s">
        <v>4623</v>
      </c>
      <c r="C4600" s="3" t="s">
        <v>50</v>
      </c>
      <c r="D4600" s="5">
        <f t="shared" si="142"/>
        <v>200.41</v>
      </c>
      <c r="E4600">
        <v>219.99</v>
      </c>
      <c r="F4600" s="1789">
        <v>8.8999999999999996E-2</v>
      </c>
      <c r="G4600">
        <f t="shared" si="143"/>
        <v>200.41</v>
      </c>
    </row>
    <row r="4601" spans="1:7" ht="12.75" customHeight="1">
      <c r="A4601" s="3">
        <v>9827</v>
      </c>
      <c r="B4601" s="4" t="s">
        <v>4624</v>
      </c>
      <c r="C4601" s="3" t="s">
        <v>50</v>
      </c>
      <c r="D4601" s="5">
        <f t="shared" si="142"/>
        <v>284.57</v>
      </c>
      <c r="E4601">
        <v>312.38</v>
      </c>
      <c r="F4601" s="1789">
        <v>8.8999999999999996E-2</v>
      </c>
      <c r="G4601">
        <f t="shared" si="143"/>
        <v>284.57</v>
      </c>
    </row>
    <row r="4602" spans="1:7" ht="12.75" customHeight="1">
      <c r="A4602" s="3">
        <v>36374</v>
      </c>
      <c r="B4602" s="4" t="s">
        <v>4625</v>
      </c>
      <c r="C4602" s="3" t="s">
        <v>50</v>
      </c>
      <c r="D4602" s="5">
        <f t="shared" si="142"/>
        <v>34.590000000000003</v>
      </c>
      <c r="E4602">
        <v>37.97</v>
      </c>
      <c r="F4602" s="1789">
        <v>8.8999999999999996E-2</v>
      </c>
      <c r="G4602">
        <f t="shared" si="143"/>
        <v>34.590000000000003</v>
      </c>
    </row>
    <row r="4603" spans="1:7" ht="12.75" customHeight="1">
      <c r="A4603" s="3">
        <v>36084</v>
      </c>
      <c r="B4603" s="4" t="s">
        <v>4626</v>
      </c>
      <c r="C4603" s="3" t="s">
        <v>50</v>
      </c>
      <c r="D4603" s="5">
        <f t="shared" si="142"/>
        <v>10.24</v>
      </c>
      <c r="E4603">
        <v>11.25</v>
      </c>
      <c r="F4603" s="1789">
        <v>8.8999999999999996E-2</v>
      </c>
      <c r="G4603">
        <f t="shared" si="143"/>
        <v>10.24</v>
      </c>
    </row>
    <row r="4604" spans="1:7" ht="12.75" customHeight="1">
      <c r="A4604" s="3">
        <v>36373</v>
      </c>
      <c r="B4604" s="4" t="s">
        <v>4627</v>
      </c>
      <c r="C4604" s="3" t="s">
        <v>50</v>
      </c>
      <c r="D4604" s="5">
        <f t="shared" si="142"/>
        <v>21.28</v>
      </c>
      <c r="E4604">
        <v>23.36</v>
      </c>
      <c r="F4604" s="1789">
        <v>8.8999999999999996E-2</v>
      </c>
      <c r="G4604">
        <f t="shared" si="143"/>
        <v>21.28</v>
      </c>
    </row>
    <row r="4605" spans="1:7" ht="12.75" customHeight="1">
      <c r="A4605" s="3">
        <v>36377</v>
      </c>
      <c r="B4605" s="4" t="s">
        <v>4628</v>
      </c>
      <c r="C4605" s="3" t="s">
        <v>50</v>
      </c>
      <c r="D4605" s="5">
        <f t="shared" si="142"/>
        <v>41.49</v>
      </c>
      <c r="E4605">
        <v>45.55</v>
      </c>
      <c r="F4605" s="1789">
        <v>8.8999999999999996E-2</v>
      </c>
      <c r="G4605">
        <f t="shared" si="143"/>
        <v>41.49</v>
      </c>
    </row>
    <row r="4606" spans="1:7" ht="12.75" customHeight="1">
      <c r="A4606" s="3">
        <v>36375</v>
      </c>
      <c r="B4606" s="4" t="s">
        <v>4629</v>
      </c>
      <c r="C4606" s="3" t="s">
        <v>50</v>
      </c>
      <c r="D4606" s="5">
        <f t="shared" si="142"/>
        <v>12.64</v>
      </c>
      <c r="E4606">
        <v>13.88</v>
      </c>
      <c r="F4606" s="1789">
        <v>8.8999999999999996E-2</v>
      </c>
      <c r="G4606">
        <f t="shared" si="143"/>
        <v>12.64</v>
      </c>
    </row>
    <row r="4607" spans="1:7" ht="12.75" customHeight="1">
      <c r="A4607" s="3">
        <v>36376</v>
      </c>
      <c r="B4607" s="4" t="s">
        <v>4630</v>
      </c>
      <c r="C4607" s="3" t="s">
        <v>50</v>
      </c>
      <c r="D4607" s="5">
        <f t="shared" si="142"/>
        <v>24.83</v>
      </c>
      <c r="E4607">
        <v>27.26</v>
      </c>
      <c r="F4607" s="1789">
        <v>8.8999999999999996E-2</v>
      </c>
      <c r="G4607">
        <f t="shared" si="143"/>
        <v>24.83</v>
      </c>
    </row>
    <row r="4608" spans="1:7" ht="12.75" customHeight="1">
      <c r="A4608" s="3">
        <v>36380</v>
      </c>
      <c r="B4608" s="4" t="s">
        <v>4631</v>
      </c>
      <c r="C4608" s="3" t="s">
        <v>50</v>
      </c>
      <c r="D4608" s="5">
        <f t="shared" si="142"/>
        <v>51.89</v>
      </c>
      <c r="E4608">
        <v>56.96</v>
      </c>
      <c r="F4608" s="1789">
        <v>8.8999999999999996E-2</v>
      </c>
      <c r="G4608">
        <f t="shared" si="143"/>
        <v>51.89</v>
      </c>
    </row>
    <row r="4609" spans="1:7" ht="12.75" customHeight="1">
      <c r="A4609" s="3">
        <v>36378</v>
      </c>
      <c r="B4609" s="4" t="s">
        <v>4632</v>
      </c>
      <c r="C4609" s="3" t="s">
        <v>50</v>
      </c>
      <c r="D4609" s="5">
        <f t="shared" si="142"/>
        <v>15.54</v>
      </c>
      <c r="E4609">
        <v>17.059999999999999</v>
      </c>
      <c r="F4609" s="1789">
        <v>8.8999999999999996E-2</v>
      </c>
      <c r="G4609">
        <f t="shared" si="143"/>
        <v>15.54</v>
      </c>
    </row>
    <row r="4610" spans="1:7" ht="12.75" customHeight="1">
      <c r="A4610" s="3">
        <v>36379</v>
      </c>
      <c r="B4610" s="4" t="s">
        <v>4633</v>
      </c>
      <c r="C4610" s="3" t="s">
        <v>50</v>
      </c>
      <c r="D4610" s="5">
        <f t="shared" si="142"/>
        <v>31.33</v>
      </c>
      <c r="E4610">
        <v>34.4</v>
      </c>
      <c r="F4610" s="1789">
        <v>8.8999999999999996E-2</v>
      </c>
      <c r="G4610">
        <f t="shared" si="143"/>
        <v>31.33</v>
      </c>
    </row>
    <row r="4611" spans="1:7" ht="12.75" customHeight="1">
      <c r="A4611" s="3">
        <v>9859</v>
      </c>
      <c r="B4611" s="4" t="s">
        <v>4634</v>
      </c>
      <c r="C4611" s="3" t="s">
        <v>50</v>
      </c>
      <c r="D4611" s="5">
        <f t="shared" ref="D4611:D4674" si="144">G4611</f>
        <v>7.96</v>
      </c>
      <c r="E4611">
        <v>8.74</v>
      </c>
      <c r="F4611" s="1789">
        <v>8.8999999999999996E-2</v>
      </c>
      <c r="G4611">
        <f t="shared" ref="G4611:G4674" si="145">TRUNC((1-F4611)*E4611,2)</f>
        <v>7.96</v>
      </c>
    </row>
    <row r="4612" spans="1:7" ht="12.75" customHeight="1">
      <c r="A4612" s="3">
        <v>9836</v>
      </c>
      <c r="B4612" s="4" t="s">
        <v>4635</v>
      </c>
      <c r="C4612" s="3" t="s">
        <v>50</v>
      </c>
      <c r="D4612" s="5">
        <f t="shared" si="144"/>
        <v>12.62</v>
      </c>
      <c r="E4612">
        <v>13.86</v>
      </c>
      <c r="F4612" s="1789">
        <v>8.8999999999999996E-2</v>
      </c>
      <c r="G4612">
        <f t="shared" si="145"/>
        <v>12.62</v>
      </c>
    </row>
    <row r="4613" spans="1:7" ht="12.75" customHeight="1">
      <c r="A4613" s="3">
        <v>20065</v>
      </c>
      <c r="B4613" s="4" t="s">
        <v>4636</v>
      </c>
      <c r="C4613" s="3" t="s">
        <v>50</v>
      </c>
      <c r="D4613" s="5">
        <f t="shared" si="144"/>
        <v>33</v>
      </c>
      <c r="E4613">
        <v>36.229999999999997</v>
      </c>
      <c r="F4613" s="1789">
        <v>8.8999999999999996E-2</v>
      </c>
      <c r="G4613">
        <f t="shared" si="145"/>
        <v>33</v>
      </c>
    </row>
    <row r="4614" spans="1:7" ht="12.75" customHeight="1">
      <c r="A4614" s="3">
        <v>9835</v>
      </c>
      <c r="B4614" s="4" t="s">
        <v>4637</v>
      </c>
      <c r="C4614" s="3" t="s">
        <v>50</v>
      </c>
      <c r="D4614" s="5">
        <f t="shared" si="144"/>
        <v>5.51</v>
      </c>
      <c r="E4614">
        <v>6.05</v>
      </c>
      <c r="F4614" s="1789">
        <v>8.8999999999999996E-2</v>
      </c>
      <c r="G4614">
        <f t="shared" si="145"/>
        <v>5.51</v>
      </c>
    </row>
    <row r="4615" spans="1:7" ht="12.75" customHeight="1">
      <c r="A4615" s="3">
        <v>9838</v>
      </c>
      <c r="B4615" s="4" t="s">
        <v>4638</v>
      </c>
      <c r="C4615" s="3" t="s">
        <v>50</v>
      </c>
      <c r="D4615" s="5">
        <f t="shared" si="144"/>
        <v>9.11</v>
      </c>
      <c r="E4615">
        <v>10</v>
      </c>
      <c r="F4615" s="1789">
        <v>8.8999999999999996E-2</v>
      </c>
      <c r="G4615">
        <f t="shared" si="145"/>
        <v>9.11</v>
      </c>
    </row>
    <row r="4616" spans="1:7" ht="12.75" customHeight="1">
      <c r="A4616" s="3">
        <v>9837</v>
      </c>
      <c r="B4616" s="4" t="s">
        <v>4639</v>
      </c>
      <c r="C4616" s="3" t="s">
        <v>50</v>
      </c>
      <c r="D4616" s="5">
        <f t="shared" si="144"/>
        <v>11.95</v>
      </c>
      <c r="E4616">
        <v>13.12</v>
      </c>
      <c r="F4616" s="1789">
        <v>8.8999999999999996E-2</v>
      </c>
      <c r="G4616">
        <f t="shared" si="145"/>
        <v>11.95</v>
      </c>
    </row>
    <row r="4617" spans="1:7" ht="12.75" customHeight="1">
      <c r="A4617" s="3">
        <v>44315</v>
      </c>
      <c r="B4617" s="4" t="s">
        <v>4640</v>
      </c>
      <c r="C4617" s="3" t="s">
        <v>50</v>
      </c>
      <c r="D4617" s="5">
        <f t="shared" si="144"/>
        <v>49.43</v>
      </c>
      <c r="E4617">
        <v>54.26</v>
      </c>
      <c r="F4617" s="1789">
        <v>8.8999999999999996E-2</v>
      </c>
      <c r="G4617">
        <f t="shared" si="145"/>
        <v>49.43</v>
      </c>
    </row>
    <row r="4618" spans="1:7" ht="12.75" customHeight="1">
      <c r="A4618" s="3">
        <v>9862</v>
      </c>
      <c r="B4618" s="4" t="s">
        <v>4641</v>
      </c>
      <c r="C4618" s="3" t="s">
        <v>50</v>
      </c>
      <c r="D4618" s="5">
        <f t="shared" si="144"/>
        <v>24.53</v>
      </c>
      <c r="E4618">
        <v>26.93</v>
      </c>
      <c r="F4618" s="1789">
        <v>8.8999999999999996E-2</v>
      </c>
      <c r="G4618">
        <f t="shared" si="145"/>
        <v>24.53</v>
      </c>
    </row>
    <row r="4619" spans="1:7" ht="12.75" customHeight="1">
      <c r="A4619" s="3">
        <v>9861</v>
      </c>
      <c r="B4619" s="4" t="s">
        <v>4642</v>
      </c>
      <c r="C4619" s="3" t="s">
        <v>50</v>
      </c>
      <c r="D4619" s="5">
        <f t="shared" si="144"/>
        <v>19.260000000000002</v>
      </c>
      <c r="E4619">
        <v>21.15</v>
      </c>
      <c r="F4619" s="1789">
        <v>8.8999999999999996E-2</v>
      </c>
      <c r="G4619">
        <f t="shared" si="145"/>
        <v>19.260000000000002</v>
      </c>
    </row>
    <row r="4620" spans="1:7" ht="12.75" customHeight="1">
      <c r="A4620" s="3">
        <v>9856</v>
      </c>
      <c r="B4620" s="4" t="s">
        <v>4643</v>
      </c>
      <c r="C4620" s="3" t="s">
        <v>50</v>
      </c>
      <c r="D4620" s="5">
        <f t="shared" si="144"/>
        <v>6.21</v>
      </c>
      <c r="E4620">
        <v>6.82</v>
      </c>
      <c r="F4620" s="1789">
        <v>8.8999999999999996E-2</v>
      </c>
      <c r="G4620">
        <f t="shared" si="145"/>
        <v>6.21</v>
      </c>
    </row>
    <row r="4621" spans="1:7" ht="12.75" customHeight="1">
      <c r="A4621" s="3">
        <v>9866</v>
      </c>
      <c r="B4621" s="4" t="s">
        <v>4644</v>
      </c>
      <c r="C4621" s="3" t="s">
        <v>50</v>
      </c>
      <c r="D4621" s="5">
        <f t="shared" si="144"/>
        <v>16.62</v>
      </c>
      <c r="E4621">
        <v>18.25</v>
      </c>
      <c r="F4621" s="1789">
        <v>8.8999999999999996E-2</v>
      </c>
      <c r="G4621">
        <f t="shared" si="145"/>
        <v>16.62</v>
      </c>
    </row>
    <row r="4622" spans="1:7" ht="12.75" customHeight="1">
      <c r="A4622" s="3">
        <v>9863</v>
      </c>
      <c r="B4622" s="4" t="s">
        <v>4645</v>
      </c>
      <c r="C4622" s="3" t="s">
        <v>50</v>
      </c>
      <c r="D4622" s="5">
        <f t="shared" si="144"/>
        <v>48.1</v>
      </c>
      <c r="E4622">
        <v>52.81</v>
      </c>
      <c r="F4622" s="1789">
        <v>8.8999999999999996E-2</v>
      </c>
      <c r="G4622">
        <f t="shared" si="145"/>
        <v>48.1</v>
      </c>
    </row>
    <row r="4623" spans="1:7" ht="12.75" customHeight="1">
      <c r="A4623" s="3">
        <v>9860</v>
      </c>
      <c r="B4623" s="4" t="s">
        <v>4646</v>
      </c>
      <c r="C4623" s="3" t="s">
        <v>50</v>
      </c>
      <c r="D4623" s="5">
        <f t="shared" si="144"/>
        <v>35.1</v>
      </c>
      <c r="E4623">
        <v>38.54</v>
      </c>
      <c r="F4623" s="1789">
        <v>8.8999999999999996E-2</v>
      </c>
      <c r="G4623">
        <f t="shared" si="145"/>
        <v>35.1</v>
      </c>
    </row>
    <row r="4624" spans="1:7" ht="12.75" customHeight="1">
      <c r="A4624" s="3">
        <v>9841</v>
      </c>
      <c r="B4624" s="4" t="s">
        <v>4647</v>
      </c>
      <c r="C4624" s="3" t="s">
        <v>50</v>
      </c>
      <c r="D4624" s="5">
        <f t="shared" si="144"/>
        <v>23.77</v>
      </c>
      <c r="E4624">
        <v>26.1</v>
      </c>
      <c r="F4624" s="1789">
        <v>8.8999999999999996E-2</v>
      </c>
      <c r="G4624">
        <f t="shared" si="145"/>
        <v>23.77</v>
      </c>
    </row>
    <row r="4625" spans="1:7" ht="12.75" customHeight="1">
      <c r="A4625" s="3">
        <v>9840</v>
      </c>
      <c r="B4625" s="4" t="s">
        <v>4648</v>
      </c>
      <c r="C4625" s="3" t="s">
        <v>50</v>
      </c>
      <c r="D4625" s="5">
        <f t="shared" si="144"/>
        <v>50.22</v>
      </c>
      <c r="E4625">
        <v>55.13</v>
      </c>
      <c r="F4625" s="1789">
        <v>8.8999999999999996E-2</v>
      </c>
      <c r="G4625">
        <f t="shared" si="145"/>
        <v>50.22</v>
      </c>
    </row>
    <row r="4626" spans="1:7" ht="12.75" customHeight="1">
      <c r="A4626" s="3">
        <v>20067</v>
      </c>
      <c r="B4626" s="4" t="s">
        <v>4649</v>
      </c>
      <c r="C4626" s="3" t="s">
        <v>50</v>
      </c>
      <c r="D4626" s="5">
        <f t="shared" si="144"/>
        <v>7.7</v>
      </c>
      <c r="E4626">
        <v>8.4600000000000009</v>
      </c>
      <c r="F4626" s="1789">
        <v>8.8999999999999996E-2</v>
      </c>
      <c r="G4626">
        <f t="shared" si="145"/>
        <v>7.7</v>
      </c>
    </row>
    <row r="4627" spans="1:7" ht="12.75" customHeight="1">
      <c r="A4627" s="3">
        <v>20068</v>
      </c>
      <c r="B4627" s="4" t="s">
        <v>4650</v>
      </c>
      <c r="C4627" s="3" t="s">
        <v>50</v>
      </c>
      <c r="D4627" s="5">
        <f t="shared" si="144"/>
        <v>10.85</v>
      </c>
      <c r="E4627">
        <v>11.92</v>
      </c>
      <c r="F4627" s="1789">
        <v>8.8999999999999996E-2</v>
      </c>
      <c r="G4627">
        <f t="shared" si="145"/>
        <v>10.85</v>
      </c>
    </row>
    <row r="4628" spans="1:7" ht="12.75" customHeight="1">
      <c r="A4628" s="3">
        <v>9839</v>
      </c>
      <c r="B4628" s="4" t="s">
        <v>4651</v>
      </c>
      <c r="C4628" s="3" t="s">
        <v>50</v>
      </c>
      <c r="D4628" s="5">
        <f t="shared" si="144"/>
        <v>19.690000000000001</v>
      </c>
      <c r="E4628">
        <v>21.62</v>
      </c>
      <c r="F4628" s="1789">
        <v>8.8999999999999996E-2</v>
      </c>
      <c r="G4628">
        <f t="shared" si="145"/>
        <v>19.690000000000001</v>
      </c>
    </row>
    <row r="4629" spans="1:7" ht="12.75" customHeight="1">
      <c r="A4629" s="3">
        <v>9870</v>
      </c>
      <c r="B4629" s="4" t="s">
        <v>4652</v>
      </c>
      <c r="C4629" s="3" t="s">
        <v>50</v>
      </c>
      <c r="D4629" s="5">
        <f t="shared" si="144"/>
        <v>71.739999999999995</v>
      </c>
      <c r="E4629">
        <v>78.75</v>
      </c>
      <c r="F4629" s="1789">
        <v>8.8999999999999996E-2</v>
      </c>
      <c r="G4629">
        <f t="shared" si="145"/>
        <v>71.739999999999995</v>
      </c>
    </row>
    <row r="4630" spans="1:7" ht="12.75" customHeight="1">
      <c r="A4630" s="3">
        <v>9867</v>
      </c>
      <c r="B4630" s="4" t="s">
        <v>4653</v>
      </c>
      <c r="C4630" s="3" t="s">
        <v>50</v>
      </c>
      <c r="D4630" s="5">
        <f t="shared" si="144"/>
        <v>2.87</v>
      </c>
      <c r="E4630">
        <v>3.16</v>
      </c>
      <c r="F4630" s="1789">
        <v>8.8999999999999996E-2</v>
      </c>
      <c r="G4630">
        <f t="shared" si="145"/>
        <v>2.87</v>
      </c>
    </row>
    <row r="4631" spans="1:7" ht="12.75" customHeight="1">
      <c r="A4631" s="3">
        <v>9868</v>
      </c>
      <c r="B4631" s="4" t="s">
        <v>4654</v>
      </c>
      <c r="C4631" s="3" t="s">
        <v>50</v>
      </c>
      <c r="D4631" s="5">
        <f t="shared" si="144"/>
        <v>3.25</v>
      </c>
      <c r="E4631">
        <v>3.57</v>
      </c>
      <c r="F4631" s="1789">
        <v>8.8999999999999996E-2</v>
      </c>
      <c r="G4631">
        <f t="shared" si="145"/>
        <v>3.25</v>
      </c>
    </row>
    <row r="4632" spans="1:7" ht="12.75" customHeight="1">
      <c r="A4632" s="3">
        <v>9869</v>
      </c>
      <c r="B4632" s="4" t="s">
        <v>4655</v>
      </c>
      <c r="C4632" s="3" t="s">
        <v>50</v>
      </c>
      <c r="D4632" s="5">
        <f t="shared" si="144"/>
        <v>7.01</v>
      </c>
      <c r="E4632">
        <v>7.7</v>
      </c>
      <c r="F4632" s="1789">
        <v>8.8999999999999996E-2</v>
      </c>
      <c r="G4632">
        <f t="shared" si="145"/>
        <v>7.01</v>
      </c>
    </row>
    <row r="4633" spans="1:7" ht="12.75" customHeight="1">
      <c r="A4633" s="3">
        <v>9874</v>
      </c>
      <c r="B4633" s="4" t="s">
        <v>4656</v>
      </c>
      <c r="C4633" s="3" t="s">
        <v>50</v>
      </c>
      <c r="D4633" s="5">
        <f t="shared" si="144"/>
        <v>11.02</v>
      </c>
      <c r="E4633">
        <v>12.1</v>
      </c>
      <c r="F4633" s="1789">
        <v>8.8999999999999996E-2</v>
      </c>
      <c r="G4633">
        <f t="shared" si="145"/>
        <v>11.02</v>
      </c>
    </row>
    <row r="4634" spans="1:7" ht="12.75" customHeight="1">
      <c r="A4634" s="3">
        <v>9875</v>
      </c>
      <c r="B4634" s="4" t="s">
        <v>4657</v>
      </c>
      <c r="C4634" s="3" t="s">
        <v>50</v>
      </c>
      <c r="D4634" s="5">
        <f t="shared" si="144"/>
        <v>12.08</v>
      </c>
      <c r="E4634">
        <v>13.27</v>
      </c>
      <c r="F4634" s="1789">
        <v>8.8999999999999996E-2</v>
      </c>
      <c r="G4634">
        <f t="shared" si="145"/>
        <v>12.08</v>
      </c>
    </row>
    <row r="4635" spans="1:7" ht="12.75" customHeight="1">
      <c r="A4635" s="3">
        <v>9873</v>
      </c>
      <c r="B4635" s="4" t="s">
        <v>4658</v>
      </c>
      <c r="C4635" s="3" t="s">
        <v>50</v>
      </c>
      <c r="D4635" s="5">
        <f t="shared" si="144"/>
        <v>19.88</v>
      </c>
      <c r="E4635">
        <v>21.83</v>
      </c>
      <c r="F4635" s="1789">
        <v>8.8999999999999996E-2</v>
      </c>
      <c r="G4635">
        <f t="shared" si="145"/>
        <v>19.88</v>
      </c>
    </row>
    <row r="4636" spans="1:7" ht="12.75" customHeight="1">
      <c r="A4636" s="3">
        <v>9871</v>
      </c>
      <c r="B4636" s="4" t="s">
        <v>4659</v>
      </c>
      <c r="C4636" s="3" t="s">
        <v>50</v>
      </c>
      <c r="D4636" s="5">
        <f t="shared" si="144"/>
        <v>32.950000000000003</v>
      </c>
      <c r="E4636">
        <v>36.17</v>
      </c>
      <c r="F4636" s="1789">
        <v>8.8999999999999996E-2</v>
      </c>
      <c r="G4636">
        <f t="shared" si="145"/>
        <v>32.950000000000003</v>
      </c>
    </row>
    <row r="4637" spans="1:7" ht="12.75" customHeight="1">
      <c r="A4637" s="3">
        <v>9872</v>
      </c>
      <c r="B4637" s="4" t="s">
        <v>4660</v>
      </c>
      <c r="C4637" s="3" t="s">
        <v>50</v>
      </c>
      <c r="D4637" s="5">
        <f t="shared" si="144"/>
        <v>45.85</v>
      </c>
      <c r="E4637">
        <v>50.33</v>
      </c>
      <c r="F4637" s="1789">
        <v>8.8999999999999996E-2</v>
      </c>
      <c r="G4637">
        <f t="shared" si="145"/>
        <v>45.85</v>
      </c>
    </row>
    <row r="4638" spans="1:7" ht="12.75" customHeight="1">
      <c r="A4638" s="3">
        <v>7667</v>
      </c>
      <c r="B4638" s="4" t="s">
        <v>4661</v>
      </c>
      <c r="C4638" s="3" t="s">
        <v>50</v>
      </c>
      <c r="D4638" s="5">
        <f t="shared" si="144"/>
        <v>2851.72</v>
      </c>
      <c r="E4638">
        <v>3130.32</v>
      </c>
      <c r="F4638" s="1789">
        <v>8.8999999999999996E-2</v>
      </c>
      <c r="G4638">
        <f t="shared" si="145"/>
        <v>2851.72</v>
      </c>
    </row>
    <row r="4639" spans="1:7" ht="12.75" customHeight="1">
      <c r="A4639" s="3">
        <v>7660</v>
      </c>
      <c r="B4639" s="4" t="s">
        <v>4662</v>
      </c>
      <c r="C4639" s="3" t="s">
        <v>50</v>
      </c>
      <c r="D4639" s="5">
        <f t="shared" si="144"/>
        <v>3635.26</v>
      </c>
      <c r="E4639">
        <v>3990.41</v>
      </c>
      <c r="F4639" s="1789">
        <v>8.8999999999999996E-2</v>
      </c>
      <c r="G4639">
        <f t="shared" si="145"/>
        <v>3635.26</v>
      </c>
    </row>
    <row r="4640" spans="1:7" ht="12.75" customHeight="1">
      <c r="A4640" s="3">
        <v>7676</v>
      </c>
      <c r="B4640" s="4" t="s">
        <v>4663</v>
      </c>
      <c r="C4640" s="3" t="s">
        <v>50</v>
      </c>
      <c r="D4640" s="5">
        <f t="shared" si="144"/>
        <v>3676.8</v>
      </c>
      <c r="E4640">
        <v>4036.01</v>
      </c>
      <c r="F4640" s="1789">
        <v>8.8999999999999996E-2</v>
      </c>
      <c r="G4640">
        <f t="shared" si="145"/>
        <v>3676.8</v>
      </c>
    </row>
    <row r="4641" spans="1:7" ht="12.75" customHeight="1">
      <c r="A4641" s="3">
        <v>12426</v>
      </c>
      <c r="B4641" s="4" t="s">
        <v>4664</v>
      </c>
      <c r="C4641" s="3" t="s">
        <v>6</v>
      </c>
      <c r="D4641" s="5">
        <f t="shared" si="144"/>
        <v>33.57</v>
      </c>
      <c r="E4641">
        <v>36.85</v>
      </c>
      <c r="F4641" s="1789">
        <v>8.8999999999999996E-2</v>
      </c>
      <c r="G4641">
        <f t="shared" si="145"/>
        <v>33.57</v>
      </c>
    </row>
    <row r="4642" spans="1:7" ht="12.75" customHeight="1">
      <c r="A4642" s="3">
        <v>12425</v>
      </c>
      <c r="B4642" s="4" t="s">
        <v>4665</v>
      </c>
      <c r="C4642" s="3" t="s">
        <v>6</v>
      </c>
      <c r="D4642" s="5">
        <f t="shared" si="144"/>
        <v>46.12</v>
      </c>
      <c r="E4642">
        <v>50.63</v>
      </c>
      <c r="F4642" s="1789">
        <v>8.8999999999999996E-2</v>
      </c>
      <c r="G4642">
        <f t="shared" si="145"/>
        <v>46.12</v>
      </c>
    </row>
    <row r="4643" spans="1:7" ht="12.75" customHeight="1">
      <c r="A4643" s="3">
        <v>12427</v>
      </c>
      <c r="B4643" s="4" t="s">
        <v>4666</v>
      </c>
      <c r="C4643" s="3" t="s">
        <v>6</v>
      </c>
      <c r="D4643" s="5">
        <f t="shared" si="144"/>
        <v>191.46</v>
      </c>
      <c r="E4643">
        <v>210.17</v>
      </c>
      <c r="F4643" s="1789">
        <v>8.8999999999999996E-2</v>
      </c>
      <c r="G4643">
        <f t="shared" si="145"/>
        <v>191.46</v>
      </c>
    </row>
    <row r="4644" spans="1:7" ht="12.75" customHeight="1">
      <c r="A4644" s="3">
        <v>12428</v>
      </c>
      <c r="B4644" s="4" t="s">
        <v>4667</v>
      </c>
      <c r="C4644" s="3" t="s">
        <v>6</v>
      </c>
      <c r="D4644" s="5">
        <f t="shared" si="144"/>
        <v>122.89</v>
      </c>
      <c r="E4644">
        <v>134.9</v>
      </c>
      <c r="F4644" s="1789">
        <v>8.8999999999999996E-2</v>
      </c>
      <c r="G4644">
        <f t="shared" si="145"/>
        <v>122.89</v>
      </c>
    </row>
    <row r="4645" spans="1:7" ht="12.75" customHeight="1">
      <c r="A4645" s="3">
        <v>12430</v>
      </c>
      <c r="B4645" s="4" t="s">
        <v>4668</v>
      </c>
      <c r="C4645" s="3" t="s">
        <v>6</v>
      </c>
      <c r="D4645" s="5">
        <f t="shared" si="144"/>
        <v>41.15</v>
      </c>
      <c r="E4645">
        <v>45.18</v>
      </c>
      <c r="F4645" s="1789">
        <v>8.8999999999999996E-2</v>
      </c>
      <c r="G4645">
        <f t="shared" si="145"/>
        <v>41.15</v>
      </c>
    </row>
    <row r="4646" spans="1:7" ht="12.75" customHeight="1">
      <c r="A4646" s="3">
        <v>12429</v>
      </c>
      <c r="B4646" s="4" t="s">
        <v>4669</v>
      </c>
      <c r="C4646" s="3" t="s">
        <v>6</v>
      </c>
      <c r="D4646" s="5">
        <f t="shared" si="144"/>
        <v>309.60000000000002</v>
      </c>
      <c r="E4646">
        <v>339.85</v>
      </c>
      <c r="F4646" s="1789">
        <v>8.8999999999999996E-2</v>
      </c>
      <c r="G4646">
        <f t="shared" si="145"/>
        <v>309.60000000000002</v>
      </c>
    </row>
    <row r="4647" spans="1:7" ht="12.75" customHeight="1">
      <c r="A4647" s="3">
        <v>12431</v>
      </c>
      <c r="B4647" s="4" t="s">
        <v>4670</v>
      </c>
      <c r="C4647" s="3" t="s">
        <v>6</v>
      </c>
      <c r="D4647" s="5">
        <f t="shared" si="144"/>
        <v>526.88</v>
      </c>
      <c r="E4647">
        <v>578.36</v>
      </c>
      <c r="F4647" s="1789">
        <v>8.8999999999999996E-2</v>
      </c>
      <c r="G4647">
        <f t="shared" si="145"/>
        <v>526.88</v>
      </c>
    </row>
    <row r="4648" spans="1:7" ht="12.75" customHeight="1">
      <c r="A4648" s="3">
        <v>12432</v>
      </c>
      <c r="B4648" s="4" t="s">
        <v>4671</v>
      </c>
      <c r="C4648" s="3" t="s">
        <v>6</v>
      </c>
      <c r="D4648" s="5">
        <f t="shared" si="144"/>
        <v>108.36</v>
      </c>
      <c r="E4648">
        <v>118.95</v>
      </c>
      <c r="F4648" s="1789">
        <v>8.8999999999999996E-2</v>
      </c>
      <c r="G4648">
        <f t="shared" si="145"/>
        <v>108.36</v>
      </c>
    </row>
    <row r="4649" spans="1:7" ht="12.75" customHeight="1">
      <c r="A4649" s="3">
        <v>12434</v>
      </c>
      <c r="B4649" s="4" t="s">
        <v>4672</v>
      </c>
      <c r="C4649" s="3" t="s">
        <v>6</v>
      </c>
      <c r="D4649" s="5">
        <f t="shared" si="144"/>
        <v>35.31</v>
      </c>
      <c r="E4649">
        <v>38.76</v>
      </c>
      <c r="F4649" s="1789">
        <v>8.8999999999999996E-2</v>
      </c>
      <c r="G4649">
        <f t="shared" si="145"/>
        <v>35.31</v>
      </c>
    </row>
    <row r="4650" spans="1:7" ht="12.75" customHeight="1">
      <c r="A4650" s="3">
        <v>12433</v>
      </c>
      <c r="B4650" s="4" t="s">
        <v>4673</v>
      </c>
      <c r="C4650" s="3" t="s">
        <v>6</v>
      </c>
      <c r="D4650" s="5">
        <f t="shared" si="144"/>
        <v>68.98</v>
      </c>
      <c r="E4650">
        <v>75.72</v>
      </c>
      <c r="F4650" s="1789">
        <v>8.8999999999999996E-2</v>
      </c>
      <c r="G4650">
        <f t="shared" si="145"/>
        <v>68.98</v>
      </c>
    </row>
    <row r="4651" spans="1:7" ht="12.75" customHeight="1">
      <c r="A4651" s="3">
        <v>12435</v>
      </c>
      <c r="B4651" s="4" t="s">
        <v>4674</v>
      </c>
      <c r="C4651" s="3" t="s">
        <v>6</v>
      </c>
      <c r="D4651" s="5">
        <f t="shared" si="144"/>
        <v>213.49</v>
      </c>
      <c r="E4651">
        <v>234.35</v>
      </c>
      <c r="F4651" s="1789">
        <v>8.8999999999999996E-2</v>
      </c>
      <c r="G4651">
        <f t="shared" si="145"/>
        <v>213.49</v>
      </c>
    </row>
    <row r="4652" spans="1:7" ht="12.75" customHeight="1">
      <c r="A4652" s="3">
        <v>12437</v>
      </c>
      <c r="B4652" s="4" t="s">
        <v>4675</v>
      </c>
      <c r="C4652" s="3" t="s">
        <v>6</v>
      </c>
      <c r="D4652" s="5">
        <f t="shared" si="144"/>
        <v>172.42</v>
      </c>
      <c r="E4652">
        <v>189.27</v>
      </c>
      <c r="F4652" s="1789">
        <v>8.8999999999999996E-2</v>
      </c>
      <c r="G4652">
        <f t="shared" si="145"/>
        <v>172.42</v>
      </c>
    </row>
    <row r="4653" spans="1:7" ht="12.75" customHeight="1">
      <c r="A4653" s="3">
        <v>12439</v>
      </c>
      <c r="B4653" s="4" t="s">
        <v>4676</v>
      </c>
      <c r="C4653" s="3" t="s">
        <v>6</v>
      </c>
      <c r="D4653" s="5">
        <f t="shared" si="144"/>
        <v>55.33</v>
      </c>
      <c r="E4653">
        <v>60.74</v>
      </c>
      <c r="F4653" s="1789">
        <v>8.8999999999999996E-2</v>
      </c>
      <c r="G4653">
        <f t="shared" si="145"/>
        <v>55.33</v>
      </c>
    </row>
    <row r="4654" spans="1:7" ht="12.75" customHeight="1">
      <c r="A4654" s="3">
        <v>12438</v>
      </c>
      <c r="B4654" s="4" t="s">
        <v>4677</v>
      </c>
      <c r="C4654" s="3" t="s">
        <v>6</v>
      </c>
      <c r="D4654" s="5">
        <f t="shared" si="144"/>
        <v>312.02999999999997</v>
      </c>
      <c r="E4654">
        <v>342.52</v>
      </c>
      <c r="F4654" s="1789">
        <v>8.8999999999999996E-2</v>
      </c>
      <c r="G4654">
        <f t="shared" si="145"/>
        <v>312.02999999999997</v>
      </c>
    </row>
    <row r="4655" spans="1:7" ht="12.75" customHeight="1">
      <c r="A4655" s="3">
        <v>12436</v>
      </c>
      <c r="B4655" s="4" t="s">
        <v>4678</v>
      </c>
      <c r="C4655" s="3" t="s">
        <v>6</v>
      </c>
      <c r="D4655" s="5">
        <f t="shared" si="144"/>
        <v>394.16</v>
      </c>
      <c r="E4655">
        <v>432.67</v>
      </c>
      <c r="F4655" s="1789">
        <v>8.8999999999999996E-2</v>
      </c>
      <c r="G4655">
        <f t="shared" si="145"/>
        <v>394.16</v>
      </c>
    </row>
    <row r="4656" spans="1:7" ht="12.75" customHeight="1">
      <c r="A4656" s="3">
        <v>36357</v>
      </c>
      <c r="B4656" s="4" t="s">
        <v>4679</v>
      </c>
      <c r="C4656" s="3" t="s">
        <v>6</v>
      </c>
      <c r="D4656" s="5">
        <f t="shared" si="144"/>
        <v>129.44999999999999</v>
      </c>
      <c r="E4656">
        <v>142.1</v>
      </c>
      <c r="F4656" s="1789">
        <v>8.8999999999999996E-2</v>
      </c>
      <c r="G4656">
        <f t="shared" si="145"/>
        <v>129.44999999999999</v>
      </c>
    </row>
    <row r="4657" spans="1:7" ht="12.75" customHeight="1">
      <c r="A4657" s="3">
        <v>12424</v>
      </c>
      <c r="B4657" s="4" t="s">
        <v>4680</v>
      </c>
      <c r="C4657" s="3" t="s">
        <v>6</v>
      </c>
      <c r="D4657" s="5">
        <f t="shared" si="144"/>
        <v>71.02</v>
      </c>
      <c r="E4657">
        <v>77.959999999999994</v>
      </c>
      <c r="F4657" s="1789">
        <v>8.8999999999999996E-2</v>
      </c>
      <c r="G4657">
        <f t="shared" si="145"/>
        <v>71.02</v>
      </c>
    </row>
    <row r="4658" spans="1:7" ht="12.75" customHeight="1">
      <c r="A4658" s="3">
        <v>12440</v>
      </c>
      <c r="B4658" s="4" t="s">
        <v>4681</v>
      </c>
      <c r="C4658" s="3" t="s">
        <v>6</v>
      </c>
      <c r="D4658" s="5">
        <f t="shared" si="144"/>
        <v>68.650000000000006</v>
      </c>
      <c r="E4658">
        <v>75.36</v>
      </c>
      <c r="F4658" s="1789">
        <v>8.8999999999999996E-2</v>
      </c>
      <c r="G4658">
        <f t="shared" si="145"/>
        <v>68.650000000000006</v>
      </c>
    </row>
    <row r="4659" spans="1:7" ht="12.75" customHeight="1">
      <c r="A4659" s="3">
        <v>9884</v>
      </c>
      <c r="B4659" s="4" t="s">
        <v>4682</v>
      </c>
      <c r="C4659" s="3" t="s">
        <v>6</v>
      </c>
      <c r="D4659" s="5">
        <f t="shared" si="144"/>
        <v>51.2</v>
      </c>
      <c r="E4659">
        <v>56.21</v>
      </c>
      <c r="F4659" s="1789">
        <v>8.8999999999999996E-2</v>
      </c>
      <c r="G4659">
        <f t="shared" si="145"/>
        <v>51.2</v>
      </c>
    </row>
    <row r="4660" spans="1:7" ht="12.75" customHeight="1">
      <c r="A4660" s="3">
        <v>9888</v>
      </c>
      <c r="B4660" s="4" t="s">
        <v>4683</v>
      </c>
      <c r="C4660" s="3" t="s">
        <v>6</v>
      </c>
      <c r="D4660" s="5">
        <f t="shared" si="144"/>
        <v>41.14</v>
      </c>
      <c r="E4660">
        <v>45.16</v>
      </c>
      <c r="F4660" s="1789">
        <v>8.8999999999999996E-2</v>
      </c>
      <c r="G4660">
        <f t="shared" si="145"/>
        <v>41.14</v>
      </c>
    </row>
    <row r="4661" spans="1:7" ht="12.75" customHeight="1">
      <c r="A4661" s="3">
        <v>9883</v>
      </c>
      <c r="B4661" s="4" t="s">
        <v>4684</v>
      </c>
      <c r="C4661" s="3" t="s">
        <v>6</v>
      </c>
      <c r="D4661" s="5">
        <f t="shared" si="144"/>
        <v>17.95</v>
      </c>
      <c r="E4661">
        <v>19.71</v>
      </c>
      <c r="F4661" s="1789">
        <v>8.8999999999999996E-2</v>
      </c>
      <c r="G4661">
        <f t="shared" si="145"/>
        <v>17.95</v>
      </c>
    </row>
    <row r="4662" spans="1:7" ht="12.75" customHeight="1">
      <c r="A4662" s="3">
        <v>9886</v>
      </c>
      <c r="B4662" s="4" t="s">
        <v>4685</v>
      </c>
      <c r="C4662" s="3" t="s">
        <v>6</v>
      </c>
      <c r="D4662" s="5">
        <f t="shared" si="144"/>
        <v>24.58</v>
      </c>
      <c r="E4662">
        <v>26.99</v>
      </c>
      <c r="F4662" s="1789">
        <v>8.8999999999999996E-2</v>
      </c>
      <c r="G4662">
        <f t="shared" si="145"/>
        <v>24.58</v>
      </c>
    </row>
    <row r="4663" spans="1:7" ht="12.75" customHeight="1">
      <c r="A4663" s="3">
        <v>9889</v>
      </c>
      <c r="B4663" s="4" t="s">
        <v>4686</v>
      </c>
      <c r="C4663" s="3" t="s">
        <v>6</v>
      </c>
      <c r="D4663" s="5">
        <f t="shared" si="144"/>
        <v>124.57</v>
      </c>
      <c r="E4663">
        <v>136.75</v>
      </c>
      <c r="F4663" s="1789">
        <v>8.8999999999999996E-2</v>
      </c>
      <c r="G4663">
        <f t="shared" si="145"/>
        <v>124.57</v>
      </c>
    </row>
    <row r="4664" spans="1:7" ht="12.75" customHeight="1">
      <c r="A4664" s="3">
        <v>9887</v>
      </c>
      <c r="B4664" s="4" t="s">
        <v>4687</v>
      </c>
      <c r="C4664" s="3" t="s">
        <v>6</v>
      </c>
      <c r="D4664" s="5">
        <f t="shared" si="144"/>
        <v>75.290000000000006</v>
      </c>
      <c r="E4664">
        <v>82.65</v>
      </c>
      <c r="F4664" s="1789">
        <v>8.8999999999999996E-2</v>
      </c>
      <c r="G4664">
        <f t="shared" si="145"/>
        <v>75.290000000000006</v>
      </c>
    </row>
    <row r="4665" spans="1:7" ht="12.75" customHeight="1">
      <c r="A4665" s="3">
        <v>9885</v>
      </c>
      <c r="B4665" s="4" t="s">
        <v>4688</v>
      </c>
      <c r="C4665" s="3" t="s">
        <v>6</v>
      </c>
      <c r="D4665" s="5">
        <f t="shared" si="144"/>
        <v>23.77</v>
      </c>
      <c r="E4665">
        <v>26.1</v>
      </c>
      <c r="F4665" s="1789">
        <v>8.8999999999999996E-2</v>
      </c>
      <c r="G4665">
        <f t="shared" si="145"/>
        <v>23.77</v>
      </c>
    </row>
    <row r="4666" spans="1:7" ht="12.75" customHeight="1">
      <c r="A4666" s="3">
        <v>9890</v>
      </c>
      <c r="B4666" s="4" t="s">
        <v>4689</v>
      </c>
      <c r="C4666" s="3" t="s">
        <v>6</v>
      </c>
      <c r="D4666" s="5">
        <f t="shared" si="144"/>
        <v>193.01</v>
      </c>
      <c r="E4666">
        <v>211.87</v>
      </c>
      <c r="F4666" s="1789">
        <v>8.8999999999999996E-2</v>
      </c>
      <c r="G4666">
        <f t="shared" si="145"/>
        <v>193.01</v>
      </c>
    </row>
    <row r="4667" spans="1:7" ht="12.75" customHeight="1">
      <c r="A4667" s="3">
        <v>9891</v>
      </c>
      <c r="B4667" s="4" t="s">
        <v>4690</v>
      </c>
      <c r="C4667" s="3" t="s">
        <v>6</v>
      </c>
      <c r="D4667" s="5">
        <f t="shared" si="144"/>
        <v>270.94</v>
      </c>
      <c r="E4667">
        <v>297.42</v>
      </c>
      <c r="F4667" s="1789">
        <v>8.8999999999999996E-2</v>
      </c>
      <c r="G4667">
        <f t="shared" si="145"/>
        <v>270.94</v>
      </c>
    </row>
    <row r="4668" spans="1:7" ht="12.75" customHeight="1">
      <c r="A4668" s="3">
        <v>36316</v>
      </c>
      <c r="B4668" s="4" t="s">
        <v>4691</v>
      </c>
      <c r="C4668" s="3" t="s">
        <v>6</v>
      </c>
      <c r="D4668" s="5">
        <f t="shared" si="144"/>
        <v>21.09</v>
      </c>
      <c r="E4668">
        <v>23.16</v>
      </c>
      <c r="F4668" s="1789">
        <v>8.8999999999999996E-2</v>
      </c>
      <c r="G4668">
        <f t="shared" si="145"/>
        <v>21.09</v>
      </c>
    </row>
    <row r="4669" spans="1:7" ht="12.75" customHeight="1">
      <c r="A4669" s="3">
        <v>36313</v>
      </c>
      <c r="B4669" s="4" t="s">
        <v>4692</v>
      </c>
      <c r="C4669" s="3" t="s">
        <v>6</v>
      </c>
      <c r="D4669" s="5">
        <f t="shared" si="144"/>
        <v>13.54</v>
      </c>
      <c r="E4669">
        <v>14.87</v>
      </c>
      <c r="F4669" s="1789">
        <v>8.8999999999999996E-2</v>
      </c>
      <c r="G4669">
        <f t="shared" si="145"/>
        <v>13.54</v>
      </c>
    </row>
    <row r="4670" spans="1:7" ht="12.75" customHeight="1">
      <c r="A4670" s="3">
        <v>64</v>
      </c>
      <c r="B4670" s="4" t="s">
        <v>4693</v>
      </c>
      <c r="C4670" s="3" t="s">
        <v>6</v>
      </c>
      <c r="D4670" s="5">
        <f t="shared" si="144"/>
        <v>4.33</v>
      </c>
      <c r="E4670">
        <v>4.76</v>
      </c>
      <c r="F4670" s="1789">
        <v>8.8999999999999996E-2</v>
      </c>
      <c r="G4670">
        <f t="shared" si="145"/>
        <v>4.33</v>
      </c>
    </row>
    <row r="4671" spans="1:7" ht="12.75" customHeight="1">
      <c r="A4671" s="3">
        <v>37423</v>
      </c>
      <c r="B4671" s="4" t="s">
        <v>4694</v>
      </c>
      <c r="C4671" s="3" t="s">
        <v>6</v>
      </c>
      <c r="D4671" s="5">
        <f t="shared" si="144"/>
        <v>10.71</v>
      </c>
      <c r="E4671">
        <v>11.76</v>
      </c>
      <c r="F4671" s="1789">
        <v>8.8999999999999996E-2</v>
      </c>
      <c r="G4671">
        <f t="shared" si="145"/>
        <v>10.71</v>
      </c>
    </row>
    <row r="4672" spans="1:7" ht="12.75" customHeight="1">
      <c r="A4672" s="3">
        <v>9892</v>
      </c>
      <c r="B4672" s="4" t="s">
        <v>4695</v>
      </c>
      <c r="C4672" s="3" t="s">
        <v>6</v>
      </c>
      <c r="D4672" s="5">
        <f t="shared" si="144"/>
        <v>5.27</v>
      </c>
      <c r="E4672">
        <v>5.79</v>
      </c>
      <c r="F4672" s="1789">
        <v>8.8999999999999996E-2</v>
      </c>
      <c r="G4672">
        <f t="shared" si="145"/>
        <v>5.27</v>
      </c>
    </row>
    <row r="4673" spans="1:7" ht="12.75" customHeight="1">
      <c r="A4673" s="3">
        <v>9901</v>
      </c>
      <c r="B4673" s="4" t="s">
        <v>4696</v>
      </c>
      <c r="C4673" s="3" t="s">
        <v>6</v>
      </c>
      <c r="D4673" s="5">
        <f t="shared" si="144"/>
        <v>25.53</v>
      </c>
      <c r="E4673">
        <v>28.03</v>
      </c>
      <c r="F4673" s="1789">
        <v>8.8999999999999996E-2</v>
      </c>
      <c r="G4673">
        <f t="shared" si="145"/>
        <v>25.53</v>
      </c>
    </row>
    <row r="4674" spans="1:7" ht="12.75" customHeight="1">
      <c r="A4674" s="3">
        <v>9900</v>
      </c>
      <c r="B4674" s="4" t="s">
        <v>4697</v>
      </c>
      <c r="C4674" s="3" t="s">
        <v>6</v>
      </c>
      <c r="D4674" s="5">
        <f t="shared" si="144"/>
        <v>14.79</v>
      </c>
      <c r="E4674">
        <v>16.239999999999998</v>
      </c>
      <c r="F4674" s="1789">
        <v>8.8999999999999996E-2</v>
      </c>
      <c r="G4674">
        <f t="shared" si="145"/>
        <v>14.79</v>
      </c>
    </row>
    <row r="4675" spans="1:7" ht="12.75" customHeight="1">
      <c r="A4675" s="3">
        <v>9899</v>
      </c>
      <c r="B4675" s="4" t="s">
        <v>4698</v>
      </c>
      <c r="C4675" s="3" t="s">
        <v>6</v>
      </c>
      <c r="D4675" s="5">
        <f t="shared" ref="D4675:D4738" si="146">G4675</f>
        <v>6.63</v>
      </c>
      <c r="E4675">
        <v>7.28</v>
      </c>
      <c r="F4675" s="1789">
        <v>8.8999999999999996E-2</v>
      </c>
      <c r="G4675">
        <f t="shared" ref="G4675:G4738" si="147">TRUNC((1-F4675)*E4675,2)</f>
        <v>6.63</v>
      </c>
    </row>
    <row r="4676" spans="1:7" ht="12.75" customHeight="1">
      <c r="A4676" s="3">
        <v>9908</v>
      </c>
      <c r="B4676" s="4" t="s">
        <v>4699</v>
      </c>
      <c r="C4676" s="3" t="s">
        <v>6</v>
      </c>
      <c r="D4676" s="5">
        <f t="shared" si="146"/>
        <v>298.27</v>
      </c>
      <c r="E4676">
        <v>327.42</v>
      </c>
      <c r="F4676" s="1789">
        <v>8.8999999999999996E-2</v>
      </c>
      <c r="G4676">
        <f t="shared" si="147"/>
        <v>298.27</v>
      </c>
    </row>
    <row r="4677" spans="1:7" ht="12.75" customHeight="1">
      <c r="A4677" s="3">
        <v>9905</v>
      </c>
      <c r="B4677" s="4" t="s">
        <v>4700</v>
      </c>
      <c r="C4677" s="3" t="s">
        <v>6</v>
      </c>
      <c r="D4677" s="5">
        <f t="shared" si="146"/>
        <v>5.18</v>
      </c>
      <c r="E4677">
        <v>5.69</v>
      </c>
      <c r="F4677" s="1789">
        <v>8.8999999999999996E-2</v>
      </c>
      <c r="G4677">
        <f t="shared" si="147"/>
        <v>5.18</v>
      </c>
    </row>
    <row r="4678" spans="1:7" ht="12.75" customHeight="1">
      <c r="A4678" s="3">
        <v>9906</v>
      </c>
      <c r="B4678" s="4" t="s">
        <v>4701</v>
      </c>
      <c r="C4678" s="3" t="s">
        <v>6</v>
      </c>
      <c r="D4678" s="5">
        <f t="shared" si="146"/>
        <v>6.25</v>
      </c>
      <c r="E4678">
        <v>6.87</v>
      </c>
      <c r="F4678" s="1789">
        <v>8.8999999999999996E-2</v>
      </c>
      <c r="G4678">
        <f t="shared" si="147"/>
        <v>6.25</v>
      </c>
    </row>
    <row r="4679" spans="1:7" ht="12.75" customHeight="1">
      <c r="A4679" s="3">
        <v>9895</v>
      </c>
      <c r="B4679" s="4" t="s">
        <v>4702</v>
      </c>
      <c r="C4679" s="3" t="s">
        <v>6</v>
      </c>
      <c r="D4679" s="5">
        <f t="shared" si="146"/>
        <v>10.54</v>
      </c>
      <c r="E4679">
        <v>11.57</v>
      </c>
      <c r="F4679" s="1789">
        <v>8.8999999999999996E-2</v>
      </c>
      <c r="G4679">
        <f t="shared" si="147"/>
        <v>10.54</v>
      </c>
    </row>
    <row r="4680" spans="1:7" ht="12.75" customHeight="1">
      <c r="A4680" s="3">
        <v>9894</v>
      </c>
      <c r="B4680" s="4" t="s">
        <v>4703</v>
      </c>
      <c r="C4680" s="3" t="s">
        <v>6</v>
      </c>
      <c r="D4680" s="5">
        <f t="shared" si="146"/>
        <v>20.260000000000002</v>
      </c>
      <c r="E4680">
        <v>22.24</v>
      </c>
      <c r="F4680" s="1789">
        <v>8.8999999999999996E-2</v>
      </c>
      <c r="G4680">
        <f t="shared" si="147"/>
        <v>20.260000000000002</v>
      </c>
    </row>
    <row r="4681" spans="1:7" ht="12.75" customHeight="1">
      <c r="A4681" s="3">
        <v>9897</v>
      </c>
      <c r="B4681" s="4" t="s">
        <v>4704</v>
      </c>
      <c r="C4681" s="3" t="s">
        <v>6</v>
      </c>
      <c r="D4681" s="5">
        <f t="shared" si="146"/>
        <v>21.63</v>
      </c>
      <c r="E4681">
        <v>23.75</v>
      </c>
      <c r="F4681" s="1789">
        <v>8.8999999999999996E-2</v>
      </c>
      <c r="G4681">
        <f t="shared" si="147"/>
        <v>21.63</v>
      </c>
    </row>
    <row r="4682" spans="1:7" ht="12.75" customHeight="1">
      <c r="A4682" s="3">
        <v>9910</v>
      </c>
      <c r="B4682" s="4" t="s">
        <v>4705</v>
      </c>
      <c r="C4682" s="3" t="s">
        <v>6</v>
      </c>
      <c r="D4682" s="5">
        <f t="shared" si="146"/>
        <v>56.29</v>
      </c>
      <c r="E4682">
        <v>61.8</v>
      </c>
      <c r="F4682" s="1789">
        <v>8.8999999999999996E-2</v>
      </c>
      <c r="G4682">
        <f t="shared" si="147"/>
        <v>56.29</v>
      </c>
    </row>
    <row r="4683" spans="1:7" ht="12.75" customHeight="1">
      <c r="A4683" s="3">
        <v>9909</v>
      </c>
      <c r="B4683" s="4" t="s">
        <v>4706</v>
      </c>
      <c r="C4683" s="3" t="s">
        <v>6</v>
      </c>
      <c r="D4683" s="5">
        <f t="shared" si="146"/>
        <v>114.66</v>
      </c>
      <c r="E4683">
        <v>125.87</v>
      </c>
      <c r="F4683" s="1789">
        <v>8.8999999999999996E-2</v>
      </c>
      <c r="G4683">
        <f t="shared" si="147"/>
        <v>114.66</v>
      </c>
    </row>
    <row r="4684" spans="1:7" ht="12.75" customHeight="1">
      <c r="A4684" s="3">
        <v>9907</v>
      </c>
      <c r="B4684" s="4" t="s">
        <v>4707</v>
      </c>
      <c r="C4684" s="3" t="s">
        <v>6</v>
      </c>
      <c r="D4684" s="5">
        <f t="shared" si="146"/>
        <v>135.38</v>
      </c>
      <c r="E4684">
        <v>148.61000000000001</v>
      </c>
      <c r="F4684" s="1789">
        <v>8.8999999999999996E-2</v>
      </c>
      <c r="G4684">
        <f t="shared" si="147"/>
        <v>135.38</v>
      </c>
    </row>
    <row r="4685" spans="1:7" ht="12.75" customHeight="1">
      <c r="A4685" s="3">
        <v>20973</v>
      </c>
      <c r="B4685" s="4" t="s">
        <v>4708</v>
      </c>
      <c r="C4685" s="3" t="s">
        <v>6</v>
      </c>
      <c r="D4685" s="5">
        <f t="shared" si="146"/>
        <v>89.2</v>
      </c>
      <c r="E4685">
        <v>97.92</v>
      </c>
      <c r="F4685" s="1789">
        <v>8.8999999999999996E-2</v>
      </c>
      <c r="G4685">
        <f t="shared" si="147"/>
        <v>89.2</v>
      </c>
    </row>
    <row r="4686" spans="1:7" ht="12.75" customHeight="1">
      <c r="A4686" s="3">
        <v>20974</v>
      </c>
      <c r="B4686" s="4" t="s">
        <v>4709</v>
      </c>
      <c r="C4686" s="3" t="s">
        <v>6</v>
      </c>
      <c r="D4686" s="5">
        <f t="shared" si="146"/>
        <v>127.63</v>
      </c>
      <c r="E4686">
        <v>140.1</v>
      </c>
      <c r="F4686" s="1789">
        <v>8.8999999999999996E-2</v>
      </c>
      <c r="G4686">
        <f t="shared" si="147"/>
        <v>127.63</v>
      </c>
    </row>
    <row r="4687" spans="1:7" ht="12.75" customHeight="1">
      <c r="A4687" s="3">
        <v>37989</v>
      </c>
      <c r="B4687" s="4" t="s">
        <v>4710</v>
      </c>
      <c r="C4687" s="3" t="s">
        <v>6</v>
      </c>
      <c r="D4687" s="5">
        <f t="shared" si="146"/>
        <v>13.11</v>
      </c>
      <c r="E4687">
        <v>14.4</v>
      </c>
      <c r="F4687" s="1789">
        <v>8.8999999999999996E-2</v>
      </c>
      <c r="G4687">
        <f t="shared" si="147"/>
        <v>13.11</v>
      </c>
    </row>
    <row r="4688" spans="1:7" ht="12.75" customHeight="1">
      <c r="A4688" s="3">
        <v>37990</v>
      </c>
      <c r="B4688" s="4" t="s">
        <v>4711</v>
      </c>
      <c r="C4688" s="3" t="s">
        <v>6</v>
      </c>
      <c r="D4688" s="5">
        <f t="shared" si="146"/>
        <v>14.46</v>
      </c>
      <c r="E4688">
        <v>15.88</v>
      </c>
      <c r="F4688" s="1789">
        <v>8.8999999999999996E-2</v>
      </c>
      <c r="G4688">
        <f t="shared" si="147"/>
        <v>14.46</v>
      </c>
    </row>
    <row r="4689" spans="1:7" ht="12.75" customHeight="1">
      <c r="A4689" s="3">
        <v>37991</v>
      </c>
      <c r="B4689" s="4" t="s">
        <v>4712</v>
      </c>
      <c r="C4689" s="3" t="s">
        <v>6</v>
      </c>
      <c r="D4689" s="5">
        <f t="shared" si="146"/>
        <v>19.25</v>
      </c>
      <c r="E4689">
        <v>21.14</v>
      </c>
      <c r="F4689" s="1789">
        <v>8.8999999999999996E-2</v>
      </c>
      <c r="G4689">
        <f t="shared" si="147"/>
        <v>19.25</v>
      </c>
    </row>
    <row r="4690" spans="1:7" ht="12.75" customHeight="1">
      <c r="A4690" s="3">
        <v>37992</v>
      </c>
      <c r="B4690" s="4" t="s">
        <v>4713</v>
      </c>
      <c r="C4690" s="3" t="s">
        <v>6</v>
      </c>
      <c r="D4690" s="5">
        <f t="shared" si="146"/>
        <v>29.88</v>
      </c>
      <c r="E4690">
        <v>32.799999999999997</v>
      </c>
      <c r="F4690" s="1789">
        <v>8.8999999999999996E-2</v>
      </c>
      <c r="G4690">
        <f t="shared" si="147"/>
        <v>29.88</v>
      </c>
    </row>
    <row r="4691" spans="1:7" ht="12.75" customHeight="1">
      <c r="A4691" s="3">
        <v>37993</v>
      </c>
      <c r="B4691" s="4" t="s">
        <v>4714</v>
      </c>
      <c r="C4691" s="3" t="s">
        <v>6</v>
      </c>
      <c r="D4691" s="5">
        <f t="shared" si="146"/>
        <v>45.34</v>
      </c>
      <c r="E4691">
        <v>49.78</v>
      </c>
      <c r="F4691" s="1789">
        <v>8.8999999999999996E-2</v>
      </c>
      <c r="G4691">
        <f t="shared" si="147"/>
        <v>45.34</v>
      </c>
    </row>
    <row r="4692" spans="1:7" ht="12.75" customHeight="1">
      <c r="A4692" s="3">
        <v>37994</v>
      </c>
      <c r="B4692" s="4" t="s">
        <v>4715</v>
      </c>
      <c r="C4692" s="3" t="s">
        <v>6</v>
      </c>
      <c r="D4692" s="5">
        <f t="shared" si="146"/>
        <v>107.98</v>
      </c>
      <c r="E4692">
        <v>118.53</v>
      </c>
      <c r="F4692" s="1789">
        <v>8.8999999999999996E-2</v>
      </c>
      <c r="G4692">
        <f t="shared" si="147"/>
        <v>107.98</v>
      </c>
    </row>
    <row r="4693" spans="1:7" ht="12.75" customHeight="1">
      <c r="A4693" s="3">
        <v>37995</v>
      </c>
      <c r="B4693" s="4" t="s">
        <v>4716</v>
      </c>
      <c r="C4693" s="3" t="s">
        <v>6</v>
      </c>
      <c r="D4693" s="5">
        <f t="shared" si="146"/>
        <v>140.74</v>
      </c>
      <c r="E4693">
        <v>154.5</v>
      </c>
      <c r="F4693" s="1789">
        <v>8.8999999999999996E-2</v>
      </c>
      <c r="G4693">
        <f t="shared" si="147"/>
        <v>140.74</v>
      </c>
    </row>
    <row r="4694" spans="1:7" ht="12.75" customHeight="1">
      <c r="A4694" s="3">
        <v>37996</v>
      </c>
      <c r="B4694" s="4" t="s">
        <v>4717</v>
      </c>
      <c r="C4694" s="3" t="s">
        <v>6</v>
      </c>
      <c r="D4694" s="5">
        <f t="shared" si="146"/>
        <v>214.32</v>
      </c>
      <c r="E4694">
        <v>235.26</v>
      </c>
      <c r="F4694" s="1789">
        <v>8.8999999999999996E-2</v>
      </c>
      <c r="G4694">
        <f t="shared" si="147"/>
        <v>214.32</v>
      </c>
    </row>
    <row r="4695" spans="1:7" ht="12.75" customHeight="1">
      <c r="A4695" s="3">
        <v>13883</v>
      </c>
      <c r="B4695" s="4" t="s">
        <v>4718</v>
      </c>
      <c r="C4695" s="3" t="s">
        <v>6</v>
      </c>
      <c r="D4695" s="5">
        <f t="shared" si="146"/>
        <v>157039.72</v>
      </c>
      <c r="E4695">
        <v>172381.7</v>
      </c>
      <c r="F4695" s="1789">
        <v>8.8999999999999996E-2</v>
      </c>
      <c r="G4695">
        <f t="shared" si="147"/>
        <v>157039.72</v>
      </c>
    </row>
    <row r="4696" spans="1:7" ht="12.75" customHeight="1">
      <c r="A4696" s="3">
        <v>38604</v>
      </c>
      <c r="B4696" s="4" t="s">
        <v>4719</v>
      </c>
      <c r="C4696" s="3" t="s">
        <v>6</v>
      </c>
      <c r="D4696" s="5">
        <f t="shared" si="146"/>
        <v>195590.89</v>
      </c>
      <c r="E4696">
        <v>214699.12</v>
      </c>
      <c r="F4696" s="1789">
        <v>8.8999999999999996E-2</v>
      </c>
      <c r="G4696">
        <f t="shared" si="147"/>
        <v>195590.89</v>
      </c>
    </row>
    <row r="4697" spans="1:7" ht="12.75" customHeight="1">
      <c r="A4697" s="3">
        <v>10601</v>
      </c>
      <c r="B4697" s="4" t="s">
        <v>4720</v>
      </c>
      <c r="C4697" s="3" t="s">
        <v>6</v>
      </c>
      <c r="D4697" s="5">
        <f t="shared" si="146"/>
        <v>3804633.05</v>
      </c>
      <c r="E4697">
        <v>4176326.08</v>
      </c>
      <c r="F4697" s="1789">
        <v>8.8999999999999996E-2</v>
      </c>
      <c r="G4697">
        <f t="shared" si="147"/>
        <v>3804633.05</v>
      </c>
    </row>
    <row r="4698" spans="1:7" ht="12.75" customHeight="1">
      <c r="A4698" s="3">
        <v>44469</v>
      </c>
      <c r="B4698" s="4" t="s">
        <v>4721</v>
      </c>
      <c r="C4698" s="3" t="s">
        <v>6</v>
      </c>
      <c r="D4698" s="5">
        <f t="shared" si="146"/>
        <v>10017464.57</v>
      </c>
      <c r="E4698">
        <v>10996119.18</v>
      </c>
      <c r="F4698" s="1789">
        <v>8.8999999999999996E-2</v>
      </c>
      <c r="G4698">
        <f t="shared" si="147"/>
        <v>10017464.57</v>
      </c>
    </row>
    <row r="4699" spans="1:7" ht="12.75" customHeight="1">
      <c r="A4699" s="3">
        <v>13894</v>
      </c>
      <c r="B4699" s="4" t="s">
        <v>4722</v>
      </c>
      <c r="C4699" s="3" t="s">
        <v>6</v>
      </c>
      <c r="D4699" s="5">
        <f t="shared" si="146"/>
        <v>364039.92</v>
      </c>
      <c r="E4699">
        <v>399604.75</v>
      </c>
      <c r="F4699" s="1789">
        <v>8.8999999999999996E-2</v>
      </c>
      <c r="G4699">
        <f t="shared" si="147"/>
        <v>364039.92</v>
      </c>
    </row>
    <row r="4700" spans="1:7" ht="12.75" customHeight="1">
      <c r="A4700" s="3">
        <v>13895</v>
      </c>
      <c r="B4700" s="4" t="s">
        <v>4723</v>
      </c>
      <c r="C4700" s="3" t="s">
        <v>6</v>
      </c>
      <c r="D4700" s="5">
        <f t="shared" si="146"/>
        <v>489512.34</v>
      </c>
      <c r="E4700">
        <v>537335.18000000005</v>
      </c>
      <c r="F4700" s="1789">
        <v>8.8999999999999996E-2</v>
      </c>
      <c r="G4700">
        <f t="shared" si="147"/>
        <v>489512.34</v>
      </c>
    </row>
    <row r="4701" spans="1:7" ht="12.75" customHeight="1">
      <c r="A4701" s="3">
        <v>13892</v>
      </c>
      <c r="B4701" s="4" t="s">
        <v>4724</v>
      </c>
      <c r="C4701" s="3" t="s">
        <v>6</v>
      </c>
      <c r="D4701" s="5">
        <f t="shared" si="146"/>
        <v>599885.41</v>
      </c>
      <c r="E4701">
        <v>658491.12</v>
      </c>
      <c r="F4701" s="1789">
        <v>8.8999999999999996E-2</v>
      </c>
      <c r="G4701">
        <f t="shared" si="147"/>
        <v>599885.41</v>
      </c>
    </row>
    <row r="4702" spans="1:7" ht="12.75" customHeight="1">
      <c r="A4702" s="3">
        <v>9914</v>
      </c>
      <c r="B4702" s="4" t="s">
        <v>4725</v>
      </c>
      <c r="C4702" s="3" t="s">
        <v>6</v>
      </c>
      <c r="D4702" s="5">
        <f t="shared" si="146"/>
        <v>648996.4</v>
      </c>
      <c r="E4702">
        <v>712400</v>
      </c>
      <c r="F4702" s="1789">
        <v>8.8999999999999996E-2</v>
      </c>
      <c r="G4702">
        <f t="shared" si="147"/>
        <v>648996.4</v>
      </c>
    </row>
    <row r="4703" spans="1:7" ht="12.75" customHeight="1">
      <c r="A4703" s="3">
        <v>36485</v>
      </c>
      <c r="B4703" s="4" t="s">
        <v>4726</v>
      </c>
      <c r="C4703" s="3" t="s">
        <v>6</v>
      </c>
      <c r="D4703" s="5">
        <f t="shared" si="146"/>
        <v>606121.68000000005</v>
      </c>
      <c r="E4703">
        <v>665336.65</v>
      </c>
      <c r="F4703" s="1789">
        <v>8.8999999999999996E-2</v>
      </c>
      <c r="G4703">
        <f t="shared" si="147"/>
        <v>606121.68000000005</v>
      </c>
    </row>
    <row r="4704" spans="1:7" ht="12.75" customHeight="1">
      <c r="A4704" s="3">
        <v>9912</v>
      </c>
      <c r="B4704" s="4" t="s">
        <v>4727</v>
      </c>
      <c r="C4704" s="3" t="s">
        <v>6</v>
      </c>
      <c r="D4704" s="5">
        <f t="shared" si="146"/>
        <v>3097400</v>
      </c>
      <c r="E4704">
        <v>3400000</v>
      </c>
      <c r="F4704" s="1789">
        <v>8.8999999999999996E-2</v>
      </c>
      <c r="G4704">
        <f t="shared" si="147"/>
        <v>3097400</v>
      </c>
    </row>
    <row r="4705" spans="1:7" ht="12.75" customHeight="1">
      <c r="A4705" s="3">
        <v>9921</v>
      </c>
      <c r="B4705" s="4" t="s">
        <v>4728</v>
      </c>
      <c r="C4705" s="3" t="s">
        <v>6</v>
      </c>
      <c r="D4705" s="5">
        <f t="shared" si="146"/>
        <v>1597785.42</v>
      </c>
      <c r="E4705">
        <v>1753880.82</v>
      </c>
      <c r="F4705" s="1789">
        <v>8.8999999999999996E-2</v>
      </c>
      <c r="G4705">
        <f t="shared" si="147"/>
        <v>1597785.42</v>
      </c>
    </row>
    <row r="4706" spans="1:7" ht="12.75" customHeight="1">
      <c r="A4706" s="3">
        <v>21112</v>
      </c>
      <c r="B4706" s="4" t="s">
        <v>4729</v>
      </c>
      <c r="C4706" s="3" t="s">
        <v>6</v>
      </c>
      <c r="D4706" s="5">
        <f t="shared" si="146"/>
        <v>134.88</v>
      </c>
      <c r="E4706">
        <v>148.06</v>
      </c>
      <c r="F4706" s="1789">
        <v>8.8999999999999996E-2</v>
      </c>
      <c r="G4706">
        <f t="shared" si="147"/>
        <v>134.88</v>
      </c>
    </row>
    <row r="4707" spans="1:7" ht="12.75" customHeight="1">
      <c r="A4707" s="3">
        <v>10228</v>
      </c>
      <c r="B4707" s="4" t="s">
        <v>4730</v>
      </c>
      <c r="C4707" s="3" t="s">
        <v>6</v>
      </c>
      <c r="D4707" s="5">
        <f t="shared" si="146"/>
        <v>156.69</v>
      </c>
      <c r="E4707">
        <v>172</v>
      </c>
      <c r="F4707" s="1789">
        <v>8.8999999999999996E-2</v>
      </c>
      <c r="G4707">
        <f t="shared" si="147"/>
        <v>156.69</v>
      </c>
    </row>
    <row r="4708" spans="1:7" ht="12.75" customHeight="1">
      <c r="A4708" s="3">
        <v>11781</v>
      </c>
      <c r="B4708" s="4" t="s">
        <v>4731</v>
      </c>
      <c r="C4708" s="3" t="s">
        <v>6</v>
      </c>
      <c r="D4708" s="5">
        <f t="shared" si="146"/>
        <v>126.93</v>
      </c>
      <c r="E4708">
        <v>139.34</v>
      </c>
      <c r="F4708" s="1789">
        <v>8.8999999999999996E-2</v>
      </c>
      <c r="G4708">
        <f t="shared" si="147"/>
        <v>126.93</v>
      </c>
    </row>
    <row r="4709" spans="1:7" ht="12.75" customHeight="1">
      <c r="A4709" s="3">
        <v>37588</v>
      </c>
      <c r="B4709" s="4" t="s">
        <v>4732</v>
      </c>
      <c r="C4709" s="3" t="s">
        <v>6</v>
      </c>
      <c r="D4709" s="5">
        <f t="shared" si="146"/>
        <v>61.9</v>
      </c>
      <c r="E4709">
        <v>67.95</v>
      </c>
      <c r="F4709" s="1789">
        <v>8.8999999999999996E-2</v>
      </c>
      <c r="G4709">
        <f t="shared" si="147"/>
        <v>61.9</v>
      </c>
    </row>
    <row r="4710" spans="1:7" ht="12.75" customHeight="1">
      <c r="A4710" s="3">
        <v>11751</v>
      </c>
      <c r="B4710" s="4" t="s">
        <v>4733</v>
      </c>
      <c r="C4710" s="3" t="s">
        <v>6</v>
      </c>
      <c r="D4710" s="5">
        <f t="shared" si="146"/>
        <v>99.49</v>
      </c>
      <c r="E4710">
        <v>109.22</v>
      </c>
      <c r="F4710" s="1789">
        <v>8.8999999999999996E-2</v>
      </c>
      <c r="G4710">
        <f t="shared" si="147"/>
        <v>99.49</v>
      </c>
    </row>
    <row r="4711" spans="1:7" ht="12.75" customHeight="1">
      <c r="A4711" s="3">
        <v>11750</v>
      </c>
      <c r="B4711" s="4" t="s">
        <v>4734</v>
      </c>
      <c r="C4711" s="3" t="s">
        <v>6</v>
      </c>
      <c r="D4711" s="5">
        <f t="shared" si="146"/>
        <v>82.57</v>
      </c>
      <c r="E4711">
        <v>90.64</v>
      </c>
      <c r="F4711" s="1789">
        <v>8.8999999999999996E-2</v>
      </c>
      <c r="G4711">
        <f t="shared" si="147"/>
        <v>82.57</v>
      </c>
    </row>
    <row r="4712" spans="1:7" ht="12.75" customHeight="1">
      <c r="A4712" s="3">
        <v>11748</v>
      </c>
      <c r="B4712" s="4" t="s">
        <v>4735</v>
      </c>
      <c r="C4712" s="3" t="s">
        <v>6</v>
      </c>
      <c r="D4712" s="5">
        <f t="shared" si="146"/>
        <v>35.54</v>
      </c>
      <c r="E4712">
        <v>39.020000000000003</v>
      </c>
      <c r="F4712" s="1789">
        <v>8.8999999999999996E-2</v>
      </c>
      <c r="G4712">
        <f t="shared" si="147"/>
        <v>35.54</v>
      </c>
    </row>
    <row r="4713" spans="1:7" ht="12.75" customHeight="1">
      <c r="A4713" s="3">
        <v>11746</v>
      </c>
      <c r="B4713" s="4" t="s">
        <v>4736</v>
      </c>
      <c r="C4713" s="3" t="s">
        <v>6</v>
      </c>
      <c r="D4713" s="5">
        <f t="shared" si="146"/>
        <v>55.39</v>
      </c>
      <c r="E4713">
        <v>60.81</v>
      </c>
      <c r="F4713" s="1789">
        <v>8.8999999999999996E-2</v>
      </c>
      <c r="G4713">
        <f t="shared" si="147"/>
        <v>55.39</v>
      </c>
    </row>
    <row r="4714" spans="1:7" ht="12.75" customHeight="1">
      <c r="A4714" s="3">
        <v>11747</v>
      </c>
      <c r="B4714" s="4" t="s">
        <v>4737</v>
      </c>
      <c r="C4714" s="3" t="s">
        <v>6</v>
      </c>
      <c r="D4714" s="5">
        <f t="shared" si="146"/>
        <v>153.41999999999999</v>
      </c>
      <c r="E4714">
        <v>168.41</v>
      </c>
      <c r="F4714" s="1789">
        <v>8.8999999999999996E-2</v>
      </c>
      <c r="G4714">
        <f t="shared" si="147"/>
        <v>153.41999999999999</v>
      </c>
    </row>
    <row r="4715" spans="1:7" ht="12.75" customHeight="1">
      <c r="A4715" s="3">
        <v>11749</v>
      </c>
      <c r="B4715" s="4" t="s">
        <v>4738</v>
      </c>
      <c r="C4715" s="3" t="s">
        <v>6</v>
      </c>
      <c r="D4715" s="5">
        <f t="shared" si="146"/>
        <v>41.03</v>
      </c>
      <c r="E4715">
        <v>45.04</v>
      </c>
      <c r="F4715" s="1789">
        <v>8.8999999999999996E-2</v>
      </c>
      <c r="G4715">
        <f t="shared" si="147"/>
        <v>41.03</v>
      </c>
    </row>
    <row r="4716" spans="1:7" ht="12.75" customHeight="1">
      <c r="A4716" s="3">
        <v>10236</v>
      </c>
      <c r="B4716" s="4" t="s">
        <v>4739</v>
      </c>
      <c r="C4716" s="3" t="s">
        <v>6</v>
      </c>
      <c r="D4716" s="5">
        <f t="shared" si="146"/>
        <v>124.89</v>
      </c>
      <c r="E4716">
        <v>137.1</v>
      </c>
      <c r="F4716" s="1789">
        <v>8.8999999999999996E-2</v>
      </c>
      <c r="G4716">
        <f t="shared" si="147"/>
        <v>124.89</v>
      </c>
    </row>
    <row r="4717" spans="1:7" ht="12.75" customHeight="1">
      <c r="A4717" s="3">
        <v>10233</v>
      </c>
      <c r="B4717" s="4" t="s">
        <v>4740</v>
      </c>
      <c r="C4717" s="3" t="s">
        <v>6</v>
      </c>
      <c r="D4717" s="5">
        <f t="shared" si="146"/>
        <v>117.03</v>
      </c>
      <c r="E4717">
        <v>128.47</v>
      </c>
      <c r="F4717" s="1789">
        <v>8.8999999999999996E-2</v>
      </c>
      <c r="G4717">
        <f t="shared" si="147"/>
        <v>117.03</v>
      </c>
    </row>
    <row r="4718" spans="1:7" ht="12.75" customHeight="1">
      <c r="A4718" s="3">
        <v>10234</v>
      </c>
      <c r="B4718" s="4" t="s">
        <v>4741</v>
      </c>
      <c r="C4718" s="3" t="s">
        <v>6</v>
      </c>
      <c r="D4718" s="5">
        <f t="shared" si="146"/>
        <v>73.72</v>
      </c>
      <c r="E4718">
        <v>80.930000000000007</v>
      </c>
      <c r="F4718" s="1789">
        <v>8.8999999999999996E-2</v>
      </c>
      <c r="G4718">
        <f t="shared" si="147"/>
        <v>73.72</v>
      </c>
    </row>
    <row r="4719" spans="1:7" ht="12.75" customHeight="1">
      <c r="A4719" s="3">
        <v>10231</v>
      </c>
      <c r="B4719" s="4" t="s">
        <v>4742</v>
      </c>
      <c r="C4719" s="3" t="s">
        <v>6</v>
      </c>
      <c r="D4719" s="5">
        <f t="shared" si="146"/>
        <v>338.08</v>
      </c>
      <c r="E4719">
        <v>371.11</v>
      </c>
      <c r="F4719" s="1789">
        <v>8.8999999999999996E-2</v>
      </c>
      <c r="G4719">
        <f t="shared" si="147"/>
        <v>338.08</v>
      </c>
    </row>
    <row r="4720" spans="1:7" ht="12.75" customHeight="1">
      <c r="A4720" s="3">
        <v>10232</v>
      </c>
      <c r="B4720" s="4" t="s">
        <v>4743</v>
      </c>
      <c r="C4720" s="3" t="s">
        <v>6</v>
      </c>
      <c r="D4720" s="5">
        <f t="shared" si="146"/>
        <v>189.18</v>
      </c>
      <c r="E4720">
        <v>207.67</v>
      </c>
      <c r="F4720" s="1789">
        <v>8.8999999999999996E-2</v>
      </c>
      <c r="G4720">
        <f t="shared" si="147"/>
        <v>189.18</v>
      </c>
    </row>
    <row r="4721" spans="1:7" ht="12.75" customHeight="1">
      <c r="A4721" s="3">
        <v>10229</v>
      </c>
      <c r="B4721" s="4" t="s">
        <v>4744</v>
      </c>
      <c r="C4721" s="3" t="s">
        <v>6</v>
      </c>
      <c r="D4721" s="5">
        <f t="shared" si="146"/>
        <v>66.67</v>
      </c>
      <c r="E4721">
        <v>73.19</v>
      </c>
      <c r="F4721" s="1789">
        <v>8.8999999999999996E-2</v>
      </c>
      <c r="G4721">
        <f t="shared" si="147"/>
        <v>66.67</v>
      </c>
    </row>
    <row r="4722" spans="1:7" ht="12.75" customHeight="1">
      <c r="A4722" s="3">
        <v>10235</v>
      </c>
      <c r="B4722" s="4" t="s">
        <v>4745</v>
      </c>
      <c r="C4722" s="3" t="s">
        <v>6</v>
      </c>
      <c r="D4722" s="5">
        <f t="shared" si="146"/>
        <v>463.48</v>
      </c>
      <c r="E4722">
        <v>508.76</v>
      </c>
      <c r="F4722" s="1789">
        <v>8.8999999999999996E-2</v>
      </c>
      <c r="G4722">
        <f t="shared" si="147"/>
        <v>463.48</v>
      </c>
    </row>
    <row r="4723" spans="1:7" ht="12.75" customHeight="1">
      <c r="A4723" s="3">
        <v>10230</v>
      </c>
      <c r="B4723" s="4" t="s">
        <v>4746</v>
      </c>
      <c r="C4723" s="3" t="s">
        <v>6</v>
      </c>
      <c r="D4723" s="5">
        <f t="shared" si="146"/>
        <v>815.67</v>
      </c>
      <c r="E4723">
        <v>895.36</v>
      </c>
      <c r="F4723" s="1789">
        <v>8.8999999999999996E-2</v>
      </c>
      <c r="G4723">
        <f t="shared" si="147"/>
        <v>815.67</v>
      </c>
    </row>
    <row r="4724" spans="1:7" ht="12.75" customHeight="1">
      <c r="A4724" s="3">
        <v>10409</v>
      </c>
      <c r="B4724" s="4" t="s">
        <v>4747</v>
      </c>
      <c r="C4724" s="3" t="s">
        <v>6</v>
      </c>
      <c r="D4724" s="5">
        <f t="shared" si="146"/>
        <v>242.32</v>
      </c>
      <c r="E4724">
        <v>266</v>
      </c>
      <c r="F4724" s="1789">
        <v>8.8999999999999996E-2</v>
      </c>
      <c r="G4724">
        <f t="shared" si="147"/>
        <v>242.32</v>
      </c>
    </row>
    <row r="4725" spans="1:7" ht="12.75" customHeight="1">
      <c r="A4725" s="3">
        <v>10411</v>
      </c>
      <c r="B4725" s="4" t="s">
        <v>4748</v>
      </c>
      <c r="C4725" s="3" t="s">
        <v>6</v>
      </c>
      <c r="D4725" s="5">
        <f t="shared" si="146"/>
        <v>216.83</v>
      </c>
      <c r="E4725">
        <v>238.02</v>
      </c>
      <c r="F4725" s="1789">
        <v>8.8999999999999996E-2</v>
      </c>
      <c r="G4725">
        <f t="shared" si="147"/>
        <v>216.83</v>
      </c>
    </row>
    <row r="4726" spans="1:7" ht="12.75" customHeight="1">
      <c r="A4726" s="3">
        <v>10404</v>
      </c>
      <c r="B4726" s="4" t="s">
        <v>4749</v>
      </c>
      <c r="C4726" s="3" t="s">
        <v>6</v>
      </c>
      <c r="D4726" s="5">
        <f t="shared" si="146"/>
        <v>87.93</v>
      </c>
      <c r="E4726">
        <v>96.53</v>
      </c>
      <c r="F4726" s="1789">
        <v>8.8999999999999996E-2</v>
      </c>
      <c r="G4726">
        <f t="shared" si="147"/>
        <v>87.93</v>
      </c>
    </row>
    <row r="4727" spans="1:7" ht="12.75" customHeight="1">
      <c r="A4727" s="3">
        <v>10410</v>
      </c>
      <c r="B4727" s="4" t="s">
        <v>4750</v>
      </c>
      <c r="C4727" s="3" t="s">
        <v>6</v>
      </c>
      <c r="D4727" s="5">
        <f t="shared" si="146"/>
        <v>144.83000000000001</v>
      </c>
      <c r="E4727">
        <v>158.99</v>
      </c>
      <c r="F4727" s="1789">
        <v>8.8999999999999996E-2</v>
      </c>
      <c r="G4727">
        <f t="shared" si="147"/>
        <v>144.83000000000001</v>
      </c>
    </row>
    <row r="4728" spans="1:7" ht="12.75" customHeight="1">
      <c r="A4728" s="3">
        <v>10405</v>
      </c>
      <c r="B4728" s="4" t="s">
        <v>4751</v>
      </c>
      <c r="C4728" s="3" t="s">
        <v>6</v>
      </c>
      <c r="D4728" s="5">
        <f t="shared" si="146"/>
        <v>485.5</v>
      </c>
      <c r="E4728">
        <v>532.94000000000005</v>
      </c>
      <c r="F4728" s="1789">
        <v>8.8999999999999996E-2</v>
      </c>
      <c r="G4728">
        <f t="shared" si="147"/>
        <v>485.5</v>
      </c>
    </row>
    <row r="4729" spans="1:7" ht="12.75" customHeight="1">
      <c r="A4729" s="3">
        <v>10408</v>
      </c>
      <c r="B4729" s="4" t="s">
        <v>4752</v>
      </c>
      <c r="C4729" s="3" t="s">
        <v>6</v>
      </c>
      <c r="D4729" s="5">
        <f t="shared" si="146"/>
        <v>339.5</v>
      </c>
      <c r="E4729">
        <v>372.67</v>
      </c>
      <c r="F4729" s="1789">
        <v>8.8999999999999996E-2</v>
      </c>
      <c r="G4729">
        <f t="shared" si="147"/>
        <v>339.5</v>
      </c>
    </row>
    <row r="4730" spans="1:7" ht="12.75" customHeight="1">
      <c r="A4730" s="3">
        <v>10412</v>
      </c>
      <c r="B4730" s="4" t="s">
        <v>4753</v>
      </c>
      <c r="C4730" s="3" t="s">
        <v>6</v>
      </c>
      <c r="D4730" s="5">
        <f t="shared" si="146"/>
        <v>106.56</v>
      </c>
      <c r="E4730">
        <v>116.98</v>
      </c>
      <c r="F4730" s="1789">
        <v>8.8999999999999996E-2</v>
      </c>
      <c r="G4730">
        <f t="shared" si="147"/>
        <v>106.56</v>
      </c>
    </row>
    <row r="4731" spans="1:7" ht="12.75" customHeight="1">
      <c r="A4731" s="3">
        <v>10406</v>
      </c>
      <c r="B4731" s="4" t="s">
        <v>4754</v>
      </c>
      <c r="C4731" s="3" t="s">
        <v>6</v>
      </c>
      <c r="D4731" s="5">
        <f t="shared" si="146"/>
        <v>670.57</v>
      </c>
      <c r="E4731">
        <v>736.09</v>
      </c>
      <c r="F4731" s="1789">
        <v>8.8999999999999996E-2</v>
      </c>
      <c r="G4731">
        <f t="shared" si="147"/>
        <v>670.57</v>
      </c>
    </row>
    <row r="4732" spans="1:7" ht="12.75" customHeight="1">
      <c r="A4732" s="3">
        <v>10407</v>
      </c>
      <c r="B4732" s="4" t="s">
        <v>4755</v>
      </c>
      <c r="C4732" s="3" t="s">
        <v>6</v>
      </c>
      <c r="D4732" s="5">
        <f t="shared" si="146"/>
        <v>1040.07</v>
      </c>
      <c r="E4732">
        <v>1141.69</v>
      </c>
      <c r="F4732" s="1789">
        <v>8.8999999999999996E-2</v>
      </c>
      <c r="G4732">
        <f t="shared" si="147"/>
        <v>1040.07</v>
      </c>
    </row>
    <row r="4733" spans="1:7" ht="12.75" customHeight="1">
      <c r="A4733" s="3">
        <v>10416</v>
      </c>
      <c r="B4733" s="4" t="s">
        <v>4756</v>
      </c>
      <c r="C4733" s="3" t="s">
        <v>6</v>
      </c>
      <c r="D4733" s="5">
        <f t="shared" si="146"/>
        <v>129</v>
      </c>
      <c r="E4733">
        <v>141.61000000000001</v>
      </c>
      <c r="F4733" s="1789">
        <v>8.8999999999999996E-2</v>
      </c>
      <c r="G4733">
        <f t="shared" si="147"/>
        <v>129</v>
      </c>
    </row>
    <row r="4734" spans="1:7" ht="12.75" customHeight="1">
      <c r="A4734" s="3">
        <v>10419</v>
      </c>
      <c r="B4734" s="4" t="s">
        <v>4757</v>
      </c>
      <c r="C4734" s="3" t="s">
        <v>6</v>
      </c>
      <c r="D4734" s="5">
        <f t="shared" si="146"/>
        <v>111.98</v>
      </c>
      <c r="E4734">
        <v>122.92</v>
      </c>
      <c r="F4734" s="1789">
        <v>8.8999999999999996E-2</v>
      </c>
      <c r="G4734">
        <f t="shared" si="147"/>
        <v>111.98</v>
      </c>
    </row>
    <row r="4735" spans="1:7" ht="12.75" customHeight="1">
      <c r="A4735" s="3">
        <v>21092</v>
      </c>
      <c r="B4735" s="4" t="s">
        <v>4758</v>
      </c>
      <c r="C4735" s="3" t="s">
        <v>6</v>
      </c>
      <c r="D4735" s="5">
        <f t="shared" si="146"/>
        <v>64.010000000000005</v>
      </c>
      <c r="E4735">
        <v>70.27</v>
      </c>
      <c r="F4735" s="1789">
        <v>8.8999999999999996E-2</v>
      </c>
      <c r="G4735">
        <f t="shared" si="147"/>
        <v>64.010000000000005</v>
      </c>
    </row>
    <row r="4736" spans="1:7" ht="12.75" customHeight="1">
      <c r="A4736" s="3">
        <v>10418</v>
      </c>
      <c r="B4736" s="4" t="s">
        <v>4759</v>
      </c>
      <c r="C4736" s="3" t="s">
        <v>6</v>
      </c>
      <c r="D4736" s="5">
        <f t="shared" si="146"/>
        <v>74.63</v>
      </c>
      <c r="E4736">
        <v>81.93</v>
      </c>
      <c r="F4736" s="1789">
        <v>8.8999999999999996E-2</v>
      </c>
      <c r="G4736">
        <f t="shared" si="147"/>
        <v>74.63</v>
      </c>
    </row>
    <row r="4737" spans="1:7" ht="12.75" customHeight="1">
      <c r="A4737" s="3">
        <v>12657</v>
      </c>
      <c r="B4737" s="4" t="s">
        <v>4760</v>
      </c>
      <c r="C4737" s="3" t="s">
        <v>6</v>
      </c>
      <c r="D4737" s="5">
        <f t="shared" si="146"/>
        <v>301.20999999999998</v>
      </c>
      <c r="E4737">
        <v>330.64</v>
      </c>
      <c r="F4737" s="1789">
        <v>8.8999999999999996E-2</v>
      </c>
      <c r="G4737">
        <f t="shared" si="147"/>
        <v>301.20999999999998</v>
      </c>
    </row>
    <row r="4738" spans="1:7" ht="12.75" customHeight="1">
      <c r="A4738" s="3">
        <v>10417</v>
      </c>
      <c r="B4738" s="4" t="s">
        <v>4761</v>
      </c>
      <c r="C4738" s="3" t="s">
        <v>6</v>
      </c>
      <c r="D4738" s="5">
        <f t="shared" si="146"/>
        <v>187.97</v>
      </c>
      <c r="E4738">
        <v>206.34</v>
      </c>
      <c r="F4738" s="1789">
        <v>8.8999999999999996E-2</v>
      </c>
      <c r="G4738">
        <f t="shared" si="147"/>
        <v>187.97</v>
      </c>
    </row>
    <row r="4739" spans="1:7" ht="12.75" customHeight="1">
      <c r="A4739" s="3">
        <v>10413</v>
      </c>
      <c r="B4739" s="4" t="s">
        <v>4762</v>
      </c>
      <c r="C4739" s="3" t="s">
        <v>6</v>
      </c>
      <c r="D4739" s="5">
        <f t="shared" ref="D4739:D4802" si="148">G4739</f>
        <v>68.31</v>
      </c>
      <c r="E4739">
        <v>74.989999999999995</v>
      </c>
      <c r="F4739" s="1789">
        <v>8.8999999999999996E-2</v>
      </c>
      <c r="G4739">
        <f t="shared" ref="G4739:G4802" si="149">TRUNC((1-F4739)*E4739,2)</f>
        <v>68.31</v>
      </c>
    </row>
    <row r="4740" spans="1:7" ht="12.75" customHeight="1">
      <c r="A4740" s="3">
        <v>10414</v>
      </c>
      <c r="B4740" s="4" t="s">
        <v>4763</v>
      </c>
      <c r="C4740" s="3" t="s">
        <v>6</v>
      </c>
      <c r="D4740" s="5">
        <f t="shared" si="148"/>
        <v>411.32</v>
      </c>
      <c r="E4740">
        <v>451.51</v>
      </c>
      <c r="F4740" s="1789">
        <v>8.8999999999999996E-2</v>
      </c>
      <c r="G4740">
        <f t="shared" si="149"/>
        <v>411.32</v>
      </c>
    </row>
    <row r="4741" spans="1:7" ht="12.75" customHeight="1">
      <c r="A4741" s="3">
        <v>10415</v>
      </c>
      <c r="B4741" s="4" t="s">
        <v>4764</v>
      </c>
      <c r="C4741" s="3" t="s">
        <v>6</v>
      </c>
      <c r="D4741" s="5">
        <f t="shared" si="148"/>
        <v>713.87</v>
      </c>
      <c r="E4741">
        <v>783.62</v>
      </c>
      <c r="F4741" s="1789">
        <v>8.8999999999999996E-2</v>
      </c>
      <c r="G4741">
        <f t="shared" si="149"/>
        <v>713.87</v>
      </c>
    </row>
    <row r="4742" spans="1:7" ht="12.75" customHeight="1">
      <c r="A4742" s="3">
        <v>38643</v>
      </c>
      <c r="B4742" s="4" t="s">
        <v>4765</v>
      </c>
      <c r="C4742" s="3" t="s">
        <v>6</v>
      </c>
      <c r="D4742" s="5">
        <f t="shared" si="148"/>
        <v>49.19</v>
      </c>
      <c r="E4742">
        <v>54</v>
      </c>
      <c r="F4742" s="1789">
        <v>8.8999999999999996E-2</v>
      </c>
      <c r="G4742">
        <f t="shared" si="149"/>
        <v>49.19</v>
      </c>
    </row>
    <row r="4743" spans="1:7" ht="12.75" customHeight="1">
      <c r="A4743" s="3">
        <v>6157</v>
      </c>
      <c r="B4743" s="4" t="s">
        <v>4766</v>
      </c>
      <c r="C4743" s="3" t="s">
        <v>6</v>
      </c>
      <c r="D4743" s="5">
        <f t="shared" si="148"/>
        <v>67.2</v>
      </c>
      <c r="E4743">
        <v>73.77</v>
      </c>
      <c r="F4743" s="1789">
        <v>8.8999999999999996E-2</v>
      </c>
      <c r="G4743">
        <f t="shared" si="149"/>
        <v>67.2</v>
      </c>
    </row>
    <row r="4744" spans="1:7" ht="12.75" customHeight="1">
      <c r="A4744" s="3">
        <v>6158</v>
      </c>
      <c r="B4744" s="4" t="s">
        <v>4767</v>
      </c>
      <c r="C4744" s="3" t="s">
        <v>6</v>
      </c>
      <c r="D4744" s="5">
        <f t="shared" si="148"/>
        <v>8.94</v>
      </c>
      <c r="E4744">
        <v>9.82</v>
      </c>
      <c r="F4744" s="1789">
        <v>8.8999999999999996E-2</v>
      </c>
      <c r="G4744">
        <f t="shared" si="149"/>
        <v>8.94</v>
      </c>
    </row>
    <row r="4745" spans="1:7" ht="12.75" customHeight="1">
      <c r="A4745" s="3">
        <v>6153</v>
      </c>
      <c r="B4745" s="4" t="s">
        <v>4768</v>
      </c>
      <c r="C4745" s="3" t="s">
        <v>6</v>
      </c>
      <c r="D4745" s="5">
        <f t="shared" si="148"/>
        <v>6.15</v>
      </c>
      <c r="E4745">
        <v>6.76</v>
      </c>
      <c r="F4745" s="1789">
        <v>8.8999999999999996E-2</v>
      </c>
      <c r="G4745">
        <f t="shared" si="149"/>
        <v>6.15</v>
      </c>
    </row>
    <row r="4746" spans="1:7" ht="12.75" customHeight="1">
      <c r="A4746" s="3">
        <v>6156</v>
      </c>
      <c r="B4746" s="4" t="s">
        <v>4769</v>
      </c>
      <c r="C4746" s="3" t="s">
        <v>6</v>
      </c>
      <c r="D4746" s="5">
        <f t="shared" si="148"/>
        <v>7.67</v>
      </c>
      <c r="E4746">
        <v>8.43</v>
      </c>
      <c r="F4746" s="1789">
        <v>8.8999999999999996E-2</v>
      </c>
      <c r="G4746">
        <f t="shared" si="149"/>
        <v>7.67</v>
      </c>
    </row>
    <row r="4747" spans="1:7" ht="12.75" customHeight="1">
      <c r="A4747" s="3">
        <v>6154</v>
      </c>
      <c r="B4747" s="4" t="s">
        <v>4770</v>
      </c>
      <c r="C4747" s="3" t="s">
        <v>6</v>
      </c>
      <c r="D4747" s="5">
        <f t="shared" si="148"/>
        <v>10.95</v>
      </c>
      <c r="E4747">
        <v>12.02</v>
      </c>
      <c r="F4747" s="1789">
        <v>8.8999999999999996E-2</v>
      </c>
      <c r="G4747">
        <f t="shared" si="149"/>
        <v>10.95</v>
      </c>
    </row>
    <row r="4748" spans="1:7" ht="12.75" customHeight="1">
      <c r="A4748" s="3">
        <v>6155</v>
      </c>
      <c r="B4748" s="4" t="s">
        <v>4771</v>
      </c>
      <c r="C4748" s="3" t="s">
        <v>6</v>
      </c>
      <c r="D4748" s="5">
        <f t="shared" si="148"/>
        <v>25.19</v>
      </c>
      <c r="E4748">
        <v>27.66</v>
      </c>
      <c r="F4748" s="1789">
        <v>8.8999999999999996E-2</v>
      </c>
      <c r="G4748">
        <f t="shared" si="149"/>
        <v>25.19</v>
      </c>
    </row>
    <row r="4749" spans="1:7" ht="12.75" customHeight="1">
      <c r="A4749" s="3">
        <v>43595</v>
      </c>
      <c r="B4749" s="4" t="s">
        <v>4772</v>
      </c>
      <c r="C4749" s="3" t="s">
        <v>6</v>
      </c>
      <c r="D4749" s="5">
        <f t="shared" si="148"/>
        <v>20.079999999999998</v>
      </c>
      <c r="E4749">
        <v>22.05</v>
      </c>
      <c r="F4749" s="1789">
        <v>8.8999999999999996E-2</v>
      </c>
      <c r="G4749">
        <f t="shared" si="149"/>
        <v>20.079999999999998</v>
      </c>
    </row>
    <row r="4750" spans="1:7" ht="12.75" customHeight="1">
      <c r="A4750" s="3">
        <v>43596</v>
      </c>
      <c r="B4750" s="4" t="s">
        <v>4773</v>
      </c>
      <c r="C4750" s="3" t="s">
        <v>6</v>
      </c>
      <c r="D4750" s="5">
        <f t="shared" si="148"/>
        <v>23.21</v>
      </c>
      <c r="E4750">
        <v>25.48</v>
      </c>
      <c r="F4750" s="1789">
        <v>8.8999999999999996E-2</v>
      </c>
      <c r="G4750">
        <f t="shared" si="149"/>
        <v>23.21</v>
      </c>
    </row>
    <row r="4751" spans="1:7" ht="12.75" customHeight="1">
      <c r="A4751" s="3">
        <v>38108</v>
      </c>
      <c r="B4751" s="4" t="s">
        <v>4774</v>
      </c>
      <c r="C4751" s="3" t="s">
        <v>6</v>
      </c>
      <c r="D4751" s="5">
        <f t="shared" si="148"/>
        <v>41.36</v>
      </c>
      <c r="E4751">
        <v>45.41</v>
      </c>
      <c r="F4751" s="1789">
        <v>8.8999999999999996E-2</v>
      </c>
      <c r="G4751">
        <f t="shared" si="149"/>
        <v>41.36</v>
      </c>
    </row>
    <row r="4752" spans="1:7" ht="12.75" customHeight="1">
      <c r="A4752" s="3">
        <v>38087</v>
      </c>
      <c r="B4752" s="4" t="s">
        <v>4775</v>
      </c>
      <c r="C4752" s="3" t="s">
        <v>6</v>
      </c>
      <c r="D4752" s="5">
        <f t="shared" si="148"/>
        <v>53.21</v>
      </c>
      <c r="E4752">
        <v>58.41</v>
      </c>
      <c r="F4752" s="1789">
        <v>8.8999999999999996E-2</v>
      </c>
      <c r="G4752">
        <f t="shared" si="149"/>
        <v>53.21</v>
      </c>
    </row>
    <row r="4753" spans="1:7" ht="12.75" customHeight="1">
      <c r="A4753" s="3">
        <v>38109</v>
      </c>
      <c r="B4753" s="4" t="s">
        <v>4776</v>
      </c>
      <c r="C4753" s="3" t="s">
        <v>6</v>
      </c>
      <c r="D4753" s="5">
        <f t="shared" si="148"/>
        <v>66.12</v>
      </c>
      <c r="E4753">
        <v>72.58</v>
      </c>
      <c r="F4753" s="1789">
        <v>8.8999999999999996E-2</v>
      </c>
      <c r="G4753">
        <f t="shared" si="149"/>
        <v>66.12</v>
      </c>
    </row>
    <row r="4754" spans="1:7" ht="12.75" customHeight="1">
      <c r="A4754" s="3">
        <v>38088</v>
      </c>
      <c r="B4754" s="4" t="s">
        <v>4777</v>
      </c>
      <c r="C4754" s="3" t="s">
        <v>6</v>
      </c>
      <c r="D4754" s="5">
        <f t="shared" si="148"/>
        <v>69.52</v>
      </c>
      <c r="E4754">
        <v>76.319999999999993</v>
      </c>
      <c r="F4754" s="1789">
        <v>8.8999999999999996E-2</v>
      </c>
      <c r="G4754">
        <f t="shared" si="149"/>
        <v>69.52</v>
      </c>
    </row>
    <row r="4755" spans="1:7" ht="12.75" customHeight="1">
      <c r="A4755" s="3">
        <v>38110</v>
      </c>
      <c r="B4755" s="4" t="s">
        <v>4778</v>
      </c>
      <c r="C4755" s="3" t="s">
        <v>6</v>
      </c>
      <c r="D4755" s="5">
        <f t="shared" si="148"/>
        <v>25.43</v>
      </c>
      <c r="E4755">
        <v>27.92</v>
      </c>
      <c r="F4755" s="1789">
        <v>8.8999999999999996E-2</v>
      </c>
      <c r="G4755">
        <f t="shared" si="149"/>
        <v>25.43</v>
      </c>
    </row>
    <row r="4756" spans="1:7" ht="12.75" customHeight="1">
      <c r="A4756" s="3">
        <v>38089</v>
      </c>
      <c r="B4756" s="4" t="s">
        <v>4779</v>
      </c>
      <c r="C4756" s="3" t="s">
        <v>6</v>
      </c>
      <c r="D4756" s="5">
        <f t="shared" si="148"/>
        <v>44.32</v>
      </c>
      <c r="E4756">
        <v>48.65</v>
      </c>
      <c r="F4756" s="1789">
        <v>8.8999999999999996E-2</v>
      </c>
      <c r="G4756">
        <f t="shared" si="149"/>
        <v>44.32</v>
      </c>
    </row>
    <row r="4757" spans="1:7" ht="12.75" customHeight="1">
      <c r="A4757" s="3">
        <v>38111</v>
      </c>
      <c r="B4757" s="4" t="s">
        <v>4780</v>
      </c>
      <c r="C4757" s="3" t="s">
        <v>6</v>
      </c>
      <c r="D4757" s="5">
        <f t="shared" si="148"/>
        <v>28.44</v>
      </c>
      <c r="E4757">
        <v>31.22</v>
      </c>
      <c r="F4757" s="1789">
        <v>8.8999999999999996E-2</v>
      </c>
      <c r="G4757">
        <f t="shared" si="149"/>
        <v>28.44</v>
      </c>
    </row>
    <row r="4758" spans="1:7" ht="12.75" customHeight="1">
      <c r="A4758" s="3">
        <v>38090</v>
      </c>
      <c r="B4758" s="4" t="s">
        <v>4781</v>
      </c>
      <c r="C4758" s="3" t="s">
        <v>6</v>
      </c>
      <c r="D4758" s="5">
        <f t="shared" si="148"/>
        <v>45.8</v>
      </c>
      <c r="E4758">
        <v>50.28</v>
      </c>
      <c r="F4758" s="1789">
        <v>8.8999999999999996E-2</v>
      </c>
      <c r="G4758">
        <f t="shared" si="149"/>
        <v>45.8</v>
      </c>
    </row>
    <row r="4759" spans="1:7" ht="12.75" customHeight="1">
      <c r="A4759" s="3">
        <v>13726</v>
      </c>
      <c r="B4759" s="4" t="s">
        <v>4782</v>
      </c>
      <c r="C4759" s="3" t="s">
        <v>6</v>
      </c>
      <c r="D4759" s="5">
        <f t="shared" si="148"/>
        <v>60353.74</v>
      </c>
      <c r="E4759">
        <v>66249.990000000005</v>
      </c>
      <c r="F4759" s="1789">
        <v>8.8999999999999996E-2</v>
      </c>
      <c r="G4759">
        <f t="shared" si="149"/>
        <v>60353.74</v>
      </c>
    </row>
    <row r="4760" spans="1:7" ht="12.75" customHeight="1">
      <c r="A4760" s="3">
        <v>38400</v>
      </c>
      <c r="B4760" s="4" t="s">
        <v>4783</v>
      </c>
      <c r="C4760" s="3" t="s">
        <v>6</v>
      </c>
      <c r="D4760" s="5">
        <f t="shared" si="148"/>
        <v>29.21</v>
      </c>
      <c r="E4760">
        <v>32.07</v>
      </c>
      <c r="F4760" s="1789">
        <v>8.8999999999999996E-2</v>
      </c>
      <c r="G4760">
        <f t="shared" si="149"/>
        <v>29.21</v>
      </c>
    </row>
    <row r="4761" spans="1:7" ht="12.75" customHeight="1">
      <c r="A4761" s="3">
        <v>12627</v>
      </c>
      <c r="B4761" s="4" t="s">
        <v>4784</v>
      </c>
      <c r="C4761" s="3" t="s">
        <v>6</v>
      </c>
      <c r="D4761" s="5">
        <f t="shared" si="148"/>
        <v>1.08</v>
      </c>
      <c r="E4761">
        <v>1.19</v>
      </c>
      <c r="F4761" s="1789">
        <v>8.8999999999999996E-2</v>
      </c>
      <c r="G4761">
        <f t="shared" si="149"/>
        <v>1.08</v>
      </c>
    </row>
    <row r="4762" spans="1:7" ht="12.75" customHeight="1">
      <c r="A4762" s="3">
        <v>39996</v>
      </c>
      <c r="B4762" s="4" t="s">
        <v>4785</v>
      </c>
      <c r="C4762" s="3" t="s">
        <v>50</v>
      </c>
      <c r="D4762" s="5">
        <f t="shared" si="148"/>
        <v>2.67</v>
      </c>
      <c r="E4762">
        <v>2.94</v>
      </c>
      <c r="F4762" s="1789">
        <v>8.8999999999999996E-2</v>
      </c>
      <c r="G4762">
        <f t="shared" si="149"/>
        <v>2.67</v>
      </c>
    </row>
    <row r="4763" spans="1:7" ht="12.75" customHeight="1">
      <c r="A4763" s="3">
        <v>10478</v>
      </c>
      <c r="B4763" s="4" t="s">
        <v>4786</v>
      </c>
      <c r="C4763" s="3" t="s">
        <v>56</v>
      </c>
      <c r="D4763" s="5">
        <f t="shared" si="148"/>
        <v>36.92</v>
      </c>
      <c r="E4763">
        <v>40.53</v>
      </c>
      <c r="F4763" s="1789">
        <v>8.8999999999999996E-2</v>
      </c>
      <c r="G4763">
        <f t="shared" si="149"/>
        <v>36.92</v>
      </c>
    </row>
    <row r="4764" spans="1:7" ht="12.75" customHeight="1">
      <c r="A4764" s="3">
        <v>10481</v>
      </c>
      <c r="B4764" s="4" t="s">
        <v>4787</v>
      </c>
      <c r="C4764" s="3" t="s">
        <v>56</v>
      </c>
      <c r="D4764" s="5">
        <f t="shared" si="148"/>
        <v>32.83</v>
      </c>
      <c r="E4764">
        <v>36.04</v>
      </c>
      <c r="F4764" s="1789">
        <v>8.8999999999999996E-2</v>
      </c>
      <c r="G4764">
        <f t="shared" si="149"/>
        <v>32.83</v>
      </c>
    </row>
    <row r="4765" spans="1:7" ht="12.75" customHeight="1">
      <c r="A4765" s="3">
        <v>10475</v>
      </c>
      <c r="B4765" s="4" t="s">
        <v>4788</v>
      </c>
      <c r="C4765" s="3" t="s">
        <v>56</v>
      </c>
      <c r="D4765" s="5">
        <f t="shared" si="148"/>
        <v>31.77</v>
      </c>
      <c r="E4765">
        <v>34.880000000000003</v>
      </c>
      <c r="F4765" s="1789">
        <v>8.8999999999999996E-2</v>
      </c>
      <c r="G4765">
        <f t="shared" si="149"/>
        <v>31.77</v>
      </c>
    </row>
    <row r="4766" spans="1:7" ht="12.75" customHeight="1">
      <c r="A4766" s="3">
        <v>4030</v>
      </c>
      <c r="B4766" s="4" t="s">
        <v>4789</v>
      </c>
      <c r="C4766" s="3" t="s">
        <v>409</v>
      </c>
      <c r="D4766" s="5">
        <f t="shared" si="148"/>
        <v>7.34</v>
      </c>
      <c r="E4766">
        <v>8.06</v>
      </c>
      <c r="F4766" s="1789">
        <v>8.8999999999999996E-2</v>
      </c>
      <c r="G4766">
        <f t="shared" si="149"/>
        <v>7.34</v>
      </c>
    </row>
    <row r="4767" spans="1:7" ht="12.75" customHeight="1">
      <c r="A4767" s="3">
        <v>4031</v>
      </c>
      <c r="B4767" s="4" t="s">
        <v>4790</v>
      </c>
      <c r="C4767" s="3" t="s">
        <v>409</v>
      </c>
      <c r="D4767" s="5">
        <f t="shared" si="148"/>
        <v>34.53</v>
      </c>
      <c r="E4767">
        <v>37.909999999999997</v>
      </c>
      <c r="F4767" s="1789">
        <v>8.8999999999999996E-2</v>
      </c>
      <c r="G4767">
        <f t="shared" si="149"/>
        <v>34.53</v>
      </c>
    </row>
    <row r="4768" spans="1:7" ht="12.75" customHeight="1">
      <c r="A4768" s="3">
        <v>39399</v>
      </c>
      <c r="B4768" s="4" t="s">
        <v>4791</v>
      </c>
      <c r="C4768" s="3" t="s">
        <v>6</v>
      </c>
      <c r="D4768" s="5">
        <f t="shared" si="148"/>
        <v>1217.24</v>
      </c>
      <c r="E4768">
        <v>1336.16</v>
      </c>
      <c r="F4768" s="1789">
        <v>8.8999999999999996E-2</v>
      </c>
      <c r="G4768">
        <f t="shared" si="149"/>
        <v>1217.24</v>
      </c>
    </row>
    <row r="4769" spans="1:7" ht="12.75" customHeight="1">
      <c r="A4769" s="3">
        <v>39400</v>
      </c>
      <c r="B4769" s="4" t="s">
        <v>4792</v>
      </c>
      <c r="C4769" s="3" t="s">
        <v>6</v>
      </c>
      <c r="D4769" s="5">
        <f t="shared" si="148"/>
        <v>1323.08</v>
      </c>
      <c r="E4769">
        <v>1452.34</v>
      </c>
      <c r="F4769" s="1789">
        <v>8.8999999999999996E-2</v>
      </c>
      <c r="G4769">
        <f t="shared" si="149"/>
        <v>1323.08</v>
      </c>
    </row>
    <row r="4770" spans="1:7" ht="12.75" customHeight="1">
      <c r="A4770" s="3">
        <v>39401</v>
      </c>
      <c r="B4770" s="4" t="s">
        <v>4793</v>
      </c>
      <c r="C4770" s="3" t="s">
        <v>6</v>
      </c>
      <c r="D4770" s="5">
        <f t="shared" si="148"/>
        <v>1484.18</v>
      </c>
      <c r="E4770">
        <v>1629.18</v>
      </c>
      <c r="F4770" s="1789">
        <v>8.8999999999999996E-2</v>
      </c>
      <c r="G4770">
        <f t="shared" si="149"/>
        <v>1484.18</v>
      </c>
    </row>
    <row r="4771" spans="1:7" ht="12.75" customHeight="1">
      <c r="A4771" s="3">
        <v>11652</v>
      </c>
      <c r="B4771" s="4" t="s">
        <v>4794</v>
      </c>
      <c r="C4771" s="3" t="s">
        <v>6</v>
      </c>
      <c r="D4771" s="5">
        <f t="shared" si="148"/>
        <v>3193.05</v>
      </c>
      <c r="E4771">
        <v>3505</v>
      </c>
      <c r="F4771" s="1789">
        <v>8.8999999999999996E-2</v>
      </c>
      <c r="G4771">
        <f t="shared" si="149"/>
        <v>3193.05</v>
      </c>
    </row>
    <row r="4772" spans="1:7" ht="12.75" customHeight="1">
      <c r="A4772" s="3">
        <v>13896</v>
      </c>
      <c r="B4772" s="4" t="s">
        <v>4795</v>
      </c>
      <c r="C4772" s="3" t="s">
        <v>6</v>
      </c>
      <c r="D4772" s="5">
        <f t="shared" si="148"/>
        <v>2864.44</v>
      </c>
      <c r="E4772">
        <v>3144.29</v>
      </c>
      <c r="F4772" s="1789">
        <v>8.8999999999999996E-2</v>
      </c>
      <c r="G4772">
        <f t="shared" si="149"/>
        <v>2864.44</v>
      </c>
    </row>
    <row r="4773" spans="1:7" ht="12.75" customHeight="1">
      <c r="A4773" s="3">
        <v>13475</v>
      </c>
      <c r="B4773" s="4" t="s">
        <v>4796</v>
      </c>
      <c r="C4773" s="3" t="s">
        <v>6</v>
      </c>
      <c r="D4773" s="5">
        <f t="shared" si="148"/>
        <v>3489.23</v>
      </c>
      <c r="E4773">
        <v>3830.12</v>
      </c>
      <c r="F4773" s="1789">
        <v>8.8999999999999996E-2</v>
      </c>
      <c r="G4773">
        <f t="shared" si="149"/>
        <v>3489.23</v>
      </c>
    </row>
    <row r="4774" spans="1:7" ht="12.75" customHeight="1">
      <c r="A4774" s="3">
        <v>44491</v>
      </c>
      <c r="B4774" s="4" t="s">
        <v>4797</v>
      </c>
      <c r="C4774" s="3" t="s">
        <v>6</v>
      </c>
      <c r="D4774" s="5">
        <f t="shared" si="148"/>
        <v>3990484.73</v>
      </c>
      <c r="E4774">
        <v>4380334.51</v>
      </c>
      <c r="F4774" s="1789">
        <v>8.8999999999999996E-2</v>
      </c>
      <c r="G4774">
        <f t="shared" si="149"/>
        <v>3990484.73</v>
      </c>
    </row>
    <row r="4775" spans="1:7" ht="12.75" customHeight="1">
      <c r="A4775" s="3">
        <v>44470</v>
      </c>
      <c r="B4775" s="4" t="s">
        <v>4798</v>
      </c>
      <c r="C4775" s="3" t="s">
        <v>6</v>
      </c>
      <c r="D4775" s="5">
        <f t="shared" si="148"/>
        <v>1679947.76</v>
      </c>
      <c r="E4775">
        <v>1844069.99</v>
      </c>
      <c r="F4775" s="1789">
        <v>8.8999999999999996E-2</v>
      </c>
      <c r="G4775">
        <f t="shared" si="149"/>
        <v>1679947.76</v>
      </c>
    </row>
    <row r="4776" spans="1:7" ht="12.75" customHeight="1">
      <c r="A4776" s="3">
        <v>13476</v>
      </c>
      <c r="B4776" s="4" t="s">
        <v>4799</v>
      </c>
      <c r="C4776" s="3" t="s">
        <v>6</v>
      </c>
      <c r="D4776" s="5">
        <f t="shared" si="148"/>
        <v>1692121.4</v>
      </c>
      <c r="E4776">
        <v>1857432.94</v>
      </c>
      <c r="F4776" s="1789">
        <v>8.8999999999999996E-2</v>
      </c>
      <c r="G4776">
        <f t="shared" si="149"/>
        <v>1692121.4</v>
      </c>
    </row>
    <row r="4777" spans="1:7" ht="12.75" customHeight="1">
      <c r="A4777" s="3">
        <v>10488</v>
      </c>
      <c r="B4777" s="4" t="s">
        <v>4800</v>
      </c>
      <c r="C4777" s="3" t="s">
        <v>6</v>
      </c>
      <c r="D4777" s="5">
        <f t="shared" si="148"/>
        <v>2050023.3</v>
      </c>
      <c r="E4777">
        <v>2250300</v>
      </c>
      <c r="F4777" s="1789">
        <v>8.8999999999999996E-2</v>
      </c>
      <c r="G4777">
        <f t="shared" si="149"/>
        <v>2050023.3</v>
      </c>
    </row>
    <row r="4778" spans="1:7" ht="12.75" customHeight="1">
      <c r="A4778" s="3">
        <v>13606</v>
      </c>
      <c r="B4778" s="4" t="s">
        <v>4801</v>
      </c>
      <c r="C4778" s="3" t="s">
        <v>6</v>
      </c>
      <c r="D4778" s="5">
        <f t="shared" si="148"/>
        <v>1816291.32</v>
      </c>
      <c r="E4778">
        <v>1993733.62</v>
      </c>
      <c r="F4778" s="1789">
        <v>8.8999999999999996E-2</v>
      </c>
      <c r="G4778">
        <f t="shared" si="149"/>
        <v>1816291.32</v>
      </c>
    </row>
    <row r="4779" spans="1:7" ht="12.75" customHeight="1">
      <c r="A4779" s="3">
        <v>10489</v>
      </c>
      <c r="B4779" s="4" t="s">
        <v>4802</v>
      </c>
      <c r="C4779" s="3" t="s">
        <v>154</v>
      </c>
      <c r="D4779" s="5">
        <f t="shared" si="148"/>
        <v>15.54</v>
      </c>
      <c r="E4779">
        <v>17.059999999999999</v>
      </c>
      <c r="F4779" s="1789">
        <v>8.8999999999999996E-2</v>
      </c>
      <c r="G4779">
        <f t="shared" si="149"/>
        <v>15.54</v>
      </c>
    </row>
    <row r="4780" spans="1:7" ht="12.75" customHeight="1">
      <c r="A4780" s="3">
        <v>41073</v>
      </c>
      <c r="B4780" s="4" t="s">
        <v>4803</v>
      </c>
      <c r="C4780" s="3" t="s">
        <v>156</v>
      </c>
      <c r="D4780" s="5">
        <f t="shared" si="148"/>
        <v>2735.48</v>
      </c>
      <c r="E4780">
        <v>3002.73</v>
      </c>
      <c r="F4780" s="1789">
        <v>8.8999999999999996E-2</v>
      </c>
      <c r="G4780">
        <f t="shared" si="149"/>
        <v>2735.48</v>
      </c>
    </row>
    <row r="4781" spans="1:7" ht="12.75" customHeight="1">
      <c r="A4781" s="3">
        <v>34391</v>
      </c>
      <c r="B4781" s="4" t="s">
        <v>4804</v>
      </c>
      <c r="C4781" s="3" t="s">
        <v>409</v>
      </c>
      <c r="D4781" s="5">
        <f t="shared" si="148"/>
        <v>785.05</v>
      </c>
      <c r="E4781">
        <v>861.75</v>
      </c>
      <c r="F4781" s="1789">
        <v>8.8999999999999996E-2</v>
      </c>
      <c r="G4781">
        <f t="shared" si="149"/>
        <v>785.05</v>
      </c>
    </row>
    <row r="4782" spans="1:7" ht="12.75" customHeight="1">
      <c r="A4782" s="3">
        <v>10496</v>
      </c>
      <c r="B4782" s="4" t="s">
        <v>4805</v>
      </c>
      <c r="C4782" s="3" t="s">
        <v>409</v>
      </c>
      <c r="D4782" s="5">
        <f t="shared" si="148"/>
        <v>683.25</v>
      </c>
      <c r="E4782">
        <v>750</v>
      </c>
      <c r="F4782" s="1789">
        <v>8.8999999999999996E-2</v>
      </c>
      <c r="G4782">
        <f t="shared" si="149"/>
        <v>683.25</v>
      </c>
    </row>
    <row r="4783" spans="1:7" ht="12.75" customHeight="1">
      <c r="A4783" s="3">
        <v>10497</v>
      </c>
      <c r="B4783" s="4" t="s">
        <v>4806</v>
      </c>
      <c r="C4783" s="3" t="s">
        <v>409</v>
      </c>
      <c r="D4783" s="5">
        <f t="shared" si="148"/>
        <v>1776.44</v>
      </c>
      <c r="E4783">
        <v>1949.99</v>
      </c>
      <c r="F4783" s="1789">
        <v>8.8999999999999996E-2</v>
      </c>
      <c r="G4783">
        <f t="shared" si="149"/>
        <v>1776.44</v>
      </c>
    </row>
    <row r="4784" spans="1:7" ht="12.75" customHeight="1">
      <c r="A4784" s="3">
        <v>10504</v>
      </c>
      <c r="B4784" s="4" t="s">
        <v>4807</v>
      </c>
      <c r="C4784" s="3" t="s">
        <v>409</v>
      </c>
      <c r="D4784" s="5">
        <f t="shared" si="148"/>
        <v>2077.08</v>
      </c>
      <c r="E4784">
        <v>2280</v>
      </c>
      <c r="F4784" s="1789">
        <v>8.8999999999999996E-2</v>
      </c>
      <c r="G4784">
        <f t="shared" si="149"/>
        <v>2077.08</v>
      </c>
    </row>
    <row r="4785" spans="1:7" ht="12.75" customHeight="1">
      <c r="A4785" s="3">
        <v>34390</v>
      </c>
      <c r="B4785" s="4" t="s">
        <v>4808</v>
      </c>
      <c r="C4785" s="3" t="s">
        <v>409</v>
      </c>
      <c r="D4785" s="5">
        <f t="shared" si="148"/>
        <v>612.17999999999995</v>
      </c>
      <c r="E4785">
        <v>671.99</v>
      </c>
      <c r="F4785" s="1789">
        <v>8.8999999999999996E-2</v>
      </c>
      <c r="G4785">
        <f t="shared" si="149"/>
        <v>612.17999999999995</v>
      </c>
    </row>
    <row r="4786" spans="1:7" ht="12.75" customHeight="1">
      <c r="A4786" s="3">
        <v>34389</v>
      </c>
      <c r="B4786" s="4" t="s">
        <v>4809</v>
      </c>
      <c r="C4786" s="3" t="s">
        <v>409</v>
      </c>
      <c r="D4786" s="5">
        <f t="shared" si="148"/>
        <v>191.31</v>
      </c>
      <c r="E4786">
        <v>210</v>
      </c>
      <c r="F4786" s="1789">
        <v>8.8999999999999996E-2</v>
      </c>
      <c r="G4786">
        <f t="shared" si="149"/>
        <v>191.31</v>
      </c>
    </row>
    <row r="4787" spans="1:7" ht="12.75" customHeight="1">
      <c r="A4787" s="3">
        <v>34388</v>
      </c>
      <c r="B4787" s="4" t="s">
        <v>4810</v>
      </c>
      <c r="C4787" s="3" t="s">
        <v>409</v>
      </c>
      <c r="D4787" s="5">
        <f t="shared" si="148"/>
        <v>271.89999999999998</v>
      </c>
      <c r="E4787">
        <v>298.47000000000003</v>
      </c>
      <c r="F4787" s="1789">
        <v>8.8999999999999996E-2</v>
      </c>
      <c r="G4787">
        <f t="shared" si="149"/>
        <v>271.89999999999998</v>
      </c>
    </row>
    <row r="4788" spans="1:7" ht="12.75" customHeight="1">
      <c r="A4788" s="3">
        <v>34387</v>
      </c>
      <c r="B4788" s="4" t="s">
        <v>4811</v>
      </c>
      <c r="C4788" s="3" t="s">
        <v>409</v>
      </c>
      <c r="D4788" s="5">
        <f t="shared" si="148"/>
        <v>441.37</v>
      </c>
      <c r="E4788">
        <v>484.5</v>
      </c>
      <c r="F4788" s="1789">
        <v>8.8999999999999996E-2</v>
      </c>
      <c r="G4788">
        <f t="shared" si="149"/>
        <v>441.37</v>
      </c>
    </row>
    <row r="4789" spans="1:7" ht="12.75" customHeight="1">
      <c r="A4789" s="3">
        <v>11188</v>
      </c>
      <c r="B4789" s="4" t="s">
        <v>4812</v>
      </c>
      <c r="C4789" s="3" t="s">
        <v>409</v>
      </c>
      <c r="D4789" s="5">
        <f t="shared" si="148"/>
        <v>218.63</v>
      </c>
      <c r="E4789">
        <v>239.99</v>
      </c>
      <c r="F4789" s="1789">
        <v>8.8999999999999996E-2</v>
      </c>
      <c r="G4789">
        <f t="shared" si="149"/>
        <v>218.63</v>
      </c>
    </row>
    <row r="4790" spans="1:7" ht="12.75" customHeight="1">
      <c r="A4790" s="3">
        <v>11189</v>
      </c>
      <c r="B4790" s="4" t="s">
        <v>4813</v>
      </c>
      <c r="C4790" s="3" t="s">
        <v>409</v>
      </c>
      <c r="D4790" s="5">
        <f t="shared" si="148"/>
        <v>327.96</v>
      </c>
      <c r="E4790">
        <v>360</v>
      </c>
      <c r="F4790" s="1789">
        <v>8.8999999999999996E-2</v>
      </c>
      <c r="G4790">
        <f t="shared" si="149"/>
        <v>327.96</v>
      </c>
    </row>
    <row r="4791" spans="1:7" ht="12.75" customHeight="1">
      <c r="A4791" s="3">
        <v>21107</v>
      </c>
      <c r="B4791" s="4" t="s">
        <v>4814</v>
      </c>
      <c r="C4791" s="3" t="s">
        <v>409</v>
      </c>
      <c r="D4791" s="5">
        <f t="shared" si="148"/>
        <v>236.01</v>
      </c>
      <c r="E4791">
        <v>259.07</v>
      </c>
      <c r="F4791" s="1789">
        <v>8.8999999999999996E-2</v>
      </c>
      <c r="G4791">
        <f t="shared" si="149"/>
        <v>236.01</v>
      </c>
    </row>
    <row r="4792" spans="1:7" ht="12.75" customHeight="1">
      <c r="A4792" s="3">
        <v>34386</v>
      </c>
      <c r="B4792" s="4" t="s">
        <v>4815</v>
      </c>
      <c r="C4792" s="3" t="s">
        <v>409</v>
      </c>
      <c r="D4792" s="5">
        <f t="shared" si="148"/>
        <v>409.95</v>
      </c>
      <c r="E4792">
        <v>450</v>
      </c>
      <c r="F4792" s="1789">
        <v>8.8999999999999996E-2</v>
      </c>
      <c r="G4792">
        <f t="shared" si="149"/>
        <v>409.95</v>
      </c>
    </row>
    <row r="4793" spans="1:7" ht="12.75" customHeight="1">
      <c r="A4793" s="3">
        <v>10490</v>
      </c>
      <c r="B4793" s="4" t="s">
        <v>4816</v>
      </c>
      <c r="C4793" s="3" t="s">
        <v>409</v>
      </c>
      <c r="D4793" s="5">
        <f t="shared" si="148"/>
        <v>143.47999999999999</v>
      </c>
      <c r="E4793">
        <v>157.5</v>
      </c>
      <c r="F4793" s="1789">
        <v>8.8999999999999996E-2</v>
      </c>
      <c r="G4793">
        <f t="shared" si="149"/>
        <v>143.47999999999999</v>
      </c>
    </row>
    <row r="4794" spans="1:7" ht="12.75" customHeight="1">
      <c r="A4794" s="3">
        <v>10492</v>
      </c>
      <c r="B4794" s="4" t="s">
        <v>4817</v>
      </c>
      <c r="C4794" s="3" t="s">
        <v>409</v>
      </c>
      <c r="D4794" s="5">
        <f t="shared" si="148"/>
        <v>163.98</v>
      </c>
      <c r="E4794">
        <v>180</v>
      </c>
      <c r="F4794" s="1789">
        <v>8.8999999999999996E-2</v>
      </c>
      <c r="G4794">
        <f t="shared" si="149"/>
        <v>163.98</v>
      </c>
    </row>
    <row r="4795" spans="1:7" ht="12.75" customHeight="1">
      <c r="A4795" s="3">
        <v>10493</v>
      </c>
      <c r="B4795" s="4" t="s">
        <v>4818</v>
      </c>
      <c r="C4795" s="3" t="s">
        <v>409</v>
      </c>
      <c r="D4795" s="5">
        <f t="shared" si="148"/>
        <v>191.31</v>
      </c>
      <c r="E4795">
        <v>210</v>
      </c>
      <c r="F4795" s="1789">
        <v>8.8999999999999996E-2</v>
      </c>
      <c r="G4795">
        <f t="shared" si="149"/>
        <v>191.31</v>
      </c>
    </row>
    <row r="4796" spans="1:7" ht="12.75" customHeight="1">
      <c r="A4796" s="3">
        <v>10491</v>
      </c>
      <c r="B4796" s="4" t="s">
        <v>4819</v>
      </c>
      <c r="C4796" s="3" t="s">
        <v>409</v>
      </c>
      <c r="D4796" s="5">
        <f t="shared" si="148"/>
        <v>232.3</v>
      </c>
      <c r="E4796">
        <v>255</v>
      </c>
      <c r="F4796" s="1789">
        <v>8.8999999999999996E-2</v>
      </c>
      <c r="G4796">
        <f t="shared" si="149"/>
        <v>232.3</v>
      </c>
    </row>
    <row r="4797" spans="1:7" ht="12.75" customHeight="1">
      <c r="A4797" s="3">
        <v>34385</v>
      </c>
      <c r="B4797" s="4" t="s">
        <v>4820</v>
      </c>
      <c r="C4797" s="3" t="s">
        <v>409</v>
      </c>
      <c r="D4797" s="5">
        <f t="shared" si="148"/>
        <v>338.89</v>
      </c>
      <c r="E4797">
        <v>372</v>
      </c>
      <c r="F4797" s="1789">
        <v>8.8999999999999996E-2</v>
      </c>
      <c r="G4797">
        <f t="shared" si="149"/>
        <v>338.89</v>
      </c>
    </row>
    <row r="4798" spans="1:7" ht="12.75" customHeight="1">
      <c r="A4798" s="3">
        <v>10499</v>
      </c>
      <c r="B4798" s="4" t="s">
        <v>4821</v>
      </c>
      <c r="C4798" s="3" t="s">
        <v>409</v>
      </c>
      <c r="D4798" s="5">
        <f t="shared" si="148"/>
        <v>136.63999999999999</v>
      </c>
      <c r="E4798">
        <v>149.99</v>
      </c>
      <c r="F4798" s="1789">
        <v>8.8999999999999996E-2</v>
      </c>
      <c r="G4798">
        <f t="shared" si="149"/>
        <v>136.63999999999999</v>
      </c>
    </row>
    <row r="4799" spans="1:7" ht="12.75" customHeight="1">
      <c r="A4799" s="3">
        <v>34384</v>
      </c>
      <c r="B4799" s="4" t="s">
        <v>4822</v>
      </c>
      <c r="C4799" s="3" t="s">
        <v>409</v>
      </c>
      <c r="D4799" s="5">
        <f t="shared" si="148"/>
        <v>409.95</v>
      </c>
      <c r="E4799">
        <v>450</v>
      </c>
      <c r="F4799" s="1789">
        <v>8.8999999999999996E-2</v>
      </c>
      <c r="G4799">
        <f t="shared" si="149"/>
        <v>409.95</v>
      </c>
    </row>
    <row r="4800" spans="1:7" ht="12.75" customHeight="1">
      <c r="A4800" s="3">
        <v>11185</v>
      </c>
      <c r="B4800" s="4" t="s">
        <v>4823</v>
      </c>
      <c r="C4800" s="3" t="s">
        <v>409</v>
      </c>
      <c r="D4800" s="5">
        <f t="shared" si="148"/>
        <v>423.6</v>
      </c>
      <c r="E4800">
        <v>464.99</v>
      </c>
      <c r="F4800" s="1789">
        <v>8.8999999999999996E-2</v>
      </c>
      <c r="G4800">
        <f t="shared" si="149"/>
        <v>423.6</v>
      </c>
    </row>
    <row r="4801" spans="1:7" ht="12.75" customHeight="1">
      <c r="A4801" s="3">
        <v>10507</v>
      </c>
      <c r="B4801" s="4" t="s">
        <v>4824</v>
      </c>
      <c r="C4801" s="3" t="s">
        <v>409</v>
      </c>
      <c r="D4801" s="5">
        <f t="shared" si="148"/>
        <v>379.02</v>
      </c>
      <c r="E4801">
        <v>416.05</v>
      </c>
      <c r="F4801" s="1789">
        <v>8.8999999999999996E-2</v>
      </c>
      <c r="G4801">
        <f t="shared" si="149"/>
        <v>379.02</v>
      </c>
    </row>
    <row r="4802" spans="1:7" ht="12.75" customHeight="1">
      <c r="A4802" s="3">
        <v>10505</v>
      </c>
      <c r="B4802" s="4" t="s">
        <v>4825</v>
      </c>
      <c r="C4802" s="3" t="s">
        <v>409</v>
      </c>
      <c r="D4802" s="5">
        <f t="shared" si="148"/>
        <v>223.65</v>
      </c>
      <c r="E4802">
        <v>245.5</v>
      </c>
      <c r="F4802" s="1789">
        <v>8.8999999999999996E-2</v>
      </c>
      <c r="G4802">
        <f t="shared" si="149"/>
        <v>223.65</v>
      </c>
    </row>
    <row r="4803" spans="1:7" ht="12.75" customHeight="1">
      <c r="A4803" s="3">
        <v>10506</v>
      </c>
      <c r="B4803" s="4" t="s">
        <v>4826</v>
      </c>
      <c r="C4803" s="3" t="s">
        <v>409</v>
      </c>
      <c r="D4803" s="5">
        <f t="shared" ref="D4803:D4817" si="150">G4803</f>
        <v>291.95</v>
      </c>
      <c r="E4803">
        <v>320.48</v>
      </c>
      <c r="F4803" s="1789">
        <v>8.8999999999999996E-2</v>
      </c>
      <c r="G4803">
        <f t="shared" ref="G4803:G4818" si="151">TRUNC((1-F4803)*E4803,2)</f>
        <v>291.95</v>
      </c>
    </row>
    <row r="4804" spans="1:7" ht="12.75" customHeight="1">
      <c r="A4804" s="3">
        <v>5031</v>
      </c>
      <c r="B4804" s="4" t="s">
        <v>4827</v>
      </c>
      <c r="C4804" s="3" t="s">
        <v>409</v>
      </c>
      <c r="D4804" s="5">
        <f t="shared" si="150"/>
        <v>409.95</v>
      </c>
      <c r="E4804">
        <v>450</v>
      </c>
      <c r="F4804" s="1789">
        <v>8.8999999999999996E-2</v>
      </c>
      <c r="G4804">
        <f t="shared" si="151"/>
        <v>409.95</v>
      </c>
    </row>
    <row r="4805" spans="1:7" ht="12.75" customHeight="1">
      <c r="A4805" s="3">
        <v>10502</v>
      </c>
      <c r="B4805" s="4" t="s">
        <v>4828</v>
      </c>
      <c r="C4805" s="3" t="s">
        <v>409</v>
      </c>
      <c r="D4805" s="5">
        <f t="shared" si="150"/>
        <v>477.68</v>
      </c>
      <c r="E4805">
        <v>524.35</v>
      </c>
      <c r="F4805" s="1789">
        <v>8.8999999999999996E-2</v>
      </c>
      <c r="G4805">
        <f t="shared" si="151"/>
        <v>477.68</v>
      </c>
    </row>
    <row r="4806" spans="1:7" ht="12.75" customHeight="1">
      <c r="A4806" s="3">
        <v>10501</v>
      </c>
      <c r="B4806" s="4" t="s">
        <v>4829</v>
      </c>
      <c r="C4806" s="3" t="s">
        <v>409</v>
      </c>
      <c r="D4806" s="5">
        <f t="shared" si="150"/>
        <v>269.87</v>
      </c>
      <c r="E4806">
        <v>296.24</v>
      </c>
      <c r="F4806" s="1789">
        <v>8.8999999999999996E-2</v>
      </c>
      <c r="G4806">
        <f t="shared" si="151"/>
        <v>269.87</v>
      </c>
    </row>
    <row r="4807" spans="1:7" ht="12.75" customHeight="1">
      <c r="A4807" s="3">
        <v>10503</v>
      </c>
      <c r="B4807" s="4" t="s">
        <v>4830</v>
      </c>
      <c r="C4807" s="3" t="s">
        <v>409</v>
      </c>
      <c r="D4807" s="5">
        <f t="shared" si="150"/>
        <v>364.6</v>
      </c>
      <c r="E4807">
        <v>400.23</v>
      </c>
      <c r="F4807" s="1789">
        <v>8.8999999999999996E-2</v>
      </c>
      <c r="G4807">
        <f t="shared" si="151"/>
        <v>364.6</v>
      </c>
    </row>
    <row r="4808" spans="1:7" ht="12.75" customHeight="1">
      <c r="A4808" s="3">
        <v>4500</v>
      </c>
      <c r="B4808" s="4" t="s">
        <v>4831</v>
      </c>
      <c r="C4808" s="3" t="s">
        <v>50</v>
      </c>
      <c r="D4808" s="5">
        <f t="shared" si="150"/>
        <v>20.25</v>
      </c>
      <c r="E4808">
        <v>22.23</v>
      </c>
      <c r="F4808" s="1789">
        <v>8.8999999999999996E-2</v>
      </c>
      <c r="G4808">
        <f t="shared" si="151"/>
        <v>20.25</v>
      </c>
    </row>
    <row r="4809" spans="1:7" ht="12.75" customHeight="1">
      <c r="A4809" s="3">
        <v>4448</v>
      </c>
      <c r="B4809" s="4" t="s">
        <v>4832</v>
      </c>
      <c r="C4809" s="3" t="s">
        <v>50</v>
      </c>
      <c r="D4809" s="5">
        <f t="shared" si="150"/>
        <v>27.82</v>
      </c>
      <c r="E4809">
        <v>30.54</v>
      </c>
      <c r="F4809" s="1789">
        <v>8.8999999999999996E-2</v>
      </c>
      <c r="G4809">
        <f t="shared" si="151"/>
        <v>27.82</v>
      </c>
    </row>
    <row r="4810" spans="1:7" ht="12.75" customHeight="1">
      <c r="A4810" s="3">
        <v>20213</v>
      </c>
      <c r="B4810" s="4" t="s">
        <v>4833</v>
      </c>
      <c r="C4810" s="3" t="s">
        <v>50</v>
      </c>
      <c r="D4810" s="5">
        <f t="shared" si="150"/>
        <v>20.77</v>
      </c>
      <c r="E4810">
        <v>22.8</v>
      </c>
      <c r="F4810" s="1789">
        <v>8.8999999999999996E-2</v>
      </c>
      <c r="G4810">
        <f t="shared" si="151"/>
        <v>20.77</v>
      </c>
    </row>
    <row r="4811" spans="1:7" ht="12.75" customHeight="1">
      <c r="A4811" s="3">
        <v>20211</v>
      </c>
      <c r="B4811" s="4" t="s">
        <v>4834</v>
      </c>
      <c r="C4811" s="3" t="s">
        <v>50</v>
      </c>
      <c r="D4811" s="5">
        <f t="shared" si="150"/>
        <v>27.5</v>
      </c>
      <c r="E4811">
        <v>30.19</v>
      </c>
      <c r="F4811" s="1789">
        <v>8.8999999999999996E-2</v>
      </c>
      <c r="G4811">
        <f t="shared" si="151"/>
        <v>27.5</v>
      </c>
    </row>
    <row r="4812" spans="1:7" ht="12.75" customHeight="1">
      <c r="A4812" s="3">
        <v>40270</v>
      </c>
      <c r="B4812" s="4" t="s">
        <v>4835</v>
      </c>
      <c r="C4812" s="3" t="s">
        <v>50</v>
      </c>
      <c r="D4812" s="5">
        <f t="shared" si="150"/>
        <v>110.71</v>
      </c>
      <c r="E4812">
        <v>121.53</v>
      </c>
      <c r="F4812" s="1789">
        <v>8.8999999999999996E-2</v>
      </c>
      <c r="G4812">
        <f t="shared" si="151"/>
        <v>110.71</v>
      </c>
    </row>
    <row r="4813" spans="1:7" ht="12.75" customHeight="1">
      <c r="A4813" s="3">
        <v>4425</v>
      </c>
      <c r="B4813" s="4" t="s">
        <v>4836</v>
      </c>
      <c r="C4813" s="3" t="s">
        <v>50</v>
      </c>
      <c r="D4813" s="5">
        <f t="shared" si="150"/>
        <v>22.73</v>
      </c>
      <c r="E4813">
        <v>24.96</v>
      </c>
      <c r="F4813" s="1789">
        <v>8.8999999999999996E-2</v>
      </c>
      <c r="G4813">
        <f t="shared" si="151"/>
        <v>22.73</v>
      </c>
    </row>
    <row r="4814" spans="1:7" ht="12.75" customHeight="1">
      <c r="A4814" s="3">
        <v>4472</v>
      </c>
      <c r="B4814" s="4" t="s">
        <v>4837</v>
      </c>
      <c r="C4814" s="3" t="s">
        <v>50</v>
      </c>
      <c r="D4814" s="5">
        <f t="shared" si="150"/>
        <v>28.4</v>
      </c>
      <c r="E4814">
        <v>31.18</v>
      </c>
      <c r="F4814" s="1789">
        <v>8.8999999999999996E-2</v>
      </c>
      <c r="G4814">
        <f t="shared" si="151"/>
        <v>28.4</v>
      </c>
    </row>
    <row r="4815" spans="1:7" ht="12.75" customHeight="1">
      <c r="A4815" s="3">
        <v>35272</v>
      </c>
      <c r="B4815" s="4" t="s">
        <v>4838</v>
      </c>
      <c r="C4815" s="3" t="s">
        <v>50</v>
      </c>
      <c r="D4815" s="5">
        <f t="shared" si="150"/>
        <v>41.05</v>
      </c>
      <c r="E4815">
        <v>45.07</v>
      </c>
      <c r="F4815" s="1789">
        <v>8.8999999999999996E-2</v>
      </c>
      <c r="G4815">
        <f t="shared" si="151"/>
        <v>41.05</v>
      </c>
    </row>
    <row r="4816" spans="1:7" ht="12.75" customHeight="1">
      <c r="A4816" s="3">
        <v>4481</v>
      </c>
      <c r="B4816" s="4" t="s">
        <v>4839</v>
      </c>
      <c r="C4816" s="3" t="s">
        <v>50</v>
      </c>
      <c r="D4816" s="5">
        <f t="shared" si="150"/>
        <v>43.94</v>
      </c>
      <c r="E4816">
        <v>48.24</v>
      </c>
      <c r="F4816" s="1789">
        <v>8.8999999999999996E-2</v>
      </c>
      <c r="G4816">
        <f t="shared" si="151"/>
        <v>43.94</v>
      </c>
    </row>
    <row r="4817" spans="1:7" ht="12.75" customHeight="1">
      <c r="A4817" s="3">
        <v>34345</v>
      </c>
      <c r="B4817" s="4" t="s">
        <v>4840</v>
      </c>
      <c r="C4817" s="3" t="s">
        <v>154</v>
      </c>
      <c r="D4817" s="5">
        <f t="shared" si="150"/>
        <v>13.92</v>
      </c>
      <c r="E4817">
        <v>15.28</v>
      </c>
      <c r="F4817" s="1789">
        <v>8.8999999999999996E-2</v>
      </c>
      <c r="G4817">
        <f t="shared" si="151"/>
        <v>13.92</v>
      </c>
    </row>
    <row r="4818" spans="1:7" ht="12.75" customHeight="1">
      <c r="A4818" s="3">
        <v>41096</v>
      </c>
      <c r="B4818" s="4" t="s">
        <v>4841</v>
      </c>
      <c r="C4818" s="3" t="s">
        <v>156</v>
      </c>
      <c r="D4818" s="5">
        <f>G4818</f>
        <v>2452.58</v>
      </c>
      <c r="E4818">
        <v>2692.19</v>
      </c>
      <c r="F4818" s="1789">
        <v>8.8999999999999996E-2</v>
      </c>
      <c r="G4818">
        <f t="shared" si="151"/>
        <v>2452.58</v>
      </c>
    </row>
    <row r="4819" spans="1:7" ht="219.75" customHeight="1">
      <c r="A4819" s="6"/>
      <c r="B4819" s="6"/>
      <c r="C4819" s="6"/>
      <c r="D4819" s="7"/>
    </row>
    <row r="4820" spans="1:7" ht="12.75" customHeight="1">
      <c r="A4820" s="3">
        <v>97141</v>
      </c>
      <c r="B4820" s="4" t="s">
        <v>4842</v>
      </c>
      <c r="C4820" s="3" t="s">
        <v>50</v>
      </c>
      <c r="D4820" s="5">
        <f>G4820</f>
        <v>3.64</v>
      </c>
      <c r="E4820">
        <v>4</v>
      </c>
      <c r="F4820" s="1789">
        <v>8.8999999999999996E-2</v>
      </c>
      <c r="G4820">
        <f>TRUNC((1-F4820)*E4820,2)</f>
        <v>3.64</v>
      </c>
    </row>
    <row r="4821" spans="1:7" ht="12.75" customHeight="1">
      <c r="A4821" s="3">
        <v>97142</v>
      </c>
      <c r="B4821" s="4" t="s">
        <v>4843</v>
      </c>
      <c r="C4821" s="3" t="s">
        <v>50</v>
      </c>
      <c r="D4821" s="5">
        <f t="shared" ref="D4821:D4884" si="152">G4821</f>
        <v>4.1900000000000004</v>
      </c>
      <c r="E4821">
        <v>4.5999999999999996</v>
      </c>
      <c r="F4821" s="1789">
        <v>8.8999999999999996E-2</v>
      </c>
      <c r="G4821">
        <f t="shared" ref="G4821:G4884" si="153">TRUNC((1-F4821)*E4821,2)</f>
        <v>4.1900000000000004</v>
      </c>
    </row>
    <row r="4822" spans="1:7" ht="12.75" customHeight="1">
      <c r="A4822" s="3">
        <v>97143</v>
      </c>
      <c r="B4822" s="4" t="s">
        <v>4844</v>
      </c>
      <c r="C4822" s="3" t="s">
        <v>50</v>
      </c>
      <c r="D4822" s="5">
        <f t="shared" si="152"/>
        <v>5.5</v>
      </c>
      <c r="E4822">
        <v>6.04</v>
      </c>
      <c r="F4822" s="1789">
        <v>8.8999999999999996E-2</v>
      </c>
      <c r="G4822">
        <f t="shared" si="153"/>
        <v>5.5</v>
      </c>
    </row>
    <row r="4823" spans="1:7" ht="12.75" customHeight="1">
      <c r="A4823" s="3">
        <v>97144</v>
      </c>
      <c r="B4823" s="4" t="s">
        <v>4845</v>
      </c>
      <c r="C4823" s="3" t="s">
        <v>50</v>
      </c>
      <c r="D4823" s="5">
        <f t="shared" si="152"/>
        <v>6.83</v>
      </c>
      <c r="E4823">
        <v>7.5</v>
      </c>
      <c r="F4823" s="1789">
        <v>8.8999999999999996E-2</v>
      </c>
      <c r="G4823">
        <f t="shared" si="153"/>
        <v>6.83</v>
      </c>
    </row>
    <row r="4824" spans="1:7" ht="12.75" customHeight="1">
      <c r="A4824" s="3">
        <v>97145</v>
      </c>
      <c r="B4824" s="4" t="s">
        <v>4846</v>
      </c>
      <c r="C4824" s="3" t="s">
        <v>50</v>
      </c>
      <c r="D4824" s="5">
        <f t="shared" si="152"/>
        <v>8.16</v>
      </c>
      <c r="E4824">
        <v>8.9600000000000009</v>
      </c>
      <c r="F4824" s="1789">
        <v>8.8999999999999996E-2</v>
      </c>
      <c r="G4824">
        <f t="shared" si="153"/>
        <v>8.16</v>
      </c>
    </row>
    <row r="4825" spans="1:7" ht="12.75" customHeight="1">
      <c r="A4825" s="3">
        <v>97146</v>
      </c>
      <c r="B4825" s="4" t="s">
        <v>4847</v>
      </c>
      <c r="C4825" s="3" t="s">
        <v>50</v>
      </c>
      <c r="D4825" s="5">
        <f t="shared" si="152"/>
        <v>9.51</v>
      </c>
      <c r="E4825">
        <v>10.44</v>
      </c>
      <c r="F4825" s="1789">
        <v>8.8999999999999996E-2</v>
      </c>
      <c r="G4825">
        <f t="shared" si="153"/>
        <v>9.51</v>
      </c>
    </row>
    <row r="4826" spans="1:7" ht="12.75" customHeight="1">
      <c r="A4826" s="3">
        <v>97147</v>
      </c>
      <c r="B4826" s="4" t="s">
        <v>4848</v>
      </c>
      <c r="C4826" s="3" t="s">
        <v>50</v>
      </c>
      <c r="D4826" s="5">
        <f t="shared" si="152"/>
        <v>10.86</v>
      </c>
      <c r="E4826">
        <v>11.93</v>
      </c>
      <c r="F4826" s="1789">
        <v>8.8999999999999996E-2</v>
      </c>
      <c r="G4826">
        <f t="shared" si="153"/>
        <v>10.86</v>
      </c>
    </row>
    <row r="4827" spans="1:7" ht="12.75" customHeight="1">
      <c r="A4827" s="3">
        <v>97148</v>
      </c>
      <c r="B4827" s="4" t="s">
        <v>4849</v>
      </c>
      <c r="C4827" s="3" t="s">
        <v>50</v>
      </c>
      <c r="D4827" s="5">
        <f t="shared" si="152"/>
        <v>12.2</v>
      </c>
      <c r="E4827">
        <v>13.4</v>
      </c>
      <c r="F4827" s="1789">
        <v>8.8999999999999996E-2</v>
      </c>
      <c r="G4827">
        <f t="shared" si="153"/>
        <v>12.2</v>
      </c>
    </row>
    <row r="4828" spans="1:7" ht="12.75" customHeight="1">
      <c r="A4828" s="3">
        <v>97149</v>
      </c>
      <c r="B4828" s="4" t="s">
        <v>4850</v>
      </c>
      <c r="C4828" s="3" t="s">
        <v>50</v>
      </c>
      <c r="D4828" s="5">
        <f t="shared" si="152"/>
        <v>13.58</v>
      </c>
      <c r="E4828">
        <v>14.91</v>
      </c>
      <c r="F4828" s="1789">
        <v>8.8999999999999996E-2</v>
      </c>
      <c r="G4828">
        <f t="shared" si="153"/>
        <v>13.58</v>
      </c>
    </row>
    <row r="4829" spans="1:7" ht="12.75" customHeight="1">
      <c r="A4829" s="3">
        <v>97150</v>
      </c>
      <c r="B4829" s="4" t="s">
        <v>4851</v>
      </c>
      <c r="C4829" s="3" t="s">
        <v>50</v>
      </c>
      <c r="D4829" s="5">
        <f t="shared" si="152"/>
        <v>17.97</v>
      </c>
      <c r="E4829">
        <v>19.73</v>
      </c>
      <c r="F4829" s="1789">
        <v>8.8999999999999996E-2</v>
      </c>
      <c r="G4829">
        <f t="shared" si="153"/>
        <v>17.97</v>
      </c>
    </row>
    <row r="4830" spans="1:7" ht="12.75" customHeight="1">
      <c r="A4830" s="3">
        <v>97151</v>
      </c>
      <c r="B4830" s="4" t="s">
        <v>4852</v>
      </c>
      <c r="C4830" s="3" t="s">
        <v>50</v>
      </c>
      <c r="D4830" s="5">
        <f t="shared" si="152"/>
        <v>21.16</v>
      </c>
      <c r="E4830">
        <v>23.23</v>
      </c>
      <c r="F4830" s="1789">
        <v>8.8999999999999996E-2</v>
      </c>
      <c r="G4830">
        <f t="shared" si="153"/>
        <v>21.16</v>
      </c>
    </row>
    <row r="4831" spans="1:7" ht="12.75" customHeight="1">
      <c r="A4831" s="3">
        <v>97152</v>
      </c>
      <c r="B4831" s="4" t="s">
        <v>4853</v>
      </c>
      <c r="C4831" s="3" t="s">
        <v>50</v>
      </c>
      <c r="D4831" s="5">
        <f t="shared" si="152"/>
        <v>24.07</v>
      </c>
      <c r="E4831">
        <v>26.43</v>
      </c>
      <c r="F4831" s="1789">
        <v>8.8999999999999996E-2</v>
      </c>
      <c r="G4831">
        <f t="shared" si="153"/>
        <v>24.07</v>
      </c>
    </row>
    <row r="4832" spans="1:7" ht="12.75" customHeight="1">
      <c r="A4832" s="3">
        <v>97153</v>
      </c>
      <c r="B4832" s="4" t="s">
        <v>4854</v>
      </c>
      <c r="C4832" s="3" t="s">
        <v>50</v>
      </c>
      <c r="D4832" s="5">
        <f t="shared" si="152"/>
        <v>27.17</v>
      </c>
      <c r="E4832">
        <v>29.83</v>
      </c>
      <c r="F4832" s="1789">
        <v>8.8999999999999996E-2</v>
      </c>
      <c r="G4832">
        <f t="shared" si="153"/>
        <v>27.17</v>
      </c>
    </row>
    <row r="4833" spans="1:7" ht="12.75" customHeight="1">
      <c r="A4833" s="3">
        <v>97154</v>
      </c>
      <c r="B4833" s="4" t="s">
        <v>4855</v>
      </c>
      <c r="C4833" s="3" t="s">
        <v>50</v>
      </c>
      <c r="D4833" s="5">
        <f t="shared" si="152"/>
        <v>30.3</v>
      </c>
      <c r="E4833">
        <v>33.270000000000003</v>
      </c>
      <c r="F4833" s="1789">
        <v>8.8999999999999996E-2</v>
      </c>
      <c r="G4833">
        <f t="shared" si="153"/>
        <v>30.3</v>
      </c>
    </row>
    <row r="4834" spans="1:7" ht="12.75" customHeight="1">
      <c r="A4834" s="3">
        <v>97155</v>
      </c>
      <c r="B4834" s="4" t="s">
        <v>4856</v>
      </c>
      <c r="C4834" s="3" t="s">
        <v>50</v>
      </c>
      <c r="D4834" s="5">
        <f t="shared" si="152"/>
        <v>33.44</v>
      </c>
      <c r="E4834">
        <v>36.71</v>
      </c>
      <c r="F4834" s="1789">
        <v>8.8999999999999996E-2</v>
      </c>
      <c r="G4834">
        <f t="shared" si="153"/>
        <v>33.44</v>
      </c>
    </row>
    <row r="4835" spans="1:7" ht="12.75" customHeight="1">
      <c r="A4835" s="3">
        <v>97156</v>
      </c>
      <c r="B4835" s="4" t="s">
        <v>4857</v>
      </c>
      <c r="C4835" s="3" t="s">
        <v>50</v>
      </c>
      <c r="D4835" s="5">
        <f t="shared" si="152"/>
        <v>40.15</v>
      </c>
      <c r="E4835">
        <v>44.08</v>
      </c>
      <c r="F4835" s="1789">
        <v>8.8999999999999996E-2</v>
      </c>
      <c r="G4835">
        <f t="shared" si="153"/>
        <v>40.15</v>
      </c>
    </row>
    <row r="4836" spans="1:7" ht="12.75" customHeight="1">
      <c r="A4836" s="3">
        <v>97157</v>
      </c>
      <c r="B4836" s="4" t="s">
        <v>4858</v>
      </c>
      <c r="C4836" s="3" t="s">
        <v>50</v>
      </c>
      <c r="D4836" s="5">
        <f t="shared" si="152"/>
        <v>2.76</v>
      </c>
      <c r="E4836">
        <v>3.04</v>
      </c>
      <c r="F4836" s="1789">
        <v>8.8999999999999996E-2</v>
      </c>
      <c r="G4836">
        <f t="shared" si="153"/>
        <v>2.76</v>
      </c>
    </row>
    <row r="4837" spans="1:7" ht="12.75" customHeight="1">
      <c r="A4837" s="3">
        <v>97158</v>
      </c>
      <c r="B4837" s="4" t="s">
        <v>4859</v>
      </c>
      <c r="C4837" s="3" t="s">
        <v>50</v>
      </c>
      <c r="D4837" s="5">
        <f t="shared" si="152"/>
        <v>3.22</v>
      </c>
      <c r="E4837">
        <v>3.54</v>
      </c>
      <c r="F4837" s="1789">
        <v>8.8999999999999996E-2</v>
      </c>
      <c r="G4837">
        <f t="shared" si="153"/>
        <v>3.22</v>
      </c>
    </row>
    <row r="4838" spans="1:7" ht="12.75" customHeight="1">
      <c r="A4838" s="3">
        <v>97159</v>
      </c>
      <c r="B4838" s="4" t="s">
        <v>4860</v>
      </c>
      <c r="C4838" s="3" t="s">
        <v>50</v>
      </c>
      <c r="D4838" s="5">
        <f t="shared" si="152"/>
        <v>4.3</v>
      </c>
      <c r="E4838">
        <v>4.7300000000000004</v>
      </c>
      <c r="F4838" s="1789">
        <v>8.8999999999999996E-2</v>
      </c>
      <c r="G4838">
        <f t="shared" si="153"/>
        <v>4.3</v>
      </c>
    </row>
    <row r="4839" spans="1:7" ht="12.75" customHeight="1">
      <c r="A4839" s="3">
        <v>97160</v>
      </c>
      <c r="B4839" s="4" t="s">
        <v>4861</v>
      </c>
      <c r="C4839" s="3" t="s">
        <v>50</v>
      </c>
      <c r="D4839" s="5">
        <f t="shared" si="152"/>
        <v>5.4</v>
      </c>
      <c r="E4839">
        <v>5.93</v>
      </c>
      <c r="F4839" s="1789">
        <v>8.8999999999999996E-2</v>
      </c>
      <c r="G4839">
        <f t="shared" si="153"/>
        <v>5.4</v>
      </c>
    </row>
    <row r="4840" spans="1:7" ht="12.75" customHeight="1">
      <c r="A4840" s="3">
        <v>97161</v>
      </c>
      <c r="B4840" s="4" t="s">
        <v>4862</v>
      </c>
      <c r="C4840" s="3" t="s">
        <v>50</v>
      </c>
      <c r="D4840" s="5">
        <f t="shared" si="152"/>
        <v>6.5</v>
      </c>
      <c r="E4840">
        <v>7.14</v>
      </c>
      <c r="F4840" s="1789">
        <v>8.8999999999999996E-2</v>
      </c>
      <c r="G4840">
        <f t="shared" si="153"/>
        <v>6.5</v>
      </c>
    </row>
    <row r="4841" spans="1:7" ht="12.75" customHeight="1">
      <c r="A4841" s="3">
        <v>97162</v>
      </c>
      <c r="B4841" s="4" t="s">
        <v>4863</v>
      </c>
      <c r="C4841" s="3" t="s">
        <v>50</v>
      </c>
      <c r="D4841" s="5">
        <f t="shared" si="152"/>
        <v>7.61</v>
      </c>
      <c r="E4841">
        <v>8.36</v>
      </c>
      <c r="F4841" s="1789">
        <v>8.8999999999999996E-2</v>
      </c>
      <c r="G4841">
        <f t="shared" si="153"/>
        <v>7.61</v>
      </c>
    </row>
    <row r="4842" spans="1:7" ht="12.75" customHeight="1">
      <c r="A4842" s="3">
        <v>97163</v>
      </c>
      <c r="B4842" s="4" t="s">
        <v>4864</v>
      </c>
      <c r="C4842" s="3" t="s">
        <v>50</v>
      </c>
      <c r="D4842" s="5">
        <f t="shared" si="152"/>
        <v>8.7200000000000006</v>
      </c>
      <c r="E4842">
        <v>9.58</v>
      </c>
      <c r="F4842" s="1789">
        <v>8.8999999999999996E-2</v>
      </c>
      <c r="G4842">
        <f t="shared" si="153"/>
        <v>8.7200000000000006</v>
      </c>
    </row>
    <row r="4843" spans="1:7" ht="12.75" customHeight="1">
      <c r="A4843" s="3">
        <v>97164</v>
      </c>
      <c r="B4843" s="4" t="s">
        <v>4865</v>
      </c>
      <c r="C4843" s="3" t="s">
        <v>50</v>
      </c>
      <c r="D4843" s="5">
        <f t="shared" si="152"/>
        <v>9.85</v>
      </c>
      <c r="E4843">
        <v>10.82</v>
      </c>
      <c r="F4843" s="1789">
        <v>8.8999999999999996E-2</v>
      </c>
      <c r="G4843">
        <f t="shared" si="153"/>
        <v>9.85</v>
      </c>
    </row>
    <row r="4844" spans="1:7" ht="12.75" customHeight="1">
      <c r="A4844" s="3">
        <v>97165</v>
      </c>
      <c r="B4844" s="4" t="s">
        <v>4866</v>
      </c>
      <c r="C4844" s="3" t="s">
        <v>50</v>
      </c>
      <c r="D4844" s="5">
        <f t="shared" si="152"/>
        <v>10.99</v>
      </c>
      <c r="E4844">
        <v>12.07</v>
      </c>
      <c r="F4844" s="1789">
        <v>8.8999999999999996E-2</v>
      </c>
      <c r="G4844">
        <f t="shared" si="153"/>
        <v>10.99</v>
      </c>
    </row>
    <row r="4845" spans="1:7" ht="12.75" customHeight="1">
      <c r="A4845" s="3">
        <v>97166</v>
      </c>
      <c r="B4845" s="4" t="s">
        <v>4867</v>
      </c>
      <c r="C4845" s="3" t="s">
        <v>50</v>
      </c>
      <c r="D4845" s="5">
        <f t="shared" si="152"/>
        <v>14.15</v>
      </c>
      <c r="E4845">
        <v>15.54</v>
      </c>
      <c r="F4845" s="1789">
        <v>8.8999999999999996E-2</v>
      </c>
      <c r="G4845">
        <f t="shared" si="153"/>
        <v>14.15</v>
      </c>
    </row>
    <row r="4846" spans="1:7" ht="12.75" customHeight="1">
      <c r="A4846" s="3">
        <v>97167</v>
      </c>
      <c r="B4846" s="4" t="s">
        <v>4868</v>
      </c>
      <c r="C4846" s="3" t="s">
        <v>50</v>
      </c>
      <c r="D4846" s="5">
        <f t="shared" si="152"/>
        <v>16.73</v>
      </c>
      <c r="E4846">
        <v>18.37</v>
      </c>
      <c r="F4846" s="1789">
        <v>8.8999999999999996E-2</v>
      </c>
      <c r="G4846">
        <f t="shared" si="153"/>
        <v>16.73</v>
      </c>
    </row>
    <row r="4847" spans="1:7" ht="12.75" customHeight="1">
      <c r="A4847" s="3">
        <v>97168</v>
      </c>
      <c r="B4847" s="4" t="s">
        <v>4869</v>
      </c>
      <c r="C4847" s="3" t="s">
        <v>50</v>
      </c>
      <c r="D4847" s="5">
        <f t="shared" si="152"/>
        <v>19.03</v>
      </c>
      <c r="E4847">
        <v>20.9</v>
      </c>
      <c r="F4847" s="1789">
        <v>8.8999999999999996E-2</v>
      </c>
      <c r="G4847">
        <f t="shared" si="153"/>
        <v>19.03</v>
      </c>
    </row>
    <row r="4848" spans="1:7" ht="12.75" customHeight="1">
      <c r="A4848" s="3">
        <v>97169</v>
      </c>
      <c r="B4848" s="4" t="s">
        <v>4870</v>
      </c>
      <c r="C4848" s="3" t="s">
        <v>50</v>
      </c>
      <c r="D4848" s="5">
        <f t="shared" si="152"/>
        <v>21.51</v>
      </c>
      <c r="E4848">
        <v>23.62</v>
      </c>
      <c r="F4848" s="1789">
        <v>8.8999999999999996E-2</v>
      </c>
      <c r="G4848">
        <f t="shared" si="153"/>
        <v>21.51</v>
      </c>
    </row>
    <row r="4849" spans="1:7" ht="12.75" customHeight="1">
      <c r="A4849" s="3">
        <v>97170</v>
      </c>
      <c r="B4849" s="4" t="s">
        <v>4871</v>
      </c>
      <c r="C4849" s="3" t="s">
        <v>50</v>
      </c>
      <c r="D4849" s="5">
        <f t="shared" si="152"/>
        <v>24.03</v>
      </c>
      <c r="E4849">
        <v>26.38</v>
      </c>
      <c r="F4849" s="1789">
        <v>8.8999999999999996E-2</v>
      </c>
      <c r="G4849">
        <f t="shared" si="153"/>
        <v>24.03</v>
      </c>
    </row>
    <row r="4850" spans="1:7" ht="12.75" customHeight="1">
      <c r="A4850" s="3">
        <v>97171</v>
      </c>
      <c r="B4850" s="4" t="s">
        <v>4872</v>
      </c>
      <c r="C4850" s="3" t="s">
        <v>50</v>
      </c>
      <c r="D4850" s="5">
        <f t="shared" si="152"/>
        <v>26.54</v>
      </c>
      <c r="E4850">
        <v>29.14</v>
      </c>
      <c r="F4850" s="1789">
        <v>8.8999999999999996E-2</v>
      </c>
      <c r="G4850">
        <f t="shared" si="153"/>
        <v>26.54</v>
      </c>
    </row>
    <row r="4851" spans="1:7" ht="12.75" customHeight="1">
      <c r="A4851" s="3">
        <v>97172</v>
      </c>
      <c r="B4851" s="4" t="s">
        <v>4873</v>
      </c>
      <c r="C4851" s="3" t="s">
        <v>50</v>
      </c>
      <c r="D4851" s="5">
        <f t="shared" si="152"/>
        <v>32.04</v>
      </c>
      <c r="E4851">
        <v>35.18</v>
      </c>
      <c r="F4851" s="1789">
        <v>8.8999999999999996E-2</v>
      </c>
      <c r="G4851">
        <f t="shared" si="153"/>
        <v>32.04</v>
      </c>
    </row>
    <row r="4852" spans="1:7" ht="12.75" customHeight="1">
      <c r="A4852" s="3">
        <v>105249</v>
      </c>
      <c r="B4852" s="4" t="s">
        <v>4874</v>
      </c>
      <c r="C4852" s="3" t="s">
        <v>6</v>
      </c>
      <c r="D4852" s="5">
        <f t="shared" si="152"/>
        <v>91.65</v>
      </c>
      <c r="E4852">
        <v>100.61</v>
      </c>
      <c r="F4852" s="1789">
        <v>8.8999999999999996E-2</v>
      </c>
      <c r="G4852">
        <f t="shared" si="153"/>
        <v>91.65</v>
      </c>
    </row>
    <row r="4853" spans="1:7" ht="12.75" customHeight="1">
      <c r="A4853" s="3">
        <v>105250</v>
      </c>
      <c r="B4853" s="4" t="s">
        <v>4875</v>
      </c>
      <c r="C4853" s="3" t="s">
        <v>6</v>
      </c>
      <c r="D4853" s="5">
        <f t="shared" si="152"/>
        <v>11.65</v>
      </c>
      <c r="E4853">
        <v>12.79</v>
      </c>
      <c r="F4853" s="1789">
        <v>8.8999999999999996E-2</v>
      </c>
      <c r="G4853">
        <f t="shared" si="153"/>
        <v>11.65</v>
      </c>
    </row>
    <row r="4854" spans="1:7" ht="12.75" customHeight="1">
      <c r="A4854" s="3">
        <v>105251</v>
      </c>
      <c r="B4854" s="4" t="s">
        <v>4876</v>
      </c>
      <c r="C4854" s="3" t="s">
        <v>6</v>
      </c>
      <c r="D4854" s="5">
        <f t="shared" si="152"/>
        <v>13.36</v>
      </c>
      <c r="E4854">
        <v>14.67</v>
      </c>
      <c r="F4854" s="1789">
        <v>8.8999999999999996E-2</v>
      </c>
      <c r="G4854">
        <f t="shared" si="153"/>
        <v>13.36</v>
      </c>
    </row>
    <row r="4855" spans="1:7" ht="12.75" customHeight="1">
      <c r="A4855" s="3">
        <v>105252</v>
      </c>
      <c r="B4855" s="4" t="s">
        <v>4877</v>
      </c>
      <c r="C4855" s="3" t="s">
        <v>6</v>
      </c>
      <c r="D4855" s="5">
        <f t="shared" si="152"/>
        <v>17.559999999999999</v>
      </c>
      <c r="E4855">
        <v>19.28</v>
      </c>
      <c r="F4855" s="1789">
        <v>8.8999999999999996E-2</v>
      </c>
      <c r="G4855">
        <f t="shared" si="153"/>
        <v>17.559999999999999</v>
      </c>
    </row>
    <row r="4856" spans="1:7" ht="12.75" customHeight="1">
      <c r="A4856" s="3">
        <v>105253</v>
      </c>
      <c r="B4856" s="4" t="s">
        <v>4878</v>
      </c>
      <c r="C4856" s="3" t="s">
        <v>6</v>
      </c>
      <c r="D4856" s="5">
        <f t="shared" si="152"/>
        <v>21.77</v>
      </c>
      <c r="E4856">
        <v>23.9</v>
      </c>
      <c r="F4856" s="1789">
        <v>8.8999999999999996E-2</v>
      </c>
      <c r="G4856">
        <f t="shared" si="153"/>
        <v>21.77</v>
      </c>
    </row>
    <row r="4857" spans="1:7" ht="12.75" customHeight="1">
      <c r="A4857" s="3">
        <v>105254</v>
      </c>
      <c r="B4857" s="4" t="s">
        <v>4879</v>
      </c>
      <c r="C4857" s="3" t="s">
        <v>6</v>
      </c>
      <c r="D4857" s="5">
        <f t="shared" si="152"/>
        <v>26.15</v>
      </c>
      <c r="E4857">
        <v>28.71</v>
      </c>
      <c r="F4857" s="1789">
        <v>8.8999999999999996E-2</v>
      </c>
      <c r="G4857">
        <f t="shared" si="153"/>
        <v>26.15</v>
      </c>
    </row>
    <row r="4858" spans="1:7" ht="12.75" customHeight="1">
      <c r="A4858" s="3">
        <v>105255</v>
      </c>
      <c r="B4858" s="4" t="s">
        <v>4880</v>
      </c>
      <c r="C4858" s="3" t="s">
        <v>6</v>
      </c>
      <c r="D4858" s="5">
        <f t="shared" si="152"/>
        <v>30.5</v>
      </c>
      <c r="E4858">
        <v>33.49</v>
      </c>
      <c r="F4858" s="1789">
        <v>8.8999999999999996E-2</v>
      </c>
      <c r="G4858">
        <f t="shared" si="153"/>
        <v>30.5</v>
      </c>
    </row>
    <row r="4859" spans="1:7" ht="12.75" customHeight="1">
      <c r="A4859" s="3">
        <v>105256</v>
      </c>
      <c r="B4859" s="4" t="s">
        <v>4881</v>
      </c>
      <c r="C4859" s="3" t="s">
        <v>6</v>
      </c>
      <c r="D4859" s="5">
        <f t="shared" si="152"/>
        <v>34.840000000000003</v>
      </c>
      <c r="E4859">
        <v>38.25</v>
      </c>
      <c r="F4859" s="1789">
        <v>8.8999999999999996E-2</v>
      </c>
      <c r="G4859">
        <f t="shared" si="153"/>
        <v>34.840000000000003</v>
      </c>
    </row>
    <row r="4860" spans="1:7" ht="12.75" customHeight="1">
      <c r="A4860" s="3">
        <v>105257</v>
      </c>
      <c r="B4860" s="4" t="s">
        <v>4882</v>
      </c>
      <c r="C4860" s="3" t="s">
        <v>6</v>
      </c>
      <c r="D4860" s="5">
        <f t="shared" si="152"/>
        <v>39.200000000000003</v>
      </c>
      <c r="E4860">
        <v>43.03</v>
      </c>
      <c r="F4860" s="1789">
        <v>8.8999999999999996E-2</v>
      </c>
      <c r="G4860">
        <f t="shared" si="153"/>
        <v>39.200000000000003</v>
      </c>
    </row>
    <row r="4861" spans="1:7" ht="12.75" customHeight="1">
      <c r="A4861" s="3">
        <v>105258</v>
      </c>
      <c r="B4861" s="4" t="s">
        <v>4883</v>
      </c>
      <c r="C4861" s="3" t="s">
        <v>6</v>
      </c>
      <c r="D4861" s="5">
        <f t="shared" si="152"/>
        <v>22.38</v>
      </c>
      <c r="E4861">
        <v>24.57</v>
      </c>
      <c r="F4861" s="1789">
        <v>8.8999999999999996E-2</v>
      </c>
      <c r="G4861">
        <f t="shared" si="153"/>
        <v>22.38</v>
      </c>
    </row>
    <row r="4862" spans="1:7" ht="12.75" customHeight="1">
      <c r="A4862" s="3">
        <v>105259</v>
      </c>
      <c r="B4862" s="4" t="s">
        <v>4884</v>
      </c>
      <c r="C4862" s="3" t="s">
        <v>6</v>
      </c>
      <c r="D4862" s="5">
        <f t="shared" si="152"/>
        <v>14.5</v>
      </c>
      <c r="E4862">
        <v>15.92</v>
      </c>
      <c r="F4862" s="1789">
        <v>8.8999999999999996E-2</v>
      </c>
      <c r="G4862">
        <f t="shared" si="153"/>
        <v>14.5</v>
      </c>
    </row>
    <row r="4863" spans="1:7" ht="12.75" customHeight="1">
      <c r="A4863" s="3">
        <v>105261</v>
      </c>
      <c r="B4863" s="4" t="s">
        <v>4885</v>
      </c>
      <c r="C4863" s="3" t="s">
        <v>6</v>
      </c>
      <c r="D4863" s="5">
        <f t="shared" si="152"/>
        <v>25.07</v>
      </c>
      <c r="E4863">
        <v>27.52</v>
      </c>
      <c r="F4863" s="1789">
        <v>8.8999999999999996E-2</v>
      </c>
      <c r="G4863">
        <f t="shared" si="153"/>
        <v>25.07</v>
      </c>
    </row>
    <row r="4864" spans="1:7" ht="12.75" customHeight="1">
      <c r="A4864" s="3">
        <v>105262</v>
      </c>
      <c r="B4864" s="4" t="s">
        <v>4886</v>
      </c>
      <c r="C4864" s="3" t="s">
        <v>6</v>
      </c>
      <c r="D4864" s="5">
        <f t="shared" si="152"/>
        <v>31.88</v>
      </c>
      <c r="E4864">
        <v>35</v>
      </c>
      <c r="F4864" s="1789">
        <v>8.8999999999999996E-2</v>
      </c>
      <c r="G4864">
        <f t="shared" si="153"/>
        <v>31.88</v>
      </c>
    </row>
    <row r="4865" spans="1:7" ht="12.75" customHeight="1">
      <c r="A4865" s="3">
        <v>105263</v>
      </c>
      <c r="B4865" s="4" t="s">
        <v>4887</v>
      </c>
      <c r="C4865" s="3" t="s">
        <v>6</v>
      </c>
      <c r="D4865" s="5">
        <f t="shared" si="152"/>
        <v>37.909999999999997</v>
      </c>
      <c r="E4865">
        <v>41.62</v>
      </c>
      <c r="F4865" s="1789">
        <v>8.8999999999999996E-2</v>
      </c>
      <c r="G4865">
        <f t="shared" si="153"/>
        <v>37.909999999999997</v>
      </c>
    </row>
    <row r="4866" spans="1:7" ht="12.75" customHeight="1">
      <c r="A4866" s="3">
        <v>105264</v>
      </c>
      <c r="B4866" s="4" t="s">
        <v>4888</v>
      </c>
      <c r="C4866" s="3" t="s">
        <v>6</v>
      </c>
      <c r="D4866" s="5">
        <f t="shared" si="152"/>
        <v>43.14</v>
      </c>
      <c r="E4866">
        <v>47.36</v>
      </c>
      <c r="F4866" s="1789">
        <v>8.8999999999999996E-2</v>
      </c>
      <c r="G4866">
        <f t="shared" si="153"/>
        <v>43.14</v>
      </c>
    </row>
    <row r="4867" spans="1:7" ht="12.75" customHeight="1">
      <c r="A4867" s="3">
        <v>105265</v>
      </c>
      <c r="B4867" s="4" t="s">
        <v>4889</v>
      </c>
      <c r="C4867" s="3" t="s">
        <v>6</v>
      </c>
      <c r="D4867" s="5">
        <f t="shared" si="152"/>
        <v>48.66</v>
      </c>
      <c r="E4867">
        <v>53.42</v>
      </c>
      <c r="F4867" s="1789">
        <v>8.8999999999999996E-2</v>
      </c>
      <c r="G4867">
        <f t="shared" si="153"/>
        <v>48.66</v>
      </c>
    </row>
    <row r="4868" spans="1:7" ht="12.75" customHeight="1">
      <c r="A4868" s="3">
        <v>105266</v>
      </c>
      <c r="B4868" s="4" t="s">
        <v>4890</v>
      </c>
      <c r="C4868" s="3" t="s">
        <v>6</v>
      </c>
      <c r="D4868" s="5">
        <f t="shared" si="152"/>
        <v>54.4</v>
      </c>
      <c r="E4868">
        <v>59.72</v>
      </c>
      <c r="F4868" s="1789">
        <v>8.8999999999999996E-2</v>
      </c>
      <c r="G4868">
        <f t="shared" si="153"/>
        <v>54.4</v>
      </c>
    </row>
    <row r="4869" spans="1:7" ht="12.75" customHeight="1">
      <c r="A4869" s="3">
        <v>105267</v>
      </c>
      <c r="B4869" s="4" t="s">
        <v>4891</v>
      </c>
      <c r="C4869" s="3" t="s">
        <v>6</v>
      </c>
      <c r="D4869" s="5">
        <f t="shared" si="152"/>
        <v>60.26</v>
      </c>
      <c r="E4869">
        <v>66.150000000000006</v>
      </c>
      <c r="F4869" s="1789">
        <v>8.8999999999999996E-2</v>
      </c>
      <c r="G4869">
        <f t="shared" si="153"/>
        <v>60.26</v>
      </c>
    </row>
    <row r="4870" spans="1:7" ht="12.75" customHeight="1">
      <c r="A4870" s="3">
        <v>105268</v>
      </c>
      <c r="B4870" s="4" t="s">
        <v>4892</v>
      </c>
      <c r="C4870" s="3" t="s">
        <v>6</v>
      </c>
      <c r="D4870" s="5">
        <f t="shared" si="152"/>
        <v>75.010000000000005</v>
      </c>
      <c r="E4870">
        <v>82.34</v>
      </c>
      <c r="F4870" s="1789">
        <v>8.8999999999999996E-2</v>
      </c>
      <c r="G4870">
        <f t="shared" si="153"/>
        <v>75.010000000000005</v>
      </c>
    </row>
    <row r="4871" spans="1:7" ht="12.75" customHeight="1">
      <c r="A4871" s="3">
        <v>105269</v>
      </c>
      <c r="B4871" s="4" t="s">
        <v>4893</v>
      </c>
      <c r="C4871" s="3" t="s">
        <v>6</v>
      </c>
      <c r="D4871" s="5">
        <f t="shared" si="152"/>
        <v>8.9600000000000009</v>
      </c>
      <c r="E4871">
        <v>9.84</v>
      </c>
      <c r="F4871" s="1789">
        <v>8.8999999999999996E-2</v>
      </c>
      <c r="G4871">
        <f t="shared" si="153"/>
        <v>8.9600000000000009</v>
      </c>
    </row>
    <row r="4872" spans="1:7" ht="12.75" customHeight="1">
      <c r="A4872" s="3">
        <v>105270</v>
      </c>
      <c r="B4872" s="4" t="s">
        <v>4894</v>
      </c>
      <c r="C4872" s="3" t="s">
        <v>6</v>
      </c>
      <c r="D4872" s="5">
        <f t="shared" si="152"/>
        <v>43.68</v>
      </c>
      <c r="E4872">
        <v>47.95</v>
      </c>
      <c r="F4872" s="1789">
        <v>8.8999999999999996E-2</v>
      </c>
      <c r="G4872">
        <f t="shared" si="153"/>
        <v>43.68</v>
      </c>
    </row>
    <row r="4873" spans="1:7" ht="12.75" customHeight="1">
      <c r="A4873" s="3">
        <v>105271</v>
      </c>
      <c r="B4873" s="4" t="s">
        <v>4895</v>
      </c>
      <c r="C4873" s="3" t="s">
        <v>6</v>
      </c>
      <c r="D4873" s="5">
        <f t="shared" si="152"/>
        <v>57.41</v>
      </c>
      <c r="E4873">
        <v>63.02</v>
      </c>
      <c r="F4873" s="1789">
        <v>8.8999999999999996E-2</v>
      </c>
      <c r="G4873">
        <f t="shared" si="153"/>
        <v>57.41</v>
      </c>
    </row>
    <row r="4874" spans="1:7" ht="12.75" customHeight="1">
      <c r="A4874" s="3">
        <v>105272</v>
      </c>
      <c r="B4874" s="4" t="s">
        <v>4896</v>
      </c>
      <c r="C4874" s="3" t="s">
        <v>6</v>
      </c>
      <c r="D4874" s="5">
        <f t="shared" si="152"/>
        <v>67.790000000000006</v>
      </c>
      <c r="E4874">
        <v>74.42</v>
      </c>
      <c r="F4874" s="1789">
        <v>8.8999999999999996E-2</v>
      </c>
      <c r="G4874">
        <f t="shared" si="153"/>
        <v>67.790000000000006</v>
      </c>
    </row>
    <row r="4875" spans="1:7" ht="12.75" customHeight="1">
      <c r="A4875" s="3">
        <v>105273</v>
      </c>
      <c r="B4875" s="4" t="s">
        <v>4897</v>
      </c>
      <c r="C4875" s="3" t="s">
        <v>6</v>
      </c>
      <c r="D4875" s="5">
        <f t="shared" si="152"/>
        <v>77.349999999999994</v>
      </c>
      <c r="E4875">
        <v>84.91</v>
      </c>
      <c r="F4875" s="1789">
        <v>8.8999999999999996E-2</v>
      </c>
      <c r="G4875">
        <f t="shared" si="153"/>
        <v>77.349999999999994</v>
      </c>
    </row>
    <row r="4876" spans="1:7" ht="12.75" customHeight="1">
      <c r="A4876" s="3">
        <v>105274</v>
      </c>
      <c r="B4876" s="4" t="s">
        <v>4898</v>
      </c>
      <c r="C4876" s="3" t="s">
        <v>6</v>
      </c>
      <c r="D4876" s="5">
        <f t="shared" si="152"/>
        <v>87.21</v>
      </c>
      <c r="E4876">
        <v>95.74</v>
      </c>
      <c r="F4876" s="1789">
        <v>8.8999999999999996E-2</v>
      </c>
      <c r="G4876">
        <f t="shared" si="153"/>
        <v>87.21</v>
      </c>
    </row>
    <row r="4877" spans="1:7" ht="12.75" customHeight="1">
      <c r="A4877" s="3">
        <v>105275</v>
      </c>
      <c r="B4877" s="4" t="s">
        <v>4899</v>
      </c>
      <c r="C4877" s="3" t="s">
        <v>6</v>
      </c>
      <c r="D4877" s="5">
        <f t="shared" si="152"/>
        <v>97.29</v>
      </c>
      <c r="E4877">
        <v>106.8</v>
      </c>
      <c r="F4877" s="1789">
        <v>8.8999999999999996E-2</v>
      </c>
      <c r="G4877">
        <f t="shared" si="153"/>
        <v>97.29</v>
      </c>
    </row>
    <row r="4878" spans="1:7" ht="12.75" customHeight="1">
      <c r="A4878" s="3">
        <v>105276</v>
      </c>
      <c r="B4878" s="4" t="s">
        <v>4900</v>
      </c>
      <c r="C4878" s="3" t="s">
        <v>6</v>
      </c>
      <c r="D4878" s="5">
        <f t="shared" si="152"/>
        <v>107.49</v>
      </c>
      <c r="E4878">
        <v>118</v>
      </c>
      <c r="F4878" s="1789">
        <v>8.8999999999999996E-2</v>
      </c>
      <c r="G4878">
        <f t="shared" si="153"/>
        <v>107.49</v>
      </c>
    </row>
    <row r="4879" spans="1:7" ht="12.75" customHeight="1">
      <c r="A4879" s="3">
        <v>105277</v>
      </c>
      <c r="B4879" s="4" t="s">
        <v>4901</v>
      </c>
      <c r="C4879" s="3" t="s">
        <v>6</v>
      </c>
      <c r="D4879" s="5">
        <f t="shared" si="152"/>
        <v>130.91999999999999</v>
      </c>
      <c r="E4879">
        <v>143.72</v>
      </c>
      <c r="F4879" s="1789">
        <v>8.8999999999999996E-2</v>
      </c>
      <c r="G4879">
        <f t="shared" si="153"/>
        <v>130.91999999999999</v>
      </c>
    </row>
    <row r="4880" spans="1:7" ht="12.75" customHeight="1">
      <c r="A4880" s="3">
        <v>105278</v>
      </c>
      <c r="B4880" s="4" t="s">
        <v>4902</v>
      </c>
      <c r="C4880" s="3" t="s">
        <v>6</v>
      </c>
      <c r="D4880" s="5">
        <f t="shared" si="152"/>
        <v>16.059999999999999</v>
      </c>
      <c r="E4880">
        <v>17.63</v>
      </c>
      <c r="F4880" s="1789">
        <v>8.8999999999999996E-2</v>
      </c>
      <c r="G4880">
        <f t="shared" si="153"/>
        <v>16.059999999999999</v>
      </c>
    </row>
    <row r="4881" spans="1:7" ht="12.75" customHeight="1">
      <c r="A4881" s="3">
        <v>105279</v>
      </c>
      <c r="B4881" s="4" t="s">
        <v>4903</v>
      </c>
      <c r="C4881" s="3" t="s">
        <v>6</v>
      </c>
      <c r="D4881" s="5">
        <f t="shared" si="152"/>
        <v>18.45</v>
      </c>
      <c r="E4881">
        <v>20.260000000000002</v>
      </c>
      <c r="F4881" s="1789">
        <v>8.8999999999999996E-2</v>
      </c>
      <c r="G4881">
        <f t="shared" si="153"/>
        <v>18.45</v>
      </c>
    </row>
    <row r="4882" spans="1:7" ht="12.75" customHeight="1">
      <c r="A4882" s="3">
        <v>105280</v>
      </c>
      <c r="B4882" s="4" t="s">
        <v>4904</v>
      </c>
      <c r="C4882" s="3" t="s">
        <v>6</v>
      </c>
      <c r="D4882" s="5">
        <f t="shared" si="152"/>
        <v>24.25</v>
      </c>
      <c r="E4882">
        <v>26.62</v>
      </c>
      <c r="F4882" s="1789">
        <v>8.8999999999999996E-2</v>
      </c>
      <c r="G4882">
        <f t="shared" si="153"/>
        <v>24.25</v>
      </c>
    </row>
    <row r="4883" spans="1:7" ht="12.75" customHeight="1">
      <c r="A4883" s="3">
        <v>105281</v>
      </c>
      <c r="B4883" s="4" t="s">
        <v>4905</v>
      </c>
      <c r="C4883" s="3" t="s">
        <v>6</v>
      </c>
      <c r="D4883" s="5">
        <f t="shared" si="152"/>
        <v>30.05</v>
      </c>
      <c r="E4883">
        <v>32.99</v>
      </c>
      <c r="F4883" s="1789">
        <v>8.8999999999999996E-2</v>
      </c>
      <c r="G4883">
        <f t="shared" si="153"/>
        <v>30.05</v>
      </c>
    </row>
    <row r="4884" spans="1:7" ht="12.75" customHeight="1">
      <c r="A4884" s="3">
        <v>105282</v>
      </c>
      <c r="B4884" s="4" t="s">
        <v>4906</v>
      </c>
      <c r="C4884" s="3" t="s">
        <v>6</v>
      </c>
      <c r="D4884" s="5">
        <f t="shared" si="152"/>
        <v>10.39</v>
      </c>
      <c r="E4884">
        <v>11.41</v>
      </c>
      <c r="F4884" s="1789">
        <v>8.8999999999999996E-2</v>
      </c>
      <c r="G4884">
        <f t="shared" si="153"/>
        <v>10.39</v>
      </c>
    </row>
    <row r="4885" spans="1:7" ht="12.75" customHeight="1">
      <c r="A4885" s="3">
        <v>105283</v>
      </c>
      <c r="B4885" s="4" t="s">
        <v>4907</v>
      </c>
      <c r="C4885" s="3" t="s">
        <v>6</v>
      </c>
      <c r="D4885" s="5">
        <f t="shared" ref="D4885:D4948" si="154">G4885</f>
        <v>19.34</v>
      </c>
      <c r="E4885">
        <v>21.23</v>
      </c>
      <c r="F4885" s="1789">
        <v>8.8999999999999996E-2</v>
      </c>
      <c r="G4885">
        <f t="shared" ref="G4885:G4948" si="155">TRUNC((1-F4885)*E4885,2)</f>
        <v>19.34</v>
      </c>
    </row>
    <row r="4886" spans="1:7" ht="12.75" customHeight="1">
      <c r="A4886" s="3">
        <v>105284</v>
      </c>
      <c r="B4886" s="4" t="s">
        <v>4908</v>
      </c>
      <c r="C4886" s="3" t="s">
        <v>6</v>
      </c>
      <c r="D4886" s="5">
        <f t="shared" si="154"/>
        <v>36.17</v>
      </c>
      <c r="E4886">
        <v>39.71</v>
      </c>
      <c r="F4886" s="1789">
        <v>8.8999999999999996E-2</v>
      </c>
      <c r="G4886">
        <f t="shared" si="155"/>
        <v>36.17</v>
      </c>
    </row>
    <row r="4887" spans="1:7" ht="12.75" customHeight="1">
      <c r="A4887" s="3">
        <v>105297</v>
      </c>
      <c r="B4887" s="4" t="s">
        <v>4909</v>
      </c>
      <c r="C4887" s="3" t="s">
        <v>6</v>
      </c>
      <c r="D4887" s="5">
        <f t="shared" si="154"/>
        <v>8.01</v>
      </c>
      <c r="E4887">
        <v>8.8000000000000007</v>
      </c>
      <c r="F4887" s="1789">
        <v>8.8999999999999996E-2</v>
      </c>
      <c r="G4887">
        <f t="shared" si="155"/>
        <v>8.01</v>
      </c>
    </row>
    <row r="4888" spans="1:7" ht="12.75" customHeight="1">
      <c r="A4888" s="3">
        <v>105298</v>
      </c>
      <c r="B4888" s="4" t="s">
        <v>4910</v>
      </c>
      <c r="C4888" s="3" t="s">
        <v>6</v>
      </c>
      <c r="D4888" s="5">
        <f t="shared" si="154"/>
        <v>13.87</v>
      </c>
      <c r="E4888">
        <v>15.23</v>
      </c>
      <c r="F4888" s="1789">
        <v>8.8999999999999996E-2</v>
      </c>
      <c r="G4888">
        <f t="shared" si="155"/>
        <v>13.87</v>
      </c>
    </row>
    <row r="4889" spans="1:7" ht="12.75" customHeight="1">
      <c r="A4889" s="3">
        <v>105299</v>
      </c>
      <c r="B4889" s="4" t="s">
        <v>4911</v>
      </c>
      <c r="C4889" s="3" t="s">
        <v>6</v>
      </c>
      <c r="D4889" s="5">
        <f t="shared" si="154"/>
        <v>17.37</v>
      </c>
      <c r="E4889">
        <v>19.07</v>
      </c>
      <c r="F4889" s="1789">
        <v>8.8999999999999996E-2</v>
      </c>
      <c r="G4889">
        <f t="shared" si="155"/>
        <v>17.37</v>
      </c>
    </row>
    <row r="4890" spans="1:7" ht="12.75" customHeight="1">
      <c r="A4890" s="3">
        <v>105300</v>
      </c>
      <c r="B4890" s="4" t="s">
        <v>4912</v>
      </c>
      <c r="C4890" s="3" t="s">
        <v>6</v>
      </c>
      <c r="D4890" s="5">
        <f t="shared" si="154"/>
        <v>21.02</v>
      </c>
      <c r="E4890">
        <v>23.08</v>
      </c>
      <c r="F4890" s="1789">
        <v>8.8999999999999996E-2</v>
      </c>
      <c r="G4890">
        <f t="shared" si="155"/>
        <v>21.02</v>
      </c>
    </row>
    <row r="4891" spans="1:7" ht="12.75" customHeight="1">
      <c r="A4891" s="3">
        <v>105301</v>
      </c>
      <c r="B4891" s="4" t="s">
        <v>4913</v>
      </c>
      <c r="C4891" s="3" t="s">
        <v>6</v>
      </c>
      <c r="D4891" s="5">
        <f t="shared" si="154"/>
        <v>24.66</v>
      </c>
      <c r="E4891">
        <v>27.07</v>
      </c>
      <c r="F4891" s="1789">
        <v>8.8999999999999996E-2</v>
      </c>
      <c r="G4891">
        <f t="shared" si="155"/>
        <v>24.66</v>
      </c>
    </row>
    <row r="4892" spans="1:7" ht="12.75" customHeight="1">
      <c r="A4892" s="3">
        <v>105302</v>
      </c>
      <c r="B4892" s="4" t="s">
        <v>4914</v>
      </c>
      <c r="C4892" s="3" t="s">
        <v>6</v>
      </c>
      <c r="D4892" s="5">
        <f t="shared" si="154"/>
        <v>28.3</v>
      </c>
      <c r="E4892">
        <v>31.07</v>
      </c>
      <c r="F4892" s="1789">
        <v>8.8999999999999996E-2</v>
      </c>
      <c r="G4892">
        <f t="shared" si="155"/>
        <v>28.3</v>
      </c>
    </row>
    <row r="4893" spans="1:7" ht="12.75" customHeight="1">
      <c r="A4893" s="3">
        <v>105303</v>
      </c>
      <c r="B4893" s="4" t="s">
        <v>4915</v>
      </c>
      <c r="C4893" s="3" t="s">
        <v>6</v>
      </c>
      <c r="D4893" s="5">
        <f t="shared" si="154"/>
        <v>31.93</v>
      </c>
      <c r="E4893">
        <v>35.06</v>
      </c>
      <c r="F4893" s="1789">
        <v>8.8999999999999996E-2</v>
      </c>
      <c r="G4893">
        <f t="shared" si="155"/>
        <v>31.93</v>
      </c>
    </row>
    <row r="4894" spans="1:7" ht="12.75" customHeight="1">
      <c r="A4894" s="3">
        <v>105304</v>
      </c>
      <c r="B4894" s="4" t="s">
        <v>4916</v>
      </c>
      <c r="C4894" s="3" t="s">
        <v>6</v>
      </c>
      <c r="D4894" s="5">
        <f t="shared" si="154"/>
        <v>35.71</v>
      </c>
      <c r="E4894">
        <v>39.200000000000003</v>
      </c>
      <c r="F4894" s="1789">
        <v>8.8999999999999996E-2</v>
      </c>
      <c r="G4894">
        <f t="shared" si="155"/>
        <v>35.71</v>
      </c>
    </row>
    <row r="4895" spans="1:7" ht="12.75" customHeight="1">
      <c r="A4895" s="3">
        <v>105305</v>
      </c>
      <c r="B4895" s="4" t="s">
        <v>4917</v>
      </c>
      <c r="C4895" s="3" t="s">
        <v>6</v>
      </c>
      <c r="D4895" s="5">
        <f t="shared" si="154"/>
        <v>45.67</v>
      </c>
      <c r="E4895">
        <v>50.14</v>
      </c>
      <c r="F4895" s="1789">
        <v>8.8999999999999996E-2</v>
      </c>
      <c r="G4895">
        <f t="shared" si="155"/>
        <v>45.67</v>
      </c>
    </row>
    <row r="4896" spans="1:7" ht="12.75" customHeight="1">
      <c r="A4896" s="3">
        <v>105306</v>
      </c>
      <c r="B4896" s="4" t="s">
        <v>4918</v>
      </c>
      <c r="C4896" s="3" t="s">
        <v>6</v>
      </c>
      <c r="D4896" s="5">
        <f t="shared" si="154"/>
        <v>54.15</v>
      </c>
      <c r="E4896">
        <v>59.45</v>
      </c>
      <c r="F4896" s="1789">
        <v>8.8999999999999996E-2</v>
      </c>
      <c r="G4896">
        <f t="shared" si="155"/>
        <v>54.15</v>
      </c>
    </row>
    <row r="4897" spans="1:7" ht="12.75" customHeight="1">
      <c r="A4897" s="3">
        <v>105307</v>
      </c>
      <c r="B4897" s="4" t="s">
        <v>4919</v>
      </c>
      <c r="C4897" s="3" t="s">
        <v>6</v>
      </c>
      <c r="D4897" s="5">
        <f t="shared" si="154"/>
        <v>61.83</v>
      </c>
      <c r="E4897">
        <v>67.88</v>
      </c>
      <c r="F4897" s="1789">
        <v>8.8999999999999996E-2</v>
      </c>
      <c r="G4897">
        <f t="shared" si="155"/>
        <v>61.83</v>
      </c>
    </row>
    <row r="4898" spans="1:7" ht="12.75" customHeight="1">
      <c r="A4898" s="3">
        <v>105317</v>
      </c>
      <c r="B4898" s="4" t="s">
        <v>4920</v>
      </c>
      <c r="C4898" s="3" t="s">
        <v>6</v>
      </c>
      <c r="D4898" s="5">
        <f t="shared" si="154"/>
        <v>17.23</v>
      </c>
      <c r="E4898">
        <v>18.920000000000002</v>
      </c>
      <c r="F4898" s="1789">
        <v>8.8999999999999996E-2</v>
      </c>
      <c r="G4898">
        <f t="shared" si="155"/>
        <v>17.23</v>
      </c>
    </row>
    <row r="4899" spans="1:7" ht="12.75" customHeight="1">
      <c r="A4899" s="3">
        <v>105318</v>
      </c>
      <c r="B4899" s="4" t="s">
        <v>4921</v>
      </c>
      <c r="C4899" s="3" t="s">
        <v>6</v>
      </c>
      <c r="D4899" s="5">
        <f t="shared" si="154"/>
        <v>19.8</v>
      </c>
      <c r="E4899">
        <v>21.74</v>
      </c>
      <c r="F4899" s="1789">
        <v>8.8999999999999996E-2</v>
      </c>
      <c r="G4899">
        <f t="shared" si="155"/>
        <v>19.8</v>
      </c>
    </row>
    <row r="4900" spans="1:7" ht="12.75" customHeight="1">
      <c r="A4900" s="3">
        <v>105319</v>
      </c>
      <c r="B4900" s="4" t="s">
        <v>4922</v>
      </c>
      <c r="C4900" s="3" t="s">
        <v>6</v>
      </c>
      <c r="D4900" s="5">
        <f t="shared" si="154"/>
        <v>24.18</v>
      </c>
      <c r="E4900">
        <v>26.55</v>
      </c>
      <c r="F4900" s="1789">
        <v>8.8999999999999996E-2</v>
      </c>
      <c r="G4900">
        <f t="shared" si="155"/>
        <v>24.18</v>
      </c>
    </row>
    <row r="4901" spans="1:7" ht="12.75" customHeight="1">
      <c r="A4901" s="3">
        <v>105320</v>
      </c>
      <c r="B4901" s="4" t="s">
        <v>4923</v>
      </c>
      <c r="C4901" s="3" t="s">
        <v>6</v>
      </c>
      <c r="D4901" s="5">
        <f t="shared" si="154"/>
        <v>29.36</v>
      </c>
      <c r="E4901">
        <v>32.229999999999997</v>
      </c>
      <c r="F4901" s="1789">
        <v>8.8999999999999996E-2</v>
      </c>
      <c r="G4901">
        <f t="shared" si="155"/>
        <v>29.36</v>
      </c>
    </row>
    <row r="4902" spans="1:7" ht="12.75" customHeight="1">
      <c r="A4902" s="3">
        <v>105321</v>
      </c>
      <c r="B4902" s="4" t="s">
        <v>4924</v>
      </c>
      <c r="C4902" s="3" t="s">
        <v>6</v>
      </c>
      <c r="D4902" s="5">
        <f t="shared" si="154"/>
        <v>34.49</v>
      </c>
      <c r="E4902">
        <v>37.869999999999997</v>
      </c>
      <c r="F4902" s="1789">
        <v>8.8999999999999996E-2</v>
      </c>
      <c r="G4902">
        <f t="shared" si="155"/>
        <v>34.49</v>
      </c>
    </row>
    <row r="4903" spans="1:7" ht="12.75" customHeight="1">
      <c r="A4903" s="3">
        <v>105322</v>
      </c>
      <c r="B4903" s="4" t="s">
        <v>4925</v>
      </c>
      <c r="C4903" s="3" t="s">
        <v>6</v>
      </c>
      <c r="D4903" s="5">
        <f t="shared" si="154"/>
        <v>39.619999999999997</v>
      </c>
      <c r="E4903">
        <v>43.5</v>
      </c>
      <c r="F4903" s="1789">
        <v>8.8999999999999996E-2</v>
      </c>
      <c r="G4903">
        <f t="shared" si="155"/>
        <v>39.619999999999997</v>
      </c>
    </row>
    <row r="4904" spans="1:7" ht="12.75" customHeight="1">
      <c r="A4904" s="3">
        <v>105323</v>
      </c>
      <c r="B4904" s="4" t="s">
        <v>4926</v>
      </c>
      <c r="C4904" s="3" t="s">
        <v>6</v>
      </c>
      <c r="D4904" s="5">
        <f t="shared" si="154"/>
        <v>44.75</v>
      </c>
      <c r="E4904">
        <v>49.13</v>
      </c>
      <c r="F4904" s="1789">
        <v>8.8999999999999996E-2</v>
      </c>
      <c r="G4904">
        <f t="shared" si="155"/>
        <v>44.75</v>
      </c>
    </row>
    <row r="4905" spans="1:7" ht="12.75" customHeight="1">
      <c r="A4905" s="3">
        <v>105324</v>
      </c>
      <c r="B4905" s="4" t="s">
        <v>4927</v>
      </c>
      <c r="C4905" s="3" t="s">
        <v>6</v>
      </c>
      <c r="D4905" s="5">
        <f t="shared" si="154"/>
        <v>50.16</v>
      </c>
      <c r="E4905">
        <v>55.07</v>
      </c>
      <c r="F4905" s="1789">
        <v>8.8999999999999996E-2</v>
      </c>
      <c r="G4905">
        <f t="shared" si="155"/>
        <v>50.16</v>
      </c>
    </row>
    <row r="4906" spans="1:7" ht="12.75" customHeight="1">
      <c r="A4906" s="3">
        <v>105325</v>
      </c>
      <c r="B4906" s="4" t="s">
        <v>4928</v>
      </c>
      <c r="C4906" s="3" t="s">
        <v>6</v>
      </c>
      <c r="D4906" s="5">
        <f t="shared" si="154"/>
        <v>63.77</v>
      </c>
      <c r="E4906">
        <v>70.010000000000005</v>
      </c>
      <c r="F4906" s="1789">
        <v>8.8999999999999996E-2</v>
      </c>
      <c r="G4906">
        <f t="shared" si="155"/>
        <v>63.77</v>
      </c>
    </row>
    <row r="4907" spans="1:7" ht="12.75" customHeight="1">
      <c r="A4907" s="3">
        <v>105326</v>
      </c>
      <c r="B4907" s="4" t="s">
        <v>4929</v>
      </c>
      <c r="C4907" s="3" t="s">
        <v>6</v>
      </c>
      <c r="D4907" s="5">
        <f t="shared" si="154"/>
        <v>75.84</v>
      </c>
      <c r="E4907">
        <v>83.25</v>
      </c>
      <c r="F4907" s="1789">
        <v>8.8999999999999996E-2</v>
      </c>
      <c r="G4907">
        <f t="shared" si="155"/>
        <v>75.84</v>
      </c>
    </row>
    <row r="4908" spans="1:7" ht="12.75" customHeight="1">
      <c r="A4908" s="3">
        <v>105340</v>
      </c>
      <c r="B4908" s="4" t="s">
        <v>4930</v>
      </c>
      <c r="C4908" s="3" t="s">
        <v>6</v>
      </c>
      <c r="D4908" s="5">
        <f t="shared" si="154"/>
        <v>69.8</v>
      </c>
      <c r="E4908">
        <v>76.63</v>
      </c>
      <c r="F4908" s="1789">
        <v>8.8999999999999996E-2</v>
      </c>
      <c r="G4908">
        <f t="shared" si="155"/>
        <v>69.8</v>
      </c>
    </row>
    <row r="4909" spans="1:7" ht="12.75" customHeight="1">
      <c r="A4909" s="3">
        <v>105341</v>
      </c>
      <c r="B4909" s="4" t="s">
        <v>4931</v>
      </c>
      <c r="C4909" s="3" t="s">
        <v>6</v>
      </c>
      <c r="D4909" s="5">
        <f t="shared" si="154"/>
        <v>86.32</v>
      </c>
      <c r="E4909">
        <v>94.76</v>
      </c>
      <c r="F4909" s="1789">
        <v>8.8999999999999996E-2</v>
      </c>
      <c r="G4909">
        <f t="shared" si="155"/>
        <v>86.32</v>
      </c>
    </row>
    <row r="4910" spans="1:7" ht="12.75" customHeight="1">
      <c r="A4910" s="3">
        <v>105342</v>
      </c>
      <c r="B4910" s="4" t="s">
        <v>4932</v>
      </c>
      <c r="C4910" s="3" t="s">
        <v>6</v>
      </c>
      <c r="D4910" s="5">
        <f t="shared" si="154"/>
        <v>105.96</v>
      </c>
      <c r="E4910">
        <v>116.32</v>
      </c>
      <c r="F4910" s="1789">
        <v>8.8999999999999996E-2</v>
      </c>
      <c r="G4910">
        <f t="shared" si="155"/>
        <v>105.96</v>
      </c>
    </row>
    <row r="4911" spans="1:7" ht="12.75" customHeight="1">
      <c r="A4911" s="3">
        <v>105343</v>
      </c>
      <c r="B4911" s="4" t="s">
        <v>4933</v>
      </c>
      <c r="C4911" s="3" t="s">
        <v>6</v>
      </c>
      <c r="D4911" s="5">
        <f t="shared" si="154"/>
        <v>12.47</v>
      </c>
      <c r="E4911">
        <v>13.69</v>
      </c>
      <c r="F4911" s="1789">
        <v>8.8999999999999996E-2</v>
      </c>
      <c r="G4911">
        <f t="shared" si="155"/>
        <v>12.47</v>
      </c>
    </row>
    <row r="4912" spans="1:7" ht="12.75" customHeight="1">
      <c r="A4912" s="3">
        <v>105344</v>
      </c>
      <c r="B4912" s="4" t="s">
        <v>4934</v>
      </c>
      <c r="C4912" s="3" t="s">
        <v>6</v>
      </c>
      <c r="D4912" s="5">
        <f t="shared" si="154"/>
        <v>86.28</v>
      </c>
      <c r="E4912">
        <v>94.72</v>
      </c>
      <c r="F4912" s="1789">
        <v>8.8999999999999996E-2</v>
      </c>
      <c r="G4912">
        <f t="shared" si="155"/>
        <v>86.28</v>
      </c>
    </row>
    <row r="4913" spans="1:7" ht="12.75" customHeight="1">
      <c r="A4913" s="3">
        <v>105345</v>
      </c>
      <c r="B4913" s="4" t="s">
        <v>4935</v>
      </c>
      <c r="C4913" s="3" t="s">
        <v>6</v>
      </c>
      <c r="D4913" s="5">
        <f t="shared" si="154"/>
        <v>108.81</v>
      </c>
      <c r="E4913">
        <v>119.45</v>
      </c>
      <c r="F4913" s="1789">
        <v>8.8999999999999996E-2</v>
      </c>
      <c r="G4913">
        <f t="shared" si="155"/>
        <v>108.81</v>
      </c>
    </row>
    <row r="4914" spans="1:7" ht="12.75" customHeight="1">
      <c r="A4914" s="3">
        <v>105346</v>
      </c>
      <c r="B4914" s="4" t="s">
        <v>4936</v>
      </c>
      <c r="C4914" s="3" t="s">
        <v>6</v>
      </c>
      <c r="D4914" s="5">
        <f t="shared" si="154"/>
        <v>120.54</v>
      </c>
      <c r="E4914">
        <v>132.32</v>
      </c>
      <c r="F4914" s="1789">
        <v>8.8999999999999996E-2</v>
      </c>
      <c r="G4914">
        <f t="shared" si="155"/>
        <v>120.54</v>
      </c>
    </row>
    <row r="4915" spans="1:7" ht="12.75" customHeight="1">
      <c r="A4915" s="3">
        <v>105347</v>
      </c>
      <c r="B4915" s="4" t="s">
        <v>4937</v>
      </c>
      <c r="C4915" s="3" t="s">
        <v>6</v>
      </c>
      <c r="D4915" s="5">
        <f t="shared" si="154"/>
        <v>150.03</v>
      </c>
      <c r="E4915">
        <v>164.69</v>
      </c>
      <c r="F4915" s="1789">
        <v>8.8999999999999996E-2</v>
      </c>
      <c r="G4915">
        <f t="shared" si="155"/>
        <v>150.03</v>
      </c>
    </row>
    <row r="4916" spans="1:7" ht="12.75" customHeight="1">
      <c r="A4916" s="3">
        <v>105348</v>
      </c>
      <c r="B4916" s="4" t="s">
        <v>4938</v>
      </c>
      <c r="C4916" s="3" t="s">
        <v>6</v>
      </c>
      <c r="D4916" s="5">
        <f t="shared" si="154"/>
        <v>42.27</v>
      </c>
      <c r="E4916">
        <v>46.4</v>
      </c>
      <c r="F4916" s="1789">
        <v>8.8999999999999996E-2</v>
      </c>
      <c r="G4916">
        <f t="shared" si="155"/>
        <v>42.27</v>
      </c>
    </row>
    <row r="4917" spans="1:7" ht="12.75" customHeight="1">
      <c r="A4917" s="3">
        <v>105349</v>
      </c>
      <c r="B4917" s="4" t="s">
        <v>4939</v>
      </c>
      <c r="C4917" s="3" t="s">
        <v>6</v>
      </c>
      <c r="D4917" s="5">
        <f t="shared" si="154"/>
        <v>48.36</v>
      </c>
      <c r="E4917">
        <v>53.09</v>
      </c>
      <c r="F4917" s="1789">
        <v>8.8999999999999996E-2</v>
      </c>
      <c r="G4917">
        <f t="shared" si="155"/>
        <v>48.36</v>
      </c>
    </row>
    <row r="4918" spans="1:7" ht="12.75" customHeight="1">
      <c r="A4918" s="3">
        <v>105350</v>
      </c>
      <c r="B4918" s="4" t="s">
        <v>4940</v>
      </c>
      <c r="C4918" s="3" t="s">
        <v>6</v>
      </c>
      <c r="D4918" s="5">
        <f t="shared" si="154"/>
        <v>54.45</v>
      </c>
      <c r="E4918">
        <v>59.77</v>
      </c>
      <c r="F4918" s="1789">
        <v>8.8999999999999996E-2</v>
      </c>
      <c r="G4918">
        <f t="shared" si="155"/>
        <v>54.45</v>
      </c>
    </row>
    <row r="4919" spans="1:7" ht="12.75" customHeight="1">
      <c r="A4919" s="3">
        <v>105351</v>
      </c>
      <c r="B4919" s="4" t="s">
        <v>4941</v>
      </c>
      <c r="C4919" s="3" t="s">
        <v>6</v>
      </c>
      <c r="D4919" s="5">
        <f t="shared" si="154"/>
        <v>60.8</v>
      </c>
      <c r="E4919">
        <v>66.75</v>
      </c>
      <c r="F4919" s="1789">
        <v>8.8999999999999996E-2</v>
      </c>
      <c r="G4919">
        <f t="shared" si="155"/>
        <v>60.8</v>
      </c>
    </row>
    <row r="4920" spans="1:7" ht="12.75" customHeight="1">
      <c r="A4920" s="3">
        <v>105352</v>
      </c>
      <c r="B4920" s="4" t="s">
        <v>4942</v>
      </c>
      <c r="C4920" s="3" t="s">
        <v>6</v>
      </c>
      <c r="D4920" s="5">
        <f t="shared" si="154"/>
        <v>79.430000000000007</v>
      </c>
      <c r="E4920">
        <v>87.2</v>
      </c>
      <c r="F4920" s="1789">
        <v>8.8999999999999996E-2</v>
      </c>
      <c r="G4920">
        <f t="shared" si="155"/>
        <v>79.430000000000007</v>
      </c>
    </row>
    <row r="4921" spans="1:7" ht="12.75" customHeight="1">
      <c r="A4921" s="3">
        <v>105353</v>
      </c>
      <c r="B4921" s="4" t="s">
        <v>4943</v>
      </c>
      <c r="C4921" s="3" t="s">
        <v>6</v>
      </c>
      <c r="D4921" s="5">
        <f t="shared" si="154"/>
        <v>94.01</v>
      </c>
      <c r="E4921">
        <v>103.2</v>
      </c>
      <c r="F4921" s="1789">
        <v>8.8999999999999996E-2</v>
      </c>
      <c r="G4921">
        <f t="shared" si="155"/>
        <v>94.01</v>
      </c>
    </row>
    <row r="4922" spans="1:7" ht="12.75" customHeight="1">
      <c r="A4922" s="3">
        <v>105354</v>
      </c>
      <c r="B4922" s="4" t="s">
        <v>4944</v>
      </c>
      <c r="C4922" s="3" t="s">
        <v>6</v>
      </c>
      <c r="D4922" s="5">
        <f t="shared" si="154"/>
        <v>106.97</v>
      </c>
      <c r="E4922">
        <v>117.43</v>
      </c>
      <c r="F4922" s="1789">
        <v>8.8999999999999996E-2</v>
      </c>
      <c r="G4922">
        <f t="shared" si="155"/>
        <v>106.97</v>
      </c>
    </row>
    <row r="4923" spans="1:7" ht="12.75" customHeight="1">
      <c r="A4923" s="3">
        <v>105355</v>
      </c>
      <c r="B4923" s="4" t="s">
        <v>4945</v>
      </c>
      <c r="C4923" s="3" t="s">
        <v>6</v>
      </c>
      <c r="D4923" s="5">
        <f t="shared" si="154"/>
        <v>120.54</v>
      </c>
      <c r="E4923">
        <v>132.32</v>
      </c>
      <c r="F4923" s="1789">
        <v>8.8999999999999996E-2</v>
      </c>
      <c r="G4923">
        <f t="shared" si="155"/>
        <v>120.54</v>
      </c>
    </row>
    <row r="4924" spans="1:7" ht="12.75" customHeight="1">
      <c r="A4924" s="3">
        <v>105356</v>
      </c>
      <c r="B4924" s="4" t="s">
        <v>4946</v>
      </c>
      <c r="C4924" s="3" t="s">
        <v>6</v>
      </c>
      <c r="D4924" s="5">
        <f t="shared" si="154"/>
        <v>134.53</v>
      </c>
      <c r="E4924">
        <v>147.68</v>
      </c>
      <c r="F4924" s="1789">
        <v>8.8999999999999996E-2</v>
      </c>
      <c r="G4924">
        <f t="shared" si="155"/>
        <v>134.53</v>
      </c>
    </row>
    <row r="4925" spans="1:7" ht="12.75" customHeight="1">
      <c r="A4925" s="3">
        <v>105357</v>
      </c>
      <c r="B4925" s="4" t="s">
        <v>4947</v>
      </c>
      <c r="C4925" s="3" t="s">
        <v>6</v>
      </c>
      <c r="D4925" s="5">
        <f t="shared" si="154"/>
        <v>148.79</v>
      </c>
      <c r="E4925">
        <v>163.33000000000001</v>
      </c>
      <c r="F4925" s="1789">
        <v>8.8999999999999996E-2</v>
      </c>
      <c r="G4925">
        <f t="shared" si="155"/>
        <v>148.79</v>
      </c>
    </row>
    <row r="4926" spans="1:7" ht="12.75" customHeight="1">
      <c r="A4926" s="3">
        <v>105358</v>
      </c>
      <c r="B4926" s="4" t="s">
        <v>4948</v>
      </c>
      <c r="C4926" s="3" t="s">
        <v>6</v>
      </c>
      <c r="D4926" s="5">
        <f t="shared" si="154"/>
        <v>183.32</v>
      </c>
      <c r="E4926">
        <v>201.23</v>
      </c>
      <c r="F4926" s="1789">
        <v>8.8999999999999996E-2</v>
      </c>
      <c r="G4926">
        <f t="shared" si="155"/>
        <v>183.32</v>
      </c>
    </row>
    <row r="4927" spans="1:7" ht="12.75" customHeight="1">
      <c r="A4927" s="3">
        <v>105369</v>
      </c>
      <c r="B4927" s="4" t="s">
        <v>4949</v>
      </c>
      <c r="C4927" s="3" t="s">
        <v>6</v>
      </c>
      <c r="D4927" s="5">
        <f t="shared" si="154"/>
        <v>58.35</v>
      </c>
      <c r="E4927">
        <v>64.06</v>
      </c>
      <c r="F4927" s="1789">
        <v>8.8999999999999996E-2</v>
      </c>
      <c r="G4927">
        <f t="shared" si="155"/>
        <v>58.35</v>
      </c>
    </row>
    <row r="4928" spans="1:7" ht="12.75" customHeight="1">
      <c r="A4928" s="3">
        <v>105377</v>
      </c>
      <c r="B4928" s="4" t="s">
        <v>4950</v>
      </c>
      <c r="C4928" s="3" t="s">
        <v>6</v>
      </c>
      <c r="D4928" s="5">
        <f t="shared" si="154"/>
        <v>36.880000000000003</v>
      </c>
      <c r="E4928">
        <v>40.49</v>
      </c>
      <c r="F4928" s="1789">
        <v>8.8999999999999996E-2</v>
      </c>
      <c r="G4928">
        <f t="shared" si="155"/>
        <v>36.880000000000003</v>
      </c>
    </row>
    <row r="4929" spans="1:7" ht="12.75" customHeight="1">
      <c r="A4929" s="3">
        <v>105378</v>
      </c>
      <c r="B4929" s="4" t="s">
        <v>4951</v>
      </c>
      <c r="C4929" s="3" t="s">
        <v>6</v>
      </c>
      <c r="D4929" s="5">
        <f t="shared" si="154"/>
        <v>9.2100000000000009</v>
      </c>
      <c r="E4929">
        <v>10.119999999999999</v>
      </c>
      <c r="F4929" s="1789">
        <v>8.8999999999999996E-2</v>
      </c>
      <c r="G4929">
        <f t="shared" si="155"/>
        <v>9.2100000000000009</v>
      </c>
    </row>
    <row r="4930" spans="1:7" ht="12.75" customHeight="1">
      <c r="A4930" s="3">
        <v>105379</v>
      </c>
      <c r="B4930" s="4" t="s">
        <v>4952</v>
      </c>
      <c r="C4930" s="3" t="s">
        <v>6</v>
      </c>
      <c r="D4930" s="5">
        <f t="shared" si="154"/>
        <v>12.1</v>
      </c>
      <c r="E4930">
        <v>13.29</v>
      </c>
      <c r="F4930" s="1789">
        <v>8.8999999999999996E-2</v>
      </c>
      <c r="G4930">
        <f t="shared" si="155"/>
        <v>12.1</v>
      </c>
    </row>
    <row r="4931" spans="1:7" ht="12.75" customHeight="1">
      <c r="A4931" s="3">
        <v>105380</v>
      </c>
      <c r="B4931" s="4" t="s">
        <v>4953</v>
      </c>
      <c r="C4931" s="3" t="s">
        <v>6</v>
      </c>
      <c r="D4931" s="5">
        <f t="shared" si="154"/>
        <v>74.38</v>
      </c>
      <c r="E4931">
        <v>81.650000000000006</v>
      </c>
      <c r="F4931" s="1789">
        <v>8.8999999999999996E-2</v>
      </c>
      <c r="G4931">
        <f t="shared" si="155"/>
        <v>74.38</v>
      </c>
    </row>
    <row r="4932" spans="1:7" ht="12.75" customHeight="1">
      <c r="A4932" s="3">
        <v>105388</v>
      </c>
      <c r="B4932" s="4" t="s">
        <v>4954</v>
      </c>
      <c r="C4932" s="3" t="s">
        <v>6</v>
      </c>
      <c r="D4932" s="5">
        <f t="shared" si="154"/>
        <v>9.65</v>
      </c>
      <c r="E4932">
        <v>10.6</v>
      </c>
      <c r="F4932" s="1789">
        <v>8.8999999999999996E-2</v>
      </c>
      <c r="G4932">
        <f t="shared" si="155"/>
        <v>9.65</v>
      </c>
    </row>
    <row r="4933" spans="1:7" ht="12.75" customHeight="1">
      <c r="A4933" s="3">
        <v>105389</v>
      </c>
      <c r="B4933" s="4" t="s">
        <v>4955</v>
      </c>
      <c r="C4933" s="3" t="s">
        <v>6</v>
      </c>
      <c r="D4933" s="5">
        <f t="shared" si="154"/>
        <v>12.07</v>
      </c>
      <c r="E4933">
        <v>13.26</v>
      </c>
      <c r="F4933" s="1789">
        <v>8.8999999999999996E-2</v>
      </c>
      <c r="G4933">
        <f t="shared" si="155"/>
        <v>12.07</v>
      </c>
    </row>
    <row r="4934" spans="1:7" ht="12.75" customHeight="1">
      <c r="A4934" s="3">
        <v>105390</v>
      </c>
      <c r="B4934" s="4" t="s">
        <v>4956</v>
      </c>
      <c r="C4934" s="3" t="s">
        <v>6</v>
      </c>
      <c r="D4934" s="5">
        <f t="shared" si="154"/>
        <v>78</v>
      </c>
      <c r="E4934">
        <v>85.63</v>
      </c>
      <c r="F4934" s="1789">
        <v>8.8999999999999996E-2</v>
      </c>
      <c r="G4934">
        <f t="shared" si="155"/>
        <v>78</v>
      </c>
    </row>
    <row r="4935" spans="1:7" ht="12.75" customHeight="1">
      <c r="A4935" s="3">
        <v>105391</v>
      </c>
      <c r="B4935" s="4" t="s">
        <v>4957</v>
      </c>
      <c r="C4935" s="3" t="s">
        <v>6</v>
      </c>
      <c r="D4935" s="5">
        <f t="shared" si="154"/>
        <v>97.34</v>
      </c>
      <c r="E4935">
        <v>106.85</v>
      </c>
      <c r="F4935" s="1789">
        <v>8.8999999999999996E-2</v>
      </c>
      <c r="G4935">
        <f t="shared" si="155"/>
        <v>97.34</v>
      </c>
    </row>
    <row r="4936" spans="1:7" ht="12.75" customHeight="1">
      <c r="A4936" s="3">
        <v>105392</v>
      </c>
      <c r="B4936" s="4" t="s">
        <v>4958</v>
      </c>
      <c r="C4936" s="3" t="s">
        <v>6</v>
      </c>
      <c r="D4936" s="5">
        <f t="shared" si="154"/>
        <v>15.01</v>
      </c>
      <c r="E4936">
        <v>16.48</v>
      </c>
      <c r="F4936" s="1789">
        <v>8.8999999999999996E-2</v>
      </c>
      <c r="G4936">
        <f t="shared" si="155"/>
        <v>15.01</v>
      </c>
    </row>
    <row r="4937" spans="1:7" ht="12.75" customHeight="1">
      <c r="A4937" s="3">
        <v>105393</v>
      </c>
      <c r="B4937" s="4" t="s">
        <v>4959</v>
      </c>
      <c r="C4937" s="3" t="s">
        <v>6</v>
      </c>
      <c r="D4937" s="5">
        <f t="shared" si="154"/>
        <v>18.079999999999998</v>
      </c>
      <c r="E4937">
        <v>19.850000000000001</v>
      </c>
      <c r="F4937" s="1789">
        <v>8.8999999999999996E-2</v>
      </c>
      <c r="G4937">
        <f t="shared" si="155"/>
        <v>18.079999999999998</v>
      </c>
    </row>
    <row r="4938" spans="1:7" ht="12.75" customHeight="1">
      <c r="A4938" s="3">
        <v>105394</v>
      </c>
      <c r="B4938" s="4" t="s">
        <v>4960</v>
      </c>
      <c r="C4938" s="3" t="s">
        <v>6</v>
      </c>
      <c r="D4938" s="5">
        <f t="shared" si="154"/>
        <v>21.12</v>
      </c>
      <c r="E4938">
        <v>23.19</v>
      </c>
      <c r="F4938" s="1789">
        <v>8.8999999999999996E-2</v>
      </c>
      <c r="G4938">
        <f t="shared" si="155"/>
        <v>21.12</v>
      </c>
    </row>
    <row r="4939" spans="1:7" ht="12.75" customHeight="1">
      <c r="A4939" s="3">
        <v>105395</v>
      </c>
      <c r="B4939" s="4" t="s">
        <v>4961</v>
      </c>
      <c r="C4939" s="3" t="s">
        <v>6</v>
      </c>
      <c r="D4939" s="5">
        <f t="shared" si="154"/>
        <v>24.16</v>
      </c>
      <c r="E4939">
        <v>26.53</v>
      </c>
      <c r="F4939" s="1789">
        <v>8.8999999999999996E-2</v>
      </c>
      <c r="G4939">
        <f t="shared" si="155"/>
        <v>24.16</v>
      </c>
    </row>
    <row r="4940" spans="1:7" ht="12.75" customHeight="1">
      <c r="A4940" s="3">
        <v>105396</v>
      </c>
      <c r="B4940" s="4" t="s">
        <v>4962</v>
      </c>
      <c r="C4940" s="3" t="s">
        <v>6</v>
      </c>
      <c r="D4940" s="5">
        <f t="shared" si="154"/>
        <v>27.22</v>
      </c>
      <c r="E4940">
        <v>29.88</v>
      </c>
      <c r="F4940" s="1789">
        <v>8.8999999999999996E-2</v>
      </c>
      <c r="G4940">
        <f t="shared" si="155"/>
        <v>27.22</v>
      </c>
    </row>
    <row r="4941" spans="1:7" ht="12.75" customHeight="1">
      <c r="A4941" s="3">
        <v>105397</v>
      </c>
      <c r="B4941" s="4" t="s">
        <v>4963</v>
      </c>
      <c r="C4941" s="3" t="s">
        <v>6</v>
      </c>
      <c r="D4941" s="5">
        <f t="shared" si="154"/>
        <v>30.39</v>
      </c>
      <c r="E4941">
        <v>33.36</v>
      </c>
      <c r="F4941" s="1789">
        <v>8.8999999999999996E-2</v>
      </c>
      <c r="G4941">
        <f t="shared" si="155"/>
        <v>30.39</v>
      </c>
    </row>
    <row r="4942" spans="1:7" ht="12.75" customHeight="1">
      <c r="A4942" s="3">
        <v>105398</v>
      </c>
      <c r="B4942" s="4" t="s">
        <v>4964</v>
      </c>
      <c r="C4942" s="3" t="s">
        <v>6</v>
      </c>
      <c r="D4942" s="5">
        <f t="shared" si="154"/>
        <v>39.71</v>
      </c>
      <c r="E4942">
        <v>43.59</v>
      </c>
      <c r="F4942" s="1789">
        <v>8.8999999999999996E-2</v>
      </c>
      <c r="G4942">
        <f t="shared" si="155"/>
        <v>39.71</v>
      </c>
    </row>
    <row r="4943" spans="1:7" ht="12.75" customHeight="1">
      <c r="A4943" s="3">
        <v>105399</v>
      </c>
      <c r="B4943" s="4" t="s">
        <v>4965</v>
      </c>
      <c r="C4943" s="3" t="s">
        <v>6</v>
      </c>
      <c r="D4943" s="5">
        <f t="shared" si="154"/>
        <v>46.98</v>
      </c>
      <c r="E4943">
        <v>51.58</v>
      </c>
      <c r="F4943" s="1789">
        <v>8.8999999999999996E-2</v>
      </c>
      <c r="G4943">
        <f t="shared" si="155"/>
        <v>46.98</v>
      </c>
    </row>
    <row r="4944" spans="1:7" ht="12.75" customHeight="1">
      <c r="A4944" s="3">
        <v>105400</v>
      </c>
      <c r="B4944" s="4" t="s">
        <v>4966</v>
      </c>
      <c r="C4944" s="3" t="s">
        <v>6</v>
      </c>
      <c r="D4944" s="5">
        <f t="shared" si="154"/>
        <v>53.48</v>
      </c>
      <c r="E4944">
        <v>58.71</v>
      </c>
      <c r="F4944" s="1789">
        <v>8.8999999999999996E-2</v>
      </c>
      <c r="G4944">
        <f t="shared" si="155"/>
        <v>53.48</v>
      </c>
    </row>
    <row r="4945" spans="1:7" ht="12.75" customHeight="1">
      <c r="A4945" s="3">
        <v>105401</v>
      </c>
      <c r="B4945" s="4" t="s">
        <v>4967</v>
      </c>
      <c r="C4945" s="3" t="s">
        <v>6</v>
      </c>
      <c r="D4945" s="5">
        <f t="shared" si="154"/>
        <v>60.26</v>
      </c>
      <c r="E4945">
        <v>66.150000000000006</v>
      </c>
      <c r="F4945" s="1789">
        <v>8.8999999999999996E-2</v>
      </c>
      <c r="G4945">
        <f t="shared" si="155"/>
        <v>60.26</v>
      </c>
    </row>
    <row r="4946" spans="1:7" ht="12.75" customHeight="1">
      <c r="A4946" s="3">
        <v>105402</v>
      </c>
      <c r="B4946" s="4" t="s">
        <v>4968</v>
      </c>
      <c r="C4946" s="3" t="s">
        <v>6</v>
      </c>
      <c r="D4946" s="5">
        <f t="shared" si="154"/>
        <v>67.25</v>
      </c>
      <c r="E4946">
        <v>73.83</v>
      </c>
      <c r="F4946" s="1789">
        <v>8.8999999999999996E-2</v>
      </c>
      <c r="G4946">
        <f t="shared" si="155"/>
        <v>67.25</v>
      </c>
    </row>
    <row r="4947" spans="1:7" ht="12.75" customHeight="1">
      <c r="A4947" s="3">
        <v>97173</v>
      </c>
      <c r="B4947" s="4" t="s">
        <v>4969</v>
      </c>
      <c r="C4947" s="3" t="s">
        <v>50</v>
      </c>
      <c r="D4947" s="5">
        <f t="shared" si="154"/>
        <v>33.659999999999997</v>
      </c>
      <c r="E4947">
        <v>36.950000000000003</v>
      </c>
      <c r="F4947" s="1789">
        <v>8.8999999999999996E-2</v>
      </c>
      <c r="G4947">
        <f t="shared" si="155"/>
        <v>33.659999999999997</v>
      </c>
    </row>
    <row r="4948" spans="1:7" ht="12.75" customHeight="1">
      <c r="A4948" s="3">
        <v>97174</v>
      </c>
      <c r="B4948" s="4" t="s">
        <v>4970</v>
      </c>
      <c r="C4948" s="3" t="s">
        <v>50</v>
      </c>
      <c r="D4948" s="5">
        <f t="shared" si="154"/>
        <v>39.92</v>
      </c>
      <c r="E4948">
        <v>43.83</v>
      </c>
      <c r="F4948" s="1789">
        <v>8.8999999999999996E-2</v>
      </c>
      <c r="G4948">
        <f t="shared" si="155"/>
        <v>39.92</v>
      </c>
    </row>
    <row r="4949" spans="1:7" ht="12.75" customHeight="1">
      <c r="A4949" s="3">
        <v>97175</v>
      </c>
      <c r="B4949" s="4" t="s">
        <v>4971</v>
      </c>
      <c r="C4949" s="3" t="s">
        <v>50</v>
      </c>
      <c r="D4949" s="5">
        <f t="shared" ref="D4949:D5012" si="156">G4949</f>
        <v>46.21</v>
      </c>
      <c r="E4949">
        <v>50.73</v>
      </c>
      <c r="F4949" s="1789">
        <v>8.8999999999999996E-2</v>
      </c>
      <c r="G4949">
        <f t="shared" ref="G4949:G5012" si="157">TRUNC((1-F4949)*E4949,2)</f>
        <v>46.21</v>
      </c>
    </row>
    <row r="4950" spans="1:7" ht="12.75" customHeight="1">
      <c r="A4950" s="3">
        <v>97176</v>
      </c>
      <c r="B4950" s="4" t="s">
        <v>4972</v>
      </c>
      <c r="C4950" s="3" t="s">
        <v>50</v>
      </c>
      <c r="D4950" s="5">
        <f t="shared" si="156"/>
        <v>52.5</v>
      </c>
      <c r="E4950">
        <v>57.63</v>
      </c>
      <c r="F4950" s="1789">
        <v>8.8999999999999996E-2</v>
      </c>
      <c r="G4950">
        <f t="shared" si="157"/>
        <v>52.5</v>
      </c>
    </row>
    <row r="4951" spans="1:7" ht="12.75" customHeight="1">
      <c r="A4951" s="3">
        <v>97177</v>
      </c>
      <c r="B4951" s="4" t="s">
        <v>4973</v>
      </c>
      <c r="C4951" s="3" t="s">
        <v>50</v>
      </c>
      <c r="D4951" s="5">
        <f t="shared" si="156"/>
        <v>58.77</v>
      </c>
      <c r="E4951">
        <v>64.52</v>
      </c>
      <c r="F4951" s="1789">
        <v>8.8999999999999996E-2</v>
      </c>
      <c r="G4951">
        <f t="shared" si="157"/>
        <v>58.77</v>
      </c>
    </row>
    <row r="4952" spans="1:7" ht="12.75" customHeight="1">
      <c r="A4952" s="3">
        <v>97178</v>
      </c>
      <c r="B4952" s="4" t="s">
        <v>4974</v>
      </c>
      <c r="C4952" s="3" t="s">
        <v>50</v>
      </c>
      <c r="D4952" s="5">
        <f t="shared" si="156"/>
        <v>71.33</v>
      </c>
      <c r="E4952">
        <v>78.3</v>
      </c>
      <c r="F4952" s="1789">
        <v>8.8999999999999996E-2</v>
      </c>
      <c r="G4952">
        <f t="shared" si="157"/>
        <v>71.33</v>
      </c>
    </row>
    <row r="4953" spans="1:7" ht="12.75" customHeight="1">
      <c r="A4953" s="3">
        <v>97179</v>
      </c>
      <c r="B4953" s="4" t="s">
        <v>4975</v>
      </c>
      <c r="C4953" s="3" t="s">
        <v>50</v>
      </c>
      <c r="D4953" s="5">
        <f t="shared" si="156"/>
        <v>83.89</v>
      </c>
      <c r="E4953">
        <v>92.09</v>
      </c>
      <c r="F4953" s="1789">
        <v>8.8999999999999996E-2</v>
      </c>
      <c r="G4953">
        <f t="shared" si="157"/>
        <v>83.89</v>
      </c>
    </row>
    <row r="4954" spans="1:7" ht="12.75" customHeight="1">
      <c r="A4954" s="3">
        <v>97180</v>
      </c>
      <c r="B4954" s="4" t="s">
        <v>4976</v>
      </c>
      <c r="C4954" s="3" t="s">
        <v>50</v>
      </c>
      <c r="D4954" s="5">
        <f t="shared" si="156"/>
        <v>96.45</v>
      </c>
      <c r="E4954">
        <v>105.88</v>
      </c>
      <c r="F4954" s="1789">
        <v>8.8999999999999996E-2</v>
      </c>
      <c r="G4954">
        <f t="shared" si="157"/>
        <v>96.45</v>
      </c>
    </row>
    <row r="4955" spans="1:7" ht="12.75" customHeight="1">
      <c r="A4955" s="3">
        <v>97181</v>
      </c>
      <c r="B4955" s="4" t="s">
        <v>4977</v>
      </c>
      <c r="C4955" s="3" t="s">
        <v>50</v>
      </c>
      <c r="D4955" s="5">
        <f t="shared" si="156"/>
        <v>109.01</v>
      </c>
      <c r="E4955">
        <v>119.67</v>
      </c>
      <c r="F4955" s="1789">
        <v>8.8999999999999996E-2</v>
      </c>
      <c r="G4955">
        <f t="shared" si="157"/>
        <v>109.01</v>
      </c>
    </row>
    <row r="4956" spans="1:7" ht="12.75" customHeight="1">
      <c r="A4956" s="3">
        <v>97182</v>
      </c>
      <c r="B4956" s="4" t="s">
        <v>4978</v>
      </c>
      <c r="C4956" s="3" t="s">
        <v>50</v>
      </c>
      <c r="D4956" s="5">
        <f t="shared" si="156"/>
        <v>125.03</v>
      </c>
      <c r="E4956">
        <v>137.25</v>
      </c>
      <c r="F4956" s="1789">
        <v>8.8999999999999996E-2</v>
      </c>
      <c r="G4956">
        <f t="shared" si="157"/>
        <v>125.03</v>
      </c>
    </row>
    <row r="4957" spans="1:7" ht="12.75" customHeight="1">
      <c r="A4957" s="3">
        <v>97183</v>
      </c>
      <c r="B4957" s="4" t="s">
        <v>4979</v>
      </c>
      <c r="C4957" s="3" t="s">
        <v>50</v>
      </c>
      <c r="D4957" s="5">
        <f t="shared" si="156"/>
        <v>30.01</v>
      </c>
      <c r="E4957">
        <v>32.950000000000003</v>
      </c>
      <c r="F4957" s="1789">
        <v>8.8999999999999996E-2</v>
      </c>
      <c r="G4957">
        <f t="shared" si="157"/>
        <v>30.01</v>
      </c>
    </row>
    <row r="4958" spans="1:7" ht="12.75" customHeight="1">
      <c r="A4958" s="3">
        <v>97184</v>
      </c>
      <c r="B4958" s="4" t="s">
        <v>4980</v>
      </c>
      <c r="C4958" s="3" t="s">
        <v>50</v>
      </c>
      <c r="D4958" s="5">
        <f t="shared" si="156"/>
        <v>35.67</v>
      </c>
      <c r="E4958">
        <v>39.159999999999997</v>
      </c>
      <c r="F4958" s="1789">
        <v>8.8999999999999996E-2</v>
      </c>
      <c r="G4958">
        <f t="shared" si="157"/>
        <v>35.67</v>
      </c>
    </row>
    <row r="4959" spans="1:7" ht="12.75" customHeight="1">
      <c r="A4959" s="3">
        <v>97185</v>
      </c>
      <c r="B4959" s="4" t="s">
        <v>4981</v>
      </c>
      <c r="C4959" s="3" t="s">
        <v>50</v>
      </c>
      <c r="D4959" s="5">
        <f t="shared" si="156"/>
        <v>41.35</v>
      </c>
      <c r="E4959">
        <v>45.39</v>
      </c>
      <c r="F4959" s="1789">
        <v>8.8999999999999996E-2</v>
      </c>
      <c r="G4959">
        <f t="shared" si="157"/>
        <v>41.35</v>
      </c>
    </row>
    <row r="4960" spans="1:7" ht="12.75" customHeight="1">
      <c r="A4960" s="3">
        <v>97186</v>
      </c>
      <c r="B4960" s="4" t="s">
        <v>4982</v>
      </c>
      <c r="C4960" s="3" t="s">
        <v>50</v>
      </c>
      <c r="D4960" s="5">
        <f t="shared" si="156"/>
        <v>47.01</v>
      </c>
      <c r="E4960">
        <v>51.61</v>
      </c>
      <c r="F4960" s="1789">
        <v>8.8999999999999996E-2</v>
      </c>
      <c r="G4960">
        <f t="shared" si="157"/>
        <v>47.01</v>
      </c>
    </row>
    <row r="4961" spans="1:7" ht="12.75" customHeight="1">
      <c r="A4961" s="3">
        <v>97187</v>
      </c>
      <c r="B4961" s="4" t="s">
        <v>4983</v>
      </c>
      <c r="C4961" s="3" t="s">
        <v>50</v>
      </c>
      <c r="D4961" s="5">
        <f t="shared" si="156"/>
        <v>52.67</v>
      </c>
      <c r="E4961">
        <v>57.82</v>
      </c>
      <c r="F4961" s="1789">
        <v>8.8999999999999996E-2</v>
      </c>
      <c r="G4961">
        <f t="shared" si="157"/>
        <v>52.67</v>
      </c>
    </row>
    <row r="4962" spans="1:7" ht="12.75" customHeight="1">
      <c r="A4962" s="3">
        <v>97188</v>
      </c>
      <c r="B4962" s="4" t="s">
        <v>4984</v>
      </c>
      <c r="C4962" s="3" t="s">
        <v>50</v>
      </c>
      <c r="D4962" s="5">
        <f t="shared" si="156"/>
        <v>64.010000000000005</v>
      </c>
      <c r="E4962">
        <v>70.27</v>
      </c>
      <c r="F4962" s="1789">
        <v>8.8999999999999996E-2</v>
      </c>
      <c r="G4962">
        <f t="shared" si="157"/>
        <v>64.010000000000005</v>
      </c>
    </row>
    <row r="4963" spans="1:7" ht="12.75" customHeight="1">
      <c r="A4963" s="3">
        <v>97189</v>
      </c>
      <c r="B4963" s="4" t="s">
        <v>4985</v>
      </c>
      <c r="C4963" s="3" t="s">
        <v>50</v>
      </c>
      <c r="D4963" s="5">
        <f t="shared" si="156"/>
        <v>75.34</v>
      </c>
      <c r="E4963">
        <v>82.71</v>
      </c>
      <c r="F4963" s="1789">
        <v>8.8999999999999996E-2</v>
      </c>
      <c r="G4963">
        <f t="shared" si="157"/>
        <v>75.34</v>
      </c>
    </row>
    <row r="4964" spans="1:7" ht="12.75" customHeight="1">
      <c r="A4964" s="3">
        <v>97190</v>
      </c>
      <c r="B4964" s="4" t="s">
        <v>4986</v>
      </c>
      <c r="C4964" s="3" t="s">
        <v>50</v>
      </c>
      <c r="D4964" s="5">
        <f t="shared" si="156"/>
        <v>86.68</v>
      </c>
      <c r="E4964">
        <v>95.15</v>
      </c>
      <c r="F4964" s="1789">
        <v>8.8999999999999996E-2</v>
      </c>
      <c r="G4964">
        <f t="shared" si="157"/>
        <v>86.68</v>
      </c>
    </row>
    <row r="4965" spans="1:7" ht="12.75" customHeight="1">
      <c r="A4965" s="3">
        <v>97191</v>
      </c>
      <c r="B4965" s="4" t="s">
        <v>4987</v>
      </c>
      <c r="C4965" s="3" t="s">
        <v>50</v>
      </c>
      <c r="D4965" s="5">
        <f t="shared" si="156"/>
        <v>98</v>
      </c>
      <c r="E4965">
        <v>107.58</v>
      </c>
      <c r="F4965" s="1789">
        <v>8.8999999999999996E-2</v>
      </c>
      <c r="G4965">
        <f t="shared" si="157"/>
        <v>98</v>
      </c>
    </row>
    <row r="4966" spans="1:7" ht="12.75" customHeight="1">
      <c r="A4966" s="3">
        <v>97192</v>
      </c>
      <c r="B4966" s="4" t="s">
        <v>4988</v>
      </c>
      <c r="C4966" s="3" t="s">
        <v>50</v>
      </c>
      <c r="D4966" s="5">
        <f t="shared" si="156"/>
        <v>112.04</v>
      </c>
      <c r="E4966">
        <v>122.99</v>
      </c>
      <c r="F4966" s="1789">
        <v>8.8999999999999996E-2</v>
      </c>
      <c r="G4966">
        <f t="shared" si="157"/>
        <v>112.04</v>
      </c>
    </row>
    <row r="4967" spans="1:7" ht="12.75" customHeight="1">
      <c r="A4967" s="3">
        <v>90694</v>
      </c>
      <c r="B4967" s="4" t="s">
        <v>4989</v>
      </c>
      <c r="C4967" s="3" t="s">
        <v>50</v>
      </c>
      <c r="D4967" s="5">
        <f t="shared" si="156"/>
        <v>38.369999999999997</v>
      </c>
      <c r="E4967">
        <v>42.12</v>
      </c>
      <c r="F4967" s="1789">
        <v>8.8999999999999996E-2</v>
      </c>
      <c r="G4967">
        <f t="shared" si="157"/>
        <v>38.369999999999997</v>
      </c>
    </row>
    <row r="4968" spans="1:7" ht="12.75" customHeight="1">
      <c r="A4968" s="3">
        <v>90695</v>
      </c>
      <c r="B4968" s="4" t="s">
        <v>4990</v>
      </c>
      <c r="C4968" s="3" t="s">
        <v>50</v>
      </c>
      <c r="D4968" s="5">
        <f t="shared" si="156"/>
        <v>73.25</v>
      </c>
      <c r="E4968">
        <v>80.41</v>
      </c>
      <c r="F4968" s="1789">
        <v>8.8999999999999996E-2</v>
      </c>
      <c r="G4968">
        <f t="shared" si="157"/>
        <v>73.25</v>
      </c>
    </row>
    <row r="4969" spans="1:7" ht="12.75" customHeight="1">
      <c r="A4969" s="3">
        <v>90696</v>
      </c>
      <c r="B4969" s="4" t="s">
        <v>4991</v>
      </c>
      <c r="C4969" s="3" t="s">
        <v>50</v>
      </c>
      <c r="D4969" s="5">
        <f t="shared" si="156"/>
        <v>122.64</v>
      </c>
      <c r="E4969">
        <v>134.63</v>
      </c>
      <c r="F4969" s="1789">
        <v>8.8999999999999996E-2</v>
      </c>
      <c r="G4969">
        <f t="shared" si="157"/>
        <v>122.64</v>
      </c>
    </row>
    <row r="4970" spans="1:7" ht="12.75" customHeight="1">
      <c r="A4970" s="3">
        <v>90697</v>
      </c>
      <c r="B4970" s="4" t="s">
        <v>4992</v>
      </c>
      <c r="C4970" s="3" t="s">
        <v>50</v>
      </c>
      <c r="D4970" s="5">
        <f t="shared" si="156"/>
        <v>190.53</v>
      </c>
      <c r="E4970">
        <v>209.15</v>
      </c>
      <c r="F4970" s="1789">
        <v>8.8999999999999996E-2</v>
      </c>
      <c r="G4970">
        <f t="shared" si="157"/>
        <v>190.53</v>
      </c>
    </row>
    <row r="4971" spans="1:7" ht="12.75" customHeight="1">
      <c r="A4971" s="3">
        <v>90698</v>
      </c>
      <c r="B4971" s="4" t="s">
        <v>4993</v>
      </c>
      <c r="C4971" s="3" t="s">
        <v>50</v>
      </c>
      <c r="D4971" s="5">
        <f t="shared" si="156"/>
        <v>291.52</v>
      </c>
      <c r="E4971">
        <v>320.01</v>
      </c>
      <c r="F4971" s="1789">
        <v>8.8999999999999996E-2</v>
      </c>
      <c r="G4971">
        <f t="shared" si="157"/>
        <v>291.52</v>
      </c>
    </row>
    <row r="4972" spans="1:7" ht="12.75" customHeight="1">
      <c r="A4972" s="3">
        <v>90699</v>
      </c>
      <c r="B4972" s="4" t="s">
        <v>4994</v>
      </c>
      <c r="C4972" s="3" t="s">
        <v>50</v>
      </c>
      <c r="D4972" s="5">
        <f t="shared" si="156"/>
        <v>410.56</v>
      </c>
      <c r="E4972">
        <v>450.67</v>
      </c>
      <c r="F4972" s="1789">
        <v>8.8999999999999996E-2</v>
      </c>
      <c r="G4972">
        <f t="shared" si="157"/>
        <v>410.56</v>
      </c>
    </row>
    <row r="4973" spans="1:7" ht="12.75" customHeight="1">
      <c r="A4973" s="3">
        <v>90700</v>
      </c>
      <c r="B4973" s="4" t="s">
        <v>4995</v>
      </c>
      <c r="C4973" s="3" t="s">
        <v>50</v>
      </c>
      <c r="D4973" s="5">
        <f t="shared" si="156"/>
        <v>479.96</v>
      </c>
      <c r="E4973">
        <v>526.85</v>
      </c>
      <c r="F4973" s="1789">
        <v>8.8999999999999996E-2</v>
      </c>
      <c r="G4973">
        <f t="shared" si="157"/>
        <v>479.96</v>
      </c>
    </row>
    <row r="4974" spans="1:7" ht="12.75" customHeight="1">
      <c r="A4974" s="3">
        <v>90701</v>
      </c>
      <c r="B4974" s="4" t="s">
        <v>4996</v>
      </c>
      <c r="C4974" s="3" t="s">
        <v>50</v>
      </c>
      <c r="D4974" s="5">
        <f t="shared" si="156"/>
        <v>57.62</v>
      </c>
      <c r="E4974">
        <v>63.26</v>
      </c>
      <c r="F4974" s="1789">
        <v>8.8999999999999996E-2</v>
      </c>
      <c r="G4974">
        <f t="shared" si="157"/>
        <v>57.62</v>
      </c>
    </row>
    <row r="4975" spans="1:7" ht="12.75" customHeight="1">
      <c r="A4975" s="3">
        <v>90702</v>
      </c>
      <c r="B4975" s="4" t="s">
        <v>4997</v>
      </c>
      <c r="C4975" s="3" t="s">
        <v>50</v>
      </c>
      <c r="D4975" s="5">
        <f t="shared" si="156"/>
        <v>95.69</v>
      </c>
      <c r="E4975">
        <v>105.04</v>
      </c>
      <c r="F4975" s="1789">
        <v>8.8999999999999996E-2</v>
      </c>
      <c r="G4975">
        <f t="shared" si="157"/>
        <v>95.69</v>
      </c>
    </row>
    <row r="4976" spans="1:7" ht="12.75" customHeight="1">
      <c r="A4976" s="3">
        <v>90703</v>
      </c>
      <c r="B4976" s="4" t="s">
        <v>4998</v>
      </c>
      <c r="C4976" s="3" t="s">
        <v>50</v>
      </c>
      <c r="D4976" s="5">
        <f t="shared" si="156"/>
        <v>150.61000000000001</v>
      </c>
      <c r="E4976">
        <v>165.33</v>
      </c>
      <c r="F4976" s="1789">
        <v>8.8999999999999996E-2</v>
      </c>
      <c r="G4976">
        <f t="shared" si="157"/>
        <v>150.61000000000001</v>
      </c>
    </row>
    <row r="4977" spans="1:7" ht="12.75" customHeight="1">
      <c r="A4977" s="3">
        <v>90704</v>
      </c>
      <c r="B4977" s="4" t="s">
        <v>4999</v>
      </c>
      <c r="C4977" s="3" t="s">
        <v>50</v>
      </c>
      <c r="D4977" s="5">
        <f t="shared" si="156"/>
        <v>224.95</v>
      </c>
      <c r="E4977">
        <v>246.93</v>
      </c>
      <c r="F4977" s="1789">
        <v>8.8999999999999996E-2</v>
      </c>
      <c r="G4977">
        <f t="shared" si="157"/>
        <v>224.95</v>
      </c>
    </row>
    <row r="4978" spans="1:7" ht="12.75" customHeight="1">
      <c r="A4978" s="3">
        <v>90705</v>
      </c>
      <c r="B4978" s="4" t="s">
        <v>5000</v>
      </c>
      <c r="C4978" s="3" t="s">
        <v>50</v>
      </c>
      <c r="D4978" s="5">
        <f t="shared" si="156"/>
        <v>292.77</v>
      </c>
      <c r="E4978">
        <v>321.38</v>
      </c>
      <c r="F4978" s="1789">
        <v>8.8999999999999996E-2</v>
      </c>
      <c r="G4978">
        <f t="shared" si="157"/>
        <v>292.77</v>
      </c>
    </row>
    <row r="4979" spans="1:7" ht="12.75" customHeight="1">
      <c r="A4979" s="3">
        <v>90706</v>
      </c>
      <c r="B4979" s="4" t="s">
        <v>5001</v>
      </c>
      <c r="C4979" s="3" t="s">
        <v>50</v>
      </c>
      <c r="D4979" s="5">
        <f t="shared" si="156"/>
        <v>388.81</v>
      </c>
      <c r="E4979">
        <v>426.8</v>
      </c>
      <c r="F4979" s="1789">
        <v>8.8999999999999996E-2</v>
      </c>
      <c r="G4979">
        <f t="shared" si="157"/>
        <v>388.81</v>
      </c>
    </row>
    <row r="4980" spans="1:7" ht="12.75" customHeight="1">
      <c r="A4980" s="3">
        <v>90708</v>
      </c>
      <c r="B4980" s="4" t="s">
        <v>5002</v>
      </c>
      <c r="C4980" s="3" t="s">
        <v>50</v>
      </c>
      <c r="D4980" s="5">
        <f t="shared" si="156"/>
        <v>607.67999999999995</v>
      </c>
      <c r="E4980">
        <v>667.05</v>
      </c>
      <c r="F4980" s="1789">
        <v>8.8999999999999996E-2</v>
      </c>
      <c r="G4980">
        <f t="shared" si="157"/>
        <v>607.67999999999995</v>
      </c>
    </row>
    <row r="4981" spans="1:7" ht="12.75" customHeight="1">
      <c r="A4981" s="3">
        <v>90724</v>
      </c>
      <c r="B4981" s="4" t="s">
        <v>5003</v>
      </c>
      <c r="C4981" s="3" t="s">
        <v>6</v>
      </c>
      <c r="D4981" s="5">
        <f t="shared" si="156"/>
        <v>17.190000000000001</v>
      </c>
      <c r="E4981">
        <v>18.88</v>
      </c>
      <c r="F4981" s="1789">
        <v>8.8999999999999996E-2</v>
      </c>
      <c r="G4981">
        <f t="shared" si="157"/>
        <v>17.190000000000001</v>
      </c>
    </row>
    <row r="4982" spans="1:7" ht="12.75" customHeight="1">
      <c r="A4982" s="3">
        <v>90725</v>
      </c>
      <c r="B4982" s="4" t="s">
        <v>5004</v>
      </c>
      <c r="C4982" s="3" t="s">
        <v>6</v>
      </c>
      <c r="D4982" s="5">
        <f t="shared" si="156"/>
        <v>21.21</v>
      </c>
      <c r="E4982">
        <v>23.29</v>
      </c>
      <c r="F4982" s="1789">
        <v>8.8999999999999996E-2</v>
      </c>
      <c r="G4982">
        <f t="shared" si="157"/>
        <v>21.21</v>
      </c>
    </row>
    <row r="4983" spans="1:7" ht="12.75" customHeight="1">
      <c r="A4983" s="3">
        <v>90726</v>
      </c>
      <c r="B4983" s="4" t="s">
        <v>5005</v>
      </c>
      <c r="C4983" s="3" t="s">
        <v>6</v>
      </c>
      <c r="D4983" s="5">
        <f t="shared" si="156"/>
        <v>25.3</v>
      </c>
      <c r="E4983">
        <v>27.78</v>
      </c>
      <c r="F4983" s="1789">
        <v>8.8999999999999996E-2</v>
      </c>
      <c r="G4983">
        <f t="shared" si="157"/>
        <v>25.3</v>
      </c>
    </row>
    <row r="4984" spans="1:7" ht="12.75" customHeight="1">
      <c r="A4984" s="3">
        <v>90727</v>
      </c>
      <c r="B4984" s="4" t="s">
        <v>5006</v>
      </c>
      <c r="C4984" s="3" t="s">
        <v>6</v>
      </c>
      <c r="D4984" s="5">
        <f t="shared" si="156"/>
        <v>29.32</v>
      </c>
      <c r="E4984">
        <v>32.19</v>
      </c>
      <c r="F4984" s="1789">
        <v>8.8999999999999996E-2</v>
      </c>
      <c r="G4984">
        <f t="shared" si="157"/>
        <v>29.32</v>
      </c>
    </row>
    <row r="4985" spans="1:7" ht="12.75" customHeight="1">
      <c r="A4985" s="3">
        <v>90728</v>
      </c>
      <c r="B4985" s="4" t="s">
        <v>5007</v>
      </c>
      <c r="C4985" s="3" t="s">
        <v>6</v>
      </c>
      <c r="D4985" s="5">
        <f t="shared" si="156"/>
        <v>33.35</v>
      </c>
      <c r="E4985">
        <v>36.61</v>
      </c>
      <c r="F4985" s="1789">
        <v>8.8999999999999996E-2</v>
      </c>
      <c r="G4985">
        <f t="shared" si="157"/>
        <v>33.35</v>
      </c>
    </row>
    <row r="4986" spans="1:7" ht="12.75" customHeight="1">
      <c r="A4986" s="3">
        <v>90729</v>
      </c>
      <c r="B4986" s="4" t="s">
        <v>5008</v>
      </c>
      <c r="C4986" s="3" t="s">
        <v>6</v>
      </c>
      <c r="D4986" s="5">
        <f t="shared" si="156"/>
        <v>37.369999999999997</v>
      </c>
      <c r="E4986">
        <v>41.03</v>
      </c>
      <c r="F4986" s="1789">
        <v>8.8999999999999996E-2</v>
      </c>
      <c r="G4986">
        <f t="shared" si="157"/>
        <v>37.369999999999997</v>
      </c>
    </row>
    <row r="4987" spans="1:7" ht="12.75" customHeight="1">
      <c r="A4987" s="3">
        <v>90730</v>
      </c>
      <c r="B4987" s="4" t="s">
        <v>5009</v>
      </c>
      <c r="C4987" s="3" t="s">
        <v>6</v>
      </c>
      <c r="D4987" s="5">
        <f t="shared" si="156"/>
        <v>41.39</v>
      </c>
      <c r="E4987">
        <v>45.44</v>
      </c>
      <c r="F4987" s="1789">
        <v>8.8999999999999996E-2</v>
      </c>
      <c r="G4987">
        <f t="shared" si="157"/>
        <v>41.39</v>
      </c>
    </row>
    <row r="4988" spans="1:7" ht="12.75" customHeight="1">
      <c r="A4988" s="3">
        <v>90731</v>
      </c>
      <c r="B4988" s="4" t="s">
        <v>5010</v>
      </c>
      <c r="C4988" s="3" t="s">
        <v>6</v>
      </c>
      <c r="D4988" s="5">
        <f t="shared" si="156"/>
        <v>45.42</v>
      </c>
      <c r="E4988">
        <v>49.86</v>
      </c>
      <c r="F4988" s="1789">
        <v>8.8999999999999996E-2</v>
      </c>
      <c r="G4988">
        <f t="shared" si="157"/>
        <v>45.42</v>
      </c>
    </row>
    <row r="4989" spans="1:7" ht="12.75" customHeight="1">
      <c r="A4989" s="3">
        <v>90732</v>
      </c>
      <c r="B4989" s="4" t="s">
        <v>5011</v>
      </c>
      <c r="C4989" s="3" t="s">
        <v>6</v>
      </c>
      <c r="D4989" s="5">
        <f t="shared" si="156"/>
        <v>57.48</v>
      </c>
      <c r="E4989">
        <v>63.1</v>
      </c>
      <c r="F4989" s="1789">
        <v>8.8999999999999996E-2</v>
      </c>
      <c r="G4989">
        <f t="shared" si="157"/>
        <v>57.48</v>
      </c>
    </row>
    <row r="4990" spans="1:7" ht="12.75" customHeight="1">
      <c r="A4990" s="3">
        <v>90733</v>
      </c>
      <c r="B4990" s="4" t="s">
        <v>5012</v>
      </c>
      <c r="C4990" s="3" t="s">
        <v>50</v>
      </c>
      <c r="D4990" s="5">
        <f t="shared" si="156"/>
        <v>2.36</v>
      </c>
      <c r="E4990">
        <v>2.6</v>
      </c>
      <c r="F4990" s="1789">
        <v>8.8999999999999996E-2</v>
      </c>
      <c r="G4990">
        <f t="shared" si="157"/>
        <v>2.36</v>
      </c>
    </row>
    <row r="4991" spans="1:7" ht="12.75" customHeight="1">
      <c r="A4991" s="3">
        <v>90734</v>
      </c>
      <c r="B4991" s="4" t="s">
        <v>5013</v>
      </c>
      <c r="C4991" s="3" t="s">
        <v>50</v>
      </c>
      <c r="D4991" s="5">
        <f t="shared" si="156"/>
        <v>2.8</v>
      </c>
      <c r="E4991">
        <v>3.08</v>
      </c>
      <c r="F4991" s="1789">
        <v>8.8999999999999996E-2</v>
      </c>
      <c r="G4991">
        <f t="shared" si="157"/>
        <v>2.8</v>
      </c>
    </row>
    <row r="4992" spans="1:7" ht="12.75" customHeight="1">
      <c r="A4992" s="3">
        <v>90735</v>
      </c>
      <c r="B4992" s="4" t="s">
        <v>5014</v>
      </c>
      <c r="C4992" s="3" t="s">
        <v>50</v>
      </c>
      <c r="D4992" s="5">
        <f t="shared" si="156"/>
        <v>3.24</v>
      </c>
      <c r="E4992">
        <v>3.56</v>
      </c>
      <c r="F4992" s="1789">
        <v>8.8999999999999996E-2</v>
      </c>
      <c r="G4992">
        <f t="shared" si="157"/>
        <v>3.24</v>
      </c>
    </row>
    <row r="4993" spans="1:7" ht="12.75" customHeight="1">
      <c r="A4993" s="3">
        <v>90736</v>
      </c>
      <c r="B4993" s="4" t="s">
        <v>5015</v>
      </c>
      <c r="C4993" s="3" t="s">
        <v>50</v>
      </c>
      <c r="D4993" s="5">
        <f t="shared" si="156"/>
        <v>3.68</v>
      </c>
      <c r="E4993">
        <v>4.04</v>
      </c>
      <c r="F4993" s="1789">
        <v>8.8999999999999996E-2</v>
      </c>
      <c r="G4993">
        <f t="shared" si="157"/>
        <v>3.68</v>
      </c>
    </row>
    <row r="4994" spans="1:7" ht="12.75" customHeight="1">
      <c r="A4994" s="3">
        <v>90737</v>
      </c>
      <c r="B4994" s="4" t="s">
        <v>5016</v>
      </c>
      <c r="C4994" s="3" t="s">
        <v>50</v>
      </c>
      <c r="D4994" s="5">
        <f t="shared" si="156"/>
        <v>4.1100000000000003</v>
      </c>
      <c r="E4994">
        <v>4.5199999999999996</v>
      </c>
      <c r="F4994" s="1789">
        <v>8.8999999999999996E-2</v>
      </c>
      <c r="G4994">
        <f t="shared" si="157"/>
        <v>4.1100000000000003</v>
      </c>
    </row>
    <row r="4995" spans="1:7" ht="12.75" customHeight="1">
      <c r="A4995" s="3">
        <v>90738</v>
      </c>
      <c r="B4995" s="4" t="s">
        <v>5017</v>
      </c>
      <c r="C4995" s="3" t="s">
        <v>50</v>
      </c>
      <c r="D4995" s="5">
        <f t="shared" si="156"/>
        <v>4.5599999999999996</v>
      </c>
      <c r="E4995">
        <v>5.01</v>
      </c>
      <c r="F4995" s="1789">
        <v>8.8999999999999996E-2</v>
      </c>
      <c r="G4995">
        <f t="shared" si="157"/>
        <v>4.5599999999999996</v>
      </c>
    </row>
    <row r="4996" spans="1:7" ht="12.75" customHeight="1">
      <c r="A4996" s="3">
        <v>90739</v>
      </c>
      <c r="B4996" s="4" t="s">
        <v>5018</v>
      </c>
      <c r="C4996" s="3" t="s">
        <v>50</v>
      </c>
      <c r="D4996" s="5">
        <f t="shared" si="156"/>
        <v>7.14</v>
      </c>
      <c r="E4996">
        <v>7.84</v>
      </c>
      <c r="F4996" s="1789">
        <v>8.8999999999999996E-2</v>
      </c>
      <c r="G4996">
        <f t="shared" si="157"/>
        <v>7.14</v>
      </c>
    </row>
    <row r="4997" spans="1:7" ht="12.75" customHeight="1">
      <c r="A4997" s="3">
        <v>90740</v>
      </c>
      <c r="B4997" s="4" t="s">
        <v>5019</v>
      </c>
      <c r="C4997" s="3" t="s">
        <v>50</v>
      </c>
      <c r="D4997" s="5">
        <f t="shared" si="156"/>
        <v>3.12</v>
      </c>
      <c r="E4997">
        <v>3.43</v>
      </c>
      <c r="F4997" s="1789">
        <v>8.8999999999999996E-2</v>
      </c>
      <c r="G4997">
        <f t="shared" si="157"/>
        <v>3.12</v>
      </c>
    </row>
    <row r="4998" spans="1:7" ht="12.75" customHeight="1">
      <c r="A4998" s="3">
        <v>90741</v>
      </c>
      <c r="B4998" s="4" t="s">
        <v>5020</v>
      </c>
      <c r="C4998" s="3" t="s">
        <v>50</v>
      </c>
      <c r="D4998" s="5">
        <f t="shared" si="156"/>
        <v>3.56</v>
      </c>
      <c r="E4998">
        <v>3.91</v>
      </c>
      <c r="F4998" s="1789">
        <v>8.8999999999999996E-2</v>
      </c>
      <c r="G4998">
        <f t="shared" si="157"/>
        <v>3.56</v>
      </c>
    </row>
    <row r="4999" spans="1:7" ht="12.75" customHeight="1">
      <c r="A4999" s="3">
        <v>90742</v>
      </c>
      <c r="B4999" s="4" t="s">
        <v>5021</v>
      </c>
      <c r="C4999" s="3" t="s">
        <v>50</v>
      </c>
      <c r="D4999" s="5">
        <f t="shared" si="156"/>
        <v>3.99</v>
      </c>
      <c r="E4999">
        <v>4.3899999999999997</v>
      </c>
      <c r="F4999" s="1789">
        <v>8.8999999999999996E-2</v>
      </c>
      <c r="G4999">
        <f t="shared" si="157"/>
        <v>3.99</v>
      </c>
    </row>
    <row r="5000" spans="1:7" ht="12.75" customHeight="1">
      <c r="A5000" s="3">
        <v>90743</v>
      </c>
      <c r="B5000" s="4" t="s">
        <v>5022</v>
      </c>
      <c r="C5000" s="3" t="s">
        <v>50</v>
      </c>
      <c r="D5000" s="5">
        <f t="shared" si="156"/>
        <v>4.43</v>
      </c>
      <c r="E5000">
        <v>4.87</v>
      </c>
      <c r="F5000" s="1789">
        <v>8.8999999999999996E-2</v>
      </c>
      <c r="G5000">
        <f t="shared" si="157"/>
        <v>4.43</v>
      </c>
    </row>
    <row r="5001" spans="1:7" ht="12.75" customHeight="1">
      <c r="A5001" s="3">
        <v>90744</v>
      </c>
      <c r="B5001" s="4" t="s">
        <v>5023</v>
      </c>
      <c r="C5001" s="3" t="s">
        <v>50</v>
      </c>
      <c r="D5001" s="5">
        <f t="shared" si="156"/>
        <v>4.87</v>
      </c>
      <c r="E5001">
        <v>5.35</v>
      </c>
      <c r="F5001" s="1789">
        <v>8.8999999999999996E-2</v>
      </c>
      <c r="G5001">
        <f t="shared" si="157"/>
        <v>4.87</v>
      </c>
    </row>
    <row r="5002" spans="1:7" ht="12.75" customHeight="1">
      <c r="A5002" s="3">
        <v>90745</v>
      </c>
      <c r="B5002" s="4" t="s">
        <v>5024</v>
      </c>
      <c r="C5002" s="3" t="s">
        <v>50</v>
      </c>
      <c r="D5002" s="5">
        <f t="shared" si="156"/>
        <v>7.98</v>
      </c>
      <c r="E5002">
        <v>8.76</v>
      </c>
      <c r="F5002" s="1789">
        <v>8.8999999999999996E-2</v>
      </c>
      <c r="G5002">
        <f t="shared" si="157"/>
        <v>7.98</v>
      </c>
    </row>
    <row r="5003" spans="1:7" ht="12.75" customHeight="1">
      <c r="A5003" s="3">
        <v>90746</v>
      </c>
      <c r="B5003" s="4" t="s">
        <v>5025</v>
      </c>
      <c r="C5003" s="3" t="s">
        <v>50</v>
      </c>
      <c r="D5003" s="5">
        <f t="shared" si="156"/>
        <v>2.5499999999999998</v>
      </c>
      <c r="E5003">
        <v>2.81</v>
      </c>
      <c r="F5003" s="1789">
        <v>8.8999999999999996E-2</v>
      </c>
      <c r="G5003">
        <f t="shared" si="157"/>
        <v>2.5499999999999998</v>
      </c>
    </row>
    <row r="5004" spans="1:7" ht="12.75" customHeight="1">
      <c r="A5004" s="3">
        <v>90747</v>
      </c>
      <c r="B5004" s="4" t="s">
        <v>5026</v>
      </c>
      <c r="C5004" s="3" t="s">
        <v>50</v>
      </c>
      <c r="D5004" s="5">
        <f t="shared" si="156"/>
        <v>13.83</v>
      </c>
      <c r="E5004">
        <v>15.19</v>
      </c>
      <c r="F5004" s="1789">
        <v>8.8999999999999996E-2</v>
      </c>
      <c r="G5004">
        <f t="shared" si="157"/>
        <v>13.83</v>
      </c>
    </row>
    <row r="5005" spans="1:7" ht="12.75" customHeight="1">
      <c r="A5005" s="3">
        <v>94869</v>
      </c>
      <c r="B5005" s="4" t="s">
        <v>5027</v>
      </c>
      <c r="C5005" s="3" t="s">
        <v>50</v>
      </c>
      <c r="D5005" s="5">
        <f t="shared" si="156"/>
        <v>107.17</v>
      </c>
      <c r="E5005">
        <v>117.64</v>
      </c>
      <c r="F5005" s="1789">
        <v>8.8999999999999996E-2</v>
      </c>
      <c r="G5005">
        <f t="shared" si="157"/>
        <v>107.17</v>
      </c>
    </row>
    <row r="5006" spans="1:7" ht="12.75" customHeight="1">
      <c r="A5006" s="3">
        <v>94870</v>
      </c>
      <c r="B5006" s="4" t="s">
        <v>5028</v>
      </c>
      <c r="C5006" s="3" t="s">
        <v>50</v>
      </c>
      <c r="D5006" s="5">
        <f t="shared" si="156"/>
        <v>1.71</v>
      </c>
      <c r="E5006">
        <v>1.88</v>
      </c>
      <c r="F5006" s="1789">
        <v>8.8999999999999996E-2</v>
      </c>
      <c r="G5006">
        <f t="shared" si="157"/>
        <v>1.71</v>
      </c>
    </row>
    <row r="5007" spans="1:7" ht="12.75" customHeight="1">
      <c r="A5007" s="3">
        <v>94871</v>
      </c>
      <c r="B5007" s="4" t="s">
        <v>5029</v>
      </c>
      <c r="C5007" s="3" t="s">
        <v>50</v>
      </c>
      <c r="D5007" s="5">
        <f t="shared" si="156"/>
        <v>167.49</v>
      </c>
      <c r="E5007">
        <v>183.86</v>
      </c>
      <c r="F5007" s="1789">
        <v>8.8999999999999996E-2</v>
      </c>
      <c r="G5007">
        <f t="shared" si="157"/>
        <v>167.49</v>
      </c>
    </row>
    <row r="5008" spans="1:7" ht="12.75" customHeight="1">
      <c r="A5008" s="3">
        <v>94872</v>
      </c>
      <c r="B5008" s="4" t="s">
        <v>5030</v>
      </c>
      <c r="C5008" s="3" t="s">
        <v>50</v>
      </c>
      <c r="D5008" s="5">
        <f t="shared" si="156"/>
        <v>2.2799999999999998</v>
      </c>
      <c r="E5008">
        <v>2.5099999999999998</v>
      </c>
      <c r="F5008" s="1789">
        <v>8.8999999999999996E-2</v>
      </c>
      <c r="G5008">
        <f t="shared" si="157"/>
        <v>2.2799999999999998</v>
      </c>
    </row>
    <row r="5009" spans="1:7" ht="12.75" customHeight="1">
      <c r="A5009" s="3">
        <v>94875</v>
      </c>
      <c r="B5009" s="4" t="s">
        <v>5031</v>
      </c>
      <c r="C5009" s="3" t="s">
        <v>50</v>
      </c>
      <c r="D5009" s="5">
        <f t="shared" si="156"/>
        <v>986.59</v>
      </c>
      <c r="E5009">
        <v>1082.98</v>
      </c>
      <c r="F5009" s="1789">
        <v>8.8999999999999996E-2</v>
      </c>
      <c r="G5009">
        <f t="shared" si="157"/>
        <v>986.59</v>
      </c>
    </row>
    <row r="5010" spans="1:7" ht="12.75" customHeight="1">
      <c r="A5010" s="3">
        <v>94876</v>
      </c>
      <c r="B5010" s="4" t="s">
        <v>5032</v>
      </c>
      <c r="C5010" s="3" t="s">
        <v>50</v>
      </c>
      <c r="D5010" s="5">
        <f t="shared" si="156"/>
        <v>23.94</v>
      </c>
      <c r="E5010">
        <v>26.28</v>
      </c>
      <c r="F5010" s="1789">
        <v>8.8999999999999996E-2</v>
      </c>
      <c r="G5010">
        <f t="shared" si="157"/>
        <v>23.94</v>
      </c>
    </row>
    <row r="5011" spans="1:7" ht="12.75" customHeight="1">
      <c r="A5011" s="3">
        <v>94878</v>
      </c>
      <c r="B5011" s="4" t="s">
        <v>5033</v>
      </c>
      <c r="C5011" s="3" t="s">
        <v>50</v>
      </c>
      <c r="D5011" s="5">
        <f t="shared" si="156"/>
        <v>27.59</v>
      </c>
      <c r="E5011">
        <v>30.29</v>
      </c>
      <c r="F5011" s="1789">
        <v>8.8999999999999996E-2</v>
      </c>
      <c r="G5011">
        <f t="shared" si="157"/>
        <v>27.59</v>
      </c>
    </row>
    <row r="5012" spans="1:7" ht="12.75" customHeight="1">
      <c r="A5012" s="3">
        <v>94879</v>
      </c>
      <c r="B5012" s="4" t="s">
        <v>5034</v>
      </c>
      <c r="C5012" s="3" t="s">
        <v>50</v>
      </c>
      <c r="D5012" s="5">
        <f t="shared" si="156"/>
        <v>1519.08</v>
      </c>
      <c r="E5012">
        <v>1667.49</v>
      </c>
      <c r="F5012" s="1789">
        <v>8.8999999999999996E-2</v>
      </c>
      <c r="G5012">
        <f t="shared" si="157"/>
        <v>1519.08</v>
      </c>
    </row>
    <row r="5013" spans="1:7" ht="12.75" customHeight="1">
      <c r="A5013" s="3">
        <v>94880</v>
      </c>
      <c r="B5013" s="4" t="s">
        <v>5035</v>
      </c>
      <c r="C5013" s="3" t="s">
        <v>50</v>
      </c>
      <c r="D5013" s="5">
        <f t="shared" ref="D5013:D5076" si="158">G5013</f>
        <v>36.119999999999997</v>
      </c>
      <c r="E5013">
        <v>39.65</v>
      </c>
      <c r="F5013" s="1789">
        <v>8.8999999999999996E-2</v>
      </c>
      <c r="G5013">
        <f t="shared" ref="G5013:G5076" si="159">TRUNC((1-F5013)*E5013,2)</f>
        <v>36.119999999999997</v>
      </c>
    </row>
    <row r="5014" spans="1:7" ht="12.75" customHeight="1">
      <c r="A5014" s="3">
        <v>94881</v>
      </c>
      <c r="B5014" s="4" t="s">
        <v>5036</v>
      </c>
      <c r="C5014" s="3" t="s">
        <v>50</v>
      </c>
      <c r="D5014" s="5">
        <f t="shared" si="158"/>
        <v>2091.2800000000002</v>
      </c>
      <c r="E5014">
        <v>2295.59</v>
      </c>
      <c r="F5014" s="1789">
        <v>8.8999999999999996E-2</v>
      </c>
      <c r="G5014">
        <f t="shared" si="159"/>
        <v>2091.2800000000002</v>
      </c>
    </row>
    <row r="5015" spans="1:7" ht="12.75" customHeight="1">
      <c r="A5015" s="3">
        <v>94882</v>
      </c>
      <c r="B5015" s="4" t="s">
        <v>5037</v>
      </c>
      <c r="C5015" s="3" t="s">
        <v>50</v>
      </c>
      <c r="D5015" s="5">
        <f t="shared" si="158"/>
        <v>41.73</v>
      </c>
      <c r="E5015">
        <v>45.81</v>
      </c>
      <c r="F5015" s="1789">
        <v>8.8999999999999996E-2</v>
      </c>
      <c r="G5015">
        <f t="shared" si="159"/>
        <v>41.73</v>
      </c>
    </row>
    <row r="5016" spans="1:7" ht="12.75" customHeight="1">
      <c r="A5016" s="3">
        <v>94884</v>
      </c>
      <c r="B5016" s="4" t="s">
        <v>5038</v>
      </c>
      <c r="C5016" s="3" t="s">
        <v>50</v>
      </c>
      <c r="D5016" s="5">
        <f t="shared" si="158"/>
        <v>53.09</v>
      </c>
      <c r="E5016">
        <v>58.28</v>
      </c>
      <c r="F5016" s="1789">
        <v>8.8999999999999996E-2</v>
      </c>
      <c r="G5016">
        <f t="shared" si="159"/>
        <v>53.09</v>
      </c>
    </row>
    <row r="5017" spans="1:7" ht="12.75" customHeight="1">
      <c r="A5017" s="3">
        <v>97121</v>
      </c>
      <c r="B5017" s="4" t="s">
        <v>5039</v>
      </c>
      <c r="C5017" s="3" t="s">
        <v>50</v>
      </c>
      <c r="D5017" s="5">
        <f t="shared" si="158"/>
        <v>2.13</v>
      </c>
      <c r="E5017">
        <v>2.34</v>
      </c>
      <c r="F5017" s="1789">
        <v>8.8999999999999996E-2</v>
      </c>
      <c r="G5017">
        <f t="shared" si="159"/>
        <v>2.13</v>
      </c>
    </row>
    <row r="5018" spans="1:7" ht="12.75" customHeight="1">
      <c r="A5018" s="3">
        <v>97122</v>
      </c>
      <c r="B5018" s="4" t="s">
        <v>5040</v>
      </c>
      <c r="C5018" s="3" t="s">
        <v>50</v>
      </c>
      <c r="D5018" s="5">
        <f t="shared" si="158"/>
        <v>2.58</v>
      </c>
      <c r="E5018">
        <v>2.84</v>
      </c>
      <c r="F5018" s="1789">
        <v>8.8999999999999996E-2</v>
      </c>
      <c r="G5018">
        <f t="shared" si="159"/>
        <v>2.58</v>
      </c>
    </row>
    <row r="5019" spans="1:7" ht="12.75" customHeight="1">
      <c r="A5019" s="3">
        <v>97123</v>
      </c>
      <c r="B5019" s="4" t="s">
        <v>5041</v>
      </c>
      <c r="C5019" s="3" t="s">
        <v>50</v>
      </c>
      <c r="D5019" s="5">
        <f t="shared" si="158"/>
        <v>3</v>
      </c>
      <c r="E5019">
        <v>3.3</v>
      </c>
      <c r="F5019" s="1789">
        <v>8.8999999999999996E-2</v>
      </c>
      <c r="G5019">
        <f t="shared" si="159"/>
        <v>3</v>
      </c>
    </row>
    <row r="5020" spans="1:7" ht="12.75" customHeight="1">
      <c r="A5020" s="3">
        <v>97124</v>
      </c>
      <c r="B5020" s="4" t="s">
        <v>5042</v>
      </c>
      <c r="C5020" s="3" t="s">
        <v>50</v>
      </c>
      <c r="D5020" s="5">
        <f t="shared" si="158"/>
        <v>1.74</v>
      </c>
      <c r="E5020">
        <v>1.92</v>
      </c>
      <c r="F5020" s="1789">
        <v>8.8999999999999996E-2</v>
      </c>
      <c r="G5020">
        <f t="shared" si="159"/>
        <v>1.74</v>
      </c>
    </row>
    <row r="5021" spans="1:7" ht="12.75" customHeight="1">
      <c r="A5021" s="3">
        <v>97125</v>
      </c>
      <c r="B5021" s="4" t="s">
        <v>5043</v>
      </c>
      <c r="C5021" s="3" t="s">
        <v>50</v>
      </c>
      <c r="D5021" s="5">
        <f t="shared" si="158"/>
        <v>2.13</v>
      </c>
      <c r="E5021">
        <v>2.34</v>
      </c>
      <c r="F5021" s="1789">
        <v>8.8999999999999996E-2</v>
      </c>
      <c r="G5021">
        <f t="shared" si="159"/>
        <v>2.13</v>
      </c>
    </row>
    <row r="5022" spans="1:7" ht="12.75" customHeight="1">
      <c r="A5022" s="3">
        <v>97126</v>
      </c>
      <c r="B5022" s="4" t="s">
        <v>5044</v>
      </c>
      <c r="C5022" s="3" t="s">
        <v>50</v>
      </c>
      <c r="D5022" s="5">
        <f t="shared" si="158"/>
        <v>2.48</v>
      </c>
      <c r="E5022">
        <v>2.73</v>
      </c>
      <c r="F5022" s="1789">
        <v>8.8999999999999996E-2</v>
      </c>
      <c r="G5022">
        <f t="shared" si="159"/>
        <v>2.48</v>
      </c>
    </row>
    <row r="5023" spans="1:7" ht="12.75" customHeight="1">
      <c r="A5023" s="3">
        <v>102264</v>
      </c>
      <c r="B5023" s="4" t="s">
        <v>5045</v>
      </c>
      <c r="C5023" s="3" t="s">
        <v>50</v>
      </c>
      <c r="D5023" s="5">
        <f t="shared" si="158"/>
        <v>16.46</v>
      </c>
      <c r="E5023">
        <v>18.07</v>
      </c>
      <c r="F5023" s="1789">
        <v>8.8999999999999996E-2</v>
      </c>
      <c r="G5023">
        <f t="shared" si="159"/>
        <v>16.46</v>
      </c>
    </row>
    <row r="5024" spans="1:7" ht="12.75" customHeight="1">
      <c r="A5024" s="3">
        <v>102265</v>
      </c>
      <c r="B5024" s="4" t="s">
        <v>5046</v>
      </c>
      <c r="C5024" s="3" t="s">
        <v>6</v>
      </c>
      <c r="D5024" s="5">
        <f t="shared" si="158"/>
        <v>73.56</v>
      </c>
      <c r="E5024">
        <v>80.75</v>
      </c>
      <c r="F5024" s="1789">
        <v>8.8999999999999996E-2</v>
      </c>
      <c r="G5024">
        <f t="shared" si="159"/>
        <v>73.56</v>
      </c>
    </row>
    <row r="5025" spans="1:7" ht="12.75" customHeight="1">
      <c r="A5025" s="3">
        <v>102266</v>
      </c>
      <c r="B5025" s="4" t="s">
        <v>5047</v>
      </c>
      <c r="C5025" s="3" t="s">
        <v>6</v>
      </c>
      <c r="D5025" s="5">
        <f t="shared" si="158"/>
        <v>81.61</v>
      </c>
      <c r="E5025">
        <v>89.59</v>
      </c>
      <c r="F5025" s="1789">
        <v>8.8999999999999996E-2</v>
      </c>
      <c r="G5025">
        <f t="shared" si="159"/>
        <v>81.61</v>
      </c>
    </row>
    <row r="5026" spans="1:7" ht="12.75" customHeight="1">
      <c r="A5026" s="3">
        <v>102267</v>
      </c>
      <c r="B5026" s="4" t="s">
        <v>5048</v>
      </c>
      <c r="C5026" s="3" t="s">
        <v>6</v>
      </c>
      <c r="D5026" s="5">
        <f t="shared" si="158"/>
        <v>93.75</v>
      </c>
      <c r="E5026">
        <v>102.91</v>
      </c>
      <c r="F5026" s="1789">
        <v>8.8999999999999996E-2</v>
      </c>
      <c r="G5026">
        <f t="shared" si="159"/>
        <v>93.75</v>
      </c>
    </row>
    <row r="5027" spans="1:7" ht="12.75" customHeight="1">
      <c r="A5027" s="3">
        <v>102268</v>
      </c>
      <c r="B5027" s="4" t="s">
        <v>5049</v>
      </c>
      <c r="C5027" s="3" t="s">
        <v>6</v>
      </c>
      <c r="D5027" s="5">
        <f t="shared" si="158"/>
        <v>105.81</v>
      </c>
      <c r="E5027">
        <v>116.15</v>
      </c>
      <c r="F5027" s="1789">
        <v>8.8999999999999996E-2</v>
      </c>
      <c r="G5027">
        <f t="shared" si="159"/>
        <v>105.81</v>
      </c>
    </row>
    <row r="5028" spans="1:7" ht="12.75" customHeight="1">
      <c r="A5028" s="3">
        <v>102269</v>
      </c>
      <c r="B5028" s="4" t="s">
        <v>5050</v>
      </c>
      <c r="C5028" s="3" t="s">
        <v>6</v>
      </c>
      <c r="D5028" s="5">
        <f t="shared" si="158"/>
        <v>129.94</v>
      </c>
      <c r="E5028">
        <v>142.63999999999999</v>
      </c>
      <c r="F5028" s="1789">
        <v>8.8999999999999996E-2</v>
      </c>
      <c r="G5028">
        <f t="shared" si="159"/>
        <v>129.94</v>
      </c>
    </row>
    <row r="5029" spans="1:7" ht="12.75" customHeight="1">
      <c r="A5029" s="3">
        <v>105260</v>
      </c>
      <c r="B5029" s="4" t="s">
        <v>5051</v>
      </c>
      <c r="C5029" s="3" t="s">
        <v>6</v>
      </c>
      <c r="D5029" s="5">
        <f t="shared" si="158"/>
        <v>15.08</v>
      </c>
      <c r="E5029">
        <v>16.559999999999999</v>
      </c>
      <c r="F5029" s="1789">
        <v>8.8999999999999996E-2</v>
      </c>
      <c r="G5029">
        <f t="shared" si="159"/>
        <v>15.08</v>
      </c>
    </row>
    <row r="5030" spans="1:7" ht="12.75" customHeight="1">
      <c r="A5030" s="3">
        <v>105285</v>
      </c>
      <c r="B5030" s="4" t="s">
        <v>5052</v>
      </c>
      <c r="C5030" s="3" t="s">
        <v>6</v>
      </c>
      <c r="D5030" s="5">
        <f t="shared" si="158"/>
        <v>14.7</v>
      </c>
      <c r="E5030">
        <v>16.14</v>
      </c>
      <c r="F5030" s="1789">
        <v>8.8999999999999996E-2</v>
      </c>
      <c r="G5030">
        <f t="shared" si="159"/>
        <v>14.7</v>
      </c>
    </row>
    <row r="5031" spans="1:7" ht="12.75" customHeight="1">
      <c r="A5031" s="3">
        <v>105286</v>
      </c>
      <c r="B5031" s="4" t="s">
        <v>5053</v>
      </c>
      <c r="C5031" s="3" t="s">
        <v>6</v>
      </c>
      <c r="D5031" s="5">
        <f t="shared" si="158"/>
        <v>19.03</v>
      </c>
      <c r="E5031">
        <v>20.89</v>
      </c>
      <c r="F5031" s="1789">
        <v>8.8999999999999996E-2</v>
      </c>
      <c r="G5031">
        <f t="shared" si="159"/>
        <v>19.03</v>
      </c>
    </row>
    <row r="5032" spans="1:7" ht="12.75" customHeight="1">
      <c r="A5032" s="3">
        <v>105287</v>
      </c>
      <c r="B5032" s="4" t="s">
        <v>5054</v>
      </c>
      <c r="C5032" s="3" t="s">
        <v>6</v>
      </c>
      <c r="D5032" s="5">
        <f t="shared" si="158"/>
        <v>17.5</v>
      </c>
      <c r="E5032">
        <v>19.21</v>
      </c>
      <c r="F5032" s="1789">
        <v>8.8999999999999996E-2</v>
      </c>
      <c r="G5032">
        <f t="shared" si="159"/>
        <v>17.5</v>
      </c>
    </row>
    <row r="5033" spans="1:7" ht="12.75" customHeight="1">
      <c r="A5033" s="3">
        <v>105288</v>
      </c>
      <c r="B5033" s="4" t="s">
        <v>5055</v>
      </c>
      <c r="C5033" s="3" t="s">
        <v>6</v>
      </c>
      <c r="D5033" s="5">
        <f t="shared" si="158"/>
        <v>30.5</v>
      </c>
      <c r="E5033">
        <v>33.49</v>
      </c>
      <c r="F5033" s="1789">
        <v>8.8999999999999996E-2</v>
      </c>
      <c r="G5033">
        <f t="shared" si="159"/>
        <v>30.5</v>
      </c>
    </row>
    <row r="5034" spans="1:7" ht="12.75" customHeight="1">
      <c r="A5034" s="3">
        <v>105289</v>
      </c>
      <c r="B5034" s="4" t="s">
        <v>5056</v>
      </c>
      <c r="C5034" s="3" t="s">
        <v>6</v>
      </c>
      <c r="D5034" s="5">
        <f t="shared" si="158"/>
        <v>28.68</v>
      </c>
      <c r="E5034">
        <v>31.49</v>
      </c>
      <c r="F5034" s="1789">
        <v>8.8999999999999996E-2</v>
      </c>
      <c r="G5034">
        <f t="shared" si="159"/>
        <v>28.68</v>
      </c>
    </row>
    <row r="5035" spans="1:7" ht="12.75" customHeight="1">
      <c r="A5035" s="3">
        <v>105290</v>
      </c>
      <c r="B5035" s="4" t="s">
        <v>5057</v>
      </c>
      <c r="C5035" s="3" t="s">
        <v>6</v>
      </c>
      <c r="D5035" s="5">
        <f t="shared" si="158"/>
        <v>40.56</v>
      </c>
      <c r="E5035">
        <v>44.53</v>
      </c>
      <c r="F5035" s="1789">
        <v>8.8999999999999996E-2</v>
      </c>
      <c r="G5035">
        <f t="shared" si="159"/>
        <v>40.56</v>
      </c>
    </row>
    <row r="5036" spans="1:7" ht="12.75" customHeight="1">
      <c r="A5036" s="3">
        <v>105291</v>
      </c>
      <c r="B5036" s="4" t="s">
        <v>5058</v>
      </c>
      <c r="C5036" s="3" t="s">
        <v>6</v>
      </c>
      <c r="D5036" s="5">
        <f t="shared" si="158"/>
        <v>38.46</v>
      </c>
      <c r="E5036">
        <v>42.22</v>
      </c>
      <c r="F5036" s="1789">
        <v>8.8999999999999996E-2</v>
      </c>
      <c r="G5036">
        <f t="shared" si="159"/>
        <v>38.46</v>
      </c>
    </row>
    <row r="5037" spans="1:7" ht="12.75" customHeight="1">
      <c r="A5037" s="3">
        <v>105292</v>
      </c>
      <c r="B5037" s="4" t="s">
        <v>5059</v>
      </c>
      <c r="C5037" s="3" t="s">
        <v>6</v>
      </c>
      <c r="D5037" s="5">
        <f t="shared" si="158"/>
        <v>31.18</v>
      </c>
      <c r="E5037">
        <v>34.229999999999997</v>
      </c>
      <c r="F5037" s="1789">
        <v>8.8999999999999996E-2</v>
      </c>
      <c r="G5037">
        <f t="shared" si="159"/>
        <v>31.18</v>
      </c>
    </row>
    <row r="5038" spans="1:7" ht="12.75" customHeight="1">
      <c r="A5038" s="3">
        <v>105293</v>
      </c>
      <c r="B5038" s="4" t="s">
        <v>5060</v>
      </c>
      <c r="C5038" s="3" t="s">
        <v>6</v>
      </c>
      <c r="D5038" s="5">
        <f t="shared" si="158"/>
        <v>28.88</v>
      </c>
      <c r="E5038">
        <v>31.71</v>
      </c>
      <c r="F5038" s="1789">
        <v>8.8999999999999996E-2</v>
      </c>
      <c r="G5038">
        <f t="shared" si="159"/>
        <v>28.88</v>
      </c>
    </row>
    <row r="5039" spans="1:7" ht="12.75" customHeight="1">
      <c r="A5039" s="3">
        <v>105294</v>
      </c>
      <c r="B5039" s="4" t="s">
        <v>5061</v>
      </c>
      <c r="C5039" s="3" t="s">
        <v>6</v>
      </c>
      <c r="D5039" s="5">
        <f t="shared" si="158"/>
        <v>60.73</v>
      </c>
      <c r="E5039">
        <v>66.67</v>
      </c>
      <c r="F5039" s="1789">
        <v>8.8999999999999996E-2</v>
      </c>
      <c r="G5039">
        <f t="shared" si="159"/>
        <v>60.73</v>
      </c>
    </row>
    <row r="5040" spans="1:7" ht="12.75" customHeight="1">
      <c r="A5040" s="3">
        <v>105295</v>
      </c>
      <c r="B5040" s="4" t="s">
        <v>5062</v>
      </c>
      <c r="C5040" s="3" t="s">
        <v>6</v>
      </c>
      <c r="D5040" s="5">
        <f t="shared" si="158"/>
        <v>58.01</v>
      </c>
      <c r="E5040">
        <v>63.68</v>
      </c>
      <c r="F5040" s="1789">
        <v>8.8999999999999996E-2</v>
      </c>
      <c r="G5040">
        <f t="shared" si="159"/>
        <v>58.01</v>
      </c>
    </row>
    <row r="5041" spans="1:7" ht="12.75" customHeight="1">
      <c r="A5041" s="3">
        <v>105296</v>
      </c>
      <c r="B5041" s="4" t="s">
        <v>5063</v>
      </c>
      <c r="C5041" s="3" t="s">
        <v>6</v>
      </c>
      <c r="D5041" s="5">
        <f t="shared" si="158"/>
        <v>101.87</v>
      </c>
      <c r="E5041">
        <v>111.83</v>
      </c>
      <c r="F5041" s="1789">
        <v>8.8999999999999996E-2</v>
      </c>
      <c r="G5041">
        <f t="shared" si="159"/>
        <v>101.87</v>
      </c>
    </row>
    <row r="5042" spans="1:7" ht="12.75" customHeight="1">
      <c r="A5042" s="3">
        <v>105308</v>
      </c>
      <c r="B5042" s="4" t="s">
        <v>5064</v>
      </c>
      <c r="C5042" s="3" t="s">
        <v>50</v>
      </c>
      <c r="D5042" s="5">
        <f t="shared" si="158"/>
        <v>3.49</v>
      </c>
      <c r="E5042">
        <v>3.84</v>
      </c>
      <c r="F5042" s="1789">
        <v>8.8999999999999996E-2</v>
      </c>
      <c r="G5042">
        <f t="shared" si="159"/>
        <v>3.49</v>
      </c>
    </row>
    <row r="5043" spans="1:7" ht="12.75" customHeight="1">
      <c r="A5043" s="3">
        <v>105309</v>
      </c>
      <c r="B5043" s="4" t="s">
        <v>5065</v>
      </c>
      <c r="C5043" s="3" t="s">
        <v>50</v>
      </c>
      <c r="D5043" s="5">
        <f t="shared" si="158"/>
        <v>3.77</v>
      </c>
      <c r="E5043">
        <v>4.1399999999999997</v>
      </c>
      <c r="F5043" s="1789">
        <v>8.8999999999999996E-2</v>
      </c>
      <c r="G5043">
        <f t="shared" si="159"/>
        <v>3.77</v>
      </c>
    </row>
    <row r="5044" spans="1:7" ht="12.75" customHeight="1">
      <c r="A5044" s="3">
        <v>105310</v>
      </c>
      <c r="B5044" s="4" t="s">
        <v>5066</v>
      </c>
      <c r="C5044" s="3" t="s">
        <v>50</v>
      </c>
      <c r="D5044" s="5">
        <f t="shared" si="158"/>
        <v>4.4400000000000004</v>
      </c>
      <c r="E5044">
        <v>4.88</v>
      </c>
      <c r="F5044" s="1789">
        <v>8.8999999999999996E-2</v>
      </c>
      <c r="G5044">
        <f t="shared" si="159"/>
        <v>4.4400000000000004</v>
      </c>
    </row>
    <row r="5045" spans="1:7" ht="12.75" customHeight="1">
      <c r="A5045" s="3">
        <v>105311</v>
      </c>
      <c r="B5045" s="4" t="s">
        <v>5067</v>
      </c>
      <c r="C5045" s="3" t="s">
        <v>50</v>
      </c>
      <c r="D5045" s="5">
        <f t="shared" si="158"/>
        <v>2.79</v>
      </c>
      <c r="E5045">
        <v>3.07</v>
      </c>
      <c r="F5045" s="1789">
        <v>8.8999999999999996E-2</v>
      </c>
      <c r="G5045">
        <f t="shared" si="159"/>
        <v>2.79</v>
      </c>
    </row>
    <row r="5046" spans="1:7" ht="12.75" customHeight="1">
      <c r="A5046" s="3">
        <v>105312</v>
      </c>
      <c r="B5046" s="4" t="s">
        <v>5068</v>
      </c>
      <c r="C5046" s="3" t="s">
        <v>50</v>
      </c>
      <c r="D5046" s="5">
        <f t="shared" si="158"/>
        <v>2.9</v>
      </c>
      <c r="E5046">
        <v>3.19</v>
      </c>
      <c r="F5046" s="1789">
        <v>8.8999999999999996E-2</v>
      </c>
      <c r="G5046">
        <f t="shared" si="159"/>
        <v>2.9</v>
      </c>
    </row>
    <row r="5047" spans="1:7" ht="12.75" customHeight="1">
      <c r="A5047" s="3">
        <v>105313</v>
      </c>
      <c r="B5047" s="4" t="s">
        <v>5069</v>
      </c>
      <c r="C5047" s="3" t="s">
        <v>50</v>
      </c>
      <c r="D5047" s="5">
        <f t="shared" si="158"/>
        <v>3.14</v>
      </c>
      <c r="E5047">
        <v>3.45</v>
      </c>
      <c r="F5047" s="1789">
        <v>8.8999999999999996E-2</v>
      </c>
      <c r="G5047">
        <f t="shared" si="159"/>
        <v>3.14</v>
      </c>
    </row>
    <row r="5048" spans="1:7" ht="12.75" customHeight="1">
      <c r="A5048" s="3">
        <v>105314</v>
      </c>
      <c r="B5048" s="4" t="s">
        <v>5070</v>
      </c>
      <c r="C5048" s="3" t="s">
        <v>50</v>
      </c>
      <c r="D5048" s="5">
        <f t="shared" si="158"/>
        <v>3.71</v>
      </c>
      <c r="E5048">
        <v>4.08</v>
      </c>
      <c r="F5048" s="1789">
        <v>8.8999999999999996E-2</v>
      </c>
      <c r="G5048">
        <f t="shared" si="159"/>
        <v>3.71</v>
      </c>
    </row>
    <row r="5049" spans="1:7" ht="12.75" customHeight="1">
      <c r="A5049" s="3">
        <v>105315</v>
      </c>
      <c r="B5049" s="4" t="s">
        <v>5071</v>
      </c>
      <c r="C5049" s="3" t="s">
        <v>6</v>
      </c>
      <c r="D5049" s="5">
        <f t="shared" si="158"/>
        <v>7.33</v>
      </c>
      <c r="E5049">
        <v>8.0500000000000007</v>
      </c>
      <c r="F5049" s="1789">
        <v>8.8999999999999996E-2</v>
      </c>
      <c r="G5049">
        <f t="shared" si="159"/>
        <v>7.33</v>
      </c>
    </row>
    <row r="5050" spans="1:7" ht="12.75" customHeight="1">
      <c r="A5050" s="3">
        <v>105316</v>
      </c>
      <c r="B5050" s="4" t="s">
        <v>5072</v>
      </c>
      <c r="C5050" s="3" t="s">
        <v>6</v>
      </c>
      <c r="D5050" s="5">
        <f t="shared" si="158"/>
        <v>14.67</v>
      </c>
      <c r="E5050">
        <v>16.11</v>
      </c>
      <c r="F5050" s="1789">
        <v>8.8999999999999996E-2</v>
      </c>
      <c r="G5050">
        <f t="shared" si="159"/>
        <v>14.67</v>
      </c>
    </row>
    <row r="5051" spans="1:7" ht="12.75" customHeight="1">
      <c r="A5051" s="3">
        <v>105327</v>
      </c>
      <c r="B5051" s="4" t="s">
        <v>5073</v>
      </c>
      <c r="C5051" s="3" t="s">
        <v>6</v>
      </c>
      <c r="D5051" s="5">
        <f t="shared" si="158"/>
        <v>28.04</v>
      </c>
      <c r="E5051">
        <v>30.78</v>
      </c>
      <c r="F5051" s="1789">
        <v>8.8999999999999996E-2</v>
      </c>
      <c r="G5051">
        <f t="shared" si="159"/>
        <v>28.04</v>
      </c>
    </row>
    <row r="5052" spans="1:7" ht="12.75" customHeight="1">
      <c r="A5052" s="3">
        <v>105328</v>
      </c>
      <c r="B5052" s="4" t="s">
        <v>5074</v>
      </c>
      <c r="C5052" s="3" t="s">
        <v>6</v>
      </c>
      <c r="D5052" s="5">
        <f t="shared" si="158"/>
        <v>27.58</v>
      </c>
      <c r="E5052">
        <v>30.28</v>
      </c>
      <c r="F5052" s="1789">
        <v>8.8999999999999996E-2</v>
      </c>
      <c r="G5052">
        <f t="shared" si="159"/>
        <v>27.58</v>
      </c>
    </row>
    <row r="5053" spans="1:7" ht="12.75" customHeight="1">
      <c r="A5053" s="3">
        <v>105329</v>
      </c>
      <c r="B5053" s="4" t="s">
        <v>5075</v>
      </c>
      <c r="C5053" s="3" t="s">
        <v>6</v>
      </c>
      <c r="D5053" s="5">
        <f t="shared" si="158"/>
        <v>45.53</v>
      </c>
      <c r="E5053">
        <v>49.98</v>
      </c>
      <c r="F5053" s="1789">
        <v>8.8999999999999996E-2</v>
      </c>
      <c r="G5053">
        <f t="shared" si="159"/>
        <v>45.53</v>
      </c>
    </row>
    <row r="5054" spans="1:7" ht="12.75" customHeight="1">
      <c r="A5054" s="3">
        <v>105330</v>
      </c>
      <c r="B5054" s="4" t="s">
        <v>5076</v>
      </c>
      <c r="C5054" s="3" t="s">
        <v>6</v>
      </c>
      <c r="D5054" s="5">
        <f t="shared" si="158"/>
        <v>45.01</v>
      </c>
      <c r="E5054">
        <v>49.41</v>
      </c>
      <c r="F5054" s="1789">
        <v>8.8999999999999996E-2</v>
      </c>
      <c r="G5054">
        <f t="shared" si="159"/>
        <v>45.01</v>
      </c>
    </row>
    <row r="5055" spans="1:7" ht="12.75" customHeight="1">
      <c r="A5055" s="3">
        <v>105331</v>
      </c>
      <c r="B5055" s="4" t="s">
        <v>5077</v>
      </c>
      <c r="C5055" s="3" t="s">
        <v>50</v>
      </c>
      <c r="D5055" s="5">
        <f t="shared" si="158"/>
        <v>32.369999999999997</v>
      </c>
      <c r="E5055">
        <v>35.54</v>
      </c>
      <c r="F5055" s="1789">
        <v>8.8999999999999996E-2</v>
      </c>
      <c r="G5055">
        <f t="shared" si="159"/>
        <v>32.369999999999997</v>
      </c>
    </row>
    <row r="5056" spans="1:7" ht="12.75" customHeight="1">
      <c r="A5056" s="3">
        <v>105332</v>
      </c>
      <c r="B5056" s="4" t="s">
        <v>5078</v>
      </c>
      <c r="C5056" s="3" t="s">
        <v>50</v>
      </c>
      <c r="D5056" s="5">
        <f t="shared" si="158"/>
        <v>31.89</v>
      </c>
      <c r="E5056">
        <v>35.01</v>
      </c>
      <c r="F5056" s="1789">
        <v>8.8999999999999996E-2</v>
      </c>
      <c r="G5056">
        <f t="shared" si="159"/>
        <v>31.89</v>
      </c>
    </row>
    <row r="5057" spans="1:7" ht="12.75" customHeight="1">
      <c r="A5057" s="3">
        <v>105333</v>
      </c>
      <c r="B5057" s="4" t="s">
        <v>5079</v>
      </c>
      <c r="C5057" s="3" t="s">
        <v>50</v>
      </c>
      <c r="D5057" s="5">
        <f t="shared" si="158"/>
        <v>142.4</v>
      </c>
      <c r="E5057">
        <v>156.32</v>
      </c>
      <c r="F5057" s="1789">
        <v>8.8999999999999996E-2</v>
      </c>
      <c r="G5057">
        <f t="shared" si="159"/>
        <v>142.4</v>
      </c>
    </row>
    <row r="5058" spans="1:7" ht="12.75" customHeight="1">
      <c r="A5058" s="3">
        <v>105334</v>
      </c>
      <c r="B5058" s="4" t="s">
        <v>5080</v>
      </c>
      <c r="C5058" s="3" t="s">
        <v>50</v>
      </c>
      <c r="D5058" s="5">
        <f t="shared" si="158"/>
        <v>140.68</v>
      </c>
      <c r="E5058">
        <v>154.43</v>
      </c>
      <c r="F5058" s="1789">
        <v>8.8999999999999996E-2</v>
      </c>
      <c r="G5058">
        <f t="shared" si="159"/>
        <v>140.68</v>
      </c>
    </row>
    <row r="5059" spans="1:7" ht="12.75" customHeight="1">
      <c r="A5059" s="3">
        <v>105335</v>
      </c>
      <c r="B5059" s="4" t="s">
        <v>5081</v>
      </c>
      <c r="C5059" s="3" t="s">
        <v>50</v>
      </c>
      <c r="D5059" s="5">
        <f t="shared" si="158"/>
        <v>214.27</v>
      </c>
      <c r="E5059">
        <v>235.21</v>
      </c>
      <c r="F5059" s="1789">
        <v>8.8999999999999996E-2</v>
      </c>
      <c r="G5059">
        <f t="shared" si="159"/>
        <v>214.27</v>
      </c>
    </row>
    <row r="5060" spans="1:7" ht="12.75" customHeight="1">
      <c r="A5060" s="3">
        <v>105336</v>
      </c>
      <c r="B5060" s="4" t="s">
        <v>5082</v>
      </c>
      <c r="C5060" s="3" t="s">
        <v>50</v>
      </c>
      <c r="D5060" s="5">
        <f t="shared" si="158"/>
        <v>212.24</v>
      </c>
      <c r="E5060">
        <v>232.98</v>
      </c>
      <c r="F5060" s="1789">
        <v>8.8999999999999996E-2</v>
      </c>
      <c r="G5060">
        <f t="shared" si="159"/>
        <v>212.24</v>
      </c>
    </row>
    <row r="5061" spans="1:7" ht="12.75" customHeight="1">
      <c r="A5061" s="3">
        <v>105337</v>
      </c>
      <c r="B5061" s="4" t="s">
        <v>5083</v>
      </c>
      <c r="C5061" s="3" t="s">
        <v>50</v>
      </c>
      <c r="D5061" s="5">
        <f t="shared" si="158"/>
        <v>301.95</v>
      </c>
      <c r="E5061">
        <v>331.45</v>
      </c>
      <c r="F5061" s="1789">
        <v>8.8999999999999996E-2</v>
      </c>
      <c r="G5061">
        <f t="shared" si="159"/>
        <v>301.95</v>
      </c>
    </row>
    <row r="5062" spans="1:7" ht="12.75" customHeight="1">
      <c r="A5062" s="3">
        <v>105338</v>
      </c>
      <c r="B5062" s="4" t="s">
        <v>5084</v>
      </c>
      <c r="C5062" s="3" t="s">
        <v>50</v>
      </c>
      <c r="D5062" s="5">
        <f t="shared" si="158"/>
        <v>299.60000000000002</v>
      </c>
      <c r="E5062">
        <v>328.87</v>
      </c>
      <c r="F5062" s="1789">
        <v>8.8999999999999996E-2</v>
      </c>
      <c r="G5062">
        <f t="shared" si="159"/>
        <v>299.60000000000002</v>
      </c>
    </row>
    <row r="5063" spans="1:7" ht="12.75" customHeight="1">
      <c r="A5063" s="3">
        <v>105339</v>
      </c>
      <c r="B5063" s="4" t="s">
        <v>5085</v>
      </c>
      <c r="C5063" s="3" t="s">
        <v>50</v>
      </c>
      <c r="D5063" s="5">
        <f t="shared" si="158"/>
        <v>2.31</v>
      </c>
      <c r="E5063">
        <v>2.54</v>
      </c>
      <c r="F5063" s="1789">
        <v>8.8999999999999996E-2</v>
      </c>
      <c r="G5063">
        <f t="shared" si="159"/>
        <v>2.31</v>
      </c>
    </row>
    <row r="5064" spans="1:7" ht="12.75" customHeight="1">
      <c r="A5064" s="3">
        <v>105359</v>
      </c>
      <c r="B5064" s="4" t="s">
        <v>5086</v>
      </c>
      <c r="C5064" s="3" t="s">
        <v>6</v>
      </c>
      <c r="D5064" s="5">
        <f t="shared" si="158"/>
        <v>8.86</v>
      </c>
      <c r="E5064">
        <v>9.73</v>
      </c>
      <c r="F5064" s="1789">
        <v>8.8999999999999996E-2</v>
      </c>
      <c r="G5064">
        <f t="shared" si="159"/>
        <v>8.86</v>
      </c>
    </row>
    <row r="5065" spans="1:7" ht="12.75" customHeight="1">
      <c r="A5065" s="3">
        <v>105360</v>
      </c>
      <c r="B5065" s="4" t="s">
        <v>5087</v>
      </c>
      <c r="C5065" s="3" t="s">
        <v>6</v>
      </c>
      <c r="D5065" s="5">
        <f t="shared" si="158"/>
        <v>10.89</v>
      </c>
      <c r="E5065">
        <v>11.96</v>
      </c>
      <c r="F5065" s="1789">
        <v>8.8999999999999996E-2</v>
      </c>
      <c r="G5065">
        <f t="shared" si="159"/>
        <v>10.89</v>
      </c>
    </row>
    <row r="5066" spans="1:7" ht="12.75" customHeight="1">
      <c r="A5066" s="3">
        <v>105361</v>
      </c>
      <c r="B5066" s="4" t="s">
        <v>5088</v>
      </c>
      <c r="C5066" s="3" t="s">
        <v>6</v>
      </c>
      <c r="D5066" s="5">
        <f t="shared" si="158"/>
        <v>12.72</v>
      </c>
      <c r="E5066">
        <v>13.97</v>
      </c>
      <c r="F5066" s="1789">
        <v>8.8999999999999996E-2</v>
      </c>
      <c r="G5066">
        <f t="shared" si="159"/>
        <v>12.72</v>
      </c>
    </row>
    <row r="5067" spans="1:7" ht="12.75" customHeight="1">
      <c r="A5067" s="3">
        <v>105362</v>
      </c>
      <c r="B5067" s="4" t="s">
        <v>5089</v>
      </c>
      <c r="C5067" s="3" t="s">
        <v>6</v>
      </c>
      <c r="D5067" s="5">
        <f t="shared" si="158"/>
        <v>12.93</v>
      </c>
      <c r="E5067">
        <v>14.2</v>
      </c>
      <c r="F5067" s="1789">
        <v>8.8999999999999996E-2</v>
      </c>
      <c r="G5067">
        <f t="shared" si="159"/>
        <v>12.93</v>
      </c>
    </row>
    <row r="5068" spans="1:7" ht="12.75" customHeight="1">
      <c r="A5068" s="3">
        <v>105363</v>
      </c>
      <c r="B5068" s="4" t="s">
        <v>5090</v>
      </c>
      <c r="C5068" s="3" t="s">
        <v>6</v>
      </c>
      <c r="D5068" s="5">
        <f t="shared" si="158"/>
        <v>15.7</v>
      </c>
      <c r="E5068">
        <v>17.239999999999998</v>
      </c>
      <c r="F5068" s="1789">
        <v>8.8999999999999996E-2</v>
      </c>
      <c r="G5068">
        <f t="shared" si="159"/>
        <v>15.7</v>
      </c>
    </row>
    <row r="5069" spans="1:7" ht="12.75" customHeight="1">
      <c r="A5069" s="3">
        <v>105364</v>
      </c>
      <c r="B5069" s="4" t="s">
        <v>5091</v>
      </c>
      <c r="C5069" s="3" t="s">
        <v>6</v>
      </c>
      <c r="D5069" s="5">
        <f t="shared" si="158"/>
        <v>18.28</v>
      </c>
      <c r="E5069">
        <v>20.07</v>
      </c>
      <c r="F5069" s="1789">
        <v>8.8999999999999996E-2</v>
      </c>
      <c r="G5069">
        <f t="shared" si="159"/>
        <v>18.28</v>
      </c>
    </row>
    <row r="5070" spans="1:7" ht="12.75" customHeight="1">
      <c r="A5070" s="3">
        <v>105365</v>
      </c>
      <c r="B5070" s="4" t="s">
        <v>5092</v>
      </c>
      <c r="C5070" s="3" t="s">
        <v>6</v>
      </c>
      <c r="D5070" s="5">
        <f t="shared" si="158"/>
        <v>17.73</v>
      </c>
      <c r="E5070">
        <v>19.47</v>
      </c>
      <c r="F5070" s="1789">
        <v>8.8999999999999996E-2</v>
      </c>
      <c r="G5070">
        <f t="shared" si="159"/>
        <v>17.73</v>
      </c>
    </row>
    <row r="5071" spans="1:7" ht="12.75" customHeight="1">
      <c r="A5071" s="3">
        <v>105366</v>
      </c>
      <c r="B5071" s="4" t="s">
        <v>5093</v>
      </c>
      <c r="C5071" s="3" t="s">
        <v>6</v>
      </c>
      <c r="D5071" s="5">
        <f t="shared" si="158"/>
        <v>21.77</v>
      </c>
      <c r="E5071">
        <v>23.9</v>
      </c>
      <c r="F5071" s="1789">
        <v>8.8999999999999996E-2</v>
      </c>
      <c r="G5071">
        <f t="shared" si="159"/>
        <v>21.77</v>
      </c>
    </row>
    <row r="5072" spans="1:7" ht="12.75" customHeight="1">
      <c r="A5072" s="3">
        <v>105367</v>
      </c>
      <c r="B5072" s="4" t="s">
        <v>5094</v>
      </c>
      <c r="C5072" s="3" t="s">
        <v>6</v>
      </c>
      <c r="D5072" s="5">
        <f t="shared" si="158"/>
        <v>25.47</v>
      </c>
      <c r="E5072">
        <v>27.96</v>
      </c>
      <c r="F5072" s="1789">
        <v>8.8999999999999996E-2</v>
      </c>
      <c r="G5072">
        <f t="shared" si="159"/>
        <v>25.47</v>
      </c>
    </row>
    <row r="5073" spans="1:7" ht="12.75" customHeight="1">
      <c r="A5073" s="3">
        <v>105368</v>
      </c>
      <c r="B5073" s="4" t="s">
        <v>5095</v>
      </c>
      <c r="C5073" s="3" t="s">
        <v>6</v>
      </c>
      <c r="D5073" s="5">
        <f t="shared" si="158"/>
        <v>34.19</v>
      </c>
      <c r="E5073">
        <v>37.54</v>
      </c>
      <c r="F5073" s="1789">
        <v>8.8999999999999996E-2</v>
      </c>
      <c r="G5073">
        <f t="shared" si="159"/>
        <v>34.19</v>
      </c>
    </row>
    <row r="5074" spans="1:7" ht="12.75" customHeight="1">
      <c r="A5074" s="3">
        <v>105370</v>
      </c>
      <c r="B5074" s="4" t="s">
        <v>5096</v>
      </c>
      <c r="C5074" s="3" t="s">
        <v>6</v>
      </c>
      <c r="D5074" s="5">
        <f t="shared" si="158"/>
        <v>54.76</v>
      </c>
      <c r="E5074">
        <v>60.12</v>
      </c>
      <c r="F5074" s="1789">
        <v>8.8999999999999996E-2</v>
      </c>
      <c r="G5074">
        <f t="shared" si="159"/>
        <v>54.76</v>
      </c>
    </row>
    <row r="5075" spans="1:7" ht="12.75" customHeight="1">
      <c r="A5075" s="3">
        <v>105371</v>
      </c>
      <c r="B5075" s="4" t="s">
        <v>5097</v>
      </c>
      <c r="C5075" s="3" t="s">
        <v>6</v>
      </c>
      <c r="D5075" s="5">
        <f t="shared" si="158"/>
        <v>21.27</v>
      </c>
      <c r="E5075">
        <v>23.35</v>
      </c>
      <c r="F5075" s="1789">
        <v>8.8999999999999996E-2</v>
      </c>
      <c r="G5075">
        <f t="shared" si="159"/>
        <v>21.27</v>
      </c>
    </row>
    <row r="5076" spans="1:7" ht="12.75" customHeight="1">
      <c r="A5076" s="3">
        <v>105372</v>
      </c>
      <c r="B5076" s="4" t="s">
        <v>5098</v>
      </c>
      <c r="C5076" s="3" t="s">
        <v>6</v>
      </c>
      <c r="D5076" s="5">
        <f t="shared" si="158"/>
        <v>6.23</v>
      </c>
      <c r="E5076">
        <v>6.84</v>
      </c>
      <c r="F5076" s="1789">
        <v>8.8999999999999996E-2</v>
      </c>
      <c r="G5076">
        <f t="shared" si="159"/>
        <v>6.23</v>
      </c>
    </row>
    <row r="5077" spans="1:7" ht="12.75" customHeight="1">
      <c r="A5077" s="3">
        <v>105373</v>
      </c>
      <c r="B5077" s="4" t="s">
        <v>5099</v>
      </c>
      <c r="C5077" s="3" t="s">
        <v>6</v>
      </c>
      <c r="D5077" s="5">
        <f t="shared" ref="D5077:D5140" si="160">G5077</f>
        <v>7.24</v>
      </c>
      <c r="E5077">
        <v>7.95</v>
      </c>
      <c r="F5077" s="1789">
        <v>8.8999999999999996E-2</v>
      </c>
      <c r="G5077">
        <f t="shared" ref="G5077:G5140" si="161">TRUNC((1-F5077)*E5077,2)</f>
        <v>7.24</v>
      </c>
    </row>
    <row r="5078" spans="1:7" ht="12.75" customHeight="1">
      <c r="A5078" s="3">
        <v>105374</v>
      </c>
      <c r="B5078" s="4" t="s">
        <v>5100</v>
      </c>
      <c r="C5078" s="3" t="s">
        <v>6</v>
      </c>
      <c r="D5078" s="5">
        <f t="shared" si="160"/>
        <v>98.73</v>
      </c>
      <c r="E5078">
        <v>108.38</v>
      </c>
      <c r="F5078" s="1789">
        <v>8.8999999999999996E-2</v>
      </c>
      <c r="G5078">
        <f t="shared" si="161"/>
        <v>98.73</v>
      </c>
    </row>
    <row r="5079" spans="1:7" ht="12.75" customHeight="1">
      <c r="A5079" s="3">
        <v>105375</v>
      </c>
      <c r="B5079" s="4" t="s">
        <v>5101</v>
      </c>
      <c r="C5079" s="3" t="s">
        <v>6</v>
      </c>
      <c r="D5079" s="5">
        <f t="shared" si="160"/>
        <v>82.07</v>
      </c>
      <c r="E5079">
        <v>90.09</v>
      </c>
      <c r="F5079" s="1789">
        <v>8.8999999999999996E-2</v>
      </c>
      <c r="G5079">
        <f t="shared" si="161"/>
        <v>82.07</v>
      </c>
    </row>
    <row r="5080" spans="1:7" ht="12.75" customHeight="1">
      <c r="A5080" s="3">
        <v>105376</v>
      </c>
      <c r="B5080" s="4" t="s">
        <v>5102</v>
      </c>
      <c r="C5080" s="3" t="s">
        <v>6</v>
      </c>
      <c r="D5080" s="5">
        <f t="shared" si="160"/>
        <v>77.87</v>
      </c>
      <c r="E5080">
        <v>85.48</v>
      </c>
      <c r="F5080" s="1789">
        <v>8.8999999999999996E-2</v>
      </c>
      <c r="G5080">
        <f t="shared" si="161"/>
        <v>77.87</v>
      </c>
    </row>
    <row r="5081" spans="1:7" ht="12.75" customHeight="1">
      <c r="A5081" s="3">
        <v>105381</v>
      </c>
      <c r="B5081" s="4" t="s">
        <v>5103</v>
      </c>
      <c r="C5081" s="3" t="s">
        <v>6</v>
      </c>
      <c r="D5081" s="5">
        <f t="shared" si="160"/>
        <v>9.07</v>
      </c>
      <c r="E5081">
        <v>9.9600000000000009</v>
      </c>
      <c r="F5081" s="1789">
        <v>8.8999999999999996E-2</v>
      </c>
      <c r="G5081">
        <f t="shared" si="161"/>
        <v>9.07</v>
      </c>
    </row>
    <row r="5082" spans="1:7" ht="12.75" customHeight="1">
      <c r="A5082" s="3">
        <v>105382</v>
      </c>
      <c r="B5082" s="4" t="s">
        <v>5104</v>
      </c>
      <c r="C5082" s="3" t="s">
        <v>6</v>
      </c>
      <c r="D5082" s="5">
        <f t="shared" si="160"/>
        <v>10.62</v>
      </c>
      <c r="E5082">
        <v>11.66</v>
      </c>
      <c r="F5082" s="1789">
        <v>8.8999999999999996E-2</v>
      </c>
      <c r="G5082">
        <f t="shared" si="161"/>
        <v>10.62</v>
      </c>
    </row>
    <row r="5083" spans="1:7" ht="12.75" customHeight="1">
      <c r="A5083" s="3">
        <v>105383</v>
      </c>
      <c r="B5083" s="4" t="s">
        <v>5105</v>
      </c>
      <c r="C5083" s="3" t="s">
        <v>6</v>
      </c>
      <c r="D5083" s="5">
        <f t="shared" si="160"/>
        <v>10.64</v>
      </c>
      <c r="E5083">
        <v>11.68</v>
      </c>
      <c r="F5083" s="1789">
        <v>8.8999999999999996E-2</v>
      </c>
      <c r="G5083">
        <f t="shared" si="161"/>
        <v>10.64</v>
      </c>
    </row>
    <row r="5084" spans="1:7" ht="12.75" customHeight="1">
      <c r="A5084" s="3">
        <v>105384</v>
      </c>
      <c r="B5084" s="4" t="s">
        <v>5106</v>
      </c>
      <c r="C5084" s="3" t="s">
        <v>6</v>
      </c>
      <c r="D5084" s="5">
        <f t="shared" si="160"/>
        <v>12.98</v>
      </c>
      <c r="E5084">
        <v>14.25</v>
      </c>
      <c r="F5084" s="1789">
        <v>8.8999999999999996E-2</v>
      </c>
      <c r="G5084">
        <f t="shared" si="161"/>
        <v>12.98</v>
      </c>
    </row>
    <row r="5085" spans="1:7" ht="12.75" customHeight="1">
      <c r="A5085" s="3">
        <v>105385</v>
      </c>
      <c r="B5085" s="4" t="s">
        <v>5107</v>
      </c>
      <c r="C5085" s="3" t="s">
        <v>6</v>
      </c>
      <c r="D5085" s="5">
        <f t="shared" si="160"/>
        <v>15.14</v>
      </c>
      <c r="E5085">
        <v>16.62</v>
      </c>
      <c r="F5085" s="1789">
        <v>8.8999999999999996E-2</v>
      </c>
      <c r="G5085">
        <f t="shared" si="161"/>
        <v>15.14</v>
      </c>
    </row>
    <row r="5086" spans="1:7" ht="12.75" customHeight="1">
      <c r="A5086" s="3">
        <v>105386</v>
      </c>
      <c r="B5086" s="4" t="s">
        <v>5108</v>
      </c>
      <c r="C5086" s="3" t="s">
        <v>6</v>
      </c>
      <c r="D5086" s="5">
        <f t="shared" si="160"/>
        <v>14.66</v>
      </c>
      <c r="E5086">
        <v>16.100000000000001</v>
      </c>
      <c r="F5086" s="1789">
        <v>8.8999999999999996E-2</v>
      </c>
      <c r="G5086">
        <f t="shared" si="161"/>
        <v>14.66</v>
      </c>
    </row>
    <row r="5087" spans="1:7" ht="12.75" customHeight="1">
      <c r="A5087" s="3">
        <v>105387</v>
      </c>
      <c r="B5087" s="4" t="s">
        <v>5109</v>
      </c>
      <c r="C5087" s="3" t="s">
        <v>6</v>
      </c>
      <c r="D5087" s="5">
        <f t="shared" si="160"/>
        <v>18.14</v>
      </c>
      <c r="E5087">
        <v>19.920000000000002</v>
      </c>
      <c r="F5087" s="1789">
        <v>8.8999999999999996E-2</v>
      </c>
      <c r="G5087">
        <f t="shared" si="161"/>
        <v>18.14</v>
      </c>
    </row>
    <row r="5088" spans="1:7" ht="12.75" customHeight="1">
      <c r="A5088" s="3">
        <v>92833</v>
      </c>
      <c r="B5088" s="4" t="s">
        <v>5110</v>
      </c>
      <c r="C5088" s="3" t="s">
        <v>50</v>
      </c>
      <c r="D5088" s="5">
        <f t="shared" si="160"/>
        <v>190.94</v>
      </c>
      <c r="E5088">
        <v>209.6</v>
      </c>
      <c r="F5088" s="1789">
        <v>8.8999999999999996E-2</v>
      </c>
      <c r="G5088">
        <f t="shared" si="161"/>
        <v>190.94</v>
      </c>
    </row>
    <row r="5089" spans="1:7" ht="12.75" customHeight="1">
      <c r="A5089" s="3">
        <v>92834</v>
      </c>
      <c r="B5089" s="4" t="s">
        <v>5111</v>
      </c>
      <c r="C5089" s="3" t="s">
        <v>50</v>
      </c>
      <c r="D5089" s="5">
        <f t="shared" si="160"/>
        <v>17.53</v>
      </c>
      <c r="E5089">
        <v>19.25</v>
      </c>
      <c r="F5089" s="1789">
        <v>8.8999999999999996E-2</v>
      </c>
      <c r="G5089">
        <f t="shared" si="161"/>
        <v>17.53</v>
      </c>
    </row>
    <row r="5090" spans="1:7" ht="12.75" customHeight="1">
      <c r="A5090" s="3">
        <v>92835</v>
      </c>
      <c r="B5090" s="4" t="s">
        <v>5112</v>
      </c>
      <c r="C5090" s="3" t="s">
        <v>50</v>
      </c>
      <c r="D5090" s="5">
        <f t="shared" si="160"/>
        <v>200.84</v>
      </c>
      <c r="E5090">
        <v>220.47</v>
      </c>
      <c r="F5090" s="1789">
        <v>8.8999999999999996E-2</v>
      </c>
      <c r="G5090">
        <f t="shared" si="161"/>
        <v>200.84</v>
      </c>
    </row>
    <row r="5091" spans="1:7" ht="12.75" customHeight="1">
      <c r="A5091" s="3">
        <v>92836</v>
      </c>
      <c r="B5091" s="4" t="s">
        <v>5113</v>
      </c>
      <c r="C5091" s="3" t="s">
        <v>50</v>
      </c>
      <c r="D5091" s="5">
        <f t="shared" si="160"/>
        <v>22.99</v>
      </c>
      <c r="E5091">
        <v>25.24</v>
      </c>
      <c r="F5091" s="1789">
        <v>8.8999999999999996E-2</v>
      </c>
      <c r="G5091">
        <f t="shared" si="161"/>
        <v>22.99</v>
      </c>
    </row>
    <row r="5092" spans="1:7" ht="12.75" customHeight="1">
      <c r="A5092" s="3">
        <v>92837</v>
      </c>
      <c r="B5092" s="4" t="s">
        <v>5114</v>
      </c>
      <c r="C5092" s="3" t="s">
        <v>50</v>
      </c>
      <c r="D5092" s="5">
        <f t="shared" si="160"/>
        <v>357.82</v>
      </c>
      <c r="E5092">
        <v>392.78</v>
      </c>
      <c r="F5092" s="1789">
        <v>8.8999999999999996E-2</v>
      </c>
      <c r="G5092">
        <f t="shared" si="161"/>
        <v>357.82</v>
      </c>
    </row>
    <row r="5093" spans="1:7" ht="12.75" customHeight="1">
      <c r="A5093" s="3">
        <v>92838</v>
      </c>
      <c r="B5093" s="4" t="s">
        <v>5115</v>
      </c>
      <c r="C5093" s="3" t="s">
        <v>50</v>
      </c>
      <c r="D5093" s="5">
        <f t="shared" si="160"/>
        <v>28.77</v>
      </c>
      <c r="E5093">
        <v>31.59</v>
      </c>
      <c r="F5093" s="1789">
        <v>8.8999999999999996E-2</v>
      </c>
      <c r="G5093">
        <f t="shared" si="161"/>
        <v>28.77</v>
      </c>
    </row>
    <row r="5094" spans="1:7" ht="12.75" customHeight="1">
      <c r="A5094" s="3">
        <v>92839</v>
      </c>
      <c r="B5094" s="4" t="s">
        <v>5116</v>
      </c>
      <c r="C5094" s="3" t="s">
        <v>50</v>
      </c>
      <c r="D5094" s="5">
        <f t="shared" si="160"/>
        <v>438.59</v>
      </c>
      <c r="E5094">
        <v>481.44</v>
      </c>
      <c r="F5094" s="1789">
        <v>8.8999999999999996E-2</v>
      </c>
      <c r="G5094">
        <f t="shared" si="161"/>
        <v>438.59</v>
      </c>
    </row>
    <row r="5095" spans="1:7" ht="12.75" customHeight="1">
      <c r="A5095" s="3">
        <v>92840</v>
      </c>
      <c r="B5095" s="4" t="s">
        <v>5117</v>
      </c>
      <c r="C5095" s="3" t="s">
        <v>50</v>
      </c>
      <c r="D5095" s="5">
        <f t="shared" si="160"/>
        <v>34.85</v>
      </c>
      <c r="E5095">
        <v>38.26</v>
      </c>
      <c r="F5095" s="1789">
        <v>8.8999999999999996E-2</v>
      </c>
      <c r="G5095">
        <f t="shared" si="161"/>
        <v>34.85</v>
      </c>
    </row>
    <row r="5096" spans="1:7" ht="12.75" customHeight="1">
      <c r="A5096" s="3">
        <v>92841</v>
      </c>
      <c r="B5096" s="4" t="s">
        <v>5118</v>
      </c>
      <c r="C5096" s="3" t="s">
        <v>50</v>
      </c>
      <c r="D5096" s="5">
        <f t="shared" si="160"/>
        <v>571.32000000000005</v>
      </c>
      <c r="E5096">
        <v>627.14</v>
      </c>
      <c r="F5096" s="1789">
        <v>8.8999999999999996E-2</v>
      </c>
      <c r="G5096">
        <f t="shared" si="161"/>
        <v>571.32000000000005</v>
      </c>
    </row>
    <row r="5097" spans="1:7" ht="12.75" customHeight="1">
      <c r="A5097" s="3">
        <v>92842</v>
      </c>
      <c r="B5097" s="4" t="s">
        <v>5119</v>
      </c>
      <c r="C5097" s="3" t="s">
        <v>50</v>
      </c>
      <c r="D5097" s="5">
        <f t="shared" si="160"/>
        <v>43.96</v>
      </c>
      <c r="E5097">
        <v>48.26</v>
      </c>
      <c r="F5097" s="1789">
        <v>8.8999999999999996E-2</v>
      </c>
      <c r="G5097">
        <f t="shared" si="161"/>
        <v>43.96</v>
      </c>
    </row>
    <row r="5098" spans="1:7" ht="12.75" customHeight="1">
      <c r="A5098" s="3">
        <v>92843</v>
      </c>
      <c r="B5098" s="4" t="s">
        <v>5120</v>
      </c>
      <c r="C5098" s="3" t="s">
        <v>50</v>
      </c>
      <c r="D5098" s="5">
        <f t="shared" si="160"/>
        <v>591.4</v>
      </c>
      <c r="E5098">
        <v>649.17999999999995</v>
      </c>
      <c r="F5098" s="1789">
        <v>8.8999999999999996E-2</v>
      </c>
      <c r="G5098">
        <f t="shared" si="161"/>
        <v>591.4</v>
      </c>
    </row>
    <row r="5099" spans="1:7" ht="12.75" customHeight="1">
      <c r="A5099" s="3">
        <v>92844</v>
      </c>
      <c r="B5099" s="4" t="s">
        <v>5121</v>
      </c>
      <c r="C5099" s="3" t="s">
        <v>50</v>
      </c>
      <c r="D5099" s="5">
        <f t="shared" si="160"/>
        <v>52.39</v>
      </c>
      <c r="E5099">
        <v>57.51</v>
      </c>
      <c r="F5099" s="1789">
        <v>8.8999999999999996E-2</v>
      </c>
      <c r="G5099">
        <f t="shared" si="161"/>
        <v>52.39</v>
      </c>
    </row>
    <row r="5100" spans="1:7" ht="12.75" customHeight="1">
      <c r="A5100" s="3">
        <v>92845</v>
      </c>
      <c r="B5100" s="4" t="s">
        <v>5122</v>
      </c>
      <c r="C5100" s="3" t="s">
        <v>50</v>
      </c>
      <c r="D5100" s="5">
        <f t="shared" si="160"/>
        <v>877.42</v>
      </c>
      <c r="E5100">
        <v>963.14</v>
      </c>
      <c r="F5100" s="1789">
        <v>8.8999999999999996E-2</v>
      </c>
      <c r="G5100">
        <f t="shared" si="161"/>
        <v>877.42</v>
      </c>
    </row>
    <row r="5101" spans="1:7" ht="12.75" customHeight="1">
      <c r="A5101" s="3">
        <v>92846</v>
      </c>
      <c r="B5101" s="4" t="s">
        <v>5123</v>
      </c>
      <c r="C5101" s="3" t="s">
        <v>50</v>
      </c>
      <c r="D5101" s="5">
        <f t="shared" si="160"/>
        <v>60.13</v>
      </c>
      <c r="E5101">
        <v>66.010000000000005</v>
      </c>
      <c r="F5101" s="1789">
        <v>8.8999999999999996E-2</v>
      </c>
      <c r="G5101">
        <f t="shared" si="161"/>
        <v>60.13</v>
      </c>
    </row>
    <row r="5102" spans="1:7" ht="12.75" customHeight="1">
      <c r="A5102" s="3">
        <v>92847</v>
      </c>
      <c r="B5102" s="4" t="s">
        <v>5124</v>
      </c>
      <c r="C5102" s="3" t="s">
        <v>50</v>
      </c>
      <c r="D5102" s="5">
        <f t="shared" si="160"/>
        <v>900.07</v>
      </c>
      <c r="E5102">
        <v>988.01</v>
      </c>
      <c r="F5102" s="1789">
        <v>8.8999999999999996E-2</v>
      </c>
      <c r="G5102">
        <f t="shared" si="161"/>
        <v>900.07</v>
      </c>
    </row>
    <row r="5103" spans="1:7" ht="12.75" customHeight="1">
      <c r="A5103" s="3">
        <v>92848</v>
      </c>
      <c r="B5103" s="4" t="s">
        <v>5125</v>
      </c>
      <c r="C5103" s="3" t="s">
        <v>50</v>
      </c>
      <c r="D5103" s="5">
        <f t="shared" si="160"/>
        <v>71.239999999999995</v>
      </c>
      <c r="E5103">
        <v>78.2</v>
      </c>
      <c r="F5103" s="1789">
        <v>8.8999999999999996E-2</v>
      </c>
      <c r="G5103">
        <f t="shared" si="161"/>
        <v>71.239999999999995</v>
      </c>
    </row>
    <row r="5104" spans="1:7" ht="12.75" customHeight="1">
      <c r="A5104" s="3">
        <v>92849</v>
      </c>
      <c r="B5104" s="4" t="s">
        <v>5126</v>
      </c>
      <c r="C5104" s="3" t="s">
        <v>50</v>
      </c>
      <c r="D5104" s="5">
        <f t="shared" si="160"/>
        <v>192.92</v>
      </c>
      <c r="E5104">
        <v>211.77</v>
      </c>
      <c r="F5104" s="1789">
        <v>8.8999999999999996E-2</v>
      </c>
      <c r="G5104">
        <f t="shared" si="161"/>
        <v>192.92</v>
      </c>
    </row>
    <row r="5105" spans="1:7" ht="12.75" customHeight="1">
      <c r="A5105" s="3">
        <v>92850</v>
      </c>
      <c r="B5105" s="4" t="s">
        <v>5127</v>
      </c>
      <c r="C5105" s="3" t="s">
        <v>50</v>
      </c>
      <c r="D5105" s="5">
        <f t="shared" si="160"/>
        <v>19.510000000000002</v>
      </c>
      <c r="E5105">
        <v>21.42</v>
      </c>
      <c r="F5105" s="1789">
        <v>8.8999999999999996E-2</v>
      </c>
      <c r="G5105">
        <f t="shared" si="161"/>
        <v>19.510000000000002</v>
      </c>
    </row>
    <row r="5106" spans="1:7" ht="12.75" customHeight="1">
      <c r="A5106" s="3">
        <v>92851</v>
      </c>
      <c r="B5106" s="4" t="s">
        <v>5128</v>
      </c>
      <c r="C5106" s="3" t="s">
        <v>50</v>
      </c>
      <c r="D5106" s="5">
        <f t="shared" si="160"/>
        <v>203.67</v>
      </c>
      <c r="E5106">
        <v>223.57</v>
      </c>
      <c r="F5106" s="1789">
        <v>8.8999999999999996E-2</v>
      </c>
      <c r="G5106">
        <f t="shared" si="161"/>
        <v>203.67</v>
      </c>
    </row>
    <row r="5107" spans="1:7" ht="12.75" customHeight="1">
      <c r="A5107" s="3">
        <v>92852</v>
      </c>
      <c r="B5107" s="4" t="s">
        <v>5129</v>
      </c>
      <c r="C5107" s="3" t="s">
        <v>50</v>
      </c>
      <c r="D5107" s="5">
        <f t="shared" si="160"/>
        <v>25.81</v>
      </c>
      <c r="E5107">
        <v>28.34</v>
      </c>
      <c r="F5107" s="1789">
        <v>8.8999999999999996E-2</v>
      </c>
      <c r="G5107">
        <f t="shared" si="161"/>
        <v>25.81</v>
      </c>
    </row>
    <row r="5108" spans="1:7" ht="12.75" customHeight="1">
      <c r="A5108" s="3">
        <v>92853</v>
      </c>
      <c r="B5108" s="4" t="s">
        <v>5130</v>
      </c>
      <c r="C5108" s="3" t="s">
        <v>50</v>
      </c>
      <c r="D5108" s="5">
        <f t="shared" si="160"/>
        <v>361.48</v>
      </c>
      <c r="E5108">
        <v>396.8</v>
      </c>
      <c r="F5108" s="1789">
        <v>8.8999999999999996E-2</v>
      </c>
      <c r="G5108">
        <f t="shared" si="161"/>
        <v>361.48</v>
      </c>
    </row>
    <row r="5109" spans="1:7" ht="12.75" customHeight="1">
      <c r="A5109" s="3">
        <v>92854</v>
      </c>
      <c r="B5109" s="4" t="s">
        <v>5131</v>
      </c>
      <c r="C5109" s="3" t="s">
        <v>50</v>
      </c>
      <c r="D5109" s="5">
        <f t="shared" si="160"/>
        <v>32.44</v>
      </c>
      <c r="E5109">
        <v>35.61</v>
      </c>
      <c r="F5109" s="1789">
        <v>8.8999999999999996E-2</v>
      </c>
      <c r="G5109">
        <f t="shared" si="161"/>
        <v>32.44</v>
      </c>
    </row>
    <row r="5110" spans="1:7" ht="12.75" customHeight="1">
      <c r="A5110" s="3">
        <v>92855</v>
      </c>
      <c r="B5110" s="4" t="s">
        <v>5132</v>
      </c>
      <c r="C5110" s="3" t="s">
        <v>50</v>
      </c>
      <c r="D5110" s="5">
        <f t="shared" si="160"/>
        <v>443.09</v>
      </c>
      <c r="E5110">
        <v>486.38</v>
      </c>
      <c r="F5110" s="1789">
        <v>8.8999999999999996E-2</v>
      </c>
      <c r="G5110">
        <f t="shared" si="161"/>
        <v>443.09</v>
      </c>
    </row>
    <row r="5111" spans="1:7" ht="12.75" customHeight="1">
      <c r="A5111" s="3">
        <v>92856</v>
      </c>
      <c r="B5111" s="4" t="s">
        <v>5133</v>
      </c>
      <c r="C5111" s="3" t="s">
        <v>50</v>
      </c>
      <c r="D5111" s="5">
        <f t="shared" si="160"/>
        <v>39.35</v>
      </c>
      <c r="E5111">
        <v>43.2</v>
      </c>
      <c r="F5111" s="1789">
        <v>8.8999999999999996E-2</v>
      </c>
      <c r="G5111">
        <f t="shared" si="161"/>
        <v>39.35</v>
      </c>
    </row>
    <row r="5112" spans="1:7" ht="12.75" customHeight="1">
      <c r="A5112" s="3">
        <v>92857</v>
      </c>
      <c r="B5112" s="4" t="s">
        <v>5134</v>
      </c>
      <c r="C5112" s="3" t="s">
        <v>50</v>
      </c>
      <c r="D5112" s="5">
        <f t="shared" si="160"/>
        <v>576.67999999999995</v>
      </c>
      <c r="E5112">
        <v>633.02</v>
      </c>
      <c r="F5112" s="1789">
        <v>8.8999999999999996E-2</v>
      </c>
      <c r="G5112">
        <f t="shared" si="161"/>
        <v>576.67999999999995</v>
      </c>
    </row>
    <row r="5113" spans="1:7" ht="12.75" customHeight="1">
      <c r="A5113" s="3">
        <v>92858</v>
      </c>
      <c r="B5113" s="4" t="s">
        <v>5135</v>
      </c>
      <c r="C5113" s="3" t="s">
        <v>50</v>
      </c>
      <c r="D5113" s="5">
        <f t="shared" si="160"/>
        <v>49.32</v>
      </c>
      <c r="E5113">
        <v>54.14</v>
      </c>
      <c r="F5113" s="1789">
        <v>8.8999999999999996E-2</v>
      </c>
      <c r="G5113">
        <f t="shared" si="161"/>
        <v>49.32</v>
      </c>
    </row>
    <row r="5114" spans="1:7" ht="12.75" customHeight="1">
      <c r="A5114" s="3">
        <v>92859</v>
      </c>
      <c r="B5114" s="4" t="s">
        <v>5136</v>
      </c>
      <c r="C5114" s="3" t="s">
        <v>50</v>
      </c>
      <c r="D5114" s="5">
        <f t="shared" si="160"/>
        <v>597.61</v>
      </c>
      <c r="E5114">
        <v>656</v>
      </c>
      <c r="F5114" s="1789">
        <v>8.8999999999999996E-2</v>
      </c>
      <c r="G5114">
        <f t="shared" si="161"/>
        <v>597.61</v>
      </c>
    </row>
    <row r="5115" spans="1:7" ht="12.75" customHeight="1">
      <c r="A5115" s="3">
        <v>92860</v>
      </c>
      <c r="B5115" s="4" t="s">
        <v>5137</v>
      </c>
      <c r="C5115" s="3" t="s">
        <v>50</v>
      </c>
      <c r="D5115" s="5">
        <f t="shared" si="160"/>
        <v>58.6</v>
      </c>
      <c r="E5115">
        <v>64.33</v>
      </c>
      <c r="F5115" s="1789">
        <v>8.8999999999999996E-2</v>
      </c>
      <c r="G5115">
        <f t="shared" si="161"/>
        <v>58.6</v>
      </c>
    </row>
    <row r="5116" spans="1:7" ht="12.75" customHeight="1">
      <c r="A5116" s="3">
        <v>92861</v>
      </c>
      <c r="B5116" s="4" t="s">
        <v>5138</v>
      </c>
      <c r="C5116" s="3" t="s">
        <v>50</v>
      </c>
      <c r="D5116" s="5">
        <f t="shared" si="160"/>
        <v>884.45</v>
      </c>
      <c r="E5116">
        <v>970.86</v>
      </c>
      <c r="F5116" s="1789">
        <v>8.8999999999999996E-2</v>
      </c>
      <c r="G5116">
        <f t="shared" si="161"/>
        <v>884.45</v>
      </c>
    </row>
    <row r="5117" spans="1:7" ht="12.75" customHeight="1">
      <c r="A5117" s="3">
        <v>92862</v>
      </c>
      <c r="B5117" s="4" t="s">
        <v>5139</v>
      </c>
      <c r="C5117" s="3" t="s">
        <v>50</v>
      </c>
      <c r="D5117" s="5">
        <f t="shared" si="160"/>
        <v>67.16</v>
      </c>
      <c r="E5117">
        <v>73.73</v>
      </c>
      <c r="F5117" s="1789">
        <v>8.8999999999999996E-2</v>
      </c>
      <c r="G5117">
        <f t="shared" si="161"/>
        <v>67.16</v>
      </c>
    </row>
    <row r="5118" spans="1:7" ht="12.75" customHeight="1">
      <c r="A5118" s="3">
        <v>92863</v>
      </c>
      <c r="B5118" s="4" t="s">
        <v>5140</v>
      </c>
      <c r="C5118" s="3" t="s">
        <v>50</v>
      </c>
      <c r="D5118" s="5">
        <f t="shared" si="160"/>
        <v>907.96</v>
      </c>
      <c r="E5118">
        <v>996.67</v>
      </c>
      <c r="F5118" s="1789">
        <v>8.8999999999999996E-2</v>
      </c>
      <c r="G5118">
        <f t="shared" si="161"/>
        <v>907.96</v>
      </c>
    </row>
    <row r="5119" spans="1:7" ht="12.75" customHeight="1">
      <c r="A5119" s="3">
        <v>92864</v>
      </c>
      <c r="B5119" s="4" t="s">
        <v>5141</v>
      </c>
      <c r="C5119" s="3" t="s">
        <v>50</v>
      </c>
      <c r="D5119" s="5">
        <f t="shared" si="160"/>
        <v>79.12</v>
      </c>
      <c r="E5119">
        <v>86.86</v>
      </c>
      <c r="F5119" s="1789">
        <v>8.8999999999999996E-2</v>
      </c>
      <c r="G5119">
        <f t="shared" si="161"/>
        <v>79.12</v>
      </c>
    </row>
    <row r="5120" spans="1:7" ht="12.75" customHeight="1">
      <c r="A5120" s="3">
        <v>92210</v>
      </c>
      <c r="B5120" s="4" t="s">
        <v>5142</v>
      </c>
      <c r="C5120" s="3" t="s">
        <v>50</v>
      </c>
      <c r="D5120" s="5">
        <f t="shared" si="160"/>
        <v>136.97999999999999</v>
      </c>
      <c r="E5120">
        <v>150.37</v>
      </c>
      <c r="F5120" s="1789">
        <v>8.8999999999999996E-2</v>
      </c>
      <c r="G5120">
        <f t="shared" si="161"/>
        <v>136.97999999999999</v>
      </c>
    </row>
    <row r="5121" spans="1:7" ht="12.75" customHeight="1">
      <c r="A5121" s="3">
        <v>92211</v>
      </c>
      <c r="B5121" s="4" t="s">
        <v>5143</v>
      </c>
      <c r="C5121" s="3" t="s">
        <v>50</v>
      </c>
      <c r="D5121" s="5">
        <f t="shared" si="160"/>
        <v>166.47</v>
      </c>
      <c r="E5121">
        <v>182.74</v>
      </c>
      <c r="F5121" s="1789">
        <v>8.8999999999999996E-2</v>
      </c>
      <c r="G5121">
        <f t="shared" si="161"/>
        <v>166.47</v>
      </c>
    </row>
    <row r="5122" spans="1:7" ht="12.75" customHeight="1">
      <c r="A5122" s="3">
        <v>92212</v>
      </c>
      <c r="B5122" s="4" t="s">
        <v>5144</v>
      </c>
      <c r="C5122" s="3" t="s">
        <v>50</v>
      </c>
      <c r="D5122" s="5">
        <f t="shared" si="160"/>
        <v>255.75</v>
      </c>
      <c r="E5122">
        <v>280.74</v>
      </c>
      <c r="F5122" s="1789">
        <v>8.8999999999999996E-2</v>
      </c>
      <c r="G5122">
        <f t="shared" si="161"/>
        <v>255.75</v>
      </c>
    </row>
    <row r="5123" spans="1:7" ht="12.75" customHeight="1">
      <c r="A5123" s="3">
        <v>92213</v>
      </c>
      <c r="B5123" s="4" t="s">
        <v>5145</v>
      </c>
      <c r="C5123" s="3" t="s">
        <v>50</v>
      </c>
      <c r="D5123" s="5">
        <f t="shared" si="160"/>
        <v>341.17</v>
      </c>
      <c r="E5123">
        <v>374.51</v>
      </c>
      <c r="F5123" s="1789">
        <v>8.8999999999999996E-2</v>
      </c>
      <c r="G5123">
        <f t="shared" si="161"/>
        <v>341.17</v>
      </c>
    </row>
    <row r="5124" spans="1:7" ht="12.75" customHeight="1">
      <c r="A5124" s="3">
        <v>92214</v>
      </c>
      <c r="B5124" s="4" t="s">
        <v>5146</v>
      </c>
      <c r="C5124" s="3" t="s">
        <v>50</v>
      </c>
      <c r="D5124" s="5">
        <f t="shared" si="160"/>
        <v>413.71</v>
      </c>
      <c r="E5124">
        <v>454.13</v>
      </c>
      <c r="F5124" s="1789">
        <v>8.8999999999999996E-2</v>
      </c>
      <c r="G5124">
        <f t="shared" si="161"/>
        <v>413.71</v>
      </c>
    </row>
    <row r="5125" spans="1:7" ht="12.75" customHeight="1">
      <c r="A5125" s="3">
        <v>92215</v>
      </c>
      <c r="B5125" s="4" t="s">
        <v>5147</v>
      </c>
      <c r="C5125" s="3" t="s">
        <v>50</v>
      </c>
      <c r="D5125" s="5">
        <f t="shared" si="160"/>
        <v>475.28</v>
      </c>
      <c r="E5125">
        <v>521.72</v>
      </c>
      <c r="F5125" s="1789">
        <v>8.8999999999999996E-2</v>
      </c>
      <c r="G5125">
        <f t="shared" si="161"/>
        <v>475.28</v>
      </c>
    </row>
    <row r="5126" spans="1:7" ht="12.75" customHeight="1">
      <c r="A5126" s="3">
        <v>92216</v>
      </c>
      <c r="B5126" s="4" t="s">
        <v>5148</v>
      </c>
      <c r="C5126" s="3" t="s">
        <v>50</v>
      </c>
      <c r="D5126" s="5">
        <f t="shared" si="160"/>
        <v>492.59</v>
      </c>
      <c r="E5126">
        <v>540.72</v>
      </c>
      <c r="F5126" s="1789">
        <v>8.8999999999999996E-2</v>
      </c>
      <c r="G5126">
        <f t="shared" si="161"/>
        <v>492.59</v>
      </c>
    </row>
    <row r="5127" spans="1:7" ht="12.75" customHeight="1">
      <c r="A5127" s="3">
        <v>92219</v>
      </c>
      <c r="B5127" s="4" t="s">
        <v>5149</v>
      </c>
      <c r="C5127" s="3" t="s">
        <v>50</v>
      </c>
      <c r="D5127" s="5">
        <f t="shared" si="160"/>
        <v>139.80000000000001</v>
      </c>
      <c r="E5127">
        <v>153.46</v>
      </c>
      <c r="F5127" s="1789">
        <v>8.8999999999999996E-2</v>
      </c>
      <c r="G5127">
        <f t="shared" si="161"/>
        <v>139.80000000000001</v>
      </c>
    </row>
    <row r="5128" spans="1:7" ht="12.75" customHeight="1">
      <c r="A5128" s="3">
        <v>92220</v>
      </c>
      <c r="B5128" s="4" t="s">
        <v>5150</v>
      </c>
      <c r="C5128" s="3" t="s">
        <v>50</v>
      </c>
      <c r="D5128" s="5">
        <f t="shared" si="160"/>
        <v>170.14</v>
      </c>
      <c r="E5128">
        <v>186.77</v>
      </c>
      <c r="F5128" s="1789">
        <v>8.8999999999999996E-2</v>
      </c>
      <c r="G5128">
        <f t="shared" si="161"/>
        <v>170.14</v>
      </c>
    </row>
    <row r="5129" spans="1:7" ht="12.75" customHeight="1">
      <c r="A5129" s="3">
        <v>92221</v>
      </c>
      <c r="B5129" s="4" t="s">
        <v>5151</v>
      </c>
      <c r="C5129" s="3" t="s">
        <v>50</v>
      </c>
      <c r="D5129" s="5">
        <f t="shared" si="160"/>
        <v>260.24</v>
      </c>
      <c r="E5129">
        <v>285.67</v>
      </c>
      <c r="F5129" s="1789">
        <v>8.8999999999999996E-2</v>
      </c>
      <c r="G5129">
        <f t="shared" si="161"/>
        <v>260.24</v>
      </c>
    </row>
    <row r="5130" spans="1:7" ht="12.75" customHeight="1">
      <c r="A5130" s="3">
        <v>92222</v>
      </c>
      <c r="B5130" s="4" t="s">
        <v>5152</v>
      </c>
      <c r="C5130" s="3" t="s">
        <v>50</v>
      </c>
      <c r="D5130" s="5">
        <f t="shared" si="160"/>
        <v>346.51</v>
      </c>
      <c r="E5130">
        <v>380.37</v>
      </c>
      <c r="F5130" s="1789">
        <v>8.8999999999999996E-2</v>
      </c>
      <c r="G5130">
        <f t="shared" si="161"/>
        <v>346.51</v>
      </c>
    </row>
    <row r="5131" spans="1:7" ht="12.75" customHeight="1">
      <c r="A5131" s="3">
        <v>92223</v>
      </c>
      <c r="B5131" s="4" t="s">
        <v>5153</v>
      </c>
      <c r="C5131" s="3" t="s">
        <v>50</v>
      </c>
      <c r="D5131" s="5">
        <f t="shared" si="160"/>
        <v>419.88</v>
      </c>
      <c r="E5131">
        <v>460.91</v>
      </c>
      <c r="F5131" s="1789">
        <v>8.8999999999999996E-2</v>
      </c>
      <c r="G5131">
        <f t="shared" si="161"/>
        <v>419.88</v>
      </c>
    </row>
    <row r="5132" spans="1:7" ht="12.75" customHeight="1">
      <c r="A5132" s="3">
        <v>92224</v>
      </c>
      <c r="B5132" s="4" t="s">
        <v>5154</v>
      </c>
      <c r="C5132" s="3" t="s">
        <v>50</v>
      </c>
      <c r="D5132" s="5">
        <f t="shared" si="160"/>
        <v>482.32</v>
      </c>
      <c r="E5132">
        <v>529.45000000000005</v>
      </c>
      <c r="F5132" s="1789">
        <v>8.8999999999999996E-2</v>
      </c>
      <c r="G5132">
        <f t="shared" si="161"/>
        <v>482.32</v>
      </c>
    </row>
    <row r="5133" spans="1:7" ht="12.75" customHeight="1">
      <c r="A5133" s="3">
        <v>92226</v>
      </c>
      <c r="B5133" s="4" t="s">
        <v>5155</v>
      </c>
      <c r="C5133" s="3" t="s">
        <v>50</v>
      </c>
      <c r="D5133" s="5">
        <f t="shared" si="160"/>
        <v>500.47</v>
      </c>
      <c r="E5133">
        <v>549.37</v>
      </c>
      <c r="F5133" s="1789">
        <v>8.8999999999999996E-2</v>
      </c>
      <c r="G5133">
        <f t="shared" si="161"/>
        <v>500.47</v>
      </c>
    </row>
    <row r="5134" spans="1:7" ht="12.75" customHeight="1">
      <c r="A5134" s="3">
        <v>92808</v>
      </c>
      <c r="B5134" s="4" t="s">
        <v>5156</v>
      </c>
      <c r="C5134" s="3" t="s">
        <v>50</v>
      </c>
      <c r="D5134" s="5">
        <f t="shared" si="160"/>
        <v>19.79</v>
      </c>
      <c r="E5134">
        <v>21.73</v>
      </c>
      <c r="F5134" s="1789">
        <v>8.8999999999999996E-2</v>
      </c>
      <c r="G5134">
        <f t="shared" si="161"/>
        <v>19.79</v>
      </c>
    </row>
    <row r="5135" spans="1:7" ht="12.75" customHeight="1">
      <c r="A5135" s="3">
        <v>92809</v>
      </c>
      <c r="B5135" s="4" t="s">
        <v>5157</v>
      </c>
      <c r="C5135" s="3" t="s">
        <v>50</v>
      </c>
      <c r="D5135" s="5">
        <f t="shared" si="160"/>
        <v>27.61</v>
      </c>
      <c r="E5135">
        <v>30.31</v>
      </c>
      <c r="F5135" s="1789">
        <v>8.8999999999999996E-2</v>
      </c>
      <c r="G5135">
        <f t="shared" si="161"/>
        <v>27.61</v>
      </c>
    </row>
    <row r="5136" spans="1:7" ht="12.75" customHeight="1">
      <c r="A5136" s="3">
        <v>92810</v>
      </c>
      <c r="B5136" s="4" t="s">
        <v>5158</v>
      </c>
      <c r="C5136" s="3" t="s">
        <v>50</v>
      </c>
      <c r="D5136" s="5">
        <f t="shared" si="160"/>
        <v>35.75</v>
      </c>
      <c r="E5136">
        <v>39.25</v>
      </c>
      <c r="F5136" s="1789">
        <v>8.8999999999999996E-2</v>
      </c>
      <c r="G5136">
        <f t="shared" si="161"/>
        <v>35.75</v>
      </c>
    </row>
    <row r="5137" spans="1:7" ht="12.75" customHeight="1">
      <c r="A5137" s="3">
        <v>92811</v>
      </c>
      <c r="B5137" s="4" t="s">
        <v>5159</v>
      </c>
      <c r="C5137" s="3" t="s">
        <v>50</v>
      </c>
      <c r="D5137" s="5">
        <f t="shared" si="160"/>
        <v>44.1</v>
      </c>
      <c r="E5137">
        <v>48.41</v>
      </c>
      <c r="F5137" s="1789">
        <v>8.8999999999999996E-2</v>
      </c>
      <c r="G5137">
        <f t="shared" si="161"/>
        <v>44.1</v>
      </c>
    </row>
    <row r="5138" spans="1:7" ht="12.75" customHeight="1">
      <c r="A5138" s="3">
        <v>92812</v>
      </c>
      <c r="B5138" s="4" t="s">
        <v>5160</v>
      </c>
      <c r="C5138" s="3" t="s">
        <v>50</v>
      </c>
      <c r="D5138" s="5">
        <f t="shared" si="160"/>
        <v>52.69</v>
      </c>
      <c r="E5138">
        <v>57.84</v>
      </c>
      <c r="F5138" s="1789">
        <v>8.8999999999999996E-2</v>
      </c>
      <c r="G5138">
        <f t="shared" si="161"/>
        <v>52.69</v>
      </c>
    </row>
    <row r="5139" spans="1:7" ht="12.75" customHeight="1">
      <c r="A5139" s="3">
        <v>92813</v>
      </c>
      <c r="B5139" s="4" t="s">
        <v>5161</v>
      </c>
      <c r="C5139" s="3" t="s">
        <v>50</v>
      </c>
      <c r="D5139" s="5">
        <f t="shared" si="160"/>
        <v>61.55</v>
      </c>
      <c r="E5139">
        <v>67.569999999999993</v>
      </c>
      <c r="F5139" s="1789">
        <v>8.8999999999999996E-2</v>
      </c>
      <c r="G5139">
        <f t="shared" si="161"/>
        <v>61.55</v>
      </c>
    </row>
    <row r="5140" spans="1:7" ht="12.75" customHeight="1">
      <c r="A5140" s="3">
        <v>92814</v>
      </c>
      <c r="B5140" s="4" t="s">
        <v>5162</v>
      </c>
      <c r="C5140" s="3" t="s">
        <v>50</v>
      </c>
      <c r="D5140" s="5">
        <f t="shared" si="160"/>
        <v>70.650000000000006</v>
      </c>
      <c r="E5140">
        <v>77.56</v>
      </c>
      <c r="F5140" s="1789">
        <v>8.8999999999999996E-2</v>
      </c>
      <c r="G5140">
        <f t="shared" si="161"/>
        <v>70.650000000000006</v>
      </c>
    </row>
    <row r="5141" spans="1:7" ht="12.75" customHeight="1">
      <c r="A5141" s="3">
        <v>92815</v>
      </c>
      <c r="B5141" s="4" t="s">
        <v>5163</v>
      </c>
      <c r="C5141" s="3" t="s">
        <v>50</v>
      </c>
      <c r="D5141" s="5">
        <f t="shared" ref="D5141:D5204" si="162">G5141</f>
        <v>79.95</v>
      </c>
      <c r="E5141">
        <v>87.77</v>
      </c>
      <c r="F5141" s="1789">
        <v>8.8999999999999996E-2</v>
      </c>
      <c r="G5141">
        <f t="shared" ref="G5141:G5204" si="163">TRUNC((1-F5141)*E5141,2)</f>
        <v>79.95</v>
      </c>
    </row>
    <row r="5142" spans="1:7" ht="12.75" customHeight="1">
      <c r="A5142" s="3">
        <v>92816</v>
      </c>
      <c r="B5142" s="4" t="s">
        <v>5164</v>
      </c>
      <c r="C5142" s="3" t="s">
        <v>50</v>
      </c>
      <c r="D5142" s="5">
        <f t="shared" si="162"/>
        <v>715.65</v>
      </c>
      <c r="E5142">
        <v>785.57</v>
      </c>
      <c r="F5142" s="1789">
        <v>8.8999999999999996E-2</v>
      </c>
      <c r="G5142">
        <f t="shared" si="163"/>
        <v>715.65</v>
      </c>
    </row>
    <row r="5143" spans="1:7" ht="12.75" customHeight="1">
      <c r="A5143" s="3">
        <v>92817</v>
      </c>
      <c r="B5143" s="4" t="s">
        <v>5165</v>
      </c>
      <c r="C5143" s="3" t="s">
        <v>50</v>
      </c>
      <c r="D5143" s="5">
        <f t="shared" si="162"/>
        <v>99.36</v>
      </c>
      <c r="E5143">
        <v>109.07</v>
      </c>
      <c r="F5143" s="1789">
        <v>8.8999999999999996E-2</v>
      </c>
      <c r="G5143">
        <f t="shared" si="163"/>
        <v>99.36</v>
      </c>
    </row>
    <row r="5144" spans="1:7" ht="12.75" customHeight="1">
      <c r="A5144" s="3">
        <v>92818</v>
      </c>
      <c r="B5144" s="4" t="s">
        <v>5166</v>
      </c>
      <c r="C5144" s="3" t="s">
        <v>50</v>
      </c>
      <c r="D5144" s="5">
        <f t="shared" si="162"/>
        <v>1023.14</v>
      </c>
      <c r="E5144">
        <v>1123.0999999999999</v>
      </c>
      <c r="F5144" s="1789">
        <v>8.8999999999999996E-2</v>
      </c>
      <c r="G5144">
        <f t="shared" si="163"/>
        <v>1023.14</v>
      </c>
    </row>
    <row r="5145" spans="1:7" ht="12.75" customHeight="1">
      <c r="A5145" s="3">
        <v>92819</v>
      </c>
      <c r="B5145" s="4" t="s">
        <v>5167</v>
      </c>
      <c r="C5145" s="3" t="s">
        <v>50</v>
      </c>
      <c r="D5145" s="5">
        <f t="shared" si="162"/>
        <v>130.27000000000001</v>
      </c>
      <c r="E5145">
        <v>143</v>
      </c>
      <c r="F5145" s="1789">
        <v>8.8999999999999996E-2</v>
      </c>
      <c r="G5145">
        <f t="shared" si="163"/>
        <v>130.27000000000001</v>
      </c>
    </row>
    <row r="5146" spans="1:7" ht="12.75" customHeight="1">
      <c r="A5146" s="3">
        <v>92820</v>
      </c>
      <c r="B5146" s="4" t="s">
        <v>5168</v>
      </c>
      <c r="C5146" s="3" t="s">
        <v>50</v>
      </c>
      <c r="D5146" s="5">
        <f t="shared" si="162"/>
        <v>21.77</v>
      </c>
      <c r="E5146">
        <v>23.9</v>
      </c>
      <c r="F5146" s="1789">
        <v>8.8999999999999996E-2</v>
      </c>
      <c r="G5146">
        <f t="shared" si="163"/>
        <v>21.77</v>
      </c>
    </row>
    <row r="5147" spans="1:7" ht="12.75" customHeight="1">
      <c r="A5147" s="3">
        <v>92821</v>
      </c>
      <c r="B5147" s="4" t="s">
        <v>5169</v>
      </c>
      <c r="C5147" s="3" t="s">
        <v>50</v>
      </c>
      <c r="D5147" s="5">
        <f t="shared" si="162"/>
        <v>30.42</v>
      </c>
      <c r="E5147">
        <v>33.4</v>
      </c>
      <c r="F5147" s="1789">
        <v>8.8999999999999996E-2</v>
      </c>
      <c r="G5147">
        <f t="shared" si="163"/>
        <v>30.42</v>
      </c>
    </row>
    <row r="5148" spans="1:7" ht="12.75" customHeight="1">
      <c r="A5148" s="3">
        <v>92822</v>
      </c>
      <c r="B5148" s="4" t="s">
        <v>5170</v>
      </c>
      <c r="C5148" s="3" t="s">
        <v>50</v>
      </c>
      <c r="D5148" s="5">
        <f t="shared" si="162"/>
        <v>39.42</v>
      </c>
      <c r="E5148">
        <v>43.28</v>
      </c>
      <c r="F5148" s="1789">
        <v>8.8999999999999996E-2</v>
      </c>
      <c r="G5148">
        <f t="shared" si="163"/>
        <v>39.42</v>
      </c>
    </row>
    <row r="5149" spans="1:7" ht="12.75" customHeight="1">
      <c r="A5149" s="3">
        <v>92824</v>
      </c>
      <c r="B5149" s="4" t="s">
        <v>5171</v>
      </c>
      <c r="C5149" s="3" t="s">
        <v>50</v>
      </c>
      <c r="D5149" s="5">
        <f t="shared" si="162"/>
        <v>48.59</v>
      </c>
      <c r="E5149">
        <v>53.34</v>
      </c>
      <c r="F5149" s="1789">
        <v>8.8999999999999996E-2</v>
      </c>
      <c r="G5149">
        <f t="shared" si="163"/>
        <v>48.59</v>
      </c>
    </row>
    <row r="5150" spans="1:7" ht="12.75" customHeight="1">
      <c r="A5150" s="3">
        <v>92825</v>
      </c>
      <c r="B5150" s="4" t="s">
        <v>5172</v>
      </c>
      <c r="C5150" s="3" t="s">
        <v>50</v>
      </c>
      <c r="D5150" s="5">
        <f t="shared" si="162"/>
        <v>58.03</v>
      </c>
      <c r="E5150">
        <v>63.7</v>
      </c>
      <c r="F5150" s="1789">
        <v>8.8999999999999996E-2</v>
      </c>
      <c r="G5150">
        <f t="shared" si="163"/>
        <v>58.03</v>
      </c>
    </row>
    <row r="5151" spans="1:7" ht="12.75" customHeight="1">
      <c r="A5151" s="3">
        <v>92826</v>
      </c>
      <c r="B5151" s="4" t="s">
        <v>5173</v>
      </c>
      <c r="C5151" s="3" t="s">
        <v>50</v>
      </c>
      <c r="D5151" s="5">
        <f t="shared" si="162"/>
        <v>67.73</v>
      </c>
      <c r="E5151">
        <v>74.349999999999994</v>
      </c>
      <c r="F5151" s="1789">
        <v>8.8999999999999996E-2</v>
      </c>
      <c r="G5151">
        <f t="shared" si="163"/>
        <v>67.73</v>
      </c>
    </row>
    <row r="5152" spans="1:7" ht="12.75" customHeight="1">
      <c r="A5152" s="3">
        <v>92827</v>
      </c>
      <c r="B5152" s="4" t="s">
        <v>5174</v>
      </c>
      <c r="C5152" s="3" t="s">
        <v>50</v>
      </c>
      <c r="D5152" s="5">
        <f t="shared" si="162"/>
        <v>77.69</v>
      </c>
      <c r="E5152">
        <v>85.29</v>
      </c>
      <c r="F5152" s="1789">
        <v>8.8999999999999996E-2</v>
      </c>
      <c r="G5152">
        <f t="shared" si="163"/>
        <v>77.69</v>
      </c>
    </row>
    <row r="5153" spans="1:7" ht="12.75" customHeight="1">
      <c r="A5153" s="3">
        <v>92828</v>
      </c>
      <c r="B5153" s="4" t="s">
        <v>5175</v>
      </c>
      <c r="C5153" s="3" t="s">
        <v>50</v>
      </c>
      <c r="D5153" s="5">
        <f t="shared" si="162"/>
        <v>87.83</v>
      </c>
      <c r="E5153">
        <v>96.42</v>
      </c>
      <c r="F5153" s="1789">
        <v>8.8999999999999996E-2</v>
      </c>
      <c r="G5153">
        <f t="shared" si="163"/>
        <v>87.83</v>
      </c>
    </row>
    <row r="5154" spans="1:7" ht="12.75" customHeight="1">
      <c r="A5154" s="3">
        <v>92829</v>
      </c>
      <c r="B5154" s="4" t="s">
        <v>5176</v>
      </c>
      <c r="C5154" s="3" t="s">
        <v>50</v>
      </c>
      <c r="D5154" s="5">
        <f t="shared" si="162"/>
        <v>725.21</v>
      </c>
      <c r="E5154">
        <v>796.06</v>
      </c>
      <c r="F5154" s="1789">
        <v>8.8999999999999996E-2</v>
      </c>
      <c r="G5154">
        <f t="shared" si="163"/>
        <v>725.21</v>
      </c>
    </row>
    <row r="5155" spans="1:7" ht="12.75" customHeight="1">
      <c r="A5155" s="3">
        <v>92830</v>
      </c>
      <c r="B5155" s="4" t="s">
        <v>5177</v>
      </c>
      <c r="C5155" s="3" t="s">
        <v>50</v>
      </c>
      <c r="D5155" s="5">
        <f t="shared" si="162"/>
        <v>108.91</v>
      </c>
      <c r="E5155">
        <v>119.56</v>
      </c>
      <c r="F5155" s="1789">
        <v>8.8999999999999996E-2</v>
      </c>
      <c r="G5155">
        <f t="shared" si="163"/>
        <v>108.91</v>
      </c>
    </row>
    <row r="5156" spans="1:7" ht="12.75" customHeight="1">
      <c r="A5156" s="3">
        <v>92831</v>
      </c>
      <c r="B5156" s="4" t="s">
        <v>5178</v>
      </c>
      <c r="C5156" s="3" t="s">
        <v>50</v>
      </c>
      <c r="D5156" s="5">
        <f t="shared" si="162"/>
        <v>1035.21</v>
      </c>
      <c r="E5156">
        <v>1136.3499999999999</v>
      </c>
      <c r="F5156" s="1789">
        <v>8.8999999999999996E-2</v>
      </c>
      <c r="G5156">
        <f t="shared" si="163"/>
        <v>1035.21</v>
      </c>
    </row>
    <row r="5157" spans="1:7" ht="12.75" customHeight="1">
      <c r="A5157" s="3">
        <v>92832</v>
      </c>
      <c r="B5157" s="4" t="s">
        <v>5179</v>
      </c>
      <c r="C5157" s="3" t="s">
        <v>50</v>
      </c>
      <c r="D5157" s="5">
        <f t="shared" si="162"/>
        <v>142.34</v>
      </c>
      <c r="E5157">
        <v>156.25</v>
      </c>
      <c r="F5157" s="1789">
        <v>8.8999999999999996E-2</v>
      </c>
      <c r="G5157">
        <f t="shared" si="163"/>
        <v>142.34</v>
      </c>
    </row>
    <row r="5158" spans="1:7" ht="12.75" customHeight="1">
      <c r="A5158" s="3">
        <v>95565</v>
      </c>
      <c r="B5158" s="4" t="s">
        <v>5180</v>
      </c>
      <c r="C5158" s="3" t="s">
        <v>50</v>
      </c>
      <c r="D5158" s="5">
        <f t="shared" si="162"/>
        <v>116.71</v>
      </c>
      <c r="E5158">
        <v>128.12</v>
      </c>
      <c r="F5158" s="1789">
        <v>8.8999999999999996E-2</v>
      </c>
      <c r="G5158">
        <f t="shared" si="163"/>
        <v>116.71</v>
      </c>
    </row>
    <row r="5159" spans="1:7" ht="12.75" customHeight="1">
      <c r="A5159" s="3">
        <v>95566</v>
      </c>
      <c r="B5159" s="4" t="s">
        <v>5181</v>
      </c>
      <c r="C5159" s="3" t="s">
        <v>50</v>
      </c>
      <c r="D5159" s="5">
        <f t="shared" si="162"/>
        <v>118.69</v>
      </c>
      <c r="E5159">
        <v>130.29</v>
      </c>
      <c r="F5159" s="1789">
        <v>8.8999999999999996E-2</v>
      </c>
      <c r="G5159">
        <f t="shared" si="163"/>
        <v>118.69</v>
      </c>
    </row>
    <row r="5160" spans="1:7" ht="12.75" customHeight="1">
      <c r="A5160" s="3">
        <v>95567</v>
      </c>
      <c r="B5160" s="4" t="s">
        <v>5182</v>
      </c>
      <c r="C5160" s="3" t="s">
        <v>50</v>
      </c>
      <c r="D5160" s="5">
        <f t="shared" si="162"/>
        <v>77.97</v>
      </c>
      <c r="E5160">
        <v>85.59</v>
      </c>
      <c r="F5160" s="1789">
        <v>8.8999999999999996E-2</v>
      </c>
      <c r="G5160">
        <f t="shared" si="163"/>
        <v>77.97</v>
      </c>
    </row>
    <row r="5161" spans="1:7" ht="12.75" customHeight="1">
      <c r="A5161" s="3">
        <v>95568</v>
      </c>
      <c r="B5161" s="4" t="s">
        <v>5183</v>
      </c>
      <c r="C5161" s="3" t="s">
        <v>50</v>
      </c>
      <c r="D5161" s="5">
        <f t="shared" si="162"/>
        <v>96.34</v>
      </c>
      <c r="E5161">
        <v>105.76</v>
      </c>
      <c r="F5161" s="1789">
        <v>8.8999999999999996E-2</v>
      </c>
      <c r="G5161">
        <f t="shared" si="163"/>
        <v>96.34</v>
      </c>
    </row>
    <row r="5162" spans="1:7" ht="12.75" customHeight="1">
      <c r="A5162" s="3">
        <v>95569</v>
      </c>
      <c r="B5162" s="4" t="s">
        <v>5184</v>
      </c>
      <c r="C5162" s="3" t="s">
        <v>50</v>
      </c>
      <c r="D5162" s="5">
        <f t="shared" si="162"/>
        <v>138.07</v>
      </c>
      <c r="E5162">
        <v>151.56</v>
      </c>
      <c r="F5162" s="1789">
        <v>8.8999999999999996E-2</v>
      </c>
      <c r="G5162">
        <f t="shared" si="163"/>
        <v>138.07</v>
      </c>
    </row>
    <row r="5163" spans="1:7" ht="12.75" customHeight="1">
      <c r="A5163" s="3">
        <v>95570</v>
      </c>
      <c r="B5163" s="4" t="s">
        <v>5185</v>
      </c>
      <c r="C5163" s="3" t="s">
        <v>50</v>
      </c>
      <c r="D5163" s="5">
        <f t="shared" si="162"/>
        <v>79.94</v>
      </c>
      <c r="E5163">
        <v>87.76</v>
      </c>
      <c r="F5163" s="1789">
        <v>8.8999999999999996E-2</v>
      </c>
      <c r="G5163">
        <f t="shared" si="163"/>
        <v>79.94</v>
      </c>
    </row>
    <row r="5164" spans="1:7" ht="12.75" customHeight="1">
      <c r="A5164" s="3">
        <v>95571</v>
      </c>
      <c r="B5164" s="4" t="s">
        <v>5186</v>
      </c>
      <c r="C5164" s="3" t="s">
        <v>50</v>
      </c>
      <c r="D5164" s="5">
        <f t="shared" si="162"/>
        <v>99.16</v>
      </c>
      <c r="E5164">
        <v>108.85</v>
      </c>
      <c r="F5164" s="1789">
        <v>8.8999999999999996E-2</v>
      </c>
      <c r="G5164">
        <f t="shared" si="163"/>
        <v>99.16</v>
      </c>
    </row>
    <row r="5165" spans="1:7" ht="12.75" customHeight="1">
      <c r="A5165" s="3">
        <v>95572</v>
      </c>
      <c r="B5165" s="4" t="s">
        <v>5187</v>
      </c>
      <c r="C5165" s="3" t="s">
        <v>50</v>
      </c>
      <c r="D5165" s="5">
        <f t="shared" si="162"/>
        <v>141.74</v>
      </c>
      <c r="E5165">
        <v>155.59</v>
      </c>
      <c r="F5165" s="1789">
        <v>8.8999999999999996E-2</v>
      </c>
      <c r="G5165">
        <f t="shared" si="163"/>
        <v>141.74</v>
      </c>
    </row>
    <row r="5166" spans="1:7" ht="12.75" customHeight="1">
      <c r="A5166" s="3">
        <v>97127</v>
      </c>
      <c r="B5166" s="4" t="s">
        <v>5188</v>
      </c>
      <c r="C5166" s="3" t="s">
        <v>50</v>
      </c>
      <c r="D5166" s="5">
        <f t="shared" si="162"/>
        <v>3.68</v>
      </c>
      <c r="E5166">
        <v>4.04</v>
      </c>
      <c r="F5166" s="1789">
        <v>8.8999999999999996E-2</v>
      </c>
      <c r="G5166">
        <f t="shared" si="163"/>
        <v>3.68</v>
      </c>
    </row>
    <row r="5167" spans="1:7" ht="12.75" customHeight="1">
      <c r="A5167" s="3">
        <v>97128</v>
      </c>
      <c r="B5167" s="4" t="s">
        <v>5189</v>
      </c>
      <c r="C5167" s="3" t="s">
        <v>50</v>
      </c>
      <c r="D5167" s="5">
        <f t="shared" si="162"/>
        <v>7.47</v>
      </c>
      <c r="E5167">
        <v>8.2100000000000009</v>
      </c>
      <c r="F5167" s="1789">
        <v>8.8999999999999996E-2</v>
      </c>
      <c r="G5167">
        <f t="shared" si="163"/>
        <v>7.47</v>
      </c>
    </row>
    <row r="5168" spans="1:7" ht="12.75" customHeight="1">
      <c r="A5168" s="3">
        <v>97129</v>
      </c>
      <c r="B5168" s="4" t="s">
        <v>5190</v>
      </c>
      <c r="C5168" s="3" t="s">
        <v>50</v>
      </c>
      <c r="D5168" s="5">
        <f t="shared" si="162"/>
        <v>8.86</v>
      </c>
      <c r="E5168">
        <v>9.73</v>
      </c>
      <c r="F5168" s="1789">
        <v>8.8999999999999996E-2</v>
      </c>
      <c r="G5168">
        <f t="shared" si="163"/>
        <v>8.86</v>
      </c>
    </row>
    <row r="5169" spans="1:7" ht="12.75" customHeight="1">
      <c r="A5169" s="3">
        <v>97130</v>
      </c>
      <c r="B5169" s="4" t="s">
        <v>5191</v>
      </c>
      <c r="C5169" s="3" t="s">
        <v>50</v>
      </c>
      <c r="D5169" s="5">
        <f t="shared" si="162"/>
        <v>10.26</v>
      </c>
      <c r="E5169">
        <v>11.27</v>
      </c>
      <c r="F5169" s="1789">
        <v>8.8999999999999996E-2</v>
      </c>
      <c r="G5169">
        <f t="shared" si="163"/>
        <v>10.26</v>
      </c>
    </row>
    <row r="5170" spans="1:7" ht="12.75" customHeight="1">
      <c r="A5170" s="3">
        <v>97131</v>
      </c>
      <c r="B5170" s="4" t="s">
        <v>5192</v>
      </c>
      <c r="C5170" s="3" t="s">
        <v>50</v>
      </c>
      <c r="D5170" s="5">
        <f t="shared" si="162"/>
        <v>11.65</v>
      </c>
      <c r="E5170">
        <v>12.79</v>
      </c>
      <c r="F5170" s="1789">
        <v>8.8999999999999996E-2</v>
      </c>
      <c r="G5170">
        <f t="shared" si="163"/>
        <v>11.65</v>
      </c>
    </row>
    <row r="5171" spans="1:7" ht="12.75" customHeight="1">
      <c r="A5171" s="3">
        <v>97132</v>
      </c>
      <c r="B5171" s="4" t="s">
        <v>5193</v>
      </c>
      <c r="C5171" s="3" t="s">
        <v>50</v>
      </c>
      <c r="D5171" s="5">
        <f t="shared" si="162"/>
        <v>13.04</v>
      </c>
      <c r="E5171">
        <v>14.32</v>
      </c>
      <c r="F5171" s="1789">
        <v>8.8999999999999996E-2</v>
      </c>
      <c r="G5171">
        <f t="shared" si="163"/>
        <v>13.04</v>
      </c>
    </row>
    <row r="5172" spans="1:7" ht="12.75" customHeight="1">
      <c r="A5172" s="3">
        <v>97133</v>
      </c>
      <c r="B5172" s="4" t="s">
        <v>5194</v>
      </c>
      <c r="C5172" s="3" t="s">
        <v>50</v>
      </c>
      <c r="D5172" s="5">
        <f t="shared" si="162"/>
        <v>15.84</v>
      </c>
      <c r="E5172">
        <v>17.39</v>
      </c>
      <c r="F5172" s="1789">
        <v>8.8999999999999996E-2</v>
      </c>
      <c r="G5172">
        <f t="shared" si="163"/>
        <v>15.84</v>
      </c>
    </row>
    <row r="5173" spans="1:7" ht="12.75" customHeight="1">
      <c r="A5173" s="3">
        <v>97134</v>
      </c>
      <c r="B5173" s="4" t="s">
        <v>5195</v>
      </c>
      <c r="C5173" s="3" t="s">
        <v>50</v>
      </c>
      <c r="D5173" s="5">
        <f t="shared" si="162"/>
        <v>3.07</v>
      </c>
      <c r="E5173">
        <v>3.37</v>
      </c>
      <c r="F5173" s="1789">
        <v>8.8999999999999996E-2</v>
      </c>
      <c r="G5173">
        <f t="shared" si="163"/>
        <v>3.07</v>
      </c>
    </row>
    <row r="5174" spans="1:7" ht="12.75" customHeight="1">
      <c r="A5174" s="3">
        <v>97135</v>
      </c>
      <c r="B5174" s="4" t="s">
        <v>5196</v>
      </c>
      <c r="C5174" s="3" t="s">
        <v>50</v>
      </c>
      <c r="D5174" s="5">
        <f t="shared" si="162"/>
        <v>5.75</v>
      </c>
      <c r="E5174">
        <v>6.32</v>
      </c>
      <c r="F5174" s="1789">
        <v>8.8999999999999996E-2</v>
      </c>
      <c r="G5174">
        <f t="shared" si="163"/>
        <v>5.75</v>
      </c>
    </row>
    <row r="5175" spans="1:7" ht="12.75" customHeight="1">
      <c r="A5175" s="3">
        <v>97136</v>
      </c>
      <c r="B5175" s="4" t="s">
        <v>5197</v>
      </c>
      <c r="C5175" s="3" t="s">
        <v>50</v>
      </c>
      <c r="D5175" s="5">
        <f t="shared" si="162"/>
        <v>6.83</v>
      </c>
      <c r="E5175">
        <v>7.5</v>
      </c>
      <c r="F5175" s="1789">
        <v>8.8999999999999996E-2</v>
      </c>
      <c r="G5175">
        <f t="shared" si="163"/>
        <v>6.83</v>
      </c>
    </row>
    <row r="5176" spans="1:7" ht="12.75" customHeight="1">
      <c r="A5176" s="3">
        <v>97137</v>
      </c>
      <c r="B5176" s="4" t="s">
        <v>5198</v>
      </c>
      <c r="C5176" s="3" t="s">
        <v>50</v>
      </c>
      <c r="D5176" s="5">
        <f t="shared" si="162"/>
        <v>7.91</v>
      </c>
      <c r="E5176">
        <v>8.69</v>
      </c>
      <c r="F5176" s="1789">
        <v>8.8999999999999996E-2</v>
      </c>
      <c r="G5176">
        <f t="shared" si="163"/>
        <v>7.91</v>
      </c>
    </row>
    <row r="5177" spans="1:7" ht="12.75" customHeight="1">
      <c r="A5177" s="3">
        <v>97138</v>
      </c>
      <c r="B5177" s="4" t="s">
        <v>5199</v>
      </c>
      <c r="C5177" s="3" t="s">
        <v>50</v>
      </c>
      <c r="D5177" s="5">
        <f t="shared" si="162"/>
        <v>9</v>
      </c>
      <c r="E5177">
        <v>9.8800000000000008</v>
      </c>
      <c r="F5177" s="1789">
        <v>8.8999999999999996E-2</v>
      </c>
      <c r="G5177">
        <f t="shared" si="163"/>
        <v>9</v>
      </c>
    </row>
    <row r="5178" spans="1:7" ht="12.75" customHeight="1">
      <c r="A5178" s="3">
        <v>97139</v>
      </c>
      <c r="B5178" s="4" t="s">
        <v>5200</v>
      </c>
      <c r="C5178" s="3" t="s">
        <v>50</v>
      </c>
      <c r="D5178" s="5">
        <f t="shared" si="162"/>
        <v>10.07</v>
      </c>
      <c r="E5178">
        <v>11.06</v>
      </c>
      <c r="F5178" s="1789">
        <v>8.8999999999999996E-2</v>
      </c>
      <c r="G5178">
        <f t="shared" si="163"/>
        <v>10.07</v>
      </c>
    </row>
    <row r="5179" spans="1:7" ht="12.75" customHeight="1">
      <c r="A5179" s="3">
        <v>97140</v>
      </c>
      <c r="B5179" s="4" t="s">
        <v>5201</v>
      </c>
      <c r="C5179" s="3" t="s">
        <v>50</v>
      </c>
      <c r="D5179" s="5">
        <f t="shared" si="162"/>
        <v>12.22</v>
      </c>
      <c r="E5179">
        <v>13.42</v>
      </c>
      <c r="F5179" s="1789">
        <v>8.8999999999999996E-2</v>
      </c>
      <c r="G5179">
        <f t="shared" si="163"/>
        <v>12.22</v>
      </c>
    </row>
    <row r="5180" spans="1:7" ht="12.75" customHeight="1">
      <c r="A5180" s="3">
        <v>103089</v>
      </c>
      <c r="B5180" s="4" t="s">
        <v>5202</v>
      </c>
      <c r="C5180" s="3" t="s">
        <v>50</v>
      </c>
      <c r="D5180" s="5">
        <f t="shared" si="162"/>
        <v>10.49</v>
      </c>
      <c r="E5180">
        <v>11.52</v>
      </c>
      <c r="F5180" s="1789">
        <v>8.8999999999999996E-2</v>
      </c>
      <c r="G5180">
        <f t="shared" si="163"/>
        <v>10.49</v>
      </c>
    </row>
    <row r="5181" spans="1:7" ht="12.75" customHeight="1">
      <c r="A5181" s="3">
        <v>103090</v>
      </c>
      <c r="B5181" s="4" t="s">
        <v>5203</v>
      </c>
      <c r="C5181" s="3" t="s">
        <v>50</v>
      </c>
      <c r="D5181" s="5">
        <f t="shared" si="162"/>
        <v>12.52</v>
      </c>
      <c r="E5181">
        <v>13.75</v>
      </c>
      <c r="F5181" s="1789">
        <v>8.8999999999999996E-2</v>
      </c>
      <c r="G5181">
        <f t="shared" si="163"/>
        <v>12.52</v>
      </c>
    </row>
    <row r="5182" spans="1:7" ht="12.75" customHeight="1">
      <c r="A5182" s="3">
        <v>103091</v>
      </c>
      <c r="B5182" s="4" t="s">
        <v>5204</v>
      </c>
      <c r="C5182" s="3" t="s">
        <v>50</v>
      </c>
      <c r="D5182" s="5">
        <f t="shared" si="162"/>
        <v>17.600000000000001</v>
      </c>
      <c r="E5182">
        <v>19.32</v>
      </c>
      <c r="F5182" s="1789">
        <v>8.8999999999999996E-2</v>
      </c>
      <c r="G5182">
        <f t="shared" si="163"/>
        <v>17.600000000000001</v>
      </c>
    </row>
    <row r="5183" spans="1:7" ht="12.75" customHeight="1">
      <c r="A5183" s="3">
        <v>103092</v>
      </c>
      <c r="B5183" s="4" t="s">
        <v>5205</v>
      </c>
      <c r="C5183" s="3" t="s">
        <v>50</v>
      </c>
      <c r="D5183" s="5">
        <f t="shared" si="162"/>
        <v>22.66</v>
      </c>
      <c r="E5183">
        <v>24.88</v>
      </c>
      <c r="F5183" s="1789">
        <v>8.8999999999999996E-2</v>
      </c>
      <c r="G5183">
        <f t="shared" si="163"/>
        <v>22.66</v>
      </c>
    </row>
    <row r="5184" spans="1:7" ht="12.75" customHeight="1">
      <c r="A5184" s="3">
        <v>103093</v>
      </c>
      <c r="B5184" s="4" t="s">
        <v>5206</v>
      </c>
      <c r="C5184" s="3" t="s">
        <v>50</v>
      </c>
      <c r="D5184" s="5">
        <f t="shared" si="162"/>
        <v>34.64</v>
      </c>
      <c r="E5184">
        <v>38.03</v>
      </c>
      <c r="F5184" s="1789">
        <v>8.8999999999999996E-2</v>
      </c>
      <c r="G5184">
        <f t="shared" si="163"/>
        <v>34.64</v>
      </c>
    </row>
    <row r="5185" spans="1:7" ht="12.75" customHeight="1">
      <c r="A5185" s="3">
        <v>103094</v>
      </c>
      <c r="B5185" s="4" t="s">
        <v>5207</v>
      </c>
      <c r="C5185" s="3" t="s">
        <v>50</v>
      </c>
      <c r="D5185" s="5">
        <f t="shared" si="162"/>
        <v>39.74</v>
      </c>
      <c r="E5185">
        <v>43.63</v>
      </c>
      <c r="F5185" s="1789">
        <v>8.8999999999999996E-2</v>
      </c>
      <c r="G5185">
        <f t="shared" si="163"/>
        <v>39.74</v>
      </c>
    </row>
    <row r="5186" spans="1:7" ht="12.75" customHeight="1">
      <c r="A5186" s="3">
        <v>103095</v>
      </c>
      <c r="B5186" s="4" t="s">
        <v>5208</v>
      </c>
      <c r="C5186" s="3" t="s">
        <v>50</v>
      </c>
      <c r="D5186" s="5">
        <f t="shared" si="162"/>
        <v>51.69</v>
      </c>
      <c r="E5186">
        <v>56.75</v>
      </c>
      <c r="F5186" s="1789">
        <v>8.8999999999999996E-2</v>
      </c>
      <c r="G5186">
        <f t="shared" si="163"/>
        <v>51.69</v>
      </c>
    </row>
    <row r="5187" spans="1:7" ht="12.75" customHeight="1">
      <c r="A5187" s="3">
        <v>103096</v>
      </c>
      <c r="B5187" s="4" t="s">
        <v>5209</v>
      </c>
      <c r="C5187" s="3" t="s">
        <v>50</v>
      </c>
      <c r="D5187" s="5">
        <f t="shared" si="162"/>
        <v>56.79</v>
      </c>
      <c r="E5187">
        <v>62.34</v>
      </c>
      <c r="F5187" s="1789">
        <v>8.8999999999999996E-2</v>
      </c>
      <c r="G5187">
        <f t="shared" si="163"/>
        <v>56.79</v>
      </c>
    </row>
    <row r="5188" spans="1:7" ht="12.75" customHeight="1">
      <c r="A5188" s="3">
        <v>103097</v>
      </c>
      <c r="B5188" s="4" t="s">
        <v>5210</v>
      </c>
      <c r="C5188" s="3" t="s">
        <v>50</v>
      </c>
      <c r="D5188" s="5">
        <f t="shared" si="162"/>
        <v>68.75</v>
      </c>
      <c r="E5188">
        <v>75.47</v>
      </c>
      <c r="F5188" s="1789">
        <v>8.8999999999999996E-2</v>
      </c>
      <c r="G5188">
        <f t="shared" si="163"/>
        <v>68.75</v>
      </c>
    </row>
    <row r="5189" spans="1:7" ht="12.75" customHeight="1">
      <c r="A5189" s="3">
        <v>103098</v>
      </c>
      <c r="B5189" s="4" t="s">
        <v>5211</v>
      </c>
      <c r="C5189" s="3" t="s">
        <v>50</v>
      </c>
      <c r="D5189" s="5">
        <f t="shared" si="162"/>
        <v>73.84</v>
      </c>
      <c r="E5189">
        <v>81.06</v>
      </c>
      <c r="F5189" s="1789">
        <v>8.8999999999999996E-2</v>
      </c>
      <c r="G5189">
        <f t="shared" si="163"/>
        <v>73.84</v>
      </c>
    </row>
    <row r="5190" spans="1:7" ht="12.75" customHeight="1">
      <c r="A5190" s="3">
        <v>103099</v>
      </c>
      <c r="B5190" s="4" t="s">
        <v>5212</v>
      </c>
      <c r="C5190" s="3" t="s">
        <v>50</v>
      </c>
      <c r="D5190" s="5">
        <f t="shared" si="162"/>
        <v>83.98</v>
      </c>
      <c r="E5190">
        <v>92.19</v>
      </c>
      <c r="F5190" s="1789">
        <v>8.8999999999999996E-2</v>
      </c>
      <c r="G5190">
        <f t="shared" si="163"/>
        <v>83.98</v>
      </c>
    </row>
    <row r="5191" spans="1:7" ht="12.75" customHeight="1">
      <c r="A5191" s="3">
        <v>103100</v>
      </c>
      <c r="B5191" s="4" t="s">
        <v>5213</v>
      </c>
      <c r="C5191" s="3" t="s">
        <v>50</v>
      </c>
      <c r="D5191" s="5">
        <f t="shared" si="162"/>
        <v>89.59</v>
      </c>
      <c r="E5191">
        <v>98.35</v>
      </c>
      <c r="F5191" s="1789">
        <v>8.8999999999999996E-2</v>
      </c>
      <c r="G5191">
        <f t="shared" si="163"/>
        <v>89.59</v>
      </c>
    </row>
    <row r="5192" spans="1:7" ht="12.75" customHeight="1">
      <c r="A5192" s="3">
        <v>103101</v>
      </c>
      <c r="B5192" s="4" t="s">
        <v>5214</v>
      </c>
      <c r="C5192" s="3" t="s">
        <v>50</v>
      </c>
      <c r="D5192" s="5">
        <f t="shared" si="162"/>
        <v>98.66</v>
      </c>
      <c r="E5192">
        <v>108.3</v>
      </c>
      <c r="F5192" s="1789">
        <v>8.8999999999999996E-2</v>
      </c>
      <c r="G5192">
        <f t="shared" si="163"/>
        <v>98.66</v>
      </c>
    </row>
    <row r="5193" spans="1:7" ht="12.75" customHeight="1">
      <c r="A5193" s="3">
        <v>103102</v>
      </c>
      <c r="B5193" s="4" t="s">
        <v>5215</v>
      </c>
      <c r="C5193" s="3" t="s">
        <v>50</v>
      </c>
      <c r="D5193" s="5">
        <f t="shared" si="162"/>
        <v>113.62</v>
      </c>
      <c r="E5193">
        <v>124.73</v>
      </c>
      <c r="F5193" s="1789">
        <v>8.8999999999999996E-2</v>
      </c>
      <c r="G5193">
        <f t="shared" si="163"/>
        <v>113.62</v>
      </c>
    </row>
    <row r="5194" spans="1:7" ht="12.75" customHeight="1">
      <c r="A5194" s="3">
        <v>103103</v>
      </c>
      <c r="B5194" s="4" t="s">
        <v>5216</v>
      </c>
      <c r="C5194" s="3" t="s">
        <v>50</v>
      </c>
      <c r="D5194" s="5">
        <f t="shared" si="162"/>
        <v>122.69</v>
      </c>
      <c r="E5194">
        <v>134.68</v>
      </c>
      <c r="F5194" s="1789">
        <v>8.8999999999999996E-2</v>
      </c>
      <c r="G5194">
        <f t="shared" si="163"/>
        <v>122.69</v>
      </c>
    </row>
    <row r="5195" spans="1:7" ht="12.75" customHeight="1">
      <c r="A5195" s="3">
        <v>103104</v>
      </c>
      <c r="B5195" s="4" t="s">
        <v>5217</v>
      </c>
      <c r="C5195" s="3" t="s">
        <v>50</v>
      </c>
      <c r="D5195" s="5">
        <f t="shared" si="162"/>
        <v>146.71</v>
      </c>
      <c r="E5195">
        <v>161.05000000000001</v>
      </c>
      <c r="F5195" s="1789">
        <v>8.8999999999999996E-2</v>
      </c>
      <c r="G5195">
        <f t="shared" si="163"/>
        <v>146.71</v>
      </c>
    </row>
    <row r="5196" spans="1:7" ht="12.75" customHeight="1">
      <c r="A5196" s="3">
        <v>103105</v>
      </c>
      <c r="B5196" s="4" t="s">
        <v>5218</v>
      </c>
      <c r="C5196" s="3" t="s">
        <v>6</v>
      </c>
      <c r="D5196" s="5">
        <f t="shared" si="162"/>
        <v>44.57</v>
      </c>
      <c r="E5196">
        <v>48.93</v>
      </c>
      <c r="F5196" s="1789">
        <v>8.8999999999999996E-2</v>
      </c>
      <c r="G5196">
        <f t="shared" si="163"/>
        <v>44.57</v>
      </c>
    </row>
    <row r="5197" spans="1:7" ht="12.75" customHeight="1">
      <c r="A5197" s="3">
        <v>103106</v>
      </c>
      <c r="B5197" s="4" t="s">
        <v>5219</v>
      </c>
      <c r="C5197" s="3" t="s">
        <v>6</v>
      </c>
      <c r="D5197" s="5">
        <f t="shared" si="162"/>
        <v>53.11</v>
      </c>
      <c r="E5197">
        <v>58.3</v>
      </c>
      <c r="F5197" s="1789">
        <v>8.8999999999999996E-2</v>
      </c>
      <c r="G5197">
        <f t="shared" si="163"/>
        <v>53.11</v>
      </c>
    </row>
    <row r="5198" spans="1:7" ht="12.75" customHeight="1">
      <c r="A5198" s="3">
        <v>103107</v>
      </c>
      <c r="B5198" s="4" t="s">
        <v>5220</v>
      </c>
      <c r="C5198" s="3" t="s">
        <v>6</v>
      </c>
      <c r="D5198" s="5">
        <f t="shared" si="162"/>
        <v>74.42</v>
      </c>
      <c r="E5198">
        <v>81.7</v>
      </c>
      <c r="F5198" s="1789">
        <v>8.8999999999999996E-2</v>
      </c>
      <c r="G5198">
        <f t="shared" si="163"/>
        <v>74.42</v>
      </c>
    </row>
    <row r="5199" spans="1:7" ht="12.75" customHeight="1">
      <c r="A5199" s="3">
        <v>103108</v>
      </c>
      <c r="B5199" s="4" t="s">
        <v>5221</v>
      </c>
      <c r="C5199" s="3" t="s">
        <v>6</v>
      </c>
      <c r="D5199" s="5">
        <f t="shared" si="162"/>
        <v>95.71</v>
      </c>
      <c r="E5199">
        <v>105.07</v>
      </c>
      <c r="F5199" s="1789">
        <v>8.8999999999999996E-2</v>
      </c>
      <c r="G5199">
        <f t="shared" si="163"/>
        <v>95.71</v>
      </c>
    </row>
    <row r="5200" spans="1:7" ht="12.75" customHeight="1">
      <c r="A5200" s="3">
        <v>103109</v>
      </c>
      <c r="B5200" s="4" t="s">
        <v>5222</v>
      </c>
      <c r="C5200" s="3" t="s">
        <v>6</v>
      </c>
      <c r="D5200" s="5">
        <f t="shared" si="162"/>
        <v>157.07</v>
      </c>
      <c r="E5200">
        <v>172.42</v>
      </c>
      <c r="F5200" s="1789">
        <v>8.8999999999999996E-2</v>
      </c>
      <c r="G5200">
        <f t="shared" si="163"/>
        <v>157.07</v>
      </c>
    </row>
    <row r="5201" spans="1:7" ht="12.75" customHeight="1">
      <c r="A5201" s="3">
        <v>103110</v>
      </c>
      <c r="B5201" s="4" t="s">
        <v>5223</v>
      </c>
      <c r="C5201" s="3" t="s">
        <v>6</v>
      </c>
      <c r="D5201" s="5">
        <f t="shared" si="162"/>
        <v>178.37</v>
      </c>
      <c r="E5201">
        <v>195.8</v>
      </c>
      <c r="F5201" s="1789">
        <v>8.8999999999999996E-2</v>
      </c>
      <c r="G5201">
        <f t="shared" si="163"/>
        <v>178.37</v>
      </c>
    </row>
    <row r="5202" spans="1:7" ht="12.75" customHeight="1">
      <c r="A5202" s="3">
        <v>103111</v>
      </c>
      <c r="B5202" s="4" t="s">
        <v>5224</v>
      </c>
      <c r="C5202" s="3" t="s">
        <v>6</v>
      </c>
      <c r="D5202" s="5">
        <f t="shared" si="162"/>
        <v>239.72</v>
      </c>
      <c r="E5202">
        <v>263.14</v>
      </c>
      <c r="F5202" s="1789">
        <v>8.8999999999999996E-2</v>
      </c>
      <c r="G5202">
        <f t="shared" si="163"/>
        <v>239.72</v>
      </c>
    </row>
    <row r="5203" spans="1:7" ht="12.75" customHeight="1">
      <c r="A5203" s="3">
        <v>103112</v>
      </c>
      <c r="B5203" s="4" t="s">
        <v>5225</v>
      </c>
      <c r="C5203" s="3" t="s">
        <v>6</v>
      </c>
      <c r="D5203" s="5">
        <f t="shared" si="162"/>
        <v>261.02</v>
      </c>
      <c r="E5203">
        <v>286.52999999999997</v>
      </c>
      <c r="F5203" s="1789">
        <v>8.8999999999999996E-2</v>
      </c>
      <c r="G5203">
        <f t="shared" si="163"/>
        <v>261.02</v>
      </c>
    </row>
    <row r="5204" spans="1:7" ht="12.75" customHeight="1">
      <c r="A5204" s="3">
        <v>103113</v>
      </c>
      <c r="B5204" s="4" t="s">
        <v>5226</v>
      </c>
      <c r="C5204" s="3" t="s">
        <v>6</v>
      </c>
      <c r="D5204" s="5">
        <f t="shared" si="162"/>
        <v>322.37</v>
      </c>
      <c r="E5204">
        <v>353.87</v>
      </c>
      <c r="F5204" s="1789">
        <v>8.8999999999999996E-2</v>
      </c>
      <c r="G5204">
        <f t="shared" si="163"/>
        <v>322.37</v>
      </c>
    </row>
    <row r="5205" spans="1:7" ht="12.75" customHeight="1">
      <c r="A5205" s="3">
        <v>103114</v>
      </c>
      <c r="B5205" s="4" t="s">
        <v>5227</v>
      </c>
      <c r="C5205" s="3" t="s">
        <v>6</v>
      </c>
      <c r="D5205" s="5">
        <f t="shared" ref="D5205:D5268" si="164">G5205</f>
        <v>343.67</v>
      </c>
      <c r="E5205">
        <v>377.25</v>
      </c>
      <c r="F5205" s="1789">
        <v>8.8999999999999996E-2</v>
      </c>
      <c r="G5205">
        <f t="shared" ref="G5205:G5268" si="165">TRUNC((1-F5205)*E5205,2)</f>
        <v>343.67</v>
      </c>
    </row>
    <row r="5206" spans="1:7" ht="12.75" customHeight="1">
      <c r="A5206" s="3">
        <v>103115</v>
      </c>
      <c r="B5206" s="4" t="s">
        <v>5228</v>
      </c>
      <c r="C5206" s="3" t="s">
        <v>6</v>
      </c>
      <c r="D5206" s="5">
        <f t="shared" si="164"/>
        <v>386.3</v>
      </c>
      <c r="E5206">
        <v>424.04</v>
      </c>
      <c r="F5206" s="1789">
        <v>8.8999999999999996E-2</v>
      </c>
      <c r="G5206">
        <f t="shared" si="165"/>
        <v>386.3</v>
      </c>
    </row>
    <row r="5207" spans="1:7" ht="12.75" customHeight="1">
      <c r="A5207" s="3">
        <v>103116</v>
      </c>
      <c r="B5207" s="4" t="s">
        <v>5229</v>
      </c>
      <c r="C5207" s="3" t="s">
        <v>6</v>
      </c>
      <c r="D5207" s="5">
        <f t="shared" si="164"/>
        <v>468.95</v>
      </c>
      <c r="E5207">
        <v>514.77</v>
      </c>
      <c r="F5207" s="1789">
        <v>8.8999999999999996E-2</v>
      </c>
      <c r="G5207">
        <f t="shared" si="165"/>
        <v>468.95</v>
      </c>
    </row>
    <row r="5208" spans="1:7" ht="12.75" customHeight="1">
      <c r="A5208" s="3">
        <v>103117</v>
      </c>
      <c r="B5208" s="4" t="s">
        <v>5230</v>
      </c>
      <c r="C5208" s="3" t="s">
        <v>6</v>
      </c>
      <c r="D5208" s="5">
        <f t="shared" si="164"/>
        <v>511.56</v>
      </c>
      <c r="E5208">
        <v>561.54</v>
      </c>
      <c r="F5208" s="1789">
        <v>8.8999999999999996E-2</v>
      </c>
      <c r="G5208">
        <f t="shared" si="165"/>
        <v>511.56</v>
      </c>
    </row>
    <row r="5209" spans="1:7" ht="12.75" customHeight="1">
      <c r="A5209" s="3">
        <v>103118</v>
      </c>
      <c r="B5209" s="4" t="s">
        <v>5231</v>
      </c>
      <c r="C5209" s="3" t="s">
        <v>6</v>
      </c>
      <c r="D5209" s="5">
        <f t="shared" si="164"/>
        <v>594.21</v>
      </c>
      <c r="E5209">
        <v>652.27</v>
      </c>
      <c r="F5209" s="1789">
        <v>8.8999999999999996E-2</v>
      </c>
      <c r="G5209">
        <f t="shared" si="165"/>
        <v>594.21</v>
      </c>
    </row>
    <row r="5210" spans="1:7" ht="12.75" customHeight="1">
      <c r="A5210" s="3">
        <v>103119</v>
      </c>
      <c r="B5210" s="4" t="s">
        <v>5232</v>
      </c>
      <c r="C5210" s="3" t="s">
        <v>6</v>
      </c>
      <c r="D5210" s="5">
        <f t="shared" si="164"/>
        <v>636.83000000000004</v>
      </c>
      <c r="E5210">
        <v>699.05</v>
      </c>
      <c r="F5210" s="1789">
        <v>8.8999999999999996E-2</v>
      </c>
      <c r="G5210">
        <f t="shared" si="165"/>
        <v>636.83000000000004</v>
      </c>
    </row>
    <row r="5211" spans="1:7" ht="12.75" customHeight="1">
      <c r="A5211" s="3">
        <v>103120</v>
      </c>
      <c r="B5211" s="4" t="s">
        <v>5233</v>
      </c>
      <c r="C5211" s="3" t="s">
        <v>6</v>
      </c>
      <c r="D5211" s="5">
        <f t="shared" si="164"/>
        <v>762.1</v>
      </c>
      <c r="E5211">
        <v>836.56</v>
      </c>
      <c r="F5211" s="1789">
        <v>8.8999999999999996E-2</v>
      </c>
      <c r="G5211">
        <f t="shared" si="165"/>
        <v>762.1</v>
      </c>
    </row>
    <row r="5212" spans="1:7" ht="12.75" customHeight="1">
      <c r="A5212" s="3">
        <v>103121</v>
      </c>
      <c r="B5212" s="4" t="s">
        <v>5234</v>
      </c>
      <c r="C5212" s="3" t="s">
        <v>6</v>
      </c>
      <c r="D5212" s="5">
        <f t="shared" si="164"/>
        <v>58.38</v>
      </c>
      <c r="E5212">
        <v>64.09</v>
      </c>
      <c r="F5212" s="1789">
        <v>8.8999999999999996E-2</v>
      </c>
      <c r="G5212">
        <f t="shared" si="165"/>
        <v>58.38</v>
      </c>
    </row>
    <row r="5213" spans="1:7" ht="12.75" customHeight="1">
      <c r="A5213" s="3">
        <v>103122</v>
      </c>
      <c r="B5213" s="4" t="s">
        <v>5235</v>
      </c>
      <c r="C5213" s="3" t="s">
        <v>6</v>
      </c>
      <c r="D5213" s="5">
        <f t="shared" si="164"/>
        <v>71.16</v>
      </c>
      <c r="E5213">
        <v>78.12</v>
      </c>
      <c r="F5213" s="1789">
        <v>8.8999999999999996E-2</v>
      </c>
      <c r="G5213">
        <f t="shared" si="165"/>
        <v>71.16</v>
      </c>
    </row>
    <row r="5214" spans="1:7" ht="12.75" customHeight="1">
      <c r="A5214" s="3">
        <v>103123</v>
      </c>
      <c r="B5214" s="4" t="s">
        <v>5236</v>
      </c>
      <c r="C5214" s="3" t="s">
        <v>6</v>
      </c>
      <c r="D5214" s="5">
        <f t="shared" si="164"/>
        <v>103.14</v>
      </c>
      <c r="E5214">
        <v>113.22</v>
      </c>
      <c r="F5214" s="1789">
        <v>8.8999999999999996E-2</v>
      </c>
      <c r="G5214">
        <f t="shared" si="165"/>
        <v>103.14</v>
      </c>
    </row>
    <row r="5215" spans="1:7" ht="12.75" customHeight="1">
      <c r="A5215" s="3">
        <v>103124</v>
      </c>
      <c r="B5215" s="4" t="s">
        <v>5237</v>
      </c>
      <c r="C5215" s="3" t="s">
        <v>6</v>
      </c>
      <c r="D5215" s="5">
        <f t="shared" si="164"/>
        <v>135.07</v>
      </c>
      <c r="E5215">
        <v>148.27000000000001</v>
      </c>
      <c r="F5215" s="1789">
        <v>8.8999999999999996E-2</v>
      </c>
      <c r="G5215">
        <f t="shared" si="165"/>
        <v>135.07</v>
      </c>
    </row>
    <row r="5216" spans="1:7" ht="12.75" customHeight="1">
      <c r="A5216" s="3">
        <v>103125</v>
      </c>
      <c r="B5216" s="4" t="s">
        <v>5238</v>
      </c>
      <c r="C5216" s="3" t="s">
        <v>6</v>
      </c>
      <c r="D5216" s="5">
        <f t="shared" si="164"/>
        <v>227.11</v>
      </c>
      <c r="E5216">
        <v>249.3</v>
      </c>
      <c r="F5216" s="1789">
        <v>8.8999999999999996E-2</v>
      </c>
      <c r="G5216">
        <f t="shared" si="165"/>
        <v>227.11</v>
      </c>
    </row>
    <row r="5217" spans="1:7" ht="12.75" customHeight="1">
      <c r="A5217" s="3">
        <v>103126</v>
      </c>
      <c r="B5217" s="4" t="s">
        <v>5239</v>
      </c>
      <c r="C5217" s="3" t="s">
        <v>6</v>
      </c>
      <c r="D5217" s="5">
        <f t="shared" si="164"/>
        <v>259.07</v>
      </c>
      <c r="E5217">
        <v>284.38</v>
      </c>
      <c r="F5217" s="1789">
        <v>8.8999999999999996E-2</v>
      </c>
      <c r="G5217">
        <f t="shared" si="165"/>
        <v>259.07</v>
      </c>
    </row>
    <row r="5218" spans="1:7" ht="12.75" customHeight="1">
      <c r="A5218" s="3">
        <v>103127</v>
      </c>
      <c r="B5218" s="4" t="s">
        <v>5240</v>
      </c>
      <c r="C5218" s="3" t="s">
        <v>6</v>
      </c>
      <c r="D5218" s="5">
        <f t="shared" si="164"/>
        <v>351.09</v>
      </c>
      <c r="E5218">
        <v>385.4</v>
      </c>
      <c r="F5218" s="1789">
        <v>8.8999999999999996E-2</v>
      </c>
      <c r="G5218">
        <f t="shared" si="165"/>
        <v>351.09</v>
      </c>
    </row>
    <row r="5219" spans="1:7" ht="12.75" customHeight="1">
      <c r="A5219" s="3">
        <v>103128</v>
      </c>
      <c r="B5219" s="4" t="s">
        <v>5241</v>
      </c>
      <c r="C5219" s="3" t="s">
        <v>6</v>
      </c>
      <c r="D5219" s="5">
        <f t="shared" si="164"/>
        <v>383.05</v>
      </c>
      <c r="E5219">
        <v>420.48</v>
      </c>
      <c r="F5219" s="1789">
        <v>8.8999999999999996E-2</v>
      </c>
      <c r="G5219">
        <f t="shared" si="165"/>
        <v>383.05</v>
      </c>
    </row>
    <row r="5220" spans="1:7" ht="12.75" customHeight="1">
      <c r="A5220" s="3">
        <v>103129</v>
      </c>
      <c r="B5220" s="4" t="s">
        <v>5242</v>
      </c>
      <c r="C5220" s="3" t="s">
        <v>6</v>
      </c>
      <c r="D5220" s="5">
        <f t="shared" si="164"/>
        <v>475.07</v>
      </c>
      <c r="E5220">
        <v>521.49</v>
      </c>
      <c r="F5220" s="1789">
        <v>8.8999999999999996E-2</v>
      </c>
      <c r="G5220">
        <f t="shared" si="165"/>
        <v>475.07</v>
      </c>
    </row>
    <row r="5221" spans="1:7" ht="12.75" customHeight="1">
      <c r="A5221" s="3">
        <v>103130</v>
      </c>
      <c r="B5221" s="4" t="s">
        <v>5243</v>
      </c>
      <c r="C5221" s="3" t="s">
        <v>6</v>
      </c>
      <c r="D5221" s="5">
        <f t="shared" si="164"/>
        <v>507.02</v>
      </c>
      <c r="E5221">
        <v>556.55999999999995</v>
      </c>
      <c r="F5221" s="1789">
        <v>8.8999999999999996E-2</v>
      </c>
      <c r="G5221">
        <f t="shared" si="165"/>
        <v>507.02</v>
      </c>
    </row>
    <row r="5222" spans="1:7" ht="12.75" customHeight="1">
      <c r="A5222" s="3">
        <v>103131</v>
      </c>
      <c r="B5222" s="4" t="s">
        <v>5244</v>
      </c>
      <c r="C5222" s="3" t="s">
        <v>6</v>
      </c>
      <c r="D5222" s="5">
        <f t="shared" si="164"/>
        <v>570.95000000000005</v>
      </c>
      <c r="E5222">
        <v>626.73</v>
      </c>
      <c r="F5222" s="1789">
        <v>8.8999999999999996E-2</v>
      </c>
      <c r="G5222">
        <f t="shared" si="165"/>
        <v>570.95000000000005</v>
      </c>
    </row>
    <row r="5223" spans="1:7" ht="12.75" customHeight="1">
      <c r="A5223" s="3">
        <v>103132</v>
      </c>
      <c r="B5223" s="4" t="s">
        <v>5245</v>
      </c>
      <c r="C5223" s="3" t="s">
        <v>6</v>
      </c>
      <c r="D5223" s="5">
        <f t="shared" si="164"/>
        <v>694.91</v>
      </c>
      <c r="E5223">
        <v>762.81</v>
      </c>
      <c r="F5223" s="1789">
        <v>8.8999999999999996E-2</v>
      </c>
      <c r="G5223">
        <f t="shared" si="165"/>
        <v>694.91</v>
      </c>
    </row>
    <row r="5224" spans="1:7" ht="12.75" customHeight="1">
      <c r="A5224" s="3">
        <v>103133</v>
      </c>
      <c r="B5224" s="4" t="s">
        <v>5246</v>
      </c>
      <c r="C5224" s="3" t="s">
        <v>6</v>
      </c>
      <c r="D5224" s="5">
        <f t="shared" si="164"/>
        <v>758.86</v>
      </c>
      <c r="E5224">
        <v>833</v>
      </c>
      <c r="F5224" s="1789">
        <v>8.8999999999999996E-2</v>
      </c>
      <c r="G5224">
        <f t="shared" si="165"/>
        <v>758.86</v>
      </c>
    </row>
    <row r="5225" spans="1:7" ht="12.75" customHeight="1">
      <c r="A5225" s="3">
        <v>103134</v>
      </c>
      <c r="B5225" s="4" t="s">
        <v>5247</v>
      </c>
      <c r="C5225" s="3" t="s">
        <v>6</v>
      </c>
      <c r="D5225" s="5">
        <f t="shared" si="164"/>
        <v>882.83</v>
      </c>
      <c r="E5225">
        <v>969.08</v>
      </c>
      <c r="F5225" s="1789">
        <v>8.8999999999999996E-2</v>
      </c>
      <c r="G5225">
        <f t="shared" si="165"/>
        <v>882.83</v>
      </c>
    </row>
    <row r="5226" spans="1:7" ht="12.75" customHeight="1">
      <c r="A5226" s="3">
        <v>103135</v>
      </c>
      <c r="B5226" s="4" t="s">
        <v>5248</v>
      </c>
      <c r="C5226" s="3" t="s">
        <v>6</v>
      </c>
      <c r="D5226" s="5">
        <f t="shared" si="164"/>
        <v>946.75</v>
      </c>
      <c r="E5226">
        <v>1039.25</v>
      </c>
      <c r="F5226" s="1789">
        <v>8.8999999999999996E-2</v>
      </c>
      <c r="G5226">
        <f t="shared" si="165"/>
        <v>946.75</v>
      </c>
    </row>
    <row r="5227" spans="1:7" ht="12.75" customHeight="1">
      <c r="A5227" s="3">
        <v>103136</v>
      </c>
      <c r="B5227" s="4" t="s">
        <v>5249</v>
      </c>
      <c r="C5227" s="3" t="s">
        <v>6</v>
      </c>
      <c r="D5227" s="5">
        <f t="shared" si="164"/>
        <v>1134.6500000000001</v>
      </c>
      <c r="E5227">
        <v>1245.51</v>
      </c>
      <c r="F5227" s="1789">
        <v>8.8999999999999996E-2</v>
      </c>
      <c r="G5227">
        <f t="shared" si="165"/>
        <v>1134.6500000000001</v>
      </c>
    </row>
    <row r="5228" spans="1:7" ht="12.75" customHeight="1">
      <c r="A5228" s="3">
        <v>103137</v>
      </c>
      <c r="B5228" s="4" t="s">
        <v>5250</v>
      </c>
      <c r="C5228" s="3" t="s">
        <v>6</v>
      </c>
      <c r="D5228" s="5">
        <f t="shared" si="164"/>
        <v>30.8</v>
      </c>
      <c r="E5228">
        <v>33.81</v>
      </c>
      <c r="F5228" s="1789">
        <v>8.8999999999999996E-2</v>
      </c>
      <c r="G5228">
        <f t="shared" si="165"/>
        <v>30.8</v>
      </c>
    </row>
    <row r="5229" spans="1:7" ht="12.75" customHeight="1">
      <c r="A5229" s="3">
        <v>103138</v>
      </c>
      <c r="B5229" s="4" t="s">
        <v>5251</v>
      </c>
      <c r="C5229" s="3" t="s">
        <v>6</v>
      </c>
      <c r="D5229" s="5">
        <f t="shared" si="164"/>
        <v>35.049999999999997</v>
      </c>
      <c r="E5229">
        <v>38.479999999999997</v>
      </c>
      <c r="F5229" s="1789">
        <v>8.8999999999999996E-2</v>
      </c>
      <c r="G5229">
        <f t="shared" si="165"/>
        <v>35.049999999999997</v>
      </c>
    </row>
    <row r="5230" spans="1:7" ht="12.75" customHeight="1">
      <c r="A5230" s="3">
        <v>103139</v>
      </c>
      <c r="B5230" s="4" t="s">
        <v>5252</v>
      </c>
      <c r="C5230" s="3" t="s">
        <v>6</v>
      </c>
      <c r="D5230" s="5">
        <f t="shared" si="164"/>
        <v>45.72</v>
      </c>
      <c r="E5230">
        <v>50.19</v>
      </c>
      <c r="F5230" s="1789">
        <v>8.8999999999999996E-2</v>
      </c>
      <c r="G5230">
        <f t="shared" si="165"/>
        <v>45.72</v>
      </c>
    </row>
    <row r="5231" spans="1:7" ht="12.75" customHeight="1">
      <c r="A5231" s="3">
        <v>103140</v>
      </c>
      <c r="B5231" s="4" t="s">
        <v>5253</v>
      </c>
      <c r="C5231" s="3" t="s">
        <v>6</v>
      </c>
      <c r="D5231" s="5">
        <f t="shared" si="164"/>
        <v>56.37</v>
      </c>
      <c r="E5231">
        <v>61.88</v>
      </c>
      <c r="F5231" s="1789">
        <v>8.8999999999999996E-2</v>
      </c>
      <c r="G5231">
        <f t="shared" si="165"/>
        <v>56.37</v>
      </c>
    </row>
    <row r="5232" spans="1:7" ht="12.75" customHeight="1">
      <c r="A5232" s="3">
        <v>103141</v>
      </c>
      <c r="B5232" s="4" t="s">
        <v>5254</v>
      </c>
      <c r="C5232" s="3" t="s">
        <v>6</v>
      </c>
      <c r="D5232" s="5">
        <f t="shared" si="164"/>
        <v>87.05</v>
      </c>
      <c r="E5232">
        <v>95.56</v>
      </c>
      <c r="F5232" s="1789">
        <v>8.8999999999999996E-2</v>
      </c>
      <c r="G5232">
        <f t="shared" si="165"/>
        <v>87.05</v>
      </c>
    </row>
    <row r="5233" spans="1:7" ht="12.75" customHeight="1">
      <c r="A5233" s="3">
        <v>103142</v>
      </c>
      <c r="B5233" s="4" t="s">
        <v>5255</v>
      </c>
      <c r="C5233" s="3" t="s">
        <v>6</v>
      </c>
      <c r="D5233" s="5">
        <f t="shared" si="164"/>
        <v>97.69</v>
      </c>
      <c r="E5233">
        <v>107.24</v>
      </c>
      <c r="F5233" s="1789">
        <v>8.8999999999999996E-2</v>
      </c>
      <c r="G5233">
        <f t="shared" si="165"/>
        <v>97.69</v>
      </c>
    </row>
    <row r="5234" spans="1:7" ht="12.75" customHeight="1">
      <c r="A5234" s="3">
        <v>103143</v>
      </c>
      <c r="B5234" s="4" t="s">
        <v>5256</v>
      </c>
      <c r="C5234" s="3" t="s">
        <v>6</v>
      </c>
      <c r="D5234" s="5">
        <f t="shared" si="164"/>
        <v>128.38</v>
      </c>
      <c r="E5234">
        <v>140.93</v>
      </c>
      <c r="F5234" s="1789">
        <v>8.8999999999999996E-2</v>
      </c>
      <c r="G5234">
        <f t="shared" si="165"/>
        <v>128.38</v>
      </c>
    </row>
    <row r="5235" spans="1:7" ht="12.75" customHeight="1">
      <c r="A5235" s="3">
        <v>103144</v>
      </c>
      <c r="B5235" s="4" t="s">
        <v>5257</v>
      </c>
      <c r="C5235" s="3" t="s">
        <v>6</v>
      </c>
      <c r="D5235" s="5">
        <f t="shared" si="164"/>
        <v>139.01</v>
      </c>
      <c r="E5235">
        <v>152.6</v>
      </c>
      <c r="F5235" s="1789">
        <v>8.8999999999999996E-2</v>
      </c>
      <c r="G5235">
        <f t="shared" si="165"/>
        <v>139.01</v>
      </c>
    </row>
    <row r="5236" spans="1:7" ht="12.75" customHeight="1">
      <c r="A5236" s="3">
        <v>103145</v>
      </c>
      <c r="B5236" s="4" t="s">
        <v>5258</v>
      </c>
      <c r="C5236" s="3" t="s">
        <v>6</v>
      </c>
      <c r="D5236" s="5">
        <f t="shared" si="164"/>
        <v>169.7</v>
      </c>
      <c r="E5236">
        <v>186.28</v>
      </c>
      <c r="F5236" s="1789">
        <v>8.8999999999999996E-2</v>
      </c>
      <c r="G5236">
        <f t="shared" si="165"/>
        <v>169.7</v>
      </c>
    </row>
    <row r="5237" spans="1:7" ht="12.75" customHeight="1">
      <c r="A5237" s="3">
        <v>103146</v>
      </c>
      <c r="B5237" s="4" t="s">
        <v>5259</v>
      </c>
      <c r="C5237" s="3" t="s">
        <v>6</v>
      </c>
      <c r="D5237" s="5">
        <f t="shared" si="164"/>
        <v>180.34</v>
      </c>
      <c r="E5237">
        <v>197.96</v>
      </c>
      <c r="F5237" s="1789">
        <v>8.8999999999999996E-2</v>
      </c>
      <c r="G5237">
        <f t="shared" si="165"/>
        <v>180.34</v>
      </c>
    </row>
    <row r="5238" spans="1:7" ht="12.75" customHeight="1">
      <c r="A5238" s="3">
        <v>103147</v>
      </c>
      <c r="B5238" s="4" t="s">
        <v>5260</v>
      </c>
      <c r="C5238" s="3" t="s">
        <v>6</v>
      </c>
      <c r="D5238" s="5">
        <f t="shared" si="164"/>
        <v>201.65</v>
      </c>
      <c r="E5238">
        <v>221.36</v>
      </c>
      <c r="F5238" s="1789">
        <v>8.8999999999999996E-2</v>
      </c>
      <c r="G5238">
        <f t="shared" si="165"/>
        <v>201.65</v>
      </c>
    </row>
    <row r="5239" spans="1:7" ht="12.75" customHeight="1">
      <c r="A5239" s="3">
        <v>103148</v>
      </c>
      <c r="B5239" s="4" t="s">
        <v>5261</v>
      </c>
      <c r="C5239" s="3" t="s">
        <v>6</v>
      </c>
      <c r="D5239" s="5">
        <f t="shared" si="164"/>
        <v>242.97</v>
      </c>
      <c r="E5239">
        <v>266.70999999999998</v>
      </c>
      <c r="F5239" s="1789">
        <v>8.8999999999999996E-2</v>
      </c>
      <c r="G5239">
        <f t="shared" si="165"/>
        <v>242.97</v>
      </c>
    </row>
    <row r="5240" spans="1:7" ht="12.75" customHeight="1">
      <c r="A5240" s="3">
        <v>103149</v>
      </c>
      <c r="B5240" s="4" t="s">
        <v>5262</v>
      </c>
      <c r="C5240" s="3" t="s">
        <v>6</v>
      </c>
      <c r="D5240" s="5">
        <f t="shared" si="164"/>
        <v>264.27999999999997</v>
      </c>
      <c r="E5240">
        <v>290.10000000000002</v>
      </c>
      <c r="F5240" s="1789">
        <v>8.8999999999999996E-2</v>
      </c>
      <c r="G5240">
        <f t="shared" si="165"/>
        <v>264.27999999999997</v>
      </c>
    </row>
    <row r="5241" spans="1:7" ht="12.75" customHeight="1">
      <c r="A5241" s="3">
        <v>103150</v>
      </c>
      <c r="B5241" s="4" t="s">
        <v>5263</v>
      </c>
      <c r="C5241" s="3" t="s">
        <v>6</v>
      </c>
      <c r="D5241" s="5">
        <f t="shared" si="164"/>
        <v>305.56</v>
      </c>
      <c r="E5241">
        <v>335.42</v>
      </c>
      <c r="F5241" s="1789">
        <v>8.8999999999999996E-2</v>
      </c>
      <c r="G5241">
        <f t="shared" si="165"/>
        <v>305.56</v>
      </c>
    </row>
    <row r="5242" spans="1:7" ht="12.75" customHeight="1">
      <c r="A5242" s="3">
        <v>103151</v>
      </c>
      <c r="B5242" s="4" t="s">
        <v>5264</v>
      </c>
      <c r="C5242" s="3" t="s">
        <v>6</v>
      </c>
      <c r="D5242" s="5">
        <f t="shared" si="164"/>
        <v>326.92</v>
      </c>
      <c r="E5242">
        <v>358.86</v>
      </c>
      <c r="F5242" s="1789">
        <v>8.8999999999999996E-2</v>
      </c>
      <c r="G5242">
        <f t="shared" si="165"/>
        <v>326.92</v>
      </c>
    </row>
    <row r="5243" spans="1:7" ht="12.75" customHeight="1">
      <c r="A5243" s="3">
        <v>103152</v>
      </c>
      <c r="B5243" s="4" t="s">
        <v>5265</v>
      </c>
      <c r="C5243" s="3" t="s">
        <v>6</v>
      </c>
      <c r="D5243" s="5">
        <f t="shared" si="164"/>
        <v>389.56</v>
      </c>
      <c r="E5243">
        <v>427.62</v>
      </c>
      <c r="F5243" s="1789">
        <v>8.8999999999999996E-2</v>
      </c>
      <c r="G5243">
        <f t="shared" si="165"/>
        <v>389.56</v>
      </c>
    </row>
    <row r="5244" spans="1:7" ht="12.75" customHeight="1">
      <c r="A5244" s="3">
        <v>103372</v>
      </c>
      <c r="B5244" s="4" t="s">
        <v>5266</v>
      </c>
      <c r="C5244" s="3" t="s">
        <v>50</v>
      </c>
      <c r="D5244" s="5">
        <f t="shared" si="164"/>
        <v>4.8099999999999996</v>
      </c>
      <c r="E5244">
        <v>5.28</v>
      </c>
      <c r="F5244" s="1789">
        <v>8.8999999999999996E-2</v>
      </c>
      <c r="G5244">
        <f t="shared" si="165"/>
        <v>4.8099999999999996</v>
      </c>
    </row>
    <row r="5245" spans="1:7" ht="12.75" customHeight="1">
      <c r="A5245" s="3">
        <v>103373</v>
      </c>
      <c r="B5245" s="4" t="s">
        <v>5267</v>
      </c>
      <c r="C5245" s="3" t="s">
        <v>50</v>
      </c>
      <c r="D5245" s="5">
        <f t="shared" si="164"/>
        <v>9.44</v>
      </c>
      <c r="E5245">
        <v>10.37</v>
      </c>
      <c r="F5245" s="1789">
        <v>8.8999999999999996E-2</v>
      </c>
      <c r="G5245">
        <f t="shared" si="165"/>
        <v>9.44</v>
      </c>
    </row>
    <row r="5246" spans="1:7" ht="12.75" customHeight="1">
      <c r="A5246" s="3">
        <v>103376</v>
      </c>
      <c r="B5246" s="4" t="s">
        <v>5268</v>
      </c>
      <c r="C5246" s="3" t="s">
        <v>50</v>
      </c>
      <c r="D5246" s="5">
        <f t="shared" si="164"/>
        <v>113.03</v>
      </c>
      <c r="E5246">
        <v>124.08</v>
      </c>
      <c r="F5246" s="1789">
        <v>8.8999999999999996E-2</v>
      </c>
      <c r="G5246">
        <f t="shared" si="165"/>
        <v>113.03</v>
      </c>
    </row>
    <row r="5247" spans="1:7" ht="12.75" customHeight="1">
      <c r="A5247" s="3">
        <v>103377</v>
      </c>
      <c r="B5247" s="4" t="s">
        <v>5269</v>
      </c>
      <c r="C5247" s="3" t="s">
        <v>50</v>
      </c>
      <c r="D5247" s="5">
        <f t="shared" si="164"/>
        <v>241.99</v>
      </c>
      <c r="E5247">
        <v>265.64</v>
      </c>
      <c r="F5247" s="1789">
        <v>8.8999999999999996E-2</v>
      </c>
      <c r="G5247">
        <f t="shared" si="165"/>
        <v>241.99</v>
      </c>
    </row>
    <row r="5248" spans="1:7" ht="12.75" customHeight="1">
      <c r="A5248" s="3">
        <v>103379</v>
      </c>
      <c r="B5248" s="4" t="s">
        <v>5270</v>
      </c>
      <c r="C5248" s="3" t="s">
        <v>50</v>
      </c>
      <c r="D5248" s="5">
        <f t="shared" si="164"/>
        <v>376.83</v>
      </c>
      <c r="E5248">
        <v>413.65</v>
      </c>
      <c r="F5248" s="1789">
        <v>8.8999999999999996E-2</v>
      </c>
      <c r="G5248">
        <f t="shared" si="165"/>
        <v>376.83</v>
      </c>
    </row>
    <row r="5249" spans="1:7" ht="12.75" customHeight="1">
      <c r="A5249" s="3">
        <v>103383</v>
      </c>
      <c r="B5249" s="4" t="s">
        <v>5271</v>
      </c>
      <c r="C5249" s="3" t="s">
        <v>50</v>
      </c>
      <c r="D5249" s="5">
        <f t="shared" si="164"/>
        <v>924.8</v>
      </c>
      <c r="E5249">
        <v>1015.15</v>
      </c>
      <c r="F5249" s="1789">
        <v>8.8999999999999996E-2</v>
      </c>
      <c r="G5249">
        <f t="shared" si="165"/>
        <v>924.8</v>
      </c>
    </row>
    <row r="5250" spans="1:7" ht="12.75" customHeight="1">
      <c r="A5250" s="3">
        <v>103385</v>
      </c>
      <c r="B5250" s="4" t="s">
        <v>5272</v>
      </c>
      <c r="C5250" s="3" t="s">
        <v>50</v>
      </c>
      <c r="D5250" s="5">
        <f t="shared" si="164"/>
        <v>1491.22</v>
      </c>
      <c r="E5250">
        <v>1636.91</v>
      </c>
      <c r="F5250" s="1789">
        <v>8.8999999999999996E-2</v>
      </c>
      <c r="G5250">
        <f t="shared" si="165"/>
        <v>1491.22</v>
      </c>
    </row>
    <row r="5251" spans="1:7" ht="12.75" customHeight="1">
      <c r="A5251" s="3">
        <v>103387</v>
      </c>
      <c r="B5251" s="4" t="s">
        <v>5273</v>
      </c>
      <c r="C5251" s="3" t="s">
        <v>50</v>
      </c>
      <c r="D5251" s="5">
        <f t="shared" si="164"/>
        <v>2615.9699999999998</v>
      </c>
      <c r="E5251">
        <v>2871.54</v>
      </c>
      <c r="F5251" s="1789">
        <v>8.8999999999999996E-2</v>
      </c>
      <c r="G5251">
        <f t="shared" si="165"/>
        <v>2615.9699999999998</v>
      </c>
    </row>
    <row r="5252" spans="1:7" ht="12.75" customHeight="1">
      <c r="A5252" s="3">
        <v>103389</v>
      </c>
      <c r="B5252" s="4" t="s">
        <v>5274</v>
      </c>
      <c r="C5252" s="3" t="s">
        <v>50</v>
      </c>
      <c r="D5252" s="5">
        <f t="shared" si="164"/>
        <v>3890.36</v>
      </c>
      <c r="E5252">
        <v>4270.43</v>
      </c>
      <c r="F5252" s="1789">
        <v>8.8999999999999996E-2</v>
      </c>
      <c r="G5252">
        <f t="shared" si="165"/>
        <v>3890.36</v>
      </c>
    </row>
    <row r="5253" spans="1:7" ht="12.75" customHeight="1">
      <c r="A5253" s="3">
        <v>103391</v>
      </c>
      <c r="B5253" s="4" t="s">
        <v>5275</v>
      </c>
      <c r="C5253" s="3" t="s">
        <v>50</v>
      </c>
      <c r="D5253" s="5">
        <f t="shared" si="164"/>
        <v>2564</v>
      </c>
      <c r="E5253">
        <v>2814.5</v>
      </c>
      <c r="F5253" s="1789">
        <v>8.8999999999999996E-2</v>
      </c>
      <c r="G5253">
        <f t="shared" si="165"/>
        <v>2564</v>
      </c>
    </row>
    <row r="5254" spans="1:7" ht="12.75" customHeight="1">
      <c r="A5254" s="3">
        <v>103392</v>
      </c>
      <c r="B5254" s="4" t="s">
        <v>5276</v>
      </c>
      <c r="C5254" s="3" t="s">
        <v>50</v>
      </c>
      <c r="D5254" s="5">
        <f t="shared" si="164"/>
        <v>4189.8100000000004</v>
      </c>
      <c r="E5254">
        <v>4599.1400000000003</v>
      </c>
      <c r="F5254" s="1789">
        <v>8.8999999999999996E-2</v>
      </c>
      <c r="G5254">
        <f t="shared" si="165"/>
        <v>4189.8100000000004</v>
      </c>
    </row>
    <row r="5255" spans="1:7" ht="12.75" customHeight="1">
      <c r="A5255" s="3">
        <v>103393</v>
      </c>
      <c r="B5255" s="4" t="s">
        <v>5277</v>
      </c>
      <c r="C5255" s="3" t="s">
        <v>50</v>
      </c>
      <c r="D5255" s="5">
        <f t="shared" si="164"/>
        <v>4621.28</v>
      </c>
      <c r="E5255">
        <v>5072.76</v>
      </c>
      <c r="F5255" s="1789">
        <v>8.8999999999999996E-2</v>
      </c>
      <c r="G5255">
        <f t="shared" si="165"/>
        <v>4621.28</v>
      </c>
    </row>
    <row r="5256" spans="1:7" ht="12.75" customHeight="1">
      <c r="A5256" s="3">
        <v>103397</v>
      </c>
      <c r="B5256" s="4" t="s">
        <v>5278</v>
      </c>
      <c r="C5256" s="3" t="s">
        <v>6</v>
      </c>
      <c r="D5256" s="5">
        <f t="shared" si="164"/>
        <v>2.87</v>
      </c>
      <c r="E5256">
        <v>3.16</v>
      </c>
      <c r="F5256" s="1789">
        <v>8.8999999999999996E-2</v>
      </c>
      <c r="G5256">
        <f t="shared" si="165"/>
        <v>2.87</v>
      </c>
    </row>
    <row r="5257" spans="1:7" ht="12.75" customHeight="1">
      <c r="A5257" s="3">
        <v>103398</v>
      </c>
      <c r="B5257" s="4" t="s">
        <v>5279</v>
      </c>
      <c r="C5257" s="3" t="s">
        <v>6</v>
      </c>
      <c r="D5257" s="5">
        <f t="shared" si="164"/>
        <v>4.6100000000000003</v>
      </c>
      <c r="E5257">
        <v>5.07</v>
      </c>
      <c r="F5257" s="1789">
        <v>8.8999999999999996E-2</v>
      </c>
      <c r="G5257">
        <f t="shared" si="165"/>
        <v>4.6100000000000003</v>
      </c>
    </row>
    <row r="5258" spans="1:7" ht="12.75" customHeight="1">
      <c r="A5258" s="3">
        <v>103399</v>
      </c>
      <c r="B5258" s="4" t="s">
        <v>5280</v>
      </c>
      <c r="C5258" s="3" t="s">
        <v>6</v>
      </c>
      <c r="D5258" s="5">
        <f t="shared" si="164"/>
        <v>9.1</v>
      </c>
      <c r="E5258">
        <v>9.99</v>
      </c>
      <c r="F5258" s="1789">
        <v>8.8999999999999996E-2</v>
      </c>
      <c r="G5258">
        <f t="shared" si="165"/>
        <v>9.1</v>
      </c>
    </row>
    <row r="5259" spans="1:7" ht="12.75" customHeight="1">
      <c r="A5259" s="3">
        <v>103400</v>
      </c>
      <c r="B5259" s="4" t="s">
        <v>5281</v>
      </c>
      <c r="C5259" s="3" t="s">
        <v>6</v>
      </c>
      <c r="D5259" s="5">
        <f t="shared" si="164"/>
        <v>12.99</v>
      </c>
      <c r="E5259">
        <v>14.26</v>
      </c>
      <c r="F5259" s="1789">
        <v>8.8999999999999996E-2</v>
      </c>
      <c r="G5259">
        <f t="shared" si="165"/>
        <v>12.99</v>
      </c>
    </row>
    <row r="5260" spans="1:7" ht="12.75" customHeight="1">
      <c r="A5260" s="3">
        <v>103401</v>
      </c>
      <c r="B5260" s="4" t="s">
        <v>5282</v>
      </c>
      <c r="C5260" s="3" t="s">
        <v>6</v>
      </c>
      <c r="D5260" s="5">
        <f t="shared" si="164"/>
        <v>15.88</v>
      </c>
      <c r="E5260">
        <v>17.440000000000001</v>
      </c>
      <c r="F5260" s="1789">
        <v>8.8999999999999996E-2</v>
      </c>
      <c r="G5260">
        <f t="shared" si="165"/>
        <v>15.88</v>
      </c>
    </row>
    <row r="5261" spans="1:7" ht="12.75" customHeight="1">
      <c r="A5261" s="3">
        <v>103402</v>
      </c>
      <c r="B5261" s="4" t="s">
        <v>5283</v>
      </c>
      <c r="C5261" s="3" t="s">
        <v>6</v>
      </c>
      <c r="D5261" s="5">
        <f t="shared" si="164"/>
        <v>23.11</v>
      </c>
      <c r="E5261">
        <v>25.37</v>
      </c>
      <c r="F5261" s="1789">
        <v>8.8999999999999996E-2</v>
      </c>
      <c r="G5261">
        <f t="shared" si="165"/>
        <v>23.11</v>
      </c>
    </row>
    <row r="5262" spans="1:7" ht="12.75" customHeight="1">
      <c r="A5262" s="3">
        <v>103403</v>
      </c>
      <c r="B5262" s="4" t="s">
        <v>5284</v>
      </c>
      <c r="C5262" s="3" t="s">
        <v>6</v>
      </c>
      <c r="D5262" s="5">
        <f t="shared" si="164"/>
        <v>25.99</v>
      </c>
      <c r="E5262">
        <v>28.54</v>
      </c>
      <c r="F5262" s="1789">
        <v>8.8999999999999996E-2</v>
      </c>
      <c r="G5262">
        <f t="shared" si="165"/>
        <v>25.99</v>
      </c>
    </row>
    <row r="5263" spans="1:7" ht="12.75" customHeight="1">
      <c r="A5263" s="3">
        <v>103404</v>
      </c>
      <c r="B5263" s="4" t="s">
        <v>5285</v>
      </c>
      <c r="C5263" s="3" t="s">
        <v>6</v>
      </c>
      <c r="D5263" s="5">
        <f t="shared" si="164"/>
        <v>28.89</v>
      </c>
      <c r="E5263">
        <v>31.72</v>
      </c>
      <c r="F5263" s="1789">
        <v>8.8999999999999996E-2</v>
      </c>
      <c r="G5263">
        <f t="shared" si="165"/>
        <v>28.89</v>
      </c>
    </row>
    <row r="5264" spans="1:7" ht="12.75" customHeight="1">
      <c r="A5264" s="3">
        <v>103405</v>
      </c>
      <c r="B5264" s="4" t="s">
        <v>5286</v>
      </c>
      <c r="C5264" s="3" t="s">
        <v>6</v>
      </c>
      <c r="D5264" s="5">
        <f t="shared" si="164"/>
        <v>32.5</v>
      </c>
      <c r="E5264">
        <v>35.68</v>
      </c>
      <c r="F5264" s="1789">
        <v>8.8999999999999996E-2</v>
      </c>
      <c r="G5264">
        <f t="shared" si="165"/>
        <v>32.5</v>
      </c>
    </row>
    <row r="5265" spans="1:7" ht="12.75" customHeight="1">
      <c r="A5265" s="3">
        <v>103406</v>
      </c>
      <c r="B5265" s="4" t="s">
        <v>5287</v>
      </c>
      <c r="C5265" s="3" t="s">
        <v>6</v>
      </c>
      <c r="D5265" s="5">
        <f t="shared" si="164"/>
        <v>36.11</v>
      </c>
      <c r="E5265">
        <v>39.64</v>
      </c>
      <c r="F5265" s="1789">
        <v>8.8999999999999996E-2</v>
      </c>
      <c r="G5265">
        <f t="shared" si="165"/>
        <v>36.11</v>
      </c>
    </row>
    <row r="5266" spans="1:7" ht="12.75" customHeight="1">
      <c r="A5266" s="3">
        <v>103407</v>
      </c>
      <c r="B5266" s="4" t="s">
        <v>5288</v>
      </c>
      <c r="C5266" s="3" t="s">
        <v>6</v>
      </c>
      <c r="D5266" s="5">
        <f t="shared" si="164"/>
        <v>40.44</v>
      </c>
      <c r="E5266">
        <v>44.4</v>
      </c>
      <c r="F5266" s="1789">
        <v>8.8999999999999996E-2</v>
      </c>
      <c r="G5266">
        <f t="shared" si="165"/>
        <v>40.44</v>
      </c>
    </row>
    <row r="5267" spans="1:7" ht="12.75" customHeight="1">
      <c r="A5267" s="3">
        <v>103408</v>
      </c>
      <c r="B5267" s="4" t="s">
        <v>5289</v>
      </c>
      <c r="C5267" s="3" t="s">
        <v>6</v>
      </c>
      <c r="D5267" s="5">
        <f t="shared" si="164"/>
        <v>45.51</v>
      </c>
      <c r="E5267">
        <v>49.96</v>
      </c>
      <c r="F5267" s="1789">
        <v>8.8999999999999996E-2</v>
      </c>
      <c r="G5267">
        <f t="shared" si="165"/>
        <v>45.51</v>
      </c>
    </row>
    <row r="5268" spans="1:7" ht="12.75" customHeight="1">
      <c r="A5268" s="3">
        <v>103409</v>
      </c>
      <c r="B5268" s="4" t="s">
        <v>5290</v>
      </c>
      <c r="C5268" s="3" t="s">
        <v>6</v>
      </c>
      <c r="D5268" s="5">
        <f t="shared" si="164"/>
        <v>51.28</v>
      </c>
      <c r="E5268">
        <v>56.3</v>
      </c>
      <c r="F5268" s="1789">
        <v>8.8999999999999996E-2</v>
      </c>
      <c r="G5268">
        <f t="shared" si="165"/>
        <v>51.28</v>
      </c>
    </row>
    <row r="5269" spans="1:7" ht="12.75" customHeight="1">
      <c r="A5269" s="3">
        <v>103410</v>
      </c>
      <c r="B5269" s="4" t="s">
        <v>5291</v>
      </c>
      <c r="C5269" s="3" t="s">
        <v>6</v>
      </c>
      <c r="D5269" s="5">
        <f t="shared" ref="D5269:D5332" si="166">G5269</f>
        <v>57.79</v>
      </c>
      <c r="E5269">
        <v>63.44</v>
      </c>
      <c r="F5269" s="1789">
        <v>8.8999999999999996E-2</v>
      </c>
      <c r="G5269">
        <f t="shared" ref="G5269:G5332" si="167">TRUNC((1-F5269)*E5269,2)</f>
        <v>57.79</v>
      </c>
    </row>
    <row r="5270" spans="1:7" ht="12.75" customHeight="1">
      <c r="A5270" s="3">
        <v>103411</v>
      </c>
      <c r="B5270" s="4" t="s">
        <v>5292</v>
      </c>
      <c r="C5270" s="3" t="s">
        <v>6</v>
      </c>
      <c r="D5270" s="5">
        <f t="shared" si="166"/>
        <v>5.77</v>
      </c>
      <c r="E5270">
        <v>6.34</v>
      </c>
      <c r="F5270" s="1789">
        <v>8.8999999999999996E-2</v>
      </c>
      <c r="G5270">
        <f t="shared" si="167"/>
        <v>5.77</v>
      </c>
    </row>
    <row r="5271" spans="1:7" ht="12.75" customHeight="1">
      <c r="A5271" s="3">
        <v>103412</v>
      </c>
      <c r="B5271" s="4" t="s">
        <v>5293</v>
      </c>
      <c r="C5271" s="3" t="s">
        <v>6</v>
      </c>
      <c r="D5271" s="5">
        <f t="shared" si="166"/>
        <v>9.23</v>
      </c>
      <c r="E5271">
        <v>10.14</v>
      </c>
      <c r="F5271" s="1789">
        <v>8.8999999999999996E-2</v>
      </c>
      <c r="G5271">
        <f t="shared" si="167"/>
        <v>9.23</v>
      </c>
    </row>
    <row r="5272" spans="1:7" ht="12.75" customHeight="1">
      <c r="A5272" s="3">
        <v>103413</v>
      </c>
      <c r="B5272" s="4" t="s">
        <v>5294</v>
      </c>
      <c r="C5272" s="3" t="s">
        <v>6</v>
      </c>
      <c r="D5272" s="5">
        <f t="shared" si="166"/>
        <v>18.2</v>
      </c>
      <c r="E5272">
        <v>19.98</v>
      </c>
      <c r="F5272" s="1789">
        <v>8.8999999999999996E-2</v>
      </c>
      <c r="G5272">
        <f t="shared" si="167"/>
        <v>18.2</v>
      </c>
    </row>
    <row r="5273" spans="1:7" ht="12.75" customHeight="1">
      <c r="A5273" s="3">
        <v>103414</v>
      </c>
      <c r="B5273" s="4" t="s">
        <v>5295</v>
      </c>
      <c r="C5273" s="3" t="s">
        <v>6</v>
      </c>
      <c r="D5273" s="5">
        <f t="shared" si="166"/>
        <v>25.99</v>
      </c>
      <c r="E5273">
        <v>28.54</v>
      </c>
      <c r="F5273" s="1789">
        <v>8.8999999999999996E-2</v>
      </c>
      <c r="G5273">
        <f t="shared" si="167"/>
        <v>25.99</v>
      </c>
    </row>
    <row r="5274" spans="1:7" ht="12.75" customHeight="1">
      <c r="A5274" s="3">
        <v>103415</v>
      </c>
      <c r="B5274" s="4" t="s">
        <v>5296</v>
      </c>
      <c r="C5274" s="3" t="s">
        <v>6</v>
      </c>
      <c r="D5274" s="5">
        <f t="shared" si="166"/>
        <v>31.78</v>
      </c>
      <c r="E5274">
        <v>34.89</v>
      </c>
      <c r="F5274" s="1789">
        <v>8.8999999999999996E-2</v>
      </c>
      <c r="G5274">
        <f t="shared" si="167"/>
        <v>31.78</v>
      </c>
    </row>
    <row r="5275" spans="1:7" ht="12.75" customHeight="1">
      <c r="A5275" s="3">
        <v>103416</v>
      </c>
      <c r="B5275" s="4" t="s">
        <v>5297</v>
      </c>
      <c r="C5275" s="3" t="s">
        <v>6</v>
      </c>
      <c r="D5275" s="5">
        <f t="shared" si="166"/>
        <v>46.23</v>
      </c>
      <c r="E5275">
        <v>50.75</v>
      </c>
      <c r="F5275" s="1789">
        <v>8.8999999999999996E-2</v>
      </c>
      <c r="G5275">
        <f t="shared" si="167"/>
        <v>46.23</v>
      </c>
    </row>
    <row r="5276" spans="1:7" ht="12.75" customHeight="1">
      <c r="A5276" s="3">
        <v>103417</v>
      </c>
      <c r="B5276" s="4" t="s">
        <v>5298</v>
      </c>
      <c r="C5276" s="3" t="s">
        <v>6</v>
      </c>
      <c r="D5276" s="5">
        <f t="shared" si="166"/>
        <v>52.01</v>
      </c>
      <c r="E5276">
        <v>57.1</v>
      </c>
      <c r="F5276" s="1789">
        <v>8.8999999999999996E-2</v>
      </c>
      <c r="G5276">
        <f t="shared" si="167"/>
        <v>52.01</v>
      </c>
    </row>
    <row r="5277" spans="1:7" ht="12.75" customHeight="1">
      <c r="A5277" s="3">
        <v>103418</v>
      </c>
      <c r="B5277" s="4" t="s">
        <v>5299</v>
      </c>
      <c r="C5277" s="3" t="s">
        <v>6</v>
      </c>
      <c r="D5277" s="5">
        <f t="shared" si="166"/>
        <v>57.79</v>
      </c>
      <c r="E5277">
        <v>63.44</v>
      </c>
      <c r="F5277" s="1789">
        <v>8.8999999999999996E-2</v>
      </c>
      <c r="G5277">
        <f t="shared" si="167"/>
        <v>57.79</v>
      </c>
    </row>
    <row r="5278" spans="1:7" ht="12.75" customHeight="1">
      <c r="A5278" s="3">
        <v>103419</v>
      </c>
      <c r="B5278" s="4" t="s">
        <v>5300</v>
      </c>
      <c r="C5278" s="3" t="s">
        <v>6</v>
      </c>
      <c r="D5278" s="5">
        <f t="shared" si="166"/>
        <v>65.02</v>
      </c>
      <c r="E5278">
        <v>71.38</v>
      </c>
      <c r="F5278" s="1789">
        <v>8.8999999999999996E-2</v>
      </c>
      <c r="G5278">
        <f t="shared" si="167"/>
        <v>65.02</v>
      </c>
    </row>
    <row r="5279" spans="1:7" ht="12.75" customHeight="1">
      <c r="A5279" s="3">
        <v>103420</v>
      </c>
      <c r="B5279" s="4" t="s">
        <v>5301</v>
      </c>
      <c r="C5279" s="3" t="s">
        <v>6</v>
      </c>
      <c r="D5279" s="5">
        <f t="shared" si="166"/>
        <v>72.239999999999995</v>
      </c>
      <c r="E5279">
        <v>79.3</v>
      </c>
      <c r="F5279" s="1789">
        <v>8.8999999999999996E-2</v>
      </c>
      <c r="G5279">
        <f t="shared" si="167"/>
        <v>72.239999999999995</v>
      </c>
    </row>
    <row r="5280" spans="1:7" ht="12.75" customHeight="1">
      <c r="A5280" s="3">
        <v>103421</v>
      </c>
      <c r="B5280" s="4" t="s">
        <v>5302</v>
      </c>
      <c r="C5280" s="3" t="s">
        <v>6</v>
      </c>
      <c r="D5280" s="5">
        <f t="shared" si="166"/>
        <v>80.92</v>
      </c>
      <c r="E5280">
        <v>88.83</v>
      </c>
      <c r="F5280" s="1789">
        <v>8.8999999999999996E-2</v>
      </c>
      <c r="G5280">
        <f t="shared" si="167"/>
        <v>80.92</v>
      </c>
    </row>
    <row r="5281" spans="1:7" ht="12.75" customHeight="1">
      <c r="A5281" s="3">
        <v>103422</v>
      </c>
      <c r="B5281" s="4" t="s">
        <v>5303</v>
      </c>
      <c r="C5281" s="3" t="s">
        <v>6</v>
      </c>
      <c r="D5281" s="5">
        <f t="shared" si="166"/>
        <v>91.03</v>
      </c>
      <c r="E5281">
        <v>99.93</v>
      </c>
      <c r="F5281" s="1789">
        <v>8.8999999999999996E-2</v>
      </c>
      <c r="G5281">
        <f t="shared" si="167"/>
        <v>91.03</v>
      </c>
    </row>
    <row r="5282" spans="1:7" ht="12.75" customHeight="1">
      <c r="A5282" s="3">
        <v>103423</v>
      </c>
      <c r="B5282" s="4" t="s">
        <v>5304</v>
      </c>
      <c r="C5282" s="3" t="s">
        <v>6</v>
      </c>
      <c r="D5282" s="5">
        <f t="shared" si="166"/>
        <v>102.59</v>
      </c>
      <c r="E5282">
        <v>112.62</v>
      </c>
      <c r="F5282" s="1789">
        <v>8.8999999999999996E-2</v>
      </c>
      <c r="G5282">
        <f t="shared" si="167"/>
        <v>102.59</v>
      </c>
    </row>
    <row r="5283" spans="1:7" ht="12.75" customHeight="1">
      <c r="A5283" s="3">
        <v>103424</v>
      </c>
      <c r="B5283" s="4" t="s">
        <v>5305</v>
      </c>
      <c r="C5283" s="3" t="s">
        <v>6</v>
      </c>
      <c r="D5283" s="5">
        <f t="shared" si="166"/>
        <v>115.59</v>
      </c>
      <c r="E5283">
        <v>126.89</v>
      </c>
      <c r="F5283" s="1789">
        <v>8.8999999999999996E-2</v>
      </c>
      <c r="G5283">
        <f t="shared" si="167"/>
        <v>115.59</v>
      </c>
    </row>
    <row r="5284" spans="1:7" ht="12.75" customHeight="1">
      <c r="A5284" s="3">
        <v>103425</v>
      </c>
      <c r="B5284" s="4" t="s">
        <v>5306</v>
      </c>
      <c r="C5284" s="3" t="s">
        <v>6</v>
      </c>
      <c r="D5284" s="5">
        <f t="shared" si="166"/>
        <v>13.42</v>
      </c>
      <c r="E5284">
        <v>14.74</v>
      </c>
      <c r="F5284" s="1789">
        <v>8.8999999999999996E-2</v>
      </c>
      <c r="G5284">
        <f t="shared" si="167"/>
        <v>13.42</v>
      </c>
    </row>
    <row r="5285" spans="1:7" ht="12.75" customHeight="1">
      <c r="A5285" s="3">
        <v>103426</v>
      </c>
      <c r="B5285" s="4" t="s">
        <v>5307</v>
      </c>
      <c r="C5285" s="3" t="s">
        <v>6</v>
      </c>
      <c r="D5285" s="5">
        <f t="shared" si="166"/>
        <v>15.98</v>
      </c>
      <c r="E5285">
        <v>17.55</v>
      </c>
      <c r="F5285" s="1789">
        <v>8.8999999999999996E-2</v>
      </c>
      <c r="G5285">
        <f t="shared" si="167"/>
        <v>15.98</v>
      </c>
    </row>
    <row r="5286" spans="1:7" ht="12.75" customHeight="1">
      <c r="A5286" s="3">
        <v>103427</v>
      </c>
      <c r="B5286" s="4" t="s">
        <v>5308</v>
      </c>
      <c r="C5286" s="3" t="s">
        <v>6</v>
      </c>
      <c r="D5286" s="5">
        <f t="shared" si="166"/>
        <v>32.049999999999997</v>
      </c>
      <c r="E5286">
        <v>35.19</v>
      </c>
      <c r="F5286" s="1789">
        <v>8.8999999999999996E-2</v>
      </c>
      <c r="G5286">
        <f t="shared" si="167"/>
        <v>32.049999999999997</v>
      </c>
    </row>
    <row r="5287" spans="1:7" ht="12.75" customHeight="1">
      <c r="A5287" s="3">
        <v>103428</v>
      </c>
      <c r="B5287" s="4" t="s">
        <v>5309</v>
      </c>
      <c r="C5287" s="3" t="s">
        <v>6</v>
      </c>
      <c r="D5287" s="5">
        <f t="shared" si="166"/>
        <v>217.62</v>
      </c>
      <c r="E5287">
        <v>238.89</v>
      </c>
      <c r="F5287" s="1789">
        <v>8.8999999999999996E-2</v>
      </c>
      <c r="G5287">
        <f t="shared" si="167"/>
        <v>217.62</v>
      </c>
    </row>
    <row r="5288" spans="1:7" ht="12.75" customHeight="1">
      <c r="A5288" s="3">
        <v>103429</v>
      </c>
      <c r="B5288" s="4" t="s">
        <v>5310</v>
      </c>
      <c r="C5288" s="3" t="s">
        <v>6</v>
      </c>
      <c r="D5288" s="5">
        <f t="shared" si="166"/>
        <v>2444.44</v>
      </c>
      <c r="E5288">
        <v>2683.26</v>
      </c>
      <c r="F5288" s="1789">
        <v>8.8999999999999996E-2</v>
      </c>
      <c r="G5288">
        <f t="shared" si="167"/>
        <v>2444.44</v>
      </c>
    </row>
    <row r="5289" spans="1:7" ht="12.75" customHeight="1">
      <c r="A5289" s="3">
        <v>103430</v>
      </c>
      <c r="B5289" s="4" t="s">
        <v>5311</v>
      </c>
      <c r="C5289" s="3" t="s">
        <v>6</v>
      </c>
      <c r="D5289" s="5">
        <f t="shared" si="166"/>
        <v>29.05</v>
      </c>
      <c r="E5289">
        <v>31.89</v>
      </c>
      <c r="F5289" s="1789">
        <v>8.8999999999999996E-2</v>
      </c>
      <c r="G5289">
        <f t="shared" si="167"/>
        <v>29.05</v>
      </c>
    </row>
    <row r="5290" spans="1:7" ht="12.75" customHeight="1">
      <c r="A5290" s="3">
        <v>103431</v>
      </c>
      <c r="B5290" s="4" t="s">
        <v>5312</v>
      </c>
      <c r="C5290" s="3" t="s">
        <v>6</v>
      </c>
      <c r="D5290" s="5">
        <f t="shared" si="166"/>
        <v>50.8</v>
      </c>
      <c r="E5290">
        <v>55.77</v>
      </c>
      <c r="F5290" s="1789">
        <v>8.8999999999999996E-2</v>
      </c>
      <c r="G5290">
        <f t="shared" si="167"/>
        <v>50.8</v>
      </c>
    </row>
    <row r="5291" spans="1:7" ht="12.75" customHeight="1">
      <c r="A5291" s="3">
        <v>103432</v>
      </c>
      <c r="B5291" s="4" t="s">
        <v>5313</v>
      </c>
      <c r="C5291" s="3" t="s">
        <v>6</v>
      </c>
      <c r="D5291" s="5">
        <f t="shared" si="166"/>
        <v>1388.15</v>
      </c>
      <c r="E5291">
        <v>1523.77</v>
      </c>
      <c r="F5291" s="1789">
        <v>8.8999999999999996E-2</v>
      </c>
      <c r="G5291">
        <f t="shared" si="167"/>
        <v>1388.15</v>
      </c>
    </row>
    <row r="5292" spans="1:7" ht="12.75" customHeight="1">
      <c r="A5292" s="3">
        <v>103433</v>
      </c>
      <c r="B5292" s="4" t="s">
        <v>5314</v>
      </c>
      <c r="C5292" s="3" t="s">
        <v>6</v>
      </c>
      <c r="D5292" s="5">
        <f t="shared" si="166"/>
        <v>28.93</v>
      </c>
      <c r="E5292">
        <v>31.76</v>
      </c>
      <c r="F5292" s="1789">
        <v>8.8999999999999996E-2</v>
      </c>
      <c r="G5292">
        <f t="shared" si="167"/>
        <v>28.93</v>
      </c>
    </row>
    <row r="5293" spans="1:7" ht="12.75" customHeight="1">
      <c r="A5293" s="3">
        <v>103434</v>
      </c>
      <c r="B5293" s="4" t="s">
        <v>5315</v>
      </c>
      <c r="C5293" s="3" t="s">
        <v>6</v>
      </c>
      <c r="D5293" s="5">
        <f t="shared" si="166"/>
        <v>39.950000000000003</v>
      </c>
      <c r="E5293">
        <v>43.86</v>
      </c>
      <c r="F5293" s="1789">
        <v>8.8999999999999996E-2</v>
      </c>
      <c r="G5293">
        <f t="shared" si="167"/>
        <v>39.950000000000003</v>
      </c>
    </row>
    <row r="5294" spans="1:7" ht="12.75" customHeight="1">
      <c r="A5294" s="3">
        <v>103435</v>
      </c>
      <c r="B5294" s="4" t="s">
        <v>5316</v>
      </c>
      <c r="C5294" s="3" t="s">
        <v>6</v>
      </c>
      <c r="D5294" s="5">
        <f t="shared" si="166"/>
        <v>74.290000000000006</v>
      </c>
      <c r="E5294">
        <v>81.55</v>
      </c>
      <c r="F5294" s="1789">
        <v>8.8999999999999996E-2</v>
      </c>
      <c r="G5294">
        <f t="shared" si="167"/>
        <v>74.290000000000006</v>
      </c>
    </row>
    <row r="5295" spans="1:7" ht="12.75" customHeight="1">
      <c r="A5295" s="3">
        <v>103436</v>
      </c>
      <c r="B5295" s="4" t="s">
        <v>5317</v>
      </c>
      <c r="C5295" s="3" t="s">
        <v>6</v>
      </c>
      <c r="D5295" s="5">
        <f t="shared" si="166"/>
        <v>1967.37</v>
      </c>
      <c r="E5295">
        <v>2159.58</v>
      </c>
      <c r="F5295" s="1789">
        <v>8.8999999999999996E-2</v>
      </c>
      <c r="G5295">
        <f t="shared" si="167"/>
        <v>1967.37</v>
      </c>
    </row>
    <row r="5296" spans="1:7" ht="12.75" customHeight="1">
      <c r="A5296" s="3">
        <v>103437</v>
      </c>
      <c r="B5296" s="4" t="s">
        <v>5318</v>
      </c>
      <c r="C5296" s="3" t="s">
        <v>6</v>
      </c>
      <c r="D5296" s="5">
        <f t="shared" si="166"/>
        <v>154.19999999999999</v>
      </c>
      <c r="E5296">
        <v>169.27</v>
      </c>
      <c r="F5296" s="1789">
        <v>8.8999999999999996E-2</v>
      </c>
      <c r="G5296">
        <f t="shared" si="167"/>
        <v>154.19999999999999</v>
      </c>
    </row>
    <row r="5297" spans="1:7" ht="12.75" customHeight="1">
      <c r="A5297" s="3">
        <v>103438</v>
      </c>
      <c r="B5297" s="4" t="s">
        <v>5319</v>
      </c>
      <c r="C5297" s="3" t="s">
        <v>6</v>
      </c>
      <c r="D5297" s="5">
        <f t="shared" si="166"/>
        <v>154.19999999999999</v>
      </c>
      <c r="E5297">
        <v>169.27</v>
      </c>
      <c r="F5297" s="1789">
        <v>8.8999999999999996E-2</v>
      </c>
      <c r="G5297">
        <f t="shared" si="167"/>
        <v>154.19999999999999</v>
      </c>
    </row>
    <row r="5298" spans="1:7" ht="12.75" customHeight="1">
      <c r="A5298" s="3">
        <v>103439</v>
      </c>
      <c r="B5298" s="4" t="s">
        <v>5320</v>
      </c>
      <c r="C5298" s="3" t="s">
        <v>6</v>
      </c>
      <c r="D5298" s="5">
        <f t="shared" si="166"/>
        <v>182.01</v>
      </c>
      <c r="E5298">
        <v>199.8</v>
      </c>
      <c r="F5298" s="1789">
        <v>8.8999999999999996E-2</v>
      </c>
      <c r="G5298">
        <f t="shared" si="167"/>
        <v>182.01</v>
      </c>
    </row>
    <row r="5299" spans="1:7" ht="12.75" customHeight="1">
      <c r="A5299" s="3">
        <v>103440</v>
      </c>
      <c r="B5299" s="4" t="s">
        <v>5321</v>
      </c>
      <c r="C5299" s="3" t="s">
        <v>6</v>
      </c>
      <c r="D5299" s="5">
        <f t="shared" si="166"/>
        <v>345.74</v>
      </c>
      <c r="E5299">
        <v>379.52</v>
      </c>
      <c r="F5299" s="1789">
        <v>8.8999999999999996E-2</v>
      </c>
      <c r="G5299">
        <f t="shared" si="167"/>
        <v>345.74</v>
      </c>
    </row>
    <row r="5300" spans="1:7" ht="12.75" customHeight="1">
      <c r="A5300" s="3">
        <v>103441</v>
      </c>
      <c r="B5300" s="4" t="s">
        <v>5322</v>
      </c>
      <c r="C5300" s="3" t="s">
        <v>6</v>
      </c>
      <c r="D5300" s="5">
        <f t="shared" si="166"/>
        <v>350.24</v>
      </c>
      <c r="E5300">
        <v>384.46</v>
      </c>
      <c r="F5300" s="1789">
        <v>8.8999999999999996E-2</v>
      </c>
      <c r="G5300">
        <f t="shared" si="167"/>
        <v>350.24</v>
      </c>
    </row>
    <row r="5301" spans="1:7" ht="12.75" customHeight="1">
      <c r="A5301" s="3">
        <v>103442</v>
      </c>
      <c r="B5301" s="4" t="s">
        <v>5323</v>
      </c>
      <c r="C5301" s="3" t="s">
        <v>6</v>
      </c>
      <c r="D5301" s="5">
        <f t="shared" si="166"/>
        <v>458.93</v>
      </c>
      <c r="E5301">
        <v>503.77</v>
      </c>
      <c r="F5301" s="1789">
        <v>8.8999999999999996E-2</v>
      </c>
      <c r="G5301">
        <f t="shared" si="167"/>
        <v>458.93</v>
      </c>
    </row>
    <row r="5302" spans="1:7" ht="12.75" customHeight="1">
      <c r="A5302" s="3">
        <v>98441</v>
      </c>
      <c r="B5302" s="4" t="s">
        <v>5324</v>
      </c>
      <c r="C5302" s="3" t="s">
        <v>409</v>
      </c>
      <c r="D5302" s="5">
        <f t="shared" si="166"/>
        <v>102.72</v>
      </c>
      <c r="E5302">
        <v>112.76</v>
      </c>
      <c r="F5302" s="1789">
        <v>8.8999999999999996E-2</v>
      </c>
      <c r="G5302">
        <f t="shared" si="167"/>
        <v>102.72</v>
      </c>
    </row>
    <row r="5303" spans="1:7" ht="12.75" customHeight="1">
      <c r="A5303" s="3">
        <v>98443</v>
      </c>
      <c r="B5303" s="4" t="s">
        <v>5325</v>
      </c>
      <c r="C5303" s="3" t="s">
        <v>409</v>
      </c>
      <c r="D5303" s="5">
        <f t="shared" si="166"/>
        <v>84.94</v>
      </c>
      <c r="E5303">
        <v>93.24</v>
      </c>
      <c r="F5303" s="1789">
        <v>8.8999999999999996E-2</v>
      </c>
      <c r="G5303">
        <f t="shared" si="167"/>
        <v>84.94</v>
      </c>
    </row>
    <row r="5304" spans="1:7" ht="12.75" customHeight="1">
      <c r="A5304" s="3">
        <v>98445</v>
      </c>
      <c r="B5304" s="4" t="s">
        <v>5326</v>
      </c>
      <c r="C5304" s="3" t="s">
        <v>409</v>
      </c>
      <c r="D5304" s="5">
        <f t="shared" si="166"/>
        <v>118.5</v>
      </c>
      <c r="E5304">
        <v>130.08000000000001</v>
      </c>
      <c r="F5304" s="1789">
        <v>8.8999999999999996E-2</v>
      </c>
      <c r="G5304">
        <f t="shared" si="167"/>
        <v>118.5</v>
      </c>
    </row>
    <row r="5305" spans="1:7" ht="12.75" customHeight="1">
      <c r="A5305" s="3">
        <v>98446</v>
      </c>
      <c r="B5305" s="4" t="s">
        <v>5327</v>
      </c>
      <c r="C5305" s="3" t="s">
        <v>409</v>
      </c>
      <c r="D5305" s="5">
        <f t="shared" si="166"/>
        <v>146.69</v>
      </c>
      <c r="E5305">
        <v>161.03</v>
      </c>
      <c r="F5305" s="1789">
        <v>8.8999999999999996E-2</v>
      </c>
      <c r="G5305">
        <f t="shared" si="167"/>
        <v>146.69</v>
      </c>
    </row>
    <row r="5306" spans="1:7" ht="12.75" customHeight="1">
      <c r="A5306" s="3">
        <v>98447</v>
      </c>
      <c r="B5306" s="4" t="s">
        <v>5328</v>
      </c>
      <c r="C5306" s="3" t="s">
        <v>409</v>
      </c>
      <c r="D5306" s="5">
        <f t="shared" si="166"/>
        <v>97.92</v>
      </c>
      <c r="E5306">
        <v>107.49</v>
      </c>
      <c r="F5306" s="1789">
        <v>8.8999999999999996E-2</v>
      </c>
      <c r="G5306">
        <f t="shared" si="167"/>
        <v>97.92</v>
      </c>
    </row>
    <row r="5307" spans="1:7" ht="12.75" customHeight="1">
      <c r="A5307" s="3">
        <v>98448</v>
      </c>
      <c r="B5307" s="4" t="s">
        <v>5329</v>
      </c>
      <c r="C5307" s="3" t="s">
        <v>409</v>
      </c>
      <c r="D5307" s="5">
        <f t="shared" si="166"/>
        <v>121.41</v>
      </c>
      <c r="E5307">
        <v>133.28</v>
      </c>
      <c r="F5307" s="1789">
        <v>8.8999999999999996E-2</v>
      </c>
      <c r="G5307">
        <f t="shared" si="167"/>
        <v>121.41</v>
      </c>
    </row>
    <row r="5308" spans="1:7" ht="12.75" customHeight="1">
      <c r="A5308" s="3">
        <v>98449</v>
      </c>
      <c r="B5308" s="4" t="s">
        <v>5330</v>
      </c>
      <c r="C5308" s="3" t="s">
        <v>409</v>
      </c>
      <c r="D5308" s="5">
        <f t="shared" si="166"/>
        <v>150.86000000000001</v>
      </c>
      <c r="E5308">
        <v>165.6</v>
      </c>
      <c r="F5308" s="1789">
        <v>8.8999999999999996E-2</v>
      </c>
      <c r="G5308">
        <f t="shared" si="167"/>
        <v>150.86000000000001</v>
      </c>
    </row>
    <row r="5309" spans="1:7" ht="12.75" customHeight="1">
      <c r="A5309" s="3">
        <v>98451</v>
      </c>
      <c r="B5309" s="4" t="s">
        <v>5331</v>
      </c>
      <c r="C5309" s="3" t="s">
        <v>409</v>
      </c>
      <c r="D5309" s="5">
        <f t="shared" si="166"/>
        <v>130.77000000000001</v>
      </c>
      <c r="E5309">
        <v>143.55000000000001</v>
      </c>
      <c r="F5309" s="1789">
        <v>8.8999999999999996E-2</v>
      </c>
      <c r="G5309">
        <f t="shared" si="167"/>
        <v>130.77000000000001</v>
      </c>
    </row>
    <row r="5310" spans="1:7" ht="12.75" customHeight="1">
      <c r="A5310" s="3">
        <v>98453</v>
      </c>
      <c r="B5310" s="4" t="s">
        <v>5332</v>
      </c>
      <c r="C5310" s="3" t="s">
        <v>409</v>
      </c>
      <c r="D5310" s="5">
        <f t="shared" si="166"/>
        <v>169.98</v>
      </c>
      <c r="E5310">
        <v>186.59</v>
      </c>
      <c r="F5310" s="1789">
        <v>8.8999999999999996E-2</v>
      </c>
      <c r="G5310">
        <f t="shared" si="167"/>
        <v>169.98</v>
      </c>
    </row>
    <row r="5311" spans="1:7" ht="12.75" customHeight="1">
      <c r="A5311" s="3">
        <v>98454</v>
      </c>
      <c r="B5311" s="4" t="s">
        <v>5333</v>
      </c>
      <c r="C5311" s="3" t="s">
        <v>409</v>
      </c>
      <c r="D5311" s="5">
        <f t="shared" si="166"/>
        <v>204.53</v>
      </c>
      <c r="E5311">
        <v>224.52</v>
      </c>
      <c r="F5311" s="1789">
        <v>8.8999999999999996E-2</v>
      </c>
      <c r="G5311">
        <f t="shared" si="167"/>
        <v>204.53</v>
      </c>
    </row>
    <row r="5312" spans="1:7" ht="12.75" customHeight="1">
      <c r="A5312" s="3">
        <v>98455</v>
      </c>
      <c r="B5312" s="4" t="s">
        <v>5334</v>
      </c>
      <c r="C5312" s="3" t="s">
        <v>409</v>
      </c>
      <c r="D5312" s="5">
        <f t="shared" si="166"/>
        <v>146.43</v>
      </c>
      <c r="E5312">
        <v>160.74</v>
      </c>
      <c r="F5312" s="1789">
        <v>8.8999999999999996E-2</v>
      </c>
      <c r="G5312">
        <f t="shared" si="167"/>
        <v>146.43</v>
      </c>
    </row>
    <row r="5313" spans="1:7" ht="12.75" customHeight="1">
      <c r="A5313" s="3">
        <v>98456</v>
      </c>
      <c r="B5313" s="4" t="s">
        <v>5335</v>
      </c>
      <c r="C5313" s="3" t="s">
        <v>409</v>
      </c>
      <c r="D5313" s="5">
        <f t="shared" si="166"/>
        <v>176.65</v>
      </c>
      <c r="E5313">
        <v>193.91</v>
      </c>
      <c r="F5313" s="1789">
        <v>8.8999999999999996E-2</v>
      </c>
      <c r="G5313">
        <f t="shared" si="167"/>
        <v>176.65</v>
      </c>
    </row>
    <row r="5314" spans="1:7" ht="12.75" customHeight="1">
      <c r="A5314" s="3">
        <v>98458</v>
      </c>
      <c r="B5314" s="4" t="s">
        <v>5336</v>
      </c>
      <c r="C5314" s="3" t="s">
        <v>409</v>
      </c>
      <c r="D5314" s="5">
        <f t="shared" si="166"/>
        <v>104.41</v>
      </c>
      <c r="E5314">
        <v>114.62</v>
      </c>
      <c r="F5314" s="1789">
        <v>8.8999999999999996E-2</v>
      </c>
      <c r="G5314">
        <f t="shared" si="167"/>
        <v>104.41</v>
      </c>
    </row>
    <row r="5315" spans="1:7" ht="12.75" customHeight="1">
      <c r="A5315" s="3">
        <v>98459</v>
      </c>
      <c r="B5315" s="4" t="s">
        <v>5337</v>
      </c>
      <c r="C5315" s="3" t="s">
        <v>409</v>
      </c>
      <c r="D5315" s="5">
        <f t="shared" si="166"/>
        <v>79.930000000000007</v>
      </c>
      <c r="E5315">
        <v>87.74</v>
      </c>
      <c r="F5315" s="1789">
        <v>8.8999999999999996E-2</v>
      </c>
      <c r="G5315">
        <f t="shared" si="167"/>
        <v>79.930000000000007</v>
      </c>
    </row>
    <row r="5316" spans="1:7" ht="12.75" customHeight="1">
      <c r="A5316" s="3">
        <v>98460</v>
      </c>
      <c r="B5316" s="4" t="s">
        <v>5338</v>
      </c>
      <c r="C5316" s="3" t="s">
        <v>409</v>
      </c>
      <c r="D5316" s="5">
        <f t="shared" si="166"/>
        <v>72.88</v>
      </c>
      <c r="E5316">
        <v>80</v>
      </c>
      <c r="F5316" s="1789">
        <v>8.8999999999999996E-2</v>
      </c>
      <c r="G5316">
        <f t="shared" si="167"/>
        <v>72.88</v>
      </c>
    </row>
    <row r="5317" spans="1:7" ht="12.75" customHeight="1">
      <c r="A5317" s="3">
        <v>98461</v>
      </c>
      <c r="B5317" s="4" t="s">
        <v>5339</v>
      </c>
      <c r="C5317" s="3" t="s">
        <v>6</v>
      </c>
      <c r="D5317" s="5">
        <f t="shared" si="166"/>
        <v>6275.13</v>
      </c>
      <c r="E5317">
        <v>6888.18</v>
      </c>
      <c r="F5317" s="1789">
        <v>8.8999999999999996E-2</v>
      </c>
      <c r="G5317">
        <f t="shared" si="167"/>
        <v>6275.13</v>
      </c>
    </row>
    <row r="5318" spans="1:7" ht="12.75" customHeight="1">
      <c r="A5318" s="3">
        <v>98462</v>
      </c>
      <c r="B5318" s="4" t="s">
        <v>5340</v>
      </c>
      <c r="C5318" s="3" t="s">
        <v>6</v>
      </c>
      <c r="D5318" s="5">
        <f t="shared" si="166"/>
        <v>10642.22</v>
      </c>
      <c r="E5318">
        <v>11681.91</v>
      </c>
      <c r="F5318" s="1789">
        <v>8.8999999999999996E-2</v>
      </c>
      <c r="G5318">
        <f t="shared" si="167"/>
        <v>10642.22</v>
      </c>
    </row>
    <row r="5319" spans="1:7" ht="12.75" customHeight="1">
      <c r="A5319" s="3">
        <v>105113</v>
      </c>
      <c r="B5319" s="4" t="s">
        <v>5341</v>
      </c>
      <c r="C5319" s="3" t="s">
        <v>6</v>
      </c>
      <c r="D5319" s="5">
        <f t="shared" si="166"/>
        <v>8277.24</v>
      </c>
      <c r="E5319">
        <v>9085.89</v>
      </c>
      <c r="F5319" s="1789">
        <v>8.8999999999999996E-2</v>
      </c>
      <c r="G5319">
        <f t="shared" si="167"/>
        <v>8277.24</v>
      </c>
    </row>
    <row r="5320" spans="1:7" ht="12.75" customHeight="1">
      <c r="A5320" s="3">
        <v>105114</v>
      </c>
      <c r="B5320" s="4" t="s">
        <v>5342</v>
      </c>
      <c r="C5320" s="3" t="s">
        <v>152</v>
      </c>
      <c r="D5320" s="5">
        <f t="shared" si="166"/>
        <v>1670.94</v>
      </c>
      <c r="E5320">
        <v>1834.19</v>
      </c>
      <c r="F5320" s="1789">
        <v>8.8999999999999996E-2</v>
      </c>
      <c r="G5320">
        <f t="shared" si="167"/>
        <v>1670.94</v>
      </c>
    </row>
    <row r="5321" spans="1:7" ht="12.75" customHeight="1">
      <c r="A5321" s="3">
        <v>105115</v>
      </c>
      <c r="B5321" s="4" t="s">
        <v>5343</v>
      </c>
      <c r="C5321" s="3" t="s">
        <v>6</v>
      </c>
      <c r="D5321" s="5">
        <f t="shared" si="166"/>
        <v>113.21</v>
      </c>
      <c r="E5321">
        <v>124.28</v>
      </c>
      <c r="F5321" s="1789">
        <v>8.8999999999999996E-2</v>
      </c>
      <c r="G5321">
        <f t="shared" si="167"/>
        <v>113.21</v>
      </c>
    </row>
    <row r="5322" spans="1:7" ht="12.75" customHeight="1">
      <c r="A5322" s="3">
        <v>105116</v>
      </c>
      <c r="B5322" s="4" t="s">
        <v>5344</v>
      </c>
      <c r="C5322" s="3" t="s">
        <v>6</v>
      </c>
      <c r="D5322" s="5">
        <f t="shared" si="166"/>
        <v>9.69</v>
      </c>
      <c r="E5322">
        <v>10.64</v>
      </c>
      <c r="F5322" s="1789">
        <v>8.8999999999999996E-2</v>
      </c>
      <c r="G5322">
        <f t="shared" si="167"/>
        <v>9.69</v>
      </c>
    </row>
    <row r="5323" spans="1:7" ht="12.75" customHeight="1">
      <c r="A5323" s="3">
        <v>105126</v>
      </c>
      <c r="B5323" s="4" t="s">
        <v>5345</v>
      </c>
      <c r="C5323" s="3" t="s">
        <v>50</v>
      </c>
      <c r="D5323" s="5">
        <f t="shared" si="166"/>
        <v>31.26</v>
      </c>
      <c r="E5323">
        <v>34.32</v>
      </c>
      <c r="F5323" s="1789">
        <v>8.8999999999999996E-2</v>
      </c>
      <c r="G5323">
        <f t="shared" si="167"/>
        <v>31.26</v>
      </c>
    </row>
    <row r="5324" spans="1:7" ht="12.75" customHeight="1">
      <c r="A5324" s="3">
        <v>105127</v>
      </c>
      <c r="B5324" s="4" t="s">
        <v>5346</v>
      </c>
      <c r="C5324" s="3" t="s">
        <v>50</v>
      </c>
      <c r="D5324" s="5">
        <f t="shared" si="166"/>
        <v>28.43</v>
      </c>
      <c r="E5324">
        <v>31.21</v>
      </c>
      <c r="F5324" s="1789">
        <v>8.8999999999999996E-2</v>
      </c>
      <c r="G5324">
        <f t="shared" si="167"/>
        <v>28.43</v>
      </c>
    </row>
    <row r="5325" spans="1:7" ht="12.75" customHeight="1">
      <c r="A5325" s="3">
        <v>105128</v>
      </c>
      <c r="B5325" s="4" t="s">
        <v>5347</v>
      </c>
      <c r="C5325" s="3" t="s">
        <v>50</v>
      </c>
      <c r="D5325" s="5">
        <f t="shared" si="166"/>
        <v>90.57</v>
      </c>
      <c r="E5325">
        <v>99.42</v>
      </c>
      <c r="F5325" s="1789">
        <v>8.8999999999999996E-2</v>
      </c>
      <c r="G5325">
        <f t="shared" si="167"/>
        <v>90.57</v>
      </c>
    </row>
    <row r="5326" spans="1:7" ht="12.75" customHeight="1">
      <c r="A5326" s="3">
        <v>105130</v>
      </c>
      <c r="B5326" s="4" t="s">
        <v>5348</v>
      </c>
      <c r="C5326" s="3" t="s">
        <v>50</v>
      </c>
      <c r="D5326" s="5">
        <f t="shared" si="166"/>
        <v>27.56</v>
      </c>
      <c r="E5326">
        <v>30.26</v>
      </c>
      <c r="F5326" s="1789">
        <v>8.8999999999999996E-2</v>
      </c>
      <c r="G5326">
        <f t="shared" si="167"/>
        <v>27.56</v>
      </c>
    </row>
    <row r="5327" spans="1:7" ht="12.75" customHeight="1">
      <c r="A5327" s="3">
        <v>5631</v>
      </c>
      <c r="B5327" s="4" t="s">
        <v>5349</v>
      </c>
      <c r="C5327" s="3" t="s">
        <v>5350</v>
      </c>
      <c r="D5327" s="5">
        <f t="shared" si="166"/>
        <v>184.9</v>
      </c>
      <c r="E5327">
        <v>202.97</v>
      </c>
      <c r="F5327" s="1789">
        <v>8.8999999999999996E-2</v>
      </c>
      <c r="G5327">
        <f t="shared" si="167"/>
        <v>184.9</v>
      </c>
    </row>
    <row r="5328" spans="1:7" ht="12.75" customHeight="1">
      <c r="A5328" s="3">
        <v>5678</v>
      </c>
      <c r="B5328" s="4" t="s">
        <v>5351</v>
      </c>
      <c r="C5328" s="3" t="s">
        <v>5350</v>
      </c>
      <c r="D5328" s="5">
        <f t="shared" si="166"/>
        <v>124.7</v>
      </c>
      <c r="E5328">
        <v>136.88999999999999</v>
      </c>
      <c r="F5328" s="1789">
        <v>8.8999999999999996E-2</v>
      </c>
      <c r="G5328">
        <f t="shared" si="167"/>
        <v>124.7</v>
      </c>
    </row>
    <row r="5329" spans="1:7" ht="12.75" customHeight="1">
      <c r="A5329" s="3">
        <v>5680</v>
      </c>
      <c r="B5329" s="4" t="s">
        <v>5352</v>
      </c>
      <c r="C5329" s="3" t="s">
        <v>5350</v>
      </c>
      <c r="D5329" s="5">
        <f t="shared" si="166"/>
        <v>113.75</v>
      </c>
      <c r="E5329">
        <v>124.87</v>
      </c>
      <c r="F5329" s="1789">
        <v>8.8999999999999996E-2</v>
      </c>
      <c r="G5329">
        <f t="shared" si="167"/>
        <v>113.75</v>
      </c>
    </row>
    <row r="5330" spans="1:7" ht="12.75" customHeight="1">
      <c r="A5330" s="3">
        <v>5684</v>
      </c>
      <c r="B5330" s="4" t="s">
        <v>5353</v>
      </c>
      <c r="C5330" s="3" t="s">
        <v>5350</v>
      </c>
      <c r="D5330" s="5">
        <f t="shared" si="166"/>
        <v>144.38999999999999</v>
      </c>
      <c r="E5330">
        <v>158.5</v>
      </c>
      <c r="F5330" s="1789">
        <v>8.8999999999999996E-2</v>
      </c>
      <c r="G5330">
        <f t="shared" si="167"/>
        <v>144.38999999999999</v>
      </c>
    </row>
    <row r="5331" spans="1:7" ht="12.75" customHeight="1">
      <c r="A5331" s="3">
        <v>5689</v>
      </c>
      <c r="B5331" s="4" t="s">
        <v>5354</v>
      </c>
      <c r="C5331" s="3" t="s">
        <v>5350</v>
      </c>
      <c r="D5331" s="5">
        <f t="shared" si="166"/>
        <v>5.75</v>
      </c>
      <c r="E5331">
        <v>6.32</v>
      </c>
      <c r="F5331" s="1789">
        <v>8.8999999999999996E-2</v>
      </c>
      <c r="G5331">
        <f t="shared" si="167"/>
        <v>5.75</v>
      </c>
    </row>
    <row r="5332" spans="1:7" ht="12.75" customHeight="1">
      <c r="A5332" s="3">
        <v>5795</v>
      </c>
      <c r="B5332" s="4" t="s">
        <v>5355</v>
      </c>
      <c r="C5332" s="3" t="s">
        <v>5350</v>
      </c>
      <c r="D5332" s="5">
        <f t="shared" si="166"/>
        <v>21.5</v>
      </c>
      <c r="E5332">
        <v>23.61</v>
      </c>
      <c r="F5332" s="1789">
        <v>8.8999999999999996E-2</v>
      </c>
      <c r="G5332">
        <f t="shared" si="167"/>
        <v>21.5</v>
      </c>
    </row>
    <row r="5333" spans="1:7" ht="12.75" customHeight="1">
      <c r="A5333" s="3">
        <v>5811</v>
      </c>
      <c r="B5333" s="4" t="s">
        <v>5356</v>
      </c>
      <c r="C5333" s="3" t="s">
        <v>5350</v>
      </c>
      <c r="D5333" s="5">
        <f t="shared" ref="D5333:D5396" si="168">G5333</f>
        <v>188.75</v>
      </c>
      <c r="E5333">
        <v>207.19</v>
      </c>
      <c r="F5333" s="1789">
        <v>8.8999999999999996E-2</v>
      </c>
      <c r="G5333">
        <f t="shared" ref="G5333:G5396" si="169">TRUNC((1-F5333)*E5333,2)</f>
        <v>188.75</v>
      </c>
    </row>
    <row r="5334" spans="1:7" ht="12.75" customHeight="1">
      <c r="A5334" s="3">
        <v>5823</v>
      </c>
      <c r="B5334" s="4" t="s">
        <v>5357</v>
      </c>
      <c r="C5334" s="3" t="s">
        <v>5350</v>
      </c>
      <c r="D5334" s="5">
        <f t="shared" si="168"/>
        <v>193.63</v>
      </c>
      <c r="E5334">
        <v>212.55</v>
      </c>
      <c r="F5334" s="1789">
        <v>8.8999999999999996E-2</v>
      </c>
      <c r="G5334">
        <f t="shared" si="169"/>
        <v>193.63</v>
      </c>
    </row>
    <row r="5335" spans="1:7" ht="12.75" customHeight="1">
      <c r="A5335" s="3">
        <v>5824</v>
      </c>
      <c r="B5335" s="4" t="s">
        <v>5358</v>
      </c>
      <c r="C5335" s="3" t="s">
        <v>5350</v>
      </c>
      <c r="D5335" s="5">
        <f t="shared" si="168"/>
        <v>199.26</v>
      </c>
      <c r="E5335">
        <v>218.73</v>
      </c>
      <c r="F5335" s="1789">
        <v>8.8999999999999996E-2</v>
      </c>
      <c r="G5335">
        <f t="shared" si="169"/>
        <v>199.26</v>
      </c>
    </row>
    <row r="5336" spans="1:7" ht="12.75" customHeight="1">
      <c r="A5336" s="3">
        <v>5835</v>
      </c>
      <c r="B5336" s="4" t="s">
        <v>5359</v>
      </c>
      <c r="C5336" s="3" t="s">
        <v>5350</v>
      </c>
      <c r="D5336" s="5">
        <f t="shared" si="168"/>
        <v>343.64</v>
      </c>
      <c r="E5336">
        <v>377.22</v>
      </c>
      <c r="F5336" s="1789">
        <v>8.8999999999999996E-2</v>
      </c>
      <c r="G5336">
        <f t="shared" si="169"/>
        <v>343.64</v>
      </c>
    </row>
    <row r="5337" spans="1:7" ht="12.75" customHeight="1">
      <c r="A5337" s="3">
        <v>5839</v>
      </c>
      <c r="B5337" s="4" t="s">
        <v>5360</v>
      </c>
      <c r="C5337" s="3" t="s">
        <v>5350</v>
      </c>
      <c r="D5337" s="5">
        <f t="shared" si="168"/>
        <v>8.48</v>
      </c>
      <c r="E5337">
        <v>9.31</v>
      </c>
      <c r="F5337" s="1789">
        <v>8.8999999999999996E-2</v>
      </c>
      <c r="G5337">
        <f t="shared" si="169"/>
        <v>8.48</v>
      </c>
    </row>
    <row r="5338" spans="1:7" ht="12.75" customHeight="1">
      <c r="A5338" s="3">
        <v>5843</v>
      </c>
      <c r="B5338" s="4" t="s">
        <v>5361</v>
      </c>
      <c r="C5338" s="3" t="s">
        <v>5350</v>
      </c>
      <c r="D5338" s="5">
        <f t="shared" si="168"/>
        <v>151.35</v>
      </c>
      <c r="E5338">
        <v>166.14</v>
      </c>
      <c r="F5338" s="1789">
        <v>8.8999999999999996E-2</v>
      </c>
      <c r="G5338">
        <f t="shared" si="169"/>
        <v>151.35</v>
      </c>
    </row>
    <row r="5339" spans="1:7" ht="12.75" customHeight="1">
      <c r="A5339" s="3">
        <v>5847</v>
      </c>
      <c r="B5339" s="4" t="s">
        <v>5362</v>
      </c>
      <c r="C5339" s="3" t="s">
        <v>5350</v>
      </c>
      <c r="D5339" s="5">
        <f t="shared" si="168"/>
        <v>236.09</v>
      </c>
      <c r="E5339">
        <v>259.16000000000003</v>
      </c>
      <c r="F5339" s="1789">
        <v>8.8999999999999996E-2</v>
      </c>
      <c r="G5339">
        <f t="shared" si="169"/>
        <v>236.09</v>
      </c>
    </row>
    <row r="5340" spans="1:7" ht="12.75" customHeight="1">
      <c r="A5340" s="3">
        <v>5851</v>
      </c>
      <c r="B5340" s="4" t="s">
        <v>5363</v>
      </c>
      <c r="C5340" s="3" t="s">
        <v>5350</v>
      </c>
      <c r="D5340" s="5">
        <f t="shared" si="168"/>
        <v>225.38</v>
      </c>
      <c r="E5340">
        <v>247.4</v>
      </c>
      <c r="F5340" s="1789">
        <v>8.8999999999999996E-2</v>
      </c>
      <c r="G5340">
        <f t="shared" si="169"/>
        <v>225.38</v>
      </c>
    </row>
    <row r="5341" spans="1:7" ht="12.75" customHeight="1">
      <c r="A5341" s="3">
        <v>5855</v>
      </c>
      <c r="B5341" s="4" t="s">
        <v>5364</v>
      </c>
      <c r="C5341" s="3" t="s">
        <v>5350</v>
      </c>
      <c r="D5341" s="5">
        <f t="shared" si="168"/>
        <v>610.65</v>
      </c>
      <c r="E5341">
        <v>670.31</v>
      </c>
      <c r="F5341" s="1789">
        <v>8.8999999999999996E-2</v>
      </c>
      <c r="G5341">
        <f t="shared" si="169"/>
        <v>610.65</v>
      </c>
    </row>
    <row r="5342" spans="1:7" ht="12.75" customHeight="1">
      <c r="A5342" s="3">
        <v>5863</v>
      </c>
      <c r="B5342" s="4" t="s">
        <v>5365</v>
      </c>
      <c r="C5342" s="3" t="s">
        <v>5350</v>
      </c>
      <c r="D5342" s="5">
        <f t="shared" si="168"/>
        <v>21.96</v>
      </c>
      <c r="E5342">
        <v>24.11</v>
      </c>
      <c r="F5342" s="1789">
        <v>8.8999999999999996E-2</v>
      </c>
      <c r="G5342">
        <f t="shared" si="169"/>
        <v>21.96</v>
      </c>
    </row>
    <row r="5343" spans="1:7" ht="12.75" customHeight="1">
      <c r="A5343" s="3">
        <v>5867</v>
      </c>
      <c r="B5343" s="4" t="s">
        <v>5366</v>
      </c>
      <c r="C5343" s="3" t="s">
        <v>5350</v>
      </c>
      <c r="D5343" s="5">
        <f t="shared" si="168"/>
        <v>146.08000000000001</v>
      </c>
      <c r="E5343">
        <v>160.36000000000001</v>
      </c>
      <c r="F5343" s="1789">
        <v>8.8999999999999996E-2</v>
      </c>
      <c r="G5343">
        <f t="shared" si="169"/>
        <v>146.08000000000001</v>
      </c>
    </row>
    <row r="5344" spans="1:7" ht="12.75" customHeight="1">
      <c r="A5344" s="3">
        <v>5875</v>
      </c>
      <c r="B5344" s="4" t="s">
        <v>5367</v>
      </c>
      <c r="C5344" s="3" t="s">
        <v>5350</v>
      </c>
      <c r="D5344" s="5">
        <f t="shared" si="168"/>
        <v>114.25</v>
      </c>
      <c r="E5344">
        <v>125.42</v>
      </c>
      <c r="F5344" s="1789">
        <v>8.8999999999999996E-2</v>
      </c>
      <c r="G5344">
        <f t="shared" si="169"/>
        <v>114.25</v>
      </c>
    </row>
    <row r="5345" spans="1:7" ht="12.75" customHeight="1">
      <c r="A5345" s="3">
        <v>5879</v>
      </c>
      <c r="B5345" s="4" t="s">
        <v>5368</v>
      </c>
      <c r="C5345" s="3" t="s">
        <v>5350</v>
      </c>
      <c r="D5345" s="5">
        <f t="shared" si="168"/>
        <v>129.72999999999999</v>
      </c>
      <c r="E5345">
        <v>142.41</v>
      </c>
      <c r="F5345" s="1789">
        <v>8.8999999999999996E-2</v>
      </c>
      <c r="G5345">
        <f t="shared" si="169"/>
        <v>129.72999999999999</v>
      </c>
    </row>
    <row r="5346" spans="1:7" ht="12.75" customHeight="1">
      <c r="A5346" s="3">
        <v>5882</v>
      </c>
      <c r="B5346" s="4" t="s">
        <v>5369</v>
      </c>
      <c r="C5346" s="3" t="s">
        <v>5350</v>
      </c>
      <c r="D5346" s="5">
        <f t="shared" si="168"/>
        <v>112.05</v>
      </c>
      <c r="E5346">
        <v>123</v>
      </c>
      <c r="F5346" s="1789">
        <v>8.8999999999999996E-2</v>
      </c>
      <c r="G5346">
        <f t="shared" si="169"/>
        <v>112.05</v>
      </c>
    </row>
    <row r="5347" spans="1:7" ht="12.75" customHeight="1">
      <c r="A5347" s="3">
        <v>5890</v>
      </c>
      <c r="B5347" s="4" t="s">
        <v>5370</v>
      </c>
      <c r="C5347" s="3" t="s">
        <v>5350</v>
      </c>
      <c r="D5347" s="5">
        <f t="shared" si="168"/>
        <v>187.43</v>
      </c>
      <c r="E5347">
        <v>205.75</v>
      </c>
      <c r="F5347" s="1789">
        <v>8.8999999999999996E-2</v>
      </c>
      <c r="G5347">
        <f t="shared" si="169"/>
        <v>187.43</v>
      </c>
    </row>
    <row r="5348" spans="1:7" ht="12.75" customHeight="1">
      <c r="A5348" s="3">
        <v>5894</v>
      </c>
      <c r="B5348" s="4" t="s">
        <v>5371</v>
      </c>
      <c r="C5348" s="3" t="s">
        <v>5350</v>
      </c>
      <c r="D5348" s="5">
        <f t="shared" si="168"/>
        <v>195.11</v>
      </c>
      <c r="E5348">
        <v>214.18</v>
      </c>
      <c r="F5348" s="1789">
        <v>8.8999999999999996E-2</v>
      </c>
      <c r="G5348">
        <f t="shared" si="169"/>
        <v>195.11</v>
      </c>
    </row>
    <row r="5349" spans="1:7" ht="12.75" customHeight="1">
      <c r="A5349" s="3">
        <v>5901</v>
      </c>
      <c r="B5349" s="4" t="s">
        <v>5372</v>
      </c>
      <c r="C5349" s="3" t="s">
        <v>5350</v>
      </c>
      <c r="D5349" s="5">
        <f t="shared" si="168"/>
        <v>291.70999999999998</v>
      </c>
      <c r="E5349">
        <v>320.20999999999998</v>
      </c>
      <c r="F5349" s="1789">
        <v>8.8999999999999996E-2</v>
      </c>
      <c r="G5349">
        <f t="shared" si="169"/>
        <v>291.70999999999998</v>
      </c>
    </row>
    <row r="5350" spans="1:7" ht="12.75" customHeight="1">
      <c r="A5350" s="3">
        <v>5909</v>
      </c>
      <c r="B5350" s="4" t="s">
        <v>5373</v>
      </c>
      <c r="C5350" s="3" t="s">
        <v>5350</v>
      </c>
      <c r="D5350" s="5">
        <f t="shared" si="168"/>
        <v>30.13</v>
      </c>
      <c r="E5350">
        <v>33.08</v>
      </c>
      <c r="F5350" s="1789">
        <v>8.8999999999999996E-2</v>
      </c>
      <c r="G5350">
        <f t="shared" si="169"/>
        <v>30.13</v>
      </c>
    </row>
    <row r="5351" spans="1:7" ht="12.75" customHeight="1">
      <c r="A5351" s="3">
        <v>5921</v>
      </c>
      <c r="B5351" s="4" t="s">
        <v>5374</v>
      </c>
      <c r="C5351" s="3" t="s">
        <v>5350</v>
      </c>
      <c r="D5351" s="5">
        <f t="shared" si="168"/>
        <v>4.5</v>
      </c>
      <c r="E5351">
        <v>4.9400000000000004</v>
      </c>
      <c r="F5351" s="1789">
        <v>8.8999999999999996E-2</v>
      </c>
      <c r="G5351">
        <f t="shared" si="169"/>
        <v>4.5</v>
      </c>
    </row>
    <row r="5352" spans="1:7" ht="12.75" customHeight="1">
      <c r="A5352" s="3">
        <v>5928</v>
      </c>
      <c r="B5352" s="4" t="s">
        <v>5375</v>
      </c>
      <c r="C5352" s="3" t="s">
        <v>5350</v>
      </c>
      <c r="D5352" s="5">
        <f t="shared" si="168"/>
        <v>255.59</v>
      </c>
      <c r="E5352">
        <v>280.56</v>
      </c>
      <c r="F5352" s="1789">
        <v>8.8999999999999996E-2</v>
      </c>
      <c r="G5352">
        <f t="shared" si="169"/>
        <v>255.59</v>
      </c>
    </row>
    <row r="5353" spans="1:7" ht="12.75" customHeight="1">
      <c r="A5353" s="3">
        <v>5932</v>
      </c>
      <c r="B5353" s="4" t="s">
        <v>5376</v>
      </c>
      <c r="C5353" s="3" t="s">
        <v>5350</v>
      </c>
      <c r="D5353" s="5">
        <f t="shared" si="168"/>
        <v>224.15</v>
      </c>
      <c r="E5353">
        <v>246.05</v>
      </c>
      <c r="F5353" s="1789">
        <v>8.8999999999999996E-2</v>
      </c>
      <c r="G5353">
        <f t="shared" si="169"/>
        <v>224.15</v>
      </c>
    </row>
    <row r="5354" spans="1:7" ht="12.75" customHeight="1">
      <c r="A5354" s="3">
        <v>5940</v>
      </c>
      <c r="B5354" s="4" t="s">
        <v>5377</v>
      </c>
      <c r="C5354" s="3" t="s">
        <v>5350</v>
      </c>
      <c r="D5354" s="5">
        <f t="shared" si="168"/>
        <v>156.6</v>
      </c>
      <c r="E5354">
        <v>171.9</v>
      </c>
      <c r="F5354" s="1789">
        <v>8.8999999999999996E-2</v>
      </c>
      <c r="G5354">
        <f t="shared" si="169"/>
        <v>156.6</v>
      </c>
    </row>
    <row r="5355" spans="1:7" ht="12.75" customHeight="1">
      <c r="A5355" s="3">
        <v>5944</v>
      </c>
      <c r="B5355" s="4" t="s">
        <v>5378</v>
      </c>
      <c r="C5355" s="3" t="s">
        <v>5350</v>
      </c>
      <c r="D5355" s="5">
        <f t="shared" si="168"/>
        <v>192.79</v>
      </c>
      <c r="E5355">
        <v>211.63</v>
      </c>
      <c r="F5355" s="1789">
        <v>8.8999999999999996E-2</v>
      </c>
      <c r="G5355">
        <f t="shared" si="169"/>
        <v>192.79</v>
      </c>
    </row>
    <row r="5356" spans="1:7" ht="12.75" customHeight="1">
      <c r="A5356" s="3">
        <v>5953</v>
      </c>
      <c r="B5356" s="4" t="s">
        <v>5379</v>
      </c>
      <c r="C5356" s="3" t="s">
        <v>5350</v>
      </c>
      <c r="D5356" s="5">
        <f t="shared" si="168"/>
        <v>55.31</v>
      </c>
      <c r="E5356">
        <v>60.72</v>
      </c>
      <c r="F5356" s="1789">
        <v>8.8999999999999996E-2</v>
      </c>
      <c r="G5356">
        <f t="shared" si="169"/>
        <v>55.31</v>
      </c>
    </row>
    <row r="5357" spans="1:7" ht="12.75" customHeight="1">
      <c r="A5357" s="3">
        <v>6259</v>
      </c>
      <c r="B5357" s="4" t="s">
        <v>5380</v>
      </c>
      <c r="C5357" s="3" t="s">
        <v>5350</v>
      </c>
      <c r="D5357" s="5">
        <f t="shared" si="168"/>
        <v>235.39</v>
      </c>
      <c r="E5357">
        <v>258.39</v>
      </c>
      <c r="F5357" s="1789">
        <v>8.8999999999999996E-2</v>
      </c>
      <c r="G5357">
        <f t="shared" si="169"/>
        <v>235.39</v>
      </c>
    </row>
    <row r="5358" spans="1:7" ht="12.75" customHeight="1">
      <c r="A5358" s="3">
        <v>6879</v>
      </c>
      <c r="B5358" s="4" t="s">
        <v>5381</v>
      </c>
      <c r="C5358" s="3" t="s">
        <v>5350</v>
      </c>
      <c r="D5358" s="5">
        <f t="shared" si="168"/>
        <v>192.04</v>
      </c>
      <c r="E5358">
        <v>210.81</v>
      </c>
      <c r="F5358" s="1789">
        <v>8.8999999999999996E-2</v>
      </c>
      <c r="G5358">
        <f t="shared" si="169"/>
        <v>192.04</v>
      </c>
    </row>
    <row r="5359" spans="1:7" ht="12.75" customHeight="1">
      <c r="A5359" s="3">
        <v>7030</v>
      </c>
      <c r="B5359" s="4" t="s">
        <v>5382</v>
      </c>
      <c r="C5359" s="3" t="s">
        <v>5350</v>
      </c>
      <c r="D5359" s="5">
        <f t="shared" si="168"/>
        <v>245.53</v>
      </c>
      <c r="E5359">
        <v>269.52</v>
      </c>
      <c r="F5359" s="1789">
        <v>8.8999999999999996E-2</v>
      </c>
      <c r="G5359">
        <f t="shared" si="169"/>
        <v>245.53</v>
      </c>
    </row>
    <row r="5360" spans="1:7" ht="12.75" customHeight="1">
      <c r="A5360" s="3">
        <v>7042</v>
      </c>
      <c r="B5360" s="4" t="s">
        <v>5383</v>
      </c>
      <c r="C5360" s="3" t="s">
        <v>5350</v>
      </c>
      <c r="D5360" s="5">
        <f t="shared" si="168"/>
        <v>22.73</v>
      </c>
      <c r="E5360">
        <v>24.96</v>
      </c>
      <c r="F5360" s="1789">
        <v>8.8999999999999996E-2</v>
      </c>
      <c r="G5360">
        <f t="shared" si="169"/>
        <v>22.73</v>
      </c>
    </row>
    <row r="5361" spans="1:7" ht="12.75" customHeight="1">
      <c r="A5361" s="3">
        <v>7049</v>
      </c>
      <c r="B5361" s="4" t="s">
        <v>5384</v>
      </c>
      <c r="C5361" s="3" t="s">
        <v>5350</v>
      </c>
      <c r="D5361" s="5">
        <f t="shared" si="168"/>
        <v>201.98</v>
      </c>
      <c r="E5361">
        <v>221.72</v>
      </c>
      <c r="F5361" s="1789">
        <v>8.8999999999999996E-2</v>
      </c>
      <c r="G5361">
        <f t="shared" si="169"/>
        <v>201.98</v>
      </c>
    </row>
    <row r="5362" spans="1:7" ht="12.75" customHeight="1">
      <c r="A5362" s="3">
        <v>67826</v>
      </c>
      <c r="B5362" s="4" t="s">
        <v>5385</v>
      </c>
      <c r="C5362" s="3" t="s">
        <v>5350</v>
      </c>
      <c r="D5362" s="5">
        <f t="shared" si="168"/>
        <v>172.98</v>
      </c>
      <c r="E5362">
        <v>189.89</v>
      </c>
      <c r="F5362" s="1789">
        <v>8.8999999999999996E-2</v>
      </c>
      <c r="G5362">
        <f t="shared" si="169"/>
        <v>172.98</v>
      </c>
    </row>
    <row r="5363" spans="1:7" ht="12.75" customHeight="1">
      <c r="A5363" s="3">
        <v>73417</v>
      </c>
      <c r="B5363" s="4" t="s">
        <v>5386</v>
      </c>
      <c r="C5363" s="3" t="s">
        <v>5350</v>
      </c>
      <c r="D5363" s="5">
        <f t="shared" si="168"/>
        <v>175.31</v>
      </c>
      <c r="E5363">
        <v>192.44</v>
      </c>
      <c r="F5363" s="1789">
        <v>8.8999999999999996E-2</v>
      </c>
      <c r="G5363">
        <f t="shared" si="169"/>
        <v>175.31</v>
      </c>
    </row>
    <row r="5364" spans="1:7" ht="12.75" customHeight="1">
      <c r="A5364" s="3">
        <v>73436</v>
      </c>
      <c r="B5364" s="4" t="s">
        <v>5387</v>
      </c>
      <c r="C5364" s="3" t="s">
        <v>5350</v>
      </c>
      <c r="D5364" s="5">
        <f t="shared" si="168"/>
        <v>147.33000000000001</v>
      </c>
      <c r="E5364">
        <v>161.72999999999999</v>
      </c>
      <c r="F5364" s="1789">
        <v>8.8999999999999996E-2</v>
      </c>
      <c r="G5364">
        <f t="shared" si="169"/>
        <v>147.33000000000001</v>
      </c>
    </row>
    <row r="5365" spans="1:7" ht="12.75" customHeight="1">
      <c r="A5365" s="3">
        <v>73467</v>
      </c>
      <c r="B5365" s="4" t="s">
        <v>5388</v>
      </c>
      <c r="C5365" s="3" t="s">
        <v>5350</v>
      </c>
      <c r="D5365" s="5">
        <f t="shared" si="168"/>
        <v>228.59</v>
      </c>
      <c r="E5365">
        <v>250.93</v>
      </c>
      <c r="F5365" s="1789">
        <v>8.8999999999999996E-2</v>
      </c>
      <c r="G5365">
        <f t="shared" si="169"/>
        <v>228.59</v>
      </c>
    </row>
    <row r="5366" spans="1:7" ht="12.75" customHeight="1">
      <c r="A5366" s="3">
        <v>73536</v>
      </c>
      <c r="B5366" s="4" t="s">
        <v>5389</v>
      </c>
      <c r="C5366" s="3" t="s">
        <v>5350</v>
      </c>
      <c r="D5366" s="5">
        <f t="shared" si="168"/>
        <v>19.239999999999998</v>
      </c>
      <c r="E5366">
        <v>21.12</v>
      </c>
      <c r="F5366" s="1789">
        <v>8.8999999999999996E-2</v>
      </c>
      <c r="G5366">
        <f t="shared" si="169"/>
        <v>19.239999999999998</v>
      </c>
    </row>
    <row r="5367" spans="1:7" ht="12.75" customHeight="1">
      <c r="A5367" s="3">
        <v>83362</v>
      </c>
      <c r="B5367" s="4" t="s">
        <v>5390</v>
      </c>
      <c r="C5367" s="3" t="s">
        <v>5350</v>
      </c>
      <c r="D5367" s="5">
        <f t="shared" si="168"/>
        <v>252.76</v>
      </c>
      <c r="E5367">
        <v>277.45999999999998</v>
      </c>
      <c r="F5367" s="1789">
        <v>8.8999999999999996E-2</v>
      </c>
      <c r="G5367">
        <f t="shared" si="169"/>
        <v>252.76</v>
      </c>
    </row>
    <row r="5368" spans="1:7" ht="12.75" customHeight="1">
      <c r="A5368" s="3">
        <v>83765</v>
      </c>
      <c r="B5368" s="4" t="s">
        <v>5391</v>
      </c>
      <c r="C5368" s="3" t="s">
        <v>5350</v>
      </c>
      <c r="D5368" s="5">
        <f t="shared" si="168"/>
        <v>89.41</v>
      </c>
      <c r="E5368">
        <v>98.15</v>
      </c>
      <c r="F5368" s="1789">
        <v>8.8999999999999996E-2</v>
      </c>
      <c r="G5368">
        <f t="shared" si="169"/>
        <v>89.41</v>
      </c>
    </row>
    <row r="5369" spans="1:7" ht="12.75" customHeight="1">
      <c r="A5369" s="3">
        <v>87445</v>
      </c>
      <c r="B5369" s="4" t="s">
        <v>5392</v>
      </c>
      <c r="C5369" s="3" t="s">
        <v>5350</v>
      </c>
      <c r="D5369" s="5">
        <f t="shared" si="168"/>
        <v>4.8499999999999996</v>
      </c>
      <c r="E5369">
        <v>5.33</v>
      </c>
      <c r="F5369" s="1789">
        <v>8.8999999999999996E-2</v>
      </c>
      <c r="G5369">
        <f t="shared" si="169"/>
        <v>4.8499999999999996</v>
      </c>
    </row>
    <row r="5370" spans="1:7" ht="12.75" customHeight="1">
      <c r="A5370" s="3">
        <v>88386</v>
      </c>
      <c r="B5370" s="4" t="s">
        <v>5393</v>
      </c>
      <c r="C5370" s="3" t="s">
        <v>5350</v>
      </c>
      <c r="D5370" s="5">
        <f t="shared" si="168"/>
        <v>4.7</v>
      </c>
      <c r="E5370">
        <v>5.17</v>
      </c>
      <c r="F5370" s="1789">
        <v>8.8999999999999996E-2</v>
      </c>
      <c r="G5370">
        <f t="shared" si="169"/>
        <v>4.7</v>
      </c>
    </row>
    <row r="5371" spans="1:7" ht="12.75" customHeight="1">
      <c r="A5371" s="3">
        <v>88393</v>
      </c>
      <c r="B5371" s="4" t="s">
        <v>5394</v>
      </c>
      <c r="C5371" s="3" t="s">
        <v>5350</v>
      </c>
      <c r="D5371" s="5">
        <f t="shared" si="168"/>
        <v>6.5</v>
      </c>
      <c r="E5371">
        <v>7.14</v>
      </c>
      <c r="F5371" s="1789">
        <v>8.8999999999999996E-2</v>
      </c>
      <c r="G5371">
        <f t="shared" si="169"/>
        <v>6.5</v>
      </c>
    </row>
    <row r="5372" spans="1:7" ht="12.75" customHeight="1">
      <c r="A5372" s="3">
        <v>88399</v>
      </c>
      <c r="B5372" s="4" t="s">
        <v>5395</v>
      </c>
      <c r="C5372" s="3" t="s">
        <v>5350</v>
      </c>
      <c r="D5372" s="5">
        <f t="shared" si="168"/>
        <v>3.45</v>
      </c>
      <c r="E5372">
        <v>3.79</v>
      </c>
      <c r="F5372" s="1789">
        <v>8.8999999999999996E-2</v>
      </c>
      <c r="G5372">
        <f t="shared" si="169"/>
        <v>3.45</v>
      </c>
    </row>
    <row r="5373" spans="1:7" ht="12.75" customHeight="1">
      <c r="A5373" s="3">
        <v>88418</v>
      </c>
      <c r="B5373" s="4" t="s">
        <v>5396</v>
      </c>
      <c r="C5373" s="3" t="s">
        <v>5350</v>
      </c>
      <c r="D5373" s="5">
        <f t="shared" si="168"/>
        <v>13.22</v>
      </c>
      <c r="E5373">
        <v>14.52</v>
      </c>
      <c r="F5373" s="1789">
        <v>8.8999999999999996E-2</v>
      </c>
      <c r="G5373">
        <f t="shared" si="169"/>
        <v>13.22</v>
      </c>
    </row>
    <row r="5374" spans="1:7" ht="12.75" customHeight="1">
      <c r="A5374" s="3">
        <v>88433</v>
      </c>
      <c r="B5374" s="4" t="s">
        <v>5397</v>
      </c>
      <c r="C5374" s="3" t="s">
        <v>5350</v>
      </c>
      <c r="D5374" s="5">
        <f t="shared" si="168"/>
        <v>17.21</v>
      </c>
      <c r="E5374">
        <v>18.899999999999999</v>
      </c>
      <c r="F5374" s="1789">
        <v>8.8999999999999996E-2</v>
      </c>
      <c r="G5374">
        <f t="shared" si="169"/>
        <v>17.21</v>
      </c>
    </row>
    <row r="5375" spans="1:7" ht="12.75" customHeight="1">
      <c r="A5375" s="3">
        <v>88830</v>
      </c>
      <c r="B5375" s="4" t="s">
        <v>5398</v>
      </c>
      <c r="C5375" s="3" t="s">
        <v>5350</v>
      </c>
      <c r="D5375" s="5">
        <f t="shared" si="168"/>
        <v>1.83</v>
      </c>
      <c r="E5375">
        <v>2.0099999999999998</v>
      </c>
      <c r="F5375" s="1789">
        <v>8.8999999999999996E-2</v>
      </c>
      <c r="G5375">
        <f t="shared" si="169"/>
        <v>1.83</v>
      </c>
    </row>
    <row r="5376" spans="1:7" ht="12.75" customHeight="1">
      <c r="A5376" s="3">
        <v>88843</v>
      </c>
      <c r="B5376" s="4" t="s">
        <v>5399</v>
      </c>
      <c r="C5376" s="3" t="s">
        <v>5350</v>
      </c>
      <c r="D5376" s="5">
        <f t="shared" si="168"/>
        <v>188.01</v>
      </c>
      <c r="E5376">
        <v>206.38</v>
      </c>
      <c r="F5376" s="1789">
        <v>8.8999999999999996E-2</v>
      </c>
      <c r="G5376">
        <f t="shared" si="169"/>
        <v>188.01</v>
      </c>
    </row>
    <row r="5377" spans="1:7" ht="12.75" customHeight="1">
      <c r="A5377" s="3">
        <v>88907</v>
      </c>
      <c r="B5377" s="4" t="s">
        <v>5400</v>
      </c>
      <c r="C5377" s="3" t="s">
        <v>5350</v>
      </c>
      <c r="D5377" s="5">
        <f t="shared" si="168"/>
        <v>219.91</v>
      </c>
      <c r="E5377">
        <v>241.4</v>
      </c>
      <c r="F5377" s="1789">
        <v>8.8999999999999996E-2</v>
      </c>
      <c r="G5377">
        <f t="shared" si="169"/>
        <v>219.91</v>
      </c>
    </row>
    <row r="5378" spans="1:7" ht="12.75" customHeight="1">
      <c r="A5378" s="3">
        <v>89021</v>
      </c>
      <c r="B5378" s="4" t="s">
        <v>5401</v>
      </c>
      <c r="C5378" s="3" t="s">
        <v>5350</v>
      </c>
      <c r="D5378" s="5">
        <f t="shared" si="168"/>
        <v>2.33</v>
      </c>
      <c r="E5378">
        <v>2.56</v>
      </c>
      <c r="F5378" s="1789">
        <v>8.8999999999999996E-2</v>
      </c>
      <c r="G5378">
        <f t="shared" si="169"/>
        <v>2.33</v>
      </c>
    </row>
    <row r="5379" spans="1:7" ht="12.75" customHeight="1">
      <c r="A5379" s="3">
        <v>89028</v>
      </c>
      <c r="B5379" s="4" t="s">
        <v>5402</v>
      </c>
      <c r="C5379" s="3" t="s">
        <v>5350</v>
      </c>
      <c r="D5379" s="5">
        <f t="shared" si="168"/>
        <v>165.26</v>
      </c>
      <c r="E5379">
        <v>181.41</v>
      </c>
      <c r="F5379" s="1789">
        <v>8.8999999999999996E-2</v>
      </c>
      <c r="G5379">
        <f t="shared" si="169"/>
        <v>165.26</v>
      </c>
    </row>
    <row r="5380" spans="1:7" ht="12.75" customHeight="1">
      <c r="A5380" s="3">
        <v>89032</v>
      </c>
      <c r="B5380" s="4" t="s">
        <v>5403</v>
      </c>
      <c r="C5380" s="3" t="s">
        <v>5350</v>
      </c>
      <c r="D5380" s="5">
        <f t="shared" si="168"/>
        <v>169.35</v>
      </c>
      <c r="E5380">
        <v>185.9</v>
      </c>
      <c r="F5380" s="1789">
        <v>8.8999999999999996E-2</v>
      </c>
      <c r="G5380">
        <f t="shared" si="169"/>
        <v>169.35</v>
      </c>
    </row>
    <row r="5381" spans="1:7" ht="12.75" customHeight="1">
      <c r="A5381" s="3">
        <v>89035</v>
      </c>
      <c r="B5381" s="4" t="s">
        <v>5404</v>
      </c>
      <c r="C5381" s="3" t="s">
        <v>5350</v>
      </c>
      <c r="D5381" s="5">
        <f t="shared" si="168"/>
        <v>112.98</v>
      </c>
      <c r="E5381">
        <v>124.02</v>
      </c>
      <c r="F5381" s="1789">
        <v>8.8999999999999996E-2</v>
      </c>
      <c r="G5381">
        <f t="shared" si="169"/>
        <v>112.98</v>
      </c>
    </row>
    <row r="5382" spans="1:7" ht="12.75" customHeight="1">
      <c r="A5382" s="3">
        <v>89225</v>
      </c>
      <c r="B5382" s="4" t="s">
        <v>5405</v>
      </c>
      <c r="C5382" s="3" t="s">
        <v>5350</v>
      </c>
      <c r="D5382" s="5">
        <f t="shared" si="168"/>
        <v>5.09</v>
      </c>
      <c r="E5382">
        <v>5.59</v>
      </c>
      <c r="F5382" s="1789">
        <v>8.8999999999999996E-2</v>
      </c>
      <c r="G5382">
        <f t="shared" si="169"/>
        <v>5.09</v>
      </c>
    </row>
    <row r="5383" spans="1:7" ht="12.75" customHeight="1">
      <c r="A5383" s="3">
        <v>89234</v>
      </c>
      <c r="B5383" s="4" t="s">
        <v>5406</v>
      </c>
      <c r="C5383" s="3" t="s">
        <v>5350</v>
      </c>
      <c r="D5383" s="5">
        <f t="shared" si="168"/>
        <v>525.80999999999995</v>
      </c>
      <c r="E5383">
        <v>577.17999999999995</v>
      </c>
      <c r="F5383" s="1789">
        <v>8.8999999999999996E-2</v>
      </c>
      <c r="G5383">
        <f t="shared" si="169"/>
        <v>525.80999999999995</v>
      </c>
    </row>
    <row r="5384" spans="1:7" ht="12.75" customHeight="1">
      <c r="A5384" s="3">
        <v>89242</v>
      </c>
      <c r="B5384" s="4" t="s">
        <v>5407</v>
      </c>
      <c r="C5384" s="3" t="s">
        <v>5350</v>
      </c>
      <c r="D5384" s="5">
        <f t="shared" si="168"/>
        <v>1249.47</v>
      </c>
      <c r="E5384">
        <v>1371.54</v>
      </c>
      <c r="F5384" s="1789">
        <v>8.8999999999999996E-2</v>
      </c>
      <c r="G5384">
        <f t="shared" si="169"/>
        <v>1249.47</v>
      </c>
    </row>
    <row r="5385" spans="1:7" ht="12.75" customHeight="1">
      <c r="A5385" s="3">
        <v>89250</v>
      </c>
      <c r="B5385" s="4" t="s">
        <v>5408</v>
      </c>
      <c r="C5385" s="3" t="s">
        <v>5350</v>
      </c>
      <c r="D5385" s="5">
        <f t="shared" si="168"/>
        <v>1081.57</v>
      </c>
      <c r="E5385">
        <v>1187.24</v>
      </c>
      <c r="F5385" s="1789">
        <v>8.8999999999999996E-2</v>
      </c>
      <c r="G5385">
        <f t="shared" si="169"/>
        <v>1081.57</v>
      </c>
    </row>
    <row r="5386" spans="1:7" ht="12.75" customHeight="1">
      <c r="A5386" s="3">
        <v>89257</v>
      </c>
      <c r="B5386" s="4" t="s">
        <v>5409</v>
      </c>
      <c r="C5386" s="3" t="s">
        <v>5350</v>
      </c>
      <c r="D5386" s="5">
        <f t="shared" si="168"/>
        <v>295.95</v>
      </c>
      <c r="E5386">
        <v>324.87</v>
      </c>
      <c r="F5386" s="1789">
        <v>8.8999999999999996E-2</v>
      </c>
      <c r="G5386">
        <f t="shared" si="169"/>
        <v>295.95</v>
      </c>
    </row>
    <row r="5387" spans="1:7" ht="12.75" customHeight="1">
      <c r="A5387" s="3">
        <v>89272</v>
      </c>
      <c r="B5387" s="4" t="s">
        <v>5410</v>
      </c>
      <c r="C5387" s="3" t="s">
        <v>5350</v>
      </c>
      <c r="D5387" s="5">
        <f t="shared" si="168"/>
        <v>196.95</v>
      </c>
      <c r="E5387">
        <v>216.2</v>
      </c>
      <c r="F5387" s="1789">
        <v>8.8999999999999996E-2</v>
      </c>
      <c r="G5387">
        <f t="shared" si="169"/>
        <v>196.95</v>
      </c>
    </row>
    <row r="5388" spans="1:7" ht="12.75" customHeight="1">
      <c r="A5388" s="3">
        <v>89278</v>
      </c>
      <c r="B5388" s="4" t="s">
        <v>5411</v>
      </c>
      <c r="C5388" s="3" t="s">
        <v>5350</v>
      </c>
      <c r="D5388" s="5">
        <f t="shared" si="168"/>
        <v>11.36</v>
      </c>
      <c r="E5388">
        <v>12.48</v>
      </c>
      <c r="F5388" s="1789">
        <v>8.8999999999999996E-2</v>
      </c>
      <c r="G5388">
        <f t="shared" si="169"/>
        <v>11.36</v>
      </c>
    </row>
    <row r="5389" spans="1:7" ht="12.75" customHeight="1">
      <c r="A5389" s="3">
        <v>89843</v>
      </c>
      <c r="B5389" s="4" t="s">
        <v>5412</v>
      </c>
      <c r="C5389" s="3" t="s">
        <v>5350</v>
      </c>
      <c r="D5389" s="5">
        <f t="shared" si="168"/>
        <v>184.07</v>
      </c>
      <c r="E5389">
        <v>202.06</v>
      </c>
      <c r="F5389" s="1789">
        <v>8.8999999999999996E-2</v>
      </c>
      <c r="G5389">
        <f t="shared" si="169"/>
        <v>184.07</v>
      </c>
    </row>
    <row r="5390" spans="1:7" ht="12.75" customHeight="1">
      <c r="A5390" s="3">
        <v>89876</v>
      </c>
      <c r="B5390" s="4" t="s">
        <v>5413</v>
      </c>
      <c r="C5390" s="3" t="s">
        <v>5350</v>
      </c>
      <c r="D5390" s="5">
        <f t="shared" si="168"/>
        <v>305.06</v>
      </c>
      <c r="E5390">
        <v>334.87</v>
      </c>
      <c r="F5390" s="1789">
        <v>8.8999999999999996E-2</v>
      </c>
      <c r="G5390">
        <f t="shared" si="169"/>
        <v>305.06</v>
      </c>
    </row>
    <row r="5391" spans="1:7" ht="12.75" customHeight="1">
      <c r="A5391" s="3">
        <v>89883</v>
      </c>
      <c r="B5391" s="4" t="s">
        <v>5414</v>
      </c>
      <c r="C5391" s="3" t="s">
        <v>5350</v>
      </c>
      <c r="D5391" s="5">
        <f t="shared" si="168"/>
        <v>337.06</v>
      </c>
      <c r="E5391">
        <v>369.99</v>
      </c>
      <c r="F5391" s="1789">
        <v>8.8999999999999996E-2</v>
      </c>
      <c r="G5391">
        <f t="shared" si="169"/>
        <v>337.06</v>
      </c>
    </row>
    <row r="5392" spans="1:7" ht="12.75" customHeight="1">
      <c r="A5392" s="3">
        <v>90586</v>
      </c>
      <c r="B5392" s="4" t="s">
        <v>5415</v>
      </c>
      <c r="C5392" s="3" t="s">
        <v>5350</v>
      </c>
      <c r="D5392" s="5">
        <f t="shared" si="168"/>
        <v>1.21</v>
      </c>
      <c r="E5392">
        <v>1.33</v>
      </c>
      <c r="F5392" s="1789">
        <v>8.8999999999999996E-2</v>
      </c>
      <c r="G5392">
        <f t="shared" si="169"/>
        <v>1.21</v>
      </c>
    </row>
    <row r="5393" spans="1:7" ht="12.75" customHeight="1">
      <c r="A5393" s="3">
        <v>90625</v>
      </c>
      <c r="B5393" s="4" t="s">
        <v>5416</v>
      </c>
      <c r="C5393" s="3" t="s">
        <v>5350</v>
      </c>
      <c r="D5393" s="5">
        <f t="shared" si="168"/>
        <v>8.3800000000000008</v>
      </c>
      <c r="E5393">
        <v>9.1999999999999993</v>
      </c>
      <c r="F5393" s="1789">
        <v>8.8999999999999996E-2</v>
      </c>
      <c r="G5393">
        <f t="shared" si="169"/>
        <v>8.3800000000000008</v>
      </c>
    </row>
    <row r="5394" spans="1:7" ht="12.75" customHeight="1">
      <c r="A5394" s="3">
        <v>90631</v>
      </c>
      <c r="B5394" s="4" t="s">
        <v>5417</v>
      </c>
      <c r="C5394" s="3" t="s">
        <v>5350</v>
      </c>
      <c r="D5394" s="5">
        <f t="shared" si="168"/>
        <v>127.13</v>
      </c>
      <c r="E5394">
        <v>139.55000000000001</v>
      </c>
      <c r="F5394" s="1789">
        <v>8.8999999999999996E-2</v>
      </c>
      <c r="G5394">
        <f t="shared" si="169"/>
        <v>127.13</v>
      </c>
    </row>
    <row r="5395" spans="1:7" ht="12.75" customHeight="1">
      <c r="A5395" s="3">
        <v>90637</v>
      </c>
      <c r="B5395" s="4" t="s">
        <v>5418</v>
      </c>
      <c r="C5395" s="3" t="s">
        <v>5350</v>
      </c>
      <c r="D5395" s="5">
        <f t="shared" si="168"/>
        <v>14.63</v>
      </c>
      <c r="E5395">
        <v>16.059999999999999</v>
      </c>
      <c r="F5395" s="1789">
        <v>8.8999999999999996E-2</v>
      </c>
      <c r="G5395">
        <f t="shared" si="169"/>
        <v>14.63</v>
      </c>
    </row>
    <row r="5396" spans="1:7" ht="12.75" customHeight="1">
      <c r="A5396" s="3">
        <v>90643</v>
      </c>
      <c r="B5396" s="4" t="s">
        <v>5419</v>
      </c>
      <c r="C5396" s="3" t="s">
        <v>5350</v>
      </c>
      <c r="D5396" s="5">
        <f t="shared" si="168"/>
        <v>24.66</v>
      </c>
      <c r="E5396">
        <v>27.07</v>
      </c>
      <c r="F5396" s="1789">
        <v>8.8999999999999996E-2</v>
      </c>
      <c r="G5396">
        <f t="shared" si="169"/>
        <v>24.66</v>
      </c>
    </row>
    <row r="5397" spans="1:7" ht="12.75" customHeight="1">
      <c r="A5397" s="3">
        <v>90650</v>
      </c>
      <c r="B5397" s="4" t="s">
        <v>5420</v>
      </c>
      <c r="C5397" s="3" t="s">
        <v>5350</v>
      </c>
      <c r="D5397" s="5">
        <f t="shared" ref="D5397:D5460" si="170">G5397</f>
        <v>10.55</v>
      </c>
      <c r="E5397">
        <v>11.59</v>
      </c>
      <c r="F5397" s="1789">
        <v>8.8999999999999996E-2</v>
      </c>
      <c r="G5397">
        <f t="shared" ref="G5397:G5460" si="171">TRUNC((1-F5397)*E5397,2)</f>
        <v>10.55</v>
      </c>
    </row>
    <row r="5398" spans="1:7" ht="12.75" customHeight="1">
      <c r="A5398" s="3">
        <v>90656</v>
      </c>
      <c r="B5398" s="4" t="s">
        <v>5421</v>
      </c>
      <c r="C5398" s="3" t="s">
        <v>5350</v>
      </c>
      <c r="D5398" s="5">
        <f t="shared" si="170"/>
        <v>14.5</v>
      </c>
      <c r="E5398">
        <v>15.92</v>
      </c>
      <c r="F5398" s="1789">
        <v>8.8999999999999996E-2</v>
      </c>
      <c r="G5398">
        <f t="shared" si="171"/>
        <v>14.5</v>
      </c>
    </row>
    <row r="5399" spans="1:7" ht="12.75" customHeight="1">
      <c r="A5399" s="3">
        <v>90662</v>
      </c>
      <c r="B5399" s="4" t="s">
        <v>5422</v>
      </c>
      <c r="C5399" s="3" t="s">
        <v>5350</v>
      </c>
      <c r="D5399" s="5">
        <f t="shared" si="170"/>
        <v>15.11</v>
      </c>
      <c r="E5399">
        <v>16.59</v>
      </c>
      <c r="F5399" s="1789">
        <v>8.8999999999999996E-2</v>
      </c>
      <c r="G5399">
        <f t="shared" si="171"/>
        <v>15.11</v>
      </c>
    </row>
    <row r="5400" spans="1:7" ht="12.75" customHeight="1">
      <c r="A5400" s="3">
        <v>90668</v>
      </c>
      <c r="B5400" s="4" t="s">
        <v>5423</v>
      </c>
      <c r="C5400" s="3" t="s">
        <v>5350</v>
      </c>
      <c r="D5400" s="5">
        <f t="shared" si="170"/>
        <v>30.44</v>
      </c>
      <c r="E5400">
        <v>33.42</v>
      </c>
      <c r="F5400" s="1789">
        <v>8.8999999999999996E-2</v>
      </c>
      <c r="G5400">
        <f t="shared" si="171"/>
        <v>30.44</v>
      </c>
    </row>
    <row r="5401" spans="1:7" ht="12.75" customHeight="1">
      <c r="A5401" s="3">
        <v>90674</v>
      </c>
      <c r="B5401" s="4" t="s">
        <v>5424</v>
      </c>
      <c r="C5401" s="3" t="s">
        <v>5350</v>
      </c>
      <c r="D5401" s="5">
        <f t="shared" si="170"/>
        <v>615.58000000000004</v>
      </c>
      <c r="E5401">
        <v>675.72</v>
      </c>
      <c r="F5401" s="1789">
        <v>8.8999999999999996E-2</v>
      </c>
      <c r="G5401">
        <f t="shared" si="171"/>
        <v>615.58000000000004</v>
      </c>
    </row>
    <row r="5402" spans="1:7" ht="12.75" customHeight="1">
      <c r="A5402" s="3">
        <v>90680</v>
      </c>
      <c r="B5402" s="4" t="s">
        <v>5425</v>
      </c>
      <c r="C5402" s="3" t="s">
        <v>5350</v>
      </c>
      <c r="D5402" s="5">
        <f t="shared" si="170"/>
        <v>369.42</v>
      </c>
      <c r="E5402">
        <v>405.52</v>
      </c>
      <c r="F5402" s="1789">
        <v>8.8999999999999996E-2</v>
      </c>
      <c r="G5402">
        <f t="shared" si="171"/>
        <v>369.42</v>
      </c>
    </row>
    <row r="5403" spans="1:7" ht="12.75" customHeight="1">
      <c r="A5403" s="3">
        <v>90686</v>
      </c>
      <c r="B5403" s="4" t="s">
        <v>5426</v>
      </c>
      <c r="C5403" s="3" t="s">
        <v>5350</v>
      </c>
      <c r="D5403" s="5">
        <f t="shared" si="170"/>
        <v>131.03</v>
      </c>
      <c r="E5403">
        <v>143.84</v>
      </c>
      <c r="F5403" s="1789">
        <v>8.8999999999999996E-2</v>
      </c>
      <c r="G5403">
        <f t="shared" si="171"/>
        <v>131.03</v>
      </c>
    </row>
    <row r="5404" spans="1:7" ht="12.75" customHeight="1">
      <c r="A5404" s="3">
        <v>90692</v>
      </c>
      <c r="B5404" s="4" t="s">
        <v>5427</v>
      </c>
      <c r="C5404" s="3" t="s">
        <v>5350</v>
      </c>
      <c r="D5404" s="5">
        <f t="shared" si="170"/>
        <v>110.33</v>
      </c>
      <c r="E5404">
        <v>121.11</v>
      </c>
      <c r="F5404" s="1789">
        <v>8.8999999999999996E-2</v>
      </c>
      <c r="G5404">
        <f t="shared" si="171"/>
        <v>110.33</v>
      </c>
    </row>
    <row r="5405" spans="1:7" ht="12.75" customHeight="1">
      <c r="A5405" s="3">
        <v>90964</v>
      </c>
      <c r="B5405" s="4" t="s">
        <v>5428</v>
      </c>
      <c r="C5405" s="3" t="s">
        <v>5350</v>
      </c>
      <c r="D5405" s="5">
        <f t="shared" si="170"/>
        <v>29.95</v>
      </c>
      <c r="E5405">
        <v>32.880000000000003</v>
      </c>
      <c r="F5405" s="1789">
        <v>8.8999999999999996E-2</v>
      </c>
      <c r="G5405">
        <f t="shared" si="171"/>
        <v>29.95</v>
      </c>
    </row>
    <row r="5406" spans="1:7" ht="12.75" customHeight="1">
      <c r="A5406" s="3">
        <v>90972</v>
      </c>
      <c r="B5406" s="4" t="s">
        <v>5429</v>
      </c>
      <c r="C5406" s="3" t="s">
        <v>5350</v>
      </c>
      <c r="D5406" s="5">
        <f t="shared" si="170"/>
        <v>71.77</v>
      </c>
      <c r="E5406">
        <v>78.790000000000006</v>
      </c>
      <c r="F5406" s="1789">
        <v>8.8999999999999996E-2</v>
      </c>
      <c r="G5406">
        <f t="shared" si="171"/>
        <v>71.77</v>
      </c>
    </row>
    <row r="5407" spans="1:7" ht="12.75" customHeight="1">
      <c r="A5407" s="3">
        <v>90979</v>
      </c>
      <c r="B5407" s="4" t="s">
        <v>5430</v>
      </c>
      <c r="C5407" s="3" t="s">
        <v>5350</v>
      </c>
      <c r="D5407" s="5">
        <f t="shared" si="170"/>
        <v>185.33</v>
      </c>
      <c r="E5407">
        <v>203.44</v>
      </c>
      <c r="F5407" s="1789">
        <v>8.8999999999999996E-2</v>
      </c>
      <c r="G5407">
        <f t="shared" si="171"/>
        <v>185.33</v>
      </c>
    </row>
    <row r="5408" spans="1:7" ht="12.75" customHeight="1">
      <c r="A5408" s="3">
        <v>90991</v>
      </c>
      <c r="B5408" s="4" t="s">
        <v>5431</v>
      </c>
      <c r="C5408" s="3" t="s">
        <v>5350</v>
      </c>
      <c r="D5408" s="5">
        <f t="shared" si="170"/>
        <v>179.57</v>
      </c>
      <c r="E5408">
        <v>197.12</v>
      </c>
      <c r="F5408" s="1789">
        <v>8.8999999999999996E-2</v>
      </c>
      <c r="G5408">
        <f t="shared" si="171"/>
        <v>179.57</v>
      </c>
    </row>
    <row r="5409" spans="1:7" ht="12.75" customHeight="1">
      <c r="A5409" s="3">
        <v>90999</v>
      </c>
      <c r="B5409" s="4" t="s">
        <v>5432</v>
      </c>
      <c r="C5409" s="3" t="s">
        <v>5350</v>
      </c>
      <c r="D5409" s="5">
        <f t="shared" si="170"/>
        <v>94.68</v>
      </c>
      <c r="E5409">
        <v>103.93</v>
      </c>
      <c r="F5409" s="1789">
        <v>8.8999999999999996E-2</v>
      </c>
      <c r="G5409">
        <f t="shared" si="171"/>
        <v>94.68</v>
      </c>
    </row>
    <row r="5410" spans="1:7" ht="12.75" customHeight="1">
      <c r="A5410" s="3">
        <v>91031</v>
      </c>
      <c r="B5410" s="4" t="s">
        <v>5433</v>
      </c>
      <c r="C5410" s="3" t="s">
        <v>5350</v>
      </c>
      <c r="D5410" s="5">
        <f t="shared" si="170"/>
        <v>238.52</v>
      </c>
      <c r="E5410">
        <v>261.83</v>
      </c>
      <c r="F5410" s="1789">
        <v>8.8999999999999996E-2</v>
      </c>
      <c r="G5410">
        <f t="shared" si="171"/>
        <v>238.52</v>
      </c>
    </row>
    <row r="5411" spans="1:7" ht="12.75" customHeight="1">
      <c r="A5411" s="3">
        <v>91277</v>
      </c>
      <c r="B5411" s="4" t="s">
        <v>5434</v>
      </c>
      <c r="C5411" s="3" t="s">
        <v>5350</v>
      </c>
      <c r="D5411" s="5">
        <f t="shared" si="170"/>
        <v>9.15</v>
      </c>
      <c r="E5411">
        <v>10.050000000000001</v>
      </c>
      <c r="F5411" s="1789">
        <v>8.8999999999999996E-2</v>
      </c>
      <c r="G5411">
        <f t="shared" si="171"/>
        <v>9.15</v>
      </c>
    </row>
    <row r="5412" spans="1:7" ht="12.75" customHeight="1">
      <c r="A5412" s="3">
        <v>91283</v>
      </c>
      <c r="B5412" s="4" t="s">
        <v>5435</v>
      </c>
      <c r="C5412" s="3" t="s">
        <v>5350</v>
      </c>
      <c r="D5412" s="5">
        <f t="shared" si="170"/>
        <v>10.119999999999999</v>
      </c>
      <c r="E5412">
        <v>11.11</v>
      </c>
      <c r="F5412" s="1789">
        <v>8.8999999999999996E-2</v>
      </c>
      <c r="G5412">
        <f t="shared" si="171"/>
        <v>10.119999999999999</v>
      </c>
    </row>
    <row r="5413" spans="1:7" ht="12.75" customHeight="1">
      <c r="A5413" s="3">
        <v>91386</v>
      </c>
      <c r="B5413" s="4" t="s">
        <v>5436</v>
      </c>
      <c r="C5413" s="3" t="s">
        <v>5350</v>
      </c>
      <c r="D5413" s="5">
        <f t="shared" si="170"/>
        <v>247.03</v>
      </c>
      <c r="E5413">
        <v>271.17</v>
      </c>
      <c r="F5413" s="1789">
        <v>8.8999999999999996E-2</v>
      </c>
      <c r="G5413">
        <f t="shared" si="171"/>
        <v>247.03</v>
      </c>
    </row>
    <row r="5414" spans="1:7" ht="12.75" customHeight="1">
      <c r="A5414" s="3">
        <v>91533</v>
      </c>
      <c r="B5414" s="4" t="s">
        <v>5437</v>
      </c>
      <c r="C5414" s="3" t="s">
        <v>5350</v>
      </c>
      <c r="D5414" s="5">
        <f t="shared" si="170"/>
        <v>27.3</v>
      </c>
      <c r="E5414">
        <v>29.97</v>
      </c>
      <c r="F5414" s="1789">
        <v>8.8999999999999996E-2</v>
      </c>
      <c r="G5414">
        <f t="shared" si="171"/>
        <v>27.3</v>
      </c>
    </row>
    <row r="5415" spans="1:7" ht="12.75" customHeight="1">
      <c r="A5415" s="3">
        <v>91634</v>
      </c>
      <c r="B5415" s="4" t="s">
        <v>5438</v>
      </c>
      <c r="C5415" s="3" t="s">
        <v>5350</v>
      </c>
      <c r="D5415" s="5">
        <f t="shared" si="170"/>
        <v>217.22</v>
      </c>
      <c r="E5415">
        <v>238.45</v>
      </c>
      <c r="F5415" s="1789">
        <v>8.8999999999999996E-2</v>
      </c>
      <c r="G5415">
        <f t="shared" si="171"/>
        <v>217.22</v>
      </c>
    </row>
    <row r="5416" spans="1:7" ht="12.75" customHeight="1">
      <c r="A5416" s="3">
        <v>91645</v>
      </c>
      <c r="B5416" s="4" t="s">
        <v>5439</v>
      </c>
      <c r="C5416" s="3" t="s">
        <v>5350</v>
      </c>
      <c r="D5416" s="5">
        <f t="shared" si="170"/>
        <v>433.58</v>
      </c>
      <c r="E5416">
        <v>475.94</v>
      </c>
      <c r="F5416" s="1789">
        <v>8.8999999999999996E-2</v>
      </c>
      <c r="G5416">
        <f t="shared" si="171"/>
        <v>433.58</v>
      </c>
    </row>
    <row r="5417" spans="1:7" ht="12.75" customHeight="1">
      <c r="A5417" s="3">
        <v>91692</v>
      </c>
      <c r="B5417" s="4" t="s">
        <v>5440</v>
      </c>
      <c r="C5417" s="3" t="s">
        <v>5350</v>
      </c>
      <c r="D5417" s="5">
        <f t="shared" si="170"/>
        <v>21.22</v>
      </c>
      <c r="E5417">
        <v>23.3</v>
      </c>
      <c r="F5417" s="1789">
        <v>8.8999999999999996E-2</v>
      </c>
      <c r="G5417">
        <f t="shared" si="171"/>
        <v>21.22</v>
      </c>
    </row>
    <row r="5418" spans="1:7" ht="12.75" customHeight="1">
      <c r="A5418" s="3">
        <v>92043</v>
      </c>
      <c r="B5418" s="4" t="s">
        <v>5441</v>
      </c>
      <c r="C5418" s="3" t="s">
        <v>5350</v>
      </c>
      <c r="D5418" s="5">
        <f t="shared" si="170"/>
        <v>12.01</v>
      </c>
      <c r="E5418">
        <v>13.19</v>
      </c>
      <c r="F5418" s="1789">
        <v>8.8999999999999996E-2</v>
      </c>
      <c r="G5418">
        <f t="shared" si="171"/>
        <v>12.01</v>
      </c>
    </row>
    <row r="5419" spans="1:7" ht="12.75" customHeight="1">
      <c r="A5419" s="3">
        <v>92106</v>
      </c>
      <c r="B5419" s="4" t="s">
        <v>5442</v>
      </c>
      <c r="C5419" s="3" t="s">
        <v>5350</v>
      </c>
      <c r="D5419" s="5">
        <f t="shared" si="170"/>
        <v>310.14999999999998</v>
      </c>
      <c r="E5419">
        <v>340.46</v>
      </c>
      <c r="F5419" s="1789">
        <v>8.8999999999999996E-2</v>
      </c>
      <c r="G5419">
        <f t="shared" si="171"/>
        <v>310.14999999999998</v>
      </c>
    </row>
    <row r="5420" spans="1:7" ht="12.75" customHeight="1">
      <c r="A5420" s="3">
        <v>92112</v>
      </c>
      <c r="B5420" s="4" t="s">
        <v>5443</v>
      </c>
      <c r="C5420" s="3" t="s">
        <v>5350</v>
      </c>
      <c r="D5420" s="5">
        <f t="shared" si="170"/>
        <v>3.28</v>
      </c>
      <c r="E5420">
        <v>3.61</v>
      </c>
      <c r="F5420" s="1789">
        <v>8.8999999999999996E-2</v>
      </c>
      <c r="G5420">
        <f t="shared" si="171"/>
        <v>3.28</v>
      </c>
    </row>
    <row r="5421" spans="1:7" ht="12.75" customHeight="1">
      <c r="A5421" s="3">
        <v>92118</v>
      </c>
      <c r="B5421" s="4" t="s">
        <v>5444</v>
      </c>
      <c r="C5421" s="3" t="s">
        <v>5350</v>
      </c>
      <c r="D5421" s="5">
        <f t="shared" si="170"/>
        <v>0.41</v>
      </c>
      <c r="E5421">
        <v>0.46</v>
      </c>
      <c r="F5421" s="1789">
        <v>8.8999999999999996E-2</v>
      </c>
      <c r="G5421">
        <f t="shared" si="171"/>
        <v>0.41</v>
      </c>
    </row>
    <row r="5422" spans="1:7" ht="12.75" customHeight="1">
      <c r="A5422" s="3">
        <v>92138</v>
      </c>
      <c r="B5422" s="4" t="s">
        <v>5445</v>
      </c>
      <c r="C5422" s="3" t="s">
        <v>5350</v>
      </c>
      <c r="D5422" s="5">
        <f t="shared" si="170"/>
        <v>87.35</v>
      </c>
      <c r="E5422">
        <v>95.89</v>
      </c>
      <c r="F5422" s="1789">
        <v>8.8999999999999996E-2</v>
      </c>
      <c r="G5422">
        <f t="shared" si="171"/>
        <v>87.35</v>
      </c>
    </row>
    <row r="5423" spans="1:7" ht="12.75" customHeight="1">
      <c r="A5423" s="3">
        <v>92145</v>
      </c>
      <c r="B5423" s="4" t="s">
        <v>5446</v>
      </c>
      <c r="C5423" s="3" t="s">
        <v>5350</v>
      </c>
      <c r="D5423" s="5">
        <f t="shared" si="170"/>
        <v>71.760000000000005</v>
      </c>
      <c r="E5423">
        <v>78.78</v>
      </c>
      <c r="F5423" s="1789">
        <v>8.8999999999999996E-2</v>
      </c>
      <c r="G5423">
        <f t="shared" si="171"/>
        <v>71.760000000000005</v>
      </c>
    </row>
    <row r="5424" spans="1:7" ht="12.75" customHeight="1">
      <c r="A5424" s="3">
        <v>92242</v>
      </c>
      <c r="B5424" s="4" t="s">
        <v>5447</v>
      </c>
      <c r="C5424" s="3" t="s">
        <v>5350</v>
      </c>
      <c r="D5424" s="5">
        <f t="shared" si="170"/>
        <v>376.58</v>
      </c>
      <c r="E5424">
        <v>413.37</v>
      </c>
      <c r="F5424" s="1789">
        <v>8.8999999999999996E-2</v>
      </c>
      <c r="G5424">
        <f t="shared" si="171"/>
        <v>376.58</v>
      </c>
    </row>
    <row r="5425" spans="1:7" ht="12.75" customHeight="1">
      <c r="A5425" s="3">
        <v>92716</v>
      </c>
      <c r="B5425" s="4" t="s">
        <v>5448</v>
      </c>
      <c r="C5425" s="3" t="s">
        <v>5350</v>
      </c>
      <c r="D5425" s="5">
        <f t="shared" si="170"/>
        <v>124.02</v>
      </c>
      <c r="E5425">
        <v>136.13999999999999</v>
      </c>
      <c r="F5425" s="1789">
        <v>8.8999999999999996E-2</v>
      </c>
      <c r="G5425">
        <f t="shared" si="171"/>
        <v>124.02</v>
      </c>
    </row>
    <row r="5426" spans="1:7" ht="12.75" customHeight="1">
      <c r="A5426" s="3">
        <v>92960</v>
      </c>
      <c r="B5426" s="4" t="s">
        <v>5449</v>
      </c>
      <c r="C5426" s="3" t="s">
        <v>5350</v>
      </c>
      <c r="D5426" s="5">
        <f t="shared" si="170"/>
        <v>17.579999999999998</v>
      </c>
      <c r="E5426">
        <v>19.3</v>
      </c>
      <c r="F5426" s="1789">
        <v>8.8999999999999996E-2</v>
      </c>
      <c r="G5426">
        <f t="shared" si="171"/>
        <v>17.579999999999998</v>
      </c>
    </row>
    <row r="5427" spans="1:7" ht="12.75" customHeight="1">
      <c r="A5427" s="3">
        <v>92966</v>
      </c>
      <c r="B5427" s="4" t="s">
        <v>5450</v>
      </c>
      <c r="C5427" s="3" t="s">
        <v>5350</v>
      </c>
      <c r="D5427" s="5">
        <f t="shared" si="170"/>
        <v>21.62</v>
      </c>
      <c r="E5427">
        <v>23.74</v>
      </c>
      <c r="F5427" s="1789">
        <v>8.8999999999999996E-2</v>
      </c>
      <c r="G5427">
        <f t="shared" si="171"/>
        <v>21.62</v>
      </c>
    </row>
    <row r="5428" spans="1:7" ht="12.75" customHeight="1">
      <c r="A5428" s="3">
        <v>93224</v>
      </c>
      <c r="B5428" s="4" t="s">
        <v>5451</v>
      </c>
      <c r="C5428" s="3" t="s">
        <v>5350</v>
      </c>
      <c r="D5428" s="5">
        <f t="shared" si="170"/>
        <v>919.02</v>
      </c>
      <c r="E5428">
        <v>1008.81</v>
      </c>
      <c r="F5428" s="1789">
        <v>8.8999999999999996E-2</v>
      </c>
      <c r="G5428">
        <f t="shared" si="171"/>
        <v>919.02</v>
      </c>
    </row>
    <row r="5429" spans="1:7" ht="12.75" customHeight="1">
      <c r="A5429" s="3">
        <v>93233</v>
      </c>
      <c r="B5429" s="4" t="s">
        <v>5452</v>
      </c>
      <c r="C5429" s="3" t="s">
        <v>5350</v>
      </c>
      <c r="D5429" s="5">
        <f t="shared" si="170"/>
        <v>5.12</v>
      </c>
      <c r="E5429">
        <v>5.63</v>
      </c>
      <c r="F5429" s="1789">
        <v>8.8999999999999996E-2</v>
      </c>
      <c r="G5429">
        <f t="shared" si="171"/>
        <v>5.12</v>
      </c>
    </row>
    <row r="5430" spans="1:7" ht="12.75" customHeight="1">
      <c r="A5430" s="3">
        <v>93272</v>
      </c>
      <c r="B5430" s="4" t="s">
        <v>5453</v>
      </c>
      <c r="C5430" s="3" t="s">
        <v>5350</v>
      </c>
      <c r="D5430" s="5">
        <f t="shared" si="170"/>
        <v>95.09</v>
      </c>
      <c r="E5430">
        <v>104.39</v>
      </c>
      <c r="F5430" s="1789">
        <v>8.8999999999999996E-2</v>
      </c>
      <c r="G5430">
        <f t="shared" si="171"/>
        <v>95.09</v>
      </c>
    </row>
    <row r="5431" spans="1:7" ht="12.75" customHeight="1">
      <c r="A5431" s="3">
        <v>93281</v>
      </c>
      <c r="B5431" s="4" t="s">
        <v>5454</v>
      </c>
      <c r="C5431" s="3" t="s">
        <v>5350</v>
      </c>
      <c r="D5431" s="5">
        <f t="shared" si="170"/>
        <v>20.420000000000002</v>
      </c>
      <c r="E5431">
        <v>22.42</v>
      </c>
      <c r="F5431" s="1789">
        <v>8.8999999999999996E-2</v>
      </c>
      <c r="G5431">
        <f t="shared" si="171"/>
        <v>20.420000000000002</v>
      </c>
    </row>
    <row r="5432" spans="1:7" ht="12.75" customHeight="1">
      <c r="A5432" s="3">
        <v>93287</v>
      </c>
      <c r="B5432" s="4" t="s">
        <v>5455</v>
      </c>
      <c r="C5432" s="3" t="s">
        <v>5350</v>
      </c>
      <c r="D5432" s="5">
        <f t="shared" si="170"/>
        <v>318.72000000000003</v>
      </c>
      <c r="E5432">
        <v>349.86</v>
      </c>
      <c r="F5432" s="1789">
        <v>8.8999999999999996E-2</v>
      </c>
      <c r="G5432">
        <f t="shared" si="171"/>
        <v>318.72000000000003</v>
      </c>
    </row>
    <row r="5433" spans="1:7" ht="12.75" customHeight="1">
      <c r="A5433" s="3">
        <v>93402</v>
      </c>
      <c r="B5433" s="4" t="s">
        <v>5456</v>
      </c>
      <c r="C5433" s="3" t="s">
        <v>5350</v>
      </c>
      <c r="D5433" s="5">
        <f t="shared" si="170"/>
        <v>250.07</v>
      </c>
      <c r="E5433">
        <v>274.51</v>
      </c>
      <c r="F5433" s="1789">
        <v>8.8999999999999996E-2</v>
      </c>
      <c r="G5433">
        <f t="shared" si="171"/>
        <v>250.07</v>
      </c>
    </row>
    <row r="5434" spans="1:7" ht="12.75" customHeight="1">
      <c r="A5434" s="3">
        <v>93408</v>
      </c>
      <c r="B5434" s="4" t="s">
        <v>5457</v>
      </c>
      <c r="C5434" s="3" t="s">
        <v>5350</v>
      </c>
      <c r="D5434" s="5">
        <f t="shared" si="170"/>
        <v>77.62</v>
      </c>
      <c r="E5434">
        <v>85.21</v>
      </c>
      <c r="F5434" s="1789">
        <v>8.8999999999999996E-2</v>
      </c>
      <c r="G5434">
        <f t="shared" si="171"/>
        <v>77.62</v>
      </c>
    </row>
    <row r="5435" spans="1:7" ht="12.75" customHeight="1">
      <c r="A5435" s="3">
        <v>93415</v>
      </c>
      <c r="B5435" s="4" t="s">
        <v>5458</v>
      </c>
      <c r="C5435" s="3" t="s">
        <v>5350</v>
      </c>
      <c r="D5435" s="5">
        <f t="shared" si="170"/>
        <v>14.3</v>
      </c>
      <c r="E5435">
        <v>15.7</v>
      </c>
      <c r="F5435" s="1789">
        <v>8.8999999999999996E-2</v>
      </c>
      <c r="G5435">
        <f t="shared" si="171"/>
        <v>14.3</v>
      </c>
    </row>
    <row r="5436" spans="1:7" ht="12.75" customHeight="1">
      <c r="A5436" s="3">
        <v>93421</v>
      </c>
      <c r="B5436" s="4" t="s">
        <v>5459</v>
      </c>
      <c r="C5436" s="3" t="s">
        <v>5350</v>
      </c>
      <c r="D5436" s="5">
        <f t="shared" si="170"/>
        <v>70.55</v>
      </c>
      <c r="E5436">
        <v>77.45</v>
      </c>
      <c r="F5436" s="1789">
        <v>8.8999999999999996E-2</v>
      </c>
      <c r="G5436">
        <f t="shared" si="171"/>
        <v>70.55</v>
      </c>
    </row>
    <row r="5437" spans="1:7" ht="12.75" customHeight="1">
      <c r="A5437" s="3">
        <v>93427</v>
      </c>
      <c r="B5437" s="4" t="s">
        <v>5460</v>
      </c>
      <c r="C5437" s="3" t="s">
        <v>5350</v>
      </c>
      <c r="D5437" s="5">
        <f t="shared" si="170"/>
        <v>159.68</v>
      </c>
      <c r="E5437">
        <v>175.28</v>
      </c>
      <c r="F5437" s="1789">
        <v>8.8999999999999996E-2</v>
      </c>
      <c r="G5437">
        <f t="shared" si="171"/>
        <v>159.68</v>
      </c>
    </row>
    <row r="5438" spans="1:7" ht="12.75" customHeight="1">
      <c r="A5438" s="3">
        <v>93433</v>
      </c>
      <c r="B5438" s="4" t="s">
        <v>5461</v>
      </c>
      <c r="C5438" s="3" t="s">
        <v>5350</v>
      </c>
      <c r="D5438" s="5">
        <f t="shared" si="170"/>
        <v>2460.96</v>
      </c>
      <c r="E5438">
        <v>2701.39</v>
      </c>
      <c r="F5438" s="1789">
        <v>8.8999999999999996E-2</v>
      </c>
      <c r="G5438">
        <f t="shared" si="171"/>
        <v>2460.96</v>
      </c>
    </row>
    <row r="5439" spans="1:7" ht="12.75" customHeight="1">
      <c r="A5439" s="3">
        <v>93439</v>
      </c>
      <c r="B5439" s="4" t="s">
        <v>5462</v>
      </c>
      <c r="C5439" s="3" t="s">
        <v>5350</v>
      </c>
      <c r="D5439" s="5">
        <f t="shared" si="170"/>
        <v>225.33</v>
      </c>
      <c r="E5439">
        <v>247.35</v>
      </c>
      <c r="F5439" s="1789">
        <v>8.8999999999999996E-2</v>
      </c>
      <c r="G5439">
        <f t="shared" si="171"/>
        <v>225.33</v>
      </c>
    </row>
    <row r="5440" spans="1:7" ht="12.75" customHeight="1">
      <c r="A5440" s="3">
        <v>95121</v>
      </c>
      <c r="B5440" s="4" t="s">
        <v>5463</v>
      </c>
      <c r="C5440" s="3" t="s">
        <v>5350</v>
      </c>
      <c r="D5440" s="5">
        <f t="shared" si="170"/>
        <v>334.92</v>
      </c>
      <c r="E5440">
        <v>367.65</v>
      </c>
      <c r="F5440" s="1789">
        <v>8.8999999999999996E-2</v>
      </c>
      <c r="G5440">
        <f t="shared" si="171"/>
        <v>334.92</v>
      </c>
    </row>
    <row r="5441" spans="1:7" ht="12.75" customHeight="1">
      <c r="A5441" s="3">
        <v>95127</v>
      </c>
      <c r="B5441" s="4" t="s">
        <v>5464</v>
      </c>
      <c r="C5441" s="3" t="s">
        <v>5350</v>
      </c>
      <c r="D5441" s="5">
        <f t="shared" si="170"/>
        <v>193.64</v>
      </c>
      <c r="E5441">
        <v>212.56</v>
      </c>
      <c r="F5441" s="1789">
        <v>8.8999999999999996E-2</v>
      </c>
      <c r="G5441">
        <f t="shared" si="171"/>
        <v>193.64</v>
      </c>
    </row>
    <row r="5442" spans="1:7" ht="12.75" customHeight="1">
      <c r="A5442" s="3">
        <v>95133</v>
      </c>
      <c r="B5442" s="4" t="s">
        <v>5465</v>
      </c>
      <c r="C5442" s="3" t="s">
        <v>5350</v>
      </c>
      <c r="D5442" s="5">
        <f t="shared" si="170"/>
        <v>159.79</v>
      </c>
      <c r="E5442">
        <v>175.41</v>
      </c>
      <c r="F5442" s="1789">
        <v>8.8999999999999996E-2</v>
      </c>
      <c r="G5442">
        <f t="shared" si="171"/>
        <v>159.79</v>
      </c>
    </row>
    <row r="5443" spans="1:7" ht="12.75" customHeight="1">
      <c r="A5443" s="3">
        <v>95139</v>
      </c>
      <c r="B5443" s="4" t="s">
        <v>5466</v>
      </c>
      <c r="C5443" s="3" t="s">
        <v>5350</v>
      </c>
      <c r="D5443" s="5">
        <f t="shared" si="170"/>
        <v>0.05</v>
      </c>
      <c r="E5443">
        <v>0.06</v>
      </c>
      <c r="F5443" s="1789">
        <v>8.8999999999999996E-2</v>
      </c>
      <c r="G5443">
        <f t="shared" si="171"/>
        <v>0.05</v>
      </c>
    </row>
    <row r="5444" spans="1:7" ht="12.75" customHeight="1">
      <c r="A5444" s="3">
        <v>95212</v>
      </c>
      <c r="B5444" s="4" t="s">
        <v>5467</v>
      </c>
      <c r="C5444" s="3" t="s">
        <v>5350</v>
      </c>
      <c r="D5444" s="5">
        <f t="shared" si="170"/>
        <v>104.55</v>
      </c>
      <c r="E5444">
        <v>114.77</v>
      </c>
      <c r="F5444" s="1789">
        <v>8.8999999999999996E-2</v>
      </c>
      <c r="G5444">
        <f t="shared" si="171"/>
        <v>104.55</v>
      </c>
    </row>
    <row r="5445" spans="1:7" ht="12.75" customHeight="1">
      <c r="A5445" s="3">
        <v>95258</v>
      </c>
      <c r="B5445" s="4" t="s">
        <v>5468</v>
      </c>
      <c r="C5445" s="3" t="s">
        <v>5350</v>
      </c>
      <c r="D5445" s="5">
        <f t="shared" si="170"/>
        <v>21.04</v>
      </c>
      <c r="E5445">
        <v>23.1</v>
      </c>
      <c r="F5445" s="1789">
        <v>8.8999999999999996E-2</v>
      </c>
      <c r="G5445">
        <f t="shared" si="171"/>
        <v>21.04</v>
      </c>
    </row>
    <row r="5446" spans="1:7" ht="12.75" customHeight="1">
      <c r="A5446" s="3">
        <v>95264</v>
      </c>
      <c r="B5446" s="4" t="s">
        <v>5469</v>
      </c>
      <c r="C5446" s="3" t="s">
        <v>5350</v>
      </c>
      <c r="D5446" s="5">
        <f t="shared" si="170"/>
        <v>5.77</v>
      </c>
      <c r="E5446">
        <v>6.34</v>
      </c>
      <c r="F5446" s="1789">
        <v>8.8999999999999996E-2</v>
      </c>
      <c r="G5446">
        <f t="shared" si="171"/>
        <v>5.77</v>
      </c>
    </row>
    <row r="5447" spans="1:7" ht="12.75" customHeight="1">
      <c r="A5447" s="3">
        <v>95270</v>
      </c>
      <c r="B5447" s="4" t="s">
        <v>5470</v>
      </c>
      <c r="C5447" s="3" t="s">
        <v>5350</v>
      </c>
      <c r="D5447" s="5">
        <f t="shared" si="170"/>
        <v>8.7799999999999994</v>
      </c>
      <c r="E5447">
        <v>9.64</v>
      </c>
      <c r="F5447" s="1789">
        <v>8.8999999999999996E-2</v>
      </c>
      <c r="G5447">
        <f t="shared" si="171"/>
        <v>8.7799999999999994</v>
      </c>
    </row>
    <row r="5448" spans="1:7" ht="12.75" customHeight="1">
      <c r="A5448" s="3">
        <v>95276</v>
      </c>
      <c r="B5448" s="4" t="s">
        <v>5471</v>
      </c>
      <c r="C5448" s="3" t="s">
        <v>5350</v>
      </c>
      <c r="D5448" s="5">
        <f t="shared" si="170"/>
        <v>3.14</v>
      </c>
      <c r="E5448">
        <v>3.45</v>
      </c>
      <c r="F5448" s="1789">
        <v>8.8999999999999996E-2</v>
      </c>
      <c r="G5448">
        <f t="shared" si="171"/>
        <v>3.14</v>
      </c>
    </row>
    <row r="5449" spans="1:7" ht="12.75" customHeight="1">
      <c r="A5449" s="3">
        <v>95282</v>
      </c>
      <c r="B5449" s="4" t="s">
        <v>5472</v>
      </c>
      <c r="C5449" s="3" t="s">
        <v>5350</v>
      </c>
      <c r="D5449" s="5">
        <f t="shared" si="170"/>
        <v>8.9</v>
      </c>
      <c r="E5449">
        <v>9.7799999999999994</v>
      </c>
      <c r="F5449" s="1789">
        <v>8.8999999999999996E-2</v>
      </c>
      <c r="G5449">
        <f t="shared" si="171"/>
        <v>8.9</v>
      </c>
    </row>
    <row r="5450" spans="1:7" ht="12.75" customHeight="1">
      <c r="A5450" s="3">
        <v>95620</v>
      </c>
      <c r="B5450" s="4" t="s">
        <v>5473</v>
      </c>
      <c r="C5450" s="3" t="s">
        <v>5350</v>
      </c>
      <c r="D5450" s="5">
        <f t="shared" si="170"/>
        <v>20.38</v>
      </c>
      <c r="E5450">
        <v>22.38</v>
      </c>
      <c r="F5450" s="1789">
        <v>8.8999999999999996E-2</v>
      </c>
      <c r="G5450">
        <f t="shared" si="171"/>
        <v>20.38</v>
      </c>
    </row>
    <row r="5451" spans="1:7" ht="12.75" customHeight="1">
      <c r="A5451" s="3">
        <v>95631</v>
      </c>
      <c r="B5451" s="4" t="s">
        <v>5474</v>
      </c>
      <c r="C5451" s="3" t="s">
        <v>5350</v>
      </c>
      <c r="D5451" s="5">
        <f t="shared" si="170"/>
        <v>209.89</v>
      </c>
      <c r="E5451">
        <v>230.4</v>
      </c>
      <c r="F5451" s="1789">
        <v>8.8999999999999996E-2</v>
      </c>
      <c r="G5451">
        <f t="shared" si="171"/>
        <v>209.89</v>
      </c>
    </row>
    <row r="5452" spans="1:7" ht="12.75" customHeight="1">
      <c r="A5452" s="3">
        <v>95702</v>
      </c>
      <c r="B5452" s="4" t="s">
        <v>5475</v>
      </c>
      <c r="C5452" s="3" t="s">
        <v>5350</v>
      </c>
      <c r="D5452" s="5">
        <f t="shared" si="170"/>
        <v>34.840000000000003</v>
      </c>
      <c r="E5452">
        <v>38.25</v>
      </c>
      <c r="F5452" s="1789">
        <v>8.8999999999999996E-2</v>
      </c>
      <c r="G5452">
        <f t="shared" si="171"/>
        <v>34.840000000000003</v>
      </c>
    </row>
    <row r="5453" spans="1:7" ht="12.75" customHeight="1">
      <c r="A5453" s="3">
        <v>95708</v>
      </c>
      <c r="B5453" s="4" t="s">
        <v>5476</v>
      </c>
      <c r="C5453" s="3" t="s">
        <v>5350</v>
      </c>
      <c r="D5453" s="5">
        <f t="shared" si="170"/>
        <v>125.16</v>
      </c>
      <c r="E5453">
        <v>137.38999999999999</v>
      </c>
      <c r="F5453" s="1789">
        <v>8.8999999999999996E-2</v>
      </c>
      <c r="G5453">
        <f t="shared" si="171"/>
        <v>125.16</v>
      </c>
    </row>
    <row r="5454" spans="1:7" ht="12.75" customHeight="1">
      <c r="A5454" s="3">
        <v>95714</v>
      </c>
      <c r="B5454" s="4" t="s">
        <v>5477</v>
      </c>
      <c r="C5454" s="3" t="s">
        <v>5350</v>
      </c>
      <c r="D5454" s="5">
        <f t="shared" si="170"/>
        <v>226.15</v>
      </c>
      <c r="E5454">
        <v>248.25</v>
      </c>
      <c r="F5454" s="1789">
        <v>8.8999999999999996E-2</v>
      </c>
      <c r="G5454">
        <f t="shared" si="171"/>
        <v>226.15</v>
      </c>
    </row>
    <row r="5455" spans="1:7" ht="12.75" customHeight="1">
      <c r="A5455" s="3">
        <v>95720</v>
      </c>
      <c r="B5455" s="4" t="s">
        <v>5478</v>
      </c>
      <c r="C5455" s="3" t="s">
        <v>5350</v>
      </c>
      <c r="D5455" s="5">
        <f t="shared" si="170"/>
        <v>221.61</v>
      </c>
      <c r="E5455">
        <v>243.27</v>
      </c>
      <c r="F5455" s="1789">
        <v>8.8999999999999996E-2</v>
      </c>
      <c r="G5455">
        <f t="shared" si="171"/>
        <v>221.61</v>
      </c>
    </row>
    <row r="5456" spans="1:7" ht="12.75" customHeight="1">
      <c r="A5456" s="3">
        <v>95872</v>
      </c>
      <c r="B5456" s="4" t="s">
        <v>5479</v>
      </c>
      <c r="C5456" s="3" t="s">
        <v>5350</v>
      </c>
      <c r="D5456" s="5">
        <f t="shared" si="170"/>
        <v>270.67</v>
      </c>
      <c r="E5456">
        <v>297.12</v>
      </c>
      <c r="F5456" s="1789">
        <v>8.8999999999999996E-2</v>
      </c>
      <c r="G5456">
        <f t="shared" si="171"/>
        <v>270.67</v>
      </c>
    </row>
    <row r="5457" spans="1:7" ht="12.75" customHeight="1">
      <c r="A5457" s="3">
        <v>96013</v>
      </c>
      <c r="B5457" s="4" t="s">
        <v>5480</v>
      </c>
      <c r="C5457" s="3" t="s">
        <v>5350</v>
      </c>
      <c r="D5457" s="5">
        <f t="shared" si="170"/>
        <v>158.9</v>
      </c>
      <c r="E5457">
        <v>174.43</v>
      </c>
      <c r="F5457" s="1789">
        <v>8.8999999999999996E-2</v>
      </c>
      <c r="G5457">
        <f t="shared" si="171"/>
        <v>158.9</v>
      </c>
    </row>
    <row r="5458" spans="1:7" ht="12.75" customHeight="1">
      <c r="A5458" s="3">
        <v>96020</v>
      </c>
      <c r="B5458" s="4" t="s">
        <v>5481</v>
      </c>
      <c r="C5458" s="3" t="s">
        <v>5350</v>
      </c>
      <c r="D5458" s="5">
        <f t="shared" si="170"/>
        <v>158.47</v>
      </c>
      <c r="E5458">
        <v>173.96</v>
      </c>
      <c r="F5458" s="1789">
        <v>8.8999999999999996E-2</v>
      </c>
      <c r="G5458">
        <f t="shared" si="171"/>
        <v>158.47</v>
      </c>
    </row>
    <row r="5459" spans="1:7" ht="12.75" customHeight="1">
      <c r="A5459" s="3">
        <v>96028</v>
      </c>
      <c r="B5459" s="4" t="s">
        <v>5482</v>
      </c>
      <c r="C5459" s="3" t="s">
        <v>5350</v>
      </c>
      <c r="D5459" s="5">
        <f t="shared" si="170"/>
        <v>120.14</v>
      </c>
      <c r="E5459">
        <v>131.88</v>
      </c>
      <c r="F5459" s="1789">
        <v>8.8999999999999996E-2</v>
      </c>
      <c r="G5459">
        <f t="shared" si="171"/>
        <v>120.14</v>
      </c>
    </row>
    <row r="5460" spans="1:7" ht="12.75" customHeight="1">
      <c r="A5460" s="3">
        <v>96035</v>
      </c>
      <c r="B5460" s="4" t="s">
        <v>5483</v>
      </c>
      <c r="C5460" s="3" t="s">
        <v>5350</v>
      </c>
      <c r="D5460" s="5">
        <f t="shared" si="170"/>
        <v>256.54000000000002</v>
      </c>
      <c r="E5460">
        <v>281.61</v>
      </c>
      <c r="F5460" s="1789">
        <v>8.8999999999999996E-2</v>
      </c>
      <c r="G5460">
        <f t="shared" si="171"/>
        <v>256.54000000000002</v>
      </c>
    </row>
    <row r="5461" spans="1:7" ht="12.75" customHeight="1">
      <c r="A5461" s="3">
        <v>96157</v>
      </c>
      <c r="B5461" s="4" t="s">
        <v>5484</v>
      </c>
      <c r="C5461" s="3" t="s">
        <v>5350</v>
      </c>
      <c r="D5461" s="5">
        <f t="shared" ref="D5461:D5524" si="172">G5461</f>
        <v>120.57</v>
      </c>
      <c r="E5461">
        <v>132.35</v>
      </c>
      <c r="F5461" s="1789">
        <v>8.8999999999999996E-2</v>
      </c>
      <c r="G5461">
        <f t="shared" ref="G5461:G5524" si="173">TRUNC((1-F5461)*E5461,2)</f>
        <v>120.57</v>
      </c>
    </row>
    <row r="5462" spans="1:7" ht="12.75" customHeight="1">
      <c r="A5462" s="3">
        <v>96158</v>
      </c>
      <c r="B5462" s="4" t="s">
        <v>5485</v>
      </c>
      <c r="C5462" s="3" t="s">
        <v>5350</v>
      </c>
      <c r="D5462" s="5">
        <f t="shared" si="172"/>
        <v>122.07</v>
      </c>
      <c r="E5462">
        <v>134</v>
      </c>
      <c r="F5462" s="1789">
        <v>8.8999999999999996E-2</v>
      </c>
      <c r="G5462">
        <f t="shared" si="173"/>
        <v>122.07</v>
      </c>
    </row>
    <row r="5463" spans="1:7" ht="12.75" customHeight="1">
      <c r="A5463" s="3">
        <v>96245</v>
      </c>
      <c r="B5463" s="4" t="s">
        <v>5486</v>
      </c>
      <c r="C5463" s="3" t="s">
        <v>5350</v>
      </c>
      <c r="D5463" s="5">
        <f t="shared" si="172"/>
        <v>97.34</v>
      </c>
      <c r="E5463">
        <v>106.86</v>
      </c>
      <c r="F5463" s="1789">
        <v>8.8999999999999996E-2</v>
      </c>
      <c r="G5463">
        <f t="shared" si="173"/>
        <v>97.34</v>
      </c>
    </row>
    <row r="5464" spans="1:7" ht="12.75" customHeight="1">
      <c r="A5464" s="3">
        <v>96463</v>
      </c>
      <c r="B5464" s="4" t="s">
        <v>5487</v>
      </c>
      <c r="C5464" s="3" t="s">
        <v>5350</v>
      </c>
      <c r="D5464" s="5">
        <f t="shared" si="172"/>
        <v>198.49</v>
      </c>
      <c r="E5464">
        <v>217.89</v>
      </c>
      <c r="F5464" s="1789">
        <v>8.8999999999999996E-2</v>
      </c>
      <c r="G5464">
        <f t="shared" si="173"/>
        <v>198.49</v>
      </c>
    </row>
    <row r="5465" spans="1:7" ht="12.75" customHeight="1">
      <c r="A5465" s="3">
        <v>98764</v>
      </c>
      <c r="B5465" s="4" t="s">
        <v>5488</v>
      </c>
      <c r="C5465" s="3" t="s">
        <v>5350</v>
      </c>
      <c r="D5465" s="5">
        <f t="shared" si="172"/>
        <v>4.4400000000000004</v>
      </c>
      <c r="E5465">
        <v>4.88</v>
      </c>
      <c r="F5465" s="1789">
        <v>8.8999999999999996E-2</v>
      </c>
      <c r="G5465">
        <f t="shared" si="173"/>
        <v>4.4400000000000004</v>
      </c>
    </row>
    <row r="5466" spans="1:7" ht="12.75" customHeight="1">
      <c r="A5466" s="3">
        <v>99833</v>
      </c>
      <c r="B5466" s="4" t="s">
        <v>5489</v>
      </c>
      <c r="C5466" s="3" t="s">
        <v>5350</v>
      </c>
      <c r="D5466" s="5">
        <f t="shared" si="172"/>
        <v>2.04</v>
      </c>
      <c r="E5466">
        <v>2.25</v>
      </c>
      <c r="F5466" s="1789">
        <v>8.8999999999999996E-2</v>
      </c>
      <c r="G5466">
        <f t="shared" si="173"/>
        <v>2.04</v>
      </c>
    </row>
    <row r="5467" spans="1:7" ht="12.75" customHeight="1">
      <c r="A5467" s="3">
        <v>100641</v>
      </c>
      <c r="B5467" s="4" t="s">
        <v>5490</v>
      </c>
      <c r="C5467" s="3" t="s">
        <v>5350</v>
      </c>
      <c r="D5467" s="5">
        <f t="shared" si="172"/>
        <v>4468.6000000000004</v>
      </c>
      <c r="E5467">
        <v>4905.16</v>
      </c>
      <c r="F5467" s="1789">
        <v>8.8999999999999996E-2</v>
      </c>
      <c r="G5467">
        <f t="shared" si="173"/>
        <v>4468.6000000000004</v>
      </c>
    </row>
    <row r="5468" spans="1:7" ht="12.75" customHeight="1">
      <c r="A5468" s="3">
        <v>100647</v>
      </c>
      <c r="B5468" s="4" t="s">
        <v>5491</v>
      </c>
      <c r="C5468" s="3" t="s">
        <v>5350</v>
      </c>
      <c r="D5468" s="5">
        <f t="shared" si="172"/>
        <v>6139.88</v>
      </c>
      <c r="E5468">
        <v>6739.72</v>
      </c>
      <c r="F5468" s="1789">
        <v>8.8999999999999996E-2</v>
      </c>
      <c r="G5468">
        <f t="shared" si="173"/>
        <v>6139.88</v>
      </c>
    </row>
    <row r="5469" spans="1:7" ht="12.75" customHeight="1">
      <c r="A5469" s="3">
        <v>102275</v>
      </c>
      <c r="B5469" s="4" t="s">
        <v>5492</v>
      </c>
      <c r="C5469" s="3" t="s">
        <v>5350</v>
      </c>
      <c r="D5469" s="5">
        <f t="shared" si="172"/>
        <v>20.76</v>
      </c>
      <c r="E5469">
        <v>22.79</v>
      </c>
      <c r="F5469" s="1789">
        <v>8.8999999999999996E-2</v>
      </c>
      <c r="G5469">
        <f t="shared" si="173"/>
        <v>20.76</v>
      </c>
    </row>
    <row r="5470" spans="1:7" ht="12.75" customHeight="1">
      <c r="A5470" s="3">
        <v>104091</v>
      </c>
      <c r="B5470" s="4" t="s">
        <v>5493</v>
      </c>
      <c r="C5470" s="3" t="s">
        <v>5350</v>
      </c>
      <c r="D5470" s="5">
        <f t="shared" si="172"/>
        <v>0.78</v>
      </c>
      <c r="E5470">
        <v>0.86</v>
      </c>
      <c r="F5470" s="1789">
        <v>8.8999999999999996E-2</v>
      </c>
      <c r="G5470">
        <f t="shared" si="173"/>
        <v>0.78</v>
      </c>
    </row>
    <row r="5471" spans="1:7" ht="12.75" customHeight="1">
      <c r="A5471" s="3">
        <v>104097</v>
      </c>
      <c r="B5471" s="4" t="s">
        <v>5494</v>
      </c>
      <c r="C5471" s="3" t="s">
        <v>5350</v>
      </c>
      <c r="D5471" s="5">
        <f t="shared" si="172"/>
        <v>1.0900000000000001</v>
      </c>
      <c r="E5471">
        <v>1.2</v>
      </c>
      <c r="F5471" s="1789">
        <v>8.8999999999999996E-2</v>
      </c>
      <c r="G5471">
        <f t="shared" si="173"/>
        <v>1.0900000000000001</v>
      </c>
    </row>
    <row r="5472" spans="1:7" ht="12.75" customHeight="1">
      <c r="A5472" s="3">
        <v>5632</v>
      </c>
      <c r="B5472" s="4" t="s">
        <v>5495</v>
      </c>
      <c r="C5472" s="3" t="s">
        <v>5496</v>
      </c>
      <c r="D5472" s="5">
        <f t="shared" si="172"/>
        <v>74.290000000000006</v>
      </c>
      <c r="E5472">
        <v>81.55</v>
      </c>
      <c r="F5472" s="1789">
        <v>8.8999999999999996E-2</v>
      </c>
      <c r="G5472">
        <f t="shared" si="173"/>
        <v>74.290000000000006</v>
      </c>
    </row>
    <row r="5473" spans="1:7" ht="12.75" customHeight="1">
      <c r="A5473" s="3">
        <v>5679</v>
      </c>
      <c r="B5473" s="4" t="s">
        <v>5497</v>
      </c>
      <c r="C5473" s="3" t="s">
        <v>5496</v>
      </c>
      <c r="D5473" s="5">
        <f t="shared" si="172"/>
        <v>50.18</v>
      </c>
      <c r="E5473">
        <v>55.09</v>
      </c>
      <c r="F5473" s="1789">
        <v>8.8999999999999996E-2</v>
      </c>
      <c r="G5473">
        <f t="shared" si="173"/>
        <v>50.18</v>
      </c>
    </row>
    <row r="5474" spans="1:7" ht="12.75" customHeight="1">
      <c r="A5474" s="3">
        <v>5681</v>
      </c>
      <c r="B5474" s="4" t="s">
        <v>5498</v>
      </c>
      <c r="C5474" s="3" t="s">
        <v>5496</v>
      </c>
      <c r="D5474" s="5">
        <f t="shared" si="172"/>
        <v>47.08</v>
      </c>
      <c r="E5474">
        <v>51.68</v>
      </c>
      <c r="F5474" s="1789">
        <v>8.8999999999999996E-2</v>
      </c>
      <c r="G5474">
        <f t="shared" si="173"/>
        <v>47.08</v>
      </c>
    </row>
    <row r="5475" spans="1:7" ht="12.75" customHeight="1">
      <c r="A5475" s="3">
        <v>5685</v>
      </c>
      <c r="B5475" s="4" t="s">
        <v>5499</v>
      </c>
      <c r="C5475" s="3" t="s">
        <v>5496</v>
      </c>
      <c r="D5475" s="5">
        <f t="shared" si="172"/>
        <v>55.95</v>
      </c>
      <c r="E5475">
        <v>61.42</v>
      </c>
      <c r="F5475" s="1789">
        <v>8.8999999999999996E-2</v>
      </c>
      <c r="G5475">
        <f t="shared" si="173"/>
        <v>55.95</v>
      </c>
    </row>
    <row r="5476" spans="1:7" ht="12.75" customHeight="1">
      <c r="A5476" s="3">
        <v>5690</v>
      </c>
      <c r="B5476" s="4" t="s">
        <v>5500</v>
      </c>
      <c r="C5476" s="3" t="s">
        <v>5496</v>
      </c>
      <c r="D5476" s="5">
        <f t="shared" si="172"/>
        <v>3.72</v>
      </c>
      <c r="E5476">
        <v>4.09</v>
      </c>
      <c r="F5476" s="1789">
        <v>8.8999999999999996E-2</v>
      </c>
      <c r="G5476">
        <f t="shared" si="173"/>
        <v>3.72</v>
      </c>
    </row>
    <row r="5477" spans="1:7" ht="12.75" customHeight="1">
      <c r="A5477" s="3">
        <v>5806</v>
      </c>
      <c r="B5477" s="4" t="s">
        <v>5501</v>
      </c>
      <c r="C5477" s="3" t="s">
        <v>5496</v>
      </c>
      <c r="D5477" s="5">
        <f t="shared" si="172"/>
        <v>0.22</v>
      </c>
      <c r="E5477">
        <v>0.25</v>
      </c>
      <c r="F5477" s="1789">
        <v>8.8999999999999996E-2</v>
      </c>
      <c r="G5477">
        <f t="shared" si="173"/>
        <v>0.22</v>
      </c>
    </row>
    <row r="5478" spans="1:7" ht="12.75" customHeight="1">
      <c r="A5478" s="3">
        <v>5826</v>
      </c>
      <c r="B5478" s="4" t="s">
        <v>5502</v>
      </c>
      <c r="C5478" s="3" t="s">
        <v>5496</v>
      </c>
      <c r="D5478" s="5">
        <f t="shared" si="172"/>
        <v>57.64</v>
      </c>
      <c r="E5478">
        <v>63.28</v>
      </c>
      <c r="F5478" s="1789">
        <v>8.8999999999999996E-2</v>
      </c>
      <c r="G5478">
        <f t="shared" si="173"/>
        <v>57.64</v>
      </c>
    </row>
    <row r="5479" spans="1:7" ht="12.75" customHeight="1">
      <c r="A5479" s="3">
        <v>5829</v>
      </c>
      <c r="B5479" s="4" t="s">
        <v>5503</v>
      </c>
      <c r="C5479" s="3" t="s">
        <v>5496</v>
      </c>
      <c r="D5479" s="5">
        <f t="shared" si="172"/>
        <v>139.07</v>
      </c>
      <c r="E5479">
        <v>152.66</v>
      </c>
      <c r="F5479" s="1789">
        <v>8.8999999999999996E-2</v>
      </c>
      <c r="G5479">
        <f t="shared" si="173"/>
        <v>139.07</v>
      </c>
    </row>
    <row r="5480" spans="1:7" ht="12.75" customHeight="1">
      <c r="A5480" s="3">
        <v>5837</v>
      </c>
      <c r="B5480" s="4" t="s">
        <v>5504</v>
      </c>
      <c r="C5480" s="3" t="s">
        <v>5496</v>
      </c>
      <c r="D5480" s="5">
        <f t="shared" si="172"/>
        <v>130.37</v>
      </c>
      <c r="E5480">
        <v>143.11000000000001</v>
      </c>
      <c r="F5480" s="1789">
        <v>8.8999999999999996E-2</v>
      </c>
      <c r="G5480">
        <f t="shared" si="173"/>
        <v>130.37</v>
      </c>
    </row>
    <row r="5481" spans="1:7" ht="12.75" customHeight="1">
      <c r="A5481" s="3">
        <v>5841</v>
      </c>
      <c r="B5481" s="4" t="s">
        <v>5505</v>
      </c>
      <c r="C5481" s="3" t="s">
        <v>5496</v>
      </c>
      <c r="D5481" s="5">
        <f t="shared" si="172"/>
        <v>4.26</v>
      </c>
      <c r="E5481">
        <v>4.68</v>
      </c>
      <c r="F5481" s="1789">
        <v>8.8999999999999996E-2</v>
      </c>
      <c r="G5481">
        <f t="shared" si="173"/>
        <v>4.26</v>
      </c>
    </row>
    <row r="5482" spans="1:7" ht="12.75" customHeight="1">
      <c r="A5482" s="3">
        <v>5845</v>
      </c>
      <c r="B5482" s="4" t="s">
        <v>5506</v>
      </c>
      <c r="C5482" s="3" t="s">
        <v>5496</v>
      </c>
      <c r="D5482" s="5">
        <f t="shared" si="172"/>
        <v>42.93</v>
      </c>
      <c r="E5482">
        <v>47.13</v>
      </c>
      <c r="F5482" s="1789">
        <v>8.8999999999999996E-2</v>
      </c>
      <c r="G5482">
        <f t="shared" si="173"/>
        <v>42.93</v>
      </c>
    </row>
    <row r="5483" spans="1:7" ht="12.75" customHeight="1">
      <c r="A5483" s="3">
        <v>5849</v>
      </c>
      <c r="B5483" s="4" t="s">
        <v>5507</v>
      </c>
      <c r="C5483" s="3" t="s">
        <v>5496</v>
      </c>
      <c r="D5483" s="5">
        <f t="shared" si="172"/>
        <v>72.91</v>
      </c>
      <c r="E5483">
        <v>80.040000000000006</v>
      </c>
      <c r="F5483" s="1789">
        <v>8.8999999999999996E-2</v>
      </c>
      <c r="G5483">
        <f t="shared" si="173"/>
        <v>72.91</v>
      </c>
    </row>
    <row r="5484" spans="1:7" ht="12.75" customHeight="1">
      <c r="A5484" s="3">
        <v>5853</v>
      </c>
      <c r="B5484" s="4" t="s">
        <v>5508</v>
      </c>
      <c r="C5484" s="3" t="s">
        <v>5496</v>
      </c>
      <c r="D5484" s="5">
        <f t="shared" si="172"/>
        <v>73.239999999999995</v>
      </c>
      <c r="E5484">
        <v>80.400000000000006</v>
      </c>
      <c r="F5484" s="1789">
        <v>8.8999999999999996E-2</v>
      </c>
      <c r="G5484">
        <f t="shared" si="173"/>
        <v>73.239999999999995</v>
      </c>
    </row>
    <row r="5485" spans="1:7" ht="12.75" customHeight="1">
      <c r="A5485" s="3">
        <v>5857</v>
      </c>
      <c r="B5485" s="4" t="s">
        <v>5509</v>
      </c>
      <c r="C5485" s="3" t="s">
        <v>5496</v>
      </c>
      <c r="D5485" s="5">
        <f t="shared" si="172"/>
        <v>194.89</v>
      </c>
      <c r="E5485">
        <v>213.94</v>
      </c>
      <c r="F5485" s="1789">
        <v>8.8999999999999996E-2</v>
      </c>
      <c r="G5485">
        <f t="shared" si="173"/>
        <v>194.89</v>
      </c>
    </row>
    <row r="5486" spans="1:7" ht="12.75" customHeight="1">
      <c r="A5486" s="3">
        <v>5865</v>
      </c>
      <c r="B5486" s="4" t="s">
        <v>5510</v>
      </c>
      <c r="C5486" s="3" t="s">
        <v>5496</v>
      </c>
      <c r="D5486" s="5">
        <f t="shared" si="172"/>
        <v>11.05</v>
      </c>
      <c r="E5486">
        <v>12.13</v>
      </c>
      <c r="F5486" s="1789">
        <v>8.8999999999999996E-2</v>
      </c>
      <c r="G5486">
        <f t="shared" si="173"/>
        <v>11.05</v>
      </c>
    </row>
    <row r="5487" spans="1:7" ht="12.75" customHeight="1">
      <c r="A5487" s="3">
        <v>5869</v>
      </c>
      <c r="B5487" s="4" t="s">
        <v>5511</v>
      </c>
      <c r="C5487" s="3" t="s">
        <v>5496</v>
      </c>
      <c r="D5487" s="5">
        <f t="shared" si="172"/>
        <v>64.3</v>
      </c>
      <c r="E5487">
        <v>70.59</v>
      </c>
      <c r="F5487" s="1789">
        <v>8.8999999999999996E-2</v>
      </c>
      <c r="G5487">
        <f t="shared" si="173"/>
        <v>64.3</v>
      </c>
    </row>
    <row r="5488" spans="1:7" ht="12.75" customHeight="1">
      <c r="A5488" s="3">
        <v>5877</v>
      </c>
      <c r="B5488" s="4" t="s">
        <v>5512</v>
      </c>
      <c r="C5488" s="3" t="s">
        <v>5496</v>
      </c>
      <c r="D5488" s="5">
        <f t="shared" si="172"/>
        <v>49.2</v>
      </c>
      <c r="E5488">
        <v>54.01</v>
      </c>
      <c r="F5488" s="1789">
        <v>8.8999999999999996E-2</v>
      </c>
      <c r="G5488">
        <f t="shared" si="173"/>
        <v>49.2</v>
      </c>
    </row>
    <row r="5489" spans="1:7" ht="12.75" customHeight="1">
      <c r="A5489" s="3">
        <v>5881</v>
      </c>
      <c r="B5489" s="4" t="s">
        <v>5513</v>
      </c>
      <c r="C5489" s="3" t="s">
        <v>5496</v>
      </c>
      <c r="D5489" s="5">
        <f t="shared" si="172"/>
        <v>69.38</v>
      </c>
      <c r="E5489">
        <v>76.16</v>
      </c>
      <c r="F5489" s="1789">
        <v>8.8999999999999996E-2</v>
      </c>
      <c r="G5489">
        <f t="shared" si="173"/>
        <v>69.38</v>
      </c>
    </row>
    <row r="5490" spans="1:7" ht="12.75" customHeight="1">
      <c r="A5490" s="3">
        <v>5884</v>
      </c>
      <c r="B5490" s="4" t="s">
        <v>5514</v>
      </c>
      <c r="C5490" s="3" t="s">
        <v>5496</v>
      </c>
      <c r="D5490" s="5">
        <f t="shared" si="172"/>
        <v>47.84</v>
      </c>
      <c r="E5490">
        <v>52.52</v>
      </c>
      <c r="F5490" s="1789">
        <v>8.8999999999999996E-2</v>
      </c>
      <c r="G5490">
        <f t="shared" si="173"/>
        <v>47.84</v>
      </c>
    </row>
    <row r="5491" spans="1:7" ht="12.75" customHeight="1">
      <c r="A5491" s="3">
        <v>5892</v>
      </c>
      <c r="B5491" s="4" t="s">
        <v>5515</v>
      </c>
      <c r="C5491" s="3" t="s">
        <v>5496</v>
      </c>
      <c r="D5491" s="5">
        <f t="shared" si="172"/>
        <v>53</v>
      </c>
      <c r="E5491">
        <v>58.18</v>
      </c>
      <c r="F5491" s="1789">
        <v>8.8999999999999996E-2</v>
      </c>
      <c r="G5491">
        <f t="shared" si="173"/>
        <v>53</v>
      </c>
    </row>
    <row r="5492" spans="1:7" ht="12.75" customHeight="1">
      <c r="A5492" s="3">
        <v>5896</v>
      </c>
      <c r="B5492" s="4" t="s">
        <v>5516</v>
      </c>
      <c r="C5492" s="3" t="s">
        <v>5496</v>
      </c>
      <c r="D5492" s="5">
        <f t="shared" si="172"/>
        <v>55.48</v>
      </c>
      <c r="E5492">
        <v>60.91</v>
      </c>
      <c r="F5492" s="1789">
        <v>8.8999999999999996E-2</v>
      </c>
      <c r="G5492">
        <f t="shared" si="173"/>
        <v>55.48</v>
      </c>
    </row>
    <row r="5493" spans="1:7" ht="12.75" customHeight="1">
      <c r="A5493" s="3">
        <v>5903</v>
      </c>
      <c r="B5493" s="4" t="s">
        <v>5517</v>
      </c>
      <c r="C5493" s="3" t="s">
        <v>5496</v>
      </c>
      <c r="D5493" s="5">
        <f t="shared" si="172"/>
        <v>68.599999999999994</v>
      </c>
      <c r="E5493">
        <v>75.31</v>
      </c>
      <c r="F5493" s="1789">
        <v>8.8999999999999996E-2</v>
      </c>
      <c r="G5493">
        <f t="shared" si="173"/>
        <v>68.599999999999994</v>
      </c>
    </row>
    <row r="5494" spans="1:7" ht="12.75" customHeight="1">
      <c r="A5494" s="3">
        <v>5911</v>
      </c>
      <c r="B5494" s="4" t="s">
        <v>5518</v>
      </c>
      <c r="C5494" s="3" t="s">
        <v>5496</v>
      </c>
      <c r="D5494" s="5">
        <f t="shared" si="172"/>
        <v>23.28</v>
      </c>
      <c r="E5494">
        <v>25.56</v>
      </c>
      <c r="F5494" s="1789">
        <v>8.8999999999999996E-2</v>
      </c>
      <c r="G5494">
        <f t="shared" si="173"/>
        <v>23.28</v>
      </c>
    </row>
    <row r="5495" spans="1:7" ht="12.75" customHeight="1">
      <c r="A5495" s="3">
        <v>5923</v>
      </c>
      <c r="B5495" s="4" t="s">
        <v>5519</v>
      </c>
      <c r="C5495" s="3" t="s">
        <v>5496</v>
      </c>
      <c r="D5495" s="5">
        <f t="shared" si="172"/>
        <v>2.91</v>
      </c>
      <c r="E5495">
        <v>3.2</v>
      </c>
      <c r="F5495" s="1789">
        <v>8.8999999999999996E-2</v>
      </c>
      <c r="G5495">
        <f t="shared" si="173"/>
        <v>2.91</v>
      </c>
    </row>
    <row r="5496" spans="1:7" ht="12.75" customHeight="1">
      <c r="A5496" s="3">
        <v>5930</v>
      </c>
      <c r="B5496" s="4" t="s">
        <v>5520</v>
      </c>
      <c r="C5496" s="3" t="s">
        <v>5496</v>
      </c>
      <c r="D5496" s="5">
        <f t="shared" si="172"/>
        <v>68.760000000000005</v>
      </c>
      <c r="E5496">
        <v>75.48</v>
      </c>
      <c r="F5496" s="1789">
        <v>8.8999999999999996E-2</v>
      </c>
      <c r="G5496">
        <f t="shared" si="173"/>
        <v>68.760000000000005</v>
      </c>
    </row>
    <row r="5497" spans="1:7" ht="12.75" customHeight="1">
      <c r="A5497" s="3">
        <v>5934</v>
      </c>
      <c r="B5497" s="4" t="s">
        <v>5521</v>
      </c>
      <c r="C5497" s="3" t="s">
        <v>5496</v>
      </c>
      <c r="D5497" s="5">
        <f t="shared" si="172"/>
        <v>81.67</v>
      </c>
      <c r="E5497">
        <v>89.65</v>
      </c>
      <c r="F5497" s="1789">
        <v>8.8999999999999996E-2</v>
      </c>
      <c r="G5497">
        <f t="shared" si="173"/>
        <v>81.67</v>
      </c>
    </row>
    <row r="5498" spans="1:7" ht="12.75" customHeight="1">
      <c r="A5498" s="3">
        <v>5942</v>
      </c>
      <c r="B5498" s="4" t="s">
        <v>5522</v>
      </c>
      <c r="C5498" s="3" t="s">
        <v>5496</v>
      </c>
      <c r="D5498" s="5">
        <f t="shared" si="172"/>
        <v>58.97</v>
      </c>
      <c r="E5498">
        <v>64.739999999999995</v>
      </c>
      <c r="F5498" s="1789">
        <v>8.8999999999999996E-2</v>
      </c>
      <c r="G5498">
        <f t="shared" si="173"/>
        <v>58.97</v>
      </c>
    </row>
    <row r="5499" spans="1:7" ht="12.75" customHeight="1">
      <c r="A5499" s="3">
        <v>5946</v>
      </c>
      <c r="B5499" s="4" t="s">
        <v>5523</v>
      </c>
      <c r="C5499" s="3" t="s">
        <v>5496</v>
      </c>
      <c r="D5499" s="5">
        <f t="shared" si="172"/>
        <v>74.25</v>
      </c>
      <c r="E5499">
        <v>81.510000000000005</v>
      </c>
      <c r="F5499" s="1789">
        <v>8.8999999999999996E-2</v>
      </c>
      <c r="G5499">
        <f t="shared" si="173"/>
        <v>74.25</v>
      </c>
    </row>
    <row r="5500" spans="1:7" ht="12.75" customHeight="1">
      <c r="A5500" s="3">
        <v>5952</v>
      </c>
      <c r="B5500" s="4" t="s">
        <v>5524</v>
      </c>
      <c r="C5500" s="3" t="s">
        <v>5496</v>
      </c>
      <c r="D5500" s="5">
        <f t="shared" si="172"/>
        <v>19.440000000000001</v>
      </c>
      <c r="E5500">
        <v>21.34</v>
      </c>
      <c r="F5500" s="1789">
        <v>8.8999999999999996E-2</v>
      </c>
      <c r="G5500">
        <f t="shared" si="173"/>
        <v>19.440000000000001</v>
      </c>
    </row>
    <row r="5501" spans="1:7" ht="12.75" customHeight="1">
      <c r="A5501" s="3">
        <v>5954</v>
      </c>
      <c r="B5501" s="4" t="s">
        <v>5525</v>
      </c>
      <c r="C5501" s="3" t="s">
        <v>5496</v>
      </c>
      <c r="D5501" s="5">
        <f t="shared" si="172"/>
        <v>6.13</v>
      </c>
      <c r="E5501">
        <v>6.73</v>
      </c>
      <c r="F5501" s="1789">
        <v>8.8999999999999996E-2</v>
      </c>
      <c r="G5501">
        <f t="shared" si="173"/>
        <v>6.13</v>
      </c>
    </row>
    <row r="5502" spans="1:7" ht="12.75" customHeight="1">
      <c r="A5502" s="3">
        <v>5961</v>
      </c>
      <c r="B5502" s="4" t="s">
        <v>5526</v>
      </c>
      <c r="C5502" s="3" t="s">
        <v>5496</v>
      </c>
      <c r="D5502" s="5">
        <f t="shared" si="172"/>
        <v>59.67</v>
      </c>
      <c r="E5502">
        <v>65.510000000000005</v>
      </c>
      <c r="F5502" s="1789">
        <v>8.8999999999999996E-2</v>
      </c>
      <c r="G5502">
        <f t="shared" si="173"/>
        <v>59.67</v>
      </c>
    </row>
    <row r="5503" spans="1:7" ht="12.75" customHeight="1">
      <c r="A5503" s="3">
        <v>6260</v>
      </c>
      <c r="B5503" s="4" t="s">
        <v>5527</v>
      </c>
      <c r="C5503" s="3" t="s">
        <v>5496</v>
      </c>
      <c r="D5503" s="5">
        <f t="shared" si="172"/>
        <v>57.09</v>
      </c>
      <c r="E5503">
        <v>62.67</v>
      </c>
      <c r="F5503" s="1789">
        <v>8.8999999999999996E-2</v>
      </c>
      <c r="G5503">
        <f t="shared" si="173"/>
        <v>57.09</v>
      </c>
    </row>
    <row r="5504" spans="1:7" ht="12.75" customHeight="1">
      <c r="A5504" s="3">
        <v>6880</v>
      </c>
      <c r="B5504" s="4" t="s">
        <v>5528</v>
      </c>
      <c r="C5504" s="3" t="s">
        <v>5496</v>
      </c>
      <c r="D5504" s="5">
        <f t="shared" si="172"/>
        <v>76.569999999999993</v>
      </c>
      <c r="E5504">
        <v>84.06</v>
      </c>
      <c r="F5504" s="1789">
        <v>8.8999999999999996E-2</v>
      </c>
      <c r="G5504">
        <f t="shared" si="173"/>
        <v>76.569999999999993</v>
      </c>
    </row>
    <row r="5505" spans="1:7" ht="12.75" customHeight="1">
      <c r="A5505" s="3">
        <v>7031</v>
      </c>
      <c r="B5505" s="4" t="s">
        <v>5529</v>
      </c>
      <c r="C5505" s="3" t="s">
        <v>5496</v>
      </c>
      <c r="D5505" s="5">
        <f t="shared" si="172"/>
        <v>5.5</v>
      </c>
      <c r="E5505">
        <v>6.04</v>
      </c>
      <c r="F5505" s="1789">
        <v>8.8999999999999996E-2</v>
      </c>
      <c r="G5505">
        <f t="shared" si="173"/>
        <v>5.5</v>
      </c>
    </row>
    <row r="5506" spans="1:7" ht="12.75" customHeight="1">
      <c r="A5506" s="3">
        <v>7043</v>
      </c>
      <c r="B5506" s="4" t="s">
        <v>5530</v>
      </c>
      <c r="C5506" s="3" t="s">
        <v>5496</v>
      </c>
      <c r="D5506" s="5">
        <f t="shared" si="172"/>
        <v>0.28999999999999998</v>
      </c>
      <c r="E5506">
        <v>0.32</v>
      </c>
      <c r="F5506" s="1789">
        <v>8.8999999999999996E-2</v>
      </c>
      <c r="G5506">
        <f t="shared" si="173"/>
        <v>0.28999999999999998</v>
      </c>
    </row>
    <row r="5507" spans="1:7" ht="12.75" customHeight="1">
      <c r="A5507" s="3">
        <v>7050</v>
      </c>
      <c r="B5507" s="4" t="s">
        <v>5531</v>
      </c>
      <c r="C5507" s="3" t="s">
        <v>5496</v>
      </c>
      <c r="D5507" s="5">
        <f t="shared" si="172"/>
        <v>70.180000000000007</v>
      </c>
      <c r="E5507">
        <v>77.040000000000006</v>
      </c>
      <c r="F5507" s="1789">
        <v>8.8999999999999996E-2</v>
      </c>
      <c r="G5507">
        <f t="shared" si="173"/>
        <v>70.180000000000007</v>
      </c>
    </row>
    <row r="5508" spans="1:7" ht="12.75" customHeight="1">
      <c r="A5508" s="3">
        <v>67827</v>
      </c>
      <c r="B5508" s="4" t="s">
        <v>5532</v>
      </c>
      <c r="C5508" s="3" t="s">
        <v>5496</v>
      </c>
      <c r="D5508" s="5">
        <f t="shared" si="172"/>
        <v>60.78</v>
      </c>
      <c r="E5508">
        <v>66.72</v>
      </c>
      <c r="F5508" s="1789">
        <v>8.8999999999999996E-2</v>
      </c>
      <c r="G5508">
        <f t="shared" si="173"/>
        <v>60.78</v>
      </c>
    </row>
    <row r="5509" spans="1:7" ht="12.75" customHeight="1">
      <c r="A5509" s="3">
        <v>73395</v>
      </c>
      <c r="B5509" s="4" t="s">
        <v>5533</v>
      </c>
      <c r="C5509" s="3" t="s">
        <v>5496</v>
      </c>
      <c r="D5509" s="5">
        <f t="shared" si="172"/>
        <v>8.8000000000000007</v>
      </c>
      <c r="E5509">
        <v>9.67</v>
      </c>
      <c r="F5509" s="1789">
        <v>8.8999999999999996E-2</v>
      </c>
      <c r="G5509">
        <f t="shared" si="173"/>
        <v>8.8000000000000007</v>
      </c>
    </row>
    <row r="5510" spans="1:7" ht="12.75" customHeight="1">
      <c r="A5510" s="3">
        <v>83766</v>
      </c>
      <c r="B5510" s="4" t="s">
        <v>5534</v>
      </c>
      <c r="C5510" s="3" t="s">
        <v>5496</v>
      </c>
      <c r="D5510" s="5">
        <f t="shared" si="172"/>
        <v>35.729999999999997</v>
      </c>
      <c r="E5510">
        <v>39.229999999999997</v>
      </c>
      <c r="F5510" s="1789">
        <v>8.8999999999999996E-2</v>
      </c>
      <c r="G5510">
        <f t="shared" si="173"/>
        <v>35.729999999999997</v>
      </c>
    </row>
    <row r="5511" spans="1:7" ht="12.75" customHeight="1">
      <c r="A5511" s="3">
        <v>84013</v>
      </c>
      <c r="B5511" s="4" t="s">
        <v>5535</v>
      </c>
      <c r="C5511" s="3" t="s">
        <v>5496</v>
      </c>
      <c r="D5511" s="5">
        <f t="shared" si="172"/>
        <v>71.88</v>
      </c>
      <c r="E5511">
        <v>78.91</v>
      </c>
      <c r="F5511" s="1789">
        <v>8.8999999999999996E-2</v>
      </c>
      <c r="G5511">
        <f t="shared" si="173"/>
        <v>71.88</v>
      </c>
    </row>
    <row r="5512" spans="1:7" ht="12.75" customHeight="1">
      <c r="A5512" s="3">
        <v>87446</v>
      </c>
      <c r="B5512" s="4" t="s">
        <v>5536</v>
      </c>
      <c r="C5512" s="3" t="s">
        <v>5496</v>
      </c>
      <c r="D5512" s="5">
        <f t="shared" si="172"/>
        <v>0.47</v>
      </c>
      <c r="E5512">
        <v>0.52</v>
      </c>
      <c r="F5512" s="1789">
        <v>8.8999999999999996E-2</v>
      </c>
      <c r="G5512">
        <f t="shared" si="173"/>
        <v>0.47</v>
      </c>
    </row>
    <row r="5513" spans="1:7" ht="12.75" customHeight="1">
      <c r="A5513" s="3">
        <v>88392</v>
      </c>
      <c r="B5513" s="4" t="s">
        <v>5537</v>
      </c>
      <c r="C5513" s="3" t="s">
        <v>5496</v>
      </c>
      <c r="D5513" s="5">
        <f t="shared" si="172"/>
        <v>0.92</v>
      </c>
      <c r="E5513">
        <v>1.02</v>
      </c>
      <c r="F5513" s="1789">
        <v>8.8999999999999996E-2</v>
      </c>
      <c r="G5513">
        <f t="shared" si="173"/>
        <v>0.92</v>
      </c>
    </row>
    <row r="5514" spans="1:7" ht="12.75" customHeight="1">
      <c r="A5514" s="3">
        <v>88398</v>
      </c>
      <c r="B5514" s="4" t="s">
        <v>5538</v>
      </c>
      <c r="C5514" s="3" t="s">
        <v>5496</v>
      </c>
      <c r="D5514" s="5">
        <f t="shared" si="172"/>
        <v>1.1100000000000001</v>
      </c>
      <c r="E5514">
        <v>1.22</v>
      </c>
      <c r="F5514" s="1789">
        <v>8.8999999999999996E-2</v>
      </c>
      <c r="G5514">
        <f t="shared" si="173"/>
        <v>1.1100000000000001</v>
      </c>
    </row>
    <row r="5515" spans="1:7" ht="12.75" customHeight="1">
      <c r="A5515" s="3">
        <v>88404</v>
      </c>
      <c r="B5515" s="4" t="s">
        <v>5539</v>
      </c>
      <c r="C5515" s="3" t="s">
        <v>5496</v>
      </c>
      <c r="D5515" s="5">
        <f t="shared" si="172"/>
        <v>0.88</v>
      </c>
      <c r="E5515">
        <v>0.97</v>
      </c>
      <c r="F5515" s="1789">
        <v>8.8999999999999996E-2</v>
      </c>
      <c r="G5515">
        <f t="shared" si="173"/>
        <v>0.88</v>
      </c>
    </row>
    <row r="5516" spans="1:7" ht="12.75" customHeight="1">
      <c r="A5516" s="3">
        <v>88430</v>
      </c>
      <c r="B5516" s="4" t="s">
        <v>5540</v>
      </c>
      <c r="C5516" s="3" t="s">
        <v>5496</v>
      </c>
      <c r="D5516" s="5">
        <f t="shared" si="172"/>
        <v>6.07</v>
      </c>
      <c r="E5516">
        <v>6.67</v>
      </c>
      <c r="F5516" s="1789">
        <v>8.8999999999999996E-2</v>
      </c>
      <c r="G5516">
        <f t="shared" si="173"/>
        <v>6.07</v>
      </c>
    </row>
    <row r="5517" spans="1:7" ht="12.75" customHeight="1">
      <c r="A5517" s="3">
        <v>88438</v>
      </c>
      <c r="B5517" s="4" t="s">
        <v>5541</v>
      </c>
      <c r="C5517" s="3" t="s">
        <v>5496</v>
      </c>
      <c r="D5517" s="5">
        <f t="shared" si="172"/>
        <v>8.0500000000000007</v>
      </c>
      <c r="E5517">
        <v>8.84</v>
      </c>
      <c r="F5517" s="1789">
        <v>8.8999999999999996E-2</v>
      </c>
      <c r="G5517">
        <f t="shared" si="173"/>
        <v>8.0500000000000007</v>
      </c>
    </row>
    <row r="5518" spans="1:7" ht="12.75" customHeight="1">
      <c r="A5518" s="3">
        <v>88831</v>
      </c>
      <c r="B5518" s="4" t="s">
        <v>5542</v>
      </c>
      <c r="C5518" s="3" t="s">
        <v>5496</v>
      </c>
      <c r="D5518" s="5">
        <f t="shared" si="172"/>
        <v>0.34</v>
      </c>
      <c r="E5518">
        <v>0.38</v>
      </c>
      <c r="F5518" s="1789">
        <v>8.8999999999999996E-2</v>
      </c>
      <c r="G5518">
        <f t="shared" si="173"/>
        <v>0.34</v>
      </c>
    </row>
    <row r="5519" spans="1:7" ht="12.75" customHeight="1">
      <c r="A5519" s="3">
        <v>88844</v>
      </c>
      <c r="B5519" s="4" t="s">
        <v>5543</v>
      </c>
      <c r="C5519" s="3" t="s">
        <v>5496</v>
      </c>
      <c r="D5519" s="5">
        <f t="shared" si="172"/>
        <v>62.94</v>
      </c>
      <c r="E5519">
        <v>69.09</v>
      </c>
      <c r="F5519" s="1789">
        <v>8.8999999999999996E-2</v>
      </c>
      <c r="G5519">
        <f t="shared" si="173"/>
        <v>62.94</v>
      </c>
    </row>
    <row r="5520" spans="1:7" ht="12.75" customHeight="1">
      <c r="A5520" s="3">
        <v>88908</v>
      </c>
      <c r="B5520" s="4" t="s">
        <v>5544</v>
      </c>
      <c r="C5520" s="3" t="s">
        <v>5496</v>
      </c>
      <c r="D5520" s="5">
        <f t="shared" si="172"/>
        <v>80.16</v>
      </c>
      <c r="E5520">
        <v>88</v>
      </c>
      <c r="F5520" s="1789">
        <v>8.8999999999999996E-2</v>
      </c>
      <c r="G5520">
        <f t="shared" si="173"/>
        <v>80.16</v>
      </c>
    </row>
    <row r="5521" spans="1:7" ht="12.75" customHeight="1">
      <c r="A5521" s="3">
        <v>89022</v>
      </c>
      <c r="B5521" s="4" t="s">
        <v>5545</v>
      </c>
      <c r="C5521" s="3" t="s">
        <v>5496</v>
      </c>
      <c r="D5521" s="5">
        <f t="shared" si="172"/>
        <v>0.28999999999999998</v>
      </c>
      <c r="E5521">
        <v>0.32</v>
      </c>
      <c r="F5521" s="1789">
        <v>8.8999999999999996E-2</v>
      </c>
      <c r="G5521">
        <f t="shared" si="173"/>
        <v>0.28999999999999998</v>
      </c>
    </row>
    <row r="5522" spans="1:7" ht="12.75" customHeight="1">
      <c r="A5522" s="3">
        <v>89027</v>
      </c>
      <c r="B5522" s="4" t="s">
        <v>5546</v>
      </c>
      <c r="C5522" s="3" t="s">
        <v>5496</v>
      </c>
      <c r="D5522" s="5">
        <f t="shared" si="172"/>
        <v>4.46</v>
      </c>
      <c r="E5522">
        <v>4.9000000000000004</v>
      </c>
      <c r="F5522" s="1789">
        <v>8.8999999999999996E-2</v>
      </c>
      <c r="G5522">
        <f t="shared" si="173"/>
        <v>4.46</v>
      </c>
    </row>
    <row r="5523" spans="1:7" ht="12.75" customHeight="1">
      <c r="A5523" s="3">
        <v>89031</v>
      </c>
      <c r="B5523" s="4" t="s">
        <v>5547</v>
      </c>
      <c r="C5523" s="3" t="s">
        <v>5496</v>
      </c>
      <c r="D5523" s="5">
        <f t="shared" si="172"/>
        <v>61.01</v>
      </c>
      <c r="E5523">
        <v>66.98</v>
      </c>
      <c r="F5523" s="1789">
        <v>8.8999999999999996E-2</v>
      </c>
      <c r="G5523">
        <f t="shared" si="173"/>
        <v>61.01</v>
      </c>
    </row>
    <row r="5524" spans="1:7" ht="12.75" customHeight="1">
      <c r="A5524" s="3">
        <v>89036</v>
      </c>
      <c r="B5524" s="4" t="s">
        <v>5548</v>
      </c>
      <c r="C5524" s="3" t="s">
        <v>5496</v>
      </c>
      <c r="D5524" s="5">
        <f t="shared" si="172"/>
        <v>36.72</v>
      </c>
      <c r="E5524">
        <v>40.31</v>
      </c>
      <c r="F5524" s="1789">
        <v>8.8999999999999996E-2</v>
      </c>
      <c r="G5524">
        <f t="shared" si="173"/>
        <v>36.72</v>
      </c>
    </row>
    <row r="5525" spans="1:7" ht="12.75" customHeight="1">
      <c r="A5525" s="3">
        <v>89218</v>
      </c>
      <c r="B5525" s="4" t="s">
        <v>5549</v>
      </c>
      <c r="C5525" s="3" t="s">
        <v>5496</v>
      </c>
      <c r="D5525" s="5">
        <f t="shared" ref="D5525:D5588" si="174">G5525</f>
        <v>73.45</v>
      </c>
      <c r="E5525">
        <v>80.63</v>
      </c>
      <c r="F5525" s="1789">
        <v>8.8999999999999996E-2</v>
      </c>
      <c r="G5525">
        <f t="shared" ref="G5525:G5588" si="175">TRUNC((1-F5525)*E5525,2)</f>
        <v>73.45</v>
      </c>
    </row>
    <row r="5526" spans="1:7" ht="12.75" customHeight="1">
      <c r="A5526" s="3">
        <v>89226</v>
      </c>
      <c r="B5526" s="4" t="s">
        <v>5550</v>
      </c>
      <c r="C5526" s="3" t="s">
        <v>5496</v>
      </c>
      <c r="D5526" s="5">
        <f t="shared" si="174"/>
        <v>1.43</v>
      </c>
      <c r="E5526">
        <v>1.57</v>
      </c>
      <c r="F5526" s="1789">
        <v>8.8999999999999996E-2</v>
      </c>
      <c r="G5526">
        <f t="shared" si="175"/>
        <v>1.43</v>
      </c>
    </row>
    <row r="5527" spans="1:7" ht="12.75" customHeight="1">
      <c r="A5527" s="3">
        <v>89235</v>
      </c>
      <c r="B5527" s="4" t="s">
        <v>5551</v>
      </c>
      <c r="C5527" s="3" t="s">
        <v>5496</v>
      </c>
      <c r="D5527" s="5">
        <f t="shared" si="174"/>
        <v>168.87</v>
      </c>
      <c r="E5527">
        <v>185.37</v>
      </c>
      <c r="F5527" s="1789">
        <v>8.8999999999999996E-2</v>
      </c>
      <c r="G5527">
        <f t="shared" si="175"/>
        <v>168.87</v>
      </c>
    </row>
    <row r="5528" spans="1:7" ht="12.75" customHeight="1">
      <c r="A5528" s="3">
        <v>89243</v>
      </c>
      <c r="B5528" s="4" t="s">
        <v>5552</v>
      </c>
      <c r="C5528" s="3" t="s">
        <v>5496</v>
      </c>
      <c r="D5528" s="5">
        <f t="shared" si="174"/>
        <v>368.49</v>
      </c>
      <c r="E5528">
        <v>404.49</v>
      </c>
      <c r="F5528" s="1789">
        <v>8.8999999999999996E-2</v>
      </c>
      <c r="G5528">
        <f t="shared" si="175"/>
        <v>368.49</v>
      </c>
    </row>
    <row r="5529" spans="1:7" ht="12.75" customHeight="1">
      <c r="A5529" s="3">
        <v>89251</v>
      </c>
      <c r="B5529" s="4" t="s">
        <v>5553</v>
      </c>
      <c r="C5529" s="3" t="s">
        <v>5496</v>
      </c>
      <c r="D5529" s="5">
        <f t="shared" si="174"/>
        <v>322.73</v>
      </c>
      <c r="E5529">
        <v>354.27</v>
      </c>
      <c r="F5529" s="1789">
        <v>8.8999999999999996E-2</v>
      </c>
      <c r="G5529">
        <f t="shared" si="175"/>
        <v>322.73</v>
      </c>
    </row>
    <row r="5530" spans="1:7" ht="12.75" customHeight="1">
      <c r="A5530" s="3">
        <v>89258</v>
      </c>
      <c r="B5530" s="4" t="s">
        <v>5554</v>
      </c>
      <c r="C5530" s="3" t="s">
        <v>5496</v>
      </c>
      <c r="D5530" s="5">
        <f t="shared" si="174"/>
        <v>110.35</v>
      </c>
      <c r="E5530">
        <v>121.14</v>
      </c>
      <c r="F5530" s="1789">
        <v>8.8999999999999996E-2</v>
      </c>
      <c r="G5530">
        <f t="shared" si="175"/>
        <v>110.35</v>
      </c>
    </row>
    <row r="5531" spans="1:7" ht="12.75" customHeight="1">
      <c r="A5531" s="3">
        <v>89273</v>
      </c>
      <c r="B5531" s="4" t="s">
        <v>5555</v>
      </c>
      <c r="C5531" s="3" t="s">
        <v>5496</v>
      </c>
      <c r="D5531" s="5">
        <f t="shared" si="174"/>
        <v>93.94</v>
      </c>
      <c r="E5531">
        <v>103.12</v>
      </c>
      <c r="F5531" s="1789">
        <v>8.8999999999999996E-2</v>
      </c>
      <c r="G5531">
        <f t="shared" si="175"/>
        <v>93.94</v>
      </c>
    </row>
    <row r="5532" spans="1:7" ht="12.75" customHeight="1">
      <c r="A5532" s="3">
        <v>89279</v>
      </c>
      <c r="B5532" s="4" t="s">
        <v>5556</v>
      </c>
      <c r="C5532" s="3" t="s">
        <v>5496</v>
      </c>
      <c r="D5532" s="5">
        <f t="shared" si="174"/>
        <v>1.74</v>
      </c>
      <c r="E5532">
        <v>1.92</v>
      </c>
      <c r="F5532" s="1789">
        <v>8.8999999999999996E-2</v>
      </c>
      <c r="G5532">
        <f t="shared" si="175"/>
        <v>1.74</v>
      </c>
    </row>
    <row r="5533" spans="1:7" ht="12.75" customHeight="1">
      <c r="A5533" s="3">
        <v>89877</v>
      </c>
      <c r="B5533" s="4" t="s">
        <v>5557</v>
      </c>
      <c r="C5533" s="3" t="s">
        <v>5496</v>
      </c>
      <c r="D5533" s="5">
        <f t="shared" si="174"/>
        <v>82.28</v>
      </c>
      <c r="E5533">
        <v>90.32</v>
      </c>
      <c r="F5533" s="1789">
        <v>8.8999999999999996E-2</v>
      </c>
      <c r="G5533">
        <f t="shared" si="175"/>
        <v>82.28</v>
      </c>
    </row>
    <row r="5534" spans="1:7" ht="12.75" customHeight="1">
      <c r="A5534" s="3">
        <v>89884</v>
      </c>
      <c r="B5534" s="4" t="s">
        <v>5558</v>
      </c>
      <c r="C5534" s="3" t="s">
        <v>5496</v>
      </c>
      <c r="D5534" s="5">
        <f t="shared" si="174"/>
        <v>85.76</v>
      </c>
      <c r="E5534">
        <v>94.14</v>
      </c>
      <c r="F5534" s="1789">
        <v>8.8999999999999996E-2</v>
      </c>
      <c r="G5534">
        <f t="shared" si="175"/>
        <v>85.76</v>
      </c>
    </row>
    <row r="5535" spans="1:7" ht="12.75" customHeight="1">
      <c r="A5535" s="3">
        <v>90587</v>
      </c>
      <c r="B5535" s="4" t="s">
        <v>5559</v>
      </c>
      <c r="C5535" s="3" t="s">
        <v>5496</v>
      </c>
      <c r="D5535" s="5">
        <f t="shared" si="174"/>
        <v>0.44</v>
      </c>
      <c r="E5535">
        <v>0.49</v>
      </c>
      <c r="F5535" s="1789">
        <v>8.8999999999999996E-2</v>
      </c>
      <c r="G5535">
        <f t="shared" si="175"/>
        <v>0.44</v>
      </c>
    </row>
    <row r="5536" spans="1:7" ht="12.75" customHeight="1">
      <c r="A5536" s="3">
        <v>90626</v>
      </c>
      <c r="B5536" s="4" t="s">
        <v>5560</v>
      </c>
      <c r="C5536" s="3" t="s">
        <v>5496</v>
      </c>
      <c r="D5536" s="5">
        <f t="shared" si="174"/>
        <v>2.71</v>
      </c>
      <c r="E5536">
        <v>2.98</v>
      </c>
      <c r="F5536" s="1789">
        <v>8.8999999999999996E-2</v>
      </c>
      <c r="G5536">
        <f t="shared" si="175"/>
        <v>2.71</v>
      </c>
    </row>
    <row r="5537" spans="1:7" ht="12.75" customHeight="1">
      <c r="A5537" s="3">
        <v>90632</v>
      </c>
      <c r="B5537" s="4" t="s">
        <v>5561</v>
      </c>
      <c r="C5537" s="3" t="s">
        <v>5496</v>
      </c>
      <c r="D5537" s="5">
        <f t="shared" si="174"/>
        <v>73.12</v>
      </c>
      <c r="E5537">
        <v>80.27</v>
      </c>
      <c r="F5537" s="1789">
        <v>8.8999999999999996E-2</v>
      </c>
      <c r="G5537">
        <f t="shared" si="175"/>
        <v>73.12</v>
      </c>
    </row>
    <row r="5538" spans="1:7" ht="12.75" customHeight="1">
      <c r="A5538" s="3">
        <v>90638</v>
      </c>
      <c r="B5538" s="4" t="s">
        <v>5562</v>
      </c>
      <c r="C5538" s="3" t="s">
        <v>5496</v>
      </c>
      <c r="D5538" s="5">
        <f t="shared" si="174"/>
        <v>4.66</v>
      </c>
      <c r="E5538">
        <v>5.12</v>
      </c>
      <c r="F5538" s="1789">
        <v>8.8999999999999996E-2</v>
      </c>
      <c r="G5538">
        <f t="shared" si="175"/>
        <v>4.66</v>
      </c>
    </row>
    <row r="5539" spans="1:7" ht="12.75" customHeight="1">
      <c r="A5539" s="3">
        <v>90644</v>
      </c>
      <c r="B5539" s="4" t="s">
        <v>5563</v>
      </c>
      <c r="C5539" s="3" t="s">
        <v>5496</v>
      </c>
      <c r="D5539" s="5">
        <f t="shared" si="174"/>
        <v>6.96</v>
      </c>
      <c r="E5539">
        <v>7.65</v>
      </c>
      <c r="F5539" s="1789">
        <v>8.8999999999999996E-2</v>
      </c>
      <c r="G5539">
        <f t="shared" si="175"/>
        <v>6.96</v>
      </c>
    </row>
    <row r="5540" spans="1:7" ht="12.75" customHeight="1">
      <c r="A5540" s="3">
        <v>90651</v>
      </c>
      <c r="B5540" s="4" t="s">
        <v>5564</v>
      </c>
      <c r="C5540" s="3" t="s">
        <v>5496</v>
      </c>
      <c r="D5540" s="5">
        <f t="shared" si="174"/>
        <v>0.81</v>
      </c>
      <c r="E5540">
        <v>0.9</v>
      </c>
      <c r="F5540" s="1789">
        <v>8.8999999999999996E-2</v>
      </c>
      <c r="G5540">
        <f t="shared" si="175"/>
        <v>0.81</v>
      </c>
    </row>
    <row r="5541" spans="1:7" ht="12.75" customHeight="1">
      <c r="A5541" s="3">
        <v>90657</v>
      </c>
      <c r="B5541" s="4" t="s">
        <v>5565</v>
      </c>
      <c r="C5541" s="3" t="s">
        <v>5496</v>
      </c>
      <c r="D5541" s="5">
        <f t="shared" si="174"/>
        <v>4.53</v>
      </c>
      <c r="E5541">
        <v>4.9800000000000004</v>
      </c>
      <c r="F5541" s="1789">
        <v>8.8999999999999996E-2</v>
      </c>
      <c r="G5541">
        <f t="shared" si="175"/>
        <v>4.53</v>
      </c>
    </row>
    <row r="5542" spans="1:7" ht="12.75" customHeight="1">
      <c r="A5542" s="3">
        <v>90663</v>
      </c>
      <c r="B5542" s="4" t="s">
        <v>5566</v>
      </c>
      <c r="C5542" s="3" t="s">
        <v>5496</v>
      </c>
      <c r="D5542" s="5">
        <f t="shared" si="174"/>
        <v>4.8600000000000003</v>
      </c>
      <c r="E5542">
        <v>5.34</v>
      </c>
      <c r="F5542" s="1789">
        <v>8.8999999999999996E-2</v>
      </c>
      <c r="G5542">
        <f t="shared" si="175"/>
        <v>4.8600000000000003</v>
      </c>
    </row>
    <row r="5543" spans="1:7" ht="12.75" customHeight="1">
      <c r="A5543" s="3">
        <v>90669</v>
      </c>
      <c r="B5543" s="4" t="s">
        <v>5567</v>
      </c>
      <c r="C5543" s="3" t="s">
        <v>5496</v>
      </c>
      <c r="D5543" s="5">
        <f t="shared" si="174"/>
        <v>8.2200000000000006</v>
      </c>
      <c r="E5543">
        <v>9.0299999999999994</v>
      </c>
      <c r="F5543" s="1789">
        <v>8.8999999999999996E-2</v>
      </c>
      <c r="G5543">
        <f t="shared" si="175"/>
        <v>8.2200000000000006</v>
      </c>
    </row>
    <row r="5544" spans="1:7" ht="12.75" customHeight="1">
      <c r="A5544" s="3">
        <v>90675</v>
      </c>
      <c r="B5544" s="4" t="s">
        <v>5568</v>
      </c>
      <c r="C5544" s="3" t="s">
        <v>5496</v>
      </c>
      <c r="D5544" s="5">
        <f t="shared" si="174"/>
        <v>264.58999999999997</v>
      </c>
      <c r="E5544">
        <v>290.44</v>
      </c>
      <c r="F5544" s="1789">
        <v>8.8999999999999996E-2</v>
      </c>
      <c r="G5544">
        <f t="shared" si="175"/>
        <v>264.58999999999997</v>
      </c>
    </row>
    <row r="5545" spans="1:7" ht="12.75" customHeight="1">
      <c r="A5545" s="3">
        <v>90681</v>
      </c>
      <c r="B5545" s="4" t="s">
        <v>5569</v>
      </c>
      <c r="C5545" s="3" t="s">
        <v>5496</v>
      </c>
      <c r="D5545" s="5">
        <f t="shared" si="174"/>
        <v>154.12</v>
      </c>
      <c r="E5545">
        <v>169.18</v>
      </c>
      <c r="F5545" s="1789">
        <v>8.8999999999999996E-2</v>
      </c>
      <c r="G5545">
        <f t="shared" si="175"/>
        <v>154.12</v>
      </c>
    </row>
    <row r="5546" spans="1:7" ht="12.75" customHeight="1">
      <c r="A5546" s="3">
        <v>90687</v>
      </c>
      <c r="B5546" s="4" t="s">
        <v>5570</v>
      </c>
      <c r="C5546" s="3" t="s">
        <v>5496</v>
      </c>
      <c r="D5546" s="5">
        <f t="shared" si="174"/>
        <v>50.2</v>
      </c>
      <c r="E5546">
        <v>55.11</v>
      </c>
      <c r="F5546" s="1789">
        <v>8.8999999999999996E-2</v>
      </c>
      <c r="G5546">
        <f t="shared" si="175"/>
        <v>50.2</v>
      </c>
    </row>
    <row r="5547" spans="1:7" ht="12.75" customHeight="1">
      <c r="A5547" s="3">
        <v>90693</v>
      </c>
      <c r="B5547" s="4" t="s">
        <v>5571</v>
      </c>
      <c r="C5547" s="3" t="s">
        <v>5496</v>
      </c>
      <c r="D5547" s="5">
        <f t="shared" si="174"/>
        <v>46.08</v>
      </c>
      <c r="E5547">
        <v>50.59</v>
      </c>
      <c r="F5547" s="1789">
        <v>8.8999999999999996E-2</v>
      </c>
      <c r="G5547">
        <f t="shared" si="175"/>
        <v>46.08</v>
      </c>
    </row>
    <row r="5548" spans="1:7" ht="12.75" customHeight="1">
      <c r="A5548" s="3">
        <v>90965</v>
      </c>
      <c r="B5548" s="4" t="s">
        <v>5572</v>
      </c>
      <c r="C5548" s="3" t="s">
        <v>5496</v>
      </c>
      <c r="D5548" s="5">
        <f t="shared" si="174"/>
        <v>8.18</v>
      </c>
      <c r="E5548">
        <v>8.99</v>
      </c>
      <c r="F5548" s="1789">
        <v>8.8999999999999996E-2</v>
      </c>
      <c r="G5548">
        <f t="shared" si="175"/>
        <v>8.18</v>
      </c>
    </row>
    <row r="5549" spans="1:7" ht="12.75" customHeight="1">
      <c r="A5549" s="3">
        <v>90973</v>
      </c>
      <c r="B5549" s="4" t="s">
        <v>5573</v>
      </c>
      <c r="C5549" s="3" t="s">
        <v>5496</v>
      </c>
      <c r="D5549" s="5">
        <f t="shared" si="174"/>
        <v>8.1999999999999993</v>
      </c>
      <c r="E5549">
        <v>9.01</v>
      </c>
      <c r="F5549" s="1789">
        <v>8.8999999999999996E-2</v>
      </c>
      <c r="G5549">
        <f t="shared" si="175"/>
        <v>8.1999999999999993</v>
      </c>
    </row>
    <row r="5550" spans="1:7" ht="12.75" customHeight="1">
      <c r="A5550" s="3">
        <v>90982</v>
      </c>
      <c r="B5550" s="4" t="s">
        <v>5574</v>
      </c>
      <c r="C5550" s="3" t="s">
        <v>5496</v>
      </c>
      <c r="D5550" s="5">
        <f t="shared" si="174"/>
        <v>20.86</v>
      </c>
      <c r="E5550">
        <v>22.9</v>
      </c>
      <c r="F5550" s="1789">
        <v>8.8999999999999996E-2</v>
      </c>
      <c r="G5550">
        <f t="shared" si="175"/>
        <v>20.86</v>
      </c>
    </row>
    <row r="5551" spans="1:7" ht="12.75" customHeight="1">
      <c r="A5551" s="3">
        <v>91001</v>
      </c>
      <c r="B5551" s="4" t="s">
        <v>5575</v>
      </c>
      <c r="C5551" s="3" t="s">
        <v>5496</v>
      </c>
      <c r="D5551" s="5">
        <f t="shared" si="174"/>
        <v>9.73</v>
      </c>
      <c r="E5551">
        <v>10.69</v>
      </c>
      <c r="F5551" s="1789">
        <v>8.8999999999999996E-2</v>
      </c>
      <c r="G5551">
        <f t="shared" si="175"/>
        <v>9.73</v>
      </c>
    </row>
    <row r="5552" spans="1:7" ht="12.75" customHeight="1">
      <c r="A5552" s="3">
        <v>91032</v>
      </c>
      <c r="B5552" s="4" t="s">
        <v>5576</v>
      </c>
      <c r="C5552" s="3" t="s">
        <v>5496</v>
      </c>
      <c r="D5552" s="5">
        <f t="shared" si="174"/>
        <v>62.94</v>
      </c>
      <c r="E5552">
        <v>69.09</v>
      </c>
      <c r="F5552" s="1789">
        <v>8.8999999999999996E-2</v>
      </c>
      <c r="G5552">
        <f t="shared" si="175"/>
        <v>62.94</v>
      </c>
    </row>
    <row r="5553" spans="1:7" ht="12.75" customHeight="1">
      <c r="A5553" s="3">
        <v>91278</v>
      </c>
      <c r="B5553" s="4" t="s">
        <v>5577</v>
      </c>
      <c r="C5553" s="3" t="s">
        <v>5496</v>
      </c>
      <c r="D5553" s="5">
        <f t="shared" si="174"/>
        <v>0.64</v>
      </c>
      <c r="E5553">
        <v>0.71</v>
      </c>
      <c r="F5553" s="1789">
        <v>8.8999999999999996E-2</v>
      </c>
      <c r="G5553">
        <f t="shared" si="175"/>
        <v>0.64</v>
      </c>
    </row>
    <row r="5554" spans="1:7" ht="12.75" customHeight="1">
      <c r="A5554" s="3">
        <v>91285</v>
      </c>
      <c r="B5554" s="4" t="s">
        <v>5578</v>
      </c>
      <c r="C5554" s="3" t="s">
        <v>5496</v>
      </c>
      <c r="D5554" s="5">
        <f t="shared" si="174"/>
        <v>1.07</v>
      </c>
      <c r="E5554">
        <v>1.18</v>
      </c>
      <c r="F5554" s="1789">
        <v>8.8999999999999996E-2</v>
      </c>
      <c r="G5554">
        <f t="shared" si="175"/>
        <v>1.07</v>
      </c>
    </row>
    <row r="5555" spans="1:7" ht="12.75" customHeight="1">
      <c r="A5555" s="3">
        <v>91387</v>
      </c>
      <c r="B5555" s="4" t="s">
        <v>5579</v>
      </c>
      <c r="C5555" s="3" t="s">
        <v>5496</v>
      </c>
      <c r="D5555" s="5">
        <f t="shared" si="174"/>
        <v>69.489999999999995</v>
      </c>
      <c r="E5555">
        <v>76.28</v>
      </c>
      <c r="F5555" s="1789">
        <v>8.8999999999999996E-2</v>
      </c>
      <c r="G5555">
        <f t="shared" si="175"/>
        <v>69.489999999999995</v>
      </c>
    </row>
    <row r="5556" spans="1:7" ht="12.75" customHeight="1">
      <c r="A5556" s="3">
        <v>91395</v>
      </c>
      <c r="B5556" s="4" t="s">
        <v>5580</v>
      </c>
      <c r="C5556" s="3" t="s">
        <v>5496</v>
      </c>
      <c r="D5556" s="5">
        <f t="shared" si="174"/>
        <v>55.02</v>
      </c>
      <c r="E5556">
        <v>60.4</v>
      </c>
      <c r="F5556" s="1789">
        <v>8.8999999999999996E-2</v>
      </c>
      <c r="G5556">
        <f t="shared" si="175"/>
        <v>55.02</v>
      </c>
    </row>
    <row r="5557" spans="1:7" ht="12.75" customHeight="1">
      <c r="A5557" s="3">
        <v>91486</v>
      </c>
      <c r="B5557" s="4" t="s">
        <v>5581</v>
      </c>
      <c r="C5557" s="3" t="s">
        <v>5496</v>
      </c>
      <c r="D5557" s="5">
        <f t="shared" si="174"/>
        <v>64.459999999999994</v>
      </c>
      <c r="E5557">
        <v>70.760000000000005</v>
      </c>
      <c r="F5557" s="1789">
        <v>8.8999999999999996E-2</v>
      </c>
      <c r="G5557">
        <f t="shared" si="175"/>
        <v>64.459999999999994</v>
      </c>
    </row>
    <row r="5558" spans="1:7" ht="12.75" customHeight="1">
      <c r="A5558" s="3">
        <v>91534</v>
      </c>
      <c r="B5558" s="4" t="s">
        <v>5582</v>
      </c>
      <c r="C5558" s="3" t="s">
        <v>5496</v>
      </c>
      <c r="D5558" s="5">
        <f t="shared" si="174"/>
        <v>20.73</v>
      </c>
      <c r="E5558">
        <v>22.76</v>
      </c>
      <c r="F5558" s="1789">
        <v>8.8999999999999996E-2</v>
      </c>
      <c r="G5558">
        <f t="shared" si="175"/>
        <v>20.73</v>
      </c>
    </row>
    <row r="5559" spans="1:7" ht="12.75" customHeight="1">
      <c r="A5559" s="3">
        <v>91635</v>
      </c>
      <c r="B5559" s="4" t="s">
        <v>5583</v>
      </c>
      <c r="C5559" s="3" t="s">
        <v>5496</v>
      </c>
      <c r="D5559" s="5">
        <f t="shared" si="174"/>
        <v>61.02</v>
      </c>
      <c r="E5559">
        <v>66.989999999999995</v>
      </c>
      <c r="F5559" s="1789">
        <v>8.8999999999999996E-2</v>
      </c>
      <c r="G5559">
        <f t="shared" si="175"/>
        <v>61.02</v>
      </c>
    </row>
    <row r="5560" spans="1:7" ht="12.75" customHeight="1">
      <c r="A5560" s="3">
        <v>91646</v>
      </c>
      <c r="B5560" s="4" t="s">
        <v>5584</v>
      </c>
      <c r="C5560" s="3" t="s">
        <v>5496</v>
      </c>
      <c r="D5560" s="5">
        <f t="shared" si="174"/>
        <v>91.39</v>
      </c>
      <c r="E5560">
        <v>100.32</v>
      </c>
      <c r="F5560" s="1789">
        <v>8.8999999999999996E-2</v>
      </c>
      <c r="G5560">
        <f t="shared" si="175"/>
        <v>91.39</v>
      </c>
    </row>
    <row r="5561" spans="1:7" ht="12.75" customHeight="1">
      <c r="A5561" s="3">
        <v>91693</v>
      </c>
      <c r="B5561" s="4" t="s">
        <v>5585</v>
      </c>
      <c r="C5561" s="3" t="s">
        <v>5496</v>
      </c>
      <c r="D5561" s="5">
        <f t="shared" si="174"/>
        <v>19.899999999999999</v>
      </c>
      <c r="E5561">
        <v>21.85</v>
      </c>
      <c r="F5561" s="1789">
        <v>8.8999999999999996E-2</v>
      </c>
      <c r="G5561">
        <f t="shared" si="175"/>
        <v>19.899999999999999</v>
      </c>
    </row>
    <row r="5562" spans="1:7" ht="12.75" customHeight="1">
      <c r="A5562" s="3">
        <v>92044</v>
      </c>
      <c r="B5562" s="4" t="s">
        <v>5586</v>
      </c>
      <c r="C5562" s="3" t="s">
        <v>5496</v>
      </c>
      <c r="D5562" s="5">
        <f t="shared" si="174"/>
        <v>7.1</v>
      </c>
      <c r="E5562">
        <v>7.8</v>
      </c>
      <c r="F5562" s="1789">
        <v>8.8999999999999996E-2</v>
      </c>
      <c r="G5562">
        <f t="shared" si="175"/>
        <v>7.1</v>
      </c>
    </row>
    <row r="5563" spans="1:7" ht="12.75" customHeight="1">
      <c r="A5563" s="3">
        <v>92107</v>
      </c>
      <c r="B5563" s="4" t="s">
        <v>5587</v>
      </c>
      <c r="C5563" s="3" t="s">
        <v>5496</v>
      </c>
      <c r="D5563" s="5">
        <f t="shared" si="174"/>
        <v>87.04</v>
      </c>
      <c r="E5563">
        <v>95.55</v>
      </c>
      <c r="F5563" s="1789">
        <v>8.8999999999999996E-2</v>
      </c>
      <c r="G5563">
        <f t="shared" si="175"/>
        <v>87.04</v>
      </c>
    </row>
    <row r="5564" spans="1:7" ht="12.75" customHeight="1">
      <c r="A5564" s="3">
        <v>92113</v>
      </c>
      <c r="B5564" s="4" t="s">
        <v>5588</v>
      </c>
      <c r="C5564" s="3" t="s">
        <v>5496</v>
      </c>
      <c r="D5564" s="5">
        <f t="shared" si="174"/>
        <v>1.02</v>
      </c>
      <c r="E5564">
        <v>1.1299999999999999</v>
      </c>
      <c r="F5564" s="1789">
        <v>8.8999999999999996E-2</v>
      </c>
      <c r="G5564">
        <f t="shared" si="175"/>
        <v>1.02</v>
      </c>
    </row>
    <row r="5565" spans="1:7" ht="12.75" customHeight="1">
      <c r="A5565" s="3">
        <v>92119</v>
      </c>
      <c r="B5565" s="4" t="s">
        <v>5589</v>
      </c>
      <c r="C5565" s="3" t="s">
        <v>5496</v>
      </c>
      <c r="D5565" s="5">
        <f t="shared" si="174"/>
        <v>0.26</v>
      </c>
      <c r="E5565">
        <v>0.28999999999999998</v>
      </c>
      <c r="F5565" s="1789">
        <v>8.8999999999999996E-2</v>
      </c>
      <c r="G5565">
        <f t="shared" si="175"/>
        <v>0.26</v>
      </c>
    </row>
    <row r="5566" spans="1:7" ht="12.75" customHeight="1">
      <c r="A5566" s="3">
        <v>92139</v>
      </c>
      <c r="B5566" s="4" t="s">
        <v>5590</v>
      </c>
      <c r="C5566" s="3" t="s">
        <v>5496</v>
      </c>
      <c r="D5566" s="5">
        <f t="shared" si="174"/>
        <v>40.47</v>
      </c>
      <c r="E5566">
        <v>44.43</v>
      </c>
      <c r="F5566" s="1789">
        <v>8.8999999999999996E-2</v>
      </c>
      <c r="G5566">
        <f t="shared" si="175"/>
        <v>40.47</v>
      </c>
    </row>
    <row r="5567" spans="1:7" ht="12.75" customHeight="1">
      <c r="A5567" s="3">
        <v>92146</v>
      </c>
      <c r="B5567" s="4" t="s">
        <v>5591</v>
      </c>
      <c r="C5567" s="3" t="s">
        <v>5496</v>
      </c>
      <c r="D5567" s="5">
        <f t="shared" si="174"/>
        <v>29.83</v>
      </c>
      <c r="E5567">
        <v>32.75</v>
      </c>
      <c r="F5567" s="1789">
        <v>8.8999999999999996E-2</v>
      </c>
      <c r="G5567">
        <f t="shared" si="175"/>
        <v>29.83</v>
      </c>
    </row>
    <row r="5568" spans="1:7" ht="12.75" customHeight="1">
      <c r="A5568" s="3">
        <v>92243</v>
      </c>
      <c r="B5568" s="4" t="s">
        <v>5592</v>
      </c>
      <c r="C5568" s="3" t="s">
        <v>5496</v>
      </c>
      <c r="D5568" s="5">
        <f t="shared" si="174"/>
        <v>75.63</v>
      </c>
      <c r="E5568">
        <v>83.02</v>
      </c>
      <c r="F5568" s="1789">
        <v>8.8999999999999996E-2</v>
      </c>
      <c r="G5568">
        <f t="shared" si="175"/>
        <v>75.63</v>
      </c>
    </row>
    <row r="5569" spans="1:7" ht="12.75" customHeight="1">
      <c r="A5569" s="3">
        <v>92717</v>
      </c>
      <c r="B5569" s="4" t="s">
        <v>5593</v>
      </c>
      <c r="C5569" s="3" t="s">
        <v>5496</v>
      </c>
      <c r="D5569" s="5">
        <f t="shared" si="174"/>
        <v>0.23</v>
      </c>
      <c r="E5569">
        <v>0.26</v>
      </c>
      <c r="F5569" s="1789">
        <v>8.8999999999999996E-2</v>
      </c>
      <c r="G5569">
        <f t="shared" si="175"/>
        <v>0.23</v>
      </c>
    </row>
    <row r="5570" spans="1:7" ht="12.75" customHeight="1">
      <c r="A5570" s="3">
        <v>92961</v>
      </c>
      <c r="B5570" s="4" t="s">
        <v>5594</v>
      </c>
      <c r="C5570" s="3" t="s">
        <v>5496</v>
      </c>
      <c r="D5570" s="5">
        <f t="shared" si="174"/>
        <v>4.8099999999999996</v>
      </c>
      <c r="E5570">
        <v>5.29</v>
      </c>
      <c r="F5570" s="1789">
        <v>8.8999999999999996E-2</v>
      </c>
      <c r="G5570">
        <f t="shared" si="175"/>
        <v>4.8099999999999996</v>
      </c>
    </row>
    <row r="5571" spans="1:7" ht="12.75" customHeight="1">
      <c r="A5571" s="3">
        <v>92967</v>
      </c>
      <c r="B5571" s="4" t="s">
        <v>5595</v>
      </c>
      <c r="C5571" s="3" t="s">
        <v>5496</v>
      </c>
      <c r="D5571" s="5">
        <f t="shared" si="174"/>
        <v>19.489999999999998</v>
      </c>
      <c r="E5571">
        <v>21.4</v>
      </c>
      <c r="F5571" s="1789">
        <v>8.8999999999999996E-2</v>
      </c>
      <c r="G5571">
        <f t="shared" si="175"/>
        <v>19.489999999999998</v>
      </c>
    </row>
    <row r="5572" spans="1:7" ht="12.75" customHeight="1">
      <c r="A5572" s="3">
        <v>93225</v>
      </c>
      <c r="B5572" s="4" t="s">
        <v>5596</v>
      </c>
      <c r="C5572" s="3" t="s">
        <v>5496</v>
      </c>
      <c r="D5572" s="5">
        <f t="shared" si="174"/>
        <v>400.45</v>
      </c>
      <c r="E5572">
        <v>439.58</v>
      </c>
      <c r="F5572" s="1789">
        <v>8.8999999999999996E-2</v>
      </c>
      <c r="G5572">
        <f t="shared" si="175"/>
        <v>400.45</v>
      </c>
    </row>
    <row r="5573" spans="1:7" ht="12.75" customHeight="1">
      <c r="A5573" s="3">
        <v>93234</v>
      </c>
      <c r="B5573" s="4" t="s">
        <v>5597</v>
      </c>
      <c r="C5573" s="3" t="s">
        <v>5496</v>
      </c>
      <c r="D5573" s="5">
        <f t="shared" si="174"/>
        <v>0.45</v>
      </c>
      <c r="E5573">
        <v>0.5</v>
      </c>
      <c r="F5573" s="1789">
        <v>8.8999999999999996E-2</v>
      </c>
      <c r="G5573">
        <f t="shared" si="175"/>
        <v>0.45</v>
      </c>
    </row>
    <row r="5574" spans="1:7" ht="12.75" customHeight="1">
      <c r="A5574" s="3">
        <v>93244</v>
      </c>
      <c r="B5574" s="4" t="s">
        <v>5598</v>
      </c>
      <c r="C5574" s="3" t="s">
        <v>5496</v>
      </c>
      <c r="D5574" s="5">
        <f t="shared" si="174"/>
        <v>57.46</v>
      </c>
      <c r="E5574">
        <v>63.08</v>
      </c>
      <c r="F5574" s="1789">
        <v>8.8999999999999996E-2</v>
      </c>
      <c r="G5574">
        <f t="shared" si="175"/>
        <v>57.46</v>
      </c>
    </row>
    <row r="5575" spans="1:7" ht="12.75" customHeight="1">
      <c r="A5575" s="3">
        <v>93274</v>
      </c>
      <c r="B5575" s="4" t="s">
        <v>5599</v>
      </c>
      <c r="C5575" s="3" t="s">
        <v>5496</v>
      </c>
      <c r="D5575" s="5">
        <f t="shared" si="174"/>
        <v>59.21</v>
      </c>
      <c r="E5575">
        <v>65</v>
      </c>
      <c r="F5575" s="1789">
        <v>8.8999999999999996E-2</v>
      </c>
      <c r="G5575">
        <f t="shared" si="175"/>
        <v>59.21</v>
      </c>
    </row>
    <row r="5576" spans="1:7" ht="12.75" customHeight="1">
      <c r="A5576" s="3">
        <v>93282</v>
      </c>
      <c r="B5576" s="4" t="s">
        <v>5600</v>
      </c>
      <c r="C5576" s="3" t="s">
        <v>5496</v>
      </c>
      <c r="D5576" s="5">
        <f t="shared" si="174"/>
        <v>19.440000000000001</v>
      </c>
      <c r="E5576">
        <v>21.35</v>
      </c>
      <c r="F5576" s="1789">
        <v>8.8999999999999996E-2</v>
      </c>
      <c r="G5576">
        <f t="shared" si="175"/>
        <v>19.440000000000001</v>
      </c>
    </row>
    <row r="5577" spans="1:7" ht="12.75" customHeight="1">
      <c r="A5577" s="3">
        <v>93288</v>
      </c>
      <c r="B5577" s="4" t="s">
        <v>5601</v>
      </c>
      <c r="C5577" s="3" t="s">
        <v>5496</v>
      </c>
      <c r="D5577" s="5">
        <f t="shared" si="174"/>
        <v>159.58000000000001</v>
      </c>
      <c r="E5577">
        <v>175.18</v>
      </c>
      <c r="F5577" s="1789">
        <v>8.8999999999999996E-2</v>
      </c>
      <c r="G5577">
        <f t="shared" si="175"/>
        <v>159.58000000000001</v>
      </c>
    </row>
    <row r="5578" spans="1:7" ht="12.75" customHeight="1">
      <c r="A5578" s="3">
        <v>93403</v>
      </c>
      <c r="B5578" s="4" t="s">
        <v>5602</v>
      </c>
      <c r="C5578" s="3" t="s">
        <v>5496</v>
      </c>
      <c r="D5578" s="5">
        <f t="shared" si="174"/>
        <v>65.88</v>
      </c>
      <c r="E5578">
        <v>72.319999999999993</v>
      </c>
      <c r="F5578" s="1789">
        <v>8.8999999999999996E-2</v>
      </c>
      <c r="G5578">
        <f t="shared" si="175"/>
        <v>65.88</v>
      </c>
    </row>
    <row r="5579" spans="1:7" ht="12.75" customHeight="1">
      <c r="A5579" s="3">
        <v>93409</v>
      </c>
      <c r="B5579" s="4" t="s">
        <v>5603</v>
      </c>
      <c r="C5579" s="3" t="s">
        <v>5496</v>
      </c>
      <c r="D5579" s="5">
        <f t="shared" si="174"/>
        <v>25.61</v>
      </c>
      <c r="E5579">
        <v>28.12</v>
      </c>
      <c r="F5579" s="1789">
        <v>8.8999999999999996E-2</v>
      </c>
      <c r="G5579">
        <f t="shared" si="175"/>
        <v>25.61</v>
      </c>
    </row>
    <row r="5580" spans="1:7" ht="12.75" customHeight="1">
      <c r="A5580" s="3">
        <v>93416</v>
      </c>
      <c r="B5580" s="4" t="s">
        <v>5604</v>
      </c>
      <c r="C5580" s="3" t="s">
        <v>5496</v>
      </c>
      <c r="D5580" s="5">
        <f t="shared" si="174"/>
        <v>0.41</v>
      </c>
      <c r="E5580">
        <v>0.46</v>
      </c>
      <c r="F5580" s="1789">
        <v>8.8999999999999996E-2</v>
      </c>
      <c r="G5580">
        <f t="shared" si="175"/>
        <v>0.41</v>
      </c>
    </row>
    <row r="5581" spans="1:7" ht="12.75" customHeight="1">
      <c r="A5581" s="3">
        <v>93422</v>
      </c>
      <c r="B5581" s="4" t="s">
        <v>5605</v>
      </c>
      <c r="C5581" s="3" t="s">
        <v>5496</v>
      </c>
      <c r="D5581" s="5">
        <f t="shared" si="174"/>
        <v>5.52</v>
      </c>
      <c r="E5581">
        <v>6.07</v>
      </c>
      <c r="F5581" s="1789">
        <v>8.8999999999999996E-2</v>
      </c>
      <c r="G5581">
        <f t="shared" si="175"/>
        <v>5.52</v>
      </c>
    </row>
    <row r="5582" spans="1:7" ht="12.75" customHeight="1">
      <c r="A5582" s="3">
        <v>93428</v>
      </c>
      <c r="B5582" s="4" t="s">
        <v>5606</v>
      </c>
      <c r="C5582" s="3" t="s">
        <v>5496</v>
      </c>
      <c r="D5582" s="5">
        <f t="shared" si="174"/>
        <v>7.83</v>
      </c>
      <c r="E5582">
        <v>8.6</v>
      </c>
      <c r="F5582" s="1789">
        <v>8.8999999999999996E-2</v>
      </c>
      <c r="G5582">
        <f t="shared" si="175"/>
        <v>7.83</v>
      </c>
    </row>
    <row r="5583" spans="1:7" ht="12.75" customHeight="1">
      <c r="A5583" s="3">
        <v>93434</v>
      </c>
      <c r="B5583" s="4" t="s">
        <v>5607</v>
      </c>
      <c r="C5583" s="3" t="s">
        <v>5496</v>
      </c>
      <c r="D5583" s="5">
        <f t="shared" si="174"/>
        <v>304.08</v>
      </c>
      <c r="E5583">
        <v>333.79</v>
      </c>
      <c r="F5583" s="1789">
        <v>8.8999999999999996E-2</v>
      </c>
      <c r="G5583">
        <f t="shared" si="175"/>
        <v>304.08</v>
      </c>
    </row>
    <row r="5584" spans="1:7" ht="12.75" customHeight="1">
      <c r="A5584" s="3">
        <v>93440</v>
      </c>
      <c r="B5584" s="4" t="s">
        <v>5608</v>
      </c>
      <c r="C5584" s="3" t="s">
        <v>5496</v>
      </c>
      <c r="D5584" s="5">
        <f t="shared" si="174"/>
        <v>112.8</v>
      </c>
      <c r="E5584">
        <v>123.82</v>
      </c>
      <c r="F5584" s="1789">
        <v>8.8999999999999996E-2</v>
      </c>
      <c r="G5584">
        <f t="shared" si="175"/>
        <v>112.8</v>
      </c>
    </row>
    <row r="5585" spans="1:7" ht="12.75" customHeight="1">
      <c r="A5585" s="3">
        <v>95122</v>
      </c>
      <c r="B5585" s="4" t="s">
        <v>5609</v>
      </c>
      <c r="C5585" s="3" t="s">
        <v>5496</v>
      </c>
      <c r="D5585" s="5">
        <f t="shared" si="174"/>
        <v>195.81</v>
      </c>
      <c r="E5585">
        <v>214.94</v>
      </c>
      <c r="F5585" s="1789">
        <v>8.8999999999999996E-2</v>
      </c>
      <c r="G5585">
        <f t="shared" si="175"/>
        <v>195.81</v>
      </c>
    </row>
    <row r="5586" spans="1:7" ht="12.75" customHeight="1">
      <c r="A5586" s="3">
        <v>95128</v>
      </c>
      <c r="B5586" s="4" t="s">
        <v>5610</v>
      </c>
      <c r="C5586" s="3" t="s">
        <v>5496</v>
      </c>
      <c r="D5586" s="5">
        <f t="shared" si="174"/>
        <v>41.08</v>
      </c>
      <c r="E5586">
        <v>45.1</v>
      </c>
      <c r="F5586" s="1789">
        <v>8.8999999999999996E-2</v>
      </c>
      <c r="G5586">
        <f t="shared" si="175"/>
        <v>41.08</v>
      </c>
    </row>
    <row r="5587" spans="1:7" ht="12.75" customHeight="1">
      <c r="A5587" s="3">
        <v>95140</v>
      </c>
      <c r="B5587" s="4" t="s">
        <v>5611</v>
      </c>
      <c r="C5587" s="3" t="s">
        <v>5496</v>
      </c>
      <c r="D5587" s="5">
        <f t="shared" si="174"/>
        <v>0.03</v>
      </c>
      <c r="E5587">
        <v>0.04</v>
      </c>
      <c r="F5587" s="1789">
        <v>8.8999999999999996E-2</v>
      </c>
      <c r="G5587">
        <f t="shared" si="175"/>
        <v>0.03</v>
      </c>
    </row>
    <row r="5588" spans="1:7" ht="12.75" customHeight="1">
      <c r="A5588" s="3">
        <v>95213</v>
      </c>
      <c r="B5588" s="4" t="s">
        <v>5612</v>
      </c>
      <c r="C5588" s="3" t="s">
        <v>5496</v>
      </c>
      <c r="D5588" s="5">
        <f t="shared" si="174"/>
        <v>65.05</v>
      </c>
      <c r="E5588">
        <v>71.41</v>
      </c>
      <c r="F5588" s="1789">
        <v>8.8999999999999996E-2</v>
      </c>
      <c r="G5588">
        <f t="shared" si="175"/>
        <v>65.05</v>
      </c>
    </row>
    <row r="5589" spans="1:7" ht="12.75" customHeight="1">
      <c r="A5589" s="3">
        <v>95259</v>
      </c>
      <c r="B5589" s="4" t="s">
        <v>5613</v>
      </c>
      <c r="C5589" s="3" t="s">
        <v>5496</v>
      </c>
      <c r="D5589" s="5">
        <f t="shared" ref="D5589:D5652" si="176">G5589</f>
        <v>19.2</v>
      </c>
      <c r="E5589">
        <v>21.08</v>
      </c>
      <c r="F5589" s="1789">
        <v>8.8999999999999996E-2</v>
      </c>
      <c r="G5589">
        <f t="shared" ref="G5589:G5652" si="177">TRUNC((1-F5589)*E5589,2)</f>
        <v>19.2</v>
      </c>
    </row>
    <row r="5590" spans="1:7" ht="12.75" customHeight="1">
      <c r="A5590" s="3">
        <v>95265</v>
      </c>
      <c r="B5590" s="4" t="s">
        <v>5614</v>
      </c>
      <c r="C5590" s="3" t="s">
        <v>5496</v>
      </c>
      <c r="D5590" s="5">
        <f t="shared" si="176"/>
        <v>0.75</v>
      </c>
      <c r="E5590">
        <v>0.83</v>
      </c>
      <c r="F5590" s="1789">
        <v>8.8999999999999996E-2</v>
      </c>
      <c r="G5590">
        <f t="shared" si="177"/>
        <v>0.75</v>
      </c>
    </row>
    <row r="5591" spans="1:7" ht="12.75" customHeight="1">
      <c r="A5591" s="3">
        <v>95271</v>
      </c>
      <c r="B5591" s="4" t="s">
        <v>5615</v>
      </c>
      <c r="C5591" s="3" t="s">
        <v>5496</v>
      </c>
      <c r="D5591" s="5">
        <f t="shared" si="176"/>
        <v>0.5</v>
      </c>
      <c r="E5591">
        <v>0.55000000000000004</v>
      </c>
      <c r="F5591" s="1789">
        <v>8.8999999999999996E-2</v>
      </c>
      <c r="G5591">
        <f t="shared" si="177"/>
        <v>0.5</v>
      </c>
    </row>
    <row r="5592" spans="1:7" ht="12.75" customHeight="1">
      <c r="A5592" s="3">
        <v>95277</v>
      </c>
      <c r="B5592" s="4" t="s">
        <v>5616</v>
      </c>
      <c r="C5592" s="3" t="s">
        <v>5496</v>
      </c>
      <c r="D5592" s="5">
        <f t="shared" si="176"/>
        <v>0.47</v>
      </c>
      <c r="E5592">
        <v>0.52</v>
      </c>
      <c r="F5592" s="1789">
        <v>8.8999999999999996E-2</v>
      </c>
      <c r="G5592">
        <f t="shared" si="177"/>
        <v>0.47</v>
      </c>
    </row>
    <row r="5593" spans="1:7" ht="12.75" customHeight="1">
      <c r="A5593" s="3">
        <v>95283</v>
      </c>
      <c r="B5593" s="4" t="s">
        <v>5617</v>
      </c>
      <c r="C5593" s="3" t="s">
        <v>5496</v>
      </c>
      <c r="D5593" s="5">
        <f t="shared" si="176"/>
        <v>0.57999999999999996</v>
      </c>
      <c r="E5593">
        <v>0.64</v>
      </c>
      <c r="F5593" s="1789">
        <v>8.8999999999999996E-2</v>
      </c>
      <c r="G5593">
        <f t="shared" si="177"/>
        <v>0.57999999999999996</v>
      </c>
    </row>
    <row r="5594" spans="1:7" ht="12.75" customHeight="1">
      <c r="A5594" s="3">
        <v>95621</v>
      </c>
      <c r="B5594" s="4" t="s">
        <v>5618</v>
      </c>
      <c r="C5594" s="3" t="s">
        <v>5496</v>
      </c>
      <c r="D5594" s="5">
        <f t="shared" si="176"/>
        <v>18.87</v>
      </c>
      <c r="E5594">
        <v>20.72</v>
      </c>
      <c r="F5594" s="1789">
        <v>8.8999999999999996E-2</v>
      </c>
      <c r="G5594">
        <f t="shared" si="177"/>
        <v>18.87</v>
      </c>
    </row>
    <row r="5595" spans="1:7" ht="12.75" customHeight="1">
      <c r="A5595" s="3">
        <v>95632</v>
      </c>
      <c r="B5595" s="4" t="s">
        <v>5619</v>
      </c>
      <c r="C5595" s="3" t="s">
        <v>5496</v>
      </c>
      <c r="D5595" s="5">
        <f t="shared" si="176"/>
        <v>74.12</v>
      </c>
      <c r="E5595">
        <v>81.37</v>
      </c>
      <c r="F5595" s="1789">
        <v>8.8999999999999996E-2</v>
      </c>
      <c r="G5595">
        <f t="shared" si="177"/>
        <v>74.12</v>
      </c>
    </row>
    <row r="5596" spans="1:7" ht="12.75" customHeight="1">
      <c r="A5596" s="3">
        <v>95703</v>
      </c>
      <c r="B5596" s="4" t="s">
        <v>5620</v>
      </c>
      <c r="C5596" s="3" t="s">
        <v>5496</v>
      </c>
      <c r="D5596" s="5">
        <f t="shared" si="176"/>
        <v>25.81</v>
      </c>
      <c r="E5596">
        <v>28.34</v>
      </c>
      <c r="F5596" s="1789">
        <v>8.8999999999999996E-2</v>
      </c>
      <c r="G5596">
        <f t="shared" si="177"/>
        <v>25.81</v>
      </c>
    </row>
    <row r="5597" spans="1:7" ht="12.75" customHeight="1">
      <c r="A5597" s="3">
        <v>95709</v>
      </c>
      <c r="B5597" s="4" t="s">
        <v>5621</v>
      </c>
      <c r="C5597" s="3" t="s">
        <v>5496</v>
      </c>
      <c r="D5597" s="5">
        <f t="shared" si="176"/>
        <v>70.91</v>
      </c>
      <c r="E5597">
        <v>77.84</v>
      </c>
      <c r="F5597" s="1789">
        <v>8.8999999999999996E-2</v>
      </c>
      <c r="G5597">
        <f t="shared" si="177"/>
        <v>70.91</v>
      </c>
    </row>
    <row r="5598" spans="1:7" ht="12.75" customHeight="1">
      <c r="A5598" s="3">
        <v>95715</v>
      </c>
      <c r="B5598" s="4" t="s">
        <v>5622</v>
      </c>
      <c r="C5598" s="3" t="s">
        <v>5496</v>
      </c>
      <c r="D5598" s="5">
        <f t="shared" si="176"/>
        <v>83.3</v>
      </c>
      <c r="E5598">
        <v>91.44</v>
      </c>
      <c r="F5598" s="1789">
        <v>8.8999999999999996E-2</v>
      </c>
      <c r="G5598">
        <f t="shared" si="177"/>
        <v>83.3</v>
      </c>
    </row>
    <row r="5599" spans="1:7" ht="12.75" customHeight="1">
      <c r="A5599" s="3">
        <v>95721</v>
      </c>
      <c r="B5599" s="4" t="s">
        <v>5623</v>
      </c>
      <c r="C5599" s="3" t="s">
        <v>5496</v>
      </c>
      <c r="D5599" s="5">
        <f t="shared" si="176"/>
        <v>81.02</v>
      </c>
      <c r="E5599">
        <v>88.94</v>
      </c>
      <c r="F5599" s="1789">
        <v>8.8999999999999996E-2</v>
      </c>
      <c r="G5599">
        <f t="shared" si="177"/>
        <v>81.02</v>
      </c>
    </row>
    <row r="5600" spans="1:7" ht="12.75" customHeight="1">
      <c r="A5600" s="3">
        <v>95873</v>
      </c>
      <c r="B5600" s="4" t="s">
        <v>5624</v>
      </c>
      <c r="C5600" s="3" t="s">
        <v>5496</v>
      </c>
      <c r="D5600" s="5">
        <f t="shared" si="176"/>
        <v>12.52</v>
      </c>
      <c r="E5600">
        <v>13.75</v>
      </c>
      <c r="F5600" s="1789">
        <v>8.8999999999999996E-2</v>
      </c>
      <c r="G5600">
        <f t="shared" si="177"/>
        <v>12.52</v>
      </c>
    </row>
    <row r="5601" spans="1:7" ht="12.75" customHeight="1">
      <c r="A5601" s="3">
        <v>96014</v>
      </c>
      <c r="B5601" s="4" t="s">
        <v>5625</v>
      </c>
      <c r="C5601" s="3" t="s">
        <v>5496</v>
      </c>
      <c r="D5601" s="5">
        <f t="shared" si="176"/>
        <v>46.97</v>
      </c>
      <c r="E5601">
        <v>51.56</v>
      </c>
      <c r="F5601" s="1789">
        <v>8.8999999999999996E-2</v>
      </c>
      <c r="G5601">
        <f t="shared" si="177"/>
        <v>46.97</v>
      </c>
    </row>
    <row r="5602" spans="1:7" ht="12.75" customHeight="1">
      <c r="A5602" s="3">
        <v>96021</v>
      </c>
      <c r="B5602" s="4" t="s">
        <v>5626</v>
      </c>
      <c r="C5602" s="3" t="s">
        <v>5496</v>
      </c>
      <c r="D5602" s="5">
        <f t="shared" si="176"/>
        <v>46.74</v>
      </c>
      <c r="E5602">
        <v>51.31</v>
      </c>
      <c r="F5602" s="1789">
        <v>8.8999999999999996E-2</v>
      </c>
      <c r="G5602">
        <f t="shared" si="177"/>
        <v>46.74</v>
      </c>
    </row>
    <row r="5603" spans="1:7" ht="12.75" customHeight="1">
      <c r="A5603" s="3">
        <v>96029</v>
      </c>
      <c r="B5603" s="4" t="s">
        <v>5627</v>
      </c>
      <c r="C5603" s="3" t="s">
        <v>5496</v>
      </c>
      <c r="D5603" s="5">
        <f t="shared" si="176"/>
        <v>40.56</v>
      </c>
      <c r="E5603">
        <v>44.53</v>
      </c>
      <c r="F5603" s="1789">
        <v>8.8999999999999996E-2</v>
      </c>
      <c r="G5603">
        <f t="shared" si="177"/>
        <v>40.56</v>
      </c>
    </row>
    <row r="5604" spans="1:7" ht="12.75" customHeight="1">
      <c r="A5604" s="3">
        <v>96036</v>
      </c>
      <c r="B5604" s="4" t="s">
        <v>5628</v>
      </c>
      <c r="C5604" s="3" t="s">
        <v>5496</v>
      </c>
      <c r="D5604" s="5">
        <f t="shared" si="176"/>
        <v>74.91</v>
      </c>
      <c r="E5604">
        <v>82.23</v>
      </c>
      <c r="F5604" s="1789">
        <v>8.8999999999999996E-2</v>
      </c>
      <c r="G5604">
        <f t="shared" si="177"/>
        <v>74.91</v>
      </c>
    </row>
    <row r="5605" spans="1:7" ht="12.75" customHeight="1">
      <c r="A5605" s="3">
        <v>96155</v>
      </c>
      <c r="B5605" s="4" t="s">
        <v>5629</v>
      </c>
      <c r="C5605" s="3" t="s">
        <v>5496</v>
      </c>
      <c r="D5605" s="5">
        <f t="shared" si="176"/>
        <v>40.79</v>
      </c>
      <c r="E5605">
        <v>44.78</v>
      </c>
      <c r="F5605" s="1789">
        <v>8.8999999999999996E-2</v>
      </c>
      <c r="G5605">
        <f t="shared" si="177"/>
        <v>40.79</v>
      </c>
    </row>
    <row r="5606" spans="1:7" ht="12.75" customHeight="1">
      <c r="A5606" s="3">
        <v>96156</v>
      </c>
      <c r="B5606" s="4" t="s">
        <v>5630</v>
      </c>
      <c r="C5606" s="3" t="s">
        <v>5496</v>
      </c>
      <c r="D5606" s="5">
        <f t="shared" si="176"/>
        <v>51.79</v>
      </c>
      <c r="E5606">
        <v>56.86</v>
      </c>
      <c r="F5606" s="1789">
        <v>8.8999999999999996E-2</v>
      </c>
      <c r="G5606">
        <f t="shared" si="177"/>
        <v>51.79</v>
      </c>
    </row>
    <row r="5607" spans="1:7" ht="12.75" customHeight="1">
      <c r="A5607" s="3">
        <v>96159</v>
      </c>
      <c r="B5607" s="4" t="s">
        <v>5631</v>
      </c>
      <c r="C5607" s="3" t="s">
        <v>5496</v>
      </c>
      <c r="D5607" s="5">
        <f t="shared" si="176"/>
        <v>78.92</v>
      </c>
      <c r="E5607">
        <v>86.64</v>
      </c>
      <c r="F5607" s="1789">
        <v>8.8999999999999996E-2</v>
      </c>
      <c r="G5607">
        <f t="shared" si="177"/>
        <v>78.92</v>
      </c>
    </row>
    <row r="5608" spans="1:7" ht="12.75" customHeight="1">
      <c r="A5608" s="3">
        <v>96246</v>
      </c>
      <c r="B5608" s="4" t="s">
        <v>5632</v>
      </c>
      <c r="C5608" s="3" t="s">
        <v>5496</v>
      </c>
      <c r="D5608" s="5">
        <f t="shared" si="176"/>
        <v>51.9</v>
      </c>
      <c r="E5608">
        <v>56.98</v>
      </c>
      <c r="F5608" s="1789">
        <v>8.8999999999999996E-2</v>
      </c>
      <c r="G5608">
        <f t="shared" si="177"/>
        <v>51.9</v>
      </c>
    </row>
    <row r="5609" spans="1:7" ht="12.75" customHeight="1">
      <c r="A5609" s="3">
        <v>96464</v>
      </c>
      <c r="B5609" s="4" t="s">
        <v>5633</v>
      </c>
      <c r="C5609" s="3" t="s">
        <v>5496</v>
      </c>
      <c r="D5609" s="5">
        <f t="shared" si="176"/>
        <v>80.099999999999994</v>
      </c>
      <c r="E5609">
        <v>87.93</v>
      </c>
      <c r="F5609" s="1789">
        <v>8.8999999999999996E-2</v>
      </c>
      <c r="G5609">
        <f t="shared" si="177"/>
        <v>80.099999999999994</v>
      </c>
    </row>
    <row r="5610" spans="1:7" ht="12.75" customHeight="1">
      <c r="A5610" s="3">
        <v>98765</v>
      </c>
      <c r="B5610" s="4" t="s">
        <v>5634</v>
      </c>
      <c r="C5610" s="3" t="s">
        <v>5496</v>
      </c>
      <c r="D5610" s="5">
        <f t="shared" si="176"/>
        <v>0.09</v>
      </c>
      <c r="E5610">
        <v>0.1</v>
      </c>
      <c r="F5610" s="1789">
        <v>8.8999999999999996E-2</v>
      </c>
      <c r="G5610">
        <f t="shared" si="177"/>
        <v>0.09</v>
      </c>
    </row>
    <row r="5611" spans="1:7" ht="12.75" customHeight="1">
      <c r="A5611" s="3">
        <v>99834</v>
      </c>
      <c r="B5611" s="4" t="s">
        <v>5635</v>
      </c>
      <c r="C5611" s="3" t="s">
        <v>5496</v>
      </c>
      <c r="D5611" s="5">
        <f t="shared" si="176"/>
        <v>0.19</v>
      </c>
      <c r="E5611">
        <v>0.21</v>
      </c>
      <c r="F5611" s="1789">
        <v>8.8999999999999996E-2</v>
      </c>
      <c r="G5611">
        <f t="shared" si="177"/>
        <v>0.19</v>
      </c>
    </row>
    <row r="5612" spans="1:7" ht="12.75" customHeight="1">
      <c r="A5612" s="3">
        <v>100642</v>
      </c>
      <c r="B5612" s="4" t="s">
        <v>5636</v>
      </c>
      <c r="C5612" s="3" t="s">
        <v>5496</v>
      </c>
      <c r="D5612" s="5">
        <f t="shared" si="176"/>
        <v>281.89</v>
      </c>
      <c r="E5612">
        <v>309.43</v>
      </c>
      <c r="F5612" s="1789">
        <v>8.8999999999999996E-2</v>
      </c>
      <c r="G5612">
        <f t="shared" si="177"/>
        <v>281.89</v>
      </c>
    </row>
    <row r="5613" spans="1:7" ht="12.75" customHeight="1">
      <c r="A5613" s="3">
        <v>100648</v>
      </c>
      <c r="B5613" s="4" t="s">
        <v>5637</v>
      </c>
      <c r="C5613" s="3" t="s">
        <v>5496</v>
      </c>
      <c r="D5613" s="5">
        <f t="shared" si="176"/>
        <v>568.16</v>
      </c>
      <c r="E5613">
        <v>623.66999999999996</v>
      </c>
      <c r="F5613" s="1789">
        <v>8.8999999999999996E-2</v>
      </c>
      <c r="G5613">
        <f t="shared" si="177"/>
        <v>568.16</v>
      </c>
    </row>
    <row r="5614" spans="1:7" ht="12.75" customHeight="1">
      <c r="A5614" s="3">
        <v>102274</v>
      </c>
      <c r="B5614" s="4" t="s">
        <v>5638</v>
      </c>
      <c r="C5614" s="3" t="s">
        <v>5496</v>
      </c>
      <c r="D5614" s="5">
        <f t="shared" si="176"/>
        <v>18.28</v>
      </c>
      <c r="E5614">
        <v>20.07</v>
      </c>
      <c r="F5614" s="1789">
        <v>8.8999999999999996E-2</v>
      </c>
      <c r="G5614">
        <f t="shared" si="177"/>
        <v>18.28</v>
      </c>
    </row>
    <row r="5615" spans="1:7" ht="12.75" customHeight="1">
      <c r="A5615" s="3">
        <v>104092</v>
      </c>
      <c r="B5615" s="4" t="s">
        <v>5639</v>
      </c>
      <c r="C5615" s="3" t="s">
        <v>5496</v>
      </c>
      <c r="D5615" s="5">
        <f t="shared" si="176"/>
        <v>7.0000000000000007E-2</v>
      </c>
      <c r="E5615">
        <v>0.08</v>
      </c>
      <c r="F5615" s="1789">
        <v>8.8999999999999996E-2</v>
      </c>
      <c r="G5615">
        <f t="shared" si="177"/>
        <v>7.0000000000000007E-2</v>
      </c>
    </row>
    <row r="5616" spans="1:7" ht="12.75" customHeight="1">
      <c r="A5616" s="3">
        <v>104098</v>
      </c>
      <c r="B5616" s="4" t="s">
        <v>5640</v>
      </c>
      <c r="C5616" s="3" t="s">
        <v>5496</v>
      </c>
      <c r="D5616" s="5">
        <f t="shared" si="176"/>
        <v>0.1</v>
      </c>
      <c r="E5616">
        <v>0.12</v>
      </c>
      <c r="F5616" s="1789">
        <v>8.8999999999999996E-2</v>
      </c>
      <c r="G5616">
        <f t="shared" si="177"/>
        <v>0.1</v>
      </c>
    </row>
    <row r="5617" spans="1:7" ht="12.75" customHeight="1">
      <c r="A5617" s="3">
        <v>5089</v>
      </c>
      <c r="B5617" s="4" t="s">
        <v>5641</v>
      </c>
      <c r="C5617" s="3" t="s">
        <v>154</v>
      </c>
      <c r="D5617" s="5">
        <f t="shared" si="176"/>
        <v>37.58</v>
      </c>
      <c r="E5617">
        <v>41.26</v>
      </c>
      <c r="F5617" s="1789">
        <v>8.8999999999999996E-2</v>
      </c>
      <c r="G5617">
        <f t="shared" si="177"/>
        <v>37.58</v>
      </c>
    </row>
    <row r="5618" spans="1:7" ht="12.75" customHeight="1">
      <c r="A5618" s="3">
        <v>5627</v>
      </c>
      <c r="B5618" s="4" t="s">
        <v>5642</v>
      </c>
      <c r="C5618" s="3" t="s">
        <v>154</v>
      </c>
      <c r="D5618" s="5">
        <f t="shared" si="176"/>
        <v>41.32</v>
      </c>
      <c r="E5618">
        <v>45.36</v>
      </c>
      <c r="F5618" s="1789">
        <v>8.8999999999999996E-2</v>
      </c>
      <c r="G5618">
        <f t="shared" si="177"/>
        <v>41.32</v>
      </c>
    </row>
    <row r="5619" spans="1:7" ht="12.75" customHeight="1">
      <c r="A5619" s="3">
        <v>5628</v>
      </c>
      <c r="B5619" s="4" t="s">
        <v>5643</v>
      </c>
      <c r="C5619" s="3" t="s">
        <v>154</v>
      </c>
      <c r="D5619" s="5">
        <f t="shared" si="176"/>
        <v>10.91</v>
      </c>
      <c r="E5619">
        <v>11.98</v>
      </c>
      <c r="F5619" s="1789">
        <v>8.8999999999999996E-2</v>
      </c>
      <c r="G5619">
        <f t="shared" si="177"/>
        <v>10.91</v>
      </c>
    </row>
    <row r="5620" spans="1:7" ht="12.75" customHeight="1">
      <c r="A5620" s="3">
        <v>5629</v>
      </c>
      <c r="B5620" s="4" t="s">
        <v>5644</v>
      </c>
      <c r="C5620" s="3" t="s">
        <v>154</v>
      </c>
      <c r="D5620" s="5">
        <f t="shared" si="176"/>
        <v>51.65</v>
      </c>
      <c r="E5620">
        <v>56.7</v>
      </c>
      <c r="F5620" s="1789">
        <v>8.8999999999999996E-2</v>
      </c>
      <c r="G5620">
        <f t="shared" si="177"/>
        <v>51.65</v>
      </c>
    </row>
    <row r="5621" spans="1:7" ht="12.75" customHeight="1">
      <c r="A5621" s="3">
        <v>5630</v>
      </c>
      <c r="B5621" s="4" t="s">
        <v>5645</v>
      </c>
      <c r="C5621" s="3" t="s">
        <v>154</v>
      </c>
      <c r="D5621" s="5">
        <f t="shared" si="176"/>
        <v>58.95</v>
      </c>
      <c r="E5621">
        <v>64.72</v>
      </c>
      <c r="F5621" s="1789">
        <v>8.8999999999999996E-2</v>
      </c>
      <c r="G5621">
        <f t="shared" si="177"/>
        <v>58.95</v>
      </c>
    </row>
    <row r="5622" spans="1:7" ht="12.75" customHeight="1">
      <c r="A5622" s="3">
        <v>5658</v>
      </c>
      <c r="B5622" s="4" t="s">
        <v>5646</v>
      </c>
      <c r="C5622" s="3" t="s">
        <v>154</v>
      </c>
      <c r="D5622" s="5">
        <f t="shared" si="176"/>
        <v>2.0299999999999998</v>
      </c>
      <c r="E5622">
        <v>2.23</v>
      </c>
      <c r="F5622" s="1789">
        <v>8.8999999999999996E-2</v>
      </c>
      <c r="G5622">
        <f t="shared" si="177"/>
        <v>2.0299999999999998</v>
      </c>
    </row>
    <row r="5623" spans="1:7" ht="12.75" customHeight="1">
      <c r="A5623" s="3">
        <v>5664</v>
      </c>
      <c r="B5623" s="4" t="s">
        <v>5647</v>
      </c>
      <c r="C5623" s="3" t="s">
        <v>154</v>
      </c>
      <c r="D5623" s="5">
        <f t="shared" si="176"/>
        <v>27.82</v>
      </c>
      <c r="E5623">
        <v>30.54</v>
      </c>
      <c r="F5623" s="1789">
        <v>8.8999999999999996E-2</v>
      </c>
      <c r="G5623">
        <f t="shared" si="177"/>
        <v>27.82</v>
      </c>
    </row>
    <row r="5624" spans="1:7" ht="12.75" customHeight="1">
      <c r="A5624" s="3">
        <v>5667</v>
      </c>
      <c r="B5624" s="4" t="s">
        <v>5648</v>
      </c>
      <c r="C5624" s="3" t="s">
        <v>154</v>
      </c>
      <c r="D5624" s="5">
        <f t="shared" si="176"/>
        <v>24.74</v>
      </c>
      <c r="E5624">
        <v>27.16</v>
      </c>
      <c r="F5624" s="1789">
        <v>8.8999999999999996E-2</v>
      </c>
      <c r="G5624">
        <f t="shared" si="177"/>
        <v>24.74</v>
      </c>
    </row>
    <row r="5625" spans="1:7" ht="12.75" customHeight="1">
      <c r="A5625" s="3">
        <v>5668</v>
      </c>
      <c r="B5625" s="4" t="s">
        <v>5649</v>
      </c>
      <c r="C5625" s="3" t="s">
        <v>154</v>
      </c>
      <c r="D5625" s="5">
        <f t="shared" si="176"/>
        <v>41.93</v>
      </c>
      <c r="E5625">
        <v>46.03</v>
      </c>
      <c r="F5625" s="1789">
        <v>8.8999999999999996E-2</v>
      </c>
      <c r="G5625">
        <f t="shared" si="177"/>
        <v>41.93</v>
      </c>
    </row>
    <row r="5626" spans="1:7" ht="12.75" customHeight="1">
      <c r="A5626" s="3">
        <v>5674</v>
      </c>
      <c r="B5626" s="4" t="s">
        <v>5650</v>
      </c>
      <c r="C5626" s="3" t="s">
        <v>154</v>
      </c>
      <c r="D5626" s="5">
        <f t="shared" si="176"/>
        <v>36.15</v>
      </c>
      <c r="E5626">
        <v>39.69</v>
      </c>
      <c r="F5626" s="1789">
        <v>8.8999999999999996E-2</v>
      </c>
      <c r="G5626">
        <f t="shared" si="177"/>
        <v>36.15</v>
      </c>
    </row>
    <row r="5627" spans="1:7" ht="12.75" customHeight="1">
      <c r="A5627" s="3">
        <v>5692</v>
      </c>
      <c r="B5627" s="4" t="s">
        <v>5651</v>
      </c>
      <c r="C5627" s="3" t="s">
        <v>154</v>
      </c>
      <c r="D5627" s="5">
        <f t="shared" si="176"/>
        <v>0.2</v>
      </c>
      <c r="E5627">
        <v>0.23</v>
      </c>
      <c r="F5627" s="1789">
        <v>8.8999999999999996E-2</v>
      </c>
      <c r="G5627">
        <f t="shared" si="177"/>
        <v>0.2</v>
      </c>
    </row>
    <row r="5628" spans="1:7" ht="12.75" customHeight="1">
      <c r="A5628" s="3">
        <v>5693</v>
      </c>
      <c r="B5628" s="4" t="s">
        <v>5652</v>
      </c>
      <c r="C5628" s="3" t="s">
        <v>154</v>
      </c>
      <c r="D5628" s="5">
        <f t="shared" si="176"/>
        <v>18.8</v>
      </c>
      <c r="E5628">
        <v>20.64</v>
      </c>
      <c r="F5628" s="1789">
        <v>8.8999999999999996E-2</v>
      </c>
      <c r="G5628">
        <f t="shared" si="177"/>
        <v>18.8</v>
      </c>
    </row>
    <row r="5629" spans="1:7" ht="12.75" customHeight="1">
      <c r="A5629" s="3">
        <v>5695</v>
      </c>
      <c r="B5629" s="4" t="s">
        <v>5653</v>
      </c>
      <c r="C5629" s="3" t="s">
        <v>154</v>
      </c>
      <c r="D5629" s="5">
        <f t="shared" si="176"/>
        <v>36.380000000000003</v>
      </c>
      <c r="E5629">
        <v>39.94</v>
      </c>
      <c r="F5629" s="1789">
        <v>8.8999999999999996E-2</v>
      </c>
      <c r="G5629">
        <f t="shared" si="177"/>
        <v>36.380000000000003</v>
      </c>
    </row>
    <row r="5630" spans="1:7" ht="12.75" customHeight="1">
      <c r="A5630" s="3">
        <v>5703</v>
      </c>
      <c r="B5630" s="4" t="s">
        <v>5654</v>
      </c>
      <c r="C5630" s="3" t="s">
        <v>154</v>
      </c>
      <c r="D5630" s="5">
        <f t="shared" si="176"/>
        <v>22.1</v>
      </c>
      <c r="E5630">
        <v>24.27</v>
      </c>
      <c r="F5630" s="1789">
        <v>8.8999999999999996E-2</v>
      </c>
      <c r="G5630">
        <f t="shared" si="177"/>
        <v>22.1</v>
      </c>
    </row>
    <row r="5631" spans="1:7" ht="12.75" customHeight="1">
      <c r="A5631" s="3">
        <v>5705</v>
      </c>
      <c r="B5631" s="4" t="s">
        <v>5655</v>
      </c>
      <c r="C5631" s="3" t="s">
        <v>154</v>
      </c>
      <c r="D5631" s="5">
        <f t="shared" si="176"/>
        <v>35.01</v>
      </c>
      <c r="E5631">
        <v>38.44</v>
      </c>
      <c r="F5631" s="1789">
        <v>8.8999999999999996E-2</v>
      </c>
      <c r="G5631">
        <f t="shared" si="177"/>
        <v>35.01</v>
      </c>
    </row>
    <row r="5632" spans="1:7" ht="12.75" customHeight="1">
      <c r="A5632" s="3">
        <v>5707</v>
      </c>
      <c r="B5632" s="4" t="s">
        <v>5656</v>
      </c>
      <c r="C5632" s="3" t="s">
        <v>154</v>
      </c>
      <c r="D5632" s="5">
        <f t="shared" si="176"/>
        <v>79.88</v>
      </c>
      <c r="E5632">
        <v>87.69</v>
      </c>
      <c r="F5632" s="1789">
        <v>8.8999999999999996E-2</v>
      </c>
      <c r="G5632">
        <f t="shared" si="177"/>
        <v>79.88</v>
      </c>
    </row>
    <row r="5633" spans="1:7" ht="12.75" customHeight="1">
      <c r="A5633" s="3">
        <v>5710</v>
      </c>
      <c r="B5633" s="4" t="s">
        <v>5657</v>
      </c>
      <c r="C5633" s="3" t="s">
        <v>154</v>
      </c>
      <c r="D5633" s="5">
        <f t="shared" si="176"/>
        <v>131.81</v>
      </c>
      <c r="E5633">
        <v>144.69</v>
      </c>
      <c r="F5633" s="1789">
        <v>8.8999999999999996E-2</v>
      </c>
      <c r="G5633">
        <f t="shared" si="177"/>
        <v>131.81</v>
      </c>
    </row>
    <row r="5634" spans="1:7" ht="12.75" customHeight="1">
      <c r="A5634" s="3">
        <v>5711</v>
      </c>
      <c r="B5634" s="4" t="s">
        <v>5658</v>
      </c>
      <c r="C5634" s="3" t="s">
        <v>154</v>
      </c>
      <c r="D5634" s="5">
        <f t="shared" si="176"/>
        <v>81.459999999999994</v>
      </c>
      <c r="E5634">
        <v>89.42</v>
      </c>
      <c r="F5634" s="1789">
        <v>8.8999999999999996E-2</v>
      </c>
      <c r="G5634">
        <f t="shared" si="177"/>
        <v>81.459999999999994</v>
      </c>
    </row>
    <row r="5635" spans="1:7" ht="12.75" customHeight="1">
      <c r="A5635" s="3">
        <v>5714</v>
      </c>
      <c r="B5635" s="4" t="s">
        <v>5659</v>
      </c>
      <c r="C5635" s="3" t="s">
        <v>154</v>
      </c>
      <c r="D5635" s="5">
        <f t="shared" si="176"/>
        <v>14.61</v>
      </c>
      <c r="E5635">
        <v>16.04</v>
      </c>
      <c r="F5635" s="1789">
        <v>8.8999999999999996E-2</v>
      </c>
      <c r="G5635">
        <f t="shared" si="177"/>
        <v>14.61</v>
      </c>
    </row>
    <row r="5636" spans="1:7" ht="12.75" customHeight="1">
      <c r="A5636" s="3">
        <v>5715</v>
      </c>
      <c r="B5636" s="4" t="s">
        <v>5660</v>
      </c>
      <c r="C5636" s="3" t="s">
        <v>154</v>
      </c>
      <c r="D5636" s="5">
        <f t="shared" si="176"/>
        <v>61.64</v>
      </c>
      <c r="E5636">
        <v>67.67</v>
      </c>
      <c r="F5636" s="1789">
        <v>8.8999999999999996E-2</v>
      </c>
      <c r="G5636">
        <f t="shared" si="177"/>
        <v>61.64</v>
      </c>
    </row>
    <row r="5637" spans="1:7" ht="12.75" customHeight="1">
      <c r="A5637" s="3">
        <v>5718</v>
      </c>
      <c r="B5637" s="4" t="s">
        <v>5661</v>
      </c>
      <c r="C5637" s="3" t="s">
        <v>154</v>
      </c>
      <c r="D5637" s="5">
        <f t="shared" si="176"/>
        <v>97.23</v>
      </c>
      <c r="E5637">
        <v>106.73</v>
      </c>
      <c r="F5637" s="1789">
        <v>8.8999999999999996E-2</v>
      </c>
      <c r="G5637">
        <f t="shared" si="177"/>
        <v>97.23</v>
      </c>
    </row>
    <row r="5638" spans="1:7" ht="12.75" customHeight="1">
      <c r="A5638" s="3">
        <v>5721</v>
      </c>
      <c r="B5638" s="4" t="s">
        <v>5662</v>
      </c>
      <c r="C5638" s="3" t="s">
        <v>154</v>
      </c>
      <c r="D5638" s="5">
        <f t="shared" si="176"/>
        <v>85.78</v>
      </c>
      <c r="E5638">
        <v>94.17</v>
      </c>
      <c r="F5638" s="1789">
        <v>8.8999999999999996E-2</v>
      </c>
      <c r="G5638">
        <f t="shared" si="177"/>
        <v>85.78</v>
      </c>
    </row>
    <row r="5639" spans="1:7" ht="12.75" customHeight="1">
      <c r="A5639" s="3">
        <v>5722</v>
      </c>
      <c r="B5639" s="4" t="s">
        <v>5663</v>
      </c>
      <c r="C5639" s="3" t="s">
        <v>154</v>
      </c>
      <c r="D5639" s="5">
        <f t="shared" si="176"/>
        <v>198.41</v>
      </c>
      <c r="E5639">
        <v>217.8</v>
      </c>
      <c r="F5639" s="1789">
        <v>8.8999999999999996E-2</v>
      </c>
      <c r="G5639">
        <f t="shared" si="177"/>
        <v>198.41</v>
      </c>
    </row>
    <row r="5640" spans="1:7" ht="12.75" customHeight="1">
      <c r="A5640" s="3">
        <v>5724</v>
      </c>
      <c r="B5640" s="4" t="s">
        <v>5664</v>
      </c>
      <c r="C5640" s="3" t="s">
        <v>154</v>
      </c>
      <c r="D5640" s="5">
        <f t="shared" si="176"/>
        <v>51.17</v>
      </c>
      <c r="E5640">
        <v>56.18</v>
      </c>
      <c r="F5640" s="1789">
        <v>8.8999999999999996E-2</v>
      </c>
      <c r="G5640">
        <f t="shared" si="177"/>
        <v>51.17</v>
      </c>
    </row>
    <row r="5641" spans="1:7" ht="12.75" customHeight="1">
      <c r="A5641" s="3">
        <v>5727</v>
      </c>
      <c r="B5641" s="4" t="s">
        <v>5665</v>
      </c>
      <c r="C5641" s="3" t="s">
        <v>154</v>
      </c>
      <c r="D5641" s="5">
        <f t="shared" si="176"/>
        <v>10.91</v>
      </c>
      <c r="E5641">
        <v>11.98</v>
      </c>
      <c r="F5641" s="1789">
        <v>8.8999999999999996E-2</v>
      </c>
      <c r="G5641">
        <f t="shared" si="177"/>
        <v>10.91</v>
      </c>
    </row>
    <row r="5642" spans="1:7" ht="12.75" customHeight="1">
      <c r="A5642" s="3">
        <v>5729</v>
      </c>
      <c r="B5642" s="4" t="s">
        <v>5666</v>
      </c>
      <c r="C5642" s="3" t="s">
        <v>154</v>
      </c>
      <c r="D5642" s="5">
        <f t="shared" si="176"/>
        <v>44.39</v>
      </c>
      <c r="E5642">
        <v>48.73</v>
      </c>
      <c r="F5642" s="1789">
        <v>8.8999999999999996E-2</v>
      </c>
      <c r="G5642">
        <f t="shared" si="177"/>
        <v>44.39</v>
      </c>
    </row>
    <row r="5643" spans="1:7" ht="12.75" customHeight="1">
      <c r="A5643" s="3">
        <v>5730</v>
      </c>
      <c r="B5643" s="4" t="s">
        <v>5667</v>
      </c>
      <c r="C5643" s="3" t="s">
        <v>154</v>
      </c>
      <c r="D5643" s="5">
        <f t="shared" si="176"/>
        <v>37.380000000000003</v>
      </c>
      <c r="E5643">
        <v>41.04</v>
      </c>
      <c r="F5643" s="1789">
        <v>8.8999999999999996E-2</v>
      </c>
      <c r="G5643">
        <f t="shared" si="177"/>
        <v>37.380000000000003</v>
      </c>
    </row>
    <row r="5644" spans="1:7" ht="12.75" customHeight="1">
      <c r="A5644" s="3">
        <v>5735</v>
      </c>
      <c r="B5644" s="4" t="s">
        <v>5668</v>
      </c>
      <c r="C5644" s="3" t="s">
        <v>154</v>
      </c>
      <c r="D5644" s="5">
        <f t="shared" si="176"/>
        <v>26.84</v>
      </c>
      <c r="E5644">
        <v>29.47</v>
      </c>
      <c r="F5644" s="1789">
        <v>8.8999999999999996E-2</v>
      </c>
      <c r="G5644">
        <f t="shared" si="177"/>
        <v>26.84</v>
      </c>
    </row>
    <row r="5645" spans="1:7" ht="12.75" customHeight="1">
      <c r="A5645" s="3">
        <v>5736</v>
      </c>
      <c r="B5645" s="4" t="s">
        <v>5669</v>
      </c>
      <c r="C5645" s="3" t="s">
        <v>154</v>
      </c>
      <c r="D5645" s="5">
        <f t="shared" si="176"/>
        <v>38.200000000000003</v>
      </c>
      <c r="E5645">
        <v>41.94</v>
      </c>
      <c r="F5645" s="1789">
        <v>8.8999999999999996E-2</v>
      </c>
      <c r="G5645">
        <f t="shared" si="177"/>
        <v>38.200000000000003</v>
      </c>
    </row>
    <row r="5646" spans="1:7" ht="12.75" customHeight="1">
      <c r="A5646" s="3">
        <v>5738</v>
      </c>
      <c r="B5646" s="4" t="s">
        <v>5670</v>
      </c>
      <c r="C5646" s="3" t="s">
        <v>154</v>
      </c>
      <c r="D5646" s="5">
        <f t="shared" si="176"/>
        <v>39.47</v>
      </c>
      <c r="E5646">
        <v>43.33</v>
      </c>
      <c r="F5646" s="1789">
        <v>8.8999999999999996E-2</v>
      </c>
      <c r="G5646">
        <f t="shared" si="177"/>
        <v>39.47</v>
      </c>
    </row>
    <row r="5647" spans="1:7" ht="12.75" customHeight="1">
      <c r="A5647" s="3">
        <v>5739</v>
      </c>
      <c r="B5647" s="4" t="s">
        <v>5671</v>
      </c>
      <c r="C5647" s="3" t="s">
        <v>154</v>
      </c>
      <c r="D5647" s="5">
        <f t="shared" si="176"/>
        <v>49.4</v>
      </c>
      <c r="E5647">
        <v>54.23</v>
      </c>
      <c r="F5647" s="1789">
        <v>8.8999999999999996E-2</v>
      </c>
      <c r="G5647">
        <f t="shared" si="177"/>
        <v>49.4</v>
      </c>
    </row>
    <row r="5648" spans="1:7" ht="12.75" customHeight="1">
      <c r="A5648" s="3">
        <v>5741</v>
      </c>
      <c r="B5648" s="4" t="s">
        <v>5672</v>
      </c>
      <c r="C5648" s="3" t="s">
        <v>154</v>
      </c>
      <c r="D5648" s="5">
        <f t="shared" si="176"/>
        <v>38.97</v>
      </c>
      <c r="E5648">
        <v>42.78</v>
      </c>
      <c r="F5648" s="1789">
        <v>8.8999999999999996E-2</v>
      </c>
      <c r="G5648">
        <f t="shared" si="177"/>
        <v>38.97</v>
      </c>
    </row>
    <row r="5649" spans="1:7" ht="12.75" customHeight="1">
      <c r="A5649" s="3">
        <v>5742</v>
      </c>
      <c r="B5649" s="4" t="s">
        <v>5673</v>
      </c>
      <c r="C5649" s="3" t="s">
        <v>154</v>
      </c>
      <c r="D5649" s="5">
        <f t="shared" si="176"/>
        <v>25.23</v>
      </c>
      <c r="E5649">
        <v>27.7</v>
      </c>
      <c r="F5649" s="1789">
        <v>8.8999999999999996E-2</v>
      </c>
      <c r="G5649">
        <f t="shared" si="177"/>
        <v>25.23</v>
      </c>
    </row>
    <row r="5650" spans="1:7" ht="12.75" customHeight="1">
      <c r="A5650" s="3">
        <v>5747</v>
      </c>
      <c r="B5650" s="4" t="s">
        <v>5674</v>
      </c>
      <c r="C5650" s="3" t="s">
        <v>154</v>
      </c>
      <c r="D5650" s="5">
        <f t="shared" si="176"/>
        <v>144.69999999999999</v>
      </c>
      <c r="E5650">
        <v>158.84</v>
      </c>
      <c r="F5650" s="1789">
        <v>8.8999999999999996E-2</v>
      </c>
      <c r="G5650">
        <f t="shared" si="177"/>
        <v>144.69999999999999</v>
      </c>
    </row>
    <row r="5651" spans="1:7" ht="12.75" customHeight="1">
      <c r="A5651" s="3">
        <v>5751</v>
      </c>
      <c r="B5651" s="4" t="s">
        <v>5675</v>
      </c>
      <c r="C5651" s="3" t="s">
        <v>154</v>
      </c>
      <c r="D5651" s="5">
        <f t="shared" si="176"/>
        <v>30.08</v>
      </c>
      <c r="E5651">
        <v>33.020000000000003</v>
      </c>
      <c r="F5651" s="1789">
        <v>8.8999999999999996E-2</v>
      </c>
      <c r="G5651">
        <f t="shared" si="177"/>
        <v>30.08</v>
      </c>
    </row>
    <row r="5652" spans="1:7" ht="12.75" customHeight="1">
      <c r="A5652" s="3">
        <v>5754</v>
      </c>
      <c r="B5652" s="4" t="s">
        <v>5676</v>
      </c>
      <c r="C5652" s="3" t="s">
        <v>154</v>
      </c>
      <c r="D5652" s="5">
        <f t="shared" si="176"/>
        <v>33.03</v>
      </c>
      <c r="E5652">
        <v>36.26</v>
      </c>
      <c r="F5652" s="1789">
        <v>8.8999999999999996E-2</v>
      </c>
      <c r="G5652">
        <f t="shared" si="177"/>
        <v>33.03</v>
      </c>
    </row>
    <row r="5653" spans="1:7" ht="12.75" customHeight="1">
      <c r="A5653" s="3">
        <v>5763</v>
      </c>
      <c r="B5653" s="4" t="s">
        <v>5677</v>
      </c>
      <c r="C5653" s="3" t="s">
        <v>154</v>
      </c>
      <c r="D5653" s="5">
        <f t="shared" ref="D5653:D5716" si="178">G5653</f>
        <v>47.02</v>
      </c>
      <c r="E5653">
        <v>51.62</v>
      </c>
      <c r="F5653" s="1789">
        <v>8.8999999999999996E-2</v>
      </c>
      <c r="G5653">
        <f t="shared" ref="G5653:G5716" si="179">TRUNC((1-F5653)*E5653,2)</f>
        <v>47.02</v>
      </c>
    </row>
    <row r="5654" spans="1:7" ht="12.75" customHeight="1">
      <c r="A5654" s="3">
        <v>5765</v>
      </c>
      <c r="B5654" s="4" t="s">
        <v>5678</v>
      </c>
      <c r="C5654" s="3" t="s">
        <v>154</v>
      </c>
      <c r="D5654" s="5">
        <f t="shared" si="178"/>
        <v>4.22</v>
      </c>
      <c r="E5654">
        <v>4.6399999999999997</v>
      </c>
      <c r="F5654" s="1789">
        <v>8.8999999999999996E-2</v>
      </c>
      <c r="G5654">
        <f t="shared" si="179"/>
        <v>4.22</v>
      </c>
    </row>
    <row r="5655" spans="1:7" ht="12.75" customHeight="1">
      <c r="A5655" s="3">
        <v>5766</v>
      </c>
      <c r="B5655" s="4" t="s">
        <v>5679</v>
      </c>
      <c r="C5655" s="3" t="s">
        <v>154</v>
      </c>
      <c r="D5655" s="5">
        <f t="shared" si="178"/>
        <v>2.62</v>
      </c>
      <c r="E5655">
        <v>2.88</v>
      </c>
      <c r="F5655" s="1789">
        <v>8.8999999999999996E-2</v>
      </c>
      <c r="G5655">
        <f t="shared" si="179"/>
        <v>2.62</v>
      </c>
    </row>
    <row r="5656" spans="1:7" ht="12.75" customHeight="1">
      <c r="A5656" s="3">
        <v>5779</v>
      </c>
      <c r="B5656" s="4" t="s">
        <v>5680</v>
      </c>
      <c r="C5656" s="3" t="s">
        <v>154</v>
      </c>
      <c r="D5656" s="5">
        <f t="shared" si="178"/>
        <v>65.89</v>
      </c>
      <c r="E5656">
        <v>72.33</v>
      </c>
      <c r="F5656" s="1789">
        <v>8.8999999999999996E-2</v>
      </c>
      <c r="G5656">
        <f t="shared" si="179"/>
        <v>65.89</v>
      </c>
    </row>
    <row r="5657" spans="1:7" ht="12.75" customHeight="1">
      <c r="A5657" s="3">
        <v>5787</v>
      </c>
      <c r="B5657" s="4" t="s">
        <v>5681</v>
      </c>
      <c r="C5657" s="3" t="s">
        <v>154</v>
      </c>
      <c r="D5657" s="5">
        <f t="shared" si="178"/>
        <v>64.38</v>
      </c>
      <c r="E5657">
        <v>70.67</v>
      </c>
      <c r="F5657" s="1789">
        <v>8.8999999999999996E-2</v>
      </c>
      <c r="G5657">
        <f t="shared" si="179"/>
        <v>64.38</v>
      </c>
    </row>
    <row r="5658" spans="1:7" ht="12.75" customHeight="1">
      <c r="A5658" s="3">
        <v>5797</v>
      </c>
      <c r="B5658" s="4" t="s">
        <v>5682</v>
      </c>
      <c r="C5658" s="3" t="s">
        <v>154</v>
      </c>
      <c r="D5658" s="5">
        <f t="shared" si="178"/>
        <v>6.04</v>
      </c>
      <c r="E5658">
        <v>6.64</v>
      </c>
      <c r="F5658" s="1789">
        <v>8.8999999999999996E-2</v>
      </c>
      <c r="G5658">
        <f t="shared" si="179"/>
        <v>6.04</v>
      </c>
    </row>
    <row r="5659" spans="1:7" ht="12.75" customHeight="1">
      <c r="A5659" s="3">
        <v>5800</v>
      </c>
      <c r="B5659" s="4" t="s">
        <v>5683</v>
      </c>
      <c r="C5659" s="3" t="s">
        <v>154</v>
      </c>
      <c r="D5659" s="5">
        <f t="shared" si="178"/>
        <v>0.26</v>
      </c>
      <c r="E5659">
        <v>0.28999999999999998</v>
      </c>
      <c r="F5659" s="1789">
        <v>8.8999999999999996E-2</v>
      </c>
      <c r="G5659">
        <f t="shared" si="179"/>
        <v>0.26</v>
      </c>
    </row>
    <row r="5660" spans="1:7" ht="12.75" customHeight="1">
      <c r="A5660" s="3">
        <v>7032</v>
      </c>
      <c r="B5660" s="4" t="s">
        <v>5684</v>
      </c>
      <c r="C5660" s="3" t="s">
        <v>154</v>
      </c>
      <c r="D5660" s="5">
        <f t="shared" si="178"/>
        <v>4.01</v>
      </c>
      <c r="E5660">
        <v>4.41</v>
      </c>
      <c r="F5660" s="1789">
        <v>8.8999999999999996E-2</v>
      </c>
      <c r="G5660">
        <f t="shared" si="179"/>
        <v>4.01</v>
      </c>
    </row>
    <row r="5661" spans="1:7" ht="12.75" customHeight="1">
      <c r="A5661" s="3">
        <v>7033</v>
      </c>
      <c r="B5661" s="4" t="s">
        <v>5685</v>
      </c>
      <c r="C5661" s="3" t="s">
        <v>154</v>
      </c>
      <c r="D5661" s="5">
        <f t="shared" si="178"/>
        <v>1.48</v>
      </c>
      <c r="E5661">
        <v>1.63</v>
      </c>
      <c r="F5661" s="1789">
        <v>8.8999999999999996E-2</v>
      </c>
      <c r="G5661">
        <f t="shared" si="179"/>
        <v>1.48</v>
      </c>
    </row>
    <row r="5662" spans="1:7" ht="12.75" customHeight="1">
      <c r="A5662" s="3">
        <v>7034</v>
      </c>
      <c r="B5662" s="4" t="s">
        <v>5686</v>
      </c>
      <c r="C5662" s="3" t="s">
        <v>154</v>
      </c>
      <c r="D5662" s="5">
        <f t="shared" si="178"/>
        <v>5.35</v>
      </c>
      <c r="E5662">
        <v>5.88</v>
      </c>
      <c r="F5662" s="1789">
        <v>8.8999999999999996E-2</v>
      </c>
      <c r="G5662">
        <f t="shared" si="179"/>
        <v>5.35</v>
      </c>
    </row>
    <row r="5663" spans="1:7" ht="12.75" customHeight="1">
      <c r="A5663" s="3">
        <v>7035</v>
      </c>
      <c r="B5663" s="4" t="s">
        <v>5687</v>
      </c>
      <c r="C5663" s="3" t="s">
        <v>154</v>
      </c>
      <c r="D5663" s="5">
        <f t="shared" si="178"/>
        <v>234.67</v>
      </c>
      <c r="E5663">
        <v>257.60000000000002</v>
      </c>
      <c r="F5663" s="1789">
        <v>8.8999999999999996E-2</v>
      </c>
      <c r="G5663">
        <f t="shared" si="179"/>
        <v>234.67</v>
      </c>
    </row>
    <row r="5664" spans="1:7" ht="12.75" customHeight="1">
      <c r="A5664" s="3">
        <v>7038</v>
      </c>
      <c r="B5664" s="4" t="s">
        <v>5688</v>
      </c>
      <c r="C5664" s="3" t="s">
        <v>154</v>
      </c>
      <c r="D5664" s="5">
        <f t="shared" si="178"/>
        <v>45.14</v>
      </c>
      <c r="E5664">
        <v>49.56</v>
      </c>
      <c r="F5664" s="1789">
        <v>8.8999999999999996E-2</v>
      </c>
      <c r="G5664">
        <f t="shared" si="179"/>
        <v>45.14</v>
      </c>
    </row>
    <row r="5665" spans="1:7" ht="12.75" customHeight="1">
      <c r="A5665" s="3">
        <v>7039</v>
      </c>
      <c r="B5665" s="4" t="s">
        <v>5689</v>
      </c>
      <c r="C5665" s="3" t="s">
        <v>154</v>
      </c>
      <c r="D5665" s="5">
        <f t="shared" si="178"/>
        <v>12.1</v>
      </c>
      <c r="E5665">
        <v>13.29</v>
      </c>
      <c r="F5665" s="1789">
        <v>8.8999999999999996E-2</v>
      </c>
      <c r="G5665">
        <f t="shared" si="179"/>
        <v>12.1</v>
      </c>
    </row>
    <row r="5666" spans="1:7" ht="12.75" customHeight="1">
      <c r="A5666" s="3">
        <v>7040</v>
      </c>
      <c r="B5666" s="4" t="s">
        <v>5690</v>
      </c>
      <c r="C5666" s="3" t="s">
        <v>154</v>
      </c>
      <c r="D5666" s="5">
        <f t="shared" si="178"/>
        <v>56.5</v>
      </c>
      <c r="E5666">
        <v>62.03</v>
      </c>
      <c r="F5666" s="1789">
        <v>8.8999999999999996E-2</v>
      </c>
      <c r="G5666">
        <f t="shared" si="179"/>
        <v>56.5</v>
      </c>
    </row>
    <row r="5667" spans="1:7" ht="12.75" customHeight="1">
      <c r="A5667" s="3">
        <v>7044</v>
      </c>
      <c r="B5667" s="4" t="s">
        <v>5691</v>
      </c>
      <c r="C5667" s="3" t="s">
        <v>154</v>
      </c>
      <c r="D5667" s="5">
        <f t="shared" si="178"/>
        <v>0.23</v>
      </c>
      <c r="E5667">
        <v>0.26</v>
      </c>
      <c r="F5667" s="1789">
        <v>8.8999999999999996E-2</v>
      </c>
      <c r="G5667">
        <f t="shared" si="179"/>
        <v>0.23</v>
      </c>
    </row>
    <row r="5668" spans="1:7" ht="12.75" customHeight="1">
      <c r="A5668" s="3">
        <v>7045</v>
      </c>
      <c r="B5668" s="4" t="s">
        <v>5692</v>
      </c>
      <c r="C5668" s="3" t="s">
        <v>154</v>
      </c>
      <c r="D5668" s="5">
        <f t="shared" si="178"/>
        <v>0.05</v>
      </c>
      <c r="E5668">
        <v>0.06</v>
      </c>
      <c r="F5668" s="1789">
        <v>8.8999999999999996E-2</v>
      </c>
      <c r="G5668">
        <f t="shared" si="179"/>
        <v>0.05</v>
      </c>
    </row>
    <row r="5669" spans="1:7" ht="12.75" customHeight="1">
      <c r="A5669" s="3">
        <v>7046</v>
      </c>
      <c r="B5669" s="4" t="s">
        <v>5693</v>
      </c>
      <c r="C5669" s="3" t="s">
        <v>154</v>
      </c>
      <c r="D5669" s="5">
        <f t="shared" si="178"/>
        <v>0.25</v>
      </c>
      <c r="E5669">
        <v>0.28000000000000003</v>
      </c>
      <c r="F5669" s="1789">
        <v>8.8999999999999996E-2</v>
      </c>
      <c r="G5669">
        <f t="shared" si="179"/>
        <v>0.25</v>
      </c>
    </row>
    <row r="5670" spans="1:7" ht="12.75" customHeight="1">
      <c r="A5670" s="3">
        <v>7047</v>
      </c>
      <c r="B5670" s="4" t="s">
        <v>5694</v>
      </c>
      <c r="C5670" s="3" t="s">
        <v>154</v>
      </c>
      <c r="D5670" s="5">
        <f t="shared" si="178"/>
        <v>22.19</v>
      </c>
      <c r="E5670">
        <v>24.36</v>
      </c>
      <c r="F5670" s="1789">
        <v>8.8999999999999996E-2</v>
      </c>
      <c r="G5670">
        <f t="shared" si="179"/>
        <v>22.19</v>
      </c>
    </row>
    <row r="5671" spans="1:7" ht="12.75" customHeight="1">
      <c r="A5671" s="3">
        <v>7051</v>
      </c>
      <c r="B5671" s="4" t="s">
        <v>5695</v>
      </c>
      <c r="C5671" s="3" t="s">
        <v>154</v>
      </c>
      <c r="D5671" s="5">
        <f t="shared" si="178"/>
        <v>40.04</v>
      </c>
      <c r="E5671">
        <v>43.96</v>
      </c>
      <c r="F5671" s="1789">
        <v>8.8999999999999996E-2</v>
      </c>
      <c r="G5671">
        <f t="shared" si="179"/>
        <v>40.04</v>
      </c>
    </row>
    <row r="5672" spans="1:7" ht="12.75" customHeight="1">
      <c r="A5672" s="3">
        <v>7052</v>
      </c>
      <c r="B5672" s="4" t="s">
        <v>5696</v>
      </c>
      <c r="C5672" s="3" t="s">
        <v>154</v>
      </c>
      <c r="D5672" s="5">
        <f t="shared" si="178"/>
        <v>10.81</v>
      </c>
      <c r="E5672">
        <v>11.87</v>
      </c>
      <c r="F5672" s="1789">
        <v>8.8999999999999996E-2</v>
      </c>
      <c r="G5672">
        <f t="shared" si="179"/>
        <v>10.81</v>
      </c>
    </row>
    <row r="5673" spans="1:7" ht="12.75" customHeight="1">
      <c r="A5673" s="3">
        <v>7053</v>
      </c>
      <c r="B5673" s="4" t="s">
        <v>5697</v>
      </c>
      <c r="C5673" s="3" t="s">
        <v>154</v>
      </c>
      <c r="D5673" s="5">
        <f t="shared" si="178"/>
        <v>50.12</v>
      </c>
      <c r="E5673">
        <v>55.02</v>
      </c>
      <c r="F5673" s="1789">
        <v>8.8999999999999996E-2</v>
      </c>
      <c r="G5673">
        <f t="shared" si="179"/>
        <v>50.12</v>
      </c>
    </row>
    <row r="5674" spans="1:7" ht="12.75" customHeight="1">
      <c r="A5674" s="3">
        <v>7054</v>
      </c>
      <c r="B5674" s="4" t="s">
        <v>5698</v>
      </c>
      <c r="C5674" s="3" t="s">
        <v>154</v>
      </c>
      <c r="D5674" s="5">
        <f t="shared" si="178"/>
        <v>81.680000000000007</v>
      </c>
      <c r="E5674">
        <v>89.66</v>
      </c>
      <c r="F5674" s="1789">
        <v>8.8999999999999996E-2</v>
      </c>
      <c r="G5674">
        <f t="shared" si="179"/>
        <v>81.680000000000007</v>
      </c>
    </row>
    <row r="5675" spans="1:7" ht="12.75" customHeight="1">
      <c r="A5675" s="3">
        <v>7058</v>
      </c>
      <c r="B5675" s="4" t="s">
        <v>5699</v>
      </c>
      <c r="C5675" s="3" t="s">
        <v>154</v>
      </c>
      <c r="D5675" s="5">
        <f t="shared" si="178"/>
        <v>20.87</v>
      </c>
      <c r="E5675">
        <v>22.91</v>
      </c>
      <c r="F5675" s="1789">
        <v>8.8999999999999996E-2</v>
      </c>
      <c r="G5675">
        <f t="shared" si="179"/>
        <v>20.87</v>
      </c>
    </row>
    <row r="5676" spans="1:7" ht="12.75" customHeight="1">
      <c r="A5676" s="3">
        <v>7059</v>
      </c>
      <c r="B5676" s="4" t="s">
        <v>5700</v>
      </c>
      <c r="C5676" s="3" t="s">
        <v>154</v>
      </c>
      <c r="D5676" s="5">
        <f t="shared" si="178"/>
        <v>8.0399999999999991</v>
      </c>
      <c r="E5676">
        <v>8.83</v>
      </c>
      <c r="F5676" s="1789">
        <v>8.8999999999999996E-2</v>
      </c>
      <c r="G5676">
        <f t="shared" si="179"/>
        <v>8.0399999999999991</v>
      </c>
    </row>
    <row r="5677" spans="1:7" ht="12.75" customHeight="1">
      <c r="A5677" s="3">
        <v>7060</v>
      </c>
      <c r="B5677" s="4" t="s">
        <v>5701</v>
      </c>
      <c r="C5677" s="3" t="s">
        <v>154</v>
      </c>
      <c r="D5677" s="5">
        <f t="shared" si="178"/>
        <v>37.64</v>
      </c>
      <c r="E5677">
        <v>41.32</v>
      </c>
      <c r="F5677" s="1789">
        <v>8.8999999999999996E-2</v>
      </c>
      <c r="G5677">
        <f t="shared" si="179"/>
        <v>37.64</v>
      </c>
    </row>
    <row r="5678" spans="1:7" ht="12.75" customHeight="1">
      <c r="A5678" s="3">
        <v>7061</v>
      </c>
      <c r="B5678" s="4" t="s">
        <v>5702</v>
      </c>
      <c r="C5678" s="3" t="s">
        <v>154</v>
      </c>
      <c r="D5678" s="5">
        <f t="shared" si="178"/>
        <v>74.56</v>
      </c>
      <c r="E5678">
        <v>81.849999999999994</v>
      </c>
      <c r="F5678" s="1789">
        <v>8.8999999999999996E-2</v>
      </c>
      <c r="G5678">
        <f t="shared" si="179"/>
        <v>74.56</v>
      </c>
    </row>
    <row r="5679" spans="1:7" ht="12.75" customHeight="1">
      <c r="A5679" s="3">
        <v>7063</v>
      </c>
      <c r="B5679" s="4" t="s">
        <v>5703</v>
      </c>
      <c r="C5679" s="3" t="s">
        <v>154</v>
      </c>
      <c r="D5679" s="5">
        <f t="shared" si="178"/>
        <v>18.22</v>
      </c>
      <c r="E5679">
        <v>20.010000000000002</v>
      </c>
      <c r="F5679" s="1789">
        <v>8.8999999999999996E-2</v>
      </c>
      <c r="G5679">
        <f t="shared" si="179"/>
        <v>18.22</v>
      </c>
    </row>
    <row r="5680" spans="1:7" ht="12.75" customHeight="1">
      <c r="A5680" s="3">
        <v>7064</v>
      </c>
      <c r="B5680" s="4" t="s">
        <v>5704</v>
      </c>
      <c r="C5680" s="3" t="s">
        <v>154</v>
      </c>
      <c r="D5680" s="5">
        <f t="shared" si="178"/>
        <v>4.91</v>
      </c>
      <c r="E5680">
        <v>5.4</v>
      </c>
      <c r="F5680" s="1789">
        <v>8.8999999999999996E-2</v>
      </c>
      <c r="G5680">
        <f t="shared" si="179"/>
        <v>4.91</v>
      </c>
    </row>
    <row r="5681" spans="1:7" ht="12.75" customHeight="1">
      <c r="A5681" s="3">
        <v>7065</v>
      </c>
      <c r="B5681" s="4" t="s">
        <v>5705</v>
      </c>
      <c r="C5681" s="3" t="s">
        <v>154</v>
      </c>
      <c r="D5681" s="5">
        <f t="shared" si="178"/>
        <v>19.940000000000001</v>
      </c>
      <c r="E5681">
        <v>21.89</v>
      </c>
      <c r="F5681" s="1789">
        <v>8.8999999999999996E-2</v>
      </c>
      <c r="G5681">
        <f t="shared" si="179"/>
        <v>19.940000000000001</v>
      </c>
    </row>
    <row r="5682" spans="1:7" ht="12.75" customHeight="1">
      <c r="A5682" s="3">
        <v>7066</v>
      </c>
      <c r="B5682" s="4" t="s">
        <v>5706</v>
      </c>
      <c r="C5682" s="3" t="s">
        <v>154</v>
      </c>
      <c r="D5682" s="5">
        <f t="shared" si="178"/>
        <v>88.47</v>
      </c>
      <c r="E5682">
        <v>97.12</v>
      </c>
      <c r="F5682" s="1789">
        <v>8.8999999999999996E-2</v>
      </c>
      <c r="G5682">
        <f t="shared" si="179"/>
        <v>88.47</v>
      </c>
    </row>
    <row r="5683" spans="1:7" ht="12.75" customHeight="1">
      <c r="A5683" s="3">
        <v>53786</v>
      </c>
      <c r="B5683" s="4" t="s">
        <v>5707</v>
      </c>
      <c r="C5683" s="3" t="s">
        <v>154</v>
      </c>
      <c r="D5683" s="5">
        <f t="shared" si="178"/>
        <v>46.69</v>
      </c>
      <c r="E5683">
        <v>51.26</v>
      </c>
      <c r="F5683" s="1789">
        <v>8.8999999999999996E-2</v>
      </c>
      <c r="G5683">
        <f t="shared" si="179"/>
        <v>46.69</v>
      </c>
    </row>
    <row r="5684" spans="1:7" ht="12.75" customHeight="1">
      <c r="A5684" s="3">
        <v>53788</v>
      </c>
      <c r="B5684" s="4" t="s">
        <v>5708</v>
      </c>
      <c r="C5684" s="3" t="s">
        <v>154</v>
      </c>
      <c r="D5684" s="5">
        <f t="shared" si="178"/>
        <v>52.28</v>
      </c>
      <c r="E5684">
        <v>57.39</v>
      </c>
      <c r="F5684" s="1789">
        <v>8.8999999999999996E-2</v>
      </c>
      <c r="G5684">
        <f t="shared" si="179"/>
        <v>52.28</v>
      </c>
    </row>
    <row r="5685" spans="1:7" ht="12.75" customHeight="1">
      <c r="A5685" s="3">
        <v>53792</v>
      </c>
      <c r="B5685" s="4" t="s">
        <v>5709</v>
      </c>
      <c r="C5685" s="3" t="s">
        <v>154</v>
      </c>
      <c r="D5685" s="5">
        <f t="shared" si="178"/>
        <v>92.68</v>
      </c>
      <c r="E5685">
        <v>101.74</v>
      </c>
      <c r="F5685" s="1789">
        <v>8.8999999999999996E-2</v>
      </c>
      <c r="G5685">
        <f t="shared" si="179"/>
        <v>92.68</v>
      </c>
    </row>
    <row r="5686" spans="1:7" ht="12.75" customHeight="1">
      <c r="A5686" s="3">
        <v>53794</v>
      </c>
      <c r="B5686" s="4" t="s">
        <v>5710</v>
      </c>
      <c r="C5686" s="3" t="s">
        <v>154</v>
      </c>
      <c r="D5686" s="5">
        <f t="shared" si="178"/>
        <v>32.44</v>
      </c>
      <c r="E5686">
        <v>35.619999999999997</v>
      </c>
      <c r="F5686" s="1789">
        <v>8.8999999999999996E-2</v>
      </c>
      <c r="G5686">
        <f t="shared" si="179"/>
        <v>32.44</v>
      </c>
    </row>
    <row r="5687" spans="1:7" ht="12.75" customHeight="1">
      <c r="A5687" s="3">
        <v>53797</v>
      </c>
      <c r="B5687" s="4" t="s">
        <v>5711</v>
      </c>
      <c r="C5687" s="3" t="s">
        <v>154</v>
      </c>
      <c r="D5687" s="5">
        <f t="shared" si="178"/>
        <v>106.59</v>
      </c>
      <c r="E5687">
        <v>117.01</v>
      </c>
      <c r="F5687" s="1789">
        <v>8.8999999999999996E-2</v>
      </c>
      <c r="G5687">
        <f t="shared" si="179"/>
        <v>106.59</v>
      </c>
    </row>
    <row r="5688" spans="1:7" ht="12.75" customHeight="1">
      <c r="A5688" s="3">
        <v>53804</v>
      </c>
      <c r="B5688" s="4" t="s">
        <v>5712</v>
      </c>
      <c r="C5688" s="3" t="s">
        <v>154</v>
      </c>
      <c r="D5688" s="5">
        <f t="shared" si="178"/>
        <v>4.21</v>
      </c>
      <c r="E5688">
        <v>4.63</v>
      </c>
      <c r="F5688" s="1789">
        <v>8.8999999999999996E-2</v>
      </c>
      <c r="G5688">
        <f t="shared" si="179"/>
        <v>4.21</v>
      </c>
    </row>
    <row r="5689" spans="1:7" ht="12.75" customHeight="1">
      <c r="A5689" s="3">
        <v>53806</v>
      </c>
      <c r="B5689" s="4" t="s">
        <v>5713</v>
      </c>
      <c r="C5689" s="3" t="s">
        <v>154</v>
      </c>
      <c r="D5689" s="5">
        <f t="shared" si="178"/>
        <v>65.94</v>
      </c>
      <c r="E5689">
        <v>72.39</v>
      </c>
      <c r="F5689" s="1789">
        <v>8.8999999999999996E-2</v>
      </c>
      <c r="G5689">
        <f t="shared" si="179"/>
        <v>65.94</v>
      </c>
    </row>
    <row r="5690" spans="1:7" ht="12.75" customHeight="1">
      <c r="A5690" s="3">
        <v>53810</v>
      </c>
      <c r="B5690" s="4" t="s">
        <v>5714</v>
      </c>
      <c r="C5690" s="3" t="s">
        <v>154</v>
      </c>
      <c r="D5690" s="5">
        <f t="shared" si="178"/>
        <v>66.34</v>
      </c>
      <c r="E5690">
        <v>72.83</v>
      </c>
      <c r="F5690" s="1789">
        <v>8.8999999999999996E-2</v>
      </c>
      <c r="G5690">
        <f t="shared" si="179"/>
        <v>66.34</v>
      </c>
    </row>
    <row r="5691" spans="1:7" ht="12.75" customHeight="1">
      <c r="A5691" s="3">
        <v>53814</v>
      </c>
      <c r="B5691" s="4" t="s">
        <v>5715</v>
      </c>
      <c r="C5691" s="3" t="s">
        <v>154</v>
      </c>
      <c r="D5691" s="5">
        <f t="shared" si="178"/>
        <v>217.33</v>
      </c>
      <c r="E5691">
        <v>238.57</v>
      </c>
      <c r="F5691" s="1789">
        <v>8.8999999999999996E-2</v>
      </c>
      <c r="G5691">
        <f t="shared" si="179"/>
        <v>217.33</v>
      </c>
    </row>
    <row r="5692" spans="1:7" ht="12.75" customHeight="1">
      <c r="A5692" s="3">
        <v>53817</v>
      </c>
      <c r="B5692" s="4" t="s">
        <v>5716</v>
      </c>
      <c r="C5692" s="3" t="s">
        <v>154</v>
      </c>
      <c r="D5692" s="5">
        <f t="shared" si="178"/>
        <v>57.15</v>
      </c>
      <c r="E5692">
        <v>62.74</v>
      </c>
      <c r="F5692" s="1789">
        <v>8.8999999999999996E-2</v>
      </c>
      <c r="G5692">
        <f t="shared" si="179"/>
        <v>57.15</v>
      </c>
    </row>
    <row r="5693" spans="1:7" ht="12.75" customHeight="1">
      <c r="A5693" s="3">
        <v>53818</v>
      </c>
      <c r="B5693" s="4" t="s">
        <v>5717</v>
      </c>
      <c r="C5693" s="3" t="s">
        <v>154</v>
      </c>
      <c r="D5693" s="5">
        <f t="shared" si="178"/>
        <v>8.7100000000000009</v>
      </c>
      <c r="E5693">
        <v>9.57</v>
      </c>
      <c r="F5693" s="1789">
        <v>8.8999999999999996E-2</v>
      </c>
      <c r="G5693">
        <f t="shared" si="179"/>
        <v>8.7100000000000009</v>
      </c>
    </row>
    <row r="5694" spans="1:7" ht="12.75" customHeight="1">
      <c r="A5694" s="3">
        <v>53827</v>
      </c>
      <c r="B5694" s="4" t="s">
        <v>5718</v>
      </c>
      <c r="C5694" s="3" t="s">
        <v>154</v>
      </c>
      <c r="D5694" s="5">
        <f t="shared" si="178"/>
        <v>104.35</v>
      </c>
      <c r="E5694">
        <v>114.55</v>
      </c>
      <c r="F5694" s="1789">
        <v>8.8999999999999996E-2</v>
      </c>
      <c r="G5694">
        <f t="shared" si="179"/>
        <v>104.35</v>
      </c>
    </row>
    <row r="5695" spans="1:7" ht="12.75" customHeight="1">
      <c r="A5695" s="3">
        <v>53829</v>
      </c>
      <c r="B5695" s="4" t="s">
        <v>5719</v>
      </c>
      <c r="C5695" s="3" t="s">
        <v>154</v>
      </c>
      <c r="D5695" s="5">
        <f t="shared" si="178"/>
        <v>106.59</v>
      </c>
      <c r="E5695">
        <v>117.01</v>
      </c>
      <c r="F5695" s="1789">
        <v>8.8999999999999996E-2</v>
      </c>
      <c r="G5695">
        <f t="shared" si="179"/>
        <v>106.59</v>
      </c>
    </row>
    <row r="5696" spans="1:7" ht="12.75" customHeight="1">
      <c r="A5696" s="3">
        <v>53831</v>
      </c>
      <c r="B5696" s="4" t="s">
        <v>5720</v>
      </c>
      <c r="C5696" s="3" t="s">
        <v>154</v>
      </c>
      <c r="D5696" s="5">
        <f t="shared" si="178"/>
        <v>176.07</v>
      </c>
      <c r="E5696">
        <v>193.28</v>
      </c>
      <c r="F5696" s="1789">
        <v>8.8999999999999996E-2</v>
      </c>
      <c r="G5696">
        <f t="shared" si="179"/>
        <v>176.07</v>
      </c>
    </row>
    <row r="5697" spans="1:7" ht="12.75" customHeight="1">
      <c r="A5697" s="3">
        <v>53840</v>
      </c>
      <c r="B5697" s="4" t="s">
        <v>5721</v>
      </c>
      <c r="C5697" s="3" t="s">
        <v>154</v>
      </c>
      <c r="D5697" s="5">
        <f t="shared" si="178"/>
        <v>2.2799999999999998</v>
      </c>
      <c r="E5697">
        <v>2.5099999999999998</v>
      </c>
      <c r="F5697" s="1789">
        <v>8.8999999999999996E-2</v>
      </c>
      <c r="G5697">
        <f t="shared" si="179"/>
        <v>2.2799999999999998</v>
      </c>
    </row>
    <row r="5698" spans="1:7" ht="12.75" customHeight="1">
      <c r="A5698" s="3">
        <v>53841</v>
      </c>
      <c r="B5698" s="4" t="s">
        <v>5722</v>
      </c>
      <c r="C5698" s="3" t="s">
        <v>154</v>
      </c>
      <c r="D5698" s="5">
        <f t="shared" si="178"/>
        <v>1.58</v>
      </c>
      <c r="E5698">
        <v>1.74</v>
      </c>
      <c r="F5698" s="1789">
        <v>8.8999999999999996E-2</v>
      </c>
      <c r="G5698">
        <f t="shared" si="179"/>
        <v>1.58</v>
      </c>
    </row>
    <row r="5699" spans="1:7" ht="12.75" customHeight="1">
      <c r="A5699" s="3">
        <v>53849</v>
      </c>
      <c r="B5699" s="4" t="s">
        <v>5723</v>
      </c>
      <c r="C5699" s="3" t="s">
        <v>154</v>
      </c>
      <c r="D5699" s="5">
        <f t="shared" si="178"/>
        <v>76.58</v>
      </c>
      <c r="E5699">
        <v>84.07</v>
      </c>
      <c r="F5699" s="1789">
        <v>8.8999999999999996E-2</v>
      </c>
      <c r="G5699">
        <f t="shared" si="179"/>
        <v>76.58</v>
      </c>
    </row>
    <row r="5700" spans="1:7" ht="12.75" customHeight="1">
      <c r="A5700" s="3">
        <v>53857</v>
      </c>
      <c r="B5700" s="4" t="s">
        <v>5724</v>
      </c>
      <c r="C5700" s="3" t="s">
        <v>154</v>
      </c>
      <c r="D5700" s="5">
        <f t="shared" si="178"/>
        <v>55.79</v>
      </c>
      <c r="E5700">
        <v>61.25</v>
      </c>
      <c r="F5700" s="1789">
        <v>8.8999999999999996E-2</v>
      </c>
      <c r="G5700">
        <f t="shared" si="179"/>
        <v>55.79</v>
      </c>
    </row>
    <row r="5701" spans="1:7" ht="12.75" customHeight="1">
      <c r="A5701" s="3">
        <v>53858</v>
      </c>
      <c r="B5701" s="4" t="s">
        <v>5725</v>
      </c>
      <c r="C5701" s="3" t="s">
        <v>154</v>
      </c>
      <c r="D5701" s="5">
        <f t="shared" si="178"/>
        <v>41.82</v>
      </c>
      <c r="E5701">
        <v>45.91</v>
      </c>
      <c r="F5701" s="1789">
        <v>8.8999999999999996E-2</v>
      </c>
      <c r="G5701">
        <f t="shared" si="179"/>
        <v>41.82</v>
      </c>
    </row>
    <row r="5702" spans="1:7" ht="12.75" customHeight="1">
      <c r="A5702" s="3">
        <v>53861</v>
      </c>
      <c r="B5702" s="4" t="s">
        <v>5726</v>
      </c>
      <c r="C5702" s="3" t="s">
        <v>154</v>
      </c>
      <c r="D5702" s="5">
        <f t="shared" si="178"/>
        <v>54.15</v>
      </c>
      <c r="E5702">
        <v>59.45</v>
      </c>
      <c r="F5702" s="1789">
        <v>8.8999999999999996E-2</v>
      </c>
      <c r="G5702">
        <f t="shared" si="179"/>
        <v>54.15</v>
      </c>
    </row>
    <row r="5703" spans="1:7" ht="12.75" customHeight="1">
      <c r="A5703" s="3">
        <v>53863</v>
      </c>
      <c r="B5703" s="4" t="s">
        <v>5727</v>
      </c>
      <c r="C5703" s="3" t="s">
        <v>154</v>
      </c>
      <c r="D5703" s="5">
        <f t="shared" si="178"/>
        <v>2.06</v>
      </c>
      <c r="E5703">
        <v>2.27</v>
      </c>
      <c r="F5703" s="1789">
        <v>8.8999999999999996E-2</v>
      </c>
      <c r="G5703">
        <f t="shared" si="179"/>
        <v>2.06</v>
      </c>
    </row>
    <row r="5704" spans="1:7" ht="12.75" customHeight="1">
      <c r="A5704" s="3">
        <v>53865</v>
      </c>
      <c r="B5704" s="4" t="s">
        <v>5728</v>
      </c>
      <c r="C5704" s="3" t="s">
        <v>154</v>
      </c>
      <c r="D5704" s="5">
        <f t="shared" si="178"/>
        <v>43.13</v>
      </c>
      <c r="E5704">
        <v>47.35</v>
      </c>
      <c r="F5704" s="1789">
        <v>8.8999999999999996E-2</v>
      </c>
      <c r="G5704">
        <f t="shared" si="179"/>
        <v>43.13</v>
      </c>
    </row>
    <row r="5705" spans="1:7" ht="12.75" customHeight="1">
      <c r="A5705" s="3">
        <v>53866</v>
      </c>
      <c r="B5705" s="4" t="s">
        <v>5729</v>
      </c>
      <c r="C5705" s="3" t="s">
        <v>154</v>
      </c>
      <c r="D5705" s="5">
        <f t="shared" si="178"/>
        <v>1.77</v>
      </c>
      <c r="E5705">
        <v>1.95</v>
      </c>
      <c r="F5705" s="1789">
        <v>8.8999999999999996E-2</v>
      </c>
      <c r="G5705">
        <f t="shared" si="179"/>
        <v>1.77</v>
      </c>
    </row>
    <row r="5706" spans="1:7" ht="12.75" customHeight="1">
      <c r="A5706" s="3">
        <v>53882</v>
      </c>
      <c r="B5706" s="4" t="s">
        <v>5730</v>
      </c>
      <c r="C5706" s="3" t="s">
        <v>154</v>
      </c>
      <c r="D5706" s="5">
        <f t="shared" si="178"/>
        <v>33.590000000000003</v>
      </c>
      <c r="E5706">
        <v>36.880000000000003</v>
      </c>
      <c r="F5706" s="1789">
        <v>8.8999999999999996E-2</v>
      </c>
      <c r="G5706">
        <f t="shared" si="179"/>
        <v>33.590000000000003</v>
      </c>
    </row>
    <row r="5707" spans="1:7" ht="12.75" customHeight="1">
      <c r="A5707" s="3">
        <v>55263</v>
      </c>
      <c r="B5707" s="4" t="s">
        <v>5731</v>
      </c>
      <c r="C5707" s="3" t="s">
        <v>154</v>
      </c>
      <c r="D5707" s="5">
        <f t="shared" si="178"/>
        <v>58.95</v>
      </c>
      <c r="E5707">
        <v>64.72</v>
      </c>
      <c r="F5707" s="1789">
        <v>8.8999999999999996E-2</v>
      </c>
      <c r="G5707">
        <f t="shared" si="179"/>
        <v>58.95</v>
      </c>
    </row>
    <row r="5708" spans="1:7" ht="12.75" customHeight="1">
      <c r="A5708" s="3">
        <v>73303</v>
      </c>
      <c r="B5708" s="4" t="s">
        <v>5732</v>
      </c>
      <c r="C5708" s="3" t="s">
        <v>154</v>
      </c>
      <c r="D5708" s="5">
        <f t="shared" si="178"/>
        <v>6.51</v>
      </c>
      <c r="E5708">
        <v>7.15</v>
      </c>
      <c r="F5708" s="1789">
        <v>8.8999999999999996E-2</v>
      </c>
      <c r="G5708">
        <f t="shared" si="179"/>
        <v>6.51</v>
      </c>
    </row>
    <row r="5709" spans="1:7" ht="12.75" customHeight="1">
      <c r="A5709" s="3">
        <v>73307</v>
      </c>
      <c r="B5709" s="4" t="s">
        <v>5733</v>
      </c>
      <c r="C5709" s="3" t="s">
        <v>154</v>
      </c>
      <c r="D5709" s="5">
        <f t="shared" si="178"/>
        <v>5.81</v>
      </c>
      <c r="E5709">
        <v>6.38</v>
      </c>
      <c r="F5709" s="1789">
        <v>8.8999999999999996E-2</v>
      </c>
      <c r="G5709">
        <f t="shared" si="179"/>
        <v>5.81</v>
      </c>
    </row>
    <row r="5710" spans="1:7" ht="12.75" customHeight="1">
      <c r="A5710" s="3">
        <v>73309</v>
      </c>
      <c r="B5710" s="4" t="s">
        <v>5734</v>
      </c>
      <c r="C5710" s="3" t="s">
        <v>154</v>
      </c>
      <c r="D5710" s="5">
        <f t="shared" si="178"/>
        <v>30.03</v>
      </c>
      <c r="E5710">
        <v>32.97</v>
      </c>
      <c r="F5710" s="1789">
        <v>8.8999999999999996E-2</v>
      </c>
      <c r="G5710">
        <f t="shared" si="179"/>
        <v>30.03</v>
      </c>
    </row>
    <row r="5711" spans="1:7" ht="12.75" customHeight="1">
      <c r="A5711" s="3">
        <v>73311</v>
      </c>
      <c r="B5711" s="4" t="s">
        <v>5735</v>
      </c>
      <c r="C5711" s="3" t="s">
        <v>154</v>
      </c>
      <c r="D5711" s="5">
        <f t="shared" si="178"/>
        <v>162.97999999999999</v>
      </c>
      <c r="E5711">
        <v>178.91</v>
      </c>
      <c r="F5711" s="1789">
        <v>8.8999999999999996E-2</v>
      </c>
      <c r="G5711">
        <f t="shared" si="179"/>
        <v>162.97999999999999</v>
      </c>
    </row>
    <row r="5712" spans="1:7" ht="12.75" customHeight="1">
      <c r="A5712" s="3">
        <v>73313</v>
      </c>
      <c r="B5712" s="4" t="s">
        <v>5736</v>
      </c>
      <c r="C5712" s="3" t="s">
        <v>154</v>
      </c>
      <c r="D5712" s="5">
        <f t="shared" si="178"/>
        <v>8.1</v>
      </c>
      <c r="E5712">
        <v>8.9</v>
      </c>
      <c r="F5712" s="1789">
        <v>8.8999999999999996E-2</v>
      </c>
      <c r="G5712">
        <f t="shared" si="179"/>
        <v>8.1</v>
      </c>
    </row>
    <row r="5713" spans="1:7" ht="12.75" customHeight="1">
      <c r="A5713" s="3">
        <v>73315</v>
      </c>
      <c r="B5713" s="4" t="s">
        <v>5737</v>
      </c>
      <c r="C5713" s="3" t="s">
        <v>154</v>
      </c>
      <c r="D5713" s="5">
        <f t="shared" si="178"/>
        <v>52.28</v>
      </c>
      <c r="E5713">
        <v>57.39</v>
      </c>
      <c r="F5713" s="1789">
        <v>8.8999999999999996E-2</v>
      </c>
      <c r="G5713">
        <f t="shared" si="179"/>
        <v>52.28</v>
      </c>
    </row>
    <row r="5714" spans="1:7" ht="12.75" customHeight="1">
      <c r="A5714" s="3">
        <v>73335</v>
      </c>
      <c r="B5714" s="4" t="s">
        <v>5738</v>
      </c>
      <c r="C5714" s="3" t="s">
        <v>154</v>
      </c>
      <c r="D5714" s="5">
        <f t="shared" si="178"/>
        <v>31.93</v>
      </c>
      <c r="E5714">
        <v>35.06</v>
      </c>
      <c r="F5714" s="1789">
        <v>8.8999999999999996E-2</v>
      </c>
      <c r="G5714">
        <f t="shared" si="179"/>
        <v>31.93</v>
      </c>
    </row>
    <row r="5715" spans="1:7" ht="12.75" customHeight="1">
      <c r="A5715" s="3">
        <v>73340</v>
      </c>
      <c r="B5715" s="4" t="s">
        <v>5739</v>
      </c>
      <c r="C5715" s="3" t="s">
        <v>154</v>
      </c>
      <c r="D5715" s="5">
        <f t="shared" si="178"/>
        <v>141.63</v>
      </c>
      <c r="E5715">
        <v>155.47</v>
      </c>
      <c r="F5715" s="1789">
        <v>8.8999999999999996E-2</v>
      </c>
      <c r="G5715">
        <f t="shared" si="179"/>
        <v>141.63</v>
      </c>
    </row>
    <row r="5716" spans="1:7" ht="12.75" customHeight="1">
      <c r="A5716" s="3">
        <v>83361</v>
      </c>
      <c r="B5716" s="4" t="s">
        <v>5740</v>
      </c>
      <c r="C5716" s="3" t="s">
        <v>154</v>
      </c>
      <c r="D5716" s="5">
        <f t="shared" si="178"/>
        <v>38.99</v>
      </c>
      <c r="E5716">
        <v>42.81</v>
      </c>
      <c r="F5716" s="1789">
        <v>8.8999999999999996E-2</v>
      </c>
      <c r="G5716">
        <f t="shared" si="179"/>
        <v>38.99</v>
      </c>
    </row>
    <row r="5717" spans="1:7" ht="12.75" customHeight="1">
      <c r="A5717" s="3">
        <v>83761</v>
      </c>
      <c r="B5717" s="4" t="s">
        <v>5741</v>
      </c>
      <c r="C5717" s="3" t="s">
        <v>154</v>
      </c>
      <c r="D5717" s="5">
        <f t="shared" ref="D5717:D5780" si="180">G5717</f>
        <v>8.67</v>
      </c>
      <c r="E5717">
        <v>9.52</v>
      </c>
      <c r="F5717" s="1789">
        <v>8.8999999999999996E-2</v>
      </c>
      <c r="G5717">
        <f t="shared" ref="G5717:G5780" si="181">TRUNC((1-F5717)*E5717,2)</f>
        <v>8.67</v>
      </c>
    </row>
    <row r="5718" spans="1:7" ht="12.75" customHeight="1">
      <c r="A5718" s="3">
        <v>83762</v>
      </c>
      <c r="B5718" s="4" t="s">
        <v>5742</v>
      </c>
      <c r="C5718" s="3" t="s">
        <v>154</v>
      </c>
      <c r="D5718" s="5">
        <f t="shared" si="180"/>
        <v>7.74</v>
      </c>
      <c r="E5718">
        <v>8.5</v>
      </c>
      <c r="F5718" s="1789">
        <v>8.8999999999999996E-2</v>
      </c>
      <c r="G5718">
        <f t="shared" si="181"/>
        <v>7.74</v>
      </c>
    </row>
    <row r="5719" spans="1:7" ht="12.75" customHeight="1">
      <c r="A5719" s="3">
        <v>83763</v>
      </c>
      <c r="B5719" s="4" t="s">
        <v>5743</v>
      </c>
      <c r="C5719" s="3" t="s">
        <v>154</v>
      </c>
      <c r="D5719" s="5">
        <f t="shared" si="180"/>
        <v>45.93</v>
      </c>
      <c r="E5719">
        <v>50.42</v>
      </c>
      <c r="F5719" s="1789">
        <v>8.8999999999999996E-2</v>
      </c>
      <c r="G5719">
        <f t="shared" si="181"/>
        <v>45.93</v>
      </c>
    </row>
    <row r="5720" spans="1:7" ht="12.75" customHeight="1">
      <c r="A5720" s="3">
        <v>83764</v>
      </c>
      <c r="B5720" s="4" t="s">
        <v>5744</v>
      </c>
      <c r="C5720" s="3" t="s">
        <v>154</v>
      </c>
      <c r="D5720" s="5">
        <f t="shared" si="180"/>
        <v>3.05</v>
      </c>
      <c r="E5720">
        <v>3.35</v>
      </c>
      <c r="F5720" s="1789">
        <v>8.8999999999999996E-2</v>
      </c>
      <c r="G5720">
        <f t="shared" si="181"/>
        <v>3.05</v>
      </c>
    </row>
    <row r="5721" spans="1:7" ht="12.75" customHeight="1">
      <c r="A5721" s="3">
        <v>87026</v>
      </c>
      <c r="B5721" s="4" t="s">
        <v>5745</v>
      </c>
      <c r="C5721" s="3" t="s">
        <v>154</v>
      </c>
      <c r="D5721" s="5">
        <f t="shared" si="180"/>
        <v>0.62</v>
      </c>
      <c r="E5721">
        <v>0.69</v>
      </c>
      <c r="F5721" s="1789">
        <v>8.8999999999999996E-2</v>
      </c>
      <c r="G5721">
        <f t="shared" si="181"/>
        <v>0.62</v>
      </c>
    </row>
    <row r="5722" spans="1:7" ht="12.75" customHeight="1">
      <c r="A5722" s="3">
        <v>87441</v>
      </c>
      <c r="B5722" s="4" t="s">
        <v>5746</v>
      </c>
      <c r="C5722" s="3" t="s">
        <v>154</v>
      </c>
      <c r="D5722" s="5">
        <f t="shared" si="180"/>
        <v>0.38</v>
      </c>
      <c r="E5722">
        <v>0.42</v>
      </c>
      <c r="F5722" s="1789">
        <v>8.8999999999999996E-2</v>
      </c>
      <c r="G5722">
        <f t="shared" si="181"/>
        <v>0.38</v>
      </c>
    </row>
    <row r="5723" spans="1:7" ht="12.75" customHeight="1">
      <c r="A5723" s="3">
        <v>87442</v>
      </c>
      <c r="B5723" s="4" t="s">
        <v>5747</v>
      </c>
      <c r="C5723" s="3" t="s">
        <v>154</v>
      </c>
      <c r="D5723" s="5">
        <f t="shared" si="180"/>
        <v>0.09</v>
      </c>
      <c r="E5723">
        <v>0.1</v>
      </c>
      <c r="F5723" s="1789">
        <v>8.8999999999999996E-2</v>
      </c>
      <c r="G5723">
        <f t="shared" si="181"/>
        <v>0.09</v>
      </c>
    </row>
    <row r="5724" spans="1:7" ht="12.75" customHeight="1">
      <c r="A5724" s="3">
        <v>87443</v>
      </c>
      <c r="B5724" s="4" t="s">
        <v>5748</v>
      </c>
      <c r="C5724" s="3" t="s">
        <v>154</v>
      </c>
      <c r="D5724" s="5">
        <f t="shared" si="180"/>
        <v>0.51</v>
      </c>
      <c r="E5724">
        <v>0.56000000000000005</v>
      </c>
      <c r="F5724" s="1789">
        <v>8.8999999999999996E-2</v>
      </c>
      <c r="G5724">
        <f t="shared" si="181"/>
        <v>0.51</v>
      </c>
    </row>
    <row r="5725" spans="1:7" ht="12.75" customHeight="1">
      <c r="A5725" s="3">
        <v>87444</v>
      </c>
      <c r="B5725" s="4" t="s">
        <v>5749</v>
      </c>
      <c r="C5725" s="3" t="s">
        <v>154</v>
      </c>
      <c r="D5725" s="5">
        <f t="shared" si="180"/>
        <v>3.87</v>
      </c>
      <c r="E5725">
        <v>4.25</v>
      </c>
      <c r="F5725" s="1789">
        <v>8.8999999999999996E-2</v>
      </c>
      <c r="G5725">
        <f t="shared" si="181"/>
        <v>3.87</v>
      </c>
    </row>
    <row r="5726" spans="1:7" ht="12.75" customHeight="1">
      <c r="A5726" s="3">
        <v>88387</v>
      </c>
      <c r="B5726" s="4" t="s">
        <v>5750</v>
      </c>
      <c r="C5726" s="3" t="s">
        <v>154</v>
      </c>
      <c r="D5726" s="5">
        <f t="shared" si="180"/>
        <v>0.74</v>
      </c>
      <c r="E5726">
        <v>0.82</v>
      </c>
      <c r="F5726" s="1789">
        <v>8.8999999999999996E-2</v>
      </c>
      <c r="G5726">
        <f t="shared" si="181"/>
        <v>0.74</v>
      </c>
    </row>
    <row r="5727" spans="1:7" ht="12.75" customHeight="1">
      <c r="A5727" s="3">
        <v>88389</v>
      </c>
      <c r="B5727" s="4" t="s">
        <v>5751</v>
      </c>
      <c r="C5727" s="3" t="s">
        <v>154</v>
      </c>
      <c r="D5727" s="5">
        <f t="shared" si="180"/>
        <v>0.18</v>
      </c>
      <c r="E5727">
        <v>0.2</v>
      </c>
      <c r="F5727" s="1789">
        <v>8.8999999999999996E-2</v>
      </c>
      <c r="G5727">
        <f t="shared" si="181"/>
        <v>0.18</v>
      </c>
    </row>
    <row r="5728" spans="1:7" ht="12.75" customHeight="1">
      <c r="A5728" s="3">
        <v>88390</v>
      </c>
      <c r="B5728" s="4" t="s">
        <v>5752</v>
      </c>
      <c r="C5728" s="3" t="s">
        <v>154</v>
      </c>
      <c r="D5728" s="5">
        <f t="shared" si="180"/>
        <v>0.87</v>
      </c>
      <c r="E5728">
        <v>0.96</v>
      </c>
      <c r="F5728" s="1789">
        <v>8.8999999999999996E-2</v>
      </c>
      <c r="G5728">
        <f t="shared" si="181"/>
        <v>0.87</v>
      </c>
    </row>
    <row r="5729" spans="1:7" ht="12.75" customHeight="1">
      <c r="A5729" s="3">
        <v>88391</v>
      </c>
      <c r="B5729" s="4" t="s">
        <v>5753</v>
      </c>
      <c r="C5729" s="3" t="s">
        <v>154</v>
      </c>
      <c r="D5729" s="5">
        <f t="shared" si="180"/>
        <v>2.9</v>
      </c>
      <c r="E5729">
        <v>3.19</v>
      </c>
      <c r="F5729" s="1789">
        <v>8.8999999999999996E-2</v>
      </c>
      <c r="G5729">
        <f t="shared" si="181"/>
        <v>2.9</v>
      </c>
    </row>
    <row r="5730" spans="1:7" ht="12.75" customHeight="1">
      <c r="A5730" s="3">
        <v>88394</v>
      </c>
      <c r="B5730" s="4" t="s">
        <v>5754</v>
      </c>
      <c r="C5730" s="3" t="s">
        <v>154</v>
      </c>
      <c r="D5730" s="5">
        <f t="shared" si="180"/>
        <v>0.89</v>
      </c>
      <c r="E5730">
        <v>0.98</v>
      </c>
      <c r="F5730" s="1789">
        <v>8.8999999999999996E-2</v>
      </c>
      <c r="G5730">
        <f t="shared" si="181"/>
        <v>0.89</v>
      </c>
    </row>
    <row r="5731" spans="1:7" ht="12.75" customHeight="1">
      <c r="A5731" s="3">
        <v>88395</v>
      </c>
      <c r="B5731" s="4" t="s">
        <v>5755</v>
      </c>
      <c r="C5731" s="3" t="s">
        <v>154</v>
      </c>
      <c r="D5731" s="5">
        <f t="shared" si="180"/>
        <v>0.21</v>
      </c>
      <c r="E5731">
        <v>0.24</v>
      </c>
      <c r="F5731" s="1789">
        <v>8.8999999999999996E-2</v>
      </c>
      <c r="G5731">
        <f t="shared" si="181"/>
        <v>0.21</v>
      </c>
    </row>
    <row r="5732" spans="1:7" ht="12.75" customHeight="1">
      <c r="A5732" s="3">
        <v>88396</v>
      </c>
      <c r="B5732" s="4" t="s">
        <v>5756</v>
      </c>
      <c r="C5732" s="3" t="s">
        <v>154</v>
      </c>
      <c r="D5732" s="5">
        <f t="shared" si="180"/>
        <v>1.03</v>
      </c>
      <c r="E5732">
        <v>1.1399999999999999</v>
      </c>
      <c r="F5732" s="1789">
        <v>8.8999999999999996E-2</v>
      </c>
      <c r="G5732">
        <f t="shared" si="181"/>
        <v>1.03</v>
      </c>
    </row>
    <row r="5733" spans="1:7" ht="12.75" customHeight="1">
      <c r="A5733" s="3">
        <v>88397</v>
      </c>
      <c r="B5733" s="4" t="s">
        <v>5757</v>
      </c>
      <c r="C5733" s="3" t="s">
        <v>154</v>
      </c>
      <c r="D5733" s="5">
        <f t="shared" si="180"/>
        <v>4.3499999999999996</v>
      </c>
      <c r="E5733">
        <v>4.78</v>
      </c>
      <c r="F5733" s="1789">
        <v>8.8999999999999996E-2</v>
      </c>
      <c r="G5733">
        <f t="shared" si="181"/>
        <v>4.3499999999999996</v>
      </c>
    </row>
    <row r="5734" spans="1:7" ht="12.75" customHeight="1">
      <c r="A5734" s="3">
        <v>88400</v>
      </c>
      <c r="B5734" s="4" t="s">
        <v>5758</v>
      </c>
      <c r="C5734" s="3" t="s">
        <v>154</v>
      </c>
      <c r="D5734" s="5">
        <f t="shared" si="180"/>
        <v>0.71</v>
      </c>
      <c r="E5734">
        <v>0.78</v>
      </c>
      <c r="F5734" s="1789">
        <v>8.8999999999999996E-2</v>
      </c>
      <c r="G5734">
        <f t="shared" si="181"/>
        <v>0.71</v>
      </c>
    </row>
    <row r="5735" spans="1:7" ht="12.75" customHeight="1">
      <c r="A5735" s="3">
        <v>88401</v>
      </c>
      <c r="B5735" s="4" t="s">
        <v>5759</v>
      </c>
      <c r="C5735" s="3" t="s">
        <v>154</v>
      </c>
      <c r="D5735" s="5">
        <f t="shared" si="180"/>
        <v>0.17</v>
      </c>
      <c r="E5735">
        <v>0.19</v>
      </c>
      <c r="F5735" s="1789">
        <v>8.8999999999999996E-2</v>
      </c>
      <c r="G5735">
        <f t="shared" si="181"/>
        <v>0.17</v>
      </c>
    </row>
    <row r="5736" spans="1:7" ht="12.75" customHeight="1">
      <c r="A5736" s="3">
        <v>88402</v>
      </c>
      <c r="B5736" s="4" t="s">
        <v>5760</v>
      </c>
      <c r="C5736" s="3" t="s">
        <v>154</v>
      </c>
      <c r="D5736" s="5">
        <f t="shared" si="180"/>
        <v>0.82</v>
      </c>
      <c r="E5736">
        <v>0.91</v>
      </c>
      <c r="F5736" s="1789">
        <v>8.8999999999999996E-2</v>
      </c>
      <c r="G5736">
        <f t="shared" si="181"/>
        <v>0.82</v>
      </c>
    </row>
    <row r="5737" spans="1:7" ht="12.75" customHeight="1">
      <c r="A5737" s="3">
        <v>88403</v>
      </c>
      <c r="B5737" s="4" t="s">
        <v>5761</v>
      </c>
      <c r="C5737" s="3" t="s">
        <v>154</v>
      </c>
      <c r="D5737" s="5">
        <f t="shared" si="180"/>
        <v>1.74</v>
      </c>
      <c r="E5737">
        <v>1.91</v>
      </c>
      <c r="F5737" s="1789">
        <v>8.8999999999999996E-2</v>
      </c>
      <c r="G5737">
        <f t="shared" si="181"/>
        <v>1.74</v>
      </c>
    </row>
    <row r="5738" spans="1:7" ht="12.75" customHeight="1">
      <c r="A5738" s="3">
        <v>88419</v>
      </c>
      <c r="B5738" s="4" t="s">
        <v>5762</v>
      </c>
      <c r="C5738" s="3" t="s">
        <v>154</v>
      </c>
      <c r="D5738" s="5">
        <f t="shared" si="180"/>
        <v>4.93</v>
      </c>
      <c r="E5738">
        <v>5.42</v>
      </c>
      <c r="F5738" s="1789">
        <v>8.8999999999999996E-2</v>
      </c>
      <c r="G5738">
        <f t="shared" si="181"/>
        <v>4.93</v>
      </c>
    </row>
    <row r="5739" spans="1:7" ht="12.75" customHeight="1">
      <c r="A5739" s="3">
        <v>88422</v>
      </c>
      <c r="B5739" s="4" t="s">
        <v>5763</v>
      </c>
      <c r="C5739" s="3" t="s">
        <v>154</v>
      </c>
      <c r="D5739" s="5">
        <f t="shared" si="180"/>
        <v>1.1299999999999999</v>
      </c>
      <c r="E5739">
        <v>1.25</v>
      </c>
      <c r="F5739" s="1789">
        <v>8.8999999999999996E-2</v>
      </c>
      <c r="G5739">
        <f t="shared" si="181"/>
        <v>1.1299999999999999</v>
      </c>
    </row>
    <row r="5740" spans="1:7" ht="12.75" customHeight="1">
      <c r="A5740" s="3">
        <v>88425</v>
      </c>
      <c r="B5740" s="4" t="s">
        <v>5764</v>
      </c>
      <c r="C5740" s="3" t="s">
        <v>154</v>
      </c>
      <c r="D5740" s="5">
        <f t="shared" si="180"/>
        <v>6.16</v>
      </c>
      <c r="E5740">
        <v>6.77</v>
      </c>
      <c r="F5740" s="1789">
        <v>8.8999999999999996E-2</v>
      </c>
      <c r="G5740">
        <f t="shared" si="181"/>
        <v>6.16</v>
      </c>
    </row>
    <row r="5741" spans="1:7" ht="12.75" customHeight="1">
      <c r="A5741" s="3">
        <v>88427</v>
      </c>
      <c r="B5741" s="4" t="s">
        <v>5765</v>
      </c>
      <c r="C5741" s="3" t="s">
        <v>154</v>
      </c>
      <c r="D5741" s="5">
        <f t="shared" si="180"/>
        <v>0.98</v>
      </c>
      <c r="E5741">
        <v>1.08</v>
      </c>
      <c r="F5741" s="1789">
        <v>8.8999999999999996E-2</v>
      </c>
      <c r="G5741">
        <f t="shared" si="181"/>
        <v>0.98</v>
      </c>
    </row>
    <row r="5742" spans="1:7" ht="12.75" customHeight="1">
      <c r="A5742" s="3">
        <v>88434</v>
      </c>
      <c r="B5742" s="4" t="s">
        <v>5766</v>
      </c>
      <c r="C5742" s="3" t="s">
        <v>154</v>
      </c>
      <c r="D5742" s="5">
        <f t="shared" si="180"/>
        <v>6.54</v>
      </c>
      <c r="E5742">
        <v>7.18</v>
      </c>
      <c r="F5742" s="1789">
        <v>8.8999999999999996E-2</v>
      </c>
      <c r="G5742">
        <f t="shared" si="181"/>
        <v>6.54</v>
      </c>
    </row>
    <row r="5743" spans="1:7" ht="12.75" customHeight="1">
      <c r="A5743" s="3">
        <v>88435</v>
      </c>
      <c r="B5743" s="4" t="s">
        <v>5767</v>
      </c>
      <c r="C5743" s="3" t="s">
        <v>154</v>
      </c>
      <c r="D5743" s="5">
        <f t="shared" si="180"/>
        <v>1.51</v>
      </c>
      <c r="E5743">
        <v>1.66</v>
      </c>
      <c r="F5743" s="1789">
        <v>8.8999999999999996E-2</v>
      </c>
      <c r="G5743">
        <f t="shared" si="181"/>
        <v>1.51</v>
      </c>
    </row>
    <row r="5744" spans="1:7" ht="12.75" customHeight="1">
      <c r="A5744" s="3">
        <v>88436</v>
      </c>
      <c r="B5744" s="4" t="s">
        <v>5768</v>
      </c>
      <c r="C5744" s="3" t="s">
        <v>154</v>
      </c>
      <c r="D5744" s="5">
        <f t="shared" si="180"/>
        <v>8.18</v>
      </c>
      <c r="E5744">
        <v>8.98</v>
      </c>
      <c r="F5744" s="1789">
        <v>8.8999999999999996E-2</v>
      </c>
      <c r="G5744">
        <f t="shared" si="181"/>
        <v>8.18</v>
      </c>
    </row>
    <row r="5745" spans="1:7" ht="12.75" customHeight="1">
      <c r="A5745" s="3">
        <v>88437</v>
      </c>
      <c r="B5745" s="4" t="s">
        <v>5769</v>
      </c>
      <c r="C5745" s="3" t="s">
        <v>154</v>
      </c>
      <c r="D5745" s="5">
        <f t="shared" si="180"/>
        <v>0.98</v>
      </c>
      <c r="E5745">
        <v>1.08</v>
      </c>
      <c r="F5745" s="1789">
        <v>8.8999999999999996E-2</v>
      </c>
      <c r="G5745">
        <f t="shared" si="181"/>
        <v>0.98</v>
      </c>
    </row>
    <row r="5746" spans="1:7" ht="12.75" customHeight="1">
      <c r="A5746" s="3">
        <v>88569</v>
      </c>
      <c r="B5746" s="4" t="s">
        <v>5770</v>
      </c>
      <c r="C5746" s="3" t="s">
        <v>154</v>
      </c>
      <c r="D5746" s="5">
        <f t="shared" si="180"/>
        <v>3.6</v>
      </c>
      <c r="E5746">
        <v>3.96</v>
      </c>
      <c r="F5746" s="1789">
        <v>8.8999999999999996E-2</v>
      </c>
      <c r="G5746">
        <f t="shared" si="181"/>
        <v>3.6</v>
      </c>
    </row>
    <row r="5747" spans="1:7" ht="12.75" customHeight="1">
      <c r="A5747" s="3">
        <v>88570</v>
      </c>
      <c r="B5747" s="4" t="s">
        <v>5771</v>
      </c>
      <c r="C5747" s="3" t="s">
        <v>154</v>
      </c>
      <c r="D5747" s="5">
        <f t="shared" si="180"/>
        <v>1.1599999999999999</v>
      </c>
      <c r="E5747">
        <v>1.28</v>
      </c>
      <c r="F5747" s="1789">
        <v>8.8999999999999996E-2</v>
      </c>
      <c r="G5747">
        <f t="shared" si="181"/>
        <v>1.1599999999999999</v>
      </c>
    </row>
    <row r="5748" spans="1:7" ht="12.75" customHeight="1">
      <c r="A5748" s="3">
        <v>88826</v>
      </c>
      <c r="B5748" s="4" t="s">
        <v>5772</v>
      </c>
      <c r="C5748" s="3" t="s">
        <v>154</v>
      </c>
      <c r="D5748" s="5">
        <f t="shared" si="180"/>
        <v>0.28000000000000003</v>
      </c>
      <c r="E5748">
        <v>0.31</v>
      </c>
      <c r="F5748" s="1789">
        <v>8.8999999999999996E-2</v>
      </c>
      <c r="G5748">
        <f t="shared" si="181"/>
        <v>0.28000000000000003</v>
      </c>
    </row>
    <row r="5749" spans="1:7" ht="12.75" customHeight="1">
      <c r="A5749" s="3">
        <v>88827</v>
      </c>
      <c r="B5749" s="4" t="s">
        <v>5773</v>
      </c>
      <c r="C5749" s="3" t="s">
        <v>154</v>
      </c>
      <c r="D5749" s="5">
        <f t="shared" si="180"/>
        <v>0.06</v>
      </c>
      <c r="E5749">
        <v>7.0000000000000007E-2</v>
      </c>
      <c r="F5749" s="1789">
        <v>8.8999999999999996E-2</v>
      </c>
      <c r="G5749">
        <f t="shared" si="181"/>
        <v>0.06</v>
      </c>
    </row>
    <row r="5750" spans="1:7" ht="12.75" customHeight="1">
      <c r="A5750" s="3">
        <v>88828</v>
      </c>
      <c r="B5750" s="4" t="s">
        <v>5774</v>
      </c>
      <c r="C5750" s="3" t="s">
        <v>154</v>
      </c>
      <c r="D5750" s="5">
        <f t="shared" si="180"/>
        <v>0.32</v>
      </c>
      <c r="E5750">
        <v>0.36</v>
      </c>
      <c r="F5750" s="1789">
        <v>8.8999999999999996E-2</v>
      </c>
      <c r="G5750">
        <f t="shared" si="181"/>
        <v>0.32</v>
      </c>
    </row>
    <row r="5751" spans="1:7" ht="12.75" customHeight="1">
      <c r="A5751" s="3">
        <v>88829</v>
      </c>
      <c r="B5751" s="4" t="s">
        <v>5775</v>
      </c>
      <c r="C5751" s="3" t="s">
        <v>154</v>
      </c>
      <c r="D5751" s="5">
        <f t="shared" si="180"/>
        <v>1.1499999999999999</v>
      </c>
      <c r="E5751">
        <v>1.27</v>
      </c>
      <c r="F5751" s="1789">
        <v>8.8999999999999996E-2</v>
      </c>
      <c r="G5751">
        <f t="shared" si="181"/>
        <v>1.1499999999999999</v>
      </c>
    </row>
    <row r="5752" spans="1:7" ht="12.75" customHeight="1">
      <c r="A5752" s="3">
        <v>88832</v>
      </c>
      <c r="B5752" s="4" t="s">
        <v>5776</v>
      </c>
      <c r="C5752" s="3" t="s">
        <v>154</v>
      </c>
      <c r="D5752" s="5">
        <f t="shared" si="180"/>
        <v>39.409999999999997</v>
      </c>
      <c r="E5752">
        <v>43.27</v>
      </c>
      <c r="F5752" s="1789">
        <v>8.8999999999999996E-2</v>
      </c>
      <c r="G5752">
        <f t="shared" si="181"/>
        <v>39.409999999999997</v>
      </c>
    </row>
    <row r="5753" spans="1:7" ht="12.75" customHeight="1">
      <c r="A5753" s="3">
        <v>88834</v>
      </c>
      <c r="B5753" s="4" t="s">
        <v>5777</v>
      </c>
      <c r="C5753" s="3" t="s">
        <v>154</v>
      </c>
      <c r="D5753" s="5">
        <f t="shared" si="180"/>
        <v>10.41</v>
      </c>
      <c r="E5753">
        <v>11.43</v>
      </c>
      <c r="F5753" s="1789">
        <v>8.8999999999999996E-2</v>
      </c>
      <c r="G5753">
        <f t="shared" si="181"/>
        <v>10.41</v>
      </c>
    </row>
    <row r="5754" spans="1:7" ht="12.75" customHeight="1">
      <c r="A5754" s="3">
        <v>88835</v>
      </c>
      <c r="B5754" s="4" t="s">
        <v>5778</v>
      </c>
      <c r="C5754" s="3" t="s">
        <v>154</v>
      </c>
      <c r="D5754" s="5">
        <f t="shared" si="180"/>
        <v>49.27</v>
      </c>
      <c r="E5754">
        <v>54.09</v>
      </c>
      <c r="F5754" s="1789">
        <v>8.8999999999999996E-2</v>
      </c>
      <c r="G5754">
        <f t="shared" si="181"/>
        <v>49.27</v>
      </c>
    </row>
    <row r="5755" spans="1:7" ht="12.75" customHeight="1">
      <c r="A5755" s="3">
        <v>88836</v>
      </c>
      <c r="B5755" s="4" t="s">
        <v>5779</v>
      </c>
      <c r="C5755" s="3" t="s">
        <v>154</v>
      </c>
      <c r="D5755" s="5">
        <f t="shared" si="180"/>
        <v>58.41</v>
      </c>
      <c r="E5755">
        <v>64.12</v>
      </c>
      <c r="F5755" s="1789">
        <v>8.8999999999999996E-2</v>
      </c>
      <c r="G5755">
        <f t="shared" si="181"/>
        <v>58.41</v>
      </c>
    </row>
    <row r="5756" spans="1:7" ht="12.75" customHeight="1">
      <c r="A5756" s="3">
        <v>88839</v>
      </c>
      <c r="B5756" s="4" t="s">
        <v>5780</v>
      </c>
      <c r="C5756" s="3" t="s">
        <v>154</v>
      </c>
      <c r="D5756" s="5">
        <f t="shared" si="180"/>
        <v>29.96</v>
      </c>
      <c r="E5756">
        <v>32.89</v>
      </c>
      <c r="F5756" s="1789">
        <v>8.8999999999999996E-2</v>
      </c>
      <c r="G5756">
        <f t="shared" si="181"/>
        <v>29.96</v>
      </c>
    </row>
    <row r="5757" spans="1:7" ht="12.75" customHeight="1">
      <c r="A5757" s="3">
        <v>88840</v>
      </c>
      <c r="B5757" s="4" t="s">
        <v>5781</v>
      </c>
      <c r="C5757" s="3" t="s">
        <v>154</v>
      </c>
      <c r="D5757" s="5">
        <f t="shared" si="180"/>
        <v>13.19</v>
      </c>
      <c r="E5757">
        <v>14.48</v>
      </c>
      <c r="F5757" s="1789">
        <v>8.8999999999999996E-2</v>
      </c>
      <c r="G5757">
        <f t="shared" si="181"/>
        <v>13.19</v>
      </c>
    </row>
    <row r="5758" spans="1:7" ht="12.75" customHeight="1">
      <c r="A5758" s="3">
        <v>88841</v>
      </c>
      <c r="B5758" s="4" t="s">
        <v>5782</v>
      </c>
      <c r="C5758" s="3" t="s">
        <v>154</v>
      </c>
      <c r="D5758" s="5">
        <f t="shared" si="180"/>
        <v>53.56</v>
      </c>
      <c r="E5758">
        <v>58.8</v>
      </c>
      <c r="F5758" s="1789">
        <v>8.8999999999999996E-2</v>
      </c>
      <c r="G5758">
        <f t="shared" si="181"/>
        <v>53.56</v>
      </c>
    </row>
    <row r="5759" spans="1:7" ht="12.75" customHeight="1">
      <c r="A5759" s="3">
        <v>88842</v>
      </c>
      <c r="B5759" s="4" t="s">
        <v>5783</v>
      </c>
      <c r="C5759" s="3" t="s">
        <v>154</v>
      </c>
      <c r="D5759" s="5">
        <f t="shared" si="180"/>
        <v>71.5</v>
      </c>
      <c r="E5759">
        <v>78.489999999999995</v>
      </c>
      <c r="F5759" s="1789">
        <v>8.8999999999999996E-2</v>
      </c>
      <c r="G5759">
        <f t="shared" si="181"/>
        <v>71.5</v>
      </c>
    </row>
    <row r="5760" spans="1:7" ht="12.75" customHeight="1">
      <c r="A5760" s="3">
        <v>88847</v>
      </c>
      <c r="B5760" s="4" t="s">
        <v>5784</v>
      </c>
      <c r="C5760" s="3" t="s">
        <v>154</v>
      </c>
      <c r="D5760" s="5">
        <f t="shared" si="180"/>
        <v>20.78</v>
      </c>
      <c r="E5760">
        <v>22.82</v>
      </c>
      <c r="F5760" s="1789">
        <v>8.8999999999999996E-2</v>
      </c>
      <c r="G5760">
        <f t="shared" si="181"/>
        <v>20.78</v>
      </c>
    </row>
    <row r="5761" spans="1:7" ht="12.75" customHeight="1">
      <c r="A5761" s="3">
        <v>88848</v>
      </c>
      <c r="B5761" s="4" t="s">
        <v>5785</v>
      </c>
      <c r="C5761" s="3" t="s">
        <v>154</v>
      </c>
      <c r="D5761" s="5">
        <f t="shared" si="180"/>
        <v>8.5399999999999991</v>
      </c>
      <c r="E5761">
        <v>9.3800000000000008</v>
      </c>
      <c r="F5761" s="1789">
        <v>8.8999999999999996E-2</v>
      </c>
      <c r="G5761">
        <f t="shared" si="181"/>
        <v>8.5399999999999991</v>
      </c>
    </row>
    <row r="5762" spans="1:7" ht="12.75" customHeight="1">
      <c r="A5762" s="3">
        <v>88853</v>
      </c>
      <c r="B5762" s="4" t="s">
        <v>5786</v>
      </c>
      <c r="C5762" s="3" t="s">
        <v>154</v>
      </c>
      <c r="D5762" s="5">
        <f t="shared" si="180"/>
        <v>0.19</v>
      </c>
      <c r="E5762">
        <v>0.21</v>
      </c>
      <c r="F5762" s="1789">
        <v>8.8999999999999996E-2</v>
      </c>
      <c r="G5762">
        <f t="shared" si="181"/>
        <v>0.19</v>
      </c>
    </row>
    <row r="5763" spans="1:7" ht="12.75" customHeight="1">
      <c r="A5763" s="3">
        <v>88854</v>
      </c>
      <c r="B5763" s="4" t="s">
        <v>5787</v>
      </c>
      <c r="C5763" s="3" t="s">
        <v>154</v>
      </c>
      <c r="D5763" s="5">
        <f t="shared" si="180"/>
        <v>0.03</v>
      </c>
      <c r="E5763">
        <v>0.04</v>
      </c>
      <c r="F5763" s="1789">
        <v>8.8999999999999996E-2</v>
      </c>
      <c r="G5763">
        <f t="shared" si="181"/>
        <v>0.03</v>
      </c>
    </row>
    <row r="5764" spans="1:7" ht="12.75" customHeight="1">
      <c r="A5764" s="3">
        <v>88855</v>
      </c>
      <c r="B5764" s="4" t="s">
        <v>5788</v>
      </c>
      <c r="C5764" s="3" t="s">
        <v>154</v>
      </c>
      <c r="D5764" s="5">
        <f t="shared" si="180"/>
        <v>2.92</v>
      </c>
      <c r="E5764">
        <v>3.21</v>
      </c>
      <c r="F5764" s="1789">
        <v>8.8999999999999996E-2</v>
      </c>
      <c r="G5764">
        <f t="shared" si="181"/>
        <v>2.92</v>
      </c>
    </row>
    <row r="5765" spans="1:7" ht="12.75" customHeight="1">
      <c r="A5765" s="3">
        <v>88856</v>
      </c>
      <c r="B5765" s="4" t="s">
        <v>5789</v>
      </c>
      <c r="C5765" s="3" t="s">
        <v>154</v>
      </c>
      <c r="D5765" s="5">
        <f t="shared" si="180"/>
        <v>0.8</v>
      </c>
      <c r="E5765">
        <v>0.88</v>
      </c>
      <c r="F5765" s="1789">
        <v>8.8999999999999996E-2</v>
      </c>
      <c r="G5765">
        <f t="shared" si="181"/>
        <v>0.8</v>
      </c>
    </row>
    <row r="5766" spans="1:7" ht="12.75" customHeight="1">
      <c r="A5766" s="3">
        <v>88857</v>
      </c>
      <c r="B5766" s="4" t="s">
        <v>5790</v>
      </c>
      <c r="C5766" s="3" t="s">
        <v>154</v>
      </c>
      <c r="D5766" s="5">
        <f t="shared" si="180"/>
        <v>22.25</v>
      </c>
      <c r="E5766">
        <v>24.43</v>
      </c>
      <c r="F5766" s="1789">
        <v>8.8999999999999996E-2</v>
      </c>
      <c r="G5766">
        <f t="shared" si="181"/>
        <v>22.25</v>
      </c>
    </row>
    <row r="5767" spans="1:7" ht="12.75" customHeight="1">
      <c r="A5767" s="3">
        <v>88858</v>
      </c>
      <c r="B5767" s="4" t="s">
        <v>5791</v>
      </c>
      <c r="C5767" s="3" t="s">
        <v>154</v>
      </c>
      <c r="D5767" s="5">
        <f t="shared" si="180"/>
        <v>5.87</v>
      </c>
      <c r="E5767">
        <v>6.45</v>
      </c>
      <c r="F5767" s="1789">
        <v>8.8999999999999996E-2</v>
      </c>
      <c r="G5767">
        <f t="shared" si="181"/>
        <v>5.87</v>
      </c>
    </row>
    <row r="5768" spans="1:7" ht="12.75" customHeight="1">
      <c r="A5768" s="3">
        <v>88859</v>
      </c>
      <c r="B5768" s="4" t="s">
        <v>5792</v>
      </c>
      <c r="C5768" s="3" t="s">
        <v>154</v>
      </c>
      <c r="D5768" s="5">
        <f t="shared" si="180"/>
        <v>19.79</v>
      </c>
      <c r="E5768">
        <v>21.73</v>
      </c>
      <c r="F5768" s="1789">
        <v>8.8999999999999996E-2</v>
      </c>
      <c r="G5768">
        <f t="shared" si="181"/>
        <v>19.79</v>
      </c>
    </row>
    <row r="5769" spans="1:7" ht="12.75" customHeight="1">
      <c r="A5769" s="3">
        <v>88860</v>
      </c>
      <c r="B5769" s="4" t="s">
        <v>5793</v>
      </c>
      <c r="C5769" s="3" t="s">
        <v>154</v>
      </c>
      <c r="D5769" s="5">
        <f t="shared" si="180"/>
        <v>5.22</v>
      </c>
      <c r="E5769">
        <v>5.74</v>
      </c>
      <c r="F5769" s="1789">
        <v>8.8999999999999996E-2</v>
      </c>
      <c r="G5769">
        <f t="shared" si="181"/>
        <v>5.22</v>
      </c>
    </row>
    <row r="5770" spans="1:7" ht="12.75" customHeight="1">
      <c r="A5770" s="3">
        <v>88900</v>
      </c>
      <c r="B5770" s="4" t="s">
        <v>5794</v>
      </c>
      <c r="C5770" s="3" t="s">
        <v>154</v>
      </c>
      <c r="D5770" s="5">
        <f t="shared" si="180"/>
        <v>45.96</v>
      </c>
      <c r="E5770">
        <v>50.46</v>
      </c>
      <c r="F5770" s="1789">
        <v>8.8999999999999996E-2</v>
      </c>
      <c r="G5770">
        <f t="shared" si="181"/>
        <v>45.96</v>
      </c>
    </row>
    <row r="5771" spans="1:7" ht="12.75" customHeight="1">
      <c r="A5771" s="3">
        <v>88902</v>
      </c>
      <c r="B5771" s="4" t="s">
        <v>5795</v>
      </c>
      <c r="C5771" s="3" t="s">
        <v>154</v>
      </c>
      <c r="D5771" s="5">
        <f t="shared" si="180"/>
        <v>12.14</v>
      </c>
      <c r="E5771">
        <v>13.33</v>
      </c>
      <c r="F5771" s="1789">
        <v>8.8999999999999996E-2</v>
      </c>
      <c r="G5771">
        <f t="shared" si="181"/>
        <v>12.14</v>
      </c>
    </row>
    <row r="5772" spans="1:7" ht="12.75" customHeight="1">
      <c r="A5772" s="3">
        <v>88903</v>
      </c>
      <c r="B5772" s="4" t="s">
        <v>5796</v>
      </c>
      <c r="C5772" s="3" t="s">
        <v>154</v>
      </c>
      <c r="D5772" s="5">
        <f t="shared" si="180"/>
        <v>57.45</v>
      </c>
      <c r="E5772">
        <v>63.07</v>
      </c>
      <c r="F5772" s="1789">
        <v>8.8999999999999996E-2</v>
      </c>
      <c r="G5772">
        <f t="shared" si="181"/>
        <v>57.45</v>
      </c>
    </row>
    <row r="5773" spans="1:7" ht="12.75" customHeight="1">
      <c r="A5773" s="3">
        <v>88904</v>
      </c>
      <c r="B5773" s="4" t="s">
        <v>5797</v>
      </c>
      <c r="C5773" s="3" t="s">
        <v>154</v>
      </c>
      <c r="D5773" s="5">
        <f t="shared" si="180"/>
        <v>82.29</v>
      </c>
      <c r="E5773">
        <v>90.33</v>
      </c>
      <c r="F5773" s="1789">
        <v>8.8999999999999996E-2</v>
      </c>
      <c r="G5773">
        <f t="shared" si="181"/>
        <v>82.29</v>
      </c>
    </row>
    <row r="5774" spans="1:7" ht="12.75" customHeight="1">
      <c r="A5774" s="3">
        <v>89009</v>
      </c>
      <c r="B5774" s="4" t="s">
        <v>5798</v>
      </c>
      <c r="C5774" s="3" t="s">
        <v>154</v>
      </c>
      <c r="D5774" s="5">
        <f t="shared" si="180"/>
        <v>37.11</v>
      </c>
      <c r="E5774">
        <v>40.74</v>
      </c>
      <c r="F5774" s="1789">
        <v>8.8999999999999996E-2</v>
      </c>
      <c r="G5774">
        <f t="shared" si="181"/>
        <v>37.11</v>
      </c>
    </row>
    <row r="5775" spans="1:7" ht="12.75" customHeight="1">
      <c r="A5775" s="3">
        <v>89010</v>
      </c>
      <c r="B5775" s="4" t="s">
        <v>5799</v>
      </c>
      <c r="C5775" s="3" t="s">
        <v>154</v>
      </c>
      <c r="D5775" s="5">
        <f t="shared" si="180"/>
        <v>16.34</v>
      </c>
      <c r="E5775">
        <v>17.940000000000001</v>
      </c>
      <c r="F5775" s="1789">
        <v>8.8999999999999996E-2</v>
      </c>
      <c r="G5775">
        <f t="shared" si="181"/>
        <v>16.34</v>
      </c>
    </row>
    <row r="5776" spans="1:7" ht="12.75" customHeight="1">
      <c r="A5776" s="3">
        <v>89011</v>
      </c>
      <c r="B5776" s="4" t="s">
        <v>5800</v>
      </c>
      <c r="C5776" s="3" t="s">
        <v>154</v>
      </c>
      <c r="D5776" s="5">
        <f t="shared" si="180"/>
        <v>21.47</v>
      </c>
      <c r="E5776">
        <v>23.57</v>
      </c>
      <c r="F5776" s="1789">
        <v>8.8999999999999996E-2</v>
      </c>
      <c r="G5776">
        <f t="shared" si="181"/>
        <v>21.47</v>
      </c>
    </row>
    <row r="5777" spans="1:7" ht="12.75" customHeight="1">
      <c r="A5777" s="3">
        <v>89012</v>
      </c>
      <c r="B5777" s="4" t="s">
        <v>5801</v>
      </c>
      <c r="C5777" s="3" t="s">
        <v>154</v>
      </c>
      <c r="D5777" s="5">
        <f t="shared" si="180"/>
        <v>5.67</v>
      </c>
      <c r="E5777">
        <v>6.23</v>
      </c>
      <c r="F5777" s="1789">
        <v>8.8999999999999996E-2</v>
      </c>
      <c r="G5777">
        <f t="shared" si="181"/>
        <v>5.67</v>
      </c>
    </row>
    <row r="5778" spans="1:7" ht="12.75" customHeight="1">
      <c r="A5778" s="3">
        <v>89013</v>
      </c>
      <c r="B5778" s="4" t="s">
        <v>5802</v>
      </c>
      <c r="C5778" s="3" t="s">
        <v>154</v>
      </c>
      <c r="D5778" s="5">
        <f t="shared" si="180"/>
        <v>121.56</v>
      </c>
      <c r="E5778">
        <v>133.44</v>
      </c>
      <c r="F5778" s="1789">
        <v>8.8999999999999996E-2</v>
      </c>
      <c r="G5778">
        <f t="shared" si="181"/>
        <v>121.56</v>
      </c>
    </row>
    <row r="5779" spans="1:7" ht="12.75" customHeight="1">
      <c r="A5779" s="3">
        <v>89014</v>
      </c>
      <c r="B5779" s="4" t="s">
        <v>5803</v>
      </c>
      <c r="C5779" s="3" t="s">
        <v>154</v>
      </c>
      <c r="D5779" s="5">
        <f t="shared" si="180"/>
        <v>53.54</v>
      </c>
      <c r="E5779">
        <v>58.78</v>
      </c>
      <c r="F5779" s="1789">
        <v>8.8999999999999996E-2</v>
      </c>
      <c r="G5779">
        <f t="shared" si="181"/>
        <v>53.54</v>
      </c>
    </row>
    <row r="5780" spans="1:7" ht="12.75" customHeight="1">
      <c r="A5780" s="3">
        <v>89015</v>
      </c>
      <c r="B5780" s="4" t="s">
        <v>5804</v>
      </c>
      <c r="C5780" s="3" t="s">
        <v>154</v>
      </c>
      <c r="D5780" s="5">
        <f t="shared" si="180"/>
        <v>3.37</v>
      </c>
      <c r="E5780">
        <v>3.7</v>
      </c>
      <c r="F5780" s="1789">
        <v>8.8999999999999996E-2</v>
      </c>
      <c r="G5780">
        <f t="shared" si="181"/>
        <v>3.37</v>
      </c>
    </row>
    <row r="5781" spans="1:7" ht="12.75" customHeight="1">
      <c r="A5781" s="3">
        <v>89016</v>
      </c>
      <c r="B5781" s="4" t="s">
        <v>5805</v>
      </c>
      <c r="C5781" s="3" t="s">
        <v>154</v>
      </c>
      <c r="D5781" s="5">
        <f t="shared" ref="D5781:D5844" si="182">G5781</f>
        <v>0.89</v>
      </c>
      <c r="E5781">
        <v>0.98</v>
      </c>
      <c r="F5781" s="1789">
        <v>8.8999999999999996E-2</v>
      </c>
      <c r="G5781">
        <f t="shared" ref="G5781:G5844" si="183">TRUNC((1-F5781)*E5781,2)</f>
        <v>0.89</v>
      </c>
    </row>
    <row r="5782" spans="1:7" ht="12.75" customHeight="1">
      <c r="A5782" s="3">
        <v>89017</v>
      </c>
      <c r="B5782" s="4" t="s">
        <v>5806</v>
      </c>
      <c r="C5782" s="3" t="s">
        <v>154</v>
      </c>
      <c r="D5782" s="5">
        <f t="shared" si="182"/>
        <v>36.880000000000003</v>
      </c>
      <c r="E5782">
        <v>40.49</v>
      </c>
      <c r="F5782" s="1789">
        <v>8.8999999999999996E-2</v>
      </c>
      <c r="G5782">
        <f t="shared" si="183"/>
        <v>36.880000000000003</v>
      </c>
    </row>
    <row r="5783" spans="1:7" ht="12.75" customHeight="1">
      <c r="A5783" s="3">
        <v>89018</v>
      </c>
      <c r="B5783" s="4" t="s">
        <v>5807</v>
      </c>
      <c r="C5783" s="3" t="s">
        <v>154</v>
      </c>
      <c r="D5783" s="5">
        <f t="shared" si="182"/>
        <v>16.239999999999998</v>
      </c>
      <c r="E5783">
        <v>17.829999999999998</v>
      </c>
      <c r="F5783" s="1789">
        <v>8.8999999999999996E-2</v>
      </c>
      <c r="G5783">
        <f t="shared" si="183"/>
        <v>16.239999999999998</v>
      </c>
    </row>
    <row r="5784" spans="1:7" ht="12.75" customHeight="1">
      <c r="A5784" s="3">
        <v>89019</v>
      </c>
      <c r="B5784" s="4" t="s">
        <v>5808</v>
      </c>
      <c r="C5784" s="3" t="s">
        <v>154</v>
      </c>
      <c r="D5784" s="5">
        <f t="shared" si="182"/>
        <v>0.23</v>
      </c>
      <c r="E5784">
        <v>0.26</v>
      </c>
      <c r="F5784" s="1789">
        <v>8.8999999999999996E-2</v>
      </c>
      <c r="G5784">
        <f t="shared" si="183"/>
        <v>0.23</v>
      </c>
    </row>
    <row r="5785" spans="1:7" ht="12.75" customHeight="1">
      <c r="A5785" s="3">
        <v>89020</v>
      </c>
      <c r="B5785" s="4" t="s">
        <v>5809</v>
      </c>
      <c r="C5785" s="3" t="s">
        <v>154</v>
      </c>
      <c r="D5785" s="5">
        <f t="shared" si="182"/>
        <v>0.05</v>
      </c>
      <c r="E5785">
        <v>0.06</v>
      </c>
      <c r="F5785" s="1789">
        <v>8.8999999999999996E-2</v>
      </c>
      <c r="G5785">
        <f t="shared" si="183"/>
        <v>0.05</v>
      </c>
    </row>
    <row r="5786" spans="1:7" ht="12.75" customHeight="1">
      <c r="A5786" s="3">
        <v>89023</v>
      </c>
      <c r="B5786" s="4" t="s">
        <v>5810</v>
      </c>
      <c r="C5786" s="3" t="s">
        <v>154</v>
      </c>
      <c r="D5786" s="5">
        <f t="shared" si="182"/>
        <v>3.26</v>
      </c>
      <c r="E5786">
        <v>3.58</v>
      </c>
      <c r="F5786" s="1789">
        <v>8.8999999999999996E-2</v>
      </c>
      <c r="G5786">
        <f t="shared" si="183"/>
        <v>3.26</v>
      </c>
    </row>
    <row r="5787" spans="1:7" ht="12.75" customHeight="1">
      <c r="A5787" s="3">
        <v>89024</v>
      </c>
      <c r="B5787" s="4" t="s">
        <v>5811</v>
      </c>
      <c r="C5787" s="3" t="s">
        <v>154</v>
      </c>
      <c r="D5787" s="5">
        <f t="shared" si="182"/>
        <v>1.2</v>
      </c>
      <c r="E5787">
        <v>1.32</v>
      </c>
      <c r="F5787" s="1789">
        <v>8.8999999999999996E-2</v>
      </c>
      <c r="G5787">
        <f t="shared" si="183"/>
        <v>1.2</v>
      </c>
    </row>
    <row r="5788" spans="1:7" ht="12.75" customHeight="1">
      <c r="A5788" s="3">
        <v>89025</v>
      </c>
      <c r="B5788" s="4" t="s">
        <v>5812</v>
      </c>
      <c r="C5788" s="3" t="s">
        <v>154</v>
      </c>
      <c r="D5788" s="5">
        <f t="shared" si="182"/>
        <v>4.3499999999999996</v>
      </c>
      <c r="E5788">
        <v>4.78</v>
      </c>
      <c r="F5788" s="1789">
        <v>8.8999999999999996E-2</v>
      </c>
      <c r="G5788">
        <f t="shared" si="183"/>
        <v>4.3499999999999996</v>
      </c>
    </row>
    <row r="5789" spans="1:7" ht="12.75" customHeight="1">
      <c r="A5789" s="3">
        <v>89026</v>
      </c>
      <c r="B5789" s="4" t="s">
        <v>5813</v>
      </c>
      <c r="C5789" s="3" t="s">
        <v>154</v>
      </c>
      <c r="D5789" s="5">
        <f t="shared" si="182"/>
        <v>156.44</v>
      </c>
      <c r="E5789">
        <v>171.73</v>
      </c>
      <c r="F5789" s="1789">
        <v>8.8999999999999996E-2</v>
      </c>
      <c r="G5789">
        <f t="shared" si="183"/>
        <v>156.44</v>
      </c>
    </row>
    <row r="5790" spans="1:7" ht="12.75" customHeight="1">
      <c r="A5790" s="3">
        <v>89029</v>
      </c>
      <c r="B5790" s="4" t="s">
        <v>5814</v>
      </c>
      <c r="C5790" s="3" t="s">
        <v>154</v>
      </c>
      <c r="D5790" s="5">
        <f t="shared" si="182"/>
        <v>28.62</v>
      </c>
      <c r="E5790">
        <v>31.42</v>
      </c>
      <c r="F5790" s="1789">
        <v>8.8999999999999996E-2</v>
      </c>
      <c r="G5790">
        <f t="shared" si="183"/>
        <v>28.62</v>
      </c>
    </row>
    <row r="5791" spans="1:7" ht="12.75" customHeight="1">
      <c r="A5791" s="3">
        <v>89030</v>
      </c>
      <c r="B5791" s="4" t="s">
        <v>5815</v>
      </c>
      <c r="C5791" s="3" t="s">
        <v>154</v>
      </c>
      <c r="D5791" s="5">
        <f t="shared" si="182"/>
        <v>12.6</v>
      </c>
      <c r="E5791">
        <v>13.84</v>
      </c>
      <c r="F5791" s="1789">
        <v>8.8999999999999996E-2</v>
      </c>
      <c r="G5791">
        <f t="shared" si="183"/>
        <v>12.6</v>
      </c>
    </row>
    <row r="5792" spans="1:7" ht="12.75" customHeight="1">
      <c r="A5792" s="3">
        <v>89033</v>
      </c>
      <c r="B5792" s="4" t="s">
        <v>5816</v>
      </c>
      <c r="C5792" s="3" t="s">
        <v>154</v>
      </c>
      <c r="D5792" s="5">
        <f t="shared" si="182"/>
        <v>13.35</v>
      </c>
      <c r="E5792">
        <v>14.66</v>
      </c>
      <c r="F5792" s="1789">
        <v>8.8999999999999996E-2</v>
      </c>
      <c r="G5792">
        <f t="shared" si="183"/>
        <v>13.35</v>
      </c>
    </row>
    <row r="5793" spans="1:7" ht="12.75" customHeight="1">
      <c r="A5793" s="3">
        <v>89034</v>
      </c>
      <c r="B5793" s="4" t="s">
        <v>5817</v>
      </c>
      <c r="C5793" s="3" t="s">
        <v>154</v>
      </c>
      <c r="D5793" s="5">
        <f t="shared" si="182"/>
        <v>3.58</v>
      </c>
      <c r="E5793">
        <v>3.93</v>
      </c>
      <c r="F5793" s="1789">
        <v>8.8999999999999996E-2</v>
      </c>
      <c r="G5793">
        <f t="shared" si="183"/>
        <v>3.58</v>
      </c>
    </row>
    <row r="5794" spans="1:7" ht="12.75" customHeight="1">
      <c r="A5794" s="3">
        <v>89128</v>
      </c>
      <c r="B5794" s="4" t="s">
        <v>5818</v>
      </c>
      <c r="C5794" s="3" t="s">
        <v>154</v>
      </c>
      <c r="D5794" s="5">
        <f t="shared" si="182"/>
        <v>31.24</v>
      </c>
      <c r="E5794">
        <v>34.299999999999997</v>
      </c>
      <c r="F5794" s="1789">
        <v>8.8999999999999996E-2</v>
      </c>
      <c r="G5794">
        <f t="shared" si="183"/>
        <v>31.24</v>
      </c>
    </row>
    <row r="5795" spans="1:7" ht="12.75" customHeight="1">
      <c r="A5795" s="3">
        <v>89129</v>
      </c>
      <c r="B5795" s="4" t="s">
        <v>5819</v>
      </c>
      <c r="C5795" s="3" t="s">
        <v>154</v>
      </c>
      <c r="D5795" s="5">
        <f t="shared" si="182"/>
        <v>8.25</v>
      </c>
      <c r="E5795">
        <v>9.06</v>
      </c>
      <c r="F5795" s="1789">
        <v>8.8999999999999996E-2</v>
      </c>
      <c r="G5795">
        <f t="shared" si="183"/>
        <v>8.25</v>
      </c>
    </row>
    <row r="5796" spans="1:7" ht="12.75" customHeight="1">
      <c r="A5796" s="3">
        <v>89130</v>
      </c>
      <c r="B5796" s="4" t="s">
        <v>5820</v>
      </c>
      <c r="C5796" s="3" t="s">
        <v>154</v>
      </c>
      <c r="D5796" s="5">
        <f t="shared" si="182"/>
        <v>43.32</v>
      </c>
      <c r="E5796">
        <v>47.56</v>
      </c>
      <c r="F5796" s="1789">
        <v>8.8999999999999996E-2</v>
      </c>
      <c r="G5796">
        <f t="shared" si="183"/>
        <v>43.32</v>
      </c>
    </row>
    <row r="5797" spans="1:7" ht="12.75" customHeight="1">
      <c r="A5797" s="3">
        <v>89131</v>
      </c>
      <c r="B5797" s="4" t="s">
        <v>5821</v>
      </c>
      <c r="C5797" s="3" t="s">
        <v>154</v>
      </c>
      <c r="D5797" s="5">
        <f t="shared" si="182"/>
        <v>11.45</v>
      </c>
      <c r="E5797">
        <v>12.57</v>
      </c>
      <c r="F5797" s="1789">
        <v>8.8999999999999996E-2</v>
      </c>
      <c r="G5797">
        <f t="shared" si="183"/>
        <v>11.45</v>
      </c>
    </row>
    <row r="5798" spans="1:7" ht="12.75" customHeight="1">
      <c r="A5798" s="3">
        <v>89210</v>
      </c>
      <c r="B5798" s="4" t="s">
        <v>5822</v>
      </c>
      <c r="C5798" s="3" t="s">
        <v>154</v>
      </c>
      <c r="D5798" s="5">
        <f t="shared" si="182"/>
        <v>28.88</v>
      </c>
      <c r="E5798">
        <v>31.71</v>
      </c>
      <c r="F5798" s="1789">
        <v>8.8999999999999996E-2</v>
      </c>
      <c r="G5798">
        <f t="shared" si="183"/>
        <v>28.88</v>
      </c>
    </row>
    <row r="5799" spans="1:7" ht="12.75" customHeight="1">
      <c r="A5799" s="3">
        <v>89211</v>
      </c>
      <c r="B5799" s="4" t="s">
        <v>5823</v>
      </c>
      <c r="C5799" s="3" t="s">
        <v>154</v>
      </c>
      <c r="D5799" s="5">
        <f t="shared" si="182"/>
        <v>7.74</v>
      </c>
      <c r="E5799">
        <v>8.5</v>
      </c>
      <c r="F5799" s="1789">
        <v>8.8999999999999996E-2</v>
      </c>
      <c r="G5799">
        <f t="shared" si="183"/>
        <v>7.74</v>
      </c>
    </row>
    <row r="5800" spans="1:7" ht="12.75" customHeight="1">
      <c r="A5800" s="3">
        <v>89212</v>
      </c>
      <c r="B5800" s="4" t="s">
        <v>5824</v>
      </c>
      <c r="C5800" s="3" t="s">
        <v>154</v>
      </c>
      <c r="D5800" s="5">
        <f t="shared" si="182"/>
        <v>27.33</v>
      </c>
      <c r="E5800">
        <v>30</v>
      </c>
      <c r="F5800" s="1789">
        <v>8.8999999999999996E-2</v>
      </c>
      <c r="G5800">
        <f t="shared" si="183"/>
        <v>27.33</v>
      </c>
    </row>
    <row r="5801" spans="1:7" ht="12.75" customHeight="1">
      <c r="A5801" s="3">
        <v>89213</v>
      </c>
      <c r="B5801" s="4" t="s">
        <v>5825</v>
      </c>
      <c r="C5801" s="3" t="s">
        <v>154</v>
      </c>
      <c r="D5801" s="5">
        <f t="shared" si="182"/>
        <v>8.42</v>
      </c>
      <c r="E5801">
        <v>9.25</v>
      </c>
      <c r="F5801" s="1789">
        <v>8.8999999999999996E-2</v>
      </c>
      <c r="G5801">
        <f t="shared" si="183"/>
        <v>8.42</v>
      </c>
    </row>
    <row r="5802" spans="1:7" ht="12.75" customHeight="1">
      <c r="A5802" s="3">
        <v>89214</v>
      </c>
      <c r="B5802" s="4" t="s">
        <v>5826</v>
      </c>
      <c r="C5802" s="3" t="s">
        <v>154</v>
      </c>
      <c r="D5802" s="5">
        <f t="shared" si="182"/>
        <v>25.65</v>
      </c>
      <c r="E5802">
        <v>28.16</v>
      </c>
      <c r="F5802" s="1789">
        <v>8.8999999999999996E-2</v>
      </c>
      <c r="G5802">
        <f t="shared" si="183"/>
        <v>25.65</v>
      </c>
    </row>
    <row r="5803" spans="1:7" ht="12.75" customHeight="1">
      <c r="A5803" s="3">
        <v>89215</v>
      </c>
      <c r="B5803" s="4" t="s">
        <v>5827</v>
      </c>
      <c r="C5803" s="3" t="s">
        <v>154</v>
      </c>
      <c r="D5803" s="5">
        <f t="shared" si="182"/>
        <v>84.96</v>
      </c>
      <c r="E5803">
        <v>93.27</v>
      </c>
      <c r="F5803" s="1789">
        <v>8.8999999999999996E-2</v>
      </c>
      <c r="G5803">
        <f t="shared" si="183"/>
        <v>84.96</v>
      </c>
    </row>
    <row r="5804" spans="1:7" ht="12.75" customHeight="1">
      <c r="A5804" s="3">
        <v>89221</v>
      </c>
      <c r="B5804" s="4" t="s">
        <v>5828</v>
      </c>
      <c r="C5804" s="3" t="s">
        <v>154</v>
      </c>
      <c r="D5804" s="5">
        <f t="shared" si="182"/>
        <v>1.1399999999999999</v>
      </c>
      <c r="E5804">
        <v>1.26</v>
      </c>
      <c r="F5804" s="1789">
        <v>8.8999999999999996E-2</v>
      </c>
      <c r="G5804">
        <f t="shared" si="183"/>
        <v>1.1399999999999999</v>
      </c>
    </row>
    <row r="5805" spans="1:7" ht="12.75" customHeight="1">
      <c r="A5805" s="3">
        <v>89222</v>
      </c>
      <c r="B5805" s="4" t="s">
        <v>5829</v>
      </c>
      <c r="C5805" s="3" t="s">
        <v>154</v>
      </c>
      <c r="D5805" s="5">
        <f t="shared" si="182"/>
        <v>0.28000000000000003</v>
      </c>
      <c r="E5805">
        <v>0.31</v>
      </c>
      <c r="F5805" s="1789">
        <v>8.8999999999999996E-2</v>
      </c>
      <c r="G5805">
        <f t="shared" si="183"/>
        <v>0.28000000000000003</v>
      </c>
    </row>
    <row r="5806" spans="1:7" ht="12.75" customHeight="1">
      <c r="A5806" s="3">
        <v>89223</v>
      </c>
      <c r="B5806" s="4" t="s">
        <v>5830</v>
      </c>
      <c r="C5806" s="3" t="s">
        <v>154</v>
      </c>
      <c r="D5806" s="5">
        <f t="shared" si="182"/>
        <v>1.33</v>
      </c>
      <c r="E5806">
        <v>1.47</v>
      </c>
      <c r="F5806" s="1789">
        <v>8.8999999999999996E-2</v>
      </c>
      <c r="G5806">
        <f t="shared" si="183"/>
        <v>1.33</v>
      </c>
    </row>
    <row r="5807" spans="1:7" ht="12.75" customHeight="1">
      <c r="A5807" s="3">
        <v>89224</v>
      </c>
      <c r="B5807" s="4" t="s">
        <v>5831</v>
      </c>
      <c r="C5807" s="3" t="s">
        <v>154</v>
      </c>
      <c r="D5807" s="5">
        <f t="shared" si="182"/>
        <v>2.3199999999999998</v>
      </c>
      <c r="E5807">
        <v>2.5499999999999998</v>
      </c>
      <c r="F5807" s="1789">
        <v>8.8999999999999996E-2</v>
      </c>
      <c r="G5807">
        <f t="shared" si="183"/>
        <v>2.3199999999999998</v>
      </c>
    </row>
    <row r="5808" spans="1:7" ht="12.75" customHeight="1">
      <c r="A5808" s="3">
        <v>89228</v>
      </c>
      <c r="B5808" s="4" t="s">
        <v>5832</v>
      </c>
      <c r="C5808" s="3" t="s">
        <v>154</v>
      </c>
      <c r="D5808" s="5">
        <f t="shared" si="182"/>
        <v>40.99</v>
      </c>
      <c r="E5808">
        <v>45</v>
      </c>
      <c r="F5808" s="1789">
        <v>8.8999999999999996E-2</v>
      </c>
      <c r="G5808">
        <f t="shared" si="183"/>
        <v>40.99</v>
      </c>
    </row>
    <row r="5809" spans="1:7" ht="12.75" customHeight="1">
      <c r="A5809" s="3">
        <v>89229</v>
      </c>
      <c r="B5809" s="4" t="s">
        <v>5833</v>
      </c>
      <c r="C5809" s="3" t="s">
        <v>154</v>
      </c>
      <c r="D5809" s="5">
        <f t="shared" si="182"/>
        <v>14.44</v>
      </c>
      <c r="E5809">
        <v>15.86</v>
      </c>
      <c r="F5809" s="1789">
        <v>8.8999999999999996E-2</v>
      </c>
      <c r="G5809">
        <f t="shared" si="183"/>
        <v>14.44</v>
      </c>
    </row>
    <row r="5810" spans="1:7" ht="12.75" customHeight="1">
      <c r="A5810" s="3">
        <v>89230</v>
      </c>
      <c r="B5810" s="4" t="s">
        <v>5834</v>
      </c>
      <c r="C5810" s="3" t="s">
        <v>154</v>
      </c>
      <c r="D5810" s="5">
        <f t="shared" si="182"/>
        <v>114.37</v>
      </c>
      <c r="E5810">
        <v>125.55</v>
      </c>
      <c r="F5810" s="1789">
        <v>8.8999999999999996E-2</v>
      </c>
      <c r="G5810">
        <f t="shared" si="183"/>
        <v>114.37</v>
      </c>
    </row>
    <row r="5811" spans="1:7" ht="12.75" customHeight="1">
      <c r="A5811" s="3">
        <v>89231</v>
      </c>
      <c r="B5811" s="4" t="s">
        <v>5835</v>
      </c>
      <c r="C5811" s="3" t="s">
        <v>154</v>
      </c>
      <c r="D5811" s="5">
        <f t="shared" si="182"/>
        <v>35.01</v>
      </c>
      <c r="E5811">
        <v>38.44</v>
      </c>
      <c r="F5811" s="1789">
        <v>8.8999999999999996E-2</v>
      </c>
      <c r="G5811">
        <f t="shared" si="183"/>
        <v>35.01</v>
      </c>
    </row>
    <row r="5812" spans="1:7" ht="12.75" customHeight="1">
      <c r="A5812" s="3">
        <v>89232</v>
      </c>
      <c r="B5812" s="4" t="s">
        <v>5836</v>
      </c>
      <c r="C5812" s="3" t="s">
        <v>154</v>
      </c>
      <c r="D5812" s="5">
        <f t="shared" si="182"/>
        <v>204.02</v>
      </c>
      <c r="E5812">
        <v>223.96</v>
      </c>
      <c r="F5812" s="1789">
        <v>8.8999999999999996E-2</v>
      </c>
      <c r="G5812">
        <f t="shared" si="183"/>
        <v>204.02</v>
      </c>
    </row>
    <row r="5813" spans="1:7" ht="12.75" customHeight="1">
      <c r="A5813" s="3">
        <v>89233</v>
      </c>
      <c r="B5813" s="4" t="s">
        <v>5837</v>
      </c>
      <c r="C5813" s="3" t="s">
        <v>154</v>
      </c>
      <c r="D5813" s="5">
        <f t="shared" si="182"/>
        <v>152.91</v>
      </c>
      <c r="E5813">
        <v>167.85</v>
      </c>
      <c r="F5813" s="1789">
        <v>8.8999999999999996E-2</v>
      </c>
      <c r="G5813">
        <f t="shared" si="183"/>
        <v>152.91</v>
      </c>
    </row>
    <row r="5814" spans="1:7" ht="12.75" customHeight="1">
      <c r="A5814" s="3">
        <v>89236</v>
      </c>
      <c r="B5814" s="4" t="s">
        <v>5838</v>
      </c>
      <c r="C5814" s="3" t="s">
        <v>154</v>
      </c>
      <c r="D5814" s="5">
        <f t="shared" si="182"/>
        <v>267.19</v>
      </c>
      <c r="E5814">
        <v>293.3</v>
      </c>
      <c r="F5814" s="1789">
        <v>8.8999999999999996E-2</v>
      </c>
      <c r="G5814">
        <f t="shared" si="183"/>
        <v>267.19</v>
      </c>
    </row>
    <row r="5815" spans="1:7" ht="12.75" customHeight="1">
      <c r="A5815" s="3">
        <v>89237</v>
      </c>
      <c r="B5815" s="4" t="s">
        <v>5839</v>
      </c>
      <c r="C5815" s="3" t="s">
        <v>154</v>
      </c>
      <c r="D5815" s="5">
        <f t="shared" si="182"/>
        <v>81.81</v>
      </c>
      <c r="E5815">
        <v>89.81</v>
      </c>
      <c r="F5815" s="1789">
        <v>8.8999999999999996E-2</v>
      </c>
      <c r="G5815">
        <f t="shared" si="183"/>
        <v>81.81</v>
      </c>
    </row>
    <row r="5816" spans="1:7" ht="12.75" customHeight="1">
      <c r="A5816" s="3">
        <v>89238</v>
      </c>
      <c r="B5816" s="4" t="s">
        <v>5840</v>
      </c>
      <c r="C5816" s="3" t="s">
        <v>154</v>
      </c>
      <c r="D5816" s="5">
        <f t="shared" si="182"/>
        <v>476.59</v>
      </c>
      <c r="E5816">
        <v>523.16</v>
      </c>
      <c r="F5816" s="1789">
        <v>8.8999999999999996E-2</v>
      </c>
      <c r="G5816">
        <f t="shared" si="183"/>
        <v>476.59</v>
      </c>
    </row>
    <row r="5817" spans="1:7" ht="12.75" customHeight="1">
      <c r="A5817" s="3">
        <v>89239</v>
      </c>
      <c r="B5817" s="4" t="s">
        <v>5841</v>
      </c>
      <c r="C5817" s="3" t="s">
        <v>154</v>
      </c>
      <c r="D5817" s="5">
        <f t="shared" si="182"/>
        <v>404.38</v>
      </c>
      <c r="E5817">
        <v>443.89</v>
      </c>
      <c r="F5817" s="1789">
        <v>8.8999999999999996E-2</v>
      </c>
      <c r="G5817">
        <f t="shared" si="183"/>
        <v>404.38</v>
      </c>
    </row>
    <row r="5818" spans="1:7" ht="12.75" customHeight="1">
      <c r="A5818" s="3">
        <v>89240</v>
      </c>
      <c r="B5818" s="4" t="s">
        <v>5842</v>
      </c>
      <c r="C5818" s="3" t="s">
        <v>154</v>
      </c>
      <c r="D5818" s="5">
        <f t="shared" si="182"/>
        <v>81.99</v>
      </c>
      <c r="E5818">
        <v>90.01</v>
      </c>
      <c r="F5818" s="1789">
        <v>8.8999999999999996E-2</v>
      </c>
      <c r="G5818">
        <f t="shared" si="183"/>
        <v>81.99</v>
      </c>
    </row>
    <row r="5819" spans="1:7" ht="12.75" customHeight="1">
      <c r="A5819" s="3">
        <v>89241</v>
      </c>
      <c r="B5819" s="4" t="s">
        <v>5843</v>
      </c>
      <c r="C5819" s="3" t="s">
        <v>154</v>
      </c>
      <c r="D5819" s="5">
        <f t="shared" si="182"/>
        <v>28.89</v>
      </c>
      <c r="E5819">
        <v>31.72</v>
      </c>
      <c r="F5819" s="1789">
        <v>8.8999999999999996E-2</v>
      </c>
      <c r="G5819">
        <f t="shared" si="183"/>
        <v>28.89</v>
      </c>
    </row>
    <row r="5820" spans="1:7" ht="12.75" customHeight="1">
      <c r="A5820" s="3">
        <v>89246</v>
      </c>
      <c r="B5820" s="4" t="s">
        <v>5844</v>
      </c>
      <c r="C5820" s="3" t="s">
        <v>154</v>
      </c>
      <c r="D5820" s="5">
        <f t="shared" si="182"/>
        <v>232.16</v>
      </c>
      <c r="E5820">
        <v>254.85</v>
      </c>
      <c r="F5820" s="1789">
        <v>8.8999999999999996E-2</v>
      </c>
      <c r="G5820">
        <f t="shared" si="183"/>
        <v>232.16</v>
      </c>
    </row>
    <row r="5821" spans="1:7" ht="12.75" customHeight="1">
      <c r="A5821" s="3">
        <v>89247</v>
      </c>
      <c r="B5821" s="4" t="s">
        <v>5845</v>
      </c>
      <c r="C5821" s="3" t="s">
        <v>154</v>
      </c>
      <c r="D5821" s="5">
        <f t="shared" si="182"/>
        <v>71.09</v>
      </c>
      <c r="E5821">
        <v>78.040000000000006</v>
      </c>
      <c r="F5821" s="1789">
        <v>8.8999999999999996E-2</v>
      </c>
      <c r="G5821">
        <f t="shared" si="183"/>
        <v>71.09</v>
      </c>
    </row>
    <row r="5822" spans="1:7" ht="12.75" customHeight="1">
      <c r="A5822" s="3">
        <v>89248</v>
      </c>
      <c r="B5822" s="4" t="s">
        <v>5846</v>
      </c>
      <c r="C5822" s="3" t="s">
        <v>154</v>
      </c>
      <c r="D5822" s="5">
        <f t="shared" si="182"/>
        <v>414.13</v>
      </c>
      <c r="E5822">
        <v>454.59</v>
      </c>
      <c r="F5822" s="1789">
        <v>8.8999999999999996E-2</v>
      </c>
      <c r="G5822">
        <f t="shared" si="183"/>
        <v>414.13</v>
      </c>
    </row>
    <row r="5823" spans="1:7" ht="12.75" customHeight="1">
      <c r="A5823" s="3">
        <v>89249</v>
      </c>
      <c r="B5823" s="4" t="s">
        <v>5847</v>
      </c>
      <c r="C5823" s="3" t="s">
        <v>154</v>
      </c>
      <c r="D5823" s="5">
        <f t="shared" si="182"/>
        <v>344.7</v>
      </c>
      <c r="E5823">
        <v>378.38</v>
      </c>
      <c r="F5823" s="1789">
        <v>8.8999999999999996E-2</v>
      </c>
      <c r="G5823">
        <f t="shared" si="183"/>
        <v>344.7</v>
      </c>
    </row>
    <row r="5824" spans="1:7" ht="12.75" customHeight="1">
      <c r="A5824" s="3">
        <v>89253</v>
      </c>
      <c r="B5824" s="4" t="s">
        <v>5848</v>
      </c>
      <c r="C5824" s="3" t="s">
        <v>154</v>
      </c>
      <c r="D5824" s="5">
        <f t="shared" si="182"/>
        <v>67.19</v>
      </c>
      <c r="E5824">
        <v>73.760000000000005</v>
      </c>
      <c r="F5824" s="1789">
        <v>8.8999999999999996E-2</v>
      </c>
      <c r="G5824">
        <f t="shared" si="183"/>
        <v>67.19</v>
      </c>
    </row>
    <row r="5825" spans="1:7" ht="12.75" customHeight="1">
      <c r="A5825" s="3">
        <v>89254</v>
      </c>
      <c r="B5825" s="4" t="s">
        <v>5849</v>
      </c>
      <c r="C5825" s="3" t="s">
        <v>154</v>
      </c>
      <c r="D5825" s="5">
        <f t="shared" si="182"/>
        <v>23.68</v>
      </c>
      <c r="E5825">
        <v>26</v>
      </c>
      <c r="F5825" s="1789">
        <v>8.8999999999999996E-2</v>
      </c>
      <c r="G5825">
        <f t="shared" si="183"/>
        <v>23.68</v>
      </c>
    </row>
    <row r="5826" spans="1:7" ht="12.75" customHeight="1">
      <c r="A5826" s="3">
        <v>89255</v>
      </c>
      <c r="B5826" s="4" t="s">
        <v>5850</v>
      </c>
      <c r="C5826" s="3" t="s">
        <v>154</v>
      </c>
      <c r="D5826" s="5">
        <f t="shared" si="182"/>
        <v>108.01</v>
      </c>
      <c r="E5826">
        <v>118.57</v>
      </c>
      <c r="F5826" s="1789">
        <v>8.8999999999999996E-2</v>
      </c>
      <c r="G5826">
        <f t="shared" si="183"/>
        <v>108.01</v>
      </c>
    </row>
    <row r="5827" spans="1:7" ht="12.75" customHeight="1">
      <c r="A5827" s="3">
        <v>89256</v>
      </c>
      <c r="B5827" s="4" t="s">
        <v>5851</v>
      </c>
      <c r="C5827" s="3" t="s">
        <v>154</v>
      </c>
      <c r="D5827" s="5">
        <f t="shared" si="182"/>
        <v>77.58</v>
      </c>
      <c r="E5827">
        <v>85.16</v>
      </c>
      <c r="F5827" s="1789">
        <v>8.8999999999999996E-2</v>
      </c>
      <c r="G5827">
        <f t="shared" si="183"/>
        <v>77.58</v>
      </c>
    </row>
    <row r="5828" spans="1:7" ht="12.75" customHeight="1">
      <c r="A5828" s="3">
        <v>89259</v>
      </c>
      <c r="B5828" s="4" t="s">
        <v>5852</v>
      </c>
      <c r="C5828" s="3" t="s">
        <v>154</v>
      </c>
      <c r="D5828" s="5">
        <f t="shared" si="182"/>
        <v>24.88</v>
      </c>
      <c r="E5828">
        <v>27.32</v>
      </c>
      <c r="F5828" s="1789">
        <v>8.8999999999999996E-2</v>
      </c>
      <c r="G5828">
        <f t="shared" si="183"/>
        <v>24.88</v>
      </c>
    </row>
    <row r="5829" spans="1:7" ht="12.75" customHeight="1">
      <c r="A5829" s="3">
        <v>89260</v>
      </c>
      <c r="B5829" s="4" t="s">
        <v>5853</v>
      </c>
      <c r="C5829" s="3" t="s">
        <v>154</v>
      </c>
      <c r="D5829" s="5">
        <f t="shared" si="182"/>
        <v>9.1300000000000008</v>
      </c>
      <c r="E5829">
        <v>10.029999999999999</v>
      </c>
      <c r="F5829" s="1789">
        <v>8.8999999999999996E-2</v>
      </c>
      <c r="G5829">
        <f t="shared" si="183"/>
        <v>9.1300000000000008</v>
      </c>
    </row>
    <row r="5830" spans="1:7" ht="12.75" customHeight="1">
      <c r="A5830" s="3">
        <v>89262</v>
      </c>
      <c r="B5830" s="4" t="s">
        <v>5854</v>
      </c>
      <c r="C5830" s="3" t="s">
        <v>154</v>
      </c>
      <c r="D5830" s="5">
        <f t="shared" si="182"/>
        <v>42.12</v>
      </c>
      <c r="E5830">
        <v>46.24</v>
      </c>
      <c r="F5830" s="1789">
        <v>8.8999999999999996E-2</v>
      </c>
      <c r="G5830">
        <f t="shared" si="183"/>
        <v>42.12</v>
      </c>
    </row>
    <row r="5831" spans="1:7" ht="12.75" customHeight="1">
      <c r="A5831" s="3">
        <v>89264</v>
      </c>
      <c r="B5831" s="4" t="s">
        <v>5855</v>
      </c>
      <c r="C5831" s="3" t="s">
        <v>154</v>
      </c>
      <c r="D5831" s="5">
        <f t="shared" si="182"/>
        <v>19.2</v>
      </c>
      <c r="E5831">
        <v>21.08</v>
      </c>
      <c r="F5831" s="1789">
        <v>8.8999999999999996E-2</v>
      </c>
      <c r="G5831">
        <f t="shared" si="183"/>
        <v>19.2</v>
      </c>
    </row>
    <row r="5832" spans="1:7" ht="12.75" customHeight="1">
      <c r="A5832" s="3">
        <v>89265</v>
      </c>
      <c r="B5832" s="4" t="s">
        <v>5856</v>
      </c>
      <c r="C5832" s="3" t="s">
        <v>154</v>
      </c>
      <c r="D5832" s="5">
        <f t="shared" si="182"/>
        <v>7.65</v>
      </c>
      <c r="E5832">
        <v>8.4</v>
      </c>
      <c r="F5832" s="1789">
        <v>8.8999999999999996E-2</v>
      </c>
      <c r="G5832">
        <f t="shared" si="183"/>
        <v>7.65</v>
      </c>
    </row>
    <row r="5833" spans="1:7" ht="12.75" customHeight="1">
      <c r="A5833" s="3">
        <v>89266</v>
      </c>
      <c r="B5833" s="4" t="s">
        <v>5857</v>
      </c>
      <c r="C5833" s="3" t="s">
        <v>154</v>
      </c>
      <c r="D5833" s="5">
        <f t="shared" si="182"/>
        <v>3.08</v>
      </c>
      <c r="E5833">
        <v>3.39</v>
      </c>
      <c r="F5833" s="1789">
        <v>8.8999999999999996E-2</v>
      </c>
      <c r="G5833">
        <f t="shared" si="183"/>
        <v>3.08</v>
      </c>
    </row>
    <row r="5834" spans="1:7" ht="12.75" customHeight="1">
      <c r="A5834" s="3">
        <v>89267</v>
      </c>
      <c r="B5834" s="4" t="s">
        <v>5858</v>
      </c>
      <c r="C5834" s="3" t="s">
        <v>154</v>
      </c>
      <c r="D5834" s="5">
        <f t="shared" si="182"/>
        <v>47.56</v>
      </c>
      <c r="E5834">
        <v>52.21</v>
      </c>
      <c r="F5834" s="1789">
        <v>8.8999999999999996E-2</v>
      </c>
      <c r="G5834">
        <f t="shared" si="183"/>
        <v>47.56</v>
      </c>
    </row>
    <row r="5835" spans="1:7" ht="12.75" customHeight="1">
      <c r="A5835" s="3">
        <v>89268</v>
      </c>
      <c r="B5835" s="4" t="s">
        <v>5859</v>
      </c>
      <c r="C5835" s="3" t="s">
        <v>154</v>
      </c>
      <c r="D5835" s="5">
        <f t="shared" si="182"/>
        <v>16.760000000000002</v>
      </c>
      <c r="E5835">
        <v>18.399999999999999</v>
      </c>
      <c r="F5835" s="1789">
        <v>8.8999999999999996E-2</v>
      </c>
      <c r="G5835">
        <f t="shared" si="183"/>
        <v>16.760000000000002</v>
      </c>
    </row>
    <row r="5836" spans="1:7" ht="12.75" customHeight="1">
      <c r="A5836" s="3">
        <v>89269</v>
      </c>
      <c r="B5836" s="4" t="s">
        <v>5860</v>
      </c>
      <c r="C5836" s="3" t="s">
        <v>154</v>
      </c>
      <c r="D5836" s="5">
        <f t="shared" si="182"/>
        <v>6.77</v>
      </c>
      <c r="E5836">
        <v>7.44</v>
      </c>
      <c r="F5836" s="1789">
        <v>8.8999999999999996E-2</v>
      </c>
      <c r="G5836">
        <f t="shared" si="183"/>
        <v>6.77</v>
      </c>
    </row>
    <row r="5837" spans="1:7" ht="12.75" customHeight="1">
      <c r="A5837" s="3">
        <v>89270</v>
      </c>
      <c r="B5837" s="4" t="s">
        <v>5861</v>
      </c>
      <c r="C5837" s="3" t="s">
        <v>154</v>
      </c>
      <c r="D5837" s="5">
        <f t="shared" si="182"/>
        <v>76.459999999999994</v>
      </c>
      <c r="E5837">
        <v>83.94</v>
      </c>
      <c r="F5837" s="1789">
        <v>8.8999999999999996E-2</v>
      </c>
      <c r="G5837">
        <f t="shared" si="183"/>
        <v>76.459999999999994</v>
      </c>
    </row>
    <row r="5838" spans="1:7" ht="12.75" customHeight="1">
      <c r="A5838" s="3">
        <v>89271</v>
      </c>
      <c r="B5838" s="4" t="s">
        <v>5862</v>
      </c>
      <c r="C5838" s="3" t="s">
        <v>154</v>
      </c>
      <c r="D5838" s="5">
        <f t="shared" si="182"/>
        <v>26.54</v>
      </c>
      <c r="E5838">
        <v>29.14</v>
      </c>
      <c r="F5838" s="1789">
        <v>8.8999999999999996E-2</v>
      </c>
      <c r="G5838">
        <f t="shared" si="183"/>
        <v>26.54</v>
      </c>
    </row>
    <row r="5839" spans="1:7" ht="12.75" customHeight="1">
      <c r="A5839" s="3">
        <v>89274</v>
      </c>
      <c r="B5839" s="4" t="s">
        <v>5863</v>
      </c>
      <c r="C5839" s="3" t="s">
        <v>154</v>
      </c>
      <c r="D5839" s="5">
        <f t="shared" si="182"/>
        <v>1.4</v>
      </c>
      <c r="E5839">
        <v>1.54</v>
      </c>
      <c r="F5839" s="1789">
        <v>8.8999999999999996E-2</v>
      </c>
      <c r="G5839">
        <f t="shared" si="183"/>
        <v>1.4</v>
      </c>
    </row>
    <row r="5840" spans="1:7" ht="12.75" customHeight="1">
      <c r="A5840" s="3">
        <v>89275</v>
      </c>
      <c r="B5840" s="4" t="s">
        <v>5864</v>
      </c>
      <c r="C5840" s="3" t="s">
        <v>154</v>
      </c>
      <c r="D5840" s="5">
        <f t="shared" si="182"/>
        <v>0.34</v>
      </c>
      <c r="E5840">
        <v>0.38</v>
      </c>
      <c r="F5840" s="1789">
        <v>8.8999999999999996E-2</v>
      </c>
      <c r="G5840">
        <f t="shared" si="183"/>
        <v>0.34</v>
      </c>
    </row>
    <row r="5841" spans="1:7" ht="12.75" customHeight="1">
      <c r="A5841" s="3">
        <v>89276</v>
      </c>
      <c r="B5841" s="4" t="s">
        <v>5865</v>
      </c>
      <c r="C5841" s="3" t="s">
        <v>154</v>
      </c>
      <c r="D5841" s="5">
        <f t="shared" si="182"/>
        <v>1.86</v>
      </c>
      <c r="E5841">
        <v>2.0499999999999998</v>
      </c>
      <c r="F5841" s="1789">
        <v>8.8999999999999996E-2</v>
      </c>
      <c r="G5841">
        <f t="shared" si="183"/>
        <v>1.86</v>
      </c>
    </row>
    <row r="5842" spans="1:7" ht="12.75" customHeight="1">
      <c r="A5842" s="3">
        <v>89277</v>
      </c>
      <c r="B5842" s="4" t="s">
        <v>5866</v>
      </c>
      <c r="C5842" s="3" t="s">
        <v>154</v>
      </c>
      <c r="D5842" s="5">
        <f t="shared" si="182"/>
        <v>7.75</v>
      </c>
      <c r="E5842">
        <v>8.51</v>
      </c>
      <c r="F5842" s="1789">
        <v>8.8999999999999996E-2</v>
      </c>
      <c r="G5842">
        <f t="shared" si="183"/>
        <v>7.75</v>
      </c>
    </row>
    <row r="5843" spans="1:7" ht="12.75" customHeight="1">
      <c r="A5843" s="3">
        <v>89280</v>
      </c>
      <c r="B5843" s="4" t="s">
        <v>5867</v>
      </c>
      <c r="C5843" s="3" t="s">
        <v>154</v>
      </c>
      <c r="D5843" s="5">
        <f t="shared" si="182"/>
        <v>35.47</v>
      </c>
      <c r="E5843">
        <v>38.94</v>
      </c>
      <c r="F5843" s="1789">
        <v>8.8999999999999996E-2</v>
      </c>
      <c r="G5843">
        <f t="shared" si="183"/>
        <v>35.47</v>
      </c>
    </row>
    <row r="5844" spans="1:7" ht="12.75" customHeight="1">
      <c r="A5844" s="3">
        <v>89281</v>
      </c>
      <c r="B5844" s="4" t="s">
        <v>5868</v>
      </c>
      <c r="C5844" s="3" t="s">
        <v>154</v>
      </c>
      <c r="D5844" s="5">
        <f t="shared" si="182"/>
        <v>9.51</v>
      </c>
      <c r="E5844">
        <v>10.44</v>
      </c>
      <c r="F5844" s="1789">
        <v>8.8999999999999996E-2</v>
      </c>
      <c r="G5844">
        <f t="shared" si="183"/>
        <v>9.51</v>
      </c>
    </row>
    <row r="5845" spans="1:7" ht="12.75" customHeight="1">
      <c r="A5845" s="3">
        <v>89870</v>
      </c>
      <c r="B5845" s="4" t="s">
        <v>5869</v>
      </c>
      <c r="C5845" s="3" t="s">
        <v>154</v>
      </c>
      <c r="D5845" s="5">
        <f t="shared" ref="D5845:D5908" si="184">G5845</f>
        <v>35.93</v>
      </c>
      <c r="E5845">
        <v>39.450000000000003</v>
      </c>
      <c r="F5845" s="1789">
        <v>8.8999999999999996E-2</v>
      </c>
      <c r="G5845">
        <f t="shared" ref="G5845:G5908" si="185">TRUNC((1-F5845)*E5845,2)</f>
        <v>35.93</v>
      </c>
    </row>
    <row r="5846" spans="1:7" ht="12.75" customHeight="1">
      <c r="A5846" s="3">
        <v>89871</v>
      </c>
      <c r="B5846" s="4" t="s">
        <v>5870</v>
      </c>
      <c r="C5846" s="3" t="s">
        <v>154</v>
      </c>
      <c r="D5846" s="5">
        <f t="shared" si="184"/>
        <v>12.61</v>
      </c>
      <c r="E5846">
        <v>13.85</v>
      </c>
      <c r="F5846" s="1789">
        <v>8.8999999999999996E-2</v>
      </c>
      <c r="G5846">
        <f t="shared" si="185"/>
        <v>12.61</v>
      </c>
    </row>
    <row r="5847" spans="1:7" ht="12.75" customHeight="1">
      <c r="A5847" s="3">
        <v>89872</v>
      </c>
      <c r="B5847" s="4" t="s">
        <v>5871</v>
      </c>
      <c r="C5847" s="3" t="s">
        <v>154</v>
      </c>
      <c r="D5847" s="5">
        <f t="shared" si="184"/>
        <v>5.0999999999999996</v>
      </c>
      <c r="E5847">
        <v>5.6</v>
      </c>
      <c r="F5847" s="1789">
        <v>8.8999999999999996E-2</v>
      </c>
      <c r="G5847">
        <f t="shared" si="185"/>
        <v>5.0999999999999996</v>
      </c>
    </row>
    <row r="5848" spans="1:7" ht="12.75" customHeight="1">
      <c r="A5848" s="3">
        <v>89873</v>
      </c>
      <c r="B5848" s="4" t="s">
        <v>5872</v>
      </c>
      <c r="C5848" s="3" t="s">
        <v>154</v>
      </c>
      <c r="D5848" s="5">
        <f t="shared" si="184"/>
        <v>61.43</v>
      </c>
      <c r="E5848">
        <v>67.44</v>
      </c>
      <c r="F5848" s="1789">
        <v>8.8999999999999996E-2</v>
      </c>
      <c r="G5848">
        <f t="shared" si="185"/>
        <v>61.43</v>
      </c>
    </row>
    <row r="5849" spans="1:7" ht="12.75" customHeight="1">
      <c r="A5849" s="3">
        <v>89874</v>
      </c>
      <c r="B5849" s="4" t="s">
        <v>5873</v>
      </c>
      <c r="C5849" s="3" t="s">
        <v>154</v>
      </c>
      <c r="D5849" s="5">
        <f t="shared" si="184"/>
        <v>161.34</v>
      </c>
      <c r="E5849">
        <v>177.11</v>
      </c>
      <c r="F5849" s="1789">
        <v>8.8999999999999996E-2</v>
      </c>
      <c r="G5849">
        <f t="shared" si="185"/>
        <v>161.34</v>
      </c>
    </row>
    <row r="5850" spans="1:7" ht="12.75" customHeight="1">
      <c r="A5850" s="3">
        <v>89878</v>
      </c>
      <c r="B5850" s="4" t="s">
        <v>5874</v>
      </c>
      <c r="C5850" s="3" t="s">
        <v>154</v>
      </c>
      <c r="D5850" s="5">
        <f t="shared" si="184"/>
        <v>38.479999999999997</v>
      </c>
      <c r="E5850">
        <v>42.24</v>
      </c>
      <c r="F5850" s="1789">
        <v>8.8999999999999996E-2</v>
      </c>
      <c r="G5850">
        <f t="shared" si="185"/>
        <v>38.479999999999997</v>
      </c>
    </row>
    <row r="5851" spans="1:7" ht="12.75" customHeight="1">
      <c r="A5851" s="3">
        <v>89879</v>
      </c>
      <c r="B5851" s="4" t="s">
        <v>5875</v>
      </c>
      <c r="C5851" s="3" t="s">
        <v>154</v>
      </c>
      <c r="D5851" s="5">
        <f t="shared" si="184"/>
        <v>13.29</v>
      </c>
      <c r="E5851">
        <v>14.59</v>
      </c>
      <c r="F5851" s="1789">
        <v>8.8999999999999996E-2</v>
      </c>
      <c r="G5851">
        <f t="shared" si="185"/>
        <v>13.29</v>
      </c>
    </row>
    <row r="5852" spans="1:7" ht="12.75" customHeight="1">
      <c r="A5852" s="3">
        <v>89880</v>
      </c>
      <c r="B5852" s="4" t="s">
        <v>5876</v>
      </c>
      <c r="C5852" s="3" t="s">
        <v>154</v>
      </c>
      <c r="D5852" s="5">
        <f t="shared" si="184"/>
        <v>5.36</v>
      </c>
      <c r="E5852">
        <v>5.89</v>
      </c>
      <c r="F5852" s="1789">
        <v>8.8999999999999996E-2</v>
      </c>
      <c r="G5852">
        <f t="shared" si="185"/>
        <v>5.36</v>
      </c>
    </row>
    <row r="5853" spans="1:7" ht="12.75" customHeight="1">
      <c r="A5853" s="3">
        <v>89881</v>
      </c>
      <c r="B5853" s="4" t="s">
        <v>5877</v>
      </c>
      <c r="C5853" s="3" t="s">
        <v>154</v>
      </c>
      <c r="D5853" s="5">
        <f t="shared" si="184"/>
        <v>65.14</v>
      </c>
      <c r="E5853">
        <v>71.510000000000005</v>
      </c>
      <c r="F5853" s="1789">
        <v>8.8999999999999996E-2</v>
      </c>
      <c r="G5853">
        <f t="shared" si="185"/>
        <v>65.14</v>
      </c>
    </row>
    <row r="5854" spans="1:7" ht="12.75" customHeight="1">
      <c r="A5854" s="3">
        <v>89882</v>
      </c>
      <c r="B5854" s="4" t="s">
        <v>5878</v>
      </c>
      <c r="C5854" s="3" t="s">
        <v>154</v>
      </c>
      <c r="D5854" s="5">
        <f t="shared" si="184"/>
        <v>186.15</v>
      </c>
      <c r="E5854">
        <v>204.34</v>
      </c>
      <c r="F5854" s="1789">
        <v>8.8999999999999996E-2</v>
      </c>
      <c r="G5854">
        <f t="shared" si="185"/>
        <v>186.15</v>
      </c>
    </row>
    <row r="5855" spans="1:7" ht="12.75" customHeight="1">
      <c r="A5855" s="3">
        <v>90582</v>
      </c>
      <c r="B5855" s="4" t="s">
        <v>5879</v>
      </c>
      <c r="C5855" s="3" t="s">
        <v>154</v>
      </c>
      <c r="D5855" s="5">
        <f t="shared" si="184"/>
        <v>0.36</v>
      </c>
      <c r="E5855">
        <v>0.4</v>
      </c>
      <c r="F5855" s="1789">
        <v>8.8999999999999996E-2</v>
      </c>
      <c r="G5855">
        <f t="shared" si="185"/>
        <v>0.36</v>
      </c>
    </row>
    <row r="5856" spans="1:7" ht="12.75" customHeight="1">
      <c r="A5856" s="3">
        <v>90583</v>
      </c>
      <c r="B5856" s="4" t="s">
        <v>5880</v>
      </c>
      <c r="C5856" s="3" t="s">
        <v>154</v>
      </c>
      <c r="D5856" s="5">
        <f t="shared" si="184"/>
        <v>0.08</v>
      </c>
      <c r="E5856">
        <v>0.09</v>
      </c>
      <c r="F5856" s="1789">
        <v>8.8999999999999996E-2</v>
      </c>
      <c r="G5856">
        <f t="shared" si="185"/>
        <v>0.08</v>
      </c>
    </row>
    <row r="5857" spans="1:7" ht="12.75" customHeight="1">
      <c r="A5857" s="3">
        <v>90584</v>
      </c>
      <c r="B5857" s="4" t="s">
        <v>5881</v>
      </c>
      <c r="C5857" s="3" t="s">
        <v>154</v>
      </c>
      <c r="D5857" s="5">
        <f t="shared" si="184"/>
        <v>0.28000000000000003</v>
      </c>
      <c r="E5857">
        <v>0.31</v>
      </c>
      <c r="F5857" s="1789">
        <v>8.8999999999999996E-2</v>
      </c>
      <c r="G5857">
        <f t="shared" si="185"/>
        <v>0.28000000000000003</v>
      </c>
    </row>
    <row r="5858" spans="1:7" ht="12.75" customHeight="1">
      <c r="A5858" s="3">
        <v>90585</v>
      </c>
      <c r="B5858" s="4" t="s">
        <v>5882</v>
      </c>
      <c r="C5858" s="3" t="s">
        <v>154</v>
      </c>
      <c r="D5858" s="5">
        <f t="shared" si="184"/>
        <v>0.48</v>
      </c>
      <c r="E5858">
        <v>0.53</v>
      </c>
      <c r="F5858" s="1789">
        <v>8.8999999999999996E-2</v>
      </c>
      <c r="G5858">
        <f t="shared" si="185"/>
        <v>0.48</v>
      </c>
    </row>
    <row r="5859" spans="1:7" ht="12.75" customHeight="1">
      <c r="A5859" s="3">
        <v>90621</v>
      </c>
      <c r="B5859" s="4" t="s">
        <v>5883</v>
      </c>
      <c r="C5859" s="3" t="s">
        <v>154</v>
      </c>
      <c r="D5859" s="5">
        <f t="shared" si="184"/>
        <v>2.2000000000000002</v>
      </c>
      <c r="E5859">
        <v>2.42</v>
      </c>
      <c r="F5859" s="1789">
        <v>8.8999999999999996E-2</v>
      </c>
      <c r="G5859">
        <f t="shared" si="185"/>
        <v>2.2000000000000002</v>
      </c>
    </row>
    <row r="5860" spans="1:7" ht="12.75" customHeight="1">
      <c r="A5860" s="3">
        <v>90622</v>
      </c>
      <c r="B5860" s="4" t="s">
        <v>5884</v>
      </c>
      <c r="C5860" s="3" t="s">
        <v>154</v>
      </c>
      <c r="D5860" s="5">
        <f t="shared" si="184"/>
        <v>0.51</v>
      </c>
      <c r="E5860">
        <v>0.56000000000000005</v>
      </c>
      <c r="F5860" s="1789">
        <v>8.8999999999999996E-2</v>
      </c>
      <c r="G5860">
        <f t="shared" si="185"/>
        <v>0.51</v>
      </c>
    </row>
    <row r="5861" spans="1:7" ht="12.75" customHeight="1">
      <c r="A5861" s="3">
        <v>90623</v>
      </c>
      <c r="B5861" s="4" t="s">
        <v>5885</v>
      </c>
      <c r="C5861" s="3" t="s">
        <v>154</v>
      </c>
      <c r="D5861" s="5">
        <f t="shared" si="184"/>
        <v>2.76</v>
      </c>
      <c r="E5861">
        <v>3.03</v>
      </c>
      <c r="F5861" s="1789">
        <v>8.8999999999999996E-2</v>
      </c>
      <c r="G5861">
        <f t="shared" si="185"/>
        <v>2.76</v>
      </c>
    </row>
    <row r="5862" spans="1:7" ht="12.75" customHeight="1">
      <c r="A5862" s="3">
        <v>90624</v>
      </c>
      <c r="B5862" s="4" t="s">
        <v>5886</v>
      </c>
      <c r="C5862" s="3" t="s">
        <v>154</v>
      </c>
      <c r="D5862" s="5">
        <f t="shared" si="184"/>
        <v>2.9</v>
      </c>
      <c r="E5862">
        <v>3.19</v>
      </c>
      <c r="F5862" s="1789">
        <v>8.8999999999999996E-2</v>
      </c>
      <c r="G5862">
        <f t="shared" si="185"/>
        <v>2.9</v>
      </c>
    </row>
    <row r="5863" spans="1:7" ht="12.75" customHeight="1">
      <c r="A5863" s="3">
        <v>90627</v>
      </c>
      <c r="B5863" s="4" t="s">
        <v>5887</v>
      </c>
      <c r="C5863" s="3" t="s">
        <v>154</v>
      </c>
      <c r="D5863" s="5">
        <f t="shared" si="184"/>
        <v>42.06</v>
      </c>
      <c r="E5863">
        <v>46.17</v>
      </c>
      <c r="F5863" s="1789">
        <v>8.8999999999999996E-2</v>
      </c>
      <c r="G5863">
        <f t="shared" si="185"/>
        <v>42.06</v>
      </c>
    </row>
    <row r="5864" spans="1:7" ht="12.75" customHeight="1">
      <c r="A5864" s="3">
        <v>90628</v>
      </c>
      <c r="B5864" s="4" t="s">
        <v>5888</v>
      </c>
      <c r="C5864" s="3" t="s">
        <v>154</v>
      </c>
      <c r="D5864" s="5">
        <f t="shared" si="184"/>
        <v>11.27</v>
      </c>
      <c r="E5864">
        <v>12.38</v>
      </c>
      <c r="F5864" s="1789">
        <v>8.8999999999999996E-2</v>
      </c>
      <c r="G5864">
        <f t="shared" si="185"/>
        <v>11.27</v>
      </c>
    </row>
    <row r="5865" spans="1:7" ht="12.75" customHeight="1">
      <c r="A5865" s="3">
        <v>90629</v>
      </c>
      <c r="B5865" s="4" t="s">
        <v>5889</v>
      </c>
      <c r="C5865" s="3" t="s">
        <v>154</v>
      </c>
      <c r="D5865" s="5">
        <f t="shared" si="184"/>
        <v>52.62</v>
      </c>
      <c r="E5865">
        <v>57.77</v>
      </c>
      <c r="F5865" s="1789">
        <v>8.8999999999999996E-2</v>
      </c>
      <c r="G5865">
        <f t="shared" si="185"/>
        <v>52.62</v>
      </c>
    </row>
    <row r="5866" spans="1:7" ht="12.75" customHeight="1">
      <c r="A5866" s="3">
        <v>90630</v>
      </c>
      <c r="B5866" s="4" t="s">
        <v>5890</v>
      </c>
      <c r="C5866" s="3" t="s">
        <v>154</v>
      </c>
      <c r="D5866" s="5">
        <f t="shared" si="184"/>
        <v>1.37</v>
      </c>
      <c r="E5866">
        <v>1.51</v>
      </c>
      <c r="F5866" s="1789">
        <v>8.8999999999999996E-2</v>
      </c>
      <c r="G5866">
        <f t="shared" si="185"/>
        <v>1.37</v>
      </c>
    </row>
    <row r="5867" spans="1:7" ht="12.75" customHeight="1">
      <c r="A5867" s="3">
        <v>90633</v>
      </c>
      <c r="B5867" s="4" t="s">
        <v>5891</v>
      </c>
      <c r="C5867" s="3" t="s">
        <v>154</v>
      </c>
      <c r="D5867" s="5">
        <f t="shared" si="184"/>
        <v>3.78</v>
      </c>
      <c r="E5867">
        <v>4.16</v>
      </c>
      <c r="F5867" s="1789">
        <v>8.8999999999999996E-2</v>
      </c>
      <c r="G5867">
        <f t="shared" si="185"/>
        <v>3.78</v>
      </c>
    </row>
    <row r="5868" spans="1:7" ht="12.75" customHeight="1">
      <c r="A5868" s="3">
        <v>90634</v>
      </c>
      <c r="B5868" s="4" t="s">
        <v>5892</v>
      </c>
      <c r="C5868" s="3" t="s">
        <v>154</v>
      </c>
      <c r="D5868" s="5">
        <f t="shared" si="184"/>
        <v>0.87</v>
      </c>
      <c r="E5868">
        <v>0.96</v>
      </c>
      <c r="F5868" s="1789">
        <v>8.8999999999999996E-2</v>
      </c>
      <c r="G5868">
        <f t="shared" si="185"/>
        <v>0.87</v>
      </c>
    </row>
    <row r="5869" spans="1:7" ht="12.75" customHeight="1">
      <c r="A5869" s="3">
        <v>90635</v>
      </c>
      <c r="B5869" s="4" t="s">
        <v>5893</v>
      </c>
      <c r="C5869" s="3" t="s">
        <v>154</v>
      </c>
      <c r="D5869" s="5">
        <f t="shared" si="184"/>
        <v>4.1500000000000004</v>
      </c>
      <c r="E5869">
        <v>4.5599999999999996</v>
      </c>
      <c r="F5869" s="1789">
        <v>8.8999999999999996E-2</v>
      </c>
      <c r="G5869">
        <f t="shared" si="185"/>
        <v>4.1500000000000004</v>
      </c>
    </row>
    <row r="5870" spans="1:7" ht="12.75" customHeight="1">
      <c r="A5870" s="3">
        <v>90636</v>
      </c>
      <c r="B5870" s="4" t="s">
        <v>5894</v>
      </c>
      <c r="C5870" s="3" t="s">
        <v>154</v>
      </c>
      <c r="D5870" s="5">
        <f t="shared" si="184"/>
        <v>5.81</v>
      </c>
      <c r="E5870">
        <v>6.38</v>
      </c>
      <c r="F5870" s="1789">
        <v>8.8999999999999996E-2</v>
      </c>
      <c r="G5870">
        <f t="shared" si="185"/>
        <v>5.81</v>
      </c>
    </row>
    <row r="5871" spans="1:7" ht="12.75" customHeight="1">
      <c r="A5871" s="3">
        <v>90639</v>
      </c>
      <c r="B5871" s="4" t="s">
        <v>5895</v>
      </c>
      <c r="C5871" s="3" t="s">
        <v>154</v>
      </c>
      <c r="D5871" s="5">
        <f t="shared" si="184"/>
        <v>5.66</v>
      </c>
      <c r="E5871">
        <v>6.22</v>
      </c>
      <c r="F5871" s="1789">
        <v>8.8999999999999996E-2</v>
      </c>
      <c r="G5871">
        <f t="shared" si="185"/>
        <v>5.66</v>
      </c>
    </row>
    <row r="5872" spans="1:7" ht="12.75" customHeight="1">
      <c r="A5872" s="3">
        <v>90640</v>
      </c>
      <c r="B5872" s="4" t="s">
        <v>5896</v>
      </c>
      <c r="C5872" s="3" t="s">
        <v>154</v>
      </c>
      <c r="D5872" s="5">
        <f t="shared" si="184"/>
        <v>1.3</v>
      </c>
      <c r="E5872">
        <v>1.43</v>
      </c>
      <c r="F5872" s="1789">
        <v>8.8999999999999996E-2</v>
      </c>
      <c r="G5872">
        <f t="shared" si="185"/>
        <v>1.3</v>
      </c>
    </row>
    <row r="5873" spans="1:7" ht="12.75" customHeight="1">
      <c r="A5873" s="3">
        <v>90641</v>
      </c>
      <c r="B5873" s="4" t="s">
        <v>5897</v>
      </c>
      <c r="C5873" s="3" t="s">
        <v>154</v>
      </c>
      <c r="D5873" s="5">
        <f t="shared" si="184"/>
        <v>6.19</v>
      </c>
      <c r="E5873">
        <v>6.8</v>
      </c>
      <c r="F5873" s="1789">
        <v>8.8999999999999996E-2</v>
      </c>
      <c r="G5873">
        <f t="shared" si="185"/>
        <v>6.19</v>
      </c>
    </row>
    <row r="5874" spans="1:7" ht="12.75" customHeight="1">
      <c r="A5874" s="3">
        <v>90642</v>
      </c>
      <c r="B5874" s="4" t="s">
        <v>5898</v>
      </c>
      <c r="C5874" s="3" t="s">
        <v>154</v>
      </c>
      <c r="D5874" s="5">
        <f t="shared" si="184"/>
        <v>11.49</v>
      </c>
      <c r="E5874">
        <v>12.62</v>
      </c>
      <c r="F5874" s="1789">
        <v>8.8999999999999996E-2</v>
      </c>
      <c r="G5874">
        <f t="shared" si="185"/>
        <v>11.49</v>
      </c>
    </row>
    <row r="5875" spans="1:7" ht="12.75" customHeight="1">
      <c r="A5875" s="3">
        <v>90646</v>
      </c>
      <c r="B5875" s="4" t="s">
        <v>5899</v>
      </c>
      <c r="C5875" s="3" t="s">
        <v>154</v>
      </c>
      <c r="D5875" s="5">
        <f t="shared" si="184"/>
        <v>0.66</v>
      </c>
      <c r="E5875">
        <v>0.73</v>
      </c>
      <c r="F5875" s="1789">
        <v>8.8999999999999996E-2</v>
      </c>
      <c r="G5875">
        <f t="shared" si="185"/>
        <v>0.66</v>
      </c>
    </row>
    <row r="5876" spans="1:7" ht="12.75" customHeight="1">
      <c r="A5876" s="3">
        <v>90647</v>
      </c>
      <c r="B5876" s="4" t="s">
        <v>5900</v>
      </c>
      <c r="C5876" s="3" t="s">
        <v>154</v>
      </c>
      <c r="D5876" s="5">
        <f t="shared" si="184"/>
        <v>0.15</v>
      </c>
      <c r="E5876">
        <v>0.17</v>
      </c>
      <c r="F5876" s="1789">
        <v>8.8999999999999996E-2</v>
      </c>
      <c r="G5876">
        <f t="shared" si="185"/>
        <v>0.15</v>
      </c>
    </row>
    <row r="5877" spans="1:7" ht="12.75" customHeight="1">
      <c r="A5877" s="3">
        <v>90648</v>
      </c>
      <c r="B5877" s="4" t="s">
        <v>5901</v>
      </c>
      <c r="C5877" s="3" t="s">
        <v>154</v>
      </c>
      <c r="D5877" s="5">
        <f t="shared" si="184"/>
        <v>0.72</v>
      </c>
      <c r="E5877">
        <v>0.8</v>
      </c>
      <c r="F5877" s="1789">
        <v>8.8999999999999996E-2</v>
      </c>
      <c r="G5877">
        <f t="shared" si="185"/>
        <v>0.72</v>
      </c>
    </row>
    <row r="5878" spans="1:7" ht="12.75" customHeight="1">
      <c r="A5878" s="3">
        <v>90649</v>
      </c>
      <c r="B5878" s="4" t="s">
        <v>5902</v>
      </c>
      <c r="C5878" s="3" t="s">
        <v>154</v>
      </c>
      <c r="D5878" s="5">
        <f t="shared" si="184"/>
        <v>9</v>
      </c>
      <c r="E5878">
        <v>9.89</v>
      </c>
      <c r="F5878" s="1789">
        <v>8.8999999999999996E-2</v>
      </c>
      <c r="G5878">
        <f t="shared" si="185"/>
        <v>9</v>
      </c>
    </row>
    <row r="5879" spans="1:7" ht="12.75" customHeight="1">
      <c r="A5879" s="3">
        <v>90652</v>
      </c>
      <c r="B5879" s="4" t="s">
        <v>5903</v>
      </c>
      <c r="C5879" s="3" t="s">
        <v>154</v>
      </c>
      <c r="D5879" s="5">
        <f t="shared" si="184"/>
        <v>3.68</v>
      </c>
      <c r="E5879">
        <v>4.05</v>
      </c>
      <c r="F5879" s="1789">
        <v>8.8999999999999996E-2</v>
      </c>
      <c r="G5879">
        <f t="shared" si="185"/>
        <v>3.68</v>
      </c>
    </row>
    <row r="5880" spans="1:7" ht="12.75" customHeight="1">
      <c r="A5880" s="3">
        <v>90653</v>
      </c>
      <c r="B5880" s="4" t="s">
        <v>5904</v>
      </c>
      <c r="C5880" s="3" t="s">
        <v>154</v>
      </c>
      <c r="D5880" s="5">
        <f t="shared" si="184"/>
        <v>0.84</v>
      </c>
      <c r="E5880">
        <v>0.93</v>
      </c>
      <c r="F5880" s="1789">
        <v>8.8999999999999996E-2</v>
      </c>
      <c r="G5880">
        <f t="shared" si="185"/>
        <v>0.84</v>
      </c>
    </row>
    <row r="5881" spans="1:7" ht="12.75" customHeight="1">
      <c r="A5881" s="3">
        <v>90654</v>
      </c>
      <c r="B5881" s="4" t="s">
        <v>5905</v>
      </c>
      <c r="C5881" s="3" t="s">
        <v>154</v>
      </c>
      <c r="D5881" s="5">
        <f t="shared" si="184"/>
        <v>4.03</v>
      </c>
      <c r="E5881">
        <v>4.43</v>
      </c>
      <c r="F5881" s="1789">
        <v>8.8999999999999996E-2</v>
      </c>
      <c r="G5881">
        <f t="shared" si="185"/>
        <v>4.03</v>
      </c>
    </row>
    <row r="5882" spans="1:7" ht="12.75" customHeight="1">
      <c r="A5882" s="3">
        <v>90655</v>
      </c>
      <c r="B5882" s="4" t="s">
        <v>5906</v>
      </c>
      <c r="C5882" s="3" t="s">
        <v>154</v>
      </c>
      <c r="D5882" s="5">
        <f t="shared" si="184"/>
        <v>5.93</v>
      </c>
      <c r="E5882">
        <v>6.51</v>
      </c>
      <c r="F5882" s="1789">
        <v>8.8999999999999996E-2</v>
      </c>
      <c r="G5882">
        <f t="shared" si="185"/>
        <v>5.93</v>
      </c>
    </row>
    <row r="5883" spans="1:7" ht="12.75" customHeight="1">
      <c r="A5883" s="3">
        <v>90658</v>
      </c>
      <c r="B5883" s="4" t="s">
        <v>5907</v>
      </c>
      <c r="C5883" s="3" t="s">
        <v>154</v>
      </c>
      <c r="D5883" s="5">
        <f t="shared" si="184"/>
        <v>3.95</v>
      </c>
      <c r="E5883">
        <v>4.34</v>
      </c>
      <c r="F5883" s="1789">
        <v>8.8999999999999996E-2</v>
      </c>
      <c r="G5883">
        <f t="shared" si="185"/>
        <v>3.95</v>
      </c>
    </row>
    <row r="5884" spans="1:7" ht="12.75" customHeight="1">
      <c r="A5884" s="3">
        <v>90659</v>
      </c>
      <c r="B5884" s="4" t="s">
        <v>5908</v>
      </c>
      <c r="C5884" s="3" t="s">
        <v>154</v>
      </c>
      <c r="D5884" s="5">
        <f t="shared" si="184"/>
        <v>0.91</v>
      </c>
      <c r="E5884">
        <v>1</v>
      </c>
      <c r="F5884" s="1789">
        <v>8.8999999999999996E-2</v>
      </c>
      <c r="G5884">
        <f t="shared" si="185"/>
        <v>0.91</v>
      </c>
    </row>
    <row r="5885" spans="1:7" ht="12.75" customHeight="1">
      <c r="A5885" s="3">
        <v>90660</v>
      </c>
      <c r="B5885" s="4" t="s">
        <v>5909</v>
      </c>
      <c r="C5885" s="3" t="s">
        <v>154</v>
      </c>
      <c r="D5885" s="5">
        <f t="shared" si="184"/>
        <v>4.3099999999999996</v>
      </c>
      <c r="E5885">
        <v>4.74</v>
      </c>
      <c r="F5885" s="1789">
        <v>8.8999999999999996E-2</v>
      </c>
      <c r="G5885">
        <f t="shared" si="185"/>
        <v>4.3099999999999996</v>
      </c>
    </row>
    <row r="5886" spans="1:7" ht="12.75" customHeight="1">
      <c r="A5886" s="3">
        <v>90661</v>
      </c>
      <c r="B5886" s="4" t="s">
        <v>5910</v>
      </c>
      <c r="C5886" s="3" t="s">
        <v>154</v>
      </c>
      <c r="D5886" s="5">
        <f t="shared" si="184"/>
        <v>5.93</v>
      </c>
      <c r="E5886">
        <v>6.51</v>
      </c>
      <c r="F5886" s="1789">
        <v>8.8999999999999996E-2</v>
      </c>
      <c r="G5886">
        <f t="shared" si="185"/>
        <v>5.93</v>
      </c>
    </row>
    <row r="5887" spans="1:7" ht="12.75" customHeight="1">
      <c r="A5887" s="3">
        <v>90664</v>
      </c>
      <c r="B5887" s="4" t="s">
        <v>5911</v>
      </c>
      <c r="C5887" s="3" t="s">
        <v>154</v>
      </c>
      <c r="D5887" s="5">
        <f t="shared" si="184"/>
        <v>6.49</v>
      </c>
      <c r="E5887">
        <v>7.13</v>
      </c>
      <c r="F5887" s="1789">
        <v>8.8999999999999996E-2</v>
      </c>
      <c r="G5887">
        <f t="shared" si="185"/>
        <v>6.49</v>
      </c>
    </row>
    <row r="5888" spans="1:7" ht="12.75" customHeight="1">
      <c r="A5888" s="3">
        <v>90665</v>
      </c>
      <c r="B5888" s="4" t="s">
        <v>5912</v>
      </c>
      <c r="C5888" s="3" t="s">
        <v>154</v>
      </c>
      <c r="D5888" s="5">
        <f t="shared" si="184"/>
        <v>1.73</v>
      </c>
      <c r="E5888">
        <v>1.9</v>
      </c>
      <c r="F5888" s="1789">
        <v>8.8999999999999996E-2</v>
      </c>
      <c r="G5888">
        <f t="shared" si="185"/>
        <v>1.73</v>
      </c>
    </row>
    <row r="5889" spans="1:7" ht="12.75" customHeight="1">
      <c r="A5889" s="3">
        <v>90666</v>
      </c>
      <c r="B5889" s="4" t="s">
        <v>5913</v>
      </c>
      <c r="C5889" s="3" t="s">
        <v>154</v>
      </c>
      <c r="D5889" s="5">
        <f t="shared" si="184"/>
        <v>8.52</v>
      </c>
      <c r="E5889">
        <v>9.36</v>
      </c>
      <c r="F5889" s="1789">
        <v>8.8999999999999996E-2</v>
      </c>
      <c r="G5889">
        <f t="shared" si="185"/>
        <v>8.52</v>
      </c>
    </row>
    <row r="5890" spans="1:7" ht="12.75" customHeight="1">
      <c r="A5890" s="3">
        <v>90667</v>
      </c>
      <c r="B5890" s="4" t="s">
        <v>5914</v>
      </c>
      <c r="C5890" s="3" t="s">
        <v>154</v>
      </c>
      <c r="D5890" s="5">
        <f t="shared" si="184"/>
        <v>13.69</v>
      </c>
      <c r="E5890">
        <v>15.03</v>
      </c>
      <c r="F5890" s="1789">
        <v>8.8999999999999996E-2</v>
      </c>
      <c r="G5890">
        <f t="shared" si="185"/>
        <v>13.69</v>
      </c>
    </row>
    <row r="5891" spans="1:7" ht="12.75" customHeight="1">
      <c r="A5891" s="3">
        <v>90670</v>
      </c>
      <c r="B5891" s="4" t="s">
        <v>5915</v>
      </c>
      <c r="C5891" s="3" t="s">
        <v>154</v>
      </c>
      <c r="D5891" s="5">
        <f t="shared" si="184"/>
        <v>193.02</v>
      </c>
      <c r="E5891">
        <v>211.88</v>
      </c>
      <c r="F5891" s="1789">
        <v>8.8999999999999996E-2</v>
      </c>
      <c r="G5891">
        <f t="shared" si="185"/>
        <v>193.02</v>
      </c>
    </row>
    <row r="5892" spans="1:7" ht="12.75" customHeight="1">
      <c r="A5892" s="3">
        <v>90671</v>
      </c>
      <c r="B5892" s="4" t="s">
        <v>5916</v>
      </c>
      <c r="C5892" s="3" t="s">
        <v>154</v>
      </c>
      <c r="D5892" s="5">
        <f t="shared" si="184"/>
        <v>51.78</v>
      </c>
      <c r="E5892">
        <v>56.84</v>
      </c>
      <c r="F5892" s="1789">
        <v>8.8999999999999996E-2</v>
      </c>
      <c r="G5892">
        <f t="shared" si="185"/>
        <v>51.78</v>
      </c>
    </row>
    <row r="5893" spans="1:7" ht="12.75" customHeight="1">
      <c r="A5893" s="3">
        <v>90672</v>
      </c>
      <c r="B5893" s="4" t="s">
        <v>5917</v>
      </c>
      <c r="C5893" s="3" t="s">
        <v>154</v>
      </c>
      <c r="D5893" s="5">
        <f t="shared" si="184"/>
        <v>241.55</v>
      </c>
      <c r="E5893">
        <v>265.14999999999998</v>
      </c>
      <c r="F5893" s="1789">
        <v>8.8999999999999996E-2</v>
      </c>
      <c r="G5893">
        <f t="shared" si="185"/>
        <v>241.55</v>
      </c>
    </row>
    <row r="5894" spans="1:7" ht="12.75" customHeight="1">
      <c r="A5894" s="3">
        <v>90673</v>
      </c>
      <c r="B5894" s="4" t="s">
        <v>5918</v>
      </c>
      <c r="C5894" s="3" t="s">
        <v>154</v>
      </c>
      <c r="D5894" s="5">
        <f t="shared" si="184"/>
        <v>109.43</v>
      </c>
      <c r="E5894">
        <v>120.13</v>
      </c>
      <c r="F5894" s="1789">
        <v>8.8999999999999996E-2</v>
      </c>
      <c r="G5894">
        <f t="shared" si="185"/>
        <v>109.43</v>
      </c>
    </row>
    <row r="5895" spans="1:7" ht="12.75" customHeight="1">
      <c r="A5895" s="3">
        <v>90676</v>
      </c>
      <c r="B5895" s="4" t="s">
        <v>5919</v>
      </c>
      <c r="C5895" s="3" t="s">
        <v>154</v>
      </c>
      <c r="D5895" s="5">
        <f t="shared" si="184"/>
        <v>94.47</v>
      </c>
      <c r="E5895">
        <v>103.71</v>
      </c>
      <c r="F5895" s="1789">
        <v>8.8999999999999996E-2</v>
      </c>
      <c r="G5895">
        <f t="shared" si="185"/>
        <v>94.47</v>
      </c>
    </row>
    <row r="5896" spans="1:7" ht="12.75" customHeight="1">
      <c r="A5896" s="3">
        <v>90677</v>
      </c>
      <c r="B5896" s="4" t="s">
        <v>5920</v>
      </c>
      <c r="C5896" s="3" t="s">
        <v>154</v>
      </c>
      <c r="D5896" s="5">
        <f t="shared" si="184"/>
        <v>28.36</v>
      </c>
      <c r="E5896">
        <v>31.14</v>
      </c>
      <c r="F5896" s="1789">
        <v>8.8999999999999996E-2</v>
      </c>
      <c r="G5896">
        <f t="shared" si="185"/>
        <v>28.36</v>
      </c>
    </row>
    <row r="5897" spans="1:7" ht="12.75" customHeight="1">
      <c r="A5897" s="3">
        <v>90678</v>
      </c>
      <c r="B5897" s="4" t="s">
        <v>5921</v>
      </c>
      <c r="C5897" s="3" t="s">
        <v>154</v>
      </c>
      <c r="D5897" s="5">
        <f t="shared" si="184"/>
        <v>131.37</v>
      </c>
      <c r="E5897">
        <v>144.21</v>
      </c>
      <c r="F5897" s="1789">
        <v>8.8999999999999996E-2</v>
      </c>
      <c r="G5897">
        <f t="shared" si="185"/>
        <v>131.37</v>
      </c>
    </row>
    <row r="5898" spans="1:7" ht="12.75" customHeight="1">
      <c r="A5898" s="3">
        <v>90679</v>
      </c>
      <c r="B5898" s="4" t="s">
        <v>5922</v>
      </c>
      <c r="C5898" s="3" t="s">
        <v>154</v>
      </c>
      <c r="D5898" s="5">
        <f t="shared" si="184"/>
        <v>83.93</v>
      </c>
      <c r="E5898">
        <v>92.13</v>
      </c>
      <c r="F5898" s="1789">
        <v>8.8999999999999996E-2</v>
      </c>
      <c r="G5898">
        <f t="shared" si="185"/>
        <v>83.93</v>
      </c>
    </row>
    <row r="5899" spans="1:7" ht="12.75" customHeight="1">
      <c r="A5899" s="3">
        <v>90682</v>
      </c>
      <c r="B5899" s="4" t="s">
        <v>5923</v>
      </c>
      <c r="C5899" s="3" t="s">
        <v>154</v>
      </c>
      <c r="D5899" s="5">
        <f t="shared" si="184"/>
        <v>24.65</v>
      </c>
      <c r="E5899">
        <v>27.06</v>
      </c>
      <c r="F5899" s="1789">
        <v>8.8999999999999996E-2</v>
      </c>
      <c r="G5899">
        <f t="shared" si="185"/>
        <v>24.65</v>
      </c>
    </row>
    <row r="5900" spans="1:7" ht="12.75" customHeight="1">
      <c r="A5900" s="3">
        <v>90683</v>
      </c>
      <c r="B5900" s="4" t="s">
        <v>5924</v>
      </c>
      <c r="C5900" s="3" t="s">
        <v>154</v>
      </c>
      <c r="D5900" s="5">
        <f t="shared" si="184"/>
        <v>6.07</v>
      </c>
      <c r="E5900">
        <v>6.67</v>
      </c>
      <c r="F5900" s="1789">
        <v>8.8999999999999996E-2</v>
      </c>
      <c r="G5900">
        <f t="shared" si="185"/>
        <v>6.07</v>
      </c>
    </row>
    <row r="5901" spans="1:7" ht="12.75" customHeight="1">
      <c r="A5901" s="3">
        <v>90684</v>
      </c>
      <c r="B5901" s="4" t="s">
        <v>5925</v>
      </c>
      <c r="C5901" s="3" t="s">
        <v>154</v>
      </c>
      <c r="D5901" s="5">
        <f t="shared" si="184"/>
        <v>28.76</v>
      </c>
      <c r="E5901">
        <v>31.57</v>
      </c>
      <c r="F5901" s="1789">
        <v>8.8999999999999996E-2</v>
      </c>
      <c r="G5901">
        <f t="shared" si="185"/>
        <v>28.76</v>
      </c>
    </row>
    <row r="5902" spans="1:7" ht="12.75" customHeight="1">
      <c r="A5902" s="3">
        <v>90685</v>
      </c>
      <c r="B5902" s="4" t="s">
        <v>5926</v>
      </c>
      <c r="C5902" s="3" t="s">
        <v>154</v>
      </c>
      <c r="D5902" s="5">
        <f t="shared" si="184"/>
        <v>52.07</v>
      </c>
      <c r="E5902">
        <v>57.16</v>
      </c>
      <c r="F5902" s="1789">
        <v>8.8999999999999996E-2</v>
      </c>
      <c r="G5902">
        <f t="shared" si="185"/>
        <v>52.07</v>
      </c>
    </row>
    <row r="5903" spans="1:7" ht="12.75" customHeight="1">
      <c r="A5903" s="3">
        <v>90688</v>
      </c>
      <c r="B5903" s="4" t="s">
        <v>5927</v>
      </c>
      <c r="C5903" s="3" t="s">
        <v>154</v>
      </c>
      <c r="D5903" s="5">
        <f t="shared" si="184"/>
        <v>22.22</v>
      </c>
      <c r="E5903">
        <v>24.4</v>
      </c>
      <c r="F5903" s="1789">
        <v>8.8999999999999996E-2</v>
      </c>
      <c r="G5903">
        <f t="shared" si="185"/>
        <v>22.22</v>
      </c>
    </row>
    <row r="5904" spans="1:7" ht="12.75" customHeight="1">
      <c r="A5904" s="3">
        <v>90689</v>
      </c>
      <c r="B5904" s="4" t="s">
        <v>5928</v>
      </c>
      <c r="C5904" s="3" t="s">
        <v>154</v>
      </c>
      <c r="D5904" s="5">
        <f t="shared" si="184"/>
        <v>4.38</v>
      </c>
      <c r="E5904">
        <v>4.8099999999999996</v>
      </c>
      <c r="F5904" s="1789">
        <v>8.8999999999999996E-2</v>
      </c>
      <c r="G5904">
        <f t="shared" si="185"/>
        <v>4.38</v>
      </c>
    </row>
    <row r="5905" spans="1:7" ht="12.75" customHeight="1">
      <c r="A5905" s="3">
        <v>90690</v>
      </c>
      <c r="B5905" s="4" t="s">
        <v>5929</v>
      </c>
      <c r="C5905" s="3" t="s">
        <v>154</v>
      </c>
      <c r="D5905" s="5">
        <f t="shared" si="184"/>
        <v>27.78</v>
      </c>
      <c r="E5905">
        <v>30.5</v>
      </c>
      <c r="F5905" s="1789">
        <v>8.8999999999999996E-2</v>
      </c>
      <c r="G5905">
        <f t="shared" si="185"/>
        <v>27.78</v>
      </c>
    </row>
    <row r="5906" spans="1:7" ht="12.75" customHeight="1">
      <c r="A5906" s="3">
        <v>90691</v>
      </c>
      <c r="B5906" s="4" t="s">
        <v>5930</v>
      </c>
      <c r="C5906" s="3" t="s">
        <v>154</v>
      </c>
      <c r="D5906" s="5">
        <f t="shared" si="184"/>
        <v>36.450000000000003</v>
      </c>
      <c r="E5906">
        <v>40.020000000000003</v>
      </c>
      <c r="F5906" s="1789">
        <v>8.8999999999999996E-2</v>
      </c>
      <c r="G5906">
        <f t="shared" si="185"/>
        <v>36.450000000000003</v>
      </c>
    </row>
    <row r="5907" spans="1:7" ht="12.75" customHeight="1">
      <c r="A5907" s="3">
        <v>90957</v>
      </c>
      <c r="B5907" s="4" t="s">
        <v>5931</v>
      </c>
      <c r="C5907" s="3" t="s">
        <v>154</v>
      </c>
      <c r="D5907" s="5">
        <f t="shared" si="184"/>
        <v>4.83</v>
      </c>
      <c r="E5907">
        <v>5.31</v>
      </c>
      <c r="F5907" s="1789">
        <v>8.8999999999999996E-2</v>
      </c>
      <c r="G5907">
        <f t="shared" si="185"/>
        <v>4.83</v>
      </c>
    </row>
    <row r="5908" spans="1:7" ht="12.75" customHeight="1">
      <c r="A5908" s="3">
        <v>90958</v>
      </c>
      <c r="B5908" s="4" t="s">
        <v>5932</v>
      </c>
      <c r="C5908" s="3" t="s">
        <v>154</v>
      </c>
      <c r="D5908" s="5">
        <f t="shared" si="184"/>
        <v>1.29</v>
      </c>
      <c r="E5908">
        <v>1.42</v>
      </c>
      <c r="F5908" s="1789">
        <v>8.8999999999999996E-2</v>
      </c>
      <c r="G5908">
        <f t="shared" si="185"/>
        <v>1.29</v>
      </c>
    </row>
    <row r="5909" spans="1:7" ht="12.75" customHeight="1">
      <c r="A5909" s="3">
        <v>90960</v>
      </c>
      <c r="B5909" s="4" t="s">
        <v>5933</v>
      </c>
      <c r="C5909" s="3" t="s">
        <v>154</v>
      </c>
      <c r="D5909" s="5">
        <f t="shared" ref="D5909:D5972" si="186">G5909</f>
        <v>6.45</v>
      </c>
      <c r="E5909">
        <v>7.09</v>
      </c>
      <c r="F5909" s="1789">
        <v>8.8999999999999996E-2</v>
      </c>
      <c r="G5909">
        <f t="shared" ref="G5909:G5972" si="187">TRUNC((1-F5909)*E5909,2)</f>
        <v>6.45</v>
      </c>
    </row>
    <row r="5910" spans="1:7" ht="12.75" customHeight="1">
      <c r="A5910" s="3">
        <v>90961</v>
      </c>
      <c r="B5910" s="4" t="s">
        <v>5934</v>
      </c>
      <c r="C5910" s="3" t="s">
        <v>154</v>
      </c>
      <c r="D5910" s="5">
        <f t="shared" si="186"/>
        <v>1.73</v>
      </c>
      <c r="E5910">
        <v>1.9</v>
      </c>
      <c r="F5910" s="1789">
        <v>8.8999999999999996E-2</v>
      </c>
      <c r="G5910">
        <f t="shared" si="187"/>
        <v>1.73</v>
      </c>
    </row>
    <row r="5911" spans="1:7" ht="12.75" customHeight="1">
      <c r="A5911" s="3">
        <v>90962</v>
      </c>
      <c r="B5911" s="4" t="s">
        <v>5935</v>
      </c>
      <c r="C5911" s="3" t="s">
        <v>154</v>
      </c>
      <c r="D5911" s="5">
        <f t="shared" si="186"/>
        <v>8.08</v>
      </c>
      <c r="E5911">
        <v>8.8699999999999992</v>
      </c>
      <c r="F5911" s="1789">
        <v>8.8999999999999996E-2</v>
      </c>
      <c r="G5911">
        <f t="shared" si="187"/>
        <v>8.08</v>
      </c>
    </row>
    <row r="5912" spans="1:7" ht="12.75" customHeight="1">
      <c r="A5912" s="3">
        <v>90963</v>
      </c>
      <c r="B5912" s="4" t="s">
        <v>5936</v>
      </c>
      <c r="C5912" s="3" t="s">
        <v>154</v>
      </c>
      <c r="D5912" s="5">
        <f t="shared" si="186"/>
        <v>13.68</v>
      </c>
      <c r="E5912">
        <v>15.02</v>
      </c>
      <c r="F5912" s="1789">
        <v>8.8999999999999996E-2</v>
      </c>
      <c r="G5912">
        <f t="shared" si="187"/>
        <v>13.68</v>
      </c>
    </row>
    <row r="5913" spans="1:7" ht="12.75" customHeight="1">
      <c r="A5913" s="3">
        <v>90968</v>
      </c>
      <c r="B5913" s="4" t="s">
        <v>5937</v>
      </c>
      <c r="C5913" s="3" t="s">
        <v>154</v>
      </c>
      <c r="D5913" s="5">
        <f t="shared" si="186"/>
        <v>6.47</v>
      </c>
      <c r="E5913">
        <v>7.11</v>
      </c>
      <c r="F5913" s="1789">
        <v>8.8999999999999996E-2</v>
      </c>
      <c r="G5913">
        <f t="shared" si="187"/>
        <v>6.47</v>
      </c>
    </row>
    <row r="5914" spans="1:7" ht="12.75" customHeight="1">
      <c r="A5914" s="3">
        <v>90969</v>
      </c>
      <c r="B5914" s="4" t="s">
        <v>5938</v>
      </c>
      <c r="C5914" s="3" t="s">
        <v>154</v>
      </c>
      <c r="D5914" s="5">
        <f t="shared" si="186"/>
        <v>1.73</v>
      </c>
      <c r="E5914">
        <v>1.9</v>
      </c>
      <c r="F5914" s="1789">
        <v>8.8999999999999996E-2</v>
      </c>
      <c r="G5914">
        <f t="shared" si="187"/>
        <v>1.73</v>
      </c>
    </row>
    <row r="5915" spans="1:7" ht="12.75" customHeight="1">
      <c r="A5915" s="3">
        <v>90970</v>
      </c>
      <c r="B5915" s="4" t="s">
        <v>5939</v>
      </c>
      <c r="C5915" s="3" t="s">
        <v>154</v>
      </c>
      <c r="D5915" s="5">
        <f t="shared" si="186"/>
        <v>8.1</v>
      </c>
      <c r="E5915">
        <v>8.9</v>
      </c>
      <c r="F5915" s="1789">
        <v>8.8999999999999996E-2</v>
      </c>
      <c r="G5915">
        <f t="shared" si="187"/>
        <v>8.1</v>
      </c>
    </row>
    <row r="5916" spans="1:7" ht="12.75" customHeight="1">
      <c r="A5916" s="3">
        <v>90971</v>
      </c>
      <c r="B5916" s="4" t="s">
        <v>5940</v>
      </c>
      <c r="C5916" s="3" t="s">
        <v>154</v>
      </c>
      <c r="D5916" s="5">
        <f t="shared" si="186"/>
        <v>55.46</v>
      </c>
      <c r="E5916">
        <v>60.88</v>
      </c>
      <c r="F5916" s="1789">
        <v>8.8999999999999996E-2</v>
      </c>
      <c r="G5916">
        <f t="shared" si="187"/>
        <v>55.46</v>
      </c>
    </row>
    <row r="5917" spans="1:7" ht="12.75" customHeight="1">
      <c r="A5917" s="3">
        <v>90975</v>
      </c>
      <c r="B5917" s="4" t="s">
        <v>5941</v>
      </c>
      <c r="C5917" s="3" t="s">
        <v>154</v>
      </c>
      <c r="D5917" s="5">
        <f t="shared" si="186"/>
        <v>16.45</v>
      </c>
      <c r="E5917">
        <v>18.059999999999999</v>
      </c>
      <c r="F5917" s="1789">
        <v>8.8999999999999996E-2</v>
      </c>
      <c r="G5917">
        <f t="shared" si="187"/>
        <v>16.45</v>
      </c>
    </row>
    <row r="5918" spans="1:7" ht="12.75" customHeight="1">
      <c r="A5918" s="3">
        <v>90976</v>
      </c>
      <c r="B5918" s="4" t="s">
        <v>5942</v>
      </c>
      <c r="C5918" s="3" t="s">
        <v>154</v>
      </c>
      <c r="D5918" s="5">
        <f t="shared" si="186"/>
        <v>4.4000000000000004</v>
      </c>
      <c r="E5918">
        <v>4.84</v>
      </c>
      <c r="F5918" s="1789">
        <v>8.8999999999999996E-2</v>
      </c>
      <c r="G5918">
        <f t="shared" si="187"/>
        <v>4.4000000000000004</v>
      </c>
    </row>
    <row r="5919" spans="1:7" ht="12.75" customHeight="1">
      <c r="A5919" s="3">
        <v>90977</v>
      </c>
      <c r="B5919" s="4" t="s">
        <v>5943</v>
      </c>
      <c r="C5919" s="3" t="s">
        <v>154</v>
      </c>
      <c r="D5919" s="5">
        <f t="shared" si="186"/>
        <v>20.58</v>
      </c>
      <c r="E5919">
        <v>22.6</v>
      </c>
      <c r="F5919" s="1789">
        <v>8.8999999999999996E-2</v>
      </c>
      <c r="G5919">
        <f t="shared" si="187"/>
        <v>20.58</v>
      </c>
    </row>
    <row r="5920" spans="1:7" ht="12.75" customHeight="1">
      <c r="A5920" s="3">
        <v>90978</v>
      </c>
      <c r="B5920" s="4" t="s">
        <v>5944</v>
      </c>
      <c r="C5920" s="3" t="s">
        <v>154</v>
      </c>
      <c r="D5920" s="5">
        <f t="shared" si="186"/>
        <v>143.88</v>
      </c>
      <c r="E5920">
        <v>157.94</v>
      </c>
      <c r="F5920" s="1789">
        <v>8.8999999999999996E-2</v>
      </c>
      <c r="G5920">
        <f t="shared" si="187"/>
        <v>143.88</v>
      </c>
    </row>
    <row r="5921" spans="1:7" ht="12.75" customHeight="1">
      <c r="A5921" s="3">
        <v>90992</v>
      </c>
      <c r="B5921" s="4" t="s">
        <v>5945</v>
      </c>
      <c r="C5921" s="3" t="s">
        <v>154</v>
      </c>
      <c r="D5921" s="5">
        <f t="shared" si="186"/>
        <v>7.67</v>
      </c>
      <c r="E5921">
        <v>8.43</v>
      </c>
      <c r="F5921" s="1789">
        <v>8.8999999999999996E-2</v>
      </c>
      <c r="G5921">
        <f t="shared" si="187"/>
        <v>7.67</v>
      </c>
    </row>
    <row r="5922" spans="1:7" ht="12.75" customHeight="1">
      <c r="A5922" s="3">
        <v>90993</v>
      </c>
      <c r="B5922" s="4" t="s">
        <v>5946</v>
      </c>
      <c r="C5922" s="3" t="s">
        <v>154</v>
      </c>
      <c r="D5922" s="5">
        <f t="shared" si="186"/>
        <v>2.0499999999999998</v>
      </c>
      <c r="E5922">
        <v>2.2599999999999998</v>
      </c>
      <c r="F5922" s="1789">
        <v>8.8999999999999996E-2</v>
      </c>
      <c r="G5922">
        <f t="shared" si="187"/>
        <v>2.0499999999999998</v>
      </c>
    </row>
    <row r="5923" spans="1:7" ht="12.75" customHeight="1">
      <c r="A5923" s="3">
        <v>90994</v>
      </c>
      <c r="B5923" s="4" t="s">
        <v>5947</v>
      </c>
      <c r="C5923" s="3" t="s">
        <v>154</v>
      </c>
      <c r="D5923" s="5">
        <f t="shared" si="186"/>
        <v>9.61</v>
      </c>
      <c r="E5923">
        <v>10.55</v>
      </c>
      <c r="F5923" s="1789">
        <v>8.8999999999999996E-2</v>
      </c>
      <c r="G5923">
        <f t="shared" si="187"/>
        <v>9.61</v>
      </c>
    </row>
    <row r="5924" spans="1:7" ht="12.75" customHeight="1">
      <c r="A5924" s="3">
        <v>90995</v>
      </c>
      <c r="B5924" s="4" t="s">
        <v>5948</v>
      </c>
      <c r="C5924" s="3" t="s">
        <v>154</v>
      </c>
      <c r="D5924" s="5">
        <f t="shared" si="186"/>
        <v>75.33</v>
      </c>
      <c r="E5924">
        <v>82.69</v>
      </c>
      <c r="F5924" s="1789">
        <v>8.8999999999999996E-2</v>
      </c>
      <c r="G5924">
        <f t="shared" si="187"/>
        <v>75.33</v>
      </c>
    </row>
    <row r="5925" spans="1:7" ht="12.75" customHeight="1">
      <c r="A5925" s="3">
        <v>91021</v>
      </c>
      <c r="B5925" s="4" t="s">
        <v>5949</v>
      </c>
      <c r="C5925" s="3" t="s">
        <v>154</v>
      </c>
      <c r="D5925" s="5">
        <f t="shared" si="186"/>
        <v>11.48</v>
      </c>
      <c r="E5925">
        <v>12.61</v>
      </c>
      <c r="F5925" s="1789">
        <v>8.8999999999999996E-2</v>
      </c>
      <c r="G5925">
        <f t="shared" si="187"/>
        <v>11.48</v>
      </c>
    </row>
    <row r="5926" spans="1:7" ht="12.75" customHeight="1">
      <c r="A5926" s="3">
        <v>91026</v>
      </c>
      <c r="B5926" s="4" t="s">
        <v>5950</v>
      </c>
      <c r="C5926" s="3" t="s">
        <v>154</v>
      </c>
      <c r="D5926" s="5">
        <f t="shared" si="186"/>
        <v>22.54</v>
      </c>
      <c r="E5926">
        <v>24.75</v>
      </c>
      <c r="F5926" s="1789">
        <v>8.8999999999999996E-2</v>
      </c>
      <c r="G5926">
        <f t="shared" si="187"/>
        <v>22.54</v>
      </c>
    </row>
    <row r="5927" spans="1:7" ht="12.75" customHeight="1">
      <c r="A5927" s="3">
        <v>91027</v>
      </c>
      <c r="B5927" s="4" t="s">
        <v>5951</v>
      </c>
      <c r="C5927" s="3" t="s">
        <v>154</v>
      </c>
      <c r="D5927" s="5">
        <f t="shared" si="186"/>
        <v>9.0299999999999994</v>
      </c>
      <c r="E5927">
        <v>9.92</v>
      </c>
      <c r="F5927" s="1789">
        <v>8.8999999999999996E-2</v>
      </c>
      <c r="G5927">
        <f t="shared" si="187"/>
        <v>9.0299999999999994</v>
      </c>
    </row>
    <row r="5928" spans="1:7" ht="12.75" customHeight="1">
      <c r="A5928" s="3">
        <v>91028</v>
      </c>
      <c r="B5928" s="4" t="s">
        <v>5952</v>
      </c>
      <c r="C5928" s="3" t="s">
        <v>154</v>
      </c>
      <c r="D5928" s="5">
        <f t="shared" si="186"/>
        <v>3.65</v>
      </c>
      <c r="E5928">
        <v>4.01</v>
      </c>
      <c r="F5928" s="1789">
        <v>8.8999999999999996E-2</v>
      </c>
      <c r="G5928">
        <f t="shared" si="187"/>
        <v>3.65</v>
      </c>
    </row>
    <row r="5929" spans="1:7" ht="12.75" customHeight="1">
      <c r="A5929" s="3">
        <v>91029</v>
      </c>
      <c r="B5929" s="4" t="s">
        <v>5953</v>
      </c>
      <c r="C5929" s="3" t="s">
        <v>154</v>
      </c>
      <c r="D5929" s="5">
        <f t="shared" si="186"/>
        <v>41.34</v>
      </c>
      <c r="E5929">
        <v>45.38</v>
      </c>
      <c r="F5929" s="1789">
        <v>8.8999999999999996E-2</v>
      </c>
      <c r="G5929">
        <f t="shared" si="187"/>
        <v>41.34</v>
      </c>
    </row>
    <row r="5930" spans="1:7" ht="12.75" customHeight="1">
      <c r="A5930" s="3">
        <v>91030</v>
      </c>
      <c r="B5930" s="4" t="s">
        <v>5954</v>
      </c>
      <c r="C5930" s="3" t="s">
        <v>154</v>
      </c>
      <c r="D5930" s="5">
        <f t="shared" si="186"/>
        <v>134.24</v>
      </c>
      <c r="E5930">
        <v>147.36000000000001</v>
      </c>
      <c r="F5930" s="1789">
        <v>8.8999999999999996E-2</v>
      </c>
      <c r="G5930">
        <f t="shared" si="187"/>
        <v>134.24</v>
      </c>
    </row>
    <row r="5931" spans="1:7" ht="12.75" customHeight="1">
      <c r="A5931" s="3">
        <v>91273</v>
      </c>
      <c r="B5931" s="4" t="s">
        <v>5955</v>
      </c>
      <c r="C5931" s="3" t="s">
        <v>154</v>
      </c>
      <c r="D5931" s="5">
        <f t="shared" si="186"/>
        <v>0.51</v>
      </c>
      <c r="E5931">
        <v>0.56000000000000005</v>
      </c>
      <c r="F5931" s="1789">
        <v>8.8999999999999996E-2</v>
      </c>
      <c r="G5931">
        <f t="shared" si="187"/>
        <v>0.51</v>
      </c>
    </row>
    <row r="5932" spans="1:7" ht="12.75" customHeight="1">
      <c r="A5932" s="3">
        <v>91274</v>
      </c>
      <c r="B5932" s="4" t="s">
        <v>5956</v>
      </c>
      <c r="C5932" s="3" t="s">
        <v>154</v>
      </c>
      <c r="D5932" s="5">
        <f t="shared" si="186"/>
        <v>0.13</v>
      </c>
      <c r="E5932">
        <v>0.15</v>
      </c>
      <c r="F5932" s="1789">
        <v>8.8999999999999996E-2</v>
      </c>
      <c r="G5932">
        <f t="shared" si="187"/>
        <v>0.13</v>
      </c>
    </row>
    <row r="5933" spans="1:7" ht="12.75" customHeight="1">
      <c r="A5933" s="3">
        <v>91275</v>
      </c>
      <c r="B5933" s="4" t="s">
        <v>5957</v>
      </c>
      <c r="C5933" s="3" t="s">
        <v>154</v>
      </c>
      <c r="D5933" s="5">
        <f t="shared" si="186"/>
        <v>0.63</v>
      </c>
      <c r="E5933">
        <v>0.7</v>
      </c>
      <c r="F5933" s="1789">
        <v>8.8999999999999996E-2</v>
      </c>
      <c r="G5933">
        <f t="shared" si="187"/>
        <v>0.63</v>
      </c>
    </row>
    <row r="5934" spans="1:7" ht="12.75" customHeight="1">
      <c r="A5934" s="3">
        <v>91276</v>
      </c>
      <c r="B5934" s="4" t="s">
        <v>5958</v>
      </c>
      <c r="C5934" s="3" t="s">
        <v>154</v>
      </c>
      <c r="D5934" s="5">
        <f t="shared" si="186"/>
        <v>7.87</v>
      </c>
      <c r="E5934">
        <v>8.64</v>
      </c>
      <c r="F5934" s="1789">
        <v>8.8999999999999996E-2</v>
      </c>
      <c r="G5934">
        <f t="shared" si="187"/>
        <v>7.87</v>
      </c>
    </row>
    <row r="5935" spans="1:7" ht="12.75" customHeight="1">
      <c r="A5935" s="3">
        <v>91279</v>
      </c>
      <c r="B5935" s="4" t="s">
        <v>5959</v>
      </c>
      <c r="C5935" s="3" t="s">
        <v>154</v>
      </c>
      <c r="D5935" s="5">
        <f t="shared" si="186"/>
        <v>0.88</v>
      </c>
      <c r="E5935">
        <v>0.97</v>
      </c>
      <c r="F5935" s="1789">
        <v>8.8999999999999996E-2</v>
      </c>
      <c r="G5935">
        <f t="shared" si="187"/>
        <v>0.88</v>
      </c>
    </row>
    <row r="5936" spans="1:7" ht="12.75" customHeight="1">
      <c r="A5936" s="3">
        <v>91280</v>
      </c>
      <c r="B5936" s="4" t="s">
        <v>5960</v>
      </c>
      <c r="C5936" s="3" t="s">
        <v>154</v>
      </c>
      <c r="D5936" s="5">
        <f t="shared" si="186"/>
        <v>0.19</v>
      </c>
      <c r="E5936">
        <v>0.21</v>
      </c>
      <c r="F5936" s="1789">
        <v>8.8999999999999996E-2</v>
      </c>
      <c r="G5936">
        <f t="shared" si="187"/>
        <v>0.19</v>
      </c>
    </row>
    <row r="5937" spans="1:7" ht="12.75" customHeight="1">
      <c r="A5937" s="3">
        <v>91281</v>
      </c>
      <c r="B5937" s="4" t="s">
        <v>5961</v>
      </c>
      <c r="C5937" s="3" t="s">
        <v>154</v>
      </c>
      <c r="D5937" s="5">
        <f t="shared" si="186"/>
        <v>1.1200000000000001</v>
      </c>
      <c r="E5937">
        <v>1.23</v>
      </c>
      <c r="F5937" s="1789">
        <v>8.8999999999999996E-2</v>
      </c>
      <c r="G5937">
        <f t="shared" si="187"/>
        <v>1.1200000000000001</v>
      </c>
    </row>
    <row r="5938" spans="1:7" ht="12.75" customHeight="1">
      <c r="A5938" s="3">
        <v>91282</v>
      </c>
      <c r="B5938" s="4" t="s">
        <v>5962</v>
      </c>
      <c r="C5938" s="3" t="s">
        <v>154</v>
      </c>
      <c r="D5938" s="5">
        <f t="shared" si="186"/>
        <v>7.92</v>
      </c>
      <c r="E5938">
        <v>8.6999999999999993</v>
      </c>
      <c r="F5938" s="1789">
        <v>8.8999999999999996E-2</v>
      </c>
      <c r="G5938">
        <f t="shared" si="187"/>
        <v>7.92</v>
      </c>
    </row>
    <row r="5939" spans="1:7" ht="12.75" customHeight="1">
      <c r="A5939" s="3">
        <v>91354</v>
      </c>
      <c r="B5939" s="4" t="s">
        <v>5963</v>
      </c>
      <c r="C5939" s="3" t="s">
        <v>154</v>
      </c>
      <c r="D5939" s="5">
        <f t="shared" si="186"/>
        <v>16.04</v>
      </c>
      <c r="E5939">
        <v>17.61</v>
      </c>
      <c r="F5939" s="1789">
        <v>8.8999999999999996E-2</v>
      </c>
      <c r="G5939">
        <f t="shared" si="187"/>
        <v>16.04</v>
      </c>
    </row>
    <row r="5940" spans="1:7" ht="12.75" customHeight="1">
      <c r="A5940" s="3">
        <v>91355</v>
      </c>
      <c r="B5940" s="4" t="s">
        <v>5964</v>
      </c>
      <c r="C5940" s="3" t="s">
        <v>154</v>
      </c>
      <c r="D5940" s="5">
        <f t="shared" si="186"/>
        <v>6.59</v>
      </c>
      <c r="E5940">
        <v>7.24</v>
      </c>
      <c r="F5940" s="1789">
        <v>8.8999999999999996E-2</v>
      </c>
      <c r="G5940">
        <f t="shared" si="187"/>
        <v>6.59</v>
      </c>
    </row>
    <row r="5941" spans="1:7" ht="12.75" customHeight="1">
      <c r="A5941" s="3">
        <v>91356</v>
      </c>
      <c r="B5941" s="4" t="s">
        <v>5965</v>
      </c>
      <c r="C5941" s="3" t="s">
        <v>154</v>
      </c>
      <c r="D5941" s="5">
        <f t="shared" si="186"/>
        <v>2.66</v>
      </c>
      <c r="E5941">
        <v>2.92</v>
      </c>
      <c r="F5941" s="1789">
        <v>8.8999999999999996E-2</v>
      </c>
      <c r="G5941">
        <f t="shared" si="187"/>
        <v>2.66</v>
      </c>
    </row>
    <row r="5942" spans="1:7" ht="12.75" customHeight="1">
      <c r="A5942" s="3">
        <v>91359</v>
      </c>
      <c r="B5942" s="4" t="s">
        <v>5966</v>
      </c>
      <c r="C5942" s="3" t="s">
        <v>154</v>
      </c>
      <c r="D5942" s="5">
        <f t="shared" si="186"/>
        <v>19.12</v>
      </c>
      <c r="E5942">
        <v>20.99</v>
      </c>
      <c r="F5942" s="1789">
        <v>8.8999999999999996E-2</v>
      </c>
      <c r="G5942">
        <f t="shared" si="187"/>
        <v>19.12</v>
      </c>
    </row>
    <row r="5943" spans="1:7" ht="12.75" customHeight="1">
      <c r="A5943" s="3">
        <v>91360</v>
      </c>
      <c r="B5943" s="4" t="s">
        <v>5967</v>
      </c>
      <c r="C5943" s="3" t="s">
        <v>154</v>
      </c>
      <c r="D5943" s="5">
        <f t="shared" si="186"/>
        <v>7.31</v>
      </c>
      <c r="E5943">
        <v>8.0299999999999994</v>
      </c>
      <c r="F5943" s="1789">
        <v>8.8999999999999996E-2</v>
      </c>
      <c r="G5943">
        <f t="shared" si="187"/>
        <v>7.31</v>
      </c>
    </row>
    <row r="5944" spans="1:7" ht="12.75" customHeight="1">
      <c r="A5944" s="3">
        <v>91361</v>
      </c>
      <c r="B5944" s="4" t="s">
        <v>5968</v>
      </c>
      <c r="C5944" s="3" t="s">
        <v>154</v>
      </c>
      <c r="D5944" s="5">
        <f t="shared" si="186"/>
        <v>2.95</v>
      </c>
      <c r="E5944">
        <v>3.24</v>
      </c>
      <c r="F5944" s="1789">
        <v>8.8999999999999996E-2</v>
      </c>
      <c r="G5944">
        <f t="shared" si="187"/>
        <v>2.95</v>
      </c>
    </row>
    <row r="5945" spans="1:7" ht="12.75" customHeight="1">
      <c r="A5945" s="3">
        <v>91367</v>
      </c>
      <c r="B5945" s="4" t="s">
        <v>5969</v>
      </c>
      <c r="C5945" s="3" t="s">
        <v>154</v>
      </c>
      <c r="D5945" s="5">
        <f t="shared" si="186"/>
        <v>20.170000000000002</v>
      </c>
      <c r="E5945">
        <v>22.15</v>
      </c>
      <c r="F5945" s="1789">
        <v>8.8999999999999996E-2</v>
      </c>
      <c r="G5945">
        <f t="shared" si="187"/>
        <v>20.170000000000002</v>
      </c>
    </row>
    <row r="5946" spans="1:7" ht="12.75" customHeight="1">
      <c r="A5946" s="3">
        <v>91368</v>
      </c>
      <c r="B5946" s="4" t="s">
        <v>5970</v>
      </c>
      <c r="C5946" s="3" t="s">
        <v>154</v>
      </c>
      <c r="D5946" s="5">
        <f t="shared" si="186"/>
        <v>7.75</v>
      </c>
      <c r="E5946">
        <v>8.51</v>
      </c>
      <c r="F5946" s="1789">
        <v>8.8999999999999996E-2</v>
      </c>
      <c r="G5946">
        <f t="shared" si="187"/>
        <v>7.75</v>
      </c>
    </row>
    <row r="5947" spans="1:7" ht="12.75" customHeight="1">
      <c r="A5947" s="3">
        <v>91369</v>
      </c>
      <c r="B5947" s="4" t="s">
        <v>5971</v>
      </c>
      <c r="C5947" s="3" t="s">
        <v>154</v>
      </c>
      <c r="D5947" s="5">
        <f t="shared" si="186"/>
        <v>3.12</v>
      </c>
      <c r="E5947">
        <v>3.43</v>
      </c>
      <c r="F5947" s="1789">
        <v>8.8999999999999996E-2</v>
      </c>
      <c r="G5947">
        <f t="shared" si="187"/>
        <v>3.12</v>
      </c>
    </row>
    <row r="5948" spans="1:7" ht="12.75" customHeight="1">
      <c r="A5948" s="3">
        <v>91375</v>
      </c>
      <c r="B5948" s="4" t="s">
        <v>5972</v>
      </c>
      <c r="C5948" s="3" t="s">
        <v>154</v>
      </c>
      <c r="D5948" s="5">
        <f t="shared" si="186"/>
        <v>17.61</v>
      </c>
      <c r="E5948">
        <v>19.34</v>
      </c>
      <c r="F5948" s="1789">
        <v>8.8999999999999996E-2</v>
      </c>
      <c r="G5948">
        <f t="shared" si="187"/>
        <v>17.61</v>
      </c>
    </row>
    <row r="5949" spans="1:7" ht="12.75" customHeight="1">
      <c r="A5949" s="3">
        <v>91376</v>
      </c>
      <c r="B5949" s="4" t="s">
        <v>5973</v>
      </c>
      <c r="C5949" s="3" t="s">
        <v>154</v>
      </c>
      <c r="D5949" s="5">
        <f t="shared" si="186"/>
        <v>7.24</v>
      </c>
      <c r="E5949">
        <v>7.95</v>
      </c>
      <c r="F5949" s="1789">
        <v>8.8999999999999996E-2</v>
      </c>
      <c r="G5949">
        <f t="shared" si="187"/>
        <v>7.24</v>
      </c>
    </row>
    <row r="5950" spans="1:7" ht="12.75" customHeight="1">
      <c r="A5950" s="3">
        <v>91377</v>
      </c>
      <c r="B5950" s="4" t="s">
        <v>5974</v>
      </c>
      <c r="C5950" s="3" t="s">
        <v>154</v>
      </c>
      <c r="D5950" s="5">
        <f t="shared" si="186"/>
        <v>2.92</v>
      </c>
      <c r="E5950">
        <v>3.21</v>
      </c>
      <c r="F5950" s="1789">
        <v>8.8999999999999996E-2</v>
      </c>
      <c r="G5950">
        <f t="shared" si="187"/>
        <v>2.92</v>
      </c>
    </row>
    <row r="5951" spans="1:7" ht="12.75" customHeight="1">
      <c r="A5951" s="3">
        <v>91380</v>
      </c>
      <c r="B5951" s="4" t="s">
        <v>5975</v>
      </c>
      <c r="C5951" s="3" t="s">
        <v>154</v>
      </c>
      <c r="D5951" s="5">
        <f t="shared" si="186"/>
        <v>26.55</v>
      </c>
      <c r="E5951">
        <v>29.15</v>
      </c>
      <c r="F5951" s="1789">
        <v>8.8999999999999996E-2</v>
      </c>
      <c r="G5951">
        <f t="shared" si="187"/>
        <v>26.55</v>
      </c>
    </row>
    <row r="5952" spans="1:7" ht="12.75" customHeight="1">
      <c r="A5952" s="3">
        <v>91381</v>
      </c>
      <c r="B5952" s="4" t="s">
        <v>5976</v>
      </c>
      <c r="C5952" s="3" t="s">
        <v>154</v>
      </c>
      <c r="D5952" s="5">
        <f t="shared" si="186"/>
        <v>10.19</v>
      </c>
      <c r="E5952">
        <v>11.19</v>
      </c>
      <c r="F5952" s="1789">
        <v>8.8999999999999996E-2</v>
      </c>
      <c r="G5952">
        <f t="shared" si="187"/>
        <v>10.19</v>
      </c>
    </row>
    <row r="5953" spans="1:7" ht="12.75" customHeight="1">
      <c r="A5953" s="3">
        <v>91382</v>
      </c>
      <c r="B5953" s="4" t="s">
        <v>5977</v>
      </c>
      <c r="C5953" s="3" t="s">
        <v>154</v>
      </c>
      <c r="D5953" s="5">
        <f t="shared" si="186"/>
        <v>4.1100000000000003</v>
      </c>
      <c r="E5953">
        <v>4.5199999999999996</v>
      </c>
      <c r="F5953" s="1789">
        <v>8.8999999999999996E-2</v>
      </c>
      <c r="G5953">
        <f t="shared" si="187"/>
        <v>4.1100000000000003</v>
      </c>
    </row>
    <row r="5954" spans="1:7" ht="12.75" customHeight="1">
      <c r="A5954" s="3">
        <v>91383</v>
      </c>
      <c r="B5954" s="4" t="s">
        <v>5978</v>
      </c>
      <c r="C5954" s="3" t="s">
        <v>154</v>
      </c>
      <c r="D5954" s="5">
        <f t="shared" si="186"/>
        <v>47.79</v>
      </c>
      <c r="E5954">
        <v>52.46</v>
      </c>
      <c r="F5954" s="1789">
        <v>8.8999999999999996E-2</v>
      </c>
      <c r="G5954">
        <f t="shared" si="187"/>
        <v>47.79</v>
      </c>
    </row>
    <row r="5955" spans="1:7" ht="12.75" customHeight="1">
      <c r="A5955" s="3">
        <v>91384</v>
      </c>
      <c r="B5955" s="4" t="s">
        <v>5979</v>
      </c>
      <c r="C5955" s="3" t="s">
        <v>154</v>
      </c>
      <c r="D5955" s="5">
        <f t="shared" si="186"/>
        <v>129.75</v>
      </c>
      <c r="E5955">
        <v>142.43</v>
      </c>
      <c r="F5955" s="1789">
        <v>8.8999999999999996E-2</v>
      </c>
      <c r="G5955">
        <f t="shared" si="187"/>
        <v>129.75</v>
      </c>
    </row>
    <row r="5956" spans="1:7" ht="12.75" customHeight="1">
      <c r="A5956" s="3">
        <v>91390</v>
      </c>
      <c r="B5956" s="4" t="s">
        <v>5980</v>
      </c>
      <c r="C5956" s="3" t="s">
        <v>154</v>
      </c>
      <c r="D5956" s="5">
        <f t="shared" si="186"/>
        <v>17.52</v>
      </c>
      <c r="E5956">
        <v>19.239999999999998</v>
      </c>
      <c r="F5956" s="1789">
        <v>8.8999999999999996E-2</v>
      </c>
      <c r="G5956">
        <f t="shared" si="187"/>
        <v>17.52</v>
      </c>
    </row>
    <row r="5957" spans="1:7" ht="12.75" customHeight="1">
      <c r="A5957" s="3">
        <v>91391</v>
      </c>
      <c r="B5957" s="4" t="s">
        <v>5981</v>
      </c>
      <c r="C5957" s="3" t="s">
        <v>154</v>
      </c>
      <c r="D5957" s="5">
        <f t="shared" si="186"/>
        <v>6.97</v>
      </c>
      <c r="E5957">
        <v>7.66</v>
      </c>
      <c r="F5957" s="1789">
        <v>8.8999999999999996E-2</v>
      </c>
      <c r="G5957">
        <f t="shared" si="187"/>
        <v>6.97</v>
      </c>
    </row>
    <row r="5958" spans="1:7" ht="12.75" customHeight="1">
      <c r="A5958" s="3">
        <v>91392</v>
      </c>
      <c r="B5958" s="4" t="s">
        <v>5982</v>
      </c>
      <c r="C5958" s="3" t="s">
        <v>154</v>
      </c>
      <c r="D5958" s="5">
        <f t="shared" si="186"/>
        <v>2.81</v>
      </c>
      <c r="E5958">
        <v>3.09</v>
      </c>
      <c r="F5958" s="1789">
        <v>8.8999999999999996E-2</v>
      </c>
      <c r="G5958">
        <f t="shared" si="187"/>
        <v>2.81</v>
      </c>
    </row>
    <row r="5959" spans="1:7" ht="12.75" customHeight="1">
      <c r="A5959" s="3">
        <v>91396</v>
      </c>
      <c r="B5959" s="4" t="s">
        <v>5983</v>
      </c>
      <c r="C5959" s="3" t="s">
        <v>154</v>
      </c>
      <c r="D5959" s="5">
        <f t="shared" si="186"/>
        <v>26.51</v>
      </c>
      <c r="E5959">
        <v>29.11</v>
      </c>
      <c r="F5959" s="1789">
        <v>8.8999999999999996E-2</v>
      </c>
      <c r="G5959">
        <f t="shared" si="187"/>
        <v>26.51</v>
      </c>
    </row>
    <row r="5960" spans="1:7" ht="12.75" customHeight="1">
      <c r="A5960" s="3">
        <v>91397</v>
      </c>
      <c r="B5960" s="4" t="s">
        <v>5984</v>
      </c>
      <c r="C5960" s="3" t="s">
        <v>154</v>
      </c>
      <c r="D5960" s="5">
        <f t="shared" si="186"/>
        <v>10.24</v>
      </c>
      <c r="E5960">
        <v>11.25</v>
      </c>
      <c r="F5960" s="1789">
        <v>8.8999999999999996E-2</v>
      </c>
      <c r="G5960">
        <f t="shared" si="187"/>
        <v>10.24</v>
      </c>
    </row>
    <row r="5961" spans="1:7" ht="12.75" customHeight="1">
      <c r="A5961" s="3">
        <v>91398</v>
      </c>
      <c r="B5961" s="4" t="s">
        <v>5985</v>
      </c>
      <c r="C5961" s="3" t="s">
        <v>154</v>
      </c>
      <c r="D5961" s="5">
        <f t="shared" si="186"/>
        <v>4.13</v>
      </c>
      <c r="E5961">
        <v>4.54</v>
      </c>
      <c r="F5961" s="1789">
        <v>8.8999999999999996E-2</v>
      </c>
      <c r="G5961">
        <f t="shared" si="187"/>
        <v>4.13</v>
      </c>
    </row>
    <row r="5962" spans="1:7" ht="12.75" customHeight="1">
      <c r="A5962" s="3">
        <v>91402</v>
      </c>
      <c r="B5962" s="4" t="s">
        <v>5986</v>
      </c>
      <c r="C5962" s="3" t="s">
        <v>154</v>
      </c>
      <c r="D5962" s="5">
        <f t="shared" si="186"/>
        <v>3.24</v>
      </c>
      <c r="E5962">
        <v>3.56</v>
      </c>
      <c r="F5962" s="1789">
        <v>8.8999999999999996E-2</v>
      </c>
      <c r="G5962">
        <f t="shared" si="187"/>
        <v>3.24</v>
      </c>
    </row>
    <row r="5963" spans="1:7" ht="12.75" customHeight="1">
      <c r="A5963" s="3">
        <v>91466</v>
      </c>
      <c r="B5963" s="4" t="s">
        <v>5987</v>
      </c>
      <c r="C5963" s="3" t="s">
        <v>154</v>
      </c>
      <c r="D5963" s="5">
        <f t="shared" si="186"/>
        <v>3.68</v>
      </c>
      <c r="E5963">
        <v>4.05</v>
      </c>
      <c r="F5963" s="1789">
        <v>8.8999999999999996E-2</v>
      </c>
      <c r="G5963">
        <f t="shared" si="187"/>
        <v>3.68</v>
      </c>
    </row>
    <row r="5964" spans="1:7" ht="12.75" customHeight="1">
      <c r="A5964" s="3">
        <v>91467</v>
      </c>
      <c r="B5964" s="4" t="s">
        <v>5988</v>
      </c>
      <c r="C5964" s="3" t="s">
        <v>154</v>
      </c>
      <c r="D5964" s="5">
        <f t="shared" si="186"/>
        <v>144.69999999999999</v>
      </c>
      <c r="E5964">
        <v>158.84</v>
      </c>
      <c r="F5964" s="1789">
        <v>8.8999999999999996E-2</v>
      </c>
      <c r="G5964">
        <f t="shared" si="187"/>
        <v>144.69999999999999</v>
      </c>
    </row>
    <row r="5965" spans="1:7" ht="12.75" customHeight="1">
      <c r="A5965" s="3">
        <v>91468</v>
      </c>
      <c r="B5965" s="4" t="s">
        <v>5989</v>
      </c>
      <c r="C5965" s="3" t="s">
        <v>154</v>
      </c>
      <c r="D5965" s="5">
        <f t="shared" si="186"/>
        <v>20.76</v>
      </c>
      <c r="E5965">
        <v>22.79</v>
      </c>
      <c r="F5965" s="1789">
        <v>8.8999999999999996E-2</v>
      </c>
      <c r="G5965">
        <f t="shared" si="187"/>
        <v>20.76</v>
      </c>
    </row>
    <row r="5966" spans="1:7" ht="12.75" customHeight="1">
      <c r="A5966" s="3">
        <v>91469</v>
      </c>
      <c r="B5966" s="4" t="s">
        <v>5990</v>
      </c>
      <c r="C5966" s="3" t="s">
        <v>154</v>
      </c>
      <c r="D5966" s="5">
        <f t="shared" si="186"/>
        <v>9.08</v>
      </c>
      <c r="E5966">
        <v>9.9700000000000006</v>
      </c>
      <c r="F5966" s="1789">
        <v>8.8999999999999996E-2</v>
      </c>
      <c r="G5966">
        <f t="shared" si="187"/>
        <v>9.08</v>
      </c>
    </row>
    <row r="5967" spans="1:7" ht="12.75" customHeight="1">
      <c r="A5967" s="3">
        <v>91484</v>
      </c>
      <c r="B5967" s="4" t="s">
        <v>5991</v>
      </c>
      <c r="C5967" s="3" t="s">
        <v>154</v>
      </c>
      <c r="D5967" s="5">
        <f t="shared" si="186"/>
        <v>6.91</v>
      </c>
      <c r="E5967">
        <v>7.59</v>
      </c>
      <c r="F5967" s="1789">
        <v>8.8999999999999996E-2</v>
      </c>
      <c r="G5967">
        <f t="shared" si="187"/>
        <v>6.91</v>
      </c>
    </row>
    <row r="5968" spans="1:7" ht="12.75" customHeight="1">
      <c r="A5968" s="3">
        <v>91485</v>
      </c>
      <c r="B5968" s="4" t="s">
        <v>5992</v>
      </c>
      <c r="C5968" s="3" t="s">
        <v>154</v>
      </c>
      <c r="D5968" s="5">
        <f t="shared" si="186"/>
        <v>149.30000000000001</v>
      </c>
      <c r="E5968">
        <v>163.89</v>
      </c>
      <c r="F5968" s="1789">
        <v>8.8999999999999996E-2</v>
      </c>
      <c r="G5968">
        <f t="shared" si="187"/>
        <v>149.30000000000001</v>
      </c>
    </row>
    <row r="5969" spans="1:7" ht="12.75" customHeight="1">
      <c r="A5969" s="3">
        <v>91529</v>
      </c>
      <c r="B5969" s="4" t="s">
        <v>5993</v>
      </c>
      <c r="C5969" s="3" t="s">
        <v>154</v>
      </c>
      <c r="D5969" s="5">
        <f t="shared" si="186"/>
        <v>0.74</v>
      </c>
      <c r="E5969">
        <v>0.82</v>
      </c>
      <c r="F5969" s="1789">
        <v>8.8999999999999996E-2</v>
      </c>
      <c r="G5969">
        <f t="shared" si="187"/>
        <v>0.74</v>
      </c>
    </row>
    <row r="5970" spans="1:7" ht="12.75" customHeight="1">
      <c r="A5970" s="3">
        <v>91530</v>
      </c>
      <c r="B5970" s="4" t="s">
        <v>5994</v>
      </c>
      <c r="C5970" s="3" t="s">
        <v>154</v>
      </c>
      <c r="D5970" s="5">
        <f t="shared" si="186"/>
        <v>0.2</v>
      </c>
      <c r="E5970">
        <v>0.22</v>
      </c>
      <c r="F5970" s="1789">
        <v>8.8999999999999996E-2</v>
      </c>
      <c r="G5970">
        <f t="shared" si="187"/>
        <v>0.2</v>
      </c>
    </row>
    <row r="5971" spans="1:7" ht="12.75" customHeight="1">
      <c r="A5971" s="3">
        <v>91531</v>
      </c>
      <c r="B5971" s="4" t="s">
        <v>5995</v>
      </c>
      <c r="C5971" s="3" t="s">
        <v>154</v>
      </c>
      <c r="D5971" s="5">
        <f t="shared" si="186"/>
        <v>0.93</v>
      </c>
      <c r="E5971">
        <v>1.03</v>
      </c>
      <c r="F5971" s="1789">
        <v>8.8999999999999996E-2</v>
      </c>
      <c r="G5971">
        <f t="shared" si="187"/>
        <v>0.93</v>
      </c>
    </row>
    <row r="5972" spans="1:7" ht="12.75" customHeight="1">
      <c r="A5972" s="3">
        <v>91532</v>
      </c>
      <c r="B5972" s="4" t="s">
        <v>5996</v>
      </c>
      <c r="C5972" s="3" t="s">
        <v>154</v>
      </c>
      <c r="D5972" s="5">
        <f t="shared" si="186"/>
        <v>5.62</v>
      </c>
      <c r="E5972">
        <v>6.18</v>
      </c>
      <c r="F5972" s="1789">
        <v>8.8999999999999996E-2</v>
      </c>
      <c r="G5972">
        <f t="shared" si="187"/>
        <v>5.62</v>
      </c>
    </row>
    <row r="5973" spans="1:7" ht="12.75" customHeight="1">
      <c r="A5973" s="3">
        <v>91629</v>
      </c>
      <c r="B5973" s="4" t="s">
        <v>5997</v>
      </c>
      <c r="C5973" s="3" t="s">
        <v>154</v>
      </c>
      <c r="D5973" s="5">
        <f t="shared" ref="D5973:D6036" si="188">G5973</f>
        <v>19.7</v>
      </c>
      <c r="E5973">
        <v>21.63</v>
      </c>
      <c r="F5973" s="1789">
        <v>8.8999999999999996E-2</v>
      </c>
      <c r="G5973">
        <f t="shared" ref="G5973:G6036" si="189">TRUNC((1-F5973)*E5973,2)</f>
        <v>19.7</v>
      </c>
    </row>
    <row r="5974" spans="1:7" ht="12.75" customHeight="1">
      <c r="A5974" s="3">
        <v>91630</v>
      </c>
      <c r="B5974" s="4" t="s">
        <v>5998</v>
      </c>
      <c r="C5974" s="3" t="s">
        <v>154</v>
      </c>
      <c r="D5974" s="5">
        <f t="shared" si="188"/>
        <v>7.32</v>
      </c>
      <c r="E5974">
        <v>8.0399999999999991</v>
      </c>
      <c r="F5974" s="1789">
        <v>8.8999999999999996E-2</v>
      </c>
      <c r="G5974">
        <f t="shared" si="189"/>
        <v>7.32</v>
      </c>
    </row>
    <row r="5975" spans="1:7" ht="12.75" customHeight="1">
      <c r="A5975" s="3">
        <v>91631</v>
      </c>
      <c r="B5975" s="4" t="s">
        <v>5999</v>
      </c>
      <c r="C5975" s="3" t="s">
        <v>154</v>
      </c>
      <c r="D5975" s="5">
        <f t="shared" si="188"/>
        <v>2.95</v>
      </c>
      <c r="E5975">
        <v>3.24</v>
      </c>
      <c r="F5975" s="1789">
        <v>8.8999999999999996E-2</v>
      </c>
      <c r="G5975">
        <f t="shared" si="189"/>
        <v>2.95</v>
      </c>
    </row>
    <row r="5976" spans="1:7" ht="12.75" customHeight="1">
      <c r="A5976" s="3">
        <v>91632</v>
      </c>
      <c r="B5976" s="4" t="s">
        <v>6000</v>
      </c>
      <c r="C5976" s="3" t="s">
        <v>154</v>
      </c>
      <c r="D5976" s="5">
        <f t="shared" si="188"/>
        <v>33.72</v>
      </c>
      <c r="E5976">
        <v>37.020000000000003</v>
      </c>
      <c r="F5976" s="1789">
        <v>8.8999999999999996E-2</v>
      </c>
      <c r="G5976">
        <f t="shared" si="189"/>
        <v>33.72</v>
      </c>
    </row>
    <row r="5977" spans="1:7" ht="12.75" customHeight="1">
      <c r="A5977" s="3">
        <v>91633</v>
      </c>
      <c r="B5977" s="4" t="s">
        <v>6001</v>
      </c>
      <c r="C5977" s="3" t="s">
        <v>154</v>
      </c>
      <c r="D5977" s="5">
        <f t="shared" si="188"/>
        <v>122.47</v>
      </c>
      <c r="E5977">
        <v>134.44</v>
      </c>
      <c r="F5977" s="1789">
        <v>8.8999999999999996E-2</v>
      </c>
      <c r="G5977">
        <f t="shared" si="189"/>
        <v>122.47</v>
      </c>
    </row>
    <row r="5978" spans="1:7" ht="12.75" customHeight="1">
      <c r="A5978" s="3">
        <v>91640</v>
      </c>
      <c r="B5978" s="4" t="s">
        <v>6002</v>
      </c>
      <c r="C5978" s="3" t="s">
        <v>154</v>
      </c>
      <c r="D5978" s="5">
        <f t="shared" si="188"/>
        <v>36.94</v>
      </c>
      <c r="E5978">
        <v>40.549999999999997</v>
      </c>
      <c r="F5978" s="1789">
        <v>8.8999999999999996E-2</v>
      </c>
      <c r="G5978">
        <f t="shared" si="189"/>
        <v>36.94</v>
      </c>
    </row>
    <row r="5979" spans="1:7" ht="12.75" customHeight="1">
      <c r="A5979" s="3">
        <v>91641</v>
      </c>
      <c r="B5979" s="4" t="s">
        <v>6003</v>
      </c>
      <c r="C5979" s="3" t="s">
        <v>154</v>
      </c>
      <c r="D5979" s="5">
        <f t="shared" si="188"/>
        <v>14.9</v>
      </c>
      <c r="E5979">
        <v>16.36</v>
      </c>
      <c r="F5979" s="1789">
        <v>8.8999999999999996E-2</v>
      </c>
      <c r="G5979">
        <f t="shared" si="189"/>
        <v>14.9</v>
      </c>
    </row>
    <row r="5980" spans="1:7" ht="12.75" customHeight="1">
      <c r="A5980" s="3">
        <v>91642</v>
      </c>
      <c r="B5980" s="4" t="s">
        <v>6004</v>
      </c>
      <c r="C5980" s="3" t="s">
        <v>154</v>
      </c>
      <c r="D5980" s="5">
        <f t="shared" si="188"/>
        <v>6.02</v>
      </c>
      <c r="E5980">
        <v>6.61</v>
      </c>
      <c r="F5980" s="1789">
        <v>8.8999999999999996E-2</v>
      </c>
      <c r="G5980">
        <f t="shared" si="189"/>
        <v>6.02</v>
      </c>
    </row>
    <row r="5981" spans="1:7" ht="12.75" customHeight="1">
      <c r="A5981" s="3">
        <v>91643</v>
      </c>
      <c r="B5981" s="4" t="s">
        <v>6005</v>
      </c>
      <c r="C5981" s="3" t="s">
        <v>154</v>
      </c>
      <c r="D5981" s="5">
        <f t="shared" si="188"/>
        <v>66.569999999999993</v>
      </c>
      <c r="E5981">
        <v>73.08</v>
      </c>
      <c r="F5981" s="1789">
        <v>8.8999999999999996E-2</v>
      </c>
      <c r="G5981">
        <f t="shared" si="189"/>
        <v>66.569999999999993</v>
      </c>
    </row>
    <row r="5982" spans="1:7" ht="12.75" customHeight="1">
      <c r="A5982" s="3">
        <v>91644</v>
      </c>
      <c r="B5982" s="4" t="s">
        <v>6006</v>
      </c>
      <c r="C5982" s="3" t="s">
        <v>154</v>
      </c>
      <c r="D5982" s="5">
        <f t="shared" si="188"/>
        <v>275.61</v>
      </c>
      <c r="E5982">
        <v>302.54000000000002</v>
      </c>
      <c r="F5982" s="1789">
        <v>8.8999999999999996E-2</v>
      </c>
      <c r="G5982">
        <f t="shared" si="189"/>
        <v>275.61</v>
      </c>
    </row>
    <row r="5983" spans="1:7" ht="12.75" customHeight="1">
      <c r="A5983" s="3">
        <v>91688</v>
      </c>
      <c r="B5983" s="4" t="s">
        <v>6007</v>
      </c>
      <c r="C5983" s="3" t="s">
        <v>154</v>
      </c>
      <c r="D5983" s="5">
        <f t="shared" si="188"/>
        <v>0.1</v>
      </c>
      <c r="E5983">
        <v>0.11</v>
      </c>
      <c r="F5983" s="1789">
        <v>8.8999999999999996E-2</v>
      </c>
      <c r="G5983">
        <f t="shared" si="189"/>
        <v>0.1</v>
      </c>
    </row>
    <row r="5984" spans="1:7" ht="12.75" customHeight="1">
      <c r="A5984" s="3">
        <v>91689</v>
      </c>
      <c r="B5984" s="4" t="s">
        <v>6008</v>
      </c>
      <c r="C5984" s="3" t="s">
        <v>154</v>
      </c>
      <c r="D5984" s="5">
        <f t="shared" si="188"/>
        <v>0.01</v>
      </c>
      <c r="E5984">
        <v>0.02</v>
      </c>
      <c r="F5984" s="1789">
        <v>8.8999999999999996E-2</v>
      </c>
      <c r="G5984">
        <f t="shared" si="189"/>
        <v>0.01</v>
      </c>
    </row>
    <row r="5985" spans="1:7" ht="12.75" customHeight="1">
      <c r="A5985" s="3">
        <v>91690</v>
      </c>
      <c r="B5985" s="4" t="s">
        <v>6009</v>
      </c>
      <c r="C5985" s="3" t="s">
        <v>154</v>
      </c>
      <c r="D5985" s="5">
        <f t="shared" si="188"/>
        <v>0.06</v>
      </c>
      <c r="E5985">
        <v>7.0000000000000007E-2</v>
      </c>
      <c r="F5985" s="1789">
        <v>8.8999999999999996E-2</v>
      </c>
      <c r="G5985">
        <f t="shared" si="189"/>
        <v>0.06</v>
      </c>
    </row>
    <row r="5986" spans="1:7" ht="12.75" customHeight="1">
      <c r="A5986" s="3">
        <v>91691</v>
      </c>
      <c r="B5986" s="4" t="s">
        <v>6010</v>
      </c>
      <c r="C5986" s="3" t="s">
        <v>154</v>
      </c>
      <c r="D5986" s="5">
        <f t="shared" si="188"/>
        <v>1.25</v>
      </c>
      <c r="E5986">
        <v>1.38</v>
      </c>
      <c r="F5986" s="1789">
        <v>8.8999999999999996E-2</v>
      </c>
      <c r="G5986">
        <f t="shared" si="189"/>
        <v>1.25</v>
      </c>
    </row>
    <row r="5987" spans="1:7" ht="12.75" customHeight="1">
      <c r="A5987" s="3">
        <v>92040</v>
      </c>
      <c r="B5987" s="4" t="s">
        <v>6011</v>
      </c>
      <c r="C5987" s="3" t="s">
        <v>154</v>
      </c>
      <c r="D5987" s="5">
        <f t="shared" si="188"/>
        <v>5.89</v>
      </c>
      <c r="E5987">
        <v>6.47</v>
      </c>
      <c r="F5987" s="1789">
        <v>8.8999999999999996E-2</v>
      </c>
      <c r="G5987">
        <f t="shared" si="189"/>
        <v>5.89</v>
      </c>
    </row>
    <row r="5988" spans="1:7" ht="12.75" customHeight="1">
      <c r="A5988" s="3">
        <v>92041</v>
      </c>
      <c r="B5988" s="4" t="s">
        <v>6012</v>
      </c>
      <c r="C5988" s="3" t="s">
        <v>154</v>
      </c>
      <c r="D5988" s="5">
        <f t="shared" si="188"/>
        <v>1.21</v>
      </c>
      <c r="E5988">
        <v>1.33</v>
      </c>
      <c r="F5988" s="1789">
        <v>8.8999999999999996E-2</v>
      </c>
      <c r="G5988">
        <f t="shared" si="189"/>
        <v>1.21</v>
      </c>
    </row>
    <row r="5989" spans="1:7" ht="12.75" customHeight="1">
      <c r="A5989" s="3">
        <v>92042</v>
      </c>
      <c r="B5989" s="4" t="s">
        <v>6013</v>
      </c>
      <c r="C5989" s="3" t="s">
        <v>154</v>
      </c>
      <c r="D5989" s="5">
        <f t="shared" si="188"/>
        <v>4.91</v>
      </c>
      <c r="E5989">
        <v>5.39</v>
      </c>
      <c r="F5989" s="1789">
        <v>8.8999999999999996E-2</v>
      </c>
      <c r="G5989">
        <f t="shared" si="189"/>
        <v>4.91</v>
      </c>
    </row>
    <row r="5990" spans="1:7" ht="12.75" customHeight="1">
      <c r="A5990" s="3">
        <v>92101</v>
      </c>
      <c r="B5990" s="4" t="s">
        <v>6014</v>
      </c>
      <c r="C5990" s="3" t="s">
        <v>154</v>
      </c>
      <c r="D5990" s="5">
        <f t="shared" si="188"/>
        <v>37.590000000000003</v>
      </c>
      <c r="E5990">
        <v>41.27</v>
      </c>
      <c r="F5990" s="1789">
        <v>8.8999999999999996E-2</v>
      </c>
      <c r="G5990">
        <f t="shared" si="189"/>
        <v>37.590000000000003</v>
      </c>
    </row>
    <row r="5991" spans="1:7" ht="12.75" customHeight="1">
      <c r="A5991" s="3">
        <v>92102</v>
      </c>
      <c r="B5991" s="4" t="s">
        <v>6015</v>
      </c>
      <c r="C5991" s="3" t="s">
        <v>154</v>
      </c>
      <c r="D5991" s="5">
        <f t="shared" si="188"/>
        <v>12.79</v>
      </c>
      <c r="E5991">
        <v>14.05</v>
      </c>
      <c r="F5991" s="1789">
        <v>8.8999999999999996E-2</v>
      </c>
      <c r="G5991">
        <f t="shared" si="189"/>
        <v>12.79</v>
      </c>
    </row>
    <row r="5992" spans="1:7" ht="12.75" customHeight="1">
      <c r="A5992" s="3">
        <v>92103</v>
      </c>
      <c r="B5992" s="4" t="s">
        <v>6016</v>
      </c>
      <c r="C5992" s="3" t="s">
        <v>154</v>
      </c>
      <c r="D5992" s="5">
        <f t="shared" si="188"/>
        <v>8.94</v>
      </c>
      <c r="E5992">
        <v>9.82</v>
      </c>
      <c r="F5992" s="1789">
        <v>8.8999999999999996E-2</v>
      </c>
      <c r="G5992">
        <f t="shared" si="189"/>
        <v>8.94</v>
      </c>
    </row>
    <row r="5993" spans="1:7" ht="12.75" customHeight="1">
      <c r="A5993" s="3">
        <v>92104</v>
      </c>
      <c r="B5993" s="4" t="s">
        <v>6017</v>
      </c>
      <c r="C5993" s="3" t="s">
        <v>154</v>
      </c>
      <c r="D5993" s="5">
        <f t="shared" si="188"/>
        <v>61.76</v>
      </c>
      <c r="E5993">
        <v>67.8</v>
      </c>
      <c r="F5993" s="1789">
        <v>8.8999999999999996E-2</v>
      </c>
      <c r="G5993">
        <f t="shared" si="189"/>
        <v>61.76</v>
      </c>
    </row>
    <row r="5994" spans="1:7" ht="12.75" customHeight="1">
      <c r="A5994" s="3">
        <v>92105</v>
      </c>
      <c r="B5994" s="4" t="s">
        <v>6018</v>
      </c>
      <c r="C5994" s="3" t="s">
        <v>154</v>
      </c>
      <c r="D5994" s="5">
        <f t="shared" si="188"/>
        <v>161.34</v>
      </c>
      <c r="E5994">
        <v>177.11</v>
      </c>
      <c r="F5994" s="1789">
        <v>8.8999999999999996E-2</v>
      </c>
      <c r="G5994">
        <f t="shared" si="189"/>
        <v>161.34</v>
      </c>
    </row>
    <row r="5995" spans="1:7" ht="12.75" customHeight="1">
      <c r="A5995" s="3">
        <v>92108</v>
      </c>
      <c r="B5995" s="4" t="s">
        <v>6019</v>
      </c>
      <c r="C5995" s="3" t="s">
        <v>154</v>
      </c>
      <c r="D5995" s="5">
        <f t="shared" si="188"/>
        <v>0.82</v>
      </c>
      <c r="E5995">
        <v>0.91</v>
      </c>
      <c r="F5995" s="1789">
        <v>8.8999999999999996E-2</v>
      </c>
      <c r="G5995">
        <f t="shared" si="189"/>
        <v>0.82</v>
      </c>
    </row>
    <row r="5996" spans="1:7" ht="12.75" customHeight="1">
      <c r="A5996" s="3">
        <v>92109</v>
      </c>
      <c r="B5996" s="4" t="s">
        <v>6020</v>
      </c>
      <c r="C5996" s="3" t="s">
        <v>154</v>
      </c>
      <c r="D5996" s="5">
        <f t="shared" si="188"/>
        <v>0.2</v>
      </c>
      <c r="E5996">
        <v>0.22</v>
      </c>
      <c r="F5996" s="1789">
        <v>8.8999999999999996E-2</v>
      </c>
      <c r="G5996">
        <f t="shared" si="189"/>
        <v>0.2</v>
      </c>
    </row>
    <row r="5997" spans="1:7" ht="12.75" customHeight="1">
      <c r="A5997" s="3">
        <v>92110</v>
      </c>
      <c r="B5997" s="4" t="s">
        <v>6021</v>
      </c>
      <c r="C5997" s="3" t="s">
        <v>154</v>
      </c>
      <c r="D5997" s="5">
        <f t="shared" si="188"/>
        <v>1.1000000000000001</v>
      </c>
      <c r="E5997">
        <v>1.21</v>
      </c>
      <c r="F5997" s="1789">
        <v>8.8999999999999996E-2</v>
      </c>
      <c r="G5997">
        <f t="shared" si="189"/>
        <v>1.1000000000000001</v>
      </c>
    </row>
    <row r="5998" spans="1:7" ht="12.75" customHeight="1">
      <c r="A5998" s="3">
        <v>92111</v>
      </c>
      <c r="B5998" s="4" t="s">
        <v>6022</v>
      </c>
      <c r="C5998" s="3" t="s">
        <v>154</v>
      </c>
      <c r="D5998" s="5">
        <f t="shared" si="188"/>
        <v>1.1499999999999999</v>
      </c>
      <c r="E5998">
        <v>1.27</v>
      </c>
      <c r="F5998" s="1789">
        <v>8.8999999999999996E-2</v>
      </c>
      <c r="G5998">
        <f t="shared" si="189"/>
        <v>1.1499999999999999</v>
      </c>
    </row>
    <row r="5999" spans="1:7" ht="12.75" customHeight="1">
      <c r="A5999" s="3">
        <v>92114</v>
      </c>
      <c r="B5999" s="4" t="s">
        <v>6023</v>
      </c>
      <c r="C5999" s="3" t="s">
        <v>154</v>
      </c>
      <c r="D5999" s="5">
        <f t="shared" si="188"/>
        <v>0.21</v>
      </c>
      <c r="E5999">
        <v>0.24</v>
      </c>
      <c r="F5999" s="1789">
        <v>8.8999999999999996E-2</v>
      </c>
      <c r="G5999">
        <f t="shared" si="189"/>
        <v>0.21</v>
      </c>
    </row>
    <row r="6000" spans="1:7" ht="12.75" customHeight="1">
      <c r="A6000" s="3">
        <v>92115</v>
      </c>
      <c r="B6000" s="4" t="s">
        <v>6024</v>
      </c>
      <c r="C6000" s="3" t="s">
        <v>154</v>
      </c>
      <c r="D6000" s="5">
        <f t="shared" si="188"/>
        <v>0.04</v>
      </c>
      <c r="E6000">
        <v>0.05</v>
      </c>
      <c r="F6000" s="1789">
        <v>8.8999999999999996E-2</v>
      </c>
      <c r="G6000">
        <f t="shared" si="189"/>
        <v>0.04</v>
      </c>
    </row>
    <row r="6001" spans="1:7" ht="12.75" customHeight="1">
      <c r="A6001" s="3">
        <v>92116</v>
      </c>
      <c r="B6001" s="4" t="s">
        <v>6025</v>
      </c>
      <c r="C6001" s="3" t="s">
        <v>154</v>
      </c>
      <c r="D6001" s="5">
        <f t="shared" si="188"/>
        <v>0.15</v>
      </c>
      <c r="E6001">
        <v>0.17</v>
      </c>
      <c r="F6001" s="1789">
        <v>8.8999999999999996E-2</v>
      </c>
      <c r="G6001">
        <f t="shared" si="189"/>
        <v>0.15</v>
      </c>
    </row>
    <row r="6002" spans="1:7" ht="12.75" customHeight="1">
      <c r="A6002" s="3">
        <v>92133</v>
      </c>
      <c r="B6002" s="4" t="s">
        <v>6026</v>
      </c>
      <c r="C6002" s="3" t="s">
        <v>154</v>
      </c>
      <c r="D6002" s="5">
        <f t="shared" si="188"/>
        <v>11.71</v>
      </c>
      <c r="E6002">
        <v>12.86</v>
      </c>
      <c r="F6002" s="1789">
        <v>8.8999999999999996E-2</v>
      </c>
      <c r="G6002">
        <f t="shared" si="189"/>
        <v>11.71</v>
      </c>
    </row>
    <row r="6003" spans="1:7" ht="12.75" customHeight="1">
      <c r="A6003" s="3">
        <v>92134</v>
      </c>
      <c r="B6003" s="4" t="s">
        <v>6027</v>
      </c>
      <c r="C6003" s="3" t="s">
        <v>154</v>
      </c>
      <c r="D6003" s="5">
        <f t="shared" si="188"/>
        <v>3.6</v>
      </c>
      <c r="E6003">
        <v>3.96</v>
      </c>
      <c r="F6003" s="1789">
        <v>8.8999999999999996E-2</v>
      </c>
      <c r="G6003">
        <f t="shared" si="189"/>
        <v>3.6</v>
      </c>
    </row>
    <row r="6004" spans="1:7" ht="12.75" customHeight="1">
      <c r="A6004" s="3">
        <v>92135</v>
      </c>
      <c r="B6004" s="4" t="s">
        <v>6028</v>
      </c>
      <c r="C6004" s="3" t="s">
        <v>154</v>
      </c>
      <c r="D6004" s="5">
        <f t="shared" si="188"/>
        <v>1.45</v>
      </c>
      <c r="E6004">
        <v>1.6</v>
      </c>
      <c r="F6004" s="1789">
        <v>8.8999999999999996E-2</v>
      </c>
      <c r="G6004">
        <f t="shared" si="189"/>
        <v>1.45</v>
      </c>
    </row>
    <row r="6005" spans="1:7" ht="12.75" customHeight="1">
      <c r="A6005" s="3">
        <v>92136</v>
      </c>
      <c r="B6005" s="4" t="s">
        <v>6029</v>
      </c>
      <c r="C6005" s="3" t="s">
        <v>154</v>
      </c>
      <c r="D6005" s="5">
        <f t="shared" si="188"/>
        <v>14.63</v>
      </c>
      <c r="E6005">
        <v>16.07</v>
      </c>
      <c r="F6005" s="1789">
        <v>8.8999999999999996E-2</v>
      </c>
      <c r="G6005">
        <f t="shared" si="189"/>
        <v>14.63</v>
      </c>
    </row>
    <row r="6006" spans="1:7" ht="12.75" customHeight="1">
      <c r="A6006" s="3">
        <v>92137</v>
      </c>
      <c r="B6006" s="4" t="s">
        <v>6030</v>
      </c>
      <c r="C6006" s="3" t="s">
        <v>154</v>
      </c>
      <c r="D6006" s="5">
        <f t="shared" si="188"/>
        <v>32.24</v>
      </c>
      <c r="E6006">
        <v>35.39</v>
      </c>
      <c r="F6006" s="1789">
        <v>8.8999999999999996E-2</v>
      </c>
      <c r="G6006">
        <f t="shared" si="189"/>
        <v>32.24</v>
      </c>
    </row>
    <row r="6007" spans="1:7" ht="12.75" customHeight="1">
      <c r="A6007" s="3">
        <v>92140</v>
      </c>
      <c r="B6007" s="4" t="s">
        <v>6031</v>
      </c>
      <c r="C6007" s="3" t="s">
        <v>154</v>
      </c>
      <c r="D6007" s="5">
        <f t="shared" si="188"/>
        <v>4.29</v>
      </c>
      <c r="E6007">
        <v>4.71</v>
      </c>
      <c r="F6007" s="1789">
        <v>8.8999999999999996E-2</v>
      </c>
      <c r="G6007">
        <f t="shared" si="189"/>
        <v>4.29</v>
      </c>
    </row>
    <row r="6008" spans="1:7" ht="12.75" customHeight="1">
      <c r="A6008" s="3">
        <v>92141</v>
      </c>
      <c r="B6008" s="4" t="s">
        <v>6032</v>
      </c>
      <c r="C6008" s="3" t="s">
        <v>154</v>
      </c>
      <c r="D6008" s="5">
        <f t="shared" si="188"/>
        <v>1.32</v>
      </c>
      <c r="E6008">
        <v>1.45</v>
      </c>
      <c r="F6008" s="1789">
        <v>8.8999999999999996E-2</v>
      </c>
      <c r="G6008">
        <f t="shared" si="189"/>
        <v>1.32</v>
      </c>
    </row>
    <row r="6009" spans="1:7" ht="12.75" customHeight="1">
      <c r="A6009" s="3">
        <v>92142</v>
      </c>
      <c r="B6009" s="4" t="s">
        <v>6033</v>
      </c>
      <c r="C6009" s="3" t="s">
        <v>154</v>
      </c>
      <c r="D6009" s="5">
        <f t="shared" si="188"/>
        <v>0.52</v>
      </c>
      <c r="E6009">
        <v>0.57999999999999996</v>
      </c>
      <c r="F6009" s="1789">
        <v>8.8999999999999996E-2</v>
      </c>
      <c r="G6009">
        <f t="shared" si="189"/>
        <v>0.52</v>
      </c>
    </row>
    <row r="6010" spans="1:7" ht="12.75" customHeight="1">
      <c r="A6010" s="3">
        <v>92143</v>
      </c>
      <c r="B6010" s="4" t="s">
        <v>6034</v>
      </c>
      <c r="C6010" s="3" t="s">
        <v>154</v>
      </c>
      <c r="D6010" s="5">
        <f t="shared" si="188"/>
        <v>5.36</v>
      </c>
      <c r="E6010">
        <v>5.89</v>
      </c>
      <c r="F6010" s="1789">
        <v>8.8999999999999996E-2</v>
      </c>
      <c r="G6010">
        <f t="shared" si="189"/>
        <v>5.36</v>
      </c>
    </row>
    <row r="6011" spans="1:7" ht="12.75" customHeight="1">
      <c r="A6011" s="3">
        <v>92144</v>
      </c>
      <c r="B6011" s="4" t="s">
        <v>6035</v>
      </c>
      <c r="C6011" s="3" t="s">
        <v>154</v>
      </c>
      <c r="D6011" s="5">
        <f t="shared" si="188"/>
        <v>36.56</v>
      </c>
      <c r="E6011">
        <v>40.14</v>
      </c>
      <c r="F6011" s="1789">
        <v>8.8999999999999996E-2</v>
      </c>
      <c r="G6011">
        <f t="shared" si="189"/>
        <v>36.56</v>
      </c>
    </row>
    <row r="6012" spans="1:7" ht="12.75" customHeight="1">
      <c r="A6012" s="3">
        <v>92237</v>
      </c>
      <c r="B6012" s="4" t="s">
        <v>6036</v>
      </c>
      <c r="C6012" s="3" t="s">
        <v>154</v>
      </c>
      <c r="D6012" s="5">
        <f t="shared" si="188"/>
        <v>26.9</v>
      </c>
      <c r="E6012">
        <v>29.53</v>
      </c>
      <c r="F6012" s="1789">
        <v>8.8999999999999996E-2</v>
      </c>
      <c r="G6012">
        <f t="shared" si="189"/>
        <v>26.9</v>
      </c>
    </row>
    <row r="6013" spans="1:7" ht="12.75" customHeight="1">
      <c r="A6013" s="3">
        <v>92238</v>
      </c>
      <c r="B6013" s="4" t="s">
        <v>6037</v>
      </c>
      <c r="C6013" s="3" t="s">
        <v>154</v>
      </c>
      <c r="D6013" s="5">
        <f t="shared" si="188"/>
        <v>10.83</v>
      </c>
      <c r="E6013">
        <v>11.89</v>
      </c>
      <c r="F6013" s="1789">
        <v>8.8999999999999996E-2</v>
      </c>
      <c r="G6013">
        <f t="shared" si="189"/>
        <v>10.83</v>
      </c>
    </row>
    <row r="6014" spans="1:7" ht="12.75" customHeight="1">
      <c r="A6014" s="3">
        <v>92239</v>
      </c>
      <c r="B6014" s="4" t="s">
        <v>6038</v>
      </c>
      <c r="C6014" s="3" t="s">
        <v>154</v>
      </c>
      <c r="D6014" s="5">
        <f t="shared" si="188"/>
        <v>4.37</v>
      </c>
      <c r="E6014">
        <v>4.8</v>
      </c>
      <c r="F6014" s="1789">
        <v>8.8999999999999996E-2</v>
      </c>
      <c r="G6014">
        <f t="shared" si="189"/>
        <v>4.37</v>
      </c>
    </row>
    <row r="6015" spans="1:7" ht="12.75" customHeight="1">
      <c r="A6015" s="3">
        <v>92240</v>
      </c>
      <c r="B6015" s="4" t="s">
        <v>6039</v>
      </c>
      <c r="C6015" s="3" t="s">
        <v>154</v>
      </c>
      <c r="D6015" s="5">
        <f t="shared" si="188"/>
        <v>48.27</v>
      </c>
      <c r="E6015">
        <v>52.99</v>
      </c>
      <c r="F6015" s="1789">
        <v>8.8999999999999996E-2</v>
      </c>
      <c r="G6015">
        <f t="shared" si="189"/>
        <v>48.27</v>
      </c>
    </row>
    <row r="6016" spans="1:7" ht="12.75" customHeight="1">
      <c r="A6016" s="3">
        <v>92241</v>
      </c>
      <c r="B6016" s="4" t="s">
        <v>6040</v>
      </c>
      <c r="C6016" s="3" t="s">
        <v>154</v>
      </c>
      <c r="D6016" s="5">
        <f t="shared" si="188"/>
        <v>252.67</v>
      </c>
      <c r="E6016">
        <v>277.36</v>
      </c>
      <c r="F6016" s="1789">
        <v>8.8999999999999996E-2</v>
      </c>
      <c r="G6016">
        <f t="shared" si="189"/>
        <v>252.67</v>
      </c>
    </row>
    <row r="6017" spans="1:7" ht="12.75" customHeight="1">
      <c r="A6017" s="3">
        <v>92712</v>
      </c>
      <c r="B6017" s="4" t="s">
        <v>6041</v>
      </c>
      <c r="C6017" s="3" t="s">
        <v>154</v>
      </c>
      <c r="D6017" s="5">
        <f t="shared" si="188"/>
        <v>0.19</v>
      </c>
      <c r="E6017">
        <v>0.21</v>
      </c>
      <c r="F6017" s="1789">
        <v>8.8999999999999996E-2</v>
      </c>
      <c r="G6017">
        <f t="shared" si="189"/>
        <v>0.19</v>
      </c>
    </row>
    <row r="6018" spans="1:7" ht="12.75" customHeight="1">
      <c r="A6018" s="3">
        <v>92713</v>
      </c>
      <c r="B6018" s="4" t="s">
        <v>6042</v>
      </c>
      <c r="C6018" s="3" t="s">
        <v>154</v>
      </c>
      <c r="D6018" s="5">
        <f t="shared" si="188"/>
        <v>0.04</v>
      </c>
      <c r="E6018">
        <v>0.05</v>
      </c>
      <c r="F6018" s="1789">
        <v>8.8999999999999996E-2</v>
      </c>
      <c r="G6018">
        <f t="shared" si="189"/>
        <v>0.04</v>
      </c>
    </row>
    <row r="6019" spans="1:7" ht="12.75" customHeight="1">
      <c r="A6019" s="3">
        <v>92714</v>
      </c>
      <c r="B6019" s="4" t="s">
        <v>6043</v>
      </c>
      <c r="C6019" s="3" t="s">
        <v>154</v>
      </c>
      <c r="D6019" s="5">
        <f t="shared" si="188"/>
        <v>0.25</v>
      </c>
      <c r="E6019">
        <v>0.28000000000000003</v>
      </c>
      <c r="F6019" s="1789">
        <v>8.8999999999999996E-2</v>
      </c>
      <c r="G6019">
        <f t="shared" si="189"/>
        <v>0.25</v>
      </c>
    </row>
    <row r="6020" spans="1:7" ht="12.75" customHeight="1">
      <c r="A6020" s="3">
        <v>92715</v>
      </c>
      <c r="B6020" s="4" t="s">
        <v>6044</v>
      </c>
      <c r="C6020" s="3" t="s">
        <v>154</v>
      </c>
      <c r="D6020" s="5">
        <f t="shared" si="188"/>
        <v>123.53</v>
      </c>
      <c r="E6020">
        <v>135.6</v>
      </c>
      <c r="F6020" s="1789">
        <v>8.8999999999999996E-2</v>
      </c>
      <c r="G6020">
        <f t="shared" si="189"/>
        <v>123.53</v>
      </c>
    </row>
    <row r="6021" spans="1:7" ht="12.75" customHeight="1">
      <c r="A6021" s="3">
        <v>92956</v>
      </c>
      <c r="B6021" s="4" t="s">
        <v>6045</v>
      </c>
      <c r="C6021" s="3" t="s">
        <v>154</v>
      </c>
      <c r="D6021" s="5">
        <f t="shared" si="188"/>
        <v>3.91</v>
      </c>
      <c r="E6021">
        <v>4.3</v>
      </c>
      <c r="F6021" s="1789">
        <v>8.8999999999999996E-2</v>
      </c>
      <c r="G6021">
        <f t="shared" si="189"/>
        <v>3.91</v>
      </c>
    </row>
    <row r="6022" spans="1:7" ht="12.75" customHeight="1">
      <c r="A6022" s="3">
        <v>92957</v>
      </c>
      <c r="B6022" s="4" t="s">
        <v>6046</v>
      </c>
      <c r="C6022" s="3" t="s">
        <v>154</v>
      </c>
      <c r="D6022" s="5">
        <f t="shared" si="188"/>
        <v>0.9</v>
      </c>
      <c r="E6022">
        <v>0.99</v>
      </c>
      <c r="F6022" s="1789">
        <v>8.8999999999999996E-2</v>
      </c>
      <c r="G6022">
        <f t="shared" si="189"/>
        <v>0.9</v>
      </c>
    </row>
    <row r="6023" spans="1:7" ht="12.75" customHeight="1">
      <c r="A6023" s="3">
        <v>92958</v>
      </c>
      <c r="B6023" s="4" t="s">
        <v>6047</v>
      </c>
      <c r="C6023" s="3" t="s">
        <v>154</v>
      </c>
      <c r="D6023" s="5">
        <f t="shared" si="188"/>
        <v>4.28</v>
      </c>
      <c r="E6023">
        <v>4.7</v>
      </c>
      <c r="F6023" s="1789">
        <v>8.8999999999999996E-2</v>
      </c>
      <c r="G6023">
        <f t="shared" si="189"/>
        <v>4.28</v>
      </c>
    </row>
    <row r="6024" spans="1:7" ht="12.75" customHeight="1">
      <c r="A6024" s="3">
        <v>92959</v>
      </c>
      <c r="B6024" s="4" t="s">
        <v>6048</v>
      </c>
      <c r="C6024" s="3" t="s">
        <v>154</v>
      </c>
      <c r="D6024" s="5">
        <f t="shared" si="188"/>
        <v>8.48</v>
      </c>
      <c r="E6024">
        <v>9.31</v>
      </c>
      <c r="F6024" s="1789">
        <v>8.8999999999999996E-2</v>
      </c>
      <c r="G6024">
        <f t="shared" si="189"/>
        <v>8.48</v>
      </c>
    </row>
    <row r="6025" spans="1:7" ht="12.75" customHeight="1">
      <c r="A6025" s="3">
        <v>92963</v>
      </c>
      <c r="B6025" s="4" t="s">
        <v>6049</v>
      </c>
      <c r="C6025" s="3" t="s">
        <v>154</v>
      </c>
      <c r="D6025" s="5">
        <f t="shared" si="188"/>
        <v>1.7</v>
      </c>
      <c r="E6025">
        <v>1.87</v>
      </c>
      <c r="F6025" s="1789">
        <v>8.8999999999999996E-2</v>
      </c>
      <c r="G6025">
        <f t="shared" si="189"/>
        <v>1.7</v>
      </c>
    </row>
    <row r="6026" spans="1:7" ht="12.75" customHeight="1">
      <c r="A6026" s="3">
        <v>92964</v>
      </c>
      <c r="B6026" s="4" t="s">
        <v>6050</v>
      </c>
      <c r="C6026" s="3" t="s">
        <v>154</v>
      </c>
      <c r="D6026" s="5">
        <f t="shared" si="188"/>
        <v>0.39</v>
      </c>
      <c r="E6026">
        <v>0.43</v>
      </c>
      <c r="F6026" s="1789">
        <v>8.8999999999999996E-2</v>
      </c>
      <c r="G6026">
        <f t="shared" si="189"/>
        <v>0.39</v>
      </c>
    </row>
    <row r="6027" spans="1:7" ht="12.75" customHeight="1">
      <c r="A6027" s="3">
        <v>92965</v>
      </c>
      <c r="B6027" s="4" t="s">
        <v>6051</v>
      </c>
      <c r="C6027" s="3" t="s">
        <v>154</v>
      </c>
      <c r="D6027" s="5">
        <f t="shared" si="188"/>
        <v>2.13</v>
      </c>
      <c r="E6027">
        <v>2.34</v>
      </c>
      <c r="F6027" s="1789">
        <v>8.8999999999999996E-2</v>
      </c>
      <c r="G6027">
        <f t="shared" si="189"/>
        <v>2.13</v>
      </c>
    </row>
    <row r="6028" spans="1:7" ht="12.75" customHeight="1">
      <c r="A6028" s="3">
        <v>93220</v>
      </c>
      <c r="B6028" s="4" t="s">
        <v>6052</v>
      </c>
      <c r="C6028" s="3" t="s">
        <v>154</v>
      </c>
      <c r="D6028" s="5">
        <f t="shared" si="188"/>
        <v>300.14</v>
      </c>
      <c r="E6028">
        <v>329.47</v>
      </c>
      <c r="F6028" s="1789">
        <v>8.8999999999999996E-2</v>
      </c>
      <c r="G6028">
        <f t="shared" si="189"/>
        <v>300.14</v>
      </c>
    </row>
    <row r="6029" spans="1:7" ht="12.75" customHeight="1">
      <c r="A6029" s="3">
        <v>93221</v>
      </c>
      <c r="B6029" s="4" t="s">
        <v>6053</v>
      </c>
      <c r="C6029" s="3" t="s">
        <v>154</v>
      </c>
      <c r="D6029" s="5">
        <f t="shared" si="188"/>
        <v>80.52</v>
      </c>
      <c r="E6029">
        <v>88.39</v>
      </c>
      <c r="F6029" s="1789">
        <v>8.8999999999999996E-2</v>
      </c>
      <c r="G6029">
        <f t="shared" si="189"/>
        <v>80.52</v>
      </c>
    </row>
    <row r="6030" spans="1:7" ht="12.75" customHeight="1">
      <c r="A6030" s="3">
        <v>93222</v>
      </c>
      <c r="B6030" s="4" t="s">
        <v>6054</v>
      </c>
      <c r="C6030" s="3" t="s">
        <v>154</v>
      </c>
      <c r="D6030" s="5">
        <f t="shared" si="188"/>
        <v>375.61</v>
      </c>
      <c r="E6030">
        <v>412.31</v>
      </c>
      <c r="F6030" s="1789">
        <v>8.8999999999999996E-2</v>
      </c>
      <c r="G6030">
        <f t="shared" si="189"/>
        <v>375.61</v>
      </c>
    </row>
    <row r="6031" spans="1:7" ht="12.75" customHeight="1">
      <c r="A6031" s="3">
        <v>93223</v>
      </c>
      <c r="B6031" s="4" t="s">
        <v>6055</v>
      </c>
      <c r="C6031" s="3" t="s">
        <v>154</v>
      </c>
      <c r="D6031" s="5">
        <f t="shared" si="188"/>
        <v>142.94999999999999</v>
      </c>
      <c r="E6031">
        <v>156.91999999999999</v>
      </c>
      <c r="F6031" s="1789">
        <v>8.8999999999999996E-2</v>
      </c>
      <c r="G6031">
        <f t="shared" si="189"/>
        <v>142.94999999999999</v>
      </c>
    </row>
    <row r="6032" spans="1:7" ht="12.75" customHeight="1">
      <c r="A6032" s="3">
        <v>93229</v>
      </c>
      <c r="B6032" s="4" t="s">
        <v>6056</v>
      </c>
      <c r="C6032" s="3" t="s">
        <v>154</v>
      </c>
      <c r="D6032" s="5">
        <f t="shared" si="188"/>
        <v>0.37</v>
      </c>
      <c r="E6032">
        <v>0.41</v>
      </c>
      <c r="F6032" s="1789">
        <v>8.8999999999999996E-2</v>
      </c>
      <c r="G6032">
        <f t="shared" si="189"/>
        <v>0.37</v>
      </c>
    </row>
    <row r="6033" spans="1:7" ht="12.75" customHeight="1">
      <c r="A6033" s="3">
        <v>93230</v>
      </c>
      <c r="B6033" s="4" t="s">
        <v>6057</v>
      </c>
      <c r="C6033" s="3" t="s">
        <v>154</v>
      </c>
      <c r="D6033" s="5">
        <f t="shared" si="188"/>
        <v>0.08</v>
      </c>
      <c r="E6033">
        <v>0.09</v>
      </c>
      <c r="F6033" s="1789">
        <v>8.8999999999999996E-2</v>
      </c>
      <c r="G6033">
        <f t="shared" si="189"/>
        <v>0.08</v>
      </c>
    </row>
    <row r="6034" spans="1:7" ht="12.75" customHeight="1">
      <c r="A6034" s="3">
        <v>93231</v>
      </c>
      <c r="B6034" s="4" t="s">
        <v>6058</v>
      </c>
      <c r="C6034" s="3" t="s">
        <v>154</v>
      </c>
      <c r="D6034" s="5">
        <f t="shared" si="188"/>
        <v>0.46</v>
      </c>
      <c r="E6034">
        <v>0.51</v>
      </c>
      <c r="F6034" s="1789">
        <v>8.8999999999999996E-2</v>
      </c>
      <c r="G6034">
        <f t="shared" si="189"/>
        <v>0.46</v>
      </c>
    </row>
    <row r="6035" spans="1:7" ht="12.75" customHeight="1">
      <c r="A6035" s="3">
        <v>93232</v>
      </c>
      <c r="B6035" s="4" t="s">
        <v>6059</v>
      </c>
      <c r="C6035" s="3" t="s">
        <v>154</v>
      </c>
      <c r="D6035" s="5">
        <f t="shared" si="188"/>
        <v>4.2</v>
      </c>
      <c r="E6035">
        <v>4.62</v>
      </c>
      <c r="F6035" s="1789">
        <v>8.8999999999999996E-2</v>
      </c>
      <c r="G6035">
        <f t="shared" si="189"/>
        <v>4.2</v>
      </c>
    </row>
    <row r="6036" spans="1:7" ht="12.75" customHeight="1">
      <c r="A6036" s="3">
        <v>93235</v>
      </c>
      <c r="B6036" s="4" t="s">
        <v>6060</v>
      </c>
      <c r="C6036" s="3" t="s">
        <v>154</v>
      </c>
      <c r="D6036" s="5">
        <f t="shared" si="188"/>
        <v>2.29</v>
      </c>
      <c r="E6036">
        <v>2.52</v>
      </c>
      <c r="F6036" s="1789">
        <v>8.8999999999999996E-2</v>
      </c>
      <c r="G6036">
        <f t="shared" si="189"/>
        <v>2.29</v>
      </c>
    </row>
    <row r="6037" spans="1:7" ht="12.75" customHeight="1">
      <c r="A6037" s="3">
        <v>93238</v>
      </c>
      <c r="B6037" s="4" t="s">
        <v>6061</v>
      </c>
      <c r="C6037" s="3" t="s">
        <v>154</v>
      </c>
      <c r="D6037" s="5">
        <f t="shared" ref="D6037:D6100" si="190">G6037</f>
        <v>2.33</v>
      </c>
      <c r="E6037">
        <v>2.56</v>
      </c>
      <c r="F6037" s="1789">
        <v>8.8999999999999996E-2</v>
      </c>
      <c r="G6037">
        <f t="shared" ref="G6037:G6100" si="191">TRUNC((1-F6037)*E6037,2)</f>
        <v>2.33</v>
      </c>
    </row>
    <row r="6038" spans="1:7" ht="12.75" customHeight="1">
      <c r="A6038" s="3">
        <v>93239</v>
      </c>
      <c r="B6038" s="4" t="s">
        <v>6062</v>
      </c>
      <c r="C6038" s="3" t="s">
        <v>154</v>
      </c>
      <c r="D6038" s="5">
        <f t="shared" si="190"/>
        <v>10.58</v>
      </c>
      <c r="E6038">
        <v>11.62</v>
      </c>
      <c r="F6038" s="1789">
        <v>8.8999999999999996E-2</v>
      </c>
      <c r="G6038">
        <f t="shared" si="191"/>
        <v>10.58</v>
      </c>
    </row>
    <row r="6039" spans="1:7" ht="12.75" customHeight="1">
      <c r="A6039" s="3">
        <v>93240</v>
      </c>
      <c r="B6039" s="4" t="s">
        <v>6063</v>
      </c>
      <c r="C6039" s="3" t="s">
        <v>154</v>
      </c>
      <c r="D6039" s="5">
        <f t="shared" si="190"/>
        <v>10.95</v>
      </c>
      <c r="E6039">
        <v>12.02</v>
      </c>
      <c r="F6039" s="1789">
        <v>8.8999999999999996E-2</v>
      </c>
      <c r="G6039">
        <f t="shared" si="191"/>
        <v>10.95</v>
      </c>
    </row>
    <row r="6040" spans="1:7" ht="12.75" customHeight="1">
      <c r="A6040" s="3">
        <v>93267</v>
      </c>
      <c r="B6040" s="4" t="s">
        <v>6064</v>
      </c>
      <c r="C6040" s="3" t="s">
        <v>154</v>
      </c>
      <c r="D6040" s="5">
        <f t="shared" si="190"/>
        <v>27.2</v>
      </c>
      <c r="E6040">
        <v>29.86</v>
      </c>
      <c r="F6040" s="1789">
        <v>8.8999999999999996E-2</v>
      </c>
      <c r="G6040">
        <f t="shared" si="191"/>
        <v>27.2</v>
      </c>
    </row>
    <row r="6041" spans="1:7" ht="12.75" customHeight="1">
      <c r="A6041" s="3">
        <v>93269</v>
      </c>
      <c r="B6041" s="4" t="s">
        <v>6065</v>
      </c>
      <c r="C6041" s="3" t="s">
        <v>154</v>
      </c>
      <c r="D6041" s="5">
        <f t="shared" si="190"/>
        <v>9.17</v>
      </c>
      <c r="E6041">
        <v>10.07</v>
      </c>
      <c r="F6041" s="1789">
        <v>8.8999999999999996E-2</v>
      </c>
      <c r="G6041">
        <f t="shared" si="191"/>
        <v>9.17</v>
      </c>
    </row>
    <row r="6042" spans="1:7" ht="12.75" customHeight="1">
      <c r="A6042" s="3">
        <v>93270</v>
      </c>
      <c r="B6042" s="4" t="s">
        <v>6066</v>
      </c>
      <c r="C6042" s="3" t="s">
        <v>154</v>
      </c>
      <c r="D6042" s="5">
        <f t="shared" si="190"/>
        <v>27.2</v>
      </c>
      <c r="E6042">
        <v>29.86</v>
      </c>
      <c r="F6042" s="1789">
        <v>8.8999999999999996E-2</v>
      </c>
      <c r="G6042">
        <f t="shared" si="191"/>
        <v>27.2</v>
      </c>
    </row>
    <row r="6043" spans="1:7" ht="12.75" customHeight="1">
      <c r="A6043" s="3">
        <v>93271</v>
      </c>
      <c r="B6043" s="4" t="s">
        <v>6067</v>
      </c>
      <c r="C6043" s="3" t="s">
        <v>154</v>
      </c>
      <c r="D6043" s="5">
        <f t="shared" si="190"/>
        <v>8.68</v>
      </c>
      <c r="E6043">
        <v>9.5299999999999994</v>
      </c>
      <c r="F6043" s="1789">
        <v>8.8999999999999996E-2</v>
      </c>
      <c r="G6043">
        <f t="shared" si="191"/>
        <v>8.68</v>
      </c>
    </row>
    <row r="6044" spans="1:7" ht="12.75" customHeight="1">
      <c r="A6044" s="3">
        <v>93277</v>
      </c>
      <c r="B6044" s="4" t="s">
        <v>6068</v>
      </c>
      <c r="C6044" s="3" t="s">
        <v>154</v>
      </c>
      <c r="D6044" s="5">
        <f t="shared" si="190"/>
        <v>0.27</v>
      </c>
      <c r="E6044">
        <v>0.3</v>
      </c>
      <c r="F6044" s="1789">
        <v>8.8999999999999996E-2</v>
      </c>
      <c r="G6044">
        <f t="shared" si="191"/>
        <v>0.27</v>
      </c>
    </row>
    <row r="6045" spans="1:7" ht="12.75" customHeight="1">
      <c r="A6045" s="3">
        <v>93278</v>
      </c>
      <c r="B6045" s="4" t="s">
        <v>6069</v>
      </c>
      <c r="C6045" s="3" t="s">
        <v>154</v>
      </c>
      <c r="D6045" s="5">
        <f t="shared" si="190"/>
        <v>0.05</v>
      </c>
      <c r="E6045">
        <v>0.06</v>
      </c>
      <c r="F6045" s="1789">
        <v>8.8999999999999996E-2</v>
      </c>
      <c r="G6045">
        <f t="shared" si="191"/>
        <v>0.05</v>
      </c>
    </row>
    <row r="6046" spans="1:7" ht="12.75" customHeight="1">
      <c r="A6046" s="3">
        <v>93279</v>
      </c>
      <c r="B6046" s="4" t="s">
        <v>6070</v>
      </c>
      <c r="C6046" s="3" t="s">
        <v>154</v>
      </c>
      <c r="D6046" s="5">
        <f t="shared" si="190"/>
        <v>0.25</v>
      </c>
      <c r="E6046">
        <v>0.28000000000000003</v>
      </c>
      <c r="F6046" s="1789">
        <v>8.8999999999999996E-2</v>
      </c>
      <c r="G6046">
        <f t="shared" si="191"/>
        <v>0.25</v>
      </c>
    </row>
    <row r="6047" spans="1:7" ht="12.75" customHeight="1">
      <c r="A6047" s="3">
        <v>93280</v>
      </c>
      <c r="B6047" s="4" t="s">
        <v>6071</v>
      </c>
      <c r="C6047" s="3" t="s">
        <v>154</v>
      </c>
      <c r="D6047" s="5">
        <f t="shared" si="190"/>
        <v>0.71</v>
      </c>
      <c r="E6047">
        <v>0.79</v>
      </c>
      <c r="F6047" s="1789">
        <v>8.8999999999999996E-2</v>
      </c>
      <c r="G6047">
        <f t="shared" si="191"/>
        <v>0.71</v>
      </c>
    </row>
    <row r="6048" spans="1:7" ht="12.75" customHeight="1">
      <c r="A6048" s="3">
        <v>93283</v>
      </c>
      <c r="B6048" s="4" t="s">
        <v>6072</v>
      </c>
      <c r="C6048" s="3" t="s">
        <v>154</v>
      </c>
      <c r="D6048" s="5">
        <f t="shared" si="190"/>
        <v>91.48</v>
      </c>
      <c r="E6048">
        <v>100.42</v>
      </c>
      <c r="F6048" s="1789">
        <v>8.8999999999999996E-2</v>
      </c>
      <c r="G6048">
        <f t="shared" si="191"/>
        <v>91.48</v>
      </c>
    </row>
    <row r="6049" spans="1:7" ht="12.75" customHeight="1">
      <c r="A6049" s="3">
        <v>93284</v>
      </c>
      <c r="B6049" s="4" t="s">
        <v>6073</v>
      </c>
      <c r="C6049" s="3" t="s">
        <v>154</v>
      </c>
      <c r="D6049" s="5">
        <f t="shared" si="190"/>
        <v>32.24</v>
      </c>
      <c r="E6049">
        <v>35.39</v>
      </c>
      <c r="F6049" s="1789">
        <v>8.8999999999999996E-2</v>
      </c>
      <c r="G6049">
        <f t="shared" si="191"/>
        <v>32.24</v>
      </c>
    </row>
    <row r="6050" spans="1:7" ht="12.75" customHeight="1">
      <c r="A6050" s="3">
        <v>93285</v>
      </c>
      <c r="B6050" s="4" t="s">
        <v>6074</v>
      </c>
      <c r="C6050" s="3" t="s">
        <v>154</v>
      </c>
      <c r="D6050" s="5">
        <f t="shared" si="190"/>
        <v>147.05000000000001</v>
      </c>
      <c r="E6050">
        <v>161.41999999999999</v>
      </c>
      <c r="F6050" s="1789">
        <v>8.8999999999999996E-2</v>
      </c>
      <c r="G6050">
        <f t="shared" si="191"/>
        <v>147.05000000000001</v>
      </c>
    </row>
    <row r="6051" spans="1:7" ht="12.75" customHeight="1">
      <c r="A6051" s="3">
        <v>93286</v>
      </c>
      <c r="B6051" s="4" t="s">
        <v>6075</v>
      </c>
      <c r="C6051" s="3" t="s">
        <v>154</v>
      </c>
      <c r="D6051" s="5">
        <f t="shared" si="190"/>
        <v>12.07</v>
      </c>
      <c r="E6051">
        <v>13.26</v>
      </c>
      <c r="F6051" s="1789">
        <v>8.8999999999999996E-2</v>
      </c>
      <c r="G6051">
        <f t="shared" si="191"/>
        <v>12.07</v>
      </c>
    </row>
    <row r="6052" spans="1:7" ht="12.75" customHeight="1">
      <c r="A6052" s="3">
        <v>93296</v>
      </c>
      <c r="B6052" s="4" t="s">
        <v>6076</v>
      </c>
      <c r="C6052" s="3" t="s">
        <v>154</v>
      </c>
      <c r="D6052" s="5">
        <f t="shared" si="190"/>
        <v>13.02</v>
      </c>
      <c r="E6052">
        <v>14.3</v>
      </c>
      <c r="F6052" s="1789">
        <v>8.8999999999999996E-2</v>
      </c>
      <c r="G6052">
        <f t="shared" si="191"/>
        <v>13.02</v>
      </c>
    </row>
    <row r="6053" spans="1:7" ht="12.75" customHeight="1">
      <c r="A6053" s="3">
        <v>93397</v>
      </c>
      <c r="B6053" s="4" t="s">
        <v>6077</v>
      </c>
      <c r="C6053" s="3" t="s">
        <v>154</v>
      </c>
      <c r="D6053" s="5">
        <f t="shared" si="190"/>
        <v>22.78</v>
      </c>
      <c r="E6053">
        <v>25.01</v>
      </c>
      <c r="F6053" s="1789">
        <v>8.8999999999999996E-2</v>
      </c>
      <c r="G6053">
        <f t="shared" si="191"/>
        <v>22.78</v>
      </c>
    </row>
    <row r="6054" spans="1:7" ht="12.75" customHeight="1">
      <c r="A6054" s="3">
        <v>93398</v>
      </c>
      <c r="B6054" s="4" t="s">
        <v>6078</v>
      </c>
      <c r="C6054" s="3" t="s">
        <v>154</v>
      </c>
      <c r="D6054" s="5">
        <f t="shared" si="190"/>
        <v>8.59</v>
      </c>
      <c r="E6054">
        <v>9.43</v>
      </c>
      <c r="F6054" s="1789">
        <v>8.8999999999999996E-2</v>
      </c>
      <c r="G6054">
        <f t="shared" si="191"/>
        <v>8.59</v>
      </c>
    </row>
    <row r="6055" spans="1:7" ht="12.75" customHeight="1">
      <c r="A6055" s="3">
        <v>93399</v>
      </c>
      <c r="B6055" s="4" t="s">
        <v>6079</v>
      </c>
      <c r="C6055" s="3" t="s">
        <v>154</v>
      </c>
      <c r="D6055" s="5">
        <f t="shared" si="190"/>
        <v>3.46</v>
      </c>
      <c r="E6055">
        <v>3.8</v>
      </c>
      <c r="F6055" s="1789">
        <v>8.8999999999999996E-2</v>
      </c>
      <c r="G6055">
        <f t="shared" si="191"/>
        <v>3.46</v>
      </c>
    </row>
    <row r="6056" spans="1:7" ht="12.75" customHeight="1">
      <c r="A6056" s="3">
        <v>93400</v>
      </c>
      <c r="B6056" s="4" t="s">
        <v>6080</v>
      </c>
      <c r="C6056" s="3" t="s">
        <v>154</v>
      </c>
      <c r="D6056" s="5">
        <f t="shared" si="190"/>
        <v>39.49</v>
      </c>
      <c r="E6056">
        <v>43.35</v>
      </c>
      <c r="F6056" s="1789">
        <v>8.8999999999999996E-2</v>
      </c>
      <c r="G6056">
        <f t="shared" si="191"/>
        <v>39.49</v>
      </c>
    </row>
    <row r="6057" spans="1:7" ht="12.75" customHeight="1">
      <c r="A6057" s="3">
        <v>93401</v>
      </c>
      <c r="B6057" s="4" t="s">
        <v>6081</v>
      </c>
      <c r="C6057" s="3" t="s">
        <v>154</v>
      </c>
      <c r="D6057" s="5">
        <f t="shared" si="190"/>
        <v>144.69999999999999</v>
      </c>
      <c r="E6057">
        <v>158.84</v>
      </c>
      <c r="F6057" s="1789">
        <v>8.8999999999999996E-2</v>
      </c>
      <c r="G6057">
        <f t="shared" si="191"/>
        <v>144.69999999999999</v>
      </c>
    </row>
    <row r="6058" spans="1:7" ht="12.75" customHeight="1">
      <c r="A6058" s="3">
        <v>93404</v>
      </c>
      <c r="B6058" s="4" t="s">
        <v>6082</v>
      </c>
      <c r="C6058" s="3" t="s">
        <v>154</v>
      </c>
      <c r="D6058" s="5">
        <f t="shared" si="190"/>
        <v>6.68</v>
      </c>
      <c r="E6058">
        <v>7.34</v>
      </c>
      <c r="F6058" s="1789">
        <v>8.8999999999999996E-2</v>
      </c>
      <c r="G6058">
        <f t="shared" si="191"/>
        <v>6.68</v>
      </c>
    </row>
    <row r="6059" spans="1:7" ht="12.75" customHeight="1">
      <c r="A6059" s="3">
        <v>93405</v>
      </c>
      <c r="B6059" s="4" t="s">
        <v>6083</v>
      </c>
      <c r="C6059" s="3" t="s">
        <v>154</v>
      </c>
      <c r="D6059" s="5">
        <f t="shared" si="190"/>
        <v>1.82</v>
      </c>
      <c r="E6059">
        <v>2</v>
      </c>
      <c r="F6059" s="1789">
        <v>8.8999999999999996E-2</v>
      </c>
      <c r="G6059">
        <f t="shared" si="191"/>
        <v>1.82</v>
      </c>
    </row>
    <row r="6060" spans="1:7" ht="12.75" customHeight="1">
      <c r="A6060" s="3">
        <v>93406</v>
      </c>
      <c r="B6060" s="4" t="s">
        <v>6084</v>
      </c>
      <c r="C6060" s="3" t="s">
        <v>154</v>
      </c>
      <c r="D6060" s="5">
        <f t="shared" si="190"/>
        <v>8.85</v>
      </c>
      <c r="E6060">
        <v>9.7200000000000006</v>
      </c>
      <c r="F6060" s="1789">
        <v>8.8999999999999996E-2</v>
      </c>
      <c r="G6060">
        <f t="shared" si="191"/>
        <v>8.85</v>
      </c>
    </row>
    <row r="6061" spans="1:7" ht="12.75" customHeight="1">
      <c r="A6061" s="3">
        <v>93407</v>
      </c>
      <c r="B6061" s="4" t="s">
        <v>6085</v>
      </c>
      <c r="C6061" s="3" t="s">
        <v>154</v>
      </c>
      <c r="D6061" s="5">
        <f t="shared" si="190"/>
        <v>43.15</v>
      </c>
      <c r="E6061">
        <v>47.37</v>
      </c>
      <c r="F6061" s="1789">
        <v>8.8999999999999996E-2</v>
      </c>
      <c r="G6061">
        <f t="shared" si="191"/>
        <v>43.15</v>
      </c>
    </row>
    <row r="6062" spans="1:7" ht="12.75" customHeight="1">
      <c r="A6062" s="3">
        <v>93411</v>
      </c>
      <c r="B6062" s="4" t="s">
        <v>6086</v>
      </c>
      <c r="C6062" s="3" t="s">
        <v>154</v>
      </c>
      <c r="D6062" s="5">
        <f t="shared" si="190"/>
        <v>0.3</v>
      </c>
      <c r="E6062">
        <v>0.34</v>
      </c>
      <c r="F6062" s="1789">
        <v>8.8999999999999996E-2</v>
      </c>
      <c r="G6062">
        <f t="shared" si="191"/>
        <v>0.3</v>
      </c>
    </row>
    <row r="6063" spans="1:7" ht="12.75" customHeight="1">
      <c r="A6063" s="3">
        <v>93412</v>
      </c>
      <c r="B6063" s="4" t="s">
        <v>6087</v>
      </c>
      <c r="C6063" s="3" t="s">
        <v>154</v>
      </c>
      <c r="D6063" s="5">
        <f t="shared" si="190"/>
        <v>0.1</v>
      </c>
      <c r="E6063">
        <v>0.12</v>
      </c>
      <c r="F6063" s="1789">
        <v>8.8999999999999996E-2</v>
      </c>
      <c r="G6063">
        <f t="shared" si="191"/>
        <v>0.1</v>
      </c>
    </row>
    <row r="6064" spans="1:7" ht="12.75" customHeight="1">
      <c r="A6064" s="3">
        <v>93413</v>
      </c>
      <c r="B6064" s="4" t="s">
        <v>6088</v>
      </c>
      <c r="C6064" s="3" t="s">
        <v>154</v>
      </c>
      <c r="D6064" s="5">
        <f t="shared" si="190"/>
        <v>0.27</v>
      </c>
      <c r="E6064">
        <v>0.3</v>
      </c>
      <c r="F6064" s="1789">
        <v>8.8999999999999996E-2</v>
      </c>
      <c r="G6064">
        <f t="shared" si="191"/>
        <v>0.27</v>
      </c>
    </row>
    <row r="6065" spans="1:7" ht="12.75" customHeight="1">
      <c r="A6065" s="3">
        <v>93414</v>
      </c>
      <c r="B6065" s="4" t="s">
        <v>6089</v>
      </c>
      <c r="C6065" s="3" t="s">
        <v>154</v>
      </c>
      <c r="D6065" s="5">
        <f t="shared" si="190"/>
        <v>13.61</v>
      </c>
      <c r="E6065">
        <v>14.94</v>
      </c>
      <c r="F6065" s="1789">
        <v>8.8999999999999996E-2</v>
      </c>
      <c r="G6065">
        <f t="shared" si="191"/>
        <v>13.61</v>
      </c>
    </row>
    <row r="6066" spans="1:7" ht="12.75" customHeight="1">
      <c r="A6066" s="3">
        <v>93417</v>
      </c>
      <c r="B6066" s="4" t="s">
        <v>6090</v>
      </c>
      <c r="C6066" s="3" t="s">
        <v>154</v>
      </c>
      <c r="D6066" s="5">
        <f t="shared" si="190"/>
        <v>4.09</v>
      </c>
      <c r="E6066">
        <v>4.49</v>
      </c>
      <c r="F6066" s="1789">
        <v>8.8999999999999996E-2</v>
      </c>
      <c r="G6066">
        <f t="shared" si="191"/>
        <v>4.09</v>
      </c>
    </row>
    <row r="6067" spans="1:7" ht="12.75" customHeight="1">
      <c r="A6067" s="3">
        <v>93418</v>
      </c>
      <c r="B6067" s="4" t="s">
        <v>6091</v>
      </c>
      <c r="C6067" s="3" t="s">
        <v>154</v>
      </c>
      <c r="D6067" s="5">
        <f t="shared" si="190"/>
        <v>1.43</v>
      </c>
      <c r="E6067">
        <v>1.58</v>
      </c>
      <c r="F6067" s="1789">
        <v>8.8999999999999996E-2</v>
      </c>
      <c r="G6067">
        <f t="shared" si="191"/>
        <v>1.43</v>
      </c>
    </row>
    <row r="6068" spans="1:7" ht="12.75" customHeight="1">
      <c r="A6068" s="3">
        <v>93419</v>
      </c>
      <c r="B6068" s="4" t="s">
        <v>6092</v>
      </c>
      <c r="C6068" s="3" t="s">
        <v>154</v>
      </c>
      <c r="D6068" s="5">
        <f t="shared" si="190"/>
        <v>3.65</v>
      </c>
      <c r="E6068">
        <v>4.01</v>
      </c>
      <c r="F6068" s="1789">
        <v>8.8999999999999996E-2</v>
      </c>
      <c r="G6068">
        <f t="shared" si="191"/>
        <v>3.65</v>
      </c>
    </row>
    <row r="6069" spans="1:7" ht="12.75" customHeight="1">
      <c r="A6069" s="3">
        <v>93420</v>
      </c>
      <c r="B6069" s="4" t="s">
        <v>6093</v>
      </c>
      <c r="C6069" s="3" t="s">
        <v>154</v>
      </c>
      <c r="D6069" s="5">
        <f t="shared" si="190"/>
        <v>61.37</v>
      </c>
      <c r="E6069">
        <v>67.37</v>
      </c>
      <c r="F6069" s="1789">
        <v>8.8999999999999996E-2</v>
      </c>
      <c r="G6069">
        <f t="shared" si="191"/>
        <v>61.37</v>
      </c>
    </row>
    <row r="6070" spans="1:7" ht="12.75" customHeight="1">
      <c r="A6070" s="3">
        <v>93423</v>
      </c>
      <c r="B6070" s="4" t="s">
        <v>6094</v>
      </c>
      <c r="C6070" s="3" t="s">
        <v>154</v>
      </c>
      <c r="D6070" s="5">
        <f t="shared" si="190"/>
        <v>5.79</v>
      </c>
      <c r="E6070">
        <v>6.36</v>
      </c>
      <c r="F6070" s="1789">
        <v>8.8999999999999996E-2</v>
      </c>
      <c r="G6070">
        <f t="shared" si="191"/>
        <v>5.79</v>
      </c>
    </row>
    <row r="6071" spans="1:7" ht="12.75" customHeight="1">
      <c r="A6071" s="3">
        <v>93424</v>
      </c>
      <c r="B6071" s="4" t="s">
        <v>6095</v>
      </c>
      <c r="C6071" s="3" t="s">
        <v>154</v>
      </c>
      <c r="D6071" s="5">
        <f t="shared" si="190"/>
        <v>2.04</v>
      </c>
      <c r="E6071">
        <v>2.2400000000000002</v>
      </c>
      <c r="F6071" s="1789">
        <v>8.8999999999999996E-2</v>
      </c>
      <c r="G6071">
        <f t="shared" si="191"/>
        <v>2.04</v>
      </c>
    </row>
    <row r="6072" spans="1:7" ht="12.75" customHeight="1">
      <c r="A6072" s="3">
        <v>93425</v>
      </c>
      <c r="B6072" s="4" t="s">
        <v>6096</v>
      </c>
      <c r="C6072" s="3" t="s">
        <v>154</v>
      </c>
      <c r="D6072" s="5">
        <f t="shared" si="190"/>
        <v>5.17</v>
      </c>
      <c r="E6072">
        <v>5.68</v>
      </c>
      <c r="F6072" s="1789">
        <v>8.8999999999999996E-2</v>
      </c>
      <c r="G6072">
        <f t="shared" si="191"/>
        <v>5.17</v>
      </c>
    </row>
    <row r="6073" spans="1:7" ht="12.75" customHeight="1">
      <c r="A6073" s="3">
        <v>93426</v>
      </c>
      <c r="B6073" s="4" t="s">
        <v>6097</v>
      </c>
      <c r="C6073" s="3" t="s">
        <v>154</v>
      </c>
      <c r="D6073" s="5">
        <f t="shared" si="190"/>
        <v>146.66999999999999</v>
      </c>
      <c r="E6073">
        <v>161</v>
      </c>
      <c r="F6073" s="1789">
        <v>8.8999999999999996E-2</v>
      </c>
      <c r="G6073">
        <f t="shared" si="191"/>
        <v>146.66999999999999</v>
      </c>
    </row>
    <row r="6074" spans="1:7" ht="12.75" customHeight="1">
      <c r="A6074" s="3">
        <v>93429</v>
      </c>
      <c r="B6074" s="4" t="s">
        <v>6098</v>
      </c>
      <c r="C6074" s="3" t="s">
        <v>154</v>
      </c>
      <c r="D6074" s="5">
        <f t="shared" si="190"/>
        <v>154.87</v>
      </c>
      <c r="E6074">
        <v>170</v>
      </c>
      <c r="F6074" s="1789">
        <v>8.8999999999999996E-2</v>
      </c>
      <c r="G6074">
        <f t="shared" si="191"/>
        <v>154.87</v>
      </c>
    </row>
    <row r="6075" spans="1:7" ht="12.75" customHeight="1">
      <c r="A6075" s="3">
        <v>93430</v>
      </c>
      <c r="B6075" s="4" t="s">
        <v>6099</v>
      </c>
      <c r="C6075" s="3" t="s">
        <v>154</v>
      </c>
      <c r="D6075" s="5">
        <f t="shared" si="190"/>
        <v>48.93</v>
      </c>
      <c r="E6075">
        <v>53.72</v>
      </c>
      <c r="F6075" s="1789">
        <v>8.8999999999999996E-2</v>
      </c>
      <c r="G6075">
        <f t="shared" si="191"/>
        <v>48.93</v>
      </c>
    </row>
    <row r="6076" spans="1:7" ht="12.75" customHeight="1">
      <c r="A6076" s="3">
        <v>93431</v>
      </c>
      <c r="B6076" s="4" t="s">
        <v>6100</v>
      </c>
      <c r="C6076" s="3" t="s">
        <v>154</v>
      </c>
      <c r="D6076" s="5">
        <f t="shared" si="190"/>
        <v>185.84</v>
      </c>
      <c r="E6076">
        <v>204</v>
      </c>
      <c r="F6076" s="1789">
        <v>8.8999999999999996E-2</v>
      </c>
      <c r="G6076">
        <f t="shared" si="191"/>
        <v>185.84</v>
      </c>
    </row>
    <row r="6077" spans="1:7" ht="12.75" customHeight="1">
      <c r="A6077" s="3">
        <v>93432</v>
      </c>
      <c r="B6077" s="4" t="s">
        <v>6101</v>
      </c>
      <c r="C6077" s="3" t="s">
        <v>154</v>
      </c>
      <c r="D6077" s="5">
        <f t="shared" si="190"/>
        <v>1971.03</v>
      </c>
      <c r="E6077">
        <v>2163.6</v>
      </c>
      <c r="F6077" s="1789">
        <v>8.8999999999999996E-2</v>
      </c>
      <c r="G6077">
        <f t="shared" si="191"/>
        <v>1971.03</v>
      </c>
    </row>
    <row r="6078" spans="1:7" ht="12.75" customHeight="1">
      <c r="A6078" s="3">
        <v>93435</v>
      </c>
      <c r="B6078" s="4" t="s">
        <v>6102</v>
      </c>
      <c r="C6078" s="3" t="s">
        <v>154</v>
      </c>
      <c r="D6078" s="5">
        <f t="shared" si="190"/>
        <v>9.77</v>
      </c>
      <c r="E6078">
        <v>10.73</v>
      </c>
      <c r="F6078" s="1789">
        <v>8.8999999999999996E-2</v>
      </c>
      <c r="G6078">
        <f t="shared" si="191"/>
        <v>9.77</v>
      </c>
    </row>
    <row r="6079" spans="1:7" ht="12.75" customHeight="1">
      <c r="A6079" s="3">
        <v>93436</v>
      </c>
      <c r="B6079" s="4" t="s">
        <v>6103</v>
      </c>
      <c r="C6079" s="3" t="s">
        <v>154</v>
      </c>
      <c r="D6079" s="5">
        <f t="shared" si="190"/>
        <v>2.75</v>
      </c>
      <c r="E6079">
        <v>3.02</v>
      </c>
      <c r="F6079" s="1789">
        <v>8.8999999999999996E-2</v>
      </c>
      <c r="G6079">
        <f t="shared" si="191"/>
        <v>2.75</v>
      </c>
    </row>
    <row r="6080" spans="1:7" ht="12.75" customHeight="1">
      <c r="A6080" s="3">
        <v>93437</v>
      </c>
      <c r="B6080" s="4" t="s">
        <v>6104</v>
      </c>
      <c r="C6080" s="3" t="s">
        <v>154</v>
      </c>
      <c r="D6080" s="5">
        <f t="shared" si="190"/>
        <v>9.77</v>
      </c>
      <c r="E6080">
        <v>10.73</v>
      </c>
      <c r="F6080" s="1789">
        <v>8.8999999999999996E-2</v>
      </c>
      <c r="G6080">
        <f t="shared" si="191"/>
        <v>9.77</v>
      </c>
    </row>
    <row r="6081" spans="1:7" ht="12.75" customHeight="1">
      <c r="A6081" s="3">
        <v>93438</v>
      </c>
      <c r="B6081" s="4" t="s">
        <v>6105</v>
      </c>
      <c r="C6081" s="3" t="s">
        <v>154</v>
      </c>
      <c r="D6081" s="5">
        <f t="shared" si="190"/>
        <v>102.76</v>
      </c>
      <c r="E6081">
        <v>112.8</v>
      </c>
      <c r="F6081" s="1789">
        <v>8.8999999999999996E-2</v>
      </c>
      <c r="G6081">
        <f t="shared" si="191"/>
        <v>102.76</v>
      </c>
    </row>
    <row r="6082" spans="1:7" ht="12.75" customHeight="1">
      <c r="A6082" s="3">
        <v>95114</v>
      </c>
      <c r="B6082" s="4" t="s">
        <v>6106</v>
      </c>
      <c r="C6082" s="3" t="s">
        <v>154</v>
      </c>
      <c r="D6082" s="5">
        <f t="shared" si="190"/>
        <v>1.65</v>
      </c>
      <c r="E6082">
        <v>1.82</v>
      </c>
      <c r="F6082" s="1789">
        <v>8.8999999999999996E-2</v>
      </c>
      <c r="G6082">
        <f t="shared" si="191"/>
        <v>1.65</v>
      </c>
    </row>
    <row r="6083" spans="1:7" ht="12.75" customHeight="1">
      <c r="A6083" s="3">
        <v>95115</v>
      </c>
      <c r="B6083" s="4" t="s">
        <v>6107</v>
      </c>
      <c r="C6083" s="3" t="s">
        <v>154</v>
      </c>
      <c r="D6083" s="5">
        <f t="shared" si="190"/>
        <v>0.38</v>
      </c>
      <c r="E6083">
        <v>0.42</v>
      </c>
      <c r="F6083" s="1789">
        <v>8.8999999999999996E-2</v>
      </c>
      <c r="G6083">
        <f t="shared" si="191"/>
        <v>0.38</v>
      </c>
    </row>
    <row r="6084" spans="1:7" ht="12.75" customHeight="1">
      <c r="A6084" s="3">
        <v>95116</v>
      </c>
      <c r="B6084" s="4" t="s">
        <v>6108</v>
      </c>
      <c r="C6084" s="3" t="s">
        <v>154</v>
      </c>
      <c r="D6084" s="5">
        <f t="shared" si="190"/>
        <v>29.65</v>
      </c>
      <c r="E6084">
        <v>32.549999999999997</v>
      </c>
      <c r="F6084" s="1789">
        <v>8.8999999999999996E-2</v>
      </c>
      <c r="G6084">
        <f t="shared" si="191"/>
        <v>29.65</v>
      </c>
    </row>
    <row r="6085" spans="1:7" ht="12.75" customHeight="1">
      <c r="A6085" s="3">
        <v>95117</v>
      </c>
      <c r="B6085" s="4" t="s">
        <v>6109</v>
      </c>
      <c r="C6085" s="3" t="s">
        <v>154</v>
      </c>
      <c r="D6085" s="5">
        <f t="shared" si="190"/>
        <v>9.14</v>
      </c>
      <c r="E6085">
        <v>10.039999999999999</v>
      </c>
      <c r="F6085" s="1789">
        <v>8.8999999999999996E-2</v>
      </c>
      <c r="G6085">
        <f t="shared" si="191"/>
        <v>9.14</v>
      </c>
    </row>
    <row r="6086" spans="1:7" ht="12.75" customHeight="1">
      <c r="A6086" s="3">
        <v>95118</v>
      </c>
      <c r="B6086" s="4" t="s">
        <v>6110</v>
      </c>
      <c r="C6086" s="3" t="s">
        <v>154</v>
      </c>
      <c r="D6086" s="5">
        <f t="shared" si="190"/>
        <v>73.010000000000005</v>
      </c>
      <c r="E6086">
        <v>80.150000000000006</v>
      </c>
      <c r="F6086" s="1789">
        <v>8.8999999999999996E-2</v>
      </c>
      <c r="G6086">
        <f t="shared" si="191"/>
        <v>73.010000000000005</v>
      </c>
    </row>
    <row r="6087" spans="1:7" ht="12.75" customHeight="1">
      <c r="A6087" s="3">
        <v>95119</v>
      </c>
      <c r="B6087" s="4" t="s">
        <v>6111</v>
      </c>
      <c r="C6087" s="3" t="s">
        <v>154</v>
      </c>
      <c r="D6087" s="5">
        <f t="shared" si="190"/>
        <v>22.51</v>
      </c>
      <c r="E6087">
        <v>24.72</v>
      </c>
      <c r="F6087" s="1789">
        <v>8.8999999999999996E-2</v>
      </c>
      <c r="G6087">
        <f t="shared" si="191"/>
        <v>22.51</v>
      </c>
    </row>
    <row r="6088" spans="1:7" ht="12.75" customHeight="1">
      <c r="A6088" s="3">
        <v>95120</v>
      </c>
      <c r="B6088" s="4" t="s">
        <v>6112</v>
      </c>
      <c r="C6088" s="3" t="s">
        <v>154</v>
      </c>
      <c r="D6088" s="5">
        <f t="shared" si="190"/>
        <v>59.23</v>
      </c>
      <c r="E6088">
        <v>65.02</v>
      </c>
      <c r="F6088" s="1789">
        <v>8.8999999999999996E-2</v>
      </c>
      <c r="G6088">
        <f t="shared" si="191"/>
        <v>59.23</v>
      </c>
    </row>
    <row r="6089" spans="1:7" ht="12.75" customHeight="1">
      <c r="A6089" s="3">
        <v>95123</v>
      </c>
      <c r="B6089" s="4" t="s">
        <v>6113</v>
      </c>
      <c r="C6089" s="3" t="s">
        <v>154</v>
      </c>
      <c r="D6089" s="5">
        <f t="shared" si="190"/>
        <v>16.27</v>
      </c>
      <c r="E6089">
        <v>17.87</v>
      </c>
      <c r="F6089" s="1789">
        <v>8.8999999999999996E-2</v>
      </c>
      <c r="G6089">
        <f t="shared" si="191"/>
        <v>16.27</v>
      </c>
    </row>
    <row r="6090" spans="1:7" ht="12.75" customHeight="1">
      <c r="A6090" s="3">
        <v>95124</v>
      </c>
      <c r="B6090" s="4" t="s">
        <v>6114</v>
      </c>
      <c r="C6090" s="3" t="s">
        <v>154</v>
      </c>
      <c r="D6090" s="5">
        <f t="shared" si="190"/>
        <v>5.01</v>
      </c>
      <c r="E6090">
        <v>5.51</v>
      </c>
      <c r="F6090" s="1789">
        <v>8.8999999999999996E-2</v>
      </c>
      <c r="G6090">
        <f t="shared" si="191"/>
        <v>5.01</v>
      </c>
    </row>
    <row r="6091" spans="1:7" ht="12.75" customHeight="1">
      <c r="A6091" s="3">
        <v>95125</v>
      </c>
      <c r="B6091" s="4" t="s">
        <v>6115</v>
      </c>
      <c r="C6091" s="3" t="s">
        <v>154</v>
      </c>
      <c r="D6091" s="5">
        <f t="shared" si="190"/>
        <v>17.809999999999999</v>
      </c>
      <c r="E6091">
        <v>19.559999999999999</v>
      </c>
      <c r="F6091" s="1789">
        <v>8.8999999999999996E-2</v>
      </c>
      <c r="G6091">
        <f t="shared" si="191"/>
        <v>17.809999999999999</v>
      </c>
    </row>
    <row r="6092" spans="1:7" ht="12.75" customHeight="1">
      <c r="A6092" s="3">
        <v>95126</v>
      </c>
      <c r="B6092" s="4" t="s">
        <v>6116</v>
      </c>
      <c r="C6092" s="3" t="s">
        <v>154</v>
      </c>
      <c r="D6092" s="5">
        <f t="shared" si="190"/>
        <v>134.72999999999999</v>
      </c>
      <c r="E6092">
        <v>147.9</v>
      </c>
      <c r="F6092" s="1789">
        <v>8.8999999999999996E-2</v>
      </c>
      <c r="G6092">
        <f t="shared" si="191"/>
        <v>134.72999999999999</v>
      </c>
    </row>
    <row r="6093" spans="1:7" ht="12.75" customHeight="1">
      <c r="A6093" s="3">
        <v>95129</v>
      </c>
      <c r="B6093" s="4" t="s">
        <v>6117</v>
      </c>
      <c r="C6093" s="3" t="s">
        <v>154</v>
      </c>
      <c r="D6093" s="5">
        <f t="shared" si="190"/>
        <v>43.63</v>
      </c>
      <c r="E6093">
        <v>47.9</v>
      </c>
      <c r="F6093" s="1789">
        <v>8.8999999999999996E-2</v>
      </c>
      <c r="G6093">
        <f t="shared" si="191"/>
        <v>43.63</v>
      </c>
    </row>
    <row r="6094" spans="1:7" ht="12.75" customHeight="1">
      <c r="A6094" s="3">
        <v>95130</v>
      </c>
      <c r="B6094" s="4" t="s">
        <v>6118</v>
      </c>
      <c r="C6094" s="3" t="s">
        <v>154</v>
      </c>
      <c r="D6094" s="5">
        <f t="shared" si="190"/>
        <v>15.81</v>
      </c>
      <c r="E6094">
        <v>17.36</v>
      </c>
      <c r="F6094" s="1789">
        <v>8.8999999999999996E-2</v>
      </c>
      <c r="G6094">
        <f t="shared" si="191"/>
        <v>15.81</v>
      </c>
    </row>
    <row r="6095" spans="1:7" ht="12.75" customHeight="1">
      <c r="A6095" s="3">
        <v>95131</v>
      </c>
      <c r="B6095" s="4" t="s">
        <v>6119</v>
      </c>
      <c r="C6095" s="3" t="s">
        <v>154</v>
      </c>
      <c r="D6095" s="5">
        <f t="shared" si="190"/>
        <v>51.36</v>
      </c>
      <c r="E6095">
        <v>56.38</v>
      </c>
      <c r="F6095" s="1789">
        <v>8.8999999999999996E-2</v>
      </c>
      <c r="G6095">
        <f t="shared" si="191"/>
        <v>51.36</v>
      </c>
    </row>
    <row r="6096" spans="1:7" ht="12.75" customHeight="1">
      <c r="A6096" s="3">
        <v>95132</v>
      </c>
      <c r="B6096" s="4" t="s">
        <v>6120</v>
      </c>
      <c r="C6096" s="3" t="s">
        <v>154</v>
      </c>
      <c r="D6096" s="5">
        <f t="shared" si="190"/>
        <v>29.5</v>
      </c>
      <c r="E6096">
        <v>32.39</v>
      </c>
      <c r="F6096" s="1789">
        <v>8.8999999999999996E-2</v>
      </c>
      <c r="G6096">
        <f t="shared" si="191"/>
        <v>29.5</v>
      </c>
    </row>
    <row r="6097" spans="1:7" ht="12.75" customHeight="1">
      <c r="A6097" s="3">
        <v>95136</v>
      </c>
      <c r="B6097" s="4" t="s">
        <v>6121</v>
      </c>
      <c r="C6097" s="3" t="s">
        <v>154</v>
      </c>
      <c r="D6097" s="5">
        <f t="shared" si="190"/>
        <v>0.02</v>
      </c>
      <c r="E6097">
        <v>0.03</v>
      </c>
      <c r="F6097" s="1789">
        <v>8.8999999999999996E-2</v>
      </c>
      <c r="G6097">
        <f t="shared" si="191"/>
        <v>0.02</v>
      </c>
    </row>
    <row r="6098" spans="1:7" ht="12.75" customHeight="1">
      <c r="A6098" s="3">
        <v>95137</v>
      </c>
      <c r="B6098" s="4" t="s">
        <v>6122</v>
      </c>
      <c r="C6098" s="3" t="s">
        <v>154</v>
      </c>
      <c r="D6098" s="5">
        <f t="shared" si="190"/>
        <v>0</v>
      </c>
      <c r="E6098">
        <v>0.01</v>
      </c>
      <c r="F6098" s="1789">
        <v>8.8999999999999996E-2</v>
      </c>
      <c r="G6098">
        <f t="shared" si="191"/>
        <v>0</v>
      </c>
    </row>
    <row r="6099" spans="1:7" ht="12.75" customHeight="1">
      <c r="A6099" s="3">
        <v>95138</v>
      </c>
      <c r="B6099" s="4" t="s">
        <v>6123</v>
      </c>
      <c r="C6099" s="3" t="s">
        <v>154</v>
      </c>
      <c r="D6099" s="5">
        <f t="shared" si="190"/>
        <v>0.01</v>
      </c>
      <c r="E6099">
        <v>0.02</v>
      </c>
      <c r="F6099" s="1789">
        <v>8.8999999999999996E-2</v>
      </c>
      <c r="G6099">
        <f t="shared" si="191"/>
        <v>0.01</v>
      </c>
    </row>
    <row r="6100" spans="1:7" ht="12.75" customHeight="1">
      <c r="A6100" s="3">
        <v>95208</v>
      </c>
      <c r="B6100" s="4" t="s">
        <v>6124</v>
      </c>
      <c r="C6100" s="3" t="s">
        <v>154</v>
      </c>
      <c r="D6100" s="5">
        <f t="shared" si="190"/>
        <v>30.81</v>
      </c>
      <c r="E6100">
        <v>33.83</v>
      </c>
      <c r="F6100" s="1789">
        <v>8.8999999999999996E-2</v>
      </c>
      <c r="G6100">
        <f t="shared" si="191"/>
        <v>30.81</v>
      </c>
    </row>
    <row r="6101" spans="1:7" ht="12.75" customHeight="1">
      <c r="A6101" s="3">
        <v>95209</v>
      </c>
      <c r="B6101" s="4" t="s">
        <v>6125</v>
      </c>
      <c r="C6101" s="3" t="s">
        <v>154</v>
      </c>
      <c r="D6101" s="5">
        <f t="shared" ref="D6101:D6164" si="192">G6101</f>
        <v>11.39</v>
      </c>
      <c r="E6101">
        <v>12.51</v>
      </c>
      <c r="F6101" s="1789">
        <v>8.8999999999999996E-2</v>
      </c>
      <c r="G6101">
        <f t="shared" ref="G6101:G6164" si="193">TRUNC((1-F6101)*E6101,2)</f>
        <v>11.39</v>
      </c>
    </row>
    <row r="6102" spans="1:7" ht="12.75" customHeight="1">
      <c r="A6102" s="3">
        <v>95210</v>
      </c>
      <c r="B6102" s="4" t="s">
        <v>6126</v>
      </c>
      <c r="C6102" s="3" t="s">
        <v>154</v>
      </c>
      <c r="D6102" s="5">
        <f t="shared" si="192"/>
        <v>30.81</v>
      </c>
      <c r="E6102">
        <v>33.83</v>
      </c>
      <c r="F6102" s="1789">
        <v>8.8999999999999996E-2</v>
      </c>
      <c r="G6102">
        <f t="shared" si="193"/>
        <v>30.81</v>
      </c>
    </row>
    <row r="6103" spans="1:7" ht="12.75" customHeight="1">
      <c r="A6103" s="3">
        <v>95211</v>
      </c>
      <c r="B6103" s="4" t="s">
        <v>6127</v>
      </c>
      <c r="C6103" s="3" t="s">
        <v>154</v>
      </c>
      <c r="D6103" s="5">
        <f t="shared" si="192"/>
        <v>8.68</v>
      </c>
      <c r="E6103">
        <v>9.5299999999999994</v>
      </c>
      <c r="F6103" s="1789">
        <v>8.8999999999999996E-2</v>
      </c>
      <c r="G6103">
        <f t="shared" si="193"/>
        <v>8.68</v>
      </c>
    </row>
    <row r="6104" spans="1:7" ht="12.75" customHeight="1">
      <c r="A6104" s="3">
        <v>95217</v>
      </c>
      <c r="B6104" s="4" t="s">
        <v>6128</v>
      </c>
      <c r="C6104" s="3" t="s">
        <v>154</v>
      </c>
      <c r="D6104" s="5">
        <f t="shared" si="192"/>
        <v>0.7</v>
      </c>
      <c r="E6104">
        <v>0.77</v>
      </c>
      <c r="F6104" s="1789">
        <v>8.8999999999999996E-2</v>
      </c>
      <c r="G6104">
        <f t="shared" si="193"/>
        <v>0.7</v>
      </c>
    </row>
    <row r="6105" spans="1:7" ht="12.75" customHeight="1">
      <c r="A6105" s="3">
        <v>95255</v>
      </c>
      <c r="B6105" s="4" t="s">
        <v>6129</v>
      </c>
      <c r="C6105" s="3" t="s">
        <v>154</v>
      </c>
      <c r="D6105" s="5">
        <f t="shared" si="192"/>
        <v>1.46</v>
      </c>
      <c r="E6105">
        <v>1.61</v>
      </c>
      <c r="F6105" s="1789">
        <v>8.8999999999999996E-2</v>
      </c>
      <c r="G6105">
        <f t="shared" si="193"/>
        <v>1.46</v>
      </c>
    </row>
    <row r="6106" spans="1:7" ht="12.75" customHeight="1">
      <c r="A6106" s="3">
        <v>95256</v>
      </c>
      <c r="B6106" s="4" t="s">
        <v>6130</v>
      </c>
      <c r="C6106" s="3" t="s">
        <v>154</v>
      </c>
      <c r="D6106" s="5">
        <f t="shared" si="192"/>
        <v>0.33</v>
      </c>
      <c r="E6106">
        <v>0.37</v>
      </c>
      <c r="F6106" s="1789">
        <v>8.8999999999999996E-2</v>
      </c>
      <c r="G6106">
        <f t="shared" si="193"/>
        <v>0.33</v>
      </c>
    </row>
    <row r="6107" spans="1:7" ht="12.75" customHeight="1">
      <c r="A6107" s="3">
        <v>95257</v>
      </c>
      <c r="B6107" s="4" t="s">
        <v>6131</v>
      </c>
      <c r="C6107" s="3" t="s">
        <v>154</v>
      </c>
      <c r="D6107" s="5">
        <f t="shared" si="192"/>
        <v>1.84</v>
      </c>
      <c r="E6107">
        <v>2.02</v>
      </c>
      <c r="F6107" s="1789">
        <v>8.8999999999999996E-2</v>
      </c>
      <c r="G6107">
        <f t="shared" si="193"/>
        <v>1.84</v>
      </c>
    </row>
    <row r="6108" spans="1:7" ht="12.75" customHeight="1">
      <c r="A6108" s="3">
        <v>95260</v>
      </c>
      <c r="B6108" s="4" t="s">
        <v>6132</v>
      </c>
      <c r="C6108" s="3" t="s">
        <v>154</v>
      </c>
      <c r="D6108" s="5">
        <f t="shared" si="192"/>
        <v>0.6</v>
      </c>
      <c r="E6108">
        <v>0.66</v>
      </c>
      <c r="F6108" s="1789">
        <v>8.8999999999999996E-2</v>
      </c>
      <c r="G6108">
        <f t="shared" si="193"/>
        <v>0.6</v>
      </c>
    </row>
    <row r="6109" spans="1:7" ht="12.75" customHeight="1">
      <c r="A6109" s="3">
        <v>95261</v>
      </c>
      <c r="B6109" s="4" t="s">
        <v>6133</v>
      </c>
      <c r="C6109" s="3" t="s">
        <v>154</v>
      </c>
      <c r="D6109" s="5">
        <f t="shared" si="192"/>
        <v>0.15</v>
      </c>
      <c r="E6109">
        <v>0.17</v>
      </c>
      <c r="F6109" s="1789">
        <v>8.8999999999999996E-2</v>
      </c>
      <c r="G6109">
        <f t="shared" si="193"/>
        <v>0.15</v>
      </c>
    </row>
    <row r="6110" spans="1:7" ht="12.75" customHeight="1">
      <c r="A6110" s="3">
        <v>95262</v>
      </c>
      <c r="B6110" s="4" t="s">
        <v>6134</v>
      </c>
      <c r="C6110" s="3" t="s">
        <v>154</v>
      </c>
      <c r="D6110" s="5">
        <f t="shared" si="192"/>
        <v>0.75</v>
      </c>
      <c r="E6110">
        <v>0.83</v>
      </c>
      <c r="F6110" s="1789">
        <v>8.8999999999999996E-2</v>
      </c>
      <c r="G6110">
        <f t="shared" si="193"/>
        <v>0.75</v>
      </c>
    </row>
    <row r="6111" spans="1:7" ht="12.75" customHeight="1">
      <c r="A6111" s="3">
        <v>95263</v>
      </c>
      <c r="B6111" s="4" t="s">
        <v>6135</v>
      </c>
      <c r="C6111" s="3" t="s">
        <v>154</v>
      </c>
      <c r="D6111" s="5">
        <f t="shared" si="192"/>
        <v>4.26</v>
      </c>
      <c r="E6111">
        <v>4.68</v>
      </c>
      <c r="F6111" s="1789">
        <v>8.8999999999999996E-2</v>
      </c>
      <c r="G6111">
        <f t="shared" si="193"/>
        <v>4.26</v>
      </c>
    </row>
    <row r="6112" spans="1:7" ht="12.75" customHeight="1">
      <c r="A6112" s="3">
        <v>95266</v>
      </c>
      <c r="B6112" s="4" t="s">
        <v>6136</v>
      </c>
      <c r="C6112" s="3" t="s">
        <v>154</v>
      </c>
      <c r="D6112" s="5">
        <f t="shared" si="192"/>
        <v>0.41</v>
      </c>
      <c r="E6112">
        <v>0.46</v>
      </c>
      <c r="F6112" s="1789">
        <v>8.8999999999999996E-2</v>
      </c>
      <c r="G6112">
        <f t="shared" si="193"/>
        <v>0.41</v>
      </c>
    </row>
    <row r="6113" spans="1:7" ht="12.75" customHeight="1">
      <c r="A6113" s="3">
        <v>95267</v>
      </c>
      <c r="B6113" s="4" t="s">
        <v>6137</v>
      </c>
      <c r="C6113" s="3" t="s">
        <v>154</v>
      </c>
      <c r="D6113" s="5">
        <f t="shared" si="192"/>
        <v>0.08</v>
      </c>
      <c r="E6113">
        <v>0.09</v>
      </c>
      <c r="F6113" s="1789">
        <v>8.8999999999999996E-2</v>
      </c>
      <c r="G6113">
        <f t="shared" si="193"/>
        <v>0.08</v>
      </c>
    </row>
    <row r="6114" spans="1:7" ht="12.75" customHeight="1">
      <c r="A6114" s="3">
        <v>95268</v>
      </c>
      <c r="B6114" s="4" t="s">
        <v>6138</v>
      </c>
      <c r="C6114" s="3" t="s">
        <v>154</v>
      </c>
      <c r="D6114" s="5">
        <f t="shared" si="192"/>
        <v>0.4</v>
      </c>
      <c r="E6114">
        <v>0.45</v>
      </c>
      <c r="F6114" s="1789">
        <v>8.8999999999999996E-2</v>
      </c>
      <c r="G6114">
        <f t="shared" si="193"/>
        <v>0.4</v>
      </c>
    </row>
    <row r="6115" spans="1:7" ht="12.75" customHeight="1">
      <c r="A6115" s="3">
        <v>95269</v>
      </c>
      <c r="B6115" s="4" t="s">
        <v>6139</v>
      </c>
      <c r="C6115" s="3" t="s">
        <v>154</v>
      </c>
      <c r="D6115" s="5">
        <f t="shared" si="192"/>
        <v>7.87</v>
      </c>
      <c r="E6115">
        <v>8.64</v>
      </c>
      <c r="F6115" s="1789">
        <v>8.8999999999999996E-2</v>
      </c>
      <c r="G6115">
        <f t="shared" si="193"/>
        <v>7.87</v>
      </c>
    </row>
    <row r="6116" spans="1:7" ht="12.75" customHeight="1">
      <c r="A6116" s="3">
        <v>95272</v>
      </c>
      <c r="B6116" s="4" t="s">
        <v>6140</v>
      </c>
      <c r="C6116" s="3" t="s">
        <v>154</v>
      </c>
      <c r="D6116" s="5">
        <f t="shared" si="192"/>
        <v>0.38</v>
      </c>
      <c r="E6116">
        <v>0.42</v>
      </c>
      <c r="F6116" s="1789">
        <v>8.8999999999999996E-2</v>
      </c>
      <c r="G6116">
        <f t="shared" si="193"/>
        <v>0.38</v>
      </c>
    </row>
    <row r="6117" spans="1:7" ht="12.75" customHeight="1">
      <c r="A6117" s="3">
        <v>95273</v>
      </c>
      <c r="B6117" s="4" t="s">
        <v>6141</v>
      </c>
      <c r="C6117" s="3" t="s">
        <v>154</v>
      </c>
      <c r="D6117" s="5">
        <f t="shared" si="192"/>
        <v>0.09</v>
      </c>
      <c r="E6117">
        <v>0.1</v>
      </c>
      <c r="F6117" s="1789">
        <v>8.8999999999999996E-2</v>
      </c>
      <c r="G6117">
        <f t="shared" si="193"/>
        <v>0.09</v>
      </c>
    </row>
    <row r="6118" spans="1:7" ht="12.75" customHeight="1">
      <c r="A6118" s="3">
        <v>95274</v>
      </c>
      <c r="B6118" s="4" t="s">
        <v>6142</v>
      </c>
      <c r="C6118" s="3" t="s">
        <v>154</v>
      </c>
      <c r="D6118" s="5">
        <f t="shared" si="192"/>
        <v>0.31</v>
      </c>
      <c r="E6118">
        <v>0.35</v>
      </c>
      <c r="F6118" s="1789">
        <v>8.8999999999999996E-2</v>
      </c>
      <c r="G6118">
        <f t="shared" si="193"/>
        <v>0.31</v>
      </c>
    </row>
    <row r="6119" spans="1:7" ht="12.75" customHeight="1">
      <c r="A6119" s="3">
        <v>95275</v>
      </c>
      <c r="B6119" s="4" t="s">
        <v>6143</v>
      </c>
      <c r="C6119" s="3" t="s">
        <v>154</v>
      </c>
      <c r="D6119" s="5">
        <f t="shared" si="192"/>
        <v>2.35</v>
      </c>
      <c r="E6119">
        <v>2.58</v>
      </c>
      <c r="F6119" s="1789">
        <v>8.8999999999999996E-2</v>
      </c>
      <c r="G6119">
        <f t="shared" si="193"/>
        <v>2.35</v>
      </c>
    </row>
    <row r="6120" spans="1:7" ht="12.75" customHeight="1">
      <c r="A6120" s="3">
        <v>95278</v>
      </c>
      <c r="B6120" s="4" t="s">
        <v>6144</v>
      </c>
      <c r="C6120" s="3" t="s">
        <v>154</v>
      </c>
      <c r="D6120" s="5">
        <f t="shared" si="192"/>
        <v>0.48</v>
      </c>
      <c r="E6120">
        <v>0.53</v>
      </c>
      <c r="F6120" s="1789">
        <v>8.8999999999999996E-2</v>
      </c>
      <c r="G6120">
        <f t="shared" si="193"/>
        <v>0.48</v>
      </c>
    </row>
    <row r="6121" spans="1:7" ht="12.75" customHeight="1">
      <c r="A6121" s="3">
        <v>95279</v>
      </c>
      <c r="B6121" s="4" t="s">
        <v>6145</v>
      </c>
      <c r="C6121" s="3" t="s">
        <v>154</v>
      </c>
      <c r="D6121" s="5">
        <f t="shared" si="192"/>
        <v>0.1</v>
      </c>
      <c r="E6121">
        <v>0.11</v>
      </c>
      <c r="F6121" s="1789">
        <v>8.8999999999999996E-2</v>
      </c>
      <c r="G6121">
        <f t="shared" si="193"/>
        <v>0.1</v>
      </c>
    </row>
    <row r="6122" spans="1:7" ht="12.75" customHeight="1">
      <c r="A6122" s="3">
        <v>95280</v>
      </c>
      <c r="B6122" s="4" t="s">
        <v>6146</v>
      </c>
      <c r="C6122" s="3" t="s">
        <v>154</v>
      </c>
      <c r="D6122" s="5">
        <f t="shared" si="192"/>
        <v>0.48</v>
      </c>
      <c r="E6122">
        <v>0.53</v>
      </c>
      <c r="F6122" s="1789">
        <v>8.8999999999999996E-2</v>
      </c>
      <c r="G6122">
        <f t="shared" si="193"/>
        <v>0.48</v>
      </c>
    </row>
    <row r="6123" spans="1:7" ht="12.75" customHeight="1">
      <c r="A6123" s="3">
        <v>95281</v>
      </c>
      <c r="B6123" s="4" t="s">
        <v>6147</v>
      </c>
      <c r="C6123" s="3" t="s">
        <v>154</v>
      </c>
      <c r="D6123" s="5">
        <f t="shared" si="192"/>
        <v>7.84</v>
      </c>
      <c r="E6123">
        <v>8.61</v>
      </c>
      <c r="F6123" s="1789">
        <v>8.8999999999999996E-2</v>
      </c>
      <c r="G6123">
        <f t="shared" si="193"/>
        <v>7.84</v>
      </c>
    </row>
    <row r="6124" spans="1:7" ht="12.75" customHeight="1">
      <c r="A6124" s="3">
        <v>95617</v>
      </c>
      <c r="B6124" s="4" t="s">
        <v>6148</v>
      </c>
      <c r="C6124" s="3" t="s">
        <v>154</v>
      </c>
      <c r="D6124" s="5">
        <f t="shared" si="192"/>
        <v>1.2</v>
      </c>
      <c r="E6124">
        <v>1.32</v>
      </c>
      <c r="F6124" s="1789">
        <v>8.8999999999999996E-2</v>
      </c>
      <c r="G6124">
        <f t="shared" si="193"/>
        <v>1.2</v>
      </c>
    </row>
    <row r="6125" spans="1:7" ht="12.75" customHeight="1">
      <c r="A6125" s="3">
        <v>95618</v>
      </c>
      <c r="B6125" s="4" t="s">
        <v>6149</v>
      </c>
      <c r="C6125" s="3" t="s">
        <v>154</v>
      </c>
      <c r="D6125" s="5">
        <f t="shared" si="192"/>
        <v>0.27</v>
      </c>
      <c r="E6125">
        <v>0.3</v>
      </c>
      <c r="F6125" s="1789">
        <v>8.8999999999999996E-2</v>
      </c>
      <c r="G6125">
        <f t="shared" si="193"/>
        <v>0.27</v>
      </c>
    </row>
    <row r="6126" spans="1:7" ht="12.75" customHeight="1">
      <c r="A6126" s="3">
        <v>95619</v>
      </c>
      <c r="B6126" s="4" t="s">
        <v>6150</v>
      </c>
      <c r="C6126" s="3" t="s">
        <v>154</v>
      </c>
      <c r="D6126" s="5">
        <f t="shared" si="192"/>
        <v>1.51</v>
      </c>
      <c r="E6126">
        <v>1.66</v>
      </c>
      <c r="F6126" s="1789">
        <v>8.8999999999999996E-2</v>
      </c>
      <c r="G6126">
        <f t="shared" si="193"/>
        <v>1.51</v>
      </c>
    </row>
    <row r="6127" spans="1:7" ht="12.75" customHeight="1">
      <c r="A6127" s="3">
        <v>95627</v>
      </c>
      <c r="B6127" s="4" t="s">
        <v>6151</v>
      </c>
      <c r="C6127" s="3" t="s">
        <v>154</v>
      </c>
      <c r="D6127" s="5">
        <f t="shared" si="192"/>
        <v>43.21</v>
      </c>
      <c r="E6127">
        <v>47.44</v>
      </c>
      <c r="F6127" s="1789">
        <v>8.8999999999999996E-2</v>
      </c>
      <c r="G6127">
        <f t="shared" si="193"/>
        <v>43.21</v>
      </c>
    </row>
    <row r="6128" spans="1:7" ht="12.75" customHeight="1">
      <c r="A6128" s="3">
        <v>95628</v>
      </c>
      <c r="B6128" s="4" t="s">
        <v>6152</v>
      </c>
      <c r="C6128" s="3" t="s">
        <v>154</v>
      </c>
      <c r="D6128" s="5">
        <f t="shared" si="192"/>
        <v>11.58</v>
      </c>
      <c r="E6128">
        <v>12.72</v>
      </c>
      <c r="F6128" s="1789">
        <v>8.8999999999999996E-2</v>
      </c>
      <c r="G6128">
        <f t="shared" si="193"/>
        <v>11.58</v>
      </c>
    </row>
    <row r="6129" spans="1:7" ht="12.75" customHeight="1">
      <c r="A6129" s="3">
        <v>95629</v>
      </c>
      <c r="B6129" s="4" t="s">
        <v>6153</v>
      </c>
      <c r="C6129" s="3" t="s">
        <v>154</v>
      </c>
      <c r="D6129" s="5">
        <f t="shared" si="192"/>
        <v>54.08</v>
      </c>
      <c r="E6129">
        <v>59.37</v>
      </c>
      <c r="F6129" s="1789">
        <v>8.8999999999999996E-2</v>
      </c>
      <c r="G6129">
        <f t="shared" si="193"/>
        <v>54.08</v>
      </c>
    </row>
    <row r="6130" spans="1:7" ht="12.75" customHeight="1">
      <c r="A6130" s="3">
        <v>95630</v>
      </c>
      <c r="B6130" s="4" t="s">
        <v>6154</v>
      </c>
      <c r="C6130" s="3" t="s">
        <v>154</v>
      </c>
      <c r="D6130" s="5">
        <f t="shared" si="192"/>
        <v>81.680000000000007</v>
      </c>
      <c r="E6130">
        <v>89.66</v>
      </c>
      <c r="F6130" s="1789">
        <v>8.8999999999999996E-2</v>
      </c>
      <c r="G6130">
        <f t="shared" si="193"/>
        <v>81.680000000000007</v>
      </c>
    </row>
    <row r="6131" spans="1:7" ht="12.75" customHeight="1">
      <c r="A6131" s="3">
        <v>95698</v>
      </c>
      <c r="B6131" s="4" t="s">
        <v>6155</v>
      </c>
      <c r="C6131" s="3" t="s">
        <v>154</v>
      </c>
      <c r="D6131" s="5">
        <f t="shared" si="192"/>
        <v>4.9000000000000004</v>
      </c>
      <c r="E6131">
        <v>5.38</v>
      </c>
      <c r="F6131" s="1789">
        <v>8.8999999999999996E-2</v>
      </c>
      <c r="G6131">
        <f t="shared" si="193"/>
        <v>4.9000000000000004</v>
      </c>
    </row>
    <row r="6132" spans="1:7" ht="12.75" customHeight="1">
      <c r="A6132" s="3">
        <v>95699</v>
      </c>
      <c r="B6132" s="4" t="s">
        <v>6156</v>
      </c>
      <c r="C6132" s="3" t="s">
        <v>154</v>
      </c>
      <c r="D6132" s="5">
        <f t="shared" si="192"/>
        <v>1.1200000000000001</v>
      </c>
      <c r="E6132">
        <v>1.24</v>
      </c>
      <c r="F6132" s="1789">
        <v>8.8999999999999996E-2</v>
      </c>
      <c r="G6132">
        <f t="shared" si="193"/>
        <v>1.1200000000000001</v>
      </c>
    </row>
    <row r="6133" spans="1:7" ht="12.75" customHeight="1">
      <c r="A6133" s="3">
        <v>95700</v>
      </c>
      <c r="B6133" s="4" t="s">
        <v>6157</v>
      </c>
      <c r="C6133" s="3" t="s">
        <v>154</v>
      </c>
      <c r="D6133" s="5">
        <f t="shared" si="192"/>
        <v>6.12</v>
      </c>
      <c r="E6133">
        <v>6.72</v>
      </c>
      <c r="F6133" s="1789">
        <v>8.8999999999999996E-2</v>
      </c>
      <c r="G6133">
        <f t="shared" si="193"/>
        <v>6.12</v>
      </c>
    </row>
    <row r="6134" spans="1:7" ht="12.75" customHeight="1">
      <c r="A6134" s="3">
        <v>95701</v>
      </c>
      <c r="B6134" s="4" t="s">
        <v>6158</v>
      </c>
      <c r="C6134" s="3" t="s">
        <v>154</v>
      </c>
      <c r="D6134" s="5">
        <f t="shared" si="192"/>
        <v>2.9</v>
      </c>
      <c r="E6134">
        <v>3.19</v>
      </c>
      <c r="F6134" s="1789">
        <v>8.8999999999999996E-2</v>
      </c>
      <c r="G6134">
        <f t="shared" si="193"/>
        <v>2.9</v>
      </c>
    </row>
    <row r="6135" spans="1:7" ht="12.75" customHeight="1">
      <c r="A6135" s="3">
        <v>95704</v>
      </c>
      <c r="B6135" s="4" t="s">
        <v>6159</v>
      </c>
      <c r="C6135" s="3" t="s">
        <v>154</v>
      </c>
      <c r="D6135" s="5">
        <f t="shared" si="192"/>
        <v>40.31</v>
      </c>
      <c r="E6135">
        <v>44.25</v>
      </c>
      <c r="F6135" s="1789">
        <v>8.8999999999999996E-2</v>
      </c>
      <c r="G6135">
        <f t="shared" si="193"/>
        <v>40.31</v>
      </c>
    </row>
    <row r="6136" spans="1:7" ht="12.75" customHeight="1">
      <c r="A6136" s="3">
        <v>95705</v>
      </c>
      <c r="B6136" s="4" t="s">
        <v>6160</v>
      </c>
      <c r="C6136" s="3" t="s">
        <v>154</v>
      </c>
      <c r="D6136" s="5">
        <f t="shared" si="192"/>
        <v>10.81</v>
      </c>
      <c r="E6136">
        <v>11.87</v>
      </c>
      <c r="F6136" s="1789">
        <v>8.8999999999999996E-2</v>
      </c>
      <c r="G6136">
        <f t="shared" si="193"/>
        <v>10.81</v>
      </c>
    </row>
    <row r="6137" spans="1:7" ht="12.75" customHeight="1">
      <c r="A6137" s="3">
        <v>95706</v>
      </c>
      <c r="B6137" s="4" t="s">
        <v>6161</v>
      </c>
      <c r="C6137" s="3" t="s">
        <v>154</v>
      </c>
      <c r="D6137" s="5">
        <f t="shared" si="192"/>
        <v>50.44</v>
      </c>
      <c r="E6137">
        <v>55.37</v>
      </c>
      <c r="F6137" s="1789">
        <v>8.8999999999999996E-2</v>
      </c>
      <c r="G6137">
        <f t="shared" si="193"/>
        <v>50.44</v>
      </c>
    </row>
    <row r="6138" spans="1:7" ht="12.75" customHeight="1">
      <c r="A6138" s="3">
        <v>95707</v>
      </c>
      <c r="B6138" s="4" t="s">
        <v>6162</v>
      </c>
      <c r="C6138" s="3" t="s">
        <v>154</v>
      </c>
      <c r="D6138" s="5">
        <f t="shared" si="192"/>
        <v>3.8</v>
      </c>
      <c r="E6138">
        <v>4.18</v>
      </c>
      <c r="F6138" s="1789">
        <v>8.8999999999999996E-2</v>
      </c>
      <c r="G6138">
        <f t="shared" si="193"/>
        <v>3.8</v>
      </c>
    </row>
    <row r="6139" spans="1:7" ht="12.75" customHeight="1">
      <c r="A6139" s="3">
        <v>95710</v>
      </c>
      <c r="B6139" s="4" t="s">
        <v>6163</v>
      </c>
      <c r="C6139" s="3" t="s">
        <v>154</v>
      </c>
      <c r="D6139" s="5">
        <f t="shared" si="192"/>
        <v>48.44</v>
      </c>
      <c r="E6139">
        <v>53.18</v>
      </c>
      <c r="F6139" s="1789">
        <v>8.8999999999999996E-2</v>
      </c>
      <c r="G6139">
        <f t="shared" si="193"/>
        <v>48.44</v>
      </c>
    </row>
    <row r="6140" spans="1:7" ht="12.75" customHeight="1">
      <c r="A6140" s="3">
        <v>95711</v>
      </c>
      <c r="B6140" s="4" t="s">
        <v>6164</v>
      </c>
      <c r="C6140" s="3" t="s">
        <v>154</v>
      </c>
      <c r="D6140" s="5">
        <f t="shared" si="192"/>
        <v>12.79</v>
      </c>
      <c r="E6140">
        <v>14.05</v>
      </c>
      <c r="F6140" s="1789">
        <v>8.8999999999999996E-2</v>
      </c>
      <c r="G6140">
        <f t="shared" si="193"/>
        <v>12.79</v>
      </c>
    </row>
    <row r="6141" spans="1:7" ht="12.75" customHeight="1">
      <c r="A6141" s="3">
        <v>95712</v>
      </c>
      <c r="B6141" s="4" t="s">
        <v>6165</v>
      </c>
      <c r="C6141" s="3" t="s">
        <v>154</v>
      </c>
      <c r="D6141" s="5">
        <f t="shared" si="192"/>
        <v>60.56</v>
      </c>
      <c r="E6141">
        <v>66.48</v>
      </c>
      <c r="F6141" s="1789">
        <v>8.8999999999999996E-2</v>
      </c>
      <c r="G6141">
        <f t="shared" si="193"/>
        <v>60.56</v>
      </c>
    </row>
    <row r="6142" spans="1:7" ht="12.75" customHeight="1">
      <c r="A6142" s="3">
        <v>95713</v>
      </c>
      <c r="B6142" s="4" t="s">
        <v>6166</v>
      </c>
      <c r="C6142" s="3" t="s">
        <v>154</v>
      </c>
      <c r="D6142" s="5">
        <f t="shared" si="192"/>
        <v>82.29</v>
      </c>
      <c r="E6142">
        <v>90.33</v>
      </c>
      <c r="F6142" s="1789">
        <v>8.8999999999999996E-2</v>
      </c>
      <c r="G6142">
        <f t="shared" si="193"/>
        <v>82.29</v>
      </c>
    </row>
    <row r="6143" spans="1:7" ht="12.75" customHeight="1">
      <c r="A6143" s="3">
        <v>95716</v>
      </c>
      <c r="B6143" s="4" t="s">
        <v>6167</v>
      </c>
      <c r="C6143" s="3" t="s">
        <v>154</v>
      </c>
      <c r="D6143" s="5">
        <f t="shared" si="192"/>
        <v>46.64</v>
      </c>
      <c r="E6143">
        <v>51.2</v>
      </c>
      <c r="F6143" s="1789">
        <v>8.8999999999999996E-2</v>
      </c>
      <c r="G6143">
        <f t="shared" si="193"/>
        <v>46.64</v>
      </c>
    </row>
    <row r="6144" spans="1:7" ht="12.75" customHeight="1">
      <c r="A6144" s="3">
        <v>95717</v>
      </c>
      <c r="B6144" s="4" t="s">
        <v>6168</v>
      </c>
      <c r="C6144" s="3" t="s">
        <v>154</v>
      </c>
      <c r="D6144" s="5">
        <f t="shared" si="192"/>
        <v>12.32</v>
      </c>
      <c r="E6144">
        <v>13.53</v>
      </c>
      <c r="F6144" s="1789">
        <v>8.8999999999999996E-2</v>
      </c>
      <c r="G6144">
        <f t="shared" si="193"/>
        <v>12.32</v>
      </c>
    </row>
    <row r="6145" spans="1:7" ht="12.75" customHeight="1">
      <c r="A6145" s="3">
        <v>95718</v>
      </c>
      <c r="B6145" s="4" t="s">
        <v>6169</v>
      </c>
      <c r="C6145" s="3" t="s">
        <v>154</v>
      </c>
      <c r="D6145" s="5">
        <f t="shared" si="192"/>
        <v>58.3</v>
      </c>
      <c r="E6145">
        <v>64</v>
      </c>
      <c r="F6145" s="1789">
        <v>8.8999999999999996E-2</v>
      </c>
      <c r="G6145">
        <f t="shared" si="193"/>
        <v>58.3</v>
      </c>
    </row>
    <row r="6146" spans="1:7" ht="12.75" customHeight="1">
      <c r="A6146" s="3">
        <v>95719</v>
      </c>
      <c r="B6146" s="4" t="s">
        <v>6170</v>
      </c>
      <c r="C6146" s="3" t="s">
        <v>154</v>
      </c>
      <c r="D6146" s="5">
        <f t="shared" si="192"/>
        <v>82.29</v>
      </c>
      <c r="E6146">
        <v>90.33</v>
      </c>
      <c r="F6146" s="1789">
        <v>8.8999999999999996E-2</v>
      </c>
      <c r="G6146">
        <f t="shared" si="193"/>
        <v>82.29</v>
      </c>
    </row>
    <row r="6147" spans="1:7" ht="12.75" customHeight="1">
      <c r="A6147" s="3">
        <v>95869</v>
      </c>
      <c r="B6147" s="4" t="s">
        <v>6171</v>
      </c>
      <c r="C6147" s="3" t="s">
        <v>154</v>
      </c>
      <c r="D6147" s="5">
        <f t="shared" si="192"/>
        <v>3.26</v>
      </c>
      <c r="E6147">
        <v>3.58</v>
      </c>
      <c r="F6147" s="1789">
        <v>8.8999999999999996E-2</v>
      </c>
      <c r="G6147">
        <f t="shared" si="193"/>
        <v>3.26</v>
      </c>
    </row>
    <row r="6148" spans="1:7" ht="12.75" customHeight="1">
      <c r="A6148" s="3">
        <v>95870</v>
      </c>
      <c r="B6148" s="4" t="s">
        <v>6172</v>
      </c>
      <c r="C6148" s="3" t="s">
        <v>154</v>
      </c>
      <c r="D6148" s="5">
        <f t="shared" si="192"/>
        <v>8.27</v>
      </c>
      <c r="E6148">
        <v>9.08</v>
      </c>
      <c r="F6148" s="1789">
        <v>8.8999999999999996E-2</v>
      </c>
      <c r="G6148">
        <f t="shared" si="193"/>
        <v>8.27</v>
      </c>
    </row>
    <row r="6149" spans="1:7" ht="12.75" customHeight="1">
      <c r="A6149" s="3">
        <v>95871</v>
      </c>
      <c r="B6149" s="4" t="s">
        <v>6173</v>
      </c>
      <c r="C6149" s="3" t="s">
        <v>154</v>
      </c>
      <c r="D6149" s="5">
        <f t="shared" si="192"/>
        <v>249.87</v>
      </c>
      <c r="E6149">
        <v>274.29000000000002</v>
      </c>
      <c r="F6149" s="1789">
        <v>8.8999999999999996E-2</v>
      </c>
      <c r="G6149">
        <f t="shared" si="193"/>
        <v>249.87</v>
      </c>
    </row>
    <row r="6150" spans="1:7" ht="12.75" customHeight="1">
      <c r="A6150" s="3">
        <v>95874</v>
      </c>
      <c r="B6150" s="4" t="s">
        <v>6174</v>
      </c>
      <c r="C6150" s="3" t="s">
        <v>154</v>
      </c>
      <c r="D6150" s="5">
        <f t="shared" si="192"/>
        <v>9.26</v>
      </c>
      <c r="E6150">
        <v>10.17</v>
      </c>
      <c r="F6150" s="1789">
        <v>8.8999999999999996E-2</v>
      </c>
      <c r="G6150">
        <f t="shared" si="193"/>
        <v>9.26</v>
      </c>
    </row>
    <row r="6151" spans="1:7" ht="12.75" customHeight="1">
      <c r="A6151" s="3">
        <v>96008</v>
      </c>
      <c r="B6151" s="4" t="s">
        <v>6175</v>
      </c>
      <c r="C6151" s="3" t="s">
        <v>154</v>
      </c>
      <c r="D6151" s="5">
        <f t="shared" si="192"/>
        <v>21.44</v>
      </c>
      <c r="E6151">
        <v>23.54</v>
      </c>
      <c r="F6151" s="1789">
        <v>8.8999999999999996E-2</v>
      </c>
      <c r="G6151">
        <f t="shared" si="193"/>
        <v>21.44</v>
      </c>
    </row>
    <row r="6152" spans="1:7" ht="12.75" customHeight="1">
      <c r="A6152" s="3">
        <v>96009</v>
      </c>
      <c r="B6152" s="4" t="s">
        <v>6176</v>
      </c>
      <c r="C6152" s="3" t="s">
        <v>154</v>
      </c>
      <c r="D6152" s="5">
        <f t="shared" si="192"/>
        <v>5.73</v>
      </c>
      <c r="E6152">
        <v>6.3</v>
      </c>
      <c r="F6152" s="1789">
        <v>8.8999999999999996E-2</v>
      </c>
      <c r="G6152">
        <f t="shared" si="193"/>
        <v>5.73</v>
      </c>
    </row>
    <row r="6153" spans="1:7" ht="12.75" customHeight="1">
      <c r="A6153" s="3">
        <v>96011</v>
      </c>
      <c r="B6153" s="4" t="s">
        <v>6177</v>
      </c>
      <c r="C6153" s="3" t="s">
        <v>154</v>
      </c>
      <c r="D6153" s="5">
        <f t="shared" si="192"/>
        <v>23.45</v>
      </c>
      <c r="E6153">
        <v>25.75</v>
      </c>
      <c r="F6153" s="1789">
        <v>8.8999999999999996E-2</v>
      </c>
      <c r="G6153">
        <f t="shared" si="193"/>
        <v>23.45</v>
      </c>
    </row>
    <row r="6154" spans="1:7" ht="12.75" customHeight="1">
      <c r="A6154" s="3">
        <v>96012</v>
      </c>
      <c r="B6154" s="4" t="s">
        <v>6178</v>
      </c>
      <c r="C6154" s="3" t="s">
        <v>154</v>
      </c>
      <c r="D6154" s="5">
        <f t="shared" si="192"/>
        <v>88.47</v>
      </c>
      <c r="E6154">
        <v>97.12</v>
      </c>
      <c r="F6154" s="1789">
        <v>8.8999999999999996E-2</v>
      </c>
      <c r="G6154">
        <f t="shared" si="193"/>
        <v>88.47</v>
      </c>
    </row>
    <row r="6155" spans="1:7" ht="12.75" customHeight="1">
      <c r="A6155" s="3">
        <v>96015</v>
      </c>
      <c r="B6155" s="4" t="s">
        <v>6179</v>
      </c>
      <c r="C6155" s="3" t="s">
        <v>154</v>
      </c>
      <c r="D6155" s="5">
        <f t="shared" si="192"/>
        <v>21.26</v>
      </c>
      <c r="E6155">
        <v>23.34</v>
      </c>
      <c r="F6155" s="1789">
        <v>8.8999999999999996E-2</v>
      </c>
      <c r="G6155">
        <f t="shared" si="193"/>
        <v>21.26</v>
      </c>
    </row>
    <row r="6156" spans="1:7" ht="12.75" customHeight="1">
      <c r="A6156" s="3">
        <v>96016</v>
      </c>
      <c r="B6156" s="4" t="s">
        <v>6180</v>
      </c>
      <c r="C6156" s="3" t="s">
        <v>154</v>
      </c>
      <c r="D6156" s="5">
        <f t="shared" si="192"/>
        <v>5.69</v>
      </c>
      <c r="E6156">
        <v>6.25</v>
      </c>
      <c r="F6156" s="1789">
        <v>8.8999999999999996E-2</v>
      </c>
      <c r="G6156">
        <f t="shared" si="193"/>
        <v>5.69</v>
      </c>
    </row>
    <row r="6157" spans="1:7" ht="12.75" customHeight="1">
      <c r="A6157" s="3">
        <v>96018</v>
      </c>
      <c r="B6157" s="4" t="s">
        <v>6181</v>
      </c>
      <c r="C6157" s="3" t="s">
        <v>154</v>
      </c>
      <c r="D6157" s="5">
        <f t="shared" si="192"/>
        <v>23.25</v>
      </c>
      <c r="E6157">
        <v>25.53</v>
      </c>
      <c r="F6157" s="1789">
        <v>8.8999999999999996E-2</v>
      </c>
      <c r="G6157">
        <f t="shared" si="193"/>
        <v>23.25</v>
      </c>
    </row>
    <row r="6158" spans="1:7" ht="12.75" customHeight="1">
      <c r="A6158" s="3">
        <v>96019</v>
      </c>
      <c r="B6158" s="4" t="s">
        <v>6182</v>
      </c>
      <c r="C6158" s="3" t="s">
        <v>154</v>
      </c>
      <c r="D6158" s="5">
        <f t="shared" si="192"/>
        <v>88.47</v>
      </c>
      <c r="E6158">
        <v>97.12</v>
      </c>
      <c r="F6158" s="1789">
        <v>8.8999999999999996E-2</v>
      </c>
      <c r="G6158">
        <f t="shared" si="193"/>
        <v>88.47</v>
      </c>
    </row>
    <row r="6159" spans="1:7" ht="12.75" customHeight="1">
      <c r="A6159" s="3">
        <v>96023</v>
      </c>
      <c r="B6159" s="4" t="s">
        <v>6183</v>
      </c>
      <c r="C6159" s="3" t="s">
        <v>154</v>
      </c>
      <c r="D6159" s="5">
        <f t="shared" si="192"/>
        <v>16.38</v>
      </c>
      <c r="E6159">
        <v>17.989999999999998</v>
      </c>
      <c r="F6159" s="1789">
        <v>8.8999999999999996E-2</v>
      </c>
      <c r="G6159">
        <f t="shared" si="193"/>
        <v>16.38</v>
      </c>
    </row>
    <row r="6160" spans="1:7" ht="12.75" customHeight="1">
      <c r="A6160" s="3">
        <v>96024</v>
      </c>
      <c r="B6160" s="4" t="s">
        <v>6184</v>
      </c>
      <c r="C6160" s="3" t="s">
        <v>154</v>
      </c>
      <c r="D6160" s="5">
        <f t="shared" si="192"/>
        <v>4.3899999999999997</v>
      </c>
      <c r="E6160">
        <v>4.82</v>
      </c>
      <c r="F6160" s="1789">
        <v>8.8999999999999996E-2</v>
      </c>
      <c r="G6160">
        <f t="shared" si="193"/>
        <v>4.3899999999999997</v>
      </c>
    </row>
    <row r="6161" spans="1:7" ht="12.75" customHeight="1">
      <c r="A6161" s="3">
        <v>96026</v>
      </c>
      <c r="B6161" s="4" t="s">
        <v>6185</v>
      </c>
      <c r="C6161" s="3" t="s">
        <v>154</v>
      </c>
      <c r="D6161" s="5">
        <f t="shared" si="192"/>
        <v>17.920000000000002</v>
      </c>
      <c r="E6161">
        <v>19.68</v>
      </c>
      <c r="F6161" s="1789">
        <v>8.8999999999999996E-2</v>
      </c>
      <c r="G6161">
        <f t="shared" si="193"/>
        <v>17.920000000000002</v>
      </c>
    </row>
    <row r="6162" spans="1:7" ht="12.75" customHeight="1">
      <c r="A6162" s="3">
        <v>96027</v>
      </c>
      <c r="B6162" s="4" t="s">
        <v>6186</v>
      </c>
      <c r="C6162" s="3" t="s">
        <v>154</v>
      </c>
      <c r="D6162" s="5">
        <f t="shared" si="192"/>
        <v>61.64</v>
      </c>
      <c r="E6162">
        <v>67.67</v>
      </c>
      <c r="F6162" s="1789">
        <v>8.8999999999999996E-2</v>
      </c>
      <c r="G6162">
        <f t="shared" si="193"/>
        <v>61.64</v>
      </c>
    </row>
    <row r="6163" spans="1:7" ht="12.75" customHeight="1">
      <c r="A6163" s="3">
        <v>96030</v>
      </c>
      <c r="B6163" s="4" t="s">
        <v>6187</v>
      </c>
      <c r="C6163" s="3" t="s">
        <v>154</v>
      </c>
      <c r="D6163" s="5">
        <f t="shared" si="192"/>
        <v>30.29</v>
      </c>
      <c r="E6163">
        <v>33.26</v>
      </c>
      <c r="F6163" s="1789">
        <v>8.8999999999999996E-2</v>
      </c>
      <c r="G6163">
        <f t="shared" si="193"/>
        <v>30.29</v>
      </c>
    </row>
    <row r="6164" spans="1:7" ht="12.75" customHeight="1">
      <c r="A6164" s="3">
        <v>96031</v>
      </c>
      <c r="B6164" s="4" t="s">
        <v>6188</v>
      </c>
      <c r="C6164" s="3" t="s">
        <v>154</v>
      </c>
      <c r="D6164" s="5">
        <f t="shared" si="192"/>
        <v>11.4</v>
      </c>
      <c r="E6164">
        <v>12.52</v>
      </c>
      <c r="F6164" s="1789">
        <v>8.8999999999999996E-2</v>
      </c>
      <c r="G6164">
        <f t="shared" si="193"/>
        <v>11.4</v>
      </c>
    </row>
    <row r="6165" spans="1:7" ht="12.75" customHeight="1">
      <c r="A6165" s="3">
        <v>96032</v>
      </c>
      <c r="B6165" s="4" t="s">
        <v>6189</v>
      </c>
      <c r="C6165" s="3" t="s">
        <v>154</v>
      </c>
      <c r="D6165" s="5">
        <f t="shared" ref="D6165:D6228" si="194">G6165</f>
        <v>4.58</v>
      </c>
      <c r="E6165">
        <v>5.03</v>
      </c>
      <c r="F6165" s="1789">
        <v>8.8999999999999996E-2</v>
      </c>
      <c r="G6165">
        <f t="shared" ref="G6165:G6228" si="195">TRUNC((1-F6165)*E6165,2)</f>
        <v>4.58</v>
      </c>
    </row>
    <row r="6166" spans="1:7" ht="12.75" customHeight="1">
      <c r="A6166" s="3">
        <v>96033</v>
      </c>
      <c r="B6166" s="4" t="s">
        <v>6190</v>
      </c>
      <c r="C6166" s="3" t="s">
        <v>154</v>
      </c>
      <c r="D6166" s="5">
        <f t="shared" si="194"/>
        <v>51.88</v>
      </c>
      <c r="E6166">
        <v>56.95</v>
      </c>
      <c r="F6166" s="1789">
        <v>8.8999999999999996E-2</v>
      </c>
      <c r="G6166">
        <f t="shared" si="195"/>
        <v>51.88</v>
      </c>
    </row>
    <row r="6167" spans="1:7" ht="12.75" customHeight="1">
      <c r="A6167" s="3">
        <v>96034</v>
      </c>
      <c r="B6167" s="4" t="s">
        <v>6191</v>
      </c>
      <c r="C6167" s="3" t="s">
        <v>154</v>
      </c>
      <c r="D6167" s="5">
        <f t="shared" si="194"/>
        <v>129.75</v>
      </c>
      <c r="E6167">
        <v>142.43</v>
      </c>
      <c r="F6167" s="1789">
        <v>8.8999999999999996E-2</v>
      </c>
      <c r="G6167">
        <f t="shared" si="195"/>
        <v>129.75</v>
      </c>
    </row>
    <row r="6168" spans="1:7" ht="12.75" customHeight="1">
      <c r="A6168" s="3">
        <v>96053</v>
      </c>
      <c r="B6168" s="4" t="s">
        <v>6192</v>
      </c>
      <c r="C6168" s="3" t="s">
        <v>154</v>
      </c>
      <c r="D6168" s="5">
        <f t="shared" si="194"/>
        <v>16.57</v>
      </c>
      <c r="E6168">
        <v>18.190000000000001</v>
      </c>
      <c r="F6168" s="1789">
        <v>8.8999999999999996E-2</v>
      </c>
      <c r="G6168">
        <f t="shared" si="195"/>
        <v>16.57</v>
      </c>
    </row>
    <row r="6169" spans="1:7" ht="12.75" customHeight="1">
      <c r="A6169" s="3">
        <v>96054</v>
      </c>
      <c r="B6169" s="4" t="s">
        <v>6193</v>
      </c>
      <c r="C6169" s="3" t="s">
        <v>154</v>
      </c>
      <c r="D6169" s="5">
        <f t="shared" si="194"/>
        <v>27.04</v>
      </c>
      <c r="E6169">
        <v>29.69</v>
      </c>
      <c r="F6169" s="1789">
        <v>8.8999999999999996E-2</v>
      </c>
      <c r="G6169">
        <f t="shared" si="195"/>
        <v>27.04</v>
      </c>
    </row>
    <row r="6170" spans="1:7" ht="12.75" customHeight="1">
      <c r="A6170" s="3">
        <v>96055</v>
      </c>
      <c r="B6170" s="4" t="s">
        <v>6194</v>
      </c>
      <c r="C6170" s="3" t="s">
        <v>154</v>
      </c>
      <c r="D6170" s="5">
        <f t="shared" si="194"/>
        <v>4.43</v>
      </c>
      <c r="E6170">
        <v>4.87</v>
      </c>
      <c r="F6170" s="1789">
        <v>8.8999999999999996E-2</v>
      </c>
      <c r="G6170">
        <f t="shared" si="195"/>
        <v>4.43</v>
      </c>
    </row>
    <row r="6171" spans="1:7" ht="12.75" customHeight="1">
      <c r="A6171" s="3">
        <v>96056</v>
      </c>
      <c r="B6171" s="4" t="s">
        <v>6195</v>
      </c>
      <c r="C6171" s="3" t="s">
        <v>154</v>
      </c>
      <c r="D6171" s="5">
        <f t="shared" si="194"/>
        <v>18.12</v>
      </c>
      <c r="E6171">
        <v>19.899999999999999</v>
      </c>
      <c r="F6171" s="1789">
        <v>8.8999999999999996E-2</v>
      </c>
      <c r="G6171">
        <f t="shared" si="195"/>
        <v>18.12</v>
      </c>
    </row>
    <row r="6172" spans="1:7" ht="12.75" customHeight="1">
      <c r="A6172" s="3">
        <v>96057</v>
      </c>
      <c r="B6172" s="4" t="s">
        <v>6196</v>
      </c>
      <c r="C6172" s="3" t="s">
        <v>154</v>
      </c>
      <c r="D6172" s="5">
        <f t="shared" si="194"/>
        <v>61.64</v>
      </c>
      <c r="E6172">
        <v>67.67</v>
      </c>
      <c r="F6172" s="1789">
        <v>8.8999999999999996E-2</v>
      </c>
      <c r="G6172">
        <f t="shared" si="195"/>
        <v>61.64</v>
      </c>
    </row>
    <row r="6173" spans="1:7" ht="12.75" customHeight="1">
      <c r="A6173" s="3">
        <v>96060</v>
      </c>
      <c r="B6173" s="4" t="s">
        <v>6197</v>
      </c>
      <c r="C6173" s="3" t="s">
        <v>154</v>
      </c>
      <c r="D6173" s="5">
        <f t="shared" si="194"/>
        <v>5.27</v>
      </c>
      <c r="E6173">
        <v>5.79</v>
      </c>
      <c r="F6173" s="1789">
        <v>8.8999999999999996E-2</v>
      </c>
      <c r="G6173">
        <f t="shared" si="195"/>
        <v>5.27</v>
      </c>
    </row>
    <row r="6174" spans="1:7" ht="12.75" customHeight="1">
      <c r="A6174" s="3">
        <v>96061</v>
      </c>
      <c r="B6174" s="4" t="s">
        <v>6198</v>
      </c>
      <c r="C6174" s="3" t="s">
        <v>154</v>
      </c>
      <c r="D6174" s="5">
        <f t="shared" si="194"/>
        <v>33.81</v>
      </c>
      <c r="E6174">
        <v>37.119999999999997</v>
      </c>
      <c r="F6174" s="1789">
        <v>8.8999999999999996E-2</v>
      </c>
      <c r="G6174">
        <f t="shared" si="195"/>
        <v>33.81</v>
      </c>
    </row>
    <row r="6175" spans="1:7" ht="12.75" customHeight="1">
      <c r="A6175" s="3">
        <v>96062</v>
      </c>
      <c r="B6175" s="4" t="s">
        <v>6199</v>
      </c>
      <c r="C6175" s="3" t="s">
        <v>154</v>
      </c>
      <c r="D6175" s="5">
        <f t="shared" si="194"/>
        <v>36.450000000000003</v>
      </c>
      <c r="E6175">
        <v>40.020000000000003</v>
      </c>
      <c r="F6175" s="1789">
        <v>8.8999999999999996E-2</v>
      </c>
      <c r="G6175">
        <f t="shared" si="195"/>
        <v>36.450000000000003</v>
      </c>
    </row>
    <row r="6176" spans="1:7" ht="12.75" customHeight="1">
      <c r="A6176" s="3">
        <v>96241</v>
      </c>
      <c r="B6176" s="4" t="s">
        <v>6200</v>
      </c>
      <c r="C6176" s="3" t="s">
        <v>154</v>
      </c>
      <c r="D6176" s="5">
        <f t="shared" si="194"/>
        <v>23.61</v>
      </c>
      <c r="E6176">
        <v>25.92</v>
      </c>
      <c r="F6176" s="1789">
        <v>8.8999999999999996E-2</v>
      </c>
      <c r="G6176">
        <f t="shared" si="195"/>
        <v>23.61</v>
      </c>
    </row>
    <row r="6177" spans="1:7" ht="12.75" customHeight="1">
      <c r="A6177" s="3">
        <v>96242</v>
      </c>
      <c r="B6177" s="4" t="s">
        <v>6201</v>
      </c>
      <c r="C6177" s="3" t="s">
        <v>154</v>
      </c>
      <c r="D6177" s="5">
        <f t="shared" si="194"/>
        <v>6.24</v>
      </c>
      <c r="E6177">
        <v>6.85</v>
      </c>
      <c r="F6177" s="1789">
        <v>8.8999999999999996E-2</v>
      </c>
      <c r="G6177">
        <f t="shared" si="195"/>
        <v>6.24</v>
      </c>
    </row>
    <row r="6178" spans="1:7" ht="12.75" customHeight="1">
      <c r="A6178" s="3">
        <v>96243</v>
      </c>
      <c r="B6178" s="4" t="s">
        <v>6202</v>
      </c>
      <c r="C6178" s="3" t="s">
        <v>154</v>
      </c>
      <c r="D6178" s="5">
        <f t="shared" si="194"/>
        <v>29.51</v>
      </c>
      <c r="E6178">
        <v>32.4</v>
      </c>
      <c r="F6178" s="1789">
        <v>8.8999999999999996E-2</v>
      </c>
      <c r="G6178">
        <f t="shared" si="195"/>
        <v>29.51</v>
      </c>
    </row>
    <row r="6179" spans="1:7" ht="12.75" customHeight="1">
      <c r="A6179" s="3">
        <v>96244</v>
      </c>
      <c r="B6179" s="4" t="s">
        <v>6203</v>
      </c>
      <c r="C6179" s="3" t="s">
        <v>154</v>
      </c>
      <c r="D6179" s="5">
        <f t="shared" si="194"/>
        <v>15.92</v>
      </c>
      <c r="E6179">
        <v>17.48</v>
      </c>
      <c r="F6179" s="1789">
        <v>8.8999999999999996E-2</v>
      </c>
      <c r="G6179">
        <f t="shared" si="195"/>
        <v>15.92</v>
      </c>
    </row>
    <row r="6180" spans="1:7" ht="12.75" customHeight="1">
      <c r="A6180" s="3">
        <v>96301</v>
      </c>
      <c r="B6180" s="4" t="s">
        <v>6204</v>
      </c>
      <c r="C6180" s="3" t="s">
        <v>154</v>
      </c>
      <c r="D6180" s="5">
        <f t="shared" si="194"/>
        <v>44.94</v>
      </c>
      <c r="E6180">
        <v>49.34</v>
      </c>
      <c r="F6180" s="1789">
        <v>8.8999999999999996E-2</v>
      </c>
      <c r="G6180">
        <f t="shared" si="195"/>
        <v>44.94</v>
      </c>
    </row>
    <row r="6181" spans="1:7" ht="12.75" customHeight="1">
      <c r="A6181" s="3">
        <v>96457</v>
      </c>
      <c r="B6181" s="4" t="s">
        <v>6205</v>
      </c>
      <c r="C6181" s="3" t="s">
        <v>154</v>
      </c>
      <c r="D6181" s="5">
        <f t="shared" si="194"/>
        <v>58.41</v>
      </c>
      <c r="E6181">
        <v>64.12</v>
      </c>
      <c r="F6181" s="1789">
        <v>8.8999999999999996E-2</v>
      </c>
      <c r="G6181">
        <f t="shared" si="195"/>
        <v>58.41</v>
      </c>
    </row>
    <row r="6182" spans="1:7" ht="12.75" customHeight="1">
      <c r="A6182" s="3">
        <v>96458</v>
      </c>
      <c r="B6182" s="4" t="s">
        <v>6206</v>
      </c>
      <c r="C6182" s="3" t="s">
        <v>154</v>
      </c>
      <c r="D6182" s="5">
        <f t="shared" si="194"/>
        <v>59.98</v>
      </c>
      <c r="E6182">
        <v>65.84</v>
      </c>
      <c r="F6182" s="1789">
        <v>8.8999999999999996E-2</v>
      </c>
      <c r="G6182">
        <f t="shared" si="195"/>
        <v>59.98</v>
      </c>
    </row>
    <row r="6183" spans="1:7" ht="12.75" customHeight="1">
      <c r="A6183" s="3">
        <v>96459</v>
      </c>
      <c r="B6183" s="4" t="s">
        <v>6207</v>
      </c>
      <c r="C6183" s="3" t="s">
        <v>154</v>
      </c>
      <c r="D6183" s="5">
        <f t="shared" si="194"/>
        <v>12.85</v>
      </c>
      <c r="E6183">
        <v>14.11</v>
      </c>
      <c r="F6183" s="1789">
        <v>8.8999999999999996E-2</v>
      </c>
      <c r="G6183">
        <f t="shared" si="195"/>
        <v>12.85</v>
      </c>
    </row>
    <row r="6184" spans="1:7" ht="12.75" customHeight="1">
      <c r="A6184" s="3">
        <v>96460</v>
      </c>
      <c r="B6184" s="4" t="s">
        <v>6208</v>
      </c>
      <c r="C6184" s="3" t="s">
        <v>154</v>
      </c>
      <c r="D6184" s="5">
        <f t="shared" si="194"/>
        <v>47.92</v>
      </c>
      <c r="E6184">
        <v>52.61</v>
      </c>
      <c r="F6184" s="1789">
        <v>8.8999999999999996E-2</v>
      </c>
      <c r="G6184">
        <f t="shared" si="195"/>
        <v>47.92</v>
      </c>
    </row>
    <row r="6185" spans="1:7" ht="12.75" customHeight="1">
      <c r="A6185" s="3">
        <v>98760</v>
      </c>
      <c r="B6185" s="4" t="s">
        <v>6209</v>
      </c>
      <c r="C6185" s="3" t="s">
        <v>154</v>
      </c>
      <c r="D6185" s="5">
        <f t="shared" si="194"/>
        <v>7.0000000000000007E-2</v>
      </c>
      <c r="E6185">
        <v>0.08</v>
      </c>
      <c r="F6185" s="1789">
        <v>8.8999999999999996E-2</v>
      </c>
      <c r="G6185">
        <f t="shared" si="195"/>
        <v>7.0000000000000007E-2</v>
      </c>
    </row>
    <row r="6186" spans="1:7" ht="12.75" customHeight="1">
      <c r="A6186" s="3">
        <v>98761</v>
      </c>
      <c r="B6186" s="4" t="s">
        <v>6210</v>
      </c>
      <c r="C6186" s="3" t="s">
        <v>154</v>
      </c>
      <c r="D6186" s="5">
        <f t="shared" si="194"/>
        <v>0.01</v>
      </c>
      <c r="E6186">
        <v>0.02</v>
      </c>
      <c r="F6186" s="1789">
        <v>8.8999999999999996E-2</v>
      </c>
      <c r="G6186">
        <f t="shared" si="195"/>
        <v>0.01</v>
      </c>
    </row>
    <row r="6187" spans="1:7" ht="12.75" customHeight="1">
      <c r="A6187" s="3">
        <v>98762</v>
      </c>
      <c r="B6187" s="4" t="s">
        <v>6211</v>
      </c>
      <c r="C6187" s="3" t="s">
        <v>154</v>
      </c>
      <c r="D6187" s="5">
        <f t="shared" si="194"/>
        <v>0.09</v>
      </c>
      <c r="E6187">
        <v>0.1</v>
      </c>
      <c r="F6187" s="1789">
        <v>8.8999999999999996E-2</v>
      </c>
      <c r="G6187">
        <f t="shared" si="195"/>
        <v>0.09</v>
      </c>
    </row>
    <row r="6188" spans="1:7" ht="12.75" customHeight="1">
      <c r="A6188" s="3">
        <v>98763</v>
      </c>
      <c r="B6188" s="4" t="s">
        <v>6212</v>
      </c>
      <c r="C6188" s="3" t="s">
        <v>154</v>
      </c>
      <c r="D6188" s="5">
        <f t="shared" si="194"/>
        <v>4.26</v>
      </c>
      <c r="E6188">
        <v>4.68</v>
      </c>
      <c r="F6188" s="1789">
        <v>8.8999999999999996E-2</v>
      </c>
      <c r="G6188">
        <f t="shared" si="195"/>
        <v>4.26</v>
      </c>
    </row>
    <row r="6189" spans="1:7" ht="12.75" customHeight="1">
      <c r="A6189" s="3">
        <v>99829</v>
      </c>
      <c r="B6189" s="4" t="s">
        <v>6213</v>
      </c>
      <c r="C6189" s="3" t="s">
        <v>154</v>
      </c>
      <c r="D6189" s="5">
        <f t="shared" si="194"/>
        <v>0.16</v>
      </c>
      <c r="E6189">
        <v>0.18</v>
      </c>
      <c r="F6189" s="1789">
        <v>8.8999999999999996E-2</v>
      </c>
      <c r="G6189">
        <f t="shared" si="195"/>
        <v>0.16</v>
      </c>
    </row>
    <row r="6190" spans="1:7" ht="12.75" customHeight="1">
      <c r="A6190" s="3">
        <v>99830</v>
      </c>
      <c r="B6190" s="4" t="s">
        <v>6214</v>
      </c>
      <c r="C6190" s="3" t="s">
        <v>154</v>
      </c>
      <c r="D6190" s="5">
        <f t="shared" si="194"/>
        <v>0.02</v>
      </c>
      <c r="E6190">
        <v>0.03</v>
      </c>
      <c r="F6190" s="1789">
        <v>8.8999999999999996E-2</v>
      </c>
      <c r="G6190">
        <f t="shared" si="195"/>
        <v>0.02</v>
      </c>
    </row>
    <row r="6191" spans="1:7" ht="12.75" customHeight="1">
      <c r="A6191" s="3">
        <v>99831</v>
      </c>
      <c r="B6191" s="4" t="s">
        <v>6215</v>
      </c>
      <c r="C6191" s="3" t="s">
        <v>154</v>
      </c>
      <c r="D6191" s="5">
        <f t="shared" si="194"/>
        <v>0.11</v>
      </c>
      <c r="E6191">
        <v>0.13</v>
      </c>
      <c r="F6191" s="1789">
        <v>8.8999999999999996E-2</v>
      </c>
      <c r="G6191">
        <f t="shared" si="195"/>
        <v>0.11</v>
      </c>
    </row>
    <row r="6192" spans="1:7" ht="12.75" customHeight="1">
      <c r="A6192" s="3">
        <v>99832</v>
      </c>
      <c r="B6192" s="4" t="s">
        <v>6216</v>
      </c>
      <c r="C6192" s="3" t="s">
        <v>154</v>
      </c>
      <c r="D6192" s="5">
        <f t="shared" si="194"/>
        <v>1.74</v>
      </c>
      <c r="E6192">
        <v>1.91</v>
      </c>
      <c r="F6192" s="1789">
        <v>8.8999999999999996E-2</v>
      </c>
      <c r="G6192">
        <f t="shared" si="195"/>
        <v>1.74</v>
      </c>
    </row>
    <row r="6193" spans="1:7" ht="12.75" customHeight="1">
      <c r="A6193" s="3">
        <v>100637</v>
      </c>
      <c r="B6193" s="4" t="s">
        <v>6217</v>
      </c>
      <c r="C6193" s="3" t="s">
        <v>154</v>
      </c>
      <c r="D6193" s="5">
        <f t="shared" si="194"/>
        <v>195.55</v>
      </c>
      <c r="E6193">
        <v>214.66</v>
      </c>
      <c r="F6193" s="1789">
        <v>8.8999999999999996E-2</v>
      </c>
      <c r="G6193">
        <f t="shared" si="195"/>
        <v>195.55</v>
      </c>
    </row>
    <row r="6194" spans="1:7" ht="12.75" customHeight="1">
      <c r="A6194" s="3">
        <v>100638</v>
      </c>
      <c r="B6194" s="4" t="s">
        <v>6218</v>
      </c>
      <c r="C6194" s="3" t="s">
        <v>154</v>
      </c>
      <c r="D6194" s="5">
        <f t="shared" si="194"/>
        <v>60.1</v>
      </c>
      <c r="E6194">
        <v>65.98</v>
      </c>
      <c r="F6194" s="1789">
        <v>8.8999999999999996E-2</v>
      </c>
      <c r="G6194">
        <f t="shared" si="195"/>
        <v>60.1</v>
      </c>
    </row>
    <row r="6195" spans="1:7" ht="12.75" customHeight="1">
      <c r="A6195" s="3">
        <v>100639</v>
      </c>
      <c r="B6195" s="4" t="s">
        <v>6219</v>
      </c>
      <c r="C6195" s="3" t="s">
        <v>154</v>
      </c>
      <c r="D6195" s="5">
        <f t="shared" si="194"/>
        <v>244.63</v>
      </c>
      <c r="E6195">
        <v>268.52999999999997</v>
      </c>
      <c r="F6195" s="1789">
        <v>8.8999999999999996E-2</v>
      </c>
      <c r="G6195">
        <f t="shared" si="195"/>
        <v>244.63</v>
      </c>
    </row>
    <row r="6196" spans="1:7" ht="12.75" customHeight="1">
      <c r="A6196" s="3">
        <v>100640</v>
      </c>
      <c r="B6196" s="4" t="s">
        <v>6220</v>
      </c>
      <c r="C6196" s="3" t="s">
        <v>154</v>
      </c>
      <c r="D6196" s="5">
        <f t="shared" si="194"/>
        <v>3942.07</v>
      </c>
      <c r="E6196">
        <v>4327.2</v>
      </c>
      <c r="F6196" s="1789">
        <v>8.8999999999999996E-2</v>
      </c>
      <c r="G6196">
        <f t="shared" si="195"/>
        <v>3942.07</v>
      </c>
    </row>
    <row r="6197" spans="1:7" ht="12.75" customHeight="1">
      <c r="A6197" s="3">
        <v>100643</v>
      </c>
      <c r="B6197" s="4" t="s">
        <v>6221</v>
      </c>
      <c r="C6197" s="3" t="s">
        <v>154</v>
      </c>
      <c r="D6197" s="5">
        <f t="shared" si="194"/>
        <v>400.69</v>
      </c>
      <c r="E6197">
        <v>439.84</v>
      </c>
      <c r="F6197" s="1789">
        <v>8.8999999999999996E-2</v>
      </c>
      <c r="G6197">
        <f t="shared" si="195"/>
        <v>400.69</v>
      </c>
    </row>
    <row r="6198" spans="1:7" ht="12.75" customHeight="1">
      <c r="A6198" s="3">
        <v>100644</v>
      </c>
      <c r="B6198" s="4" t="s">
        <v>6222</v>
      </c>
      <c r="C6198" s="3" t="s">
        <v>154</v>
      </c>
      <c r="D6198" s="5">
        <f t="shared" si="194"/>
        <v>141.24</v>
      </c>
      <c r="E6198">
        <v>155.04</v>
      </c>
      <c r="F6198" s="1789">
        <v>8.8999999999999996E-2</v>
      </c>
      <c r="G6198">
        <f t="shared" si="195"/>
        <v>141.24</v>
      </c>
    </row>
    <row r="6199" spans="1:7" ht="12.75" customHeight="1">
      <c r="A6199" s="3">
        <v>100645</v>
      </c>
      <c r="B6199" s="4" t="s">
        <v>6223</v>
      </c>
      <c r="C6199" s="3" t="s">
        <v>154</v>
      </c>
      <c r="D6199" s="5">
        <f t="shared" si="194"/>
        <v>644.12</v>
      </c>
      <c r="E6199">
        <v>707.05</v>
      </c>
      <c r="F6199" s="1789">
        <v>8.8999999999999996E-2</v>
      </c>
      <c r="G6199">
        <f t="shared" si="195"/>
        <v>644.12</v>
      </c>
    </row>
    <row r="6200" spans="1:7" ht="12.75" customHeight="1">
      <c r="A6200" s="3">
        <v>100646</v>
      </c>
      <c r="B6200" s="4" t="s">
        <v>6224</v>
      </c>
      <c r="C6200" s="3" t="s">
        <v>154</v>
      </c>
      <c r="D6200" s="5">
        <f t="shared" si="194"/>
        <v>4927.59</v>
      </c>
      <c r="E6200">
        <v>5409</v>
      </c>
      <c r="F6200" s="1789">
        <v>8.8999999999999996E-2</v>
      </c>
      <c r="G6200">
        <f t="shared" si="195"/>
        <v>4927.59</v>
      </c>
    </row>
    <row r="6201" spans="1:7" ht="12.75" customHeight="1">
      <c r="A6201" s="3">
        <v>102270</v>
      </c>
      <c r="B6201" s="4" t="s">
        <v>6225</v>
      </c>
      <c r="C6201" s="3" t="s">
        <v>154</v>
      </c>
      <c r="D6201" s="5">
        <f t="shared" si="194"/>
        <v>0.71</v>
      </c>
      <c r="E6201">
        <v>0.79</v>
      </c>
      <c r="F6201" s="1789">
        <v>8.8999999999999996E-2</v>
      </c>
      <c r="G6201">
        <f t="shared" si="195"/>
        <v>0.71</v>
      </c>
    </row>
    <row r="6202" spans="1:7" ht="12.75" customHeight="1">
      <c r="A6202" s="3">
        <v>102271</v>
      </c>
      <c r="B6202" s="4" t="s">
        <v>6226</v>
      </c>
      <c r="C6202" s="3" t="s">
        <v>154</v>
      </c>
      <c r="D6202" s="5">
        <f t="shared" si="194"/>
        <v>0.16</v>
      </c>
      <c r="E6202">
        <v>0.18</v>
      </c>
      <c r="F6202" s="1789">
        <v>8.8999999999999996E-2</v>
      </c>
      <c r="G6202">
        <f t="shared" si="195"/>
        <v>0.16</v>
      </c>
    </row>
    <row r="6203" spans="1:7" ht="12.75" customHeight="1">
      <c r="A6203" s="3">
        <v>102272</v>
      </c>
      <c r="B6203" s="4" t="s">
        <v>6227</v>
      </c>
      <c r="C6203" s="3" t="s">
        <v>154</v>
      </c>
      <c r="D6203" s="5">
        <f t="shared" si="194"/>
        <v>0.9</v>
      </c>
      <c r="E6203">
        <v>0.99</v>
      </c>
      <c r="F6203" s="1789">
        <v>8.8999999999999996E-2</v>
      </c>
      <c r="G6203">
        <f t="shared" si="195"/>
        <v>0.9</v>
      </c>
    </row>
    <row r="6204" spans="1:7" ht="12.75" customHeight="1">
      <c r="A6204" s="3">
        <v>102273</v>
      </c>
      <c r="B6204" s="4" t="s">
        <v>6228</v>
      </c>
      <c r="C6204" s="3" t="s">
        <v>154</v>
      </c>
      <c r="D6204" s="5">
        <f t="shared" si="194"/>
        <v>1.57</v>
      </c>
      <c r="E6204">
        <v>1.73</v>
      </c>
      <c r="F6204" s="1789">
        <v>8.8999999999999996E-2</v>
      </c>
      <c r="G6204">
        <f t="shared" si="195"/>
        <v>1.57</v>
      </c>
    </row>
    <row r="6205" spans="1:7" ht="12.75" customHeight="1">
      <c r="A6205" s="3">
        <v>102809</v>
      </c>
      <c r="B6205" s="4" t="s">
        <v>6229</v>
      </c>
      <c r="C6205" s="3" t="s">
        <v>154</v>
      </c>
      <c r="D6205" s="5">
        <f t="shared" si="194"/>
        <v>16.329999999999998</v>
      </c>
      <c r="E6205">
        <v>17.93</v>
      </c>
      <c r="F6205" s="1789">
        <v>8.8999999999999996E-2</v>
      </c>
      <c r="G6205">
        <f t="shared" si="195"/>
        <v>16.329999999999998</v>
      </c>
    </row>
    <row r="6206" spans="1:7" ht="12.75" customHeight="1">
      <c r="A6206" s="3">
        <v>102815</v>
      </c>
      <c r="B6206" s="4" t="s">
        <v>6230</v>
      </c>
      <c r="C6206" s="3" t="s">
        <v>154</v>
      </c>
      <c r="D6206" s="5">
        <f t="shared" si="194"/>
        <v>3.15</v>
      </c>
      <c r="E6206">
        <v>3.46</v>
      </c>
      <c r="F6206" s="1789">
        <v>8.8999999999999996E-2</v>
      </c>
      <c r="G6206">
        <f t="shared" si="195"/>
        <v>3.15</v>
      </c>
    </row>
    <row r="6207" spans="1:7" ht="12.75" customHeight="1">
      <c r="A6207" s="3">
        <v>102826</v>
      </c>
      <c r="B6207" s="4" t="s">
        <v>6231</v>
      </c>
      <c r="C6207" s="3" t="s">
        <v>154</v>
      </c>
      <c r="D6207" s="5">
        <f t="shared" si="194"/>
        <v>5.92</v>
      </c>
      <c r="E6207">
        <v>6.5</v>
      </c>
      <c r="F6207" s="1789">
        <v>8.8999999999999996E-2</v>
      </c>
      <c r="G6207">
        <f t="shared" si="195"/>
        <v>5.92</v>
      </c>
    </row>
    <row r="6208" spans="1:7" ht="12.75" customHeight="1">
      <c r="A6208" s="3">
        <v>102832</v>
      </c>
      <c r="B6208" s="4" t="s">
        <v>6232</v>
      </c>
      <c r="C6208" s="3" t="s">
        <v>154</v>
      </c>
      <c r="D6208" s="5">
        <f t="shared" si="194"/>
        <v>7.89</v>
      </c>
      <c r="E6208">
        <v>8.67</v>
      </c>
      <c r="F6208" s="1789">
        <v>8.8999999999999996E-2</v>
      </c>
      <c r="G6208">
        <f t="shared" si="195"/>
        <v>7.89</v>
      </c>
    </row>
    <row r="6209" spans="1:7" ht="12.75" customHeight="1">
      <c r="A6209" s="3">
        <v>102843</v>
      </c>
      <c r="B6209" s="4" t="s">
        <v>6233</v>
      </c>
      <c r="C6209" s="3" t="s">
        <v>154</v>
      </c>
      <c r="D6209" s="5">
        <f t="shared" si="194"/>
        <v>123.18</v>
      </c>
      <c r="E6209">
        <v>135.22</v>
      </c>
      <c r="F6209" s="1789">
        <v>8.8999999999999996E-2</v>
      </c>
      <c r="G6209">
        <f t="shared" si="195"/>
        <v>123.18</v>
      </c>
    </row>
    <row r="6210" spans="1:7" ht="12.75" customHeight="1">
      <c r="A6210" s="3">
        <v>102849</v>
      </c>
      <c r="B6210" s="4" t="s">
        <v>6234</v>
      </c>
      <c r="C6210" s="3" t="s">
        <v>154</v>
      </c>
      <c r="D6210" s="5">
        <f t="shared" si="194"/>
        <v>60.22</v>
      </c>
      <c r="E6210">
        <v>66.11</v>
      </c>
      <c r="F6210" s="1789">
        <v>8.8999999999999996E-2</v>
      </c>
      <c r="G6210">
        <f t="shared" si="195"/>
        <v>60.22</v>
      </c>
    </row>
    <row r="6211" spans="1:7" ht="12.75" customHeight="1">
      <c r="A6211" s="3">
        <v>102855</v>
      </c>
      <c r="B6211" s="4" t="s">
        <v>6235</v>
      </c>
      <c r="C6211" s="3" t="s">
        <v>154</v>
      </c>
      <c r="D6211" s="5">
        <f t="shared" si="194"/>
        <v>60.22</v>
      </c>
      <c r="E6211">
        <v>66.11</v>
      </c>
      <c r="F6211" s="1789">
        <v>8.8999999999999996E-2</v>
      </c>
      <c r="G6211">
        <f t="shared" si="195"/>
        <v>60.22</v>
      </c>
    </row>
    <row r="6212" spans="1:7" ht="12.75" customHeight="1">
      <c r="A6212" s="3">
        <v>102861</v>
      </c>
      <c r="B6212" s="4" t="s">
        <v>6236</v>
      </c>
      <c r="C6212" s="3" t="s">
        <v>154</v>
      </c>
      <c r="D6212" s="5">
        <f t="shared" si="194"/>
        <v>1.1499999999999999</v>
      </c>
      <c r="E6212">
        <v>1.27</v>
      </c>
      <c r="F6212" s="1789">
        <v>8.8999999999999996E-2</v>
      </c>
      <c r="G6212">
        <f t="shared" si="195"/>
        <v>1.1499999999999999</v>
      </c>
    </row>
    <row r="6213" spans="1:7" ht="12.75" customHeight="1">
      <c r="A6213" s="3">
        <v>102867</v>
      </c>
      <c r="B6213" s="4" t="s">
        <v>6237</v>
      </c>
      <c r="C6213" s="3" t="s">
        <v>154</v>
      </c>
      <c r="D6213" s="5">
        <f t="shared" si="194"/>
        <v>0.62</v>
      </c>
      <c r="E6213">
        <v>0.69</v>
      </c>
      <c r="F6213" s="1789">
        <v>8.8999999999999996E-2</v>
      </c>
      <c r="G6213">
        <f t="shared" si="195"/>
        <v>0.62</v>
      </c>
    </row>
    <row r="6214" spans="1:7" ht="12.75" customHeight="1">
      <c r="A6214" s="3">
        <v>102873</v>
      </c>
      <c r="B6214" s="4" t="s">
        <v>6238</v>
      </c>
      <c r="C6214" s="3" t="s">
        <v>154</v>
      </c>
      <c r="D6214" s="5">
        <f t="shared" si="194"/>
        <v>109.43</v>
      </c>
      <c r="E6214">
        <v>120.13</v>
      </c>
      <c r="F6214" s="1789">
        <v>8.8999999999999996E-2</v>
      </c>
      <c r="G6214">
        <f t="shared" si="195"/>
        <v>109.43</v>
      </c>
    </row>
    <row r="6215" spans="1:7" ht="12.75" customHeight="1">
      <c r="A6215" s="3">
        <v>102879</v>
      </c>
      <c r="B6215" s="4" t="s">
        <v>6239</v>
      </c>
      <c r="C6215" s="3" t="s">
        <v>154</v>
      </c>
      <c r="D6215" s="5">
        <f t="shared" si="194"/>
        <v>164.25</v>
      </c>
      <c r="E6215">
        <v>180.3</v>
      </c>
      <c r="F6215" s="1789">
        <v>8.8999999999999996E-2</v>
      </c>
      <c r="G6215">
        <f t="shared" si="195"/>
        <v>164.25</v>
      </c>
    </row>
    <row r="6216" spans="1:7" ht="12.75" customHeight="1">
      <c r="A6216" s="3">
        <v>102885</v>
      </c>
      <c r="B6216" s="4" t="s">
        <v>6240</v>
      </c>
      <c r="C6216" s="3" t="s">
        <v>154</v>
      </c>
      <c r="D6216" s="5">
        <f t="shared" si="194"/>
        <v>1.18</v>
      </c>
      <c r="E6216">
        <v>1.3</v>
      </c>
      <c r="F6216" s="1789">
        <v>8.8999999999999996E-2</v>
      </c>
      <c r="G6216">
        <f t="shared" si="195"/>
        <v>1.18</v>
      </c>
    </row>
    <row r="6217" spans="1:7" ht="12.75" customHeight="1">
      <c r="A6217" s="3">
        <v>102891</v>
      </c>
      <c r="B6217" s="4" t="s">
        <v>6241</v>
      </c>
      <c r="C6217" s="3" t="s">
        <v>154</v>
      </c>
      <c r="D6217" s="5">
        <f t="shared" si="194"/>
        <v>1.18</v>
      </c>
      <c r="E6217">
        <v>1.3</v>
      </c>
      <c r="F6217" s="1789">
        <v>8.8999999999999996E-2</v>
      </c>
      <c r="G6217">
        <f t="shared" si="195"/>
        <v>1.18</v>
      </c>
    </row>
    <row r="6218" spans="1:7" ht="12.75" customHeight="1">
      <c r="A6218" s="3">
        <v>102897</v>
      </c>
      <c r="B6218" s="4" t="s">
        <v>6242</v>
      </c>
      <c r="C6218" s="3" t="s">
        <v>154</v>
      </c>
      <c r="D6218" s="5">
        <f t="shared" si="194"/>
        <v>82.29</v>
      </c>
      <c r="E6218">
        <v>90.33</v>
      </c>
      <c r="F6218" s="1789">
        <v>8.8999999999999996E-2</v>
      </c>
      <c r="G6218">
        <f t="shared" si="195"/>
        <v>82.29</v>
      </c>
    </row>
    <row r="6219" spans="1:7" ht="12.75" customHeight="1">
      <c r="A6219" s="3">
        <v>102903</v>
      </c>
      <c r="B6219" s="4" t="s">
        <v>6243</v>
      </c>
      <c r="C6219" s="3" t="s">
        <v>154</v>
      </c>
      <c r="D6219" s="5">
        <f t="shared" si="194"/>
        <v>10.66</v>
      </c>
      <c r="E6219">
        <v>11.71</v>
      </c>
      <c r="F6219" s="1789">
        <v>8.8999999999999996E-2</v>
      </c>
      <c r="G6219">
        <f t="shared" si="195"/>
        <v>10.66</v>
      </c>
    </row>
    <row r="6220" spans="1:7" ht="12.75" customHeight="1">
      <c r="A6220" s="3">
        <v>102909</v>
      </c>
      <c r="B6220" s="4" t="s">
        <v>6244</v>
      </c>
      <c r="C6220" s="3" t="s">
        <v>154</v>
      </c>
      <c r="D6220" s="5">
        <f t="shared" si="194"/>
        <v>3.78</v>
      </c>
      <c r="E6220">
        <v>4.16</v>
      </c>
      <c r="F6220" s="1789">
        <v>8.8999999999999996E-2</v>
      </c>
      <c r="G6220">
        <f t="shared" si="195"/>
        <v>3.78</v>
      </c>
    </row>
    <row r="6221" spans="1:7" ht="12.75" customHeight="1">
      <c r="A6221" s="3">
        <v>102915</v>
      </c>
      <c r="B6221" s="4" t="s">
        <v>6245</v>
      </c>
      <c r="C6221" s="3" t="s">
        <v>154</v>
      </c>
      <c r="D6221" s="5">
        <f t="shared" si="194"/>
        <v>0.57999999999999996</v>
      </c>
      <c r="E6221">
        <v>0.64</v>
      </c>
      <c r="F6221" s="1789">
        <v>8.8999999999999996E-2</v>
      </c>
      <c r="G6221">
        <f t="shared" si="195"/>
        <v>0.57999999999999996</v>
      </c>
    </row>
    <row r="6222" spans="1:7" ht="12.75" customHeight="1">
      <c r="A6222" s="3">
        <v>102927</v>
      </c>
      <c r="B6222" s="4" t="s">
        <v>6246</v>
      </c>
      <c r="C6222" s="3" t="s">
        <v>154</v>
      </c>
      <c r="D6222" s="5">
        <f t="shared" si="194"/>
        <v>0.86</v>
      </c>
      <c r="E6222">
        <v>0.95</v>
      </c>
      <c r="F6222" s="1789">
        <v>8.8999999999999996E-2</v>
      </c>
      <c r="G6222">
        <f t="shared" si="195"/>
        <v>0.86</v>
      </c>
    </row>
    <row r="6223" spans="1:7" ht="12.75" customHeight="1">
      <c r="A6223" s="3">
        <v>102933</v>
      </c>
      <c r="B6223" s="4" t="s">
        <v>6247</v>
      </c>
      <c r="C6223" s="3" t="s">
        <v>154</v>
      </c>
      <c r="D6223" s="5">
        <f t="shared" si="194"/>
        <v>0.86</v>
      </c>
      <c r="E6223">
        <v>0.95</v>
      </c>
      <c r="F6223" s="1789">
        <v>8.8999999999999996E-2</v>
      </c>
      <c r="G6223">
        <f t="shared" si="195"/>
        <v>0.86</v>
      </c>
    </row>
    <row r="6224" spans="1:7" ht="12.75" customHeight="1">
      <c r="A6224" s="3">
        <v>102939</v>
      </c>
      <c r="B6224" s="4" t="s">
        <v>6248</v>
      </c>
      <c r="C6224" s="3" t="s">
        <v>154</v>
      </c>
      <c r="D6224" s="5">
        <f t="shared" si="194"/>
        <v>8.68</v>
      </c>
      <c r="E6224">
        <v>9.5299999999999994</v>
      </c>
      <c r="F6224" s="1789">
        <v>8.8999999999999996E-2</v>
      </c>
      <c r="G6224">
        <f t="shared" si="195"/>
        <v>8.68</v>
      </c>
    </row>
    <row r="6225" spans="1:7" ht="12.75" customHeight="1">
      <c r="A6225" s="3">
        <v>102945</v>
      </c>
      <c r="B6225" s="4" t="s">
        <v>6249</v>
      </c>
      <c r="C6225" s="3" t="s">
        <v>154</v>
      </c>
      <c r="D6225" s="5">
        <f t="shared" si="194"/>
        <v>0.02</v>
      </c>
      <c r="E6225">
        <v>0.03</v>
      </c>
      <c r="F6225" s="1789">
        <v>8.8999999999999996E-2</v>
      </c>
      <c r="G6225">
        <f t="shared" si="195"/>
        <v>0.02</v>
      </c>
    </row>
    <row r="6226" spans="1:7" ht="12.75" customHeight="1">
      <c r="A6226" s="3">
        <v>102951</v>
      </c>
      <c r="B6226" s="4" t="s">
        <v>6250</v>
      </c>
      <c r="C6226" s="3" t="s">
        <v>154</v>
      </c>
      <c r="D6226" s="5">
        <f t="shared" si="194"/>
        <v>0.56999999999999995</v>
      </c>
      <c r="E6226">
        <v>0.63</v>
      </c>
      <c r="F6226" s="1789">
        <v>8.8999999999999996E-2</v>
      </c>
      <c r="G6226">
        <f t="shared" si="195"/>
        <v>0.56999999999999995</v>
      </c>
    </row>
    <row r="6227" spans="1:7" ht="12.75" customHeight="1">
      <c r="A6227" s="3">
        <v>102957</v>
      </c>
      <c r="B6227" s="4" t="s">
        <v>6251</v>
      </c>
      <c r="C6227" s="3" t="s">
        <v>154</v>
      </c>
      <c r="D6227" s="5">
        <f t="shared" si="194"/>
        <v>46.69</v>
      </c>
      <c r="E6227">
        <v>51.26</v>
      </c>
      <c r="F6227" s="1789">
        <v>8.8999999999999996E-2</v>
      </c>
      <c r="G6227">
        <f t="shared" si="195"/>
        <v>46.69</v>
      </c>
    </row>
    <row r="6228" spans="1:7" ht="12.75" customHeight="1">
      <c r="A6228" s="3">
        <v>102963</v>
      </c>
      <c r="B6228" s="4" t="s">
        <v>6252</v>
      </c>
      <c r="C6228" s="3" t="s">
        <v>154</v>
      </c>
      <c r="D6228" s="5">
        <f t="shared" si="194"/>
        <v>77.58</v>
      </c>
      <c r="E6228">
        <v>85.16</v>
      </c>
      <c r="F6228" s="1789">
        <v>8.8999999999999996E-2</v>
      </c>
      <c r="G6228">
        <f t="shared" si="195"/>
        <v>77.58</v>
      </c>
    </row>
    <row r="6229" spans="1:7" ht="12.75" customHeight="1">
      <c r="A6229" s="3">
        <v>102969</v>
      </c>
      <c r="B6229" s="4" t="s">
        <v>6253</v>
      </c>
      <c r="C6229" s="3" t="s">
        <v>154</v>
      </c>
      <c r="D6229" s="5">
        <f t="shared" ref="D6229:D6292" si="196">G6229</f>
        <v>1.17</v>
      </c>
      <c r="E6229">
        <v>1.29</v>
      </c>
      <c r="F6229" s="1789">
        <v>8.8999999999999996E-2</v>
      </c>
      <c r="G6229">
        <f t="shared" ref="G6229:G6292" si="197">TRUNC((1-F6229)*E6229,2)</f>
        <v>1.17</v>
      </c>
    </row>
    <row r="6230" spans="1:7" ht="12.75" customHeight="1">
      <c r="A6230" s="3">
        <v>102985</v>
      </c>
      <c r="B6230" s="4" t="s">
        <v>6254</v>
      </c>
      <c r="C6230" s="3" t="s">
        <v>154</v>
      </c>
      <c r="D6230" s="5">
        <f t="shared" si="196"/>
        <v>2.73</v>
      </c>
      <c r="E6230">
        <v>3</v>
      </c>
      <c r="F6230" s="1789">
        <v>8.8999999999999996E-2</v>
      </c>
      <c r="G6230">
        <f t="shared" si="197"/>
        <v>2.73</v>
      </c>
    </row>
    <row r="6231" spans="1:7" ht="12.75" customHeight="1">
      <c r="A6231" s="3">
        <v>103156</v>
      </c>
      <c r="B6231" s="4" t="s">
        <v>6255</v>
      </c>
      <c r="C6231" s="3" t="s">
        <v>154</v>
      </c>
      <c r="D6231" s="5">
        <f t="shared" si="196"/>
        <v>2.2599999999999998</v>
      </c>
      <c r="E6231">
        <v>2.4900000000000002</v>
      </c>
      <c r="F6231" s="1789">
        <v>8.8999999999999996E-2</v>
      </c>
      <c r="G6231">
        <f t="shared" si="197"/>
        <v>2.2599999999999998</v>
      </c>
    </row>
    <row r="6232" spans="1:7" ht="12.75" customHeight="1">
      <c r="A6232" s="3">
        <v>103162</v>
      </c>
      <c r="B6232" s="4" t="s">
        <v>6256</v>
      </c>
      <c r="C6232" s="3" t="s">
        <v>154</v>
      </c>
      <c r="D6232" s="5">
        <f t="shared" si="196"/>
        <v>2.76</v>
      </c>
      <c r="E6232">
        <v>3.03</v>
      </c>
      <c r="F6232" s="1789">
        <v>8.8999999999999996E-2</v>
      </c>
      <c r="G6232">
        <f t="shared" si="197"/>
        <v>2.76</v>
      </c>
    </row>
    <row r="6233" spans="1:7" ht="12.75" customHeight="1">
      <c r="A6233" s="3">
        <v>103168</v>
      </c>
      <c r="B6233" s="4" t="s">
        <v>6257</v>
      </c>
      <c r="C6233" s="3" t="s">
        <v>154</v>
      </c>
      <c r="D6233" s="5">
        <f t="shared" si="196"/>
        <v>3.09</v>
      </c>
      <c r="E6233">
        <v>3.4</v>
      </c>
      <c r="F6233" s="1789">
        <v>8.8999999999999996E-2</v>
      </c>
      <c r="G6233">
        <f t="shared" si="197"/>
        <v>3.09</v>
      </c>
    </row>
    <row r="6234" spans="1:7" ht="12.75" customHeight="1">
      <c r="A6234" s="3">
        <v>103174</v>
      </c>
      <c r="B6234" s="4" t="s">
        <v>6258</v>
      </c>
      <c r="C6234" s="3" t="s">
        <v>154</v>
      </c>
      <c r="D6234" s="5">
        <f t="shared" si="196"/>
        <v>8.0299999999999994</v>
      </c>
      <c r="E6234">
        <v>8.82</v>
      </c>
      <c r="F6234" s="1789">
        <v>8.8999999999999996E-2</v>
      </c>
      <c r="G6234">
        <f t="shared" si="197"/>
        <v>8.0299999999999994</v>
      </c>
    </row>
    <row r="6235" spans="1:7" ht="12.75" customHeight="1">
      <c r="A6235" s="3">
        <v>103180</v>
      </c>
      <c r="B6235" s="4" t="s">
        <v>6259</v>
      </c>
      <c r="C6235" s="3" t="s">
        <v>154</v>
      </c>
      <c r="D6235" s="5">
        <f t="shared" si="196"/>
        <v>17.96</v>
      </c>
      <c r="E6235">
        <v>19.72</v>
      </c>
      <c r="F6235" s="1789">
        <v>8.8999999999999996E-2</v>
      </c>
      <c r="G6235">
        <f t="shared" si="197"/>
        <v>17.96</v>
      </c>
    </row>
    <row r="6236" spans="1:7" ht="12.75" customHeight="1">
      <c r="A6236" s="3">
        <v>103223</v>
      </c>
      <c r="B6236" s="4" t="s">
        <v>6260</v>
      </c>
      <c r="C6236" s="3" t="s">
        <v>154</v>
      </c>
      <c r="D6236" s="5">
        <f t="shared" si="196"/>
        <v>32.1</v>
      </c>
      <c r="E6236">
        <v>35.24</v>
      </c>
      <c r="F6236" s="1789">
        <v>8.8999999999999996E-2</v>
      </c>
      <c r="G6236">
        <f t="shared" si="197"/>
        <v>32.1</v>
      </c>
    </row>
    <row r="6237" spans="1:7" ht="12.75" customHeight="1">
      <c r="A6237" s="3">
        <v>103229</v>
      </c>
      <c r="B6237" s="4" t="s">
        <v>6261</v>
      </c>
      <c r="C6237" s="3" t="s">
        <v>154</v>
      </c>
      <c r="D6237" s="5">
        <f t="shared" si="196"/>
        <v>88.83</v>
      </c>
      <c r="E6237">
        <v>97.51</v>
      </c>
      <c r="F6237" s="1789">
        <v>8.8999999999999996E-2</v>
      </c>
      <c r="G6237">
        <f t="shared" si="197"/>
        <v>88.83</v>
      </c>
    </row>
    <row r="6238" spans="1:7" ht="12.75" customHeight="1">
      <c r="A6238" s="3">
        <v>103235</v>
      </c>
      <c r="B6238" s="4" t="s">
        <v>6262</v>
      </c>
      <c r="C6238" s="3" t="s">
        <v>154</v>
      </c>
      <c r="D6238" s="5">
        <f t="shared" si="196"/>
        <v>93.94</v>
      </c>
      <c r="E6238">
        <v>103.12</v>
      </c>
      <c r="F6238" s="1789">
        <v>8.8999999999999996E-2</v>
      </c>
      <c r="G6238">
        <f t="shared" si="197"/>
        <v>93.94</v>
      </c>
    </row>
    <row r="6239" spans="1:7" ht="12.75" customHeight="1">
      <c r="A6239" s="3">
        <v>103241</v>
      </c>
      <c r="B6239" s="4" t="s">
        <v>6263</v>
      </c>
      <c r="C6239" s="3" t="s">
        <v>154</v>
      </c>
      <c r="D6239" s="5">
        <f t="shared" si="196"/>
        <v>8.4</v>
      </c>
      <c r="E6239">
        <v>9.23</v>
      </c>
      <c r="F6239" s="1789">
        <v>8.8999999999999996E-2</v>
      </c>
      <c r="G6239">
        <f t="shared" si="197"/>
        <v>8.4</v>
      </c>
    </row>
    <row r="6240" spans="1:7" ht="12.75" customHeight="1">
      <c r="A6240" s="3">
        <v>103660</v>
      </c>
      <c r="B6240" s="4" t="s">
        <v>6264</v>
      </c>
      <c r="C6240" s="3" t="s">
        <v>154</v>
      </c>
      <c r="D6240" s="5">
        <f t="shared" si="196"/>
        <v>10.61</v>
      </c>
      <c r="E6240">
        <v>11.65</v>
      </c>
      <c r="F6240" s="1789">
        <v>8.8999999999999996E-2</v>
      </c>
      <c r="G6240">
        <f t="shared" si="197"/>
        <v>10.61</v>
      </c>
    </row>
    <row r="6241" spans="1:7" ht="12.75" customHeight="1">
      <c r="A6241" s="3">
        <v>103666</v>
      </c>
      <c r="B6241" s="4" t="s">
        <v>6265</v>
      </c>
      <c r="C6241" s="3" t="s">
        <v>154</v>
      </c>
      <c r="D6241" s="5">
        <f t="shared" si="196"/>
        <v>147.38</v>
      </c>
      <c r="E6241">
        <v>161.78</v>
      </c>
      <c r="F6241" s="1789">
        <v>8.8999999999999996E-2</v>
      </c>
      <c r="G6241">
        <f t="shared" si="197"/>
        <v>147.38</v>
      </c>
    </row>
    <row r="6242" spans="1:7" ht="12.75" customHeight="1">
      <c r="A6242" s="3">
        <v>103792</v>
      </c>
      <c r="B6242" s="4" t="s">
        <v>6266</v>
      </c>
      <c r="C6242" s="3" t="s">
        <v>154</v>
      </c>
      <c r="D6242" s="5">
        <f t="shared" si="196"/>
        <v>0.25</v>
      </c>
      <c r="E6242">
        <v>0.28000000000000003</v>
      </c>
      <c r="F6242" s="1789">
        <v>8.8999999999999996E-2</v>
      </c>
      <c r="G6242">
        <f t="shared" si="197"/>
        <v>0.25</v>
      </c>
    </row>
    <row r="6243" spans="1:7" ht="12.75" customHeight="1">
      <c r="A6243" s="3">
        <v>103937</v>
      </c>
      <c r="B6243" s="4" t="s">
        <v>6267</v>
      </c>
      <c r="C6243" s="3" t="s">
        <v>154</v>
      </c>
      <c r="D6243" s="5">
        <f t="shared" si="196"/>
        <v>1.42</v>
      </c>
      <c r="E6243">
        <v>1.56</v>
      </c>
      <c r="F6243" s="1789">
        <v>8.8999999999999996E-2</v>
      </c>
      <c r="G6243">
        <f t="shared" si="197"/>
        <v>1.42</v>
      </c>
    </row>
    <row r="6244" spans="1:7" ht="12.75" customHeight="1">
      <c r="A6244" s="3">
        <v>103943</v>
      </c>
      <c r="B6244" s="4" t="s">
        <v>6268</v>
      </c>
      <c r="C6244" s="3" t="s">
        <v>154</v>
      </c>
      <c r="D6244" s="5">
        <f t="shared" si="196"/>
        <v>1.42</v>
      </c>
      <c r="E6244">
        <v>1.56</v>
      </c>
      <c r="F6244" s="1789">
        <v>8.8999999999999996E-2</v>
      </c>
      <c r="G6244">
        <f t="shared" si="197"/>
        <v>1.42</v>
      </c>
    </row>
    <row r="6245" spans="1:7" ht="12.75" customHeight="1">
      <c r="A6245" s="3">
        <v>104087</v>
      </c>
      <c r="B6245" s="4" t="s">
        <v>6269</v>
      </c>
      <c r="C6245" s="3" t="s">
        <v>154</v>
      </c>
      <c r="D6245" s="5">
        <f t="shared" si="196"/>
        <v>0.06</v>
      </c>
      <c r="E6245">
        <v>7.0000000000000007E-2</v>
      </c>
      <c r="F6245" s="1789">
        <v>8.8999999999999996E-2</v>
      </c>
      <c r="G6245">
        <f t="shared" si="197"/>
        <v>0.06</v>
      </c>
    </row>
    <row r="6246" spans="1:7" ht="12.75" customHeight="1">
      <c r="A6246" s="3">
        <v>104088</v>
      </c>
      <c r="B6246" s="4" t="s">
        <v>6270</v>
      </c>
      <c r="C6246" s="3" t="s">
        <v>154</v>
      </c>
      <c r="D6246" s="5">
        <f t="shared" si="196"/>
        <v>0</v>
      </c>
      <c r="E6246">
        <v>0.01</v>
      </c>
      <c r="F6246" s="1789">
        <v>8.8999999999999996E-2</v>
      </c>
      <c r="G6246">
        <f t="shared" si="197"/>
        <v>0</v>
      </c>
    </row>
    <row r="6247" spans="1:7" ht="12.75" customHeight="1">
      <c r="A6247" s="3">
        <v>104089</v>
      </c>
      <c r="B6247" s="4" t="s">
        <v>6271</v>
      </c>
      <c r="C6247" s="3" t="s">
        <v>154</v>
      </c>
      <c r="D6247" s="5">
        <f t="shared" si="196"/>
        <v>0.08</v>
      </c>
      <c r="E6247">
        <v>0.09</v>
      </c>
      <c r="F6247" s="1789">
        <v>8.8999999999999996E-2</v>
      </c>
      <c r="G6247">
        <f t="shared" si="197"/>
        <v>0.08</v>
      </c>
    </row>
    <row r="6248" spans="1:7" ht="12.75" customHeight="1">
      <c r="A6248" s="3">
        <v>104090</v>
      </c>
      <c r="B6248" s="4" t="s">
        <v>6272</v>
      </c>
      <c r="C6248" s="3" t="s">
        <v>154</v>
      </c>
      <c r="D6248" s="5">
        <f t="shared" si="196"/>
        <v>0.62</v>
      </c>
      <c r="E6248">
        <v>0.69</v>
      </c>
      <c r="F6248" s="1789">
        <v>8.8999999999999996E-2</v>
      </c>
      <c r="G6248">
        <f t="shared" si="197"/>
        <v>0.62</v>
      </c>
    </row>
    <row r="6249" spans="1:7" ht="12.75" customHeight="1">
      <c r="A6249" s="3">
        <v>104093</v>
      </c>
      <c r="B6249" s="4" t="s">
        <v>6273</v>
      </c>
      <c r="C6249" s="3" t="s">
        <v>154</v>
      </c>
      <c r="D6249" s="5">
        <f t="shared" si="196"/>
        <v>0.09</v>
      </c>
      <c r="E6249">
        <v>0.1</v>
      </c>
      <c r="F6249" s="1789">
        <v>8.8999999999999996E-2</v>
      </c>
      <c r="G6249">
        <f t="shared" si="197"/>
        <v>0.09</v>
      </c>
    </row>
    <row r="6250" spans="1:7" ht="12.75" customHeight="1">
      <c r="A6250" s="3">
        <v>104094</v>
      </c>
      <c r="B6250" s="4" t="s">
        <v>6274</v>
      </c>
      <c r="C6250" s="3" t="s">
        <v>154</v>
      </c>
      <c r="D6250" s="5">
        <f t="shared" si="196"/>
        <v>0.01</v>
      </c>
      <c r="E6250">
        <v>0.02</v>
      </c>
      <c r="F6250" s="1789">
        <v>8.8999999999999996E-2</v>
      </c>
      <c r="G6250">
        <f t="shared" si="197"/>
        <v>0.01</v>
      </c>
    </row>
    <row r="6251" spans="1:7" ht="12.75" customHeight="1">
      <c r="A6251" s="3">
        <v>104095</v>
      </c>
      <c r="B6251" s="4" t="s">
        <v>6275</v>
      </c>
      <c r="C6251" s="3" t="s">
        <v>154</v>
      </c>
      <c r="D6251" s="5">
        <f t="shared" si="196"/>
        <v>0.11</v>
      </c>
      <c r="E6251">
        <v>0.13</v>
      </c>
      <c r="F6251" s="1789">
        <v>8.8999999999999996E-2</v>
      </c>
      <c r="G6251">
        <f t="shared" si="197"/>
        <v>0.11</v>
      </c>
    </row>
    <row r="6252" spans="1:7" ht="12.75" customHeight="1">
      <c r="A6252" s="3">
        <v>104096</v>
      </c>
      <c r="B6252" s="4" t="s">
        <v>6276</v>
      </c>
      <c r="C6252" s="3" t="s">
        <v>154</v>
      </c>
      <c r="D6252" s="5">
        <f t="shared" si="196"/>
        <v>0.86</v>
      </c>
      <c r="E6252">
        <v>0.95</v>
      </c>
      <c r="F6252" s="1789">
        <v>8.8999999999999996E-2</v>
      </c>
      <c r="G6252">
        <f t="shared" si="197"/>
        <v>0.86</v>
      </c>
    </row>
    <row r="6253" spans="1:7" ht="12.75" customHeight="1">
      <c r="A6253" s="3">
        <v>104519</v>
      </c>
      <c r="B6253" s="4" t="s">
        <v>6277</v>
      </c>
      <c r="C6253" s="3" t="s">
        <v>154</v>
      </c>
      <c r="D6253" s="5">
        <f t="shared" si="196"/>
        <v>0.59</v>
      </c>
      <c r="E6253">
        <v>0.65</v>
      </c>
      <c r="F6253" s="1789">
        <v>8.8999999999999996E-2</v>
      </c>
      <c r="G6253">
        <f t="shared" si="197"/>
        <v>0.59</v>
      </c>
    </row>
    <row r="6254" spans="1:7" ht="12.75" customHeight="1">
      <c r="A6254" s="3">
        <v>104655</v>
      </c>
      <c r="B6254" s="4" t="s">
        <v>6278</v>
      </c>
      <c r="C6254" s="3" t="s">
        <v>154</v>
      </c>
      <c r="D6254" s="5">
        <f t="shared" si="196"/>
        <v>0.62</v>
      </c>
      <c r="E6254">
        <v>0.69</v>
      </c>
      <c r="F6254" s="1789">
        <v>8.8999999999999996E-2</v>
      </c>
      <c r="G6254">
        <f t="shared" si="197"/>
        <v>0.62</v>
      </c>
    </row>
    <row r="6255" spans="1:7" ht="12.75" customHeight="1">
      <c r="A6255" s="3">
        <v>104687</v>
      </c>
      <c r="B6255" s="4" t="s">
        <v>6279</v>
      </c>
      <c r="C6255" s="3" t="s">
        <v>154</v>
      </c>
      <c r="D6255" s="5">
        <f t="shared" si="196"/>
        <v>411.28</v>
      </c>
      <c r="E6255">
        <v>451.47</v>
      </c>
      <c r="F6255" s="1789">
        <v>8.8999999999999996E-2</v>
      </c>
      <c r="G6255">
        <f t="shared" si="197"/>
        <v>411.28</v>
      </c>
    </row>
    <row r="6256" spans="1:7" ht="12.75" customHeight="1">
      <c r="A6256" s="3">
        <v>104694</v>
      </c>
      <c r="B6256" s="4" t="s">
        <v>6280</v>
      </c>
      <c r="C6256" s="3" t="s">
        <v>154</v>
      </c>
      <c r="D6256" s="5">
        <f t="shared" si="196"/>
        <v>1.97</v>
      </c>
      <c r="E6256">
        <v>2.17</v>
      </c>
      <c r="F6256" s="1789">
        <v>8.8999999999999996E-2</v>
      </c>
      <c r="G6256">
        <f t="shared" si="197"/>
        <v>1.97</v>
      </c>
    </row>
    <row r="6257" spans="1:7" ht="12.75" customHeight="1">
      <c r="A6257" s="3">
        <v>104703</v>
      </c>
      <c r="B6257" s="4" t="s">
        <v>6281</v>
      </c>
      <c r="C6257" s="3" t="s">
        <v>154</v>
      </c>
      <c r="D6257" s="5">
        <f t="shared" si="196"/>
        <v>84.64</v>
      </c>
      <c r="E6257">
        <v>92.91</v>
      </c>
      <c r="F6257" s="1789">
        <v>8.8999999999999996E-2</v>
      </c>
      <c r="G6257">
        <f t="shared" si="197"/>
        <v>84.64</v>
      </c>
    </row>
    <row r="6258" spans="1:7" ht="12.75" customHeight="1">
      <c r="A6258" s="3">
        <v>104709</v>
      </c>
      <c r="B6258" s="4" t="s">
        <v>6282</v>
      </c>
      <c r="C6258" s="3" t="s">
        <v>154</v>
      </c>
      <c r="D6258" s="5">
        <f t="shared" si="196"/>
        <v>1070.3699999999999</v>
      </c>
      <c r="E6258">
        <v>1174.95</v>
      </c>
      <c r="F6258" s="1789">
        <v>8.8999999999999996E-2</v>
      </c>
      <c r="G6258">
        <f t="shared" si="197"/>
        <v>1070.3699999999999</v>
      </c>
    </row>
    <row r="6259" spans="1:7" ht="12.75" customHeight="1">
      <c r="A6259" s="3">
        <v>104715</v>
      </c>
      <c r="B6259" s="4" t="s">
        <v>6283</v>
      </c>
      <c r="C6259" s="3" t="s">
        <v>154</v>
      </c>
      <c r="D6259" s="5">
        <f t="shared" si="196"/>
        <v>82.29</v>
      </c>
      <c r="E6259">
        <v>90.33</v>
      </c>
      <c r="F6259" s="1789">
        <v>8.8999999999999996E-2</v>
      </c>
      <c r="G6259">
        <f t="shared" si="197"/>
        <v>82.29</v>
      </c>
    </row>
    <row r="6260" spans="1:7" ht="12.75" customHeight="1">
      <c r="A6260" s="3">
        <v>104906</v>
      </c>
      <c r="B6260" s="4" t="s">
        <v>6284</v>
      </c>
      <c r="C6260" s="3" t="s">
        <v>154</v>
      </c>
      <c r="D6260" s="5">
        <f t="shared" si="196"/>
        <v>90.33</v>
      </c>
      <c r="E6260">
        <v>99.16</v>
      </c>
      <c r="F6260" s="1789">
        <v>8.8999999999999996E-2</v>
      </c>
      <c r="G6260">
        <f t="shared" si="197"/>
        <v>90.33</v>
      </c>
    </row>
    <row r="6261" spans="1:7" ht="12.75" customHeight="1">
      <c r="A6261" s="3">
        <v>104912</v>
      </c>
      <c r="B6261" s="4" t="s">
        <v>6285</v>
      </c>
      <c r="C6261" s="3" t="s">
        <v>154</v>
      </c>
      <c r="D6261" s="5">
        <f t="shared" si="196"/>
        <v>35.53</v>
      </c>
      <c r="E6261">
        <v>39.01</v>
      </c>
      <c r="F6261" s="1789">
        <v>8.8999999999999996E-2</v>
      </c>
      <c r="G6261">
        <f t="shared" si="197"/>
        <v>35.53</v>
      </c>
    </row>
    <row r="6262" spans="1:7" ht="12.75" customHeight="1">
      <c r="A6262" s="3">
        <v>92259</v>
      </c>
      <c r="B6262" s="4" t="s">
        <v>6286</v>
      </c>
      <c r="C6262" s="3" t="s">
        <v>6</v>
      </c>
      <c r="D6262" s="5">
        <f t="shared" si="196"/>
        <v>393.77</v>
      </c>
      <c r="E6262">
        <v>432.25</v>
      </c>
      <c r="F6262" s="1789">
        <v>8.8999999999999996E-2</v>
      </c>
      <c r="G6262">
        <f t="shared" si="197"/>
        <v>393.77</v>
      </c>
    </row>
    <row r="6263" spans="1:7" ht="12.75" customHeight="1">
      <c r="A6263" s="3">
        <v>92260</v>
      </c>
      <c r="B6263" s="4" t="s">
        <v>6287</v>
      </c>
      <c r="C6263" s="3" t="s">
        <v>6</v>
      </c>
      <c r="D6263" s="5">
        <f t="shared" si="196"/>
        <v>448.78</v>
      </c>
      <c r="E6263">
        <v>492.63</v>
      </c>
      <c r="F6263" s="1789">
        <v>8.8999999999999996E-2</v>
      </c>
      <c r="G6263">
        <f t="shared" si="197"/>
        <v>448.78</v>
      </c>
    </row>
    <row r="6264" spans="1:7" ht="12.75" customHeight="1">
      <c r="A6264" s="3">
        <v>92261</v>
      </c>
      <c r="B6264" s="4" t="s">
        <v>6288</v>
      </c>
      <c r="C6264" s="3" t="s">
        <v>6</v>
      </c>
      <c r="D6264" s="5">
        <f t="shared" si="196"/>
        <v>502.09</v>
      </c>
      <c r="E6264">
        <v>551.15</v>
      </c>
      <c r="F6264" s="1789">
        <v>8.8999999999999996E-2</v>
      </c>
      <c r="G6264">
        <f t="shared" si="197"/>
        <v>502.09</v>
      </c>
    </row>
    <row r="6265" spans="1:7" ht="12.75" customHeight="1">
      <c r="A6265" s="3">
        <v>92262</v>
      </c>
      <c r="B6265" s="4" t="s">
        <v>6289</v>
      </c>
      <c r="C6265" s="3" t="s">
        <v>6</v>
      </c>
      <c r="D6265" s="5">
        <f t="shared" si="196"/>
        <v>587.94000000000005</v>
      </c>
      <c r="E6265">
        <v>645.38</v>
      </c>
      <c r="F6265" s="1789">
        <v>8.8999999999999996E-2</v>
      </c>
      <c r="G6265">
        <f t="shared" si="197"/>
        <v>587.94000000000005</v>
      </c>
    </row>
    <row r="6266" spans="1:7" ht="12.75" customHeight="1">
      <c r="A6266" s="3">
        <v>92539</v>
      </c>
      <c r="B6266" s="4" t="s">
        <v>6290</v>
      </c>
      <c r="C6266" s="3" t="s">
        <v>409</v>
      </c>
      <c r="D6266" s="5">
        <f t="shared" si="196"/>
        <v>63.66</v>
      </c>
      <c r="E6266">
        <v>69.89</v>
      </c>
      <c r="F6266" s="1789">
        <v>8.8999999999999996E-2</v>
      </c>
      <c r="G6266">
        <f t="shared" si="197"/>
        <v>63.66</v>
      </c>
    </row>
    <row r="6267" spans="1:7" ht="12.75" customHeight="1">
      <c r="A6267" s="3">
        <v>92540</v>
      </c>
      <c r="B6267" s="4" t="s">
        <v>6291</v>
      </c>
      <c r="C6267" s="3" t="s">
        <v>409</v>
      </c>
      <c r="D6267" s="5">
        <f t="shared" si="196"/>
        <v>71.849999999999994</v>
      </c>
      <c r="E6267">
        <v>78.88</v>
      </c>
      <c r="F6267" s="1789">
        <v>8.8999999999999996E-2</v>
      </c>
      <c r="G6267">
        <f t="shared" si="197"/>
        <v>71.849999999999994</v>
      </c>
    </row>
    <row r="6268" spans="1:7" ht="12.75" customHeight="1">
      <c r="A6268" s="3">
        <v>92541</v>
      </c>
      <c r="B6268" s="4" t="s">
        <v>6292</v>
      </c>
      <c r="C6268" s="3" t="s">
        <v>409</v>
      </c>
      <c r="D6268" s="5">
        <f t="shared" si="196"/>
        <v>68.599999999999994</v>
      </c>
      <c r="E6268">
        <v>75.31</v>
      </c>
      <c r="F6268" s="1789">
        <v>8.8999999999999996E-2</v>
      </c>
      <c r="G6268">
        <f t="shared" si="197"/>
        <v>68.599999999999994</v>
      </c>
    </row>
    <row r="6269" spans="1:7" ht="12.75" customHeight="1">
      <c r="A6269" s="3">
        <v>92542</v>
      </c>
      <c r="B6269" s="4" t="s">
        <v>6293</v>
      </c>
      <c r="C6269" s="3" t="s">
        <v>409</v>
      </c>
      <c r="D6269" s="5">
        <f t="shared" si="196"/>
        <v>83.55</v>
      </c>
      <c r="E6269">
        <v>91.72</v>
      </c>
      <c r="F6269" s="1789">
        <v>8.8999999999999996E-2</v>
      </c>
      <c r="G6269">
        <f t="shared" si="197"/>
        <v>83.55</v>
      </c>
    </row>
    <row r="6270" spans="1:7" ht="12.75" customHeight="1">
      <c r="A6270" s="3">
        <v>92543</v>
      </c>
      <c r="B6270" s="4" t="s">
        <v>6294</v>
      </c>
      <c r="C6270" s="3" t="s">
        <v>409</v>
      </c>
      <c r="D6270" s="5">
        <f t="shared" si="196"/>
        <v>19.09</v>
      </c>
      <c r="E6270">
        <v>20.96</v>
      </c>
      <c r="F6270" s="1789">
        <v>8.8999999999999996E-2</v>
      </c>
      <c r="G6270">
        <f t="shared" si="197"/>
        <v>19.09</v>
      </c>
    </row>
    <row r="6271" spans="1:7" ht="12.75" customHeight="1">
      <c r="A6271" s="3">
        <v>92544</v>
      </c>
      <c r="B6271" s="4" t="s">
        <v>6295</v>
      </c>
      <c r="C6271" s="3" t="s">
        <v>409</v>
      </c>
      <c r="D6271" s="5">
        <f t="shared" si="196"/>
        <v>15.18</v>
      </c>
      <c r="E6271">
        <v>16.670000000000002</v>
      </c>
      <c r="F6271" s="1789">
        <v>8.8999999999999996E-2</v>
      </c>
      <c r="G6271">
        <f t="shared" si="197"/>
        <v>15.18</v>
      </c>
    </row>
    <row r="6272" spans="1:7" ht="12.75" customHeight="1">
      <c r="A6272" s="3">
        <v>92545</v>
      </c>
      <c r="B6272" s="4" t="s">
        <v>6296</v>
      </c>
      <c r="C6272" s="3" t="s">
        <v>6</v>
      </c>
      <c r="D6272" s="5">
        <f t="shared" si="196"/>
        <v>859.33</v>
      </c>
      <c r="E6272">
        <v>943.29</v>
      </c>
      <c r="F6272" s="1789">
        <v>8.8999999999999996E-2</v>
      </c>
      <c r="G6272">
        <f t="shared" si="197"/>
        <v>859.33</v>
      </c>
    </row>
    <row r="6273" spans="1:7" ht="12.75" customHeight="1">
      <c r="A6273" s="3">
        <v>92546</v>
      </c>
      <c r="B6273" s="4" t="s">
        <v>6297</v>
      </c>
      <c r="C6273" s="3" t="s">
        <v>6</v>
      </c>
      <c r="D6273" s="5">
        <f t="shared" si="196"/>
        <v>1055.17</v>
      </c>
      <c r="E6273">
        <v>1158.26</v>
      </c>
      <c r="F6273" s="1789">
        <v>8.8999999999999996E-2</v>
      </c>
      <c r="G6273">
        <f t="shared" si="197"/>
        <v>1055.17</v>
      </c>
    </row>
    <row r="6274" spans="1:7" ht="12.75" customHeight="1">
      <c r="A6274" s="3">
        <v>92547</v>
      </c>
      <c r="B6274" s="4" t="s">
        <v>6298</v>
      </c>
      <c r="C6274" s="3" t="s">
        <v>6</v>
      </c>
      <c r="D6274" s="5">
        <f t="shared" si="196"/>
        <v>1113.68</v>
      </c>
      <c r="E6274">
        <v>1222.49</v>
      </c>
      <c r="F6274" s="1789">
        <v>8.8999999999999996E-2</v>
      </c>
      <c r="G6274">
        <f t="shared" si="197"/>
        <v>1113.68</v>
      </c>
    </row>
    <row r="6275" spans="1:7" ht="12.75" customHeight="1">
      <c r="A6275" s="3">
        <v>92548</v>
      </c>
      <c r="B6275" s="4" t="s">
        <v>6299</v>
      </c>
      <c r="C6275" s="3" t="s">
        <v>6</v>
      </c>
      <c r="D6275" s="5">
        <f t="shared" si="196"/>
        <v>1238.57</v>
      </c>
      <c r="E6275">
        <v>1359.58</v>
      </c>
      <c r="F6275" s="1789">
        <v>8.8999999999999996E-2</v>
      </c>
      <c r="G6275">
        <f t="shared" si="197"/>
        <v>1238.57</v>
      </c>
    </row>
    <row r="6276" spans="1:7" ht="12.75" customHeight="1">
      <c r="A6276" s="3">
        <v>92549</v>
      </c>
      <c r="B6276" s="4" t="s">
        <v>6300</v>
      </c>
      <c r="C6276" s="3" t="s">
        <v>6</v>
      </c>
      <c r="D6276" s="5">
        <f t="shared" si="196"/>
        <v>1551.71</v>
      </c>
      <c r="E6276">
        <v>1703.31</v>
      </c>
      <c r="F6276" s="1789">
        <v>8.8999999999999996E-2</v>
      </c>
      <c r="G6276">
        <f t="shared" si="197"/>
        <v>1551.71</v>
      </c>
    </row>
    <row r="6277" spans="1:7" ht="12.75" customHeight="1">
      <c r="A6277" s="3">
        <v>92550</v>
      </c>
      <c r="B6277" s="4" t="s">
        <v>6301</v>
      </c>
      <c r="C6277" s="3" t="s">
        <v>6</v>
      </c>
      <c r="D6277" s="5">
        <f t="shared" si="196"/>
        <v>1932.93</v>
      </c>
      <c r="E6277">
        <v>2121.77</v>
      </c>
      <c r="F6277" s="1789">
        <v>8.8999999999999996E-2</v>
      </c>
      <c r="G6277">
        <f t="shared" si="197"/>
        <v>1932.93</v>
      </c>
    </row>
    <row r="6278" spans="1:7" ht="12.75" customHeight="1">
      <c r="A6278" s="3">
        <v>92551</v>
      </c>
      <c r="B6278" s="4" t="s">
        <v>6302</v>
      </c>
      <c r="C6278" s="3" t="s">
        <v>6</v>
      </c>
      <c r="D6278" s="5">
        <f t="shared" si="196"/>
        <v>2008.1</v>
      </c>
      <c r="E6278">
        <v>2204.29</v>
      </c>
      <c r="F6278" s="1789">
        <v>8.8999999999999996E-2</v>
      </c>
      <c r="G6278">
        <f t="shared" si="197"/>
        <v>2008.1</v>
      </c>
    </row>
    <row r="6279" spans="1:7" ht="12.75" customHeight="1">
      <c r="A6279" s="3">
        <v>92552</v>
      </c>
      <c r="B6279" s="4" t="s">
        <v>6303</v>
      </c>
      <c r="C6279" s="3" t="s">
        <v>6</v>
      </c>
      <c r="D6279" s="5">
        <f t="shared" si="196"/>
        <v>2180.4899999999998</v>
      </c>
      <c r="E6279">
        <v>2393.52</v>
      </c>
      <c r="F6279" s="1789">
        <v>8.8999999999999996E-2</v>
      </c>
      <c r="G6279">
        <f t="shared" si="197"/>
        <v>2180.4899999999998</v>
      </c>
    </row>
    <row r="6280" spans="1:7" ht="12.75" customHeight="1">
      <c r="A6280" s="3">
        <v>92553</v>
      </c>
      <c r="B6280" s="4" t="s">
        <v>6304</v>
      </c>
      <c r="C6280" s="3" t="s">
        <v>6</v>
      </c>
      <c r="D6280" s="5">
        <f t="shared" si="196"/>
        <v>2501.75</v>
      </c>
      <c r="E6280">
        <v>2746.16</v>
      </c>
      <c r="F6280" s="1789">
        <v>8.8999999999999996E-2</v>
      </c>
      <c r="G6280">
        <f t="shared" si="197"/>
        <v>2501.75</v>
      </c>
    </row>
    <row r="6281" spans="1:7" ht="12.75" customHeight="1">
      <c r="A6281" s="3">
        <v>92554</v>
      </c>
      <c r="B6281" s="4" t="s">
        <v>6305</v>
      </c>
      <c r="C6281" s="3" t="s">
        <v>6</v>
      </c>
      <c r="D6281" s="5">
        <f t="shared" si="196"/>
        <v>2587.92</v>
      </c>
      <c r="E6281">
        <v>2840.75</v>
      </c>
      <c r="F6281" s="1789">
        <v>8.8999999999999996E-2</v>
      </c>
      <c r="G6281">
        <f t="shared" si="197"/>
        <v>2587.92</v>
      </c>
    </row>
    <row r="6282" spans="1:7" ht="12.75" customHeight="1">
      <c r="A6282" s="3">
        <v>92555</v>
      </c>
      <c r="B6282" s="4" t="s">
        <v>6306</v>
      </c>
      <c r="C6282" s="3" t="s">
        <v>6</v>
      </c>
      <c r="D6282" s="5">
        <f t="shared" si="196"/>
        <v>847.96</v>
      </c>
      <c r="E6282">
        <v>930.81</v>
      </c>
      <c r="F6282" s="1789">
        <v>8.8999999999999996E-2</v>
      </c>
      <c r="G6282">
        <f t="shared" si="197"/>
        <v>847.96</v>
      </c>
    </row>
    <row r="6283" spans="1:7" ht="12.75" customHeight="1">
      <c r="A6283" s="3">
        <v>92556</v>
      </c>
      <c r="B6283" s="4" t="s">
        <v>6307</v>
      </c>
      <c r="C6283" s="3" t="s">
        <v>6</v>
      </c>
      <c r="D6283" s="5">
        <f t="shared" si="196"/>
        <v>1035.25</v>
      </c>
      <c r="E6283">
        <v>1136.3900000000001</v>
      </c>
      <c r="F6283" s="1789">
        <v>8.8999999999999996E-2</v>
      </c>
      <c r="G6283">
        <f t="shared" si="197"/>
        <v>1035.25</v>
      </c>
    </row>
    <row r="6284" spans="1:7" ht="12.75" customHeight="1">
      <c r="A6284" s="3">
        <v>92557</v>
      </c>
      <c r="B6284" s="4" t="s">
        <v>6308</v>
      </c>
      <c r="C6284" s="3" t="s">
        <v>6</v>
      </c>
      <c r="D6284" s="5">
        <f t="shared" si="196"/>
        <v>1093.76</v>
      </c>
      <c r="E6284">
        <v>1200.6199999999999</v>
      </c>
      <c r="F6284" s="1789">
        <v>8.8999999999999996E-2</v>
      </c>
      <c r="G6284">
        <f t="shared" si="197"/>
        <v>1093.76</v>
      </c>
    </row>
    <row r="6285" spans="1:7" ht="12.75" customHeight="1">
      <c r="A6285" s="3">
        <v>92558</v>
      </c>
      <c r="B6285" s="4" t="s">
        <v>6309</v>
      </c>
      <c r="C6285" s="3" t="s">
        <v>6</v>
      </c>
      <c r="D6285" s="5">
        <f t="shared" si="196"/>
        <v>1227.2</v>
      </c>
      <c r="E6285">
        <v>1347.1</v>
      </c>
      <c r="F6285" s="1789">
        <v>8.8999999999999996E-2</v>
      </c>
      <c r="G6285">
        <f t="shared" si="197"/>
        <v>1227.2</v>
      </c>
    </row>
    <row r="6286" spans="1:7" ht="12.75" customHeight="1">
      <c r="A6286" s="3">
        <v>92559</v>
      </c>
      <c r="B6286" s="4" t="s">
        <v>6310</v>
      </c>
      <c r="C6286" s="3" t="s">
        <v>6</v>
      </c>
      <c r="D6286" s="5">
        <f t="shared" si="196"/>
        <v>1530.54</v>
      </c>
      <c r="E6286">
        <v>1680.07</v>
      </c>
      <c r="F6286" s="1789">
        <v>8.8999999999999996E-2</v>
      </c>
      <c r="G6286">
        <f t="shared" si="197"/>
        <v>1530.54</v>
      </c>
    </row>
    <row r="6287" spans="1:7" ht="12.75" customHeight="1">
      <c r="A6287" s="3">
        <v>92560</v>
      </c>
      <c r="B6287" s="4" t="s">
        <v>6311</v>
      </c>
      <c r="C6287" s="3" t="s">
        <v>6</v>
      </c>
      <c r="D6287" s="5">
        <f t="shared" si="196"/>
        <v>1904.09</v>
      </c>
      <c r="E6287">
        <v>2090.12</v>
      </c>
      <c r="F6287" s="1789">
        <v>8.8999999999999996E-2</v>
      </c>
      <c r="G6287">
        <f t="shared" si="197"/>
        <v>1904.09</v>
      </c>
    </row>
    <row r="6288" spans="1:7" ht="12.75" customHeight="1">
      <c r="A6288" s="3">
        <v>92561</v>
      </c>
      <c r="B6288" s="4" t="s">
        <v>6312</v>
      </c>
      <c r="C6288" s="3" t="s">
        <v>6</v>
      </c>
      <c r="D6288" s="5">
        <f t="shared" si="196"/>
        <v>1980.05</v>
      </c>
      <c r="E6288">
        <v>2173.5</v>
      </c>
      <c r="F6288" s="1789">
        <v>8.8999999999999996E-2</v>
      </c>
      <c r="G6288">
        <f t="shared" si="197"/>
        <v>1980.05</v>
      </c>
    </row>
    <row r="6289" spans="1:7" ht="12.75" customHeight="1">
      <c r="A6289" s="3">
        <v>92562</v>
      </c>
      <c r="B6289" s="4" t="s">
        <v>6313</v>
      </c>
      <c r="C6289" s="3" t="s">
        <v>6</v>
      </c>
      <c r="D6289" s="5">
        <f t="shared" si="196"/>
        <v>2132.52</v>
      </c>
      <c r="E6289">
        <v>2340.86</v>
      </c>
      <c r="F6289" s="1789">
        <v>8.8999999999999996E-2</v>
      </c>
      <c r="G6289">
        <f t="shared" si="197"/>
        <v>2132.52</v>
      </c>
    </row>
    <row r="6290" spans="1:7" ht="12.75" customHeight="1">
      <c r="A6290" s="3">
        <v>92563</v>
      </c>
      <c r="B6290" s="4" t="s">
        <v>6314</v>
      </c>
      <c r="C6290" s="3" t="s">
        <v>6</v>
      </c>
      <c r="D6290" s="5">
        <f t="shared" si="196"/>
        <v>2445.65</v>
      </c>
      <c r="E6290">
        <v>2684.58</v>
      </c>
      <c r="F6290" s="1789">
        <v>8.8999999999999996E-2</v>
      </c>
      <c r="G6290">
        <f t="shared" si="197"/>
        <v>2445.65</v>
      </c>
    </row>
    <row r="6291" spans="1:7" ht="12.75" customHeight="1">
      <c r="A6291" s="3">
        <v>92564</v>
      </c>
      <c r="B6291" s="4" t="s">
        <v>6315</v>
      </c>
      <c r="C6291" s="3" t="s">
        <v>6</v>
      </c>
      <c r="D6291" s="5">
        <f t="shared" si="196"/>
        <v>2519.1999999999998</v>
      </c>
      <c r="E6291">
        <v>2765.32</v>
      </c>
      <c r="F6291" s="1789">
        <v>8.8999999999999996E-2</v>
      </c>
      <c r="G6291">
        <f t="shared" si="197"/>
        <v>2519.1999999999998</v>
      </c>
    </row>
    <row r="6292" spans="1:7" ht="12.75" customHeight="1">
      <c r="A6292" s="3">
        <v>100379</v>
      </c>
      <c r="B6292" s="4" t="s">
        <v>6316</v>
      </c>
      <c r="C6292" s="3" t="s">
        <v>409</v>
      </c>
      <c r="D6292" s="5">
        <f t="shared" si="196"/>
        <v>31.77</v>
      </c>
      <c r="E6292">
        <v>34.880000000000003</v>
      </c>
      <c r="F6292" s="1789">
        <v>8.8999999999999996E-2</v>
      </c>
      <c r="G6292">
        <f t="shared" si="197"/>
        <v>31.77</v>
      </c>
    </row>
    <row r="6293" spans="1:7" ht="12.75" customHeight="1">
      <c r="A6293" s="3">
        <v>100380</v>
      </c>
      <c r="B6293" s="4" t="s">
        <v>6317</v>
      </c>
      <c r="C6293" s="3" t="s">
        <v>409</v>
      </c>
      <c r="D6293" s="5">
        <f t="shared" ref="D6293:D6356" si="198">G6293</f>
        <v>42.16</v>
      </c>
      <c r="E6293">
        <v>46.28</v>
      </c>
      <c r="F6293" s="1789">
        <v>8.8999999999999996E-2</v>
      </c>
      <c r="G6293">
        <f t="shared" ref="G6293:G6356" si="199">TRUNC((1-F6293)*E6293,2)</f>
        <v>42.16</v>
      </c>
    </row>
    <row r="6294" spans="1:7" ht="12.75" customHeight="1">
      <c r="A6294" s="3">
        <v>100381</v>
      </c>
      <c r="B6294" s="4" t="s">
        <v>6318</v>
      </c>
      <c r="C6294" s="3" t="s">
        <v>409</v>
      </c>
      <c r="D6294" s="5">
        <f t="shared" si="198"/>
        <v>47.34</v>
      </c>
      <c r="E6294">
        <v>51.97</v>
      </c>
      <c r="F6294" s="1789">
        <v>8.8999999999999996E-2</v>
      </c>
      <c r="G6294">
        <f t="shared" si="199"/>
        <v>47.34</v>
      </c>
    </row>
    <row r="6295" spans="1:7" ht="12.75" customHeight="1">
      <c r="A6295" s="3">
        <v>100383</v>
      </c>
      <c r="B6295" s="4" t="s">
        <v>6319</v>
      </c>
      <c r="C6295" s="3" t="s">
        <v>409</v>
      </c>
      <c r="D6295" s="5">
        <f t="shared" si="198"/>
        <v>21.13</v>
      </c>
      <c r="E6295">
        <v>23.2</v>
      </c>
      <c r="F6295" s="1789">
        <v>8.8999999999999996E-2</v>
      </c>
      <c r="G6295">
        <f t="shared" si="199"/>
        <v>21.13</v>
      </c>
    </row>
    <row r="6296" spans="1:7" ht="12.75" customHeight="1">
      <c r="A6296" s="3">
        <v>100384</v>
      </c>
      <c r="B6296" s="4" t="s">
        <v>6320</v>
      </c>
      <c r="C6296" s="3" t="s">
        <v>409</v>
      </c>
      <c r="D6296" s="5">
        <f t="shared" si="198"/>
        <v>22.22</v>
      </c>
      <c r="E6296">
        <v>24.4</v>
      </c>
      <c r="F6296" s="1789">
        <v>8.8999999999999996E-2</v>
      </c>
      <c r="G6296">
        <f t="shared" si="199"/>
        <v>22.22</v>
      </c>
    </row>
    <row r="6297" spans="1:7" ht="12.75" customHeight="1">
      <c r="A6297" s="3">
        <v>100385</v>
      </c>
      <c r="B6297" s="4" t="s">
        <v>6321</v>
      </c>
      <c r="C6297" s="3" t="s">
        <v>409</v>
      </c>
      <c r="D6297" s="5">
        <f t="shared" si="198"/>
        <v>28.41</v>
      </c>
      <c r="E6297">
        <v>31.19</v>
      </c>
      <c r="F6297" s="1789">
        <v>8.8999999999999996E-2</v>
      </c>
      <c r="G6297">
        <f t="shared" si="199"/>
        <v>28.41</v>
      </c>
    </row>
    <row r="6298" spans="1:7" ht="12.75" customHeight="1">
      <c r="A6298" s="3">
        <v>100386</v>
      </c>
      <c r="B6298" s="4" t="s">
        <v>6322</v>
      </c>
      <c r="C6298" s="3" t="s">
        <v>409</v>
      </c>
      <c r="D6298" s="5">
        <f t="shared" si="198"/>
        <v>36.549999999999997</v>
      </c>
      <c r="E6298">
        <v>40.130000000000003</v>
      </c>
      <c r="F6298" s="1789">
        <v>8.8999999999999996E-2</v>
      </c>
      <c r="G6298">
        <f t="shared" si="199"/>
        <v>36.549999999999997</v>
      </c>
    </row>
    <row r="6299" spans="1:7" ht="12.75" customHeight="1">
      <c r="A6299" s="3">
        <v>100387</v>
      </c>
      <c r="B6299" s="4" t="s">
        <v>6323</v>
      </c>
      <c r="C6299" s="3" t="s">
        <v>409</v>
      </c>
      <c r="D6299" s="5">
        <f t="shared" si="198"/>
        <v>44.64</v>
      </c>
      <c r="E6299">
        <v>49.01</v>
      </c>
      <c r="F6299" s="1789">
        <v>8.8999999999999996E-2</v>
      </c>
      <c r="G6299">
        <f t="shared" si="199"/>
        <v>44.64</v>
      </c>
    </row>
    <row r="6300" spans="1:7" ht="12.75" customHeight="1">
      <c r="A6300" s="3">
        <v>100388</v>
      </c>
      <c r="B6300" s="4" t="s">
        <v>6324</v>
      </c>
      <c r="C6300" s="3" t="s">
        <v>409</v>
      </c>
      <c r="D6300" s="5">
        <f t="shared" si="198"/>
        <v>16.25</v>
      </c>
      <c r="E6300">
        <v>17.84</v>
      </c>
      <c r="F6300" s="1789">
        <v>8.8999999999999996E-2</v>
      </c>
      <c r="G6300">
        <f t="shared" si="199"/>
        <v>16.25</v>
      </c>
    </row>
    <row r="6301" spans="1:7" ht="12.75" customHeight="1">
      <c r="A6301" s="3">
        <v>100389</v>
      </c>
      <c r="B6301" s="4" t="s">
        <v>6325</v>
      </c>
      <c r="C6301" s="3" t="s">
        <v>409</v>
      </c>
      <c r="D6301" s="5">
        <f t="shared" si="198"/>
        <v>14.65</v>
      </c>
      <c r="E6301">
        <v>16.09</v>
      </c>
      <c r="F6301" s="1789">
        <v>8.8999999999999996E-2</v>
      </c>
      <c r="G6301">
        <f t="shared" si="199"/>
        <v>14.65</v>
      </c>
    </row>
    <row r="6302" spans="1:7" ht="12.75" customHeight="1">
      <c r="A6302" s="3">
        <v>100390</v>
      </c>
      <c r="B6302" s="4" t="s">
        <v>6326</v>
      </c>
      <c r="C6302" s="3" t="s">
        <v>409</v>
      </c>
      <c r="D6302" s="5">
        <f t="shared" si="198"/>
        <v>19.5</v>
      </c>
      <c r="E6302">
        <v>21.41</v>
      </c>
      <c r="F6302" s="1789">
        <v>8.8999999999999996E-2</v>
      </c>
      <c r="G6302">
        <f t="shared" si="199"/>
        <v>19.5</v>
      </c>
    </row>
    <row r="6303" spans="1:7" ht="12.75" customHeight="1">
      <c r="A6303" s="3">
        <v>100391</v>
      </c>
      <c r="B6303" s="4" t="s">
        <v>6327</v>
      </c>
      <c r="C6303" s="3" t="s">
        <v>409</v>
      </c>
      <c r="D6303" s="5">
        <f t="shared" si="198"/>
        <v>16.86</v>
      </c>
      <c r="E6303">
        <v>18.510000000000002</v>
      </c>
      <c r="F6303" s="1789">
        <v>8.8999999999999996E-2</v>
      </c>
      <c r="G6303">
        <f t="shared" si="199"/>
        <v>16.86</v>
      </c>
    </row>
    <row r="6304" spans="1:7" ht="12.75" customHeight="1">
      <c r="A6304" s="3">
        <v>100392</v>
      </c>
      <c r="B6304" s="4" t="s">
        <v>6328</v>
      </c>
      <c r="C6304" s="3" t="s">
        <v>409</v>
      </c>
      <c r="D6304" s="5">
        <f t="shared" si="198"/>
        <v>12.81</v>
      </c>
      <c r="E6304">
        <v>14.07</v>
      </c>
      <c r="F6304" s="1789">
        <v>8.8999999999999996E-2</v>
      </c>
      <c r="G6304">
        <f t="shared" si="199"/>
        <v>12.81</v>
      </c>
    </row>
    <row r="6305" spans="1:7" ht="12.75" customHeight="1">
      <c r="A6305" s="3">
        <v>100393</v>
      </c>
      <c r="B6305" s="4" t="s">
        <v>6329</v>
      </c>
      <c r="C6305" s="3" t="s">
        <v>409</v>
      </c>
      <c r="D6305" s="5">
        <f t="shared" si="198"/>
        <v>16.829999999999998</v>
      </c>
      <c r="E6305">
        <v>18.48</v>
      </c>
      <c r="F6305" s="1789">
        <v>8.8999999999999996E-2</v>
      </c>
      <c r="G6305">
        <f t="shared" si="199"/>
        <v>16.829999999999998</v>
      </c>
    </row>
    <row r="6306" spans="1:7" ht="12.75" customHeight="1">
      <c r="A6306" s="3">
        <v>100394</v>
      </c>
      <c r="B6306" s="4" t="s">
        <v>6330</v>
      </c>
      <c r="C6306" s="3" t="s">
        <v>409</v>
      </c>
      <c r="D6306" s="5">
        <f t="shared" si="198"/>
        <v>15.35</v>
      </c>
      <c r="E6306">
        <v>16.850000000000001</v>
      </c>
      <c r="F6306" s="1789">
        <v>8.8999999999999996E-2</v>
      </c>
      <c r="G6306">
        <f t="shared" si="199"/>
        <v>15.35</v>
      </c>
    </row>
    <row r="6307" spans="1:7" ht="12.75" customHeight="1">
      <c r="A6307" s="3">
        <v>100395</v>
      </c>
      <c r="B6307" s="4" t="s">
        <v>6331</v>
      </c>
      <c r="C6307" s="3" t="s">
        <v>409</v>
      </c>
      <c r="D6307" s="5">
        <f t="shared" si="198"/>
        <v>20.079999999999998</v>
      </c>
      <c r="E6307">
        <v>22.05</v>
      </c>
      <c r="F6307" s="1789">
        <v>8.8999999999999996E-2</v>
      </c>
      <c r="G6307">
        <f t="shared" si="199"/>
        <v>20.079999999999998</v>
      </c>
    </row>
    <row r="6308" spans="1:7" ht="12.75" customHeight="1">
      <c r="A6308" s="3">
        <v>94189</v>
      </c>
      <c r="B6308" s="4" t="s">
        <v>6332</v>
      </c>
      <c r="C6308" s="3" t="s">
        <v>409</v>
      </c>
      <c r="D6308" s="5">
        <f t="shared" si="198"/>
        <v>41.32</v>
      </c>
      <c r="E6308">
        <v>45.36</v>
      </c>
      <c r="F6308" s="1789">
        <v>8.8999999999999996E-2</v>
      </c>
      <c r="G6308">
        <f t="shared" si="199"/>
        <v>41.32</v>
      </c>
    </row>
    <row r="6309" spans="1:7" ht="12.75" customHeight="1">
      <c r="A6309" s="3">
        <v>94192</v>
      </c>
      <c r="B6309" s="4" t="s">
        <v>6333</v>
      </c>
      <c r="C6309" s="3" t="s">
        <v>409</v>
      </c>
      <c r="D6309" s="5">
        <f t="shared" si="198"/>
        <v>43.55</v>
      </c>
      <c r="E6309">
        <v>47.81</v>
      </c>
      <c r="F6309" s="1789">
        <v>8.8999999999999996E-2</v>
      </c>
      <c r="G6309">
        <f t="shared" si="199"/>
        <v>43.55</v>
      </c>
    </row>
    <row r="6310" spans="1:7" ht="12.75" customHeight="1">
      <c r="A6310" s="3">
        <v>94195</v>
      </c>
      <c r="B6310" s="4" t="s">
        <v>6334</v>
      </c>
      <c r="C6310" s="3" t="s">
        <v>409</v>
      </c>
      <c r="D6310" s="5">
        <f t="shared" si="198"/>
        <v>48.1</v>
      </c>
      <c r="E6310">
        <v>52.8</v>
      </c>
      <c r="F6310" s="1789">
        <v>8.8999999999999996E-2</v>
      </c>
      <c r="G6310">
        <f t="shared" si="199"/>
        <v>48.1</v>
      </c>
    </row>
    <row r="6311" spans="1:7" ht="12.75" customHeight="1">
      <c r="A6311" s="3">
        <v>94198</v>
      </c>
      <c r="B6311" s="4" t="s">
        <v>6335</v>
      </c>
      <c r="C6311" s="3" t="s">
        <v>409</v>
      </c>
      <c r="D6311" s="5">
        <f t="shared" si="198"/>
        <v>51.04</v>
      </c>
      <c r="E6311">
        <v>56.03</v>
      </c>
      <c r="F6311" s="1789">
        <v>8.8999999999999996E-2</v>
      </c>
      <c r="G6311">
        <f t="shared" si="199"/>
        <v>51.04</v>
      </c>
    </row>
    <row r="6312" spans="1:7" ht="12.75" customHeight="1">
      <c r="A6312" s="3">
        <v>94201</v>
      </c>
      <c r="B6312" s="4" t="s">
        <v>6336</v>
      </c>
      <c r="C6312" s="3" t="s">
        <v>409</v>
      </c>
      <c r="D6312" s="5">
        <f t="shared" si="198"/>
        <v>67.61</v>
      </c>
      <c r="E6312">
        <v>74.22</v>
      </c>
      <c r="F6312" s="1789">
        <v>8.8999999999999996E-2</v>
      </c>
      <c r="G6312">
        <f t="shared" si="199"/>
        <v>67.61</v>
      </c>
    </row>
    <row r="6313" spans="1:7" ht="12.75" customHeight="1">
      <c r="A6313" s="3">
        <v>94204</v>
      </c>
      <c r="B6313" s="4" t="s">
        <v>6337</v>
      </c>
      <c r="C6313" s="3" t="s">
        <v>409</v>
      </c>
      <c r="D6313" s="5">
        <f t="shared" si="198"/>
        <v>72.63</v>
      </c>
      <c r="E6313">
        <v>79.73</v>
      </c>
      <c r="F6313" s="1789">
        <v>8.8999999999999996E-2</v>
      </c>
      <c r="G6313">
        <f t="shared" si="199"/>
        <v>72.63</v>
      </c>
    </row>
    <row r="6314" spans="1:7" ht="12.75" customHeight="1">
      <c r="A6314" s="3">
        <v>94224</v>
      </c>
      <c r="B6314" s="4" t="s">
        <v>6338</v>
      </c>
      <c r="C6314" s="3" t="s">
        <v>50</v>
      </c>
      <c r="D6314" s="5">
        <f t="shared" si="198"/>
        <v>22.67</v>
      </c>
      <c r="E6314">
        <v>24.89</v>
      </c>
      <c r="F6314" s="1789">
        <v>8.8999999999999996E-2</v>
      </c>
      <c r="G6314">
        <f t="shared" si="199"/>
        <v>22.67</v>
      </c>
    </row>
    <row r="6315" spans="1:7" ht="12.75" customHeight="1">
      <c r="A6315" s="3">
        <v>94226</v>
      </c>
      <c r="B6315" s="4" t="s">
        <v>6339</v>
      </c>
      <c r="C6315" s="3" t="s">
        <v>409</v>
      </c>
      <c r="D6315" s="5">
        <f t="shared" si="198"/>
        <v>18.45</v>
      </c>
      <c r="E6315">
        <v>20.260000000000002</v>
      </c>
      <c r="F6315" s="1789">
        <v>8.8999999999999996E-2</v>
      </c>
      <c r="G6315">
        <f t="shared" si="199"/>
        <v>18.45</v>
      </c>
    </row>
    <row r="6316" spans="1:7" ht="12.75" customHeight="1">
      <c r="A6316" s="3">
        <v>94232</v>
      </c>
      <c r="B6316" s="4" t="s">
        <v>6340</v>
      </c>
      <c r="C6316" s="3" t="s">
        <v>6</v>
      </c>
      <c r="D6316" s="5">
        <f t="shared" si="198"/>
        <v>2.46</v>
      </c>
      <c r="E6316">
        <v>2.71</v>
      </c>
      <c r="F6316" s="1789">
        <v>8.8999999999999996E-2</v>
      </c>
      <c r="G6316">
        <f t="shared" si="199"/>
        <v>2.46</v>
      </c>
    </row>
    <row r="6317" spans="1:7" ht="12.75" customHeight="1">
      <c r="A6317" s="3">
        <v>94440</v>
      </c>
      <c r="B6317" s="4" t="s">
        <v>6341</v>
      </c>
      <c r="C6317" s="3" t="s">
        <v>409</v>
      </c>
      <c r="D6317" s="5">
        <f t="shared" si="198"/>
        <v>48.1</v>
      </c>
      <c r="E6317">
        <v>52.8</v>
      </c>
      <c r="F6317" s="1789">
        <v>8.8999999999999996E-2</v>
      </c>
      <c r="G6317">
        <f t="shared" si="199"/>
        <v>48.1</v>
      </c>
    </row>
    <row r="6318" spans="1:7" ht="12.75" customHeight="1">
      <c r="A6318" s="3">
        <v>94441</v>
      </c>
      <c r="B6318" s="4" t="s">
        <v>6342</v>
      </c>
      <c r="C6318" s="3" t="s">
        <v>409</v>
      </c>
      <c r="D6318" s="5">
        <f t="shared" si="198"/>
        <v>51.04</v>
      </c>
      <c r="E6318">
        <v>56.03</v>
      </c>
      <c r="F6318" s="1789">
        <v>8.8999999999999996E-2</v>
      </c>
      <c r="G6318">
        <f t="shared" si="199"/>
        <v>51.04</v>
      </c>
    </row>
    <row r="6319" spans="1:7" ht="12.75" customHeight="1">
      <c r="A6319" s="3">
        <v>94442</v>
      </c>
      <c r="B6319" s="4" t="s">
        <v>6343</v>
      </c>
      <c r="C6319" s="3" t="s">
        <v>409</v>
      </c>
      <c r="D6319" s="5">
        <f t="shared" si="198"/>
        <v>48.1</v>
      </c>
      <c r="E6319">
        <v>52.8</v>
      </c>
      <c r="F6319" s="1789">
        <v>8.8999999999999996E-2</v>
      </c>
      <c r="G6319">
        <f t="shared" si="199"/>
        <v>48.1</v>
      </c>
    </row>
    <row r="6320" spans="1:7" ht="12.75" customHeight="1">
      <c r="A6320" s="3">
        <v>94443</v>
      </c>
      <c r="B6320" s="4" t="s">
        <v>6344</v>
      </c>
      <c r="C6320" s="3" t="s">
        <v>409</v>
      </c>
      <c r="D6320" s="5">
        <f t="shared" si="198"/>
        <v>51.04</v>
      </c>
      <c r="E6320">
        <v>56.03</v>
      </c>
      <c r="F6320" s="1789">
        <v>8.8999999999999996E-2</v>
      </c>
      <c r="G6320">
        <f t="shared" si="199"/>
        <v>51.04</v>
      </c>
    </row>
    <row r="6321" spans="1:7" ht="12.75" customHeight="1">
      <c r="A6321" s="3">
        <v>94445</v>
      </c>
      <c r="B6321" s="4" t="s">
        <v>6345</v>
      </c>
      <c r="C6321" s="3" t="s">
        <v>409</v>
      </c>
      <c r="D6321" s="5">
        <f t="shared" si="198"/>
        <v>67.61</v>
      </c>
      <c r="E6321">
        <v>74.22</v>
      </c>
      <c r="F6321" s="1789">
        <v>8.8999999999999996E-2</v>
      </c>
      <c r="G6321">
        <f t="shared" si="199"/>
        <v>67.61</v>
      </c>
    </row>
    <row r="6322" spans="1:7" ht="12.75" customHeight="1">
      <c r="A6322" s="3">
        <v>94446</v>
      </c>
      <c r="B6322" s="4" t="s">
        <v>6346</v>
      </c>
      <c r="C6322" s="3" t="s">
        <v>409</v>
      </c>
      <c r="D6322" s="5">
        <f t="shared" si="198"/>
        <v>72.63</v>
      </c>
      <c r="E6322">
        <v>79.73</v>
      </c>
      <c r="F6322" s="1789">
        <v>8.8999999999999996E-2</v>
      </c>
      <c r="G6322">
        <f t="shared" si="199"/>
        <v>72.63</v>
      </c>
    </row>
    <row r="6323" spans="1:7" ht="12.75" customHeight="1">
      <c r="A6323" s="3">
        <v>94447</v>
      </c>
      <c r="B6323" s="4" t="s">
        <v>6347</v>
      </c>
      <c r="C6323" s="3" t="s">
        <v>409</v>
      </c>
      <c r="D6323" s="5">
        <f t="shared" si="198"/>
        <v>67.61</v>
      </c>
      <c r="E6323">
        <v>74.22</v>
      </c>
      <c r="F6323" s="1789">
        <v>8.8999999999999996E-2</v>
      </c>
      <c r="G6323">
        <f t="shared" si="199"/>
        <v>67.61</v>
      </c>
    </row>
    <row r="6324" spans="1:7" ht="12.75" customHeight="1">
      <c r="A6324" s="3">
        <v>94448</v>
      </c>
      <c r="B6324" s="4" t="s">
        <v>6348</v>
      </c>
      <c r="C6324" s="3" t="s">
        <v>409</v>
      </c>
      <c r="D6324" s="5">
        <f t="shared" si="198"/>
        <v>72.63</v>
      </c>
      <c r="E6324">
        <v>79.73</v>
      </c>
      <c r="F6324" s="1789">
        <v>8.8999999999999996E-2</v>
      </c>
      <c r="G6324">
        <f t="shared" si="199"/>
        <v>72.63</v>
      </c>
    </row>
    <row r="6325" spans="1:7" ht="12.75" customHeight="1">
      <c r="A6325" s="3">
        <v>94207</v>
      </c>
      <c r="B6325" s="4" t="s">
        <v>6349</v>
      </c>
      <c r="C6325" s="3" t="s">
        <v>409</v>
      </c>
      <c r="D6325" s="5">
        <f t="shared" si="198"/>
        <v>42.62</v>
      </c>
      <c r="E6325">
        <v>46.79</v>
      </c>
      <c r="F6325" s="1789">
        <v>8.8999999999999996E-2</v>
      </c>
      <c r="G6325">
        <f t="shared" si="199"/>
        <v>42.62</v>
      </c>
    </row>
    <row r="6326" spans="1:7" ht="12.75" customHeight="1">
      <c r="A6326" s="3">
        <v>94210</v>
      </c>
      <c r="B6326" s="4" t="s">
        <v>6350</v>
      </c>
      <c r="C6326" s="3" t="s">
        <v>409</v>
      </c>
      <c r="D6326" s="5">
        <f t="shared" si="198"/>
        <v>45.25</v>
      </c>
      <c r="E6326">
        <v>49.68</v>
      </c>
      <c r="F6326" s="1789">
        <v>8.8999999999999996E-2</v>
      </c>
      <c r="G6326">
        <f t="shared" si="199"/>
        <v>45.25</v>
      </c>
    </row>
    <row r="6327" spans="1:7" ht="12.75" customHeight="1">
      <c r="A6327" s="3">
        <v>94218</v>
      </c>
      <c r="B6327" s="4" t="s">
        <v>6351</v>
      </c>
      <c r="C6327" s="3" t="s">
        <v>409</v>
      </c>
      <c r="D6327" s="5">
        <f t="shared" si="198"/>
        <v>110.44</v>
      </c>
      <c r="E6327">
        <v>121.23</v>
      </c>
      <c r="F6327" s="1789">
        <v>8.8999999999999996E-2</v>
      </c>
      <c r="G6327">
        <f t="shared" si="199"/>
        <v>110.44</v>
      </c>
    </row>
    <row r="6328" spans="1:7" ht="12.75" customHeight="1">
      <c r="A6328" s="3">
        <v>94213</v>
      </c>
      <c r="B6328" s="4" t="s">
        <v>6352</v>
      </c>
      <c r="C6328" s="3" t="s">
        <v>409</v>
      </c>
      <c r="D6328" s="5">
        <f t="shared" si="198"/>
        <v>53.11</v>
      </c>
      <c r="E6328">
        <v>58.3</v>
      </c>
      <c r="F6328" s="1789">
        <v>8.8999999999999996E-2</v>
      </c>
      <c r="G6328">
        <f t="shared" si="199"/>
        <v>53.11</v>
      </c>
    </row>
    <row r="6329" spans="1:7" ht="12.75" customHeight="1">
      <c r="A6329" s="3">
        <v>94216</v>
      </c>
      <c r="B6329" s="4" t="s">
        <v>6353</v>
      </c>
      <c r="C6329" s="3" t="s">
        <v>409</v>
      </c>
      <c r="D6329" s="5">
        <f t="shared" si="198"/>
        <v>147.28</v>
      </c>
      <c r="E6329">
        <v>161.66999999999999</v>
      </c>
      <c r="F6329" s="1789">
        <v>8.8999999999999996E-2</v>
      </c>
      <c r="G6329">
        <f t="shared" si="199"/>
        <v>147.28</v>
      </c>
    </row>
    <row r="6330" spans="1:7" ht="12.75" customHeight="1">
      <c r="A6330" s="3">
        <v>94219</v>
      </c>
      <c r="B6330" s="4" t="s">
        <v>6354</v>
      </c>
      <c r="C6330" s="3" t="s">
        <v>50</v>
      </c>
      <c r="D6330" s="5">
        <f t="shared" si="198"/>
        <v>35.29</v>
      </c>
      <c r="E6330">
        <v>38.74</v>
      </c>
      <c r="F6330" s="1789">
        <v>8.8999999999999996E-2</v>
      </c>
      <c r="G6330">
        <f t="shared" si="199"/>
        <v>35.29</v>
      </c>
    </row>
    <row r="6331" spans="1:7" ht="12.75" customHeight="1">
      <c r="A6331" s="3">
        <v>94220</v>
      </c>
      <c r="B6331" s="4" t="s">
        <v>6355</v>
      </c>
      <c r="C6331" s="3" t="s">
        <v>50</v>
      </c>
      <c r="D6331" s="5">
        <f t="shared" si="198"/>
        <v>54.39</v>
      </c>
      <c r="E6331">
        <v>59.71</v>
      </c>
      <c r="F6331" s="1789">
        <v>8.8999999999999996E-2</v>
      </c>
      <c r="G6331">
        <f t="shared" si="199"/>
        <v>54.39</v>
      </c>
    </row>
    <row r="6332" spans="1:7" ht="12.75" customHeight="1">
      <c r="A6332" s="3">
        <v>94221</v>
      </c>
      <c r="B6332" s="4" t="s">
        <v>6356</v>
      </c>
      <c r="C6332" s="3" t="s">
        <v>50</v>
      </c>
      <c r="D6332" s="5">
        <f t="shared" si="198"/>
        <v>29.47</v>
      </c>
      <c r="E6332">
        <v>32.35</v>
      </c>
      <c r="F6332" s="1789">
        <v>8.8999999999999996E-2</v>
      </c>
      <c r="G6332">
        <f t="shared" si="199"/>
        <v>29.47</v>
      </c>
    </row>
    <row r="6333" spans="1:7" ht="12.75" customHeight="1">
      <c r="A6333" s="3">
        <v>94222</v>
      </c>
      <c r="B6333" s="4" t="s">
        <v>6357</v>
      </c>
      <c r="C6333" s="3" t="s">
        <v>50</v>
      </c>
      <c r="D6333" s="5">
        <f t="shared" si="198"/>
        <v>48.57</v>
      </c>
      <c r="E6333">
        <v>53.32</v>
      </c>
      <c r="F6333" s="1789">
        <v>8.8999999999999996E-2</v>
      </c>
      <c r="G6333">
        <f t="shared" si="199"/>
        <v>48.57</v>
      </c>
    </row>
    <row r="6334" spans="1:7" ht="12.75" customHeight="1">
      <c r="A6334" s="3">
        <v>94223</v>
      </c>
      <c r="B6334" s="4" t="s">
        <v>6358</v>
      </c>
      <c r="C6334" s="3" t="s">
        <v>50</v>
      </c>
      <c r="D6334" s="5">
        <f t="shared" si="198"/>
        <v>73.81</v>
      </c>
      <c r="E6334">
        <v>81.03</v>
      </c>
      <c r="F6334" s="1789">
        <v>8.8999999999999996E-2</v>
      </c>
      <c r="G6334">
        <f t="shared" si="199"/>
        <v>73.81</v>
      </c>
    </row>
    <row r="6335" spans="1:7" ht="12.75" customHeight="1">
      <c r="A6335" s="3">
        <v>94451</v>
      </c>
      <c r="B6335" s="4" t="s">
        <v>6359</v>
      </c>
      <c r="C6335" s="3" t="s">
        <v>50</v>
      </c>
      <c r="D6335" s="5">
        <f t="shared" si="198"/>
        <v>82.34</v>
      </c>
      <c r="E6335">
        <v>90.39</v>
      </c>
      <c r="F6335" s="1789">
        <v>8.8999999999999996E-2</v>
      </c>
      <c r="G6335">
        <f t="shared" si="199"/>
        <v>82.34</v>
      </c>
    </row>
    <row r="6336" spans="1:7" ht="12.75" customHeight="1">
      <c r="A6336" s="3">
        <v>100325</v>
      </c>
      <c r="B6336" s="4" t="s">
        <v>6360</v>
      </c>
      <c r="C6336" s="3" t="s">
        <v>50</v>
      </c>
      <c r="D6336" s="5">
        <f t="shared" si="198"/>
        <v>80.03</v>
      </c>
      <c r="E6336">
        <v>87.85</v>
      </c>
      <c r="F6336" s="1789">
        <v>8.8999999999999996E-2</v>
      </c>
      <c r="G6336">
        <f t="shared" si="199"/>
        <v>80.03</v>
      </c>
    </row>
    <row r="6337" spans="1:7" ht="12.75" customHeight="1">
      <c r="A6337" s="3">
        <v>100327</v>
      </c>
      <c r="B6337" s="4" t="s">
        <v>6361</v>
      </c>
      <c r="C6337" s="3" t="s">
        <v>50</v>
      </c>
      <c r="D6337" s="5">
        <f t="shared" si="198"/>
        <v>59.81</v>
      </c>
      <c r="E6337">
        <v>65.66</v>
      </c>
      <c r="F6337" s="1789">
        <v>8.8999999999999996E-2</v>
      </c>
      <c r="G6337">
        <f t="shared" si="199"/>
        <v>59.81</v>
      </c>
    </row>
    <row r="6338" spans="1:7" ht="12.75" customHeight="1">
      <c r="A6338" s="3">
        <v>100328</v>
      </c>
      <c r="B6338" s="4" t="s">
        <v>6362</v>
      </c>
      <c r="C6338" s="3" t="s">
        <v>409</v>
      </c>
      <c r="D6338" s="5">
        <f t="shared" si="198"/>
        <v>15.35</v>
      </c>
      <c r="E6338">
        <v>16.850000000000001</v>
      </c>
      <c r="F6338" s="1789">
        <v>8.8999999999999996E-2</v>
      </c>
      <c r="G6338">
        <f t="shared" si="199"/>
        <v>15.35</v>
      </c>
    </row>
    <row r="6339" spans="1:7" ht="12.75" customHeight="1">
      <c r="A6339" s="3">
        <v>100329</v>
      </c>
      <c r="B6339" s="4" t="s">
        <v>6363</v>
      </c>
      <c r="C6339" s="3" t="s">
        <v>409</v>
      </c>
      <c r="D6339" s="5">
        <f t="shared" si="198"/>
        <v>18.309999999999999</v>
      </c>
      <c r="E6339">
        <v>20.100000000000001</v>
      </c>
      <c r="F6339" s="1789">
        <v>8.8999999999999996E-2</v>
      </c>
      <c r="G6339">
        <f t="shared" si="199"/>
        <v>18.309999999999999</v>
      </c>
    </row>
    <row r="6340" spans="1:7" ht="12.75" customHeight="1">
      <c r="A6340" s="3">
        <v>100330</v>
      </c>
      <c r="B6340" s="4" t="s">
        <v>6364</v>
      </c>
      <c r="C6340" s="3" t="s">
        <v>409</v>
      </c>
      <c r="D6340" s="5">
        <f t="shared" si="198"/>
        <v>20.86</v>
      </c>
      <c r="E6340">
        <v>22.9</v>
      </c>
      <c r="F6340" s="1789">
        <v>8.8999999999999996E-2</v>
      </c>
      <c r="G6340">
        <f t="shared" si="199"/>
        <v>20.86</v>
      </c>
    </row>
    <row r="6341" spans="1:7" ht="12.75" customHeight="1">
      <c r="A6341" s="3">
        <v>100331</v>
      </c>
      <c r="B6341" s="4" t="s">
        <v>6365</v>
      </c>
      <c r="C6341" s="3" t="s">
        <v>409</v>
      </c>
      <c r="D6341" s="5">
        <f t="shared" si="198"/>
        <v>25.89</v>
      </c>
      <c r="E6341">
        <v>28.43</v>
      </c>
      <c r="F6341" s="1789">
        <v>8.8999999999999996E-2</v>
      </c>
      <c r="G6341">
        <f t="shared" si="199"/>
        <v>25.89</v>
      </c>
    </row>
    <row r="6342" spans="1:7" ht="12.75" customHeight="1">
      <c r="A6342" s="3">
        <v>100434</v>
      </c>
      <c r="B6342" s="4" t="s">
        <v>6366</v>
      </c>
      <c r="C6342" s="3" t="s">
        <v>50</v>
      </c>
      <c r="D6342" s="5">
        <f t="shared" si="198"/>
        <v>136.6</v>
      </c>
      <c r="E6342">
        <v>149.94999999999999</v>
      </c>
      <c r="F6342" s="1789">
        <v>8.8999999999999996E-2</v>
      </c>
      <c r="G6342">
        <f t="shared" si="199"/>
        <v>136.6</v>
      </c>
    </row>
    <row r="6343" spans="1:7" ht="12.75" customHeight="1">
      <c r="A6343" s="3">
        <v>100435</v>
      </c>
      <c r="B6343" s="4" t="s">
        <v>6367</v>
      </c>
      <c r="C6343" s="3" t="s">
        <v>50</v>
      </c>
      <c r="D6343" s="5">
        <f t="shared" si="198"/>
        <v>56.07</v>
      </c>
      <c r="E6343">
        <v>61.55</v>
      </c>
      <c r="F6343" s="1789">
        <v>8.8999999999999996E-2</v>
      </c>
      <c r="G6343">
        <f t="shared" si="199"/>
        <v>56.07</v>
      </c>
    </row>
    <row r="6344" spans="1:7" ht="12.75" customHeight="1">
      <c r="A6344" s="3">
        <v>94227</v>
      </c>
      <c r="B6344" s="4" t="s">
        <v>6368</v>
      </c>
      <c r="C6344" s="3" t="s">
        <v>50</v>
      </c>
      <c r="D6344" s="5">
        <f t="shared" si="198"/>
        <v>66.22</v>
      </c>
      <c r="E6344">
        <v>72.7</v>
      </c>
      <c r="F6344" s="1789">
        <v>8.8999999999999996E-2</v>
      </c>
      <c r="G6344">
        <f t="shared" si="199"/>
        <v>66.22</v>
      </c>
    </row>
    <row r="6345" spans="1:7" ht="12.75" customHeight="1">
      <c r="A6345" s="3">
        <v>94228</v>
      </c>
      <c r="B6345" s="4" t="s">
        <v>6369</v>
      </c>
      <c r="C6345" s="3" t="s">
        <v>50</v>
      </c>
      <c r="D6345" s="5">
        <f t="shared" si="198"/>
        <v>89.44</v>
      </c>
      <c r="E6345">
        <v>98.18</v>
      </c>
      <c r="F6345" s="1789">
        <v>8.8999999999999996E-2</v>
      </c>
      <c r="G6345">
        <f t="shared" si="199"/>
        <v>89.44</v>
      </c>
    </row>
    <row r="6346" spans="1:7" ht="12.75" customHeight="1">
      <c r="A6346" s="3">
        <v>94229</v>
      </c>
      <c r="B6346" s="4" t="s">
        <v>6370</v>
      </c>
      <c r="C6346" s="3" t="s">
        <v>50</v>
      </c>
      <c r="D6346" s="5">
        <f t="shared" si="198"/>
        <v>173.35</v>
      </c>
      <c r="E6346">
        <v>190.29</v>
      </c>
      <c r="F6346" s="1789">
        <v>8.8999999999999996E-2</v>
      </c>
      <c r="G6346">
        <f t="shared" si="199"/>
        <v>173.35</v>
      </c>
    </row>
    <row r="6347" spans="1:7" ht="12.75" customHeight="1">
      <c r="A6347" s="3">
        <v>94231</v>
      </c>
      <c r="B6347" s="4" t="s">
        <v>6371</v>
      </c>
      <c r="C6347" s="3" t="s">
        <v>50</v>
      </c>
      <c r="D6347" s="5">
        <f t="shared" si="198"/>
        <v>53.4</v>
      </c>
      <c r="E6347">
        <v>58.62</v>
      </c>
      <c r="F6347" s="1789">
        <v>8.8999999999999996E-2</v>
      </c>
      <c r="G6347">
        <f t="shared" si="199"/>
        <v>53.4</v>
      </c>
    </row>
    <row r="6348" spans="1:7" ht="12.75" customHeight="1">
      <c r="A6348" s="3">
        <v>94449</v>
      </c>
      <c r="B6348" s="4" t="s">
        <v>6372</v>
      </c>
      <c r="C6348" s="3" t="s">
        <v>409</v>
      </c>
      <c r="D6348" s="5">
        <f t="shared" si="198"/>
        <v>71.52</v>
      </c>
      <c r="E6348">
        <v>78.510000000000005</v>
      </c>
      <c r="F6348" s="1789">
        <v>8.8999999999999996E-2</v>
      </c>
      <c r="G6348">
        <f t="shared" si="199"/>
        <v>71.52</v>
      </c>
    </row>
    <row r="6349" spans="1:7" ht="12.75" customHeight="1">
      <c r="A6349" s="3">
        <v>92255</v>
      </c>
      <c r="B6349" s="4" t="s">
        <v>6373</v>
      </c>
      <c r="C6349" s="3" t="s">
        <v>6</v>
      </c>
      <c r="D6349" s="5">
        <f t="shared" si="198"/>
        <v>167.54</v>
      </c>
      <c r="E6349">
        <v>183.91</v>
      </c>
      <c r="F6349" s="1789">
        <v>8.8999999999999996E-2</v>
      </c>
      <c r="G6349">
        <f t="shared" si="199"/>
        <v>167.54</v>
      </c>
    </row>
    <row r="6350" spans="1:7" ht="12.75" customHeight="1">
      <c r="A6350" s="3">
        <v>92256</v>
      </c>
      <c r="B6350" s="4" t="s">
        <v>6374</v>
      </c>
      <c r="C6350" s="3" t="s">
        <v>6</v>
      </c>
      <c r="D6350" s="5">
        <f t="shared" si="198"/>
        <v>204.51</v>
      </c>
      <c r="E6350">
        <v>224.5</v>
      </c>
      <c r="F6350" s="1789">
        <v>8.8999999999999996E-2</v>
      </c>
      <c r="G6350">
        <f t="shared" si="199"/>
        <v>204.51</v>
      </c>
    </row>
    <row r="6351" spans="1:7" ht="12.75" customHeight="1">
      <c r="A6351" s="3">
        <v>92257</v>
      </c>
      <c r="B6351" s="4" t="s">
        <v>6375</v>
      </c>
      <c r="C6351" s="3" t="s">
        <v>6</v>
      </c>
      <c r="D6351" s="5">
        <f t="shared" si="198"/>
        <v>241.1</v>
      </c>
      <c r="E6351">
        <v>264.66000000000003</v>
      </c>
      <c r="F6351" s="1789">
        <v>8.8999999999999996E-2</v>
      </c>
      <c r="G6351">
        <f t="shared" si="199"/>
        <v>241.1</v>
      </c>
    </row>
    <row r="6352" spans="1:7" ht="12.75" customHeight="1">
      <c r="A6352" s="3">
        <v>92258</v>
      </c>
      <c r="B6352" s="4" t="s">
        <v>6376</v>
      </c>
      <c r="C6352" s="3" t="s">
        <v>6</v>
      </c>
      <c r="D6352" s="5">
        <f t="shared" si="198"/>
        <v>299.93</v>
      </c>
      <c r="E6352">
        <v>329.24</v>
      </c>
      <c r="F6352" s="1789">
        <v>8.8999999999999996E-2</v>
      </c>
      <c r="G6352">
        <f t="shared" si="199"/>
        <v>299.93</v>
      </c>
    </row>
    <row r="6353" spans="1:7" ht="12.75" customHeight="1">
      <c r="A6353" s="3">
        <v>92568</v>
      </c>
      <c r="B6353" s="4" t="s">
        <v>6377</v>
      </c>
      <c r="C6353" s="3" t="s">
        <v>409</v>
      </c>
      <c r="D6353" s="5">
        <f t="shared" si="198"/>
        <v>113.29</v>
      </c>
      <c r="E6353">
        <v>124.36</v>
      </c>
      <c r="F6353" s="1789">
        <v>8.8999999999999996E-2</v>
      </c>
      <c r="G6353">
        <f t="shared" si="199"/>
        <v>113.29</v>
      </c>
    </row>
    <row r="6354" spans="1:7" ht="12.75" customHeight="1">
      <c r="A6354" s="3">
        <v>92569</v>
      </c>
      <c r="B6354" s="4" t="s">
        <v>6378</v>
      </c>
      <c r="C6354" s="3" t="s">
        <v>409</v>
      </c>
      <c r="D6354" s="5">
        <f t="shared" si="198"/>
        <v>62.76</v>
      </c>
      <c r="E6354">
        <v>68.900000000000006</v>
      </c>
      <c r="F6354" s="1789">
        <v>8.8999999999999996E-2</v>
      </c>
      <c r="G6354">
        <f t="shared" si="199"/>
        <v>62.76</v>
      </c>
    </row>
    <row r="6355" spans="1:7" ht="12.75" customHeight="1">
      <c r="A6355" s="3">
        <v>92570</v>
      </c>
      <c r="B6355" s="4" t="s">
        <v>6379</v>
      </c>
      <c r="C6355" s="3" t="s">
        <v>409</v>
      </c>
      <c r="D6355" s="5">
        <f t="shared" si="198"/>
        <v>39.520000000000003</v>
      </c>
      <c r="E6355">
        <v>43.39</v>
      </c>
      <c r="F6355" s="1789">
        <v>8.8999999999999996E-2</v>
      </c>
      <c r="G6355">
        <f t="shared" si="199"/>
        <v>39.520000000000003</v>
      </c>
    </row>
    <row r="6356" spans="1:7" ht="12.75" customHeight="1">
      <c r="A6356" s="3">
        <v>92571</v>
      </c>
      <c r="B6356" s="4" t="s">
        <v>6380</v>
      </c>
      <c r="C6356" s="3" t="s">
        <v>409</v>
      </c>
      <c r="D6356" s="5">
        <f t="shared" si="198"/>
        <v>120.49</v>
      </c>
      <c r="E6356">
        <v>132.27000000000001</v>
      </c>
      <c r="F6356" s="1789">
        <v>8.8999999999999996E-2</v>
      </c>
      <c r="G6356">
        <f t="shared" si="199"/>
        <v>120.49</v>
      </c>
    </row>
    <row r="6357" spans="1:7" ht="12.75" customHeight="1">
      <c r="A6357" s="3">
        <v>92572</v>
      </c>
      <c r="B6357" s="4" t="s">
        <v>6381</v>
      </c>
      <c r="C6357" s="3" t="s">
        <v>409</v>
      </c>
      <c r="D6357" s="5">
        <f t="shared" ref="D6357:D6420" si="200">G6357</f>
        <v>71.86</v>
      </c>
      <c r="E6357">
        <v>78.89</v>
      </c>
      <c r="F6357" s="1789">
        <v>8.8999999999999996E-2</v>
      </c>
      <c r="G6357">
        <f t="shared" ref="G6357:G6420" si="201">TRUNC((1-F6357)*E6357,2)</f>
        <v>71.86</v>
      </c>
    </row>
    <row r="6358" spans="1:7" ht="12.75" customHeight="1">
      <c r="A6358" s="3">
        <v>92573</v>
      </c>
      <c r="B6358" s="4" t="s">
        <v>6382</v>
      </c>
      <c r="C6358" s="3" t="s">
        <v>409</v>
      </c>
      <c r="D6358" s="5">
        <f t="shared" si="200"/>
        <v>42.58</v>
      </c>
      <c r="E6358">
        <v>46.75</v>
      </c>
      <c r="F6358" s="1789">
        <v>8.8999999999999996E-2</v>
      </c>
      <c r="G6358">
        <f t="shared" si="201"/>
        <v>42.58</v>
      </c>
    </row>
    <row r="6359" spans="1:7" ht="12.75" customHeight="1">
      <c r="A6359" s="3">
        <v>92574</v>
      </c>
      <c r="B6359" s="4" t="s">
        <v>6383</v>
      </c>
      <c r="C6359" s="3" t="s">
        <v>409</v>
      </c>
      <c r="D6359" s="5">
        <f t="shared" si="200"/>
        <v>115.14</v>
      </c>
      <c r="E6359">
        <v>126.39</v>
      </c>
      <c r="F6359" s="1789">
        <v>8.8999999999999996E-2</v>
      </c>
      <c r="G6359">
        <f t="shared" si="201"/>
        <v>115.14</v>
      </c>
    </row>
    <row r="6360" spans="1:7" ht="12.75" customHeight="1">
      <c r="A6360" s="3">
        <v>92575</v>
      </c>
      <c r="B6360" s="4" t="s">
        <v>6384</v>
      </c>
      <c r="C6360" s="3" t="s">
        <v>409</v>
      </c>
      <c r="D6360" s="5">
        <f t="shared" si="200"/>
        <v>57.52</v>
      </c>
      <c r="E6360">
        <v>63.14</v>
      </c>
      <c r="F6360" s="1789">
        <v>8.8999999999999996E-2</v>
      </c>
      <c r="G6360">
        <f t="shared" si="201"/>
        <v>57.52</v>
      </c>
    </row>
    <row r="6361" spans="1:7" ht="12.75" customHeight="1">
      <c r="A6361" s="3">
        <v>92576</v>
      </c>
      <c r="B6361" s="4" t="s">
        <v>6385</v>
      </c>
      <c r="C6361" s="3" t="s">
        <v>409</v>
      </c>
      <c r="D6361" s="5">
        <f t="shared" si="200"/>
        <v>31.25</v>
      </c>
      <c r="E6361">
        <v>34.31</v>
      </c>
      <c r="F6361" s="1789">
        <v>8.8999999999999996E-2</v>
      </c>
      <c r="G6361">
        <f t="shared" si="201"/>
        <v>31.25</v>
      </c>
    </row>
    <row r="6362" spans="1:7" ht="12.75" customHeight="1">
      <c r="A6362" s="3">
        <v>92577</v>
      </c>
      <c r="B6362" s="4" t="s">
        <v>6386</v>
      </c>
      <c r="C6362" s="3" t="s">
        <v>409</v>
      </c>
      <c r="D6362" s="5">
        <f t="shared" si="200"/>
        <v>122.72</v>
      </c>
      <c r="E6362">
        <v>134.71</v>
      </c>
      <c r="F6362" s="1789">
        <v>8.8999999999999996E-2</v>
      </c>
      <c r="G6362">
        <f t="shared" si="201"/>
        <v>122.72</v>
      </c>
    </row>
    <row r="6363" spans="1:7" ht="12.75" customHeight="1">
      <c r="A6363" s="3">
        <v>92578</v>
      </c>
      <c r="B6363" s="4" t="s">
        <v>6387</v>
      </c>
      <c r="C6363" s="3" t="s">
        <v>409</v>
      </c>
      <c r="D6363" s="5">
        <f t="shared" si="200"/>
        <v>61.74</v>
      </c>
      <c r="E6363">
        <v>67.78</v>
      </c>
      <c r="F6363" s="1789">
        <v>8.8999999999999996E-2</v>
      </c>
      <c r="G6363">
        <f t="shared" si="201"/>
        <v>61.74</v>
      </c>
    </row>
    <row r="6364" spans="1:7" ht="12.75" customHeight="1">
      <c r="A6364" s="3">
        <v>92579</v>
      </c>
      <c r="B6364" s="4" t="s">
        <v>6388</v>
      </c>
      <c r="C6364" s="3" t="s">
        <v>409</v>
      </c>
      <c r="D6364" s="5">
        <f t="shared" si="200"/>
        <v>33.68</v>
      </c>
      <c r="E6364">
        <v>36.979999999999997</v>
      </c>
      <c r="F6364" s="1789">
        <v>8.8999999999999996E-2</v>
      </c>
      <c r="G6364">
        <f t="shared" si="201"/>
        <v>33.68</v>
      </c>
    </row>
    <row r="6365" spans="1:7" ht="12.75" customHeight="1">
      <c r="A6365" s="3">
        <v>92580</v>
      </c>
      <c r="B6365" s="4" t="s">
        <v>6389</v>
      </c>
      <c r="C6365" s="3" t="s">
        <v>409</v>
      </c>
      <c r="D6365" s="5">
        <f t="shared" si="200"/>
        <v>42.05</v>
      </c>
      <c r="E6365">
        <v>46.16</v>
      </c>
      <c r="F6365" s="1789">
        <v>8.8999999999999996E-2</v>
      </c>
      <c r="G6365">
        <f t="shared" si="201"/>
        <v>42.05</v>
      </c>
    </row>
    <row r="6366" spans="1:7" ht="12.75" customHeight="1">
      <c r="A6366" s="3">
        <v>92581</v>
      </c>
      <c r="B6366" s="4" t="s">
        <v>6390</v>
      </c>
      <c r="C6366" s="3" t="s">
        <v>409</v>
      </c>
      <c r="D6366" s="5">
        <f t="shared" si="200"/>
        <v>43.84</v>
      </c>
      <c r="E6366">
        <v>48.13</v>
      </c>
      <c r="F6366" s="1789">
        <v>8.8999999999999996E-2</v>
      </c>
      <c r="G6366">
        <f t="shared" si="201"/>
        <v>43.84</v>
      </c>
    </row>
    <row r="6367" spans="1:7" ht="12.75" customHeight="1">
      <c r="A6367" s="3">
        <v>92582</v>
      </c>
      <c r="B6367" s="4" t="s">
        <v>6391</v>
      </c>
      <c r="C6367" s="3" t="s">
        <v>6</v>
      </c>
      <c r="D6367" s="5">
        <f t="shared" si="200"/>
        <v>621.03</v>
      </c>
      <c r="E6367">
        <v>681.71</v>
      </c>
      <c r="F6367" s="1789">
        <v>8.8999999999999996E-2</v>
      </c>
      <c r="G6367">
        <f t="shared" si="201"/>
        <v>621.03</v>
      </c>
    </row>
    <row r="6368" spans="1:7" ht="12.75" customHeight="1">
      <c r="A6368" s="3">
        <v>92584</v>
      </c>
      <c r="B6368" s="4" t="s">
        <v>6392</v>
      </c>
      <c r="C6368" s="3" t="s">
        <v>6</v>
      </c>
      <c r="D6368" s="5">
        <f t="shared" si="200"/>
        <v>726.76</v>
      </c>
      <c r="E6368">
        <v>797.77</v>
      </c>
      <c r="F6368" s="1789">
        <v>8.8999999999999996E-2</v>
      </c>
      <c r="G6368">
        <f t="shared" si="201"/>
        <v>726.76</v>
      </c>
    </row>
    <row r="6369" spans="1:7" ht="12.75" customHeight="1">
      <c r="A6369" s="3">
        <v>92586</v>
      </c>
      <c r="B6369" s="4" t="s">
        <v>6393</v>
      </c>
      <c r="C6369" s="3" t="s">
        <v>6</v>
      </c>
      <c r="D6369" s="5">
        <f t="shared" si="200"/>
        <v>832.49</v>
      </c>
      <c r="E6369">
        <v>913.82</v>
      </c>
      <c r="F6369" s="1789">
        <v>8.8999999999999996E-2</v>
      </c>
      <c r="G6369">
        <f t="shared" si="201"/>
        <v>832.49</v>
      </c>
    </row>
    <row r="6370" spans="1:7" ht="12.75" customHeight="1">
      <c r="A6370" s="3">
        <v>92588</v>
      </c>
      <c r="B6370" s="4" t="s">
        <v>6394</v>
      </c>
      <c r="C6370" s="3" t="s">
        <v>6</v>
      </c>
      <c r="D6370" s="5">
        <f t="shared" si="200"/>
        <v>1050.92</v>
      </c>
      <c r="E6370">
        <v>1153.5999999999999</v>
      </c>
      <c r="F6370" s="1789">
        <v>8.8999999999999996E-2</v>
      </c>
      <c r="G6370">
        <f t="shared" si="201"/>
        <v>1050.92</v>
      </c>
    </row>
    <row r="6371" spans="1:7" ht="12.75" customHeight="1">
      <c r="A6371" s="3">
        <v>92590</v>
      </c>
      <c r="B6371" s="4" t="s">
        <v>6395</v>
      </c>
      <c r="C6371" s="3" t="s">
        <v>6</v>
      </c>
      <c r="D6371" s="5">
        <f t="shared" si="200"/>
        <v>1156.6500000000001</v>
      </c>
      <c r="E6371">
        <v>1269.6500000000001</v>
      </c>
      <c r="F6371" s="1789">
        <v>8.8999999999999996E-2</v>
      </c>
      <c r="G6371">
        <f t="shared" si="201"/>
        <v>1156.6500000000001</v>
      </c>
    </row>
    <row r="6372" spans="1:7" ht="12.75" customHeight="1">
      <c r="A6372" s="3">
        <v>92592</v>
      </c>
      <c r="B6372" s="4" t="s">
        <v>6396</v>
      </c>
      <c r="C6372" s="3" t="s">
        <v>6</v>
      </c>
      <c r="D6372" s="5">
        <f t="shared" si="200"/>
        <v>1298.96</v>
      </c>
      <c r="E6372">
        <v>1425.87</v>
      </c>
      <c r="F6372" s="1789">
        <v>8.8999999999999996E-2</v>
      </c>
      <c r="G6372">
        <f t="shared" si="201"/>
        <v>1298.96</v>
      </c>
    </row>
    <row r="6373" spans="1:7" ht="12.75" customHeight="1">
      <c r="A6373" s="3">
        <v>92594</v>
      </c>
      <c r="B6373" s="4" t="s">
        <v>6397</v>
      </c>
      <c r="C6373" s="3" t="s">
        <v>6</v>
      </c>
      <c r="D6373" s="5">
        <f t="shared" si="200"/>
        <v>1507.17</v>
      </c>
      <c r="E6373">
        <v>1654.42</v>
      </c>
      <c r="F6373" s="1789">
        <v>8.8999999999999996E-2</v>
      </c>
      <c r="G6373">
        <f t="shared" si="201"/>
        <v>1507.17</v>
      </c>
    </row>
    <row r="6374" spans="1:7" ht="12.75" customHeight="1">
      <c r="A6374" s="3">
        <v>92596</v>
      </c>
      <c r="B6374" s="4" t="s">
        <v>6398</v>
      </c>
      <c r="C6374" s="3" t="s">
        <v>6</v>
      </c>
      <c r="D6374" s="5">
        <f t="shared" si="200"/>
        <v>1676.25</v>
      </c>
      <c r="E6374">
        <v>1840.02</v>
      </c>
      <c r="F6374" s="1789">
        <v>8.8999999999999996E-2</v>
      </c>
      <c r="G6374">
        <f t="shared" si="201"/>
        <v>1676.25</v>
      </c>
    </row>
    <row r="6375" spans="1:7" ht="12.75" customHeight="1">
      <c r="A6375" s="3">
        <v>92598</v>
      </c>
      <c r="B6375" s="4" t="s">
        <v>6399</v>
      </c>
      <c r="C6375" s="3" t="s">
        <v>6</v>
      </c>
      <c r="D6375" s="5">
        <f t="shared" si="200"/>
        <v>1781.97</v>
      </c>
      <c r="E6375">
        <v>1956.07</v>
      </c>
      <c r="F6375" s="1789">
        <v>8.8999999999999996E-2</v>
      </c>
      <c r="G6375">
        <f t="shared" si="201"/>
        <v>1781.97</v>
      </c>
    </row>
    <row r="6376" spans="1:7" ht="12.75" customHeight="1">
      <c r="A6376" s="3">
        <v>92600</v>
      </c>
      <c r="B6376" s="4" t="s">
        <v>6400</v>
      </c>
      <c r="C6376" s="3" t="s">
        <v>6</v>
      </c>
      <c r="D6376" s="5">
        <f t="shared" si="200"/>
        <v>1914.44</v>
      </c>
      <c r="E6376">
        <v>2101.48</v>
      </c>
      <c r="F6376" s="1789">
        <v>8.8999999999999996E-2</v>
      </c>
      <c r="G6376">
        <f t="shared" si="201"/>
        <v>1914.44</v>
      </c>
    </row>
    <row r="6377" spans="1:7" ht="12.75" customHeight="1">
      <c r="A6377" s="3">
        <v>92602</v>
      </c>
      <c r="B6377" s="4" t="s">
        <v>6401</v>
      </c>
      <c r="C6377" s="3" t="s">
        <v>6</v>
      </c>
      <c r="D6377" s="5">
        <f t="shared" si="200"/>
        <v>621.03</v>
      </c>
      <c r="E6377">
        <v>681.71</v>
      </c>
      <c r="F6377" s="1789">
        <v>8.8999999999999996E-2</v>
      </c>
      <c r="G6377">
        <f t="shared" si="201"/>
        <v>621.03</v>
      </c>
    </row>
    <row r="6378" spans="1:7" ht="12.75" customHeight="1">
      <c r="A6378" s="3">
        <v>92604</v>
      </c>
      <c r="B6378" s="4" t="s">
        <v>6402</v>
      </c>
      <c r="C6378" s="3" t="s">
        <v>6</v>
      </c>
      <c r="D6378" s="5">
        <f t="shared" si="200"/>
        <v>700.02</v>
      </c>
      <c r="E6378">
        <v>768.41</v>
      </c>
      <c r="F6378" s="1789">
        <v>8.8999999999999996E-2</v>
      </c>
      <c r="G6378">
        <f t="shared" si="201"/>
        <v>700.02</v>
      </c>
    </row>
    <row r="6379" spans="1:7" ht="12.75" customHeight="1">
      <c r="A6379" s="3">
        <v>92606</v>
      </c>
      <c r="B6379" s="4" t="s">
        <v>6403</v>
      </c>
      <c r="C6379" s="3" t="s">
        <v>6</v>
      </c>
      <c r="D6379" s="5">
        <f t="shared" si="200"/>
        <v>805.75</v>
      </c>
      <c r="E6379">
        <v>884.47</v>
      </c>
      <c r="F6379" s="1789">
        <v>8.8999999999999996E-2</v>
      </c>
      <c r="G6379">
        <f t="shared" si="201"/>
        <v>805.75</v>
      </c>
    </row>
    <row r="6380" spans="1:7" ht="12.75" customHeight="1">
      <c r="A6380" s="3">
        <v>92608</v>
      </c>
      <c r="B6380" s="4" t="s">
        <v>6404</v>
      </c>
      <c r="C6380" s="3" t="s">
        <v>6</v>
      </c>
      <c r="D6380" s="5">
        <f t="shared" si="200"/>
        <v>997.44</v>
      </c>
      <c r="E6380">
        <v>1094.8900000000001</v>
      </c>
      <c r="F6380" s="1789">
        <v>8.8999999999999996E-2</v>
      </c>
      <c r="G6380">
        <f t="shared" si="201"/>
        <v>997.44</v>
      </c>
    </row>
    <row r="6381" spans="1:7" ht="12.75" customHeight="1">
      <c r="A6381" s="3">
        <v>92610</v>
      </c>
      <c r="B6381" s="4" t="s">
        <v>6405</v>
      </c>
      <c r="C6381" s="3" t="s">
        <v>6</v>
      </c>
      <c r="D6381" s="5">
        <f t="shared" si="200"/>
        <v>1103.17</v>
      </c>
      <c r="E6381">
        <v>1210.95</v>
      </c>
      <c r="F6381" s="1789">
        <v>8.8999999999999996E-2</v>
      </c>
      <c r="G6381">
        <f t="shared" si="201"/>
        <v>1103.17</v>
      </c>
    </row>
    <row r="6382" spans="1:7" ht="12.75" customHeight="1">
      <c r="A6382" s="3">
        <v>92612</v>
      </c>
      <c r="B6382" s="4" t="s">
        <v>6406</v>
      </c>
      <c r="C6382" s="3" t="s">
        <v>6</v>
      </c>
      <c r="D6382" s="5">
        <f t="shared" si="200"/>
        <v>1245.48</v>
      </c>
      <c r="E6382">
        <v>1367.16</v>
      </c>
      <c r="F6382" s="1789">
        <v>8.8999999999999996E-2</v>
      </c>
      <c r="G6382">
        <f t="shared" si="201"/>
        <v>1245.48</v>
      </c>
    </row>
    <row r="6383" spans="1:7" ht="12.75" customHeight="1">
      <c r="A6383" s="3">
        <v>92614</v>
      </c>
      <c r="B6383" s="4" t="s">
        <v>6407</v>
      </c>
      <c r="C6383" s="3" t="s">
        <v>6</v>
      </c>
      <c r="D6383" s="5">
        <f t="shared" si="200"/>
        <v>1400.21</v>
      </c>
      <c r="E6383">
        <v>1537.01</v>
      </c>
      <c r="F6383" s="1789">
        <v>8.8999999999999996E-2</v>
      </c>
      <c r="G6383">
        <f t="shared" si="201"/>
        <v>1400.21</v>
      </c>
    </row>
    <row r="6384" spans="1:7" ht="12.75" customHeight="1">
      <c r="A6384" s="3">
        <v>92616</v>
      </c>
      <c r="B6384" s="4" t="s">
        <v>6408</v>
      </c>
      <c r="C6384" s="3" t="s">
        <v>6</v>
      </c>
      <c r="D6384" s="5">
        <f t="shared" si="200"/>
        <v>1596.03</v>
      </c>
      <c r="E6384">
        <v>1751.96</v>
      </c>
      <c r="F6384" s="1789">
        <v>8.8999999999999996E-2</v>
      </c>
      <c r="G6384">
        <f t="shared" si="201"/>
        <v>1596.03</v>
      </c>
    </row>
    <row r="6385" spans="1:7" ht="12.75" customHeight="1">
      <c r="A6385" s="3">
        <v>92618</v>
      </c>
      <c r="B6385" s="4" t="s">
        <v>6409</v>
      </c>
      <c r="C6385" s="3" t="s">
        <v>6</v>
      </c>
      <c r="D6385" s="5">
        <f t="shared" si="200"/>
        <v>1701.75</v>
      </c>
      <c r="E6385">
        <v>1868.01</v>
      </c>
      <c r="F6385" s="1789">
        <v>8.8999999999999996E-2</v>
      </c>
      <c r="G6385">
        <f t="shared" si="201"/>
        <v>1701.75</v>
      </c>
    </row>
    <row r="6386" spans="1:7" ht="12.75" customHeight="1">
      <c r="A6386" s="3">
        <v>92620</v>
      </c>
      <c r="B6386" s="4" t="s">
        <v>6410</v>
      </c>
      <c r="C6386" s="3" t="s">
        <v>6</v>
      </c>
      <c r="D6386" s="5">
        <f t="shared" si="200"/>
        <v>1807.47</v>
      </c>
      <c r="E6386">
        <v>1984.06</v>
      </c>
      <c r="F6386" s="1789">
        <v>8.8999999999999996E-2</v>
      </c>
      <c r="G6386">
        <f t="shared" si="201"/>
        <v>1807.47</v>
      </c>
    </row>
    <row r="6387" spans="1:7" ht="12.75" customHeight="1">
      <c r="A6387" s="3">
        <v>100357</v>
      </c>
      <c r="B6387" s="4" t="s">
        <v>6411</v>
      </c>
      <c r="C6387" s="3" t="s">
        <v>6</v>
      </c>
      <c r="D6387" s="5">
        <f t="shared" si="200"/>
        <v>891.11</v>
      </c>
      <c r="E6387">
        <v>978.17</v>
      </c>
      <c r="F6387" s="1789">
        <v>8.8999999999999996E-2</v>
      </c>
      <c r="G6387">
        <f t="shared" si="201"/>
        <v>891.11</v>
      </c>
    </row>
    <row r="6388" spans="1:7" ht="12.75" customHeight="1">
      <c r="A6388" s="3">
        <v>100358</v>
      </c>
      <c r="B6388" s="4" t="s">
        <v>6412</v>
      </c>
      <c r="C6388" s="3" t="s">
        <v>6</v>
      </c>
      <c r="D6388" s="5">
        <f t="shared" si="200"/>
        <v>1208.31</v>
      </c>
      <c r="E6388">
        <v>1326.36</v>
      </c>
      <c r="F6388" s="1789">
        <v>8.8999999999999996E-2</v>
      </c>
      <c r="G6388">
        <f t="shared" si="201"/>
        <v>1208.31</v>
      </c>
    </row>
    <row r="6389" spans="1:7" ht="12.75" customHeight="1">
      <c r="A6389" s="3">
        <v>100359</v>
      </c>
      <c r="B6389" s="4" t="s">
        <v>6413</v>
      </c>
      <c r="C6389" s="3" t="s">
        <v>6</v>
      </c>
      <c r="D6389" s="5">
        <f t="shared" si="200"/>
        <v>1268.03</v>
      </c>
      <c r="E6389">
        <v>1391.92</v>
      </c>
      <c r="F6389" s="1789">
        <v>8.8999999999999996E-2</v>
      </c>
      <c r="G6389">
        <f t="shared" si="201"/>
        <v>1268.03</v>
      </c>
    </row>
    <row r="6390" spans="1:7" ht="12.75" customHeight="1">
      <c r="A6390" s="3">
        <v>100360</v>
      </c>
      <c r="B6390" s="4" t="s">
        <v>6414</v>
      </c>
      <c r="C6390" s="3" t="s">
        <v>6</v>
      </c>
      <c r="D6390" s="5">
        <f t="shared" si="200"/>
        <v>1404.73</v>
      </c>
      <c r="E6390">
        <v>1541.97</v>
      </c>
      <c r="F6390" s="1789">
        <v>8.8999999999999996E-2</v>
      </c>
      <c r="G6390">
        <f t="shared" si="201"/>
        <v>1404.73</v>
      </c>
    </row>
    <row r="6391" spans="1:7" ht="12.75" customHeight="1">
      <c r="A6391" s="3">
        <v>100361</v>
      </c>
      <c r="B6391" s="4" t="s">
        <v>6415</v>
      </c>
      <c r="C6391" s="3" t="s">
        <v>6</v>
      </c>
      <c r="D6391" s="5">
        <f t="shared" si="200"/>
        <v>1747.13</v>
      </c>
      <c r="E6391">
        <v>1917.82</v>
      </c>
      <c r="F6391" s="1789">
        <v>8.8999999999999996E-2</v>
      </c>
      <c r="G6391">
        <f t="shared" si="201"/>
        <v>1747.13</v>
      </c>
    </row>
    <row r="6392" spans="1:7" ht="12.75" customHeight="1">
      <c r="A6392" s="3">
        <v>100362</v>
      </c>
      <c r="B6392" s="4" t="s">
        <v>6416</v>
      </c>
      <c r="C6392" s="3" t="s">
        <v>6</v>
      </c>
      <c r="D6392" s="5">
        <f t="shared" si="200"/>
        <v>2376.19</v>
      </c>
      <c r="E6392">
        <v>2608.34</v>
      </c>
      <c r="F6392" s="1789">
        <v>8.8999999999999996E-2</v>
      </c>
      <c r="G6392">
        <f t="shared" si="201"/>
        <v>2376.19</v>
      </c>
    </row>
    <row r="6393" spans="1:7" ht="12.75" customHeight="1">
      <c r="A6393" s="3">
        <v>100363</v>
      </c>
      <c r="B6393" s="4" t="s">
        <v>6417</v>
      </c>
      <c r="C6393" s="3" t="s">
        <v>6</v>
      </c>
      <c r="D6393" s="5">
        <f t="shared" si="200"/>
        <v>2449.63</v>
      </c>
      <c r="E6393">
        <v>2688.95</v>
      </c>
      <c r="F6393" s="1789">
        <v>8.8999999999999996E-2</v>
      </c>
      <c r="G6393">
        <f t="shared" si="201"/>
        <v>2449.63</v>
      </c>
    </row>
    <row r="6394" spans="1:7" ht="12.75" customHeight="1">
      <c r="A6394" s="3">
        <v>100364</v>
      </c>
      <c r="B6394" s="4" t="s">
        <v>6418</v>
      </c>
      <c r="C6394" s="3" t="s">
        <v>6</v>
      </c>
      <c r="D6394" s="5">
        <f t="shared" si="200"/>
        <v>2653.25</v>
      </c>
      <c r="E6394">
        <v>2912.46</v>
      </c>
      <c r="F6394" s="1789">
        <v>8.8999999999999996E-2</v>
      </c>
      <c r="G6394">
        <f t="shared" si="201"/>
        <v>2653.25</v>
      </c>
    </row>
    <row r="6395" spans="1:7" ht="12.75" customHeight="1">
      <c r="A6395" s="3">
        <v>100365</v>
      </c>
      <c r="B6395" s="4" t="s">
        <v>6419</v>
      </c>
      <c r="C6395" s="3" t="s">
        <v>6</v>
      </c>
      <c r="D6395" s="5">
        <f t="shared" si="200"/>
        <v>3040.19</v>
      </c>
      <c r="E6395">
        <v>3337.21</v>
      </c>
      <c r="F6395" s="1789">
        <v>8.8999999999999996E-2</v>
      </c>
      <c r="G6395">
        <f t="shared" si="201"/>
        <v>3040.19</v>
      </c>
    </row>
    <row r="6396" spans="1:7" ht="12.75" customHeight="1">
      <c r="A6396" s="3">
        <v>100366</v>
      </c>
      <c r="B6396" s="4" t="s">
        <v>6420</v>
      </c>
      <c r="C6396" s="3" t="s">
        <v>6</v>
      </c>
      <c r="D6396" s="5">
        <f t="shared" si="200"/>
        <v>3235.97</v>
      </c>
      <c r="E6396">
        <v>3552.11</v>
      </c>
      <c r="F6396" s="1789">
        <v>8.8999999999999996E-2</v>
      </c>
      <c r="G6396">
        <f t="shared" si="201"/>
        <v>3235.97</v>
      </c>
    </row>
    <row r="6397" spans="1:7" ht="12.75" customHeight="1">
      <c r="A6397" s="3">
        <v>100367</v>
      </c>
      <c r="B6397" s="4" t="s">
        <v>6421</v>
      </c>
      <c r="C6397" s="3" t="s">
        <v>6</v>
      </c>
      <c r="D6397" s="5">
        <f t="shared" si="200"/>
        <v>868.37</v>
      </c>
      <c r="E6397">
        <v>953.21</v>
      </c>
      <c r="F6397" s="1789">
        <v>8.8999999999999996E-2</v>
      </c>
      <c r="G6397">
        <f t="shared" si="201"/>
        <v>868.37</v>
      </c>
    </row>
    <row r="6398" spans="1:7" ht="12.75" customHeight="1">
      <c r="A6398" s="3">
        <v>100368</v>
      </c>
      <c r="B6398" s="4" t="s">
        <v>6422</v>
      </c>
      <c r="C6398" s="3" t="s">
        <v>6</v>
      </c>
      <c r="D6398" s="5">
        <f t="shared" si="200"/>
        <v>1180.26</v>
      </c>
      <c r="E6398">
        <v>1295.57</v>
      </c>
      <c r="F6398" s="1789">
        <v>8.8999999999999996E-2</v>
      </c>
      <c r="G6398">
        <f t="shared" si="201"/>
        <v>1180.26</v>
      </c>
    </row>
    <row r="6399" spans="1:7" ht="12.75" customHeight="1">
      <c r="A6399" s="3">
        <v>100369</v>
      </c>
      <c r="B6399" s="4" t="s">
        <v>6423</v>
      </c>
      <c r="C6399" s="3" t="s">
        <v>6</v>
      </c>
      <c r="D6399" s="5">
        <f t="shared" si="200"/>
        <v>1239.98</v>
      </c>
      <c r="E6399">
        <v>1361.13</v>
      </c>
      <c r="F6399" s="1789">
        <v>8.8999999999999996E-2</v>
      </c>
      <c r="G6399">
        <f t="shared" si="201"/>
        <v>1239.98</v>
      </c>
    </row>
    <row r="6400" spans="1:7" ht="12.75" customHeight="1">
      <c r="A6400" s="3">
        <v>100370</v>
      </c>
      <c r="B6400" s="4" t="s">
        <v>6424</v>
      </c>
      <c r="C6400" s="3" t="s">
        <v>6</v>
      </c>
      <c r="D6400" s="5">
        <f t="shared" si="200"/>
        <v>1463.57</v>
      </c>
      <c r="E6400">
        <v>1606.56</v>
      </c>
      <c r="F6400" s="1789">
        <v>8.8999999999999996E-2</v>
      </c>
      <c r="G6400">
        <f t="shared" si="201"/>
        <v>1463.57</v>
      </c>
    </row>
    <row r="6401" spans="1:7" ht="12.75" customHeight="1">
      <c r="A6401" s="3">
        <v>100371</v>
      </c>
      <c r="B6401" s="4" t="s">
        <v>6425</v>
      </c>
      <c r="C6401" s="3" t="s">
        <v>6</v>
      </c>
      <c r="D6401" s="5">
        <f t="shared" si="200"/>
        <v>1672.32</v>
      </c>
      <c r="E6401">
        <v>1835.7</v>
      </c>
      <c r="F6401" s="1789">
        <v>8.8999999999999996E-2</v>
      </c>
      <c r="G6401">
        <f t="shared" si="201"/>
        <v>1672.32</v>
      </c>
    </row>
    <row r="6402" spans="1:7" ht="12.75" customHeight="1">
      <c r="A6402" s="3">
        <v>100372</v>
      </c>
      <c r="B6402" s="4" t="s">
        <v>6426</v>
      </c>
      <c r="C6402" s="3" t="s">
        <v>6</v>
      </c>
      <c r="D6402" s="5">
        <f t="shared" si="200"/>
        <v>2248.02</v>
      </c>
      <c r="E6402">
        <v>2467.65</v>
      </c>
      <c r="F6402" s="1789">
        <v>8.8999999999999996E-2</v>
      </c>
      <c r="G6402">
        <f t="shared" si="201"/>
        <v>2248.02</v>
      </c>
    </row>
    <row r="6403" spans="1:7" ht="12.75" customHeight="1">
      <c r="A6403" s="3">
        <v>100373</v>
      </c>
      <c r="B6403" s="4" t="s">
        <v>6427</v>
      </c>
      <c r="C6403" s="3" t="s">
        <v>6</v>
      </c>
      <c r="D6403" s="5">
        <f t="shared" si="200"/>
        <v>2320.35</v>
      </c>
      <c r="E6403">
        <v>2547.04</v>
      </c>
      <c r="F6403" s="1789">
        <v>8.8999999999999996E-2</v>
      </c>
      <c r="G6403">
        <f t="shared" si="201"/>
        <v>2320.35</v>
      </c>
    </row>
    <row r="6404" spans="1:7" ht="12.75" customHeight="1">
      <c r="A6404" s="3">
        <v>100374</v>
      </c>
      <c r="B6404" s="4" t="s">
        <v>6428</v>
      </c>
      <c r="C6404" s="3" t="s">
        <v>6</v>
      </c>
      <c r="D6404" s="5">
        <f t="shared" si="200"/>
        <v>2482.58</v>
      </c>
      <c r="E6404">
        <v>2725.12</v>
      </c>
      <c r="F6404" s="1789">
        <v>8.8999999999999996E-2</v>
      </c>
      <c r="G6404">
        <f t="shared" si="201"/>
        <v>2482.58</v>
      </c>
    </row>
    <row r="6405" spans="1:7" ht="12.75" customHeight="1">
      <c r="A6405" s="3">
        <v>100375</v>
      </c>
      <c r="B6405" s="4" t="s">
        <v>6429</v>
      </c>
      <c r="C6405" s="3" t="s">
        <v>6</v>
      </c>
      <c r="D6405" s="5">
        <f t="shared" si="200"/>
        <v>2786.34</v>
      </c>
      <c r="E6405">
        <v>3058.56</v>
      </c>
      <c r="F6405" s="1789">
        <v>8.8999999999999996E-2</v>
      </c>
      <c r="G6405">
        <f t="shared" si="201"/>
        <v>2786.34</v>
      </c>
    </row>
    <row r="6406" spans="1:7" ht="12.75" customHeight="1">
      <c r="A6406" s="3">
        <v>100376</v>
      </c>
      <c r="B6406" s="4" t="s">
        <v>6430</v>
      </c>
      <c r="C6406" s="3" t="s">
        <v>6</v>
      </c>
      <c r="D6406" s="5">
        <f t="shared" si="200"/>
        <v>2731.67</v>
      </c>
      <c r="E6406">
        <v>2998.55</v>
      </c>
      <c r="F6406" s="1789">
        <v>8.8999999999999996E-2</v>
      </c>
      <c r="G6406">
        <f t="shared" si="201"/>
        <v>2731.67</v>
      </c>
    </row>
    <row r="6407" spans="1:7" ht="12.75" customHeight="1">
      <c r="A6407" s="3">
        <v>100377</v>
      </c>
      <c r="B6407" s="4" t="s">
        <v>6431</v>
      </c>
      <c r="C6407" s="3" t="s">
        <v>54</v>
      </c>
      <c r="D6407" s="5">
        <f t="shared" si="200"/>
        <v>10.31</v>
      </c>
      <c r="E6407">
        <v>11.32</v>
      </c>
      <c r="F6407" s="1789">
        <v>8.8999999999999996E-2</v>
      </c>
      <c r="G6407">
        <f t="shared" si="201"/>
        <v>10.31</v>
      </c>
    </row>
    <row r="6408" spans="1:7" ht="12.75" customHeight="1">
      <c r="A6408" s="3">
        <v>100378</v>
      </c>
      <c r="B6408" s="4" t="s">
        <v>6432</v>
      </c>
      <c r="C6408" s="3" t="s">
        <v>54</v>
      </c>
      <c r="D6408" s="5">
        <f t="shared" si="200"/>
        <v>9.5299999999999994</v>
      </c>
      <c r="E6408">
        <v>10.47</v>
      </c>
      <c r="F6408" s="1789">
        <v>8.8999999999999996E-2</v>
      </c>
      <c r="G6408">
        <f t="shared" si="201"/>
        <v>9.5299999999999994</v>
      </c>
    </row>
    <row r="6409" spans="1:7" ht="12.75" customHeight="1">
      <c r="A6409" s="3">
        <v>100382</v>
      </c>
      <c r="B6409" s="4" t="s">
        <v>6433</v>
      </c>
      <c r="C6409" s="3" t="s">
        <v>409</v>
      </c>
      <c r="D6409" s="5">
        <f t="shared" si="200"/>
        <v>19.440000000000001</v>
      </c>
      <c r="E6409">
        <v>21.35</v>
      </c>
      <c r="F6409" s="1789">
        <v>8.8999999999999996E-2</v>
      </c>
      <c r="G6409">
        <f t="shared" si="201"/>
        <v>19.440000000000001</v>
      </c>
    </row>
    <row r="6410" spans="1:7" ht="12.75" customHeight="1">
      <c r="A6410" s="3">
        <v>104314</v>
      </c>
      <c r="B6410" s="4" t="s">
        <v>6434</v>
      </c>
      <c r="C6410" s="3" t="s">
        <v>54</v>
      </c>
      <c r="D6410" s="5">
        <f t="shared" si="200"/>
        <v>9.68</v>
      </c>
      <c r="E6410">
        <v>10.63</v>
      </c>
      <c r="F6410" s="1789">
        <v>8.8999999999999996E-2</v>
      </c>
      <c r="G6410">
        <f t="shared" si="201"/>
        <v>9.68</v>
      </c>
    </row>
    <row r="6411" spans="1:7" ht="12.75" customHeight="1">
      <c r="A6411" s="3">
        <v>94444</v>
      </c>
      <c r="B6411" s="4" t="s">
        <v>6435</v>
      </c>
      <c r="C6411" s="3" t="s">
        <v>409</v>
      </c>
      <c r="D6411" s="5">
        <f t="shared" si="200"/>
        <v>816.14</v>
      </c>
      <c r="E6411">
        <v>895.88</v>
      </c>
      <c r="F6411" s="1789">
        <v>8.8999999999999996E-2</v>
      </c>
      <c r="G6411">
        <f t="shared" si="201"/>
        <v>816.14</v>
      </c>
    </row>
    <row r="6412" spans="1:7" ht="12.75" customHeight="1">
      <c r="A6412" s="3">
        <v>104482</v>
      </c>
      <c r="B6412" s="4" t="s">
        <v>6436</v>
      </c>
      <c r="C6412" s="3" t="s">
        <v>154</v>
      </c>
      <c r="D6412" s="5">
        <f t="shared" si="200"/>
        <v>25.1</v>
      </c>
      <c r="E6412">
        <v>27.56</v>
      </c>
      <c r="F6412" s="1789">
        <v>8.8999999999999996E-2</v>
      </c>
      <c r="G6412">
        <f t="shared" si="201"/>
        <v>25.1</v>
      </c>
    </row>
    <row r="6413" spans="1:7" ht="12.75" customHeight="1">
      <c r="A6413" s="3">
        <v>104184</v>
      </c>
      <c r="B6413" s="4" t="s">
        <v>6437</v>
      </c>
      <c r="C6413" s="3" t="s">
        <v>6</v>
      </c>
      <c r="D6413" s="5">
        <f t="shared" si="200"/>
        <v>26.53</v>
      </c>
      <c r="E6413">
        <v>29.13</v>
      </c>
      <c r="F6413" s="1789">
        <v>8.8999999999999996E-2</v>
      </c>
      <c r="G6413">
        <f t="shared" si="201"/>
        <v>26.53</v>
      </c>
    </row>
    <row r="6414" spans="1:7" ht="12.75" customHeight="1">
      <c r="A6414" s="3">
        <v>104185</v>
      </c>
      <c r="B6414" s="4" t="s">
        <v>6438</v>
      </c>
      <c r="C6414" s="3" t="s">
        <v>6</v>
      </c>
      <c r="D6414" s="5">
        <f t="shared" si="200"/>
        <v>21.23</v>
      </c>
      <c r="E6414">
        <v>23.31</v>
      </c>
      <c r="F6414" s="1789">
        <v>8.8999999999999996E-2</v>
      </c>
      <c r="G6414">
        <f t="shared" si="201"/>
        <v>21.23</v>
      </c>
    </row>
    <row r="6415" spans="1:7" ht="12.75" customHeight="1">
      <c r="A6415" s="3">
        <v>104189</v>
      </c>
      <c r="B6415" s="4" t="s">
        <v>6439</v>
      </c>
      <c r="C6415" s="3" t="s">
        <v>152</v>
      </c>
      <c r="D6415" s="5">
        <f t="shared" si="200"/>
        <v>167.02</v>
      </c>
      <c r="E6415">
        <v>183.34</v>
      </c>
      <c r="F6415" s="1789">
        <v>8.8999999999999996E-2</v>
      </c>
      <c r="G6415">
        <f t="shared" si="201"/>
        <v>167.02</v>
      </c>
    </row>
    <row r="6416" spans="1:7" ht="12.75" customHeight="1">
      <c r="A6416" s="3">
        <v>104190</v>
      </c>
      <c r="B6416" s="4" t="s">
        <v>6440</v>
      </c>
      <c r="C6416" s="3" t="s">
        <v>6</v>
      </c>
      <c r="D6416" s="5">
        <f t="shared" si="200"/>
        <v>569.67999999999995</v>
      </c>
      <c r="E6416">
        <v>625.34</v>
      </c>
      <c r="F6416" s="1789">
        <v>8.8999999999999996E-2</v>
      </c>
      <c r="G6416">
        <f t="shared" si="201"/>
        <v>569.67999999999995</v>
      </c>
    </row>
    <row r="6417" spans="1:7" ht="12.75" customHeight="1">
      <c r="A6417" s="3">
        <v>102661</v>
      </c>
      <c r="B6417" s="4" t="s">
        <v>6441</v>
      </c>
      <c r="C6417" s="3" t="s">
        <v>50</v>
      </c>
      <c r="D6417" s="5">
        <f t="shared" si="200"/>
        <v>38.159999999999997</v>
      </c>
      <c r="E6417">
        <v>41.89</v>
      </c>
      <c r="F6417" s="1789">
        <v>8.8999999999999996E-2</v>
      </c>
      <c r="G6417">
        <f t="shared" si="201"/>
        <v>38.159999999999997</v>
      </c>
    </row>
    <row r="6418" spans="1:7" ht="12.75" customHeight="1">
      <c r="A6418" s="3">
        <v>102662</v>
      </c>
      <c r="B6418" s="4" t="s">
        <v>6442</v>
      </c>
      <c r="C6418" s="3" t="s">
        <v>50</v>
      </c>
      <c r="D6418" s="5">
        <f t="shared" si="200"/>
        <v>81.63</v>
      </c>
      <c r="E6418">
        <v>89.61</v>
      </c>
      <c r="F6418" s="1789">
        <v>8.8999999999999996E-2</v>
      </c>
      <c r="G6418">
        <f t="shared" si="201"/>
        <v>81.63</v>
      </c>
    </row>
    <row r="6419" spans="1:7" ht="12.75" customHeight="1">
      <c r="A6419" s="3">
        <v>102663</v>
      </c>
      <c r="B6419" s="4" t="s">
        <v>6443</v>
      </c>
      <c r="C6419" s="3" t="s">
        <v>50</v>
      </c>
      <c r="D6419" s="5">
        <f t="shared" si="200"/>
        <v>62.97</v>
      </c>
      <c r="E6419">
        <v>69.13</v>
      </c>
      <c r="F6419" s="1789">
        <v>8.8999999999999996E-2</v>
      </c>
      <c r="G6419">
        <f t="shared" si="201"/>
        <v>62.97</v>
      </c>
    </row>
    <row r="6420" spans="1:7" ht="12.75" customHeight="1">
      <c r="A6420" s="3">
        <v>102664</v>
      </c>
      <c r="B6420" s="4" t="s">
        <v>6444</v>
      </c>
      <c r="C6420" s="3" t="s">
        <v>50</v>
      </c>
      <c r="D6420" s="5">
        <f t="shared" si="200"/>
        <v>52.81</v>
      </c>
      <c r="E6420">
        <v>57.98</v>
      </c>
      <c r="F6420" s="1789">
        <v>8.8999999999999996E-2</v>
      </c>
      <c r="G6420">
        <f t="shared" si="201"/>
        <v>52.81</v>
      </c>
    </row>
    <row r="6421" spans="1:7" ht="12.75" customHeight="1">
      <c r="A6421" s="3">
        <v>102665</v>
      </c>
      <c r="B6421" s="4" t="s">
        <v>6445</v>
      </c>
      <c r="C6421" s="3" t="s">
        <v>50</v>
      </c>
      <c r="D6421" s="5">
        <f t="shared" ref="D6421:D6484" si="202">G6421</f>
        <v>29.71</v>
      </c>
      <c r="E6421">
        <v>32.619999999999997</v>
      </c>
      <c r="F6421" s="1789">
        <v>8.8999999999999996E-2</v>
      </c>
      <c r="G6421">
        <f t="shared" ref="G6421:G6484" si="203">TRUNC((1-F6421)*E6421,2)</f>
        <v>29.71</v>
      </c>
    </row>
    <row r="6422" spans="1:7" ht="12.75" customHeight="1">
      <c r="A6422" s="3">
        <v>102666</v>
      </c>
      <c r="B6422" s="4" t="s">
        <v>6446</v>
      </c>
      <c r="C6422" s="3" t="s">
        <v>50</v>
      </c>
      <c r="D6422" s="5">
        <f t="shared" si="202"/>
        <v>63.66</v>
      </c>
      <c r="E6422">
        <v>69.88</v>
      </c>
      <c r="F6422" s="1789">
        <v>8.8999999999999996E-2</v>
      </c>
      <c r="G6422">
        <f t="shared" si="203"/>
        <v>63.66</v>
      </c>
    </row>
    <row r="6423" spans="1:7" ht="12.75" customHeight="1">
      <c r="A6423" s="3">
        <v>102668</v>
      </c>
      <c r="B6423" s="4" t="s">
        <v>6447</v>
      </c>
      <c r="C6423" s="3" t="s">
        <v>50</v>
      </c>
      <c r="D6423" s="5">
        <f t="shared" si="202"/>
        <v>107.13</v>
      </c>
      <c r="E6423">
        <v>117.6</v>
      </c>
      <c r="F6423" s="1789">
        <v>8.8999999999999996E-2</v>
      </c>
      <c r="G6423">
        <f t="shared" si="203"/>
        <v>107.13</v>
      </c>
    </row>
    <row r="6424" spans="1:7" ht="12.75" customHeight="1">
      <c r="A6424" s="3">
        <v>102669</v>
      </c>
      <c r="B6424" s="4" t="s">
        <v>6448</v>
      </c>
      <c r="C6424" s="3" t="s">
        <v>50</v>
      </c>
      <c r="D6424" s="5">
        <f t="shared" si="202"/>
        <v>88.11</v>
      </c>
      <c r="E6424">
        <v>96.72</v>
      </c>
      <c r="F6424" s="1789">
        <v>8.8999999999999996E-2</v>
      </c>
      <c r="G6424">
        <f t="shared" si="203"/>
        <v>88.11</v>
      </c>
    </row>
    <row r="6425" spans="1:7" ht="12.75" customHeight="1">
      <c r="A6425" s="3">
        <v>102670</v>
      </c>
      <c r="B6425" s="4" t="s">
        <v>6449</v>
      </c>
      <c r="C6425" s="3" t="s">
        <v>50</v>
      </c>
      <c r="D6425" s="5">
        <f t="shared" si="202"/>
        <v>116.3</v>
      </c>
      <c r="E6425">
        <v>127.67</v>
      </c>
      <c r="F6425" s="1789">
        <v>8.8999999999999996E-2</v>
      </c>
      <c r="G6425">
        <f t="shared" si="203"/>
        <v>116.3</v>
      </c>
    </row>
    <row r="6426" spans="1:7" ht="12.75" customHeight="1">
      <c r="A6426" s="3">
        <v>102672</v>
      </c>
      <c r="B6426" s="4" t="s">
        <v>6450</v>
      </c>
      <c r="C6426" s="3" t="s">
        <v>50</v>
      </c>
      <c r="D6426" s="5">
        <f t="shared" si="202"/>
        <v>171.33</v>
      </c>
      <c r="E6426">
        <v>188.07</v>
      </c>
      <c r="F6426" s="1789">
        <v>8.8999999999999996E-2</v>
      </c>
      <c r="G6426">
        <f t="shared" si="203"/>
        <v>171.33</v>
      </c>
    </row>
    <row r="6427" spans="1:7" ht="12.75" customHeight="1">
      <c r="A6427" s="3">
        <v>102673</v>
      </c>
      <c r="B6427" s="4" t="s">
        <v>6451</v>
      </c>
      <c r="C6427" s="3" t="s">
        <v>50</v>
      </c>
      <c r="D6427" s="5">
        <f t="shared" si="202"/>
        <v>163.35</v>
      </c>
      <c r="E6427">
        <v>179.31</v>
      </c>
      <c r="F6427" s="1789">
        <v>8.8999999999999996E-2</v>
      </c>
      <c r="G6427">
        <f t="shared" si="203"/>
        <v>163.35</v>
      </c>
    </row>
    <row r="6428" spans="1:7" ht="12.75" customHeight="1">
      <c r="A6428" s="3">
        <v>102674</v>
      </c>
      <c r="B6428" s="4" t="s">
        <v>6452</v>
      </c>
      <c r="C6428" s="3" t="s">
        <v>50</v>
      </c>
      <c r="D6428" s="5">
        <f t="shared" si="202"/>
        <v>129.13999999999999</v>
      </c>
      <c r="E6428">
        <v>141.76</v>
      </c>
      <c r="F6428" s="1789">
        <v>8.8999999999999996E-2</v>
      </c>
      <c r="G6428">
        <f t="shared" si="203"/>
        <v>129.13999999999999</v>
      </c>
    </row>
    <row r="6429" spans="1:7" ht="12.75" customHeight="1">
      <c r="A6429" s="3">
        <v>102676</v>
      </c>
      <c r="B6429" s="4" t="s">
        <v>6453</v>
      </c>
      <c r="C6429" s="3" t="s">
        <v>50</v>
      </c>
      <c r="D6429" s="5">
        <f t="shared" si="202"/>
        <v>175.43</v>
      </c>
      <c r="E6429">
        <v>192.57</v>
      </c>
      <c r="F6429" s="1789">
        <v>8.8999999999999996E-2</v>
      </c>
      <c r="G6429">
        <f t="shared" si="203"/>
        <v>175.43</v>
      </c>
    </row>
    <row r="6430" spans="1:7" ht="12.75" customHeight="1">
      <c r="A6430" s="3">
        <v>102677</v>
      </c>
      <c r="B6430" s="4" t="s">
        <v>6454</v>
      </c>
      <c r="C6430" s="3" t="s">
        <v>50</v>
      </c>
      <c r="D6430" s="5">
        <f t="shared" si="202"/>
        <v>158.84</v>
      </c>
      <c r="E6430">
        <v>174.36</v>
      </c>
      <c r="F6430" s="1789">
        <v>8.8999999999999996E-2</v>
      </c>
      <c r="G6430">
        <f t="shared" si="203"/>
        <v>158.84</v>
      </c>
    </row>
    <row r="6431" spans="1:7" ht="12.75" customHeight="1">
      <c r="A6431" s="3">
        <v>102678</v>
      </c>
      <c r="B6431" s="4" t="s">
        <v>6455</v>
      </c>
      <c r="C6431" s="3" t="s">
        <v>50</v>
      </c>
      <c r="D6431" s="5">
        <f t="shared" si="202"/>
        <v>157.30000000000001</v>
      </c>
      <c r="E6431">
        <v>172.67</v>
      </c>
      <c r="F6431" s="1789">
        <v>8.8999999999999996E-2</v>
      </c>
      <c r="G6431">
        <f t="shared" si="203"/>
        <v>157.30000000000001</v>
      </c>
    </row>
    <row r="6432" spans="1:7" ht="12.75" customHeight="1">
      <c r="A6432" s="3">
        <v>102679</v>
      </c>
      <c r="B6432" s="4" t="s">
        <v>6456</v>
      </c>
      <c r="C6432" s="3" t="s">
        <v>50</v>
      </c>
      <c r="D6432" s="5">
        <f t="shared" si="202"/>
        <v>175.35</v>
      </c>
      <c r="E6432">
        <v>192.49</v>
      </c>
      <c r="F6432" s="1789">
        <v>8.8999999999999996E-2</v>
      </c>
      <c r="G6432">
        <f t="shared" si="203"/>
        <v>175.35</v>
      </c>
    </row>
    <row r="6433" spans="1:7" ht="12.75" customHeight="1">
      <c r="A6433" s="3">
        <v>102680</v>
      </c>
      <c r="B6433" s="4" t="s">
        <v>6457</v>
      </c>
      <c r="C6433" s="3" t="s">
        <v>50</v>
      </c>
      <c r="D6433" s="5">
        <f t="shared" si="202"/>
        <v>169.13</v>
      </c>
      <c r="E6433">
        <v>185.66</v>
      </c>
      <c r="F6433" s="1789">
        <v>8.8999999999999996E-2</v>
      </c>
      <c r="G6433">
        <f t="shared" si="203"/>
        <v>169.13</v>
      </c>
    </row>
    <row r="6434" spans="1:7" ht="12.75" customHeight="1">
      <c r="A6434" s="3">
        <v>102681</v>
      </c>
      <c r="B6434" s="4" t="s">
        <v>6458</v>
      </c>
      <c r="C6434" s="3" t="s">
        <v>50</v>
      </c>
      <c r="D6434" s="5">
        <f t="shared" si="202"/>
        <v>215.42</v>
      </c>
      <c r="E6434">
        <v>236.47</v>
      </c>
      <c r="F6434" s="1789">
        <v>8.8999999999999996E-2</v>
      </c>
      <c r="G6434">
        <f t="shared" si="203"/>
        <v>215.42</v>
      </c>
    </row>
    <row r="6435" spans="1:7" ht="12.75" customHeight="1">
      <c r="A6435" s="3">
        <v>102683</v>
      </c>
      <c r="B6435" s="4" t="s">
        <v>6459</v>
      </c>
      <c r="C6435" s="3" t="s">
        <v>50</v>
      </c>
      <c r="D6435" s="5">
        <f t="shared" si="202"/>
        <v>203.13</v>
      </c>
      <c r="E6435">
        <v>222.98</v>
      </c>
      <c r="F6435" s="1789">
        <v>8.8999999999999996E-2</v>
      </c>
      <c r="G6435">
        <f t="shared" si="203"/>
        <v>203.13</v>
      </c>
    </row>
    <row r="6436" spans="1:7" ht="12.75" customHeight="1">
      <c r="A6436" s="3">
        <v>102684</v>
      </c>
      <c r="B6436" s="4" t="s">
        <v>6460</v>
      </c>
      <c r="C6436" s="3" t="s">
        <v>50</v>
      </c>
      <c r="D6436" s="5">
        <f t="shared" si="202"/>
        <v>187.2</v>
      </c>
      <c r="E6436">
        <v>205.49</v>
      </c>
      <c r="F6436" s="1789">
        <v>8.8999999999999996E-2</v>
      </c>
      <c r="G6436">
        <f t="shared" si="203"/>
        <v>187.2</v>
      </c>
    </row>
    <row r="6437" spans="1:7" ht="12.75" customHeight="1">
      <c r="A6437" s="3">
        <v>102685</v>
      </c>
      <c r="B6437" s="4" t="s">
        <v>6461</v>
      </c>
      <c r="C6437" s="3" t="s">
        <v>50</v>
      </c>
      <c r="D6437" s="5">
        <f t="shared" si="202"/>
        <v>233.48</v>
      </c>
      <c r="E6437">
        <v>256.29000000000002</v>
      </c>
      <c r="F6437" s="1789">
        <v>8.8999999999999996E-2</v>
      </c>
      <c r="G6437">
        <f t="shared" si="203"/>
        <v>233.48</v>
      </c>
    </row>
    <row r="6438" spans="1:7" ht="12.75" customHeight="1">
      <c r="A6438" s="3">
        <v>102687</v>
      </c>
      <c r="B6438" s="4" t="s">
        <v>6462</v>
      </c>
      <c r="C6438" s="3" t="s">
        <v>50</v>
      </c>
      <c r="D6438" s="5">
        <f t="shared" si="202"/>
        <v>216.51</v>
      </c>
      <c r="E6438">
        <v>237.67</v>
      </c>
      <c r="F6438" s="1789">
        <v>8.8999999999999996E-2</v>
      </c>
      <c r="G6438">
        <f t="shared" si="203"/>
        <v>216.51</v>
      </c>
    </row>
    <row r="6439" spans="1:7" ht="12.75" customHeight="1">
      <c r="A6439" s="3">
        <v>102688</v>
      </c>
      <c r="B6439" s="4" t="s">
        <v>6463</v>
      </c>
      <c r="C6439" s="3" t="s">
        <v>50</v>
      </c>
      <c r="D6439" s="5">
        <f t="shared" si="202"/>
        <v>43.27</v>
      </c>
      <c r="E6439">
        <v>47.5</v>
      </c>
      <c r="F6439" s="1789">
        <v>8.8999999999999996E-2</v>
      </c>
      <c r="G6439">
        <f t="shared" si="203"/>
        <v>43.27</v>
      </c>
    </row>
    <row r="6440" spans="1:7" ht="12.75" customHeight="1">
      <c r="A6440" s="3">
        <v>102689</v>
      </c>
      <c r="B6440" s="4" t="s">
        <v>6464</v>
      </c>
      <c r="C6440" s="3" t="s">
        <v>50</v>
      </c>
      <c r="D6440" s="5">
        <f t="shared" si="202"/>
        <v>84.58</v>
      </c>
      <c r="E6440">
        <v>92.85</v>
      </c>
      <c r="F6440" s="1789">
        <v>8.8999999999999996E-2</v>
      </c>
      <c r="G6440">
        <f t="shared" si="203"/>
        <v>84.58</v>
      </c>
    </row>
    <row r="6441" spans="1:7" ht="12.75" customHeight="1">
      <c r="A6441" s="3">
        <v>102690</v>
      </c>
      <c r="B6441" s="4" t="s">
        <v>6465</v>
      </c>
      <c r="C6441" s="3" t="s">
        <v>50</v>
      </c>
      <c r="D6441" s="5">
        <f t="shared" si="202"/>
        <v>68.77</v>
      </c>
      <c r="E6441">
        <v>75.489999999999995</v>
      </c>
      <c r="F6441" s="1789">
        <v>8.8999999999999996E-2</v>
      </c>
      <c r="G6441">
        <f t="shared" si="203"/>
        <v>68.77</v>
      </c>
    </row>
    <row r="6442" spans="1:7" ht="12.75" customHeight="1">
      <c r="A6442" s="3">
        <v>102693</v>
      </c>
      <c r="B6442" s="4" t="s">
        <v>6466</v>
      </c>
      <c r="C6442" s="3" t="s">
        <v>50</v>
      </c>
      <c r="D6442" s="5">
        <f t="shared" si="202"/>
        <v>110.09</v>
      </c>
      <c r="E6442">
        <v>120.85</v>
      </c>
      <c r="F6442" s="1789">
        <v>8.8999999999999996E-2</v>
      </c>
      <c r="G6442">
        <f t="shared" si="203"/>
        <v>110.09</v>
      </c>
    </row>
    <row r="6443" spans="1:7" ht="12.75" customHeight="1">
      <c r="A6443" s="3">
        <v>102694</v>
      </c>
      <c r="B6443" s="4" t="s">
        <v>6467</v>
      </c>
      <c r="C6443" s="3" t="s">
        <v>50</v>
      </c>
      <c r="D6443" s="5">
        <f t="shared" si="202"/>
        <v>83.28</v>
      </c>
      <c r="E6443">
        <v>91.42</v>
      </c>
      <c r="F6443" s="1789">
        <v>8.8999999999999996E-2</v>
      </c>
      <c r="G6443">
        <f t="shared" si="203"/>
        <v>83.28</v>
      </c>
    </row>
    <row r="6444" spans="1:7" ht="12.75" customHeight="1">
      <c r="A6444" s="3">
        <v>102696</v>
      </c>
      <c r="B6444" s="4" t="s">
        <v>6468</v>
      </c>
      <c r="C6444" s="3" t="s">
        <v>50</v>
      </c>
      <c r="D6444" s="5">
        <f t="shared" si="202"/>
        <v>124.53</v>
      </c>
      <c r="E6444">
        <v>136.69999999999999</v>
      </c>
      <c r="F6444" s="1789">
        <v>8.8999999999999996E-2</v>
      </c>
      <c r="G6444">
        <f t="shared" si="203"/>
        <v>124.53</v>
      </c>
    </row>
    <row r="6445" spans="1:7" ht="12.75" customHeight="1">
      <c r="A6445" s="3">
        <v>102697</v>
      </c>
      <c r="B6445" s="4" t="s">
        <v>6469</v>
      </c>
      <c r="C6445" s="3" t="s">
        <v>50</v>
      </c>
      <c r="D6445" s="5">
        <f t="shared" si="202"/>
        <v>121.08</v>
      </c>
      <c r="E6445">
        <v>132.91</v>
      </c>
      <c r="F6445" s="1789">
        <v>8.8999999999999996E-2</v>
      </c>
      <c r="G6445">
        <f t="shared" si="203"/>
        <v>121.08</v>
      </c>
    </row>
    <row r="6446" spans="1:7" ht="12.75" customHeight="1">
      <c r="A6446" s="3">
        <v>102703</v>
      </c>
      <c r="B6446" s="4" t="s">
        <v>6470</v>
      </c>
      <c r="C6446" s="3" t="s">
        <v>50</v>
      </c>
      <c r="D6446" s="5">
        <f t="shared" si="202"/>
        <v>162.33000000000001</v>
      </c>
      <c r="E6446">
        <v>178.19</v>
      </c>
      <c r="F6446" s="1789">
        <v>8.8999999999999996E-2</v>
      </c>
      <c r="G6446">
        <f t="shared" si="203"/>
        <v>162.33000000000001</v>
      </c>
    </row>
    <row r="6447" spans="1:7" ht="12.75" customHeight="1">
      <c r="A6447" s="3">
        <v>102704</v>
      </c>
      <c r="B6447" s="4" t="s">
        <v>6471</v>
      </c>
      <c r="C6447" s="3" t="s">
        <v>50</v>
      </c>
      <c r="D6447" s="5">
        <f t="shared" si="202"/>
        <v>11.94</v>
      </c>
      <c r="E6447">
        <v>13.11</v>
      </c>
      <c r="F6447" s="1789">
        <v>8.8999999999999996E-2</v>
      </c>
      <c r="G6447">
        <f t="shared" si="203"/>
        <v>11.94</v>
      </c>
    </row>
    <row r="6448" spans="1:7" ht="12.75" customHeight="1">
      <c r="A6448" s="3">
        <v>102705</v>
      </c>
      <c r="B6448" s="4" t="s">
        <v>6472</v>
      </c>
      <c r="C6448" s="3" t="s">
        <v>50</v>
      </c>
      <c r="D6448" s="5">
        <f t="shared" si="202"/>
        <v>52.28</v>
      </c>
      <c r="E6448">
        <v>57.39</v>
      </c>
      <c r="F6448" s="1789">
        <v>8.8999999999999996E-2</v>
      </c>
      <c r="G6448">
        <f t="shared" si="203"/>
        <v>52.28</v>
      </c>
    </row>
    <row r="6449" spans="1:7" ht="12.75" customHeight="1">
      <c r="A6449" s="3">
        <v>102707</v>
      </c>
      <c r="B6449" s="4" t="s">
        <v>6473</v>
      </c>
      <c r="C6449" s="3" t="s">
        <v>50</v>
      </c>
      <c r="D6449" s="5">
        <f t="shared" si="202"/>
        <v>40.93</v>
      </c>
      <c r="E6449">
        <v>44.93</v>
      </c>
      <c r="F6449" s="1789">
        <v>8.8999999999999996E-2</v>
      </c>
      <c r="G6449">
        <f t="shared" si="203"/>
        <v>40.93</v>
      </c>
    </row>
    <row r="6450" spans="1:7" ht="12.75" customHeight="1">
      <c r="A6450" s="3">
        <v>102708</v>
      </c>
      <c r="B6450" s="4" t="s">
        <v>6474</v>
      </c>
      <c r="C6450" s="3" t="s">
        <v>6</v>
      </c>
      <c r="D6450" s="5">
        <f t="shared" si="202"/>
        <v>20.61</v>
      </c>
      <c r="E6450">
        <v>22.63</v>
      </c>
      <c r="F6450" s="1789">
        <v>8.8999999999999996E-2</v>
      </c>
      <c r="G6450">
        <f t="shared" si="203"/>
        <v>20.61</v>
      </c>
    </row>
    <row r="6451" spans="1:7" ht="12.75" customHeight="1">
      <c r="A6451" s="3">
        <v>102710</v>
      </c>
      <c r="B6451" s="4" t="s">
        <v>6475</v>
      </c>
      <c r="C6451" s="3" t="s">
        <v>6</v>
      </c>
      <c r="D6451" s="5">
        <f t="shared" si="202"/>
        <v>50.48</v>
      </c>
      <c r="E6451">
        <v>55.42</v>
      </c>
      <c r="F6451" s="1789">
        <v>8.8999999999999996E-2</v>
      </c>
      <c r="G6451">
        <f t="shared" si="203"/>
        <v>50.48</v>
      </c>
    </row>
    <row r="6452" spans="1:7" ht="12.75" customHeight="1">
      <c r="A6452" s="3">
        <v>102711</v>
      </c>
      <c r="B6452" s="4" t="s">
        <v>6476</v>
      </c>
      <c r="C6452" s="3" t="s">
        <v>6</v>
      </c>
      <c r="D6452" s="5">
        <f t="shared" si="202"/>
        <v>65.61</v>
      </c>
      <c r="E6452">
        <v>72.03</v>
      </c>
      <c r="F6452" s="1789">
        <v>8.8999999999999996E-2</v>
      </c>
      <c r="G6452">
        <f t="shared" si="203"/>
        <v>65.61</v>
      </c>
    </row>
    <row r="6453" spans="1:7" ht="12.75" customHeight="1">
      <c r="A6453" s="3">
        <v>102712</v>
      </c>
      <c r="B6453" s="4" t="s">
        <v>6477</v>
      </c>
      <c r="C6453" s="3" t="s">
        <v>409</v>
      </c>
      <c r="D6453" s="5">
        <f t="shared" si="202"/>
        <v>8.9499999999999993</v>
      </c>
      <c r="E6453">
        <v>9.83</v>
      </c>
      <c r="F6453" s="1789">
        <v>8.8999999999999996E-2</v>
      </c>
      <c r="G6453">
        <f t="shared" si="203"/>
        <v>8.9499999999999993</v>
      </c>
    </row>
    <row r="6454" spans="1:7" ht="12.75" customHeight="1">
      <c r="A6454" s="3">
        <v>102713</v>
      </c>
      <c r="B6454" s="4" t="s">
        <v>6478</v>
      </c>
      <c r="C6454" s="3" t="s">
        <v>409</v>
      </c>
      <c r="D6454" s="5">
        <f t="shared" si="202"/>
        <v>12.33</v>
      </c>
      <c r="E6454">
        <v>13.54</v>
      </c>
      <c r="F6454" s="1789">
        <v>8.8999999999999996E-2</v>
      </c>
      <c r="G6454">
        <f t="shared" si="203"/>
        <v>12.33</v>
      </c>
    </row>
    <row r="6455" spans="1:7" ht="12.75" customHeight="1">
      <c r="A6455" s="3">
        <v>102715</v>
      </c>
      <c r="B6455" s="4" t="s">
        <v>6479</v>
      </c>
      <c r="C6455" s="3" t="s">
        <v>409</v>
      </c>
      <c r="D6455" s="5">
        <f t="shared" si="202"/>
        <v>24.45</v>
      </c>
      <c r="E6455">
        <v>26.84</v>
      </c>
      <c r="F6455" s="1789">
        <v>8.8999999999999996E-2</v>
      </c>
      <c r="G6455">
        <f t="shared" si="203"/>
        <v>24.45</v>
      </c>
    </row>
    <row r="6456" spans="1:7" ht="12.75" customHeight="1">
      <c r="A6456" s="3">
        <v>102716</v>
      </c>
      <c r="B6456" s="4" t="s">
        <v>6480</v>
      </c>
      <c r="C6456" s="3" t="s">
        <v>152</v>
      </c>
      <c r="D6456" s="5">
        <f t="shared" si="202"/>
        <v>154.9</v>
      </c>
      <c r="E6456">
        <v>170.04</v>
      </c>
      <c r="F6456" s="1789">
        <v>8.8999999999999996E-2</v>
      </c>
      <c r="G6456">
        <f t="shared" si="203"/>
        <v>154.9</v>
      </c>
    </row>
    <row r="6457" spans="1:7" ht="12.75" customHeight="1">
      <c r="A6457" s="3">
        <v>102717</v>
      </c>
      <c r="B6457" s="4" t="s">
        <v>6481</v>
      </c>
      <c r="C6457" s="3" t="s">
        <v>152</v>
      </c>
      <c r="D6457" s="5">
        <f t="shared" si="202"/>
        <v>170.71</v>
      </c>
      <c r="E6457">
        <v>187.39</v>
      </c>
      <c r="F6457" s="1789">
        <v>8.8999999999999996E-2</v>
      </c>
      <c r="G6457">
        <f t="shared" si="203"/>
        <v>170.71</v>
      </c>
    </row>
    <row r="6458" spans="1:7" ht="12.75" customHeight="1">
      <c r="A6458" s="3">
        <v>102718</v>
      </c>
      <c r="B6458" s="4" t="s">
        <v>6482</v>
      </c>
      <c r="C6458" s="3" t="s">
        <v>152</v>
      </c>
      <c r="D6458" s="5">
        <f t="shared" si="202"/>
        <v>163.77000000000001</v>
      </c>
      <c r="E6458">
        <v>179.77</v>
      </c>
      <c r="F6458" s="1789">
        <v>8.8999999999999996E-2</v>
      </c>
      <c r="G6458">
        <f t="shared" si="203"/>
        <v>163.77000000000001</v>
      </c>
    </row>
    <row r="6459" spans="1:7" ht="12.75" customHeight="1">
      <c r="A6459" s="3">
        <v>102719</v>
      </c>
      <c r="B6459" s="4" t="s">
        <v>6483</v>
      </c>
      <c r="C6459" s="3" t="s">
        <v>152</v>
      </c>
      <c r="D6459" s="5">
        <f t="shared" si="202"/>
        <v>179.57</v>
      </c>
      <c r="E6459">
        <v>197.12</v>
      </c>
      <c r="F6459" s="1789">
        <v>8.8999999999999996E-2</v>
      </c>
      <c r="G6459">
        <f t="shared" si="203"/>
        <v>179.57</v>
      </c>
    </row>
    <row r="6460" spans="1:7" ht="12.75" customHeight="1">
      <c r="A6460" s="3">
        <v>102722</v>
      </c>
      <c r="B6460" s="4" t="s">
        <v>6484</v>
      </c>
      <c r="C6460" s="3" t="s">
        <v>50</v>
      </c>
      <c r="D6460" s="5">
        <f t="shared" si="202"/>
        <v>55.25</v>
      </c>
      <c r="E6460">
        <v>60.65</v>
      </c>
      <c r="F6460" s="1789">
        <v>8.8999999999999996E-2</v>
      </c>
      <c r="G6460">
        <f t="shared" si="203"/>
        <v>55.25</v>
      </c>
    </row>
    <row r="6461" spans="1:7" ht="12.75" customHeight="1">
      <c r="A6461" s="3">
        <v>102723</v>
      </c>
      <c r="B6461" s="4" t="s">
        <v>6485</v>
      </c>
      <c r="C6461" s="3" t="s">
        <v>50</v>
      </c>
      <c r="D6461" s="5">
        <f t="shared" si="202"/>
        <v>95.59</v>
      </c>
      <c r="E6461">
        <v>104.93</v>
      </c>
      <c r="F6461" s="1789">
        <v>8.8999999999999996E-2</v>
      </c>
      <c r="G6461">
        <f t="shared" si="203"/>
        <v>95.59</v>
      </c>
    </row>
    <row r="6462" spans="1:7" ht="12.75" customHeight="1">
      <c r="A6462" s="3">
        <v>102724</v>
      </c>
      <c r="B6462" s="4" t="s">
        <v>6486</v>
      </c>
      <c r="C6462" s="3" t="s">
        <v>6</v>
      </c>
      <c r="D6462" s="5">
        <f t="shared" si="202"/>
        <v>27.81</v>
      </c>
      <c r="E6462">
        <v>30.53</v>
      </c>
      <c r="F6462" s="1789">
        <v>8.8999999999999996E-2</v>
      </c>
      <c r="G6462">
        <f t="shared" si="203"/>
        <v>27.81</v>
      </c>
    </row>
    <row r="6463" spans="1:7" ht="12.75" customHeight="1">
      <c r="A6463" s="3">
        <v>102725</v>
      </c>
      <c r="B6463" s="4" t="s">
        <v>6487</v>
      </c>
      <c r="C6463" s="3" t="s">
        <v>6</v>
      </c>
      <c r="D6463" s="5">
        <f t="shared" si="202"/>
        <v>27.27</v>
      </c>
      <c r="E6463">
        <v>29.94</v>
      </c>
      <c r="F6463" s="1789">
        <v>8.8999999999999996E-2</v>
      </c>
      <c r="G6463">
        <f t="shared" si="203"/>
        <v>27.27</v>
      </c>
    </row>
    <row r="6464" spans="1:7" ht="12.75" customHeight="1">
      <c r="A6464" s="3">
        <v>102726</v>
      </c>
      <c r="B6464" s="4" t="s">
        <v>6488</v>
      </c>
      <c r="C6464" s="3" t="s">
        <v>6</v>
      </c>
      <c r="D6464" s="5">
        <f t="shared" si="202"/>
        <v>25.63</v>
      </c>
      <c r="E6464">
        <v>28.14</v>
      </c>
      <c r="F6464" s="1789">
        <v>8.8999999999999996E-2</v>
      </c>
      <c r="G6464">
        <f t="shared" si="203"/>
        <v>25.63</v>
      </c>
    </row>
    <row r="6465" spans="1:7" ht="12.75" customHeight="1">
      <c r="A6465" s="3">
        <v>103653</v>
      </c>
      <c r="B6465" s="4" t="s">
        <v>6489</v>
      </c>
      <c r="C6465" s="3" t="s">
        <v>409</v>
      </c>
      <c r="D6465" s="5">
        <f t="shared" si="202"/>
        <v>29.21</v>
      </c>
      <c r="E6465">
        <v>32.07</v>
      </c>
      <c r="F6465" s="1789">
        <v>8.8999999999999996E-2</v>
      </c>
      <c r="G6465">
        <f t="shared" si="203"/>
        <v>29.21</v>
      </c>
    </row>
    <row r="6466" spans="1:7" ht="12.75" customHeight="1">
      <c r="A6466" s="3">
        <v>92743</v>
      </c>
      <c r="B6466" s="4" t="s">
        <v>6490</v>
      </c>
      <c r="C6466" s="3" t="s">
        <v>152</v>
      </c>
      <c r="D6466" s="5">
        <f t="shared" si="202"/>
        <v>669.24</v>
      </c>
      <c r="E6466">
        <v>734.63</v>
      </c>
      <c r="F6466" s="1789">
        <v>8.8999999999999996E-2</v>
      </c>
      <c r="G6466">
        <f t="shared" si="203"/>
        <v>669.24</v>
      </c>
    </row>
    <row r="6467" spans="1:7" ht="12.75" customHeight="1">
      <c r="A6467" s="3">
        <v>92744</v>
      </c>
      <c r="B6467" s="4" t="s">
        <v>6491</v>
      </c>
      <c r="C6467" s="3" t="s">
        <v>152</v>
      </c>
      <c r="D6467" s="5">
        <f t="shared" si="202"/>
        <v>645.79</v>
      </c>
      <c r="E6467">
        <v>708.89</v>
      </c>
      <c r="F6467" s="1789">
        <v>8.8999999999999996E-2</v>
      </c>
      <c r="G6467">
        <f t="shared" si="203"/>
        <v>645.79</v>
      </c>
    </row>
    <row r="6468" spans="1:7" ht="12.75" customHeight="1">
      <c r="A6468" s="3">
        <v>92745</v>
      </c>
      <c r="B6468" s="4" t="s">
        <v>6492</v>
      </c>
      <c r="C6468" s="3" t="s">
        <v>152</v>
      </c>
      <c r="D6468" s="5">
        <f t="shared" si="202"/>
        <v>807.19</v>
      </c>
      <c r="E6468">
        <v>886.05</v>
      </c>
      <c r="F6468" s="1789">
        <v>8.8999999999999996E-2</v>
      </c>
      <c r="G6468">
        <f t="shared" si="203"/>
        <v>807.19</v>
      </c>
    </row>
    <row r="6469" spans="1:7" ht="12.75" customHeight="1">
      <c r="A6469" s="3">
        <v>92746</v>
      </c>
      <c r="B6469" s="4" t="s">
        <v>6493</v>
      </c>
      <c r="C6469" s="3" t="s">
        <v>152</v>
      </c>
      <c r="D6469" s="5">
        <f t="shared" si="202"/>
        <v>753.95</v>
      </c>
      <c r="E6469">
        <v>827.61</v>
      </c>
      <c r="F6469" s="1789">
        <v>8.8999999999999996E-2</v>
      </c>
      <c r="G6469">
        <f t="shared" si="203"/>
        <v>753.95</v>
      </c>
    </row>
    <row r="6470" spans="1:7" ht="12.75" customHeight="1">
      <c r="A6470" s="3">
        <v>92747</v>
      </c>
      <c r="B6470" s="4" t="s">
        <v>6494</v>
      </c>
      <c r="C6470" s="3" t="s">
        <v>152</v>
      </c>
      <c r="D6470" s="5">
        <f t="shared" si="202"/>
        <v>891.95</v>
      </c>
      <c r="E6470">
        <v>979.09</v>
      </c>
      <c r="F6470" s="1789">
        <v>8.8999999999999996E-2</v>
      </c>
      <c r="G6470">
        <f t="shared" si="203"/>
        <v>891.95</v>
      </c>
    </row>
    <row r="6471" spans="1:7" ht="12.75" customHeight="1">
      <c r="A6471" s="3">
        <v>92748</v>
      </c>
      <c r="B6471" s="4" t="s">
        <v>6495</v>
      </c>
      <c r="C6471" s="3" t="s">
        <v>152</v>
      </c>
      <c r="D6471" s="5">
        <f t="shared" si="202"/>
        <v>818.78</v>
      </c>
      <c r="E6471">
        <v>898.78</v>
      </c>
      <c r="F6471" s="1789">
        <v>8.8999999999999996E-2</v>
      </c>
      <c r="G6471">
        <f t="shared" si="203"/>
        <v>818.78</v>
      </c>
    </row>
    <row r="6472" spans="1:7" ht="12.75" customHeight="1">
      <c r="A6472" s="3">
        <v>92749</v>
      </c>
      <c r="B6472" s="4" t="s">
        <v>6496</v>
      </c>
      <c r="C6472" s="3" t="s">
        <v>152</v>
      </c>
      <c r="D6472" s="5">
        <f t="shared" si="202"/>
        <v>949.83</v>
      </c>
      <c r="E6472">
        <v>1042.6300000000001</v>
      </c>
      <c r="F6472" s="1789">
        <v>8.8999999999999996E-2</v>
      </c>
      <c r="G6472">
        <f t="shared" si="203"/>
        <v>949.83</v>
      </c>
    </row>
    <row r="6473" spans="1:7" ht="12.75" customHeight="1">
      <c r="A6473" s="3">
        <v>92750</v>
      </c>
      <c r="B6473" s="4" t="s">
        <v>6497</v>
      </c>
      <c r="C6473" s="3" t="s">
        <v>152</v>
      </c>
      <c r="D6473" s="5">
        <f t="shared" si="202"/>
        <v>1574.05</v>
      </c>
      <c r="E6473">
        <v>1727.83</v>
      </c>
      <c r="F6473" s="1789">
        <v>8.8999999999999996E-2</v>
      </c>
      <c r="G6473">
        <f t="shared" si="203"/>
        <v>1574.05</v>
      </c>
    </row>
    <row r="6474" spans="1:7" ht="12.75" customHeight="1">
      <c r="A6474" s="3">
        <v>92751</v>
      </c>
      <c r="B6474" s="4" t="s">
        <v>6498</v>
      </c>
      <c r="C6474" s="3" t="s">
        <v>152</v>
      </c>
      <c r="D6474" s="5">
        <f t="shared" si="202"/>
        <v>1939.2</v>
      </c>
      <c r="E6474">
        <v>2128.66</v>
      </c>
      <c r="F6474" s="1789">
        <v>8.8999999999999996E-2</v>
      </c>
      <c r="G6474">
        <f t="shared" si="203"/>
        <v>1939.2</v>
      </c>
    </row>
    <row r="6475" spans="1:7" ht="12.75" customHeight="1">
      <c r="A6475" s="3">
        <v>92752</v>
      </c>
      <c r="B6475" s="4" t="s">
        <v>6499</v>
      </c>
      <c r="C6475" s="3" t="s">
        <v>152</v>
      </c>
      <c r="D6475" s="5">
        <f t="shared" si="202"/>
        <v>2302.3000000000002</v>
      </c>
      <c r="E6475">
        <v>2527.23</v>
      </c>
      <c r="F6475" s="1789">
        <v>8.8999999999999996E-2</v>
      </c>
      <c r="G6475">
        <f t="shared" si="203"/>
        <v>2302.3000000000002</v>
      </c>
    </row>
    <row r="6476" spans="1:7" ht="12.75" customHeight="1">
      <c r="A6476" s="3">
        <v>92753</v>
      </c>
      <c r="B6476" s="4" t="s">
        <v>6500</v>
      </c>
      <c r="C6476" s="3" t="s">
        <v>152</v>
      </c>
      <c r="D6476" s="5">
        <f t="shared" si="202"/>
        <v>597.03</v>
      </c>
      <c r="E6476">
        <v>655.36</v>
      </c>
      <c r="F6476" s="1789">
        <v>8.8999999999999996E-2</v>
      </c>
      <c r="G6476">
        <f t="shared" si="203"/>
        <v>597.03</v>
      </c>
    </row>
    <row r="6477" spans="1:7" ht="12.75" customHeight="1">
      <c r="A6477" s="3">
        <v>92754</v>
      </c>
      <c r="B6477" s="4" t="s">
        <v>6501</v>
      </c>
      <c r="C6477" s="3" t="s">
        <v>152</v>
      </c>
      <c r="D6477" s="5">
        <f t="shared" si="202"/>
        <v>579.45000000000005</v>
      </c>
      <c r="E6477">
        <v>636.07000000000005</v>
      </c>
      <c r="F6477" s="1789">
        <v>8.8999999999999996E-2</v>
      </c>
      <c r="G6477">
        <f t="shared" si="203"/>
        <v>579.45000000000005</v>
      </c>
    </row>
    <row r="6478" spans="1:7" ht="12.75" customHeight="1">
      <c r="A6478" s="3">
        <v>92755</v>
      </c>
      <c r="B6478" s="4" t="s">
        <v>6502</v>
      </c>
      <c r="C6478" s="3" t="s">
        <v>409</v>
      </c>
      <c r="D6478" s="5">
        <f t="shared" si="202"/>
        <v>238.52</v>
      </c>
      <c r="E6478">
        <v>261.83</v>
      </c>
      <c r="F6478" s="1789">
        <v>8.8999999999999996E-2</v>
      </c>
      <c r="G6478">
        <f t="shared" si="203"/>
        <v>238.52</v>
      </c>
    </row>
    <row r="6479" spans="1:7" ht="12.75" customHeight="1">
      <c r="A6479" s="3">
        <v>92756</v>
      </c>
      <c r="B6479" s="4" t="s">
        <v>6503</v>
      </c>
      <c r="C6479" s="3" t="s">
        <v>409</v>
      </c>
      <c r="D6479" s="5">
        <f t="shared" si="202"/>
        <v>274.14</v>
      </c>
      <c r="E6479">
        <v>300.93</v>
      </c>
      <c r="F6479" s="1789">
        <v>8.8999999999999996E-2</v>
      </c>
      <c r="G6479">
        <f t="shared" si="203"/>
        <v>274.14</v>
      </c>
    </row>
    <row r="6480" spans="1:7" ht="12.75" customHeight="1">
      <c r="A6480" s="3">
        <v>92757</v>
      </c>
      <c r="B6480" s="4" t="s">
        <v>6504</v>
      </c>
      <c r="C6480" s="3" t="s">
        <v>409</v>
      </c>
      <c r="D6480" s="5">
        <f t="shared" si="202"/>
        <v>316.89</v>
      </c>
      <c r="E6480">
        <v>347.85</v>
      </c>
      <c r="F6480" s="1789">
        <v>8.8999999999999996E-2</v>
      </c>
      <c r="G6480">
        <f t="shared" si="203"/>
        <v>316.89</v>
      </c>
    </row>
    <row r="6481" spans="1:7" ht="12.75" customHeight="1">
      <c r="A6481" s="3">
        <v>92758</v>
      </c>
      <c r="B6481" s="4" t="s">
        <v>6505</v>
      </c>
      <c r="C6481" s="3" t="s">
        <v>152</v>
      </c>
      <c r="D6481" s="5">
        <f t="shared" si="202"/>
        <v>716.95</v>
      </c>
      <c r="E6481">
        <v>787</v>
      </c>
      <c r="F6481" s="1789">
        <v>8.8999999999999996E-2</v>
      </c>
      <c r="G6481">
        <f t="shared" si="203"/>
        <v>716.95</v>
      </c>
    </row>
    <row r="6482" spans="1:7" ht="12.75" customHeight="1">
      <c r="A6482" s="3">
        <v>91069</v>
      </c>
      <c r="B6482" s="4" t="s">
        <v>6506</v>
      </c>
      <c r="C6482" s="3" t="s">
        <v>409</v>
      </c>
      <c r="D6482" s="5">
        <f t="shared" si="202"/>
        <v>180.74</v>
      </c>
      <c r="E6482">
        <v>198.4</v>
      </c>
      <c r="F6482" s="1789">
        <v>8.8999999999999996E-2</v>
      </c>
      <c r="G6482">
        <f t="shared" si="203"/>
        <v>180.74</v>
      </c>
    </row>
    <row r="6483" spans="1:7" ht="12.75" customHeight="1">
      <c r="A6483" s="3">
        <v>91070</v>
      </c>
      <c r="B6483" s="4" t="s">
        <v>6507</v>
      </c>
      <c r="C6483" s="3" t="s">
        <v>409</v>
      </c>
      <c r="D6483" s="5">
        <f t="shared" si="202"/>
        <v>192</v>
      </c>
      <c r="E6483">
        <v>210.76</v>
      </c>
      <c r="F6483" s="1789">
        <v>8.8999999999999996E-2</v>
      </c>
      <c r="G6483">
        <f t="shared" si="203"/>
        <v>192</v>
      </c>
    </row>
    <row r="6484" spans="1:7" ht="12.75" customHeight="1">
      <c r="A6484" s="3">
        <v>91071</v>
      </c>
      <c r="B6484" s="4" t="s">
        <v>6508</v>
      </c>
      <c r="C6484" s="3" t="s">
        <v>409</v>
      </c>
      <c r="D6484" s="5">
        <f t="shared" si="202"/>
        <v>280.81</v>
      </c>
      <c r="E6484">
        <v>308.25</v>
      </c>
      <c r="F6484" s="1789">
        <v>8.8999999999999996E-2</v>
      </c>
      <c r="G6484">
        <f t="shared" si="203"/>
        <v>280.81</v>
      </c>
    </row>
    <row r="6485" spans="1:7" ht="12.75" customHeight="1">
      <c r="A6485" s="3">
        <v>91072</v>
      </c>
      <c r="B6485" s="4" t="s">
        <v>6509</v>
      </c>
      <c r="C6485" s="3" t="s">
        <v>409</v>
      </c>
      <c r="D6485" s="5">
        <f t="shared" ref="D6485:D6548" si="204">G6485</f>
        <v>290.13</v>
      </c>
      <c r="E6485">
        <v>318.48</v>
      </c>
      <c r="F6485" s="1789">
        <v>8.8999999999999996E-2</v>
      </c>
      <c r="G6485">
        <f t="shared" ref="G6485:G6548" si="205">TRUNC((1-F6485)*E6485,2)</f>
        <v>290.13</v>
      </c>
    </row>
    <row r="6486" spans="1:7" ht="12.75" customHeight="1">
      <c r="A6486" s="3">
        <v>91073</v>
      </c>
      <c r="B6486" s="4" t="s">
        <v>6510</v>
      </c>
      <c r="C6486" s="3" t="s">
        <v>409</v>
      </c>
      <c r="D6486" s="5">
        <f t="shared" si="204"/>
        <v>231.23</v>
      </c>
      <c r="E6486">
        <v>253.83</v>
      </c>
      <c r="F6486" s="1789">
        <v>8.8999999999999996E-2</v>
      </c>
      <c r="G6486">
        <f t="shared" si="205"/>
        <v>231.23</v>
      </c>
    </row>
    <row r="6487" spans="1:7" ht="12.75" customHeight="1">
      <c r="A6487" s="3">
        <v>91074</v>
      </c>
      <c r="B6487" s="4" t="s">
        <v>6511</v>
      </c>
      <c r="C6487" s="3" t="s">
        <v>409</v>
      </c>
      <c r="D6487" s="5">
        <f t="shared" si="204"/>
        <v>221.81</v>
      </c>
      <c r="E6487">
        <v>243.48</v>
      </c>
      <c r="F6487" s="1789">
        <v>8.8999999999999996E-2</v>
      </c>
      <c r="G6487">
        <f t="shared" si="205"/>
        <v>221.81</v>
      </c>
    </row>
    <row r="6488" spans="1:7" ht="12.75" customHeight="1">
      <c r="A6488" s="3">
        <v>91075</v>
      </c>
      <c r="B6488" s="4" t="s">
        <v>6512</v>
      </c>
      <c r="C6488" s="3" t="s">
        <v>409</v>
      </c>
      <c r="D6488" s="5">
        <f t="shared" si="204"/>
        <v>355.56</v>
      </c>
      <c r="E6488">
        <v>390.3</v>
      </c>
      <c r="F6488" s="1789">
        <v>8.8999999999999996E-2</v>
      </c>
      <c r="G6488">
        <f t="shared" si="205"/>
        <v>355.56</v>
      </c>
    </row>
    <row r="6489" spans="1:7" ht="12.75" customHeight="1">
      <c r="A6489" s="3">
        <v>91076</v>
      </c>
      <c r="B6489" s="4" t="s">
        <v>6513</v>
      </c>
      <c r="C6489" s="3" t="s">
        <v>409</v>
      </c>
      <c r="D6489" s="5">
        <f t="shared" si="204"/>
        <v>328.84</v>
      </c>
      <c r="E6489">
        <v>360.97</v>
      </c>
      <c r="F6489" s="1789">
        <v>8.8999999999999996E-2</v>
      </c>
      <c r="G6489">
        <f t="shared" si="205"/>
        <v>328.84</v>
      </c>
    </row>
    <row r="6490" spans="1:7" ht="12.75" customHeight="1">
      <c r="A6490" s="3">
        <v>91077</v>
      </c>
      <c r="B6490" s="4" t="s">
        <v>6514</v>
      </c>
      <c r="C6490" s="3" t="s">
        <v>409</v>
      </c>
      <c r="D6490" s="5">
        <f t="shared" si="204"/>
        <v>167.77</v>
      </c>
      <c r="E6490">
        <v>184.17</v>
      </c>
      <c r="F6490" s="1789">
        <v>8.8999999999999996E-2</v>
      </c>
      <c r="G6490">
        <f t="shared" si="205"/>
        <v>167.77</v>
      </c>
    </row>
    <row r="6491" spans="1:7" ht="12.75" customHeight="1">
      <c r="A6491" s="3">
        <v>91078</v>
      </c>
      <c r="B6491" s="4" t="s">
        <v>6515</v>
      </c>
      <c r="C6491" s="3" t="s">
        <v>409</v>
      </c>
      <c r="D6491" s="5">
        <f t="shared" si="204"/>
        <v>184.34</v>
      </c>
      <c r="E6491">
        <v>202.35</v>
      </c>
      <c r="F6491" s="1789">
        <v>8.8999999999999996E-2</v>
      </c>
      <c r="G6491">
        <f t="shared" si="205"/>
        <v>184.34</v>
      </c>
    </row>
    <row r="6492" spans="1:7" ht="12.75" customHeight="1">
      <c r="A6492" s="3">
        <v>91079</v>
      </c>
      <c r="B6492" s="4" t="s">
        <v>6516</v>
      </c>
      <c r="C6492" s="3" t="s">
        <v>409</v>
      </c>
      <c r="D6492" s="5">
        <f t="shared" si="204"/>
        <v>181.27</v>
      </c>
      <c r="E6492">
        <v>198.98</v>
      </c>
      <c r="F6492" s="1789">
        <v>8.8999999999999996E-2</v>
      </c>
      <c r="G6492">
        <f t="shared" si="205"/>
        <v>181.27</v>
      </c>
    </row>
    <row r="6493" spans="1:7" ht="12.75" customHeight="1">
      <c r="A6493" s="3">
        <v>91080</v>
      </c>
      <c r="B6493" s="4" t="s">
        <v>6517</v>
      </c>
      <c r="C6493" s="3" t="s">
        <v>409</v>
      </c>
      <c r="D6493" s="5">
        <f t="shared" si="204"/>
        <v>194.63</v>
      </c>
      <c r="E6493">
        <v>213.65</v>
      </c>
      <c r="F6493" s="1789">
        <v>8.8999999999999996E-2</v>
      </c>
      <c r="G6493">
        <f t="shared" si="205"/>
        <v>194.63</v>
      </c>
    </row>
    <row r="6494" spans="1:7" ht="12.75" customHeight="1">
      <c r="A6494" s="3">
        <v>91081</v>
      </c>
      <c r="B6494" s="4" t="s">
        <v>6518</v>
      </c>
      <c r="C6494" s="3" t="s">
        <v>409</v>
      </c>
      <c r="D6494" s="5">
        <f t="shared" si="204"/>
        <v>239.41</v>
      </c>
      <c r="E6494">
        <v>262.81</v>
      </c>
      <c r="F6494" s="1789">
        <v>8.8999999999999996E-2</v>
      </c>
      <c r="G6494">
        <f t="shared" si="205"/>
        <v>239.41</v>
      </c>
    </row>
    <row r="6495" spans="1:7" ht="12.75" customHeight="1">
      <c r="A6495" s="3">
        <v>91082</v>
      </c>
      <c r="B6495" s="4" t="s">
        <v>6519</v>
      </c>
      <c r="C6495" s="3" t="s">
        <v>409</v>
      </c>
      <c r="D6495" s="5">
        <f t="shared" si="204"/>
        <v>221.15</v>
      </c>
      <c r="E6495">
        <v>242.76</v>
      </c>
      <c r="F6495" s="1789">
        <v>8.8999999999999996E-2</v>
      </c>
      <c r="G6495">
        <f t="shared" si="205"/>
        <v>221.15</v>
      </c>
    </row>
    <row r="6496" spans="1:7" ht="12.75" customHeight="1">
      <c r="A6496" s="3">
        <v>91083</v>
      </c>
      <c r="B6496" s="4" t="s">
        <v>6520</v>
      </c>
      <c r="C6496" s="3" t="s">
        <v>409</v>
      </c>
      <c r="D6496" s="5">
        <f t="shared" si="204"/>
        <v>296.20999999999998</v>
      </c>
      <c r="E6496">
        <v>325.14999999999998</v>
      </c>
      <c r="F6496" s="1789">
        <v>8.8999999999999996E-2</v>
      </c>
      <c r="G6496">
        <f t="shared" si="205"/>
        <v>296.20999999999998</v>
      </c>
    </row>
    <row r="6497" spans="1:7" ht="12.75" customHeight="1">
      <c r="A6497" s="3">
        <v>91084</v>
      </c>
      <c r="B6497" s="4" t="s">
        <v>6521</v>
      </c>
      <c r="C6497" s="3" t="s">
        <v>409</v>
      </c>
      <c r="D6497" s="5">
        <f t="shared" si="204"/>
        <v>243.58</v>
      </c>
      <c r="E6497">
        <v>267.38</v>
      </c>
      <c r="F6497" s="1789">
        <v>8.8999999999999996E-2</v>
      </c>
      <c r="G6497">
        <f t="shared" si="205"/>
        <v>243.58</v>
      </c>
    </row>
    <row r="6498" spans="1:7" ht="12.75" customHeight="1">
      <c r="A6498" s="3">
        <v>91086</v>
      </c>
      <c r="B6498" s="4" t="s">
        <v>6522</v>
      </c>
      <c r="C6498" s="3" t="s">
        <v>409</v>
      </c>
      <c r="D6498" s="5">
        <f t="shared" si="204"/>
        <v>197.08</v>
      </c>
      <c r="E6498">
        <v>216.34</v>
      </c>
      <c r="F6498" s="1789">
        <v>8.8999999999999996E-2</v>
      </c>
      <c r="G6498">
        <f t="shared" si="205"/>
        <v>197.08</v>
      </c>
    </row>
    <row r="6499" spans="1:7" ht="12.75" customHeight="1">
      <c r="A6499" s="3">
        <v>91087</v>
      </c>
      <c r="B6499" s="4" t="s">
        <v>6523</v>
      </c>
      <c r="C6499" s="3" t="s">
        <v>409</v>
      </c>
      <c r="D6499" s="5">
        <f t="shared" si="204"/>
        <v>209.69</v>
      </c>
      <c r="E6499">
        <v>230.18</v>
      </c>
      <c r="F6499" s="1789">
        <v>8.8999999999999996E-2</v>
      </c>
      <c r="G6499">
        <f t="shared" si="205"/>
        <v>209.69</v>
      </c>
    </row>
    <row r="6500" spans="1:7" ht="12.75" customHeight="1">
      <c r="A6500" s="3">
        <v>91088</v>
      </c>
      <c r="B6500" s="4" t="s">
        <v>6524</v>
      </c>
      <c r="C6500" s="3" t="s">
        <v>409</v>
      </c>
      <c r="D6500" s="5">
        <f t="shared" si="204"/>
        <v>297.39</v>
      </c>
      <c r="E6500">
        <v>326.45</v>
      </c>
      <c r="F6500" s="1789">
        <v>8.8999999999999996E-2</v>
      </c>
      <c r="G6500">
        <f t="shared" si="205"/>
        <v>297.39</v>
      </c>
    </row>
    <row r="6501" spans="1:7" ht="12.75" customHeight="1">
      <c r="A6501" s="3">
        <v>91089</v>
      </c>
      <c r="B6501" s="4" t="s">
        <v>6525</v>
      </c>
      <c r="C6501" s="3" t="s">
        <v>409</v>
      </c>
      <c r="D6501" s="5">
        <f t="shared" si="204"/>
        <v>308.77</v>
      </c>
      <c r="E6501">
        <v>338.94</v>
      </c>
      <c r="F6501" s="1789">
        <v>8.8999999999999996E-2</v>
      </c>
      <c r="G6501">
        <f t="shared" si="205"/>
        <v>308.77</v>
      </c>
    </row>
    <row r="6502" spans="1:7" ht="12.75" customHeight="1">
      <c r="A6502" s="3">
        <v>91090</v>
      </c>
      <c r="B6502" s="4" t="s">
        <v>6526</v>
      </c>
      <c r="C6502" s="3" t="s">
        <v>409</v>
      </c>
      <c r="D6502" s="5">
        <f t="shared" si="204"/>
        <v>235.2</v>
      </c>
      <c r="E6502">
        <v>258.18</v>
      </c>
      <c r="F6502" s="1789">
        <v>8.8999999999999996E-2</v>
      </c>
      <c r="G6502">
        <f t="shared" si="205"/>
        <v>235.2</v>
      </c>
    </row>
    <row r="6503" spans="1:7" ht="12.75" customHeight="1">
      <c r="A6503" s="3">
        <v>91091</v>
      </c>
      <c r="B6503" s="4" t="s">
        <v>6527</v>
      </c>
      <c r="C6503" s="3" t="s">
        <v>409</v>
      </c>
      <c r="D6503" s="5">
        <f t="shared" si="204"/>
        <v>234.58</v>
      </c>
      <c r="E6503">
        <v>257.5</v>
      </c>
      <c r="F6503" s="1789">
        <v>8.8999999999999996E-2</v>
      </c>
      <c r="G6503">
        <f t="shared" si="205"/>
        <v>234.58</v>
      </c>
    </row>
    <row r="6504" spans="1:7" ht="12.75" customHeight="1">
      <c r="A6504" s="3">
        <v>91092</v>
      </c>
      <c r="B6504" s="4" t="s">
        <v>6528</v>
      </c>
      <c r="C6504" s="3" t="s">
        <v>409</v>
      </c>
      <c r="D6504" s="5">
        <f t="shared" si="204"/>
        <v>351</v>
      </c>
      <c r="E6504">
        <v>385.3</v>
      </c>
      <c r="F6504" s="1789">
        <v>8.8999999999999996E-2</v>
      </c>
      <c r="G6504">
        <f t="shared" si="205"/>
        <v>351</v>
      </c>
    </row>
    <row r="6505" spans="1:7" ht="12.75" customHeight="1">
      <c r="A6505" s="3">
        <v>91093</v>
      </c>
      <c r="B6505" s="4" t="s">
        <v>6529</v>
      </c>
      <c r="C6505" s="3" t="s">
        <v>409</v>
      </c>
      <c r="D6505" s="5">
        <f t="shared" si="204"/>
        <v>340.44</v>
      </c>
      <c r="E6505">
        <v>373.7</v>
      </c>
      <c r="F6505" s="1789">
        <v>8.8999999999999996E-2</v>
      </c>
      <c r="G6505">
        <f t="shared" si="205"/>
        <v>340.44</v>
      </c>
    </row>
    <row r="6506" spans="1:7" ht="12.75" customHeight="1">
      <c r="A6506" s="3">
        <v>91094</v>
      </c>
      <c r="B6506" s="4" t="s">
        <v>6530</v>
      </c>
      <c r="C6506" s="3" t="s">
        <v>409</v>
      </c>
      <c r="D6506" s="5">
        <f t="shared" si="204"/>
        <v>160.83000000000001</v>
      </c>
      <c r="E6506">
        <v>176.55</v>
      </c>
      <c r="F6506" s="1789">
        <v>8.8999999999999996E-2</v>
      </c>
      <c r="G6506">
        <f t="shared" si="205"/>
        <v>160.83000000000001</v>
      </c>
    </row>
    <row r="6507" spans="1:7" ht="12.75" customHeight="1">
      <c r="A6507" s="3">
        <v>91095</v>
      </c>
      <c r="B6507" s="4" t="s">
        <v>6531</v>
      </c>
      <c r="C6507" s="3" t="s">
        <v>409</v>
      </c>
      <c r="D6507" s="5">
        <f t="shared" si="204"/>
        <v>179.39</v>
      </c>
      <c r="E6507">
        <v>196.92</v>
      </c>
      <c r="F6507" s="1789">
        <v>8.8999999999999996E-2</v>
      </c>
      <c r="G6507">
        <f t="shared" si="205"/>
        <v>179.39</v>
      </c>
    </row>
    <row r="6508" spans="1:7" ht="12.75" customHeight="1">
      <c r="A6508" s="3">
        <v>91096</v>
      </c>
      <c r="B6508" s="4" t="s">
        <v>6532</v>
      </c>
      <c r="C6508" s="3" t="s">
        <v>409</v>
      </c>
      <c r="D6508" s="5">
        <f t="shared" si="204"/>
        <v>171.88</v>
      </c>
      <c r="E6508">
        <v>188.68</v>
      </c>
      <c r="F6508" s="1789">
        <v>8.8999999999999996E-2</v>
      </c>
      <c r="G6508">
        <f t="shared" si="205"/>
        <v>171.88</v>
      </c>
    </row>
    <row r="6509" spans="1:7" ht="12.75" customHeight="1">
      <c r="A6509" s="3">
        <v>91097</v>
      </c>
      <c r="B6509" s="4" t="s">
        <v>6533</v>
      </c>
      <c r="C6509" s="3" t="s">
        <v>409</v>
      </c>
      <c r="D6509" s="5">
        <f t="shared" si="204"/>
        <v>188.43</v>
      </c>
      <c r="E6509">
        <v>206.84</v>
      </c>
      <c r="F6509" s="1789">
        <v>8.8999999999999996E-2</v>
      </c>
      <c r="G6509">
        <f t="shared" si="205"/>
        <v>188.43</v>
      </c>
    </row>
    <row r="6510" spans="1:7" ht="12.75" customHeight="1">
      <c r="A6510" s="3">
        <v>91098</v>
      </c>
      <c r="B6510" s="4" t="s">
        <v>6534</v>
      </c>
      <c r="C6510" s="3" t="s">
        <v>409</v>
      </c>
      <c r="D6510" s="5">
        <f t="shared" si="204"/>
        <v>212.08</v>
      </c>
      <c r="E6510">
        <v>232.8</v>
      </c>
      <c r="F6510" s="1789">
        <v>8.8999999999999996E-2</v>
      </c>
      <c r="G6510">
        <f t="shared" si="205"/>
        <v>212.08</v>
      </c>
    </row>
    <row r="6511" spans="1:7" ht="12.75" customHeight="1">
      <c r="A6511" s="3">
        <v>91099</v>
      </c>
      <c r="B6511" s="4" t="s">
        <v>6535</v>
      </c>
      <c r="C6511" s="3" t="s">
        <v>409</v>
      </c>
      <c r="D6511" s="5">
        <f t="shared" si="204"/>
        <v>209.46</v>
      </c>
      <c r="E6511">
        <v>229.93</v>
      </c>
      <c r="F6511" s="1789">
        <v>8.8999999999999996E-2</v>
      </c>
      <c r="G6511">
        <f t="shared" si="205"/>
        <v>209.46</v>
      </c>
    </row>
    <row r="6512" spans="1:7" ht="12.75" customHeight="1">
      <c r="A6512" s="3">
        <v>91100</v>
      </c>
      <c r="B6512" s="4" t="s">
        <v>6536</v>
      </c>
      <c r="C6512" s="3" t="s">
        <v>409</v>
      </c>
      <c r="D6512" s="5">
        <f t="shared" si="204"/>
        <v>247.92</v>
      </c>
      <c r="E6512">
        <v>272.14999999999998</v>
      </c>
      <c r="F6512" s="1789">
        <v>8.8999999999999996E-2</v>
      </c>
      <c r="G6512">
        <f t="shared" si="205"/>
        <v>247.92</v>
      </c>
    </row>
    <row r="6513" spans="1:7" ht="12.75" customHeight="1">
      <c r="A6513" s="3">
        <v>91101</v>
      </c>
      <c r="B6513" s="4" t="s">
        <v>6537</v>
      </c>
      <c r="C6513" s="3" t="s">
        <v>409</v>
      </c>
      <c r="D6513" s="5">
        <f t="shared" si="204"/>
        <v>227.11</v>
      </c>
      <c r="E6513">
        <v>249.3</v>
      </c>
      <c r="F6513" s="1789">
        <v>8.8999999999999996E-2</v>
      </c>
      <c r="G6513">
        <f t="shared" si="205"/>
        <v>227.11</v>
      </c>
    </row>
    <row r="6514" spans="1:7" ht="12.75" customHeight="1">
      <c r="A6514" s="3">
        <v>93957</v>
      </c>
      <c r="B6514" s="4" t="s">
        <v>6538</v>
      </c>
      <c r="C6514" s="3" t="s">
        <v>50</v>
      </c>
      <c r="D6514" s="5">
        <f t="shared" si="204"/>
        <v>297.27</v>
      </c>
      <c r="E6514">
        <v>326.32</v>
      </c>
      <c r="F6514" s="1789">
        <v>8.8999999999999996E-2</v>
      </c>
      <c r="G6514">
        <f t="shared" si="205"/>
        <v>297.27</v>
      </c>
    </row>
    <row r="6515" spans="1:7" ht="12.75" customHeight="1">
      <c r="A6515" s="3">
        <v>93959</v>
      </c>
      <c r="B6515" s="4" t="s">
        <v>6539</v>
      </c>
      <c r="C6515" s="3" t="s">
        <v>50</v>
      </c>
      <c r="D6515" s="5">
        <f t="shared" si="204"/>
        <v>241.11</v>
      </c>
      <c r="E6515">
        <v>264.67</v>
      </c>
      <c r="F6515" s="1789">
        <v>8.8999999999999996E-2</v>
      </c>
      <c r="G6515">
        <f t="shared" si="205"/>
        <v>241.11</v>
      </c>
    </row>
    <row r="6516" spans="1:7" ht="12.75" customHeight="1">
      <c r="A6516" s="3">
        <v>93961</v>
      </c>
      <c r="B6516" s="4" t="s">
        <v>6540</v>
      </c>
      <c r="C6516" s="3" t="s">
        <v>50</v>
      </c>
      <c r="D6516" s="5">
        <f t="shared" si="204"/>
        <v>217.37</v>
      </c>
      <c r="E6516">
        <v>238.61</v>
      </c>
      <c r="F6516" s="1789">
        <v>8.8999999999999996E-2</v>
      </c>
      <c r="G6516">
        <f t="shared" si="205"/>
        <v>217.37</v>
      </c>
    </row>
    <row r="6517" spans="1:7" ht="12.75" customHeight="1">
      <c r="A6517" s="3">
        <v>93967</v>
      </c>
      <c r="B6517" s="4" t="s">
        <v>6541</v>
      </c>
      <c r="C6517" s="3" t="s">
        <v>50</v>
      </c>
      <c r="D6517" s="5">
        <f t="shared" si="204"/>
        <v>248.24</v>
      </c>
      <c r="E6517">
        <v>272.5</v>
      </c>
      <c r="F6517" s="1789">
        <v>8.8999999999999996E-2</v>
      </c>
      <c r="G6517">
        <f t="shared" si="205"/>
        <v>248.24</v>
      </c>
    </row>
    <row r="6518" spans="1:7" ht="12.75" customHeight="1">
      <c r="A6518" s="3">
        <v>93969</v>
      </c>
      <c r="B6518" s="4" t="s">
        <v>6542</v>
      </c>
      <c r="C6518" s="3" t="s">
        <v>50</v>
      </c>
      <c r="D6518" s="5">
        <f t="shared" si="204"/>
        <v>201.64</v>
      </c>
      <c r="E6518">
        <v>221.34</v>
      </c>
      <c r="F6518" s="1789">
        <v>8.8999999999999996E-2</v>
      </c>
      <c r="G6518">
        <f t="shared" si="205"/>
        <v>201.64</v>
      </c>
    </row>
    <row r="6519" spans="1:7" ht="12.75" customHeight="1">
      <c r="A6519" s="3">
        <v>93971</v>
      </c>
      <c r="B6519" s="4" t="s">
        <v>6543</v>
      </c>
      <c r="C6519" s="3" t="s">
        <v>50</v>
      </c>
      <c r="D6519" s="5">
        <f t="shared" si="204"/>
        <v>182.6</v>
      </c>
      <c r="E6519">
        <v>200.44</v>
      </c>
      <c r="F6519" s="1789">
        <v>8.8999999999999996E-2</v>
      </c>
      <c r="G6519">
        <f t="shared" si="205"/>
        <v>182.6</v>
      </c>
    </row>
    <row r="6520" spans="1:7" ht="12.75" customHeight="1">
      <c r="A6520" s="3">
        <v>95108</v>
      </c>
      <c r="B6520" s="4" t="s">
        <v>6544</v>
      </c>
      <c r="C6520" s="3" t="s">
        <v>6</v>
      </c>
      <c r="D6520" s="5">
        <f t="shared" si="204"/>
        <v>33.89</v>
      </c>
      <c r="E6520">
        <v>37.21</v>
      </c>
      <c r="F6520" s="1789">
        <v>8.8999999999999996E-2</v>
      </c>
      <c r="G6520">
        <f t="shared" si="205"/>
        <v>33.89</v>
      </c>
    </row>
    <row r="6521" spans="1:7" ht="12.75" customHeight="1">
      <c r="A6521" s="3">
        <v>100332</v>
      </c>
      <c r="B6521" s="4" t="s">
        <v>6545</v>
      </c>
      <c r="C6521" s="3" t="s">
        <v>409</v>
      </c>
      <c r="D6521" s="5">
        <f t="shared" si="204"/>
        <v>785.79</v>
      </c>
      <c r="E6521">
        <v>862.56</v>
      </c>
      <c r="F6521" s="1789">
        <v>8.8999999999999996E-2</v>
      </c>
      <c r="G6521">
        <f t="shared" si="205"/>
        <v>785.79</v>
      </c>
    </row>
    <row r="6522" spans="1:7" ht="12.75" customHeight="1">
      <c r="A6522" s="3">
        <v>100333</v>
      </c>
      <c r="B6522" s="4" t="s">
        <v>6546</v>
      </c>
      <c r="C6522" s="3" t="s">
        <v>409</v>
      </c>
      <c r="D6522" s="5">
        <f t="shared" si="204"/>
        <v>500.57</v>
      </c>
      <c r="E6522">
        <v>549.48</v>
      </c>
      <c r="F6522" s="1789">
        <v>8.8999999999999996E-2</v>
      </c>
      <c r="G6522">
        <f t="shared" si="205"/>
        <v>500.57</v>
      </c>
    </row>
    <row r="6523" spans="1:7" ht="12.75" customHeight="1">
      <c r="A6523" s="3">
        <v>100334</v>
      </c>
      <c r="B6523" s="4" t="s">
        <v>6547</v>
      </c>
      <c r="C6523" s="3" t="s">
        <v>409</v>
      </c>
      <c r="D6523" s="5">
        <f t="shared" si="204"/>
        <v>631.04</v>
      </c>
      <c r="E6523">
        <v>692.69</v>
      </c>
      <c r="F6523" s="1789">
        <v>8.8999999999999996E-2</v>
      </c>
      <c r="G6523">
        <f t="shared" si="205"/>
        <v>631.04</v>
      </c>
    </row>
    <row r="6524" spans="1:7" ht="12.75" customHeight="1">
      <c r="A6524" s="3">
        <v>100335</v>
      </c>
      <c r="B6524" s="4" t="s">
        <v>6548</v>
      </c>
      <c r="C6524" s="3" t="s">
        <v>409</v>
      </c>
      <c r="D6524" s="5">
        <f t="shared" si="204"/>
        <v>417.11</v>
      </c>
      <c r="E6524">
        <v>457.87</v>
      </c>
      <c r="F6524" s="1789">
        <v>8.8999999999999996E-2</v>
      </c>
      <c r="G6524">
        <f t="shared" si="205"/>
        <v>417.11</v>
      </c>
    </row>
    <row r="6525" spans="1:7" ht="12.75" customHeight="1">
      <c r="A6525" s="3">
        <v>100341</v>
      </c>
      <c r="B6525" s="4" t="s">
        <v>6549</v>
      </c>
      <c r="C6525" s="3" t="s">
        <v>409</v>
      </c>
      <c r="D6525" s="5">
        <f t="shared" si="204"/>
        <v>41.66</v>
      </c>
      <c r="E6525">
        <v>45.73</v>
      </c>
      <c r="F6525" s="1789">
        <v>8.8999999999999996E-2</v>
      </c>
      <c r="G6525">
        <f t="shared" si="205"/>
        <v>41.66</v>
      </c>
    </row>
    <row r="6526" spans="1:7" ht="12.75" customHeight="1">
      <c r="A6526" s="3">
        <v>100342</v>
      </c>
      <c r="B6526" s="4" t="s">
        <v>6550</v>
      </c>
      <c r="C6526" s="3" t="s">
        <v>54</v>
      </c>
      <c r="D6526" s="5">
        <f t="shared" si="204"/>
        <v>13.9</v>
      </c>
      <c r="E6526">
        <v>15.26</v>
      </c>
      <c r="F6526" s="1789">
        <v>8.8999999999999996E-2</v>
      </c>
      <c r="G6526">
        <f t="shared" si="205"/>
        <v>13.9</v>
      </c>
    </row>
    <row r="6527" spans="1:7" ht="12.75" customHeight="1">
      <c r="A6527" s="3">
        <v>100343</v>
      </c>
      <c r="B6527" s="4" t="s">
        <v>6551</v>
      </c>
      <c r="C6527" s="3" t="s">
        <v>54</v>
      </c>
      <c r="D6527" s="5">
        <f t="shared" si="204"/>
        <v>13.18</v>
      </c>
      <c r="E6527">
        <v>14.47</v>
      </c>
      <c r="F6527" s="1789">
        <v>8.8999999999999996E-2</v>
      </c>
      <c r="G6527">
        <f t="shared" si="205"/>
        <v>13.18</v>
      </c>
    </row>
    <row r="6528" spans="1:7" ht="12.75" customHeight="1">
      <c r="A6528" s="3">
        <v>100344</v>
      </c>
      <c r="B6528" s="4" t="s">
        <v>6552</v>
      </c>
      <c r="C6528" s="3" t="s">
        <v>54</v>
      </c>
      <c r="D6528" s="5">
        <f t="shared" si="204"/>
        <v>11.83</v>
      </c>
      <c r="E6528">
        <v>12.99</v>
      </c>
      <c r="F6528" s="1789">
        <v>8.8999999999999996E-2</v>
      </c>
      <c r="G6528">
        <f t="shared" si="205"/>
        <v>11.83</v>
      </c>
    </row>
    <row r="6529" spans="1:7" ht="12.75" customHeight="1">
      <c r="A6529" s="3">
        <v>100345</v>
      </c>
      <c r="B6529" s="4" t="s">
        <v>6553</v>
      </c>
      <c r="C6529" s="3" t="s">
        <v>54</v>
      </c>
      <c r="D6529" s="5">
        <f t="shared" si="204"/>
        <v>10.029999999999999</v>
      </c>
      <c r="E6529">
        <v>11.02</v>
      </c>
      <c r="F6529" s="1789">
        <v>8.8999999999999996E-2</v>
      </c>
      <c r="G6529">
        <f t="shared" si="205"/>
        <v>10.029999999999999</v>
      </c>
    </row>
    <row r="6530" spans="1:7" ht="12.75" customHeight="1">
      <c r="A6530" s="3">
        <v>100346</v>
      </c>
      <c r="B6530" s="4" t="s">
        <v>6554</v>
      </c>
      <c r="C6530" s="3" t="s">
        <v>54</v>
      </c>
      <c r="D6530" s="5">
        <f t="shared" si="204"/>
        <v>9.5500000000000007</v>
      </c>
      <c r="E6530">
        <v>10.49</v>
      </c>
      <c r="F6530" s="1789">
        <v>8.8999999999999996E-2</v>
      </c>
      <c r="G6530">
        <f t="shared" si="205"/>
        <v>9.5500000000000007</v>
      </c>
    </row>
    <row r="6531" spans="1:7" ht="12.75" customHeight="1">
      <c r="A6531" s="3">
        <v>100347</v>
      </c>
      <c r="B6531" s="4" t="s">
        <v>6555</v>
      </c>
      <c r="C6531" s="3" t="s">
        <v>54</v>
      </c>
      <c r="D6531" s="5">
        <f t="shared" si="204"/>
        <v>10.74</v>
      </c>
      <c r="E6531">
        <v>11.79</v>
      </c>
      <c r="F6531" s="1789">
        <v>8.8999999999999996E-2</v>
      </c>
      <c r="G6531">
        <f t="shared" si="205"/>
        <v>10.74</v>
      </c>
    </row>
    <row r="6532" spans="1:7" ht="12.75" customHeight="1">
      <c r="A6532" s="3">
        <v>100348</v>
      </c>
      <c r="B6532" s="4" t="s">
        <v>6556</v>
      </c>
      <c r="C6532" s="3" t="s">
        <v>54</v>
      </c>
      <c r="D6532" s="5">
        <f t="shared" si="204"/>
        <v>10.51</v>
      </c>
      <c r="E6532">
        <v>11.54</v>
      </c>
      <c r="F6532" s="1789">
        <v>8.8999999999999996E-2</v>
      </c>
      <c r="G6532">
        <f t="shared" si="205"/>
        <v>10.51</v>
      </c>
    </row>
    <row r="6533" spans="1:7" ht="12.75" customHeight="1">
      <c r="A6533" s="3">
        <v>100349</v>
      </c>
      <c r="B6533" s="4" t="s">
        <v>6557</v>
      </c>
      <c r="C6533" s="3" t="s">
        <v>152</v>
      </c>
      <c r="D6533" s="5">
        <f t="shared" si="204"/>
        <v>804.24</v>
      </c>
      <c r="E6533">
        <v>882.82</v>
      </c>
      <c r="F6533" s="1789">
        <v>8.8999999999999996E-2</v>
      </c>
      <c r="G6533">
        <f t="shared" si="205"/>
        <v>804.24</v>
      </c>
    </row>
    <row r="6534" spans="1:7" ht="12.75" customHeight="1">
      <c r="A6534" s="3">
        <v>104841</v>
      </c>
      <c r="B6534" s="4" t="s">
        <v>6558</v>
      </c>
      <c r="C6534" s="3" t="s">
        <v>50</v>
      </c>
      <c r="D6534" s="5">
        <f t="shared" si="204"/>
        <v>74.930000000000007</v>
      </c>
      <c r="E6534">
        <v>82.26</v>
      </c>
      <c r="F6534" s="1789">
        <v>8.8999999999999996E-2</v>
      </c>
      <c r="G6534">
        <f t="shared" si="205"/>
        <v>74.930000000000007</v>
      </c>
    </row>
    <row r="6535" spans="1:7" ht="12.75" customHeight="1">
      <c r="A6535" s="3">
        <v>104842</v>
      </c>
      <c r="B6535" s="4" t="s">
        <v>6559</v>
      </c>
      <c r="C6535" s="3" t="s">
        <v>50</v>
      </c>
      <c r="D6535" s="5">
        <f t="shared" si="204"/>
        <v>64.400000000000006</v>
      </c>
      <c r="E6535">
        <v>70.7</v>
      </c>
      <c r="F6535" s="1789">
        <v>8.8999999999999996E-2</v>
      </c>
      <c r="G6535">
        <f t="shared" si="205"/>
        <v>64.400000000000006</v>
      </c>
    </row>
    <row r="6536" spans="1:7" ht="12.75" customHeight="1">
      <c r="A6536" s="3">
        <v>104843</v>
      </c>
      <c r="B6536" s="4" t="s">
        <v>6560</v>
      </c>
      <c r="C6536" s="3" t="s">
        <v>50</v>
      </c>
      <c r="D6536" s="5">
        <f t="shared" si="204"/>
        <v>101.9</v>
      </c>
      <c r="E6536">
        <v>111.86</v>
      </c>
      <c r="F6536" s="1789">
        <v>8.8999999999999996E-2</v>
      </c>
      <c r="G6536">
        <f t="shared" si="205"/>
        <v>101.9</v>
      </c>
    </row>
    <row r="6537" spans="1:7" ht="12.75" customHeight="1">
      <c r="A6537" s="3">
        <v>104844</v>
      </c>
      <c r="B6537" s="4" t="s">
        <v>6561</v>
      </c>
      <c r="C6537" s="3" t="s">
        <v>50</v>
      </c>
      <c r="D6537" s="5">
        <f t="shared" si="204"/>
        <v>82.45</v>
      </c>
      <c r="E6537">
        <v>90.51</v>
      </c>
      <c r="F6537" s="1789">
        <v>8.8999999999999996E-2</v>
      </c>
      <c r="G6537">
        <f t="shared" si="205"/>
        <v>82.45</v>
      </c>
    </row>
    <row r="6538" spans="1:7" ht="12.75" customHeight="1">
      <c r="A6538" s="3">
        <v>104845</v>
      </c>
      <c r="B6538" s="4" t="s">
        <v>6562</v>
      </c>
      <c r="C6538" s="3" t="s">
        <v>50</v>
      </c>
      <c r="D6538" s="5">
        <f t="shared" si="204"/>
        <v>115.79</v>
      </c>
      <c r="E6538">
        <v>127.11</v>
      </c>
      <c r="F6538" s="1789">
        <v>8.8999999999999996E-2</v>
      </c>
      <c r="G6538">
        <f t="shared" si="205"/>
        <v>115.79</v>
      </c>
    </row>
    <row r="6539" spans="1:7" ht="12.75" customHeight="1">
      <c r="A6539" s="3">
        <v>104846</v>
      </c>
      <c r="B6539" s="4" t="s">
        <v>6563</v>
      </c>
      <c r="C6539" s="3" t="s">
        <v>50</v>
      </c>
      <c r="D6539" s="5">
        <f t="shared" si="204"/>
        <v>93.63</v>
      </c>
      <c r="E6539">
        <v>102.78</v>
      </c>
      <c r="F6539" s="1789">
        <v>8.8999999999999996E-2</v>
      </c>
      <c r="G6539">
        <f t="shared" si="205"/>
        <v>93.63</v>
      </c>
    </row>
    <row r="6540" spans="1:7" ht="12.75" customHeight="1">
      <c r="A6540" s="3">
        <v>104847</v>
      </c>
      <c r="B6540" s="4" t="s">
        <v>6564</v>
      </c>
      <c r="C6540" s="3" t="s">
        <v>50</v>
      </c>
      <c r="D6540" s="5">
        <f t="shared" si="204"/>
        <v>79.98</v>
      </c>
      <c r="E6540">
        <v>87.8</v>
      </c>
      <c r="F6540" s="1789">
        <v>8.8999999999999996E-2</v>
      </c>
      <c r="G6540">
        <f t="shared" si="205"/>
        <v>79.98</v>
      </c>
    </row>
    <row r="6541" spans="1:7" ht="12.75" customHeight="1">
      <c r="A6541" s="3">
        <v>104848</v>
      </c>
      <c r="B6541" s="4" t="s">
        <v>6565</v>
      </c>
      <c r="C6541" s="3" t="s">
        <v>50</v>
      </c>
      <c r="D6541" s="5">
        <f t="shared" si="204"/>
        <v>61.82</v>
      </c>
      <c r="E6541">
        <v>67.87</v>
      </c>
      <c r="F6541" s="1789">
        <v>8.8999999999999996E-2</v>
      </c>
      <c r="G6541">
        <f t="shared" si="205"/>
        <v>61.82</v>
      </c>
    </row>
    <row r="6542" spans="1:7" ht="12.75" customHeight="1">
      <c r="A6542" s="3">
        <v>104849</v>
      </c>
      <c r="B6542" s="4" t="s">
        <v>6566</v>
      </c>
      <c r="C6542" s="3" t="s">
        <v>50</v>
      </c>
      <c r="D6542" s="5">
        <f t="shared" si="204"/>
        <v>53.43</v>
      </c>
      <c r="E6542">
        <v>58.65</v>
      </c>
      <c r="F6542" s="1789">
        <v>8.8999999999999996E-2</v>
      </c>
      <c r="G6542">
        <f t="shared" si="205"/>
        <v>53.43</v>
      </c>
    </row>
    <row r="6543" spans="1:7" ht="12.75" customHeight="1">
      <c r="A6543" s="3">
        <v>104850</v>
      </c>
      <c r="B6543" s="4" t="s">
        <v>6567</v>
      </c>
      <c r="C6543" s="3" t="s">
        <v>50</v>
      </c>
      <c r="D6543" s="5">
        <f t="shared" si="204"/>
        <v>47.78</v>
      </c>
      <c r="E6543">
        <v>52.45</v>
      </c>
      <c r="F6543" s="1789">
        <v>8.8999999999999996E-2</v>
      </c>
      <c r="G6543">
        <f t="shared" si="205"/>
        <v>47.78</v>
      </c>
    </row>
    <row r="6544" spans="1:7" ht="12.75" customHeight="1">
      <c r="A6544" s="3">
        <v>104851</v>
      </c>
      <c r="B6544" s="4" t="s">
        <v>6568</v>
      </c>
      <c r="C6544" s="3" t="s">
        <v>50</v>
      </c>
      <c r="D6544" s="5">
        <f t="shared" si="204"/>
        <v>68.319999999999993</v>
      </c>
      <c r="E6544">
        <v>75</v>
      </c>
      <c r="F6544" s="1789">
        <v>8.8999999999999996E-2</v>
      </c>
      <c r="G6544">
        <f t="shared" si="205"/>
        <v>68.319999999999993</v>
      </c>
    </row>
    <row r="6545" spans="1:7" ht="12.75" customHeight="1">
      <c r="A6545" s="3">
        <v>104852</v>
      </c>
      <c r="B6545" s="4" t="s">
        <v>6569</v>
      </c>
      <c r="C6545" s="3" t="s">
        <v>50</v>
      </c>
      <c r="D6545" s="5">
        <f t="shared" si="204"/>
        <v>58.64</v>
      </c>
      <c r="E6545">
        <v>64.37</v>
      </c>
      <c r="F6545" s="1789">
        <v>8.8999999999999996E-2</v>
      </c>
      <c r="G6545">
        <f t="shared" si="205"/>
        <v>58.64</v>
      </c>
    </row>
    <row r="6546" spans="1:7" ht="12.75" customHeight="1">
      <c r="A6546" s="3">
        <v>104853</v>
      </c>
      <c r="B6546" s="4" t="s">
        <v>6570</v>
      </c>
      <c r="C6546" s="3" t="s">
        <v>50</v>
      </c>
      <c r="D6546" s="5">
        <f t="shared" si="204"/>
        <v>52.14</v>
      </c>
      <c r="E6546">
        <v>57.24</v>
      </c>
      <c r="F6546" s="1789">
        <v>8.8999999999999996E-2</v>
      </c>
      <c r="G6546">
        <f t="shared" si="205"/>
        <v>52.14</v>
      </c>
    </row>
    <row r="6547" spans="1:7" ht="12.75" customHeight="1">
      <c r="A6547" s="3">
        <v>104854</v>
      </c>
      <c r="B6547" s="4" t="s">
        <v>6571</v>
      </c>
      <c r="C6547" s="3" t="s">
        <v>50</v>
      </c>
      <c r="D6547" s="5">
        <f t="shared" si="204"/>
        <v>66.37</v>
      </c>
      <c r="E6547">
        <v>72.86</v>
      </c>
      <c r="F6547" s="1789">
        <v>8.8999999999999996E-2</v>
      </c>
      <c r="G6547">
        <f t="shared" si="205"/>
        <v>66.37</v>
      </c>
    </row>
    <row r="6548" spans="1:7" ht="12.75" customHeight="1">
      <c r="A6548" s="3">
        <v>104855</v>
      </c>
      <c r="B6548" s="4" t="s">
        <v>6572</v>
      </c>
      <c r="C6548" s="3" t="s">
        <v>50</v>
      </c>
      <c r="D6548" s="5">
        <f t="shared" si="204"/>
        <v>58.59</v>
      </c>
      <c r="E6548">
        <v>64.319999999999993</v>
      </c>
      <c r="F6548" s="1789">
        <v>8.8999999999999996E-2</v>
      </c>
      <c r="G6548">
        <f t="shared" si="205"/>
        <v>58.59</v>
      </c>
    </row>
    <row r="6549" spans="1:7" ht="12.75" customHeight="1">
      <c r="A6549" s="3">
        <v>104876</v>
      </c>
      <c r="B6549" s="4" t="s">
        <v>6573</v>
      </c>
      <c r="C6549" s="3" t="s">
        <v>6</v>
      </c>
      <c r="D6549" s="5">
        <f t="shared" ref="D6549:D6612" si="206">G6549</f>
        <v>19.059999999999999</v>
      </c>
      <c r="E6549">
        <v>20.93</v>
      </c>
      <c r="F6549" s="1789">
        <v>8.8999999999999996E-2</v>
      </c>
      <c r="G6549">
        <f t="shared" ref="G6549:G6612" si="207">TRUNC((1-F6549)*E6549,2)</f>
        <v>19.059999999999999</v>
      </c>
    </row>
    <row r="6550" spans="1:7" ht="12.75" customHeight="1">
      <c r="A6550" s="3">
        <v>104877</v>
      </c>
      <c r="B6550" s="4" t="s">
        <v>6574</v>
      </c>
      <c r="C6550" s="3" t="s">
        <v>6</v>
      </c>
      <c r="D6550" s="5">
        <f t="shared" si="206"/>
        <v>555.03</v>
      </c>
      <c r="E6550">
        <v>609.26</v>
      </c>
      <c r="F6550" s="1789">
        <v>8.8999999999999996E-2</v>
      </c>
      <c r="G6550">
        <f t="shared" si="207"/>
        <v>555.03</v>
      </c>
    </row>
    <row r="6551" spans="1:7" ht="12.75" customHeight="1">
      <c r="A6551" s="3">
        <v>104878</v>
      </c>
      <c r="B6551" s="4" t="s">
        <v>6575</v>
      </c>
      <c r="C6551" s="3" t="s">
        <v>6</v>
      </c>
      <c r="D6551" s="5">
        <f t="shared" si="206"/>
        <v>2105.92</v>
      </c>
      <c r="E6551">
        <v>2311.66</v>
      </c>
      <c r="F6551" s="1789">
        <v>8.8999999999999996E-2</v>
      </c>
      <c r="G6551">
        <f t="shared" si="207"/>
        <v>2105.92</v>
      </c>
    </row>
    <row r="6552" spans="1:7" ht="12.75" customHeight="1">
      <c r="A6552" s="3">
        <v>104879</v>
      </c>
      <c r="B6552" s="4" t="s">
        <v>6576</v>
      </c>
      <c r="C6552" s="3" t="s">
        <v>50</v>
      </c>
      <c r="D6552" s="5">
        <f t="shared" si="206"/>
        <v>70.69</v>
      </c>
      <c r="E6552">
        <v>77.599999999999994</v>
      </c>
      <c r="F6552" s="1789">
        <v>8.8999999999999996E-2</v>
      </c>
      <c r="G6552">
        <f t="shared" si="207"/>
        <v>70.69</v>
      </c>
    </row>
    <row r="6553" spans="1:7" ht="12.75" customHeight="1">
      <c r="A6553" s="3">
        <v>104880</v>
      </c>
      <c r="B6553" s="4" t="s">
        <v>6577</v>
      </c>
      <c r="C6553" s="3" t="s">
        <v>50</v>
      </c>
      <c r="D6553" s="5">
        <f t="shared" si="206"/>
        <v>77.95</v>
      </c>
      <c r="E6553">
        <v>85.57</v>
      </c>
      <c r="F6553" s="1789">
        <v>8.8999999999999996E-2</v>
      </c>
      <c r="G6553">
        <f t="shared" si="207"/>
        <v>77.95</v>
      </c>
    </row>
    <row r="6554" spans="1:7" ht="12.75" customHeight="1">
      <c r="A6554" s="3">
        <v>104886</v>
      </c>
      <c r="B6554" s="4" t="s">
        <v>6578</v>
      </c>
      <c r="C6554" s="3" t="s">
        <v>50</v>
      </c>
      <c r="D6554" s="5">
        <f t="shared" si="206"/>
        <v>46.28</v>
      </c>
      <c r="E6554">
        <v>50.81</v>
      </c>
      <c r="F6554" s="1789">
        <v>8.8999999999999996E-2</v>
      </c>
      <c r="G6554">
        <f t="shared" si="207"/>
        <v>46.28</v>
      </c>
    </row>
    <row r="6555" spans="1:7" ht="12.75" customHeight="1">
      <c r="A6555" s="3">
        <v>104887</v>
      </c>
      <c r="B6555" s="4" t="s">
        <v>6579</v>
      </c>
      <c r="C6555" s="3" t="s">
        <v>50</v>
      </c>
      <c r="D6555" s="5">
        <f t="shared" si="206"/>
        <v>41.01</v>
      </c>
      <c r="E6555">
        <v>45.02</v>
      </c>
      <c r="F6555" s="1789">
        <v>8.8999999999999996E-2</v>
      </c>
      <c r="G6555">
        <f t="shared" si="207"/>
        <v>41.01</v>
      </c>
    </row>
    <row r="6556" spans="1:7" ht="12.75" customHeight="1">
      <c r="A6556" s="3">
        <v>104888</v>
      </c>
      <c r="B6556" s="4" t="s">
        <v>6580</v>
      </c>
      <c r="C6556" s="3" t="s">
        <v>50</v>
      </c>
      <c r="D6556" s="5">
        <f t="shared" si="206"/>
        <v>37.46</v>
      </c>
      <c r="E6556">
        <v>41.13</v>
      </c>
      <c r="F6556" s="1789">
        <v>8.8999999999999996E-2</v>
      </c>
      <c r="G6556">
        <f t="shared" si="207"/>
        <v>37.46</v>
      </c>
    </row>
    <row r="6557" spans="1:7" ht="12.75" customHeight="1">
      <c r="A6557" s="3">
        <v>104889</v>
      </c>
      <c r="B6557" s="4" t="s">
        <v>6581</v>
      </c>
      <c r="C6557" s="3" t="s">
        <v>50</v>
      </c>
      <c r="D6557" s="5">
        <f t="shared" si="206"/>
        <v>53.3</v>
      </c>
      <c r="E6557">
        <v>58.51</v>
      </c>
      <c r="F6557" s="1789">
        <v>8.8999999999999996E-2</v>
      </c>
      <c r="G6557">
        <f t="shared" si="207"/>
        <v>53.3</v>
      </c>
    </row>
    <row r="6558" spans="1:7" ht="12.75" customHeight="1">
      <c r="A6558" s="3">
        <v>104890</v>
      </c>
      <c r="B6558" s="4" t="s">
        <v>6582</v>
      </c>
      <c r="C6558" s="3" t="s">
        <v>50</v>
      </c>
      <c r="D6558" s="5">
        <f t="shared" si="206"/>
        <v>46.67</v>
      </c>
      <c r="E6558">
        <v>51.24</v>
      </c>
      <c r="F6558" s="1789">
        <v>8.8999999999999996E-2</v>
      </c>
      <c r="G6558">
        <f t="shared" si="207"/>
        <v>46.67</v>
      </c>
    </row>
    <row r="6559" spans="1:7" ht="12.75" customHeight="1">
      <c r="A6559" s="3">
        <v>104891</v>
      </c>
      <c r="B6559" s="4" t="s">
        <v>6583</v>
      </c>
      <c r="C6559" s="3" t="s">
        <v>50</v>
      </c>
      <c r="D6559" s="5">
        <f t="shared" si="206"/>
        <v>42.26</v>
      </c>
      <c r="E6559">
        <v>46.39</v>
      </c>
      <c r="F6559" s="1789">
        <v>8.8999999999999996E-2</v>
      </c>
      <c r="G6559">
        <f t="shared" si="207"/>
        <v>42.26</v>
      </c>
    </row>
    <row r="6560" spans="1:7" ht="12.75" customHeight="1">
      <c r="A6560" s="3">
        <v>104892</v>
      </c>
      <c r="B6560" s="4" t="s">
        <v>6584</v>
      </c>
      <c r="C6560" s="3" t="s">
        <v>50</v>
      </c>
      <c r="D6560" s="5">
        <f t="shared" si="206"/>
        <v>92.52</v>
      </c>
      <c r="E6560">
        <v>101.56</v>
      </c>
      <c r="F6560" s="1789">
        <v>8.8999999999999996E-2</v>
      </c>
      <c r="G6560">
        <f t="shared" si="207"/>
        <v>92.52</v>
      </c>
    </row>
    <row r="6561" spans="1:7" ht="12.75" customHeight="1">
      <c r="A6561" s="3">
        <v>102989</v>
      </c>
      <c r="B6561" s="4" t="s">
        <v>6585</v>
      </c>
      <c r="C6561" s="3" t="s">
        <v>50</v>
      </c>
      <c r="D6561" s="5">
        <f t="shared" si="206"/>
        <v>34.42</v>
      </c>
      <c r="E6561">
        <v>37.79</v>
      </c>
      <c r="F6561" s="1789">
        <v>8.8999999999999996E-2</v>
      </c>
      <c r="G6561">
        <f t="shared" si="207"/>
        <v>34.42</v>
      </c>
    </row>
    <row r="6562" spans="1:7" ht="12.75" customHeight="1">
      <c r="A6562" s="3">
        <v>102990</v>
      </c>
      <c r="B6562" s="4" t="s">
        <v>6586</v>
      </c>
      <c r="C6562" s="3" t="s">
        <v>50</v>
      </c>
      <c r="D6562" s="5">
        <f t="shared" si="206"/>
        <v>41.86</v>
      </c>
      <c r="E6562">
        <v>45.96</v>
      </c>
      <c r="F6562" s="1789">
        <v>8.8999999999999996E-2</v>
      </c>
      <c r="G6562">
        <f t="shared" si="207"/>
        <v>41.86</v>
      </c>
    </row>
    <row r="6563" spans="1:7" ht="12.75" customHeight="1">
      <c r="A6563" s="3">
        <v>102991</v>
      </c>
      <c r="B6563" s="4" t="s">
        <v>6587</v>
      </c>
      <c r="C6563" s="3" t="s">
        <v>50</v>
      </c>
      <c r="D6563" s="5">
        <f t="shared" si="206"/>
        <v>54.25</v>
      </c>
      <c r="E6563">
        <v>59.56</v>
      </c>
      <c r="F6563" s="1789">
        <v>8.8999999999999996E-2</v>
      </c>
      <c r="G6563">
        <f t="shared" si="207"/>
        <v>54.25</v>
      </c>
    </row>
    <row r="6564" spans="1:7" ht="12.75" customHeight="1">
      <c r="A6564" s="3">
        <v>102992</v>
      </c>
      <c r="B6564" s="4" t="s">
        <v>6588</v>
      </c>
      <c r="C6564" s="3" t="s">
        <v>50</v>
      </c>
      <c r="D6564" s="5">
        <f t="shared" si="206"/>
        <v>80.08</v>
      </c>
      <c r="E6564">
        <v>87.91</v>
      </c>
      <c r="F6564" s="1789">
        <v>8.8999999999999996E-2</v>
      </c>
      <c r="G6564">
        <f t="shared" si="207"/>
        <v>80.08</v>
      </c>
    </row>
    <row r="6565" spans="1:7" ht="12.75" customHeight="1">
      <c r="A6565" s="3">
        <v>102993</v>
      </c>
      <c r="B6565" s="4" t="s">
        <v>6589</v>
      </c>
      <c r="C6565" s="3" t="s">
        <v>50</v>
      </c>
      <c r="D6565" s="5">
        <f t="shared" si="206"/>
        <v>104.24</v>
      </c>
      <c r="E6565">
        <v>114.43</v>
      </c>
      <c r="F6565" s="1789">
        <v>8.8999999999999996E-2</v>
      </c>
      <c r="G6565">
        <f t="shared" si="207"/>
        <v>104.24</v>
      </c>
    </row>
    <row r="6566" spans="1:7" ht="12.75" customHeight="1">
      <c r="A6566" s="3">
        <v>102994</v>
      </c>
      <c r="B6566" s="4" t="s">
        <v>6590</v>
      </c>
      <c r="C6566" s="3" t="s">
        <v>50</v>
      </c>
      <c r="D6566" s="5">
        <f t="shared" si="206"/>
        <v>178.41</v>
      </c>
      <c r="E6566">
        <v>195.84</v>
      </c>
      <c r="F6566" s="1789">
        <v>8.8999999999999996E-2</v>
      </c>
      <c r="G6566">
        <f t="shared" si="207"/>
        <v>178.41</v>
      </c>
    </row>
    <row r="6567" spans="1:7" ht="12.75" customHeight="1">
      <c r="A6567" s="3">
        <v>102995</v>
      </c>
      <c r="B6567" s="4" t="s">
        <v>6591</v>
      </c>
      <c r="C6567" s="3" t="s">
        <v>50</v>
      </c>
      <c r="D6567" s="5">
        <f t="shared" si="206"/>
        <v>51.99</v>
      </c>
      <c r="E6567">
        <v>57.08</v>
      </c>
      <c r="F6567" s="1789">
        <v>8.8999999999999996E-2</v>
      </c>
      <c r="G6567">
        <f t="shared" si="207"/>
        <v>51.99</v>
      </c>
    </row>
    <row r="6568" spans="1:7" ht="12.75" customHeight="1">
      <c r="A6568" s="3">
        <v>102996</v>
      </c>
      <c r="B6568" s="4" t="s">
        <v>6592</v>
      </c>
      <c r="C6568" s="3" t="s">
        <v>50</v>
      </c>
      <c r="D6568" s="5">
        <f t="shared" si="206"/>
        <v>73.599999999999994</v>
      </c>
      <c r="E6568">
        <v>80.8</v>
      </c>
      <c r="F6568" s="1789">
        <v>8.8999999999999996E-2</v>
      </c>
      <c r="G6568">
        <f t="shared" si="207"/>
        <v>73.599999999999994</v>
      </c>
    </row>
    <row r="6569" spans="1:7" ht="12.75" customHeight="1">
      <c r="A6569" s="3">
        <v>102997</v>
      </c>
      <c r="B6569" s="4" t="s">
        <v>6593</v>
      </c>
      <c r="C6569" s="3" t="s">
        <v>50</v>
      </c>
      <c r="D6569" s="5">
        <f t="shared" si="206"/>
        <v>99.02</v>
      </c>
      <c r="E6569">
        <v>108.7</v>
      </c>
      <c r="F6569" s="1789">
        <v>8.8999999999999996E-2</v>
      </c>
      <c r="G6569">
        <f t="shared" si="207"/>
        <v>99.02</v>
      </c>
    </row>
    <row r="6570" spans="1:7" ht="12.75" customHeight="1">
      <c r="A6570" s="3">
        <v>102998</v>
      </c>
      <c r="B6570" s="4" t="s">
        <v>6594</v>
      </c>
      <c r="C6570" s="3" t="s">
        <v>50</v>
      </c>
      <c r="D6570" s="5">
        <f t="shared" si="206"/>
        <v>94.47</v>
      </c>
      <c r="E6570">
        <v>103.7</v>
      </c>
      <c r="F6570" s="1789">
        <v>8.8999999999999996E-2</v>
      </c>
      <c r="G6570">
        <f t="shared" si="207"/>
        <v>94.47</v>
      </c>
    </row>
    <row r="6571" spans="1:7" ht="12.75" customHeight="1">
      <c r="A6571" s="3">
        <v>102999</v>
      </c>
      <c r="B6571" s="4" t="s">
        <v>6595</v>
      </c>
      <c r="C6571" s="3" t="s">
        <v>50</v>
      </c>
      <c r="D6571" s="5">
        <f t="shared" si="206"/>
        <v>119.55</v>
      </c>
      <c r="E6571">
        <v>131.24</v>
      </c>
      <c r="F6571" s="1789">
        <v>8.8999999999999996E-2</v>
      </c>
      <c r="G6571">
        <f t="shared" si="207"/>
        <v>119.55</v>
      </c>
    </row>
    <row r="6572" spans="1:7" ht="12.75" customHeight="1">
      <c r="A6572" s="3">
        <v>103000</v>
      </c>
      <c r="B6572" s="4" t="s">
        <v>6596</v>
      </c>
      <c r="C6572" s="3" t="s">
        <v>50</v>
      </c>
      <c r="D6572" s="5">
        <f t="shared" si="206"/>
        <v>120.06</v>
      </c>
      <c r="E6572">
        <v>131.80000000000001</v>
      </c>
      <c r="F6572" s="1789">
        <v>8.8999999999999996E-2</v>
      </c>
      <c r="G6572">
        <f t="shared" si="207"/>
        <v>120.06</v>
      </c>
    </row>
    <row r="6573" spans="1:7" ht="12.75" customHeight="1">
      <c r="A6573" s="3">
        <v>103001</v>
      </c>
      <c r="B6573" s="4" t="s">
        <v>6597</v>
      </c>
      <c r="C6573" s="3" t="s">
        <v>6</v>
      </c>
      <c r="D6573" s="5">
        <f t="shared" si="206"/>
        <v>219.04</v>
      </c>
      <c r="E6573">
        <v>240.45</v>
      </c>
      <c r="F6573" s="1789">
        <v>8.8999999999999996E-2</v>
      </c>
      <c r="G6573">
        <f t="shared" si="207"/>
        <v>219.04</v>
      </c>
    </row>
    <row r="6574" spans="1:7" ht="12.75" customHeight="1">
      <c r="A6574" s="3">
        <v>103002</v>
      </c>
      <c r="B6574" s="4" t="s">
        <v>6598</v>
      </c>
      <c r="C6574" s="3" t="s">
        <v>6</v>
      </c>
      <c r="D6574" s="5">
        <f t="shared" si="206"/>
        <v>273.23</v>
      </c>
      <c r="E6574">
        <v>299.93</v>
      </c>
      <c r="F6574" s="1789">
        <v>8.8999999999999996E-2</v>
      </c>
      <c r="G6574">
        <f t="shared" si="207"/>
        <v>273.23</v>
      </c>
    </row>
    <row r="6575" spans="1:7" ht="12.75" customHeight="1">
      <c r="A6575" s="3">
        <v>103003</v>
      </c>
      <c r="B6575" s="4" t="s">
        <v>6599</v>
      </c>
      <c r="C6575" s="3" t="s">
        <v>6</v>
      </c>
      <c r="D6575" s="5">
        <f t="shared" si="206"/>
        <v>381.67</v>
      </c>
      <c r="E6575">
        <v>418.96</v>
      </c>
      <c r="F6575" s="1789">
        <v>8.8999999999999996E-2</v>
      </c>
      <c r="G6575">
        <f t="shared" si="207"/>
        <v>381.67</v>
      </c>
    </row>
    <row r="6576" spans="1:7" ht="12.75" customHeight="1">
      <c r="A6576" s="3">
        <v>103005</v>
      </c>
      <c r="B6576" s="4" t="s">
        <v>6600</v>
      </c>
      <c r="C6576" s="3" t="s">
        <v>6</v>
      </c>
      <c r="D6576" s="5">
        <f t="shared" si="206"/>
        <v>576.54999999999995</v>
      </c>
      <c r="E6576">
        <v>632.88</v>
      </c>
      <c r="F6576" s="1789">
        <v>8.8999999999999996E-2</v>
      </c>
      <c r="G6576">
        <f t="shared" si="207"/>
        <v>576.54999999999995</v>
      </c>
    </row>
    <row r="6577" spans="1:7" ht="12.75" customHeight="1">
      <c r="A6577" s="3">
        <v>103006</v>
      </c>
      <c r="B6577" s="4" t="s">
        <v>6601</v>
      </c>
      <c r="C6577" s="3" t="s">
        <v>6</v>
      </c>
      <c r="D6577" s="5">
        <f t="shared" si="206"/>
        <v>791.02</v>
      </c>
      <c r="E6577">
        <v>868.3</v>
      </c>
      <c r="F6577" s="1789">
        <v>8.8999999999999996E-2</v>
      </c>
      <c r="G6577">
        <f t="shared" si="207"/>
        <v>791.02</v>
      </c>
    </row>
    <row r="6578" spans="1:7" ht="12.75" customHeight="1">
      <c r="A6578" s="3">
        <v>103007</v>
      </c>
      <c r="B6578" s="4" t="s">
        <v>6602</v>
      </c>
      <c r="C6578" s="3" t="s">
        <v>6</v>
      </c>
      <c r="D6578" s="5">
        <f t="shared" si="206"/>
        <v>1050.58</v>
      </c>
      <c r="E6578">
        <v>1153.22</v>
      </c>
      <c r="F6578" s="1789">
        <v>8.8999999999999996E-2</v>
      </c>
      <c r="G6578">
        <f t="shared" si="207"/>
        <v>1050.58</v>
      </c>
    </row>
    <row r="6579" spans="1:7" ht="12.75" customHeight="1">
      <c r="A6579" s="3">
        <v>97933</v>
      </c>
      <c r="B6579" s="4" t="s">
        <v>6603</v>
      </c>
      <c r="C6579" s="3" t="s">
        <v>6</v>
      </c>
      <c r="D6579" s="5">
        <f t="shared" si="206"/>
        <v>966.8</v>
      </c>
      <c r="E6579">
        <v>1061.26</v>
      </c>
      <c r="F6579" s="1789">
        <v>8.8999999999999996E-2</v>
      </c>
      <c r="G6579">
        <f t="shared" si="207"/>
        <v>966.8</v>
      </c>
    </row>
    <row r="6580" spans="1:7" ht="12.75" customHeight="1">
      <c r="A6580" s="3">
        <v>97934</v>
      </c>
      <c r="B6580" s="4" t="s">
        <v>6604</v>
      </c>
      <c r="C6580" s="3" t="s">
        <v>6</v>
      </c>
      <c r="D6580" s="5">
        <f t="shared" si="206"/>
        <v>2180.87</v>
      </c>
      <c r="E6580">
        <v>2393.9299999999998</v>
      </c>
      <c r="F6580" s="1789">
        <v>8.8999999999999996E-2</v>
      </c>
      <c r="G6580">
        <f t="shared" si="207"/>
        <v>2180.87</v>
      </c>
    </row>
    <row r="6581" spans="1:7" ht="12.75" customHeight="1">
      <c r="A6581" s="3">
        <v>97935</v>
      </c>
      <c r="B6581" s="4" t="s">
        <v>6605</v>
      </c>
      <c r="C6581" s="3" t="s">
        <v>6</v>
      </c>
      <c r="D6581" s="5">
        <f t="shared" si="206"/>
        <v>811.68</v>
      </c>
      <c r="E6581">
        <v>890.98</v>
      </c>
      <c r="F6581" s="1789">
        <v>8.8999999999999996E-2</v>
      </c>
      <c r="G6581">
        <f t="shared" si="207"/>
        <v>811.68</v>
      </c>
    </row>
    <row r="6582" spans="1:7" ht="12.75" customHeight="1">
      <c r="A6582" s="3">
        <v>97936</v>
      </c>
      <c r="B6582" s="4" t="s">
        <v>6606</v>
      </c>
      <c r="C6582" s="3" t="s">
        <v>6</v>
      </c>
      <c r="D6582" s="5">
        <f t="shared" si="206"/>
        <v>1893.69</v>
      </c>
      <c r="E6582">
        <v>2078.6999999999998</v>
      </c>
      <c r="F6582" s="1789">
        <v>8.8999999999999996E-2</v>
      </c>
      <c r="G6582">
        <f t="shared" si="207"/>
        <v>1893.69</v>
      </c>
    </row>
    <row r="6583" spans="1:7" ht="12.75" customHeight="1">
      <c r="A6583" s="3">
        <v>97947</v>
      </c>
      <c r="B6583" s="4" t="s">
        <v>6607</v>
      </c>
      <c r="C6583" s="3" t="s">
        <v>6</v>
      </c>
      <c r="D6583" s="5">
        <f t="shared" si="206"/>
        <v>1761.31</v>
      </c>
      <c r="E6583">
        <v>1933.39</v>
      </c>
      <c r="F6583" s="1789">
        <v>8.8999999999999996E-2</v>
      </c>
      <c r="G6583">
        <f t="shared" si="207"/>
        <v>1761.31</v>
      </c>
    </row>
    <row r="6584" spans="1:7" ht="12.75" customHeight="1">
      <c r="A6584" s="3">
        <v>97948</v>
      </c>
      <c r="B6584" s="4" t="s">
        <v>6608</v>
      </c>
      <c r="C6584" s="3" t="s">
        <v>6</v>
      </c>
      <c r="D6584" s="5">
        <f t="shared" si="206"/>
        <v>3217.62</v>
      </c>
      <c r="E6584">
        <v>3531.97</v>
      </c>
      <c r="F6584" s="1789">
        <v>8.8999999999999996E-2</v>
      </c>
      <c r="G6584">
        <f t="shared" si="207"/>
        <v>3217.62</v>
      </c>
    </row>
    <row r="6585" spans="1:7" ht="12.75" customHeight="1">
      <c r="A6585" s="3">
        <v>97949</v>
      </c>
      <c r="B6585" s="4" t="s">
        <v>6609</v>
      </c>
      <c r="C6585" s="3" t="s">
        <v>6</v>
      </c>
      <c r="D6585" s="5">
        <f t="shared" si="206"/>
        <v>1807.52</v>
      </c>
      <c r="E6585">
        <v>1984.11</v>
      </c>
      <c r="F6585" s="1789">
        <v>8.8999999999999996E-2</v>
      </c>
      <c r="G6585">
        <f t="shared" si="207"/>
        <v>1807.52</v>
      </c>
    </row>
    <row r="6586" spans="1:7" ht="12.75" customHeight="1">
      <c r="A6586" s="3">
        <v>97950</v>
      </c>
      <c r="B6586" s="4" t="s">
        <v>6610</v>
      </c>
      <c r="C6586" s="3" t="s">
        <v>6</v>
      </c>
      <c r="D6586" s="5">
        <f t="shared" si="206"/>
        <v>3156.15</v>
      </c>
      <c r="E6586">
        <v>3464.49</v>
      </c>
      <c r="F6586" s="1789">
        <v>8.8999999999999996E-2</v>
      </c>
      <c r="G6586">
        <f t="shared" si="207"/>
        <v>3156.15</v>
      </c>
    </row>
    <row r="6587" spans="1:7" ht="12.75" customHeight="1">
      <c r="A6587" s="3">
        <v>97951</v>
      </c>
      <c r="B6587" s="4" t="s">
        <v>6611</v>
      </c>
      <c r="C6587" s="3" t="s">
        <v>6</v>
      </c>
      <c r="D6587" s="5">
        <f t="shared" si="206"/>
        <v>2845.11</v>
      </c>
      <c r="E6587">
        <v>3123.07</v>
      </c>
      <c r="F6587" s="1789">
        <v>8.8999999999999996E-2</v>
      </c>
      <c r="G6587">
        <f t="shared" si="207"/>
        <v>2845.11</v>
      </c>
    </row>
    <row r="6588" spans="1:7" ht="12.75" customHeight="1">
      <c r="A6588" s="3">
        <v>97952</v>
      </c>
      <c r="B6588" s="4" t="s">
        <v>6612</v>
      </c>
      <c r="C6588" s="3" t="s">
        <v>6</v>
      </c>
      <c r="D6588" s="5">
        <f t="shared" si="206"/>
        <v>4867.01</v>
      </c>
      <c r="E6588">
        <v>5342.5</v>
      </c>
      <c r="F6588" s="1789">
        <v>8.8999999999999996E-2</v>
      </c>
      <c r="G6588">
        <f t="shared" si="207"/>
        <v>4867.01</v>
      </c>
    </row>
    <row r="6589" spans="1:7" ht="12.75" customHeight="1">
      <c r="A6589" s="3">
        <v>97953</v>
      </c>
      <c r="B6589" s="4" t="s">
        <v>6613</v>
      </c>
      <c r="C6589" s="3" t="s">
        <v>6</v>
      </c>
      <c r="D6589" s="5">
        <f t="shared" si="206"/>
        <v>1280.92</v>
      </c>
      <c r="E6589">
        <v>1406.06</v>
      </c>
      <c r="F6589" s="1789">
        <v>8.8999999999999996E-2</v>
      </c>
      <c r="G6589">
        <f t="shared" si="207"/>
        <v>1280.92</v>
      </c>
    </row>
    <row r="6590" spans="1:7" ht="12.75" customHeight="1">
      <c r="A6590" s="3">
        <v>97955</v>
      </c>
      <c r="B6590" s="4" t="s">
        <v>6614</v>
      </c>
      <c r="C6590" s="3" t="s">
        <v>6</v>
      </c>
      <c r="D6590" s="5">
        <f t="shared" si="206"/>
        <v>2783.36</v>
      </c>
      <c r="E6590">
        <v>3055.28</v>
      </c>
      <c r="F6590" s="1789">
        <v>8.8999999999999996E-2</v>
      </c>
      <c r="G6590">
        <f t="shared" si="207"/>
        <v>2783.36</v>
      </c>
    </row>
    <row r="6591" spans="1:7" ht="12.75" customHeight="1">
      <c r="A6591" s="3">
        <v>97956</v>
      </c>
      <c r="B6591" s="4" t="s">
        <v>6615</v>
      </c>
      <c r="C6591" s="3" t="s">
        <v>6</v>
      </c>
      <c r="D6591" s="5">
        <f t="shared" si="206"/>
        <v>1400.49</v>
      </c>
      <c r="E6591">
        <v>1537.32</v>
      </c>
      <c r="F6591" s="1789">
        <v>8.8999999999999996E-2</v>
      </c>
      <c r="G6591">
        <f t="shared" si="207"/>
        <v>1400.49</v>
      </c>
    </row>
    <row r="6592" spans="1:7" ht="12.75" customHeight="1">
      <c r="A6592" s="3">
        <v>97957</v>
      </c>
      <c r="B6592" s="4" t="s">
        <v>6616</v>
      </c>
      <c r="C6592" s="3" t="s">
        <v>6</v>
      </c>
      <c r="D6592" s="5">
        <f t="shared" si="206"/>
        <v>2497.2600000000002</v>
      </c>
      <c r="E6592">
        <v>2741.23</v>
      </c>
      <c r="F6592" s="1789">
        <v>8.8999999999999996E-2</v>
      </c>
      <c r="G6592">
        <f t="shared" si="207"/>
        <v>2497.2600000000002</v>
      </c>
    </row>
    <row r="6593" spans="1:7" ht="12.75" customHeight="1">
      <c r="A6593" s="3">
        <v>97961</v>
      </c>
      <c r="B6593" s="4" t="s">
        <v>6617</v>
      </c>
      <c r="C6593" s="3" t="s">
        <v>6</v>
      </c>
      <c r="D6593" s="5">
        <f t="shared" si="206"/>
        <v>2254.4899999999998</v>
      </c>
      <c r="E6593">
        <v>2474.75</v>
      </c>
      <c r="F6593" s="1789">
        <v>8.8999999999999996E-2</v>
      </c>
      <c r="G6593">
        <f t="shared" si="207"/>
        <v>2254.4899999999998</v>
      </c>
    </row>
    <row r="6594" spans="1:7" ht="12.75" customHeight="1">
      <c r="A6594" s="3">
        <v>97973</v>
      </c>
      <c r="B6594" s="4" t="s">
        <v>6618</v>
      </c>
      <c r="C6594" s="3" t="s">
        <v>6</v>
      </c>
      <c r="D6594" s="5">
        <f t="shared" si="206"/>
        <v>4212.2299999999996</v>
      </c>
      <c r="E6594">
        <v>4623.75</v>
      </c>
      <c r="F6594" s="1789">
        <v>8.8999999999999996E-2</v>
      </c>
      <c r="G6594">
        <f t="shared" si="207"/>
        <v>4212.2299999999996</v>
      </c>
    </row>
    <row r="6595" spans="1:7" ht="12.75" customHeight="1">
      <c r="A6595" s="3">
        <v>97974</v>
      </c>
      <c r="B6595" s="4" t="s">
        <v>6619</v>
      </c>
      <c r="C6595" s="3" t="s">
        <v>6</v>
      </c>
      <c r="D6595" s="5">
        <f t="shared" si="206"/>
        <v>446.63</v>
      </c>
      <c r="E6595">
        <v>490.27</v>
      </c>
      <c r="F6595" s="1789">
        <v>8.8999999999999996E-2</v>
      </c>
      <c r="G6595">
        <f t="shared" si="207"/>
        <v>446.63</v>
      </c>
    </row>
    <row r="6596" spans="1:7" ht="12.75" customHeight="1">
      <c r="A6596" s="3">
        <v>97975</v>
      </c>
      <c r="B6596" s="4" t="s">
        <v>6620</v>
      </c>
      <c r="C6596" s="3" t="s">
        <v>6</v>
      </c>
      <c r="D6596" s="5">
        <f t="shared" si="206"/>
        <v>578.04</v>
      </c>
      <c r="E6596">
        <v>634.52</v>
      </c>
      <c r="F6596" s="1789">
        <v>8.8999999999999996E-2</v>
      </c>
      <c r="G6596">
        <f t="shared" si="207"/>
        <v>578.04</v>
      </c>
    </row>
    <row r="6597" spans="1:7" ht="12.75" customHeight="1">
      <c r="A6597" s="3">
        <v>97976</v>
      </c>
      <c r="B6597" s="4" t="s">
        <v>6621</v>
      </c>
      <c r="C6597" s="3" t="s">
        <v>6</v>
      </c>
      <c r="D6597" s="5">
        <f t="shared" si="206"/>
        <v>1096.1600000000001</v>
      </c>
      <c r="E6597">
        <v>1203.26</v>
      </c>
      <c r="F6597" s="1789">
        <v>8.8999999999999996E-2</v>
      </c>
      <c r="G6597">
        <f t="shared" si="207"/>
        <v>1096.1600000000001</v>
      </c>
    </row>
    <row r="6598" spans="1:7" ht="12.75" customHeight="1">
      <c r="A6598" s="3">
        <v>97977</v>
      </c>
      <c r="B6598" s="4" t="s">
        <v>6622</v>
      </c>
      <c r="C6598" s="3" t="s">
        <v>6</v>
      </c>
      <c r="D6598" s="5">
        <f t="shared" si="206"/>
        <v>1577.65</v>
      </c>
      <c r="E6598">
        <v>1731.78</v>
      </c>
      <c r="F6598" s="1789">
        <v>8.8999999999999996E-2</v>
      </c>
      <c r="G6598">
        <f t="shared" si="207"/>
        <v>1577.65</v>
      </c>
    </row>
    <row r="6599" spans="1:7" ht="12.75" customHeight="1">
      <c r="A6599" s="3">
        <v>97978</v>
      </c>
      <c r="B6599" s="4" t="s">
        <v>6623</v>
      </c>
      <c r="C6599" s="3" t="s">
        <v>6</v>
      </c>
      <c r="D6599" s="5">
        <f t="shared" si="206"/>
        <v>896.16</v>
      </c>
      <c r="E6599">
        <v>983.72</v>
      </c>
      <c r="F6599" s="1789">
        <v>8.8999999999999996E-2</v>
      </c>
      <c r="G6599">
        <f t="shared" si="207"/>
        <v>896.16</v>
      </c>
    </row>
    <row r="6600" spans="1:7" ht="12.75" customHeight="1">
      <c r="A6600" s="3">
        <v>97980</v>
      </c>
      <c r="B6600" s="4" t="s">
        <v>6624</v>
      </c>
      <c r="C6600" s="3" t="s">
        <v>6</v>
      </c>
      <c r="D6600" s="5">
        <f t="shared" si="206"/>
        <v>2034.22</v>
      </c>
      <c r="E6600">
        <v>2232.96</v>
      </c>
      <c r="F6600" s="1789">
        <v>8.8999999999999996E-2</v>
      </c>
      <c r="G6600">
        <f t="shared" si="207"/>
        <v>2034.22</v>
      </c>
    </row>
    <row r="6601" spans="1:7" ht="12.75" customHeight="1">
      <c r="A6601" s="3">
        <v>97981</v>
      </c>
      <c r="B6601" s="4" t="s">
        <v>6625</v>
      </c>
      <c r="C6601" s="3" t="s">
        <v>50</v>
      </c>
      <c r="D6601" s="5">
        <f t="shared" si="206"/>
        <v>1184.3</v>
      </c>
      <c r="E6601">
        <v>1300.01</v>
      </c>
      <c r="F6601" s="1789">
        <v>8.8999999999999996E-2</v>
      </c>
      <c r="G6601">
        <f t="shared" si="207"/>
        <v>1184.3</v>
      </c>
    </row>
    <row r="6602" spans="1:7" ht="12.75" customHeight="1">
      <c r="A6602" s="3">
        <v>97983</v>
      </c>
      <c r="B6602" s="4" t="s">
        <v>6626</v>
      </c>
      <c r="C6602" s="3" t="s">
        <v>50</v>
      </c>
      <c r="D6602" s="5">
        <f t="shared" si="206"/>
        <v>463.1</v>
      </c>
      <c r="E6602">
        <v>508.35</v>
      </c>
      <c r="F6602" s="1789">
        <v>8.8999999999999996E-2</v>
      </c>
      <c r="G6602">
        <f t="shared" si="207"/>
        <v>463.1</v>
      </c>
    </row>
    <row r="6603" spans="1:7" ht="12.75" customHeight="1">
      <c r="A6603" s="3">
        <v>97985</v>
      </c>
      <c r="B6603" s="4" t="s">
        <v>6627</v>
      </c>
      <c r="C6603" s="3" t="s">
        <v>50</v>
      </c>
      <c r="D6603" s="5">
        <f t="shared" si="206"/>
        <v>1428.86</v>
      </c>
      <c r="E6603">
        <v>1568.46</v>
      </c>
      <c r="F6603" s="1789">
        <v>8.8999999999999996E-2</v>
      </c>
      <c r="G6603">
        <f t="shared" si="207"/>
        <v>1428.86</v>
      </c>
    </row>
    <row r="6604" spans="1:7" ht="12.75" customHeight="1">
      <c r="A6604" s="3">
        <v>97987</v>
      </c>
      <c r="B6604" s="4" t="s">
        <v>6628</v>
      </c>
      <c r="C6604" s="3" t="s">
        <v>50</v>
      </c>
      <c r="D6604" s="5">
        <f t="shared" si="206"/>
        <v>616.84</v>
      </c>
      <c r="E6604">
        <v>677.11</v>
      </c>
      <c r="F6604" s="1789">
        <v>8.8999999999999996E-2</v>
      </c>
      <c r="G6604">
        <f t="shared" si="207"/>
        <v>616.84</v>
      </c>
    </row>
    <row r="6605" spans="1:7" ht="12.75" customHeight="1">
      <c r="A6605" s="3">
        <v>97988</v>
      </c>
      <c r="B6605" s="4" t="s">
        <v>6629</v>
      </c>
      <c r="C6605" s="3" t="s">
        <v>6</v>
      </c>
      <c r="D6605" s="5">
        <f t="shared" si="206"/>
        <v>3007.1</v>
      </c>
      <c r="E6605">
        <v>3300.88</v>
      </c>
      <c r="F6605" s="1789">
        <v>8.8999999999999996E-2</v>
      </c>
      <c r="G6605">
        <f t="shared" si="207"/>
        <v>3007.1</v>
      </c>
    </row>
    <row r="6606" spans="1:7" ht="12.75" customHeight="1">
      <c r="A6606" s="3">
        <v>97989</v>
      </c>
      <c r="B6606" s="4" t="s">
        <v>6630</v>
      </c>
      <c r="C6606" s="3" t="s">
        <v>50</v>
      </c>
      <c r="D6606" s="5">
        <f t="shared" si="206"/>
        <v>1673.33</v>
      </c>
      <c r="E6606">
        <v>1836.81</v>
      </c>
      <c r="F6606" s="1789">
        <v>8.8999999999999996E-2</v>
      </c>
      <c r="G6606">
        <f t="shared" si="207"/>
        <v>1673.33</v>
      </c>
    </row>
    <row r="6607" spans="1:7" ht="12.75" customHeight="1">
      <c r="A6607" s="3">
        <v>97991</v>
      </c>
      <c r="B6607" s="4" t="s">
        <v>6631</v>
      </c>
      <c r="C6607" s="3" t="s">
        <v>50</v>
      </c>
      <c r="D6607" s="5">
        <f t="shared" si="206"/>
        <v>845.9</v>
      </c>
      <c r="E6607">
        <v>928.55</v>
      </c>
      <c r="F6607" s="1789">
        <v>8.8999999999999996E-2</v>
      </c>
      <c r="G6607">
        <f t="shared" si="207"/>
        <v>845.9</v>
      </c>
    </row>
    <row r="6608" spans="1:7" ht="12.75" customHeight="1">
      <c r="A6608" s="3">
        <v>97992</v>
      </c>
      <c r="B6608" s="4" t="s">
        <v>6632</v>
      </c>
      <c r="C6608" s="3" t="s">
        <v>6</v>
      </c>
      <c r="D6608" s="5">
        <f t="shared" si="206"/>
        <v>3876.64</v>
      </c>
      <c r="E6608">
        <v>4255.37</v>
      </c>
      <c r="F6608" s="1789">
        <v>8.8999999999999996E-2</v>
      </c>
      <c r="G6608">
        <f t="shared" si="207"/>
        <v>3876.64</v>
      </c>
    </row>
    <row r="6609" spans="1:7" ht="12.75" customHeight="1">
      <c r="A6609" s="3">
        <v>97993</v>
      </c>
      <c r="B6609" s="4" t="s">
        <v>6633</v>
      </c>
      <c r="C6609" s="3" t="s">
        <v>50</v>
      </c>
      <c r="D6609" s="5">
        <f t="shared" si="206"/>
        <v>2040.18</v>
      </c>
      <c r="E6609">
        <v>2239.5</v>
      </c>
      <c r="F6609" s="1789">
        <v>8.8999999999999996E-2</v>
      </c>
      <c r="G6609">
        <f t="shared" si="207"/>
        <v>2040.18</v>
      </c>
    </row>
    <row r="6610" spans="1:7" ht="12.75" customHeight="1">
      <c r="A6610" s="3">
        <v>97994</v>
      </c>
      <c r="B6610" s="4" t="s">
        <v>6634</v>
      </c>
      <c r="C6610" s="3" t="s">
        <v>6</v>
      </c>
      <c r="D6610" s="5">
        <f t="shared" si="206"/>
        <v>2486.0100000000002</v>
      </c>
      <c r="E6610">
        <v>2728.89</v>
      </c>
      <c r="F6610" s="1789">
        <v>8.8999999999999996E-2</v>
      </c>
      <c r="G6610">
        <f t="shared" si="207"/>
        <v>2486.0100000000002</v>
      </c>
    </row>
    <row r="6611" spans="1:7" ht="12.75" customHeight="1">
      <c r="A6611" s="3">
        <v>97995</v>
      </c>
      <c r="B6611" s="4" t="s">
        <v>6635</v>
      </c>
      <c r="C6611" s="3" t="s">
        <v>50</v>
      </c>
      <c r="D6611" s="5">
        <f t="shared" si="206"/>
        <v>1241.6600000000001</v>
      </c>
      <c r="E6611">
        <v>1362.97</v>
      </c>
      <c r="F6611" s="1789">
        <v>8.8999999999999996E-2</v>
      </c>
      <c r="G6611">
        <f t="shared" si="207"/>
        <v>1241.6600000000001</v>
      </c>
    </row>
    <row r="6612" spans="1:7" ht="12.75" customHeight="1">
      <c r="A6612" s="3">
        <v>97996</v>
      </c>
      <c r="B6612" s="4" t="s">
        <v>6636</v>
      </c>
      <c r="C6612" s="3" t="s">
        <v>6</v>
      </c>
      <c r="D6612" s="5">
        <f t="shared" si="206"/>
        <v>3150.01</v>
      </c>
      <c r="E6612">
        <v>3457.76</v>
      </c>
      <c r="F6612" s="1789">
        <v>8.8999999999999996E-2</v>
      </c>
      <c r="G6612">
        <f t="shared" si="207"/>
        <v>3150.01</v>
      </c>
    </row>
    <row r="6613" spans="1:7" ht="12.75" customHeight="1">
      <c r="A6613" s="3">
        <v>97997</v>
      </c>
      <c r="B6613" s="4" t="s">
        <v>6637</v>
      </c>
      <c r="C6613" s="3" t="s">
        <v>50</v>
      </c>
      <c r="D6613" s="5">
        <f t="shared" ref="D6613:D6676" si="208">G6613</f>
        <v>1483.63</v>
      </c>
      <c r="E6613">
        <v>1628.58</v>
      </c>
      <c r="F6613" s="1789">
        <v>8.8999999999999996E-2</v>
      </c>
      <c r="G6613">
        <f t="shared" ref="G6613:G6676" si="209">TRUNC((1-F6613)*E6613,2)</f>
        <v>1483.63</v>
      </c>
    </row>
    <row r="6614" spans="1:7" ht="12.75" customHeight="1">
      <c r="A6614" s="3">
        <v>97999</v>
      </c>
      <c r="B6614" s="4" t="s">
        <v>6638</v>
      </c>
      <c r="C6614" s="3" t="s">
        <v>50</v>
      </c>
      <c r="D6614" s="5">
        <f t="shared" si="208"/>
        <v>1725.67</v>
      </c>
      <c r="E6614">
        <v>1894.26</v>
      </c>
      <c r="F6614" s="1789">
        <v>8.8999999999999996E-2</v>
      </c>
      <c r="G6614">
        <f t="shared" si="209"/>
        <v>1725.67</v>
      </c>
    </row>
    <row r="6615" spans="1:7" ht="12.75" customHeight="1">
      <c r="A6615" s="3">
        <v>98001</v>
      </c>
      <c r="B6615" s="4" t="s">
        <v>6639</v>
      </c>
      <c r="C6615" s="3" t="s">
        <v>50</v>
      </c>
      <c r="D6615" s="5">
        <f t="shared" si="208"/>
        <v>1967.63</v>
      </c>
      <c r="E6615">
        <v>2159.86</v>
      </c>
      <c r="F6615" s="1789">
        <v>8.8999999999999996E-2</v>
      </c>
      <c r="G6615">
        <f t="shared" si="209"/>
        <v>1967.63</v>
      </c>
    </row>
    <row r="6616" spans="1:7" ht="12.75" customHeight="1">
      <c r="A6616" s="3">
        <v>98002</v>
      </c>
      <c r="B6616" s="4" t="s">
        <v>6640</v>
      </c>
      <c r="C6616" s="3" t="s">
        <v>6</v>
      </c>
      <c r="D6616" s="5">
        <f t="shared" si="208"/>
        <v>5173.45</v>
      </c>
      <c r="E6616">
        <v>5678.87</v>
      </c>
      <c r="F6616" s="1789">
        <v>8.8999999999999996E-2</v>
      </c>
      <c r="G6616">
        <f t="shared" si="209"/>
        <v>5173.45</v>
      </c>
    </row>
    <row r="6617" spans="1:7" ht="12.75" customHeight="1">
      <c r="A6617" s="3">
        <v>98003</v>
      </c>
      <c r="B6617" s="4" t="s">
        <v>6641</v>
      </c>
      <c r="C6617" s="3" t="s">
        <v>50</v>
      </c>
      <c r="D6617" s="5">
        <f t="shared" si="208"/>
        <v>2209.65</v>
      </c>
      <c r="E6617">
        <v>2425.5300000000002</v>
      </c>
      <c r="F6617" s="1789">
        <v>8.8999999999999996E-2</v>
      </c>
      <c r="G6617">
        <f t="shared" si="209"/>
        <v>2209.65</v>
      </c>
    </row>
    <row r="6618" spans="1:7" ht="12.75" customHeight="1">
      <c r="A6618" s="3">
        <v>98005</v>
      </c>
      <c r="B6618" s="4" t="s">
        <v>6642</v>
      </c>
      <c r="C6618" s="3" t="s">
        <v>50</v>
      </c>
      <c r="D6618" s="5">
        <f t="shared" si="208"/>
        <v>2451.6999999999998</v>
      </c>
      <c r="E6618">
        <v>2691.22</v>
      </c>
      <c r="F6618" s="1789">
        <v>8.8999999999999996E-2</v>
      </c>
      <c r="G6618">
        <f t="shared" si="209"/>
        <v>2451.6999999999998</v>
      </c>
    </row>
    <row r="6619" spans="1:7" ht="12.75" customHeight="1">
      <c r="A6619" s="3">
        <v>98006</v>
      </c>
      <c r="B6619" s="4" t="s">
        <v>6643</v>
      </c>
      <c r="C6619" s="3" t="s">
        <v>6</v>
      </c>
      <c r="D6619" s="5">
        <f t="shared" si="208"/>
        <v>6509.33</v>
      </c>
      <c r="E6619">
        <v>7145.26</v>
      </c>
      <c r="F6619" s="1789">
        <v>8.8999999999999996E-2</v>
      </c>
      <c r="G6619">
        <f t="shared" si="209"/>
        <v>6509.33</v>
      </c>
    </row>
    <row r="6620" spans="1:7" ht="12.75" customHeight="1">
      <c r="A6620" s="3">
        <v>98007</v>
      </c>
      <c r="B6620" s="4" t="s">
        <v>6644</v>
      </c>
      <c r="C6620" s="3" t="s">
        <v>50</v>
      </c>
      <c r="D6620" s="5">
        <f t="shared" si="208"/>
        <v>2693.65</v>
      </c>
      <c r="E6620">
        <v>2956.81</v>
      </c>
      <c r="F6620" s="1789">
        <v>8.8999999999999996E-2</v>
      </c>
      <c r="G6620">
        <f t="shared" si="209"/>
        <v>2693.65</v>
      </c>
    </row>
    <row r="6621" spans="1:7" ht="12.75" customHeight="1">
      <c r="A6621" s="3">
        <v>98008</v>
      </c>
      <c r="B6621" s="4" t="s">
        <v>6645</v>
      </c>
      <c r="C6621" s="3" t="s">
        <v>6</v>
      </c>
      <c r="D6621" s="5">
        <f t="shared" si="208"/>
        <v>3914.43</v>
      </c>
      <c r="E6621">
        <v>4296.8500000000004</v>
      </c>
      <c r="F6621" s="1789">
        <v>8.8999999999999996E-2</v>
      </c>
      <c r="G6621">
        <f t="shared" si="209"/>
        <v>3914.43</v>
      </c>
    </row>
    <row r="6622" spans="1:7" ht="12.75" customHeight="1">
      <c r="A6622" s="3">
        <v>98009</v>
      </c>
      <c r="B6622" s="4" t="s">
        <v>6646</v>
      </c>
      <c r="C6622" s="3" t="s">
        <v>50</v>
      </c>
      <c r="D6622" s="5">
        <f t="shared" si="208"/>
        <v>1725.67</v>
      </c>
      <c r="E6622">
        <v>1894.26</v>
      </c>
      <c r="F6622" s="1789">
        <v>8.8999999999999996E-2</v>
      </c>
      <c r="G6622">
        <f t="shared" si="209"/>
        <v>1725.67</v>
      </c>
    </row>
    <row r="6623" spans="1:7" ht="12.75" customHeight="1">
      <c r="A6623" s="3">
        <v>98010</v>
      </c>
      <c r="B6623" s="4" t="s">
        <v>6647</v>
      </c>
      <c r="C6623" s="3" t="s">
        <v>6</v>
      </c>
      <c r="D6623" s="5">
        <f t="shared" si="208"/>
        <v>4782.68</v>
      </c>
      <c r="E6623">
        <v>5249.93</v>
      </c>
      <c r="F6623" s="1789">
        <v>8.8999999999999996E-2</v>
      </c>
      <c r="G6623">
        <f t="shared" si="209"/>
        <v>4782.68</v>
      </c>
    </row>
    <row r="6624" spans="1:7" ht="12.75" customHeight="1">
      <c r="A6624" s="3">
        <v>98011</v>
      </c>
      <c r="B6624" s="4" t="s">
        <v>6648</v>
      </c>
      <c r="C6624" s="3" t="s">
        <v>50</v>
      </c>
      <c r="D6624" s="5">
        <f t="shared" si="208"/>
        <v>1967.63</v>
      </c>
      <c r="E6624">
        <v>2159.86</v>
      </c>
      <c r="F6624" s="1789">
        <v>8.8999999999999996E-2</v>
      </c>
      <c r="G6624">
        <f t="shared" si="209"/>
        <v>1967.63</v>
      </c>
    </row>
    <row r="6625" spans="1:7" ht="12.75" customHeight="1">
      <c r="A6625" s="3">
        <v>98012</v>
      </c>
      <c r="B6625" s="4" t="s">
        <v>6649</v>
      </c>
      <c r="C6625" s="3" t="s">
        <v>6</v>
      </c>
      <c r="D6625" s="5">
        <f t="shared" si="208"/>
        <v>5625.88</v>
      </c>
      <c r="E6625">
        <v>6175.5</v>
      </c>
      <c r="F6625" s="1789">
        <v>8.8999999999999996E-2</v>
      </c>
      <c r="G6625">
        <f t="shared" si="209"/>
        <v>5625.88</v>
      </c>
    </row>
    <row r="6626" spans="1:7" ht="12.75" customHeight="1">
      <c r="A6626" s="3">
        <v>98013</v>
      </c>
      <c r="B6626" s="4" t="s">
        <v>6650</v>
      </c>
      <c r="C6626" s="3" t="s">
        <v>50</v>
      </c>
      <c r="D6626" s="5">
        <f t="shared" si="208"/>
        <v>2209.65</v>
      </c>
      <c r="E6626">
        <v>2425.5300000000002</v>
      </c>
      <c r="F6626" s="1789">
        <v>8.8999999999999996E-2</v>
      </c>
      <c r="G6626">
        <f t="shared" si="209"/>
        <v>2209.65</v>
      </c>
    </row>
    <row r="6627" spans="1:7" ht="12.75" customHeight="1">
      <c r="A6627" s="3">
        <v>98014</v>
      </c>
      <c r="B6627" s="4" t="s">
        <v>6651</v>
      </c>
      <c r="C6627" s="3" t="s">
        <v>6</v>
      </c>
      <c r="D6627" s="5">
        <f t="shared" si="208"/>
        <v>6469.02</v>
      </c>
      <c r="E6627">
        <v>7101.02</v>
      </c>
      <c r="F6627" s="1789">
        <v>8.8999999999999996E-2</v>
      </c>
      <c r="G6627">
        <f t="shared" si="209"/>
        <v>6469.02</v>
      </c>
    </row>
    <row r="6628" spans="1:7" ht="12.75" customHeight="1">
      <c r="A6628" s="3">
        <v>98015</v>
      </c>
      <c r="B6628" s="4" t="s">
        <v>6652</v>
      </c>
      <c r="C6628" s="3" t="s">
        <v>50</v>
      </c>
      <c r="D6628" s="5">
        <f t="shared" si="208"/>
        <v>2451.6999999999998</v>
      </c>
      <c r="E6628">
        <v>2691.22</v>
      </c>
      <c r="F6628" s="1789">
        <v>8.8999999999999996E-2</v>
      </c>
      <c r="G6628">
        <f t="shared" si="209"/>
        <v>2451.6999999999998</v>
      </c>
    </row>
    <row r="6629" spans="1:7" ht="12.75" customHeight="1">
      <c r="A6629" s="3">
        <v>98016</v>
      </c>
      <c r="B6629" s="4" t="s">
        <v>6653</v>
      </c>
      <c r="C6629" s="3" t="s">
        <v>6</v>
      </c>
      <c r="D6629" s="5">
        <f t="shared" si="208"/>
        <v>7312.28</v>
      </c>
      <c r="E6629">
        <v>8026.66</v>
      </c>
      <c r="F6629" s="1789">
        <v>8.8999999999999996E-2</v>
      </c>
      <c r="G6629">
        <f t="shared" si="209"/>
        <v>7312.28</v>
      </c>
    </row>
    <row r="6630" spans="1:7" ht="12.75" customHeight="1">
      <c r="A6630" s="3">
        <v>98017</v>
      </c>
      <c r="B6630" s="4" t="s">
        <v>6654</v>
      </c>
      <c r="C6630" s="3" t="s">
        <v>50</v>
      </c>
      <c r="D6630" s="5">
        <f t="shared" si="208"/>
        <v>2693.65</v>
      </c>
      <c r="E6630">
        <v>2956.81</v>
      </c>
      <c r="F6630" s="1789">
        <v>8.8999999999999996E-2</v>
      </c>
      <c r="G6630">
        <f t="shared" si="209"/>
        <v>2693.65</v>
      </c>
    </row>
    <row r="6631" spans="1:7" ht="12.75" customHeight="1">
      <c r="A6631" s="3">
        <v>98018</v>
      </c>
      <c r="B6631" s="4" t="s">
        <v>6655</v>
      </c>
      <c r="C6631" s="3" t="s">
        <v>6</v>
      </c>
      <c r="D6631" s="5">
        <f t="shared" si="208"/>
        <v>8155.45</v>
      </c>
      <c r="E6631">
        <v>8952.2000000000007</v>
      </c>
      <c r="F6631" s="1789">
        <v>8.8999999999999996E-2</v>
      </c>
      <c r="G6631">
        <f t="shared" si="209"/>
        <v>8155.45</v>
      </c>
    </row>
    <row r="6632" spans="1:7" ht="12.75" customHeight="1">
      <c r="A6632" s="3">
        <v>98019</v>
      </c>
      <c r="B6632" s="4" t="s">
        <v>6656</v>
      </c>
      <c r="C6632" s="3" t="s">
        <v>50</v>
      </c>
      <c r="D6632" s="5">
        <f t="shared" si="208"/>
        <v>2957.84</v>
      </c>
      <c r="E6632">
        <v>3246.81</v>
      </c>
      <c r="F6632" s="1789">
        <v>8.8999999999999996E-2</v>
      </c>
      <c r="G6632">
        <f t="shared" si="209"/>
        <v>2957.84</v>
      </c>
    </row>
    <row r="6633" spans="1:7" ht="12.75" customHeight="1">
      <c r="A6633" s="3">
        <v>98020</v>
      </c>
      <c r="B6633" s="4" t="s">
        <v>6657</v>
      </c>
      <c r="C6633" s="3" t="s">
        <v>6</v>
      </c>
      <c r="D6633" s="5">
        <f t="shared" si="208"/>
        <v>5791.29</v>
      </c>
      <c r="E6633">
        <v>6357.07</v>
      </c>
      <c r="F6633" s="1789">
        <v>8.8999999999999996E-2</v>
      </c>
      <c r="G6633">
        <f t="shared" si="209"/>
        <v>5791.29</v>
      </c>
    </row>
    <row r="6634" spans="1:7" ht="12.75" customHeight="1">
      <c r="A6634" s="3">
        <v>98021</v>
      </c>
      <c r="B6634" s="4" t="s">
        <v>6658</v>
      </c>
      <c r="C6634" s="3" t="s">
        <v>50</v>
      </c>
      <c r="D6634" s="5">
        <f t="shared" si="208"/>
        <v>2231.87</v>
      </c>
      <c r="E6634">
        <v>2449.92</v>
      </c>
      <c r="F6634" s="1789">
        <v>8.8999999999999996E-2</v>
      </c>
      <c r="G6634">
        <f t="shared" si="209"/>
        <v>2231.87</v>
      </c>
    </row>
    <row r="6635" spans="1:7" ht="12.75" customHeight="1">
      <c r="A6635" s="3">
        <v>98022</v>
      </c>
      <c r="B6635" s="4" t="s">
        <v>6659</v>
      </c>
      <c r="C6635" s="3" t="s">
        <v>6</v>
      </c>
      <c r="D6635" s="5">
        <f t="shared" si="208"/>
        <v>6797.2</v>
      </c>
      <c r="E6635">
        <v>7461.26</v>
      </c>
      <c r="F6635" s="1789">
        <v>8.8999999999999996E-2</v>
      </c>
      <c r="G6635">
        <f t="shared" si="209"/>
        <v>6797.2</v>
      </c>
    </row>
    <row r="6636" spans="1:7" ht="12.75" customHeight="1">
      <c r="A6636" s="3">
        <v>98023</v>
      </c>
      <c r="B6636" s="4" t="s">
        <v>6660</v>
      </c>
      <c r="C6636" s="3" t="s">
        <v>50</v>
      </c>
      <c r="D6636" s="5">
        <f t="shared" si="208"/>
        <v>2473.84</v>
      </c>
      <c r="E6636">
        <v>2715.53</v>
      </c>
      <c r="F6636" s="1789">
        <v>8.8999999999999996E-2</v>
      </c>
      <c r="G6636">
        <f t="shared" si="209"/>
        <v>2473.84</v>
      </c>
    </row>
    <row r="6637" spans="1:7" ht="12.75" customHeight="1">
      <c r="A6637" s="3">
        <v>98024</v>
      </c>
      <c r="B6637" s="4" t="s">
        <v>6661</v>
      </c>
      <c r="C6637" s="3" t="s">
        <v>6</v>
      </c>
      <c r="D6637" s="5">
        <f t="shared" si="208"/>
        <v>7858.54</v>
      </c>
      <c r="E6637">
        <v>8626.2800000000007</v>
      </c>
      <c r="F6637" s="1789">
        <v>8.8999999999999996E-2</v>
      </c>
      <c r="G6637">
        <f t="shared" si="209"/>
        <v>7858.54</v>
      </c>
    </row>
    <row r="6638" spans="1:7" ht="12.75" customHeight="1">
      <c r="A6638" s="3">
        <v>98025</v>
      </c>
      <c r="B6638" s="4" t="s">
        <v>6662</v>
      </c>
      <c r="C6638" s="3" t="s">
        <v>50</v>
      </c>
      <c r="D6638" s="5">
        <f t="shared" si="208"/>
        <v>2715.87</v>
      </c>
      <c r="E6638">
        <v>2981.2</v>
      </c>
      <c r="F6638" s="1789">
        <v>8.8999999999999996E-2</v>
      </c>
      <c r="G6638">
        <f t="shared" si="209"/>
        <v>2715.87</v>
      </c>
    </row>
    <row r="6639" spans="1:7" ht="12.75" customHeight="1">
      <c r="A6639" s="3">
        <v>98026</v>
      </c>
      <c r="B6639" s="4" t="s">
        <v>6663</v>
      </c>
      <c r="C6639" s="3" t="s">
        <v>6</v>
      </c>
      <c r="D6639" s="5">
        <f t="shared" si="208"/>
        <v>8871.4699999999993</v>
      </c>
      <c r="E6639">
        <v>9738.17</v>
      </c>
      <c r="F6639" s="1789">
        <v>8.8999999999999996E-2</v>
      </c>
      <c r="G6639">
        <f t="shared" si="209"/>
        <v>8871.4699999999993</v>
      </c>
    </row>
    <row r="6640" spans="1:7" ht="12.75" customHeight="1">
      <c r="A6640" s="3">
        <v>98027</v>
      </c>
      <c r="B6640" s="4" t="s">
        <v>6664</v>
      </c>
      <c r="C6640" s="3" t="s">
        <v>50</v>
      </c>
      <c r="D6640" s="5">
        <f t="shared" si="208"/>
        <v>2957.84</v>
      </c>
      <c r="E6640">
        <v>3246.81</v>
      </c>
      <c r="F6640" s="1789">
        <v>8.8999999999999996E-2</v>
      </c>
      <c r="G6640">
        <f t="shared" si="209"/>
        <v>2957.84</v>
      </c>
    </row>
    <row r="6641" spans="1:7" ht="12.75" customHeight="1">
      <c r="A6641" s="3">
        <v>98028</v>
      </c>
      <c r="B6641" s="4" t="s">
        <v>6665</v>
      </c>
      <c r="C6641" s="3" t="s">
        <v>6</v>
      </c>
      <c r="D6641" s="5">
        <f t="shared" si="208"/>
        <v>9884.42</v>
      </c>
      <c r="E6641">
        <v>10850.08</v>
      </c>
      <c r="F6641" s="1789">
        <v>8.8999999999999996E-2</v>
      </c>
      <c r="G6641">
        <f t="shared" si="209"/>
        <v>9884.42</v>
      </c>
    </row>
    <row r="6642" spans="1:7" ht="12.75" customHeight="1">
      <c r="A6642" s="3">
        <v>98029</v>
      </c>
      <c r="B6642" s="4" t="s">
        <v>6666</v>
      </c>
      <c r="C6642" s="3" t="s">
        <v>50</v>
      </c>
      <c r="D6642" s="5">
        <f t="shared" si="208"/>
        <v>3204.4</v>
      </c>
      <c r="E6642">
        <v>3517.46</v>
      </c>
      <c r="F6642" s="1789">
        <v>8.8999999999999996E-2</v>
      </c>
      <c r="G6642">
        <f t="shared" si="209"/>
        <v>3204.4</v>
      </c>
    </row>
    <row r="6643" spans="1:7" ht="12.75" customHeight="1">
      <c r="A6643" s="3">
        <v>98030</v>
      </c>
      <c r="B6643" s="4" t="s">
        <v>6667</v>
      </c>
      <c r="C6643" s="3" t="s">
        <v>6</v>
      </c>
      <c r="D6643" s="5">
        <f t="shared" si="208"/>
        <v>8068.73</v>
      </c>
      <c r="E6643">
        <v>8857.01</v>
      </c>
      <c r="F6643" s="1789">
        <v>8.8999999999999996E-2</v>
      </c>
      <c r="G6643">
        <f t="shared" si="209"/>
        <v>8068.73</v>
      </c>
    </row>
    <row r="6644" spans="1:7" ht="12.75" customHeight="1">
      <c r="A6644" s="3">
        <v>98031</v>
      </c>
      <c r="B6644" s="4" t="s">
        <v>6668</v>
      </c>
      <c r="C6644" s="3" t="s">
        <v>50</v>
      </c>
      <c r="D6644" s="5">
        <f t="shared" si="208"/>
        <v>2720.51</v>
      </c>
      <c r="E6644">
        <v>2986.29</v>
      </c>
      <c r="F6644" s="1789">
        <v>8.8999999999999996E-2</v>
      </c>
      <c r="G6644">
        <f t="shared" si="209"/>
        <v>2720.51</v>
      </c>
    </row>
    <row r="6645" spans="1:7" ht="12.75" customHeight="1">
      <c r="A6645" s="3">
        <v>98032</v>
      </c>
      <c r="B6645" s="4" t="s">
        <v>6669</v>
      </c>
      <c r="C6645" s="3" t="s">
        <v>6</v>
      </c>
      <c r="D6645" s="5">
        <f t="shared" si="208"/>
        <v>9296.39</v>
      </c>
      <c r="E6645">
        <v>10204.61</v>
      </c>
      <c r="F6645" s="1789">
        <v>8.8999999999999996E-2</v>
      </c>
      <c r="G6645">
        <f t="shared" si="209"/>
        <v>9296.39</v>
      </c>
    </row>
    <row r="6646" spans="1:7" ht="12.75" customHeight="1">
      <c r="A6646" s="3">
        <v>98033</v>
      </c>
      <c r="B6646" s="4" t="s">
        <v>6670</v>
      </c>
      <c r="C6646" s="3" t="s">
        <v>50</v>
      </c>
      <c r="D6646" s="5">
        <f t="shared" si="208"/>
        <v>2962.48</v>
      </c>
      <c r="E6646">
        <v>3251.9</v>
      </c>
      <c r="F6646" s="1789">
        <v>8.8999999999999996E-2</v>
      </c>
      <c r="G6646">
        <f t="shared" si="209"/>
        <v>2962.48</v>
      </c>
    </row>
    <row r="6647" spans="1:7" ht="12.75" customHeight="1">
      <c r="A6647" s="3">
        <v>98034</v>
      </c>
      <c r="B6647" s="4" t="s">
        <v>6671</v>
      </c>
      <c r="C6647" s="3" t="s">
        <v>6</v>
      </c>
      <c r="D6647" s="5">
        <f t="shared" si="208"/>
        <v>10524.07</v>
      </c>
      <c r="E6647">
        <v>11552.22</v>
      </c>
      <c r="F6647" s="1789">
        <v>8.8999999999999996E-2</v>
      </c>
      <c r="G6647">
        <f t="shared" si="209"/>
        <v>10524.07</v>
      </c>
    </row>
    <row r="6648" spans="1:7" ht="12.75" customHeight="1">
      <c r="A6648" s="3">
        <v>98035</v>
      </c>
      <c r="B6648" s="4" t="s">
        <v>6672</v>
      </c>
      <c r="C6648" s="3" t="s">
        <v>50</v>
      </c>
      <c r="D6648" s="5">
        <f t="shared" si="208"/>
        <v>3204.4</v>
      </c>
      <c r="E6648">
        <v>3517.46</v>
      </c>
      <c r="F6648" s="1789">
        <v>8.8999999999999996E-2</v>
      </c>
      <c r="G6648">
        <f t="shared" si="209"/>
        <v>3204.4</v>
      </c>
    </row>
    <row r="6649" spans="1:7" ht="12.75" customHeight="1">
      <c r="A6649" s="3">
        <v>98036</v>
      </c>
      <c r="B6649" s="4" t="s">
        <v>6673</v>
      </c>
      <c r="C6649" s="3" t="s">
        <v>6</v>
      </c>
      <c r="D6649" s="5">
        <f t="shared" si="208"/>
        <v>11751.69</v>
      </c>
      <c r="E6649">
        <v>12899.78</v>
      </c>
      <c r="F6649" s="1789">
        <v>8.8999999999999996E-2</v>
      </c>
      <c r="G6649">
        <f t="shared" si="209"/>
        <v>11751.69</v>
      </c>
    </row>
    <row r="6650" spans="1:7" ht="12.75" customHeight="1">
      <c r="A6650" s="3">
        <v>98037</v>
      </c>
      <c r="B6650" s="4" t="s">
        <v>6674</v>
      </c>
      <c r="C6650" s="3" t="s">
        <v>50</v>
      </c>
      <c r="D6650" s="5">
        <f t="shared" si="208"/>
        <v>3451</v>
      </c>
      <c r="E6650">
        <v>3788.15</v>
      </c>
      <c r="F6650" s="1789">
        <v>8.8999999999999996E-2</v>
      </c>
      <c r="G6650">
        <f t="shared" si="209"/>
        <v>3451</v>
      </c>
    </row>
    <row r="6651" spans="1:7" ht="12.75" customHeight="1">
      <c r="A6651" s="3">
        <v>98038</v>
      </c>
      <c r="B6651" s="4" t="s">
        <v>6675</v>
      </c>
      <c r="C6651" s="3" t="s">
        <v>6</v>
      </c>
      <c r="D6651" s="5">
        <f t="shared" si="208"/>
        <v>10756.24</v>
      </c>
      <c r="E6651">
        <v>11807.08</v>
      </c>
      <c r="F6651" s="1789">
        <v>8.8999999999999996E-2</v>
      </c>
      <c r="G6651">
        <f t="shared" si="209"/>
        <v>10756.24</v>
      </c>
    </row>
    <row r="6652" spans="1:7" ht="12.75" customHeight="1">
      <c r="A6652" s="3">
        <v>98039</v>
      </c>
      <c r="B6652" s="4" t="s">
        <v>6676</v>
      </c>
      <c r="C6652" s="3" t="s">
        <v>50</v>
      </c>
      <c r="D6652" s="5">
        <f t="shared" si="208"/>
        <v>3209.04</v>
      </c>
      <c r="E6652">
        <v>3522.55</v>
      </c>
      <c r="F6652" s="1789">
        <v>8.8999999999999996E-2</v>
      </c>
      <c r="G6652">
        <f t="shared" si="209"/>
        <v>3209.04</v>
      </c>
    </row>
    <row r="6653" spans="1:7" ht="12.75" customHeight="1">
      <c r="A6653" s="3">
        <v>98040</v>
      </c>
      <c r="B6653" s="4" t="s">
        <v>6677</v>
      </c>
      <c r="C6653" s="3" t="s">
        <v>6</v>
      </c>
      <c r="D6653" s="5">
        <f t="shared" si="208"/>
        <v>12170.65</v>
      </c>
      <c r="E6653">
        <v>13359.67</v>
      </c>
      <c r="F6653" s="1789">
        <v>8.8999999999999996E-2</v>
      </c>
      <c r="G6653">
        <f t="shared" si="209"/>
        <v>12170.65</v>
      </c>
    </row>
    <row r="6654" spans="1:7" ht="12.75" customHeight="1">
      <c r="A6654" s="3">
        <v>98041</v>
      </c>
      <c r="B6654" s="4" t="s">
        <v>6678</v>
      </c>
      <c r="C6654" s="3" t="s">
        <v>50</v>
      </c>
      <c r="D6654" s="5">
        <f t="shared" si="208"/>
        <v>3451</v>
      </c>
      <c r="E6654">
        <v>3788.15</v>
      </c>
      <c r="F6654" s="1789">
        <v>8.8999999999999996E-2</v>
      </c>
      <c r="G6654">
        <f t="shared" si="209"/>
        <v>3451</v>
      </c>
    </row>
    <row r="6655" spans="1:7" ht="12.75" customHeight="1">
      <c r="A6655" s="3">
        <v>98042</v>
      </c>
      <c r="B6655" s="4" t="s">
        <v>6679</v>
      </c>
      <c r="C6655" s="3" t="s">
        <v>6</v>
      </c>
      <c r="D6655" s="5">
        <f t="shared" si="208"/>
        <v>13585.12</v>
      </c>
      <c r="E6655">
        <v>14912.32</v>
      </c>
      <c r="F6655" s="1789">
        <v>8.8999999999999996E-2</v>
      </c>
      <c r="G6655">
        <f t="shared" si="209"/>
        <v>13585.12</v>
      </c>
    </row>
    <row r="6656" spans="1:7" ht="12.75" customHeight="1">
      <c r="A6656" s="3">
        <v>98043</v>
      </c>
      <c r="B6656" s="4" t="s">
        <v>6680</v>
      </c>
      <c r="C6656" s="3" t="s">
        <v>50</v>
      </c>
      <c r="D6656" s="5">
        <f t="shared" si="208"/>
        <v>3697.65</v>
      </c>
      <c r="E6656">
        <v>4058.9</v>
      </c>
      <c r="F6656" s="1789">
        <v>8.8999999999999996E-2</v>
      </c>
      <c r="G6656">
        <f t="shared" si="209"/>
        <v>3697.65</v>
      </c>
    </row>
    <row r="6657" spans="1:7" ht="12.75" customHeight="1">
      <c r="A6657" s="3">
        <v>98044</v>
      </c>
      <c r="B6657" s="4" t="s">
        <v>6681</v>
      </c>
      <c r="C6657" s="3" t="s">
        <v>6</v>
      </c>
      <c r="D6657" s="5">
        <f t="shared" si="208"/>
        <v>13817.38</v>
      </c>
      <c r="E6657">
        <v>15167.27</v>
      </c>
      <c r="F6657" s="1789">
        <v>8.8999999999999996E-2</v>
      </c>
      <c r="G6657">
        <f t="shared" si="209"/>
        <v>13817.38</v>
      </c>
    </row>
    <row r="6658" spans="1:7" ht="12.75" customHeight="1">
      <c r="A6658" s="3">
        <v>98045</v>
      </c>
      <c r="B6658" s="4" t="s">
        <v>6682</v>
      </c>
      <c r="C6658" s="3" t="s">
        <v>50</v>
      </c>
      <c r="D6658" s="5">
        <f t="shared" si="208"/>
        <v>3697.65</v>
      </c>
      <c r="E6658">
        <v>4058.9</v>
      </c>
      <c r="F6658" s="1789">
        <v>8.8999999999999996E-2</v>
      </c>
      <c r="G6658">
        <f t="shared" si="209"/>
        <v>3697.65</v>
      </c>
    </row>
    <row r="6659" spans="1:7" ht="12.75" customHeight="1">
      <c r="A6659" s="3">
        <v>98046</v>
      </c>
      <c r="B6659" s="4" t="s">
        <v>6683</v>
      </c>
      <c r="C6659" s="3" t="s">
        <v>6</v>
      </c>
      <c r="D6659" s="5">
        <f t="shared" si="208"/>
        <v>15418.44</v>
      </c>
      <c r="E6659">
        <v>16924.75</v>
      </c>
      <c r="F6659" s="1789">
        <v>8.8999999999999996E-2</v>
      </c>
      <c r="G6659">
        <f t="shared" si="209"/>
        <v>15418.44</v>
      </c>
    </row>
    <row r="6660" spans="1:7" ht="12.75" customHeight="1">
      <c r="A6660" s="3">
        <v>98047</v>
      </c>
      <c r="B6660" s="4" t="s">
        <v>6684</v>
      </c>
      <c r="C6660" s="3" t="s">
        <v>50</v>
      </c>
      <c r="D6660" s="5">
        <f t="shared" si="208"/>
        <v>3944.25</v>
      </c>
      <c r="E6660">
        <v>4329.59</v>
      </c>
      <c r="F6660" s="1789">
        <v>8.8999999999999996E-2</v>
      </c>
      <c r="G6660">
        <f t="shared" si="209"/>
        <v>3944.25</v>
      </c>
    </row>
    <row r="6661" spans="1:7" ht="12.75" customHeight="1">
      <c r="A6661" s="3">
        <v>98048</v>
      </c>
      <c r="B6661" s="4" t="s">
        <v>6685</v>
      </c>
      <c r="C6661" s="3" t="s">
        <v>6</v>
      </c>
      <c r="D6661" s="5">
        <f t="shared" si="208"/>
        <v>17251.86</v>
      </c>
      <c r="E6661">
        <v>18937.28</v>
      </c>
      <c r="F6661" s="1789">
        <v>8.8999999999999996E-2</v>
      </c>
      <c r="G6661">
        <f t="shared" si="209"/>
        <v>17251.86</v>
      </c>
    </row>
    <row r="6662" spans="1:7" ht="12.75" customHeight="1">
      <c r="A6662" s="3">
        <v>98049</v>
      </c>
      <c r="B6662" s="4" t="s">
        <v>6686</v>
      </c>
      <c r="C6662" s="3" t="s">
        <v>50</v>
      </c>
      <c r="D6662" s="5">
        <f t="shared" si="208"/>
        <v>4145.6099999999997</v>
      </c>
      <c r="E6662">
        <v>4550.62</v>
      </c>
      <c r="F6662" s="1789">
        <v>8.8999999999999996E-2</v>
      </c>
      <c r="G6662">
        <f t="shared" si="209"/>
        <v>4145.6099999999997</v>
      </c>
    </row>
    <row r="6663" spans="1:7" ht="12.75" customHeight="1">
      <c r="A6663" s="3">
        <v>98050</v>
      </c>
      <c r="B6663" s="4" t="s">
        <v>6687</v>
      </c>
      <c r="C6663" s="3" t="s">
        <v>50</v>
      </c>
      <c r="D6663" s="5">
        <f t="shared" si="208"/>
        <v>256.22000000000003</v>
      </c>
      <c r="E6663">
        <v>281.26</v>
      </c>
      <c r="F6663" s="1789">
        <v>8.8999999999999996E-2</v>
      </c>
      <c r="G6663">
        <f t="shared" si="209"/>
        <v>256.22000000000003</v>
      </c>
    </row>
    <row r="6664" spans="1:7" ht="12.75" customHeight="1">
      <c r="A6664" s="3">
        <v>98051</v>
      </c>
      <c r="B6664" s="4" t="s">
        <v>6688</v>
      </c>
      <c r="C6664" s="3" t="s">
        <v>50</v>
      </c>
      <c r="D6664" s="5">
        <f t="shared" si="208"/>
        <v>942.18</v>
      </c>
      <c r="E6664">
        <v>1034.23</v>
      </c>
      <c r="F6664" s="1789">
        <v>8.8999999999999996E-2</v>
      </c>
      <c r="G6664">
        <f t="shared" si="209"/>
        <v>942.18</v>
      </c>
    </row>
    <row r="6665" spans="1:7" ht="12.75" customHeight="1">
      <c r="A6665" s="3">
        <v>98405</v>
      </c>
      <c r="B6665" s="4" t="s">
        <v>6689</v>
      </c>
      <c r="C6665" s="3" t="s">
        <v>6</v>
      </c>
      <c r="D6665" s="5">
        <f t="shared" si="208"/>
        <v>2519.6999999999998</v>
      </c>
      <c r="E6665">
        <v>2765.87</v>
      </c>
      <c r="F6665" s="1789">
        <v>8.8999999999999996E-2</v>
      </c>
      <c r="G6665">
        <f t="shared" si="209"/>
        <v>2519.6999999999998</v>
      </c>
    </row>
    <row r="6666" spans="1:7" ht="12.75" customHeight="1">
      <c r="A6666" s="3">
        <v>98406</v>
      </c>
      <c r="B6666" s="4" t="s">
        <v>6690</v>
      </c>
      <c r="C6666" s="3" t="s">
        <v>6</v>
      </c>
      <c r="D6666" s="5">
        <f t="shared" si="208"/>
        <v>5841.35</v>
      </c>
      <c r="E6666">
        <v>6412.03</v>
      </c>
      <c r="F6666" s="1789">
        <v>8.8999999999999996E-2</v>
      </c>
      <c r="G6666">
        <f t="shared" si="209"/>
        <v>5841.35</v>
      </c>
    </row>
    <row r="6667" spans="1:7" ht="12.75" customHeight="1">
      <c r="A6667" s="3">
        <v>98407</v>
      </c>
      <c r="B6667" s="4" t="s">
        <v>6691</v>
      </c>
      <c r="C6667" s="3" t="s">
        <v>6</v>
      </c>
      <c r="D6667" s="5">
        <f t="shared" si="208"/>
        <v>3813.93</v>
      </c>
      <c r="E6667">
        <v>4186.54</v>
      </c>
      <c r="F6667" s="1789">
        <v>8.8999999999999996E-2</v>
      </c>
      <c r="G6667">
        <f t="shared" si="209"/>
        <v>3813.93</v>
      </c>
    </row>
    <row r="6668" spans="1:7" ht="12.75" customHeight="1">
      <c r="A6668" s="3">
        <v>98408</v>
      </c>
      <c r="B6668" s="4" t="s">
        <v>6692</v>
      </c>
      <c r="C6668" s="3" t="s">
        <v>6</v>
      </c>
      <c r="D6668" s="5">
        <f t="shared" si="208"/>
        <v>4477.91</v>
      </c>
      <c r="E6668">
        <v>4915.38</v>
      </c>
      <c r="F6668" s="1789">
        <v>8.8999999999999996E-2</v>
      </c>
      <c r="G6668">
        <f t="shared" si="209"/>
        <v>4477.91</v>
      </c>
    </row>
    <row r="6669" spans="1:7" ht="12.75" customHeight="1">
      <c r="A6669" s="3">
        <v>98409</v>
      </c>
      <c r="B6669" s="4" t="s">
        <v>6693</v>
      </c>
      <c r="C6669" s="3" t="s">
        <v>50</v>
      </c>
      <c r="D6669" s="5">
        <f t="shared" si="208"/>
        <v>350.46</v>
      </c>
      <c r="E6669">
        <v>384.7</v>
      </c>
      <c r="F6669" s="1789">
        <v>8.8999999999999996E-2</v>
      </c>
      <c r="G6669">
        <f t="shared" si="209"/>
        <v>350.46</v>
      </c>
    </row>
    <row r="6670" spans="1:7" ht="12.75" customHeight="1">
      <c r="A6670" s="3">
        <v>98410</v>
      </c>
      <c r="B6670" s="4" t="s">
        <v>6694</v>
      </c>
      <c r="C6670" s="3" t="s">
        <v>6</v>
      </c>
      <c r="D6670" s="5">
        <f t="shared" si="208"/>
        <v>1171.68</v>
      </c>
      <c r="E6670">
        <v>1286.1500000000001</v>
      </c>
      <c r="F6670" s="1789">
        <v>8.8999999999999996E-2</v>
      </c>
      <c r="G6670">
        <f t="shared" si="209"/>
        <v>1171.68</v>
      </c>
    </row>
    <row r="6671" spans="1:7" ht="12.75" customHeight="1">
      <c r="A6671" s="3">
        <v>99240</v>
      </c>
      <c r="B6671" s="4" t="s">
        <v>6695</v>
      </c>
      <c r="C6671" s="3" t="s">
        <v>50</v>
      </c>
      <c r="D6671" s="5">
        <f t="shared" si="208"/>
        <v>613.49</v>
      </c>
      <c r="E6671">
        <v>673.43</v>
      </c>
      <c r="F6671" s="1789">
        <v>8.8999999999999996E-2</v>
      </c>
      <c r="G6671">
        <f t="shared" si="209"/>
        <v>613.49</v>
      </c>
    </row>
    <row r="6672" spans="1:7" ht="12.75" customHeight="1">
      <c r="A6672" s="3">
        <v>99241</v>
      </c>
      <c r="B6672" s="4" t="s">
        <v>6696</v>
      </c>
      <c r="C6672" s="3" t="s">
        <v>50</v>
      </c>
      <c r="D6672" s="5">
        <f t="shared" si="208"/>
        <v>1655.3</v>
      </c>
      <c r="E6672">
        <v>1817.02</v>
      </c>
      <c r="F6672" s="1789">
        <v>8.8999999999999996E-2</v>
      </c>
      <c r="G6672">
        <f t="shared" si="209"/>
        <v>1655.3</v>
      </c>
    </row>
    <row r="6673" spans="1:7" ht="12.75" customHeight="1">
      <c r="A6673" s="3">
        <v>99242</v>
      </c>
      <c r="B6673" s="4" t="s">
        <v>6697</v>
      </c>
      <c r="C6673" s="3" t="s">
        <v>6</v>
      </c>
      <c r="D6673" s="5">
        <f t="shared" si="208"/>
        <v>2911.41</v>
      </c>
      <c r="E6673">
        <v>3195.85</v>
      </c>
      <c r="F6673" s="1789">
        <v>8.8999999999999996E-2</v>
      </c>
      <c r="G6673">
        <f t="shared" si="209"/>
        <v>2911.41</v>
      </c>
    </row>
    <row r="6674" spans="1:7" ht="12.75" customHeight="1">
      <c r="A6674" s="3">
        <v>99243</v>
      </c>
      <c r="B6674" s="4" t="s">
        <v>6698</v>
      </c>
      <c r="C6674" s="3" t="s">
        <v>50</v>
      </c>
      <c r="D6674" s="5">
        <f t="shared" si="208"/>
        <v>1582.71</v>
      </c>
      <c r="E6674">
        <v>1737.34</v>
      </c>
      <c r="F6674" s="1789">
        <v>8.8999999999999996E-2</v>
      </c>
      <c r="G6674">
        <f t="shared" si="209"/>
        <v>1582.71</v>
      </c>
    </row>
    <row r="6675" spans="1:7" ht="12.75" customHeight="1">
      <c r="A6675" s="3">
        <v>99244</v>
      </c>
      <c r="B6675" s="4" t="s">
        <v>6699</v>
      </c>
      <c r="C6675" s="3" t="s">
        <v>6</v>
      </c>
      <c r="D6675" s="5">
        <f t="shared" si="208"/>
        <v>4667.72</v>
      </c>
      <c r="E6675">
        <v>5123.74</v>
      </c>
      <c r="F6675" s="1789">
        <v>8.8999999999999996E-2</v>
      </c>
      <c r="G6675">
        <f t="shared" si="209"/>
        <v>4667.72</v>
      </c>
    </row>
    <row r="6676" spans="1:7" ht="12.75" customHeight="1">
      <c r="A6676" s="3">
        <v>99246</v>
      </c>
      <c r="B6676" s="4" t="s">
        <v>6700</v>
      </c>
      <c r="C6676" s="3" t="s">
        <v>50</v>
      </c>
      <c r="D6676" s="5">
        <f t="shared" si="208"/>
        <v>841.32</v>
      </c>
      <c r="E6676">
        <v>923.52</v>
      </c>
      <c r="F6676" s="1789">
        <v>8.8999999999999996E-2</v>
      </c>
      <c r="G6676">
        <f t="shared" si="209"/>
        <v>841.32</v>
      </c>
    </row>
    <row r="6677" spans="1:7" ht="12.75" customHeight="1">
      <c r="A6677" s="3">
        <v>99247</v>
      </c>
      <c r="B6677" s="4" t="s">
        <v>6701</v>
      </c>
      <c r="C6677" s="3" t="s">
        <v>50</v>
      </c>
      <c r="D6677" s="5">
        <f t="shared" ref="D6677:D6740" si="210">G6677</f>
        <v>1886.92</v>
      </c>
      <c r="E6677">
        <v>2071.27</v>
      </c>
      <c r="F6677" s="1789">
        <v>8.8999999999999996E-2</v>
      </c>
      <c r="G6677">
        <f t="shared" ref="G6677:G6740" si="211">TRUNC((1-F6677)*E6677,2)</f>
        <v>1886.92</v>
      </c>
    </row>
    <row r="6678" spans="1:7" ht="12.75" customHeight="1">
      <c r="A6678" s="3">
        <v>99248</v>
      </c>
      <c r="B6678" s="4" t="s">
        <v>6702</v>
      </c>
      <c r="C6678" s="3" t="s">
        <v>6</v>
      </c>
      <c r="D6678" s="5">
        <f t="shared" si="210"/>
        <v>3761.16</v>
      </c>
      <c r="E6678">
        <v>4128.6099999999997</v>
      </c>
      <c r="F6678" s="1789">
        <v>8.8999999999999996E-2</v>
      </c>
      <c r="G6678">
        <f t="shared" si="211"/>
        <v>3761.16</v>
      </c>
    </row>
    <row r="6679" spans="1:7" ht="12.75" customHeight="1">
      <c r="A6679" s="3">
        <v>99249</v>
      </c>
      <c r="B6679" s="4" t="s">
        <v>6703</v>
      </c>
      <c r="C6679" s="3" t="s">
        <v>50</v>
      </c>
      <c r="D6679" s="5">
        <f t="shared" si="210"/>
        <v>1935.45</v>
      </c>
      <c r="E6679">
        <v>2124.54</v>
      </c>
      <c r="F6679" s="1789">
        <v>8.8999999999999996E-2</v>
      </c>
      <c r="G6679">
        <f t="shared" si="211"/>
        <v>1935.45</v>
      </c>
    </row>
    <row r="6680" spans="1:7" ht="12.75" customHeight="1">
      <c r="A6680" s="3">
        <v>99252</v>
      </c>
      <c r="B6680" s="4" t="s">
        <v>6704</v>
      </c>
      <c r="C6680" s="3" t="s">
        <v>6</v>
      </c>
      <c r="D6680" s="5">
        <f t="shared" si="210"/>
        <v>2426.09</v>
      </c>
      <c r="E6680">
        <v>2663.11</v>
      </c>
      <c r="F6680" s="1789">
        <v>8.8999999999999996E-2</v>
      </c>
      <c r="G6680">
        <f t="shared" si="211"/>
        <v>2426.09</v>
      </c>
    </row>
    <row r="6681" spans="1:7" ht="12.75" customHeight="1">
      <c r="A6681" s="3">
        <v>99254</v>
      </c>
      <c r="B6681" s="4" t="s">
        <v>6705</v>
      </c>
      <c r="C6681" s="3" t="s">
        <v>50</v>
      </c>
      <c r="D6681" s="5">
        <f t="shared" si="210"/>
        <v>1191.98</v>
      </c>
      <c r="E6681">
        <v>1308.44</v>
      </c>
      <c r="F6681" s="1789">
        <v>8.8999999999999996E-2</v>
      </c>
      <c r="G6681">
        <f t="shared" si="211"/>
        <v>1191.98</v>
      </c>
    </row>
    <row r="6682" spans="1:7" ht="12.75" customHeight="1">
      <c r="A6682" s="3">
        <v>99256</v>
      </c>
      <c r="B6682" s="4" t="s">
        <v>6706</v>
      </c>
      <c r="C6682" s="3" t="s">
        <v>6</v>
      </c>
      <c r="D6682" s="5">
        <f t="shared" si="210"/>
        <v>5490.19</v>
      </c>
      <c r="E6682">
        <v>6026.56</v>
      </c>
      <c r="F6682" s="1789">
        <v>8.8999999999999996E-2</v>
      </c>
      <c r="G6682">
        <f t="shared" si="211"/>
        <v>5490.19</v>
      </c>
    </row>
    <row r="6683" spans="1:7" ht="12.75" customHeight="1">
      <c r="A6683" s="3">
        <v>99259</v>
      </c>
      <c r="B6683" s="4" t="s">
        <v>6707</v>
      </c>
      <c r="C6683" s="3" t="s">
        <v>6</v>
      </c>
      <c r="D6683" s="5">
        <f t="shared" si="210"/>
        <v>3073.55</v>
      </c>
      <c r="E6683">
        <v>3373.82</v>
      </c>
      <c r="F6683" s="1789">
        <v>8.8999999999999996E-2</v>
      </c>
      <c r="G6683">
        <f t="shared" si="211"/>
        <v>3073.55</v>
      </c>
    </row>
    <row r="6684" spans="1:7" ht="12.75" customHeight="1">
      <c r="A6684" s="3">
        <v>99261</v>
      </c>
      <c r="B6684" s="4" t="s">
        <v>6708</v>
      </c>
      <c r="C6684" s="3" t="s">
        <v>50</v>
      </c>
      <c r="D6684" s="5">
        <f t="shared" si="210"/>
        <v>1423.61</v>
      </c>
      <c r="E6684">
        <v>1562.7</v>
      </c>
      <c r="F6684" s="1789">
        <v>8.8999999999999996E-2</v>
      </c>
      <c r="G6684">
        <f t="shared" si="211"/>
        <v>1423.61</v>
      </c>
    </row>
    <row r="6685" spans="1:7" ht="12.75" customHeight="1">
      <c r="A6685" s="3">
        <v>99263</v>
      </c>
      <c r="B6685" s="4" t="s">
        <v>6709</v>
      </c>
      <c r="C6685" s="3" t="s">
        <v>50</v>
      </c>
      <c r="D6685" s="5">
        <f t="shared" si="210"/>
        <v>2118.59</v>
      </c>
      <c r="E6685">
        <v>2325.5700000000002</v>
      </c>
      <c r="F6685" s="1789">
        <v>8.8999999999999996E-2</v>
      </c>
      <c r="G6685">
        <f t="shared" si="211"/>
        <v>2118.59</v>
      </c>
    </row>
    <row r="6686" spans="1:7" ht="12.75" customHeight="1">
      <c r="A6686" s="3">
        <v>99265</v>
      </c>
      <c r="B6686" s="4" t="s">
        <v>6710</v>
      </c>
      <c r="C6686" s="3" t="s">
        <v>6</v>
      </c>
      <c r="D6686" s="5">
        <f t="shared" si="210"/>
        <v>3720.93</v>
      </c>
      <c r="E6686">
        <v>4084.45</v>
      </c>
      <c r="F6686" s="1789">
        <v>8.8999999999999996E-2</v>
      </c>
      <c r="G6686">
        <f t="shared" si="211"/>
        <v>3720.93</v>
      </c>
    </row>
    <row r="6687" spans="1:7" ht="12.75" customHeight="1">
      <c r="A6687" s="3">
        <v>99266</v>
      </c>
      <c r="B6687" s="4" t="s">
        <v>6711</v>
      </c>
      <c r="C6687" s="3" t="s">
        <v>50</v>
      </c>
      <c r="D6687" s="5">
        <f t="shared" si="210"/>
        <v>1655.3</v>
      </c>
      <c r="E6687">
        <v>1817.02</v>
      </c>
      <c r="F6687" s="1789">
        <v>8.8999999999999996E-2</v>
      </c>
      <c r="G6687">
        <f t="shared" si="211"/>
        <v>1655.3</v>
      </c>
    </row>
    <row r="6688" spans="1:7" ht="12.75" customHeight="1">
      <c r="A6688" s="3">
        <v>99267</v>
      </c>
      <c r="B6688" s="4" t="s">
        <v>6712</v>
      </c>
      <c r="C6688" s="3" t="s">
        <v>6</v>
      </c>
      <c r="D6688" s="5">
        <f t="shared" si="210"/>
        <v>4368.3599999999997</v>
      </c>
      <c r="E6688">
        <v>4795.13</v>
      </c>
      <c r="F6688" s="1789">
        <v>8.8999999999999996E-2</v>
      </c>
      <c r="G6688">
        <f t="shared" si="211"/>
        <v>4368.3599999999997</v>
      </c>
    </row>
    <row r="6689" spans="1:7" ht="12.75" customHeight="1">
      <c r="A6689" s="3">
        <v>99268</v>
      </c>
      <c r="B6689" s="4" t="s">
        <v>6713</v>
      </c>
      <c r="C6689" s="3" t="s">
        <v>6</v>
      </c>
      <c r="D6689" s="5">
        <f t="shared" si="210"/>
        <v>442.35</v>
      </c>
      <c r="E6689">
        <v>485.57</v>
      </c>
      <c r="F6689" s="1789">
        <v>8.8999999999999996E-2</v>
      </c>
      <c r="G6689">
        <f t="shared" si="211"/>
        <v>442.35</v>
      </c>
    </row>
    <row r="6690" spans="1:7" ht="12.75" customHeight="1">
      <c r="A6690" s="3">
        <v>99269</v>
      </c>
      <c r="B6690" s="4" t="s">
        <v>6714</v>
      </c>
      <c r="C6690" s="3" t="s">
        <v>50</v>
      </c>
      <c r="D6690" s="5">
        <f t="shared" si="210"/>
        <v>1886.92</v>
      </c>
      <c r="E6690">
        <v>2071.27</v>
      </c>
      <c r="F6690" s="1789">
        <v>8.8999999999999996E-2</v>
      </c>
      <c r="G6690">
        <f t="shared" si="211"/>
        <v>1886.92</v>
      </c>
    </row>
    <row r="6691" spans="1:7" ht="12.75" customHeight="1">
      <c r="A6691" s="3">
        <v>99270</v>
      </c>
      <c r="B6691" s="4" t="s">
        <v>6715</v>
      </c>
      <c r="C6691" s="3" t="s">
        <v>6</v>
      </c>
      <c r="D6691" s="5">
        <f t="shared" si="210"/>
        <v>573.04</v>
      </c>
      <c r="E6691">
        <v>629.03</v>
      </c>
      <c r="F6691" s="1789">
        <v>8.8999999999999996E-2</v>
      </c>
      <c r="G6691">
        <f t="shared" si="211"/>
        <v>573.04</v>
      </c>
    </row>
    <row r="6692" spans="1:7" ht="12.75" customHeight="1">
      <c r="A6692" s="3">
        <v>99271</v>
      </c>
      <c r="B6692" s="4" t="s">
        <v>6716</v>
      </c>
      <c r="C6692" s="3" t="s">
        <v>6</v>
      </c>
      <c r="D6692" s="5">
        <f t="shared" si="210"/>
        <v>6312.61</v>
      </c>
      <c r="E6692">
        <v>6929.32</v>
      </c>
      <c r="F6692" s="1789">
        <v>8.8999999999999996E-2</v>
      </c>
      <c r="G6692">
        <f t="shared" si="211"/>
        <v>6312.61</v>
      </c>
    </row>
    <row r="6693" spans="1:7" ht="12.75" customHeight="1">
      <c r="A6693" s="3">
        <v>99272</v>
      </c>
      <c r="B6693" s="4" t="s">
        <v>6717</v>
      </c>
      <c r="C6693" s="3" t="s">
        <v>6</v>
      </c>
      <c r="D6693" s="5">
        <f t="shared" si="210"/>
        <v>1053.0899999999999</v>
      </c>
      <c r="E6693">
        <v>1155.98</v>
      </c>
      <c r="F6693" s="1789">
        <v>8.8999999999999996E-2</v>
      </c>
      <c r="G6693">
        <f t="shared" si="211"/>
        <v>1053.0899999999999</v>
      </c>
    </row>
    <row r="6694" spans="1:7" ht="12.75" customHeight="1">
      <c r="A6694" s="3">
        <v>99273</v>
      </c>
      <c r="B6694" s="4" t="s">
        <v>6718</v>
      </c>
      <c r="C6694" s="3" t="s">
        <v>6</v>
      </c>
      <c r="D6694" s="5">
        <f t="shared" si="210"/>
        <v>1501.3</v>
      </c>
      <c r="E6694">
        <v>1647.97</v>
      </c>
      <c r="F6694" s="1789">
        <v>8.8999999999999996E-2</v>
      </c>
      <c r="G6694">
        <f t="shared" si="211"/>
        <v>1501.3</v>
      </c>
    </row>
    <row r="6695" spans="1:7" ht="12.75" customHeight="1">
      <c r="A6695" s="3">
        <v>99274</v>
      </c>
      <c r="B6695" s="4" t="s">
        <v>6719</v>
      </c>
      <c r="C6695" s="3" t="s">
        <v>6</v>
      </c>
      <c r="D6695" s="5">
        <f t="shared" si="210"/>
        <v>5047.37</v>
      </c>
      <c r="E6695">
        <v>5540.48</v>
      </c>
      <c r="F6695" s="1789">
        <v>8.8999999999999996E-2</v>
      </c>
      <c r="G6695">
        <f t="shared" si="211"/>
        <v>5047.37</v>
      </c>
    </row>
    <row r="6696" spans="1:7" ht="12.75" customHeight="1">
      <c r="A6696" s="3">
        <v>99275</v>
      </c>
      <c r="B6696" s="4" t="s">
        <v>6720</v>
      </c>
      <c r="C6696" s="3" t="s">
        <v>6</v>
      </c>
      <c r="D6696" s="5">
        <f t="shared" si="210"/>
        <v>887.76</v>
      </c>
      <c r="E6696">
        <v>974.49</v>
      </c>
      <c r="F6696" s="1789">
        <v>8.8999999999999996E-2</v>
      </c>
      <c r="G6696">
        <f t="shared" si="211"/>
        <v>887.76</v>
      </c>
    </row>
    <row r="6697" spans="1:7" ht="12.75" customHeight="1">
      <c r="A6697" s="3">
        <v>99276</v>
      </c>
      <c r="B6697" s="4" t="s">
        <v>6721</v>
      </c>
      <c r="C6697" s="3" t="s">
        <v>50</v>
      </c>
      <c r="D6697" s="5">
        <f t="shared" si="210"/>
        <v>2350.27</v>
      </c>
      <c r="E6697">
        <v>2579.89</v>
      </c>
      <c r="F6697" s="1789">
        <v>8.8999999999999996E-2</v>
      </c>
      <c r="G6697">
        <f t="shared" si="211"/>
        <v>2350.27</v>
      </c>
    </row>
    <row r="6698" spans="1:7" ht="12.75" customHeight="1">
      <c r="A6698" s="3">
        <v>99277</v>
      </c>
      <c r="B6698" s="4" t="s">
        <v>6722</v>
      </c>
      <c r="C6698" s="3" t="s">
        <v>50</v>
      </c>
      <c r="D6698" s="5">
        <f t="shared" si="210"/>
        <v>2118.59</v>
      </c>
      <c r="E6698">
        <v>2325.5700000000002</v>
      </c>
      <c r="F6698" s="1789">
        <v>8.8999999999999996E-2</v>
      </c>
      <c r="G6698">
        <f t="shared" si="211"/>
        <v>2118.59</v>
      </c>
    </row>
    <row r="6699" spans="1:7" ht="12.75" customHeight="1">
      <c r="A6699" s="3">
        <v>99278</v>
      </c>
      <c r="B6699" s="4" t="s">
        <v>6723</v>
      </c>
      <c r="C6699" s="3" t="s">
        <v>50</v>
      </c>
      <c r="D6699" s="5">
        <f t="shared" si="210"/>
        <v>348.43</v>
      </c>
      <c r="E6699">
        <v>382.47</v>
      </c>
      <c r="F6699" s="1789">
        <v>8.8999999999999996E-2</v>
      </c>
      <c r="G6699">
        <f t="shared" si="211"/>
        <v>348.43</v>
      </c>
    </row>
    <row r="6700" spans="1:7" ht="12.75" customHeight="1">
      <c r="A6700" s="3">
        <v>99279</v>
      </c>
      <c r="B6700" s="4" t="s">
        <v>6724</v>
      </c>
      <c r="C6700" s="3" t="s">
        <v>6</v>
      </c>
      <c r="D6700" s="5">
        <f t="shared" si="210"/>
        <v>5698.75</v>
      </c>
      <c r="E6700">
        <v>6255.49</v>
      </c>
      <c r="F6700" s="1789">
        <v>8.8999999999999996E-2</v>
      </c>
      <c r="G6700">
        <f t="shared" si="211"/>
        <v>5698.75</v>
      </c>
    </row>
    <row r="6701" spans="1:7" ht="12.75" customHeight="1">
      <c r="A6701" s="3">
        <v>99280</v>
      </c>
      <c r="B6701" s="4" t="s">
        <v>6725</v>
      </c>
      <c r="C6701" s="3" t="s">
        <v>6</v>
      </c>
      <c r="D6701" s="5">
        <f t="shared" si="210"/>
        <v>1958.75</v>
      </c>
      <c r="E6701">
        <v>2150.12</v>
      </c>
      <c r="F6701" s="1789">
        <v>8.8999999999999996E-2</v>
      </c>
      <c r="G6701">
        <f t="shared" si="211"/>
        <v>1958.75</v>
      </c>
    </row>
    <row r="6702" spans="1:7" ht="12.75" customHeight="1">
      <c r="A6702" s="3">
        <v>99281</v>
      </c>
      <c r="B6702" s="4" t="s">
        <v>6726</v>
      </c>
      <c r="C6702" s="3" t="s">
        <v>50</v>
      </c>
      <c r="D6702" s="5">
        <f t="shared" si="210"/>
        <v>2350.27</v>
      </c>
      <c r="E6702">
        <v>2579.89</v>
      </c>
      <c r="F6702" s="1789">
        <v>8.8999999999999996E-2</v>
      </c>
      <c r="G6702">
        <f t="shared" si="211"/>
        <v>2350.27</v>
      </c>
    </row>
    <row r="6703" spans="1:7" ht="12.75" customHeight="1">
      <c r="A6703" s="3">
        <v>99282</v>
      </c>
      <c r="B6703" s="4" t="s">
        <v>6727</v>
      </c>
      <c r="C6703" s="3" t="s">
        <v>50</v>
      </c>
      <c r="D6703" s="5">
        <f t="shared" si="210"/>
        <v>2604.98</v>
      </c>
      <c r="E6703">
        <v>2859.48</v>
      </c>
      <c r="F6703" s="1789">
        <v>8.8999999999999996E-2</v>
      </c>
      <c r="G6703">
        <f t="shared" si="211"/>
        <v>2604.98</v>
      </c>
    </row>
    <row r="6704" spans="1:7" ht="12.75" customHeight="1">
      <c r="A6704" s="3">
        <v>99283</v>
      </c>
      <c r="B6704" s="4" t="s">
        <v>6728</v>
      </c>
      <c r="C6704" s="3" t="s">
        <v>50</v>
      </c>
      <c r="D6704" s="5">
        <f t="shared" si="210"/>
        <v>1112.48</v>
      </c>
      <c r="E6704">
        <v>1221.17</v>
      </c>
      <c r="F6704" s="1789">
        <v>8.8999999999999996E-2</v>
      </c>
      <c r="G6704">
        <f t="shared" si="211"/>
        <v>1112.48</v>
      </c>
    </row>
    <row r="6705" spans="1:7" ht="12.75" customHeight="1">
      <c r="A6705" s="3">
        <v>99284</v>
      </c>
      <c r="B6705" s="4" t="s">
        <v>6729</v>
      </c>
      <c r="C6705" s="3" t="s">
        <v>6</v>
      </c>
      <c r="D6705" s="5">
        <f t="shared" si="210"/>
        <v>7135.12</v>
      </c>
      <c r="E6705">
        <v>7832.19</v>
      </c>
      <c r="F6705" s="1789">
        <v>8.8999999999999996E-2</v>
      </c>
      <c r="G6705">
        <f t="shared" si="211"/>
        <v>7135.12</v>
      </c>
    </row>
    <row r="6706" spans="1:7" ht="12.75" customHeight="1">
      <c r="A6706" s="3">
        <v>99285</v>
      </c>
      <c r="B6706" s="4" t="s">
        <v>6730</v>
      </c>
      <c r="C6706" s="3" t="s">
        <v>6</v>
      </c>
      <c r="D6706" s="5">
        <f t="shared" si="210"/>
        <v>1212.6500000000001</v>
      </c>
      <c r="E6706">
        <v>1331.13</v>
      </c>
      <c r="F6706" s="1789">
        <v>8.8999999999999996E-2</v>
      </c>
      <c r="G6706">
        <f t="shared" si="211"/>
        <v>1212.6500000000001</v>
      </c>
    </row>
    <row r="6707" spans="1:7" ht="12.75" customHeight="1">
      <c r="A6707" s="3">
        <v>99286</v>
      </c>
      <c r="B6707" s="4" t="s">
        <v>6731</v>
      </c>
      <c r="C6707" s="3" t="s">
        <v>6</v>
      </c>
      <c r="D6707" s="5">
        <f t="shared" si="210"/>
        <v>6350.18</v>
      </c>
      <c r="E6707">
        <v>6970.57</v>
      </c>
      <c r="F6707" s="1789">
        <v>8.8999999999999996E-2</v>
      </c>
      <c r="G6707">
        <f t="shared" si="211"/>
        <v>6350.18</v>
      </c>
    </row>
    <row r="6708" spans="1:7" ht="12.75" customHeight="1">
      <c r="A6708" s="3">
        <v>99287</v>
      </c>
      <c r="B6708" s="4" t="s">
        <v>6732</v>
      </c>
      <c r="C6708" s="3" t="s">
        <v>6</v>
      </c>
      <c r="D6708" s="5">
        <f t="shared" si="210"/>
        <v>9070.92</v>
      </c>
      <c r="E6708">
        <v>9957.11</v>
      </c>
      <c r="F6708" s="1789">
        <v>8.8999999999999996E-2</v>
      </c>
      <c r="G6708">
        <f t="shared" si="211"/>
        <v>9070.92</v>
      </c>
    </row>
    <row r="6709" spans="1:7" ht="12.75" customHeight="1">
      <c r="A6709" s="3">
        <v>99288</v>
      </c>
      <c r="B6709" s="4" t="s">
        <v>6733</v>
      </c>
      <c r="C6709" s="3" t="s">
        <v>50</v>
      </c>
      <c r="D6709" s="5">
        <f t="shared" si="210"/>
        <v>460.43</v>
      </c>
      <c r="E6709">
        <v>505.42</v>
      </c>
      <c r="F6709" s="1789">
        <v>8.8999999999999996E-2</v>
      </c>
      <c r="G6709">
        <f t="shared" si="211"/>
        <v>460.43</v>
      </c>
    </row>
    <row r="6710" spans="1:7" ht="12.75" customHeight="1">
      <c r="A6710" s="3">
        <v>99289</v>
      </c>
      <c r="B6710" s="4" t="s">
        <v>6734</v>
      </c>
      <c r="C6710" s="3" t="s">
        <v>50</v>
      </c>
      <c r="D6710" s="5">
        <f t="shared" si="210"/>
        <v>2581.89</v>
      </c>
      <c r="E6710">
        <v>2834.13</v>
      </c>
      <c r="F6710" s="1789">
        <v>8.8999999999999996E-2</v>
      </c>
      <c r="G6710">
        <f t="shared" si="211"/>
        <v>2581.89</v>
      </c>
    </row>
    <row r="6711" spans="1:7" ht="12.75" customHeight="1">
      <c r="A6711" s="3">
        <v>99290</v>
      </c>
      <c r="B6711" s="4" t="s">
        <v>6735</v>
      </c>
      <c r="C6711" s="3" t="s">
        <v>6</v>
      </c>
      <c r="D6711" s="5">
        <f t="shared" si="210"/>
        <v>3820.2</v>
      </c>
      <c r="E6711">
        <v>4193.42</v>
      </c>
      <c r="F6711" s="1789">
        <v>8.8999999999999996E-2</v>
      </c>
      <c r="G6711">
        <f t="shared" si="211"/>
        <v>3820.2</v>
      </c>
    </row>
    <row r="6712" spans="1:7" ht="12.75" customHeight="1">
      <c r="A6712" s="3">
        <v>99291</v>
      </c>
      <c r="B6712" s="4" t="s">
        <v>6736</v>
      </c>
      <c r="C6712" s="3" t="s">
        <v>50</v>
      </c>
      <c r="D6712" s="5">
        <f t="shared" si="210"/>
        <v>2581.89</v>
      </c>
      <c r="E6712">
        <v>2834.13</v>
      </c>
      <c r="F6712" s="1789">
        <v>8.8999999999999996E-2</v>
      </c>
      <c r="G6712">
        <f t="shared" si="211"/>
        <v>2581.89</v>
      </c>
    </row>
    <row r="6713" spans="1:7" ht="12.75" customHeight="1">
      <c r="A6713" s="3">
        <v>99292</v>
      </c>
      <c r="B6713" s="4" t="s">
        <v>6737</v>
      </c>
      <c r="C6713" s="3" t="s">
        <v>6</v>
      </c>
      <c r="D6713" s="5">
        <f t="shared" si="210"/>
        <v>2433.67</v>
      </c>
      <c r="E6713">
        <v>2671.43</v>
      </c>
      <c r="F6713" s="1789">
        <v>8.8999999999999996E-2</v>
      </c>
      <c r="G6713">
        <f t="shared" si="211"/>
        <v>2433.67</v>
      </c>
    </row>
    <row r="6714" spans="1:7" ht="12.75" customHeight="1">
      <c r="A6714" s="3">
        <v>99293</v>
      </c>
      <c r="B6714" s="4" t="s">
        <v>6738</v>
      </c>
      <c r="C6714" s="3" t="s">
        <v>50</v>
      </c>
      <c r="D6714" s="5">
        <f t="shared" si="210"/>
        <v>1347.64</v>
      </c>
      <c r="E6714">
        <v>1479.3</v>
      </c>
      <c r="F6714" s="1789">
        <v>8.8999999999999996E-2</v>
      </c>
      <c r="G6714">
        <f t="shared" si="211"/>
        <v>1347.64</v>
      </c>
    </row>
    <row r="6715" spans="1:7" ht="12.75" customHeight="1">
      <c r="A6715" s="3">
        <v>99294</v>
      </c>
      <c r="B6715" s="4" t="s">
        <v>6739</v>
      </c>
      <c r="C6715" s="3" t="s">
        <v>6</v>
      </c>
      <c r="D6715" s="5">
        <f t="shared" si="210"/>
        <v>7957.56</v>
      </c>
      <c r="E6715">
        <v>8734.98</v>
      </c>
      <c r="F6715" s="1789">
        <v>8.8999999999999996E-2</v>
      </c>
      <c r="G6715">
        <f t="shared" si="211"/>
        <v>7957.56</v>
      </c>
    </row>
    <row r="6716" spans="1:7" ht="12.75" customHeight="1">
      <c r="A6716" s="3">
        <v>99296</v>
      </c>
      <c r="B6716" s="4" t="s">
        <v>6740</v>
      </c>
      <c r="C6716" s="3" t="s">
        <v>50</v>
      </c>
      <c r="D6716" s="5">
        <f t="shared" si="210"/>
        <v>2836.61</v>
      </c>
      <c r="E6716">
        <v>3113.74</v>
      </c>
      <c r="F6716" s="1789">
        <v>8.8999999999999996E-2</v>
      </c>
      <c r="G6716">
        <f t="shared" si="211"/>
        <v>2836.61</v>
      </c>
    </row>
    <row r="6717" spans="1:7" ht="12.75" customHeight="1">
      <c r="A6717" s="3">
        <v>99297</v>
      </c>
      <c r="B6717" s="4" t="s">
        <v>6741</v>
      </c>
      <c r="C6717" s="3" t="s">
        <v>50</v>
      </c>
      <c r="D6717" s="5">
        <f t="shared" si="210"/>
        <v>2832.62</v>
      </c>
      <c r="E6717">
        <v>3109.36</v>
      </c>
      <c r="F6717" s="1789">
        <v>8.8999999999999996E-2</v>
      </c>
      <c r="G6717">
        <f t="shared" si="211"/>
        <v>2832.62</v>
      </c>
    </row>
    <row r="6718" spans="1:7" ht="12.75" customHeight="1">
      <c r="A6718" s="3">
        <v>99298</v>
      </c>
      <c r="B6718" s="4" t="s">
        <v>6742</v>
      </c>
      <c r="C6718" s="3" t="s">
        <v>6</v>
      </c>
      <c r="D6718" s="5">
        <f t="shared" si="210"/>
        <v>10268.299999999999</v>
      </c>
      <c r="E6718">
        <v>11271.46</v>
      </c>
      <c r="F6718" s="1789">
        <v>8.8999999999999996E-2</v>
      </c>
      <c r="G6718">
        <f t="shared" si="211"/>
        <v>10268.299999999999</v>
      </c>
    </row>
    <row r="6719" spans="1:7" ht="12.75" customHeight="1">
      <c r="A6719" s="3">
        <v>99299</v>
      </c>
      <c r="B6719" s="4" t="s">
        <v>6743</v>
      </c>
      <c r="C6719" s="3" t="s">
        <v>50</v>
      </c>
      <c r="D6719" s="5">
        <f t="shared" si="210"/>
        <v>3068.18</v>
      </c>
      <c r="E6719">
        <v>3367.93</v>
      </c>
      <c r="F6719" s="1789">
        <v>8.8999999999999996E-2</v>
      </c>
      <c r="G6719">
        <f t="shared" si="211"/>
        <v>3068.18</v>
      </c>
    </row>
    <row r="6720" spans="1:7" ht="12.75" customHeight="1">
      <c r="A6720" s="3">
        <v>99300</v>
      </c>
      <c r="B6720" s="4" t="s">
        <v>6744</v>
      </c>
      <c r="C6720" s="3" t="s">
        <v>6</v>
      </c>
      <c r="D6720" s="5">
        <f t="shared" si="210"/>
        <v>11465.63</v>
      </c>
      <c r="E6720">
        <v>12585.77</v>
      </c>
      <c r="F6720" s="1789">
        <v>8.8999999999999996E-2</v>
      </c>
      <c r="G6720">
        <f t="shared" si="211"/>
        <v>11465.63</v>
      </c>
    </row>
    <row r="6721" spans="1:7" ht="12.75" customHeight="1">
      <c r="A6721" s="3">
        <v>99301</v>
      </c>
      <c r="B6721" s="4" t="s">
        <v>6745</v>
      </c>
      <c r="C6721" s="3" t="s">
        <v>6</v>
      </c>
      <c r="D6721" s="5">
        <f t="shared" si="210"/>
        <v>5651.25</v>
      </c>
      <c r="E6721">
        <v>6203.35</v>
      </c>
      <c r="F6721" s="1789">
        <v>8.8999999999999996E-2</v>
      </c>
      <c r="G6721">
        <f t="shared" si="211"/>
        <v>5651.25</v>
      </c>
    </row>
    <row r="6722" spans="1:7" ht="12.75" customHeight="1">
      <c r="A6722" s="3">
        <v>99302</v>
      </c>
      <c r="B6722" s="4" t="s">
        <v>6746</v>
      </c>
      <c r="C6722" s="3" t="s">
        <v>50</v>
      </c>
      <c r="D6722" s="5">
        <f t="shared" si="210"/>
        <v>3303.79</v>
      </c>
      <c r="E6722">
        <v>3626.56</v>
      </c>
      <c r="F6722" s="1789">
        <v>8.8999999999999996E-2</v>
      </c>
      <c r="G6722">
        <f t="shared" si="211"/>
        <v>3303.79</v>
      </c>
    </row>
    <row r="6723" spans="1:7" ht="12.75" customHeight="1">
      <c r="A6723" s="3">
        <v>99303</v>
      </c>
      <c r="B6723" s="4" t="s">
        <v>6747</v>
      </c>
      <c r="C6723" s="3" t="s">
        <v>6</v>
      </c>
      <c r="D6723" s="5">
        <f t="shared" si="210"/>
        <v>10494.69</v>
      </c>
      <c r="E6723">
        <v>11519.97</v>
      </c>
      <c r="F6723" s="1789">
        <v>8.8999999999999996E-2</v>
      </c>
      <c r="G6723">
        <f t="shared" si="211"/>
        <v>10494.69</v>
      </c>
    </row>
    <row r="6724" spans="1:7" ht="12.75" customHeight="1">
      <c r="A6724" s="3">
        <v>99304</v>
      </c>
      <c r="B6724" s="4" t="s">
        <v>6748</v>
      </c>
      <c r="C6724" s="3" t="s">
        <v>50</v>
      </c>
      <c r="D6724" s="5">
        <f t="shared" si="210"/>
        <v>3072.17</v>
      </c>
      <c r="E6724">
        <v>3372.31</v>
      </c>
      <c r="F6724" s="1789">
        <v>8.8999999999999996E-2</v>
      </c>
      <c r="G6724">
        <f t="shared" si="211"/>
        <v>3072.17</v>
      </c>
    </row>
    <row r="6725" spans="1:7" ht="12.75" customHeight="1">
      <c r="A6725" s="3">
        <v>99305</v>
      </c>
      <c r="B6725" s="4" t="s">
        <v>6749</v>
      </c>
      <c r="C6725" s="3" t="s">
        <v>6</v>
      </c>
      <c r="D6725" s="5">
        <f t="shared" si="210"/>
        <v>11874.38</v>
      </c>
      <c r="E6725">
        <v>13034.45</v>
      </c>
      <c r="F6725" s="1789">
        <v>8.8999999999999996E-2</v>
      </c>
      <c r="G6725">
        <f t="shared" si="211"/>
        <v>11874.38</v>
      </c>
    </row>
    <row r="6726" spans="1:7" ht="12.75" customHeight="1">
      <c r="A6726" s="3">
        <v>99306</v>
      </c>
      <c r="B6726" s="4" t="s">
        <v>6750</v>
      </c>
      <c r="C6726" s="3" t="s">
        <v>50</v>
      </c>
      <c r="D6726" s="5">
        <f t="shared" si="210"/>
        <v>3303.79</v>
      </c>
      <c r="E6726">
        <v>3626.56</v>
      </c>
      <c r="F6726" s="1789">
        <v>8.8999999999999996E-2</v>
      </c>
      <c r="G6726">
        <f t="shared" si="211"/>
        <v>3303.79</v>
      </c>
    </row>
    <row r="6727" spans="1:7" ht="12.75" customHeight="1">
      <c r="A6727" s="3">
        <v>99307</v>
      </c>
      <c r="B6727" s="4" t="s">
        <v>6751</v>
      </c>
      <c r="C6727" s="3" t="s">
        <v>50</v>
      </c>
      <c r="D6727" s="5">
        <f t="shared" si="210"/>
        <v>2137.69</v>
      </c>
      <c r="E6727">
        <v>2346.54</v>
      </c>
      <c r="F6727" s="1789">
        <v>8.8999999999999996E-2</v>
      </c>
      <c r="G6727">
        <f t="shared" si="211"/>
        <v>2137.69</v>
      </c>
    </row>
    <row r="6728" spans="1:7" ht="12.75" customHeight="1">
      <c r="A6728" s="3">
        <v>99308</v>
      </c>
      <c r="B6728" s="4" t="s">
        <v>6752</v>
      </c>
      <c r="C6728" s="3" t="s">
        <v>6</v>
      </c>
      <c r="D6728" s="5">
        <f t="shared" si="210"/>
        <v>13254.13</v>
      </c>
      <c r="E6728">
        <v>14549</v>
      </c>
      <c r="F6728" s="1789">
        <v>8.8999999999999996E-2</v>
      </c>
      <c r="G6728">
        <f t="shared" si="211"/>
        <v>13254.13</v>
      </c>
    </row>
    <row r="6729" spans="1:7" ht="12.75" customHeight="1">
      <c r="A6729" s="3">
        <v>99309</v>
      </c>
      <c r="B6729" s="4" t="s">
        <v>6753</v>
      </c>
      <c r="C6729" s="3" t="s">
        <v>50</v>
      </c>
      <c r="D6729" s="5">
        <f t="shared" si="210"/>
        <v>3539.45</v>
      </c>
      <c r="E6729">
        <v>3885.24</v>
      </c>
      <c r="F6729" s="1789">
        <v>8.8999999999999996E-2</v>
      </c>
      <c r="G6729">
        <f t="shared" si="211"/>
        <v>3539.45</v>
      </c>
    </row>
    <row r="6730" spans="1:7" ht="12.75" customHeight="1">
      <c r="A6730" s="3">
        <v>99310</v>
      </c>
      <c r="B6730" s="4" t="s">
        <v>6754</v>
      </c>
      <c r="C6730" s="3" t="s">
        <v>6</v>
      </c>
      <c r="D6730" s="5">
        <f t="shared" si="210"/>
        <v>13480.58</v>
      </c>
      <c r="E6730">
        <v>14797.57</v>
      </c>
      <c r="F6730" s="1789">
        <v>8.8999999999999996E-2</v>
      </c>
      <c r="G6730">
        <f t="shared" si="211"/>
        <v>13480.58</v>
      </c>
    </row>
    <row r="6731" spans="1:7" ht="12.75" customHeight="1">
      <c r="A6731" s="3">
        <v>99311</v>
      </c>
      <c r="B6731" s="4" t="s">
        <v>6755</v>
      </c>
      <c r="C6731" s="3" t="s">
        <v>50</v>
      </c>
      <c r="D6731" s="5">
        <f t="shared" si="210"/>
        <v>3539.45</v>
      </c>
      <c r="E6731">
        <v>3885.24</v>
      </c>
      <c r="F6731" s="1789">
        <v>8.8999999999999996E-2</v>
      </c>
      <c r="G6731">
        <f t="shared" si="211"/>
        <v>3539.45</v>
      </c>
    </row>
    <row r="6732" spans="1:7" ht="12.75" customHeight="1">
      <c r="A6732" s="3">
        <v>99312</v>
      </c>
      <c r="B6732" s="4" t="s">
        <v>6756</v>
      </c>
      <c r="C6732" s="3" t="s">
        <v>6</v>
      </c>
      <c r="D6732" s="5">
        <f t="shared" si="210"/>
        <v>6632.74</v>
      </c>
      <c r="E6732">
        <v>7280.73</v>
      </c>
      <c r="F6732" s="1789">
        <v>8.8999999999999996E-2</v>
      </c>
      <c r="G6732">
        <f t="shared" si="211"/>
        <v>6632.74</v>
      </c>
    </row>
    <row r="6733" spans="1:7" ht="12.75" customHeight="1">
      <c r="A6733" s="3">
        <v>99313</v>
      </c>
      <c r="B6733" s="4" t="s">
        <v>6757</v>
      </c>
      <c r="C6733" s="3" t="s">
        <v>6</v>
      </c>
      <c r="D6733" s="5">
        <f t="shared" si="210"/>
        <v>15042.54</v>
      </c>
      <c r="E6733">
        <v>16512.12</v>
      </c>
      <c r="F6733" s="1789">
        <v>8.8999999999999996E-2</v>
      </c>
      <c r="G6733">
        <f t="shared" si="211"/>
        <v>15042.54</v>
      </c>
    </row>
    <row r="6734" spans="1:7" ht="12.75" customHeight="1">
      <c r="A6734" s="3">
        <v>99314</v>
      </c>
      <c r="B6734" s="4" t="s">
        <v>6758</v>
      </c>
      <c r="C6734" s="3" t="s">
        <v>50</v>
      </c>
      <c r="D6734" s="5">
        <f t="shared" si="210"/>
        <v>3775.05</v>
      </c>
      <c r="E6734">
        <v>4143.8599999999997</v>
      </c>
      <c r="F6734" s="1789">
        <v>8.8999999999999996E-2</v>
      </c>
      <c r="G6734">
        <f t="shared" si="211"/>
        <v>3775.05</v>
      </c>
    </row>
    <row r="6735" spans="1:7" ht="12.75" customHeight="1">
      <c r="A6735" s="3">
        <v>99315</v>
      </c>
      <c r="B6735" s="4" t="s">
        <v>6759</v>
      </c>
      <c r="C6735" s="3" t="s">
        <v>6</v>
      </c>
      <c r="D6735" s="5">
        <f t="shared" si="210"/>
        <v>16831.03</v>
      </c>
      <c r="E6735">
        <v>18475.34</v>
      </c>
      <c r="F6735" s="1789">
        <v>8.8999999999999996E-2</v>
      </c>
      <c r="G6735">
        <f t="shared" si="211"/>
        <v>16831.03</v>
      </c>
    </row>
    <row r="6736" spans="1:7" ht="12.75" customHeight="1">
      <c r="A6736" s="3">
        <v>99317</v>
      </c>
      <c r="B6736" s="4" t="s">
        <v>6760</v>
      </c>
      <c r="C6736" s="3" t="s">
        <v>50</v>
      </c>
      <c r="D6736" s="5">
        <f t="shared" si="210"/>
        <v>2369.3200000000002</v>
      </c>
      <c r="E6736">
        <v>2600.8000000000002</v>
      </c>
      <c r="F6736" s="1789">
        <v>8.8999999999999996E-2</v>
      </c>
      <c r="G6736">
        <f t="shared" si="211"/>
        <v>2369.3200000000002</v>
      </c>
    </row>
    <row r="6737" spans="1:7" ht="12.75" customHeight="1">
      <c r="A6737" s="3">
        <v>99318</v>
      </c>
      <c r="B6737" s="4" t="s">
        <v>6761</v>
      </c>
      <c r="C6737" s="3" t="s">
        <v>50</v>
      </c>
      <c r="D6737" s="5">
        <f t="shared" si="210"/>
        <v>255.3</v>
      </c>
      <c r="E6737">
        <v>280.25</v>
      </c>
      <c r="F6737" s="1789">
        <v>8.8999999999999996E-2</v>
      </c>
      <c r="G6737">
        <f t="shared" si="211"/>
        <v>255.3</v>
      </c>
    </row>
    <row r="6738" spans="1:7" ht="12.75" customHeight="1">
      <c r="A6738" s="3">
        <v>99319</v>
      </c>
      <c r="B6738" s="4" t="s">
        <v>6762</v>
      </c>
      <c r="C6738" s="3" t="s">
        <v>50</v>
      </c>
      <c r="D6738" s="5">
        <f t="shared" si="210"/>
        <v>882.09</v>
      </c>
      <c r="E6738">
        <v>968.27</v>
      </c>
      <c r="F6738" s="1789">
        <v>8.8999999999999996E-2</v>
      </c>
      <c r="G6738">
        <f t="shared" si="211"/>
        <v>882.09</v>
      </c>
    </row>
    <row r="6739" spans="1:7" ht="12.75" customHeight="1">
      <c r="A6739" s="3">
        <v>99320</v>
      </c>
      <c r="B6739" s="4" t="s">
        <v>6763</v>
      </c>
      <c r="C6739" s="3" t="s">
        <v>6</v>
      </c>
      <c r="D6739" s="5">
        <f t="shared" si="210"/>
        <v>7669.64</v>
      </c>
      <c r="E6739">
        <v>8418.93</v>
      </c>
      <c r="F6739" s="1789">
        <v>8.8999999999999996E-2</v>
      </c>
      <c r="G6739">
        <f t="shared" si="211"/>
        <v>7669.64</v>
      </c>
    </row>
    <row r="6740" spans="1:7" ht="12.75" customHeight="1">
      <c r="A6740" s="3">
        <v>99321</v>
      </c>
      <c r="B6740" s="4" t="s">
        <v>6764</v>
      </c>
      <c r="C6740" s="3" t="s">
        <v>50</v>
      </c>
      <c r="D6740" s="5">
        <f t="shared" si="210"/>
        <v>2600.9899999999998</v>
      </c>
      <c r="E6740">
        <v>2855.1</v>
      </c>
      <c r="F6740" s="1789">
        <v>8.8999999999999996E-2</v>
      </c>
      <c r="G6740">
        <f t="shared" si="211"/>
        <v>2600.9899999999998</v>
      </c>
    </row>
    <row r="6741" spans="1:7" ht="12.75" customHeight="1">
      <c r="A6741" s="3">
        <v>99322</v>
      </c>
      <c r="B6741" s="4" t="s">
        <v>6765</v>
      </c>
      <c r="C6741" s="3" t="s">
        <v>6</v>
      </c>
      <c r="D6741" s="5">
        <f t="shared" ref="D6741:D6804" si="212">G6741</f>
        <v>8658.17</v>
      </c>
      <c r="E6741">
        <v>9504.0300000000007</v>
      </c>
      <c r="F6741" s="1789">
        <v>8.8999999999999996E-2</v>
      </c>
      <c r="G6741">
        <f t="shared" ref="G6741:G6804" si="213">TRUNC((1-F6741)*E6741,2)</f>
        <v>8658.17</v>
      </c>
    </row>
    <row r="6742" spans="1:7" ht="12.75" customHeight="1">
      <c r="A6742" s="3">
        <v>99323</v>
      </c>
      <c r="B6742" s="4" t="s">
        <v>6766</v>
      </c>
      <c r="C6742" s="3" t="s">
        <v>50</v>
      </c>
      <c r="D6742" s="5">
        <f t="shared" si="212"/>
        <v>2832.62</v>
      </c>
      <c r="E6742">
        <v>3109.36</v>
      </c>
      <c r="F6742" s="1789">
        <v>8.8999999999999996E-2</v>
      </c>
      <c r="G6742">
        <f t="shared" si="213"/>
        <v>2832.62</v>
      </c>
    </row>
    <row r="6743" spans="1:7" ht="12.75" customHeight="1">
      <c r="A6743" s="3">
        <v>99324</v>
      </c>
      <c r="B6743" s="4" t="s">
        <v>6767</v>
      </c>
      <c r="C6743" s="3" t="s">
        <v>6</v>
      </c>
      <c r="D6743" s="5">
        <f t="shared" si="212"/>
        <v>9646.67</v>
      </c>
      <c r="E6743">
        <v>10589.11</v>
      </c>
      <c r="F6743" s="1789">
        <v>8.8999999999999996E-2</v>
      </c>
      <c r="G6743">
        <f t="shared" si="213"/>
        <v>9646.67</v>
      </c>
    </row>
    <row r="6744" spans="1:7" ht="12.75" customHeight="1">
      <c r="A6744" s="3">
        <v>99325</v>
      </c>
      <c r="B6744" s="4" t="s">
        <v>6768</v>
      </c>
      <c r="C6744" s="3" t="s">
        <v>50</v>
      </c>
      <c r="D6744" s="5">
        <f t="shared" si="212"/>
        <v>3068.18</v>
      </c>
      <c r="E6744">
        <v>3367.93</v>
      </c>
      <c r="F6744" s="1789">
        <v>8.8999999999999996E-2</v>
      </c>
      <c r="G6744">
        <f t="shared" si="213"/>
        <v>3068.18</v>
      </c>
    </row>
    <row r="6745" spans="1:7" ht="12.75" customHeight="1">
      <c r="A6745" s="3">
        <v>99326</v>
      </c>
      <c r="B6745" s="4" t="s">
        <v>6769</v>
      </c>
      <c r="C6745" s="3" t="s">
        <v>6</v>
      </c>
      <c r="D6745" s="5">
        <f t="shared" si="212"/>
        <v>7873.55</v>
      </c>
      <c r="E6745">
        <v>8642.76</v>
      </c>
      <c r="F6745" s="1789">
        <v>8.8999999999999996E-2</v>
      </c>
      <c r="G6745">
        <f t="shared" si="213"/>
        <v>7873.55</v>
      </c>
    </row>
    <row r="6746" spans="1:7" ht="12.75" customHeight="1">
      <c r="A6746" s="3">
        <v>99327</v>
      </c>
      <c r="B6746" s="4" t="s">
        <v>6770</v>
      </c>
      <c r="C6746" s="3" t="s">
        <v>50</v>
      </c>
      <c r="D6746" s="5">
        <f t="shared" si="212"/>
        <v>3971.75</v>
      </c>
      <c r="E6746">
        <v>4359.78</v>
      </c>
      <c r="F6746" s="1789">
        <v>8.8999999999999996E-2</v>
      </c>
      <c r="G6746">
        <f t="shared" si="213"/>
        <v>3971.75</v>
      </c>
    </row>
    <row r="6747" spans="1:7" ht="12.75" customHeight="1">
      <c r="A6747" s="3">
        <v>101800</v>
      </c>
      <c r="B6747" s="4" t="s">
        <v>6771</v>
      </c>
      <c r="C6747" s="3" t="s">
        <v>6</v>
      </c>
      <c r="D6747" s="5">
        <f t="shared" si="212"/>
        <v>1493.9</v>
      </c>
      <c r="E6747">
        <v>1639.85</v>
      </c>
      <c r="F6747" s="1789">
        <v>8.8999999999999996E-2</v>
      </c>
      <c r="G6747">
        <f t="shared" si="213"/>
        <v>1493.9</v>
      </c>
    </row>
    <row r="6748" spans="1:7" ht="12.75" customHeight="1">
      <c r="A6748" s="3">
        <v>101801</v>
      </c>
      <c r="B6748" s="4" t="s">
        <v>6772</v>
      </c>
      <c r="C6748" s="3" t="s">
        <v>6</v>
      </c>
      <c r="D6748" s="5">
        <f t="shared" si="212"/>
        <v>1013.09</v>
      </c>
      <c r="E6748">
        <v>1112.07</v>
      </c>
      <c r="F6748" s="1789">
        <v>8.8999999999999996E-2</v>
      </c>
      <c r="G6748">
        <f t="shared" si="213"/>
        <v>1013.09</v>
      </c>
    </row>
    <row r="6749" spans="1:7" ht="12.75" customHeight="1">
      <c r="A6749" s="3">
        <v>101806</v>
      </c>
      <c r="B6749" s="4" t="s">
        <v>6773</v>
      </c>
      <c r="C6749" s="3" t="s">
        <v>6</v>
      </c>
      <c r="D6749" s="5">
        <f t="shared" si="212"/>
        <v>518.66999999999996</v>
      </c>
      <c r="E6749">
        <v>569.35</v>
      </c>
      <c r="F6749" s="1789">
        <v>8.8999999999999996E-2</v>
      </c>
      <c r="G6749">
        <f t="shared" si="213"/>
        <v>518.66999999999996</v>
      </c>
    </row>
    <row r="6750" spans="1:7" ht="12.75" customHeight="1">
      <c r="A6750" s="3">
        <v>101807</v>
      </c>
      <c r="B6750" s="4" t="s">
        <v>6774</v>
      </c>
      <c r="C6750" s="3" t="s">
        <v>6</v>
      </c>
      <c r="D6750" s="5">
        <f t="shared" si="212"/>
        <v>455.65</v>
      </c>
      <c r="E6750">
        <v>500.17</v>
      </c>
      <c r="F6750" s="1789">
        <v>8.8999999999999996E-2</v>
      </c>
      <c r="G6750">
        <f t="shared" si="213"/>
        <v>455.65</v>
      </c>
    </row>
    <row r="6751" spans="1:7" ht="12.75" customHeight="1">
      <c r="A6751" s="3">
        <v>101808</v>
      </c>
      <c r="B6751" s="4" t="s">
        <v>6775</v>
      </c>
      <c r="C6751" s="3" t="s">
        <v>6</v>
      </c>
      <c r="D6751" s="5">
        <f t="shared" si="212"/>
        <v>484.91</v>
      </c>
      <c r="E6751">
        <v>532.29</v>
      </c>
      <c r="F6751" s="1789">
        <v>8.8999999999999996E-2</v>
      </c>
      <c r="G6751">
        <f t="shared" si="213"/>
        <v>484.91</v>
      </c>
    </row>
    <row r="6752" spans="1:7" ht="12.75" customHeight="1">
      <c r="A6752" s="3">
        <v>101809</v>
      </c>
      <c r="B6752" s="4" t="s">
        <v>6776</v>
      </c>
      <c r="C6752" s="3" t="s">
        <v>6</v>
      </c>
      <c r="D6752" s="5">
        <f t="shared" si="212"/>
        <v>2772.39</v>
      </c>
      <c r="E6752">
        <v>3043.24</v>
      </c>
      <c r="F6752" s="1789">
        <v>8.8999999999999996E-2</v>
      </c>
      <c r="G6752">
        <f t="shared" si="213"/>
        <v>2772.39</v>
      </c>
    </row>
    <row r="6753" spans="1:7" ht="12.75" customHeight="1">
      <c r="A6753" s="3">
        <v>102139</v>
      </c>
      <c r="B6753" s="4" t="s">
        <v>6777</v>
      </c>
      <c r="C6753" s="3" t="s">
        <v>6</v>
      </c>
      <c r="D6753" s="5">
        <f t="shared" si="212"/>
        <v>1626.21</v>
      </c>
      <c r="E6753">
        <v>1785.09</v>
      </c>
      <c r="F6753" s="1789">
        <v>8.8999999999999996E-2</v>
      </c>
      <c r="G6753">
        <f t="shared" si="213"/>
        <v>1626.21</v>
      </c>
    </row>
    <row r="6754" spans="1:7" ht="12.75" customHeight="1">
      <c r="A6754" s="3">
        <v>102141</v>
      </c>
      <c r="B6754" s="4" t="s">
        <v>6778</v>
      </c>
      <c r="C6754" s="3" t="s">
        <v>6</v>
      </c>
      <c r="D6754" s="5">
        <f t="shared" si="212"/>
        <v>2533.73</v>
      </c>
      <c r="E6754">
        <v>2781.27</v>
      </c>
      <c r="F6754" s="1789">
        <v>8.8999999999999996E-2</v>
      </c>
      <c r="G6754">
        <f t="shared" si="213"/>
        <v>2533.73</v>
      </c>
    </row>
    <row r="6755" spans="1:7" ht="12.75" customHeight="1">
      <c r="A6755" s="3">
        <v>102142</v>
      </c>
      <c r="B6755" s="4" t="s">
        <v>6779</v>
      </c>
      <c r="C6755" s="3" t="s">
        <v>6</v>
      </c>
      <c r="D6755" s="5">
        <f t="shared" si="212"/>
        <v>2495.77</v>
      </c>
      <c r="E6755">
        <v>2739.6</v>
      </c>
      <c r="F6755" s="1789">
        <v>8.8999999999999996E-2</v>
      </c>
      <c r="G6755">
        <f t="shared" si="213"/>
        <v>2495.77</v>
      </c>
    </row>
    <row r="6756" spans="1:7" ht="12.75" customHeight="1">
      <c r="A6756" s="3">
        <v>102457</v>
      </c>
      <c r="B6756" s="4" t="s">
        <v>6780</v>
      </c>
      <c r="C6756" s="3" t="s">
        <v>6</v>
      </c>
      <c r="D6756" s="5">
        <f t="shared" si="212"/>
        <v>1558.34</v>
      </c>
      <c r="E6756">
        <v>1710.59</v>
      </c>
      <c r="F6756" s="1789">
        <v>8.8999999999999996E-2</v>
      </c>
      <c r="G6756">
        <f t="shared" si="213"/>
        <v>1558.34</v>
      </c>
    </row>
    <row r="6757" spans="1:7" ht="12.75" customHeight="1">
      <c r="A6757" s="3">
        <v>94263</v>
      </c>
      <c r="B6757" s="4" t="s">
        <v>6781</v>
      </c>
      <c r="C6757" s="3" t="s">
        <v>50</v>
      </c>
      <c r="D6757" s="5">
        <f t="shared" si="212"/>
        <v>35.58</v>
      </c>
      <c r="E6757">
        <v>39.06</v>
      </c>
      <c r="F6757" s="1789">
        <v>8.8999999999999996E-2</v>
      </c>
      <c r="G6757">
        <f t="shared" si="213"/>
        <v>35.58</v>
      </c>
    </row>
    <row r="6758" spans="1:7" ht="12.75" customHeight="1">
      <c r="A6758" s="3">
        <v>94264</v>
      </c>
      <c r="B6758" s="4" t="s">
        <v>6782</v>
      </c>
      <c r="C6758" s="3" t="s">
        <v>50</v>
      </c>
      <c r="D6758" s="5">
        <f t="shared" si="212"/>
        <v>39.49</v>
      </c>
      <c r="E6758">
        <v>43.35</v>
      </c>
      <c r="F6758" s="1789">
        <v>8.8999999999999996E-2</v>
      </c>
      <c r="G6758">
        <f t="shared" si="213"/>
        <v>39.49</v>
      </c>
    </row>
    <row r="6759" spans="1:7" ht="12.75" customHeight="1">
      <c r="A6759" s="3">
        <v>94265</v>
      </c>
      <c r="B6759" s="4" t="s">
        <v>6783</v>
      </c>
      <c r="C6759" s="3" t="s">
        <v>50</v>
      </c>
      <c r="D6759" s="5">
        <f t="shared" si="212"/>
        <v>50.47</v>
      </c>
      <c r="E6759">
        <v>55.41</v>
      </c>
      <c r="F6759" s="1789">
        <v>8.8999999999999996E-2</v>
      </c>
      <c r="G6759">
        <f t="shared" si="213"/>
        <v>50.47</v>
      </c>
    </row>
    <row r="6760" spans="1:7" ht="12.75" customHeight="1">
      <c r="A6760" s="3">
        <v>94266</v>
      </c>
      <c r="B6760" s="4" t="s">
        <v>6784</v>
      </c>
      <c r="C6760" s="3" t="s">
        <v>50</v>
      </c>
      <c r="D6760" s="5">
        <f t="shared" si="212"/>
        <v>54.94</v>
      </c>
      <c r="E6760">
        <v>60.31</v>
      </c>
      <c r="F6760" s="1789">
        <v>8.8999999999999996E-2</v>
      </c>
      <c r="G6760">
        <f t="shared" si="213"/>
        <v>54.94</v>
      </c>
    </row>
    <row r="6761" spans="1:7" ht="12.75" customHeight="1">
      <c r="A6761" s="3">
        <v>94267</v>
      </c>
      <c r="B6761" s="4" t="s">
        <v>6785</v>
      </c>
      <c r="C6761" s="3" t="s">
        <v>50</v>
      </c>
      <c r="D6761" s="5">
        <f t="shared" si="212"/>
        <v>61.62</v>
      </c>
      <c r="E6761">
        <v>67.64</v>
      </c>
      <c r="F6761" s="1789">
        <v>8.8999999999999996E-2</v>
      </c>
      <c r="G6761">
        <f t="shared" si="213"/>
        <v>61.62</v>
      </c>
    </row>
    <row r="6762" spans="1:7" ht="12.75" customHeight="1">
      <c r="A6762" s="3">
        <v>94268</v>
      </c>
      <c r="B6762" s="4" t="s">
        <v>6786</v>
      </c>
      <c r="C6762" s="3" t="s">
        <v>50</v>
      </c>
      <c r="D6762" s="5">
        <f t="shared" si="212"/>
        <v>66.53</v>
      </c>
      <c r="E6762">
        <v>73.03</v>
      </c>
      <c r="F6762" s="1789">
        <v>8.8999999999999996E-2</v>
      </c>
      <c r="G6762">
        <f t="shared" si="213"/>
        <v>66.53</v>
      </c>
    </row>
    <row r="6763" spans="1:7" ht="12.75" customHeight="1">
      <c r="A6763" s="3">
        <v>94269</v>
      </c>
      <c r="B6763" s="4" t="s">
        <v>6787</v>
      </c>
      <c r="C6763" s="3" t="s">
        <v>50</v>
      </c>
      <c r="D6763" s="5">
        <f t="shared" si="212"/>
        <v>90.28</v>
      </c>
      <c r="E6763">
        <v>99.11</v>
      </c>
      <c r="F6763" s="1789">
        <v>8.8999999999999996E-2</v>
      </c>
      <c r="G6763">
        <f t="shared" si="213"/>
        <v>90.28</v>
      </c>
    </row>
    <row r="6764" spans="1:7" ht="12.75" customHeight="1">
      <c r="A6764" s="3">
        <v>94270</v>
      </c>
      <c r="B6764" s="4" t="s">
        <v>6788</v>
      </c>
      <c r="C6764" s="3" t="s">
        <v>50</v>
      </c>
      <c r="D6764" s="5">
        <f t="shared" si="212"/>
        <v>97.13</v>
      </c>
      <c r="E6764">
        <v>106.62</v>
      </c>
      <c r="F6764" s="1789">
        <v>8.8999999999999996E-2</v>
      </c>
      <c r="G6764">
        <f t="shared" si="213"/>
        <v>97.13</v>
      </c>
    </row>
    <row r="6765" spans="1:7" ht="12.75" customHeight="1">
      <c r="A6765" s="3">
        <v>94271</v>
      </c>
      <c r="B6765" s="4" t="s">
        <v>6789</v>
      </c>
      <c r="C6765" s="3" t="s">
        <v>50</v>
      </c>
      <c r="D6765" s="5">
        <f t="shared" si="212"/>
        <v>110.44</v>
      </c>
      <c r="E6765">
        <v>121.24</v>
      </c>
      <c r="F6765" s="1789">
        <v>8.8999999999999996E-2</v>
      </c>
      <c r="G6765">
        <f t="shared" si="213"/>
        <v>110.44</v>
      </c>
    </row>
    <row r="6766" spans="1:7" ht="12.75" customHeight="1">
      <c r="A6766" s="3">
        <v>94272</v>
      </c>
      <c r="B6766" s="4" t="s">
        <v>6790</v>
      </c>
      <c r="C6766" s="3" t="s">
        <v>50</v>
      </c>
      <c r="D6766" s="5">
        <f t="shared" si="212"/>
        <v>119.56</v>
      </c>
      <c r="E6766">
        <v>131.25</v>
      </c>
      <c r="F6766" s="1789">
        <v>8.8999999999999996E-2</v>
      </c>
      <c r="G6766">
        <f t="shared" si="213"/>
        <v>119.56</v>
      </c>
    </row>
    <row r="6767" spans="1:7" ht="12.75" customHeight="1">
      <c r="A6767" s="3">
        <v>94273</v>
      </c>
      <c r="B6767" s="4" t="s">
        <v>6791</v>
      </c>
      <c r="C6767" s="3" t="s">
        <v>50</v>
      </c>
      <c r="D6767" s="5">
        <f t="shared" si="212"/>
        <v>52.1</v>
      </c>
      <c r="E6767">
        <v>57.19</v>
      </c>
      <c r="F6767" s="1789">
        <v>8.8999999999999996E-2</v>
      </c>
      <c r="G6767">
        <f t="shared" si="213"/>
        <v>52.1</v>
      </c>
    </row>
    <row r="6768" spans="1:7" ht="12.75" customHeight="1">
      <c r="A6768" s="3">
        <v>94274</v>
      </c>
      <c r="B6768" s="4" t="s">
        <v>6792</v>
      </c>
      <c r="C6768" s="3" t="s">
        <v>50</v>
      </c>
      <c r="D6768" s="5">
        <f t="shared" si="212"/>
        <v>54.45</v>
      </c>
      <c r="E6768">
        <v>59.78</v>
      </c>
      <c r="F6768" s="1789">
        <v>8.8999999999999996E-2</v>
      </c>
      <c r="G6768">
        <f t="shared" si="213"/>
        <v>54.45</v>
      </c>
    </row>
    <row r="6769" spans="1:7" ht="12.75" customHeight="1">
      <c r="A6769" s="3">
        <v>94275</v>
      </c>
      <c r="B6769" s="4" t="s">
        <v>6793</v>
      </c>
      <c r="C6769" s="3" t="s">
        <v>50</v>
      </c>
      <c r="D6769" s="5">
        <f t="shared" si="212"/>
        <v>47.27</v>
      </c>
      <c r="E6769">
        <v>51.89</v>
      </c>
      <c r="F6769" s="1789">
        <v>8.8999999999999996E-2</v>
      </c>
      <c r="G6769">
        <f t="shared" si="213"/>
        <v>47.27</v>
      </c>
    </row>
    <row r="6770" spans="1:7" ht="12.75" customHeight="1">
      <c r="A6770" s="3">
        <v>94276</v>
      </c>
      <c r="B6770" s="4" t="s">
        <v>6794</v>
      </c>
      <c r="C6770" s="3" t="s">
        <v>50</v>
      </c>
      <c r="D6770" s="5">
        <f t="shared" si="212"/>
        <v>49.62</v>
      </c>
      <c r="E6770">
        <v>54.47</v>
      </c>
      <c r="F6770" s="1789">
        <v>8.8999999999999996E-2</v>
      </c>
      <c r="G6770">
        <f t="shared" si="213"/>
        <v>49.62</v>
      </c>
    </row>
    <row r="6771" spans="1:7" ht="12.75" customHeight="1">
      <c r="A6771" s="3">
        <v>94277</v>
      </c>
      <c r="B6771" s="4" t="s">
        <v>6795</v>
      </c>
      <c r="C6771" s="3" t="s">
        <v>50</v>
      </c>
      <c r="D6771" s="5">
        <f t="shared" si="212"/>
        <v>41.37</v>
      </c>
      <c r="E6771">
        <v>45.42</v>
      </c>
      <c r="F6771" s="1789">
        <v>8.8999999999999996E-2</v>
      </c>
      <c r="G6771">
        <f t="shared" si="213"/>
        <v>41.37</v>
      </c>
    </row>
    <row r="6772" spans="1:7" ht="12.75" customHeight="1">
      <c r="A6772" s="3">
        <v>94278</v>
      </c>
      <c r="B6772" s="4" t="s">
        <v>6796</v>
      </c>
      <c r="C6772" s="3" t="s">
        <v>50</v>
      </c>
      <c r="D6772" s="5">
        <f t="shared" si="212"/>
        <v>43.73</v>
      </c>
      <c r="E6772">
        <v>48.01</v>
      </c>
      <c r="F6772" s="1789">
        <v>8.8999999999999996E-2</v>
      </c>
      <c r="G6772">
        <f t="shared" si="213"/>
        <v>43.73</v>
      </c>
    </row>
    <row r="6773" spans="1:7" ht="12.75" customHeight="1">
      <c r="A6773" s="3">
        <v>94279</v>
      </c>
      <c r="B6773" s="4" t="s">
        <v>6797</v>
      </c>
      <c r="C6773" s="3" t="s">
        <v>50</v>
      </c>
      <c r="D6773" s="5">
        <f t="shared" si="212"/>
        <v>50.86</v>
      </c>
      <c r="E6773">
        <v>55.83</v>
      </c>
      <c r="F6773" s="1789">
        <v>8.8999999999999996E-2</v>
      </c>
      <c r="G6773">
        <f t="shared" si="213"/>
        <v>50.86</v>
      </c>
    </row>
    <row r="6774" spans="1:7" ht="12.75" customHeight="1">
      <c r="A6774" s="3">
        <v>94280</v>
      </c>
      <c r="B6774" s="4" t="s">
        <v>6798</v>
      </c>
      <c r="C6774" s="3" t="s">
        <v>50</v>
      </c>
      <c r="D6774" s="5">
        <f t="shared" si="212"/>
        <v>53.22</v>
      </c>
      <c r="E6774">
        <v>58.42</v>
      </c>
      <c r="F6774" s="1789">
        <v>8.8999999999999996E-2</v>
      </c>
      <c r="G6774">
        <f t="shared" si="213"/>
        <v>53.22</v>
      </c>
    </row>
    <row r="6775" spans="1:7" ht="12.75" customHeight="1">
      <c r="A6775" s="3">
        <v>94281</v>
      </c>
      <c r="B6775" s="4" t="s">
        <v>6799</v>
      </c>
      <c r="C6775" s="3" t="s">
        <v>50</v>
      </c>
      <c r="D6775" s="5">
        <f t="shared" si="212"/>
        <v>49.18</v>
      </c>
      <c r="E6775">
        <v>53.99</v>
      </c>
      <c r="F6775" s="1789">
        <v>8.8999999999999996E-2</v>
      </c>
      <c r="G6775">
        <f t="shared" si="213"/>
        <v>49.18</v>
      </c>
    </row>
    <row r="6776" spans="1:7" ht="12.75" customHeight="1">
      <c r="A6776" s="3">
        <v>94282</v>
      </c>
      <c r="B6776" s="4" t="s">
        <v>6800</v>
      </c>
      <c r="C6776" s="3" t="s">
        <v>50</v>
      </c>
      <c r="D6776" s="5">
        <f t="shared" si="212"/>
        <v>55.4</v>
      </c>
      <c r="E6776">
        <v>60.82</v>
      </c>
      <c r="F6776" s="1789">
        <v>8.8999999999999996E-2</v>
      </c>
      <c r="G6776">
        <f t="shared" si="213"/>
        <v>55.4</v>
      </c>
    </row>
    <row r="6777" spans="1:7" ht="12.75" customHeight="1">
      <c r="A6777" s="3">
        <v>94283</v>
      </c>
      <c r="B6777" s="4" t="s">
        <v>6801</v>
      </c>
      <c r="C6777" s="3" t="s">
        <v>50</v>
      </c>
      <c r="D6777" s="5">
        <f t="shared" si="212"/>
        <v>68.27</v>
      </c>
      <c r="E6777">
        <v>74.94</v>
      </c>
      <c r="F6777" s="1789">
        <v>8.8999999999999996E-2</v>
      </c>
      <c r="G6777">
        <f t="shared" si="213"/>
        <v>68.27</v>
      </c>
    </row>
    <row r="6778" spans="1:7" ht="12.75" customHeight="1">
      <c r="A6778" s="3">
        <v>94284</v>
      </c>
      <c r="B6778" s="4" t="s">
        <v>6802</v>
      </c>
      <c r="C6778" s="3" t="s">
        <v>50</v>
      </c>
      <c r="D6778" s="5">
        <f t="shared" si="212"/>
        <v>74.489999999999995</v>
      </c>
      <c r="E6778">
        <v>81.77</v>
      </c>
      <c r="F6778" s="1789">
        <v>8.8999999999999996E-2</v>
      </c>
      <c r="G6778">
        <f t="shared" si="213"/>
        <v>74.489999999999995</v>
      </c>
    </row>
    <row r="6779" spans="1:7" ht="12.75" customHeight="1">
      <c r="A6779" s="3">
        <v>94285</v>
      </c>
      <c r="B6779" s="4" t="s">
        <v>6803</v>
      </c>
      <c r="C6779" s="3" t="s">
        <v>50</v>
      </c>
      <c r="D6779" s="5">
        <f t="shared" si="212"/>
        <v>89.29</v>
      </c>
      <c r="E6779">
        <v>98.02</v>
      </c>
      <c r="F6779" s="1789">
        <v>8.8999999999999996E-2</v>
      </c>
      <c r="G6779">
        <f t="shared" si="213"/>
        <v>89.29</v>
      </c>
    </row>
    <row r="6780" spans="1:7" ht="12.75" customHeight="1">
      <c r="A6780" s="3">
        <v>94286</v>
      </c>
      <c r="B6780" s="4" t="s">
        <v>6804</v>
      </c>
      <c r="C6780" s="3" t="s">
        <v>50</v>
      </c>
      <c r="D6780" s="5">
        <f t="shared" si="212"/>
        <v>95.53</v>
      </c>
      <c r="E6780">
        <v>104.87</v>
      </c>
      <c r="F6780" s="1789">
        <v>8.8999999999999996E-2</v>
      </c>
      <c r="G6780">
        <f t="shared" si="213"/>
        <v>95.53</v>
      </c>
    </row>
    <row r="6781" spans="1:7" ht="12.75" customHeight="1">
      <c r="A6781" s="3">
        <v>94287</v>
      </c>
      <c r="B6781" s="4" t="s">
        <v>6805</v>
      </c>
      <c r="C6781" s="3" t="s">
        <v>50</v>
      </c>
      <c r="D6781" s="5">
        <f t="shared" si="212"/>
        <v>36.21</v>
      </c>
      <c r="E6781">
        <v>39.75</v>
      </c>
      <c r="F6781" s="1789">
        <v>8.8999999999999996E-2</v>
      </c>
      <c r="G6781">
        <f t="shared" si="213"/>
        <v>36.21</v>
      </c>
    </row>
    <row r="6782" spans="1:7" ht="12.75" customHeight="1">
      <c r="A6782" s="3">
        <v>94288</v>
      </c>
      <c r="B6782" s="4" t="s">
        <v>6806</v>
      </c>
      <c r="C6782" s="3" t="s">
        <v>50</v>
      </c>
      <c r="D6782" s="5">
        <f t="shared" si="212"/>
        <v>41.76</v>
      </c>
      <c r="E6782">
        <v>45.84</v>
      </c>
      <c r="F6782" s="1789">
        <v>8.8999999999999996E-2</v>
      </c>
      <c r="G6782">
        <f t="shared" si="213"/>
        <v>41.76</v>
      </c>
    </row>
    <row r="6783" spans="1:7" ht="12.75" customHeight="1">
      <c r="A6783" s="3">
        <v>94289</v>
      </c>
      <c r="B6783" s="4" t="s">
        <v>6807</v>
      </c>
      <c r="C6783" s="3" t="s">
        <v>50</v>
      </c>
      <c r="D6783" s="5">
        <f t="shared" si="212"/>
        <v>48.53</v>
      </c>
      <c r="E6783">
        <v>53.28</v>
      </c>
      <c r="F6783" s="1789">
        <v>8.8999999999999996E-2</v>
      </c>
      <c r="G6783">
        <f t="shared" si="213"/>
        <v>48.53</v>
      </c>
    </row>
    <row r="6784" spans="1:7" ht="12.75" customHeight="1">
      <c r="A6784" s="3">
        <v>94290</v>
      </c>
      <c r="B6784" s="4" t="s">
        <v>6808</v>
      </c>
      <c r="C6784" s="3" t="s">
        <v>50</v>
      </c>
      <c r="D6784" s="5">
        <f t="shared" si="212"/>
        <v>54.08</v>
      </c>
      <c r="E6784">
        <v>59.37</v>
      </c>
      <c r="F6784" s="1789">
        <v>8.8999999999999996E-2</v>
      </c>
      <c r="G6784">
        <f t="shared" si="213"/>
        <v>54.08</v>
      </c>
    </row>
    <row r="6785" spans="1:7" ht="12.75" customHeight="1">
      <c r="A6785" s="3">
        <v>94291</v>
      </c>
      <c r="B6785" s="4" t="s">
        <v>6809</v>
      </c>
      <c r="C6785" s="3" t="s">
        <v>50</v>
      </c>
      <c r="D6785" s="5">
        <f t="shared" si="212"/>
        <v>61.31</v>
      </c>
      <c r="E6785">
        <v>67.3</v>
      </c>
      <c r="F6785" s="1789">
        <v>8.8999999999999996E-2</v>
      </c>
      <c r="G6785">
        <f t="shared" si="213"/>
        <v>61.31</v>
      </c>
    </row>
    <row r="6786" spans="1:7" ht="12.75" customHeight="1">
      <c r="A6786" s="3">
        <v>94292</v>
      </c>
      <c r="B6786" s="4" t="s">
        <v>6810</v>
      </c>
      <c r="C6786" s="3" t="s">
        <v>50</v>
      </c>
      <c r="D6786" s="5">
        <f t="shared" si="212"/>
        <v>66.84</v>
      </c>
      <c r="E6786">
        <v>73.38</v>
      </c>
      <c r="F6786" s="1789">
        <v>8.8999999999999996E-2</v>
      </c>
      <c r="G6786">
        <f t="shared" si="213"/>
        <v>66.84</v>
      </c>
    </row>
    <row r="6787" spans="1:7" ht="12.75" customHeight="1">
      <c r="A6787" s="3">
        <v>94293</v>
      </c>
      <c r="B6787" s="4" t="s">
        <v>6811</v>
      </c>
      <c r="C6787" s="3" t="s">
        <v>50</v>
      </c>
      <c r="D6787" s="5">
        <f t="shared" si="212"/>
        <v>200.51</v>
      </c>
      <c r="E6787">
        <v>220.1</v>
      </c>
      <c r="F6787" s="1789">
        <v>8.8999999999999996E-2</v>
      </c>
      <c r="G6787">
        <f t="shared" si="213"/>
        <v>200.51</v>
      </c>
    </row>
    <row r="6788" spans="1:7" ht="12.75" customHeight="1">
      <c r="A6788" s="3">
        <v>94294</v>
      </c>
      <c r="B6788" s="4" t="s">
        <v>6812</v>
      </c>
      <c r="C6788" s="3" t="s">
        <v>50</v>
      </c>
      <c r="D6788" s="5">
        <f t="shared" si="212"/>
        <v>8.01</v>
      </c>
      <c r="E6788">
        <v>8.8000000000000007</v>
      </c>
      <c r="F6788" s="1789">
        <v>8.8999999999999996E-2</v>
      </c>
      <c r="G6788">
        <f t="shared" si="213"/>
        <v>8.01</v>
      </c>
    </row>
    <row r="6789" spans="1:7" ht="12.75" customHeight="1">
      <c r="A6789" s="3">
        <v>104491</v>
      </c>
      <c r="B6789" s="4" t="s">
        <v>6813</v>
      </c>
      <c r="C6789" s="3" t="s">
        <v>50</v>
      </c>
      <c r="D6789" s="5">
        <f t="shared" si="212"/>
        <v>3524.76</v>
      </c>
      <c r="E6789">
        <v>3869.12</v>
      </c>
      <c r="F6789" s="1789">
        <v>8.8999999999999996E-2</v>
      </c>
      <c r="G6789">
        <f t="shared" si="213"/>
        <v>3524.76</v>
      </c>
    </row>
    <row r="6790" spans="1:7" ht="12.75" customHeight="1">
      <c r="A6790" s="3">
        <v>104492</v>
      </c>
      <c r="B6790" s="4" t="s">
        <v>6814</v>
      </c>
      <c r="C6790" s="3" t="s">
        <v>50</v>
      </c>
      <c r="D6790" s="5">
        <f t="shared" si="212"/>
        <v>4407.6400000000003</v>
      </c>
      <c r="E6790">
        <v>4838.25</v>
      </c>
      <c r="F6790" s="1789">
        <v>8.8999999999999996E-2</v>
      </c>
      <c r="G6790">
        <f t="shared" si="213"/>
        <v>4407.6400000000003</v>
      </c>
    </row>
    <row r="6791" spans="1:7" ht="12.75" customHeight="1">
      <c r="A6791" s="3">
        <v>104494</v>
      </c>
      <c r="B6791" s="4" t="s">
        <v>6815</v>
      </c>
      <c r="C6791" s="3" t="s">
        <v>50</v>
      </c>
      <c r="D6791" s="5">
        <f t="shared" si="212"/>
        <v>5953.72</v>
      </c>
      <c r="E6791">
        <v>6535.37</v>
      </c>
      <c r="F6791" s="1789">
        <v>8.8999999999999996E-2</v>
      </c>
      <c r="G6791">
        <f t="shared" si="213"/>
        <v>5953.72</v>
      </c>
    </row>
    <row r="6792" spans="1:7" ht="12.75" customHeight="1">
      <c r="A6792" s="3">
        <v>104497</v>
      </c>
      <c r="B6792" s="4" t="s">
        <v>6816</v>
      </c>
      <c r="C6792" s="3" t="s">
        <v>50</v>
      </c>
      <c r="D6792" s="5">
        <f t="shared" si="212"/>
        <v>7142.18</v>
      </c>
      <c r="E6792">
        <v>7839.94</v>
      </c>
      <c r="F6792" s="1789">
        <v>8.8999999999999996E-2</v>
      </c>
      <c r="G6792">
        <f t="shared" si="213"/>
        <v>7142.18</v>
      </c>
    </row>
    <row r="6793" spans="1:7" ht="12.75" customHeight="1">
      <c r="A6793" s="3">
        <v>104515</v>
      </c>
      <c r="B6793" s="4" t="s">
        <v>6817</v>
      </c>
      <c r="C6793" s="3" t="s">
        <v>409</v>
      </c>
      <c r="D6793" s="5">
        <f t="shared" si="212"/>
        <v>25.23</v>
      </c>
      <c r="E6793">
        <v>27.7</v>
      </c>
      <c r="F6793" s="1789">
        <v>8.8999999999999996E-2</v>
      </c>
      <c r="G6793">
        <f t="shared" si="213"/>
        <v>25.23</v>
      </c>
    </row>
    <row r="6794" spans="1:7" ht="12.75" customHeight="1">
      <c r="A6794" s="3">
        <v>102727</v>
      </c>
      <c r="B6794" s="4" t="s">
        <v>6818</v>
      </c>
      <c r="C6794" s="3" t="s">
        <v>409</v>
      </c>
      <c r="D6794" s="5">
        <f t="shared" si="212"/>
        <v>104.25</v>
      </c>
      <c r="E6794">
        <v>114.44</v>
      </c>
      <c r="F6794" s="1789">
        <v>8.8999999999999996E-2</v>
      </c>
      <c r="G6794">
        <f t="shared" si="213"/>
        <v>104.25</v>
      </c>
    </row>
    <row r="6795" spans="1:7" ht="12.75" customHeight="1">
      <c r="A6795" s="3">
        <v>102728</v>
      </c>
      <c r="B6795" s="4" t="s">
        <v>6819</v>
      </c>
      <c r="C6795" s="3" t="s">
        <v>54</v>
      </c>
      <c r="D6795" s="5">
        <f t="shared" si="212"/>
        <v>14.26</v>
      </c>
      <c r="E6795">
        <v>15.66</v>
      </c>
      <c r="F6795" s="1789">
        <v>8.8999999999999996E-2</v>
      </c>
      <c r="G6795">
        <f t="shared" si="213"/>
        <v>14.26</v>
      </c>
    </row>
    <row r="6796" spans="1:7" ht="12.75" customHeight="1">
      <c r="A6796" s="3">
        <v>102729</v>
      </c>
      <c r="B6796" s="4" t="s">
        <v>6820</v>
      </c>
      <c r="C6796" s="3" t="s">
        <v>54</v>
      </c>
      <c r="D6796" s="5">
        <f t="shared" si="212"/>
        <v>13.44</v>
      </c>
      <c r="E6796">
        <v>14.76</v>
      </c>
      <c r="F6796" s="1789">
        <v>8.8999999999999996E-2</v>
      </c>
      <c r="G6796">
        <f t="shared" si="213"/>
        <v>13.44</v>
      </c>
    </row>
    <row r="6797" spans="1:7" ht="12.75" customHeight="1">
      <c r="A6797" s="3">
        <v>102730</v>
      </c>
      <c r="B6797" s="4" t="s">
        <v>6821</v>
      </c>
      <c r="C6797" s="3" t="s">
        <v>54</v>
      </c>
      <c r="D6797" s="5">
        <f t="shared" si="212"/>
        <v>12.03</v>
      </c>
      <c r="E6797">
        <v>13.21</v>
      </c>
      <c r="F6797" s="1789">
        <v>8.8999999999999996E-2</v>
      </c>
      <c r="G6797">
        <f t="shared" si="213"/>
        <v>12.03</v>
      </c>
    </row>
    <row r="6798" spans="1:7" ht="12.75" customHeight="1">
      <c r="A6798" s="3">
        <v>102731</v>
      </c>
      <c r="B6798" s="4" t="s">
        <v>6822</v>
      </c>
      <c r="C6798" s="3" t="s">
        <v>54</v>
      </c>
      <c r="D6798" s="5">
        <f t="shared" si="212"/>
        <v>10.16</v>
      </c>
      <c r="E6798">
        <v>11.16</v>
      </c>
      <c r="F6798" s="1789">
        <v>8.8999999999999996E-2</v>
      </c>
      <c r="G6798">
        <f t="shared" si="213"/>
        <v>10.16</v>
      </c>
    </row>
    <row r="6799" spans="1:7" ht="12.75" customHeight="1">
      <c r="A6799" s="3">
        <v>102732</v>
      </c>
      <c r="B6799" s="4" t="s">
        <v>6823</v>
      </c>
      <c r="C6799" s="3" t="s">
        <v>54</v>
      </c>
      <c r="D6799" s="5">
        <f t="shared" si="212"/>
        <v>9.64</v>
      </c>
      <c r="E6799">
        <v>10.59</v>
      </c>
      <c r="F6799" s="1789">
        <v>8.8999999999999996E-2</v>
      </c>
      <c r="G6799">
        <f t="shared" si="213"/>
        <v>9.64</v>
      </c>
    </row>
    <row r="6800" spans="1:7" ht="12.75" customHeight="1">
      <c r="A6800" s="3">
        <v>102733</v>
      </c>
      <c r="B6800" s="4" t="s">
        <v>6824</v>
      </c>
      <c r="C6800" s="3" t="s">
        <v>54</v>
      </c>
      <c r="D6800" s="5">
        <f t="shared" si="212"/>
        <v>10.79</v>
      </c>
      <c r="E6800">
        <v>11.85</v>
      </c>
      <c r="F6800" s="1789">
        <v>8.8999999999999996E-2</v>
      </c>
      <c r="G6800">
        <f t="shared" si="213"/>
        <v>10.79</v>
      </c>
    </row>
    <row r="6801" spans="1:7" ht="12.75" customHeight="1">
      <c r="A6801" s="3">
        <v>102734</v>
      </c>
      <c r="B6801" s="4" t="s">
        <v>6825</v>
      </c>
      <c r="C6801" s="3" t="s">
        <v>54</v>
      </c>
      <c r="D6801" s="5">
        <f t="shared" si="212"/>
        <v>13.49</v>
      </c>
      <c r="E6801">
        <v>14.81</v>
      </c>
      <c r="F6801" s="1789">
        <v>8.8999999999999996E-2</v>
      </c>
      <c r="G6801">
        <f t="shared" si="213"/>
        <v>13.49</v>
      </c>
    </row>
    <row r="6802" spans="1:7" ht="12.75" customHeight="1">
      <c r="A6802" s="3">
        <v>102735</v>
      </c>
      <c r="B6802" s="4" t="s">
        <v>6826</v>
      </c>
      <c r="C6802" s="3" t="s">
        <v>54</v>
      </c>
      <c r="D6802" s="5">
        <f t="shared" si="212"/>
        <v>12.76</v>
      </c>
      <c r="E6802">
        <v>14.01</v>
      </c>
      <c r="F6802" s="1789">
        <v>8.8999999999999996E-2</v>
      </c>
      <c r="G6802">
        <f t="shared" si="213"/>
        <v>12.76</v>
      </c>
    </row>
    <row r="6803" spans="1:7" ht="12.75" customHeight="1">
      <c r="A6803" s="3">
        <v>102736</v>
      </c>
      <c r="B6803" s="4" t="s">
        <v>6827</v>
      </c>
      <c r="C6803" s="3" t="s">
        <v>152</v>
      </c>
      <c r="D6803" s="5">
        <f t="shared" si="212"/>
        <v>771.49</v>
      </c>
      <c r="E6803">
        <v>846.87</v>
      </c>
      <c r="F6803" s="1789">
        <v>8.8999999999999996E-2</v>
      </c>
      <c r="G6803">
        <f t="shared" si="213"/>
        <v>771.49</v>
      </c>
    </row>
    <row r="6804" spans="1:7" ht="12.75" customHeight="1">
      <c r="A6804" s="3">
        <v>102737</v>
      </c>
      <c r="B6804" s="4" t="s">
        <v>6828</v>
      </c>
      <c r="C6804" s="3" t="s">
        <v>6</v>
      </c>
      <c r="D6804" s="5">
        <f t="shared" si="212"/>
        <v>1152.28</v>
      </c>
      <c r="E6804">
        <v>1264.8599999999999</v>
      </c>
      <c r="F6804" s="1789">
        <v>8.8999999999999996E-2</v>
      </c>
      <c r="G6804">
        <f t="shared" si="213"/>
        <v>1152.28</v>
      </c>
    </row>
    <row r="6805" spans="1:7" ht="12.75" customHeight="1">
      <c r="A6805" s="3">
        <v>102738</v>
      </c>
      <c r="B6805" s="4" t="s">
        <v>6829</v>
      </c>
      <c r="C6805" s="3" t="s">
        <v>6</v>
      </c>
      <c r="D6805" s="5">
        <f t="shared" ref="D6805:D6868" si="214">G6805</f>
        <v>2359.66</v>
      </c>
      <c r="E6805">
        <v>2590.19</v>
      </c>
      <c r="F6805" s="1789">
        <v>8.8999999999999996E-2</v>
      </c>
      <c r="G6805">
        <f t="shared" ref="G6805:G6868" si="215">TRUNC((1-F6805)*E6805,2)</f>
        <v>2359.66</v>
      </c>
    </row>
    <row r="6806" spans="1:7" ht="12.75" customHeight="1">
      <c r="A6806" s="3">
        <v>102739</v>
      </c>
      <c r="B6806" s="4" t="s">
        <v>6830</v>
      </c>
      <c r="C6806" s="3" t="s">
        <v>6</v>
      </c>
      <c r="D6806" s="5">
        <f t="shared" si="214"/>
        <v>3951.39</v>
      </c>
      <c r="E6806">
        <v>4337.43</v>
      </c>
      <c r="F6806" s="1789">
        <v>8.8999999999999996E-2</v>
      </c>
      <c r="G6806">
        <f t="shared" si="215"/>
        <v>3951.39</v>
      </c>
    </row>
    <row r="6807" spans="1:7" ht="12.75" customHeight="1">
      <c r="A6807" s="3">
        <v>102740</v>
      </c>
      <c r="B6807" s="4" t="s">
        <v>6831</v>
      </c>
      <c r="C6807" s="3" t="s">
        <v>6</v>
      </c>
      <c r="D6807" s="5">
        <f t="shared" si="214"/>
        <v>5922.35</v>
      </c>
      <c r="E6807">
        <v>6500.94</v>
      </c>
      <c r="F6807" s="1789">
        <v>8.8999999999999996E-2</v>
      </c>
      <c r="G6807">
        <f t="shared" si="215"/>
        <v>5922.35</v>
      </c>
    </row>
    <row r="6808" spans="1:7" ht="12.75" customHeight="1">
      <c r="A6808" s="3">
        <v>102741</v>
      </c>
      <c r="B6808" s="4" t="s">
        <v>6832</v>
      </c>
      <c r="C6808" s="3" t="s">
        <v>6</v>
      </c>
      <c r="D6808" s="5">
        <f t="shared" si="214"/>
        <v>8312.06</v>
      </c>
      <c r="E6808">
        <v>9124.11</v>
      </c>
      <c r="F6808" s="1789">
        <v>8.8999999999999996E-2</v>
      </c>
      <c r="G6808">
        <f t="shared" si="215"/>
        <v>8312.06</v>
      </c>
    </row>
    <row r="6809" spans="1:7" ht="12.75" customHeight="1">
      <c r="A6809" s="3">
        <v>102742</v>
      </c>
      <c r="B6809" s="4" t="s">
        <v>6833</v>
      </c>
      <c r="C6809" s="3" t="s">
        <v>6</v>
      </c>
      <c r="D6809" s="5">
        <f t="shared" si="214"/>
        <v>14392.05</v>
      </c>
      <c r="E6809">
        <v>15798.09</v>
      </c>
      <c r="F6809" s="1789">
        <v>8.8999999999999996E-2</v>
      </c>
      <c r="G6809">
        <f t="shared" si="215"/>
        <v>14392.05</v>
      </c>
    </row>
    <row r="6810" spans="1:7" ht="12.75" customHeight="1">
      <c r="A6810" s="3">
        <v>102743</v>
      </c>
      <c r="B6810" s="4" t="s">
        <v>6834</v>
      </c>
      <c r="C6810" s="3" t="s">
        <v>6</v>
      </c>
      <c r="D6810" s="5">
        <f t="shared" si="214"/>
        <v>4793.3999999999996</v>
      </c>
      <c r="E6810">
        <v>5261.7</v>
      </c>
      <c r="F6810" s="1789">
        <v>8.8999999999999996E-2</v>
      </c>
      <c r="G6810">
        <f t="shared" si="215"/>
        <v>4793.3999999999996</v>
      </c>
    </row>
    <row r="6811" spans="1:7" ht="12.75" customHeight="1">
      <c r="A6811" s="3">
        <v>102744</v>
      </c>
      <c r="B6811" s="4" t="s">
        <v>6835</v>
      </c>
      <c r="C6811" s="3" t="s">
        <v>6</v>
      </c>
      <c r="D6811" s="5">
        <f t="shared" si="214"/>
        <v>7180.35</v>
      </c>
      <c r="E6811">
        <v>7881.84</v>
      </c>
      <c r="F6811" s="1789">
        <v>8.8999999999999996E-2</v>
      </c>
      <c r="G6811">
        <f t="shared" si="215"/>
        <v>7180.35</v>
      </c>
    </row>
    <row r="6812" spans="1:7" ht="12.75" customHeight="1">
      <c r="A6812" s="3">
        <v>102745</v>
      </c>
      <c r="B6812" s="4" t="s">
        <v>6836</v>
      </c>
      <c r="C6812" s="3" t="s">
        <v>6</v>
      </c>
      <c r="D6812" s="5">
        <f t="shared" si="214"/>
        <v>10091.59</v>
      </c>
      <c r="E6812">
        <v>11077.49</v>
      </c>
      <c r="F6812" s="1789">
        <v>8.8999999999999996E-2</v>
      </c>
      <c r="G6812">
        <f t="shared" si="215"/>
        <v>10091.59</v>
      </c>
    </row>
    <row r="6813" spans="1:7" ht="12.75" customHeight="1">
      <c r="A6813" s="3">
        <v>102746</v>
      </c>
      <c r="B6813" s="4" t="s">
        <v>6837</v>
      </c>
      <c r="C6813" s="3" t="s">
        <v>6</v>
      </c>
      <c r="D6813" s="5">
        <f t="shared" si="214"/>
        <v>17494.5</v>
      </c>
      <c r="E6813">
        <v>19203.63</v>
      </c>
      <c r="F6813" s="1789">
        <v>8.8999999999999996E-2</v>
      </c>
      <c r="G6813">
        <f t="shared" si="215"/>
        <v>17494.5</v>
      </c>
    </row>
    <row r="6814" spans="1:7" ht="12.75" customHeight="1">
      <c r="A6814" s="3">
        <v>102747</v>
      </c>
      <c r="B6814" s="4" t="s">
        <v>6838</v>
      </c>
      <c r="C6814" s="3" t="s">
        <v>6</v>
      </c>
      <c r="D6814" s="5">
        <f t="shared" si="214"/>
        <v>8918.81</v>
      </c>
      <c r="E6814">
        <v>9790.14</v>
      </c>
      <c r="F6814" s="1789">
        <v>8.8999999999999996E-2</v>
      </c>
      <c r="G6814">
        <f t="shared" si="215"/>
        <v>8918.81</v>
      </c>
    </row>
    <row r="6815" spans="1:7" ht="12.75" customHeight="1">
      <c r="A6815" s="3">
        <v>102748</v>
      </c>
      <c r="B6815" s="4" t="s">
        <v>6839</v>
      </c>
      <c r="C6815" s="3" t="s">
        <v>6</v>
      </c>
      <c r="D6815" s="5">
        <f t="shared" si="214"/>
        <v>12480.64</v>
      </c>
      <c r="E6815">
        <v>13699.94</v>
      </c>
      <c r="F6815" s="1789">
        <v>8.8999999999999996E-2</v>
      </c>
      <c r="G6815">
        <f t="shared" si="215"/>
        <v>12480.64</v>
      </c>
    </row>
    <row r="6816" spans="1:7" ht="12.75" customHeight="1">
      <c r="A6816" s="3">
        <v>102749</v>
      </c>
      <c r="B6816" s="4" t="s">
        <v>6840</v>
      </c>
      <c r="C6816" s="3" t="s">
        <v>6</v>
      </c>
      <c r="D6816" s="5">
        <f t="shared" si="214"/>
        <v>21428.15</v>
      </c>
      <c r="E6816">
        <v>23521.57</v>
      </c>
      <c r="F6816" s="1789">
        <v>8.8999999999999996E-2</v>
      </c>
      <c r="G6816">
        <f t="shared" si="215"/>
        <v>21428.15</v>
      </c>
    </row>
    <row r="6817" spans="1:7" ht="12.75" customHeight="1">
      <c r="A6817" s="3">
        <v>102750</v>
      </c>
      <c r="B6817" s="4" t="s">
        <v>6841</v>
      </c>
      <c r="C6817" s="3" t="s">
        <v>6</v>
      </c>
      <c r="D6817" s="5">
        <f t="shared" si="214"/>
        <v>2877.3</v>
      </c>
      <c r="E6817">
        <v>3158.4</v>
      </c>
      <c r="F6817" s="1789">
        <v>8.8999999999999996E-2</v>
      </c>
      <c r="G6817">
        <f t="shared" si="215"/>
        <v>2877.3</v>
      </c>
    </row>
    <row r="6818" spans="1:7" ht="12.75" customHeight="1">
      <c r="A6818" s="3">
        <v>102751</v>
      </c>
      <c r="B6818" s="4" t="s">
        <v>6842</v>
      </c>
      <c r="C6818" s="3" t="s">
        <v>6</v>
      </c>
      <c r="D6818" s="5">
        <f t="shared" si="214"/>
        <v>4999.75</v>
      </c>
      <c r="E6818">
        <v>5488.2</v>
      </c>
      <c r="F6818" s="1789">
        <v>8.8999999999999996E-2</v>
      </c>
      <c r="G6818">
        <f t="shared" si="215"/>
        <v>4999.75</v>
      </c>
    </row>
    <row r="6819" spans="1:7" ht="12.75" customHeight="1">
      <c r="A6819" s="3">
        <v>102752</v>
      </c>
      <c r="B6819" s="4" t="s">
        <v>6843</v>
      </c>
      <c r="C6819" s="3" t="s">
        <v>6</v>
      </c>
      <c r="D6819" s="5">
        <f t="shared" si="214"/>
        <v>7966.32</v>
      </c>
      <c r="E6819">
        <v>8744.59</v>
      </c>
      <c r="F6819" s="1789">
        <v>8.8999999999999996E-2</v>
      </c>
      <c r="G6819">
        <f t="shared" si="215"/>
        <v>7966.32</v>
      </c>
    </row>
    <row r="6820" spans="1:7" ht="12.75" customHeight="1">
      <c r="A6820" s="3">
        <v>102753</v>
      </c>
      <c r="B6820" s="4" t="s">
        <v>6844</v>
      </c>
      <c r="C6820" s="3" t="s">
        <v>6</v>
      </c>
      <c r="D6820" s="5">
        <f t="shared" si="214"/>
        <v>11794.14</v>
      </c>
      <c r="E6820">
        <v>12946.37</v>
      </c>
      <c r="F6820" s="1789">
        <v>8.8999999999999996E-2</v>
      </c>
      <c r="G6820">
        <f t="shared" si="215"/>
        <v>11794.14</v>
      </c>
    </row>
    <row r="6821" spans="1:7" ht="12.75" customHeight="1">
      <c r="A6821" s="3">
        <v>102754</v>
      </c>
      <c r="B6821" s="4" t="s">
        <v>6845</v>
      </c>
      <c r="C6821" s="3" t="s">
        <v>6</v>
      </c>
      <c r="D6821" s="5">
        <f t="shared" si="214"/>
        <v>22421.119999999999</v>
      </c>
      <c r="E6821">
        <v>24611.55</v>
      </c>
      <c r="F6821" s="1789">
        <v>8.8999999999999996E-2</v>
      </c>
      <c r="G6821">
        <f t="shared" si="215"/>
        <v>22421.119999999999</v>
      </c>
    </row>
    <row r="6822" spans="1:7" ht="12.75" customHeight="1">
      <c r="A6822" s="3">
        <v>102755</v>
      </c>
      <c r="B6822" s="4" t="s">
        <v>6846</v>
      </c>
      <c r="C6822" s="3" t="s">
        <v>6</v>
      </c>
      <c r="D6822" s="5">
        <f t="shared" si="214"/>
        <v>11140.36</v>
      </c>
      <c r="E6822">
        <v>12228.72</v>
      </c>
      <c r="F6822" s="1789">
        <v>8.8999999999999996E-2</v>
      </c>
      <c r="G6822">
        <f t="shared" si="215"/>
        <v>11140.36</v>
      </c>
    </row>
    <row r="6823" spans="1:7" ht="12.75" customHeight="1">
      <c r="A6823" s="3">
        <v>102756</v>
      </c>
      <c r="B6823" s="4" t="s">
        <v>6847</v>
      </c>
      <c r="C6823" s="3" t="s">
        <v>6</v>
      </c>
      <c r="D6823" s="5">
        <f t="shared" si="214"/>
        <v>16546.28</v>
      </c>
      <c r="E6823">
        <v>18162.77</v>
      </c>
      <c r="F6823" s="1789">
        <v>8.8999999999999996E-2</v>
      </c>
      <c r="G6823">
        <f t="shared" si="215"/>
        <v>16546.28</v>
      </c>
    </row>
    <row r="6824" spans="1:7" ht="12.75" customHeight="1">
      <c r="A6824" s="3">
        <v>102757</v>
      </c>
      <c r="B6824" s="4" t="s">
        <v>6848</v>
      </c>
      <c r="C6824" s="3" t="s">
        <v>6</v>
      </c>
      <c r="D6824" s="5">
        <f t="shared" si="214"/>
        <v>30780.95</v>
      </c>
      <c r="E6824">
        <v>33788.1</v>
      </c>
      <c r="F6824" s="1789">
        <v>8.8999999999999996E-2</v>
      </c>
      <c r="G6824">
        <f t="shared" si="215"/>
        <v>30780.95</v>
      </c>
    </row>
    <row r="6825" spans="1:7" ht="12.75" customHeight="1">
      <c r="A6825" s="3">
        <v>102758</v>
      </c>
      <c r="B6825" s="4" t="s">
        <v>6849</v>
      </c>
      <c r="C6825" s="3" t="s">
        <v>6</v>
      </c>
      <c r="D6825" s="5">
        <f t="shared" si="214"/>
        <v>14327.58</v>
      </c>
      <c r="E6825">
        <v>15727.32</v>
      </c>
      <c r="F6825" s="1789">
        <v>8.8999999999999996E-2</v>
      </c>
      <c r="G6825">
        <f t="shared" si="215"/>
        <v>14327.58</v>
      </c>
    </row>
    <row r="6826" spans="1:7" ht="12.75" customHeight="1">
      <c r="A6826" s="3">
        <v>102759</v>
      </c>
      <c r="B6826" s="4" t="s">
        <v>6850</v>
      </c>
      <c r="C6826" s="3" t="s">
        <v>6</v>
      </c>
      <c r="D6826" s="5">
        <f t="shared" si="214"/>
        <v>21318.41</v>
      </c>
      <c r="E6826">
        <v>23401.11</v>
      </c>
      <c r="F6826" s="1789">
        <v>8.8999999999999996E-2</v>
      </c>
      <c r="G6826">
        <f t="shared" si="215"/>
        <v>21318.41</v>
      </c>
    </row>
    <row r="6827" spans="1:7" ht="12.75" customHeight="1">
      <c r="A6827" s="3">
        <v>102760</v>
      </c>
      <c r="B6827" s="4" t="s">
        <v>6851</v>
      </c>
      <c r="C6827" s="3" t="s">
        <v>6</v>
      </c>
      <c r="D6827" s="5">
        <f t="shared" si="214"/>
        <v>39293.25</v>
      </c>
      <c r="E6827">
        <v>43132</v>
      </c>
      <c r="F6827" s="1789">
        <v>8.8999999999999996E-2</v>
      </c>
      <c r="G6827">
        <f t="shared" si="215"/>
        <v>39293.25</v>
      </c>
    </row>
    <row r="6828" spans="1:7" ht="12.75" customHeight="1">
      <c r="A6828" s="3">
        <v>102761</v>
      </c>
      <c r="B6828" s="4" t="s">
        <v>6852</v>
      </c>
      <c r="C6828" s="3" t="s">
        <v>6</v>
      </c>
      <c r="D6828" s="5">
        <f t="shared" si="214"/>
        <v>13706.66</v>
      </c>
      <c r="E6828">
        <v>15045.74</v>
      </c>
      <c r="F6828" s="1789">
        <v>8.8999999999999996E-2</v>
      </c>
      <c r="G6828">
        <f t="shared" si="215"/>
        <v>13706.66</v>
      </c>
    </row>
    <row r="6829" spans="1:7" ht="12.75" customHeight="1">
      <c r="A6829" s="3">
        <v>102762</v>
      </c>
      <c r="B6829" s="4" t="s">
        <v>6853</v>
      </c>
      <c r="C6829" s="3" t="s">
        <v>6</v>
      </c>
      <c r="D6829" s="5">
        <f t="shared" si="214"/>
        <v>21248.81</v>
      </c>
      <c r="E6829">
        <v>23324.720000000001</v>
      </c>
      <c r="F6829" s="1789">
        <v>8.8999999999999996E-2</v>
      </c>
      <c r="G6829">
        <f t="shared" si="215"/>
        <v>21248.81</v>
      </c>
    </row>
    <row r="6830" spans="1:7" ht="12.75" customHeight="1">
      <c r="A6830" s="3">
        <v>102763</v>
      </c>
      <c r="B6830" s="4" t="s">
        <v>6854</v>
      </c>
      <c r="C6830" s="3" t="s">
        <v>6</v>
      </c>
      <c r="D6830" s="5">
        <f t="shared" si="214"/>
        <v>29506.6</v>
      </c>
      <c r="E6830">
        <v>32389.25</v>
      </c>
      <c r="F6830" s="1789">
        <v>8.8999999999999996E-2</v>
      </c>
      <c r="G6830">
        <f t="shared" si="215"/>
        <v>29506.6</v>
      </c>
    </row>
    <row r="6831" spans="1:7" ht="12.75" customHeight="1">
      <c r="A6831" s="3">
        <v>102764</v>
      </c>
      <c r="B6831" s="4" t="s">
        <v>6855</v>
      </c>
      <c r="C6831" s="3" t="s">
        <v>6</v>
      </c>
      <c r="D6831" s="5">
        <f t="shared" si="214"/>
        <v>41743.769999999997</v>
      </c>
      <c r="E6831">
        <v>45821.93</v>
      </c>
      <c r="F6831" s="1789">
        <v>8.8999999999999996E-2</v>
      </c>
      <c r="G6831">
        <f t="shared" si="215"/>
        <v>41743.769999999997</v>
      </c>
    </row>
    <row r="6832" spans="1:7" ht="12.75" customHeight="1">
      <c r="A6832" s="3">
        <v>102765</v>
      </c>
      <c r="B6832" s="4" t="s">
        <v>6856</v>
      </c>
      <c r="C6832" s="3" t="s">
        <v>6</v>
      </c>
      <c r="D6832" s="5">
        <f t="shared" si="214"/>
        <v>17126.330000000002</v>
      </c>
      <c r="E6832">
        <v>18799.490000000002</v>
      </c>
      <c r="F6832" s="1789">
        <v>8.8999999999999996E-2</v>
      </c>
      <c r="G6832">
        <f t="shared" si="215"/>
        <v>17126.330000000002</v>
      </c>
    </row>
    <row r="6833" spans="1:7" ht="12.75" customHeight="1">
      <c r="A6833" s="3">
        <v>102766</v>
      </c>
      <c r="B6833" s="4" t="s">
        <v>6857</v>
      </c>
      <c r="C6833" s="3" t="s">
        <v>6</v>
      </c>
      <c r="D6833" s="5">
        <f t="shared" si="214"/>
        <v>25860.89</v>
      </c>
      <c r="E6833">
        <v>28387.37</v>
      </c>
      <c r="F6833" s="1789">
        <v>8.8999999999999996E-2</v>
      </c>
      <c r="G6833">
        <f t="shared" si="215"/>
        <v>25860.89</v>
      </c>
    </row>
    <row r="6834" spans="1:7" ht="12.75" customHeight="1">
      <c r="A6834" s="3">
        <v>102767</v>
      </c>
      <c r="B6834" s="4" t="s">
        <v>6858</v>
      </c>
      <c r="C6834" s="3" t="s">
        <v>6</v>
      </c>
      <c r="D6834" s="5">
        <f t="shared" si="214"/>
        <v>36092.620000000003</v>
      </c>
      <c r="E6834">
        <v>39618.69</v>
      </c>
      <c r="F6834" s="1789">
        <v>8.8999999999999996E-2</v>
      </c>
      <c r="G6834">
        <f t="shared" si="215"/>
        <v>36092.620000000003</v>
      </c>
    </row>
    <row r="6835" spans="1:7" ht="12.75" customHeight="1">
      <c r="A6835" s="3">
        <v>102768</v>
      </c>
      <c r="B6835" s="4" t="s">
        <v>6859</v>
      </c>
      <c r="C6835" s="3" t="s">
        <v>6</v>
      </c>
      <c r="D6835" s="5">
        <f t="shared" si="214"/>
        <v>50593.64</v>
      </c>
      <c r="E6835">
        <v>55536.38</v>
      </c>
      <c r="F6835" s="1789">
        <v>8.8999999999999996E-2</v>
      </c>
      <c r="G6835">
        <f t="shared" si="215"/>
        <v>50593.64</v>
      </c>
    </row>
    <row r="6836" spans="1:7" ht="12.75" customHeight="1">
      <c r="A6836" s="3">
        <v>102769</v>
      </c>
      <c r="B6836" s="4" t="s">
        <v>6860</v>
      </c>
      <c r="C6836" s="3" t="s">
        <v>6</v>
      </c>
      <c r="D6836" s="5">
        <f t="shared" si="214"/>
        <v>19869.95</v>
      </c>
      <c r="E6836">
        <v>21811.15</v>
      </c>
      <c r="F6836" s="1789">
        <v>8.8999999999999996E-2</v>
      </c>
      <c r="G6836">
        <f t="shared" si="215"/>
        <v>19869.95</v>
      </c>
    </row>
    <row r="6837" spans="1:7" ht="12.75" customHeight="1">
      <c r="A6837" s="3">
        <v>102770</v>
      </c>
      <c r="B6837" s="4" t="s">
        <v>6861</v>
      </c>
      <c r="C6837" s="3" t="s">
        <v>6</v>
      </c>
      <c r="D6837" s="5">
        <f t="shared" si="214"/>
        <v>30526.03</v>
      </c>
      <c r="E6837">
        <v>33508.269999999997</v>
      </c>
      <c r="F6837" s="1789">
        <v>8.8999999999999996E-2</v>
      </c>
      <c r="G6837">
        <f t="shared" si="215"/>
        <v>30526.03</v>
      </c>
    </row>
    <row r="6838" spans="1:7" ht="12.75" customHeight="1">
      <c r="A6838" s="3">
        <v>102771</v>
      </c>
      <c r="B6838" s="4" t="s">
        <v>6862</v>
      </c>
      <c r="C6838" s="3" t="s">
        <v>6</v>
      </c>
      <c r="D6838" s="5">
        <f t="shared" si="214"/>
        <v>42586.46</v>
      </c>
      <c r="E6838">
        <v>46746.94</v>
      </c>
      <c r="F6838" s="1789">
        <v>8.8999999999999996E-2</v>
      </c>
      <c r="G6838">
        <f t="shared" si="215"/>
        <v>42586.46</v>
      </c>
    </row>
    <row r="6839" spans="1:7" ht="12.75" customHeight="1">
      <c r="A6839" s="3">
        <v>102772</v>
      </c>
      <c r="B6839" s="4" t="s">
        <v>6863</v>
      </c>
      <c r="C6839" s="3" t="s">
        <v>6</v>
      </c>
      <c r="D6839" s="5">
        <f t="shared" si="214"/>
        <v>60027.21</v>
      </c>
      <c r="E6839">
        <v>65891.56</v>
      </c>
      <c r="F6839" s="1789">
        <v>8.8999999999999996E-2</v>
      </c>
      <c r="G6839">
        <f t="shared" si="215"/>
        <v>60027.21</v>
      </c>
    </row>
    <row r="6840" spans="1:7" ht="12.75" customHeight="1">
      <c r="A6840" s="3">
        <v>102773</v>
      </c>
      <c r="B6840" s="4" t="s">
        <v>6864</v>
      </c>
      <c r="C6840" s="3" t="s">
        <v>6</v>
      </c>
      <c r="D6840" s="5">
        <f t="shared" si="214"/>
        <v>8095.45</v>
      </c>
      <c r="E6840">
        <v>8886.34</v>
      </c>
      <c r="F6840" s="1789">
        <v>8.8999999999999996E-2</v>
      </c>
      <c r="G6840">
        <f t="shared" si="215"/>
        <v>8095.45</v>
      </c>
    </row>
    <row r="6841" spans="1:7" ht="12.75" customHeight="1">
      <c r="A6841" s="3">
        <v>102774</v>
      </c>
      <c r="B6841" s="4" t="s">
        <v>6865</v>
      </c>
      <c r="C6841" s="3" t="s">
        <v>6</v>
      </c>
      <c r="D6841" s="5">
        <f t="shared" si="214"/>
        <v>8095.45</v>
      </c>
      <c r="E6841">
        <v>8886.34</v>
      </c>
      <c r="F6841" s="1789">
        <v>8.8999999999999996E-2</v>
      </c>
      <c r="G6841">
        <f t="shared" si="215"/>
        <v>8095.45</v>
      </c>
    </row>
    <row r="6842" spans="1:7" ht="12.75" customHeight="1">
      <c r="A6842" s="3">
        <v>102775</v>
      </c>
      <c r="B6842" s="4" t="s">
        <v>6866</v>
      </c>
      <c r="C6842" s="3" t="s">
        <v>6</v>
      </c>
      <c r="D6842" s="5">
        <f t="shared" si="214"/>
        <v>12110.94</v>
      </c>
      <c r="E6842">
        <v>13294.12</v>
      </c>
      <c r="F6842" s="1789">
        <v>8.8999999999999996E-2</v>
      </c>
      <c r="G6842">
        <f t="shared" si="215"/>
        <v>12110.94</v>
      </c>
    </row>
    <row r="6843" spans="1:7" ht="12.75" customHeight="1">
      <c r="A6843" s="3">
        <v>102776</v>
      </c>
      <c r="B6843" s="4" t="s">
        <v>6867</v>
      </c>
      <c r="C6843" s="3" t="s">
        <v>6</v>
      </c>
      <c r="D6843" s="5">
        <f t="shared" si="214"/>
        <v>12110.94</v>
      </c>
      <c r="E6843">
        <v>13294.12</v>
      </c>
      <c r="F6843" s="1789">
        <v>8.8999999999999996E-2</v>
      </c>
      <c r="G6843">
        <f t="shared" si="215"/>
        <v>12110.94</v>
      </c>
    </row>
    <row r="6844" spans="1:7" ht="12.75" customHeight="1">
      <c r="A6844" s="3">
        <v>102777</v>
      </c>
      <c r="B6844" s="4" t="s">
        <v>6868</v>
      </c>
      <c r="C6844" s="3" t="s">
        <v>6</v>
      </c>
      <c r="D6844" s="5">
        <f t="shared" si="214"/>
        <v>18347.84</v>
      </c>
      <c r="E6844">
        <v>20140.330000000002</v>
      </c>
      <c r="F6844" s="1789">
        <v>8.8999999999999996E-2</v>
      </c>
      <c r="G6844">
        <f t="shared" si="215"/>
        <v>18347.84</v>
      </c>
    </row>
    <row r="6845" spans="1:7" ht="12.75" customHeight="1">
      <c r="A6845" s="3">
        <v>102778</v>
      </c>
      <c r="B6845" s="4" t="s">
        <v>6869</v>
      </c>
      <c r="C6845" s="3" t="s">
        <v>6</v>
      </c>
      <c r="D6845" s="5">
        <f t="shared" si="214"/>
        <v>27743.85</v>
      </c>
      <c r="E6845">
        <v>30454.29</v>
      </c>
      <c r="F6845" s="1789">
        <v>8.8999999999999996E-2</v>
      </c>
      <c r="G6845">
        <f t="shared" si="215"/>
        <v>27743.85</v>
      </c>
    </row>
    <row r="6846" spans="1:7" ht="12.75" customHeight="1">
      <c r="A6846" s="3">
        <v>102779</v>
      </c>
      <c r="B6846" s="4" t="s">
        <v>6870</v>
      </c>
      <c r="C6846" s="3" t="s">
        <v>6</v>
      </c>
      <c r="D6846" s="5">
        <f t="shared" si="214"/>
        <v>8095.45</v>
      </c>
      <c r="E6846">
        <v>8886.34</v>
      </c>
      <c r="F6846" s="1789">
        <v>8.8999999999999996E-2</v>
      </c>
      <c r="G6846">
        <f t="shared" si="215"/>
        <v>8095.45</v>
      </c>
    </row>
    <row r="6847" spans="1:7" ht="12.75" customHeight="1">
      <c r="A6847" s="3">
        <v>102780</v>
      </c>
      <c r="B6847" s="4" t="s">
        <v>6871</v>
      </c>
      <c r="C6847" s="3" t="s">
        <v>6</v>
      </c>
      <c r="D6847" s="5">
        <f t="shared" si="214"/>
        <v>9312.99</v>
      </c>
      <c r="E6847">
        <v>10222.83</v>
      </c>
      <c r="F6847" s="1789">
        <v>8.8999999999999996E-2</v>
      </c>
      <c r="G6847">
        <f t="shared" si="215"/>
        <v>9312.99</v>
      </c>
    </row>
    <row r="6848" spans="1:7" ht="12.75" customHeight="1">
      <c r="A6848" s="3">
        <v>102781</v>
      </c>
      <c r="B6848" s="4" t="s">
        <v>6872</v>
      </c>
      <c r="C6848" s="3" t="s">
        <v>6</v>
      </c>
      <c r="D6848" s="5">
        <f t="shared" si="214"/>
        <v>13830.41</v>
      </c>
      <c r="E6848">
        <v>15181.58</v>
      </c>
      <c r="F6848" s="1789">
        <v>8.8999999999999996E-2</v>
      </c>
      <c r="G6848">
        <f t="shared" si="215"/>
        <v>13830.41</v>
      </c>
    </row>
    <row r="6849" spans="1:7" ht="12.75" customHeight="1">
      <c r="A6849" s="3">
        <v>102782</v>
      </c>
      <c r="B6849" s="4" t="s">
        <v>6873</v>
      </c>
      <c r="C6849" s="3" t="s">
        <v>6</v>
      </c>
      <c r="D6849" s="5">
        <f t="shared" si="214"/>
        <v>15456.09</v>
      </c>
      <c r="E6849">
        <v>16966.080000000002</v>
      </c>
      <c r="F6849" s="1789">
        <v>8.8999999999999996E-2</v>
      </c>
      <c r="G6849">
        <f t="shared" si="215"/>
        <v>15456.09</v>
      </c>
    </row>
    <row r="6850" spans="1:7" ht="12.75" customHeight="1">
      <c r="A6850" s="3">
        <v>102783</v>
      </c>
      <c r="B6850" s="4" t="s">
        <v>6874</v>
      </c>
      <c r="C6850" s="3" t="s">
        <v>6</v>
      </c>
      <c r="D6850" s="5">
        <f t="shared" si="214"/>
        <v>20475.46</v>
      </c>
      <c r="E6850">
        <v>22475.81</v>
      </c>
      <c r="F6850" s="1789">
        <v>8.8999999999999996E-2</v>
      </c>
      <c r="G6850">
        <f t="shared" si="215"/>
        <v>20475.46</v>
      </c>
    </row>
    <row r="6851" spans="1:7" ht="12.75" customHeight="1">
      <c r="A6851" s="3">
        <v>102784</v>
      </c>
      <c r="B6851" s="4" t="s">
        <v>6875</v>
      </c>
      <c r="C6851" s="3" t="s">
        <v>6</v>
      </c>
      <c r="D6851" s="5">
        <f t="shared" si="214"/>
        <v>32441.86</v>
      </c>
      <c r="E6851">
        <v>35611.269999999997</v>
      </c>
      <c r="F6851" s="1789">
        <v>8.8999999999999996E-2</v>
      </c>
      <c r="G6851">
        <f t="shared" si="215"/>
        <v>32441.86</v>
      </c>
    </row>
    <row r="6852" spans="1:7" ht="12.75" customHeight="1">
      <c r="A6852" s="3">
        <v>102785</v>
      </c>
      <c r="B6852" s="4" t="s">
        <v>6876</v>
      </c>
      <c r="C6852" s="3" t="s">
        <v>6</v>
      </c>
      <c r="D6852" s="5">
        <f t="shared" si="214"/>
        <v>9312.99</v>
      </c>
      <c r="E6852">
        <v>10222.83</v>
      </c>
      <c r="F6852" s="1789">
        <v>8.8999999999999996E-2</v>
      </c>
      <c r="G6852">
        <f t="shared" si="215"/>
        <v>9312.99</v>
      </c>
    </row>
    <row r="6853" spans="1:7" ht="12.75" customHeight="1">
      <c r="A6853" s="3">
        <v>102786</v>
      </c>
      <c r="B6853" s="4" t="s">
        <v>6877</v>
      </c>
      <c r="C6853" s="3" t="s">
        <v>6</v>
      </c>
      <c r="D6853" s="5">
        <f t="shared" si="214"/>
        <v>10436.74</v>
      </c>
      <c r="E6853">
        <v>11456.36</v>
      </c>
      <c r="F6853" s="1789">
        <v>8.8999999999999996E-2</v>
      </c>
      <c r="G6853">
        <f t="shared" si="215"/>
        <v>10436.74</v>
      </c>
    </row>
    <row r="6854" spans="1:7" ht="12.75" customHeight="1">
      <c r="A6854" s="3">
        <v>102787</v>
      </c>
      <c r="B6854" s="4" t="s">
        <v>6878</v>
      </c>
      <c r="C6854" s="3" t="s">
        <v>6</v>
      </c>
      <c r="D6854" s="5">
        <f t="shared" si="214"/>
        <v>15456.09</v>
      </c>
      <c r="E6854">
        <v>16966.080000000002</v>
      </c>
      <c r="F6854" s="1789">
        <v>8.8999999999999996E-2</v>
      </c>
      <c r="G6854">
        <f t="shared" si="215"/>
        <v>15456.09</v>
      </c>
    </row>
    <row r="6855" spans="1:7" ht="12.75" customHeight="1">
      <c r="A6855" s="3">
        <v>102788</v>
      </c>
      <c r="B6855" s="4" t="s">
        <v>6879</v>
      </c>
      <c r="C6855" s="3" t="s">
        <v>6</v>
      </c>
      <c r="D6855" s="5">
        <f t="shared" si="214"/>
        <v>17064.18</v>
      </c>
      <c r="E6855">
        <v>18731.27</v>
      </c>
      <c r="F6855" s="1789">
        <v>8.8999999999999996E-2</v>
      </c>
      <c r="G6855">
        <f t="shared" si="215"/>
        <v>17064.18</v>
      </c>
    </row>
    <row r="6856" spans="1:7" ht="12.75" customHeight="1">
      <c r="A6856" s="3">
        <v>102789</v>
      </c>
      <c r="B6856" s="4" t="s">
        <v>6880</v>
      </c>
      <c r="C6856" s="3" t="s">
        <v>6</v>
      </c>
      <c r="D6856" s="5">
        <f t="shared" si="214"/>
        <v>22497.55</v>
      </c>
      <c r="E6856">
        <v>24695.45</v>
      </c>
      <c r="F6856" s="1789">
        <v>8.8999999999999996E-2</v>
      </c>
      <c r="G6856">
        <f t="shared" si="215"/>
        <v>22497.55</v>
      </c>
    </row>
    <row r="6857" spans="1:7" ht="12.75" customHeight="1">
      <c r="A6857" s="3">
        <v>102790</v>
      </c>
      <c r="B6857" s="4" t="s">
        <v>6881</v>
      </c>
      <c r="C6857" s="3" t="s">
        <v>6</v>
      </c>
      <c r="D6857" s="5">
        <f t="shared" si="214"/>
        <v>37432.99</v>
      </c>
      <c r="E6857">
        <v>41090</v>
      </c>
      <c r="F6857" s="1789">
        <v>8.8999999999999996E-2</v>
      </c>
      <c r="G6857">
        <f t="shared" si="215"/>
        <v>37432.99</v>
      </c>
    </row>
    <row r="6858" spans="1:7" ht="12.75" customHeight="1">
      <c r="A6858" s="3">
        <v>102791</v>
      </c>
      <c r="B6858" s="4" t="s">
        <v>6882</v>
      </c>
      <c r="C6858" s="3" t="s">
        <v>6</v>
      </c>
      <c r="D6858" s="5">
        <f t="shared" si="214"/>
        <v>29768.71</v>
      </c>
      <c r="E6858">
        <v>32676.97</v>
      </c>
      <c r="F6858" s="1789">
        <v>8.8999999999999996E-2</v>
      </c>
      <c r="G6858">
        <f t="shared" si="215"/>
        <v>29768.71</v>
      </c>
    </row>
    <row r="6859" spans="1:7" ht="12.75" customHeight="1">
      <c r="A6859" s="3">
        <v>102792</v>
      </c>
      <c r="B6859" s="4" t="s">
        <v>6883</v>
      </c>
      <c r="C6859" s="3" t="s">
        <v>6</v>
      </c>
      <c r="D6859" s="5">
        <f t="shared" si="214"/>
        <v>48601.38</v>
      </c>
      <c r="E6859">
        <v>53349.49</v>
      </c>
      <c r="F6859" s="1789">
        <v>8.8999999999999996E-2</v>
      </c>
      <c r="G6859">
        <f t="shared" si="215"/>
        <v>48601.38</v>
      </c>
    </row>
    <row r="6860" spans="1:7" ht="12.75" customHeight="1">
      <c r="A6860" s="3">
        <v>102793</v>
      </c>
      <c r="B6860" s="4" t="s">
        <v>6884</v>
      </c>
      <c r="C6860" s="3" t="s">
        <v>6</v>
      </c>
      <c r="D6860" s="5">
        <f t="shared" si="214"/>
        <v>65677.77</v>
      </c>
      <c r="E6860">
        <v>72094.16</v>
      </c>
      <c r="F6860" s="1789">
        <v>8.8999999999999996E-2</v>
      </c>
      <c r="G6860">
        <f t="shared" si="215"/>
        <v>65677.77</v>
      </c>
    </row>
    <row r="6861" spans="1:7" ht="12.75" customHeight="1">
      <c r="A6861" s="3">
        <v>102794</v>
      </c>
      <c r="B6861" s="4" t="s">
        <v>6885</v>
      </c>
      <c r="C6861" s="3" t="s">
        <v>6</v>
      </c>
      <c r="D6861" s="5">
        <f t="shared" si="214"/>
        <v>94296</v>
      </c>
      <c r="E6861">
        <v>103508.24</v>
      </c>
      <c r="F6861" s="1789">
        <v>8.8999999999999996E-2</v>
      </c>
      <c r="G6861">
        <f t="shared" si="215"/>
        <v>94296</v>
      </c>
    </row>
    <row r="6862" spans="1:7" ht="12.75" customHeight="1">
      <c r="A6862" s="3">
        <v>102795</v>
      </c>
      <c r="B6862" s="4" t="s">
        <v>6886</v>
      </c>
      <c r="C6862" s="3" t="s">
        <v>6</v>
      </c>
      <c r="D6862" s="5">
        <f t="shared" si="214"/>
        <v>31736.49</v>
      </c>
      <c r="E6862">
        <v>34836.99</v>
      </c>
      <c r="F6862" s="1789">
        <v>8.8999999999999996E-2</v>
      </c>
      <c r="G6862">
        <f t="shared" si="215"/>
        <v>31736.49</v>
      </c>
    </row>
    <row r="6863" spans="1:7" ht="12.75" customHeight="1">
      <c r="A6863" s="3">
        <v>102796</v>
      </c>
      <c r="B6863" s="4" t="s">
        <v>6887</v>
      </c>
      <c r="C6863" s="3" t="s">
        <v>6</v>
      </c>
      <c r="D6863" s="5">
        <f t="shared" si="214"/>
        <v>51405.17</v>
      </c>
      <c r="E6863">
        <v>56427.199999999997</v>
      </c>
      <c r="F6863" s="1789">
        <v>8.8999999999999996E-2</v>
      </c>
      <c r="G6863">
        <f t="shared" si="215"/>
        <v>51405.17</v>
      </c>
    </row>
    <row r="6864" spans="1:7" ht="12.75" customHeight="1">
      <c r="A6864" s="3">
        <v>102797</v>
      </c>
      <c r="B6864" s="4" t="s">
        <v>6888</v>
      </c>
      <c r="C6864" s="3" t="s">
        <v>6</v>
      </c>
      <c r="D6864" s="5">
        <f t="shared" si="214"/>
        <v>72967.06</v>
      </c>
      <c r="E6864">
        <v>80095.570000000007</v>
      </c>
      <c r="F6864" s="1789">
        <v>8.8999999999999996E-2</v>
      </c>
      <c r="G6864">
        <f t="shared" si="215"/>
        <v>72967.06</v>
      </c>
    </row>
    <row r="6865" spans="1:7" ht="12.75" customHeight="1">
      <c r="A6865" s="3">
        <v>102798</v>
      </c>
      <c r="B6865" s="4" t="s">
        <v>6889</v>
      </c>
      <c r="C6865" s="3" t="s">
        <v>6</v>
      </c>
      <c r="D6865" s="5">
        <f t="shared" si="214"/>
        <v>89450.96</v>
      </c>
      <c r="E6865">
        <v>98189.86</v>
      </c>
      <c r="F6865" s="1789">
        <v>8.8999999999999996E-2</v>
      </c>
      <c r="G6865">
        <f t="shared" si="215"/>
        <v>89450.96</v>
      </c>
    </row>
    <row r="6866" spans="1:7" ht="12.75" customHeight="1">
      <c r="A6866" s="3">
        <v>102799</v>
      </c>
      <c r="B6866" s="4" t="s">
        <v>6890</v>
      </c>
      <c r="C6866" s="3" t="s">
        <v>6</v>
      </c>
      <c r="D6866" s="5">
        <f t="shared" si="214"/>
        <v>32405.74</v>
      </c>
      <c r="E6866">
        <v>35571.620000000003</v>
      </c>
      <c r="F6866" s="1789">
        <v>8.8999999999999996E-2</v>
      </c>
      <c r="G6866">
        <f t="shared" si="215"/>
        <v>32405.74</v>
      </c>
    </row>
    <row r="6867" spans="1:7" ht="12.75" customHeight="1">
      <c r="A6867" s="3">
        <v>102800</v>
      </c>
      <c r="B6867" s="4" t="s">
        <v>6891</v>
      </c>
      <c r="C6867" s="3" t="s">
        <v>6</v>
      </c>
      <c r="D6867" s="5">
        <f t="shared" si="214"/>
        <v>56395.76</v>
      </c>
      <c r="E6867">
        <v>61905.34</v>
      </c>
      <c r="F6867" s="1789">
        <v>8.8999999999999996E-2</v>
      </c>
      <c r="G6867">
        <f t="shared" si="215"/>
        <v>56395.76</v>
      </c>
    </row>
    <row r="6868" spans="1:7" ht="12.75" customHeight="1">
      <c r="A6868" s="3">
        <v>102801</v>
      </c>
      <c r="B6868" s="4" t="s">
        <v>6892</v>
      </c>
      <c r="C6868" s="3" t="s">
        <v>6</v>
      </c>
      <c r="D6868" s="5">
        <f t="shared" si="214"/>
        <v>79104.84</v>
      </c>
      <c r="E6868">
        <v>86832.98</v>
      </c>
      <c r="F6868" s="1789">
        <v>8.8999999999999996E-2</v>
      </c>
      <c r="G6868">
        <f t="shared" si="215"/>
        <v>79104.84</v>
      </c>
    </row>
    <row r="6869" spans="1:7" ht="12.75" customHeight="1">
      <c r="A6869" s="3">
        <v>102802</v>
      </c>
      <c r="B6869" s="4" t="s">
        <v>6893</v>
      </c>
      <c r="C6869" s="3" t="s">
        <v>6</v>
      </c>
      <c r="D6869" s="5">
        <f t="shared" ref="D6869:D6932" si="216">G6869</f>
        <v>94938.15</v>
      </c>
      <c r="E6869">
        <v>104213.12</v>
      </c>
      <c r="F6869" s="1789">
        <v>8.8999999999999996E-2</v>
      </c>
      <c r="G6869">
        <f t="shared" ref="G6869:G6932" si="217">TRUNC((1-F6869)*E6869,2)</f>
        <v>94938.15</v>
      </c>
    </row>
    <row r="6870" spans="1:7" ht="12.75" customHeight="1">
      <c r="A6870" s="3">
        <v>101570</v>
      </c>
      <c r="B6870" s="4" t="s">
        <v>6894</v>
      </c>
      <c r="C6870" s="3" t="s">
        <v>409</v>
      </c>
      <c r="D6870" s="5">
        <f t="shared" si="216"/>
        <v>19.75</v>
      </c>
      <c r="E6870">
        <v>21.69</v>
      </c>
      <c r="F6870" s="1789">
        <v>8.8999999999999996E-2</v>
      </c>
      <c r="G6870">
        <f t="shared" si="217"/>
        <v>19.75</v>
      </c>
    </row>
    <row r="6871" spans="1:7" ht="12.75" customHeight="1">
      <c r="A6871" s="3">
        <v>101571</v>
      </c>
      <c r="B6871" s="4" t="s">
        <v>6895</v>
      </c>
      <c r="C6871" s="3" t="s">
        <v>409</v>
      </c>
      <c r="D6871" s="5">
        <f t="shared" si="216"/>
        <v>27.2</v>
      </c>
      <c r="E6871">
        <v>29.86</v>
      </c>
      <c r="F6871" s="1789">
        <v>8.8999999999999996E-2</v>
      </c>
      <c r="G6871">
        <f t="shared" si="217"/>
        <v>27.2</v>
      </c>
    </row>
    <row r="6872" spans="1:7" ht="12.75" customHeight="1">
      <c r="A6872" s="3">
        <v>101572</v>
      </c>
      <c r="B6872" s="4" t="s">
        <v>6896</v>
      </c>
      <c r="C6872" s="3" t="s">
        <v>409</v>
      </c>
      <c r="D6872" s="5">
        <f t="shared" si="216"/>
        <v>15.5</v>
      </c>
      <c r="E6872">
        <v>17.02</v>
      </c>
      <c r="F6872" s="1789">
        <v>8.8999999999999996E-2</v>
      </c>
      <c r="G6872">
        <f t="shared" si="217"/>
        <v>15.5</v>
      </c>
    </row>
    <row r="6873" spans="1:7" ht="12.75" customHeight="1">
      <c r="A6873" s="3">
        <v>101573</v>
      </c>
      <c r="B6873" s="4" t="s">
        <v>6897</v>
      </c>
      <c r="C6873" s="3" t="s">
        <v>409</v>
      </c>
      <c r="D6873" s="5">
        <f t="shared" si="216"/>
        <v>22.93</v>
      </c>
      <c r="E6873">
        <v>25.18</v>
      </c>
      <c r="F6873" s="1789">
        <v>8.8999999999999996E-2</v>
      </c>
      <c r="G6873">
        <f t="shared" si="217"/>
        <v>22.93</v>
      </c>
    </row>
    <row r="6874" spans="1:7" ht="12.75" customHeight="1">
      <c r="A6874" s="3">
        <v>101574</v>
      </c>
      <c r="B6874" s="4" t="s">
        <v>6898</v>
      </c>
      <c r="C6874" s="3" t="s">
        <v>409</v>
      </c>
      <c r="D6874" s="5">
        <f t="shared" si="216"/>
        <v>11.91</v>
      </c>
      <c r="E6874">
        <v>13.08</v>
      </c>
      <c r="F6874" s="1789">
        <v>8.8999999999999996E-2</v>
      </c>
      <c r="G6874">
        <f t="shared" si="217"/>
        <v>11.91</v>
      </c>
    </row>
    <row r="6875" spans="1:7" ht="12.75" customHeight="1">
      <c r="A6875" s="3">
        <v>101575</v>
      </c>
      <c r="B6875" s="4" t="s">
        <v>6899</v>
      </c>
      <c r="C6875" s="3" t="s">
        <v>409</v>
      </c>
      <c r="D6875" s="5">
        <f t="shared" si="216"/>
        <v>19.55</v>
      </c>
      <c r="E6875">
        <v>21.46</v>
      </c>
      <c r="F6875" s="1789">
        <v>8.8999999999999996E-2</v>
      </c>
      <c r="G6875">
        <f t="shared" si="217"/>
        <v>19.55</v>
      </c>
    </row>
    <row r="6876" spans="1:7" ht="12.75" customHeight="1">
      <c r="A6876" s="3">
        <v>101576</v>
      </c>
      <c r="B6876" s="4" t="s">
        <v>6900</v>
      </c>
      <c r="C6876" s="3" t="s">
        <v>409</v>
      </c>
      <c r="D6876" s="5">
        <f t="shared" si="216"/>
        <v>34.43</v>
      </c>
      <c r="E6876">
        <v>37.799999999999997</v>
      </c>
      <c r="F6876" s="1789">
        <v>8.8999999999999996E-2</v>
      </c>
      <c r="G6876">
        <f t="shared" si="217"/>
        <v>34.43</v>
      </c>
    </row>
    <row r="6877" spans="1:7" ht="12.75" customHeight="1">
      <c r="A6877" s="3">
        <v>101577</v>
      </c>
      <c r="B6877" s="4" t="s">
        <v>6901</v>
      </c>
      <c r="C6877" s="3" t="s">
        <v>409</v>
      </c>
      <c r="D6877" s="5">
        <f t="shared" si="216"/>
        <v>43.9</v>
      </c>
      <c r="E6877">
        <v>48.19</v>
      </c>
      <c r="F6877" s="1789">
        <v>8.8999999999999996E-2</v>
      </c>
      <c r="G6877">
        <f t="shared" si="217"/>
        <v>43.9</v>
      </c>
    </row>
    <row r="6878" spans="1:7" ht="12.75" customHeight="1">
      <c r="A6878" s="3">
        <v>101578</v>
      </c>
      <c r="B6878" s="4" t="s">
        <v>6902</v>
      </c>
      <c r="C6878" s="3" t="s">
        <v>409</v>
      </c>
      <c r="D6878" s="5">
        <f t="shared" si="216"/>
        <v>28.34</v>
      </c>
      <c r="E6878">
        <v>31.11</v>
      </c>
      <c r="F6878" s="1789">
        <v>8.8999999999999996E-2</v>
      </c>
      <c r="G6878">
        <f t="shared" si="217"/>
        <v>28.34</v>
      </c>
    </row>
    <row r="6879" spans="1:7" ht="12.75" customHeight="1">
      <c r="A6879" s="3">
        <v>101579</v>
      </c>
      <c r="B6879" s="4" t="s">
        <v>6903</v>
      </c>
      <c r="C6879" s="3" t="s">
        <v>409</v>
      </c>
      <c r="D6879" s="5">
        <f t="shared" si="216"/>
        <v>37.799999999999997</v>
      </c>
      <c r="E6879">
        <v>41.5</v>
      </c>
      <c r="F6879" s="1789">
        <v>8.8999999999999996E-2</v>
      </c>
      <c r="G6879">
        <f t="shared" si="217"/>
        <v>37.799999999999997</v>
      </c>
    </row>
    <row r="6880" spans="1:7" ht="12.75" customHeight="1">
      <c r="A6880" s="3">
        <v>101580</v>
      </c>
      <c r="B6880" s="4" t="s">
        <v>6904</v>
      </c>
      <c r="C6880" s="3" t="s">
        <v>409</v>
      </c>
      <c r="D6880" s="5">
        <f t="shared" si="216"/>
        <v>24.87</v>
      </c>
      <c r="E6880">
        <v>27.31</v>
      </c>
      <c r="F6880" s="1789">
        <v>8.8999999999999996E-2</v>
      </c>
      <c r="G6880">
        <f t="shared" si="217"/>
        <v>24.87</v>
      </c>
    </row>
    <row r="6881" spans="1:7" ht="12.75" customHeight="1">
      <c r="A6881" s="3">
        <v>101581</v>
      </c>
      <c r="B6881" s="4" t="s">
        <v>6905</v>
      </c>
      <c r="C6881" s="3" t="s">
        <v>409</v>
      </c>
      <c r="D6881" s="5">
        <f t="shared" si="216"/>
        <v>34.54</v>
      </c>
      <c r="E6881">
        <v>37.92</v>
      </c>
      <c r="F6881" s="1789">
        <v>8.8999999999999996E-2</v>
      </c>
      <c r="G6881">
        <f t="shared" si="217"/>
        <v>34.54</v>
      </c>
    </row>
    <row r="6882" spans="1:7" ht="12.75" customHeight="1">
      <c r="A6882" s="3">
        <v>101582</v>
      </c>
      <c r="B6882" s="4" t="s">
        <v>6906</v>
      </c>
      <c r="C6882" s="3" t="s">
        <v>409</v>
      </c>
      <c r="D6882" s="5">
        <f t="shared" si="216"/>
        <v>56.27</v>
      </c>
      <c r="E6882">
        <v>61.77</v>
      </c>
      <c r="F6882" s="1789">
        <v>8.8999999999999996E-2</v>
      </c>
      <c r="G6882">
        <f t="shared" si="217"/>
        <v>56.27</v>
      </c>
    </row>
    <row r="6883" spans="1:7" ht="12.75" customHeight="1">
      <c r="A6883" s="3">
        <v>101583</v>
      </c>
      <c r="B6883" s="4" t="s">
        <v>6907</v>
      </c>
      <c r="C6883" s="3" t="s">
        <v>409</v>
      </c>
      <c r="D6883" s="5">
        <f t="shared" si="216"/>
        <v>70.89</v>
      </c>
      <c r="E6883">
        <v>77.819999999999993</v>
      </c>
      <c r="F6883" s="1789">
        <v>8.8999999999999996E-2</v>
      </c>
      <c r="G6883">
        <f t="shared" si="217"/>
        <v>70.89</v>
      </c>
    </row>
    <row r="6884" spans="1:7" ht="12.75" customHeight="1">
      <c r="A6884" s="3">
        <v>101584</v>
      </c>
      <c r="B6884" s="4" t="s">
        <v>6908</v>
      </c>
      <c r="C6884" s="3" t="s">
        <v>409</v>
      </c>
      <c r="D6884" s="5">
        <f t="shared" si="216"/>
        <v>46.05</v>
      </c>
      <c r="E6884">
        <v>50.55</v>
      </c>
      <c r="F6884" s="1789">
        <v>8.8999999999999996E-2</v>
      </c>
      <c r="G6884">
        <f t="shared" si="217"/>
        <v>46.05</v>
      </c>
    </row>
    <row r="6885" spans="1:7" ht="12.75" customHeight="1">
      <c r="A6885" s="3">
        <v>101585</v>
      </c>
      <c r="B6885" s="4" t="s">
        <v>6909</v>
      </c>
      <c r="C6885" s="3" t="s">
        <v>409</v>
      </c>
      <c r="D6885" s="5">
        <f t="shared" si="216"/>
        <v>60.67</v>
      </c>
      <c r="E6885">
        <v>66.599999999999994</v>
      </c>
      <c r="F6885" s="1789">
        <v>8.8999999999999996E-2</v>
      </c>
      <c r="G6885">
        <f t="shared" si="217"/>
        <v>60.67</v>
      </c>
    </row>
    <row r="6886" spans="1:7" ht="12.75" customHeight="1">
      <c r="A6886" s="3">
        <v>101586</v>
      </c>
      <c r="B6886" s="4" t="s">
        <v>6910</v>
      </c>
      <c r="C6886" s="3" t="s">
        <v>409</v>
      </c>
      <c r="D6886" s="5">
        <f t="shared" si="216"/>
        <v>39.47</v>
      </c>
      <c r="E6886">
        <v>43.33</v>
      </c>
      <c r="F6886" s="1789">
        <v>8.8999999999999996E-2</v>
      </c>
      <c r="G6886">
        <f t="shared" si="217"/>
        <v>39.47</v>
      </c>
    </row>
    <row r="6887" spans="1:7" ht="12.75" customHeight="1">
      <c r="A6887" s="3">
        <v>101587</v>
      </c>
      <c r="B6887" s="4" t="s">
        <v>6911</v>
      </c>
      <c r="C6887" s="3" t="s">
        <v>409</v>
      </c>
      <c r="D6887" s="5">
        <f t="shared" si="216"/>
        <v>54.29</v>
      </c>
      <c r="E6887">
        <v>59.6</v>
      </c>
      <c r="F6887" s="1789">
        <v>8.8999999999999996E-2</v>
      </c>
      <c r="G6887">
        <f t="shared" si="217"/>
        <v>54.29</v>
      </c>
    </row>
    <row r="6888" spans="1:7" ht="12.75" customHeight="1">
      <c r="A6888" s="3">
        <v>101588</v>
      </c>
      <c r="B6888" s="4" t="s">
        <v>6912</v>
      </c>
      <c r="C6888" s="3" t="s">
        <v>409</v>
      </c>
      <c r="D6888" s="5">
        <f t="shared" si="216"/>
        <v>79.930000000000007</v>
      </c>
      <c r="E6888">
        <v>87.74</v>
      </c>
      <c r="F6888" s="1789">
        <v>8.8999999999999996E-2</v>
      </c>
      <c r="G6888">
        <f t="shared" si="217"/>
        <v>79.930000000000007</v>
      </c>
    </row>
    <row r="6889" spans="1:7" ht="12.75" customHeight="1">
      <c r="A6889" s="3">
        <v>101589</v>
      </c>
      <c r="B6889" s="4" t="s">
        <v>6913</v>
      </c>
      <c r="C6889" s="3" t="s">
        <v>409</v>
      </c>
      <c r="D6889" s="5">
        <f t="shared" si="216"/>
        <v>116.75</v>
      </c>
      <c r="E6889">
        <v>128.16</v>
      </c>
      <c r="F6889" s="1789">
        <v>8.8999999999999996E-2</v>
      </c>
      <c r="G6889">
        <f t="shared" si="217"/>
        <v>116.75</v>
      </c>
    </row>
    <row r="6890" spans="1:7" ht="12.75" customHeight="1">
      <c r="A6890" s="3">
        <v>101590</v>
      </c>
      <c r="B6890" s="4" t="s">
        <v>6914</v>
      </c>
      <c r="C6890" s="3" t="s">
        <v>409</v>
      </c>
      <c r="D6890" s="5">
        <f t="shared" si="216"/>
        <v>60.49</v>
      </c>
      <c r="E6890">
        <v>66.400000000000006</v>
      </c>
      <c r="F6890" s="1789">
        <v>8.8999999999999996E-2</v>
      </c>
      <c r="G6890">
        <f t="shared" si="217"/>
        <v>60.49</v>
      </c>
    </row>
    <row r="6891" spans="1:7" ht="12.75" customHeight="1">
      <c r="A6891" s="3">
        <v>101591</v>
      </c>
      <c r="B6891" s="4" t="s">
        <v>6915</v>
      </c>
      <c r="C6891" s="3" t="s">
        <v>409</v>
      </c>
      <c r="D6891" s="5">
        <f t="shared" si="216"/>
        <v>97.3</v>
      </c>
      <c r="E6891">
        <v>106.81</v>
      </c>
      <c r="F6891" s="1789">
        <v>8.8999999999999996E-2</v>
      </c>
      <c r="G6891">
        <f t="shared" si="217"/>
        <v>97.3</v>
      </c>
    </row>
    <row r="6892" spans="1:7" ht="12.75" customHeight="1">
      <c r="A6892" s="3">
        <v>101592</v>
      </c>
      <c r="B6892" s="4" t="s">
        <v>6916</v>
      </c>
      <c r="C6892" s="3" t="s">
        <v>409</v>
      </c>
      <c r="D6892" s="5">
        <f t="shared" si="216"/>
        <v>42.41</v>
      </c>
      <c r="E6892">
        <v>46.56</v>
      </c>
      <c r="F6892" s="1789">
        <v>8.8999999999999996E-2</v>
      </c>
      <c r="G6892">
        <f t="shared" si="217"/>
        <v>42.41</v>
      </c>
    </row>
    <row r="6893" spans="1:7" ht="12.75" customHeight="1">
      <c r="A6893" s="3">
        <v>101593</v>
      </c>
      <c r="B6893" s="4" t="s">
        <v>6917</v>
      </c>
      <c r="C6893" s="3" t="s">
        <v>409</v>
      </c>
      <c r="D6893" s="5">
        <f t="shared" si="216"/>
        <v>79.42</v>
      </c>
      <c r="E6893">
        <v>87.18</v>
      </c>
      <c r="F6893" s="1789">
        <v>8.8999999999999996E-2</v>
      </c>
      <c r="G6893">
        <f t="shared" si="217"/>
        <v>79.42</v>
      </c>
    </row>
    <row r="6894" spans="1:7" ht="12.75" customHeight="1">
      <c r="A6894" s="3">
        <v>101600</v>
      </c>
      <c r="B6894" s="4" t="s">
        <v>6918</v>
      </c>
      <c r="C6894" s="3" t="s">
        <v>409</v>
      </c>
      <c r="D6894" s="5">
        <f t="shared" si="216"/>
        <v>15.01</v>
      </c>
      <c r="E6894">
        <v>16.48</v>
      </c>
      <c r="F6894" s="1789">
        <v>8.8999999999999996E-2</v>
      </c>
      <c r="G6894">
        <f t="shared" si="217"/>
        <v>15.01</v>
      </c>
    </row>
    <row r="6895" spans="1:7" ht="12.75" customHeight="1">
      <c r="A6895" s="3">
        <v>101601</v>
      </c>
      <c r="B6895" s="4" t="s">
        <v>6919</v>
      </c>
      <c r="C6895" s="3" t="s">
        <v>409</v>
      </c>
      <c r="D6895" s="5">
        <f t="shared" si="216"/>
        <v>22.21</v>
      </c>
      <c r="E6895">
        <v>24.39</v>
      </c>
      <c r="F6895" s="1789">
        <v>8.8999999999999996E-2</v>
      </c>
      <c r="G6895">
        <f t="shared" si="217"/>
        <v>22.21</v>
      </c>
    </row>
    <row r="6896" spans="1:7" ht="12.75" customHeight="1">
      <c r="A6896" s="3">
        <v>101602</v>
      </c>
      <c r="B6896" s="4" t="s">
        <v>6920</v>
      </c>
      <c r="C6896" s="3" t="s">
        <v>409</v>
      </c>
      <c r="D6896" s="5">
        <f t="shared" si="216"/>
        <v>11.13</v>
      </c>
      <c r="E6896">
        <v>12.22</v>
      </c>
      <c r="F6896" s="1789">
        <v>8.8999999999999996E-2</v>
      </c>
      <c r="G6896">
        <f t="shared" si="217"/>
        <v>11.13</v>
      </c>
    </row>
    <row r="6897" spans="1:7" ht="12.75" customHeight="1">
      <c r="A6897" s="3">
        <v>101603</v>
      </c>
      <c r="B6897" s="4" t="s">
        <v>6921</v>
      </c>
      <c r="C6897" s="3" t="s">
        <v>409</v>
      </c>
      <c r="D6897" s="5">
        <f t="shared" si="216"/>
        <v>18.329999999999998</v>
      </c>
      <c r="E6897">
        <v>20.13</v>
      </c>
      <c r="F6897" s="1789">
        <v>8.8999999999999996E-2</v>
      </c>
      <c r="G6897">
        <f t="shared" si="217"/>
        <v>18.329999999999998</v>
      </c>
    </row>
    <row r="6898" spans="1:7" ht="12.75" customHeight="1">
      <c r="A6898" s="3">
        <v>101604</v>
      </c>
      <c r="B6898" s="4" t="s">
        <v>6922</v>
      </c>
      <c r="C6898" s="3" t="s">
        <v>409</v>
      </c>
      <c r="D6898" s="5">
        <f t="shared" si="216"/>
        <v>7.27</v>
      </c>
      <c r="E6898">
        <v>7.99</v>
      </c>
      <c r="F6898" s="1789">
        <v>8.8999999999999996E-2</v>
      </c>
      <c r="G6898">
        <f t="shared" si="217"/>
        <v>7.27</v>
      </c>
    </row>
    <row r="6899" spans="1:7" ht="12.75" customHeight="1">
      <c r="A6899" s="3">
        <v>101605</v>
      </c>
      <c r="B6899" s="4" t="s">
        <v>6923</v>
      </c>
      <c r="C6899" s="3" t="s">
        <v>409</v>
      </c>
      <c r="D6899" s="5">
        <f t="shared" si="216"/>
        <v>14.48</v>
      </c>
      <c r="E6899">
        <v>15.9</v>
      </c>
      <c r="F6899" s="1789">
        <v>8.8999999999999996E-2</v>
      </c>
      <c r="G6899">
        <f t="shared" si="217"/>
        <v>14.48</v>
      </c>
    </row>
    <row r="6900" spans="1:7" ht="12.75" customHeight="1">
      <c r="A6900" s="3">
        <v>90788</v>
      </c>
      <c r="B6900" s="4" t="s">
        <v>6924</v>
      </c>
      <c r="C6900" s="3" t="s">
        <v>6</v>
      </c>
      <c r="D6900" s="5">
        <f t="shared" si="216"/>
        <v>831.02</v>
      </c>
      <c r="E6900">
        <v>912.21</v>
      </c>
      <c r="F6900" s="1789">
        <v>8.8999999999999996E-2</v>
      </c>
      <c r="G6900">
        <f t="shared" si="217"/>
        <v>831.02</v>
      </c>
    </row>
    <row r="6901" spans="1:7" ht="12.75" customHeight="1">
      <c r="A6901" s="3">
        <v>90789</v>
      </c>
      <c r="B6901" s="4" t="s">
        <v>6925</v>
      </c>
      <c r="C6901" s="3" t="s">
        <v>6</v>
      </c>
      <c r="D6901" s="5">
        <f t="shared" si="216"/>
        <v>832.52</v>
      </c>
      <c r="E6901">
        <v>913.86</v>
      </c>
      <c r="F6901" s="1789">
        <v>8.8999999999999996E-2</v>
      </c>
      <c r="G6901">
        <f t="shared" si="217"/>
        <v>832.52</v>
      </c>
    </row>
    <row r="6902" spans="1:7" ht="12.75" customHeight="1">
      <c r="A6902" s="3">
        <v>90790</v>
      </c>
      <c r="B6902" s="4" t="s">
        <v>6926</v>
      </c>
      <c r="C6902" s="3" t="s">
        <v>6</v>
      </c>
      <c r="D6902" s="5">
        <f t="shared" si="216"/>
        <v>858.58</v>
      </c>
      <c r="E6902">
        <v>942.46</v>
      </c>
      <c r="F6902" s="1789">
        <v>8.8999999999999996E-2</v>
      </c>
      <c r="G6902">
        <f t="shared" si="217"/>
        <v>858.58</v>
      </c>
    </row>
    <row r="6903" spans="1:7" ht="12.75" customHeight="1">
      <c r="A6903" s="3">
        <v>90791</v>
      </c>
      <c r="B6903" s="4" t="s">
        <v>6927</v>
      </c>
      <c r="C6903" s="3" t="s">
        <v>6</v>
      </c>
      <c r="D6903" s="5">
        <f t="shared" si="216"/>
        <v>1006.16</v>
      </c>
      <c r="E6903">
        <v>1104.46</v>
      </c>
      <c r="F6903" s="1789">
        <v>8.8999999999999996E-2</v>
      </c>
      <c r="G6903">
        <f t="shared" si="217"/>
        <v>1006.16</v>
      </c>
    </row>
    <row r="6904" spans="1:7" ht="12.75" customHeight="1">
      <c r="A6904" s="3">
        <v>90793</v>
      </c>
      <c r="B6904" s="4" t="s">
        <v>6928</v>
      </c>
      <c r="C6904" s="3" t="s">
        <v>6</v>
      </c>
      <c r="D6904" s="5">
        <f t="shared" si="216"/>
        <v>1059.2</v>
      </c>
      <c r="E6904">
        <v>1162.68</v>
      </c>
      <c r="F6904" s="1789">
        <v>8.8999999999999996E-2</v>
      </c>
      <c r="G6904">
        <f t="shared" si="217"/>
        <v>1059.2</v>
      </c>
    </row>
    <row r="6905" spans="1:7" ht="12.75" customHeight="1">
      <c r="A6905" s="3">
        <v>90794</v>
      </c>
      <c r="B6905" s="4" t="s">
        <v>6929</v>
      </c>
      <c r="C6905" s="3" t="s">
        <v>6</v>
      </c>
      <c r="D6905" s="5">
        <f t="shared" si="216"/>
        <v>713.05</v>
      </c>
      <c r="E6905">
        <v>782.72</v>
      </c>
      <c r="F6905" s="1789">
        <v>8.8999999999999996E-2</v>
      </c>
      <c r="G6905">
        <f t="shared" si="217"/>
        <v>713.05</v>
      </c>
    </row>
    <row r="6906" spans="1:7" ht="12.75" customHeight="1">
      <c r="A6906" s="3">
        <v>90795</v>
      </c>
      <c r="B6906" s="4" t="s">
        <v>6930</v>
      </c>
      <c r="C6906" s="3" t="s">
        <v>6</v>
      </c>
      <c r="D6906" s="5">
        <f t="shared" si="216"/>
        <v>719.48</v>
      </c>
      <c r="E6906">
        <v>789.77</v>
      </c>
      <c r="F6906" s="1789">
        <v>8.8999999999999996E-2</v>
      </c>
      <c r="G6906">
        <f t="shared" si="217"/>
        <v>719.48</v>
      </c>
    </row>
    <row r="6907" spans="1:7" ht="12.75" customHeight="1">
      <c r="A6907" s="3">
        <v>90796</v>
      </c>
      <c r="B6907" s="4" t="s">
        <v>6931</v>
      </c>
      <c r="C6907" s="3" t="s">
        <v>6</v>
      </c>
      <c r="D6907" s="5">
        <f t="shared" si="216"/>
        <v>725.92</v>
      </c>
      <c r="E6907">
        <v>796.84</v>
      </c>
      <c r="F6907" s="1789">
        <v>8.8999999999999996E-2</v>
      </c>
      <c r="G6907">
        <f t="shared" si="217"/>
        <v>725.92</v>
      </c>
    </row>
    <row r="6908" spans="1:7" ht="12.75" customHeight="1">
      <c r="A6908" s="3">
        <v>90797</v>
      </c>
      <c r="B6908" s="4" t="s">
        <v>6932</v>
      </c>
      <c r="C6908" s="3" t="s">
        <v>6</v>
      </c>
      <c r="D6908" s="5">
        <f t="shared" si="216"/>
        <v>732.34</v>
      </c>
      <c r="E6908">
        <v>803.89</v>
      </c>
      <c r="F6908" s="1789">
        <v>8.8999999999999996E-2</v>
      </c>
      <c r="G6908">
        <f t="shared" si="217"/>
        <v>732.34</v>
      </c>
    </row>
    <row r="6909" spans="1:7" ht="12.75" customHeight="1">
      <c r="A6909" s="3">
        <v>90798</v>
      </c>
      <c r="B6909" s="4" t="s">
        <v>6933</v>
      </c>
      <c r="C6909" s="3" t="s">
        <v>6</v>
      </c>
      <c r="D6909" s="5">
        <f t="shared" si="216"/>
        <v>1065.99</v>
      </c>
      <c r="E6909">
        <v>1170.1400000000001</v>
      </c>
      <c r="F6909" s="1789">
        <v>8.8999999999999996E-2</v>
      </c>
      <c r="G6909">
        <f t="shared" si="217"/>
        <v>1065.99</v>
      </c>
    </row>
    <row r="6910" spans="1:7" ht="12.75" customHeight="1">
      <c r="A6910" s="3">
        <v>90799</v>
      </c>
      <c r="B6910" s="4" t="s">
        <v>6934</v>
      </c>
      <c r="C6910" s="3" t="s">
        <v>6</v>
      </c>
      <c r="D6910" s="5">
        <f t="shared" si="216"/>
        <v>1099.54</v>
      </c>
      <c r="E6910">
        <v>1206.97</v>
      </c>
      <c r="F6910" s="1789">
        <v>8.8999999999999996E-2</v>
      </c>
      <c r="G6910">
        <f t="shared" si="217"/>
        <v>1099.54</v>
      </c>
    </row>
    <row r="6911" spans="1:7" ht="12.75" customHeight="1">
      <c r="A6911" s="3">
        <v>90801</v>
      </c>
      <c r="B6911" s="4" t="s">
        <v>6935</v>
      </c>
      <c r="C6911" s="3" t="s">
        <v>6</v>
      </c>
      <c r="D6911" s="5">
        <f t="shared" si="216"/>
        <v>312.29000000000002</v>
      </c>
      <c r="E6911">
        <v>342.81</v>
      </c>
      <c r="F6911" s="1789">
        <v>8.8999999999999996E-2</v>
      </c>
      <c r="G6911">
        <f t="shared" si="217"/>
        <v>312.29000000000002</v>
      </c>
    </row>
    <row r="6912" spans="1:7" ht="12.75" customHeight="1">
      <c r="A6912" s="3">
        <v>90806</v>
      </c>
      <c r="B6912" s="4" t="s">
        <v>6936</v>
      </c>
      <c r="C6912" s="3" t="s">
        <v>6</v>
      </c>
      <c r="D6912" s="5">
        <f t="shared" si="216"/>
        <v>393.62</v>
      </c>
      <c r="E6912">
        <v>432.08</v>
      </c>
      <c r="F6912" s="1789">
        <v>8.8999999999999996E-2</v>
      </c>
      <c r="G6912">
        <f t="shared" si="217"/>
        <v>393.62</v>
      </c>
    </row>
    <row r="6913" spans="1:8" ht="12.75" customHeight="1">
      <c r="A6913" s="3">
        <v>90820</v>
      </c>
      <c r="B6913" s="4" t="s">
        <v>6937</v>
      </c>
      <c r="C6913" s="3" t="s">
        <v>6</v>
      </c>
      <c r="D6913" s="5">
        <f t="shared" si="216"/>
        <v>306.89999999999998</v>
      </c>
      <c r="E6913">
        <v>336.89</v>
      </c>
      <c r="F6913" s="1789">
        <v>8.8999999999999996E-2</v>
      </c>
      <c r="G6913">
        <f t="shared" si="217"/>
        <v>306.89999999999998</v>
      </c>
    </row>
    <row r="6914" spans="1:8" ht="12.75" customHeight="1">
      <c r="A6914" s="3">
        <v>90821</v>
      </c>
      <c r="B6914" s="4" t="s">
        <v>6938</v>
      </c>
      <c r="C6914" s="3" t="s">
        <v>6</v>
      </c>
      <c r="D6914" s="5">
        <f t="shared" si="216"/>
        <v>312.87</v>
      </c>
      <c r="E6914">
        <v>343.44</v>
      </c>
      <c r="F6914" s="1789">
        <v>8.8999999999999996E-2</v>
      </c>
      <c r="G6914">
        <f t="shared" si="217"/>
        <v>312.87</v>
      </c>
    </row>
    <row r="6915" spans="1:8" ht="12.75" customHeight="1">
      <c r="A6915" s="3">
        <v>90822</v>
      </c>
      <c r="B6915" s="4" t="s">
        <v>6939</v>
      </c>
      <c r="C6915" s="3" t="s">
        <v>6</v>
      </c>
      <c r="D6915" s="5">
        <f t="shared" si="216"/>
        <v>336.13</v>
      </c>
      <c r="E6915">
        <v>368.97</v>
      </c>
      <c r="F6915" s="1789">
        <v>8.8999999999999996E-2</v>
      </c>
      <c r="G6915">
        <f t="shared" si="217"/>
        <v>336.13</v>
      </c>
    </row>
    <row r="6916" spans="1:8" ht="12.75" customHeight="1">
      <c r="A6916" s="3">
        <v>90823</v>
      </c>
      <c r="B6916" s="4" t="s">
        <v>6940</v>
      </c>
      <c r="C6916" s="3" t="s">
        <v>6</v>
      </c>
      <c r="D6916" s="5">
        <f t="shared" si="216"/>
        <v>416.19</v>
      </c>
      <c r="E6916">
        <v>456.86</v>
      </c>
      <c r="F6916" s="1789">
        <v>8.8999999999999996E-2</v>
      </c>
      <c r="G6916">
        <f t="shared" si="217"/>
        <v>416.19</v>
      </c>
    </row>
    <row r="6917" spans="1:8" ht="12.75" customHeight="1">
      <c r="A6917" s="3">
        <v>90824</v>
      </c>
      <c r="B6917" s="4" t="s">
        <v>6941</v>
      </c>
      <c r="C6917" s="3" t="s">
        <v>6</v>
      </c>
      <c r="D6917" s="5">
        <f t="shared" si="216"/>
        <v>600.16999999999996</v>
      </c>
      <c r="E6917">
        <v>658.81</v>
      </c>
      <c r="F6917" s="1789">
        <v>8.8999999999999996E-2</v>
      </c>
      <c r="G6917">
        <f t="shared" si="217"/>
        <v>600.16999999999996</v>
      </c>
    </row>
    <row r="6918" spans="1:8" ht="12.75" customHeight="1">
      <c r="A6918" s="3">
        <v>90825</v>
      </c>
      <c r="B6918" s="4" t="s">
        <v>6942</v>
      </c>
      <c r="C6918" s="3" t="s">
        <v>6</v>
      </c>
      <c r="D6918" s="5">
        <f t="shared" si="216"/>
        <v>669.72</v>
      </c>
      <c r="E6918">
        <v>735.15</v>
      </c>
      <c r="F6918" s="1789">
        <v>8.8999999999999996E-2</v>
      </c>
      <c r="G6918">
        <f t="shared" si="217"/>
        <v>669.72</v>
      </c>
    </row>
    <row r="6919" spans="1:8" ht="12.75" customHeight="1">
      <c r="A6919" s="3">
        <v>90830</v>
      </c>
      <c r="B6919" s="4" t="s">
        <v>6943</v>
      </c>
      <c r="C6919" s="3" t="s">
        <v>6</v>
      </c>
      <c r="D6919" s="5">
        <f t="shared" si="216"/>
        <v>144.62</v>
      </c>
      <c r="E6919">
        <v>158.75</v>
      </c>
      <c r="F6919" s="1789">
        <v>8.8999999999999996E-2</v>
      </c>
      <c r="G6919">
        <f t="shared" si="217"/>
        <v>144.62</v>
      </c>
    </row>
    <row r="6920" spans="1:8" ht="12.75" customHeight="1">
      <c r="A6920" s="3">
        <v>90831</v>
      </c>
      <c r="B6920" s="4" t="s">
        <v>6944</v>
      </c>
      <c r="C6920" s="3" t="s">
        <v>6</v>
      </c>
      <c r="D6920" s="5">
        <f t="shared" si="216"/>
        <v>126.65</v>
      </c>
      <c r="E6920">
        <v>139.03</v>
      </c>
      <c r="F6920" s="1789">
        <v>8.8999999999999996E-2</v>
      </c>
      <c r="G6920">
        <f t="shared" si="217"/>
        <v>126.65</v>
      </c>
    </row>
    <row r="6921" spans="1:8" ht="12.75" customHeight="1">
      <c r="A6921" s="3">
        <v>90841</v>
      </c>
      <c r="B6921" s="4" t="s">
        <v>6945</v>
      </c>
      <c r="C6921" s="3" t="s">
        <v>6</v>
      </c>
      <c r="D6921" s="5">
        <f t="shared" si="216"/>
        <v>940.44</v>
      </c>
      <c r="E6921">
        <v>1032.32</v>
      </c>
      <c r="F6921" s="1789">
        <v>8.8999999999999996E-2</v>
      </c>
      <c r="G6921">
        <f t="shared" si="217"/>
        <v>940.44</v>
      </c>
    </row>
    <row r="6922" spans="1:8" ht="12.75" customHeight="1">
      <c r="A6922" s="3">
        <v>90842</v>
      </c>
      <c r="B6922" s="4" t="s">
        <v>6946</v>
      </c>
      <c r="C6922" s="3" t="s">
        <v>6</v>
      </c>
      <c r="D6922" s="5">
        <v>948.79</v>
      </c>
      <c r="E6922">
        <v>1041.46</v>
      </c>
      <c r="F6922" s="1789">
        <v>8.8999999999999996E-2</v>
      </c>
      <c r="G6922">
        <f t="shared" si="217"/>
        <v>948.77</v>
      </c>
      <c r="H6922" s="1790"/>
    </row>
    <row r="6923" spans="1:8" ht="12.75" customHeight="1">
      <c r="A6923" s="3">
        <v>90843</v>
      </c>
      <c r="B6923" s="4" t="s">
        <v>6947</v>
      </c>
      <c r="C6923" s="3" t="s">
        <v>6</v>
      </c>
      <c r="D6923" s="5">
        <f t="shared" si="216"/>
        <v>992.35</v>
      </c>
      <c r="E6923">
        <v>1089.3</v>
      </c>
      <c r="F6923" s="1789">
        <v>8.8999999999999996E-2</v>
      </c>
      <c r="G6923">
        <f t="shared" si="217"/>
        <v>992.35</v>
      </c>
    </row>
    <row r="6924" spans="1:8" ht="12.75" customHeight="1">
      <c r="A6924" s="3">
        <v>90844</v>
      </c>
      <c r="B6924" s="4" t="s">
        <v>6948</v>
      </c>
      <c r="C6924" s="3" t="s">
        <v>6</v>
      </c>
      <c r="D6924" s="5">
        <f t="shared" si="216"/>
        <v>1074.77</v>
      </c>
      <c r="E6924">
        <v>1179.78</v>
      </c>
      <c r="F6924" s="1789">
        <v>8.8999999999999996E-2</v>
      </c>
      <c r="G6924">
        <f t="shared" si="217"/>
        <v>1074.77</v>
      </c>
    </row>
    <row r="6925" spans="1:8" ht="12.75" customHeight="1">
      <c r="A6925" s="3">
        <v>90845</v>
      </c>
      <c r="B6925" s="4" t="s">
        <v>6949</v>
      </c>
      <c r="C6925" s="3" t="s">
        <v>6</v>
      </c>
      <c r="D6925" s="5">
        <f t="shared" si="216"/>
        <v>1256.3900000000001</v>
      </c>
      <c r="E6925">
        <v>1379.14</v>
      </c>
      <c r="F6925" s="1789">
        <v>8.8999999999999996E-2</v>
      </c>
      <c r="G6925">
        <f t="shared" si="217"/>
        <v>1256.3900000000001</v>
      </c>
    </row>
    <row r="6926" spans="1:8" ht="12.75" customHeight="1">
      <c r="A6926" s="3">
        <v>90846</v>
      </c>
      <c r="B6926" s="4" t="s">
        <v>6950</v>
      </c>
      <c r="C6926" s="3" t="s">
        <v>6</v>
      </c>
      <c r="D6926" s="5">
        <f t="shared" si="216"/>
        <v>1328.3</v>
      </c>
      <c r="E6926">
        <v>1458.07</v>
      </c>
      <c r="F6926" s="1789">
        <v>8.8999999999999996E-2</v>
      </c>
      <c r="G6926">
        <f t="shared" si="217"/>
        <v>1328.3</v>
      </c>
    </row>
    <row r="6927" spans="1:8" ht="12.75" customHeight="1">
      <c r="A6927" s="3">
        <v>90847</v>
      </c>
      <c r="B6927" s="4" t="s">
        <v>6951</v>
      </c>
      <c r="C6927" s="3" t="s">
        <v>6</v>
      </c>
      <c r="D6927" s="5">
        <f t="shared" si="216"/>
        <v>813.78</v>
      </c>
      <c r="E6927">
        <v>893.29</v>
      </c>
      <c r="F6927" s="1789">
        <v>8.8999999999999996E-2</v>
      </c>
      <c r="G6927">
        <f t="shared" si="217"/>
        <v>813.78</v>
      </c>
    </row>
    <row r="6928" spans="1:8" ht="12.75" customHeight="1">
      <c r="A6928" s="3">
        <v>90848</v>
      </c>
      <c r="B6928" s="4" t="s">
        <v>6952</v>
      </c>
      <c r="C6928" s="3" t="s">
        <v>6</v>
      </c>
      <c r="D6928" s="5">
        <f t="shared" si="216"/>
        <v>822.11</v>
      </c>
      <c r="E6928">
        <v>902.43</v>
      </c>
      <c r="F6928" s="1789">
        <v>8.8999999999999996E-2</v>
      </c>
      <c r="G6928">
        <f t="shared" si="217"/>
        <v>822.11</v>
      </c>
    </row>
    <row r="6929" spans="1:7" ht="12.75" customHeight="1">
      <c r="A6929" s="3">
        <v>90849</v>
      </c>
      <c r="B6929" s="4" t="s">
        <v>6953</v>
      </c>
      <c r="C6929" s="3" t="s">
        <v>6</v>
      </c>
      <c r="D6929" s="5">
        <f t="shared" si="216"/>
        <v>847.73</v>
      </c>
      <c r="E6929">
        <v>930.55</v>
      </c>
      <c r="F6929" s="1789">
        <v>8.8999999999999996E-2</v>
      </c>
      <c r="G6929">
        <f t="shared" si="217"/>
        <v>847.73</v>
      </c>
    </row>
    <row r="6930" spans="1:7" ht="12.75" customHeight="1">
      <c r="A6930" s="3">
        <v>90850</v>
      </c>
      <c r="B6930" s="4" t="s">
        <v>6954</v>
      </c>
      <c r="C6930" s="3" t="s">
        <v>6</v>
      </c>
      <c r="D6930" s="5">
        <f t="shared" si="216"/>
        <v>930.15</v>
      </c>
      <c r="E6930">
        <v>1021.03</v>
      </c>
      <c r="F6930" s="1789">
        <v>8.8999999999999996E-2</v>
      </c>
      <c r="G6930">
        <f t="shared" si="217"/>
        <v>930.15</v>
      </c>
    </row>
    <row r="6931" spans="1:7" ht="12.75" customHeight="1">
      <c r="A6931" s="3">
        <v>90851</v>
      </c>
      <c r="B6931" s="4" t="s">
        <v>6955</v>
      </c>
      <c r="C6931" s="3" t="s">
        <v>6</v>
      </c>
      <c r="D6931" s="5">
        <f t="shared" si="216"/>
        <v>1111.77</v>
      </c>
      <c r="E6931">
        <v>1220.3900000000001</v>
      </c>
      <c r="F6931" s="1789">
        <v>8.8999999999999996E-2</v>
      </c>
      <c r="G6931">
        <f t="shared" si="217"/>
        <v>1111.77</v>
      </c>
    </row>
    <row r="6932" spans="1:7" ht="12.75" customHeight="1">
      <c r="A6932" s="3">
        <v>90852</v>
      </c>
      <c r="B6932" s="4" t="s">
        <v>6956</v>
      </c>
      <c r="C6932" s="3" t="s">
        <v>6</v>
      </c>
      <c r="D6932" s="5">
        <f t="shared" si="216"/>
        <v>1183.68</v>
      </c>
      <c r="E6932">
        <v>1299.32</v>
      </c>
      <c r="F6932" s="1789">
        <v>8.8999999999999996E-2</v>
      </c>
      <c r="G6932">
        <f t="shared" si="217"/>
        <v>1183.68</v>
      </c>
    </row>
    <row r="6933" spans="1:7" ht="12.75" customHeight="1">
      <c r="A6933" s="3">
        <v>91009</v>
      </c>
      <c r="B6933" s="4" t="s">
        <v>6957</v>
      </c>
      <c r="C6933" s="3" t="s">
        <v>6</v>
      </c>
      <c r="D6933" s="5">
        <f t="shared" ref="D6933:D6996" si="218">G6933</f>
        <v>318.27</v>
      </c>
      <c r="E6933">
        <v>349.37</v>
      </c>
      <c r="F6933" s="1789">
        <v>8.8999999999999996E-2</v>
      </c>
      <c r="G6933">
        <f t="shared" ref="G6933:G6996" si="219">TRUNC((1-F6933)*E6933,2)</f>
        <v>318.27</v>
      </c>
    </row>
    <row r="6934" spans="1:7" ht="12.75" customHeight="1">
      <c r="A6934" s="3">
        <v>91010</v>
      </c>
      <c r="B6934" s="4" t="s">
        <v>6958</v>
      </c>
      <c r="C6934" s="3" t="s">
        <v>6</v>
      </c>
      <c r="D6934" s="5">
        <f t="shared" si="218"/>
        <v>324.77999999999997</v>
      </c>
      <c r="E6934">
        <v>356.52</v>
      </c>
      <c r="F6934" s="1789">
        <v>8.8999999999999996E-2</v>
      </c>
      <c r="G6934">
        <f t="shared" si="219"/>
        <v>324.77999999999997</v>
      </c>
    </row>
    <row r="6935" spans="1:7" ht="12.75" customHeight="1">
      <c r="A6935" s="3">
        <v>91011</v>
      </c>
      <c r="B6935" s="4" t="s">
        <v>6959</v>
      </c>
      <c r="C6935" s="3" t="s">
        <v>6</v>
      </c>
      <c r="D6935" s="5">
        <f t="shared" si="218"/>
        <v>382.31</v>
      </c>
      <c r="E6935">
        <v>419.66</v>
      </c>
      <c r="F6935" s="1789">
        <v>8.8999999999999996E-2</v>
      </c>
      <c r="G6935">
        <f t="shared" si="219"/>
        <v>382.31</v>
      </c>
    </row>
    <row r="6936" spans="1:7" ht="12.75" customHeight="1">
      <c r="A6936" s="3">
        <v>91012</v>
      </c>
      <c r="B6936" s="4" t="s">
        <v>6960</v>
      </c>
      <c r="C6936" s="3" t="s">
        <v>6</v>
      </c>
      <c r="D6936" s="5">
        <f t="shared" si="218"/>
        <v>426.28</v>
      </c>
      <c r="E6936">
        <v>467.93</v>
      </c>
      <c r="F6936" s="1789">
        <v>8.8999999999999996E-2</v>
      </c>
      <c r="G6936">
        <f t="shared" si="219"/>
        <v>426.28</v>
      </c>
    </row>
    <row r="6937" spans="1:7" ht="12.75" customHeight="1">
      <c r="A6937" s="3">
        <v>91013</v>
      </c>
      <c r="B6937" s="4" t="s">
        <v>6961</v>
      </c>
      <c r="C6937" s="3" t="s">
        <v>6</v>
      </c>
      <c r="D6937" s="5">
        <f t="shared" si="218"/>
        <v>825.15</v>
      </c>
      <c r="E6937">
        <v>905.77</v>
      </c>
      <c r="F6937" s="1789">
        <v>8.8999999999999996E-2</v>
      </c>
      <c r="G6937">
        <f t="shared" si="219"/>
        <v>825.15</v>
      </c>
    </row>
    <row r="6938" spans="1:7" ht="12.75" customHeight="1">
      <c r="A6938" s="3">
        <v>91014</v>
      </c>
      <c r="B6938" s="4" t="s">
        <v>6962</v>
      </c>
      <c r="C6938" s="3" t="s">
        <v>6</v>
      </c>
      <c r="D6938" s="5">
        <f t="shared" si="218"/>
        <v>834.02</v>
      </c>
      <c r="E6938">
        <v>915.51</v>
      </c>
      <c r="F6938" s="1789">
        <v>8.8999999999999996E-2</v>
      </c>
      <c r="G6938">
        <f t="shared" si="219"/>
        <v>834.02</v>
      </c>
    </row>
    <row r="6939" spans="1:7" ht="12.75" customHeight="1">
      <c r="A6939" s="3">
        <v>91015</v>
      </c>
      <c r="B6939" s="4" t="s">
        <v>6963</v>
      </c>
      <c r="C6939" s="3" t="s">
        <v>6</v>
      </c>
      <c r="D6939" s="5">
        <f t="shared" si="218"/>
        <v>893.9</v>
      </c>
      <c r="E6939">
        <v>981.24</v>
      </c>
      <c r="F6939" s="1789">
        <v>8.8999999999999996E-2</v>
      </c>
      <c r="G6939">
        <f t="shared" si="219"/>
        <v>893.9</v>
      </c>
    </row>
    <row r="6940" spans="1:7" ht="12.75" customHeight="1">
      <c r="A6940" s="3">
        <v>91016</v>
      </c>
      <c r="B6940" s="4" t="s">
        <v>6964</v>
      </c>
      <c r="C6940" s="3" t="s">
        <v>6</v>
      </c>
      <c r="D6940" s="5">
        <f t="shared" si="218"/>
        <v>940.24</v>
      </c>
      <c r="E6940">
        <v>1032.0999999999999</v>
      </c>
      <c r="F6940" s="1789">
        <v>8.8999999999999996E-2</v>
      </c>
      <c r="G6940">
        <f t="shared" si="219"/>
        <v>940.24</v>
      </c>
    </row>
    <row r="6941" spans="1:7" ht="12.75" customHeight="1">
      <c r="A6941" s="3">
        <v>91287</v>
      </c>
      <c r="B6941" s="4" t="s">
        <v>6965</v>
      </c>
      <c r="C6941" s="3" t="s">
        <v>6</v>
      </c>
      <c r="D6941" s="5">
        <f t="shared" si="218"/>
        <v>226.5</v>
      </c>
      <c r="E6941">
        <v>248.63</v>
      </c>
      <c r="F6941" s="1789">
        <v>8.8999999999999996E-2</v>
      </c>
      <c r="G6941">
        <f t="shared" si="219"/>
        <v>226.5</v>
      </c>
    </row>
    <row r="6942" spans="1:7" ht="12.75" customHeight="1">
      <c r="A6942" s="3">
        <v>91292</v>
      </c>
      <c r="B6942" s="4" t="s">
        <v>6966</v>
      </c>
      <c r="C6942" s="3" t="s">
        <v>6</v>
      </c>
      <c r="D6942" s="5">
        <f t="shared" si="218"/>
        <v>307.82</v>
      </c>
      <c r="E6942">
        <v>337.9</v>
      </c>
      <c r="F6942" s="1789">
        <v>8.8999999999999996E-2</v>
      </c>
      <c r="G6942">
        <f t="shared" si="219"/>
        <v>307.82</v>
      </c>
    </row>
    <row r="6943" spans="1:7" ht="12.75" customHeight="1">
      <c r="A6943" s="3">
        <v>91295</v>
      </c>
      <c r="B6943" s="4" t="s">
        <v>6967</v>
      </c>
      <c r="C6943" s="3" t="s">
        <v>6</v>
      </c>
      <c r="D6943" s="5">
        <f t="shared" si="218"/>
        <v>328.12</v>
      </c>
      <c r="E6943">
        <v>360.18</v>
      </c>
      <c r="F6943" s="1789">
        <v>8.8999999999999996E-2</v>
      </c>
      <c r="G6943">
        <f t="shared" si="219"/>
        <v>328.12</v>
      </c>
    </row>
    <row r="6944" spans="1:7" ht="12.75" customHeight="1">
      <c r="A6944" s="3">
        <v>91296</v>
      </c>
      <c r="B6944" s="4" t="s">
        <v>6968</v>
      </c>
      <c r="C6944" s="3" t="s">
        <v>6</v>
      </c>
      <c r="D6944" s="5">
        <f t="shared" si="218"/>
        <v>352.3</v>
      </c>
      <c r="E6944">
        <v>386.72</v>
      </c>
      <c r="F6944" s="1789">
        <v>8.8999999999999996E-2</v>
      </c>
      <c r="G6944">
        <f t="shared" si="219"/>
        <v>352.3</v>
      </c>
    </row>
    <row r="6945" spans="1:7" ht="12.75" customHeight="1">
      <c r="A6945" s="3">
        <v>91297</v>
      </c>
      <c r="B6945" s="4" t="s">
        <v>6969</v>
      </c>
      <c r="C6945" s="3" t="s">
        <v>6</v>
      </c>
      <c r="D6945" s="5">
        <f t="shared" si="218"/>
        <v>388.86</v>
      </c>
      <c r="E6945">
        <v>426.86</v>
      </c>
      <c r="F6945" s="1789">
        <v>8.8999999999999996E-2</v>
      </c>
      <c r="G6945">
        <f t="shared" si="219"/>
        <v>388.86</v>
      </c>
    </row>
    <row r="6946" spans="1:7" ht="12.75" customHeight="1">
      <c r="A6946" s="3">
        <v>91298</v>
      </c>
      <c r="B6946" s="4" t="s">
        <v>6970</v>
      </c>
      <c r="C6946" s="3" t="s">
        <v>6</v>
      </c>
      <c r="D6946" s="5">
        <f t="shared" si="218"/>
        <v>803.31</v>
      </c>
      <c r="E6946">
        <v>881.79</v>
      </c>
      <c r="F6946" s="1789">
        <v>8.8999999999999996E-2</v>
      </c>
      <c r="G6946">
        <f t="shared" si="219"/>
        <v>803.31</v>
      </c>
    </row>
    <row r="6947" spans="1:7" ht="12.75" customHeight="1">
      <c r="A6947" s="3">
        <v>91299</v>
      </c>
      <c r="B6947" s="4" t="s">
        <v>6971</v>
      </c>
      <c r="C6947" s="3" t="s">
        <v>6</v>
      </c>
      <c r="D6947" s="5">
        <f t="shared" si="218"/>
        <v>1126.79</v>
      </c>
      <c r="E6947">
        <v>1236.8800000000001</v>
      </c>
      <c r="F6947" s="1789">
        <v>8.8999999999999996E-2</v>
      </c>
      <c r="G6947">
        <f t="shared" si="219"/>
        <v>1126.79</v>
      </c>
    </row>
    <row r="6948" spans="1:7" ht="12.75" customHeight="1">
      <c r="A6948" s="3">
        <v>91304</v>
      </c>
      <c r="B6948" s="4" t="s">
        <v>6972</v>
      </c>
      <c r="C6948" s="3" t="s">
        <v>6</v>
      </c>
      <c r="D6948" s="5">
        <f t="shared" si="218"/>
        <v>88.58</v>
      </c>
      <c r="E6948">
        <v>97.24</v>
      </c>
      <c r="F6948" s="1789">
        <v>8.8999999999999996E-2</v>
      </c>
      <c r="G6948">
        <f t="shared" si="219"/>
        <v>88.58</v>
      </c>
    </row>
    <row r="6949" spans="1:7" ht="12.75" customHeight="1">
      <c r="A6949" s="3">
        <v>91305</v>
      </c>
      <c r="B6949" s="4" t="s">
        <v>6973</v>
      </c>
      <c r="C6949" s="3" t="s">
        <v>6</v>
      </c>
      <c r="D6949" s="5">
        <f t="shared" si="218"/>
        <v>88.1</v>
      </c>
      <c r="E6949">
        <v>96.71</v>
      </c>
      <c r="F6949" s="1789">
        <v>8.8999999999999996E-2</v>
      </c>
      <c r="G6949">
        <f t="shared" si="219"/>
        <v>88.1</v>
      </c>
    </row>
    <row r="6950" spans="1:7" ht="12.75" customHeight="1">
      <c r="A6950" s="3">
        <v>91306</v>
      </c>
      <c r="B6950" s="4" t="s">
        <v>6974</v>
      </c>
      <c r="C6950" s="3" t="s">
        <v>6</v>
      </c>
      <c r="D6950" s="5">
        <f t="shared" si="218"/>
        <v>126.65</v>
      </c>
      <c r="E6950">
        <v>139.03</v>
      </c>
      <c r="F6950" s="1789">
        <v>8.8999999999999996E-2</v>
      </c>
      <c r="G6950">
        <f t="shared" si="219"/>
        <v>126.65</v>
      </c>
    </row>
    <row r="6951" spans="1:7" ht="12.75" customHeight="1">
      <c r="A6951" s="3">
        <v>91307</v>
      </c>
      <c r="B6951" s="4" t="s">
        <v>6975</v>
      </c>
      <c r="C6951" s="3" t="s">
        <v>6</v>
      </c>
      <c r="D6951" s="5">
        <f t="shared" si="218"/>
        <v>75.09</v>
      </c>
      <c r="E6951">
        <v>82.43</v>
      </c>
      <c r="F6951" s="1789">
        <v>8.8999999999999996E-2</v>
      </c>
      <c r="G6951">
        <f t="shared" si="219"/>
        <v>75.09</v>
      </c>
    </row>
    <row r="6952" spans="1:7" ht="12.75" customHeight="1">
      <c r="A6952" s="3">
        <v>91312</v>
      </c>
      <c r="B6952" s="4" t="s">
        <v>6976</v>
      </c>
      <c r="C6952" s="3" t="s">
        <v>6</v>
      </c>
      <c r="D6952" s="5">
        <f t="shared" si="218"/>
        <v>779</v>
      </c>
      <c r="E6952">
        <v>855.11</v>
      </c>
      <c r="F6952" s="1789">
        <v>8.8999999999999996E-2</v>
      </c>
      <c r="G6952">
        <f t="shared" si="219"/>
        <v>779</v>
      </c>
    </row>
    <row r="6953" spans="1:7" ht="12.75" customHeight="1">
      <c r="A6953" s="3">
        <v>91313</v>
      </c>
      <c r="B6953" s="4" t="s">
        <v>6977</v>
      </c>
      <c r="C6953" s="3" t="s">
        <v>6</v>
      </c>
      <c r="D6953" s="5">
        <f t="shared" si="218"/>
        <v>773.54</v>
      </c>
      <c r="E6953">
        <v>849.12</v>
      </c>
      <c r="F6953" s="1789">
        <v>8.8999999999999996E-2</v>
      </c>
      <c r="G6953">
        <f t="shared" si="219"/>
        <v>773.54</v>
      </c>
    </row>
    <row r="6954" spans="1:7" ht="12.75" customHeight="1">
      <c r="A6954" s="3">
        <v>91314</v>
      </c>
      <c r="B6954" s="4" t="s">
        <v>6978</v>
      </c>
      <c r="C6954" s="3" t="s">
        <v>6</v>
      </c>
      <c r="D6954" s="5">
        <f t="shared" si="218"/>
        <v>811.89</v>
      </c>
      <c r="E6954">
        <v>891.21</v>
      </c>
      <c r="F6954" s="1789">
        <v>8.8999999999999996E-2</v>
      </c>
      <c r="G6954">
        <f t="shared" si="219"/>
        <v>811.89</v>
      </c>
    </row>
    <row r="6955" spans="1:7" ht="12.75" customHeight="1">
      <c r="A6955" s="3">
        <v>91315</v>
      </c>
      <c r="B6955" s="4" t="s">
        <v>6979</v>
      </c>
      <c r="C6955" s="3" t="s">
        <v>6</v>
      </c>
      <c r="D6955" s="5">
        <f t="shared" si="218"/>
        <v>893.54</v>
      </c>
      <c r="E6955">
        <v>980.84</v>
      </c>
      <c r="F6955" s="1789">
        <v>8.8999999999999996E-2</v>
      </c>
      <c r="G6955">
        <f t="shared" si="219"/>
        <v>893.54</v>
      </c>
    </row>
    <row r="6956" spans="1:7" ht="12.75" customHeight="1">
      <c r="A6956" s="3">
        <v>91316</v>
      </c>
      <c r="B6956" s="4" t="s">
        <v>6980</v>
      </c>
      <c r="C6956" s="3" t="s">
        <v>6</v>
      </c>
      <c r="D6956" s="5">
        <f t="shared" si="218"/>
        <v>1075.93</v>
      </c>
      <c r="E6956">
        <v>1181.05</v>
      </c>
      <c r="F6956" s="1789">
        <v>8.8999999999999996E-2</v>
      </c>
      <c r="G6956">
        <f t="shared" si="219"/>
        <v>1075.93</v>
      </c>
    </row>
    <row r="6957" spans="1:7" ht="12.75" customHeight="1">
      <c r="A6957" s="3">
        <v>91317</v>
      </c>
      <c r="B6957" s="4" t="s">
        <v>6981</v>
      </c>
      <c r="C6957" s="3" t="s">
        <v>6</v>
      </c>
      <c r="D6957" s="5">
        <f t="shared" si="218"/>
        <v>1147.06</v>
      </c>
      <c r="E6957">
        <v>1259.1300000000001</v>
      </c>
      <c r="F6957" s="1789">
        <v>8.8999999999999996E-2</v>
      </c>
      <c r="G6957">
        <f t="shared" si="219"/>
        <v>1147.06</v>
      </c>
    </row>
    <row r="6958" spans="1:7" ht="12.75" customHeight="1">
      <c r="A6958" s="3">
        <v>91318</v>
      </c>
      <c r="B6958" s="4" t="s">
        <v>6982</v>
      </c>
      <c r="C6958" s="3" t="s">
        <v>6</v>
      </c>
      <c r="D6958" s="5">
        <f t="shared" si="218"/>
        <v>690.9</v>
      </c>
      <c r="E6958">
        <v>758.4</v>
      </c>
      <c r="F6958" s="1789">
        <v>8.8999999999999996E-2</v>
      </c>
      <c r="G6958">
        <f t="shared" si="219"/>
        <v>690.9</v>
      </c>
    </row>
    <row r="6959" spans="1:7" ht="12.75" customHeight="1">
      <c r="A6959" s="3">
        <v>91319</v>
      </c>
      <c r="B6959" s="4" t="s">
        <v>6983</v>
      </c>
      <c r="C6959" s="3" t="s">
        <v>6</v>
      </c>
      <c r="D6959" s="5">
        <f t="shared" si="218"/>
        <v>698.45</v>
      </c>
      <c r="E6959">
        <v>766.69</v>
      </c>
      <c r="F6959" s="1789">
        <v>8.8999999999999996E-2</v>
      </c>
      <c r="G6959">
        <f t="shared" si="219"/>
        <v>698.45</v>
      </c>
    </row>
    <row r="6960" spans="1:7" ht="12.75" customHeight="1">
      <c r="A6960" s="3">
        <v>91320</v>
      </c>
      <c r="B6960" s="4" t="s">
        <v>6984</v>
      </c>
      <c r="C6960" s="3" t="s">
        <v>6</v>
      </c>
      <c r="D6960" s="5">
        <f t="shared" si="218"/>
        <v>723.3</v>
      </c>
      <c r="E6960">
        <v>793.97</v>
      </c>
      <c r="F6960" s="1789">
        <v>8.8999999999999996E-2</v>
      </c>
      <c r="G6960">
        <f t="shared" si="219"/>
        <v>723.3</v>
      </c>
    </row>
    <row r="6961" spans="1:7" ht="12.75" customHeight="1">
      <c r="A6961" s="3">
        <v>91321</v>
      </c>
      <c r="B6961" s="4" t="s">
        <v>6985</v>
      </c>
      <c r="C6961" s="3" t="s">
        <v>6</v>
      </c>
      <c r="D6961" s="5">
        <f t="shared" si="218"/>
        <v>804.95</v>
      </c>
      <c r="E6961">
        <v>883.6</v>
      </c>
      <c r="F6961" s="1789">
        <v>8.8999999999999996E-2</v>
      </c>
      <c r="G6961">
        <f t="shared" si="219"/>
        <v>804.95</v>
      </c>
    </row>
    <row r="6962" spans="1:7" ht="12.75" customHeight="1">
      <c r="A6962" s="3">
        <v>91322</v>
      </c>
      <c r="B6962" s="4" t="s">
        <v>6986</v>
      </c>
      <c r="C6962" s="3" t="s">
        <v>6</v>
      </c>
      <c r="D6962" s="5">
        <f t="shared" si="218"/>
        <v>987.35</v>
      </c>
      <c r="E6962">
        <v>1083.81</v>
      </c>
      <c r="F6962" s="1789">
        <v>8.8999999999999996E-2</v>
      </c>
      <c r="G6962">
        <f t="shared" si="219"/>
        <v>987.35</v>
      </c>
    </row>
    <row r="6963" spans="1:7" ht="12.75" customHeight="1">
      <c r="A6963" s="3">
        <v>91323</v>
      </c>
      <c r="B6963" s="4" t="s">
        <v>6987</v>
      </c>
      <c r="C6963" s="3" t="s">
        <v>6</v>
      </c>
      <c r="D6963" s="5">
        <f t="shared" si="218"/>
        <v>1058.48</v>
      </c>
      <c r="E6963">
        <v>1161.8900000000001</v>
      </c>
      <c r="F6963" s="1789">
        <v>8.8999999999999996E-2</v>
      </c>
      <c r="G6963">
        <f t="shared" si="219"/>
        <v>1058.48</v>
      </c>
    </row>
    <row r="6964" spans="1:7" ht="12.75" customHeight="1">
      <c r="A6964" s="3">
        <v>91324</v>
      </c>
      <c r="B6964" s="4" t="s">
        <v>6988</v>
      </c>
      <c r="C6964" s="3" t="s">
        <v>6</v>
      </c>
      <c r="D6964" s="5">
        <f t="shared" si="218"/>
        <v>702.27</v>
      </c>
      <c r="E6964">
        <v>770.88</v>
      </c>
      <c r="F6964" s="1789">
        <v>8.8999999999999996E-2</v>
      </c>
      <c r="G6964">
        <f t="shared" si="219"/>
        <v>702.27</v>
      </c>
    </row>
    <row r="6965" spans="1:7" ht="12.75" customHeight="1">
      <c r="A6965" s="3">
        <v>91325</v>
      </c>
      <c r="B6965" s="4" t="s">
        <v>6989</v>
      </c>
      <c r="C6965" s="3" t="s">
        <v>6</v>
      </c>
      <c r="D6965" s="5">
        <f t="shared" si="218"/>
        <v>710.37</v>
      </c>
      <c r="E6965">
        <v>779.77</v>
      </c>
      <c r="F6965" s="1789">
        <v>8.8999999999999996E-2</v>
      </c>
      <c r="G6965">
        <f t="shared" si="219"/>
        <v>710.37</v>
      </c>
    </row>
    <row r="6966" spans="1:7" ht="12.75" customHeight="1">
      <c r="A6966" s="3">
        <v>91326</v>
      </c>
      <c r="B6966" s="4" t="s">
        <v>6990</v>
      </c>
      <c r="C6966" s="3" t="s">
        <v>6</v>
      </c>
      <c r="D6966" s="5">
        <f t="shared" si="218"/>
        <v>769.48</v>
      </c>
      <c r="E6966">
        <v>844.66</v>
      </c>
      <c r="F6966" s="1789">
        <v>8.8999999999999996E-2</v>
      </c>
      <c r="G6966">
        <f t="shared" si="219"/>
        <v>769.48</v>
      </c>
    </row>
    <row r="6967" spans="1:7" ht="12.75" customHeight="1">
      <c r="A6967" s="3">
        <v>91327</v>
      </c>
      <c r="B6967" s="4" t="s">
        <v>6991</v>
      </c>
      <c r="C6967" s="3" t="s">
        <v>6</v>
      </c>
      <c r="D6967" s="5">
        <f t="shared" si="218"/>
        <v>815.04</v>
      </c>
      <c r="E6967">
        <v>894.67</v>
      </c>
      <c r="F6967" s="1789">
        <v>8.8999999999999996E-2</v>
      </c>
      <c r="G6967">
        <f t="shared" si="219"/>
        <v>815.04</v>
      </c>
    </row>
    <row r="6968" spans="1:7" ht="12.75" customHeight="1">
      <c r="A6968" s="3">
        <v>91328</v>
      </c>
      <c r="B6968" s="4" t="s">
        <v>6992</v>
      </c>
      <c r="C6968" s="3" t="s">
        <v>6</v>
      </c>
      <c r="D6968" s="5">
        <f t="shared" si="218"/>
        <v>835</v>
      </c>
      <c r="E6968">
        <v>916.58</v>
      </c>
      <c r="F6968" s="1789">
        <v>8.8999999999999996E-2</v>
      </c>
      <c r="G6968">
        <f t="shared" si="219"/>
        <v>835</v>
      </c>
    </row>
    <row r="6969" spans="1:7" ht="12.75" customHeight="1">
      <c r="A6969" s="3">
        <v>91329</v>
      </c>
      <c r="B6969" s="4" t="s">
        <v>6993</v>
      </c>
      <c r="C6969" s="3" t="s">
        <v>6</v>
      </c>
      <c r="D6969" s="5">
        <f t="shared" si="218"/>
        <v>712.11</v>
      </c>
      <c r="E6969">
        <v>781.69</v>
      </c>
      <c r="F6969" s="1789">
        <v>8.8999999999999996E-2</v>
      </c>
      <c r="G6969">
        <f t="shared" si="219"/>
        <v>712.11</v>
      </c>
    </row>
    <row r="6970" spans="1:7" ht="12.75" customHeight="1">
      <c r="A6970" s="3">
        <v>91330</v>
      </c>
      <c r="B6970" s="4" t="s">
        <v>6994</v>
      </c>
      <c r="C6970" s="3" t="s">
        <v>6</v>
      </c>
      <c r="D6970" s="5">
        <f t="shared" si="218"/>
        <v>861.54</v>
      </c>
      <c r="E6970">
        <v>945.71</v>
      </c>
      <c r="F6970" s="1789">
        <v>8.8999999999999996E-2</v>
      </c>
      <c r="G6970">
        <f t="shared" si="219"/>
        <v>861.54</v>
      </c>
    </row>
    <row r="6971" spans="1:7" ht="12.75" customHeight="1">
      <c r="A6971" s="3">
        <v>91331</v>
      </c>
      <c r="B6971" s="4" t="s">
        <v>6995</v>
      </c>
      <c r="C6971" s="3" t="s">
        <v>6</v>
      </c>
      <c r="D6971" s="5">
        <f t="shared" si="218"/>
        <v>737.88</v>
      </c>
      <c r="E6971">
        <v>809.97</v>
      </c>
      <c r="F6971" s="1789">
        <v>8.8999999999999996E-2</v>
      </c>
      <c r="G6971">
        <f t="shared" si="219"/>
        <v>737.88</v>
      </c>
    </row>
    <row r="6972" spans="1:7" ht="12.75" customHeight="1">
      <c r="A6972" s="3">
        <v>91332</v>
      </c>
      <c r="B6972" s="4" t="s">
        <v>6996</v>
      </c>
      <c r="C6972" s="3" t="s">
        <v>6</v>
      </c>
      <c r="D6972" s="5">
        <f t="shared" si="218"/>
        <v>900.46</v>
      </c>
      <c r="E6972">
        <v>988.44</v>
      </c>
      <c r="F6972" s="1789">
        <v>8.8999999999999996E-2</v>
      </c>
      <c r="G6972">
        <f t="shared" si="219"/>
        <v>900.46</v>
      </c>
    </row>
    <row r="6973" spans="1:7" ht="12.75" customHeight="1">
      <c r="A6973" s="3">
        <v>91333</v>
      </c>
      <c r="B6973" s="4" t="s">
        <v>6997</v>
      </c>
      <c r="C6973" s="3" t="s">
        <v>6</v>
      </c>
      <c r="D6973" s="5">
        <f t="shared" si="218"/>
        <v>776.04</v>
      </c>
      <c r="E6973">
        <v>851.86</v>
      </c>
      <c r="F6973" s="1789">
        <v>8.8999999999999996E-2</v>
      </c>
      <c r="G6973">
        <f t="shared" si="219"/>
        <v>776.04</v>
      </c>
    </row>
    <row r="6974" spans="1:7" ht="12.75" customHeight="1">
      <c r="A6974" s="3">
        <v>91334</v>
      </c>
      <c r="B6974" s="4" t="s">
        <v>6998</v>
      </c>
      <c r="C6974" s="3" t="s">
        <v>6</v>
      </c>
      <c r="D6974" s="5">
        <f t="shared" si="218"/>
        <v>1314.91</v>
      </c>
      <c r="E6974">
        <v>1443.37</v>
      </c>
      <c r="F6974" s="1789">
        <v>8.8999999999999996E-2</v>
      </c>
      <c r="G6974">
        <f t="shared" si="219"/>
        <v>1314.91</v>
      </c>
    </row>
    <row r="6975" spans="1:7" ht="12.75" customHeight="1">
      <c r="A6975" s="3">
        <v>91335</v>
      </c>
      <c r="B6975" s="4" t="s">
        <v>6999</v>
      </c>
      <c r="C6975" s="3" t="s">
        <v>6</v>
      </c>
      <c r="D6975" s="5">
        <f t="shared" si="218"/>
        <v>1190.48</v>
      </c>
      <c r="E6975">
        <v>1306.79</v>
      </c>
      <c r="F6975" s="1789">
        <v>8.8999999999999996E-2</v>
      </c>
      <c r="G6975">
        <f t="shared" si="219"/>
        <v>1190.48</v>
      </c>
    </row>
    <row r="6976" spans="1:7" ht="12.75" customHeight="1">
      <c r="A6976" s="3">
        <v>91336</v>
      </c>
      <c r="B6976" s="4" t="s">
        <v>7000</v>
      </c>
      <c r="C6976" s="3" t="s">
        <v>6</v>
      </c>
      <c r="D6976" s="5">
        <f t="shared" si="218"/>
        <v>1638.39</v>
      </c>
      <c r="E6976">
        <v>1798.46</v>
      </c>
      <c r="F6976" s="1789">
        <v>8.8999999999999996E-2</v>
      </c>
      <c r="G6976">
        <f t="shared" si="219"/>
        <v>1638.39</v>
      </c>
    </row>
    <row r="6977" spans="1:7" ht="12.75" customHeight="1">
      <c r="A6977" s="3">
        <v>91337</v>
      </c>
      <c r="B6977" s="4" t="s">
        <v>7001</v>
      </c>
      <c r="C6977" s="3" t="s">
        <v>6</v>
      </c>
      <c r="D6977" s="5">
        <f t="shared" si="218"/>
        <v>1513.97</v>
      </c>
      <c r="E6977">
        <v>1661.88</v>
      </c>
      <c r="F6977" s="1789">
        <v>8.8999999999999996E-2</v>
      </c>
      <c r="G6977">
        <f t="shared" si="219"/>
        <v>1513.97</v>
      </c>
    </row>
    <row r="6978" spans="1:7" ht="12.75" customHeight="1">
      <c r="A6978" s="3">
        <v>100659</v>
      </c>
      <c r="B6978" s="4" t="s">
        <v>7002</v>
      </c>
      <c r="C6978" s="3" t="s">
        <v>50</v>
      </c>
      <c r="D6978" s="5">
        <f t="shared" si="218"/>
        <v>11.79</v>
      </c>
      <c r="E6978">
        <v>12.95</v>
      </c>
      <c r="F6978" s="1789">
        <v>8.8999999999999996E-2</v>
      </c>
      <c r="G6978">
        <f t="shared" si="219"/>
        <v>11.79</v>
      </c>
    </row>
    <row r="6979" spans="1:7" ht="12.75" customHeight="1">
      <c r="A6979" s="3">
        <v>100660</v>
      </c>
      <c r="B6979" s="4" t="s">
        <v>7003</v>
      </c>
      <c r="C6979" s="3" t="s">
        <v>50</v>
      </c>
      <c r="D6979" s="5">
        <f t="shared" si="218"/>
        <v>7.93</v>
      </c>
      <c r="E6979">
        <v>8.7100000000000009</v>
      </c>
      <c r="F6979" s="1789">
        <v>8.8999999999999996E-2</v>
      </c>
      <c r="G6979">
        <f t="shared" si="219"/>
        <v>7.93</v>
      </c>
    </row>
    <row r="6980" spans="1:7" ht="12.75" customHeight="1">
      <c r="A6980" s="3">
        <v>100675</v>
      </c>
      <c r="B6980" s="4" t="s">
        <v>7004</v>
      </c>
      <c r="C6980" s="3" t="s">
        <v>6</v>
      </c>
      <c r="D6980" s="5">
        <f t="shared" si="218"/>
        <v>943.96</v>
      </c>
      <c r="E6980">
        <v>1036.19</v>
      </c>
      <c r="F6980" s="1789">
        <v>8.8999999999999996E-2</v>
      </c>
      <c r="G6980">
        <f t="shared" si="219"/>
        <v>943.96</v>
      </c>
    </row>
    <row r="6981" spans="1:7" ht="12.75" customHeight="1">
      <c r="A6981" s="3">
        <v>100676</v>
      </c>
      <c r="B6981" s="4" t="s">
        <v>7005</v>
      </c>
      <c r="C6981" s="3" t="s">
        <v>6</v>
      </c>
      <c r="D6981" s="5">
        <f t="shared" si="218"/>
        <v>189.36</v>
      </c>
      <c r="E6981">
        <v>207.86</v>
      </c>
      <c r="F6981" s="1789">
        <v>8.8999999999999996E-2</v>
      </c>
      <c r="G6981">
        <f t="shared" si="219"/>
        <v>189.36</v>
      </c>
    </row>
    <row r="6982" spans="1:7" ht="12.75" customHeight="1">
      <c r="A6982" s="3">
        <v>100678</v>
      </c>
      <c r="B6982" s="4" t="s">
        <v>7006</v>
      </c>
      <c r="C6982" s="3" t="s">
        <v>6</v>
      </c>
      <c r="D6982" s="5">
        <f t="shared" si="218"/>
        <v>951.81</v>
      </c>
      <c r="E6982">
        <v>1044.8</v>
      </c>
      <c r="F6982" s="1789">
        <v>8.8999999999999996E-2</v>
      </c>
      <c r="G6982">
        <f t="shared" si="219"/>
        <v>951.81</v>
      </c>
    </row>
    <row r="6983" spans="1:7" ht="12.75" customHeight="1">
      <c r="A6983" s="3">
        <v>100679</v>
      </c>
      <c r="B6983" s="4" t="s">
        <v>7007</v>
      </c>
      <c r="C6983" s="3" t="s">
        <v>6</v>
      </c>
      <c r="D6983" s="5">
        <f t="shared" si="218"/>
        <v>790.37</v>
      </c>
      <c r="E6983">
        <v>867.59</v>
      </c>
      <c r="F6983" s="1789">
        <v>8.8999999999999996E-2</v>
      </c>
      <c r="G6983">
        <f t="shared" si="219"/>
        <v>790.37</v>
      </c>
    </row>
    <row r="6984" spans="1:7" ht="12.75" customHeight="1">
      <c r="A6984" s="3">
        <v>100680</v>
      </c>
      <c r="B6984" s="4" t="s">
        <v>7008</v>
      </c>
      <c r="C6984" s="3" t="s">
        <v>6</v>
      </c>
      <c r="D6984" s="5">
        <f t="shared" si="218"/>
        <v>960.68</v>
      </c>
      <c r="E6984">
        <v>1054.54</v>
      </c>
      <c r="F6984" s="1789">
        <v>8.8999999999999996E-2</v>
      </c>
      <c r="G6984">
        <f t="shared" si="219"/>
        <v>960.68</v>
      </c>
    </row>
    <row r="6985" spans="1:7" ht="12.75" customHeight="1">
      <c r="A6985" s="3">
        <v>100681</v>
      </c>
      <c r="B6985" s="4" t="s">
        <v>7009</v>
      </c>
      <c r="C6985" s="3" t="s">
        <v>6</v>
      </c>
      <c r="D6985" s="5">
        <f t="shared" si="218"/>
        <v>988.19</v>
      </c>
      <c r="E6985">
        <v>1084.74</v>
      </c>
      <c r="F6985" s="1789">
        <v>8.8999999999999996E-2</v>
      </c>
      <c r="G6985">
        <f t="shared" si="219"/>
        <v>988.19</v>
      </c>
    </row>
    <row r="6986" spans="1:7" ht="12.75" customHeight="1">
      <c r="A6986" s="3">
        <v>100682</v>
      </c>
      <c r="B6986" s="4" t="s">
        <v>7010</v>
      </c>
      <c r="C6986" s="3" t="s">
        <v>6</v>
      </c>
      <c r="D6986" s="5">
        <f t="shared" si="218"/>
        <v>812.97</v>
      </c>
      <c r="E6986">
        <v>892.4</v>
      </c>
      <c r="F6986" s="1789">
        <v>8.8999999999999996E-2</v>
      </c>
      <c r="G6986">
        <f t="shared" si="219"/>
        <v>812.97</v>
      </c>
    </row>
    <row r="6987" spans="1:7" ht="12.75" customHeight="1">
      <c r="A6987" s="3">
        <v>100683</v>
      </c>
      <c r="B6987" s="4" t="s">
        <v>7011</v>
      </c>
      <c r="C6987" s="3" t="s">
        <v>6</v>
      </c>
      <c r="D6987" s="5">
        <f t="shared" si="218"/>
        <v>1038.53</v>
      </c>
      <c r="E6987">
        <v>1139.99</v>
      </c>
      <c r="F6987" s="1789">
        <v>8.8999999999999996E-2</v>
      </c>
      <c r="G6987">
        <f t="shared" si="219"/>
        <v>1038.53</v>
      </c>
    </row>
    <row r="6988" spans="1:7" ht="12.75" customHeight="1">
      <c r="A6988" s="3">
        <v>100684</v>
      </c>
      <c r="B6988" s="4" t="s">
        <v>7012</v>
      </c>
      <c r="C6988" s="3" t="s">
        <v>6</v>
      </c>
      <c r="D6988" s="5">
        <f t="shared" si="218"/>
        <v>858.07</v>
      </c>
      <c r="E6988">
        <v>941.9</v>
      </c>
      <c r="F6988" s="1789">
        <v>8.8999999999999996E-2</v>
      </c>
      <c r="G6988">
        <f t="shared" si="219"/>
        <v>858.07</v>
      </c>
    </row>
    <row r="6989" spans="1:7" ht="12.75" customHeight="1">
      <c r="A6989" s="3">
        <v>100685</v>
      </c>
      <c r="B6989" s="4" t="s">
        <v>7013</v>
      </c>
      <c r="C6989" s="3" t="s">
        <v>6</v>
      </c>
      <c r="D6989" s="5">
        <f t="shared" si="218"/>
        <v>1084.8599999999999</v>
      </c>
      <c r="E6989">
        <v>1190.8499999999999</v>
      </c>
      <c r="F6989" s="1789">
        <v>8.8999999999999996E-2</v>
      </c>
      <c r="G6989">
        <f t="shared" si="219"/>
        <v>1084.8599999999999</v>
      </c>
    </row>
    <row r="6990" spans="1:7" ht="12.75" customHeight="1">
      <c r="A6990" s="3">
        <v>100686</v>
      </c>
      <c r="B6990" s="4" t="s">
        <v>7014</v>
      </c>
      <c r="C6990" s="3" t="s">
        <v>6</v>
      </c>
      <c r="D6990" s="5">
        <f t="shared" si="218"/>
        <v>903.63</v>
      </c>
      <c r="E6990">
        <v>991.91</v>
      </c>
      <c r="F6990" s="1789">
        <v>8.8999999999999996E-2</v>
      </c>
      <c r="G6990">
        <f t="shared" si="219"/>
        <v>903.63</v>
      </c>
    </row>
    <row r="6991" spans="1:7" ht="12.75" customHeight="1">
      <c r="A6991" s="3">
        <v>100687</v>
      </c>
      <c r="B6991" s="4" t="s">
        <v>7015</v>
      </c>
      <c r="C6991" s="3" t="s">
        <v>6</v>
      </c>
      <c r="D6991" s="5">
        <f t="shared" si="218"/>
        <v>961.66</v>
      </c>
      <c r="E6991">
        <v>1055.6099999999999</v>
      </c>
      <c r="F6991" s="1789">
        <v>8.8999999999999996E-2</v>
      </c>
      <c r="G6991">
        <f t="shared" si="219"/>
        <v>961.66</v>
      </c>
    </row>
    <row r="6992" spans="1:7" ht="12.75" customHeight="1">
      <c r="A6992" s="3">
        <v>100688</v>
      </c>
      <c r="B6992" s="4" t="s">
        <v>7016</v>
      </c>
      <c r="C6992" s="3" t="s">
        <v>6</v>
      </c>
      <c r="D6992" s="5">
        <f t="shared" si="218"/>
        <v>800.22</v>
      </c>
      <c r="E6992">
        <v>878.4</v>
      </c>
      <c r="F6992" s="1789">
        <v>8.8999999999999996E-2</v>
      </c>
      <c r="G6992">
        <f t="shared" si="219"/>
        <v>800.22</v>
      </c>
    </row>
    <row r="6993" spans="1:7" ht="12.75" customHeight="1">
      <c r="A6993" s="3">
        <v>100689</v>
      </c>
      <c r="B6993" s="4" t="s">
        <v>7017</v>
      </c>
      <c r="C6993" s="3" t="s">
        <v>6</v>
      </c>
      <c r="D6993" s="5">
        <f t="shared" si="218"/>
        <v>1045.0899999999999</v>
      </c>
      <c r="E6993">
        <v>1147.19</v>
      </c>
      <c r="F6993" s="1789">
        <v>8.8999999999999996E-2</v>
      </c>
      <c r="G6993">
        <f t="shared" si="219"/>
        <v>1045.0899999999999</v>
      </c>
    </row>
    <row r="6994" spans="1:7" ht="12.75" customHeight="1">
      <c r="A6994" s="3">
        <v>100690</v>
      </c>
      <c r="B6994" s="4" t="s">
        <v>7018</v>
      </c>
      <c r="C6994" s="3" t="s">
        <v>6</v>
      </c>
      <c r="D6994" s="5">
        <f t="shared" si="218"/>
        <v>864.63</v>
      </c>
      <c r="E6994">
        <v>949.1</v>
      </c>
      <c r="F6994" s="1789">
        <v>8.8999999999999996E-2</v>
      </c>
      <c r="G6994">
        <f t="shared" si="219"/>
        <v>864.63</v>
      </c>
    </row>
    <row r="6995" spans="1:7" ht="12.75" customHeight="1">
      <c r="A6995" s="3">
        <v>100691</v>
      </c>
      <c r="B6995" s="4" t="s">
        <v>7019</v>
      </c>
      <c r="C6995" s="3" t="s">
        <v>6</v>
      </c>
      <c r="D6995" s="5">
        <f t="shared" si="218"/>
        <v>1459.53</v>
      </c>
      <c r="E6995">
        <v>1602.12</v>
      </c>
      <c r="F6995" s="1789">
        <v>8.8999999999999996E-2</v>
      </c>
      <c r="G6995">
        <f t="shared" si="219"/>
        <v>1459.53</v>
      </c>
    </row>
    <row r="6996" spans="1:7" ht="12.75" customHeight="1">
      <c r="A6996" s="3">
        <v>100692</v>
      </c>
      <c r="B6996" s="4" t="s">
        <v>7020</v>
      </c>
      <c r="C6996" s="3" t="s">
        <v>6</v>
      </c>
      <c r="D6996" s="5">
        <f t="shared" si="218"/>
        <v>1279.07</v>
      </c>
      <c r="E6996">
        <v>1404.03</v>
      </c>
      <c r="F6996" s="1789">
        <v>8.8999999999999996E-2</v>
      </c>
      <c r="G6996">
        <f t="shared" si="219"/>
        <v>1279.07</v>
      </c>
    </row>
    <row r="6997" spans="1:7" ht="12.75" customHeight="1">
      <c r="A6997" s="3">
        <v>100693</v>
      </c>
      <c r="B6997" s="4" t="s">
        <v>7021</v>
      </c>
      <c r="C6997" s="3" t="s">
        <v>6</v>
      </c>
      <c r="D6997" s="5">
        <f t="shared" ref="D6997:D7060" si="220">G6997</f>
        <v>1783.01</v>
      </c>
      <c r="E6997">
        <v>1957.21</v>
      </c>
      <c r="F6997" s="1789">
        <v>8.8999999999999996E-2</v>
      </c>
      <c r="G6997">
        <f t="shared" ref="G6997:G7060" si="221">TRUNC((1-F6997)*E6997,2)</f>
        <v>1783.01</v>
      </c>
    </row>
    <row r="6998" spans="1:7" ht="12.75" customHeight="1">
      <c r="A6998" s="3">
        <v>100694</v>
      </c>
      <c r="B6998" s="4" t="s">
        <v>7022</v>
      </c>
      <c r="C6998" s="3" t="s">
        <v>6</v>
      </c>
      <c r="D6998" s="5">
        <f t="shared" si="220"/>
        <v>1602.55</v>
      </c>
      <c r="E6998">
        <v>1759.12</v>
      </c>
      <c r="F6998" s="1789">
        <v>8.8999999999999996E-2</v>
      </c>
      <c r="G6998">
        <f t="shared" si="221"/>
        <v>1602.55</v>
      </c>
    </row>
    <row r="6999" spans="1:7" ht="12.75" customHeight="1">
      <c r="A6999" s="3">
        <v>100695</v>
      </c>
      <c r="B6999" s="4" t="s">
        <v>7023</v>
      </c>
      <c r="C6999" s="3" t="s">
        <v>6</v>
      </c>
      <c r="D6999" s="5">
        <f t="shared" si="220"/>
        <v>51.38</v>
      </c>
      <c r="E6999">
        <v>56.41</v>
      </c>
      <c r="F6999" s="1789">
        <v>8.8999999999999996E-2</v>
      </c>
      <c r="G6999">
        <f t="shared" si="221"/>
        <v>51.38</v>
      </c>
    </row>
    <row r="7000" spans="1:7" ht="12.75" customHeight="1">
      <c r="A7000" s="3">
        <v>100696</v>
      </c>
      <c r="B7000" s="4" t="s">
        <v>7024</v>
      </c>
      <c r="C7000" s="3" t="s">
        <v>6</v>
      </c>
      <c r="D7000" s="5">
        <f t="shared" si="220"/>
        <v>57.13</v>
      </c>
      <c r="E7000">
        <v>62.72</v>
      </c>
      <c r="F7000" s="1789">
        <v>8.8999999999999996E-2</v>
      </c>
      <c r="G7000">
        <f t="shared" si="221"/>
        <v>57.13</v>
      </c>
    </row>
    <row r="7001" spans="1:7" ht="12.75" customHeight="1">
      <c r="A7001" s="3">
        <v>100697</v>
      </c>
      <c r="B7001" s="4" t="s">
        <v>7025</v>
      </c>
      <c r="C7001" s="3" t="s">
        <v>6</v>
      </c>
      <c r="D7001" s="5">
        <f t="shared" si="220"/>
        <v>62.94</v>
      </c>
      <c r="E7001">
        <v>69.09</v>
      </c>
      <c r="F7001" s="1789">
        <v>8.8999999999999996E-2</v>
      </c>
      <c r="G7001">
        <f t="shared" si="221"/>
        <v>62.94</v>
      </c>
    </row>
    <row r="7002" spans="1:7" ht="12.75" customHeight="1">
      <c r="A7002" s="3">
        <v>100698</v>
      </c>
      <c r="B7002" s="4" t="s">
        <v>7026</v>
      </c>
      <c r="C7002" s="3" t="s">
        <v>6</v>
      </c>
      <c r="D7002" s="5">
        <f t="shared" si="220"/>
        <v>68.709999999999994</v>
      </c>
      <c r="E7002">
        <v>75.430000000000007</v>
      </c>
      <c r="F7002" s="1789">
        <v>8.8999999999999996E-2</v>
      </c>
      <c r="G7002">
        <f t="shared" si="221"/>
        <v>68.709999999999994</v>
      </c>
    </row>
    <row r="7003" spans="1:7" ht="12.75" customHeight="1">
      <c r="A7003" s="3">
        <v>100699</v>
      </c>
      <c r="B7003" s="4" t="s">
        <v>7027</v>
      </c>
      <c r="C7003" s="3" t="s">
        <v>6</v>
      </c>
      <c r="D7003" s="5">
        <f t="shared" si="220"/>
        <v>81.66</v>
      </c>
      <c r="E7003">
        <v>89.64</v>
      </c>
      <c r="F7003" s="1789">
        <v>8.8999999999999996E-2</v>
      </c>
      <c r="G7003">
        <f t="shared" si="221"/>
        <v>81.66</v>
      </c>
    </row>
    <row r="7004" spans="1:7" ht="12.75" customHeight="1">
      <c r="A7004" s="3">
        <v>100700</v>
      </c>
      <c r="B7004" s="4" t="s">
        <v>7028</v>
      </c>
      <c r="C7004" s="3" t="s">
        <v>6</v>
      </c>
      <c r="D7004" s="5">
        <f t="shared" si="220"/>
        <v>824.69</v>
      </c>
      <c r="E7004">
        <v>905.26</v>
      </c>
      <c r="F7004" s="1789">
        <v>8.8999999999999996E-2</v>
      </c>
      <c r="G7004">
        <f t="shared" si="221"/>
        <v>824.69</v>
      </c>
    </row>
    <row r="7005" spans="1:7" ht="12.75" customHeight="1">
      <c r="A7005" s="3">
        <v>100712</v>
      </c>
      <c r="B7005" s="4" t="s">
        <v>7029</v>
      </c>
      <c r="C7005" s="3" t="s">
        <v>6</v>
      </c>
      <c r="D7005" s="5">
        <f t="shared" si="220"/>
        <v>785.46</v>
      </c>
      <c r="E7005">
        <v>862.2</v>
      </c>
      <c r="F7005" s="1789">
        <v>8.8999999999999996E-2</v>
      </c>
      <c r="G7005">
        <f t="shared" si="221"/>
        <v>785.46</v>
      </c>
    </row>
    <row r="7006" spans="1:7" ht="12.75" customHeight="1">
      <c r="A7006" s="3">
        <v>100665</v>
      </c>
      <c r="B7006" s="4" t="s">
        <v>7030</v>
      </c>
      <c r="C7006" s="3" t="s">
        <v>409</v>
      </c>
      <c r="D7006" s="5">
        <f t="shared" si="220"/>
        <v>1007.74</v>
      </c>
      <c r="E7006">
        <v>1106.2</v>
      </c>
      <c r="F7006" s="1789">
        <v>8.8999999999999996E-2</v>
      </c>
      <c r="G7006">
        <f t="shared" si="221"/>
        <v>1007.74</v>
      </c>
    </row>
    <row r="7007" spans="1:7" ht="12.75" customHeight="1">
      <c r="A7007" s="3">
        <v>100666</v>
      </c>
      <c r="B7007" s="4" t="s">
        <v>7031</v>
      </c>
      <c r="C7007" s="3" t="s">
        <v>409</v>
      </c>
      <c r="D7007" s="5">
        <f t="shared" si="220"/>
        <v>792.97</v>
      </c>
      <c r="E7007">
        <v>870.44</v>
      </c>
      <c r="F7007" s="1789">
        <v>8.8999999999999996E-2</v>
      </c>
      <c r="G7007">
        <f t="shared" si="221"/>
        <v>792.97</v>
      </c>
    </row>
    <row r="7008" spans="1:7" ht="12.75" customHeight="1">
      <c r="A7008" s="3">
        <v>100667</v>
      </c>
      <c r="B7008" s="4" t="s">
        <v>7032</v>
      </c>
      <c r="C7008" s="3" t="s">
        <v>409</v>
      </c>
      <c r="D7008" s="5">
        <f t="shared" si="220"/>
        <v>1311.37</v>
      </c>
      <c r="E7008">
        <v>1439.49</v>
      </c>
      <c r="F7008" s="1789">
        <v>8.8999999999999996E-2</v>
      </c>
      <c r="G7008">
        <f t="shared" si="221"/>
        <v>1311.37</v>
      </c>
    </row>
    <row r="7009" spans="1:7" ht="12.75" customHeight="1">
      <c r="A7009" s="3">
        <v>100668</v>
      </c>
      <c r="B7009" s="4" t="s">
        <v>7033</v>
      </c>
      <c r="C7009" s="3" t="s">
        <v>409</v>
      </c>
      <c r="D7009" s="5">
        <f t="shared" si="220"/>
        <v>1558.34</v>
      </c>
      <c r="E7009">
        <v>1710.59</v>
      </c>
      <c r="F7009" s="1789">
        <v>8.8999999999999996E-2</v>
      </c>
      <c r="G7009">
        <f t="shared" si="221"/>
        <v>1558.34</v>
      </c>
    </row>
    <row r="7010" spans="1:7" ht="12.75" customHeight="1">
      <c r="A7010" s="3">
        <v>100669</v>
      </c>
      <c r="B7010" s="4" t="s">
        <v>7034</v>
      </c>
      <c r="C7010" s="3" t="s">
        <v>409</v>
      </c>
      <c r="D7010" s="5">
        <f t="shared" si="220"/>
        <v>937.83</v>
      </c>
      <c r="E7010">
        <v>1029.46</v>
      </c>
      <c r="F7010" s="1789">
        <v>8.8999999999999996E-2</v>
      </c>
      <c r="G7010">
        <f t="shared" si="221"/>
        <v>937.83</v>
      </c>
    </row>
    <row r="7011" spans="1:7" ht="12.75" customHeight="1">
      <c r="A7011" s="3">
        <v>100670</v>
      </c>
      <c r="B7011" s="4" t="s">
        <v>7035</v>
      </c>
      <c r="C7011" s="3" t="s">
        <v>409</v>
      </c>
      <c r="D7011" s="5">
        <f t="shared" si="220"/>
        <v>1266.53</v>
      </c>
      <c r="E7011">
        <v>1390.27</v>
      </c>
      <c r="F7011" s="1789">
        <v>8.8999999999999996E-2</v>
      </c>
      <c r="G7011">
        <f t="shared" si="221"/>
        <v>1266.53</v>
      </c>
    </row>
    <row r="7012" spans="1:7" ht="12.75" customHeight="1">
      <c r="A7012" s="3">
        <v>100671</v>
      </c>
      <c r="B7012" s="4" t="s">
        <v>7036</v>
      </c>
      <c r="C7012" s="3" t="s">
        <v>409</v>
      </c>
      <c r="D7012" s="5">
        <f t="shared" si="220"/>
        <v>1575.26</v>
      </c>
      <c r="E7012">
        <v>1729.16</v>
      </c>
      <c r="F7012" s="1789">
        <v>8.8999999999999996E-2</v>
      </c>
      <c r="G7012">
        <f t="shared" si="221"/>
        <v>1575.26</v>
      </c>
    </row>
    <row r="7013" spans="1:7" ht="12.75" customHeight="1">
      <c r="A7013" s="3">
        <v>100672</v>
      </c>
      <c r="B7013" s="4" t="s">
        <v>7037</v>
      </c>
      <c r="C7013" s="3" t="s">
        <v>409</v>
      </c>
      <c r="D7013" s="5">
        <f t="shared" si="220"/>
        <v>1012.14</v>
      </c>
      <c r="E7013">
        <v>1111.03</v>
      </c>
      <c r="F7013" s="1789">
        <v>8.8999999999999996E-2</v>
      </c>
      <c r="G7013">
        <f t="shared" si="221"/>
        <v>1012.14</v>
      </c>
    </row>
    <row r="7014" spans="1:7" ht="12.75" customHeight="1">
      <c r="A7014" s="3">
        <v>100701</v>
      </c>
      <c r="B7014" s="4" t="s">
        <v>7038</v>
      </c>
      <c r="C7014" s="3" t="s">
        <v>409</v>
      </c>
      <c r="D7014" s="5">
        <f t="shared" si="220"/>
        <v>715.74</v>
      </c>
      <c r="E7014">
        <v>785.67</v>
      </c>
      <c r="F7014" s="1789">
        <v>8.8999999999999996E-2</v>
      </c>
      <c r="G7014">
        <f t="shared" si="221"/>
        <v>715.74</v>
      </c>
    </row>
    <row r="7015" spans="1:7" ht="12.75" customHeight="1">
      <c r="A7015" s="3">
        <v>94559</v>
      </c>
      <c r="B7015" s="4" t="s">
        <v>7039</v>
      </c>
      <c r="C7015" s="3" t="s">
        <v>409</v>
      </c>
      <c r="D7015" s="5">
        <f t="shared" si="220"/>
        <v>605.64</v>
      </c>
      <c r="E7015">
        <v>664.81</v>
      </c>
      <c r="F7015" s="1789">
        <v>8.8999999999999996E-2</v>
      </c>
      <c r="G7015">
        <f t="shared" si="221"/>
        <v>605.64</v>
      </c>
    </row>
    <row r="7016" spans="1:7" ht="12.75" customHeight="1">
      <c r="A7016" s="3">
        <v>94562</v>
      </c>
      <c r="B7016" s="4" t="s">
        <v>7040</v>
      </c>
      <c r="C7016" s="3" t="s">
        <v>409</v>
      </c>
      <c r="D7016" s="5">
        <f t="shared" si="220"/>
        <v>562.74</v>
      </c>
      <c r="E7016">
        <v>617.72</v>
      </c>
      <c r="F7016" s="1789">
        <v>8.8999999999999996E-2</v>
      </c>
      <c r="G7016">
        <f t="shared" si="221"/>
        <v>562.74</v>
      </c>
    </row>
    <row r="7017" spans="1:7" ht="12.75" customHeight="1">
      <c r="A7017" s="3">
        <v>94587</v>
      </c>
      <c r="B7017" s="4" t="s">
        <v>7041</v>
      </c>
      <c r="C7017" s="3" t="s">
        <v>50</v>
      </c>
      <c r="D7017" s="5">
        <f t="shared" si="220"/>
        <v>56.16</v>
      </c>
      <c r="E7017">
        <v>61.65</v>
      </c>
      <c r="F7017" s="1789">
        <v>8.8999999999999996E-2</v>
      </c>
      <c r="G7017">
        <f t="shared" si="221"/>
        <v>56.16</v>
      </c>
    </row>
    <row r="7018" spans="1:7" ht="12.75" customHeight="1">
      <c r="A7018" s="3">
        <v>94588</v>
      </c>
      <c r="B7018" s="4" t="s">
        <v>7042</v>
      </c>
      <c r="C7018" s="3" t="s">
        <v>50</v>
      </c>
      <c r="D7018" s="5">
        <f t="shared" si="220"/>
        <v>49.8</v>
      </c>
      <c r="E7018">
        <v>54.67</v>
      </c>
      <c r="F7018" s="1789">
        <v>8.8999999999999996E-2</v>
      </c>
      <c r="G7018">
        <f t="shared" si="221"/>
        <v>49.8</v>
      </c>
    </row>
    <row r="7019" spans="1:7" ht="12.75" customHeight="1">
      <c r="A7019" s="3">
        <v>99837</v>
      </c>
      <c r="B7019" s="4" t="s">
        <v>7043</v>
      </c>
      <c r="C7019" s="3" t="s">
        <v>50</v>
      </c>
      <c r="D7019" s="5">
        <f t="shared" si="220"/>
        <v>521</v>
      </c>
      <c r="E7019">
        <v>571.9</v>
      </c>
      <c r="F7019" s="1789">
        <v>8.8999999999999996E-2</v>
      </c>
      <c r="G7019">
        <f t="shared" si="221"/>
        <v>521</v>
      </c>
    </row>
    <row r="7020" spans="1:7" ht="12.75" customHeight="1">
      <c r="A7020" s="3">
        <v>99839</v>
      </c>
      <c r="B7020" s="4" t="s">
        <v>7044</v>
      </c>
      <c r="C7020" s="3" t="s">
        <v>50</v>
      </c>
      <c r="D7020" s="5">
        <f t="shared" si="220"/>
        <v>428.31</v>
      </c>
      <c r="E7020">
        <v>470.16</v>
      </c>
      <c r="F7020" s="1789">
        <v>8.8999999999999996E-2</v>
      </c>
      <c r="G7020">
        <f t="shared" si="221"/>
        <v>428.31</v>
      </c>
    </row>
    <row r="7021" spans="1:7" ht="12.75" customHeight="1">
      <c r="A7021" s="3">
        <v>99841</v>
      </c>
      <c r="B7021" s="4" t="s">
        <v>7045</v>
      </c>
      <c r="C7021" s="3" t="s">
        <v>50</v>
      </c>
      <c r="D7021" s="5">
        <f t="shared" si="220"/>
        <v>1125.3399999999999</v>
      </c>
      <c r="E7021">
        <v>1235.28</v>
      </c>
      <c r="F7021" s="1789">
        <v>8.8999999999999996E-2</v>
      </c>
      <c r="G7021">
        <f t="shared" si="221"/>
        <v>1125.3399999999999</v>
      </c>
    </row>
    <row r="7022" spans="1:7" ht="12.75" customHeight="1">
      <c r="A7022" s="3">
        <v>99855</v>
      </c>
      <c r="B7022" s="4" t="s">
        <v>7046</v>
      </c>
      <c r="C7022" s="3" t="s">
        <v>50</v>
      </c>
      <c r="D7022" s="5">
        <f t="shared" si="220"/>
        <v>95.51</v>
      </c>
      <c r="E7022">
        <v>104.85</v>
      </c>
      <c r="F7022" s="1789">
        <v>8.8999999999999996E-2</v>
      </c>
      <c r="G7022">
        <f t="shared" si="221"/>
        <v>95.51</v>
      </c>
    </row>
    <row r="7023" spans="1:7" ht="12.75" customHeight="1">
      <c r="A7023" s="3">
        <v>99857</v>
      </c>
      <c r="B7023" s="4" t="s">
        <v>7047</v>
      </c>
      <c r="C7023" s="3" t="s">
        <v>50</v>
      </c>
      <c r="D7023" s="5">
        <f t="shared" si="220"/>
        <v>78.989999999999995</v>
      </c>
      <c r="E7023">
        <v>86.71</v>
      </c>
      <c r="F7023" s="1789">
        <v>8.8999999999999996E-2</v>
      </c>
      <c r="G7023">
        <f t="shared" si="221"/>
        <v>78.989999999999995</v>
      </c>
    </row>
    <row r="7024" spans="1:7" ht="12.75" customHeight="1">
      <c r="A7024" s="3">
        <v>99861</v>
      </c>
      <c r="B7024" s="4" t="s">
        <v>7048</v>
      </c>
      <c r="C7024" s="3" t="s">
        <v>409</v>
      </c>
      <c r="D7024" s="5">
        <f t="shared" si="220"/>
        <v>526.23</v>
      </c>
      <c r="E7024">
        <v>577.65</v>
      </c>
      <c r="F7024" s="1789">
        <v>8.8999999999999996E-2</v>
      </c>
      <c r="G7024">
        <f t="shared" si="221"/>
        <v>526.23</v>
      </c>
    </row>
    <row r="7025" spans="1:7" ht="12.75" customHeight="1">
      <c r="A7025" s="3">
        <v>99862</v>
      </c>
      <c r="B7025" s="4" t="s">
        <v>7049</v>
      </c>
      <c r="C7025" s="3" t="s">
        <v>409</v>
      </c>
      <c r="D7025" s="5">
        <f t="shared" si="220"/>
        <v>517.29</v>
      </c>
      <c r="E7025">
        <v>567.83000000000004</v>
      </c>
      <c r="F7025" s="1789">
        <v>8.8999999999999996E-2</v>
      </c>
      <c r="G7025">
        <f t="shared" si="221"/>
        <v>517.29</v>
      </c>
    </row>
    <row r="7026" spans="1:7" ht="12.75" customHeight="1">
      <c r="A7026" s="3">
        <v>90838</v>
      </c>
      <c r="B7026" s="4" t="s">
        <v>7050</v>
      </c>
      <c r="C7026" s="3" t="s">
        <v>6</v>
      </c>
      <c r="D7026" s="5">
        <f t="shared" si="220"/>
        <v>1777.32</v>
      </c>
      <c r="E7026">
        <v>1950.96</v>
      </c>
      <c r="F7026" s="1789">
        <v>8.8999999999999996E-2</v>
      </c>
      <c r="G7026">
        <f t="shared" si="221"/>
        <v>1777.32</v>
      </c>
    </row>
    <row r="7027" spans="1:7" ht="12.75" customHeight="1">
      <c r="A7027" s="3">
        <v>91338</v>
      </c>
      <c r="B7027" s="4" t="s">
        <v>7051</v>
      </c>
      <c r="C7027" s="3" t="s">
        <v>409</v>
      </c>
      <c r="D7027" s="5">
        <f t="shared" si="220"/>
        <v>754.14</v>
      </c>
      <c r="E7027">
        <v>827.82</v>
      </c>
      <c r="F7027" s="1789">
        <v>8.8999999999999996E-2</v>
      </c>
      <c r="G7027">
        <f t="shared" si="221"/>
        <v>754.14</v>
      </c>
    </row>
    <row r="7028" spans="1:7" ht="12.75" customHeight="1">
      <c r="A7028" s="3">
        <v>91341</v>
      </c>
      <c r="B7028" s="4" t="s">
        <v>7052</v>
      </c>
      <c r="C7028" s="3" t="s">
        <v>409</v>
      </c>
      <c r="D7028" s="5">
        <f t="shared" si="220"/>
        <v>584.55999999999995</v>
      </c>
      <c r="E7028">
        <v>641.66999999999996</v>
      </c>
      <c r="F7028" s="1789">
        <v>8.8999999999999996E-2</v>
      </c>
      <c r="G7028">
        <f t="shared" si="221"/>
        <v>584.55999999999995</v>
      </c>
    </row>
    <row r="7029" spans="1:7" ht="12.75" customHeight="1">
      <c r="A7029" s="3">
        <v>94805</v>
      </c>
      <c r="B7029" s="4" t="s">
        <v>7053</v>
      </c>
      <c r="C7029" s="3" t="s">
        <v>6</v>
      </c>
      <c r="D7029" s="5">
        <f t="shared" si="220"/>
        <v>765.02</v>
      </c>
      <c r="E7029">
        <v>839.76</v>
      </c>
      <c r="F7029" s="1789">
        <v>8.8999999999999996E-2</v>
      </c>
      <c r="G7029">
        <f t="shared" si="221"/>
        <v>765.02</v>
      </c>
    </row>
    <row r="7030" spans="1:7" ht="12.75" customHeight="1">
      <c r="A7030" s="3">
        <v>94806</v>
      </c>
      <c r="B7030" s="4" t="s">
        <v>7054</v>
      </c>
      <c r="C7030" s="3" t="s">
        <v>6</v>
      </c>
      <c r="D7030" s="5">
        <f t="shared" si="220"/>
        <v>828.23</v>
      </c>
      <c r="E7030">
        <v>909.15</v>
      </c>
      <c r="F7030" s="1789">
        <v>8.8999999999999996E-2</v>
      </c>
      <c r="G7030">
        <f t="shared" si="221"/>
        <v>828.23</v>
      </c>
    </row>
    <row r="7031" spans="1:7" ht="12.75" customHeight="1">
      <c r="A7031" s="3">
        <v>94807</v>
      </c>
      <c r="B7031" s="4" t="s">
        <v>7055</v>
      </c>
      <c r="C7031" s="3" t="s">
        <v>6</v>
      </c>
      <c r="D7031" s="5">
        <f t="shared" si="220"/>
        <v>752.95</v>
      </c>
      <c r="E7031">
        <v>826.51</v>
      </c>
      <c r="F7031" s="1789">
        <v>8.8999999999999996E-2</v>
      </c>
      <c r="G7031">
        <f t="shared" si="221"/>
        <v>752.95</v>
      </c>
    </row>
    <row r="7032" spans="1:7" ht="12.75" customHeight="1">
      <c r="A7032" s="3">
        <v>100702</v>
      </c>
      <c r="B7032" s="4" t="s">
        <v>7056</v>
      </c>
      <c r="C7032" s="3" t="s">
        <v>409</v>
      </c>
      <c r="D7032" s="5">
        <f t="shared" si="220"/>
        <v>419.14</v>
      </c>
      <c r="E7032">
        <v>460.09</v>
      </c>
      <c r="F7032" s="1789">
        <v>8.8999999999999996E-2</v>
      </c>
      <c r="G7032">
        <f t="shared" si="221"/>
        <v>419.14</v>
      </c>
    </row>
    <row r="7033" spans="1:7" ht="12.75" customHeight="1">
      <c r="A7033" s="3">
        <v>102188</v>
      </c>
      <c r="B7033" s="4" t="s">
        <v>7057</v>
      </c>
      <c r="C7033" s="3" t="s">
        <v>6</v>
      </c>
      <c r="D7033" s="5">
        <f t="shared" si="220"/>
        <v>781.69</v>
      </c>
      <c r="E7033">
        <v>858.06</v>
      </c>
      <c r="F7033" s="1789">
        <v>8.8999999999999996E-2</v>
      </c>
      <c r="G7033">
        <f t="shared" si="221"/>
        <v>781.69</v>
      </c>
    </row>
    <row r="7034" spans="1:7" ht="12.75" customHeight="1">
      <c r="A7034" s="3">
        <v>102189</v>
      </c>
      <c r="B7034" s="4" t="s">
        <v>7058</v>
      </c>
      <c r="C7034" s="3" t="s">
        <v>6</v>
      </c>
      <c r="D7034" s="5">
        <f t="shared" si="220"/>
        <v>210.14</v>
      </c>
      <c r="E7034">
        <v>230.67</v>
      </c>
      <c r="F7034" s="1789">
        <v>8.8999999999999996E-2</v>
      </c>
      <c r="G7034">
        <f t="shared" si="221"/>
        <v>210.14</v>
      </c>
    </row>
    <row r="7035" spans="1:7" ht="12.75" customHeight="1">
      <c r="A7035" s="3">
        <v>100703</v>
      </c>
      <c r="B7035" s="4" t="s">
        <v>7059</v>
      </c>
      <c r="C7035" s="3" t="s">
        <v>6</v>
      </c>
      <c r="D7035" s="5">
        <f t="shared" si="220"/>
        <v>32.25</v>
      </c>
      <c r="E7035">
        <v>35.409999999999997</v>
      </c>
      <c r="F7035" s="1789">
        <v>8.8999999999999996E-2</v>
      </c>
      <c r="G7035">
        <f t="shared" si="221"/>
        <v>32.25</v>
      </c>
    </row>
    <row r="7036" spans="1:7" ht="12.75" customHeight="1">
      <c r="A7036" s="3">
        <v>100704</v>
      </c>
      <c r="B7036" s="4" t="s">
        <v>7060</v>
      </c>
      <c r="C7036" s="3" t="s">
        <v>6</v>
      </c>
      <c r="D7036" s="5">
        <f t="shared" si="220"/>
        <v>69.7</v>
      </c>
      <c r="E7036">
        <v>76.510000000000005</v>
      </c>
      <c r="F7036" s="1789">
        <v>8.8999999999999996E-2</v>
      </c>
      <c r="G7036">
        <f t="shared" si="221"/>
        <v>69.7</v>
      </c>
    </row>
    <row r="7037" spans="1:7" ht="12.75" customHeight="1">
      <c r="A7037" s="3">
        <v>100705</v>
      </c>
      <c r="B7037" s="4" t="s">
        <v>7061</v>
      </c>
      <c r="C7037" s="3" t="s">
        <v>6</v>
      </c>
      <c r="D7037" s="5">
        <f t="shared" si="220"/>
        <v>77.97</v>
      </c>
      <c r="E7037">
        <v>85.59</v>
      </c>
      <c r="F7037" s="1789">
        <v>8.8999999999999996E-2</v>
      </c>
      <c r="G7037">
        <f t="shared" si="221"/>
        <v>77.97</v>
      </c>
    </row>
    <row r="7038" spans="1:7" ht="12.75" customHeight="1">
      <c r="A7038" s="3">
        <v>100706</v>
      </c>
      <c r="B7038" s="4" t="s">
        <v>7062</v>
      </c>
      <c r="C7038" s="3" t="s">
        <v>6</v>
      </c>
      <c r="D7038" s="5">
        <f t="shared" si="220"/>
        <v>66.73</v>
      </c>
      <c r="E7038">
        <v>73.25</v>
      </c>
      <c r="F7038" s="1789">
        <v>8.8999999999999996E-2</v>
      </c>
      <c r="G7038">
        <f t="shared" si="221"/>
        <v>66.73</v>
      </c>
    </row>
    <row r="7039" spans="1:7" ht="12.75" customHeight="1">
      <c r="A7039" s="3">
        <v>100707</v>
      </c>
      <c r="B7039" s="4" t="s">
        <v>7063</v>
      </c>
      <c r="C7039" s="3" t="s">
        <v>6</v>
      </c>
      <c r="D7039" s="5">
        <f t="shared" si="220"/>
        <v>147.41999999999999</v>
      </c>
      <c r="E7039">
        <v>161.83000000000001</v>
      </c>
      <c r="F7039" s="1789">
        <v>8.8999999999999996E-2</v>
      </c>
      <c r="G7039">
        <f t="shared" si="221"/>
        <v>147.41999999999999</v>
      </c>
    </row>
    <row r="7040" spans="1:7" ht="12.75" customHeight="1">
      <c r="A7040" s="3">
        <v>100708</v>
      </c>
      <c r="B7040" s="4" t="s">
        <v>7064</v>
      </c>
      <c r="C7040" s="3" t="s">
        <v>6</v>
      </c>
      <c r="D7040" s="5">
        <f t="shared" si="220"/>
        <v>185.81</v>
      </c>
      <c r="E7040">
        <v>203.97</v>
      </c>
      <c r="F7040" s="1789">
        <v>8.8999999999999996E-2</v>
      </c>
      <c r="G7040">
        <f t="shared" si="221"/>
        <v>185.81</v>
      </c>
    </row>
    <row r="7041" spans="1:7" ht="12.75" customHeight="1">
      <c r="A7041" s="3">
        <v>100709</v>
      </c>
      <c r="B7041" s="4" t="s">
        <v>7065</v>
      </c>
      <c r="C7041" s="3" t="s">
        <v>6</v>
      </c>
      <c r="D7041" s="5">
        <f t="shared" si="220"/>
        <v>39.47</v>
      </c>
      <c r="E7041">
        <v>43.33</v>
      </c>
      <c r="F7041" s="1789">
        <v>8.8999999999999996E-2</v>
      </c>
      <c r="G7041">
        <f t="shared" si="221"/>
        <v>39.47</v>
      </c>
    </row>
    <row r="7042" spans="1:7" ht="12.75" customHeight="1">
      <c r="A7042" s="3">
        <v>100710</v>
      </c>
      <c r="B7042" s="4" t="s">
        <v>7066</v>
      </c>
      <c r="C7042" s="3" t="s">
        <v>6</v>
      </c>
      <c r="D7042" s="5">
        <f t="shared" si="220"/>
        <v>95.69</v>
      </c>
      <c r="E7042">
        <v>105.04</v>
      </c>
      <c r="F7042" s="1789">
        <v>8.8999999999999996E-2</v>
      </c>
      <c r="G7042">
        <f t="shared" si="221"/>
        <v>95.69</v>
      </c>
    </row>
    <row r="7043" spans="1:7" ht="12.75" customHeight="1">
      <c r="A7043" s="3">
        <v>102151</v>
      </c>
      <c r="B7043" s="4" t="s">
        <v>7067</v>
      </c>
      <c r="C7043" s="3" t="s">
        <v>409</v>
      </c>
      <c r="D7043" s="5">
        <f t="shared" si="220"/>
        <v>181.81</v>
      </c>
      <c r="E7043">
        <v>199.58</v>
      </c>
      <c r="F7043" s="1789">
        <v>8.8999999999999996E-2</v>
      </c>
      <c r="G7043">
        <f t="shared" si="221"/>
        <v>181.81</v>
      </c>
    </row>
    <row r="7044" spans="1:7" ht="12.75" customHeight="1">
      <c r="A7044" s="3">
        <v>102152</v>
      </c>
      <c r="B7044" s="4" t="s">
        <v>7068</v>
      </c>
      <c r="C7044" s="3" t="s">
        <v>409</v>
      </c>
      <c r="D7044" s="5">
        <f t="shared" si="220"/>
        <v>202.31</v>
      </c>
      <c r="E7044">
        <v>222.08</v>
      </c>
      <c r="F7044" s="1789">
        <v>8.8999999999999996E-2</v>
      </c>
      <c r="G7044">
        <f t="shared" si="221"/>
        <v>202.31</v>
      </c>
    </row>
    <row r="7045" spans="1:7" ht="12.75" customHeight="1">
      <c r="A7045" s="3">
        <v>102153</v>
      </c>
      <c r="B7045" s="4" t="s">
        <v>7069</v>
      </c>
      <c r="C7045" s="3" t="s">
        <v>409</v>
      </c>
      <c r="D7045" s="5">
        <f t="shared" si="220"/>
        <v>256.95999999999998</v>
      </c>
      <c r="E7045">
        <v>282.07</v>
      </c>
      <c r="F7045" s="1789">
        <v>8.8999999999999996E-2</v>
      </c>
      <c r="G7045">
        <f t="shared" si="221"/>
        <v>256.95999999999998</v>
      </c>
    </row>
    <row r="7046" spans="1:7" ht="12.75" customHeight="1">
      <c r="A7046" s="3">
        <v>102154</v>
      </c>
      <c r="B7046" s="4" t="s">
        <v>7070</v>
      </c>
      <c r="C7046" s="3" t="s">
        <v>409</v>
      </c>
      <c r="D7046" s="5">
        <f t="shared" si="220"/>
        <v>222.16</v>
      </c>
      <c r="E7046">
        <v>243.87</v>
      </c>
      <c r="F7046" s="1789">
        <v>8.8999999999999996E-2</v>
      </c>
      <c r="G7046">
        <f t="shared" si="221"/>
        <v>222.16</v>
      </c>
    </row>
    <row r="7047" spans="1:7" ht="12.75" customHeight="1">
      <c r="A7047" s="3">
        <v>102155</v>
      </c>
      <c r="B7047" s="4" t="s">
        <v>7071</v>
      </c>
      <c r="C7047" s="3" t="s">
        <v>409</v>
      </c>
      <c r="D7047" s="5">
        <f t="shared" si="220"/>
        <v>266.86</v>
      </c>
      <c r="E7047">
        <v>292.94</v>
      </c>
      <c r="F7047" s="1789">
        <v>8.8999999999999996E-2</v>
      </c>
      <c r="G7047">
        <f t="shared" si="221"/>
        <v>266.86</v>
      </c>
    </row>
    <row r="7048" spans="1:7" ht="12.75" customHeight="1">
      <c r="A7048" s="3">
        <v>102156</v>
      </c>
      <c r="B7048" s="4" t="s">
        <v>7072</v>
      </c>
      <c r="C7048" s="3" t="s">
        <v>409</v>
      </c>
      <c r="D7048" s="5">
        <f t="shared" si="220"/>
        <v>255.97</v>
      </c>
      <c r="E7048">
        <v>280.98</v>
      </c>
      <c r="F7048" s="1789">
        <v>8.8999999999999996E-2</v>
      </c>
      <c r="G7048">
        <f t="shared" si="221"/>
        <v>255.97</v>
      </c>
    </row>
    <row r="7049" spans="1:7" ht="12.75" customHeight="1">
      <c r="A7049" s="3">
        <v>102157</v>
      </c>
      <c r="B7049" s="4" t="s">
        <v>7073</v>
      </c>
      <c r="C7049" s="3" t="s">
        <v>409</v>
      </c>
      <c r="D7049" s="5">
        <f t="shared" si="220"/>
        <v>351.62</v>
      </c>
      <c r="E7049">
        <v>385.98</v>
      </c>
      <c r="F7049" s="1789">
        <v>8.8999999999999996E-2</v>
      </c>
      <c r="G7049">
        <f t="shared" si="221"/>
        <v>351.62</v>
      </c>
    </row>
    <row r="7050" spans="1:7" ht="12.75" customHeight="1">
      <c r="A7050" s="3">
        <v>102158</v>
      </c>
      <c r="B7050" s="4" t="s">
        <v>7074</v>
      </c>
      <c r="C7050" s="3" t="s">
        <v>409</v>
      </c>
      <c r="D7050" s="5">
        <f t="shared" si="220"/>
        <v>356.47</v>
      </c>
      <c r="E7050">
        <v>391.3</v>
      </c>
      <c r="F7050" s="1789">
        <v>8.8999999999999996E-2</v>
      </c>
      <c r="G7050">
        <f t="shared" si="221"/>
        <v>356.47</v>
      </c>
    </row>
    <row r="7051" spans="1:7" ht="12.75" customHeight="1">
      <c r="A7051" s="3">
        <v>102159</v>
      </c>
      <c r="B7051" s="4" t="s">
        <v>7075</v>
      </c>
      <c r="C7051" s="3" t="s">
        <v>409</v>
      </c>
      <c r="D7051" s="5">
        <f t="shared" si="220"/>
        <v>425.34</v>
      </c>
      <c r="E7051">
        <v>466.9</v>
      </c>
      <c r="F7051" s="1789">
        <v>8.8999999999999996E-2</v>
      </c>
      <c r="G7051">
        <f t="shared" si="221"/>
        <v>425.34</v>
      </c>
    </row>
    <row r="7052" spans="1:7" ht="12.75" customHeight="1">
      <c r="A7052" s="3">
        <v>102160</v>
      </c>
      <c r="B7052" s="4" t="s">
        <v>7076</v>
      </c>
      <c r="C7052" s="3" t="s">
        <v>409</v>
      </c>
      <c r="D7052" s="5">
        <f t="shared" si="220"/>
        <v>174.97</v>
      </c>
      <c r="E7052">
        <v>192.07</v>
      </c>
      <c r="F7052" s="1789">
        <v>8.8999999999999996E-2</v>
      </c>
      <c r="G7052">
        <f t="shared" si="221"/>
        <v>174.97</v>
      </c>
    </row>
    <row r="7053" spans="1:7" ht="12.75" customHeight="1">
      <c r="A7053" s="3">
        <v>102161</v>
      </c>
      <c r="B7053" s="4" t="s">
        <v>7077</v>
      </c>
      <c r="C7053" s="3" t="s">
        <v>409</v>
      </c>
      <c r="D7053" s="5">
        <f t="shared" si="220"/>
        <v>279.37</v>
      </c>
      <c r="E7053">
        <v>306.67</v>
      </c>
      <c r="F7053" s="1789">
        <v>8.8999999999999996E-2</v>
      </c>
      <c r="G7053">
        <f t="shared" si="221"/>
        <v>279.37</v>
      </c>
    </row>
    <row r="7054" spans="1:7" ht="12.75" customHeight="1">
      <c r="A7054" s="3">
        <v>102162</v>
      </c>
      <c r="B7054" s="4" t="s">
        <v>7078</v>
      </c>
      <c r="C7054" s="3" t="s">
        <v>409</v>
      </c>
      <c r="D7054" s="5">
        <f t="shared" si="220"/>
        <v>299.87</v>
      </c>
      <c r="E7054">
        <v>329.17</v>
      </c>
      <c r="F7054" s="1789">
        <v>8.8999999999999996E-2</v>
      </c>
      <c r="G7054">
        <f t="shared" si="221"/>
        <v>299.87</v>
      </c>
    </row>
    <row r="7055" spans="1:7" ht="12.75" customHeight="1">
      <c r="A7055" s="3">
        <v>102163</v>
      </c>
      <c r="B7055" s="4" t="s">
        <v>7079</v>
      </c>
      <c r="C7055" s="3" t="s">
        <v>409</v>
      </c>
      <c r="D7055" s="5">
        <f t="shared" si="220"/>
        <v>354.52</v>
      </c>
      <c r="E7055">
        <v>389.16</v>
      </c>
      <c r="F7055" s="1789">
        <v>8.8999999999999996E-2</v>
      </c>
      <c r="G7055">
        <f t="shared" si="221"/>
        <v>354.52</v>
      </c>
    </row>
    <row r="7056" spans="1:7" ht="12.75" customHeight="1">
      <c r="A7056" s="3">
        <v>102164</v>
      </c>
      <c r="B7056" s="4" t="s">
        <v>7080</v>
      </c>
      <c r="C7056" s="3" t="s">
        <v>409</v>
      </c>
      <c r="D7056" s="5">
        <f t="shared" si="220"/>
        <v>301.77</v>
      </c>
      <c r="E7056">
        <v>331.26</v>
      </c>
      <c r="F7056" s="1789">
        <v>8.8999999999999996E-2</v>
      </c>
      <c r="G7056">
        <f t="shared" si="221"/>
        <v>301.77</v>
      </c>
    </row>
    <row r="7057" spans="1:7" ht="12.75" customHeight="1">
      <c r="A7057" s="3">
        <v>102165</v>
      </c>
      <c r="B7057" s="4" t="s">
        <v>7081</v>
      </c>
      <c r="C7057" s="3" t="s">
        <v>409</v>
      </c>
      <c r="D7057" s="5">
        <f t="shared" si="220"/>
        <v>346.48</v>
      </c>
      <c r="E7057">
        <v>380.33</v>
      </c>
      <c r="F7057" s="1789">
        <v>8.8999999999999996E-2</v>
      </c>
      <c r="G7057">
        <f t="shared" si="221"/>
        <v>346.48</v>
      </c>
    </row>
    <row r="7058" spans="1:7" ht="12.75" customHeight="1">
      <c r="A7058" s="3">
        <v>102166</v>
      </c>
      <c r="B7058" s="4" t="s">
        <v>7082</v>
      </c>
      <c r="C7058" s="3" t="s">
        <v>409</v>
      </c>
      <c r="D7058" s="5">
        <f t="shared" si="220"/>
        <v>317.62</v>
      </c>
      <c r="E7058">
        <v>348.65</v>
      </c>
      <c r="F7058" s="1789">
        <v>8.8999999999999996E-2</v>
      </c>
      <c r="G7058">
        <f t="shared" si="221"/>
        <v>317.62</v>
      </c>
    </row>
    <row r="7059" spans="1:7" ht="12.75" customHeight="1">
      <c r="A7059" s="3">
        <v>102167</v>
      </c>
      <c r="B7059" s="4" t="s">
        <v>7083</v>
      </c>
      <c r="C7059" s="3" t="s">
        <v>409</v>
      </c>
      <c r="D7059" s="5">
        <f t="shared" si="220"/>
        <v>413.27</v>
      </c>
      <c r="E7059">
        <v>453.65</v>
      </c>
      <c r="F7059" s="1789">
        <v>8.8999999999999996E-2</v>
      </c>
      <c r="G7059">
        <f t="shared" si="221"/>
        <v>413.27</v>
      </c>
    </row>
    <row r="7060" spans="1:7" ht="12.75" customHeight="1">
      <c r="A7060" s="3">
        <v>102168</v>
      </c>
      <c r="B7060" s="4" t="s">
        <v>7084</v>
      </c>
      <c r="C7060" s="3" t="s">
        <v>409</v>
      </c>
      <c r="D7060" s="5">
        <f t="shared" si="220"/>
        <v>402.16</v>
      </c>
      <c r="E7060">
        <v>441.45</v>
      </c>
      <c r="F7060" s="1789">
        <v>8.8999999999999996E-2</v>
      </c>
      <c r="G7060">
        <f t="shared" si="221"/>
        <v>402.16</v>
      </c>
    </row>
    <row r="7061" spans="1:7" ht="12.75" customHeight="1">
      <c r="A7061" s="3">
        <v>102169</v>
      </c>
      <c r="B7061" s="4" t="s">
        <v>7085</v>
      </c>
      <c r="C7061" s="3" t="s">
        <v>409</v>
      </c>
      <c r="D7061" s="5">
        <f t="shared" ref="D7061:D7124" si="222">G7061</f>
        <v>465.11</v>
      </c>
      <c r="E7061">
        <v>510.55</v>
      </c>
      <c r="F7061" s="1789">
        <v>8.8999999999999996E-2</v>
      </c>
      <c r="G7061">
        <f t="shared" ref="G7061:G7124" si="223">TRUNC((1-F7061)*E7061,2)</f>
        <v>465.11</v>
      </c>
    </row>
    <row r="7062" spans="1:7" ht="12.75" customHeight="1">
      <c r="A7062" s="3">
        <v>102170</v>
      </c>
      <c r="B7062" s="4" t="s">
        <v>7086</v>
      </c>
      <c r="C7062" s="3" t="s">
        <v>409</v>
      </c>
      <c r="D7062" s="5">
        <f t="shared" si="222"/>
        <v>272.52999999999997</v>
      </c>
      <c r="E7062">
        <v>299.16000000000003</v>
      </c>
      <c r="F7062" s="1789">
        <v>8.8999999999999996E-2</v>
      </c>
      <c r="G7062">
        <f t="shared" si="223"/>
        <v>272.52999999999997</v>
      </c>
    </row>
    <row r="7063" spans="1:7" ht="12.75" customHeight="1">
      <c r="A7063" s="3">
        <v>102171</v>
      </c>
      <c r="B7063" s="4" t="s">
        <v>7087</v>
      </c>
      <c r="C7063" s="3" t="s">
        <v>409</v>
      </c>
      <c r="D7063" s="5">
        <f t="shared" si="222"/>
        <v>520.41</v>
      </c>
      <c r="E7063">
        <v>571.26</v>
      </c>
      <c r="F7063" s="1789">
        <v>8.8999999999999996E-2</v>
      </c>
      <c r="G7063">
        <f t="shared" si="223"/>
        <v>520.41</v>
      </c>
    </row>
    <row r="7064" spans="1:7" ht="12.75" customHeight="1">
      <c r="A7064" s="3">
        <v>102172</v>
      </c>
      <c r="B7064" s="4" t="s">
        <v>7088</v>
      </c>
      <c r="C7064" s="3" t="s">
        <v>409</v>
      </c>
      <c r="D7064" s="5">
        <f t="shared" si="222"/>
        <v>508.92</v>
      </c>
      <c r="E7064">
        <v>558.64</v>
      </c>
      <c r="F7064" s="1789">
        <v>8.8999999999999996E-2</v>
      </c>
      <c r="G7064">
        <f t="shared" si="223"/>
        <v>508.92</v>
      </c>
    </row>
    <row r="7065" spans="1:7" ht="12.75" customHeight="1">
      <c r="A7065" s="3">
        <v>102176</v>
      </c>
      <c r="B7065" s="4" t="s">
        <v>7089</v>
      </c>
      <c r="C7065" s="3" t="s">
        <v>409</v>
      </c>
      <c r="D7065" s="5">
        <f t="shared" si="222"/>
        <v>935.86</v>
      </c>
      <c r="E7065">
        <v>1027.29</v>
      </c>
      <c r="F7065" s="1789">
        <v>8.8999999999999996E-2</v>
      </c>
      <c r="G7065">
        <f t="shared" si="223"/>
        <v>935.86</v>
      </c>
    </row>
    <row r="7066" spans="1:7" ht="12.75" customHeight="1">
      <c r="A7066" s="3">
        <v>102177</v>
      </c>
      <c r="B7066" s="4" t="s">
        <v>7090</v>
      </c>
      <c r="C7066" s="3" t="s">
        <v>409</v>
      </c>
      <c r="D7066" s="5">
        <f t="shared" si="222"/>
        <v>1910.24</v>
      </c>
      <c r="E7066">
        <v>2096.87</v>
      </c>
      <c r="F7066" s="1789">
        <v>8.8999999999999996E-2</v>
      </c>
      <c r="G7066">
        <f t="shared" si="223"/>
        <v>1910.24</v>
      </c>
    </row>
    <row r="7067" spans="1:7" ht="12.75" customHeight="1">
      <c r="A7067" s="3">
        <v>102178</v>
      </c>
      <c r="B7067" s="4" t="s">
        <v>7091</v>
      </c>
      <c r="C7067" s="3" t="s">
        <v>409</v>
      </c>
      <c r="D7067" s="5">
        <f t="shared" si="222"/>
        <v>2197.79</v>
      </c>
      <c r="E7067">
        <v>2412.5100000000002</v>
      </c>
      <c r="F7067" s="1789">
        <v>8.8999999999999996E-2</v>
      </c>
      <c r="G7067">
        <f t="shared" si="223"/>
        <v>2197.79</v>
      </c>
    </row>
    <row r="7068" spans="1:7" ht="12.75" customHeight="1">
      <c r="A7068" s="3">
        <v>102179</v>
      </c>
      <c r="B7068" s="4" t="s">
        <v>7092</v>
      </c>
      <c r="C7068" s="3" t="s">
        <v>409</v>
      </c>
      <c r="D7068" s="5">
        <f t="shared" si="222"/>
        <v>340.2</v>
      </c>
      <c r="E7068">
        <v>373.44</v>
      </c>
      <c r="F7068" s="1789">
        <v>8.8999999999999996E-2</v>
      </c>
      <c r="G7068">
        <f t="shared" si="223"/>
        <v>340.2</v>
      </c>
    </row>
    <row r="7069" spans="1:7" ht="12.75" customHeight="1">
      <c r="A7069" s="3">
        <v>102180</v>
      </c>
      <c r="B7069" s="4" t="s">
        <v>7093</v>
      </c>
      <c r="C7069" s="3" t="s">
        <v>409</v>
      </c>
      <c r="D7069" s="5">
        <f t="shared" si="222"/>
        <v>398.47</v>
      </c>
      <c r="E7069">
        <v>437.4</v>
      </c>
      <c r="F7069" s="1789">
        <v>8.8999999999999996E-2</v>
      </c>
      <c r="G7069">
        <f t="shared" si="223"/>
        <v>398.47</v>
      </c>
    </row>
    <row r="7070" spans="1:7" ht="12.75" customHeight="1">
      <c r="A7070" s="3">
        <v>102181</v>
      </c>
      <c r="B7070" s="4" t="s">
        <v>7094</v>
      </c>
      <c r="C7070" s="3" t="s">
        <v>409</v>
      </c>
      <c r="D7070" s="5">
        <f t="shared" si="222"/>
        <v>476.7</v>
      </c>
      <c r="E7070">
        <v>523.28</v>
      </c>
      <c r="F7070" s="1789">
        <v>8.8999999999999996E-2</v>
      </c>
      <c r="G7070">
        <f t="shared" si="223"/>
        <v>476.7</v>
      </c>
    </row>
    <row r="7071" spans="1:7" ht="12.75" customHeight="1">
      <c r="A7071" s="3">
        <v>102182</v>
      </c>
      <c r="B7071" s="4" t="s">
        <v>7095</v>
      </c>
      <c r="C7071" s="3" t="s">
        <v>6</v>
      </c>
      <c r="D7071" s="5">
        <f t="shared" si="222"/>
        <v>981.04</v>
      </c>
      <c r="E7071">
        <v>1076.8900000000001</v>
      </c>
      <c r="F7071" s="1789">
        <v>8.8999999999999996E-2</v>
      </c>
      <c r="G7071">
        <f t="shared" si="223"/>
        <v>981.04</v>
      </c>
    </row>
    <row r="7072" spans="1:7" ht="12.75" customHeight="1">
      <c r="A7072" s="3">
        <v>102183</v>
      </c>
      <c r="B7072" s="4" t="s">
        <v>7096</v>
      </c>
      <c r="C7072" s="3" t="s">
        <v>6</v>
      </c>
      <c r="D7072" s="5">
        <f t="shared" si="222"/>
        <v>1972.17</v>
      </c>
      <c r="E7072">
        <v>2164.85</v>
      </c>
      <c r="F7072" s="1789">
        <v>8.8999999999999996E-2</v>
      </c>
      <c r="G7072">
        <f t="shared" si="223"/>
        <v>1972.17</v>
      </c>
    </row>
    <row r="7073" spans="1:7" ht="12.75" customHeight="1">
      <c r="A7073" s="3">
        <v>102184</v>
      </c>
      <c r="B7073" s="4" t="s">
        <v>7097</v>
      </c>
      <c r="C7073" s="3" t="s">
        <v>6</v>
      </c>
      <c r="D7073" s="5">
        <f t="shared" si="222"/>
        <v>1743.99</v>
      </c>
      <c r="E7073">
        <v>1914.37</v>
      </c>
      <c r="F7073" s="1789">
        <v>8.8999999999999996E-2</v>
      </c>
      <c r="G7073">
        <f t="shared" si="223"/>
        <v>1743.99</v>
      </c>
    </row>
    <row r="7074" spans="1:7" ht="12.75" customHeight="1">
      <c r="A7074" s="3">
        <v>102185</v>
      </c>
      <c r="B7074" s="4" t="s">
        <v>7098</v>
      </c>
      <c r="C7074" s="3" t="s">
        <v>6</v>
      </c>
      <c r="D7074" s="5">
        <f t="shared" si="222"/>
        <v>3497.78</v>
      </c>
      <c r="E7074">
        <v>3839.5</v>
      </c>
      <c r="F7074" s="1789">
        <v>8.8999999999999996E-2</v>
      </c>
      <c r="G7074">
        <f t="shared" si="223"/>
        <v>3497.78</v>
      </c>
    </row>
    <row r="7075" spans="1:7" ht="12.75" customHeight="1">
      <c r="A7075" s="3">
        <v>102190</v>
      </c>
      <c r="B7075" s="4" t="s">
        <v>7099</v>
      </c>
      <c r="C7075" s="3" t="s">
        <v>409</v>
      </c>
      <c r="D7075" s="5">
        <f t="shared" si="222"/>
        <v>15.49</v>
      </c>
      <c r="E7075">
        <v>17.010000000000002</v>
      </c>
      <c r="F7075" s="1789">
        <v>8.8999999999999996E-2</v>
      </c>
      <c r="G7075">
        <f t="shared" si="223"/>
        <v>15.49</v>
      </c>
    </row>
    <row r="7076" spans="1:7" ht="12.75" customHeight="1">
      <c r="A7076" s="3">
        <v>102191</v>
      </c>
      <c r="B7076" s="4" t="s">
        <v>7100</v>
      </c>
      <c r="C7076" s="3" t="s">
        <v>409</v>
      </c>
      <c r="D7076" s="5">
        <f t="shared" si="222"/>
        <v>18.829999999999998</v>
      </c>
      <c r="E7076">
        <v>20.68</v>
      </c>
      <c r="F7076" s="1789">
        <v>8.8999999999999996E-2</v>
      </c>
      <c r="G7076">
        <f t="shared" si="223"/>
        <v>18.829999999999998</v>
      </c>
    </row>
    <row r="7077" spans="1:7" ht="12.75" customHeight="1">
      <c r="A7077" s="3">
        <v>102192</v>
      </c>
      <c r="B7077" s="4" t="s">
        <v>7101</v>
      </c>
      <c r="C7077" s="3" t="s">
        <v>409</v>
      </c>
      <c r="D7077" s="5">
        <f t="shared" si="222"/>
        <v>13.43</v>
      </c>
      <c r="E7077">
        <v>14.75</v>
      </c>
      <c r="F7077" s="1789">
        <v>8.8999999999999996E-2</v>
      </c>
      <c r="G7077">
        <f t="shared" si="223"/>
        <v>13.43</v>
      </c>
    </row>
    <row r="7078" spans="1:7" ht="12.75" customHeight="1">
      <c r="A7078" s="3">
        <v>94569</v>
      </c>
      <c r="B7078" s="4" t="s">
        <v>7102</v>
      </c>
      <c r="C7078" s="3" t="s">
        <v>409</v>
      </c>
      <c r="D7078" s="5">
        <f t="shared" si="222"/>
        <v>563.04999999999995</v>
      </c>
      <c r="E7078">
        <v>618.05999999999995</v>
      </c>
      <c r="F7078" s="1789">
        <v>8.8999999999999996E-2</v>
      </c>
      <c r="G7078">
        <f t="shared" si="223"/>
        <v>563.04999999999995</v>
      </c>
    </row>
    <row r="7079" spans="1:7" ht="12.75" customHeight="1">
      <c r="A7079" s="3">
        <v>94570</v>
      </c>
      <c r="B7079" s="4" t="s">
        <v>7103</v>
      </c>
      <c r="C7079" s="3" t="s">
        <v>409</v>
      </c>
      <c r="D7079" s="5">
        <f t="shared" si="222"/>
        <v>290.58999999999997</v>
      </c>
      <c r="E7079">
        <v>318.98</v>
      </c>
      <c r="F7079" s="1789">
        <v>8.8999999999999996E-2</v>
      </c>
      <c r="G7079">
        <f t="shared" si="223"/>
        <v>290.58999999999997</v>
      </c>
    </row>
    <row r="7080" spans="1:7" ht="12.75" customHeight="1">
      <c r="A7080" s="3">
        <v>94572</v>
      </c>
      <c r="B7080" s="4" t="s">
        <v>7104</v>
      </c>
      <c r="C7080" s="3" t="s">
        <v>409</v>
      </c>
      <c r="D7080" s="5">
        <f t="shared" si="222"/>
        <v>412.84</v>
      </c>
      <c r="E7080">
        <v>453.18</v>
      </c>
      <c r="F7080" s="1789">
        <v>8.8999999999999996E-2</v>
      </c>
      <c r="G7080">
        <f t="shared" si="223"/>
        <v>412.84</v>
      </c>
    </row>
    <row r="7081" spans="1:7" ht="12.75" customHeight="1">
      <c r="A7081" s="3">
        <v>94573</v>
      </c>
      <c r="B7081" s="4" t="s">
        <v>7105</v>
      </c>
      <c r="C7081" s="3" t="s">
        <v>409</v>
      </c>
      <c r="D7081" s="5">
        <f t="shared" si="222"/>
        <v>336.86</v>
      </c>
      <c r="E7081">
        <v>369.77</v>
      </c>
      <c r="F7081" s="1789">
        <v>8.8999999999999996E-2</v>
      </c>
      <c r="G7081">
        <f t="shared" si="223"/>
        <v>336.86</v>
      </c>
    </row>
    <row r="7082" spans="1:7" ht="12.75" customHeight="1">
      <c r="A7082" s="3">
        <v>94580</v>
      </c>
      <c r="B7082" s="4" t="s">
        <v>7106</v>
      </c>
      <c r="C7082" s="3" t="s">
        <v>409</v>
      </c>
      <c r="D7082" s="5">
        <f t="shared" si="222"/>
        <v>460.64</v>
      </c>
      <c r="E7082">
        <v>505.65</v>
      </c>
      <c r="F7082" s="1789">
        <v>8.8999999999999996E-2</v>
      </c>
      <c r="G7082">
        <f t="shared" si="223"/>
        <v>460.64</v>
      </c>
    </row>
    <row r="7083" spans="1:7" ht="12.75" customHeight="1">
      <c r="A7083" s="3">
        <v>94589</v>
      </c>
      <c r="B7083" s="4" t="s">
        <v>7107</v>
      </c>
      <c r="C7083" s="3" t="s">
        <v>50</v>
      </c>
      <c r="D7083" s="5">
        <f t="shared" si="222"/>
        <v>18.55</v>
      </c>
      <c r="E7083">
        <v>20.37</v>
      </c>
      <c r="F7083" s="1789">
        <v>8.8999999999999996E-2</v>
      </c>
      <c r="G7083">
        <f t="shared" si="223"/>
        <v>18.55</v>
      </c>
    </row>
    <row r="7084" spans="1:7" ht="12.75" customHeight="1">
      <c r="A7084" s="3">
        <v>94590</v>
      </c>
      <c r="B7084" s="4" t="s">
        <v>7108</v>
      </c>
      <c r="C7084" s="3" t="s">
        <v>50</v>
      </c>
      <c r="D7084" s="5">
        <f t="shared" si="222"/>
        <v>15.99</v>
      </c>
      <c r="E7084">
        <v>17.559999999999999</v>
      </c>
      <c r="F7084" s="1789">
        <v>8.8999999999999996E-2</v>
      </c>
      <c r="G7084">
        <f t="shared" si="223"/>
        <v>15.99</v>
      </c>
    </row>
    <row r="7085" spans="1:7" ht="12.75" customHeight="1">
      <c r="A7085" s="3">
        <v>100674</v>
      </c>
      <c r="B7085" s="4" t="s">
        <v>7109</v>
      </c>
      <c r="C7085" s="3" t="s">
        <v>409</v>
      </c>
      <c r="D7085" s="5">
        <f t="shared" si="222"/>
        <v>600.76</v>
      </c>
      <c r="E7085">
        <v>659.46</v>
      </c>
      <c r="F7085" s="1789">
        <v>8.8999999999999996E-2</v>
      </c>
      <c r="G7085">
        <f t="shared" si="223"/>
        <v>600.76</v>
      </c>
    </row>
    <row r="7086" spans="1:7" ht="12.75" customHeight="1">
      <c r="A7086" s="3">
        <v>101096</v>
      </c>
      <c r="B7086" s="4" t="s">
        <v>7110</v>
      </c>
      <c r="C7086" s="3" t="s">
        <v>152</v>
      </c>
      <c r="D7086" s="5">
        <f t="shared" si="222"/>
        <v>1201.08</v>
      </c>
      <c r="E7086">
        <v>1318.43</v>
      </c>
      <c r="F7086" s="1789">
        <v>8.8999999999999996E-2</v>
      </c>
      <c r="G7086">
        <f t="shared" si="223"/>
        <v>1201.08</v>
      </c>
    </row>
    <row r="7087" spans="1:7" ht="12.75" customHeight="1">
      <c r="A7087" s="3">
        <v>101097</v>
      </c>
      <c r="B7087" s="4" t="s">
        <v>7111</v>
      </c>
      <c r="C7087" s="3" t="s">
        <v>152</v>
      </c>
      <c r="D7087" s="5">
        <f t="shared" si="222"/>
        <v>1143.6500000000001</v>
      </c>
      <c r="E7087">
        <v>1255.3800000000001</v>
      </c>
      <c r="F7087" s="1789">
        <v>8.8999999999999996E-2</v>
      </c>
      <c r="G7087">
        <f t="shared" si="223"/>
        <v>1143.6500000000001</v>
      </c>
    </row>
    <row r="7088" spans="1:7" ht="12.75" customHeight="1">
      <c r="A7088" s="3">
        <v>101098</v>
      </c>
      <c r="B7088" s="4" t="s">
        <v>7112</v>
      </c>
      <c r="C7088" s="3" t="s">
        <v>152</v>
      </c>
      <c r="D7088" s="5">
        <f t="shared" si="222"/>
        <v>1071.6500000000001</v>
      </c>
      <c r="E7088">
        <v>1176.3499999999999</v>
      </c>
      <c r="F7088" s="1789">
        <v>8.8999999999999996E-2</v>
      </c>
      <c r="G7088">
        <f t="shared" si="223"/>
        <v>1071.6500000000001</v>
      </c>
    </row>
    <row r="7089" spans="1:7" ht="12.75" customHeight="1">
      <c r="A7089" s="3">
        <v>101099</v>
      </c>
      <c r="B7089" s="4" t="s">
        <v>7113</v>
      </c>
      <c r="C7089" s="3" t="s">
        <v>152</v>
      </c>
      <c r="D7089" s="5">
        <f t="shared" si="222"/>
        <v>987.6</v>
      </c>
      <c r="E7089">
        <v>1084.0899999999999</v>
      </c>
      <c r="F7089" s="1789">
        <v>8.8999999999999996E-2</v>
      </c>
      <c r="G7089">
        <f t="shared" si="223"/>
        <v>987.6</v>
      </c>
    </row>
    <row r="7090" spans="1:7" ht="12.75" customHeight="1">
      <c r="A7090" s="3">
        <v>101100</v>
      </c>
      <c r="B7090" s="4" t="s">
        <v>7114</v>
      </c>
      <c r="C7090" s="3" t="s">
        <v>152</v>
      </c>
      <c r="D7090" s="5">
        <f t="shared" si="222"/>
        <v>934.51</v>
      </c>
      <c r="E7090">
        <v>1025.81</v>
      </c>
      <c r="F7090" s="1789">
        <v>8.8999999999999996E-2</v>
      </c>
      <c r="G7090">
        <f t="shared" si="223"/>
        <v>934.51</v>
      </c>
    </row>
    <row r="7091" spans="1:7" ht="12.75" customHeight="1">
      <c r="A7091" s="3">
        <v>101101</v>
      </c>
      <c r="B7091" s="4" t="s">
        <v>7115</v>
      </c>
      <c r="C7091" s="3" t="s">
        <v>152</v>
      </c>
      <c r="D7091" s="5">
        <f t="shared" si="222"/>
        <v>914.05</v>
      </c>
      <c r="E7091">
        <v>1003.35</v>
      </c>
      <c r="F7091" s="1789">
        <v>8.8999999999999996E-2</v>
      </c>
      <c r="G7091">
        <f t="shared" si="223"/>
        <v>914.05</v>
      </c>
    </row>
    <row r="7092" spans="1:7" ht="12.75" customHeight="1">
      <c r="A7092" s="3">
        <v>101102</v>
      </c>
      <c r="B7092" s="4" t="s">
        <v>7116</v>
      </c>
      <c r="C7092" s="3" t="s">
        <v>152</v>
      </c>
      <c r="D7092" s="5">
        <f t="shared" si="222"/>
        <v>893.13</v>
      </c>
      <c r="E7092">
        <v>980.39</v>
      </c>
      <c r="F7092" s="1789">
        <v>8.8999999999999996E-2</v>
      </c>
      <c r="G7092">
        <f t="shared" si="223"/>
        <v>893.13</v>
      </c>
    </row>
    <row r="7093" spans="1:7" ht="12.75" customHeight="1">
      <c r="A7093" s="3">
        <v>101103</v>
      </c>
      <c r="B7093" s="4" t="s">
        <v>7117</v>
      </c>
      <c r="C7093" s="3" t="s">
        <v>152</v>
      </c>
      <c r="D7093" s="5">
        <f t="shared" si="222"/>
        <v>842.25</v>
      </c>
      <c r="E7093">
        <v>924.54</v>
      </c>
      <c r="F7093" s="1789">
        <v>8.8999999999999996E-2</v>
      </c>
      <c r="G7093">
        <f t="shared" si="223"/>
        <v>842.25</v>
      </c>
    </row>
    <row r="7094" spans="1:7" ht="12.75" customHeight="1">
      <c r="A7094" s="3">
        <v>101104</v>
      </c>
      <c r="B7094" s="4" t="s">
        <v>7118</v>
      </c>
      <c r="C7094" s="3" t="s">
        <v>152</v>
      </c>
      <c r="D7094" s="5">
        <f t="shared" si="222"/>
        <v>1359.25</v>
      </c>
      <c r="E7094">
        <v>1492.05</v>
      </c>
      <c r="F7094" s="1789">
        <v>8.8999999999999996E-2</v>
      </c>
      <c r="G7094">
        <f t="shared" si="223"/>
        <v>1359.25</v>
      </c>
    </row>
    <row r="7095" spans="1:7" ht="12.75" customHeight="1">
      <c r="A7095" s="3">
        <v>101105</v>
      </c>
      <c r="B7095" s="4" t="s">
        <v>7119</v>
      </c>
      <c r="C7095" s="3" t="s">
        <v>152</v>
      </c>
      <c r="D7095" s="5">
        <f t="shared" si="222"/>
        <v>1299.4000000000001</v>
      </c>
      <c r="E7095">
        <v>1426.35</v>
      </c>
      <c r="F7095" s="1789">
        <v>8.8999999999999996E-2</v>
      </c>
      <c r="G7095">
        <f t="shared" si="223"/>
        <v>1299.4000000000001</v>
      </c>
    </row>
    <row r="7096" spans="1:7" ht="12.75" customHeight="1">
      <c r="A7096" s="3">
        <v>101106</v>
      </c>
      <c r="B7096" s="4" t="s">
        <v>7120</v>
      </c>
      <c r="C7096" s="3" t="s">
        <v>152</v>
      </c>
      <c r="D7096" s="5">
        <f t="shared" si="222"/>
        <v>1224.17</v>
      </c>
      <c r="E7096">
        <v>1343.77</v>
      </c>
      <c r="F7096" s="1789">
        <v>8.8999999999999996E-2</v>
      </c>
      <c r="G7096">
        <f t="shared" si="223"/>
        <v>1224.17</v>
      </c>
    </row>
    <row r="7097" spans="1:7" ht="12.75" customHeight="1">
      <c r="A7097" s="3">
        <v>101107</v>
      </c>
      <c r="B7097" s="4" t="s">
        <v>7121</v>
      </c>
      <c r="C7097" s="3" t="s">
        <v>152</v>
      </c>
      <c r="D7097" s="5">
        <f t="shared" si="222"/>
        <v>1135.28</v>
      </c>
      <c r="E7097">
        <v>1246.2</v>
      </c>
      <c r="F7097" s="1789">
        <v>8.8999999999999996E-2</v>
      </c>
      <c r="G7097">
        <f t="shared" si="223"/>
        <v>1135.28</v>
      </c>
    </row>
    <row r="7098" spans="1:7" ht="12.75" customHeight="1">
      <c r="A7098" s="3">
        <v>101108</v>
      </c>
      <c r="B7098" s="4" t="s">
        <v>7122</v>
      </c>
      <c r="C7098" s="3" t="s">
        <v>152</v>
      </c>
      <c r="D7098" s="5">
        <f t="shared" si="222"/>
        <v>1087.83</v>
      </c>
      <c r="E7098">
        <v>1194.1099999999999</v>
      </c>
      <c r="F7098" s="1789">
        <v>8.8999999999999996E-2</v>
      </c>
      <c r="G7098">
        <f t="shared" si="223"/>
        <v>1087.83</v>
      </c>
    </row>
    <row r="7099" spans="1:7" ht="12.75" customHeight="1">
      <c r="A7099" s="3">
        <v>101109</v>
      </c>
      <c r="B7099" s="4" t="s">
        <v>7123</v>
      </c>
      <c r="C7099" s="3" t="s">
        <v>152</v>
      </c>
      <c r="D7099" s="5">
        <f t="shared" si="222"/>
        <v>1065.2</v>
      </c>
      <c r="E7099">
        <v>1169.27</v>
      </c>
      <c r="F7099" s="1789">
        <v>8.8999999999999996E-2</v>
      </c>
      <c r="G7099">
        <f t="shared" si="223"/>
        <v>1065.2</v>
      </c>
    </row>
    <row r="7100" spans="1:7" ht="12.75" customHeight="1">
      <c r="A7100" s="3">
        <v>101110</v>
      </c>
      <c r="B7100" s="4" t="s">
        <v>7124</v>
      </c>
      <c r="C7100" s="3" t="s">
        <v>152</v>
      </c>
      <c r="D7100" s="5">
        <f t="shared" si="222"/>
        <v>1041.6099999999999</v>
      </c>
      <c r="E7100">
        <v>1143.3699999999999</v>
      </c>
      <c r="F7100" s="1789">
        <v>8.8999999999999996E-2</v>
      </c>
      <c r="G7100">
        <f t="shared" si="223"/>
        <v>1041.6099999999999</v>
      </c>
    </row>
    <row r="7101" spans="1:7" ht="12.75" customHeight="1">
      <c r="A7101" s="3">
        <v>101111</v>
      </c>
      <c r="B7101" s="4" t="s">
        <v>7125</v>
      </c>
      <c r="C7101" s="3" t="s">
        <v>152</v>
      </c>
      <c r="D7101" s="5">
        <f t="shared" si="222"/>
        <v>986.44</v>
      </c>
      <c r="E7101">
        <v>1082.82</v>
      </c>
      <c r="F7101" s="1789">
        <v>8.8999999999999996E-2</v>
      </c>
      <c r="G7101">
        <f t="shared" si="223"/>
        <v>986.44</v>
      </c>
    </row>
    <row r="7102" spans="1:7" ht="12.75" customHeight="1">
      <c r="A7102" s="3">
        <v>101112</v>
      </c>
      <c r="B7102" s="4" t="s">
        <v>7126</v>
      </c>
      <c r="C7102" s="3" t="s">
        <v>152</v>
      </c>
      <c r="D7102" s="5">
        <f t="shared" si="222"/>
        <v>881.37</v>
      </c>
      <c r="E7102">
        <v>967.48</v>
      </c>
      <c r="F7102" s="1789">
        <v>8.8999999999999996E-2</v>
      </c>
      <c r="G7102">
        <f t="shared" si="223"/>
        <v>881.37</v>
      </c>
    </row>
    <row r="7103" spans="1:7" ht="12.75" customHeight="1">
      <c r="A7103" s="3">
        <v>101113</v>
      </c>
      <c r="B7103" s="4" t="s">
        <v>7127</v>
      </c>
      <c r="C7103" s="3" t="s">
        <v>152</v>
      </c>
      <c r="D7103" s="5">
        <f t="shared" si="222"/>
        <v>1046.04</v>
      </c>
      <c r="E7103">
        <v>1148.24</v>
      </c>
      <c r="F7103" s="1789">
        <v>8.8999999999999996E-2</v>
      </c>
      <c r="G7103">
        <f t="shared" si="223"/>
        <v>1046.04</v>
      </c>
    </row>
    <row r="7104" spans="1:7" ht="12.75" customHeight="1">
      <c r="A7104" s="3">
        <v>95601</v>
      </c>
      <c r="B7104" s="4" t="s">
        <v>7128</v>
      </c>
      <c r="C7104" s="3" t="s">
        <v>6</v>
      </c>
      <c r="D7104" s="5">
        <f t="shared" si="222"/>
        <v>13.74</v>
      </c>
      <c r="E7104">
        <v>15.09</v>
      </c>
      <c r="F7104" s="1789">
        <v>8.8999999999999996E-2</v>
      </c>
      <c r="G7104">
        <f t="shared" si="223"/>
        <v>13.74</v>
      </c>
    </row>
    <row r="7105" spans="1:7" ht="12.75" customHeight="1">
      <c r="A7105" s="3">
        <v>95602</v>
      </c>
      <c r="B7105" s="4" t="s">
        <v>7129</v>
      </c>
      <c r="C7105" s="3" t="s">
        <v>6</v>
      </c>
      <c r="D7105" s="5">
        <f t="shared" si="222"/>
        <v>22</v>
      </c>
      <c r="E7105">
        <v>24.16</v>
      </c>
      <c r="F7105" s="1789">
        <v>8.8999999999999996E-2</v>
      </c>
      <c r="G7105">
        <f t="shared" si="223"/>
        <v>22</v>
      </c>
    </row>
    <row r="7106" spans="1:7" ht="12.75" customHeight="1">
      <c r="A7106" s="3">
        <v>95603</v>
      </c>
      <c r="B7106" s="4" t="s">
        <v>7130</v>
      </c>
      <c r="C7106" s="3" t="s">
        <v>6</v>
      </c>
      <c r="D7106" s="5">
        <f t="shared" si="222"/>
        <v>37.54</v>
      </c>
      <c r="E7106">
        <v>41.21</v>
      </c>
      <c r="F7106" s="1789">
        <v>8.8999999999999996E-2</v>
      </c>
      <c r="G7106">
        <f t="shared" si="223"/>
        <v>37.54</v>
      </c>
    </row>
    <row r="7107" spans="1:7" ht="12.75" customHeight="1">
      <c r="A7107" s="3">
        <v>95604</v>
      </c>
      <c r="B7107" s="4" t="s">
        <v>7131</v>
      </c>
      <c r="C7107" s="3" t="s">
        <v>6</v>
      </c>
      <c r="D7107" s="5">
        <f t="shared" si="222"/>
        <v>58.25</v>
      </c>
      <c r="E7107">
        <v>63.95</v>
      </c>
      <c r="F7107" s="1789">
        <v>8.8999999999999996E-2</v>
      </c>
      <c r="G7107">
        <f t="shared" si="223"/>
        <v>58.25</v>
      </c>
    </row>
    <row r="7108" spans="1:7" ht="12.75" customHeight="1">
      <c r="A7108" s="3">
        <v>95605</v>
      </c>
      <c r="B7108" s="4" t="s">
        <v>7132</v>
      </c>
      <c r="C7108" s="3" t="s">
        <v>6</v>
      </c>
      <c r="D7108" s="5">
        <f t="shared" si="222"/>
        <v>106.98</v>
      </c>
      <c r="E7108">
        <v>117.44</v>
      </c>
      <c r="F7108" s="1789">
        <v>8.8999999999999996E-2</v>
      </c>
      <c r="G7108">
        <f t="shared" si="223"/>
        <v>106.98</v>
      </c>
    </row>
    <row r="7109" spans="1:7" ht="12.75" customHeight="1">
      <c r="A7109" s="3">
        <v>95607</v>
      </c>
      <c r="B7109" s="4" t="s">
        <v>7133</v>
      </c>
      <c r="C7109" s="3" t="s">
        <v>6</v>
      </c>
      <c r="D7109" s="5">
        <f t="shared" si="222"/>
        <v>23.84</v>
      </c>
      <c r="E7109">
        <v>26.17</v>
      </c>
      <c r="F7109" s="1789">
        <v>8.8999999999999996E-2</v>
      </c>
      <c r="G7109">
        <f t="shared" si="223"/>
        <v>23.84</v>
      </c>
    </row>
    <row r="7110" spans="1:7" ht="12.75" customHeight="1">
      <c r="A7110" s="3">
        <v>95608</v>
      </c>
      <c r="B7110" s="4" t="s">
        <v>7134</v>
      </c>
      <c r="C7110" s="3" t="s">
        <v>6</v>
      </c>
      <c r="D7110" s="5">
        <f t="shared" si="222"/>
        <v>34.58</v>
      </c>
      <c r="E7110">
        <v>37.96</v>
      </c>
      <c r="F7110" s="1789">
        <v>8.8999999999999996E-2</v>
      </c>
      <c r="G7110">
        <f t="shared" si="223"/>
        <v>34.58</v>
      </c>
    </row>
    <row r="7111" spans="1:7" ht="12.75" customHeight="1">
      <c r="A7111" s="3">
        <v>95609</v>
      </c>
      <c r="B7111" s="4" t="s">
        <v>7135</v>
      </c>
      <c r="C7111" s="3" t="s">
        <v>6</v>
      </c>
      <c r="D7111" s="5">
        <f t="shared" si="222"/>
        <v>43.84</v>
      </c>
      <c r="E7111">
        <v>48.13</v>
      </c>
      <c r="F7111" s="1789">
        <v>8.8999999999999996E-2</v>
      </c>
      <c r="G7111">
        <f t="shared" si="223"/>
        <v>43.84</v>
      </c>
    </row>
    <row r="7112" spans="1:7" ht="12.75" customHeight="1">
      <c r="A7112" s="3">
        <v>100651</v>
      </c>
      <c r="B7112" s="4" t="s">
        <v>7136</v>
      </c>
      <c r="C7112" s="3" t="s">
        <v>50</v>
      </c>
      <c r="D7112" s="5">
        <f t="shared" si="222"/>
        <v>149.62</v>
      </c>
      <c r="E7112">
        <v>164.24</v>
      </c>
      <c r="F7112" s="1789">
        <v>8.8999999999999996E-2</v>
      </c>
      <c r="G7112">
        <f t="shared" si="223"/>
        <v>149.62</v>
      </c>
    </row>
    <row r="7113" spans="1:7" ht="12.75" customHeight="1">
      <c r="A7113" s="3">
        <v>100652</v>
      </c>
      <c r="B7113" s="4" t="s">
        <v>7137</v>
      </c>
      <c r="C7113" s="3" t="s">
        <v>50</v>
      </c>
      <c r="D7113" s="5">
        <f t="shared" si="222"/>
        <v>298.97000000000003</v>
      </c>
      <c r="E7113">
        <v>328.18</v>
      </c>
      <c r="F7113" s="1789">
        <v>8.8999999999999996E-2</v>
      </c>
      <c r="G7113">
        <f t="shared" si="223"/>
        <v>298.97000000000003</v>
      </c>
    </row>
    <row r="7114" spans="1:7" ht="12.75" customHeight="1">
      <c r="A7114" s="3">
        <v>100653</v>
      </c>
      <c r="B7114" s="4" t="s">
        <v>7138</v>
      </c>
      <c r="C7114" s="3" t="s">
        <v>50</v>
      </c>
      <c r="D7114" s="5">
        <f t="shared" si="222"/>
        <v>507.47</v>
      </c>
      <c r="E7114">
        <v>557.04999999999995</v>
      </c>
      <c r="F7114" s="1789">
        <v>8.8999999999999996E-2</v>
      </c>
      <c r="G7114">
        <f t="shared" si="223"/>
        <v>507.47</v>
      </c>
    </row>
    <row r="7115" spans="1:7" ht="12.75" customHeight="1">
      <c r="A7115" s="3">
        <v>100654</v>
      </c>
      <c r="B7115" s="4" t="s">
        <v>7139</v>
      </c>
      <c r="C7115" s="3" t="s">
        <v>50</v>
      </c>
      <c r="D7115" s="5">
        <f t="shared" si="222"/>
        <v>677.23</v>
      </c>
      <c r="E7115">
        <v>743.4</v>
      </c>
      <c r="F7115" s="1789">
        <v>8.8999999999999996E-2</v>
      </c>
      <c r="G7115">
        <f t="shared" si="223"/>
        <v>677.23</v>
      </c>
    </row>
    <row r="7116" spans="1:7" ht="12.75" customHeight="1">
      <c r="A7116" s="3">
        <v>100655</v>
      </c>
      <c r="B7116" s="4" t="s">
        <v>7140</v>
      </c>
      <c r="C7116" s="3" t="s">
        <v>50</v>
      </c>
      <c r="D7116" s="5">
        <f t="shared" si="222"/>
        <v>793.54</v>
      </c>
      <c r="E7116">
        <v>871.07</v>
      </c>
      <c r="F7116" s="1789">
        <v>8.8999999999999996E-2</v>
      </c>
      <c r="G7116">
        <f t="shared" si="223"/>
        <v>793.54</v>
      </c>
    </row>
    <row r="7117" spans="1:7" ht="12.75" customHeight="1">
      <c r="A7117" s="3">
        <v>100656</v>
      </c>
      <c r="B7117" s="4" t="s">
        <v>7141</v>
      </c>
      <c r="C7117" s="3" t="s">
        <v>50</v>
      </c>
      <c r="D7117" s="5">
        <f t="shared" si="222"/>
        <v>102.15</v>
      </c>
      <c r="E7117">
        <v>112.13</v>
      </c>
      <c r="F7117" s="1789">
        <v>8.8999999999999996E-2</v>
      </c>
      <c r="G7117">
        <f t="shared" si="223"/>
        <v>102.15</v>
      </c>
    </row>
    <row r="7118" spans="1:7" ht="12.75" customHeight="1">
      <c r="A7118" s="3">
        <v>100657</v>
      </c>
      <c r="B7118" s="4" t="s">
        <v>7142</v>
      </c>
      <c r="C7118" s="3" t="s">
        <v>50</v>
      </c>
      <c r="D7118" s="5">
        <f t="shared" si="222"/>
        <v>132.36000000000001</v>
      </c>
      <c r="E7118">
        <v>145.30000000000001</v>
      </c>
      <c r="F7118" s="1789">
        <v>8.8999999999999996E-2</v>
      </c>
      <c r="G7118">
        <f t="shared" si="223"/>
        <v>132.36000000000001</v>
      </c>
    </row>
    <row r="7119" spans="1:7" ht="12.75" customHeight="1">
      <c r="A7119" s="3">
        <v>100658</v>
      </c>
      <c r="B7119" s="4" t="s">
        <v>7143</v>
      </c>
      <c r="C7119" s="3" t="s">
        <v>50</v>
      </c>
      <c r="D7119" s="5">
        <f t="shared" si="222"/>
        <v>307.89999999999998</v>
      </c>
      <c r="E7119">
        <v>337.99</v>
      </c>
      <c r="F7119" s="1789">
        <v>8.8999999999999996E-2</v>
      </c>
      <c r="G7119">
        <f t="shared" si="223"/>
        <v>307.89999999999998</v>
      </c>
    </row>
    <row r="7120" spans="1:7" ht="12.75" customHeight="1">
      <c r="A7120" s="3">
        <v>100889</v>
      </c>
      <c r="B7120" s="4" t="s">
        <v>7144</v>
      </c>
      <c r="C7120" s="3" t="s">
        <v>54</v>
      </c>
      <c r="D7120" s="5">
        <f t="shared" si="222"/>
        <v>10.85</v>
      </c>
      <c r="E7120">
        <v>11.91</v>
      </c>
      <c r="F7120" s="1789">
        <v>8.8999999999999996E-2</v>
      </c>
      <c r="G7120">
        <f t="shared" si="223"/>
        <v>10.85</v>
      </c>
    </row>
    <row r="7121" spans="1:7" ht="12.75" customHeight="1">
      <c r="A7121" s="3">
        <v>100890</v>
      </c>
      <c r="B7121" s="4" t="s">
        <v>7145</v>
      </c>
      <c r="C7121" s="3" t="s">
        <v>54</v>
      </c>
      <c r="D7121" s="5">
        <f t="shared" si="222"/>
        <v>10.7</v>
      </c>
      <c r="E7121">
        <v>11.75</v>
      </c>
      <c r="F7121" s="1789">
        <v>8.8999999999999996E-2</v>
      </c>
      <c r="G7121">
        <f t="shared" si="223"/>
        <v>10.7</v>
      </c>
    </row>
    <row r="7122" spans="1:7" ht="12.75" customHeight="1">
      <c r="A7122" s="3">
        <v>100892</v>
      </c>
      <c r="B7122" s="4" t="s">
        <v>7146</v>
      </c>
      <c r="C7122" s="3" t="s">
        <v>54</v>
      </c>
      <c r="D7122" s="5">
        <f t="shared" si="222"/>
        <v>11.21</v>
      </c>
      <c r="E7122">
        <v>12.31</v>
      </c>
      <c r="F7122" s="1789">
        <v>8.8999999999999996E-2</v>
      </c>
      <c r="G7122">
        <f t="shared" si="223"/>
        <v>11.21</v>
      </c>
    </row>
    <row r="7123" spans="1:7" ht="12.75" customHeight="1">
      <c r="A7123" s="3">
        <v>100893</v>
      </c>
      <c r="B7123" s="4" t="s">
        <v>7147</v>
      </c>
      <c r="C7123" s="3" t="s">
        <v>54</v>
      </c>
      <c r="D7123" s="5">
        <f t="shared" si="222"/>
        <v>11.06</v>
      </c>
      <c r="E7123">
        <v>12.15</v>
      </c>
      <c r="F7123" s="1789">
        <v>8.8999999999999996E-2</v>
      </c>
      <c r="G7123">
        <f t="shared" si="223"/>
        <v>11.06</v>
      </c>
    </row>
    <row r="7124" spans="1:7" ht="12.75" customHeight="1">
      <c r="A7124" s="3">
        <v>100894</v>
      </c>
      <c r="B7124" s="4" t="s">
        <v>7148</v>
      </c>
      <c r="C7124" s="3" t="s">
        <v>54</v>
      </c>
      <c r="D7124" s="5">
        <f t="shared" si="222"/>
        <v>10.97</v>
      </c>
      <c r="E7124">
        <v>12.05</v>
      </c>
      <c r="F7124" s="1789">
        <v>8.8999999999999996E-2</v>
      </c>
      <c r="G7124">
        <f t="shared" si="223"/>
        <v>10.97</v>
      </c>
    </row>
    <row r="7125" spans="1:7" ht="12.75" customHeight="1">
      <c r="A7125" s="3">
        <v>100896</v>
      </c>
      <c r="B7125" s="4" t="s">
        <v>7149</v>
      </c>
      <c r="C7125" s="3" t="s">
        <v>50</v>
      </c>
      <c r="D7125" s="5">
        <f t="shared" ref="D7125:D7188" si="224">G7125</f>
        <v>66.33</v>
      </c>
      <c r="E7125">
        <v>72.819999999999993</v>
      </c>
      <c r="F7125" s="1789">
        <v>8.8999999999999996E-2</v>
      </c>
      <c r="G7125">
        <f t="shared" ref="G7125:G7188" si="225">TRUNC((1-F7125)*E7125,2)</f>
        <v>66.33</v>
      </c>
    </row>
    <row r="7126" spans="1:7" ht="12.75" customHeight="1">
      <c r="A7126" s="3">
        <v>100897</v>
      </c>
      <c r="B7126" s="4" t="s">
        <v>7150</v>
      </c>
      <c r="C7126" s="3" t="s">
        <v>50</v>
      </c>
      <c r="D7126" s="5">
        <f t="shared" si="224"/>
        <v>135.38999999999999</v>
      </c>
      <c r="E7126">
        <v>148.62</v>
      </c>
      <c r="F7126" s="1789">
        <v>8.8999999999999996E-2</v>
      </c>
      <c r="G7126">
        <f t="shared" si="225"/>
        <v>135.38999999999999</v>
      </c>
    </row>
    <row r="7127" spans="1:7" ht="12.75" customHeight="1">
      <c r="A7127" s="3">
        <v>100898</v>
      </c>
      <c r="B7127" s="4" t="s">
        <v>7151</v>
      </c>
      <c r="C7127" s="3" t="s">
        <v>50</v>
      </c>
      <c r="D7127" s="5">
        <f t="shared" si="224"/>
        <v>269.45999999999998</v>
      </c>
      <c r="E7127">
        <v>295.79000000000002</v>
      </c>
      <c r="F7127" s="1789">
        <v>8.8999999999999996E-2</v>
      </c>
      <c r="G7127">
        <f t="shared" si="225"/>
        <v>269.45999999999998</v>
      </c>
    </row>
    <row r="7128" spans="1:7" ht="12.75" customHeight="1">
      <c r="A7128" s="3">
        <v>100899</v>
      </c>
      <c r="B7128" s="4" t="s">
        <v>7152</v>
      </c>
      <c r="C7128" s="3" t="s">
        <v>50</v>
      </c>
      <c r="D7128" s="5">
        <f t="shared" si="224"/>
        <v>86.79</v>
      </c>
      <c r="E7128">
        <v>95.27</v>
      </c>
      <c r="F7128" s="1789">
        <v>8.8999999999999996E-2</v>
      </c>
      <c r="G7128">
        <f t="shared" si="225"/>
        <v>86.79</v>
      </c>
    </row>
    <row r="7129" spans="1:7" ht="12.75" customHeight="1">
      <c r="A7129" s="3">
        <v>100900</v>
      </c>
      <c r="B7129" s="4" t="s">
        <v>7153</v>
      </c>
      <c r="C7129" s="3" t="s">
        <v>50</v>
      </c>
      <c r="D7129" s="5">
        <f t="shared" si="224"/>
        <v>310.81</v>
      </c>
      <c r="E7129">
        <v>341.18</v>
      </c>
      <c r="F7129" s="1789">
        <v>8.8999999999999996E-2</v>
      </c>
      <c r="G7129">
        <f t="shared" si="225"/>
        <v>310.81</v>
      </c>
    </row>
    <row r="7130" spans="1:7" ht="12.75" customHeight="1">
      <c r="A7130" s="3">
        <v>101173</v>
      </c>
      <c r="B7130" s="4" t="s">
        <v>7154</v>
      </c>
      <c r="C7130" s="3" t="s">
        <v>50</v>
      </c>
      <c r="D7130" s="5">
        <f t="shared" si="224"/>
        <v>57.32</v>
      </c>
      <c r="E7130">
        <v>62.93</v>
      </c>
      <c r="F7130" s="1789">
        <v>8.8999999999999996E-2</v>
      </c>
      <c r="G7130">
        <f t="shared" si="225"/>
        <v>57.32</v>
      </c>
    </row>
    <row r="7131" spans="1:7" ht="12.75" customHeight="1">
      <c r="A7131" s="3">
        <v>101174</v>
      </c>
      <c r="B7131" s="4" t="s">
        <v>7155</v>
      </c>
      <c r="C7131" s="3" t="s">
        <v>50</v>
      </c>
      <c r="D7131" s="5">
        <f t="shared" si="224"/>
        <v>79.81</v>
      </c>
      <c r="E7131">
        <v>87.61</v>
      </c>
      <c r="F7131" s="1789">
        <v>8.8999999999999996E-2</v>
      </c>
      <c r="G7131">
        <f t="shared" si="225"/>
        <v>79.81</v>
      </c>
    </row>
    <row r="7132" spans="1:7" ht="12.75" customHeight="1">
      <c r="A7132" s="3">
        <v>101175</v>
      </c>
      <c r="B7132" s="4" t="s">
        <v>7156</v>
      </c>
      <c r="C7132" s="3" t="s">
        <v>50</v>
      </c>
      <c r="D7132" s="5">
        <f t="shared" si="224"/>
        <v>109.09</v>
      </c>
      <c r="E7132">
        <v>119.75</v>
      </c>
      <c r="F7132" s="1789">
        <v>8.8999999999999996E-2</v>
      </c>
      <c r="G7132">
        <f t="shared" si="225"/>
        <v>109.09</v>
      </c>
    </row>
    <row r="7133" spans="1:7" ht="12.75" customHeight="1">
      <c r="A7133" s="3">
        <v>101176</v>
      </c>
      <c r="B7133" s="4" t="s">
        <v>7157</v>
      </c>
      <c r="C7133" s="3" t="s">
        <v>50</v>
      </c>
      <c r="D7133" s="5">
        <f t="shared" si="224"/>
        <v>136.69</v>
      </c>
      <c r="E7133">
        <v>150.05000000000001</v>
      </c>
      <c r="F7133" s="1789">
        <v>8.8999999999999996E-2</v>
      </c>
      <c r="G7133">
        <f t="shared" si="225"/>
        <v>136.69</v>
      </c>
    </row>
    <row r="7134" spans="1:7" ht="12.75" customHeight="1">
      <c r="A7134" s="3">
        <v>102521</v>
      </c>
      <c r="B7134" s="4" t="s">
        <v>7158</v>
      </c>
      <c r="C7134" s="3" t="s">
        <v>6</v>
      </c>
      <c r="D7134" s="5">
        <f t="shared" si="224"/>
        <v>88.25</v>
      </c>
      <c r="E7134">
        <v>96.88</v>
      </c>
      <c r="F7134" s="1789">
        <v>8.8999999999999996E-2</v>
      </c>
      <c r="G7134">
        <f t="shared" si="225"/>
        <v>88.25</v>
      </c>
    </row>
    <row r="7135" spans="1:7" ht="12.75" customHeight="1">
      <c r="A7135" s="3">
        <v>102522</v>
      </c>
      <c r="B7135" s="4" t="s">
        <v>7159</v>
      </c>
      <c r="C7135" s="3" t="s">
        <v>6</v>
      </c>
      <c r="D7135" s="5">
        <f t="shared" si="224"/>
        <v>129.47999999999999</v>
      </c>
      <c r="E7135">
        <v>142.13</v>
      </c>
      <c r="F7135" s="1789">
        <v>8.8999999999999996E-2</v>
      </c>
      <c r="G7135">
        <f t="shared" si="225"/>
        <v>129.47999999999999</v>
      </c>
    </row>
    <row r="7136" spans="1:7" ht="12.75" customHeight="1">
      <c r="A7136" s="3">
        <v>102523</v>
      </c>
      <c r="B7136" s="4" t="s">
        <v>7160</v>
      </c>
      <c r="C7136" s="3" t="s">
        <v>6</v>
      </c>
      <c r="D7136" s="5">
        <f t="shared" si="224"/>
        <v>170.7</v>
      </c>
      <c r="E7136">
        <v>187.38</v>
      </c>
      <c r="F7136" s="1789">
        <v>8.8999999999999996E-2</v>
      </c>
      <c r="G7136">
        <f t="shared" si="225"/>
        <v>170.7</v>
      </c>
    </row>
    <row r="7137" spans="1:7" ht="12.75" customHeight="1">
      <c r="A7137" s="3">
        <v>95240</v>
      </c>
      <c r="B7137" s="4" t="s">
        <v>7161</v>
      </c>
      <c r="C7137" s="3" t="s">
        <v>409</v>
      </c>
      <c r="D7137" s="5">
        <f t="shared" si="224"/>
        <v>18.38</v>
      </c>
      <c r="E7137">
        <v>20.18</v>
      </c>
      <c r="F7137" s="1789">
        <v>8.8999999999999996E-2</v>
      </c>
      <c r="G7137">
        <f t="shared" si="225"/>
        <v>18.38</v>
      </c>
    </row>
    <row r="7138" spans="1:7" ht="12.75" customHeight="1">
      <c r="A7138" s="3">
        <v>95241</v>
      </c>
      <c r="B7138" s="4" t="s">
        <v>7162</v>
      </c>
      <c r="C7138" s="3" t="s">
        <v>409</v>
      </c>
      <c r="D7138" s="5">
        <f t="shared" si="224"/>
        <v>35.64</v>
      </c>
      <c r="E7138">
        <v>39.130000000000003</v>
      </c>
      <c r="F7138" s="1789">
        <v>8.8999999999999996E-2</v>
      </c>
      <c r="G7138">
        <f t="shared" si="225"/>
        <v>35.64</v>
      </c>
    </row>
    <row r="7139" spans="1:7" ht="12.75" customHeight="1">
      <c r="A7139" s="3">
        <v>96616</v>
      </c>
      <c r="B7139" s="4" t="s">
        <v>7163</v>
      </c>
      <c r="C7139" s="3" t="s">
        <v>152</v>
      </c>
      <c r="D7139" s="5">
        <f t="shared" si="224"/>
        <v>764.21</v>
      </c>
      <c r="E7139">
        <v>838.88</v>
      </c>
      <c r="F7139" s="1789">
        <v>8.8999999999999996E-2</v>
      </c>
      <c r="G7139">
        <f t="shared" si="225"/>
        <v>764.21</v>
      </c>
    </row>
    <row r="7140" spans="1:7" ht="12.75" customHeight="1">
      <c r="A7140" s="3">
        <v>96617</v>
      </c>
      <c r="B7140" s="4" t="s">
        <v>7164</v>
      </c>
      <c r="C7140" s="3" t="s">
        <v>409</v>
      </c>
      <c r="D7140" s="5">
        <f t="shared" si="224"/>
        <v>19.04</v>
      </c>
      <c r="E7140">
        <v>20.91</v>
      </c>
      <c r="F7140" s="1789">
        <v>8.8999999999999996E-2</v>
      </c>
      <c r="G7140">
        <f t="shared" si="225"/>
        <v>19.04</v>
      </c>
    </row>
    <row r="7141" spans="1:7" ht="12.75" customHeight="1">
      <c r="A7141" s="3">
        <v>96619</v>
      </c>
      <c r="B7141" s="4" t="s">
        <v>7165</v>
      </c>
      <c r="C7141" s="3" t="s">
        <v>409</v>
      </c>
      <c r="D7141" s="5">
        <f t="shared" si="224"/>
        <v>38.19</v>
      </c>
      <c r="E7141">
        <v>41.93</v>
      </c>
      <c r="F7141" s="1789">
        <v>8.8999999999999996E-2</v>
      </c>
      <c r="G7141">
        <f t="shared" si="225"/>
        <v>38.19</v>
      </c>
    </row>
    <row r="7142" spans="1:7" ht="12.75" customHeight="1">
      <c r="A7142" s="3">
        <v>96620</v>
      </c>
      <c r="B7142" s="4" t="s">
        <v>7166</v>
      </c>
      <c r="C7142" s="3" t="s">
        <v>152</v>
      </c>
      <c r="D7142" s="5">
        <f t="shared" si="224"/>
        <v>713.2</v>
      </c>
      <c r="E7142">
        <v>782.88</v>
      </c>
      <c r="F7142" s="1789">
        <v>8.8999999999999996E-2</v>
      </c>
      <c r="G7142">
        <f t="shared" si="225"/>
        <v>713.2</v>
      </c>
    </row>
    <row r="7143" spans="1:7" ht="12.75" customHeight="1">
      <c r="A7143" s="3">
        <v>96621</v>
      </c>
      <c r="B7143" s="4" t="s">
        <v>7167</v>
      </c>
      <c r="C7143" s="3" t="s">
        <v>152</v>
      </c>
      <c r="D7143" s="5">
        <f t="shared" si="224"/>
        <v>260.64999999999998</v>
      </c>
      <c r="E7143">
        <v>286.12</v>
      </c>
      <c r="F7143" s="1789">
        <v>8.8999999999999996E-2</v>
      </c>
      <c r="G7143">
        <f t="shared" si="225"/>
        <v>260.64999999999998</v>
      </c>
    </row>
    <row r="7144" spans="1:7" ht="12.75" customHeight="1">
      <c r="A7144" s="3">
        <v>96622</v>
      </c>
      <c r="B7144" s="4" t="s">
        <v>7168</v>
      </c>
      <c r="C7144" s="3" t="s">
        <v>152</v>
      </c>
      <c r="D7144" s="5">
        <f t="shared" si="224"/>
        <v>248.36</v>
      </c>
      <c r="E7144">
        <v>272.63</v>
      </c>
      <c r="F7144" s="1789">
        <v>8.8999999999999996E-2</v>
      </c>
      <c r="G7144">
        <f t="shared" si="225"/>
        <v>248.36</v>
      </c>
    </row>
    <row r="7145" spans="1:7" ht="12.75" customHeight="1">
      <c r="A7145" s="3">
        <v>96623</v>
      </c>
      <c r="B7145" s="4" t="s">
        <v>7169</v>
      </c>
      <c r="C7145" s="3" t="s">
        <v>152</v>
      </c>
      <c r="D7145" s="5">
        <f t="shared" si="224"/>
        <v>223.79</v>
      </c>
      <c r="E7145">
        <v>245.66</v>
      </c>
      <c r="F7145" s="1789">
        <v>8.8999999999999996E-2</v>
      </c>
      <c r="G7145">
        <f t="shared" si="225"/>
        <v>223.79</v>
      </c>
    </row>
    <row r="7146" spans="1:7" ht="12.75" customHeight="1">
      <c r="A7146" s="3">
        <v>96624</v>
      </c>
      <c r="B7146" s="4" t="s">
        <v>7170</v>
      </c>
      <c r="C7146" s="3" t="s">
        <v>152</v>
      </c>
      <c r="D7146" s="5">
        <f t="shared" si="224"/>
        <v>211.5</v>
      </c>
      <c r="E7146">
        <v>232.17</v>
      </c>
      <c r="F7146" s="1789">
        <v>8.8999999999999996E-2</v>
      </c>
      <c r="G7146">
        <f t="shared" si="225"/>
        <v>211.5</v>
      </c>
    </row>
    <row r="7147" spans="1:7" ht="12.75" customHeight="1">
      <c r="A7147" s="3">
        <v>97082</v>
      </c>
      <c r="B7147" s="4" t="s">
        <v>7171</v>
      </c>
      <c r="C7147" s="3" t="s">
        <v>152</v>
      </c>
      <c r="D7147" s="5">
        <f t="shared" si="224"/>
        <v>53.74</v>
      </c>
      <c r="E7147">
        <v>59</v>
      </c>
      <c r="F7147" s="1789">
        <v>8.8999999999999996E-2</v>
      </c>
      <c r="G7147">
        <f t="shared" si="225"/>
        <v>53.74</v>
      </c>
    </row>
    <row r="7148" spans="1:7" ht="12.75" customHeight="1">
      <c r="A7148" s="3">
        <v>97083</v>
      </c>
      <c r="B7148" s="4" t="s">
        <v>7172</v>
      </c>
      <c r="C7148" s="3" t="s">
        <v>409</v>
      </c>
      <c r="D7148" s="5">
        <f t="shared" si="224"/>
        <v>2.85</v>
      </c>
      <c r="E7148">
        <v>3.13</v>
      </c>
      <c r="F7148" s="1789">
        <v>8.8999999999999996E-2</v>
      </c>
      <c r="G7148">
        <f t="shared" si="225"/>
        <v>2.85</v>
      </c>
    </row>
    <row r="7149" spans="1:7" ht="12.75" customHeight="1">
      <c r="A7149" s="3">
        <v>97084</v>
      </c>
      <c r="B7149" s="4" t="s">
        <v>7173</v>
      </c>
      <c r="C7149" s="3" t="s">
        <v>409</v>
      </c>
      <c r="D7149" s="5">
        <f t="shared" si="224"/>
        <v>0.6</v>
      </c>
      <c r="E7149">
        <v>0.66</v>
      </c>
      <c r="F7149" s="1789">
        <v>8.8999999999999996E-2</v>
      </c>
      <c r="G7149">
        <f t="shared" si="225"/>
        <v>0.6</v>
      </c>
    </row>
    <row r="7150" spans="1:7" ht="12.75" customHeight="1">
      <c r="A7150" s="3">
        <v>97086</v>
      </c>
      <c r="B7150" s="4" t="s">
        <v>7174</v>
      </c>
      <c r="C7150" s="3" t="s">
        <v>409</v>
      </c>
      <c r="D7150" s="5">
        <f t="shared" si="224"/>
        <v>110.51</v>
      </c>
      <c r="E7150">
        <v>121.31</v>
      </c>
      <c r="F7150" s="1789">
        <v>8.8999999999999996E-2</v>
      </c>
      <c r="G7150">
        <f t="shared" si="225"/>
        <v>110.51</v>
      </c>
    </row>
    <row r="7151" spans="1:7" ht="12.75" customHeight="1">
      <c r="A7151" s="3">
        <v>97087</v>
      </c>
      <c r="B7151" s="4" t="s">
        <v>7175</v>
      </c>
      <c r="C7151" s="3" t="s">
        <v>409</v>
      </c>
      <c r="D7151" s="5">
        <f t="shared" si="224"/>
        <v>3.03</v>
      </c>
      <c r="E7151">
        <v>3.33</v>
      </c>
      <c r="F7151" s="1789">
        <v>8.8999999999999996E-2</v>
      </c>
      <c r="G7151">
        <f t="shared" si="225"/>
        <v>3.03</v>
      </c>
    </row>
    <row r="7152" spans="1:7" ht="12.75" customHeight="1">
      <c r="A7152" s="3">
        <v>97088</v>
      </c>
      <c r="B7152" s="4" t="s">
        <v>7176</v>
      </c>
      <c r="C7152" s="3" t="s">
        <v>54</v>
      </c>
      <c r="D7152" s="5">
        <f t="shared" si="224"/>
        <v>16.420000000000002</v>
      </c>
      <c r="E7152">
        <v>18.03</v>
      </c>
      <c r="F7152" s="1789">
        <v>8.8999999999999996E-2</v>
      </c>
      <c r="G7152">
        <f t="shared" si="225"/>
        <v>16.420000000000002</v>
      </c>
    </row>
    <row r="7153" spans="1:7" ht="12.75" customHeight="1">
      <c r="A7153" s="3">
        <v>97089</v>
      </c>
      <c r="B7153" s="4" t="s">
        <v>7177</v>
      </c>
      <c r="C7153" s="3" t="s">
        <v>54</v>
      </c>
      <c r="D7153" s="5">
        <f t="shared" si="224"/>
        <v>15.01</v>
      </c>
      <c r="E7153">
        <v>16.48</v>
      </c>
      <c r="F7153" s="1789">
        <v>8.8999999999999996E-2</v>
      </c>
      <c r="G7153">
        <f t="shared" si="225"/>
        <v>15.01</v>
      </c>
    </row>
    <row r="7154" spans="1:7" ht="12.75" customHeight="1">
      <c r="A7154" s="3">
        <v>97090</v>
      </c>
      <c r="B7154" s="4" t="s">
        <v>7178</v>
      </c>
      <c r="C7154" s="3" t="s">
        <v>54</v>
      </c>
      <c r="D7154" s="5">
        <f t="shared" si="224"/>
        <v>14.73</v>
      </c>
      <c r="E7154">
        <v>16.170000000000002</v>
      </c>
      <c r="F7154" s="1789">
        <v>8.8999999999999996E-2</v>
      </c>
      <c r="G7154">
        <f t="shared" si="225"/>
        <v>14.73</v>
      </c>
    </row>
    <row r="7155" spans="1:7" ht="12.75" customHeight="1">
      <c r="A7155" s="3">
        <v>97091</v>
      </c>
      <c r="B7155" s="4" t="s">
        <v>7179</v>
      </c>
      <c r="C7155" s="3" t="s">
        <v>54</v>
      </c>
      <c r="D7155" s="5">
        <f t="shared" si="224"/>
        <v>14.28</v>
      </c>
      <c r="E7155">
        <v>15.68</v>
      </c>
      <c r="F7155" s="1789">
        <v>8.8999999999999996E-2</v>
      </c>
      <c r="G7155">
        <f t="shared" si="225"/>
        <v>14.28</v>
      </c>
    </row>
    <row r="7156" spans="1:7" ht="12.75" customHeight="1">
      <c r="A7156" s="3">
        <v>97092</v>
      </c>
      <c r="B7156" s="4" t="s">
        <v>7180</v>
      </c>
      <c r="C7156" s="3" t="s">
        <v>54</v>
      </c>
      <c r="D7156" s="5">
        <f t="shared" si="224"/>
        <v>13.81</v>
      </c>
      <c r="E7156">
        <v>15.17</v>
      </c>
      <c r="F7156" s="1789">
        <v>8.8999999999999996E-2</v>
      </c>
      <c r="G7156">
        <f t="shared" si="225"/>
        <v>13.81</v>
      </c>
    </row>
    <row r="7157" spans="1:7" ht="12.75" customHeight="1">
      <c r="A7157" s="3">
        <v>97093</v>
      </c>
      <c r="B7157" s="4" t="s">
        <v>7181</v>
      </c>
      <c r="C7157" s="3" t="s">
        <v>54</v>
      </c>
      <c r="D7157" s="5">
        <f t="shared" si="224"/>
        <v>12.96</v>
      </c>
      <c r="E7157">
        <v>14.23</v>
      </c>
      <c r="F7157" s="1789">
        <v>8.8999999999999996E-2</v>
      </c>
      <c r="G7157">
        <f t="shared" si="225"/>
        <v>12.96</v>
      </c>
    </row>
    <row r="7158" spans="1:7" ht="12.75" customHeight="1">
      <c r="A7158" s="3">
        <v>97096</v>
      </c>
      <c r="B7158" s="4" t="s">
        <v>7182</v>
      </c>
      <c r="C7158" s="3" t="s">
        <v>152</v>
      </c>
      <c r="D7158" s="5">
        <f t="shared" si="224"/>
        <v>765.64</v>
      </c>
      <c r="E7158">
        <v>840.44</v>
      </c>
      <c r="F7158" s="1789">
        <v>8.8999999999999996E-2</v>
      </c>
      <c r="G7158">
        <f t="shared" si="225"/>
        <v>765.64</v>
      </c>
    </row>
    <row r="7159" spans="1:7" ht="12.75" customHeight="1">
      <c r="A7159" s="3">
        <v>97097</v>
      </c>
      <c r="B7159" s="4" t="s">
        <v>7183</v>
      </c>
      <c r="C7159" s="3" t="s">
        <v>409</v>
      </c>
      <c r="D7159" s="5">
        <f t="shared" si="224"/>
        <v>37.229999999999997</v>
      </c>
      <c r="E7159">
        <v>40.869999999999997</v>
      </c>
      <c r="F7159" s="1789">
        <v>8.8999999999999996E-2</v>
      </c>
      <c r="G7159">
        <f t="shared" si="225"/>
        <v>37.229999999999997</v>
      </c>
    </row>
    <row r="7160" spans="1:7" ht="12.75" customHeight="1">
      <c r="A7160" s="3">
        <v>97101</v>
      </c>
      <c r="B7160" s="4" t="s">
        <v>7184</v>
      </c>
      <c r="C7160" s="3" t="s">
        <v>409</v>
      </c>
      <c r="D7160" s="5">
        <f t="shared" si="224"/>
        <v>195.85</v>
      </c>
      <c r="E7160">
        <v>214.99</v>
      </c>
      <c r="F7160" s="1789">
        <v>8.8999999999999996E-2</v>
      </c>
      <c r="G7160">
        <f t="shared" si="225"/>
        <v>195.85</v>
      </c>
    </row>
    <row r="7161" spans="1:7" ht="12.75" customHeight="1">
      <c r="A7161" s="3">
        <v>97102</v>
      </c>
      <c r="B7161" s="4" t="s">
        <v>7185</v>
      </c>
      <c r="C7161" s="3" t="s">
        <v>409</v>
      </c>
      <c r="D7161" s="5">
        <f t="shared" si="224"/>
        <v>247.12</v>
      </c>
      <c r="E7161">
        <v>271.27</v>
      </c>
      <c r="F7161" s="1789">
        <v>8.8999999999999996E-2</v>
      </c>
      <c r="G7161">
        <f t="shared" si="225"/>
        <v>247.12</v>
      </c>
    </row>
    <row r="7162" spans="1:7" ht="12.75" customHeight="1">
      <c r="A7162" s="3">
        <v>97103</v>
      </c>
      <c r="B7162" s="4" t="s">
        <v>7186</v>
      </c>
      <c r="C7162" s="3" t="s">
        <v>409</v>
      </c>
      <c r="D7162" s="5">
        <f t="shared" si="224"/>
        <v>294.79000000000002</v>
      </c>
      <c r="E7162">
        <v>323.58999999999997</v>
      </c>
      <c r="F7162" s="1789">
        <v>8.8999999999999996E-2</v>
      </c>
      <c r="G7162">
        <f t="shared" si="225"/>
        <v>294.79000000000002</v>
      </c>
    </row>
    <row r="7163" spans="1:7" ht="12.75" customHeight="1">
      <c r="A7163" s="3">
        <v>100322</v>
      </c>
      <c r="B7163" s="4" t="s">
        <v>7187</v>
      </c>
      <c r="C7163" s="3" t="s">
        <v>152</v>
      </c>
      <c r="D7163" s="5">
        <f t="shared" si="224"/>
        <v>201.69</v>
      </c>
      <c r="E7163">
        <v>221.4</v>
      </c>
      <c r="F7163" s="1789">
        <v>8.8999999999999996E-2</v>
      </c>
      <c r="G7163">
        <f t="shared" si="225"/>
        <v>201.69</v>
      </c>
    </row>
    <row r="7164" spans="1:7" ht="12.75" customHeight="1">
      <c r="A7164" s="3">
        <v>100323</v>
      </c>
      <c r="B7164" s="4" t="s">
        <v>7188</v>
      </c>
      <c r="C7164" s="3" t="s">
        <v>152</v>
      </c>
      <c r="D7164" s="5">
        <f t="shared" si="224"/>
        <v>192.53</v>
      </c>
      <c r="E7164">
        <v>211.34</v>
      </c>
      <c r="F7164" s="1789">
        <v>8.8999999999999996E-2</v>
      </c>
      <c r="G7164">
        <f t="shared" si="225"/>
        <v>192.53</v>
      </c>
    </row>
    <row r="7165" spans="1:7" ht="12.75" customHeight="1">
      <c r="A7165" s="3">
        <v>100324</v>
      </c>
      <c r="B7165" s="4" t="s">
        <v>7189</v>
      </c>
      <c r="C7165" s="3" t="s">
        <v>152</v>
      </c>
      <c r="D7165" s="5">
        <f t="shared" si="224"/>
        <v>211.06</v>
      </c>
      <c r="E7165">
        <v>231.69</v>
      </c>
      <c r="F7165" s="1789">
        <v>8.8999999999999996E-2</v>
      </c>
      <c r="G7165">
        <f t="shared" si="225"/>
        <v>211.06</v>
      </c>
    </row>
    <row r="7166" spans="1:7" ht="12.75" customHeight="1">
      <c r="A7166" s="3">
        <v>103072</v>
      </c>
      <c r="B7166" s="4" t="s">
        <v>7190</v>
      </c>
      <c r="C7166" s="3" t="s">
        <v>409</v>
      </c>
      <c r="D7166" s="5">
        <f t="shared" si="224"/>
        <v>349.25</v>
      </c>
      <c r="E7166">
        <v>383.37</v>
      </c>
      <c r="F7166" s="1789">
        <v>8.8999999999999996E-2</v>
      </c>
      <c r="G7166">
        <f t="shared" si="225"/>
        <v>349.25</v>
      </c>
    </row>
    <row r="7167" spans="1:7" ht="12.75" customHeight="1">
      <c r="A7167" s="3">
        <v>103073</v>
      </c>
      <c r="B7167" s="4" t="s">
        <v>7191</v>
      </c>
      <c r="C7167" s="3" t="s">
        <v>409</v>
      </c>
      <c r="D7167" s="5">
        <f t="shared" si="224"/>
        <v>419.93</v>
      </c>
      <c r="E7167">
        <v>460.96</v>
      </c>
      <c r="F7167" s="1789">
        <v>8.8999999999999996E-2</v>
      </c>
      <c r="G7167">
        <f t="shared" si="225"/>
        <v>419.93</v>
      </c>
    </row>
    <row r="7168" spans="1:7" ht="12.75" customHeight="1">
      <c r="A7168" s="3">
        <v>103074</v>
      </c>
      <c r="B7168" s="4" t="s">
        <v>7192</v>
      </c>
      <c r="C7168" s="3" t="s">
        <v>409</v>
      </c>
      <c r="D7168" s="5">
        <f t="shared" si="224"/>
        <v>195.89</v>
      </c>
      <c r="E7168">
        <v>215.03</v>
      </c>
      <c r="F7168" s="1789">
        <v>8.8999999999999996E-2</v>
      </c>
      <c r="G7168">
        <f t="shared" si="225"/>
        <v>195.89</v>
      </c>
    </row>
    <row r="7169" spans="1:7" ht="12.75" customHeight="1">
      <c r="A7169" s="3">
        <v>103075</v>
      </c>
      <c r="B7169" s="4" t="s">
        <v>7193</v>
      </c>
      <c r="C7169" s="3" t="s">
        <v>409</v>
      </c>
      <c r="D7169" s="5">
        <f t="shared" si="224"/>
        <v>233.12</v>
      </c>
      <c r="E7169">
        <v>255.9</v>
      </c>
      <c r="F7169" s="1789">
        <v>8.8999999999999996E-2</v>
      </c>
      <c r="G7169">
        <f t="shared" si="225"/>
        <v>233.12</v>
      </c>
    </row>
    <row r="7170" spans="1:7" ht="12.75" customHeight="1">
      <c r="A7170" s="3">
        <v>103076</v>
      </c>
      <c r="B7170" s="4" t="s">
        <v>7194</v>
      </c>
      <c r="C7170" s="3" t="s">
        <v>409</v>
      </c>
      <c r="D7170" s="5">
        <f t="shared" si="224"/>
        <v>166.46</v>
      </c>
      <c r="E7170">
        <v>182.73</v>
      </c>
      <c r="F7170" s="1789">
        <v>8.8999999999999996E-2</v>
      </c>
      <c r="G7170">
        <f t="shared" si="225"/>
        <v>166.46</v>
      </c>
    </row>
    <row r="7171" spans="1:7" ht="12.75" customHeight="1">
      <c r="A7171" s="3">
        <v>103077</v>
      </c>
      <c r="B7171" s="4" t="s">
        <v>7195</v>
      </c>
      <c r="C7171" s="3" t="s">
        <v>409</v>
      </c>
      <c r="D7171" s="5">
        <f t="shared" si="224"/>
        <v>217.72</v>
      </c>
      <c r="E7171">
        <v>239</v>
      </c>
      <c r="F7171" s="1789">
        <v>8.8999999999999996E-2</v>
      </c>
      <c r="G7171">
        <f t="shared" si="225"/>
        <v>217.72</v>
      </c>
    </row>
    <row r="7172" spans="1:7" ht="12.75" customHeight="1">
      <c r="A7172" s="3">
        <v>103078</v>
      </c>
      <c r="B7172" s="4" t="s">
        <v>7196</v>
      </c>
      <c r="C7172" s="3" t="s">
        <v>409</v>
      </c>
      <c r="D7172" s="5">
        <f t="shared" si="224"/>
        <v>265.39</v>
      </c>
      <c r="E7172">
        <v>291.32</v>
      </c>
      <c r="F7172" s="1789">
        <v>8.8999999999999996E-2</v>
      </c>
      <c r="G7172">
        <f t="shared" si="225"/>
        <v>265.39</v>
      </c>
    </row>
    <row r="7173" spans="1:7" ht="12.75" customHeight="1">
      <c r="A7173" s="3">
        <v>103079</v>
      </c>
      <c r="B7173" s="4" t="s">
        <v>7197</v>
      </c>
      <c r="C7173" s="3" t="s">
        <v>409</v>
      </c>
      <c r="D7173" s="5">
        <f t="shared" si="224"/>
        <v>319.86</v>
      </c>
      <c r="E7173">
        <v>351.11</v>
      </c>
      <c r="F7173" s="1789">
        <v>8.8999999999999996E-2</v>
      </c>
      <c r="G7173">
        <f t="shared" si="225"/>
        <v>319.86</v>
      </c>
    </row>
    <row r="7174" spans="1:7" ht="12.75" customHeight="1">
      <c r="A7174" s="3">
        <v>103080</v>
      </c>
      <c r="B7174" s="4" t="s">
        <v>7198</v>
      </c>
      <c r="C7174" s="3" t="s">
        <v>409</v>
      </c>
      <c r="D7174" s="5">
        <f t="shared" si="224"/>
        <v>390.54</v>
      </c>
      <c r="E7174">
        <v>428.7</v>
      </c>
      <c r="F7174" s="1789">
        <v>8.8999999999999996E-2</v>
      </c>
      <c r="G7174">
        <f t="shared" si="225"/>
        <v>390.54</v>
      </c>
    </row>
    <row r="7175" spans="1:7" ht="12.75" customHeight="1">
      <c r="A7175" s="3">
        <v>92263</v>
      </c>
      <c r="B7175" s="4" t="s">
        <v>7199</v>
      </c>
      <c r="C7175" s="3" t="s">
        <v>409</v>
      </c>
      <c r="D7175" s="5">
        <f t="shared" si="224"/>
        <v>187.75</v>
      </c>
      <c r="E7175">
        <v>206.1</v>
      </c>
      <c r="F7175" s="1789">
        <v>8.8999999999999996E-2</v>
      </c>
      <c r="G7175">
        <f t="shared" si="225"/>
        <v>187.75</v>
      </c>
    </row>
    <row r="7176" spans="1:7" ht="12.75" customHeight="1">
      <c r="A7176" s="3">
        <v>92264</v>
      </c>
      <c r="B7176" s="4" t="s">
        <v>7200</v>
      </c>
      <c r="C7176" s="3" t="s">
        <v>409</v>
      </c>
      <c r="D7176" s="5">
        <f t="shared" si="224"/>
        <v>248.64</v>
      </c>
      <c r="E7176">
        <v>272.94</v>
      </c>
      <c r="F7176" s="1789">
        <v>8.8999999999999996E-2</v>
      </c>
      <c r="G7176">
        <f t="shared" si="225"/>
        <v>248.64</v>
      </c>
    </row>
    <row r="7177" spans="1:7" ht="12.75" customHeight="1">
      <c r="A7177" s="3">
        <v>92265</v>
      </c>
      <c r="B7177" s="4" t="s">
        <v>7201</v>
      </c>
      <c r="C7177" s="3" t="s">
        <v>409</v>
      </c>
      <c r="D7177" s="5">
        <f t="shared" si="224"/>
        <v>135.82</v>
      </c>
      <c r="E7177">
        <v>149.09</v>
      </c>
      <c r="F7177" s="1789">
        <v>8.8999999999999996E-2</v>
      </c>
      <c r="G7177">
        <f t="shared" si="225"/>
        <v>135.82</v>
      </c>
    </row>
    <row r="7178" spans="1:7" ht="12.75" customHeight="1">
      <c r="A7178" s="3">
        <v>92266</v>
      </c>
      <c r="B7178" s="4" t="s">
        <v>7202</v>
      </c>
      <c r="C7178" s="3" t="s">
        <v>409</v>
      </c>
      <c r="D7178" s="5">
        <f t="shared" si="224"/>
        <v>188.04</v>
      </c>
      <c r="E7178">
        <v>206.42</v>
      </c>
      <c r="F7178" s="1789">
        <v>8.8999999999999996E-2</v>
      </c>
      <c r="G7178">
        <f t="shared" si="225"/>
        <v>188.04</v>
      </c>
    </row>
    <row r="7179" spans="1:7" ht="12.75" customHeight="1">
      <c r="A7179" s="3">
        <v>92267</v>
      </c>
      <c r="B7179" s="4" t="s">
        <v>7203</v>
      </c>
      <c r="C7179" s="3" t="s">
        <v>409</v>
      </c>
      <c r="D7179" s="5">
        <f t="shared" si="224"/>
        <v>69.73</v>
      </c>
      <c r="E7179">
        <v>76.55</v>
      </c>
      <c r="F7179" s="1789">
        <v>8.8999999999999996E-2</v>
      </c>
      <c r="G7179">
        <f t="shared" si="225"/>
        <v>69.73</v>
      </c>
    </row>
    <row r="7180" spans="1:7" ht="12.75" customHeight="1">
      <c r="A7180" s="3">
        <v>92268</v>
      </c>
      <c r="B7180" s="4" t="s">
        <v>7204</v>
      </c>
      <c r="C7180" s="3" t="s">
        <v>409</v>
      </c>
      <c r="D7180" s="5">
        <f t="shared" si="224"/>
        <v>117.59</v>
      </c>
      <c r="E7180">
        <v>129.08000000000001</v>
      </c>
      <c r="F7180" s="1789">
        <v>8.8999999999999996E-2</v>
      </c>
      <c r="G7180">
        <f t="shared" si="225"/>
        <v>117.59</v>
      </c>
    </row>
    <row r="7181" spans="1:7" ht="12.75" customHeight="1">
      <c r="A7181" s="3">
        <v>92269</v>
      </c>
      <c r="B7181" s="4" t="s">
        <v>7205</v>
      </c>
      <c r="C7181" s="3" t="s">
        <v>409</v>
      </c>
      <c r="D7181" s="5">
        <f t="shared" si="224"/>
        <v>153.22</v>
      </c>
      <c r="E7181">
        <v>168.19</v>
      </c>
      <c r="F7181" s="1789">
        <v>8.8999999999999996E-2</v>
      </c>
      <c r="G7181">
        <f t="shared" si="225"/>
        <v>153.22</v>
      </c>
    </row>
    <row r="7182" spans="1:7" ht="12.75" customHeight="1">
      <c r="A7182" s="3">
        <v>92270</v>
      </c>
      <c r="B7182" s="4" t="s">
        <v>7206</v>
      </c>
      <c r="C7182" s="3" t="s">
        <v>409</v>
      </c>
      <c r="D7182" s="5">
        <f t="shared" si="224"/>
        <v>143.52000000000001</v>
      </c>
      <c r="E7182">
        <v>157.55000000000001</v>
      </c>
      <c r="F7182" s="1789">
        <v>8.8999999999999996E-2</v>
      </c>
      <c r="G7182">
        <f t="shared" si="225"/>
        <v>143.52000000000001</v>
      </c>
    </row>
    <row r="7183" spans="1:7" ht="12.75" customHeight="1">
      <c r="A7183" s="3">
        <v>92271</v>
      </c>
      <c r="B7183" s="4" t="s">
        <v>7207</v>
      </c>
      <c r="C7183" s="3" t="s">
        <v>409</v>
      </c>
      <c r="D7183" s="5">
        <f t="shared" si="224"/>
        <v>85.81</v>
      </c>
      <c r="E7183">
        <v>94.2</v>
      </c>
      <c r="F7183" s="1789">
        <v>8.8999999999999996E-2</v>
      </c>
      <c r="G7183">
        <f t="shared" si="225"/>
        <v>85.81</v>
      </c>
    </row>
    <row r="7184" spans="1:7" ht="12.75" customHeight="1">
      <c r="A7184" s="3">
        <v>92272</v>
      </c>
      <c r="B7184" s="4" t="s">
        <v>7208</v>
      </c>
      <c r="C7184" s="3" t="s">
        <v>50</v>
      </c>
      <c r="D7184" s="5">
        <f t="shared" si="224"/>
        <v>44.65</v>
      </c>
      <c r="E7184">
        <v>49.02</v>
      </c>
      <c r="F7184" s="1789">
        <v>8.8999999999999996E-2</v>
      </c>
      <c r="G7184">
        <f t="shared" si="225"/>
        <v>44.65</v>
      </c>
    </row>
    <row r="7185" spans="1:7" ht="12.75" customHeight="1">
      <c r="A7185" s="3">
        <v>92273</v>
      </c>
      <c r="B7185" s="4" t="s">
        <v>7209</v>
      </c>
      <c r="C7185" s="3" t="s">
        <v>50</v>
      </c>
      <c r="D7185" s="5">
        <f t="shared" si="224"/>
        <v>17.350000000000001</v>
      </c>
      <c r="E7185">
        <v>19.05</v>
      </c>
      <c r="F7185" s="1789">
        <v>8.8999999999999996E-2</v>
      </c>
      <c r="G7185">
        <f t="shared" si="225"/>
        <v>17.350000000000001</v>
      </c>
    </row>
    <row r="7186" spans="1:7" ht="12.75" customHeight="1">
      <c r="A7186" s="3">
        <v>92409</v>
      </c>
      <c r="B7186" s="4" t="s">
        <v>7210</v>
      </c>
      <c r="C7186" s="3" t="s">
        <v>409</v>
      </c>
      <c r="D7186" s="5">
        <f t="shared" si="224"/>
        <v>237.29</v>
      </c>
      <c r="E7186">
        <v>260.48</v>
      </c>
      <c r="F7186" s="1789">
        <v>8.8999999999999996E-2</v>
      </c>
      <c r="G7186">
        <f t="shared" si="225"/>
        <v>237.29</v>
      </c>
    </row>
    <row r="7187" spans="1:7" ht="12.75" customHeight="1">
      <c r="A7187" s="3">
        <v>92411</v>
      </c>
      <c r="B7187" s="4" t="s">
        <v>7211</v>
      </c>
      <c r="C7187" s="3" t="s">
        <v>409</v>
      </c>
      <c r="D7187" s="5">
        <f t="shared" si="224"/>
        <v>152.78</v>
      </c>
      <c r="E7187">
        <v>167.71</v>
      </c>
      <c r="F7187" s="1789">
        <v>8.8999999999999996E-2</v>
      </c>
      <c r="G7187">
        <f t="shared" si="225"/>
        <v>152.78</v>
      </c>
    </row>
    <row r="7188" spans="1:7" ht="12.75" customHeight="1">
      <c r="A7188" s="3">
        <v>92413</v>
      </c>
      <c r="B7188" s="4" t="s">
        <v>7212</v>
      </c>
      <c r="C7188" s="3" t="s">
        <v>409</v>
      </c>
      <c r="D7188" s="5">
        <f t="shared" si="224"/>
        <v>97.33</v>
      </c>
      <c r="E7188">
        <v>106.84</v>
      </c>
      <c r="F7188" s="1789">
        <v>8.8999999999999996E-2</v>
      </c>
      <c r="G7188">
        <f t="shared" si="225"/>
        <v>97.33</v>
      </c>
    </row>
    <row r="7189" spans="1:7" ht="12.75" customHeight="1">
      <c r="A7189" s="3">
        <v>92415</v>
      </c>
      <c r="B7189" s="4" t="s">
        <v>7213</v>
      </c>
      <c r="C7189" s="3" t="s">
        <v>409</v>
      </c>
      <c r="D7189" s="5">
        <f t="shared" ref="D7189:D7252" si="226">G7189</f>
        <v>151.69999999999999</v>
      </c>
      <c r="E7189">
        <v>166.53</v>
      </c>
      <c r="F7189" s="1789">
        <v>8.8999999999999996E-2</v>
      </c>
      <c r="G7189">
        <f t="shared" ref="G7189:G7252" si="227">TRUNC((1-F7189)*E7189,2)</f>
        <v>151.69999999999999</v>
      </c>
    </row>
    <row r="7190" spans="1:7" ht="12.75" customHeight="1">
      <c r="A7190" s="3">
        <v>92417</v>
      </c>
      <c r="B7190" s="4" t="s">
        <v>7214</v>
      </c>
      <c r="C7190" s="3" t="s">
        <v>409</v>
      </c>
      <c r="D7190" s="5">
        <f t="shared" si="226"/>
        <v>171.05</v>
      </c>
      <c r="E7190">
        <v>187.77</v>
      </c>
      <c r="F7190" s="1789">
        <v>8.8999999999999996E-2</v>
      </c>
      <c r="G7190">
        <f t="shared" si="227"/>
        <v>171.05</v>
      </c>
    </row>
    <row r="7191" spans="1:7" ht="12.75" customHeight="1">
      <c r="A7191" s="3">
        <v>92419</v>
      </c>
      <c r="B7191" s="4" t="s">
        <v>7215</v>
      </c>
      <c r="C7191" s="3" t="s">
        <v>409</v>
      </c>
      <c r="D7191" s="5">
        <f t="shared" si="226"/>
        <v>95.63</v>
      </c>
      <c r="E7191">
        <v>104.98</v>
      </c>
      <c r="F7191" s="1789">
        <v>8.8999999999999996E-2</v>
      </c>
      <c r="G7191">
        <f t="shared" si="227"/>
        <v>95.63</v>
      </c>
    </row>
    <row r="7192" spans="1:7" ht="12.75" customHeight="1">
      <c r="A7192" s="3">
        <v>92421</v>
      </c>
      <c r="B7192" s="4" t="s">
        <v>7216</v>
      </c>
      <c r="C7192" s="3" t="s">
        <v>409</v>
      </c>
      <c r="D7192" s="5">
        <f t="shared" si="226"/>
        <v>110.47</v>
      </c>
      <c r="E7192">
        <v>121.27</v>
      </c>
      <c r="F7192" s="1789">
        <v>8.8999999999999996E-2</v>
      </c>
      <c r="G7192">
        <f t="shared" si="227"/>
        <v>110.47</v>
      </c>
    </row>
    <row r="7193" spans="1:7" ht="12.75" customHeight="1">
      <c r="A7193" s="3">
        <v>92423</v>
      </c>
      <c r="B7193" s="4" t="s">
        <v>7217</v>
      </c>
      <c r="C7193" s="3" t="s">
        <v>409</v>
      </c>
      <c r="D7193" s="5">
        <f t="shared" si="226"/>
        <v>78.510000000000005</v>
      </c>
      <c r="E7193">
        <v>86.19</v>
      </c>
      <c r="F7193" s="1789">
        <v>8.8999999999999996E-2</v>
      </c>
      <c r="G7193">
        <f t="shared" si="227"/>
        <v>78.510000000000005</v>
      </c>
    </row>
    <row r="7194" spans="1:7" ht="12.75" customHeight="1">
      <c r="A7194" s="3">
        <v>92425</v>
      </c>
      <c r="B7194" s="4" t="s">
        <v>7218</v>
      </c>
      <c r="C7194" s="3" t="s">
        <v>409</v>
      </c>
      <c r="D7194" s="5">
        <f t="shared" si="226"/>
        <v>91.41</v>
      </c>
      <c r="E7194">
        <v>100.35</v>
      </c>
      <c r="F7194" s="1789">
        <v>8.8999999999999996E-2</v>
      </c>
      <c r="G7194">
        <f t="shared" si="227"/>
        <v>91.41</v>
      </c>
    </row>
    <row r="7195" spans="1:7" ht="12.75" customHeight="1">
      <c r="A7195" s="3">
        <v>92427</v>
      </c>
      <c r="B7195" s="4" t="s">
        <v>7219</v>
      </c>
      <c r="C7195" s="3" t="s">
        <v>409</v>
      </c>
      <c r="D7195" s="5">
        <f t="shared" si="226"/>
        <v>69.86</v>
      </c>
      <c r="E7195">
        <v>76.69</v>
      </c>
      <c r="F7195" s="1789">
        <v>8.8999999999999996E-2</v>
      </c>
      <c r="G7195">
        <f t="shared" si="227"/>
        <v>69.86</v>
      </c>
    </row>
    <row r="7196" spans="1:7" ht="12.75" customHeight="1">
      <c r="A7196" s="3">
        <v>92429</v>
      </c>
      <c r="B7196" s="4" t="s">
        <v>7220</v>
      </c>
      <c r="C7196" s="3" t="s">
        <v>409</v>
      </c>
      <c r="D7196" s="5">
        <f t="shared" si="226"/>
        <v>81.8</v>
      </c>
      <c r="E7196">
        <v>89.8</v>
      </c>
      <c r="F7196" s="1789">
        <v>8.8999999999999996E-2</v>
      </c>
      <c r="G7196">
        <f t="shared" si="227"/>
        <v>81.8</v>
      </c>
    </row>
    <row r="7197" spans="1:7" ht="12.75" customHeight="1">
      <c r="A7197" s="3">
        <v>92431</v>
      </c>
      <c r="B7197" s="4" t="s">
        <v>7221</v>
      </c>
      <c r="C7197" s="3" t="s">
        <v>409</v>
      </c>
      <c r="D7197" s="5">
        <f t="shared" si="226"/>
        <v>66.86</v>
      </c>
      <c r="E7197">
        <v>73.400000000000006</v>
      </c>
      <c r="F7197" s="1789">
        <v>8.8999999999999996E-2</v>
      </c>
      <c r="G7197">
        <f t="shared" si="227"/>
        <v>66.86</v>
      </c>
    </row>
    <row r="7198" spans="1:7" ht="12.75" customHeight="1">
      <c r="A7198" s="3">
        <v>92433</v>
      </c>
      <c r="B7198" s="4" t="s">
        <v>7222</v>
      </c>
      <c r="C7198" s="3" t="s">
        <v>409</v>
      </c>
      <c r="D7198" s="5">
        <f t="shared" si="226"/>
        <v>78.209999999999994</v>
      </c>
      <c r="E7198">
        <v>85.86</v>
      </c>
      <c r="F7198" s="1789">
        <v>8.8999999999999996E-2</v>
      </c>
      <c r="G7198">
        <f t="shared" si="227"/>
        <v>78.209999999999994</v>
      </c>
    </row>
    <row r="7199" spans="1:7" ht="12.75" customHeight="1">
      <c r="A7199" s="3">
        <v>92435</v>
      </c>
      <c r="B7199" s="4" t="s">
        <v>7223</v>
      </c>
      <c r="C7199" s="3" t="s">
        <v>409</v>
      </c>
      <c r="D7199" s="5">
        <f t="shared" si="226"/>
        <v>63.52</v>
      </c>
      <c r="E7199">
        <v>69.73</v>
      </c>
      <c r="F7199" s="1789">
        <v>8.8999999999999996E-2</v>
      </c>
      <c r="G7199">
        <f t="shared" si="227"/>
        <v>63.52</v>
      </c>
    </row>
    <row r="7200" spans="1:7" ht="12.75" customHeight="1">
      <c r="A7200" s="3">
        <v>92437</v>
      </c>
      <c r="B7200" s="4" t="s">
        <v>7224</v>
      </c>
      <c r="C7200" s="3" t="s">
        <v>409</v>
      </c>
      <c r="D7200" s="5">
        <f t="shared" si="226"/>
        <v>74.489999999999995</v>
      </c>
      <c r="E7200">
        <v>81.77</v>
      </c>
      <c r="F7200" s="1789">
        <v>8.8999999999999996E-2</v>
      </c>
      <c r="G7200">
        <f t="shared" si="227"/>
        <v>74.489999999999995</v>
      </c>
    </row>
    <row r="7201" spans="1:7" ht="12.75" customHeight="1">
      <c r="A7201" s="3">
        <v>92439</v>
      </c>
      <c r="B7201" s="4" t="s">
        <v>7225</v>
      </c>
      <c r="C7201" s="3" t="s">
        <v>409</v>
      </c>
      <c r="D7201" s="5">
        <f t="shared" si="226"/>
        <v>61.11</v>
      </c>
      <c r="E7201">
        <v>67.09</v>
      </c>
      <c r="F7201" s="1789">
        <v>8.8999999999999996E-2</v>
      </c>
      <c r="G7201">
        <f t="shared" si="227"/>
        <v>61.11</v>
      </c>
    </row>
    <row r="7202" spans="1:7" ht="12.75" customHeight="1">
      <c r="A7202" s="3">
        <v>92441</v>
      </c>
      <c r="B7202" s="4" t="s">
        <v>7226</v>
      </c>
      <c r="C7202" s="3" t="s">
        <v>409</v>
      </c>
      <c r="D7202" s="5">
        <f t="shared" si="226"/>
        <v>71.8</v>
      </c>
      <c r="E7202">
        <v>78.819999999999993</v>
      </c>
      <c r="F7202" s="1789">
        <v>8.8999999999999996E-2</v>
      </c>
      <c r="G7202">
        <f t="shared" si="227"/>
        <v>71.8</v>
      </c>
    </row>
    <row r="7203" spans="1:7" ht="12.75" customHeight="1">
      <c r="A7203" s="3">
        <v>92443</v>
      </c>
      <c r="B7203" s="4" t="s">
        <v>7227</v>
      </c>
      <c r="C7203" s="3" t="s">
        <v>409</v>
      </c>
      <c r="D7203" s="5">
        <f t="shared" si="226"/>
        <v>55.79</v>
      </c>
      <c r="E7203">
        <v>61.25</v>
      </c>
      <c r="F7203" s="1789">
        <v>8.8999999999999996E-2</v>
      </c>
      <c r="G7203">
        <f t="shared" si="227"/>
        <v>55.79</v>
      </c>
    </row>
    <row r="7204" spans="1:7" ht="12.75" customHeight="1">
      <c r="A7204" s="3">
        <v>92445</v>
      </c>
      <c r="B7204" s="4" t="s">
        <v>7228</v>
      </c>
      <c r="C7204" s="3" t="s">
        <v>409</v>
      </c>
      <c r="D7204" s="5">
        <f t="shared" si="226"/>
        <v>66.11</v>
      </c>
      <c r="E7204">
        <v>72.569999999999993</v>
      </c>
      <c r="F7204" s="1789">
        <v>8.8999999999999996E-2</v>
      </c>
      <c r="G7204">
        <f t="shared" si="227"/>
        <v>66.11</v>
      </c>
    </row>
    <row r="7205" spans="1:7" ht="12.75" customHeight="1">
      <c r="A7205" s="3">
        <v>92446</v>
      </c>
      <c r="B7205" s="4" t="s">
        <v>7229</v>
      </c>
      <c r="C7205" s="3" t="s">
        <v>409</v>
      </c>
      <c r="D7205" s="5">
        <f t="shared" si="226"/>
        <v>256.82</v>
      </c>
      <c r="E7205">
        <v>281.91000000000003</v>
      </c>
      <c r="F7205" s="1789">
        <v>8.8999999999999996E-2</v>
      </c>
      <c r="G7205">
        <f t="shared" si="227"/>
        <v>256.82</v>
      </c>
    </row>
    <row r="7206" spans="1:7" ht="12.75" customHeight="1">
      <c r="A7206" s="3">
        <v>92447</v>
      </c>
      <c r="B7206" s="4" t="s">
        <v>7230</v>
      </c>
      <c r="C7206" s="3" t="s">
        <v>409</v>
      </c>
      <c r="D7206" s="5">
        <f t="shared" si="226"/>
        <v>180.24</v>
      </c>
      <c r="E7206">
        <v>197.85</v>
      </c>
      <c r="F7206" s="1789">
        <v>8.8999999999999996E-2</v>
      </c>
      <c r="G7206">
        <f t="shared" si="227"/>
        <v>180.24</v>
      </c>
    </row>
    <row r="7207" spans="1:7" ht="12.75" customHeight="1">
      <c r="A7207" s="3">
        <v>92448</v>
      </c>
      <c r="B7207" s="4" t="s">
        <v>7231</v>
      </c>
      <c r="C7207" s="3" t="s">
        <v>409</v>
      </c>
      <c r="D7207" s="5">
        <f t="shared" si="226"/>
        <v>143.94999999999999</v>
      </c>
      <c r="E7207">
        <v>158.02000000000001</v>
      </c>
      <c r="F7207" s="1789">
        <v>8.8999999999999996E-2</v>
      </c>
      <c r="G7207">
        <f t="shared" si="227"/>
        <v>143.94999999999999</v>
      </c>
    </row>
    <row r="7208" spans="1:7" ht="12.75" customHeight="1">
      <c r="A7208" s="3">
        <v>92449</v>
      </c>
      <c r="B7208" s="4" t="s">
        <v>7232</v>
      </c>
      <c r="C7208" s="3" t="s">
        <v>409</v>
      </c>
      <c r="D7208" s="5">
        <f t="shared" si="226"/>
        <v>302.89</v>
      </c>
      <c r="E7208">
        <v>332.49</v>
      </c>
      <c r="F7208" s="1789">
        <v>8.8999999999999996E-2</v>
      </c>
      <c r="G7208">
        <f t="shared" si="227"/>
        <v>302.89</v>
      </c>
    </row>
    <row r="7209" spans="1:7" ht="12.75" customHeight="1">
      <c r="A7209" s="3">
        <v>92450</v>
      </c>
      <c r="B7209" s="4" t="s">
        <v>7233</v>
      </c>
      <c r="C7209" s="3" t="s">
        <v>409</v>
      </c>
      <c r="D7209" s="5">
        <f t="shared" si="226"/>
        <v>360.93</v>
      </c>
      <c r="E7209">
        <v>396.2</v>
      </c>
      <c r="F7209" s="1789">
        <v>8.8999999999999996E-2</v>
      </c>
      <c r="G7209">
        <f t="shared" si="227"/>
        <v>360.93</v>
      </c>
    </row>
    <row r="7210" spans="1:7" ht="12.75" customHeight="1">
      <c r="A7210" s="3">
        <v>92451</v>
      </c>
      <c r="B7210" s="4" t="s">
        <v>7234</v>
      </c>
      <c r="C7210" s="3" t="s">
        <v>409</v>
      </c>
      <c r="D7210" s="5">
        <f t="shared" si="226"/>
        <v>204.13</v>
      </c>
      <c r="E7210">
        <v>224.08</v>
      </c>
      <c r="F7210" s="1789">
        <v>8.8999999999999996E-2</v>
      </c>
      <c r="G7210">
        <f t="shared" si="227"/>
        <v>204.13</v>
      </c>
    </row>
    <row r="7211" spans="1:7" ht="12.75" customHeight="1">
      <c r="A7211" s="3">
        <v>92452</v>
      </c>
      <c r="B7211" s="4" t="s">
        <v>7235</v>
      </c>
      <c r="C7211" s="3" t="s">
        <v>409</v>
      </c>
      <c r="D7211" s="5">
        <f t="shared" si="226"/>
        <v>199.25</v>
      </c>
      <c r="E7211">
        <v>218.72</v>
      </c>
      <c r="F7211" s="1789">
        <v>8.8999999999999996E-2</v>
      </c>
      <c r="G7211">
        <f t="shared" si="227"/>
        <v>199.25</v>
      </c>
    </row>
    <row r="7212" spans="1:7" ht="12.75" customHeight="1">
      <c r="A7212" s="3">
        <v>92453</v>
      </c>
      <c r="B7212" s="4" t="s">
        <v>7236</v>
      </c>
      <c r="C7212" s="3" t="s">
        <v>409</v>
      </c>
      <c r="D7212" s="5">
        <f t="shared" si="226"/>
        <v>259.76</v>
      </c>
      <c r="E7212">
        <v>285.14</v>
      </c>
      <c r="F7212" s="1789">
        <v>8.8999999999999996E-2</v>
      </c>
      <c r="G7212">
        <f t="shared" si="227"/>
        <v>259.76</v>
      </c>
    </row>
    <row r="7213" spans="1:7" ht="12.75" customHeight="1">
      <c r="A7213" s="3">
        <v>92454</v>
      </c>
      <c r="B7213" s="4" t="s">
        <v>7237</v>
      </c>
      <c r="C7213" s="3" t="s">
        <v>409</v>
      </c>
      <c r="D7213" s="5">
        <f t="shared" si="226"/>
        <v>327.42</v>
      </c>
      <c r="E7213">
        <v>359.41</v>
      </c>
      <c r="F7213" s="1789">
        <v>8.8999999999999996E-2</v>
      </c>
      <c r="G7213">
        <f t="shared" si="227"/>
        <v>327.42</v>
      </c>
    </row>
    <row r="7214" spans="1:7" ht="12.75" customHeight="1">
      <c r="A7214" s="3">
        <v>92455</v>
      </c>
      <c r="B7214" s="4" t="s">
        <v>7238</v>
      </c>
      <c r="C7214" s="3" t="s">
        <v>409</v>
      </c>
      <c r="D7214" s="5">
        <f t="shared" si="226"/>
        <v>166.96</v>
      </c>
      <c r="E7214">
        <v>183.28</v>
      </c>
      <c r="F7214" s="1789">
        <v>8.8999999999999996E-2</v>
      </c>
      <c r="G7214">
        <f t="shared" si="227"/>
        <v>166.96</v>
      </c>
    </row>
    <row r="7215" spans="1:7" ht="12.75" customHeight="1">
      <c r="A7215" s="3">
        <v>92456</v>
      </c>
      <c r="B7215" s="4" t="s">
        <v>7239</v>
      </c>
      <c r="C7215" s="3" t="s">
        <v>409</v>
      </c>
      <c r="D7215" s="5">
        <f t="shared" si="226"/>
        <v>164.72</v>
      </c>
      <c r="E7215">
        <v>180.82</v>
      </c>
      <c r="F7215" s="1789">
        <v>8.8999999999999996E-2</v>
      </c>
      <c r="G7215">
        <f t="shared" si="227"/>
        <v>164.72</v>
      </c>
    </row>
    <row r="7216" spans="1:7" ht="12.75" customHeight="1">
      <c r="A7216" s="3">
        <v>92457</v>
      </c>
      <c r="B7216" s="4" t="s">
        <v>7240</v>
      </c>
      <c r="C7216" s="3" t="s">
        <v>409</v>
      </c>
      <c r="D7216" s="5">
        <f t="shared" si="226"/>
        <v>224.87</v>
      </c>
      <c r="E7216">
        <v>246.84</v>
      </c>
      <c r="F7216" s="1789">
        <v>8.8999999999999996E-2</v>
      </c>
      <c r="G7216">
        <f t="shared" si="227"/>
        <v>224.87</v>
      </c>
    </row>
    <row r="7217" spans="1:7" ht="12.75" customHeight="1">
      <c r="A7217" s="3">
        <v>92458</v>
      </c>
      <c r="B7217" s="4" t="s">
        <v>7241</v>
      </c>
      <c r="C7217" s="3" t="s">
        <v>409</v>
      </c>
      <c r="D7217" s="5">
        <f t="shared" si="226"/>
        <v>307.12</v>
      </c>
      <c r="E7217">
        <v>337.13</v>
      </c>
      <c r="F7217" s="1789">
        <v>8.8999999999999996E-2</v>
      </c>
      <c r="G7217">
        <f t="shared" si="227"/>
        <v>307.12</v>
      </c>
    </row>
    <row r="7218" spans="1:7" ht="12.75" customHeight="1">
      <c r="A7218" s="3">
        <v>92459</v>
      </c>
      <c r="B7218" s="4" t="s">
        <v>7242</v>
      </c>
      <c r="C7218" s="3" t="s">
        <v>409</v>
      </c>
      <c r="D7218" s="5">
        <f t="shared" si="226"/>
        <v>141.04</v>
      </c>
      <c r="E7218">
        <v>154.82</v>
      </c>
      <c r="F7218" s="1789">
        <v>8.8999999999999996E-2</v>
      </c>
      <c r="G7218">
        <f t="shared" si="227"/>
        <v>141.04</v>
      </c>
    </row>
    <row r="7219" spans="1:7" ht="12.75" customHeight="1">
      <c r="A7219" s="3">
        <v>92460</v>
      </c>
      <c r="B7219" s="4" t="s">
        <v>7243</v>
      </c>
      <c r="C7219" s="3" t="s">
        <v>409</v>
      </c>
      <c r="D7219" s="5">
        <f t="shared" si="226"/>
        <v>137</v>
      </c>
      <c r="E7219">
        <v>150.38999999999999</v>
      </c>
      <c r="F7219" s="1789">
        <v>8.8999999999999996E-2</v>
      </c>
      <c r="G7219">
        <f t="shared" si="227"/>
        <v>137</v>
      </c>
    </row>
    <row r="7220" spans="1:7" ht="12.75" customHeight="1">
      <c r="A7220" s="3">
        <v>92461</v>
      </c>
      <c r="B7220" s="4" t="s">
        <v>7244</v>
      </c>
      <c r="C7220" s="3" t="s">
        <v>409</v>
      </c>
      <c r="D7220" s="5">
        <f t="shared" si="226"/>
        <v>207.59</v>
      </c>
      <c r="E7220">
        <v>227.88</v>
      </c>
      <c r="F7220" s="1789">
        <v>8.8999999999999996E-2</v>
      </c>
      <c r="G7220">
        <f t="shared" si="227"/>
        <v>207.59</v>
      </c>
    </row>
    <row r="7221" spans="1:7" ht="12.75" customHeight="1">
      <c r="A7221" s="3">
        <v>92462</v>
      </c>
      <c r="B7221" s="4" t="s">
        <v>7245</v>
      </c>
      <c r="C7221" s="3" t="s">
        <v>409</v>
      </c>
      <c r="D7221" s="5">
        <f t="shared" si="226"/>
        <v>294.77</v>
      </c>
      <c r="E7221">
        <v>323.57</v>
      </c>
      <c r="F7221" s="1789">
        <v>8.8999999999999996E-2</v>
      </c>
      <c r="G7221">
        <f t="shared" si="227"/>
        <v>294.77</v>
      </c>
    </row>
    <row r="7222" spans="1:7" ht="12.75" customHeight="1">
      <c r="A7222" s="3">
        <v>92463</v>
      </c>
      <c r="B7222" s="4" t="s">
        <v>7246</v>
      </c>
      <c r="C7222" s="3" t="s">
        <v>409</v>
      </c>
      <c r="D7222" s="5">
        <f t="shared" si="226"/>
        <v>127.74</v>
      </c>
      <c r="E7222">
        <v>140.22</v>
      </c>
      <c r="F7222" s="1789">
        <v>8.8999999999999996E-2</v>
      </c>
      <c r="G7222">
        <f t="shared" si="227"/>
        <v>127.74</v>
      </c>
    </row>
    <row r="7223" spans="1:7" ht="12.75" customHeight="1">
      <c r="A7223" s="3">
        <v>92464</v>
      </c>
      <c r="B7223" s="4" t="s">
        <v>7247</v>
      </c>
      <c r="C7223" s="3" t="s">
        <v>409</v>
      </c>
      <c r="D7223" s="5">
        <f t="shared" si="226"/>
        <v>131.86000000000001</v>
      </c>
      <c r="E7223">
        <v>144.75</v>
      </c>
      <c r="F7223" s="1789">
        <v>8.8999999999999996E-2</v>
      </c>
      <c r="G7223">
        <f t="shared" si="227"/>
        <v>131.86000000000001</v>
      </c>
    </row>
    <row r="7224" spans="1:7" ht="12.75" customHeight="1">
      <c r="A7224" s="3">
        <v>92465</v>
      </c>
      <c r="B7224" s="4" t="s">
        <v>7248</v>
      </c>
      <c r="C7224" s="3" t="s">
        <v>409</v>
      </c>
      <c r="D7224" s="5">
        <f t="shared" si="226"/>
        <v>164.18</v>
      </c>
      <c r="E7224">
        <v>180.23</v>
      </c>
      <c r="F7224" s="1789">
        <v>8.8999999999999996E-2</v>
      </c>
      <c r="G7224">
        <f t="shared" si="227"/>
        <v>164.18</v>
      </c>
    </row>
    <row r="7225" spans="1:7" ht="12.75" customHeight="1">
      <c r="A7225" s="3">
        <v>92466</v>
      </c>
      <c r="B7225" s="4" t="s">
        <v>7249</v>
      </c>
      <c r="C7225" s="3" t="s">
        <v>409</v>
      </c>
      <c r="D7225" s="5">
        <f t="shared" si="226"/>
        <v>289.97000000000003</v>
      </c>
      <c r="E7225">
        <v>318.3</v>
      </c>
      <c r="F7225" s="1789">
        <v>8.8999999999999996E-2</v>
      </c>
      <c r="G7225">
        <f t="shared" si="227"/>
        <v>289.97000000000003</v>
      </c>
    </row>
    <row r="7226" spans="1:7" ht="12.75" customHeight="1">
      <c r="A7226" s="3">
        <v>92467</v>
      </c>
      <c r="B7226" s="4" t="s">
        <v>7250</v>
      </c>
      <c r="C7226" s="3" t="s">
        <v>409</v>
      </c>
      <c r="D7226" s="5">
        <f t="shared" si="226"/>
        <v>105.07</v>
      </c>
      <c r="E7226">
        <v>115.34</v>
      </c>
      <c r="F7226" s="1789">
        <v>8.8999999999999996E-2</v>
      </c>
      <c r="G7226">
        <f t="shared" si="227"/>
        <v>105.07</v>
      </c>
    </row>
    <row r="7227" spans="1:7" ht="12.75" customHeight="1">
      <c r="A7227" s="3">
        <v>92468</v>
      </c>
      <c r="B7227" s="4" t="s">
        <v>7251</v>
      </c>
      <c r="C7227" s="3" t="s">
        <v>409</v>
      </c>
      <c r="D7227" s="5">
        <f t="shared" si="226"/>
        <v>127.06</v>
      </c>
      <c r="E7227">
        <v>139.47999999999999</v>
      </c>
      <c r="F7227" s="1789">
        <v>8.8999999999999996E-2</v>
      </c>
      <c r="G7227">
        <f t="shared" si="227"/>
        <v>127.06</v>
      </c>
    </row>
    <row r="7228" spans="1:7" ht="12.75" customHeight="1">
      <c r="A7228" s="3">
        <v>92469</v>
      </c>
      <c r="B7228" s="4" t="s">
        <v>7252</v>
      </c>
      <c r="C7228" s="3" t="s">
        <v>409</v>
      </c>
      <c r="D7228" s="5">
        <f t="shared" si="226"/>
        <v>149</v>
      </c>
      <c r="E7228">
        <v>163.56</v>
      </c>
      <c r="F7228" s="1789">
        <v>8.8999999999999996E-2</v>
      </c>
      <c r="G7228">
        <f t="shared" si="227"/>
        <v>149</v>
      </c>
    </row>
    <row r="7229" spans="1:7" ht="12.75" customHeight="1">
      <c r="A7229" s="3">
        <v>92470</v>
      </c>
      <c r="B7229" s="4" t="s">
        <v>7253</v>
      </c>
      <c r="C7229" s="3" t="s">
        <v>409</v>
      </c>
      <c r="D7229" s="5">
        <f t="shared" si="226"/>
        <v>283.33</v>
      </c>
      <c r="E7229">
        <v>311.01</v>
      </c>
      <c r="F7229" s="1789">
        <v>8.8999999999999996E-2</v>
      </c>
      <c r="G7229">
        <f t="shared" si="227"/>
        <v>283.33</v>
      </c>
    </row>
    <row r="7230" spans="1:7" ht="12.75" customHeight="1">
      <c r="A7230" s="3">
        <v>92471</v>
      </c>
      <c r="B7230" s="4" t="s">
        <v>7254</v>
      </c>
      <c r="C7230" s="3" t="s">
        <v>409</v>
      </c>
      <c r="D7230" s="5">
        <f t="shared" si="226"/>
        <v>95.46</v>
      </c>
      <c r="E7230">
        <v>104.79</v>
      </c>
      <c r="F7230" s="1789">
        <v>8.8999999999999996E-2</v>
      </c>
      <c r="G7230">
        <f t="shared" si="227"/>
        <v>95.46</v>
      </c>
    </row>
    <row r="7231" spans="1:7" ht="12.75" customHeight="1">
      <c r="A7231" s="3">
        <v>92472</v>
      </c>
      <c r="B7231" s="4" t="s">
        <v>7255</v>
      </c>
      <c r="C7231" s="3" t="s">
        <v>409</v>
      </c>
      <c r="D7231" s="5">
        <f t="shared" si="226"/>
        <v>121.04</v>
      </c>
      <c r="E7231">
        <v>132.87</v>
      </c>
      <c r="F7231" s="1789">
        <v>8.8999999999999996E-2</v>
      </c>
      <c r="G7231">
        <f t="shared" si="227"/>
        <v>121.04</v>
      </c>
    </row>
    <row r="7232" spans="1:7" ht="12.75" customHeight="1">
      <c r="A7232" s="3">
        <v>92473</v>
      </c>
      <c r="B7232" s="4" t="s">
        <v>7256</v>
      </c>
      <c r="C7232" s="3" t="s">
        <v>409</v>
      </c>
      <c r="D7232" s="5">
        <f t="shared" si="226"/>
        <v>136.81</v>
      </c>
      <c r="E7232">
        <v>150.18</v>
      </c>
      <c r="F7232" s="1789">
        <v>8.8999999999999996E-2</v>
      </c>
      <c r="G7232">
        <f t="shared" si="227"/>
        <v>136.81</v>
      </c>
    </row>
    <row r="7233" spans="1:7" ht="12.75" customHeight="1">
      <c r="A7233" s="3">
        <v>92474</v>
      </c>
      <c r="B7233" s="4" t="s">
        <v>7257</v>
      </c>
      <c r="C7233" s="3" t="s">
        <v>409</v>
      </c>
      <c r="D7233" s="5">
        <f t="shared" si="226"/>
        <v>277.69</v>
      </c>
      <c r="E7233">
        <v>304.82</v>
      </c>
      <c r="F7233" s="1789">
        <v>8.8999999999999996E-2</v>
      </c>
      <c r="G7233">
        <f t="shared" si="227"/>
        <v>277.69</v>
      </c>
    </row>
    <row r="7234" spans="1:7" ht="12.75" customHeight="1">
      <c r="A7234" s="3">
        <v>92475</v>
      </c>
      <c r="B7234" s="4" t="s">
        <v>7258</v>
      </c>
      <c r="C7234" s="3" t="s">
        <v>409</v>
      </c>
      <c r="D7234" s="5">
        <f t="shared" si="226"/>
        <v>87.73</v>
      </c>
      <c r="E7234">
        <v>96.31</v>
      </c>
      <c r="F7234" s="1789">
        <v>8.8999999999999996E-2</v>
      </c>
      <c r="G7234">
        <f t="shared" si="227"/>
        <v>87.73</v>
      </c>
    </row>
    <row r="7235" spans="1:7" ht="12.75" customHeight="1">
      <c r="A7235" s="3">
        <v>92476</v>
      </c>
      <c r="B7235" s="4" t="s">
        <v>7259</v>
      </c>
      <c r="C7235" s="3" t="s">
        <v>409</v>
      </c>
      <c r="D7235" s="5">
        <f t="shared" si="226"/>
        <v>116</v>
      </c>
      <c r="E7235">
        <v>127.34</v>
      </c>
      <c r="F7235" s="1789">
        <v>8.8999999999999996E-2</v>
      </c>
      <c r="G7235">
        <f t="shared" si="227"/>
        <v>116</v>
      </c>
    </row>
    <row r="7236" spans="1:7" ht="12.75" customHeight="1">
      <c r="A7236" s="3">
        <v>92477</v>
      </c>
      <c r="B7236" s="4" t="s">
        <v>7260</v>
      </c>
      <c r="C7236" s="3" t="s">
        <v>409</v>
      </c>
      <c r="D7236" s="5">
        <f t="shared" si="226"/>
        <v>110.41</v>
      </c>
      <c r="E7236">
        <v>121.2</v>
      </c>
      <c r="F7236" s="1789">
        <v>8.8999999999999996E-2</v>
      </c>
      <c r="G7236">
        <f t="shared" si="227"/>
        <v>110.41</v>
      </c>
    </row>
    <row r="7237" spans="1:7" ht="12.75" customHeight="1">
      <c r="A7237" s="3">
        <v>92478</v>
      </c>
      <c r="B7237" s="4" t="s">
        <v>7261</v>
      </c>
      <c r="C7237" s="3" t="s">
        <v>409</v>
      </c>
      <c r="D7237" s="5">
        <f t="shared" si="226"/>
        <v>266.32</v>
      </c>
      <c r="E7237">
        <v>292.33999999999997</v>
      </c>
      <c r="F7237" s="1789">
        <v>8.8999999999999996E-2</v>
      </c>
      <c r="G7237">
        <f t="shared" si="227"/>
        <v>266.32</v>
      </c>
    </row>
    <row r="7238" spans="1:7" ht="12.75" customHeight="1">
      <c r="A7238" s="3">
        <v>92479</v>
      </c>
      <c r="B7238" s="4" t="s">
        <v>7262</v>
      </c>
      <c r="C7238" s="3" t="s">
        <v>409</v>
      </c>
      <c r="D7238" s="5">
        <f t="shared" si="226"/>
        <v>70.98</v>
      </c>
      <c r="E7238">
        <v>77.92</v>
      </c>
      <c r="F7238" s="1789">
        <v>8.8999999999999996E-2</v>
      </c>
      <c r="G7238">
        <f t="shared" si="227"/>
        <v>70.98</v>
      </c>
    </row>
    <row r="7239" spans="1:7" ht="12.75" customHeight="1">
      <c r="A7239" s="3">
        <v>92480</v>
      </c>
      <c r="B7239" s="4" t="s">
        <v>7263</v>
      </c>
      <c r="C7239" s="3" t="s">
        <v>409</v>
      </c>
      <c r="D7239" s="5">
        <f t="shared" si="226"/>
        <v>105.71</v>
      </c>
      <c r="E7239">
        <v>116.04</v>
      </c>
      <c r="F7239" s="1789">
        <v>8.8999999999999996E-2</v>
      </c>
      <c r="G7239">
        <f t="shared" si="227"/>
        <v>105.71</v>
      </c>
    </row>
    <row r="7240" spans="1:7" ht="12.75" customHeight="1">
      <c r="A7240" s="3">
        <v>92482</v>
      </c>
      <c r="B7240" s="4" t="s">
        <v>7264</v>
      </c>
      <c r="C7240" s="3" t="s">
        <v>409</v>
      </c>
      <c r="D7240" s="5">
        <f t="shared" si="226"/>
        <v>276.54000000000002</v>
      </c>
      <c r="E7240">
        <v>303.56</v>
      </c>
      <c r="F7240" s="1789">
        <v>8.8999999999999996E-2</v>
      </c>
      <c r="G7240">
        <f t="shared" si="227"/>
        <v>276.54000000000002</v>
      </c>
    </row>
    <row r="7241" spans="1:7" ht="12.75" customHeight="1">
      <c r="A7241" s="3">
        <v>92484</v>
      </c>
      <c r="B7241" s="4" t="s">
        <v>7265</v>
      </c>
      <c r="C7241" s="3" t="s">
        <v>409</v>
      </c>
      <c r="D7241" s="5">
        <f t="shared" si="226"/>
        <v>193.39</v>
      </c>
      <c r="E7241">
        <v>212.29</v>
      </c>
      <c r="F7241" s="1789">
        <v>8.8999999999999996E-2</v>
      </c>
      <c r="G7241">
        <f t="shared" si="227"/>
        <v>193.39</v>
      </c>
    </row>
    <row r="7242" spans="1:7" ht="12.75" customHeight="1">
      <c r="A7242" s="3">
        <v>92486</v>
      </c>
      <c r="B7242" s="4" t="s">
        <v>7266</v>
      </c>
      <c r="C7242" s="3" t="s">
        <v>409</v>
      </c>
      <c r="D7242" s="5">
        <f t="shared" si="226"/>
        <v>139.82</v>
      </c>
      <c r="E7242">
        <v>153.49</v>
      </c>
      <c r="F7242" s="1789">
        <v>8.8999999999999996E-2</v>
      </c>
      <c r="G7242">
        <f t="shared" si="227"/>
        <v>139.82</v>
      </c>
    </row>
    <row r="7243" spans="1:7" ht="12.75" customHeight="1">
      <c r="A7243" s="3">
        <v>92488</v>
      </c>
      <c r="B7243" s="4" t="s">
        <v>7267</v>
      </c>
      <c r="C7243" s="3" t="s">
        <v>409</v>
      </c>
      <c r="D7243" s="5">
        <f t="shared" si="226"/>
        <v>115.21</v>
      </c>
      <c r="E7243">
        <v>126.47</v>
      </c>
      <c r="F7243" s="1789">
        <v>8.8999999999999996E-2</v>
      </c>
      <c r="G7243">
        <f t="shared" si="227"/>
        <v>115.21</v>
      </c>
    </row>
    <row r="7244" spans="1:7" ht="12.75" customHeight="1">
      <c r="A7244" s="3">
        <v>92490</v>
      </c>
      <c r="B7244" s="4" t="s">
        <v>7268</v>
      </c>
      <c r="C7244" s="3" t="s">
        <v>409</v>
      </c>
      <c r="D7244" s="5">
        <f t="shared" si="226"/>
        <v>74.03</v>
      </c>
      <c r="E7244">
        <v>81.27</v>
      </c>
      <c r="F7244" s="1789">
        <v>8.8999999999999996E-2</v>
      </c>
      <c r="G7244">
        <f t="shared" si="227"/>
        <v>74.03</v>
      </c>
    </row>
    <row r="7245" spans="1:7" ht="12.75" customHeight="1">
      <c r="A7245" s="3">
        <v>92492</v>
      </c>
      <c r="B7245" s="4" t="s">
        <v>7269</v>
      </c>
      <c r="C7245" s="3" t="s">
        <v>409</v>
      </c>
      <c r="D7245" s="5">
        <f t="shared" si="226"/>
        <v>109.58</v>
      </c>
      <c r="E7245">
        <v>120.29</v>
      </c>
      <c r="F7245" s="1789">
        <v>8.8999999999999996E-2</v>
      </c>
      <c r="G7245">
        <f t="shared" si="227"/>
        <v>109.58</v>
      </c>
    </row>
    <row r="7246" spans="1:7" ht="12.75" customHeight="1">
      <c r="A7246" s="3">
        <v>92494</v>
      </c>
      <c r="B7246" s="4" t="s">
        <v>7270</v>
      </c>
      <c r="C7246" s="3" t="s">
        <v>409</v>
      </c>
      <c r="D7246" s="5">
        <f t="shared" si="226"/>
        <v>69.319999999999993</v>
      </c>
      <c r="E7246">
        <v>76.099999999999994</v>
      </c>
      <c r="F7246" s="1789">
        <v>8.8999999999999996E-2</v>
      </c>
      <c r="G7246">
        <f t="shared" si="227"/>
        <v>69.319999999999993</v>
      </c>
    </row>
    <row r="7247" spans="1:7" ht="12.75" customHeight="1">
      <c r="A7247" s="3">
        <v>92496</v>
      </c>
      <c r="B7247" s="4" t="s">
        <v>7271</v>
      </c>
      <c r="C7247" s="3" t="s">
        <v>409</v>
      </c>
      <c r="D7247" s="5">
        <f t="shared" si="226"/>
        <v>105</v>
      </c>
      <c r="E7247">
        <v>115.26</v>
      </c>
      <c r="F7247" s="1789">
        <v>8.8999999999999996E-2</v>
      </c>
      <c r="G7247">
        <f t="shared" si="227"/>
        <v>105</v>
      </c>
    </row>
    <row r="7248" spans="1:7" ht="12.75" customHeight="1">
      <c r="A7248" s="3">
        <v>92498</v>
      </c>
      <c r="B7248" s="4" t="s">
        <v>7272</v>
      </c>
      <c r="C7248" s="3" t="s">
        <v>409</v>
      </c>
      <c r="D7248" s="5">
        <f t="shared" si="226"/>
        <v>65.52</v>
      </c>
      <c r="E7248">
        <v>71.930000000000007</v>
      </c>
      <c r="F7248" s="1789">
        <v>8.8999999999999996E-2</v>
      </c>
      <c r="G7248">
        <f t="shared" si="227"/>
        <v>65.52</v>
      </c>
    </row>
    <row r="7249" spans="1:7" ht="12.75" customHeight="1">
      <c r="A7249" s="3">
        <v>92500</v>
      </c>
      <c r="B7249" s="4" t="s">
        <v>7273</v>
      </c>
      <c r="C7249" s="3" t="s">
        <v>409</v>
      </c>
      <c r="D7249" s="5">
        <f t="shared" si="226"/>
        <v>101.55</v>
      </c>
      <c r="E7249">
        <v>111.48</v>
      </c>
      <c r="F7249" s="1789">
        <v>8.8999999999999996E-2</v>
      </c>
      <c r="G7249">
        <f t="shared" si="227"/>
        <v>101.55</v>
      </c>
    </row>
    <row r="7250" spans="1:7" ht="12.75" customHeight="1">
      <c r="A7250" s="3">
        <v>92502</v>
      </c>
      <c r="B7250" s="4" t="s">
        <v>7274</v>
      </c>
      <c r="C7250" s="3" t="s">
        <v>409</v>
      </c>
      <c r="D7250" s="5">
        <f t="shared" si="226"/>
        <v>62.85</v>
      </c>
      <c r="E7250">
        <v>69</v>
      </c>
      <c r="F7250" s="1789">
        <v>8.8999999999999996E-2</v>
      </c>
      <c r="G7250">
        <f t="shared" si="227"/>
        <v>62.85</v>
      </c>
    </row>
    <row r="7251" spans="1:7" ht="12.75" customHeight="1">
      <c r="A7251" s="3">
        <v>92504</v>
      </c>
      <c r="B7251" s="4" t="s">
        <v>7275</v>
      </c>
      <c r="C7251" s="3" t="s">
        <v>409</v>
      </c>
      <c r="D7251" s="5">
        <f t="shared" si="226"/>
        <v>95.19</v>
      </c>
      <c r="E7251">
        <v>104.49</v>
      </c>
      <c r="F7251" s="1789">
        <v>8.8999999999999996E-2</v>
      </c>
      <c r="G7251">
        <f t="shared" si="227"/>
        <v>95.19</v>
      </c>
    </row>
    <row r="7252" spans="1:7" ht="12.75" customHeight="1">
      <c r="A7252" s="3">
        <v>92506</v>
      </c>
      <c r="B7252" s="4" t="s">
        <v>7276</v>
      </c>
      <c r="C7252" s="3" t="s">
        <v>409</v>
      </c>
      <c r="D7252" s="5">
        <f t="shared" si="226"/>
        <v>57.81</v>
      </c>
      <c r="E7252">
        <v>63.46</v>
      </c>
      <c r="F7252" s="1789">
        <v>8.8999999999999996E-2</v>
      </c>
      <c r="G7252">
        <f t="shared" si="227"/>
        <v>57.81</v>
      </c>
    </row>
    <row r="7253" spans="1:7" ht="12.75" customHeight="1">
      <c r="A7253" s="3">
        <v>92508</v>
      </c>
      <c r="B7253" s="4" t="s">
        <v>7277</v>
      </c>
      <c r="C7253" s="3" t="s">
        <v>409</v>
      </c>
      <c r="D7253" s="5">
        <f t="shared" ref="D7253:D7316" si="228">G7253</f>
        <v>117.06</v>
      </c>
      <c r="E7253">
        <v>128.5</v>
      </c>
      <c r="F7253" s="1789">
        <v>8.8999999999999996E-2</v>
      </c>
      <c r="G7253">
        <f t="shared" ref="G7253:G7316" si="229">TRUNC((1-F7253)*E7253,2)</f>
        <v>117.06</v>
      </c>
    </row>
    <row r="7254" spans="1:7" ht="12.75" customHeight="1">
      <c r="A7254" s="3">
        <v>92510</v>
      </c>
      <c r="B7254" s="4" t="s">
        <v>7278</v>
      </c>
      <c r="C7254" s="3" t="s">
        <v>409</v>
      </c>
      <c r="D7254" s="5">
        <f t="shared" si="228"/>
        <v>74.3</v>
      </c>
      <c r="E7254">
        <v>81.56</v>
      </c>
      <c r="F7254" s="1789">
        <v>8.8999999999999996E-2</v>
      </c>
      <c r="G7254">
        <f t="shared" si="229"/>
        <v>74.3</v>
      </c>
    </row>
    <row r="7255" spans="1:7" ht="12.75" customHeight="1">
      <c r="A7255" s="3">
        <v>92512</v>
      </c>
      <c r="B7255" s="4" t="s">
        <v>7279</v>
      </c>
      <c r="C7255" s="3" t="s">
        <v>409</v>
      </c>
      <c r="D7255" s="5">
        <f t="shared" si="228"/>
        <v>98.24</v>
      </c>
      <c r="E7255">
        <v>107.84</v>
      </c>
      <c r="F7255" s="1789">
        <v>8.8999999999999996E-2</v>
      </c>
      <c r="G7255">
        <f t="shared" si="229"/>
        <v>98.24</v>
      </c>
    </row>
    <row r="7256" spans="1:7" ht="12.75" customHeight="1">
      <c r="A7256" s="3">
        <v>92514</v>
      </c>
      <c r="B7256" s="4" t="s">
        <v>7280</v>
      </c>
      <c r="C7256" s="3" t="s">
        <v>409</v>
      </c>
      <c r="D7256" s="5">
        <f t="shared" si="228"/>
        <v>56.46</v>
      </c>
      <c r="E7256">
        <v>61.98</v>
      </c>
      <c r="F7256" s="1789">
        <v>8.8999999999999996E-2</v>
      </c>
      <c r="G7256">
        <f t="shared" si="229"/>
        <v>56.46</v>
      </c>
    </row>
    <row r="7257" spans="1:7" ht="12.75" customHeight="1">
      <c r="A7257" s="3">
        <v>92515</v>
      </c>
      <c r="B7257" s="4" t="s">
        <v>7281</v>
      </c>
      <c r="C7257" s="3" t="s">
        <v>409</v>
      </c>
      <c r="D7257" s="5">
        <f t="shared" si="228"/>
        <v>89.34</v>
      </c>
      <c r="E7257">
        <v>98.07</v>
      </c>
      <c r="F7257" s="1789">
        <v>8.8999999999999996E-2</v>
      </c>
      <c r="G7257">
        <f t="shared" si="229"/>
        <v>89.34</v>
      </c>
    </row>
    <row r="7258" spans="1:7" ht="12.75" customHeight="1">
      <c r="A7258" s="3">
        <v>92518</v>
      </c>
      <c r="B7258" s="4" t="s">
        <v>7282</v>
      </c>
      <c r="C7258" s="3" t="s">
        <v>409</v>
      </c>
      <c r="D7258" s="5">
        <f t="shared" si="228"/>
        <v>48.5</v>
      </c>
      <c r="E7258">
        <v>53.24</v>
      </c>
      <c r="F7258" s="1789">
        <v>8.8999999999999996E-2</v>
      </c>
      <c r="G7258">
        <f t="shared" si="229"/>
        <v>48.5</v>
      </c>
    </row>
    <row r="7259" spans="1:7" ht="12.75" customHeight="1">
      <c r="A7259" s="3">
        <v>92520</v>
      </c>
      <c r="B7259" s="4" t="s">
        <v>7283</v>
      </c>
      <c r="C7259" s="3" t="s">
        <v>409</v>
      </c>
      <c r="D7259" s="5">
        <f t="shared" si="228"/>
        <v>83.8</v>
      </c>
      <c r="E7259">
        <v>91.99</v>
      </c>
      <c r="F7259" s="1789">
        <v>8.8999999999999996E-2</v>
      </c>
      <c r="G7259">
        <f t="shared" si="229"/>
        <v>83.8</v>
      </c>
    </row>
    <row r="7260" spans="1:7" ht="12.75" customHeight="1">
      <c r="A7260" s="3">
        <v>92522</v>
      </c>
      <c r="B7260" s="4" t="s">
        <v>7284</v>
      </c>
      <c r="C7260" s="3" t="s">
        <v>409</v>
      </c>
      <c r="D7260" s="5">
        <f t="shared" si="228"/>
        <v>43.82</v>
      </c>
      <c r="E7260">
        <v>48.11</v>
      </c>
      <c r="F7260" s="1789">
        <v>8.8999999999999996E-2</v>
      </c>
      <c r="G7260">
        <f t="shared" si="229"/>
        <v>43.82</v>
      </c>
    </row>
    <row r="7261" spans="1:7" ht="12.75" customHeight="1">
      <c r="A7261" s="3">
        <v>92524</v>
      </c>
      <c r="B7261" s="4" t="s">
        <v>7285</v>
      </c>
      <c r="C7261" s="3" t="s">
        <v>409</v>
      </c>
      <c r="D7261" s="5">
        <f t="shared" si="228"/>
        <v>84.27</v>
      </c>
      <c r="E7261">
        <v>92.51</v>
      </c>
      <c r="F7261" s="1789">
        <v>8.8999999999999996E-2</v>
      </c>
      <c r="G7261">
        <f t="shared" si="229"/>
        <v>84.27</v>
      </c>
    </row>
    <row r="7262" spans="1:7" ht="12.75" customHeight="1">
      <c r="A7262" s="3">
        <v>92526</v>
      </c>
      <c r="B7262" s="4" t="s">
        <v>7286</v>
      </c>
      <c r="C7262" s="3" t="s">
        <v>409</v>
      </c>
      <c r="D7262" s="5">
        <f t="shared" si="228"/>
        <v>45.11</v>
      </c>
      <c r="E7262">
        <v>49.52</v>
      </c>
      <c r="F7262" s="1789">
        <v>8.8999999999999996E-2</v>
      </c>
      <c r="G7262">
        <f t="shared" si="229"/>
        <v>45.11</v>
      </c>
    </row>
    <row r="7263" spans="1:7" ht="12.75" customHeight="1">
      <c r="A7263" s="3">
        <v>92528</v>
      </c>
      <c r="B7263" s="4" t="s">
        <v>7287</v>
      </c>
      <c r="C7263" s="3" t="s">
        <v>409</v>
      </c>
      <c r="D7263" s="5">
        <f t="shared" si="228"/>
        <v>80.86</v>
      </c>
      <c r="E7263">
        <v>88.77</v>
      </c>
      <c r="F7263" s="1789">
        <v>8.8999999999999996E-2</v>
      </c>
      <c r="G7263">
        <f t="shared" si="229"/>
        <v>80.86</v>
      </c>
    </row>
    <row r="7264" spans="1:7" ht="12.75" customHeight="1">
      <c r="A7264" s="3">
        <v>92530</v>
      </c>
      <c r="B7264" s="4" t="s">
        <v>7288</v>
      </c>
      <c r="C7264" s="3" t="s">
        <v>409</v>
      </c>
      <c r="D7264" s="5">
        <f t="shared" si="228"/>
        <v>42.45</v>
      </c>
      <c r="E7264">
        <v>46.6</v>
      </c>
      <c r="F7264" s="1789">
        <v>8.8999999999999996E-2</v>
      </c>
      <c r="G7264">
        <f t="shared" si="229"/>
        <v>42.45</v>
      </c>
    </row>
    <row r="7265" spans="1:7" ht="12.75" customHeight="1">
      <c r="A7265" s="3">
        <v>92532</v>
      </c>
      <c r="B7265" s="4" t="s">
        <v>7289</v>
      </c>
      <c r="C7265" s="3" t="s">
        <v>409</v>
      </c>
      <c r="D7265" s="5">
        <f t="shared" si="228"/>
        <v>77.989999999999995</v>
      </c>
      <c r="E7265">
        <v>85.61</v>
      </c>
      <c r="F7265" s="1789">
        <v>8.8999999999999996E-2</v>
      </c>
      <c r="G7265">
        <f t="shared" si="229"/>
        <v>77.989999999999995</v>
      </c>
    </row>
    <row r="7266" spans="1:7" ht="12.75" customHeight="1">
      <c r="A7266" s="3">
        <v>92534</v>
      </c>
      <c r="B7266" s="4" t="s">
        <v>7290</v>
      </c>
      <c r="C7266" s="3" t="s">
        <v>409</v>
      </c>
      <c r="D7266" s="5">
        <f t="shared" si="228"/>
        <v>40.22</v>
      </c>
      <c r="E7266">
        <v>44.16</v>
      </c>
      <c r="F7266" s="1789">
        <v>8.8999999999999996E-2</v>
      </c>
      <c r="G7266">
        <f t="shared" si="229"/>
        <v>40.22</v>
      </c>
    </row>
    <row r="7267" spans="1:7" ht="12.75" customHeight="1">
      <c r="A7267" s="3">
        <v>92536</v>
      </c>
      <c r="B7267" s="4" t="s">
        <v>7291</v>
      </c>
      <c r="C7267" s="3" t="s">
        <v>409</v>
      </c>
      <c r="D7267" s="5">
        <f t="shared" si="228"/>
        <v>72.28</v>
      </c>
      <c r="E7267">
        <v>79.349999999999994</v>
      </c>
      <c r="F7267" s="1789">
        <v>8.8999999999999996E-2</v>
      </c>
      <c r="G7267">
        <f t="shared" si="229"/>
        <v>72.28</v>
      </c>
    </row>
    <row r="7268" spans="1:7" ht="12.75" customHeight="1">
      <c r="A7268" s="3">
        <v>92538</v>
      </c>
      <c r="B7268" s="4" t="s">
        <v>7292</v>
      </c>
      <c r="C7268" s="3" t="s">
        <v>409</v>
      </c>
      <c r="D7268" s="5">
        <f t="shared" si="228"/>
        <v>35.72</v>
      </c>
      <c r="E7268">
        <v>39.21</v>
      </c>
      <c r="F7268" s="1789">
        <v>8.8999999999999996E-2</v>
      </c>
      <c r="G7268">
        <f t="shared" si="229"/>
        <v>35.72</v>
      </c>
    </row>
    <row r="7269" spans="1:7" ht="12.75" customHeight="1">
      <c r="A7269" s="3">
        <v>96252</v>
      </c>
      <c r="B7269" s="4" t="s">
        <v>7293</v>
      </c>
      <c r="C7269" s="3" t="s">
        <v>409</v>
      </c>
      <c r="D7269" s="5">
        <f t="shared" si="228"/>
        <v>182.22</v>
      </c>
      <c r="E7269">
        <v>200.03</v>
      </c>
      <c r="F7269" s="1789">
        <v>8.8999999999999996E-2</v>
      </c>
      <c r="G7269">
        <f t="shared" si="229"/>
        <v>182.22</v>
      </c>
    </row>
    <row r="7270" spans="1:7" ht="12.75" customHeight="1">
      <c r="A7270" s="3">
        <v>96258</v>
      </c>
      <c r="B7270" s="4" t="s">
        <v>7294</v>
      </c>
      <c r="C7270" s="3" t="s">
        <v>409</v>
      </c>
      <c r="D7270" s="5">
        <f t="shared" si="228"/>
        <v>148.68</v>
      </c>
      <c r="E7270">
        <v>163.21</v>
      </c>
      <c r="F7270" s="1789">
        <v>8.8999999999999996E-2</v>
      </c>
      <c r="G7270">
        <f t="shared" si="229"/>
        <v>148.68</v>
      </c>
    </row>
    <row r="7271" spans="1:7" ht="12.75" customHeight="1">
      <c r="A7271" s="3">
        <v>96529</v>
      </c>
      <c r="B7271" s="4" t="s">
        <v>7295</v>
      </c>
      <c r="C7271" s="3" t="s">
        <v>409</v>
      </c>
      <c r="D7271" s="5">
        <f t="shared" si="228"/>
        <v>253.56</v>
      </c>
      <c r="E7271">
        <v>278.33999999999997</v>
      </c>
      <c r="F7271" s="1789">
        <v>8.8999999999999996E-2</v>
      </c>
      <c r="G7271">
        <f t="shared" si="229"/>
        <v>253.56</v>
      </c>
    </row>
    <row r="7272" spans="1:7" ht="12.75" customHeight="1">
      <c r="A7272" s="3">
        <v>96530</v>
      </c>
      <c r="B7272" s="4" t="s">
        <v>7296</v>
      </c>
      <c r="C7272" s="3" t="s">
        <v>409</v>
      </c>
      <c r="D7272" s="5">
        <f t="shared" si="228"/>
        <v>153.94999999999999</v>
      </c>
      <c r="E7272">
        <v>169</v>
      </c>
      <c r="F7272" s="1789">
        <v>8.8999999999999996E-2</v>
      </c>
      <c r="G7272">
        <f t="shared" si="229"/>
        <v>153.94999999999999</v>
      </c>
    </row>
    <row r="7273" spans="1:7" ht="12.75" customHeight="1">
      <c r="A7273" s="3">
        <v>96531</v>
      </c>
      <c r="B7273" s="4" t="s">
        <v>7297</v>
      </c>
      <c r="C7273" s="3" t="s">
        <v>409</v>
      </c>
      <c r="D7273" s="5">
        <f t="shared" si="228"/>
        <v>106.86</v>
      </c>
      <c r="E7273">
        <v>117.31</v>
      </c>
      <c r="F7273" s="1789">
        <v>8.8999999999999996E-2</v>
      </c>
      <c r="G7273">
        <f t="shared" si="229"/>
        <v>106.86</v>
      </c>
    </row>
    <row r="7274" spans="1:7" ht="12.75" customHeight="1">
      <c r="A7274" s="3">
        <v>96532</v>
      </c>
      <c r="B7274" s="4" t="s">
        <v>7298</v>
      </c>
      <c r="C7274" s="3" t="s">
        <v>409</v>
      </c>
      <c r="D7274" s="5">
        <f t="shared" si="228"/>
        <v>165.43</v>
      </c>
      <c r="E7274">
        <v>181.6</v>
      </c>
      <c r="F7274" s="1789">
        <v>8.8999999999999996E-2</v>
      </c>
      <c r="G7274">
        <f t="shared" si="229"/>
        <v>165.43</v>
      </c>
    </row>
    <row r="7275" spans="1:7" ht="12.75" customHeight="1">
      <c r="A7275" s="3">
        <v>96533</v>
      </c>
      <c r="B7275" s="4" t="s">
        <v>7299</v>
      </c>
      <c r="C7275" s="3" t="s">
        <v>409</v>
      </c>
      <c r="D7275" s="5">
        <f t="shared" si="228"/>
        <v>95.7</v>
      </c>
      <c r="E7275">
        <v>105.05</v>
      </c>
      <c r="F7275" s="1789">
        <v>8.8999999999999996E-2</v>
      </c>
      <c r="G7275">
        <f t="shared" si="229"/>
        <v>95.7</v>
      </c>
    </row>
    <row r="7276" spans="1:7" ht="12.75" customHeight="1">
      <c r="A7276" s="3">
        <v>96534</v>
      </c>
      <c r="B7276" s="4" t="s">
        <v>7300</v>
      </c>
      <c r="C7276" s="3" t="s">
        <v>409</v>
      </c>
      <c r="D7276" s="5">
        <f t="shared" si="228"/>
        <v>74.739999999999995</v>
      </c>
      <c r="E7276">
        <v>82.05</v>
      </c>
      <c r="F7276" s="1789">
        <v>8.8999999999999996E-2</v>
      </c>
      <c r="G7276">
        <f t="shared" si="229"/>
        <v>74.739999999999995</v>
      </c>
    </row>
    <row r="7277" spans="1:7" ht="12.75" customHeight="1">
      <c r="A7277" s="3">
        <v>96535</v>
      </c>
      <c r="B7277" s="4" t="s">
        <v>7301</v>
      </c>
      <c r="C7277" s="3" t="s">
        <v>409</v>
      </c>
      <c r="D7277" s="5">
        <f t="shared" si="228"/>
        <v>119.61</v>
      </c>
      <c r="E7277">
        <v>131.30000000000001</v>
      </c>
      <c r="F7277" s="1789">
        <v>8.8999999999999996E-2</v>
      </c>
      <c r="G7277">
        <f t="shared" si="229"/>
        <v>119.61</v>
      </c>
    </row>
    <row r="7278" spans="1:7" ht="12.75" customHeight="1">
      <c r="A7278" s="3">
        <v>96536</v>
      </c>
      <c r="B7278" s="4" t="s">
        <v>7302</v>
      </c>
      <c r="C7278" s="3" t="s">
        <v>409</v>
      </c>
      <c r="D7278" s="5">
        <f t="shared" si="228"/>
        <v>65.36</v>
      </c>
      <c r="E7278">
        <v>71.75</v>
      </c>
      <c r="F7278" s="1789">
        <v>8.8999999999999996E-2</v>
      </c>
      <c r="G7278">
        <f t="shared" si="229"/>
        <v>65.36</v>
      </c>
    </row>
    <row r="7279" spans="1:7" ht="12.75" customHeight="1">
      <c r="A7279" s="3">
        <v>96537</v>
      </c>
      <c r="B7279" s="4" t="s">
        <v>7303</v>
      </c>
      <c r="C7279" s="3" t="s">
        <v>409</v>
      </c>
      <c r="D7279" s="5">
        <f t="shared" si="228"/>
        <v>186.91</v>
      </c>
      <c r="E7279">
        <v>205.18</v>
      </c>
      <c r="F7279" s="1789">
        <v>8.8999999999999996E-2</v>
      </c>
      <c r="G7279">
        <f t="shared" si="229"/>
        <v>186.91</v>
      </c>
    </row>
    <row r="7280" spans="1:7" ht="12.75" customHeight="1">
      <c r="A7280" s="3">
        <v>96538</v>
      </c>
      <c r="B7280" s="4" t="s">
        <v>7304</v>
      </c>
      <c r="C7280" s="3" t="s">
        <v>409</v>
      </c>
      <c r="D7280" s="5">
        <f t="shared" si="228"/>
        <v>232.46</v>
      </c>
      <c r="E7280">
        <v>255.18</v>
      </c>
      <c r="F7280" s="1789">
        <v>8.8999999999999996E-2</v>
      </c>
      <c r="G7280">
        <f t="shared" si="229"/>
        <v>232.46</v>
      </c>
    </row>
    <row r="7281" spans="1:7" ht="12.75" customHeight="1">
      <c r="A7281" s="3">
        <v>96539</v>
      </c>
      <c r="B7281" s="4" t="s">
        <v>7305</v>
      </c>
      <c r="C7281" s="3" t="s">
        <v>409</v>
      </c>
      <c r="D7281" s="5">
        <f t="shared" si="228"/>
        <v>130.6</v>
      </c>
      <c r="E7281">
        <v>143.36000000000001</v>
      </c>
      <c r="F7281" s="1789">
        <v>8.8999999999999996E-2</v>
      </c>
      <c r="G7281">
        <f t="shared" si="229"/>
        <v>130.6</v>
      </c>
    </row>
    <row r="7282" spans="1:7" ht="12.75" customHeight="1">
      <c r="A7282" s="3">
        <v>96540</v>
      </c>
      <c r="B7282" s="4" t="s">
        <v>7306</v>
      </c>
      <c r="C7282" s="3" t="s">
        <v>409</v>
      </c>
      <c r="D7282" s="5">
        <f t="shared" si="228"/>
        <v>125.74</v>
      </c>
      <c r="E7282">
        <v>138.03</v>
      </c>
      <c r="F7282" s="1789">
        <v>8.8999999999999996E-2</v>
      </c>
      <c r="G7282">
        <f t="shared" si="229"/>
        <v>125.74</v>
      </c>
    </row>
    <row r="7283" spans="1:7" ht="12.75" customHeight="1">
      <c r="A7283" s="3">
        <v>96541</v>
      </c>
      <c r="B7283" s="4" t="s">
        <v>7307</v>
      </c>
      <c r="C7283" s="3" t="s">
        <v>409</v>
      </c>
      <c r="D7283" s="5">
        <f t="shared" si="228"/>
        <v>164.64</v>
      </c>
      <c r="E7283">
        <v>180.73</v>
      </c>
      <c r="F7283" s="1789">
        <v>8.8999999999999996E-2</v>
      </c>
      <c r="G7283">
        <f t="shared" si="229"/>
        <v>164.64</v>
      </c>
    </row>
    <row r="7284" spans="1:7" ht="12.75" customHeight="1">
      <c r="A7284" s="3">
        <v>96542</v>
      </c>
      <c r="B7284" s="4" t="s">
        <v>7308</v>
      </c>
      <c r="C7284" s="3" t="s">
        <v>409</v>
      </c>
      <c r="D7284" s="5">
        <f t="shared" si="228"/>
        <v>91.96</v>
      </c>
      <c r="E7284">
        <v>100.95</v>
      </c>
      <c r="F7284" s="1789">
        <v>8.8999999999999996E-2</v>
      </c>
      <c r="G7284">
        <f t="shared" si="229"/>
        <v>91.96</v>
      </c>
    </row>
    <row r="7285" spans="1:7" ht="12.75" customHeight="1">
      <c r="A7285" s="3">
        <v>96543</v>
      </c>
      <c r="B7285" s="4" t="s">
        <v>7309</v>
      </c>
      <c r="C7285" s="3" t="s">
        <v>54</v>
      </c>
      <c r="D7285" s="5">
        <f t="shared" si="228"/>
        <v>18.59</v>
      </c>
      <c r="E7285">
        <v>20.41</v>
      </c>
      <c r="F7285" s="1789">
        <v>8.8999999999999996E-2</v>
      </c>
      <c r="G7285">
        <f t="shared" si="229"/>
        <v>18.59</v>
      </c>
    </row>
    <row r="7286" spans="1:7" ht="12.75" customHeight="1">
      <c r="A7286" s="3">
        <v>101791</v>
      </c>
      <c r="B7286" s="4" t="s">
        <v>7310</v>
      </c>
      <c r="C7286" s="3" t="s">
        <v>50</v>
      </c>
      <c r="D7286" s="5">
        <f t="shared" si="228"/>
        <v>32.049999999999997</v>
      </c>
      <c r="E7286">
        <v>35.19</v>
      </c>
      <c r="F7286" s="1789">
        <v>8.8999999999999996E-2</v>
      </c>
      <c r="G7286">
        <f t="shared" si="229"/>
        <v>32.049999999999997</v>
      </c>
    </row>
    <row r="7287" spans="1:7" ht="12.75" customHeight="1">
      <c r="A7287" s="3">
        <v>101792</v>
      </c>
      <c r="B7287" s="4" t="s">
        <v>7311</v>
      </c>
      <c r="C7287" s="3" t="s">
        <v>152</v>
      </c>
      <c r="D7287" s="5">
        <f t="shared" si="228"/>
        <v>16.5</v>
      </c>
      <c r="E7287">
        <v>18.12</v>
      </c>
      <c r="F7287" s="1789">
        <v>8.8999999999999996E-2</v>
      </c>
      <c r="G7287">
        <f t="shared" si="229"/>
        <v>16.5</v>
      </c>
    </row>
    <row r="7288" spans="1:7" ht="12.75" customHeight="1">
      <c r="A7288" s="3">
        <v>101793</v>
      </c>
      <c r="B7288" s="4" t="s">
        <v>7312</v>
      </c>
      <c r="C7288" s="3" t="s">
        <v>152</v>
      </c>
      <c r="D7288" s="5">
        <f t="shared" si="228"/>
        <v>27.06</v>
      </c>
      <c r="E7288">
        <v>29.71</v>
      </c>
      <c r="F7288" s="1789">
        <v>8.8999999999999996E-2</v>
      </c>
      <c r="G7288">
        <f t="shared" si="229"/>
        <v>27.06</v>
      </c>
    </row>
    <row r="7289" spans="1:7" ht="12.75" customHeight="1">
      <c r="A7289" s="3">
        <v>101969</v>
      </c>
      <c r="B7289" s="4" t="s">
        <v>7313</v>
      </c>
      <c r="C7289" s="3" t="s">
        <v>409</v>
      </c>
      <c r="D7289" s="5">
        <f t="shared" si="228"/>
        <v>233.01</v>
      </c>
      <c r="E7289">
        <v>255.78</v>
      </c>
      <c r="F7289" s="1789">
        <v>8.8999999999999996E-2</v>
      </c>
      <c r="G7289">
        <f t="shared" si="229"/>
        <v>233.01</v>
      </c>
    </row>
    <row r="7290" spans="1:7" ht="12.75" customHeight="1">
      <c r="A7290" s="3">
        <v>101971</v>
      </c>
      <c r="B7290" s="4" t="s">
        <v>7314</v>
      </c>
      <c r="C7290" s="3" t="s">
        <v>409</v>
      </c>
      <c r="D7290" s="5">
        <f t="shared" si="228"/>
        <v>178.41</v>
      </c>
      <c r="E7290">
        <v>195.85</v>
      </c>
      <c r="F7290" s="1789">
        <v>8.8999999999999996E-2</v>
      </c>
      <c r="G7290">
        <f t="shared" si="229"/>
        <v>178.41</v>
      </c>
    </row>
    <row r="7291" spans="1:7" ht="12.75" customHeight="1">
      <c r="A7291" s="3">
        <v>101973</v>
      </c>
      <c r="B7291" s="4" t="s">
        <v>7315</v>
      </c>
      <c r="C7291" s="3" t="s">
        <v>409</v>
      </c>
      <c r="D7291" s="5">
        <f t="shared" si="228"/>
        <v>177.31</v>
      </c>
      <c r="E7291">
        <v>194.64</v>
      </c>
      <c r="F7291" s="1789">
        <v>8.8999999999999996E-2</v>
      </c>
      <c r="G7291">
        <f t="shared" si="229"/>
        <v>177.31</v>
      </c>
    </row>
    <row r="7292" spans="1:7" ht="12.75" customHeight="1">
      <c r="A7292" s="3">
        <v>101974</v>
      </c>
      <c r="B7292" s="4" t="s">
        <v>7316</v>
      </c>
      <c r="C7292" s="3" t="s">
        <v>409</v>
      </c>
      <c r="D7292" s="5">
        <f t="shared" si="228"/>
        <v>428.78</v>
      </c>
      <c r="E7292">
        <v>470.68</v>
      </c>
      <c r="F7292" s="1789">
        <v>8.8999999999999996E-2</v>
      </c>
      <c r="G7292">
        <f t="shared" si="229"/>
        <v>428.78</v>
      </c>
    </row>
    <row r="7293" spans="1:7" ht="12.75" customHeight="1">
      <c r="A7293" s="3">
        <v>101975</v>
      </c>
      <c r="B7293" s="4" t="s">
        <v>7317</v>
      </c>
      <c r="C7293" s="3" t="s">
        <v>409</v>
      </c>
      <c r="D7293" s="5">
        <f t="shared" si="228"/>
        <v>365.46</v>
      </c>
      <c r="E7293">
        <v>401.17</v>
      </c>
      <c r="F7293" s="1789">
        <v>8.8999999999999996E-2</v>
      </c>
      <c r="G7293">
        <f t="shared" si="229"/>
        <v>365.46</v>
      </c>
    </row>
    <row r="7294" spans="1:7" ht="12.75" customHeight="1">
      <c r="A7294" s="3">
        <v>101977</v>
      </c>
      <c r="B7294" s="4" t="s">
        <v>7318</v>
      </c>
      <c r="C7294" s="3" t="s">
        <v>409</v>
      </c>
      <c r="D7294" s="5">
        <f t="shared" si="228"/>
        <v>321.08999999999997</v>
      </c>
      <c r="E7294">
        <v>352.46</v>
      </c>
      <c r="F7294" s="1789">
        <v>8.8999999999999996E-2</v>
      </c>
      <c r="G7294">
        <f t="shared" si="229"/>
        <v>321.08999999999997</v>
      </c>
    </row>
    <row r="7295" spans="1:7" ht="12.75" customHeight="1">
      <c r="A7295" s="3">
        <v>101980</v>
      </c>
      <c r="B7295" s="4" t="s">
        <v>7319</v>
      </c>
      <c r="C7295" s="3" t="s">
        <v>409</v>
      </c>
      <c r="D7295" s="5">
        <f t="shared" si="228"/>
        <v>307.88</v>
      </c>
      <c r="E7295">
        <v>337.96</v>
      </c>
      <c r="F7295" s="1789">
        <v>8.8999999999999996E-2</v>
      </c>
      <c r="G7295">
        <f t="shared" si="229"/>
        <v>307.88</v>
      </c>
    </row>
    <row r="7296" spans="1:7" ht="12.75" customHeight="1">
      <c r="A7296" s="3">
        <v>101981</v>
      </c>
      <c r="B7296" s="4" t="s">
        <v>7320</v>
      </c>
      <c r="C7296" s="3" t="s">
        <v>409</v>
      </c>
      <c r="D7296" s="5">
        <f t="shared" si="228"/>
        <v>268.52</v>
      </c>
      <c r="E7296">
        <v>294.76</v>
      </c>
      <c r="F7296" s="1789">
        <v>8.8999999999999996E-2</v>
      </c>
      <c r="G7296">
        <f t="shared" si="229"/>
        <v>268.52</v>
      </c>
    </row>
    <row r="7297" spans="1:7" ht="12.75" customHeight="1">
      <c r="A7297" s="3">
        <v>101982</v>
      </c>
      <c r="B7297" s="4" t="s">
        <v>7321</v>
      </c>
      <c r="C7297" s="3" t="s">
        <v>409</v>
      </c>
      <c r="D7297" s="5">
        <f t="shared" si="228"/>
        <v>238.29</v>
      </c>
      <c r="E7297">
        <v>261.57</v>
      </c>
      <c r="F7297" s="1789">
        <v>8.8999999999999996E-2</v>
      </c>
      <c r="G7297">
        <f t="shared" si="229"/>
        <v>238.29</v>
      </c>
    </row>
    <row r="7298" spans="1:7" ht="12.75" customHeight="1">
      <c r="A7298" s="3">
        <v>101983</v>
      </c>
      <c r="B7298" s="4" t="s">
        <v>7322</v>
      </c>
      <c r="C7298" s="3" t="s">
        <v>409</v>
      </c>
      <c r="D7298" s="5">
        <f t="shared" si="228"/>
        <v>219.19</v>
      </c>
      <c r="E7298">
        <v>240.61</v>
      </c>
      <c r="F7298" s="1789">
        <v>8.8999999999999996E-2</v>
      </c>
      <c r="G7298">
        <f t="shared" si="229"/>
        <v>219.19</v>
      </c>
    </row>
    <row r="7299" spans="1:7" ht="12.75" customHeight="1">
      <c r="A7299" s="3">
        <v>101985</v>
      </c>
      <c r="B7299" s="4" t="s">
        <v>7323</v>
      </c>
      <c r="C7299" s="3" t="s">
        <v>409</v>
      </c>
      <c r="D7299" s="5">
        <f t="shared" si="228"/>
        <v>242.8</v>
      </c>
      <c r="E7299">
        <v>266.52999999999997</v>
      </c>
      <c r="F7299" s="1789">
        <v>8.8999999999999996E-2</v>
      </c>
      <c r="G7299">
        <f t="shared" si="229"/>
        <v>242.8</v>
      </c>
    </row>
    <row r="7300" spans="1:7" ht="12.75" customHeight="1">
      <c r="A7300" s="3">
        <v>101986</v>
      </c>
      <c r="B7300" s="4" t="s">
        <v>7324</v>
      </c>
      <c r="C7300" s="3" t="s">
        <v>409</v>
      </c>
      <c r="D7300" s="5">
        <f t="shared" si="228"/>
        <v>173.39</v>
      </c>
      <c r="E7300">
        <v>190.33</v>
      </c>
      <c r="F7300" s="1789">
        <v>8.8999999999999996E-2</v>
      </c>
      <c r="G7300">
        <f t="shared" si="229"/>
        <v>173.39</v>
      </c>
    </row>
    <row r="7301" spans="1:7" ht="12.75" customHeight="1">
      <c r="A7301" s="3">
        <v>101987</v>
      </c>
      <c r="B7301" s="4" t="s">
        <v>7325</v>
      </c>
      <c r="C7301" s="3" t="s">
        <v>409</v>
      </c>
      <c r="D7301" s="5">
        <f t="shared" si="228"/>
        <v>203.46</v>
      </c>
      <c r="E7301">
        <v>223.34</v>
      </c>
      <c r="F7301" s="1789">
        <v>8.8999999999999996E-2</v>
      </c>
      <c r="G7301">
        <f t="shared" si="229"/>
        <v>203.46</v>
      </c>
    </row>
    <row r="7302" spans="1:7" ht="12.75" customHeight="1">
      <c r="A7302" s="3">
        <v>101988</v>
      </c>
      <c r="B7302" s="4" t="s">
        <v>7326</v>
      </c>
      <c r="C7302" s="3" t="s">
        <v>409</v>
      </c>
      <c r="D7302" s="5">
        <f t="shared" si="228"/>
        <v>239.83</v>
      </c>
      <c r="E7302">
        <v>263.27</v>
      </c>
      <c r="F7302" s="1789">
        <v>8.8999999999999996E-2</v>
      </c>
      <c r="G7302">
        <f t="shared" si="229"/>
        <v>239.83</v>
      </c>
    </row>
    <row r="7303" spans="1:7" ht="12.75" customHeight="1">
      <c r="A7303" s="3">
        <v>101989</v>
      </c>
      <c r="B7303" s="4" t="s">
        <v>7327</v>
      </c>
      <c r="C7303" s="3" t="s">
        <v>409</v>
      </c>
      <c r="D7303" s="5">
        <f t="shared" si="228"/>
        <v>185.92</v>
      </c>
      <c r="E7303">
        <v>204.09</v>
      </c>
      <c r="F7303" s="1789">
        <v>8.8999999999999996E-2</v>
      </c>
      <c r="G7303">
        <f t="shared" si="229"/>
        <v>185.92</v>
      </c>
    </row>
    <row r="7304" spans="1:7" ht="12.75" customHeight="1">
      <c r="A7304" s="3">
        <v>101990</v>
      </c>
      <c r="B7304" s="4" t="s">
        <v>7328</v>
      </c>
      <c r="C7304" s="3" t="s">
        <v>409</v>
      </c>
      <c r="D7304" s="5">
        <f t="shared" si="228"/>
        <v>190.49</v>
      </c>
      <c r="E7304">
        <v>209.11</v>
      </c>
      <c r="F7304" s="1789">
        <v>8.8999999999999996E-2</v>
      </c>
      <c r="G7304">
        <f t="shared" si="229"/>
        <v>190.49</v>
      </c>
    </row>
    <row r="7305" spans="1:7" ht="12.75" customHeight="1">
      <c r="A7305" s="3">
        <v>101991</v>
      </c>
      <c r="B7305" s="4" t="s">
        <v>7329</v>
      </c>
      <c r="C7305" s="3" t="s">
        <v>409</v>
      </c>
      <c r="D7305" s="5">
        <f t="shared" si="228"/>
        <v>240.78</v>
      </c>
      <c r="E7305">
        <v>264.31</v>
      </c>
      <c r="F7305" s="1789">
        <v>8.8999999999999996E-2</v>
      </c>
      <c r="G7305">
        <f t="shared" si="229"/>
        <v>240.78</v>
      </c>
    </row>
    <row r="7306" spans="1:7" ht="12.75" customHeight="1">
      <c r="A7306" s="3">
        <v>101992</v>
      </c>
      <c r="B7306" s="4" t="s">
        <v>7330</v>
      </c>
      <c r="C7306" s="3" t="s">
        <v>409</v>
      </c>
      <c r="D7306" s="5">
        <f t="shared" si="228"/>
        <v>174.42</v>
      </c>
      <c r="E7306">
        <v>191.47</v>
      </c>
      <c r="F7306" s="1789">
        <v>8.8999999999999996E-2</v>
      </c>
      <c r="G7306">
        <f t="shared" si="229"/>
        <v>174.42</v>
      </c>
    </row>
    <row r="7307" spans="1:7" ht="12.75" customHeight="1">
      <c r="A7307" s="3">
        <v>101993</v>
      </c>
      <c r="B7307" s="4" t="s">
        <v>7331</v>
      </c>
      <c r="C7307" s="3" t="s">
        <v>409</v>
      </c>
      <c r="D7307" s="5">
        <f t="shared" si="228"/>
        <v>237.37</v>
      </c>
      <c r="E7307">
        <v>260.56</v>
      </c>
      <c r="F7307" s="1789">
        <v>8.8999999999999996E-2</v>
      </c>
      <c r="G7307">
        <f t="shared" si="229"/>
        <v>237.37</v>
      </c>
    </row>
    <row r="7308" spans="1:7" ht="12.75" customHeight="1">
      <c r="A7308" s="3">
        <v>101994</v>
      </c>
      <c r="B7308" s="4" t="s">
        <v>7332</v>
      </c>
      <c r="C7308" s="3" t="s">
        <v>409</v>
      </c>
      <c r="D7308" s="5">
        <f t="shared" si="228"/>
        <v>256.64</v>
      </c>
      <c r="E7308">
        <v>281.72000000000003</v>
      </c>
      <c r="F7308" s="1789">
        <v>8.8999999999999996E-2</v>
      </c>
      <c r="G7308">
        <f t="shared" si="229"/>
        <v>256.64</v>
      </c>
    </row>
    <row r="7309" spans="1:7" ht="12.75" customHeight="1">
      <c r="A7309" s="3">
        <v>101995</v>
      </c>
      <c r="B7309" s="4" t="s">
        <v>7333</v>
      </c>
      <c r="C7309" s="3" t="s">
        <v>409</v>
      </c>
      <c r="D7309" s="5">
        <f t="shared" si="228"/>
        <v>196.12</v>
      </c>
      <c r="E7309">
        <v>215.28</v>
      </c>
      <c r="F7309" s="1789">
        <v>8.8999999999999996E-2</v>
      </c>
      <c r="G7309">
        <f t="shared" si="229"/>
        <v>196.12</v>
      </c>
    </row>
    <row r="7310" spans="1:7" ht="12.75" customHeight="1">
      <c r="A7310" s="3">
        <v>101996</v>
      </c>
      <c r="B7310" s="4" t="s">
        <v>7334</v>
      </c>
      <c r="C7310" s="3" t="s">
        <v>409</v>
      </c>
      <c r="D7310" s="5">
        <f t="shared" si="228"/>
        <v>204.14</v>
      </c>
      <c r="E7310">
        <v>224.09</v>
      </c>
      <c r="F7310" s="1789">
        <v>8.8999999999999996E-2</v>
      </c>
      <c r="G7310">
        <f t="shared" si="229"/>
        <v>204.14</v>
      </c>
    </row>
    <row r="7311" spans="1:7" ht="12.75" customHeight="1">
      <c r="A7311" s="3">
        <v>101997</v>
      </c>
      <c r="B7311" s="4" t="s">
        <v>7335</v>
      </c>
      <c r="C7311" s="3" t="s">
        <v>409</v>
      </c>
      <c r="D7311" s="5">
        <f t="shared" si="228"/>
        <v>240.68</v>
      </c>
      <c r="E7311">
        <v>264.2</v>
      </c>
      <c r="F7311" s="1789">
        <v>8.8999999999999996E-2</v>
      </c>
      <c r="G7311">
        <f t="shared" si="229"/>
        <v>240.68</v>
      </c>
    </row>
    <row r="7312" spans="1:7" ht="12.75" customHeight="1">
      <c r="A7312" s="3">
        <v>101998</v>
      </c>
      <c r="B7312" s="4" t="s">
        <v>7336</v>
      </c>
      <c r="C7312" s="3" t="s">
        <v>409</v>
      </c>
      <c r="D7312" s="5">
        <f t="shared" si="228"/>
        <v>172.81</v>
      </c>
      <c r="E7312">
        <v>189.7</v>
      </c>
      <c r="F7312" s="1789">
        <v>8.8999999999999996E-2</v>
      </c>
      <c r="G7312">
        <f t="shared" si="229"/>
        <v>172.81</v>
      </c>
    </row>
    <row r="7313" spans="1:7" ht="12.75" customHeight="1">
      <c r="A7313" s="3">
        <v>101999</v>
      </c>
      <c r="B7313" s="4" t="s">
        <v>7337</v>
      </c>
      <c r="C7313" s="3" t="s">
        <v>409</v>
      </c>
      <c r="D7313" s="5">
        <f t="shared" si="228"/>
        <v>253.65</v>
      </c>
      <c r="E7313">
        <v>278.44</v>
      </c>
      <c r="F7313" s="1789">
        <v>8.8999999999999996E-2</v>
      </c>
      <c r="G7313">
        <f t="shared" si="229"/>
        <v>253.65</v>
      </c>
    </row>
    <row r="7314" spans="1:7" ht="12.75" customHeight="1">
      <c r="A7314" s="3">
        <v>102000</v>
      </c>
      <c r="B7314" s="4" t="s">
        <v>7338</v>
      </c>
      <c r="C7314" s="3" t="s">
        <v>409</v>
      </c>
      <c r="D7314" s="5">
        <f t="shared" si="228"/>
        <v>423.97</v>
      </c>
      <c r="E7314">
        <v>465.4</v>
      </c>
      <c r="F7314" s="1789">
        <v>8.8999999999999996E-2</v>
      </c>
      <c r="G7314">
        <f t="shared" si="229"/>
        <v>423.97</v>
      </c>
    </row>
    <row r="7315" spans="1:7" ht="12.75" customHeight="1">
      <c r="A7315" s="3">
        <v>102001</v>
      </c>
      <c r="B7315" s="4" t="s">
        <v>7339</v>
      </c>
      <c r="C7315" s="3" t="s">
        <v>409</v>
      </c>
      <c r="D7315" s="5">
        <f t="shared" si="228"/>
        <v>365</v>
      </c>
      <c r="E7315">
        <v>400.66</v>
      </c>
      <c r="F7315" s="1789">
        <v>8.8999999999999996E-2</v>
      </c>
      <c r="G7315">
        <f t="shared" si="229"/>
        <v>365</v>
      </c>
    </row>
    <row r="7316" spans="1:7" ht="12.75" customHeight="1">
      <c r="A7316" s="3">
        <v>102002</v>
      </c>
      <c r="B7316" s="4" t="s">
        <v>7340</v>
      </c>
      <c r="C7316" s="3" t="s">
        <v>409</v>
      </c>
      <c r="D7316" s="5">
        <f t="shared" si="228"/>
        <v>307.33</v>
      </c>
      <c r="E7316">
        <v>337.36</v>
      </c>
      <c r="F7316" s="1789">
        <v>8.8999999999999996E-2</v>
      </c>
      <c r="G7316">
        <f t="shared" si="229"/>
        <v>307.33</v>
      </c>
    </row>
    <row r="7317" spans="1:7" ht="12.75" customHeight="1">
      <c r="A7317" s="3">
        <v>102003</v>
      </c>
      <c r="B7317" s="4" t="s">
        <v>7341</v>
      </c>
      <c r="C7317" s="3" t="s">
        <v>409</v>
      </c>
      <c r="D7317" s="5">
        <f t="shared" ref="D7317:D7380" si="230">G7317</f>
        <v>292.12</v>
      </c>
      <c r="E7317">
        <v>320.66000000000003</v>
      </c>
      <c r="F7317" s="1789">
        <v>8.8999999999999996E-2</v>
      </c>
      <c r="G7317">
        <f t="shared" ref="G7317:G7380" si="231">TRUNC((1-F7317)*E7317,2)</f>
        <v>292.12</v>
      </c>
    </row>
    <row r="7318" spans="1:7" ht="12.75" customHeight="1">
      <c r="A7318" s="3">
        <v>102004</v>
      </c>
      <c r="B7318" s="4" t="s">
        <v>7342</v>
      </c>
      <c r="C7318" s="3" t="s">
        <v>409</v>
      </c>
      <c r="D7318" s="5">
        <f t="shared" si="230"/>
        <v>260.69</v>
      </c>
      <c r="E7318">
        <v>286.16000000000003</v>
      </c>
      <c r="F7318" s="1789">
        <v>8.8999999999999996E-2</v>
      </c>
      <c r="G7318">
        <f t="shared" si="231"/>
        <v>260.69</v>
      </c>
    </row>
    <row r="7319" spans="1:7" ht="12.75" customHeight="1">
      <c r="A7319" s="3">
        <v>102005</v>
      </c>
      <c r="B7319" s="4" t="s">
        <v>7343</v>
      </c>
      <c r="C7319" s="3" t="s">
        <v>409</v>
      </c>
      <c r="D7319" s="5">
        <f t="shared" si="230"/>
        <v>229.37</v>
      </c>
      <c r="E7319">
        <v>251.78</v>
      </c>
      <c r="F7319" s="1789">
        <v>8.8999999999999996E-2</v>
      </c>
      <c r="G7319">
        <f t="shared" si="231"/>
        <v>229.37</v>
      </c>
    </row>
    <row r="7320" spans="1:7" ht="12.75" customHeight="1">
      <c r="A7320" s="3">
        <v>102006</v>
      </c>
      <c r="B7320" s="4" t="s">
        <v>7344</v>
      </c>
      <c r="C7320" s="3" t="s">
        <v>409</v>
      </c>
      <c r="D7320" s="5">
        <f t="shared" si="230"/>
        <v>209.6</v>
      </c>
      <c r="E7320">
        <v>230.08</v>
      </c>
      <c r="F7320" s="1789">
        <v>8.8999999999999996E-2</v>
      </c>
      <c r="G7320">
        <f t="shared" si="231"/>
        <v>209.6</v>
      </c>
    </row>
    <row r="7321" spans="1:7" ht="12.75" customHeight="1">
      <c r="A7321" s="3">
        <v>102007</v>
      </c>
      <c r="B7321" s="4" t="s">
        <v>7345</v>
      </c>
      <c r="C7321" s="3" t="s">
        <v>409</v>
      </c>
      <c r="D7321" s="5">
        <f t="shared" si="230"/>
        <v>419.94</v>
      </c>
      <c r="E7321">
        <v>460.97</v>
      </c>
      <c r="F7321" s="1789">
        <v>8.8999999999999996E-2</v>
      </c>
      <c r="G7321">
        <f t="shared" si="231"/>
        <v>419.94</v>
      </c>
    </row>
    <row r="7322" spans="1:7" ht="12.75" customHeight="1">
      <c r="A7322" s="3">
        <v>102008</v>
      </c>
      <c r="B7322" s="4" t="s">
        <v>7346</v>
      </c>
      <c r="C7322" s="3" t="s">
        <v>409</v>
      </c>
      <c r="D7322" s="5">
        <f t="shared" si="230"/>
        <v>351.64</v>
      </c>
      <c r="E7322">
        <v>386</v>
      </c>
      <c r="F7322" s="1789">
        <v>8.8999999999999996E-2</v>
      </c>
      <c r="G7322">
        <f t="shared" si="231"/>
        <v>351.64</v>
      </c>
    </row>
    <row r="7323" spans="1:7" ht="12.75" customHeight="1">
      <c r="A7323" s="3">
        <v>102009</v>
      </c>
      <c r="B7323" s="4" t="s">
        <v>7347</v>
      </c>
      <c r="C7323" s="3" t="s">
        <v>409</v>
      </c>
      <c r="D7323" s="5">
        <f t="shared" si="230"/>
        <v>320.44</v>
      </c>
      <c r="E7323">
        <v>351.75</v>
      </c>
      <c r="F7323" s="1789">
        <v>8.8999999999999996E-2</v>
      </c>
      <c r="G7323">
        <f t="shared" si="231"/>
        <v>320.44</v>
      </c>
    </row>
    <row r="7324" spans="1:7" ht="12.75" customHeight="1">
      <c r="A7324" s="3">
        <v>102010</v>
      </c>
      <c r="B7324" s="4" t="s">
        <v>7348</v>
      </c>
      <c r="C7324" s="3" t="s">
        <v>409</v>
      </c>
      <c r="D7324" s="5">
        <f t="shared" si="230"/>
        <v>303.60000000000002</v>
      </c>
      <c r="E7324">
        <v>333.27</v>
      </c>
      <c r="F7324" s="1789">
        <v>8.8999999999999996E-2</v>
      </c>
      <c r="G7324">
        <f t="shared" si="231"/>
        <v>303.60000000000002</v>
      </c>
    </row>
    <row r="7325" spans="1:7" ht="12.75" customHeight="1">
      <c r="A7325" s="3">
        <v>102011</v>
      </c>
      <c r="B7325" s="4" t="s">
        <v>7349</v>
      </c>
      <c r="C7325" s="3" t="s">
        <v>409</v>
      </c>
      <c r="D7325" s="5">
        <f t="shared" si="230"/>
        <v>262.10000000000002</v>
      </c>
      <c r="E7325">
        <v>287.70999999999998</v>
      </c>
      <c r="F7325" s="1789">
        <v>8.8999999999999996E-2</v>
      </c>
      <c r="G7325">
        <f t="shared" si="231"/>
        <v>262.10000000000002</v>
      </c>
    </row>
    <row r="7326" spans="1:7" ht="12.75" customHeight="1">
      <c r="A7326" s="3">
        <v>102012</v>
      </c>
      <c r="B7326" s="4" t="s">
        <v>7350</v>
      </c>
      <c r="C7326" s="3" t="s">
        <v>409</v>
      </c>
      <c r="D7326" s="5">
        <f t="shared" si="230"/>
        <v>231.11</v>
      </c>
      <c r="E7326">
        <v>253.69</v>
      </c>
      <c r="F7326" s="1789">
        <v>8.8999999999999996E-2</v>
      </c>
      <c r="G7326">
        <f t="shared" si="231"/>
        <v>231.11</v>
      </c>
    </row>
    <row r="7327" spans="1:7" ht="12.75" customHeight="1">
      <c r="A7327" s="3">
        <v>102013</v>
      </c>
      <c r="B7327" s="4" t="s">
        <v>7351</v>
      </c>
      <c r="C7327" s="3" t="s">
        <v>409</v>
      </c>
      <c r="D7327" s="5">
        <f t="shared" si="230"/>
        <v>213.93</v>
      </c>
      <c r="E7327">
        <v>234.84</v>
      </c>
      <c r="F7327" s="1789">
        <v>8.8999999999999996E-2</v>
      </c>
      <c r="G7327">
        <f t="shared" si="231"/>
        <v>213.93</v>
      </c>
    </row>
    <row r="7328" spans="1:7" ht="12.75" customHeight="1">
      <c r="A7328" s="3">
        <v>102014</v>
      </c>
      <c r="B7328" s="4" t="s">
        <v>7352</v>
      </c>
      <c r="C7328" s="3" t="s">
        <v>409</v>
      </c>
      <c r="D7328" s="5">
        <f t="shared" si="230"/>
        <v>457.41</v>
      </c>
      <c r="E7328">
        <v>502.1</v>
      </c>
      <c r="F7328" s="1789">
        <v>8.8999999999999996E-2</v>
      </c>
      <c r="G7328">
        <f t="shared" si="231"/>
        <v>457.41</v>
      </c>
    </row>
    <row r="7329" spans="1:7" ht="12.75" customHeight="1">
      <c r="A7329" s="3">
        <v>102015</v>
      </c>
      <c r="B7329" s="4" t="s">
        <v>7353</v>
      </c>
      <c r="C7329" s="3" t="s">
        <v>409</v>
      </c>
      <c r="D7329" s="5">
        <f t="shared" si="230"/>
        <v>383.73</v>
      </c>
      <c r="E7329">
        <v>421.22</v>
      </c>
      <c r="F7329" s="1789">
        <v>8.8999999999999996E-2</v>
      </c>
      <c r="G7329">
        <f t="shared" si="231"/>
        <v>383.73</v>
      </c>
    </row>
    <row r="7330" spans="1:7" ht="12.75" customHeight="1">
      <c r="A7330" s="3">
        <v>102016</v>
      </c>
      <c r="B7330" s="4" t="s">
        <v>7354</v>
      </c>
      <c r="C7330" s="3" t="s">
        <v>409</v>
      </c>
      <c r="D7330" s="5">
        <f t="shared" si="230"/>
        <v>302.75</v>
      </c>
      <c r="E7330">
        <v>332.33</v>
      </c>
      <c r="F7330" s="1789">
        <v>8.8999999999999996E-2</v>
      </c>
      <c r="G7330">
        <f t="shared" si="231"/>
        <v>302.75</v>
      </c>
    </row>
    <row r="7331" spans="1:7" ht="12.75" customHeight="1">
      <c r="A7331" s="3">
        <v>102017</v>
      </c>
      <c r="B7331" s="4" t="s">
        <v>7355</v>
      </c>
      <c r="C7331" s="3" t="s">
        <v>409</v>
      </c>
      <c r="D7331" s="5">
        <f t="shared" si="230"/>
        <v>284.86</v>
      </c>
      <c r="E7331">
        <v>312.7</v>
      </c>
      <c r="F7331" s="1789">
        <v>8.8999999999999996E-2</v>
      </c>
      <c r="G7331">
        <f t="shared" si="231"/>
        <v>284.86</v>
      </c>
    </row>
    <row r="7332" spans="1:7" ht="12.75" customHeight="1">
      <c r="A7332" s="3">
        <v>102036</v>
      </c>
      <c r="B7332" s="4" t="s">
        <v>7356</v>
      </c>
      <c r="C7332" s="3" t="s">
        <v>409</v>
      </c>
      <c r="D7332" s="5">
        <f t="shared" si="230"/>
        <v>251.71</v>
      </c>
      <c r="E7332">
        <v>276.31</v>
      </c>
      <c r="F7332" s="1789">
        <v>8.8999999999999996E-2</v>
      </c>
      <c r="G7332">
        <f t="shared" si="231"/>
        <v>251.71</v>
      </c>
    </row>
    <row r="7333" spans="1:7" ht="12.75" customHeight="1">
      <c r="A7333" s="3">
        <v>102037</v>
      </c>
      <c r="B7333" s="4" t="s">
        <v>7357</v>
      </c>
      <c r="C7333" s="3" t="s">
        <v>409</v>
      </c>
      <c r="D7333" s="5">
        <f t="shared" si="230"/>
        <v>220.61</v>
      </c>
      <c r="E7333">
        <v>242.17</v>
      </c>
      <c r="F7333" s="1789">
        <v>8.8999999999999996E-2</v>
      </c>
      <c r="G7333">
        <f t="shared" si="231"/>
        <v>220.61</v>
      </c>
    </row>
    <row r="7334" spans="1:7" ht="12.75" customHeight="1">
      <c r="A7334" s="3">
        <v>102038</v>
      </c>
      <c r="B7334" s="4" t="s">
        <v>7358</v>
      </c>
      <c r="C7334" s="3" t="s">
        <v>409</v>
      </c>
      <c r="D7334" s="5">
        <f t="shared" si="230"/>
        <v>203.39</v>
      </c>
      <c r="E7334">
        <v>223.27</v>
      </c>
      <c r="F7334" s="1789">
        <v>8.8999999999999996E-2</v>
      </c>
      <c r="G7334">
        <f t="shared" si="231"/>
        <v>203.39</v>
      </c>
    </row>
    <row r="7335" spans="1:7" ht="12.75" customHeight="1">
      <c r="A7335" s="3">
        <v>102039</v>
      </c>
      <c r="B7335" s="4" t="s">
        <v>7359</v>
      </c>
      <c r="C7335" s="3" t="s">
        <v>409</v>
      </c>
      <c r="D7335" s="5">
        <f t="shared" si="230"/>
        <v>437.68</v>
      </c>
      <c r="E7335">
        <v>480.44</v>
      </c>
      <c r="F7335" s="1789">
        <v>8.8999999999999996E-2</v>
      </c>
      <c r="G7335">
        <f t="shared" si="231"/>
        <v>437.68</v>
      </c>
    </row>
    <row r="7336" spans="1:7" ht="12.75" customHeight="1">
      <c r="A7336" s="3">
        <v>102040</v>
      </c>
      <c r="B7336" s="4" t="s">
        <v>7360</v>
      </c>
      <c r="C7336" s="3" t="s">
        <v>409</v>
      </c>
      <c r="D7336" s="5">
        <f t="shared" si="230"/>
        <v>365.39</v>
      </c>
      <c r="E7336">
        <v>401.09</v>
      </c>
      <c r="F7336" s="1789">
        <v>8.8999999999999996E-2</v>
      </c>
      <c r="G7336">
        <f t="shared" si="231"/>
        <v>365.39</v>
      </c>
    </row>
    <row r="7337" spans="1:7" ht="12.75" customHeight="1">
      <c r="A7337" s="3">
        <v>102041</v>
      </c>
      <c r="B7337" s="4" t="s">
        <v>7361</v>
      </c>
      <c r="C7337" s="3" t="s">
        <v>409</v>
      </c>
      <c r="D7337" s="5">
        <f t="shared" si="230"/>
        <v>322.02999999999997</v>
      </c>
      <c r="E7337">
        <v>353.5</v>
      </c>
      <c r="F7337" s="1789">
        <v>8.8999999999999996E-2</v>
      </c>
      <c r="G7337">
        <f t="shared" si="231"/>
        <v>322.02999999999997</v>
      </c>
    </row>
    <row r="7338" spans="1:7" ht="12.75" customHeight="1">
      <c r="A7338" s="3">
        <v>102042</v>
      </c>
      <c r="B7338" s="4" t="s">
        <v>7362</v>
      </c>
      <c r="C7338" s="3" t="s">
        <v>409</v>
      </c>
      <c r="D7338" s="5">
        <f t="shared" si="230"/>
        <v>301.41000000000003</v>
      </c>
      <c r="E7338">
        <v>330.86</v>
      </c>
      <c r="F7338" s="1789">
        <v>8.8999999999999996E-2</v>
      </c>
      <c r="G7338">
        <f t="shared" si="231"/>
        <v>301.41000000000003</v>
      </c>
    </row>
    <row r="7339" spans="1:7" ht="12.75" customHeight="1">
      <c r="A7339" s="3">
        <v>102043</v>
      </c>
      <c r="B7339" s="4" t="s">
        <v>7363</v>
      </c>
      <c r="C7339" s="3" t="s">
        <v>409</v>
      </c>
      <c r="D7339" s="5">
        <f t="shared" si="230"/>
        <v>260.86</v>
      </c>
      <c r="E7339">
        <v>286.35000000000002</v>
      </c>
      <c r="F7339" s="1789">
        <v>8.8999999999999996E-2</v>
      </c>
      <c r="G7339">
        <f t="shared" si="231"/>
        <v>260.86</v>
      </c>
    </row>
    <row r="7340" spans="1:7" ht="12.75" customHeight="1">
      <c r="A7340" s="3">
        <v>102044</v>
      </c>
      <c r="B7340" s="4" t="s">
        <v>7364</v>
      </c>
      <c r="C7340" s="3" t="s">
        <v>409</v>
      </c>
      <c r="D7340" s="5">
        <f t="shared" si="230"/>
        <v>230.59</v>
      </c>
      <c r="E7340">
        <v>253.12</v>
      </c>
      <c r="F7340" s="1789">
        <v>8.8999999999999996E-2</v>
      </c>
      <c r="G7340">
        <f t="shared" si="231"/>
        <v>230.59</v>
      </c>
    </row>
    <row r="7341" spans="1:7" ht="12.75" customHeight="1">
      <c r="A7341" s="3">
        <v>102045</v>
      </c>
      <c r="B7341" s="4" t="s">
        <v>7365</v>
      </c>
      <c r="C7341" s="3" t="s">
        <v>409</v>
      </c>
      <c r="D7341" s="5">
        <f t="shared" si="230"/>
        <v>212.4</v>
      </c>
      <c r="E7341">
        <v>233.16</v>
      </c>
      <c r="F7341" s="1789">
        <v>8.8999999999999996E-2</v>
      </c>
      <c r="G7341">
        <f t="shared" si="231"/>
        <v>212.4</v>
      </c>
    </row>
    <row r="7342" spans="1:7" ht="12.75" customHeight="1">
      <c r="A7342" s="3">
        <v>102046</v>
      </c>
      <c r="B7342" s="4" t="s">
        <v>7366</v>
      </c>
      <c r="C7342" s="3" t="s">
        <v>409</v>
      </c>
      <c r="D7342" s="5">
        <f t="shared" si="230"/>
        <v>462.34</v>
      </c>
      <c r="E7342">
        <v>507.51</v>
      </c>
      <c r="F7342" s="1789">
        <v>8.8999999999999996E-2</v>
      </c>
      <c r="G7342">
        <f t="shared" si="231"/>
        <v>462.34</v>
      </c>
    </row>
    <row r="7343" spans="1:7" ht="12.75" customHeight="1">
      <c r="A7343" s="3">
        <v>102047</v>
      </c>
      <c r="B7343" s="4" t="s">
        <v>7367</v>
      </c>
      <c r="C7343" s="3" t="s">
        <v>409</v>
      </c>
      <c r="D7343" s="5">
        <f t="shared" si="230"/>
        <v>394.19</v>
      </c>
      <c r="E7343">
        <v>432.71</v>
      </c>
      <c r="F7343" s="1789">
        <v>8.8999999999999996E-2</v>
      </c>
      <c r="G7343">
        <f t="shared" si="231"/>
        <v>394.19</v>
      </c>
    </row>
    <row r="7344" spans="1:7" ht="12.75" customHeight="1">
      <c r="A7344" s="3">
        <v>102048</v>
      </c>
      <c r="B7344" s="4" t="s">
        <v>7368</v>
      </c>
      <c r="C7344" s="3" t="s">
        <v>409</v>
      </c>
      <c r="D7344" s="5">
        <f t="shared" si="230"/>
        <v>292.52999999999997</v>
      </c>
      <c r="E7344">
        <v>321.11</v>
      </c>
      <c r="F7344" s="1789">
        <v>8.8999999999999996E-2</v>
      </c>
      <c r="G7344">
        <f t="shared" si="231"/>
        <v>292.52999999999997</v>
      </c>
    </row>
    <row r="7345" spans="1:7" ht="12.75" customHeight="1">
      <c r="A7345" s="3">
        <v>102049</v>
      </c>
      <c r="B7345" s="4" t="s">
        <v>7369</v>
      </c>
      <c r="C7345" s="3" t="s">
        <v>409</v>
      </c>
      <c r="D7345" s="5">
        <f t="shared" si="230"/>
        <v>269.77</v>
      </c>
      <c r="E7345">
        <v>296.13</v>
      </c>
      <c r="F7345" s="1789">
        <v>8.8999999999999996E-2</v>
      </c>
      <c r="G7345">
        <f t="shared" si="231"/>
        <v>269.77</v>
      </c>
    </row>
    <row r="7346" spans="1:7" ht="12.75" customHeight="1">
      <c r="A7346" s="3">
        <v>102050</v>
      </c>
      <c r="B7346" s="4" t="s">
        <v>7370</v>
      </c>
      <c r="C7346" s="3" t="s">
        <v>409</v>
      </c>
      <c r="D7346" s="5">
        <f t="shared" si="230"/>
        <v>239.08</v>
      </c>
      <c r="E7346">
        <v>262.44</v>
      </c>
      <c r="F7346" s="1789">
        <v>8.8999999999999996E-2</v>
      </c>
      <c r="G7346">
        <f t="shared" si="231"/>
        <v>239.08</v>
      </c>
    </row>
    <row r="7347" spans="1:7" ht="12.75" customHeight="1">
      <c r="A7347" s="3">
        <v>102051</v>
      </c>
      <c r="B7347" s="4" t="s">
        <v>7371</v>
      </c>
      <c r="C7347" s="3" t="s">
        <v>409</v>
      </c>
      <c r="D7347" s="5">
        <f t="shared" si="230"/>
        <v>207.99</v>
      </c>
      <c r="E7347">
        <v>228.31</v>
      </c>
      <c r="F7347" s="1789">
        <v>8.8999999999999996E-2</v>
      </c>
      <c r="G7347">
        <f t="shared" si="231"/>
        <v>207.99</v>
      </c>
    </row>
    <row r="7348" spans="1:7" ht="12.75" customHeight="1">
      <c r="A7348" s="3">
        <v>102052</v>
      </c>
      <c r="B7348" s="4" t="s">
        <v>7372</v>
      </c>
      <c r="C7348" s="3" t="s">
        <v>409</v>
      </c>
      <c r="D7348" s="5">
        <f t="shared" si="230"/>
        <v>190.77</v>
      </c>
      <c r="E7348">
        <v>209.41</v>
      </c>
      <c r="F7348" s="1789">
        <v>8.8999999999999996E-2</v>
      </c>
      <c r="G7348">
        <f t="shared" si="231"/>
        <v>190.77</v>
      </c>
    </row>
    <row r="7349" spans="1:7" ht="12.75" customHeight="1">
      <c r="A7349" s="3">
        <v>102059</v>
      </c>
      <c r="B7349" s="4" t="s">
        <v>7373</v>
      </c>
      <c r="C7349" s="3" t="s">
        <v>409</v>
      </c>
      <c r="D7349" s="5">
        <f t="shared" si="230"/>
        <v>410.15</v>
      </c>
      <c r="E7349">
        <v>450.22</v>
      </c>
      <c r="F7349" s="1789">
        <v>8.8999999999999996E-2</v>
      </c>
      <c r="G7349">
        <f t="shared" si="231"/>
        <v>410.15</v>
      </c>
    </row>
    <row r="7350" spans="1:7" ht="12.75" customHeight="1">
      <c r="A7350" s="3">
        <v>102060</v>
      </c>
      <c r="B7350" s="4" t="s">
        <v>7374</v>
      </c>
      <c r="C7350" s="3" t="s">
        <v>409</v>
      </c>
      <c r="D7350" s="5">
        <f t="shared" si="230"/>
        <v>345.45</v>
      </c>
      <c r="E7350">
        <v>379.2</v>
      </c>
      <c r="F7350" s="1789">
        <v>8.8999999999999996E-2</v>
      </c>
      <c r="G7350">
        <f t="shared" si="231"/>
        <v>345.45</v>
      </c>
    </row>
    <row r="7351" spans="1:7" ht="12.75" customHeight="1">
      <c r="A7351" s="3">
        <v>102061</v>
      </c>
      <c r="B7351" s="4" t="s">
        <v>7375</v>
      </c>
      <c r="C7351" s="3" t="s">
        <v>409</v>
      </c>
      <c r="D7351" s="5">
        <f t="shared" si="230"/>
        <v>303.69</v>
      </c>
      <c r="E7351">
        <v>333.36</v>
      </c>
      <c r="F7351" s="1789">
        <v>8.8999999999999996E-2</v>
      </c>
      <c r="G7351">
        <f t="shared" si="231"/>
        <v>303.69</v>
      </c>
    </row>
    <row r="7352" spans="1:7" ht="12.75" customHeight="1">
      <c r="A7352" s="3">
        <v>102062</v>
      </c>
      <c r="B7352" s="4" t="s">
        <v>7376</v>
      </c>
      <c r="C7352" s="3" t="s">
        <v>409</v>
      </c>
      <c r="D7352" s="5">
        <f t="shared" si="230"/>
        <v>291.31</v>
      </c>
      <c r="E7352">
        <v>319.77999999999997</v>
      </c>
      <c r="F7352" s="1789">
        <v>8.8999999999999996E-2</v>
      </c>
      <c r="G7352">
        <f t="shared" si="231"/>
        <v>291.31</v>
      </c>
    </row>
    <row r="7353" spans="1:7" ht="12.75" customHeight="1">
      <c r="A7353" s="3">
        <v>102063</v>
      </c>
      <c r="B7353" s="4" t="s">
        <v>7377</v>
      </c>
      <c r="C7353" s="3" t="s">
        <v>409</v>
      </c>
      <c r="D7353" s="5">
        <f t="shared" si="230"/>
        <v>251.81</v>
      </c>
      <c r="E7353">
        <v>276.42</v>
      </c>
      <c r="F7353" s="1789">
        <v>8.8999999999999996E-2</v>
      </c>
      <c r="G7353">
        <f t="shared" si="231"/>
        <v>251.81</v>
      </c>
    </row>
    <row r="7354" spans="1:7" ht="12.75" customHeight="1">
      <c r="A7354" s="3">
        <v>102064</v>
      </c>
      <c r="B7354" s="4" t="s">
        <v>7378</v>
      </c>
      <c r="C7354" s="3" t="s">
        <v>409</v>
      </c>
      <c r="D7354" s="5">
        <f t="shared" si="230"/>
        <v>220.95</v>
      </c>
      <c r="E7354">
        <v>242.54</v>
      </c>
      <c r="F7354" s="1789">
        <v>8.8999999999999996E-2</v>
      </c>
      <c r="G7354">
        <f t="shared" si="231"/>
        <v>220.95</v>
      </c>
    </row>
    <row r="7355" spans="1:7" ht="12.75" customHeight="1">
      <c r="A7355" s="3">
        <v>102065</v>
      </c>
      <c r="B7355" s="4" t="s">
        <v>7379</v>
      </c>
      <c r="C7355" s="3" t="s">
        <v>409</v>
      </c>
      <c r="D7355" s="5">
        <f t="shared" si="230"/>
        <v>203.9</v>
      </c>
      <c r="E7355">
        <v>223.83</v>
      </c>
      <c r="F7355" s="1789">
        <v>8.8999999999999996E-2</v>
      </c>
      <c r="G7355">
        <f t="shared" si="231"/>
        <v>203.9</v>
      </c>
    </row>
    <row r="7356" spans="1:7" ht="12.75" customHeight="1">
      <c r="A7356" s="3">
        <v>102066</v>
      </c>
      <c r="B7356" s="4" t="s">
        <v>7380</v>
      </c>
      <c r="C7356" s="3" t="s">
        <v>409</v>
      </c>
      <c r="D7356" s="5">
        <f t="shared" si="230"/>
        <v>416.36</v>
      </c>
      <c r="E7356">
        <v>457.04</v>
      </c>
      <c r="F7356" s="1789">
        <v>8.8999999999999996E-2</v>
      </c>
      <c r="G7356">
        <f t="shared" si="231"/>
        <v>416.36</v>
      </c>
    </row>
    <row r="7357" spans="1:7" ht="12.75" customHeight="1">
      <c r="A7357" s="3">
        <v>102067</v>
      </c>
      <c r="B7357" s="4" t="s">
        <v>7381</v>
      </c>
      <c r="C7357" s="3" t="s">
        <v>409</v>
      </c>
      <c r="D7357" s="5">
        <f t="shared" si="230"/>
        <v>356.65</v>
      </c>
      <c r="E7357">
        <v>391.5</v>
      </c>
      <c r="F7357" s="1789">
        <v>8.8999999999999996E-2</v>
      </c>
      <c r="G7357">
        <f t="shared" si="231"/>
        <v>356.65</v>
      </c>
    </row>
    <row r="7358" spans="1:7" ht="12.75" customHeight="1">
      <c r="A7358" s="3">
        <v>102068</v>
      </c>
      <c r="B7358" s="4" t="s">
        <v>7382</v>
      </c>
      <c r="C7358" s="3" t="s">
        <v>409</v>
      </c>
      <c r="D7358" s="5">
        <f t="shared" si="230"/>
        <v>274.8</v>
      </c>
      <c r="E7358">
        <v>301.64999999999998</v>
      </c>
      <c r="F7358" s="1789">
        <v>8.8999999999999996E-2</v>
      </c>
      <c r="G7358">
        <f t="shared" si="231"/>
        <v>274.8</v>
      </c>
    </row>
    <row r="7359" spans="1:7" ht="12.75" customHeight="1">
      <c r="A7359" s="3">
        <v>102069</v>
      </c>
      <c r="B7359" s="4" t="s">
        <v>7383</v>
      </c>
      <c r="C7359" s="3" t="s">
        <v>409</v>
      </c>
      <c r="D7359" s="5">
        <f t="shared" si="230"/>
        <v>261.42</v>
      </c>
      <c r="E7359">
        <v>286.95999999999998</v>
      </c>
      <c r="F7359" s="1789">
        <v>8.8999999999999996E-2</v>
      </c>
      <c r="G7359">
        <f t="shared" si="231"/>
        <v>261.42</v>
      </c>
    </row>
    <row r="7360" spans="1:7" ht="12.75" customHeight="1">
      <c r="A7360" s="3">
        <v>102070</v>
      </c>
      <c r="B7360" s="4" t="s">
        <v>7384</v>
      </c>
      <c r="C7360" s="3" t="s">
        <v>409</v>
      </c>
      <c r="D7360" s="5">
        <f t="shared" si="230"/>
        <v>231.88</v>
      </c>
      <c r="E7360">
        <v>254.54</v>
      </c>
      <c r="F7360" s="1789">
        <v>8.8999999999999996E-2</v>
      </c>
      <c r="G7360">
        <f t="shared" si="231"/>
        <v>231.88</v>
      </c>
    </row>
    <row r="7361" spans="1:7" ht="12.75" customHeight="1">
      <c r="A7361" s="3">
        <v>102071</v>
      </c>
      <c r="B7361" s="4" t="s">
        <v>7385</v>
      </c>
      <c r="C7361" s="3" t="s">
        <v>409</v>
      </c>
      <c r="D7361" s="5">
        <f t="shared" si="230"/>
        <v>202.8</v>
      </c>
      <c r="E7361">
        <v>222.62</v>
      </c>
      <c r="F7361" s="1789">
        <v>8.8999999999999996E-2</v>
      </c>
      <c r="G7361">
        <f t="shared" si="231"/>
        <v>202.8</v>
      </c>
    </row>
    <row r="7362" spans="1:7" ht="12.75" customHeight="1">
      <c r="A7362" s="3">
        <v>102072</v>
      </c>
      <c r="B7362" s="4" t="s">
        <v>7386</v>
      </c>
      <c r="C7362" s="3" t="s">
        <v>409</v>
      </c>
      <c r="D7362" s="5">
        <f t="shared" si="230"/>
        <v>192.85</v>
      </c>
      <c r="E7362">
        <v>211.7</v>
      </c>
      <c r="F7362" s="1789">
        <v>8.8999999999999996E-2</v>
      </c>
      <c r="G7362">
        <f t="shared" si="231"/>
        <v>192.85</v>
      </c>
    </row>
    <row r="7363" spans="1:7" ht="12.75" customHeight="1">
      <c r="A7363" s="3">
        <v>102073</v>
      </c>
      <c r="B7363" s="4" t="s">
        <v>7387</v>
      </c>
      <c r="C7363" s="3" t="s">
        <v>152</v>
      </c>
      <c r="D7363" s="5">
        <f t="shared" si="230"/>
        <v>3959.65</v>
      </c>
      <c r="E7363">
        <v>4346.49</v>
      </c>
      <c r="F7363" s="1789">
        <v>8.8999999999999996E-2</v>
      </c>
      <c r="G7363">
        <f t="shared" si="231"/>
        <v>3959.65</v>
      </c>
    </row>
    <row r="7364" spans="1:7" ht="12.75" customHeight="1">
      <c r="A7364" s="3">
        <v>102074</v>
      </c>
      <c r="B7364" s="4" t="s">
        <v>7388</v>
      </c>
      <c r="C7364" s="3" t="s">
        <v>152</v>
      </c>
      <c r="D7364" s="5">
        <f t="shared" si="230"/>
        <v>4693.13</v>
      </c>
      <c r="E7364">
        <v>5151.63</v>
      </c>
      <c r="F7364" s="1789">
        <v>8.8999999999999996E-2</v>
      </c>
      <c r="G7364">
        <f t="shared" si="231"/>
        <v>4693.13</v>
      </c>
    </row>
    <row r="7365" spans="1:7" ht="12.75" customHeight="1">
      <c r="A7365" s="3">
        <v>102075</v>
      </c>
      <c r="B7365" s="4" t="s">
        <v>7389</v>
      </c>
      <c r="C7365" s="3" t="s">
        <v>152</v>
      </c>
      <c r="D7365" s="5">
        <f t="shared" si="230"/>
        <v>4829.54</v>
      </c>
      <c r="E7365">
        <v>5301.37</v>
      </c>
      <c r="F7365" s="1789">
        <v>8.8999999999999996E-2</v>
      </c>
      <c r="G7365">
        <f t="shared" si="231"/>
        <v>4829.54</v>
      </c>
    </row>
    <row r="7366" spans="1:7" ht="12.75" customHeight="1">
      <c r="A7366" s="3">
        <v>102076</v>
      </c>
      <c r="B7366" s="4" t="s">
        <v>7390</v>
      </c>
      <c r="C7366" s="3" t="s">
        <v>152</v>
      </c>
      <c r="D7366" s="5">
        <f t="shared" si="230"/>
        <v>5007.4399999999996</v>
      </c>
      <c r="E7366">
        <v>5496.65</v>
      </c>
      <c r="F7366" s="1789">
        <v>8.8999999999999996E-2</v>
      </c>
      <c r="G7366">
        <f t="shared" si="231"/>
        <v>5007.4399999999996</v>
      </c>
    </row>
    <row r="7367" spans="1:7" ht="12.75" customHeight="1">
      <c r="A7367" s="3">
        <v>102077</v>
      </c>
      <c r="B7367" s="4" t="s">
        <v>7391</v>
      </c>
      <c r="C7367" s="3" t="s">
        <v>152</v>
      </c>
      <c r="D7367" s="5">
        <f t="shared" si="230"/>
        <v>5292.47</v>
      </c>
      <c r="E7367">
        <v>5809.52</v>
      </c>
      <c r="F7367" s="1789">
        <v>8.8999999999999996E-2</v>
      </c>
      <c r="G7367">
        <f t="shared" si="231"/>
        <v>5292.47</v>
      </c>
    </row>
    <row r="7368" spans="1:7" ht="12.75" customHeight="1">
      <c r="A7368" s="3">
        <v>102078</v>
      </c>
      <c r="B7368" s="4" t="s">
        <v>7392</v>
      </c>
      <c r="C7368" s="3" t="s">
        <v>152</v>
      </c>
      <c r="D7368" s="5">
        <f t="shared" si="230"/>
        <v>5506.09</v>
      </c>
      <c r="E7368">
        <v>6044.01</v>
      </c>
      <c r="F7368" s="1789">
        <v>8.8999999999999996E-2</v>
      </c>
      <c r="G7368">
        <f t="shared" si="231"/>
        <v>5506.09</v>
      </c>
    </row>
    <row r="7369" spans="1:7" ht="12.75" customHeight="1">
      <c r="A7369" s="3">
        <v>102079</v>
      </c>
      <c r="B7369" s="4" t="s">
        <v>7393</v>
      </c>
      <c r="C7369" s="3" t="s">
        <v>152</v>
      </c>
      <c r="D7369" s="5">
        <f t="shared" si="230"/>
        <v>5229.8</v>
      </c>
      <c r="E7369">
        <v>5740.73</v>
      </c>
      <c r="F7369" s="1789">
        <v>8.8999999999999996E-2</v>
      </c>
      <c r="G7369">
        <f t="shared" si="231"/>
        <v>5229.8</v>
      </c>
    </row>
    <row r="7370" spans="1:7" ht="12.75" customHeight="1">
      <c r="A7370" s="3">
        <v>102080</v>
      </c>
      <c r="B7370" s="4" t="s">
        <v>7394</v>
      </c>
      <c r="C7370" s="3" t="s">
        <v>152</v>
      </c>
      <c r="D7370" s="5">
        <f t="shared" si="230"/>
        <v>4605.8100000000004</v>
      </c>
      <c r="E7370">
        <v>5055.78</v>
      </c>
      <c r="F7370" s="1789">
        <v>8.8999999999999996E-2</v>
      </c>
      <c r="G7370">
        <f t="shared" si="231"/>
        <v>4605.8100000000004</v>
      </c>
    </row>
    <row r="7371" spans="1:7" ht="12.75" customHeight="1">
      <c r="A7371" s="3">
        <v>102086</v>
      </c>
      <c r="B7371" s="4" t="s">
        <v>7395</v>
      </c>
      <c r="C7371" s="3" t="s">
        <v>409</v>
      </c>
      <c r="D7371" s="5">
        <f t="shared" si="230"/>
        <v>245.39</v>
      </c>
      <c r="E7371">
        <v>269.37</v>
      </c>
      <c r="F7371" s="1789">
        <v>8.8999999999999996E-2</v>
      </c>
      <c r="G7371">
        <f t="shared" si="231"/>
        <v>245.39</v>
      </c>
    </row>
    <row r="7372" spans="1:7" ht="12.75" customHeight="1">
      <c r="A7372" s="3">
        <v>102087</v>
      </c>
      <c r="B7372" s="4" t="s">
        <v>7396</v>
      </c>
      <c r="C7372" s="3" t="s">
        <v>409</v>
      </c>
      <c r="D7372" s="5">
        <f t="shared" si="230"/>
        <v>188.78</v>
      </c>
      <c r="E7372">
        <v>207.23</v>
      </c>
      <c r="F7372" s="1789">
        <v>8.8999999999999996E-2</v>
      </c>
      <c r="G7372">
        <f t="shared" si="231"/>
        <v>188.78</v>
      </c>
    </row>
    <row r="7373" spans="1:7" ht="12.75" customHeight="1">
      <c r="A7373" s="3">
        <v>102088</v>
      </c>
      <c r="B7373" s="4" t="s">
        <v>7397</v>
      </c>
      <c r="C7373" s="3" t="s">
        <v>409</v>
      </c>
      <c r="D7373" s="5">
        <f t="shared" si="230"/>
        <v>190.73</v>
      </c>
      <c r="E7373">
        <v>209.37</v>
      </c>
      <c r="F7373" s="1789">
        <v>8.8999999999999996E-2</v>
      </c>
      <c r="G7373">
        <f t="shared" si="231"/>
        <v>190.73</v>
      </c>
    </row>
    <row r="7374" spans="1:7" ht="12.75" customHeight="1">
      <c r="A7374" s="3">
        <v>102089</v>
      </c>
      <c r="B7374" s="4" t="s">
        <v>7398</v>
      </c>
      <c r="C7374" s="3" t="s">
        <v>409</v>
      </c>
      <c r="D7374" s="5">
        <f t="shared" si="230"/>
        <v>229.16</v>
      </c>
      <c r="E7374">
        <v>251.55</v>
      </c>
      <c r="F7374" s="1789">
        <v>8.8999999999999996E-2</v>
      </c>
      <c r="G7374">
        <f t="shared" si="231"/>
        <v>229.16</v>
      </c>
    </row>
    <row r="7375" spans="1:7" ht="12.75" customHeight="1">
      <c r="A7375" s="3">
        <v>102090</v>
      </c>
      <c r="B7375" s="4" t="s">
        <v>7399</v>
      </c>
      <c r="C7375" s="3" t="s">
        <v>409</v>
      </c>
      <c r="D7375" s="5">
        <f t="shared" si="230"/>
        <v>164.94</v>
      </c>
      <c r="E7375">
        <v>181.06</v>
      </c>
      <c r="F7375" s="1789">
        <v>8.8999999999999996E-2</v>
      </c>
      <c r="G7375">
        <f t="shared" si="231"/>
        <v>164.94</v>
      </c>
    </row>
    <row r="7376" spans="1:7" ht="12.75" customHeight="1">
      <c r="A7376" s="3">
        <v>102091</v>
      </c>
      <c r="B7376" s="4" t="s">
        <v>7400</v>
      </c>
      <c r="C7376" s="3" t="s">
        <v>409</v>
      </c>
      <c r="D7376" s="5">
        <f t="shared" si="230"/>
        <v>216.15</v>
      </c>
      <c r="E7376">
        <v>237.27</v>
      </c>
      <c r="F7376" s="1789">
        <v>8.8999999999999996E-2</v>
      </c>
      <c r="G7376">
        <f t="shared" si="231"/>
        <v>216.15</v>
      </c>
    </row>
    <row r="7377" spans="1:7" ht="12.75" customHeight="1">
      <c r="A7377" s="3">
        <v>103760</v>
      </c>
      <c r="B7377" s="4" t="s">
        <v>7401</v>
      </c>
      <c r="C7377" s="3" t="s">
        <v>409</v>
      </c>
      <c r="D7377" s="5">
        <f t="shared" si="230"/>
        <v>115.07</v>
      </c>
      <c r="E7377">
        <v>126.32</v>
      </c>
      <c r="F7377" s="1789">
        <v>8.8999999999999996E-2</v>
      </c>
      <c r="G7377">
        <f t="shared" si="231"/>
        <v>115.07</v>
      </c>
    </row>
    <row r="7378" spans="1:7" ht="12.75" customHeight="1">
      <c r="A7378" s="3">
        <v>103761</v>
      </c>
      <c r="B7378" s="4" t="s">
        <v>7402</v>
      </c>
      <c r="C7378" s="3" t="s">
        <v>409</v>
      </c>
      <c r="D7378" s="5">
        <f t="shared" si="230"/>
        <v>78.52</v>
      </c>
      <c r="E7378">
        <v>86.2</v>
      </c>
      <c r="F7378" s="1789">
        <v>8.8999999999999996E-2</v>
      </c>
      <c r="G7378">
        <f t="shared" si="231"/>
        <v>78.52</v>
      </c>
    </row>
    <row r="7379" spans="1:7" ht="12.75" customHeight="1">
      <c r="A7379" s="3">
        <v>103762</v>
      </c>
      <c r="B7379" s="4" t="s">
        <v>7403</v>
      </c>
      <c r="C7379" s="3" t="s">
        <v>409</v>
      </c>
      <c r="D7379" s="5">
        <f t="shared" si="230"/>
        <v>66.12</v>
      </c>
      <c r="E7379">
        <v>72.58</v>
      </c>
      <c r="F7379" s="1789">
        <v>8.8999999999999996E-2</v>
      </c>
      <c r="G7379">
        <f t="shared" si="231"/>
        <v>66.12</v>
      </c>
    </row>
    <row r="7380" spans="1:7" ht="12.75" customHeight="1">
      <c r="A7380" s="3">
        <v>103763</v>
      </c>
      <c r="B7380" s="4" t="s">
        <v>7404</v>
      </c>
      <c r="C7380" s="3" t="s">
        <v>409</v>
      </c>
      <c r="D7380" s="5">
        <f t="shared" si="230"/>
        <v>58.07</v>
      </c>
      <c r="E7380">
        <v>63.75</v>
      </c>
      <c r="F7380" s="1789">
        <v>8.8999999999999996E-2</v>
      </c>
      <c r="G7380">
        <f t="shared" si="231"/>
        <v>58.07</v>
      </c>
    </row>
    <row r="7381" spans="1:7" ht="12.75" customHeight="1">
      <c r="A7381" s="3">
        <v>104925</v>
      </c>
      <c r="B7381" s="4" t="s">
        <v>7405</v>
      </c>
      <c r="C7381" s="3" t="s">
        <v>409</v>
      </c>
      <c r="D7381" s="5">
        <f t="shared" ref="D7381:D7444" si="232">G7381</f>
        <v>173.65</v>
      </c>
      <c r="E7381">
        <v>190.62</v>
      </c>
      <c r="F7381" s="1789">
        <v>8.8999999999999996E-2</v>
      </c>
      <c r="G7381">
        <f t="shared" ref="G7381:G7444" si="233">TRUNC((1-F7381)*E7381,2)</f>
        <v>173.65</v>
      </c>
    </row>
    <row r="7382" spans="1:7" ht="12.75" customHeight="1">
      <c r="A7382" s="3">
        <v>104926</v>
      </c>
      <c r="B7382" s="4" t="s">
        <v>7406</v>
      </c>
      <c r="C7382" s="3" t="s">
        <v>409</v>
      </c>
      <c r="D7382" s="5">
        <f t="shared" si="232"/>
        <v>106.22</v>
      </c>
      <c r="E7382">
        <v>116.6</v>
      </c>
      <c r="F7382" s="1789">
        <v>8.8999999999999996E-2</v>
      </c>
      <c r="G7382">
        <f t="shared" si="233"/>
        <v>106.22</v>
      </c>
    </row>
    <row r="7383" spans="1:7" ht="12.75" customHeight="1">
      <c r="A7383" s="3">
        <v>104927</v>
      </c>
      <c r="B7383" s="4" t="s">
        <v>7407</v>
      </c>
      <c r="C7383" s="3" t="s">
        <v>409</v>
      </c>
      <c r="D7383" s="5">
        <f t="shared" si="232"/>
        <v>71.13</v>
      </c>
      <c r="E7383">
        <v>78.08</v>
      </c>
      <c r="F7383" s="1789">
        <v>8.8999999999999996E-2</v>
      </c>
      <c r="G7383">
        <f t="shared" si="233"/>
        <v>71.13</v>
      </c>
    </row>
    <row r="7384" spans="1:7" ht="12.75" customHeight="1">
      <c r="A7384" s="3">
        <v>104928</v>
      </c>
      <c r="B7384" s="4" t="s">
        <v>7408</v>
      </c>
      <c r="C7384" s="3" t="s">
        <v>409</v>
      </c>
      <c r="D7384" s="5">
        <f t="shared" si="232"/>
        <v>147.43</v>
      </c>
      <c r="E7384">
        <v>161.84</v>
      </c>
      <c r="F7384" s="1789">
        <v>8.8999999999999996E-2</v>
      </c>
      <c r="G7384">
        <f t="shared" si="233"/>
        <v>147.43</v>
      </c>
    </row>
    <row r="7385" spans="1:7" ht="12.75" customHeight="1">
      <c r="A7385" s="3">
        <v>104929</v>
      </c>
      <c r="B7385" s="4" t="s">
        <v>7409</v>
      </c>
      <c r="C7385" s="3" t="s">
        <v>409</v>
      </c>
      <c r="D7385" s="5">
        <f t="shared" si="232"/>
        <v>88.04</v>
      </c>
      <c r="E7385">
        <v>96.65</v>
      </c>
      <c r="F7385" s="1789">
        <v>8.8999999999999996E-2</v>
      </c>
      <c r="G7385">
        <f t="shared" si="233"/>
        <v>88.04</v>
      </c>
    </row>
    <row r="7386" spans="1:7" ht="12.75" customHeight="1">
      <c r="A7386" s="3">
        <v>105403</v>
      </c>
      <c r="B7386" s="4" t="s">
        <v>7410</v>
      </c>
      <c r="C7386" s="3" t="s">
        <v>409</v>
      </c>
      <c r="D7386" s="5">
        <f t="shared" si="232"/>
        <v>222.88</v>
      </c>
      <c r="E7386">
        <v>244.66</v>
      </c>
      <c r="F7386" s="1789">
        <v>8.8999999999999996E-2</v>
      </c>
      <c r="G7386">
        <f t="shared" si="233"/>
        <v>222.88</v>
      </c>
    </row>
    <row r="7387" spans="1:7" ht="12.75" customHeight="1">
      <c r="A7387" s="3">
        <v>105406</v>
      </c>
      <c r="B7387" s="4" t="s">
        <v>7411</v>
      </c>
      <c r="C7387" s="3" t="s">
        <v>409</v>
      </c>
      <c r="D7387" s="5">
        <f t="shared" si="232"/>
        <v>206.56</v>
      </c>
      <c r="E7387">
        <v>226.74</v>
      </c>
      <c r="F7387" s="1789">
        <v>8.8999999999999996E-2</v>
      </c>
      <c r="G7387">
        <f t="shared" si="233"/>
        <v>206.56</v>
      </c>
    </row>
    <row r="7388" spans="1:7" ht="12.75" customHeight="1">
      <c r="A7388" s="3">
        <v>89996</v>
      </c>
      <c r="B7388" s="4" t="s">
        <v>7412</v>
      </c>
      <c r="C7388" s="3" t="s">
        <v>54</v>
      </c>
      <c r="D7388" s="5">
        <f t="shared" si="232"/>
        <v>10.67</v>
      </c>
      <c r="E7388">
        <v>11.72</v>
      </c>
      <c r="F7388" s="1789">
        <v>8.8999999999999996E-2</v>
      </c>
      <c r="G7388">
        <f t="shared" si="233"/>
        <v>10.67</v>
      </c>
    </row>
    <row r="7389" spans="1:7" ht="12.75" customHeight="1">
      <c r="A7389" s="3">
        <v>89997</v>
      </c>
      <c r="B7389" s="4" t="s">
        <v>7413</v>
      </c>
      <c r="C7389" s="3" t="s">
        <v>54</v>
      </c>
      <c r="D7389" s="5">
        <f t="shared" si="232"/>
        <v>8.74</v>
      </c>
      <c r="E7389">
        <v>9.6</v>
      </c>
      <c r="F7389" s="1789">
        <v>8.8999999999999996E-2</v>
      </c>
      <c r="G7389">
        <f t="shared" si="233"/>
        <v>8.74</v>
      </c>
    </row>
    <row r="7390" spans="1:7" ht="12.75" customHeight="1">
      <c r="A7390" s="3">
        <v>89998</v>
      </c>
      <c r="B7390" s="4" t="s">
        <v>7414</v>
      </c>
      <c r="C7390" s="3" t="s">
        <v>54</v>
      </c>
      <c r="D7390" s="5">
        <f t="shared" si="232"/>
        <v>10.199999999999999</v>
      </c>
      <c r="E7390">
        <v>11.2</v>
      </c>
      <c r="F7390" s="1789">
        <v>8.8999999999999996E-2</v>
      </c>
      <c r="G7390">
        <f t="shared" si="233"/>
        <v>10.199999999999999</v>
      </c>
    </row>
    <row r="7391" spans="1:7" ht="12.75" customHeight="1">
      <c r="A7391" s="3">
        <v>89999</v>
      </c>
      <c r="B7391" s="4" t="s">
        <v>7415</v>
      </c>
      <c r="C7391" s="3" t="s">
        <v>54</v>
      </c>
      <c r="D7391" s="5">
        <f t="shared" si="232"/>
        <v>15.45</v>
      </c>
      <c r="E7391">
        <v>16.96</v>
      </c>
      <c r="F7391" s="1789">
        <v>8.8999999999999996E-2</v>
      </c>
      <c r="G7391">
        <f t="shared" si="233"/>
        <v>15.45</v>
      </c>
    </row>
    <row r="7392" spans="1:7" ht="12.75" customHeight="1">
      <c r="A7392" s="3">
        <v>90000</v>
      </c>
      <c r="B7392" s="4" t="s">
        <v>7416</v>
      </c>
      <c r="C7392" s="3" t="s">
        <v>54</v>
      </c>
      <c r="D7392" s="5">
        <f t="shared" si="232"/>
        <v>12.59</v>
      </c>
      <c r="E7392">
        <v>13.83</v>
      </c>
      <c r="F7392" s="1789">
        <v>8.8999999999999996E-2</v>
      </c>
      <c r="G7392">
        <f t="shared" si="233"/>
        <v>12.59</v>
      </c>
    </row>
    <row r="7393" spans="1:7" ht="12.75" customHeight="1">
      <c r="A7393" s="3">
        <v>91593</v>
      </c>
      <c r="B7393" s="4" t="s">
        <v>7417</v>
      </c>
      <c r="C7393" s="3" t="s">
        <v>54</v>
      </c>
      <c r="D7393" s="5">
        <f t="shared" si="232"/>
        <v>10.34</v>
      </c>
      <c r="E7393">
        <v>11.36</v>
      </c>
      <c r="F7393" s="1789">
        <v>8.8999999999999996E-2</v>
      </c>
      <c r="G7393">
        <f t="shared" si="233"/>
        <v>10.34</v>
      </c>
    </row>
    <row r="7394" spans="1:7" ht="12.75" customHeight="1">
      <c r="A7394" s="3">
        <v>91594</v>
      </c>
      <c r="B7394" s="4" t="s">
        <v>7418</v>
      </c>
      <c r="C7394" s="3" t="s">
        <v>54</v>
      </c>
      <c r="D7394" s="5">
        <f t="shared" si="232"/>
        <v>10.73</v>
      </c>
      <c r="E7394">
        <v>11.78</v>
      </c>
      <c r="F7394" s="1789">
        <v>8.8999999999999996E-2</v>
      </c>
      <c r="G7394">
        <f t="shared" si="233"/>
        <v>10.73</v>
      </c>
    </row>
    <row r="7395" spans="1:7" ht="12.75" customHeight="1">
      <c r="A7395" s="3">
        <v>91595</v>
      </c>
      <c r="B7395" s="4" t="s">
        <v>7419</v>
      </c>
      <c r="C7395" s="3" t="s">
        <v>54</v>
      </c>
      <c r="D7395" s="5">
        <f t="shared" si="232"/>
        <v>11.34</v>
      </c>
      <c r="E7395">
        <v>12.45</v>
      </c>
      <c r="F7395" s="1789">
        <v>8.8999999999999996E-2</v>
      </c>
      <c r="G7395">
        <f t="shared" si="233"/>
        <v>11.34</v>
      </c>
    </row>
    <row r="7396" spans="1:7" ht="12.75" customHeight="1">
      <c r="A7396" s="3">
        <v>91596</v>
      </c>
      <c r="B7396" s="4" t="s">
        <v>7420</v>
      </c>
      <c r="C7396" s="3" t="s">
        <v>54</v>
      </c>
      <c r="D7396" s="5">
        <f t="shared" si="232"/>
        <v>10.62</v>
      </c>
      <c r="E7396">
        <v>11.66</v>
      </c>
      <c r="F7396" s="1789">
        <v>8.8999999999999996E-2</v>
      </c>
      <c r="G7396">
        <f t="shared" si="233"/>
        <v>10.62</v>
      </c>
    </row>
    <row r="7397" spans="1:7" ht="12.75" customHeight="1">
      <c r="A7397" s="3">
        <v>91597</v>
      </c>
      <c r="B7397" s="4" t="s">
        <v>7421</v>
      </c>
      <c r="C7397" s="3" t="s">
        <v>54</v>
      </c>
      <c r="D7397" s="5">
        <f t="shared" si="232"/>
        <v>7.54</v>
      </c>
      <c r="E7397">
        <v>8.2799999999999994</v>
      </c>
      <c r="F7397" s="1789">
        <v>8.8999999999999996E-2</v>
      </c>
      <c r="G7397">
        <f t="shared" si="233"/>
        <v>7.54</v>
      </c>
    </row>
    <row r="7398" spans="1:7" ht="12.75" customHeight="1">
      <c r="A7398" s="3">
        <v>91598</v>
      </c>
      <c r="B7398" s="4" t="s">
        <v>7422</v>
      </c>
      <c r="C7398" s="3" t="s">
        <v>54</v>
      </c>
      <c r="D7398" s="5">
        <f t="shared" si="232"/>
        <v>10.43</v>
      </c>
      <c r="E7398">
        <v>11.45</v>
      </c>
      <c r="F7398" s="1789">
        <v>8.8999999999999996E-2</v>
      </c>
      <c r="G7398">
        <f t="shared" si="233"/>
        <v>10.43</v>
      </c>
    </row>
    <row r="7399" spans="1:7" ht="12.75" customHeight="1">
      <c r="A7399" s="3">
        <v>91599</v>
      </c>
      <c r="B7399" s="4" t="s">
        <v>7423</v>
      </c>
      <c r="C7399" s="3" t="s">
        <v>54</v>
      </c>
      <c r="D7399" s="5">
        <f t="shared" si="232"/>
        <v>7.88</v>
      </c>
      <c r="E7399">
        <v>8.65</v>
      </c>
      <c r="F7399" s="1789">
        <v>8.8999999999999996E-2</v>
      </c>
      <c r="G7399">
        <f t="shared" si="233"/>
        <v>7.88</v>
      </c>
    </row>
    <row r="7400" spans="1:7" ht="12.75" customHeight="1">
      <c r="A7400" s="3">
        <v>91600</v>
      </c>
      <c r="B7400" s="4" t="s">
        <v>7424</v>
      </c>
      <c r="C7400" s="3" t="s">
        <v>54</v>
      </c>
      <c r="D7400" s="5">
        <f t="shared" si="232"/>
        <v>12.88</v>
      </c>
      <c r="E7400">
        <v>14.14</v>
      </c>
      <c r="F7400" s="1789">
        <v>8.8999999999999996E-2</v>
      </c>
      <c r="G7400">
        <f t="shared" si="233"/>
        <v>12.88</v>
      </c>
    </row>
    <row r="7401" spans="1:7" ht="12.75" customHeight="1">
      <c r="A7401" s="3">
        <v>91601</v>
      </c>
      <c r="B7401" s="4" t="s">
        <v>7425</v>
      </c>
      <c r="C7401" s="3" t="s">
        <v>54</v>
      </c>
      <c r="D7401" s="5">
        <f t="shared" si="232"/>
        <v>12.39</v>
      </c>
      <c r="E7401">
        <v>13.61</v>
      </c>
      <c r="F7401" s="1789">
        <v>8.8999999999999996E-2</v>
      </c>
      <c r="G7401">
        <f t="shared" si="233"/>
        <v>12.39</v>
      </c>
    </row>
    <row r="7402" spans="1:7" ht="12.75" customHeight="1">
      <c r="A7402" s="3">
        <v>91602</v>
      </c>
      <c r="B7402" s="4" t="s">
        <v>7426</v>
      </c>
      <c r="C7402" s="3" t="s">
        <v>54</v>
      </c>
      <c r="D7402" s="5">
        <f t="shared" si="232"/>
        <v>11.56</v>
      </c>
      <c r="E7402">
        <v>12.69</v>
      </c>
      <c r="F7402" s="1789">
        <v>8.8999999999999996E-2</v>
      </c>
      <c r="G7402">
        <f t="shared" si="233"/>
        <v>11.56</v>
      </c>
    </row>
    <row r="7403" spans="1:7" ht="12.75" customHeight="1">
      <c r="A7403" s="3">
        <v>91603</v>
      </c>
      <c r="B7403" s="4" t="s">
        <v>7427</v>
      </c>
      <c r="C7403" s="3" t="s">
        <v>54</v>
      </c>
      <c r="D7403" s="5">
        <f t="shared" si="232"/>
        <v>10.91</v>
      </c>
      <c r="E7403">
        <v>11.98</v>
      </c>
      <c r="F7403" s="1789">
        <v>8.8999999999999996E-2</v>
      </c>
      <c r="G7403">
        <f t="shared" si="233"/>
        <v>10.91</v>
      </c>
    </row>
    <row r="7404" spans="1:7" ht="12.75" customHeight="1">
      <c r="A7404" s="3">
        <v>92759</v>
      </c>
      <c r="B7404" s="4" t="s">
        <v>7428</v>
      </c>
      <c r="C7404" s="3" t="s">
        <v>54</v>
      </c>
      <c r="D7404" s="5">
        <f t="shared" si="232"/>
        <v>13.68</v>
      </c>
      <c r="E7404">
        <v>15.02</v>
      </c>
      <c r="F7404" s="1789">
        <v>8.8999999999999996E-2</v>
      </c>
      <c r="G7404">
        <f t="shared" si="233"/>
        <v>13.68</v>
      </c>
    </row>
    <row r="7405" spans="1:7" ht="12.75" customHeight="1">
      <c r="A7405" s="3">
        <v>92760</v>
      </c>
      <c r="B7405" s="4" t="s">
        <v>7429</v>
      </c>
      <c r="C7405" s="3" t="s">
        <v>54</v>
      </c>
      <c r="D7405" s="5">
        <f t="shared" si="232"/>
        <v>13.16</v>
      </c>
      <c r="E7405">
        <v>14.45</v>
      </c>
      <c r="F7405" s="1789">
        <v>8.8999999999999996E-2</v>
      </c>
      <c r="G7405">
        <f t="shared" si="233"/>
        <v>13.16</v>
      </c>
    </row>
    <row r="7406" spans="1:7" ht="12.75" customHeight="1">
      <c r="A7406" s="3">
        <v>92761</v>
      </c>
      <c r="B7406" s="4" t="s">
        <v>7430</v>
      </c>
      <c r="C7406" s="3" t="s">
        <v>54</v>
      </c>
      <c r="D7406" s="5">
        <f t="shared" si="232"/>
        <v>12.55</v>
      </c>
      <c r="E7406">
        <v>13.78</v>
      </c>
      <c r="F7406" s="1789">
        <v>8.8999999999999996E-2</v>
      </c>
      <c r="G7406">
        <f t="shared" si="233"/>
        <v>12.55</v>
      </c>
    </row>
    <row r="7407" spans="1:7" ht="12.75" customHeight="1">
      <c r="A7407" s="3">
        <v>92762</v>
      </c>
      <c r="B7407" s="4" t="s">
        <v>7431</v>
      </c>
      <c r="C7407" s="3" t="s">
        <v>54</v>
      </c>
      <c r="D7407" s="5">
        <f t="shared" si="232"/>
        <v>11.29</v>
      </c>
      <c r="E7407">
        <v>12.4</v>
      </c>
      <c r="F7407" s="1789">
        <v>8.8999999999999996E-2</v>
      </c>
      <c r="G7407">
        <f t="shared" si="233"/>
        <v>11.29</v>
      </c>
    </row>
    <row r="7408" spans="1:7" ht="12.75" customHeight="1">
      <c r="A7408" s="3">
        <v>92763</v>
      </c>
      <c r="B7408" s="4" t="s">
        <v>7432</v>
      </c>
      <c r="C7408" s="3" t="s">
        <v>54</v>
      </c>
      <c r="D7408" s="5">
        <f t="shared" si="232"/>
        <v>9.5500000000000007</v>
      </c>
      <c r="E7408">
        <v>10.49</v>
      </c>
      <c r="F7408" s="1789">
        <v>8.8999999999999996E-2</v>
      </c>
      <c r="G7408">
        <f t="shared" si="233"/>
        <v>9.5500000000000007</v>
      </c>
    </row>
    <row r="7409" spans="1:7" ht="12.75" customHeight="1">
      <c r="A7409" s="3">
        <v>92764</v>
      </c>
      <c r="B7409" s="4" t="s">
        <v>7433</v>
      </c>
      <c r="C7409" s="3" t="s">
        <v>54</v>
      </c>
      <c r="D7409" s="5">
        <f t="shared" si="232"/>
        <v>9.2799999999999994</v>
      </c>
      <c r="E7409">
        <v>10.19</v>
      </c>
      <c r="F7409" s="1789">
        <v>8.8999999999999996E-2</v>
      </c>
      <c r="G7409">
        <f t="shared" si="233"/>
        <v>9.2799999999999994</v>
      </c>
    </row>
    <row r="7410" spans="1:7" ht="12.75" customHeight="1">
      <c r="A7410" s="3">
        <v>92765</v>
      </c>
      <c r="B7410" s="4" t="s">
        <v>7434</v>
      </c>
      <c r="C7410" s="3" t="s">
        <v>54</v>
      </c>
      <c r="D7410" s="5">
        <f t="shared" si="232"/>
        <v>10.62</v>
      </c>
      <c r="E7410">
        <v>11.66</v>
      </c>
      <c r="F7410" s="1789">
        <v>8.8999999999999996E-2</v>
      </c>
      <c r="G7410">
        <f t="shared" si="233"/>
        <v>10.62</v>
      </c>
    </row>
    <row r="7411" spans="1:7" ht="12.75" customHeight="1">
      <c r="A7411" s="3">
        <v>92766</v>
      </c>
      <c r="B7411" s="4" t="s">
        <v>7435</v>
      </c>
      <c r="C7411" s="3" t="s">
        <v>54</v>
      </c>
      <c r="D7411" s="5">
        <f t="shared" si="232"/>
        <v>10.52</v>
      </c>
      <c r="E7411">
        <v>11.55</v>
      </c>
      <c r="F7411" s="1789">
        <v>8.8999999999999996E-2</v>
      </c>
      <c r="G7411">
        <f t="shared" si="233"/>
        <v>10.52</v>
      </c>
    </row>
    <row r="7412" spans="1:7" ht="12.75" customHeight="1">
      <c r="A7412" s="3">
        <v>92767</v>
      </c>
      <c r="B7412" s="4" t="s">
        <v>7436</v>
      </c>
      <c r="C7412" s="3" t="s">
        <v>54</v>
      </c>
      <c r="D7412" s="5">
        <f t="shared" si="232"/>
        <v>14.87</v>
      </c>
      <c r="E7412">
        <v>16.329999999999998</v>
      </c>
      <c r="F7412" s="1789">
        <v>8.8999999999999996E-2</v>
      </c>
      <c r="G7412">
        <f t="shared" si="233"/>
        <v>14.87</v>
      </c>
    </row>
    <row r="7413" spans="1:7" ht="12.75" customHeight="1">
      <c r="A7413" s="3">
        <v>92768</v>
      </c>
      <c r="B7413" s="4" t="s">
        <v>7437</v>
      </c>
      <c r="C7413" s="3" t="s">
        <v>54</v>
      </c>
      <c r="D7413" s="5">
        <f t="shared" si="232"/>
        <v>13.25</v>
      </c>
      <c r="E7413">
        <v>14.55</v>
      </c>
      <c r="F7413" s="1789">
        <v>8.8999999999999996E-2</v>
      </c>
      <c r="G7413">
        <f t="shared" si="233"/>
        <v>13.25</v>
      </c>
    </row>
    <row r="7414" spans="1:7" ht="12.75" customHeight="1">
      <c r="A7414" s="3">
        <v>92769</v>
      </c>
      <c r="B7414" s="4" t="s">
        <v>7438</v>
      </c>
      <c r="C7414" s="3" t="s">
        <v>54</v>
      </c>
      <c r="D7414" s="5">
        <f t="shared" si="232"/>
        <v>12.73</v>
      </c>
      <c r="E7414">
        <v>13.98</v>
      </c>
      <c r="F7414" s="1789">
        <v>8.8999999999999996E-2</v>
      </c>
      <c r="G7414">
        <f t="shared" si="233"/>
        <v>12.73</v>
      </c>
    </row>
    <row r="7415" spans="1:7" ht="12.75" customHeight="1">
      <c r="A7415" s="3">
        <v>92770</v>
      </c>
      <c r="B7415" s="4" t="s">
        <v>7439</v>
      </c>
      <c r="C7415" s="3" t="s">
        <v>54</v>
      </c>
      <c r="D7415" s="5">
        <f t="shared" si="232"/>
        <v>12.14</v>
      </c>
      <c r="E7415">
        <v>13.33</v>
      </c>
      <c r="F7415" s="1789">
        <v>8.8999999999999996E-2</v>
      </c>
      <c r="G7415">
        <f t="shared" si="233"/>
        <v>12.14</v>
      </c>
    </row>
    <row r="7416" spans="1:7" ht="12.75" customHeight="1">
      <c r="A7416" s="3">
        <v>92771</v>
      </c>
      <c r="B7416" s="4" t="s">
        <v>7440</v>
      </c>
      <c r="C7416" s="3" t="s">
        <v>54</v>
      </c>
      <c r="D7416" s="5">
        <f t="shared" si="232"/>
        <v>10.91</v>
      </c>
      <c r="E7416">
        <v>11.98</v>
      </c>
      <c r="F7416" s="1789">
        <v>8.8999999999999996E-2</v>
      </c>
      <c r="G7416">
        <f t="shared" si="233"/>
        <v>10.91</v>
      </c>
    </row>
    <row r="7417" spans="1:7" ht="12.75" customHeight="1">
      <c r="A7417" s="3">
        <v>92772</v>
      </c>
      <c r="B7417" s="4" t="s">
        <v>7441</v>
      </c>
      <c r="C7417" s="3" t="s">
        <v>54</v>
      </c>
      <c r="D7417" s="5">
        <f t="shared" si="232"/>
        <v>9.1999999999999993</v>
      </c>
      <c r="E7417">
        <v>10.1</v>
      </c>
      <c r="F7417" s="1789">
        <v>8.8999999999999996E-2</v>
      </c>
      <c r="G7417">
        <f t="shared" si="233"/>
        <v>9.1999999999999993</v>
      </c>
    </row>
    <row r="7418" spans="1:7" ht="12.75" customHeight="1">
      <c r="A7418" s="3">
        <v>92773</v>
      </c>
      <c r="B7418" s="4" t="s">
        <v>7442</v>
      </c>
      <c r="C7418" s="3" t="s">
        <v>54</v>
      </c>
      <c r="D7418" s="5">
        <f t="shared" si="232"/>
        <v>9.0500000000000007</v>
      </c>
      <c r="E7418">
        <v>9.94</v>
      </c>
      <c r="F7418" s="1789">
        <v>8.8999999999999996E-2</v>
      </c>
      <c r="G7418">
        <f t="shared" si="233"/>
        <v>9.0500000000000007</v>
      </c>
    </row>
    <row r="7419" spans="1:7" ht="12.75" customHeight="1">
      <c r="A7419" s="3">
        <v>92774</v>
      </c>
      <c r="B7419" s="4" t="s">
        <v>7443</v>
      </c>
      <c r="C7419" s="3" t="s">
        <v>54</v>
      </c>
      <c r="D7419" s="5">
        <f t="shared" si="232"/>
        <v>10.48</v>
      </c>
      <c r="E7419">
        <v>11.51</v>
      </c>
      <c r="F7419" s="1789">
        <v>8.8999999999999996E-2</v>
      </c>
      <c r="G7419">
        <f t="shared" si="233"/>
        <v>10.48</v>
      </c>
    </row>
    <row r="7420" spans="1:7" ht="12.75" customHeight="1">
      <c r="A7420" s="3">
        <v>92798</v>
      </c>
      <c r="B7420" s="4" t="s">
        <v>7444</v>
      </c>
      <c r="C7420" s="3" t="s">
        <v>54</v>
      </c>
      <c r="D7420" s="5">
        <f t="shared" si="232"/>
        <v>9.6300000000000008</v>
      </c>
      <c r="E7420">
        <v>10.58</v>
      </c>
      <c r="F7420" s="1789">
        <v>8.8999999999999996E-2</v>
      </c>
      <c r="G7420">
        <f t="shared" si="233"/>
        <v>9.6300000000000008</v>
      </c>
    </row>
    <row r="7421" spans="1:7" ht="12.75" customHeight="1">
      <c r="A7421" s="3">
        <v>92799</v>
      </c>
      <c r="B7421" s="4" t="s">
        <v>7445</v>
      </c>
      <c r="C7421" s="3" t="s">
        <v>54</v>
      </c>
      <c r="D7421" s="5">
        <f t="shared" si="232"/>
        <v>10.99</v>
      </c>
      <c r="E7421">
        <v>12.07</v>
      </c>
      <c r="F7421" s="1789">
        <v>8.8999999999999996E-2</v>
      </c>
      <c r="G7421">
        <f t="shared" si="233"/>
        <v>10.99</v>
      </c>
    </row>
    <row r="7422" spans="1:7" ht="12.75" customHeight="1">
      <c r="A7422" s="3">
        <v>92800</v>
      </c>
      <c r="B7422" s="4" t="s">
        <v>7446</v>
      </c>
      <c r="C7422" s="3" t="s">
        <v>54</v>
      </c>
      <c r="D7422" s="5">
        <f t="shared" si="232"/>
        <v>10.07</v>
      </c>
      <c r="E7422">
        <v>11.06</v>
      </c>
      <c r="F7422" s="1789">
        <v>8.8999999999999996E-2</v>
      </c>
      <c r="G7422">
        <f t="shared" si="233"/>
        <v>10.07</v>
      </c>
    </row>
    <row r="7423" spans="1:7" ht="12.75" customHeight="1">
      <c r="A7423" s="3">
        <v>92801</v>
      </c>
      <c r="B7423" s="4" t="s">
        <v>7447</v>
      </c>
      <c r="C7423" s="3" t="s">
        <v>54</v>
      </c>
      <c r="D7423" s="5">
        <f t="shared" si="232"/>
        <v>10.33</v>
      </c>
      <c r="E7423">
        <v>11.35</v>
      </c>
      <c r="F7423" s="1789">
        <v>8.8999999999999996E-2</v>
      </c>
      <c r="G7423">
        <f t="shared" si="233"/>
        <v>10.33</v>
      </c>
    </row>
    <row r="7424" spans="1:7" ht="12.75" customHeight="1">
      <c r="A7424" s="3">
        <v>92802</v>
      </c>
      <c r="B7424" s="4" t="s">
        <v>7448</v>
      </c>
      <c r="C7424" s="3" t="s">
        <v>54</v>
      </c>
      <c r="D7424" s="5">
        <f t="shared" si="232"/>
        <v>10.37</v>
      </c>
      <c r="E7424">
        <v>11.39</v>
      </c>
      <c r="F7424" s="1789">
        <v>8.8999999999999996E-2</v>
      </c>
      <c r="G7424">
        <f t="shared" si="233"/>
        <v>10.37</v>
      </c>
    </row>
    <row r="7425" spans="1:7" ht="12.75" customHeight="1">
      <c r="A7425" s="3">
        <v>92803</v>
      </c>
      <c r="B7425" s="4" t="s">
        <v>7449</v>
      </c>
      <c r="C7425" s="3" t="s">
        <v>54</v>
      </c>
      <c r="D7425" s="5">
        <f t="shared" si="232"/>
        <v>9.61</v>
      </c>
      <c r="E7425">
        <v>10.55</v>
      </c>
      <c r="F7425" s="1789">
        <v>8.8999999999999996E-2</v>
      </c>
      <c r="G7425">
        <f t="shared" si="233"/>
        <v>9.61</v>
      </c>
    </row>
    <row r="7426" spans="1:7" ht="12.75" customHeight="1">
      <c r="A7426" s="3">
        <v>92804</v>
      </c>
      <c r="B7426" s="4" t="s">
        <v>7450</v>
      </c>
      <c r="C7426" s="3" t="s">
        <v>54</v>
      </c>
      <c r="D7426" s="5">
        <f t="shared" si="232"/>
        <v>8.24</v>
      </c>
      <c r="E7426">
        <v>9.0500000000000007</v>
      </c>
      <c r="F7426" s="1789">
        <v>8.8999999999999996E-2</v>
      </c>
      <c r="G7426">
        <f t="shared" si="233"/>
        <v>8.24</v>
      </c>
    </row>
    <row r="7427" spans="1:7" ht="12.75" customHeight="1">
      <c r="A7427" s="3">
        <v>92805</v>
      </c>
      <c r="B7427" s="4" t="s">
        <v>7451</v>
      </c>
      <c r="C7427" s="3" t="s">
        <v>54</v>
      </c>
      <c r="D7427" s="5">
        <f t="shared" si="232"/>
        <v>8.18</v>
      </c>
      <c r="E7427">
        <v>8.98</v>
      </c>
      <c r="F7427" s="1789">
        <v>8.8999999999999996E-2</v>
      </c>
      <c r="G7427">
        <f t="shared" si="233"/>
        <v>8.18</v>
      </c>
    </row>
    <row r="7428" spans="1:7" ht="12.75" customHeight="1">
      <c r="A7428" s="3">
        <v>92806</v>
      </c>
      <c r="B7428" s="4" t="s">
        <v>7452</v>
      </c>
      <c r="C7428" s="3" t="s">
        <v>54</v>
      </c>
      <c r="D7428" s="5">
        <f t="shared" si="232"/>
        <v>9.64</v>
      </c>
      <c r="E7428">
        <v>10.59</v>
      </c>
      <c r="F7428" s="1789">
        <v>8.8999999999999996E-2</v>
      </c>
      <c r="G7428">
        <f t="shared" si="233"/>
        <v>9.64</v>
      </c>
    </row>
    <row r="7429" spans="1:7" ht="12.75" customHeight="1">
      <c r="A7429" s="3">
        <v>92875</v>
      </c>
      <c r="B7429" s="4" t="s">
        <v>7453</v>
      </c>
      <c r="C7429" s="3" t="s">
        <v>54</v>
      </c>
      <c r="D7429" s="5">
        <f t="shared" si="232"/>
        <v>9.75</v>
      </c>
      <c r="E7429">
        <v>10.71</v>
      </c>
      <c r="F7429" s="1789">
        <v>8.8999999999999996E-2</v>
      </c>
      <c r="G7429">
        <f t="shared" si="233"/>
        <v>9.75</v>
      </c>
    </row>
    <row r="7430" spans="1:7" ht="12.75" customHeight="1">
      <c r="A7430" s="3">
        <v>92876</v>
      </c>
      <c r="B7430" s="4" t="s">
        <v>7454</v>
      </c>
      <c r="C7430" s="3" t="s">
        <v>54</v>
      </c>
      <c r="D7430" s="5">
        <f t="shared" si="232"/>
        <v>9.57</v>
      </c>
      <c r="E7430">
        <v>10.51</v>
      </c>
      <c r="F7430" s="1789">
        <v>8.8999999999999996E-2</v>
      </c>
      <c r="G7430">
        <f t="shared" si="233"/>
        <v>9.57</v>
      </c>
    </row>
    <row r="7431" spans="1:7" ht="12.75" customHeight="1">
      <c r="A7431" s="3">
        <v>92877</v>
      </c>
      <c r="B7431" s="4" t="s">
        <v>7455</v>
      </c>
      <c r="C7431" s="3" t="s">
        <v>54</v>
      </c>
      <c r="D7431" s="5">
        <f t="shared" si="232"/>
        <v>10.38</v>
      </c>
      <c r="E7431">
        <v>11.4</v>
      </c>
      <c r="F7431" s="1789">
        <v>8.8999999999999996E-2</v>
      </c>
      <c r="G7431">
        <f t="shared" si="233"/>
        <v>10.38</v>
      </c>
    </row>
    <row r="7432" spans="1:7" ht="12.75" customHeight="1">
      <c r="A7432" s="3">
        <v>92878</v>
      </c>
      <c r="B7432" s="4" t="s">
        <v>7456</v>
      </c>
      <c r="C7432" s="3" t="s">
        <v>54</v>
      </c>
      <c r="D7432" s="5">
        <f t="shared" si="232"/>
        <v>10.24</v>
      </c>
      <c r="E7432">
        <v>11.25</v>
      </c>
      <c r="F7432" s="1789">
        <v>8.8999999999999996E-2</v>
      </c>
      <c r="G7432">
        <f t="shared" si="233"/>
        <v>10.24</v>
      </c>
    </row>
    <row r="7433" spans="1:7" ht="12.75" customHeight="1">
      <c r="A7433" s="3">
        <v>92879</v>
      </c>
      <c r="B7433" s="4" t="s">
        <v>7457</v>
      </c>
      <c r="C7433" s="3" t="s">
        <v>54</v>
      </c>
      <c r="D7433" s="5">
        <f t="shared" si="232"/>
        <v>10.15</v>
      </c>
      <c r="E7433">
        <v>11.15</v>
      </c>
      <c r="F7433" s="1789">
        <v>8.8999999999999996E-2</v>
      </c>
      <c r="G7433">
        <f t="shared" si="233"/>
        <v>10.15</v>
      </c>
    </row>
    <row r="7434" spans="1:7" ht="12.75" customHeight="1">
      <c r="A7434" s="3">
        <v>92880</v>
      </c>
      <c r="B7434" s="4" t="s">
        <v>7458</v>
      </c>
      <c r="C7434" s="3" t="s">
        <v>54</v>
      </c>
      <c r="D7434" s="5">
        <f t="shared" si="232"/>
        <v>10.39</v>
      </c>
      <c r="E7434">
        <v>11.41</v>
      </c>
      <c r="F7434" s="1789">
        <v>8.8999999999999996E-2</v>
      </c>
      <c r="G7434">
        <f t="shared" si="233"/>
        <v>10.39</v>
      </c>
    </row>
    <row r="7435" spans="1:7" ht="12.75" customHeight="1">
      <c r="A7435" s="3">
        <v>92881</v>
      </c>
      <c r="B7435" s="4" t="s">
        <v>7459</v>
      </c>
      <c r="C7435" s="3" t="s">
        <v>54</v>
      </c>
      <c r="D7435" s="5">
        <f t="shared" si="232"/>
        <v>10.36</v>
      </c>
      <c r="E7435">
        <v>11.38</v>
      </c>
      <c r="F7435" s="1789">
        <v>8.8999999999999996E-2</v>
      </c>
      <c r="G7435">
        <f t="shared" si="233"/>
        <v>10.36</v>
      </c>
    </row>
    <row r="7436" spans="1:7" ht="12.75" customHeight="1">
      <c r="A7436" s="3">
        <v>92882</v>
      </c>
      <c r="B7436" s="4" t="s">
        <v>7460</v>
      </c>
      <c r="C7436" s="3" t="s">
        <v>54</v>
      </c>
      <c r="D7436" s="5">
        <f t="shared" si="232"/>
        <v>12.99</v>
      </c>
      <c r="E7436">
        <v>14.27</v>
      </c>
      <c r="F7436" s="1789">
        <v>8.8999999999999996E-2</v>
      </c>
      <c r="G7436">
        <f t="shared" si="233"/>
        <v>12.99</v>
      </c>
    </row>
    <row r="7437" spans="1:7" ht="12.75" customHeight="1">
      <c r="A7437" s="3">
        <v>92883</v>
      </c>
      <c r="B7437" s="4" t="s">
        <v>7461</v>
      </c>
      <c r="C7437" s="3" t="s">
        <v>54</v>
      </c>
      <c r="D7437" s="5">
        <f t="shared" si="232"/>
        <v>12.13</v>
      </c>
      <c r="E7437">
        <v>13.32</v>
      </c>
      <c r="F7437" s="1789">
        <v>8.8999999999999996E-2</v>
      </c>
      <c r="G7437">
        <f t="shared" si="233"/>
        <v>12.13</v>
      </c>
    </row>
    <row r="7438" spans="1:7" ht="12.75" customHeight="1">
      <c r="A7438" s="3">
        <v>92884</v>
      </c>
      <c r="B7438" s="4" t="s">
        <v>7462</v>
      </c>
      <c r="C7438" s="3" t="s">
        <v>54</v>
      </c>
      <c r="D7438" s="5">
        <f t="shared" si="232"/>
        <v>12.43</v>
      </c>
      <c r="E7438">
        <v>13.65</v>
      </c>
      <c r="F7438" s="1789">
        <v>8.8999999999999996E-2</v>
      </c>
      <c r="G7438">
        <f t="shared" si="233"/>
        <v>12.43</v>
      </c>
    </row>
    <row r="7439" spans="1:7" ht="12.75" customHeight="1">
      <c r="A7439" s="3">
        <v>92885</v>
      </c>
      <c r="B7439" s="4" t="s">
        <v>7463</v>
      </c>
      <c r="C7439" s="3" t="s">
        <v>54</v>
      </c>
      <c r="D7439" s="5">
        <f t="shared" si="232"/>
        <v>11.89</v>
      </c>
      <c r="E7439">
        <v>13.06</v>
      </c>
      <c r="F7439" s="1789">
        <v>8.8999999999999996E-2</v>
      </c>
      <c r="G7439">
        <f t="shared" si="233"/>
        <v>11.89</v>
      </c>
    </row>
    <row r="7440" spans="1:7" ht="12.75" customHeight="1">
      <c r="A7440" s="3">
        <v>92886</v>
      </c>
      <c r="B7440" s="4" t="s">
        <v>7464</v>
      </c>
      <c r="C7440" s="3" t="s">
        <v>54</v>
      </c>
      <c r="D7440" s="5">
        <f t="shared" si="232"/>
        <v>11.44</v>
      </c>
      <c r="E7440">
        <v>12.56</v>
      </c>
      <c r="F7440" s="1789">
        <v>8.8999999999999996E-2</v>
      </c>
      <c r="G7440">
        <f t="shared" si="233"/>
        <v>11.44</v>
      </c>
    </row>
    <row r="7441" spans="1:7" ht="12.75" customHeight="1">
      <c r="A7441" s="3">
        <v>92887</v>
      </c>
      <c r="B7441" s="4" t="s">
        <v>7465</v>
      </c>
      <c r="C7441" s="3" t="s">
        <v>54</v>
      </c>
      <c r="D7441" s="5">
        <f t="shared" si="232"/>
        <v>11.42</v>
      </c>
      <c r="E7441">
        <v>12.54</v>
      </c>
      <c r="F7441" s="1789">
        <v>8.8999999999999996E-2</v>
      </c>
      <c r="G7441">
        <f t="shared" si="233"/>
        <v>11.42</v>
      </c>
    </row>
    <row r="7442" spans="1:7" ht="12.75" customHeight="1">
      <c r="A7442" s="3">
        <v>92888</v>
      </c>
      <c r="B7442" s="4" t="s">
        <v>7466</v>
      </c>
      <c r="C7442" s="3" t="s">
        <v>54</v>
      </c>
      <c r="D7442" s="5">
        <f t="shared" si="232"/>
        <v>11.18</v>
      </c>
      <c r="E7442">
        <v>12.28</v>
      </c>
      <c r="F7442" s="1789">
        <v>8.8999999999999996E-2</v>
      </c>
      <c r="G7442">
        <f t="shared" si="233"/>
        <v>11.18</v>
      </c>
    </row>
    <row r="7443" spans="1:7" ht="12.75" customHeight="1">
      <c r="A7443" s="3">
        <v>92915</v>
      </c>
      <c r="B7443" s="4" t="s">
        <v>7467</v>
      </c>
      <c r="C7443" s="3" t="s">
        <v>54</v>
      </c>
      <c r="D7443" s="5">
        <f t="shared" si="232"/>
        <v>15.95</v>
      </c>
      <c r="E7443">
        <v>17.510000000000002</v>
      </c>
      <c r="F7443" s="1789">
        <v>8.8999999999999996E-2</v>
      </c>
      <c r="G7443">
        <f t="shared" si="233"/>
        <v>15.95</v>
      </c>
    </row>
    <row r="7444" spans="1:7" ht="12.75" customHeight="1">
      <c r="A7444" s="3">
        <v>92916</v>
      </c>
      <c r="B7444" s="4" t="s">
        <v>7468</v>
      </c>
      <c r="C7444" s="3" t="s">
        <v>54</v>
      </c>
      <c r="D7444" s="5">
        <f t="shared" si="232"/>
        <v>14.84</v>
      </c>
      <c r="E7444">
        <v>16.3</v>
      </c>
      <c r="F7444" s="1789">
        <v>8.8999999999999996E-2</v>
      </c>
      <c r="G7444">
        <f t="shared" si="233"/>
        <v>14.84</v>
      </c>
    </row>
    <row r="7445" spans="1:7" ht="12.75" customHeight="1">
      <c r="A7445" s="3">
        <v>92917</v>
      </c>
      <c r="B7445" s="4" t="s">
        <v>7469</v>
      </c>
      <c r="C7445" s="3" t="s">
        <v>54</v>
      </c>
      <c r="D7445" s="5">
        <f t="shared" ref="D7445:D7508" si="234">G7445</f>
        <v>13.74</v>
      </c>
      <c r="E7445">
        <v>15.09</v>
      </c>
      <c r="F7445" s="1789">
        <v>8.8999999999999996E-2</v>
      </c>
      <c r="G7445">
        <f t="shared" ref="G7445:G7508" si="235">TRUNC((1-F7445)*E7445,2)</f>
        <v>13.74</v>
      </c>
    </row>
    <row r="7446" spans="1:7" ht="12.75" customHeight="1">
      <c r="A7446" s="3">
        <v>92919</v>
      </c>
      <c r="B7446" s="4" t="s">
        <v>7470</v>
      </c>
      <c r="C7446" s="3" t="s">
        <v>54</v>
      </c>
      <c r="D7446" s="5">
        <f t="shared" si="234"/>
        <v>12.13</v>
      </c>
      <c r="E7446">
        <v>13.32</v>
      </c>
      <c r="F7446" s="1789">
        <v>8.8999999999999996E-2</v>
      </c>
      <c r="G7446">
        <f t="shared" si="235"/>
        <v>12.13</v>
      </c>
    </row>
    <row r="7447" spans="1:7" ht="12.75" customHeight="1">
      <c r="A7447" s="3">
        <v>92921</v>
      </c>
      <c r="B7447" s="4" t="s">
        <v>7471</v>
      </c>
      <c r="C7447" s="3" t="s">
        <v>54</v>
      </c>
      <c r="D7447" s="5">
        <f t="shared" si="234"/>
        <v>10.09</v>
      </c>
      <c r="E7447">
        <v>11.08</v>
      </c>
      <c r="F7447" s="1789">
        <v>8.8999999999999996E-2</v>
      </c>
      <c r="G7447">
        <f t="shared" si="235"/>
        <v>10.09</v>
      </c>
    </row>
    <row r="7448" spans="1:7" ht="12.75" customHeight="1">
      <c r="A7448" s="3">
        <v>92922</v>
      </c>
      <c r="B7448" s="4" t="s">
        <v>7472</v>
      </c>
      <c r="C7448" s="3" t="s">
        <v>54</v>
      </c>
      <c r="D7448" s="5">
        <f t="shared" si="234"/>
        <v>9.6999999999999993</v>
      </c>
      <c r="E7448">
        <v>10.65</v>
      </c>
      <c r="F7448" s="1789">
        <v>8.8999999999999996E-2</v>
      </c>
      <c r="G7448">
        <f t="shared" si="235"/>
        <v>9.6999999999999993</v>
      </c>
    </row>
    <row r="7449" spans="1:7" ht="12.75" customHeight="1">
      <c r="A7449" s="3">
        <v>92923</v>
      </c>
      <c r="B7449" s="4" t="s">
        <v>7473</v>
      </c>
      <c r="C7449" s="3" t="s">
        <v>54</v>
      </c>
      <c r="D7449" s="5">
        <f t="shared" si="234"/>
        <v>10.94</v>
      </c>
      <c r="E7449">
        <v>12.01</v>
      </c>
      <c r="F7449" s="1789">
        <v>8.8999999999999996E-2</v>
      </c>
      <c r="G7449">
        <f t="shared" si="235"/>
        <v>10.94</v>
      </c>
    </row>
    <row r="7450" spans="1:7" ht="12.75" customHeight="1">
      <c r="A7450" s="3">
        <v>92924</v>
      </c>
      <c r="B7450" s="4" t="s">
        <v>7474</v>
      </c>
      <c r="C7450" s="3" t="s">
        <v>54</v>
      </c>
      <c r="D7450" s="5">
        <f t="shared" si="234"/>
        <v>10.76</v>
      </c>
      <c r="E7450">
        <v>11.82</v>
      </c>
      <c r="F7450" s="1789">
        <v>8.8999999999999996E-2</v>
      </c>
      <c r="G7450">
        <f t="shared" si="235"/>
        <v>10.76</v>
      </c>
    </row>
    <row r="7451" spans="1:7" ht="12.75" customHeight="1">
      <c r="A7451" s="3">
        <v>95448</v>
      </c>
      <c r="B7451" s="4" t="s">
        <v>7475</v>
      </c>
      <c r="C7451" s="3" t="s">
        <v>54</v>
      </c>
      <c r="D7451" s="5">
        <f t="shared" si="234"/>
        <v>10.58</v>
      </c>
      <c r="E7451">
        <v>11.62</v>
      </c>
      <c r="F7451" s="1789">
        <v>8.8999999999999996E-2</v>
      </c>
      <c r="G7451">
        <f t="shared" si="235"/>
        <v>10.58</v>
      </c>
    </row>
    <row r="7452" spans="1:7" ht="12.75" customHeight="1">
      <c r="A7452" s="3">
        <v>95576</v>
      </c>
      <c r="B7452" s="4" t="s">
        <v>7476</v>
      </c>
      <c r="C7452" s="3" t="s">
        <v>54</v>
      </c>
      <c r="D7452" s="5">
        <f t="shared" si="234"/>
        <v>12.69</v>
      </c>
      <c r="E7452">
        <v>13.94</v>
      </c>
      <c r="F7452" s="1789">
        <v>8.8999999999999996E-2</v>
      </c>
      <c r="G7452">
        <f t="shared" si="235"/>
        <v>12.69</v>
      </c>
    </row>
    <row r="7453" spans="1:7" ht="12.75" customHeight="1">
      <c r="A7453" s="3">
        <v>95577</v>
      </c>
      <c r="B7453" s="4" t="s">
        <v>7477</v>
      </c>
      <c r="C7453" s="3" t="s">
        <v>54</v>
      </c>
      <c r="D7453" s="5">
        <f t="shared" si="234"/>
        <v>10.97</v>
      </c>
      <c r="E7453">
        <v>12.05</v>
      </c>
      <c r="F7453" s="1789">
        <v>8.8999999999999996E-2</v>
      </c>
      <c r="G7453">
        <f t="shared" si="235"/>
        <v>10.97</v>
      </c>
    </row>
    <row r="7454" spans="1:7" ht="12.75" customHeight="1">
      <c r="A7454" s="3">
        <v>95578</v>
      </c>
      <c r="B7454" s="4" t="s">
        <v>7478</v>
      </c>
      <c r="C7454" s="3" t="s">
        <v>54</v>
      </c>
      <c r="D7454" s="5">
        <f t="shared" si="234"/>
        <v>9.2100000000000009</v>
      </c>
      <c r="E7454">
        <v>10.11</v>
      </c>
      <c r="F7454" s="1789">
        <v>8.8999999999999996E-2</v>
      </c>
      <c r="G7454">
        <f t="shared" si="235"/>
        <v>9.2100000000000009</v>
      </c>
    </row>
    <row r="7455" spans="1:7" ht="12.75" customHeight="1">
      <c r="A7455" s="3">
        <v>95579</v>
      </c>
      <c r="B7455" s="4" t="s">
        <v>7479</v>
      </c>
      <c r="C7455" s="3" t="s">
        <v>54</v>
      </c>
      <c r="D7455" s="5">
        <f t="shared" si="234"/>
        <v>8.93</v>
      </c>
      <c r="E7455">
        <v>9.81</v>
      </c>
      <c r="F7455" s="1789">
        <v>8.8999999999999996E-2</v>
      </c>
      <c r="G7455">
        <f t="shared" si="235"/>
        <v>8.93</v>
      </c>
    </row>
    <row r="7456" spans="1:7" ht="12.75" customHeight="1">
      <c r="A7456" s="3">
        <v>95580</v>
      </c>
      <c r="B7456" s="4" t="s">
        <v>7480</v>
      </c>
      <c r="C7456" s="3" t="s">
        <v>54</v>
      </c>
      <c r="D7456" s="5">
        <f t="shared" si="234"/>
        <v>10.33</v>
      </c>
      <c r="E7456">
        <v>11.34</v>
      </c>
      <c r="F7456" s="1789">
        <v>8.8999999999999996E-2</v>
      </c>
      <c r="G7456">
        <f t="shared" si="235"/>
        <v>10.33</v>
      </c>
    </row>
    <row r="7457" spans="1:7" ht="12.75" customHeight="1">
      <c r="A7457" s="3">
        <v>95581</v>
      </c>
      <c r="B7457" s="4" t="s">
        <v>7481</v>
      </c>
      <c r="C7457" s="3" t="s">
        <v>54</v>
      </c>
      <c r="D7457" s="5">
        <f t="shared" si="234"/>
        <v>10.29</v>
      </c>
      <c r="E7457">
        <v>11.3</v>
      </c>
      <c r="F7457" s="1789">
        <v>8.8999999999999996E-2</v>
      </c>
      <c r="G7457">
        <f t="shared" si="235"/>
        <v>10.29</v>
      </c>
    </row>
    <row r="7458" spans="1:7" ht="12.75" customHeight="1">
      <c r="A7458" s="3">
        <v>95582</v>
      </c>
      <c r="B7458" s="4" t="s">
        <v>7482</v>
      </c>
      <c r="C7458" s="3" t="s">
        <v>54</v>
      </c>
      <c r="D7458" s="5">
        <f t="shared" si="234"/>
        <v>11.22</v>
      </c>
      <c r="E7458">
        <v>12.32</v>
      </c>
      <c r="F7458" s="1789">
        <v>8.8999999999999996E-2</v>
      </c>
      <c r="G7458">
        <f t="shared" si="235"/>
        <v>11.22</v>
      </c>
    </row>
    <row r="7459" spans="1:7" ht="12.75" customHeight="1">
      <c r="A7459" s="3">
        <v>95583</v>
      </c>
      <c r="B7459" s="4" t="s">
        <v>7483</v>
      </c>
      <c r="C7459" s="3" t="s">
        <v>54</v>
      </c>
      <c r="D7459" s="5">
        <f t="shared" si="234"/>
        <v>15.21</v>
      </c>
      <c r="E7459">
        <v>16.7</v>
      </c>
      <c r="F7459" s="1789">
        <v>8.8999999999999996E-2</v>
      </c>
      <c r="G7459">
        <f t="shared" si="235"/>
        <v>15.21</v>
      </c>
    </row>
    <row r="7460" spans="1:7" ht="12.75" customHeight="1">
      <c r="A7460" s="3">
        <v>95584</v>
      </c>
      <c r="B7460" s="4" t="s">
        <v>7484</v>
      </c>
      <c r="C7460" s="3" t="s">
        <v>54</v>
      </c>
      <c r="D7460" s="5">
        <f t="shared" si="234"/>
        <v>13.78</v>
      </c>
      <c r="E7460">
        <v>15.13</v>
      </c>
      <c r="F7460" s="1789">
        <v>8.8999999999999996E-2</v>
      </c>
      <c r="G7460">
        <f t="shared" si="235"/>
        <v>13.78</v>
      </c>
    </row>
    <row r="7461" spans="1:7" ht="12.75" customHeight="1">
      <c r="A7461" s="3">
        <v>95592</v>
      </c>
      <c r="B7461" s="4" t="s">
        <v>7485</v>
      </c>
      <c r="C7461" s="3" t="s">
        <v>54</v>
      </c>
      <c r="D7461" s="5">
        <f t="shared" si="234"/>
        <v>15.21</v>
      </c>
      <c r="E7461">
        <v>16.7</v>
      </c>
      <c r="F7461" s="1789">
        <v>8.8999999999999996E-2</v>
      </c>
      <c r="G7461">
        <f t="shared" si="235"/>
        <v>15.21</v>
      </c>
    </row>
    <row r="7462" spans="1:7" ht="12.75" customHeight="1">
      <c r="A7462" s="3">
        <v>95593</v>
      </c>
      <c r="B7462" s="4" t="s">
        <v>7486</v>
      </c>
      <c r="C7462" s="3" t="s">
        <v>54</v>
      </c>
      <c r="D7462" s="5">
        <f t="shared" si="234"/>
        <v>13.78</v>
      </c>
      <c r="E7462">
        <v>15.13</v>
      </c>
      <c r="F7462" s="1789">
        <v>8.8999999999999996E-2</v>
      </c>
      <c r="G7462">
        <f t="shared" si="235"/>
        <v>13.78</v>
      </c>
    </row>
    <row r="7463" spans="1:7" ht="12.75" customHeight="1">
      <c r="A7463" s="3">
        <v>95943</v>
      </c>
      <c r="B7463" s="4" t="s">
        <v>7487</v>
      </c>
      <c r="C7463" s="3" t="s">
        <v>54</v>
      </c>
      <c r="D7463" s="5">
        <f t="shared" si="234"/>
        <v>20.43</v>
      </c>
      <c r="E7463">
        <v>22.43</v>
      </c>
      <c r="F7463" s="1789">
        <v>8.8999999999999996E-2</v>
      </c>
      <c r="G7463">
        <f t="shared" si="235"/>
        <v>20.43</v>
      </c>
    </row>
    <row r="7464" spans="1:7" ht="12.75" customHeight="1">
      <c r="A7464" s="3">
        <v>95944</v>
      </c>
      <c r="B7464" s="4" t="s">
        <v>7488</v>
      </c>
      <c r="C7464" s="3" t="s">
        <v>54</v>
      </c>
      <c r="D7464" s="5">
        <f t="shared" si="234"/>
        <v>18.850000000000001</v>
      </c>
      <c r="E7464">
        <v>20.7</v>
      </c>
      <c r="F7464" s="1789">
        <v>8.8999999999999996E-2</v>
      </c>
      <c r="G7464">
        <f t="shared" si="235"/>
        <v>18.850000000000001</v>
      </c>
    </row>
    <row r="7465" spans="1:7" ht="12.75" customHeight="1">
      <c r="A7465" s="3">
        <v>95945</v>
      </c>
      <c r="B7465" s="4" t="s">
        <v>7489</v>
      </c>
      <c r="C7465" s="3" t="s">
        <v>54</v>
      </c>
      <c r="D7465" s="5">
        <f t="shared" si="234"/>
        <v>15.65</v>
      </c>
      <c r="E7465">
        <v>17.18</v>
      </c>
      <c r="F7465" s="1789">
        <v>8.8999999999999996E-2</v>
      </c>
      <c r="G7465">
        <f t="shared" si="235"/>
        <v>15.65</v>
      </c>
    </row>
    <row r="7466" spans="1:7" ht="12.75" customHeight="1">
      <c r="A7466" s="3">
        <v>95946</v>
      </c>
      <c r="B7466" s="4" t="s">
        <v>7490</v>
      </c>
      <c r="C7466" s="3" t="s">
        <v>54</v>
      </c>
      <c r="D7466" s="5">
        <f t="shared" si="234"/>
        <v>12.71</v>
      </c>
      <c r="E7466">
        <v>13.96</v>
      </c>
      <c r="F7466" s="1789">
        <v>8.8999999999999996E-2</v>
      </c>
      <c r="G7466">
        <f t="shared" si="235"/>
        <v>12.71</v>
      </c>
    </row>
    <row r="7467" spans="1:7" ht="12.75" customHeight="1">
      <c r="A7467" s="3">
        <v>95947</v>
      </c>
      <c r="B7467" s="4" t="s">
        <v>7491</v>
      </c>
      <c r="C7467" s="3" t="s">
        <v>54</v>
      </c>
      <c r="D7467" s="5">
        <f t="shared" si="234"/>
        <v>9.9600000000000009</v>
      </c>
      <c r="E7467">
        <v>10.94</v>
      </c>
      <c r="F7467" s="1789">
        <v>8.8999999999999996E-2</v>
      </c>
      <c r="G7467">
        <f t="shared" si="235"/>
        <v>9.9600000000000009</v>
      </c>
    </row>
    <row r="7468" spans="1:7" ht="12.75" customHeight="1">
      <c r="A7468" s="3">
        <v>95948</v>
      </c>
      <c r="B7468" s="4" t="s">
        <v>7492</v>
      </c>
      <c r="C7468" s="3" t="s">
        <v>54</v>
      </c>
      <c r="D7468" s="5">
        <f t="shared" si="234"/>
        <v>8.94</v>
      </c>
      <c r="E7468">
        <v>9.82</v>
      </c>
      <c r="F7468" s="1789">
        <v>8.8999999999999996E-2</v>
      </c>
      <c r="G7468">
        <f t="shared" si="235"/>
        <v>8.94</v>
      </c>
    </row>
    <row r="7469" spans="1:7" ht="12.75" customHeight="1">
      <c r="A7469" s="3">
        <v>96544</v>
      </c>
      <c r="B7469" s="4" t="s">
        <v>7493</v>
      </c>
      <c r="C7469" s="3" t="s">
        <v>54</v>
      </c>
      <c r="D7469" s="5">
        <f t="shared" si="234"/>
        <v>17.059999999999999</v>
      </c>
      <c r="E7469">
        <v>18.73</v>
      </c>
      <c r="F7469" s="1789">
        <v>8.8999999999999996E-2</v>
      </c>
      <c r="G7469">
        <f t="shared" si="235"/>
        <v>17.059999999999999</v>
      </c>
    </row>
    <row r="7470" spans="1:7" ht="12.75" customHeight="1">
      <c r="A7470" s="3">
        <v>96545</v>
      </c>
      <c r="B7470" s="4" t="s">
        <v>7494</v>
      </c>
      <c r="C7470" s="3" t="s">
        <v>54</v>
      </c>
      <c r="D7470" s="5">
        <f t="shared" si="234"/>
        <v>15.64</v>
      </c>
      <c r="E7470">
        <v>17.170000000000002</v>
      </c>
      <c r="F7470" s="1789">
        <v>8.8999999999999996E-2</v>
      </c>
      <c r="G7470">
        <f t="shared" si="235"/>
        <v>15.64</v>
      </c>
    </row>
    <row r="7471" spans="1:7" ht="12.75" customHeight="1">
      <c r="A7471" s="3">
        <v>96546</v>
      </c>
      <c r="B7471" s="4" t="s">
        <v>7495</v>
      </c>
      <c r="C7471" s="3" t="s">
        <v>54</v>
      </c>
      <c r="D7471" s="5">
        <f t="shared" si="234"/>
        <v>13.8</v>
      </c>
      <c r="E7471">
        <v>15.15</v>
      </c>
      <c r="F7471" s="1789">
        <v>8.8999999999999996E-2</v>
      </c>
      <c r="G7471">
        <f t="shared" si="235"/>
        <v>13.8</v>
      </c>
    </row>
    <row r="7472" spans="1:7" ht="12.75" customHeight="1">
      <c r="A7472" s="3">
        <v>100064</v>
      </c>
      <c r="B7472" s="4" t="s">
        <v>7496</v>
      </c>
      <c r="C7472" s="3" t="s">
        <v>54</v>
      </c>
      <c r="D7472" s="5">
        <f t="shared" si="234"/>
        <v>10.58</v>
      </c>
      <c r="E7472">
        <v>11.62</v>
      </c>
      <c r="F7472" s="1789">
        <v>8.8999999999999996E-2</v>
      </c>
      <c r="G7472">
        <f t="shared" si="235"/>
        <v>10.58</v>
      </c>
    </row>
    <row r="7473" spans="1:7" ht="12.75" customHeight="1">
      <c r="A7473" s="3">
        <v>100066</v>
      </c>
      <c r="B7473" s="4" t="s">
        <v>7497</v>
      </c>
      <c r="C7473" s="3" t="s">
        <v>54</v>
      </c>
      <c r="D7473" s="5">
        <f t="shared" si="234"/>
        <v>10.51</v>
      </c>
      <c r="E7473">
        <v>11.54</v>
      </c>
      <c r="F7473" s="1789">
        <v>8.8999999999999996E-2</v>
      </c>
      <c r="G7473">
        <f t="shared" si="235"/>
        <v>10.51</v>
      </c>
    </row>
    <row r="7474" spans="1:7" ht="12.75" customHeight="1">
      <c r="A7474" s="3">
        <v>100067</v>
      </c>
      <c r="B7474" s="4" t="s">
        <v>7498</v>
      </c>
      <c r="C7474" s="3" t="s">
        <v>54</v>
      </c>
      <c r="D7474" s="5">
        <f t="shared" si="234"/>
        <v>11.94</v>
      </c>
      <c r="E7474">
        <v>13.11</v>
      </c>
      <c r="F7474" s="1789">
        <v>8.8999999999999996E-2</v>
      </c>
      <c r="G7474">
        <f t="shared" si="235"/>
        <v>11.94</v>
      </c>
    </row>
    <row r="7475" spans="1:7" ht="12.75" customHeight="1">
      <c r="A7475" s="3">
        <v>100068</v>
      </c>
      <c r="B7475" s="4" t="s">
        <v>7499</v>
      </c>
      <c r="C7475" s="3" t="s">
        <v>54</v>
      </c>
      <c r="D7475" s="5">
        <f t="shared" si="234"/>
        <v>9.35</v>
      </c>
      <c r="E7475">
        <v>10.27</v>
      </c>
      <c r="F7475" s="1789">
        <v>8.8999999999999996E-2</v>
      </c>
      <c r="G7475">
        <f t="shared" si="235"/>
        <v>9.35</v>
      </c>
    </row>
    <row r="7476" spans="1:7" ht="12.75" customHeight="1">
      <c r="A7476" s="3">
        <v>102920</v>
      </c>
      <c r="B7476" s="4" t="s">
        <v>7500</v>
      </c>
      <c r="C7476" s="3" t="s">
        <v>54</v>
      </c>
      <c r="D7476" s="5">
        <f t="shared" si="234"/>
        <v>8.44</v>
      </c>
      <c r="E7476">
        <v>9.27</v>
      </c>
      <c r="F7476" s="1789">
        <v>8.8999999999999996E-2</v>
      </c>
      <c r="G7476">
        <f t="shared" si="235"/>
        <v>8.44</v>
      </c>
    </row>
    <row r="7477" spans="1:7" ht="12.75" customHeight="1">
      <c r="A7477" s="3">
        <v>102921</v>
      </c>
      <c r="B7477" s="4" t="s">
        <v>7501</v>
      </c>
      <c r="C7477" s="3" t="s">
        <v>54</v>
      </c>
      <c r="D7477" s="5">
        <f t="shared" si="234"/>
        <v>8.18</v>
      </c>
      <c r="E7477">
        <v>8.99</v>
      </c>
      <c r="F7477" s="1789">
        <v>8.8999999999999996E-2</v>
      </c>
      <c r="G7477">
        <f t="shared" si="235"/>
        <v>8.18</v>
      </c>
    </row>
    <row r="7478" spans="1:7" ht="12.75" customHeight="1">
      <c r="A7478" s="3">
        <v>102922</v>
      </c>
      <c r="B7478" s="4" t="s">
        <v>7502</v>
      </c>
      <c r="C7478" s="3" t="s">
        <v>54</v>
      </c>
      <c r="D7478" s="5">
        <f t="shared" si="234"/>
        <v>8.94</v>
      </c>
      <c r="E7478">
        <v>9.82</v>
      </c>
      <c r="F7478" s="1789">
        <v>8.8999999999999996E-2</v>
      </c>
      <c r="G7478">
        <f t="shared" si="235"/>
        <v>8.94</v>
      </c>
    </row>
    <row r="7479" spans="1:7" ht="12.75" customHeight="1">
      <c r="A7479" s="3">
        <v>102923</v>
      </c>
      <c r="B7479" s="4" t="s">
        <v>7503</v>
      </c>
      <c r="C7479" s="3" t="s">
        <v>54</v>
      </c>
      <c r="D7479" s="5">
        <f t="shared" si="234"/>
        <v>8</v>
      </c>
      <c r="E7479">
        <v>8.7899999999999991</v>
      </c>
      <c r="F7479" s="1789">
        <v>8.8999999999999996E-2</v>
      </c>
      <c r="G7479">
        <f t="shared" si="235"/>
        <v>8</v>
      </c>
    </row>
    <row r="7480" spans="1:7" ht="12.75" customHeight="1">
      <c r="A7480" s="3">
        <v>103088</v>
      </c>
      <c r="B7480" s="4" t="s">
        <v>7504</v>
      </c>
      <c r="C7480" s="3" t="s">
        <v>54</v>
      </c>
      <c r="D7480" s="5">
        <f t="shared" si="234"/>
        <v>9.9700000000000006</v>
      </c>
      <c r="E7480">
        <v>10.95</v>
      </c>
      <c r="F7480" s="1789">
        <v>8.8999999999999996E-2</v>
      </c>
      <c r="G7480">
        <f t="shared" si="235"/>
        <v>9.9700000000000006</v>
      </c>
    </row>
    <row r="7481" spans="1:7" ht="12.75" customHeight="1">
      <c r="A7481" s="3">
        <v>104104</v>
      </c>
      <c r="B7481" s="4" t="s">
        <v>7505</v>
      </c>
      <c r="C7481" s="3" t="s">
        <v>54</v>
      </c>
      <c r="D7481" s="5">
        <f t="shared" si="234"/>
        <v>11.37</v>
      </c>
      <c r="E7481">
        <v>12.49</v>
      </c>
      <c r="F7481" s="1789">
        <v>8.8999999999999996E-2</v>
      </c>
      <c r="G7481">
        <f t="shared" si="235"/>
        <v>11.37</v>
      </c>
    </row>
    <row r="7482" spans="1:7" ht="12.75" customHeight="1">
      <c r="A7482" s="3">
        <v>104105</v>
      </c>
      <c r="B7482" s="4" t="s">
        <v>7506</v>
      </c>
      <c r="C7482" s="3" t="s">
        <v>54</v>
      </c>
      <c r="D7482" s="5">
        <f t="shared" si="234"/>
        <v>11.38</v>
      </c>
      <c r="E7482">
        <v>12.5</v>
      </c>
      <c r="F7482" s="1789">
        <v>8.8999999999999996E-2</v>
      </c>
      <c r="G7482">
        <f t="shared" si="235"/>
        <v>11.38</v>
      </c>
    </row>
    <row r="7483" spans="1:7" ht="12.75" customHeight="1">
      <c r="A7483" s="3">
        <v>104106</v>
      </c>
      <c r="B7483" s="4" t="s">
        <v>7507</v>
      </c>
      <c r="C7483" s="3" t="s">
        <v>54</v>
      </c>
      <c r="D7483" s="5">
        <f t="shared" si="234"/>
        <v>10.24</v>
      </c>
      <c r="E7483">
        <v>11.25</v>
      </c>
      <c r="F7483" s="1789">
        <v>8.8999999999999996E-2</v>
      </c>
      <c r="G7483">
        <f t="shared" si="235"/>
        <v>10.24</v>
      </c>
    </row>
    <row r="7484" spans="1:7" ht="12.75" customHeight="1">
      <c r="A7484" s="3">
        <v>104107</v>
      </c>
      <c r="B7484" s="4" t="s">
        <v>7508</v>
      </c>
      <c r="C7484" s="3" t="s">
        <v>54</v>
      </c>
      <c r="D7484" s="5">
        <f t="shared" si="234"/>
        <v>10.83</v>
      </c>
      <c r="E7484">
        <v>11.89</v>
      </c>
      <c r="F7484" s="1789">
        <v>8.8999999999999996E-2</v>
      </c>
      <c r="G7484">
        <f t="shared" si="235"/>
        <v>10.83</v>
      </c>
    </row>
    <row r="7485" spans="1:7" ht="12.75" customHeight="1">
      <c r="A7485" s="3">
        <v>104108</v>
      </c>
      <c r="B7485" s="4" t="s">
        <v>7509</v>
      </c>
      <c r="C7485" s="3" t="s">
        <v>54</v>
      </c>
      <c r="D7485" s="5">
        <f t="shared" si="234"/>
        <v>12.78</v>
      </c>
      <c r="E7485">
        <v>14.03</v>
      </c>
      <c r="F7485" s="1789">
        <v>8.8999999999999996E-2</v>
      </c>
      <c r="G7485">
        <f t="shared" si="235"/>
        <v>12.78</v>
      </c>
    </row>
    <row r="7486" spans="1:7" ht="12.75" customHeight="1">
      <c r="A7486" s="3">
        <v>104109</v>
      </c>
      <c r="B7486" s="4" t="s">
        <v>7510</v>
      </c>
      <c r="C7486" s="3" t="s">
        <v>54</v>
      </c>
      <c r="D7486" s="5">
        <f t="shared" si="234"/>
        <v>15.35</v>
      </c>
      <c r="E7486">
        <v>16.850000000000001</v>
      </c>
      <c r="F7486" s="1789">
        <v>8.8999999999999996E-2</v>
      </c>
      <c r="G7486">
        <f t="shared" si="235"/>
        <v>15.35</v>
      </c>
    </row>
    <row r="7487" spans="1:7" ht="12.75" customHeight="1">
      <c r="A7487" s="3">
        <v>104110</v>
      </c>
      <c r="B7487" s="4" t="s">
        <v>7511</v>
      </c>
      <c r="C7487" s="3" t="s">
        <v>54</v>
      </c>
      <c r="D7487" s="5">
        <f t="shared" si="234"/>
        <v>17.100000000000001</v>
      </c>
      <c r="E7487">
        <v>18.78</v>
      </c>
      <c r="F7487" s="1789">
        <v>8.8999999999999996E-2</v>
      </c>
      <c r="G7487">
        <f t="shared" si="235"/>
        <v>17.100000000000001</v>
      </c>
    </row>
    <row r="7488" spans="1:7" ht="12.75" customHeight="1">
      <c r="A7488" s="3">
        <v>104111</v>
      </c>
      <c r="B7488" s="4" t="s">
        <v>7512</v>
      </c>
      <c r="C7488" s="3" t="s">
        <v>54</v>
      </c>
      <c r="D7488" s="5">
        <f t="shared" si="234"/>
        <v>19.010000000000002</v>
      </c>
      <c r="E7488">
        <v>20.87</v>
      </c>
      <c r="F7488" s="1789">
        <v>8.8999999999999996E-2</v>
      </c>
      <c r="G7488">
        <f t="shared" si="235"/>
        <v>19.010000000000002</v>
      </c>
    </row>
    <row r="7489" spans="1:7" ht="12.75" customHeight="1">
      <c r="A7489" s="3">
        <v>104915</v>
      </c>
      <c r="B7489" s="4" t="s">
        <v>7513</v>
      </c>
      <c r="C7489" s="3" t="s">
        <v>54</v>
      </c>
      <c r="D7489" s="5">
        <f t="shared" si="234"/>
        <v>10.57</v>
      </c>
      <c r="E7489">
        <v>11.61</v>
      </c>
      <c r="F7489" s="1789">
        <v>8.8999999999999996E-2</v>
      </c>
      <c r="G7489">
        <f t="shared" si="235"/>
        <v>10.57</v>
      </c>
    </row>
    <row r="7490" spans="1:7" ht="12.75" customHeight="1">
      <c r="A7490" s="3">
        <v>104917</v>
      </c>
      <c r="B7490" s="4" t="s">
        <v>7514</v>
      </c>
      <c r="C7490" s="3" t="s">
        <v>54</v>
      </c>
      <c r="D7490" s="5">
        <f t="shared" si="234"/>
        <v>15.03</v>
      </c>
      <c r="E7490">
        <v>16.5</v>
      </c>
      <c r="F7490" s="1789">
        <v>8.8999999999999996E-2</v>
      </c>
      <c r="G7490">
        <f t="shared" si="235"/>
        <v>15.03</v>
      </c>
    </row>
    <row r="7491" spans="1:7" ht="12.75" customHeight="1">
      <c r="A7491" s="3">
        <v>104918</v>
      </c>
      <c r="B7491" s="4" t="s">
        <v>7515</v>
      </c>
      <c r="C7491" s="3" t="s">
        <v>54</v>
      </c>
      <c r="D7491" s="5">
        <f t="shared" si="234"/>
        <v>14.15</v>
      </c>
      <c r="E7491">
        <v>15.54</v>
      </c>
      <c r="F7491" s="1789">
        <v>8.8999999999999996E-2</v>
      </c>
      <c r="G7491">
        <f t="shared" si="235"/>
        <v>14.15</v>
      </c>
    </row>
    <row r="7492" spans="1:7" ht="12.75" customHeight="1">
      <c r="A7492" s="3">
        <v>104919</v>
      </c>
      <c r="B7492" s="4" t="s">
        <v>7516</v>
      </c>
      <c r="C7492" s="3" t="s">
        <v>54</v>
      </c>
      <c r="D7492" s="5">
        <f t="shared" si="234"/>
        <v>12.71</v>
      </c>
      <c r="E7492">
        <v>13.96</v>
      </c>
      <c r="F7492" s="1789">
        <v>8.8999999999999996E-2</v>
      </c>
      <c r="G7492">
        <f t="shared" si="235"/>
        <v>12.71</v>
      </c>
    </row>
    <row r="7493" spans="1:7" ht="12.75" customHeight="1">
      <c r="A7493" s="3">
        <v>104920</v>
      </c>
      <c r="B7493" s="4" t="s">
        <v>7517</v>
      </c>
      <c r="C7493" s="3" t="s">
        <v>54</v>
      </c>
      <c r="D7493" s="5">
        <f t="shared" si="234"/>
        <v>10.82</v>
      </c>
      <c r="E7493">
        <v>11.88</v>
      </c>
      <c r="F7493" s="1789">
        <v>8.8999999999999996E-2</v>
      </c>
      <c r="G7493">
        <f t="shared" si="235"/>
        <v>10.82</v>
      </c>
    </row>
    <row r="7494" spans="1:7" ht="12.75" customHeight="1">
      <c r="A7494" s="3">
        <v>104921</v>
      </c>
      <c r="B7494" s="4" t="s">
        <v>7518</v>
      </c>
      <c r="C7494" s="3" t="s">
        <v>54</v>
      </c>
      <c r="D7494" s="5">
        <f t="shared" si="234"/>
        <v>10.28</v>
      </c>
      <c r="E7494">
        <v>11.29</v>
      </c>
      <c r="F7494" s="1789">
        <v>8.8999999999999996E-2</v>
      </c>
      <c r="G7494">
        <f t="shared" si="235"/>
        <v>10.28</v>
      </c>
    </row>
    <row r="7495" spans="1:7" ht="12.75" customHeight="1">
      <c r="A7495" s="3">
        <v>104922</v>
      </c>
      <c r="B7495" s="4" t="s">
        <v>7519</v>
      </c>
      <c r="C7495" s="3" t="s">
        <v>54</v>
      </c>
      <c r="D7495" s="5">
        <f t="shared" si="234"/>
        <v>11.44</v>
      </c>
      <c r="E7495">
        <v>12.56</v>
      </c>
      <c r="F7495" s="1789">
        <v>8.8999999999999996E-2</v>
      </c>
      <c r="G7495">
        <f t="shared" si="235"/>
        <v>11.44</v>
      </c>
    </row>
    <row r="7496" spans="1:7" ht="12.75" customHeight="1">
      <c r="A7496" s="3">
        <v>89993</v>
      </c>
      <c r="B7496" s="4" t="s">
        <v>7520</v>
      </c>
      <c r="C7496" s="3" t="s">
        <v>152</v>
      </c>
      <c r="D7496" s="5">
        <f t="shared" si="234"/>
        <v>987.84</v>
      </c>
      <c r="E7496">
        <v>1084.3499999999999</v>
      </c>
      <c r="F7496" s="1789">
        <v>8.8999999999999996E-2</v>
      </c>
      <c r="G7496">
        <f t="shared" si="235"/>
        <v>987.84</v>
      </c>
    </row>
    <row r="7497" spans="1:7" ht="12.75" customHeight="1">
      <c r="A7497" s="3">
        <v>89994</v>
      </c>
      <c r="B7497" s="4" t="s">
        <v>7521</v>
      </c>
      <c r="C7497" s="3" t="s">
        <v>152</v>
      </c>
      <c r="D7497" s="5">
        <f t="shared" si="234"/>
        <v>864.73</v>
      </c>
      <c r="E7497">
        <v>949.21</v>
      </c>
      <c r="F7497" s="1789">
        <v>8.8999999999999996E-2</v>
      </c>
      <c r="G7497">
        <f t="shared" si="235"/>
        <v>864.73</v>
      </c>
    </row>
    <row r="7498" spans="1:7" ht="12.75" customHeight="1">
      <c r="A7498" s="3">
        <v>89995</v>
      </c>
      <c r="B7498" s="4" t="s">
        <v>7522</v>
      </c>
      <c r="C7498" s="3" t="s">
        <v>152</v>
      </c>
      <c r="D7498" s="5">
        <f t="shared" si="234"/>
        <v>956.34</v>
      </c>
      <c r="E7498">
        <v>1049.78</v>
      </c>
      <c r="F7498" s="1789">
        <v>8.8999999999999996E-2</v>
      </c>
      <c r="G7498">
        <f t="shared" si="235"/>
        <v>956.34</v>
      </c>
    </row>
    <row r="7499" spans="1:7" ht="12.75" customHeight="1">
      <c r="A7499" s="3">
        <v>90278</v>
      </c>
      <c r="B7499" s="4" t="s">
        <v>7523</v>
      </c>
      <c r="C7499" s="3" t="s">
        <v>152</v>
      </c>
      <c r="D7499" s="5">
        <f t="shared" si="234"/>
        <v>525.33000000000004</v>
      </c>
      <c r="E7499">
        <v>576.66</v>
      </c>
      <c r="F7499" s="1789">
        <v>8.8999999999999996E-2</v>
      </c>
      <c r="G7499">
        <f t="shared" si="235"/>
        <v>525.33000000000004</v>
      </c>
    </row>
    <row r="7500" spans="1:7" ht="12.75" customHeight="1">
      <c r="A7500" s="3">
        <v>90279</v>
      </c>
      <c r="B7500" s="4" t="s">
        <v>7524</v>
      </c>
      <c r="C7500" s="3" t="s">
        <v>152</v>
      </c>
      <c r="D7500" s="5">
        <f t="shared" si="234"/>
        <v>575.04999999999995</v>
      </c>
      <c r="E7500">
        <v>631.24</v>
      </c>
      <c r="F7500" s="1789">
        <v>8.8999999999999996E-2</v>
      </c>
      <c r="G7500">
        <f t="shared" si="235"/>
        <v>575.04999999999995</v>
      </c>
    </row>
    <row r="7501" spans="1:7" ht="12.75" customHeight="1">
      <c r="A7501" s="3">
        <v>90280</v>
      </c>
      <c r="B7501" s="4" t="s">
        <v>7525</v>
      </c>
      <c r="C7501" s="3" t="s">
        <v>152</v>
      </c>
      <c r="D7501" s="5">
        <f t="shared" si="234"/>
        <v>634.21</v>
      </c>
      <c r="E7501">
        <v>696.18</v>
      </c>
      <c r="F7501" s="1789">
        <v>8.8999999999999996E-2</v>
      </c>
      <c r="G7501">
        <f t="shared" si="235"/>
        <v>634.21</v>
      </c>
    </row>
    <row r="7502" spans="1:7" ht="12.75" customHeight="1">
      <c r="A7502" s="3">
        <v>90281</v>
      </c>
      <c r="B7502" s="4" t="s">
        <v>7526</v>
      </c>
      <c r="C7502" s="3" t="s">
        <v>152</v>
      </c>
      <c r="D7502" s="5">
        <f t="shared" si="234"/>
        <v>731.81</v>
      </c>
      <c r="E7502">
        <v>803.31</v>
      </c>
      <c r="F7502" s="1789">
        <v>8.8999999999999996E-2</v>
      </c>
      <c r="G7502">
        <f t="shared" si="235"/>
        <v>731.81</v>
      </c>
    </row>
    <row r="7503" spans="1:7" ht="12.75" customHeight="1">
      <c r="A7503" s="3">
        <v>90282</v>
      </c>
      <c r="B7503" s="4" t="s">
        <v>7527</v>
      </c>
      <c r="C7503" s="3" t="s">
        <v>152</v>
      </c>
      <c r="D7503" s="5">
        <f t="shared" si="234"/>
        <v>517.12</v>
      </c>
      <c r="E7503">
        <v>567.65</v>
      </c>
      <c r="F7503" s="1789">
        <v>8.8999999999999996E-2</v>
      </c>
      <c r="G7503">
        <f t="shared" si="235"/>
        <v>517.12</v>
      </c>
    </row>
    <row r="7504" spans="1:7" ht="12.75" customHeight="1">
      <c r="A7504" s="3">
        <v>90283</v>
      </c>
      <c r="B7504" s="4" t="s">
        <v>7528</v>
      </c>
      <c r="C7504" s="3" t="s">
        <v>152</v>
      </c>
      <c r="D7504" s="5">
        <f t="shared" si="234"/>
        <v>567.37</v>
      </c>
      <c r="E7504">
        <v>622.79999999999995</v>
      </c>
      <c r="F7504" s="1789">
        <v>8.8999999999999996E-2</v>
      </c>
      <c r="G7504">
        <f t="shared" si="235"/>
        <v>567.37</v>
      </c>
    </row>
    <row r="7505" spans="1:7" ht="12.75" customHeight="1">
      <c r="A7505" s="3">
        <v>90284</v>
      </c>
      <c r="B7505" s="4" t="s">
        <v>7529</v>
      </c>
      <c r="C7505" s="3" t="s">
        <v>152</v>
      </c>
      <c r="D7505" s="5">
        <f t="shared" si="234"/>
        <v>630.22</v>
      </c>
      <c r="E7505">
        <v>691.8</v>
      </c>
      <c r="F7505" s="1789">
        <v>8.8999999999999996E-2</v>
      </c>
      <c r="G7505">
        <f t="shared" si="235"/>
        <v>630.22</v>
      </c>
    </row>
    <row r="7506" spans="1:7" ht="12.75" customHeight="1">
      <c r="A7506" s="3">
        <v>90285</v>
      </c>
      <c r="B7506" s="4" t="s">
        <v>7530</v>
      </c>
      <c r="C7506" s="3" t="s">
        <v>152</v>
      </c>
      <c r="D7506" s="5">
        <f t="shared" si="234"/>
        <v>734.08</v>
      </c>
      <c r="E7506">
        <v>805.8</v>
      </c>
      <c r="F7506" s="1789">
        <v>8.8999999999999996E-2</v>
      </c>
      <c r="G7506">
        <f t="shared" si="235"/>
        <v>734.08</v>
      </c>
    </row>
    <row r="7507" spans="1:7" ht="12.75" customHeight="1">
      <c r="A7507" s="3">
        <v>94962</v>
      </c>
      <c r="B7507" s="4" t="s">
        <v>7531</v>
      </c>
      <c r="C7507" s="3" t="s">
        <v>152</v>
      </c>
      <c r="D7507" s="5">
        <f t="shared" si="234"/>
        <v>408.22</v>
      </c>
      <c r="E7507">
        <v>448.11</v>
      </c>
      <c r="F7507" s="1789">
        <v>8.8999999999999996E-2</v>
      </c>
      <c r="G7507">
        <f t="shared" si="235"/>
        <v>408.22</v>
      </c>
    </row>
    <row r="7508" spans="1:7" ht="12.75" customHeight="1">
      <c r="A7508" s="3">
        <v>94963</v>
      </c>
      <c r="B7508" s="4" t="s">
        <v>7532</v>
      </c>
      <c r="C7508" s="3" t="s">
        <v>152</v>
      </c>
      <c r="D7508" s="5">
        <f t="shared" si="234"/>
        <v>450.77</v>
      </c>
      <c r="E7508">
        <v>494.81</v>
      </c>
      <c r="F7508" s="1789">
        <v>8.8999999999999996E-2</v>
      </c>
      <c r="G7508">
        <f t="shared" si="235"/>
        <v>450.77</v>
      </c>
    </row>
    <row r="7509" spans="1:7" ht="12.75" customHeight="1">
      <c r="A7509" s="3">
        <v>94964</v>
      </c>
      <c r="B7509" s="4" t="s">
        <v>7533</v>
      </c>
      <c r="C7509" s="3" t="s">
        <v>152</v>
      </c>
      <c r="D7509" s="5">
        <f t="shared" ref="D7509:D7572" si="236">G7509</f>
        <v>489.62</v>
      </c>
      <c r="E7509">
        <v>537.46</v>
      </c>
      <c r="F7509" s="1789">
        <v>8.8999999999999996E-2</v>
      </c>
      <c r="G7509">
        <f t="shared" ref="G7509:G7572" si="237">TRUNC((1-F7509)*E7509,2)</f>
        <v>489.62</v>
      </c>
    </row>
    <row r="7510" spans="1:7" ht="12.75" customHeight="1">
      <c r="A7510" s="3">
        <v>94965</v>
      </c>
      <c r="B7510" s="4" t="s">
        <v>7534</v>
      </c>
      <c r="C7510" s="3" t="s">
        <v>152</v>
      </c>
      <c r="D7510" s="5">
        <f t="shared" si="236"/>
        <v>509.34</v>
      </c>
      <c r="E7510">
        <v>559.11</v>
      </c>
      <c r="F7510" s="1789">
        <v>8.8999999999999996E-2</v>
      </c>
      <c r="G7510">
        <f t="shared" si="237"/>
        <v>509.34</v>
      </c>
    </row>
    <row r="7511" spans="1:7" ht="12.75" customHeight="1">
      <c r="A7511" s="3">
        <v>94966</v>
      </c>
      <c r="B7511" s="4" t="s">
        <v>7535</v>
      </c>
      <c r="C7511" s="3" t="s">
        <v>152</v>
      </c>
      <c r="D7511" s="5">
        <f t="shared" si="236"/>
        <v>525.98</v>
      </c>
      <c r="E7511">
        <v>577.37</v>
      </c>
      <c r="F7511" s="1789">
        <v>8.8999999999999996E-2</v>
      </c>
      <c r="G7511">
        <f t="shared" si="237"/>
        <v>525.98</v>
      </c>
    </row>
    <row r="7512" spans="1:7" ht="12.75" customHeight="1">
      <c r="A7512" s="3">
        <v>94967</v>
      </c>
      <c r="B7512" s="4" t="s">
        <v>7536</v>
      </c>
      <c r="C7512" s="3" t="s">
        <v>152</v>
      </c>
      <c r="D7512" s="5">
        <f t="shared" si="236"/>
        <v>595.72</v>
      </c>
      <c r="E7512">
        <v>653.91999999999996</v>
      </c>
      <c r="F7512" s="1789">
        <v>8.8999999999999996E-2</v>
      </c>
      <c r="G7512">
        <f t="shared" si="237"/>
        <v>595.72</v>
      </c>
    </row>
    <row r="7513" spans="1:7" ht="12.75" customHeight="1">
      <c r="A7513" s="3">
        <v>94968</v>
      </c>
      <c r="B7513" s="4" t="s">
        <v>7537</v>
      </c>
      <c r="C7513" s="3" t="s">
        <v>152</v>
      </c>
      <c r="D7513" s="5">
        <f t="shared" si="236"/>
        <v>406.2</v>
      </c>
      <c r="E7513">
        <v>445.89</v>
      </c>
      <c r="F7513" s="1789">
        <v>8.8999999999999996E-2</v>
      </c>
      <c r="G7513">
        <f t="shared" si="237"/>
        <v>406.2</v>
      </c>
    </row>
    <row r="7514" spans="1:7" ht="12.75" customHeight="1">
      <c r="A7514" s="3">
        <v>94969</v>
      </c>
      <c r="B7514" s="4" t="s">
        <v>7538</v>
      </c>
      <c r="C7514" s="3" t="s">
        <v>152</v>
      </c>
      <c r="D7514" s="5">
        <f t="shared" si="236"/>
        <v>445.86</v>
      </c>
      <c r="E7514">
        <v>489.42</v>
      </c>
      <c r="F7514" s="1789">
        <v>8.8999999999999996E-2</v>
      </c>
      <c r="G7514">
        <f t="shared" si="237"/>
        <v>445.86</v>
      </c>
    </row>
    <row r="7515" spans="1:7" ht="12.75" customHeight="1">
      <c r="A7515" s="3">
        <v>94970</v>
      </c>
      <c r="B7515" s="4" t="s">
        <v>7539</v>
      </c>
      <c r="C7515" s="3" t="s">
        <v>152</v>
      </c>
      <c r="D7515" s="5">
        <f t="shared" si="236"/>
        <v>479.63</v>
      </c>
      <c r="E7515">
        <v>526.49</v>
      </c>
      <c r="F7515" s="1789">
        <v>8.8999999999999996E-2</v>
      </c>
      <c r="G7515">
        <f t="shared" si="237"/>
        <v>479.63</v>
      </c>
    </row>
    <row r="7516" spans="1:7" ht="12.75" customHeight="1">
      <c r="A7516" s="3">
        <v>94971</v>
      </c>
      <c r="B7516" s="4" t="s">
        <v>7540</v>
      </c>
      <c r="C7516" s="3" t="s">
        <v>152</v>
      </c>
      <c r="D7516" s="5">
        <f t="shared" si="236"/>
        <v>504.68</v>
      </c>
      <c r="E7516">
        <v>553.99</v>
      </c>
      <c r="F7516" s="1789">
        <v>8.8999999999999996E-2</v>
      </c>
      <c r="G7516">
        <f t="shared" si="237"/>
        <v>504.68</v>
      </c>
    </row>
    <row r="7517" spans="1:7" ht="12.75" customHeight="1">
      <c r="A7517" s="3">
        <v>94972</v>
      </c>
      <c r="B7517" s="4" t="s">
        <v>7541</v>
      </c>
      <c r="C7517" s="3" t="s">
        <v>152</v>
      </c>
      <c r="D7517" s="5">
        <f t="shared" si="236"/>
        <v>521.26</v>
      </c>
      <c r="E7517">
        <v>572.19000000000005</v>
      </c>
      <c r="F7517" s="1789">
        <v>8.8999999999999996E-2</v>
      </c>
      <c r="G7517">
        <f t="shared" si="237"/>
        <v>521.26</v>
      </c>
    </row>
    <row r="7518" spans="1:7" ht="12.75" customHeight="1">
      <c r="A7518" s="3">
        <v>94973</v>
      </c>
      <c r="B7518" s="4" t="s">
        <v>7542</v>
      </c>
      <c r="C7518" s="3" t="s">
        <v>152</v>
      </c>
      <c r="D7518" s="5">
        <f t="shared" si="236"/>
        <v>589.66</v>
      </c>
      <c r="E7518">
        <v>647.27</v>
      </c>
      <c r="F7518" s="1789">
        <v>8.8999999999999996E-2</v>
      </c>
      <c r="G7518">
        <f t="shared" si="237"/>
        <v>589.66</v>
      </c>
    </row>
    <row r="7519" spans="1:7" ht="12.75" customHeight="1">
      <c r="A7519" s="3">
        <v>94974</v>
      </c>
      <c r="B7519" s="4" t="s">
        <v>7543</v>
      </c>
      <c r="C7519" s="3" t="s">
        <v>152</v>
      </c>
      <c r="D7519" s="5">
        <f t="shared" si="236"/>
        <v>464.1</v>
      </c>
      <c r="E7519">
        <v>509.45</v>
      </c>
      <c r="F7519" s="1789">
        <v>8.8999999999999996E-2</v>
      </c>
      <c r="G7519">
        <f t="shared" si="237"/>
        <v>464.1</v>
      </c>
    </row>
    <row r="7520" spans="1:7" ht="12.75" customHeight="1">
      <c r="A7520" s="3">
        <v>94975</v>
      </c>
      <c r="B7520" s="4" t="s">
        <v>7544</v>
      </c>
      <c r="C7520" s="3" t="s">
        <v>152</v>
      </c>
      <c r="D7520" s="5">
        <f t="shared" si="236"/>
        <v>501.37</v>
      </c>
      <c r="E7520">
        <v>550.36</v>
      </c>
      <c r="F7520" s="1789">
        <v>8.8999999999999996E-2</v>
      </c>
      <c r="G7520">
        <f t="shared" si="237"/>
        <v>501.37</v>
      </c>
    </row>
    <row r="7521" spans="1:7" ht="12.75" customHeight="1">
      <c r="A7521" s="3">
        <v>96555</v>
      </c>
      <c r="B7521" s="4" t="s">
        <v>7545</v>
      </c>
      <c r="C7521" s="3" t="s">
        <v>152</v>
      </c>
      <c r="D7521" s="5">
        <f t="shared" si="236"/>
        <v>715.49</v>
      </c>
      <c r="E7521">
        <v>785.4</v>
      </c>
      <c r="F7521" s="1789">
        <v>8.8999999999999996E-2</v>
      </c>
      <c r="G7521">
        <f t="shared" si="237"/>
        <v>715.49</v>
      </c>
    </row>
    <row r="7522" spans="1:7" ht="12.75" customHeight="1">
      <c r="A7522" s="3">
        <v>96556</v>
      </c>
      <c r="B7522" s="4" t="s">
        <v>7546</v>
      </c>
      <c r="C7522" s="3" t="s">
        <v>152</v>
      </c>
      <c r="D7522" s="5">
        <f t="shared" si="236"/>
        <v>846.4</v>
      </c>
      <c r="E7522">
        <v>929.09</v>
      </c>
      <c r="F7522" s="1789">
        <v>8.8999999999999996E-2</v>
      </c>
      <c r="G7522">
        <f t="shared" si="237"/>
        <v>846.4</v>
      </c>
    </row>
    <row r="7523" spans="1:7" ht="12.75" customHeight="1">
      <c r="A7523" s="3">
        <v>96557</v>
      </c>
      <c r="B7523" s="4" t="s">
        <v>7547</v>
      </c>
      <c r="C7523" s="3" t="s">
        <v>152</v>
      </c>
      <c r="D7523" s="5">
        <f t="shared" si="236"/>
        <v>885.59</v>
      </c>
      <c r="E7523">
        <v>972.11</v>
      </c>
      <c r="F7523" s="1789">
        <v>8.8999999999999996E-2</v>
      </c>
      <c r="G7523">
        <f t="shared" si="237"/>
        <v>885.59</v>
      </c>
    </row>
    <row r="7524" spans="1:7" ht="12.75" customHeight="1">
      <c r="A7524" s="3">
        <v>96558</v>
      </c>
      <c r="B7524" s="4" t="s">
        <v>7548</v>
      </c>
      <c r="C7524" s="3" t="s">
        <v>152</v>
      </c>
      <c r="D7524" s="5">
        <f t="shared" si="236"/>
        <v>919.81</v>
      </c>
      <c r="E7524">
        <v>1009.68</v>
      </c>
      <c r="F7524" s="1789">
        <v>8.8999999999999996E-2</v>
      </c>
      <c r="G7524">
        <f t="shared" si="237"/>
        <v>919.81</v>
      </c>
    </row>
    <row r="7525" spans="1:7" ht="12.75" customHeight="1">
      <c r="A7525" s="3">
        <v>99235</v>
      </c>
      <c r="B7525" s="4" t="s">
        <v>7549</v>
      </c>
      <c r="C7525" s="3" t="s">
        <v>152</v>
      </c>
      <c r="D7525" s="5">
        <f t="shared" si="236"/>
        <v>806.88</v>
      </c>
      <c r="E7525">
        <v>885.71</v>
      </c>
      <c r="F7525" s="1789">
        <v>8.8999999999999996E-2</v>
      </c>
      <c r="G7525">
        <f t="shared" si="237"/>
        <v>806.88</v>
      </c>
    </row>
    <row r="7526" spans="1:7" ht="12.75" customHeight="1">
      <c r="A7526" s="3">
        <v>99431</v>
      </c>
      <c r="B7526" s="4" t="s">
        <v>7550</v>
      </c>
      <c r="C7526" s="3" t="s">
        <v>152</v>
      </c>
      <c r="D7526" s="5">
        <f t="shared" si="236"/>
        <v>830.96</v>
      </c>
      <c r="E7526">
        <v>912.15</v>
      </c>
      <c r="F7526" s="1789">
        <v>8.8999999999999996E-2</v>
      </c>
      <c r="G7526">
        <f t="shared" si="237"/>
        <v>830.96</v>
      </c>
    </row>
    <row r="7527" spans="1:7" ht="12.75" customHeight="1">
      <c r="A7527" s="3">
        <v>99432</v>
      </c>
      <c r="B7527" s="4" t="s">
        <v>7551</v>
      </c>
      <c r="C7527" s="3" t="s">
        <v>152</v>
      </c>
      <c r="D7527" s="5">
        <f t="shared" si="236"/>
        <v>807.39</v>
      </c>
      <c r="E7527">
        <v>886.27</v>
      </c>
      <c r="F7527" s="1789">
        <v>8.8999999999999996E-2</v>
      </c>
      <c r="G7527">
        <f t="shared" si="237"/>
        <v>807.39</v>
      </c>
    </row>
    <row r="7528" spans="1:7" ht="12.75" customHeight="1">
      <c r="A7528" s="3">
        <v>99433</v>
      </c>
      <c r="B7528" s="4" t="s">
        <v>7552</v>
      </c>
      <c r="C7528" s="3" t="s">
        <v>152</v>
      </c>
      <c r="D7528" s="5">
        <f t="shared" si="236"/>
        <v>870.97</v>
      </c>
      <c r="E7528">
        <v>956.06</v>
      </c>
      <c r="F7528" s="1789">
        <v>8.8999999999999996E-2</v>
      </c>
      <c r="G7528">
        <f t="shared" si="237"/>
        <v>870.97</v>
      </c>
    </row>
    <row r="7529" spans="1:7" ht="12.75" customHeight="1">
      <c r="A7529" s="3">
        <v>99434</v>
      </c>
      <c r="B7529" s="4" t="s">
        <v>7553</v>
      </c>
      <c r="C7529" s="3" t="s">
        <v>152</v>
      </c>
      <c r="D7529" s="5">
        <f t="shared" si="236"/>
        <v>834.58</v>
      </c>
      <c r="E7529">
        <v>916.12</v>
      </c>
      <c r="F7529" s="1789">
        <v>8.8999999999999996E-2</v>
      </c>
      <c r="G7529">
        <f t="shared" si="237"/>
        <v>834.58</v>
      </c>
    </row>
    <row r="7530" spans="1:7" ht="12.75" customHeight="1">
      <c r="A7530" s="3">
        <v>99435</v>
      </c>
      <c r="B7530" s="4" t="s">
        <v>7554</v>
      </c>
      <c r="C7530" s="3" t="s">
        <v>152</v>
      </c>
      <c r="D7530" s="5">
        <f t="shared" si="236"/>
        <v>809.86</v>
      </c>
      <c r="E7530">
        <v>888.98</v>
      </c>
      <c r="F7530" s="1789">
        <v>8.8999999999999996E-2</v>
      </c>
      <c r="G7530">
        <f t="shared" si="237"/>
        <v>809.86</v>
      </c>
    </row>
    <row r="7531" spans="1:7" ht="12.75" customHeight="1">
      <c r="A7531" s="3">
        <v>99436</v>
      </c>
      <c r="B7531" s="4" t="s">
        <v>7555</v>
      </c>
      <c r="C7531" s="3" t="s">
        <v>152</v>
      </c>
      <c r="D7531" s="5">
        <f t="shared" si="236"/>
        <v>889.78</v>
      </c>
      <c r="E7531">
        <v>976.71</v>
      </c>
      <c r="F7531" s="1789">
        <v>8.8999999999999996E-2</v>
      </c>
      <c r="G7531">
        <f t="shared" si="237"/>
        <v>889.78</v>
      </c>
    </row>
    <row r="7532" spans="1:7" ht="12.75" customHeight="1">
      <c r="A7532" s="3">
        <v>99437</v>
      </c>
      <c r="B7532" s="4" t="s">
        <v>7556</v>
      </c>
      <c r="C7532" s="3" t="s">
        <v>152</v>
      </c>
      <c r="D7532" s="5">
        <f t="shared" si="236"/>
        <v>854.33</v>
      </c>
      <c r="E7532">
        <v>937.8</v>
      </c>
      <c r="F7532" s="1789">
        <v>8.8999999999999996E-2</v>
      </c>
      <c r="G7532">
        <f t="shared" si="237"/>
        <v>854.33</v>
      </c>
    </row>
    <row r="7533" spans="1:7" ht="12.75" customHeight="1">
      <c r="A7533" s="3">
        <v>99438</v>
      </c>
      <c r="B7533" s="4" t="s">
        <v>7557</v>
      </c>
      <c r="C7533" s="3" t="s">
        <v>152</v>
      </c>
      <c r="D7533" s="5">
        <f t="shared" si="236"/>
        <v>859.51</v>
      </c>
      <c r="E7533">
        <v>943.48</v>
      </c>
      <c r="F7533" s="1789">
        <v>8.8999999999999996E-2</v>
      </c>
      <c r="G7533">
        <f t="shared" si="237"/>
        <v>859.51</v>
      </c>
    </row>
    <row r="7534" spans="1:7" ht="12.75" customHeight="1">
      <c r="A7534" s="3">
        <v>99439</v>
      </c>
      <c r="B7534" s="4" t="s">
        <v>7558</v>
      </c>
      <c r="C7534" s="3" t="s">
        <v>152</v>
      </c>
      <c r="D7534" s="5">
        <f t="shared" si="236"/>
        <v>817.47</v>
      </c>
      <c r="E7534">
        <v>897.34</v>
      </c>
      <c r="F7534" s="1789">
        <v>8.8999999999999996E-2</v>
      </c>
      <c r="G7534">
        <f t="shared" si="237"/>
        <v>817.47</v>
      </c>
    </row>
    <row r="7535" spans="1:7" ht="12.75" customHeight="1">
      <c r="A7535" s="3">
        <v>102473</v>
      </c>
      <c r="B7535" s="4" t="s">
        <v>7559</v>
      </c>
      <c r="C7535" s="3" t="s">
        <v>152</v>
      </c>
      <c r="D7535" s="5">
        <f t="shared" si="236"/>
        <v>603.24</v>
      </c>
      <c r="E7535">
        <v>662.18</v>
      </c>
      <c r="F7535" s="1789">
        <v>8.8999999999999996E-2</v>
      </c>
      <c r="G7535">
        <f t="shared" si="237"/>
        <v>603.24</v>
      </c>
    </row>
    <row r="7536" spans="1:7" ht="12.75" customHeight="1">
      <c r="A7536" s="3">
        <v>102474</v>
      </c>
      <c r="B7536" s="4" t="s">
        <v>7560</v>
      </c>
      <c r="C7536" s="3" t="s">
        <v>152</v>
      </c>
      <c r="D7536" s="5">
        <f t="shared" si="236"/>
        <v>640.87</v>
      </c>
      <c r="E7536">
        <v>703.49</v>
      </c>
      <c r="F7536" s="1789">
        <v>8.8999999999999996E-2</v>
      </c>
      <c r="G7536">
        <f t="shared" si="237"/>
        <v>640.87</v>
      </c>
    </row>
    <row r="7537" spans="1:7" ht="12.75" customHeight="1">
      <c r="A7537" s="3">
        <v>102475</v>
      </c>
      <c r="B7537" s="4" t="s">
        <v>7561</v>
      </c>
      <c r="C7537" s="3" t="s">
        <v>152</v>
      </c>
      <c r="D7537" s="5">
        <f t="shared" si="236"/>
        <v>685.33</v>
      </c>
      <c r="E7537">
        <v>752.29</v>
      </c>
      <c r="F7537" s="1789">
        <v>8.8999999999999996E-2</v>
      </c>
      <c r="G7537">
        <f t="shared" si="237"/>
        <v>685.33</v>
      </c>
    </row>
    <row r="7538" spans="1:7" ht="12.75" customHeight="1">
      <c r="A7538" s="3">
        <v>102476</v>
      </c>
      <c r="B7538" s="4" t="s">
        <v>7562</v>
      </c>
      <c r="C7538" s="3" t="s">
        <v>152</v>
      </c>
      <c r="D7538" s="5">
        <f t="shared" si="236"/>
        <v>704.74</v>
      </c>
      <c r="E7538">
        <v>773.59</v>
      </c>
      <c r="F7538" s="1789">
        <v>8.8999999999999996E-2</v>
      </c>
      <c r="G7538">
        <f t="shared" si="237"/>
        <v>704.74</v>
      </c>
    </row>
    <row r="7539" spans="1:7" ht="12.75" customHeight="1">
      <c r="A7539" s="3">
        <v>102477</v>
      </c>
      <c r="B7539" s="4" t="s">
        <v>7563</v>
      </c>
      <c r="C7539" s="3" t="s">
        <v>152</v>
      </c>
      <c r="D7539" s="5">
        <f t="shared" si="236"/>
        <v>739.46</v>
      </c>
      <c r="E7539">
        <v>811.71</v>
      </c>
      <c r="F7539" s="1789">
        <v>8.8999999999999996E-2</v>
      </c>
      <c r="G7539">
        <f t="shared" si="237"/>
        <v>739.46</v>
      </c>
    </row>
    <row r="7540" spans="1:7" ht="12.75" customHeight="1">
      <c r="A7540" s="3">
        <v>102478</v>
      </c>
      <c r="B7540" s="4" t="s">
        <v>7564</v>
      </c>
      <c r="C7540" s="3" t="s">
        <v>152</v>
      </c>
      <c r="D7540" s="5">
        <f t="shared" si="236"/>
        <v>789.86</v>
      </c>
      <c r="E7540">
        <v>867.03</v>
      </c>
      <c r="F7540" s="1789">
        <v>8.8999999999999996E-2</v>
      </c>
      <c r="G7540">
        <f t="shared" si="237"/>
        <v>789.86</v>
      </c>
    </row>
    <row r="7541" spans="1:7" ht="12.75" customHeight="1">
      <c r="A7541" s="3">
        <v>102479</v>
      </c>
      <c r="B7541" s="4" t="s">
        <v>7565</v>
      </c>
      <c r="C7541" s="3" t="s">
        <v>152</v>
      </c>
      <c r="D7541" s="5">
        <f t="shared" si="236"/>
        <v>602.21</v>
      </c>
      <c r="E7541">
        <v>661.05</v>
      </c>
      <c r="F7541" s="1789">
        <v>8.8999999999999996E-2</v>
      </c>
      <c r="G7541">
        <f t="shared" si="237"/>
        <v>602.21</v>
      </c>
    </row>
    <row r="7542" spans="1:7" ht="12.75" customHeight="1">
      <c r="A7542" s="3">
        <v>102480</v>
      </c>
      <c r="B7542" s="4" t="s">
        <v>7566</v>
      </c>
      <c r="C7542" s="3" t="s">
        <v>152</v>
      </c>
      <c r="D7542" s="5">
        <f t="shared" si="236"/>
        <v>636.66999999999996</v>
      </c>
      <c r="E7542">
        <v>698.88</v>
      </c>
      <c r="F7542" s="1789">
        <v>8.8999999999999996E-2</v>
      </c>
      <c r="G7542">
        <f t="shared" si="237"/>
        <v>636.66999999999996</v>
      </c>
    </row>
    <row r="7543" spans="1:7" ht="12.75" customHeight="1">
      <c r="A7543" s="3">
        <v>102481</v>
      </c>
      <c r="B7543" s="4" t="s">
        <v>7567</v>
      </c>
      <c r="C7543" s="3" t="s">
        <v>152</v>
      </c>
      <c r="D7543" s="5">
        <f t="shared" si="236"/>
        <v>676.25</v>
      </c>
      <c r="E7543">
        <v>742.32</v>
      </c>
      <c r="F7543" s="1789">
        <v>8.8999999999999996E-2</v>
      </c>
      <c r="G7543">
        <f t="shared" si="237"/>
        <v>676.25</v>
      </c>
    </row>
    <row r="7544" spans="1:7" ht="12.75" customHeight="1">
      <c r="A7544" s="3">
        <v>102482</v>
      </c>
      <c r="B7544" s="4" t="s">
        <v>7568</v>
      </c>
      <c r="C7544" s="3" t="s">
        <v>152</v>
      </c>
      <c r="D7544" s="5">
        <f t="shared" si="236"/>
        <v>703.99</v>
      </c>
      <c r="E7544">
        <v>772.77</v>
      </c>
      <c r="F7544" s="1789">
        <v>8.8999999999999996E-2</v>
      </c>
      <c r="G7544">
        <f t="shared" si="237"/>
        <v>703.99</v>
      </c>
    </row>
    <row r="7545" spans="1:7" ht="12.75" customHeight="1">
      <c r="A7545" s="3">
        <v>102483</v>
      </c>
      <c r="B7545" s="4" t="s">
        <v>7569</v>
      </c>
      <c r="C7545" s="3" t="s">
        <v>152</v>
      </c>
      <c r="D7545" s="5">
        <f t="shared" si="236"/>
        <v>735.63</v>
      </c>
      <c r="E7545">
        <v>807.5</v>
      </c>
      <c r="F7545" s="1789">
        <v>8.8999999999999996E-2</v>
      </c>
      <c r="G7545">
        <f t="shared" si="237"/>
        <v>735.63</v>
      </c>
    </row>
    <row r="7546" spans="1:7" ht="12.75" customHeight="1">
      <c r="A7546" s="3">
        <v>102484</v>
      </c>
      <c r="B7546" s="4" t="s">
        <v>7570</v>
      </c>
      <c r="C7546" s="3" t="s">
        <v>152</v>
      </c>
      <c r="D7546" s="5">
        <f t="shared" si="236"/>
        <v>790.42</v>
      </c>
      <c r="E7546">
        <v>867.65</v>
      </c>
      <c r="F7546" s="1789">
        <v>8.8999999999999996E-2</v>
      </c>
      <c r="G7546">
        <f t="shared" si="237"/>
        <v>790.42</v>
      </c>
    </row>
    <row r="7547" spans="1:7" ht="12.75" customHeight="1">
      <c r="A7547" s="3">
        <v>102485</v>
      </c>
      <c r="B7547" s="4" t="s">
        <v>7571</v>
      </c>
      <c r="C7547" s="3" t="s">
        <v>152</v>
      </c>
      <c r="D7547" s="5">
        <f t="shared" si="236"/>
        <v>664</v>
      </c>
      <c r="E7547">
        <v>728.87</v>
      </c>
      <c r="F7547" s="1789">
        <v>8.8999999999999996E-2</v>
      </c>
      <c r="G7547">
        <f t="shared" si="237"/>
        <v>664</v>
      </c>
    </row>
    <row r="7548" spans="1:7" ht="12.75" customHeight="1">
      <c r="A7548" s="3">
        <v>102486</v>
      </c>
      <c r="B7548" s="4" t="s">
        <v>7572</v>
      </c>
      <c r="C7548" s="3" t="s">
        <v>152</v>
      </c>
      <c r="D7548" s="5">
        <f t="shared" si="236"/>
        <v>693.57</v>
      </c>
      <c r="E7548">
        <v>761.33</v>
      </c>
      <c r="F7548" s="1789">
        <v>8.8999999999999996E-2</v>
      </c>
      <c r="G7548">
        <f t="shared" si="237"/>
        <v>693.57</v>
      </c>
    </row>
    <row r="7549" spans="1:7" ht="12.75" customHeight="1">
      <c r="A7549" s="3">
        <v>102487</v>
      </c>
      <c r="B7549" s="4" t="s">
        <v>7573</v>
      </c>
      <c r="C7549" s="3" t="s">
        <v>152</v>
      </c>
      <c r="D7549" s="5">
        <f t="shared" si="236"/>
        <v>580.16999999999996</v>
      </c>
      <c r="E7549">
        <v>636.85</v>
      </c>
      <c r="F7549" s="1789">
        <v>8.8999999999999996E-2</v>
      </c>
      <c r="G7549">
        <f t="shared" si="237"/>
        <v>580.16999999999996</v>
      </c>
    </row>
    <row r="7550" spans="1:7" ht="12.75" customHeight="1">
      <c r="A7550" s="3">
        <v>103183</v>
      </c>
      <c r="B7550" s="4" t="s">
        <v>7574</v>
      </c>
      <c r="C7550" s="3" t="s">
        <v>152</v>
      </c>
      <c r="D7550" s="5">
        <f t="shared" si="236"/>
        <v>853.02</v>
      </c>
      <c r="E7550">
        <v>936.36</v>
      </c>
      <c r="F7550" s="1789">
        <v>8.8999999999999996E-2</v>
      </c>
      <c r="G7550">
        <f t="shared" si="237"/>
        <v>853.02</v>
      </c>
    </row>
    <row r="7551" spans="1:7" ht="12.75" customHeight="1">
      <c r="A7551" s="3">
        <v>103184</v>
      </c>
      <c r="B7551" s="4" t="s">
        <v>7575</v>
      </c>
      <c r="C7551" s="3" t="s">
        <v>152</v>
      </c>
      <c r="D7551" s="5">
        <f t="shared" si="236"/>
        <v>817.34</v>
      </c>
      <c r="E7551">
        <v>897.19</v>
      </c>
      <c r="F7551" s="1789">
        <v>8.8999999999999996E-2</v>
      </c>
      <c r="G7551">
        <f t="shared" si="237"/>
        <v>817.34</v>
      </c>
    </row>
    <row r="7552" spans="1:7" ht="12.75" customHeight="1">
      <c r="A7552" s="3">
        <v>103669</v>
      </c>
      <c r="B7552" s="4" t="s">
        <v>7576</v>
      </c>
      <c r="C7552" s="3" t="s">
        <v>152</v>
      </c>
      <c r="D7552" s="5">
        <f t="shared" si="236"/>
        <v>1054.04</v>
      </c>
      <c r="E7552">
        <v>1157.02</v>
      </c>
      <c r="F7552" s="1789">
        <v>8.8999999999999996E-2</v>
      </c>
      <c r="G7552">
        <f t="shared" si="237"/>
        <v>1054.04</v>
      </c>
    </row>
    <row r="7553" spans="1:7" ht="12.75" customHeight="1">
      <c r="A7553" s="3">
        <v>103670</v>
      </c>
      <c r="B7553" s="4" t="s">
        <v>7577</v>
      </c>
      <c r="C7553" s="3" t="s">
        <v>152</v>
      </c>
      <c r="D7553" s="5">
        <f t="shared" si="236"/>
        <v>252.41</v>
      </c>
      <c r="E7553">
        <v>277.07</v>
      </c>
      <c r="F7553" s="1789">
        <v>8.8999999999999996E-2</v>
      </c>
      <c r="G7553">
        <f t="shared" si="237"/>
        <v>252.41</v>
      </c>
    </row>
    <row r="7554" spans="1:7" ht="12.75" customHeight="1">
      <c r="A7554" s="3">
        <v>103671</v>
      </c>
      <c r="B7554" s="4" t="s">
        <v>7578</v>
      </c>
      <c r="C7554" s="3" t="s">
        <v>152</v>
      </c>
      <c r="D7554" s="5">
        <f t="shared" si="236"/>
        <v>842.55</v>
      </c>
      <c r="E7554">
        <v>924.87</v>
      </c>
      <c r="F7554" s="1789">
        <v>8.8999999999999996E-2</v>
      </c>
      <c r="G7554">
        <f t="shared" si="237"/>
        <v>842.55</v>
      </c>
    </row>
    <row r="7555" spans="1:7" ht="12.75" customHeight="1">
      <c r="A7555" s="3">
        <v>103672</v>
      </c>
      <c r="B7555" s="4" t="s">
        <v>7579</v>
      </c>
      <c r="C7555" s="3" t="s">
        <v>152</v>
      </c>
      <c r="D7555" s="5">
        <f t="shared" si="236"/>
        <v>790.92</v>
      </c>
      <c r="E7555">
        <v>868.19</v>
      </c>
      <c r="F7555" s="1789">
        <v>8.8999999999999996E-2</v>
      </c>
      <c r="G7555">
        <f t="shared" si="237"/>
        <v>790.92</v>
      </c>
    </row>
    <row r="7556" spans="1:7" ht="12.75" customHeight="1">
      <c r="A7556" s="3">
        <v>103673</v>
      </c>
      <c r="B7556" s="4" t="s">
        <v>7580</v>
      </c>
      <c r="C7556" s="3" t="s">
        <v>152</v>
      </c>
      <c r="D7556" s="5">
        <f t="shared" si="236"/>
        <v>35.42</v>
      </c>
      <c r="E7556">
        <v>38.89</v>
      </c>
      <c r="F7556" s="1789">
        <v>8.8999999999999996E-2</v>
      </c>
      <c r="G7556">
        <f t="shared" si="237"/>
        <v>35.42</v>
      </c>
    </row>
    <row r="7557" spans="1:7" ht="12.75" customHeight="1">
      <c r="A7557" s="3">
        <v>103674</v>
      </c>
      <c r="B7557" s="4" t="s">
        <v>7581</v>
      </c>
      <c r="C7557" s="3" t="s">
        <v>152</v>
      </c>
      <c r="D7557" s="5">
        <f t="shared" si="236"/>
        <v>808.23</v>
      </c>
      <c r="E7557">
        <v>887.2</v>
      </c>
      <c r="F7557" s="1789">
        <v>8.8999999999999996E-2</v>
      </c>
      <c r="G7557">
        <f t="shared" si="237"/>
        <v>808.23</v>
      </c>
    </row>
    <row r="7558" spans="1:7" ht="12.75" customHeight="1">
      <c r="A7558" s="3">
        <v>103675</v>
      </c>
      <c r="B7558" s="4" t="s">
        <v>7582</v>
      </c>
      <c r="C7558" s="3" t="s">
        <v>152</v>
      </c>
      <c r="D7558" s="5">
        <f t="shared" si="236"/>
        <v>791.41</v>
      </c>
      <c r="E7558">
        <v>868.73</v>
      </c>
      <c r="F7558" s="1789">
        <v>8.8999999999999996E-2</v>
      </c>
      <c r="G7558">
        <f t="shared" si="237"/>
        <v>791.41</v>
      </c>
    </row>
    <row r="7559" spans="1:7" ht="12.75" customHeight="1">
      <c r="A7559" s="3">
        <v>103676</v>
      </c>
      <c r="B7559" s="4" t="s">
        <v>7583</v>
      </c>
      <c r="C7559" s="3" t="s">
        <v>152</v>
      </c>
      <c r="D7559" s="5">
        <f t="shared" si="236"/>
        <v>1101.8900000000001</v>
      </c>
      <c r="E7559">
        <v>1209.54</v>
      </c>
      <c r="F7559" s="1789">
        <v>8.8999999999999996E-2</v>
      </c>
      <c r="G7559">
        <f t="shared" si="237"/>
        <v>1101.8900000000001</v>
      </c>
    </row>
    <row r="7560" spans="1:7" ht="12.75" customHeight="1">
      <c r="A7560" s="3">
        <v>103677</v>
      </c>
      <c r="B7560" s="4" t="s">
        <v>7584</v>
      </c>
      <c r="C7560" s="3" t="s">
        <v>152</v>
      </c>
      <c r="D7560" s="5">
        <f t="shared" si="236"/>
        <v>957.26</v>
      </c>
      <c r="E7560">
        <v>1050.79</v>
      </c>
      <c r="F7560" s="1789">
        <v>8.8999999999999996E-2</v>
      </c>
      <c r="G7560">
        <f t="shared" si="237"/>
        <v>957.26</v>
      </c>
    </row>
    <row r="7561" spans="1:7" ht="12.75" customHeight="1">
      <c r="A7561" s="3">
        <v>103678</v>
      </c>
      <c r="B7561" s="4" t="s">
        <v>7585</v>
      </c>
      <c r="C7561" s="3" t="s">
        <v>152</v>
      </c>
      <c r="D7561" s="5">
        <f t="shared" si="236"/>
        <v>1021.01</v>
      </c>
      <c r="E7561">
        <v>1120.76</v>
      </c>
      <c r="F7561" s="1789">
        <v>8.8999999999999996E-2</v>
      </c>
      <c r="G7561">
        <f t="shared" si="237"/>
        <v>1021.01</v>
      </c>
    </row>
    <row r="7562" spans="1:7" ht="12.75" customHeight="1">
      <c r="A7562" s="3">
        <v>103679</v>
      </c>
      <c r="B7562" s="4" t="s">
        <v>7586</v>
      </c>
      <c r="C7562" s="3" t="s">
        <v>152</v>
      </c>
      <c r="D7562" s="5">
        <f t="shared" si="236"/>
        <v>921.37</v>
      </c>
      <c r="E7562">
        <v>1011.39</v>
      </c>
      <c r="F7562" s="1789">
        <v>8.8999999999999996E-2</v>
      </c>
      <c r="G7562">
        <f t="shared" si="237"/>
        <v>921.37</v>
      </c>
    </row>
    <row r="7563" spans="1:7" ht="12.75" customHeight="1">
      <c r="A7563" s="3">
        <v>103680</v>
      </c>
      <c r="B7563" s="4" t="s">
        <v>7587</v>
      </c>
      <c r="C7563" s="3" t="s">
        <v>152</v>
      </c>
      <c r="D7563" s="5">
        <f t="shared" si="236"/>
        <v>961.75</v>
      </c>
      <c r="E7563">
        <v>1055.71</v>
      </c>
      <c r="F7563" s="1789">
        <v>8.8999999999999996E-2</v>
      </c>
      <c r="G7563">
        <f t="shared" si="237"/>
        <v>961.75</v>
      </c>
    </row>
    <row r="7564" spans="1:7" ht="12.75" customHeight="1">
      <c r="A7564" s="3">
        <v>103681</v>
      </c>
      <c r="B7564" s="4" t="s">
        <v>7588</v>
      </c>
      <c r="C7564" s="3" t="s">
        <v>152</v>
      </c>
      <c r="D7564" s="5">
        <f t="shared" si="236"/>
        <v>864.65</v>
      </c>
      <c r="E7564">
        <v>949.13</v>
      </c>
      <c r="F7564" s="1789">
        <v>8.8999999999999996E-2</v>
      </c>
      <c r="G7564">
        <f t="shared" si="237"/>
        <v>864.65</v>
      </c>
    </row>
    <row r="7565" spans="1:7" ht="12.75" customHeight="1">
      <c r="A7565" s="3">
        <v>103682</v>
      </c>
      <c r="B7565" s="4" t="s">
        <v>7589</v>
      </c>
      <c r="C7565" s="3" t="s">
        <v>152</v>
      </c>
      <c r="D7565" s="5">
        <f t="shared" si="236"/>
        <v>1069.22</v>
      </c>
      <c r="E7565">
        <v>1173.68</v>
      </c>
      <c r="F7565" s="1789">
        <v>8.8999999999999996E-2</v>
      </c>
      <c r="G7565">
        <f t="shared" si="237"/>
        <v>1069.22</v>
      </c>
    </row>
    <row r="7566" spans="1:7" ht="12.75" customHeight="1">
      <c r="A7566" s="3">
        <v>103683</v>
      </c>
      <c r="B7566" s="4" t="s">
        <v>7590</v>
      </c>
      <c r="C7566" s="3" t="s">
        <v>152</v>
      </c>
      <c r="D7566" s="5">
        <f t="shared" si="236"/>
        <v>1314.21</v>
      </c>
      <c r="E7566">
        <v>1442.61</v>
      </c>
      <c r="F7566" s="1789">
        <v>8.8999999999999996E-2</v>
      </c>
      <c r="G7566">
        <f t="shared" si="237"/>
        <v>1314.21</v>
      </c>
    </row>
    <row r="7567" spans="1:7" ht="12.75" customHeight="1">
      <c r="A7567" s="3">
        <v>103684</v>
      </c>
      <c r="B7567" s="4" t="s">
        <v>7591</v>
      </c>
      <c r="C7567" s="3" t="s">
        <v>152</v>
      </c>
      <c r="D7567" s="5">
        <f t="shared" si="236"/>
        <v>805.96</v>
      </c>
      <c r="E7567">
        <v>884.7</v>
      </c>
      <c r="F7567" s="1789">
        <v>8.8999999999999996E-2</v>
      </c>
      <c r="G7567">
        <f t="shared" si="237"/>
        <v>805.96</v>
      </c>
    </row>
    <row r="7568" spans="1:7" ht="12.75" customHeight="1">
      <c r="A7568" s="3">
        <v>103685</v>
      </c>
      <c r="B7568" s="4" t="s">
        <v>7592</v>
      </c>
      <c r="C7568" s="3" t="s">
        <v>152</v>
      </c>
      <c r="D7568" s="5">
        <f t="shared" si="236"/>
        <v>795.29</v>
      </c>
      <c r="E7568">
        <v>872.99</v>
      </c>
      <c r="F7568" s="1789">
        <v>8.8999999999999996E-2</v>
      </c>
      <c r="G7568">
        <f t="shared" si="237"/>
        <v>795.29</v>
      </c>
    </row>
    <row r="7569" spans="1:7" ht="12.75" customHeight="1">
      <c r="A7569" s="3">
        <v>103686</v>
      </c>
      <c r="B7569" s="4" t="s">
        <v>7593</v>
      </c>
      <c r="C7569" s="3" t="s">
        <v>152</v>
      </c>
      <c r="D7569" s="5">
        <f t="shared" si="236"/>
        <v>846.36</v>
      </c>
      <c r="E7569">
        <v>929.05</v>
      </c>
      <c r="F7569" s="1789">
        <v>8.8999999999999996E-2</v>
      </c>
      <c r="G7569">
        <f t="shared" si="237"/>
        <v>846.36</v>
      </c>
    </row>
    <row r="7570" spans="1:7" ht="12.75" customHeight="1">
      <c r="A7570" s="3">
        <v>103687</v>
      </c>
      <c r="B7570" s="4" t="s">
        <v>7594</v>
      </c>
      <c r="C7570" s="3" t="s">
        <v>152</v>
      </c>
      <c r="D7570" s="5">
        <f t="shared" si="236"/>
        <v>1158.9100000000001</v>
      </c>
      <c r="E7570">
        <v>1272.1400000000001</v>
      </c>
      <c r="F7570" s="1789">
        <v>8.8999999999999996E-2</v>
      </c>
      <c r="G7570">
        <f t="shared" si="237"/>
        <v>1158.9100000000001</v>
      </c>
    </row>
    <row r="7571" spans="1:7" ht="12.75" customHeight="1">
      <c r="A7571" s="3">
        <v>103688</v>
      </c>
      <c r="B7571" s="4" t="s">
        <v>7595</v>
      </c>
      <c r="C7571" s="3" t="s">
        <v>152</v>
      </c>
      <c r="D7571" s="5">
        <f t="shared" si="236"/>
        <v>951.75</v>
      </c>
      <c r="E7571">
        <v>1044.74</v>
      </c>
      <c r="F7571" s="1789">
        <v>8.8999999999999996E-2</v>
      </c>
      <c r="G7571">
        <f t="shared" si="237"/>
        <v>951.75</v>
      </c>
    </row>
    <row r="7572" spans="1:7" ht="12.75" customHeight="1">
      <c r="A7572" s="3">
        <v>104916</v>
      </c>
      <c r="B7572" s="4" t="s">
        <v>7596</v>
      </c>
      <c r="C7572" s="3" t="s">
        <v>54</v>
      </c>
      <c r="D7572" s="5">
        <f t="shared" si="236"/>
        <v>15.88</v>
      </c>
      <c r="E7572">
        <v>17.440000000000001</v>
      </c>
      <c r="F7572" s="1789">
        <v>8.8999999999999996E-2</v>
      </c>
      <c r="G7572">
        <f t="shared" si="237"/>
        <v>15.88</v>
      </c>
    </row>
    <row r="7573" spans="1:7" ht="12.75" customHeight="1">
      <c r="A7573" s="3">
        <v>104923</v>
      </c>
      <c r="B7573" s="4" t="s">
        <v>7597</v>
      </c>
      <c r="C7573" s="3" t="s">
        <v>152</v>
      </c>
      <c r="D7573" s="5">
        <f t="shared" ref="D7573:D7636" si="238">G7573</f>
        <v>764.79</v>
      </c>
      <c r="E7573">
        <v>839.51</v>
      </c>
      <c r="F7573" s="1789">
        <v>8.8999999999999996E-2</v>
      </c>
      <c r="G7573">
        <f t="shared" ref="G7573:G7636" si="239">TRUNC((1-F7573)*E7573,2)</f>
        <v>764.79</v>
      </c>
    </row>
    <row r="7574" spans="1:7" ht="12.75" customHeight="1">
      <c r="A7574" s="3">
        <v>104924</v>
      </c>
      <c r="B7574" s="4" t="s">
        <v>7598</v>
      </c>
      <c r="C7574" s="3" t="s">
        <v>152</v>
      </c>
      <c r="D7574" s="5">
        <f t="shared" si="238"/>
        <v>912.23</v>
      </c>
      <c r="E7574">
        <v>1001.36</v>
      </c>
      <c r="F7574" s="1789">
        <v>8.8999999999999996E-2</v>
      </c>
      <c r="G7574">
        <f t="shared" si="239"/>
        <v>912.23</v>
      </c>
    </row>
    <row r="7575" spans="1:7" ht="12.75" customHeight="1">
      <c r="A7575" s="3">
        <v>101963</v>
      </c>
      <c r="B7575" s="4" t="s">
        <v>7599</v>
      </c>
      <c r="C7575" s="3" t="s">
        <v>409</v>
      </c>
      <c r="D7575" s="5">
        <f t="shared" si="238"/>
        <v>182.37</v>
      </c>
      <c r="E7575">
        <v>200.19</v>
      </c>
      <c r="F7575" s="1789">
        <v>8.8999999999999996E-2</v>
      </c>
      <c r="G7575">
        <f t="shared" si="239"/>
        <v>182.37</v>
      </c>
    </row>
    <row r="7576" spans="1:7" ht="12.75" customHeight="1">
      <c r="A7576" s="3">
        <v>101964</v>
      </c>
      <c r="B7576" s="4" t="s">
        <v>7600</v>
      </c>
      <c r="C7576" s="3" t="s">
        <v>409</v>
      </c>
      <c r="D7576" s="5">
        <f t="shared" si="238"/>
        <v>168.91</v>
      </c>
      <c r="E7576">
        <v>185.42</v>
      </c>
      <c r="F7576" s="1789">
        <v>8.8999999999999996E-2</v>
      </c>
      <c r="G7576">
        <f t="shared" si="239"/>
        <v>168.91</v>
      </c>
    </row>
    <row r="7577" spans="1:7" ht="12.75" customHeight="1">
      <c r="A7577" s="3">
        <v>101165</v>
      </c>
      <c r="B7577" s="4" t="s">
        <v>7601</v>
      </c>
      <c r="C7577" s="3" t="s">
        <v>152</v>
      </c>
      <c r="D7577" s="5">
        <f t="shared" si="238"/>
        <v>916.71</v>
      </c>
      <c r="E7577">
        <v>1006.27</v>
      </c>
      <c r="F7577" s="1789">
        <v>8.8999999999999996E-2</v>
      </c>
      <c r="G7577">
        <f t="shared" si="239"/>
        <v>916.71</v>
      </c>
    </row>
    <row r="7578" spans="1:7" ht="12.75" customHeight="1">
      <c r="A7578" s="3">
        <v>101166</v>
      </c>
      <c r="B7578" s="4" t="s">
        <v>7602</v>
      </c>
      <c r="C7578" s="3" t="s">
        <v>152</v>
      </c>
      <c r="D7578" s="5">
        <f t="shared" si="238"/>
        <v>678.15</v>
      </c>
      <c r="E7578">
        <v>744.41</v>
      </c>
      <c r="F7578" s="1789">
        <v>8.8999999999999996E-2</v>
      </c>
      <c r="G7578">
        <f t="shared" si="239"/>
        <v>678.15</v>
      </c>
    </row>
    <row r="7579" spans="1:7" ht="12.75" customHeight="1">
      <c r="A7579" s="3">
        <v>98575</v>
      </c>
      <c r="B7579" s="4" t="s">
        <v>7603</v>
      </c>
      <c r="C7579" s="3" t="s">
        <v>50</v>
      </c>
      <c r="D7579" s="5">
        <f t="shared" si="238"/>
        <v>61.98</v>
      </c>
      <c r="E7579">
        <v>68.040000000000006</v>
      </c>
      <c r="F7579" s="1789">
        <v>8.8999999999999996E-2</v>
      </c>
      <c r="G7579">
        <f t="shared" si="239"/>
        <v>61.98</v>
      </c>
    </row>
    <row r="7580" spans="1:7" ht="12.75" customHeight="1">
      <c r="A7580" s="3">
        <v>98576</v>
      </c>
      <c r="B7580" s="4" t="s">
        <v>7604</v>
      </c>
      <c r="C7580" s="3" t="s">
        <v>50</v>
      </c>
      <c r="D7580" s="5">
        <f t="shared" si="238"/>
        <v>25.69</v>
      </c>
      <c r="E7580">
        <v>28.21</v>
      </c>
      <c r="F7580" s="1789">
        <v>8.8999999999999996E-2</v>
      </c>
      <c r="G7580">
        <f t="shared" si="239"/>
        <v>25.69</v>
      </c>
    </row>
    <row r="7581" spans="1:7" ht="12.75" customHeight="1">
      <c r="A7581" s="3">
        <v>98577</v>
      </c>
      <c r="B7581" s="4" t="s">
        <v>7605</v>
      </c>
      <c r="C7581" s="3" t="s">
        <v>50</v>
      </c>
      <c r="D7581" s="5">
        <f t="shared" si="238"/>
        <v>40.6</v>
      </c>
      <c r="E7581">
        <v>44.57</v>
      </c>
      <c r="F7581" s="1789">
        <v>8.8999999999999996E-2</v>
      </c>
      <c r="G7581">
        <f t="shared" si="239"/>
        <v>40.6</v>
      </c>
    </row>
    <row r="7582" spans="1:7" ht="12.75" customHeight="1">
      <c r="A7582" s="3">
        <v>93184</v>
      </c>
      <c r="B7582" s="4" t="s">
        <v>7606</v>
      </c>
      <c r="C7582" s="3" t="s">
        <v>50</v>
      </c>
      <c r="D7582" s="5">
        <f t="shared" si="238"/>
        <v>26.5</v>
      </c>
      <c r="E7582">
        <v>29.09</v>
      </c>
      <c r="F7582" s="1789">
        <v>8.8999999999999996E-2</v>
      </c>
      <c r="G7582">
        <f t="shared" si="239"/>
        <v>26.5</v>
      </c>
    </row>
    <row r="7583" spans="1:7" ht="12.75" customHeight="1">
      <c r="A7583" s="3">
        <v>93187</v>
      </c>
      <c r="B7583" s="4" t="s">
        <v>7607</v>
      </c>
      <c r="C7583" s="3" t="s">
        <v>50</v>
      </c>
      <c r="D7583" s="5">
        <f t="shared" si="238"/>
        <v>68.930000000000007</v>
      </c>
      <c r="E7583">
        <v>75.67</v>
      </c>
      <c r="F7583" s="1789">
        <v>8.8999999999999996E-2</v>
      </c>
      <c r="G7583">
        <f t="shared" si="239"/>
        <v>68.930000000000007</v>
      </c>
    </row>
    <row r="7584" spans="1:7" ht="12.75" customHeight="1">
      <c r="A7584" s="3">
        <v>93191</v>
      </c>
      <c r="B7584" s="4" t="s">
        <v>7608</v>
      </c>
      <c r="C7584" s="3" t="s">
        <v>50</v>
      </c>
      <c r="D7584" s="5">
        <f t="shared" si="238"/>
        <v>67.03</v>
      </c>
      <c r="E7584">
        <v>73.58</v>
      </c>
      <c r="F7584" s="1789">
        <v>8.8999999999999996E-2</v>
      </c>
      <c r="G7584">
        <f t="shared" si="239"/>
        <v>67.03</v>
      </c>
    </row>
    <row r="7585" spans="1:7" ht="12.75" customHeight="1">
      <c r="A7585" s="3">
        <v>93194</v>
      </c>
      <c r="B7585" s="4" t="s">
        <v>7609</v>
      </c>
      <c r="C7585" s="3" t="s">
        <v>50</v>
      </c>
      <c r="D7585" s="5">
        <f t="shared" si="238"/>
        <v>25.89</v>
      </c>
      <c r="E7585">
        <v>28.43</v>
      </c>
      <c r="F7585" s="1789">
        <v>8.8999999999999996E-2</v>
      </c>
      <c r="G7585">
        <f t="shared" si="239"/>
        <v>25.89</v>
      </c>
    </row>
    <row r="7586" spans="1:7" ht="12.75" customHeight="1">
      <c r="A7586" s="3">
        <v>93197</v>
      </c>
      <c r="B7586" s="4" t="s">
        <v>7610</v>
      </c>
      <c r="C7586" s="3" t="s">
        <v>50</v>
      </c>
      <c r="D7586" s="5">
        <f t="shared" si="238"/>
        <v>52.33</v>
      </c>
      <c r="E7586">
        <v>57.45</v>
      </c>
      <c r="F7586" s="1789">
        <v>8.8999999999999996E-2</v>
      </c>
      <c r="G7586">
        <f t="shared" si="239"/>
        <v>52.33</v>
      </c>
    </row>
    <row r="7587" spans="1:7" ht="12.75" customHeight="1">
      <c r="A7587" s="3">
        <v>93199</v>
      </c>
      <c r="B7587" s="4" t="s">
        <v>7611</v>
      </c>
      <c r="C7587" s="3" t="s">
        <v>50</v>
      </c>
      <c r="D7587" s="5">
        <f t="shared" si="238"/>
        <v>48.09</v>
      </c>
      <c r="E7587">
        <v>52.79</v>
      </c>
      <c r="F7587" s="1789">
        <v>8.8999999999999996E-2</v>
      </c>
      <c r="G7587">
        <f t="shared" si="239"/>
        <v>48.09</v>
      </c>
    </row>
    <row r="7588" spans="1:7" ht="12.75" customHeight="1">
      <c r="A7588" s="3">
        <v>93200</v>
      </c>
      <c r="B7588" s="4" t="s">
        <v>7612</v>
      </c>
      <c r="C7588" s="3" t="s">
        <v>50</v>
      </c>
      <c r="D7588" s="5">
        <f t="shared" si="238"/>
        <v>9.82</v>
      </c>
      <c r="E7588">
        <v>10.78</v>
      </c>
      <c r="F7588" s="1789">
        <v>8.8999999999999996E-2</v>
      </c>
      <c r="G7588">
        <f t="shared" si="239"/>
        <v>9.82</v>
      </c>
    </row>
    <row r="7589" spans="1:7" ht="12.75" customHeight="1">
      <c r="A7589" s="3">
        <v>93202</v>
      </c>
      <c r="B7589" s="4" t="s">
        <v>7613</v>
      </c>
      <c r="C7589" s="3" t="s">
        <v>50</v>
      </c>
      <c r="D7589" s="5">
        <f t="shared" si="238"/>
        <v>27.39</v>
      </c>
      <c r="E7589">
        <v>30.07</v>
      </c>
      <c r="F7589" s="1789">
        <v>8.8999999999999996E-2</v>
      </c>
      <c r="G7589">
        <f t="shared" si="239"/>
        <v>27.39</v>
      </c>
    </row>
    <row r="7590" spans="1:7" ht="12.75" customHeight="1">
      <c r="A7590" s="3">
        <v>93203</v>
      </c>
      <c r="B7590" s="4" t="s">
        <v>7614</v>
      </c>
      <c r="C7590" s="3" t="s">
        <v>50</v>
      </c>
      <c r="D7590" s="5">
        <f t="shared" si="238"/>
        <v>12.5</v>
      </c>
      <c r="E7590">
        <v>13.73</v>
      </c>
      <c r="F7590" s="1789">
        <v>8.8999999999999996E-2</v>
      </c>
      <c r="G7590">
        <f t="shared" si="239"/>
        <v>12.5</v>
      </c>
    </row>
    <row r="7591" spans="1:7" ht="12.75" customHeight="1">
      <c r="A7591" s="3">
        <v>93205</v>
      </c>
      <c r="B7591" s="4" t="s">
        <v>7615</v>
      </c>
      <c r="C7591" s="3" t="s">
        <v>50</v>
      </c>
      <c r="D7591" s="5">
        <f t="shared" si="238"/>
        <v>57.67</v>
      </c>
      <c r="E7591">
        <v>63.31</v>
      </c>
      <c r="F7591" s="1789">
        <v>8.8999999999999996E-2</v>
      </c>
      <c r="G7591">
        <f t="shared" si="239"/>
        <v>57.67</v>
      </c>
    </row>
    <row r="7592" spans="1:7" ht="12.75" customHeight="1">
      <c r="A7592" s="3">
        <v>105021</v>
      </c>
      <c r="B7592" s="4" t="s">
        <v>7616</v>
      </c>
      <c r="C7592" s="3" t="s">
        <v>50</v>
      </c>
      <c r="D7592" s="5">
        <f t="shared" si="238"/>
        <v>22.83</v>
      </c>
      <c r="E7592">
        <v>25.07</v>
      </c>
      <c r="F7592" s="1789">
        <v>8.8999999999999996E-2</v>
      </c>
      <c r="G7592">
        <f t="shared" si="239"/>
        <v>22.83</v>
      </c>
    </row>
    <row r="7593" spans="1:7" ht="12.75" customHeight="1">
      <c r="A7593" s="3">
        <v>105022</v>
      </c>
      <c r="B7593" s="4" t="s">
        <v>7617</v>
      </c>
      <c r="C7593" s="3" t="s">
        <v>50</v>
      </c>
      <c r="D7593" s="5">
        <f t="shared" si="238"/>
        <v>19.88</v>
      </c>
      <c r="E7593">
        <v>21.83</v>
      </c>
      <c r="F7593" s="1789">
        <v>8.8999999999999996E-2</v>
      </c>
      <c r="G7593">
        <f t="shared" si="239"/>
        <v>19.88</v>
      </c>
    </row>
    <row r="7594" spans="1:7" ht="12.75" customHeight="1">
      <c r="A7594" s="3">
        <v>105023</v>
      </c>
      <c r="B7594" s="4" t="s">
        <v>7618</v>
      </c>
      <c r="C7594" s="3" t="s">
        <v>50</v>
      </c>
      <c r="D7594" s="5">
        <f t="shared" si="238"/>
        <v>58.49</v>
      </c>
      <c r="E7594">
        <v>64.209999999999994</v>
      </c>
      <c r="F7594" s="1789">
        <v>8.8999999999999996E-2</v>
      </c>
      <c r="G7594">
        <f t="shared" si="239"/>
        <v>58.49</v>
      </c>
    </row>
    <row r="7595" spans="1:7" ht="12.75" customHeight="1">
      <c r="A7595" s="3">
        <v>105024</v>
      </c>
      <c r="B7595" s="4" t="s">
        <v>7619</v>
      </c>
      <c r="C7595" s="3" t="s">
        <v>50</v>
      </c>
      <c r="D7595" s="5">
        <f t="shared" si="238"/>
        <v>48.04</v>
      </c>
      <c r="E7595">
        <v>52.74</v>
      </c>
      <c r="F7595" s="1789">
        <v>8.8999999999999996E-2</v>
      </c>
      <c r="G7595">
        <f t="shared" si="239"/>
        <v>48.04</v>
      </c>
    </row>
    <row r="7596" spans="1:7" ht="12.75" customHeight="1">
      <c r="A7596" s="3">
        <v>105025</v>
      </c>
      <c r="B7596" s="4" t="s">
        <v>7620</v>
      </c>
      <c r="C7596" s="3" t="s">
        <v>50</v>
      </c>
      <c r="D7596" s="5">
        <f t="shared" si="238"/>
        <v>55.61</v>
      </c>
      <c r="E7596">
        <v>61.05</v>
      </c>
      <c r="F7596" s="1789">
        <v>8.8999999999999996E-2</v>
      </c>
      <c r="G7596">
        <f t="shared" si="239"/>
        <v>55.61</v>
      </c>
    </row>
    <row r="7597" spans="1:7" ht="12.75" customHeight="1">
      <c r="A7597" s="3">
        <v>105026</v>
      </c>
      <c r="B7597" s="4" t="s">
        <v>7621</v>
      </c>
      <c r="C7597" s="3" t="s">
        <v>50</v>
      </c>
      <c r="D7597" s="5">
        <f t="shared" si="238"/>
        <v>39.51</v>
      </c>
      <c r="E7597">
        <v>43.37</v>
      </c>
      <c r="F7597" s="1789">
        <v>8.8999999999999996E-2</v>
      </c>
      <c r="G7597">
        <f t="shared" si="239"/>
        <v>39.51</v>
      </c>
    </row>
    <row r="7598" spans="1:7" ht="12.75" customHeight="1">
      <c r="A7598" s="3">
        <v>105027</v>
      </c>
      <c r="B7598" s="4" t="s">
        <v>7622</v>
      </c>
      <c r="C7598" s="3" t="s">
        <v>50</v>
      </c>
      <c r="D7598" s="5">
        <f t="shared" si="238"/>
        <v>22.53</v>
      </c>
      <c r="E7598">
        <v>24.74</v>
      </c>
      <c r="F7598" s="1789">
        <v>8.8999999999999996E-2</v>
      </c>
      <c r="G7598">
        <f t="shared" si="239"/>
        <v>22.53</v>
      </c>
    </row>
    <row r="7599" spans="1:7" ht="12.75" customHeight="1">
      <c r="A7599" s="3">
        <v>105028</v>
      </c>
      <c r="B7599" s="4" t="s">
        <v>7623</v>
      </c>
      <c r="C7599" s="3" t="s">
        <v>50</v>
      </c>
      <c r="D7599" s="5">
        <f t="shared" si="238"/>
        <v>19.600000000000001</v>
      </c>
      <c r="E7599">
        <v>21.52</v>
      </c>
      <c r="F7599" s="1789">
        <v>8.8999999999999996E-2</v>
      </c>
      <c r="G7599">
        <f t="shared" si="239"/>
        <v>19.600000000000001</v>
      </c>
    </row>
    <row r="7600" spans="1:7" ht="12.75" customHeight="1">
      <c r="A7600" s="3">
        <v>105029</v>
      </c>
      <c r="B7600" s="4" t="s">
        <v>7624</v>
      </c>
      <c r="C7600" s="3" t="s">
        <v>50</v>
      </c>
      <c r="D7600" s="5">
        <f t="shared" si="238"/>
        <v>44.93</v>
      </c>
      <c r="E7600">
        <v>49.32</v>
      </c>
      <c r="F7600" s="1789">
        <v>8.8999999999999996E-2</v>
      </c>
      <c r="G7600">
        <f t="shared" si="239"/>
        <v>44.93</v>
      </c>
    </row>
    <row r="7601" spans="1:7" ht="12.75" customHeight="1">
      <c r="A7601" s="3">
        <v>105030</v>
      </c>
      <c r="B7601" s="4" t="s">
        <v>7625</v>
      </c>
      <c r="C7601" s="3" t="s">
        <v>50</v>
      </c>
      <c r="D7601" s="5">
        <f t="shared" si="238"/>
        <v>37.56</v>
      </c>
      <c r="E7601">
        <v>41.24</v>
      </c>
      <c r="F7601" s="1789">
        <v>8.8999999999999996E-2</v>
      </c>
      <c r="G7601">
        <f t="shared" si="239"/>
        <v>37.56</v>
      </c>
    </row>
    <row r="7602" spans="1:7" ht="12.75" customHeight="1">
      <c r="A7602" s="3">
        <v>105031</v>
      </c>
      <c r="B7602" s="4" t="s">
        <v>7626</v>
      </c>
      <c r="C7602" s="3" t="s">
        <v>50</v>
      </c>
      <c r="D7602" s="5">
        <f t="shared" si="238"/>
        <v>45.98</v>
      </c>
      <c r="E7602">
        <v>50.48</v>
      </c>
      <c r="F7602" s="1789">
        <v>8.8999999999999996E-2</v>
      </c>
      <c r="G7602">
        <f t="shared" si="239"/>
        <v>45.98</v>
      </c>
    </row>
    <row r="7603" spans="1:7" ht="12.75" customHeight="1">
      <c r="A7603" s="3">
        <v>105032</v>
      </c>
      <c r="B7603" s="4" t="s">
        <v>7627</v>
      </c>
      <c r="C7603" s="3" t="s">
        <v>50</v>
      </c>
      <c r="D7603" s="5">
        <f t="shared" si="238"/>
        <v>31.5</v>
      </c>
      <c r="E7603">
        <v>34.58</v>
      </c>
      <c r="F7603" s="1789">
        <v>8.8999999999999996E-2</v>
      </c>
      <c r="G7603">
        <f t="shared" si="239"/>
        <v>31.5</v>
      </c>
    </row>
    <row r="7604" spans="1:7" ht="12.75" customHeight="1">
      <c r="A7604" s="3">
        <v>105033</v>
      </c>
      <c r="B7604" s="4" t="s">
        <v>7628</v>
      </c>
      <c r="C7604" s="3" t="s">
        <v>50</v>
      </c>
      <c r="D7604" s="5">
        <f t="shared" si="238"/>
        <v>54.62</v>
      </c>
      <c r="E7604">
        <v>59.96</v>
      </c>
      <c r="F7604" s="1789">
        <v>8.8999999999999996E-2</v>
      </c>
      <c r="G7604">
        <f t="shared" si="239"/>
        <v>54.62</v>
      </c>
    </row>
    <row r="7605" spans="1:7" ht="12.75" customHeight="1">
      <c r="A7605" s="3">
        <v>105034</v>
      </c>
      <c r="B7605" s="4" t="s">
        <v>7629</v>
      </c>
      <c r="C7605" s="3" t="s">
        <v>50</v>
      </c>
      <c r="D7605" s="5">
        <f t="shared" si="238"/>
        <v>39.19</v>
      </c>
      <c r="E7605">
        <v>43.02</v>
      </c>
      <c r="F7605" s="1789">
        <v>8.8999999999999996E-2</v>
      </c>
      <c r="G7605">
        <f t="shared" si="239"/>
        <v>39.19</v>
      </c>
    </row>
    <row r="7606" spans="1:7" ht="12.75" customHeight="1">
      <c r="A7606" s="3">
        <v>105035</v>
      </c>
      <c r="B7606" s="4" t="s">
        <v>7630</v>
      </c>
      <c r="C7606" s="3" t="s">
        <v>50</v>
      </c>
      <c r="D7606" s="5">
        <f t="shared" si="238"/>
        <v>59.13</v>
      </c>
      <c r="E7606">
        <v>64.91</v>
      </c>
      <c r="F7606" s="1789">
        <v>8.8999999999999996E-2</v>
      </c>
      <c r="G7606">
        <f t="shared" si="239"/>
        <v>59.13</v>
      </c>
    </row>
    <row r="7607" spans="1:7" ht="12.75" customHeight="1">
      <c r="A7607" s="3">
        <v>105036</v>
      </c>
      <c r="B7607" s="4" t="s">
        <v>7631</v>
      </c>
      <c r="C7607" s="3" t="s">
        <v>50</v>
      </c>
      <c r="D7607" s="5">
        <f t="shared" si="238"/>
        <v>42.6</v>
      </c>
      <c r="E7607">
        <v>46.77</v>
      </c>
      <c r="F7607" s="1789">
        <v>8.8999999999999996E-2</v>
      </c>
      <c r="G7607">
        <f t="shared" si="239"/>
        <v>42.6</v>
      </c>
    </row>
    <row r="7608" spans="1:7" ht="12.75" customHeight="1">
      <c r="A7608" s="3">
        <v>105037</v>
      </c>
      <c r="B7608" s="4" t="s">
        <v>7632</v>
      </c>
      <c r="C7608" s="3" t="s">
        <v>50</v>
      </c>
      <c r="D7608" s="5">
        <f t="shared" si="238"/>
        <v>28.83</v>
      </c>
      <c r="E7608">
        <v>31.65</v>
      </c>
      <c r="F7608" s="1789">
        <v>8.8999999999999996E-2</v>
      </c>
      <c r="G7608">
        <f t="shared" si="239"/>
        <v>28.83</v>
      </c>
    </row>
    <row r="7609" spans="1:7" ht="12.75" customHeight="1">
      <c r="A7609" s="3">
        <v>105038</v>
      </c>
      <c r="B7609" s="4" t="s">
        <v>7633</v>
      </c>
      <c r="C7609" s="3" t="s">
        <v>50</v>
      </c>
      <c r="D7609" s="5">
        <f t="shared" si="238"/>
        <v>58.97</v>
      </c>
      <c r="E7609">
        <v>64.739999999999995</v>
      </c>
      <c r="F7609" s="1789">
        <v>8.8999999999999996E-2</v>
      </c>
      <c r="G7609">
        <f t="shared" si="239"/>
        <v>58.97</v>
      </c>
    </row>
    <row r="7610" spans="1:7" ht="12.75" customHeight="1">
      <c r="A7610" s="3">
        <v>105039</v>
      </c>
      <c r="B7610" s="4" t="s">
        <v>7634</v>
      </c>
      <c r="C7610" s="3" t="s">
        <v>50</v>
      </c>
      <c r="D7610" s="5">
        <f t="shared" si="238"/>
        <v>42.43</v>
      </c>
      <c r="E7610">
        <v>46.58</v>
      </c>
      <c r="F7610" s="1789">
        <v>8.8999999999999996E-2</v>
      </c>
      <c r="G7610">
        <f t="shared" si="239"/>
        <v>42.43</v>
      </c>
    </row>
    <row r="7611" spans="1:7" ht="12.75" customHeight="1">
      <c r="A7611" s="3">
        <v>105040</v>
      </c>
      <c r="B7611" s="4" t="s">
        <v>7635</v>
      </c>
      <c r="C7611" s="3" t="s">
        <v>50</v>
      </c>
      <c r="D7611" s="5">
        <f t="shared" si="238"/>
        <v>28.69</v>
      </c>
      <c r="E7611">
        <v>31.5</v>
      </c>
      <c r="F7611" s="1789">
        <v>8.8999999999999996E-2</v>
      </c>
      <c r="G7611">
        <f t="shared" si="239"/>
        <v>28.69</v>
      </c>
    </row>
    <row r="7612" spans="1:7" ht="12.75" customHeight="1">
      <c r="A7612" s="3">
        <v>97733</v>
      </c>
      <c r="B7612" s="4" t="s">
        <v>7636</v>
      </c>
      <c r="C7612" s="3" t="s">
        <v>152</v>
      </c>
      <c r="D7612" s="5">
        <f t="shared" si="238"/>
        <v>3075.33</v>
      </c>
      <c r="E7612">
        <v>3375.78</v>
      </c>
      <c r="F7612" s="1789">
        <v>8.8999999999999996E-2</v>
      </c>
      <c r="G7612">
        <f t="shared" si="239"/>
        <v>3075.33</v>
      </c>
    </row>
    <row r="7613" spans="1:7" ht="12.75" customHeight="1">
      <c r="A7613" s="3">
        <v>97734</v>
      </c>
      <c r="B7613" s="4" t="s">
        <v>7637</v>
      </c>
      <c r="C7613" s="3" t="s">
        <v>152</v>
      </c>
      <c r="D7613" s="5">
        <f t="shared" si="238"/>
        <v>2684.14</v>
      </c>
      <c r="E7613">
        <v>2946.37</v>
      </c>
      <c r="F7613" s="1789">
        <v>8.8999999999999996E-2</v>
      </c>
      <c r="G7613">
        <f t="shared" si="239"/>
        <v>2684.14</v>
      </c>
    </row>
    <row r="7614" spans="1:7" ht="12.75" customHeight="1">
      <c r="A7614" s="3">
        <v>97735</v>
      </c>
      <c r="B7614" s="4" t="s">
        <v>7638</v>
      </c>
      <c r="C7614" s="3" t="s">
        <v>152</v>
      </c>
      <c r="D7614" s="5">
        <f t="shared" si="238"/>
        <v>2226.92</v>
      </c>
      <c r="E7614">
        <v>2444.48</v>
      </c>
      <c r="F7614" s="1789">
        <v>8.8999999999999996E-2</v>
      </c>
      <c r="G7614">
        <f t="shared" si="239"/>
        <v>2226.92</v>
      </c>
    </row>
    <row r="7615" spans="1:7" ht="12.75" customHeight="1">
      <c r="A7615" s="3">
        <v>97736</v>
      </c>
      <c r="B7615" s="4" t="s">
        <v>7639</v>
      </c>
      <c r="C7615" s="3" t="s">
        <v>152</v>
      </c>
      <c r="D7615" s="5">
        <f t="shared" si="238"/>
        <v>1423.98</v>
      </c>
      <c r="E7615">
        <v>1563.1</v>
      </c>
      <c r="F7615" s="1789">
        <v>8.8999999999999996E-2</v>
      </c>
      <c r="G7615">
        <f t="shared" si="239"/>
        <v>1423.98</v>
      </c>
    </row>
    <row r="7616" spans="1:7" ht="12.75" customHeight="1">
      <c r="A7616" s="3">
        <v>97737</v>
      </c>
      <c r="B7616" s="4" t="s">
        <v>7640</v>
      </c>
      <c r="C7616" s="3" t="s">
        <v>152</v>
      </c>
      <c r="D7616" s="5">
        <f t="shared" si="238"/>
        <v>2986.4</v>
      </c>
      <c r="E7616">
        <v>3278.16</v>
      </c>
      <c r="F7616" s="1789">
        <v>8.8999999999999996E-2</v>
      </c>
      <c r="G7616">
        <f t="shared" si="239"/>
        <v>2986.4</v>
      </c>
    </row>
    <row r="7617" spans="1:7" ht="12.75" customHeight="1">
      <c r="A7617" s="3">
        <v>97738</v>
      </c>
      <c r="B7617" s="4" t="s">
        <v>7641</v>
      </c>
      <c r="C7617" s="3" t="s">
        <v>152</v>
      </c>
      <c r="D7617" s="5">
        <f t="shared" si="238"/>
        <v>3763.09</v>
      </c>
      <c r="E7617">
        <v>4130.7299999999996</v>
      </c>
      <c r="F7617" s="1789">
        <v>8.8999999999999996E-2</v>
      </c>
      <c r="G7617">
        <f t="shared" si="239"/>
        <v>3763.09</v>
      </c>
    </row>
    <row r="7618" spans="1:7" ht="12.75" customHeight="1">
      <c r="A7618" s="3">
        <v>97739</v>
      </c>
      <c r="B7618" s="4" t="s">
        <v>7642</v>
      </c>
      <c r="C7618" s="3" t="s">
        <v>152</v>
      </c>
      <c r="D7618" s="5">
        <f t="shared" si="238"/>
        <v>2760.69</v>
      </c>
      <c r="E7618">
        <v>3030.4</v>
      </c>
      <c r="F7618" s="1789">
        <v>8.8999999999999996E-2</v>
      </c>
      <c r="G7618">
        <f t="shared" si="239"/>
        <v>2760.69</v>
      </c>
    </row>
    <row r="7619" spans="1:7" ht="12.75" customHeight="1">
      <c r="A7619" s="3">
        <v>97740</v>
      </c>
      <c r="B7619" s="4" t="s">
        <v>7643</v>
      </c>
      <c r="C7619" s="3" t="s">
        <v>152</v>
      </c>
      <c r="D7619" s="5">
        <f t="shared" si="238"/>
        <v>2044.38</v>
      </c>
      <c r="E7619">
        <v>2244.11</v>
      </c>
      <c r="F7619" s="1789">
        <v>8.8999999999999996E-2</v>
      </c>
      <c r="G7619">
        <f t="shared" si="239"/>
        <v>2044.38</v>
      </c>
    </row>
    <row r="7620" spans="1:7" ht="12.75" customHeight="1">
      <c r="A7620" s="3">
        <v>98615</v>
      </c>
      <c r="B7620" s="4" t="s">
        <v>7644</v>
      </c>
      <c r="C7620" s="3" t="s">
        <v>409</v>
      </c>
      <c r="D7620" s="5">
        <f t="shared" si="238"/>
        <v>160.63999999999999</v>
      </c>
      <c r="E7620">
        <v>176.34</v>
      </c>
      <c r="F7620" s="1789">
        <v>8.8999999999999996E-2</v>
      </c>
      <c r="G7620">
        <f t="shared" si="239"/>
        <v>160.63999999999999</v>
      </c>
    </row>
    <row r="7621" spans="1:7" ht="12.75" customHeight="1">
      <c r="A7621" s="3">
        <v>98616</v>
      </c>
      <c r="B7621" s="4" t="s">
        <v>7645</v>
      </c>
      <c r="C7621" s="3" t="s">
        <v>409</v>
      </c>
      <c r="D7621" s="5">
        <f t="shared" si="238"/>
        <v>130.69999999999999</v>
      </c>
      <c r="E7621">
        <v>143.47</v>
      </c>
      <c r="F7621" s="1789">
        <v>8.8999999999999996E-2</v>
      </c>
      <c r="G7621">
        <f t="shared" si="239"/>
        <v>130.69999999999999</v>
      </c>
    </row>
    <row r="7622" spans="1:7" ht="12.75" customHeight="1">
      <c r="A7622" s="3">
        <v>98617</v>
      </c>
      <c r="B7622" s="4" t="s">
        <v>7646</v>
      </c>
      <c r="C7622" s="3" t="s">
        <v>409</v>
      </c>
      <c r="D7622" s="5">
        <f t="shared" si="238"/>
        <v>122.62</v>
      </c>
      <c r="E7622">
        <v>134.6</v>
      </c>
      <c r="F7622" s="1789">
        <v>8.8999999999999996E-2</v>
      </c>
      <c r="G7622">
        <f t="shared" si="239"/>
        <v>122.62</v>
      </c>
    </row>
    <row r="7623" spans="1:7" ht="12.75" customHeight="1">
      <c r="A7623" s="3">
        <v>98618</v>
      </c>
      <c r="B7623" s="4" t="s">
        <v>7647</v>
      </c>
      <c r="C7623" s="3" t="s">
        <v>409</v>
      </c>
      <c r="D7623" s="5">
        <f t="shared" si="238"/>
        <v>167.42</v>
      </c>
      <c r="E7623">
        <v>183.78</v>
      </c>
      <c r="F7623" s="1789">
        <v>8.8999999999999996E-2</v>
      </c>
      <c r="G7623">
        <f t="shared" si="239"/>
        <v>167.42</v>
      </c>
    </row>
    <row r="7624" spans="1:7" ht="12.75" customHeight="1">
      <c r="A7624" s="3">
        <v>98619</v>
      </c>
      <c r="B7624" s="4" t="s">
        <v>7648</v>
      </c>
      <c r="C7624" s="3" t="s">
        <v>409</v>
      </c>
      <c r="D7624" s="5">
        <f t="shared" si="238"/>
        <v>155.13999999999999</v>
      </c>
      <c r="E7624">
        <v>170.3</v>
      </c>
      <c r="F7624" s="1789">
        <v>8.8999999999999996E-2</v>
      </c>
      <c r="G7624">
        <f t="shared" si="239"/>
        <v>155.13999999999999</v>
      </c>
    </row>
    <row r="7625" spans="1:7" ht="12.75" customHeight="1">
      <c r="A7625" s="3">
        <v>98620</v>
      </c>
      <c r="B7625" s="4" t="s">
        <v>7649</v>
      </c>
      <c r="C7625" s="3" t="s">
        <v>409</v>
      </c>
      <c r="D7625" s="5">
        <f t="shared" si="238"/>
        <v>148.94999999999999</v>
      </c>
      <c r="E7625">
        <v>163.51</v>
      </c>
      <c r="F7625" s="1789">
        <v>8.8999999999999996E-2</v>
      </c>
      <c r="G7625">
        <f t="shared" si="239"/>
        <v>148.94999999999999</v>
      </c>
    </row>
    <row r="7626" spans="1:7" ht="12.75" customHeight="1">
      <c r="A7626" s="3">
        <v>98621</v>
      </c>
      <c r="B7626" s="4" t="s">
        <v>7650</v>
      </c>
      <c r="C7626" s="3" t="s">
        <v>409</v>
      </c>
      <c r="D7626" s="5">
        <f t="shared" si="238"/>
        <v>193.39</v>
      </c>
      <c r="E7626">
        <v>212.29</v>
      </c>
      <c r="F7626" s="1789">
        <v>8.8999999999999996E-2</v>
      </c>
      <c r="G7626">
        <f t="shared" si="239"/>
        <v>193.39</v>
      </c>
    </row>
    <row r="7627" spans="1:7" ht="12.75" customHeight="1">
      <c r="A7627" s="3">
        <v>98622</v>
      </c>
      <c r="B7627" s="4" t="s">
        <v>7651</v>
      </c>
      <c r="C7627" s="3" t="s">
        <v>409</v>
      </c>
      <c r="D7627" s="5">
        <f t="shared" si="238"/>
        <v>183.51</v>
      </c>
      <c r="E7627">
        <v>201.44</v>
      </c>
      <c r="F7627" s="1789">
        <v>8.8999999999999996E-2</v>
      </c>
      <c r="G7627">
        <f t="shared" si="239"/>
        <v>183.51</v>
      </c>
    </row>
    <row r="7628" spans="1:7" ht="12.75" customHeight="1">
      <c r="A7628" s="3">
        <v>98623</v>
      </c>
      <c r="B7628" s="4" t="s">
        <v>7652</v>
      </c>
      <c r="C7628" s="3" t="s">
        <v>409</v>
      </c>
      <c r="D7628" s="5">
        <f t="shared" si="238"/>
        <v>178.44</v>
      </c>
      <c r="E7628">
        <v>195.88</v>
      </c>
      <c r="F7628" s="1789">
        <v>8.8999999999999996E-2</v>
      </c>
      <c r="G7628">
        <f t="shared" si="239"/>
        <v>178.44</v>
      </c>
    </row>
    <row r="7629" spans="1:7" ht="12.75" customHeight="1">
      <c r="A7629" s="3">
        <v>98624</v>
      </c>
      <c r="B7629" s="4" t="s">
        <v>7653</v>
      </c>
      <c r="C7629" s="3" t="s">
        <v>409</v>
      </c>
      <c r="D7629" s="5">
        <f t="shared" si="238"/>
        <v>220.98</v>
      </c>
      <c r="E7629">
        <v>242.57</v>
      </c>
      <c r="F7629" s="1789">
        <v>8.8999999999999996E-2</v>
      </c>
      <c r="G7629">
        <f t="shared" si="239"/>
        <v>220.98</v>
      </c>
    </row>
    <row r="7630" spans="1:7" ht="12.75" customHeight="1">
      <c r="A7630" s="3">
        <v>98625</v>
      </c>
      <c r="B7630" s="4" t="s">
        <v>7654</v>
      </c>
      <c r="C7630" s="3" t="s">
        <v>409</v>
      </c>
      <c r="D7630" s="5">
        <f t="shared" si="238"/>
        <v>212.6</v>
      </c>
      <c r="E7630">
        <v>233.37</v>
      </c>
      <c r="F7630" s="1789">
        <v>8.8999999999999996E-2</v>
      </c>
      <c r="G7630">
        <f t="shared" si="239"/>
        <v>212.6</v>
      </c>
    </row>
    <row r="7631" spans="1:7" ht="12.75" customHeight="1">
      <c r="A7631" s="3">
        <v>98626</v>
      </c>
      <c r="B7631" s="4" t="s">
        <v>7655</v>
      </c>
      <c r="C7631" s="3" t="s">
        <v>409</v>
      </c>
      <c r="D7631" s="5">
        <f t="shared" si="238"/>
        <v>208.24</v>
      </c>
      <c r="E7631">
        <v>228.59</v>
      </c>
      <c r="F7631" s="1789">
        <v>8.8999999999999996E-2</v>
      </c>
      <c r="G7631">
        <f t="shared" si="239"/>
        <v>208.24</v>
      </c>
    </row>
    <row r="7632" spans="1:7" ht="12.75" customHeight="1">
      <c r="A7632" s="3">
        <v>98655</v>
      </c>
      <c r="B7632" s="4" t="s">
        <v>7656</v>
      </c>
      <c r="C7632" s="3" t="s">
        <v>50</v>
      </c>
      <c r="D7632" s="5">
        <f t="shared" si="238"/>
        <v>664.64</v>
      </c>
      <c r="E7632">
        <v>729.58</v>
      </c>
      <c r="F7632" s="1789">
        <v>8.8999999999999996E-2</v>
      </c>
      <c r="G7632">
        <f t="shared" si="239"/>
        <v>664.64</v>
      </c>
    </row>
    <row r="7633" spans="1:7" ht="12.75" customHeight="1">
      <c r="A7633" s="3">
        <v>98656</v>
      </c>
      <c r="B7633" s="4" t="s">
        <v>7657</v>
      </c>
      <c r="C7633" s="3" t="s">
        <v>50</v>
      </c>
      <c r="D7633" s="5">
        <f t="shared" si="238"/>
        <v>676.39</v>
      </c>
      <c r="E7633">
        <v>742.48</v>
      </c>
      <c r="F7633" s="1789">
        <v>8.8999999999999996E-2</v>
      </c>
      <c r="G7633">
        <f t="shared" si="239"/>
        <v>676.39</v>
      </c>
    </row>
    <row r="7634" spans="1:7" ht="12.75" customHeight="1">
      <c r="A7634" s="3">
        <v>98657</v>
      </c>
      <c r="B7634" s="4" t="s">
        <v>7658</v>
      </c>
      <c r="C7634" s="3" t="s">
        <v>50</v>
      </c>
      <c r="D7634" s="5">
        <f t="shared" si="238"/>
        <v>688.16</v>
      </c>
      <c r="E7634">
        <v>755.4</v>
      </c>
      <c r="F7634" s="1789">
        <v>8.8999999999999996E-2</v>
      </c>
      <c r="G7634">
        <f t="shared" si="239"/>
        <v>688.16</v>
      </c>
    </row>
    <row r="7635" spans="1:7" ht="12.75" customHeight="1">
      <c r="A7635" s="3">
        <v>98658</v>
      </c>
      <c r="B7635" s="4" t="s">
        <v>7659</v>
      </c>
      <c r="C7635" s="3" t="s">
        <v>50</v>
      </c>
      <c r="D7635" s="5">
        <f t="shared" si="238"/>
        <v>699.93</v>
      </c>
      <c r="E7635">
        <v>768.31</v>
      </c>
      <c r="F7635" s="1789">
        <v>8.8999999999999996E-2</v>
      </c>
      <c r="G7635">
        <f t="shared" si="239"/>
        <v>699.93</v>
      </c>
    </row>
    <row r="7636" spans="1:7" ht="12.75" customHeight="1">
      <c r="A7636" s="3">
        <v>98659</v>
      </c>
      <c r="B7636" s="4" t="s">
        <v>7660</v>
      </c>
      <c r="C7636" s="3" t="s">
        <v>50</v>
      </c>
      <c r="D7636" s="5">
        <f t="shared" si="238"/>
        <v>723.44</v>
      </c>
      <c r="E7636">
        <v>794.12</v>
      </c>
      <c r="F7636" s="1789">
        <v>8.8999999999999996E-2</v>
      </c>
      <c r="G7636">
        <f t="shared" si="239"/>
        <v>723.44</v>
      </c>
    </row>
    <row r="7637" spans="1:7" ht="12.75" customHeight="1">
      <c r="A7637" s="3">
        <v>98746</v>
      </c>
      <c r="B7637" s="4" t="s">
        <v>7661</v>
      </c>
      <c r="C7637" s="3" t="s">
        <v>50</v>
      </c>
      <c r="D7637" s="5">
        <f t="shared" ref="D7637:D7700" si="240">G7637</f>
        <v>57.62</v>
      </c>
      <c r="E7637">
        <v>63.25</v>
      </c>
      <c r="F7637" s="1789">
        <v>8.8999999999999996E-2</v>
      </c>
      <c r="G7637">
        <f t="shared" ref="G7637:G7700" si="241">TRUNC((1-F7637)*E7637,2)</f>
        <v>57.62</v>
      </c>
    </row>
    <row r="7638" spans="1:7" ht="12.75" customHeight="1">
      <c r="A7638" s="3">
        <v>98749</v>
      </c>
      <c r="B7638" s="4" t="s">
        <v>7662</v>
      </c>
      <c r="C7638" s="3" t="s">
        <v>50</v>
      </c>
      <c r="D7638" s="5">
        <f t="shared" si="240"/>
        <v>69.3</v>
      </c>
      <c r="E7638">
        <v>76.08</v>
      </c>
      <c r="F7638" s="1789">
        <v>8.8999999999999996E-2</v>
      </c>
      <c r="G7638">
        <f t="shared" si="241"/>
        <v>69.3</v>
      </c>
    </row>
    <row r="7639" spans="1:7" ht="12.75" customHeight="1">
      <c r="A7639" s="3">
        <v>98750</v>
      </c>
      <c r="B7639" s="4" t="s">
        <v>7663</v>
      </c>
      <c r="C7639" s="3" t="s">
        <v>50</v>
      </c>
      <c r="D7639" s="5">
        <f t="shared" si="240"/>
        <v>83.49</v>
      </c>
      <c r="E7639">
        <v>91.65</v>
      </c>
      <c r="F7639" s="1789">
        <v>8.8999999999999996E-2</v>
      </c>
      <c r="G7639">
        <f t="shared" si="241"/>
        <v>83.49</v>
      </c>
    </row>
    <row r="7640" spans="1:7" ht="12.75" customHeight="1">
      <c r="A7640" s="3">
        <v>98751</v>
      </c>
      <c r="B7640" s="4" t="s">
        <v>7664</v>
      </c>
      <c r="C7640" s="3" t="s">
        <v>50</v>
      </c>
      <c r="D7640" s="5">
        <f t="shared" si="240"/>
        <v>120.54</v>
      </c>
      <c r="E7640">
        <v>132.32</v>
      </c>
      <c r="F7640" s="1789">
        <v>8.8999999999999996E-2</v>
      </c>
      <c r="G7640">
        <f t="shared" si="241"/>
        <v>120.54</v>
      </c>
    </row>
    <row r="7641" spans="1:7" ht="12.75" customHeight="1">
      <c r="A7641" s="3">
        <v>98752</v>
      </c>
      <c r="B7641" s="4" t="s">
        <v>7665</v>
      </c>
      <c r="C7641" s="3" t="s">
        <v>50</v>
      </c>
      <c r="D7641" s="5">
        <f t="shared" si="240"/>
        <v>165.21</v>
      </c>
      <c r="E7641">
        <v>181.36</v>
      </c>
      <c r="F7641" s="1789">
        <v>8.8999999999999996E-2</v>
      </c>
      <c r="G7641">
        <f t="shared" si="241"/>
        <v>165.21</v>
      </c>
    </row>
    <row r="7642" spans="1:7" ht="12.75" customHeight="1">
      <c r="A7642" s="3">
        <v>98753</v>
      </c>
      <c r="B7642" s="4" t="s">
        <v>7666</v>
      </c>
      <c r="C7642" s="3" t="s">
        <v>50</v>
      </c>
      <c r="D7642" s="5">
        <f t="shared" si="240"/>
        <v>220.82</v>
      </c>
      <c r="E7642">
        <v>242.4</v>
      </c>
      <c r="F7642" s="1789">
        <v>8.8999999999999996E-2</v>
      </c>
      <c r="G7642">
        <f t="shared" si="241"/>
        <v>220.82</v>
      </c>
    </row>
    <row r="7643" spans="1:7" ht="12.75" customHeight="1">
      <c r="A7643" s="3">
        <v>100763</v>
      </c>
      <c r="B7643" s="4" t="s">
        <v>7667</v>
      </c>
      <c r="C7643" s="3" t="s">
        <v>54</v>
      </c>
      <c r="D7643" s="5">
        <f t="shared" si="240"/>
        <v>14.24</v>
      </c>
      <c r="E7643">
        <v>15.64</v>
      </c>
      <c r="F7643" s="1789">
        <v>8.8999999999999996E-2</v>
      </c>
      <c r="G7643">
        <f t="shared" si="241"/>
        <v>14.24</v>
      </c>
    </row>
    <row r="7644" spans="1:7" ht="12.75" customHeight="1">
      <c r="A7644" s="3">
        <v>100764</v>
      </c>
      <c r="B7644" s="4" t="s">
        <v>7668</v>
      </c>
      <c r="C7644" s="3" t="s">
        <v>54</v>
      </c>
      <c r="D7644" s="5">
        <f t="shared" si="240"/>
        <v>13.99</v>
      </c>
      <c r="E7644">
        <v>15.36</v>
      </c>
      <c r="F7644" s="1789">
        <v>8.8999999999999996E-2</v>
      </c>
      <c r="G7644">
        <f t="shared" si="241"/>
        <v>13.99</v>
      </c>
    </row>
    <row r="7645" spans="1:7" ht="12.75" customHeight="1">
      <c r="A7645" s="3">
        <v>100765</v>
      </c>
      <c r="B7645" s="4" t="s">
        <v>7669</v>
      </c>
      <c r="C7645" s="3" t="s">
        <v>54</v>
      </c>
      <c r="D7645" s="5">
        <f t="shared" si="240"/>
        <v>12.7</v>
      </c>
      <c r="E7645">
        <v>13.95</v>
      </c>
      <c r="F7645" s="1789">
        <v>8.8999999999999996E-2</v>
      </c>
      <c r="G7645">
        <f t="shared" si="241"/>
        <v>12.7</v>
      </c>
    </row>
    <row r="7646" spans="1:7" ht="12.75" customHeight="1">
      <c r="A7646" s="3">
        <v>100766</v>
      </c>
      <c r="B7646" s="4" t="s">
        <v>7670</v>
      </c>
      <c r="C7646" s="3" t="s">
        <v>54</v>
      </c>
      <c r="D7646" s="5">
        <f t="shared" si="240"/>
        <v>12.84</v>
      </c>
      <c r="E7646">
        <v>14.1</v>
      </c>
      <c r="F7646" s="1789">
        <v>8.8999999999999996E-2</v>
      </c>
      <c r="G7646">
        <f t="shared" si="241"/>
        <v>12.84</v>
      </c>
    </row>
    <row r="7647" spans="1:7" ht="12.75" customHeight="1">
      <c r="A7647" s="3">
        <v>100767</v>
      </c>
      <c r="B7647" s="4" t="s">
        <v>7671</v>
      </c>
      <c r="C7647" s="3" t="s">
        <v>54</v>
      </c>
      <c r="D7647" s="5">
        <f t="shared" si="240"/>
        <v>14.7</v>
      </c>
      <c r="E7647">
        <v>16.14</v>
      </c>
      <c r="F7647" s="1789">
        <v>8.8999999999999996E-2</v>
      </c>
      <c r="G7647">
        <f t="shared" si="241"/>
        <v>14.7</v>
      </c>
    </row>
    <row r="7648" spans="1:7" ht="12.75" customHeight="1">
      <c r="A7648" s="3">
        <v>100768</v>
      </c>
      <c r="B7648" s="4" t="s">
        <v>7672</v>
      </c>
      <c r="C7648" s="3" t="s">
        <v>54</v>
      </c>
      <c r="D7648" s="5">
        <f t="shared" si="240"/>
        <v>14.01</v>
      </c>
      <c r="E7648">
        <v>15.38</v>
      </c>
      <c r="F7648" s="1789">
        <v>8.8999999999999996E-2</v>
      </c>
      <c r="G7648">
        <f t="shared" si="241"/>
        <v>14.01</v>
      </c>
    </row>
    <row r="7649" spans="1:7" ht="12.75" customHeight="1">
      <c r="A7649" s="3">
        <v>100769</v>
      </c>
      <c r="B7649" s="4" t="s">
        <v>7673</v>
      </c>
      <c r="C7649" s="3" t="s">
        <v>54</v>
      </c>
      <c r="D7649" s="5">
        <f t="shared" si="240"/>
        <v>20.25</v>
      </c>
      <c r="E7649">
        <v>22.23</v>
      </c>
      <c r="F7649" s="1789">
        <v>8.8999999999999996E-2</v>
      </c>
      <c r="G7649">
        <f t="shared" si="241"/>
        <v>20.25</v>
      </c>
    </row>
    <row r="7650" spans="1:7" ht="12.75" customHeight="1">
      <c r="A7650" s="3">
        <v>100770</v>
      </c>
      <c r="B7650" s="4" t="s">
        <v>7674</v>
      </c>
      <c r="C7650" s="3" t="s">
        <v>54</v>
      </c>
      <c r="D7650" s="5">
        <f t="shared" si="240"/>
        <v>19.329999999999998</v>
      </c>
      <c r="E7650">
        <v>21.22</v>
      </c>
      <c r="F7650" s="1789">
        <v>8.8999999999999996E-2</v>
      </c>
      <c r="G7650">
        <f t="shared" si="241"/>
        <v>19.329999999999998</v>
      </c>
    </row>
    <row r="7651" spans="1:7" ht="12.75" customHeight="1">
      <c r="A7651" s="3">
        <v>100771</v>
      </c>
      <c r="B7651" s="4" t="s">
        <v>7675</v>
      </c>
      <c r="C7651" s="3" t="s">
        <v>54</v>
      </c>
      <c r="D7651" s="5">
        <f t="shared" si="240"/>
        <v>14.96</v>
      </c>
      <c r="E7651">
        <v>16.43</v>
      </c>
      <c r="F7651" s="1789">
        <v>8.8999999999999996E-2</v>
      </c>
      <c r="G7651">
        <f t="shared" si="241"/>
        <v>14.96</v>
      </c>
    </row>
    <row r="7652" spans="1:7" ht="12.75" customHeight="1">
      <c r="A7652" s="3">
        <v>100772</v>
      </c>
      <c r="B7652" s="4" t="s">
        <v>7676</v>
      </c>
      <c r="C7652" s="3" t="s">
        <v>54</v>
      </c>
      <c r="D7652" s="5">
        <f t="shared" si="240"/>
        <v>14.17</v>
      </c>
      <c r="E7652">
        <v>15.56</v>
      </c>
      <c r="F7652" s="1789">
        <v>8.8999999999999996E-2</v>
      </c>
      <c r="G7652">
        <f t="shared" si="241"/>
        <v>14.17</v>
      </c>
    </row>
    <row r="7653" spans="1:7" ht="12.75" customHeight="1">
      <c r="A7653" s="3">
        <v>100773</v>
      </c>
      <c r="B7653" s="4" t="s">
        <v>7677</v>
      </c>
      <c r="C7653" s="3" t="s">
        <v>54</v>
      </c>
      <c r="D7653" s="5">
        <f t="shared" si="240"/>
        <v>17.29</v>
      </c>
      <c r="E7653">
        <v>18.989999999999998</v>
      </c>
      <c r="F7653" s="1789">
        <v>8.8999999999999996E-2</v>
      </c>
      <c r="G7653">
        <f t="shared" si="241"/>
        <v>17.29</v>
      </c>
    </row>
    <row r="7654" spans="1:7" ht="12.75" customHeight="1">
      <c r="A7654" s="3">
        <v>100774</v>
      </c>
      <c r="B7654" s="4" t="s">
        <v>7678</v>
      </c>
      <c r="C7654" s="3" t="s">
        <v>54</v>
      </c>
      <c r="D7654" s="5">
        <f t="shared" si="240"/>
        <v>10.29</v>
      </c>
      <c r="E7654">
        <v>11.3</v>
      </c>
      <c r="F7654" s="1789">
        <v>8.8999999999999996E-2</v>
      </c>
      <c r="G7654">
        <f t="shared" si="241"/>
        <v>10.29</v>
      </c>
    </row>
    <row r="7655" spans="1:7" ht="12.75" customHeight="1">
      <c r="A7655" s="3">
        <v>100775</v>
      </c>
      <c r="B7655" s="4" t="s">
        <v>7679</v>
      </c>
      <c r="C7655" s="3" t="s">
        <v>54</v>
      </c>
      <c r="D7655" s="5">
        <f t="shared" si="240"/>
        <v>11.58</v>
      </c>
      <c r="E7655">
        <v>12.72</v>
      </c>
      <c r="F7655" s="1789">
        <v>8.8999999999999996E-2</v>
      </c>
      <c r="G7655">
        <f t="shared" si="241"/>
        <v>11.58</v>
      </c>
    </row>
    <row r="7656" spans="1:7" ht="12.75" customHeight="1">
      <c r="A7656" s="3">
        <v>100776</v>
      </c>
      <c r="B7656" s="4" t="s">
        <v>7680</v>
      </c>
      <c r="C7656" s="3" t="s">
        <v>54</v>
      </c>
      <c r="D7656" s="5">
        <f t="shared" si="240"/>
        <v>17.399999999999999</v>
      </c>
      <c r="E7656">
        <v>19.11</v>
      </c>
      <c r="F7656" s="1789">
        <v>8.8999999999999996E-2</v>
      </c>
      <c r="G7656">
        <f t="shared" si="241"/>
        <v>17.399999999999999</v>
      </c>
    </row>
    <row r="7657" spans="1:7" ht="12.75" customHeight="1">
      <c r="A7657" s="3">
        <v>100777</v>
      </c>
      <c r="B7657" s="4" t="s">
        <v>7681</v>
      </c>
      <c r="C7657" s="3" t="s">
        <v>54</v>
      </c>
      <c r="D7657" s="5">
        <f t="shared" si="240"/>
        <v>10.25</v>
      </c>
      <c r="E7657">
        <v>11.26</v>
      </c>
      <c r="F7657" s="1789">
        <v>8.8999999999999996E-2</v>
      </c>
      <c r="G7657">
        <f t="shared" si="241"/>
        <v>10.25</v>
      </c>
    </row>
    <row r="7658" spans="1:7" ht="12.75" customHeight="1">
      <c r="A7658" s="3">
        <v>100778</v>
      </c>
      <c r="B7658" s="4" t="s">
        <v>7682</v>
      </c>
      <c r="C7658" s="3" t="s">
        <v>54</v>
      </c>
      <c r="D7658" s="5">
        <f t="shared" si="240"/>
        <v>11.55</v>
      </c>
      <c r="E7658">
        <v>12.68</v>
      </c>
      <c r="F7658" s="1789">
        <v>8.8999999999999996E-2</v>
      </c>
      <c r="G7658">
        <f t="shared" si="241"/>
        <v>11.55</v>
      </c>
    </row>
    <row r="7659" spans="1:7" ht="12.75" customHeight="1">
      <c r="A7659" s="3">
        <v>103795</v>
      </c>
      <c r="B7659" s="4" t="s">
        <v>7683</v>
      </c>
      <c r="C7659" s="3" t="s">
        <v>409</v>
      </c>
      <c r="D7659" s="5">
        <f t="shared" si="240"/>
        <v>86.23</v>
      </c>
      <c r="E7659">
        <v>94.66</v>
      </c>
      <c r="F7659" s="1789">
        <v>8.8999999999999996E-2</v>
      </c>
      <c r="G7659">
        <f t="shared" si="241"/>
        <v>86.23</v>
      </c>
    </row>
    <row r="7660" spans="1:7" ht="12.75" customHeight="1">
      <c r="A7660" s="3">
        <v>103796</v>
      </c>
      <c r="B7660" s="4" t="s">
        <v>7684</v>
      </c>
      <c r="C7660" s="3" t="s">
        <v>409</v>
      </c>
      <c r="D7660" s="5">
        <f t="shared" si="240"/>
        <v>65.3</v>
      </c>
      <c r="E7660">
        <v>71.680000000000007</v>
      </c>
      <c r="F7660" s="1789">
        <v>8.8999999999999996E-2</v>
      </c>
      <c r="G7660">
        <f t="shared" si="241"/>
        <v>65.3</v>
      </c>
    </row>
    <row r="7661" spans="1:7" ht="12.75" customHeight="1">
      <c r="A7661" s="3">
        <v>103797</v>
      </c>
      <c r="B7661" s="4" t="s">
        <v>7685</v>
      </c>
      <c r="C7661" s="3" t="s">
        <v>54</v>
      </c>
      <c r="D7661" s="5">
        <f t="shared" si="240"/>
        <v>15.45</v>
      </c>
      <c r="E7661">
        <v>16.96</v>
      </c>
      <c r="F7661" s="1789">
        <v>8.8999999999999996E-2</v>
      </c>
      <c r="G7661">
        <f t="shared" si="241"/>
        <v>15.45</v>
      </c>
    </row>
    <row r="7662" spans="1:7" ht="12.75" customHeight="1">
      <c r="A7662" s="3">
        <v>103798</v>
      </c>
      <c r="B7662" s="4" t="s">
        <v>7686</v>
      </c>
      <c r="C7662" s="3" t="s">
        <v>152</v>
      </c>
      <c r="D7662" s="5">
        <f t="shared" si="240"/>
        <v>786.32</v>
      </c>
      <c r="E7662">
        <v>863.14</v>
      </c>
      <c r="F7662" s="1789">
        <v>8.8999999999999996E-2</v>
      </c>
      <c r="G7662">
        <f t="shared" si="241"/>
        <v>786.32</v>
      </c>
    </row>
    <row r="7663" spans="1:7" ht="12.75" customHeight="1">
      <c r="A7663" s="3">
        <v>103799</v>
      </c>
      <c r="B7663" s="4" t="s">
        <v>7687</v>
      </c>
      <c r="C7663" s="3" t="s">
        <v>152</v>
      </c>
      <c r="D7663" s="5">
        <f t="shared" si="240"/>
        <v>436.82</v>
      </c>
      <c r="E7663">
        <v>479.5</v>
      </c>
      <c r="F7663" s="1789">
        <v>8.8999999999999996E-2</v>
      </c>
      <c r="G7663">
        <f t="shared" si="241"/>
        <v>436.82</v>
      </c>
    </row>
    <row r="7664" spans="1:7" ht="12.75" customHeight="1">
      <c r="A7664" s="3">
        <v>103800</v>
      </c>
      <c r="B7664" s="4" t="s">
        <v>7688</v>
      </c>
      <c r="C7664" s="3" t="s">
        <v>152</v>
      </c>
      <c r="D7664" s="5">
        <f t="shared" si="240"/>
        <v>511.36</v>
      </c>
      <c r="E7664">
        <v>561.32000000000005</v>
      </c>
      <c r="F7664" s="1789">
        <v>8.8999999999999996E-2</v>
      </c>
      <c r="G7664">
        <f t="shared" si="241"/>
        <v>511.36</v>
      </c>
    </row>
    <row r="7665" spans="1:7" ht="12.75" customHeight="1">
      <c r="A7665" s="3">
        <v>103801</v>
      </c>
      <c r="B7665" s="4" t="s">
        <v>7689</v>
      </c>
      <c r="C7665" s="3" t="s">
        <v>152</v>
      </c>
      <c r="D7665" s="5">
        <f t="shared" si="240"/>
        <v>641.08000000000004</v>
      </c>
      <c r="E7665">
        <v>703.72</v>
      </c>
      <c r="F7665" s="1789">
        <v>8.8999999999999996E-2</v>
      </c>
      <c r="G7665">
        <f t="shared" si="241"/>
        <v>641.08000000000004</v>
      </c>
    </row>
    <row r="7666" spans="1:7" ht="12.75" customHeight="1">
      <c r="A7666" s="3">
        <v>103925</v>
      </c>
      <c r="B7666" s="4" t="s">
        <v>7690</v>
      </c>
      <c r="C7666" s="3" t="s">
        <v>152</v>
      </c>
      <c r="D7666" s="5">
        <f t="shared" si="240"/>
        <v>1819.42</v>
      </c>
      <c r="E7666">
        <v>1997.17</v>
      </c>
      <c r="F7666" s="1789">
        <v>8.8999999999999996E-2</v>
      </c>
      <c r="G7666">
        <f t="shared" si="241"/>
        <v>1819.42</v>
      </c>
    </row>
    <row r="7667" spans="1:7" ht="12.75" customHeight="1">
      <c r="A7667" s="3">
        <v>103926</v>
      </c>
      <c r="B7667" s="4" t="s">
        <v>7691</v>
      </c>
      <c r="C7667" s="3" t="s">
        <v>152</v>
      </c>
      <c r="D7667" s="5">
        <f t="shared" si="240"/>
        <v>1498.55</v>
      </c>
      <c r="E7667">
        <v>1644.96</v>
      </c>
      <c r="F7667" s="1789">
        <v>8.8999999999999996E-2</v>
      </c>
      <c r="G7667">
        <f t="shared" si="241"/>
        <v>1498.55</v>
      </c>
    </row>
    <row r="7668" spans="1:7" ht="12.75" customHeight="1">
      <c r="A7668" s="3">
        <v>103928</v>
      </c>
      <c r="B7668" s="4" t="s">
        <v>7692</v>
      </c>
      <c r="C7668" s="3" t="s">
        <v>152</v>
      </c>
      <c r="D7668" s="5">
        <f t="shared" si="240"/>
        <v>511.36</v>
      </c>
      <c r="E7668">
        <v>561.32000000000005</v>
      </c>
      <c r="F7668" s="1789">
        <v>8.8999999999999996E-2</v>
      </c>
      <c r="G7668">
        <f t="shared" si="241"/>
        <v>511.36</v>
      </c>
    </row>
    <row r="7669" spans="1:7" ht="12.75" customHeight="1">
      <c r="A7669" s="3">
        <v>103929</v>
      </c>
      <c r="B7669" s="4" t="s">
        <v>7693</v>
      </c>
      <c r="C7669" s="3" t="s">
        <v>152</v>
      </c>
      <c r="D7669" s="5">
        <f t="shared" si="240"/>
        <v>1294.1500000000001</v>
      </c>
      <c r="E7669">
        <v>1420.59</v>
      </c>
      <c r="F7669" s="1789">
        <v>8.8999999999999996E-2</v>
      </c>
      <c r="G7669">
        <f t="shared" si="241"/>
        <v>1294.1500000000001</v>
      </c>
    </row>
    <row r="7670" spans="1:7" ht="12.75" customHeight="1">
      <c r="A7670" s="3">
        <v>103930</v>
      </c>
      <c r="B7670" s="4" t="s">
        <v>7694</v>
      </c>
      <c r="C7670" s="3" t="s">
        <v>152</v>
      </c>
      <c r="D7670" s="5">
        <f t="shared" si="240"/>
        <v>800.3</v>
      </c>
      <c r="E7670">
        <v>878.49</v>
      </c>
      <c r="F7670" s="1789">
        <v>8.8999999999999996E-2</v>
      </c>
      <c r="G7670">
        <f t="shared" si="241"/>
        <v>800.3</v>
      </c>
    </row>
    <row r="7671" spans="1:7" ht="12.75" customHeight="1">
      <c r="A7671" s="3">
        <v>103931</v>
      </c>
      <c r="B7671" s="4" t="s">
        <v>7695</v>
      </c>
      <c r="C7671" s="3" t="s">
        <v>152</v>
      </c>
      <c r="D7671" s="5">
        <f t="shared" si="240"/>
        <v>583.29</v>
      </c>
      <c r="E7671">
        <v>640.28</v>
      </c>
      <c r="F7671" s="1789">
        <v>8.8999999999999996E-2</v>
      </c>
      <c r="G7671">
        <f t="shared" si="241"/>
        <v>583.29</v>
      </c>
    </row>
    <row r="7672" spans="1:7" ht="12.75" customHeight="1">
      <c r="A7672" s="3">
        <v>103932</v>
      </c>
      <c r="B7672" s="4" t="s">
        <v>7696</v>
      </c>
      <c r="C7672" s="3" t="s">
        <v>152</v>
      </c>
      <c r="D7672" s="5">
        <f t="shared" si="240"/>
        <v>551.5</v>
      </c>
      <c r="E7672">
        <v>605.38</v>
      </c>
      <c r="F7672" s="1789">
        <v>8.8999999999999996E-2</v>
      </c>
      <c r="G7672">
        <f t="shared" si="241"/>
        <v>551.5</v>
      </c>
    </row>
    <row r="7673" spans="1:7" ht="12.75" customHeight="1">
      <c r="A7673" s="3">
        <v>103933</v>
      </c>
      <c r="B7673" s="4" t="s">
        <v>7697</v>
      </c>
      <c r="C7673" s="3" t="s">
        <v>152</v>
      </c>
      <c r="D7673" s="5">
        <f t="shared" si="240"/>
        <v>1698.74</v>
      </c>
      <c r="E7673">
        <v>1864.7</v>
      </c>
      <c r="F7673" s="1789">
        <v>8.8999999999999996E-2</v>
      </c>
      <c r="G7673">
        <f t="shared" si="241"/>
        <v>1698.74</v>
      </c>
    </row>
    <row r="7674" spans="1:7" ht="12.75" customHeight="1">
      <c r="A7674" s="3">
        <v>105041</v>
      </c>
      <c r="B7674" s="4" t="s">
        <v>7698</v>
      </c>
      <c r="C7674" s="3" t="s">
        <v>50</v>
      </c>
      <c r="D7674" s="5">
        <f t="shared" si="240"/>
        <v>52.51</v>
      </c>
      <c r="E7674">
        <v>57.64</v>
      </c>
      <c r="F7674" s="1789">
        <v>8.8999999999999996E-2</v>
      </c>
      <c r="G7674">
        <f t="shared" si="241"/>
        <v>52.51</v>
      </c>
    </row>
    <row r="7675" spans="1:7" ht="12.75" customHeight="1">
      <c r="A7675" s="3">
        <v>105042</v>
      </c>
      <c r="B7675" s="4" t="s">
        <v>7699</v>
      </c>
      <c r="C7675" s="3" t="s">
        <v>50</v>
      </c>
      <c r="D7675" s="5">
        <f t="shared" si="240"/>
        <v>64.69</v>
      </c>
      <c r="E7675">
        <v>71.010000000000005</v>
      </c>
      <c r="F7675" s="1789">
        <v>8.8999999999999996E-2</v>
      </c>
      <c r="G7675">
        <f t="shared" si="241"/>
        <v>64.69</v>
      </c>
    </row>
    <row r="7676" spans="1:7" ht="12.75" customHeight="1">
      <c r="A7676" s="3">
        <v>105045</v>
      </c>
      <c r="B7676" s="4" t="s">
        <v>7700</v>
      </c>
      <c r="C7676" s="3" t="s">
        <v>50</v>
      </c>
      <c r="D7676" s="5">
        <f t="shared" si="240"/>
        <v>61.72</v>
      </c>
      <c r="E7676">
        <v>67.75</v>
      </c>
      <c r="F7676" s="1789">
        <v>8.8999999999999996E-2</v>
      </c>
      <c r="G7676">
        <f t="shared" si="241"/>
        <v>61.72</v>
      </c>
    </row>
    <row r="7677" spans="1:7" ht="12.75" customHeight="1">
      <c r="A7677" s="3">
        <v>105046</v>
      </c>
      <c r="B7677" s="4" t="s">
        <v>7701</v>
      </c>
      <c r="C7677" s="3" t="s">
        <v>50</v>
      </c>
      <c r="D7677" s="5">
        <f t="shared" si="240"/>
        <v>55.88</v>
      </c>
      <c r="E7677">
        <v>61.34</v>
      </c>
      <c r="F7677" s="1789">
        <v>8.8999999999999996E-2</v>
      </c>
      <c r="G7677">
        <f t="shared" si="241"/>
        <v>55.88</v>
      </c>
    </row>
    <row r="7678" spans="1:7" ht="12.75" customHeight="1">
      <c r="A7678" s="3">
        <v>105050</v>
      </c>
      <c r="B7678" s="4" t="s">
        <v>7702</v>
      </c>
      <c r="C7678" s="3" t="s">
        <v>50</v>
      </c>
      <c r="D7678" s="5">
        <f t="shared" si="240"/>
        <v>215.37</v>
      </c>
      <c r="E7678">
        <v>236.42</v>
      </c>
      <c r="F7678" s="1789">
        <v>8.8999999999999996E-2</v>
      </c>
      <c r="G7678">
        <f t="shared" si="241"/>
        <v>215.37</v>
      </c>
    </row>
    <row r="7679" spans="1:7" ht="12.75" customHeight="1">
      <c r="A7679" s="3">
        <v>105053</v>
      </c>
      <c r="B7679" s="4" t="s">
        <v>7703</v>
      </c>
      <c r="C7679" s="3" t="s">
        <v>50</v>
      </c>
      <c r="D7679" s="5">
        <f t="shared" si="240"/>
        <v>206.67</v>
      </c>
      <c r="E7679">
        <v>226.87</v>
      </c>
      <c r="F7679" s="1789">
        <v>8.8999999999999996E-2</v>
      </c>
      <c r="G7679">
        <f t="shared" si="241"/>
        <v>206.67</v>
      </c>
    </row>
    <row r="7680" spans="1:7" ht="12.75" customHeight="1">
      <c r="A7680" s="3">
        <v>105056</v>
      </c>
      <c r="B7680" s="4" t="s">
        <v>7704</v>
      </c>
      <c r="C7680" s="3" t="s">
        <v>50</v>
      </c>
      <c r="D7680" s="5">
        <f t="shared" si="240"/>
        <v>300.2</v>
      </c>
      <c r="E7680">
        <v>329.53</v>
      </c>
      <c r="F7680" s="1789">
        <v>8.8999999999999996E-2</v>
      </c>
      <c r="G7680">
        <f t="shared" si="241"/>
        <v>300.2</v>
      </c>
    </row>
    <row r="7681" spans="1:7" ht="12.75" customHeight="1">
      <c r="A7681" s="3">
        <v>105058</v>
      </c>
      <c r="B7681" s="4" t="s">
        <v>7705</v>
      </c>
      <c r="C7681" s="3" t="s">
        <v>50</v>
      </c>
      <c r="D7681" s="5">
        <f t="shared" si="240"/>
        <v>292.08</v>
      </c>
      <c r="E7681">
        <v>320.62</v>
      </c>
      <c r="F7681" s="1789">
        <v>8.8999999999999996E-2</v>
      </c>
      <c r="G7681">
        <f t="shared" si="241"/>
        <v>292.08</v>
      </c>
    </row>
    <row r="7682" spans="1:7" ht="12.75" customHeight="1">
      <c r="A7682" s="3">
        <v>105061</v>
      </c>
      <c r="B7682" s="4" t="s">
        <v>7706</v>
      </c>
      <c r="C7682" s="3" t="s">
        <v>50</v>
      </c>
      <c r="D7682" s="5">
        <f t="shared" si="240"/>
        <v>79.52</v>
      </c>
      <c r="E7682">
        <v>87.29</v>
      </c>
      <c r="F7682" s="1789">
        <v>8.8999999999999996E-2</v>
      </c>
      <c r="G7682">
        <f t="shared" si="241"/>
        <v>79.52</v>
      </c>
    </row>
    <row r="7683" spans="1:7" ht="12.75" customHeight="1">
      <c r="A7683" s="3">
        <v>105064</v>
      </c>
      <c r="B7683" s="4" t="s">
        <v>7707</v>
      </c>
      <c r="C7683" s="3" t="s">
        <v>50</v>
      </c>
      <c r="D7683" s="5">
        <f t="shared" si="240"/>
        <v>68.36</v>
      </c>
      <c r="E7683">
        <v>75.040000000000006</v>
      </c>
      <c r="F7683" s="1789">
        <v>8.8999999999999996E-2</v>
      </c>
      <c r="G7683">
        <f t="shared" si="241"/>
        <v>68.36</v>
      </c>
    </row>
    <row r="7684" spans="1:7" ht="12.75" customHeight="1">
      <c r="A7684" s="3">
        <v>105068</v>
      </c>
      <c r="B7684" s="4" t="s">
        <v>7708</v>
      </c>
      <c r="C7684" s="3" t="s">
        <v>50</v>
      </c>
      <c r="D7684" s="5">
        <f t="shared" si="240"/>
        <v>129.74</v>
      </c>
      <c r="E7684">
        <v>142.41999999999999</v>
      </c>
      <c r="F7684" s="1789">
        <v>8.8999999999999996E-2</v>
      </c>
      <c r="G7684">
        <f t="shared" si="241"/>
        <v>129.74</v>
      </c>
    </row>
    <row r="7685" spans="1:7" ht="12.75" customHeight="1">
      <c r="A7685" s="3">
        <v>105071</v>
      </c>
      <c r="B7685" s="4" t="s">
        <v>7709</v>
      </c>
      <c r="C7685" s="3" t="s">
        <v>50</v>
      </c>
      <c r="D7685" s="5">
        <f t="shared" si="240"/>
        <v>118.59</v>
      </c>
      <c r="E7685">
        <v>130.18</v>
      </c>
      <c r="F7685" s="1789">
        <v>8.8999999999999996E-2</v>
      </c>
      <c r="G7685">
        <f t="shared" si="241"/>
        <v>118.59</v>
      </c>
    </row>
    <row r="7686" spans="1:7" ht="12.75" customHeight="1">
      <c r="A7686" s="3">
        <v>105074</v>
      </c>
      <c r="B7686" s="4" t="s">
        <v>7710</v>
      </c>
      <c r="C7686" s="3" t="s">
        <v>50</v>
      </c>
      <c r="D7686" s="5">
        <f t="shared" si="240"/>
        <v>200.03</v>
      </c>
      <c r="E7686">
        <v>219.58</v>
      </c>
      <c r="F7686" s="1789">
        <v>8.8999999999999996E-2</v>
      </c>
      <c r="G7686">
        <f t="shared" si="241"/>
        <v>200.03</v>
      </c>
    </row>
    <row r="7687" spans="1:7" ht="12.75" customHeight="1">
      <c r="A7687" s="3">
        <v>105077</v>
      </c>
      <c r="B7687" s="4" t="s">
        <v>7711</v>
      </c>
      <c r="C7687" s="3" t="s">
        <v>50</v>
      </c>
      <c r="D7687" s="5">
        <f t="shared" si="240"/>
        <v>188.93</v>
      </c>
      <c r="E7687">
        <v>207.39</v>
      </c>
      <c r="F7687" s="1789">
        <v>8.8999999999999996E-2</v>
      </c>
      <c r="G7687">
        <f t="shared" si="241"/>
        <v>188.93</v>
      </c>
    </row>
    <row r="7688" spans="1:7" ht="12.75" customHeight="1">
      <c r="A7688" s="3">
        <v>105080</v>
      </c>
      <c r="B7688" s="4" t="s">
        <v>7712</v>
      </c>
      <c r="C7688" s="3" t="s">
        <v>50</v>
      </c>
      <c r="D7688" s="5">
        <f t="shared" si="240"/>
        <v>52.99</v>
      </c>
      <c r="E7688">
        <v>58.17</v>
      </c>
      <c r="F7688" s="1789">
        <v>8.8999999999999996E-2</v>
      </c>
      <c r="G7688">
        <f t="shared" si="241"/>
        <v>52.99</v>
      </c>
    </row>
    <row r="7689" spans="1:7" ht="12.75" customHeight="1">
      <c r="A7689" s="3">
        <v>105081</v>
      </c>
      <c r="B7689" s="4" t="s">
        <v>7713</v>
      </c>
      <c r="C7689" s="3" t="s">
        <v>50</v>
      </c>
      <c r="D7689" s="5">
        <f t="shared" si="240"/>
        <v>60.96</v>
      </c>
      <c r="E7689">
        <v>66.92</v>
      </c>
      <c r="F7689" s="1789">
        <v>8.8999999999999996E-2</v>
      </c>
      <c r="G7689">
        <f t="shared" si="241"/>
        <v>60.96</v>
      </c>
    </row>
    <row r="7690" spans="1:7" ht="12.75" customHeight="1">
      <c r="A7690" s="3">
        <v>105082</v>
      </c>
      <c r="B7690" s="4" t="s">
        <v>7714</v>
      </c>
      <c r="C7690" s="3" t="s">
        <v>50</v>
      </c>
      <c r="D7690" s="5">
        <f t="shared" si="240"/>
        <v>55.14</v>
      </c>
      <c r="E7690">
        <v>60.53</v>
      </c>
      <c r="F7690" s="1789">
        <v>8.8999999999999996E-2</v>
      </c>
      <c r="G7690">
        <f t="shared" si="241"/>
        <v>55.14</v>
      </c>
    </row>
    <row r="7691" spans="1:7" ht="12.75" customHeight="1">
      <c r="A7691" s="3">
        <v>105083</v>
      </c>
      <c r="B7691" s="4" t="s">
        <v>7715</v>
      </c>
      <c r="C7691" s="3" t="s">
        <v>50</v>
      </c>
      <c r="D7691" s="5">
        <f t="shared" si="240"/>
        <v>61.94</v>
      </c>
      <c r="E7691">
        <v>68</v>
      </c>
      <c r="F7691" s="1789">
        <v>8.8999999999999996E-2</v>
      </c>
      <c r="G7691">
        <f t="shared" si="241"/>
        <v>61.94</v>
      </c>
    </row>
    <row r="7692" spans="1:7" ht="12.75" customHeight="1">
      <c r="A7692" s="3">
        <v>105084</v>
      </c>
      <c r="B7692" s="4" t="s">
        <v>7716</v>
      </c>
      <c r="C7692" s="3" t="s">
        <v>50</v>
      </c>
      <c r="D7692" s="5">
        <f t="shared" si="240"/>
        <v>76.36</v>
      </c>
      <c r="E7692">
        <v>83.82</v>
      </c>
      <c r="F7692" s="1789">
        <v>8.8999999999999996E-2</v>
      </c>
      <c r="G7692">
        <f t="shared" si="241"/>
        <v>76.36</v>
      </c>
    </row>
    <row r="7693" spans="1:7" ht="12.75" customHeight="1">
      <c r="A7693" s="3">
        <v>105085</v>
      </c>
      <c r="B7693" s="4" t="s">
        <v>7717</v>
      </c>
      <c r="C7693" s="3" t="s">
        <v>50</v>
      </c>
      <c r="D7693" s="5">
        <f t="shared" si="240"/>
        <v>79.709999999999994</v>
      </c>
      <c r="E7693">
        <v>87.5</v>
      </c>
      <c r="F7693" s="1789">
        <v>8.8999999999999996E-2</v>
      </c>
      <c r="G7693">
        <f t="shared" si="241"/>
        <v>79.709999999999994</v>
      </c>
    </row>
    <row r="7694" spans="1:7" ht="12.75" customHeight="1">
      <c r="A7694" s="3">
        <v>105086</v>
      </c>
      <c r="B7694" s="4" t="s">
        <v>7718</v>
      </c>
      <c r="C7694" s="3" t="s">
        <v>50</v>
      </c>
      <c r="D7694" s="5">
        <f t="shared" si="240"/>
        <v>71.13</v>
      </c>
      <c r="E7694">
        <v>78.09</v>
      </c>
      <c r="F7694" s="1789">
        <v>8.8999999999999996E-2</v>
      </c>
      <c r="G7694">
        <f t="shared" si="241"/>
        <v>71.13</v>
      </c>
    </row>
    <row r="7695" spans="1:7" ht="12.75" customHeight="1">
      <c r="A7695" s="3">
        <v>105087</v>
      </c>
      <c r="B7695" s="4" t="s">
        <v>7719</v>
      </c>
      <c r="C7695" s="3" t="s">
        <v>50</v>
      </c>
      <c r="D7695" s="5">
        <f t="shared" si="240"/>
        <v>79.64</v>
      </c>
      <c r="E7695">
        <v>87.43</v>
      </c>
      <c r="F7695" s="1789">
        <v>8.8999999999999996E-2</v>
      </c>
      <c r="G7695">
        <f t="shared" si="241"/>
        <v>79.64</v>
      </c>
    </row>
    <row r="7696" spans="1:7" ht="12.75" customHeight="1">
      <c r="A7696" s="3">
        <v>105088</v>
      </c>
      <c r="B7696" s="4" t="s">
        <v>7720</v>
      </c>
      <c r="C7696" s="3" t="s">
        <v>50</v>
      </c>
      <c r="D7696" s="5">
        <f t="shared" si="240"/>
        <v>142.07</v>
      </c>
      <c r="E7696">
        <v>155.94999999999999</v>
      </c>
      <c r="F7696" s="1789">
        <v>8.8999999999999996E-2</v>
      </c>
      <c r="G7696">
        <f t="shared" si="241"/>
        <v>142.07</v>
      </c>
    </row>
    <row r="7697" spans="1:7" ht="12.75" customHeight="1">
      <c r="A7697" s="3">
        <v>105089</v>
      </c>
      <c r="B7697" s="4" t="s">
        <v>7721</v>
      </c>
      <c r="C7697" s="3" t="s">
        <v>50</v>
      </c>
      <c r="D7697" s="5">
        <f t="shared" si="240"/>
        <v>131.31</v>
      </c>
      <c r="E7697">
        <v>144.13999999999999</v>
      </c>
      <c r="F7697" s="1789">
        <v>8.8999999999999996E-2</v>
      </c>
      <c r="G7697">
        <f t="shared" si="241"/>
        <v>131.31</v>
      </c>
    </row>
    <row r="7698" spans="1:7" ht="12.75" customHeight="1">
      <c r="A7698" s="3">
        <v>105090</v>
      </c>
      <c r="B7698" s="4" t="s">
        <v>7722</v>
      </c>
      <c r="C7698" s="3" t="s">
        <v>409</v>
      </c>
      <c r="D7698" s="5">
        <f t="shared" si="240"/>
        <v>423.05</v>
      </c>
      <c r="E7698">
        <v>464.38</v>
      </c>
      <c r="F7698" s="1789">
        <v>8.8999999999999996E-2</v>
      </c>
      <c r="G7698">
        <f t="shared" si="241"/>
        <v>423.05</v>
      </c>
    </row>
    <row r="7699" spans="1:7" ht="12.75" customHeight="1">
      <c r="A7699" s="3">
        <v>105091</v>
      </c>
      <c r="B7699" s="4" t="s">
        <v>7723</v>
      </c>
      <c r="C7699" s="3" t="s">
        <v>50</v>
      </c>
      <c r="D7699" s="5">
        <f t="shared" si="240"/>
        <v>104.55</v>
      </c>
      <c r="E7699">
        <v>114.77</v>
      </c>
      <c r="F7699" s="1789">
        <v>8.8999999999999996E-2</v>
      </c>
      <c r="G7699">
        <f t="shared" si="241"/>
        <v>104.55</v>
      </c>
    </row>
    <row r="7700" spans="1:7" ht="12.75" customHeight="1">
      <c r="A7700" s="3">
        <v>105092</v>
      </c>
      <c r="B7700" s="4" t="s">
        <v>7724</v>
      </c>
      <c r="C7700" s="3" t="s">
        <v>50</v>
      </c>
      <c r="D7700" s="5">
        <f t="shared" si="240"/>
        <v>113.52</v>
      </c>
      <c r="E7700">
        <v>124.62</v>
      </c>
      <c r="F7700" s="1789">
        <v>8.8999999999999996E-2</v>
      </c>
      <c r="G7700">
        <f t="shared" si="241"/>
        <v>113.52</v>
      </c>
    </row>
    <row r="7701" spans="1:7" ht="12.75" customHeight="1">
      <c r="A7701" s="3">
        <v>105093</v>
      </c>
      <c r="B7701" s="4" t="s">
        <v>7725</v>
      </c>
      <c r="C7701" s="3" t="s">
        <v>50</v>
      </c>
      <c r="D7701" s="5">
        <f t="shared" ref="D7701:D7764" si="242">G7701</f>
        <v>115.18</v>
      </c>
      <c r="E7701">
        <v>126.44</v>
      </c>
      <c r="F7701" s="1789">
        <v>8.8999999999999996E-2</v>
      </c>
      <c r="G7701">
        <f t="shared" ref="G7701:G7764" si="243">TRUNC((1-F7701)*E7701,2)</f>
        <v>115.18</v>
      </c>
    </row>
    <row r="7702" spans="1:7" ht="12.75" customHeight="1">
      <c r="A7702" s="3">
        <v>105095</v>
      </c>
      <c r="B7702" s="4" t="s">
        <v>7726</v>
      </c>
      <c r="C7702" s="3" t="s">
        <v>50</v>
      </c>
      <c r="D7702" s="5">
        <f t="shared" si="242"/>
        <v>99.97</v>
      </c>
      <c r="E7702">
        <v>109.74</v>
      </c>
      <c r="F7702" s="1789">
        <v>8.8999999999999996E-2</v>
      </c>
      <c r="G7702">
        <f t="shared" si="243"/>
        <v>99.97</v>
      </c>
    </row>
    <row r="7703" spans="1:7" ht="12.75" customHeight="1">
      <c r="A7703" s="3">
        <v>105098</v>
      </c>
      <c r="B7703" s="4" t="s">
        <v>7727</v>
      </c>
      <c r="C7703" s="3" t="s">
        <v>50</v>
      </c>
      <c r="D7703" s="5">
        <f t="shared" si="242"/>
        <v>91.18</v>
      </c>
      <c r="E7703">
        <v>100.09</v>
      </c>
      <c r="F7703" s="1789">
        <v>8.8999999999999996E-2</v>
      </c>
      <c r="G7703">
        <f t="shared" si="243"/>
        <v>91.18</v>
      </c>
    </row>
    <row r="7704" spans="1:7" ht="12.75" customHeight="1">
      <c r="A7704" s="3">
        <v>105099</v>
      </c>
      <c r="B7704" s="4" t="s">
        <v>7728</v>
      </c>
      <c r="C7704" s="3" t="s">
        <v>50</v>
      </c>
      <c r="D7704" s="5">
        <f t="shared" si="242"/>
        <v>75.84</v>
      </c>
      <c r="E7704">
        <v>83.25</v>
      </c>
      <c r="F7704" s="1789">
        <v>8.8999999999999996E-2</v>
      </c>
      <c r="G7704">
        <f t="shared" si="243"/>
        <v>75.84</v>
      </c>
    </row>
    <row r="7705" spans="1:7" ht="12.75" customHeight="1">
      <c r="A7705" s="3">
        <v>105100</v>
      </c>
      <c r="B7705" s="4" t="s">
        <v>7729</v>
      </c>
      <c r="C7705" s="3" t="s">
        <v>50</v>
      </c>
      <c r="D7705" s="5">
        <f t="shared" si="242"/>
        <v>113.4</v>
      </c>
      <c r="E7705">
        <v>124.48</v>
      </c>
      <c r="F7705" s="1789">
        <v>8.8999999999999996E-2</v>
      </c>
      <c r="G7705">
        <f t="shared" si="243"/>
        <v>113.4</v>
      </c>
    </row>
    <row r="7706" spans="1:7" ht="12.75" customHeight="1">
      <c r="A7706" s="3">
        <v>105101</v>
      </c>
      <c r="B7706" s="4" t="s">
        <v>7730</v>
      </c>
      <c r="C7706" s="3" t="s">
        <v>50</v>
      </c>
      <c r="D7706" s="5">
        <f t="shared" si="242"/>
        <v>233.58</v>
      </c>
      <c r="E7706">
        <v>256.39999999999998</v>
      </c>
      <c r="F7706" s="1789">
        <v>8.8999999999999996E-2</v>
      </c>
      <c r="G7706">
        <f t="shared" si="243"/>
        <v>233.58</v>
      </c>
    </row>
    <row r="7707" spans="1:7" ht="12.75" customHeight="1">
      <c r="A7707" s="3">
        <v>105102</v>
      </c>
      <c r="B7707" s="4" t="s">
        <v>7731</v>
      </c>
      <c r="C7707" s="3" t="s">
        <v>50</v>
      </c>
      <c r="D7707" s="5">
        <f t="shared" si="242"/>
        <v>324.62</v>
      </c>
      <c r="E7707">
        <v>356.34</v>
      </c>
      <c r="F7707" s="1789">
        <v>8.8999999999999996E-2</v>
      </c>
      <c r="G7707">
        <f t="shared" si="243"/>
        <v>324.62</v>
      </c>
    </row>
    <row r="7708" spans="1:7" ht="12.75" customHeight="1">
      <c r="A7708" s="3">
        <v>98562</v>
      </c>
      <c r="B7708" s="4" t="s">
        <v>7732</v>
      </c>
      <c r="C7708" s="3" t="s">
        <v>409</v>
      </c>
      <c r="D7708" s="5">
        <f t="shared" si="242"/>
        <v>43.62</v>
      </c>
      <c r="E7708">
        <v>47.89</v>
      </c>
      <c r="F7708" s="1789">
        <v>8.8999999999999996E-2</v>
      </c>
      <c r="G7708">
        <f t="shared" si="243"/>
        <v>43.62</v>
      </c>
    </row>
    <row r="7709" spans="1:7" ht="12.75" customHeight="1">
      <c r="A7709" s="3">
        <v>98555</v>
      </c>
      <c r="B7709" s="4" t="s">
        <v>7733</v>
      </c>
      <c r="C7709" s="3" t="s">
        <v>409</v>
      </c>
      <c r="D7709" s="5">
        <f t="shared" si="242"/>
        <v>26.66</v>
      </c>
      <c r="E7709">
        <v>29.27</v>
      </c>
      <c r="F7709" s="1789">
        <v>8.8999999999999996E-2</v>
      </c>
      <c r="G7709">
        <f t="shared" si="243"/>
        <v>26.66</v>
      </c>
    </row>
    <row r="7710" spans="1:7" ht="12.75" customHeight="1">
      <c r="A7710" s="3">
        <v>98556</v>
      </c>
      <c r="B7710" s="4" t="s">
        <v>7734</v>
      </c>
      <c r="C7710" s="3" t="s">
        <v>409</v>
      </c>
      <c r="D7710" s="5">
        <f t="shared" si="242"/>
        <v>50.13</v>
      </c>
      <c r="E7710">
        <v>55.03</v>
      </c>
      <c r="F7710" s="1789">
        <v>8.8999999999999996E-2</v>
      </c>
      <c r="G7710">
        <f t="shared" si="243"/>
        <v>50.13</v>
      </c>
    </row>
    <row r="7711" spans="1:7" ht="12.75" customHeight="1">
      <c r="A7711" s="3">
        <v>98558</v>
      </c>
      <c r="B7711" s="4" t="s">
        <v>7735</v>
      </c>
      <c r="C7711" s="3" t="s">
        <v>6</v>
      </c>
      <c r="D7711" s="5">
        <f t="shared" si="242"/>
        <v>8.48</v>
      </c>
      <c r="E7711">
        <v>9.31</v>
      </c>
      <c r="F7711" s="1789">
        <v>8.8999999999999996E-2</v>
      </c>
      <c r="G7711">
        <f t="shared" si="243"/>
        <v>8.48</v>
      </c>
    </row>
    <row r="7712" spans="1:7" ht="12.75" customHeight="1">
      <c r="A7712" s="3">
        <v>98559</v>
      </c>
      <c r="B7712" s="4" t="s">
        <v>7736</v>
      </c>
      <c r="C7712" s="3" t="s">
        <v>50</v>
      </c>
      <c r="D7712" s="5">
        <f t="shared" si="242"/>
        <v>4.49</v>
      </c>
      <c r="E7712">
        <v>4.93</v>
      </c>
      <c r="F7712" s="1789">
        <v>8.8999999999999996E-2</v>
      </c>
      <c r="G7712">
        <f t="shared" si="243"/>
        <v>4.49</v>
      </c>
    </row>
    <row r="7713" spans="1:7" ht="12.75" customHeight="1">
      <c r="A7713" s="3">
        <v>98546</v>
      </c>
      <c r="B7713" s="4" t="s">
        <v>7737</v>
      </c>
      <c r="C7713" s="3" t="s">
        <v>409</v>
      </c>
      <c r="D7713" s="5">
        <f t="shared" si="242"/>
        <v>123.62</v>
      </c>
      <c r="E7713">
        <v>135.69999999999999</v>
      </c>
      <c r="F7713" s="1789">
        <v>8.8999999999999996E-2</v>
      </c>
      <c r="G7713">
        <f t="shared" si="243"/>
        <v>123.62</v>
      </c>
    </row>
    <row r="7714" spans="1:7" ht="12.75" customHeight="1">
      <c r="A7714" s="3">
        <v>98547</v>
      </c>
      <c r="B7714" s="4" t="s">
        <v>7738</v>
      </c>
      <c r="C7714" s="3" t="s">
        <v>409</v>
      </c>
      <c r="D7714" s="5">
        <f t="shared" si="242"/>
        <v>203.13</v>
      </c>
      <c r="E7714">
        <v>222.98</v>
      </c>
      <c r="F7714" s="1789">
        <v>8.8999999999999996E-2</v>
      </c>
      <c r="G7714">
        <f t="shared" si="243"/>
        <v>203.13</v>
      </c>
    </row>
    <row r="7715" spans="1:7" ht="12.75" customHeight="1">
      <c r="A7715" s="3">
        <v>98553</v>
      </c>
      <c r="B7715" s="4" t="s">
        <v>7739</v>
      </c>
      <c r="C7715" s="3" t="s">
        <v>409</v>
      </c>
      <c r="D7715" s="5">
        <f t="shared" si="242"/>
        <v>159.87</v>
      </c>
      <c r="E7715">
        <v>175.49</v>
      </c>
      <c r="F7715" s="1789">
        <v>8.8999999999999996E-2</v>
      </c>
      <c r="G7715">
        <f t="shared" si="243"/>
        <v>159.87</v>
      </c>
    </row>
    <row r="7716" spans="1:7" ht="12.75" customHeight="1">
      <c r="A7716" s="3">
        <v>98554</v>
      </c>
      <c r="B7716" s="4" t="s">
        <v>7740</v>
      </c>
      <c r="C7716" s="3" t="s">
        <v>409</v>
      </c>
      <c r="D7716" s="5">
        <f t="shared" si="242"/>
        <v>42.06</v>
      </c>
      <c r="E7716">
        <v>46.17</v>
      </c>
      <c r="F7716" s="1789">
        <v>8.8999999999999996E-2</v>
      </c>
      <c r="G7716">
        <f t="shared" si="243"/>
        <v>42.06</v>
      </c>
    </row>
    <row r="7717" spans="1:7" ht="12.75" customHeight="1">
      <c r="A7717" s="3">
        <v>98557</v>
      </c>
      <c r="B7717" s="4" t="s">
        <v>7741</v>
      </c>
      <c r="C7717" s="3" t="s">
        <v>409</v>
      </c>
      <c r="D7717" s="5">
        <f t="shared" si="242"/>
        <v>38.9</v>
      </c>
      <c r="E7717">
        <v>42.71</v>
      </c>
      <c r="F7717" s="1789">
        <v>8.8999999999999996E-2</v>
      </c>
      <c r="G7717">
        <f t="shared" si="243"/>
        <v>38.9</v>
      </c>
    </row>
    <row r="7718" spans="1:7" ht="12.75" customHeight="1">
      <c r="A7718" s="3">
        <v>98563</v>
      </c>
      <c r="B7718" s="4" t="s">
        <v>7742</v>
      </c>
      <c r="C7718" s="3" t="s">
        <v>409</v>
      </c>
      <c r="D7718" s="5">
        <f t="shared" si="242"/>
        <v>34.42</v>
      </c>
      <c r="E7718">
        <v>37.79</v>
      </c>
      <c r="F7718" s="1789">
        <v>8.8999999999999996E-2</v>
      </c>
      <c r="G7718">
        <f t="shared" si="243"/>
        <v>34.42</v>
      </c>
    </row>
    <row r="7719" spans="1:7" ht="12.75" customHeight="1">
      <c r="A7719" s="3">
        <v>98564</v>
      </c>
      <c r="B7719" s="4" t="s">
        <v>7743</v>
      </c>
      <c r="C7719" s="3" t="s">
        <v>409</v>
      </c>
      <c r="D7719" s="5">
        <f t="shared" si="242"/>
        <v>45.79</v>
      </c>
      <c r="E7719">
        <v>50.27</v>
      </c>
      <c r="F7719" s="1789">
        <v>8.8999999999999996E-2</v>
      </c>
      <c r="G7719">
        <f t="shared" si="243"/>
        <v>45.79</v>
      </c>
    </row>
    <row r="7720" spans="1:7" ht="12.75" customHeight="1">
      <c r="A7720" s="3">
        <v>98565</v>
      </c>
      <c r="B7720" s="4" t="s">
        <v>7744</v>
      </c>
      <c r="C7720" s="3" t="s">
        <v>409</v>
      </c>
      <c r="D7720" s="5">
        <f t="shared" si="242"/>
        <v>48.81</v>
      </c>
      <c r="E7720">
        <v>53.58</v>
      </c>
      <c r="F7720" s="1789">
        <v>8.8999999999999996E-2</v>
      </c>
      <c r="G7720">
        <f t="shared" si="243"/>
        <v>48.81</v>
      </c>
    </row>
    <row r="7721" spans="1:7" ht="12.75" customHeight="1">
      <c r="A7721" s="3">
        <v>98566</v>
      </c>
      <c r="B7721" s="4" t="s">
        <v>7745</v>
      </c>
      <c r="C7721" s="3" t="s">
        <v>409</v>
      </c>
      <c r="D7721" s="5">
        <f t="shared" si="242"/>
        <v>60.18</v>
      </c>
      <c r="E7721">
        <v>66.06</v>
      </c>
      <c r="F7721" s="1789">
        <v>8.8999999999999996E-2</v>
      </c>
      <c r="G7721">
        <f t="shared" si="243"/>
        <v>60.18</v>
      </c>
    </row>
    <row r="7722" spans="1:7" ht="12.75" customHeight="1">
      <c r="A7722" s="3">
        <v>98567</v>
      </c>
      <c r="B7722" s="4" t="s">
        <v>7746</v>
      </c>
      <c r="C7722" s="3" t="s">
        <v>409</v>
      </c>
      <c r="D7722" s="5">
        <f t="shared" si="242"/>
        <v>62.43</v>
      </c>
      <c r="E7722">
        <v>68.53</v>
      </c>
      <c r="F7722" s="1789">
        <v>8.8999999999999996E-2</v>
      </c>
      <c r="G7722">
        <f t="shared" si="243"/>
        <v>62.43</v>
      </c>
    </row>
    <row r="7723" spans="1:7" ht="12.75" customHeight="1">
      <c r="A7723" s="3">
        <v>98568</v>
      </c>
      <c r="B7723" s="4" t="s">
        <v>7747</v>
      </c>
      <c r="C7723" s="3" t="s">
        <v>409</v>
      </c>
      <c r="D7723" s="5">
        <f t="shared" si="242"/>
        <v>73.8</v>
      </c>
      <c r="E7723">
        <v>81.010000000000005</v>
      </c>
      <c r="F7723" s="1789">
        <v>8.8999999999999996E-2</v>
      </c>
      <c r="G7723">
        <f t="shared" si="243"/>
        <v>73.8</v>
      </c>
    </row>
    <row r="7724" spans="1:7" ht="12.75" customHeight="1">
      <c r="A7724" s="3">
        <v>98569</v>
      </c>
      <c r="B7724" s="4" t="s">
        <v>7748</v>
      </c>
      <c r="C7724" s="3" t="s">
        <v>409</v>
      </c>
      <c r="D7724" s="5">
        <f t="shared" si="242"/>
        <v>76.83</v>
      </c>
      <c r="E7724">
        <v>84.34</v>
      </c>
      <c r="F7724" s="1789">
        <v>8.8999999999999996E-2</v>
      </c>
      <c r="G7724">
        <f t="shared" si="243"/>
        <v>76.83</v>
      </c>
    </row>
    <row r="7725" spans="1:7" ht="12.75" customHeight="1">
      <c r="A7725" s="3">
        <v>98570</v>
      </c>
      <c r="B7725" s="4" t="s">
        <v>7749</v>
      </c>
      <c r="C7725" s="3" t="s">
        <v>409</v>
      </c>
      <c r="D7725" s="5">
        <f t="shared" si="242"/>
        <v>88.2</v>
      </c>
      <c r="E7725">
        <v>96.82</v>
      </c>
      <c r="F7725" s="1789">
        <v>8.8999999999999996E-2</v>
      </c>
      <c r="G7725">
        <f t="shared" si="243"/>
        <v>88.2</v>
      </c>
    </row>
    <row r="7726" spans="1:7" ht="12.75" customHeight="1">
      <c r="A7726" s="3">
        <v>98571</v>
      </c>
      <c r="B7726" s="4" t="s">
        <v>7750</v>
      </c>
      <c r="C7726" s="3" t="s">
        <v>409</v>
      </c>
      <c r="D7726" s="5">
        <f t="shared" si="242"/>
        <v>46.53</v>
      </c>
      <c r="E7726">
        <v>51.08</v>
      </c>
      <c r="F7726" s="1789">
        <v>8.8999999999999996E-2</v>
      </c>
      <c r="G7726">
        <f t="shared" si="243"/>
        <v>46.53</v>
      </c>
    </row>
    <row r="7727" spans="1:7" ht="12.75" customHeight="1">
      <c r="A7727" s="3">
        <v>98572</v>
      </c>
      <c r="B7727" s="4" t="s">
        <v>7751</v>
      </c>
      <c r="C7727" s="3" t="s">
        <v>409</v>
      </c>
      <c r="D7727" s="5">
        <f t="shared" si="242"/>
        <v>57</v>
      </c>
      <c r="E7727">
        <v>62.57</v>
      </c>
      <c r="F7727" s="1789">
        <v>8.8999999999999996E-2</v>
      </c>
      <c r="G7727">
        <f t="shared" si="243"/>
        <v>57</v>
      </c>
    </row>
    <row r="7728" spans="1:7" ht="12.75" customHeight="1">
      <c r="A7728" s="3">
        <v>98573</v>
      </c>
      <c r="B7728" s="4" t="s">
        <v>7752</v>
      </c>
      <c r="C7728" s="3" t="s">
        <v>409</v>
      </c>
      <c r="D7728" s="5">
        <f t="shared" si="242"/>
        <v>67.88</v>
      </c>
      <c r="E7728">
        <v>74.52</v>
      </c>
      <c r="F7728" s="1789">
        <v>8.8999999999999996E-2</v>
      </c>
      <c r="G7728">
        <f t="shared" si="243"/>
        <v>67.88</v>
      </c>
    </row>
    <row r="7729" spans="1:7" ht="12.75" customHeight="1">
      <c r="A7729" s="3">
        <v>91831</v>
      </c>
      <c r="B7729" s="4" t="s">
        <v>7753</v>
      </c>
      <c r="C7729" s="3" t="s">
        <v>50</v>
      </c>
      <c r="D7729" s="5">
        <f t="shared" si="242"/>
        <v>15.07</v>
      </c>
      <c r="E7729">
        <v>16.55</v>
      </c>
      <c r="F7729" s="1789">
        <v>8.8999999999999996E-2</v>
      </c>
      <c r="G7729">
        <f t="shared" si="243"/>
        <v>15.07</v>
      </c>
    </row>
    <row r="7730" spans="1:7" ht="12.75" customHeight="1">
      <c r="A7730" s="3">
        <v>91833</v>
      </c>
      <c r="B7730" s="4" t="s">
        <v>7754</v>
      </c>
      <c r="C7730" s="3" t="s">
        <v>50</v>
      </c>
      <c r="D7730" s="5">
        <f t="shared" si="242"/>
        <v>15.61</v>
      </c>
      <c r="E7730">
        <v>17.14</v>
      </c>
      <c r="F7730" s="1789">
        <v>8.8999999999999996E-2</v>
      </c>
      <c r="G7730">
        <f t="shared" si="243"/>
        <v>15.61</v>
      </c>
    </row>
    <row r="7731" spans="1:7" ht="12.75" customHeight="1">
      <c r="A7731" s="3">
        <v>91834</v>
      </c>
      <c r="B7731" s="4" t="s">
        <v>7755</v>
      </c>
      <c r="C7731" s="3" t="s">
        <v>50</v>
      </c>
      <c r="D7731" s="5">
        <f t="shared" si="242"/>
        <v>15.76</v>
      </c>
      <c r="E7731">
        <v>17.3</v>
      </c>
      <c r="F7731" s="1789">
        <v>8.8999999999999996E-2</v>
      </c>
      <c r="G7731">
        <f t="shared" si="243"/>
        <v>15.76</v>
      </c>
    </row>
    <row r="7732" spans="1:7" ht="12.75" customHeight="1">
      <c r="A7732" s="3">
        <v>91835</v>
      </c>
      <c r="B7732" s="4" t="s">
        <v>7756</v>
      </c>
      <c r="C7732" s="3" t="s">
        <v>50</v>
      </c>
      <c r="D7732" s="5">
        <f t="shared" si="242"/>
        <v>17.149999999999999</v>
      </c>
      <c r="E7732">
        <v>18.829999999999998</v>
      </c>
      <c r="F7732" s="1789">
        <v>8.8999999999999996E-2</v>
      </c>
      <c r="G7732">
        <f t="shared" si="243"/>
        <v>17.149999999999999</v>
      </c>
    </row>
    <row r="7733" spans="1:7" ht="12.75" customHeight="1">
      <c r="A7733" s="3">
        <v>91836</v>
      </c>
      <c r="B7733" s="4" t="s">
        <v>7757</v>
      </c>
      <c r="C7733" s="3" t="s">
        <v>50</v>
      </c>
      <c r="D7733" s="5">
        <f t="shared" si="242"/>
        <v>18.28</v>
      </c>
      <c r="E7733">
        <v>20.07</v>
      </c>
      <c r="F7733" s="1789">
        <v>8.8999999999999996E-2</v>
      </c>
      <c r="G7733">
        <f t="shared" si="243"/>
        <v>18.28</v>
      </c>
    </row>
    <row r="7734" spans="1:7" ht="12.75" customHeight="1">
      <c r="A7734" s="3">
        <v>91837</v>
      </c>
      <c r="B7734" s="4" t="s">
        <v>7758</v>
      </c>
      <c r="C7734" s="3" t="s">
        <v>50</v>
      </c>
      <c r="D7734" s="5">
        <f t="shared" si="242"/>
        <v>21.52</v>
      </c>
      <c r="E7734">
        <v>23.63</v>
      </c>
      <c r="F7734" s="1789">
        <v>8.8999999999999996E-2</v>
      </c>
      <c r="G7734">
        <f t="shared" si="243"/>
        <v>21.52</v>
      </c>
    </row>
    <row r="7735" spans="1:7" ht="12.75" customHeight="1">
      <c r="A7735" s="3">
        <v>91839</v>
      </c>
      <c r="B7735" s="4" t="s">
        <v>7759</v>
      </c>
      <c r="C7735" s="3" t="s">
        <v>50</v>
      </c>
      <c r="D7735" s="5">
        <f t="shared" si="242"/>
        <v>16.14</v>
      </c>
      <c r="E7735">
        <v>17.72</v>
      </c>
      <c r="F7735" s="1789">
        <v>8.8999999999999996E-2</v>
      </c>
      <c r="G7735">
        <f t="shared" si="243"/>
        <v>16.14</v>
      </c>
    </row>
    <row r="7736" spans="1:7" ht="12.75" customHeight="1">
      <c r="A7736" s="3">
        <v>91840</v>
      </c>
      <c r="B7736" s="4" t="s">
        <v>7760</v>
      </c>
      <c r="C7736" s="3" t="s">
        <v>50</v>
      </c>
      <c r="D7736" s="5">
        <f t="shared" si="242"/>
        <v>18.18</v>
      </c>
      <c r="E7736">
        <v>19.96</v>
      </c>
      <c r="F7736" s="1789">
        <v>8.8999999999999996E-2</v>
      </c>
      <c r="G7736">
        <f t="shared" si="243"/>
        <v>18.18</v>
      </c>
    </row>
    <row r="7737" spans="1:7" ht="12.75" customHeight="1">
      <c r="A7737" s="3">
        <v>91841</v>
      </c>
      <c r="B7737" s="4" t="s">
        <v>7761</v>
      </c>
      <c r="C7737" s="3" t="s">
        <v>50</v>
      </c>
      <c r="D7737" s="5">
        <f t="shared" si="242"/>
        <v>17.61</v>
      </c>
      <c r="E7737">
        <v>19.34</v>
      </c>
      <c r="F7737" s="1789">
        <v>8.8999999999999996E-2</v>
      </c>
      <c r="G7737">
        <f t="shared" si="243"/>
        <v>17.61</v>
      </c>
    </row>
    <row r="7738" spans="1:7" ht="12.75" customHeight="1">
      <c r="A7738" s="3">
        <v>91843</v>
      </c>
      <c r="B7738" s="4" t="s">
        <v>7762</v>
      </c>
      <c r="C7738" s="3" t="s">
        <v>50</v>
      </c>
      <c r="D7738" s="5">
        <f t="shared" si="242"/>
        <v>5.7</v>
      </c>
      <c r="E7738">
        <v>6.26</v>
      </c>
      <c r="F7738" s="1789">
        <v>8.8999999999999996E-2</v>
      </c>
      <c r="G7738">
        <f t="shared" si="243"/>
        <v>5.7</v>
      </c>
    </row>
    <row r="7739" spans="1:7" ht="12.75" customHeight="1">
      <c r="A7739" s="3">
        <v>91845</v>
      </c>
      <c r="B7739" s="4" t="s">
        <v>7763</v>
      </c>
      <c r="C7739" s="3" t="s">
        <v>50</v>
      </c>
      <c r="D7739" s="5">
        <f t="shared" si="242"/>
        <v>7.21</v>
      </c>
      <c r="E7739">
        <v>7.92</v>
      </c>
      <c r="F7739" s="1789">
        <v>8.8999999999999996E-2</v>
      </c>
      <c r="G7739">
        <f t="shared" si="243"/>
        <v>7.21</v>
      </c>
    </row>
    <row r="7740" spans="1:7" ht="12.75" customHeight="1">
      <c r="A7740" s="3">
        <v>91847</v>
      </c>
      <c r="B7740" s="4" t="s">
        <v>7764</v>
      </c>
      <c r="C7740" s="3" t="s">
        <v>50</v>
      </c>
      <c r="D7740" s="5">
        <f t="shared" si="242"/>
        <v>11.62</v>
      </c>
      <c r="E7740">
        <v>12.76</v>
      </c>
      <c r="F7740" s="1789">
        <v>8.8999999999999996E-2</v>
      </c>
      <c r="G7740">
        <f t="shared" si="243"/>
        <v>11.62</v>
      </c>
    </row>
    <row r="7741" spans="1:7" ht="12.75" customHeight="1">
      <c r="A7741" s="3">
        <v>91849</v>
      </c>
      <c r="B7741" s="4" t="s">
        <v>7765</v>
      </c>
      <c r="C7741" s="3" t="s">
        <v>50</v>
      </c>
      <c r="D7741" s="5">
        <f t="shared" si="242"/>
        <v>6.24</v>
      </c>
      <c r="E7741">
        <v>6.85</v>
      </c>
      <c r="F7741" s="1789">
        <v>8.8999999999999996E-2</v>
      </c>
      <c r="G7741">
        <f t="shared" si="243"/>
        <v>6.24</v>
      </c>
    </row>
    <row r="7742" spans="1:7" ht="12.75" customHeight="1">
      <c r="A7742" s="3">
        <v>91850</v>
      </c>
      <c r="B7742" s="4" t="s">
        <v>7766</v>
      </c>
      <c r="C7742" s="3" t="s">
        <v>50</v>
      </c>
      <c r="D7742" s="5">
        <f t="shared" si="242"/>
        <v>8.24</v>
      </c>
      <c r="E7742">
        <v>9.0500000000000007</v>
      </c>
      <c r="F7742" s="1789">
        <v>8.8999999999999996E-2</v>
      </c>
      <c r="G7742">
        <f t="shared" si="243"/>
        <v>8.24</v>
      </c>
    </row>
    <row r="7743" spans="1:7" ht="12.75" customHeight="1">
      <c r="A7743" s="3">
        <v>91851</v>
      </c>
      <c r="B7743" s="4" t="s">
        <v>7767</v>
      </c>
      <c r="C7743" s="3" t="s">
        <v>50</v>
      </c>
      <c r="D7743" s="5">
        <f t="shared" si="242"/>
        <v>7.67</v>
      </c>
      <c r="E7743">
        <v>8.43</v>
      </c>
      <c r="F7743" s="1789">
        <v>8.8999999999999996E-2</v>
      </c>
      <c r="G7743">
        <f t="shared" si="243"/>
        <v>7.67</v>
      </c>
    </row>
    <row r="7744" spans="1:7" ht="12.75" customHeight="1">
      <c r="A7744" s="3">
        <v>91852</v>
      </c>
      <c r="B7744" s="4" t="s">
        <v>7768</v>
      </c>
      <c r="C7744" s="3" t="s">
        <v>50</v>
      </c>
      <c r="D7744" s="5">
        <f t="shared" si="242"/>
        <v>7.75</v>
      </c>
      <c r="E7744">
        <v>8.51</v>
      </c>
      <c r="F7744" s="1789">
        <v>8.8999999999999996E-2</v>
      </c>
      <c r="G7744">
        <f t="shared" si="243"/>
        <v>7.75</v>
      </c>
    </row>
    <row r="7745" spans="1:7" ht="12.75" customHeight="1">
      <c r="A7745" s="3">
        <v>91853</v>
      </c>
      <c r="B7745" s="4" t="s">
        <v>7769</v>
      </c>
      <c r="C7745" s="3" t="s">
        <v>50</v>
      </c>
      <c r="D7745" s="5">
        <f t="shared" si="242"/>
        <v>8.25</v>
      </c>
      <c r="E7745">
        <v>9.06</v>
      </c>
      <c r="F7745" s="1789">
        <v>8.8999999999999996E-2</v>
      </c>
      <c r="G7745">
        <f t="shared" si="243"/>
        <v>8.25</v>
      </c>
    </row>
    <row r="7746" spans="1:7" ht="12.75" customHeight="1">
      <c r="A7746" s="3">
        <v>91854</v>
      </c>
      <c r="B7746" s="4" t="s">
        <v>7770</v>
      </c>
      <c r="C7746" s="3" t="s">
        <v>50</v>
      </c>
      <c r="D7746" s="5">
        <f t="shared" si="242"/>
        <v>8.3800000000000008</v>
      </c>
      <c r="E7746">
        <v>9.1999999999999993</v>
      </c>
      <c r="F7746" s="1789">
        <v>8.8999999999999996E-2</v>
      </c>
      <c r="G7746">
        <f t="shared" si="243"/>
        <v>8.3800000000000008</v>
      </c>
    </row>
    <row r="7747" spans="1:7" ht="12.75" customHeight="1">
      <c r="A7747" s="3">
        <v>91855</v>
      </c>
      <c r="B7747" s="4" t="s">
        <v>7771</v>
      </c>
      <c r="C7747" s="3" t="s">
        <v>50</v>
      </c>
      <c r="D7747" s="5">
        <f t="shared" si="242"/>
        <v>9.66</v>
      </c>
      <c r="E7747">
        <v>10.61</v>
      </c>
      <c r="F7747" s="1789">
        <v>8.8999999999999996E-2</v>
      </c>
      <c r="G7747">
        <f t="shared" si="243"/>
        <v>9.66</v>
      </c>
    </row>
    <row r="7748" spans="1:7" ht="12.75" customHeight="1">
      <c r="A7748" s="3">
        <v>91856</v>
      </c>
      <c r="B7748" s="4" t="s">
        <v>7772</v>
      </c>
      <c r="C7748" s="3" t="s">
        <v>50</v>
      </c>
      <c r="D7748" s="5">
        <f t="shared" si="242"/>
        <v>10.79</v>
      </c>
      <c r="E7748">
        <v>11.85</v>
      </c>
      <c r="F7748" s="1789">
        <v>8.8999999999999996E-2</v>
      </c>
      <c r="G7748">
        <f t="shared" si="243"/>
        <v>10.79</v>
      </c>
    </row>
    <row r="7749" spans="1:7" ht="12.75" customHeight="1">
      <c r="A7749" s="3">
        <v>91857</v>
      </c>
      <c r="B7749" s="4" t="s">
        <v>7773</v>
      </c>
      <c r="C7749" s="3" t="s">
        <v>50</v>
      </c>
      <c r="D7749" s="5">
        <f t="shared" si="242"/>
        <v>13.8</v>
      </c>
      <c r="E7749">
        <v>15.15</v>
      </c>
      <c r="F7749" s="1789">
        <v>8.8999999999999996E-2</v>
      </c>
      <c r="G7749">
        <f t="shared" si="243"/>
        <v>13.8</v>
      </c>
    </row>
    <row r="7750" spans="1:7" ht="12.75" customHeight="1">
      <c r="A7750" s="3">
        <v>91859</v>
      </c>
      <c r="B7750" s="4" t="s">
        <v>7774</v>
      </c>
      <c r="C7750" s="3" t="s">
        <v>50</v>
      </c>
      <c r="D7750" s="5">
        <f t="shared" si="242"/>
        <v>8.81</v>
      </c>
      <c r="E7750">
        <v>9.68</v>
      </c>
      <c r="F7750" s="1789">
        <v>8.8999999999999996E-2</v>
      </c>
      <c r="G7750">
        <f t="shared" si="243"/>
        <v>8.81</v>
      </c>
    </row>
    <row r="7751" spans="1:7" ht="12.75" customHeight="1">
      <c r="A7751" s="3">
        <v>91860</v>
      </c>
      <c r="B7751" s="4" t="s">
        <v>7775</v>
      </c>
      <c r="C7751" s="3" t="s">
        <v>50</v>
      </c>
      <c r="D7751" s="5">
        <f t="shared" si="242"/>
        <v>10.71</v>
      </c>
      <c r="E7751">
        <v>11.76</v>
      </c>
      <c r="F7751" s="1789">
        <v>8.8999999999999996E-2</v>
      </c>
      <c r="G7751">
        <f t="shared" si="243"/>
        <v>10.71</v>
      </c>
    </row>
    <row r="7752" spans="1:7" ht="12.75" customHeight="1">
      <c r="A7752" s="3">
        <v>91861</v>
      </c>
      <c r="B7752" s="4" t="s">
        <v>7776</v>
      </c>
      <c r="C7752" s="3" t="s">
        <v>50</v>
      </c>
      <c r="D7752" s="5">
        <f t="shared" si="242"/>
        <v>10.19</v>
      </c>
      <c r="E7752">
        <v>11.19</v>
      </c>
      <c r="F7752" s="1789">
        <v>8.8999999999999996E-2</v>
      </c>
      <c r="G7752">
        <f t="shared" si="243"/>
        <v>10.19</v>
      </c>
    </row>
    <row r="7753" spans="1:7" ht="12.75" customHeight="1">
      <c r="A7753" s="3">
        <v>91862</v>
      </c>
      <c r="B7753" s="4" t="s">
        <v>7777</v>
      </c>
      <c r="C7753" s="3" t="s">
        <v>50</v>
      </c>
      <c r="D7753" s="5">
        <f t="shared" si="242"/>
        <v>8.39</v>
      </c>
      <c r="E7753">
        <v>9.2100000000000009</v>
      </c>
      <c r="F7753" s="1789">
        <v>8.8999999999999996E-2</v>
      </c>
      <c r="G7753">
        <f t="shared" si="243"/>
        <v>8.39</v>
      </c>
    </row>
    <row r="7754" spans="1:7" ht="12.75" customHeight="1">
      <c r="A7754" s="3">
        <v>91863</v>
      </c>
      <c r="B7754" s="4" t="s">
        <v>7778</v>
      </c>
      <c r="C7754" s="3" t="s">
        <v>50</v>
      </c>
      <c r="D7754" s="5">
        <f t="shared" si="242"/>
        <v>9.92</v>
      </c>
      <c r="E7754">
        <v>10.9</v>
      </c>
      <c r="F7754" s="1789">
        <v>8.8999999999999996E-2</v>
      </c>
      <c r="G7754">
        <f t="shared" si="243"/>
        <v>9.92</v>
      </c>
    </row>
    <row r="7755" spans="1:7" ht="12.75" customHeight="1">
      <c r="A7755" s="3">
        <v>91864</v>
      </c>
      <c r="B7755" s="4" t="s">
        <v>7779</v>
      </c>
      <c r="C7755" s="3" t="s">
        <v>50</v>
      </c>
      <c r="D7755" s="5">
        <f t="shared" si="242"/>
        <v>13.44</v>
      </c>
      <c r="E7755">
        <v>14.76</v>
      </c>
      <c r="F7755" s="1789">
        <v>8.8999999999999996E-2</v>
      </c>
      <c r="G7755">
        <f t="shared" si="243"/>
        <v>13.44</v>
      </c>
    </row>
    <row r="7756" spans="1:7" ht="12.75" customHeight="1">
      <c r="A7756" s="3">
        <v>91865</v>
      </c>
      <c r="B7756" s="4" t="s">
        <v>7780</v>
      </c>
      <c r="C7756" s="3" t="s">
        <v>50</v>
      </c>
      <c r="D7756" s="5">
        <f t="shared" si="242"/>
        <v>16.88</v>
      </c>
      <c r="E7756">
        <v>18.53</v>
      </c>
      <c r="F7756" s="1789">
        <v>8.8999999999999996E-2</v>
      </c>
      <c r="G7756">
        <f t="shared" si="243"/>
        <v>16.88</v>
      </c>
    </row>
    <row r="7757" spans="1:7" ht="12.75" customHeight="1">
      <c r="A7757" s="3">
        <v>91866</v>
      </c>
      <c r="B7757" s="4" t="s">
        <v>7781</v>
      </c>
      <c r="C7757" s="3" t="s">
        <v>50</v>
      </c>
      <c r="D7757" s="5">
        <f t="shared" si="242"/>
        <v>7.3</v>
      </c>
      <c r="E7757">
        <v>8.02</v>
      </c>
      <c r="F7757" s="1789">
        <v>8.8999999999999996E-2</v>
      </c>
      <c r="G7757">
        <f t="shared" si="243"/>
        <v>7.3</v>
      </c>
    </row>
    <row r="7758" spans="1:7" ht="12.75" customHeight="1">
      <c r="A7758" s="3">
        <v>91867</v>
      </c>
      <c r="B7758" s="4" t="s">
        <v>7782</v>
      </c>
      <c r="C7758" s="3" t="s">
        <v>50</v>
      </c>
      <c r="D7758" s="5">
        <f t="shared" si="242"/>
        <v>8.85</v>
      </c>
      <c r="E7758">
        <v>9.7200000000000006</v>
      </c>
      <c r="F7758" s="1789">
        <v>8.8999999999999996E-2</v>
      </c>
      <c r="G7758">
        <f t="shared" si="243"/>
        <v>8.85</v>
      </c>
    </row>
    <row r="7759" spans="1:7" ht="12.75" customHeight="1">
      <c r="A7759" s="3">
        <v>91868</v>
      </c>
      <c r="B7759" s="4" t="s">
        <v>7783</v>
      </c>
      <c r="C7759" s="3" t="s">
        <v>50</v>
      </c>
      <c r="D7759" s="5">
        <f t="shared" si="242"/>
        <v>12.38</v>
      </c>
      <c r="E7759">
        <v>13.59</v>
      </c>
      <c r="F7759" s="1789">
        <v>8.8999999999999996E-2</v>
      </c>
      <c r="G7759">
        <f t="shared" si="243"/>
        <v>12.38</v>
      </c>
    </row>
    <row r="7760" spans="1:7" ht="12.75" customHeight="1">
      <c r="A7760" s="3">
        <v>91869</v>
      </c>
      <c r="B7760" s="4" t="s">
        <v>7784</v>
      </c>
      <c r="C7760" s="3" t="s">
        <v>50</v>
      </c>
      <c r="D7760" s="5">
        <f t="shared" si="242"/>
        <v>15.76</v>
      </c>
      <c r="E7760">
        <v>17.309999999999999</v>
      </c>
      <c r="F7760" s="1789">
        <v>8.8999999999999996E-2</v>
      </c>
      <c r="G7760">
        <f t="shared" si="243"/>
        <v>15.76</v>
      </c>
    </row>
    <row r="7761" spans="1:7" ht="12.75" customHeight="1">
      <c r="A7761" s="3">
        <v>91870</v>
      </c>
      <c r="B7761" s="4" t="s">
        <v>7785</v>
      </c>
      <c r="C7761" s="3" t="s">
        <v>50</v>
      </c>
      <c r="D7761" s="5">
        <f t="shared" si="242"/>
        <v>10.95</v>
      </c>
      <c r="E7761">
        <v>12.02</v>
      </c>
      <c r="F7761" s="1789">
        <v>8.8999999999999996E-2</v>
      </c>
      <c r="G7761">
        <f t="shared" si="243"/>
        <v>10.95</v>
      </c>
    </row>
    <row r="7762" spans="1:7" ht="12.75" customHeight="1">
      <c r="A7762" s="3">
        <v>91871</v>
      </c>
      <c r="B7762" s="4" t="s">
        <v>7786</v>
      </c>
      <c r="C7762" s="3" t="s">
        <v>50</v>
      </c>
      <c r="D7762" s="5">
        <f t="shared" si="242"/>
        <v>12.49</v>
      </c>
      <c r="E7762">
        <v>13.72</v>
      </c>
      <c r="F7762" s="1789">
        <v>8.8999999999999996E-2</v>
      </c>
      <c r="G7762">
        <f t="shared" si="243"/>
        <v>12.49</v>
      </c>
    </row>
    <row r="7763" spans="1:7" ht="12.75" customHeight="1">
      <c r="A7763" s="3">
        <v>91872</v>
      </c>
      <c r="B7763" s="4" t="s">
        <v>7787</v>
      </c>
      <c r="C7763" s="3" t="s">
        <v>50</v>
      </c>
      <c r="D7763" s="5">
        <f t="shared" si="242"/>
        <v>16.010000000000002</v>
      </c>
      <c r="E7763">
        <v>17.579999999999998</v>
      </c>
      <c r="F7763" s="1789">
        <v>8.8999999999999996E-2</v>
      </c>
      <c r="G7763">
        <f t="shared" si="243"/>
        <v>16.010000000000002</v>
      </c>
    </row>
    <row r="7764" spans="1:7" ht="12.75" customHeight="1">
      <c r="A7764" s="3">
        <v>91873</v>
      </c>
      <c r="B7764" s="4" t="s">
        <v>7788</v>
      </c>
      <c r="C7764" s="3" t="s">
        <v>50</v>
      </c>
      <c r="D7764" s="5">
        <f t="shared" si="242"/>
        <v>19.399999999999999</v>
      </c>
      <c r="E7764">
        <v>21.3</v>
      </c>
      <c r="F7764" s="1789">
        <v>8.8999999999999996E-2</v>
      </c>
      <c r="G7764">
        <f t="shared" si="243"/>
        <v>19.399999999999999</v>
      </c>
    </row>
    <row r="7765" spans="1:7" ht="12.75" customHeight="1">
      <c r="A7765" s="3">
        <v>93008</v>
      </c>
      <c r="B7765" s="4" t="s">
        <v>7789</v>
      </c>
      <c r="C7765" s="3" t="s">
        <v>50</v>
      </c>
      <c r="D7765" s="5">
        <f t="shared" ref="D7765:D7828" si="244">G7765</f>
        <v>16.510000000000002</v>
      </c>
      <c r="E7765">
        <v>18.13</v>
      </c>
      <c r="F7765" s="1789">
        <v>8.8999999999999996E-2</v>
      </c>
      <c r="G7765">
        <f t="shared" ref="G7765:G7828" si="245">TRUNC((1-F7765)*E7765,2)</f>
        <v>16.510000000000002</v>
      </c>
    </row>
    <row r="7766" spans="1:7" ht="12.75" customHeight="1">
      <c r="A7766" s="3">
        <v>93009</v>
      </c>
      <c r="B7766" s="4" t="s">
        <v>7790</v>
      </c>
      <c r="C7766" s="3" t="s">
        <v>50</v>
      </c>
      <c r="D7766" s="5">
        <f t="shared" si="244"/>
        <v>24.58</v>
      </c>
      <c r="E7766">
        <v>26.99</v>
      </c>
      <c r="F7766" s="1789">
        <v>8.8999999999999996E-2</v>
      </c>
      <c r="G7766">
        <f t="shared" si="245"/>
        <v>24.58</v>
      </c>
    </row>
    <row r="7767" spans="1:7" ht="12.75" customHeight="1">
      <c r="A7767" s="3">
        <v>93010</v>
      </c>
      <c r="B7767" s="4" t="s">
        <v>7791</v>
      </c>
      <c r="C7767" s="3" t="s">
        <v>50</v>
      </c>
      <c r="D7767" s="5">
        <f t="shared" si="244"/>
        <v>34.36</v>
      </c>
      <c r="E7767">
        <v>37.72</v>
      </c>
      <c r="F7767" s="1789">
        <v>8.8999999999999996E-2</v>
      </c>
      <c r="G7767">
        <f t="shared" si="245"/>
        <v>34.36</v>
      </c>
    </row>
    <row r="7768" spans="1:7" ht="12.75" customHeight="1">
      <c r="A7768" s="3">
        <v>93011</v>
      </c>
      <c r="B7768" s="4" t="s">
        <v>7792</v>
      </c>
      <c r="C7768" s="3" t="s">
        <v>50</v>
      </c>
      <c r="D7768" s="5">
        <f t="shared" si="244"/>
        <v>42.11</v>
      </c>
      <c r="E7768">
        <v>46.23</v>
      </c>
      <c r="F7768" s="1789">
        <v>8.8999999999999996E-2</v>
      </c>
      <c r="G7768">
        <f t="shared" si="245"/>
        <v>42.11</v>
      </c>
    </row>
    <row r="7769" spans="1:7" ht="12.75" customHeight="1">
      <c r="A7769" s="3">
        <v>93012</v>
      </c>
      <c r="B7769" s="4" t="s">
        <v>7793</v>
      </c>
      <c r="C7769" s="3" t="s">
        <v>50</v>
      </c>
      <c r="D7769" s="5">
        <f t="shared" si="244"/>
        <v>63.87</v>
      </c>
      <c r="E7769">
        <v>70.11</v>
      </c>
      <c r="F7769" s="1789">
        <v>8.8999999999999996E-2</v>
      </c>
      <c r="G7769">
        <f t="shared" si="245"/>
        <v>63.87</v>
      </c>
    </row>
    <row r="7770" spans="1:7" ht="12.75" customHeight="1">
      <c r="A7770" s="3">
        <v>95726</v>
      </c>
      <c r="B7770" s="4" t="s">
        <v>7794</v>
      </c>
      <c r="C7770" s="3" t="s">
        <v>50</v>
      </c>
      <c r="D7770" s="5">
        <f t="shared" si="244"/>
        <v>14.16</v>
      </c>
      <c r="E7770">
        <v>15.55</v>
      </c>
      <c r="F7770" s="1789">
        <v>8.8999999999999996E-2</v>
      </c>
      <c r="G7770">
        <f t="shared" si="245"/>
        <v>14.16</v>
      </c>
    </row>
    <row r="7771" spans="1:7" ht="12.75" customHeight="1">
      <c r="A7771" s="3">
        <v>95727</v>
      </c>
      <c r="B7771" s="4" t="s">
        <v>7795</v>
      </c>
      <c r="C7771" s="3" t="s">
        <v>50</v>
      </c>
      <c r="D7771" s="5">
        <f t="shared" si="244"/>
        <v>17.3</v>
      </c>
      <c r="E7771">
        <v>19</v>
      </c>
      <c r="F7771" s="1789">
        <v>8.8999999999999996E-2</v>
      </c>
      <c r="G7771">
        <f t="shared" si="245"/>
        <v>17.3</v>
      </c>
    </row>
    <row r="7772" spans="1:7" ht="12.75" customHeight="1">
      <c r="A7772" s="3">
        <v>95728</v>
      </c>
      <c r="B7772" s="4" t="s">
        <v>7796</v>
      </c>
      <c r="C7772" s="3" t="s">
        <v>50</v>
      </c>
      <c r="D7772" s="5">
        <f t="shared" si="244"/>
        <v>22.43</v>
      </c>
      <c r="E7772">
        <v>24.63</v>
      </c>
      <c r="F7772" s="1789">
        <v>8.8999999999999996E-2</v>
      </c>
      <c r="G7772">
        <f t="shared" si="245"/>
        <v>22.43</v>
      </c>
    </row>
    <row r="7773" spans="1:7" ht="12.75" customHeight="1">
      <c r="A7773" s="3">
        <v>97667</v>
      </c>
      <c r="B7773" s="4" t="s">
        <v>7797</v>
      </c>
      <c r="C7773" s="3" t="s">
        <v>50</v>
      </c>
      <c r="D7773" s="5">
        <f t="shared" si="244"/>
        <v>7.15</v>
      </c>
      <c r="E7773">
        <v>7.85</v>
      </c>
      <c r="F7773" s="1789">
        <v>8.8999999999999996E-2</v>
      </c>
      <c r="G7773">
        <f t="shared" si="245"/>
        <v>7.15</v>
      </c>
    </row>
    <row r="7774" spans="1:7" ht="12.75" customHeight="1">
      <c r="A7774" s="3">
        <v>97668</v>
      </c>
      <c r="B7774" s="4" t="s">
        <v>7798</v>
      </c>
      <c r="C7774" s="3" t="s">
        <v>50</v>
      </c>
      <c r="D7774" s="5">
        <f t="shared" si="244"/>
        <v>10.19</v>
      </c>
      <c r="E7774">
        <v>11.19</v>
      </c>
      <c r="F7774" s="1789">
        <v>8.8999999999999996E-2</v>
      </c>
      <c r="G7774">
        <f t="shared" si="245"/>
        <v>10.19</v>
      </c>
    </row>
    <row r="7775" spans="1:7" ht="12.75" customHeight="1">
      <c r="A7775" s="3">
        <v>97669</v>
      </c>
      <c r="B7775" s="4" t="s">
        <v>7799</v>
      </c>
      <c r="C7775" s="3" t="s">
        <v>50</v>
      </c>
      <c r="D7775" s="5">
        <f t="shared" si="244"/>
        <v>15.1</v>
      </c>
      <c r="E7775">
        <v>16.579999999999998</v>
      </c>
      <c r="F7775" s="1789">
        <v>8.8999999999999996E-2</v>
      </c>
      <c r="G7775">
        <f t="shared" si="245"/>
        <v>15.1</v>
      </c>
    </row>
    <row r="7776" spans="1:7" ht="12.75" customHeight="1">
      <c r="A7776" s="3">
        <v>97670</v>
      </c>
      <c r="B7776" s="4" t="s">
        <v>7800</v>
      </c>
      <c r="C7776" s="3" t="s">
        <v>50</v>
      </c>
      <c r="D7776" s="5">
        <f t="shared" si="244"/>
        <v>19.34</v>
      </c>
      <c r="E7776">
        <v>21.24</v>
      </c>
      <c r="F7776" s="1789">
        <v>8.8999999999999996E-2</v>
      </c>
      <c r="G7776">
        <f t="shared" si="245"/>
        <v>19.34</v>
      </c>
    </row>
    <row r="7777" spans="1:7" ht="12.75" customHeight="1">
      <c r="A7777" s="3">
        <v>91874</v>
      </c>
      <c r="B7777" s="4" t="s">
        <v>7801</v>
      </c>
      <c r="C7777" s="3" t="s">
        <v>6</v>
      </c>
      <c r="D7777" s="5">
        <f t="shared" si="244"/>
        <v>6.2</v>
      </c>
      <c r="E7777">
        <v>6.81</v>
      </c>
      <c r="F7777" s="1789">
        <v>8.8999999999999996E-2</v>
      </c>
      <c r="G7777">
        <f t="shared" si="245"/>
        <v>6.2</v>
      </c>
    </row>
    <row r="7778" spans="1:7" ht="12.75" customHeight="1">
      <c r="A7778" s="3">
        <v>91875</v>
      </c>
      <c r="B7778" s="4" t="s">
        <v>7802</v>
      </c>
      <c r="C7778" s="3" t="s">
        <v>6</v>
      </c>
      <c r="D7778" s="5">
        <f t="shared" si="244"/>
        <v>7.31</v>
      </c>
      <c r="E7778">
        <v>8.0299999999999994</v>
      </c>
      <c r="F7778" s="1789">
        <v>8.8999999999999996E-2</v>
      </c>
      <c r="G7778">
        <f t="shared" si="245"/>
        <v>7.31</v>
      </c>
    </row>
    <row r="7779" spans="1:7" ht="12.75" customHeight="1">
      <c r="A7779" s="3">
        <v>91876</v>
      </c>
      <c r="B7779" s="4" t="s">
        <v>7803</v>
      </c>
      <c r="C7779" s="3" t="s">
        <v>6</v>
      </c>
      <c r="D7779" s="5">
        <f t="shared" si="244"/>
        <v>8.83</v>
      </c>
      <c r="E7779">
        <v>9.6999999999999993</v>
      </c>
      <c r="F7779" s="1789">
        <v>8.8999999999999996E-2</v>
      </c>
      <c r="G7779">
        <f t="shared" si="245"/>
        <v>8.83</v>
      </c>
    </row>
    <row r="7780" spans="1:7" ht="12.75" customHeight="1">
      <c r="A7780" s="3">
        <v>91877</v>
      </c>
      <c r="B7780" s="4" t="s">
        <v>7804</v>
      </c>
      <c r="C7780" s="3" t="s">
        <v>6</v>
      </c>
      <c r="D7780" s="5">
        <f t="shared" si="244"/>
        <v>10.96</v>
      </c>
      <c r="E7780">
        <v>12.04</v>
      </c>
      <c r="F7780" s="1789">
        <v>8.8999999999999996E-2</v>
      </c>
      <c r="G7780">
        <f t="shared" si="245"/>
        <v>10.96</v>
      </c>
    </row>
    <row r="7781" spans="1:7" ht="12.75" customHeight="1">
      <c r="A7781" s="3">
        <v>91878</v>
      </c>
      <c r="B7781" s="4" t="s">
        <v>7805</v>
      </c>
      <c r="C7781" s="3" t="s">
        <v>6</v>
      </c>
      <c r="D7781" s="5">
        <f t="shared" si="244"/>
        <v>4.92</v>
      </c>
      <c r="E7781">
        <v>5.41</v>
      </c>
      <c r="F7781" s="1789">
        <v>8.8999999999999996E-2</v>
      </c>
      <c r="G7781">
        <f t="shared" si="245"/>
        <v>4.92</v>
      </c>
    </row>
    <row r="7782" spans="1:7" ht="12.75" customHeight="1">
      <c r="A7782" s="3">
        <v>91879</v>
      </c>
      <c r="B7782" s="4" t="s">
        <v>7806</v>
      </c>
      <c r="C7782" s="3" t="s">
        <v>6</v>
      </c>
      <c r="D7782" s="5">
        <f t="shared" si="244"/>
        <v>6.03</v>
      </c>
      <c r="E7782">
        <v>6.63</v>
      </c>
      <c r="F7782" s="1789">
        <v>8.8999999999999996E-2</v>
      </c>
      <c r="G7782">
        <f t="shared" si="245"/>
        <v>6.03</v>
      </c>
    </row>
    <row r="7783" spans="1:7" ht="12.75" customHeight="1">
      <c r="A7783" s="3">
        <v>91880</v>
      </c>
      <c r="B7783" s="4" t="s">
        <v>7807</v>
      </c>
      <c r="C7783" s="3" t="s">
        <v>6</v>
      </c>
      <c r="D7783" s="5">
        <f t="shared" si="244"/>
        <v>7.55</v>
      </c>
      <c r="E7783">
        <v>8.2899999999999991</v>
      </c>
      <c r="F7783" s="1789">
        <v>8.8999999999999996E-2</v>
      </c>
      <c r="G7783">
        <f t="shared" si="245"/>
        <v>7.55</v>
      </c>
    </row>
    <row r="7784" spans="1:7" ht="12.75" customHeight="1">
      <c r="A7784" s="3">
        <v>91881</v>
      </c>
      <c r="B7784" s="4" t="s">
        <v>7808</v>
      </c>
      <c r="C7784" s="3" t="s">
        <v>6</v>
      </c>
      <c r="D7784" s="5">
        <f t="shared" si="244"/>
        <v>9.67</v>
      </c>
      <c r="E7784">
        <v>10.62</v>
      </c>
      <c r="F7784" s="1789">
        <v>8.8999999999999996E-2</v>
      </c>
      <c r="G7784">
        <f t="shared" si="245"/>
        <v>9.67</v>
      </c>
    </row>
    <row r="7785" spans="1:7" ht="12.75" customHeight="1">
      <c r="A7785" s="3">
        <v>91882</v>
      </c>
      <c r="B7785" s="4" t="s">
        <v>7809</v>
      </c>
      <c r="C7785" s="3" t="s">
        <v>6</v>
      </c>
      <c r="D7785" s="5">
        <f t="shared" si="244"/>
        <v>8.86</v>
      </c>
      <c r="E7785">
        <v>9.73</v>
      </c>
      <c r="F7785" s="1789">
        <v>8.8999999999999996E-2</v>
      </c>
      <c r="G7785">
        <f t="shared" si="245"/>
        <v>8.86</v>
      </c>
    </row>
    <row r="7786" spans="1:7" ht="12.75" customHeight="1">
      <c r="A7786" s="3">
        <v>91884</v>
      </c>
      <c r="B7786" s="4" t="s">
        <v>7810</v>
      </c>
      <c r="C7786" s="3" t="s">
        <v>6</v>
      </c>
      <c r="D7786" s="5">
        <f t="shared" si="244"/>
        <v>9.9700000000000006</v>
      </c>
      <c r="E7786">
        <v>10.95</v>
      </c>
      <c r="F7786" s="1789">
        <v>8.8999999999999996E-2</v>
      </c>
      <c r="G7786">
        <f t="shared" si="245"/>
        <v>9.9700000000000006</v>
      </c>
    </row>
    <row r="7787" spans="1:7" ht="12.75" customHeight="1">
      <c r="A7787" s="3">
        <v>91885</v>
      </c>
      <c r="B7787" s="4" t="s">
        <v>7811</v>
      </c>
      <c r="C7787" s="3" t="s">
        <v>6</v>
      </c>
      <c r="D7787" s="5">
        <f t="shared" si="244"/>
        <v>11.45</v>
      </c>
      <c r="E7787">
        <v>12.57</v>
      </c>
      <c r="F7787" s="1789">
        <v>8.8999999999999996E-2</v>
      </c>
      <c r="G7787">
        <f t="shared" si="245"/>
        <v>11.45</v>
      </c>
    </row>
    <row r="7788" spans="1:7" ht="12.75" customHeight="1">
      <c r="A7788" s="3">
        <v>91886</v>
      </c>
      <c r="B7788" s="4" t="s">
        <v>7812</v>
      </c>
      <c r="C7788" s="3" t="s">
        <v>6</v>
      </c>
      <c r="D7788" s="5">
        <f t="shared" si="244"/>
        <v>13.52</v>
      </c>
      <c r="E7788">
        <v>14.85</v>
      </c>
      <c r="F7788" s="1789">
        <v>8.8999999999999996E-2</v>
      </c>
      <c r="G7788">
        <f t="shared" si="245"/>
        <v>13.52</v>
      </c>
    </row>
    <row r="7789" spans="1:7" ht="12.75" customHeight="1">
      <c r="A7789" s="3">
        <v>91887</v>
      </c>
      <c r="B7789" s="4" t="s">
        <v>7813</v>
      </c>
      <c r="C7789" s="3" t="s">
        <v>6</v>
      </c>
      <c r="D7789" s="5">
        <f t="shared" si="244"/>
        <v>10.92</v>
      </c>
      <c r="E7789">
        <v>11.99</v>
      </c>
      <c r="F7789" s="1789">
        <v>8.8999999999999996E-2</v>
      </c>
      <c r="G7789">
        <f t="shared" si="245"/>
        <v>10.92</v>
      </c>
    </row>
    <row r="7790" spans="1:7" ht="12.75" customHeight="1">
      <c r="A7790" s="3">
        <v>91889</v>
      </c>
      <c r="B7790" s="4" t="s">
        <v>7814</v>
      </c>
      <c r="C7790" s="3" t="s">
        <v>6</v>
      </c>
      <c r="D7790" s="5">
        <f t="shared" si="244"/>
        <v>10.61</v>
      </c>
      <c r="E7790">
        <v>11.65</v>
      </c>
      <c r="F7790" s="1789">
        <v>8.8999999999999996E-2</v>
      </c>
      <c r="G7790">
        <f t="shared" si="245"/>
        <v>10.61</v>
      </c>
    </row>
    <row r="7791" spans="1:7" ht="12.75" customHeight="1">
      <c r="A7791" s="3">
        <v>91890</v>
      </c>
      <c r="B7791" s="4" t="s">
        <v>7815</v>
      </c>
      <c r="C7791" s="3" t="s">
        <v>6</v>
      </c>
      <c r="D7791" s="5">
        <f t="shared" si="244"/>
        <v>12.02</v>
      </c>
      <c r="E7791">
        <v>13.2</v>
      </c>
      <c r="F7791" s="1789">
        <v>8.8999999999999996E-2</v>
      </c>
      <c r="G7791">
        <f t="shared" si="245"/>
        <v>12.02</v>
      </c>
    </row>
    <row r="7792" spans="1:7" ht="12.75" customHeight="1">
      <c r="A7792" s="3">
        <v>91892</v>
      </c>
      <c r="B7792" s="4" t="s">
        <v>7816</v>
      </c>
      <c r="C7792" s="3" t="s">
        <v>6</v>
      </c>
      <c r="D7792" s="5">
        <f t="shared" si="244"/>
        <v>14.1</v>
      </c>
      <c r="E7792">
        <v>15.48</v>
      </c>
      <c r="F7792" s="1789">
        <v>8.8999999999999996E-2</v>
      </c>
      <c r="G7792">
        <f t="shared" si="245"/>
        <v>14.1</v>
      </c>
    </row>
    <row r="7793" spans="1:7" ht="12.75" customHeight="1">
      <c r="A7793" s="3">
        <v>91893</v>
      </c>
      <c r="B7793" s="4" t="s">
        <v>7817</v>
      </c>
      <c r="C7793" s="3" t="s">
        <v>6</v>
      </c>
      <c r="D7793" s="5">
        <f t="shared" si="244"/>
        <v>15.03</v>
      </c>
      <c r="E7793">
        <v>16.5</v>
      </c>
      <c r="F7793" s="1789">
        <v>8.8999999999999996E-2</v>
      </c>
      <c r="G7793">
        <f t="shared" si="245"/>
        <v>15.03</v>
      </c>
    </row>
    <row r="7794" spans="1:7" ht="12.75" customHeight="1">
      <c r="A7794" s="3">
        <v>91895</v>
      </c>
      <c r="B7794" s="4" t="s">
        <v>7818</v>
      </c>
      <c r="C7794" s="3" t="s">
        <v>6</v>
      </c>
      <c r="D7794" s="5">
        <f t="shared" si="244"/>
        <v>17.14</v>
      </c>
      <c r="E7794">
        <v>18.82</v>
      </c>
      <c r="F7794" s="1789">
        <v>8.8999999999999996E-2</v>
      </c>
      <c r="G7794">
        <f t="shared" si="245"/>
        <v>17.14</v>
      </c>
    </row>
    <row r="7795" spans="1:7" ht="12.75" customHeight="1">
      <c r="A7795" s="3">
        <v>91896</v>
      </c>
      <c r="B7795" s="4" t="s">
        <v>7819</v>
      </c>
      <c r="C7795" s="3" t="s">
        <v>6</v>
      </c>
      <c r="D7795" s="5">
        <f t="shared" si="244"/>
        <v>17.27</v>
      </c>
      <c r="E7795">
        <v>18.96</v>
      </c>
      <c r="F7795" s="1789">
        <v>8.8999999999999996E-2</v>
      </c>
      <c r="G7795">
        <f t="shared" si="245"/>
        <v>17.27</v>
      </c>
    </row>
    <row r="7796" spans="1:7" ht="12.75" customHeight="1">
      <c r="A7796" s="3">
        <v>91898</v>
      </c>
      <c r="B7796" s="4" t="s">
        <v>7820</v>
      </c>
      <c r="C7796" s="3" t="s">
        <v>6</v>
      </c>
      <c r="D7796" s="5">
        <f t="shared" si="244"/>
        <v>19.54</v>
      </c>
      <c r="E7796">
        <v>21.45</v>
      </c>
      <c r="F7796" s="1789">
        <v>8.8999999999999996E-2</v>
      </c>
      <c r="G7796">
        <f t="shared" si="245"/>
        <v>19.54</v>
      </c>
    </row>
    <row r="7797" spans="1:7" ht="12.75" customHeight="1">
      <c r="A7797" s="3">
        <v>91899</v>
      </c>
      <c r="B7797" s="4" t="s">
        <v>7821</v>
      </c>
      <c r="C7797" s="3" t="s">
        <v>6</v>
      </c>
      <c r="D7797" s="5">
        <f t="shared" si="244"/>
        <v>8.98</v>
      </c>
      <c r="E7797">
        <v>9.86</v>
      </c>
      <c r="F7797" s="1789">
        <v>8.8999999999999996E-2</v>
      </c>
      <c r="G7797">
        <f t="shared" si="245"/>
        <v>8.98</v>
      </c>
    </row>
    <row r="7798" spans="1:7" ht="12.75" customHeight="1">
      <c r="A7798" s="3">
        <v>91901</v>
      </c>
      <c r="B7798" s="4" t="s">
        <v>7822</v>
      </c>
      <c r="C7798" s="3" t="s">
        <v>6</v>
      </c>
      <c r="D7798" s="5">
        <f t="shared" si="244"/>
        <v>8.67</v>
      </c>
      <c r="E7798">
        <v>9.52</v>
      </c>
      <c r="F7798" s="1789">
        <v>8.8999999999999996E-2</v>
      </c>
      <c r="G7798">
        <f t="shared" si="245"/>
        <v>8.67</v>
      </c>
    </row>
    <row r="7799" spans="1:7" ht="12.75" customHeight="1">
      <c r="A7799" s="3">
        <v>91902</v>
      </c>
      <c r="B7799" s="4" t="s">
        <v>7823</v>
      </c>
      <c r="C7799" s="3" t="s">
        <v>6</v>
      </c>
      <c r="D7799" s="5">
        <f t="shared" si="244"/>
        <v>10.07</v>
      </c>
      <c r="E7799">
        <v>11.06</v>
      </c>
      <c r="F7799" s="1789">
        <v>8.8999999999999996E-2</v>
      </c>
      <c r="G7799">
        <f t="shared" si="245"/>
        <v>10.07</v>
      </c>
    </row>
    <row r="7800" spans="1:7" ht="12.75" customHeight="1">
      <c r="A7800" s="3">
        <v>91904</v>
      </c>
      <c r="B7800" s="4" t="s">
        <v>7824</v>
      </c>
      <c r="C7800" s="3" t="s">
        <v>6</v>
      </c>
      <c r="D7800" s="5">
        <f t="shared" si="244"/>
        <v>12.15</v>
      </c>
      <c r="E7800">
        <v>13.34</v>
      </c>
      <c r="F7800" s="1789">
        <v>8.8999999999999996E-2</v>
      </c>
      <c r="G7800">
        <f t="shared" si="245"/>
        <v>12.15</v>
      </c>
    </row>
    <row r="7801" spans="1:7" ht="12.75" customHeight="1">
      <c r="A7801" s="3">
        <v>91905</v>
      </c>
      <c r="B7801" s="4" t="s">
        <v>7825</v>
      </c>
      <c r="C7801" s="3" t="s">
        <v>6</v>
      </c>
      <c r="D7801" s="5">
        <f t="shared" si="244"/>
        <v>13.07</v>
      </c>
      <c r="E7801">
        <v>14.35</v>
      </c>
      <c r="F7801" s="1789">
        <v>8.8999999999999996E-2</v>
      </c>
      <c r="G7801">
        <f t="shared" si="245"/>
        <v>13.07</v>
      </c>
    </row>
    <row r="7802" spans="1:7" ht="12.75" customHeight="1">
      <c r="A7802" s="3">
        <v>91907</v>
      </c>
      <c r="B7802" s="4" t="s">
        <v>7826</v>
      </c>
      <c r="C7802" s="3" t="s">
        <v>6</v>
      </c>
      <c r="D7802" s="5">
        <f t="shared" si="244"/>
        <v>15.18</v>
      </c>
      <c r="E7802">
        <v>16.670000000000002</v>
      </c>
      <c r="F7802" s="1789">
        <v>8.8999999999999996E-2</v>
      </c>
      <c r="G7802">
        <f t="shared" si="245"/>
        <v>15.18</v>
      </c>
    </row>
    <row r="7803" spans="1:7" ht="12.75" customHeight="1">
      <c r="A7803" s="3">
        <v>91908</v>
      </c>
      <c r="B7803" s="4" t="s">
        <v>7827</v>
      </c>
      <c r="C7803" s="3" t="s">
        <v>6</v>
      </c>
      <c r="D7803" s="5">
        <f t="shared" si="244"/>
        <v>15.36</v>
      </c>
      <c r="E7803">
        <v>16.87</v>
      </c>
      <c r="F7803" s="1789">
        <v>8.8999999999999996E-2</v>
      </c>
      <c r="G7803">
        <f t="shared" si="245"/>
        <v>15.36</v>
      </c>
    </row>
    <row r="7804" spans="1:7" ht="12.75" customHeight="1">
      <c r="A7804" s="3">
        <v>91910</v>
      </c>
      <c r="B7804" s="4" t="s">
        <v>7828</v>
      </c>
      <c r="C7804" s="3" t="s">
        <v>6</v>
      </c>
      <c r="D7804" s="5">
        <f t="shared" si="244"/>
        <v>17.63</v>
      </c>
      <c r="E7804">
        <v>19.36</v>
      </c>
      <c r="F7804" s="1789">
        <v>8.8999999999999996E-2</v>
      </c>
      <c r="G7804">
        <f t="shared" si="245"/>
        <v>17.63</v>
      </c>
    </row>
    <row r="7805" spans="1:7" ht="12.75" customHeight="1">
      <c r="A7805" s="3">
        <v>91911</v>
      </c>
      <c r="B7805" s="4" t="s">
        <v>7829</v>
      </c>
      <c r="C7805" s="3" t="s">
        <v>6</v>
      </c>
      <c r="D7805" s="5">
        <f t="shared" si="244"/>
        <v>14.91</v>
      </c>
      <c r="E7805">
        <v>16.37</v>
      </c>
      <c r="F7805" s="1789">
        <v>8.8999999999999996E-2</v>
      </c>
      <c r="G7805">
        <f t="shared" si="245"/>
        <v>14.91</v>
      </c>
    </row>
    <row r="7806" spans="1:7" ht="12.75" customHeight="1">
      <c r="A7806" s="3">
        <v>91913</v>
      </c>
      <c r="B7806" s="4" t="s">
        <v>7830</v>
      </c>
      <c r="C7806" s="3" t="s">
        <v>6</v>
      </c>
      <c r="D7806" s="5">
        <f t="shared" si="244"/>
        <v>14.6</v>
      </c>
      <c r="E7806">
        <v>16.03</v>
      </c>
      <c r="F7806" s="1789">
        <v>8.8999999999999996E-2</v>
      </c>
      <c r="G7806">
        <f t="shared" si="245"/>
        <v>14.6</v>
      </c>
    </row>
    <row r="7807" spans="1:7" ht="12.75" customHeight="1">
      <c r="A7807" s="3">
        <v>91914</v>
      </c>
      <c r="B7807" s="4" t="s">
        <v>7831</v>
      </c>
      <c r="C7807" s="3" t="s">
        <v>6</v>
      </c>
      <c r="D7807" s="5">
        <f t="shared" si="244"/>
        <v>15.96</v>
      </c>
      <c r="E7807">
        <v>17.53</v>
      </c>
      <c r="F7807" s="1789">
        <v>8.8999999999999996E-2</v>
      </c>
      <c r="G7807">
        <f t="shared" si="245"/>
        <v>15.96</v>
      </c>
    </row>
    <row r="7808" spans="1:7" ht="12.75" customHeight="1">
      <c r="A7808" s="3">
        <v>91916</v>
      </c>
      <c r="B7808" s="4" t="s">
        <v>7832</v>
      </c>
      <c r="C7808" s="3" t="s">
        <v>6</v>
      </c>
      <c r="D7808" s="5">
        <f t="shared" si="244"/>
        <v>18.04</v>
      </c>
      <c r="E7808">
        <v>19.809999999999999</v>
      </c>
      <c r="F7808" s="1789">
        <v>8.8999999999999996E-2</v>
      </c>
      <c r="G7808">
        <f t="shared" si="245"/>
        <v>18.04</v>
      </c>
    </row>
    <row r="7809" spans="1:7" ht="12.75" customHeight="1">
      <c r="A7809" s="3">
        <v>91917</v>
      </c>
      <c r="B7809" s="4" t="s">
        <v>7833</v>
      </c>
      <c r="C7809" s="3" t="s">
        <v>6</v>
      </c>
      <c r="D7809" s="5">
        <f t="shared" si="244"/>
        <v>18.93</v>
      </c>
      <c r="E7809">
        <v>20.78</v>
      </c>
      <c r="F7809" s="1789">
        <v>8.8999999999999996E-2</v>
      </c>
      <c r="G7809">
        <f t="shared" si="245"/>
        <v>18.93</v>
      </c>
    </row>
    <row r="7810" spans="1:7" ht="12.75" customHeight="1">
      <c r="A7810" s="3">
        <v>91919</v>
      </c>
      <c r="B7810" s="4" t="s">
        <v>7834</v>
      </c>
      <c r="C7810" s="3" t="s">
        <v>6</v>
      </c>
      <c r="D7810" s="5">
        <f t="shared" si="244"/>
        <v>21.04</v>
      </c>
      <c r="E7810">
        <v>23.1</v>
      </c>
      <c r="F7810" s="1789">
        <v>8.8999999999999996E-2</v>
      </c>
      <c r="G7810">
        <f t="shared" si="245"/>
        <v>21.04</v>
      </c>
    </row>
    <row r="7811" spans="1:7" ht="12.75" customHeight="1">
      <c r="A7811" s="3">
        <v>91920</v>
      </c>
      <c r="B7811" s="4" t="s">
        <v>7835</v>
      </c>
      <c r="C7811" s="3" t="s">
        <v>6</v>
      </c>
      <c r="D7811" s="5">
        <f t="shared" si="244"/>
        <v>21.12</v>
      </c>
      <c r="E7811">
        <v>23.19</v>
      </c>
      <c r="F7811" s="1789">
        <v>8.8999999999999996E-2</v>
      </c>
      <c r="G7811">
        <f t="shared" si="245"/>
        <v>21.12</v>
      </c>
    </row>
    <row r="7812" spans="1:7" ht="12.75" customHeight="1">
      <c r="A7812" s="3">
        <v>91922</v>
      </c>
      <c r="B7812" s="4" t="s">
        <v>7836</v>
      </c>
      <c r="C7812" s="3" t="s">
        <v>6</v>
      </c>
      <c r="D7812" s="5">
        <f t="shared" si="244"/>
        <v>23.39</v>
      </c>
      <c r="E7812">
        <v>25.68</v>
      </c>
      <c r="F7812" s="1789">
        <v>8.8999999999999996E-2</v>
      </c>
      <c r="G7812">
        <f t="shared" si="245"/>
        <v>23.39</v>
      </c>
    </row>
    <row r="7813" spans="1:7" ht="12.75" customHeight="1">
      <c r="A7813" s="3">
        <v>93013</v>
      </c>
      <c r="B7813" s="4" t="s">
        <v>7837</v>
      </c>
      <c r="C7813" s="3" t="s">
        <v>6</v>
      </c>
      <c r="D7813" s="5">
        <f t="shared" si="244"/>
        <v>13.68</v>
      </c>
      <c r="E7813">
        <v>15.02</v>
      </c>
      <c r="F7813" s="1789">
        <v>8.8999999999999996E-2</v>
      </c>
      <c r="G7813">
        <f t="shared" si="245"/>
        <v>13.68</v>
      </c>
    </row>
    <row r="7814" spans="1:7" ht="12.75" customHeight="1">
      <c r="A7814" s="3">
        <v>93014</v>
      </c>
      <c r="B7814" s="4" t="s">
        <v>7838</v>
      </c>
      <c r="C7814" s="3" t="s">
        <v>6</v>
      </c>
      <c r="D7814" s="5">
        <f t="shared" si="244"/>
        <v>16.86</v>
      </c>
      <c r="E7814">
        <v>18.510000000000002</v>
      </c>
      <c r="F7814" s="1789">
        <v>8.8999999999999996E-2</v>
      </c>
      <c r="G7814">
        <f t="shared" si="245"/>
        <v>16.86</v>
      </c>
    </row>
    <row r="7815" spans="1:7" ht="12.75" customHeight="1">
      <c r="A7815" s="3">
        <v>93015</v>
      </c>
      <c r="B7815" s="4" t="s">
        <v>7839</v>
      </c>
      <c r="C7815" s="3" t="s">
        <v>6</v>
      </c>
      <c r="D7815" s="5">
        <f t="shared" si="244"/>
        <v>25.74</v>
      </c>
      <c r="E7815">
        <v>28.26</v>
      </c>
      <c r="F7815" s="1789">
        <v>8.8999999999999996E-2</v>
      </c>
      <c r="G7815">
        <f t="shared" si="245"/>
        <v>25.74</v>
      </c>
    </row>
    <row r="7816" spans="1:7" ht="12.75" customHeight="1">
      <c r="A7816" s="3">
        <v>93016</v>
      </c>
      <c r="B7816" s="4" t="s">
        <v>7840</v>
      </c>
      <c r="C7816" s="3" t="s">
        <v>6</v>
      </c>
      <c r="D7816" s="5">
        <f t="shared" si="244"/>
        <v>31.38</v>
      </c>
      <c r="E7816">
        <v>34.450000000000003</v>
      </c>
      <c r="F7816" s="1789">
        <v>8.8999999999999996E-2</v>
      </c>
      <c r="G7816">
        <f t="shared" si="245"/>
        <v>31.38</v>
      </c>
    </row>
    <row r="7817" spans="1:7" ht="12.75" customHeight="1">
      <c r="A7817" s="3">
        <v>93017</v>
      </c>
      <c r="B7817" s="4" t="s">
        <v>7841</v>
      </c>
      <c r="C7817" s="3" t="s">
        <v>6</v>
      </c>
      <c r="D7817" s="5">
        <f t="shared" si="244"/>
        <v>47.39</v>
      </c>
      <c r="E7817">
        <v>52.02</v>
      </c>
      <c r="F7817" s="1789">
        <v>8.8999999999999996E-2</v>
      </c>
      <c r="G7817">
        <f t="shared" si="245"/>
        <v>47.39</v>
      </c>
    </row>
    <row r="7818" spans="1:7" ht="12.75" customHeight="1">
      <c r="A7818" s="3">
        <v>93018</v>
      </c>
      <c r="B7818" s="4" t="s">
        <v>7842</v>
      </c>
      <c r="C7818" s="3" t="s">
        <v>6</v>
      </c>
      <c r="D7818" s="5">
        <f t="shared" si="244"/>
        <v>20.91</v>
      </c>
      <c r="E7818">
        <v>22.96</v>
      </c>
      <c r="F7818" s="1789">
        <v>8.8999999999999996E-2</v>
      </c>
      <c r="G7818">
        <f t="shared" si="245"/>
        <v>20.91</v>
      </c>
    </row>
    <row r="7819" spans="1:7" ht="12.75" customHeight="1">
      <c r="A7819" s="3">
        <v>93020</v>
      </c>
      <c r="B7819" s="4" t="s">
        <v>7843</v>
      </c>
      <c r="C7819" s="3" t="s">
        <v>6</v>
      </c>
      <c r="D7819" s="5">
        <f t="shared" si="244"/>
        <v>26.91</v>
      </c>
      <c r="E7819">
        <v>29.54</v>
      </c>
      <c r="F7819" s="1789">
        <v>8.8999999999999996E-2</v>
      </c>
      <c r="G7819">
        <f t="shared" si="245"/>
        <v>26.91</v>
      </c>
    </row>
    <row r="7820" spans="1:7" ht="12.75" customHeight="1">
      <c r="A7820" s="3">
        <v>93022</v>
      </c>
      <c r="B7820" s="4" t="s">
        <v>7844</v>
      </c>
      <c r="C7820" s="3" t="s">
        <v>6</v>
      </c>
      <c r="D7820" s="5">
        <f t="shared" si="244"/>
        <v>45.43</v>
      </c>
      <c r="E7820">
        <v>49.87</v>
      </c>
      <c r="F7820" s="1789">
        <v>8.8999999999999996E-2</v>
      </c>
      <c r="G7820">
        <f t="shared" si="245"/>
        <v>45.43</v>
      </c>
    </row>
    <row r="7821" spans="1:7" ht="12.75" customHeight="1">
      <c r="A7821" s="3">
        <v>93024</v>
      </c>
      <c r="B7821" s="4" t="s">
        <v>7845</v>
      </c>
      <c r="C7821" s="3" t="s">
        <v>6</v>
      </c>
      <c r="D7821" s="5">
        <f t="shared" si="244"/>
        <v>47.69</v>
      </c>
      <c r="E7821">
        <v>52.36</v>
      </c>
      <c r="F7821" s="1789">
        <v>8.8999999999999996E-2</v>
      </c>
      <c r="G7821">
        <f t="shared" si="245"/>
        <v>47.69</v>
      </c>
    </row>
    <row r="7822" spans="1:7" ht="12.75" customHeight="1">
      <c r="A7822" s="3">
        <v>93026</v>
      </c>
      <c r="B7822" s="4" t="s">
        <v>7846</v>
      </c>
      <c r="C7822" s="3" t="s">
        <v>6</v>
      </c>
      <c r="D7822" s="5">
        <f t="shared" si="244"/>
        <v>78.5</v>
      </c>
      <c r="E7822">
        <v>86.17</v>
      </c>
      <c r="F7822" s="1789">
        <v>8.8999999999999996E-2</v>
      </c>
      <c r="G7822">
        <f t="shared" si="245"/>
        <v>78.5</v>
      </c>
    </row>
    <row r="7823" spans="1:7" ht="12.75" customHeight="1">
      <c r="A7823" s="3">
        <v>97559</v>
      </c>
      <c r="B7823" s="4" t="s">
        <v>7847</v>
      </c>
      <c r="C7823" s="3" t="s">
        <v>6</v>
      </c>
      <c r="D7823" s="5">
        <f t="shared" si="244"/>
        <v>11.78</v>
      </c>
      <c r="E7823">
        <v>12.94</v>
      </c>
      <c r="F7823" s="1789">
        <v>8.8999999999999996E-2</v>
      </c>
      <c r="G7823">
        <f t="shared" si="245"/>
        <v>11.78</v>
      </c>
    </row>
    <row r="7824" spans="1:7" ht="12.75" customHeight="1">
      <c r="A7824" s="3">
        <v>97562</v>
      </c>
      <c r="B7824" s="4" t="s">
        <v>7848</v>
      </c>
      <c r="C7824" s="3" t="s">
        <v>6</v>
      </c>
      <c r="D7824" s="5">
        <f t="shared" si="244"/>
        <v>9.83</v>
      </c>
      <c r="E7824">
        <v>10.8</v>
      </c>
      <c r="F7824" s="1789">
        <v>8.8999999999999996E-2</v>
      </c>
      <c r="G7824">
        <f t="shared" si="245"/>
        <v>9.83</v>
      </c>
    </row>
    <row r="7825" spans="1:7" ht="12.75" customHeight="1">
      <c r="A7825" s="3">
        <v>97564</v>
      </c>
      <c r="B7825" s="4" t="s">
        <v>7849</v>
      </c>
      <c r="C7825" s="3" t="s">
        <v>6</v>
      </c>
      <c r="D7825" s="5">
        <f t="shared" si="244"/>
        <v>15.73</v>
      </c>
      <c r="E7825">
        <v>17.27</v>
      </c>
      <c r="F7825" s="1789">
        <v>8.8999999999999996E-2</v>
      </c>
      <c r="G7825">
        <f t="shared" si="245"/>
        <v>15.73</v>
      </c>
    </row>
    <row r="7826" spans="1:7" ht="12.75" customHeight="1">
      <c r="A7826" s="3">
        <v>104395</v>
      </c>
      <c r="B7826" s="4" t="s">
        <v>7850</v>
      </c>
      <c r="C7826" s="3" t="s">
        <v>6</v>
      </c>
      <c r="D7826" s="5">
        <f t="shared" si="244"/>
        <v>20</v>
      </c>
      <c r="E7826">
        <v>21.96</v>
      </c>
      <c r="F7826" s="1789">
        <v>8.8999999999999996E-2</v>
      </c>
      <c r="G7826">
        <f t="shared" si="245"/>
        <v>20</v>
      </c>
    </row>
    <row r="7827" spans="1:7" ht="12.75" customHeight="1">
      <c r="A7827" s="3">
        <v>91924</v>
      </c>
      <c r="B7827" s="4" t="s">
        <v>7851</v>
      </c>
      <c r="C7827" s="3" t="s">
        <v>50</v>
      </c>
      <c r="D7827" s="5">
        <f t="shared" si="244"/>
        <v>2.76</v>
      </c>
      <c r="E7827">
        <v>3.03</v>
      </c>
      <c r="F7827" s="1789">
        <v>8.8999999999999996E-2</v>
      </c>
      <c r="G7827">
        <f t="shared" si="245"/>
        <v>2.76</v>
      </c>
    </row>
    <row r="7828" spans="1:7" ht="12.75" customHeight="1">
      <c r="A7828" s="3">
        <v>91925</v>
      </c>
      <c r="B7828" s="4" t="s">
        <v>7852</v>
      </c>
      <c r="C7828" s="3" t="s">
        <v>50</v>
      </c>
      <c r="D7828" s="5">
        <f t="shared" si="244"/>
        <v>3.36</v>
      </c>
      <c r="E7828">
        <v>3.69</v>
      </c>
      <c r="F7828" s="1789">
        <v>8.8999999999999996E-2</v>
      </c>
      <c r="G7828">
        <f t="shared" si="245"/>
        <v>3.36</v>
      </c>
    </row>
    <row r="7829" spans="1:7" ht="12.75" customHeight="1">
      <c r="A7829" s="3">
        <v>91926</v>
      </c>
      <c r="B7829" s="4" t="s">
        <v>7853</v>
      </c>
      <c r="C7829" s="3" t="s">
        <v>50</v>
      </c>
      <c r="D7829" s="5">
        <f t="shared" ref="D7829:D7892" si="246">G7829</f>
        <v>4.03</v>
      </c>
      <c r="E7829">
        <v>4.43</v>
      </c>
      <c r="F7829" s="1789">
        <v>8.8999999999999996E-2</v>
      </c>
      <c r="G7829">
        <f t="shared" ref="G7829:G7892" si="247">TRUNC((1-F7829)*E7829,2)</f>
        <v>4.03</v>
      </c>
    </row>
    <row r="7830" spans="1:7" ht="12.75" customHeight="1">
      <c r="A7830" s="3">
        <v>91927</v>
      </c>
      <c r="B7830" s="4" t="s">
        <v>7854</v>
      </c>
      <c r="C7830" s="3" t="s">
        <v>50</v>
      </c>
      <c r="D7830" s="5">
        <f t="shared" si="246"/>
        <v>4.54</v>
      </c>
      <c r="E7830">
        <v>4.99</v>
      </c>
      <c r="F7830" s="1789">
        <v>8.8999999999999996E-2</v>
      </c>
      <c r="G7830">
        <f t="shared" si="247"/>
        <v>4.54</v>
      </c>
    </row>
    <row r="7831" spans="1:7" ht="12.75" customHeight="1">
      <c r="A7831" s="3">
        <v>91928</v>
      </c>
      <c r="B7831" s="4" t="s">
        <v>7855</v>
      </c>
      <c r="C7831" s="3" t="s">
        <v>50</v>
      </c>
      <c r="D7831" s="5">
        <f t="shared" si="246"/>
        <v>6.28</v>
      </c>
      <c r="E7831">
        <v>6.9</v>
      </c>
      <c r="F7831" s="1789">
        <v>8.8999999999999996E-2</v>
      </c>
      <c r="G7831">
        <f t="shared" si="247"/>
        <v>6.28</v>
      </c>
    </row>
    <row r="7832" spans="1:7" ht="12.75" customHeight="1">
      <c r="A7832" s="3">
        <v>91929</v>
      </c>
      <c r="B7832" s="4" t="s">
        <v>7856</v>
      </c>
      <c r="C7832" s="3" t="s">
        <v>50</v>
      </c>
      <c r="D7832" s="5">
        <f t="shared" si="246"/>
        <v>6.72</v>
      </c>
      <c r="E7832">
        <v>7.38</v>
      </c>
      <c r="F7832" s="1789">
        <v>8.8999999999999996E-2</v>
      </c>
      <c r="G7832">
        <f t="shared" si="247"/>
        <v>6.72</v>
      </c>
    </row>
    <row r="7833" spans="1:7" ht="12.75" customHeight="1">
      <c r="A7833" s="3">
        <v>91930</v>
      </c>
      <c r="B7833" s="4" t="s">
        <v>7857</v>
      </c>
      <c r="C7833" s="3" t="s">
        <v>50</v>
      </c>
      <c r="D7833" s="5">
        <f t="shared" si="246"/>
        <v>8.7899999999999991</v>
      </c>
      <c r="E7833">
        <v>9.65</v>
      </c>
      <c r="F7833" s="1789">
        <v>8.8999999999999996E-2</v>
      </c>
      <c r="G7833">
        <f t="shared" si="247"/>
        <v>8.7899999999999991</v>
      </c>
    </row>
    <row r="7834" spans="1:7" ht="12.75" customHeight="1">
      <c r="A7834" s="3">
        <v>91931</v>
      </c>
      <c r="B7834" s="4" t="s">
        <v>7858</v>
      </c>
      <c r="C7834" s="3" t="s">
        <v>50</v>
      </c>
      <c r="D7834" s="5">
        <f t="shared" si="246"/>
        <v>9.51</v>
      </c>
      <c r="E7834">
        <v>10.45</v>
      </c>
      <c r="F7834" s="1789">
        <v>8.8999999999999996E-2</v>
      </c>
      <c r="G7834">
        <f t="shared" si="247"/>
        <v>9.51</v>
      </c>
    </row>
    <row r="7835" spans="1:7" ht="12.75" customHeight="1">
      <c r="A7835" s="3">
        <v>91932</v>
      </c>
      <c r="B7835" s="4" t="s">
        <v>7859</v>
      </c>
      <c r="C7835" s="3" t="s">
        <v>50</v>
      </c>
      <c r="D7835" s="5">
        <f t="shared" si="246"/>
        <v>15.83</v>
      </c>
      <c r="E7835">
        <v>17.38</v>
      </c>
      <c r="F7835" s="1789">
        <v>8.8999999999999996E-2</v>
      </c>
      <c r="G7835">
        <f t="shared" si="247"/>
        <v>15.83</v>
      </c>
    </row>
    <row r="7836" spans="1:7" ht="12.75" customHeight="1">
      <c r="A7836" s="3">
        <v>91933</v>
      </c>
      <c r="B7836" s="4" t="s">
        <v>7860</v>
      </c>
      <c r="C7836" s="3" t="s">
        <v>50</v>
      </c>
      <c r="D7836" s="5">
        <f t="shared" si="246"/>
        <v>15.25</v>
      </c>
      <c r="E7836">
        <v>16.75</v>
      </c>
      <c r="F7836" s="1789">
        <v>8.8999999999999996E-2</v>
      </c>
      <c r="G7836">
        <f t="shared" si="247"/>
        <v>15.25</v>
      </c>
    </row>
    <row r="7837" spans="1:7" ht="12.75" customHeight="1">
      <c r="A7837" s="3">
        <v>91934</v>
      </c>
      <c r="B7837" s="4" t="s">
        <v>7861</v>
      </c>
      <c r="C7837" s="3" t="s">
        <v>50</v>
      </c>
      <c r="D7837" s="5">
        <f t="shared" si="246"/>
        <v>22.86</v>
      </c>
      <c r="E7837">
        <v>25.1</v>
      </c>
      <c r="F7837" s="1789">
        <v>8.8999999999999996E-2</v>
      </c>
      <c r="G7837">
        <f t="shared" si="247"/>
        <v>22.86</v>
      </c>
    </row>
    <row r="7838" spans="1:7" ht="12.75" customHeight="1">
      <c r="A7838" s="3">
        <v>91935</v>
      </c>
      <c r="B7838" s="4" t="s">
        <v>7862</v>
      </c>
      <c r="C7838" s="3" t="s">
        <v>50</v>
      </c>
      <c r="D7838" s="5">
        <f t="shared" si="246"/>
        <v>23.96</v>
      </c>
      <c r="E7838">
        <v>26.31</v>
      </c>
      <c r="F7838" s="1789">
        <v>8.8999999999999996E-2</v>
      </c>
      <c r="G7838">
        <f t="shared" si="247"/>
        <v>23.96</v>
      </c>
    </row>
    <row r="7839" spans="1:7" ht="12.75" customHeight="1">
      <c r="A7839" s="3">
        <v>92979</v>
      </c>
      <c r="B7839" s="4" t="s">
        <v>7863</v>
      </c>
      <c r="C7839" s="3" t="s">
        <v>50</v>
      </c>
      <c r="D7839" s="5">
        <f t="shared" si="246"/>
        <v>10.7</v>
      </c>
      <c r="E7839">
        <v>11.75</v>
      </c>
      <c r="F7839" s="1789">
        <v>8.8999999999999996E-2</v>
      </c>
      <c r="G7839">
        <f t="shared" si="247"/>
        <v>10.7</v>
      </c>
    </row>
    <row r="7840" spans="1:7" ht="12.75" customHeight="1">
      <c r="A7840" s="3">
        <v>92980</v>
      </c>
      <c r="B7840" s="4" t="s">
        <v>7864</v>
      </c>
      <c r="C7840" s="3" t="s">
        <v>50</v>
      </c>
      <c r="D7840" s="5">
        <f t="shared" si="246"/>
        <v>10.23</v>
      </c>
      <c r="E7840">
        <v>11.23</v>
      </c>
      <c r="F7840" s="1789">
        <v>8.8999999999999996E-2</v>
      </c>
      <c r="G7840">
        <f t="shared" si="247"/>
        <v>10.23</v>
      </c>
    </row>
    <row r="7841" spans="1:7" ht="12.75" customHeight="1">
      <c r="A7841" s="3">
        <v>92981</v>
      </c>
      <c r="B7841" s="4" t="s">
        <v>7865</v>
      </c>
      <c r="C7841" s="3" t="s">
        <v>50</v>
      </c>
      <c r="D7841" s="5">
        <f t="shared" si="246"/>
        <v>15.28</v>
      </c>
      <c r="E7841">
        <v>16.78</v>
      </c>
      <c r="F7841" s="1789">
        <v>8.8999999999999996E-2</v>
      </c>
      <c r="G7841">
        <f t="shared" si="247"/>
        <v>15.28</v>
      </c>
    </row>
    <row r="7842" spans="1:7" ht="12.75" customHeight="1">
      <c r="A7842" s="3">
        <v>92982</v>
      </c>
      <c r="B7842" s="4" t="s">
        <v>7866</v>
      </c>
      <c r="C7842" s="3" t="s">
        <v>50</v>
      </c>
      <c r="D7842" s="5">
        <f t="shared" si="246"/>
        <v>16.2</v>
      </c>
      <c r="E7842">
        <v>17.79</v>
      </c>
      <c r="F7842" s="1789">
        <v>8.8999999999999996E-2</v>
      </c>
      <c r="G7842">
        <f t="shared" si="247"/>
        <v>16.2</v>
      </c>
    </row>
    <row r="7843" spans="1:7" ht="12.75" customHeight="1">
      <c r="A7843" s="3">
        <v>92984</v>
      </c>
      <c r="B7843" s="4" t="s">
        <v>7867</v>
      </c>
      <c r="C7843" s="3" t="s">
        <v>50</v>
      </c>
      <c r="D7843" s="5">
        <f t="shared" si="246"/>
        <v>26.63</v>
      </c>
      <c r="E7843">
        <v>29.24</v>
      </c>
      <c r="F7843" s="1789">
        <v>8.8999999999999996E-2</v>
      </c>
      <c r="G7843">
        <f t="shared" si="247"/>
        <v>26.63</v>
      </c>
    </row>
    <row r="7844" spans="1:7" ht="12.75" customHeight="1">
      <c r="A7844" s="3">
        <v>92986</v>
      </c>
      <c r="B7844" s="4" t="s">
        <v>7868</v>
      </c>
      <c r="C7844" s="3" t="s">
        <v>50</v>
      </c>
      <c r="D7844" s="5">
        <f t="shared" si="246"/>
        <v>36.909999999999997</v>
      </c>
      <c r="E7844">
        <v>40.520000000000003</v>
      </c>
      <c r="F7844" s="1789">
        <v>8.8999999999999996E-2</v>
      </c>
      <c r="G7844">
        <f t="shared" si="247"/>
        <v>36.909999999999997</v>
      </c>
    </row>
    <row r="7845" spans="1:7" ht="12.75" customHeight="1">
      <c r="A7845" s="3">
        <v>92988</v>
      </c>
      <c r="B7845" s="4" t="s">
        <v>7869</v>
      </c>
      <c r="C7845" s="3" t="s">
        <v>50</v>
      </c>
      <c r="D7845" s="5">
        <f t="shared" si="246"/>
        <v>53.69</v>
      </c>
      <c r="E7845">
        <v>58.94</v>
      </c>
      <c r="F7845" s="1789">
        <v>8.8999999999999996E-2</v>
      </c>
      <c r="G7845">
        <f t="shared" si="247"/>
        <v>53.69</v>
      </c>
    </row>
    <row r="7846" spans="1:7" ht="12.75" customHeight="1">
      <c r="A7846" s="3">
        <v>92990</v>
      </c>
      <c r="B7846" s="4" t="s">
        <v>7870</v>
      </c>
      <c r="C7846" s="3" t="s">
        <v>50</v>
      </c>
      <c r="D7846" s="5">
        <f t="shared" si="246"/>
        <v>74.41</v>
      </c>
      <c r="E7846">
        <v>81.69</v>
      </c>
      <c r="F7846" s="1789">
        <v>8.8999999999999996E-2</v>
      </c>
      <c r="G7846">
        <f t="shared" si="247"/>
        <v>74.41</v>
      </c>
    </row>
    <row r="7847" spans="1:7" ht="12.75" customHeight="1">
      <c r="A7847" s="3">
        <v>92992</v>
      </c>
      <c r="B7847" s="4" t="s">
        <v>7871</v>
      </c>
      <c r="C7847" s="3" t="s">
        <v>50</v>
      </c>
      <c r="D7847" s="5">
        <f t="shared" si="246"/>
        <v>96.26</v>
      </c>
      <c r="E7847">
        <v>105.67</v>
      </c>
      <c r="F7847" s="1789">
        <v>8.8999999999999996E-2</v>
      </c>
      <c r="G7847">
        <f t="shared" si="247"/>
        <v>96.26</v>
      </c>
    </row>
    <row r="7848" spans="1:7" ht="12.75" customHeight="1">
      <c r="A7848" s="3">
        <v>92994</v>
      </c>
      <c r="B7848" s="4" t="s">
        <v>7872</v>
      </c>
      <c r="C7848" s="3" t="s">
        <v>50</v>
      </c>
      <c r="D7848" s="5">
        <f t="shared" si="246"/>
        <v>125.18</v>
      </c>
      <c r="E7848">
        <v>137.41</v>
      </c>
      <c r="F7848" s="1789">
        <v>8.8999999999999996E-2</v>
      </c>
      <c r="G7848">
        <f t="shared" si="247"/>
        <v>125.18</v>
      </c>
    </row>
    <row r="7849" spans="1:7" ht="12.75" customHeight="1">
      <c r="A7849" s="3">
        <v>92996</v>
      </c>
      <c r="B7849" s="4" t="s">
        <v>7873</v>
      </c>
      <c r="C7849" s="3" t="s">
        <v>50</v>
      </c>
      <c r="D7849" s="5">
        <f t="shared" si="246"/>
        <v>151.47999999999999</v>
      </c>
      <c r="E7849">
        <v>166.28</v>
      </c>
      <c r="F7849" s="1789">
        <v>8.8999999999999996E-2</v>
      </c>
      <c r="G7849">
        <f t="shared" si="247"/>
        <v>151.47999999999999</v>
      </c>
    </row>
    <row r="7850" spans="1:7" ht="12.75" customHeight="1">
      <c r="A7850" s="3">
        <v>92998</v>
      </c>
      <c r="B7850" s="4" t="s">
        <v>7874</v>
      </c>
      <c r="C7850" s="3" t="s">
        <v>50</v>
      </c>
      <c r="D7850" s="5">
        <f t="shared" si="246"/>
        <v>185.68</v>
      </c>
      <c r="E7850">
        <v>203.83</v>
      </c>
      <c r="F7850" s="1789">
        <v>8.8999999999999996E-2</v>
      </c>
      <c r="G7850">
        <f t="shared" si="247"/>
        <v>185.68</v>
      </c>
    </row>
    <row r="7851" spans="1:7" ht="12.75" customHeight="1">
      <c r="A7851" s="3">
        <v>93000</v>
      </c>
      <c r="B7851" s="4" t="s">
        <v>7875</v>
      </c>
      <c r="C7851" s="3" t="s">
        <v>50</v>
      </c>
      <c r="D7851" s="5">
        <f t="shared" si="246"/>
        <v>245.96</v>
      </c>
      <c r="E7851">
        <v>269.99</v>
      </c>
      <c r="F7851" s="1789">
        <v>8.8999999999999996E-2</v>
      </c>
      <c r="G7851">
        <f t="shared" si="247"/>
        <v>245.96</v>
      </c>
    </row>
    <row r="7852" spans="1:7" ht="12.75" customHeight="1">
      <c r="A7852" s="3">
        <v>93002</v>
      </c>
      <c r="B7852" s="4" t="s">
        <v>7876</v>
      </c>
      <c r="C7852" s="3" t="s">
        <v>50</v>
      </c>
      <c r="D7852" s="5">
        <f t="shared" si="246"/>
        <v>318.17</v>
      </c>
      <c r="E7852">
        <v>349.26</v>
      </c>
      <c r="F7852" s="1789">
        <v>8.8999999999999996E-2</v>
      </c>
      <c r="G7852">
        <f t="shared" si="247"/>
        <v>318.17</v>
      </c>
    </row>
    <row r="7853" spans="1:7" ht="12.75" customHeight="1">
      <c r="A7853" s="3">
        <v>101884</v>
      </c>
      <c r="B7853" s="4" t="s">
        <v>7877</v>
      </c>
      <c r="C7853" s="3" t="s">
        <v>50</v>
      </c>
      <c r="D7853" s="5">
        <f t="shared" si="246"/>
        <v>10.47</v>
      </c>
      <c r="E7853">
        <v>11.5</v>
      </c>
      <c r="F7853" s="1789">
        <v>8.8999999999999996E-2</v>
      </c>
      <c r="G7853">
        <f t="shared" si="247"/>
        <v>10.47</v>
      </c>
    </row>
    <row r="7854" spans="1:7" ht="12.75" customHeight="1">
      <c r="A7854" s="3">
        <v>101885</v>
      </c>
      <c r="B7854" s="4" t="s">
        <v>7878</v>
      </c>
      <c r="C7854" s="3" t="s">
        <v>50</v>
      </c>
      <c r="D7854" s="5">
        <f t="shared" si="246"/>
        <v>10</v>
      </c>
      <c r="E7854">
        <v>10.98</v>
      </c>
      <c r="F7854" s="1789">
        <v>8.8999999999999996E-2</v>
      </c>
      <c r="G7854">
        <f t="shared" si="247"/>
        <v>10</v>
      </c>
    </row>
    <row r="7855" spans="1:7" ht="12.75" customHeight="1">
      <c r="A7855" s="3">
        <v>101886</v>
      </c>
      <c r="B7855" s="4" t="s">
        <v>7879</v>
      </c>
      <c r="C7855" s="3" t="s">
        <v>50</v>
      </c>
      <c r="D7855" s="5">
        <f t="shared" si="246"/>
        <v>15.02</v>
      </c>
      <c r="E7855">
        <v>16.489999999999998</v>
      </c>
      <c r="F7855" s="1789">
        <v>8.8999999999999996E-2</v>
      </c>
      <c r="G7855">
        <f t="shared" si="247"/>
        <v>15.02</v>
      </c>
    </row>
    <row r="7856" spans="1:7" ht="12.75" customHeight="1">
      <c r="A7856" s="3">
        <v>101887</v>
      </c>
      <c r="B7856" s="4" t="s">
        <v>7880</v>
      </c>
      <c r="C7856" s="3" t="s">
        <v>50</v>
      </c>
      <c r="D7856" s="5">
        <f t="shared" si="246"/>
        <v>15.94</v>
      </c>
      <c r="E7856">
        <v>17.5</v>
      </c>
      <c r="F7856" s="1789">
        <v>8.8999999999999996E-2</v>
      </c>
      <c r="G7856">
        <f t="shared" si="247"/>
        <v>15.94</v>
      </c>
    </row>
    <row r="7857" spans="1:7" ht="12.75" customHeight="1">
      <c r="A7857" s="3">
        <v>101888</v>
      </c>
      <c r="B7857" s="4" t="s">
        <v>7881</v>
      </c>
      <c r="C7857" s="3" t="s">
        <v>50</v>
      </c>
      <c r="D7857" s="5">
        <f t="shared" si="246"/>
        <v>23.55</v>
      </c>
      <c r="E7857">
        <v>25.86</v>
      </c>
      <c r="F7857" s="1789">
        <v>8.8999999999999996E-2</v>
      </c>
      <c r="G7857">
        <f t="shared" si="247"/>
        <v>23.55</v>
      </c>
    </row>
    <row r="7858" spans="1:7" ht="12.75" customHeight="1">
      <c r="A7858" s="3">
        <v>101889</v>
      </c>
      <c r="B7858" s="4" t="s">
        <v>7882</v>
      </c>
      <c r="C7858" s="3" t="s">
        <v>50</v>
      </c>
      <c r="D7858" s="5">
        <f t="shared" si="246"/>
        <v>24.75</v>
      </c>
      <c r="E7858">
        <v>27.17</v>
      </c>
      <c r="F7858" s="1789">
        <v>8.8999999999999996E-2</v>
      </c>
      <c r="G7858">
        <f t="shared" si="247"/>
        <v>24.75</v>
      </c>
    </row>
    <row r="7859" spans="1:7" ht="12.75" customHeight="1">
      <c r="A7859" s="3">
        <v>91936</v>
      </c>
      <c r="B7859" s="4" t="s">
        <v>7883</v>
      </c>
      <c r="C7859" s="3" t="s">
        <v>6</v>
      </c>
      <c r="D7859" s="5">
        <f t="shared" si="246"/>
        <v>16.309999999999999</v>
      </c>
      <c r="E7859">
        <v>17.91</v>
      </c>
      <c r="F7859" s="1789">
        <v>8.8999999999999996E-2</v>
      </c>
      <c r="G7859">
        <f t="shared" si="247"/>
        <v>16.309999999999999</v>
      </c>
    </row>
    <row r="7860" spans="1:7" ht="12.75" customHeight="1">
      <c r="A7860" s="3">
        <v>91937</v>
      </c>
      <c r="B7860" s="4" t="s">
        <v>7884</v>
      </c>
      <c r="C7860" s="3" t="s">
        <v>6</v>
      </c>
      <c r="D7860" s="5">
        <f t="shared" si="246"/>
        <v>14.32</v>
      </c>
      <c r="E7860">
        <v>15.72</v>
      </c>
      <c r="F7860" s="1789">
        <v>8.8999999999999996E-2</v>
      </c>
      <c r="G7860">
        <f t="shared" si="247"/>
        <v>14.32</v>
      </c>
    </row>
    <row r="7861" spans="1:7" ht="12.75" customHeight="1">
      <c r="A7861" s="3">
        <v>91939</v>
      </c>
      <c r="B7861" s="4" t="s">
        <v>7885</v>
      </c>
      <c r="C7861" s="3" t="s">
        <v>6</v>
      </c>
      <c r="D7861" s="5">
        <f t="shared" si="246"/>
        <v>27.44</v>
      </c>
      <c r="E7861">
        <v>30.13</v>
      </c>
      <c r="F7861" s="1789">
        <v>8.8999999999999996E-2</v>
      </c>
      <c r="G7861">
        <f t="shared" si="247"/>
        <v>27.44</v>
      </c>
    </row>
    <row r="7862" spans="1:7" ht="12.75" customHeight="1">
      <c r="A7862" s="3">
        <v>91940</v>
      </c>
      <c r="B7862" s="4" t="s">
        <v>7886</v>
      </c>
      <c r="C7862" s="3" t="s">
        <v>6</v>
      </c>
      <c r="D7862" s="5">
        <f t="shared" si="246"/>
        <v>15.97</v>
      </c>
      <c r="E7862">
        <v>17.54</v>
      </c>
      <c r="F7862" s="1789">
        <v>8.8999999999999996E-2</v>
      </c>
      <c r="G7862">
        <f t="shared" si="247"/>
        <v>15.97</v>
      </c>
    </row>
    <row r="7863" spans="1:7" ht="12.75" customHeight="1">
      <c r="A7863" s="3">
        <v>91941</v>
      </c>
      <c r="B7863" s="4" t="s">
        <v>7887</v>
      </c>
      <c r="C7863" s="3" t="s">
        <v>6</v>
      </c>
      <c r="D7863" s="5">
        <f t="shared" si="246"/>
        <v>10.34</v>
      </c>
      <c r="E7863">
        <v>11.36</v>
      </c>
      <c r="F7863" s="1789">
        <v>8.8999999999999996E-2</v>
      </c>
      <c r="G7863">
        <f t="shared" si="247"/>
        <v>10.34</v>
      </c>
    </row>
    <row r="7864" spans="1:7" ht="12.75" customHeight="1">
      <c r="A7864" s="3">
        <v>91942</v>
      </c>
      <c r="B7864" s="4" t="s">
        <v>7888</v>
      </c>
      <c r="C7864" s="3" t="s">
        <v>6</v>
      </c>
      <c r="D7864" s="5">
        <f t="shared" si="246"/>
        <v>30.96</v>
      </c>
      <c r="E7864">
        <v>33.99</v>
      </c>
      <c r="F7864" s="1789">
        <v>8.8999999999999996E-2</v>
      </c>
      <c r="G7864">
        <f t="shared" si="247"/>
        <v>30.96</v>
      </c>
    </row>
    <row r="7865" spans="1:7" ht="12.75" customHeight="1">
      <c r="A7865" s="3">
        <v>91943</v>
      </c>
      <c r="B7865" s="4" t="s">
        <v>7889</v>
      </c>
      <c r="C7865" s="3" t="s">
        <v>6</v>
      </c>
      <c r="D7865" s="5">
        <f t="shared" si="246"/>
        <v>19.079999999999998</v>
      </c>
      <c r="E7865">
        <v>20.95</v>
      </c>
      <c r="F7865" s="1789">
        <v>8.8999999999999996E-2</v>
      </c>
      <c r="G7865">
        <f t="shared" si="247"/>
        <v>19.079999999999998</v>
      </c>
    </row>
    <row r="7866" spans="1:7" ht="12.75" customHeight="1">
      <c r="A7866" s="3">
        <v>91944</v>
      </c>
      <c r="B7866" s="4" t="s">
        <v>7890</v>
      </c>
      <c r="C7866" s="3" t="s">
        <v>6</v>
      </c>
      <c r="D7866" s="5">
        <f t="shared" si="246"/>
        <v>13.23</v>
      </c>
      <c r="E7866">
        <v>14.53</v>
      </c>
      <c r="F7866" s="1789">
        <v>8.8999999999999996E-2</v>
      </c>
      <c r="G7866">
        <f t="shared" si="247"/>
        <v>13.23</v>
      </c>
    </row>
    <row r="7867" spans="1:7" ht="12.75" customHeight="1">
      <c r="A7867" s="3">
        <v>92865</v>
      </c>
      <c r="B7867" s="4" t="s">
        <v>7891</v>
      </c>
      <c r="C7867" s="3" t="s">
        <v>6</v>
      </c>
      <c r="D7867" s="5">
        <f t="shared" si="246"/>
        <v>13.65</v>
      </c>
      <c r="E7867">
        <v>14.99</v>
      </c>
      <c r="F7867" s="1789">
        <v>8.8999999999999996E-2</v>
      </c>
      <c r="G7867">
        <f t="shared" si="247"/>
        <v>13.65</v>
      </c>
    </row>
    <row r="7868" spans="1:7" ht="12.75" customHeight="1">
      <c r="A7868" s="3">
        <v>92866</v>
      </c>
      <c r="B7868" s="4" t="s">
        <v>7892</v>
      </c>
      <c r="C7868" s="3" t="s">
        <v>6</v>
      </c>
      <c r="D7868" s="5">
        <f t="shared" si="246"/>
        <v>11.57</v>
      </c>
      <c r="E7868">
        <v>12.71</v>
      </c>
      <c r="F7868" s="1789">
        <v>8.8999999999999996E-2</v>
      </c>
      <c r="G7868">
        <f t="shared" si="247"/>
        <v>11.57</v>
      </c>
    </row>
    <row r="7869" spans="1:7" ht="12.75" customHeight="1">
      <c r="A7869" s="3">
        <v>92867</v>
      </c>
      <c r="B7869" s="4" t="s">
        <v>7893</v>
      </c>
      <c r="C7869" s="3" t="s">
        <v>6</v>
      </c>
      <c r="D7869" s="5">
        <f t="shared" si="246"/>
        <v>26.75</v>
      </c>
      <c r="E7869">
        <v>29.37</v>
      </c>
      <c r="F7869" s="1789">
        <v>8.8999999999999996E-2</v>
      </c>
      <c r="G7869">
        <f t="shared" si="247"/>
        <v>26.75</v>
      </c>
    </row>
    <row r="7870" spans="1:7" ht="12.75" customHeight="1">
      <c r="A7870" s="3">
        <v>92868</v>
      </c>
      <c r="B7870" s="4" t="s">
        <v>7894</v>
      </c>
      <c r="C7870" s="3" t="s">
        <v>6</v>
      </c>
      <c r="D7870" s="5">
        <f t="shared" si="246"/>
        <v>15.28</v>
      </c>
      <c r="E7870">
        <v>16.78</v>
      </c>
      <c r="F7870" s="1789">
        <v>8.8999999999999996E-2</v>
      </c>
      <c r="G7870">
        <f t="shared" si="247"/>
        <v>15.28</v>
      </c>
    </row>
    <row r="7871" spans="1:7" ht="12.75" customHeight="1">
      <c r="A7871" s="3">
        <v>92869</v>
      </c>
      <c r="B7871" s="4" t="s">
        <v>7895</v>
      </c>
      <c r="C7871" s="3" t="s">
        <v>6</v>
      </c>
      <c r="D7871" s="5">
        <f t="shared" si="246"/>
        <v>9.65</v>
      </c>
      <c r="E7871">
        <v>10.6</v>
      </c>
      <c r="F7871" s="1789">
        <v>8.8999999999999996E-2</v>
      </c>
      <c r="G7871">
        <f t="shared" si="247"/>
        <v>9.65</v>
      </c>
    </row>
    <row r="7872" spans="1:7" ht="12.75" customHeight="1">
      <c r="A7872" s="3">
        <v>92870</v>
      </c>
      <c r="B7872" s="4" t="s">
        <v>7896</v>
      </c>
      <c r="C7872" s="3" t="s">
        <v>6</v>
      </c>
      <c r="D7872" s="5">
        <f t="shared" si="246"/>
        <v>29.8</v>
      </c>
      <c r="E7872">
        <v>32.72</v>
      </c>
      <c r="F7872" s="1789">
        <v>8.8999999999999996E-2</v>
      </c>
      <c r="G7872">
        <f t="shared" si="247"/>
        <v>29.8</v>
      </c>
    </row>
    <row r="7873" spans="1:7" ht="12.75" customHeight="1">
      <c r="A7873" s="3">
        <v>92871</v>
      </c>
      <c r="B7873" s="4" t="s">
        <v>7897</v>
      </c>
      <c r="C7873" s="3" t="s">
        <v>6</v>
      </c>
      <c r="D7873" s="5">
        <f t="shared" si="246"/>
        <v>17.920000000000002</v>
      </c>
      <c r="E7873">
        <v>19.68</v>
      </c>
      <c r="F7873" s="1789">
        <v>8.8999999999999996E-2</v>
      </c>
      <c r="G7873">
        <f t="shared" si="247"/>
        <v>17.920000000000002</v>
      </c>
    </row>
    <row r="7874" spans="1:7" ht="12.75" customHeight="1">
      <c r="A7874" s="3">
        <v>92872</v>
      </c>
      <c r="B7874" s="4" t="s">
        <v>7898</v>
      </c>
      <c r="C7874" s="3" t="s">
        <v>6</v>
      </c>
      <c r="D7874" s="5">
        <f t="shared" si="246"/>
        <v>12.07</v>
      </c>
      <c r="E7874">
        <v>13.26</v>
      </c>
      <c r="F7874" s="1789">
        <v>8.8999999999999996E-2</v>
      </c>
      <c r="G7874">
        <f t="shared" si="247"/>
        <v>12.07</v>
      </c>
    </row>
    <row r="7875" spans="1:7" ht="12.75" customHeight="1">
      <c r="A7875" s="3">
        <v>95777</v>
      </c>
      <c r="B7875" s="4" t="s">
        <v>7899</v>
      </c>
      <c r="C7875" s="3" t="s">
        <v>6</v>
      </c>
      <c r="D7875" s="5">
        <f t="shared" si="246"/>
        <v>21.83</v>
      </c>
      <c r="E7875">
        <v>23.97</v>
      </c>
      <c r="F7875" s="1789">
        <v>8.8999999999999996E-2</v>
      </c>
      <c r="G7875">
        <f t="shared" si="247"/>
        <v>21.83</v>
      </c>
    </row>
    <row r="7876" spans="1:7" ht="12.75" customHeight="1">
      <c r="A7876" s="3">
        <v>95778</v>
      </c>
      <c r="B7876" s="4" t="s">
        <v>7900</v>
      </c>
      <c r="C7876" s="3" t="s">
        <v>6</v>
      </c>
      <c r="D7876" s="5">
        <f t="shared" si="246"/>
        <v>24.39</v>
      </c>
      <c r="E7876">
        <v>26.78</v>
      </c>
      <c r="F7876" s="1789">
        <v>8.8999999999999996E-2</v>
      </c>
      <c r="G7876">
        <f t="shared" si="247"/>
        <v>24.39</v>
      </c>
    </row>
    <row r="7877" spans="1:7" ht="12.75" customHeight="1">
      <c r="A7877" s="3">
        <v>95779</v>
      </c>
      <c r="B7877" s="4" t="s">
        <v>7901</v>
      </c>
      <c r="C7877" s="3" t="s">
        <v>6</v>
      </c>
      <c r="D7877" s="5">
        <f t="shared" si="246"/>
        <v>20.25</v>
      </c>
      <c r="E7877">
        <v>22.23</v>
      </c>
      <c r="F7877" s="1789">
        <v>8.8999999999999996E-2</v>
      </c>
      <c r="G7877">
        <f t="shared" si="247"/>
        <v>20.25</v>
      </c>
    </row>
    <row r="7878" spans="1:7" ht="12.75" customHeight="1">
      <c r="A7878" s="3">
        <v>95780</v>
      </c>
      <c r="B7878" s="4" t="s">
        <v>7902</v>
      </c>
      <c r="C7878" s="3" t="s">
        <v>6</v>
      </c>
      <c r="D7878" s="5">
        <f t="shared" si="246"/>
        <v>26.09</v>
      </c>
      <c r="E7878">
        <v>28.64</v>
      </c>
      <c r="F7878" s="1789">
        <v>8.8999999999999996E-2</v>
      </c>
      <c r="G7878">
        <f t="shared" si="247"/>
        <v>26.09</v>
      </c>
    </row>
    <row r="7879" spans="1:7" ht="12.75" customHeight="1">
      <c r="A7879" s="3">
        <v>95781</v>
      </c>
      <c r="B7879" s="4" t="s">
        <v>7903</v>
      </c>
      <c r="C7879" s="3" t="s">
        <v>6</v>
      </c>
      <c r="D7879" s="5">
        <f t="shared" si="246"/>
        <v>29.58</v>
      </c>
      <c r="E7879">
        <v>32.479999999999997</v>
      </c>
      <c r="F7879" s="1789">
        <v>8.8999999999999996E-2</v>
      </c>
      <c r="G7879">
        <f t="shared" si="247"/>
        <v>29.58</v>
      </c>
    </row>
    <row r="7880" spans="1:7" ht="12.75" customHeight="1">
      <c r="A7880" s="3">
        <v>95782</v>
      </c>
      <c r="B7880" s="4" t="s">
        <v>7904</v>
      </c>
      <c r="C7880" s="3" t="s">
        <v>6</v>
      </c>
      <c r="D7880" s="5">
        <f t="shared" si="246"/>
        <v>27.9</v>
      </c>
      <c r="E7880">
        <v>30.63</v>
      </c>
      <c r="F7880" s="1789">
        <v>8.8999999999999996E-2</v>
      </c>
      <c r="G7880">
        <f t="shared" si="247"/>
        <v>27.9</v>
      </c>
    </row>
    <row r="7881" spans="1:7" ht="12.75" customHeight="1">
      <c r="A7881" s="3">
        <v>95785</v>
      </c>
      <c r="B7881" s="4" t="s">
        <v>7905</v>
      </c>
      <c r="C7881" s="3" t="s">
        <v>6</v>
      </c>
      <c r="D7881" s="5">
        <f t="shared" si="246"/>
        <v>33.1</v>
      </c>
      <c r="E7881">
        <v>36.340000000000003</v>
      </c>
      <c r="F7881" s="1789">
        <v>8.8999999999999996E-2</v>
      </c>
      <c r="G7881">
        <f t="shared" si="247"/>
        <v>33.1</v>
      </c>
    </row>
    <row r="7882" spans="1:7" ht="12.75" customHeight="1">
      <c r="A7882" s="3">
        <v>95787</v>
      </c>
      <c r="B7882" s="4" t="s">
        <v>7906</v>
      </c>
      <c r="C7882" s="3" t="s">
        <v>6</v>
      </c>
      <c r="D7882" s="5">
        <f t="shared" si="246"/>
        <v>24.35</v>
      </c>
      <c r="E7882">
        <v>26.73</v>
      </c>
      <c r="F7882" s="1789">
        <v>8.8999999999999996E-2</v>
      </c>
      <c r="G7882">
        <f t="shared" si="247"/>
        <v>24.35</v>
      </c>
    </row>
    <row r="7883" spans="1:7" ht="12.75" customHeight="1">
      <c r="A7883" s="3">
        <v>95789</v>
      </c>
      <c r="B7883" s="4" t="s">
        <v>7907</v>
      </c>
      <c r="C7883" s="3" t="s">
        <v>6</v>
      </c>
      <c r="D7883" s="5">
        <f t="shared" si="246"/>
        <v>33.36</v>
      </c>
      <c r="E7883">
        <v>36.619999999999997</v>
      </c>
      <c r="F7883" s="1789">
        <v>8.8999999999999996E-2</v>
      </c>
      <c r="G7883">
        <f t="shared" si="247"/>
        <v>33.36</v>
      </c>
    </row>
    <row r="7884" spans="1:7" ht="12.75" customHeight="1">
      <c r="A7884" s="3">
        <v>95791</v>
      </c>
      <c r="B7884" s="4" t="s">
        <v>7908</v>
      </c>
      <c r="C7884" s="3" t="s">
        <v>6</v>
      </c>
      <c r="D7884" s="5">
        <f t="shared" si="246"/>
        <v>46.57</v>
      </c>
      <c r="E7884">
        <v>51.12</v>
      </c>
      <c r="F7884" s="1789">
        <v>8.8999999999999996E-2</v>
      </c>
      <c r="G7884">
        <f t="shared" si="247"/>
        <v>46.57</v>
      </c>
    </row>
    <row r="7885" spans="1:7" ht="12.75" customHeight="1">
      <c r="A7885" s="3">
        <v>95795</v>
      </c>
      <c r="B7885" s="4" t="s">
        <v>7909</v>
      </c>
      <c r="C7885" s="3" t="s">
        <v>6</v>
      </c>
      <c r="D7885" s="5">
        <f t="shared" si="246"/>
        <v>27.77</v>
      </c>
      <c r="E7885">
        <v>30.49</v>
      </c>
      <c r="F7885" s="1789">
        <v>8.8999999999999996E-2</v>
      </c>
      <c r="G7885">
        <f t="shared" si="247"/>
        <v>27.77</v>
      </c>
    </row>
    <row r="7886" spans="1:7" ht="12.75" customHeight="1">
      <c r="A7886" s="3">
        <v>95796</v>
      </c>
      <c r="B7886" s="4" t="s">
        <v>7910</v>
      </c>
      <c r="C7886" s="3" t="s">
        <v>6</v>
      </c>
      <c r="D7886" s="5">
        <f t="shared" si="246"/>
        <v>39.19</v>
      </c>
      <c r="E7886">
        <v>43.02</v>
      </c>
      <c r="F7886" s="1789">
        <v>8.8999999999999996E-2</v>
      </c>
      <c r="G7886">
        <f t="shared" si="247"/>
        <v>39.19</v>
      </c>
    </row>
    <row r="7887" spans="1:7" ht="12.75" customHeight="1">
      <c r="A7887" s="3">
        <v>95797</v>
      </c>
      <c r="B7887" s="4" t="s">
        <v>7911</v>
      </c>
      <c r="C7887" s="3" t="s">
        <v>6</v>
      </c>
      <c r="D7887" s="5">
        <f t="shared" si="246"/>
        <v>54.35</v>
      </c>
      <c r="E7887">
        <v>59.66</v>
      </c>
      <c r="F7887" s="1789">
        <v>8.8999999999999996E-2</v>
      </c>
      <c r="G7887">
        <f t="shared" si="247"/>
        <v>54.35</v>
      </c>
    </row>
    <row r="7888" spans="1:7" ht="12.75" customHeight="1">
      <c r="A7888" s="3">
        <v>95801</v>
      </c>
      <c r="B7888" s="4" t="s">
        <v>7912</v>
      </c>
      <c r="C7888" s="3" t="s">
        <v>6</v>
      </c>
      <c r="D7888" s="5">
        <f t="shared" si="246"/>
        <v>33.340000000000003</v>
      </c>
      <c r="E7888">
        <v>36.6</v>
      </c>
      <c r="F7888" s="1789">
        <v>8.8999999999999996E-2</v>
      </c>
      <c r="G7888">
        <f t="shared" si="247"/>
        <v>33.340000000000003</v>
      </c>
    </row>
    <row r="7889" spans="1:7" ht="12.75" customHeight="1">
      <c r="A7889" s="3">
        <v>95802</v>
      </c>
      <c r="B7889" s="4" t="s">
        <v>7913</v>
      </c>
      <c r="C7889" s="3" t="s">
        <v>6</v>
      </c>
      <c r="D7889" s="5">
        <f t="shared" si="246"/>
        <v>41.38</v>
      </c>
      <c r="E7889">
        <v>45.43</v>
      </c>
      <c r="F7889" s="1789">
        <v>8.8999999999999996E-2</v>
      </c>
      <c r="G7889">
        <f t="shared" si="247"/>
        <v>41.38</v>
      </c>
    </row>
    <row r="7890" spans="1:7" ht="12.75" customHeight="1">
      <c r="A7890" s="3">
        <v>95803</v>
      </c>
      <c r="B7890" s="4" t="s">
        <v>7914</v>
      </c>
      <c r="C7890" s="3" t="s">
        <v>6</v>
      </c>
      <c r="D7890" s="5">
        <f t="shared" si="246"/>
        <v>60.47</v>
      </c>
      <c r="E7890">
        <v>66.38</v>
      </c>
      <c r="F7890" s="1789">
        <v>8.8999999999999996E-2</v>
      </c>
      <c r="G7890">
        <f t="shared" si="247"/>
        <v>60.47</v>
      </c>
    </row>
    <row r="7891" spans="1:7" ht="12.75" customHeight="1">
      <c r="A7891" s="3">
        <v>95804</v>
      </c>
      <c r="B7891" s="4" t="s">
        <v>7915</v>
      </c>
      <c r="C7891" s="3" t="s">
        <v>6</v>
      </c>
      <c r="D7891" s="5">
        <f t="shared" si="246"/>
        <v>20.48</v>
      </c>
      <c r="E7891">
        <v>22.49</v>
      </c>
      <c r="F7891" s="1789">
        <v>8.8999999999999996E-2</v>
      </c>
      <c r="G7891">
        <f t="shared" si="247"/>
        <v>20.48</v>
      </c>
    </row>
    <row r="7892" spans="1:7" ht="12.75" customHeight="1">
      <c r="A7892" s="3">
        <v>95805</v>
      </c>
      <c r="B7892" s="4" t="s">
        <v>7916</v>
      </c>
      <c r="C7892" s="3" t="s">
        <v>6</v>
      </c>
      <c r="D7892" s="5">
        <f t="shared" si="246"/>
        <v>21.59</v>
      </c>
      <c r="E7892">
        <v>23.7</v>
      </c>
      <c r="F7892" s="1789">
        <v>8.8999999999999996E-2</v>
      </c>
      <c r="G7892">
        <f t="shared" si="247"/>
        <v>21.59</v>
      </c>
    </row>
    <row r="7893" spans="1:7" ht="12.75" customHeight="1">
      <c r="A7893" s="3">
        <v>95806</v>
      </c>
      <c r="B7893" s="4" t="s">
        <v>7917</v>
      </c>
      <c r="C7893" s="3" t="s">
        <v>6</v>
      </c>
      <c r="D7893" s="5">
        <f t="shared" ref="D7893:D7956" si="248">G7893</f>
        <v>23.62</v>
      </c>
      <c r="E7893">
        <v>25.93</v>
      </c>
      <c r="F7893" s="1789">
        <v>8.8999999999999996E-2</v>
      </c>
      <c r="G7893">
        <f t="shared" ref="G7893:G7956" si="249">TRUNC((1-F7893)*E7893,2)</f>
        <v>23.62</v>
      </c>
    </row>
    <row r="7894" spans="1:7" ht="12.75" customHeight="1">
      <c r="A7894" s="3">
        <v>95807</v>
      </c>
      <c r="B7894" s="4" t="s">
        <v>7918</v>
      </c>
      <c r="C7894" s="3" t="s">
        <v>6</v>
      </c>
      <c r="D7894" s="5">
        <f t="shared" si="248"/>
        <v>23.99</v>
      </c>
      <c r="E7894">
        <v>26.34</v>
      </c>
      <c r="F7894" s="1789">
        <v>8.8999999999999996E-2</v>
      </c>
      <c r="G7894">
        <f t="shared" si="249"/>
        <v>23.99</v>
      </c>
    </row>
    <row r="7895" spans="1:7" ht="12.75" customHeight="1">
      <c r="A7895" s="3">
        <v>95808</v>
      </c>
      <c r="B7895" s="4" t="s">
        <v>7919</v>
      </c>
      <c r="C7895" s="3" t="s">
        <v>6</v>
      </c>
      <c r="D7895" s="5">
        <f t="shared" si="248"/>
        <v>27.3</v>
      </c>
      <c r="E7895">
        <v>29.97</v>
      </c>
      <c r="F7895" s="1789">
        <v>8.8999999999999996E-2</v>
      </c>
      <c r="G7895">
        <f t="shared" si="249"/>
        <v>27.3</v>
      </c>
    </row>
    <row r="7896" spans="1:7" ht="12.75" customHeight="1">
      <c r="A7896" s="3">
        <v>95809</v>
      </c>
      <c r="B7896" s="4" t="s">
        <v>7920</v>
      </c>
      <c r="C7896" s="3" t="s">
        <v>6</v>
      </c>
      <c r="D7896" s="5">
        <f t="shared" si="248"/>
        <v>33.840000000000003</v>
      </c>
      <c r="E7896">
        <v>37.15</v>
      </c>
      <c r="F7896" s="1789">
        <v>8.8999999999999996E-2</v>
      </c>
      <c r="G7896">
        <f t="shared" si="249"/>
        <v>33.840000000000003</v>
      </c>
    </row>
    <row r="7897" spans="1:7" ht="12.75" customHeight="1">
      <c r="A7897" s="3">
        <v>95810</v>
      </c>
      <c r="B7897" s="4" t="s">
        <v>7921</v>
      </c>
      <c r="C7897" s="3" t="s">
        <v>6</v>
      </c>
      <c r="D7897" s="5">
        <f t="shared" si="248"/>
        <v>15.25</v>
      </c>
      <c r="E7897">
        <v>16.739999999999998</v>
      </c>
      <c r="F7897" s="1789">
        <v>8.8999999999999996E-2</v>
      </c>
      <c r="G7897">
        <f t="shared" si="249"/>
        <v>15.25</v>
      </c>
    </row>
    <row r="7898" spans="1:7" ht="12.75" customHeight="1">
      <c r="A7898" s="3">
        <v>95811</v>
      </c>
      <c r="B7898" s="4" t="s">
        <v>7922</v>
      </c>
      <c r="C7898" s="3" t="s">
        <v>6</v>
      </c>
      <c r="D7898" s="5">
        <f t="shared" si="248"/>
        <v>18.55</v>
      </c>
      <c r="E7898">
        <v>20.37</v>
      </c>
      <c r="F7898" s="1789">
        <v>8.8999999999999996E-2</v>
      </c>
      <c r="G7898">
        <f t="shared" si="249"/>
        <v>18.55</v>
      </c>
    </row>
    <row r="7899" spans="1:7" ht="12.75" customHeight="1">
      <c r="A7899" s="3">
        <v>95812</v>
      </c>
      <c r="B7899" s="4" t="s">
        <v>7923</v>
      </c>
      <c r="C7899" s="3" t="s">
        <v>6</v>
      </c>
      <c r="D7899" s="5">
        <f t="shared" si="248"/>
        <v>25.09</v>
      </c>
      <c r="E7899">
        <v>27.55</v>
      </c>
      <c r="F7899" s="1789">
        <v>8.8999999999999996E-2</v>
      </c>
      <c r="G7899">
        <f t="shared" si="249"/>
        <v>25.09</v>
      </c>
    </row>
    <row r="7900" spans="1:7" ht="12.75" customHeight="1">
      <c r="A7900" s="3">
        <v>95813</v>
      </c>
      <c r="B7900" s="4" t="s">
        <v>7924</v>
      </c>
      <c r="C7900" s="3" t="s">
        <v>6</v>
      </c>
      <c r="D7900" s="5">
        <f t="shared" si="248"/>
        <v>17.66</v>
      </c>
      <c r="E7900">
        <v>19.39</v>
      </c>
      <c r="F7900" s="1789">
        <v>8.8999999999999996E-2</v>
      </c>
      <c r="G7900">
        <f t="shared" si="249"/>
        <v>17.66</v>
      </c>
    </row>
    <row r="7901" spans="1:7" ht="12.75" customHeight="1">
      <c r="A7901" s="3">
        <v>95814</v>
      </c>
      <c r="B7901" s="4" t="s">
        <v>7925</v>
      </c>
      <c r="C7901" s="3" t="s">
        <v>6</v>
      </c>
      <c r="D7901" s="5">
        <f t="shared" si="248"/>
        <v>22.08</v>
      </c>
      <c r="E7901">
        <v>24.24</v>
      </c>
      <c r="F7901" s="1789">
        <v>8.8999999999999996E-2</v>
      </c>
      <c r="G7901">
        <f t="shared" si="249"/>
        <v>22.08</v>
      </c>
    </row>
    <row r="7902" spans="1:7" ht="12.75" customHeight="1">
      <c r="A7902" s="3">
        <v>95815</v>
      </c>
      <c r="B7902" s="4" t="s">
        <v>7926</v>
      </c>
      <c r="C7902" s="3" t="s">
        <v>6</v>
      </c>
      <c r="D7902" s="5">
        <f t="shared" si="248"/>
        <v>32.340000000000003</v>
      </c>
      <c r="E7902">
        <v>35.5</v>
      </c>
      <c r="F7902" s="1789">
        <v>8.8999999999999996E-2</v>
      </c>
      <c r="G7902">
        <f t="shared" si="249"/>
        <v>32.340000000000003</v>
      </c>
    </row>
    <row r="7903" spans="1:7" ht="12.75" customHeight="1">
      <c r="A7903" s="3">
        <v>95816</v>
      </c>
      <c r="B7903" s="4" t="s">
        <v>7927</v>
      </c>
      <c r="C7903" s="3" t="s">
        <v>6</v>
      </c>
      <c r="D7903" s="5">
        <f t="shared" si="248"/>
        <v>29.07</v>
      </c>
      <c r="E7903">
        <v>31.91</v>
      </c>
      <c r="F7903" s="1789">
        <v>8.8999999999999996E-2</v>
      </c>
      <c r="G7903">
        <f t="shared" si="249"/>
        <v>29.07</v>
      </c>
    </row>
    <row r="7904" spans="1:7" ht="12.75" customHeight="1">
      <c r="A7904" s="3">
        <v>95817</v>
      </c>
      <c r="B7904" s="4" t="s">
        <v>7928</v>
      </c>
      <c r="C7904" s="3" t="s">
        <v>6</v>
      </c>
      <c r="D7904" s="5">
        <f t="shared" si="248"/>
        <v>34.11</v>
      </c>
      <c r="E7904">
        <v>37.450000000000003</v>
      </c>
      <c r="F7904" s="1789">
        <v>8.8999999999999996E-2</v>
      </c>
      <c r="G7904">
        <f t="shared" si="249"/>
        <v>34.11</v>
      </c>
    </row>
    <row r="7905" spans="1:7" ht="12.75" customHeight="1">
      <c r="A7905" s="3">
        <v>95818</v>
      </c>
      <c r="B7905" s="4" t="s">
        <v>7929</v>
      </c>
      <c r="C7905" s="3" t="s">
        <v>6</v>
      </c>
      <c r="D7905" s="5">
        <f t="shared" si="248"/>
        <v>47.36</v>
      </c>
      <c r="E7905">
        <v>51.99</v>
      </c>
      <c r="F7905" s="1789">
        <v>8.8999999999999996E-2</v>
      </c>
      <c r="G7905">
        <f t="shared" si="249"/>
        <v>47.36</v>
      </c>
    </row>
    <row r="7906" spans="1:7" ht="12.75" customHeight="1">
      <c r="A7906" s="3">
        <v>97881</v>
      </c>
      <c r="B7906" s="4" t="s">
        <v>7930</v>
      </c>
      <c r="C7906" s="3" t="s">
        <v>6</v>
      </c>
      <c r="D7906" s="5">
        <f t="shared" si="248"/>
        <v>122.44</v>
      </c>
      <c r="E7906">
        <v>134.41</v>
      </c>
      <c r="F7906" s="1789">
        <v>8.8999999999999996E-2</v>
      </c>
      <c r="G7906">
        <f t="shared" si="249"/>
        <v>122.44</v>
      </c>
    </row>
    <row r="7907" spans="1:7" ht="12.75" customHeight="1">
      <c r="A7907" s="3">
        <v>97882</v>
      </c>
      <c r="B7907" s="4" t="s">
        <v>7931</v>
      </c>
      <c r="C7907" s="3" t="s">
        <v>6</v>
      </c>
      <c r="D7907" s="5">
        <f t="shared" si="248"/>
        <v>192.99</v>
      </c>
      <c r="E7907">
        <v>211.85</v>
      </c>
      <c r="F7907" s="1789">
        <v>8.8999999999999996E-2</v>
      </c>
      <c r="G7907">
        <f t="shared" si="249"/>
        <v>192.99</v>
      </c>
    </row>
    <row r="7908" spans="1:7" ht="12.75" customHeight="1">
      <c r="A7908" s="3">
        <v>97883</v>
      </c>
      <c r="B7908" s="4" t="s">
        <v>7932</v>
      </c>
      <c r="C7908" s="3" t="s">
        <v>6</v>
      </c>
      <c r="D7908" s="5">
        <f t="shared" si="248"/>
        <v>372.52</v>
      </c>
      <c r="E7908">
        <v>408.92</v>
      </c>
      <c r="F7908" s="1789">
        <v>8.8999999999999996E-2</v>
      </c>
      <c r="G7908">
        <f t="shared" si="249"/>
        <v>372.52</v>
      </c>
    </row>
    <row r="7909" spans="1:7" ht="12.75" customHeight="1">
      <c r="A7909" s="3">
        <v>97884</v>
      </c>
      <c r="B7909" s="4" t="s">
        <v>7933</v>
      </c>
      <c r="C7909" s="3" t="s">
        <v>6</v>
      </c>
      <c r="D7909" s="5">
        <f t="shared" si="248"/>
        <v>729.73</v>
      </c>
      <c r="E7909">
        <v>801.03</v>
      </c>
      <c r="F7909" s="1789">
        <v>8.8999999999999996E-2</v>
      </c>
      <c r="G7909">
        <f t="shared" si="249"/>
        <v>729.73</v>
      </c>
    </row>
    <row r="7910" spans="1:7" ht="12.75" customHeight="1">
      <c r="A7910" s="3">
        <v>97885</v>
      </c>
      <c r="B7910" s="4" t="s">
        <v>7934</v>
      </c>
      <c r="C7910" s="3" t="s">
        <v>6</v>
      </c>
      <c r="D7910" s="5">
        <f t="shared" si="248"/>
        <v>1123.3699999999999</v>
      </c>
      <c r="E7910">
        <v>1233.1199999999999</v>
      </c>
      <c r="F7910" s="1789">
        <v>8.8999999999999996E-2</v>
      </c>
      <c r="G7910">
        <f t="shared" si="249"/>
        <v>1123.3699999999999</v>
      </c>
    </row>
    <row r="7911" spans="1:7" ht="12.75" customHeight="1">
      <c r="A7911" s="3">
        <v>97886</v>
      </c>
      <c r="B7911" s="4" t="s">
        <v>7935</v>
      </c>
      <c r="C7911" s="3" t="s">
        <v>6</v>
      </c>
      <c r="D7911" s="5">
        <f t="shared" si="248"/>
        <v>159.68</v>
      </c>
      <c r="E7911">
        <v>175.29</v>
      </c>
      <c r="F7911" s="1789">
        <v>8.8999999999999996E-2</v>
      </c>
      <c r="G7911">
        <f t="shared" si="249"/>
        <v>159.68</v>
      </c>
    </row>
    <row r="7912" spans="1:7" ht="12.75" customHeight="1">
      <c r="A7912" s="3">
        <v>97887</v>
      </c>
      <c r="B7912" s="4" t="s">
        <v>7936</v>
      </c>
      <c r="C7912" s="3" t="s">
        <v>6</v>
      </c>
      <c r="D7912" s="5">
        <f t="shared" si="248"/>
        <v>251.8</v>
      </c>
      <c r="E7912">
        <v>276.39999999999998</v>
      </c>
      <c r="F7912" s="1789">
        <v>8.8999999999999996E-2</v>
      </c>
      <c r="G7912">
        <f t="shared" si="249"/>
        <v>251.8</v>
      </c>
    </row>
    <row r="7913" spans="1:7" ht="12.75" customHeight="1">
      <c r="A7913" s="3">
        <v>97888</v>
      </c>
      <c r="B7913" s="4" t="s">
        <v>7937</v>
      </c>
      <c r="C7913" s="3" t="s">
        <v>6</v>
      </c>
      <c r="D7913" s="5">
        <f t="shared" si="248"/>
        <v>488.6</v>
      </c>
      <c r="E7913">
        <v>536.34</v>
      </c>
      <c r="F7913" s="1789">
        <v>8.8999999999999996E-2</v>
      </c>
      <c r="G7913">
        <f t="shared" si="249"/>
        <v>488.6</v>
      </c>
    </row>
    <row r="7914" spans="1:7" ht="12.75" customHeight="1">
      <c r="A7914" s="3">
        <v>97889</v>
      </c>
      <c r="B7914" s="4" t="s">
        <v>7938</v>
      </c>
      <c r="C7914" s="3" t="s">
        <v>6</v>
      </c>
      <c r="D7914" s="5">
        <f t="shared" si="248"/>
        <v>660.83</v>
      </c>
      <c r="E7914">
        <v>725.4</v>
      </c>
      <c r="F7914" s="1789">
        <v>8.8999999999999996E-2</v>
      </c>
      <c r="G7914">
        <f t="shared" si="249"/>
        <v>660.83</v>
      </c>
    </row>
    <row r="7915" spans="1:7" ht="12.75" customHeight="1">
      <c r="A7915" s="3">
        <v>97890</v>
      </c>
      <c r="B7915" s="4" t="s">
        <v>7939</v>
      </c>
      <c r="C7915" s="3" t="s">
        <v>6</v>
      </c>
      <c r="D7915" s="5">
        <f t="shared" si="248"/>
        <v>760.21</v>
      </c>
      <c r="E7915">
        <v>834.48</v>
      </c>
      <c r="F7915" s="1789">
        <v>8.8999999999999996E-2</v>
      </c>
      <c r="G7915">
        <f t="shared" si="249"/>
        <v>760.21</v>
      </c>
    </row>
    <row r="7916" spans="1:7" ht="12.75" customHeight="1">
      <c r="A7916" s="3">
        <v>97891</v>
      </c>
      <c r="B7916" s="4" t="s">
        <v>7940</v>
      </c>
      <c r="C7916" s="3" t="s">
        <v>6</v>
      </c>
      <c r="D7916" s="5">
        <f t="shared" si="248"/>
        <v>187.01</v>
      </c>
      <c r="E7916">
        <v>205.28</v>
      </c>
      <c r="F7916" s="1789">
        <v>8.8999999999999996E-2</v>
      </c>
      <c r="G7916">
        <f t="shared" si="249"/>
        <v>187.01</v>
      </c>
    </row>
    <row r="7917" spans="1:7" ht="12.75" customHeight="1">
      <c r="A7917" s="3">
        <v>97892</v>
      </c>
      <c r="B7917" s="4" t="s">
        <v>7941</v>
      </c>
      <c r="C7917" s="3" t="s">
        <v>6</v>
      </c>
      <c r="D7917" s="5">
        <f t="shared" si="248"/>
        <v>351.63</v>
      </c>
      <c r="E7917">
        <v>385.99</v>
      </c>
      <c r="F7917" s="1789">
        <v>8.8999999999999996E-2</v>
      </c>
      <c r="G7917">
        <f t="shared" si="249"/>
        <v>351.63</v>
      </c>
    </row>
    <row r="7918" spans="1:7" ht="12.75" customHeight="1">
      <c r="A7918" s="3">
        <v>97893</v>
      </c>
      <c r="B7918" s="4" t="s">
        <v>7942</v>
      </c>
      <c r="C7918" s="3" t="s">
        <v>6</v>
      </c>
      <c r="D7918" s="5">
        <f t="shared" si="248"/>
        <v>486.13</v>
      </c>
      <c r="E7918">
        <v>533.63</v>
      </c>
      <c r="F7918" s="1789">
        <v>8.8999999999999996E-2</v>
      </c>
      <c r="G7918">
        <f t="shared" si="249"/>
        <v>486.13</v>
      </c>
    </row>
    <row r="7919" spans="1:7" ht="12.75" customHeight="1">
      <c r="A7919" s="3">
        <v>97894</v>
      </c>
      <c r="B7919" s="4" t="s">
        <v>7943</v>
      </c>
      <c r="C7919" s="3" t="s">
        <v>6</v>
      </c>
      <c r="D7919" s="5">
        <f t="shared" si="248"/>
        <v>548.52</v>
      </c>
      <c r="E7919">
        <v>602.11</v>
      </c>
      <c r="F7919" s="1789">
        <v>8.8999999999999996E-2</v>
      </c>
      <c r="G7919">
        <f t="shared" si="249"/>
        <v>548.52</v>
      </c>
    </row>
    <row r="7920" spans="1:7" ht="12.75" customHeight="1">
      <c r="A7920" s="3">
        <v>104396</v>
      </c>
      <c r="B7920" s="4" t="s">
        <v>7944</v>
      </c>
      <c r="C7920" s="3" t="s">
        <v>6</v>
      </c>
      <c r="D7920" s="5">
        <f t="shared" si="248"/>
        <v>20.3</v>
      </c>
      <c r="E7920">
        <v>22.29</v>
      </c>
      <c r="F7920" s="1789">
        <v>8.8999999999999996E-2</v>
      </c>
      <c r="G7920">
        <f t="shared" si="249"/>
        <v>20.3</v>
      </c>
    </row>
    <row r="7921" spans="1:7" ht="12.75" customHeight="1">
      <c r="A7921" s="3">
        <v>104397</v>
      </c>
      <c r="B7921" s="4" t="s">
        <v>7945</v>
      </c>
      <c r="C7921" s="3" t="s">
        <v>6</v>
      </c>
      <c r="D7921" s="5">
        <f t="shared" si="248"/>
        <v>24.24</v>
      </c>
      <c r="E7921">
        <v>26.61</v>
      </c>
      <c r="F7921" s="1789">
        <v>8.8999999999999996E-2</v>
      </c>
      <c r="G7921">
        <f t="shared" si="249"/>
        <v>24.24</v>
      </c>
    </row>
    <row r="7922" spans="1:7" ht="12.75" customHeight="1">
      <c r="A7922" s="3">
        <v>104398</v>
      </c>
      <c r="B7922" s="4" t="s">
        <v>7946</v>
      </c>
      <c r="C7922" s="3" t="s">
        <v>6</v>
      </c>
      <c r="D7922" s="5">
        <f t="shared" si="248"/>
        <v>23.97</v>
      </c>
      <c r="E7922">
        <v>26.32</v>
      </c>
      <c r="F7922" s="1789">
        <v>8.8999999999999996E-2</v>
      </c>
      <c r="G7922">
        <f t="shared" si="249"/>
        <v>23.97</v>
      </c>
    </row>
    <row r="7923" spans="1:7" ht="12.75" customHeight="1">
      <c r="A7923" s="3">
        <v>104399</v>
      </c>
      <c r="B7923" s="4" t="s">
        <v>7947</v>
      </c>
      <c r="C7923" s="3" t="s">
        <v>6</v>
      </c>
      <c r="D7923" s="5">
        <f t="shared" si="248"/>
        <v>26</v>
      </c>
      <c r="E7923">
        <v>28.55</v>
      </c>
      <c r="F7923" s="1789">
        <v>8.8999999999999996E-2</v>
      </c>
      <c r="G7923">
        <f t="shared" si="249"/>
        <v>26</v>
      </c>
    </row>
    <row r="7924" spans="1:7" ht="12.75" customHeight="1">
      <c r="A7924" s="3">
        <v>104400</v>
      </c>
      <c r="B7924" s="4" t="s">
        <v>7948</v>
      </c>
      <c r="C7924" s="3" t="s">
        <v>6</v>
      </c>
      <c r="D7924" s="5">
        <f t="shared" si="248"/>
        <v>33.28</v>
      </c>
      <c r="E7924">
        <v>36.54</v>
      </c>
      <c r="F7924" s="1789">
        <v>8.8999999999999996E-2</v>
      </c>
      <c r="G7924">
        <f t="shared" si="249"/>
        <v>33.28</v>
      </c>
    </row>
    <row r="7925" spans="1:7" ht="12.75" customHeight="1">
      <c r="A7925" s="3">
        <v>104401</v>
      </c>
      <c r="B7925" s="4" t="s">
        <v>7949</v>
      </c>
      <c r="C7925" s="3" t="s">
        <v>6</v>
      </c>
      <c r="D7925" s="5">
        <f t="shared" si="248"/>
        <v>22.75</v>
      </c>
      <c r="E7925">
        <v>24.98</v>
      </c>
      <c r="F7925" s="1789">
        <v>8.8999999999999996E-2</v>
      </c>
      <c r="G7925">
        <f t="shared" si="249"/>
        <v>22.75</v>
      </c>
    </row>
    <row r="7926" spans="1:7" ht="12.75" customHeight="1">
      <c r="A7926" s="3">
        <v>104402</v>
      </c>
      <c r="B7926" s="4" t="s">
        <v>7950</v>
      </c>
      <c r="C7926" s="3" t="s">
        <v>6</v>
      </c>
      <c r="D7926" s="5">
        <f t="shared" si="248"/>
        <v>23.69</v>
      </c>
      <c r="E7926">
        <v>26.01</v>
      </c>
      <c r="F7926" s="1789">
        <v>8.8999999999999996E-2</v>
      </c>
      <c r="G7926">
        <f t="shared" si="249"/>
        <v>23.69</v>
      </c>
    </row>
    <row r="7927" spans="1:7" ht="12.75" customHeight="1">
      <c r="A7927" s="3">
        <v>104403</v>
      </c>
      <c r="B7927" s="4" t="s">
        <v>7951</v>
      </c>
      <c r="C7927" s="3" t="s">
        <v>6</v>
      </c>
      <c r="D7927" s="5">
        <f t="shared" si="248"/>
        <v>29.42</v>
      </c>
      <c r="E7927">
        <v>32.299999999999997</v>
      </c>
      <c r="F7927" s="1789">
        <v>8.8999999999999996E-2</v>
      </c>
      <c r="G7927">
        <f t="shared" si="249"/>
        <v>29.42</v>
      </c>
    </row>
    <row r="7928" spans="1:7" ht="12.75" customHeight="1">
      <c r="A7928" s="3">
        <v>104404</v>
      </c>
      <c r="B7928" s="4" t="s">
        <v>7952</v>
      </c>
      <c r="C7928" s="3" t="s">
        <v>6</v>
      </c>
      <c r="D7928" s="5">
        <f t="shared" si="248"/>
        <v>30.41</v>
      </c>
      <c r="E7928">
        <v>33.39</v>
      </c>
      <c r="F7928" s="1789">
        <v>8.8999999999999996E-2</v>
      </c>
      <c r="G7928">
        <f t="shared" si="249"/>
        <v>30.41</v>
      </c>
    </row>
    <row r="7929" spans="1:7" ht="12.75" customHeight="1">
      <c r="A7929" s="3">
        <v>104405</v>
      </c>
      <c r="B7929" s="4" t="s">
        <v>7953</v>
      </c>
      <c r="C7929" s="3" t="s">
        <v>6</v>
      </c>
      <c r="D7929" s="5">
        <f t="shared" si="248"/>
        <v>41.08</v>
      </c>
      <c r="E7929">
        <v>45.1</v>
      </c>
      <c r="F7929" s="1789">
        <v>8.8999999999999996E-2</v>
      </c>
      <c r="G7929">
        <f t="shared" si="249"/>
        <v>41.08</v>
      </c>
    </row>
    <row r="7930" spans="1:7" ht="12.75" customHeight="1">
      <c r="A7930" s="3">
        <v>93653</v>
      </c>
      <c r="B7930" s="4" t="s">
        <v>7954</v>
      </c>
      <c r="C7930" s="3" t="s">
        <v>6</v>
      </c>
      <c r="D7930" s="5">
        <f t="shared" si="248"/>
        <v>10.88</v>
      </c>
      <c r="E7930">
        <v>11.95</v>
      </c>
      <c r="F7930" s="1789">
        <v>8.8999999999999996E-2</v>
      </c>
      <c r="G7930">
        <f t="shared" si="249"/>
        <v>10.88</v>
      </c>
    </row>
    <row r="7931" spans="1:7" ht="12.75" customHeight="1">
      <c r="A7931" s="3">
        <v>93654</v>
      </c>
      <c r="B7931" s="4" t="s">
        <v>7955</v>
      </c>
      <c r="C7931" s="3" t="s">
        <v>6</v>
      </c>
      <c r="D7931" s="5">
        <f t="shared" si="248"/>
        <v>11.43</v>
      </c>
      <c r="E7931">
        <v>12.55</v>
      </c>
      <c r="F7931" s="1789">
        <v>8.8999999999999996E-2</v>
      </c>
      <c r="G7931">
        <f t="shared" si="249"/>
        <v>11.43</v>
      </c>
    </row>
    <row r="7932" spans="1:7" ht="12.75" customHeight="1">
      <c r="A7932" s="3">
        <v>93655</v>
      </c>
      <c r="B7932" s="4" t="s">
        <v>7956</v>
      </c>
      <c r="C7932" s="3" t="s">
        <v>6</v>
      </c>
      <c r="D7932" s="5">
        <f t="shared" si="248"/>
        <v>12.59</v>
      </c>
      <c r="E7932">
        <v>13.82</v>
      </c>
      <c r="F7932" s="1789">
        <v>8.8999999999999996E-2</v>
      </c>
      <c r="G7932">
        <f t="shared" si="249"/>
        <v>12.59</v>
      </c>
    </row>
    <row r="7933" spans="1:7" ht="12.75" customHeight="1">
      <c r="A7933" s="3">
        <v>93656</v>
      </c>
      <c r="B7933" s="4" t="s">
        <v>7957</v>
      </c>
      <c r="C7933" s="3" t="s">
        <v>6</v>
      </c>
      <c r="D7933" s="5">
        <f t="shared" si="248"/>
        <v>12.59</v>
      </c>
      <c r="E7933">
        <v>13.82</v>
      </c>
      <c r="F7933" s="1789">
        <v>8.8999999999999996E-2</v>
      </c>
      <c r="G7933">
        <f t="shared" si="249"/>
        <v>12.59</v>
      </c>
    </row>
    <row r="7934" spans="1:7" ht="12.75" customHeight="1">
      <c r="A7934" s="3">
        <v>93657</v>
      </c>
      <c r="B7934" s="4" t="s">
        <v>7958</v>
      </c>
      <c r="C7934" s="3" t="s">
        <v>6</v>
      </c>
      <c r="D7934" s="5">
        <f t="shared" si="248"/>
        <v>13.98</v>
      </c>
      <c r="E7934">
        <v>15.35</v>
      </c>
      <c r="F7934" s="1789">
        <v>8.8999999999999996E-2</v>
      </c>
      <c r="G7934">
        <f t="shared" si="249"/>
        <v>13.98</v>
      </c>
    </row>
    <row r="7935" spans="1:7" ht="12.75" customHeight="1">
      <c r="A7935" s="3">
        <v>93658</v>
      </c>
      <c r="B7935" s="4" t="s">
        <v>7959</v>
      </c>
      <c r="C7935" s="3" t="s">
        <v>6</v>
      </c>
      <c r="D7935" s="5">
        <f t="shared" si="248"/>
        <v>20.03</v>
      </c>
      <c r="E7935">
        <v>21.99</v>
      </c>
      <c r="F7935" s="1789">
        <v>8.8999999999999996E-2</v>
      </c>
      <c r="G7935">
        <f t="shared" si="249"/>
        <v>20.03</v>
      </c>
    </row>
    <row r="7936" spans="1:7" ht="12.75" customHeight="1">
      <c r="A7936" s="3">
        <v>93659</v>
      </c>
      <c r="B7936" s="4" t="s">
        <v>7960</v>
      </c>
      <c r="C7936" s="3" t="s">
        <v>6</v>
      </c>
      <c r="D7936" s="5">
        <f t="shared" si="248"/>
        <v>22.77</v>
      </c>
      <c r="E7936">
        <v>25</v>
      </c>
      <c r="F7936" s="1789">
        <v>8.8999999999999996E-2</v>
      </c>
      <c r="G7936">
        <f t="shared" si="249"/>
        <v>22.77</v>
      </c>
    </row>
    <row r="7937" spans="1:9" ht="12.75" customHeight="1">
      <c r="A7937" s="3">
        <v>93660</v>
      </c>
      <c r="B7937" s="4" t="s">
        <v>7961</v>
      </c>
      <c r="C7937" s="3" t="s">
        <v>6</v>
      </c>
      <c r="D7937" s="5">
        <f t="shared" si="248"/>
        <v>52.5</v>
      </c>
      <c r="E7937">
        <v>57.63</v>
      </c>
      <c r="F7937" s="1789">
        <v>8.8999999999999996E-2</v>
      </c>
      <c r="G7937">
        <f t="shared" si="249"/>
        <v>52.5</v>
      </c>
    </row>
    <row r="7938" spans="1:9" ht="12.75" customHeight="1">
      <c r="A7938" s="3">
        <v>93661</v>
      </c>
      <c r="B7938" s="4" t="s">
        <v>7962</v>
      </c>
      <c r="C7938" s="3" t="s">
        <v>6</v>
      </c>
      <c r="D7938" s="5">
        <f t="shared" si="248"/>
        <v>53.6</v>
      </c>
      <c r="E7938">
        <v>58.84</v>
      </c>
      <c r="F7938" s="1789">
        <v>8.8999999999999996E-2</v>
      </c>
      <c r="G7938">
        <f t="shared" si="249"/>
        <v>53.6</v>
      </c>
    </row>
    <row r="7939" spans="1:9" ht="12.75" customHeight="1">
      <c r="A7939" s="3">
        <v>93662</v>
      </c>
      <c r="B7939" s="4" t="s">
        <v>7963</v>
      </c>
      <c r="C7939" s="3" t="s">
        <v>6</v>
      </c>
      <c r="D7939" s="5">
        <f t="shared" si="248"/>
        <v>55.9</v>
      </c>
      <c r="E7939">
        <v>61.37</v>
      </c>
      <c r="F7939" s="1789">
        <v>8.8999999999999996E-2</v>
      </c>
      <c r="G7939">
        <f t="shared" si="249"/>
        <v>55.9</v>
      </c>
    </row>
    <row r="7940" spans="1:9" ht="12.75" customHeight="1">
      <c r="A7940" s="3">
        <v>93663</v>
      </c>
      <c r="B7940" s="4" t="s">
        <v>7964</v>
      </c>
      <c r="C7940" s="3" t="s">
        <v>6</v>
      </c>
      <c r="D7940" s="5">
        <f t="shared" si="248"/>
        <v>55.9</v>
      </c>
      <c r="E7940">
        <v>61.37</v>
      </c>
      <c r="F7940" s="1789">
        <v>8.8999999999999996E-2</v>
      </c>
      <c r="G7940">
        <f t="shared" si="249"/>
        <v>55.9</v>
      </c>
    </row>
    <row r="7941" spans="1:9" ht="12.75" customHeight="1">
      <c r="A7941" s="3">
        <v>93664</v>
      </c>
      <c r="B7941" s="4" t="s">
        <v>7965</v>
      </c>
      <c r="C7941" s="3" t="s">
        <v>6</v>
      </c>
      <c r="D7941" s="5">
        <f t="shared" si="248"/>
        <v>58.68</v>
      </c>
      <c r="E7941">
        <v>64.42</v>
      </c>
      <c r="F7941" s="1789">
        <v>8.8999999999999996E-2</v>
      </c>
      <c r="G7941">
        <f t="shared" si="249"/>
        <v>58.68</v>
      </c>
    </row>
    <row r="7942" spans="1:9" ht="12.75" customHeight="1">
      <c r="A7942" s="3">
        <v>93665</v>
      </c>
      <c r="B7942" s="4" t="s">
        <v>7966</v>
      </c>
      <c r="C7942" s="3" t="s">
        <v>6</v>
      </c>
      <c r="D7942" s="5">
        <f t="shared" si="248"/>
        <v>62.14</v>
      </c>
      <c r="E7942">
        <v>68.22</v>
      </c>
      <c r="F7942" s="1789">
        <v>8.8999999999999996E-2</v>
      </c>
      <c r="G7942">
        <f t="shared" si="249"/>
        <v>62.14</v>
      </c>
    </row>
    <row r="7943" spans="1:9" ht="12.75" customHeight="1">
      <c r="A7943" s="3">
        <v>93666</v>
      </c>
      <c r="B7943" s="4" t="s">
        <v>7967</v>
      </c>
      <c r="C7943" s="3" t="s">
        <v>6</v>
      </c>
      <c r="D7943" s="5">
        <f t="shared" si="248"/>
        <v>67.61</v>
      </c>
      <c r="E7943">
        <v>74.22</v>
      </c>
      <c r="F7943" s="1789">
        <v>8.8999999999999996E-2</v>
      </c>
      <c r="G7943">
        <f t="shared" si="249"/>
        <v>67.61</v>
      </c>
    </row>
    <row r="7944" spans="1:9" ht="12.75" customHeight="1">
      <c r="A7944" s="3">
        <v>93667</v>
      </c>
      <c r="B7944" s="4" t="s">
        <v>7968</v>
      </c>
      <c r="C7944" s="3" t="s">
        <v>6</v>
      </c>
      <c r="D7944" s="5">
        <f t="shared" si="248"/>
        <v>65.790000000000006</v>
      </c>
      <c r="E7944">
        <v>72.22</v>
      </c>
      <c r="F7944" s="1789">
        <v>8.8999999999999996E-2</v>
      </c>
      <c r="G7944">
        <f t="shared" si="249"/>
        <v>65.790000000000006</v>
      </c>
    </row>
    <row r="7945" spans="1:9" ht="12.75" customHeight="1">
      <c r="A7945" s="3">
        <v>93668</v>
      </c>
      <c r="B7945" s="4" t="s">
        <v>7969</v>
      </c>
      <c r="C7945" s="3" t="s">
        <v>6</v>
      </c>
      <c r="D7945" s="5">
        <f t="shared" si="248"/>
        <v>67.44</v>
      </c>
      <c r="E7945">
        <v>74.03</v>
      </c>
      <c r="F7945" s="1789">
        <v>8.8999999999999996E-2</v>
      </c>
      <c r="G7945">
        <f t="shared" si="249"/>
        <v>67.44</v>
      </c>
    </row>
    <row r="7946" spans="1:9" ht="12.75" customHeight="1">
      <c r="A7946" s="3">
        <v>93669</v>
      </c>
      <c r="B7946" s="4" t="s">
        <v>7970</v>
      </c>
      <c r="C7946" s="3" t="s">
        <v>6</v>
      </c>
      <c r="D7946" s="5">
        <f t="shared" si="248"/>
        <v>70.91</v>
      </c>
      <c r="E7946">
        <v>77.84</v>
      </c>
      <c r="F7946" s="1789">
        <v>8.8999999999999996E-2</v>
      </c>
      <c r="G7946">
        <f t="shared" si="249"/>
        <v>70.91</v>
      </c>
    </row>
    <row r="7947" spans="1:9" ht="12.75" customHeight="1">
      <c r="A7947" s="3">
        <v>93670</v>
      </c>
      <c r="B7947" s="4" t="s">
        <v>7971</v>
      </c>
      <c r="C7947" s="3" t="s">
        <v>6</v>
      </c>
      <c r="D7947" s="5">
        <f t="shared" si="248"/>
        <v>70.91</v>
      </c>
      <c r="E7947">
        <v>77.84</v>
      </c>
      <c r="F7947" s="1789">
        <v>8.8999999999999996E-2</v>
      </c>
      <c r="G7947">
        <f t="shared" si="249"/>
        <v>70.91</v>
      </c>
    </row>
    <row r="7948" spans="1:9" ht="12.75" customHeight="1">
      <c r="A7948" s="3">
        <v>93671</v>
      </c>
      <c r="B7948" s="4" t="s">
        <v>7972</v>
      </c>
      <c r="C7948" s="3" t="s">
        <v>6</v>
      </c>
      <c r="D7948" s="5">
        <f t="shared" si="248"/>
        <v>75.06</v>
      </c>
      <c r="E7948">
        <v>82.4</v>
      </c>
      <c r="F7948" s="1789">
        <v>8.8999999999999996E-2</v>
      </c>
      <c r="G7948">
        <f t="shared" si="249"/>
        <v>75.06</v>
      </c>
    </row>
    <row r="7949" spans="1:9" ht="12.75" customHeight="1">
      <c r="A7949" s="3">
        <v>93672</v>
      </c>
      <c r="B7949" s="4" t="s">
        <v>7973</v>
      </c>
      <c r="C7949" s="3" t="s">
        <v>6</v>
      </c>
      <c r="D7949" s="5">
        <f t="shared" si="248"/>
        <v>81.33</v>
      </c>
      <c r="E7949">
        <v>89.28</v>
      </c>
      <c r="F7949" s="1789">
        <v>8.8999999999999996E-2</v>
      </c>
      <c r="G7949">
        <f t="shared" si="249"/>
        <v>81.33</v>
      </c>
    </row>
    <row r="7950" spans="1:9" ht="12.75" customHeight="1">
      <c r="A7950" s="3">
        <v>93673</v>
      </c>
      <c r="B7950" s="4" t="s">
        <v>7974</v>
      </c>
      <c r="C7950" s="3" t="s">
        <v>6</v>
      </c>
      <c r="D7950" s="5">
        <v>89.564999999999998</v>
      </c>
      <c r="E7950">
        <v>98.3</v>
      </c>
      <c r="F7950" s="1789">
        <v>8.8999999999999996E-2</v>
      </c>
      <c r="G7950">
        <f t="shared" si="249"/>
        <v>89.55</v>
      </c>
      <c r="I7950" s="1790"/>
    </row>
    <row r="7951" spans="1:9" ht="12.75" customHeight="1">
      <c r="A7951" s="3">
        <v>97359</v>
      </c>
      <c r="B7951" s="4" t="s">
        <v>7975</v>
      </c>
      <c r="C7951" s="3" t="s">
        <v>6</v>
      </c>
      <c r="D7951" s="5">
        <f t="shared" si="248"/>
        <v>3603.49</v>
      </c>
      <c r="E7951">
        <v>3955.54</v>
      </c>
      <c r="F7951" s="1789">
        <v>8.8999999999999996E-2</v>
      </c>
      <c r="G7951">
        <f t="shared" si="249"/>
        <v>3603.49</v>
      </c>
    </row>
    <row r="7952" spans="1:9" ht="12.75" customHeight="1">
      <c r="A7952" s="3">
        <v>97360</v>
      </c>
      <c r="B7952" s="4" t="s">
        <v>7976</v>
      </c>
      <c r="C7952" s="3" t="s">
        <v>6</v>
      </c>
      <c r="D7952" s="5">
        <f t="shared" si="248"/>
        <v>6953.85</v>
      </c>
      <c r="E7952">
        <v>7633.21</v>
      </c>
      <c r="F7952" s="1789">
        <v>8.8999999999999996E-2</v>
      </c>
      <c r="G7952">
        <f t="shared" si="249"/>
        <v>6953.85</v>
      </c>
    </row>
    <row r="7953" spans="1:7" ht="12.75" customHeight="1">
      <c r="A7953" s="3">
        <v>97361</v>
      </c>
      <c r="B7953" s="4" t="s">
        <v>7977</v>
      </c>
      <c r="C7953" s="3" t="s">
        <v>6</v>
      </c>
      <c r="D7953" s="5">
        <f t="shared" si="248"/>
        <v>9271.81</v>
      </c>
      <c r="E7953">
        <v>10177.620000000001</v>
      </c>
      <c r="F7953" s="1789">
        <v>8.8999999999999996E-2</v>
      </c>
      <c r="G7953">
        <f t="shared" si="249"/>
        <v>9271.81</v>
      </c>
    </row>
    <row r="7954" spans="1:7" ht="12.75" customHeight="1">
      <c r="A7954" s="3">
        <v>97362</v>
      </c>
      <c r="B7954" s="4" t="s">
        <v>7978</v>
      </c>
      <c r="C7954" s="3" t="s">
        <v>6</v>
      </c>
      <c r="D7954" s="5">
        <f t="shared" si="248"/>
        <v>2063.71</v>
      </c>
      <c r="E7954">
        <v>2265.33</v>
      </c>
      <c r="F7954" s="1789">
        <v>8.8999999999999996E-2</v>
      </c>
      <c r="G7954">
        <f t="shared" si="249"/>
        <v>2063.71</v>
      </c>
    </row>
    <row r="7955" spans="1:7" ht="12.75" customHeight="1">
      <c r="A7955" s="3">
        <v>101875</v>
      </c>
      <c r="B7955" s="4" t="s">
        <v>7979</v>
      </c>
      <c r="C7955" s="3" t="s">
        <v>6</v>
      </c>
      <c r="D7955" s="5">
        <f t="shared" si="248"/>
        <v>439.4</v>
      </c>
      <c r="E7955">
        <v>482.33</v>
      </c>
      <c r="F7955" s="1789">
        <v>8.8999999999999996E-2</v>
      </c>
      <c r="G7955">
        <f t="shared" si="249"/>
        <v>439.4</v>
      </c>
    </row>
    <row r="7956" spans="1:7" ht="12.75" customHeight="1">
      <c r="A7956" s="3">
        <v>101876</v>
      </c>
      <c r="B7956" s="4" t="s">
        <v>7980</v>
      </c>
      <c r="C7956" s="3" t="s">
        <v>6</v>
      </c>
      <c r="D7956" s="5">
        <f t="shared" si="248"/>
        <v>79.53</v>
      </c>
      <c r="E7956">
        <v>87.31</v>
      </c>
      <c r="F7956" s="1789">
        <v>8.8999999999999996E-2</v>
      </c>
      <c r="G7956">
        <f t="shared" si="249"/>
        <v>79.53</v>
      </c>
    </row>
    <row r="7957" spans="1:7" ht="12.75" customHeight="1">
      <c r="A7957" s="3">
        <v>101877</v>
      </c>
      <c r="B7957" s="4" t="s">
        <v>7981</v>
      </c>
      <c r="C7957" s="3" t="s">
        <v>6</v>
      </c>
      <c r="D7957" s="5">
        <f t="shared" ref="D7957:D8020" si="250">G7957</f>
        <v>54.51</v>
      </c>
      <c r="E7957">
        <v>59.84</v>
      </c>
      <c r="F7957" s="1789">
        <v>8.8999999999999996E-2</v>
      </c>
      <c r="G7957">
        <f t="shared" ref="G7957:G8020" si="251">TRUNC((1-F7957)*E7957,2)</f>
        <v>54.51</v>
      </c>
    </row>
    <row r="7958" spans="1:7" ht="12.75" customHeight="1">
      <c r="A7958" s="3">
        <v>101878</v>
      </c>
      <c r="B7958" s="4" t="s">
        <v>7982</v>
      </c>
      <c r="C7958" s="3" t="s">
        <v>6</v>
      </c>
      <c r="D7958" s="5">
        <f t="shared" si="250"/>
        <v>599.91999999999996</v>
      </c>
      <c r="E7958">
        <v>658.54</v>
      </c>
      <c r="F7958" s="1789">
        <v>8.8999999999999996E-2</v>
      </c>
      <c r="G7958">
        <f t="shared" si="251"/>
        <v>599.91999999999996</v>
      </c>
    </row>
    <row r="7959" spans="1:7" ht="12.75" customHeight="1">
      <c r="A7959" s="3">
        <v>101879</v>
      </c>
      <c r="B7959" s="4" t="s">
        <v>7983</v>
      </c>
      <c r="C7959" s="3" t="s">
        <v>6</v>
      </c>
      <c r="D7959" s="5">
        <f t="shared" si="250"/>
        <v>637.57000000000005</v>
      </c>
      <c r="E7959">
        <v>699.86</v>
      </c>
      <c r="F7959" s="1789">
        <v>8.8999999999999996E-2</v>
      </c>
      <c r="G7959">
        <f t="shared" si="251"/>
        <v>637.57000000000005</v>
      </c>
    </row>
    <row r="7960" spans="1:7" ht="12.75" customHeight="1">
      <c r="A7960" s="3">
        <v>101880</v>
      </c>
      <c r="B7960" s="4" t="s">
        <v>7984</v>
      </c>
      <c r="C7960" s="3" t="s">
        <v>6</v>
      </c>
      <c r="D7960" s="5">
        <f t="shared" si="250"/>
        <v>733.84</v>
      </c>
      <c r="E7960">
        <v>805.54</v>
      </c>
      <c r="F7960" s="1789">
        <v>8.8999999999999996E-2</v>
      </c>
      <c r="G7960">
        <f t="shared" si="251"/>
        <v>733.84</v>
      </c>
    </row>
    <row r="7961" spans="1:7" ht="12.75" customHeight="1">
      <c r="A7961" s="3">
        <v>101881</v>
      </c>
      <c r="B7961" s="4" t="s">
        <v>7985</v>
      </c>
      <c r="C7961" s="3" t="s">
        <v>6</v>
      </c>
      <c r="D7961" s="5">
        <f t="shared" si="250"/>
        <v>1057.8599999999999</v>
      </c>
      <c r="E7961">
        <v>1161.21</v>
      </c>
      <c r="F7961" s="1789">
        <v>8.8999999999999996E-2</v>
      </c>
      <c r="G7961">
        <f t="shared" si="251"/>
        <v>1057.8599999999999</v>
      </c>
    </row>
    <row r="7962" spans="1:7" ht="12.75" customHeight="1">
      <c r="A7962" s="3">
        <v>101882</v>
      </c>
      <c r="B7962" s="4" t="s">
        <v>7986</v>
      </c>
      <c r="C7962" s="3" t="s">
        <v>6</v>
      </c>
      <c r="D7962" s="5">
        <f t="shared" si="250"/>
        <v>1504.49</v>
      </c>
      <c r="E7962">
        <v>1651.48</v>
      </c>
      <c r="F7962" s="1789">
        <v>8.8999999999999996E-2</v>
      </c>
      <c r="G7962">
        <f t="shared" si="251"/>
        <v>1504.49</v>
      </c>
    </row>
    <row r="7963" spans="1:7" ht="12.75" customHeight="1">
      <c r="A7963" s="3">
        <v>101883</v>
      </c>
      <c r="B7963" s="4" t="s">
        <v>7987</v>
      </c>
      <c r="C7963" s="3" t="s">
        <v>6</v>
      </c>
      <c r="D7963" s="5">
        <f t="shared" si="250"/>
        <v>607.6</v>
      </c>
      <c r="E7963">
        <v>666.96</v>
      </c>
      <c r="F7963" s="1789">
        <v>8.8999999999999996E-2</v>
      </c>
      <c r="G7963">
        <f t="shared" si="251"/>
        <v>607.6</v>
      </c>
    </row>
    <row r="7964" spans="1:7" ht="12.75" customHeight="1">
      <c r="A7964" s="3">
        <v>101890</v>
      </c>
      <c r="B7964" s="4" t="s">
        <v>7988</v>
      </c>
      <c r="C7964" s="3" t="s">
        <v>6</v>
      </c>
      <c r="D7964" s="5">
        <f t="shared" si="250"/>
        <v>15.02</v>
      </c>
      <c r="E7964">
        <v>16.489999999999998</v>
      </c>
      <c r="F7964" s="1789">
        <v>8.8999999999999996E-2</v>
      </c>
      <c r="G7964">
        <f t="shared" si="251"/>
        <v>15.02</v>
      </c>
    </row>
    <row r="7965" spans="1:7" ht="12.75" customHeight="1">
      <c r="A7965" s="3">
        <v>101891</v>
      </c>
      <c r="B7965" s="4" t="s">
        <v>7989</v>
      </c>
      <c r="C7965" s="3" t="s">
        <v>6</v>
      </c>
      <c r="D7965" s="5">
        <f t="shared" si="250"/>
        <v>25.7</v>
      </c>
      <c r="E7965">
        <v>28.22</v>
      </c>
      <c r="F7965" s="1789">
        <v>8.8999999999999996E-2</v>
      </c>
      <c r="G7965">
        <f t="shared" si="251"/>
        <v>25.7</v>
      </c>
    </row>
    <row r="7966" spans="1:7" ht="12.75" customHeight="1">
      <c r="A7966" s="3">
        <v>101892</v>
      </c>
      <c r="B7966" s="4" t="s">
        <v>7990</v>
      </c>
      <c r="C7966" s="3" t="s">
        <v>6</v>
      </c>
      <c r="D7966" s="5">
        <f t="shared" si="250"/>
        <v>66.099999999999994</v>
      </c>
      <c r="E7966">
        <v>72.56</v>
      </c>
      <c r="F7966" s="1789">
        <v>8.8999999999999996E-2</v>
      </c>
      <c r="G7966">
        <f t="shared" si="251"/>
        <v>66.099999999999994</v>
      </c>
    </row>
    <row r="7967" spans="1:7" ht="12.75" customHeight="1">
      <c r="A7967" s="3">
        <v>101893</v>
      </c>
      <c r="B7967" s="4" t="s">
        <v>7991</v>
      </c>
      <c r="C7967" s="3" t="s">
        <v>6</v>
      </c>
      <c r="D7967" s="5">
        <f t="shared" si="250"/>
        <v>84.66</v>
      </c>
      <c r="E7967">
        <v>92.94</v>
      </c>
      <c r="F7967" s="1789">
        <v>8.8999999999999996E-2</v>
      </c>
      <c r="G7967">
        <f t="shared" si="251"/>
        <v>84.66</v>
      </c>
    </row>
    <row r="7968" spans="1:7" ht="12.75" customHeight="1">
      <c r="A7968" s="3">
        <v>101894</v>
      </c>
      <c r="B7968" s="4" t="s">
        <v>7992</v>
      </c>
      <c r="C7968" s="3" t="s">
        <v>6</v>
      </c>
      <c r="D7968" s="5">
        <f t="shared" si="250"/>
        <v>144.63999999999999</v>
      </c>
      <c r="E7968">
        <v>158.78</v>
      </c>
      <c r="F7968" s="1789">
        <v>8.8999999999999996E-2</v>
      </c>
      <c r="G7968">
        <f t="shared" si="251"/>
        <v>144.63999999999999</v>
      </c>
    </row>
    <row r="7969" spans="1:7" ht="12.75" customHeight="1">
      <c r="A7969" s="3">
        <v>101895</v>
      </c>
      <c r="B7969" s="4" t="s">
        <v>7993</v>
      </c>
      <c r="C7969" s="3" t="s">
        <v>6</v>
      </c>
      <c r="D7969" s="5">
        <f t="shared" si="250"/>
        <v>391.81</v>
      </c>
      <c r="E7969">
        <v>430.09</v>
      </c>
      <c r="F7969" s="1789">
        <v>8.8999999999999996E-2</v>
      </c>
      <c r="G7969">
        <f t="shared" si="251"/>
        <v>391.81</v>
      </c>
    </row>
    <row r="7970" spans="1:7" ht="12.75" customHeight="1">
      <c r="A7970" s="3">
        <v>101896</v>
      </c>
      <c r="B7970" s="4" t="s">
        <v>7994</v>
      </c>
      <c r="C7970" s="3" t="s">
        <v>6</v>
      </c>
      <c r="D7970" s="5">
        <f t="shared" si="250"/>
        <v>588.05999999999995</v>
      </c>
      <c r="E7970">
        <v>645.52</v>
      </c>
      <c r="F7970" s="1789">
        <v>8.8999999999999996E-2</v>
      </c>
      <c r="G7970">
        <f t="shared" si="251"/>
        <v>588.05999999999995</v>
      </c>
    </row>
    <row r="7971" spans="1:7" ht="12.75" customHeight="1">
      <c r="A7971" s="3">
        <v>101897</v>
      </c>
      <c r="B7971" s="4" t="s">
        <v>7995</v>
      </c>
      <c r="C7971" s="3" t="s">
        <v>6</v>
      </c>
      <c r="D7971" s="5">
        <f t="shared" si="250"/>
        <v>937.86</v>
      </c>
      <c r="E7971">
        <v>1029.49</v>
      </c>
      <c r="F7971" s="1789">
        <v>8.8999999999999996E-2</v>
      </c>
      <c r="G7971">
        <f t="shared" si="251"/>
        <v>937.86</v>
      </c>
    </row>
    <row r="7972" spans="1:7" ht="12.75" customHeight="1">
      <c r="A7972" s="3">
        <v>101898</v>
      </c>
      <c r="B7972" s="4" t="s">
        <v>7996</v>
      </c>
      <c r="C7972" s="3" t="s">
        <v>6</v>
      </c>
      <c r="D7972" s="5">
        <f t="shared" si="250"/>
        <v>1251.92</v>
      </c>
      <c r="E7972">
        <v>1374.23</v>
      </c>
      <c r="F7972" s="1789">
        <v>8.8999999999999996E-2</v>
      </c>
      <c r="G7972">
        <f t="shared" si="251"/>
        <v>1251.92</v>
      </c>
    </row>
    <row r="7973" spans="1:7" ht="12.75" customHeight="1">
      <c r="A7973" s="3">
        <v>101899</v>
      </c>
      <c r="B7973" s="4" t="s">
        <v>7997</v>
      </c>
      <c r="C7973" s="3" t="s">
        <v>6</v>
      </c>
      <c r="D7973" s="5">
        <f t="shared" si="250"/>
        <v>1998.93</v>
      </c>
      <c r="E7973">
        <v>2194.2199999999998</v>
      </c>
      <c r="F7973" s="1789">
        <v>8.8999999999999996E-2</v>
      </c>
      <c r="G7973">
        <f t="shared" si="251"/>
        <v>1998.93</v>
      </c>
    </row>
    <row r="7974" spans="1:7" ht="12.75" customHeight="1">
      <c r="A7974" s="3">
        <v>101900</v>
      </c>
      <c r="B7974" s="4" t="s">
        <v>7998</v>
      </c>
      <c r="C7974" s="3" t="s">
        <v>6</v>
      </c>
      <c r="D7974" s="5">
        <f t="shared" si="250"/>
        <v>4162.63</v>
      </c>
      <c r="E7974">
        <v>4569.3</v>
      </c>
      <c r="F7974" s="1789">
        <v>8.8999999999999996E-2</v>
      </c>
      <c r="G7974">
        <f t="shared" si="251"/>
        <v>4162.63</v>
      </c>
    </row>
    <row r="7975" spans="1:7" ht="12.75" customHeight="1">
      <c r="A7975" s="3">
        <v>101901</v>
      </c>
      <c r="B7975" s="4" t="s">
        <v>7999</v>
      </c>
      <c r="C7975" s="3" t="s">
        <v>6</v>
      </c>
      <c r="D7975" s="5">
        <f t="shared" si="250"/>
        <v>149.91</v>
      </c>
      <c r="E7975">
        <v>164.56</v>
      </c>
      <c r="F7975" s="1789">
        <v>8.8999999999999996E-2</v>
      </c>
      <c r="G7975">
        <f t="shared" si="251"/>
        <v>149.91</v>
      </c>
    </row>
    <row r="7976" spans="1:7" ht="12.75" customHeight="1">
      <c r="A7976" s="3">
        <v>101902</v>
      </c>
      <c r="B7976" s="4" t="s">
        <v>8000</v>
      </c>
      <c r="C7976" s="3" t="s">
        <v>6</v>
      </c>
      <c r="D7976" s="5">
        <f t="shared" si="250"/>
        <v>185.11</v>
      </c>
      <c r="E7976">
        <v>203.2</v>
      </c>
      <c r="F7976" s="1789">
        <v>8.8999999999999996E-2</v>
      </c>
      <c r="G7976">
        <f t="shared" si="251"/>
        <v>185.11</v>
      </c>
    </row>
    <row r="7977" spans="1:7" ht="12.75" customHeight="1">
      <c r="A7977" s="3">
        <v>101903</v>
      </c>
      <c r="B7977" s="4" t="s">
        <v>8001</v>
      </c>
      <c r="C7977" s="3" t="s">
        <v>6</v>
      </c>
      <c r="D7977" s="5">
        <f t="shared" si="250"/>
        <v>385.85</v>
      </c>
      <c r="E7977">
        <v>423.55</v>
      </c>
      <c r="F7977" s="1789">
        <v>8.8999999999999996E-2</v>
      </c>
      <c r="G7977">
        <f t="shared" si="251"/>
        <v>385.85</v>
      </c>
    </row>
    <row r="7978" spans="1:7" ht="12.75" customHeight="1">
      <c r="A7978" s="3">
        <v>101904</v>
      </c>
      <c r="B7978" s="4" t="s">
        <v>8002</v>
      </c>
      <c r="C7978" s="3" t="s">
        <v>6</v>
      </c>
      <c r="D7978" s="5">
        <f t="shared" si="250"/>
        <v>1422.01</v>
      </c>
      <c r="E7978">
        <v>1560.94</v>
      </c>
      <c r="F7978" s="1789">
        <v>8.8999999999999996E-2</v>
      </c>
      <c r="G7978">
        <f t="shared" si="251"/>
        <v>1422.01</v>
      </c>
    </row>
    <row r="7979" spans="1:7" ht="12.75" customHeight="1">
      <c r="A7979" s="3">
        <v>101938</v>
      </c>
      <c r="B7979" s="4" t="s">
        <v>8003</v>
      </c>
      <c r="C7979" s="3" t="s">
        <v>6</v>
      </c>
      <c r="D7979" s="5">
        <f t="shared" si="250"/>
        <v>106.94</v>
      </c>
      <c r="E7979">
        <v>117.39</v>
      </c>
      <c r="F7979" s="1789">
        <v>8.8999999999999996E-2</v>
      </c>
      <c r="G7979">
        <f t="shared" si="251"/>
        <v>106.94</v>
      </c>
    </row>
    <row r="7980" spans="1:7" ht="12.75" customHeight="1">
      <c r="A7980" s="3">
        <v>101946</v>
      </c>
      <c r="B7980" s="4" t="s">
        <v>8004</v>
      </c>
      <c r="C7980" s="3" t="s">
        <v>6</v>
      </c>
      <c r="D7980" s="5">
        <f t="shared" si="250"/>
        <v>152.24</v>
      </c>
      <c r="E7980">
        <v>167.12</v>
      </c>
      <c r="F7980" s="1789">
        <v>8.8999999999999996E-2</v>
      </c>
      <c r="G7980">
        <f t="shared" si="251"/>
        <v>152.24</v>
      </c>
    </row>
    <row r="7981" spans="1:7" ht="12.75" customHeight="1">
      <c r="A7981" s="3">
        <v>91945</v>
      </c>
      <c r="B7981" s="4" t="s">
        <v>8005</v>
      </c>
      <c r="C7981" s="3" t="s">
        <v>6</v>
      </c>
      <c r="D7981" s="5">
        <f t="shared" si="250"/>
        <v>12.08</v>
      </c>
      <c r="E7981">
        <v>13.27</v>
      </c>
      <c r="F7981" s="1789">
        <v>8.8999999999999996E-2</v>
      </c>
      <c r="G7981">
        <f t="shared" si="251"/>
        <v>12.08</v>
      </c>
    </row>
    <row r="7982" spans="1:7" ht="12.75" customHeight="1">
      <c r="A7982" s="3">
        <v>91946</v>
      </c>
      <c r="B7982" s="4" t="s">
        <v>8006</v>
      </c>
      <c r="C7982" s="3" t="s">
        <v>6</v>
      </c>
      <c r="D7982" s="5">
        <f t="shared" si="250"/>
        <v>9.48</v>
      </c>
      <c r="E7982">
        <v>10.41</v>
      </c>
      <c r="F7982" s="1789">
        <v>8.8999999999999996E-2</v>
      </c>
      <c r="G7982">
        <f t="shared" si="251"/>
        <v>9.48</v>
      </c>
    </row>
    <row r="7983" spans="1:7" ht="12.75" customHeight="1">
      <c r="A7983" s="3">
        <v>91947</v>
      </c>
      <c r="B7983" s="4" t="s">
        <v>8007</v>
      </c>
      <c r="C7983" s="3" t="s">
        <v>6</v>
      </c>
      <c r="D7983" s="5">
        <f t="shared" si="250"/>
        <v>7.83</v>
      </c>
      <c r="E7983">
        <v>8.6</v>
      </c>
      <c r="F7983" s="1789">
        <v>8.8999999999999996E-2</v>
      </c>
      <c r="G7983">
        <f t="shared" si="251"/>
        <v>7.83</v>
      </c>
    </row>
    <row r="7984" spans="1:7" ht="12.75" customHeight="1">
      <c r="A7984" s="3">
        <v>91949</v>
      </c>
      <c r="B7984" s="4" t="s">
        <v>8008</v>
      </c>
      <c r="C7984" s="3" t="s">
        <v>6</v>
      </c>
      <c r="D7984" s="5">
        <f t="shared" si="250"/>
        <v>17.07</v>
      </c>
      <c r="E7984">
        <v>18.739999999999998</v>
      </c>
      <c r="F7984" s="1789">
        <v>8.8999999999999996E-2</v>
      </c>
      <c r="G7984">
        <f t="shared" si="251"/>
        <v>17.07</v>
      </c>
    </row>
    <row r="7985" spans="1:7" ht="12.75" customHeight="1">
      <c r="A7985" s="3">
        <v>91950</v>
      </c>
      <c r="B7985" s="4" t="s">
        <v>8009</v>
      </c>
      <c r="C7985" s="3" t="s">
        <v>6</v>
      </c>
      <c r="D7985" s="5">
        <f t="shared" si="250"/>
        <v>13.88</v>
      </c>
      <c r="E7985">
        <v>15.24</v>
      </c>
      <c r="F7985" s="1789">
        <v>8.8999999999999996E-2</v>
      </c>
      <c r="G7985">
        <f t="shared" si="251"/>
        <v>13.88</v>
      </c>
    </row>
    <row r="7986" spans="1:7" ht="12.75" customHeight="1">
      <c r="A7986" s="3">
        <v>91951</v>
      </c>
      <c r="B7986" s="4" t="s">
        <v>8010</v>
      </c>
      <c r="C7986" s="3" t="s">
        <v>6</v>
      </c>
      <c r="D7986" s="5">
        <f t="shared" si="250"/>
        <v>11.97</v>
      </c>
      <c r="E7986">
        <v>13.14</v>
      </c>
      <c r="F7986" s="1789">
        <v>8.8999999999999996E-2</v>
      </c>
      <c r="G7986">
        <f t="shared" si="251"/>
        <v>11.97</v>
      </c>
    </row>
    <row r="7987" spans="1:7" ht="12.75" customHeight="1">
      <c r="A7987" s="3">
        <v>91952</v>
      </c>
      <c r="B7987" s="4" t="s">
        <v>8011</v>
      </c>
      <c r="C7987" s="3" t="s">
        <v>6</v>
      </c>
      <c r="D7987" s="5">
        <f t="shared" si="250"/>
        <v>16.2</v>
      </c>
      <c r="E7987">
        <v>17.79</v>
      </c>
      <c r="F7987" s="1789">
        <v>8.8999999999999996E-2</v>
      </c>
      <c r="G7987">
        <f t="shared" si="251"/>
        <v>16.2</v>
      </c>
    </row>
    <row r="7988" spans="1:7" ht="12.75" customHeight="1">
      <c r="A7988" s="3">
        <v>91953</v>
      </c>
      <c r="B7988" s="4" t="s">
        <v>8012</v>
      </c>
      <c r="C7988" s="3" t="s">
        <v>6</v>
      </c>
      <c r="D7988" s="5">
        <f t="shared" si="250"/>
        <v>25.69</v>
      </c>
      <c r="E7988">
        <v>28.2</v>
      </c>
      <c r="F7988" s="1789">
        <v>8.8999999999999996E-2</v>
      </c>
      <c r="G7988">
        <f t="shared" si="251"/>
        <v>25.69</v>
      </c>
    </row>
    <row r="7989" spans="1:7" ht="12.75" customHeight="1">
      <c r="A7989" s="3">
        <v>91954</v>
      </c>
      <c r="B7989" s="4" t="s">
        <v>8013</v>
      </c>
      <c r="C7989" s="3" t="s">
        <v>6</v>
      </c>
      <c r="D7989" s="5">
        <f t="shared" si="250"/>
        <v>21.77</v>
      </c>
      <c r="E7989">
        <v>23.9</v>
      </c>
      <c r="F7989" s="1789">
        <v>8.8999999999999996E-2</v>
      </c>
      <c r="G7989">
        <f t="shared" si="251"/>
        <v>21.77</v>
      </c>
    </row>
    <row r="7990" spans="1:7" ht="12.75" customHeight="1">
      <c r="A7990" s="3">
        <v>91955</v>
      </c>
      <c r="B7990" s="4" t="s">
        <v>8014</v>
      </c>
      <c r="C7990" s="3" t="s">
        <v>6</v>
      </c>
      <c r="D7990" s="5">
        <f t="shared" si="250"/>
        <v>31.25</v>
      </c>
      <c r="E7990">
        <v>34.31</v>
      </c>
      <c r="F7990" s="1789">
        <v>8.8999999999999996E-2</v>
      </c>
      <c r="G7990">
        <f t="shared" si="251"/>
        <v>31.25</v>
      </c>
    </row>
    <row r="7991" spans="1:7" ht="12.75" customHeight="1">
      <c r="A7991" s="3">
        <v>91956</v>
      </c>
      <c r="B7991" s="4" t="s">
        <v>8015</v>
      </c>
      <c r="C7991" s="3" t="s">
        <v>6</v>
      </c>
      <c r="D7991" s="5">
        <f t="shared" si="250"/>
        <v>35.200000000000003</v>
      </c>
      <c r="E7991">
        <v>38.64</v>
      </c>
      <c r="F7991" s="1789">
        <v>8.8999999999999996E-2</v>
      </c>
      <c r="G7991">
        <f t="shared" si="251"/>
        <v>35.200000000000003</v>
      </c>
    </row>
    <row r="7992" spans="1:7" ht="12.75" customHeight="1">
      <c r="A7992" s="3">
        <v>91957</v>
      </c>
      <c r="B7992" s="4" t="s">
        <v>8016</v>
      </c>
      <c r="C7992" s="3" t="s">
        <v>6</v>
      </c>
      <c r="D7992" s="5">
        <f t="shared" si="250"/>
        <v>44.68</v>
      </c>
      <c r="E7992">
        <v>49.05</v>
      </c>
      <c r="F7992" s="1789">
        <v>8.8999999999999996E-2</v>
      </c>
      <c r="G7992">
        <f t="shared" si="251"/>
        <v>44.68</v>
      </c>
    </row>
    <row r="7993" spans="1:7" ht="12.75" customHeight="1">
      <c r="A7993" s="3">
        <v>91958</v>
      </c>
      <c r="B7993" s="4" t="s">
        <v>8017</v>
      </c>
      <c r="C7993" s="3" t="s">
        <v>6</v>
      </c>
      <c r="D7993" s="5">
        <f t="shared" si="250"/>
        <v>29.68</v>
      </c>
      <c r="E7993">
        <v>32.58</v>
      </c>
      <c r="F7993" s="1789">
        <v>8.8999999999999996E-2</v>
      </c>
      <c r="G7993">
        <f t="shared" si="251"/>
        <v>29.68</v>
      </c>
    </row>
    <row r="7994" spans="1:7" ht="12.75" customHeight="1">
      <c r="A7994" s="3">
        <v>91959</v>
      </c>
      <c r="B7994" s="4" t="s">
        <v>8018</v>
      </c>
      <c r="C7994" s="3" t="s">
        <v>6</v>
      </c>
      <c r="D7994" s="5">
        <f t="shared" si="250"/>
        <v>39.159999999999997</v>
      </c>
      <c r="E7994">
        <v>42.99</v>
      </c>
      <c r="F7994" s="1789">
        <v>8.8999999999999996E-2</v>
      </c>
      <c r="G7994">
        <f t="shared" si="251"/>
        <v>39.159999999999997</v>
      </c>
    </row>
    <row r="7995" spans="1:7" ht="12.75" customHeight="1">
      <c r="A7995" s="3">
        <v>91960</v>
      </c>
      <c r="B7995" s="4" t="s">
        <v>8019</v>
      </c>
      <c r="C7995" s="3" t="s">
        <v>6</v>
      </c>
      <c r="D7995" s="5">
        <f t="shared" si="250"/>
        <v>40.81</v>
      </c>
      <c r="E7995">
        <v>44.8</v>
      </c>
      <c r="F7995" s="1789">
        <v>8.8999999999999996E-2</v>
      </c>
      <c r="G7995">
        <f t="shared" si="251"/>
        <v>40.81</v>
      </c>
    </row>
    <row r="7996" spans="1:7" ht="12.75" customHeight="1">
      <c r="A7996" s="3">
        <v>91961</v>
      </c>
      <c r="B7996" s="4" t="s">
        <v>8020</v>
      </c>
      <c r="C7996" s="3" t="s">
        <v>6</v>
      </c>
      <c r="D7996" s="5">
        <f t="shared" si="250"/>
        <v>50.29</v>
      </c>
      <c r="E7996">
        <v>55.21</v>
      </c>
      <c r="F7996" s="1789">
        <v>8.8999999999999996E-2</v>
      </c>
      <c r="G7996">
        <f t="shared" si="251"/>
        <v>50.29</v>
      </c>
    </row>
    <row r="7997" spans="1:7" ht="12.75" customHeight="1">
      <c r="A7997" s="3">
        <v>91962</v>
      </c>
      <c r="B7997" s="4" t="s">
        <v>8021</v>
      </c>
      <c r="C7997" s="3" t="s">
        <v>6</v>
      </c>
      <c r="D7997" s="5">
        <f t="shared" si="250"/>
        <v>54.23</v>
      </c>
      <c r="E7997">
        <v>59.53</v>
      </c>
      <c r="F7997" s="1789">
        <v>8.8999999999999996E-2</v>
      </c>
      <c r="G7997">
        <f t="shared" si="251"/>
        <v>54.23</v>
      </c>
    </row>
    <row r="7998" spans="1:7" ht="12.75" customHeight="1">
      <c r="A7998" s="3">
        <v>91963</v>
      </c>
      <c r="B7998" s="4" t="s">
        <v>8022</v>
      </c>
      <c r="C7998" s="3" t="s">
        <v>6</v>
      </c>
      <c r="D7998" s="5">
        <f t="shared" si="250"/>
        <v>63.71</v>
      </c>
      <c r="E7998">
        <v>69.94</v>
      </c>
      <c r="F7998" s="1789">
        <v>8.8999999999999996E-2</v>
      </c>
      <c r="G7998">
        <f t="shared" si="251"/>
        <v>63.71</v>
      </c>
    </row>
    <row r="7999" spans="1:7" ht="12.75" customHeight="1">
      <c r="A7999" s="3">
        <v>91964</v>
      </c>
      <c r="B7999" s="4" t="s">
        <v>8023</v>
      </c>
      <c r="C7999" s="3" t="s">
        <v>6</v>
      </c>
      <c r="D7999" s="5">
        <f t="shared" si="250"/>
        <v>48.67</v>
      </c>
      <c r="E7999">
        <v>53.43</v>
      </c>
      <c r="F7999" s="1789">
        <v>8.8999999999999996E-2</v>
      </c>
      <c r="G7999">
        <f t="shared" si="251"/>
        <v>48.67</v>
      </c>
    </row>
    <row r="8000" spans="1:7" ht="12.75" customHeight="1">
      <c r="A8000" s="3">
        <v>91965</v>
      </c>
      <c r="B8000" s="4" t="s">
        <v>8024</v>
      </c>
      <c r="C8000" s="3" t="s">
        <v>6</v>
      </c>
      <c r="D8000" s="5">
        <f t="shared" si="250"/>
        <v>58.15</v>
      </c>
      <c r="E8000">
        <v>63.84</v>
      </c>
      <c r="F8000" s="1789">
        <v>8.8999999999999996E-2</v>
      </c>
      <c r="G8000">
        <f t="shared" si="251"/>
        <v>58.15</v>
      </c>
    </row>
    <row r="8001" spans="1:7" ht="12.75" customHeight="1">
      <c r="A8001" s="3">
        <v>91966</v>
      </c>
      <c r="B8001" s="4" t="s">
        <v>8025</v>
      </c>
      <c r="C8001" s="3" t="s">
        <v>6</v>
      </c>
      <c r="D8001" s="5">
        <f t="shared" si="250"/>
        <v>43.16</v>
      </c>
      <c r="E8001">
        <v>47.38</v>
      </c>
      <c r="F8001" s="1789">
        <v>8.8999999999999996E-2</v>
      </c>
      <c r="G8001">
        <f t="shared" si="251"/>
        <v>43.16</v>
      </c>
    </row>
    <row r="8002" spans="1:7" ht="12.75" customHeight="1">
      <c r="A8002" s="3">
        <v>91967</v>
      </c>
      <c r="B8002" s="4" t="s">
        <v>8026</v>
      </c>
      <c r="C8002" s="3" t="s">
        <v>6</v>
      </c>
      <c r="D8002" s="5">
        <f t="shared" si="250"/>
        <v>52.64</v>
      </c>
      <c r="E8002">
        <v>57.79</v>
      </c>
      <c r="F8002" s="1789">
        <v>8.8999999999999996E-2</v>
      </c>
      <c r="G8002">
        <f t="shared" si="251"/>
        <v>52.64</v>
      </c>
    </row>
    <row r="8003" spans="1:7" ht="12.75" customHeight="1">
      <c r="A8003" s="3">
        <v>91968</v>
      </c>
      <c r="B8003" s="4" t="s">
        <v>8027</v>
      </c>
      <c r="C8003" s="3" t="s">
        <v>6</v>
      </c>
      <c r="D8003" s="5">
        <f t="shared" si="250"/>
        <v>59.78</v>
      </c>
      <c r="E8003">
        <v>65.63</v>
      </c>
      <c r="F8003" s="1789">
        <v>8.8999999999999996E-2</v>
      </c>
      <c r="G8003">
        <f t="shared" si="251"/>
        <v>59.78</v>
      </c>
    </row>
    <row r="8004" spans="1:7" ht="12.75" customHeight="1">
      <c r="A8004" s="3">
        <v>91969</v>
      </c>
      <c r="B8004" s="4" t="s">
        <v>8028</v>
      </c>
      <c r="C8004" s="3" t="s">
        <v>6</v>
      </c>
      <c r="D8004" s="5">
        <f t="shared" si="250"/>
        <v>69.27</v>
      </c>
      <c r="E8004">
        <v>76.040000000000006</v>
      </c>
      <c r="F8004" s="1789">
        <v>8.8999999999999996E-2</v>
      </c>
      <c r="G8004">
        <f t="shared" si="251"/>
        <v>69.27</v>
      </c>
    </row>
    <row r="8005" spans="1:7" ht="12.75" customHeight="1">
      <c r="A8005" s="3">
        <v>91970</v>
      </c>
      <c r="B8005" s="4" t="s">
        <v>8029</v>
      </c>
      <c r="C8005" s="3" t="s">
        <v>6</v>
      </c>
      <c r="D8005" s="5">
        <f t="shared" si="250"/>
        <v>62.45</v>
      </c>
      <c r="E8005">
        <v>68.56</v>
      </c>
      <c r="F8005" s="1789">
        <v>8.8999999999999996E-2</v>
      </c>
      <c r="G8005">
        <f t="shared" si="251"/>
        <v>62.45</v>
      </c>
    </row>
    <row r="8006" spans="1:7" ht="12.75" customHeight="1">
      <c r="A8006" s="3">
        <v>91971</v>
      </c>
      <c r="B8006" s="4" t="s">
        <v>8030</v>
      </c>
      <c r="C8006" s="3" t="s">
        <v>6</v>
      </c>
      <c r="D8006" s="5">
        <f t="shared" si="250"/>
        <v>76.34</v>
      </c>
      <c r="E8006">
        <v>83.8</v>
      </c>
      <c r="F8006" s="1789">
        <v>8.8999999999999996E-2</v>
      </c>
      <c r="G8006">
        <f t="shared" si="251"/>
        <v>76.34</v>
      </c>
    </row>
    <row r="8007" spans="1:7" ht="12.75" customHeight="1">
      <c r="A8007" s="3">
        <v>91972</v>
      </c>
      <c r="B8007" s="4" t="s">
        <v>8031</v>
      </c>
      <c r="C8007" s="3" t="s">
        <v>6</v>
      </c>
      <c r="D8007" s="5">
        <f t="shared" si="250"/>
        <v>68.06</v>
      </c>
      <c r="E8007">
        <v>74.709999999999994</v>
      </c>
      <c r="F8007" s="1789">
        <v>8.8999999999999996E-2</v>
      </c>
      <c r="G8007">
        <f t="shared" si="251"/>
        <v>68.06</v>
      </c>
    </row>
    <row r="8008" spans="1:7" ht="12.75" customHeight="1">
      <c r="A8008" s="3">
        <v>91973</v>
      </c>
      <c r="B8008" s="4" t="s">
        <v>8032</v>
      </c>
      <c r="C8008" s="3" t="s">
        <v>6</v>
      </c>
      <c r="D8008" s="5">
        <f t="shared" si="250"/>
        <v>81.94</v>
      </c>
      <c r="E8008">
        <v>89.95</v>
      </c>
      <c r="F8008" s="1789">
        <v>8.8999999999999996E-2</v>
      </c>
      <c r="G8008">
        <f t="shared" si="251"/>
        <v>81.94</v>
      </c>
    </row>
    <row r="8009" spans="1:7" ht="12.75" customHeight="1">
      <c r="A8009" s="3">
        <v>91974</v>
      </c>
      <c r="B8009" s="4" t="s">
        <v>8033</v>
      </c>
      <c r="C8009" s="3" t="s">
        <v>6</v>
      </c>
      <c r="D8009" s="5">
        <f t="shared" si="250"/>
        <v>56.89</v>
      </c>
      <c r="E8009">
        <v>62.45</v>
      </c>
      <c r="F8009" s="1789">
        <v>8.8999999999999996E-2</v>
      </c>
      <c r="G8009">
        <f t="shared" si="251"/>
        <v>56.89</v>
      </c>
    </row>
    <row r="8010" spans="1:7" ht="12.75" customHeight="1">
      <c r="A8010" s="3">
        <v>91975</v>
      </c>
      <c r="B8010" s="4" t="s">
        <v>8034</v>
      </c>
      <c r="C8010" s="3" t="s">
        <v>6</v>
      </c>
      <c r="D8010" s="5">
        <f t="shared" si="250"/>
        <v>70.77</v>
      </c>
      <c r="E8010">
        <v>77.69</v>
      </c>
      <c r="F8010" s="1789">
        <v>8.8999999999999996E-2</v>
      </c>
      <c r="G8010">
        <f t="shared" si="251"/>
        <v>70.77</v>
      </c>
    </row>
    <row r="8011" spans="1:7" ht="12.75" customHeight="1">
      <c r="A8011" s="3">
        <v>91976</v>
      </c>
      <c r="B8011" s="4" t="s">
        <v>8035</v>
      </c>
      <c r="C8011" s="3" t="s">
        <v>6</v>
      </c>
      <c r="D8011" s="5">
        <f t="shared" si="250"/>
        <v>83.88</v>
      </c>
      <c r="E8011">
        <v>92.08</v>
      </c>
      <c r="F8011" s="1789">
        <v>8.8999999999999996E-2</v>
      </c>
      <c r="G8011">
        <f t="shared" si="251"/>
        <v>83.88</v>
      </c>
    </row>
    <row r="8012" spans="1:7" ht="12.75" customHeight="1">
      <c r="A8012" s="3">
        <v>91977</v>
      </c>
      <c r="B8012" s="4" t="s">
        <v>8036</v>
      </c>
      <c r="C8012" s="3" t="s">
        <v>6</v>
      </c>
      <c r="D8012" s="5">
        <f t="shared" si="250"/>
        <v>97.76</v>
      </c>
      <c r="E8012">
        <v>107.32</v>
      </c>
      <c r="F8012" s="1789">
        <v>8.8999999999999996E-2</v>
      </c>
      <c r="G8012">
        <f t="shared" si="251"/>
        <v>97.76</v>
      </c>
    </row>
    <row r="8013" spans="1:7" ht="12.75" customHeight="1">
      <c r="A8013" s="3">
        <v>91978</v>
      </c>
      <c r="B8013" s="4" t="s">
        <v>8037</v>
      </c>
      <c r="C8013" s="3" t="s">
        <v>6</v>
      </c>
      <c r="D8013" s="5">
        <f t="shared" si="250"/>
        <v>34.229999999999997</v>
      </c>
      <c r="E8013">
        <v>37.58</v>
      </c>
      <c r="F8013" s="1789">
        <v>8.8999999999999996E-2</v>
      </c>
      <c r="G8013">
        <f t="shared" si="251"/>
        <v>34.229999999999997</v>
      </c>
    </row>
    <row r="8014" spans="1:7" ht="12.75" customHeight="1">
      <c r="A8014" s="3">
        <v>91979</v>
      </c>
      <c r="B8014" s="4" t="s">
        <v>8038</v>
      </c>
      <c r="C8014" s="3" t="s">
        <v>6</v>
      </c>
      <c r="D8014" s="5">
        <f t="shared" si="250"/>
        <v>43.71</v>
      </c>
      <c r="E8014">
        <v>47.99</v>
      </c>
      <c r="F8014" s="1789">
        <v>8.8999999999999996E-2</v>
      </c>
      <c r="G8014">
        <f t="shared" si="251"/>
        <v>43.71</v>
      </c>
    </row>
    <row r="8015" spans="1:7" ht="12.75" customHeight="1">
      <c r="A8015" s="3">
        <v>91980</v>
      </c>
      <c r="B8015" s="4" t="s">
        <v>8039</v>
      </c>
      <c r="C8015" s="3" t="s">
        <v>6</v>
      </c>
      <c r="D8015" s="5">
        <f t="shared" si="250"/>
        <v>33.18</v>
      </c>
      <c r="E8015">
        <v>36.43</v>
      </c>
      <c r="F8015" s="1789">
        <v>8.8999999999999996E-2</v>
      </c>
      <c r="G8015">
        <f t="shared" si="251"/>
        <v>33.18</v>
      </c>
    </row>
    <row r="8016" spans="1:7" ht="12.75" customHeight="1">
      <c r="A8016" s="3">
        <v>91981</v>
      </c>
      <c r="B8016" s="4" t="s">
        <v>8040</v>
      </c>
      <c r="C8016" s="3" t="s">
        <v>6</v>
      </c>
      <c r="D8016" s="5">
        <f t="shared" si="250"/>
        <v>42.67</v>
      </c>
      <c r="E8016">
        <v>46.84</v>
      </c>
      <c r="F8016" s="1789">
        <v>8.8999999999999996E-2</v>
      </c>
      <c r="G8016">
        <f t="shared" si="251"/>
        <v>42.67</v>
      </c>
    </row>
    <row r="8017" spans="1:7" ht="12.75" customHeight="1">
      <c r="A8017" s="3">
        <v>91982</v>
      </c>
      <c r="B8017" s="4" t="s">
        <v>8041</v>
      </c>
      <c r="C8017" s="3" t="s">
        <v>6</v>
      </c>
      <c r="D8017" s="5">
        <f t="shared" si="250"/>
        <v>76.38</v>
      </c>
      <c r="E8017">
        <v>83.85</v>
      </c>
      <c r="F8017" s="1789">
        <v>8.8999999999999996E-2</v>
      </c>
      <c r="G8017">
        <f t="shared" si="251"/>
        <v>76.38</v>
      </c>
    </row>
    <row r="8018" spans="1:7" ht="12.75" customHeight="1">
      <c r="A8018" s="3">
        <v>91983</v>
      </c>
      <c r="B8018" s="4" t="s">
        <v>8042</v>
      </c>
      <c r="C8018" s="3" t="s">
        <v>6</v>
      </c>
      <c r="D8018" s="5">
        <f t="shared" si="250"/>
        <v>85.87</v>
      </c>
      <c r="E8018">
        <v>94.26</v>
      </c>
      <c r="F8018" s="1789">
        <v>8.8999999999999996E-2</v>
      </c>
      <c r="G8018">
        <f t="shared" si="251"/>
        <v>85.87</v>
      </c>
    </row>
    <row r="8019" spans="1:7" ht="12.75" customHeight="1">
      <c r="A8019" s="3">
        <v>91984</v>
      </c>
      <c r="B8019" s="4" t="s">
        <v>8043</v>
      </c>
      <c r="C8019" s="3" t="s">
        <v>6</v>
      </c>
      <c r="D8019" s="5">
        <f t="shared" si="250"/>
        <v>15.24</v>
      </c>
      <c r="E8019">
        <v>16.73</v>
      </c>
      <c r="F8019" s="1789">
        <v>8.8999999999999996E-2</v>
      </c>
      <c r="G8019">
        <f t="shared" si="251"/>
        <v>15.24</v>
      </c>
    </row>
    <row r="8020" spans="1:7" ht="12.75" customHeight="1">
      <c r="A8020" s="3">
        <v>91985</v>
      </c>
      <c r="B8020" s="4" t="s">
        <v>8044</v>
      </c>
      <c r="C8020" s="3" t="s">
        <v>6</v>
      </c>
      <c r="D8020" s="5">
        <f t="shared" si="250"/>
        <v>24.72</v>
      </c>
      <c r="E8020">
        <v>27.14</v>
      </c>
      <c r="F8020" s="1789">
        <v>8.8999999999999996E-2</v>
      </c>
      <c r="G8020">
        <f t="shared" si="251"/>
        <v>24.72</v>
      </c>
    </row>
    <row r="8021" spans="1:7" ht="12.75" customHeight="1">
      <c r="A8021" s="3">
        <v>91986</v>
      </c>
      <c r="B8021" s="4" t="s">
        <v>8045</v>
      </c>
      <c r="C8021" s="3" t="s">
        <v>6</v>
      </c>
      <c r="D8021" s="5">
        <f t="shared" ref="D8021:D8084" si="252">G8021</f>
        <v>31.9</v>
      </c>
      <c r="E8021">
        <v>35.020000000000003</v>
      </c>
      <c r="F8021" s="1789">
        <v>8.8999999999999996E-2</v>
      </c>
      <c r="G8021">
        <f t="shared" ref="G8021:G8084" si="253">TRUNC((1-F8021)*E8021,2)</f>
        <v>31.9</v>
      </c>
    </row>
    <row r="8022" spans="1:7" ht="12.75" customHeight="1">
      <c r="A8022" s="3">
        <v>91987</v>
      </c>
      <c r="B8022" s="4" t="s">
        <v>8046</v>
      </c>
      <c r="C8022" s="3" t="s">
        <v>6</v>
      </c>
      <c r="D8022" s="5">
        <f t="shared" si="252"/>
        <v>41.38</v>
      </c>
      <c r="E8022">
        <v>45.43</v>
      </c>
      <c r="F8022" s="1789">
        <v>8.8999999999999996E-2</v>
      </c>
      <c r="G8022">
        <f t="shared" si="253"/>
        <v>41.38</v>
      </c>
    </row>
    <row r="8023" spans="1:7" ht="12.75" customHeight="1">
      <c r="A8023" s="3">
        <v>91988</v>
      </c>
      <c r="B8023" s="4" t="s">
        <v>8047</v>
      </c>
      <c r="C8023" s="3" t="s">
        <v>6</v>
      </c>
      <c r="D8023" s="5">
        <f t="shared" si="252"/>
        <v>18.73</v>
      </c>
      <c r="E8023">
        <v>20.57</v>
      </c>
      <c r="F8023" s="1789">
        <v>8.8999999999999996E-2</v>
      </c>
      <c r="G8023">
        <f t="shared" si="253"/>
        <v>18.73</v>
      </c>
    </row>
    <row r="8024" spans="1:7" ht="12.75" customHeight="1">
      <c r="A8024" s="3">
        <v>91989</v>
      </c>
      <c r="B8024" s="4" t="s">
        <v>8048</v>
      </c>
      <c r="C8024" s="3" t="s">
        <v>6</v>
      </c>
      <c r="D8024" s="5">
        <f t="shared" si="252"/>
        <v>28.22</v>
      </c>
      <c r="E8024">
        <v>30.98</v>
      </c>
      <c r="F8024" s="1789">
        <v>8.8999999999999996E-2</v>
      </c>
      <c r="G8024">
        <f t="shared" si="253"/>
        <v>28.22</v>
      </c>
    </row>
    <row r="8025" spans="1:7" ht="12.75" customHeight="1">
      <c r="A8025" s="3">
        <v>91990</v>
      </c>
      <c r="B8025" s="4" t="s">
        <v>8049</v>
      </c>
      <c r="C8025" s="3" t="s">
        <v>6</v>
      </c>
      <c r="D8025" s="5">
        <f t="shared" si="252"/>
        <v>29.39</v>
      </c>
      <c r="E8025">
        <v>32.270000000000003</v>
      </c>
      <c r="F8025" s="1789">
        <v>8.8999999999999996E-2</v>
      </c>
      <c r="G8025">
        <f t="shared" si="253"/>
        <v>29.39</v>
      </c>
    </row>
    <row r="8026" spans="1:7" ht="12.75" customHeight="1">
      <c r="A8026" s="3">
        <v>91991</v>
      </c>
      <c r="B8026" s="4" t="s">
        <v>8050</v>
      </c>
      <c r="C8026" s="3" t="s">
        <v>6</v>
      </c>
      <c r="D8026" s="5">
        <f t="shared" si="252"/>
        <v>31.28</v>
      </c>
      <c r="E8026">
        <v>34.340000000000003</v>
      </c>
      <c r="F8026" s="1789">
        <v>8.8999999999999996E-2</v>
      </c>
      <c r="G8026">
        <f t="shared" si="253"/>
        <v>31.28</v>
      </c>
    </row>
    <row r="8027" spans="1:7" ht="12.75" customHeight="1">
      <c r="A8027" s="3">
        <v>91992</v>
      </c>
      <c r="B8027" s="4" t="s">
        <v>8051</v>
      </c>
      <c r="C8027" s="3" t="s">
        <v>6</v>
      </c>
      <c r="D8027" s="5">
        <f t="shared" si="252"/>
        <v>38.880000000000003</v>
      </c>
      <c r="E8027">
        <v>42.68</v>
      </c>
      <c r="F8027" s="1789">
        <v>8.8999999999999996E-2</v>
      </c>
      <c r="G8027">
        <f t="shared" si="253"/>
        <v>38.880000000000003</v>
      </c>
    </row>
    <row r="8028" spans="1:7" ht="12.75" customHeight="1">
      <c r="A8028" s="3">
        <v>91993</v>
      </c>
      <c r="B8028" s="4" t="s">
        <v>8052</v>
      </c>
      <c r="C8028" s="3" t="s">
        <v>6</v>
      </c>
      <c r="D8028" s="5">
        <f t="shared" si="252"/>
        <v>40.76</v>
      </c>
      <c r="E8028">
        <v>44.75</v>
      </c>
      <c r="F8028" s="1789">
        <v>8.8999999999999996E-2</v>
      </c>
      <c r="G8028">
        <f t="shared" si="253"/>
        <v>40.76</v>
      </c>
    </row>
    <row r="8029" spans="1:7" ht="12.75" customHeight="1">
      <c r="A8029" s="3">
        <v>91994</v>
      </c>
      <c r="B8029" s="4" t="s">
        <v>8053</v>
      </c>
      <c r="C8029" s="3" t="s">
        <v>6</v>
      </c>
      <c r="D8029" s="5">
        <f t="shared" si="252"/>
        <v>20.79</v>
      </c>
      <c r="E8029">
        <v>22.83</v>
      </c>
      <c r="F8029" s="1789">
        <v>8.8999999999999996E-2</v>
      </c>
      <c r="G8029">
        <f t="shared" si="253"/>
        <v>20.79</v>
      </c>
    </row>
    <row r="8030" spans="1:7" ht="12.75" customHeight="1">
      <c r="A8030" s="3">
        <v>91995</v>
      </c>
      <c r="B8030" s="4" t="s">
        <v>8054</v>
      </c>
      <c r="C8030" s="3" t="s">
        <v>6</v>
      </c>
      <c r="D8030" s="5">
        <f t="shared" si="252"/>
        <v>22.68</v>
      </c>
      <c r="E8030">
        <v>24.9</v>
      </c>
      <c r="F8030" s="1789">
        <v>8.8999999999999996E-2</v>
      </c>
      <c r="G8030">
        <f t="shared" si="253"/>
        <v>22.68</v>
      </c>
    </row>
    <row r="8031" spans="1:7" ht="12.75" customHeight="1">
      <c r="A8031" s="3">
        <v>91996</v>
      </c>
      <c r="B8031" s="4" t="s">
        <v>8055</v>
      </c>
      <c r="C8031" s="3" t="s">
        <v>6</v>
      </c>
      <c r="D8031" s="5">
        <f t="shared" si="252"/>
        <v>30.28</v>
      </c>
      <c r="E8031">
        <v>33.24</v>
      </c>
      <c r="F8031" s="1789">
        <v>8.8999999999999996E-2</v>
      </c>
      <c r="G8031">
        <f t="shared" si="253"/>
        <v>30.28</v>
      </c>
    </row>
    <row r="8032" spans="1:7" ht="12.75" customHeight="1">
      <c r="A8032" s="3">
        <v>91997</v>
      </c>
      <c r="B8032" s="4" t="s">
        <v>8056</v>
      </c>
      <c r="C8032" s="3" t="s">
        <v>6</v>
      </c>
      <c r="D8032" s="5">
        <f t="shared" si="252"/>
        <v>32.159999999999997</v>
      </c>
      <c r="E8032">
        <v>35.31</v>
      </c>
      <c r="F8032" s="1789">
        <v>8.8999999999999996E-2</v>
      </c>
      <c r="G8032">
        <f t="shared" si="253"/>
        <v>32.159999999999997</v>
      </c>
    </row>
    <row r="8033" spans="1:7" ht="12.75" customHeight="1">
      <c r="A8033" s="3">
        <v>91998</v>
      </c>
      <c r="B8033" s="4" t="s">
        <v>8057</v>
      </c>
      <c r="C8033" s="3" t="s">
        <v>6</v>
      </c>
      <c r="D8033" s="5">
        <f t="shared" si="252"/>
        <v>17.47</v>
      </c>
      <c r="E8033">
        <v>19.18</v>
      </c>
      <c r="F8033" s="1789">
        <v>8.8999999999999996E-2</v>
      </c>
      <c r="G8033">
        <f t="shared" si="253"/>
        <v>17.47</v>
      </c>
    </row>
    <row r="8034" spans="1:7" ht="12.75" customHeight="1">
      <c r="A8034" s="3">
        <v>91999</v>
      </c>
      <c r="B8034" s="4" t="s">
        <v>8058</v>
      </c>
      <c r="C8034" s="3" t="s">
        <v>6</v>
      </c>
      <c r="D8034" s="5">
        <f t="shared" si="252"/>
        <v>19.350000000000001</v>
      </c>
      <c r="E8034">
        <v>21.25</v>
      </c>
      <c r="F8034" s="1789">
        <v>8.8999999999999996E-2</v>
      </c>
      <c r="G8034">
        <f t="shared" si="253"/>
        <v>19.350000000000001</v>
      </c>
    </row>
    <row r="8035" spans="1:7" ht="12.75" customHeight="1">
      <c r="A8035" s="3">
        <v>92000</v>
      </c>
      <c r="B8035" s="4" t="s">
        <v>8059</v>
      </c>
      <c r="C8035" s="3" t="s">
        <v>6</v>
      </c>
      <c r="D8035" s="5">
        <f t="shared" si="252"/>
        <v>26.95</v>
      </c>
      <c r="E8035">
        <v>29.59</v>
      </c>
      <c r="F8035" s="1789">
        <v>8.8999999999999996E-2</v>
      </c>
      <c r="G8035">
        <f t="shared" si="253"/>
        <v>26.95</v>
      </c>
    </row>
    <row r="8036" spans="1:7" ht="12.75" customHeight="1">
      <c r="A8036" s="3">
        <v>92001</v>
      </c>
      <c r="B8036" s="4" t="s">
        <v>8060</v>
      </c>
      <c r="C8036" s="3" t="s">
        <v>6</v>
      </c>
      <c r="D8036" s="5">
        <f t="shared" si="252"/>
        <v>28.84</v>
      </c>
      <c r="E8036">
        <v>31.66</v>
      </c>
      <c r="F8036" s="1789">
        <v>8.8999999999999996E-2</v>
      </c>
      <c r="G8036">
        <f t="shared" si="253"/>
        <v>28.84</v>
      </c>
    </row>
    <row r="8037" spans="1:7" ht="12.75" customHeight="1">
      <c r="A8037" s="3">
        <v>92002</v>
      </c>
      <c r="B8037" s="4" t="s">
        <v>8061</v>
      </c>
      <c r="C8037" s="3" t="s">
        <v>6</v>
      </c>
      <c r="D8037" s="5">
        <f t="shared" si="252"/>
        <v>38.86</v>
      </c>
      <c r="E8037">
        <v>42.66</v>
      </c>
      <c r="F8037" s="1789">
        <v>8.8999999999999996E-2</v>
      </c>
      <c r="G8037">
        <f t="shared" si="253"/>
        <v>38.86</v>
      </c>
    </row>
    <row r="8038" spans="1:7" ht="12.75" customHeight="1">
      <c r="A8038" s="3">
        <v>92003</v>
      </c>
      <c r="B8038" s="4" t="s">
        <v>8062</v>
      </c>
      <c r="C8038" s="3" t="s">
        <v>6</v>
      </c>
      <c r="D8038" s="5">
        <f t="shared" si="252"/>
        <v>42.63</v>
      </c>
      <c r="E8038">
        <v>46.8</v>
      </c>
      <c r="F8038" s="1789">
        <v>8.8999999999999996E-2</v>
      </c>
      <c r="G8038">
        <f t="shared" si="253"/>
        <v>42.63</v>
      </c>
    </row>
    <row r="8039" spans="1:7" ht="12.75" customHeight="1">
      <c r="A8039" s="3">
        <v>92004</v>
      </c>
      <c r="B8039" s="4" t="s">
        <v>8063</v>
      </c>
      <c r="C8039" s="3" t="s">
        <v>6</v>
      </c>
      <c r="D8039" s="5">
        <f t="shared" si="252"/>
        <v>48.34</v>
      </c>
      <c r="E8039">
        <v>53.07</v>
      </c>
      <c r="F8039" s="1789">
        <v>8.8999999999999996E-2</v>
      </c>
      <c r="G8039">
        <f t="shared" si="253"/>
        <v>48.34</v>
      </c>
    </row>
    <row r="8040" spans="1:7" ht="12.75" customHeight="1">
      <c r="A8040" s="3">
        <v>92005</v>
      </c>
      <c r="B8040" s="4" t="s">
        <v>8064</v>
      </c>
      <c r="C8040" s="3" t="s">
        <v>6</v>
      </c>
      <c r="D8040" s="5">
        <f t="shared" si="252"/>
        <v>52.11</v>
      </c>
      <c r="E8040">
        <v>57.21</v>
      </c>
      <c r="F8040" s="1789">
        <v>8.8999999999999996E-2</v>
      </c>
      <c r="G8040">
        <f t="shared" si="253"/>
        <v>52.11</v>
      </c>
    </row>
    <row r="8041" spans="1:7" ht="12.75" customHeight="1">
      <c r="A8041" s="3">
        <v>92006</v>
      </c>
      <c r="B8041" s="4" t="s">
        <v>8065</v>
      </c>
      <c r="C8041" s="3" t="s">
        <v>6</v>
      </c>
      <c r="D8041" s="5">
        <f t="shared" si="252"/>
        <v>32.159999999999997</v>
      </c>
      <c r="E8041">
        <v>35.31</v>
      </c>
      <c r="F8041" s="1789">
        <v>8.8999999999999996E-2</v>
      </c>
      <c r="G8041">
        <f t="shared" si="253"/>
        <v>32.159999999999997</v>
      </c>
    </row>
    <row r="8042" spans="1:7" ht="12.75" customHeight="1">
      <c r="A8042" s="3">
        <v>92007</v>
      </c>
      <c r="B8042" s="4" t="s">
        <v>8066</v>
      </c>
      <c r="C8042" s="3" t="s">
        <v>6</v>
      </c>
      <c r="D8042" s="5">
        <f t="shared" si="252"/>
        <v>35.93</v>
      </c>
      <c r="E8042">
        <v>39.450000000000003</v>
      </c>
      <c r="F8042" s="1789">
        <v>8.8999999999999996E-2</v>
      </c>
      <c r="G8042">
        <f t="shared" si="253"/>
        <v>35.93</v>
      </c>
    </row>
    <row r="8043" spans="1:7" ht="12.75" customHeight="1">
      <c r="A8043" s="3">
        <v>92008</v>
      </c>
      <c r="B8043" s="4" t="s">
        <v>8067</v>
      </c>
      <c r="C8043" s="3" t="s">
        <v>6</v>
      </c>
      <c r="D8043" s="5">
        <f t="shared" si="252"/>
        <v>41.65</v>
      </c>
      <c r="E8043">
        <v>45.72</v>
      </c>
      <c r="F8043" s="1789">
        <v>8.8999999999999996E-2</v>
      </c>
      <c r="G8043">
        <f t="shared" si="253"/>
        <v>41.65</v>
      </c>
    </row>
    <row r="8044" spans="1:7" ht="12.75" customHeight="1">
      <c r="A8044" s="3">
        <v>92009</v>
      </c>
      <c r="B8044" s="4" t="s">
        <v>8068</v>
      </c>
      <c r="C8044" s="3" t="s">
        <v>6</v>
      </c>
      <c r="D8044" s="5">
        <f t="shared" si="252"/>
        <v>45.42</v>
      </c>
      <c r="E8044">
        <v>49.86</v>
      </c>
      <c r="F8044" s="1789">
        <v>8.8999999999999996E-2</v>
      </c>
      <c r="G8044">
        <f t="shared" si="253"/>
        <v>45.42</v>
      </c>
    </row>
    <row r="8045" spans="1:7" ht="12.75" customHeight="1">
      <c r="A8045" s="3">
        <v>92010</v>
      </c>
      <c r="B8045" s="4" t="s">
        <v>8069</v>
      </c>
      <c r="C8045" s="3" t="s">
        <v>6</v>
      </c>
      <c r="D8045" s="5">
        <f t="shared" si="252"/>
        <v>56.86</v>
      </c>
      <c r="E8045">
        <v>62.42</v>
      </c>
      <c r="F8045" s="1789">
        <v>8.8999999999999996E-2</v>
      </c>
      <c r="G8045">
        <f t="shared" si="253"/>
        <v>56.86</v>
      </c>
    </row>
    <row r="8046" spans="1:7" ht="12.75" customHeight="1">
      <c r="A8046" s="3">
        <v>92011</v>
      </c>
      <c r="B8046" s="4" t="s">
        <v>8070</v>
      </c>
      <c r="C8046" s="3" t="s">
        <v>6</v>
      </c>
      <c r="D8046" s="5">
        <f t="shared" si="252"/>
        <v>62.52</v>
      </c>
      <c r="E8046">
        <v>68.63</v>
      </c>
      <c r="F8046" s="1789">
        <v>8.8999999999999996E-2</v>
      </c>
      <c r="G8046">
        <f t="shared" si="253"/>
        <v>62.52</v>
      </c>
    </row>
    <row r="8047" spans="1:7" ht="12.75" customHeight="1">
      <c r="A8047" s="3">
        <v>92012</v>
      </c>
      <c r="B8047" s="4" t="s">
        <v>8071</v>
      </c>
      <c r="C8047" s="3" t="s">
        <v>6</v>
      </c>
      <c r="D8047" s="5">
        <f t="shared" si="252"/>
        <v>66.34</v>
      </c>
      <c r="E8047">
        <v>72.83</v>
      </c>
      <c r="F8047" s="1789">
        <v>8.8999999999999996E-2</v>
      </c>
      <c r="G8047">
        <f t="shared" si="253"/>
        <v>66.34</v>
      </c>
    </row>
    <row r="8048" spans="1:7" ht="12.75" customHeight="1">
      <c r="A8048" s="3">
        <v>92013</v>
      </c>
      <c r="B8048" s="4" t="s">
        <v>8072</v>
      </c>
      <c r="C8048" s="3" t="s">
        <v>6</v>
      </c>
      <c r="D8048" s="5">
        <f t="shared" si="252"/>
        <v>72</v>
      </c>
      <c r="E8048">
        <v>79.040000000000006</v>
      </c>
      <c r="F8048" s="1789">
        <v>8.8999999999999996E-2</v>
      </c>
      <c r="G8048">
        <f t="shared" si="253"/>
        <v>72</v>
      </c>
    </row>
    <row r="8049" spans="1:7" ht="12.75" customHeight="1">
      <c r="A8049" s="3">
        <v>92014</v>
      </c>
      <c r="B8049" s="4" t="s">
        <v>8073</v>
      </c>
      <c r="C8049" s="3" t="s">
        <v>6</v>
      </c>
      <c r="D8049" s="5">
        <f t="shared" si="252"/>
        <v>46.85</v>
      </c>
      <c r="E8049">
        <v>51.43</v>
      </c>
      <c r="F8049" s="1789">
        <v>8.8999999999999996E-2</v>
      </c>
      <c r="G8049">
        <f t="shared" si="253"/>
        <v>46.85</v>
      </c>
    </row>
    <row r="8050" spans="1:7" ht="12.75" customHeight="1">
      <c r="A8050" s="3">
        <v>92015</v>
      </c>
      <c r="B8050" s="4" t="s">
        <v>8074</v>
      </c>
      <c r="C8050" s="3" t="s">
        <v>6</v>
      </c>
      <c r="D8050" s="5">
        <f t="shared" si="252"/>
        <v>52.51</v>
      </c>
      <c r="E8050">
        <v>57.64</v>
      </c>
      <c r="F8050" s="1789">
        <v>8.8999999999999996E-2</v>
      </c>
      <c r="G8050">
        <f t="shared" si="253"/>
        <v>52.51</v>
      </c>
    </row>
    <row r="8051" spans="1:7" ht="12.75" customHeight="1">
      <c r="A8051" s="3">
        <v>92016</v>
      </c>
      <c r="B8051" s="4" t="s">
        <v>8075</v>
      </c>
      <c r="C8051" s="3" t="s">
        <v>6</v>
      </c>
      <c r="D8051" s="5">
        <f t="shared" si="252"/>
        <v>56.33</v>
      </c>
      <c r="E8051">
        <v>61.84</v>
      </c>
      <c r="F8051" s="1789">
        <v>8.8999999999999996E-2</v>
      </c>
      <c r="G8051">
        <f t="shared" si="253"/>
        <v>56.33</v>
      </c>
    </row>
    <row r="8052" spans="1:7" ht="12.75" customHeight="1">
      <c r="A8052" s="3">
        <v>92017</v>
      </c>
      <c r="B8052" s="4" t="s">
        <v>8076</v>
      </c>
      <c r="C8052" s="3" t="s">
        <v>6</v>
      </c>
      <c r="D8052" s="5">
        <f t="shared" si="252"/>
        <v>61.99</v>
      </c>
      <c r="E8052">
        <v>68.05</v>
      </c>
      <c r="F8052" s="1789">
        <v>8.8999999999999996E-2</v>
      </c>
      <c r="G8052">
        <f t="shared" si="253"/>
        <v>61.99</v>
      </c>
    </row>
    <row r="8053" spans="1:7" ht="12.75" customHeight="1">
      <c r="A8053" s="3">
        <v>92018</v>
      </c>
      <c r="B8053" s="4" t="s">
        <v>8077</v>
      </c>
      <c r="C8053" s="3" t="s">
        <v>6</v>
      </c>
      <c r="D8053" s="5">
        <f t="shared" si="252"/>
        <v>62.02</v>
      </c>
      <c r="E8053">
        <v>68.09</v>
      </c>
      <c r="F8053" s="1789">
        <v>8.8999999999999996E-2</v>
      </c>
      <c r="G8053">
        <f t="shared" si="253"/>
        <v>62.02</v>
      </c>
    </row>
    <row r="8054" spans="1:7" ht="12.75" customHeight="1">
      <c r="A8054" s="3">
        <v>92019</v>
      </c>
      <c r="B8054" s="4" t="s">
        <v>8078</v>
      </c>
      <c r="C8054" s="3" t="s">
        <v>6</v>
      </c>
      <c r="D8054" s="5">
        <f t="shared" si="252"/>
        <v>75.91</v>
      </c>
      <c r="E8054">
        <v>83.33</v>
      </c>
      <c r="F8054" s="1789">
        <v>8.8999999999999996E-2</v>
      </c>
      <c r="G8054">
        <f t="shared" si="253"/>
        <v>75.91</v>
      </c>
    </row>
    <row r="8055" spans="1:7" ht="12.75" customHeight="1">
      <c r="A8055" s="3">
        <v>92020</v>
      </c>
      <c r="B8055" s="4" t="s">
        <v>8079</v>
      </c>
      <c r="C8055" s="3" t="s">
        <v>6</v>
      </c>
      <c r="D8055" s="5">
        <f t="shared" si="252"/>
        <v>91.63</v>
      </c>
      <c r="E8055">
        <v>100.59</v>
      </c>
      <c r="F8055" s="1789">
        <v>8.8999999999999996E-2</v>
      </c>
      <c r="G8055">
        <f t="shared" si="253"/>
        <v>91.63</v>
      </c>
    </row>
    <row r="8056" spans="1:7" ht="12.75" customHeight="1">
      <c r="A8056" s="3">
        <v>92021</v>
      </c>
      <c r="B8056" s="4" t="s">
        <v>8080</v>
      </c>
      <c r="C8056" s="3" t="s">
        <v>6</v>
      </c>
      <c r="D8056" s="5">
        <f t="shared" si="252"/>
        <v>105.52</v>
      </c>
      <c r="E8056">
        <v>115.83</v>
      </c>
      <c r="F8056" s="1789">
        <v>8.8999999999999996E-2</v>
      </c>
      <c r="G8056">
        <f t="shared" si="253"/>
        <v>105.52</v>
      </c>
    </row>
    <row r="8057" spans="1:7" ht="12.75" customHeight="1">
      <c r="A8057" s="3">
        <v>92022</v>
      </c>
      <c r="B8057" s="4" t="s">
        <v>8081</v>
      </c>
      <c r="C8057" s="3" t="s">
        <v>6</v>
      </c>
      <c r="D8057" s="5">
        <f t="shared" si="252"/>
        <v>34.22</v>
      </c>
      <c r="E8057">
        <v>37.57</v>
      </c>
      <c r="F8057" s="1789">
        <v>8.8999999999999996E-2</v>
      </c>
      <c r="G8057">
        <f t="shared" si="253"/>
        <v>34.22</v>
      </c>
    </row>
    <row r="8058" spans="1:7" ht="12.75" customHeight="1">
      <c r="A8058" s="3">
        <v>92023</v>
      </c>
      <c r="B8058" s="4" t="s">
        <v>8082</v>
      </c>
      <c r="C8058" s="3" t="s">
        <v>6</v>
      </c>
      <c r="D8058" s="5">
        <f t="shared" si="252"/>
        <v>43.7</v>
      </c>
      <c r="E8058">
        <v>47.98</v>
      </c>
      <c r="F8058" s="1789">
        <v>8.8999999999999996E-2</v>
      </c>
      <c r="G8058">
        <f t="shared" si="253"/>
        <v>43.7</v>
      </c>
    </row>
    <row r="8059" spans="1:7" ht="12.75" customHeight="1">
      <c r="A8059" s="3">
        <v>92024</v>
      </c>
      <c r="B8059" s="4" t="s">
        <v>8083</v>
      </c>
      <c r="C8059" s="3" t="s">
        <v>6</v>
      </c>
      <c r="D8059" s="5">
        <f t="shared" si="252"/>
        <v>52.28</v>
      </c>
      <c r="E8059">
        <v>57.39</v>
      </c>
      <c r="F8059" s="1789">
        <v>8.8999999999999996E-2</v>
      </c>
      <c r="G8059">
        <f t="shared" si="253"/>
        <v>52.28</v>
      </c>
    </row>
    <row r="8060" spans="1:7" ht="12.75" customHeight="1">
      <c r="A8060" s="3">
        <v>92025</v>
      </c>
      <c r="B8060" s="4" t="s">
        <v>8084</v>
      </c>
      <c r="C8060" s="3" t="s">
        <v>6</v>
      </c>
      <c r="D8060" s="5">
        <f t="shared" si="252"/>
        <v>61.76</v>
      </c>
      <c r="E8060">
        <v>67.8</v>
      </c>
      <c r="F8060" s="1789">
        <v>8.8999999999999996E-2</v>
      </c>
      <c r="G8060">
        <f t="shared" si="253"/>
        <v>61.76</v>
      </c>
    </row>
    <row r="8061" spans="1:7" ht="12.75" customHeight="1">
      <c r="A8061" s="3">
        <v>92026</v>
      </c>
      <c r="B8061" s="4" t="s">
        <v>8085</v>
      </c>
      <c r="C8061" s="3" t="s">
        <v>6</v>
      </c>
      <c r="D8061" s="5">
        <f t="shared" si="252"/>
        <v>47.69</v>
      </c>
      <c r="E8061">
        <v>52.36</v>
      </c>
      <c r="F8061" s="1789">
        <v>8.8999999999999996E-2</v>
      </c>
      <c r="G8061">
        <f t="shared" si="253"/>
        <v>47.69</v>
      </c>
    </row>
    <row r="8062" spans="1:7" ht="12.75" customHeight="1">
      <c r="A8062" s="3">
        <v>92027</v>
      </c>
      <c r="B8062" s="4" t="s">
        <v>8086</v>
      </c>
      <c r="C8062" s="3" t="s">
        <v>6</v>
      </c>
      <c r="D8062" s="5">
        <f t="shared" si="252"/>
        <v>57.18</v>
      </c>
      <c r="E8062">
        <v>62.77</v>
      </c>
      <c r="F8062" s="1789">
        <v>8.8999999999999996E-2</v>
      </c>
      <c r="G8062">
        <f t="shared" si="253"/>
        <v>57.18</v>
      </c>
    </row>
    <row r="8063" spans="1:7" ht="12.75" customHeight="1">
      <c r="A8063" s="3">
        <v>92028</v>
      </c>
      <c r="B8063" s="4" t="s">
        <v>8087</v>
      </c>
      <c r="C8063" s="3" t="s">
        <v>6</v>
      </c>
      <c r="D8063" s="5">
        <f t="shared" si="252"/>
        <v>39.83</v>
      </c>
      <c r="E8063">
        <v>43.73</v>
      </c>
      <c r="F8063" s="1789">
        <v>8.8999999999999996E-2</v>
      </c>
      <c r="G8063">
        <f t="shared" si="253"/>
        <v>39.83</v>
      </c>
    </row>
    <row r="8064" spans="1:7" ht="12.75" customHeight="1">
      <c r="A8064" s="3">
        <v>92029</v>
      </c>
      <c r="B8064" s="4" t="s">
        <v>8088</v>
      </c>
      <c r="C8064" s="3" t="s">
        <v>6</v>
      </c>
      <c r="D8064" s="5">
        <f t="shared" si="252"/>
        <v>49.32</v>
      </c>
      <c r="E8064">
        <v>54.14</v>
      </c>
      <c r="F8064" s="1789">
        <v>8.8999999999999996E-2</v>
      </c>
      <c r="G8064">
        <f t="shared" si="253"/>
        <v>49.32</v>
      </c>
    </row>
    <row r="8065" spans="1:7" ht="12.75" customHeight="1">
      <c r="A8065" s="3">
        <v>92030</v>
      </c>
      <c r="B8065" s="4" t="s">
        <v>8089</v>
      </c>
      <c r="C8065" s="3" t="s">
        <v>6</v>
      </c>
      <c r="D8065" s="5">
        <f t="shared" si="252"/>
        <v>57.83</v>
      </c>
      <c r="E8065">
        <v>63.49</v>
      </c>
      <c r="F8065" s="1789">
        <v>8.8999999999999996E-2</v>
      </c>
      <c r="G8065">
        <f t="shared" si="253"/>
        <v>57.83</v>
      </c>
    </row>
    <row r="8066" spans="1:7" ht="12.75" customHeight="1">
      <c r="A8066" s="3">
        <v>92031</v>
      </c>
      <c r="B8066" s="4" t="s">
        <v>8090</v>
      </c>
      <c r="C8066" s="3" t="s">
        <v>6</v>
      </c>
      <c r="D8066" s="5">
        <f t="shared" si="252"/>
        <v>67.319999999999993</v>
      </c>
      <c r="E8066">
        <v>73.900000000000006</v>
      </c>
      <c r="F8066" s="1789">
        <v>8.8999999999999996E-2</v>
      </c>
      <c r="G8066">
        <f t="shared" si="253"/>
        <v>67.319999999999993</v>
      </c>
    </row>
    <row r="8067" spans="1:7" ht="12.75" customHeight="1">
      <c r="A8067" s="3">
        <v>92032</v>
      </c>
      <c r="B8067" s="4" t="s">
        <v>8091</v>
      </c>
      <c r="C8067" s="3" t="s">
        <v>6</v>
      </c>
      <c r="D8067" s="5">
        <f t="shared" si="252"/>
        <v>58.81</v>
      </c>
      <c r="E8067">
        <v>64.56</v>
      </c>
      <c r="F8067" s="1789">
        <v>8.8999999999999996E-2</v>
      </c>
      <c r="G8067">
        <f t="shared" si="253"/>
        <v>58.81</v>
      </c>
    </row>
    <row r="8068" spans="1:7" ht="12.75" customHeight="1">
      <c r="A8068" s="3">
        <v>92033</v>
      </c>
      <c r="B8068" s="4" t="s">
        <v>8092</v>
      </c>
      <c r="C8068" s="3" t="s">
        <v>6</v>
      </c>
      <c r="D8068" s="5">
        <f t="shared" si="252"/>
        <v>68.290000000000006</v>
      </c>
      <c r="E8068">
        <v>74.97</v>
      </c>
      <c r="F8068" s="1789">
        <v>8.8999999999999996E-2</v>
      </c>
      <c r="G8068">
        <f t="shared" si="253"/>
        <v>68.290000000000006</v>
      </c>
    </row>
    <row r="8069" spans="1:7" ht="12.75" customHeight="1">
      <c r="A8069" s="3">
        <v>92034</v>
      </c>
      <c r="B8069" s="4" t="s">
        <v>8093</v>
      </c>
      <c r="C8069" s="3" t="s">
        <v>6</v>
      </c>
      <c r="D8069" s="5">
        <f t="shared" si="252"/>
        <v>53.25</v>
      </c>
      <c r="E8069">
        <v>58.46</v>
      </c>
      <c r="F8069" s="1789">
        <v>8.8999999999999996E-2</v>
      </c>
      <c r="G8069">
        <f t="shared" si="253"/>
        <v>53.25</v>
      </c>
    </row>
    <row r="8070" spans="1:7" ht="12.75" customHeight="1">
      <c r="A8070" s="3">
        <v>92035</v>
      </c>
      <c r="B8070" s="4" t="s">
        <v>8094</v>
      </c>
      <c r="C8070" s="3" t="s">
        <v>6</v>
      </c>
      <c r="D8070" s="5">
        <f t="shared" si="252"/>
        <v>62.74</v>
      </c>
      <c r="E8070">
        <v>68.87</v>
      </c>
      <c r="F8070" s="1789">
        <v>8.8999999999999996E-2</v>
      </c>
      <c r="G8070">
        <f t="shared" si="253"/>
        <v>62.74</v>
      </c>
    </row>
    <row r="8071" spans="1:7" ht="12.75" customHeight="1">
      <c r="A8071" s="3">
        <v>97584</v>
      </c>
      <c r="B8071" s="4" t="s">
        <v>8095</v>
      </c>
      <c r="C8071" s="3" t="s">
        <v>6</v>
      </c>
      <c r="D8071" s="5">
        <f t="shared" si="252"/>
        <v>115.19</v>
      </c>
      <c r="E8071">
        <v>126.45</v>
      </c>
      <c r="F8071" s="1789">
        <v>8.8999999999999996E-2</v>
      </c>
      <c r="G8071">
        <f t="shared" si="253"/>
        <v>115.19</v>
      </c>
    </row>
    <row r="8072" spans="1:7" ht="12.75" customHeight="1">
      <c r="A8072" s="3">
        <v>97595</v>
      </c>
      <c r="B8072" s="4" t="s">
        <v>8096</v>
      </c>
      <c r="C8072" s="3" t="s">
        <v>6</v>
      </c>
      <c r="D8072" s="5">
        <f t="shared" si="252"/>
        <v>97.05</v>
      </c>
      <c r="E8072">
        <v>106.54</v>
      </c>
      <c r="F8072" s="1789">
        <v>8.8999999999999996E-2</v>
      </c>
      <c r="G8072">
        <f t="shared" si="253"/>
        <v>97.05</v>
      </c>
    </row>
    <row r="8073" spans="1:7" ht="12.75" customHeight="1">
      <c r="A8073" s="3">
        <v>97596</v>
      </c>
      <c r="B8073" s="4" t="s">
        <v>8097</v>
      </c>
      <c r="C8073" s="3" t="s">
        <v>6</v>
      </c>
      <c r="D8073" s="5">
        <f t="shared" si="252"/>
        <v>67.040000000000006</v>
      </c>
      <c r="E8073">
        <v>73.599999999999994</v>
      </c>
      <c r="F8073" s="1789">
        <v>8.8999999999999996E-2</v>
      </c>
      <c r="G8073">
        <f t="shared" si="253"/>
        <v>67.040000000000006</v>
      </c>
    </row>
    <row r="8074" spans="1:7" ht="12.75" customHeight="1">
      <c r="A8074" s="3">
        <v>97597</v>
      </c>
      <c r="B8074" s="4" t="s">
        <v>8098</v>
      </c>
      <c r="C8074" s="3" t="s">
        <v>6</v>
      </c>
      <c r="D8074" s="5">
        <f t="shared" si="252"/>
        <v>66.989999999999995</v>
      </c>
      <c r="E8074">
        <v>73.540000000000006</v>
      </c>
      <c r="F8074" s="1789">
        <v>8.8999999999999996E-2</v>
      </c>
      <c r="G8074">
        <f t="shared" si="253"/>
        <v>66.989999999999995</v>
      </c>
    </row>
    <row r="8075" spans="1:7" ht="12.75" customHeight="1">
      <c r="A8075" s="3">
        <v>97598</v>
      </c>
      <c r="B8075" s="4" t="s">
        <v>8099</v>
      </c>
      <c r="C8075" s="3" t="s">
        <v>6</v>
      </c>
      <c r="D8075" s="5">
        <f t="shared" si="252"/>
        <v>63.15</v>
      </c>
      <c r="E8075">
        <v>69.33</v>
      </c>
      <c r="F8075" s="1789">
        <v>8.8999999999999996E-2</v>
      </c>
      <c r="G8075">
        <f t="shared" si="253"/>
        <v>63.15</v>
      </c>
    </row>
    <row r="8076" spans="1:7" ht="12.75" customHeight="1">
      <c r="A8076" s="3">
        <v>97599</v>
      </c>
      <c r="B8076" s="4" t="s">
        <v>8100</v>
      </c>
      <c r="C8076" s="3" t="s">
        <v>6</v>
      </c>
      <c r="D8076" s="5">
        <f t="shared" si="252"/>
        <v>14.97</v>
      </c>
      <c r="E8076">
        <v>16.440000000000001</v>
      </c>
      <c r="F8076" s="1789">
        <v>8.8999999999999996E-2</v>
      </c>
      <c r="G8076">
        <f t="shared" si="253"/>
        <v>14.97</v>
      </c>
    </row>
    <row r="8077" spans="1:7" ht="12.75" customHeight="1">
      <c r="A8077" s="3">
        <v>97609</v>
      </c>
      <c r="B8077" s="4" t="s">
        <v>8101</v>
      </c>
      <c r="C8077" s="3" t="s">
        <v>6</v>
      </c>
      <c r="D8077" s="5">
        <f t="shared" si="252"/>
        <v>11.05</v>
      </c>
      <c r="E8077">
        <v>12.14</v>
      </c>
      <c r="F8077" s="1789">
        <v>8.8999999999999996E-2</v>
      </c>
      <c r="G8077">
        <f t="shared" si="253"/>
        <v>11.05</v>
      </c>
    </row>
    <row r="8078" spans="1:7" ht="12.75" customHeight="1">
      <c r="A8078" s="3">
        <v>97610</v>
      </c>
      <c r="B8078" s="4" t="s">
        <v>8102</v>
      </c>
      <c r="C8078" s="3" t="s">
        <v>6</v>
      </c>
      <c r="D8078" s="5">
        <f t="shared" si="252"/>
        <v>11.54</v>
      </c>
      <c r="E8078">
        <v>12.67</v>
      </c>
      <c r="F8078" s="1789">
        <v>8.8999999999999996E-2</v>
      </c>
      <c r="G8078">
        <f t="shared" si="253"/>
        <v>11.54</v>
      </c>
    </row>
    <row r="8079" spans="1:7" ht="12.75" customHeight="1">
      <c r="A8079" s="3">
        <v>100902</v>
      </c>
      <c r="B8079" s="4" t="s">
        <v>8103</v>
      </c>
      <c r="C8079" s="3" t="s">
        <v>6</v>
      </c>
      <c r="D8079" s="5">
        <f t="shared" si="252"/>
        <v>17.96</v>
      </c>
      <c r="E8079">
        <v>19.72</v>
      </c>
      <c r="F8079" s="1789">
        <v>8.8999999999999996E-2</v>
      </c>
      <c r="G8079">
        <f t="shared" si="253"/>
        <v>17.96</v>
      </c>
    </row>
    <row r="8080" spans="1:7" ht="12.75" customHeight="1">
      <c r="A8080" s="3">
        <v>100903</v>
      </c>
      <c r="B8080" s="4" t="s">
        <v>8104</v>
      </c>
      <c r="C8080" s="3" t="s">
        <v>6</v>
      </c>
      <c r="D8080" s="5">
        <f t="shared" si="252"/>
        <v>20.07</v>
      </c>
      <c r="E8080">
        <v>22.04</v>
      </c>
      <c r="F8080" s="1789">
        <v>8.8999999999999996E-2</v>
      </c>
      <c r="G8080">
        <f t="shared" si="253"/>
        <v>20.07</v>
      </c>
    </row>
    <row r="8081" spans="1:7" ht="12.75" customHeight="1">
      <c r="A8081" s="3">
        <v>103782</v>
      </c>
      <c r="B8081" s="4" t="s">
        <v>8105</v>
      </c>
      <c r="C8081" s="3" t="s">
        <v>6</v>
      </c>
      <c r="D8081" s="5">
        <f t="shared" si="252"/>
        <v>24.73</v>
      </c>
      <c r="E8081">
        <v>27.15</v>
      </c>
      <c r="F8081" s="1789">
        <v>8.8999999999999996E-2</v>
      </c>
      <c r="G8081">
        <f t="shared" si="253"/>
        <v>24.73</v>
      </c>
    </row>
    <row r="8082" spans="1:7" ht="12.75" customHeight="1">
      <c r="A8082" s="3">
        <v>101489</v>
      </c>
      <c r="B8082" s="4" t="s">
        <v>8106</v>
      </c>
      <c r="C8082" s="3" t="s">
        <v>6</v>
      </c>
      <c r="D8082" s="5">
        <f t="shared" si="252"/>
        <v>1317.95</v>
      </c>
      <c r="E8082">
        <v>1446.71</v>
      </c>
      <c r="F8082" s="1789">
        <v>8.8999999999999996E-2</v>
      </c>
      <c r="G8082">
        <f t="shared" si="253"/>
        <v>1317.95</v>
      </c>
    </row>
    <row r="8083" spans="1:7" ht="12.75" customHeight="1">
      <c r="A8083" s="3">
        <v>101490</v>
      </c>
      <c r="B8083" s="4" t="s">
        <v>8107</v>
      </c>
      <c r="C8083" s="3" t="s">
        <v>6</v>
      </c>
      <c r="D8083" s="5">
        <f t="shared" si="252"/>
        <v>1413.75</v>
      </c>
      <c r="E8083">
        <v>1551.87</v>
      </c>
      <c r="F8083" s="1789">
        <v>8.8999999999999996E-2</v>
      </c>
      <c r="G8083">
        <f t="shared" si="253"/>
        <v>1413.75</v>
      </c>
    </row>
    <row r="8084" spans="1:7" ht="12.75" customHeight="1">
      <c r="A8084" s="3">
        <v>101491</v>
      </c>
      <c r="B8084" s="4" t="s">
        <v>8108</v>
      </c>
      <c r="C8084" s="3" t="s">
        <v>6</v>
      </c>
      <c r="D8084" s="5">
        <f t="shared" si="252"/>
        <v>1443.11</v>
      </c>
      <c r="E8084">
        <v>1584.1</v>
      </c>
      <c r="F8084" s="1789">
        <v>8.8999999999999996E-2</v>
      </c>
      <c r="G8084">
        <f t="shared" si="253"/>
        <v>1443.11</v>
      </c>
    </row>
    <row r="8085" spans="1:7" ht="12.75" customHeight="1">
      <c r="A8085" s="3">
        <v>101492</v>
      </c>
      <c r="B8085" s="4" t="s">
        <v>8109</v>
      </c>
      <c r="C8085" s="3" t="s">
        <v>6</v>
      </c>
      <c r="D8085" s="5">
        <f t="shared" ref="D8085:D8148" si="254">G8085</f>
        <v>1583.28</v>
      </c>
      <c r="E8085">
        <v>1737.96</v>
      </c>
      <c r="F8085" s="1789">
        <v>8.8999999999999996E-2</v>
      </c>
      <c r="G8085">
        <f t="shared" ref="G8085:G8148" si="255">TRUNC((1-F8085)*E8085,2)</f>
        <v>1583.28</v>
      </c>
    </row>
    <row r="8086" spans="1:7" ht="12.75" customHeight="1">
      <c r="A8086" s="3">
        <v>101493</v>
      </c>
      <c r="B8086" s="4" t="s">
        <v>8110</v>
      </c>
      <c r="C8086" s="3" t="s">
        <v>6</v>
      </c>
      <c r="D8086" s="5">
        <f t="shared" si="254"/>
        <v>1304.72</v>
      </c>
      <c r="E8086">
        <v>1432.19</v>
      </c>
      <c r="F8086" s="1789">
        <v>8.8999999999999996E-2</v>
      </c>
      <c r="G8086">
        <f t="shared" si="255"/>
        <v>1304.72</v>
      </c>
    </row>
    <row r="8087" spans="1:7" ht="12.75" customHeight="1">
      <c r="A8087" s="3">
        <v>101494</v>
      </c>
      <c r="B8087" s="4" t="s">
        <v>8111</v>
      </c>
      <c r="C8087" s="3" t="s">
        <v>6</v>
      </c>
      <c r="D8087" s="5">
        <f t="shared" si="254"/>
        <v>1400.52</v>
      </c>
      <c r="E8087">
        <v>1537.35</v>
      </c>
      <c r="F8087" s="1789">
        <v>8.8999999999999996E-2</v>
      </c>
      <c r="G8087">
        <f t="shared" si="255"/>
        <v>1400.52</v>
      </c>
    </row>
    <row r="8088" spans="1:7" ht="12.75" customHeight="1">
      <c r="A8088" s="3">
        <v>101495</v>
      </c>
      <c r="B8088" s="4" t="s">
        <v>8112</v>
      </c>
      <c r="C8088" s="3" t="s">
        <v>6</v>
      </c>
      <c r="D8088" s="5">
        <f t="shared" si="254"/>
        <v>1429.88</v>
      </c>
      <c r="E8088">
        <v>1569.58</v>
      </c>
      <c r="F8088" s="1789">
        <v>8.8999999999999996E-2</v>
      </c>
      <c r="G8088">
        <f t="shared" si="255"/>
        <v>1429.88</v>
      </c>
    </row>
    <row r="8089" spans="1:7" ht="12.75" customHeight="1">
      <c r="A8089" s="3">
        <v>101496</v>
      </c>
      <c r="B8089" s="4" t="s">
        <v>8113</v>
      </c>
      <c r="C8089" s="3" t="s">
        <v>6</v>
      </c>
      <c r="D8089" s="5">
        <f t="shared" si="254"/>
        <v>1570.05</v>
      </c>
      <c r="E8089">
        <v>1723.44</v>
      </c>
      <c r="F8089" s="1789">
        <v>8.8999999999999996E-2</v>
      </c>
      <c r="G8089">
        <f t="shared" si="255"/>
        <v>1570.05</v>
      </c>
    </row>
    <row r="8090" spans="1:7" ht="12.75" customHeight="1">
      <c r="A8090" s="3">
        <v>101497</v>
      </c>
      <c r="B8090" s="4" t="s">
        <v>8114</v>
      </c>
      <c r="C8090" s="3" t="s">
        <v>6</v>
      </c>
      <c r="D8090" s="5">
        <f t="shared" si="254"/>
        <v>1564.06</v>
      </c>
      <c r="E8090">
        <v>1716.87</v>
      </c>
      <c r="F8090" s="1789">
        <v>8.8999999999999996E-2</v>
      </c>
      <c r="G8090">
        <f t="shared" si="255"/>
        <v>1564.06</v>
      </c>
    </row>
    <row r="8091" spans="1:7" ht="12.75" customHeight="1">
      <c r="A8091" s="3">
        <v>101498</v>
      </c>
      <c r="B8091" s="4" t="s">
        <v>8115</v>
      </c>
      <c r="C8091" s="3" t="s">
        <v>6</v>
      </c>
      <c r="D8091" s="5">
        <f t="shared" si="254"/>
        <v>1709.08</v>
      </c>
      <c r="E8091">
        <v>1876.05</v>
      </c>
      <c r="F8091" s="1789">
        <v>8.8999999999999996E-2</v>
      </c>
      <c r="G8091">
        <f t="shared" si="255"/>
        <v>1709.08</v>
      </c>
    </row>
    <row r="8092" spans="1:7" ht="12.75" customHeight="1">
      <c r="A8092" s="3">
        <v>101499</v>
      </c>
      <c r="B8092" s="4" t="s">
        <v>8116</v>
      </c>
      <c r="C8092" s="3" t="s">
        <v>6</v>
      </c>
      <c r="D8092" s="5">
        <f t="shared" si="254"/>
        <v>1753.52</v>
      </c>
      <c r="E8092">
        <v>1924.83</v>
      </c>
      <c r="F8092" s="1789">
        <v>8.8999999999999996E-2</v>
      </c>
      <c r="G8092">
        <f t="shared" si="255"/>
        <v>1753.52</v>
      </c>
    </row>
    <row r="8093" spans="1:7" ht="12.75" customHeight="1">
      <c r="A8093" s="3">
        <v>101500</v>
      </c>
      <c r="B8093" s="4" t="s">
        <v>8117</v>
      </c>
      <c r="C8093" s="3" t="s">
        <v>6</v>
      </c>
      <c r="D8093" s="5">
        <f t="shared" si="254"/>
        <v>1951.74</v>
      </c>
      <c r="E8093">
        <v>2142.42</v>
      </c>
      <c r="F8093" s="1789">
        <v>8.8999999999999996E-2</v>
      </c>
      <c r="G8093">
        <f t="shared" si="255"/>
        <v>1951.74</v>
      </c>
    </row>
    <row r="8094" spans="1:7" ht="12.75" customHeight="1">
      <c r="A8094" s="3">
        <v>101501</v>
      </c>
      <c r="B8094" s="4" t="s">
        <v>8118</v>
      </c>
      <c r="C8094" s="3" t="s">
        <v>6</v>
      </c>
      <c r="D8094" s="5">
        <f t="shared" si="254"/>
        <v>1558.11</v>
      </c>
      <c r="E8094">
        <v>1710.34</v>
      </c>
      <c r="F8094" s="1789">
        <v>8.8999999999999996E-2</v>
      </c>
      <c r="G8094">
        <f t="shared" si="255"/>
        <v>1558.11</v>
      </c>
    </row>
    <row r="8095" spans="1:7" ht="12.75" customHeight="1">
      <c r="A8095" s="3">
        <v>101502</v>
      </c>
      <c r="B8095" s="4" t="s">
        <v>8119</v>
      </c>
      <c r="C8095" s="3" t="s">
        <v>6</v>
      </c>
      <c r="D8095" s="5">
        <f t="shared" si="254"/>
        <v>1703.13</v>
      </c>
      <c r="E8095">
        <v>1869.52</v>
      </c>
      <c r="F8095" s="1789">
        <v>8.8999999999999996E-2</v>
      </c>
      <c r="G8095">
        <f t="shared" si="255"/>
        <v>1703.13</v>
      </c>
    </row>
    <row r="8096" spans="1:7" ht="12.75" customHeight="1">
      <c r="A8096" s="3">
        <v>101503</v>
      </c>
      <c r="B8096" s="4" t="s">
        <v>8120</v>
      </c>
      <c r="C8096" s="3" t="s">
        <v>6</v>
      </c>
      <c r="D8096" s="5">
        <f t="shared" si="254"/>
        <v>1747.57</v>
      </c>
      <c r="E8096">
        <v>1918.3</v>
      </c>
      <c r="F8096" s="1789">
        <v>8.8999999999999996E-2</v>
      </c>
      <c r="G8096">
        <f t="shared" si="255"/>
        <v>1747.57</v>
      </c>
    </row>
    <row r="8097" spans="1:7" ht="12.75" customHeight="1">
      <c r="A8097" s="3">
        <v>101504</v>
      </c>
      <c r="B8097" s="4" t="s">
        <v>8121</v>
      </c>
      <c r="C8097" s="3" t="s">
        <v>6</v>
      </c>
      <c r="D8097" s="5">
        <f t="shared" si="254"/>
        <v>1945.79</v>
      </c>
      <c r="E8097">
        <v>2135.89</v>
      </c>
      <c r="F8097" s="1789">
        <v>8.8999999999999996E-2</v>
      </c>
      <c r="G8097">
        <f t="shared" si="255"/>
        <v>1945.79</v>
      </c>
    </row>
    <row r="8098" spans="1:7" ht="12.75" customHeight="1">
      <c r="A8098" s="3">
        <v>101505</v>
      </c>
      <c r="B8098" s="4" t="s">
        <v>8122</v>
      </c>
      <c r="C8098" s="3" t="s">
        <v>6</v>
      </c>
      <c r="D8098" s="5">
        <f t="shared" si="254"/>
        <v>1670.7</v>
      </c>
      <c r="E8098">
        <v>1833.92</v>
      </c>
      <c r="F8098" s="1789">
        <v>8.8999999999999996E-2</v>
      </c>
      <c r="G8098">
        <f t="shared" si="255"/>
        <v>1670.7</v>
      </c>
    </row>
    <row r="8099" spans="1:7" ht="12.75" customHeight="1">
      <c r="A8099" s="3">
        <v>101506</v>
      </c>
      <c r="B8099" s="4" t="s">
        <v>8123</v>
      </c>
      <c r="C8099" s="3" t="s">
        <v>6</v>
      </c>
      <c r="D8099" s="5">
        <f t="shared" si="254"/>
        <v>1864.04</v>
      </c>
      <c r="E8099">
        <v>2046.15</v>
      </c>
      <c r="F8099" s="1789">
        <v>8.8999999999999996E-2</v>
      </c>
      <c r="G8099">
        <f t="shared" si="255"/>
        <v>1864.04</v>
      </c>
    </row>
    <row r="8100" spans="1:7" ht="12.75" customHeight="1">
      <c r="A8100" s="3">
        <v>101507</v>
      </c>
      <c r="B8100" s="4" t="s">
        <v>8124</v>
      </c>
      <c r="C8100" s="3" t="s">
        <v>6</v>
      </c>
      <c r="D8100" s="5">
        <f t="shared" si="254"/>
        <v>1923.29</v>
      </c>
      <c r="E8100">
        <v>2111.19</v>
      </c>
      <c r="F8100" s="1789">
        <v>8.8999999999999996E-2</v>
      </c>
      <c r="G8100">
        <f t="shared" si="255"/>
        <v>1923.29</v>
      </c>
    </row>
    <row r="8101" spans="1:7" ht="12.75" customHeight="1">
      <c r="A8101" s="3">
        <v>101508</v>
      </c>
      <c r="B8101" s="4" t="s">
        <v>8125</v>
      </c>
      <c r="C8101" s="3" t="s">
        <v>6</v>
      </c>
      <c r="D8101" s="5">
        <f t="shared" si="254"/>
        <v>2178.5500000000002</v>
      </c>
      <c r="E8101">
        <v>2391.39</v>
      </c>
      <c r="F8101" s="1789">
        <v>8.8999999999999996E-2</v>
      </c>
      <c r="G8101">
        <f t="shared" si="255"/>
        <v>2178.5500000000002</v>
      </c>
    </row>
    <row r="8102" spans="1:7" ht="12.75" customHeight="1">
      <c r="A8102" s="3">
        <v>101509</v>
      </c>
      <c r="B8102" s="4" t="s">
        <v>8126</v>
      </c>
      <c r="C8102" s="3" t="s">
        <v>6</v>
      </c>
      <c r="D8102" s="5">
        <f t="shared" si="254"/>
        <v>1774.8</v>
      </c>
      <c r="E8102">
        <v>1948.19</v>
      </c>
      <c r="F8102" s="1789">
        <v>8.8999999999999996E-2</v>
      </c>
      <c r="G8102">
        <f t="shared" si="255"/>
        <v>1774.8</v>
      </c>
    </row>
    <row r="8103" spans="1:7" ht="12.75" customHeight="1">
      <c r="A8103" s="3">
        <v>101510</v>
      </c>
      <c r="B8103" s="4" t="s">
        <v>8127</v>
      </c>
      <c r="C8103" s="3" t="s">
        <v>6</v>
      </c>
      <c r="D8103" s="5">
        <f t="shared" si="254"/>
        <v>1968.14</v>
      </c>
      <c r="E8103">
        <v>2160.42</v>
      </c>
      <c r="F8103" s="1789">
        <v>8.8999999999999996E-2</v>
      </c>
      <c r="G8103">
        <f t="shared" si="255"/>
        <v>1968.14</v>
      </c>
    </row>
    <row r="8104" spans="1:7" ht="12.75" customHeight="1">
      <c r="A8104" s="3">
        <v>101511</v>
      </c>
      <c r="B8104" s="4" t="s">
        <v>8128</v>
      </c>
      <c r="C8104" s="3" t="s">
        <v>6</v>
      </c>
      <c r="D8104" s="5">
        <f t="shared" si="254"/>
        <v>2027.39</v>
      </c>
      <c r="E8104">
        <v>2225.46</v>
      </c>
      <c r="F8104" s="1789">
        <v>8.8999999999999996E-2</v>
      </c>
      <c r="G8104">
        <f t="shared" si="255"/>
        <v>2027.39</v>
      </c>
    </row>
    <row r="8105" spans="1:7" ht="12.75" customHeight="1">
      <c r="A8105" s="3">
        <v>101512</v>
      </c>
      <c r="B8105" s="4" t="s">
        <v>8129</v>
      </c>
      <c r="C8105" s="3" t="s">
        <v>6</v>
      </c>
      <c r="D8105" s="5">
        <f t="shared" si="254"/>
        <v>2282.65</v>
      </c>
      <c r="E8105">
        <v>2505.66</v>
      </c>
      <c r="F8105" s="1789">
        <v>8.8999999999999996E-2</v>
      </c>
      <c r="G8105">
        <f t="shared" si="255"/>
        <v>2282.65</v>
      </c>
    </row>
    <row r="8106" spans="1:7" ht="12.75" customHeight="1">
      <c r="A8106" s="3">
        <v>101513</v>
      </c>
      <c r="B8106" s="4" t="s">
        <v>8130</v>
      </c>
      <c r="C8106" s="3" t="s">
        <v>6</v>
      </c>
      <c r="D8106" s="5">
        <f t="shared" si="254"/>
        <v>710.5</v>
      </c>
      <c r="E8106">
        <v>779.92</v>
      </c>
      <c r="F8106" s="1789">
        <v>8.8999999999999996E-2</v>
      </c>
      <c r="G8106">
        <f t="shared" si="255"/>
        <v>710.5</v>
      </c>
    </row>
    <row r="8107" spans="1:7" ht="12.75" customHeight="1">
      <c r="A8107" s="3">
        <v>101514</v>
      </c>
      <c r="B8107" s="4" t="s">
        <v>8131</v>
      </c>
      <c r="C8107" s="3" t="s">
        <v>6</v>
      </c>
      <c r="D8107" s="5">
        <f t="shared" si="254"/>
        <v>825.46</v>
      </c>
      <c r="E8107">
        <v>906.11</v>
      </c>
      <c r="F8107" s="1789">
        <v>8.8999999999999996E-2</v>
      </c>
      <c r="G8107">
        <f t="shared" si="255"/>
        <v>825.46</v>
      </c>
    </row>
    <row r="8108" spans="1:7" ht="12.75" customHeight="1">
      <c r="A8108" s="3">
        <v>101515</v>
      </c>
      <c r="B8108" s="4" t="s">
        <v>8132</v>
      </c>
      <c r="C8108" s="3" t="s">
        <v>6</v>
      </c>
      <c r="D8108" s="5">
        <f t="shared" si="254"/>
        <v>860.69</v>
      </c>
      <c r="E8108">
        <v>944.78</v>
      </c>
      <c r="F8108" s="1789">
        <v>8.8999999999999996E-2</v>
      </c>
      <c r="G8108">
        <f t="shared" si="255"/>
        <v>860.69</v>
      </c>
    </row>
    <row r="8109" spans="1:7" ht="12.75" customHeight="1">
      <c r="A8109" s="3">
        <v>101516</v>
      </c>
      <c r="B8109" s="4" t="s">
        <v>8133</v>
      </c>
      <c r="C8109" s="3" t="s">
        <v>6</v>
      </c>
      <c r="D8109" s="5">
        <f t="shared" si="254"/>
        <v>996.34</v>
      </c>
      <c r="E8109">
        <v>1093.68</v>
      </c>
      <c r="F8109" s="1789">
        <v>8.8999999999999996E-2</v>
      </c>
      <c r="G8109">
        <f t="shared" si="255"/>
        <v>996.34</v>
      </c>
    </row>
    <row r="8110" spans="1:7" ht="12.75" customHeight="1">
      <c r="A8110" s="3">
        <v>101517</v>
      </c>
      <c r="B8110" s="4" t="s">
        <v>8134</v>
      </c>
      <c r="C8110" s="3" t="s">
        <v>6</v>
      </c>
      <c r="D8110" s="5">
        <f t="shared" si="254"/>
        <v>697.27</v>
      </c>
      <c r="E8110">
        <v>765.39</v>
      </c>
      <c r="F8110" s="1789">
        <v>8.8999999999999996E-2</v>
      </c>
      <c r="G8110">
        <f t="shared" si="255"/>
        <v>697.27</v>
      </c>
    </row>
    <row r="8111" spans="1:7" ht="12.75" customHeight="1">
      <c r="A8111" s="3">
        <v>101518</v>
      </c>
      <c r="B8111" s="4" t="s">
        <v>8135</v>
      </c>
      <c r="C8111" s="3" t="s">
        <v>6</v>
      </c>
      <c r="D8111" s="5">
        <f t="shared" si="254"/>
        <v>812.22</v>
      </c>
      <c r="E8111">
        <v>891.58</v>
      </c>
      <c r="F8111" s="1789">
        <v>8.8999999999999996E-2</v>
      </c>
      <c r="G8111">
        <f t="shared" si="255"/>
        <v>812.22</v>
      </c>
    </row>
    <row r="8112" spans="1:7" ht="12.75" customHeight="1">
      <c r="A8112" s="3">
        <v>101519</v>
      </c>
      <c r="B8112" s="4" t="s">
        <v>8136</v>
      </c>
      <c r="C8112" s="3" t="s">
        <v>6</v>
      </c>
      <c r="D8112" s="5">
        <f t="shared" si="254"/>
        <v>847.45</v>
      </c>
      <c r="E8112">
        <v>930.25</v>
      </c>
      <c r="F8112" s="1789">
        <v>8.8999999999999996E-2</v>
      </c>
      <c r="G8112">
        <f t="shared" si="255"/>
        <v>847.45</v>
      </c>
    </row>
    <row r="8113" spans="1:7" ht="12.75" customHeight="1">
      <c r="A8113" s="3">
        <v>101520</v>
      </c>
      <c r="B8113" s="4" t="s">
        <v>8137</v>
      </c>
      <c r="C8113" s="3" t="s">
        <v>6</v>
      </c>
      <c r="D8113" s="5">
        <f t="shared" si="254"/>
        <v>983.1</v>
      </c>
      <c r="E8113">
        <v>1079.1500000000001</v>
      </c>
      <c r="F8113" s="1789">
        <v>8.8999999999999996E-2</v>
      </c>
      <c r="G8113">
        <f t="shared" si="255"/>
        <v>983.1</v>
      </c>
    </row>
    <row r="8114" spans="1:7" ht="12.75" customHeight="1">
      <c r="A8114" s="3">
        <v>101521</v>
      </c>
      <c r="B8114" s="4" t="s">
        <v>8138</v>
      </c>
      <c r="C8114" s="3" t="s">
        <v>6</v>
      </c>
      <c r="D8114" s="5">
        <f t="shared" si="254"/>
        <v>971.12</v>
      </c>
      <c r="E8114">
        <v>1066</v>
      </c>
      <c r="F8114" s="1789">
        <v>8.8999999999999996E-2</v>
      </c>
      <c r="G8114">
        <f t="shared" si="255"/>
        <v>971.12</v>
      </c>
    </row>
    <row r="8115" spans="1:7" ht="12.75" customHeight="1">
      <c r="A8115" s="3">
        <v>101522</v>
      </c>
      <c r="B8115" s="4" t="s">
        <v>8139</v>
      </c>
      <c r="C8115" s="3" t="s">
        <v>6</v>
      </c>
      <c r="D8115" s="5">
        <f t="shared" si="254"/>
        <v>1143.56</v>
      </c>
      <c r="E8115">
        <v>1255.28</v>
      </c>
      <c r="F8115" s="1789">
        <v>8.8999999999999996E-2</v>
      </c>
      <c r="G8115">
        <f t="shared" si="255"/>
        <v>1143.56</v>
      </c>
    </row>
    <row r="8116" spans="1:7" ht="12.75" customHeight="1">
      <c r="A8116" s="3">
        <v>101523</v>
      </c>
      <c r="B8116" s="4" t="s">
        <v>8140</v>
      </c>
      <c r="C8116" s="3" t="s">
        <v>6</v>
      </c>
      <c r="D8116" s="5">
        <f t="shared" si="254"/>
        <v>1196.4100000000001</v>
      </c>
      <c r="E8116">
        <v>1313.3</v>
      </c>
      <c r="F8116" s="1789">
        <v>8.8999999999999996E-2</v>
      </c>
      <c r="G8116">
        <f t="shared" si="255"/>
        <v>1196.4100000000001</v>
      </c>
    </row>
    <row r="8117" spans="1:7" ht="12.75" customHeight="1">
      <c r="A8117" s="3">
        <v>101524</v>
      </c>
      <c r="B8117" s="4" t="s">
        <v>8141</v>
      </c>
      <c r="C8117" s="3" t="s">
        <v>6</v>
      </c>
      <c r="D8117" s="5">
        <f t="shared" si="254"/>
        <v>1399.87</v>
      </c>
      <c r="E8117">
        <v>1536.64</v>
      </c>
      <c r="F8117" s="1789">
        <v>8.8999999999999996E-2</v>
      </c>
      <c r="G8117">
        <f t="shared" si="255"/>
        <v>1399.87</v>
      </c>
    </row>
    <row r="8118" spans="1:7" ht="12.75" customHeight="1">
      <c r="A8118" s="3">
        <v>101525</v>
      </c>
      <c r="B8118" s="4" t="s">
        <v>8142</v>
      </c>
      <c r="C8118" s="3" t="s">
        <v>6</v>
      </c>
      <c r="D8118" s="5">
        <f t="shared" si="254"/>
        <v>965.17</v>
      </c>
      <c r="E8118">
        <v>1059.47</v>
      </c>
      <c r="F8118" s="1789">
        <v>8.8999999999999996E-2</v>
      </c>
      <c r="G8118">
        <f t="shared" si="255"/>
        <v>965.17</v>
      </c>
    </row>
    <row r="8119" spans="1:7" ht="12.75" customHeight="1">
      <c r="A8119" s="3">
        <v>101526</v>
      </c>
      <c r="B8119" s="4" t="s">
        <v>8143</v>
      </c>
      <c r="C8119" s="3" t="s">
        <v>6</v>
      </c>
      <c r="D8119" s="5">
        <f t="shared" si="254"/>
        <v>1137.6099999999999</v>
      </c>
      <c r="E8119">
        <v>1248.75</v>
      </c>
      <c r="F8119" s="1789">
        <v>8.8999999999999996E-2</v>
      </c>
      <c r="G8119">
        <f t="shared" si="255"/>
        <v>1137.6099999999999</v>
      </c>
    </row>
    <row r="8120" spans="1:7" ht="12.75" customHeight="1">
      <c r="A8120" s="3">
        <v>101527</v>
      </c>
      <c r="B8120" s="4" t="s">
        <v>8144</v>
      </c>
      <c r="C8120" s="3" t="s">
        <v>6</v>
      </c>
      <c r="D8120" s="5">
        <f t="shared" si="254"/>
        <v>1190.46</v>
      </c>
      <c r="E8120">
        <v>1306.77</v>
      </c>
      <c r="F8120" s="1789">
        <v>8.8999999999999996E-2</v>
      </c>
      <c r="G8120">
        <f t="shared" si="255"/>
        <v>1190.46</v>
      </c>
    </row>
    <row r="8121" spans="1:7" ht="12.75" customHeight="1">
      <c r="A8121" s="3">
        <v>101528</v>
      </c>
      <c r="B8121" s="4" t="s">
        <v>8145</v>
      </c>
      <c r="C8121" s="3" t="s">
        <v>6</v>
      </c>
      <c r="D8121" s="5">
        <f t="shared" si="254"/>
        <v>1393.93</v>
      </c>
      <c r="E8121">
        <v>1530.11</v>
      </c>
      <c r="F8121" s="1789">
        <v>8.8999999999999996E-2</v>
      </c>
      <c r="G8121">
        <f t="shared" si="255"/>
        <v>1393.93</v>
      </c>
    </row>
    <row r="8122" spans="1:7" ht="12.75" customHeight="1">
      <c r="A8122" s="3">
        <v>101529</v>
      </c>
      <c r="B8122" s="4" t="s">
        <v>8146</v>
      </c>
      <c r="C8122" s="3" t="s">
        <v>6</v>
      </c>
      <c r="D8122" s="5">
        <f t="shared" si="254"/>
        <v>1093.77</v>
      </c>
      <c r="E8122">
        <v>1200.6300000000001</v>
      </c>
      <c r="F8122" s="1789">
        <v>8.8999999999999996E-2</v>
      </c>
      <c r="G8122">
        <f t="shared" si="255"/>
        <v>1093.77</v>
      </c>
    </row>
    <row r="8123" spans="1:7" ht="12.75" customHeight="1">
      <c r="A8123" s="3">
        <v>101530</v>
      </c>
      <c r="B8123" s="4" t="s">
        <v>8147</v>
      </c>
      <c r="C8123" s="3" t="s">
        <v>6</v>
      </c>
      <c r="D8123" s="5">
        <f t="shared" si="254"/>
        <v>1323.69</v>
      </c>
      <c r="E8123">
        <v>1453.01</v>
      </c>
      <c r="F8123" s="1789">
        <v>8.8999999999999996E-2</v>
      </c>
      <c r="G8123">
        <f t="shared" si="255"/>
        <v>1323.69</v>
      </c>
    </row>
    <row r="8124" spans="1:7" ht="12.75" customHeight="1">
      <c r="A8124" s="3">
        <v>101531</v>
      </c>
      <c r="B8124" s="4" t="s">
        <v>8148</v>
      </c>
      <c r="C8124" s="3" t="s">
        <v>6</v>
      </c>
      <c r="D8124" s="5">
        <f t="shared" si="254"/>
        <v>1394.15</v>
      </c>
      <c r="E8124">
        <v>1530.36</v>
      </c>
      <c r="F8124" s="1789">
        <v>8.8999999999999996E-2</v>
      </c>
      <c r="G8124">
        <f t="shared" si="255"/>
        <v>1394.15</v>
      </c>
    </row>
    <row r="8125" spans="1:7" ht="12.75" customHeight="1">
      <c r="A8125" s="3">
        <v>101532</v>
      </c>
      <c r="B8125" s="4" t="s">
        <v>8149</v>
      </c>
      <c r="C8125" s="3" t="s">
        <v>6</v>
      </c>
      <c r="D8125" s="5">
        <f t="shared" si="254"/>
        <v>1665.44</v>
      </c>
      <c r="E8125">
        <v>1828.15</v>
      </c>
      <c r="F8125" s="1789">
        <v>8.8999999999999996E-2</v>
      </c>
      <c r="G8125">
        <f t="shared" si="255"/>
        <v>1665.44</v>
      </c>
    </row>
    <row r="8126" spans="1:7" ht="12.75" customHeight="1">
      <c r="A8126" s="3">
        <v>101533</v>
      </c>
      <c r="B8126" s="4" t="s">
        <v>8150</v>
      </c>
      <c r="C8126" s="3" t="s">
        <v>6</v>
      </c>
      <c r="D8126" s="5">
        <f t="shared" si="254"/>
        <v>1197.8699999999999</v>
      </c>
      <c r="E8126">
        <v>1314.9</v>
      </c>
      <c r="F8126" s="1789">
        <v>8.8999999999999996E-2</v>
      </c>
      <c r="G8126">
        <f t="shared" si="255"/>
        <v>1197.8699999999999</v>
      </c>
    </row>
    <row r="8127" spans="1:7" ht="12.75" customHeight="1">
      <c r="A8127" s="3">
        <v>101534</v>
      </c>
      <c r="B8127" s="4" t="s">
        <v>8151</v>
      </c>
      <c r="C8127" s="3" t="s">
        <v>6</v>
      </c>
      <c r="D8127" s="5">
        <f t="shared" si="254"/>
        <v>1427.79</v>
      </c>
      <c r="E8127">
        <v>1567.28</v>
      </c>
      <c r="F8127" s="1789">
        <v>8.8999999999999996E-2</v>
      </c>
      <c r="G8127">
        <f t="shared" si="255"/>
        <v>1427.79</v>
      </c>
    </row>
    <row r="8128" spans="1:7" ht="12.75" customHeight="1">
      <c r="A8128" s="3">
        <v>101535</v>
      </c>
      <c r="B8128" s="4" t="s">
        <v>8152</v>
      </c>
      <c r="C8128" s="3" t="s">
        <v>6</v>
      </c>
      <c r="D8128" s="5">
        <f t="shared" si="254"/>
        <v>1498.25</v>
      </c>
      <c r="E8128">
        <v>1644.63</v>
      </c>
      <c r="F8128" s="1789">
        <v>8.8999999999999996E-2</v>
      </c>
      <c r="G8128">
        <f t="shared" si="255"/>
        <v>1498.25</v>
      </c>
    </row>
    <row r="8129" spans="1:7" ht="12.75" customHeight="1">
      <c r="A8129" s="3">
        <v>101536</v>
      </c>
      <c r="B8129" s="4" t="s">
        <v>8153</v>
      </c>
      <c r="C8129" s="3" t="s">
        <v>6</v>
      </c>
      <c r="D8129" s="5">
        <f t="shared" si="254"/>
        <v>1769.54</v>
      </c>
      <c r="E8129">
        <v>1942.42</v>
      </c>
      <c r="F8129" s="1789">
        <v>8.8999999999999996E-2</v>
      </c>
      <c r="G8129">
        <f t="shared" si="255"/>
        <v>1769.54</v>
      </c>
    </row>
    <row r="8130" spans="1:7" ht="12.75" customHeight="1">
      <c r="A8130" s="3">
        <v>101537</v>
      </c>
      <c r="B8130" s="4" t="s">
        <v>8154</v>
      </c>
      <c r="C8130" s="3" t="s">
        <v>6</v>
      </c>
      <c r="D8130" s="5">
        <f t="shared" si="254"/>
        <v>75.510000000000005</v>
      </c>
      <c r="E8130">
        <v>82.89</v>
      </c>
      <c r="F8130" s="1789">
        <v>8.8999999999999996E-2</v>
      </c>
      <c r="G8130">
        <f t="shared" si="255"/>
        <v>75.510000000000005</v>
      </c>
    </row>
    <row r="8131" spans="1:7" ht="12.75" customHeight="1">
      <c r="A8131" s="3">
        <v>101538</v>
      </c>
      <c r="B8131" s="4" t="s">
        <v>8155</v>
      </c>
      <c r="C8131" s="3" t="s">
        <v>6</v>
      </c>
      <c r="D8131" s="5">
        <f t="shared" si="254"/>
        <v>49.99</v>
      </c>
      <c r="E8131">
        <v>54.88</v>
      </c>
      <c r="F8131" s="1789">
        <v>8.8999999999999996E-2</v>
      </c>
      <c r="G8131">
        <f t="shared" si="255"/>
        <v>49.99</v>
      </c>
    </row>
    <row r="8132" spans="1:7" ht="12.75" customHeight="1">
      <c r="A8132" s="3">
        <v>101539</v>
      </c>
      <c r="B8132" s="4" t="s">
        <v>8156</v>
      </c>
      <c r="C8132" s="3" t="s">
        <v>6</v>
      </c>
      <c r="D8132" s="5">
        <f t="shared" si="254"/>
        <v>81.27</v>
      </c>
      <c r="E8132">
        <v>89.21</v>
      </c>
      <c r="F8132" s="1789">
        <v>8.8999999999999996E-2</v>
      </c>
      <c r="G8132">
        <f t="shared" si="255"/>
        <v>81.27</v>
      </c>
    </row>
    <row r="8133" spans="1:7" ht="12.75" customHeight="1">
      <c r="A8133" s="3">
        <v>101540</v>
      </c>
      <c r="B8133" s="4" t="s">
        <v>8157</v>
      </c>
      <c r="C8133" s="3" t="s">
        <v>6</v>
      </c>
      <c r="D8133" s="5">
        <f t="shared" si="254"/>
        <v>138.55000000000001</v>
      </c>
      <c r="E8133">
        <v>152.09</v>
      </c>
      <c r="F8133" s="1789">
        <v>8.8999999999999996E-2</v>
      </c>
      <c r="G8133">
        <f t="shared" si="255"/>
        <v>138.55000000000001</v>
      </c>
    </row>
    <row r="8134" spans="1:7" ht="12.75" customHeight="1">
      <c r="A8134" s="3">
        <v>101541</v>
      </c>
      <c r="B8134" s="4" t="s">
        <v>8158</v>
      </c>
      <c r="C8134" s="3" t="s">
        <v>6</v>
      </c>
      <c r="D8134" s="5">
        <f t="shared" si="254"/>
        <v>180.35</v>
      </c>
      <c r="E8134">
        <v>197.97</v>
      </c>
      <c r="F8134" s="1789">
        <v>8.8999999999999996E-2</v>
      </c>
      <c r="G8134">
        <f t="shared" si="255"/>
        <v>180.35</v>
      </c>
    </row>
    <row r="8135" spans="1:7" ht="12.75" customHeight="1">
      <c r="A8135" s="3">
        <v>101542</v>
      </c>
      <c r="B8135" s="4" t="s">
        <v>8159</v>
      </c>
      <c r="C8135" s="3" t="s">
        <v>6</v>
      </c>
      <c r="D8135" s="5">
        <f t="shared" si="254"/>
        <v>37.380000000000003</v>
      </c>
      <c r="E8135">
        <v>41.04</v>
      </c>
      <c r="F8135" s="1789">
        <v>8.8999999999999996E-2</v>
      </c>
      <c r="G8135">
        <f t="shared" si="255"/>
        <v>37.380000000000003</v>
      </c>
    </row>
    <row r="8136" spans="1:7" ht="12.75" customHeight="1">
      <c r="A8136" s="3">
        <v>101543</v>
      </c>
      <c r="B8136" s="4" t="s">
        <v>8160</v>
      </c>
      <c r="C8136" s="3" t="s">
        <v>6</v>
      </c>
      <c r="D8136" s="5">
        <f t="shared" si="254"/>
        <v>65.709999999999994</v>
      </c>
      <c r="E8136">
        <v>72.14</v>
      </c>
      <c r="F8136" s="1789">
        <v>8.8999999999999996E-2</v>
      </c>
      <c r="G8136">
        <f t="shared" si="255"/>
        <v>65.709999999999994</v>
      </c>
    </row>
    <row r="8137" spans="1:7" ht="12.75" customHeight="1">
      <c r="A8137" s="3">
        <v>101544</v>
      </c>
      <c r="B8137" s="4" t="s">
        <v>8161</v>
      </c>
      <c r="C8137" s="3" t="s">
        <v>6</v>
      </c>
      <c r="D8137" s="5">
        <f t="shared" si="254"/>
        <v>105.8</v>
      </c>
      <c r="E8137">
        <v>116.14</v>
      </c>
      <c r="F8137" s="1789">
        <v>8.8999999999999996E-2</v>
      </c>
      <c r="G8137">
        <f t="shared" si="255"/>
        <v>105.8</v>
      </c>
    </row>
    <row r="8138" spans="1:7" ht="12.75" customHeight="1">
      <c r="A8138" s="3">
        <v>101545</v>
      </c>
      <c r="B8138" s="4" t="s">
        <v>8162</v>
      </c>
      <c r="C8138" s="3" t="s">
        <v>6</v>
      </c>
      <c r="D8138" s="5">
        <f t="shared" si="254"/>
        <v>154.71</v>
      </c>
      <c r="E8138">
        <v>169.83</v>
      </c>
      <c r="F8138" s="1789">
        <v>8.8999999999999996E-2</v>
      </c>
      <c r="G8138">
        <f t="shared" si="255"/>
        <v>154.71</v>
      </c>
    </row>
    <row r="8139" spans="1:7" ht="12.75" customHeight="1">
      <c r="A8139" s="3">
        <v>101546</v>
      </c>
      <c r="B8139" s="4" t="s">
        <v>8163</v>
      </c>
      <c r="C8139" s="3" t="s">
        <v>6</v>
      </c>
      <c r="D8139" s="5">
        <f t="shared" si="254"/>
        <v>28.55</v>
      </c>
      <c r="E8139">
        <v>31.35</v>
      </c>
      <c r="F8139" s="1789">
        <v>8.8999999999999996E-2</v>
      </c>
      <c r="G8139">
        <f t="shared" si="255"/>
        <v>28.55</v>
      </c>
    </row>
    <row r="8140" spans="1:7" ht="12.75" customHeight="1">
      <c r="A8140" s="3">
        <v>101547</v>
      </c>
      <c r="B8140" s="4" t="s">
        <v>8164</v>
      </c>
      <c r="C8140" s="3" t="s">
        <v>6</v>
      </c>
      <c r="D8140" s="5">
        <f t="shared" si="254"/>
        <v>89.58</v>
      </c>
      <c r="E8140">
        <v>98.34</v>
      </c>
      <c r="F8140" s="1789">
        <v>8.8999999999999996E-2</v>
      </c>
      <c r="G8140">
        <f t="shared" si="255"/>
        <v>89.58</v>
      </c>
    </row>
    <row r="8141" spans="1:7" ht="12.75" customHeight="1">
      <c r="A8141" s="3">
        <v>101548</v>
      </c>
      <c r="B8141" s="4" t="s">
        <v>8165</v>
      </c>
      <c r="C8141" s="3" t="s">
        <v>6</v>
      </c>
      <c r="D8141" s="5">
        <f t="shared" si="254"/>
        <v>7.03</v>
      </c>
      <c r="E8141">
        <v>7.72</v>
      </c>
      <c r="F8141" s="1789">
        <v>8.8999999999999996E-2</v>
      </c>
      <c r="G8141">
        <f t="shared" si="255"/>
        <v>7.03</v>
      </c>
    </row>
    <row r="8142" spans="1:7" ht="12.75" customHeight="1">
      <c r="A8142" s="3">
        <v>101549</v>
      </c>
      <c r="B8142" s="4" t="s">
        <v>8166</v>
      </c>
      <c r="C8142" s="3" t="s">
        <v>6</v>
      </c>
      <c r="D8142" s="5">
        <f t="shared" si="254"/>
        <v>16.47</v>
      </c>
      <c r="E8142">
        <v>18.079999999999998</v>
      </c>
      <c r="F8142" s="1789">
        <v>8.8999999999999996E-2</v>
      </c>
      <c r="G8142">
        <f t="shared" si="255"/>
        <v>16.47</v>
      </c>
    </row>
    <row r="8143" spans="1:7" ht="12.75" customHeight="1">
      <c r="A8143" s="3">
        <v>101553</v>
      </c>
      <c r="B8143" s="4" t="s">
        <v>8167</v>
      </c>
      <c r="C8143" s="3" t="s">
        <v>6</v>
      </c>
      <c r="D8143" s="5">
        <f t="shared" si="254"/>
        <v>17.54</v>
      </c>
      <c r="E8143">
        <v>19.260000000000002</v>
      </c>
      <c r="F8143" s="1789">
        <v>8.8999999999999996E-2</v>
      </c>
      <c r="G8143">
        <f t="shared" si="255"/>
        <v>17.54</v>
      </c>
    </row>
    <row r="8144" spans="1:7" ht="12.75" customHeight="1">
      <c r="A8144" s="3">
        <v>101554</v>
      </c>
      <c r="B8144" s="4" t="s">
        <v>8168</v>
      </c>
      <c r="C8144" s="3" t="s">
        <v>6</v>
      </c>
      <c r="D8144" s="5">
        <f t="shared" si="254"/>
        <v>12.23</v>
      </c>
      <c r="E8144">
        <v>13.43</v>
      </c>
      <c r="F8144" s="1789">
        <v>8.8999999999999996E-2</v>
      </c>
      <c r="G8144">
        <f t="shared" si="255"/>
        <v>12.23</v>
      </c>
    </row>
    <row r="8145" spans="1:7" ht="12.75" customHeight="1">
      <c r="A8145" s="3">
        <v>101555</v>
      </c>
      <c r="B8145" s="4" t="s">
        <v>8169</v>
      </c>
      <c r="C8145" s="3" t="s">
        <v>6</v>
      </c>
      <c r="D8145" s="5">
        <f t="shared" si="254"/>
        <v>7.39</v>
      </c>
      <c r="E8145">
        <v>8.1199999999999992</v>
      </c>
      <c r="F8145" s="1789">
        <v>8.8999999999999996E-2</v>
      </c>
      <c r="G8145">
        <f t="shared" si="255"/>
        <v>7.39</v>
      </c>
    </row>
    <row r="8146" spans="1:7" ht="12.75" customHeight="1">
      <c r="A8146" s="3">
        <v>101556</v>
      </c>
      <c r="B8146" s="4" t="s">
        <v>8170</v>
      </c>
      <c r="C8146" s="3" t="s">
        <v>6</v>
      </c>
      <c r="D8146" s="5">
        <f t="shared" si="254"/>
        <v>6.62</v>
      </c>
      <c r="E8146">
        <v>7.27</v>
      </c>
      <c r="F8146" s="1789">
        <v>8.8999999999999996E-2</v>
      </c>
      <c r="G8146">
        <f t="shared" si="255"/>
        <v>6.62</v>
      </c>
    </row>
    <row r="8147" spans="1:7" ht="12.75" customHeight="1">
      <c r="A8147" s="3">
        <v>101560</v>
      </c>
      <c r="B8147" s="4" t="s">
        <v>8171</v>
      </c>
      <c r="C8147" s="3" t="s">
        <v>50</v>
      </c>
      <c r="D8147" s="5">
        <f t="shared" si="254"/>
        <v>9.99</v>
      </c>
      <c r="E8147">
        <v>10.97</v>
      </c>
      <c r="F8147" s="1789">
        <v>8.8999999999999996E-2</v>
      </c>
      <c r="G8147">
        <f t="shared" si="255"/>
        <v>9.99</v>
      </c>
    </row>
    <row r="8148" spans="1:7" ht="12.75" customHeight="1">
      <c r="A8148" s="3">
        <v>101561</v>
      </c>
      <c r="B8148" s="4" t="s">
        <v>8172</v>
      </c>
      <c r="C8148" s="3" t="s">
        <v>50</v>
      </c>
      <c r="D8148" s="5">
        <f t="shared" si="254"/>
        <v>15.86</v>
      </c>
      <c r="E8148">
        <v>17.41</v>
      </c>
      <c r="F8148" s="1789">
        <v>8.8999999999999996E-2</v>
      </c>
      <c r="G8148">
        <f t="shared" si="255"/>
        <v>15.86</v>
      </c>
    </row>
    <row r="8149" spans="1:7" ht="12.75" customHeight="1">
      <c r="A8149" s="3">
        <v>101562</v>
      </c>
      <c r="B8149" s="4" t="s">
        <v>8173</v>
      </c>
      <c r="C8149" s="3" t="s">
        <v>50</v>
      </c>
      <c r="D8149" s="5">
        <f t="shared" ref="D8149:D8212" si="256">G8149</f>
        <v>24.56</v>
      </c>
      <c r="E8149">
        <v>26.97</v>
      </c>
      <c r="F8149" s="1789">
        <v>8.8999999999999996E-2</v>
      </c>
      <c r="G8149">
        <f t="shared" ref="G8149:G8212" si="257">TRUNC((1-F8149)*E8149,2)</f>
        <v>24.56</v>
      </c>
    </row>
    <row r="8150" spans="1:7" ht="12.75" customHeight="1">
      <c r="A8150" s="3">
        <v>101563</v>
      </c>
      <c r="B8150" s="4" t="s">
        <v>8174</v>
      </c>
      <c r="C8150" s="3" t="s">
        <v>50</v>
      </c>
      <c r="D8150" s="5">
        <f t="shared" si="256"/>
        <v>34.700000000000003</v>
      </c>
      <c r="E8150">
        <v>38.1</v>
      </c>
      <c r="F8150" s="1789">
        <v>8.8999999999999996E-2</v>
      </c>
      <c r="G8150">
        <f t="shared" si="257"/>
        <v>34.700000000000003</v>
      </c>
    </row>
    <row r="8151" spans="1:7" ht="12.75" customHeight="1">
      <c r="A8151" s="3">
        <v>101564</v>
      </c>
      <c r="B8151" s="4" t="s">
        <v>8175</v>
      </c>
      <c r="C8151" s="3" t="s">
        <v>50</v>
      </c>
      <c r="D8151" s="5">
        <f t="shared" si="256"/>
        <v>51.28</v>
      </c>
      <c r="E8151">
        <v>56.3</v>
      </c>
      <c r="F8151" s="1789">
        <v>8.8999999999999996E-2</v>
      </c>
      <c r="G8151">
        <f t="shared" si="257"/>
        <v>51.28</v>
      </c>
    </row>
    <row r="8152" spans="1:7" ht="12.75" customHeight="1">
      <c r="A8152" s="3">
        <v>101565</v>
      </c>
      <c r="B8152" s="4" t="s">
        <v>8176</v>
      </c>
      <c r="C8152" s="3" t="s">
        <v>50</v>
      </c>
      <c r="D8152" s="5">
        <f t="shared" si="256"/>
        <v>71.73</v>
      </c>
      <c r="E8152">
        <v>78.739999999999995</v>
      </c>
      <c r="F8152" s="1789">
        <v>8.8999999999999996E-2</v>
      </c>
      <c r="G8152">
        <f t="shared" si="257"/>
        <v>71.73</v>
      </c>
    </row>
    <row r="8153" spans="1:7" ht="12.75" customHeight="1">
      <c r="A8153" s="3">
        <v>101567</v>
      </c>
      <c r="B8153" s="4" t="s">
        <v>8177</v>
      </c>
      <c r="C8153" s="3" t="s">
        <v>50</v>
      </c>
      <c r="D8153" s="5">
        <f t="shared" si="256"/>
        <v>93.11</v>
      </c>
      <c r="E8153">
        <v>102.21</v>
      </c>
      <c r="F8153" s="1789">
        <v>8.8999999999999996E-2</v>
      </c>
      <c r="G8153">
        <f t="shared" si="257"/>
        <v>93.11</v>
      </c>
    </row>
    <row r="8154" spans="1:7" ht="12.75" customHeight="1">
      <c r="A8154" s="3">
        <v>101568</v>
      </c>
      <c r="B8154" s="4" t="s">
        <v>8178</v>
      </c>
      <c r="C8154" s="3" t="s">
        <v>50</v>
      </c>
      <c r="D8154" s="5">
        <f t="shared" si="256"/>
        <v>121.73</v>
      </c>
      <c r="E8154">
        <v>133.63</v>
      </c>
      <c r="F8154" s="1789">
        <v>8.8999999999999996E-2</v>
      </c>
      <c r="G8154">
        <f t="shared" si="257"/>
        <v>121.73</v>
      </c>
    </row>
    <row r="8155" spans="1:7" ht="12.75" customHeight="1">
      <c r="A8155" s="3">
        <v>101630</v>
      </c>
      <c r="B8155" s="4" t="s">
        <v>8179</v>
      </c>
      <c r="C8155" s="3" t="s">
        <v>6</v>
      </c>
      <c r="D8155" s="5">
        <f t="shared" si="256"/>
        <v>73.31</v>
      </c>
      <c r="E8155">
        <v>80.48</v>
      </c>
      <c r="F8155" s="1789">
        <v>8.8999999999999996E-2</v>
      </c>
      <c r="G8155">
        <f t="shared" si="257"/>
        <v>73.31</v>
      </c>
    </row>
    <row r="8156" spans="1:7" ht="12.75" customHeight="1">
      <c r="A8156" s="3">
        <v>101632</v>
      </c>
      <c r="B8156" s="4" t="s">
        <v>8180</v>
      </c>
      <c r="C8156" s="3" t="s">
        <v>6</v>
      </c>
      <c r="D8156" s="5">
        <f t="shared" si="256"/>
        <v>36.409999999999997</v>
      </c>
      <c r="E8156">
        <v>39.97</v>
      </c>
      <c r="F8156" s="1789">
        <v>8.8999999999999996E-2</v>
      </c>
      <c r="G8156">
        <f t="shared" si="257"/>
        <v>36.409999999999997</v>
      </c>
    </row>
    <row r="8157" spans="1:7" ht="12.75" customHeight="1">
      <c r="A8157" s="3">
        <v>101633</v>
      </c>
      <c r="B8157" s="4" t="s">
        <v>8181</v>
      </c>
      <c r="C8157" s="3" t="s">
        <v>6</v>
      </c>
      <c r="D8157" s="5">
        <f t="shared" si="256"/>
        <v>98.18</v>
      </c>
      <c r="E8157">
        <v>107.78</v>
      </c>
      <c r="F8157" s="1789">
        <v>8.8999999999999996E-2</v>
      </c>
      <c r="G8157">
        <f t="shared" si="257"/>
        <v>98.18</v>
      </c>
    </row>
    <row r="8158" spans="1:7" ht="12.75" customHeight="1">
      <c r="A8158" s="3">
        <v>101636</v>
      </c>
      <c r="B8158" s="4" t="s">
        <v>8182</v>
      </c>
      <c r="C8158" s="3" t="s">
        <v>6</v>
      </c>
      <c r="D8158" s="5">
        <f t="shared" si="256"/>
        <v>143</v>
      </c>
      <c r="E8158">
        <v>156.97999999999999</v>
      </c>
      <c r="F8158" s="1789">
        <v>8.8999999999999996E-2</v>
      </c>
      <c r="G8158">
        <f t="shared" si="257"/>
        <v>143</v>
      </c>
    </row>
    <row r="8159" spans="1:7" ht="12.75" customHeight="1">
      <c r="A8159" s="3">
        <v>101637</v>
      </c>
      <c r="B8159" s="4" t="s">
        <v>8183</v>
      </c>
      <c r="C8159" s="3" t="s">
        <v>6</v>
      </c>
      <c r="D8159" s="5">
        <f t="shared" si="256"/>
        <v>137.79</v>
      </c>
      <c r="E8159">
        <v>151.26</v>
      </c>
      <c r="F8159" s="1789">
        <v>8.8999999999999996E-2</v>
      </c>
      <c r="G8159">
        <f t="shared" si="257"/>
        <v>137.79</v>
      </c>
    </row>
    <row r="8160" spans="1:7" ht="12.75" customHeight="1">
      <c r="A8160" s="3">
        <v>101651</v>
      </c>
      <c r="B8160" s="4" t="s">
        <v>8184</v>
      </c>
      <c r="C8160" s="3" t="s">
        <v>6</v>
      </c>
      <c r="D8160" s="5">
        <f t="shared" si="256"/>
        <v>63.6</v>
      </c>
      <c r="E8160">
        <v>69.819999999999993</v>
      </c>
      <c r="F8160" s="1789">
        <v>8.8999999999999996E-2</v>
      </c>
      <c r="G8160">
        <f t="shared" si="257"/>
        <v>63.6</v>
      </c>
    </row>
    <row r="8161" spans="1:7" ht="12.75" customHeight="1">
      <c r="A8161" s="3">
        <v>101653</v>
      </c>
      <c r="B8161" s="4" t="s">
        <v>8185</v>
      </c>
      <c r="C8161" s="3" t="s">
        <v>6</v>
      </c>
      <c r="D8161" s="5">
        <f t="shared" si="256"/>
        <v>262.89</v>
      </c>
      <c r="E8161">
        <v>288.58</v>
      </c>
      <c r="F8161" s="1789">
        <v>8.8999999999999996E-2</v>
      </c>
      <c r="G8161">
        <f t="shared" si="257"/>
        <v>262.89</v>
      </c>
    </row>
    <row r="8162" spans="1:7" ht="12.75" customHeight="1">
      <c r="A8162" s="3">
        <v>101654</v>
      </c>
      <c r="B8162" s="4" t="s">
        <v>8186</v>
      </c>
      <c r="C8162" s="3" t="s">
        <v>6</v>
      </c>
      <c r="D8162" s="5">
        <f t="shared" si="256"/>
        <v>165.29</v>
      </c>
      <c r="E8162">
        <v>181.44</v>
      </c>
      <c r="F8162" s="1789">
        <v>8.8999999999999996E-2</v>
      </c>
      <c r="G8162">
        <f t="shared" si="257"/>
        <v>165.29</v>
      </c>
    </row>
    <row r="8163" spans="1:7" ht="12.75" customHeight="1">
      <c r="A8163" s="3">
        <v>101655</v>
      </c>
      <c r="B8163" s="4" t="s">
        <v>8187</v>
      </c>
      <c r="C8163" s="3" t="s">
        <v>6</v>
      </c>
      <c r="D8163" s="5">
        <f t="shared" si="256"/>
        <v>244.46</v>
      </c>
      <c r="E8163">
        <v>268.35000000000002</v>
      </c>
      <c r="F8163" s="1789">
        <v>8.8999999999999996E-2</v>
      </c>
      <c r="G8163">
        <f t="shared" si="257"/>
        <v>244.46</v>
      </c>
    </row>
    <row r="8164" spans="1:7" ht="12.75" customHeight="1">
      <c r="A8164" s="3">
        <v>101656</v>
      </c>
      <c r="B8164" s="4" t="s">
        <v>8188</v>
      </c>
      <c r="C8164" s="3" t="s">
        <v>6</v>
      </c>
      <c r="D8164" s="5">
        <f t="shared" si="256"/>
        <v>262.95</v>
      </c>
      <c r="E8164">
        <v>288.64</v>
      </c>
      <c r="F8164" s="1789">
        <v>8.8999999999999996E-2</v>
      </c>
      <c r="G8164">
        <f t="shared" si="257"/>
        <v>262.95</v>
      </c>
    </row>
    <row r="8165" spans="1:7" ht="12.75" customHeight="1">
      <c r="A8165" s="3">
        <v>101657</v>
      </c>
      <c r="B8165" s="4" t="s">
        <v>8189</v>
      </c>
      <c r="C8165" s="3" t="s">
        <v>6</v>
      </c>
      <c r="D8165" s="5">
        <f t="shared" si="256"/>
        <v>302.33</v>
      </c>
      <c r="E8165">
        <v>331.87</v>
      </c>
      <c r="F8165" s="1789">
        <v>8.8999999999999996E-2</v>
      </c>
      <c r="G8165">
        <f t="shared" si="257"/>
        <v>302.33</v>
      </c>
    </row>
    <row r="8166" spans="1:7" ht="12.75" customHeight="1">
      <c r="A8166" s="3">
        <v>101658</v>
      </c>
      <c r="B8166" s="4" t="s">
        <v>8190</v>
      </c>
      <c r="C8166" s="3" t="s">
        <v>6</v>
      </c>
      <c r="D8166" s="5">
        <f t="shared" si="256"/>
        <v>383.3</v>
      </c>
      <c r="E8166">
        <v>420.75</v>
      </c>
      <c r="F8166" s="1789">
        <v>8.8999999999999996E-2</v>
      </c>
      <c r="G8166">
        <f t="shared" si="257"/>
        <v>383.3</v>
      </c>
    </row>
    <row r="8167" spans="1:7" ht="12.75" customHeight="1">
      <c r="A8167" s="3">
        <v>101659</v>
      </c>
      <c r="B8167" s="4" t="s">
        <v>8191</v>
      </c>
      <c r="C8167" s="3" t="s">
        <v>6</v>
      </c>
      <c r="D8167" s="5">
        <f t="shared" si="256"/>
        <v>433.67</v>
      </c>
      <c r="E8167">
        <v>476.04</v>
      </c>
      <c r="F8167" s="1789">
        <v>8.8999999999999996E-2</v>
      </c>
      <c r="G8167">
        <f t="shared" si="257"/>
        <v>433.67</v>
      </c>
    </row>
    <row r="8168" spans="1:7" ht="12.75" customHeight="1">
      <c r="A8168" s="3">
        <v>101660</v>
      </c>
      <c r="B8168" s="4" t="s">
        <v>8192</v>
      </c>
      <c r="C8168" s="3" t="s">
        <v>6</v>
      </c>
      <c r="D8168" s="5">
        <f t="shared" si="256"/>
        <v>671.4</v>
      </c>
      <c r="E8168">
        <v>737</v>
      </c>
      <c r="F8168" s="1789">
        <v>8.8999999999999996E-2</v>
      </c>
      <c r="G8168">
        <f t="shared" si="257"/>
        <v>671.4</v>
      </c>
    </row>
    <row r="8169" spans="1:7" ht="12.75" customHeight="1">
      <c r="A8169" s="3">
        <v>101661</v>
      </c>
      <c r="B8169" s="4" t="s">
        <v>8193</v>
      </c>
      <c r="C8169" s="3" t="s">
        <v>6</v>
      </c>
      <c r="D8169" s="5">
        <f t="shared" si="256"/>
        <v>107.47</v>
      </c>
      <c r="E8169">
        <v>117.98</v>
      </c>
      <c r="F8169" s="1789">
        <v>8.8999999999999996E-2</v>
      </c>
      <c r="G8169">
        <f t="shared" si="257"/>
        <v>107.47</v>
      </c>
    </row>
    <row r="8170" spans="1:7" ht="12.75" customHeight="1">
      <c r="A8170" s="3">
        <v>101663</v>
      </c>
      <c r="B8170" s="4" t="s">
        <v>8194</v>
      </c>
      <c r="C8170" s="3" t="s">
        <v>6</v>
      </c>
      <c r="D8170" s="5">
        <f t="shared" si="256"/>
        <v>23.74</v>
      </c>
      <c r="E8170">
        <v>26.07</v>
      </c>
      <c r="F8170" s="1789">
        <v>8.8999999999999996E-2</v>
      </c>
      <c r="G8170">
        <f t="shared" si="257"/>
        <v>23.74</v>
      </c>
    </row>
    <row r="8171" spans="1:7" ht="12.75" customHeight="1">
      <c r="A8171" s="3">
        <v>101664</v>
      </c>
      <c r="B8171" s="4" t="s">
        <v>8195</v>
      </c>
      <c r="C8171" s="3" t="s">
        <v>6</v>
      </c>
      <c r="D8171" s="5">
        <f t="shared" si="256"/>
        <v>24.83</v>
      </c>
      <c r="E8171">
        <v>27.26</v>
      </c>
      <c r="F8171" s="1789">
        <v>8.8999999999999996E-2</v>
      </c>
      <c r="G8171">
        <f t="shared" si="257"/>
        <v>24.83</v>
      </c>
    </row>
    <row r="8172" spans="1:7" ht="12.75" customHeight="1">
      <c r="A8172" s="3">
        <v>101665</v>
      </c>
      <c r="B8172" s="4" t="s">
        <v>8196</v>
      </c>
      <c r="C8172" s="3" t="s">
        <v>6</v>
      </c>
      <c r="D8172" s="5">
        <f t="shared" si="256"/>
        <v>29.51</v>
      </c>
      <c r="E8172">
        <v>32.4</v>
      </c>
      <c r="F8172" s="1789">
        <v>8.8999999999999996E-2</v>
      </c>
      <c r="G8172">
        <f t="shared" si="257"/>
        <v>29.51</v>
      </c>
    </row>
    <row r="8173" spans="1:7" ht="12.75" customHeight="1">
      <c r="A8173" s="3">
        <v>100578</v>
      </c>
      <c r="B8173" s="4" t="s">
        <v>8197</v>
      </c>
      <c r="C8173" s="3" t="s">
        <v>6</v>
      </c>
      <c r="D8173" s="5">
        <f t="shared" si="256"/>
        <v>468.89</v>
      </c>
      <c r="E8173">
        <v>514.70000000000005</v>
      </c>
      <c r="F8173" s="1789">
        <v>8.8999999999999996E-2</v>
      </c>
      <c r="G8173">
        <f t="shared" si="257"/>
        <v>468.89</v>
      </c>
    </row>
    <row r="8174" spans="1:7" ht="12.75" customHeight="1">
      <c r="A8174" s="3">
        <v>100579</v>
      </c>
      <c r="B8174" s="4" t="s">
        <v>8198</v>
      </c>
      <c r="C8174" s="3" t="s">
        <v>6</v>
      </c>
      <c r="D8174" s="5">
        <f t="shared" si="256"/>
        <v>514.76</v>
      </c>
      <c r="E8174">
        <v>565.05999999999995</v>
      </c>
      <c r="F8174" s="1789">
        <v>8.8999999999999996E-2</v>
      </c>
      <c r="G8174">
        <f t="shared" si="257"/>
        <v>514.76</v>
      </c>
    </row>
    <row r="8175" spans="1:7" ht="12.75" customHeight="1">
      <c r="A8175" s="3">
        <v>100580</v>
      </c>
      <c r="B8175" s="4" t="s">
        <v>8199</v>
      </c>
      <c r="C8175" s="3" t="s">
        <v>6</v>
      </c>
      <c r="D8175" s="5">
        <f t="shared" si="256"/>
        <v>557.49</v>
      </c>
      <c r="E8175">
        <v>611.96</v>
      </c>
      <c r="F8175" s="1789">
        <v>8.8999999999999996E-2</v>
      </c>
      <c r="G8175">
        <f t="shared" si="257"/>
        <v>557.49</v>
      </c>
    </row>
    <row r="8176" spans="1:7" ht="12.75" customHeight="1">
      <c r="A8176" s="3">
        <v>100581</v>
      </c>
      <c r="B8176" s="4" t="s">
        <v>8200</v>
      </c>
      <c r="C8176" s="3" t="s">
        <v>6</v>
      </c>
      <c r="D8176" s="5">
        <f t="shared" si="256"/>
        <v>537.5</v>
      </c>
      <c r="E8176">
        <v>590.02</v>
      </c>
      <c r="F8176" s="1789">
        <v>8.8999999999999996E-2</v>
      </c>
      <c r="G8176">
        <f t="shared" si="257"/>
        <v>537.5</v>
      </c>
    </row>
    <row r="8177" spans="1:7" ht="12.75" customHeight="1">
      <c r="A8177" s="3">
        <v>100582</v>
      </c>
      <c r="B8177" s="4" t="s">
        <v>8201</v>
      </c>
      <c r="C8177" s="3" t="s">
        <v>6</v>
      </c>
      <c r="D8177" s="5">
        <f t="shared" si="256"/>
        <v>614.46</v>
      </c>
      <c r="E8177">
        <v>674.49</v>
      </c>
      <c r="F8177" s="1789">
        <v>8.8999999999999996E-2</v>
      </c>
      <c r="G8177">
        <f t="shared" si="257"/>
        <v>614.46</v>
      </c>
    </row>
    <row r="8178" spans="1:7" ht="12.75" customHeight="1">
      <c r="A8178" s="3">
        <v>100583</v>
      </c>
      <c r="B8178" s="4" t="s">
        <v>8202</v>
      </c>
      <c r="C8178" s="3" t="s">
        <v>6</v>
      </c>
      <c r="D8178" s="5">
        <f t="shared" si="256"/>
        <v>561.66</v>
      </c>
      <c r="E8178">
        <v>616.54</v>
      </c>
      <c r="F8178" s="1789">
        <v>8.8999999999999996E-2</v>
      </c>
      <c r="G8178">
        <f t="shared" si="257"/>
        <v>561.66</v>
      </c>
    </row>
    <row r="8179" spans="1:7" ht="12.75" customHeight="1">
      <c r="A8179" s="3">
        <v>100584</v>
      </c>
      <c r="B8179" s="4" t="s">
        <v>8203</v>
      </c>
      <c r="C8179" s="3" t="s">
        <v>6</v>
      </c>
      <c r="D8179" s="5">
        <f t="shared" si="256"/>
        <v>607.99</v>
      </c>
      <c r="E8179">
        <v>667.39</v>
      </c>
      <c r="F8179" s="1789">
        <v>8.8999999999999996E-2</v>
      </c>
      <c r="G8179">
        <f t="shared" si="257"/>
        <v>607.99</v>
      </c>
    </row>
    <row r="8180" spans="1:7" ht="12.75" customHeight="1">
      <c r="A8180" s="3">
        <v>100585</v>
      </c>
      <c r="B8180" s="4" t="s">
        <v>8204</v>
      </c>
      <c r="C8180" s="3" t="s">
        <v>6</v>
      </c>
      <c r="D8180" s="5">
        <f t="shared" si="256"/>
        <v>608.77</v>
      </c>
      <c r="E8180">
        <v>668.25</v>
      </c>
      <c r="F8180" s="1789">
        <v>8.8999999999999996E-2</v>
      </c>
      <c r="G8180">
        <f t="shared" si="257"/>
        <v>608.77</v>
      </c>
    </row>
    <row r="8181" spans="1:7" ht="12.75" customHeight="1">
      <c r="A8181" s="3">
        <v>100586</v>
      </c>
      <c r="B8181" s="4" t="s">
        <v>8205</v>
      </c>
      <c r="C8181" s="3" t="s">
        <v>6</v>
      </c>
      <c r="D8181" s="5">
        <f t="shared" si="256"/>
        <v>682.64</v>
      </c>
      <c r="E8181">
        <v>749.34</v>
      </c>
      <c r="F8181" s="1789">
        <v>8.8999999999999996E-2</v>
      </c>
      <c r="G8181">
        <f t="shared" si="257"/>
        <v>682.64</v>
      </c>
    </row>
    <row r="8182" spans="1:7" ht="12.75" customHeight="1">
      <c r="A8182" s="3">
        <v>100587</v>
      </c>
      <c r="B8182" s="4" t="s">
        <v>8206</v>
      </c>
      <c r="C8182" s="3" t="s">
        <v>6</v>
      </c>
      <c r="D8182" s="5">
        <f t="shared" si="256"/>
        <v>657.32</v>
      </c>
      <c r="E8182">
        <v>721.54</v>
      </c>
      <c r="F8182" s="1789">
        <v>8.8999999999999996E-2</v>
      </c>
      <c r="G8182">
        <f t="shared" si="257"/>
        <v>657.32</v>
      </c>
    </row>
    <row r="8183" spans="1:7" ht="12.75" customHeight="1">
      <c r="A8183" s="3">
        <v>100588</v>
      </c>
      <c r="B8183" s="4" t="s">
        <v>8207</v>
      </c>
      <c r="C8183" s="3" t="s">
        <v>6</v>
      </c>
      <c r="D8183" s="5">
        <f t="shared" si="256"/>
        <v>714.77</v>
      </c>
      <c r="E8183">
        <v>784.6</v>
      </c>
      <c r="F8183" s="1789">
        <v>8.8999999999999996E-2</v>
      </c>
      <c r="G8183">
        <f t="shared" si="257"/>
        <v>714.77</v>
      </c>
    </row>
    <row r="8184" spans="1:7" ht="12.75" customHeight="1">
      <c r="A8184" s="3">
        <v>100589</v>
      </c>
      <c r="B8184" s="4" t="s">
        <v>8208</v>
      </c>
      <c r="C8184" s="3" t="s">
        <v>6</v>
      </c>
      <c r="D8184" s="5">
        <f t="shared" si="256"/>
        <v>721.24</v>
      </c>
      <c r="E8184">
        <v>791.71</v>
      </c>
      <c r="F8184" s="1789">
        <v>8.8999999999999996E-2</v>
      </c>
      <c r="G8184">
        <f t="shared" si="257"/>
        <v>721.24</v>
      </c>
    </row>
    <row r="8185" spans="1:7" ht="12.75" customHeight="1">
      <c r="A8185" s="3">
        <v>100590</v>
      </c>
      <c r="B8185" s="4" t="s">
        <v>8209</v>
      </c>
      <c r="C8185" s="3" t="s">
        <v>6</v>
      </c>
      <c r="D8185" s="5">
        <f t="shared" si="256"/>
        <v>777.87</v>
      </c>
      <c r="E8185">
        <v>853.87</v>
      </c>
      <c r="F8185" s="1789">
        <v>8.8999999999999996E-2</v>
      </c>
      <c r="G8185">
        <f t="shared" si="257"/>
        <v>777.87</v>
      </c>
    </row>
    <row r="8186" spans="1:7" ht="12.75" customHeight="1">
      <c r="A8186" s="3">
        <v>100591</v>
      </c>
      <c r="B8186" s="4" t="s">
        <v>8210</v>
      </c>
      <c r="C8186" s="3" t="s">
        <v>6</v>
      </c>
      <c r="D8186" s="5">
        <f t="shared" si="256"/>
        <v>721.01</v>
      </c>
      <c r="E8186">
        <v>791.45</v>
      </c>
      <c r="F8186" s="1789">
        <v>8.8999999999999996E-2</v>
      </c>
      <c r="G8186">
        <f t="shared" si="257"/>
        <v>721.01</v>
      </c>
    </row>
    <row r="8187" spans="1:7" ht="12.75" customHeight="1">
      <c r="A8187" s="3">
        <v>100592</v>
      </c>
      <c r="B8187" s="4" t="s">
        <v>8211</v>
      </c>
      <c r="C8187" s="3" t="s">
        <v>6</v>
      </c>
      <c r="D8187" s="5">
        <f t="shared" si="256"/>
        <v>767.97</v>
      </c>
      <c r="E8187">
        <v>843</v>
      </c>
      <c r="F8187" s="1789">
        <v>8.8999999999999996E-2</v>
      </c>
      <c r="G8187">
        <f t="shared" si="257"/>
        <v>767.97</v>
      </c>
    </row>
    <row r="8188" spans="1:7" ht="12.75" customHeight="1">
      <c r="A8188" s="3">
        <v>100593</v>
      </c>
      <c r="B8188" s="4" t="s">
        <v>8212</v>
      </c>
      <c r="C8188" s="3" t="s">
        <v>6</v>
      </c>
      <c r="D8188" s="5">
        <f t="shared" si="256"/>
        <v>772.16</v>
      </c>
      <c r="E8188">
        <v>847.6</v>
      </c>
      <c r="F8188" s="1789">
        <v>8.8999999999999996E-2</v>
      </c>
      <c r="G8188">
        <f t="shared" si="257"/>
        <v>772.16</v>
      </c>
    </row>
    <row r="8189" spans="1:7" ht="12.75" customHeight="1">
      <c r="A8189" s="3">
        <v>100594</v>
      </c>
      <c r="B8189" s="4" t="s">
        <v>8213</v>
      </c>
      <c r="C8189" s="3" t="s">
        <v>6</v>
      </c>
      <c r="D8189" s="5">
        <f t="shared" si="256"/>
        <v>851.88</v>
      </c>
      <c r="E8189">
        <v>935.11</v>
      </c>
      <c r="F8189" s="1789">
        <v>8.8999999999999996E-2</v>
      </c>
      <c r="G8189">
        <f t="shared" si="257"/>
        <v>851.88</v>
      </c>
    </row>
    <row r="8190" spans="1:7" ht="12.75" customHeight="1">
      <c r="A8190" s="3">
        <v>100595</v>
      </c>
      <c r="B8190" s="4" t="s">
        <v>8214</v>
      </c>
      <c r="C8190" s="3" t="s">
        <v>6</v>
      </c>
      <c r="D8190" s="5">
        <f t="shared" si="256"/>
        <v>925.51</v>
      </c>
      <c r="E8190">
        <v>1015.93</v>
      </c>
      <c r="F8190" s="1789">
        <v>8.8999999999999996E-2</v>
      </c>
      <c r="G8190">
        <f t="shared" si="257"/>
        <v>925.51</v>
      </c>
    </row>
    <row r="8191" spans="1:7" ht="12.75" customHeight="1">
      <c r="A8191" s="3">
        <v>100596</v>
      </c>
      <c r="B8191" s="4" t="s">
        <v>8215</v>
      </c>
      <c r="C8191" s="3" t="s">
        <v>6</v>
      </c>
      <c r="D8191" s="5">
        <f t="shared" si="256"/>
        <v>1033.17</v>
      </c>
      <c r="E8191">
        <v>1134.1099999999999</v>
      </c>
      <c r="F8191" s="1789">
        <v>8.8999999999999996E-2</v>
      </c>
      <c r="G8191">
        <f t="shared" si="257"/>
        <v>1033.17</v>
      </c>
    </row>
    <row r="8192" spans="1:7" ht="12.75" customHeight="1">
      <c r="A8192" s="3">
        <v>100597</v>
      </c>
      <c r="B8192" s="4" t="s">
        <v>8216</v>
      </c>
      <c r="C8192" s="3" t="s">
        <v>6</v>
      </c>
      <c r="D8192" s="5">
        <f t="shared" si="256"/>
        <v>1064.33</v>
      </c>
      <c r="E8192">
        <v>1168.31</v>
      </c>
      <c r="F8192" s="1789">
        <v>8.8999999999999996E-2</v>
      </c>
      <c r="G8192">
        <f t="shared" si="257"/>
        <v>1064.33</v>
      </c>
    </row>
    <row r="8193" spans="1:7" ht="12.75" customHeight="1">
      <c r="A8193" s="3">
        <v>100598</v>
      </c>
      <c r="B8193" s="4" t="s">
        <v>8217</v>
      </c>
      <c r="C8193" s="3" t="s">
        <v>6</v>
      </c>
      <c r="D8193" s="5">
        <f t="shared" si="256"/>
        <v>1153.1099999999999</v>
      </c>
      <c r="E8193">
        <v>1265.77</v>
      </c>
      <c r="F8193" s="1789">
        <v>8.8999999999999996E-2</v>
      </c>
      <c r="G8193">
        <f t="shared" si="257"/>
        <v>1153.1099999999999</v>
      </c>
    </row>
    <row r="8194" spans="1:7" ht="12.75" customHeight="1">
      <c r="A8194" s="3">
        <v>100599</v>
      </c>
      <c r="B8194" s="4" t="s">
        <v>8218</v>
      </c>
      <c r="C8194" s="3" t="s">
        <v>6</v>
      </c>
      <c r="D8194" s="5">
        <f t="shared" si="256"/>
        <v>496.86</v>
      </c>
      <c r="E8194">
        <v>545.41</v>
      </c>
      <c r="F8194" s="1789">
        <v>8.8999999999999996E-2</v>
      </c>
      <c r="G8194">
        <f t="shared" si="257"/>
        <v>496.86</v>
      </c>
    </row>
    <row r="8195" spans="1:7" ht="12.75" customHeight="1">
      <c r="A8195" s="3">
        <v>100600</v>
      </c>
      <c r="B8195" s="4" t="s">
        <v>8219</v>
      </c>
      <c r="C8195" s="3" t="s">
        <v>6</v>
      </c>
      <c r="D8195" s="5">
        <f t="shared" si="256"/>
        <v>587.25</v>
      </c>
      <c r="E8195">
        <v>644.63</v>
      </c>
      <c r="F8195" s="1789">
        <v>8.8999999999999996E-2</v>
      </c>
      <c r="G8195">
        <f t="shared" si="257"/>
        <v>587.25</v>
      </c>
    </row>
    <row r="8196" spans="1:7" ht="12.75" customHeight="1">
      <c r="A8196" s="3">
        <v>100601</v>
      </c>
      <c r="B8196" s="4" t="s">
        <v>8220</v>
      </c>
      <c r="C8196" s="3" t="s">
        <v>6</v>
      </c>
      <c r="D8196" s="5">
        <f t="shared" si="256"/>
        <v>743.89</v>
      </c>
      <c r="E8196">
        <v>816.57</v>
      </c>
      <c r="F8196" s="1789">
        <v>8.8999999999999996E-2</v>
      </c>
      <c r="G8196">
        <f t="shared" si="257"/>
        <v>743.89</v>
      </c>
    </row>
    <row r="8197" spans="1:7" ht="12.75" customHeight="1">
      <c r="A8197" s="3">
        <v>100602</v>
      </c>
      <c r="B8197" s="4" t="s">
        <v>8221</v>
      </c>
      <c r="C8197" s="3" t="s">
        <v>6</v>
      </c>
      <c r="D8197" s="5">
        <f t="shared" si="256"/>
        <v>939.25</v>
      </c>
      <c r="E8197">
        <v>1031.01</v>
      </c>
      <c r="F8197" s="1789">
        <v>8.8999999999999996E-2</v>
      </c>
      <c r="G8197">
        <f t="shared" si="257"/>
        <v>939.25</v>
      </c>
    </row>
    <row r="8198" spans="1:7" ht="12.75" customHeight="1">
      <c r="A8198" s="3">
        <v>100603</v>
      </c>
      <c r="B8198" s="4" t="s">
        <v>8222</v>
      </c>
      <c r="C8198" s="3" t="s">
        <v>6</v>
      </c>
      <c r="D8198" s="5">
        <f t="shared" si="256"/>
        <v>1440.4</v>
      </c>
      <c r="E8198">
        <v>1581.12</v>
      </c>
      <c r="F8198" s="1789">
        <v>8.8999999999999996E-2</v>
      </c>
      <c r="G8198">
        <f t="shared" si="257"/>
        <v>1440.4</v>
      </c>
    </row>
    <row r="8199" spans="1:7" ht="12.75" customHeight="1">
      <c r="A8199" s="3">
        <v>100604</v>
      </c>
      <c r="B8199" s="4" t="s">
        <v>8223</v>
      </c>
      <c r="C8199" s="3" t="s">
        <v>6</v>
      </c>
      <c r="D8199" s="5">
        <f t="shared" si="256"/>
        <v>623.74</v>
      </c>
      <c r="E8199">
        <v>684.68</v>
      </c>
      <c r="F8199" s="1789">
        <v>8.8999999999999996E-2</v>
      </c>
      <c r="G8199">
        <f t="shared" si="257"/>
        <v>623.74</v>
      </c>
    </row>
    <row r="8200" spans="1:7" ht="12.75" customHeight="1">
      <c r="A8200" s="3">
        <v>100605</v>
      </c>
      <c r="B8200" s="4" t="s">
        <v>8224</v>
      </c>
      <c r="C8200" s="3" t="s">
        <v>6</v>
      </c>
      <c r="D8200" s="5">
        <f t="shared" si="256"/>
        <v>983.38</v>
      </c>
      <c r="E8200">
        <v>1079.46</v>
      </c>
      <c r="F8200" s="1789">
        <v>8.8999999999999996E-2</v>
      </c>
      <c r="G8200">
        <f t="shared" si="257"/>
        <v>983.38</v>
      </c>
    </row>
    <row r="8201" spans="1:7" ht="12.75" customHeight="1">
      <c r="A8201" s="3">
        <v>100606</v>
      </c>
      <c r="B8201" s="4" t="s">
        <v>8225</v>
      </c>
      <c r="C8201" s="3" t="s">
        <v>6</v>
      </c>
      <c r="D8201" s="5">
        <f t="shared" si="256"/>
        <v>1494.27</v>
      </c>
      <c r="E8201">
        <v>1640.26</v>
      </c>
      <c r="F8201" s="1789">
        <v>8.8999999999999996E-2</v>
      </c>
      <c r="G8201">
        <f t="shared" si="257"/>
        <v>1494.27</v>
      </c>
    </row>
    <row r="8202" spans="1:7" ht="12.75" customHeight="1">
      <c r="A8202" s="3">
        <v>100607</v>
      </c>
      <c r="B8202" s="4" t="s">
        <v>8226</v>
      </c>
      <c r="C8202" s="3" t="s">
        <v>6</v>
      </c>
      <c r="D8202" s="5">
        <f t="shared" si="256"/>
        <v>641.07000000000005</v>
      </c>
      <c r="E8202">
        <v>703.7</v>
      </c>
      <c r="F8202" s="1789">
        <v>8.8999999999999996E-2</v>
      </c>
      <c r="G8202">
        <f t="shared" si="257"/>
        <v>641.07000000000005</v>
      </c>
    </row>
    <row r="8203" spans="1:7" ht="12.75" customHeight="1">
      <c r="A8203" s="3">
        <v>100608</v>
      </c>
      <c r="B8203" s="4" t="s">
        <v>8227</v>
      </c>
      <c r="C8203" s="3" t="s">
        <v>6</v>
      </c>
      <c r="D8203" s="5">
        <f t="shared" si="256"/>
        <v>1005.13</v>
      </c>
      <c r="E8203">
        <v>1103.33</v>
      </c>
      <c r="F8203" s="1789">
        <v>8.8999999999999996E-2</v>
      </c>
      <c r="G8203">
        <f t="shared" si="257"/>
        <v>1005.13</v>
      </c>
    </row>
    <row r="8204" spans="1:7" ht="12.75" customHeight="1">
      <c r="A8204" s="3">
        <v>100609</v>
      </c>
      <c r="B8204" s="4" t="s">
        <v>8228</v>
      </c>
      <c r="C8204" s="3" t="s">
        <v>6</v>
      </c>
      <c r="D8204" s="5">
        <f t="shared" si="256"/>
        <v>1522.96</v>
      </c>
      <c r="E8204">
        <v>1671.75</v>
      </c>
      <c r="F8204" s="1789">
        <v>8.8999999999999996E-2</v>
      </c>
      <c r="G8204">
        <f t="shared" si="257"/>
        <v>1522.96</v>
      </c>
    </row>
    <row r="8205" spans="1:7" ht="12.75" customHeight="1">
      <c r="A8205" s="3">
        <v>100610</v>
      </c>
      <c r="B8205" s="4" t="s">
        <v>8229</v>
      </c>
      <c r="C8205" s="3" t="s">
        <v>6</v>
      </c>
      <c r="D8205" s="5">
        <f t="shared" si="256"/>
        <v>658.37</v>
      </c>
      <c r="E8205">
        <v>722.69</v>
      </c>
      <c r="F8205" s="1789">
        <v>8.8999999999999996E-2</v>
      </c>
      <c r="G8205">
        <f t="shared" si="257"/>
        <v>658.37</v>
      </c>
    </row>
    <row r="8206" spans="1:7" ht="12.75" customHeight="1">
      <c r="A8206" s="3">
        <v>100611</v>
      </c>
      <c r="B8206" s="4" t="s">
        <v>8230</v>
      </c>
      <c r="C8206" s="3" t="s">
        <v>6</v>
      </c>
      <c r="D8206" s="5">
        <f t="shared" si="256"/>
        <v>821.74</v>
      </c>
      <c r="E8206">
        <v>902.02</v>
      </c>
      <c r="F8206" s="1789">
        <v>8.8999999999999996E-2</v>
      </c>
      <c r="G8206">
        <f t="shared" si="257"/>
        <v>821.74</v>
      </c>
    </row>
    <row r="8207" spans="1:7" ht="12.75" customHeight="1">
      <c r="A8207" s="3">
        <v>100612</v>
      </c>
      <c r="B8207" s="4" t="s">
        <v>8231</v>
      </c>
      <c r="C8207" s="3" t="s">
        <v>6</v>
      </c>
      <c r="D8207" s="5">
        <f t="shared" si="256"/>
        <v>1026.47</v>
      </c>
      <c r="E8207">
        <v>1126.76</v>
      </c>
      <c r="F8207" s="1789">
        <v>8.8999999999999996E-2</v>
      </c>
      <c r="G8207">
        <f t="shared" si="257"/>
        <v>1026.47</v>
      </c>
    </row>
    <row r="8208" spans="1:7" ht="12.75" customHeight="1">
      <c r="A8208" s="3">
        <v>100613</v>
      </c>
      <c r="B8208" s="4" t="s">
        <v>8232</v>
      </c>
      <c r="C8208" s="3" t="s">
        <v>6</v>
      </c>
      <c r="D8208" s="5">
        <f t="shared" si="256"/>
        <v>1550.91</v>
      </c>
      <c r="E8208">
        <v>1702.43</v>
      </c>
      <c r="F8208" s="1789">
        <v>8.8999999999999996E-2</v>
      </c>
      <c r="G8208">
        <f t="shared" si="257"/>
        <v>1550.91</v>
      </c>
    </row>
    <row r="8209" spans="1:7" ht="12.75" customHeight="1">
      <c r="A8209" s="3">
        <v>100614</v>
      </c>
      <c r="B8209" s="4" t="s">
        <v>8233</v>
      </c>
      <c r="C8209" s="3" t="s">
        <v>6</v>
      </c>
      <c r="D8209" s="5">
        <f t="shared" si="256"/>
        <v>859.99</v>
      </c>
      <c r="E8209">
        <v>944.01</v>
      </c>
      <c r="F8209" s="1789">
        <v>8.8999999999999996E-2</v>
      </c>
      <c r="G8209">
        <f t="shared" si="257"/>
        <v>859.99</v>
      </c>
    </row>
    <row r="8210" spans="1:7" ht="12.75" customHeight="1">
      <c r="A8210" s="3">
        <v>100615</v>
      </c>
      <c r="B8210" s="4" t="s">
        <v>8234</v>
      </c>
      <c r="C8210" s="3" t="s">
        <v>6</v>
      </c>
      <c r="D8210" s="5">
        <f t="shared" si="256"/>
        <v>1068.78</v>
      </c>
      <c r="E8210">
        <v>1173.2</v>
      </c>
      <c r="F8210" s="1789">
        <v>8.8999999999999996E-2</v>
      </c>
      <c r="G8210">
        <f t="shared" si="257"/>
        <v>1068.78</v>
      </c>
    </row>
    <row r="8211" spans="1:7" ht="12.75" customHeight="1">
      <c r="A8211" s="3">
        <v>100616</v>
      </c>
      <c r="B8211" s="4" t="s">
        <v>8235</v>
      </c>
      <c r="C8211" s="3" t="s">
        <v>6</v>
      </c>
      <c r="D8211" s="5">
        <f t="shared" si="256"/>
        <v>1609.42</v>
      </c>
      <c r="E8211">
        <v>1766.66</v>
      </c>
      <c r="F8211" s="1789">
        <v>8.8999999999999996E-2</v>
      </c>
      <c r="G8211">
        <f t="shared" si="257"/>
        <v>1609.42</v>
      </c>
    </row>
    <row r="8212" spans="1:7" ht="12.75" customHeight="1">
      <c r="A8212" s="3">
        <v>100617</v>
      </c>
      <c r="B8212" s="4" t="s">
        <v>8236</v>
      </c>
      <c r="C8212" s="3" t="s">
        <v>6</v>
      </c>
      <c r="D8212" s="5">
        <f t="shared" si="256"/>
        <v>1110.8599999999999</v>
      </c>
      <c r="E8212">
        <v>1219.3900000000001</v>
      </c>
      <c r="F8212" s="1789">
        <v>8.8999999999999996E-2</v>
      </c>
      <c r="G8212">
        <f t="shared" si="257"/>
        <v>1110.8599999999999</v>
      </c>
    </row>
    <row r="8213" spans="1:7" ht="12.75" customHeight="1">
      <c r="A8213" s="3">
        <v>100618</v>
      </c>
      <c r="B8213" s="4" t="s">
        <v>8237</v>
      </c>
      <c r="C8213" s="3" t="s">
        <v>6</v>
      </c>
      <c r="D8213" s="5">
        <f t="shared" ref="D8213:D8276" si="258">G8213</f>
        <v>1674.74</v>
      </c>
      <c r="E8213">
        <v>1838.36</v>
      </c>
      <c r="F8213" s="1789">
        <v>8.8999999999999996E-2</v>
      </c>
      <c r="G8213">
        <f t="shared" ref="G8213:G8276" si="259">TRUNC((1-F8213)*E8213,2)</f>
        <v>1674.74</v>
      </c>
    </row>
    <row r="8214" spans="1:7" ht="12.75" customHeight="1">
      <c r="A8214" s="3">
        <v>100619</v>
      </c>
      <c r="B8214" s="4" t="s">
        <v>8238</v>
      </c>
      <c r="C8214" s="3" t="s">
        <v>6</v>
      </c>
      <c r="D8214" s="5">
        <f t="shared" si="258"/>
        <v>514.26</v>
      </c>
      <c r="E8214">
        <v>564.51</v>
      </c>
      <c r="F8214" s="1789">
        <v>8.8999999999999996E-2</v>
      </c>
      <c r="G8214">
        <f t="shared" si="259"/>
        <v>514.26</v>
      </c>
    </row>
    <row r="8215" spans="1:7" ht="12.75" customHeight="1">
      <c r="A8215" s="3">
        <v>100620</v>
      </c>
      <c r="B8215" s="4" t="s">
        <v>8239</v>
      </c>
      <c r="C8215" s="3" t="s">
        <v>6</v>
      </c>
      <c r="D8215" s="5">
        <f t="shared" si="258"/>
        <v>2450.48</v>
      </c>
      <c r="E8215">
        <v>2689.88</v>
      </c>
      <c r="F8215" s="1789">
        <v>8.8999999999999996E-2</v>
      </c>
      <c r="G8215">
        <f t="shared" si="259"/>
        <v>2450.48</v>
      </c>
    </row>
    <row r="8216" spans="1:7" ht="12.75" customHeight="1">
      <c r="A8216" s="3">
        <v>100621</v>
      </c>
      <c r="B8216" s="4" t="s">
        <v>8240</v>
      </c>
      <c r="C8216" s="3" t="s">
        <v>6</v>
      </c>
      <c r="D8216" s="5">
        <f t="shared" si="258"/>
        <v>2849.68</v>
      </c>
      <c r="E8216">
        <v>3128.08</v>
      </c>
      <c r="F8216" s="1789">
        <v>8.8999999999999996E-2</v>
      </c>
      <c r="G8216">
        <f t="shared" si="259"/>
        <v>2849.68</v>
      </c>
    </row>
    <row r="8217" spans="1:7" ht="12.75" customHeight="1">
      <c r="A8217" s="3">
        <v>100622</v>
      </c>
      <c r="B8217" s="4" t="s">
        <v>8241</v>
      </c>
      <c r="C8217" s="3" t="s">
        <v>6</v>
      </c>
      <c r="D8217" s="5">
        <f t="shared" si="258"/>
        <v>2167.77</v>
      </c>
      <c r="E8217">
        <v>2379.56</v>
      </c>
      <c r="F8217" s="1789">
        <v>8.8999999999999996E-2</v>
      </c>
      <c r="G8217">
        <f t="shared" si="259"/>
        <v>2167.77</v>
      </c>
    </row>
    <row r="8218" spans="1:7" ht="12.75" customHeight="1">
      <c r="A8218" s="3">
        <v>100623</v>
      </c>
      <c r="B8218" s="4" t="s">
        <v>8242</v>
      </c>
      <c r="C8218" s="3" t="s">
        <v>6</v>
      </c>
      <c r="D8218" s="5">
        <f t="shared" si="258"/>
        <v>2336.13</v>
      </c>
      <c r="E8218">
        <v>2564.36</v>
      </c>
      <c r="F8218" s="1789">
        <v>8.8999999999999996E-2</v>
      </c>
      <c r="G8218">
        <f t="shared" si="259"/>
        <v>2336.13</v>
      </c>
    </row>
    <row r="8219" spans="1:7" ht="12.75" customHeight="1">
      <c r="A8219" s="3">
        <v>97605</v>
      </c>
      <c r="B8219" s="4" t="s">
        <v>8243</v>
      </c>
      <c r="C8219" s="3" t="s">
        <v>6</v>
      </c>
      <c r="D8219" s="5">
        <f t="shared" si="258"/>
        <v>84.12</v>
      </c>
      <c r="E8219">
        <v>92.34</v>
      </c>
      <c r="F8219" s="1789">
        <v>8.8999999999999996E-2</v>
      </c>
      <c r="G8219">
        <f t="shared" si="259"/>
        <v>84.12</v>
      </c>
    </row>
    <row r="8220" spans="1:7" ht="12.75" customHeight="1">
      <c r="A8220" s="3">
        <v>97607</v>
      </c>
      <c r="B8220" s="4" t="s">
        <v>8244</v>
      </c>
      <c r="C8220" s="3" t="s">
        <v>6</v>
      </c>
      <c r="D8220" s="5">
        <f t="shared" si="258"/>
        <v>102.25</v>
      </c>
      <c r="E8220">
        <v>112.25</v>
      </c>
      <c r="F8220" s="1789">
        <v>8.8999999999999996E-2</v>
      </c>
      <c r="G8220">
        <f t="shared" si="259"/>
        <v>102.25</v>
      </c>
    </row>
    <row r="8221" spans="1:7" ht="12.75" customHeight="1">
      <c r="A8221" s="3">
        <v>102102</v>
      </c>
      <c r="B8221" s="4" t="s">
        <v>8245</v>
      </c>
      <c r="C8221" s="3" t="s">
        <v>6</v>
      </c>
      <c r="D8221" s="5">
        <f t="shared" si="258"/>
        <v>17854.14</v>
      </c>
      <c r="E8221">
        <v>19598.400000000001</v>
      </c>
      <c r="F8221" s="1789">
        <v>8.8999999999999996E-2</v>
      </c>
      <c r="G8221">
        <f t="shared" si="259"/>
        <v>17854.14</v>
      </c>
    </row>
    <row r="8222" spans="1:7" ht="12.75" customHeight="1">
      <c r="A8222" s="3">
        <v>102103</v>
      </c>
      <c r="B8222" s="4" t="s">
        <v>8246</v>
      </c>
      <c r="C8222" s="3" t="s">
        <v>6</v>
      </c>
      <c r="D8222" s="5">
        <f t="shared" si="258"/>
        <v>19904.43</v>
      </c>
      <c r="E8222">
        <v>21849</v>
      </c>
      <c r="F8222" s="1789">
        <v>8.8999999999999996E-2</v>
      </c>
      <c r="G8222">
        <f t="shared" si="259"/>
        <v>19904.43</v>
      </c>
    </row>
    <row r="8223" spans="1:7" ht="12.75" customHeight="1">
      <c r="A8223" s="3">
        <v>102104</v>
      </c>
      <c r="B8223" s="4" t="s">
        <v>8247</v>
      </c>
      <c r="C8223" s="3" t="s">
        <v>6</v>
      </c>
      <c r="D8223" s="5">
        <f t="shared" si="258"/>
        <v>25632.36</v>
      </c>
      <c r="E8223">
        <v>28136.51</v>
      </c>
      <c r="F8223" s="1789">
        <v>8.8999999999999996E-2</v>
      </c>
      <c r="G8223">
        <f t="shared" si="259"/>
        <v>25632.36</v>
      </c>
    </row>
    <row r="8224" spans="1:7" ht="12.75" customHeight="1">
      <c r="A8224" s="3">
        <v>102105</v>
      </c>
      <c r="B8224" s="4" t="s">
        <v>8248</v>
      </c>
      <c r="C8224" s="3" t="s">
        <v>6</v>
      </c>
      <c r="D8224" s="5">
        <f t="shared" si="258"/>
        <v>31584.54</v>
      </c>
      <c r="E8224">
        <v>34670.19</v>
      </c>
      <c r="F8224" s="1789">
        <v>8.8999999999999996E-2</v>
      </c>
      <c r="G8224">
        <f t="shared" si="259"/>
        <v>31584.54</v>
      </c>
    </row>
    <row r="8225" spans="1:7" ht="12.75" customHeight="1">
      <c r="A8225" s="3">
        <v>102106</v>
      </c>
      <c r="B8225" s="4" t="s">
        <v>8249</v>
      </c>
      <c r="C8225" s="3" t="s">
        <v>6</v>
      </c>
      <c r="D8225" s="5">
        <f t="shared" si="258"/>
        <v>39722.559999999998</v>
      </c>
      <c r="E8225">
        <v>43603.26</v>
      </c>
      <c r="F8225" s="1789">
        <v>8.8999999999999996E-2</v>
      </c>
      <c r="G8225">
        <f t="shared" si="259"/>
        <v>39722.559999999998</v>
      </c>
    </row>
    <row r="8226" spans="1:7" ht="12.75" customHeight="1">
      <c r="A8226" s="3">
        <v>102107</v>
      </c>
      <c r="B8226" s="4" t="s">
        <v>8250</v>
      </c>
      <c r="C8226" s="3" t="s">
        <v>6</v>
      </c>
      <c r="D8226" s="5">
        <f t="shared" si="258"/>
        <v>55571.58</v>
      </c>
      <c r="E8226">
        <v>61000.639999999999</v>
      </c>
      <c r="F8226" s="1789">
        <v>8.8999999999999996E-2</v>
      </c>
      <c r="G8226">
        <f t="shared" si="259"/>
        <v>55571.58</v>
      </c>
    </row>
    <row r="8227" spans="1:7" ht="12.75" customHeight="1">
      <c r="A8227" s="3">
        <v>102108</v>
      </c>
      <c r="B8227" s="4" t="s">
        <v>8251</v>
      </c>
      <c r="C8227" s="3" t="s">
        <v>6</v>
      </c>
      <c r="D8227" s="5">
        <f t="shared" si="258"/>
        <v>64771.61</v>
      </c>
      <c r="E8227">
        <v>71099.47</v>
      </c>
      <c r="F8227" s="1789">
        <v>8.8999999999999996E-2</v>
      </c>
      <c r="G8227">
        <f t="shared" si="259"/>
        <v>64771.61</v>
      </c>
    </row>
    <row r="8228" spans="1:7" ht="12.75" customHeight="1">
      <c r="A8228" s="3">
        <v>102109</v>
      </c>
      <c r="B8228" s="4" t="s">
        <v>8252</v>
      </c>
      <c r="C8228" s="3" t="s">
        <v>6</v>
      </c>
      <c r="D8228" s="5">
        <f t="shared" si="258"/>
        <v>64.95</v>
      </c>
      <c r="E8228">
        <v>71.3</v>
      </c>
      <c r="F8228" s="1789">
        <v>8.8999999999999996E-2</v>
      </c>
      <c r="G8228">
        <f t="shared" si="259"/>
        <v>64.95</v>
      </c>
    </row>
    <row r="8229" spans="1:7" ht="12.75" customHeight="1">
      <c r="A8229" s="3">
        <v>102110</v>
      </c>
      <c r="B8229" s="4" t="s">
        <v>8253</v>
      </c>
      <c r="C8229" s="3" t="s">
        <v>6</v>
      </c>
      <c r="D8229" s="5">
        <f t="shared" si="258"/>
        <v>217.2</v>
      </c>
      <c r="E8229">
        <v>238.42</v>
      </c>
      <c r="F8229" s="1789">
        <v>8.8999999999999996E-2</v>
      </c>
      <c r="G8229">
        <f t="shared" si="259"/>
        <v>217.2</v>
      </c>
    </row>
    <row r="8230" spans="1:7" ht="12.75" customHeight="1">
      <c r="A8230" s="3">
        <v>103654</v>
      </c>
      <c r="B8230" s="4" t="s">
        <v>8254</v>
      </c>
      <c r="C8230" s="3" t="s">
        <v>6</v>
      </c>
      <c r="D8230" s="5">
        <f t="shared" si="258"/>
        <v>105283.29</v>
      </c>
      <c r="E8230">
        <v>115568.93</v>
      </c>
      <c r="F8230" s="1789">
        <v>8.8999999999999996E-2</v>
      </c>
      <c r="G8230">
        <f t="shared" si="259"/>
        <v>105283.29</v>
      </c>
    </row>
    <row r="8231" spans="1:7" ht="12.75" customHeight="1">
      <c r="A8231" s="3">
        <v>103655</v>
      </c>
      <c r="B8231" s="4" t="s">
        <v>8255</v>
      </c>
      <c r="C8231" s="3" t="s">
        <v>6</v>
      </c>
      <c r="D8231" s="5">
        <f t="shared" si="258"/>
        <v>144315.64000000001</v>
      </c>
      <c r="E8231">
        <v>158414.54</v>
      </c>
      <c r="F8231" s="1789">
        <v>8.8999999999999996E-2</v>
      </c>
      <c r="G8231">
        <f t="shared" si="259"/>
        <v>144315.64000000001</v>
      </c>
    </row>
    <row r="8232" spans="1:7" ht="12.75" customHeight="1">
      <c r="A8232" s="3">
        <v>103656</v>
      </c>
      <c r="B8232" s="4" t="s">
        <v>8256</v>
      </c>
      <c r="C8232" s="3" t="s">
        <v>6</v>
      </c>
      <c r="D8232" s="5">
        <f t="shared" si="258"/>
        <v>201911.28</v>
      </c>
      <c r="E8232">
        <v>221636.98</v>
      </c>
      <c r="F8232" s="1789">
        <v>8.8999999999999996E-2</v>
      </c>
      <c r="G8232">
        <f t="shared" si="259"/>
        <v>201911.28</v>
      </c>
    </row>
    <row r="8233" spans="1:7" ht="12.75" customHeight="1">
      <c r="A8233" s="3">
        <v>96973</v>
      </c>
      <c r="B8233" s="4" t="s">
        <v>8257</v>
      </c>
      <c r="C8233" s="3" t="s">
        <v>50</v>
      </c>
      <c r="D8233" s="5">
        <f t="shared" si="258"/>
        <v>65.11</v>
      </c>
      <c r="E8233">
        <v>71.48</v>
      </c>
      <c r="F8233" s="1789">
        <v>8.8999999999999996E-2</v>
      </c>
      <c r="G8233">
        <f t="shared" si="259"/>
        <v>65.11</v>
      </c>
    </row>
    <row r="8234" spans="1:7" ht="12.75" customHeight="1">
      <c r="A8234" s="3">
        <v>96974</v>
      </c>
      <c r="B8234" s="4" t="s">
        <v>8258</v>
      </c>
      <c r="C8234" s="3" t="s">
        <v>50</v>
      </c>
      <c r="D8234" s="5">
        <f t="shared" si="258"/>
        <v>84.44</v>
      </c>
      <c r="E8234">
        <v>92.7</v>
      </c>
      <c r="F8234" s="1789">
        <v>8.8999999999999996E-2</v>
      </c>
      <c r="G8234">
        <f t="shared" si="259"/>
        <v>84.44</v>
      </c>
    </row>
    <row r="8235" spans="1:7" ht="12.75" customHeight="1">
      <c r="A8235" s="3">
        <v>96975</v>
      </c>
      <c r="B8235" s="4" t="s">
        <v>8259</v>
      </c>
      <c r="C8235" s="3" t="s">
        <v>50</v>
      </c>
      <c r="D8235" s="5">
        <f t="shared" si="258"/>
        <v>104.83</v>
      </c>
      <c r="E8235">
        <v>115.08</v>
      </c>
      <c r="F8235" s="1789">
        <v>8.8999999999999996E-2</v>
      </c>
      <c r="G8235">
        <f t="shared" si="259"/>
        <v>104.83</v>
      </c>
    </row>
    <row r="8236" spans="1:7" ht="12.75" customHeight="1">
      <c r="A8236" s="3">
        <v>96976</v>
      </c>
      <c r="B8236" s="4" t="s">
        <v>8260</v>
      </c>
      <c r="C8236" s="3" t="s">
        <v>50</v>
      </c>
      <c r="D8236" s="5">
        <f t="shared" si="258"/>
        <v>139</v>
      </c>
      <c r="E8236">
        <v>152.58000000000001</v>
      </c>
      <c r="F8236" s="1789">
        <v>8.8999999999999996E-2</v>
      </c>
      <c r="G8236">
        <f t="shared" si="259"/>
        <v>139</v>
      </c>
    </row>
    <row r="8237" spans="1:7" ht="12.75" customHeight="1">
      <c r="A8237" s="3">
        <v>96977</v>
      </c>
      <c r="B8237" s="4" t="s">
        <v>8261</v>
      </c>
      <c r="C8237" s="3" t="s">
        <v>50</v>
      </c>
      <c r="D8237" s="5">
        <f t="shared" si="258"/>
        <v>55.82</v>
      </c>
      <c r="E8237">
        <v>61.28</v>
      </c>
      <c r="F8237" s="1789">
        <v>8.8999999999999996E-2</v>
      </c>
      <c r="G8237">
        <f t="shared" si="259"/>
        <v>55.82</v>
      </c>
    </row>
    <row r="8238" spans="1:7" ht="12.75" customHeight="1">
      <c r="A8238" s="3">
        <v>96978</v>
      </c>
      <c r="B8238" s="4" t="s">
        <v>8262</v>
      </c>
      <c r="C8238" s="3" t="s">
        <v>50</v>
      </c>
      <c r="D8238" s="5">
        <f t="shared" si="258"/>
        <v>73.569999999999993</v>
      </c>
      <c r="E8238">
        <v>80.760000000000005</v>
      </c>
      <c r="F8238" s="1789">
        <v>8.8999999999999996E-2</v>
      </c>
      <c r="G8238">
        <f t="shared" si="259"/>
        <v>73.569999999999993</v>
      </c>
    </row>
    <row r="8239" spans="1:7" ht="12.75" customHeight="1">
      <c r="A8239" s="3">
        <v>96979</v>
      </c>
      <c r="B8239" s="4" t="s">
        <v>8263</v>
      </c>
      <c r="C8239" s="3" t="s">
        <v>50</v>
      </c>
      <c r="D8239" s="5">
        <f t="shared" si="258"/>
        <v>105.34</v>
      </c>
      <c r="E8239">
        <v>115.64</v>
      </c>
      <c r="F8239" s="1789">
        <v>8.8999999999999996E-2</v>
      </c>
      <c r="G8239">
        <f t="shared" si="259"/>
        <v>105.34</v>
      </c>
    </row>
    <row r="8240" spans="1:7" ht="12.75" customHeight="1">
      <c r="A8240" s="3">
        <v>96984</v>
      </c>
      <c r="B8240" s="4" t="s">
        <v>8264</v>
      </c>
      <c r="C8240" s="3" t="s">
        <v>6</v>
      </c>
      <c r="D8240" s="5">
        <f t="shared" si="258"/>
        <v>50.31</v>
      </c>
      <c r="E8240">
        <v>55.23</v>
      </c>
      <c r="F8240" s="1789">
        <v>8.8999999999999996E-2</v>
      </c>
      <c r="G8240">
        <f t="shared" si="259"/>
        <v>50.31</v>
      </c>
    </row>
    <row r="8241" spans="1:7" ht="12.75" customHeight="1">
      <c r="A8241" s="3">
        <v>96985</v>
      </c>
      <c r="B8241" s="4" t="s">
        <v>8265</v>
      </c>
      <c r="C8241" s="3" t="s">
        <v>6</v>
      </c>
      <c r="D8241" s="5">
        <f t="shared" si="258"/>
        <v>68.37</v>
      </c>
      <c r="E8241">
        <v>75.06</v>
      </c>
      <c r="F8241" s="1789">
        <v>8.8999999999999996E-2</v>
      </c>
      <c r="G8241">
        <f t="shared" si="259"/>
        <v>68.37</v>
      </c>
    </row>
    <row r="8242" spans="1:7" ht="12.75" customHeight="1">
      <c r="A8242" s="3">
        <v>96986</v>
      </c>
      <c r="B8242" s="4" t="s">
        <v>8266</v>
      </c>
      <c r="C8242" s="3" t="s">
        <v>6</v>
      </c>
      <c r="D8242" s="5">
        <f t="shared" si="258"/>
        <v>102.1</v>
      </c>
      <c r="E8242">
        <v>112.08</v>
      </c>
      <c r="F8242" s="1789">
        <v>8.8999999999999996E-2</v>
      </c>
      <c r="G8242">
        <f t="shared" si="259"/>
        <v>102.1</v>
      </c>
    </row>
    <row r="8243" spans="1:7" ht="12.75" customHeight="1">
      <c r="A8243" s="3">
        <v>96987</v>
      </c>
      <c r="B8243" s="4" t="s">
        <v>8267</v>
      </c>
      <c r="C8243" s="3" t="s">
        <v>6</v>
      </c>
      <c r="D8243" s="5">
        <f t="shared" si="258"/>
        <v>117.06</v>
      </c>
      <c r="E8243">
        <v>128.5</v>
      </c>
      <c r="F8243" s="1789">
        <v>8.8999999999999996E-2</v>
      </c>
      <c r="G8243">
        <f t="shared" si="259"/>
        <v>117.06</v>
      </c>
    </row>
    <row r="8244" spans="1:7" ht="12.75" customHeight="1">
      <c r="A8244" s="3">
        <v>96988</v>
      </c>
      <c r="B8244" s="4" t="s">
        <v>8268</v>
      </c>
      <c r="C8244" s="3" t="s">
        <v>6</v>
      </c>
      <c r="D8244" s="5">
        <f t="shared" si="258"/>
        <v>175.4</v>
      </c>
      <c r="E8244">
        <v>192.54</v>
      </c>
      <c r="F8244" s="1789">
        <v>8.8999999999999996E-2</v>
      </c>
      <c r="G8244">
        <f t="shared" si="259"/>
        <v>175.4</v>
      </c>
    </row>
    <row r="8245" spans="1:7" ht="12.75" customHeight="1">
      <c r="A8245" s="3">
        <v>96989</v>
      </c>
      <c r="B8245" s="4" t="s">
        <v>8269</v>
      </c>
      <c r="C8245" s="3" t="s">
        <v>6</v>
      </c>
      <c r="D8245" s="5">
        <f t="shared" si="258"/>
        <v>146.88</v>
      </c>
      <c r="E8245">
        <v>161.24</v>
      </c>
      <c r="F8245" s="1789">
        <v>8.8999999999999996E-2</v>
      </c>
      <c r="G8245">
        <f t="shared" si="259"/>
        <v>146.88</v>
      </c>
    </row>
    <row r="8246" spans="1:7" ht="12.75" customHeight="1">
      <c r="A8246" s="3">
        <v>98463</v>
      </c>
      <c r="B8246" s="4" t="s">
        <v>8270</v>
      </c>
      <c r="C8246" s="3" t="s">
        <v>6</v>
      </c>
      <c r="D8246" s="5">
        <f t="shared" si="258"/>
        <v>23.94</v>
      </c>
      <c r="E8246">
        <v>26.28</v>
      </c>
      <c r="F8246" s="1789">
        <v>8.8999999999999996E-2</v>
      </c>
      <c r="G8246">
        <f t="shared" si="259"/>
        <v>23.94</v>
      </c>
    </row>
    <row r="8247" spans="1:7" ht="12.75" customHeight="1">
      <c r="A8247" s="3">
        <v>104746</v>
      </c>
      <c r="B8247" s="4" t="s">
        <v>8271</v>
      </c>
      <c r="C8247" s="3" t="s">
        <v>6</v>
      </c>
      <c r="D8247" s="5">
        <f t="shared" si="258"/>
        <v>26.3</v>
      </c>
      <c r="E8247">
        <v>28.88</v>
      </c>
      <c r="F8247" s="1789">
        <v>8.8999999999999996E-2</v>
      </c>
      <c r="G8247">
        <f t="shared" si="259"/>
        <v>26.3</v>
      </c>
    </row>
    <row r="8248" spans="1:7" ht="12.75" customHeight="1">
      <c r="A8248" s="3">
        <v>104749</v>
      </c>
      <c r="B8248" s="4" t="s">
        <v>8272</v>
      </c>
      <c r="C8248" s="3" t="s">
        <v>6</v>
      </c>
      <c r="D8248" s="5">
        <f t="shared" si="258"/>
        <v>17.03</v>
      </c>
      <c r="E8248">
        <v>18.7</v>
      </c>
      <c r="F8248" s="1789">
        <v>8.8999999999999996E-2</v>
      </c>
      <c r="G8248">
        <f t="shared" si="259"/>
        <v>17.03</v>
      </c>
    </row>
    <row r="8249" spans="1:7" ht="12.75" customHeight="1">
      <c r="A8249" s="3">
        <v>104750</v>
      </c>
      <c r="B8249" s="4" t="s">
        <v>8273</v>
      </c>
      <c r="C8249" s="3" t="s">
        <v>6</v>
      </c>
      <c r="D8249" s="5">
        <f t="shared" si="258"/>
        <v>13.69</v>
      </c>
      <c r="E8249">
        <v>15.03</v>
      </c>
      <c r="F8249" s="1789">
        <v>8.8999999999999996E-2</v>
      </c>
      <c r="G8249">
        <f t="shared" si="259"/>
        <v>13.69</v>
      </c>
    </row>
    <row r="8250" spans="1:7" ht="12.75" customHeight="1">
      <c r="A8250" s="3">
        <v>104751</v>
      </c>
      <c r="B8250" s="4" t="s">
        <v>8274</v>
      </c>
      <c r="C8250" s="3" t="s">
        <v>6</v>
      </c>
      <c r="D8250" s="5">
        <f t="shared" si="258"/>
        <v>19.420000000000002</v>
      </c>
      <c r="E8250">
        <v>21.32</v>
      </c>
      <c r="F8250" s="1789">
        <v>8.8999999999999996E-2</v>
      </c>
      <c r="G8250">
        <f t="shared" si="259"/>
        <v>19.420000000000002</v>
      </c>
    </row>
    <row r="8251" spans="1:7" ht="12.75" customHeight="1">
      <c r="A8251" s="3">
        <v>104752</v>
      </c>
      <c r="B8251" s="4" t="s">
        <v>8275</v>
      </c>
      <c r="C8251" s="3" t="s">
        <v>6</v>
      </c>
      <c r="D8251" s="5">
        <f t="shared" si="258"/>
        <v>19.54</v>
      </c>
      <c r="E8251">
        <v>21.45</v>
      </c>
      <c r="F8251" s="1789">
        <v>8.8999999999999996E-2</v>
      </c>
      <c r="G8251">
        <f t="shared" si="259"/>
        <v>19.54</v>
      </c>
    </row>
    <row r="8252" spans="1:7" ht="12.75" customHeight="1">
      <c r="A8252" s="3">
        <v>104753</v>
      </c>
      <c r="B8252" s="4" t="s">
        <v>8276</v>
      </c>
      <c r="C8252" s="3" t="s">
        <v>6</v>
      </c>
      <c r="D8252" s="5">
        <f t="shared" si="258"/>
        <v>24.08</v>
      </c>
      <c r="E8252">
        <v>26.44</v>
      </c>
      <c r="F8252" s="1789">
        <v>8.8999999999999996E-2</v>
      </c>
      <c r="G8252">
        <f t="shared" si="259"/>
        <v>24.08</v>
      </c>
    </row>
    <row r="8253" spans="1:7" ht="12.75" customHeight="1">
      <c r="A8253" s="3">
        <v>104754</v>
      </c>
      <c r="B8253" s="4" t="s">
        <v>8277</v>
      </c>
      <c r="C8253" s="3" t="s">
        <v>6</v>
      </c>
      <c r="D8253" s="5">
        <f t="shared" si="258"/>
        <v>31.89</v>
      </c>
      <c r="E8253">
        <v>35.01</v>
      </c>
      <c r="F8253" s="1789">
        <v>8.8999999999999996E-2</v>
      </c>
      <c r="G8253">
        <f t="shared" si="259"/>
        <v>31.89</v>
      </c>
    </row>
    <row r="8254" spans="1:7" ht="12.75" customHeight="1">
      <c r="A8254" s="3">
        <v>104755</v>
      </c>
      <c r="B8254" s="4" t="s">
        <v>8278</v>
      </c>
      <c r="C8254" s="3" t="s">
        <v>6</v>
      </c>
      <c r="D8254" s="5">
        <f t="shared" si="258"/>
        <v>43.99</v>
      </c>
      <c r="E8254">
        <v>48.29</v>
      </c>
      <c r="F8254" s="1789">
        <v>8.8999999999999996E-2</v>
      </c>
      <c r="G8254">
        <f t="shared" si="259"/>
        <v>43.99</v>
      </c>
    </row>
    <row r="8255" spans="1:7" ht="12.75" customHeight="1">
      <c r="A8255" s="3">
        <v>103490</v>
      </c>
      <c r="B8255" s="4" t="s">
        <v>8279</v>
      </c>
      <c r="C8255" s="3" t="s">
        <v>152</v>
      </c>
      <c r="D8255" s="5">
        <f t="shared" si="258"/>
        <v>2819.51</v>
      </c>
      <c r="E8255">
        <v>3094.97</v>
      </c>
      <c r="F8255" s="1789">
        <v>8.8999999999999996E-2</v>
      </c>
      <c r="G8255">
        <f t="shared" si="259"/>
        <v>2819.51</v>
      </c>
    </row>
    <row r="8256" spans="1:7" ht="12.75" customHeight="1">
      <c r="A8256" s="3">
        <v>103491</v>
      </c>
      <c r="B8256" s="4" t="s">
        <v>8280</v>
      </c>
      <c r="C8256" s="3" t="s">
        <v>152</v>
      </c>
      <c r="D8256" s="5">
        <f t="shared" si="258"/>
        <v>571.88</v>
      </c>
      <c r="E8256">
        <v>627.76</v>
      </c>
      <c r="F8256" s="1789">
        <v>8.8999999999999996E-2</v>
      </c>
      <c r="G8256">
        <f t="shared" si="259"/>
        <v>571.88</v>
      </c>
    </row>
    <row r="8257" spans="1:7" ht="12.75" customHeight="1">
      <c r="A8257" s="3">
        <v>104758</v>
      </c>
      <c r="B8257" s="4" t="s">
        <v>8281</v>
      </c>
      <c r="C8257" s="3" t="s">
        <v>6</v>
      </c>
      <c r="D8257" s="5">
        <f t="shared" si="258"/>
        <v>13.06</v>
      </c>
      <c r="E8257">
        <v>14.34</v>
      </c>
      <c r="F8257" s="1789">
        <v>8.8999999999999996E-2</v>
      </c>
      <c r="G8257">
        <f t="shared" si="259"/>
        <v>13.06</v>
      </c>
    </row>
    <row r="8258" spans="1:7" ht="12.75" customHeight="1">
      <c r="A8258" s="3">
        <v>104759</v>
      </c>
      <c r="B8258" s="4" t="s">
        <v>8282</v>
      </c>
      <c r="C8258" s="3" t="s">
        <v>6</v>
      </c>
      <c r="D8258" s="5">
        <f t="shared" si="258"/>
        <v>34.840000000000003</v>
      </c>
      <c r="E8258">
        <v>38.25</v>
      </c>
      <c r="F8258" s="1789">
        <v>8.8999999999999996E-2</v>
      </c>
      <c r="G8258">
        <f t="shared" si="259"/>
        <v>34.840000000000003</v>
      </c>
    </row>
    <row r="8259" spans="1:7" ht="12.75" customHeight="1">
      <c r="A8259" s="3">
        <v>104760</v>
      </c>
      <c r="B8259" s="4" t="s">
        <v>8283</v>
      </c>
      <c r="C8259" s="3" t="s">
        <v>6</v>
      </c>
      <c r="D8259" s="5">
        <f t="shared" si="258"/>
        <v>50.89</v>
      </c>
      <c r="E8259">
        <v>55.87</v>
      </c>
      <c r="F8259" s="1789">
        <v>8.8999999999999996E-2</v>
      </c>
      <c r="G8259">
        <f t="shared" si="259"/>
        <v>50.89</v>
      </c>
    </row>
    <row r="8260" spans="1:7" ht="12.75" customHeight="1">
      <c r="A8260" s="3">
        <v>104761</v>
      </c>
      <c r="B8260" s="4" t="s">
        <v>8284</v>
      </c>
      <c r="C8260" s="3" t="s">
        <v>6</v>
      </c>
      <c r="D8260" s="5">
        <f t="shared" si="258"/>
        <v>7.22</v>
      </c>
      <c r="E8260">
        <v>7.93</v>
      </c>
      <c r="F8260" s="1789">
        <v>8.8999999999999996E-2</v>
      </c>
      <c r="G8260">
        <f t="shared" si="259"/>
        <v>7.22</v>
      </c>
    </row>
    <row r="8261" spans="1:7" ht="12.75" customHeight="1">
      <c r="A8261" s="3">
        <v>104762</v>
      </c>
      <c r="B8261" s="4" t="s">
        <v>8285</v>
      </c>
      <c r="C8261" s="3" t="s">
        <v>6</v>
      </c>
      <c r="D8261" s="5">
        <f t="shared" si="258"/>
        <v>19.260000000000002</v>
      </c>
      <c r="E8261">
        <v>21.15</v>
      </c>
      <c r="F8261" s="1789">
        <v>8.8999999999999996E-2</v>
      </c>
      <c r="G8261">
        <f t="shared" si="259"/>
        <v>19.260000000000002</v>
      </c>
    </row>
    <row r="8262" spans="1:7" ht="12.75" customHeight="1">
      <c r="A8262" s="3">
        <v>104763</v>
      </c>
      <c r="B8262" s="4" t="s">
        <v>8286</v>
      </c>
      <c r="C8262" s="3" t="s">
        <v>6</v>
      </c>
      <c r="D8262" s="5">
        <f t="shared" si="258"/>
        <v>28.13</v>
      </c>
      <c r="E8262">
        <v>30.88</v>
      </c>
      <c r="F8262" s="1789">
        <v>8.8999999999999996E-2</v>
      </c>
      <c r="G8262">
        <f t="shared" si="259"/>
        <v>28.13</v>
      </c>
    </row>
    <row r="8263" spans="1:7" ht="12.75" customHeight="1">
      <c r="A8263" s="3">
        <v>104764</v>
      </c>
      <c r="B8263" s="4" t="s">
        <v>8287</v>
      </c>
      <c r="C8263" s="3" t="s">
        <v>50</v>
      </c>
      <c r="D8263" s="5">
        <f t="shared" si="258"/>
        <v>18</v>
      </c>
      <c r="E8263">
        <v>19.760000000000002</v>
      </c>
      <c r="F8263" s="1789">
        <v>8.8999999999999996E-2</v>
      </c>
      <c r="G8263">
        <f t="shared" si="259"/>
        <v>18</v>
      </c>
    </row>
    <row r="8264" spans="1:7" ht="12.75" customHeight="1">
      <c r="A8264" s="3">
        <v>104765</v>
      </c>
      <c r="B8264" s="4" t="s">
        <v>8288</v>
      </c>
      <c r="C8264" s="3" t="s">
        <v>50</v>
      </c>
      <c r="D8264" s="5">
        <f t="shared" si="258"/>
        <v>14.32</v>
      </c>
      <c r="E8264">
        <v>15.72</v>
      </c>
      <c r="F8264" s="1789">
        <v>8.8999999999999996E-2</v>
      </c>
      <c r="G8264">
        <f t="shared" si="259"/>
        <v>14.32</v>
      </c>
    </row>
    <row r="8265" spans="1:7" ht="12.75" customHeight="1">
      <c r="A8265" s="3">
        <v>104766</v>
      </c>
      <c r="B8265" s="4" t="s">
        <v>8289</v>
      </c>
      <c r="C8265" s="3" t="s">
        <v>50</v>
      </c>
      <c r="D8265" s="5">
        <f t="shared" si="258"/>
        <v>13.82</v>
      </c>
      <c r="E8265">
        <v>15.18</v>
      </c>
      <c r="F8265" s="1789">
        <v>8.8999999999999996E-2</v>
      </c>
      <c r="G8265">
        <f t="shared" si="259"/>
        <v>13.82</v>
      </c>
    </row>
    <row r="8266" spans="1:7" ht="12.75" customHeight="1">
      <c r="A8266" s="3">
        <v>104768</v>
      </c>
      <c r="B8266" s="4" t="s">
        <v>8290</v>
      </c>
      <c r="C8266" s="3" t="s">
        <v>6</v>
      </c>
      <c r="D8266" s="5">
        <f t="shared" si="258"/>
        <v>0.54</v>
      </c>
      <c r="E8266">
        <v>0.6</v>
      </c>
      <c r="F8266" s="1789">
        <v>8.8999999999999996E-2</v>
      </c>
      <c r="G8266">
        <f t="shared" si="259"/>
        <v>0.54</v>
      </c>
    </row>
    <row r="8267" spans="1:7" ht="12.75" customHeight="1">
      <c r="A8267" s="3">
        <v>104770</v>
      </c>
      <c r="B8267" s="4" t="s">
        <v>8291</v>
      </c>
      <c r="C8267" s="3" t="s">
        <v>6</v>
      </c>
      <c r="D8267" s="5">
        <f t="shared" si="258"/>
        <v>1.47</v>
      </c>
      <c r="E8267">
        <v>1.62</v>
      </c>
      <c r="F8267" s="1789">
        <v>8.8999999999999996E-2</v>
      </c>
      <c r="G8267">
        <f t="shared" si="259"/>
        <v>1.47</v>
      </c>
    </row>
    <row r="8268" spans="1:7" ht="12.75" customHeight="1">
      <c r="A8268" s="3">
        <v>104772</v>
      </c>
      <c r="B8268" s="4" t="s">
        <v>8292</v>
      </c>
      <c r="C8268" s="3" t="s">
        <v>6</v>
      </c>
      <c r="D8268" s="5">
        <f t="shared" si="258"/>
        <v>2.14</v>
      </c>
      <c r="E8268">
        <v>2.36</v>
      </c>
      <c r="F8268" s="1789">
        <v>8.8999999999999996E-2</v>
      </c>
      <c r="G8268">
        <f t="shared" si="259"/>
        <v>2.14</v>
      </c>
    </row>
    <row r="8269" spans="1:7" ht="12.75" customHeight="1">
      <c r="A8269" s="3">
        <v>104774</v>
      </c>
      <c r="B8269" s="4" t="s">
        <v>8293</v>
      </c>
      <c r="C8269" s="3" t="s">
        <v>6</v>
      </c>
      <c r="D8269" s="5">
        <f t="shared" si="258"/>
        <v>1.95</v>
      </c>
      <c r="E8269">
        <v>2.15</v>
      </c>
      <c r="F8269" s="1789">
        <v>8.8999999999999996E-2</v>
      </c>
      <c r="G8269">
        <f t="shared" si="259"/>
        <v>1.95</v>
      </c>
    </row>
    <row r="8270" spans="1:7" ht="12.75" customHeight="1">
      <c r="A8270" s="3">
        <v>104776</v>
      </c>
      <c r="B8270" s="4" t="s">
        <v>8294</v>
      </c>
      <c r="C8270" s="3" t="s">
        <v>6</v>
      </c>
      <c r="D8270" s="5">
        <f t="shared" si="258"/>
        <v>5.22</v>
      </c>
      <c r="E8270">
        <v>5.74</v>
      </c>
      <c r="F8270" s="1789">
        <v>8.8999999999999996E-2</v>
      </c>
      <c r="G8270">
        <f t="shared" si="259"/>
        <v>5.22</v>
      </c>
    </row>
    <row r="8271" spans="1:7" ht="12.75" customHeight="1">
      <c r="A8271" s="3">
        <v>104778</v>
      </c>
      <c r="B8271" s="4" t="s">
        <v>8295</v>
      </c>
      <c r="C8271" s="3" t="s">
        <v>6</v>
      </c>
      <c r="D8271" s="5">
        <f t="shared" si="258"/>
        <v>7.66</v>
      </c>
      <c r="E8271">
        <v>8.41</v>
      </c>
      <c r="F8271" s="1789">
        <v>8.8999999999999996E-2</v>
      </c>
      <c r="G8271">
        <f t="shared" si="259"/>
        <v>7.66</v>
      </c>
    </row>
    <row r="8272" spans="1:7" ht="12.75" customHeight="1">
      <c r="A8272" s="3">
        <v>104780</v>
      </c>
      <c r="B8272" s="4" t="s">
        <v>8296</v>
      </c>
      <c r="C8272" s="3" t="s">
        <v>50</v>
      </c>
      <c r="D8272" s="5">
        <f t="shared" si="258"/>
        <v>4.3600000000000003</v>
      </c>
      <c r="E8272">
        <v>4.79</v>
      </c>
      <c r="F8272" s="1789">
        <v>8.8999999999999996E-2</v>
      </c>
      <c r="G8272">
        <f t="shared" si="259"/>
        <v>4.3600000000000003</v>
      </c>
    </row>
    <row r="8273" spans="1:7" ht="12.75" customHeight="1">
      <c r="A8273" s="3">
        <v>104785</v>
      </c>
      <c r="B8273" s="4" t="s">
        <v>8297</v>
      </c>
      <c r="C8273" s="3" t="s">
        <v>50</v>
      </c>
      <c r="D8273" s="5">
        <f t="shared" si="258"/>
        <v>10.93</v>
      </c>
      <c r="E8273">
        <v>12</v>
      </c>
      <c r="F8273" s="1789">
        <v>8.8999999999999996E-2</v>
      </c>
      <c r="G8273">
        <f t="shared" si="259"/>
        <v>10.93</v>
      </c>
    </row>
    <row r="8274" spans="1:7" ht="12.75" customHeight="1">
      <c r="A8274" s="3">
        <v>96765</v>
      </c>
      <c r="B8274" s="4" t="s">
        <v>8298</v>
      </c>
      <c r="C8274" s="3" t="s">
        <v>6</v>
      </c>
      <c r="D8274" s="5">
        <f t="shared" si="258"/>
        <v>1322.76</v>
      </c>
      <c r="E8274">
        <v>1451.99</v>
      </c>
      <c r="F8274" s="1789">
        <v>8.8999999999999996E-2</v>
      </c>
      <c r="G8274">
        <f t="shared" si="259"/>
        <v>1322.76</v>
      </c>
    </row>
    <row r="8275" spans="1:7" ht="12.75" customHeight="1">
      <c r="A8275" s="3">
        <v>101905</v>
      </c>
      <c r="B8275" s="4" t="s">
        <v>8299</v>
      </c>
      <c r="C8275" s="3" t="s">
        <v>6</v>
      </c>
      <c r="D8275" s="5">
        <f t="shared" si="258"/>
        <v>199.7</v>
      </c>
      <c r="E8275">
        <v>219.22</v>
      </c>
      <c r="F8275" s="1789">
        <v>8.8999999999999996E-2</v>
      </c>
      <c r="G8275">
        <f t="shared" si="259"/>
        <v>199.7</v>
      </c>
    </row>
    <row r="8276" spans="1:7" ht="12.75" customHeight="1">
      <c r="A8276" s="3">
        <v>101906</v>
      </c>
      <c r="B8276" s="4" t="s">
        <v>8300</v>
      </c>
      <c r="C8276" s="3" t="s">
        <v>6</v>
      </c>
      <c r="D8276" s="5">
        <f t="shared" si="258"/>
        <v>587.53</v>
      </c>
      <c r="E8276">
        <v>644.92999999999995</v>
      </c>
      <c r="F8276" s="1789">
        <v>8.8999999999999996E-2</v>
      </c>
      <c r="G8276">
        <f t="shared" si="259"/>
        <v>587.53</v>
      </c>
    </row>
    <row r="8277" spans="1:7" ht="12.75" customHeight="1">
      <c r="A8277" s="3">
        <v>101907</v>
      </c>
      <c r="B8277" s="4" t="s">
        <v>8301</v>
      </c>
      <c r="C8277" s="3" t="s">
        <v>6</v>
      </c>
      <c r="D8277" s="5">
        <f t="shared" ref="D8277:D8340" si="260">G8277</f>
        <v>634.78</v>
      </c>
      <c r="E8277">
        <v>696.8</v>
      </c>
      <c r="F8277" s="1789">
        <v>8.8999999999999996E-2</v>
      </c>
      <c r="G8277">
        <f t="shared" ref="G8277:G8340" si="261">TRUNC((1-F8277)*E8277,2)</f>
        <v>634.78</v>
      </c>
    </row>
    <row r="8278" spans="1:7" ht="12.75" customHeight="1">
      <c r="A8278" s="3">
        <v>101908</v>
      </c>
      <c r="B8278" s="4" t="s">
        <v>8302</v>
      </c>
      <c r="C8278" s="3" t="s">
        <v>6</v>
      </c>
      <c r="D8278" s="5">
        <f t="shared" si="260"/>
        <v>193.8</v>
      </c>
      <c r="E8278">
        <v>212.74</v>
      </c>
      <c r="F8278" s="1789">
        <v>8.8999999999999996E-2</v>
      </c>
      <c r="G8278">
        <f t="shared" si="261"/>
        <v>193.8</v>
      </c>
    </row>
    <row r="8279" spans="1:7" ht="12.75" customHeight="1">
      <c r="A8279" s="3">
        <v>101909</v>
      </c>
      <c r="B8279" s="4" t="s">
        <v>8303</v>
      </c>
      <c r="C8279" s="3" t="s">
        <v>6</v>
      </c>
      <c r="D8279" s="5">
        <f t="shared" si="260"/>
        <v>225.3</v>
      </c>
      <c r="E8279">
        <v>247.32</v>
      </c>
      <c r="F8279" s="1789">
        <v>8.8999999999999996E-2</v>
      </c>
      <c r="G8279">
        <f t="shared" si="261"/>
        <v>225.3</v>
      </c>
    </row>
    <row r="8280" spans="1:7" ht="12.75" customHeight="1">
      <c r="A8280" s="3">
        <v>101910</v>
      </c>
      <c r="B8280" s="4" t="s">
        <v>8304</v>
      </c>
      <c r="C8280" s="3" t="s">
        <v>6</v>
      </c>
      <c r="D8280" s="5">
        <f t="shared" si="260"/>
        <v>264.67</v>
      </c>
      <c r="E8280">
        <v>290.52999999999997</v>
      </c>
      <c r="F8280" s="1789">
        <v>8.8999999999999996E-2</v>
      </c>
      <c r="G8280">
        <f t="shared" si="261"/>
        <v>264.67</v>
      </c>
    </row>
    <row r="8281" spans="1:7" ht="12.75" customHeight="1">
      <c r="A8281" s="3">
        <v>101911</v>
      </c>
      <c r="B8281" s="4" t="s">
        <v>8305</v>
      </c>
      <c r="C8281" s="3" t="s">
        <v>6</v>
      </c>
      <c r="D8281" s="5">
        <f t="shared" si="260"/>
        <v>304.04000000000002</v>
      </c>
      <c r="E8281">
        <v>333.75</v>
      </c>
      <c r="F8281" s="1789">
        <v>8.8999999999999996E-2</v>
      </c>
      <c r="G8281">
        <f t="shared" si="261"/>
        <v>304.04000000000002</v>
      </c>
    </row>
    <row r="8282" spans="1:7" ht="12.75" customHeight="1">
      <c r="A8282" s="3">
        <v>101912</v>
      </c>
      <c r="B8282" s="4" t="s">
        <v>8306</v>
      </c>
      <c r="C8282" s="3" t="s">
        <v>6</v>
      </c>
      <c r="D8282" s="5">
        <f t="shared" si="260"/>
        <v>1741.91</v>
      </c>
      <c r="E8282">
        <v>1912.09</v>
      </c>
      <c r="F8282" s="1789">
        <v>8.8999999999999996E-2</v>
      </c>
      <c r="G8282">
        <f t="shared" si="261"/>
        <v>1741.91</v>
      </c>
    </row>
    <row r="8283" spans="1:7" ht="12.75" customHeight="1">
      <c r="A8283" s="3">
        <v>101913</v>
      </c>
      <c r="B8283" s="4" t="s">
        <v>8307</v>
      </c>
      <c r="C8283" s="3" t="s">
        <v>6</v>
      </c>
      <c r="D8283" s="5">
        <f t="shared" si="260"/>
        <v>311.43</v>
      </c>
      <c r="E8283">
        <v>341.86</v>
      </c>
      <c r="F8283" s="1789">
        <v>8.8999999999999996E-2</v>
      </c>
      <c r="G8283">
        <f t="shared" si="261"/>
        <v>311.43</v>
      </c>
    </row>
    <row r="8284" spans="1:7" ht="12.75" customHeight="1">
      <c r="A8284" s="3">
        <v>101914</v>
      </c>
      <c r="B8284" s="4" t="s">
        <v>8308</v>
      </c>
      <c r="C8284" s="3" t="s">
        <v>6</v>
      </c>
      <c r="D8284" s="5">
        <f t="shared" si="260"/>
        <v>396.81</v>
      </c>
      <c r="E8284">
        <v>435.58</v>
      </c>
      <c r="F8284" s="1789">
        <v>8.8999999999999996E-2</v>
      </c>
      <c r="G8284">
        <f t="shared" si="261"/>
        <v>396.81</v>
      </c>
    </row>
    <row r="8285" spans="1:7" ht="12.75" customHeight="1">
      <c r="A8285" s="3">
        <v>101915</v>
      </c>
      <c r="B8285" s="4" t="s">
        <v>8309</v>
      </c>
      <c r="C8285" s="3" t="s">
        <v>6</v>
      </c>
      <c r="D8285" s="5">
        <f t="shared" si="260"/>
        <v>402.27</v>
      </c>
      <c r="E8285">
        <v>441.57</v>
      </c>
      <c r="F8285" s="1789">
        <v>8.8999999999999996E-2</v>
      </c>
      <c r="G8285">
        <f t="shared" si="261"/>
        <v>402.27</v>
      </c>
    </row>
    <row r="8286" spans="1:7" ht="12.75" customHeight="1">
      <c r="A8286" s="3">
        <v>101916</v>
      </c>
      <c r="B8286" s="4" t="s">
        <v>8310</v>
      </c>
      <c r="C8286" s="3" t="s">
        <v>6</v>
      </c>
      <c r="D8286" s="5">
        <f t="shared" si="260"/>
        <v>3071.91</v>
      </c>
      <c r="E8286">
        <v>3372.03</v>
      </c>
      <c r="F8286" s="1789">
        <v>8.8999999999999996E-2</v>
      </c>
      <c r="G8286">
        <f t="shared" si="261"/>
        <v>3071.91</v>
      </c>
    </row>
    <row r="8287" spans="1:7" ht="12.75" customHeight="1">
      <c r="A8287" s="3">
        <v>101917</v>
      </c>
      <c r="B8287" s="4" t="s">
        <v>8311</v>
      </c>
      <c r="C8287" s="3" t="s">
        <v>6</v>
      </c>
      <c r="D8287" s="5">
        <f t="shared" si="260"/>
        <v>137.44999999999999</v>
      </c>
      <c r="E8287">
        <v>150.88</v>
      </c>
      <c r="F8287" s="1789">
        <v>8.8999999999999996E-2</v>
      </c>
      <c r="G8287">
        <f t="shared" si="261"/>
        <v>137.44999999999999</v>
      </c>
    </row>
    <row r="8288" spans="1:7" ht="12.75" customHeight="1">
      <c r="A8288" s="3">
        <v>98261</v>
      </c>
      <c r="B8288" s="4" t="s">
        <v>8312</v>
      </c>
      <c r="C8288" s="3" t="s">
        <v>50</v>
      </c>
      <c r="D8288" s="5">
        <f t="shared" si="260"/>
        <v>3.61</v>
      </c>
      <c r="E8288">
        <v>3.97</v>
      </c>
      <c r="F8288" s="1789">
        <v>8.8999999999999996E-2</v>
      </c>
      <c r="G8288">
        <f t="shared" si="261"/>
        <v>3.61</v>
      </c>
    </row>
    <row r="8289" spans="1:7" ht="12.75" customHeight="1">
      <c r="A8289" s="3">
        <v>98262</v>
      </c>
      <c r="B8289" s="4" t="s">
        <v>8313</v>
      </c>
      <c r="C8289" s="3" t="s">
        <v>50</v>
      </c>
      <c r="D8289" s="5">
        <f t="shared" si="260"/>
        <v>4.5999999999999996</v>
      </c>
      <c r="E8289">
        <v>5.05</v>
      </c>
      <c r="F8289" s="1789">
        <v>8.8999999999999996E-2</v>
      </c>
      <c r="G8289">
        <f t="shared" si="261"/>
        <v>4.5999999999999996</v>
      </c>
    </row>
    <row r="8290" spans="1:7" ht="12.75" customHeight="1">
      <c r="A8290" s="3">
        <v>98263</v>
      </c>
      <c r="B8290" s="4" t="s">
        <v>8314</v>
      </c>
      <c r="C8290" s="3" t="s">
        <v>50</v>
      </c>
      <c r="D8290" s="5">
        <f t="shared" si="260"/>
        <v>4.8099999999999996</v>
      </c>
      <c r="E8290">
        <v>5.28</v>
      </c>
      <c r="F8290" s="1789">
        <v>8.8999999999999996E-2</v>
      </c>
      <c r="G8290">
        <f t="shared" si="261"/>
        <v>4.8099999999999996</v>
      </c>
    </row>
    <row r="8291" spans="1:7" ht="12.75" customHeight="1">
      <c r="A8291" s="3">
        <v>98264</v>
      </c>
      <c r="B8291" s="4" t="s">
        <v>8315</v>
      </c>
      <c r="C8291" s="3" t="s">
        <v>50</v>
      </c>
      <c r="D8291" s="5">
        <f t="shared" si="260"/>
        <v>5.86</v>
      </c>
      <c r="E8291">
        <v>6.44</v>
      </c>
      <c r="F8291" s="1789">
        <v>8.8999999999999996E-2</v>
      </c>
      <c r="G8291">
        <f t="shared" si="261"/>
        <v>5.86</v>
      </c>
    </row>
    <row r="8292" spans="1:7" ht="12.75" customHeight="1">
      <c r="A8292" s="3">
        <v>98265</v>
      </c>
      <c r="B8292" s="4" t="s">
        <v>8316</v>
      </c>
      <c r="C8292" s="3" t="s">
        <v>50</v>
      </c>
      <c r="D8292" s="5">
        <f t="shared" si="260"/>
        <v>6.56</v>
      </c>
      <c r="E8292">
        <v>7.21</v>
      </c>
      <c r="F8292" s="1789">
        <v>8.8999999999999996E-2</v>
      </c>
      <c r="G8292">
        <f t="shared" si="261"/>
        <v>6.56</v>
      </c>
    </row>
    <row r="8293" spans="1:7" ht="12.75" customHeight="1">
      <c r="A8293" s="3">
        <v>98266</v>
      </c>
      <c r="B8293" s="4" t="s">
        <v>8317</v>
      </c>
      <c r="C8293" s="3" t="s">
        <v>50</v>
      </c>
      <c r="D8293" s="5">
        <f t="shared" si="260"/>
        <v>7.54</v>
      </c>
      <c r="E8293">
        <v>8.2799999999999994</v>
      </c>
      <c r="F8293" s="1789">
        <v>8.8999999999999996E-2</v>
      </c>
      <c r="G8293">
        <f t="shared" si="261"/>
        <v>7.54</v>
      </c>
    </row>
    <row r="8294" spans="1:7" ht="12.75" customHeight="1">
      <c r="A8294" s="3">
        <v>98267</v>
      </c>
      <c r="B8294" s="4" t="s">
        <v>8318</v>
      </c>
      <c r="C8294" s="3" t="s">
        <v>50</v>
      </c>
      <c r="D8294" s="5">
        <f t="shared" si="260"/>
        <v>12.12</v>
      </c>
      <c r="E8294">
        <v>13.31</v>
      </c>
      <c r="F8294" s="1789">
        <v>8.8999999999999996E-2</v>
      </c>
      <c r="G8294">
        <f t="shared" si="261"/>
        <v>12.12</v>
      </c>
    </row>
    <row r="8295" spans="1:7" ht="12.75" customHeight="1">
      <c r="A8295" s="3">
        <v>98268</v>
      </c>
      <c r="B8295" s="4" t="s">
        <v>8319</v>
      </c>
      <c r="C8295" s="3" t="s">
        <v>50</v>
      </c>
      <c r="D8295" s="5">
        <f t="shared" si="260"/>
        <v>19.920000000000002</v>
      </c>
      <c r="E8295">
        <v>21.87</v>
      </c>
      <c r="F8295" s="1789">
        <v>8.8999999999999996E-2</v>
      </c>
      <c r="G8295">
        <f t="shared" si="261"/>
        <v>19.920000000000002</v>
      </c>
    </row>
    <row r="8296" spans="1:7" ht="12.75" customHeight="1">
      <c r="A8296" s="3">
        <v>98269</v>
      </c>
      <c r="B8296" s="4" t="s">
        <v>8320</v>
      </c>
      <c r="C8296" s="3" t="s">
        <v>50</v>
      </c>
      <c r="D8296" s="5">
        <f t="shared" si="260"/>
        <v>27.47</v>
      </c>
      <c r="E8296">
        <v>30.16</v>
      </c>
      <c r="F8296" s="1789">
        <v>8.8999999999999996E-2</v>
      </c>
      <c r="G8296">
        <f t="shared" si="261"/>
        <v>27.47</v>
      </c>
    </row>
    <row r="8297" spans="1:7" ht="12.75" customHeight="1">
      <c r="A8297" s="3">
        <v>98270</v>
      </c>
      <c r="B8297" s="4" t="s">
        <v>8321</v>
      </c>
      <c r="C8297" s="3" t="s">
        <v>50</v>
      </c>
      <c r="D8297" s="5">
        <f t="shared" si="260"/>
        <v>41.86</v>
      </c>
      <c r="E8297">
        <v>45.95</v>
      </c>
      <c r="F8297" s="1789">
        <v>8.8999999999999996E-2</v>
      </c>
      <c r="G8297">
        <f t="shared" si="261"/>
        <v>41.86</v>
      </c>
    </row>
    <row r="8298" spans="1:7" ht="12.75" customHeight="1">
      <c r="A8298" s="3">
        <v>98271</v>
      </c>
      <c r="B8298" s="4" t="s">
        <v>8322</v>
      </c>
      <c r="C8298" s="3" t="s">
        <v>50</v>
      </c>
      <c r="D8298" s="5">
        <f t="shared" si="260"/>
        <v>59.21</v>
      </c>
      <c r="E8298">
        <v>65</v>
      </c>
      <c r="F8298" s="1789">
        <v>8.8999999999999996E-2</v>
      </c>
      <c r="G8298">
        <f t="shared" si="261"/>
        <v>59.21</v>
      </c>
    </row>
    <row r="8299" spans="1:7" ht="12.75" customHeight="1">
      <c r="A8299" s="3">
        <v>98272</v>
      </c>
      <c r="B8299" s="4" t="s">
        <v>8323</v>
      </c>
      <c r="C8299" s="3" t="s">
        <v>50</v>
      </c>
      <c r="D8299" s="5">
        <f t="shared" si="260"/>
        <v>137.04</v>
      </c>
      <c r="E8299">
        <v>150.43</v>
      </c>
      <c r="F8299" s="1789">
        <v>8.8999999999999996E-2</v>
      </c>
      <c r="G8299">
        <f t="shared" si="261"/>
        <v>137.04</v>
      </c>
    </row>
    <row r="8300" spans="1:7" ht="12.75" customHeight="1">
      <c r="A8300" s="3">
        <v>98273</v>
      </c>
      <c r="B8300" s="4" t="s">
        <v>8324</v>
      </c>
      <c r="C8300" s="3" t="s">
        <v>50</v>
      </c>
      <c r="D8300" s="5">
        <f t="shared" si="260"/>
        <v>3.19</v>
      </c>
      <c r="E8300">
        <v>3.51</v>
      </c>
      <c r="F8300" s="1789">
        <v>8.8999999999999996E-2</v>
      </c>
      <c r="G8300">
        <f t="shared" si="261"/>
        <v>3.19</v>
      </c>
    </row>
    <row r="8301" spans="1:7" ht="12.75" customHeight="1">
      <c r="A8301" s="3">
        <v>98274</v>
      </c>
      <c r="B8301" s="4" t="s">
        <v>8325</v>
      </c>
      <c r="C8301" s="3" t="s">
        <v>50</v>
      </c>
      <c r="D8301" s="5">
        <f t="shared" si="260"/>
        <v>3.88</v>
      </c>
      <c r="E8301">
        <v>4.2699999999999996</v>
      </c>
      <c r="F8301" s="1789">
        <v>8.8999999999999996E-2</v>
      </c>
      <c r="G8301">
        <f t="shared" si="261"/>
        <v>3.88</v>
      </c>
    </row>
    <row r="8302" spans="1:7" ht="12.75" customHeight="1">
      <c r="A8302" s="3">
        <v>98275</v>
      </c>
      <c r="B8302" s="4" t="s">
        <v>8326</v>
      </c>
      <c r="C8302" s="3" t="s">
        <v>50</v>
      </c>
      <c r="D8302" s="5">
        <f t="shared" si="260"/>
        <v>4.8600000000000003</v>
      </c>
      <c r="E8302">
        <v>5.34</v>
      </c>
      <c r="F8302" s="1789">
        <v>8.8999999999999996E-2</v>
      </c>
      <c r="G8302">
        <f t="shared" si="261"/>
        <v>4.8600000000000003</v>
      </c>
    </row>
    <row r="8303" spans="1:7" ht="12.75" customHeight="1">
      <c r="A8303" s="3">
        <v>98276</v>
      </c>
      <c r="B8303" s="4" t="s">
        <v>8327</v>
      </c>
      <c r="C8303" s="3" t="s">
        <v>50</v>
      </c>
      <c r="D8303" s="5">
        <f t="shared" si="260"/>
        <v>9.4499999999999993</v>
      </c>
      <c r="E8303">
        <v>10.38</v>
      </c>
      <c r="F8303" s="1789">
        <v>8.8999999999999996E-2</v>
      </c>
      <c r="G8303">
        <f t="shared" si="261"/>
        <v>9.4499999999999993</v>
      </c>
    </row>
    <row r="8304" spans="1:7" ht="12.75" customHeight="1">
      <c r="A8304" s="3">
        <v>98277</v>
      </c>
      <c r="B8304" s="4" t="s">
        <v>8328</v>
      </c>
      <c r="C8304" s="3" t="s">
        <v>50</v>
      </c>
      <c r="D8304" s="5">
        <f t="shared" si="260"/>
        <v>17.260000000000002</v>
      </c>
      <c r="E8304">
        <v>18.95</v>
      </c>
      <c r="F8304" s="1789">
        <v>8.8999999999999996E-2</v>
      </c>
      <c r="G8304">
        <f t="shared" si="261"/>
        <v>17.260000000000002</v>
      </c>
    </row>
    <row r="8305" spans="1:7" ht="12.75" customHeight="1">
      <c r="A8305" s="3">
        <v>98278</v>
      </c>
      <c r="B8305" s="4" t="s">
        <v>8329</v>
      </c>
      <c r="C8305" s="3" t="s">
        <v>50</v>
      </c>
      <c r="D8305" s="5">
        <f t="shared" si="260"/>
        <v>24.8</v>
      </c>
      <c r="E8305">
        <v>27.23</v>
      </c>
      <c r="F8305" s="1789">
        <v>8.8999999999999996E-2</v>
      </c>
      <c r="G8305">
        <f t="shared" si="261"/>
        <v>24.8</v>
      </c>
    </row>
    <row r="8306" spans="1:7" ht="12.75" customHeight="1">
      <c r="A8306" s="3">
        <v>98279</v>
      </c>
      <c r="B8306" s="4" t="s">
        <v>8330</v>
      </c>
      <c r="C8306" s="3" t="s">
        <v>50</v>
      </c>
      <c r="D8306" s="5">
        <f t="shared" si="260"/>
        <v>39.18</v>
      </c>
      <c r="E8306">
        <v>43.01</v>
      </c>
      <c r="F8306" s="1789">
        <v>8.8999999999999996E-2</v>
      </c>
      <c r="G8306">
        <f t="shared" si="261"/>
        <v>39.18</v>
      </c>
    </row>
    <row r="8307" spans="1:7" ht="12.75" customHeight="1">
      <c r="A8307" s="3">
        <v>98280</v>
      </c>
      <c r="B8307" s="4" t="s">
        <v>8331</v>
      </c>
      <c r="C8307" s="3" t="s">
        <v>50</v>
      </c>
      <c r="D8307" s="5">
        <f t="shared" si="260"/>
        <v>7.05</v>
      </c>
      <c r="E8307">
        <v>7.74</v>
      </c>
      <c r="F8307" s="1789">
        <v>8.8999999999999996E-2</v>
      </c>
      <c r="G8307">
        <f t="shared" si="261"/>
        <v>7.05</v>
      </c>
    </row>
    <row r="8308" spans="1:7" ht="12.75" customHeight="1">
      <c r="A8308" s="3">
        <v>98281</v>
      </c>
      <c r="B8308" s="4" t="s">
        <v>8332</v>
      </c>
      <c r="C8308" s="3" t="s">
        <v>50</v>
      </c>
      <c r="D8308" s="5">
        <f t="shared" si="260"/>
        <v>8.02</v>
      </c>
      <c r="E8308">
        <v>8.81</v>
      </c>
      <c r="F8308" s="1789">
        <v>8.8999999999999996E-2</v>
      </c>
      <c r="G8308">
        <f t="shared" si="261"/>
        <v>8.02</v>
      </c>
    </row>
    <row r="8309" spans="1:7" ht="12.75" customHeight="1">
      <c r="A8309" s="3">
        <v>98282</v>
      </c>
      <c r="B8309" s="4" t="s">
        <v>8333</v>
      </c>
      <c r="C8309" s="3" t="s">
        <v>50</v>
      </c>
      <c r="D8309" s="5">
        <f t="shared" si="260"/>
        <v>8.24</v>
      </c>
      <c r="E8309">
        <v>9.0500000000000007</v>
      </c>
      <c r="F8309" s="1789">
        <v>8.8999999999999996E-2</v>
      </c>
      <c r="G8309">
        <f t="shared" si="261"/>
        <v>8.24</v>
      </c>
    </row>
    <row r="8310" spans="1:7" ht="12.75" customHeight="1">
      <c r="A8310" s="3">
        <v>98283</v>
      </c>
      <c r="B8310" s="4" t="s">
        <v>8334</v>
      </c>
      <c r="C8310" s="3" t="s">
        <v>50</v>
      </c>
      <c r="D8310" s="5">
        <f t="shared" si="260"/>
        <v>9.2899999999999991</v>
      </c>
      <c r="E8310">
        <v>10.199999999999999</v>
      </c>
      <c r="F8310" s="1789">
        <v>8.8999999999999996E-2</v>
      </c>
      <c r="G8310">
        <f t="shared" si="261"/>
        <v>9.2899999999999991</v>
      </c>
    </row>
    <row r="8311" spans="1:7" ht="12.75" customHeight="1">
      <c r="A8311" s="3">
        <v>98284</v>
      </c>
      <c r="B8311" s="4" t="s">
        <v>8335</v>
      </c>
      <c r="C8311" s="3" t="s">
        <v>50</v>
      </c>
      <c r="D8311" s="5">
        <f t="shared" si="260"/>
        <v>10</v>
      </c>
      <c r="E8311">
        <v>10.98</v>
      </c>
      <c r="F8311" s="1789">
        <v>8.8999999999999996E-2</v>
      </c>
      <c r="G8311">
        <f t="shared" si="261"/>
        <v>10</v>
      </c>
    </row>
    <row r="8312" spans="1:7" ht="12.75" customHeight="1">
      <c r="A8312" s="3">
        <v>98285</v>
      </c>
      <c r="B8312" s="4" t="s">
        <v>8336</v>
      </c>
      <c r="C8312" s="3" t="s">
        <v>50</v>
      </c>
      <c r="D8312" s="5">
        <f t="shared" si="260"/>
        <v>10.97</v>
      </c>
      <c r="E8312">
        <v>12.05</v>
      </c>
      <c r="F8312" s="1789">
        <v>8.8999999999999996E-2</v>
      </c>
      <c r="G8312">
        <f t="shared" si="261"/>
        <v>10.97</v>
      </c>
    </row>
    <row r="8313" spans="1:7" ht="12.75" customHeight="1">
      <c r="A8313" s="3">
        <v>98286</v>
      </c>
      <c r="B8313" s="4" t="s">
        <v>8337</v>
      </c>
      <c r="C8313" s="3" t="s">
        <v>50</v>
      </c>
      <c r="D8313" s="5">
        <f t="shared" si="260"/>
        <v>15.55</v>
      </c>
      <c r="E8313">
        <v>17.079999999999998</v>
      </c>
      <c r="F8313" s="1789">
        <v>8.8999999999999996E-2</v>
      </c>
      <c r="G8313">
        <f t="shared" si="261"/>
        <v>15.55</v>
      </c>
    </row>
    <row r="8314" spans="1:7" ht="12.75" customHeight="1">
      <c r="A8314" s="3">
        <v>98287</v>
      </c>
      <c r="B8314" s="4" t="s">
        <v>8338</v>
      </c>
      <c r="C8314" s="3" t="s">
        <v>50</v>
      </c>
      <c r="D8314" s="5">
        <f t="shared" si="260"/>
        <v>1.55</v>
      </c>
      <c r="E8314">
        <v>1.71</v>
      </c>
      <c r="F8314" s="1789">
        <v>8.8999999999999996E-2</v>
      </c>
      <c r="G8314">
        <f t="shared" si="261"/>
        <v>1.55</v>
      </c>
    </row>
    <row r="8315" spans="1:7" ht="12.75" customHeight="1">
      <c r="A8315" s="3">
        <v>98288</v>
      </c>
      <c r="B8315" s="4" t="s">
        <v>8339</v>
      </c>
      <c r="C8315" s="3" t="s">
        <v>50</v>
      </c>
      <c r="D8315" s="5">
        <f t="shared" si="260"/>
        <v>2.5299999999999998</v>
      </c>
      <c r="E8315">
        <v>2.78</v>
      </c>
      <c r="F8315" s="1789">
        <v>8.8999999999999996E-2</v>
      </c>
      <c r="G8315">
        <f t="shared" si="261"/>
        <v>2.5299999999999998</v>
      </c>
    </row>
    <row r="8316" spans="1:7" ht="12.75" customHeight="1">
      <c r="A8316" s="3">
        <v>98289</v>
      </c>
      <c r="B8316" s="4" t="s">
        <v>8340</v>
      </c>
      <c r="C8316" s="3" t="s">
        <v>50</v>
      </c>
      <c r="D8316" s="5">
        <f t="shared" si="260"/>
        <v>2.75</v>
      </c>
      <c r="E8316">
        <v>3.02</v>
      </c>
      <c r="F8316" s="1789">
        <v>8.8999999999999996E-2</v>
      </c>
      <c r="G8316">
        <f t="shared" si="261"/>
        <v>2.75</v>
      </c>
    </row>
    <row r="8317" spans="1:7" ht="12.75" customHeight="1">
      <c r="A8317" s="3">
        <v>98290</v>
      </c>
      <c r="B8317" s="4" t="s">
        <v>8341</v>
      </c>
      <c r="C8317" s="3" t="s">
        <v>50</v>
      </c>
      <c r="D8317" s="5">
        <f t="shared" si="260"/>
        <v>3.79</v>
      </c>
      <c r="E8317">
        <v>4.17</v>
      </c>
      <c r="F8317" s="1789">
        <v>8.8999999999999996E-2</v>
      </c>
      <c r="G8317">
        <f t="shared" si="261"/>
        <v>3.79</v>
      </c>
    </row>
    <row r="8318" spans="1:7" ht="12.75" customHeight="1">
      <c r="A8318" s="3">
        <v>98291</v>
      </c>
      <c r="B8318" s="4" t="s">
        <v>8342</v>
      </c>
      <c r="C8318" s="3" t="s">
        <v>50</v>
      </c>
      <c r="D8318" s="5">
        <f t="shared" si="260"/>
        <v>4.5</v>
      </c>
      <c r="E8318">
        <v>4.95</v>
      </c>
      <c r="F8318" s="1789">
        <v>8.8999999999999996E-2</v>
      </c>
      <c r="G8318">
        <f t="shared" si="261"/>
        <v>4.5</v>
      </c>
    </row>
    <row r="8319" spans="1:7" ht="12.75" customHeight="1">
      <c r="A8319" s="3">
        <v>98292</v>
      </c>
      <c r="B8319" s="4" t="s">
        <v>8343</v>
      </c>
      <c r="C8319" s="3" t="s">
        <v>50</v>
      </c>
      <c r="D8319" s="5">
        <f t="shared" si="260"/>
        <v>5.48</v>
      </c>
      <c r="E8319">
        <v>6.02</v>
      </c>
      <c r="F8319" s="1789">
        <v>8.8999999999999996E-2</v>
      </c>
      <c r="G8319">
        <f t="shared" si="261"/>
        <v>5.48</v>
      </c>
    </row>
    <row r="8320" spans="1:7" ht="12.75" customHeight="1">
      <c r="A8320" s="3">
        <v>98293</v>
      </c>
      <c r="B8320" s="4" t="s">
        <v>8344</v>
      </c>
      <c r="C8320" s="3" t="s">
        <v>50</v>
      </c>
      <c r="D8320" s="5">
        <f t="shared" si="260"/>
        <v>10.06</v>
      </c>
      <c r="E8320">
        <v>11.05</v>
      </c>
      <c r="F8320" s="1789">
        <v>8.8999999999999996E-2</v>
      </c>
      <c r="G8320">
        <f t="shared" si="261"/>
        <v>10.06</v>
      </c>
    </row>
    <row r="8321" spans="1:7" ht="12.75" customHeight="1">
      <c r="A8321" s="3">
        <v>98400</v>
      </c>
      <c r="B8321" s="4" t="s">
        <v>8345</v>
      </c>
      <c r="C8321" s="3" t="s">
        <v>50</v>
      </c>
      <c r="D8321" s="5">
        <f t="shared" si="260"/>
        <v>15.09</v>
      </c>
      <c r="E8321">
        <v>16.57</v>
      </c>
      <c r="F8321" s="1789">
        <v>8.8999999999999996E-2</v>
      </c>
      <c r="G8321">
        <f t="shared" si="261"/>
        <v>15.09</v>
      </c>
    </row>
    <row r="8322" spans="1:7" ht="12.75" customHeight="1">
      <c r="A8322" s="3">
        <v>98401</v>
      </c>
      <c r="B8322" s="4" t="s">
        <v>8346</v>
      </c>
      <c r="C8322" s="3" t="s">
        <v>50</v>
      </c>
      <c r="D8322" s="5">
        <f t="shared" si="260"/>
        <v>24.03</v>
      </c>
      <c r="E8322">
        <v>26.38</v>
      </c>
      <c r="F8322" s="1789">
        <v>8.8999999999999996E-2</v>
      </c>
      <c r="G8322">
        <f t="shared" si="261"/>
        <v>24.03</v>
      </c>
    </row>
    <row r="8323" spans="1:7" ht="12.75" customHeight="1">
      <c r="A8323" s="3">
        <v>98402</v>
      </c>
      <c r="B8323" s="4" t="s">
        <v>8347</v>
      </c>
      <c r="C8323" s="3" t="s">
        <v>50</v>
      </c>
      <c r="D8323" s="5">
        <f t="shared" si="260"/>
        <v>28.11</v>
      </c>
      <c r="E8323">
        <v>30.86</v>
      </c>
      <c r="F8323" s="1789">
        <v>8.8999999999999996E-2</v>
      </c>
      <c r="G8323">
        <f t="shared" si="261"/>
        <v>28.11</v>
      </c>
    </row>
    <row r="8324" spans="1:7" ht="12.75" customHeight="1">
      <c r="A8324" s="3">
        <v>100556</v>
      </c>
      <c r="B8324" s="4" t="s">
        <v>8348</v>
      </c>
      <c r="C8324" s="3" t="s">
        <v>6</v>
      </c>
      <c r="D8324" s="5">
        <f t="shared" si="260"/>
        <v>41.13</v>
      </c>
      <c r="E8324">
        <v>45.15</v>
      </c>
      <c r="F8324" s="1789">
        <v>8.8999999999999996E-2</v>
      </c>
      <c r="G8324">
        <f t="shared" si="261"/>
        <v>41.13</v>
      </c>
    </row>
    <row r="8325" spans="1:7" ht="12.75" customHeight="1">
      <c r="A8325" s="3">
        <v>100557</v>
      </c>
      <c r="B8325" s="4" t="s">
        <v>8349</v>
      </c>
      <c r="C8325" s="3" t="s">
        <v>6</v>
      </c>
      <c r="D8325" s="5">
        <f t="shared" si="260"/>
        <v>528.11</v>
      </c>
      <c r="E8325">
        <v>579.71</v>
      </c>
      <c r="F8325" s="1789">
        <v>8.8999999999999996E-2</v>
      </c>
      <c r="G8325">
        <f t="shared" si="261"/>
        <v>528.11</v>
      </c>
    </row>
    <row r="8326" spans="1:7" ht="12.75" customHeight="1">
      <c r="A8326" s="3">
        <v>100560</v>
      </c>
      <c r="B8326" s="4" t="s">
        <v>8350</v>
      </c>
      <c r="C8326" s="3" t="s">
        <v>6</v>
      </c>
      <c r="D8326" s="5">
        <f t="shared" si="260"/>
        <v>111.93</v>
      </c>
      <c r="E8326">
        <v>122.87</v>
      </c>
      <c r="F8326" s="1789">
        <v>8.8999999999999996E-2</v>
      </c>
      <c r="G8326">
        <f t="shared" si="261"/>
        <v>111.93</v>
      </c>
    </row>
    <row r="8327" spans="1:7" ht="12.75" customHeight="1">
      <c r="A8327" s="3">
        <v>100561</v>
      </c>
      <c r="B8327" s="4" t="s">
        <v>8351</v>
      </c>
      <c r="C8327" s="3" t="s">
        <v>6</v>
      </c>
      <c r="D8327" s="5">
        <f t="shared" si="260"/>
        <v>207.27</v>
      </c>
      <c r="E8327">
        <v>227.52</v>
      </c>
      <c r="F8327" s="1789">
        <v>8.8999999999999996E-2</v>
      </c>
      <c r="G8327">
        <f t="shared" si="261"/>
        <v>207.27</v>
      </c>
    </row>
    <row r="8328" spans="1:7" ht="12.75" customHeight="1">
      <c r="A8328" s="3">
        <v>100562</v>
      </c>
      <c r="B8328" s="4" t="s">
        <v>8352</v>
      </c>
      <c r="C8328" s="3" t="s">
        <v>6</v>
      </c>
      <c r="D8328" s="5">
        <f t="shared" si="260"/>
        <v>322.64999999999998</v>
      </c>
      <c r="E8328">
        <v>354.18</v>
      </c>
      <c r="F8328" s="1789">
        <v>8.8999999999999996E-2</v>
      </c>
      <c r="G8328">
        <f t="shared" si="261"/>
        <v>322.64999999999998</v>
      </c>
    </row>
    <row r="8329" spans="1:7" ht="12.75" customHeight="1">
      <c r="A8329" s="3">
        <v>100563</v>
      </c>
      <c r="B8329" s="4" t="s">
        <v>8353</v>
      </c>
      <c r="C8329" s="3" t="s">
        <v>6</v>
      </c>
      <c r="D8329" s="5">
        <f t="shared" si="260"/>
        <v>466.63</v>
      </c>
      <c r="E8329">
        <v>512.22</v>
      </c>
      <c r="F8329" s="1789">
        <v>8.8999999999999996E-2</v>
      </c>
      <c r="G8329">
        <f t="shared" si="261"/>
        <v>466.63</v>
      </c>
    </row>
    <row r="8330" spans="1:7" ht="12.75" customHeight="1">
      <c r="A8330" s="3">
        <v>101795</v>
      </c>
      <c r="B8330" s="4" t="s">
        <v>8354</v>
      </c>
      <c r="C8330" s="3" t="s">
        <v>6</v>
      </c>
      <c r="D8330" s="5">
        <f t="shared" si="260"/>
        <v>542.89</v>
      </c>
      <c r="E8330">
        <v>595.92999999999995</v>
      </c>
      <c r="F8330" s="1789">
        <v>8.8999999999999996E-2</v>
      </c>
      <c r="G8330">
        <f t="shared" si="261"/>
        <v>542.89</v>
      </c>
    </row>
    <row r="8331" spans="1:7" ht="12.75" customHeight="1">
      <c r="A8331" s="3">
        <v>101798</v>
      </c>
      <c r="B8331" s="4" t="s">
        <v>8355</v>
      </c>
      <c r="C8331" s="3" t="s">
        <v>6</v>
      </c>
      <c r="D8331" s="5">
        <f t="shared" si="260"/>
        <v>337.99</v>
      </c>
      <c r="E8331">
        <v>371.02</v>
      </c>
      <c r="F8331" s="1789">
        <v>8.8999999999999996E-2</v>
      </c>
      <c r="G8331">
        <f t="shared" si="261"/>
        <v>337.99</v>
      </c>
    </row>
    <row r="8332" spans="1:7" ht="12.75" customHeight="1">
      <c r="A8332" s="3">
        <v>101799</v>
      </c>
      <c r="B8332" s="4" t="s">
        <v>8356</v>
      </c>
      <c r="C8332" s="3" t="s">
        <v>6</v>
      </c>
      <c r="D8332" s="5">
        <f t="shared" si="260"/>
        <v>821.5</v>
      </c>
      <c r="E8332">
        <v>901.76</v>
      </c>
      <c r="F8332" s="1789">
        <v>8.8999999999999996E-2</v>
      </c>
      <c r="G8332">
        <f t="shared" si="261"/>
        <v>821.5</v>
      </c>
    </row>
    <row r="8333" spans="1:7" ht="12.75" customHeight="1">
      <c r="A8333" s="3">
        <v>98397</v>
      </c>
      <c r="B8333" s="4" t="s">
        <v>8357</v>
      </c>
      <c r="C8333" s="3" t="s">
        <v>409</v>
      </c>
      <c r="D8333" s="5">
        <f t="shared" si="260"/>
        <v>8.8000000000000007</v>
      </c>
      <c r="E8333">
        <v>9.67</v>
      </c>
      <c r="F8333" s="1789">
        <v>8.8999999999999996E-2</v>
      </c>
      <c r="G8333">
        <f t="shared" si="261"/>
        <v>8.8000000000000007</v>
      </c>
    </row>
    <row r="8334" spans="1:7" ht="12.75" customHeight="1">
      <c r="A8334" s="3">
        <v>103244</v>
      </c>
      <c r="B8334" s="4" t="s">
        <v>8358</v>
      </c>
      <c r="C8334" s="3" t="s">
        <v>6</v>
      </c>
      <c r="D8334" s="5">
        <f t="shared" si="260"/>
        <v>2446.81</v>
      </c>
      <c r="E8334">
        <v>2685.86</v>
      </c>
      <c r="F8334" s="1789">
        <v>8.8999999999999996E-2</v>
      </c>
      <c r="G8334">
        <f t="shared" si="261"/>
        <v>2446.81</v>
      </c>
    </row>
    <row r="8335" spans="1:7" ht="12.75" customHeight="1">
      <c r="A8335" s="3">
        <v>103245</v>
      </c>
      <c r="B8335" s="4" t="s">
        <v>8359</v>
      </c>
      <c r="C8335" s="3" t="s">
        <v>6</v>
      </c>
      <c r="D8335" s="5">
        <f t="shared" si="260"/>
        <v>1922.08</v>
      </c>
      <c r="E8335">
        <v>2109.86</v>
      </c>
      <c r="F8335" s="1789">
        <v>8.8999999999999996E-2</v>
      </c>
      <c r="G8335">
        <f t="shared" si="261"/>
        <v>1922.08</v>
      </c>
    </row>
    <row r="8336" spans="1:7" ht="12.75" customHeight="1">
      <c r="A8336" s="3">
        <v>103246</v>
      </c>
      <c r="B8336" s="4" t="s">
        <v>8360</v>
      </c>
      <c r="C8336" s="3" t="s">
        <v>6</v>
      </c>
      <c r="D8336" s="5">
        <f t="shared" si="260"/>
        <v>2099.5300000000002</v>
      </c>
      <c r="E8336">
        <v>2304.65</v>
      </c>
      <c r="F8336" s="1789">
        <v>8.8999999999999996E-2</v>
      </c>
      <c r="G8336">
        <f t="shared" si="261"/>
        <v>2099.5300000000002</v>
      </c>
    </row>
    <row r="8337" spans="1:7" ht="12.75" customHeight="1">
      <c r="A8337" s="3">
        <v>103247</v>
      </c>
      <c r="B8337" s="4" t="s">
        <v>8361</v>
      </c>
      <c r="C8337" s="3" t="s">
        <v>6</v>
      </c>
      <c r="D8337" s="5">
        <f t="shared" si="260"/>
        <v>2719.75</v>
      </c>
      <c r="E8337">
        <v>2985.46</v>
      </c>
      <c r="F8337" s="1789">
        <v>8.8999999999999996E-2</v>
      </c>
      <c r="G8337">
        <f t="shared" si="261"/>
        <v>2719.75</v>
      </c>
    </row>
    <row r="8338" spans="1:7" ht="12.75" customHeight="1">
      <c r="A8338" s="3">
        <v>103248</v>
      </c>
      <c r="B8338" s="4" t="s">
        <v>8362</v>
      </c>
      <c r="C8338" s="3" t="s">
        <v>6</v>
      </c>
      <c r="D8338" s="5">
        <f t="shared" si="260"/>
        <v>2215.73</v>
      </c>
      <c r="E8338">
        <v>2432.1999999999998</v>
      </c>
      <c r="F8338" s="1789">
        <v>8.8999999999999996E-2</v>
      </c>
      <c r="G8338">
        <f t="shared" si="261"/>
        <v>2215.73</v>
      </c>
    </row>
    <row r="8339" spans="1:7" ht="12.75" customHeight="1">
      <c r="A8339" s="3">
        <v>103249</v>
      </c>
      <c r="B8339" s="4" t="s">
        <v>8363</v>
      </c>
      <c r="C8339" s="3" t="s">
        <v>6</v>
      </c>
      <c r="D8339" s="5">
        <f t="shared" si="260"/>
        <v>2383.21</v>
      </c>
      <c r="E8339">
        <v>2616.04</v>
      </c>
      <c r="F8339" s="1789">
        <v>8.8999999999999996E-2</v>
      </c>
      <c r="G8339">
        <f t="shared" si="261"/>
        <v>2383.21</v>
      </c>
    </row>
    <row r="8340" spans="1:7" ht="12.75" customHeight="1">
      <c r="A8340" s="3">
        <v>103250</v>
      </c>
      <c r="B8340" s="4" t="s">
        <v>8364</v>
      </c>
      <c r="C8340" s="3" t="s">
        <v>6</v>
      </c>
      <c r="D8340" s="5">
        <f t="shared" si="260"/>
        <v>3965.15</v>
      </c>
      <c r="E8340">
        <v>4352.53</v>
      </c>
      <c r="F8340" s="1789">
        <v>8.8999999999999996E-2</v>
      </c>
      <c r="G8340">
        <f t="shared" si="261"/>
        <v>3965.15</v>
      </c>
    </row>
    <row r="8341" spans="1:7" ht="12.75" customHeight="1">
      <c r="A8341" s="3">
        <v>103251</v>
      </c>
      <c r="B8341" s="4" t="s">
        <v>8365</v>
      </c>
      <c r="C8341" s="3" t="s">
        <v>6</v>
      </c>
      <c r="D8341" s="5">
        <f t="shared" ref="D8341:D8404" si="262">G8341</f>
        <v>3123.36</v>
      </c>
      <c r="E8341">
        <v>3428.5</v>
      </c>
      <c r="F8341" s="1789">
        <v>8.8999999999999996E-2</v>
      </c>
      <c r="G8341">
        <f t="shared" ref="G8341:G8404" si="263">TRUNC((1-F8341)*E8341,2)</f>
        <v>3123.36</v>
      </c>
    </row>
    <row r="8342" spans="1:7" ht="12.75" customHeight="1">
      <c r="A8342" s="3">
        <v>103252</v>
      </c>
      <c r="B8342" s="4" t="s">
        <v>8366</v>
      </c>
      <c r="C8342" s="3" t="s">
        <v>6</v>
      </c>
      <c r="D8342" s="5">
        <f t="shared" si="262"/>
        <v>3462.83</v>
      </c>
      <c r="E8342">
        <v>3801.14</v>
      </c>
      <c r="F8342" s="1789">
        <v>8.8999999999999996E-2</v>
      </c>
      <c r="G8342">
        <f t="shared" si="263"/>
        <v>3462.83</v>
      </c>
    </row>
    <row r="8343" spans="1:7" ht="12.75" customHeight="1">
      <c r="A8343" s="3">
        <v>103253</v>
      </c>
      <c r="B8343" s="4" t="s">
        <v>8367</v>
      </c>
      <c r="C8343" s="3" t="s">
        <v>6</v>
      </c>
      <c r="D8343" s="5">
        <f t="shared" si="262"/>
        <v>5418.14</v>
      </c>
      <c r="E8343">
        <v>5947.47</v>
      </c>
      <c r="F8343" s="1789">
        <v>8.8999999999999996E-2</v>
      </c>
      <c r="G8343">
        <f t="shared" si="263"/>
        <v>5418.14</v>
      </c>
    </row>
    <row r="8344" spans="1:7" ht="12.75" customHeight="1">
      <c r="A8344" s="3">
        <v>103254</v>
      </c>
      <c r="B8344" s="4" t="s">
        <v>8368</v>
      </c>
      <c r="C8344" s="3" t="s">
        <v>6</v>
      </c>
      <c r="D8344" s="5">
        <f t="shared" si="262"/>
        <v>4041.9</v>
      </c>
      <c r="E8344">
        <v>4436.78</v>
      </c>
      <c r="F8344" s="1789">
        <v>8.8999999999999996E-2</v>
      </c>
      <c r="G8344">
        <f t="shared" si="263"/>
        <v>4041.9</v>
      </c>
    </row>
    <row r="8345" spans="1:7" ht="12.75" customHeight="1">
      <c r="A8345" s="3">
        <v>103255</v>
      </c>
      <c r="B8345" s="4" t="s">
        <v>8369</v>
      </c>
      <c r="C8345" s="3" t="s">
        <v>6</v>
      </c>
      <c r="D8345" s="5">
        <f t="shared" si="262"/>
        <v>4527.47</v>
      </c>
      <c r="E8345">
        <v>4969.79</v>
      </c>
      <c r="F8345" s="1789">
        <v>8.8999999999999996E-2</v>
      </c>
      <c r="G8345">
        <f t="shared" si="263"/>
        <v>4527.47</v>
      </c>
    </row>
    <row r="8346" spans="1:7" ht="12.75" customHeight="1">
      <c r="A8346" s="3">
        <v>103256</v>
      </c>
      <c r="B8346" s="4" t="s">
        <v>8370</v>
      </c>
      <c r="C8346" s="3" t="s">
        <v>6</v>
      </c>
      <c r="D8346" s="5">
        <f t="shared" si="262"/>
        <v>10079.68</v>
      </c>
      <c r="E8346">
        <v>11064.42</v>
      </c>
      <c r="F8346" s="1789">
        <v>8.8999999999999996E-2</v>
      </c>
      <c r="G8346">
        <f t="shared" si="263"/>
        <v>10079.68</v>
      </c>
    </row>
    <row r="8347" spans="1:7" ht="12.75" customHeight="1">
      <c r="A8347" s="3">
        <v>103257</v>
      </c>
      <c r="B8347" s="4" t="s">
        <v>8371</v>
      </c>
      <c r="C8347" s="3" t="s">
        <v>6</v>
      </c>
      <c r="D8347" s="5">
        <f t="shared" si="262"/>
        <v>5736.21</v>
      </c>
      <c r="E8347">
        <v>6296.61</v>
      </c>
      <c r="F8347" s="1789">
        <v>8.8999999999999996E-2</v>
      </c>
      <c r="G8347">
        <f t="shared" si="263"/>
        <v>5736.21</v>
      </c>
    </row>
    <row r="8348" spans="1:7" ht="12.75" customHeight="1">
      <c r="A8348" s="3">
        <v>103258</v>
      </c>
      <c r="B8348" s="4" t="s">
        <v>8372</v>
      </c>
      <c r="C8348" s="3" t="s">
        <v>6</v>
      </c>
      <c r="D8348" s="5">
        <f t="shared" si="262"/>
        <v>11274.31</v>
      </c>
      <c r="E8348">
        <v>12375.76</v>
      </c>
      <c r="F8348" s="1789">
        <v>8.8999999999999996E-2</v>
      </c>
      <c r="G8348">
        <f t="shared" si="263"/>
        <v>11274.31</v>
      </c>
    </row>
    <row r="8349" spans="1:7" ht="12.75" customHeight="1">
      <c r="A8349" s="3">
        <v>103259</v>
      </c>
      <c r="B8349" s="4" t="s">
        <v>8373</v>
      </c>
      <c r="C8349" s="3" t="s">
        <v>6</v>
      </c>
      <c r="D8349" s="5">
        <f t="shared" si="262"/>
        <v>6049</v>
      </c>
      <c r="E8349">
        <v>6639.96</v>
      </c>
      <c r="F8349" s="1789">
        <v>8.8999999999999996E-2</v>
      </c>
      <c r="G8349">
        <f t="shared" si="263"/>
        <v>6049</v>
      </c>
    </row>
    <row r="8350" spans="1:7" ht="12.75" customHeight="1">
      <c r="A8350" s="3">
        <v>103260</v>
      </c>
      <c r="B8350" s="4" t="s">
        <v>8374</v>
      </c>
      <c r="C8350" s="3" t="s">
        <v>6</v>
      </c>
      <c r="D8350" s="5">
        <f t="shared" si="262"/>
        <v>6215.28</v>
      </c>
      <c r="E8350">
        <v>6822.49</v>
      </c>
      <c r="F8350" s="1789">
        <v>8.8999999999999996E-2</v>
      </c>
      <c r="G8350">
        <f t="shared" si="263"/>
        <v>6215.28</v>
      </c>
    </row>
    <row r="8351" spans="1:7" ht="12.75" customHeight="1">
      <c r="A8351" s="3">
        <v>103261</v>
      </c>
      <c r="B8351" s="4" t="s">
        <v>8375</v>
      </c>
      <c r="C8351" s="3" t="s">
        <v>6</v>
      </c>
      <c r="D8351" s="5">
        <f t="shared" si="262"/>
        <v>12721.75</v>
      </c>
      <c r="E8351">
        <v>13964.61</v>
      </c>
      <c r="F8351" s="1789">
        <v>8.8999999999999996E-2</v>
      </c>
      <c r="G8351">
        <f t="shared" si="263"/>
        <v>12721.75</v>
      </c>
    </row>
    <row r="8352" spans="1:7" ht="12.75" customHeight="1">
      <c r="A8352" s="3">
        <v>103262</v>
      </c>
      <c r="B8352" s="4" t="s">
        <v>8376</v>
      </c>
      <c r="C8352" s="3" t="s">
        <v>6</v>
      </c>
      <c r="D8352" s="5">
        <f t="shared" si="262"/>
        <v>7960.79</v>
      </c>
      <c r="E8352">
        <v>8738.52</v>
      </c>
      <c r="F8352" s="1789">
        <v>8.8999999999999996E-2</v>
      </c>
      <c r="G8352">
        <f t="shared" si="263"/>
        <v>7960.79</v>
      </c>
    </row>
    <row r="8353" spans="1:7" ht="12.75" customHeight="1">
      <c r="A8353" s="3">
        <v>103263</v>
      </c>
      <c r="B8353" s="4" t="s">
        <v>8377</v>
      </c>
      <c r="C8353" s="3" t="s">
        <v>6</v>
      </c>
      <c r="D8353" s="5">
        <f t="shared" si="262"/>
        <v>17654.36</v>
      </c>
      <c r="E8353">
        <v>19379.099999999999</v>
      </c>
      <c r="F8353" s="1789">
        <v>8.8999999999999996E-2</v>
      </c>
      <c r="G8353">
        <f t="shared" si="263"/>
        <v>17654.36</v>
      </c>
    </row>
    <row r="8354" spans="1:7" ht="12.75" customHeight="1">
      <c r="A8354" s="3">
        <v>103264</v>
      </c>
      <c r="B8354" s="4" t="s">
        <v>8378</v>
      </c>
      <c r="C8354" s="3" t="s">
        <v>6</v>
      </c>
      <c r="D8354" s="5">
        <f t="shared" si="262"/>
        <v>9859.2800000000007</v>
      </c>
      <c r="E8354">
        <v>10822.49</v>
      </c>
      <c r="F8354" s="1789">
        <v>8.8999999999999996E-2</v>
      </c>
      <c r="G8354">
        <f t="shared" si="263"/>
        <v>9859.2800000000007</v>
      </c>
    </row>
    <row r="8355" spans="1:7" ht="12.75" customHeight="1">
      <c r="A8355" s="3">
        <v>103265</v>
      </c>
      <c r="B8355" s="4" t="s">
        <v>8379</v>
      </c>
      <c r="C8355" s="3" t="s">
        <v>6</v>
      </c>
      <c r="D8355" s="5">
        <f t="shared" si="262"/>
        <v>21303.07</v>
      </c>
      <c r="E8355">
        <v>23384.28</v>
      </c>
      <c r="F8355" s="1789">
        <v>8.8999999999999996E-2</v>
      </c>
      <c r="G8355">
        <f t="shared" si="263"/>
        <v>21303.07</v>
      </c>
    </row>
    <row r="8356" spans="1:7" ht="12.75" customHeight="1">
      <c r="A8356" s="3">
        <v>103266</v>
      </c>
      <c r="B8356" s="4" t="s">
        <v>8380</v>
      </c>
      <c r="C8356" s="3" t="s">
        <v>6</v>
      </c>
      <c r="D8356" s="5">
        <f t="shared" si="262"/>
        <v>11022.04</v>
      </c>
      <c r="E8356">
        <v>12098.84</v>
      </c>
      <c r="F8356" s="1789">
        <v>8.8999999999999996E-2</v>
      </c>
      <c r="G8356">
        <f t="shared" si="263"/>
        <v>11022.04</v>
      </c>
    </row>
    <row r="8357" spans="1:7" ht="12.75" customHeight="1">
      <c r="A8357" s="3">
        <v>103267</v>
      </c>
      <c r="B8357" s="4" t="s">
        <v>8381</v>
      </c>
      <c r="C8357" s="3" t="s">
        <v>6</v>
      </c>
      <c r="D8357" s="5">
        <f t="shared" si="262"/>
        <v>6274.92</v>
      </c>
      <c r="E8357">
        <v>6887.95</v>
      </c>
      <c r="F8357" s="1789">
        <v>8.8999999999999996E-2</v>
      </c>
      <c r="G8357">
        <f t="shared" si="263"/>
        <v>6274.92</v>
      </c>
    </row>
    <row r="8358" spans="1:7" ht="12.75" customHeight="1">
      <c r="A8358" s="3">
        <v>103268</v>
      </c>
      <c r="B8358" s="4" t="s">
        <v>8382</v>
      </c>
      <c r="C8358" s="3" t="s">
        <v>6</v>
      </c>
      <c r="D8358" s="5">
        <f t="shared" si="262"/>
        <v>7459.29</v>
      </c>
      <c r="E8358">
        <v>8188.03</v>
      </c>
      <c r="F8358" s="1789">
        <v>8.8999999999999996E-2</v>
      </c>
      <c r="G8358">
        <f t="shared" si="263"/>
        <v>7459.29</v>
      </c>
    </row>
    <row r="8359" spans="1:7" ht="12.75" customHeight="1">
      <c r="A8359" s="3">
        <v>103269</v>
      </c>
      <c r="B8359" s="4" t="s">
        <v>8383</v>
      </c>
      <c r="C8359" s="3" t="s">
        <v>6</v>
      </c>
      <c r="D8359" s="5">
        <f t="shared" si="262"/>
        <v>7723.95</v>
      </c>
      <c r="E8359">
        <v>8478.5499999999993</v>
      </c>
      <c r="F8359" s="1789">
        <v>8.8999999999999996E-2</v>
      </c>
      <c r="G8359">
        <f t="shared" si="263"/>
        <v>7723.95</v>
      </c>
    </row>
    <row r="8360" spans="1:7" ht="12.75" customHeight="1">
      <c r="A8360" s="3">
        <v>103270</v>
      </c>
      <c r="B8360" s="4" t="s">
        <v>8384</v>
      </c>
      <c r="C8360" s="3" t="s">
        <v>6</v>
      </c>
      <c r="D8360" s="5">
        <f t="shared" si="262"/>
        <v>8019.83</v>
      </c>
      <c r="E8360">
        <v>8803.33</v>
      </c>
      <c r="F8360" s="1789">
        <v>8.8999999999999996E-2</v>
      </c>
      <c r="G8360">
        <f t="shared" si="263"/>
        <v>8019.83</v>
      </c>
    </row>
    <row r="8361" spans="1:7" ht="12.75" customHeight="1">
      <c r="A8361" s="3">
        <v>103271</v>
      </c>
      <c r="B8361" s="4" t="s">
        <v>8385</v>
      </c>
      <c r="C8361" s="3" t="s">
        <v>6</v>
      </c>
      <c r="D8361" s="5">
        <f t="shared" si="262"/>
        <v>11380.38</v>
      </c>
      <c r="E8361">
        <v>12492.19</v>
      </c>
      <c r="F8361" s="1789">
        <v>8.8999999999999996E-2</v>
      </c>
      <c r="G8361">
        <f t="shared" si="263"/>
        <v>11380.38</v>
      </c>
    </row>
    <row r="8362" spans="1:7" ht="12.75" customHeight="1">
      <c r="A8362" s="3">
        <v>103272</v>
      </c>
      <c r="B8362" s="4" t="s">
        <v>8386</v>
      </c>
      <c r="C8362" s="3" t="s">
        <v>6</v>
      </c>
      <c r="D8362" s="5">
        <f t="shared" si="262"/>
        <v>11756.63</v>
      </c>
      <c r="E8362">
        <v>12905.2</v>
      </c>
      <c r="F8362" s="1789">
        <v>8.8999999999999996E-2</v>
      </c>
      <c r="G8362">
        <f t="shared" si="263"/>
        <v>11756.63</v>
      </c>
    </row>
    <row r="8363" spans="1:7" ht="12.75" customHeight="1">
      <c r="A8363" s="3">
        <v>103273</v>
      </c>
      <c r="B8363" s="4" t="s">
        <v>8387</v>
      </c>
      <c r="C8363" s="3" t="s">
        <v>6</v>
      </c>
      <c r="D8363" s="5">
        <f t="shared" si="262"/>
        <v>12060.46</v>
      </c>
      <c r="E8363">
        <v>13238.71</v>
      </c>
      <c r="F8363" s="1789">
        <v>8.8999999999999996E-2</v>
      </c>
      <c r="G8363">
        <f t="shared" si="263"/>
        <v>12060.46</v>
      </c>
    </row>
    <row r="8364" spans="1:7" ht="12.75" customHeight="1">
      <c r="A8364" s="3">
        <v>103274</v>
      </c>
      <c r="B8364" s="4" t="s">
        <v>8388</v>
      </c>
      <c r="C8364" s="3" t="s">
        <v>6</v>
      </c>
      <c r="D8364" s="5">
        <f t="shared" si="262"/>
        <v>13830.03</v>
      </c>
      <c r="E8364">
        <v>15181.16</v>
      </c>
      <c r="F8364" s="1789">
        <v>8.8999999999999996E-2</v>
      </c>
      <c r="G8364">
        <f t="shared" si="263"/>
        <v>13830.03</v>
      </c>
    </row>
    <row r="8365" spans="1:7" ht="12.75" customHeight="1">
      <c r="A8365" s="3">
        <v>103275</v>
      </c>
      <c r="B8365" s="4" t="s">
        <v>8389</v>
      </c>
      <c r="C8365" s="3" t="s">
        <v>6</v>
      </c>
      <c r="D8365" s="5">
        <f t="shared" si="262"/>
        <v>13757.79</v>
      </c>
      <c r="E8365">
        <v>15101.86</v>
      </c>
      <c r="F8365" s="1789">
        <v>8.8999999999999996E-2</v>
      </c>
      <c r="G8365">
        <f t="shared" si="263"/>
        <v>13757.79</v>
      </c>
    </row>
    <row r="8366" spans="1:7" ht="12.75" customHeight="1">
      <c r="A8366" s="3">
        <v>103276</v>
      </c>
      <c r="B8366" s="4" t="s">
        <v>8390</v>
      </c>
      <c r="C8366" s="3" t="s">
        <v>6</v>
      </c>
      <c r="D8366" s="5">
        <f t="shared" si="262"/>
        <v>14442.2</v>
      </c>
      <c r="E8366">
        <v>15853.13</v>
      </c>
      <c r="F8366" s="1789">
        <v>8.8999999999999996E-2</v>
      </c>
      <c r="G8366">
        <f t="shared" si="263"/>
        <v>14442.2</v>
      </c>
    </row>
    <row r="8367" spans="1:7" ht="12.75" customHeight="1">
      <c r="A8367" s="3">
        <v>103277</v>
      </c>
      <c r="B8367" s="4" t="s">
        <v>8391</v>
      </c>
      <c r="C8367" s="3" t="s">
        <v>6</v>
      </c>
      <c r="D8367" s="5">
        <f t="shared" si="262"/>
        <v>26708.39</v>
      </c>
      <c r="E8367">
        <v>29317.67</v>
      </c>
      <c r="F8367" s="1789">
        <v>8.8999999999999996E-2</v>
      </c>
      <c r="G8367">
        <f t="shared" si="263"/>
        <v>26708.39</v>
      </c>
    </row>
    <row r="8368" spans="1:7" ht="12.75" customHeight="1">
      <c r="A8368" s="3">
        <v>103278</v>
      </c>
      <c r="B8368" s="4" t="s">
        <v>8392</v>
      </c>
      <c r="C8368" s="3" t="s">
        <v>6</v>
      </c>
      <c r="D8368" s="5">
        <f t="shared" si="262"/>
        <v>34225.339999999997</v>
      </c>
      <c r="E8368">
        <v>37568.980000000003</v>
      </c>
      <c r="F8368" s="1789">
        <v>8.8999999999999996E-2</v>
      </c>
      <c r="G8368">
        <f t="shared" si="263"/>
        <v>34225.339999999997</v>
      </c>
    </row>
    <row r="8369" spans="1:7" ht="12.75" customHeight="1">
      <c r="A8369" s="3">
        <v>103288</v>
      </c>
      <c r="B8369" s="4" t="s">
        <v>8393</v>
      </c>
      <c r="C8369" s="3" t="s">
        <v>6</v>
      </c>
      <c r="D8369" s="5">
        <f t="shared" si="262"/>
        <v>13.05</v>
      </c>
      <c r="E8369">
        <v>14.33</v>
      </c>
      <c r="F8369" s="1789">
        <v>8.8999999999999996E-2</v>
      </c>
      <c r="G8369">
        <f t="shared" si="263"/>
        <v>13.05</v>
      </c>
    </row>
    <row r="8370" spans="1:7" ht="12.75" customHeight="1">
      <c r="A8370" s="3">
        <v>103289</v>
      </c>
      <c r="B8370" s="4" t="s">
        <v>8394</v>
      </c>
      <c r="C8370" s="3" t="s">
        <v>50</v>
      </c>
      <c r="D8370" s="5">
        <f t="shared" si="262"/>
        <v>29.34</v>
      </c>
      <c r="E8370">
        <v>32.21</v>
      </c>
      <c r="F8370" s="1789">
        <v>8.8999999999999996E-2</v>
      </c>
      <c r="G8370">
        <f t="shared" si="263"/>
        <v>29.34</v>
      </c>
    </row>
    <row r="8371" spans="1:7" ht="12.75" customHeight="1">
      <c r="A8371" s="3">
        <v>103290</v>
      </c>
      <c r="B8371" s="4" t="s">
        <v>8395</v>
      </c>
      <c r="C8371" s="3" t="s">
        <v>50</v>
      </c>
      <c r="D8371" s="5">
        <f t="shared" si="262"/>
        <v>46.5</v>
      </c>
      <c r="E8371">
        <v>51.05</v>
      </c>
      <c r="F8371" s="1789">
        <v>8.8999999999999996E-2</v>
      </c>
      <c r="G8371">
        <f t="shared" si="263"/>
        <v>46.5</v>
      </c>
    </row>
    <row r="8372" spans="1:7" ht="12.75" customHeight="1">
      <c r="A8372" s="3">
        <v>103291</v>
      </c>
      <c r="B8372" s="4" t="s">
        <v>8396</v>
      </c>
      <c r="C8372" s="3" t="s">
        <v>50</v>
      </c>
      <c r="D8372" s="5">
        <f t="shared" si="262"/>
        <v>57.74</v>
      </c>
      <c r="E8372">
        <v>63.39</v>
      </c>
      <c r="F8372" s="1789">
        <v>8.8999999999999996E-2</v>
      </c>
      <c r="G8372">
        <f t="shared" si="263"/>
        <v>57.74</v>
      </c>
    </row>
    <row r="8373" spans="1:7" ht="12.75" customHeight="1">
      <c r="A8373" s="3">
        <v>103292</v>
      </c>
      <c r="B8373" s="4" t="s">
        <v>8397</v>
      </c>
      <c r="C8373" s="3" t="s">
        <v>50</v>
      </c>
      <c r="D8373" s="5">
        <f t="shared" si="262"/>
        <v>69.59</v>
      </c>
      <c r="E8373">
        <v>76.39</v>
      </c>
      <c r="F8373" s="1789">
        <v>8.8999999999999996E-2</v>
      </c>
      <c r="G8373">
        <f t="shared" si="263"/>
        <v>69.59</v>
      </c>
    </row>
    <row r="8374" spans="1:7" ht="12.75" customHeight="1">
      <c r="A8374" s="3">
        <v>101936</v>
      </c>
      <c r="B8374" s="4" t="s">
        <v>8398</v>
      </c>
      <c r="C8374" s="3" t="s">
        <v>6</v>
      </c>
      <c r="D8374" s="5">
        <f t="shared" si="262"/>
        <v>6531.5</v>
      </c>
      <c r="E8374">
        <v>7169.6</v>
      </c>
      <c r="F8374" s="1789">
        <v>8.8999999999999996E-2</v>
      </c>
      <c r="G8374">
        <f t="shared" si="263"/>
        <v>6531.5</v>
      </c>
    </row>
    <row r="8375" spans="1:7" ht="12.75" customHeight="1">
      <c r="A8375" s="3">
        <v>101937</v>
      </c>
      <c r="B8375" s="4" t="s">
        <v>8399</v>
      </c>
      <c r="C8375" s="3" t="s">
        <v>6</v>
      </c>
      <c r="D8375" s="5">
        <f t="shared" si="262"/>
        <v>11960.83</v>
      </c>
      <c r="E8375">
        <v>13129.35</v>
      </c>
      <c r="F8375" s="1789">
        <v>8.8999999999999996E-2</v>
      </c>
      <c r="G8375">
        <f t="shared" si="263"/>
        <v>11960.83</v>
      </c>
    </row>
    <row r="8376" spans="1:7" ht="12.75" customHeight="1">
      <c r="A8376" s="3">
        <v>98294</v>
      </c>
      <c r="B8376" s="4" t="s">
        <v>8400</v>
      </c>
      <c r="C8376" s="3" t="s">
        <v>50</v>
      </c>
      <c r="D8376" s="5">
        <f t="shared" si="262"/>
        <v>7.87</v>
      </c>
      <c r="E8376">
        <v>8.64</v>
      </c>
      <c r="F8376" s="1789">
        <v>8.8999999999999996E-2</v>
      </c>
      <c r="G8376">
        <f t="shared" si="263"/>
        <v>7.87</v>
      </c>
    </row>
    <row r="8377" spans="1:7" ht="12.75" customHeight="1">
      <c r="A8377" s="3">
        <v>98295</v>
      </c>
      <c r="B8377" s="4" t="s">
        <v>8401</v>
      </c>
      <c r="C8377" s="3" t="s">
        <v>50</v>
      </c>
      <c r="D8377" s="5">
        <f t="shared" si="262"/>
        <v>7.24</v>
      </c>
      <c r="E8377">
        <v>7.95</v>
      </c>
      <c r="F8377" s="1789">
        <v>8.8999999999999996E-2</v>
      </c>
      <c r="G8377">
        <f t="shared" si="263"/>
        <v>7.24</v>
      </c>
    </row>
    <row r="8378" spans="1:7" ht="12.75" customHeight="1">
      <c r="A8378" s="3">
        <v>98296</v>
      </c>
      <c r="B8378" s="4" t="s">
        <v>8402</v>
      </c>
      <c r="C8378" s="3" t="s">
        <v>50</v>
      </c>
      <c r="D8378" s="5">
        <f t="shared" si="262"/>
        <v>11.43</v>
      </c>
      <c r="E8378">
        <v>12.55</v>
      </c>
      <c r="F8378" s="1789">
        <v>8.8999999999999996E-2</v>
      </c>
      <c r="G8378">
        <f t="shared" si="263"/>
        <v>11.43</v>
      </c>
    </row>
    <row r="8379" spans="1:7" ht="12.75" customHeight="1">
      <c r="A8379" s="3">
        <v>98297</v>
      </c>
      <c r="B8379" s="4" t="s">
        <v>8403</v>
      </c>
      <c r="C8379" s="3" t="s">
        <v>50</v>
      </c>
      <c r="D8379" s="5">
        <f t="shared" si="262"/>
        <v>10.44</v>
      </c>
      <c r="E8379">
        <v>11.46</v>
      </c>
      <c r="F8379" s="1789">
        <v>8.8999999999999996E-2</v>
      </c>
      <c r="G8379">
        <f t="shared" si="263"/>
        <v>10.44</v>
      </c>
    </row>
    <row r="8380" spans="1:7" ht="12.75" customHeight="1">
      <c r="A8380" s="3">
        <v>98298</v>
      </c>
      <c r="B8380" s="4" t="s">
        <v>8404</v>
      </c>
      <c r="C8380" s="3" t="s">
        <v>50</v>
      </c>
      <c r="D8380" s="5">
        <f t="shared" si="262"/>
        <v>28.47</v>
      </c>
      <c r="E8380">
        <v>31.26</v>
      </c>
      <c r="F8380" s="1789">
        <v>8.8999999999999996E-2</v>
      </c>
      <c r="G8380">
        <f t="shared" si="263"/>
        <v>28.47</v>
      </c>
    </row>
    <row r="8381" spans="1:7" ht="12.75" customHeight="1">
      <c r="A8381" s="3">
        <v>98299</v>
      </c>
      <c r="B8381" s="4" t="s">
        <v>8405</v>
      </c>
      <c r="C8381" s="3" t="s">
        <v>50</v>
      </c>
      <c r="D8381" s="5">
        <f t="shared" si="262"/>
        <v>27.25</v>
      </c>
      <c r="E8381">
        <v>29.92</v>
      </c>
      <c r="F8381" s="1789">
        <v>8.8999999999999996E-2</v>
      </c>
      <c r="G8381">
        <f t="shared" si="263"/>
        <v>27.25</v>
      </c>
    </row>
    <row r="8382" spans="1:7" ht="12.75" customHeight="1">
      <c r="A8382" s="3">
        <v>98300</v>
      </c>
      <c r="B8382" s="4" t="s">
        <v>8406</v>
      </c>
      <c r="C8382" s="3" t="s">
        <v>50</v>
      </c>
      <c r="D8382" s="5">
        <f t="shared" si="262"/>
        <v>5.75</v>
      </c>
      <c r="E8382">
        <v>6.32</v>
      </c>
      <c r="F8382" s="1789">
        <v>8.8999999999999996E-2</v>
      </c>
      <c r="G8382">
        <f t="shared" si="263"/>
        <v>5.75</v>
      </c>
    </row>
    <row r="8383" spans="1:7" ht="12.75" customHeight="1">
      <c r="A8383" s="3">
        <v>98301</v>
      </c>
      <c r="B8383" s="4" t="s">
        <v>8407</v>
      </c>
      <c r="C8383" s="3" t="s">
        <v>6</v>
      </c>
      <c r="D8383" s="5">
        <f t="shared" si="262"/>
        <v>520.11</v>
      </c>
      <c r="E8383">
        <v>570.92999999999995</v>
      </c>
      <c r="F8383" s="1789">
        <v>8.8999999999999996E-2</v>
      </c>
      <c r="G8383">
        <f t="shared" si="263"/>
        <v>520.11</v>
      </c>
    </row>
    <row r="8384" spans="1:7" ht="12.75" customHeight="1">
      <c r="A8384" s="3">
        <v>98302</v>
      </c>
      <c r="B8384" s="4" t="s">
        <v>8408</v>
      </c>
      <c r="C8384" s="3" t="s">
        <v>6</v>
      </c>
      <c r="D8384" s="5">
        <f t="shared" si="262"/>
        <v>931.86</v>
      </c>
      <c r="E8384">
        <v>1022.9</v>
      </c>
      <c r="F8384" s="1789">
        <v>8.8999999999999996E-2</v>
      </c>
      <c r="G8384">
        <f t="shared" si="263"/>
        <v>931.86</v>
      </c>
    </row>
    <row r="8385" spans="1:7" ht="12.75" customHeight="1">
      <c r="A8385" s="3">
        <v>98304</v>
      </c>
      <c r="B8385" s="4" t="s">
        <v>8409</v>
      </c>
      <c r="C8385" s="3" t="s">
        <v>6</v>
      </c>
      <c r="D8385" s="5">
        <f t="shared" si="262"/>
        <v>2862.07</v>
      </c>
      <c r="E8385">
        <v>3141.68</v>
      </c>
      <c r="F8385" s="1789">
        <v>8.8999999999999996E-2</v>
      </c>
      <c r="G8385">
        <f t="shared" si="263"/>
        <v>2862.07</v>
      </c>
    </row>
    <row r="8386" spans="1:7" ht="12.75" customHeight="1">
      <c r="A8386" s="3">
        <v>98305</v>
      </c>
      <c r="B8386" s="4" t="s">
        <v>8410</v>
      </c>
      <c r="C8386" s="3" t="s">
        <v>6</v>
      </c>
      <c r="D8386" s="5">
        <f t="shared" si="262"/>
        <v>2042.21</v>
      </c>
      <c r="E8386">
        <v>2241.73</v>
      </c>
      <c r="F8386" s="1789">
        <v>8.8999999999999996E-2</v>
      </c>
      <c r="G8386">
        <f t="shared" si="263"/>
        <v>2042.21</v>
      </c>
    </row>
    <row r="8387" spans="1:7" ht="12.75" customHeight="1">
      <c r="A8387" s="3">
        <v>98306</v>
      </c>
      <c r="B8387" s="4" t="s">
        <v>8411</v>
      </c>
      <c r="C8387" s="3" t="s">
        <v>6</v>
      </c>
      <c r="D8387" s="5">
        <f t="shared" si="262"/>
        <v>51.91</v>
      </c>
      <c r="E8387">
        <v>56.99</v>
      </c>
      <c r="F8387" s="1789">
        <v>8.8999999999999996E-2</v>
      </c>
      <c r="G8387">
        <f t="shared" si="263"/>
        <v>51.91</v>
      </c>
    </row>
    <row r="8388" spans="1:7" ht="12.75" customHeight="1">
      <c r="A8388" s="3">
        <v>98307</v>
      </c>
      <c r="B8388" s="4" t="s">
        <v>8412</v>
      </c>
      <c r="C8388" s="3" t="s">
        <v>6</v>
      </c>
      <c r="D8388" s="5">
        <f t="shared" si="262"/>
        <v>40.020000000000003</v>
      </c>
      <c r="E8388">
        <v>43.94</v>
      </c>
      <c r="F8388" s="1789">
        <v>8.8999999999999996E-2</v>
      </c>
      <c r="G8388">
        <f t="shared" si="263"/>
        <v>40.020000000000003</v>
      </c>
    </row>
    <row r="8389" spans="1:7" ht="12.75" customHeight="1">
      <c r="A8389" s="3">
        <v>98308</v>
      </c>
      <c r="B8389" s="4" t="s">
        <v>8413</v>
      </c>
      <c r="C8389" s="3" t="s">
        <v>6</v>
      </c>
      <c r="D8389" s="5">
        <f t="shared" si="262"/>
        <v>26.63</v>
      </c>
      <c r="E8389">
        <v>29.24</v>
      </c>
      <c r="F8389" s="1789">
        <v>8.8999999999999996E-2</v>
      </c>
      <c r="G8389">
        <f t="shared" si="263"/>
        <v>26.63</v>
      </c>
    </row>
    <row r="8390" spans="1:7" ht="12.75" customHeight="1">
      <c r="A8390" s="3">
        <v>98593</v>
      </c>
      <c r="B8390" s="4" t="s">
        <v>8414</v>
      </c>
      <c r="C8390" s="3" t="s">
        <v>6</v>
      </c>
      <c r="D8390" s="5">
        <f t="shared" si="262"/>
        <v>2022.51</v>
      </c>
      <c r="E8390">
        <v>2220.1</v>
      </c>
      <c r="F8390" s="1789">
        <v>8.8999999999999996E-2</v>
      </c>
      <c r="G8390">
        <f t="shared" si="263"/>
        <v>2022.51</v>
      </c>
    </row>
    <row r="8391" spans="1:7" ht="12.75" customHeight="1">
      <c r="A8391" s="3">
        <v>100553</v>
      </c>
      <c r="B8391" s="4" t="s">
        <v>8415</v>
      </c>
      <c r="C8391" s="3" t="s">
        <v>50</v>
      </c>
      <c r="D8391" s="5">
        <f t="shared" si="262"/>
        <v>29.71</v>
      </c>
      <c r="E8391">
        <v>32.619999999999997</v>
      </c>
      <c r="F8391" s="1789">
        <v>8.8999999999999996E-2</v>
      </c>
      <c r="G8391">
        <f t="shared" si="263"/>
        <v>29.71</v>
      </c>
    </row>
    <row r="8392" spans="1:7" ht="12.75" customHeight="1">
      <c r="A8392" s="3">
        <v>100554</v>
      </c>
      <c r="B8392" s="4" t="s">
        <v>8416</v>
      </c>
      <c r="C8392" s="3" t="s">
        <v>50</v>
      </c>
      <c r="D8392" s="5">
        <f t="shared" si="262"/>
        <v>5.49</v>
      </c>
      <c r="E8392">
        <v>6.03</v>
      </c>
      <c r="F8392" s="1789">
        <v>8.8999999999999996E-2</v>
      </c>
      <c r="G8392">
        <f t="shared" si="263"/>
        <v>5.49</v>
      </c>
    </row>
    <row r="8393" spans="1:7" ht="12.75" customHeight="1">
      <c r="A8393" s="3">
        <v>100555</v>
      </c>
      <c r="B8393" s="4" t="s">
        <v>8417</v>
      </c>
      <c r="C8393" s="3" t="s">
        <v>6</v>
      </c>
      <c r="D8393" s="5">
        <f t="shared" si="262"/>
        <v>1026.75</v>
      </c>
      <c r="E8393">
        <v>1127.06</v>
      </c>
      <c r="F8393" s="1789">
        <v>8.8999999999999996E-2</v>
      </c>
      <c r="G8393">
        <f t="shared" si="263"/>
        <v>1026.75</v>
      </c>
    </row>
    <row r="8394" spans="1:7" ht="12.75" customHeight="1">
      <c r="A8394" s="3">
        <v>89355</v>
      </c>
      <c r="B8394" s="4" t="s">
        <v>8418</v>
      </c>
      <c r="C8394" s="3" t="s">
        <v>50</v>
      </c>
      <c r="D8394" s="5">
        <f t="shared" si="262"/>
        <v>17.07</v>
      </c>
      <c r="E8394">
        <v>18.739999999999998</v>
      </c>
      <c r="F8394" s="1789">
        <v>8.8999999999999996E-2</v>
      </c>
      <c r="G8394">
        <f t="shared" si="263"/>
        <v>17.07</v>
      </c>
    </row>
    <row r="8395" spans="1:7" ht="12.75" customHeight="1">
      <c r="A8395" s="3">
        <v>89356</v>
      </c>
      <c r="B8395" s="4" t="s">
        <v>8419</v>
      </c>
      <c r="C8395" s="3" t="s">
        <v>50</v>
      </c>
      <c r="D8395" s="5">
        <f t="shared" si="262"/>
        <v>19.690000000000001</v>
      </c>
      <c r="E8395">
        <v>21.62</v>
      </c>
      <c r="F8395" s="1789">
        <v>8.8999999999999996E-2</v>
      </c>
      <c r="G8395">
        <f t="shared" si="263"/>
        <v>19.690000000000001</v>
      </c>
    </row>
    <row r="8396" spans="1:7" ht="12.75" customHeight="1">
      <c r="A8396" s="3">
        <v>89357</v>
      </c>
      <c r="B8396" s="4" t="s">
        <v>8420</v>
      </c>
      <c r="C8396" s="3" t="s">
        <v>50</v>
      </c>
      <c r="D8396" s="5">
        <f t="shared" si="262"/>
        <v>26.78</v>
      </c>
      <c r="E8396">
        <v>29.4</v>
      </c>
      <c r="F8396" s="1789">
        <v>8.8999999999999996E-2</v>
      </c>
      <c r="G8396">
        <f t="shared" si="263"/>
        <v>26.78</v>
      </c>
    </row>
    <row r="8397" spans="1:7" ht="12.75" customHeight="1">
      <c r="A8397" s="3">
        <v>89401</v>
      </c>
      <c r="B8397" s="4" t="s">
        <v>8421</v>
      </c>
      <c r="C8397" s="3" t="s">
        <v>50</v>
      </c>
      <c r="D8397" s="5">
        <f t="shared" si="262"/>
        <v>8.86</v>
      </c>
      <c r="E8397">
        <v>9.73</v>
      </c>
      <c r="F8397" s="1789">
        <v>8.8999999999999996E-2</v>
      </c>
      <c r="G8397">
        <f t="shared" si="263"/>
        <v>8.86</v>
      </c>
    </row>
    <row r="8398" spans="1:7" ht="12.75" customHeight="1">
      <c r="A8398" s="3">
        <v>89402</v>
      </c>
      <c r="B8398" s="4" t="s">
        <v>8422</v>
      </c>
      <c r="C8398" s="3" t="s">
        <v>50</v>
      </c>
      <c r="D8398" s="5">
        <f t="shared" si="262"/>
        <v>10.199999999999999</v>
      </c>
      <c r="E8398">
        <v>11.2</v>
      </c>
      <c r="F8398" s="1789">
        <v>8.8999999999999996E-2</v>
      </c>
      <c r="G8398">
        <f t="shared" si="263"/>
        <v>10.199999999999999</v>
      </c>
    </row>
    <row r="8399" spans="1:7" ht="12.75" customHeight="1">
      <c r="A8399" s="3">
        <v>89403</v>
      </c>
      <c r="B8399" s="4" t="s">
        <v>8423</v>
      </c>
      <c r="C8399" s="3" t="s">
        <v>50</v>
      </c>
      <c r="D8399" s="5">
        <f t="shared" si="262"/>
        <v>15.45</v>
      </c>
      <c r="E8399">
        <v>16.97</v>
      </c>
      <c r="F8399" s="1789">
        <v>8.8999999999999996E-2</v>
      </c>
      <c r="G8399">
        <f t="shared" si="263"/>
        <v>15.45</v>
      </c>
    </row>
    <row r="8400" spans="1:7" ht="12.75" customHeight="1">
      <c r="A8400" s="3">
        <v>89446</v>
      </c>
      <c r="B8400" s="4" t="s">
        <v>8424</v>
      </c>
      <c r="C8400" s="3" t="s">
        <v>50</v>
      </c>
      <c r="D8400" s="5">
        <f t="shared" si="262"/>
        <v>4.22</v>
      </c>
      <c r="E8400">
        <v>4.6399999999999997</v>
      </c>
      <c r="F8400" s="1789">
        <v>8.8999999999999996E-2</v>
      </c>
      <c r="G8400">
        <f t="shared" si="263"/>
        <v>4.22</v>
      </c>
    </row>
    <row r="8401" spans="1:7" ht="12.75" customHeight="1">
      <c r="A8401" s="3">
        <v>89447</v>
      </c>
      <c r="B8401" s="4" t="s">
        <v>8425</v>
      </c>
      <c r="C8401" s="3" t="s">
        <v>50</v>
      </c>
      <c r="D8401" s="5">
        <f t="shared" si="262"/>
        <v>8.35</v>
      </c>
      <c r="E8401">
        <v>9.17</v>
      </c>
      <c r="F8401" s="1789">
        <v>8.8999999999999996E-2</v>
      </c>
      <c r="G8401">
        <f t="shared" si="263"/>
        <v>8.35</v>
      </c>
    </row>
    <row r="8402" spans="1:7" ht="12.75" customHeight="1">
      <c r="A8402" s="3">
        <v>89448</v>
      </c>
      <c r="B8402" s="4" t="s">
        <v>8426</v>
      </c>
      <c r="C8402" s="3" t="s">
        <v>50</v>
      </c>
      <c r="D8402" s="5">
        <f t="shared" si="262"/>
        <v>12.75</v>
      </c>
      <c r="E8402">
        <v>14</v>
      </c>
      <c r="F8402" s="1789">
        <v>8.8999999999999996E-2</v>
      </c>
      <c r="G8402">
        <f t="shared" si="263"/>
        <v>12.75</v>
      </c>
    </row>
    <row r="8403" spans="1:7" ht="12.75" customHeight="1">
      <c r="A8403" s="3">
        <v>89449</v>
      </c>
      <c r="B8403" s="4" t="s">
        <v>8427</v>
      </c>
      <c r="C8403" s="3" t="s">
        <v>50</v>
      </c>
      <c r="D8403" s="5">
        <f t="shared" si="262"/>
        <v>14.13</v>
      </c>
      <c r="E8403">
        <v>15.52</v>
      </c>
      <c r="F8403" s="1789">
        <v>8.8999999999999996E-2</v>
      </c>
      <c r="G8403">
        <f t="shared" si="263"/>
        <v>14.13</v>
      </c>
    </row>
    <row r="8404" spans="1:7" ht="12.75" customHeight="1">
      <c r="A8404" s="3">
        <v>89450</v>
      </c>
      <c r="B8404" s="4" t="s">
        <v>8428</v>
      </c>
      <c r="C8404" s="3" t="s">
        <v>50</v>
      </c>
      <c r="D8404" s="5">
        <f t="shared" si="262"/>
        <v>22.56</v>
      </c>
      <c r="E8404">
        <v>24.77</v>
      </c>
      <c r="F8404" s="1789">
        <v>8.8999999999999996E-2</v>
      </c>
      <c r="G8404">
        <f t="shared" si="263"/>
        <v>22.56</v>
      </c>
    </row>
    <row r="8405" spans="1:7" ht="12.75" customHeight="1">
      <c r="A8405" s="3">
        <v>89451</v>
      </c>
      <c r="B8405" s="4" t="s">
        <v>8429</v>
      </c>
      <c r="C8405" s="3" t="s">
        <v>50</v>
      </c>
      <c r="D8405" s="5">
        <f t="shared" ref="D8405:D8468" si="264">G8405</f>
        <v>36.68</v>
      </c>
      <c r="E8405">
        <v>40.270000000000003</v>
      </c>
      <c r="F8405" s="1789">
        <v>8.8999999999999996E-2</v>
      </c>
      <c r="G8405">
        <f t="shared" ref="G8405:G8468" si="265">TRUNC((1-F8405)*E8405,2)</f>
        <v>36.68</v>
      </c>
    </row>
    <row r="8406" spans="1:7" ht="12.75" customHeight="1">
      <c r="A8406" s="3">
        <v>89452</v>
      </c>
      <c r="B8406" s="4" t="s">
        <v>8430</v>
      </c>
      <c r="C8406" s="3" t="s">
        <v>50</v>
      </c>
      <c r="D8406" s="5">
        <f t="shared" si="264"/>
        <v>50.46</v>
      </c>
      <c r="E8406">
        <v>55.4</v>
      </c>
      <c r="F8406" s="1789">
        <v>8.8999999999999996E-2</v>
      </c>
      <c r="G8406">
        <f t="shared" si="265"/>
        <v>50.46</v>
      </c>
    </row>
    <row r="8407" spans="1:7" ht="12.75" customHeight="1">
      <c r="A8407" s="3">
        <v>89508</v>
      </c>
      <c r="B8407" s="4" t="s">
        <v>8431</v>
      </c>
      <c r="C8407" s="3" t="s">
        <v>50</v>
      </c>
      <c r="D8407" s="5">
        <f t="shared" si="264"/>
        <v>14.25</v>
      </c>
      <c r="E8407">
        <v>15.65</v>
      </c>
      <c r="F8407" s="1789">
        <v>8.8999999999999996E-2</v>
      </c>
      <c r="G8407">
        <f t="shared" si="265"/>
        <v>14.25</v>
      </c>
    </row>
    <row r="8408" spans="1:7" ht="12.75" customHeight="1">
      <c r="A8408" s="3">
        <v>89509</v>
      </c>
      <c r="B8408" s="4" t="s">
        <v>8432</v>
      </c>
      <c r="C8408" s="3" t="s">
        <v>50</v>
      </c>
      <c r="D8408" s="5">
        <f t="shared" si="264"/>
        <v>19.27</v>
      </c>
      <c r="E8408">
        <v>21.16</v>
      </c>
      <c r="F8408" s="1789">
        <v>8.8999999999999996E-2</v>
      </c>
      <c r="G8408">
        <f t="shared" si="265"/>
        <v>19.27</v>
      </c>
    </row>
    <row r="8409" spans="1:7" ht="12.75" customHeight="1">
      <c r="A8409" s="3">
        <v>89511</v>
      </c>
      <c r="B8409" s="4" t="s">
        <v>8433</v>
      </c>
      <c r="C8409" s="3" t="s">
        <v>50</v>
      </c>
      <c r="D8409" s="5">
        <f t="shared" si="264"/>
        <v>32.85</v>
      </c>
      <c r="E8409">
        <v>36.06</v>
      </c>
      <c r="F8409" s="1789">
        <v>8.8999999999999996E-2</v>
      </c>
      <c r="G8409">
        <f t="shared" si="265"/>
        <v>32.85</v>
      </c>
    </row>
    <row r="8410" spans="1:7" ht="12.75" customHeight="1">
      <c r="A8410" s="3">
        <v>89512</v>
      </c>
      <c r="B8410" s="4" t="s">
        <v>8434</v>
      </c>
      <c r="C8410" s="3" t="s">
        <v>50</v>
      </c>
      <c r="D8410" s="5">
        <f t="shared" si="264"/>
        <v>41.69</v>
      </c>
      <c r="E8410">
        <v>45.77</v>
      </c>
      <c r="F8410" s="1789">
        <v>8.8999999999999996E-2</v>
      </c>
      <c r="G8410">
        <f t="shared" si="265"/>
        <v>41.69</v>
      </c>
    </row>
    <row r="8411" spans="1:7" ht="12.75" customHeight="1">
      <c r="A8411" s="3">
        <v>89576</v>
      </c>
      <c r="B8411" s="4" t="s">
        <v>8435</v>
      </c>
      <c r="C8411" s="3" t="s">
        <v>50</v>
      </c>
      <c r="D8411" s="5">
        <f t="shared" si="264"/>
        <v>22.48</v>
      </c>
      <c r="E8411">
        <v>24.68</v>
      </c>
      <c r="F8411" s="1789">
        <v>8.8999999999999996E-2</v>
      </c>
      <c r="G8411">
        <f t="shared" si="265"/>
        <v>22.48</v>
      </c>
    </row>
    <row r="8412" spans="1:7" ht="12.75" customHeight="1">
      <c r="A8412" s="3">
        <v>89578</v>
      </c>
      <c r="B8412" s="4" t="s">
        <v>8436</v>
      </c>
      <c r="C8412" s="3" t="s">
        <v>50</v>
      </c>
      <c r="D8412" s="5">
        <f t="shared" si="264"/>
        <v>27.91</v>
      </c>
      <c r="E8412">
        <v>30.64</v>
      </c>
      <c r="F8412" s="1789">
        <v>8.8999999999999996E-2</v>
      </c>
      <c r="G8412">
        <f t="shared" si="265"/>
        <v>27.91</v>
      </c>
    </row>
    <row r="8413" spans="1:7" ht="12.75" customHeight="1">
      <c r="A8413" s="3">
        <v>89580</v>
      </c>
      <c r="B8413" s="4" t="s">
        <v>8437</v>
      </c>
      <c r="C8413" s="3" t="s">
        <v>50</v>
      </c>
      <c r="D8413" s="5">
        <f t="shared" si="264"/>
        <v>57.7</v>
      </c>
      <c r="E8413">
        <v>63.34</v>
      </c>
      <c r="F8413" s="1789">
        <v>8.8999999999999996E-2</v>
      </c>
      <c r="G8413">
        <f t="shared" si="265"/>
        <v>57.7</v>
      </c>
    </row>
    <row r="8414" spans="1:7" ht="12.75" customHeight="1">
      <c r="A8414" s="3">
        <v>89633</v>
      </c>
      <c r="B8414" s="4" t="s">
        <v>8438</v>
      </c>
      <c r="C8414" s="3" t="s">
        <v>50</v>
      </c>
      <c r="D8414" s="5">
        <f t="shared" si="264"/>
        <v>22.64</v>
      </c>
      <c r="E8414">
        <v>24.86</v>
      </c>
      <c r="F8414" s="1789">
        <v>8.8999999999999996E-2</v>
      </c>
      <c r="G8414">
        <f t="shared" si="265"/>
        <v>22.64</v>
      </c>
    </row>
    <row r="8415" spans="1:7" ht="12.75" customHeight="1">
      <c r="A8415" s="3">
        <v>89634</v>
      </c>
      <c r="B8415" s="4" t="s">
        <v>8439</v>
      </c>
      <c r="C8415" s="3" t="s">
        <v>50</v>
      </c>
      <c r="D8415" s="5">
        <f t="shared" si="264"/>
        <v>32.299999999999997</v>
      </c>
      <c r="E8415">
        <v>35.46</v>
      </c>
      <c r="F8415" s="1789">
        <v>8.8999999999999996E-2</v>
      </c>
      <c r="G8415">
        <f t="shared" si="265"/>
        <v>32.299999999999997</v>
      </c>
    </row>
    <row r="8416" spans="1:7" ht="12.75" customHeight="1">
      <c r="A8416" s="3">
        <v>89635</v>
      </c>
      <c r="B8416" s="4" t="s">
        <v>8440</v>
      </c>
      <c r="C8416" s="3" t="s">
        <v>50</v>
      </c>
      <c r="D8416" s="5">
        <f t="shared" si="264"/>
        <v>47.63</v>
      </c>
      <c r="E8416">
        <v>52.29</v>
      </c>
      <c r="F8416" s="1789">
        <v>8.8999999999999996E-2</v>
      </c>
      <c r="G8416">
        <f t="shared" si="265"/>
        <v>47.63</v>
      </c>
    </row>
    <row r="8417" spans="1:7" ht="12.75" customHeight="1">
      <c r="A8417" s="3">
        <v>89636</v>
      </c>
      <c r="B8417" s="4" t="s">
        <v>8441</v>
      </c>
      <c r="C8417" s="3" t="s">
        <v>50</v>
      </c>
      <c r="D8417" s="5">
        <f t="shared" si="264"/>
        <v>59.98</v>
      </c>
      <c r="E8417">
        <v>65.849999999999994</v>
      </c>
      <c r="F8417" s="1789">
        <v>8.8999999999999996E-2</v>
      </c>
      <c r="G8417">
        <f t="shared" si="265"/>
        <v>59.98</v>
      </c>
    </row>
    <row r="8418" spans="1:7" ht="12.75" customHeight="1">
      <c r="A8418" s="3">
        <v>89711</v>
      </c>
      <c r="B8418" s="4" t="s">
        <v>8442</v>
      </c>
      <c r="C8418" s="3" t="s">
        <v>50</v>
      </c>
      <c r="D8418" s="5">
        <f t="shared" si="264"/>
        <v>18.23</v>
      </c>
      <c r="E8418">
        <v>20.02</v>
      </c>
      <c r="F8418" s="1789">
        <v>8.8999999999999996E-2</v>
      </c>
      <c r="G8418">
        <f t="shared" si="265"/>
        <v>18.23</v>
      </c>
    </row>
    <row r="8419" spans="1:7" ht="12.75" customHeight="1">
      <c r="A8419" s="3">
        <v>89712</v>
      </c>
      <c r="B8419" s="4" t="s">
        <v>8443</v>
      </c>
      <c r="C8419" s="3" t="s">
        <v>50</v>
      </c>
      <c r="D8419" s="5">
        <f t="shared" si="264"/>
        <v>23.1</v>
      </c>
      <c r="E8419">
        <v>25.36</v>
      </c>
      <c r="F8419" s="1789">
        <v>8.8999999999999996E-2</v>
      </c>
      <c r="G8419">
        <f t="shared" si="265"/>
        <v>23.1</v>
      </c>
    </row>
    <row r="8420" spans="1:7" ht="12.75" customHeight="1">
      <c r="A8420" s="3">
        <v>89713</v>
      </c>
      <c r="B8420" s="4" t="s">
        <v>8444</v>
      </c>
      <c r="C8420" s="3" t="s">
        <v>50</v>
      </c>
      <c r="D8420" s="5">
        <f t="shared" si="264"/>
        <v>28.78</v>
      </c>
      <c r="E8420">
        <v>31.6</v>
      </c>
      <c r="F8420" s="1789">
        <v>8.8999999999999996E-2</v>
      </c>
      <c r="G8420">
        <f t="shared" si="265"/>
        <v>28.78</v>
      </c>
    </row>
    <row r="8421" spans="1:7" ht="12.75" customHeight="1">
      <c r="A8421" s="3">
        <v>89714</v>
      </c>
      <c r="B8421" s="4" t="s">
        <v>8445</v>
      </c>
      <c r="C8421" s="3" t="s">
        <v>50</v>
      </c>
      <c r="D8421" s="5">
        <f t="shared" si="264"/>
        <v>32.17</v>
      </c>
      <c r="E8421">
        <v>35.32</v>
      </c>
      <c r="F8421" s="1789">
        <v>8.8999999999999996E-2</v>
      </c>
      <c r="G8421">
        <f t="shared" si="265"/>
        <v>32.17</v>
      </c>
    </row>
    <row r="8422" spans="1:7" ht="12.75" customHeight="1">
      <c r="A8422" s="3">
        <v>89716</v>
      </c>
      <c r="B8422" s="4" t="s">
        <v>8446</v>
      </c>
      <c r="C8422" s="3" t="s">
        <v>50</v>
      </c>
      <c r="D8422" s="5">
        <f t="shared" si="264"/>
        <v>23.7</v>
      </c>
      <c r="E8422">
        <v>26.02</v>
      </c>
      <c r="F8422" s="1789">
        <v>8.8999999999999996E-2</v>
      </c>
      <c r="G8422">
        <f t="shared" si="265"/>
        <v>23.7</v>
      </c>
    </row>
    <row r="8423" spans="1:7" ht="12.75" customHeight="1">
      <c r="A8423" s="3">
        <v>89717</v>
      </c>
      <c r="B8423" s="4" t="s">
        <v>8447</v>
      </c>
      <c r="C8423" s="3" t="s">
        <v>50</v>
      </c>
      <c r="D8423" s="5">
        <f t="shared" si="264"/>
        <v>37.479999999999997</v>
      </c>
      <c r="E8423">
        <v>41.15</v>
      </c>
      <c r="F8423" s="1789">
        <v>8.8999999999999996E-2</v>
      </c>
      <c r="G8423">
        <f t="shared" si="265"/>
        <v>37.479999999999997</v>
      </c>
    </row>
    <row r="8424" spans="1:7" ht="12.75" customHeight="1">
      <c r="A8424" s="3">
        <v>89770</v>
      </c>
      <c r="B8424" s="4" t="s">
        <v>8448</v>
      </c>
      <c r="C8424" s="3" t="s">
        <v>50</v>
      </c>
      <c r="D8424" s="5">
        <f t="shared" si="264"/>
        <v>40.53</v>
      </c>
      <c r="E8424">
        <v>44.49</v>
      </c>
      <c r="F8424" s="1789">
        <v>8.8999999999999996E-2</v>
      </c>
      <c r="G8424">
        <f t="shared" si="265"/>
        <v>40.53</v>
      </c>
    </row>
    <row r="8425" spans="1:7" ht="12.75" customHeight="1">
      <c r="A8425" s="3">
        <v>89771</v>
      </c>
      <c r="B8425" s="4" t="s">
        <v>8449</v>
      </c>
      <c r="C8425" s="3" t="s">
        <v>50</v>
      </c>
      <c r="D8425" s="5">
        <f t="shared" si="264"/>
        <v>54.11</v>
      </c>
      <c r="E8425">
        <v>59.4</v>
      </c>
      <c r="F8425" s="1789">
        <v>8.8999999999999996E-2</v>
      </c>
      <c r="G8425">
        <f t="shared" si="265"/>
        <v>54.11</v>
      </c>
    </row>
    <row r="8426" spans="1:7" ht="12.75" customHeight="1">
      <c r="A8426" s="3">
        <v>89773</v>
      </c>
      <c r="B8426" s="4" t="s">
        <v>8450</v>
      </c>
      <c r="C8426" s="3" t="s">
        <v>50</v>
      </c>
      <c r="D8426" s="5">
        <f t="shared" si="264"/>
        <v>127.18</v>
      </c>
      <c r="E8426">
        <v>139.61000000000001</v>
      </c>
      <c r="F8426" s="1789">
        <v>8.8999999999999996E-2</v>
      </c>
      <c r="G8426">
        <f t="shared" si="265"/>
        <v>127.18</v>
      </c>
    </row>
    <row r="8427" spans="1:7" ht="12.75" customHeight="1">
      <c r="A8427" s="3">
        <v>89775</v>
      </c>
      <c r="B8427" s="4" t="s">
        <v>8451</v>
      </c>
      <c r="C8427" s="3" t="s">
        <v>50</v>
      </c>
      <c r="D8427" s="5">
        <f t="shared" si="264"/>
        <v>198.88</v>
      </c>
      <c r="E8427">
        <v>218.31</v>
      </c>
      <c r="F8427" s="1789">
        <v>8.8999999999999996E-2</v>
      </c>
      <c r="G8427">
        <f t="shared" si="265"/>
        <v>198.88</v>
      </c>
    </row>
    <row r="8428" spans="1:7" ht="12.75" customHeight="1">
      <c r="A8428" s="3">
        <v>89798</v>
      </c>
      <c r="B8428" s="4" t="s">
        <v>8452</v>
      </c>
      <c r="C8428" s="3" t="s">
        <v>50</v>
      </c>
      <c r="D8428" s="5">
        <f t="shared" si="264"/>
        <v>11.4</v>
      </c>
      <c r="E8428">
        <v>12.52</v>
      </c>
      <c r="F8428" s="1789">
        <v>8.8999999999999996E-2</v>
      </c>
      <c r="G8428">
        <f t="shared" si="265"/>
        <v>11.4</v>
      </c>
    </row>
    <row r="8429" spans="1:7" ht="12.75" customHeight="1">
      <c r="A8429" s="3">
        <v>89799</v>
      </c>
      <c r="B8429" s="4" t="s">
        <v>8453</v>
      </c>
      <c r="C8429" s="3" t="s">
        <v>50</v>
      </c>
      <c r="D8429" s="5">
        <f t="shared" si="264"/>
        <v>19.059999999999999</v>
      </c>
      <c r="E8429">
        <v>20.93</v>
      </c>
      <c r="F8429" s="1789">
        <v>8.8999999999999996E-2</v>
      </c>
      <c r="G8429">
        <f t="shared" si="265"/>
        <v>19.059999999999999</v>
      </c>
    </row>
    <row r="8430" spans="1:7" ht="12.75" customHeight="1">
      <c r="A8430" s="3">
        <v>89800</v>
      </c>
      <c r="B8430" s="4" t="s">
        <v>8454</v>
      </c>
      <c r="C8430" s="3" t="s">
        <v>50</v>
      </c>
      <c r="D8430" s="5">
        <f t="shared" si="264"/>
        <v>24.48</v>
      </c>
      <c r="E8430">
        <v>26.88</v>
      </c>
      <c r="F8430" s="1789">
        <v>8.8999999999999996E-2</v>
      </c>
      <c r="G8430">
        <f t="shared" si="265"/>
        <v>24.48</v>
      </c>
    </row>
    <row r="8431" spans="1:7" ht="12.75" customHeight="1">
      <c r="A8431" s="3">
        <v>89848</v>
      </c>
      <c r="B8431" s="4" t="s">
        <v>8455</v>
      </c>
      <c r="C8431" s="3" t="s">
        <v>50</v>
      </c>
      <c r="D8431" s="5">
        <f t="shared" si="264"/>
        <v>23.48</v>
      </c>
      <c r="E8431">
        <v>25.78</v>
      </c>
      <c r="F8431" s="1789">
        <v>8.8999999999999996E-2</v>
      </c>
      <c r="G8431">
        <f t="shared" si="265"/>
        <v>23.48</v>
      </c>
    </row>
    <row r="8432" spans="1:7" ht="12.75" customHeight="1">
      <c r="A8432" s="3">
        <v>89849</v>
      </c>
      <c r="B8432" s="4" t="s">
        <v>8456</v>
      </c>
      <c r="C8432" s="3" t="s">
        <v>50</v>
      </c>
      <c r="D8432" s="5">
        <f t="shared" si="264"/>
        <v>48.01</v>
      </c>
      <c r="E8432">
        <v>52.71</v>
      </c>
      <c r="F8432" s="1789">
        <v>8.8999999999999996E-2</v>
      </c>
      <c r="G8432">
        <f t="shared" si="265"/>
        <v>48.01</v>
      </c>
    </row>
    <row r="8433" spans="1:7" ht="12.75" customHeight="1">
      <c r="A8433" s="3">
        <v>89865</v>
      </c>
      <c r="B8433" s="4" t="s">
        <v>8457</v>
      </c>
      <c r="C8433" s="3" t="s">
        <v>50</v>
      </c>
      <c r="D8433" s="5">
        <f t="shared" si="264"/>
        <v>14.24</v>
      </c>
      <c r="E8433">
        <v>15.64</v>
      </c>
      <c r="F8433" s="1789">
        <v>8.8999999999999996E-2</v>
      </c>
      <c r="G8433">
        <f t="shared" si="265"/>
        <v>14.24</v>
      </c>
    </row>
    <row r="8434" spans="1:7" ht="12.75" customHeight="1">
      <c r="A8434" s="3">
        <v>92275</v>
      </c>
      <c r="B8434" s="4" t="s">
        <v>8458</v>
      </c>
      <c r="C8434" s="3" t="s">
        <v>50</v>
      </c>
      <c r="D8434" s="5">
        <f t="shared" si="264"/>
        <v>50.61</v>
      </c>
      <c r="E8434">
        <v>55.56</v>
      </c>
      <c r="F8434" s="1789">
        <v>8.8999999999999996E-2</v>
      </c>
      <c r="G8434">
        <f t="shared" si="265"/>
        <v>50.61</v>
      </c>
    </row>
    <row r="8435" spans="1:7" ht="12.75" customHeight="1">
      <c r="A8435" s="3">
        <v>92276</v>
      </c>
      <c r="B8435" s="4" t="s">
        <v>8459</v>
      </c>
      <c r="C8435" s="3" t="s">
        <v>50</v>
      </c>
      <c r="D8435" s="5">
        <f t="shared" si="264"/>
        <v>64.28</v>
      </c>
      <c r="E8435">
        <v>70.569999999999993</v>
      </c>
      <c r="F8435" s="1789">
        <v>8.8999999999999996E-2</v>
      </c>
      <c r="G8435">
        <f t="shared" si="265"/>
        <v>64.28</v>
      </c>
    </row>
    <row r="8436" spans="1:7" ht="12.75" customHeight="1">
      <c r="A8436" s="3">
        <v>92277</v>
      </c>
      <c r="B8436" s="4" t="s">
        <v>8460</v>
      </c>
      <c r="C8436" s="3" t="s">
        <v>50</v>
      </c>
      <c r="D8436" s="5">
        <f t="shared" si="264"/>
        <v>92.91</v>
      </c>
      <c r="E8436">
        <v>101.99</v>
      </c>
      <c r="F8436" s="1789">
        <v>8.8999999999999996E-2</v>
      </c>
      <c r="G8436">
        <f t="shared" si="265"/>
        <v>92.91</v>
      </c>
    </row>
    <row r="8437" spans="1:7" ht="12.75" customHeight="1">
      <c r="A8437" s="3">
        <v>92278</v>
      </c>
      <c r="B8437" s="4" t="s">
        <v>8461</v>
      </c>
      <c r="C8437" s="3" t="s">
        <v>50</v>
      </c>
      <c r="D8437" s="5">
        <f t="shared" si="264"/>
        <v>125.03</v>
      </c>
      <c r="E8437">
        <v>137.25</v>
      </c>
      <c r="F8437" s="1789">
        <v>8.8999999999999996E-2</v>
      </c>
      <c r="G8437">
        <f t="shared" si="265"/>
        <v>125.03</v>
      </c>
    </row>
    <row r="8438" spans="1:7" ht="12.75" customHeight="1">
      <c r="A8438" s="3">
        <v>92279</v>
      </c>
      <c r="B8438" s="4" t="s">
        <v>8462</v>
      </c>
      <c r="C8438" s="3" t="s">
        <v>50</v>
      </c>
      <c r="D8438" s="5">
        <f t="shared" si="264"/>
        <v>180.76</v>
      </c>
      <c r="E8438">
        <v>198.43</v>
      </c>
      <c r="F8438" s="1789">
        <v>8.8999999999999996E-2</v>
      </c>
      <c r="G8438">
        <f t="shared" si="265"/>
        <v>180.76</v>
      </c>
    </row>
    <row r="8439" spans="1:7" ht="12.75" customHeight="1">
      <c r="A8439" s="3">
        <v>92280</v>
      </c>
      <c r="B8439" s="4" t="s">
        <v>8463</v>
      </c>
      <c r="C8439" s="3" t="s">
        <v>50</v>
      </c>
      <c r="D8439" s="5">
        <f t="shared" si="264"/>
        <v>253.82</v>
      </c>
      <c r="E8439">
        <v>278.62</v>
      </c>
      <c r="F8439" s="1789">
        <v>8.8999999999999996E-2</v>
      </c>
      <c r="G8439">
        <f t="shared" si="265"/>
        <v>253.82</v>
      </c>
    </row>
    <row r="8440" spans="1:7" ht="12.75" customHeight="1">
      <c r="A8440" s="3">
        <v>92281</v>
      </c>
      <c r="B8440" s="4" t="s">
        <v>8464</v>
      </c>
      <c r="C8440" s="3" t="s">
        <v>50</v>
      </c>
      <c r="D8440" s="5">
        <f t="shared" si="264"/>
        <v>117.05</v>
      </c>
      <c r="E8440">
        <v>128.49</v>
      </c>
      <c r="F8440" s="1789">
        <v>8.8999999999999996E-2</v>
      </c>
      <c r="G8440">
        <f t="shared" si="265"/>
        <v>117.05</v>
      </c>
    </row>
    <row r="8441" spans="1:7" ht="12.75" customHeight="1">
      <c r="A8441" s="3">
        <v>92282</v>
      </c>
      <c r="B8441" s="4" t="s">
        <v>8465</v>
      </c>
      <c r="C8441" s="3" t="s">
        <v>50</v>
      </c>
      <c r="D8441" s="5">
        <f t="shared" si="264"/>
        <v>133.41999999999999</v>
      </c>
      <c r="E8441">
        <v>146.46</v>
      </c>
      <c r="F8441" s="1789">
        <v>8.8999999999999996E-2</v>
      </c>
      <c r="G8441">
        <f t="shared" si="265"/>
        <v>133.41999999999999</v>
      </c>
    </row>
    <row r="8442" spans="1:7" ht="12.75" customHeight="1">
      <c r="A8442" s="3">
        <v>92283</v>
      </c>
      <c r="B8442" s="4" t="s">
        <v>8466</v>
      </c>
      <c r="C8442" s="3" t="s">
        <v>50</v>
      </c>
      <c r="D8442" s="5">
        <f t="shared" si="264"/>
        <v>180.28</v>
      </c>
      <c r="E8442">
        <v>197.9</v>
      </c>
      <c r="F8442" s="1789">
        <v>8.8999999999999996E-2</v>
      </c>
      <c r="G8442">
        <f t="shared" si="265"/>
        <v>180.28</v>
      </c>
    </row>
    <row r="8443" spans="1:7" ht="12.75" customHeight="1">
      <c r="A8443" s="3">
        <v>92284</v>
      </c>
      <c r="B8443" s="4" t="s">
        <v>8467</v>
      </c>
      <c r="C8443" s="3" t="s">
        <v>50</v>
      </c>
      <c r="D8443" s="5">
        <f t="shared" si="264"/>
        <v>224.64</v>
      </c>
      <c r="E8443">
        <v>246.59</v>
      </c>
      <c r="F8443" s="1789">
        <v>8.8999999999999996E-2</v>
      </c>
      <c r="G8443">
        <f t="shared" si="265"/>
        <v>224.64</v>
      </c>
    </row>
    <row r="8444" spans="1:7" ht="12.75" customHeight="1">
      <c r="A8444" s="3">
        <v>92285</v>
      </c>
      <c r="B8444" s="4" t="s">
        <v>8468</v>
      </c>
      <c r="C8444" s="3" t="s">
        <v>50</v>
      </c>
      <c r="D8444" s="5">
        <f t="shared" si="264"/>
        <v>299.79000000000002</v>
      </c>
      <c r="E8444">
        <v>329.08</v>
      </c>
      <c r="F8444" s="1789">
        <v>8.8999999999999996E-2</v>
      </c>
      <c r="G8444">
        <f t="shared" si="265"/>
        <v>299.79000000000002</v>
      </c>
    </row>
    <row r="8445" spans="1:7" ht="12.75" customHeight="1">
      <c r="A8445" s="3">
        <v>92286</v>
      </c>
      <c r="B8445" s="4" t="s">
        <v>8469</v>
      </c>
      <c r="C8445" s="3" t="s">
        <v>50</v>
      </c>
      <c r="D8445" s="5">
        <f t="shared" si="264"/>
        <v>374.51</v>
      </c>
      <c r="E8445">
        <v>411.1</v>
      </c>
      <c r="F8445" s="1789">
        <v>8.8999999999999996E-2</v>
      </c>
      <c r="G8445">
        <f t="shared" si="265"/>
        <v>374.51</v>
      </c>
    </row>
    <row r="8446" spans="1:7" ht="12.75" customHeight="1">
      <c r="A8446" s="3">
        <v>92305</v>
      </c>
      <c r="B8446" s="4" t="s">
        <v>8470</v>
      </c>
      <c r="C8446" s="3" t="s">
        <v>50</v>
      </c>
      <c r="D8446" s="5">
        <f t="shared" si="264"/>
        <v>34.090000000000003</v>
      </c>
      <c r="E8446">
        <v>37.43</v>
      </c>
      <c r="F8446" s="1789">
        <v>8.8999999999999996E-2</v>
      </c>
      <c r="G8446">
        <f t="shared" si="265"/>
        <v>34.090000000000003</v>
      </c>
    </row>
    <row r="8447" spans="1:7" ht="12.75" customHeight="1">
      <c r="A8447" s="3">
        <v>92306</v>
      </c>
      <c r="B8447" s="4" t="s">
        <v>8471</v>
      </c>
      <c r="C8447" s="3" t="s">
        <v>50</v>
      </c>
      <c r="D8447" s="5">
        <f t="shared" si="264"/>
        <v>55.38</v>
      </c>
      <c r="E8447">
        <v>60.8</v>
      </c>
      <c r="F8447" s="1789">
        <v>8.8999999999999996E-2</v>
      </c>
      <c r="G8447">
        <f t="shared" si="265"/>
        <v>55.38</v>
      </c>
    </row>
    <row r="8448" spans="1:7" ht="12.75" customHeight="1">
      <c r="A8448" s="3">
        <v>92307</v>
      </c>
      <c r="B8448" s="4" t="s">
        <v>8472</v>
      </c>
      <c r="C8448" s="3" t="s">
        <v>50</v>
      </c>
      <c r="D8448" s="5">
        <f t="shared" si="264"/>
        <v>69.290000000000006</v>
      </c>
      <c r="E8448">
        <v>76.06</v>
      </c>
      <c r="F8448" s="1789">
        <v>8.8999999999999996E-2</v>
      </c>
      <c r="G8448">
        <f t="shared" si="265"/>
        <v>69.290000000000006</v>
      </c>
    </row>
    <row r="8449" spans="1:7" ht="12.75" customHeight="1">
      <c r="A8449" s="3">
        <v>92308</v>
      </c>
      <c r="B8449" s="4" t="s">
        <v>8473</v>
      </c>
      <c r="C8449" s="3" t="s">
        <v>50</v>
      </c>
      <c r="D8449" s="5">
        <f t="shared" si="264"/>
        <v>50.62</v>
      </c>
      <c r="E8449">
        <v>55.57</v>
      </c>
      <c r="F8449" s="1789">
        <v>8.8999999999999996E-2</v>
      </c>
      <c r="G8449">
        <f t="shared" si="265"/>
        <v>50.62</v>
      </c>
    </row>
    <row r="8450" spans="1:7" ht="12.75" customHeight="1">
      <c r="A8450" s="3">
        <v>92309</v>
      </c>
      <c r="B8450" s="4" t="s">
        <v>8474</v>
      </c>
      <c r="C8450" s="3" t="s">
        <v>50</v>
      </c>
      <c r="D8450" s="5">
        <f t="shared" si="264"/>
        <v>124.2</v>
      </c>
      <c r="E8450">
        <v>136.34</v>
      </c>
      <c r="F8450" s="1789">
        <v>8.8999999999999996E-2</v>
      </c>
      <c r="G8450">
        <f t="shared" si="265"/>
        <v>124.2</v>
      </c>
    </row>
    <row r="8451" spans="1:7" ht="12.75" customHeight="1">
      <c r="A8451" s="3">
        <v>92310</v>
      </c>
      <c r="B8451" s="4" t="s">
        <v>8475</v>
      </c>
      <c r="C8451" s="3" t="s">
        <v>50</v>
      </c>
      <c r="D8451" s="5">
        <f t="shared" si="264"/>
        <v>140.80000000000001</v>
      </c>
      <c r="E8451">
        <v>154.56</v>
      </c>
      <c r="F8451" s="1789">
        <v>8.8999999999999996E-2</v>
      </c>
      <c r="G8451">
        <f t="shared" si="265"/>
        <v>140.80000000000001</v>
      </c>
    </row>
    <row r="8452" spans="1:7" ht="12.75" customHeight="1">
      <c r="A8452" s="3">
        <v>92320</v>
      </c>
      <c r="B8452" s="4" t="s">
        <v>8476</v>
      </c>
      <c r="C8452" s="3" t="s">
        <v>50</v>
      </c>
      <c r="D8452" s="5">
        <f t="shared" si="264"/>
        <v>43.91</v>
      </c>
      <c r="E8452">
        <v>48.2</v>
      </c>
      <c r="F8452" s="1789">
        <v>8.8999999999999996E-2</v>
      </c>
      <c r="G8452">
        <f t="shared" si="265"/>
        <v>43.91</v>
      </c>
    </row>
    <row r="8453" spans="1:7" ht="12.75" customHeight="1">
      <c r="A8453" s="3">
        <v>92321</v>
      </c>
      <c r="B8453" s="4" t="s">
        <v>8477</v>
      </c>
      <c r="C8453" s="3" t="s">
        <v>50</v>
      </c>
      <c r="D8453" s="5">
        <f t="shared" si="264"/>
        <v>72.28</v>
      </c>
      <c r="E8453">
        <v>79.349999999999994</v>
      </c>
      <c r="F8453" s="1789">
        <v>8.8999999999999996E-2</v>
      </c>
      <c r="G8453">
        <f t="shared" si="265"/>
        <v>72.28</v>
      </c>
    </row>
    <row r="8454" spans="1:7" ht="12.75" customHeight="1">
      <c r="A8454" s="3">
        <v>92322</v>
      </c>
      <c r="B8454" s="4" t="s">
        <v>8478</v>
      </c>
      <c r="C8454" s="3" t="s">
        <v>50</v>
      </c>
      <c r="D8454" s="5">
        <f t="shared" si="264"/>
        <v>92.25</v>
      </c>
      <c r="E8454">
        <v>101.27</v>
      </c>
      <c r="F8454" s="1789">
        <v>8.8999999999999996E-2</v>
      </c>
      <c r="G8454">
        <f t="shared" si="265"/>
        <v>92.25</v>
      </c>
    </row>
    <row r="8455" spans="1:7" ht="12.75" customHeight="1">
      <c r="A8455" s="3">
        <v>92323</v>
      </c>
      <c r="B8455" s="4" t="s">
        <v>8479</v>
      </c>
      <c r="C8455" s="3" t="s">
        <v>50</v>
      </c>
      <c r="D8455" s="5">
        <f t="shared" si="264"/>
        <v>58.07</v>
      </c>
      <c r="E8455">
        <v>63.75</v>
      </c>
      <c r="F8455" s="1789">
        <v>8.8999999999999996E-2</v>
      </c>
      <c r="G8455">
        <f t="shared" si="265"/>
        <v>58.07</v>
      </c>
    </row>
    <row r="8456" spans="1:7" ht="12.75" customHeight="1">
      <c r="A8456" s="3">
        <v>92324</v>
      </c>
      <c r="B8456" s="4" t="s">
        <v>8480</v>
      </c>
      <c r="C8456" s="3" t="s">
        <v>50</v>
      </c>
      <c r="D8456" s="5">
        <f t="shared" si="264"/>
        <v>138.74</v>
      </c>
      <c r="E8456">
        <v>152.30000000000001</v>
      </c>
      <c r="F8456" s="1789">
        <v>8.8999999999999996E-2</v>
      </c>
      <c r="G8456">
        <f t="shared" si="265"/>
        <v>138.74</v>
      </c>
    </row>
    <row r="8457" spans="1:7" ht="12.75" customHeight="1">
      <c r="A8457" s="3">
        <v>92325</v>
      </c>
      <c r="B8457" s="4" t="s">
        <v>8481</v>
      </c>
      <c r="C8457" s="3" t="s">
        <v>50</v>
      </c>
      <c r="D8457" s="5">
        <f t="shared" si="264"/>
        <v>161.41999999999999</v>
      </c>
      <c r="E8457">
        <v>177.2</v>
      </c>
      <c r="F8457" s="1789">
        <v>8.8999999999999996E-2</v>
      </c>
      <c r="G8457">
        <f t="shared" si="265"/>
        <v>161.41999999999999</v>
      </c>
    </row>
    <row r="8458" spans="1:7" ht="12.75" customHeight="1">
      <c r="A8458" s="3">
        <v>92335</v>
      </c>
      <c r="B8458" s="4" t="s">
        <v>8482</v>
      </c>
      <c r="C8458" s="3" t="s">
        <v>50</v>
      </c>
      <c r="D8458" s="5">
        <f t="shared" si="264"/>
        <v>82.41</v>
      </c>
      <c r="E8458">
        <v>90.47</v>
      </c>
      <c r="F8458" s="1789">
        <v>8.8999999999999996E-2</v>
      </c>
      <c r="G8458">
        <f t="shared" si="265"/>
        <v>82.41</v>
      </c>
    </row>
    <row r="8459" spans="1:7" ht="12.75" customHeight="1">
      <c r="A8459" s="3">
        <v>92336</v>
      </c>
      <c r="B8459" s="4" t="s">
        <v>8483</v>
      </c>
      <c r="C8459" s="3" t="s">
        <v>50</v>
      </c>
      <c r="D8459" s="5">
        <f t="shared" si="264"/>
        <v>101.27</v>
      </c>
      <c r="E8459">
        <v>111.17</v>
      </c>
      <c r="F8459" s="1789">
        <v>8.8999999999999996E-2</v>
      </c>
      <c r="G8459">
        <f t="shared" si="265"/>
        <v>101.27</v>
      </c>
    </row>
    <row r="8460" spans="1:7" ht="12.75" customHeight="1">
      <c r="A8460" s="3">
        <v>92337</v>
      </c>
      <c r="B8460" s="4" t="s">
        <v>8484</v>
      </c>
      <c r="C8460" s="3" t="s">
        <v>50</v>
      </c>
      <c r="D8460" s="5">
        <f t="shared" si="264"/>
        <v>133.51</v>
      </c>
      <c r="E8460">
        <v>146.56</v>
      </c>
      <c r="F8460" s="1789">
        <v>8.8999999999999996E-2</v>
      </c>
      <c r="G8460">
        <f t="shared" si="265"/>
        <v>133.51</v>
      </c>
    </row>
    <row r="8461" spans="1:7" ht="12.75" customHeight="1">
      <c r="A8461" s="3">
        <v>92338</v>
      </c>
      <c r="B8461" s="4" t="s">
        <v>8485</v>
      </c>
      <c r="C8461" s="3" t="s">
        <v>50</v>
      </c>
      <c r="D8461" s="5">
        <f t="shared" si="264"/>
        <v>125.43</v>
      </c>
      <c r="E8461">
        <v>137.69</v>
      </c>
      <c r="F8461" s="1789">
        <v>8.8999999999999996E-2</v>
      </c>
      <c r="G8461">
        <f t="shared" si="265"/>
        <v>125.43</v>
      </c>
    </row>
    <row r="8462" spans="1:7" ht="12.75" customHeight="1">
      <c r="A8462" s="3">
        <v>92339</v>
      </c>
      <c r="B8462" s="4" t="s">
        <v>8486</v>
      </c>
      <c r="C8462" s="3" t="s">
        <v>50</v>
      </c>
      <c r="D8462" s="5">
        <f t="shared" si="264"/>
        <v>190.41</v>
      </c>
      <c r="E8462">
        <v>209.02</v>
      </c>
      <c r="F8462" s="1789">
        <v>8.8999999999999996E-2</v>
      </c>
      <c r="G8462">
        <f t="shared" si="265"/>
        <v>190.41</v>
      </c>
    </row>
    <row r="8463" spans="1:7" ht="12.75" customHeight="1">
      <c r="A8463" s="3">
        <v>92341</v>
      </c>
      <c r="B8463" s="4" t="s">
        <v>8487</v>
      </c>
      <c r="C8463" s="3" t="s">
        <v>50</v>
      </c>
      <c r="D8463" s="5">
        <f t="shared" si="264"/>
        <v>91.4</v>
      </c>
      <c r="E8463">
        <v>100.34</v>
      </c>
      <c r="F8463" s="1789">
        <v>8.8999999999999996E-2</v>
      </c>
      <c r="G8463">
        <f t="shared" si="265"/>
        <v>91.4</v>
      </c>
    </row>
    <row r="8464" spans="1:7" ht="12.75" customHeight="1">
      <c r="A8464" s="3">
        <v>92342</v>
      </c>
      <c r="B8464" s="4" t="s">
        <v>8488</v>
      </c>
      <c r="C8464" s="3" t="s">
        <v>50</v>
      </c>
      <c r="D8464" s="5">
        <f t="shared" si="264"/>
        <v>110.33</v>
      </c>
      <c r="E8464">
        <v>121.11</v>
      </c>
      <c r="F8464" s="1789">
        <v>8.8999999999999996E-2</v>
      </c>
      <c r="G8464">
        <f t="shared" si="265"/>
        <v>110.33</v>
      </c>
    </row>
    <row r="8465" spans="1:7" ht="12.75" customHeight="1">
      <c r="A8465" s="3">
        <v>92343</v>
      </c>
      <c r="B8465" s="4" t="s">
        <v>8489</v>
      </c>
      <c r="C8465" s="3" t="s">
        <v>50</v>
      </c>
      <c r="D8465" s="5">
        <f t="shared" si="264"/>
        <v>142.65</v>
      </c>
      <c r="E8465">
        <v>156.59</v>
      </c>
      <c r="F8465" s="1789">
        <v>8.8999999999999996E-2</v>
      </c>
      <c r="G8465">
        <f t="shared" si="265"/>
        <v>142.65</v>
      </c>
    </row>
    <row r="8466" spans="1:7" ht="12.75" customHeight="1">
      <c r="A8466" s="3">
        <v>92359</v>
      </c>
      <c r="B8466" s="4" t="s">
        <v>8490</v>
      </c>
      <c r="C8466" s="3" t="s">
        <v>50</v>
      </c>
      <c r="D8466" s="5">
        <f t="shared" si="264"/>
        <v>59.3</v>
      </c>
      <c r="E8466">
        <v>65.099999999999994</v>
      </c>
      <c r="F8466" s="1789">
        <v>8.8999999999999996E-2</v>
      </c>
      <c r="G8466">
        <f t="shared" si="265"/>
        <v>59.3</v>
      </c>
    </row>
    <row r="8467" spans="1:7" ht="12.75" customHeight="1">
      <c r="A8467" s="3">
        <v>92360</v>
      </c>
      <c r="B8467" s="4" t="s">
        <v>8491</v>
      </c>
      <c r="C8467" s="3" t="s">
        <v>50</v>
      </c>
      <c r="D8467" s="5">
        <f t="shared" si="264"/>
        <v>79.28</v>
      </c>
      <c r="E8467">
        <v>87.03</v>
      </c>
      <c r="F8467" s="1789">
        <v>8.8999999999999996E-2</v>
      </c>
      <c r="G8467">
        <f t="shared" si="265"/>
        <v>79.28</v>
      </c>
    </row>
    <row r="8468" spans="1:7" ht="12.75" customHeight="1">
      <c r="A8468" s="3">
        <v>92361</v>
      </c>
      <c r="B8468" s="4" t="s">
        <v>8492</v>
      </c>
      <c r="C8468" s="3" t="s">
        <v>50</v>
      </c>
      <c r="D8468" s="5">
        <f t="shared" si="264"/>
        <v>106.99</v>
      </c>
      <c r="E8468">
        <v>117.45</v>
      </c>
      <c r="F8468" s="1789">
        <v>8.8999999999999996E-2</v>
      </c>
      <c r="G8468">
        <f t="shared" si="265"/>
        <v>106.99</v>
      </c>
    </row>
    <row r="8469" spans="1:7" ht="12.75" customHeight="1">
      <c r="A8469" s="3">
        <v>92362</v>
      </c>
      <c r="B8469" s="4" t="s">
        <v>8493</v>
      </c>
      <c r="C8469" s="3" t="s">
        <v>50</v>
      </c>
      <c r="D8469" s="5">
        <f t="shared" ref="D8469:D8532" si="266">G8469</f>
        <v>171.24</v>
      </c>
      <c r="E8469">
        <v>187.97</v>
      </c>
      <c r="F8469" s="1789">
        <v>8.8999999999999996E-2</v>
      </c>
      <c r="G8469">
        <f t="shared" ref="G8469:G8532" si="267">TRUNC((1-F8469)*E8469,2)</f>
        <v>171.24</v>
      </c>
    </row>
    <row r="8470" spans="1:7" ht="12.75" customHeight="1">
      <c r="A8470" s="3">
        <v>92364</v>
      </c>
      <c r="B8470" s="4" t="s">
        <v>8494</v>
      </c>
      <c r="C8470" s="3" t="s">
        <v>50</v>
      </c>
      <c r="D8470" s="5">
        <f t="shared" si="266"/>
        <v>50.01</v>
      </c>
      <c r="E8470">
        <v>54.9</v>
      </c>
      <c r="F8470" s="1789">
        <v>8.8999999999999996E-2</v>
      </c>
      <c r="G8470">
        <f t="shared" si="267"/>
        <v>50.01</v>
      </c>
    </row>
    <row r="8471" spans="1:7" ht="12.75" customHeight="1">
      <c r="A8471" s="3">
        <v>92365</v>
      </c>
      <c r="B8471" s="4" t="s">
        <v>8495</v>
      </c>
      <c r="C8471" s="3" t="s">
        <v>50</v>
      </c>
      <c r="D8471" s="5">
        <f t="shared" si="266"/>
        <v>57.55</v>
      </c>
      <c r="E8471">
        <v>63.18</v>
      </c>
      <c r="F8471" s="1789">
        <v>8.8999999999999996E-2</v>
      </c>
      <c r="G8471">
        <f t="shared" si="267"/>
        <v>57.55</v>
      </c>
    </row>
    <row r="8472" spans="1:7" ht="12.75" customHeight="1">
      <c r="A8472" s="3">
        <v>92366</v>
      </c>
      <c r="B8472" s="4" t="s">
        <v>8496</v>
      </c>
      <c r="C8472" s="3" t="s">
        <v>50</v>
      </c>
      <c r="D8472" s="5">
        <f t="shared" si="266"/>
        <v>80.27</v>
      </c>
      <c r="E8472">
        <v>88.12</v>
      </c>
      <c r="F8472" s="1789">
        <v>8.8999999999999996E-2</v>
      </c>
      <c r="G8472">
        <f t="shared" si="267"/>
        <v>80.27</v>
      </c>
    </row>
    <row r="8473" spans="1:7" ht="12.75" customHeight="1">
      <c r="A8473" s="3">
        <v>92367</v>
      </c>
      <c r="B8473" s="4" t="s">
        <v>8497</v>
      </c>
      <c r="C8473" s="3" t="s">
        <v>50</v>
      </c>
      <c r="D8473" s="5">
        <f t="shared" si="266"/>
        <v>98.68</v>
      </c>
      <c r="E8473">
        <v>108.33</v>
      </c>
      <c r="F8473" s="1789">
        <v>8.8999999999999996E-2</v>
      </c>
      <c r="G8473">
        <f t="shared" si="267"/>
        <v>98.68</v>
      </c>
    </row>
    <row r="8474" spans="1:7" ht="12.75" customHeight="1">
      <c r="A8474" s="3">
        <v>92368</v>
      </c>
      <c r="B8474" s="4" t="s">
        <v>8498</v>
      </c>
      <c r="C8474" s="3" t="s">
        <v>50</v>
      </c>
      <c r="D8474" s="5">
        <f t="shared" si="266"/>
        <v>130.55000000000001</v>
      </c>
      <c r="E8474">
        <v>143.31</v>
      </c>
      <c r="F8474" s="1789">
        <v>8.8999999999999996E-2</v>
      </c>
      <c r="G8474">
        <f t="shared" si="267"/>
        <v>130.55000000000001</v>
      </c>
    </row>
    <row r="8475" spans="1:7" ht="12.75" customHeight="1">
      <c r="A8475" s="3">
        <v>92645</v>
      </c>
      <c r="B8475" s="4" t="s">
        <v>8499</v>
      </c>
      <c r="C8475" s="3" t="s">
        <v>50</v>
      </c>
      <c r="D8475" s="5">
        <f t="shared" si="266"/>
        <v>62.63</v>
      </c>
      <c r="E8475">
        <v>68.75</v>
      </c>
      <c r="F8475" s="1789">
        <v>8.8999999999999996E-2</v>
      </c>
      <c r="G8475">
        <f t="shared" si="267"/>
        <v>62.63</v>
      </c>
    </row>
    <row r="8476" spans="1:7" ht="12.75" customHeight="1">
      <c r="A8476" s="3">
        <v>92646</v>
      </c>
      <c r="B8476" s="4" t="s">
        <v>8500</v>
      </c>
      <c r="C8476" s="3" t="s">
        <v>50</v>
      </c>
      <c r="D8476" s="5">
        <f t="shared" si="266"/>
        <v>82.6</v>
      </c>
      <c r="E8476">
        <v>90.68</v>
      </c>
      <c r="F8476" s="1789">
        <v>8.8999999999999996E-2</v>
      </c>
      <c r="G8476">
        <f t="shared" si="267"/>
        <v>82.6</v>
      </c>
    </row>
    <row r="8477" spans="1:7" ht="12.75" customHeight="1">
      <c r="A8477" s="3">
        <v>92648</v>
      </c>
      <c r="B8477" s="4" t="s">
        <v>8501</v>
      </c>
      <c r="C8477" s="3" t="s">
        <v>50</v>
      </c>
      <c r="D8477" s="5">
        <f t="shared" si="266"/>
        <v>90.4</v>
      </c>
      <c r="E8477">
        <v>99.24</v>
      </c>
      <c r="F8477" s="1789">
        <v>8.8999999999999996E-2</v>
      </c>
      <c r="G8477">
        <f t="shared" si="267"/>
        <v>90.4</v>
      </c>
    </row>
    <row r="8478" spans="1:7" ht="12.75" customHeight="1">
      <c r="A8478" s="3">
        <v>92649</v>
      </c>
      <c r="B8478" s="4" t="s">
        <v>8502</v>
      </c>
      <c r="C8478" s="3" t="s">
        <v>50</v>
      </c>
      <c r="D8478" s="5">
        <f t="shared" si="266"/>
        <v>110.31</v>
      </c>
      <c r="E8478">
        <v>121.09</v>
      </c>
      <c r="F8478" s="1789">
        <v>8.8999999999999996E-2</v>
      </c>
      <c r="G8478">
        <f t="shared" si="267"/>
        <v>110.31</v>
      </c>
    </row>
    <row r="8479" spans="1:7" ht="12.75" customHeight="1">
      <c r="A8479" s="3">
        <v>92650</v>
      </c>
      <c r="B8479" s="4" t="s">
        <v>8503</v>
      </c>
      <c r="C8479" s="3" t="s">
        <v>50</v>
      </c>
      <c r="D8479" s="5">
        <f t="shared" si="266"/>
        <v>174.55</v>
      </c>
      <c r="E8479">
        <v>191.61</v>
      </c>
      <c r="F8479" s="1789">
        <v>8.8999999999999996E-2</v>
      </c>
      <c r="G8479">
        <f t="shared" si="267"/>
        <v>174.55</v>
      </c>
    </row>
    <row r="8480" spans="1:7" ht="12.75" customHeight="1">
      <c r="A8480" s="3">
        <v>92652</v>
      </c>
      <c r="B8480" s="4" t="s">
        <v>8504</v>
      </c>
      <c r="C8480" s="3" t="s">
        <v>50</v>
      </c>
      <c r="D8480" s="5">
        <f t="shared" si="266"/>
        <v>54.12</v>
      </c>
      <c r="E8480">
        <v>59.41</v>
      </c>
      <c r="F8480" s="1789">
        <v>8.8999999999999996E-2</v>
      </c>
      <c r="G8480">
        <f t="shared" si="267"/>
        <v>54.12</v>
      </c>
    </row>
    <row r="8481" spans="1:7" ht="12.75" customHeight="1">
      <c r="A8481" s="3">
        <v>92653</v>
      </c>
      <c r="B8481" s="4" t="s">
        <v>8505</v>
      </c>
      <c r="C8481" s="3" t="s">
        <v>50</v>
      </c>
      <c r="D8481" s="5">
        <f t="shared" si="266"/>
        <v>61.71</v>
      </c>
      <c r="E8481">
        <v>67.739999999999995</v>
      </c>
      <c r="F8481" s="1789">
        <v>8.8999999999999996E-2</v>
      </c>
      <c r="G8481">
        <f t="shared" si="267"/>
        <v>61.71</v>
      </c>
    </row>
    <row r="8482" spans="1:7" ht="12.75" customHeight="1">
      <c r="A8482" s="3">
        <v>92654</v>
      </c>
      <c r="B8482" s="4" t="s">
        <v>8506</v>
      </c>
      <c r="C8482" s="3" t="s">
        <v>50</v>
      </c>
      <c r="D8482" s="5">
        <f t="shared" si="266"/>
        <v>84.42</v>
      </c>
      <c r="E8482">
        <v>92.67</v>
      </c>
      <c r="F8482" s="1789">
        <v>8.8999999999999996E-2</v>
      </c>
      <c r="G8482">
        <f t="shared" si="267"/>
        <v>84.42</v>
      </c>
    </row>
    <row r="8483" spans="1:7" ht="12.75" customHeight="1">
      <c r="A8483" s="3">
        <v>92655</v>
      </c>
      <c r="B8483" s="4" t="s">
        <v>8507</v>
      </c>
      <c r="C8483" s="3" t="s">
        <v>50</v>
      </c>
      <c r="D8483" s="5">
        <f t="shared" si="266"/>
        <v>102.92</v>
      </c>
      <c r="E8483">
        <v>112.98</v>
      </c>
      <c r="F8483" s="1789">
        <v>8.8999999999999996E-2</v>
      </c>
      <c r="G8483">
        <f t="shared" si="267"/>
        <v>102.92</v>
      </c>
    </row>
    <row r="8484" spans="1:7" ht="12.75" customHeight="1">
      <c r="A8484" s="3">
        <v>92656</v>
      </c>
      <c r="B8484" s="4" t="s">
        <v>8508</v>
      </c>
      <c r="C8484" s="3" t="s">
        <v>50</v>
      </c>
      <c r="D8484" s="5">
        <f t="shared" si="266"/>
        <v>134.78</v>
      </c>
      <c r="E8484">
        <v>147.94999999999999</v>
      </c>
      <c r="F8484" s="1789">
        <v>8.8999999999999996E-2</v>
      </c>
      <c r="G8484">
        <f t="shared" si="267"/>
        <v>134.78</v>
      </c>
    </row>
    <row r="8485" spans="1:7" ht="12.75" customHeight="1">
      <c r="A8485" s="3">
        <v>92687</v>
      </c>
      <c r="B8485" s="4" t="s">
        <v>8509</v>
      </c>
      <c r="C8485" s="3" t="s">
        <v>50</v>
      </c>
      <c r="D8485" s="5">
        <f t="shared" si="266"/>
        <v>25.26</v>
      </c>
      <c r="E8485">
        <v>27.73</v>
      </c>
      <c r="F8485" s="1789">
        <v>8.8999999999999996E-2</v>
      </c>
      <c r="G8485">
        <f t="shared" si="267"/>
        <v>25.26</v>
      </c>
    </row>
    <row r="8486" spans="1:7" ht="12.75" customHeight="1">
      <c r="A8486" s="3">
        <v>92688</v>
      </c>
      <c r="B8486" s="4" t="s">
        <v>8510</v>
      </c>
      <c r="C8486" s="3" t="s">
        <v>50</v>
      </c>
      <c r="D8486" s="5">
        <f t="shared" si="266"/>
        <v>35.26</v>
      </c>
      <c r="E8486">
        <v>38.71</v>
      </c>
      <c r="F8486" s="1789">
        <v>8.8999999999999996E-2</v>
      </c>
      <c r="G8486">
        <f t="shared" si="267"/>
        <v>35.26</v>
      </c>
    </row>
    <row r="8487" spans="1:7" ht="12.75" customHeight="1">
      <c r="A8487" s="3">
        <v>92689</v>
      </c>
      <c r="B8487" s="4" t="s">
        <v>8511</v>
      </c>
      <c r="C8487" s="3" t="s">
        <v>50</v>
      </c>
      <c r="D8487" s="5">
        <f t="shared" si="266"/>
        <v>44.03</v>
      </c>
      <c r="E8487">
        <v>48.34</v>
      </c>
      <c r="F8487" s="1789">
        <v>8.8999999999999996E-2</v>
      </c>
      <c r="G8487">
        <f t="shared" si="267"/>
        <v>44.03</v>
      </c>
    </row>
    <row r="8488" spans="1:7" ht="12.75" customHeight="1">
      <c r="A8488" s="3">
        <v>92690</v>
      </c>
      <c r="B8488" s="4" t="s">
        <v>8512</v>
      </c>
      <c r="C8488" s="3" t="s">
        <v>50</v>
      </c>
      <c r="D8488" s="5">
        <f t="shared" si="266"/>
        <v>62.75</v>
      </c>
      <c r="E8488">
        <v>68.89</v>
      </c>
      <c r="F8488" s="1789">
        <v>8.8999999999999996E-2</v>
      </c>
      <c r="G8488">
        <f t="shared" si="267"/>
        <v>62.75</v>
      </c>
    </row>
    <row r="8489" spans="1:7" ht="12.75" customHeight="1">
      <c r="A8489" s="3">
        <v>92691</v>
      </c>
      <c r="B8489" s="4" t="s">
        <v>8513</v>
      </c>
      <c r="C8489" s="3" t="s">
        <v>50</v>
      </c>
      <c r="D8489" s="5">
        <f t="shared" si="266"/>
        <v>81.34</v>
      </c>
      <c r="E8489">
        <v>89.29</v>
      </c>
      <c r="F8489" s="1789">
        <v>8.8999999999999996E-2</v>
      </c>
      <c r="G8489">
        <f t="shared" si="267"/>
        <v>81.34</v>
      </c>
    </row>
    <row r="8490" spans="1:7" ht="12.75" customHeight="1">
      <c r="A8490" s="3">
        <v>94462</v>
      </c>
      <c r="B8490" s="4" t="s">
        <v>8514</v>
      </c>
      <c r="C8490" s="3" t="s">
        <v>50</v>
      </c>
      <c r="D8490" s="5">
        <f t="shared" si="266"/>
        <v>87.2</v>
      </c>
      <c r="E8490">
        <v>95.72</v>
      </c>
      <c r="F8490" s="1789">
        <v>8.8999999999999996E-2</v>
      </c>
      <c r="G8490">
        <f t="shared" si="267"/>
        <v>87.2</v>
      </c>
    </row>
    <row r="8491" spans="1:7" ht="12.75" customHeight="1">
      <c r="A8491" s="3">
        <v>94463</v>
      </c>
      <c r="B8491" s="4" t="s">
        <v>8515</v>
      </c>
      <c r="C8491" s="3" t="s">
        <v>50</v>
      </c>
      <c r="D8491" s="5">
        <f t="shared" si="266"/>
        <v>107.04</v>
      </c>
      <c r="E8491">
        <v>117.5</v>
      </c>
      <c r="F8491" s="1789">
        <v>8.8999999999999996E-2</v>
      </c>
      <c r="G8491">
        <f t="shared" si="267"/>
        <v>107.04</v>
      </c>
    </row>
    <row r="8492" spans="1:7" ht="12.75" customHeight="1">
      <c r="A8492" s="3">
        <v>94464</v>
      </c>
      <c r="B8492" s="4" t="s">
        <v>8516</v>
      </c>
      <c r="C8492" s="3" t="s">
        <v>50</v>
      </c>
      <c r="D8492" s="5">
        <f t="shared" si="266"/>
        <v>140.94999999999999</v>
      </c>
      <c r="E8492">
        <v>154.72999999999999</v>
      </c>
      <c r="F8492" s="1789">
        <v>8.8999999999999996E-2</v>
      </c>
      <c r="G8492">
        <f t="shared" si="267"/>
        <v>140.94999999999999</v>
      </c>
    </row>
    <row r="8493" spans="1:7" ht="12.75" customHeight="1">
      <c r="A8493" s="3">
        <v>94602</v>
      </c>
      <c r="B8493" s="4" t="s">
        <v>8517</v>
      </c>
      <c r="C8493" s="3" t="s">
        <v>50</v>
      </c>
      <c r="D8493" s="5">
        <f t="shared" si="266"/>
        <v>197.07</v>
      </c>
      <c r="E8493">
        <v>216.33</v>
      </c>
      <c r="F8493" s="1789">
        <v>8.8999999999999996E-2</v>
      </c>
      <c r="G8493">
        <f t="shared" si="267"/>
        <v>197.07</v>
      </c>
    </row>
    <row r="8494" spans="1:7" ht="12.75" customHeight="1">
      <c r="A8494" s="3">
        <v>94603</v>
      </c>
      <c r="B8494" s="4" t="s">
        <v>8518</v>
      </c>
      <c r="C8494" s="3" t="s">
        <v>50</v>
      </c>
      <c r="D8494" s="5">
        <f t="shared" si="266"/>
        <v>269.94</v>
      </c>
      <c r="E8494">
        <v>296.32</v>
      </c>
      <c r="F8494" s="1789">
        <v>8.8999999999999996E-2</v>
      </c>
      <c r="G8494">
        <f t="shared" si="267"/>
        <v>269.94</v>
      </c>
    </row>
    <row r="8495" spans="1:7" ht="12.75" customHeight="1">
      <c r="A8495" s="3">
        <v>94604</v>
      </c>
      <c r="B8495" s="4" t="s">
        <v>8519</v>
      </c>
      <c r="C8495" s="3" t="s">
        <v>50</v>
      </c>
      <c r="D8495" s="5">
        <f t="shared" si="266"/>
        <v>385.47</v>
      </c>
      <c r="E8495">
        <v>423.13</v>
      </c>
      <c r="F8495" s="1789">
        <v>8.8999999999999996E-2</v>
      </c>
      <c r="G8495">
        <f t="shared" si="267"/>
        <v>385.47</v>
      </c>
    </row>
    <row r="8496" spans="1:7" ht="12.75" customHeight="1">
      <c r="A8496" s="3">
        <v>94605</v>
      </c>
      <c r="B8496" s="4" t="s">
        <v>8520</v>
      </c>
      <c r="C8496" s="3" t="s">
        <v>50</v>
      </c>
      <c r="D8496" s="5">
        <f t="shared" si="266"/>
        <v>559.42999999999995</v>
      </c>
      <c r="E8496">
        <v>614.09</v>
      </c>
      <c r="F8496" s="1789">
        <v>8.8999999999999996E-2</v>
      </c>
      <c r="G8496">
        <f t="shared" si="267"/>
        <v>559.42999999999995</v>
      </c>
    </row>
    <row r="8497" spans="1:7" ht="12.75" customHeight="1">
      <c r="A8497" s="3">
        <v>94648</v>
      </c>
      <c r="B8497" s="4" t="s">
        <v>8521</v>
      </c>
      <c r="C8497" s="3" t="s">
        <v>50</v>
      </c>
      <c r="D8497" s="5">
        <f t="shared" si="266"/>
        <v>5.36</v>
      </c>
      <c r="E8497">
        <v>5.89</v>
      </c>
      <c r="F8497" s="1789">
        <v>8.8999999999999996E-2</v>
      </c>
      <c r="G8497">
        <f t="shared" si="267"/>
        <v>5.36</v>
      </c>
    </row>
    <row r="8498" spans="1:7" ht="12.75" customHeight="1">
      <c r="A8498" s="3">
        <v>94649</v>
      </c>
      <c r="B8498" s="4" t="s">
        <v>8522</v>
      </c>
      <c r="C8498" s="3" t="s">
        <v>50</v>
      </c>
      <c r="D8498" s="5">
        <f t="shared" si="266"/>
        <v>9.91</v>
      </c>
      <c r="E8498">
        <v>10.88</v>
      </c>
      <c r="F8498" s="1789">
        <v>8.8999999999999996E-2</v>
      </c>
      <c r="G8498">
        <f t="shared" si="267"/>
        <v>9.91</v>
      </c>
    </row>
    <row r="8499" spans="1:7" ht="12.75" customHeight="1">
      <c r="A8499" s="3">
        <v>94650</v>
      </c>
      <c r="B8499" s="4" t="s">
        <v>8523</v>
      </c>
      <c r="C8499" s="3" t="s">
        <v>50</v>
      </c>
      <c r="D8499" s="5">
        <f t="shared" si="266"/>
        <v>14.99</v>
      </c>
      <c r="E8499">
        <v>16.46</v>
      </c>
      <c r="F8499" s="1789">
        <v>8.8999999999999996E-2</v>
      </c>
      <c r="G8499">
        <f t="shared" si="267"/>
        <v>14.99</v>
      </c>
    </row>
    <row r="8500" spans="1:7" ht="12.75" customHeight="1">
      <c r="A8500" s="3">
        <v>94651</v>
      </c>
      <c r="B8500" s="4" t="s">
        <v>8524</v>
      </c>
      <c r="C8500" s="3" t="s">
        <v>50</v>
      </c>
      <c r="D8500" s="5">
        <f t="shared" si="266"/>
        <v>17.47</v>
      </c>
      <c r="E8500">
        <v>19.18</v>
      </c>
      <c r="F8500" s="1789">
        <v>8.8999999999999996E-2</v>
      </c>
      <c r="G8500">
        <f t="shared" si="267"/>
        <v>17.47</v>
      </c>
    </row>
    <row r="8501" spans="1:7" ht="12.75" customHeight="1">
      <c r="A8501" s="3">
        <v>94652</v>
      </c>
      <c r="B8501" s="4" t="s">
        <v>8525</v>
      </c>
      <c r="C8501" s="3" t="s">
        <v>50</v>
      </c>
      <c r="D8501" s="5">
        <f t="shared" si="266"/>
        <v>27.31</v>
      </c>
      <c r="E8501">
        <v>29.98</v>
      </c>
      <c r="F8501" s="1789">
        <v>8.8999999999999996E-2</v>
      </c>
      <c r="G8501">
        <f t="shared" si="267"/>
        <v>27.31</v>
      </c>
    </row>
    <row r="8502" spans="1:7" ht="12.75" customHeight="1">
      <c r="A8502" s="3">
        <v>94653</v>
      </c>
      <c r="B8502" s="4" t="s">
        <v>8526</v>
      </c>
      <c r="C8502" s="3" t="s">
        <v>50</v>
      </c>
      <c r="D8502" s="5">
        <f t="shared" si="266"/>
        <v>44.08</v>
      </c>
      <c r="E8502">
        <v>48.39</v>
      </c>
      <c r="F8502" s="1789">
        <v>8.8999999999999996E-2</v>
      </c>
      <c r="G8502">
        <f t="shared" si="267"/>
        <v>44.08</v>
      </c>
    </row>
    <row r="8503" spans="1:7" ht="12.75" customHeight="1">
      <c r="A8503" s="3">
        <v>94654</v>
      </c>
      <c r="B8503" s="4" t="s">
        <v>8527</v>
      </c>
      <c r="C8503" s="3" t="s">
        <v>50</v>
      </c>
      <c r="D8503" s="5">
        <f t="shared" si="266"/>
        <v>60.02</v>
      </c>
      <c r="E8503">
        <v>65.89</v>
      </c>
      <c r="F8503" s="1789">
        <v>8.8999999999999996E-2</v>
      </c>
      <c r="G8503">
        <f t="shared" si="267"/>
        <v>60.02</v>
      </c>
    </row>
    <row r="8504" spans="1:7" ht="12.75" customHeight="1">
      <c r="A8504" s="3">
        <v>94655</v>
      </c>
      <c r="B8504" s="4" t="s">
        <v>8528</v>
      </c>
      <c r="C8504" s="3" t="s">
        <v>50</v>
      </c>
      <c r="D8504" s="5">
        <f t="shared" si="266"/>
        <v>94.55</v>
      </c>
      <c r="E8504">
        <v>103.79</v>
      </c>
      <c r="F8504" s="1789">
        <v>8.8999999999999996E-2</v>
      </c>
      <c r="G8504">
        <f t="shared" si="267"/>
        <v>94.55</v>
      </c>
    </row>
    <row r="8505" spans="1:7" ht="12.75" customHeight="1">
      <c r="A8505" s="3">
        <v>94716</v>
      </c>
      <c r="B8505" s="4" t="s">
        <v>8529</v>
      </c>
      <c r="C8505" s="3" t="s">
        <v>50</v>
      </c>
      <c r="D8505" s="5">
        <f t="shared" si="266"/>
        <v>19.29</v>
      </c>
      <c r="E8505">
        <v>21.18</v>
      </c>
      <c r="F8505" s="1789">
        <v>8.8999999999999996E-2</v>
      </c>
      <c r="G8505">
        <f t="shared" si="267"/>
        <v>19.29</v>
      </c>
    </row>
    <row r="8506" spans="1:7" ht="12.75" customHeight="1">
      <c r="A8506" s="3">
        <v>94717</v>
      </c>
      <c r="B8506" s="4" t="s">
        <v>8530</v>
      </c>
      <c r="C8506" s="3" t="s">
        <v>50</v>
      </c>
      <c r="D8506" s="5">
        <f t="shared" si="266"/>
        <v>32.42</v>
      </c>
      <c r="E8506">
        <v>35.590000000000003</v>
      </c>
      <c r="F8506" s="1789">
        <v>8.8999999999999996E-2</v>
      </c>
      <c r="G8506">
        <f t="shared" si="267"/>
        <v>32.42</v>
      </c>
    </row>
    <row r="8507" spans="1:7" ht="12.75" customHeight="1">
      <c r="A8507" s="3">
        <v>94718</v>
      </c>
      <c r="B8507" s="4" t="s">
        <v>8531</v>
      </c>
      <c r="C8507" s="3" t="s">
        <v>50</v>
      </c>
      <c r="D8507" s="5">
        <f t="shared" si="266"/>
        <v>42.34</v>
      </c>
      <c r="E8507">
        <v>46.48</v>
      </c>
      <c r="F8507" s="1789">
        <v>8.8999999999999996E-2</v>
      </c>
      <c r="G8507">
        <f t="shared" si="267"/>
        <v>42.34</v>
      </c>
    </row>
    <row r="8508" spans="1:7" ht="12.75" customHeight="1">
      <c r="A8508" s="3">
        <v>94719</v>
      </c>
      <c r="B8508" s="4" t="s">
        <v>8532</v>
      </c>
      <c r="C8508" s="3" t="s">
        <v>50</v>
      </c>
      <c r="D8508" s="5">
        <f t="shared" si="266"/>
        <v>56.53</v>
      </c>
      <c r="E8508">
        <v>62.06</v>
      </c>
      <c r="F8508" s="1789">
        <v>8.8999999999999996E-2</v>
      </c>
      <c r="G8508">
        <f t="shared" si="267"/>
        <v>56.53</v>
      </c>
    </row>
    <row r="8509" spans="1:7" ht="12.75" customHeight="1">
      <c r="A8509" s="3">
        <v>94720</v>
      </c>
      <c r="B8509" s="4" t="s">
        <v>8533</v>
      </c>
      <c r="C8509" s="3" t="s">
        <v>50</v>
      </c>
      <c r="D8509" s="5">
        <f t="shared" si="266"/>
        <v>82.78</v>
      </c>
      <c r="E8509">
        <v>90.87</v>
      </c>
      <c r="F8509" s="1789">
        <v>8.8999999999999996E-2</v>
      </c>
      <c r="G8509">
        <f t="shared" si="267"/>
        <v>82.78</v>
      </c>
    </row>
    <row r="8510" spans="1:7" ht="12.75" customHeight="1">
      <c r="A8510" s="3">
        <v>94721</v>
      </c>
      <c r="B8510" s="4" t="s">
        <v>8534</v>
      </c>
      <c r="C8510" s="3" t="s">
        <v>50</v>
      </c>
      <c r="D8510" s="5">
        <f t="shared" si="266"/>
        <v>134.16</v>
      </c>
      <c r="E8510">
        <v>147.27000000000001</v>
      </c>
      <c r="F8510" s="1789">
        <v>8.8999999999999996E-2</v>
      </c>
      <c r="G8510">
        <f t="shared" si="267"/>
        <v>134.16</v>
      </c>
    </row>
    <row r="8511" spans="1:7" ht="12.75" customHeight="1">
      <c r="A8511" s="3">
        <v>94722</v>
      </c>
      <c r="B8511" s="4" t="s">
        <v>8535</v>
      </c>
      <c r="C8511" s="3" t="s">
        <v>50</v>
      </c>
      <c r="D8511" s="5">
        <f t="shared" si="266"/>
        <v>209.33</v>
      </c>
      <c r="E8511">
        <v>229.79</v>
      </c>
      <c r="F8511" s="1789">
        <v>8.8999999999999996E-2</v>
      </c>
      <c r="G8511">
        <f t="shared" si="267"/>
        <v>209.33</v>
      </c>
    </row>
    <row r="8512" spans="1:7" ht="12.75" customHeight="1">
      <c r="A8512" s="3">
        <v>94723</v>
      </c>
      <c r="B8512" s="4" t="s">
        <v>8536</v>
      </c>
      <c r="C8512" s="3" t="s">
        <v>50</v>
      </c>
      <c r="D8512" s="5">
        <f t="shared" si="266"/>
        <v>394.38</v>
      </c>
      <c r="E8512">
        <v>432.91</v>
      </c>
      <c r="F8512" s="1789">
        <v>8.8999999999999996E-2</v>
      </c>
      <c r="G8512">
        <f t="shared" si="267"/>
        <v>394.38</v>
      </c>
    </row>
    <row r="8513" spans="1:7" ht="12.75" customHeight="1">
      <c r="A8513" s="3">
        <v>95697</v>
      </c>
      <c r="B8513" s="4" t="s">
        <v>8537</v>
      </c>
      <c r="C8513" s="3" t="s">
        <v>50</v>
      </c>
      <c r="D8513" s="5">
        <f t="shared" si="266"/>
        <v>87.09</v>
      </c>
      <c r="E8513">
        <v>95.6</v>
      </c>
      <c r="F8513" s="1789">
        <v>8.8999999999999996E-2</v>
      </c>
      <c r="G8513">
        <f t="shared" si="267"/>
        <v>87.09</v>
      </c>
    </row>
    <row r="8514" spans="1:7" ht="12.75" customHeight="1">
      <c r="A8514" s="3">
        <v>96635</v>
      </c>
      <c r="B8514" s="4" t="s">
        <v>8538</v>
      </c>
      <c r="C8514" s="3" t="s">
        <v>50</v>
      </c>
      <c r="D8514" s="5">
        <f t="shared" si="266"/>
        <v>35.700000000000003</v>
      </c>
      <c r="E8514">
        <v>39.19</v>
      </c>
      <c r="F8514" s="1789">
        <v>8.8999999999999996E-2</v>
      </c>
      <c r="G8514">
        <f t="shared" si="267"/>
        <v>35.700000000000003</v>
      </c>
    </row>
    <row r="8515" spans="1:7" ht="12.75" customHeight="1">
      <c r="A8515" s="3">
        <v>96636</v>
      </c>
      <c r="B8515" s="4" t="s">
        <v>8539</v>
      </c>
      <c r="C8515" s="3" t="s">
        <v>50</v>
      </c>
      <c r="D8515" s="5">
        <f t="shared" si="266"/>
        <v>37.909999999999997</v>
      </c>
      <c r="E8515">
        <v>41.62</v>
      </c>
      <c r="F8515" s="1789">
        <v>8.8999999999999996E-2</v>
      </c>
      <c r="G8515">
        <f t="shared" si="267"/>
        <v>37.909999999999997</v>
      </c>
    </row>
    <row r="8516" spans="1:7" ht="12.75" customHeight="1">
      <c r="A8516" s="3">
        <v>96644</v>
      </c>
      <c r="B8516" s="4" t="s">
        <v>8540</v>
      </c>
      <c r="C8516" s="3" t="s">
        <v>50</v>
      </c>
      <c r="D8516" s="5">
        <f t="shared" si="266"/>
        <v>19.96</v>
      </c>
      <c r="E8516">
        <v>21.91</v>
      </c>
      <c r="F8516" s="1789">
        <v>8.8999999999999996E-2</v>
      </c>
      <c r="G8516">
        <f t="shared" si="267"/>
        <v>19.96</v>
      </c>
    </row>
    <row r="8517" spans="1:7" ht="12.75" customHeight="1">
      <c r="A8517" s="3">
        <v>96645</v>
      </c>
      <c r="B8517" s="4" t="s">
        <v>8541</v>
      </c>
      <c r="C8517" s="3" t="s">
        <v>50</v>
      </c>
      <c r="D8517" s="5">
        <f t="shared" si="266"/>
        <v>17.62</v>
      </c>
      <c r="E8517">
        <v>19.350000000000001</v>
      </c>
      <c r="F8517" s="1789">
        <v>8.8999999999999996E-2</v>
      </c>
      <c r="G8517">
        <f t="shared" si="267"/>
        <v>17.62</v>
      </c>
    </row>
    <row r="8518" spans="1:7" ht="12.75" customHeight="1">
      <c r="A8518" s="3">
        <v>96646</v>
      </c>
      <c r="B8518" s="4" t="s">
        <v>8542</v>
      </c>
      <c r="C8518" s="3" t="s">
        <v>50</v>
      </c>
      <c r="D8518" s="5">
        <f t="shared" si="266"/>
        <v>21.66</v>
      </c>
      <c r="E8518">
        <v>23.78</v>
      </c>
      <c r="F8518" s="1789">
        <v>8.8999999999999996E-2</v>
      </c>
      <c r="G8518">
        <f t="shared" si="267"/>
        <v>21.66</v>
      </c>
    </row>
    <row r="8519" spans="1:7" ht="12.75" customHeight="1">
      <c r="A8519" s="3">
        <v>96647</v>
      </c>
      <c r="B8519" s="4" t="s">
        <v>8543</v>
      </c>
      <c r="C8519" s="3" t="s">
        <v>50</v>
      </c>
      <c r="D8519" s="5">
        <f t="shared" si="266"/>
        <v>21.7</v>
      </c>
      <c r="E8519">
        <v>23.83</v>
      </c>
      <c r="F8519" s="1789">
        <v>8.8999999999999996E-2</v>
      </c>
      <c r="G8519">
        <f t="shared" si="267"/>
        <v>21.7</v>
      </c>
    </row>
    <row r="8520" spans="1:7" ht="12.75" customHeight="1">
      <c r="A8520" s="3">
        <v>96648</v>
      </c>
      <c r="B8520" s="4" t="s">
        <v>8544</v>
      </c>
      <c r="C8520" s="3" t="s">
        <v>50</v>
      </c>
      <c r="D8520" s="5">
        <f t="shared" si="266"/>
        <v>26.9</v>
      </c>
      <c r="E8520">
        <v>29.53</v>
      </c>
      <c r="F8520" s="1789">
        <v>8.8999999999999996E-2</v>
      </c>
      <c r="G8520">
        <f t="shared" si="267"/>
        <v>26.9</v>
      </c>
    </row>
    <row r="8521" spans="1:7" ht="12.75" customHeight="1">
      <c r="A8521" s="3">
        <v>96649</v>
      </c>
      <c r="B8521" s="4" t="s">
        <v>8545</v>
      </c>
      <c r="C8521" s="3" t="s">
        <v>50</v>
      </c>
      <c r="D8521" s="5">
        <f t="shared" si="266"/>
        <v>35.75</v>
      </c>
      <c r="E8521">
        <v>39.25</v>
      </c>
      <c r="F8521" s="1789">
        <v>8.8999999999999996E-2</v>
      </c>
      <c r="G8521">
        <f t="shared" si="267"/>
        <v>35.75</v>
      </c>
    </row>
    <row r="8522" spans="1:7" ht="12.75" customHeight="1">
      <c r="A8522" s="3">
        <v>96668</v>
      </c>
      <c r="B8522" s="4" t="s">
        <v>8546</v>
      </c>
      <c r="C8522" s="3" t="s">
        <v>50</v>
      </c>
      <c r="D8522" s="5">
        <f t="shared" si="266"/>
        <v>15.77</v>
      </c>
      <c r="E8522">
        <v>17.32</v>
      </c>
      <c r="F8522" s="1789">
        <v>8.8999999999999996E-2</v>
      </c>
      <c r="G8522">
        <f t="shared" si="267"/>
        <v>15.77</v>
      </c>
    </row>
    <row r="8523" spans="1:7" ht="12.75" customHeight="1">
      <c r="A8523" s="3">
        <v>96669</v>
      </c>
      <c r="B8523" s="4" t="s">
        <v>8547</v>
      </c>
      <c r="C8523" s="3" t="s">
        <v>50</v>
      </c>
      <c r="D8523" s="5">
        <f t="shared" si="266"/>
        <v>15.39</v>
      </c>
      <c r="E8523">
        <v>16.899999999999999</v>
      </c>
      <c r="F8523" s="1789">
        <v>8.8999999999999996E-2</v>
      </c>
      <c r="G8523">
        <f t="shared" si="267"/>
        <v>15.39</v>
      </c>
    </row>
    <row r="8524" spans="1:7" ht="12.75" customHeight="1">
      <c r="A8524" s="3">
        <v>96670</v>
      </c>
      <c r="B8524" s="4" t="s">
        <v>8548</v>
      </c>
      <c r="C8524" s="3" t="s">
        <v>50</v>
      </c>
      <c r="D8524" s="5">
        <f t="shared" si="266"/>
        <v>20.05</v>
      </c>
      <c r="E8524">
        <v>22.01</v>
      </c>
      <c r="F8524" s="1789">
        <v>8.8999999999999996E-2</v>
      </c>
      <c r="G8524">
        <f t="shared" si="267"/>
        <v>20.05</v>
      </c>
    </row>
    <row r="8525" spans="1:7" ht="12.75" customHeight="1">
      <c r="A8525" s="3">
        <v>96671</v>
      </c>
      <c r="B8525" s="4" t="s">
        <v>8549</v>
      </c>
      <c r="C8525" s="3" t="s">
        <v>50</v>
      </c>
      <c r="D8525" s="5">
        <f t="shared" si="266"/>
        <v>30.47</v>
      </c>
      <c r="E8525">
        <v>33.450000000000003</v>
      </c>
      <c r="F8525" s="1789">
        <v>8.8999999999999996E-2</v>
      </c>
      <c r="G8525">
        <f t="shared" si="267"/>
        <v>30.47</v>
      </c>
    </row>
    <row r="8526" spans="1:7" ht="12.75" customHeight="1">
      <c r="A8526" s="3">
        <v>96672</v>
      </c>
      <c r="B8526" s="4" t="s">
        <v>8550</v>
      </c>
      <c r="C8526" s="3" t="s">
        <v>50</v>
      </c>
      <c r="D8526" s="5">
        <f t="shared" si="266"/>
        <v>46.58</v>
      </c>
      <c r="E8526">
        <v>51.14</v>
      </c>
      <c r="F8526" s="1789">
        <v>8.8999999999999996E-2</v>
      </c>
      <c r="G8526">
        <f t="shared" si="267"/>
        <v>46.58</v>
      </c>
    </row>
    <row r="8527" spans="1:7" ht="12.75" customHeight="1">
      <c r="A8527" s="3">
        <v>96673</v>
      </c>
      <c r="B8527" s="4" t="s">
        <v>8551</v>
      </c>
      <c r="C8527" s="3" t="s">
        <v>50</v>
      </c>
      <c r="D8527" s="5">
        <f t="shared" si="266"/>
        <v>58.79</v>
      </c>
      <c r="E8527">
        <v>64.540000000000006</v>
      </c>
      <c r="F8527" s="1789">
        <v>8.8999999999999996E-2</v>
      </c>
      <c r="G8527">
        <f t="shared" si="267"/>
        <v>58.79</v>
      </c>
    </row>
    <row r="8528" spans="1:7" ht="12.75" customHeight="1">
      <c r="A8528" s="3">
        <v>96674</v>
      </c>
      <c r="B8528" s="4" t="s">
        <v>8552</v>
      </c>
      <c r="C8528" s="3" t="s">
        <v>50</v>
      </c>
      <c r="D8528" s="5">
        <f t="shared" si="266"/>
        <v>95.41</v>
      </c>
      <c r="E8528">
        <v>104.74</v>
      </c>
      <c r="F8528" s="1789">
        <v>8.8999999999999996E-2</v>
      </c>
      <c r="G8528">
        <f t="shared" si="267"/>
        <v>95.41</v>
      </c>
    </row>
    <row r="8529" spans="1:7" ht="12.75" customHeight="1">
      <c r="A8529" s="3">
        <v>96675</v>
      </c>
      <c r="B8529" s="4" t="s">
        <v>8553</v>
      </c>
      <c r="C8529" s="3" t="s">
        <v>50</v>
      </c>
      <c r="D8529" s="5">
        <f t="shared" si="266"/>
        <v>138.93</v>
      </c>
      <c r="E8529">
        <v>152.51</v>
      </c>
      <c r="F8529" s="1789">
        <v>8.8999999999999996E-2</v>
      </c>
      <c r="G8529">
        <f t="shared" si="267"/>
        <v>138.93</v>
      </c>
    </row>
    <row r="8530" spans="1:7" ht="12.75" customHeight="1">
      <c r="A8530" s="3">
        <v>96676</v>
      </c>
      <c r="B8530" s="4" t="s">
        <v>8554</v>
      </c>
      <c r="C8530" s="3" t="s">
        <v>50</v>
      </c>
      <c r="D8530" s="5">
        <f t="shared" si="266"/>
        <v>19.78</v>
      </c>
      <c r="E8530">
        <v>21.72</v>
      </c>
      <c r="F8530" s="1789">
        <v>8.8999999999999996E-2</v>
      </c>
      <c r="G8530">
        <f t="shared" si="267"/>
        <v>19.78</v>
      </c>
    </row>
    <row r="8531" spans="1:7" ht="12.75" customHeight="1">
      <c r="A8531" s="3">
        <v>96677</v>
      </c>
      <c r="B8531" s="4" t="s">
        <v>8555</v>
      </c>
      <c r="C8531" s="3" t="s">
        <v>50</v>
      </c>
      <c r="D8531" s="5">
        <f t="shared" si="266"/>
        <v>25.82</v>
      </c>
      <c r="E8531">
        <v>28.35</v>
      </c>
      <c r="F8531" s="1789">
        <v>8.8999999999999996E-2</v>
      </c>
      <c r="G8531">
        <f t="shared" si="267"/>
        <v>25.82</v>
      </c>
    </row>
    <row r="8532" spans="1:7" ht="12.75" customHeight="1">
      <c r="A8532" s="3">
        <v>96678</v>
      </c>
      <c r="B8532" s="4" t="s">
        <v>8556</v>
      </c>
      <c r="C8532" s="3" t="s">
        <v>50</v>
      </c>
      <c r="D8532" s="5">
        <f t="shared" si="266"/>
        <v>35.630000000000003</v>
      </c>
      <c r="E8532">
        <v>39.119999999999997</v>
      </c>
      <c r="F8532" s="1789">
        <v>8.8999999999999996E-2</v>
      </c>
      <c r="G8532">
        <f t="shared" si="267"/>
        <v>35.630000000000003</v>
      </c>
    </row>
    <row r="8533" spans="1:7" ht="12.75" customHeight="1">
      <c r="A8533" s="3">
        <v>96679</v>
      </c>
      <c r="B8533" s="4" t="s">
        <v>8557</v>
      </c>
      <c r="C8533" s="3" t="s">
        <v>50</v>
      </c>
      <c r="D8533" s="5">
        <f t="shared" ref="D8533:D8596" si="268">G8533</f>
        <v>53.29</v>
      </c>
      <c r="E8533">
        <v>58.5</v>
      </c>
      <c r="F8533" s="1789">
        <v>8.8999999999999996E-2</v>
      </c>
      <c r="G8533">
        <f t="shared" ref="G8533:G8596" si="269">TRUNC((1-F8533)*E8533,2)</f>
        <v>53.29</v>
      </c>
    </row>
    <row r="8534" spans="1:7" ht="12.75" customHeight="1">
      <c r="A8534" s="3">
        <v>96680</v>
      </c>
      <c r="B8534" s="4" t="s">
        <v>8558</v>
      </c>
      <c r="C8534" s="3" t="s">
        <v>50</v>
      </c>
      <c r="D8534" s="5">
        <f t="shared" si="268"/>
        <v>88.43</v>
      </c>
      <c r="E8534">
        <v>97.08</v>
      </c>
      <c r="F8534" s="1789">
        <v>8.8999999999999996E-2</v>
      </c>
      <c r="G8534">
        <f t="shared" si="269"/>
        <v>88.43</v>
      </c>
    </row>
    <row r="8535" spans="1:7" ht="12.75" customHeight="1">
      <c r="A8535" s="3">
        <v>96681</v>
      </c>
      <c r="B8535" s="4" t="s">
        <v>8559</v>
      </c>
      <c r="C8535" s="3" t="s">
        <v>50</v>
      </c>
      <c r="D8535" s="5">
        <f t="shared" si="268"/>
        <v>119.15</v>
      </c>
      <c r="E8535">
        <v>130.80000000000001</v>
      </c>
      <c r="F8535" s="1789">
        <v>8.8999999999999996E-2</v>
      </c>
      <c r="G8535">
        <f t="shared" si="269"/>
        <v>119.15</v>
      </c>
    </row>
    <row r="8536" spans="1:7" ht="12.75" customHeight="1">
      <c r="A8536" s="3">
        <v>96682</v>
      </c>
      <c r="B8536" s="4" t="s">
        <v>8560</v>
      </c>
      <c r="C8536" s="3" t="s">
        <v>50</v>
      </c>
      <c r="D8536" s="5">
        <f t="shared" si="268"/>
        <v>197.1</v>
      </c>
      <c r="E8536">
        <v>216.36</v>
      </c>
      <c r="F8536" s="1789">
        <v>8.8999999999999996E-2</v>
      </c>
      <c r="G8536">
        <f t="shared" si="269"/>
        <v>197.1</v>
      </c>
    </row>
    <row r="8537" spans="1:7" ht="12.75" customHeight="1">
      <c r="A8537" s="3">
        <v>96683</v>
      </c>
      <c r="B8537" s="4" t="s">
        <v>8561</v>
      </c>
      <c r="C8537" s="3" t="s">
        <v>50</v>
      </c>
      <c r="D8537" s="5">
        <f t="shared" si="268"/>
        <v>270.75</v>
      </c>
      <c r="E8537">
        <v>297.20999999999998</v>
      </c>
      <c r="F8537" s="1789">
        <v>8.8999999999999996E-2</v>
      </c>
      <c r="G8537">
        <f t="shared" si="269"/>
        <v>270.75</v>
      </c>
    </row>
    <row r="8538" spans="1:7" ht="12.75" customHeight="1">
      <c r="A8538" s="3">
        <v>96718</v>
      </c>
      <c r="B8538" s="4" t="s">
        <v>8562</v>
      </c>
      <c r="C8538" s="3" t="s">
        <v>50</v>
      </c>
      <c r="D8538" s="5">
        <f t="shared" si="268"/>
        <v>12.79</v>
      </c>
      <c r="E8538">
        <v>14.04</v>
      </c>
      <c r="F8538" s="1789">
        <v>8.8999999999999996E-2</v>
      </c>
      <c r="G8538">
        <f t="shared" si="269"/>
        <v>12.79</v>
      </c>
    </row>
    <row r="8539" spans="1:7" ht="12.75" customHeight="1">
      <c r="A8539" s="3">
        <v>96719</v>
      </c>
      <c r="B8539" s="4" t="s">
        <v>8563</v>
      </c>
      <c r="C8539" s="3" t="s">
        <v>50</v>
      </c>
      <c r="D8539" s="5">
        <f t="shared" si="268"/>
        <v>16.45</v>
      </c>
      <c r="E8539">
        <v>18.059999999999999</v>
      </c>
      <c r="F8539" s="1789">
        <v>8.8999999999999996E-2</v>
      </c>
      <c r="G8539">
        <f t="shared" si="269"/>
        <v>16.45</v>
      </c>
    </row>
    <row r="8540" spans="1:7" ht="12.75" customHeight="1">
      <c r="A8540" s="3">
        <v>96720</v>
      </c>
      <c r="B8540" s="4" t="s">
        <v>8564</v>
      </c>
      <c r="C8540" s="3" t="s">
        <v>50</v>
      </c>
      <c r="D8540" s="5">
        <f t="shared" si="268"/>
        <v>14.8</v>
      </c>
      <c r="E8540">
        <v>16.25</v>
      </c>
      <c r="F8540" s="1789">
        <v>8.8999999999999996E-2</v>
      </c>
      <c r="G8540">
        <f t="shared" si="269"/>
        <v>14.8</v>
      </c>
    </row>
    <row r="8541" spans="1:7" ht="12.75" customHeight="1">
      <c r="A8541" s="3">
        <v>96721</v>
      </c>
      <c r="B8541" s="4" t="s">
        <v>8565</v>
      </c>
      <c r="C8541" s="3" t="s">
        <v>50</v>
      </c>
      <c r="D8541" s="5">
        <f t="shared" si="268"/>
        <v>19.29</v>
      </c>
      <c r="E8541">
        <v>21.18</v>
      </c>
      <c r="F8541" s="1789">
        <v>8.8999999999999996E-2</v>
      </c>
      <c r="G8541">
        <f t="shared" si="269"/>
        <v>19.29</v>
      </c>
    </row>
    <row r="8542" spans="1:7" ht="12.75" customHeight="1">
      <c r="A8542" s="3">
        <v>96722</v>
      </c>
      <c r="B8542" s="4" t="s">
        <v>8566</v>
      </c>
      <c r="C8542" s="3" t="s">
        <v>50</v>
      </c>
      <c r="D8542" s="5">
        <f t="shared" si="268"/>
        <v>29.78</v>
      </c>
      <c r="E8542">
        <v>32.700000000000003</v>
      </c>
      <c r="F8542" s="1789">
        <v>8.8999999999999996E-2</v>
      </c>
      <c r="G8542">
        <f t="shared" si="269"/>
        <v>29.78</v>
      </c>
    </row>
    <row r="8543" spans="1:7" ht="12.75" customHeight="1">
      <c r="A8543" s="3">
        <v>96723</v>
      </c>
      <c r="B8543" s="4" t="s">
        <v>8567</v>
      </c>
      <c r="C8543" s="3" t="s">
        <v>50</v>
      </c>
      <c r="D8543" s="5">
        <f t="shared" si="268"/>
        <v>46.46</v>
      </c>
      <c r="E8543">
        <v>51</v>
      </c>
      <c r="F8543" s="1789">
        <v>8.8999999999999996E-2</v>
      </c>
      <c r="G8543">
        <f t="shared" si="269"/>
        <v>46.46</v>
      </c>
    </row>
    <row r="8544" spans="1:7" ht="12.75" customHeight="1">
      <c r="A8544" s="3">
        <v>96724</v>
      </c>
      <c r="B8544" s="4" t="s">
        <v>8568</v>
      </c>
      <c r="C8544" s="3" t="s">
        <v>50</v>
      </c>
      <c r="D8544" s="5">
        <f t="shared" si="268"/>
        <v>59.64</v>
      </c>
      <c r="E8544">
        <v>65.47</v>
      </c>
      <c r="F8544" s="1789">
        <v>8.8999999999999996E-2</v>
      </c>
      <c r="G8544">
        <f t="shared" si="269"/>
        <v>59.64</v>
      </c>
    </row>
    <row r="8545" spans="1:7" ht="12.75" customHeight="1">
      <c r="A8545" s="3">
        <v>96725</v>
      </c>
      <c r="B8545" s="4" t="s">
        <v>8569</v>
      </c>
      <c r="C8545" s="3" t="s">
        <v>50</v>
      </c>
      <c r="D8545" s="5">
        <f t="shared" si="268"/>
        <v>98.07</v>
      </c>
      <c r="E8545">
        <v>107.66</v>
      </c>
      <c r="F8545" s="1789">
        <v>8.8999999999999996E-2</v>
      </c>
      <c r="G8545">
        <f t="shared" si="269"/>
        <v>98.07</v>
      </c>
    </row>
    <row r="8546" spans="1:7" ht="12.75" customHeight="1">
      <c r="A8546" s="3">
        <v>96726</v>
      </c>
      <c r="B8546" s="4" t="s">
        <v>8570</v>
      </c>
      <c r="C8546" s="3" t="s">
        <v>50</v>
      </c>
      <c r="D8546" s="5">
        <f t="shared" si="268"/>
        <v>145.11000000000001</v>
      </c>
      <c r="E8546">
        <v>159.29</v>
      </c>
      <c r="F8546" s="1789">
        <v>8.8999999999999996E-2</v>
      </c>
      <c r="G8546">
        <f t="shared" si="269"/>
        <v>145.11000000000001</v>
      </c>
    </row>
    <row r="8547" spans="1:7" ht="12.75" customHeight="1">
      <c r="A8547" s="3">
        <v>96727</v>
      </c>
      <c r="B8547" s="4" t="s">
        <v>8571</v>
      </c>
      <c r="C8547" s="3" t="s">
        <v>50</v>
      </c>
      <c r="D8547" s="5">
        <f t="shared" si="268"/>
        <v>14.5</v>
      </c>
      <c r="E8547">
        <v>15.92</v>
      </c>
      <c r="F8547" s="1789">
        <v>8.8999999999999996E-2</v>
      </c>
      <c r="G8547">
        <f t="shared" si="269"/>
        <v>14.5</v>
      </c>
    </row>
    <row r="8548" spans="1:7" ht="12.75" customHeight="1">
      <c r="A8548" s="3">
        <v>96728</v>
      </c>
      <c r="B8548" s="4" t="s">
        <v>8572</v>
      </c>
      <c r="C8548" s="3" t="s">
        <v>50</v>
      </c>
      <c r="D8548" s="5">
        <f t="shared" si="268"/>
        <v>18.86</v>
      </c>
      <c r="E8548">
        <v>20.71</v>
      </c>
      <c r="F8548" s="1789">
        <v>8.8999999999999996E-2</v>
      </c>
      <c r="G8548">
        <f t="shared" si="269"/>
        <v>18.86</v>
      </c>
    </row>
    <row r="8549" spans="1:7" ht="12.75" customHeight="1">
      <c r="A8549" s="3">
        <v>96729</v>
      </c>
      <c r="B8549" s="4" t="s">
        <v>8573</v>
      </c>
      <c r="C8549" s="3" t="s">
        <v>50</v>
      </c>
      <c r="D8549" s="5">
        <f t="shared" si="268"/>
        <v>24.4</v>
      </c>
      <c r="E8549">
        <v>26.79</v>
      </c>
      <c r="F8549" s="1789">
        <v>8.8999999999999996E-2</v>
      </c>
      <c r="G8549">
        <f t="shared" si="269"/>
        <v>24.4</v>
      </c>
    </row>
    <row r="8550" spans="1:7" ht="12.75" customHeight="1">
      <c r="A8550" s="3">
        <v>96730</v>
      </c>
      <c r="B8550" s="4" t="s">
        <v>8574</v>
      </c>
      <c r="C8550" s="3" t="s">
        <v>50</v>
      </c>
      <c r="D8550" s="5">
        <f t="shared" si="268"/>
        <v>33.869999999999997</v>
      </c>
      <c r="E8550">
        <v>37.18</v>
      </c>
      <c r="F8550" s="1789">
        <v>8.8999999999999996E-2</v>
      </c>
      <c r="G8550">
        <f t="shared" si="269"/>
        <v>33.869999999999997</v>
      </c>
    </row>
    <row r="8551" spans="1:7" ht="12.75" customHeight="1">
      <c r="A8551" s="3">
        <v>96731</v>
      </c>
      <c r="B8551" s="4" t="s">
        <v>8575</v>
      </c>
      <c r="C8551" s="3" t="s">
        <v>50</v>
      </c>
      <c r="D8551" s="5">
        <f t="shared" si="268"/>
        <v>51.45</v>
      </c>
      <c r="E8551">
        <v>56.48</v>
      </c>
      <c r="F8551" s="1789">
        <v>8.8999999999999996E-2</v>
      </c>
      <c r="G8551">
        <f t="shared" si="269"/>
        <v>51.45</v>
      </c>
    </row>
    <row r="8552" spans="1:7" ht="12.75" customHeight="1">
      <c r="A8552" s="3">
        <v>96732</v>
      </c>
      <c r="B8552" s="4" t="s">
        <v>8576</v>
      </c>
      <c r="C8552" s="3" t="s">
        <v>50</v>
      </c>
      <c r="D8552" s="5">
        <f t="shared" si="268"/>
        <v>87.06</v>
      </c>
      <c r="E8552">
        <v>95.57</v>
      </c>
      <c r="F8552" s="1789">
        <v>8.8999999999999996E-2</v>
      </c>
      <c r="G8552">
        <f t="shared" si="269"/>
        <v>87.06</v>
      </c>
    </row>
    <row r="8553" spans="1:7" ht="12.75" customHeight="1">
      <c r="A8553" s="3">
        <v>96733</v>
      </c>
      <c r="B8553" s="4" t="s">
        <v>8577</v>
      </c>
      <c r="C8553" s="3" t="s">
        <v>50</v>
      </c>
      <c r="D8553" s="5">
        <f t="shared" si="268"/>
        <v>118.74</v>
      </c>
      <c r="E8553">
        <v>130.35</v>
      </c>
      <c r="F8553" s="1789">
        <v>8.8999999999999996E-2</v>
      </c>
      <c r="G8553">
        <f t="shared" si="269"/>
        <v>118.74</v>
      </c>
    </row>
    <row r="8554" spans="1:7" ht="12.75" customHeight="1">
      <c r="A8554" s="3">
        <v>96734</v>
      </c>
      <c r="B8554" s="4" t="s">
        <v>8578</v>
      </c>
      <c r="C8554" s="3" t="s">
        <v>50</v>
      </c>
      <c r="D8554" s="5">
        <f t="shared" si="268"/>
        <v>198.67</v>
      </c>
      <c r="E8554">
        <v>218.09</v>
      </c>
      <c r="F8554" s="1789">
        <v>8.8999999999999996E-2</v>
      </c>
      <c r="G8554">
        <f t="shared" si="269"/>
        <v>198.67</v>
      </c>
    </row>
    <row r="8555" spans="1:7" ht="12.75" customHeight="1">
      <c r="A8555" s="3">
        <v>96735</v>
      </c>
      <c r="B8555" s="4" t="s">
        <v>8579</v>
      </c>
      <c r="C8555" s="3" t="s">
        <v>50</v>
      </c>
      <c r="D8555" s="5">
        <f t="shared" si="268"/>
        <v>276.29000000000002</v>
      </c>
      <c r="E8555">
        <v>303.29000000000002</v>
      </c>
      <c r="F8555" s="1789">
        <v>8.8999999999999996E-2</v>
      </c>
      <c r="G8555">
        <f t="shared" si="269"/>
        <v>276.29000000000002</v>
      </c>
    </row>
    <row r="8556" spans="1:7" ht="12.75" customHeight="1">
      <c r="A8556" s="3">
        <v>96798</v>
      </c>
      <c r="B8556" s="4" t="s">
        <v>8580</v>
      </c>
      <c r="C8556" s="3" t="s">
        <v>50</v>
      </c>
      <c r="D8556" s="5">
        <f t="shared" si="268"/>
        <v>7.01</v>
      </c>
      <c r="E8556">
        <v>7.7</v>
      </c>
      <c r="F8556" s="1789">
        <v>8.8999999999999996E-2</v>
      </c>
      <c r="G8556">
        <f t="shared" si="269"/>
        <v>7.01</v>
      </c>
    </row>
    <row r="8557" spans="1:7" ht="12.75" customHeight="1">
      <c r="A8557" s="3">
        <v>96799</v>
      </c>
      <c r="B8557" s="4" t="s">
        <v>8581</v>
      </c>
      <c r="C8557" s="3" t="s">
        <v>50</v>
      </c>
      <c r="D8557" s="5">
        <f t="shared" si="268"/>
        <v>9</v>
      </c>
      <c r="E8557">
        <v>9.8800000000000008</v>
      </c>
      <c r="F8557" s="1789">
        <v>8.8999999999999996E-2</v>
      </c>
      <c r="G8557">
        <f t="shared" si="269"/>
        <v>9</v>
      </c>
    </row>
    <row r="8558" spans="1:7" ht="12.75" customHeight="1">
      <c r="A8558" s="3">
        <v>96800</v>
      </c>
      <c r="B8558" s="4" t="s">
        <v>8582</v>
      </c>
      <c r="C8558" s="3" t="s">
        <v>50</v>
      </c>
      <c r="D8558" s="5">
        <f t="shared" si="268"/>
        <v>12.28</v>
      </c>
      <c r="E8558">
        <v>13.49</v>
      </c>
      <c r="F8558" s="1789">
        <v>8.8999999999999996E-2</v>
      </c>
      <c r="G8558">
        <f t="shared" si="269"/>
        <v>12.28</v>
      </c>
    </row>
    <row r="8559" spans="1:7" ht="12.75" customHeight="1">
      <c r="A8559" s="3">
        <v>96801</v>
      </c>
      <c r="B8559" s="4" t="s">
        <v>8583</v>
      </c>
      <c r="C8559" s="3" t="s">
        <v>50</v>
      </c>
      <c r="D8559" s="5">
        <f t="shared" si="268"/>
        <v>18.73</v>
      </c>
      <c r="E8559">
        <v>20.56</v>
      </c>
      <c r="F8559" s="1789">
        <v>8.8999999999999996E-2</v>
      </c>
      <c r="G8559">
        <f t="shared" si="269"/>
        <v>18.73</v>
      </c>
    </row>
    <row r="8560" spans="1:7" ht="12.75" customHeight="1">
      <c r="A8560" s="3">
        <v>97327</v>
      </c>
      <c r="B8560" s="4" t="s">
        <v>8584</v>
      </c>
      <c r="C8560" s="3" t="s">
        <v>50</v>
      </c>
      <c r="D8560" s="5">
        <f t="shared" si="268"/>
        <v>24.84</v>
      </c>
      <c r="E8560">
        <v>27.27</v>
      </c>
      <c r="F8560" s="1789">
        <v>8.8999999999999996E-2</v>
      </c>
      <c r="G8560">
        <f t="shared" si="269"/>
        <v>24.84</v>
      </c>
    </row>
    <row r="8561" spans="1:7" ht="12.75" customHeight="1">
      <c r="A8561" s="3">
        <v>97328</v>
      </c>
      <c r="B8561" s="4" t="s">
        <v>8585</v>
      </c>
      <c r="C8561" s="3" t="s">
        <v>50</v>
      </c>
      <c r="D8561" s="5">
        <f t="shared" si="268"/>
        <v>41.96</v>
      </c>
      <c r="E8561">
        <v>46.07</v>
      </c>
      <c r="F8561" s="1789">
        <v>8.8999999999999996E-2</v>
      </c>
      <c r="G8561">
        <f t="shared" si="269"/>
        <v>41.96</v>
      </c>
    </row>
    <row r="8562" spans="1:7" ht="12.75" customHeight="1">
      <c r="A8562" s="3">
        <v>97329</v>
      </c>
      <c r="B8562" s="4" t="s">
        <v>8586</v>
      </c>
      <c r="C8562" s="3" t="s">
        <v>50</v>
      </c>
      <c r="D8562" s="5">
        <f t="shared" si="268"/>
        <v>53.12</v>
      </c>
      <c r="E8562">
        <v>58.31</v>
      </c>
      <c r="F8562" s="1789">
        <v>8.8999999999999996E-2</v>
      </c>
      <c r="G8562">
        <f t="shared" si="269"/>
        <v>53.12</v>
      </c>
    </row>
    <row r="8563" spans="1:7" ht="12.75" customHeight="1">
      <c r="A8563" s="3">
        <v>97330</v>
      </c>
      <c r="B8563" s="4" t="s">
        <v>8587</v>
      </c>
      <c r="C8563" s="3" t="s">
        <v>50</v>
      </c>
      <c r="D8563" s="5">
        <f t="shared" si="268"/>
        <v>64.92</v>
      </c>
      <c r="E8563">
        <v>71.27</v>
      </c>
      <c r="F8563" s="1789">
        <v>8.8999999999999996E-2</v>
      </c>
      <c r="G8563">
        <f t="shared" si="269"/>
        <v>64.92</v>
      </c>
    </row>
    <row r="8564" spans="1:7" ht="12.75" customHeight="1">
      <c r="A8564" s="3">
        <v>97331</v>
      </c>
      <c r="B8564" s="4" t="s">
        <v>8588</v>
      </c>
      <c r="C8564" s="3" t="s">
        <v>50</v>
      </c>
      <c r="D8564" s="5">
        <f t="shared" si="268"/>
        <v>25.14</v>
      </c>
      <c r="E8564">
        <v>27.6</v>
      </c>
      <c r="F8564" s="1789">
        <v>8.8999999999999996E-2</v>
      </c>
      <c r="G8564">
        <f t="shared" si="269"/>
        <v>25.14</v>
      </c>
    </row>
    <row r="8565" spans="1:7" ht="12.75" customHeight="1">
      <c r="A8565" s="3">
        <v>97332</v>
      </c>
      <c r="B8565" s="4" t="s">
        <v>8589</v>
      </c>
      <c r="C8565" s="3" t="s">
        <v>50</v>
      </c>
      <c r="D8565" s="5">
        <f t="shared" si="268"/>
        <v>42.3</v>
      </c>
      <c r="E8565">
        <v>46.44</v>
      </c>
      <c r="F8565" s="1789">
        <v>8.8999999999999996E-2</v>
      </c>
      <c r="G8565">
        <f t="shared" si="269"/>
        <v>42.3</v>
      </c>
    </row>
    <row r="8566" spans="1:7" ht="12.75" customHeight="1">
      <c r="A8566" s="3">
        <v>97333</v>
      </c>
      <c r="B8566" s="4" t="s">
        <v>8590</v>
      </c>
      <c r="C8566" s="3" t="s">
        <v>50</v>
      </c>
      <c r="D8566" s="5">
        <f t="shared" si="268"/>
        <v>53.54</v>
      </c>
      <c r="E8566">
        <v>58.78</v>
      </c>
      <c r="F8566" s="1789">
        <v>8.8999999999999996E-2</v>
      </c>
      <c r="G8566">
        <f t="shared" si="269"/>
        <v>53.54</v>
      </c>
    </row>
    <row r="8567" spans="1:7" ht="12.75" customHeight="1">
      <c r="A8567" s="3">
        <v>97334</v>
      </c>
      <c r="B8567" s="4" t="s">
        <v>8591</v>
      </c>
      <c r="C8567" s="3" t="s">
        <v>50</v>
      </c>
      <c r="D8567" s="5">
        <f t="shared" si="268"/>
        <v>65.39</v>
      </c>
      <c r="E8567">
        <v>71.78</v>
      </c>
      <c r="F8567" s="1789">
        <v>8.8999999999999996E-2</v>
      </c>
      <c r="G8567">
        <f t="shared" si="269"/>
        <v>65.39</v>
      </c>
    </row>
    <row r="8568" spans="1:7" ht="12.75" customHeight="1">
      <c r="A8568" s="3">
        <v>97335</v>
      </c>
      <c r="B8568" s="4" t="s">
        <v>8592</v>
      </c>
      <c r="C8568" s="3" t="s">
        <v>50</v>
      </c>
      <c r="D8568" s="5">
        <f t="shared" si="268"/>
        <v>72.88</v>
      </c>
      <c r="E8568">
        <v>80</v>
      </c>
      <c r="F8568" s="1789">
        <v>8.8999999999999996E-2</v>
      </c>
      <c r="G8568">
        <f t="shared" si="269"/>
        <v>72.88</v>
      </c>
    </row>
    <row r="8569" spans="1:7" ht="12.75" customHeight="1">
      <c r="A8569" s="3">
        <v>97336</v>
      </c>
      <c r="B8569" s="4" t="s">
        <v>8593</v>
      </c>
      <c r="C8569" s="3" t="s">
        <v>50</v>
      </c>
      <c r="D8569" s="5">
        <f t="shared" si="268"/>
        <v>92.74</v>
      </c>
      <c r="E8569">
        <v>101.81</v>
      </c>
      <c r="F8569" s="1789">
        <v>8.8999999999999996E-2</v>
      </c>
      <c r="G8569">
        <f t="shared" si="269"/>
        <v>92.74</v>
      </c>
    </row>
    <row r="8570" spans="1:7" ht="12.75" customHeight="1">
      <c r="A8570" s="3">
        <v>97337</v>
      </c>
      <c r="B8570" s="4" t="s">
        <v>8594</v>
      </c>
      <c r="C8570" s="3" t="s">
        <v>50</v>
      </c>
      <c r="D8570" s="5">
        <f t="shared" si="268"/>
        <v>139.49</v>
      </c>
      <c r="E8570">
        <v>153.12</v>
      </c>
      <c r="F8570" s="1789">
        <v>8.8999999999999996E-2</v>
      </c>
      <c r="G8570">
        <f t="shared" si="269"/>
        <v>139.49</v>
      </c>
    </row>
    <row r="8571" spans="1:7" ht="12.75" customHeight="1">
      <c r="A8571" s="3">
        <v>97338</v>
      </c>
      <c r="B8571" s="4" t="s">
        <v>8595</v>
      </c>
      <c r="C8571" s="3" t="s">
        <v>50</v>
      </c>
      <c r="D8571" s="5">
        <f t="shared" si="268"/>
        <v>167.84</v>
      </c>
      <c r="E8571">
        <v>184.24</v>
      </c>
      <c r="F8571" s="1789">
        <v>8.8999999999999996E-2</v>
      </c>
      <c r="G8571">
        <f t="shared" si="269"/>
        <v>167.84</v>
      </c>
    </row>
    <row r="8572" spans="1:7" ht="12.75" customHeight="1">
      <c r="A8572" s="3">
        <v>97339</v>
      </c>
      <c r="B8572" s="4" t="s">
        <v>8596</v>
      </c>
      <c r="C8572" s="3" t="s">
        <v>50</v>
      </c>
      <c r="D8572" s="5">
        <f t="shared" si="268"/>
        <v>180.76</v>
      </c>
      <c r="E8572">
        <v>198.43</v>
      </c>
      <c r="F8572" s="1789">
        <v>8.8999999999999996E-2</v>
      </c>
      <c r="G8572">
        <f t="shared" si="269"/>
        <v>180.76</v>
      </c>
    </row>
    <row r="8573" spans="1:7" ht="12.75" customHeight="1">
      <c r="A8573" s="3">
        <v>97340</v>
      </c>
      <c r="B8573" s="4" t="s">
        <v>8597</v>
      </c>
      <c r="C8573" s="3" t="s">
        <v>50</v>
      </c>
      <c r="D8573" s="5">
        <f t="shared" si="268"/>
        <v>181.85</v>
      </c>
      <c r="E8573">
        <v>199.62</v>
      </c>
      <c r="F8573" s="1789">
        <v>8.8999999999999996E-2</v>
      </c>
      <c r="G8573">
        <f t="shared" si="269"/>
        <v>181.85</v>
      </c>
    </row>
    <row r="8574" spans="1:7" ht="12.75" customHeight="1">
      <c r="A8574" s="3">
        <v>97498</v>
      </c>
      <c r="B8574" s="4" t="s">
        <v>8598</v>
      </c>
      <c r="C8574" s="3" t="s">
        <v>50</v>
      </c>
      <c r="D8574" s="5">
        <f t="shared" si="268"/>
        <v>40.57</v>
      </c>
      <c r="E8574">
        <v>44.54</v>
      </c>
      <c r="F8574" s="1789">
        <v>8.8999999999999996E-2</v>
      </c>
      <c r="G8574">
        <f t="shared" si="269"/>
        <v>40.57</v>
      </c>
    </row>
    <row r="8575" spans="1:7" ht="12.75" customHeight="1">
      <c r="A8575" s="3">
        <v>97535</v>
      </c>
      <c r="B8575" s="4" t="s">
        <v>8599</v>
      </c>
      <c r="C8575" s="3" t="s">
        <v>50</v>
      </c>
      <c r="D8575" s="5">
        <f t="shared" si="268"/>
        <v>44.68</v>
      </c>
      <c r="E8575">
        <v>49.05</v>
      </c>
      <c r="F8575" s="1789">
        <v>8.8999999999999996E-2</v>
      </c>
      <c r="G8575">
        <f t="shared" si="269"/>
        <v>44.68</v>
      </c>
    </row>
    <row r="8576" spans="1:7" ht="12.75" customHeight="1">
      <c r="A8576" s="3">
        <v>97536</v>
      </c>
      <c r="B8576" s="4" t="s">
        <v>8600</v>
      </c>
      <c r="C8576" s="3" t="s">
        <v>50</v>
      </c>
      <c r="D8576" s="5">
        <f t="shared" si="268"/>
        <v>54.13</v>
      </c>
      <c r="E8576">
        <v>59.42</v>
      </c>
      <c r="F8576" s="1789">
        <v>8.8999999999999996E-2</v>
      </c>
      <c r="G8576">
        <f t="shared" si="269"/>
        <v>54.13</v>
      </c>
    </row>
    <row r="8577" spans="1:7" ht="12.75" customHeight="1">
      <c r="A8577" s="3">
        <v>100788</v>
      </c>
      <c r="B8577" s="4" t="s">
        <v>8601</v>
      </c>
      <c r="C8577" s="3" t="s">
        <v>6</v>
      </c>
      <c r="D8577" s="5">
        <f t="shared" si="268"/>
        <v>546.73</v>
      </c>
      <c r="E8577">
        <v>600.15</v>
      </c>
      <c r="F8577" s="1789">
        <v>8.8999999999999996E-2</v>
      </c>
      <c r="G8577">
        <f t="shared" si="269"/>
        <v>546.73</v>
      </c>
    </row>
    <row r="8578" spans="1:7" ht="12.75" customHeight="1">
      <c r="A8578" s="3">
        <v>100791</v>
      </c>
      <c r="B8578" s="4" t="s">
        <v>8602</v>
      </c>
      <c r="C8578" s="3" t="s">
        <v>50</v>
      </c>
      <c r="D8578" s="5">
        <f t="shared" si="268"/>
        <v>15.14</v>
      </c>
      <c r="E8578">
        <v>16.62</v>
      </c>
      <c r="F8578" s="1789">
        <v>8.8999999999999996E-2</v>
      </c>
      <c r="G8578">
        <f t="shared" si="269"/>
        <v>15.14</v>
      </c>
    </row>
    <row r="8579" spans="1:7" ht="12.75" customHeight="1">
      <c r="A8579" s="3">
        <v>100792</v>
      </c>
      <c r="B8579" s="4" t="s">
        <v>8603</v>
      </c>
      <c r="C8579" s="3" t="s">
        <v>50</v>
      </c>
      <c r="D8579" s="5">
        <f t="shared" si="268"/>
        <v>21.83</v>
      </c>
      <c r="E8579">
        <v>23.97</v>
      </c>
      <c r="F8579" s="1789">
        <v>8.8999999999999996E-2</v>
      </c>
      <c r="G8579">
        <f t="shared" si="269"/>
        <v>21.83</v>
      </c>
    </row>
    <row r="8580" spans="1:7" ht="12.75" customHeight="1">
      <c r="A8580" s="3">
        <v>100793</v>
      </c>
      <c r="B8580" s="4" t="s">
        <v>8604</v>
      </c>
      <c r="C8580" s="3" t="s">
        <v>50</v>
      </c>
      <c r="D8580" s="5">
        <f t="shared" si="268"/>
        <v>28.75</v>
      </c>
      <c r="E8580">
        <v>31.56</v>
      </c>
      <c r="F8580" s="1789">
        <v>8.8999999999999996E-2</v>
      </c>
      <c r="G8580">
        <f t="shared" si="269"/>
        <v>28.75</v>
      </c>
    </row>
    <row r="8581" spans="1:7" ht="12.75" customHeight="1">
      <c r="A8581" s="3">
        <v>100794</v>
      </c>
      <c r="B8581" s="4" t="s">
        <v>8605</v>
      </c>
      <c r="C8581" s="3" t="s">
        <v>50</v>
      </c>
      <c r="D8581" s="5">
        <f t="shared" si="268"/>
        <v>38.549999999999997</v>
      </c>
      <c r="E8581">
        <v>42.32</v>
      </c>
      <c r="F8581" s="1789">
        <v>8.8999999999999996E-2</v>
      </c>
      <c r="G8581">
        <f t="shared" si="269"/>
        <v>38.549999999999997</v>
      </c>
    </row>
    <row r="8582" spans="1:7" ht="12.75" customHeight="1">
      <c r="A8582" s="3">
        <v>100799</v>
      </c>
      <c r="B8582" s="4" t="s">
        <v>8606</v>
      </c>
      <c r="C8582" s="3" t="s">
        <v>50</v>
      </c>
      <c r="D8582" s="5">
        <f t="shared" si="268"/>
        <v>15.55</v>
      </c>
      <c r="E8582">
        <v>17.079999999999998</v>
      </c>
      <c r="F8582" s="1789">
        <v>8.8999999999999996E-2</v>
      </c>
      <c r="G8582">
        <f t="shared" si="269"/>
        <v>15.55</v>
      </c>
    </row>
    <row r="8583" spans="1:7" ht="12.75" customHeight="1">
      <c r="A8583" s="3">
        <v>100800</v>
      </c>
      <c r="B8583" s="4" t="s">
        <v>8607</v>
      </c>
      <c r="C8583" s="3" t="s">
        <v>50</v>
      </c>
      <c r="D8583" s="5">
        <f t="shared" si="268"/>
        <v>22.25</v>
      </c>
      <c r="E8583">
        <v>24.43</v>
      </c>
      <c r="F8583" s="1789">
        <v>8.8999999999999996E-2</v>
      </c>
      <c r="G8583">
        <f t="shared" si="269"/>
        <v>22.25</v>
      </c>
    </row>
    <row r="8584" spans="1:7" ht="12.75" customHeight="1">
      <c r="A8584" s="3">
        <v>100801</v>
      </c>
      <c r="B8584" s="4" t="s">
        <v>8608</v>
      </c>
      <c r="C8584" s="3" t="s">
        <v>50</v>
      </c>
      <c r="D8584" s="5">
        <f t="shared" si="268"/>
        <v>29.17</v>
      </c>
      <c r="E8584">
        <v>32.03</v>
      </c>
      <c r="F8584" s="1789">
        <v>8.8999999999999996E-2</v>
      </c>
      <c r="G8584">
        <f t="shared" si="269"/>
        <v>29.17</v>
      </c>
    </row>
    <row r="8585" spans="1:7" ht="12.75" customHeight="1">
      <c r="A8585" s="3">
        <v>100802</v>
      </c>
      <c r="B8585" s="4" t="s">
        <v>8609</v>
      </c>
      <c r="C8585" s="3" t="s">
        <v>50</v>
      </c>
      <c r="D8585" s="5">
        <f t="shared" si="268"/>
        <v>38.97</v>
      </c>
      <c r="E8585">
        <v>42.78</v>
      </c>
      <c r="F8585" s="1789">
        <v>8.8999999999999996E-2</v>
      </c>
      <c r="G8585">
        <f t="shared" si="269"/>
        <v>38.97</v>
      </c>
    </row>
    <row r="8586" spans="1:7" ht="12.75" customHeight="1">
      <c r="A8586" s="3">
        <v>100803</v>
      </c>
      <c r="B8586" s="4" t="s">
        <v>8610</v>
      </c>
      <c r="C8586" s="3" t="s">
        <v>50</v>
      </c>
      <c r="D8586" s="5">
        <f t="shared" si="268"/>
        <v>14.27</v>
      </c>
      <c r="E8586">
        <v>15.67</v>
      </c>
      <c r="F8586" s="1789">
        <v>8.8999999999999996E-2</v>
      </c>
      <c r="G8586">
        <f t="shared" si="269"/>
        <v>14.27</v>
      </c>
    </row>
    <row r="8587" spans="1:7" ht="12.75" customHeight="1">
      <c r="A8587" s="3">
        <v>100804</v>
      </c>
      <c r="B8587" s="4" t="s">
        <v>8611</v>
      </c>
      <c r="C8587" s="3" t="s">
        <v>50</v>
      </c>
      <c r="D8587" s="5">
        <f t="shared" si="268"/>
        <v>20.81</v>
      </c>
      <c r="E8587">
        <v>22.85</v>
      </c>
      <c r="F8587" s="1789">
        <v>8.8999999999999996E-2</v>
      </c>
      <c r="G8587">
        <f t="shared" si="269"/>
        <v>20.81</v>
      </c>
    </row>
    <row r="8588" spans="1:7" ht="12.75" customHeight="1">
      <c r="A8588" s="3">
        <v>100805</v>
      </c>
      <c r="B8588" s="4" t="s">
        <v>8612</v>
      </c>
      <c r="C8588" s="3" t="s">
        <v>50</v>
      </c>
      <c r="D8588" s="5">
        <f t="shared" si="268"/>
        <v>27.53</v>
      </c>
      <c r="E8588">
        <v>30.22</v>
      </c>
      <c r="F8588" s="1789">
        <v>8.8999999999999996E-2</v>
      </c>
      <c r="G8588">
        <f t="shared" si="269"/>
        <v>27.53</v>
      </c>
    </row>
    <row r="8589" spans="1:7" ht="12.75" customHeight="1">
      <c r="A8589" s="3">
        <v>100806</v>
      </c>
      <c r="B8589" s="4" t="s">
        <v>8613</v>
      </c>
      <c r="C8589" s="3" t="s">
        <v>50</v>
      </c>
      <c r="D8589" s="5">
        <f t="shared" si="268"/>
        <v>37.049999999999997</v>
      </c>
      <c r="E8589">
        <v>40.68</v>
      </c>
      <c r="F8589" s="1789">
        <v>8.8999999999999996E-2</v>
      </c>
      <c r="G8589">
        <f t="shared" si="269"/>
        <v>37.049999999999997</v>
      </c>
    </row>
    <row r="8590" spans="1:7" ht="12.75" customHeight="1">
      <c r="A8590" s="3">
        <v>100807</v>
      </c>
      <c r="B8590" s="4" t="s">
        <v>8614</v>
      </c>
      <c r="C8590" s="3" t="s">
        <v>50</v>
      </c>
      <c r="D8590" s="5">
        <f t="shared" si="268"/>
        <v>20.45</v>
      </c>
      <c r="E8590">
        <v>22.45</v>
      </c>
      <c r="F8590" s="1789">
        <v>8.8999999999999996E-2</v>
      </c>
      <c r="G8590">
        <f t="shared" si="269"/>
        <v>20.45</v>
      </c>
    </row>
    <row r="8591" spans="1:7" ht="12.75" customHeight="1">
      <c r="A8591" s="3">
        <v>100808</v>
      </c>
      <c r="B8591" s="4" t="s">
        <v>8615</v>
      </c>
      <c r="C8591" s="3" t="s">
        <v>50</v>
      </c>
      <c r="D8591" s="5">
        <f t="shared" si="268"/>
        <v>28.06</v>
      </c>
      <c r="E8591">
        <v>30.81</v>
      </c>
      <c r="F8591" s="1789">
        <v>8.8999999999999996E-2</v>
      </c>
      <c r="G8591">
        <f t="shared" si="269"/>
        <v>28.06</v>
      </c>
    </row>
    <row r="8592" spans="1:7" ht="12.75" customHeight="1">
      <c r="A8592" s="3">
        <v>100809</v>
      </c>
      <c r="B8592" s="4" t="s">
        <v>8616</v>
      </c>
      <c r="C8592" s="3" t="s">
        <v>50</v>
      </c>
      <c r="D8592" s="5">
        <f t="shared" si="268"/>
        <v>36.11</v>
      </c>
      <c r="E8592">
        <v>39.64</v>
      </c>
      <c r="F8592" s="1789">
        <v>8.8999999999999996E-2</v>
      </c>
      <c r="G8592">
        <f t="shared" si="269"/>
        <v>36.11</v>
      </c>
    </row>
    <row r="8593" spans="1:7" ht="12.75" customHeight="1">
      <c r="A8593" s="3">
        <v>100810</v>
      </c>
      <c r="B8593" s="4" t="s">
        <v>8617</v>
      </c>
      <c r="C8593" s="3" t="s">
        <v>50</v>
      </c>
      <c r="D8593" s="5">
        <f t="shared" si="268"/>
        <v>47.51</v>
      </c>
      <c r="E8593">
        <v>52.16</v>
      </c>
      <c r="F8593" s="1789">
        <v>8.8999999999999996E-2</v>
      </c>
      <c r="G8593">
        <f t="shared" si="269"/>
        <v>47.51</v>
      </c>
    </row>
    <row r="8594" spans="1:7" ht="12.75" customHeight="1">
      <c r="A8594" s="3">
        <v>101918</v>
      </c>
      <c r="B8594" s="4" t="s">
        <v>8618</v>
      </c>
      <c r="C8594" s="3" t="s">
        <v>50</v>
      </c>
      <c r="D8594" s="5">
        <f t="shared" si="268"/>
        <v>190.03</v>
      </c>
      <c r="E8594">
        <v>208.6</v>
      </c>
      <c r="F8594" s="1789">
        <v>8.8999999999999996E-2</v>
      </c>
      <c r="G8594">
        <f t="shared" si="269"/>
        <v>190.03</v>
      </c>
    </row>
    <row r="8595" spans="1:7" ht="12.75" customHeight="1">
      <c r="A8595" s="3">
        <v>101919</v>
      </c>
      <c r="B8595" s="4" t="s">
        <v>8619</v>
      </c>
      <c r="C8595" s="3" t="s">
        <v>6</v>
      </c>
      <c r="D8595" s="5">
        <f t="shared" si="268"/>
        <v>307.38</v>
      </c>
      <c r="E8595">
        <v>337.41</v>
      </c>
      <c r="F8595" s="1789">
        <v>8.8999999999999996E-2</v>
      </c>
      <c r="G8595">
        <f t="shared" si="269"/>
        <v>307.38</v>
      </c>
    </row>
    <row r="8596" spans="1:7" ht="12.75" customHeight="1">
      <c r="A8596" s="3">
        <v>101920</v>
      </c>
      <c r="B8596" s="4" t="s">
        <v>8620</v>
      </c>
      <c r="C8596" s="3" t="s">
        <v>6</v>
      </c>
      <c r="D8596" s="5">
        <f t="shared" si="268"/>
        <v>149.12</v>
      </c>
      <c r="E8596">
        <v>163.69</v>
      </c>
      <c r="F8596" s="1789">
        <v>8.8999999999999996E-2</v>
      </c>
      <c r="G8596">
        <f t="shared" si="269"/>
        <v>149.12</v>
      </c>
    </row>
    <row r="8597" spans="1:7" ht="12.75" customHeight="1">
      <c r="A8597" s="3">
        <v>101921</v>
      </c>
      <c r="B8597" s="4" t="s">
        <v>8621</v>
      </c>
      <c r="C8597" s="3" t="s">
        <v>6</v>
      </c>
      <c r="D8597" s="5">
        <f t="shared" ref="D8597:D8660" si="270">G8597</f>
        <v>169.5</v>
      </c>
      <c r="E8597">
        <v>186.06</v>
      </c>
      <c r="F8597" s="1789">
        <v>8.8999999999999996E-2</v>
      </c>
      <c r="G8597">
        <f t="shared" ref="G8597:G8660" si="271">TRUNC((1-F8597)*E8597,2)</f>
        <v>169.5</v>
      </c>
    </row>
    <row r="8598" spans="1:7" ht="12.75" customHeight="1">
      <c r="A8598" s="3">
        <v>101922</v>
      </c>
      <c r="B8598" s="4" t="s">
        <v>8622</v>
      </c>
      <c r="C8598" s="3" t="s">
        <v>6</v>
      </c>
      <c r="D8598" s="5">
        <f t="shared" si="270"/>
        <v>169.5</v>
      </c>
      <c r="E8598">
        <v>186.06</v>
      </c>
      <c r="F8598" s="1789">
        <v>8.8999999999999996E-2</v>
      </c>
      <c r="G8598">
        <f t="shared" si="271"/>
        <v>169.5</v>
      </c>
    </row>
    <row r="8599" spans="1:7" ht="12.75" customHeight="1">
      <c r="A8599" s="3">
        <v>101923</v>
      </c>
      <c r="B8599" s="4" t="s">
        <v>8623</v>
      </c>
      <c r="C8599" s="3" t="s">
        <v>6</v>
      </c>
      <c r="D8599" s="5">
        <f t="shared" si="270"/>
        <v>169.5</v>
      </c>
      <c r="E8599">
        <v>186.06</v>
      </c>
      <c r="F8599" s="1789">
        <v>8.8999999999999996E-2</v>
      </c>
      <c r="G8599">
        <f t="shared" si="271"/>
        <v>169.5</v>
      </c>
    </row>
    <row r="8600" spans="1:7" ht="12.75" customHeight="1">
      <c r="A8600" s="3">
        <v>101924</v>
      </c>
      <c r="B8600" s="4" t="s">
        <v>8624</v>
      </c>
      <c r="C8600" s="3" t="s">
        <v>6</v>
      </c>
      <c r="D8600" s="5">
        <f t="shared" si="270"/>
        <v>140.59</v>
      </c>
      <c r="E8600">
        <v>154.33000000000001</v>
      </c>
      <c r="F8600" s="1789">
        <v>8.8999999999999996E-2</v>
      </c>
      <c r="G8600">
        <f t="shared" si="271"/>
        <v>140.59</v>
      </c>
    </row>
    <row r="8601" spans="1:7" ht="12.75" customHeight="1">
      <c r="A8601" s="3">
        <v>101925</v>
      </c>
      <c r="B8601" s="4" t="s">
        <v>8625</v>
      </c>
      <c r="C8601" s="3" t="s">
        <v>6</v>
      </c>
      <c r="D8601" s="5">
        <f t="shared" si="270"/>
        <v>234.26</v>
      </c>
      <c r="E8601">
        <v>257.14999999999998</v>
      </c>
      <c r="F8601" s="1789">
        <v>8.8999999999999996E-2</v>
      </c>
      <c r="G8601">
        <f t="shared" si="271"/>
        <v>234.26</v>
      </c>
    </row>
    <row r="8602" spans="1:7" ht="12.75" customHeight="1">
      <c r="A8602" s="3">
        <v>101926</v>
      </c>
      <c r="B8602" s="4" t="s">
        <v>8626</v>
      </c>
      <c r="C8602" s="3" t="s">
        <v>6</v>
      </c>
      <c r="D8602" s="5">
        <f t="shared" si="270"/>
        <v>302.35000000000002</v>
      </c>
      <c r="E8602">
        <v>331.89</v>
      </c>
      <c r="F8602" s="1789">
        <v>8.8999999999999996E-2</v>
      </c>
      <c r="G8602">
        <f t="shared" si="271"/>
        <v>302.35000000000002</v>
      </c>
    </row>
    <row r="8603" spans="1:7" ht="12.75" customHeight="1">
      <c r="A8603" s="3">
        <v>101927</v>
      </c>
      <c r="B8603" s="4" t="s">
        <v>8627</v>
      </c>
      <c r="C8603" s="3" t="s">
        <v>50</v>
      </c>
      <c r="D8603" s="5">
        <f t="shared" si="270"/>
        <v>177.22</v>
      </c>
      <c r="E8603">
        <v>194.54</v>
      </c>
      <c r="F8603" s="1789">
        <v>8.8999999999999996E-2</v>
      </c>
      <c r="G8603">
        <f t="shared" si="271"/>
        <v>177.22</v>
      </c>
    </row>
    <row r="8604" spans="1:7" ht="12.75" customHeight="1">
      <c r="A8604" s="3">
        <v>101928</v>
      </c>
      <c r="B8604" s="4" t="s">
        <v>8628</v>
      </c>
      <c r="C8604" s="3" t="s">
        <v>6</v>
      </c>
      <c r="D8604" s="5">
        <f t="shared" si="270"/>
        <v>312.27999999999997</v>
      </c>
      <c r="E8604">
        <v>342.79</v>
      </c>
      <c r="F8604" s="1789">
        <v>8.8999999999999996E-2</v>
      </c>
      <c r="G8604">
        <f t="shared" si="271"/>
        <v>312.27999999999997</v>
      </c>
    </row>
    <row r="8605" spans="1:7" ht="12.75" customHeight="1">
      <c r="A8605" s="3">
        <v>101929</v>
      </c>
      <c r="B8605" s="4" t="s">
        <v>8629</v>
      </c>
      <c r="C8605" s="3" t="s">
        <v>6</v>
      </c>
      <c r="D8605" s="5">
        <f t="shared" si="270"/>
        <v>154.02000000000001</v>
      </c>
      <c r="E8605">
        <v>169.07</v>
      </c>
      <c r="F8605" s="1789">
        <v>8.8999999999999996E-2</v>
      </c>
      <c r="G8605">
        <f t="shared" si="271"/>
        <v>154.02000000000001</v>
      </c>
    </row>
    <row r="8606" spans="1:7" ht="12.75" customHeight="1">
      <c r="A8606" s="3">
        <v>101930</v>
      </c>
      <c r="B8606" s="4" t="s">
        <v>8630</v>
      </c>
      <c r="C8606" s="3" t="s">
        <v>6</v>
      </c>
      <c r="D8606" s="5">
        <f t="shared" si="270"/>
        <v>174.4</v>
      </c>
      <c r="E8606">
        <v>191.44</v>
      </c>
      <c r="F8606" s="1789">
        <v>8.8999999999999996E-2</v>
      </c>
      <c r="G8606">
        <f t="shared" si="271"/>
        <v>174.4</v>
      </c>
    </row>
    <row r="8607" spans="1:7" ht="12.75" customHeight="1">
      <c r="A8607" s="3">
        <v>101931</v>
      </c>
      <c r="B8607" s="4" t="s">
        <v>8631</v>
      </c>
      <c r="C8607" s="3" t="s">
        <v>6</v>
      </c>
      <c r="D8607" s="5">
        <f t="shared" si="270"/>
        <v>174.4</v>
      </c>
      <c r="E8607">
        <v>191.44</v>
      </c>
      <c r="F8607" s="1789">
        <v>8.8999999999999996E-2</v>
      </c>
      <c r="G8607">
        <f t="shared" si="271"/>
        <v>174.4</v>
      </c>
    </row>
    <row r="8608" spans="1:7" ht="12.75" customHeight="1">
      <c r="A8608" s="3">
        <v>101932</v>
      </c>
      <c r="B8608" s="4" t="s">
        <v>8632</v>
      </c>
      <c r="C8608" s="3" t="s">
        <v>6</v>
      </c>
      <c r="D8608" s="5">
        <f t="shared" si="270"/>
        <v>174.4</v>
      </c>
      <c r="E8608">
        <v>191.44</v>
      </c>
      <c r="F8608" s="1789">
        <v>8.8999999999999996E-2</v>
      </c>
      <c r="G8608">
        <f t="shared" si="271"/>
        <v>174.4</v>
      </c>
    </row>
    <row r="8609" spans="1:7" ht="12.75" customHeight="1">
      <c r="A8609" s="3">
        <v>101933</v>
      </c>
      <c r="B8609" s="4" t="s">
        <v>8633</v>
      </c>
      <c r="C8609" s="3" t="s">
        <v>6</v>
      </c>
      <c r="D8609" s="5">
        <f t="shared" si="270"/>
        <v>145.49</v>
      </c>
      <c r="E8609">
        <v>159.71</v>
      </c>
      <c r="F8609" s="1789">
        <v>8.8999999999999996E-2</v>
      </c>
      <c r="G8609">
        <f t="shared" si="271"/>
        <v>145.49</v>
      </c>
    </row>
    <row r="8610" spans="1:7" ht="12.75" customHeight="1">
      <c r="A8610" s="3">
        <v>101934</v>
      </c>
      <c r="B8610" s="4" t="s">
        <v>8634</v>
      </c>
      <c r="C8610" s="3" t="s">
        <v>6</v>
      </c>
      <c r="D8610" s="5">
        <f t="shared" si="270"/>
        <v>241.62</v>
      </c>
      <c r="E8610">
        <v>265.23</v>
      </c>
      <c r="F8610" s="1789">
        <v>8.8999999999999996E-2</v>
      </c>
      <c r="G8610">
        <f t="shared" si="271"/>
        <v>241.62</v>
      </c>
    </row>
    <row r="8611" spans="1:7" ht="12.75" customHeight="1">
      <c r="A8611" s="3">
        <v>101935</v>
      </c>
      <c r="B8611" s="4" t="s">
        <v>8635</v>
      </c>
      <c r="C8611" s="3" t="s">
        <v>6</v>
      </c>
      <c r="D8611" s="5">
        <f t="shared" si="270"/>
        <v>312.16000000000003</v>
      </c>
      <c r="E8611">
        <v>342.66</v>
      </c>
      <c r="F8611" s="1789">
        <v>8.8999999999999996E-2</v>
      </c>
      <c r="G8611">
        <f t="shared" si="271"/>
        <v>312.16000000000003</v>
      </c>
    </row>
    <row r="8612" spans="1:7" ht="12.75" customHeight="1">
      <c r="A8612" s="3">
        <v>103802</v>
      </c>
      <c r="B8612" s="4" t="s">
        <v>8636</v>
      </c>
      <c r="C8612" s="3" t="s">
        <v>50</v>
      </c>
      <c r="D8612" s="5">
        <f t="shared" si="270"/>
        <v>35.97</v>
      </c>
      <c r="E8612">
        <v>39.49</v>
      </c>
      <c r="F8612" s="1789">
        <v>8.8999999999999996E-2</v>
      </c>
      <c r="G8612">
        <f t="shared" si="271"/>
        <v>35.97</v>
      </c>
    </row>
    <row r="8613" spans="1:7" ht="12.75" customHeight="1">
      <c r="A8613" s="3">
        <v>103803</v>
      </c>
      <c r="B8613" s="4" t="s">
        <v>8637</v>
      </c>
      <c r="C8613" s="3" t="s">
        <v>50</v>
      </c>
      <c r="D8613" s="5">
        <f t="shared" si="270"/>
        <v>61.83</v>
      </c>
      <c r="E8613">
        <v>67.88</v>
      </c>
      <c r="F8613" s="1789">
        <v>8.8999999999999996E-2</v>
      </c>
      <c r="G8613">
        <f t="shared" si="271"/>
        <v>61.83</v>
      </c>
    </row>
    <row r="8614" spans="1:7" ht="12.75" customHeight="1">
      <c r="A8614" s="3">
        <v>103804</v>
      </c>
      <c r="B8614" s="4" t="s">
        <v>8638</v>
      </c>
      <c r="C8614" s="3" t="s">
        <v>50</v>
      </c>
      <c r="D8614" s="5">
        <f t="shared" si="270"/>
        <v>74.97</v>
      </c>
      <c r="E8614">
        <v>82.3</v>
      </c>
      <c r="F8614" s="1789">
        <v>8.8999999999999996E-2</v>
      </c>
      <c r="G8614">
        <f t="shared" si="271"/>
        <v>74.97</v>
      </c>
    </row>
    <row r="8615" spans="1:7" ht="12.75" customHeight="1">
      <c r="A8615" s="3">
        <v>103835</v>
      </c>
      <c r="B8615" s="4" t="s">
        <v>8639</v>
      </c>
      <c r="C8615" s="3" t="s">
        <v>50</v>
      </c>
      <c r="D8615" s="5">
        <f t="shared" si="270"/>
        <v>56.2</v>
      </c>
      <c r="E8615">
        <v>61.7</v>
      </c>
      <c r="F8615" s="1789">
        <v>8.8999999999999996E-2</v>
      </c>
      <c r="G8615">
        <f t="shared" si="271"/>
        <v>56.2</v>
      </c>
    </row>
    <row r="8616" spans="1:7" ht="12.75" customHeight="1">
      <c r="A8616" s="3">
        <v>103836</v>
      </c>
      <c r="B8616" s="4" t="s">
        <v>8640</v>
      </c>
      <c r="C8616" s="3" t="s">
        <v>50</v>
      </c>
      <c r="D8616" s="5">
        <f t="shared" si="270"/>
        <v>87.42</v>
      </c>
      <c r="E8616">
        <v>95.97</v>
      </c>
      <c r="F8616" s="1789">
        <v>8.8999999999999996E-2</v>
      </c>
      <c r="G8616">
        <f t="shared" si="271"/>
        <v>87.42</v>
      </c>
    </row>
    <row r="8617" spans="1:7" ht="12.75" customHeight="1">
      <c r="A8617" s="3">
        <v>103837</v>
      </c>
      <c r="B8617" s="4" t="s">
        <v>8641</v>
      </c>
      <c r="C8617" s="3" t="s">
        <v>50</v>
      </c>
      <c r="D8617" s="5">
        <f t="shared" si="270"/>
        <v>110.27</v>
      </c>
      <c r="E8617">
        <v>121.05</v>
      </c>
      <c r="F8617" s="1789">
        <v>8.8999999999999996E-2</v>
      </c>
      <c r="G8617">
        <f t="shared" si="271"/>
        <v>110.27</v>
      </c>
    </row>
    <row r="8618" spans="1:7" ht="12.75" customHeight="1">
      <c r="A8618" s="3">
        <v>103868</v>
      </c>
      <c r="B8618" s="4" t="s">
        <v>8642</v>
      </c>
      <c r="C8618" s="3" t="s">
        <v>50</v>
      </c>
      <c r="D8618" s="5">
        <f t="shared" si="270"/>
        <v>44.43</v>
      </c>
      <c r="E8618">
        <v>48.78</v>
      </c>
      <c r="F8618" s="1789">
        <v>8.8999999999999996E-2</v>
      </c>
      <c r="G8618">
        <f t="shared" si="271"/>
        <v>44.43</v>
      </c>
    </row>
    <row r="8619" spans="1:7" ht="12.75" customHeight="1">
      <c r="A8619" s="3">
        <v>103869</v>
      </c>
      <c r="B8619" s="4" t="s">
        <v>8643</v>
      </c>
      <c r="C8619" s="3" t="s">
        <v>50</v>
      </c>
      <c r="D8619" s="5">
        <f t="shared" si="270"/>
        <v>67.760000000000005</v>
      </c>
      <c r="E8619">
        <v>74.39</v>
      </c>
      <c r="F8619" s="1789">
        <v>8.8999999999999996E-2</v>
      </c>
      <c r="G8619">
        <f t="shared" si="271"/>
        <v>67.760000000000005</v>
      </c>
    </row>
    <row r="8620" spans="1:7" ht="12.75" customHeight="1">
      <c r="A8620" s="3">
        <v>103870</v>
      </c>
      <c r="B8620" s="4" t="s">
        <v>8644</v>
      </c>
      <c r="C8620" s="3" t="s">
        <v>50</v>
      </c>
      <c r="D8620" s="5">
        <f t="shared" si="270"/>
        <v>83.39</v>
      </c>
      <c r="E8620">
        <v>91.54</v>
      </c>
      <c r="F8620" s="1789">
        <v>8.8999999999999996E-2</v>
      </c>
      <c r="G8620">
        <f t="shared" si="271"/>
        <v>83.39</v>
      </c>
    </row>
    <row r="8621" spans="1:7" ht="12.75" customHeight="1">
      <c r="A8621" s="3">
        <v>103871</v>
      </c>
      <c r="B8621" s="4" t="s">
        <v>8645</v>
      </c>
      <c r="C8621" s="3" t="s">
        <v>50</v>
      </c>
      <c r="D8621" s="5">
        <f t="shared" si="270"/>
        <v>58.51</v>
      </c>
      <c r="E8621">
        <v>64.23</v>
      </c>
      <c r="F8621" s="1789">
        <v>8.8999999999999996E-2</v>
      </c>
      <c r="G8621">
        <f t="shared" si="271"/>
        <v>58.51</v>
      </c>
    </row>
    <row r="8622" spans="1:7" ht="12.75" customHeight="1">
      <c r="A8622" s="3">
        <v>103872</v>
      </c>
      <c r="B8622" s="4" t="s">
        <v>8646</v>
      </c>
      <c r="C8622" s="3" t="s">
        <v>50</v>
      </c>
      <c r="D8622" s="5">
        <f t="shared" si="270"/>
        <v>134.12</v>
      </c>
      <c r="E8622">
        <v>147.22999999999999</v>
      </c>
      <c r="F8622" s="1789">
        <v>8.8999999999999996E-2</v>
      </c>
      <c r="G8622">
        <f t="shared" si="271"/>
        <v>134.12</v>
      </c>
    </row>
    <row r="8623" spans="1:7" ht="12.75" customHeight="1">
      <c r="A8623" s="3">
        <v>103873</v>
      </c>
      <c r="B8623" s="4" t="s">
        <v>8647</v>
      </c>
      <c r="C8623" s="3" t="s">
        <v>50</v>
      </c>
      <c r="D8623" s="5">
        <f t="shared" si="270"/>
        <v>152.46</v>
      </c>
      <c r="E8623">
        <v>167.36</v>
      </c>
      <c r="F8623" s="1789">
        <v>8.8999999999999996E-2</v>
      </c>
      <c r="G8623">
        <f t="shared" si="271"/>
        <v>152.46</v>
      </c>
    </row>
    <row r="8624" spans="1:7" ht="12.75" customHeight="1">
      <c r="A8624" s="3">
        <v>103978</v>
      </c>
      <c r="B8624" s="4" t="s">
        <v>8648</v>
      </c>
      <c r="C8624" s="3" t="s">
        <v>50</v>
      </c>
      <c r="D8624" s="5">
        <f t="shared" si="270"/>
        <v>21.09</v>
      </c>
      <c r="E8624">
        <v>23.16</v>
      </c>
      <c r="F8624" s="1789">
        <v>8.8999999999999996E-2</v>
      </c>
      <c r="G8624">
        <f t="shared" si="271"/>
        <v>21.09</v>
      </c>
    </row>
    <row r="8625" spans="1:7" ht="12.75" customHeight="1">
      <c r="A8625" s="3">
        <v>103979</v>
      </c>
      <c r="B8625" s="4" t="s">
        <v>8649</v>
      </c>
      <c r="C8625" s="3" t="s">
        <v>50</v>
      </c>
      <c r="D8625" s="5">
        <f t="shared" si="270"/>
        <v>24.07</v>
      </c>
      <c r="E8625">
        <v>26.43</v>
      </c>
      <c r="F8625" s="1789">
        <v>8.8999999999999996E-2</v>
      </c>
      <c r="G8625">
        <f t="shared" si="271"/>
        <v>24.07</v>
      </c>
    </row>
    <row r="8626" spans="1:7" ht="12.75" customHeight="1">
      <c r="A8626" s="3">
        <v>104021</v>
      </c>
      <c r="B8626" s="4" t="s">
        <v>8650</v>
      </c>
      <c r="C8626" s="3" t="s">
        <v>50</v>
      </c>
      <c r="D8626" s="5">
        <f t="shared" si="270"/>
        <v>62.72</v>
      </c>
      <c r="E8626">
        <v>68.849999999999994</v>
      </c>
      <c r="F8626" s="1789">
        <v>8.8999999999999996E-2</v>
      </c>
      <c r="G8626">
        <f t="shared" si="271"/>
        <v>62.72</v>
      </c>
    </row>
    <row r="8627" spans="1:7" ht="12.75" customHeight="1">
      <c r="A8627" s="3">
        <v>104166</v>
      </c>
      <c r="B8627" s="4" t="s">
        <v>8651</v>
      </c>
      <c r="C8627" s="3" t="s">
        <v>50</v>
      </c>
      <c r="D8627" s="5">
        <f t="shared" si="270"/>
        <v>62.73</v>
      </c>
      <c r="E8627">
        <v>68.86</v>
      </c>
      <c r="F8627" s="1789">
        <v>8.8999999999999996E-2</v>
      </c>
      <c r="G8627">
        <f t="shared" si="271"/>
        <v>62.73</v>
      </c>
    </row>
    <row r="8628" spans="1:7" ht="12.75" customHeight="1">
      <c r="A8628" s="3">
        <v>104194</v>
      </c>
      <c r="B8628" s="4" t="s">
        <v>8652</v>
      </c>
      <c r="C8628" s="3" t="s">
        <v>50</v>
      </c>
      <c r="D8628" s="5">
        <f t="shared" si="270"/>
        <v>19</v>
      </c>
      <c r="E8628">
        <v>20.86</v>
      </c>
      <c r="F8628" s="1789">
        <v>8.8999999999999996E-2</v>
      </c>
      <c r="G8628">
        <f t="shared" si="271"/>
        <v>19</v>
      </c>
    </row>
    <row r="8629" spans="1:7" ht="12.75" customHeight="1">
      <c r="A8629" s="3">
        <v>104195</v>
      </c>
      <c r="B8629" s="4" t="s">
        <v>8653</v>
      </c>
      <c r="C8629" s="3" t="s">
        <v>50</v>
      </c>
      <c r="D8629" s="5">
        <f t="shared" si="270"/>
        <v>20.2</v>
      </c>
      <c r="E8629">
        <v>22.18</v>
      </c>
      <c r="F8629" s="1789">
        <v>8.8999999999999996E-2</v>
      </c>
      <c r="G8629">
        <f t="shared" si="271"/>
        <v>20.2</v>
      </c>
    </row>
    <row r="8630" spans="1:7" ht="12.75" customHeight="1">
      <c r="A8630" s="3">
        <v>104315</v>
      </c>
      <c r="B8630" s="4" t="s">
        <v>8654</v>
      </c>
      <c r="C8630" s="3" t="s">
        <v>50</v>
      </c>
      <c r="D8630" s="5">
        <f t="shared" si="270"/>
        <v>13.31</v>
      </c>
      <c r="E8630">
        <v>14.62</v>
      </c>
      <c r="F8630" s="1789">
        <v>8.8999999999999996E-2</v>
      </c>
      <c r="G8630">
        <f t="shared" si="271"/>
        <v>13.31</v>
      </c>
    </row>
    <row r="8631" spans="1:7" ht="12.75" customHeight="1">
      <c r="A8631" s="3">
        <v>104316</v>
      </c>
      <c r="B8631" s="4" t="s">
        <v>8655</v>
      </c>
      <c r="C8631" s="3" t="s">
        <v>50</v>
      </c>
      <c r="D8631" s="5">
        <f t="shared" si="270"/>
        <v>18.97</v>
      </c>
      <c r="E8631">
        <v>20.83</v>
      </c>
      <c r="F8631" s="1789">
        <v>8.8999999999999996E-2</v>
      </c>
      <c r="G8631">
        <f t="shared" si="271"/>
        <v>18.97</v>
      </c>
    </row>
    <row r="8632" spans="1:7" ht="12.75" customHeight="1">
      <c r="A8632" s="3">
        <v>105138</v>
      </c>
      <c r="B8632" s="4" t="s">
        <v>8656</v>
      </c>
      <c r="C8632" s="3" t="s">
        <v>6</v>
      </c>
      <c r="D8632" s="5">
        <f t="shared" si="270"/>
        <v>13.95</v>
      </c>
      <c r="E8632">
        <v>15.32</v>
      </c>
      <c r="F8632" s="1789">
        <v>8.8999999999999996E-2</v>
      </c>
      <c r="G8632">
        <f t="shared" si="271"/>
        <v>13.95</v>
      </c>
    </row>
    <row r="8633" spans="1:7" ht="12.75" customHeight="1">
      <c r="A8633" s="3">
        <v>105139</v>
      </c>
      <c r="B8633" s="4" t="s">
        <v>8657</v>
      </c>
      <c r="C8633" s="3" t="s">
        <v>6</v>
      </c>
      <c r="D8633" s="5">
        <f t="shared" si="270"/>
        <v>16.32</v>
      </c>
      <c r="E8633">
        <v>17.920000000000002</v>
      </c>
      <c r="F8633" s="1789">
        <v>8.8999999999999996E-2</v>
      </c>
      <c r="G8633">
        <f t="shared" si="271"/>
        <v>16.32</v>
      </c>
    </row>
    <row r="8634" spans="1:7" ht="12.75" customHeight="1">
      <c r="A8634" s="3">
        <v>105140</v>
      </c>
      <c r="B8634" s="4" t="s">
        <v>8658</v>
      </c>
      <c r="C8634" s="3" t="s">
        <v>6</v>
      </c>
      <c r="D8634" s="5">
        <f t="shared" si="270"/>
        <v>20.97</v>
      </c>
      <c r="E8634">
        <v>23.02</v>
      </c>
      <c r="F8634" s="1789">
        <v>8.8999999999999996E-2</v>
      </c>
      <c r="G8634">
        <f t="shared" si="271"/>
        <v>20.97</v>
      </c>
    </row>
    <row r="8635" spans="1:7" ht="12.75" customHeight="1">
      <c r="A8635" s="3">
        <v>105141</v>
      </c>
      <c r="B8635" s="4" t="s">
        <v>8659</v>
      </c>
      <c r="C8635" s="3" t="s">
        <v>6</v>
      </c>
      <c r="D8635" s="5">
        <f t="shared" si="270"/>
        <v>25.05</v>
      </c>
      <c r="E8635">
        <v>27.5</v>
      </c>
      <c r="F8635" s="1789">
        <v>8.8999999999999996E-2</v>
      </c>
      <c r="G8635">
        <f t="shared" si="271"/>
        <v>25.05</v>
      </c>
    </row>
    <row r="8636" spans="1:7" ht="12.75" customHeight="1">
      <c r="A8636" s="3">
        <v>105142</v>
      </c>
      <c r="B8636" s="4" t="s">
        <v>8660</v>
      </c>
      <c r="C8636" s="3" t="s">
        <v>6</v>
      </c>
      <c r="D8636" s="5">
        <f t="shared" si="270"/>
        <v>5.63</v>
      </c>
      <c r="E8636">
        <v>6.19</v>
      </c>
      <c r="F8636" s="1789">
        <v>8.8999999999999996E-2</v>
      </c>
      <c r="G8636">
        <f t="shared" si="271"/>
        <v>5.63</v>
      </c>
    </row>
    <row r="8637" spans="1:7" ht="12.75" customHeight="1">
      <c r="A8637" s="3">
        <v>105143</v>
      </c>
      <c r="B8637" s="4" t="s">
        <v>8661</v>
      </c>
      <c r="C8637" s="3" t="s">
        <v>6</v>
      </c>
      <c r="D8637" s="5">
        <f t="shared" si="270"/>
        <v>8.35</v>
      </c>
      <c r="E8637">
        <v>9.17</v>
      </c>
      <c r="F8637" s="1789">
        <v>8.8999999999999996E-2</v>
      </c>
      <c r="G8637">
        <f t="shared" si="271"/>
        <v>8.35</v>
      </c>
    </row>
    <row r="8638" spans="1:7" ht="12.75" customHeight="1">
      <c r="A8638" s="3">
        <v>105144</v>
      </c>
      <c r="B8638" s="4" t="s">
        <v>8662</v>
      </c>
      <c r="C8638" s="3" t="s">
        <v>6</v>
      </c>
      <c r="D8638" s="5">
        <f t="shared" si="270"/>
        <v>17.62</v>
      </c>
      <c r="E8638">
        <v>19.350000000000001</v>
      </c>
      <c r="F8638" s="1789">
        <v>8.8999999999999996E-2</v>
      </c>
      <c r="G8638">
        <f t="shared" si="271"/>
        <v>17.62</v>
      </c>
    </row>
    <row r="8639" spans="1:7" ht="12.75" customHeight="1">
      <c r="A8639" s="3">
        <v>105145</v>
      </c>
      <c r="B8639" s="4" t="s">
        <v>8663</v>
      </c>
      <c r="C8639" s="3" t="s">
        <v>6</v>
      </c>
      <c r="D8639" s="5">
        <f t="shared" si="270"/>
        <v>9.68</v>
      </c>
      <c r="E8639">
        <v>10.63</v>
      </c>
      <c r="F8639" s="1789">
        <v>8.8999999999999996E-2</v>
      </c>
      <c r="G8639">
        <f t="shared" si="271"/>
        <v>9.68</v>
      </c>
    </row>
    <row r="8640" spans="1:7" ht="12.75" customHeight="1">
      <c r="A8640" s="3">
        <v>105153</v>
      </c>
      <c r="B8640" s="4" t="s">
        <v>8664</v>
      </c>
      <c r="C8640" s="3" t="s">
        <v>6</v>
      </c>
      <c r="D8640" s="5">
        <f t="shared" si="270"/>
        <v>45.85</v>
      </c>
      <c r="E8640">
        <v>50.34</v>
      </c>
      <c r="F8640" s="1789">
        <v>8.8999999999999996E-2</v>
      </c>
      <c r="G8640">
        <f t="shared" si="271"/>
        <v>45.85</v>
      </c>
    </row>
    <row r="8641" spans="1:7" ht="12.75" customHeight="1">
      <c r="A8641" s="3">
        <v>89358</v>
      </c>
      <c r="B8641" s="4" t="s">
        <v>8665</v>
      </c>
      <c r="C8641" s="3" t="s">
        <v>6</v>
      </c>
      <c r="D8641" s="5">
        <f t="shared" si="270"/>
        <v>6.87</v>
      </c>
      <c r="E8641">
        <v>7.55</v>
      </c>
      <c r="F8641" s="1789">
        <v>8.8999999999999996E-2</v>
      </c>
      <c r="G8641">
        <f t="shared" si="271"/>
        <v>6.87</v>
      </c>
    </row>
    <row r="8642" spans="1:7" ht="12.75" customHeight="1">
      <c r="A8642" s="3">
        <v>89359</v>
      </c>
      <c r="B8642" s="4" t="s">
        <v>8666</v>
      </c>
      <c r="C8642" s="3" t="s">
        <v>6</v>
      </c>
      <c r="D8642" s="5">
        <f t="shared" si="270"/>
        <v>7.29</v>
      </c>
      <c r="E8642">
        <v>8.01</v>
      </c>
      <c r="F8642" s="1789">
        <v>8.8999999999999996E-2</v>
      </c>
      <c r="G8642">
        <f t="shared" si="271"/>
        <v>7.29</v>
      </c>
    </row>
    <row r="8643" spans="1:7" ht="12.75" customHeight="1">
      <c r="A8643" s="3">
        <v>89360</v>
      </c>
      <c r="B8643" s="4" t="s">
        <v>8667</v>
      </c>
      <c r="C8643" s="3" t="s">
        <v>6</v>
      </c>
      <c r="D8643" s="5">
        <f t="shared" si="270"/>
        <v>8.06</v>
      </c>
      <c r="E8643">
        <v>8.85</v>
      </c>
      <c r="F8643" s="1789">
        <v>8.8999999999999996E-2</v>
      </c>
      <c r="G8643">
        <f t="shared" si="271"/>
        <v>8.06</v>
      </c>
    </row>
    <row r="8644" spans="1:7" ht="12.75" customHeight="1">
      <c r="A8644" s="3">
        <v>89361</v>
      </c>
      <c r="B8644" s="4" t="s">
        <v>8668</v>
      </c>
      <c r="C8644" s="3" t="s">
        <v>6</v>
      </c>
      <c r="D8644" s="5">
        <f t="shared" si="270"/>
        <v>8.1199999999999992</v>
      </c>
      <c r="E8644">
        <v>8.92</v>
      </c>
      <c r="F8644" s="1789">
        <v>8.8999999999999996E-2</v>
      </c>
      <c r="G8644">
        <f t="shared" si="271"/>
        <v>8.1199999999999992</v>
      </c>
    </row>
    <row r="8645" spans="1:7" ht="12.75" customHeight="1">
      <c r="A8645" s="3">
        <v>89362</v>
      </c>
      <c r="B8645" s="4" t="s">
        <v>8669</v>
      </c>
      <c r="C8645" s="3" t="s">
        <v>6</v>
      </c>
      <c r="D8645" s="5">
        <f t="shared" si="270"/>
        <v>8.18</v>
      </c>
      <c r="E8645">
        <v>8.99</v>
      </c>
      <c r="F8645" s="1789">
        <v>8.8999999999999996E-2</v>
      </c>
      <c r="G8645">
        <f t="shared" si="271"/>
        <v>8.18</v>
      </c>
    </row>
    <row r="8646" spans="1:7" ht="12.75" customHeight="1">
      <c r="A8646" s="3">
        <v>89363</v>
      </c>
      <c r="B8646" s="4" t="s">
        <v>8670</v>
      </c>
      <c r="C8646" s="3" t="s">
        <v>6</v>
      </c>
      <c r="D8646" s="5">
        <f t="shared" si="270"/>
        <v>8.8000000000000007</v>
      </c>
      <c r="E8646">
        <v>9.66</v>
      </c>
      <c r="F8646" s="1789">
        <v>8.8999999999999996E-2</v>
      </c>
      <c r="G8646">
        <f t="shared" si="271"/>
        <v>8.8000000000000007</v>
      </c>
    </row>
    <row r="8647" spans="1:7" ht="12.75" customHeight="1">
      <c r="A8647" s="3">
        <v>89364</v>
      </c>
      <c r="B8647" s="4" t="s">
        <v>8671</v>
      </c>
      <c r="C8647" s="3" t="s">
        <v>6</v>
      </c>
      <c r="D8647" s="5">
        <f t="shared" si="270"/>
        <v>9.9499999999999993</v>
      </c>
      <c r="E8647">
        <v>10.93</v>
      </c>
      <c r="F8647" s="1789">
        <v>8.8999999999999996E-2</v>
      </c>
      <c r="G8647">
        <f t="shared" si="271"/>
        <v>9.9499999999999993</v>
      </c>
    </row>
    <row r="8648" spans="1:7" ht="12.75" customHeight="1">
      <c r="A8648" s="3">
        <v>89365</v>
      </c>
      <c r="B8648" s="4" t="s">
        <v>8672</v>
      </c>
      <c r="C8648" s="3" t="s">
        <v>6</v>
      </c>
      <c r="D8648" s="5">
        <f t="shared" si="270"/>
        <v>9.5399999999999991</v>
      </c>
      <c r="E8648">
        <v>10.48</v>
      </c>
      <c r="F8648" s="1789">
        <v>8.8999999999999996E-2</v>
      </c>
      <c r="G8648">
        <f t="shared" si="271"/>
        <v>9.5399999999999991</v>
      </c>
    </row>
    <row r="8649" spans="1:7" ht="12.75" customHeight="1">
      <c r="A8649" s="3">
        <v>89366</v>
      </c>
      <c r="B8649" s="4" t="s">
        <v>8673</v>
      </c>
      <c r="C8649" s="3" t="s">
        <v>6</v>
      </c>
      <c r="D8649" s="5">
        <f t="shared" si="270"/>
        <v>13.34</v>
      </c>
      <c r="E8649">
        <v>14.65</v>
      </c>
      <c r="F8649" s="1789">
        <v>8.8999999999999996E-2</v>
      </c>
      <c r="G8649">
        <f t="shared" si="271"/>
        <v>13.34</v>
      </c>
    </row>
    <row r="8650" spans="1:7" ht="12.75" customHeight="1">
      <c r="A8650" s="3">
        <v>89367</v>
      </c>
      <c r="B8650" s="4" t="s">
        <v>8674</v>
      </c>
      <c r="C8650" s="3" t="s">
        <v>6</v>
      </c>
      <c r="D8650" s="5">
        <f t="shared" si="270"/>
        <v>11.17</v>
      </c>
      <c r="E8650">
        <v>12.27</v>
      </c>
      <c r="F8650" s="1789">
        <v>8.8999999999999996E-2</v>
      </c>
      <c r="G8650">
        <f t="shared" si="271"/>
        <v>11.17</v>
      </c>
    </row>
    <row r="8651" spans="1:7" ht="12.75" customHeight="1">
      <c r="A8651" s="3">
        <v>89368</v>
      </c>
      <c r="B8651" s="4" t="s">
        <v>8675</v>
      </c>
      <c r="C8651" s="3" t="s">
        <v>6</v>
      </c>
      <c r="D8651" s="5">
        <f t="shared" si="270"/>
        <v>12.52</v>
      </c>
      <c r="E8651">
        <v>13.75</v>
      </c>
      <c r="F8651" s="1789">
        <v>8.8999999999999996E-2</v>
      </c>
      <c r="G8651">
        <f t="shared" si="271"/>
        <v>12.52</v>
      </c>
    </row>
    <row r="8652" spans="1:7" ht="12.75" customHeight="1">
      <c r="A8652" s="3">
        <v>89369</v>
      </c>
      <c r="B8652" s="4" t="s">
        <v>8676</v>
      </c>
      <c r="C8652" s="3" t="s">
        <v>6</v>
      </c>
      <c r="D8652" s="5">
        <f t="shared" si="270"/>
        <v>14.33</v>
      </c>
      <c r="E8652">
        <v>15.74</v>
      </c>
      <c r="F8652" s="1789">
        <v>8.8999999999999996E-2</v>
      </c>
      <c r="G8652">
        <f t="shared" si="271"/>
        <v>14.33</v>
      </c>
    </row>
    <row r="8653" spans="1:7" ht="12.75" customHeight="1">
      <c r="A8653" s="3">
        <v>89370</v>
      </c>
      <c r="B8653" s="4" t="s">
        <v>8677</v>
      </c>
      <c r="C8653" s="3" t="s">
        <v>6</v>
      </c>
      <c r="D8653" s="5">
        <f t="shared" si="270"/>
        <v>12.78</v>
      </c>
      <c r="E8653">
        <v>14.03</v>
      </c>
      <c r="F8653" s="1789">
        <v>8.8999999999999996E-2</v>
      </c>
      <c r="G8653">
        <f t="shared" si="271"/>
        <v>12.78</v>
      </c>
    </row>
    <row r="8654" spans="1:7" ht="12.75" customHeight="1">
      <c r="A8654" s="3">
        <v>89371</v>
      </c>
      <c r="B8654" s="4" t="s">
        <v>8678</v>
      </c>
      <c r="C8654" s="3" t="s">
        <v>6</v>
      </c>
      <c r="D8654" s="5">
        <f t="shared" si="270"/>
        <v>5.16</v>
      </c>
      <c r="E8654">
        <v>5.67</v>
      </c>
      <c r="F8654" s="1789">
        <v>8.8999999999999996E-2</v>
      </c>
      <c r="G8654">
        <f t="shared" si="271"/>
        <v>5.16</v>
      </c>
    </row>
    <row r="8655" spans="1:7" ht="12.75" customHeight="1">
      <c r="A8655" s="3">
        <v>89372</v>
      </c>
      <c r="B8655" s="4" t="s">
        <v>8679</v>
      </c>
      <c r="C8655" s="3" t="s">
        <v>6</v>
      </c>
      <c r="D8655" s="5">
        <f t="shared" si="270"/>
        <v>12.86</v>
      </c>
      <c r="E8655">
        <v>14.12</v>
      </c>
      <c r="F8655" s="1789">
        <v>8.8999999999999996E-2</v>
      </c>
      <c r="G8655">
        <f t="shared" si="271"/>
        <v>12.86</v>
      </c>
    </row>
    <row r="8656" spans="1:7" ht="12.75" customHeight="1">
      <c r="A8656" s="3">
        <v>89373</v>
      </c>
      <c r="B8656" s="4" t="s">
        <v>8680</v>
      </c>
      <c r="C8656" s="3" t="s">
        <v>6</v>
      </c>
      <c r="D8656" s="5">
        <f t="shared" si="270"/>
        <v>6.12</v>
      </c>
      <c r="E8656">
        <v>6.72</v>
      </c>
      <c r="F8656" s="1789">
        <v>8.8999999999999996E-2</v>
      </c>
      <c r="G8656">
        <f t="shared" si="271"/>
        <v>6.12</v>
      </c>
    </row>
    <row r="8657" spans="1:7" ht="12.75" customHeight="1">
      <c r="A8657" s="3">
        <v>89374</v>
      </c>
      <c r="B8657" s="4" t="s">
        <v>8681</v>
      </c>
      <c r="C8657" s="3" t="s">
        <v>6</v>
      </c>
      <c r="D8657" s="5">
        <f t="shared" si="270"/>
        <v>8.31</v>
      </c>
      <c r="E8657">
        <v>9.1300000000000008</v>
      </c>
      <c r="F8657" s="1789">
        <v>8.8999999999999996E-2</v>
      </c>
      <c r="G8657">
        <f t="shared" si="271"/>
        <v>8.31</v>
      </c>
    </row>
    <row r="8658" spans="1:7" ht="12.75" customHeight="1">
      <c r="A8658" s="3">
        <v>89375</v>
      </c>
      <c r="B8658" s="4" t="s">
        <v>8682</v>
      </c>
      <c r="C8658" s="3" t="s">
        <v>6</v>
      </c>
      <c r="D8658" s="5">
        <f t="shared" si="270"/>
        <v>9.74</v>
      </c>
      <c r="E8658">
        <v>10.7</v>
      </c>
      <c r="F8658" s="1789">
        <v>8.8999999999999996E-2</v>
      </c>
      <c r="G8658">
        <f t="shared" si="271"/>
        <v>9.74</v>
      </c>
    </row>
    <row r="8659" spans="1:7" ht="12.75" customHeight="1">
      <c r="A8659" s="3">
        <v>89376</v>
      </c>
      <c r="B8659" s="4" t="s">
        <v>8683</v>
      </c>
      <c r="C8659" s="3" t="s">
        <v>6</v>
      </c>
      <c r="D8659" s="5">
        <f t="shared" si="270"/>
        <v>4.91</v>
      </c>
      <c r="E8659">
        <v>5.39</v>
      </c>
      <c r="F8659" s="1789">
        <v>8.8999999999999996E-2</v>
      </c>
      <c r="G8659">
        <f t="shared" si="271"/>
        <v>4.91</v>
      </c>
    </row>
    <row r="8660" spans="1:7" ht="12.75" customHeight="1">
      <c r="A8660" s="3">
        <v>89377</v>
      </c>
      <c r="B8660" s="4" t="s">
        <v>8684</v>
      </c>
      <c r="C8660" s="3" t="s">
        <v>6</v>
      </c>
      <c r="D8660" s="5">
        <f t="shared" si="270"/>
        <v>8.41</v>
      </c>
      <c r="E8660">
        <v>9.24</v>
      </c>
      <c r="F8660" s="1789">
        <v>8.8999999999999996E-2</v>
      </c>
      <c r="G8660">
        <f t="shared" si="271"/>
        <v>8.41</v>
      </c>
    </row>
    <row r="8661" spans="1:7" ht="12.75" customHeight="1">
      <c r="A8661" s="3">
        <v>89378</v>
      </c>
      <c r="B8661" s="4" t="s">
        <v>8685</v>
      </c>
      <c r="C8661" s="3" t="s">
        <v>6</v>
      </c>
      <c r="D8661" s="5">
        <f t="shared" ref="D8661:D8724" si="272">G8661</f>
        <v>6.11</v>
      </c>
      <c r="E8661">
        <v>6.71</v>
      </c>
      <c r="F8661" s="1789">
        <v>8.8999999999999996E-2</v>
      </c>
      <c r="G8661">
        <f t="shared" ref="G8661:G8724" si="273">TRUNC((1-F8661)*E8661,2)</f>
        <v>6.11</v>
      </c>
    </row>
    <row r="8662" spans="1:7" ht="12.75" customHeight="1">
      <c r="A8662" s="3">
        <v>89379</v>
      </c>
      <c r="B8662" s="4" t="s">
        <v>8686</v>
      </c>
      <c r="C8662" s="3" t="s">
        <v>6</v>
      </c>
      <c r="D8662" s="5">
        <f t="shared" si="272"/>
        <v>15.14</v>
      </c>
      <c r="E8662">
        <v>16.62</v>
      </c>
      <c r="F8662" s="1789">
        <v>8.8999999999999996E-2</v>
      </c>
      <c r="G8662">
        <f t="shared" si="273"/>
        <v>15.14</v>
      </c>
    </row>
    <row r="8663" spans="1:7" ht="12.75" customHeight="1">
      <c r="A8663" s="3">
        <v>89380</v>
      </c>
      <c r="B8663" s="4" t="s">
        <v>8687</v>
      </c>
      <c r="C8663" s="3" t="s">
        <v>6</v>
      </c>
      <c r="D8663" s="5">
        <f t="shared" si="272"/>
        <v>8.5299999999999994</v>
      </c>
      <c r="E8663">
        <v>9.3699999999999992</v>
      </c>
      <c r="F8663" s="1789">
        <v>8.8999999999999996E-2</v>
      </c>
      <c r="G8663">
        <f t="shared" si="273"/>
        <v>8.5299999999999994</v>
      </c>
    </row>
    <row r="8664" spans="1:7" ht="12.75" customHeight="1">
      <c r="A8664" s="3">
        <v>89381</v>
      </c>
      <c r="B8664" s="4" t="s">
        <v>8688</v>
      </c>
      <c r="C8664" s="3" t="s">
        <v>6</v>
      </c>
      <c r="D8664" s="5">
        <f t="shared" si="272"/>
        <v>10.16</v>
      </c>
      <c r="E8664">
        <v>11.16</v>
      </c>
      <c r="F8664" s="1789">
        <v>8.8999999999999996E-2</v>
      </c>
      <c r="G8664">
        <f t="shared" si="273"/>
        <v>10.16</v>
      </c>
    </row>
    <row r="8665" spans="1:7" ht="12.75" customHeight="1">
      <c r="A8665" s="3">
        <v>89382</v>
      </c>
      <c r="B8665" s="4" t="s">
        <v>8689</v>
      </c>
      <c r="C8665" s="3" t="s">
        <v>6</v>
      </c>
      <c r="D8665" s="5">
        <f t="shared" si="272"/>
        <v>11.73</v>
      </c>
      <c r="E8665">
        <v>12.88</v>
      </c>
      <c r="F8665" s="1789">
        <v>8.8999999999999996E-2</v>
      </c>
      <c r="G8665">
        <f t="shared" si="273"/>
        <v>11.73</v>
      </c>
    </row>
    <row r="8666" spans="1:7" ht="12.75" customHeight="1">
      <c r="A8666" s="3">
        <v>89383</v>
      </c>
      <c r="B8666" s="4" t="s">
        <v>8690</v>
      </c>
      <c r="C8666" s="3" t="s">
        <v>6</v>
      </c>
      <c r="D8666" s="5">
        <f t="shared" si="272"/>
        <v>5.72</v>
      </c>
      <c r="E8666">
        <v>6.28</v>
      </c>
      <c r="F8666" s="1789">
        <v>8.8999999999999996E-2</v>
      </c>
      <c r="G8666">
        <f t="shared" si="273"/>
        <v>5.72</v>
      </c>
    </row>
    <row r="8667" spans="1:7" ht="12.75" customHeight="1">
      <c r="A8667" s="3">
        <v>89384</v>
      </c>
      <c r="B8667" s="4" t="s">
        <v>8691</v>
      </c>
      <c r="C8667" s="3" t="s">
        <v>6</v>
      </c>
      <c r="D8667" s="5">
        <f t="shared" si="272"/>
        <v>10.7</v>
      </c>
      <c r="E8667">
        <v>11.75</v>
      </c>
      <c r="F8667" s="1789">
        <v>8.8999999999999996E-2</v>
      </c>
      <c r="G8667">
        <f t="shared" si="273"/>
        <v>10.7</v>
      </c>
    </row>
    <row r="8668" spans="1:7" ht="12.75" customHeight="1">
      <c r="A8668" s="3">
        <v>89385</v>
      </c>
      <c r="B8668" s="4" t="s">
        <v>8692</v>
      </c>
      <c r="C8668" s="3" t="s">
        <v>6</v>
      </c>
      <c r="D8668" s="5">
        <f t="shared" si="272"/>
        <v>6.21</v>
      </c>
      <c r="E8668">
        <v>6.82</v>
      </c>
      <c r="F8668" s="1789">
        <v>8.8999999999999996E-2</v>
      </c>
      <c r="G8668">
        <f t="shared" si="273"/>
        <v>6.21</v>
      </c>
    </row>
    <row r="8669" spans="1:7" ht="12.75" customHeight="1">
      <c r="A8669" s="3">
        <v>89386</v>
      </c>
      <c r="B8669" s="4" t="s">
        <v>8693</v>
      </c>
      <c r="C8669" s="3" t="s">
        <v>6</v>
      </c>
      <c r="D8669" s="5">
        <f t="shared" si="272"/>
        <v>8.2899999999999991</v>
      </c>
      <c r="E8669">
        <v>9.1</v>
      </c>
      <c r="F8669" s="1789">
        <v>8.8999999999999996E-2</v>
      </c>
      <c r="G8669">
        <f t="shared" si="273"/>
        <v>8.2899999999999991</v>
      </c>
    </row>
    <row r="8670" spans="1:7" ht="12.75" customHeight="1">
      <c r="A8670" s="3">
        <v>89387</v>
      </c>
      <c r="B8670" s="4" t="s">
        <v>8694</v>
      </c>
      <c r="C8670" s="3" t="s">
        <v>6</v>
      </c>
      <c r="D8670" s="5">
        <f t="shared" si="272"/>
        <v>23.87</v>
      </c>
      <c r="E8670">
        <v>26.21</v>
      </c>
      <c r="F8670" s="1789">
        <v>8.8999999999999996E-2</v>
      </c>
      <c r="G8670">
        <f t="shared" si="273"/>
        <v>23.87</v>
      </c>
    </row>
    <row r="8671" spans="1:7" ht="12.75" customHeight="1">
      <c r="A8671" s="3">
        <v>89389</v>
      </c>
      <c r="B8671" s="4" t="s">
        <v>8695</v>
      </c>
      <c r="C8671" s="3" t="s">
        <v>6</v>
      </c>
      <c r="D8671" s="5">
        <f t="shared" si="272"/>
        <v>9.6199999999999992</v>
      </c>
      <c r="E8671">
        <v>10.57</v>
      </c>
      <c r="F8671" s="1789">
        <v>8.8999999999999996E-2</v>
      </c>
      <c r="G8671">
        <f t="shared" si="273"/>
        <v>9.6199999999999992</v>
      </c>
    </row>
    <row r="8672" spans="1:7" ht="12.75" customHeight="1">
      <c r="A8672" s="3">
        <v>89390</v>
      </c>
      <c r="B8672" s="4" t="s">
        <v>8696</v>
      </c>
      <c r="C8672" s="3" t="s">
        <v>6</v>
      </c>
      <c r="D8672" s="5">
        <f t="shared" si="272"/>
        <v>17.260000000000002</v>
      </c>
      <c r="E8672">
        <v>18.95</v>
      </c>
      <c r="F8672" s="1789">
        <v>8.8999999999999996E-2</v>
      </c>
      <c r="G8672">
        <f t="shared" si="273"/>
        <v>17.260000000000002</v>
      </c>
    </row>
    <row r="8673" spans="1:7" ht="12.75" customHeight="1">
      <c r="A8673" s="3">
        <v>89391</v>
      </c>
      <c r="B8673" s="4" t="s">
        <v>8697</v>
      </c>
      <c r="C8673" s="3" t="s">
        <v>6</v>
      </c>
      <c r="D8673" s="5">
        <f t="shared" si="272"/>
        <v>7.5</v>
      </c>
      <c r="E8673">
        <v>8.24</v>
      </c>
      <c r="F8673" s="1789">
        <v>8.8999999999999996E-2</v>
      </c>
      <c r="G8673">
        <f t="shared" si="273"/>
        <v>7.5</v>
      </c>
    </row>
    <row r="8674" spans="1:7" ht="12.75" customHeight="1">
      <c r="A8674" s="3">
        <v>89392</v>
      </c>
      <c r="B8674" s="4" t="s">
        <v>8698</v>
      </c>
      <c r="C8674" s="3" t="s">
        <v>6</v>
      </c>
      <c r="D8674" s="5">
        <f t="shared" si="272"/>
        <v>19.64</v>
      </c>
      <c r="E8674">
        <v>21.56</v>
      </c>
      <c r="F8674" s="1789">
        <v>8.8999999999999996E-2</v>
      </c>
      <c r="G8674">
        <f t="shared" si="273"/>
        <v>19.64</v>
      </c>
    </row>
    <row r="8675" spans="1:7" ht="12.75" customHeight="1">
      <c r="A8675" s="3">
        <v>89393</v>
      </c>
      <c r="B8675" s="4" t="s">
        <v>8699</v>
      </c>
      <c r="C8675" s="3" t="s">
        <v>6</v>
      </c>
      <c r="D8675" s="5">
        <f t="shared" si="272"/>
        <v>9.52</v>
      </c>
      <c r="E8675">
        <v>10.46</v>
      </c>
      <c r="F8675" s="1789">
        <v>8.8999999999999996E-2</v>
      </c>
      <c r="G8675">
        <f t="shared" si="273"/>
        <v>9.52</v>
      </c>
    </row>
    <row r="8676" spans="1:7" ht="12.75" customHeight="1">
      <c r="A8676" s="3">
        <v>89394</v>
      </c>
      <c r="B8676" s="4" t="s">
        <v>8700</v>
      </c>
      <c r="C8676" s="3" t="s">
        <v>6</v>
      </c>
      <c r="D8676" s="5">
        <f t="shared" si="272"/>
        <v>15.28</v>
      </c>
      <c r="E8676">
        <v>16.78</v>
      </c>
      <c r="F8676" s="1789">
        <v>8.8999999999999996E-2</v>
      </c>
      <c r="G8676">
        <f t="shared" si="273"/>
        <v>15.28</v>
      </c>
    </row>
    <row r="8677" spans="1:7" ht="12.75" customHeight="1">
      <c r="A8677" s="3">
        <v>89395</v>
      </c>
      <c r="B8677" s="4" t="s">
        <v>8701</v>
      </c>
      <c r="C8677" s="3" t="s">
        <v>6</v>
      </c>
      <c r="D8677" s="5">
        <f t="shared" si="272"/>
        <v>11.3</v>
      </c>
      <c r="E8677">
        <v>12.41</v>
      </c>
      <c r="F8677" s="1789">
        <v>8.8999999999999996E-2</v>
      </c>
      <c r="G8677">
        <f t="shared" si="273"/>
        <v>11.3</v>
      </c>
    </row>
    <row r="8678" spans="1:7" ht="12.75" customHeight="1">
      <c r="A8678" s="3">
        <v>89396</v>
      </c>
      <c r="B8678" s="4" t="s">
        <v>8702</v>
      </c>
      <c r="C8678" s="3" t="s">
        <v>6</v>
      </c>
      <c r="D8678" s="5">
        <f t="shared" si="272"/>
        <v>16.78</v>
      </c>
      <c r="E8678">
        <v>18.420000000000002</v>
      </c>
      <c r="F8678" s="1789">
        <v>8.8999999999999996E-2</v>
      </c>
      <c r="G8678">
        <f t="shared" si="273"/>
        <v>16.78</v>
      </c>
    </row>
    <row r="8679" spans="1:7" ht="12.75" customHeight="1">
      <c r="A8679" s="3">
        <v>89397</v>
      </c>
      <c r="B8679" s="4" t="s">
        <v>8703</v>
      </c>
      <c r="C8679" s="3" t="s">
        <v>6</v>
      </c>
      <c r="D8679" s="5">
        <f t="shared" si="272"/>
        <v>12.54</v>
      </c>
      <c r="E8679">
        <v>13.77</v>
      </c>
      <c r="F8679" s="1789">
        <v>8.8999999999999996E-2</v>
      </c>
      <c r="G8679">
        <f t="shared" si="273"/>
        <v>12.54</v>
      </c>
    </row>
    <row r="8680" spans="1:7" ht="12.75" customHeight="1">
      <c r="A8680" s="3">
        <v>89398</v>
      </c>
      <c r="B8680" s="4" t="s">
        <v>8704</v>
      </c>
      <c r="C8680" s="3" t="s">
        <v>6</v>
      </c>
      <c r="D8680" s="5">
        <f t="shared" si="272"/>
        <v>15.6</v>
      </c>
      <c r="E8680">
        <v>17.13</v>
      </c>
      <c r="F8680" s="1789">
        <v>8.8999999999999996E-2</v>
      </c>
      <c r="G8680">
        <f t="shared" si="273"/>
        <v>15.6</v>
      </c>
    </row>
    <row r="8681" spans="1:7" ht="12.75" customHeight="1">
      <c r="A8681" s="3">
        <v>89399</v>
      </c>
      <c r="B8681" s="4" t="s">
        <v>8705</v>
      </c>
      <c r="C8681" s="3" t="s">
        <v>6</v>
      </c>
      <c r="D8681" s="5">
        <f t="shared" si="272"/>
        <v>20.309999999999999</v>
      </c>
      <c r="E8681">
        <v>22.3</v>
      </c>
      <c r="F8681" s="1789">
        <v>8.8999999999999996E-2</v>
      </c>
      <c r="G8681">
        <f t="shared" si="273"/>
        <v>20.309999999999999</v>
      </c>
    </row>
    <row r="8682" spans="1:7" ht="12.75" customHeight="1">
      <c r="A8682" s="3">
        <v>89400</v>
      </c>
      <c r="B8682" s="4" t="s">
        <v>8706</v>
      </c>
      <c r="C8682" s="3" t="s">
        <v>6</v>
      </c>
      <c r="D8682" s="5">
        <f t="shared" si="272"/>
        <v>16.75</v>
      </c>
      <c r="E8682">
        <v>18.39</v>
      </c>
      <c r="F8682" s="1789">
        <v>8.8999999999999996E-2</v>
      </c>
      <c r="G8682">
        <f t="shared" si="273"/>
        <v>16.75</v>
      </c>
    </row>
    <row r="8683" spans="1:7" ht="12.75" customHeight="1">
      <c r="A8683" s="3">
        <v>89404</v>
      </c>
      <c r="B8683" s="4" t="s">
        <v>8707</v>
      </c>
      <c r="C8683" s="3" t="s">
        <v>6</v>
      </c>
      <c r="D8683" s="5">
        <f t="shared" si="272"/>
        <v>6.28</v>
      </c>
      <c r="E8683">
        <v>6.9</v>
      </c>
      <c r="F8683" s="1789">
        <v>8.8999999999999996E-2</v>
      </c>
      <c r="G8683">
        <f t="shared" si="273"/>
        <v>6.28</v>
      </c>
    </row>
    <row r="8684" spans="1:7" ht="12.75" customHeight="1">
      <c r="A8684" s="3">
        <v>89405</v>
      </c>
      <c r="B8684" s="4" t="s">
        <v>8708</v>
      </c>
      <c r="C8684" s="3" t="s">
        <v>6</v>
      </c>
      <c r="D8684" s="5">
        <f t="shared" si="272"/>
        <v>6.7</v>
      </c>
      <c r="E8684">
        <v>7.36</v>
      </c>
      <c r="F8684" s="1789">
        <v>8.8999999999999996E-2</v>
      </c>
      <c r="G8684">
        <f t="shared" si="273"/>
        <v>6.7</v>
      </c>
    </row>
    <row r="8685" spans="1:7" ht="12.75" customHeight="1">
      <c r="A8685" s="3">
        <v>89406</v>
      </c>
      <c r="B8685" s="4" t="s">
        <v>8709</v>
      </c>
      <c r="C8685" s="3" t="s">
        <v>6</v>
      </c>
      <c r="D8685" s="5">
        <f t="shared" si="272"/>
        <v>7.47</v>
      </c>
      <c r="E8685">
        <v>8.1999999999999993</v>
      </c>
      <c r="F8685" s="1789">
        <v>8.8999999999999996E-2</v>
      </c>
      <c r="G8685">
        <f t="shared" si="273"/>
        <v>7.47</v>
      </c>
    </row>
    <row r="8686" spans="1:7" ht="12.75" customHeight="1">
      <c r="A8686" s="3">
        <v>89407</v>
      </c>
      <c r="B8686" s="4" t="s">
        <v>8710</v>
      </c>
      <c r="C8686" s="3" t="s">
        <v>6</v>
      </c>
      <c r="D8686" s="5">
        <f t="shared" si="272"/>
        <v>7.53</v>
      </c>
      <c r="E8686">
        <v>8.27</v>
      </c>
      <c r="F8686" s="1789">
        <v>8.8999999999999996E-2</v>
      </c>
      <c r="G8686">
        <f t="shared" si="273"/>
        <v>7.53</v>
      </c>
    </row>
    <row r="8687" spans="1:7" ht="12.75" customHeight="1">
      <c r="A8687" s="3">
        <v>89408</v>
      </c>
      <c r="B8687" s="4" t="s">
        <v>8711</v>
      </c>
      <c r="C8687" s="3" t="s">
        <v>6</v>
      </c>
      <c r="D8687" s="5">
        <f t="shared" si="272"/>
        <v>7.5</v>
      </c>
      <c r="E8687">
        <v>8.24</v>
      </c>
      <c r="F8687" s="1789">
        <v>8.8999999999999996E-2</v>
      </c>
      <c r="G8687">
        <f t="shared" si="273"/>
        <v>7.5</v>
      </c>
    </row>
    <row r="8688" spans="1:7" ht="12.75" customHeight="1">
      <c r="A8688" s="3">
        <v>89409</v>
      </c>
      <c r="B8688" s="4" t="s">
        <v>8712</v>
      </c>
      <c r="C8688" s="3" t="s">
        <v>6</v>
      </c>
      <c r="D8688" s="5">
        <f t="shared" si="272"/>
        <v>8.11</v>
      </c>
      <c r="E8688">
        <v>8.91</v>
      </c>
      <c r="F8688" s="1789">
        <v>8.8999999999999996E-2</v>
      </c>
      <c r="G8688">
        <f t="shared" si="273"/>
        <v>8.11</v>
      </c>
    </row>
    <row r="8689" spans="1:7" ht="12.75" customHeight="1">
      <c r="A8689" s="3">
        <v>89410</v>
      </c>
      <c r="B8689" s="4" t="s">
        <v>8713</v>
      </c>
      <c r="C8689" s="3" t="s">
        <v>6</v>
      </c>
      <c r="D8689" s="5">
        <f t="shared" si="272"/>
        <v>9.27</v>
      </c>
      <c r="E8689">
        <v>10.18</v>
      </c>
      <c r="F8689" s="1789">
        <v>8.8999999999999996E-2</v>
      </c>
      <c r="G8689">
        <f t="shared" si="273"/>
        <v>9.27</v>
      </c>
    </row>
    <row r="8690" spans="1:7" ht="12.75" customHeight="1">
      <c r="A8690" s="3">
        <v>89411</v>
      </c>
      <c r="B8690" s="4" t="s">
        <v>8714</v>
      </c>
      <c r="C8690" s="3" t="s">
        <v>6</v>
      </c>
      <c r="D8690" s="5">
        <f t="shared" si="272"/>
        <v>8.86</v>
      </c>
      <c r="E8690">
        <v>9.73</v>
      </c>
      <c r="F8690" s="1789">
        <v>8.8999999999999996E-2</v>
      </c>
      <c r="G8690">
        <f t="shared" si="273"/>
        <v>8.86</v>
      </c>
    </row>
    <row r="8691" spans="1:7" ht="12.75" customHeight="1">
      <c r="A8691" s="3">
        <v>89412</v>
      </c>
      <c r="B8691" s="4" t="s">
        <v>8715</v>
      </c>
      <c r="C8691" s="3" t="s">
        <v>6</v>
      </c>
      <c r="D8691" s="5">
        <f t="shared" si="272"/>
        <v>8.2799999999999994</v>
      </c>
      <c r="E8691">
        <v>9.09</v>
      </c>
      <c r="F8691" s="1789">
        <v>8.8999999999999996E-2</v>
      </c>
      <c r="G8691">
        <f t="shared" si="273"/>
        <v>8.2799999999999994</v>
      </c>
    </row>
    <row r="8692" spans="1:7" ht="12.75" customHeight="1">
      <c r="A8692" s="3">
        <v>89413</v>
      </c>
      <c r="B8692" s="4" t="s">
        <v>8716</v>
      </c>
      <c r="C8692" s="3" t="s">
        <v>6</v>
      </c>
      <c r="D8692" s="5">
        <f t="shared" si="272"/>
        <v>10.35</v>
      </c>
      <c r="E8692">
        <v>11.37</v>
      </c>
      <c r="F8692" s="1789">
        <v>8.8999999999999996E-2</v>
      </c>
      <c r="G8692">
        <f t="shared" si="273"/>
        <v>10.35</v>
      </c>
    </row>
    <row r="8693" spans="1:7" ht="12.75" customHeight="1">
      <c r="A8693" s="3">
        <v>89414</v>
      </c>
      <c r="B8693" s="4" t="s">
        <v>8717</v>
      </c>
      <c r="C8693" s="3" t="s">
        <v>6</v>
      </c>
      <c r="D8693" s="5">
        <f t="shared" si="272"/>
        <v>11.7</v>
      </c>
      <c r="E8693">
        <v>12.85</v>
      </c>
      <c r="F8693" s="1789">
        <v>8.8999999999999996E-2</v>
      </c>
      <c r="G8693">
        <f t="shared" si="273"/>
        <v>11.7</v>
      </c>
    </row>
    <row r="8694" spans="1:7" ht="12.75" customHeight="1">
      <c r="A8694" s="3">
        <v>89415</v>
      </c>
      <c r="B8694" s="4" t="s">
        <v>8718</v>
      </c>
      <c r="C8694" s="3" t="s">
        <v>6</v>
      </c>
      <c r="D8694" s="5">
        <f t="shared" si="272"/>
        <v>13.51</v>
      </c>
      <c r="E8694">
        <v>14.84</v>
      </c>
      <c r="F8694" s="1789">
        <v>8.8999999999999996E-2</v>
      </c>
      <c r="G8694">
        <f t="shared" si="273"/>
        <v>13.51</v>
      </c>
    </row>
    <row r="8695" spans="1:7" ht="12.75" customHeight="1">
      <c r="A8695" s="3">
        <v>89416</v>
      </c>
      <c r="B8695" s="4" t="s">
        <v>8719</v>
      </c>
      <c r="C8695" s="3" t="s">
        <v>6</v>
      </c>
      <c r="D8695" s="5">
        <f t="shared" si="272"/>
        <v>11.96</v>
      </c>
      <c r="E8695">
        <v>13.13</v>
      </c>
      <c r="F8695" s="1789">
        <v>8.8999999999999996E-2</v>
      </c>
      <c r="G8695">
        <f t="shared" si="273"/>
        <v>11.96</v>
      </c>
    </row>
    <row r="8696" spans="1:7" ht="12.75" customHeight="1">
      <c r="A8696" s="3">
        <v>89417</v>
      </c>
      <c r="B8696" s="4" t="s">
        <v>8720</v>
      </c>
      <c r="C8696" s="3" t="s">
        <v>6</v>
      </c>
      <c r="D8696" s="5">
        <f t="shared" si="272"/>
        <v>4.76</v>
      </c>
      <c r="E8696">
        <v>5.23</v>
      </c>
      <c r="F8696" s="1789">
        <v>8.8999999999999996E-2</v>
      </c>
      <c r="G8696">
        <f t="shared" si="273"/>
        <v>4.76</v>
      </c>
    </row>
    <row r="8697" spans="1:7" ht="12.75" customHeight="1">
      <c r="A8697" s="3">
        <v>89418</v>
      </c>
      <c r="B8697" s="4" t="s">
        <v>8721</v>
      </c>
      <c r="C8697" s="3" t="s">
        <v>6</v>
      </c>
      <c r="D8697" s="5">
        <f t="shared" si="272"/>
        <v>12.46</v>
      </c>
      <c r="E8697">
        <v>13.68</v>
      </c>
      <c r="F8697" s="1789">
        <v>8.8999999999999996E-2</v>
      </c>
      <c r="G8697">
        <f t="shared" si="273"/>
        <v>12.46</v>
      </c>
    </row>
    <row r="8698" spans="1:7" ht="12.75" customHeight="1">
      <c r="A8698" s="3">
        <v>89419</v>
      </c>
      <c r="B8698" s="4" t="s">
        <v>8722</v>
      </c>
      <c r="C8698" s="3" t="s">
        <v>6</v>
      </c>
      <c r="D8698" s="5">
        <f t="shared" si="272"/>
        <v>5.68</v>
      </c>
      <c r="E8698">
        <v>6.24</v>
      </c>
      <c r="F8698" s="1789">
        <v>8.8999999999999996E-2</v>
      </c>
      <c r="G8698">
        <f t="shared" si="273"/>
        <v>5.68</v>
      </c>
    </row>
    <row r="8699" spans="1:7" ht="12.75" customHeight="1">
      <c r="A8699" s="3">
        <v>89421</v>
      </c>
      <c r="B8699" s="4" t="s">
        <v>8723</v>
      </c>
      <c r="C8699" s="3" t="s">
        <v>6</v>
      </c>
      <c r="D8699" s="5">
        <f t="shared" si="272"/>
        <v>9.34</v>
      </c>
      <c r="E8699">
        <v>10.26</v>
      </c>
      <c r="F8699" s="1789">
        <v>8.8999999999999996E-2</v>
      </c>
      <c r="G8699">
        <f t="shared" si="273"/>
        <v>9.34</v>
      </c>
    </row>
    <row r="8700" spans="1:7" ht="12.75" customHeight="1">
      <c r="A8700" s="3">
        <v>89423</v>
      </c>
      <c r="B8700" s="4" t="s">
        <v>8724</v>
      </c>
      <c r="C8700" s="3" t="s">
        <v>6</v>
      </c>
      <c r="D8700" s="5">
        <f t="shared" si="272"/>
        <v>8.01</v>
      </c>
      <c r="E8700">
        <v>8.8000000000000007</v>
      </c>
      <c r="F8700" s="1789">
        <v>8.8999999999999996E-2</v>
      </c>
      <c r="G8700">
        <f t="shared" si="273"/>
        <v>8.01</v>
      </c>
    </row>
    <row r="8701" spans="1:7" ht="12.75" customHeight="1">
      <c r="A8701" s="3">
        <v>89424</v>
      </c>
      <c r="B8701" s="4" t="s">
        <v>8725</v>
      </c>
      <c r="C8701" s="3" t="s">
        <v>6</v>
      </c>
      <c r="D8701" s="5">
        <f t="shared" si="272"/>
        <v>5.65</v>
      </c>
      <c r="E8701">
        <v>6.21</v>
      </c>
      <c r="F8701" s="1789">
        <v>8.8999999999999996E-2</v>
      </c>
      <c r="G8701">
        <f t="shared" si="273"/>
        <v>5.65</v>
      </c>
    </row>
    <row r="8702" spans="1:7" ht="12.75" customHeight="1">
      <c r="A8702" s="3">
        <v>89425</v>
      </c>
      <c r="B8702" s="4" t="s">
        <v>8726</v>
      </c>
      <c r="C8702" s="3" t="s">
        <v>6</v>
      </c>
      <c r="D8702" s="5">
        <f t="shared" si="272"/>
        <v>14.68</v>
      </c>
      <c r="E8702">
        <v>16.12</v>
      </c>
      <c r="F8702" s="1789">
        <v>8.8999999999999996E-2</v>
      </c>
      <c r="G8702">
        <f t="shared" si="273"/>
        <v>14.68</v>
      </c>
    </row>
    <row r="8703" spans="1:7" ht="12.75" customHeight="1">
      <c r="A8703" s="3">
        <v>89426</v>
      </c>
      <c r="B8703" s="4" t="s">
        <v>8727</v>
      </c>
      <c r="C8703" s="3" t="s">
        <v>6</v>
      </c>
      <c r="D8703" s="5">
        <f t="shared" si="272"/>
        <v>8.02</v>
      </c>
      <c r="E8703">
        <v>8.81</v>
      </c>
      <c r="F8703" s="1789">
        <v>8.8999999999999996E-2</v>
      </c>
      <c r="G8703">
        <f t="shared" si="273"/>
        <v>8.02</v>
      </c>
    </row>
    <row r="8704" spans="1:7" ht="12.75" customHeight="1">
      <c r="A8704" s="3">
        <v>89427</v>
      </c>
      <c r="B8704" s="4" t="s">
        <v>8728</v>
      </c>
      <c r="C8704" s="3" t="s">
        <v>6</v>
      </c>
      <c r="D8704" s="5">
        <f t="shared" si="272"/>
        <v>9.7200000000000006</v>
      </c>
      <c r="E8704">
        <v>10.68</v>
      </c>
      <c r="F8704" s="1789">
        <v>8.8999999999999996E-2</v>
      </c>
      <c r="G8704">
        <f t="shared" si="273"/>
        <v>9.7200000000000006</v>
      </c>
    </row>
    <row r="8705" spans="1:7" ht="12.75" customHeight="1">
      <c r="A8705" s="3">
        <v>89428</v>
      </c>
      <c r="B8705" s="4" t="s">
        <v>8729</v>
      </c>
      <c r="C8705" s="3" t="s">
        <v>6</v>
      </c>
      <c r="D8705" s="5">
        <f t="shared" si="272"/>
        <v>11.27</v>
      </c>
      <c r="E8705">
        <v>12.38</v>
      </c>
      <c r="F8705" s="1789">
        <v>8.8999999999999996E-2</v>
      </c>
      <c r="G8705">
        <f t="shared" si="273"/>
        <v>11.27</v>
      </c>
    </row>
    <row r="8706" spans="1:7" ht="12.75" customHeight="1">
      <c r="A8706" s="3">
        <v>89429</v>
      </c>
      <c r="B8706" s="4" t="s">
        <v>8730</v>
      </c>
      <c r="C8706" s="3" t="s">
        <v>6</v>
      </c>
      <c r="D8706" s="5">
        <f t="shared" si="272"/>
        <v>5.28</v>
      </c>
      <c r="E8706">
        <v>5.8</v>
      </c>
      <c r="F8706" s="1789">
        <v>8.8999999999999996E-2</v>
      </c>
      <c r="G8706">
        <f t="shared" si="273"/>
        <v>5.28</v>
      </c>
    </row>
    <row r="8707" spans="1:7" ht="12.75" customHeight="1">
      <c r="A8707" s="3">
        <v>89430</v>
      </c>
      <c r="B8707" s="4" t="s">
        <v>8731</v>
      </c>
      <c r="C8707" s="3" t="s">
        <v>6</v>
      </c>
      <c r="D8707" s="5">
        <f t="shared" si="272"/>
        <v>10.24</v>
      </c>
      <c r="E8707">
        <v>11.25</v>
      </c>
      <c r="F8707" s="1789">
        <v>8.8999999999999996E-2</v>
      </c>
      <c r="G8707">
        <f t="shared" si="273"/>
        <v>10.24</v>
      </c>
    </row>
    <row r="8708" spans="1:7" ht="12.75" customHeight="1">
      <c r="A8708" s="3">
        <v>89431</v>
      </c>
      <c r="B8708" s="4" t="s">
        <v>8732</v>
      </c>
      <c r="C8708" s="3" t="s">
        <v>6</v>
      </c>
      <c r="D8708" s="5">
        <f t="shared" si="272"/>
        <v>7.74</v>
      </c>
      <c r="E8708">
        <v>8.5</v>
      </c>
      <c r="F8708" s="1789">
        <v>8.8999999999999996E-2</v>
      </c>
      <c r="G8708">
        <f t="shared" si="273"/>
        <v>7.74</v>
      </c>
    </row>
    <row r="8709" spans="1:7" ht="12.75" customHeight="1">
      <c r="A8709" s="3">
        <v>89432</v>
      </c>
      <c r="B8709" s="4" t="s">
        <v>8733</v>
      </c>
      <c r="C8709" s="3" t="s">
        <v>6</v>
      </c>
      <c r="D8709" s="5">
        <f t="shared" si="272"/>
        <v>23.33</v>
      </c>
      <c r="E8709">
        <v>25.61</v>
      </c>
      <c r="F8709" s="1789">
        <v>8.8999999999999996E-2</v>
      </c>
      <c r="G8709">
        <f t="shared" si="273"/>
        <v>23.33</v>
      </c>
    </row>
    <row r="8710" spans="1:7" ht="12.75" customHeight="1">
      <c r="A8710" s="3">
        <v>89433</v>
      </c>
      <c r="B8710" s="4" t="s">
        <v>8734</v>
      </c>
      <c r="C8710" s="3" t="s">
        <v>6</v>
      </c>
      <c r="D8710" s="5">
        <f t="shared" si="272"/>
        <v>10.95</v>
      </c>
      <c r="E8710">
        <v>12.02</v>
      </c>
      <c r="F8710" s="1789">
        <v>8.8999999999999996E-2</v>
      </c>
      <c r="G8710">
        <f t="shared" si="273"/>
        <v>10.95</v>
      </c>
    </row>
    <row r="8711" spans="1:7" ht="12.75" customHeight="1">
      <c r="A8711" s="3">
        <v>89434</v>
      </c>
      <c r="B8711" s="4" t="s">
        <v>8735</v>
      </c>
      <c r="C8711" s="3" t="s">
        <v>6</v>
      </c>
      <c r="D8711" s="5">
        <f t="shared" si="272"/>
        <v>9.11</v>
      </c>
      <c r="E8711">
        <v>10.01</v>
      </c>
      <c r="F8711" s="1789">
        <v>8.8999999999999996E-2</v>
      </c>
      <c r="G8711">
        <f t="shared" si="273"/>
        <v>9.11</v>
      </c>
    </row>
    <row r="8712" spans="1:7" ht="12.75" customHeight="1">
      <c r="A8712" s="3">
        <v>89435</v>
      </c>
      <c r="B8712" s="4" t="s">
        <v>8736</v>
      </c>
      <c r="C8712" s="3" t="s">
        <v>6</v>
      </c>
      <c r="D8712" s="5">
        <f t="shared" si="272"/>
        <v>16.71</v>
      </c>
      <c r="E8712">
        <v>18.350000000000001</v>
      </c>
      <c r="F8712" s="1789">
        <v>8.8999999999999996E-2</v>
      </c>
      <c r="G8712">
        <f t="shared" si="273"/>
        <v>16.71</v>
      </c>
    </row>
    <row r="8713" spans="1:7" ht="12.75" customHeight="1">
      <c r="A8713" s="3">
        <v>89436</v>
      </c>
      <c r="B8713" s="4" t="s">
        <v>8737</v>
      </c>
      <c r="C8713" s="3" t="s">
        <v>6</v>
      </c>
      <c r="D8713" s="5">
        <f t="shared" si="272"/>
        <v>6.99</v>
      </c>
      <c r="E8713">
        <v>7.68</v>
      </c>
      <c r="F8713" s="1789">
        <v>8.8999999999999996E-2</v>
      </c>
      <c r="G8713">
        <f t="shared" si="273"/>
        <v>6.99</v>
      </c>
    </row>
    <row r="8714" spans="1:7" ht="12.75" customHeight="1">
      <c r="A8714" s="3">
        <v>89437</v>
      </c>
      <c r="B8714" s="4" t="s">
        <v>8738</v>
      </c>
      <c r="C8714" s="3" t="s">
        <v>6</v>
      </c>
      <c r="D8714" s="5">
        <f t="shared" si="272"/>
        <v>19.09</v>
      </c>
      <c r="E8714">
        <v>20.96</v>
      </c>
      <c r="F8714" s="1789">
        <v>8.8999999999999996E-2</v>
      </c>
      <c r="G8714">
        <f t="shared" si="273"/>
        <v>19.09</v>
      </c>
    </row>
    <row r="8715" spans="1:7" ht="12.75" customHeight="1">
      <c r="A8715" s="3">
        <v>89438</v>
      </c>
      <c r="B8715" s="4" t="s">
        <v>8739</v>
      </c>
      <c r="C8715" s="3" t="s">
        <v>6</v>
      </c>
      <c r="D8715" s="5">
        <f t="shared" si="272"/>
        <v>8.7200000000000006</v>
      </c>
      <c r="E8715">
        <v>9.58</v>
      </c>
      <c r="F8715" s="1789">
        <v>8.8999999999999996E-2</v>
      </c>
      <c r="G8715">
        <f t="shared" si="273"/>
        <v>8.7200000000000006</v>
      </c>
    </row>
    <row r="8716" spans="1:7" ht="12.75" customHeight="1">
      <c r="A8716" s="3">
        <v>89439</v>
      </c>
      <c r="B8716" s="4" t="s">
        <v>8740</v>
      </c>
      <c r="C8716" s="3" t="s">
        <v>6</v>
      </c>
      <c r="D8716" s="5">
        <f t="shared" si="272"/>
        <v>9.8800000000000008</v>
      </c>
      <c r="E8716">
        <v>10.85</v>
      </c>
      <c r="F8716" s="1789">
        <v>8.8999999999999996E-2</v>
      </c>
      <c r="G8716">
        <f t="shared" si="273"/>
        <v>9.8800000000000008</v>
      </c>
    </row>
    <row r="8717" spans="1:7" ht="12.75" customHeight="1">
      <c r="A8717" s="3">
        <v>89440</v>
      </c>
      <c r="B8717" s="4" t="s">
        <v>8741</v>
      </c>
      <c r="C8717" s="3" t="s">
        <v>6</v>
      </c>
      <c r="D8717" s="5">
        <f t="shared" si="272"/>
        <v>10.39</v>
      </c>
      <c r="E8717">
        <v>11.41</v>
      </c>
      <c r="F8717" s="1789">
        <v>8.8999999999999996E-2</v>
      </c>
      <c r="G8717">
        <f t="shared" si="273"/>
        <v>10.39</v>
      </c>
    </row>
    <row r="8718" spans="1:7" ht="12.75" customHeight="1">
      <c r="A8718" s="3">
        <v>89442</v>
      </c>
      <c r="B8718" s="4" t="s">
        <v>8742</v>
      </c>
      <c r="C8718" s="3" t="s">
        <v>6</v>
      </c>
      <c r="D8718" s="5">
        <f t="shared" si="272"/>
        <v>11.68</v>
      </c>
      <c r="E8718">
        <v>12.83</v>
      </c>
      <c r="F8718" s="1789">
        <v>8.8999999999999996E-2</v>
      </c>
      <c r="G8718">
        <f t="shared" si="273"/>
        <v>11.68</v>
      </c>
    </row>
    <row r="8719" spans="1:7" ht="12.75" customHeight="1">
      <c r="A8719" s="3">
        <v>89443</v>
      </c>
      <c r="B8719" s="4" t="s">
        <v>8743</v>
      </c>
      <c r="C8719" s="3" t="s">
        <v>6</v>
      </c>
      <c r="D8719" s="5">
        <f t="shared" si="272"/>
        <v>14.51</v>
      </c>
      <c r="E8719">
        <v>15.93</v>
      </c>
      <c r="F8719" s="1789">
        <v>8.8999999999999996E-2</v>
      </c>
      <c r="G8719">
        <f t="shared" si="273"/>
        <v>14.51</v>
      </c>
    </row>
    <row r="8720" spans="1:7" ht="12.75" customHeight="1">
      <c r="A8720" s="3">
        <v>89444</v>
      </c>
      <c r="B8720" s="4" t="s">
        <v>8744</v>
      </c>
      <c r="C8720" s="3" t="s">
        <v>6</v>
      </c>
      <c r="D8720" s="5">
        <f t="shared" si="272"/>
        <v>19.760000000000002</v>
      </c>
      <c r="E8720">
        <v>21.7</v>
      </c>
      <c r="F8720" s="1789">
        <v>8.8999999999999996E-2</v>
      </c>
      <c r="G8720">
        <f t="shared" si="273"/>
        <v>19.760000000000002</v>
      </c>
    </row>
    <row r="8721" spans="1:7" ht="12.75" customHeight="1">
      <c r="A8721" s="3">
        <v>89445</v>
      </c>
      <c r="B8721" s="4" t="s">
        <v>8745</v>
      </c>
      <c r="C8721" s="3" t="s">
        <v>6</v>
      </c>
      <c r="D8721" s="5">
        <f t="shared" si="272"/>
        <v>15.75</v>
      </c>
      <c r="E8721">
        <v>17.29</v>
      </c>
      <c r="F8721" s="1789">
        <v>8.8999999999999996E-2</v>
      </c>
      <c r="G8721">
        <f t="shared" si="273"/>
        <v>15.75</v>
      </c>
    </row>
    <row r="8722" spans="1:7" ht="12.75" customHeight="1">
      <c r="A8722" s="3">
        <v>89481</v>
      </c>
      <c r="B8722" s="4" t="s">
        <v>8746</v>
      </c>
      <c r="C8722" s="3" t="s">
        <v>6</v>
      </c>
      <c r="D8722" s="5">
        <f t="shared" si="272"/>
        <v>4.68</v>
      </c>
      <c r="E8722">
        <v>5.14</v>
      </c>
      <c r="F8722" s="1789">
        <v>8.8999999999999996E-2</v>
      </c>
      <c r="G8722">
        <f t="shared" si="273"/>
        <v>4.68</v>
      </c>
    </row>
    <row r="8723" spans="1:7" ht="12.75" customHeight="1">
      <c r="A8723" s="3">
        <v>89485</v>
      </c>
      <c r="B8723" s="4" t="s">
        <v>8747</v>
      </c>
      <c r="C8723" s="3" t="s">
        <v>6</v>
      </c>
      <c r="D8723" s="5">
        <f t="shared" si="272"/>
        <v>5.29</v>
      </c>
      <c r="E8723">
        <v>5.81</v>
      </c>
      <c r="F8723" s="1789">
        <v>8.8999999999999996E-2</v>
      </c>
      <c r="G8723">
        <f t="shared" si="273"/>
        <v>5.29</v>
      </c>
    </row>
    <row r="8724" spans="1:7" ht="12.75" customHeight="1">
      <c r="A8724" s="3">
        <v>89489</v>
      </c>
      <c r="B8724" s="4" t="s">
        <v>8748</v>
      </c>
      <c r="C8724" s="3" t="s">
        <v>6</v>
      </c>
      <c r="D8724" s="5">
        <f t="shared" si="272"/>
        <v>6.44</v>
      </c>
      <c r="E8724">
        <v>7.08</v>
      </c>
      <c r="F8724" s="1789">
        <v>8.8999999999999996E-2</v>
      </c>
      <c r="G8724">
        <f t="shared" si="273"/>
        <v>6.44</v>
      </c>
    </row>
    <row r="8725" spans="1:7" ht="12.75" customHeight="1">
      <c r="A8725" s="3">
        <v>89490</v>
      </c>
      <c r="B8725" s="4" t="s">
        <v>8749</v>
      </c>
      <c r="C8725" s="3" t="s">
        <v>6</v>
      </c>
      <c r="D8725" s="5">
        <f t="shared" ref="D8725:D8788" si="274">G8725</f>
        <v>6.03</v>
      </c>
      <c r="E8725">
        <v>6.63</v>
      </c>
      <c r="F8725" s="1789">
        <v>8.8999999999999996E-2</v>
      </c>
      <c r="G8725">
        <f t="shared" ref="G8725:G8788" si="275">TRUNC((1-F8725)*E8725,2)</f>
        <v>6.03</v>
      </c>
    </row>
    <row r="8726" spans="1:7" ht="12.75" customHeight="1">
      <c r="A8726" s="3">
        <v>89492</v>
      </c>
      <c r="B8726" s="4" t="s">
        <v>8750</v>
      </c>
      <c r="C8726" s="3" t="s">
        <v>6</v>
      </c>
      <c r="D8726" s="5">
        <f t="shared" si="274"/>
        <v>7.06</v>
      </c>
      <c r="E8726">
        <v>7.76</v>
      </c>
      <c r="F8726" s="1789">
        <v>8.8999999999999996E-2</v>
      </c>
      <c r="G8726">
        <f t="shared" si="275"/>
        <v>7.06</v>
      </c>
    </row>
    <row r="8727" spans="1:7" ht="12.75" customHeight="1">
      <c r="A8727" s="3">
        <v>89493</v>
      </c>
      <c r="B8727" s="4" t="s">
        <v>8751</v>
      </c>
      <c r="C8727" s="3" t="s">
        <v>6</v>
      </c>
      <c r="D8727" s="5">
        <f t="shared" si="274"/>
        <v>8.41</v>
      </c>
      <c r="E8727">
        <v>9.24</v>
      </c>
      <c r="F8727" s="1789">
        <v>8.8999999999999996E-2</v>
      </c>
      <c r="G8727">
        <f t="shared" si="275"/>
        <v>8.41</v>
      </c>
    </row>
    <row r="8728" spans="1:7" ht="12.75" customHeight="1">
      <c r="A8728" s="3">
        <v>89494</v>
      </c>
      <c r="B8728" s="4" t="s">
        <v>8752</v>
      </c>
      <c r="C8728" s="3" t="s">
        <v>6</v>
      </c>
      <c r="D8728" s="5">
        <f t="shared" si="274"/>
        <v>10.23</v>
      </c>
      <c r="E8728">
        <v>11.23</v>
      </c>
      <c r="F8728" s="1789">
        <v>8.8999999999999996E-2</v>
      </c>
      <c r="G8728">
        <f t="shared" si="275"/>
        <v>10.23</v>
      </c>
    </row>
    <row r="8729" spans="1:7" ht="12.75" customHeight="1">
      <c r="A8729" s="3">
        <v>89496</v>
      </c>
      <c r="B8729" s="4" t="s">
        <v>8753</v>
      </c>
      <c r="C8729" s="3" t="s">
        <v>6</v>
      </c>
      <c r="D8729" s="5">
        <f t="shared" si="274"/>
        <v>8.67</v>
      </c>
      <c r="E8729">
        <v>9.52</v>
      </c>
      <c r="F8729" s="1789">
        <v>8.8999999999999996E-2</v>
      </c>
      <c r="G8729">
        <f t="shared" si="275"/>
        <v>8.67</v>
      </c>
    </row>
    <row r="8730" spans="1:7" ht="12.75" customHeight="1">
      <c r="A8730" s="3">
        <v>89497</v>
      </c>
      <c r="B8730" s="4" t="s">
        <v>8754</v>
      </c>
      <c r="C8730" s="3" t="s">
        <v>6</v>
      </c>
      <c r="D8730" s="5">
        <f t="shared" si="274"/>
        <v>11.01</v>
      </c>
      <c r="E8730">
        <v>12.09</v>
      </c>
      <c r="F8730" s="1789">
        <v>8.8999999999999996E-2</v>
      </c>
      <c r="G8730">
        <f t="shared" si="275"/>
        <v>11.01</v>
      </c>
    </row>
    <row r="8731" spans="1:7" ht="12.75" customHeight="1">
      <c r="A8731" s="3">
        <v>89498</v>
      </c>
      <c r="B8731" s="4" t="s">
        <v>8755</v>
      </c>
      <c r="C8731" s="3" t="s">
        <v>6</v>
      </c>
      <c r="D8731" s="5">
        <f t="shared" si="274"/>
        <v>11.05</v>
      </c>
      <c r="E8731">
        <v>12.14</v>
      </c>
      <c r="F8731" s="1789">
        <v>8.8999999999999996E-2</v>
      </c>
      <c r="G8731">
        <f t="shared" si="275"/>
        <v>11.05</v>
      </c>
    </row>
    <row r="8732" spans="1:7" ht="12.75" customHeight="1">
      <c r="A8732" s="3">
        <v>89499</v>
      </c>
      <c r="B8732" s="4" t="s">
        <v>8756</v>
      </c>
      <c r="C8732" s="3" t="s">
        <v>6</v>
      </c>
      <c r="D8732" s="5">
        <f t="shared" si="274"/>
        <v>15.8</v>
      </c>
      <c r="E8732">
        <v>17.350000000000001</v>
      </c>
      <c r="F8732" s="1789">
        <v>8.8999999999999996E-2</v>
      </c>
      <c r="G8732">
        <f t="shared" si="275"/>
        <v>15.8</v>
      </c>
    </row>
    <row r="8733" spans="1:7" ht="12.75" customHeight="1">
      <c r="A8733" s="3">
        <v>89500</v>
      </c>
      <c r="B8733" s="4" t="s">
        <v>8757</v>
      </c>
      <c r="C8733" s="3" t="s">
        <v>6</v>
      </c>
      <c r="D8733" s="5">
        <f t="shared" si="274"/>
        <v>10.64</v>
      </c>
      <c r="E8733">
        <v>11.68</v>
      </c>
      <c r="F8733" s="1789">
        <v>8.8999999999999996E-2</v>
      </c>
      <c r="G8733">
        <f t="shared" si="275"/>
        <v>10.64</v>
      </c>
    </row>
    <row r="8734" spans="1:7" ht="12.75" customHeight="1">
      <c r="A8734" s="3">
        <v>89501</v>
      </c>
      <c r="B8734" s="4" t="s">
        <v>8758</v>
      </c>
      <c r="C8734" s="3" t="s">
        <v>6</v>
      </c>
      <c r="D8734" s="5">
        <f t="shared" si="274"/>
        <v>12.2</v>
      </c>
      <c r="E8734">
        <v>13.4</v>
      </c>
      <c r="F8734" s="1789">
        <v>8.8999999999999996E-2</v>
      </c>
      <c r="G8734">
        <f t="shared" si="275"/>
        <v>12.2</v>
      </c>
    </row>
    <row r="8735" spans="1:7" ht="12.75" customHeight="1">
      <c r="A8735" s="3">
        <v>89502</v>
      </c>
      <c r="B8735" s="4" t="s">
        <v>8759</v>
      </c>
      <c r="C8735" s="3" t="s">
        <v>6</v>
      </c>
      <c r="D8735" s="5">
        <f t="shared" si="274"/>
        <v>14.15</v>
      </c>
      <c r="E8735">
        <v>15.54</v>
      </c>
      <c r="F8735" s="1789">
        <v>8.8999999999999996E-2</v>
      </c>
      <c r="G8735">
        <f t="shared" si="275"/>
        <v>14.15</v>
      </c>
    </row>
    <row r="8736" spans="1:7" ht="12.75" customHeight="1">
      <c r="A8736" s="3">
        <v>89503</v>
      </c>
      <c r="B8736" s="4" t="s">
        <v>8760</v>
      </c>
      <c r="C8736" s="3" t="s">
        <v>6</v>
      </c>
      <c r="D8736" s="5">
        <f t="shared" si="274"/>
        <v>18.510000000000002</v>
      </c>
      <c r="E8736">
        <v>20.32</v>
      </c>
      <c r="F8736" s="1789">
        <v>8.8999999999999996E-2</v>
      </c>
      <c r="G8736">
        <f t="shared" si="275"/>
        <v>18.510000000000002</v>
      </c>
    </row>
    <row r="8737" spans="1:7" ht="12.75" customHeight="1">
      <c r="A8737" s="3">
        <v>89504</v>
      </c>
      <c r="B8737" s="4" t="s">
        <v>8761</v>
      </c>
      <c r="C8737" s="3" t="s">
        <v>6</v>
      </c>
      <c r="D8737" s="5">
        <f t="shared" si="274"/>
        <v>15.55</v>
      </c>
      <c r="E8737">
        <v>17.079999999999998</v>
      </c>
      <c r="F8737" s="1789">
        <v>8.8999999999999996E-2</v>
      </c>
      <c r="G8737">
        <f t="shared" si="275"/>
        <v>15.55</v>
      </c>
    </row>
    <row r="8738" spans="1:7" ht="12.75" customHeight="1">
      <c r="A8738" s="3">
        <v>89505</v>
      </c>
      <c r="B8738" s="4" t="s">
        <v>8762</v>
      </c>
      <c r="C8738" s="3" t="s">
        <v>6</v>
      </c>
      <c r="D8738" s="5">
        <f t="shared" si="274"/>
        <v>32.950000000000003</v>
      </c>
      <c r="E8738">
        <v>36.17</v>
      </c>
      <c r="F8738" s="1789">
        <v>8.8999999999999996E-2</v>
      </c>
      <c r="G8738">
        <f t="shared" si="275"/>
        <v>32.950000000000003</v>
      </c>
    </row>
    <row r="8739" spans="1:7" ht="12.75" customHeight="1">
      <c r="A8739" s="3">
        <v>89506</v>
      </c>
      <c r="B8739" s="4" t="s">
        <v>8763</v>
      </c>
      <c r="C8739" s="3" t="s">
        <v>6</v>
      </c>
      <c r="D8739" s="5">
        <f t="shared" si="274"/>
        <v>31.58</v>
      </c>
      <c r="E8739">
        <v>34.67</v>
      </c>
      <c r="F8739" s="1789">
        <v>8.8999999999999996E-2</v>
      </c>
      <c r="G8739">
        <f t="shared" si="275"/>
        <v>31.58</v>
      </c>
    </row>
    <row r="8740" spans="1:7" ht="12.75" customHeight="1">
      <c r="A8740" s="3">
        <v>89507</v>
      </c>
      <c r="B8740" s="4" t="s">
        <v>8764</v>
      </c>
      <c r="C8740" s="3" t="s">
        <v>6</v>
      </c>
      <c r="D8740" s="5">
        <f t="shared" si="274"/>
        <v>36.979999999999997</v>
      </c>
      <c r="E8740">
        <v>40.6</v>
      </c>
      <c r="F8740" s="1789">
        <v>8.8999999999999996E-2</v>
      </c>
      <c r="G8740">
        <f t="shared" si="275"/>
        <v>36.979999999999997</v>
      </c>
    </row>
    <row r="8741" spans="1:7" ht="12.75" customHeight="1">
      <c r="A8741" s="3">
        <v>89510</v>
      </c>
      <c r="B8741" s="4" t="s">
        <v>8765</v>
      </c>
      <c r="C8741" s="3" t="s">
        <v>6</v>
      </c>
      <c r="D8741" s="5">
        <f t="shared" si="274"/>
        <v>22</v>
      </c>
      <c r="E8741">
        <v>24.16</v>
      </c>
      <c r="F8741" s="1789">
        <v>8.8999999999999996E-2</v>
      </c>
      <c r="G8741">
        <f t="shared" si="275"/>
        <v>22</v>
      </c>
    </row>
    <row r="8742" spans="1:7" ht="12.75" customHeight="1">
      <c r="A8742" s="3">
        <v>89513</v>
      </c>
      <c r="B8742" s="4" t="s">
        <v>8766</v>
      </c>
      <c r="C8742" s="3" t="s">
        <v>6</v>
      </c>
      <c r="D8742" s="5">
        <f t="shared" si="274"/>
        <v>80.489999999999995</v>
      </c>
      <c r="E8742">
        <v>88.36</v>
      </c>
      <c r="F8742" s="1789">
        <v>8.8999999999999996E-2</v>
      </c>
      <c r="G8742">
        <f t="shared" si="275"/>
        <v>80.489999999999995</v>
      </c>
    </row>
    <row r="8743" spans="1:7" ht="12.75" customHeight="1">
      <c r="A8743" s="3">
        <v>89514</v>
      </c>
      <c r="B8743" s="4" t="s">
        <v>8767</v>
      </c>
      <c r="C8743" s="3" t="s">
        <v>6</v>
      </c>
      <c r="D8743" s="5">
        <f t="shared" si="274"/>
        <v>7.27</v>
      </c>
      <c r="E8743">
        <v>7.99</v>
      </c>
      <c r="F8743" s="1789">
        <v>8.8999999999999996E-2</v>
      </c>
      <c r="G8743">
        <f t="shared" si="275"/>
        <v>7.27</v>
      </c>
    </row>
    <row r="8744" spans="1:7" ht="12.75" customHeight="1">
      <c r="A8744" s="3">
        <v>89515</v>
      </c>
      <c r="B8744" s="4" t="s">
        <v>8768</v>
      </c>
      <c r="C8744" s="3" t="s">
        <v>6</v>
      </c>
      <c r="D8744" s="5">
        <f t="shared" si="274"/>
        <v>64.709999999999994</v>
      </c>
      <c r="E8744">
        <v>71.040000000000006</v>
      </c>
      <c r="F8744" s="1789">
        <v>8.8999999999999996E-2</v>
      </c>
      <c r="G8744">
        <f t="shared" si="275"/>
        <v>64.709999999999994</v>
      </c>
    </row>
    <row r="8745" spans="1:7" ht="12.75" customHeight="1">
      <c r="A8745" s="3">
        <v>89516</v>
      </c>
      <c r="B8745" s="4" t="s">
        <v>8769</v>
      </c>
      <c r="C8745" s="3" t="s">
        <v>6</v>
      </c>
      <c r="D8745" s="5">
        <f t="shared" si="274"/>
        <v>7.34</v>
      </c>
      <c r="E8745">
        <v>8.06</v>
      </c>
      <c r="F8745" s="1789">
        <v>8.8999999999999996E-2</v>
      </c>
      <c r="G8745">
        <f t="shared" si="275"/>
        <v>7.34</v>
      </c>
    </row>
    <row r="8746" spans="1:7" ht="12.75" customHeight="1">
      <c r="A8746" s="3">
        <v>89517</v>
      </c>
      <c r="B8746" s="4" t="s">
        <v>8770</v>
      </c>
      <c r="C8746" s="3" t="s">
        <v>6</v>
      </c>
      <c r="D8746" s="5">
        <f t="shared" si="274"/>
        <v>54.64</v>
      </c>
      <c r="E8746">
        <v>59.98</v>
      </c>
      <c r="F8746" s="1789">
        <v>8.8999999999999996E-2</v>
      </c>
      <c r="G8746">
        <f t="shared" si="275"/>
        <v>54.64</v>
      </c>
    </row>
    <row r="8747" spans="1:7" ht="12.75" customHeight="1">
      <c r="A8747" s="3">
        <v>89518</v>
      </c>
      <c r="B8747" s="4" t="s">
        <v>8771</v>
      </c>
      <c r="C8747" s="3" t="s">
        <v>6</v>
      </c>
      <c r="D8747" s="5">
        <f t="shared" si="274"/>
        <v>13.46</v>
      </c>
      <c r="E8747">
        <v>14.78</v>
      </c>
      <c r="F8747" s="1789">
        <v>8.8999999999999996E-2</v>
      </c>
      <c r="G8747">
        <f t="shared" si="275"/>
        <v>13.46</v>
      </c>
    </row>
    <row r="8748" spans="1:7" ht="12.75" customHeight="1">
      <c r="A8748" s="3">
        <v>89519</v>
      </c>
      <c r="B8748" s="4" t="s">
        <v>8772</v>
      </c>
      <c r="C8748" s="3" t="s">
        <v>6</v>
      </c>
      <c r="D8748" s="5">
        <f t="shared" si="274"/>
        <v>37.880000000000003</v>
      </c>
      <c r="E8748">
        <v>41.59</v>
      </c>
      <c r="F8748" s="1789">
        <v>8.8999999999999996E-2</v>
      </c>
      <c r="G8748">
        <f t="shared" si="275"/>
        <v>37.880000000000003</v>
      </c>
    </row>
    <row r="8749" spans="1:7" ht="12.75" customHeight="1">
      <c r="A8749" s="3">
        <v>89520</v>
      </c>
      <c r="B8749" s="4" t="s">
        <v>8773</v>
      </c>
      <c r="C8749" s="3" t="s">
        <v>6</v>
      </c>
      <c r="D8749" s="5">
        <f t="shared" si="274"/>
        <v>14.07</v>
      </c>
      <c r="E8749">
        <v>15.45</v>
      </c>
      <c r="F8749" s="1789">
        <v>8.8999999999999996E-2</v>
      </c>
      <c r="G8749">
        <f t="shared" si="275"/>
        <v>14.07</v>
      </c>
    </row>
    <row r="8750" spans="1:7" ht="12.75" customHeight="1">
      <c r="A8750" s="3">
        <v>89521</v>
      </c>
      <c r="B8750" s="4" t="s">
        <v>8774</v>
      </c>
      <c r="C8750" s="3" t="s">
        <v>6</v>
      </c>
      <c r="D8750" s="5">
        <f t="shared" si="274"/>
        <v>96</v>
      </c>
      <c r="E8750">
        <v>105.38</v>
      </c>
      <c r="F8750" s="1789">
        <v>8.8999999999999996E-2</v>
      </c>
      <c r="G8750">
        <f t="shared" si="275"/>
        <v>96</v>
      </c>
    </row>
    <row r="8751" spans="1:7" ht="12.75" customHeight="1">
      <c r="A8751" s="3">
        <v>89522</v>
      </c>
      <c r="B8751" s="4" t="s">
        <v>8775</v>
      </c>
      <c r="C8751" s="3" t="s">
        <v>6</v>
      </c>
      <c r="D8751" s="5">
        <f t="shared" si="274"/>
        <v>25.73</v>
      </c>
      <c r="E8751">
        <v>28.25</v>
      </c>
      <c r="F8751" s="1789">
        <v>8.8999999999999996E-2</v>
      </c>
      <c r="G8751">
        <f t="shared" si="275"/>
        <v>25.73</v>
      </c>
    </row>
    <row r="8752" spans="1:7" ht="12.75" customHeight="1">
      <c r="A8752" s="3">
        <v>89523</v>
      </c>
      <c r="B8752" s="4" t="s">
        <v>8776</v>
      </c>
      <c r="C8752" s="3" t="s">
        <v>6</v>
      </c>
      <c r="D8752" s="5">
        <f t="shared" si="274"/>
        <v>79.099999999999994</v>
      </c>
      <c r="E8752">
        <v>86.83</v>
      </c>
      <c r="F8752" s="1789">
        <v>8.8999999999999996E-2</v>
      </c>
      <c r="G8752">
        <f t="shared" si="275"/>
        <v>79.099999999999994</v>
      </c>
    </row>
    <row r="8753" spans="1:7" ht="12.75" customHeight="1">
      <c r="A8753" s="3">
        <v>89524</v>
      </c>
      <c r="B8753" s="4" t="s">
        <v>8777</v>
      </c>
      <c r="C8753" s="3" t="s">
        <v>6</v>
      </c>
      <c r="D8753" s="5">
        <f t="shared" si="274"/>
        <v>26.12</v>
      </c>
      <c r="E8753">
        <v>28.68</v>
      </c>
      <c r="F8753" s="1789">
        <v>8.8999999999999996E-2</v>
      </c>
      <c r="G8753">
        <f t="shared" si="275"/>
        <v>26.12</v>
      </c>
    </row>
    <row r="8754" spans="1:7" ht="12.75" customHeight="1">
      <c r="A8754" s="3">
        <v>89525</v>
      </c>
      <c r="B8754" s="4" t="s">
        <v>8778</v>
      </c>
      <c r="C8754" s="3" t="s">
        <v>6</v>
      </c>
      <c r="D8754" s="5">
        <f t="shared" si="274"/>
        <v>68.58</v>
      </c>
      <c r="E8754">
        <v>75.290000000000006</v>
      </c>
      <c r="F8754" s="1789">
        <v>8.8999999999999996E-2</v>
      </c>
      <c r="G8754">
        <f t="shared" si="275"/>
        <v>68.58</v>
      </c>
    </row>
    <row r="8755" spans="1:7" ht="12.75" customHeight="1">
      <c r="A8755" s="3">
        <v>89526</v>
      </c>
      <c r="B8755" s="4" t="s">
        <v>8779</v>
      </c>
      <c r="C8755" s="3" t="s">
        <v>6</v>
      </c>
      <c r="D8755" s="5">
        <f t="shared" si="274"/>
        <v>33.25</v>
      </c>
      <c r="E8755">
        <v>36.5</v>
      </c>
      <c r="F8755" s="1789">
        <v>8.8999999999999996E-2</v>
      </c>
      <c r="G8755">
        <f t="shared" si="275"/>
        <v>33.25</v>
      </c>
    </row>
    <row r="8756" spans="1:7" ht="12.75" customHeight="1">
      <c r="A8756" s="3">
        <v>89527</v>
      </c>
      <c r="B8756" s="4" t="s">
        <v>8780</v>
      </c>
      <c r="C8756" s="3" t="s">
        <v>6</v>
      </c>
      <c r="D8756" s="5">
        <f t="shared" si="274"/>
        <v>45.65</v>
      </c>
      <c r="E8756">
        <v>50.12</v>
      </c>
      <c r="F8756" s="1789">
        <v>8.8999999999999996E-2</v>
      </c>
      <c r="G8756">
        <f t="shared" si="275"/>
        <v>45.65</v>
      </c>
    </row>
    <row r="8757" spans="1:7" ht="12.75" customHeight="1">
      <c r="A8757" s="3">
        <v>89528</v>
      </c>
      <c r="B8757" s="4" t="s">
        <v>8781</v>
      </c>
      <c r="C8757" s="3" t="s">
        <v>6</v>
      </c>
      <c r="D8757" s="5">
        <f t="shared" si="274"/>
        <v>3.76</v>
      </c>
      <c r="E8757">
        <v>4.13</v>
      </c>
      <c r="F8757" s="1789">
        <v>8.8999999999999996E-2</v>
      </c>
      <c r="G8757">
        <f t="shared" si="275"/>
        <v>3.76</v>
      </c>
    </row>
    <row r="8758" spans="1:7" ht="12.75" customHeight="1">
      <c r="A8758" s="3">
        <v>89529</v>
      </c>
      <c r="B8758" s="4" t="s">
        <v>8782</v>
      </c>
      <c r="C8758" s="3" t="s">
        <v>6</v>
      </c>
      <c r="D8758" s="5">
        <f t="shared" si="274"/>
        <v>32.15</v>
      </c>
      <c r="E8758">
        <v>35.299999999999997</v>
      </c>
      <c r="F8758" s="1789">
        <v>8.8999999999999996E-2</v>
      </c>
      <c r="G8758">
        <f t="shared" si="275"/>
        <v>32.15</v>
      </c>
    </row>
    <row r="8759" spans="1:7" ht="12.75" customHeight="1">
      <c r="A8759" s="3">
        <v>89530</v>
      </c>
      <c r="B8759" s="4" t="s">
        <v>8783</v>
      </c>
      <c r="C8759" s="3" t="s">
        <v>6</v>
      </c>
      <c r="D8759" s="5">
        <f t="shared" si="274"/>
        <v>12.79</v>
      </c>
      <c r="E8759">
        <v>14.04</v>
      </c>
      <c r="F8759" s="1789">
        <v>8.8999999999999996E-2</v>
      </c>
      <c r="G8759">
        <f t="shared" si="275"/>
        <v>12.79</v>
      </c>
    </row>
    <row r="8760" spans="1:7" ht="12.75" customHeight="1">
      <c r="A8760" s="3">
        <v>89531</v>
      </c>
      <c r="B8760" s="4" t="s">
        <v>8784</v>
      </c>
      <c r="C8760" s="3" t="s">
        <v>6</v>
      </c>
      <c r="D8760" s="5">
        <f t="shared" si="274"/>
        <v>33.020000000000003</v>
      </c>
      <c r="E8760">
        <v>36.25</v>
      </c>
      <c r="F8760" s="1789">
        <v>8.8999999999999996E-2</v>
      </c>
      <c r="G8760">
        <f t="shared" si="275"/>
        <v>33.020000000000003</v>
      </c>
    </row>
    <row r="8761" spans="1:7" ht="12.75" customHeight="1">
      <c r="A8761" s="3">
        <v>89532</v>
      </c>
      <c r="B8761" s="4" t="s">
        <v>8785</v>
      </c>
      <c r="C8761" s="3" t="s">
        <v>6</v>
      </c>
      <c r="D8761" s="5">
        <f t="shared" si="274"/>
        <v>5.98</v>
      </c>
      <c r="E8761">
        <v>6.57</v>
      </c>
      <c r="F8761" s="1789">
        <v>8.8999999999999996E-2</v>
      </c>
      <c r="G8761">
        <f t="shared" si="275"/>
        <v>5.98</v>
      </c>
    </row>
    <row r="8762" spans="1:7" ht="12.75" customHeight="1">
      <c r="A8762" s="3">
        <v>89535</v>
      </c>
      <c r="B8762" s="4" t="s">
        <v>8786</v>
      </c>
      <c r="C8762" s="3" t="s">
        <v>6</v>
      </c>
      <c r="D8762" s="5">
        <f t="shared" si="274"/>
        <v>36.74</v>
      </c>
      <c r="E8762">
        <v>40.340000000000003</v>
      </c>
      <c r="F8762" s="1789">
        <v>8.8999999999999996E-2</v>
      </c>
      <c r="G8762">
        <f t="shared" si="275"/>
        <v>36.74</v>
      </c>
    </row>
    <row r="8763" spans="1:7" ht="12.75" customHeight="1">
      <c r="A8763" s="3">
        <v>89536</v>
      </c>
      <c r="B8763" s="4" t="s">
        <v>8787</v>
      </c>
      <c r="C8763" s="3" t="s">
        <v>6</v>
      </c>
      <c r="D8763" s="5">
        <f t="shared" si="274"/>
        <v>9.3800000000000008</v>
      </c>
      <c r="E8763">
        <v>10.3</v>
      </c>
      <c r="F8763" s="1789">
        <v>8.8999999999999996E-2</v>
      </c>
      <c r="G8763">
        <f t="shared" si="275"/>
        <v>9.3800000000000008</v>
      </c>
    </row>
    <row r="8764" spans="1:7" ht="12.75" customHeight="1">
      <c r="A8764" s="3">
        <v>89540</v>
      </c>
      <c r="B8764" s="4" t="s">
        <v>8788</v>
      </c>
      <c r="C8764" s="3" t="s">
        <v>6</v>
      </c>
      <c r="D8764" s="5">
        <f t="shared" si="274"/>
        <v>8.35</v>
      </c>
      <c r="E8764">
        <v>9.17</v>
      </c>
      <c r="F8764" s="1789">
        <v>8.8999999999999996E-2</v>
      </c>
      <c r="G8764">
        <f t="shared" si="275"/>
        <v>8.35</v>
      </c>
    </row>
    <row r="8765" spans="1:7" ht="12.75" customHeight="1">
      <c r="A8765" s="3">
        <v>89541</v>
      </c>
      <c r="B8765" s="4" t="s">
        <v>8789</v>
      </c>
      <c r="C8765" s="3" t="s">
        <v>6</v>
      </c>
      <c r="D8765" s="5">
        <f t="shared" si="274"/>
        <v>5.54</v>
      </c>
      <c r="E8765">
        <v>6.09</v>
      </c>
      <c r="F8765" s="1789">
        <v>8.8999999999999996E-2</v>
      </c>
      <c r="G8765">
        <f t="shared" si="275"/>
        <v>5.54</v>
      </c>
    </row>
    <row r="8766" spans="1:7" ht="12.75" customHeight="1">
      <c r="A8766" s="3">
        <v>89542</v>
      </c>
      <c r="B8766" s="4" t="s">
        <v>8790</v>
      </c>
      <c r="C8766" s="3" t="s">
        <v>6</v>
      </c>
      <c r="D8766" s="5">
        <f t="shared" si="274"/>
        <v>21.13</v>
      </c>
      <c r="E8766">
        <v>23.2</v>
      </c>
      <c r="F8766" s="1789">
        <v>8.8999999999999996E-2</v>
      </c>
      <c r="G8766">
        <f t="shared" si="275"/>
        <v>21.13</v>
      </c>
    </row>
    <row r="8767" spans="1:7" ht="12.75" customHeight="1">
      <c r="A8767" s="3">
        <v>89544</v>
      </c>
      <c r="B8767" s="4" t="s">
        <v>8791</v>
      </c>
      <c r="C8767" s="3" t="s">
        <v>6</v>
      </c>
      <c r="D8767" s="5">
        <f t="shared" si="274"/>
        <v>7.44</v>
      </c>
      <c r="E8767">
        <v>8.17</v>
      </c>
      <c r="F8767" s="1789">
        <v>8.8999999999999996E-2</v>
      </c>
      <c r="G8767">
        <f t="shared" si="275"/>
        <v>7.44</v>
      </c>
    </row>
    <row r="8768" spans="1:7" ht="12.75" customHeight="1">
      <c r="A8768" s="3">
        <v>89545</v>
      </c>
      <c r="B8768" s="4" t="s">
        <v>8792</v>
      </c>
      <c r="C8768" s="3" t="s">
        <v>6</v>
      </c>
      <c r="D8768" s="5">
        <f t="shared" si="274"/>
        <v>14.61</v>
      </c>
      <c r="E8768">
        <v>16.04</v>
      </c>
      <c r="F8768" s="1789">
        <v>8.8999999999999996E-2</v>
      </c>
      <c r="G8768">
        <f t="shared" si="275"/>
        <v>14.61</v>
      </c>
    </row>
    <row r="8769" spans="1:7" ht="12.75" customHeight="1">
      <c r="A8769" s="3">
        <v>89546</v>
      </c>
      <c r="B8769" s="4" t="s">
        <v>8793</v>
      </c>
      <c r="C8769" s="3" t="s">
        <v>6</v>
      </c>
      <c r="D8769" s="5">
        <f t="shared" si="274"/>
        <v>9.8800000000000008</v>
      </c>
      <c r="E8769">
        <v>10.85</v>
      </c>
      <c r="F8769" s="1789">
        <v>8.8999999999999996E-2</v>
      </c>
      <c r="G8769">
        <f t="shared" si="275"/>
        <v>9.8800000000000008</v>
      </c>
    </row>
    <row r="8770" spans="1:7" ht="12.75" customHeight="1">
      <c r="A8770" s="3">
        <v>89547</v>
      </c>
      <c r="B8770" s="4" t="s">
        <v>8794</v>
      </c>
      <c r="C8770" s="3" t="s">
        <v>6</v>
      </c>
      <c r="D8770" s="5">
        <f t="shared" si="274"/>
        <v>19.7</v>
      </c>
      <c r="E8770">
        <v>21.63</v>
      </c>
      <c r="F8770" s="1789">
        <v>8.8999999999999996E-2</v>
      </c>
      <c r="G8770">
        <f t="shared" si="275"/>
        <v>19.7</v>
      </c>
    </row>
    <row r="8771" spans="1:7" ht="12.75" customHeight="1">
      <c r="A8771" s="3">
        <v>89548</v>
      </c>
      <c r="B8771" s="4" t="s">
        <v>8795</v>
      </c>
      <c r="C8771" s="3" t="s">
        <v>6</v>
      </c>
      <c r="D8771" s="5">
        <f t="shared" si="274"/>
        <v>20.13</v>
      </c>
      <c r="E8771">
        <v>22.1</v>
      </c>
      <c r="F8771" s="1789">
        <v>8.8999999999999996E-2</v>
      </c>
      <c r="G8771">
        <f t="shared" si="275"/>
        <v>20.13</v>
      </c>
    </row>
    <row r="8772" spans="1:7" ht="12.75" customHeight="1">
      <c r="A8772" s="3">
        <v>89549</v>
      </c>
      <c r="B8772" s="4" t="s">
        <v>8796</v>
      </c>
      <c r="C8772" s="3" t="s">
        <v>6</v>
      </c>
      <c r="D8772" s="5">
        <f t="shared" si="274"/>
        <v>16.73</v>
      </c>
      <c r="E8772">
        <v>18.37</v>
      </c>
      <c r="F8772" s="1789">
        <v>8.8999999999999996E-2</v>
      </c>
      <c r="G8772">
        <f t="shared" si="275"/>
        <v>16.73</v>
      </c>
    </row>
    <row r="8773" spans="1:7" ht="12.75" customHeight="1">
      <c r="A8773" s="3">
        <v>89550</v>
      </c>
      <c r="B8773" s="4" t="s">
        <v>8797</v>
      </c>
      <c r="C8773" s="3" t="s">
        <v>6</v>
      </c>
      <c r="D8773" s="5">
        <f t="shared" si="274"/>
        <v>35.06</v>
      </c>
      <c r="E8773">
        <v>38.49</v>
      </c>
      <c r="F8773" s="1789">
        <v>8.8999999999999996E-2</v>
      </c>
      <c r="G8773">
        <f t="shared" si="275"/>
        <v>35.06</v>
      </c>
    </row>
    <row r="8774" spans="1:7" ht="12.75" customHeight="1">
      <c r="A8774" s="3">
        <v>89551</v>
      </c>
      <c r="B8774" s="4" t="s">
        <v>8798</v>
      </c>
      <c r="C8774" s="3" t="s">
        <v>6</v>
      </c>
      <c r="D8774" s="5">
        <f t="shared" si="274"/>
        <v>7.07</v>
      </c>
      <c r="E8774">
        <v>7.77</v>
      </c>
      <c r="F8774" s="1789">
        <v>8.8999999999999996E-2</v>
      </c>
      <c r="G8774">
        <f t="shared" si="275"/>
        <v>7.07</v>
      </c>
    </row>
    <row r="8775" spans="1:7" ht="12.75" customHeight="1">
      <c r="A8775" s="3">
        <v>89552</v>
      </c>
      <c r="B8775" s="4" t="s">
        <v>8799</v>
      </c>
      <c r="C8775" s="3" t="s">
        <v>6</v>
      </c>
      <c r="D8775" s="5">
        <f t="shared" si="274"/>
        <v>14.52</v>
      </c>
      <c r="E8775">
        <v>15.94</v>
      </c>
      <c r="F8775" s="1789">
        <v>8.8999999999999996E-2</v>
      </c>
      <c r="G8775">
        <f t="shared" si="275"/>
        <v>14.52</v>
      </c>
    </row>
    <row r="8776" spans="1:7" ht="12.75" customHeight="1">
      <c r="A8776" s="3">
        <v>89553</v>
      </c>
      <c r="B8776" s="4" t="s">
        <v>8800</v>
      </c>
      <c r="C8776" s="3" t="s">
        <v>6</v>
      </c>
      <c r="D8776" s="5">
        <f t="shared" si="274"/>
        <v>4.95</v>
      </c>
      <c r="E8776">
        <v>5.44</v>
      </c>
      <c r="F8776" s="1789">
        <v>8.8999999999999996E-2</v>
      </c>
      <c r="G8776">
        <f t="shared" si="275"/>
        <v>4.95</v>
      </c>
    </row>
    <row r="8777" spans="1:7" ht="12.75" customHeight="1">
      <c r="A8777" s="3">
        <v>89554</v>
      </c>
      <c r="B8777" s="4" t="s">
        <v>8801</v>
      </c>
      <c r="C8777" s="3" t="s">
        <v>6</v>
      </c>
      <c r="D8777" s="5">
        <f t="shared" si="274"/>
        <v>25.21</v>
      </c>
      <c r="E8777">
        <v>27.68</v>
      </c>
      <c r="F8777" s="1789">
        <v>8.8999999999999996E-2</v>
      </c>
      <c r="G8777">
        <f t="shared" si="275"/>
        <v>25.21</v>
      </c>
    </row>
    <row r="8778" spans="1:7" ht="12.75" customHeight="1">
      <c r="A8778" s="3">
        <v>89555</v>
      </c>
      <c r="B8778" s="4" t="s">
        <v>8802</v>
      </c>
      <c r="C8778" s="3" t="s">
        <v>6</v>
      </c>
      <c r="D8778" s="5">
        <f t="shared" si="274"/>
        <v>16.89</v>
      </c>
      <c r="E8778">
        <v>18.55</v>
      </c>
      <c r="F8778" s="1789">
        <v>8.8999999999999996E-2</v>
      </c>
      <c r="G8778">
        <f t="shared" si="275"/>
        <v>16.89</v>
      </c>
    </row>
    <row r="8779" spans="1:7" ht="12.75" customHeight="1">
      <c r="A8779" s="3">
        <v>89556</v>
      </c>
      <c r="B8779" s="4" t="s">
        <v>8803</v>
      </c>
      <c r="C8779" s="3" t="s">
        <v>6</v>
      </c>
      <c r="D8779" s="5">
        <f t="shared" si="274"/>
        <v>34.65</v>
      </c>
      <c r="E8779">
        <v>38.04</v>
      </c>
      <c r="F8779" s="1789">
        <v>8.8999999999999996E-2</v>
      </c>
      <c r="G8779">
        <f t="shared" si="275"/>
        <v>34.65</v>
      </c>
    </row>
    <row r="8780" spans="1:7" ht="12.75" customHeight="1">
      <c r="A8780" s="3">
        <v>89557</v>
      </c>
      <c r="B8780" s="4" t="s">
        <v>8804</v>
      </c>
      <c r="C8780" s="3" t="s">
        <v>6</v>
      </c>
      <c r="D8780" s="5">
        <f t="shared" si="274"/>
        <v>27.62</v>
      </c>
      <c r="E8780">
        <v>30.32</v>
      </c>
      <c r="F8780" s="1789">
        <v>8.8999999999999996E-2</v>
      </c>
      <c r="G8780">
        <f t="shared" si="275"/>
        <v>27.62</v>
      </c>
    </row>
    <row r="8781" spans="1:7" ht="12.75" customHeight="1">
      <c r="A8781" s="3">
        <v>89558</v>
      </c>
      <c r="B8781" s="4" t="s">
        <v>8805</v>
      </c>
      <c r="C8781" s="3" t="s">
        <v>6</v>
      </c>
      <c r="D8781" s="5">
        <f t="shared" si="274"/>
        <v>8.23</v>
      </c>
      <c r="E8781">
        <v>9.0399999999999991</v>
      </c>
      <c r="F8781" s="1789">
        <v>8.8999999999999996E-2</v>
      </c>
      <c r="G8781">
        <f t="shared" si="275"/>
        <v>8.23</v>
      </c>
    </row>
    <row r="8782" spans="1:7" ht="12.75" customHeight="1">
      <c r="A8782" s="3">
        <v>89559</v>
      </c>
      <c r="B8782" s="4" t="s">
        <v>8806</v>
      </c>
      <c r="C8782" s="3" t="s">
        <v>6</v>
      </c>
      <c r="D8782" s="5">
        <f t="shared" si="274"/>
        <v>56.72</v>
      </c>
      <c r="E8782">
        <v>62.27</v>
      </c>
      <c r="F8782" s="1789">
        <v>8.8999999999999996E-2</v>
      </c>
      <c r="G8782">
        <f t="shared" si="275"/>
        <v>56.72</v>
      </c>
    </row>
    <row r="8783" spans="1:7" ht="12.75" customHeight="1">
      <c r="A8783" s="3">
        <v>89560</v>
      </c>
      <c r="B8783" s="4" t="s">
        <v>8807</v>
      </c>
      <c r="C8783" s="3" t="s">
        <v>6</v>
      </c>
      <c r="D8783" s="5">
        <f t="shared" si="274"/>
        <v>27.07</v>
      </c>
      <c r="E8783">
        <v>29.72</v>
      </c>
      <c r="F8783" s="1789">
        <v>8.8999999999999996E-2</v>
      </c>
      <c r="G8783">
        <f t="shared" si="275"/>
        <v>27.07</v>
      </c>
    </row>
    <row r="8784" spans="1:7" ht="12.75" customHeight="1">
      <c r="A8784" s="3">
        <v>89561</v>
      </c>
      <c r="B8784" s="4" t="s">
        <v>8808</v>
      </c>
      <c r="C8784" s="3" t="s">
        <v>6</v>
      </c>
      <c r="D8784" s="5">
        <f t="shared" si="274"/>
        <v>12.83</v>
      </c>
      <c r="E8784">
        <v>14.09</v>
      </c>
      <c r="F8784" s="1789">
        <v>8.8999999999999996E-2</v>
      </c>
      <c r="G8784">
        <f t="shared" si="275"/>
        <v>12.83</v>
      </c>
    </row>
    <row r="8785" spans="1:7" ht="12.75" customHeight="1">
      <c r="A8785" s="3">
        <v>89562</v>
      </c>
      <c r="B8785" s="4" t="s">
        <v>8809</v>
      </c>
      <c r="C8785" s="3" t="s">
        <v>6</v>
      </c>
      <c r="D8785" s="5">
        <f t="shared" si="274"/>
        <v>8.57</v>
      </c>
      <c r="E8785">
        <v>9.41</v>
      </c>
      <c r="F8785" s="1789">
        <v>8.8999999999999996E-2</v>
      </c>
      <c r="G8785">
        <f t="shared" si="275"/>
        <v>8.57</v>
      </c>
    </row>
    <row r="8786" spans="1:7" ht="12.75" customHeight="1">
      <c r="A8786" s="3">
        <v>89563</v>
      </c>
      <c r="B8786" s="4" t="s">
        <v>8810</v>
      </c>
      <c r="C8786" s="3" t="s">
        <v>6</v>
      </c>
      <c r="D8786" s="5">
        <f t="shared" si="274"/>
        <v>29.96</v>
      </c>
      <c r="E8786">
        <v>32.89</v>
      </c>
      <c r="F8786" s="1789">
        <v>8.8999999999999996E-2</v>
      </c>
      <c r="G8786">
        <f t="shared" si="275"/>
        <v>29.96</v>
      </c>
    </row>
    <row r="8787" spans="1:7" ht="12.75" customHeight="1">
      <c r="A8787" s="3">
        <v>89564</v>
      </c>
      <c r="B8787" s="4" t="s">
        <v>8811</v>
      </c>
      <c r="C8787" s="3" t="s">
        <v>6</v>
      </c>
      <c r="D8787" s="5">
        <f t="shared" si="274"/>
        <v>12.5</v>
      </c>
      <c r="E8787">
        <v>13.73</v>
      </c>
      <c r="F8787" s="1789">
        <v>8.8999999999999996E-2</v>
      </c>
      <c r="G8787">
        <f t="shared" si="275"/>
        <v>12.5</v>
      </c>
    </row>
    <row r="8788" spans="1:7" ht="12.75" customHeight="1">
      <c r="A8788" s="3">
        <v>89565</v>
      </c>
      <c r="B8788" s="4" t="s">
        <v>8812</v>
      </c>
      <c r="C8788" s="3" t="s">
        <v>6</v>
      </c>
      <c r="D8788" s="5">
        <f t="shared" si="274"/>
        <v>47.85</v>
      </c>
      <c r="E8788">
        <v>52.53</v>
      </c>
      <c r="F8788" s="1789">
        <v>8.8999999999999996E-2</v>
      </c>
      <c r="G8788">
        <f t="shared" si="275"/>
        <v>47.85</v>
      </c>
    </row>
    <row r="8789" spans="1:7" ht="12.75" customHeight="1">
      <c r="A8789" s="3">
        <v>89566</v>
      </c>
      <c r="B8789" s="4" t="s">
        <v>8813</v>
      </c>
      <c r="C8789" s="3" t="s">
        <v>6</v>
      </c>
      <c r="D8789" s="5">
        <f t="shared" ref="D8789:D8852" si="276">G8789</f>
        <v>40.85</v>
      </c>
      <c r="E8789">
        <v>44.85</v>
      </c>
      <c r="F8789" s="1789">
        <v>8.8999999999999996E-2</v>
      </c>
      <c r="G8789">
        <f t="shared" ref="G8789:G8852" si="277">TRUNC((1-F8789)*E8789,2)</f>
        <v>40.85</v>
      </c>
    </row>
    <row r="8790" spans="1:7" ht="12.75" customHeight="1">
      <c r="A8790" s="3">
        <v>89567</v>
      </c>
      <c r="B8790" s="4" t="s">
        <v>8814</v>
      </c>
      <c r="C8790" s="3" t="s">
        <v>6</v>
      </c>
      <c r="D8790" s="5">
        <f t="shared" si="276"/>
        <v>68.55</v>
      </c>
      <c r="E8790">
        <v>75.25</v>
      </c>
      <c r="F8790" s="1789">
        <v>8.8999999999999996E-2</v>
      </c>
      <c r="G8790">
        <f t="shared" si="277"/>
        <v>68.55</v>
      </c>
    </row>
    <row r="8791" spans="1:7" ht="12.75" customHeight="1">
      <c r="A8791" s="3">
        <v>89568</v>
      </c>
      <c r="B8791" s="4" t="s">
        <v>8815</v>
      </c>
      <c r="C8791" s="3" t="s">
        <v>6</v>
      </c>
      <c r="D8791" s="5">
        <f t="shared" si="276"/>
        <v>25.16</v>
      </c>
      <c r="E8791">
        <v>27.62</v>
      </c>
      <c r="F8791" s="1789">
        <v>8.8999999999999996E-2</v>
      </c>
      <c r="G8791">
        <f t="shared" si="277"/>
        <v>25.16</v>
      </c>
    </row>
    <row r="8792" spans="1:7" ht="12.75" customHeight="1">
      <c r="A8792" s="3">
        <v>89569</v>
      </c>
      <c r="B8792" s="4" t="s">
        <v>8816</v>
      </c>
      <c r="C8792" s="3" t="s">
        <v>6</v>
      </c>
      <c r="D8792" s="5">
        <f t="shared" si="276"/>
        <v>79.34</v>
      </c>
      <c r="E8792">
        <v>87.1</v>
      </c>
      <c r="F8792" s="1789">
        <v>8.8999999999999996E-2</v>
      </c>
      <c r="G8792">
        <f t="shared" si="277"/>
        <v>79.34</v>
      </c>
    </row>
    <row r="8793" spans="1:7" ht="12.75" customHeight="1">
      <c r="A8793" s="3">
        <v>89570</v>
      </c>
      <c r="B8793" s="4" t="s">
        <v>8817</v>
      </c>
      <c r="C8793" s="3" t="s">
        <v>6</v>
      </c>
      <c r="D8793" s="5">
        <f t="shared" si="276"/>
        <v>9.41</v>
      </c>
      <c r="E8793">
        <v>10.33</v>
      </c>
      <c r="F8793" s="1789">
        <v>8.8999999999999996E-2</v>
      </c>
      <c r="G8793">
        <f t="shared" si="277"/>
        <v>9.41</v>
      </c>
    </row>
    <row r="8794" spans="1:7" ht="12.75" customHeight="1">
      <c r="A8794" s="3">
        <v>89571</v>
      </c>
      <c r="B8794" s="4" t="s">
        <v>8818</v>
      </c>
      <c r="C8794" s="3" t="s">
        <v>6</v>
      </c>
      <c r="D8794" s="5">
        <f t="shared" si="276"/>
        <v>59.73</v>
      </c>
      <c r="E8794">
        <v>65.569999999999993</v>
      </c>
      <c r="F8794" s="1789">
        <v>8.8999999999999996E-2</v>
      </c>
      <c r="G8794">
        <f t="shared" si="277"/>
        <v>59.73</v>
      </c>
    </row>
    <row r="8795" spans="1:7" ht="12.75" customHeight="1">
      <c r="A8795" s="3">
        <v>89572</v>
      </c>
      <c r="B8795" s="4" t="s">
        <v>8819</v>
      </c>
      <c r="C8795" s="3" t="s">
        <v>6</v>
      </c>
      <c r="D8795" s="5">
        <f t="shared" si="276"/>
        <v>7.32</v>
      </c>
      <c r="E8795">
        <v>8.0399999999999991</v>
      </c>
      <c r="F8795" s="1789">
        <v>8.8999999999999996E-2</v>
      </c>
      <c r="G8795">
        <f t="shared" si="277"/>
        <v>7.32</v>
      </c>
    </row>
    <row r="8796" spans="1:7" ht="12.75" customHeight="1">
      <c r="A8796" s="3">
        <v>89573</v>
      </c>
      <c r="B8796" s="4" t="s">
        <v>8820</v>
      </c>
      <c r="C8796" s="3" t="s">
        <v>6</v>
      </c>
      <c r="D8796" s="5">
        <f t="shared" si="276"/>
        <v>65.069999999999993</v>
      </c>
      <c r="E8796">
        <v>71.430000000000007</v>
      </c>
      <c r="F8796" s="1789">
        <v>8.8999999999999996E-2</v>
      </c>
      <c r="G8796">
        <f t="shared" si="277"/>
        <v>65.069999999999993</v>
      </c>
    </row>
    <row r="8797" spans="1:7" ht="12.75" customHeight="1">
      <c r="A8797" s="3">
        <v>89574</v>
      </c>
      <c r="B8797" s="4" t="s">
        <v>8821</v>
      </c>
      <c r="C8797" s="3" t="s">
        <v>6</v>
      </c>
      <c r="D8797" s="5">
        <f t="shared" si="276"/>
        <v>130.75</v>
      </c>
      <c r="E8797">
        <v>143.53</v>
      </c>
      <c r="F8797" s="1789">
        <v>8.8999999999999996E-2</v>
      </c>
      <c r="G8797">
        <f t="shared" si="277"/>
        <v>130.75</v>
      </c>
    </row>
    <row r="8798" spans="1:7" ht="12.75" customHeight="1">
      <c r="A8798" s="3">
        <v>89575</v>
      </c>
      <c r="B8798" s="4" t="s">
        <v>8822</v>
      </c>
      <c r="C8798" s="3" t="s">
        <v>6</v>
      </c>
      <c r="D8798" s="5">
        <f t="shared" si="276"/>
        <v>9.92</v>
      </c>
      <c r="E8798">
        <v>10.9</v>
      </c>
      <c r="F8798" s="1789">
        <v>8.8999999999999996E-2</v>
      </c>
      <c r="G8798">
        <f t="shared" si="277"/>
        <v>9.92</v>
      </c>
    </row>
    <row r="8799" spans="1:7" ht="12.75" customHeight="1">
      <c r="A8799" s="3">
        <v>89577</v>
      </c>
      <c r="B8799" s="4" t="s">
        <v>8823</v>
      </c>
      <c r="C8799" s="3" t="s">
        <v>6</v>
      </c>
      <c r="D8799" s="5">
        <f t="shared" si="276"/>
        <v>28.87</v>
      </c>
      <c r="E8799">
        <v>31.7</v>
      </c>
      <c r="F8799" s="1789">
        <v>8.8999999999999996E-2</v>
      </c>
      <c r="G8799">
        <f t="shared" si="277"/>
        <v>28.87</v>
      </c>
    </row>
    <row r="8800" spans="1:7" ht="12.75" customHeight="1">
      <c r="A8800" s="3">
        <v>89579</v>
      </c>
      <c r="B8800" s="4" t="s">
        <v>8824</v>
      </c>
      <c r="C8800" s="3" t="s">
        <v>6</v>
      </c>
      <c r="D8800" s="5">
        <f t="shared" si="276"/>
        <v>9.69</v>
      </c>
      <c r="E8800">
        <v>10.64</v>
      </c>
      <c r="F8800" s="1789">
        <v>8.8999999999999996E-2</v>
      </c>
      <c r="G8800">
        <f t="shared" si="277"/>
        <v>9.69</v>
      </c>
    </row>
    <row r="8801" spans="1:7" ht="12.75" customHeight="1">
      <c r="A8801" s="3">
        <v>89581</v>
      </c>
      <c r="B8801" s="4" t="s">
        <v>8825</v>
      </c>
      <c r="C8801" s="3" t="s">
        <v>6</v>
      </c>
      <c r="D8801" s="5">
        <f t="shared" si="276"/>
        <v>29.1</v>
      </c>
      <c r="E8801">
        <v>31.95</v>
      </c>
      <c r="F8801" s="1789">
        <v>8.8999999999999996E-2</v>
      </c>
      <c r="G8801">
        <f t="shared" si="277"/>
        <v>29.1</v>
      </c>
    </row>
    <row r="8802" spans="1:7" ht="12.75" customHeight="1">
      <c r="A8802" s="3">
        <v>89582</v>
      </c>
      <c r="B8802" s="4" t="s">
        <v>8826</v>
      </c>
      <c r="C8802" s="3" t="s">
        <v>6</v>
      </c>
      <c r="D8802" s="5">
        <f t="shared" si="276"/>
        <v>29.49</v>
      </c>
      <c r="E8802">
        <v>32.380000000000003</v>
      </c>
      <c r="F8802" s="1789">
        <v>8.8999999999999996E-2</v>
      </c>
      <c r="G8802">
        <f t="shared" si="277"/>
        <v>29.49</v>
      </c>
    </row>
    <row r="8803" spans="1:7" ht="12.75" customHeight="1">
      <c r="A8803" s="3">
        <v>89583</v>
      </c>
      <c r="B8803" s="4" t="s">
        <v>8827</v>
      </c>
      <c r="C8803" s="3" t="s">
        <v>6</v>
      </c>
      <c r="D8803" s="5">
        <f t="shared" si="276"/>
        <v>36.619999999999997</v>
      </c>
      <c r="E8803">
        <v>40.200000000000003</v>
      </c>
      <c r="F8803" s="1789">
        <v>8.8999999999999996E-2</v>
      </c>
      <c r="G8803">
        <f t="shared" si="277"/>
        <v>36.619999999999997</v>
      </c>
    </row>
    <row r="8804" spans="1:7" ht="12.75" customHeight="1">
      <c r="A8804" s="3">
        <v>89584</v>
      </c>
      <c r="B8804" s="4" t="s">
        <v>8828</v>
      </c>
      <c r="C8804" s="3" t="s">
        <v>6</v>
      </c>
      <c r="D8804" s="5">
        <f t="shared" si="276"/>
        <v>38.25</v>
      </c>
      <c r="E8804">
        <v>41.99</v>
      </c>
      <c r="F8804" s="1789">
        <v>8.8999999999999996E-2</v>
      </c>
      <c r="G8804">
        <f t="shared" si="277"/>
        <v>38.25</v>
      </c>
    </row>
    <row r="8805" spans="1:7" ht="12.75" customHeight="1">
      <c r="A8805" s="3">
        <v>89585</v>
      </c>
      <c r="B8805" s="4" t="s">
        <v>8829</v>
      </c>
      <c r="C8805" s="3" t="s">
        <v>6</v>
      </c>
      <c r="D8805" s="5">
        <f t="shared" si="276"/>
        <v>39.11</v>
      </c>
      <c r="E8805">
        <v>42.94</v>
      </c>
      <c r="F8805" s="1789">
        <v>8.8999999999999996E-2</v>
      </c>
      <c r="G8805">
        <f t="shared" si="277"/>
        <v>39.11</v>
      </c>
    </row>
    <row r="8806" spans="1:7" ht="12.75" customHeight="1">
      <c r="A8806" s="3">
        <v>89587</v>
      </c>
      <c r="B8806" s="4" t="s">
        <v>8830</v>
      </c>
      <c r="C8806" s="3" t="s">
        <v>6</v>
      </c>
      <c r="D8806" s="5">
        <f t="shared" si="276"/>
        <v>42.84</v>
      </c>
      <c r="E8806">
        <v>47.03</v>
      </c>
      <c r="F8806" s="1789">
        <v>8.8999999999999996E-2</v>
      </c>
      <c r="G8806">
        <f t="shared" si="277"/>
        <v>42.84</v>
      </c>
    </row>
    <row r="8807" spans="1:7" ht="12.75" customHeight="1">
      <c r="A8807" s="3">
        <v>89590</v>
      </c>
      <c r="B8807" s="4" t="s">
        <v>8831</v>
      </c>
      <c r="C8807" s="3" t="s">
        <v>6</v>
      </c>
      <c r="D8807" s="5">
        <f t="shared" si="276"/>
        <v>114.32</v>
      </c>
      <c r="E8807">
        <v>125.49</v>
      </c>
      <c r="F8807" s="1789">
        <v>8.8999999999999996E-2</v>
      </c>
      <c r="G8807">
        <f t="shared" si="277"/>
        <v>114.32</v>
      </c>
    </row>
    <row r="8808" spans="1:7" ht="12.75" customHeight="1">
      <c r="A8808" s="3">
        <v>89591</v>
      </c>
      <c r="B8808" s="4" t="s">
        <v>8832</v>
      </c>
      <c r="C8808" s="3" t="s">
        <v>6</v>
      </c>
      <c r="D8808" s="5">
        <f t="shared" si="276"/>
        <v>111.67</v>
      </c>
      <c r="E8808">
        <v>122.58</v>
      </c>
      <c r="F8808" s="1789">
        <v>8.8999999999999996E-2</v>
      </c>
      <c r="G8808">
        <f t="shared" si="277"/>
        <v>111.67</v>
      </c>
    </row>
    <row r="8809" spans="1:7" ht="12.75" customHeight="1">
      <c r="A8809" s="3">
        <v>89592</v>
      </c>
      <c r="B8809" s="4" t="s">
        <v>8833</v>
      </c>
      <c r="C8809" s="3" t="s">
        <v>6</v>
      </c>
      <c r="D8809" s="5">
        <f t="shared" si="276"/>
        <v>135.01</v>
      </c>
      <c r="E8809">
        <v>148.21</v>
      </c>
      <c r="F8809" s="1789">
        <v>8.8999999999999996E-2</v>
      </c>
      <c r="G8809">
        <f t="shared" si="277"/>
        <v>135.01</v>
      </c>
    </row>
    <row r="8810" spans="1:7" ht="12.75" customHeight="1">
      <c r="A8810" s="3">
        <v>89593</v>
      </c>
      <c r="B8810" s="4" t="s">
        <v>8834</v>
      </c>
      <c r="C8810" s="3" t="s">
        <v>6</v>
      </c>
      <c r="D8810" s="5">
        <f t="shared" si="276"/>
        <v>19.64</v>
      </c>
      <c r="E8810">
        <v>21.56</v>
      </c>
      <c r="F8810" s="1789">
        <v>8.8999999999999996E-2</v>
      </c>
      <c r="G8810">
        <f t="shared" si="277"/>
        <v>19.64</v>
      </c>
    </row>
    <row r="8811" spans="1:7" ht="12.75" customHeight="1">
      <c r="A8811" s="3">
        <v>89594</v>
      </c>
      <c r="B8811" s="4" t="s">
        <v>8835</v>
      </c>
      <c r="C8811" s="3" t="s">
        <v>6</v>
      </c>
      <c r="D8811" s="5">
        <f t="shared" si="276"/>
        <v>28.14</v>
      </c>
      <c r="E8811">
        <v>30.9</v>
      </c>
      <c r="F8811" s="1789">
        <v>8.8999999999999996E-2</v>
      </c>
      <c r="G8811">
        <f t="shared" si="277"/>
        <v>28.14</v>
      </c>
    </row>
    <row r="8812" spans="1:7" ht="12.75" customHeight="1">
      <c r="A8812" s="3">
        <v>89595</v>
      </c>
      <c r="B8812" s="4" t="s">
        <v>8836</v>
      </c>
      <c r="C8812" s="3" t="s">
        <v>6</v>
      </c>
      <c r="D8812" s="5">
        <f t="shared" si="276"/>
        <v>11.83</v>
      </c>
      <c r="E8812">
        <v>12.99</v>
      </c>
      <c r="F8812" s="1789">
        <v>8.8999999999999996E-2</v>
      </c>
      <c r="G8812">
        <f t="shared" si="277"/>
        <v>11.83</v>
      </c>
    </row>
    <row r="8813" spans="1:7" ht="12.75" customHeight="1">
      <c r="A8813" s="3">
        <v>89596</v>
      </c>
      <c r="B8813" s="4" t="s">
        <v>8837</v>
      </c>
      <c r="C8813" s="3" t="s">
        <v>6</v>
      </c>
      <c r="D8813" s="5">
        <f t="shared" si="276"/>
        <v>8.82</v>
      </c>
      <c r="E8813">
        <v>9.69</v>
      </c>
      <c r="F8813" s="1789">
        <v>8.8999999999999996E-2</v>
      </c>
      <c r="G8813">
        <f t="shared" si="277"/>
        <v>8.82</v>
      </c>
    </row>
    <row r="8814" spans="1:7" ht="12.75" customHeight="1">
      <c r="A8814" s="3">
        <v>89597</v>
      </c>
      <c r="B8814" s="4" t="s">
        <v>8838</v>
      </c>
      <c r="C8814" s="3" t="s">
        <v>6</v>
      </c>
      <c r="D8814" s="5">
        <f t="shared" si="276"/>
        <v>18.600000000000001</v>
      </c>
      <c r="E8814">
        <v>20.420000000000002</v>
      </c>
      <c r="F8814" s="1789">
        <v>8.8999999999999996E-2</v>
      </c>
      <c r="G8814">
        <f t="shared" si="277"/>
        <v>18.600000000000001</v>
      </c>
    </row>
    <row r="8815" spans="1:7" ht="12.75" customHeight="1">
      <c r="A8815" s="3">
        <v>89598</v>
      </c>
      <c r="B8815" s="4" t="s">
        <v>8839</v>
      </c>
      <c r="C8815" s="3" t="s">
        <v>6</v>
      </c>
      <c r="D8815" s="5">
        <f t="shared" si="276"/>
        <v>38.880000000000003</v>
      </c>
      <c r="E8815">
        <v>42.68</v>
      </c>
      <c r="F8815" s="1789">
        <v>8.8999999999999996E-2</v>
      </c>
      <c r="G8815">
        <f t="shared" si="277"/>
        <v>38.880000000000003</v>
      </c>
    </row>
    <row r="8816" spans="1:7" ht="12.75" customHeight="1">
      <c r="A8816" s="3">
        <v>89599</v>
      </c>
      <c r="B8816" s="4" t="s">
        <v>8840</v>
      </c>
      <c r="C8816" s="3" t="s">
        <v>6</v>
      </c>
      <c r="D8816" s="5">
        <f t="shared" si="276"/>
        <v>21.95</v>
      </c>
      <c r="E8816">
        <v>24.1</v>
      </c>
      <c r="F8816" s="1789">
        <v>8.8999999999999996E-2</v>
      </c>
      <c r="G8816">
        <f t="shared" si="277"/>
        <v>21.95</v>
      </c>
    </row>
    <row r="8817" spans="1:7" ht="12.75" customHeight="1">
      <c r="A8817" s="3">
        <v>89600</v>
      </c>
      <c r="B8817" s="4" t="s">
        <v>8841</v>
      </c>
      <c r="C8817" s="3" t="s">
        <v>6</v>
      </c>
      <c r="D8817" s="5">
        <f t="shared" si="276"/>
        <v>22.37</v>
      </c>
      <c r="E8817">
        <v>24.56</v>
      </c>
      <c r="F8817" s="1789">
        <v>8.8999999999999996E-2</v>
      </c>
      <c r="G8817">
        <f t="shared" si="277"/>
        <v>22.37</v>
      </c>
    </row>
    <row r="8818" spans="1:7" ht="12.75" customHeight="1">
      <c r="A8818" s="3">
        <v>89605</v>
      </c>
      <c r="B8818" s="4" t="s">
        <v>8842</v>
      </c>
      <c r="C8818" s="3" t="s">
        <v>6</v>
      </c>
      <c r="D8818" s="5">
        <f t="shared" si="276"/>
        <v>16.89</v>
      </c>
      <c r="E8818">
        <v>18.55</v>
      </c>
      <c r="F8818" s="1789">
        <v>8.8999999999999996E-2</v>
      </c>
      <c r="G8818">
        <f t="shared" si="277"/>
        <v>16.89</v>
      </c>
    </row>
    <row r="8819" spans="1:7" ht="12.75" customHeight="1">
      <c r="A8819" s="3">
        <v>89609</v>
      </c>
      <c r="B8819" s="4" t="s">
        <v>8843</v>
      </c>
      <c r="C8819" s="3" t="s">
        <v>6</v>
      </c>
      <c r="D8819" s="5">
        <f t="shared" si="276"/>
        <v>64.44</v>
      </c>
      <c r="E8819">
        <v>70.739999999999995</v>
      </c>
      <c r="F8819" s="1789">
        <v>8.8999999999999996E-2</v>
      </c>
      <c r="G8819">
        <f t="shared" si="277"/>
        <v>64.44</v>
      </c>
    </row>
    <row r="8820" spans="1:7" ht="12.75" customHeight="1">
      <c r="A8820" s="3">
        <v>89610</v>
      </c>
      <c r="B8820" s="4" t="s">
        <v>8844</v>
      </c>
      <c r="C8820" s="3" t="s">
        <v>6</v>
      </c>
      <c r="D8820" s="5">
        <f t="shared" si="276"/>
        <v>16.07</v>
      </c>
      <c r="E8820">
        <v>17.64</v>
      </c>
      <c r="F8820" s="1789">
        <v>8.8999999999999996E-2</v>
      </c>
      <c r="G8820">
        <f t="shared" si="277"/>
        <v>16.07</v>
      </c>
    </row>
    <row r="8821" spans="1:7" ht="12.75" customHeight="1">
      <c r="A8821" s="3">
        <v>89611</v>
      </c>
      <c r="B8821" s="4" t="s">
        <v>8845</v>
      </c>
      <c r="C8821" s="3" t="s">
        <v>6</v>
      </c>
      <c r="D8821" s="5">
        <f t="shared" si="276"/>
        <v>26.3</v>
      </c>
      <c r="E8821">
        <v>28.88</v>
      </c>
      <c r="F8821" s="1789">
        <v>8.8999999999999996E-2</v>
      </c>
      <c r="G8821">
        <f t="shared" si="277"/>
        <v>26.3</v>
      </c>
    </row>
    <row r="8822" spans="1:7" ht="12.75" customHeight="1">
      <c r="A8822" s="3">
        <v>89612</v>
      </c>
      <c r="B8822" s="4" t="s">
        <v>8846</v>
      </c>
      <c r="C8822" s="3" t="s">
        <v>6</v>
      </c>
      <c r="D8822" s="5">
        <f t="shared" si="276"/>
        <v>125.68</v>
      </c>
      <c r="E8822">
        <v>137.96</v>
      </c>
      <c r="F8822" s="1789">
        <v>8.8999999999999996E-2</v>
      </c>
      <c r="G8822">
        <f t="shared" si="277"/>
        <v>125.68</v>
      </c>
    </row>
    <row r="8823" spans="1:7" ht="12.75" customHeight="1">
      <c r="A8823" s="3">
        <v>89613</v>
      </c>
      <c r="B8823" s="4" t="s">
        <v>8847</v>
      </c>
      <c r="C8823" s="3" t="s">
        <v>6</v>
      </c>
      <c r="D8823" s="5">
        <f t="shared" si="276"/>
        <v>24.78</v>
      </c>
      <c r="E8823">
        <v>27.21</v>
      </c>
      <c r="F8823" s="1789">
        <v>8.8999999999999996E-2</v>
      </c>
      <c r="G8823">
        <f t="shared" si="277"/>
        <v>24.78</v>
      </c>
    </row>
    <row r="8824" spans="1:7" ht="12.75" customHeight="1">
      <c r="A8824" s="3">
        <v>89614</v>
      </c>
      <c r="B8824" s="4" t="s">
        <v>8848</v>
      </c>
      <c r="C8824" s="3" t="s">
        <v>6</v>
      </c>
      <c r="D8824" s="5">
        <f t="shared" si="276"/>
        <v>47.47</v>
      </c>
      <c r="E8824">
        <v>52.11</v>
      </c>
      <c r="F8824" s="1789">
        <v>8.8999999999999996E-2</v>
      </c>
      <c r="G8824">
        <f t="shared" si="277"/>
        <v>47.47</v>
      </c>
    </row>
    <row r="8825" spans="1:7" ht="12.75" customHeight="1">
      <c r="A8825" s="3">
        <v>89615</v>
      </c>
      <c r="B8825" s="4" t="s">
        <v>8849</v>
      </c>
      <c r="C8825" s="3" t="s">
        <v>6</v>
      </c>
      <c r="D8825" s="5">
        <f t="shared" si="276"/>
        <v>148.51</v>
      </c>
      <c r="E8825">
        <v>163.02000000000001</v>
      </c>
      <c r="F8825" s="1789">
        <v>8.8999999999999996E-2</v>
      </c>
      <c r="G8825">
        <f t="shared" si="277"/>
        <v>148.51</v>
      </c>
    </row>
    <row r="8826" spans="1:7" ht="12.75" customHeight="1">
      <c r="A8826" s="3">
        <v>89616</v>
      </c>
      <c r="B8826" s="4" t="s">
        <v>8850</v>
      </c>
      <c r="C8826" s="3" t="s">
        <v>6</v>
      </c>
      <c r="D8826" s="5">
        <f t="shared" si="276"/>
        <v>33.06</v>
      </c>
      <c r="E8826">
        <v>36.29</v>
      </c>
      <c r="F8826" s="1789">
        <v>8.8999999999999996E-2</v>
      </c>
      <c r="G8826">
        <f t="shared" si="277"/>
        <v>33.06</v>
      </c>
    </row>
    <row r="8827" spans="1:7" ht="12.75" customHeight="1">
      <c r="A8827" s="3">
        <v>89617</v>
      </c>
      <c r="B8827" s="4" t="s">
        <v>8851</v>
      </c>
      <c r="C8827" s="3" t="s">
        <v>6</v>
      </c>
      <c r="D8827" s="5">
        <f t="shared" si="276"/>
        <v>6.63</v>
      </c>
      <c r="E8827">
        <v>7.28</v>
      </c>
      <c r="F8827" s="1789">
        <v>8.8999999999999996E-2</v>
      </c>
      <c r="G8827">
        <f t="shared" si="277"/>
        <v>6.63</v>
      </c>
    </row>
    <row r="8828" spans="1:7" ht="12.75" customHeight="1">
      <c r="A8828" s="3">
        <v>89620</v>
      </c>
      <c r="B8828" s="4" t="s">
        <v>8852</v>
      </c>
      <c r="C8828" s="3" t="s">
        <v>6</v>
      </c>
      <c r="D8828" s="5">
        <f t="shared" si="276"/>
        <v>10.15</v>
      </c>
      <c r="E8828">
        <v>11.15</v>
      </c>
      <c r="F8828" s="1789">
        <v>8.8999999999999996E-2</v>
      </c>
      <c r="G8828">
        <f t="shared" si="277"/>
        <v>10.15</v>
      </c>
    </row>
    <row r="8829" spans="1:7" ht="12.75" customHeight="1">
      <c r="A8829" s="3">
        <v>89622</v>
      </c>
      <c r="B8829" s="4" t="s">
        <v>8853</v>
      </c>
      <c r="C8829" s="3" t="s">
        <v>6</v>
      </c>
      <c r="D8829" s="5">
        <f t="shared" si="276"/>
        <v>11.69</v>
      </c>
      <c r="E8829">
        <v>12.84</v>
      </c>
      <c r="F8829" s="1789">
        <v>8.8999999999999996E-2</v>
      </c>
      <c r="G8829">
        <f t="shared" si="277"/>
        <v>11.69</v>
      </c>
    </row>
    <row r="8830" spans="1:7" ht="12.75" customHeight="1">
      <c r="A8830" s="3">
        <v>89623</v>
      </c>
      <c r="B8830" s="4" t="s">
        <v>8854</v>
      </c>
      <c r="C8830" s="3" t="s">
        <v>6</v>
      </c>
      <c r="D8830" s="5">
        <f t="shared" si="276"/>
        <v>16.079999999999998</v>
      </c>
      <c r="E8830">
        <v>17.66</v>
      </c>
      <c r="F8830" s="1789">
        <v>8.8999999999999996E-2</v>
      </c>
      <c r="G8830">
        <f t="shared" si="277"/>
        <v>16.079999999999998</v>
      </c>
    </row>
    <row r="8831" spans="1:7" ht="12.75" customHeight="1">
      <c r="A8831" s="3">
        <v>89624</v>
      </c>
      <c r="B8831" s="4" t="s">
        <v>8855</v>
      </c>
      <c r="C8831" s="3" t="s">
        <v>6</v>
      </c>
      <c r="D8831" s="5">
        <f t="shared" si="276"/>
        <v>14.84</v>
      </c>
      <c r="E8831">
        <v>16.29</v>
      </c>
      <c r="F8831" s="1789">
        <v>8.8999999999999996E-2</v>
      </c>
      <c r="G8831">
        <f t="shared" si="277"/>
        <v>14.84</v>
      </c>
    </row>
    <row r="8832" spans="1:7" ht="12.75" customHeight="1">
      <c r="A8832" s="3">
        <v>89625</v>
      </c>
      <c r="B8832" s="4" t="s">
        <v>8856</v>
      </c>
      <c r="C8832" s="3" t="s">
        <v>6</v>
      </c>
      <c r="D8832" s="5">
        <f t="shared" si="276"/>
        <v>19.12</v>
      </c>
      <c r="E8832">
        <v>20.99</v>
      </c>
      <c r="F8832" s="1789">
        <v>8.8999999999999996E-2</v>
      </c>
      <c r="G8832">
        <f t="shared" si="277"/>
        <v>19.12</v>
      </c>
    </row>
    <row r="8833" spans="1:7" ht="12.75" customHeight="1">
      <c r="A8833" s="3">
        <v>89626</v>
      </c>
      <c r="B8833" s="4" t="s">
        <v>8857</v>
      </c>
      <c r="C8833" s="3" t="s">
        <v>6</v>
      </c>
      <c r="D8833" s="5">
        <f t="shared" si="276"/>
        <v>24.39</v>
      </c>
      <c r="E8833">
        <v>26.78</v>
      </c>
      <c r="F8833" s="1789">
        <v>8.8999999999999996E-2</v>
      </c>
      <c r="G8833">
        <f t="shared" si="277"/>
        <v>24.39</v>
      </c>
    </row>
    <row r="8834" spans="1:7" ht="12.75" customHeight="1">
      <c r="A8834" s="3">
        <v>89627</v>
      </c>
      <c r="B8834" s="4" t="s">
        <v>8858</v>
      </c>
      <c r="C8834" s="3" t="s">
        <v>6</v>
      </c>
      <c r="D8834" s="5">
        <f t="shared" si="276"/>
        <v>16.600000000000001</v>
      </c>
      <c r="E8834">
        <v>18.23</v>
      </c>
      <c r="F8834" s="1789">
        <v>8.8999999999999996E-2</v>
      </c>
      <c r="G8834">
        <f t="shared" si="277"/>
        <v>16.600000000000001</v>
      </c>
    </row>
    <row r="8835" spans="1:7" ht="12.75" customHeight="1">
      <c r="A8835" s="3">
        <v>89628</v>
      </c>
      <c r="B8835" s="4" t="s">
        <v>8859</v>
      </c>
      <c r="C8835" s="3" t="s">
        <v>6</v>
      </c>
      <c r="D8835" s="5">
        <f t="shared" si="276"/>
        <v>38.58</v>
      </c>
      <c r="E8835">
        <v>42.35</v>
      </c>
      <c r="F8835" s="1789">
        <v>8.8999999999999996E-2</v>
      </c>
      <c r="G8835">
        <f t="shared" si="277"/>
        <v>38.58</v>
      </c>
    </row>
    <row r="8836" spans="1:7" ht="12.75" customHeight="1">
      <c r="A8836" s="3">
        <v>89629</v>
      </c>
      <c r="B8836" s="4" t="s">
        <v>8860</v>
      </c>
      <c r="C8836" s="3" t="s">
        <v>6</v>
      </c>
      <c r="D8836" s="5">
        <f t="shared" si="276"/>
        <v>64.13</v>
      </c>
      <c r="E8836">
        <v>70.400000000000006</v>
      </c>
      <c r="F8836" s="1789">
        <v>8.8999999999999996E-2</v>
      </c>
      <c r="G8836">
        <f t="shared" si="277"/>
        <v>64.13</v>
      </c>
    </row>
    <row r="8837" spans="1:7" ht="12.75" customHeight="1">
      <c r="A8837" s="3">
        <v>89630</v>
      </c>
      <c r="B8837" s="4" t="s">
        <v>8861</v>
      </c>
      <c r="C8837" s="3" t="s">
        <v>6</v>
      </c>
      <c r="D8837" s="5">
        <f t="shared" si="276"/>
        <v>48.72</v>
      </c>
      <c r="E8837">
        <v>53.49</v>
      </c>
      <c r="F8837" s="1789">
        <v>8.8999999999999996E-2</v>
      </c>
      <c r="G8837">
        <f t="shared" si="277"/>
        <v>48.72</v>
      </c>
    </row>
    <row r="8838" spans="1:7" ht="12.75" customHeight="1">
      <c r="A8838" s="3">
        <v>89631</v>
      </c>
      <c r="B8838" s="4" t="s">
        <v>8862</v>
      </c>
      <c r="C8838" s="3" t="s">
        <v>6</v>
      </c>
      <c r="D8838" s="5">
        <f t="shared" si="276"/>
        <v>83.8</v>
      </c>
      <c r="E8838">
        <v>91.99</v>
      </c>
      <c r="F8838" s="1789">
        <v>8.8999999999999996E-2</v>
      </c>
      <c r="G8838">
        <f t="shared" si="277"/>
        <v>83.8</v>
      </c>
    </row>
    <row r="8839" spans="1:7" ht="12.75" customHeight="1">
      <c r="A8839" s="3">
        <v>89632</v>
      </c>
      <c r="B8839" s="4" t="s">
        <v>8863</v>
      </c>
      <c r="C8839" s="3" t="s">
        <v>6</v>
      </c>
      <c r="D8839" s="5">
        <f t="shared" si="276"/>
        <v>95.57</v>
      </c>
      <c r="E8839">
        <v>104.91</v>
      </c>
      <c r="F8839" s="1789">
        <v>8.8999999999999996E-2</v>
      </c>
      <c r="G8839">
        <f t="shared" si="277"/>
        <v>95.57</v>
      </c>
    </row>
    <row r="8840" spans="1:7" ht="12.75" customHeight="1">
      <c r="A8840" s="3">
        <v>89637</v>
      </c>
      <c r="B8840" s="4" t="s">
        <v>8864</v>
      </c>
      <c r="C8840" s="3" t="s">
        <v>6</v>
      </c>
      <c r="D8840" s="5">
        <f t="shared" si="276"/>
        <v>9.68</v>
      </c>
      <c r="E8840">
        <v>10.63</v>
      </c>
      <c r="F8840" s="1789">
        <v>8.8999999999999996E-2</v>
      </c>
      <c r="G8840">
        <f t="shared" si="277"/>
        <v>9.68</v>
      </c>
    </row>
    <row r="8841" spans="1:7" ht="12.75" customHeight="1">
      <c r="A8841" s="3">
        <v>89638</v>
      </c>
      <c r="B8841" s="4" t="s">
        <v>8865</v>
      </c>
      <c r="C8841" s="3" t="s">
        <v>6</v>
      </c>
      <c r="D8841" s="5">
        <f t="shared" si="276"/>
        <v>10.49</v>
      </c>
      <c r="E8841">
        <v>11.52</v>
      </c>
      <c r="F8841" s="1789">
        <v>8.8999999999999996E-2</v>
      </c>
      <c r="G8841">
        <f t="shared" si="277"/>
        <v>10.49</v>
      </c>
    </row>
    <row r="8842" spans="1:7" ht="12.75" customHeight="1">
      <c r="A8842" s="3">
        <v>89639</v>
      </c>
      <c r="B8842" s="4" t="s">
        <v>8866</v>
      </c>
      <c r="C8842" s="3" t="s">
        <v>6</v>
      </c>
      <c r="D8842" s="5">
        <f t="shared" si="276"/>
        <v>11.05</v>
      </c>
      <c r="E8842">
        <v>12.14</v>
      </c>
      <c r="F8842" s="1789">
        <v>8.8999999999999996E-2</v>
      </c>
      <c r="G8842">
        <f t="shared" si="277"/>
        <v>11.05</v>
      </c>
    </row>
    <row r="8843" spans="1:7" ht="12.75" customHeight="1">
      <c r="A8843" s="3">
        <v>89640</v>
      </c>
      <c r="B8843" s="4" t="s">
        <v>8867</v>
      </c>
      <c r="C8843" s="3" t="s">
        <v>6</v>
      </c>
      <c r="D8843" s="5">
        <f t="shared" si="276"/>
        <v>17.170000000000002</v>
      </c>
      <c r="E8843">
        <v>18.850000000000001</v>
      </c>
      <c r="F8843" s="1789">
        <v>8.8999999999999996E-2</v>
      </c>
      <c r="G8843">
        <f t="shared" si="277"/>
        <v>17.170000000000002</v>
      </c>
    </row>
    <row r="8844" spans="1:7" ht="12.75" customHeight="1">
      <c r="A8844" s="3">
        <v>89641</v>
      </c>
      <c r="B8844" s="4" t="s">
        <v>8868</v>
      </c>
      <c r="C8844" s="3" t="s">
        <v>6</v>
      </c>
      <c r="D8844" s="5">
        <f t="shared" si="276"/>
        <v>12.59</v>
      </c>
      <c r="E8844">
        <v>13.82</v>
      </c>
      <c r="F8844" s="1789">
        <v>8.8999999999999996E-2</v>
      </c>
      <c r="G8844">
        <f t="shared" si="277"/>
        <v>12.59</v>
      </c>
    </row>
    <row r="8845" spans="1:7" ht="12.75" customHeight="1">
      <c r="A8845" s="3">
        <v>89642</v>
      </c>
      <c r="B8845" s="4" t="s">
        <v>8869</v>
      </c>
      <c r="C8845" s="3" t="s">
        <v>6</v>
      </c>
      <c r="D8845" s="5">
        <f t="shared" si="276"/>
        <v>14.01</v>
      </c>
      <c r="E8845">
        <v>15.38</v>
      </c>
      <c r="F8845" s="1789">
        <v>8.8999999999999996E-2</v>
      </c>
      <c r="G8845">
        <f t="shared" si="277"/>
        <v>14.01</v>
      </c>
    </row>
    <row r="8846" spans="1:7" ht="12.75" customHeight="1">
      <c r="A8846" s="3">
        <v>89643</v>
      </c>
      <c r="B8846" s="4" t="s">
        <v>8870</v>
      </c>
      <c r="C8846" s="3" t="s">
        <v>6</v>
      </c>
      <c r="D8846" s="5">
        <f t="shared" si="276"/>
        <v>15.13</v>
      </c>
      <c r="E8846">
        <v>16.61</v>
      </c>
      <c r="F8846" s="1789">
        <v>8.8999999999999996E-2</v>
      </c>
      <c r="G8846">
        <f t="shared" si="277"/>
        <v>15.13</v>
      </c>
    </row>
    <row r="8847" spans="1:7" ht="12.75" customHeight="1">
      <c r="A8847" s="3">
        <v>89644</v>
      </c>
      <c r="B8847" s="4" t="s">
        <v>8871</v>
      </c>
      <c r="C8847" s="3" t="s">
        <v>6</v>
      </c>
      <c r="D8847" s="5">
        <f t="shared" si="276"/>
        <v>20.98</v>
      </c>
      <c r="E8847">
        <v>23.03</v>
      </c>
      <c r="F8847" s="1789">
        <v>8.8999999999999996E-2</v>
      </c>
      <c r="G8847">
        <f t="shared" si="277"/>
        <v>20.98</v>
      </c>
    </row>
    <row r="8848" spans="1:7" ht="12.75" customHeight="1">
      <c r="A8848" s="3">
        <v>89645</v>
      </c>
      <c r="B8848" s="4" t="s">
        <v>8872</v>
      </c>
      <c r="C8848" s="3" t="s">
        <v>6</v>
      </c>
      <c r="D8848" s="5">
        <f t="shared" si="276"/>
        <v>29.21</v>
      </c>
      <c r="E8848">
        <v>32.07</v>
      </c>
      <c r="F8848" s="1789">
        <v>8.8999999999999996E-2</v>
      </c>
      <c r="G8848">
        <f t="shared" si="277"/>
        <v>29.21</v>
      </c>
    </row>
    <row r="8849" spans="1:7" ht="12.75" customHeight="1">
      <c r="A8849" s="3">
        <v>89646</v>
      </c>
      <c r="B8849" s="4" t="s">
        <v>8873</v>
      </c>
      <c r="C8849" s="3" t="s">
        <v>6</v>
      </c>
      <c r="D8849" s="5">
        <f t="shared" si="276"/>
        <v>18.93</v>
      </c>
      <c r="E8849">
        <v>20.79</v>
      </c>
      <c r="F8849" s="1789">
        <v>8.8999999999999996E-2</v>
      </c>
      <c r="G8849">
        <f t="shared" si="277"/>
        <v>18.93</v>
      </c>
    </row>
    <row r="8850" spans="1:7" ht="12.75" customHeight="1">
      <c r="A8850" s="3">
        <v>89647</v>
      </c>
      <c r="B8850" s="4" t="s">
        <v>8874</v>
      </c>
      <c r="C8850" s="3" t="s">
        <v>6</v>
      </c>
      <c r="D8850" s="5">
        <f t="shared" si="276"/>
        <v>18.350000000000001</v>
      </c>
      <c r="E8850">
        <v>20.149999999999999</v>
      </c>
      <c r="F8850" s="1789">
        <v>8.8999999999999996E-2</v>
      </c>
      <c r="G8850">
        <f t="shared" si="277"/>
        <v>18.350000000000001</v>
      </c>
    </row>
    <row r="8851" spans="1:7" ht="12.75" customHeight="1">
      <c r="A8851" s="3">
        <v>89648</v>
      </c>
      <c r="B8851" s="4" t="s">
        <v>8875</v>
      </c>
      <c r="C8851" s="3" t="s">
        <v>6</v>
      </c>
      <c r="D8851" s="5">
        <f t="shared" si="276"/>
        <v>22.75</v>
      </c>
      <c r="E8851">
        <v>24.98</v>
      </c>
      <c r="F8851" s="1789">
        <v>8.8999999999999996E-2</v>
      </c>
      <c r="G8851">
        <f t="shared" si="277"/>
        <v>22.75</v>
      </c>
    </row>
    <row r="8852" spans="1:7" ht="12.75" customHeight="1">
      <c r="A8852" s="3">
        <v>89649</v>
      </c>
      <c r="B8852" s="4" t="s">
        <v>8876</v>
      </c>
      <c r="C8852" s="3" t="s">
        <v>6</v>
      </c>
      <c r="D8852" s="5">
        <f t="shared" si="276"/>
        <v>27.7</v>
      </c>
      <c r="E8852">
        <v>30.41</v>
      </c>
      <c r="F8852" s="1789">
        <v>8.8999999999999996E-2</v>
      </c>
      <c r="G8852">
        <f t="shared" si="277"/>
        <v>27.7</v>
      </c>
    </row>
    <row r="8853" spans="1:7" ht="12.75" customHeight="1">
      <c r="A8853" s="3">
        <v>89650</v>
      </c>
      <c r="B8853" s="4" t="s">
        <v>8877</v>
      </c>
      <c r="C8853" s="3" t="s">
        <v>6</v>
      </c>
      <c r="D8853" s="5">
        <f t="shared" ref="D8853:D8916" si="278">G8853</f>
        <v>26.25</v>
      </c>
      <c r="E8853">
        <v>28.82</v>
      </c>
      <c r="F8853" s="1789">
        <v>8.8999999999999996E-2</v>
      </c>
      <c r="G8853">
        <f t="shared" ref="G8853:G8916" si="279">TRUNC((1-F8853)*E8853,2)</f>
        <v>26.25</v>
      </c>
    </row>
    <row r="8854" spans="1:7" ht="12.75" customHeight="1">
      <c r="A8854" s="3">
        <v>89651</v>
      </c>
      <c r="B8854" s="4" t="s">
        <v>8878</v>
      </c>
      <c r="C8854" s="3" t="s">
        <v>6</v>
      </c>
      <c r="D8854" s="5">
        <f t="shared" si="278"/>
        <v>6.65</v>
      </c>
      <c r="E8854">
        <v>7.3</v>
      </c>
      <c r="F8854" s="1789">
        <v>8.8999999999999996E-2</v>
      </c>
      <c r="G8854">
        <f t="shared" si="279"/>
        <v>6.65</v>
      </c>
    </row>
    <row r="8855" spans="1:7" ht="12.75" customHeight="1">
      <c r="A8855" s="3">
        <v>89652</v>
      </c>
      <c r="B8855" s="4" t="s">
        <v>8879</v>
      </c>
      <c r="C8855" s="3" t="s">
        <v>6</v>
      </c>
      <c r="D8855" s="5">
        <f t="shared" si="278"/>
        <v>11.14</v>
      </c>
      <c r="E8855">
        <v>12.23</v>
      </c>
      <c r="F8855" s="1789">
        <v>8.8999999999999996E-2</v>
      </c>
      <c r="G8855">
        <f t="shared" si="279"/>
        <v>11.14</v>
      </c>
    </row>
    <row r="8856" spans="1:7" ht="12.75" customHeight="1">
      <c r="A8856" s="3">
        <v>89653</v>
      </c>
      <c r="B8856" s="4" t="s">
        <v>8880</v>
      </c>
      <c r="C8856" s="3" t="s">
        <v>6</v>
      </c>
      <c r="D8856" s="5">
        <f t="shared" si="278"/>
        <v>15.69</v>
      </c>
      <c r="E8856">
        <v>17.23</v>
      </c>
      <c r="F8856" s="1789">
        <v>8.8999999999999996E-2</v>
      </c>
      <c r="G8856">
        <f t="shared" si="279"/>
        <v>15.69</v>
      </c>
    </row>
    <row r="8857" spans="1:7" ht="12.75" customHeight="1">
      <c r="A8857" s="3">
        <v>89654</v>
      </c>
      <c r="B8857" s="4" t="s">
        <v>8881</v>
      </c>
      <c r="C8857" s="3" t="s">
        <v>6</v>
      </c>
      <c r="D8857" s="5">
        <f t="shared" si="278"/>
        <v>18.12</v>
      </c>
      <c r="E8857">
        <v>19.899999999999999</v>
      </c>
      <c r="F8857" s="1789">
        <v>8.8999999999999996E-2</v>
      </c>
      <c r="G8857">
        <f t="shared" si="279"/>
        <v>18.12</v>
      </c>
    </row>
    <row r="8858" spans="1:7" ht="12.75" customHeight="1">
      <c r="A8858" s="3">
        <v>89655</v>
      </c>
      <c r="B8858" s="4" t="s">
        <v>8882</v>
      </c>
      <c r="C8858" s="3" t="s">
        <v>6</v>
      </c>
      <c r="D8858" s="5">
        <f t="shared" si="278"/>
        <v>21.54</v>
      </c>
      <c r="E8858">
        <v>23.65</v>
      </c>
      <c r="F8858" s="1789">
        <v>8.8999999999999996E-2</v>
      </c>
      <c r="G8858">
        <f t="shared" si="279"/>
        <v>21.54</v>
      </c>
    </row>
    <row r="8859" spans="1:7" ht="12.75" customHeight="1">
      <c r="A8859" s="3">
        <v>89656</v>
      </c>
      <c r="B8859" s="4" t="s">
        <v>8883</v>
      </c>
      <c r="C8859" s="3" t="s">
        <v>6</v>
      </c>
      <c r="D8859" s="5">
        <f t="shared" si="278"/>
        <v>20.09</v>
      </c>
      <c r="E8859">
        <v>22.06</v>
      </c>
      <c r="F8859" s="1789">
        <v>8.8999999999999996E-2</v>
      </c>
      <c r="G8859">
        <f t="shared" si="279"/>
        <v>20.09</v>
      </c>
    </row>
    <row r="8860" spans="1:7" ht="12.75" customHeight="1">
      <c r="A8860" s="3">
        <v>89657</v>
      </c>
      <c r="B8860" s="4" t="s">
        <v>8884</v>
      </c>
      <c r="C8860" s="3" t="s">
        <v>6</v>
      </c>
      <c r="D8860" s="5">
        <f t="shared" si="278"/>
        <v>12.58</v>
      </c>
      <c r="E8860">
        <v>13.81</v>
      </c>
      <c r="F8860" s="1789">
        <v>8.8999999999999996E-2</v>
      </c>
      <c r="G8860">
        <f t="shared" si="279"/>
        <v>12.58</v>
      </c>
    </row>
    <row r="8861" spans="1:7" ht="12.75" customHeight="1">
      <c r="A8861" s="3">
        <v>89658</v>
      </c>
      <c r="B8861" s="4" t="s">
        <v>8885</v>
      </c>
      <c r="C8861" s="3" t="s">
        <v>6</v>
      </c>
      <c r="D8861" s="5">
        <f t="shared" si="278"/>
        <v>8.91</v>
      </c>
      <c r="E8861">
        <v>9.7899999999999991</v>
      </c>
      <c r="F8861" s="1789">
        <v>8.8999999999999996E-2</v>
      </c>
      <c r="G8861">
        <f t="shared" si="279"/>
        <v>8.91</v>
      </c>
    </row>
    <row r="8862" spans="1:7" ht="12.75" customHeight="1">
      <c r="A8862" s="3">
        <v>89659</v>
      </c>
      <c r="B8862" s="4" t="s">
        <v>8886</v>
      </c>
      <c r="C8862" s="3" t="s">
        <v>6</v>
      </c>
      <c r="D8862" s="5">
        <f t="shared" si="278"/>
        <v>15.69</v>
      </c>
      <c r="E8862">
        <v>17.23</v>
      </c>
      <c r="F8862" s="1789">
        <v>8.8999999999999996E-2</v>
      </c>
      <c r="G8862">
        <f t="shared" si="279"/>
        <v>15.69</v>
      </c>
    </row>
    <row r="8863" spans="1:7" ht="12.75" customHeight="1">
      <c r="A8863" s="3">
        <v>89660</v>
      </c>
      <c r="B8863" s="4" t="s">
        <v>8887</v>
      </c>
      <c r="C8863" s="3" t="s">
        <v>6</v>
      </c>
      <c r="D8863" s="5">
        <f t="shared" si="278"/>
        <v>9.07</v>
      </c>
      <c r="E8863">
        <v>9.9600000000000009</v>
      </c>
      <c r="F8863" s="1789">
        <v>8.8999999999999996E-2</v>
      </c>
      <c r="G8863">
        <f t="shared" si="279"/>
        <v>9.07</v>
      </c>
    </row>
    <row r="8864" spans="1:7" ht="12.75" customHeight="1">
      <c r="A8864" s="3">
        <v>89661</v>
      </c>
      <c r="B8864" s="4" t="s">
        <v>8888</v>
      </c>
      <c r="C8864" s="3" t="s">
        <v>6</v>
      </c>
      <c r="D8864" s="5">
        <f t="shared" si="278"/>
        <v>21.26</v>
      </c>
      <c r="E8864">
        <v>23.34</v>
      </c>
      <c r="F8864" s="1789">
        <v>8.8999999999999996E-2</v>
      </c>
      <c r="G8864">
        <f t="shared" si="279"/>
        <v>21.26</v>
      </c>
    </row>
    <row r="8865" spans="1:7" ht="12.75" customHeight="1">
      <c r="A8865" s="3">
        <v>89662</v>
      </c>
      <c r="B8865" s="4" t="s">
        <v>8889</v>
      </c>
      <c r="C8865" s="3" t="s">
        <v>6</v>
      </c>
      <c r="D8865" s="5">
        <f t="shared" si="278"/>
        <v>27.87</v>
      </c>
      <c r="E8865">
        <v>30.6</v>
      </c>
      <c r="F8865" s="1789">
        <v>8.8999999999999996E-2</v>
      </c>
      <c r="G8865">
        <f t="shared" si="279"/>
        <v>27.87</v>
      </c>
    </row>
    <row r="8866" spans="1:7" ht="12.75" customHeight="1">
      <c r="A8866" s="3">
        <v>89663</v>
      </c>
      <c r="B8866" s="4" t="s">
        <v>8890</v>
      </c>
      <c r="C8866" s="3" t="s">
        <v>6</v>
      </c>
      <c r="D8866" s="5">
        <f t="shared" si="278"/>
        <v>26.98</v>
      </c>
      <c r="E8866">
        <v>29.62</v>
      </c>
      <c r="F8866" s="1789">
        <v>8.8999999999999996E-2</v>
      </c>
      <c r="G8866">
        <f t="shared" si="279"/>
        <v>26.98</v>
      </c>
    </row>
    <row r="8867" spans="1:7" ht="12.75" customHeight="1">
      <c r="A8867" s="3">
        <v>89664</v>
      </c>
      <c r="B8867" s="4" t="s">
        <v>8891</v>
      </c>
      <c r="C8867" s="3" t="s">
        <v>6</v>
      </c>
      <c r="D8867" s="5">
        <f t="shared" si="278"/>
        <v>15.64</v>
      </c>
      <c r="E8867">
        <v>17.170000000000002</v>
      </c>
      <c r="F8867" s="1789">
        <v>8.8999999999999996E-2</v>
      </c>
      <c r="G8867">
        <f t="shared" si="279"/>
        <v>15.64</v>
      </c>
    </row>
    <row r="8868" spans="1:7" ht="12.75" customHeight="1">
      <c r="A8868" s="3">
        <v>89666</v>
      </c>
      <c r="B8868" s="4" t="s">
        <v>8892</v>
      </c>
      <c r="C8868" s="3" t="s">
        <v>6</v>
      </c>
      <c r="D8868" s="5">
        <f t="shared" si="278"/>
        <v>6.95</v>
      </c>
      <c r="E8868">
        <v>7.63</v>
      </c>
      <c r="F8868" s="1789">
        <v>8.8999999999999996E-2</v>
      </c>
      <c r="G8868">
        <f t="shared" si="279"/>
        <v>6.95</v>
      </c>
    </row>
    <row r="8869" spans="1:7" ht="12.75" customHeight="1">
      <c r="A8869" s="3">
        <v>89667</v>
      </c>
      <c r="B8869" s="4" t="s">
        <v>8893</v>
      </c>
      <c r="C8869" s="3" t="s">
        <v>6</v>
      </c>
      <c r="D8869" s="5">
        <f t="shared" si="278"/>
        <v>37.299999999999997</v>
      </c>
      <c r="E8869">
        <v>40.950000000000003</v>
      </c>
      <c r="F8869" s="1789">
        <v>8.8999999999999996E-2</v>
      </c>
      <c r="G8869">
        <f t="shared" si="279"/>
        <v>37.299999999999997</v>
      </c>
    </row>
    <row r="8870" spans="1:7" ht="12.75" customHeight="1">
      <c r="A8870" s="3">
        <v>89668</v>
      </c>
      <c r="B8870" s="4" t="s">
        <v>8894</v>
      </c>
      <c r="C8870" s="3" t="s">
        <v>6</v>
      </c>
      <c r="D8870" s="5">
        <f t="shared" si="278"/>
        <v>26.35</v>
      </c>
      <c r="E8870">
        <v>28.93</v>
      </c>
      <c r="F8870" s="1789">
        <v>8.8999999999999996E-2</v>
      </c>
      <c r="G8870">
        <f t="shared" si="279"/>
        <v>26.35</v>
      </c>
    </row>
    <row r="8871" spans="1:7" ht="12.75" customHeight="1">
      <c r="A8871" s="3">
        <v>89669</v>
      </c>
      <c r="B8871" s="4" t="s">
        <v>8895</v>
      </c>
      <c r="C8871" s="3" t="s">
        <v>6</v>
      </c>
      <c r="D8871" s="5">
        <f t="shared" si="278"/>
        <v>29.32</v>
      </c>
      <c r="E8871">
        <v>32.19</v>
      </c>
      <c r="F8871" s="1789">
        <v>8.8999999999999996E-2</v>
      </c>
      <c r="G8871">
        <f t="shared" si="279"/>
        <v>29.32</v>
      </c>
    </row>
    <row r="8872" spans="1:7" ht="12.75" customHeight="1">
      <c r="A8872" s="3">
        <v>89670</v>
      </c>
      <c r="B8872" s="4" t="s">
        <v>8896</v>
      </c>
      <c r="C8872" s="3" t="s">
        <v>6</v>
      </c>
      <c r="D8872" s="5">
        <f t="shared" si="278"/>
        <v>13.19</v>
      </c>
      <c r="E8872">
        <v>14.48</v>
      </c>
      <c r="F8872" s="1789">
        <v>8.8999999999999996E-2</v>
      </c>
      <c r="G8872">
        <f t="shared" si="279"/>
        <v>13.19</v>
      </c>
    </row>
    <row r="8873" spans="1:7" ht="12.75" customHeight="1">
      <c r="A8873" s="3">
        <v>89671</v>
      </c>
      <c r="B8873" s="4" t="s">
        <v>8897</v>
      </c>
      <c r="C8873" s="3" t="s">
        <v>6</v>
      </c>
      <c r="D8873" s="5">
        <f t="shared" si="278"/>
        <v>38.71</v>
      </c>
      <c r="E8873">
        <v>42.5</v>
      </c>
      <c r="F8873" s="1789">
        <v>8.8999999999999996E-2</v>
      </c>
      <c r="G8873">
        <f t="shared" si="279"/>
        <v>38.71</v>
      </c>
    </row>
    <row r="8874" spans="1:7" ht="12.75" customHeight="1">
      <c r="A8874" s="3">
        <v>89672</v>
      </c>
      <c r="B8874" s="4" t="s">
        <v>8898</v>
      </c>
      <c r="C8874" s="3" t="s">
        <v>6</v>
      </c>
      <c r="D8874" s="5">
        <f t="shared" si="278"/>
        <v>21.62</v>
      </c>
      <c r="E8874">
        <v>23.74</v>
      </c>
      <c r="F8874" s="1789">
        <v>8.8999999999999996E-2</v>
      </c>
      <c r="G8874">
        <f t="shared" si="279"/>
        <v>21.62</v>
      </c>
    </row>
    <row r="8875" spans="1:7" ht="12.75" customHeight="1">
      <c r="A8875" s="3">
        <v>89673</v>
      </c>
      <c r="B8875" s="4" t="s">
        <v>8899</v>
      </c>
      <c r="C8875" s="3" t="s">
        <v>6</v>
      </c>
      <c r="D8875" s="5">
        <f t="shared" si="278"/>
        <v>30.78</v>
      </c>
      <c r="E8875">
        <v>33.79</v>
      </c>
      <c r="F8875" s="1789">
        <v>8.8999999999999996E-2</v>
      </c>
      <c r="G8875">
        <f t="shared" si="279"/>
        <v>30.78</v>
      </c>
    </row>
    <row r="8876" spans="1:7" ht="12.75" customHeight="1">
      <c r="A8876" s="3">
        <v>89674</v>
      </c>
      <c r="B8876" s="4" t="s">
        <v>8900</v>
      </c>
      <c r="C8876" s="3" t="s">
        <v>6</v>
      </c>
      <c r="D8876" s="5">
        <f t="shared" si="278"/>
        <v>27.72</v>
      </c>
      <c r="E8876">
        <v>30.43</v>
      </c>
      <c r="F8876" s="1789">
        <v>8.8999999999999996E-2</v>
      </c>
      <c r="G8876">
        <f t="shared" si="279"/>
        <v>27.72</v>
      </c>
    </row>
    <row r="8877" spans="1:7" ht="12.75" customHeight="1">
      <c r="A8877" s="3">
        <v>89675</v>
      </c>
      <c r="B8877" s="4" t="s">
        <v>8901</v>
      </c>
      <c r="C8877" s="3" t="s">
        <v>6</v>
      </c>
      <c r="D8877" s="5">
        <f t="shared" si="278"/>
        <v>60.79</v>
      </c>
      <c r="E8877">
        <v>66.73</v>
      </c>
      <c r="F8877" s="1789">
        <v>8.8999999999999996E-2</v>
      </c>
      <c r="G8877">
        <f t="shared" si="279"/>
        <v>60.79</v>
      </c>
    </row>
    <row r="8878" spans="1:7" ht="12.75" customHeight="1">
      <c r="A8878" s="3">
        <v>89676</v>
      </c>
      <c r="B8878" s="4" t="s">
        <v>8902</v>
      </c>
      <c r="C8878" s="3" t="s">
        <v>6</v>
      </c>
      <c r="D8878" s="5">
        <f t="shared" si="278"/>
        <v>33.15</v>
      </c>
      <c r="E8878">
        <v>36.39</v>
      </c>
      <c r="F8878" s="1789">
        <v>8.8999999999999996E-2</v>
      </c>
      <c r="G8878">
        <f t="shared" si="279"/>
        <v>33.15</v>
      </c>
    </row>
    <row r="8879" spans="1:7" ht="12.75" customHeight="1">
      <c r="A8879" s="3">
        <v>89677</v>
      </c>
      <c r="B8879" s="4" t="s">
        <v>8903</v>
      </c>
      <c r="C8879" s="3" t="s">
        <v>6</v>
      </c>
      <c r="D8879" s="5">
        <f t="shared" si="278"/>
        <v>67.31</v>
      </c>
      <c r="E8879">
        <v>73.89</v>
      </c>
      <c r="F8879" s="1789">
        <v>8.8999999999999996E-2</v>
      </c>
      <c r="G8879">
        <f t="shared" si="279"/>
        <v>67.31</v>
      </c>
    </row>
    <row r="8880" spans="1:7" ht="12.75" customHeight="1">
      <c r="A8880" s="3">
        <v>89678</v>
      </c>
      <c r="B8880" s="4" t="s">
        <v>8904</v>
      </c>
      <c r="C8880" s="3" t="s">
        <v>6</v>
      </c>
      <c r="D8880" s="5">
        <f t="shared" si="278"/>
        <v>11.25</v>
      </c>
      <c r="E8880">
        <v>12.35</v>
      </c>
      <c r="F8880" s="1789">
        <v>8.8999999999999996E-2</v>
      </c>
      <c r="G8880">
        <f t="shared" si="279"/>
        <v>11.25</v>
      </c>
    </row>
    <row r="8881" spans="1:7" ht="12.75" customHeight="1">
      <c r="A8881" s="3">
        <v>89679</v>
      </c>
      <c r="B8881" s="4" t="s">
        <v>8905</v>
      </c>
      <c r="C8881" s="3" t="s">
        <v>6</v>
      </c>
      <c r="D8881" s="5">
        <f t="shared" si="278"/>
        <v>105.78</v>
      </c>
      <c r="E8881">
        <v>116.12</v>
      </c>
      <c r="F8881" s="1789">
        <v>8.8999999999999996E-2</v>
      </c>
      <c r="G8881">
        <f t="shared" si="279"/>
        <v>105.78</v>
      </c>
    </row>
    <row r="8882" spans="1:7" ht="12.75" customHeight="1">
      <c r="A8882" s="3">
        <v>89680</v>
      </c>
      <c r="B8882" s="4" t="s">
        <v>8906</v>
      </c>
      <c r="C8882" s="3" t="s">
        <v>6</v>
      </c>
      <c r="D8882" s="5">
        <f t="shared" si="278"/>
        <v>20.77</v>
      </c>
      <c r="E8882">
        <v>22.8</v>
      </c>
      <c r="F8882" s="1789">
        <v>8.8999999999999996E-2</v>
      </c>
      <c r="G8882">
        <f t="shared" si="279"/>
        <v>20.77</v>
      </c>
    </row>
    <row r="8883" spans="1:7" ht="12.75" customHeight="1">
      <c r="A8883" s="3">
        <v>89681</v>
      </c>
      <c r="B8883" s="4" t="s">
        <v>8907</v>
      </c>
      <c r="C8883" s="3" t="s">
        <v>6</v>
      </c>
      <c r="D8883" s="5">
        <f t="shared" si="278"/>
        <v>76.97</v>
      </c>
      <c r="E8883">
        <v>84.5</v>
      </c>
      <c r="F8883" s="1789">
        <v>8.8999999999999996E-2</v>
      </c>
      <c r="G8883">
        <f t="shared" si="279"/>
        <v>76.97</v>
      </c>
    </row>
    <row r="8884" spans="1:7" ht="12.75" customHeight="1">
      <c r="A8884" s="3">
        <v>89682</v>
      </c>
      <c r="B8884" s="4" t="s">
        <v>8908</v>
      </c>
      <c r="C8884" s="3" t="s">
        <v>6</v>
      </c>
      <c r="D8884" s="5">
        <f t="shared" si="278"/>
        <v>28.73</v>
      </c>
      <c r="E8884">
        <v>31.54</v>
      </c>
      <c r="F8884" s="1789">
        <v>8.8999999999999996E-2</v>
      </c>
      <c r="G8884">
        <f t="shared" si="279"/>
        <v>28.73</v>
      </c>
    </row>
    <row r="8885" spans="1:7" ht="12.75" customHeight="1">
      <c r="A8885" s="3">
        <v>89683</v>
      </c>
      <c r="B8885" s="4" t="s">
        <v>8909</v>
      </c>
      <c r="C8885" s="3" t="s">
        <v>6</v>
      </c>
      <c r="D8885" s="5">
        <f t="shared" si="278"/>
        <v>236.75</v>
      </c>
      <c r="E8885">
        <v>259.89</v>
      </c>
      <c r="F8885" s="1789">
        <v>8.8999999999999996E-2</v>
      </c>
      <c r="G8885">
        <f t="shared" si="279"/>
        <v>236.75</v>
      </c>
    </row>
    <row r="8886" spans="1:7" ht="12.75" customHeight="1">
      <c r="A8886" s="3">
        <v>89684</v>
      </c>
      <c r="B8886" s="4" t="s">
        <v>8910</v>
      </c>
      <c r="C8886" s="3" t="s">
        <v>6</v>
      </c>
      <c r="D8886" s="5">
        <f t="shared" si="278"/>
        <v>40.119999999999997</v>
      </c>
      <c r="E8886">
        <v>44.04</v>
      </c>
      <c r="F8886" s="1789">
        <v>8.8999999999999996E-2</v>
      </c>
      <c r="G8886">
        <f t="shared" si="279"/>
        <v>40.119999999999997</v>
      </c>
    </row>
    <row r="8887" spans="1:7" ht="12.75" customHeight="1">
      <c r="A8887" s="3">
        <v>89685</v>
      </c>
      <c r="B8887" s="4" t="s">
        <v>8911</v>
      </c>
      <c r="C8887" s="3" t="s">
        <v>6</v>
      </c>
      <c r="D8887" s="5">
        <f t="shared" si="278"/>
        <v>52.34</v>
      </c>
      <c r="E8887">
        <v>57.46</v>
      </c>
      <c r="F8887" s="1789">
        <v>8.8999999999999996E-2</v>
      </c>
      <c r="G8887">
        <f t="shared" si="279"/>
        <v>52.34</v>
      </c>
    </row>
    <row r="8888" spans="1:7" ht="12.75" customHeight="1">
      <c r="A8888" s="3">
        <v>89686</v>
      </c>
      <c r="B8888" s="4" t="s">
        <v>8912</v>
      </c>
      <c r="C8888" s="3" t="s">
        <v>6</v>
      </c>
      <c r="D8888" s="5">
        <f t="shared" si="278"/>
        <v>50.62</v>
      </c>
      <c r="E8888">
        <v>55.57</v>
      </c>
      <c r="F8888" s="1789">
        <v>8.8999999999999996E-2</v>
      </c>
      <c r="G8888">
        <f t="shared" si="279"/>
        <v>50.62</v>
      </c>
    </row>
    <row r="8889" spans="1:7" ht="12.75" customHeight="1">
      <c r="A8889" s="3">
        <v>89687</v>
      </c>
      <c r="B8889" s="4" t="s">
        <v>8913</v>
      </c>
      <c r="C8889" s="3" t="s">
        <v>6</v>
      </c>
      <c r="D8889" s="5">
        <f t="shared" si="278"/>
        <v>45.34</v>
      </c>
      <c r="E8889">
        <v>49.78</v>
      </c>
      <c r="F8889" s="1789">
        <v>8.8999999999999996E-2</v>
      </c>
      <c r="G8889">
        <f t="shared" si="279"/>
        <v>45.34</v>
      </c>
    </row>
    <row r="8890" spans="1:7" ht="12.75" customHeight="1">
      <c r="A8890" s="3">
        <v>89689</v>
      </c>
      <c r="B8890" s="4" t="s">
        <v>8914</v>
      </c>
      <c r="C8890" s="3" t="s">
        <v>6</v>
      </c>
      <c r="D8890" s="5">
        <f t="shared" si="278"/>
        <v>34</v>
      </c>
      <c r="E8890">
        <v>37.33</v>
      </c>
      <c r="F8890" s="1789">
        <v>8.8999999999999996E-2</v>
      </c>
      <c r="G8890">
        <f t="shared" si="279"/>
        <v>34</v>
      </c>
    </row>
    <row r="8891" spans="1:7" ht="12.75" customHeight="1">
      <c r="A8891" s="3">
        <v>89690</v>
      </c>
      <c r="B8891" s="4" t="s">
        <v>8915</v>
      </c>
      <c r="C8891" s="3" t="s">
        <v>6</v>
      </c>
      <c r="D8891" s="5">
        <f t="shared" si="278"/>
        <v>76.680000000000007</v>
      </c>
      <c r="E8891">
        <v>84.18</v>
      </c>
      <c r="F8891" s="1789">
        <v>8.8999999999999996E-2</v>
      </c>
      <c r="G8891">
        <f t="shared" si="279"/>
        <v>76.680000000000007</v>
      </c>
    </row>
    <row r="8892" spans="1:7" ht="12.75" customHeight="1">
      <c r="A8892" s="3">
        <v>89691</v>
      </c>
      <c r="B8892" s="4" t="s">
        <v>8916</v>
      </c>
      <c r="C8892" s="3" t="s">
        <v>6</v>
      </c>
      <c r="D8892" s="5">
        <f t="shared" si="278"/>
        <v>12.55</v>
      </c>
      <c r="E8892">
        <v>13.78</v>
      </c>
      <c r="F8892" s="1789">
        <v>8.8999999999999996E-2</v>
      </c>
      <c r="G8892">
        <f t="shared" si="279"/>
        <v>12.55</v>
      </c>
    </row>
    <row r="8893" spans="1:7" ht="12.75" customHeight="1">
      <c r="A8893" s="3">
        <v>89692</v>
      </c>
      <c r="B8893" s="4" t="s">
        <v>8917</v>
      </c>
      <c r="C8893" s="3" t="s">
        <v>6</v>
      </c>
      <c r="D8893" s="5">
        <f t="shared" si="278"/>
        <v>86.26</v>
      </c>
      <c r="E8893">
        <v>94.69</v>
      </c>
      <c r="F8893" s="1789">
        <v>8.8999999999999996E-2</v>
      </c>
      <c r="G8893">
        <f t="shared" si="279"/>
        <v>86.26</v>
      </c>
    </row>
    <row r="8894" spans="1:7" ht="12.75" customHeight="1">
      <c r="A8894" s="3">
        <v>89693</v>
      </c>
      <c r="B8894" s="4" t="s">
        <v>8918</v>
      </c>
      <c r="C8894" s="3" t="s">
        <v>6</v>
      </c>
      <c r="D8894" s="5">
        <f t="shared" si="278"/>
        <v>67.86</v>
      </c>
      <c r="E8894">
        <v>74.5</v>
      </c>
      <c r="F8894" s="1789">
        <v>8.8999999999999996E-2</v>
      </c>
      <c r="G8894">
        <f t="shared" si="279"/>
        <v>67.86</v>
      </c>
    </row>
    <row r="8895" spans="1:7" ht="12.75" customHeight="1">
      <c r="A8895" s="3">
        <v>89694</v>
      </c>
      <c r="B8895" s="4" t="s">
        <v>8919</v>
      </c>
      <c r="C8895" s="3" t="s">
        <v>6</v>
      </c>
      <c r="D8895" s="5">
        <f t="shared" si="278"/>
        <v>18.32</v>
      </c>
      <c r="E8895">
        <v>20.11</v>
      </c>
      <c r="F8895" s="1789">
        <v>8.8999999999999996E-2</v>
      </c>
      <c r="G8895">
        <f t="shared" si="279"/>
        <v>18.32</v>
      </c>
    </row>
    <row r="8896" spans="1:7" ht="12.75" customHeight="1">
      <c r="A8896" s="3">
        <v>89695</v>
      </c>
      <c r="B8896" s="4" t="s">
        <v>8920</v>
      </c>
      <c r="C8896" s="3" t="s">
        <v>6</v>
      </c>
      <c r="D8896" s="5">
        <f t="shared" si="278"/>
        <v>15.66</v>
      </c>
      <c r="E8896">
        <v>17.190000000000001</v>
      </c>
      <c r="F8896" s="1789">
        <v>8.8999999999999996E-2</v>
      </c>
      <c r="G8896">
        <f t="shared" si="279"/>
        <v>15.66</v>
      </c>
    </row>
    <row r="8897" spans="1:7" ht="12.75" customHeight="1">
      <c r="A8897" s="3">
        <v>89696</v>
      </c>
      <c r="B8897" s="4" t="s">
        <v>8921</v>
      </c>
      <c r="C8897" s="3" t="s">
        <v>6</v>
      </c>
      <c r="D8897" s="5">
        <f t="shared" si="278"/>
        <v>71.98</v>
      </c>
      <c r="E8897">
        <v>79.02</v>
      </c>
      <c r="F8897" s="1789">
        <v>8.8999999999999996E-2</v>
      </c>
      <c r="G8897">
        <f t="shared" si="279"/>
        <v>71.98</v>
      </c>
    </row>
    <row r="8898" spans="1:7" ht="12.75" customHeight="1">
      <c r="A8898" s="3">
        <v>89697</v>
      </c>
      <c r="B8898" s="4" t="s">
        <v>8922</v>
      </c>
      <c r="C8898" s="3" t="s">
        <v>6</v>
      </c>
      <c r="D8898" s="5">
        <f t="shared" si="278"/>
        <v>16.489999999999998</v>
      </c>
      <c r="E8898">
        <v>18.11</v>
      </c>
      <c r="F8898" s="1789">
        <v>8.8999999999999996E-2</v>
      </c>
      <c r="G8898">
        <f t="shared" si="279"/>
        <v>16.489999999999998</v>
      </c>
    </row>
    <row r="8899" spans="1:7" ht="12.75" customHeight="1">
      <c r="A8899" s="3">
        <v>89698</v>
      </c>
      <c r="B8899" s="4" t="s">
        <v>8923</v>
      </c>
      <c r="C8899" s="3" t="s">
        <v>6</v>
      </c>
      <c r="D8899" s="5">
        <f t="shared" si="278"/>
        <v>225.07</v>
      </c>
      <c r="E8899">
        <v>247.06</v>
      </c>
      <c r="F8899" s="1789">
        <v>8.8999999999999996E-2</v>
      </c>
      <c r="G8899">
        <f t="shared" si="279"/>
        <v>225.07</v>
      </c>
    </row>
    <row r="8900" spans="1:7" ht="12.75" customHeight="1">
      <c r="A8900" s="3">
        <v>89699</v>
      </c>
      <c r="B8900" s="4" t="s">
        <v>8924</v>
      </c>
      <c r="C8900" s="3" t="s">
        <v>6</v>
      </c>
      <c r="D8900" s="5">
        <f t="shared" si="278"/>
        <v>170.36</v>
      </c>
      <c r="E8900">
        <v>187.01</v>
      </c>
      <c r="F8900" s="1789">
        <v>8.8999999999999996E-2</v>
      </c>
      <c r="G8900">
        <f t="shared" si="279"/>
        <v>170.36</v>
      </c>
    </row>
    <row r="8901" spans="1:7" ht="12.75" customHeight="1">
      <c r="A8901" s="3">
        <v>89700</v>
      </c>
      <c r="B8901" s="4" t="s">
        <v>8925</v>
      </c>
      <c r="C8901" s="3" t="s">
        <v>6</v>
      </c>
      <c r="D8901" s="5">
        <f t="shared" si="278"/>
        <v>21.01</v>
      </c>
      <c r="E8901">
        <v>23.07</v>
      </c>
      <c r="F8901" s="1789">
        <v>8.8999999999999996E-2</v>
      </c>
      <c r="G8901">
        <f t="shared" si="279"/>
        <v>21.01</v>
      </c>
    </row>
    <row r="8902" spans="1:7" ht="12.75" customHeight="1">
      <c r="A8902" s="3">
        <v>89701</v>
      </c>
      <c r="B8902" s="4" t="s">
        <v>8926</v>
      </c>
      <c r="C8902" s="3" t="s">
        <v>6</v>
      </c>
      <c r="D8902" s="5">
        <f t="shared" si="278"/>
        <v>168.45</v>
      </c>
      <c r="E8902">
        <v>184.91</v>
      </c>
      <c r="F8902" s="1789">
        <v>8.8999999999999996E-2</v>
      </c>
      <c r="G8902">
        <f t="shared" si="279"/>
        <v>168.45</v>
      </c>
    </row>
    <row r="8903" spans="1:7" ht="12.75" customHeight="1">
      <c r="A8903" s="3">
        <v>89702</v>
      </c>
      <c r="B8903" s="4" t="s">
        <v>8927</v>
      </c>
      <c r="C8903" s="3" t="s">
        <v>6</v>
      </c>
      <c r="D8903" s="5">
        <f t="shared" si="278"/>
        <v>20.27</v>
      </c>
      <c r="E8903">
        <v>22.26</v>
      </c>
      <c r="F8903" s="1789">
        <v>8.8999999999999996E-2</v>
      </c>
      <c r="G8903">
        <f t="shared" si="279"/>
        <v>20.27</v>
      </c>
    </row>
    <row r="8904" spans="1:7" ht="12.75" customHeight="1">
      <c r="A8904" s="3">
        <v>89703</v>
      </c>
      <c r="B8904" s="4" t="s">
        <v>8928</v>
      </c>
      <c r="C8904" s="3" t="s">
        <v>6</v>
      </c>
      <c r="D8904" s="5">
        <f t="shared" si="278"/>
        <v>43.01</v>
      </c>
      <c r="E8904">
        <v>47.22</v>
      </c>
      <c r="F8904" s="1789">
        <v>8.8999999999999996E-2</v>
      </c>
      <c r="G8904">
        <f t="shared" si="279"/>
        <v>43.01</v>
      </c>
    </row>
    <row r="8905" spans="1:7" ht="12.75" customHeight="1">
      <c r="A8905" s="3">
        <v>89704</v>
      </c>
      <c r="B8905" s="4" t="s">
        <v>8929</v>
      </c>
      <c r="C8905" s="3" t="s">
        <v>6</v>
      </c>
      <c r="D8905" s="5">
        <f t="shared" si="278"/>
        <v>130.44999999999999</v>
      </c>
      <c r="E8905">
        <v>143.19999999999999</v>
      </c>
      <c r="F8905" s="1789">
        <v>8.8999999999999996E-2</v>
      </c>
      <c r="G8905">
        <f t="shared" si="279"/>
        <v>130.44999999999999</v>
      </c>
    </row>
    <row r="8906" spans="1:7" ht="12.75" customHeight="1">
      <c r="A8906" s="3">
        <v>89705</v>
      </c>
      <c r="B8906" s="4" t="s">
        <v>8930</v>
      </c>
      <c r="C8906" s="3" t="s">
        <v>6</v>
      </c>
      <c r="D8906" s="5">
        <f t="shared" si="278"/>
        <v>23.68</v>
      </c>
      <c r="E8906">
        <v>26</v>
      </c>
      <c r="F8906" s="1789">
        <v>8.8999999999999996E-2</v>
      </c>
      <c r="G8906">
        <f t="shared" si="279"/>
        <v>23.68</v>
      </c>
    </row>
    <row r="8907" spans="1:7" ht="12.75" customHeight="1">
      <c r="A8907" s="3">
        <v>89706</v>
      </c>
      <c r="B8907" s="4" t="s">
        <v>8931</v>
      </c>
      <c r="C8907" s="3" t="s">
        <v>6</v>
      </c>
      <c r="D8907" s="5">
        <f t="shared" si="278"/>
        <v>51.14</v>
      </c>
      <c r="E8907">
        <v>56.14</v>
      </c>
      <c r="F8907" s="1789">
        <v>8.8999999999999996E-2</v>
      </c>
      <c r="G8907">
        <f t="shared" si="279"/>
        <v>51.14</v>
      </c>
    </row>
    <row r="8908" spans="1:7" ht="12.75" customHeight="1">
      <c r="A8908" s="3">
        <v>89718</v>
      </c>
      <c r="B8908" s="4" t="s">
        <v>8932</v>
      </c>
      <c r="C8908" s="3" t="s">
        <v>50</v>
      </c>
      <c r="D8908" s="5">
        <f t="shared" si="278"/>
        <v>48.04</v>
      </c>
      <c r="E8908">
        <v>52.74</v>
      </c>
      <c r="F8908" s="1789">
        <v>8.8999999999999996E-2</v>
      </c>
      <c r="G8908">
        <f t="shared" si="279"/>
        <v>48.04</v>
      </c>
    </row>
    <row r="8909" spans="1:7" ht="12.75" customHeight="1">
      <c r="A8909" s="3">
        <v>89719</v>
      </c>
      <c r="B8909" s="4" t="s">
        <v>8933</v>
      </c>
      <c r="C8909" s="3" t="s">
        <v>6</v>
      </c>
      <c r="D8909" s="5">
        <f t="shared" si="278"/>
        <v>11.96</v>
      </c>
      <c r="E8909">
        <v>13.13</v>
      </c>
      <c r="F8909" s="1789">
        <v>8.8999999999999996E-2</v>
      </c>
      <c r="G8909">
        <f t="shared" si="279"/>
        <v>11.96</v>
      </c>
    </row>
    <row r="8910" spans="1:7" ht="12.75" customHeight="1">
      <c r="A8910" s="3">
        <v>89720</v>
      </c>
      <c r="B8910" s="4" t="s">
        <v>8934</v>
      </c>
      <c r="C8910" s="3" t="s">
        <v>6</v>
      </c>
      <c r="D8910" s="5">
        <f t="shared" si="278"/>
        <v>13.38</v>
      </c>
      <c r="E8910">
        <v>14.69</v>
      </c>
      <c r="F8910" s="1789">
        <v>8.8999999999999996E-2</v>
      </c>
      <c r="G8910">
        <f t="shared" si="279"/>
        <v>13.38</v>
      </c>
    </row>
    <row r="8911" spans="1:7" ht="12.75" customHeight="1">
      <c r="A8911" s="3">
        <v>89721</v>
      </c>
      <c r="B8911" s="4" t="s">
        <v>8935</v>
      </c>
      <c r="C8911" s="3" t="s">
        <v>6</v>
      </c>
      <c r="D8911" s="5">
        <f t="shared" si="278"/>
        <v>14.5</v>
      </c>
      <c r="E8911">
        <v>15.92</v>
      </c>
      <c r="F8911" s="1789">
        <v>8.8999999999999996E-2</v>
      </c>
      <c r="G8911">
        <f t="shared" si="279"/>
        <v>14.5</v>
      </c>
    </row>
    <row r="8912" spans="1:7" ht="12.75" customHeight="1">
      <c r="A8912" s="3">
        <v>89723</v>
      </c>
      <c r="B8912" s="4" t="s">
        <v>8936</v>
      </c>
      <c r="C8912" s="3" t="s">
        <v>6</v>
      </c>
      <c r="D8912" s="5">
        <f t="shared" si="278"/>
        <v>18.190000000000001</v>
      </c>
      <c r="E8912">
        <v>19.97</v>
      </c>
      <c r="F8912" s="1789">
        <v>8.8999999999999996E-2</v>
      </c>
      <c r="G8912">
        <f t="shared" si="279"/>
        <v>18.190000000000001</v>
      </c>
    </row>
    <row r="8913" spans="1:7" ht="12.75" customHeight="1">
      <c r="A8913" s="3">
        <v>89724</v>
      </c>
      <c r="B8913" s="4" t="s">
        <v>8937</v>
      </c>
      <c r="C8913" s="3" t="s">
        <v>6</v>
      </c>
      <c r="D8913" s="5">
        <f t="shared" si="278"/>
        <v>9.0299999999999994</v>
      </c>
      <c r="E8913">
        <v>9.92</v>
      </c>
      <c r="F8913" s="1789">
        <v>8.8999999999999996E-2</v>
      </c>
      <c r="G8913">
        <f t="shared" si="279"/>
        <v>9.0299999999999994</v>
      </c>
    </row>
    <row r="8914" spans="1:7" ht="12.75" customHeight="1">
      <c r="A8914" s="3">
        <v>89725</v>
      </c>
      <c r="B8914" s="4" t="s">
        <v>8938</v>
      </c>
      <c r="C8914" s="3" t="s">
        <v>6</v>
      </c>
      <c r="D8914" s="5">
        <f t="shared" si="278"/>
        <v>17.600000000000001</v>
      </c>
      <c r="E8914">
        <v>19.329999999999998</v>
      </c>
      <c r="F8914" s="1789">
        <v>8.8999999999999996E-2</v>
      </c>
      <c r="G8914">
        <f t="shared" si="279"/>
        <v>17.600000000000001</v>
      </c>
    </row>
    <row r="8915" spans="1:7" ht="12.75" customHeight="1">
      <c r="A8915" s="3">
        <v>89726</v>
      </c>
      <c r="B8915" s="4" t="s">
        <v>8939</v>
      </c>
      <c r="C8915" s="3" t="s">
        <v>6</v>
      </c>
      <c r="D8915" s="5">
        <f t="shared" si="278"/>
        <v>9.23</v>
      </c>
      <c r="E8915">
        <v>10.14</v>
      </c>
      <c r="F8915" s="1789">
        <v>8.8999999999999996E-2</v>
      </c>
      <c r="G8915">
        <f t="shared" si="279"/>
        <v>9.23</v>
      </c>
    </row>
    <row r="8916" spans="1:7" ht="12.75" customHeight="1">
      <c r="A8916" s="3">
        <v>89727</v>
      </c>
      <c r="B8916" s="4" t="s">
        <v>8940</v>
      </c>
      <c r="C8916" s="3" t="s">
        <v>6</v>
      </c>
      <c r="D8916" s="5">
        <f t="shared" si="278"/>
        <v>22</v>
      </c>
      <c r="E8916">
        <v>24.16</v>
      </c>
      <c r="F8916" s="1789">
        <v>8.8999999999999996E-2</v>
      </c>
      <c r="G8916">
        <f t="shared" si="279"/>
        <v>22</v>
      </c>
    </row>
    <row r="8917" spans="1:7" ht="12.75" customHeight="1">
      <c r="A8917" s="3">
        <v>89728</v>
      </c>
      <c r="B8917" s="4" t="s">
        <v>8941</v>
      </c>
      <c r="C8917" s="3" t="s">
        <v>6</v>
      </c>
      <c r="D8917" s="5">
        <f t="shared" ref="D8917:D8980" si="280">G8917</f>
        <v>11.5</v>
      </c>
      <c r="E8917">
        <v>12.63</v>
      </c>
      <c r="F8917" s="1789">
        <v>8.8999999999999996E-2</v>
      </c>
      <c r="G8917">
        <f t="shared" ref="G8917:G8980" si="281">TRUNC((1-F8917)*E8917,2)</f>
        <v>11.5</v>
      </c>
    </row>
    <row r="8918" spans="1:7" ht="12.75" customHeight="1">
      <c r="A8918" s="3">
        <v>89729</v>
      </c>
      <c r="B8918" s="4" t="s">
        <v>8942</v>
      </c>
      <c r="C8918" s="3" t="s">
        <v>6</v>
      </c>
      <c r="D8918" s="5">
        <f t="shared" si="280"/>
        <v>26.83</v>
      </c>
      <c r="E8918">
        <v>29.46</v>
      </c>
      <c r="F8918" s="1789">
        <v>8.8999999999999996E-2</v>
      </c>
      <c r="G8918">
        <f t="shared" si="281"/>
        <v>26.83</v>
      </c>
    </row>
    <row r="8919" spans="1:7" ht="12.75" customHeight="1">
      <c r="A8919" s="3">
        <v>89730</v>
      </c>
      <c r="B8919" s="4" t="s">
        <v>8943</v>
      </c>
      <c r="C8919" s="3" t="s">
        <v>6</v>
      </c>
      <c r="D8919" s="5">
        <f t="shared" si="280"/>
        <v>13.1</v>
      </c>
      <c r="E8919">
        <v>14.39</v>
      </c>
      <c r="F8919" s="1789">
        <v>8.8999999999999996E-2</v>
      </c>
      <c r="G8919">
        <f t="shared" si="281"/>
        <v>13.1</v>
      </c>
    </row>
    <row r="8920" spans="1:7" ht="12.75" customHeight="1">
      <c r="A8920" s="3">
        <v>89731</v>
      </c>
      <c r="B8920" s="4" t="s">
        <v>8944</v>
      </c>
      <c r="C8920" s="3" t="s">
        <v>6</v>
      </c>
      <c r="D8920" s="5">
        <f t="shared" si="280"/>
        <v>13.19</v>
      </c>
      <c r="E8920">
        <v>14.48</v>
      </c>
      <c r="F8920" s="1789">
        <v>8.8999999999999996E-2</v>
      </c>
      <c r="G8920">
        <f t="shared" si="281"/>
        <v>13.19</v>
      </c>
    </row>
    <row r="8921" spans="1:7" ht="12.75" customHeight="1">
      <c r="A8921" s="3">
        <v>89732</v>
      </c>
      <c r="B8921" s="4" t="s">
        <v>8945</v>
      </c>
      <c r="C8921" s="3" t="s">
        <v>6</v>
      </c>
      <c r="D8921" s="5">
        <f t="shared" si="280"/>
        <v>13.81</v>
      </c>
      <c r="E8921">
        <v>15.16</v>
      </c>
      <c r="F8921" s="1789">
        <v>8.8999999999999996E-2</v>
      </c>
      <c r="G8921">
        <f t="shared" si="281"/>
        <v>13.81</v>
      </c>
    </row>
    <row r="8922" spans="1:7" ht="12.75" customHeight="1">
      <c r="A8922" s="3">
        <v>89733</v>
      </c>
      <c r="B8922" s="4" t="s">
        <v>8946</v>
      </c>
      <c r="C8922" s="3" t="s">
        <v>6</v>
      </c>
      <c r="D8922" s="5">
        <f t="shared" si="280"/>
        <v>20.34</v>
      </c>
      <c r="E8922">
        <v>22.33</v>
      </c>
      <c r="F8922" s="1789">
        <v>8.8999999999999996E-2</v>
      </c>
      <c r="G8922">
        <f t="shared" si="281"/>
        <v>20.34</v>
      </c>
    </row>
    <row r="8923" spans="1:7" ht="12.75" customHeight="1">
      <c r="A8923" s="3">
        <v>89734</v>
      </c>
      <c r="B8923" s="4" t="s">
        <v>8947</v>
      </c>
      <c r="C8923" s="3" t="s">
        <v>6</v>
      </c>
      <c r="D8923" s="5">
        <f t="shared" si="280"/>
        <v>25.38</v>
      </c>
      <c r="E8923">
        <v>27.87</v>
      </c>
      <c r="F8923" s="1789">
        <v>8.8999999999999996E-2</v>
      </c>
      <c r="G8923">
        <f t="shared" si="281"/>
        <v>25.38</v>
      </c>
    </row>
    <row r="8924" spans="1:7" ht="12.75" customHeight="1">
      <c r="A8924" s="3">
        <v>89735</v>
      </c>
      <c r="B8924" s="4" t="s">
        <v>8948</v>
      </c>
      <c r="C8924" s="3" t="s">
        <v>6</v>
      </c>
      <c r="D8924" s="5">
        <f t="shared" si="280"/>
        <v>22.19</v>
      </c>
      <c r="E8924">
        <v>24.36</v>
      </c>
      <c r="F8924" s="1789">
        <v>8.8999999999999996E-2</v>
      </c>
      <c r="G8924">
        <f t="shared" si="281"/>
        <v>22.19</v>
      </c>
    </row>
    <row r="8925" spans="1:7" ht="12.75" customHeight="1">
      <c r="A8925" s="3">
        <v>89736</v>
      </c>
      <c r="B8925" s="4" t="s">
        <v>8949</v>
      </c>
      <c r="C8925" s="3" t="s">
        <v>6</v>
      </c>
      <c r="D8925" s="5">
        <f t="shared" si="280"/>
        <v>8.49</v>
      </c>
      <c r="E8925">
        <v>9.33</v>
      </c>
      <c r="F8925" s="1789">
        <v>8.8999999999999996E-2</v>
      </c>
      <c r="G8925">
        <f t="shared" si="281"/>
        <v>8.49</v>
      </c>
    </row>
    <row r="8926" spans="1:7" ht="12.75" customHeight="1">
      <c r="A8926" s="3">
        <v>89737</v>
      </c>
      <c r="B8926" s="4" t="s">
        <v>8950</v>
      </c>
      <c r="C8926" s="3" t="s">
        <v>6</v>
      </c>
      <c r="D8926" s="5">
        <f t="shared" si="280"/>
        <v>19.96</v>
      </c>
      <c r="E8926">
        <v>21.92</v>
      </c>
      <c r="F8926" s="1789">
        <v>8.8999999999999996E-2</v>
      </c>
      <c r="G8926">
        <f t="shared" si="281"/>
        <v>19.96</v>
      </c>
    </row>
    <row r="8927" spans="1:7" ht="12.75" customHeight="1">
      <c r="A8927" s="3">
        <v>89738</v>
      </c>
      <c r="B8927" s="4" t="s">
        <v>8951</v>
      </c>
      <c r="C8927" s="3" t="s">
        <v>6</v>
      </c>
      <c r="D8927" s="5">
        <f t="shared" si="280"/>
        <v>15.27</v>
      </c>
      <c r="E8927">
        <v>16.77</v>
      </c>
      <c r="F8927" s="1789">
        <v>8.8999999999999996E-2</v>
      </c>
      <c r="G8927">
        <f t="shared" si="281"/>
        <v>15.27</v>
      </c>
    </row>
    <row r="8928" spans="1:7" ht="12.75" customHeight="1">
      <c r="A8928" s="3">
        <v>89739</v>
      </c>
      <c r="B8928" s="4" t="s">
        <v>8952</v>
      </c>
      <c r="C8928" s="3" t="s">
        <v>6</v>
      </c>
      <c r="D8928" s="5">
        <f t="shared" si="280"/>
        <v>20.78</v>
      </c>
      <c r="E8928">
        <v>22.82</v>
      </c>
      <c r="F8928" s="1789">
        <v>8.8999999999999996E-2</v>
      </c>
      <c r="G8928">
        <f t="shared" si="281"/>
        <v>20.78</v>
      </c>
    </row>
    <row r="8929" spans="1:7" ht="12.75" customHeight="1">
      <c r="A8929" s="3">
        <v>89740</v>
      </c>
      <c r="B8929" s="4" t="s">
        <v>8953</v>
      </c>
      <c r="C8929" s="3" t="s">
        <v>6</v>
      </c>
      <c r="D8929" s="5">
        <f t="shared" si="280"/>
        <v>8.6300000000000008</v>
      </c>
      <c r="E8929">
        <v>9.48</v>
      </c>
      <c r="F8929" s="1789">
        <v>8.8999999999999996E-2</v>
      </c>
      <c r="G8929">
        <f t="shared" si="281"/>
        <v>8.6300000000000008</v>
      </c>
    </row>
    <row r="8930" spans="1:7" ht="12.75" customHeight="1">
      <c r="A8930" s="3">
        <v>89741</v>
      </c>
      <c r="B8930" s="4" t="s">
        <v>8954</v>
      </c>
      <c r="C8930" s="3" t="s">
        <v>6</v>
      </c>
      <c r="D8930" s="5">
        <f t="shared" si="280"/>
        <v>20.84</v>
      </c>
      <c r="E8930">
        <v>22.88</v>
      </c>
      <c r="F8930" s="1789">
        <v>8.8999999999999996E-2</v>
      </c>
      <c r="G8930">
        <f t="shared" si="281"/>
        <v>20.84</v>
      </c>
    </row>
    <row r="8931" spans="1:7" ht="12.75" customHeight="1">
      <c r="A8931" s="3">
        <v>89742</v>
      </c>
      <c r="B8931" s="4" t="s">
        <v>8955</v>
      </c>
      <c r="C8931" s="3" t="s">
        <v>6</v>
      </c>
      <c r="D8931" s="5">
        <f t="shared" si="280"/>
        <v>34.39</v>
      </c>
      <c r="E8931">
        <v>37.76</v>
      </c>
      <c r="F8931" s="1789">
        <v>8.8999999999999996E-2</v>
      </c>
      <c r="G8931">
        <f t="shared" si="281"/>
        <v>34.39</v>
      </c>
    </row>
    <row r="8932" spans="1:7" ht="12.75" customHeight="1">
      <c r="A8932" s="3">
        <v>89743</v>
      </c>
      <c r="B8932" s="4" t="s">
        <v>8956</v>
      </c>
      <c r="C8932" s="3" t="s">
        <v>6</v>
      </c>
      <c r="D8932" s="5">
        <f t="shared" si="280"/>
        <v>51.79</v>
      </c>
      <c r="E8932">
        <v>56.86</v>
      </c>
      <c r="F8932" s="1789">
        <v>8.8999999999999996E-2</v>
      </c>
      <c r="G8932">
        <f t="shared" si="281"/>
        <v>51.79</v>
      </c>
    </row>
    <row r="8933" spans="1:7" ht="12.75" customHeight="1">
      <c r="A8933" s="3">
        <v>89744</v>
      </c>
      <c r="B8933" s="4" t="s">
        <v>8957</v>
      </c>
      <c r="C8933" s="3" t="s">
        <v>6</v>
      </c>
      <c r="D8933" s="5">
        <f t="shared" si="280"/>
        <v>24.43</v>
      </c>
      <c r="E8933">
        <v>26.82</v>
      </c>
      <c r="F8933" s="1789">
        <v>8.8999999999999996E-2</v>
      </c>
      <c r="G8933">
        <f t="shared" si="281"/>
        <v>24.43</v>
      </c>
    </row>
    <row r="8934" spans="1:7" ht="12.75" customHeight="1">
      <c r="A8934" s="3">
        <v>89746</v>
      </c>
      <c r="B8934" s="4" t="s">
        <v>8958</v>
      </c>
      <c r="C8934" s="3" t="s">
        <v>6</v>
      </c>
      <c r="D8934" s="5">
        <f t="shared" si="280"/>
        <v>25.13</v>
      </c>
      <c r="E8934">
        <v>27.59</v>
      </c>
      <c r="F8934" s="1789">
        <v>8.8999999999999996E-2</v>
      </c>
      <c r="G8934">
        <f t="shared" si="281"/>
        <v>25.13</v>
      </c>
    </row>
    <row r="8935" spans="1:7" ht="12.75" customHeight="1">
      <c r="A8935" s="3">
        <v>89747</v>
      </c>
      <c r="B8935" s="4" t="s">
        <v>8959</v>
      </c>
      <c r="C8935" s="3" t="s">
        <v>6</v>
      </c>
      <c r="D8935" s="5">
        <f t="shared" si="280"/>
        <v>26.56</v>
      </c>
      <c r="E8935">
        <v>29.16</v>
      </c>
      <c r="F8935" s="1789">
        <v>8.8999999999999996E-2</v>
      </c>
      <c r="G8935">
        <f t="shared" si="281"/>
        <v>26.56</v>
      </c>
    </row>
    <row r="8936" spans="1:7" ht="12.75" customHeight="1">
      <c r="A8936" s="3">
        <v>89748</v>
      </c>
      <c r="B8936" s="4" t="s">
        <v>8960</v>
      </c>
      <c r="C8936" s="3" t="s">
        <v>6</v>
      </c>
      <c r="D8936" s="5">
        <f t="shared" si="280"/>
        <v>37.14</v>
      </c>
      <c r="E8936">
        <v>40.770000000000003</v>
      </c>
      <c r="F8936" s="1789">
        <v>8.8999999999999996E-2</v>
      </c>
      <c r="G8936">
        <f t="shared" si="281"/>
        <v>37.14</v>
      </c>
    </row>
    <row r="8937" spans="1:7" ht="12.75" customHeight="1">
      <c r="A8937" s="3">
        <v>89749</v>
      </c>
      <c r="B8937" s="4" t="s">
        <v>8961</v>
      </c>
      <c r="C8937" s="3" t="s">
        <v>6</v>
      </c>
      <c r="D8937" s="5">
        <f t="shared" si="280"/>
        <v>15.22</v>
      </c>
      <c r="E8937">
        <v>16.71</v>
      </c>
      <c r="F8937" s="1789">
        <v>8.8999999999999996E-2</v>
      </c>
      <c r="G8937">
        <f t="shared" si="281"/>
        <v>15.22</v>
      </c>
    </row>
    <row r="8938" spans="1:7" ht="12.75" customHeight="1">
      <c r="A8938" s="3">
        <v>89750</v>
      </c>
      <c r="B8938" s="4" t="s">
        <v>8962</v>
      </c>
      <c r="C8938" s="3" t="s">
        <v>6</v>
      </c>
      <c r="D8938" s="5">
        <f t="shared" si="280"/>
        <v>66.77</v>
      </c>
      <c r="E8938">
        <v>73.3</v>
      </c>
      <c r="F8938" s="1789">
        <v>8.8999999999999996E-2</v>
      </c>
      <c r="G8938">
        <f t="shared" si="281"/>
        <v>66.77</v>
      </c>
    </row>
    <row r="8939" spans="1:7" ht="12.75" customHeight="1">
      <c r="A8939" s="3">
        <v>89752</v>
      </c>
      <c r="B8939" s="4" t="s">
        <v>8963</v>
      </c>
      <c r="C8939" s="3" t="s">
        <v>6</v>
      </c>
      <c r="D8939" s="5">
        <f t="shared" si="280"/>
        <v>6.81</v>
      </c>
      <c r="E8939">
        <v>7.48</v>
      </c>
      <c r="F8939" s="1789">
        <v>8.8999999999999996E-2</v>
      </c>
      <c r="G8939">
        <f t="shared" si="281"/>
        <v>6.81</v>
      </c>
    </row>
    <row r="8940" spans="1:7" ht="12.75" customHeight="1">
      <c r="A8940" s="3">
        <v>89753</v>
      </c>
      <c r="B8940" s="4" t="s">
        <v>8964</v>
      </c>
      <c r="C8940" s="3" t="s">
        <v>6</v>
      </c>
      <c r="D8940" s="5">
        <f t="shared" si="280"/>
        <v>8.14</v>
      </c>
      <c r="E8940">
        <v>8.94</v>
      </c>
      <c r="F8940" s="1789">
        <v>8.8999999999999996E-2</v>
      </c>
      <c r="G8940">
        <f t="shared" si="281"/>
        <v>8.14</v>
      </c>
    </row>
    <row r="8941" spans="1:7" ht="12.75" customHeight="1">
      <c r="A8941" s="3">
        <v>89754</v>
      </c>
      <c r="B8941" s="4" t="s">
        <v>8965</v>
      </c>
      <c r="C8941" s="3" t="s">
        <v>6</v>
      </c>
      <c r="D8941" s="5">
        <f t="shared" si="280"/>
        <v>18.18</v>
      </c>
      <c r="E8941">
        <v>19.96</v>
      </c>
      <c r="F8941" s="1789">
        <v>8.8999999999999996E-2</v>
      </c>
      <c r="G8941">
        <f t="shared" si="281"/>
        <v>18.18</v>
      </c>
    </row>
    <row r="8942" spans="1:7" ht="12.75" customHeight="1">
      <c r="A8942" s="3">
        <v>89755</v>
      </c>
      <c r="B8942" s="4" t="s">
        <v>8966</v>
      </c>
      <c r="C8942" s="3" t="s">
        <v>6</v>
      </c>
      <c r="D8942" s="5">
        <f t="shared" si="280"/>
        <v>12.69</v>
      </c>
      <c r="E8942">
        <v>13.94</v>
      </c>
      <c r="F8942" s="1789">
        <v>8.8999999999999996E-2</v>
      </c>
      <c r="G8942">
        <f t="shared" si="281"/>
        <v>12.69</v>
      </c>
    </row>
    <row r="8943" spans="1:7" ht="12.75" customHeight="1">
      <c r="A8943" s="3">
        <v>89756</v>
      </c>
      <c r="B8943" s="4" t="s">
        <v>8967</v>
      </c>
      <c r="C8943" s="3" t="s">
        <v>6</v>
      </c>
      <c r="D8943" s="5">
        <f t="shared" si="280"/>
        <v>21.13</v>
      </c>
      <c r="E8943">
        <v>23.2</v>
      </c>
      <c r="F8943" s="1789">
        <v>8.8999999999999996E-2</v>
      </c>
      <c r="G8943">
        <f t="shared" si="281"/>
        <v>21.13</v>
      </c>
    </row>
    <row r="8944" spans="1:7" ht="12.75" customHeight="1">
      <c r="A8944" s="3">
        <v>89757</v>
      </c>
      <c r="B8944" s="4" t="s">
        <v>8968</v>
      </c>
      <c r="C8944" s="3" t="s">
        <v>6</v>
      </c>
      <c r="D8944" s="5">
        <f t="shared" si="280"/>
        <v>27.22</v>
      </c>
      <c r="E8944">
        <v>29.89</v>
      </c>
      <c r="F8944" s="1789">
        <v>8.8999999999999996E-2</v>
      </c>
      <c r="G8944">
        <f t="shared" si="281"/>
        <v>27.22</v>
      </c>
    </row>
    <row r="8945" spans="1:7" ht="12.75" customHeight="1">
      <c r="A8945" s="3">
        <v>89758</v>
      </c>
      <c r="B8945" s="4" t="s">
        <v>8969</v>
      </c>
      <c r="C8945" s="3" t="s">
        <v>6</v>
      </c>
      <c r="D8945" s="5">
        <f t="shared" si="280"/>
        <v>33.159999999999997</v>
      </c>
      <c r="E8945">
        <v>36.4</v>
      </c>
      <c r="F8945" s="1789">
        <v>8.8999999999999996E-2</v>
      </c>
      <c r="G8945">
        <f t="shared" si="281"/>
        <v>33.159999999999997</v>
      </c>
    </row>
    <row r="8946" spans="1:7" ht="12.75" customHeight="1">
      <c r="A8946" s="3">
        <v>89759</v>
      </c>
      <c r="B8946" s="4" t="s">
        <v>8970</v>
      </c>
      <c r="C8946" s="3" t="s">
        <v>6</v>
      </c>
      <c r="D8946" s="5">
        <f t="shared" si="280"/>
        <v>10.78</v>
      </c>
      <c r="E8946">
        <v>11.84</v>
      </c>
      <c r="F8946" s="1789">
        <v>8.8999999999999996E-2</v>
      </c>
      <c r="G8946">
        <f t="shared" si="281"/>
        <v>10.78</v>
      </c>
    </row>
    <row r="8947" spans="1:7" ht="12.75" customHeight="1">
      <c r="A8947" s="3">
        <v>89760</v>
      </c>
      <c r="B8947" s="4" t="s">
        <v>8971</v>
      </c>
      <c r="C8947" s="3" t="s">
        <v>6</v>
      </c>
      <c r="D8947" s="5">
        <f t="shared" si="280"/>
        <v>20.190000000000001</v>
      </c>
      <c r="E8947">
        <v>22.17</v>
      </c>
      <c r="F8947" s="1789">
        <v>8.8999999999999996E-2</v>
      </c>
      <c r="G8947">
        <f t="shared" si="281"/>
        <v>20.190000000000001</v>
      </c>
    </row>
    <row r="8948" spans="1:7" ht="12.75" customHeight="1">
      <c r="A8948" s="3">
        <v>89761</v>
      </c>
      <c r="B8948" s="4" t="s">
        <v>8972</v>
      </c>
      <c r="C8948" s="3" t="s">
        <v>6</v>
      </c>
      <c r="D8948" s="5">
        <f t="shared" si="280"/>
        <v>28.15</v>
      </c>
      <c r="E8948">
        <v>30.91</v>
      </c>
      <c r="F8948" s="1789">
        <v>8.8999999999999996E-2</v>
      </c>
      <c r="G8948">
        <f t="shared" si="281"/>
        <v>28.15</v>
      </c>
    </row>
    <row r="8949" spans="1:7" ht="12.75" customHeight="1">
      <c r="A8949" s="3">
        <v>89762</v>
      </c>
      <c r="B8949" s="4" t="s">
        <v>8973</v>
      </c>
      <c r="C8949" s="3" t="s">
        <v>6</v>
      </c>
      <c r="D8949" s="5">
        <f t="shared" si="280"/>
        <v>39.54</v>
      </c>
      <c r="E8949">
        <v>43.41</v>
      </c>
      <c r="F8949" s="1789">
        <v>8.8999999999999996E-2</v>
      </c>
      <c r="G8949">
        <f t="shared" si="281"/>
        <v>39.54</v>
      </c>
    </row>
    <row r="8950" spans="1:7" ht="12.75" customHeight="1">
      <c r="A8950" s="3">
        <v>89763</v>
      </c>
      <c r="B8950" s="4" t="s">
        <v>8974</v>
      </c>
      <c r="C8950" s="3" t="s">
        <v>6</v>
      </c>
      <c r="D8950" s="5">
        <f t="shared" si="280"/>
        <v>50.05</v>
      </c>
      <c r="E8950">
        <v>54.95</v>
      </c>
      <c r="F8950" s="1789">
        <v>8.8999999999999996E-2</v>
      </c>
      <c r="G8950">
        <f t="shared" si="281"/>
        <v>50.05</v>
      </c>
    </row>
    <row r="8951" spans="1:7" ht="12.75" customHeight="1">
      <c r="A8951" s="3">
        <v>89764</v>
      </c>
      <c r="B8951" s="4" t="s">
        <v>8975</v>
      </c>
      <c r="C8951" s="3" t="s">
        <v>6</v>
      </c>
      <c r="D8951" s="5">
        <f t="shared" si="280"/>
        <v>33.47</v>
      </c>
      <c r="E8951">
        <v>36.74</v>
      </c>
      <c r="F8951" s="1789">
        <v>8.8999999999999996E-2</v>
      </c>
      <c r="G8951">
        <f t="shared" si="281"/>
        <v>33.47</v>
      </c>
    </row>
    <row r="8952" spans="1:7" ht="12.75" customHeight="1">
      <c r="A8952" s="3">
        <v>89765</v>
      </c>
      <c r="B8952" s="4" t="s">
        <v>8976</v>
      </c>
      <c r="C8952" s="3" t="s">
        <v>6</v>
      </c>
      <c r="D8952" s="5">
        <f t="shared" si="280"/>
        <v>15.65</v>
      </c>
      <c r="E8952">
        <v>17.18</v>
      </c>
      <c r="F8952" s="1789">
        <v>8.8999999999999996E-2</v>
      </c>
      <c r="G8952">
        <f t="shared" si="281"/>
        <v>15.65</v>
      </c>
    </row>
    <row r="8953" spans="1:7" ht="12.75" customHeight="1">
      <c r="A8953" s="3">
        <v>89767</v>
      </c>
      <c r="B8953" s="4" t="s">
        <v>8977</v>
      </c>
      <c r="C8953" s="3" t="s">
        <v>6</v>
      </c>
      <c r="D8953" s="5">
        <f t="shared" si="280"/>
        <v>19.43</v>
      </c>
      <c r="E8953">
        <v>21.33</v>
      </c>
      <c r="F8953" s="1789">
        <v>8.8999999999999996E-2</v>
      </c>
      <c r="G8953">
        <f t="shared" si="281"/>
        <v>19.43</v>
      </c>
    </row>
    <row r="8954" spans="1:7" ht="12.75" customHeight="1">
      <c r="A8954" s="3">
        <v>89768</v>
      </c>
      <c r="B8954" s="4" t="s">
        <v>8978</v>
      </c>
      <c r="C8954" s="3" t="s">
        <v>6</v>
      </c>
      <c r="D8954" s="5">
        <f t="shared" si="280"/>
        <v>22.71</v>
      </c>
      <c r="E8954">
        <v>24.93</v>
      </c>
      <c r="F8954" s="1789">
        <v>8.8999999999999996E-2</v>
      </c>
      <c r="G8954">
        <f t="shared" si="281"/>
        <v>22.71</v>
      </c>
    </row>
    <row r="8955" spans="1:7" ht="12.75" customHeight="1">
      <c r="A8955" s="3">
        <v>89769</v>
      </c>
      <c r="B8955" s="4" t="s">
        <v>8979</v>
      </c>
      <c r="C8955" s="3" t="s">
        <v>6</v>
      </c>
      <c r="D8955" s="5">
        <f t="shared" si="280"/>
        <v>49.99</v>
      </c>
      <c r="E8955">
        <v>54.88</v>
      </c>
      <c r="F8955" s="1789">
        <v>8.8999999999999996E-2</v>
      </c>
      <c r="G8955">
        <f t="shared" si="281"/>
        <v>49.99</v>
      </c>
    </row>
    <row r="8956" spans="1:7" ht="12.75" customHeight="1">
      <c r="A8956" s="3">
        <v>89772</v>
      </c>
      <c r="B8956" s="4" t="s">
        <v>8980</v>
      </c>
      <c r="C8956" s="3" t="s">
        <v>50</v>
      </c>
      <c r="D8956" s="5">
        <f t="shared" si="280"/>
        <v>78.930000000000007</v>
      </c>
      <c r="E8956">
        <v>86.65</v>
      </c>
      <c r="F8956" s="1789">
        <v>8.8999999999999996E-2</v>
      </c>
      <c r="G8956">
        <f t="shared" si="281"/>
        <v>78.930000000000007</v>
      </c>
    </row>
    <row r="8957" spans="1:7" ht="12.75" customHeight="1">
      <c r="A8957" s="3">
        <v>89774</v>
      </c>
      <c r="B8957" s="4" t="s">
        <v>8981</v>
      </c>
      <c r="C8957" s="3" t="s">
        <v>6</v>
      </c>
      <c r="D8957" s="5">
        <f t="shared" si="280"/>
        <v>13.67</v>
      </c>
      <c r="E8957">
        <v>15.01</v>
      </c>
      <c r="F8957" s="1789">
        <v>8.8999999999999996E-2</v>
      </c>
      <c r="G8957">
        <f t="shared" si="281"/>
        <v>13.67</v>
      </c>
    </row>
    <row r="8958" spans="1:7" ht="12.75" customHeight="1">
      <c r="A8958" s="3">
        <v>89776</v>
      </c>
      <c r="B8958" s="4" t="s">
        <v>8982</v>
      </c>
      <c r="C8958" s="3" t="s">
        <v>6</v>
      </c>
      <c r="D8958" s="5">
        <f t="shared" si="280"/>
        <v>22.32</v>
      </c>
      <c r="E8958">
        <v>24.51</v>
      </c>
      <c r="F8958" s="1789">
        <v>8.8999999999999996E-2</v>
      </c>
      <c r="G8958">
        <f t="shared" si="281"/>
        <v>22.32</v>
      </c>
    </row>
    <row r="8959" spans="1:7" ht="12.75" customHeight="1">
      <c r="A8959" s="3">
        <v>89777</v>
      </c>
      <c r="B8959" s="4" t="s">
        <v>8983</v>
      </c>
      <c r="C8959" s="3" t="s">
        <v>6</v>
      </c>
      <c r="D8959" s="5">
        <f t="shared" si="280"/>
        <v>23.44</v>
      </c>
      <c r="E8959">
        <v>25.73</v>
      </c>
      <c r="F8959" s="1789">
        <v>8.8999999999999996E-2</v>
      </c>
      <c r="G8959">
        <f t="shared" si="281"/>
        <v>23.44</v>
      </c>
    </row>
    <row r="8960" spans="1:7" ht="12.75" customHeight="1">
      <c r="A8960" s="3">
        <v>89778</v>
      </c>
      <c r="B8960" s="4" t="s">
        <v>8984</v>
      </c>
      <c r="C8960" s="3" t="s">
        <v>6</v>
      </c>
      <c r="D8960" s="5">
        <f t="shared" si="280"/>
        <v>15.87</v>
      </c>
      <c r="E8960">
        <v>17.43</v>
      </c>
      <c r="F8960" s="1789">
        <v>8.8999999999999996E-2</v>
      </c>
      <c r="G8960">
        <f t="shared" si="281"/>
        <v>15.87</v>
      </c>
    </row>
    <row r="8961" spans="1:7" ht="12.75" customHeight="1">
      <c r="A8961" s="3">
        <v>89779</v>
      </c>
      <c r="B8961" s="4" t="s">
        <v>8985</v>
      </c>
      <c r="C8961" s="3" t="s">
        <v>6</v>
      </c>
      <c r="D8961" s="5">
        <f t="shared" si="280"/>
        <v>30.3</v>
      </c>
      <c r="E8961">
        <v>33.270000000000003</v>
      </c>
      <c r="F8961" s="1789">
        <v>8.8999999999999996E-2</v>
      </c>
      <c r="G8961">
        <f t="shared" si="281"/>
        <v>30.3</v>
      </c>
    </row>
    <row r="8962" spans="1:7" ht="12.75" customHeight="1">
      <c r="A8962" s="3">
        <v>89780</v>
      </c>
      <c r="B8962" s="4" t="s">
        <v>8986</v>
      </c>
      <c r="C8962" s="3" t="s">
        <v>6</v>
      </c>
      <c r="D8962" s="5">
        <f t="shared" si="280"/>
        <v>21.99</v>
      </c>
      <c r="E8962">
        <v>24.14</v>
      </c>
      <c r="F8962" s="1789">
        <v>8.8999999999999996E-2</v>
      </c>
      <c r="G8962">
        <f t="shared" si="281"/>
        <v>21.99</v>
      </c>
    </row>
    <row r="8963" spans="1:7" ht="12.75" customHeight="1">
      <c r="A8963" s="3">
        <v>89781</v>
      </c>
      <c r="B8963" s="4" t="s">
        <v>8987</v>
      </c>
      <c r="C8963" s="3" t="s">
        <v>6</v>
      </c>
      <c r="D8963" s="5">
        <f t="shared" si="280"/>
        <v>33.049999999999997</v>
      </c>
      <c r="E8963">
        <v>36.28</v>
      </c>
      <c r="F8963" s="1789">
        <v>8.8999999999999996E-2</v>
      </c>
      <c r="G8963">
        <f t="shared" si="281"/>
        <v>33.049999999999997</v>
      </c>
    </row>
    <row r="8964" spans="1:7" ht="12.75" customHeight="1">
      <c r="A8964" s="3">
        <v>89782</v>
      </c>
      <c r="B8964" s="4" t="s">
        <v>8988</v>
      </c>
      <c r="C8964" s="3" t="s">
        <v>6</v>
      </c>
      <c r="D8964" s="5">
        <f t="shared" si="280"/>
        <v>13.1</v>
      </c>
      <c r="E8964">
        <v>14.39</v>
      </c>
      <c r="F8964" s="1789">
        <v>8.8999999999999996E-2</v>
      </c>
      <c r="G8964">
        <f t="shared" si="281"/>
        <v>13.1</v>
      </c>
    </row>
    <row r="8965" spans="1:7" ht="12.75" customHeight="1">
      <c r="A8965" s="3">
        <v>89783</v>
      </c>
      <c r="B8965" s="4" t="s">
        <v>8989</v>
      </c>
      <c r="C8965" s="3" t="s">
        <v>6</v>
      </c>
      <c r="D8965" s="5">
        <f t="shared" si="280"/>
        <v>13.19</v>
      </c>
      <c r="E8965">
        <v>14.48</v>
      </c>
      <c r="F8965" s="1789">
        <v>8.8999999999999996E-2</v>
      </c>
      <c r="G8965">
        <f t="shared" si="281"/>
        <v>13.19</v>
      </c>
    </row>
    <row r="8966" spans="1:7" ht="12.75" customHeight="1">
      <c r="A8966" s="3">
        <v>89784</v>
      </c>
      <c r="B8966" s="4" t="s">
        <v>8990</v>
      </c>
      <c r="C8966" s="3" t="s">
        <v>6</v>
      </c>
      <c r="D8966" s="5">
        <f t="shared" si="280"/>
        <v>21.3</v>
      </c>
      <c r="E8966">
        <v>23.39</v>
      </c>
      <c r="F8966" s="1789">
        <v>8.8999999999999996E-2</v>
      </c>
      <c r="G8966">
        <f t="shared" si="281"/>
        <v>21.3</v>
      </c>
    </row>
    <row r="8967" spans="1:7" ht="12.75" customHeight="1">
      <c r="A8967" s="3">
        <v>89785</v>
      </c>
      <c r="B8967" s="4" t="s">
        <v>8991</v>
      </c>
      <c r="C8967" s="3" t="s">
        <v>6</v>
      </c>
      <c r="D8967" s="5">
        <f t="shared" si="280"/>
        <v>23.29</v>
      </c>
      <c r="E8967">
        <v>25.57</v>
      </c>
      <c r="F8967" s="1789">
        <v>8.8999999999999996E-2</v>
      </c>
      <c r="G8967">
        <f t="shared" si="281"/>
        <v>23.29</v>
      </c>
    </row>
    <row r="8968" spans="1:7" ht="12.75" customHeight="1">
      <c r="A8968" s="3">
        <v>89786</v>
      </c>
      <c r="B8968" s="4" t="s">
        <v>8992</v>
      </c>
      <c r="C8968" s="3" t="s">
        <v>6</v>
      </c>
      <c r="D8968" s="5">
        <f t="shared" si="280"/>
        <v>34</v>
      </c>
      <c r="E8968">
        <v>37.33</v>
      </c>
      <c r="F8968" s="1789">
        <v>8.8999999999999996E-2</v>
      </c>
      <c r="G8968">
        <f t="shared" si="281"/>
        <v>34</v>
      </c>
    </row>
    <row r="8969" spans="1:7" ht="12.75" customHeight="1">
      <c r="A8969" s="3">
        <v>89787</v>
      </c>
      <c r="B8969" s="4" t="s">
        <v>8993</v>
      </c>
      <c r="C8969" s="3" t="s">
        <v>6</v>
      </c>
      <c r="D8969" s="5">
        <f t="shared" si="280"/>
        <v>32.69</v>
      </c>
      <c r="E8969">
        <v>35.89</v>
      </c>
      <c r="F8969" s="1789">
        <v>8.8999999999999996E-2</v>
      </c>
      <c r="G8969">
        <f t="shared" si="281"/>
        <v>32.69</v>
      </c>
    </row>
    <row r="8970" spans="1:7" ht="12.75" customHeight="1">
      <c r="A8970" s="3">
        <v>89788</v>
      </c>
      <c r="B8970" s="4" t="s">
        <v>8994</v>
      </c>
      <c r="C8970" s="3" t="s">
        <v>6</v>
      </c>
      <c r="D8970" s="5">
        <f t="shared" si="280"/>
        <v>70.91</v>
      </c>
      <c r="E8970">
        <v>77.84</v>
      </c>
      <c r="F8970" s="1789">
        <v>8.8999999999999996E-2</v>
      </c>
      <c r="G8970">
        <f t="shared" si="281"/>
        <v>70.91</v>
      </c>
    </row>
    <row r="8971" spans="1:7" ht="12.75" customHeight="1">
      <c r="A8971" s="3">
        <v>89789</v>
      </c>
      <c r="B8971" s="4" t="s">
        <v>8995</v>
      </c>
      <c r="C8971" s="3" t="s">
        <v>6</v>
      </c>
      <c r="D8971" s="5">
        <f t="shared" si="280"/>
        <v>60.35</v>
      </c>
      <c r="E8971">
        <v>66.25</v>
      </c>
      <c r="F8971" s="1789">
        <v>8.8999999999999996E-2</v>
      </c>
      <c r="G8971">
        <f t="shared" si="281"/>
        <v>60.35</v>
      </c>
    </row>
    <row r="8972" spans="1:7" ht="12.75" customHeight="1">
      <c r="A8972" s="3">
        <v>89790</v>
      </c>
      <c r="B8972" s="4" t="s">
        <v>8996</v>
      </c>
      <c r="C8972" s="3" t="s">
        <v>6</v>
      </c>
      <c r="D8972" s="5">
        <f t="shared" si="280"/>
        <v>140.78</v>
      </c>
      <c r="E8972">
        <v>154.54</v>
      </c>
      <c r="F8972" s="1789">
        <v>8.8999999999999996E-2</v>
      </c>
      <c r="G8972">
        <f t="shared" si="281"/>
        <v>140.78</v>
      </c>
    </row>
    <row r="8973" spans="1:7" ht="12.75" customHeight="1">
      <c r="A8973" s="3">
        <v>89791</v>
      </c>
      <c r="B8973" s="4" t="s">
        <v>8997</v>
      </c>
      <c r="C8973" s="3" t="s">
        <v>6</v>
      </c>
      <c r="D8973" s="5">
        <f t="shared" si="280"/>
        <v>136</v>
      </c>
      <c r="E8973">
        <v>149.29</v>
      </c>
      <c r="F8973" s="1789">
        <v>8.8999999999999996E-2</v>
      </c>
      <c r="G8973">
        <f t="shared" si="281"/>
        <v>136</v>
      </c>
    </row>
    <row r="8974" spans="1:7" ht="12.75" customHeight="1">
      <c r="A8974" s="3">
        <v>89792</v>
      </c>
      <c r="B8974" s="4" t="s">
        <v>8998</v>
      </c>
      <c r="C8974" s="3" t="s">
        <v>6</v>
      </c>
      <c r="D8974" s="5">
        <f t="shared" si="280"/>
        <v>167.12</v>
      </c>
      <c r="E8974">
        <v>183.45</v>
      </c>
      <c r="F8974" s="1789">
        <v>8.8999999999999996E-2</v>
      </c>
      <c r="G8974">
        <f t="shared" si="281"/>
        <v>167.12</v>
      </c>
    </row>
    <row r="8975" spans="1:7" ht="12.75" customHeight="1">
      <c r="A8975" s="3">
        <v>89793</v>
      </c>
      <c r="B8975" s="4" t="s">
        <v>8999</v>
      </c>
      <c r="C8975" s="3" t="s">
        <v>6</v>
      </c>
      <c r="D8975" s="5">
        <f t="shared" si="280"/>
        <v>196.83</v>
      </c>
      <c r="E8975">
        <v>216.06</v>
      </c>
      <c r="F8975" s="1789">
        <v>8.8999999999999996E-2</v>
      </c>
      <c r="G8975">
        <f t="shared" si="281"/>
        <v>196.83</v>
      </c>
    </row>
    <row r="8976" spans="1:7" ht="12.75" customHeight="1">
      <c r="A8976" s="3">
        <v>89794</v>
      </c>
      <c r="B8976" s="4" t="s">
        <v>9000</v>
      </c>
      <c r="C8976" s="3" t="s">
        <v>6</v>
      </c>
      <c r="D8976" s="5">
        <f t="shared" si="280"/>
        <v>17.940000000000001</v>
      </c>
      <c r="E8976">
        <v>19.7</v>
      </c>
      <c r="F8976" s="1789">
        <v>8.8999999999999996E-2</v>
      </c>
      <c r="G8976">
        <f t="shared" si="281"/>
        <v>17.940000000000001</v>
      </c>
    </row>
    <row r="8977" spans="1:7" ht="12.75" customHeight="1">
      <c r="A8977" s="3">
        <v>89795</v>
      </c>
      <c r="B8977" s="4" t="s">
        <v>9001</v>
      </c>
      <c r="C8977" s="3" t="s">
        <v>6</v>
      </c>
      <c r="D8977" s="5">
        <f t="shared" si="280"/>
        <v>35.76</v>
      </c>
      <c r="E8977">
        <v>39.26</v>
      </c>
      <c r="F8977" s="1789">
        <v>8.8999999999999996E-2</v>
      </c>
      <c r="G8977">
        <f t="shared" si="281"/>
        <v>35.76</v>
      </c>
    </row>
    <row r="8978" spans="1:7" ht="12.75" customHeight="1">
      <c r="A8978" s="3">
        <v>89796</v>
      </c>
      <c r="B8978" s="4" t="s">
        <v>9002</v>
      </c>
      <c r="C8978" s="3" t="s">
        <v>6</v>
      </c>
      <c r="D8978" s="5">
        <f t="shared" si="280"/>
        <v>38.28</v>
      </c>
      <c r="E8978">
        <v>42.02</v>
      </c>
      <c r="F8978" s="1789">
        <v>8.8999999999999996E-2</v>
      </c>
      <c r="G8978">
        <f t="shared" si="281"/>
        <v>38.28</v>
      </c>
    </row>
    <row r="8979" spans="1:7" ht="12.75" customHeight="1">
      <c r="A8979" s="3">
        <v>89797</v>
      </c>
      <c r="B8979" s="4" t="s">
        <v>9003</v>
      </c>
      <c r="C8979" s="3" t="s">
        <v>6</v>
      </c>
      <c r="D8979" s="5">
        <f t="shared" si="280"/>
        <v>45.08</v>
      </c>
      <c r="E8979">
        <v>49.49</v>
      </c>
      <c r="F8979" s="1789">
        <v>8.8999999999999996E-2</v>
      </c>
      <c r="G8979">
        <f t="shared" si="281"/>
        <v>45.08</v>
      </c>
    </row>
    <row r="8980" spans="1:7" ht="12.75" customHeight="1">
      <c r="A8980" s="3">
        <v>89801</v>
      </c>
      <c r="B8980" s="4" t="s">
        <v>9004</v>
      </c>
      <c r="C8980" s="3" t="s">
        <v>6</v>
      </c>
      <c r="D8980" s="5">
        <f t="shared" si="280"/>
        <v>8.8000000000000007</v>
      </c>
      <c r="E8980">
        <v>9.66</v>
      </c>
      <c r="F8980" s="1789">
        <v>8.8999999999999996E-2</v>
      </c>
      <c r="G8980">
        <f t="shared" si="281"/>
        <v>8.8000000000000007</v>
      </c>
    </row>
    <row r="8981" spans="1:7" ht="12.75" customHeight="1">
      <c r="A8981" s="3">
        <v>89802</v>
      </c>
      <c r="B8981" s="4" t="s">
        <v>9005</v>
      </c>
      <c r="C8981" s="3" t="s">
        <v>6</v>
      </c>
      <c r="D8981" s="5">
        <f t="shared" ref="D8981:D9044" si="282">G8981</f>
        <v>9.41</v>
      </c>
      <c r="E8981">
        <v>10.34</v>
      </c>
      <c r="F8981" s="1789">
        <v>8.8999999999999996E-2</v>
      </c>
      <c r="G8981">
        <f t="shared" ref="G8981:G9044" si="283">TRUNC((1-F8981)*E8981,2)</f>
        <v>9.41</v>
      </c>
    </row>
    <row r="8982" spans="1:7" ht="12.75" customHeight="1">
      <c r="A8982" s="3">
        <v>89803</v>
      </c>
      <c r="B8982" s="4" t="s">
        <v>9006</v>
      </c>
      <c r="C8982" s="3" t="s">
        <v>6</v>
      </c>
      <c r="D8982" s="5">
        <f t="shared" si="282"/>
        <v>15.95</v>
      </c>
      <c r="E8982">
        <v>17.510000000000002</v>
      </c>
      <c r="F8982" s="1789">
        <v>8.8999999999999996E-2</v>
      </c>
      <c r="G8982">
        <f t="shared" si="283"/>
        <v>15.95</v>
      </c>
    </row>
    <row r="8983" spans="1:7" ht="12.75" customHeight="1">
      <c r="A8983" s="3">
        <v>89804</v>
      </c>
      <c r="B8983" s="4" t="s">
        <v>9007</v>
      </c>
      <c r="C8983" s="3" t="s">
        <v>6</v>
      </c>
      <c r="D8983" s="5">
        <f t="shared" si="282"/>
        <v>17.8</v>
      </c>
      <c r="E8983">
        <v>19.54</v>
      </c>
      <c r="F8983" s="1789">
        <v>8.8999999999999996E-2</v>
      </c>
      <c r="G8983">
        <f t="shared" si="283"/>
        <v>17.8</v>
      </c>
    </row>
    <row r="8984" spans="1:7" ht="12.75" customHeight="1">
      <c r="A8984" s="3">
        <v>89805</v>
      </c>
      <c r="B8984" s="4" t="s">
        <v>9008</v>
      </c>
      <c r="C8984" s="3" t="s">
        <v>6</v>
      </c>
      <c r="D8984" s="5">
        <f t="shared" si="282"/>
        <v>18.29</v>
      </c>
      <c r="E8984">
        <v>20.079999999999998</v>
      </c>
      <c r="F8984" s="1789">
        <v>8.8999999999999996E-2</v>
      </c>
      <c r="G8984">
        <f t="shared" si="283"/>
        <v>18.29</v>
      </c>
    </row>
    <row r="8985" spans="1:7" ht="12.75" customHeight="1">
      <c r="A8985" s="3">
        <v>89806</v>
      </c>
      <c r="B8985" s="4" t="s">
        <v>9009</v>
      </c>
      <c r="C8985" s="3" t="s">
        <v>6</v>
      </c>
      <c r="D8985" s="5">
        <f t="shared" si="282"/>
        <v>19.11</v>
      </c>
      <c r="E8985">
        <v>20.98</v>
      </c>
      <c r="F8985" s="1789">
        <v>8.8999999999999996E-2</v>
      </c>
      <c r="G8985">
        <f t="shared" si="283"/>
        <v>19.11</v>
      </c>
    </row>
    <row r="8986" spans="1:7" ht="12.75" customHeight="1">
      <c r="A8986" s="3">
        <v>89807</v>
      </c>
      <c r="B8986" s="4" t="s">
        <v>9010</v>
      </c>
      <c r="C8986" s="3" t="s">
        <v>6</v>
      </c>
      <c r="D8986" s="5">
        <f t="shared" si="282"/>
        <v>32.72</v>
      </c>
      <c r="E8986">
        <v>35.92</v>
      </c>
      <c r="F8986" s="1789">
        <v>8.8999999999999996E-2</v>
      </c>
      <c r="G8986">
        <f t="shared" si="283"/>
        <v>32.72</v>
      </c>
    </row>
    <row r="8987" spans="1:7" ht="12.75" customHeight="1">
      <c r="A8987" s="3">
        <v>89808</v>
      </c>
      <c r="B8987" s="4" t="s">
        <v>9011</v>
      </c>
      <c r="C8987" s="3" t="s">
        <v>6</v>
      </c>
      <c r="D8987" s="5">
        <f t="shared" si="282"/>
        <v>50.12</v>
      </c>
      <c r="E8987">
        <v>55.02</v>
      </c>
      <c r="F8987" s="1789">
        <v>8.8999999999999996E-2</v>
      </c>
      <c r="G8987">
        <f t="shared" si="283"/>
        <v>50.12</v>
      </c>
    </row>
    <row r="8988" spans="1:7" ht="12.75" customHeight="1">
      <c r="A8988" s="3">
        <v>89809</v>
      </c>
      <c r="B8988" s="4" t="s">
        <v>9012</v>
      </c>
      <c r="C8988" s="3" t="s">
        <v>6</v>
      </c>
      <c r="D8988" s="5">
        <f t="shared" si="282"/>
        <v>25.47</v>
      </c>
      <c r="E8988">
        <v>27.96</v>
      </c>
      <c r="F8988" s="1789">
        <v>8.8999999999999996E-2</v>
      </c>
      <c r="G8988">
        <f t="shared" si="283"/>
        <v>25.47</v>
      </c>
    </row>
    <row r="8989" spans="1:7" ht="12.75" customHeight="1">
      <c r="A8989" s="3">
        <v>89810</v>
      </c>
      <c r="B8989" s="4" t="s">
        <v>9013</v>
      </c>
      <c r="C8989" s="3" t="s">
        <v>6</v>
      </c>
      <c r="D8989" s="5">
        <f t="shared" si="282"/>
        <v>26.17</v>
      </c>
      <c r="E8989">
        <v>28.73</v>
      </c>
      <c r="F8989" s="1789">
        <v>8.8999999999999996E-2</v>
      </c>
      <c r="G8989">
        <f t="shared" si="283"/>
        <v>26.17</v>
      </c>
    </row>
    <row r="8990" spans="1:7" ht="12.75" customHeight="1">
      <c r="A8990" s="3">
        <v>89811</v>
      </c>
      <c r="B8990" s="4" t="s">
        <v>9014</v>
      </c>
      <c r="C8990" s="3" t="s">
        <v>6</v>
      </c>
      <c r="D8990" s="5">
        <f t="shared" si="282"/>
        <v>38.18</v>
      </c>
      <c r="E8990">
        <v>41.91</v>
      </c>
      <c r="F8990" s="1789">
        <v>8.8999999999999996E-2</v>
      </c>
      <c r="G8990">
        <f t="shared" si="283"/>
        <v>38.18</v>
      </c>
    </row>
    <row r="8991" spans="1:7" ht="12.75" customHeight="1">
      <c r="A8991" s="3">
        <v>89812</v>
      </c>
      <c r="B8991" s="4" t="s">
        <v>9015</v>
      </c>
      <c r="C8991" s="3" t="s">
        <v>6</v>
      </c>
      <c r="D8991" s="5">
        <f t="shared" si="282"/>
        <v>67.81</v>
      </c>
      <c r="E8991">
        <v>74.44</v>
      </c>
      <c r="F8991" s="1789">
        <v>8.8999999999999996E-2</v>
      </c>
      <c r="G8991">
        <f t="shared" si="283"/>
        <v>67.81</v>
      </c>
    </row>
    <row r="8992" spans="1:7" ht="12.75" customHeight="1">
      <c r="A8992" s="3">
        <v>89813</v>
      </c>
      <c r="B8992" s="4" t="s">
        <v>9016</v>
      </c>
      <c r="C8992" s="3" t="s">
        <v>6</v>
      </c>
      <c r="D8992" s="5">
        <f t="shared" si="282"/>
        <v>5.14</v>
      </c>
      <c r="E8992">
        <v>5.65</v>
      </c>
      <c r="F8992" s="1789">
        <v>8.8999999999999996E-2</v>
      </c>
      <c r="G8992">
        <f t="shared" si="283"/>
        <v>5.14</v>
      </c>
    </row>
    <row r="8993" spans="1:7" ht="12.75" customHeight="1">
      <c r="A8993" s="3">
        <v>89814</v>
      </c>
      <c r="B8993" s="4" t="s">
        <v>9017</v>
      </c>
      <c r="C8993" s="3" t="s">
        <v>6</v>
      </c>
      <c r="D8993" s="5">
        <f t="shared" si="282"/>
        <v>15.25</v>
      </c>
      <c r="E8993">
        <v>16.75</v>
      </c>
      <c r="F8993" s="1789">
        <v>8.8999999999999996E-2</v>
      </c>
      <c r="G8993">
        <f t="shared" si="283"/>
        <v>15.25</v>
      </c>
    </row>
    <row r="8994" spans="1:7" ht="12.75" customHeight="1">
      <c r="A8994" s="3">
        <v>89815</v>
      </c>
      <c r="B8994" s="4" t="s">
        <v>9018</v>
      </c>
      <c r="C8994" s="3" t="s">
        <v>6</v>
      </c>
      <c r="D8994" s="5">
        <f t="shared" si="282"/>
        <v>25.9</v>
      </c>
      <c r="E8994">
        <v>28.44</v>
      </c>
      <c r="F8994" s="1789">
        <v>8.8999999999999996E-2</v>
      </c>
      <c r="G8994">
        <f t="shared" si="283"/>
        <v>25.9</v>
      </c>
    </row>
    <row r="8995" spans="1:7" ht="12.75" customHeight="1">
      <c r="A8995" s="3">
        <v>89816</v>
      </c>
      <c r="B8995" s="4" t="s">
        <v>9019</v>
      </c>
      <c r="C8995" s="3" t="s">
        <v>6</v>
      </c>
      <c r="D8995" s="5">
        <f t="shared" si="282"/>
        <v>37.29</v>
      </c>
      <c r="E8995">
        <v>40.94</v>
      </c>
      <c r="F8995" s="1789">
        <v>8.8999999999999996E-2</v>
      </c>
      <c r="G8995">
        <f t="shared" si="283"/>
        <v>37.29</v>
      </c>
    </row>
    <row r="8996" spans="1:7" ht="12.75" customHeight="1">
      <c r="A8996" s="3">
        <v>89817</v>
      </c>
      <c r="B8996" s="4" t="s">
        <v>9020</v>
      </c>
      <c r="C8996" s="3" t="s">
        <v>6</v>
      </c>
      <c r="D8996" s="5">
        <f t="shared" si="282"/>
        <v>12.52</v>
      </c>
      <c r="E8996">
        <v>13.75</v>
      </c>
      <c r="F8996" s="1789">
        <v>8.8999999999999996E-2</v>
      </c>
      <c r="G8996">
        <f t="shared" si="283"/>
        <v>12.52</v>
      </c>
    </row>
    <row r="8997" spans="1:7" ht="12.75" customHeight="1">
      <c r="A8997" s="3">
        <v>89818</v>
      </c>
      <c r="B8997" s="4" t="s">
        <v>9021</v>
      </c>
      <c r="C8997" s="3" t="s">
        <v>6</v>
      </c>
      <c r="D8997" s="5">
        <f t="shared" si="282"/>
        <v>47.87</v>
      </c>
      <c r="E8997">
        <v>52.55</v>
      </c>
      <c r="F8997" s="1789">
        <v>8.8999999999999996E-2</v>
      </c>
      <c r="G8997">
        <f t="shared" si="283"/>
        <v>47.87</v>
      </c>
    </row>
    <row r="8998" spans="1:7" ht="12.75" customHeight="1">
      <c r="A8998" s="3">
        <v>89819</v>
      </c>
      <c r="B8998" s="4" t="s">
        <v>9022</v>
      </c>
      <c r="C8998" s="3" t="s">
        <v>6</v>
      </c>
      <c r="D8998" s="5">
        <f t="shared" si="282"/>
        <v>21.21</v>
      </c>
      <c r="E8998">
        <v>23.29</v>
      </c>
      <c r="F8998" s="1789">
        <v>8.8999999999999996E-2</v>
      </c>
      <c r="G8998">
        <f t="shared" si="283"/>
        <v>21.21</v>
      </c>
    </row>
    <row r="8999" spans="1:7" ht="12.75" customHeight="1">
      <c r="A8999" s="3">
        <v>89821</v>
      </c>
      <c r="B8999" s="4" t="s">
        <v>9023</v>
      </c>
      <c r="C8999" s="3" t="s">
        <v>6</v>
      </c>
      <c r="D8999" s="5">
        <f t="shared" si="282"/>
        <v>16.559999999999999</v>
      </c>
      <c r="E8999">
        <v>18.18</v>
      </c>
      <c r="F8999" s="1789">
        <v>8.8999999999999996E-2</v>
      </c>
      <c r="G8999">
        <f t="shared" si="283"/>
        <v>16.559999999999999</v>
      </c>
    </row>
    <row r="9000" spans="1:7" ht="12.75" customHeight="1">
      <c r="A9000" s="3">
        <v>89822</v>
      </c>
      <c r="B9000" s="4" t="s">
        <v>9024</v>
      </c>
      <c r="C9000" s="3" t="s">
        <v>6</v>
      </c>
      <c r="D9000" s="5">
        <f t="shared" si="282"/>
        <v>23.4</v>
      </c>
      <c r="E9000">
        <v>25.69</v>
      </c>
      <c r="F9000" s="1789">
        <v>8.8999999999999996E-2</v>
      </c>
      <c r="G9000">
        <f t="shared" si="283"/>
        <v>23.4</v>
      </c>
    </row>
    <row r="9001" spans="1:7" ht="12.75" customHeight="1">
      <c r="A9001" s="3">
        <v>89823</v>
      </c>
      <c r="B9001" s="4" t="s">
        <v>9025</v>
      </c>
      <c r="C9001" s="3" t="s">
        <v>6</v>
      </c>
      <c r="D9001" s="5">
        <f t="shared" si="282"/>
        <v>30.99</v>
      </c>
      <c r="E9001">
        <v>34.020000000000003</v>
      </c>
      <c r="F9001" s="1789">
        <v>8.8999999999999996E-2</v>
      </c>
      <c r="G9001">
        <f t="shared" si="283"/>
        <v>30.99</v>
      </c>
    </row>
    <row r="9002" spans="1:7" ht="12.75" customHeight="1">
      <c r="A9002" s="3">
        <v>89824</v>
      </c>
      <c r="B9002" s="4" t="s">
        <v>9026</v>
      </c>
      <c r="C9002" s="3" t="s">
        <v>6</v>
      </c>
      <c r="D9002" s="5">
        <f t="shared" si="282"/>
        <v>35.1</v>
      </c>
      <c r="E9002">
        <v>38.53</v>
      </c>
      <c r="F9002" s="1789">
        <v>8.8999999999999996E-2</v>
      </c>
      <c r="G9002">
        <f t="shared" si="283"/>
        <v>35.1</v>
      </c>
    </row>
    <row r="9003" spans="1:7" ht="12.75" customHeight="1">
      <c r="A9003" s="3">
        <v>89825</v>
      </c>
      <c r="B9003" s="4" t="s">
        <v>9027</v>
      </c>
      <c r="C9003" s="3" t="s">
        <v>6</v>
      </c>
      <c r="D9003" s="5">
        <f t="shared" si="282"/>
        <v>15.45</v>
      </c>
      <c r="E9003">
        <v>16.97</v>
      </c>
      <c r="F9003" s="1789">
        <v>8.8999999999999996E-2</v>
      </c>
      <c r="G9003">
        <f t="shared" si="283"/>
        <v>15.45</v>
      </c>
    </row>
    <row r="9004" spans="1:7" ht="12.75" customHeight="1">
      <c r="A9004" s="3">
        <v>89826</v>
      </c>
      <c r="B9004" s="4" t="s">
        <v>9028</v>
      </c>
      <c r="C9004" s="3" t="s">
        <v>6</v>
      </c>
      <c r="D9004" s="5">
        <f t="shared" si="282"/>
        <v>112.62</v>
      </c>
      <c r="E9004">
        <v>123.63</v>
      </c>
      <c r="F9004" s="1789">
        <v>8.8999999999999996E-2</v>
      </c>
      <c r="G9004">
        <f t="shared" si="283"/>
        <v>112.62</v>
      </c>
    </row>
    <row r="9005" spans="1:7" ht="12.75" customHeight="1">
      <c r="A9005" s="3">
        <v>89827</v>
      </c>
      <c r="B9005" s="4" t="s">
        <v>9029</v>
      </c>
      <c r="C9005" s="3" t="s">
        <v>6</v>
      </c>
      <c r="D9005" s="5">
        <f t="shared" si="282"/>
        <v>17.440000000000001</v>
      </c>
      <c r="E9005">
        <v>19.149999999999999</v>
      </c>
      <c r="F9005" s="1789">
        <v>8.8999999999999996E-2</v>
      </c>
      <c r="G9005">
        <f t="shared" si="283"/>
        <v>17.440000000000001</v>
      </c>
    </row>
    <row r="9006" spans="1:7" ht="12.75" customHeight="1">
      <c r="A9006" s="3">
        <v>89828</v>
      </c>
      <c r="B9006" s="4" t="s">
        <v>9030</v>
      </c>
      <c r="C9006" s="3" t="s">
        <v>6</v>
      </c>
      <c r="D9006" s="5">
        <f t="shared" si="282"/>
        <v>54.17</v>
      </c>
      <c r="E9006">
        <v>59.47</v>
      </c>
      <c r="F9006" s="1789">
        <v>8.8999999999999996E-2</v>
      </c>
      <c r="G9006">
        <f t="shared" si="283"/>
        <v>54.17</v>
      </c>
    </row>
    <row r="9007" spans="1:7" ht="12.75" customHeight="1">
      <c r="A9007" s="3">
        <v>89829</v>
      </c>
      <c r="B9007" s="4" t="s">
        <v>9031</v>
      </c>
      <c r="C9007" s="3" t="s">
        <v>6</v>
      </c>
      <c r="D9007" s="5">
        <f t="shared" si="282"/>
        <v>31.78</v>
      </c>
      <c r="E9007">
        <v>34.89</v>
      </c>
      <c r="F9007" s="1789">
        <v>8.8999999999999996E-2</v>
      </c>
      <c r="G9007">
        <f t="shared" si="283"/>
        <v>31.78</v>
      </c>
    </row>
    <row r="9008" spans="1:7" ht="12.75" customHeight="1">
      <c r="A9008" s="3">
        <v>89830</v>
      </c>
      <c r="B9008" s="4" t="s">
        <v>9032</v>
      </c>
      <c r="C9008" s="3" t="s">
        <v>6</v>
      </c>
      <c r="D9008" s="5">
        <f t="shared" si="282"/>
        <v>33.54</v>
      </c>
      <c r="E9008">
        <v>36.82</v>
      </c>
      <c r="F9008" s="1789">
        <v>8.8999999999999996E-2</v>
      </c>
      <c r="G9008">
        <f t="shared" si="283"/>
        <v>33.54</v>
      </c>
    </row>
    <row r="9009" spans="1:7" ht="12.75" customHeight="1">
      <c r="A9009" s="3">
        <v>89831</v>
      </c>
      <c r="B9009" s="4" t="s">
        <v>9033</v>
      </c>
      <c r="C9009" s="3" t="s">
        <v>6</v>
      </c>
      <c r="D9009" s="5">
        <f t="shared" si="282"/>
        <v>57.77</v>
      </c>
      <c r="E9009">
        <v>63.42</v>
      </c>
      <c r="F9009" s="1789">
        <v>8.8999999999999996E-2</v>
      </c>
      <c r="G9009">
        <f t="shared" si="283"/>
        <v>57.77</v>
      </c>
    </row>
    <row r="9010" spans="1:7" ht="12.75" customHeight="1">
      <c r="A9010" s="3">
        <v>89832</v>
      </c>
      <c r="B9010" s="4" t="s">
        <v>9034</v>
      </c>
      <c r="C9010" s="3" t="s">
        <v>6</v>
      </c>
      <c r="D9010" s="5">
        <f t="shared" si="282"/>
        <v>37.229999999999997</v>
      </c>
      <c r="E9010">
        <v>40.869999999999997</v>
      </c>
      <c r="F9010" s="1789">
        <v>8.8999999999999996E-2</v>
      </c>
      <c r="G9010">
        <f t="shared" si="283"/>
        <v>37.229999999999997</v>
      </c>
    </row>
    <row r="9011" spans="1:7" ht="12.75" customHeight="1">
      <c r="A9011" s="3">
        <v>89833</v>
      </c>
      <c r="B9011" s="4" t="s">
        <v>9035</v>
      </c>
      <c r="C9011" s="3" t="s">
        <v>6</v>
      </c>
      <c r="D9011" s="5">
        <f t="shared" si="282"/>
        <v>39.65</v>
      </c>
      <c r="E9011">
        <v>43.53</v>
      </c>
      <c r="F9011" s="1789">
        <v>8.8999999999999996E-2</v>
      </c>
      <c r="G9011">
        <f t="shared" si="283"/>
        <v>39.65</v>
      </c>
    </row>
    <row r="9012" spans="1:7" ht="12.75" customHeight="1">
      <c r="A9012" s="3">
        <v>89834</v>
      </c>
      <c r="B9012" s="4" t="s">
        <v>9036</v>
      </c>
      <c r="C9012" s="3" t="s">
        <v>6</v>
      </c>
      <c r="D9012" s="5">
        <f t="shared" si="282"/>
        <v>46.46</v>
      </c>
      <c r="E9012">
        <v>51</v>
      </c>
      <c r="F9012" s="1789">
        <v>8.8999999999999996E-2</v>
      </c>
      <c r="G9012">
        <f t="shared" si="283"/>
        <v>46.46</v>
      </c>
    </row>
    <row r="9013" spans="1:7" ht="12.75" customHeight="1">
      <c r="A9013" s="3">
        <v>89835</v>
      </c>
      <c r="B9013" s="4" t="s">
        <v>9037</v>
      </c>
      <c r="C9013" s="3" t="s">
        <v>6</v>
      </c>
      <c r="D9013" s="5">
        <f t="shared" si="282"/>
        <v>39.909999999999997</v>
      </c>
      <c r="E9013">
        <v>43.81</v>
      </c>
      <c r="F9013" s="1789">
        <v>8.8999999999999996E-2</v>
      </c>
      <c r="G9013">
        <f t="shared" si="283"/>
        <v>39.909999999999997</v>
      </c>
    </row>
    <row r="9014" spans="1:7" ht="12.75" customHeight="1">
      <c r="A9014" s="3">
        <v>89836</v>
      </c>
      <c r="B9014" s="4" t="s">
        <v>9038</v>
      </c>
      <c r="C9014" s="3" t="s">
        <v>6</v>
      </c>
      <c r="D9014" s="5">
        <f t="shared" si="282"/>
        <v>176.96</v>
      </c>
      <c r="E9014">
        <v>194.25</v>
      </c>
      <c r="F9014" s="1789">
        <v>8.8999999999999996E-2</v>
      </c>
      <c r="G9014">
        <f t="shared" si="283"/>
        <v>176.96</v>
      </c>
    </row>
    <row r="9015" spans="1:7" ht="12.75" customHeight="1">
      <c r="A9015" s="3">
        <v>89837</v>
      </c>
      <c r="B9015" s="4" t="s">
        <v>9039</v>
      </c>
      <c r="C9015" s="3" t="s">
        <v>6</v>
      </c>
      <c r="D9015" s="5">
        <f t="shared" si="282"/>
        <v>118.99</v>
      </c>
      <c r="E9015">
        <v>130.62</v>
      </c>
      <c r="F9015" s="1789">
        <v>8.8999999999999996E-2</v>
      </c>
      <c r="G9015">
        <f t="shared" si="283"/>
        <v>118.99</v>
      </c>
    </row>
    <row r="9016" spans="1:7" ht="12.75" customHeight="1">
      <c r="A9016" s="3">
        <v>89838</v>
      </c>
      <c r="B9016" s="4" t="s">
        <v>9040</v>
      </c>
      <c r="C9016" s="3" t="s">
        <v>6</v>
      </c>
      <c r="D9016" s="5">
        <f t="shared" si="282"/>
        <v>136.34</v>
      </c>
      <c r="E9016">
        <v>149.66</v>
      </c>
      <c r="F9016" s="1789">
        <v>8.8999999999999996E-2</v>
      </c>
      <c r="G9016">
        <f t="shared" si="283"/>
        <v>136.34</v>
      </c>
    </row>
    <row r="9017" spans="1:7" ht="12.75" customHeight="1">
      <c r="A9017" s="3">
        <v>89839</v>
      </c>
      <c r="B9017" s="4" t="s">
        <v>9041</v>
      </c>
      <c r="C9017" s="3" t="s">
        <v>6</v>
      </c>
      <c r="D9017" s="5">
        <f t="shared" si="282"/>
        <v>154.44</v>
      </c>
      <c r="E9017">
        <v>169.53</v>
      </c>
      <c r="F9017" s="1789">
        <v>8.8999999999999996E-2</v>
      </c>
      <c r="G9017">
        <f t="shared" si="283"/>
        <v>154.44</v>
      </c>
    </row>
    <row r="9018" spans="1:7" ht="12.75" customHeight="1">
      <c r="A9018" s="3">
        <v>89840</v>
      </c>
      <c r="B9018" s="4" t="s">
        <v>9042</v>
      </c>
      <c r="C9018" s="3" t="s">
        <v>6</v>
      </c>
      <c r="D9018" s="5">
        <f t="shared" si="282"/>
        <v>161.37</v>
      </c>
      <c r="E9018">
        <v>177.14</v>
      </c>
      <c r="F9018" s="1789">
        <v>8.8999999999999996E-2</v>
      </c>
      <c r="G9018">
        <f t="shared" si="283"/>
        <v>161.37</v>
      </c>
    </row>
    <row r="9019" spans="1:7" ht="12.75" customHeight="1">
      <c r="A9019" s="3">
        <v>89841</v>
      </c>
      <c r="B9019" s="4" t="s">
        <v>9043</v>
      </c>
      <c r="C9019" s="3" t="s">
        <v>6</v>
      </c>
      <c r="D9019" s="5">
        <f t="shared" si="282"/>
        <v>234.81</v>
      </c>
      <c r="E9019">
        <v>257.75</v>
      </c>
      <c r="F9019" s="1789">
        <v>8.8999999999999996E-2</v>
      </c>
      <c r="G9019">
        <f t="shared" si="283"/>
        <v>234.81</v>
      </c>
    </row>
    <row r="9020" spans="1:7" ht="12.75" customHeight="1">
      <c r="A9020" s="3">
        <v>89842</v>
      </c>
      <c r="B9020" s="4" t="s">
        <v>9044</v>
      </c>
      <c r="C9020" s="3" t="s">
        <v>6</v>
      </c>
      <c r="D9020" s="5">
        <f t="shared" si="282"/>
        <v>45.48</v>
      </c>
      <c r="E9020">
        <v>49.93</v>
      </c>
      <c r="F9020" s="1789">
        <v>8.8999999999999996E-2</v>
      </c>
      <c r="G9020">
        <f t="shared" si="283"/>
        <v>45.48</v>
      </c>
    </row>
    <row r="9021" spans="1:7" ht="12.75" customHeight="1">
      <c r="A9021" s="3">
        <v>89844</v>
      </c>
      <c r="B9021" s="4" t="s">
        <v>9045</v>
      </c>
      <c r="C9021" s="3" t="s">
        <v>6</v>
      </c>
      <c r="D9021" s="5">
        <f t="shared" si="282"/>
        <v>57.21</v>
      </c>
      <c r="E9021">
        <v>62.81</v>
      </c>
      <c r="F9021" s="1789">
        <v>8.8999999999999996E-2</v>
      </c>
      <c r="G9021">
        <f t="shared" si="283"/>
        <v>57.21</v>
      </c>
    </row>
    <row r="9022" spans="1:7" ht="12.75" customHeight="1">
      <c r="A9022" s="3">
        <v>89845</v>
      </c>
      <c r="B9022" s="4" t="s">
        <v>9046</v>
      </c>
      <c r="C9022" s="3" t="s">
        <v>6</v>
      </c>
      <c r="D9022" s="5">
        <f t="shared" si="282"/>
        <v>89.35</v>
      </c>
      <c r="E9022">
        <v>98.09</v>
      </c>
      <c r="F9022" s="1789">
        <v>8.8999999999999996E-2</v>
      </c>
      <c r="G9022">
        <f t="shared" si="283"/>
        <v>89.35</v>
      </c>
    </row>
    <row r="9023" spans="1:7" ht="12.75" customHeight="1">
      <c r="A9023" s="3">
        <v>89846</v>
      </c>
      <c r="B9023" s="4" t="s">
        <v>9047</v>
      </c>
      <c r="C9023" s="3" t="s">
        <v>6</v>
      </c>
      <c r="D9023" s="5">
        <f t="shared" si="282"/>
        <v>189.7</v>
      </c>
      <c r="E9023">
        <v>208.24</v>
      </c>
      <c r="F9023" s="1789">
        <v>8.8999999999999996E-2</v>
      </c>
      <c r="G9023">
        <f t="shared" si="283"/>
        <v>189.7</v>
      </c>
    </row>
    <row r="9024" spans="1:7" ht="12.75" customHeight="1">
      <c r="A9024" s="3">
        <v>89847</v>
      </c>
      <c r="B9024" s="4" t="s">
        <v>9048</v>
      </c>
      <c r="C9024" s="3" t="s">
        <v>6</v>
      </c>
      <c r="D9024" s="5">
        <f t="shared" si="282"/>
        <v>227.51</v>
      </c>
      <c r="E9024">
        <v>249.74</v>
      </c>
      <c r="F9024" s="1789">
        <v>8.8999999999999996E-2</v>
      </c>
      <c r="G9024">
        <f t="shared" si="283"/>
        <v>227.51</v>
      </c>
    </row>
    <row r="9025" spans="1:7" ht="12.75" customHeight="1">
      <c r="A9025" s="3">
        <v>89850</v>
      </c>
      <c r="B9025" s="4" t="s">
        <v>9049</v>
      </c>
      <c r="C9025" s="3" t="s">
        <v>6</v>
      </c>
      <c r="D9025" s="5">
        <f t="shared" si="282"/>
        <v>28.02</v>
      </c>
      <c r="E9025">
        <v>30.76</v>
      </c>
      <c r="F9025" s="1789">
        <v>8.8999999999999996E-2</v>
      </c>
      <c r="G9025">
        <f t="shared" si="283"/>
        <v>28.02</v>
      </c>
    </row>
    <row r="9026" spans="1:7" ht="12.75" customHeight="1">
      <c r="A9026" s="3">
        <v>89851</v>
      </c>
      <c r="B9026" s="4" t="s">
        <v>9050</v>
      </c>
      <c r="C9026" s="3" t="s">
        <v>6</v>
      </c>
      <c r="D9026" s="5">
        <f t="shared" si="282"/>
        <v>28.72</v>
      </c>
      <c r="E9026">
        <v>31.53</v>
      </c>
      <c r="F9026" s="1789">
        <v>8.8999999999999996E-2</v>
      </c>
      <c r="G9026">
        <f t="shared" si="283"/>
        <v>28.72</v>
      </c>
    </row>
    <row r="9027" spans="1:7" ht="12.75" customHeight="1">
      <c r="A9027" s="3">
        <v>89852</v>
      </c>
      <c r="B9027" s="4" t="s">
        <v>9051</v>
      </c>
      <c r="C9027" s="3" t="s">
        <v>6</v>
      </c>
      <c r="D9027" s="5">
        <f t="shared" si="282"/>
        <v>40.729999999999997</v>
      </c>
      <c r="E9027">
        <v>44.71</v>
      </c>
      <c r="F9027" s="1789">
        <v>8.8999999999999996E-2</v>
      </c>
      <c r="G9027">
        <f t="shared" si="283"/>
        <v>40.729999999999997</v>
      </c>
    </row>
    <row r="9028" spans="1:7" ht="12.75" customHeight="1">
      <c r="A9028" s="3">
        <v>89853</v>
      </c>
      <c r="B9028" s="4" t="s">
        <v>9052</v>
      </c>
      <c r="C9028" s="3" t="s">
        <v>6</v>
      </c>
      <c r="D9028" s="5">
        <f t="shared" si="282"/>
        <v>70.36</v>
      </c>
      <c r="E9028">
        <v>77.239999999999995</v>
      </c>
      <c r="F9028" s="1789">
        <v>8.8999999999999996E-2</v>
      </c>
      <c r="G9028">
        <f t="shared" si="283"/>
        <v>70.36</v>
      </c>
    </row>
    <row r="9029" spans="1:7" ht="12.75" customHeight="1">
      <c r="A9029" s="3">
        <v>89854</v>
      </c>
      <c r="B9029" s="4" t="s">
        <v>9053</v>
      </c>
      <c r="C9029" s="3" t="s">
        <v>6</v>
      </c>
      <c r="D9029" s="5">
        <f t="shared" si="282"/>
        <v>92.03</v>
      </c>
      <c r="E9029">
        <v>101.03</v>
      </c>
      <c r="F9029" s="1789">
        <v>8.8999999999999996E-2</v>
      </c>
      <c r="G9029">
        <f t="shared" si="283"/>
        <v>92.03</v>
      </c>
    </row>
    <row r="9030" spans="1:7" ht="12.75" customHeight="1">
      <c r="A9030" s="3">
        <v>89855</v>
      </c>
      <c r="B9030" s="4" t="s">
        <v>9054</v>
      </c>
      <c r="C9030" s="3" t="s">
        <v>6</v>
      </c>
      <c r="D9030" s="5">
        <f t="shared" si="282"/>
        <v>96.44</v>
      </c>
      <c r="E9030">
        <v>105.87</v>
      </c>
      <c r="F9030" s="1789">
        <v>8.8999999999999996E-2</v>
      </c>
      <c r="G9030">
        <f t="shared" si="283"/>
        <v>96.44</v>
      </c>
    </row>
    <row r="9031" spans="1:7" ht="12.75" customHeight="1">
      <c r="A9031" s="3">
        <v>89856</v>
      </c>
      <c r="B9031" s="4" t="s">
        <v>9055</v>
      </c>
      <c r="C9031" s="3" t="s">
        <v>6</v>
      </c>
      <c r="D9031" s="5">
        <f t="shared" si="282"/>
        <v>18.27</v>
      </c>
      <c r="E9031">
        <v>20.059999999999999</v>
      </c>
      <c r="F9031" s="1789">
        <v>8.8999999999999996E-2</v>
      </c>
      <c r="G9031">
        <f t="shared" si="283"/>
        <v>18.27</v>
      </c>
    </row>
    <row r="9032" spans="1:7" ht="12.75" customHeight="1">
      <c r="A9032" s="3">
        <v>89857</v>
      </c>
      <c r="B9032" s="4" t="s">
        <v>9056</v>
      </c>
      <c r="C9032" s="3" t="s">
        <v>6</v>
      </c>
      <c r="D9032" s="5">
        <f t="shared" si="282"/>
        <v>32.69</v>
      </c>
      <c r="E9032">
        <v>35.89</v>
      </c>
      <c r="F9032" s="1789">
        <v>8.8999999999999996E-2</v>
      </c>
      <c r="G9032">
        <f t="shared" si="283"/>
        <v>32.69</v>
      </c>
    </row>
    <row r="9033" spans="1:7" ht="12.75" customHeight="1">
      <c r="A9033" s="3">
        <v>89860</v>
      </c>
      <c r="B9033" s="4" t="s">
        <v>9057</v>
      </c>
      <c r="C9033" s="3" t="s">
        <v>6</v>
      </c>
      <c r="D9033" s="5">
        <f t="shared" si="282"/>
        <v>43.05</v>
      </c>
      <c r="E9033">
        <v>47.26</v>
      </c>
      <c r="F9033" s="1789">
        <v>8.8999999999999996E-2</v>
      </c>
      <c r="G9033">
        <f t="shared" si="283"/>
        <v>43.05</v>
      </c>
    </row>
    <row r="9034" spans="1:7" ht="12.75" customHeight="1">
      <c r="A9034" s="3">
        <v>89861</v>
      </c>
      <c r="B9034" s="4" t="s">
        <v>9058</v>
      </c>
      <c r="C9034" s="3" t="s">
        <v>6</v>
      </c>
      <c r="D9034" s="5">
        <f t="shared" si="282"/>
        <v>49.85</v>
      </c>
      <c r="E9034">
        <v>54.73</v>
      </c>
      <c r="F9034" s="1789">
        <v>8.8999999999999996E-2</v>
      </c>
      <c r="G9034">
        <f t="shared" si="283"/>
        <v>49.85</v>
      </c>
    </row>
    <row r="9035" spans="1:7" ht="12.75" customHeight="1">
      <c r="A9035" s="3">
        <v>89866</v>
      </c>
      <c r="B9035" s="4" t="s">
        <v>9059</v>
      </c>
      <c r="C9035" s="3" t="s">
        <v>6</v>
      </c>
      <c r="D9035" s="5">
        <f t="shared" si="282"/>
        <v>6.36</v>
      </c>
      <c r="E9035">
        <v>6.99</v>
      </c>
      <c r="F9035" s="1789">
        <v>8.8999999999999996E-2</v>
      </c>
      <c r="G9035">
        <f t="shared" si="283"/>
        <v>6.36</v>
      </c>
    </row>
    <row r="9036" spans="1:7" ht="12.75" customHeight="1">
      <c r="A9036" s="3">
        <v>89867</v>
      </c>
      <c r="B9036" s="4" t="s">
        <v>9060</v>
      </c>
      <c r="C9036" s="3" t="s">
        <v>6</v>
      </c>
      <c r="D9036" s="5">
        <f t="shared" si="282"/>
        <v>6.97</v>
      </c>
      <c r="E9036">
        <v>7.66</v>
      </c>
      <c r="F9036" s="1789">
        <v>8.8999999999999996E-2</v>
      </c>
      <c r="G9036">
        <f t="shared" si="283"/>
        <v>6.97</v>
      </c>
    </row>
    <row r="9037" spans="1:7" ht="12.75" customHeight="1">
      <c r="A9037" s="3">
        <v>89868</v>
      </c>
      <c r="B9037" s="4" t="s">
        <v>9061</v>
      </c>
      <c r="C9037" s="3" t="s">
        <v>6</v>
      </c>
      <c r="D9037" s="5">
        <f t="shared" si="282"/>
        <v>4.88</v>
      </c>
      <c r="E9037">
        <v>5.36</v>
      </c>
      <c r="F9037" s="1789">
        <v>8.8999999999999996E-2</v>
      </c>
      <c r="G9037">
        <f t="shared" si="283"/>
        <v>4.88</v>
      </c>
    </row>
    <row r="9038" spans="1:7" ht="12.75" customHeight="1">
      <c r="A9038" s="3">
        <v>89869</v>
      </c>
      <c r="B9038" s="4" t="s">
        <v>9062</v>
      </c>
      <c r="C9038" s="3" t="s">
        <v>6</v>
      </c>
      <c r="D9038" s="5">
        <f t="shared" si="282"/>
        <v>8.8699999999999992</v>
      </c>
      <c r="E9038">
        <v>9.74</v>
      </c>
      <c r="F9038" s="1789">
        <v>8.8999999999999996E-2</v>
      </c>
      <c r="G9038">
        <f t="shared" si="283"/>
        <v>8.8699999999999992</v>
      </c>
    </row>
    <row r="9039" spans="1:7" ht="12.75" customHeight="1">
      <c r="A9039" s="3">
        <v>89979</v>
      </c>
      <c r="B9039" s="4" t="s">
        <v>9063</v>
      </c>
      <c r="C9039" s="3" t="s">
        <v>6</v>
      </c>
      <c r="D9039" s="5">
        <f t="shared" si="282"/>
        <v>19.7</v>
      </c>
      <c r="E9039">
        <v>21.63</v>
      </c>
      <c r="F9039" s="1789">
        <v>8.8999999999999996E-2</v>
      </c>
      <c r="G9039">
        <f t="shared" si="283"/>
        <v>19.7</v>
      </c>
    </row>
    <row r="9040" spans="1:7" ht="12.75" customHeight="1">
      <c r="A9040" s="3">
        <v>89981</v>
      </c>
      <c r="B9040" s="4" t="s">
        <v>9064</v>
      </c>
      <c r="C9040" s="3" t="s">
        <v>6</v>
      </c>
      <c r="D9040" s="5">
        <f t="shared" si="282"/>
        <v>17.149999999999999</v>
      </c>
      <c r="E9040">
        <v>18.829999999999998</v>
      </c>
      <c r="F9040" s="1789">
        <v>8.8999999999999996E-2</v>
      </c>
      <c r="G9040">
        <f t="shared" si="283"/>
        <v>17.149999999999999</v>
      </c>
    </row>
    <row r="9041" spans="1:7" ht="12.75" customHeight="1">
      <c r="A9041" s="3">
        <v>90373</v>
      </c>
      <c r="B9041" s="4" t="s">
        <v>9065</v>
      </c>
      <c r="C9041" s="3" t="s">
        <v>6</v>
      </c>
      <c r="D9041" s="5">
        <f t="shared" si="282"/>
        <v>10.77</v>
      </c>
      <c r="E9041">
        <v>11.83</v>
      </c>
      <c r="F9041" s="1789">
        <v>8.8999999999999996E-2</v>
      </c>
      <c r="G9041">
        <f t="shared" si="283"/>
        <v>10.77</v>
      </c>
    </row>
    <row r="9042" spans="1:7" ht="12.75" customHeight="1">
      <c r="A9042" s="3">
        <v>90374</v>
      </c>
      <c r="B9042" s="4" t="s">
        <v>9066</v>
      </c>
      <c r="C9042" s="3" t="s">
        <v>6</v>
      </c>
      <c r="D9042" s="5">
        <f t="shared" si="282"/>
        <v>18.16</v>
      </c>
      <c r="E9042">
        <v>19.940000000000001</v>
      </c>
      <c r="F9042" s="1789">
        <v>8.8999999999999996E-2</v>
      </c>
      <c r="G9042">
        <f t="shared" si="283"/>
        <v>18.16</v>
      </c>
    </row>
    <row r="9043" spans="1:7" ht="12.75" customHeight="1">
      <c r="A9043" s="3">
        <v>92287</v>
      </c>
      <c r="B9043" s="4" t="s">
        <v>9067</v>
      </c>
      <c r="C9043" s="3" t="s">
        <v>6</v>
      </c>
      <c r="D9043" s="5">
        <f t="shared" si="282"/>
        <v>15.67</v>
      </c>
      <c r="E9043">
        <v>17.21</v>
      </c>
      <c r="F9043" s="1789">
        <v>8.8999999999999996E-2</v>
      </c>
      <c r="G9043">
        <f t="shared" si="283"/>
        <v>15.67</v>
      </c>
    </row>
    <row r="9044" spans="1:7" ht="12.75" customHeight="1">
      <c r="A9044" s="3">
        <v>92288</v>
      </c>
      <c r="B9044" s="4" t="s">
        <v>9068</v>
      </c>
      <c r="C9044" s="3" t="s">
        <v>6</v>
      </c>
      <c r="D9044" s="5">
        <f t="shared" si="282"/>
        <v>24.78</v>
      </c>
      <c r="E9044">
        <v>27.21</v>
      </c>
      <c r="F9044" s="1789">
        <v>8.8999999999999996E-2</v>
      </c>
      <c r="G9044">
        <f t="shared" si="283"/>
        <v>24.78</v>
      </c>
    </row>
    <row r="9045" spans="1:7" ht="12.75" customHeight="1">
      <c r="A9045" s="3">
        <v>92289</v>
      </c>
      <c r="B9045" s="4" t="s">
        <v>9069</v>
      </c>
      <c r="C9045" s="3" t="s">
        <v>6</v>
      </c>
      <c r="D9045" s="5">
        <f t="shared" ref="D9045:D9108" si="284">G9045</f>
        <v>44.05</v>
      </c>
      <c r="E9045">
        <v>48.36</v>
      </c>
      <c r="F9045" s="1789">
        <v>8.8999999999999996E-2</v>
      </c>
      <c r="G9045">
        <f t="shared" ref="G9045:G9108" si="285">TRUNC((1-F9045)*E9045,2)</f>
        <v>44.05</v>
      </c>
    </row>
    <row r="9046" spans="1:7" ht="12.75" customHeight="1">
      <c r="A9046" s="3">
        <v>92290</v>
      </c>
      <c r="B9046" s="4" t="s">
        <v>9070</v>
      </c>
      <c r="C9046" s="3" t="s">
        <v>6</v>
      </c>
      <c r="D9046" s="5">
        <f t="shared" si="284"/>
        <v>66.86</v>
      </c>
      <c r="E9046">
        <v>73.400000000000006</v>
      </c>
      <c r="F9046" s="1789">
        <v>8.8999999999999996E-2</v>
      </c>
      <c r="G9046">
        <f t="shared" si="285"/>
        <v>66.86</v>
      </c>
    </row>
    <row r="9047" spans="1:7" ht="12.75" customHeight="1">
      <c r="A9047" s="3">
        <v>92291</v>
      </c>
      <c r="B9047" s="4" t="s">
        <v>9071</v>
      </c>
      <c r="C9047" s="3" t="s">
        <v>6</v>
      </c>
      <c r="D9047" s="5">
        <f t="shared" si="284"/>
        <v>103.72</v>
      </c>
      <c r="E9047">
        <v>113.86</v>
      </c>
      <c r="F9047" s="1789">
        <v>8.8999999999999996E-2</v>
      </c>
      <c r="G9047">
        <f t="shared" si="285"/>
        <v>103.72</v>
      </c>
    </row>
    <row r="9048" spans="1:7" ht="12.75" customHeight="1">
      <c r="A9048" s="3">
        <v>92292</v>
      </c>
      <c r="B9048" s="4" t="s">
        <v>9072</v>
      </c>
      <c r="C9048" s="3" t="s">
        <v>6</v>
      </c>
      <c r="D9048" s="5">
        <f t="shared" si="284"/>
        <v>322.45999999999998</v>
      </c>
      <c r="E9048">
        <v>353.97</v>
      </c>
      <c r="F9048" s="1789">
        <v>8.8999999999999996E-2</v>
      </c>
      <c r="G9048">
        <f t="shared" si="285"/>
        <v>322.45999999999998</v>
      </c>
    </row>
    <row r="9049" spans="1:7" ht="12.75" customHeight="1">
      <c r="A9049" s="3">
        <v>92293</v>
      </c>
      <c r="B9049" s="4" t="s">
        <v>9073</v>
      </c>
      <c r="C9049" s="3" t="s">
        <v>6</v>
      </c>
      <c r="D9049" s="5">
        <f t="shared" si="284"/>
        <v>8.8800000000000008</v>
      </c>
      <c r="E9049">
        <v>9.75</v>
      </c>
      <c r="F9049" s="1789">
        <v>8.8999999999999996E-2</v>
      </c>
      <c r="G9049">
        <f t="shared" si="285"/>
        <v>8.8800000000000008</v>
      </c>
    </row>
    <row r="9050" spans="1:7" ht="12.75" customHeight="1">
      <c r="A9050" s="3">
        <v>92294</v>
      </c>
      <c r="B9050" s="4" t="s">
        <v>9074</v>
      </c>
      <c r="C9050" s="3" t="s">
        <v>6</v>
      </c>
      <c r="D9050" s="5">
        <f t="shared" si="284"/>
        <v>15.09</v>
      </c>
      <c r="E9050">
        <v>16.57</v>
      </c>
      <c r="F9050" s="1789">
        <v>8.8999999999999996E-2</v>
      </c>
      <c r="G9050">
        <f t="shared" si="285"/>
        <v>15.09</v>
      </c>
    </row>
    <row r="9051" spans="1:7" ht="12.75" customHeight="1">
      <c r="A9051" s="3">
        <v>92295</v>
      </c>
      <c r="B9051" s="4" t="s">
        <v>9075</v>
      </c>
      <c r="C9051" s="3" t="s">
        <v>6</v>
      </c>
      <c r="D9051" s="5">
        <f t="shared" si="284"/>
        <v>28.57</v>
      </c>
      <c r="E9051">
        <v>31.37</v>
      </c>
      <c r="F9051" s="1789">
        <v>8.8999999999999996E-2</v>
      </c>
      <c r="G9051">
        <f t="shared" si="285"/>
        <v>28.57</v>
      </c>
    </row>
    <row r="9052" spans="1:7" ht="12.75" customHeight="1">
      <c r="A9052" s="3">
        <v>92296</v>
      </c>
      <c r="B9052" s="4" t="s">
        <v>9076</v>
      </c>
      <c r="C9052" s="3" t="s">
        <v>6</v>
      </c>
      <c r="D9052" s="5">
        <f t="shared" si="284"/>
        <v>37.880000000000003</v>
      </c>
      <c r="E9052">
        <v>41.59</v>
      </c>
      <c r="F9052" s="1789">
        <v>8.8999999999999996E-2</v>
      </c>
      <c r="G9052">
        <f t="shared" si="285"/>
        <v>37.880000000000003</v>
      </c>
    </row>
    <row r="9053" spans="1:7" ht="12.75" customHeight="1">
      <c r="A9053" s="3">
        <v>92297</v>
      </c>
      <c r="B9053" s="4" t="s">
        <v>9077</v>
      </c>
      <c r="C9053" s="3" t="s">
        <v>6</v>
      </c>
      <c r="D9053" s="5">
        <f t="shared" si="284"/>
        <v>58.86</v>
      </c>
      <c r="E9053">
        <v>64.62</v>
      </c>
      <c r="F9053" s="1789">
        <v>8.8999999999999996E-2</v>
      </c>
      <c r="G9053">
        <f t="shared" si="285"/>
        <v>58.86</v>
      </c>
    </row>
    <row r="9054" spans="1:7" ht="12.75" customHeight="1">
      <c r="A9054" s="3">
        <v>92298</v>
      </c>
      <c r="B9054" s="4" t="s">
        <v>9078</v>
      </c>
      <c r="C9054" s="3" t="s">
        <v>6</v>
      </c>
      <c r="D9054" s="5">
        <f t="shared" si="284"/>
        <v>166.02</v>
      </c>
      <c r="E9054">
        <v>182.24</v>
      </c>
      <c r="F9054" s="1789">
        <v>8.8999999999999996E-2</v>
      </c>
      <c r="G9054">
        <f t="shared" si="285"/>
        <v>166.02</v>
      </c>
    </row>
    <row r="9055" spans="1:7" ht="12.75" customHeight="1">
      <c r="A9055" s="3">
        <v>92299</v>
      </c>
      <c r="B9055" s="4" t="s">
        <v>9079</v>
      </c>
      <c r="C9055" s="3" t="s">
        <v>6</v>
      </c>
      <c r="D9055" s="5">
        <f t="shared" si="284"/>
        <v>20.63</v>
      </c>
      <c r="E9055">
        <v>22.65</v>
      </c>
      <c r="F9055" s="1789">
        <v>8.8999999999999996E-2</v>
      </c>
      <c r="G9055">
        <f t="shared" si="285"/>
        <v>20.63</v>
      </c>
    </row>
    <row r="9056" spans="1:7" ht="12.75" customHeight="1">
      <c r="A9056" s="3">
        <v>92300</v>
      </c>
      <c r="B9056" s="4" t="s">
        <v>9080</v>
      </c>
      <c r="C9056" s="3" t="s">
        <v>6</v>
      </c>
      <c r="D9056" s="5">
        <f t="shared" si="284"/>
        <v>31.49</v>
      </c>
      <c r="E9056">
        <v>34.57</v>
      </c>
      <c r="F9056" s="1789">
        <v>8.8999999999999996E-2</v>
      </c>
      <c r="G9056">
        <f t="shared" si="285"/>
        <v>31.49</v>
      </c>
    </row>
    <row r="9057" spans="1:7" ht="12.75" customHeight="1">
      <c r="A9057" s="3">
        <v>92301</v>
      </c>
      <c r="B9057" s="4" t="s">
        <v>9081</v>
      </c>
      <c r="C9057" s="3" t="s">
        <v>6</v>
      </c>
      <c r="D9057" s="5">
        <f t="shared" si="284"/>
        <v>62.61</v>
      </c>
      <c r="E9057">
        <v>68.73</v>
      </c>
      <c r="F9057" s="1789">
        <v>8.8999999999999996E-2</v>
      </c>
      <c r="G9057">
        <f t="shared" si="285"/>
        <v>62.61</v>
      </c>
    </row>
    <row r="9058" spans="1:7" ht="12.75" customHeight="1">
      <c r="A9058" s="3">
        <v>92302</v>
      </c>
      <c r="B9058" s="4" t="s">
        <v>9082</v>
      </c>
      <c r="C9058" s="3" t="s">
        <v>6</v>
      </c>
      <c r="D9058" s="5">
        <f t="shared" si="284"/>
        <v>82.78</v>
      </c>
      <c r="E9058">
        <v>90.87</v>
      </c>
      <c r="F9058" s="1789">
        <v>8.8999999999999996E-2</v>
      </c>
      <c r="G9058">
        <f t="shared" si="285"/>
        <v>82.78</v>
      </c>
    </row>
    <row r="9059" spans="1:7" ht="12.75" customHeight="1">
      <c r="A9059" s="3">
        <v>92303</v>
      </c>
      <c r="B9059" s="4" t="s">
        <v>9083</v>
      </c>
      <c r="C9059" s="3" t="s">
        <v>6</v>
      </c>
      <c r="D9059" s="5">
        <f t="shared" si="284"/>
        <v>152.29</v>
      </c>
      <c r="E9059">
        <v>167.17</v>
      </c>
      <c r="F9059" s="1789">
        <v>8.8999999999999996E-2</v>
      </c>
      <c r="G9059">
        <f t="shared" si="285"/>
        <v>152.29</v>
      </c>
    </row>
    <row r="9060" spans="1:7" ht="12.75" customHeight="1">
      <c r="A9060" s="3">
        <v>92304</v>
      </c>
      <c r="B9060" s="4" t="s">
        <v>9084</v>
      </c>
      <c r="C9060" s="3" t="s">
        <v>6</v>
      </c>
      <c r="D9060" s="5">
        <f t="shared" si="284"/>
        <v>396.43</v>
      </c>
      <c r="E9060">
        <v>435.17</v>
      </c>
      <c r="F9060" s="1789">
        <v>8.8999999999999996E-2</v>
      </c>
      <c r="G9060">
        <f t="shared" si="285"/>
        <v>396.43</v>
      </c>
    </row>
    <row r="9061" spans="1:7" ht="12.75" customHeight="1">
      <c r="A9061" s="3">
        <v>92311</v>
      </c>
      <c r="B9061" s="4" t="s">
        <v>9085</v>
      </c>
      <c r="C9061" s="3" t="s">
        <v>6</v>
      </c>
      <c r="D9061" s="5">
        <f t="shared" si="284"/>
        <v>11.46</v>
      </c>
      <c r="E9061">
        <v>12.59</v>
      </c>
      <c r="F9061" s="1789">
        <v>8.8999999999999996E-2</v>
      </c>
      <c r="G9061">
        <f t="shared" si="285"/>
        <v>11.46</v>
      </c>
    </row>
    <row r="9062" spans="1:7" ht="12.75" customHeight="1">
      <c r="A9062" s="3">
        <v>92312</v>
      </c>
      <c r="B9062" s="4" t="s">
        <v>9086</v>
      </c>
      <c r="C9062" s="3" t="s">
        <v>6</v>
      </c>
      <c r="D9062" s="5">
        <f t="shared" si="284"/>
        <v>19.239999999999998</v>
      </c>
      <c r="E9062">
        <v>21.13</v>
      </c>
      <c r="F9062" s="1789">
        <v>8.8999999999999996E-2</v>
      </c>
      <c r="G9062">
        <f t="shared" si="285"/>
        <v>19.239999999999998</v>
      </c>
    </row>
    <row r="9063" spans="1:7" ht="12.75" customHeight="1">
      <c r="A9063" s="3">
        <v>92313</v>
      </c>
      <c r="B9063" s="4" t="s">
        <v>9087</v>
      </c>
      <c r="C9063" s="3" t="s">
        <v>6</v>
      </c>
      <c r="D9063" s="5">
        <f t="shared" si="284"/>
        <v>28.07</v>
      </c>
      <c r="E9063">
        <v>30.82</v>
      </c>
      <c r="F9063" s="1789">
        <v>8.8999999999999996E-2</v>
      </c>
      <c r="G9063">
        <f t="shared" si="285"/>
        <v>28.07</v>
      </c>
    </row>
    <row r="9064" spans="1:7" ht="12.75" customHeight="1">
      <c r="A9064" s="3">
        <v>92314</v>
      </c>
      <c r="B9064" s="4" t="s">
        <v>9088</v>
      </c>
      <c r="C9064" s="3" t="s">
        <v>6</v>
      </c>
      <c r="D9064" s="5">
        <f t="shared" si="284"/>
        <v>7.67</v>
      </c>
      <c r="E9064">
        <v>8.42</v>
      </c>
      <c r="F9064" s="1789">
        <v>8.8999999999999996E-2</v>
      </c>
      <c r="G9064">
        <f t="shared" si="285"/>
        <v>7.67</v>
      </c>
    </row>
    <row r="9065" spans="1:7" ht="12.75" customHeight="1">
      <c r="A9065" s="3">
        <v>92315</v>
      </c>
      <c r="B9065" s="4" t="s">
        <v>9089</v>
      </c>
      <c r="C9065" s="3" t="s">
        <v>6</v>
      </c>
      <c r="D9065" s="5">
        <f t="shared" si="284"/>
        <v>11.27</v>
      </c>
      <c r="E9065">
        <v>12.38</v>
      </c>
      <c r="F9065" s="1789">
        <v>8.8999999999999996E-2</v>
      </c>
      <c r="G9065">
        <f t="shared" si="285"/>
        <v>11.27</v>
      </c>
    </row>
    <row r="9066" spans="1:7" ht="12.75" customHeight="1">
      <c r="A9066" s="3">
        <v>92316</v>
      </c>
      <c r="B9066" s="4" t="s">
        <v>9090</v>
      </c>
      <c r="C9066" s="3" t="s">
        <v>6</v>
      </c>
      <c r="D9066" s="5">
        <f t="shared" si="284"/>
        <v>17.29</v>
      </c>
      <c r="E9066">
        <v>18.989999999999998</v>
      </c>
      <c r="F9066" s="1789">
        <v>8.8999999999999996E-2</v>
      </c>
      <c r="G9066">
        <f t="shared" si="285"/>
        <v>17.29</v>
      </c>
    </row>
    <row r="9067" spans="1:7" ht="12.75" customHeight="1">
      <c r="A9067" s="3">
        <v>92317</v>
      </c>
      <c r="B9067" s="4" t="s">
        <v>9091</v>
      </c>
      <c r="C9067" s="3" t="s">
        <v>6</v>
      </c>
      <c r="D9067" s="5">
        <f t="shared" si="284"/>
        <v>16.07</v>
      </c>
      <c r="E9067">
        <v>17.649999999999999</v>
      </c>
      <c r="F9067" s="1789">
        <v>8.8999999999999996E-2</v>
      </c>
      <c r="G9067">
        <f t="shared" si="285"/>
        <v>16.07</v>
      </c>
    </row>
    <row r="9068" spans="1:7" ht="12.75" customHeight="1">
      <c r="A9068" s="3">
        <v>92318</v>
      </c>
      <c r="B9068" s="4" t="s">
        <v>9092</v>
      </c>
      <c r="C9068" s="3" t="s">
        <v>6</v>
      </c>
      <c r="D9068" s="5">
        <f t="shared" si="284"/>
        <v>25.39</v>
      </c>
      <c r="E9068">
        <v>27.88</v>
      </c>
      <c r="F9068" s="1789">
        <v>8.8999999999999996E-2</v>
      </c>
      <c r="G9068">
        <f t="shared" si="285"/>
        <v>25.39</v>
      </c>
    </row>
    <row r="9069" spans="1:7" ht="12.75" customHeight="1">
      <c r="A9069" s="3">
        <v>92319</v>
      </c>
      <c r="B9069" s="4" t="s">
        <v>9093</v>
      </c>
      <c r="C9069" s="3" t="s">
        <v>6</v>
      </c>
      <c r="D9069" s="5">
        <f t="shared" si="284"/>
        <v>35.9</v>
      </c>
      <c r="E9069">
        <v>39.409999999999997</v>
      </c>
      <c r="F9069" s="1789">
        <v>8.8999999999999996E-2</v>
      </c>
      <c r="G9069">
        <f t="shared" si="285"/>
        <v>35.9</v>
      </c>
    </row>
    <row r="9070" spans="1:7" ht="12.75" customHeight="1">
      <c r="A9070" s="3">
        <v>92326</v>
      </c>
      <c r="B9070" s="4" t="s">
        <v>9094</v>
      </c>
      <c r="C9070" s="3" t="s">
        <v>6</v>
      </c>
      <c r="D9070" s="5">
        <f t="shared" si="284"/>
        <v>12.07</v>
      </c>
      <c r="E9070">
        <v>13.25</v>
      </c>
      <c r="F9070" s="1789">
        <v>8.8999999999999996E-2</v>
      </c>
      <c r="G9070">
        <f t="shared" si="285"/>
        <v>12.07</v>
      </c>
    </row>
    <row r="9071" spans="1:7" ht="12.75" customHeight="1">
      <c r="A9071" s="3">
        <v>92327</v>
      </c>
      <c r="B9071" s="4" t="s">
        <v>9095</v>
      </c>
      <c r="C9071" s="3" t="s">
        <v>6</v>
      </c>
      <c r="D9071" s="5">
        <f t="shared" si="284"/>
        <v>21.9</v>
      </c>
      <c r="E9071">
        <v>24.05</v>
      </c>
      <c r="F9071" s="1789">
        <v>8.8999999999999996E-2</v>
      </c>
      <c r="G9071">
        <f t="shared" si="285"/>
        <v>21.9</v>
      </c>
    </row>
    <row r="9072" spans="1:7" ht="12.75" customHeight="1">
      <c r="A9072" s="3">
        <v>92328</v>
      </c>
      <c r="B9072" s="4" t="s">
        <v>9096</v>
      </c>
      <c r="C9072" s="3" t="s">
        <v>6</v>
      </c>
      <c r="D9072" s="5">
        <f t="shared" si="284"/>
        <v>32.82</v>
      </c>
      <c r="E9072">
        <v>36.03</v>
      </c>
      <c r="F9072" s="1789">
        <v>8.8999999999999996E-2</v>
      </c>
      <c r="G9072">
        <f t="shared" si="285"/>
        <v>32.82</v>
      </c>
    </row>
    <row r="9073" spans="1:7" ht="12.75" customHeight="1">
      <c r="A9073" s="3">
        <v>92329</v>
      </c>
      <c r="B9073" s="4" t="s">
        <v>9097</v>
      </c>
      <c r="C9073" s="3" t="s">
        <v>6</v>
      </c>
      <c r="D9073" s="5">
        <f t="shared" si="284"/>
        <v>7.82</v>
      </c>
      <c r="E9073">
        <v>8.59</v>
      </c>
      <c r="F9073" s="1789">
        <v>8.8999999999999996E-2</v>
      </c>
      <c r="G9073">
        <f t="shared" si="285"/>
        <v>7.82</v>
      </c>
    </row>
    <row r="9074" spans="1:7" ht="12.75" customHeight="1">
      <c r="A9074" s="3">
        <v>92330</v>
      </c>
      <c r="B9074" s="4" t="s">
        <v>9098</v>
      </c>
      <c r="C9074" s="3" t="s">
        <v>6</v>
      </c>
      <c r="D9074" s="5">
        <f t="shared" si="284"/>
        <v>13.07</v>
      </c>
      <c r="E9074">
        <v>14.35</v>
      </c>
      <c r="F9074" s="1789">
        <v>8.8999999999999996E-2</v>
      </c>
      <c r="G9074">
        <f t="shared" si="285"/>
        <v>13.07</v>
      </c>
    </row>
    <row r="9075" spans="1:7" ht="12.75" customHeight="1">
      <c r="A9075" s="3">
        <v>92331</v>
      </c>
      <c r="B9075" s="4" t="s">
        <v>9099</v>
      </c>
      <c r="C9075" s="3" t="s">
        <v>6</v>
      </c>
      <c r="D9075" s="5">
        <f t="shared" si="284"/>
        <v>20.48</v>
      </c>
      <c r="E9075">
        <v>22.49</v>
      </c>
      <c r="F9075" s="1789">
        <v>8.8999999999999996E-2</v>
      </c>
      <c r="G9075">
        <f t="shared" si="285"/>
        <v>20.48</v>
      </c>
    </row>
    <row r="9076" spans="1:7" ht="12.75" customHeight="1">
      <c r="A9076" s="3">
        <v>92332</v>
      </c>
      <c r="B9076" s="4" t="s">
        <v>9100</v>
      </c>
      <c r="C9076" s="3" t="s">
        <v>6</v>
      </c>
      <c r="D9076" s="5">
        <f t="shared" si="284"/>
        <v>16.37</v>
      </c>
      <c r="E9076">
        <v>17.98</v>
      </c>
      <c r="F9076" s="1789">
        <v>8.8999999999999996E-2</v>
      </c>
      <c r="G9076">
        <f t="shared" si="285"/>
        <v>16.37</v>
      </c>
    </row>
    <row r="9077" spans="1:7" ht="12.75" customHeight="1">
      <c r="A9077" s="3">
        <v>92333</v>
      </c>
      <c r="B9077" s="4" t="s">
        <v>9101</v>
      </c>
      <c r="C9077" s="3" t="s">
        <v>6</v>
      </c>
      <c r="D9077" s="5">
        <f t="shared" si="284"/>
        <v>28.95</v>
      </c>
      <c r="E9077">
        <v>31.78</v>
      </c>
      <c r="F9077" s="1789">
        <v>8.8999999999999996E-2</v>
      </c>
      <c r="G9077">
        <f t="shared" si="285"/>
        <v>28.95</v>
      </c>
    </row>
    <row r="9078" spans="1:7" ht="12.75" customHeight="1">
      <c r="A9078" s="3">
        <v>92334</v>
      </c>
      <c r="B9078" s="4" t="s">
        <v>9102</v>
      </c>
      <c r="C9078" s="3" t="s">
        <v>6</v>
      </c>
      <c r="D9078" s="5">
        <f t="shared" si="284"/>
        <v>42.22</v>
      </c>
      <c r="E9078">
        <v>46.35</v>
      </c>
      <c r="F9078" s="1789">
        <v>8.8999999999999996E-2</v>
      </c>
      <c r="G9078">
        <f t="shared" si="285"/>
        <v>42.22</v>
      </c>
    </row>
    <row r="9079" spans="1:7" ht="12.75" customHeight="1">
      <c r="A9079" s="3">
        <v>92344</v>
      </c>
      <c r="B9079" s="4" t="s">
        <v>9103</v>
      </c>
      <c r="C9079" s="3" t="s">
        <v>6</v>
      </c>
      <c r="D9079" s="5">
        <f t="shared" si="284"/>
        <v>53.77</v>
      </c>
      <c r="E9079">
        <v>59.03</v>
      </c>
      <c r="F9079" s="1789">
        <v>8.8999999999999996E-2</v>
      </c>
      <c r="G9079">
        <f t="shared" si="285"/>
        <v>53.77</v>
      </c>
    </row>
    <row r="9080" spans="1:7" ht="12.75" customHeight="1">
      <c r="A9080" s="3">
        <v>92345</v>
      </c>
      <c r="B9080" s="4" t="s">
        <v>9104</v>
      </c>
      <c r="C9080" s="3" t="s">
        <v>6</v>
      </c>
      <c r="D9080" s="5">
        <f t="shared" si="284"/>
        <v>53.75</v>
      </c>
      <c r="E9080">
        <v>59.01</v>
      </c>
      <c r="F9080" s="1789">
        <v>8.8999999999999996E-2</v>
      </c>
      <c r="G9080">
        <f t="shared" si="285"/>
        <v>53.75</v>
      </c>
    </row>
    <row r="9081" spans="1:7" ht="12.75" customHeight="1">
      <c r="A9081" s="3">
        <v>92346</v>
      </c>
      <c r="B9081" s="4" t="s">
        <v>9105</v>
      </c>
      <c r="C9081" s="3" t="s">
        <v>6</v>
      </c>
      <c r="D9081" s="5">
        <f t="shared" si="284"/>
        <v>70.099999999999994</v>
      </c>
      <c r="E9081">
        <v>76.95</v>
      </c>
      <c r="F9081" s="1789">
        <v>8.8999999999999996E-2</v>
      </c>
      <c r="G9081">
        <f t="shared" si="285"/>
        <v>70.099999999999994</v>
      </c>
    </row>
    <row r="9082" spans="1:7" ht="12.75" customHeight="1">
      <c r="A9082" s="3">
        <v>92347</v>
      </c>
      <c r="B9082" s="4" t="s">
        <v>9106</v>
      </c>
      <c r="C9082" s="3" t="s">
        <v>6</v>
      </c>
      <c r="D9082" s="5">
        <f t="shared" si="284"/>
        <v>77.69</v>
      </c>
      <c r="E9082">
        <v>85.29</v>
      </c>
      <c r="F9082" s="1789">
        <v>8.8999999999999996E-2</v>
      </c>
      <c r="G9082">
        <f t="shared" si="285"/>
        <v>77.69</v>
      </c>
    </row>
    <row r="9083" spans="1:7" ht="12.75" customHeight="1">
      <c r="A9083" s="3">
        <v>92348</v>
      </c>
      <c r="B9083" s="4" t="s">
        <v>9107</v>
      </c>
      <c r="C9083" s="3" t="s">
        <v>6</v>
      </c>
      <c r="D9083" s="5">
        <f t="shared" si="284"/>
        <v>97.49</v>
      </c>
      <c r="E9083">
        <v>107.02</v>
      </c>
      <c r="F9083" s="1789">
        <v>8.8999999999999996E-2</v>
      </c>
      <c r="G9083">
        <f t="shared" si="285"/>
        <v>97.49</v>
      </c>
    </row>
    <row r="9084" spans="1:7" ht="12.75" customHeight="1">
      <c r="A9084" s="3">
        <v>92349</v>
      </c>
      <c r="B9084" s="4" t="s">
        <v>9108</v>
      </c>
      <c r="C9084" s="3" t="s">
        <v>6</v>
      </c>
      <c r="D9084" s="5">
        <f t="shared" si="284"/>
        <v>104.25</v>
      </c>
      <c r="E9084">
        <v>114.44</v>
      </c>
      <c r="F9084" s="1789">
        <v>8.8999999999999996E-2</v>
      </c>
      <c r="G9084">
        <f t="shared" si="285"/>
        <v>104.25</v>
      </c>
    </row>
    <row r="9085" spans="1:7" ht="12.75" customHeight="1">
      <c r="A9085" s="3">
        <v>92350</v>
      </c>
      <c r="B9085" s="4" t="s">
        <v>9109</v>
      </c>
      <c r="C9085" s="3" t="s">
        <v>6</v>
      </c>
      <c r="D9085" s="5">
        <f t="shared" si="284"/>
        <v>80</v>
      </c>
      <c r="E9085">
        <v>87.82</v>
      </c>
      <c r="F9085" s="1789">
        <v>8.8999999999999996E-2</v>
      </c>
      <c r="G9085">
        <f t="shared" si="285"/>
        <v>80</v>
      </c>
    </row>
    <row r="9086" spans="1:7" ht="12.75" customHeight="1">
      <c r="A9086" s="3">
        <v>92351</v>
      </c>
      <c r="B9086" s="4" t="s">
        <v>9110</v>
      </c>
      <c r="C9086" s="3" t="s">
        <v>6</v>
      </c>
      <c r="D9086" s="5">
        <f t="shared" si="284"/>
        <v>78.3</v>
      </c>
      <c r="E9086">
        <v>85.96</v>
      </c>
      <c r="F9086" s="1789">
        <v>8.8999999999999996E-2</v>
      </c>
      <c r="G9086">
        <f t="shared" si="285"/>
        <v>78.3</v>
      </c>
    </row>
    <row r="9087" spans="1:7" ht="12.75" customHeight="1">
      <c r="A9087" s="3">
        <v>92352</v>
      </c>
      <c r="B9087" s="4" t="s">
        <v>9111</v>
      </c>
      <c r="C9087" s="3" t="s">
        <v>6</v>
      </c>
      <c r="D9087" s="5">
        <f t="shared" si="284"/>
        <v>119.7</v>
      </c>
      <c r="E9087">
        <v>131.4</v>
      </c>
      <c r="F9087" s="1789">
        <v>8.8999999999999996E-2</v>
      </c>
      <c r="G9087">
        <f t="shared" si="285"/>
        <v>119.7</v>
      </c>
    </row>
    <row r="9088" spans="1:7" ht="12.75" customHeight="1">
      <c r="A9088" s="3">
        <v>92353</v>
      </c>
      <c r="B9088" s="4" t="s">
        <v>9112</v>
      </c>
      <c r="C9088" s="3" t="s">
        <v>6</v>
      </c>
      <c r="D9088" s="5">
        <f t="shared" si="284"/>
        <v>112.27</v>
      </c>
      <c r="E9088">
        <v>123.24</v>
      </c>
      <c r="F9088" s="1789">
        <v>8.8999999999999996E-2</v>
      </c>
      <c r="G9088">
        <f t="shared" si="285"/>
        <v>112.27</v>
      </c>
    </row>
    <row r="9089" spans="1:7" ht="12.75" customHeight="1">
      <c r="A9089" s="3">
        <v>92354</v>
      </c>
      <c r="B9089" s="4" t="s">
        <v>9113</v>
      </c>
      <c r="C9089" s="3" t="s">
        <v>6</v>
      </c>
      <c r="D9089" s="5">
        <f t="shared" si="284"/>
        <v>157.86000000000001</v>
      </c>
      <c r="E9089">
        <v>173.29</v>
      </c>
      <c r="F9089" s="1789">
        <v>8.8999999999999996E-2</v>
      </c>
      <c r="G9089">
        <f t="shared" si="285"/>
        <v>157.86000000000001</v>
      </c>
    </row>
    <row r="9090" spans="1:7" ht="12.75" customHeight="1">
      <c r="A9090" s="3">
        <v>92355</v>
      </c>
      <c r="B9090" s="4" t="s">
        <v>9114</v>
      </c>
      <c r="C9090" s="3" t="s">
        <v>6</v>
      </c>
      <c r="D9090" s="5">
        <f t="shared" si="284"/>
        <v>143.53</v>
      </c>
      <c r="E9090">
        <v>157.56</v>
      </c>
      <c r="F9090" s="1789">
        <v>8.8999999999999996E-2</v>
      </c>
      <c r="G9090">
        <f t="shared" si="285"/>
        <v>143.53</v>
      </c>
    </row>
    <row r="9091" spans="1:7" ht="12.75" customHeight="1">
      <c r="A9091" s="3">
        <v>92356</v>
      </c>
      <c r="B9091" s="4" t="s">
        <v>9115</v>
      </c>
      <c r="C9091" s="3" t="s">
        <v>6</v>
      </c>
      <c r="D9091" s="5">
        <f t="shared" si="284"/>
        <v>104.4</v>
      </c>
      <c r="E9091">
        <v>114.6</v>
      </c>
      <c r="F9091" s="1789">
        <v>8.8999999999999996E-2</v>
      </c>
      <c r="G9091">
        <f t="shared" si="285"/>
        <v>104.4</v>
      </c>
    </row>
    <row r="9092" spans="1:7" ht="12.75" customHeight="1">
      <c r="A9092" s="3">
        <v>92357</v>
      </c>
      <c r="B9092" s="4" t="s">
        <v>9116</v>
      </c>
      <c r="C9092" s="3" t="s">
        <v>6</v>
      </c>
      <c r="D9092" s="5">
        <f t="shared" si="284"/>
        <v>153.44999999999999</v>
      </c>
      <c r="E9092">
        <v>168.45</v>
      </c>
      <c r="F9092" s="1789">
        <v>8.8999999999999996E-2</v>
      </c>
      <c r="G9092">
        <f t="shared" si="285"/>
        <v>153.44999999999999</v>
      </c>
    </row>
    <row r="9093" spans="1:7" ht="12.75" customHeight="1">
      <c r="A9093" s="3">
        <v>92358</v>
      </c>
      <c r="B9093" s="4" t="s">
        <v>9117</v>
      </c>
      <c r="C9093" s="3" t="s">
        <v>6</v>
      </c>
      <c r="D9093" s="5">
        <f t="shared" si="284"/>
        <v>190.02</v>
      </c>
      <c r="E9093">
        <v>208.59</v>
      </c>
      <c r="F9093" s="1789">
        <v>8.8999999999999996E-2</v>
      </c>
      <c r="G9093">
        <f t="shared" si="285"/>
        <v>190.02</v>
      </c>
    </row>
    <row r="9094" spans="1:7" ht="12.75" customHeight="1">
      <c r="A9094" s="3">
        <v>92369</v>
      </c>
      <c r="B9094" s="4" t="s">
        <v>9118</v>
      </c>
      <c r="C9094" s="3" t="s">
        <v>6</v>
      </c>
      <c r="D9094" s="5">
        <f t="shared" si="284"/>
        <v>29.53</v>
      </c>
      <c r="E9094">
        <v>32.42</v>
      </c>
      <c r="F9094" s="1789">
        <v>8.8999999999999996E-2</v>
      </c>
      <c r="G9094">
        <f t="shared" si="285"/>
        <v>29.53</v>
      </c>
    </row>
    <row r="9095" spans="1:7" ht="12.75" customHeight="1">
      <c r="A9095" s="3">
        <v>92370</v>
      </c>
      <c r="B9095" s="4" t="s">
        <v>9119</v>
      </c>
      <c r="C9095" s="3" t="s">
        <v>6</v>
      </c>
      <c r="D9095" s="5">
        <f t="shared" si="284"/>
        <v>30.9</v>
      </c>
      <c r="E9095">
        <v>33.92</v>
      </c>
      <c r="F9095" s="1789">
        <v>8.8999999999999996E-2</v>
      </c>
      <c r="G9095">
        <f t="shared" si="285"/>
        <v>30.9</v>
      </c>
    </row>
    <row r="9096" spans="1:7" ht="12.75" customHeight="1">
      <c r="A9096" s="3">
        <v>92371</v>
      </c>
      <c r="B9096" s="4" t="s">
        <v>9120</v>
      </c>
      <c r="C9096" s="3" t="s">
        <v>6</v>
      </c>
      <c r="D9096" s="5">
        <f t="shared" si="284"/>
        <v>35.479999999999997</v>
      </c>
      <c r="E9096">
        <v>38.950000000000003</v>
      </c>
      <c r="F9096" s="1789">
        <v>8.8999999999999996E-2</v>
      </c>
      <c r="G9096">
        <f t="shared" si="285"/>
        <v>35.479999999999997</v>
      </c>
    </row>
    <row r="9097" spans="1:7" ht="12.75" customHeight="1">
      <c r="A9097" s="3">
        <v>92372</v>
      </c>
      <c r="B9097" s="4" t="s">
        <v>9121</v>
      </c>
      <c r="C9097" s="3" t="s">
        <v>6</v>
      </c>
      <c r="D9097" s="5">
        <f t="shared" si="284"/>
        <v>36.74</v>
      </c>
      <c r="E9097">
        <v>40.340000000000003</v>
      </c>
      <c r="F9097" s="1789">
        <v>8.8999999999999996E-2</v>
      </c>
      <c r="G9097">
        <f t="shared" si="285"/>
        <v>36.74</v>
      </c>
    </row>
    <row r="9098" spans="1:7" ht="12.75" customHeight="1">
      <c r="A9098" s="3">
        <v>92373</v>
      </c>
      <c r="B9098" s="4" t="s">
        <v>9122</v>
      </c>
      <c r="C9098" s="3" t="s">
        <v>6</v>
      </c>
      <c r="D9098" s="5">
        <f t="shared" si="284"/>
        <v>41.75</v>
      </c>
      <c r="E9098">
        <v>45.83</v>
      </c>
      <c r="F9098" s="1789">
        <v>8.8999999999999996E-2</v>
      </c>
      <c r="G9098">
        <f t="shared" si="285"/>
        <v>41.75</v>
      </c>
    </row>
    <row r="9099" spans="1:7" ht="12.75" customHeight="1">
      <c r="A9099" s="3">
        <v>92374</v>
      </c>
      <c r="B9099" s="4" t="s">
        <v>9123</v>
      </c>
      <c r="C9099" s="3" t="s">
        <v>6</v>
      </c>
      <c r="D9099" s="5">
        <f t="shared" si="284"/>
        <v>41.99</v>
      </c>
      <c r="E9099">
        <v>46.1</v>
      </c>
      <c r="F9099" s="1789">
        <v>8.8999999999999996E-2</v>
      </c>
      <c r="G9099">
        <f t="shared" si="285"/>
        <v>41.99</v>
      </c>
    </row>
    <row r="9100" spans="1:7" ht="12.75" customHeight="1">
      <c r="A9100" s="3">
        <v>92375</v>
      </c>
      <c r="B9100" s="4" t="s">
        <v>9124</v>
      </c>
      <c r="C9100" s="3" t="s">
        <v>6</v>
      </c>
      <c r="D9100" s="5">
        <f t="shared" si="284"/>
        <v>53.73</v>
      </c>
      <c r="E9100">
        <v>58.99</v>
      </c>
      <c r="F9100" s="1789">
        <v>8.8999999999999996E-2</v>
      </c>
      <c r="G9100">
        <f t="shared" si="285"/>
        <v>53.73</v>
      </c>
    </row>
    <row r="9101" spans="1:7" ht="12.75" customHeight="1">
      <c r="A9101" s="3">
        <v>92376</v>
      </c>
      <c r="B9101" s="4" t="s">
        <v>9125</v>
      </c>
      <c r="C9101" s="3" t="s">
        <v>6</v>
      </c>
      <c r="D9101" s="5">
        <f t="shared" si="284"/>
        <v>53.72</v>
      </c>
      <c r="E9101">
        <v>58.97</v>
      </c>
      <c r="F9101" s="1789">
        <v>8.8999999999999996E-2</v>
      </c>
      <c r="G9101">
        <f t="shared" si="285"/>
        <v>53.72</v>
      </c>
    </row>
    <row r="9102" spans="1:7" ht="12.75" customHeight="1">
      <c r="A9102" s="3">
        <v>92377</v>
      </c>
      <c r="B9102" s="4" t="s">
        <v>9126</v>
      </c>
      <c r="C9102" s="3" t="s">
        <v>6</v>
      </c>
      <c r="D9102" s="5">
        <f t="shared" si="284"/>
        <v>71.540000000000006</v>
      </c>
      <c r="E9102">
        <v>78.53</v>
      </c>
      <c r="F9102" s="1789">
        <v>8.8999999999999996E-2</v>
      </c>
      <c r="G9102">
        <f t="shared" si="285"/>
        <v>71.540000000000006</v>
      </c>
    </row>
    <row r="9103" spans="1:7" ht="12.75" customHeight="1">
      <c r="A9103" s="3">
        <v>92378</v>
      </c>
      <c r="B9103" s="4" t="s">
        <v>9127</v>
      </c>
      <c r="C9103" s="3" t="s">
        <v>6</v>
      </c>
      <c r="D9103" s="5">
        <f t="shared" si="284"/>
        <v>79.13</v>
      </c>
      <c r="E9103">
        <v>86.87</v>
      </c>
      <c r="F9103" s="1789">
        <v>8.8999999999999996E-2</v>
      </c>
      <c r="G9103">
        <f t="shared" si="285"/>
        <v>79.13</v>
      </c>
    </row>
    <row r="9104" spans="1:7" ht="12.75" customHeight="1">
      <c r="A9104" s="3">
        <v>92379</v>
      </c>
      <c r="B9104" s="4" t="s">
        <v>9128</v>
      </c>
      <c r="C9104" s="3" t="s">
        <v>6</v>
      </c>
      <c r="D9104" s="5">
        <f t="shared" si="284"/>
        <v>100.46</v>
      </c>
      <c r="E9104">
        <v>110.28</v>
      </c>
      <c r="F9104" s="1789">
        <v>8.8999999999999996E-2</v>
      </c>
      <c r="G9104">
        <f t="shared" si="285"/>
        <v>100.46</v>
      </c>
    </row>
    <row r="9105" spans="1:7" ht="12.75" customHeight="1">
      <c r="A9105" s="3">
        <v>92380</v>
      </c>
      <c r="B9105" s="4" t="s">
        <v>9129</v>
      </c>
      <c r="C9105" s="3" t="s">
        <v>6</v>
      </c>
      <c r="D9105" s="5">
        <f t="shared" si="284"/>
        <v>107.22</v>
      </c>
      <c r="E9105">
        <v>117.7</v>
      </c>
      <c r="F9105" s="1789">
        <v>8.8999999999999996E-2</v>
      </c>
      <c r="G9105">
        <f t="shared" si="285"/>
        <v>107.22</v>
      </c>
    </row>
    <row r="9106" spans="1:7" ht="12.75" customHeight="1">
      <c r="A9106" s="3">
        <v>92381</v>
      </c>
      <c r="B9106" s="4" t="s">
        <v>9130</v>
      </c>
      <c r="C9106" s="3" t="s">
        <v>6</v>
      </c>
      <c r="D9106" s="5">
        <f t="shared" si="284"/>
        <v>44.68</v>
      </c>
      <c r="E9106">
        <v>49.05</v>
      </c>
      <c r="F9106" s="1789">
        <v>8.8999999999999996E-2</v>
      </c>
      <c r="G9106">
        <f t="shared" si="285"/>
        <v>44.68</v>
      </c>
    </row>
    <row r="9107" spans="1:7" ht="12.75" customHeight="1">
      <c r="A9107" s="3">
        <v>92382</v>
      </c>
      <c r="B9107" s="4" t="s">
        <v>9131</v>
      </c>
      <c r="C9107" s="3" t="s">
        <v>6</v>
      </c>
      <c r="D9107" s="5">
        <f t="shared" si="284"/>
        <v>42.87</v>
      </c>
      <c r="E9107">
        <v>47.06</v>
      </c>
      <c r="F9107" s="1789">
        <v>8.8999999999999996E-2</v>
      </c>
      <c r="G9107">
        <f t="shared" si="285"/>
        <v>42.87</v>
      </c>
    </row>
    <row r="9108" spans="1:7" ht="12.75" customHeight="1">
      <c r="A9108" s="3">
        <v>92383</v>
      </c>
      <c r="B9108" s="4" t="s">
        <v>9132</v>
      </c>
      <c r="C9108" s="3" t="s">
        <v>6</v>
      </c>
      <c r="D9108" s="5">
        <f t="shared" si="284"/>
        <v>55.81</v>
      </c>
      <c r="E9108">
        <v>61.27</v>
      </c>
      <c r="F9108" s="1789">
        <v>8.8999999999999996E-2</v>
      </c>
      <c r="G9108">
        <f t="shared" si="285"/>
        <v>55.81</v>
      </c>
    </row>
    <row r="9109" spans="1:7" ht="12.75" customHeight="1">
      <c r="A9109" s="3">
        <v>92384</v>
      </c>
      <c r="B9109" s="4" t="s">
        <v>9133</v>
      </c>
      <c r="C9109" s="3" t="s">
        <v>6</v>
      </c>
      <c r="D9109" s="5">
        <f t="shared" ref="D9109:D9172" si="286">G9109</f>
        <v>52.2</v>
      </c>
      <c r="E9109">
        <v>57.31</v>
      </c>
      <c r="F9109" s="1789">
        <v>8.8999999999999996E-2</v>
      </c>
      <c r="G9109">
        <f t="shared" ref="G9109:G9172" si="287">TRUNC((1-F9109)*E9109,2)</f>
        <v>52.2</v>
      </c>
    </row>
    <row r="9110" spans="1:7" ht="12.75" customHeight="1">
      <c r="A9110" s="3">
        <v>92385</v>
      </c>
      <c r="B9110" s="4" t="s">
        <v>9134</v>
      </c>
      <c r="C9110" s="3" t="s">
        <v>6</v>
      </c>
      <c r="D9110" s="5">
        <f t="shared" si="286"/>
        <v>63.82</v>
      </c>
      <c r="E9110">
        <v>70.06</v>
      </c>
      <c r="F9110" s="1789">
        <v>8.8999999999999996E-2</v>
      </c>
      <c r="G9110">
        <f t="shared" si="287"/>
        <v>63.82</v>
      </c>
    </row>
    <row r="9111" spans="1:7" ht="12.75" customHeight="1">
      <c r="A9111" s="3">
        <v>92386</v>
      </c>
      <c r="B9111" s="4" t="s">
        <v>9135</v>
      </c>
      <c r="C9111" s="3" t="s">
        <v>6</v>
      </c>
      <c r="D9111" s="5">
        <f t="shared" si="286"/>
        <v>61.33</v>
      </c>
      <c r="E9111">
        <v>67.33</v>
      </c>
      <c r="F9111" s="1789">
        <v>8.8999999999999996E-2</v>
      </c>
      <c r="G9111">
        <f t="shared" si="287"/>
        <v>61.33</v>
      </c>
    </row>
    <row r="9112" spans="1:7" ht="12.75" customHeight="1">
      <c r="A9112" s="3">
        <v>92387</v>
      </c>
      <c r="B9112" s="4" t="s">
        <v>9136</v>
      </c>
      <c r="C9112" s="3" t="s">
        <v>6</v>
      </c>
      <c r="D9112" s="5">
        <f t="shared" si="286"/>
        <v>79.92</v>
      </c>
      <c r="E9112">
        <v>87.73</v>
      </c>
      <c r="F9112" s="1789">
        <v>8.8999999999999996E-2</v>
      </c>
      <c r="G9112">
        <f t="shared" si="287"/>
        <v>79.92</v>
      </c>
    </row>
    <row r="9113" spans="1:7" ht="12.75" customHeight="1">
      <c r="A9113" s="3">
        <v>92388</v>
      </c>
      <c r="B9113" s="4" t="s">
        <v>9137</v>
      </c>
      <c r="C9113" s="3" t="s">
        <v>6</v>
      </c>
      <c r="D9113" s="5">
        <f t="shared" si="286"/>
        <v>78.22</v>
      </c>
      <c r="E9113">
        <v>85.87</v>
      </c>
      <c r="F9113" s="1789">
        <v>8.8999999999999996E-2</v>
      </c>
      <c r="G9113">
        <f t="shared" si="287"/>
        <v>78.22</v>
      </c>
    </row>
    <row r="9114" spans="1:7" ht="12.75" customHeight="1">
      <c r="A9114" s="3">
        <v>92389</v>
      </c>
      <c r="B9114" s="4" t="s">
        <v>9138</v>
      </c>
      <c r="C9114" s="3" t="s">
        <v>6</v>
      </c>
      <c r="D9114" s="5">
        <f t="shared" si="286"/>
        <v>121.91</v>
      </c>
      <c r="E9114">
        <v>133.82</v>
      </c>
      <c r="F9114" s="1789">
        <v>8.8999999999999996E-2</v>
      </c>
      <c r="G9114">
        <f t="shared" si="287"/>
        <v>121.91</v>
      </c>
    </row>
    <row r="9115" spans="1:7" ht="12.75" customHeight="1">
      <c r="A9115" s="3">
        <v>92390</v>
      </c>
      <c r="B9115" s="4" t="s">
        <v>9139</v>
      </c>
      <c r="C9115" s="3" t="s">
        <v>6</v>
      </c>
      <c r="D9115" s="5">
        <f t="shared" si="286"/>
        <v>114.47</v>
      </c>
      <c r="E9115">
        <v>125.66</v>
      </c>
      <c r="F9115" s="1789">
        <v>8.8999999999999996E-2</v>
      </c>
      <c r="G9115">
        <f t="shared" si="287"/>
        <v>114.47</v>
      </c>
    </row>
    <row r="9116" spans="1:7" ht="12.75" customHeight="1">
      <c r="A9116" s="3">
        <v>92635</v>
      </c>
      <c r="B9116" s="4" t="s">
        <v>9140</v>
      </c>
      <c r="C9116" s="3" t="s">
        <v>6</v>
      </c>
      <c r="D9116" s="5">
        <f t="shared" si="286"/>
        <v>162.31</v>
      </c>
      <c r="E9116">
        <v>178.17</v>
      </c>
      <c r="F9116" s="1789">
        <v>8.8999999999999996E-2</v>
      </c>
      <c r="G9116">
        <f t="shared" si="287"/>
        <v>162.31</v>
      </c>
    </row>
    <row r="9117" spans="1:7" ht="12.75" customHeight="1">
      <c r="A9117" s="3">
        <v>92636</v>
      </c>
      <c r="B9117" s="4" t="s">
        <v>9141</v>
      </c>
      <c r="C9117" s="3" t="s">
        <v>6</v>
      </c>
      <c r="D9117" s="5">
        <f t="shared" si="286"/>
        <v>147.97999999999999</v>
      </c>
      <c r="E9117">
        <v>162.44</v>
      </c>
      <c r="F9117" s="1789">
        <v>8.8999999999999996E-2</v>
      </c>
      <c r="G9117">
        <f t="shared" si="287"/>
        <v>147.97999999999999</v>
      </c>
    </row>
    <row r="9118" spans="1:7" ht="12.75" customHeight="1">
      <c r="A9118" s="3">
        <v>92637</v>
      </c>
      <c r="B9118" s="4" t="s">
        <v>9142</v>
      </c>
      <c r="C9118" s="3" t="s">
        <v>6</v>
      </c>
      <c r="D9118" s="5">
        <f t="shared" si="286"/>
        <v>57.87</v>
      </c>
      <c r="E9118">
        <v>63.53</v>
      </c>
      <c r="F9118" s="1789">
        <v>8.8999999999999996E-2</v>
      </c>
      <c r="G9118">
        <f t="shared" si="287"/>
        <v>57.87</v>
      </c>
    </row>
    <row r="9119" spans="1:7" ht="12.75" customHeight="1">
      <c r="A9119" s="3">
        <v>92638</v>
      </c>
      <c r="B9119" s="4" t="s">
        <v>9143</v>
      </c>
      <c r="C9119" s="3" t="s">
        <v>6</v>
      </c>
      <c r="D9119" s="5">
        <f t="shared" si="286"/>
        <v>70.08</v>
      </c>
      <c r="E9119">
        <v>76.930000000000007</v>
      </c>
      <c r="F9119" s="1789">
        <v>8.8999999999999996E-2</v>
      </c>
      <c r="G9119">
        <f t="shared" si="287"/>
        <v>70.08</v>
      </c>
    </row>
    <row r="9120" spans="1:7" ht="12.75" customHeight="1">
      <c r="A9120" s="3">
        <v>92639</v>
      </c>
      <c r="B9120" s="4" t="s">
        <v>9144</v>
      </c>
      <c r="C9120" s="3" t="s">
        <v>6</v>
      </c>
      <c r="D9120" s="5">
        <f t="shared" si="286"/>
        <v>80.849999999999994</v>
      </c>
      <c r="E9120">
        <v>88.75</v>
      </c>
      <c r="F9120" s="1789">
        <v>8.8999999999999996E-2</v>
      </c>
      <c r="G9120">
        <f t="shared" si="287"/>
        <v>80.849999999999994</v>
      </c>
    </row>
    <row r="9121" spans="1:7" ht="12.75" customHeight="1">
      <c r="A9121" s="3">
        <v>92640</v>
      </c>
      <c r="B9121" s="4" t="s">
        <v>9145</v>
      </c>
      <c r="C9121" s="3" t="s">
        <v>6</v>
      </c>
      <c r="D9121" s="5">
        <f t="shared" si="286"/>
        <v>104.28</v>
      </c>
      <c r="E9121">
        <v>114.47</v>
      </c>
      <c r="F9121" s="1789">
        <v>8.8999999999999996E-2</v>
      </c>
      <c r="G9121">
        <f t="shared" si="287"/>
        <v>104.28</v>
      </c>
    </row>
    <row r="9122" spans="1:7" ht="12.75" customHeight="1">
      <c r="A9122" s="3">
        <v>92642</v>
      </c>
      <c r="B9122" s="4" t="s">
        <v>9146</v>
      </c>
      <c r="C9122" s="3" t="s">
        <v>6</v>
      </c>
      <c r="D9122" s="5">
        <f t="shared" si="286"/>
        <v>156.33000000000001</v>
      </c>
      <c r="E9122">
        <v>171.61</v>
      </c>
      <c r="F9122" s="1789">
        <v>8.8999999999999996E-2</v>
      </c>
      <c r="G9122">
        <f t="shared" si="287"/>
        <v>156.33000000000001</v>
      </c>
    </row>
    <row r="9123" spans="1:7" ht="12.75" customHeight="1">
      <c r="A9123" s="3">
        <v>92644</v>
      </c>
      <c r="B9123" s="4" t="s">
        <v>9147</v>
      </c>
      <c r="C9123" s="3" t="s">
        <v>6</v>
      </c>
      <c r="D9123" s="5">
        <f t="shared" si="286"/>
        <v>195.95</v>
      </c>
      <c r="E9123">
        <v>215.1</v>
      </c>
      <c r="F9123" s="1789">
        <v>8.8999999999999996E-2</v>
      </c>
      <c r="G9123">
        <f t="shared" si="287"/>
        <v>195.95</v>
      </c>
    </row>
    <row r="9124" spans="1:7" ht="12.75" customHeight="1">
      <c r="A9124" s="3">
        <v>92657</v>
      </c>
      <c r="B9124" s="4" t="s">
        <v>9148</v>
      </c>
      <c r="C9124" s="3" t="s">
        <v>6</v>
      </c>
      <c r="D9124" s="5">
        <f t="shared" si="286"/>
        <v>21.53</v>
      </c>
      <c r="E9124">
        <v>23.64</v>
      </c>
      <c r="F9124" s="1789">
        <v>8.8999999999999996E-2</v>
      </c>
      <c r="G9124">
        <f t="shared" si="287"/>
        <v>21.53</v>
      </c>
    </row>
    <row r="9125" spans="1:7" ht="12.75" customHeight="1">
      <c r="A9125" s="3">
        <v>92658</v>
      </c>
      <c r="B9125" s="4" t="s">
        <v>9149</v>
      </c>
      <c r="C9125" s="3" t="s">
        <v>6</v>
      </c>
      <c r="D9125" s="5">
        <f t="shared" si="286"/>
        <v>22.9</v>
      </c>
      <c r="E9125">
        <v>25.14</v>
      </c>
      <c r="F9125" s="1789">
        <v>8.8999999999999996E-2</v>
      </c>
      <c r="G9125">
        <f t="shared" si="287"/>
        <v>22.9</v>
      </c>
    </row>
    <row r="9126" spans="1:7" ht="12.75" customHeight="1">
      <c r="A9126" s="3">
        <v>92659</v>
      </c>
      <c r="B9126" s="4" t="s">
        <v>9150</v>
      </c>
      <c r="C9126" s="3" t="s">
        <v>6</v>
      </c>
      <c r="D9126" s="5">
        <f t="shared" si="286"/>
        <v>26.38</v>
      </c>
      <c r="E9126">
        <v>28.96</v>
      </c>
      <c r="F9126" s="1789">
        <v>8.8999999999999996E-2</v>
      </c>
      <c r="G9126">
        <f t="shared" si="287"/>
        <v>26.38</v>
      </c>
    </row>
    <row r="9127" spans="1:7" ht="12.75" customHeight="1">
      <c r="A9127" s="3">
        <v>92660</v>
      </c>
      <c r="B9127" s="4" t="s">
        <v>9151</v>
      </c>
      <c r="C9127" s="3" t="s">
        <v>6</v>
      </c>
      <c r="D9127" s="5">
        <f t="shared" si="286"/>
        <v>27.64</v>
      </c>
      <c r="E9127">
        <v>30.35</v>
      </c>
      <c r="F9127" s="1789">
        <v>8.8999999999999996E-2</v>
      </c>
      <c r="G9127">
        <f t="shared" si="287"/>
        <v>27.64</v>
      </c>
    </row>
    <row r="9128" spans="1:7" ht="12.75" customHeight="1">
      <c r="A9128" s="3">
        <v>92661</v>
      </c>
      <c r="B9128" s="4" t="s">
        <v>9152</v>
      </c>
      <c r="C9128" s="3" t="s">
        <v>6</v>
      </c>
      <c r="D9128" s="5">
        <f t="shared" si="286"/>
        <v>31.38</v>
      </c>
      <c r="E9128">
        <v>34.450000000000003</v>
      </c>
      <c r="F9128" s="1789">
        <v>8.8999999999999996E-2</v>
      </c>
      <c r="G9128">
        <f t="shared" si="287"/>
        <v>31.38</v>
      </c>
    </row>
    <row r="9129" spans="1:7" ht="12.75" customHeight="1">
      <c r="A9129" s="3">
        <v>92662</v>
      </c>
      <c r="B9129" s="4" t="s">
        <v>9153</v>
      </c>
      <c r="C9129" s="3" t="s">
        <v>6</v>
      </c>
      <c r="D9129" s="5">
        <f t="shared" si="286"/>
        <v>31.62</v>
      </c>
      <c r="E9129">
        <v>34.72</v>
      </c>
      <c r="F9129" s="1789">
        <v>8.8999999999999996E-2</v>
      </c>
      <c r="G9129">
        <f t="shared" si="287"/>
        <v>31.62</v>
      </c>
    </row>
    <row r="9130" spans="1:7" ht="12.75" customHeight="1">
      <c r="A9130" s="3">
        <v>92663</v>
      </c>
      <c r="B9130" s="4" t="s">
        <v>9154</v>
      </c>
      <c r="C9130" s="3" t="s">
        <v>6</v>
      </c>
      <c r="D9130" s="5">
        <f t="shared" si="286"/>
        <v>41.79</v>
      </c>
      <c r="E9130">
        <v>45.88</v>
      </c>
      <c r="F9130" s="1789">
        <v>8.8999999999999996E-2</v>
      </c>
      <c r="G9130">
        <f t="shared" si="287"/>
        <v>41.79</v>
      </c>
    </row>
    <row r="9131" spans="1:7" ht="12.75" customHeight="1">
      <c r="A9131" s="3">
        <v>92664</v>
      </c>
      <c r="B9131" s="4" t="s">
        <v>9155</v>
      </c>
      <c r="C9131" s="3" t="s">
        <v>6</v>
      </c>
      <c r="D9131" s="5">
        <f t="shared" si="286"/>
        <v>41.77</v>
      </c>
      <c r="E9131">
        <v>45.86</v>
      </c>
      <c r="F9131" s="1789">
        <v>8.8999999999999996E-2</v>
      </c>
      <c r="G9131">
        <f t="shared" si="287"/>
        <v>41.77</v>
      </c>
    </row>
    <row r="9132" spans="1:7" ht="12.75" customHeight="1">
      <c r="A9132" s="3">
        <v>92665</v>
      </c>
      <c r="B9132" s="4" t="s">
        <v>9156</v>
      </c>
      <c r="C9132" s="3" t="s">
        <v>6</v>
      </c>
      <c r="D9132" s="5">
        <f t="shared" si="286"/>
        <v>57.22</v>
      </c>
      <c r="E9132">
        <v>62.82</v>
      </c>
      <c r="F9132" s="1789">
        <v>8.8999999999999996E-2</v>
      </c>
      <c r="G9132">
        <f t="shared" si="287"/>
        <v>57.22</v>
      </c>
    </row>
    <row r="9133" spans="1:7" ht="12.75" customHeight="1">
      <c r="A9133" s="3">
        <v>92666</v>
      </c>
      <c r="B9133" s="4" t="s">
        <v>9157</v>
      </c>
      <c r="C9133" s="3" t="s">
        <v>6</v>
      </c>
      <c r="D9133" s="5">
        <f t="shared" si="286"/>
        <v>64.819999999999993</v>
      </c>
      <c r="E9133">
        <v>71.16</v>
      </c>
      <c r="F9133" s="1789">
        <v>8.8999999999999996E-2</v>
      </c>
      <c r="G9133">
        <f t="shared" si="287"/>
        <v>64.819999999999993</v>
      </c>
    </row>
    <row r="9134" spans="1:7" ht="12.75" customHeight="1">
      <c r="A9134" s="3">
        <v>92667</v>
      </c>
      <c r="B9134" s="4" t="s">
        <v>9158</v>
      </c>
      <c r="C9134" s="3" t="s">
        <v>6</v>
      </c>
      <c r="D9134" s="5">
        <f t="shared" si="286"/>
        <v>83.83</v>
      </c>
      <c r="E9134">
        <v>92.02</v>
      </c>
      <c r="F9134" s="1789">
        <v>8.8999999999999996E-2</v>
      </c>
      <c r="G9134">
        <f t="shared" si="287"/>
        <v>83.83</v>
      </c>
    </row>
    <row r="9135" spans="1:7" ht="12.75" customHeight="1">
      <c r="A9135" s="3">
        <v>92668</v>
      </c>
      <c r="B9135" s="4" t="s">
        <v>9159</v>
      </c>
      <c r="C9135" s="3" t="s">
        <v>6</v>
      </c>
      <c r="D9135" s="5">
        <f t="shared" si="286"/>
        <v>90.58</v>
      </c>
      <c r="E9135">
        <v>99.44</v>
      </c>
      <c r="F9135" s="1789">
        <v>8.8999999999999996E-2</v>
      </c>
      <c r="G9135">
        <f t="shared" si="287"/>
        <v>90.58</v>
      </c>
    </row>
    <row r="9136" spans="1:7" ht="12.75" customHeight="1">
      <c r="A9136" s="3">
        <v>92669</v>
      </c>
      <c r="B9136" s="4" t="s">
        <v>9160</v>
      </c>
      <c r="C9136" s="3" t="s">
        <v>6</v>
      </c>
      <c r="D9136" s="5">
        <f t="shared" si="286"/>
        <v>32.659999999999997</v>
      </c>
      <c r="E9136">
        <v>35.86</v>
      </c>
      <c r="F9136" s="1789">
        <v>8.8999999999999996E-2</v>
      </c>
      <c r="G9136">
        <f t="shared" si="287"/>
        <v>32.659999999999997</v>
      </c>
    </row>
    <row r="9137" spans="1:7" ht="12.75" customHeight="1">
      <c r="A9137" s="3">
        <v>92670</v>
      </c>
      <c r="B9137" s="4" t="s">
        <v>9161</v>
      </c>
      <c r="C9137" s="3" t="s">
        <v>6</v>
      </c>
      <c r="D9137" s="5">
        <f t="shared" si="286"/>
        <v>30.85</v>
      </c>
      <c r="E9137">
        <v>33.869999999999997</v>
      </c>
      <c r="F9137" s="1789">
        <v>8.8999999999999996E-2</v>
      </c>
      <c r="G9137">
        <f t="shared" si="287"/>
        <v>30.85</v>
      </c>
    </row>
    <row r="9138" spans="1:7" ht="12.75" customHeight="1">
      <c r="A9138" s="3">
        <v>92671</v>
      </c>
      <c r="B9138" s="4" t="s">
        <v>9162</v>
      </c>
      <c r="C9138" s="3" t="s">
        <v>6</v>
      </c>
      <c r="D9138" s="5">
        <f t="shared" si="286"/>
        <v>42.17</v>
      </c>
      <c r="E9138">
        <v>46.3</v>
      </c>
      <c r="F9138" s="1789">
        <v>8.8999999999999996E-2</v>
      </c>
      <c r="G9138">
        <f t="shared" si="287"/>
        <v>42.17</v>
      </c>
    </row>
    <row r="9139" spans="1:7" ht="12.75" customHeight="1">
      <c r="A9139" s="3">
        <v>92672</v>
      </c>
      <c r="B9139" s="4" t="s">
        <v>9163</v>
      </c>
      <c r="C9139" s="3" t="s">
        <v>6</v>
      </c>
      <c r="D9139" s="5">
        <f t="shared" si="286"/>
        <v>38.57</v>
      </c>
      <c r="E9139">
        <v>42.34</v>
      </c>
      <c r="F9139" s="1789">
        <v>8.8999999999999996E-2</v>
      </c>
      <c r="G9139">
        <f t="shared" si="287"/>
        <v>38.57</v>
      </c>
    </row>
    <row r="9140" spans="1:7" ht="12.75" customHeight="1">
      <c r="A9140" s="3">
        <v>92673</v>
      </c>
      <c r="B9140" s="4" t="s">
        <v>9164</v>
      </c>
      <c r="C9140" s="3" t="s">
        <v>6</v>
      </c>
      <c r="D9140" s="5">
        <f t="shared" si="286"/>
        <v>48.28</v>
      </c>
      <c r="E9140">
        <v>53</v>
      </c>
      <c r="F9140" s="1789">
        <v>8.8999999999999996E-2</v>
      </c>
      <c r="G9140">
        <f t="shared" si="287"/>
        <v>48.28</v>
      </c>
    </row>
    <row r="9141" spans="1:7" ht="12.75" customHeight="1">
      <c r="A9141" s="3">
        <v>92674</v>
      </c>
      <c r="B9141" s="4" t="s">
        <v>9165</v>
      </c>
      <c r="C9141" s="3" t="s">
        <v>6</v>
      </c>
      <c r="D9141" s="5">
        <f t="shared" si="286"/>
        <v>45.79</v>
      </c>
      <c r="E9141">
        <v>50.27</v>
      </c>
      <c r="F9141" s="1789">
        <v>8.8999999999999996E-2</v>
      </c>
      <c r="G9141">
        <f t="shared" si="287"/>
        <v>45.79</v>
      </c>
    </row>
    <row r="9142" spans="1:7" ht="12.75" customHeight="1">
      <c r="A9142" s="3">
        <v>92675</v>
      </c>
      <c r="B9142" s="4" t="s">
        <v>9166</v>
      </c>
      <c r="C9142" s="3" t="s">
        <v>6</v>
      </c>
      <c r="D9142" s="5">
        <f t="shared" si="286"/>
        <v>62.05</v>
      </c>
      <c r="E9142">
        <v>68.12</v>
      </c>
      <c r="F9142" s="1789">
        <v>8.8999999999999996E-2</v>
      </c>
      <c r="G9142">
        <f t="shared" si="287"/>
        <v>62.05</v>
      </c>
    </row>
    <row r="9143" spans="1:7" ht="12.75" customHeight="1">
      <c r="A9143" s="3">
        <v>92676</v>
      </c>
      <c r="B9143" s="4" t="s">
        <v>9167</v>
      </c>
      <c r="C9143" s="3" t="s">
        <v>6</v>
      </c>
      <c r="D9143" s="5">
        <f t="shared" si="286"/>
        <v>60.36</v>
      </c>
      <c r="E9143">
        <v>66.260000000000005</v>
      </c>
      <c r="F9143" s="1789">
        <v>8.8999999999999996E-2</v>
      </c>
      <c r="G9143">
        <f t="shared" si="287"/>
        <v>60.36</v>
      </c>
    </row>
    <row r="9144" spans="1:7" ht="12.75" customHeight="1">
      <c r="A9144" s="3">
        <v>92677</v>
      </c>
      <c r="B9144" s="4" t="s">
        <v>9168</v>
      </c>
      <c r="C9144" s="3" t="s">
        <v>6</v>
      </c>
      <c r="D9144" s="5">
        <f t="shared" si="286"/>
        <v>100.49</v>
      </c>
      <c r="E9144">
        <v>110.31</v>
      </c>
      <c r="F9144" s="1789">
        <v>8.8999999999999996E-2</v>
      </c>
      <c r="G9144">
        <f t="shared" si="287"/>
        <v>100.49</v>
      </c>
    </row>
    <row r="9145" spans="1:7" ht="12.75" customHeight="1">
      <c r="A9145" s="3">
        <v>92678</v>
      </c>
      <c r="B9145" s="4" t="s">
        <v>9169</v>
      </c>
      <c r="C9145" s="3" t="s">
        <v>6</v>
      </c>
      <c r="D9145" s="5">
        <f t="shared" si="286"/>
        <v>93.05</v>
      </c>
      <c r="E9145">
        <v>102.15</v>
      </c>
      <c r="F9145" s="1789">
        <v>8.8999999999999996E-2</v>
      </c>
      <c r="G9145">
        <f t="shared" si="287"/>
        <v>93.05</v>
      </c>
    </row>
    <row r="9146" spans="1:7" ht="12.75" customHeight="1">
      <c r="A9146" s="3">
        <v>92679</v>
      </c>
      <c r="B9146" s="4" t="s">
        <v>9170</v>
      </c>
      <c r="C9146" s="3" t="s">
        <v>6</v>
      </c>
      <c r="D9146" s="5">
        <f t="shared" si="286"/>
        <v>137.37</v>
      </c>
      <c r="E9146">
        <v>150.80000000000001</v>
      </c>
      <c r="F9146" s="1789">
        <v>8.8999999999999996E-2</v>
      </c>
      <c r="G9146">
        <f t="shared" si="287"/>
        <v>137.37</v>
      </c>
    </row>
    <row r="9147" spans="1:7" ht="12.75" customHeight="1">
      <c r="A9147" s="3">
        <v>92680</v>
      </c>
      <c r="B9147" s="4" t="s">
        <v>9171</v>
      </c>
      <c r="C9147" s="3" t="s">
        <v>6</v>
      </c>
      <c r="D9147" s="5">
        <f t="shared" si="286"/>
        <v>123.04</v>
      </c>
      <c r="E9147">
        <v>135.07</v>
      </c>
      <c r="F9147" s="1789">
        <v>8.8999999999999996E-2</v>
      </c>
      <c r="G9147">
        <f t="shared" si="287"/>
        <v>123.04</v>
      </c>
    </row>
    <row r="9148" spans="1:7" ht="12.75" customHeight="1">
      <c r="A9148" s="3">
        <v>92681</v>
      </c>
      <c r="B9148" s="4" t="s">
        <v>9172</v>
      </c>
      <c r="C9148" s="3" t="s">
        <v>6</v>
      </c>
      <c r="D9148" s="5">
        <f t="shared" si="286"/>
        <v>41.83</v>
      </c>
      <c r="E9148">
        <v>45.92</v>
      </c>
      <c r="F9148" s="1789">
        <v>8.8999999999999996E-2</v>
      </c>
      <c r="G9148">
        <f t="shared" si="287"/>
        <v>41.83</v>
      </c>
    </row>
    <row r="9149" spans="1:7" ht="12.75" customHeight="1">
      <c r="A9149" s="3">
        <v>92682</v>
      </c>
      <c r="B9149" s="4" t="s">
        <v>9173</v>
      </c>
      <c r="C9149" s="3" t="s">
        <v>6</v>
      </c>
      <c r="D9149" s="5">
        <f t="shared" si="286"/>
        <v>51.83</v>
      </c>
      <c r="E9149">
        <v>56.9</v>
      </c>
      <c r="F9149" s="1789">
        <v>8.8999999999999996E-2</v>
      </c>
      <c r="G9149">
        <f t="shared" si="287"/>
        <v>51.83</v>
      </c>
    </row>
    <row r="9150" spans="1:7" ht="12.75" customHeight="1">
      <c r="A9150" s="3">
        <v>92683</v>
      </c>
      <c r="B9150" s="4" t="s">
        <v>9174</v>
      </c>
      <c r="C9150" s="3" t="s">
        <v>6</v>
      </c>
      <c r="D9150" s="5">
        <f t="shared" si="286"/>
        <v>60.14</v>
      </c>
      <c r="E9150">
        <v>66.02</v>
      </c>
      <c r="F9150" s="1789">
        <v>8.8999999999999996E-2</v>
      </c>
      <c r="G9150">
        <f t="shared" si="287"/>
        <v>60.14</v>
      </c>
    </row>
    <row r="9151" spans="1:7" ht="12.75" customHeight="1">
      <c r="A9151" s="3">
        <v>92684</v>
      </c>
      <c r="B9151" s="4" t="s">
        <v>9175</v>
      </c>
      <c r="C9151" s="3" t="s">
        <v>6</v>
      </c>
      <c r="D9151" s="5">
        <f t="shared" si="286"/>
        <v>80.44</v>
      </c>
      <c r="E9151">
        <v>88.3</v>
      </c>
      <c r="F9151" s="1789">
        <v>8.8999999999999996E-2</v>
      </c>
      <c r="G9151">
        <f t="shared" si="287"/>
        <v>80.44</v>
      </c>
    </row>
    <row r="9152" spans="1:7" ht="12.75" customHeight="1">
      <c r="A9152" s="3">
        <v>92685</v>
      </c>
      <c r="B9152" s="4" t="s">
        <v>9176</v>
      </c>
      <c r="C9152" s="3" t="s">
        <v>6</v>
      </c>
      <c r="D9152" s="5">
        <f t="shared" si="286"/>
        <v>127.8</v>
      </c>
      <c r="E9152">
        <v>140.29</v>
      </c>
      <c r="F9152" s="1789">
        <v>8.8999999999999996E-2</v>
      </c>
      <c r="G9152">
        <f t="shared" si="287"/>
        <v>127.8</v>
      </c>
    </row>
    <row r="9153" spans="1:7" ht="12.75" customHeight="1">
      <c r="A9153" s="3">
        <v>92686</v>
      </c>
      <c r="B9153" s="4" t="s">
        <v>9177</v>
      </c>
      <c r="C9153" s="3" t="s">
        <v>6</v>
      </c>
      <c r="D9153" s="5">
        <f t="shared" si="286"/>
        <v>162.66999999999999</v>
      </c>
      <c r="E9153">
        <v>178.57</v>
      </c>
      <c r="F9153" s="1789">
        <v>8.8999999999999996E-2</v>
      </c>
      <c r="G9153">
        <f t="shared" si="287"/>
        <v>162.66999999999999</v>
      </c>
    </row>
    <row r="9154" spans="1:7" ht="12.75" customHeight="1">
      <c r="A9154" s="3">
        <v>92692</v>
      </c>
      <c r="B9154" s="4" t="s">
        <v>9178</v>
      </c>
      <c r="C9154" s="3" t="s">
        <v>6</v>
      </c>
      <c r="D9154" s="5">
        <f t="shared" si="286"/>
        <v>11.65</v>
      </c>
      <c r="E9154">
        <v>12.79</v>
      </c>
      <c r="F9154" s="1789">
        <v>8.8999999999999996E-2</v>
      </c>
      <c r="G9154">
        <f t="shared" si="287"/>
        <v>11.65</v>
      </c>
    </row>
    <row r="9155" spans="1:7" ht="12.75" customHeight="1">
      <c r="A9155" s="3">
        <v>92693</v>
      </c>
      <c r="B9155" s="4" t="s">
        <v>9179</v>
      </c>
      <c r="C9155" s="3" t="s">
        <v>6</v>
      </c>
      <c r="D9155" s="5">
        <f t="shared" si="286"/>
        <v>11.95</v>
      </c>
      <c r="E9155">
        <v>13.12</v>
      </c>
      <c r="F9155" s="1789">
        <v>8.8999999999999996E-2</v>
      </c>
      <c r="G9155">
        <f t="shared" si="287"/>
        <v>11.95</v>
      </c>
    </row>
    <row r="9156" spans="1:7" ht="12.75" customHeight="1">
      <c r="A9156" s="3">
        <v>92694</v>
      </c>
      <c r="B9156" s="4" t="s">
        <v>9180</v>
      </c>
      <c r="C9156" s="3" t="s">
        <v>6</v>
      </c>
      <c r="D9156" s="5">
        <f t="shared" si="286"/>
        <v>18.579999999999998</v>
      </c>
      <c r="E9156">
        <v>20.399999999999999</v>
      </c>
      <c r="F9156" s="1789">
        <v>8.8999999999999996E-2</v>
      </c>
      <c r="G9156">
        <f t="shared" si="287"/>
        <v>18.579999999999998</v>
      </c>
    </row>
    <row r="9157" spans="1:7" ht="12.75" customHeight="1">
      <c r="A9157" s="3">
        <v>92695</v>
      </c>
      <c r="B9157" s="4" t="s">
        <v>9181</v>
      </c>
      <c r="C9157" s="3" t="s">
        <v>6</v>
      </c>
      <c r="D9157" s="5">
        <f t="shared" si="286"/>
        <v>18.89</v>
      </c>
      <c r="E9157">
        <v>20.74</v>
      </c>
      <c r="F9157" s="1789">
        <v>8.8999999999999996E-2</v>
      </c>
      <c r="G9157">
        <f t="shared" si="287"/>
        <v>18.89</v>
      </c>
    </row>
    <row r="9158" spans="1:7" ht="12.75" customHeight="1">
      <c r="A9158" s="3">
        <v>92696</v>
      </c>
      <c r="B9158" s="4" t="s">
        <v>9182</v>
      </c>
      <c r="C9158" s="3" t="s">
        <v>6</v>
      </c>
      <c r="D9158" s="5">
        <f t="shared" si="286"/>
        <v>29.19</v>
      </c>
      <c r="E9158">
        <v>32.049999999999997</v>
      </c>
      <c r="F9158" s="1789">
        <v>8.8999999999999996E-2</v>
      </c>
      <c r="G9158">
        <f t="shared" si="287"/>
        <v>29.19</v>
      </c>
    </row>
    <row r="9159" spans="1:7" ht="12.75" customHeight="1">
      <c r="A9159" s="3">
        <v>92697</v>
      </c>
      <c r="B9159" s="4" t="s">
        <v>9183</v>
      </c>
      <c r="C9159" s="3" t="s">
        <v>6</v>
      </c>
      <c r="D9159" s="5">
        <f t="shared" si="286"/>
        <v>30.56</v>
      </c>
      <c r="E9159">
        <v>33.549999999999997</v>
      </c>
      <c r="F9159" s="1789">
        <v>8.8999999999999996E-2</v>
      </c>
      <c r="G9159">
        <f t="shared" si="287"/>
        <v>30.56</v>
      </c>
    </row>
    <row r="9160" spans="1:7" ht="12.75" customHeight="1">
      <c r="A9160" s="3">
        <v>92698</v>
      </c>
      <c r="B9160" s="4" t="s">
        <v>9184</v>
      </c>
      <c r="C9160" s="3" t="s">
        <v>6</v>
      </c>
      <c r="D9160" s="5">
        <f t="shared" si="286"/>
        <v>17.22</v>
      </c>
      <c r="E9160">
        <v>18.91</v>
      </c>
      <c r="F9160" s="1789">
        <v>8.8999999999999996E-2</v>
      </c>
      <c r="G9160">
        <f t="shared" si="287"/>
        <v>17.22</v>
      </c>
    </row>
    <row r="9161" spans="1:7" ht="12.75" customHeight="1">
      <c r="A9161" s="3">
        <v>92699</v>
      </c>
      <c r="B9161" s="4" t="s">
        <v>9185</v>
      </c>
      <c r="C9161" s="3" t="s">
        <v>6</v>
      </c>
      <c r="D9161" s="5">
        <f t="shared" si="286"/>
        <v>16.23</v>
      </c>
      <c r="E9161">
        <v>17.82</v>
      </c>
      <c r="F9161" s="1789">
        <v>8.8999999999999996E-2</v>
      </c>
      <c r="G9161">
        <f t="shared" si="287"/>
        <v>16.23</v>
      </c>
    </row>
    <row r="9162" spans="1:7" ht="12.75" customHeight="1">
      <c r="A9162" s="3">
        <v>92700</v>
      </c>
      <c r="B9162" s="4" t="s">
        <v>9186</v>
      </c>
      <c r="C9162" s="3" t="s">
        <v>6</v>
      </c>
      <c r="D9162" s="5">
        <f t="shared" si="286"/>
        <v>28.19</v>
      </c>
      <c r="E9162">
        <v>30.95</v>
      </c>
      <c r="F9162" s="1789">
        <v>8.8999999999999996E-2</v>
      </c>
      <c r="G9162">
        <f t="shared" si="287"/>
        <v>28.19</v>
      </c>
    </row>
    <row r="9163" spans="1:7" ht="12.75" customHeight="1">
      <c r="A9163" s="3">
        <v>92701</v>
      </c>
      <c r="B9163" s="4" t="s">
        <v>9187</v>
      </c>
      <c r="C9163" s="3" t="s">
        <v>6</v>
      </c>
      <c r="D9163" s="5">
        <f t="shared" si="286"/>
        <v>26.72</v>
      </c>
      <c r="E9163">
        <v>29.34</v>
      </c>
      <c r="F9163" s="1789">
        <v>8.8999999999999996E-2</v>
      </c>
      <c r="G9163">
        <f t="shared" si="287"/>
        <v>26.72</v>
      </c>
    </row>
    <row r="9164" spans="1:7" ht="12.75" customHeight="1">
      <c r="A9164" s="3">
        <v>92702</v>
      </c>
      <c r="B9164" s="4" t="s">
        <v>9188</v>
      </c>
      <c r="C9164" s="3" t="s">
        <v>6</v>
      </c>
      <c r="D9164" s="5">
        <f t="shared" si="286"/>
        <v>44.21</v>
      </c>
      <c r="E9164">
        <v>48.54</v>
      </c>
      <c r="F9164" s="1789">
        <v>8.8999999999999996E-2</v>
      </c>
      <c r="G9164">
        <f t="shared" si="287"/>
        <v>44.21</v>
      </c>
    </row>
    <row r="9165" spans="1:7" ht="12.75" customHeight="1">
      <c r="A9165" s="3">
        <v>92703</v>
      </c>
      <c r="B9165" s="4" t="s">
        <v>9189</v>
      </c>
      <c r="C9165" s="3" t="s">
        <v>6</v>
      </c>
      <c r="D9165" s="5">
        <f t="shared" si="286"/>
        <v>42.4</v>
      </c>
      <c r="E9165">
        <v>46.55</v>
      </c>
      <c r="F9165" s="1789">
        <v>8.8999999999999996E-2</v>
      </c>
      <c r="G9165">
        <f t="shared" si="287"/>
        <v>42.4</v>
      </c>
    </row>
    <row r="9166" spans="1:7" ht="12.75" customHeight="1">
      <c r="A9166" s="3">
        <v>92704</v>
      </c>
      <c r="B9166" s="4" t="s">
        <v>9190</v>
      </c>
      <c r="C9166" s="3" t="s">
        <v>6</v>
      </c>
      <c r="D9166" s="5">
        <f t="shared" si="286"/>
        <v>21.86</v>
      </c>
      <c r="E9166">
        <v>24</v>
      </c>
      <c r="F9166" s="1789">
        <v>8.8999999999999996E-2</v>
      </c>
      <c r="G9166">
        <f t="shared" si="287"/>
        <v>21.86</v>
      </c>
    </row>
    <row r="9167" spans="1:7" ht="12.75" customHeight="1">
      <c r="A9167" s="3">
        <v>92705</v>
      </c>
      <c r="B9167" s="4" t="s">
        <v>9191</v>
      </c>
      <c r="C9167" s="3" t="s">
        <v>6</v>
      </c>
      <c r="D9167" s="5">
        <f t="shared" si="286"/>
        <v>35.35</v>
      </c>
      <c r="E9167">
        <v>38.81</v>
      </c>
      <c r="F9167" s="1789">
        <v>8.8999999999999996E-2</v>
      </c>
      <c r="G9167">
        <f t="shared" si="287"/>
        <v>35.35</v>
      </c>
    </row>
    <row r="9168" spans="1:7" ht="12.75" customHeight="1">
      <c r="A9168" s="3">
        <v>92706</v>
      </c>
      <c r="B9168" s="4" t="s">
        <v>9192</v>
      </c>
      <c r="C9168" s="3" t="s">
        <v>6</v>
      </c>
      <c r="D9168" s="5">
        <f t="shared" si="286"/>
        <v>57.23</v>
      </c>
      <c r="E9168">
        <v>62.83</v>
      </c>
      <c r="F9168" s="1789">
        <v>8.8999999999999996E-2</v>
      </c>
      <c r="G9168">
        <f t="shared" si="287"/>
        <v>57.23</v>
      </c>
    </row>
    <row r="9169" spans="1:7" ht="12.75" customHeight="1">
      <c r="A9169" s="3">
        <v>92889</v>
      </c>
      <c r="B9169" s="4" t="s">
        <v>9193</v>
      </c>
      <c r="C9169" s="3" t="s">
        <v>6</v>
      </c>
      <c r="D9169" s="5">
        <f t="shared" si="286"/>
        <v>103.08</v>
      </c>
      <c r="E9169">
        <v>113.16</v>
      </c>
      <c r="F9169" s="1789">
        <v>8.8999999999999996E-2</v>
      </c>
      <c r="G9169">
        <f t="shared" si="287"/>
        <v>103.08</v>
      </c>
    </row>
    <row r="9170" spans="1:7" ht="12.75" customHeight="1">
      <c r="A9170" s="3">
        <v>92890</v>
      </c>
      <c r="B9170" s="4" t="s">
        <v>9194</v>
      </c>
      <c r="C9170" s="3" t="s">
        <v>6</v>
      </c>
      <c r="D9170" s="5">
        <f t="shared" si="286"/>
        <v>154.9</v>
      </c>
      <c r="E9170">
        <v>170.04</v>
      </c>
      <c r="F9170" s="1789">
        <v>8.8999999999999996E-2</v>
      </c>
      <c r="G9170">
        <f t="shared" si="287"/>
        <v>154.9</v>
      </c>
    </row>
    <row r="9171" spans="1:7" ht="12.75" customHeight="1">
      <c r="A9171" s="3">
        <v>92891</v>
      </c>
      <c r="B9171" s="4" t="s">
        <v>9195</v>
      </c>
      <c r="C9171" s="3" t="s">
        <v>6</v>
      </c>
      <c r="D9171" s="5">
        <f t="shared" si="286"/>
        <v>225.8</v>
      </c>
      <c r="E9171">
        <v>247.87</v>
      </c>
      <c r="F9171" s="1789">
        <v>8.8999999999999996E-2</v>
      </c>
      <c r="G9171">
        <f t="shared" si="287"/>
        <v>225.8</v>
      </c>
    </row>
    <row r="9172" spans="1:7" ht="12.75" customHeight="1">
      <c r="A9172" s="3">
        <v>92892</v>
      </c>
      <c r="B9172" s="4" t="s">
        <v>9196</v>
      </c>
      <c r="C9172" s="3" t="s">
        <v>6</v>
      </c>
      <c r="D9172" s="5">
        <f t="shared" si="286"/>
        <v>45.57</v>
      </c>
      <c r="E9172">
        <v>50.03</v>
      </c>
      <c r="F9172" s="1789">
        <v>8.8999999999999996E-2</v>
      </c>
      <c r="G9172">
        <f t="shared" si="287"/>
        <v>45.57</v>
      </c>
    </row>
    <row r="9173" spans="1:7" ht="12.75" customHeight="1">
      <c r="A9173" s="3">
        <v>92893</v>
      </c>
      <c r="B9173" s="4" t="s">
        <v>9197</v>
      </c>
      <c r="C9173" s="3" t="s">
        <v>6</v>
      </c>
      <c r="D9173" s="5">
        <f t="shared" ref="D9173:D9236" si="288">G9173</f>
        <v>64.040000000000006</v>
      </c>
      <c r="E9173">
        <v>70.3</v>
      </c>
      <c r="F9173" s="1789">
        <v>8.8999999999999996E-2</v>
      </c>
      <c r="G9173">
        <f t="shared" ref="G9173:G9236" si="289">TRUNC((1-F9173)*E9173,2)</f>
        <v>64.040000000000006</v>
      </c>
    </row>
    <row r="9174" spans="1:7" ht="12.75" customHeight="1">
      <c r="A9174" s="3">
        <v>92894</v>
      </c>
      <c r="B9174" s="4" t="s">
        <v>9198</v>
      </c>
      <c r="C9174" s="3" t="s">
        <v>6</v>
      </c>
      <c r="D9174" s="5">
        <f t="shared" si="288"/>
        <v>76.25</v>
      </c>
      <c r="E9174">
        <v>83.7</v>
      </c>
      <c r="F9174" s="1789">
        <v>8.8999999999999996E-2</v>
      </c>
      <c r="G9174">
        <f t="shared" si="289"/>
        <v>76.25</v>
      </c>
    </row>
    <row r="9175" spans="1:7" ht="12.75" customHeight="1">
      <c r="A9175" s="3">
        <v>92895</v>
      </c>
      <c r="B9175" s="4" t="s">
        <v>9199</v>
      </c>
      <c r="C9175" s="3" t="s">
        <v>6</v>
      </c>
      <c r="D9175" s="5">
        <f t="shared" si="288"/>
        <v>103.05</v>
      </c>
      <c r="E9175">
        <v>113.12</v>
      </c>
      <c r="F9175" s="1789">
        <v>8.8999999999999996E-2</v>
      </c>
      <c r="G9175">
        <f t="shared" si="289"/>
        <v>103.05</v>
      </c>
    </row>
    <row r="9176" spans="1:7" ht="12.75" customHeight="1">
      <c r="A9176" s="3">
        <v>92896</v>
      </c>
      <c r="B9176" s="4" t="s">
        <v>9200</v>
      </c>
      <c r="C9176" s="3" t="s">
        <v>6</v>
      </c>
      <c r="D9176" s="5">
        <f t="shared" si="288"/>
        <v>156.34</v>
      </c>
      <c r="E9176">
        <v>171.62</v>
      </c>
      <c r="F9176" s="1789">
        <v>8.8999999999999996E-2</v>
      </c>
      <c r="G9176">
        <f t="shared" si="289"/>
        <v>156.34</v>
      </c>
    </row>
    <row r="9177" spans="1:7" ht="12.75" customHeight="1">
      <c r="A9177" s="3">
        <v>92897</v>
      </c>
      <c r="B9177" s="4" t="s">
        <v>9201</v>
      </c>
      <c r="C9177" s="3" t="s">
        <v>6</v>
      </c>
      <c r="D9177" s="5">
        <f t="shared" si="288"/>
        <v>228.77</v>
      </c>
      <c r="E9177">
        <v>251.13</v>
      </c>
      <c r="F9177" s="1789">
        <v>8.8999999999999996E-2</v>
      </c>
      <c r="G9177">
        <f t="shared" si="289"/>
        <v>228.77</v>
      </c>
    </row>
    <row r="9178" spans="1:7" ht="12.75" customHeight="1">
      <c r="A9178" s="3">
        <v>92898</v>
      </c>
      <c r="B9178" s="4" t="s">
        <v>9202</v>
      </c>
      <c r="C9178" s="3" t="s">
        <v>6</v>
      </c>
      <c r="D9178" s="5">
        <f t="shared" si="288"/>
        <v>37.57</v>
      </c>
      <c r="E9178">
        <v>41.25</v>
      </c>
      <c r="F9178" s="1789">
        <v>8.8999999999999996E-2</v>
      </c>
      <c r="G9178">
        <f t="shared" si="289"/>
        <v>37.57</v>
      </c>
    </row>
    <row r="9179" spans="1:7" ht="12.75" customHeight="1">
      <c r="A9179" s="3">
        <v>92899</v>
      </c>
      <c r="B9179" s="4" t="s">
        <v>9203</v>
      </c>
      <c r="C9179" s="3" t="s">
        <v>6</v>
      </c>
      <c r="D9179" s="5">
        <f t="shared" si="288"/>
        <v>54.94</v>
      </c>
      <c r="E9179">
        <v>60.31</v>
      </c>
      <c r="F9179" s="1789">
        <v>8.8999999999999996E-2</v>
      </c>
      <c r="G9179">
        <f t="shared" si="289"/>
        <v>54.94</v>
      </c>
    </row>
    <row r="9180" spans="1:7" ht="12.75" customHeight="1">
      <c r="A9180" s="3">
        <v>92900</v>
      </c>
      <c r="B9180" s="4" t="s">
        <v>9204</v>
      </c>
      <c r="C9180" s="3" t="s">
        <v>6</v>
      </c>
      <c r="D9180" s="5">
        <f t="shared" si="288"/>
        <v>65.88</v>
      </c>
      <c r="E9180">
        <v>72.319999999999993</v>
      </c>
      <c r="F9180" s="1789">
        <v>8.8999999999999996E-2</v>
      </c>
      <c r="G9180">
        <f t="shared" si="289"/>
        <v>65.88</v>
      </c>
    </row>
    <row r="9181" spans="1:7" ht="12.75" customHeight="1">
      <c r="A9181" s="3">
        <v>92901</v>
      </c>
      <c r="B9181" s="4" t="s">
        <v>9205</v>
      </c>
      <c r="C9181" s="3" t="s">
        <v>6</v>
      </c>
      <c r="D9181" s="5">
        <f t="shared" si="288"/>
        <v>91.1</v>
      </c>
      <c r="E9181">
        <v>100.01</v>
      </c>
      <c r="F9181" s="1789">
        <v>8.8999999999999996E-2</v>
      </c>
      <c r="G9181">
        <f t="shared" si="289"/>
        <v>91.1</v>
      </c>
    </row>
    <row r="9182" spans="1:7" ht="12.75" customHeight="1">
      <c r="A9182" s="3">
        <v>92902</v>
      </c>
      <c r="B9182" s="4" t="s">
        <v>9206</v>
      </c>
      <c r="C9182" s="3" t="s">
        <v>6</v>
      </c>
      <c r="D9182" s="5">
        <f t="shared" si="288"/>
        <v>142.03</v>
      </c>
      <c r="E9182">
        <v>155.91</v>
      </c>
      <c r="F9182" s="1789">
        <v>8.8999999999999996E-2</v>
      </c>
      <c r="G9182">
        <f t="shared" si="289"/>
        <v>142.03</v>
      </c>
    </row>
    <row r="9183" spans="1:7" ht="12.75" customHeight="1">
      <c r="A9183" s="3">
        <v>92903</v>
      </c>
      <c r="B9183" s="4" t="s">
        <v>9207</v>
      </c>
      <c r="C9183" s="3" t="s">
        <v>6</v>
      </c>
      <c r="D9183" s="5">
        <f t="shared" si="288"/>
        <v>212.14</v>
      </c>
      <c r="E9183">
        <v>232.87</v>
      </c>
      <c r="F9183" s="1789">
        <v>8.8999999999999996E-2</v>
      </c>
      <c r="G9183">
        <f t="shared" si="289"/>
        <v>212.14</v>
      </c>
    </row>
    <row r="9184" spans="1:7" ht="12.75" customHeight="1">
      <c r="A9184" s="3">
        <v>92904</v>
      </c>
      <c r="B9184" s="4" t="s">
        <v>9208</v>
      </c>
      <c r="C9184" s="3" t="s">
        <v>6</v>
      </c>
      <c r="D9184" s="5">
        <f t="shared" si="288"/>
        <v>25.43</v>
      </c>
      <c r="E9184">
        <v>27.92</v>
      </c>
      <c r="F9184" s="1789">
        <v>8.8999999999999996E-2</v>
      </c>
      <c r="G9184">
        <f t="shared" si="289"/>
        <v>25.43</v>
      </c>
    </row>
    <row r="9185" spans="1:7" ht="12.75" customHeight="1">
      <c r="A9185" s="3">
        <v>92905</v>
      </c>
      <c r="B9185" s="4" t="s">
        <v>9209</v>
      </c>
      <c r="C9185" s="3" t="s">
        <v>6</v>
      </c>
      <c r="D9185" s="5">
        <f t="shared" si="288"/>
        <v>36.57</v>
      </c>
      <c r="E9185">
        <v>40.15</v>
      </c>
      <c r="F9185" s="1789">
        <v>8.8999999999999996E-2</v>
      </c>
      <c r="G9185">
        <f t="shared" si="289"/>
        <v>36.57</v>
      </c>
    </row>
    <row r="9186" spans="1:7" ht="12.75" customHeight="1">
      <c r="A9186" s="3">
        <v>92906</v>
      </c>
      <c r="B9186" s="4" t="s">
        <v>9210</v>
      </c>
      <c r="C9186" s="3" t="s">
        <v>6</v>
      </c>
      <c r="D9186" s="5">
        <f t="shared" si="288"/>
        <v>45.24</v>
      </c>
      <c r="E9186">
        <v>49.66</v>
      </c>
      <c r="F9186" s="1789">
        <v>8.8999999999999996E-2</v>
      </c>
      <c r="G9186">
        <f t="shared" si="289"/>
        <v>45.24</v>
      </c>
    </row>
    <row r="9187" spans="1:7" ht="12.75" customHeight="1">
      <c r="A9187" s="3">
        <v>92907</v>
      </c>
      <c r="B9187" s="4" t="s">
        <v>9211</v>
      </c>
      <c r="C9187" s="3" t="s">
        <v>6</v>
      </c>
      <c r="D9187" s="5">
        <f t="shared" si="288"/>
        <v>56.62</v>
      </c>
      <c r="E9187">
        <v>62.16</v>
      </c>
      <c r="F9187" s="1789">
        <v>8.8999999999999996E-2</v>
      </c>
      <c r="G9187">
        <f t="shared" si="289"/>
        <v>56.62</v>
      </c>
    </row>
    <row r="9188" spans="1:7" ht="12.75" customHeight="1">
      <c r="A9188" s="3">
        <v>92908</v>
      </c>
      <c r="B9188" s="4" t="s">
        <v>9212</v>
      </c>
      <c r="C9188" s="3" t="s">
        <v>6</v>
      </c>
      <c r="D9188" s="5">
        <f t="shared" si="288"/>
        <v>56.62</v>
      </c>
      <c r="E9188">
        <v>62.16</v>
      </c>
      <c r="F9188" s="1789">
        <v>8.8999999999999996E-2</v>
      </c>
      <c r="G9188">
        <f t="shared" si="289"/>
        <v>56.62</v>
      </c>
    </row>
    <row r="9189" spans="1:7" ht="12.75" customHeight="1">
      <c r="A9189" s="3">
        <v>92909</v>
      </c>
      <c r="B9189" s="4" t="s">
        <v>9213</v>
      </c>
      <c r="C9189" s="3" t="s">
        <v>6</v>
      </c>
      <c r="D9189" s="5">
        <f t="shared" si="288"/>
        <v>56.62</v>
      </c>
      <c r="E9189">
        <v>62.16</v>
      </c>
      <c r="F9189" s="1789">
        <v>8.8999999999999996E-2</v>
      </c>
      <c r="G9189">
        <f t="shared" si="289"/>
        <v>56.62</v>
      </c>
    </row>
    <row r="9190" spans="1:7" ht="12.75" customHeight="1">
      <c r="A9190" s="3">
        <v>92910</v>
      </c>
      <c r="B9190" s="4" t="s">
        <v>9214</v>
      </c>
      <c r="C9190" s="3" t="s">
        <v>6</v>
      </c>
      <c r="D9190" s="5">
        <f t="shared" si="288"/>
        <v>80.900000000000006</v>
      </c>
      <c r="E9190">
        <v>88.81</v>
      </c>
      <c r="F9190" s="1789">
        <v>8.8999999999999996E-2</v>
      </c>
      <c r="G9190">
        <f t="shared" si="289"/>
        <v>80.900000000000006</v>
      </c>
    </row>
    <row r="9191" spans="1:7" ht="12.75" customHeight="1">
      <c r="A9191" s="3">
        <v>92911</v>
      </c>
      <c r="B9191" s="4" t="s">
        <v>9215</v>
      </c>
      <c r="C9191" s="3" t="s">
        <v>6</v>
      </c>
      <c r="D9191" s="5">
        <f t="shared" si="288"/>
        <v>80.900000000000006</v>
      </c>
      <c r="E9191">
        <v>88.81</v>
      </c>
      <c r="F9191" s="1789">
        <v>8.8999999999999996E-2</v>
      </c>
      <c r="G9191">
        <f t="shared" si="289"/>
        <v>80.900000000000006</v>
      </c>
    </row>
    <row r="9192" spans="1:7" ht="12.75" customHeight="1">
      <c r="A9192" s="3">
        <v>92912</v>
      </c>
      <c r="B9192" s="4" t="s">
        <v>9216</v>
      </c>
      <c r="C9192" s="3" t="s">
        <v>6</v>
      </c>
      <c r="D9192" s="5">
        <f t="shared" si="288"/>
        <v>107.38</v>
      </c>
      <c r="E9192">
        <v>117.88</v>
      </c>
      <c r="F9192" s="1789">
        <v>8.8999999999999996E-2</v>
      </c>
      <c r="G9192">
        <f t="shared" si="289"/>
        <v>107.38</v>
      </c>
    </row>
    <row r="9193" spans="1:7" ht="12.75" customHeight="1">
      <c r="A9193" s="3">
        <v>92913</v>
      </c>
      <c r="B9193" s="4" t="s">
        <v>9217</v>
      </c>
      <c r="C9193" s="3" t="s">
        <v>6</v>
      </c>
      <c r="D9193" s="5">
        <f t="shared" si="288"/>
        <v>109.85</v>
      </c>
      <c r="E9193">
        <v>120.59</v>
      </c>
      <c r="F9193" s="1789">
        <v>8.8999999999999996E-2</v>
      </c>
      <c r="G9193">
        <f t="shared" si="289"/>
        <v>109.85</v>
      </c>
    </row>
    <row r="9194" spans="1:7" ht="12.75" customHeight="1">
      <c r="A9194" s="3">
        <v>92914</v>
      </c>
      <c r="B9194" s="4" t="s">
        <v>9218</v>
      </c>
      <c r="C9194" s="3" t="s">
        <v>6</v>
      </c>
      <c r="D9194" s="5">
        <f t="shared" si="288"/>
        <v>109.85</v>
      </c>
      <c r="E9194">
        <v>120.59</v>
      </c>
      <c r="F9194" s="1789">
        <v>8.8999999999999996E-2</v>
      </c>
      <c r="G9194">
        <f t="shared" si="289"/>
        <v>109.85</v>
      </c>
    </row>
    <row r="9195" spans="1:7" ht="12.75" customHeight="1">
      <c r="A9195" s="3">
        <v>92918</v>
      </c>
      <c r="B9195" s="4" t="s">
        <v>9219</v>
      </c>
      <c r="C9195" s="3" t="s">
        <v>6</v>
      </c>
      <c r="D9195" s="5">
        <f t="shared" si="288"/>
        <v>30.78</v>
      </c>
      <c r="E9195">
        <v>33.79</v>
      </c>
      <c r="F9195" s="1789">
        <v>8.8999999999999996E-2</v>
      </c>
      <c r="G9195">
        <f t="shared" si="289"/>
        <v>30.78</v>
      </c>
    </row>
    <row r="9196" spans="1:7" ht="12.75" customHeight="1">
      <c r="A9196" s="3">
        <v>92920</v>
      </c>
      <c r="B9196" s="4" t="s">
        <v>9220</v>
      </c>
      <c r="C9196" s="3" t="s">
        <v>6</v>
      </c>
      <c r="D9196" s="5">
        <f t="shared" si="288"/>
        <v>30.97</v>
      </c>
      <c r="E9196">
        <v>34</v>
      </c>
      <c r="F9196" s="1789">
        <v>8.8999999999999996E-2</v>
      </c>
      <c r="G9196">
        <f t="shared" si="289"/>
        <v>30.97</v>
      </c>
    </row>
    <row r="9197" spans="1:7" ht="12.75" customHeight="1">
      <c r="A9197" s="3">
        <v>92925</v>
      </c>
      <c r="B9197" s="4" t="s">
        <v>9221</v>
      </c>
      <c r="C9197" s="3" t="s">
        <v>6</v>
      </c>
      <c r="D9197" s="5">
        <f t="shared" si="288"/>
        <v>37.770000000000003</v>
      </c>
      <c r="E9197">
        <v>41.46</v>
      </c>
      <c r="F9197" s="1789">
        <v>8.8999999999999996E-2</v>
      </c>
      <c r="G9197">
        <f t="shared" si="289"/>
        <v>37.770000000000003</v>
      </c>
    </row>
    <row r="9198" spans="1:7" ht="12.75" customHeight="1">
      <c r="A9198" s="3">
        <v>92926</v>
      </c>
      <c r="B9198" s="4" t="s">
        <v>9222</v>
      </c>
      <c r="C9198" s="3" t="s">
        <v>6</v>
      </c>
      <c r="D9198" s="5">
        <f t="shared" si="288"/>
        <v>37.76</v>
      </c>
      <c r="E9198">
        <v>41.45</v>
      </c>
      <c r="F9198" s="1789">
        <v>8.8999999999999996E-2</v>
      </c>
      <c r="G9198">
        <f t="shared" si="289"/>
        <v>37.76</v>
      </c>
    </row>
    <row r="9199" spans="1:7" ht="12.75" customHeight="1">
      <c r="A9199" s="3">
        <v>92927</v>
      </c>
      <c r="B9199" s="4" t="s">
        <v>9223</v>
      </c>
      <c r="C9199" s="3" t="s">
        <v>6</v>
      </c>
      <c r="D9199" s="5">
        <f t="shared" si="288"/>
        <v>37.76</v>
      </c>
      <c r="E9199">
        <v>41.45</v>
      </c>
      <c r="F9199" s="1789">
        <v>8.8999999999999996E-2</v>
      </c>
      <c r="G9199">
        <f t="shared" si="289"/>
        <v>37.76</v>
      </c>
    </row>
    <row r="9200" spans="1:7" ht="12.75" customHeight="1">
      <c r="A9200" s="3">
        <v>92928</v>
      </c>
      <c r="B9200" s="4" t="s">
        <v>9224</v>
      </c>
      <c r="C9200" s="3" t="s">
        <v>6</v>
      </c>
      <c r="D9200" s="5">
        <f t="shared" si="288"/>
        <v>43.05</v>
      </c>
      <c r="E9200">
        <v>47.26</v>
      </c>
      <c r="F9200" s="1789">
        <v>8.8999999999999996E-2</v>
      </c>
      <c r="G9200">
        <f t="shared" si="289"/>
        <v>43.05</v>
      </c>
    </row>
    <row r="9201" spans="1:7" ht="12.75" customHeight="1">
      <c r="A9201" s="3">
        <v>92929</v>
      </c>
      <c r="B9201" s="4" t="s">
        <v>9225</v>
      </c>
      <c r="C9201" s="3" t="s">
        <v>6</v>
      </c>
      <c r="D9201" s="5">
        <f t="shared" si="288"/>
        <v>43.05</v>
      </c>
      <c r="E9201">
        <v>47.26</v>
      </c>
      <c r="F9201" s="1789">
        <v>8.8999999999999996E-2</v>
      </c>
      <c r="G9201">
        <f t="shared" si="289"/>
        <v>43.05</v>
      </c>
    </row>
    <row r="9202" spans="1:7" ht="12.75" customHeight="1">
      <c r="A9202" s="3">
        <v>92930</v>
      </c>
      <c r="B9202" s="4" t="s">
        <v>9226</v>
      </c>
      <c r="C9202" s="3" t="s">
        <v>6</v>
      </c>
      <c r="D9202" s="5">
        <f t="shared" si="288"/>
        <v>43.05</v>
      </c>
      <c r="E9202">
        <v>47.26</v>
      </c>
      <c r="F9202" s="1789">
        <v>8.8999999999999996E-2</v>
      </c>
      <c r="G9202">
        <f t="shared" si="289"/>
        <v>43.05</v>
      </c>
    </row>
    <row r="9203" spans="1:7" ht="12.75" customHeight="1">
      <c r="A9203" s="3">
        <v>92931</v>
      </c>
      <c r="B9203" s="4" t="s">
        <v>9227</v>
      </c>
      <c r="C9203" s="3" t="s">
        <v>6</v>
      </c>
      <c r="D9203" s="5">
        <f t="shared" si="288"/>
        <v>56.59</v>
      </c>
      <c r="E9203">
        <v>62.12</v>
      </c>
      <c r="F9203" s="1789">
        <v>8.8999999999999996E-2</v>
      </c>
      <c r="G9203">
        <f t="shared" si="289"/>
        <v>56.59</v>
      </c>
    </row>
    <row r="9204" spans="1:7" ht="12.75" customHeight="1">
      <c r="A9204" s="3">
        <v>92932</v>
      </c>
      <c r="B9204" s="4" t="s">
        <v>9228</v>
      </c>
      <c r="C9204" s="3" t="s">
        <v>6</v>
      </c>
      <c r="D9204" s="5">
        <f t="shared" si="288"/>
        <v>56.59</v>
      </c>
      <c r="E9204">
        <v>62.12</v>
      </c>
      <c r="F9204" s="1789">
        <v>8.8999999999999996E-2</v>
      </c>
      <c r="G9204">
        <f t="shared" si="289"/>
        <v>56.59</v>
      </c>
    </row>
    <row r="9205" spans="1:7" ht="12.75" customHeight="1">
      <c r="A9205" s="3">
        <v>92933</v>
      </c>
      <c r="B9205" s="4" t="s">
        <v>9229</v>
      </c>
      <c r="C9205" s="3" t="s">
        <v>6</v>
      </c>
      <c r="D9205" s="5">
        <f t="shared" si="288"/>
        <v>56.59</v>
      </c>
      <c r="E9205">
        <v>62.12</v>
      </c>
      <c r="F9205" s="1789">
        <v>8.8999999999999996E-2</v>
      </c>
      <c r="G9205">
        <f t="shared" si="289"/>
        <v>56.59</v>
      </c>
    </row>
    <row r="9206" spans="1:7" ht="12.75" customHeight="1">
      <c r="A9206" s="3">
        <v>92934</v>
      </c>
      <c r="B9206" s="4" t="s">
        <v>9230</v>
      </c>
      <c r="C9206" s="3" t="s">
        <v>6</v>
      </c>
      <c r="D9206" s="5">
        <f t="shared" si="288"/>
        <v>82.34</v>
      </c>
      <c r="E9206">
        <v>90.39</v>
      </c>
      <c r="F9206" s="1789">
        <v>8.8999999999999996E-2</v>
      </c>
      <c r="G9206">
        <f t="shared" si="289"/>
        <v>82.34</v>
      </c>
    </row>
    <row r="9207" spans="1:7" ht="12.75" customHeight="1">
      <c r="A9207" s="3">
        <v>92935</v>
      </c>
      <c r="B9207" s="4" t="s">
        <v>9231</v>
      </c>
      <c r="C9207" s="3" t="s">
        <v>6</v>
      </c>
      <c r="D9207" s="5">
        <f t="shared" si="288"/>
        <v>82.34</v>
      </c>
      <c r="E9207">
        <v>90.39</v>
      </c>
      <c r="F9207" s="1789">
        <v>8.8999999999999996E-2</v>
      </c>
      <c r="G9207">
        <f t="shared" si="289"/>
        <v>82.34</v>
      </c>
    </row>
    <row r="9208" spans="1:7" ht="12.75" customHeight="1">
      <c r="A9208" s="3">
        <v>92936</v>
      </c>
      <c r="B9208" s="4" t="s">
        <v>9232</v>
      </c>
      <c r="C9208" s="3" t="s">
        <v>6</v>
      </c>
      <c r="D9208" s="5">
        <f t="shared" si="288"/>
        <v>112.82</v>
      </c>
      <c r="E9208">
        <v>123.85</v>
      </c>
      <c r="F9208" s="1789">
        <v>8.8999999999999996E-2</v>
      </c>
      <c r="G9208">
        <f t="shared" si="289"/>
        <v>112.82</v>
      </c>
    </row>
    <row r="9209" spans="1:7" ht="12.75" customHeight="1">
      <c r="A9209" s="3">
        <v>92937</v>
      </c>
      <c r="B9209" s="4" t="s">
        <v>9233</v>
      </c>
      <c r="C9209" s="3" t="s">
        <v>6</v>
      </c>
      <c r="D9209" s="5">
        <f t="shared" si="288"/>
        <v>112.82</v>
      </c>
      <c r="E9209">
        <v>123.85</v>
      </c>
      <c r="F9209" s="1789">
        <v>8.8999999999999996E-2</v>
      </c>
      <c r="G9209">
        <f t="shared" si="289"/>
        <v>112.82</v>
      </c>
    </row>
    <row r="9210" spans="1:7" ht="12.75" customHeight="1">
      <c r="A9210" s="3">
        <v>92938</v>
      </c>
      <c r="B9210" s="4" t="s">
        <v>9234</v>
      </c>
      <c r="C9210" s="3" t="s">
        <v>6</v>
      </c>
      <c r="D9210" s="5">
        <f t="shared" si="288"/>
        <v>22.78</v>
      </c>
      <c r="E9210">
        <v>25.01</v>
      </c>
      <c r="F9210" s="1789">
        <v>8.8999999999999996E-2</v>
      </c>
      <c r="G9210">
        <f t="shared" si="289"/>
        <v>22.78</v>
      </c>
    </row>
    <row r="9211" spans="1:7" ht="12.75" customHeight="1">
      <c r="A9211" s="3">
        <v>92939</v>
      </c>
      <c r="B9211" s="4" t="s">
        <v>9235</v>
      </c>
      <c r="C9211" s="3" t="s">
        <v>6</v>
      </c>
      <c r="D9211" s="5">
        <f t="shared" si="288"/>
        <v>22.97</v>
      </c>
      <c r="E9211">
        <v>25.22</v>
      </c>
      <c r="F9211" s="1789">
        <v>8.8999999999999996E-2</v>
      </c>
      <c r="G9211">
        <f t="shared" si="289"/>
        <v>22.97</v>
      </c>
    </row>
    <row r="9212" spans="1:7" ht="12.75" customHeight="1">
      <c r="A9212" s="3">
        <v>92940</v>
      </c>
      <c r="B9212" s="4" t="s">
        <v>9236</v>
      </c>
      <c r="C9212" s="3" t="s">
        <v>6</v>
      </c>
      <c r="D9212" s="5">
        <f t="shared" si="288"/>
        <v>28.66</v>
      </c>
      <c r="E9212">
        <v>31.47</v>
      </c>
      <c r="F9212" s="1789">
        <v>8.8999999999999996E-2</v>
      </c>
      <c r="G9212">
        <f t="shared" si="289"/>
        <v>28.66</v>
      </c>
    </row>
    <row r="9213" spans="1:7" ht="12.75" customHeight="1">
      <c r="A9213" s="3">
        <v>92941</v>
      </c>
      <c r="B9213" s="4" t="s">
        <v>9237</v>
      </c>
      <c r="C9213" s="3" t="s">
        <v>6</v>
      </c>
      <c r="D9213" s="5">
        <f t="shared" si="288"/>
        <v>28.66</v>
      </c>
      <c r="E9213">
        <v>31.46</v>
      </c>
      <c r="F9213" s="1789">
        <v>8.8999999999999996E-2</v>
      </c>
      <c r="G9213">
        <f t="shared" si="289"/>
        <v>28.66</v>
      </c>
    </row>
    <row r="9214" spans="1:7" ht="12.75" customHeight="1">
      <c r="A9214" s="3">
        <v>92942</v>
      </c>
      <c r="B9214" s="4" t="s">
        <v>9238</v>
      </c>
      <c r="C9214" s="3" t="s">
        <v>6</v>
      </c>
      <c r="D9214" s="5">
        <f t="shared" si="288"/>
        <v>28.66</v>
      </c>
      <c r="E9214">
        <v>31.46</v>
      </c>
      <c r="F9214" s="1789">
        <v>8.8999999999999996E-2</v>
      </c>
      <c r="G9214">
        <f t="shared" si="289"/>
        <v>28.66</v>
      </c>
    </row>
    <row r="9215" spans="1:7" ht="12.75" customHeight="1">
      <c r="A9215" s="3">
        <v>92943</v>
      </c>
      <c r="B9215" s="4" t="s">
        <v>9239</v>
      </c>
      <c r="C9215" s="3" t="s">
        <v>6</v>
      </c>
      <c r="D9215" s="5">
        <f t="shared" si="288"/>
        <v>32.68</v>
      </c>
      <c r="E9215">
        <v>35.880000000000003</v>
      </c>
      <c r="F9215" s="1789">
        <v>8.8999999999999996E-2</v>
      </c>
      <c r="G9215">
        <f t="shared" si="289"/>
        <v>32.68</v>
      </c>
    </row>
    <row r="9216" spans="1:7" ht="12.75" customHeight="1">
      <c r="A9216" s="3">
        <v>92944</v>
      </c>
      <c r="B9216" s="4" t="s">
        <v>9240</v>
      </c>
      <c r="C9216" s="3" t="s">
        <v>6</v>
      </c>
      <c r="D9216" s="5">
        <f t="shared" si="288"/>
        <v>32.68</v>
      </c>
      <c r="E9216">
        <v>35.880000000000003</v>
      </c>
      <c r="F9216" s="1789">
        <v>8.8999999999999996E-2</v>
      </c>
      <c r="G9216">
        <f t="shared" si="289"/>
        <v>32.68</v>
      </c>
    </row>
    <row r="9217" spans="1:7" ht="12.75" customHeight="1">
      <c r="A9217" s="3">
        <v>92945</v>
      </c>
      <c r="B9217" s="4" t="s">
        <v>9241</v>
      </c>
      <c r="C9217" s="3" t="s">
        <v>6</v>
      </c>
      <c r="D9217" s="5">
        <f t="shared" si="288"/>
        <v>32.68</v>
      </c>
      <c r="E9217">
        <v>35.880000000000003</v>
      </c>
      <c r="F9217" s="1789">
        <v>8.8999999999999996E-2</v>
      </c>
      <c r="G9217">
        <f t="shared" si="289"/>
        <v>32.68</v>
      </c>
    </row>
    <row r="9218" spans="1:7" ht="12.75" customHeight="1">
      <c r="A9218" s="3">
        <v>92946</v>
      </c>
      <c r="B9218" s="4" t="s">
        <v>9242</v>
      </c>
      <c r="C9218" s="3" t="s">
        <v>6</v>
      </c>
      <c r="D9218" s="5">
        <f t="shared" si="288"/>
        <v>44.64</v>
      </c>
      <c r="E9218">
        <v>49.01</v>
      </c>
      <c r="F9218" s="1789">
        <v>8.8999999999999996E-2</v>
      </c>
      <c r="G9218">
        <f t="shared" si="289"/>
        <v>44.64</v>
      </c>
    </row>
    <row r="9219" spans="1:7" ht="12.75" customHeight="1">
      <c r="A9219" s="3">
        <v>92947</v>
      </c>
      <c r="B9219" s="4" t="s">
        <v>9243</v>
      </c>
      <c r="C9219" s="3" t="s">
        <v>6</v>
      </c>
      <c r="D9219" s="5">
        <f t="shared" si="288"/>
        <v>44.64</v>
      </c>
      <c r="E9219">
        <v>49.01</v>
      </c>
      <c r="F9219" s="1789">
        <v>8.8999999999999996E-2</v>
      </c>
      <c r="G9219">
        <f t="shared" si="289"/>
        <v>44.64</v>
      </c>
    </row>
    <row r="9220" spans="1:7" ht="12.75" customHeight="1">
      <c r="A9220" s="3">
        <v>92948</v>
      </c>
      <c r="B9220" s="4" t="s">
        <v>9244</v>
      </c>
      <c r="C9220" s="3" t="s">
        <v>6</v>
      </c>
      <c r="D9220" s="5">
        <f t="shared" si="288"/>
        <v>44.64</v>
      </c>
      <c r="E9220">
        <v>49.01</v>
      </c>
      <c r="F9220" s="1789">
        <v>8.8999999999999996E-2</v>
      </c>
      <c r="G9220">
        <f t="shared" si="289"/>
        <v>44.64</v>
      </c>
    </row>
    <row r="9221" spans="1:7" ht="12.75" customHeight="1">
      <c r="A9221" s="3">
        <v>92949</v>
      </c>
      <c r="B9221" s="4" t="s">
        <v>9245</v>
      </c>
      <c r="C9221" s="3" t="s">
        <v>6</v>
      </c>
      <c r="D9221" s="5">
        <f t="shared" si="288"/>
        <v>68.03</v>
      </c>
      <c r="E9221">
        <v>74.680000000000007</v>
      </c>
      <c r="F9221" s="1789">
        <v>8.8999999999999996E-2</v>
      </c>
      <c r="G9221">
        <f t="shared" si="289"/>
        <v>68.03</v>
      </c>
    </row>
    <row r="9222" spans="1:7" ht="12.75" customHeight="1">
      <c r="A9222" s="3">
        <v>92950</v>
      </c>
      <c r="B9222" s="4" t="s">
        <v>9246</v>
      </c>
      <c r="C9222" s="3" t="s">
        <v>6</v>
      </c>
      <c r="D9222" s="5">
        <f t="shared" si="288"/>
        <v>68.03</v>
      </c>
      <c r="E9222">
        <v>74.680000000000007</v>
      </c>
      <c r="F9222" s="1789">
        <v>8.8999999999999996E-2</v>
      </c>
      <c r="G9222">
        <f t="shared" si="289"/>
        <v>68.03</v>
      </c>
    </row>
    <row r="9223" spans="1:7" ht="12.75" customHeight="1">
      <c r="A9223" s="3">
        <v>92951</v>
      </c>
      <c r="B9223" s="4" t="s">
        <v>9247</v>
      </c>
      <c r="C9223" s="3" t="s">
        <v>6</v>
      </c>
      <c r="D9223" s="5">
        <f t="shared" si="288"/>
        <v>96.19</v>
      </c>
      <c r="E9223">
        <v>105.59</v>
      </c>
      <c r="F9223" s="1789">
        <v>8.8999999999999996E-2</v>
      </c>
      <c r="G9223">
        <f t="shared" si="289"/>
        <v>96.19</v>
      </c>
    </row>
    <row r="9224" spans="1:7" ht="12.75" customHeight="1">
      <c r="A9224" s="3">
        <v>92952</v>
      </c>
      <c r="B9224" s="4" t="s">
        <v>9248</v>
      </c>
      <c r="C9224" s="3" t="s">
        <v>6</v>
      </c>
      <c r="D9224" s="5">
        <f t="shared" si="288"/>
        <v>96.19</v>
      </c>
      <c r="E9224">
        <v>105.59</v>
      </c>
      <c r="F9224" s="1789">
        <v>8.8999999999999996E-2</v>
      </c>
      <c r="G9224">
        <f t="shared" si="289"/>
        <v>96.19</v>
      </c>
    </row>
    <row r="9225" spans="1:7" ht="12.75" customHeight="1">
      <c r="A9225" s="3">
        <v>92953</v>
      </c>
      <c r="B9225" s="4" t="s">
        <v>9249</v>
      </c>
      <c r="C9225" s="3" t="s">
        <v>6</v>
      </c>
      <c r="D9225" s="5">
        <f t="shared" si="288"/>
        <v>19.87</v>
      </c>
      <c r="E9225">
        <v>21.82</v>
      </c>
      <c r="F9225" s="1789">
        <v>8.8999999999999996E-2</v>
      </c>
      <c r="G9225">
        <f t="shared" si="289"/>
        <v>19.87</v>
      </c>
    </row>
    <row r="9226" spans="1:7" ht="12.75" customHeight="1">
      <c r="A9226" s="3">
        <v>93050</v>
      </c>
      <c r="B9226" s="4" t="s">
        <v>9250</v>
      </c>
      <c r="C9226" s="3" t="s">
        <v>6</v>
      </c>
      <c r="D9226" s="5">
        <f t="shared" si="288"/>
        <v>10.07</v>
      </c>
      <c r="E9226">
        <v>11.06</v>
      </c>
      <c r="F9226" s="1789">
        <v>8.8999999999999996E-2</v>
      </c>
      <c r="G9226">
        <f t="shared" si="289"/>
        <v>10.07</v>
      </c>
    </row>
    <row r="9227" spans="1:7" ht="12.75" customHeight="1">
      <c r="A9227" s="3">
        <v>93052</v>
      </c>
      <c r="B9227" s="4" t="s">
        <v>9251</v>
      </c>
      <c r="C9227" s="3" t="s">
        <v>6</v>
      </c>
      <c r="D9227" s="5">
        <f t="shared" si="288"/>
        <v>469.76</v>
      </c>
      <c r="E9227">
        <v>515.66</v>
      </c>
      <c r="F9227" s="1789">
        <v>8.8999999999999996E-2</v>
      </c>
      <c r="G9227">
        <f t="shared" si="289"/>
        <v>469.76</v>
      </c>
    </row>
    <row r="9228" spans="1:7" ht="12.75" customHeight="1">
      <c r="A9228" s="3">
        <v>93054</v>
      </c>
      <c r="B9228" s="4" t="s">
        <v>9252</v>
      </c>
      <c r="C9228" s="3" t="s">
        <v>6</v>
      </c>
      <c r="D9228" s="5">
        <f t="shared" si="288"/>
        <v>20.100000000000001</v>
      </c>
      <c r="E9228">
        <v>22.07</v>
      </c>
      <c r="F9228" s="1789">
        <v>8.8999999999999996E-2</v>
      </c>
      <c r="G9228">
        <f t="shared" si="289"/>
        <v>20.100000000000001</v>
      </c>
    </row>
    <row r="9229" spans="1:7" ht="12.75" customHeight="1">
      <c r="A9229" s="3">
        <v>93055</v>
      </c>
      <c r="B9229" s="4" t="s">
        <v>9253</v>
      </c>
      <c r="C9229" s="3" t="s">
        <v>6</v>
      </c>
      <c r="D9229" s="5">
        <f t="shared" si="288"/>
        <v>40.520000000000003</v>
      </c>
      <c r="E9229">
        <v>44.48</v>
      </c>
      <c r="F9229" s="1789">
        <v>8.8999999999999996E-2</v>
      </c>
      <c r="G9229">
        <f t="shared" si="289"/>
        <v>40.520000000000003</v>
      </c>
    </row>
    <row r="9230" spans="1:7" ht="12.75" customHeight="1">
      <c r="A9230" s="3">
        <v>93056</v>
      </c>
      <c r="B9230" s="4" t="s">
        <v>9254</v>
      </c>
      <c r="C9230" s="3" t="s">
        <v>6</v>
      </c>
      <c r="D9230" s="5">
        <f t="shared" si="288"/>
        <v>15.09</v>
      </c>
      <c r="E9230">
        <v>16.57</v>
      </c>
      <c r="F9230" s="1789">
        <v>8.8999999999999996E-2</v>
      </c>
      <c r="G9230">
        <f t="shared" si="289"/>
        <v>15.09</v>
      </c>
    </row>
    <row r="9231" spans="1:7" ht="12.75" customHeight="1">
      <c r="A9231" s="3">
        <v>93057</v>
      </c>
      <c r="B9231" s="4" t="s">
        <v>9255</v>
      </c>
      <c r="C9231" s="3" t="s">
        <v>6</v>
      </c>
      <c r="D9231" s="5">
        <f t="shared" si="288"/>
        <v>12.54</v>
      </c>
      <c r="E9231">
        <v>13.77</v>
      </c>
      <c r="F9231" s="1789">
        <v>8.8999999999999996E-2</v>
      </c>
      <c r="G9231">
        <f t="shared" si="289"/>
        <v>12.54</v>
      </c>
    </row>
    <row r="9232" spans="1:7" ht="12.75" customHeight="1">
      <c r="A9232" s="3">
        <v>93058</v>
      </c>
      <c r="B9232" s="4" t="s">
        <v>9256</v>
      </c>
      <c r="C9232" s="3" t="s">
        <v>6</v>
      </c>
      <c r="D9232" s="5">
        <f t="shared" si="288"/>
        <v>516.79999999999995</v>
      </c>
      <c r="E9232">
        <v>567.29</v>
      </c>
      <c r="F9232" s="1789">
        <v>8.8999999999999996E-2</v>
      </c>
      <c r="G9232">
        <f t="shared" si="289"/>
        <v>516.79999999999995</v>
      </c>
    </row>
    <row r="9233" spans="1:7" ht="12.75" customHeight="1">
      <c r="A9233" s="3">
        <v>93059</v>
      </c>
      <c r="B9233" s="4" t="s">
        <v>9257</v>
      </c>
      <c r="C9233" s="3" t="s">
        <v>6</v>
      </c>
      <c r="D9233" s="5">
        <f t="shared" si="288"/>
        <v>26.33</v>
      </c>
      <c r="E9233">
        <v>28.91</v>
      </c>
      <c r="F9233" s="1789">
        <v>8.8999999999999996E-2</v>
      </c>
      <c r="G9233">
        <f t="shared" si="289"/>
        <v>26.33</v>
      </c>
    </row>
    <row r="9234" spans="1:7" ht="12.75" customHeight="1">
      <c r="A9234" s="3">
        <v>93060</v>
      </c>
      <c r="B9234" s="4" t="s">
        <v>9258</v>
      </c>
      <c r="C9234" s="3" t="s">
        <v>6</v>
      </c>
      <c r="D9234" s="5">
        <f t="shared" si="288"/>
        <v>71.069999999999993</v>
      </c>
      <c r="E9234">
        <v>78.02</v>
      </c>
      <c r="F9234" s="1789">
        <v>8.8999999999999996E-2</v>
      </c>
      <c r="G9234">
        <f t="shared" si="289"/>
        <v>71.069999999999993</v>
      </c>
    </row>
    <row r="9235" spans="1:7" ht="12.75" customHeight="1">
      <c r="A9235" s="3">
        <v>93061</v>
      </c>
      <c r="B9235" s="4" t="s">
        <v>9259</v>
      </c>
      <c r="C9235" s="3" t="s">
        <v>6</v>
      </c>
      <c r="D9235" s="5">
        <f t="shared" si="288"/>
        <v>28.69</v>
      </c>
      <c r="E9235">
        <v>31.5</v>
      </c>
      <c r="F9235" s="1789">
        <v>8.8999999999999996E-2</v>
      </c>
      <c r="G9235">
        <f t="shared" si="289"/>
        <v>28.69</v>
      </c>
    </row>
    <row r="9236" spans="1:7" ht="12.75" customHeight="1">
      <c r="A9236" s="3">
        <v>93062</v>
      </c>
      <c r="B9236" s="4" t="s">
        <v>9260</v>
      </c>
      <c r="C9236" s="3" t="s">
        <v>6</v>
      </c>
      <c r="D9236" s="5">
        <f t="shared" si="288"/>
        <v>24.18</v>
      </c>
      <c r="E9236">
        <v>26.55</v>
      </c>
      <c r="F9236" s="1789">
        <v>8.8999999999999996E-2</v>
      </c>
      <c r="G9236">
        <f t="shared" si="289"/>
        <v>24.18</v>
      </c>
    </row>
    <row r="9237" spans="1:7" ht="12.75" customHeight="1">
      <c r="A9237" s="3">
        <v>93063</v>
      </c>
      <c r="B9237" s="4" t="s">
        <v>9261</v>
      </c>
      <c r="C9237" s="3" t="s">
        <v>6</v>
      </c>
      <c r="D9237" s="5">
        <f t="shared" ref="D9237:D9300" si="290">G9237</f>
        <v>592.17999999999995</v>
      </c>
      <c r="E9237">
        <v>650.04</v>
      </c>
      <c r="F9237" s="1789">
        <v>8.8999999999999996E-2</v>
      </c>
      <c r="G9237">
        <f t="shared" ref="G9237:G9300" si="291">TRUNC((1-F9237)*E9237,2)</f>
        <v>592.17999999999995</v>
      </c>
    </row>
    <row r="9238" spans="1:7" ht="12.75" customHeight="1">
      <c r="A9238" s="3">
        <v>93064</v>
      </c>
      <c r="B9238" s="4" t="s">
        <v>9262</v>
      </c>
      <c r="C9238" s="3" t="s">
        <v>6</v>
      </c>
      <c r="D9238" s="5">
        <f t="shared" si="290"/>
        <v>44.1</v>
      </c>
      <c r="E9238">
        <v>48.41</v>
      </c>
      <c r="F9238" s="1789">
        <v>8.8999999999999996E-2</v>
      </c>
      <c r="G9238">
        <f t="shared" si="291"/>
        <v>44.1</v>
      </c>
    </row>
    <row r="9239" spans="1:7" ht="12.75" customHeight="1">
      <c r="A9239" s="3">
        <v>93065</v>
      </c>
      <c r="B9239" s="4" t="s">
        <v>9263</v>
      </c>
      <c r="C9239" s="3" t="s">
        <v>6</v>
      </c>
      <c r="D9239" s="5">
        <f t="shared" si="290"/>
        <v>39.61</v>
      </c>
      <c r="E9239">
        <v>43.49</v>
      </c>
      <c r="F9239" s="1789">
        <v>8.8999999999999996E-2</v>
      </c>
      <c r="G9239">
        <f t="shared" si="291"/>
        <v>39.61</v>
      </c>
    </row>
    <row r="9240" spans="1:7" ht="12.75" customHeight="1">
      <c r="A9240" s="3">
        <v>93066</v>
      </c>
      <c r="B9240" s="4" t="s">
        <v>9264</v>
      </c>
      <c r="C9240" s="3" t="s">
        <v>6</v>
      </c>
      <c r="D9240" s="5">
        <f t="shared" si="290"/>
        <v>743.16</v>
      </c>
      <c r="E9240">
        <v>815.77</v>
      </c>
      <c r="F9240" s="1789">
        <v>8.8999999999999996E-2</v>
      </c>
      <c r="G9240">
        <f t="shared" si="291"/>
        <v>743.16</v>
      </c>
    </row>
    <row r="9241" spans="1:7" ht="12.75" customHeight="1">
      <c r="A9241" s="3">
        <v>93067</v>
      </c>
      <c r="B9241" s="4" t="s">
        <v>9265</v>
      </c>
      <c r="C9241" s="3" t="s">
        <v>6</v>
      </c>
      <c r="D9241" s="5">
        <f t="shared" si="290"/>
        <v>65.62</v>
      </c>
      <c r="E9241">
        <v>72.040000000000006</v>
      </c>
      <c r="F9241" s="1789">
        <v>8.8999999999999996E-2</v>
      </c>
      <c r="G9241">
        <f t="shared" si="291"/>
        <v>65.62</v>
      </c>
    </row>
    <row r="9242" spans="1:7" ht="12.75" customHeight="1">
      <c r="A9242" s="3">
        <v>93068</v>
      </c>
      <c r="B9242" s="4" t="s">
        <v>9266</v>
      </c>
      <c r="C9242" s="3" t="s">
        <v>6</v>
      </c>
      <c r="D9242" s="5">
        <f t="shared" si="290"/>
        <v>55.78</v>
      </c>
      <c r="E9242">
        <v>61.24</v>
      </c>
      <c r="F9242" s="1789">
        <v>8.8999999999999996E-2</v>
      </c>
      <c r="G9242">
        <f t="shared" si="291"/>
        <v>55.78</v>
      </c>
    </row>
    <row r="9243" spans="1:7" ht="12.75" customHeight="1">
      <c r="A9243" s="3">
        <v>93069</v>
      </c>
      <c r="B9243" s="4" t="s">
        <v>9267</v>
      </c>
      <c r="C9243" s="3" t="s">
        <v>6</v>
      </c>
      <c r="D9243" s="5">
        <f t="shared" si="290"/>
        <v>1030.1500000000001</v>
      </c>
      <c r="E9243">
        <v>1130.8</v>
      </c>
      <c r="F9243" s="1789">
        <v>8.8999999999999996E-2</v>
      </c>
      <c r="G9243">
        <f t="shared" si="291"/>
        <v>1030.1500000000001</v>
      </c>
    </row>
    <row r="9244" spans="1:7" ht="12.75" customHeight="1">
      <c r="A9244" s="3">
        <v>93070</v>
      </c>
      <c r="B9244" s="4" t="s">
        <v>9268</v>
      </c>
      <c r="C9244" s="3" t="s">
        <v>6</v>
      </c>
      <c r="D9244" s="5">
        <f t="shared" si="290"/>
        <v>166.02</v>
      </c>
      <c r="E9244">
        <v>182.24</v>
      </c>
      <c r="F9244" s="1789">
        <v>8.8999999999999996E-2</v>
      </c>
      <c r="G9244">
        <f t="shared" si="291"/>
        <v>166.02</v>
      </c>
    </row>
    <row r="9245" spans="1:7" ht="12.75" customHeight="1">
      <c r="A9245" s="3">
        <v>93071</v>
      </c>
      <c r="B9245" s="4" t="s">
        <v>9269</v>
      </c>
      <c r="C9245" s="3" t="s">
        <v>6</v>
      </c>
      <c r="D9245" s="5">
        <f t="shared" si="290"/>
        <v>152.63</v>
      </c>
      <c r="E9245">
        <v>167.55</v>
      </c>
      <c r="F9245" s="1789">
        <v>8.8999999999999996E-2</v>
      </c>
      <c r="G9245">
        <f t="shared" si="291"/>
        <v>152.63</v>
      </c>
    </row>
    <row r="9246" spans="1:7" ht="12.75" customHeight="1">
      <c r="A9246" s="3">
        <v>93072</v>
      </c>
      <c r="B9246" s="4" t="s">
        <v>9270</v>
      </c>
      <c r="C9246" s="3" t="s">
        <v>6</v>
      </c>
      <c r="D9246" s="5">
        <f t="shared" si="290"/>
        <v>1359.56</v>
      </c>
      <c r="E9246">
        <v>1492.39</v>
      </c>
      <c r="F9246" s="1789">
        <v>8.8999999999999996E-2</v>
      </c>
      <c r="G9246">
        <f t="shared" si="291"/>
        <v>1359.56</v>
      </c>
    </row>
    <row r="9247" spans="1:7" ht="12.75" customHeight="1">
      <c r="A9247" s="3">
        <v>93074</v>
      </c>
      <c r="B9247" s="4" t="s">
        <v>9271</v>
      </c>
      <c r="C9247" s="3" t="s">
        <v>6</v>
      </c>
      <c r="D9247" s="5">
        <f t="shared" si="290"/>
        <v>11.81</v>
      </c>
      <c r="E9247">
        <v>12.97</v>
      </c>
      <c r="F9247" s="1789">
        <v>8.8999999999999996E-2</v>
      </c>
      <c r="G9247">
        <f t="shared" si="291"/>
        <v>11.81</v>
      </c>
    </row>
    <row r="9248" spans="1:7" ht="12.75" customHeight="1">
      <c r="A9248" s="3">
        <v>93075</v>
      </c>
      <c r="B9248" s="4" t="s">
        <v>9272</v>
      </c>
      <c r="C9248" s="3" t="s">
        <v>6</v>
      </c>
      <c r="D9248" s="5">
        <f t="shared" si="290"/>
        <v>17.59</v>
      </c>
      <c r="E9248">
        <v>19.309999999999999</v>
      </c>
      <c r="F9248" s="1789">
        <v>8.8999999999999996E-2</v>
      </c>
      <c r="G9248">
        <f t="shared" si="291"/>
        <v>17.59</v>
      </c>
    </row>
    <row r="9249" spans="1:7" ht="12.75" customHeight="1">
      <c r="A9249" s="3">
        <v>93076</v>
      </c>
      <c r="B9249" s="4" t="s">
        <v>9273</v>
      </c>
      <c r="C9249" s="3" t="s">
        <v>6</v>
      </c>
      <c r="D9249" s="5">
        <f t="shared" si="290"/>
        <v>18.98</v>
      </c>
      <c r="E9249">
        <v>20.84</v>
      </c>
      <c r="F9249" s="1789">
        <v>8.8999999999999996E-2</v>
      </c>
      <c r="G9249">
        <f t="shared" si="291"/>
        <v>18.98</v>
      </c>
    </row>
    <row r="9250" spans="1:7" ht="12.75" customHeight="1">
      <c r="A9250" s="3">
        <v>93077</v>
      </c>
      <c r="B9250" s="4" t="s">
        <v>9274</v>
      </c>
      <c r="C9250" s="3" t="s">
        <v>6</v>
      </c>
      <c r="D9250" s="5">
        <f t="shared" si="290"/>
        <v>24.96</v>
      </c>
      <c r="E9250">
        <v>27.4</v>
      </c>
      <c r="F9250" s="1789">
        <v>8.8999999999999996E-2</v>
      </c>
      <c r="G9250">
        <f t="shared" si="291"/>
        <v>24.96</v>
      </c>
    </row>
    <row r="9251" spans="1:7" ht="12.75" customHeight="1">
      <c r="A9251" s="3">
        <v>93078</v>
      </c>
      <c r="B9251" s="4" t="s">
        <v>9275</v>
      </c>
      <c r="C9251" s="3" t="s">
        <v>6</v>
      </c>
      <c r="D9251" s="5">
        <f t="shared" si="290"/>
        <v>28.07</v>
      </c>
      <c r="E9251">
        <v>30.82</v>
      </c>
      <c r="F9251" s="1789">
        <v>8.8999999999999996E-2</v>
      </c>
      <c r="G9251">
        <f t="shared" si="291"/>
        <v>28.07</v>
      </c>
    </row>
    <row r="9252" spans="1:7" ht="12.75" customHeight="1">
      <c r="A9252" s="3">
        <v>93079</v>
      </c>
      <c r="B9252" s="4" t="s">
        <v>9276</v>
      </c>
      <c r="C9252" s="3" t="s">
        <v>6</v>
      </c>
      <c r="D9252" s="5">
        <f t="shared" si="290"/>
        <v>26.47</v>
      </c>
      <c r="E9252">
        <v>29.06</v>
      </c>
      <c r="F9252" s="1789">
        <v>8.8999999999999996E-2</v>
      </c>
      <c r="G9252">
        <f t="shared" si="291"/>
        <v>26.47</v>
      </c>
    </row>
    <row r="9253" spans="1:7" ht="12.75" customHeight="1">
      <c r="A9253" s="3">
        <v>93080</v>
      </c>
      <c r="B9253" s="4" t="s">
        <v>9277</v>
      </c>
      <c r="C9253" s="3" t="s">
        <v>6</v>
      </c>
      <c r="D9253" s="5">
        <f t="shared" si="290"/>
        <v>7.69</v>
      </c>
      <c r="E9253">
        <v>8.4499999999999993</v>
      </c>
      <c r="F9253" s="1789">
        <v>8.8999999999999996E-2</v>
      </c>
      <c r="G9253">
        <f t="shared" si="291"/>
        <v>7.69</v>
      </c>
    </row>
    <row r="9254" spans="1:7" ht="12.75" customHeight="1">
      <c r="A9254" s="3">
        <v>93081</v>
      </c>
      <c r="B9254" s="4" t="s">
        <v>9278</v>
      </c>
      <c r="C9254" s="3" t="s">
        <v>6</v>
      </c>
      <c r="D9254" s="5">
        <f t="shared" si="290"/>
        <v>16.63</v>
      </c>
      <c r="E9254">
        <v>18.260000000000002</v>
      </c>
      <c r="F9254" s="1789">
        <v>8.8999999999999996E-2</v>
      </c>
      <c r="G9254">
        <f t="shared" si="291"/>
        <v>16.63</v>
      </c>
    </row>
    <row r="9255" spans="1:7" ht="12.75" customHeight="1">
      <c r="A9255" s="3">
        <v>93082</v>
      </c>
      <c r="B9255" s="4" t="s">
        <v>9279</v>
      </c>
      <c r="C9255" s="3" t="s">
        <v>6</v>
      </c>
      <c r="D9255" s="5">
        <f t="shared" si="290"/>
        <v>21.55</v>
      </c>
      <c r="E9255">
        <v>23.66</v>
      </c>
      <c r="F9255" s="1789">
        <v>8.8999999999999996E-2</v>
      </c>
      <c r="G9255">
        <f t="shared" si="291"/>
        <v>21.55</v>
      </c>
    </row>
    <row r="9256" spans="1:7" ht="12.75" customHeight="1">
      <c r="A9256" s="3">
        <v>93083</v>
      </c>
      <c r="B9256" s="4" t="s">
        <v>9280</v>
      </c>
      <c r="C9256" s="3" t="s">
        <v>6</v>
      </c>
      <c r="D9256" s="5">
        <f t="shared" si="290"/>
        <v>406.7</v>
      </c>
      <c r="E9256">
        <v>446.44</v>
      </c>
      <c r="F9256" s="1789">
        <v>8.8999999999999996E-2</v>
      </c>
      <c r="G9256">
        <f t="shared" si="291"/>
        <v>406.7</v>
      </c>
    </row>
    <row r="9257" spans="1:7" ht="12.75" customHeight="1">
      <c r="A9257" s="3">
        <v>93084</v>
      </c>
      <c r="B9257" s="4" t="s">
        <v>9281</v>
      </c>
      <c r="C9257" s="3" t="s">
        <v>6</v>
      </c>
      <c r="D9257" s="5">
        <f t="shared" si="290"/>
        <v>12.47</v>
      </c>
      <c r="E9257">
        <v>13.69</v>
      </c>
      <c r="F9257" s="1789">
        <v>8.8999999999999996E-2</v>
      </c>
      <c r="G9257">
        <f t="shared" si="291"/>
        <v>12.47</v>
      </c>
    </row>
    <row r="9258" spans="1:7" ht="12.75" customHeight="1">
      <c r="A9258" s="3">
        <v>93085</v>
      </c>
      <c r="B9258" s="4" t="s">
        <v>9282</v>
      </c>
      <c r="C9258" s="3" t="s">
        <v>6</v>
      </c>
      <c r="D9258" s="5">
        <f t="shared" si="290"/>
        <v>13.32</v>
      </c>
      <c r="E9258">
        <v>14.63</v>
      </c>
      <c r="F9258" s="1789">
        <v>8.8999999999999996E-2</v>
      </c>
      <c r="G9258">
        <f t="shared" si="291"/>
        <v>13.32</v>
      </c>
    </row>
    <row r="9259" spans="1:7" ht="12.75" customHeight="1">
      <c r="A9259" s="3">
        <v>93086</v>
      </c>
      <c r="B9259" s="4" t="s">
        <v>9283</v>
      </c>
      <c r="C9259" s="3" t="s">
        <v>6</v>
      </c>
      <c r="D9259" s="5">
        <f t="shared" si="290"/>
        <v>472.16</v>
      </c>
      <c r="E9259">
        <v>518.29</v>
      </c>
      <c r="F9259" s="1789">
        <v>8.8999999999999996E-2</v>
      </c>
      <c r="G9259">
        <f t="shared" si="291"/>
        <v>472.16</v>
      </c>
    </row>
    <row r="9260" spans="1:7" ht="12.75" customHeight="1">
      <c r="A9260" s="3">
        <v>93087</v>
      </c>
      <c r="B9260" s="4" t="s">
        <v>9284</v>
      </c>
      <c r="C9260" s="3" t="s">
        <v>6</v>
      </c>
      <c r="D9260" s="5">
        <f t="shared" si="290"/>
        <v>17.41</v>
      </c>
      <c r="E9260">
        <v>19.12</v>
      </c>
      <c r="F9260" s="1789">
        <v>8.8999999999999996E-2</v>
      </c>
      <c r="G9260">
        <f t="shared" si="291"/>
        <v>17.41</v>
      </c>
    </row>
    <row r="9261" spans="1:7" ht="12.75" customHeight="1">
      <c r="A9261" s="3">
        <v>93088</v>
      </c>
      <c r="B9261" s="4" t="s">
        <v>9285</v>
      </c>
      <c r="C9261" s="3" t="s">
        <v>6</v>
      </c>
      <c r="D9261" s="5">
        <f t="shared" si="290"/>
        <v>21.58</v>
      </c>
      <c r="E9261">
        <v>23.69</v>
      </c>
      <c r="F9261" s="1789">
        <v>8.8999999999999996E-2</v>
      </c>
      <c r="G9261">
        <f t="shared" si="291"/>
        <v>21.58</v>
      </c>
    </row>
    <row r="9262" spans="1:7" ht="12.75" customHeight="1">
      <c r="A9262" s="3">
        <v>93089</v>
      </c>
      <c r="B9262" s="4" t="s">
        <v>9286</v>
      </c>
      <c r="C9262" s="3" t="s">
        <v>6</v>
      </c>
      <c r="D9262" s="5">
        <f t="shared" si="290"/>
        <v>42.91</v>
      </c>
      <c r="E9262">
        <v>47.11</v>
      </c>
      <c r="F9262" s="1789">
        <v>8.8999999999999996E-2</v>
      </c>
      <c r="G9262">
        <f t="shared" si="291"/>
        <v>42.91</v>
      </c>
    </row>
    <row r="9263" spans="1:7" ht="12.75" customHeight="1">
      <c r="A9263" s="3">
        <v>93090</v>
      </c>
      <c r="B9263" s="4" t="s">
        <v>9287</v>
      </c>
      <c r="C9263" s="3" t="s">
        <v>6</v>
      </c>
      <c r="D9263" s="5">
        <f t="shared" si="290"/>
        <v>17.29</v>
      </c>
      <c r="E9263">
        <v>18.989999999999998</v>
      </c>
      <c r="F9263" s="1789">
        <v>8.8999999999999996E-2</v>
      </c>
      <c r="G9263">
        <f t="shared" si="291"/>
        <v>17.29</v>
      </c>
    </row>
    <row r="9264" spans="1:7" ht="12.75" customHeight="1">
      <c r="A9264" s="3">
        <v>93091</v>
      </c>
      <c r="B9264" s="4" t="s">
        <v>9288</v>
      </c>
      <c r="C9264" s="3" t="s">
        <v>6</v>
      </c>
      <c r="D9264" s="5">
        <f t="shared" si="290"/>
        <v>14.84</v>
      </c>
      <c r="E9264">
        <v>16.3</v>
      </c>
      <c r="F9264" s="1789">
        <v>8.8999999999999996E-2</v>
      </c>
      <c r="G9264">
        <f t="shared" si="291"/>
        <v>14.84</v>
      </c>
    </row>
    <row r="9265" spans="1:7" ht="12.75" customHeight="1">
      <c r="A9265" s="3">
        <v>93092</v>
      </c>
      <c r="B9265" s="4" t="s">
        <v>9289</v>
      </c>
      <c r="C9265" s="3" t="s">
        <v>6</v>
      </c>
      <c r="D9265" s="5">
        <f t="shared" si="290"/>
        <v>519</v>
      </c>
      <c r="E9265">
        <v>569.71</v>
      </c>
      <c r="F9265" s="1789">
        <v>8.8999999999999996E-2</v>
      </c>
      <c r="G9265">
        <f t="shared" si="291"/>
        <v>519</v>
      </c>
    </row>
    <row r="9266" spans="1:7" ht="12.75" customHeight="1">
      <c r="A9266" s="3">
        <v>93093</v>
      </c>
      <c r="B9266" s="4" t="s">
        <v>9290</v>
      </c>
      <c r="C9266" s="3" t="s">
        <v>6</v>
      </c>
      <c r="D9266" s="5">
        <f t="shared" si="290"/>
        <v>27.43</v>
      </c>
      <c r="E9266">
        <v>30.12</v>
      </c>
      <c r="F9266" s="1789">
        <v>8.8999999999999996E-2</v>
      </c>
      <c r="G9266">
        <f t="shared" si="291"/>
        <v>27.43</v>
      </c>
    </row>
    <row r="9267" spans="1:7" ht="12.75" customHeight="1">
      <c r="A9267" s="3">
        <v>93094</v>
      </c>
      <c r="B9267" s="4" t="s">
        <v>9291</v>
      </c>
      <c r="C9267" s="3" t="s">
        <v>6</v>
      </c>
      <c r="D9267" s="5">
        <f t="shared" si="290"/>
        <v>73.28</v>
      </c>
      <c r="E9267">
        <v>80.44</v>
      </c>
      <c r="F9267" s="1789">
        <v>8.8999999999999996E-2</v>
      </c>
      <c r="G9267">
        <f t="shared" si="291"/>
        <v>73.28</v>
      </c>
    </row>
    <row r="9268" spans="1:7" ht="12.75" customHeight="1">
      <c r="A9268" s="3">
        <v>93097</v>
      </c>
      <c r="B9268" s="4" t="s">
        <v>9292</v>
      </c>
      <c r="C9268" s="3" t="s">
        <v>6</v>
      </c>
      <c r="D9268" s="5">
        <f t="shared" si="290"/>
        <v>12.05</v>
      </c>
      <c r="E9268">
        <v>13.23</v>
      </c>
      <c r="F9268" s="1789">
        <v>8.8999999999999996E-2</v>
      </c>
      <c r="G9268">
        <f t="shared" si="291"/>
        <v>12.05</v>
      </c>
    </row>
    <row r="9269" spans="1:7" ht="12.75" customHeight="1">
      <c r="A9269" s="3">
        <v>93098</v>
      </c>
      <c r="B9269" s="4" t="s">
        <v>9293</v>
      </c>
      <c r="C9269" s="3" t="s">
        <v>6</v>
      </c>
      <c r="D9269" s="5">
        <f t="shared" si="290"/>
        <v>17.71</v>
      </c>
      <c r="E9269">
        <v>19.45</v>
      </c>
      <c r="F9269" s="1789">
        <v>8.8999999999999996E-2</v>
      </c>
      <c r="G9269">
        <f t="shared" si="291"/>
        <v>17.71</v>
      </c>
    </row>
    <row r="9270" spans="1:7" ht="12.75" customHeight="1">
      <c r="A9270" s="3">
        <v>93099</v>
      </c>
      <c r="B9270" s="4" t="s">
        <v>9294</v>
      </c>
      <c r="C9270" s="3" t="s">
        <v>6</v>
      </c>
      <c r="D9270" s="5">
        <f t="shared" si="290"/>
        <v>21.64</v>
      </c>
      <c r="E9270">
        <v>23.76</v>
      </c>
      <c r="F9270" s="1789">
        <v>8.8999999999999996E-2</v>
      </c>
      <c r="G9270">
        <f t="shared" si="291"/>
        <v>21.64</v>
      </c>
    </row>
    <row r="9271" spans="1:7" ht="12.75" customHeight="1">
      <c r="A9271" s="3">
        <v>93100</v>
      </c>
      <c r="B9271" s="4" t="s">
        <v>9295</v>
      </c>
      <c r="C9271" s="3" t="s">
        <v>6</v>
      </c>
      <c r="D9271" s="5">
        <f t="shared" si="290"/>
        <v>26.28</v>
      </c>
      <c r="E9271">
        <v>28.85</v>
      </c>
      <c r="F9271" s="1789">
        <v>8.8999999999999996E-2</v>
      </c>
      <c r="G9271">
        <f t="shared" si="291"/>
        <v>26.28</v>
      </c>
    </row>
    <row r="9272" spans="1:7" ht="12.75" customHeight="1">
      <c r="A9272" s="3">
        <v>93101</v>
      </c>
      <c r="B9272" s="4" t="s">
        <v>9296</v>
      </c>
      <c r="C9272" s="3" t="s">
        <v>6</v>
      </c>
      <c r="D9272" s="5">
        <f t="shared" si="290"/>
        <v>29.4</v>
      </c>
      <c r="E9272">
        <v>32.28</v>
      </c>
      <c r="F9272" s="1789">
        <v>8.8999999999999996E-2</v>
      </c>
      <c r="G9272">
        <f t="shared" si="291"/>
        <v>29.4</v>
      </c>
    </row>
    <row r="9273" spans="1:7" ht="12.75" customHeight="1">
      <c r="A9273" s="3">
        <v>93102</v>
      </c>
      <c r="B9273" s="4" t="s">
        <v>9297</v>
      </c>
      <c r="C9273" s="3" t="s">
        <v>6</v>
      </c>
      <c r="D9273" s="5">
        <f t="shared" si="290"/>
        <v>31.21</v>
      </c>
      <c r="E9273">
        <v>34.270000000000003</v>
      </c>
      <c r="F9273" s="1789">
        <v>8.8999999999999996E-2</v>
      </c>
      <c r="G9273">
        <f t="shared" si="291"/>
        <v>31.21</v>
      </c>
    </row>
    <row r="9274" spans="1:7" ht="12.75" customHeight="1">
      <c r="A9274" s="3">
        <v>93103</v>
      </c>
      <c r="B9274" s="4" t="s">
        <v>9298</v>
      </c>
      <c r="C9274" s="3" t="s">
        <v>6</v>
      </c>
      <c r="D9274" s="5">
        <f t="shared" si="290"/>
        <v>7.85</v>
      </c>
      <c r="E9274">
        <v>8.6199999999999992</v>
      </c>
      <c r="F9274" s="1789">
        <v>8.8999999999999996E-2</v>
      </c>
      <c r="G9274">
        <f t="shared" si="291"/>
        <v>7.85</v>
      </c>
    </row>
    <row r="9275" spans="1:7" ht="12.75" customHeight="1">
      <c r="A9275" s="3">
        <v>93104</v>
      </c>
      <c r="B9275" s="4" t="s">
        <v>9299</v>
      </c>
      <c r="C9275" s="3" t="s">
        <v>6</v>
      </c>
      <c r="D9275" s="5">
        <f t="shared" si="290"/>
        <v>16.71</v>
      </c>
      <c r="E9275">
        <v>18.350000000000001</v>
      </c>
      <c r="F9275" s="1789">
        <v>8.8999999999999996E-2</v>
      </c>
      <c r="G9275">
        <f t="shared" si="291"/>
        <v>16.71</v>
      </c>
    </row>
    <row r="9276" spans="1:7" ht="12.75" customHeight="1">
      <c r="A9276" s="3">
        <v>93105</v>
      </c>
      <c r="B9276" s="4" t="s">
        <v>9300</v>
      </c>
      <c r="C9276" s="3" t="s">
        <v>6</v>
      </c>
      <c r="D9276" s="5">
        <f t="shared" si="290"/>
        <v>21.7</v>
      </c>
      <c r="E9276">
        <v>23.83</v>
      </c>
      <c r="F9276" s="1789">
        <v>8.8999999999999996E-2</v>
      </c>
      <c r="G9276">
        <f t="shared" si="291"/>
        <v>21.7</v>
      </c>
    </row>
    <row r="9277" spans="1:7" ht="12.75" customHeight="1">
      <c r="A9277" s="3">
        <v>93106</v>
      </c>
      <c r="B9277" s="4" t="s">
        <v>9301</v>
      </c>
      <c r="C9277" s="3" t="s">
        <v>6</v>
      </c>
      <c r="D9277" s="5">
        <f t="shared" si="290"/>
        <v>406.86</v>
      </c>
      <c r="E9277">
        <v>446.61</v>
      </c>
      <c r="F9277" s="1789">
        <v>8.8999999999999996E-2</v>
      </c>
      <c r="G9277">
        <f t="shared" si="291"/>
        <v>406.86</v>
      </c>
    </row>
    <row r="9278" spans="1:7" ht="12.75" customHeight="1">
      <c r="A9278" s="3">
        <v>93107</v>
      </c>
      <c r="B9278" s="4" t="s">
        <v>9302</v>
      </c>
      <c r="C9278" s="3" t="s">
        <v>6</v>
      </c>
      <c r="D9278" s="5">
        <f t="shared" si="290"/>
        <v>14.26</v>
      </c>
      <c r="E9278">
        <v>15.66</v>
      </c>
      <c r="F9278" s="1789">
        <v>8.8999999999999996E-2</v>
      </c>
      <c r="G9278">
        <f t="shared" si="291"/>
        <v>14.26</v>
      </c>
    </row>
    <row r="9279" spans="1:7" ht="12.75" customHeight="1">
      <c r="A9279" s="3">
        <v>93108</v>
      </c>
      <c r="B9279" s="4" t="s">
        <v>9303</v>
      </c>
      <c r="C9279" s="3" t="s">
        <v>6</v>
      </c>
      <c r="D9279" s="5">
        <f t="shared" si="290"/>
        <v>12.01</v>
      </c>
      <c r="E9279">
        <v>13.19</v>
      </c>
      <c r="F9279" s="1789">
        <v>8.8999999999999996E-2</v>
      </c>
      <c r="G9279">
        <f t="shared" si="291"/>
        <v>12.01</v>
      </c>
    </row>
    <row r="9280" spans="1:7" ht="12.75" customHeight="1">
      <c r="A9280" s="3">
        <v>93109</v>
      </c>
      <c r="B9280" s="4" t="s">
        <v>9304</v>
      </c>
      <c r="C9280" s="3" t="s">
        <v>6</v>
      </c>
      <c r="D9280" s="5">
        <f t="shared" si="290"/>
        <v>473.95</v>
      </c>
      <c r="E9280">
        <v>520.26</v>
      </c>
      <c r="F9280" s="1789">
        <v>8.8999999999999996E-2</v>
      </c>
      <c r="G9280">
        <f t="shared" si="291"/>
        <v>473.95</v>
      </c>
    </row>
    <row r="9281" spans="1:7" ht="12.75" customHeight="1">
      <c r="A9281" s="3">
        <v>93110</v>
      </c>
      <c r="B9281" s="4" t="s">
        <v>9305</v>
      </c>
      <c r="C9281" s="3" t="s">
        <v>6</v>
      </c>
      <c r="D9281" s="5">
        <f t="shared" si="290"/>
        <v>18.32</v>
      </c>
      <c r="E9281">
        <v>20.11</v>
      </c>
      <c r="F9281" s="1789">
        <v>8.8999999999999996E-2</v>
      </c>
      <c r="G9281">
        <f t="shared" si="291"/>
        <v>18.32</v>
      </c>
    </row>
    <row r="9282" spans="1:7" ht="12.75" customHeight="1">
      <c r="A9282" s="3">
        <v>93111</v>
      </c>
      <c r="B9282" s="4" t="s">
        <v>9306</v>
      </c>
      <c r="C9282" s="3" t="s">
        <v>6</v>
      </c>
      <c r="D9282" s="5">
        <f t="shared" si="290"/>
        <v>22.2</v>
      </c>
      <c r="E9282">
        <v>24.37</v>
      </c>
      <c r="F9282" s="1789">
        <v>8.8999999999999996E-2</v>
      </c>
      <c r="G9282">
        <f t="shared" si="291"/>
        <v>22.2</v>
      </c>
    </row>
    <row r="9283" spans="1:7" ht="12.75" customHeight="1">
      <c r="A9283" s="3">
        <v>93112</v>
      </c>
      <c r="B9283" s="4" t="s">
        <v>9307</v>
      </c>
      <c r="C9283" s="3" t="s">
        <v>6</v>
      </c>
      <c r="D9283" s="5">
        <f t="shared" si="290"/>
        <v>44.71</v>
      </c>
      <c r="E9283">
        <v>49.08</v>
      </c>
      <c r="F9283" s="1789">
        <v>8.8999999999999996E-2</v>
      </c>
      <c r="G9283">
        <f t="shared" si="291"/>
        <v>44.71</v>
      </c>
    </row>
    <row r="9284" spans="1:7" ht="12.75" customHeight="1">
      <c r="A9284" s="3">
        <v>93113</v>
      </c>
      <c r="B9284" s="4" t="s">
        <v>9308</v>
      </c>
      <c r="C9284" s="3" t="s">
        <v>6</v>
      </c>
      <c r="D9284" s="5">
        <f t="shared" si="290"/>
        <v>20.48</v>
      </c>
      <c r="E9284">
        <v>22.49</v>
      </c>
      <c r="F9284" s="1789">
        <v>8.8999999999999996E-2</v>
      </c>
      <c r="G9284">
        <f t="shared" si="291"/>
        <v>20.48</v>
      </c>
    </row>
    <row r="9285" spans="1:7" ht="12.75" customHeight="1">
      <c r="A9285" s="3">
        <v>93114</v>
      </c>
      <c r="B9285" s="4" t="s">
        <v>9309</v>
      </c>
      <c r="C9285" s="3" t="s">
        <v>6</v>
      </c>
      <c r="D9285" s="5">
        <f t="shared" si="290"/>
        <v>29.03</v>
      </c>
      <c r="E9285">
        <v>31.87</v>
      </c>
      <c r="F9285" s="1789">
        <v>8.8999999999999996E-2</v>
      </c>
      <c r="G9285">
        <f t="shared" si="291"/>
        <v>29.03</v>
      </c>
    </row>
    <row r="9286" spans="1:7" ht="12.75" customHeight="1">
      <c r="A9286" s="3">
        <v>93115</v>
      </c>
      <c r="B9286" s="4" t="s">
        <v>9310</v>
      </c>
      <c r="C9286" s="3" t="s">
        <v>6</v>
      </c>
      <c r="D9286" s="5">
        <f t="shared" si="290"/>
        <v>76.459999999999994</v>
      </c>
      <c r="E9286">
        <v>83.94</v>
      </c>
      <c r="F9286" s="1789">
        <v>8.8999999999999996E-2</v>
      </c>
      <c r="G9286">
        <f t="shared" si="291"/>
        <v>76.459999999999994</v>
      </c>
    </row>
    <row r="9287" spans="1:7" ht="12.75" customHeight="1">
      <c r="A9287" s="3">
        <v>93116</v>
      </c>
      <c r="B9287" s="4" t="s">
        <v>9311</v>
      </c>
      <c r="C9287" s="3" t="s">
        <v>6</v>
      </c>
      <c r="D9287" s="5">
        <f t="shared" si="290"/>
        <v>522.19000000000005</v>
      </c>
      <c r="E9287">
        <v>573.21</v>
      </c>
      <c r="F9287" s="1789">
        <v>8.8999999999999996E-2</v>
      </c>
      <c r="G9287">
        <f t="shared" si="291"/>
        <v>522.19000000000005</v>
      </c>
    </row>
    <row r="9288" spans="1:7" ht="12.75" customHeight="1">
      <c r="A9288" s="3">
        <v>93117</v>
      </c>
      <c r="B9288" s="4" t="s">
        <v>9312</v>
      </c>
      <c r="C9288" s="3" t="s">
        <v>6</v>
      </c>
      <c r="D9288" s="5">
        <f t="shared" si="290"/>
        <v>52.22</v>
      </c>
      <c r="E9288">
        <v>57.33</v>
      </c>
      <c r="F9288" s="1789">
        <v>8.8999999999999996E-2</v>
      </c>
      <c r="G9288">
        <f t="shared" si="291"/>
        <v>52.22</v>
      </c>
    </row>
    <row r="9289" spans="1:7" ht="12.75" customHeight="1">
      <c r="A9289" s="3">
        <v>93118</v>
      </c>
      <c r="B9289" s="4" t="s">
        <v>9313</v>
      </c>
      <c r="C9289" s="3" t="s">
        <v>6</v>
      </c>
      <c r="D9289" s="5">
        <f t="shared" si="290"/>
        <v>76.97</v>
      </c>
      <c r="E9289">
        <v>84.49</v>
      </c>
      <c r="F9289" s="1789">
        <v>8.8999999999999996E-2</v>
      </c>
      <c r="G9289">
        <f t="shared" si="291"/>
        <v>76.97</v>
      </c>
    </row>
    <row r="9290" spans="1:7" ht="12.75" customHeight="1">
      <c r="A9290" s="3">
        <v>93119</v>
      </c>
      <c r="B9290" s="4" t="s">
        <v>9314</v>
      </c>
      <c r="C9290" s="3" t="s">
        <v>6</v>
      </c>
      <c r="D9290" s="5">
        <f t="shared" si="290"/>
        <v>15.41</v>
      </c>
      <c r="E9290">
        <v>16.920000000000002</v>
      </c>
      <c r="F9290" s="1789">
        <v>8.8999999999999996E-2</v>
      </c>
      <c r="G9290">
        <f t="shared" si="291"/>
        <v>15.41</v>
      </c>
    </row>
    <row r="9291" spans="1:7" ht="12.75" customHeight="1">
      <c r="A9291" s="3">
        <v>93120</v>
      </c>
      <c r="B9291" s="4" t="s">
        <v>9315</v>
      </c>
      <c r="C9291" s="3" t="s">
        <v>6</v>
      </c>
      <c r="D9291" s="5">
        <f t="shared" si="290"/>
        <v>23.17</v>
      </c>
      <c r="E9291">
        <v>25.44</v>
      </c>
      <c r="F9291" s="1789">
        <v>8.8999999999999996E-2</v>
      </c>
      <c r="G9291">
        <f t="shared" si="291"/>
        <v>23.17</v>
      </c>
    </row>
    <row r="9292" spans="1:7" ht="12.75" customHeight="1">
      <c r="A9292" s="3">
        <v>93121</v>
      </c>
      <c r="B9292" s="4" t="s">
        <v>9316</v>
      </c>
      <c r="C9292" s="3" t="s">
        <v>6</v>
      </c>
      <c r="D9292" s="5">
        <f t="shared" si="290"/>
        <v>26.29</v>
      </c>
      <c r="E9292">
        <v>28.86</v>
      </c>
      <c r="F9292" s="1789">
        <v>8.8999999999999996E-2</v>
      </c>
      <c r="G9292">
        <f t="shared" si="291"/>
        <v>26.29</v>
      </c>
    </row>
    <row r="9293" spans="1:7" ht="12.75" customHeight="1">
      <c r="A9293" s="3">
        <v>93122</v>
      </c>
      <c r="B9293" s="4" t="s">
        <v>9317</v>
      </c>
      <c r="C9293" s="3" t="s">
        <v>6</v>
      </c>
      <c r="D9293" s="5">
        <f t="shared" si="290"/>
        <v>23.18</v>
      </c>
      <c r="E9293">
        <v>25.45</v>
      </c>
      <c r="F9293" s="1789">
        <v>8.8999999999999996E-2</v>
      </c>
      <c r="G9293">
        <f t="shared" si="291"/>
        <v>23.18</v>
      </c>
    </row>
    <row r="9294" spans="1:7" ht="12.75" customHeight="1">
      <c r="A9294" s="3">
        <v>93123</v>
      </c>
      <c r="B9294" s="4" t="s">
        <v>9318</v>
      </c>
      <c r="C9294" s="3" t="s">
        <v>6</v>
      </c>
      <c r="D9294" s="5">
        <f t="shared" si="290"/>
        <v>51.9</v>
      </c>
      <c r="E9294">
        <v>56.98</v>
      </c>
      <c r="F9294" s="1789">
        <v>8.8999999999999996E-2</v>
      </c>
      <c r="G9294">
        <f t="shared" si="291"/>
        <v>51.9</v>
      </c>
    </row>
    <row r="9295" spans="1:7" ht="12.75" customHeight="1">
      <c r="A9295" s="3">
        <v>93124</v>
      </c>
      <c r="B9295" s="4" t="s">
        <v>9319</v>
      </c>
      <c r="C9295" s="3" t="s">
        <v>6</v>
      </c>
      <c r="D9295" s="5">
        <f t="shared" si="290"/>
        <v>81.61</v>
      </c>
      <c r="E9295">
        <v>89.59</v>
      </c>
      <c r="F9295" s="1789">
        <v>8.8999999999999996E-2</v>
      </c>
      <c r="G9295">
        <f t="shared" si="291"/>
        <v>81.61</v>
      </c>
    </row>
    <row r="9296" spans="1:7" ht="12.75" customHeight="1">
      <c r="A9296" s="3">
        <v>93125</v>
      </c>
      <c r="B9296" s="4" t="s">
        <v>9320</v>
      </c>
      <c r="C9296" s="3" t="s">
        <v>6</v>
      </c>
      <c r="D9296" s="5">
        <f t="shared" si="290"/>
        <v>120.06</v>
      </c>
      <c r="E9296">
        <v>131.79</v>
      </c>
      <c r="F9296" s="1789">
        <v>8.8999999999999996E-2</v>
      </c>
      <c r="G9296">
        <f t="shared" si="291"/>
        <v>120.06</v>
      </c>
    </row>
    <row r="9297" spans="1:7" ht="12.75" customHeight="1">
      <c r="A9297" s="3">
        <v>93126</v>
      </c>
      <c r="B9297" s="4" t="s">
        <v>9321</v>
      </c>
      <c r="C9297" s="3" t="s">
        <v>6</v>
      </c>
      <c r="D9297" s="5">
        <f t="shared" si="290"/>
        <v>265.69</v>
      </c>
      <c r="E9297">
        <v>291.64999999999998</v>
      </c>
      <c r="F9297" s="1789">
        <v>8.8999999999999996E-2</v>
      </c>
      <c r="G9297">
        <f t="shared" si="291"/>
        <v>265.69</v>
      </c>
    </row>
    <row r="9298" spans="1:7" ht="12.75" customHeight="1">
      <c r="A9298" s="3">
        <v>93133</v>
      </c>
      <c r="B9298" s="4" t="s">
        <v>9322</v>
      </c>
      <c r="C9298" s="3" t="s">
        <v>6</v>
      </c>
      <c r="D9298" s="5">
        <f t="shared" si="290"/>
        <v>17.329999999999998</v>
      </c>
      <c r="E9298">
        <v>19.03</v>
      </c>
      <c r="F9298" s="1789">
        <v>8.8999999999999996E-2</v>
      </c>
      <c r="G9298">
        <f t="shared" si="291"/>
        <v>17.329999999999998</v>
      </c>
    </row>
    <row r="9299" spans="1:7" ht="12.75" customHeight="1">
      <c r="A9299" s="3">
        <v>94465</v>
      </c>
      <c r="B9299" s="4" t="s">
        <v>9323</v>
      </c>
      <c r="C9299" s="3" t="s">
        <v>6</v>
      </c>
      <c r="D9299" s="5">
        <f t="shared" si="290"/>
        <v>39.71</v>
      </c>
      <c r="E9299">
        <v>43.59</v>
      </c>
      <c r="F9299" s="1789">
        <v>8.8999999999999996E-2</v>
      </c>
      <c r="G9299">
        <f t="shared" si="291"/>
        <v>39.71</v>
      </c>
    </row>
    <row r="9300" spans="1:7" ht="12.75" customHeight="1">
      <c r="A9300" s="3">
        <v>94466</v>
      </c>
      <c r="B9300" s="4" t="s">
        <v>9324</v>
      </c>
      <c r="C9300" s="3" t="s">
        <v>6</v>
      </c>
      <c r="D9300" s="5">
        <f t="shared" si="290"/>
        <v>39.72</v>
      </c>
      <c r="E9300">
        <v>43.61</v>
      </c>
      <c r="F9300" s="1789">
        <v>8.8999999999999996E-2</v>
      </c>
      <c r="G9300">
        <f t="shared" si="291"/>
        <v>39.72</v>
      </c>
    </row>
    <row r="9301" spans="1:7" ht="12.75" customHeight="1">
      <c r="A9301" s="3">
        <v>94467</v>
      </c>
      <c r="B9301" s="4" t="s">
        <v>9325</v>
      </c>
      <c r="C9301" s="3" t="s">
        <v>6</v>
      </c>
      <c r="D9301" s="5">
        <f t="shared" ref="D9301:D9364" si="292">G9301</f>
        <v>63.47</v>
      </c>
      <c r="E9301">
        <v>69.680000000000007</v>
      </c>
      <c r="F9301" s="1789">
        <v>8.8999999999999996E-2</v>
      </c>
      <c r="G9301">
        <f t="shared" ref="G9301:G9364" si="293">TRUNC((1-F9301)*E9301,2)</f>
        <v>63.47</v>
      </c>
    </row>
    <row r="9302" spans="1:7" ht="12.75" customHeight="1">
      <c r="A9302" s="3">
        <v>94468</v>
      </c>
      <c r="B9302" s="4" t="s">
        <v>9326</v>
      </c>
      <c r="C9302" s="3" t="s">
        <v>6</v>
      </c>
      <c r="D9302" s="5">
        <f t="shared" si="292"/>
        <v>55.88</v>
      </c>
      <c r="E9302">
        <v>61.34</v>
      </c>
      <c r="F9302" s="1789">
        <v>8.8999999999999996E-2</v>
      </c>
      <c r="G9302">
        <f t="shared" si="293"/>
        <v>55.88</v>
      </c>
    </row>
    <row r="9303" spans="1:7" ht="12.75" customHeight="1">
      <c r="A9303" s="3">
        <v>94469</v>
      </c>
      <c r="B9303" s="4" t="s">
        <v>9327</v>
      </c>
      <c r="C9303" s="3" t="s">
        <v>6</v>
      </c>
      <c r="D9303" s="5">
        <f t="shared" si="292"/>
        <v>90.47</v>
      </c>
      <c r="E9303">
        <v>99.31</v>
      </c>
      <c r="F9303" s="1789">
        <v>8.8999999999999996E-2</v>
      </c>
      <c r="G9303">
        <f t="shared" si="293"/>
        <v>90.47</v>
      </c>
    </row>
    <row r="9304" spans="1:7" ht="12.75" customHeight="1">
      <c r="A9304" s="3">
        <v>94470</v>
      </c>
      <c r="B9304" s="4" t="s">
        <v>9328</v>
      </c>
      <c r="C9304" s="3" t="s">
        <v>6</v>
      </c>
      <c r="D9304" s="5">
        <f t="shared" si="292"/>
        <v>83.71</v>
      </c>
      <c r="E9304">
        <v>91.89</v>
      </c>
      <c r="F9304" s="1789">
        <v>8.8999999999999996E-2</v>
      </c>
      <c r="G9304">
        <f t="shared" si="293"/>
        <v>83.71</v>
      </c>
    </row>
    <row r="9305" spans="1:7" ht="12.75" customHeight="1">
      <c r="A9305" s="3">
        <v>94471</v>
      </c>
      <c r="B9305" s="4" t="s">
        <v>9329</v>
      </c>
      <c r="C9305" s="3" t="s">
        <v>6</v>
      </c>
      <c r="D9305" s="5">
        <f t="shared" si="292"/>
        <v>57.25</v>
      </c>
      <c r="E9305">
        <v>62.85</v>
      </c>
      <c r="F9305" s="1789">
        <v>8.8999999999999996E-2</v>
      </c>
      <c r="G9305">
        <f t="shared" si="293"/>
        <v>57.25</v>
      </c>
    </row>
    <row r="9306" spans="1:7" ht="12.75" customHeight="1">
      <c r="A9306" s="3">
        <v>94472</v>
      </c>
      <c r="B9306" s="4" t="s">
        <v>9330</v>
      </c>
      <c r="C9306" s="3" t="s">
        <v>6</v>
      </c>
      <c r="D9306" s="5">
        <f t="shared" si="292"/>
        <v>58.95</v>
      </c>
      <c r="E9306">
        <v>64.709999999999994</v>
      </c>
      <c r="F9306" s="1789">
        <v>8.8999999999999996E-2</v>
      </c>
      <c r="G9306">
        <f t="shared" si="293"/>
        <v>58.95</v>
      </c>
    </row>
    <row r="9307" spans="1:7" ht="12.75" customHeight="1">
      <c r="A9307" s="3">
        <v>94473</v>
      </c>
      <c r="B9307" s="4" t="s">
        <v>9331</v>
      </c>
      <c r="C9307" s="3" t="s">
        <v>6</v>
      </c>
      <c r="D9307" s="5">
        <f t="shared" si="292"/>
        <v>90.99</v>
      </c>
      <c r="E9307">
        <v>99.88</v>
      </c>
      <c r="F9307" s="1789">
        <v>8.8999999999999996E-2</v>
      </c>
      <c r="G9307">
        <f t="shared" si="293"/>
        <v>90.99</v>
      </c>
    </row>
    <row r="9308" spans="1:7" ht="12.75" customHeight="1">
      <c r="A9308" s="3">
        <v>94474</v>
      </c>
      <c r="B9308" s="4" t="s">
        <v>9332</v>
      </c>
      <c r="C9308" s="3" t="s">
        <v>6</v>
      </c>
      <c r="D9308" s="5">
        <f t="shared" si="292"/>
        <v>98.42</v>
      </c>
      <c r="E9308">
        <v>108.04</v>
      </c>
      <c r="F9308" s="1789">
        <v>8.8999999999999996E-2</v>
      </c>
      <c r="G9308">
        <f t="shared" si="293"/>
        <v>98.42</v>
      </c>
    </row>
    <row r="9309" spans="1:7" ht="12.75" customHeight="1">
      <c r="A9309" s="3">
        <v>94475</v>
      </c>
      <c r="B9309" s="4" t="s">
        <v>9333</v>
      </c>
      <c r="C9309" s="3" t="s">
        <v>6</v>
      </c>
      <c r="D9309" s="5">
        <f t="shared" si="292"/>
        <v>122.84</v>
      </c>
      <c r="E9309">
        <v>134.85</v>
      </c>
      <c r="F9309" s="1789">
        <v>8.8999999999999996E-2</v>
      </c>
      <c r="G9309">
        <f t="shared" si="293"/>
        <v>122.84</v>
      </c>
    </row>
    <row r="9310" spans="1:7" ht="12.75" customHeight="1">
      <c r="A9310" s="3">
        <v>94476</v>
      </c>
      <c r="B9310" s="4" t="s">
        <v>9334</v>
      </c>
      <c r="C9310" s="3" t="s">
        <v>6</v>
      </c>
      <c r="D9310" s="5">
        <f t="shared" si="292"/>
        <v>137.16999999999999</v>
      </c>
      <c r="E9310">
        <v>150.58000000000001</v>
      </c>
      <c r="F9310" s="1789">
        <v>8.8999999999999996E-2</v>
      </c>
      <c r="G9310">
        <f t="shared" si="293"/>
        <v>137.16999999999999</v>
      </c>
    </row>
    <row r="9311" spans="1:7" ht="12.75" customHeight="1">
      <c r="A9311" s="3">
        <v>94477</v>
      </c>
      <c r="B9311" s="4" t="s">
        <v>9335</v>
      </c>
      <c r="C9311" s="3" t="s">
        <v>6</v>
      </c>
      <c r="D9311" s="5">
        <f t="shared" si="292"/>
        <v>76.290000000000006</v>
      </c>
      <c r="E9311">
        <v>83.75</v>
      </c>
      <c r="F9311" s="1789">
        <v>8.8999999999999996E-2</v>
      </c>
      <c r="G9311">
        <f t="shared" si="293"/>
        <v>76.290000000000006</v>
      </c>
    </row>
    <row r="9312" spans="1:7" ht="12.75" customHeight="1">
      <c r="A9312" s="3">
        <v>94478</v>
      </c>
      <c r="B9312" s="4" t="s">
        <v>9336</v>
      </c>
      <c r="C9312" s="3" t="s">
        <v>6</v>
      </c>
      <c r="D9312" s="5">
        <f t="shared" si="292"/>
        <v>125.05</v>
      </c>
      <c r="E9312">
        <v>137.27000000000001</v>
      </c>
      <c r="F9312" s="1789">
        <v>8.8999999999999996E-2</v>
      </c>
      <c r="G9312">
        <f t="shared" si="293"/>
        <v>125.05</v>
      </c>
    </row>
    <row r="9313" spans="1:7" ht="12.75" customHeight="1">
      <c r="A9313" s="3">
        <v>94479</v>
      </c>
      <c r="B9313" s="4" t="s">
        <v>9337</v>
      </c>
      <c r="C9313" s="3" t="s">
        <v>6</v>
      </c>
      <c r="D9313" s="5">
        <f t="shared" si="292"/>
        <v>162.38</v>
      </c>
      <c r="E9313">
        <v>178.25</v>
      </c>
      <c r="F9313" s="1789">
        <v>8.8999999999999996E-2</v>
      </c>
      <c r="G9313">
        <f t="shared" si="293"/>
        <v>162.38</v>
      </c>
    </row>
    <row r="9314" spans="1:7" ht="12.75" customHeight="1">
      <c r="A9314" s="3">
        <v>94606</v>
      </c>
      <c r="B9314" s="4" t="s">
        <v>9338</v>
      </c>
      <c r="C9314" s="3" t="s">
        <v>6</v>
      </c>
      <c r="D9314" s="5">
        <f t="shared" si="292"/>
        <v>69.739999999999995</v>
      </c>
      <c r="E9314">
        <v>76.56</v>
      </c>
      <c r="F9314" s="1789">
        <v>8.8999999999999996E-2</v>
      </c>
      <c r="G9314">
        <f t="shared" si="293"/>
        <v>69.739999999999995</v>
      </c>
    </row>
    <row r="9315" spans="1:7" ht="12.75" customHeight="1">
      <c r="A9315" s="3">
        <v>94608</v>
      </c>
      <c r="B9315" s="4" t="s">
        <v>9339</v>
      </c>
      <c r="C9315" s="3" t="s">
        <v>6</v>
      </c>
      <c r="D9315" s="5">
        <f t="shared" si="292"/>
        <v>176.14</v>
      </c>
      <c r="E9315">
        <v>193.35</v>
      </c>
      <c r="F9315" s="1789">
        <v>8.8999999999999996E-2</v>
      </c>
      <c r="G9315">
        <f t="shared" si="293"/>
        <v>176.14</v>
      </c>
    </row>
    <row r="9316" spans="1:7" ht="12.75" customHeight="1">
      <c r="A9316" s="3">
        <v>94610</v>
      </c>
      <c r="B9316" s="4" t="s">
        <v>9340</v>
      </c>
      <c r="C9316" s="3" t="s">
        <v>6</v>
      </c>
      <c r="D9316" s="5">
        <f t="shared" si="292"/>
        <v>258.07</v>
      </c>
      <c r="E9316">
        <v>283.29000000000002</v>
      </c>
      <c r="F9316" s="1789">
        <v>8.8999999999999996E-2</v>
      </c>
      <c r="G9316">
        <f t="shared" si="293"/>
        <v>258.07</v>
      </c>
    </row>
    <row r="9317" spans="1:7" ht="12.75" customHeight="1">
      <c r="A9317" s="3">
        <v>94612</v>
      </c>
      <c r="B9317" s="4" t="s">
        <v>9341</v>
      </c>
      <c r="C9317" s="3" t="s">
        <v>6</v>
      </c>
      <c r="D9317" s="5">
        <f t="shared" si="292"/>
        <v>367.11</v>
      </c>
      <c r="E9317">
        <v>402.98</v>
      </c>
      <c r="F9317" s="1789">
        <v>8.8999999999999996E-2</v>
      </c>
      <c r="G9317">
        <f t="shared" si="293"/>
        <v>367.11</v>
      </c>
    </row>
    <row r="9318" spans="1:7" ht="12.75" customHeight="1">
      <c r="A9318" s="3">
        <v>94614</v>
      </c>
      <c r="B9318" s="4" t="s">
        <v>9342</v>
      </c>
      <c r="C9318" s="3" t="s">
        <v>6</v>
      </c>
      <c r="D9318" s="5">
        <f t="shared" si="292"/>
        <v>119.15</v>
      </c>
      <c r="E9318">
        <v>130.80000000000001</v>
      </c>
      <c r="F9318" s="1789">
        <v>8.8999999999999996E-2</v>
      </c>
      <c r="G9318">
        <f t="shared" si="293"/>
        <v>119.15</v>
      </c>
    </row>
    <row r="9319" spans="1:7" ht="12.75" customHeight="1">
      <c r="A9319" s="3">
        <v>94615</v>
      </c>
      <c r="B9319" s="4" t="s">
        <v>9343</v>
      </c>
      <c r="C9319" s="3" t="s">
        <v>6</v>
      </c>
      <c r="D9319" s="5">
        <f t="shared" si="292"/>
        <v>135.49</v>
      </c>
      <c r="E9319">
        <v>148.72999999999999</v>
      </c>
      <c r="F9319" s="1789">
        <v>8.8999999999999996E-2</v>
      </c>
      <c r="G9319">
        <f t="shared" si="293"/>
        <v>135.49</v>
      </c>
    </row>
    <row r="9320" spans="1:7" ht="12.75" customHeight="1">
      <c r="A9320" s="3">
        <v>94616</v>
      </c>
      <c r="B9320" s="4" t="s">
        <v>9344</v>
      </c>
      <c r="C9320" s="3" t="s">
        <v>6</v>
      </c>
      <c r="D9320" s="5">
        <f t="shared" si="292"/>
        <v>336.53</v>
      </c>
      <c r="E9320">
        <v>369.41</v>
      </c>
      <c r="F9320" s="1789">
        <v>8.8999999999999996E-2</v>
      </c>
      <c r="G9320">
        <f t="shared" si="293"/>
        <v>336.53</v>
      </c>
    </row>
    <row r="9321" spans="1:7" ht="12.75" customHeight="1">
      <c r="A9321" s="3">
        <v>94617</v>
      </c>
      <c r="B9321" s="4" t="s">
        <v>9345</v>
      </c>
      <c r="C9321" s="3" t="s">
        <v>6</v>
      </c>
      <c r="D9321" s="5">
        <f t="shared" si="292"/>
        <v>279.75</v>
      </c>
      <c r="E9321">
        <v>307.08999999999997</v>
      </c>
      <c r="F9321" s="1789">
        <v>8.8999999999999996E-2</v>
      </c>
      <c r="G9321">
        <f t="shared" si="293"/>
        <v>279.75</v>
      </c>
    </row>
    <row r="9322" spans="1:7" ht="12.75" customHeight="1">
      <c r="A9322" s="3">
        <v>94618</v>
      </c>
      <c r="B9322" s="4" t="s">
        <v>9346</v>
      </c>
      <c r="C9322" s="3" t="s">
        <v>6</v>
      </c>
      <c r="D9322" s="5">
        <f t="shared" si="292"/>
        <v>327.01</v>
      </c>
      <c r="E9322">
        <v>358.96</v>
      </c>
      <c r="F9322" s="1789">
        <v>8.8999999999999996E-2</v>
      </c>
      <c r="G9322">
        <f t="shared" si="293"/>
        <v>327.01</v>
      </c>
    </row>
    <row r="9323" spans="1:7" ht="12.75" customHeight="1">
      <c r="A9323" s="3">
        <v>94620</v>
      </c>
      <c r="B9323" s="4" t="s">
        <v>9347</v>
      </c>
      <c r="C9323" s="3" t="s">
        <v>6</v>
      </c>
      <c r="D9323" s="5">
        <f t="shared" si="292"/>
        <v>756.53</v>
      </c>
      <c r="E9323">
        <v>830.44</v>
      </c>
      <c r="F9323" s="1789">
        <v>8.8999999999999996E-2</v>
      </c>
      <c r="G9323">
        <f t="shared" si="293"/>
        <v>756.53</v>
      </c>
    </row>
    <row r="9324" spans="1:7" ht="12.75" customHeight="1">
      <c r="A9324" s="3">
        <v>94622</v>
      </c>
      <c r="B9324" s="4" t="s">
        <v>9348</v>
      </c>
      <c r="C9324" s="3" t="s">
        <v>6</v>
      </c>
      <c r="D9324" s="5">
        <f t="shared" si="292"/>
        <v>174.01</v>
      </c>
      <c r="E9324">
        <v>191.02</v>
      </c>
      <c r="F9324" s="1789">
        <v>8.8999999999999996E-2</v>
      </c>
      <c r="G9324">
        <f t="shared" si="293"/>
        <v>174.01</v>
      </c>
    </row>
    <row r="9325" spans="1:7" ht="12.75" customHeight="1">
      <c r="A9325" s="3">
        <v>94623</v>
      </c>
      <c r="B9325" s="4" t="s">
        <v>9349</v>
      </c>
      <c r="C9325" s="3" t="s">
        <v>6</v>
      </c>
      <c r="D9325" s="5">
        <f t="shared" si="292"/>
        <v>416.67</v>
      </c>
      <c r="E9325">
        <v>457.38</v>
      </c>
      <c r="F9325" s="1789">
        <v>8.8999999999999996E-2</v>
      </c>
      <c r="G9325">
        <f t="shared" si="293"/>
        <v>416.67</v>
      </c>
    </row>
    <row r="9326" spans="1:7" ht="12.75" customHeight="1">
      <c r="A9326" s="3">
        <v>94624</v>
      </c>
      <c r="B9326" s="4" t="s">
        <v>9350</v>
      </c>
      <c r="C9326" s="3" t="s">
        <v>6</v>
      </c>
      <c r="D9326" s="5">
        <f t="shared" si="292"/>
        <v>628.49</v>
      </c>
      <c r="E9326">
        <v>689.9</v>
      </c>
      <c r="F9326" s="1789">
        <v>8.8999999999999996E-2</v>
      </c>
      <c r="G9326">
        <f t="shared" si="293"/>
        <v>628.49</v>
      </c>
    </row>
    <row r="9327" spans="1:7" ht="12.75" customHeight="1">
      <c r="A9327" s="3">
        <v>94625</v>
      </c>
      <c r="B9327" s="4" t="s">
        <v>9351</v>
      </c>
      <c r="C9327" s="3" t="s">
        <v>6</v>
      </c>
      <c r="D9327" s="5">
        <f t="shared" si="292"/>
        <v>1318.45</v>
      </c>
      <c r="E9327">
        <v>1447.26</v>
      </c>
      <c r="F9327" s="1789">
        <v>8.8999999999999996E-2</v>
      </c>
      <c r="G9327">
        <f t="shared" si="293"/>
        <v>1318.45</v>
      </c>
    </row>
    <row r="9328" spans="1:7" ht="12.75" customHeight="1">
      <c r="A9328" s="3">
        <v>94656</v>
      </c>
      <c r="B9328" s="4" t="s">
        <v>9352</v>
      </c>
      <c r="C9328" s="3" t="s">
        <v>6</v>
      </c>
      <c r="D9328" s="5">
        <f t="shared" si="292"/>
        <v>2.92</v>
      </c>
      <c r="E9328">
        <v>3.21</v>
      </c>
      <c r="F9328" s="1789">
        <v>8.8999999999999996E-2</v>
      </c>
      <c r="G9328">
        <f t="shared" si="293"/>
        <v>2.92</v>
      </c>
    </row>
    <row r="9329" spans="1:7" ht="12.75" customHeight="1">
      <c r="A9329" s="3">
        <v>94657</v>
      </c>
      <c r="B9329" s="4" t="s">
        <v>9353</v>
      </c>
      <c r="C9329" s="3" t="s">
        <v>6</v>
      </c>
      <c r="D9329" s="5">
        <f t="shared" si="292"/>
        <v>3.38</v>
      </c>
      <c r="E9329">
        <v>3.72</v>
      </c>
      <c r="F9329" s="1789">
        <v>8.8999999999999996E-2</v>
      </c>
      <c r="G9329">
        <f t="shared" si="293"/>
        <v>3.38</v>
      </c>
    </row>
    <row r="9330" spans="1:7" ht="12.75" customHeight="1">
      <c r="A9330" s="3">
        <v>94658</v>
      </c>
      <c r="B9330" s="4" t="s">
        <v>9354</v>
      </c>
      <c r="C9330" s="3" t="s">
        <v>6</v>
      </c>
      <c r="D9330" s="5">
        <f t="shared" si="292"/>
        <v>4.3600000000000003</v>
      </c>
      <c r="E9330">
        <v>4.79</v>
      </c>
      <c r="F9330" s="1789">
        <v>8.8999999999999996E-2</v>
      </c>
      <c r="G9330">
        <f t="shared" si="293"/>
        <v>4.3600000000000003</v>
      </c>
    </row>
    <row r="9331" spans="1:7" ht="12.75" customHeight="1">
      <c r="A9331" s="3">
        <v>94659</v>
      </c>
      <c r="B9331" s="4" t="s">
        <v>9355</v>
      </c>
      <c r="C9331" s="3" t="s">
        <v>6</v>
      </c>
      <c r="D9331" s="5">
        <f t="shared" si="292"/>
        <v>5.22</v>
      </c>
      <c r="E9331">
        <v>5.73</v>
      </c>
      <c r="F9331" s="1789">
        <v>8.8999999999999996E-2</v>
      </c>
      <c r="G9331">
        <f t="shared" si="293"/>
        <v>5.22</v>
      </c>
    </row>
    <row r="9332" spans="1:7" ht="12.75" customHeight="1">
      <c r="A9332" s="3">
        <v>94660</v>
      </c>
      <c r="B9332" s="4" t="s">
        <v>9356</v>
      </c>
      <c r="C9332" s="3" t="s">
        <v>6</v>
      </c>
      <c r="D9332" s="5">
        <f t="shared" si="292"/>
        <v>6.81</v>
      </c>
      <c r="E9332">
        <v>7.48</v>
      </c>
      <c r="F9332" s="1789">
        <v>8.8999999999999996E-2</v>
      </c>
      <c r="G9332">
        <f t="shared" si="293"/>
        <v>6.81</v>
      </c>
    </row>
    <row r="9333" spans="1:7" ht="12.75" customHeight="1">
      <c r="A9333" s="3">
        <v>94661</v>
      </c>
      <c r="B9333" s="4" t="s">
        <v>9357</v>
      </c>
      <c r="C9333" s="3" t="s">
        <v>6</v>
      </c>
      <c r="D9333" s="5">
        <f t="shared" si="292"/>
        <v>8.1199999999999992</v>
      </c>
      <c r="E9333">
        <v>8.92</v>
      </c>
      <c r="F9333" s="1789">
        <v>8.8999999999999996E-2</v>
      </c>
      <c r="G9333">
        <f t="shared" si="293"/>
        <v>8.1199999999999992</v>
      </c>
    </row>
    <row r="9334" spans="1:7" ht="12.75" customHeight="1">
      <c r="A9334" s="3">
        <v>94662</v>
      </c>
      <c r="B9334" s="4" t="s">
        <v>9358</v>
      </c>
      <c r="C9334" s="3" t="s">
        <v>6</v>
      </c>
      <c r="D9334" s="5">
        <f t="shared" si="292"/>
        <v>9</v>
      </c>
      <c r="E9334">
        <v>9.89</v>
      </c>
      <c r="F9334" s="1789">
        <v>8.8999999999999996E-2</v>
      </c>
      <c r="G9334">
        <f t="shared" si="293"/>
        <v>9</v>
      </c>
    </row>
    <row r="9335" spans="1:7" ht="12.75" customHeight="1">
      <c r="A9335" s="3">
        <v>94663</v>
      </c>
      <c r="B9335" s="4" t="s">
        <v>9359</v>
      </c>
      <c r="C9335" s="3" t="s">
        <v>6</v>
      </c>
      <c r="D9335" s="5">
        <f t="shared" si="292"/>
        <v>10.28</v>
      </c>
      <c r="E9335">
        <v>11.29</v>
      </c>
      <c r="F9335" s="1789">
        <v>8.8999999999999996E-2</v>
      </c>
      <c r="G9335">
        <f t="shared" si="293"/>
        <v>10.28</v>
      </c>
    </row>
    <row r="9336" spans="1:7" ht="12.75" customHeight="1">
      <c r="A9336" s="3">
        <v>94664</v>
      </c>
      <c r="B9336" s="4" t="s">
        <v>9360</v>
      </c>
      <c r="C9336" s="3" t="s">
        <v>6</v>
      </c>
      <c r="D9336" s="5">
        <f t="shared" si="292"/>
        <v>16.14</v>
      </c>
      <c r="E9336">
        <v>17.72</v>
      </c>
      <c r="F9336" s="1789">
        <v>8.8999999999999996E-2</v>
      </c>
      <c r="G9336">
        <f t="shared" si="293"/>
        <v>16.14</v>
      </c>
    </row>
    <row r="9337" spans="1:7" ht="12.75" customHeight="1">
      <c r="A9337" s="3">
        <v>94665</v>
      </c>
      <c r="B9337" s="4" t="s">
        <v>9361</v>
      </c>
      <c r="C9337" s="3" t="s">
        <v>6</v>
      </c>
      <c r="D9337" s="5">
        <f t="shared" si="292"/>
        <v>19.66</v>
      </c>
      <c r="E9337">
        <v>21.59</v>
      </c>
      <c r="F9337" s="1789">
        <v>8.8999999999999996E-2</v>
      </c>
      <c r="G9337">
        <f t="shared" si="293"/>
        <v>19.66</v>
      </c>
    </row>
    <row r="9338" spans="1:7" ht="12.75" customHeight="1">
      <c r="A9338" s="3">
        <v>94666</v>
      </c>
      <c r="B9338" s="4" t="s">
        <v>9362</v>
      </c>
      <c r="C9338" s="3" t="s">
        <v>6</v>
      </c>
      <c r="D9338" s="5">
        <f t="shared" si="292"/>
        <v>26.15</v>
      </c>
      <c r="E9338">
        <v>28.71</v>
      </c>
      <c r="F9338" s="1789">
        <v>8.8999999999999996E-2</v>
      </c>
      <c r="G9338">
        <f t="shared" si="293"/>
        <v>26.15</v>
      </c>
    </row>
    <row r="9339" spans="1:7" ht="12.75" customHeight="1">
      <c r="A9339" s="3">
        <v>94667</v>
      </c>
      <c r="B9339" s="4" t="s">
        <v>9363</v>
      </c>
      <c r="C9339" s="3" t="s">
        <v>6</v>
      </c>
      <c r="D9339" s="5">
        <f t="shared" si="292"/>
        <v>28.96</v>
      </c>
      <c r="E9339">
        <v>31.8</v>
      </c>
      <c r="F9339" s="1789">
        <v>8.8999999999999996E-2</v>
      </c>
      <c r="G9339">
        <f t="shared" si="293"/>
        <v>28.96</v>
      </c>
    </row>
    <row r="9340" spans="1:7" ht="12.75" customHeight="1">
      <c r="A9340" s="3">
        <v>94668</v>
      </c>
      <c r="B9340" s="4" t="s">
        <v>9364</v>
      </c>
      <c r="C9340" s="3" t="s">
        <v>6</v>
      </c>
      <c r="D9340" s="5">
        <f t="shared" si="292"/>
        <v>34.68</v>
      </c>
      <c r="E9340">
        <v>38.07</v>
      </c>
      <c r="F9340" s="1789">
        <v>8.8999999999999996E-2</v>
      </c>
      <c r="G9340">
        <f t="shared" si="293"/>
        <v>34.68</v>
      </c>
    </row>
    <row r="9341" spans="1:7" ht="12.75" customHeight="1">
      <c r="A9341" s="3">
        <v>94669</v>
      </c>
      <c r="B9341" s="4" t="s">
        <v>9365</v>
      </c>
      <c r="C9341" s="3" t="s">
        <v>6</v>
      </c>
      <c r="D9341" s="5">
        <f t="shared" si="292"/>
        <v>51.48</v>
      </c>
      <c r="E9341">
        <v>56.51</v>
      </c>
      <c r="F9341" s="1789">
        <v>8.8999999999999996E-2</v>
      </c>
      <c r="G9341">
        <f t="shared" si="293"/>
        <v>51.48</v>
      </c>
    </row>
    <row r="9342" spans="1:7" ht="12.75" customHeight="1">
      <c r="A9342" s="3">
        <v>94670</v>
      </c>
      <c r="B9342" s="4" t="s">
        <v>9366</v>
      </c>
      <c r="C9342" s="3" t="s">
        <v>6</v>
      </c>
      <c r="D9342" s="5">
        <f t="shared" si="292"/>
        <v>54.91</v>
      </c>
      <c r="E9342">
        <v>60.28</v>
      </c>
      <c r="F9342" s="1789">
        <v>8.8999999999999996E-2</v>
      </c>
      <c r="G9342">
        <f t="shared" si="293"/>
        <v>54.91</v>
      </c>
    </row>
    <row r="9343" spans="1:7" ht="12.75" customHeight="1">
      <c r="A9343" s="3">
        <v>94671</v>
      </c>
      <c r="B9343" s="4" t="s">
        <v>9367</v>
      </c>
      <c r="C9343" s="3" t="s">
        <v>6</v>
      </c>
      <c r="D9343" s="5">
        <f t="shared" si="292"/>
        <v>83.98</v>
      </c>
      <c r="E9343">
        <v>92.19</v>
      </c>
      <c r="F9343" s="1789">
        <v>8.8999999999999996E-2</v>
      </c>
      <c r="G9343">
        <f t="shared" si="293"/>
        <v>83.98</v>
      </c>
    </row>
    <row r="9344" spans="1:7" ht="12.75" customHeight="1">
      <c r="A9344" s="3">
        <v>94672</v>
      </c>
      <c r="B9344" s="4" t="s">
        <v>9368</v>
      </c>
      <c r="C9344" s="3" t="s">
        <v>6</v>
      </c>
      <c r="D9344" s="5">
        <f t="shared" si="292"/>
        <v>4.9400000000000004</v>
      </c>
      <c r="E9344">
        <v>5.43</v>
      </c>
      <c r="F9344" s="1789">
        <v>8.8999999999999996E-2</v>
      </c>
      <c r="G9344">
        <f t="shared" si="293"/>
        <v>4.9400000000000004</v>
      </c>
    </row>
    <row r="9345" spans="1:7" ht="12.75" customHeight="1">
      <c r="A9345" s="3">
        <v>94673</v>
      </c>
      <c r="B9345" s="4" t="s">
        <v>9369</v>
      </c>
      <c r="C9345" s="3" t="s">
        <v>6</v>
      </c>
      <c r="D9345" s="5">
        <f t="shared" si="292"/>
        <v>5.89</v>
      </c>
      <c r="E9345">
        <v>6.47</v>
      </c>
      <c r="F9345" s="1789">
        <v>8.8999999999999996E-2</v>
      </c>
      <c r="G9345">
        <f t="shared" si="293"/>
        <v>5.89</v>
      </c>
    </row>
    <row r="9346" spans="1:7" ht="12.75" customHeight="1">
      <c r="A9346" s="3">
        <v>94674</v>
      </c>
      <c r="B9346" s="4" t="s">
        <v>9370</v>
      </c>
      <c r="C9346" s="3" t="s">
        <v>6</v>
      </c>
      <c r="D9346" s="5">
        <f t="shared" si="292"/>
        <v>6.6</v>
      </c>
      <c r="E9346">
        <v>7.25</v>
      </c>
      <c r="F9346" s="1789">
        <v>8.8999999999999996E-2</v>
      </c>
      <c r="G9346">
        <f t="shared" si="293"/>
        <v>6.6</v>
      </c>
    </row>
    <row r="9347" spans="1:7" ht="12.75" customHeight="1">
      <c r="A9347" s="3">
        <v>94675</v>
      </c>
      <c r="B9347" s="4" t="s">
        <v>9371</v>
      </c>
      <c r="C9347" s="3" t="s">
        <v>6</v>
      </c>
      <c r="D9347" s="5">
        <f t="shared" si="292"/>
        <v>9.76</v>
      </c>
      <c r="E9347">
        <v>10.72</v>
      </c>
      <c r="F9347" s="1789">
        <v>8.8999999999999996E-2</v>
      </c>
      <c r="G9347">
        <f t="shared" si="293"/>
        <v>9.76</v>
      </c>
    </row>
    <row r="9348" spans="1:7" ht="12.75" customHeight="1">
      <c r="A9348" s="3">
        <v>94676</v>
      </c>
      <c r="B9348" s="4" t="s">
        <v>9372</v>
      </c>
      <c r="C9348" s="3" t="s">
        <v>6</v>
      </c>
      <c r="D9348" s="5">
        <f t="shared" si="292"/>
        <v>10.82</v>
      </c>
      <c r="E9348">
        <v>11.88</v>
      </c>
      <c r="F9348" s="1789">
        <v>8.8999999999999996E-2</v>
      </c>
      <c r="G9348">
        <f t="shared" si="293"/>
        <v>10.82</v>
      </c>
    </row>
    <row r="9349" spans="1:7" ht="12.75" customHeight="1">
      <c r="A9349" s="3">
        <v>94677</v>
      </c>
      <c r="B9349" s="4" t="s">
        <v>9373</v>
      </c>
      <c r="C9349" s="3" t="s">
        <v>6</v>
      </c>
      <c r="D9349" s="5">
        <f t="shared" si="292"/>
        <v>15.61</v>
      </c>
      <c r="E9349">
        <v>17.14</v>
      </c>
      <c r="F9349" s="1789">
        <v>8.8999999999999996E-2</v>
      </c>
      <c r="G9349">
        <f t="shared" si="293"/>
        <v>15.61</v>
      </c>
    </row>
    <row r="9350" spans="1:7" ht="12.75" customHeight="1">
      <c r="A9350" s="3">
        <v>94678</v>
      </c>
      <c r="B9350" s="4" t="s">
        <v>9374</v>
      </c>
      <c r="C9350" s="3" t="s">
        <v>6</v>
      </c>
      <c r="D9350" s="5">
        <f t="shared" si="292"/>
        <v>12.75</v>
      </c>
      <c r="E9350">
        <v>14</v>
      </c>
      <c r="F9350" s="1789">
        <v>8.8999999999999996E-2</v>
      </c>
      <c r="G9350">
        <f t="shared" si="293"/>
        <v>12.75</v>
      </c>
    </row>
    <row r="9351" spans="1:7" ht="12.75" customHeight="1">
      <c r="A9351" s="3">
        <v>94679</v>
      </c>
      <c r="B9351" s="4" t="s">
        <v>9375</v>
      </c>
      <c r="C9351" s="3" t="s">
        <v>6</v>
      </c>
      <c r="D9351" s="5">
        <f t="shared" si="292"/>
        <v>19.05</v>
      </c>
      <c r="E9351">
        <v>20.92</v>
      </c>
      <c r="F9351" s="1789">
        <v>8.8999999999999996E-2</v>
      </c>
      <c r="G9351">
        <f t="shared" si="293"/>
        <v>19.05</v>
      </c>
    </row>
    <row r="9352" spans="1:7" ht="12.75" customHeight="1">
      <c r="A9352" s="3">
        <v>94680</v>
      </c>
      <c r="B9352" s="4" t="s">
        <v>9376</v>
      </c>
      <c r="C9352" s="3" t="s">
        <v>6</v>
      </c>
      <c r="D9352" s="5">
        <f t="shared" si="292"/>
        <v>34.54</v>
      </c>
      <c r="E9352">
        <v>37.92</v>
      </c>
      <c r="F9352" s="1789">
        <v>8.8999999999999996E-2</v>
      </c>
      <c r="G9352">
        <f t="shared" si="293"/>
        <v>34.54</v>
      </c>
    </row>
    <row r="9353" spans="1:7" ht="12.75" customHeight="1">
      <c r="A9353" s="3">
        <v>94681</v>
      </c>
      <c r="B9353" s="4" t="s">
        <v>9377</v>
      </c>
      <c r="C9353" s="3" t="s">
        <v>6</v>
      </c>
      <c r="D9353" s="5">
        <f t="shared" si="292"/>
        <v>38.58</v>
      </c>
      <c r="E9353">
        <v>42.35</v>
      </c>
      <c r="F9353" s="1789">
        <v>8.8999999999999996E-2</v>
      </c>
      <c r="G9353">
        <f t="shared" si="293"/>
        <v>38.58</v>
      </c>
    </row>
    <row r="9354" spans="1:7" ht="12.75" customHeight="1">
      <c r="A9354" s="3">
        <v>94682</v>
      </c>
      <c r="B9354" s="4" t="s">
        <v>9378</v>
      </c>
      <c r="C9354" s="3" t="s">
        <v>6</v>
      </c>
      <c r="D9354" s="5">
        <f t="shared" si="292"/>
        <v>84.44</v>
      </c>
      <c r="E9354">
        <v>92.69</v>
      </c>
      <c r="F9354" s="1789">
        <v>8.8999999999999996E-2</v>
      </c>
      <c r="G9354">
        <f t="shared" si="293"/>
        <v>84.44</v>
      </c>
    </row>
    <row r="9355" spans="1:7" ht="12.75" customHeight="1">
      <c r="A9355" s="3">
        <v>94683</v>
      </c>
      <c r="B9355" s="4" t="s">
        <v>9379</v>
      </c>
      <c r="C9355" s="3" t="s">
        <v>6</v>
      </c>
      <c r="D9355" s="5">
        <f t="shared" si="292"/>
        <v>58.58</v>
      </c>
      <c r="E9355">
        <v>64.31</v>
      </c>
      <c r="F9355" s="1789">
        <v>8.8999999999999996E-2</v>
      </c>
      <c r="G9355">
        <f t="shared" si="293"/>
        <v>58.58</v>
      </c>
    </row>
    <row r="9356" spans="1:7" ht="12.75" customHeight="1">
      <c r="A9356" s="3">
        <v>94684</v>
      </c>
      <c r="B9356" s="4" t="s">
        <v>9380</v>
      </c>
      <c r="C9356" s="3" t="s">
        <v>6</v>
      </c>
      <c r="D9356" s="5">
        <f t="shared" si="292"/>
        <v>101.98</v>
      </c>
      <c r="E9356">
        <v>111.95</v>
      </c>
      <c r="F9356" s="1789">
        <v>8.8999999999999996E-2</v>
      </c>
      <c r="G9356">
        <f t="shared" si="293"/>
        <v>101.98</v>
      </c>
    </row>
    <row r="9357" spans="1:7" ht="12.75" customHeight="1">
      <c r="A9357" s="3">
        <v>94685</v>
      </c>
      <c r="B9357" s="4" t="s">
        <v>9381</v>
      </c>
      <c r="C9357" s="3" t="s">
        <v>6</v>
      </c>
      <c r="D9357" s="5">
        <f t="shared" si="292"/>
        <v>74.569999999999993</v>
      </c>
      <c r="E9357">
        <v>81.86</v>
      </c>
      <c r="F9357" s="1789">
        <v>8.8999999999999996E-2</v>
      </c>
      <c r="G9357">
        <f t="shared" si="293"/>
        <v>74.569999999999993</v>
      </c>
    </row>
    <row r="9358" spans="1:7" ht="12.75" customHeight="1">
      <c r="A9358" s="3">
        <v>94686</v>
      </c>
      <c r="B9358" s="4" t="s">
        <v>9382</v>
      </c>
      <c r="C9358" s="3" t="s">
        <v>6</v>
      </c>
      <c r="D9358" s="5">
        <f t="shared" si="292"/>
        <v>195.56</v>
      </c>
      <c r="E9358">
        <v>214.67</v>
      </c>
      <c r="F9358" s="1789">
        <v>8.8999999999999996E-2</v>
      </c>
      <c r="G9358">
        <f t="shared" si="293"/>
        <v>195.56</v>
      </c>
    </row>
    <row r="9359" spans="1:7" ht="12.75" customHeight="1">
      <c r="A9359" s="3">
        <v>94687</v>
      </c>
      <c r="B9359" s="4" t="s">
        <v>9383</v>
      </c>
      <c r="C9359" s="3" t="s">
        <v>6</v>
      </c>
      <c r="D9359" s="5">
        <f t="shared" si="292"/>
        <v>177.37</v>
      </c>
      <c r="E9359">
        <v>194.7</v>
      </c>
      <c r="F9359" s="1789">
        <v>8.8999999999999996E-2</v>
      </c>
      <c r="G9359">
        <f t="shared" si="293"/>
        <v>177.37</v>
      </c>
    </row>
    <row r="9360" spans="1:7" ht="12.75" customHeight="1">
      <c r="A9360" s="3">
        <v>94688</v>
      </c>
      <c r="B9360" s="4" t="s">
        <v>9384</v>
      </c>
      <c r="C9360" s="3" t="s">
        <v>6</v>
      </c>
      <c r="D9360" s="5">
        <f t="shared" si="292"/>
        <v>5.87</v>
      </c>
      <c r="E9360">
        <v>6.45</v>
      </c>
      <c r="F9360" s="1789">
        <v>8.8999999999999996E-2</v>
      </c>
      <c r="G9360">
        <f t="shared" si="293"/>
        <v>5.87</v>
      </c>
    </row>
    <row r="9361" spans="1:7" ht="12.75" customHeight="1">
      <c r="A9361" s="3">
        <v>94689</v>
      </c>
      <c r="B9361" s="4" t="s">
        <v>9385</v>
      </c>
      <c r="C9361" s="3" t="s">
        <v>6</v>
      </c>
      <c r="D9361" s="5">
        <f t="shared" si="292"/>
        <v>7.73</v>
      </c>
      <c r="E9361">
        <v>8.49</v>
      </c>
      <c r="F9361" s="1789">
        <v>8.8999999999999996E-2</v>
      </c>
      <c r="G9361">
        <f t="shared" si="293"/>
        <v>7.73</v>
      </c>
    </row>
    <row r="9362" spans="1:7" ht="12.75" customHeight="1">
      <c r="A9362" s="3">
        <v>94690</v>
      </c>
      <c r="B9362" s="4" t="s">
        <v>9386</v>
      </c>
      <c r="C9362" s="3" t="s">
        <v>6</v>
      </c>
      <c r="D9362" s="5">
        <f t="shared" si="292"/>
        <v>9.5</v>
      </c>
      <c r="E9362">
        <v>10.43</v>
      </c>
      <c r="F9362" s="1789">
        <v>8.8999999999999996E-2</v>
      </c>
      <c r="G9362">
        <f t="shared" si="293"/>
        <v>9.5</v>
      </c>
    </row>
    <row r="9363" spans="1:7" ht="12.75" customHeight="1">
      <c r="A9363" s="3">
        <v>94691</v>
      </c>
      <c r="B9363" s="4" t="s">
        <v>9387</v>
      </c>
      <c r="C9363" s="3" t="s">
        <v>6</v>
      </c>
      <c r="D9363" s="5">
        <f t="shared" si="292"/>
        <v>11.15</v>
      </c>
      <c r="E9363">
        <v>12.25</v>
      </c>
      <c r="F9363" s="1789">
        <v>8.8999999999999996E-2</v>
      </c>
      <c r="G9363">
        <f t="shared" si="293"/>
        <v>11.15</v>
      </c>
    </row>
    <row r="9364" spans="1:7" ht="12.75" customHeight="1">
      <c r="A9364" s="3">
        <v>94692</v>
      </c>
      <c r="B9364" s="4" t="s">
        <v>9388</v>
      </c>
      <c r="C9364" s="3" t="s">
        <v>6</v>
      </c>
      <c r="D9364" s="5">
        <f t="shared" si="292"/>
        <v>15.82</v>
      </c>
      <c r="E9364">
        <v>17.37</v>
      </c>
      <c r="F9364" s="1789">
        <v>8.8999999999999996E-2</v>
      </c>
      <c r="G9364">
        <f t="shared" si="293"/>
        <v>15.82</v>
      </c>
    </row>
    <row r="9365" spans="1:7" ht="12.75" customHeight="1">
      <c r="A9365" s="3">
        <v>94693</v>
      </c>
      <c r="B9365" s="4" t="s">
        <v>9389</v>
      </c>
      <c r="C9365" s="3" t="s">
        <v>6</v>
      </c>
      <c r="D9365" s="5">
        <f t="shared" ref="D9365:D9428" si="294">G9365</f>
        <v>14.6</v>
      </c>
      <c r="E9365">
        <v>16.03</v>
      </c>
      <c r="F9365" s="1789">
        <v>8.8999999999999996E-2</v>
      </c>
      <c r="G9365">
        <f t="shared" ref="G9365:G9428" si="295">TRUNC((1-F9365)*E9365,2)</f>
        <v>14.6</v>
      </c>
    </row>
    <row r="9366" spans="1:7" ht="12.75" customHeight="1">
      <c r="A9366" s="3">
        <v>94694</v>
      </c>
      <c r="B9366" s="4" t="s">
        <v>9390</v>
      </c>
      <c r="C9366" s="3" t="s">
        <v>6</v>
      </c>
      <c r="D9366" s="5">
        <f t="shared" si="294"/>
        <v>19.850000000000001</v>
      </c>
      <c r="E9366">
        <v>21.79</v>
      </c>
      <c r="F9366" s="1789">
        <v>8.8999999999999996E-2</v>
      </c>
      <c r="G9366">
        <f t="shared" si="295"/>
        <v>19.850000000000001</v>
      </c>
    </row>
    <row r="9367" spans="1:7" ht="12.75" customHeight="1">
      <c r="A9367" s="3">
        <v>94695</v>
      </c>
      <c r="B9367" s="4" t="s">
        <v>9391</v>
      </c>
      <c r="C9367" s="3" t="s">
        <v>6</v>
      </c>
      <c r="D9367" s="5">
        <f t="shared" si="294"/>
        <v>25.21</v>
      </c>
      <c r="E9367">
        <v>27.68</v>
      </c>
      <c r="F9367" s="1789">
        <v>8.8999999999999996E-2</v>
      </c>
      <c r="G9367">
        <f t="shared" si="295"/>
        <v>25.21</v>
      </c>
    </row>
    <row r="9368" spans="1:7" ht="12.75" customHeight="1">
      <c r="A9368" s="3">
        <v>94696</v>
      </c>
      <c r="B9368" s="4" t="s">
        <v>9392</v>
      </c>
      <c r="C9368" s="3" t="s">
        <v>6</v>
      </c>
      <c r="D9368" s="5">
        <f t="shared" si="294"/>
        <v>40.729999999999997</v>
      </c>
      <c r="E9368">
        <v>44.72</v>
      </c>
      <c r="F9368" s="1789">
        <v>8.8999999999999996E-2</v>
      </c>
      <c r="G9368">
        <f t="shared" si="295"/>
        <v>40.729999999999997</v>
      </c>
    </row>
    <row r="9369" spans="1:7" ht="12.75" customHeight="1">
      <c r="A9369" s="3">
        <v>94697</v>
      </c>
      <c r="B9369" s="4" t="s">
        <v>9393</v>
      </c>
      <c r="C9369" s="3" t="s">
        <v>6</v>
      </c>
      <c r="D9369" s="5">
        <f t="shared" si="294"/>
        <v>69.39</v>
      </c>
      <c r="E9369">
        <v>76.180000000000007</v>
      </c>
      <c r="F9369" s="1789">
        <v>8.8999999999999996E-2</v>
      </c>
      <c r="G9369">
        <f t="shared" si="295"/>
        <v>69.39</v>
      </c>
    </row>
    <row r="9370" spans="1:7" ht="12.75" customHeight="1">
      <c r="A9370" s="3">
        <v>94698</v>
      </c>
      <c r="B9370" s="4" t="s">
        <v>9394</v>
      </c>
      <c r="C9370" s="3" t="s">
        <v>6</v>
      </c>
      <c r="D9370" s="5">
        <f t="shared" si="294"/>
        <v>53.73</v>
      </c>
      <c r="E9370">
        <v>58.99</v>
      </c>
      <c r="F9370" s="1789">
        <v>8.8999999999999996E-2</v>
      </c>
      <c r="G9370">
        <f t="shared" si="295"/>
        <v>53.73</v>
      </c>
    </row>
    <row r="9371" spans="1:7" ht="12.75" customHeight="1">
      <c r="A9371" s="3">
        <v>94699</v>
      </c>
      <c r="B9371" s="4" t="s">
        <v>9395</v>
      </c>
      <c r="C9371" s="3" t="s">
        <v>6</v>
      </c>
      <c r="D9371" s="5">
        <f t="shared" si="294"/>
        <v>91.77</v>
      </c>
      <c r="E9371">
        <v>100.74</v>
      </c>
      <c r="F9371" s="1789">
        <v>8.8999999999999996E-2</v>
      </c>
      <c r="G9371">
        <f t="shared" si="295"/>
        <v>91.77</v>
      </c>
    </row>
    <row r="9372" spans="1:7" ht="12.75" customHeight="1">
      <c r="A9372" s="3">
        <v>94700</v>
      </c>
      <c r="B9372" s="4" t="s">
        <v>9396</v>
      </c>
      <c r="C9372" s="3" t="s">
        <v>6</v>
      </c>
      <c r="D9372" s="5">
        <f t="shared" si="294"/>
        <v>102.98</v>
      </c>
      <c r="E9372">
        <v>113.05</v>
      </c>
      <c r="F9372" s="1789">
        <v>8.8999999999999996E-2</v>
      </c>
      <c r="G9372">
        <f t="shared" si="295"/>
        <v>102.98</v>
      </c>
    </row>
    <row r="9373" spans="1:7" ht="12.75" customHeight="1">
      <c r="A9373" s="3">
        <v>94701</v>
      </c>
      <c r="B9373" s="4" t="s">
        <v>9397</v>
      </c>
      <c r="C9373" s="3" t="s">
        <v>6</v>
      </c>
      <c r="D9373" s="5">
        <f t="shared" si="294"/>
        <v>177.75</v>
      </c>
      <c r="E9373">
        <v>195.12</v>
      </c>
      <c r="F9373" s="1789">
        <v>8.8999999999999996E-2</v>
      </c>
      <c r="G9373">
        <f t="shared" si="295"/>
        <v>177.75</v>
      </c>
    </row>
    <row r="9374" spans="1:7" ht="12.75" customHeight="1">
      <c r="A9374" s="3">
        <v>94702</v>
      </c>
      <c r="B9374" s="4" t="s">
        <v>9398</v>
      </c>
      <c r="C9374" s="3" t="s">
        <v>6</v>
      </c>
      <c r="D9374" s="5">
        <f t="shared" si="294"/>
        <v>147.97</v>
      </c>
      <c r="E9374">
        <v>162.43</v>
      </c>
      <c r="F9374" s="1789">
        <v>8.8999999999999996E-2</v>
      </c>
      <c r="G9374">
        <f t="shared" si="295"/>
        <v>147.97</v>
      </c>
    </row>
    <row r="9375" spans="1:7" ht="12.75" customHeight="1">
      <c r="A9375" s="3">
        <v>94703</v>
      </c>
      <c r="B9375" s="4" t="s">
        <v>9399</v>
      </c>
      <c r="C9375" s="3" t="s">
        <v>6</v>
      </c>
      <c r="D9375" s="5">
        <f t="shared" si="294"/>
        <v>15.84</v>
      </c>
      <c r="E9375">
        <v>17.39</v>
      </c>
      <c r="F9375" s="1789">
        <v>8.8999999999999996E-2</v>
      </c>
      <c r="G9375">
        <f t="shared" si="295"/>
        <v>15.84</v>
      </c>
    </row>
    <row r="9376" spans="1:7" ht="12.75" customHeight="1">
      <c r="A9376" s="3">
        <v>94704</v>
      </c>
      <c r="B9376" s="4" t="s">
        <v>9400</v>
      </c>
      <c r="C9376" s="3" t="s">
        <v>6</v>
      </c>
      <c r="D9376" s="5">
        <f t="shared" si="294"/>
        <v>21.08</v>
      </c>
      <c r="E9376">
        <v>23.14</v>
      </c>
      <c r="F9376" s="1789">
        <v>8.8999999999999996E-2</v>
      </c>
      <c r="G9376">
        <f t="shared" si="295"/>
        <v>21.08</v>
      </c>
    </row>
    <row r="9377" spans="1:7" ht="12.75" customHeight="1">
      <c r="A9377" s="3">
        <v>94705</v>
      </c>
      <c r="B9377" s="4" t="s">
        <v>9401</v>
      </c>
      <c r="C9377" s="3" t="s">
        <v>6</v>
      </c>
      <c r="D9377" s="5">
        <f t="shared" si="294"/>
        <v>28.69</v>
      </c>
      <c r="E9377">
        <v>31.5</v>
      </c>
      <c r="F9377" s="1789">
        <v>8.8999999999999996E-2</v>
      </c>
      <c r="G9377">
        <f t="shared" si="295"/>
        <v>28.69</v>
      </c>
    </row>
    <row r="9378" spans="1:7" ht="12.75" customHeight="1">
      <c r="A9378" s="3">
        <v>94706</v>
      </c>
      <c r="B9378" s="4" t="s">
        <v>9402</v>
      </c>
      <c r="C9378" s="3" t="s">
        <v>6</v>
      </c>
      <c r="D9378" s="5">
        <f t="shared" si="294"/>
        <v>28.21</v>
      </c>
      <c r="E9378">
        <v>30.97</v>
      </c>
      <c r="F9378" s="1789">
        <v>8.8999999999999996E-2</v>
      </c>
      <c r="G9378">
        <f t="shared" si="295"/>
        <v>28.21</v>
      </c>
    </row>
    <row r="9379" spans="1:7" ht="12.75" customHeight="1">
      <c r="A9379" s="3">
        <v>94707</v>
      </c>
      <c r="B9379" s="4" t="s">
        <v>9403</v>
      </c>
      <c r="C9379" s="3" t="s">
        <v>6</v>
      </c>
      <c r="D9379" s="5">
        <f t="shared" si="294"/>
        <v>44.26</v>
      </c>
      <c r="E9379">
        <v>48.59</v>
      </c>
      <c r="F9379" s="1789">
        <v>8.8999999999999996E-2</v>
      </c>
      <c r="G9379">
        <f t="shared" si="295"/>
        <v>44.26</v>
      </c>
    </row>
    <row r="9380" spans="1:7" ht="12.75" customHeight="1">
      <c r="A9380" s="3">
        <v>94713</v>
      </c>
      <c r="B9380" s="4" t="s">
        <v>9404</v>
      </c>
      <c r="C9380" s="3" t="s">
        <v>6</v>
      </c>
      <c r="D9380" s="5">
        <f t="shared" si="294"/>
        <v>181.68</v>
      </c>
      <c r="E9380">
        <v>199.44</v>
      </c>
      <c r="F9380" s="1789">
        <v>8.8999999999999996E-2</v>
      </c>
      <c r="G9380">
        <f t="shared" si="295"/>
        <v>181.68</v>
      </c>
    </row>
    <row r="9381" spans="1:7" ht="12.75" customHeight="1">
      <c r="A9381" s="3">
        <v>94714</v>
      </c>
      <c r="B9381" s="4" t="s">
        <v>9405</v>
      </c>
      <c r="C9381" s="3" t="s">
        <v>6</v>
      </c>
      <c r="D9381" s="5">
        <f t="shared" si="294"/>
        <v>254.67</v>
      </c>
      <c r="E9381">
        <v>279.55</v>
      </c>
      <c r="F9381" s="1789">
        <v>8.8999999999999996E-2</v>
      </c>
      <c r="G9381">
        <f t="shared" si="295"/>
        <v>254.67</v>
      </c>
    </row>
    <row r="9382" spans="1:7" ht="12.75" customHeight="1">
      <c r="A9382" s="3">
        <v>94715</v>
      </c>
      <c r="B9382" s="4" t="s">
        <v>9406</v>
      </c>
      <c r="C9382" s="3" t="s">
        <v>6</v>
      </c>
      <c r="D9382" s="5">
        <f t="shared" si="294"/>
        <v>226.93</v>
      </c>
      <c r="E9382">
        <v>249.11</v>
      </c>
      <c r="F9382" s="1789">
        <v>8.8999999999999996E-2</v>
      </c>
      <c r="G9382">
        <f t="shared" si="295"/>
        <v>226.93</v>
      </c>
    </row>
    <row r="9383" spans="1:7" ht="12.75" customHeight="1">
      <c r="A9383" s="3">
        <v>94724</v>
      </c>
      <c r="B9383" s="4" t="s">
        <v>9407</v>
      </c>
      <c r="C9383" s="3" t="s">
        <v>6</v>
      </c>
      <c r="D9383" s="5">
        <f t="shared" si="294"/>
        <v>22.61</v>
      </c>
      <c r="E9383">
        <v>24.82</v>
      </c>
      <c r="F9383" s="1789">
        <v>8.8999999999999996E-2</v>
      </c>
      <c r="G9383">
        <f t="shared" si="295"/>
        <v>22.61</v>
      </c>
    </row>
    <row r="9384" spans="1:7" ht="12.75" customHeight="1">
      <c r="A9384" s="3">
        <v>94725</v>
      </c>
      <c r="B9384" s="4" t="s">
        <v>9408</v>
      </c>
      <c r="C9384" s="3" t="s">
        <v>6</v>
      </c>
      <c r="D9384" s="5">
        <f t="shared" si="294"/>
        <v>6.43</v>
      </c>
      <c r="E9384">
        <v>7.06</v>
      </c>
      <c r="F9384" s="1789">
        <v>8.8999999999999996E-2</v>
      </c>
      <c r="G9384">
        <f t="shared" si="295"/>
        <v>6.43</v>
      </c>
    </row>
    <row r="9385" spans="1:7" ht="12.75" customHeight="1">
      <c r="A9385" s="3">
        <v>94726</v>
      </c>
      <c r="B9385" s="4" t="s">
        <v>9409</v>
      </c>
      <c r="C9385" s="3" t="s">
        <v>6</v>
      </c>
      <c r="D9385" s="5">
        <f t="shared" si="294"/>
        <v>29.14</v>
      </c>
      <c r="E9385">
        <v>31.99</v>
      </c>
      <c r="F9385" s="1789">
        <v>8.8999999999999996E-2</v>
      </c>
      <c r="G9385">
        <f t="shared" si="295"/>
        <v>29.14</v>
      </c>
    </row>
    <row r="9386" spans="1:7" ht="12.75" customHeight="1">
      <c r="A9386" s="3">
        <v>94727</v>
      </c>
      <c r="B9386" s="4" t="s">
        <v>9410</v>
      </c>
      <c r="C9386" s="3" t="s">
        <v>6</v>
      </c>
      <c r="D9386" s="5">
        <f t="shared" si="294"/>
        <v>10.35</v>
      </c>
      <c r="E9386">
        <v>11.37</v>
      </c>
      <c r="F9386" s="1789">
        <v>8.8999999999999996E-2</v>
      </c>
      <c r="G9386">
        <f t="shared" si="295"/>
        <v>10.35</v>
      </c>
    </row>
    <row r="9387" spans="1:7" ht="12.75" customHeight="1">
      <c r="A9387" s="3">
        <v>94728</v>
      </c>
      <c r="B9387" s="4" t="s">
        <v>9411</v>
      </c>
      <c r="C9387" s="3" t="s">
        <v>6</v>
      </c>
      <c r="D9387" s="5">
        <f t="shared" si="294"/>
        <v>45.43</v>
      </c>
      <c r="E9387">
        <v>49.87</v>
      </c>
      <c r="F9387" s="1789">
        <v>8.8999999999999996E-2</v>
      </c>
      <c r="G9387">
        <f t="shared" si="295"/>
        <v>45.43</v>
      </c>
    </row>
    <row r="9388" spans="1:7" ht="12.75" customHeight="1">
      <c r="A9388" s="3">
        <v>94729</v>
      </c>
      <c r="B9388" s="4" t="s">
        <v>9412</v>
      </c>
      <c r="C9388" s="3" t="s">
        <v>6</v>
      </c>
      <c r="D9388" s="5">
        <f t="shared" si="294"/>
        <v>17.68</v>
      </c>
      <c r="E9388">
        <v>19.41</v>
      </c>
      <c r="F9388" s="1789">
        <v>8.8999999999999996E-2</v>
      </c>
      <c r="G9388">
        <f t="shared" si="295"/>
        <v>17.68</v>
      </c>
    </row>
    <row r="9389" spans="1:7" ht="12.75" customHeight="1">
      <c r="A9389" s="3">
        <v>94730</v>
      </c>
      <c r="B9389" s="4" t="s">
        <v>9413</v>
      </c>
      <c r="C9389" s="3" t="s">
        <v>6</v>
      </c>
      <c r="D9389" s="5">
        <f t="shared" si="294"/>
        <v>55.68</v>
      </c>
      <c r="E9389">
        <v>61.12</v>
      </c>
      <c r="F9389" s="1789">
        <v>8.8999999999999996E-2</v>
      </c>
      <c r="G9389">
        <f t="shared" si="295"/>
        <v>55.68</v>
      </c>
    </row>
    <row r="9390" spans="1:7" ht="12.75" customHeight="1">
      <c r="A9390" s="3">
        <v>94731</v>
      </c>
      <c r="B9390" s="4" t="s">
        <v>9414</v>
      </c>
      <c r="C9390" s="3" t="s">
        <v>6</v>
      </c>
      <c r="D9390" s="5">
        <f t="shared" si="294"/>
        <v>23.35</v>
      </c>
      <c r="E9390">
        <v>25.64</v>
      </c>
      <c r="F9390" s="1789">
        <v>8.8999999999999996E-2</v>
      </c>
      <c r="G9390">
        <f t="shared" si="295"/>
        <v>23.35</v>
      </c>
    </row>
    <row r="9391" spans="1:7" ht="12.75" customHeight="1">
      <c r="A9391" s="3">
        <v>94732</v>
      </c>
      <c r="B9391" s="4" t="s">
        <v>9415</v>
      </c>
      <c r="C9391" s="3" t="s">
        <v>6</v>
      </c>
      <c r="D9391" s="5">
        <f t="shared" si="294"/>
        <v>89.14</v>
      </c>
      <c r="E9391">
        <v>97.85</v>
      </c>
      <c r="F9391" s="1789">
        <v>8.8999999999999996E-2</v>
      </c>
      <c r="G9391">
        <f t="shared" si="295"/>
        <v>89.14</v>
      </c>
    </row>
    <row r="9392" spans="1:7" ht="12.75" customHeight="1">
      <c r="A9392" s="3">
        <v>94733</v>
      </c>
      <c r="B9392" s="4" t="s">
        <v>9416</v>
      </c>
      <c r="C9392" s="3" t="s">
        <v>6</v>
      </c>
      <c r="D9392" s="5">
        <f t="shared" si="294"/>
        <v>40.53</v>
      </c>
      <c r="E9392">
        <v>44.5</v>
      </c>
      <c r="F9392" s="1789">
        <v>8.8999999999999996E-2</v>
      </c>
      <c r="G9392">
        <f t="shared" si="295"/>
        <v>40.53</v>
      </c>
    </row>
    <row r="9393" spans="1:7" ht="12.75" customHeight="1">
      <c r="A9393" s="3">
        <v>94734</v>
      </c>
      <c r="B9393" s="4" t="s">
        <v>9417</v>
      </c>
      <c r="C9393" s="3" t="s">
        <v>6</v>
      </c>
      <c r="D9393" s="5">
        <f t="shared" si="294"/>
        <v>324.25</v>
      </c>
      <c r="E9393">
        <v>355.93</v>
      </c>
      <c r="F9393" s="1789">
        <v>8.8999999999999996E-2</v>
      </c>
      <c r="G9393">
        <f t="shared" si="295"/>
        <v>324.25</v>
      </c>
    </row>
    <row r="9394" spans="1:7" ht="12.75" customHeight="1">
      <c r="A9394" s="3">
        <v>94736</v>
      </c>
      <c r="B9394" s="4" t="s">
        <v>9418</v>
      </c>
      <c r="C9394" s="3" t="s">
        <v>6</v>
      </c>
      <c r="D9394" s="5">
        <f t="shared" si="294"/>
        <v>471.6</v>
      </c>
      <c r="E9394">
        <v>517.67999999999995</v>
      </c>
      <c r="F9394" s="1789">
        <v>8.8999999999999996E-2</v>
      </c>
      <c r="G9394">
        <f t="shared" si="295"/>
        <v>471.6</v>
      </c>
    </row>
    <row r="9395" spans="1:7" ht="12.75" customHeight="1">
      <c r="A9395" s="3">
        <v>94737</v>
      </c>
      <c r="B9395" s="4" t="s">
        <v>9419</v>
      </c>
      <c r="C9395" s="3" t="s">
        <v>6</v>
      </c>
      <c r="D9395" s="5">
        <f t="shared" si="294"/>
        <v>165.93</v>
      </c>
      <c r="E9395">
        <v>182.15</v>
      </c>
      <c r="F9395" s="1789">
        <v>8.8999999999999996E-2</v>
      </c>
      <c r="G9395">
        <f t="shared" si="295"/>
        <v>165.93</v>
      </c>
    </row>
    <row r="9396" spans="1:7" ht="12.75" customHeight="1">
      <c r="A9396" s="3">
        <v>94738</v>
      </c>
      <c r="B9396" s="4" t="s">
        <v>9420</v>
      </c>
      <c r="C9396" s="3" t="s">
        <v>6</v>
      </c>
      <c r="D9396" s="5">
        <f t="shared" si="294"/>
        <v>1419.74</v>
      </c>
      <c r="E9396">
        <v>1558.45</v>
      </c>
      <c r="F9396" s="1789">
        <v>8.8999999999999996E-2</v>
      </c>
      <c r="G9396">
        <f t="shared" si="295"/>
        <v>1419.74</v>
      </c>
    </row>
    <row r="9397" spans="1:7" ht="12.75" customHeight="1">
      <c r="A9397" s="3">
        <v>94739</v>
      </c>
      <c r="B9397" s="4" t="s">
        <v>9421</v>
      </c>
      <c r="C9397" s="3" t="s">
        <v>6</v>
      </c>
      <c r="D9397" s="5">
        <f t="shared" si="294"/>
        <v>204.76</v>
      </c>
      <c r="E9397">
        <v>224.77</v>
      </c>
      <c r="F9397" s="1789">
        <v>8.8999999999999996E-2</v>
      </c>
      <c r="G9397">
        <f t="shared" si="295"/>
        <v>204.76</v>
      </c>
    </row>
    <row r="9398" spans="1:7" ht="12.75" customHeight="1">
      <c r="A9398" s="3">
        <v>94740</v>
      </c>
      <c r="B9398" s="4" t="s">
        <v>9422</v>
      </c>
      <c r="C9398" s="3" t="s">
        <v>6</v>
      </c>
      <c r="D9398" s="5">
        <f t="shared" si="294"/>
        <v>8.86</v>
      </c>
      <c r="E9398">
        <v>9.73</v>
      </c>
      <c r="F9398" s="1789">
        <v>8.8999999999999996E-2</v>
      </c>
      <c r="G9398">
        <f t="shared" si="295"/>
        <v>8.86</v>
      </c>
    </row>
    <row r="9399" spans="1:7" ht="12.75" customHeight="1">
      <c r="A9399" s="3">
        <v>94741</v>
      </c>
      <c r="B9399" s="4" t="s">
        <v>9423</v>
      </c>
      <c r="C9399" s="3" t="s">
        <v>6</v>
      </c>
      <c r="D9399" s="5">
        <f t="shared" si="294"/>
        <v>11.4</v>
      </c>
      <c r="E9399">
        <v>12.52</v>
      </c>
      <c r="F9399" s="1789">
        <v>8.8999999999999996E-2</v>
      </c>
      <c r="G9399">
        <f t="shared" si="295"/>
        <v>11.4</v>
      </c>
    </row>
    <row r="9400" spans="1:7" ht="12.75" customHeight="1">
      <c r="A9400" s="3">
        <v>94742</v>
      </c>
      <c r="B9400" s="4" t="s">
        <v>9424</v>
      </c>
      <c r="C9400" s="3" t="s">
        <v>6</v>
      </c>
      <c r="D9400" s="5">
        <f t="shared" si="294"/>
        <v>14.71</v>
      </c>
      <c r="E9400">
        <v>16.149999999999999</v>
      </c>
      <c r="F9400" s="1789">
        <v>8.8999999999999996E-2</v>
      </c>
      <c r="G9400">
        <f t="shared" si="295"/>
        <v>14.71</v>
      </c>
    </row>
    <row r="9401" spans="1:7" ht="12.75" customHeight="1">
      <c r="A9401" s="3">
        <v>94743</v>
      </c>
      <c r="B9401" s="4" t="s">
        <v>9425</v>
      </c>
      <c r="C9401" s="3" t="s">
        <v>6</v>
      </c>
      <c r="D9401" s="5">
        <f t="shared" si="294"/>
        <v>18.52</v>
      </c>
      <c r="E9401">
        <v>20.34</v>
      </c>
      <c r="F9401" s="1789">
        <v>8.8999999999999996E-2</v>
      </c>
      <c r="G9401">
        <f t="shared" si="295"/>
        <v>18.52</v>
      </c>
    </row>
    <row r="9402" spans="1:7" ht="12.75" customHeight="1">
      <c r="A9402" s="3">
        <v>94744</v>
      </c>
      <c r="B9402" s="4" t="s">
        <v>9426</v>
      </c>
      <c r="C9402" s="3" t="s">
        <v>6</v>
      </c>
      <c r="D9402" s="5">
        <f t="shared" si="294"/>
        <v>23.05</v>
      </c>
      <c r="E9402">
        <v>25.31</v>
      </c>
      <c r="F9402" s="1789">
        <v>8.8999999999999996E-2</v>
      </c>
      <c r="G9402">
        <f t="shared" si="295"/>
        <v>23.05</v>
      </c>
    </row>
    <row r="9403" spans="1:7" ht="12.75" customHeight="1">
      <c r="A9403" s="3">
        <v>94746</v>
      </c>
      <c r="B9403" s="4" t="s">
        <v>9427</v>
      </c>
      <c r="C9403" s="3" t="s">
        <v>6</v>
      </c>
      <c r="D9403" s="5">
        <f t="shared" si="294"/>
        <v>32.979999999999997</v>
      </c>
      <c r="E9403">
        <v>36.21</v>
      </c>
      <c r="F9403" s="1789">
        <v>8.8999999999999996E-2</v>
      </c>
      <c r="G9403">
        <f t="shared" si="295"/>
        <v>32.979999999999997</v>
      </c>
    </row>
    <row r="9404" spans="1:7" ht="12.75" customHeight="1">
      <c r="A9404" s="3">
        <v>94748</v>
      </c>
      <c r="B9404" s="4" t="s">
        <v>9428</v>
      </c>
      <c r="C9404" s="3" t="s">
        <v>6</v>
      </c>
      <c r="D9404" s="5">
        <f t="shared" si="294"/>
        <v>71.84</v>
      </c>
      <c r="E9404">
        <v>78.86</v>
      </c>
      <c r="F9404" s="1789">
        <v>8.8999999999999996E-2</v>
      </c>
      <c r="G9404">
        <f t="shared" si="295"/>
        <v>71.84</v>
      </c>
    </row>
    <row r="9405" spans="1:7" ht="12.75" customHeight="1">
      <c r="A9405" s="3">
        <v>94750</v>
      </c>
      <c r="B9405" s="4" t="s">
        <v>9429</v>
      </c>
      <c r="C9405" s="3" t="s">
        <v>6</v>
      </c>
      <c r="D9405" s="5">
        <f t="shared" si="294"/>
        <v>144.36000000000001</v>
      </c>
      <c r="E9405">
        <v>158.47</v>
      </c>
      <c r="F9405" s="1789">
        <v>8.8999999999999996E-2</v>
      </c>
      <c r="G9405">
        <f t="shared" si="295"/>
        <v>144.36000000000001</v>
      </c>
    </row>
    <row r="9406" spans="1:7" ht="12.75" customHeight="1">
      <c r="A9406" s="3">
        <v>94752</v>
      </c>
      <c r="B9406" s="4" t="s">
        <v>9430</v>
      </c>
      <c r="C9406" s="3" t="s">
        <v>6</v>
      </c>
      <c r="D9406" s="5">
        <f t="shared" si="294"/>
        <v>173.99</v>
      </c>
      <c r="E9406">
        <v>190.99</v>
      </c>
      <c r="F9406" s="1789">
        <v>8.8999999999999996E-2</v>
      </c>
      <c r="G9406">
        <f t="shared" si="295"/>
        <v>173.99</v>
      </c>
    </row>
    <row r="9407" spans="1:7" ht="12.75" customHeight="1">
      <c r="A9407" s="3">
        <v>94754</v>
      </c>
      <c r="B9407" s="4" t="s">
        <v>9431</v>
      </c>
      <c r="C9407" s="3" t="s">
        <v>6</v>
      </c>
      <c r="D9407" s="5">
        <f t="shared" si="294"/>
        <v>249.6</v>
      </c>
      <c r="E9407">
        <v>273.99</v>
      </c>
      <c r="F9407" s="1789">
        <v>8.8999999999999996E-2</v>
      </c>
      <c r="G9407">
        <f t="shared" si="295"/>
        <v>249.6</v>
      </c>
    </row>
    <row r="9408" spans="1:7" ht="12.75" customHeight="1">
      <c r="A9408" s="3">
        <v>94756</v>
      </c>
      <c r="B9408" s="4" t="s">
        <v>9432</v>
      </c>
      <c r="C9408" s="3" t="s">
        <v>6</v>
      </c>
      <c r="D9408" s="5">
        <f t="shared" si="294"/>
        <v>11.52</v>
      </c>
      <c r="E9408">
        <v>12.65</v>
      </c>
      <c r="F9408" s="1789">
        <v>8.8999999999999996E-2</v>
      </c>
      <c r="G9408">
        <f t="shared" si="295"/>
        <v>11.52</v>
      </c>
    </row>
    <row r="9409" spans="1:7" ht="12.75" customHeight="1">
      <c r="A9409" s="3">
        <v>94757</v>
      </c>
      <c r="B9409" s="4" t="s">
        <v>9433</v>
      </c>
      <c r="C9409" s="3" t="s">
        <v>6</v>
      </c>
      <c r="D9409" s="5">
        <f t="shared" si="294"/>
        <v>18.04</v>
      </c>
      <c r="E9409">
        <v>19.809999999999999</v>
      </c>
      <c r="F9409" s="1789">
        <v>8.8999999999999996E-2</v>
      </c>
      <c r="G9409">
        <f t="shared" si="295"/>
        <v>18.04</v>
      </c>
    </row>
    <row r="9410" spans="1:7" ht="12.75" customHeight="1">
      <c r="A9410" s="3">
        <v>94758</v>
      </c>
      <c r="B9410" s="4" t="s">
        <v>9434</v>
      </c>
      <c r="C9410" s="3" t="s">
        <v>6</v>
      </c>
      <c r="D9410" s="5">
        <f t="shared" si="294"/>
        <v>44.94</v>
      </c>
      <c r="E9410">
        <v>49.34</v>
      </c>
      <c r="F9410" s="1789">
        <v>8.8999999999999996E-2</v>
      </c>
      <c r="G9410">
        <f t="shared" si="295"/>
        <v>44.94</v>
      </c>
    </row>
    <row r="9411" spans="1:7" ht="12.75" customHeight="1">
      <c r="A9411" s="3">
        <v>94759</v>
      </c>
      <c r="B9411" s="4" t="s">
        <v>9435</v>
      </c>
      <c r="C9411" s="3" t="s">
        <v>6</v>
      </c>
      <c r="D9411" s="5">
        <f t="shared" si="294"/>
        <v>57.11</v>
      </c>
      <c r="E9411">
        <v>62.7</v>
      </c>
      <c r="F9411" s="1789">
        <v>8.8999999999999996E-2</v>
      </c>
      <c r="G9411">
        <f t="shared" si="295"/>
        <v>57.11</v>
      </c>
    </row>
    <row r="9412" spans="1:7" ht="12.75" customHeight="1">
      <c r="A9412" s="3">
        <v>94760</v>
      </c>
      <c r="B9412" s="4" t="s">
        <v>9436</v>
      </c>
      <c r="C9412" s="3" t="s">
        <v>6</v>
      </c>
      <c r="D9412" s="5">
        <f t="shared" si="294"/>
        <v>90.57</v>
      </c>
      <c r="E9412">
        <v>99.42</v>
      </c>
      <c r="F9412" s="1789">
        <v>8.8999999999999996E-2</v>
      </c>
      <c r="G9412">
        <f t="shared" si="295"/>
        <v>90.57</v>
      </c>
    </row>
    <row r="9413" spans="1:7" ht="12.75" customHeight="1">
      <c r="A9413" s="3">
        <v>94761</v>
      </c>
      <c r="B9413" s="4" t="s">
        <v>9437</v>
      </c>
      <c r="C9413" s="3" t="s">
        <v>6</v>
      </c>
      <c r="D9413" s="5">
        <f t="shared" si="294"/>
        <v>194.47</v>
      </c>
      <c r="E9413">
        <v>213.47</v>
      </c>
      <c r="F9413" s="1789">
        <v>8.8999999999999996E-2</v>
      </c>
      <c r="G9413">
        <f t="shared" si="295"/>
        <v>194.47</v>
      </c>
    </row>
    <row r="9414" spans="1:7" ht="12.75" customHeight="1">
      <c r="A9414" s="3">
        <v>94762</v>
      </c>
      <c r="B9414" s="4" t="s">
        <v>9438</v>
      </c>
      <c r="C9414" s="3" t="s">
        <v>6</v>
      </c>
      <c r="D9414" s="5">
        <f t="shared" si="294"/>
        <v>236.67</v>
      </c>
      <c r="E9414">
        <v>259.8</v>
      </c>
      <c r="F9414" s="1789">
        <v>8.8999999999999996E-2</v>
      </c>
      <c r="G9414">
        <f t="shared" si="295"/>
        <v>236.67</v>
      </c>
    </row>
    <row r="9415" spans="1:7" ht="12.75" customHeight="1">
      <c r="A9415" s="3">
        <v>94763</v>
      </c>
      <c r="B9415" s="4" t="s">
        <v>9439</v>
      </c>
      <c r="C9415" s="3" t="s">
        <v>6</v>
      </c>
      <c r="D9415" s="5">
        <f t="shared" si="294"/>
        <v>311.89</v>
      </c>
      <c r="E9415">
        <v>342.37</v>
      </c>
      <c r="F9415" s="1789">
        <v>8.8999999999999996E-2</v>
      </c>
      <c r="G9415">
        <f t="shared" si="295"/>
        <v>311.89</v>
      </c>
    </row>
    <row r="9416" spans="1:7" ht="12.75" customHeight="1">
      <c r="A9416" s="3">
        <v>94764</v>
      </c>
      <c r="B9416" s="4" t="s">
        <v>9440</v>
      </c>
      <c r="C9416" s="3" t="s">
        <v>6</v>
      </c>
      <c r="D9416" s="5">
        <f t="shared" si="294"/>
        <v>31.7</v>
      </c>
      <c r="E9416">
        <v>34.799999999999997</v>
      </c>
      <c r="F9416" s="1789">
        <v>8.8999999999999996E-2</v>
      </c>
      <c r="G9416">
        <f t="shared" si="295"/>
        <v>31.7</v>
      </c>
    </row>
    <row r="9417" spans="1:7" ht="12.75" customHeight="1">
      <c r="A9417" s="3">
        <v>94765</v>
      </c>
      <c r="B9417" s="4" t="s">
        <v>9441</v>
      </c>
      <c r="C9417" s="3" t="s">
        <v>6</v>
      </c>
      <c r="D9417" s="5">
        <f t="shared" si="294"/>
        <v>35.020000000000003</v>
      </c>
      <c r="E9417">
        <v>38.450000000000003</v>
      </c>
      <c r="F9417" s="1789">
        <v>8.8999999999999996E-2</v>
      </c>
      <c r="G9417">
        <f t="shared" si="295"/>
        <v>35.020000000000003</v>
      </c>
    </row>
    <row r="9418" spans="1:7" ht="12.75" customHeight="1">
      <c r="A9418" s="3">
        <v>94766</v>
      </c>
      <c r="B9418" s="4" t="s">
        <v>9442</v>
      </c>
      <c r="C9418" s="3" t="s">
        <v>6</v>
      </c>
      <c r="D9418" s="5">
        <f t="shared" si="294"/>
        <v>39.25</v>
      </c>
      <c r="E9418">
        <v>43.09</v>
      </c>
      <c r="F9418" s="1789">
        <v>8.8999999999999996E-2</v>
      </c>
      <c r="G9418">
        <f t="shared" si="295"/>
        <v>39.25</v>
      </c>
    </row>
    <row r="9419" spans="1:7" ht="12.75" customHeight="1">
      <c r="A9419" s="3">
        <v>94767</v>
      </c>
      <c r="B9419" s="4" t="s">
        <v>9443</v>
      </c>
      <c r="C9419" s="3" t="s">
        <v>6</v>
      </c>
      <c r="D9419" s="5">
        <f t="shared" si="294"/>
        <v>58.34</v>
      </c>
      <c r="E9419">
        <v>64.05</v>
      </c>
      <c r="F9419" s="1789">
        <v>8.8999999999999996E-2</v>
      </c>
      <c r="G9419">
        <f t="shared" si="295"/>
        <v>58.34</v>
      </c>
    </row>
    <row r="9420" spans="1:7" ht="12.75" customHeight="1">
      <c r="A9420" s="3">
        <v>94768</v>
      </c>
      <c r="B9420" s="4" t="s">
        <v>9444</v>
      </c>
      <c r="C9420" s="3" t="s">
        <v>6</v>
      </c>
      <c r="D9420" s="5">
        <f t="shared" si="294"/>
        <v>66.16</v>
      </c>
      <c r="E9420">
        <v>72.63</v>
      </c>
      <c r="F9420" s="1789">
        <v>8.8999999999999996E-2</v>
      </c>
      <c r="G9420">
        <f t="shared" si="295"/>
        <v>66.16</v>
      </c>
    </row>
    <row r="9421" spans="1:7" ht="12.75" customHeight="1">
      <c r="A9421" s="3">
        <v>94769</v>
      </c>
      <c r="B9421" s="4" t="s">
        <v>9445</v>
      </c>
      <c r="C9421" s="3" t="s">
        <v>6</v>
      </c>
      <c r="D9421" s="5">
        <f t="shared" si="294"/>
        <v>88.46</v>
      </c>
      <c r="E9421">
        <v>97.11</v>
      </c>
      <c r="F9421" s="1789">
        <v>8.8999999999999996E-2</v>
      </c>
      <c r="G9421">
        <f t="shared" si="295"/>
        <v>88.46</v>
      </c>
    </row>
    <row r="9422" spans="1:7" ht="12.75" customHeight="1">
      <c r="A9422" s="3">
        <v>94783</v>
      </c>
      <c r="B9422" s="4" t="s">
        <v>9446</v>
      </c>
      <c r="C9422" s="3" t="s">
        <v>6</v>
      </c>
      <c r="D9422" s="5">
        <f t="shared" si="294"/>
        <v>14.8</v>
      </c>
      <c r="E9422">
        <v>16.25</v>
      </c>
      <c r="F9422" s="1789">
        <v>8.8999999999999996E-2</v>
      </c>
      <c r="G9422">
        <f t="shared" si="295"/>
        <v>14.8</v>
      </c>
    </row>
    <row r="9423" spans="1:7" ht="12.75" customHeight="1">
      <c r="A9423" s="3">
        <v>94863</v>
      </c>
      <c r="B9423" s="4" t="s">
        <v>9447</v>
      </c>
      <c r="C9423" s="3" t="s">
        <v>6</v>
      </c>
      <c r="D9423" s="5">
        <f t="shared" si="294"/>
        <v>138.72</v>
      </c>
      <c r="E9423">
        <v>152.28</v>
      </c>
      <c r="F9423" s="1789">
        <v>8.8999999999999996E-2</v>
      </c>
      <c r="G9423">
        <f t="shared" si="295"/>
        <v>138.72</v>
      </c>
    </row>
    <row r="9424" spans="1:7" ht="12.75" customHeight="1">
      <c r="A9424" s="3">
        <v>95237</v>
      </c>
      <c r="B9424" s="4" t="s">
        <v>9448</v>
      </c>
      <c r="C9424" s="3" t="s">
        <v>6</v>
      </c>
      <c r="D9424" s="5">
        <f t="shared" si="294"/>
        <v>19.190000000000001</v>
      </c>
      <c r="E9424">
        <v>21.07</v>
      </c>
      <c r="F9424" s="1789">
        <v>8.8999999999999996E-2</v>
      </c>
      <c r="G9424">
        <f t="shared" si="295"/>
        <v>19.190000000000001</v>
      </c>
    </row>
    <row r="9425" spans="1:7" ht="12.75" customHeight="1">
      <c r="A9425" s="3">
        <v>95693</v>
      </c>
      <c r="B9425" s="4" t="s">
        <v>9449</v>
      </c>
      <c r="C9425" s="3" t="s">
        <v>6</v>
      </c>
      <c r="D9425" s="5">
        <f t="shared" si="294"/>
        <v>44.06</v>
      </c>
      <c r="E9425">
        <v>48.37</v>
      </c>
      <c r="F9425" s="1789">
        <v>8.8999999999999996E-2</v>
      </c>
      <c r="G9425">
        <f t="shared" si="295"/>
        <v>44.06</v>
      </c>
    </row>
    <row r="9426" spans="1:7" ht="12.75" customHeight="1">
      <c r="A9426" s="3">
        <v>95694</v>
      </c>
      <c r="B9426" s="4" t="s">
        <v>9450</v>
      </c>
      <c r="C9426" s="3" t="s">
        <v>6</v>
      </c>
      <c r="D9426" s="5">
        <f t="shared" si="294"/>
        <v>45.75</v>
      </c>
      <c r="E9426">
        <v>50.23</v>
      </c>
      <c r="F9426" s="1789">
        <v>8.8999999999999996E-2</v>
      </c>
      <c r="G9426">
        <f t="shared" si="295"/>
        <v>45.75</v>
      </c>
    </row>
    <row r="9427" spans="1:7" ht="12.75" customHeight="1">
      <c r="A9427" s="3">
        <v>95695</v>
      </c>
      <c r="B9427" s="4" t="s">
        <v>9451</v>
      </c>
      <c r="C9427" s="3" t="s">
        <v>6</v>
      </c>
      <c r="D9427" s="5">
        <f t="shared" si="294"/>
        <v>51.85</v>
      </c>
      <c r="E9427">
        <v>56.92</v>
      </c>
      <c r="F9427" s="1789">
        <v>8.8999999999999996E-2</v>
      </c>
      <c r="G9427">
        <f t="shared" si="295"/>
        <v>51.85</v>
      </c>
    </row>
    <row r="9428" spans="1:7" ht="12.75" customHeight="1">
      <c r="A9428" s="3">
        <v>95696</v>
      </c>
      <c r="B9428" s="4" t="s">
        <v>9452</v>
      </c>
      <c r="C9428" s="3" t="s">
        <v>6</v>
      </c>
      <c r="D9428" s="5">
        <f t="shared" si="294"/>
        <v>47.9</v>
      </c>
      <c r="E9428">
        <v>52.58</v>
      </c>
      <c r="F9428" s="1789">
        <v>8.8999999999999996E-2</v>
      </c>
      <c r="G9428">
        <f t="shared" si="295"/>
        <v>47.9</v>
      </c>
    </row>
    <row r="9429" spans="1:7" ht="12.75" customHeight="1">
      <c r="A9429" s="3">
        <v>96637</v>
      </c>
      <c r="B9429" s="4" t="s">
        <v>9453</v>
      </c>
      <c r="C9429" s="3" t="s">
        <v>6</v>
      </c>
      <c r="D9429" s="5">
        <f t="shared" ref="D9429:D9492" si="296">G9429</f>
        <v>13.43</v>
      </c>
      <c r="E9429">
        <v>14.75</v>
      </c>
      <c r="F9429" s="1789">
        <v>8.8999999999999996E-2</v>
      </c>
      <c r="G9429">
        <f t="shared" ref="G9429:G9492" si="297">TRUNC((1-F9429)*E9429,2)</f>
        <v>13.43</v>
      </c>
    </row>
    <row r="9430" spans="1:7" ht="12.75" customHeight="1">
      <c r="A9430" s="3">
        <v>96638</v>
      </c>
      <c r="B9430" s="4" t="s">
        <v>9454</v>
      </c>
      <c r="C9430" s="3" t="s">
        <v>6</v>
      </c>
      <c r="D9430" s="5">
        <f t="shared" si="296"/>
        <v>13.79</v>
      </c>
      <c r="E9430">
        <v>15.14</v>
      </c>
      <c r="F9430" s="1789">
        <v>8.8999999999999996E-2</v>
      </c>
      <c r="G9430">
        <f t="shared" si="297"/>
        <v>13.79</v>
      </c>
    </row>
    <row r="9431" spans="1:7" ht="12.75" customHeight="1">
      <c r="A9431" s="3">
        <v>96639</v>
      </c>
      <c r="B9431" s="4" t="s">
        <v>9455</v>
      </c>
      <c r="C9431" s="3" t="s">
        <v>6</v>
      </c>
      <c r="D9431" s="5">
        <f t="shared" si="296"/>
        <v>9.3800000000000008</v>
      </c>
      <c r="E9431">
        <v>10.3</v>
      </c>
      <c r="F9431" s="1789">
        <v>8.8999999999999996E-2</v>
      </c>
      <c r="G9431">
        <f t="shared" si="297"/>
        <v>9.3800000000000008</v>
      </c>
    </row>
    <row r="9432" spans="1:7" ht="12.75" customHeight="1">
      <c r="A9432" s="3">
        <v>96640</v>
      </c>
      <c r="B9432" s="4" t="s">
        <v>9456</v>
      </c>
      <c r="C9432" s="3" t="s">
        <v>6</v>
      </c>
      <c r="D9432" s="5">
        <f t="shared" si="296"/>
        <v>22.69</v>
      </c>
      <c r="E9432">
        <v>24.91</v>
      </c>
      <c r="F9432" s="1789">
        <v>8.8999999999999996E-2</v>
      </c>
      <c r="G9432">
        <f t="shared" si="297"/>
        <v>22.69</v>
      </c>
    </row>
    <row r="9433" spans="1:7" ht="12.75" customHeight="1">
      <c r="A9433" s="3">
        <v>96641</v>
      </c>
      <c r="B9433" s="4" t="s">
        <v>9457</v>
      </c>
      <c r="C9433" s="3" t="s">
        <v>6</v>
      </c>
      <c r="D9433" s="5">
        <f t="shared" si="296"/>
        <v>15.01</v>
      </c>
      <c r="E9433">
        <v>16.48</v>
      </c>
      <c r="F9433" s="1789">
        <v>8.8999999999999996E-2</v>
      </c>
      <c r="G9433">
        <f t="shared" si="297"/>
        <v>15.01</v>
      </c>
    </row>
    <row r="9434" spans="1:7" ht="12.75" customHeight="1">
      <c r="A9434" s="3">
        <v>96642</v>
      </c>
      <c r="B9434" s="4" t="s">
        <v>9458</v>
      </c>
      <c r="C9434" s="3" t="s">
        <v>6</v>
      </c>
      <c r="D9434" s="5">
        <f t="shared" si="296"/>
        <v>17.66</v>
      </c>
      <c r="E9434">
        <v>19.39</v>
      </c>
      <c r="F9434" s="1789">
        <v>8.8999999999999996E-2</v>
      </c>
      <c r="G9434">
        <f t="shared" si="297"/>
        <v>17.66</v>
      </c>
    </row>
    <row r="9435" spans="1:7" ht="12.75" customHeight="1">
      <c r="A9435" s="3">
        <v>96643</v>
      </c>
      <c r="B9435" s="4" t="s">
        <v>9459</v>
      </c>
      <c r="C9435" s="3" t="s">
        <v>6</v>
      </c>
      <c r="D9435" s="5">
        <f t="shared" si="296"/>
        <v>39.69</v>
      </c>
      <c r="E9435">
        <v>43.57</v>
      </c>
      <c r="F9435" s="1789">
        <v>8.8999999999999996E-2</v>
      </c>
      <c r="G9435">
        <f t="shared" si="297"/>
        <v>39.69</v>
      </c>
    </row>
    <row r="9436" spans="1:7" ht="12.75" customHeight="1">
      <c r="A9436" s="3">
        <v>96650</v>
      </c>
      <c r="B9436" s="4" t="s">
        <v>9460</v>
      </c>
      <c r="C9436" s="3" t="s">
        <v>6</v>
      </c>
      <c r="D9436" s="5">
        <f t="shared" si="296"/>
        <v>7.59</v>
      </c>
      <c r="E9436">
        <v>8.34</v>
      </c>
      <c r="F9436" s="1789">
        <v>8.8999999999999996E-2</v>
      </c>
      <c r="G9436">
        <f t="shared" si="297"/>
        <v>7.59</v>
      </c>
    </row>
    <row r="9437" spans="1:7" ht="12.75" customHeight="1">
      <c r="A9437" s="3">
        <v>96651</v>
      </c>
      <c r="B9437" s="4" t="s">
        <v>9461</v>
      </c>
      <c r="C9437" s="3" t="s">
        <v>6</v>
      </c>
      <c r="D9437" s="5">
        <f t="shared" si="296"/>
        <v>7.95</v>
      </c>
      <c r="E9437">
        <v>8.73</v>
      </c>
      <c r="F9437" s="1789">
        <v>8.8999999999999996E-2</v>
      </c>
      <c r="G9437">
        <f t="shared" si="297"/>
        <v>7.95</v>
      </c>
    </row>
    <row r="9438" spans="1:7" ht="12.75" customHeight="1">
      <c r="A9438" s="3">
        <v>96652</v>
      </c>
      <c r="B9438" s="4" t="s">
        <v>9462</v>
      </c>
      <c r="C9438" s="3" t="s">
        <v>6</v>
      </c>
      <c r="D9438" s="5">
        <f t="shared" si="296"/>
        <v>9.07</v>
      </c>
      <c r="E9438">
        <v>9.9600000000000009</v>
      </c>
      <c r="F9438" s="1789">
        <v>8.8999999999999996E-2</v>
      </c>
      <c r="G9438">
        <f t="shared" si="297"/>
        <v>9.07</v>
      </c>
    </row>
    <row r="9439" spans="1:7" ht="12.75" customHeight="1">
      <c r="A9439" s="3">
        <v>96653</v>
      </c>
      <c r="B9439" s="4" t="s">
        <v>9463</v>
      </c>
      <c r="C9439" s="3" t="s">
        <v>6</v>
      </c>
      <c r="D9439" s="5">
        <f t="shared" si="296"/>
        <v>12.05</v>
      </c>
      <c r="E9439">
        <v>13.23</v>
      </c>
      <c r="F9439" s="1789">
        <v>8.8999999999999996E-2</v>
      </c>
      <c r="G9439">
        <f t="shared" si="297"/>
        <v>12.05</v>
      </c>
    </row>
    <row r="9440" spans="1:7" ht="12.75" customHeight="1">
      <c r="A9440" s="3">
        <v>96654</v>
      </c>
      <c r="B9440" s="4" t="s">
        <v>9464</v>
      </c>
      <c r="C9440" s="3" t="s">
        <v>6</v>
      </c>
      <c r="D9440" s="5">
        <f t="shared" si="296"/>
        <v>13.74</v>
      </c>
      <c r="E9440">
        <v>15.09</v>
      </c>
      <c r="F9440" s="1789">
        <v>8.8999999999999996E-2</v>
      </c>
      <c r="G9440">
        <f t="shared" si="297"/>
        <v>13.74</v>
      </c>
    </row>
    <row r="9441" spans="1:7" ht="12.75" customHeight="1">
      <c r="A9441" s="3">
        <v>96655</v>
      </c>
      <c r="B9441" s="4" t="s">
        <v>9465</v>
      </c>
      <c r="C9441" s="3" t="s">
        <v>6</v>
      </c>
      <c r="D9441" s="5">
        <f t="shared" si="296"/>
        <v>18.600000000000001</v>
      </c>
      <c r="E9441">
        <v>20.420000000000002</v>
      </c>
      <c r="F9441" s="1789">
        <v>8.8999999999999996E-2</v>
      </c>
      <c r="G9441">
        <f t="shared" si="297"/>
        <v>18.600000000000001</v>
      </c>
    </row>
    <row r="9442" spans="1:7" ht="12.75" customHeight="1">
      <c r="A9442" s="3">
        <v>96656</v>
      </c>
      <c r="B9442" s="4" t="s">
        <v>9466</v>
      </c>
      <c r="C9442" s="3" t="s">
        <v>6</v>
      </c>
      <c r="D9442" s="5">
        <f t="shared" si="296"/>
        <v>5.49</v>
      </c>
      <c r="E9442">
        <v>6.03</v>
      </c>
      <c r="F9442" s="1789">
        <v>8.8999999999999996E-2</v>
      </c>
      <c r="G9442">
        <f t="shared" si="297"/>
        <v>5.49</v>
      </c>
    </row>
    <row r="9443" spans="1:7" ht="12.75" customHeight="1">
      <c r="A9443" s="3">
        <v>96657</v>
      </c>
      <c r="B9443" s="4" t="s">
        <v>9467</v>
      </c>
      <c r="C9443" s="3" t="s">
        <v>6</v>
      </c>
      <c r="D9443" s="5">
        <f t="shared" si="296"/>
        <v>20.96</v>
      </c>
      <c r="E9443">
        <v>23.01</v>
      </c>
      <c r="F9443" s="1789">
        <v>8.8999999999999996E-2</v>
      </c>
      <c r="G9443">
        <f t="shared" si="297"/>
        <v>20.96</v>
      </c>
    </row>
    <row r="9444" spans="1:7" ht="12.75" customHeight="1">
      <c r="A9444" s="3">
        <v>96658</v>
      </c>
      <c r="B9444" s="4" t="s">
        <v>9468</v>
      </c>
      <c r="C9444" s="3" t="s">
        <v>6</v>
      </c>
      <c r="D9444" s="5">
        <f t="shared" si="296"/>
        <v>13.28</v>
      </c>
      <c r="E9444">
        <v>14.58</v>
      </c>
      <c r="F9444" s="1789">
        <v>8.8999999999999996E-2</v>
      </c>
      <c r="G9444">
        <f t="shared" si="297"/>
        <v>13.28</v>
      </c>
    </row>
    <row r="9445" spans="1:7" ht="12.75" customHeight="1">
      <c r="A9445" s="3">
        <v>96659</v>
      </c>
      <c r="B9445" s="4" t="s">
        <v>9469</v>
      </c>
      <c r="C9445" s="3" t="s">
        <v>6</v>
      </c>
      <c r="D9445" s="5">
        <f t="shared" si="296"/>
        <v>7.23</v>
      </c>
      <c r="E9445">
        <v>7.94</v>
      </c>
      <c r="F9445" s="1789">
        <v>8.8999999999999996E-2</v>
      </c>
      <c r="G9445">
        <f t="shared" si="297"/>
        <v>7.23</v>
      </c>
    </row>
    <row r="9446" spans="1:7" ht="12.75" customHeight="1">
      <c r="A9446" s="3">
        <v>96660</v>
      </c>
      <c r="B9446" s="4" t="s">
        <v>9470</v>
      </c>
      <c r="C9446" s="3" t="s">
        <v>6</v>
      </c>
      <c r="D9446" s="5">
        <f t="shared" si="296"/>
        <v>28.55</v>
      </c>
      <c r="E9446">
        <v>31.34</v>
      </c>
      <c r="F9446" s="1789">
        <v>8.8999999999999996E-2</v>
      </c>
      <c r="G9446">
        <f t="shared" si="297"/>
        <v>28.55</v>
      </c>
    </row>
    <row r="9447" spans="1:7" ht="12.75" customHeight="1">
      <c r="A9447" s="3">
        <v>96661</v>
      </c>
      <c r="B9447" s="4" t="s">
        <v>9471</v>
      </c>
      <c r="C9447" s="3" t="s">
        <v>6</v>
      </c>
      <c r="D9447" s="5">
        <f t="shared" si="296"/>
        <v>28.26</v>
      </c>
      <c r="E9447">
        <v>31.03</v>
      </c>
      <c r="F9447" s="1789">
        <v>8.8999999999999996E-2</v>
      </c>
      <c r="G9447">
        <f t="shared" si="297"/>
        <v>28.26</v>
      </c>
    </row>
    <row r="9448" spans="1:7" ht="12.75" customHeight="1">
      <c r="A9448" s="3">
        <v>96662</v>
      </c>
      <c r="B9448" s="4" t="s">
        <v>9472</v>
      </c>
      <c r="C9448" s="3" t="s">
        <v>6</v>
      </c>
      <c r="D9448" s="5">
        <f t="shared" si="296"/>
        <v>8.07</v>
      </c>
      <c r="E9448">
        <v>8.86</v>
      </c>
      <c r="F9448" s="1789">
        <v>8.8999999999999996E-2</v>
      </c>
      <c r="G9448">
        <f t="shared" si="297"/>
        <v>8.07</v>
      </c>
    </row>
    <row r="9449" spans="1:7" ht="12.75" customHeight="1">
      <c r="A9449" s="3">
        <v>96663</v>
      </c>
      <c r="B9449" s="4" t="s">
        <v>9473</v>
      </c>
      <c r="C9449" s="3" t="s">
        <v>6</v>
      </c>
      <c r="D9449" s="5">
        <f t="shared" si="296"/>
        <v>13.91</v>
      </c>
      <c r="E9449">
        <v>15.27</v>
      </c>
      <c r="F9449" s="1789">
        <v>8.8999999999999996E-2</v>
      </c>
      <c r="G9449">
        <f t="shared" si="297"/>
        <v>13.91</v>
      </c>
    </row>
    <row r="9450" spans="1:7" ht="12.75" customHeight="1">
      <c r="A9450" s="3">
        <v>96664</v>
      </c>
      <c r="B9450" s="4" t="s">
        <v>9474</v>
      </c>
      <c r="C9450" s="3" t="s">
        <v>6</v>
      </c>
      <c r="D9450" s="5">
        <f t="shared" si="296"/>
        <v>15.33</v>
      </c>
      <c r="E9450">
        <v>16.829999999999998</v>
      </c>
      <c r="F9450" s="1789">
        <v>8.8999999999999996E-2</v>
      </c>
      <c r="G9450">
        <f t="shared" si="297"/>
        <v>15.33</v>
      </c>
    </row>
    <row r="9451" spans="1:7" ht="12.75" customHeight="1">
      <c r="A9451" s="3">
        <v>96665</v>
      </c>
      <c r="B9451" s="4" t="s">
        <v>9475</v>
      </c>
      <c r="C9451" s="3" t="s">
        <v>6</v>
      </c>
      <c r="D9451" s="5">
        <f t="shared" si="296"/>
        <v>9.8699999999999992</v>
      </c>
      <c r="E9451">
        <v>10.84</v>
      </c>
      <c r="F9451" s="1789">
        <v>8.8999999999999996E-2</v>
      </c>
      <c r="G9451">
        <f t="shared" si="297"/>
        <v>9.8699999999999992</v>
      </c>
    </row>
    <row r="9452" spans="1:7" ht="12.75" customHeight="1">
      <c r="A9452" s="3">
        <v>96666</v>
      </c>
      <c r="B9452" s="4" t="s">
        <v>9476</v>
      </c>
      <c r="C9452" s="3" t="s">
        <v>6</v>
      </c>
      <c r="D9452" s="5">
        <f t="shared" si="296"/>
        <v>14.42</v>
      </c>
      <c r="E9452">
        <v>15.83</v>
      </c>
      <c r="F9452" s="1789">
        <v>8.8999999999999996E-2</v>
      </c>
      <c r="G9452">
        <f t="shared" si="297"/>
        <v>14.42</v>
      </c>
    </row>
    <row r="9453" spans="1:7" ht="12.75" customHeight="1">
      <c r="A9453" s="3">
        <v>96667</v>
      </c>
      <c r="B9453" s="4" t="s">
        <v>9477</v>
      </c>
      <c r="C9453" s="3" t="s">
        <v>6</v>
      </c>
      <c r="D9453" s="5">
        <f t="shared" si="296"/>
        <v>20.57</v>
      </c>
      <c r="E9453">
        <v>22.58</v>
      </c>
      <c r="F9453" s="1789">
        <v>8.8999999999999996E-2</v>
      </c>
      <c r="G9453">
        <f t="shared" si="297"/>
        <v>20.57</v>
      </c>
    </row>
    <row r="9454" spans="1:7" ht="12.75" customHeight="1">
      <c r="A9454" s="3">
        <v>96684</v>
      </c>
      <c r="B9454" s="4" t="s">
        <v>9478</v>
      </c>
      <c r="C9454" s="3" t="s">
        <v>6</v>
      </c>
      <c r="D9454" s="5">
        <f t="shared" si="296"/>
        <v>9.6999999999999993</v>
      </c>
      <c r="E9454">
        <v>10.65</v>
      </c>
      <c r="F9454" s="1789">
        <v>8.8999999999999996E-2</v>
      </c>
      <c r="G9454">
        <f t="shared" si="297"/>
        <v>9.6999999999999993</v>
      </c>
    </row>
    <row r="9455" spans="1:7" ht="12.75" customHeight="1">
      <c r="A9455" s="3">
        <v>96685</v>
      </c>
      <c r="B9455" s="4" t="s">
        <v>9479</v>
      </c>
      <c r="C9455" s="3" t="s">
        <v>6</v>
      </c>
      <c r="D9455" s="5">
        <f t="shared" si="296"/>
        <v>10.050000000000001</v>
      </c>
      <c r="E9455">
        <v>11.04</v>
      </c>
      <c r="F9455" s="1789">
        <v>8.8999999999999996E-2</v>
      </c>
      <c r="G9455">
        <f t="shared" si="297"/>
        <v>10.050000000000001</v>
      </c>
    </row>
    <row r="9456" spans="1:7" ht="12.75" customHeight="1">
      <c r="A9456" s="3">
        <v>96686</v>
      </c>
      <c r="B9456" s="4" t="s">
        <v>9480</v>
      </c>
      <c r="C9456" s="3" t="s">
        <v>6</v>
      </c>
      <c r="D9456" s="5">
        <f t="shared" si="296"/>
        <v>12.52</v>
      </c>
      <c r="E9456">
        <v>13.75</v>
      </c>
      <c r="F9456" s="1789">
        <v>8.8999999999999996E-2</v>
      </c>
      <c r="G9456">
        <f t="shared" si="297"/>
        <v>12.52</v>
      </c>
    </row>
    <row r="9457" spans="1:7" ht="12.75" customHeight="1">
      <c r="A9457" s="3">
        <v>96687</v>
      </c>
      <c r="B9457" s="4" t="s">
        <v>9481</v>
      </c>
      <c r="C9457" s="3" t="s">
        <v>6</v>
      </c>
      <c r="D9457" s="5">
        <f t="shared" si="296"/>
        <v>15.5</v>
      </c>
      <c r="E9457">
        <v>17.02</v>
      </c>
      <c r="F9457" s="1789">
        <v>8.8999999999999996E-2</v>
      </c>
      <c r="G9457">
        <f t="shared" si="297"/>
        <v>15.5</v>
      </c>
    </row>
    <row r="9458" spans="1:7" ht="12.75" customHeight="1">
      <c r="A9458" s="3">
        <v>96688</v>
      </c>
      <c r="B9458" s="4" t="s">
        <v>9482</v>
      </c>
      <c r="C9458" s="3" t="s">
        <v>6</v>
      </c>
      <c r="D9458" s="5">
        <f t="shared" si="296"/>
        <v>18.73</v>
      </c>
      <c r="E9458">
        <v>20.57</v>
      </c>
      <c r="F9458" s="1789">
        <v>8.8999999999999996E-2</v>
      </c>
      <c r="G9458">
        <f t="shared" si="297"/>
        <v>18.73</v>
      </c>
    </row>
    <row r="9459" spans="1:7" ht="12.75" customHeight="1">
      <c r="A9459" s="3">
        <v>96689</v>
      </c>
      <c r="B9459" s="4" t="s">
        <v>9483</v>
      </c>
      <c r="C9459" s="3" t="s">
        <v>6</v>
      </c>
      <c r="D9459" s="5">
        <f t="shared" si="296"/>
        <v>23.59</v>
      </c>
      <c r="E9459">
        <v>25.9</v>
      </c>
      <c r="F9459" s="1789">
        <v>8.8999999999999996E-2</v>
      </c>
      <c r="G9459">
        <f t="shared" si="297"/>
        <v>23.59</v>
      </c>
    </row>
    <row r="9460" spans="1:7" ht="12.75" customHeight="1">
      <c r="A9460" s="3">
        <v>96690</v>
      </c>
      <c r="B9460" s="4" t="s">
        <v>9484</v>
      </c>
      <c r="C9460" s="3" t="s">
        <v>6</v>
      </c>
      <c r="D9460" s="5">
        <f t="shared" si="296"/>
        <v>26.24</v>
      </c>
      <c r="E9460">
        <v>28.81</v>
      </c>
      <c r="F9460" s="1789">
        <v>8.8999999999999996E-2</v>
      </c>
      <c r="G9460">
        <f t="shared" si="297"/>
        <v>26.24</v>
      </c>
    </row>
    <row r="9461" spans="1:7" ht="12.75" customHeight="1">
      <c r="A9461" s="3">
        <v>96691</v>
      </c>
      <c r="B9461" s="4" t="s">
        <v>9485</v>
      </c>
      <c r="C9461" s="3" t="s">
        <v>6</v>
      </c>
      <c r="D9461" s="5">
        <f t="shared" si="296"/>
        <v>33.92</v>
      </c>
      <c r="E9461">
        <v>37.24</v>
      </c>
      <c r="F9461" s="1789">
        <v>8.8999999999999996E-2</v>
      </c>
      <c r="G9461">
        <f t="shared" si="297"/>
        <v>33.92</v>
      </c>
    </row>
    <row r="9462" spans="1:7" ht="12.75" customHeight="1">
      <c r="A9462" s="3">
        <v>96692</v>
      </c>
      <c r="B9462" s="4" t="s">
        <v>9486</v>
      </c>
      <c r="C9462" s="3" t="s">
        <v>6</v>
      </c>
      <c r="D9462" s="5">
        <f t="shared" si="296"/>
        <v>37.35</v>
      </c>
      <c r="E9462">
        <v>41</v>
      </c>
      <c r="F9462" s="1789">
        <v>8.8999999999999996E-2</v>
      </c>
      <c r="G9462">
        <f t="shared" si="297"/>
        <v>37.35</v>
      </c>
    </row>
    <row r="9463" spans="1:7" ht="12.75" customHeight="1">
      <c r="A9463" s="3">
        <v>96693</v>
      </c>
      <c r="B9463" s="4" t="s">
        <v>9487</v>
      </c>
      <c r="C9463" s="3" t="s">
        <v>6</v>
      </c>
      <c r="D9463" s="5">
        <f t="shared" si="296"/>
        <v>51.07</v>
      </c>
      <c r="E9463">
        <v>56.06</v>
      </c>
      <c r="F9463" s="1789">
        <v>8.8999999999999996E-2</v>
      </c>
      <c r="G9463">
        <f t="shared" si="297"/>
        <v>51.07</v>
      </c>
    </row>
    <row r="9464" spans="1:7" ht="12.75" customHeight="1">
      <c r="A9464" s="3">
        <v>96694</v>
      </c>
      <c r="B9464" s="4" t="s">
        <v>9488</v>
      </c>
      <c r="C9464" s="3" t="s">
        <v>6</v>
      </c>
      <c r="D9464" s="5">
        <f t="shared" si="296"/>
        <v>80.349999999999994</v>
      </c>
      <c r="E9464">
        <v>88.2</v>
      </c>
      <c r="F9464" s="1789">
        <v>8.8999999999999996E-2</v>
      </c>
      <c r="G9464">
        <f t="shared" si="297"/>
        <v>80.349999999999994</v>
      </c>
    </row>
    <row r="9465" spans="1:7" ht="12.75" customHeight="1">
      <c r="A9465" s="3">
        <v>96695</v>
      </c>
      <c r="B9465" s="4" t="s">
        <v>9489</v>
      </c>
      <c r="C9465" s="3" t="s">
        <v>6</v>
      </c>
      <c r="D9465" s="5">
        <f t="shared" si="296"/>
        <v>88.71</v>
      </c>
      <c r="E9465">
        <v>97.38</v>
      </c>
      <c r="F9465" s="1789">
        <v>8.8999999999999996E-2</v>
      </c>
      <c r="G9465">
        <f t="shared" si="297"/>
        <v>88.71</v>
      </c>
    </row>
    <row r="9466" spans="1:7" ht="12.75" customHeight="1">
      <c r="A9466" s="3">
        <v>96696</v>
      </c>
      <c r="B9466" s="4" t="s">
        <v>9490</v>
      </c>
      <c r="C9466" s="3" t="s">
        <v>6</v>
      </c>
      <c r="D9466" s="5">
        <f t="shared" si="296"/>
        <v>100.42</v>
      </c>
      <c r="E9466">
        <v>110.24</v>
      </c>
      <c r="F9466" s="1789">
        <v>8.8999999999999996E-2</v>
      </c>
      <c r="G9466">
        <f t="shared" si="297"/>
        <v>100.42</v>
      </c>
    </row>
    <row r="9467" spans="1:7" ht="12.75" customHeight="1">
      <c r="A9467" s="3">
        <v>96697</v>
      </c>
      <c r="B9467" s="4" t="s">
        <v>9491</v>
      </c>
      <c r="C9467" s="3" t="s">
        <v>6</v>
      </c>
      <c r="D9467" s="5">
        <f t="shared" si="296"/>
        <v>300.18</v>
      </c>
      <c r="E9467">
        <v>329.51</v>
      </c>
      <c r="F9467" s="1789">
        <v>8.8999999999999996E-2</v>
      </c>
      <c r="G9467">
        <f t="shared" si="297"/>
        <v>300.18</v>
      </c>
    </row>
    <row r="9468" spans="1:7" ht="12.75" customHeight="1">
      <c r="A9468" s="3">
        <v>96698</v>
      </c>
      <c r="B9468" s="4" t="s">
        <v>9492</v>
      </c>
      <c r="C9468" s="3" t="s">
        <v>6</v>
      </c>
      <c r="D9468" s="5">
        <f t="shared" si="296"/>
        <v>6.89</v>
      </c>
      <c r="E9468">
        <v>7.57</v>
      </c>
      <c r="F9468" s="1789">
        <v>8.8999999999999996E-2</v>
      </c>
      <c r="G9468">
        <f t="shared" si="297"/>
        <v>6.89</v>
      </c>
    </row>
    <row r="9469" spans="1:7" ht="12.75" customHeight="1">
      <c r="A9469" s="3">
        <v>96699</v>
      </c>
      <c r="B9469" s="4" t="s">
        <v>9493</v>
      </c>
      <c r="C9469" s="3" t="s">
        <v>6</v>
      </c>
      <c r="D9469" s="5">
        <f t="shared" si="296"/>
        <v>22.36</v>
      </c>
      <c r="E9469">
        <v>24.55</v>
      </c>
      <c r="F9469" s="1789">
        <v>8.8999999999999996E-2</v>
      </c>
      <c r="G9469">
        <f t="shared" si="297"/>
        <v>22.36</v>
      </c>
    </row>
    <row r="9470" spans="1:7" ht="12.75" customHeight="1">
      <c r="A9470" s="3">
        <v>96700</v>
      </c>
      <c r="B9470" s="4" t="s">
        <v>9494</v>
      </c>
      <c r="C9470" s="3" t="s">
        <v>6</v>
      </c>
      <c r="D9470" s="5">
        <f t="shared" si="296"/>
        <v>14.68</v>
      </c>
      <c r="E9470">
        <v>16.12</v>
      </c>
      <c r="F9470" s="1789">
        <v>8.8999999999999996E-2</v>
      </c>
      <c r="G9470">
        <f t="shared" si="297"/>
        <v>14.68</v>
      </c>
    </row>
    <row r="9471" spans="1:7" ht="12.75" customHeight="1">
      <c r="A9471" s="3">
        <v>96701</v>
      </c>
      <c r="B9471" s="4" t="s">
        <v>9495</v>
      </c>
      <c r="C9471" s="3" t="s">
        <v>6</v>
      </c>
      <c r="D9471" s="5">
        <f t="shared" si="296"/>
        <v>9.52</v>
      </c>
      <c r="E9471">
        <v>10.46</v>
      </c>
      <c r="F9471" s="1789">
        <v>8.8999999999999996E-2</v>
      </c>
      <c r="G9471">
        <f t="shared" si="297"/>
        <v>9.52</v>
      </c>
    </row>
    <row r="9472" spans="1:7" ht="12.75" customHeight="1">
      <c r="A9472" s="3">
        <v>96702</v>
      </c>
      <c r="B9472" s="4" t="s">
        <v>9496</v>
      </c>
      <c r="C9472" s="3" t="s">
        <v>6</v>
      </c>
      <c r="D9472" s="5">
        <f t="shared" si="296"/>
        <v>9.93</v>
      </c>
      <c r="E9472">
        <v>10.91</v>
      </c>
      <c r="F9472" s="1789">
        <v>8.8999999999999996E-2</v>
      </c>
      <c r="G9472">
        <f t="shared" si="297"/>
        <v>9.93</v>
      </c>
    </row>
    <row r="9473" spans="1:7" ht="12.75" customHeight="1">
      <c r="A9473" s="3">
        <v>96703</v>
      </c>
      <c r="B9473" s="4" t="s">
        <v>9497</v>
      </c>
      <c r="C9473" s="3" t="s">
        <v>6</v>
      </c>
      <c r="D9473" s="5">
        <f t="shared" si="296"/>
        <v>17.239999999999998</v>
      </c>
      <c r="E9473">
        <v>18.93</v>
      </c>
      <c r="F9473" s="1789">
        <v>8.8999999999999996E-2</v>
      </c>
      <c r="G9473">
        <f t="shared" si="297"/>
        <v>17.239999999999998</v>
      </c>
    </row>
    <row r="9474" spans="1:7" ht="12.75" customHeight="1">
      <c r="A9474" s="3">
        <v>96704</v>
      </c>
      <c r="B9474" s="4" t="s">
        <v>9498</v>
      </c>
      <c r="C9474" s="3" t="s">
        <v>6</v>
      </c>
      <c r="D9474" s="5">
        <f t="shared" si="296"/>
        <v>17.7</v>
      </c>
      <c r="E9474">
        <v>19.43</v>
      </c>
      <c r="F9474" s="1789">
        <v>8.8999999999999996E-2</v>
      </c>
      <c r="G9474">
        <f t="shared" si="297"/>
        <v>17.7</v>
      </c>
    </row>
    <row r="9475" spans="1:7" ht="12.75" customHeight="1">
      <c r="A9475" s="3">
        <v>96705</v>
      </c>
      <c r="B9475" s="4" t="s">
        <v>9499</v>
      </c>
      <c r="C9475" s="3" t="s">
        <v>6</v>
      </c>
      <c r="D9475" s="5">
        <f t="shared" si="296"/>
        <v>20.92</v>
      </c>
      <c r="E9475">
        <v>22.97</v>
      </c>
      <c r="F9475" s="1789">
        <v>8.8999999999999996E-2</v>
      </c>
      <c r="G9475">
        <f t="shared" si="297"/>
        <v>20.92</v>
      </c>
    </row>
    <row r="9476" spans="1:7" ht="12.75" customHeight="1">
      <c r="A9476" s="3">
        <v>96706</v>
      </c>
      <c r="B9476" s="4" t="s">
        <v>9500</v>
      </c>
      <c r="C9476" s="3" t="s">
        <v>6</v>
      </c>
      <c r="D9476" s="5">
        <f t="shared" si="296"/>
        <v>31.16</v>
      </c>
      <c r="E9476">
        <v>34.21</v>
      </c>
      <c r="F9476" s="1789">
        <v>8.8999999999999996E-2</v>
      </c>
      <c r="G9476">
        <f t="shared" si="297"/>
        <v>31.16</v>
      </c>
    </row>
    <row r="9477" spans="1:7" ht="12.75" customHeight="1">
      <c r="A9477" s="3">
        <v>96707</v>
      </c>
      <c r="B9477" s="4" t="s">
        <v>9501</v>
      </c>
      <c r="C9477" s="3" t="s">
        <v>6</v>
      </c>
      <c r="D9477" s="5">
        <f t="shared" si="296"/>
        <v>50.46</v>
      </c>
      <c r="E9477">
        <v>55.4</v>
      </c>
      <c r="F9477" s="1789">
        <v>8.8999999999999996E-2</v>
      </c>
      <c r="G9477">
        <f t="shared" si="297"/>
        <v>50.46</v>
      </c>
    </row>
    <row r="9478" spans="1:7" ht="12.75" customHeight="1">
      <c r="A9478" s="3">
        <v>96708</v>
      </c>
      <c r="B9478" s="4" t="s">
        <v>9502</v>
      </c>
      <c r="C9478" s="3" t="s">
        <v>6</v>
      </c>
      <c r="D9478" s="5">
        <f t="shared" si="296"/>
        <v>76.8</v>
      </c>
      <c r="E9478">
        <v>84.31</v>
      </c>
      <c r="F9478" s="1789">
        <v>8.8999999999999996E-2</v>
      </c>
      <c r="G9478">
        <f t="shared" si="297"/>
        <v>76.8</v>
      </c>
    </row>
    <row r="9479" spans="1:7" ht="12.75" customHeight="1">
      <c r="A9479" s="3">
        <v>96709</v>
      </c>
      <c r="B9479" s="4" t="s">
        <v>9503</v>
      </c>
      <c r="C9479" s="3" t="s">
        <v>6</v>
      </c>
      <c r="D9479" s="5">
        <f t="shared" si="296"/>
        <v>98.07</v>
      </c>
      <c r="E9479">
        <v>107.66</v>
      </c>
      <c r="F9479" s="1789">
        <v>8.8999999999999996E-2</v>
      </c>
      <c r="G9479">
        <f t="shared" si="297"/>
        <v>98.07</v>
      </c>
    </row>
    <row r="9480" spans="1:7" ht="12.75" customHeight="1">
      <c r="A9480" s="3">
        <v>96710</v>
      </c>
      <c r="B9480" s="4" t="s">
        <v>9504</v>
      </c>
      <c r="C9480" s="3" t="s">
        <v>6</v>
      </c>
      <c r="D9480" s="5">
        <f t="shared" si="296"/>
        <v>12.68</v>
      </c>
      <c r="E9480">
        <v>13.92</v>
      </c>
      <c r="F9480" s="1789">
        <v>8.8999999999999996E-2</v>
      </c>
      <c r="G9480">
        <f t="shared" si="297"/>
        <v>12.68</v>
      </c>
    </row>
    <row r="9481" spans="1:7" ht="12.75" customHeight="1">
      <c r="A9481" s="3">
        <v>96711</v>
      </c>
      <c r="B9481" s="4" t="s">
        <v>9505</v>
      </c>
      <c r="C9481" s="3" t="s">
        <v>6</v>
      </c>
      <c r="D9481" s="5">
        <f t="shared" si="296"/>
        <v>19.03</v>
      </c>
      <c r="E9481">
        <v>20.89</v>
      </c>
      <c r="F9481" s="1789">
        <v>8.8999999999999996E-2</v>
      </c>
      <c r="G9481">
        <f t="shared" si="297"/>
        <v>19.03</v>
      </c>
    </row>
    <row r="9482" spans="1:7" ht="12.75" customHeight="1">
      <c r="A9482" s="3">
        <v>96712</v>
      </c>
      <c r="B9482" s="4" t="s">
        <v>9506</v>
      </c>
      <c r="C9482" s="3" t="s">
        <v>6</v>
      </c>
      <c r="D9482" s="5">
        <f t="shared" si="296"/>
        <v>27.24</v>
      </c>
      <c r="E9482">
        <v>29.91</v>
      </c>
      <c r="F9482" s="1789">
        <v>8.8999999999999996E-2</v>
      </c>
      <c r="G9482">
        <f t="shared" si="297"/>
        <v>27.24</v>
      </c>
    </row>
    <row r="9483" spans="1:7" ht="12.75" customHeight="1">
      <c r="A9483" s="3">
        <v>96713</v>
      </c>
      <c r="B9483" s="4" t="s">
        <v>9507</v>
      </c>
      <c r="C9483" s="3" t="s">
        <v>6</v>
      </c>
      <c r="D9483" s="5">
        <f t="shared" si="296"/>
        <v>42.13</v>
      </c>
      <c r="E9483">
        <v>46.25</v>
      </c>
      <c r="F9483" s="1789">
        <v>8.8999999999999996E-2</v>
      </c>
      <c r="G9483">
        <f t="shared" si="297"/>
        <v>42.13</v>
      </c>
    </row>
    <row r="9484" spans="1:7" ht="12.75" customHeight="1">
      <c r="A9484" s="3">
        <v>96714</v>
      </c>
      <c r="B9484" s="4" t="s">
        <v>9508</v>
      </c>
      <c r="C9484" s="3" t="s">
        <v>6</v>
      </c>
      <c r="D9484" s="5">
        <f t="shared" si="296"/>
        <v>60.16</v>
      </c>
      <c r="E9484">
        <v>66.040000000000006</v>
      </c>
      <c r="F9484" s="1789">
        <v>8.8999999999999996E-2</v>
      </c>
      <c r="G9484">
        <f t="shared" si="297"/>
        <v>60.16</v>
      </c>
    </row>
    <row r="9485" spans="1:7" ht="12.75" customHeight="1">
      <c r="A9485" s="3">
        <v>96715</v>
      </c>
      <c r="B9485" s="4" t="s">
        <v>9509</v>
      </c>
      <c r="C9485" s="3" t="s">
        <v>6</v>
      </c>
      <c r="D9485" s="5">
        <f t="shared" si="296"/>
        <v>108.09</v>
      </c>
      <c r="E9485">
        <v>118.65</v>
      </c>
      <c r="F9485" s="1789">
        <v>8.8999999999999996E-2</v>
      </c>
      <c r="G9485">
        <f t="shared" si="297"/>
        <v>108.09</v>
      </c>
    </row>
    <row r="9486" spans="1:7" ht="12.75" customHeight="1">
      <c r="A9486" s="3">
        <v>96716</v>
      </c>
      <c r="B9486" s="4" t="s">
        <v>9510</v>
      </c>
      <c r="C9486" s="3" t="s">
        <v>6</v>
      </c>
      <c r="D9486" s="5">
        <f t="shared" si="296"/>
        <v>140.99</v>
      </c>
      <c r="E9486">
        <v>154.77000000000001</v>
      </c>
      <c r="F9486" s="1789">
        <v>8.8999999999999996E-2</v>
      </c>
      <c r="G9486">
        <f t="shared" si="297"/>
        <v>140.99</v>
      </c>
    </row>
    <row r="9487" spans="1:7" ht="12.75" customHeight="1">
      <c r="A9487" s="3">
        <v>96717</v>
      </c>
      <c r="B9487" s="4" t="s">
        <v>9511</v>
      </c>
      <c r="C9487" s="3" t="s">
        <v>6</v>
      </c>
      <c r="D9487" s="5">
        <f t="shared" si="296"/>
        <v>272.29000000000002</v>
      </c>
      <c r="E9487">
        <v>298.89999999999998</v>
      </c>
      <c r="F9487" s="1789">
        <v>8.8999999999999996E-2</v>
      </c>
      <c r="G9487">
        <f t="shared" si="297"/>
        <v>272.29000000000002</v>
      </c>
    </row>
    <row r="9488" spans="1:7" ht="12.75" customHeight="1">
      <c r="A9488" s="3">
        <v>96736</v>
      </c>
      <c r="B9488" s="4" t="s">
        <v>9512</v>
      </c>
      <c r="C9488" s="3" t="s">
        <v>6</v>
      </c>
      <c r="D9488" s="5">
        <f t="shared" si="296"/>
        <v>5.01</v>
      </c>
      <c r="E9488">
        <v>5.5</v>
      </c>
      <c r="F9488" s="1789">
        <v>8.8999999999999996E-2</v>
      </c>
      <c r="G9488">
        <f t="shared" si="297"/>
        <v>5.01</v>
      </c>
    </row>
    <row r="9489" spans="1:7" ht="12.75" customHeight="1">
      <c r="A9489" s="3">
        <v>96737</v>
      </c>
      <c r="B9489" s="4" t="s">
        <v>9513</v>
      </c>
      <c r="C9489" s="3" t="s">
        <v>6</v>
      </c>
      <c r="D9489" s="5">
        <f t="shared" si="296"/>
        <v>5.1100000000000003</v>
      </c>
      <c r="E9489">
        <v>5.61</v>
      </c>
      <c r="F9489" s="1789">
        <v>8.8999999999999996E-2</v>
      </c>
      <c r="G9489">
        <f t="shared" si="297"/>
        <v>5.1100000000000003</v>
      </c>
    </row>
    <row r="9490" spans="1:7" ht="12.75" customHeight="1">
      <c r="A9490" s="3">
        <v>96738</v>
      </c>
      <c r="B9490" s="4" t="s">
        <v>9514</v>
      </c>
      <c r="C9490" s="3" t="s">
        <v>6</v>
      </c>
      <c r="D9490" s="5">
        <f t="shared" si="296"/>
        <v>20.61</v>
      </c>
      <c r="E9490">
        <v>22.63</v>
      </c>
      <c r="F9490" s="1789">
        <v>8.8999999999999996E-2</v>
      </c>
      <c r="G9490">
        <f t="shared" si="297"/>
        <v>20.61</v>
      </c>
    </row>
    <row r="9491" spans="1:7" ht="12.75" customHeight="1">
      <c r="A9491" s="3">
        <v>96739</v>
      </c>
      <c r="B9491" s="4" t="s">
        <v>9515</v>
      </c>
      <c r="C9491" s="3" t="s">
        <v>6</v>
      </c>
      <c r="D9491" s="5">
        <f t="shared" si="296"/>
        <v>7.16</v>
      </c>
      <c r="E9491">
        <v>7.86</v>
      </c>
      <c r="F9491" s="1789">
        <v>8.8999999999999996E-2</v>
      </c>
      <c r="G9491">
        <f t="shared" si="297"/>
        <v>7.16</v>
      </c>
    </row>
    <row r="9492" spans="1:7" ht="12.75" customHeight="1">
      <c r="A9492" s="3">
        <v>96740</v>
      </c>
      <c r="B9492" s="4" t="s">
        <v>9516</v>
      </c>
      <c r="C9492" s="3" t="s">
        <v>6</v>
      </c>
      <c r="D9492" s="5">
        <f t="shared" si="296"/>
        <v>28.62</v>
      </c>
      <c r="E9492">
        <v>31.42</v>
      </c>
      <c r="F9492" s="1789">
        <v>8.8999999999999996E-2</v>
      </c>
      <c r="G9492">
        <f t="shared" si="297"/>
        <v>28.62</v>
      </c>
    </row>
    <row r="9493" spans="1:7" ht="12.75" customHeight="1">
      <c r="A9493" s="3">
        <v>96741</v>
      </c>
      <c r="B9493" s="4" t="s">
        <v>9517</v>
      </c>
      <c r="C9493" s="3" t="s">
        <v>6</v>
      </c>
      <c r="D9493" s="5">
        <f t="shared" ref="D9493:D9556" si="298">G9493</f>
        <v>14.36</v>
      </c>
      <c r="E9493">
        <v>15.77</v>
      </c>
      <c r="F9493" s="1789">
        <v>8.8999999999999996E-2</v>
      </c>
      <c r="G9493">
        <f t="shared" ref="G9493:G9556" si="299">TRUNC((1-F9493)*E9493,2)</f>
        <v>14.36</v>
      </c>
    </row>
    <row r="9494" spans="1:7" ht="12.75" customHeight="1">
      <c r="A9494" s="3">
        <v>96742</v>
      </c>
      <c r="B9494" s="4" t="s">
        <v>9518</v>
      </c>
      <c r="C9494" s="3" t="s">
        <v>6</v>
      </c>
      <c r="D9494" s="5">
        <f t="shared" si="298"/>
        <v>17.61</v>
      </c>
      <c r="E9494">
        <v>19.34</v>
      </c>
      <c r="F9494" s="1789">
        <v>8.8999999999999996E-2</v>
      </c>
      <c r="G9494">
        <f t="shared" si="299"/>
        <v>17.61</v>
      </c>
    </row>
    <row r="9495" spans="1:7" ht="12.75" customHeight="1">
      <c r="A9495" s="3">
        <v>96743</v>
      </c>
      <c r="B9495" s="4" t="s">
        <v>9519</v>
      </c>
      <c r="C9495" s="3" t="s">
        <v>6</v>
      </c>
      <c r="D9495" s="5">
        <f t="shared" si="298"/>
        <v>27.69</v>
      </c>
      <c r="E9495">
        <v>30.4</v>
      </c>
      <c r="F9495" s="1789">
        <v>8.8999999999999996E-2</v>
      </c>
      <c r="G9495">
        <f t="shared" si="299"/>
        <v>27.69</v>
      </c>
    </row>
    <row r="9496" spans="1:7" ht="12.75" customHeight="1">
      <c r="A9496" s="3">
        <v>96744</v>
      </c>
      <c r="B9496" s="4" t="s">
        <v>9520</v>
      </c>
      <c r="C9496" s="3" t="s">
        <v>6</v>
      </c>
      <c r="D9496" s="5">
        <f t="shared" si="298"/>
        <v>47.19</v>
      </c>
      <c r="E9496">
        <v>51.81</v>
      </c>
      <c r="F9496" s="1789">
        <v>8.8999999999999996E-2</v>
      </c>
      <c r="G9496">
        <f t="shared" si="299"/>
        <v>47.19</v>
      </c>
    </row>
    <row r="9497" spans="1:7" ht="12.75" customHeight="1">
      <c r="A9497" s="3">
        <v>96745</v>
      </c>
      <c r="B9497" s="4" t="s">
        <v>9521</v>
      </c>
      <c r="C9497" s="3" t="s">
        <v>6</v>
      </c>
      <c r="D9497" s="5">
        <f t="shared" si="298"/>
        <v>74.33</v>
      </c>
      <c r="E9497">
        <v>81.599999999999994</v>
      </c>
      <c r="F9497" s="1789">
        <v>8.8999999999999996E-2</v>
      </c>
      <c r="G9497">
        <f t="shared" si="299"/>
        <v>74.33</v>
      </c>
    </row>
    <row r="9498" spans="1:7" ht="12.75" customHeight="1">
      <c r="A9498" s="3">
        <v>96746</v>
      </c>
      <c r="B9498" s="4" t="s">
        <v>9522</v>
      </c>
      <c r="C9498" s="3" t="s">
        <v>6</v>
      </c>
      <c r="D9498" s="5">
        <f t="shared" si="298"/>
        <v>97.54</v>
      </c>
      <c r="E9498">
        <v>107.07</v>
      </c>
      <c r="F9498" s="1789">
        <v>8.8999999999999996E-2</v>
      </c>
      <c r="G9498">
        <f t="shared" si="299"/>
        <v>97.54</v>
      </c>
    </row>
    <row r="9499" spans="1:7" ht="12.75" customHeight="1">
      <c r="A9499" s="3">
        <v>96747</v>
      </c>
      <c r="B9499" s="4" t="s">
        <v>9523</v>
      </c>
      <c r="C9499" s="3" t="s">
        <v>6</v>
      </c>
      <c r="D9499" s="5">
        <f t="shared" si="298"/>
        <v>6.01</v>
      </c>
      <c r="E9499">
        <v>6.6</v>
      </c>
      <c r="F9499" s="1789">
        <v>8.8999999999999996E-2</v>
      </c>
      <c r="G9499">
        <f t="shared" si="299"/>
        <v>6.01</v>
      </c>
    </row>
    <row r="9500" spans="1:7" ht="12.75" customHeight="1">
      <c r="A9500" s="3">
        <v>96748</v>
      </c>
      <c r="B9500" s="4" t="s">
        <v>9524</v>
      </c>
      <c r="C9500" s="3" t="s">
        <v>6</v>
      </c>
      <c r="D9500" s="5">
        <f t="shared" si="298"/>
        <v>7.02</v>
      </c>
      <c r="E9500">
        <v>7.71</v>
      </c>
      <c r="F9500" s="1789">
        <v>8.8999999999999996E-2</v>
      </c>
      <c r="G9500">
        <f t="shared" si="299"/>
        <v>7.02</v>
      </c>
    </row>
    <row r="9501" spans="1:7" ht="12.75" customHeight="1">
      <c r="A9501" s="3">
        <v>96749</v>
      </c>
      <c r="B9501" s="4" t="s">
        <v>9525</v>
      </c>
      <c r="C9501" s="3" t="s">
        <v>6</v>
      </c>
      <c r="D9501" s="5">
        <f t="shared" si="298"/>
        <v>8.9700000000000006</v>
      </c>
      <c r="E9501">
        <v>9.85</v>
      </c>
      <c r="F9501" s="1789">
        <v>8.8999999999999996E-2</v>
      </c>
      <c r="G9501">
        <f t="shared" si="299"/>
        <v>8.9700000000000006</v>
      </c>
    </row>
    <row r="9502" spans="1:7" ht="12.75" customHeight="1">
      <c r="A9502" s="3">
        <v>96750</v>
      </c>
      <c r="B9502" s="4" t="s">
        <v>9526</v>
      </c>
      <c r="C9502" s="3" t="s">
        <v>6</v>
      </c>
      <c r="D9502" s="5">
        <f t="shared" si="298"/>
        <v>14.42</v>
      </c>
      <c r="E9502">
        <v>15.83</v>
      </c>
      <c r="F9502" s="1789">
        <v>8.8999999999999996E-2</v>
      </c>
      <c r="G9502">
        <f t="shared" si="299"/>
        <v>14.42</v>
      </c>
    </row>
    <row r="9503" spans="1:7" ht="12.75" customHeight="1">
      <c r="A9503" s="3">
        <v>96751</v>
      </c>
      <c r="B9503" s="4" t="s">
        <v>9527</v>
      </c>
      <c r="C9503" s="3" t="s">
        <v>6</v>
      </c>
      <c r="D9503" s="5">
        <f t="shared" si="298"/>
        <v>21.28</v>
      </c>
      <c r="E9503">
        <v>23.36</v>
      </c>
      <c r="F9503" s="1789">
        <v>8.8999999999999996E-2</v>
      </c>
      <c r="G9503">
        <f t="shared" si="299"/>
        <v>21.28</v>
      </c>
    </row>
    <row r="9504" spans="1:7" ht="12.75" customHeight="1">
      <c r="A9504" s="3">
        <v>96752</v>
      </c>
      <c r="B9504" s="4" t="s">
        <v>9528</v>
      </c>
      <c r="C9504" s="3" t="s">
        <v>6</v>
      </c>
      <c r="D9504" s="5">
        <f t="shared" si="298"/>
        <v>32.14</v>
      </c>
      <c r="E9504">
        <v>35.28</v>
      </c>
      <c r="F9504" s="1789">
        <v>8.8999999999999996E-2</v>
      </c>
      <c r="G9504">
        <f t="shared" si="299"/>
        <v>32.14</v>
      </c>
    </row>
    <row r="9505" spans="1:7" ht="12.75" customHeight="1">
      <c r="A9505" s="3">
        <v>96753</v>
      </c>
      <c r="B9505" s="4" t="s">
        <v>9529</v>
      </c>
      <c r="C9505" s="3" t="s">
        <v>6</v>
      </c>
      <c r="D9505" s="5">
        <f t="shared" si="298"/>
        <v>75.459999999999994</v>
      </c>
      <c r="E9505">
        <v>82.84</v>
      </c>
      <c r="F9505" s="1789">
        <v>8.8999999999999996E-2</v>
      </c>
      <c r="G9505">
        <f t="shared" si="299"/>
        <v>75.459999999999994</v>
      </c>
    </row>
    <row r="9506" spans="1:7" ht="12.75" customHeight="1">
      <c r="A9506" s="3">
        <v>96754</v>
      </c>
      <c r="B9506" s="4" t="s">
        <v>9530</v>
      </c>
      <c r="C9506" s="3" t="s">
        <v>6</v>
      </c>
      <c r="D9506" s="5">
        <f t="shared" si="298"/>
        <v>96.71</v>
      </c>
      <c r="E9506">
        <v>106.16</v>
      </c>
      <c r="F9506" s="1789">
        <v>8.8999999999999996E-2</v>
      </c>
      <c r="G9506">
        <f t="shared" si="299"/>
        <v>96.71</v>
      </c>
    </row>
    <row r="9507" spans="1:7" ht="12.75" customHeight="1">
      <c r="A9507" s="3">
        <v>96755</v>
      </c>
      <c r="B9507" s="4" t="s">
        <v>9531</v>
      </c>
      <c r="C9507" s="3" t="s">
        <v>6</v>
      </c>
      <c r="D9507" s="5">
        <f t="shared" si="298"/>
        <v>299.37</v>
      </c>
      <c r="E9507">
        <v>328.62</v>
      </c>
      <c r="F9507" s="1789">
        <v>8.8999999999999996E-2</v>
      </c>
      <c r="G9507">
        <f t="shared" si="299"/>
        <v>299.37</v>
      </c>
    </row>
    <row r="9508" spans="1:7" ht="12.75" customHeight="1">
      <c r="A9508" s="3">
        <v>96758</v>
      </c>
      <c r="B9508" s="4" t="s">
        <v>9532</v>
      </c>
      <c r="C9508" s="3" t="s">
        <v>6</v>
      </c>
      <c r="D9508" s="5">
        <f t="shared" si="298"/>
        <v>14.29</v>
      </c>
      <c r="E9508">
        <v>15.69</v>
      </c>
      <c r="F9508" s="1789">
        <v>8.8999999999999996E-2</v>
      </c>
      <c r="G9508">
        <f t="shared" si="299"/>
        <v>14.29</v>
      </c>
    </row>
    <row r="9509" spans="1:7" ht="12.75" customHeight="1">
      <c r="A9509" s="3">
        <v>96759</v>
      </c>
      <c r="B9509" s="4" t="s">
        <v>9533</v>
      </c>
      <c r="C9509" s="3" t="s">
        <v>6</v>
      </c>
      <c r="D9509" s="5">
        <f t="shared" si="298"/>
        <v>21.48</v>
      </c>
      <c r="E9509">
        <v>23.58</v>
      </c>
      <c r="F9509" s="1789">
        <v>8.8999999999999996E-2</v>
      </c>
      <c r="G9509">
        <f t="shared" si="299"/>
        <v>21.48</v>
      </c>
    </row>
    <row r="9510" spans="1:7" ht="12.75" customHeight="1">
      <c r="A9510" s="3">
        <v>96760</v>
      </c>
      <c r="B9510" s="4" t="s">
        <v>9534</v>
      </c>
      <c r="C9510" s="3" t="s">
        <v>6</v>
      </c>
      <c r="D9510" s="5">
        <f t="shared" si="298"/>
        <v>35.51</v>
      </c>
      <c r="E9510">
        <v>38.99</v>
      </c>
      <c r="F9510" s="1789">
        <v>8.8999999999999996E-2</v>
      </c>
      <c r="G9510">
        <f t="shared" si="299"/>
        <v>35.51</v>
      </c>
    </row>
    <row r="9511" spans="1:7" ht="12.75" customHeight="1">
      <c r="A9511" s="3">
        <v>96761</v>
      </c>
      <c r="B9511" s="4" t="s">
        <v>9535</v>
      </c>
      <c r="C9511" s="3" t="s">
        <v>6</v>
      </c>
      <c r="D9511" s="5">
        <f t="shared" si="298"/>
        <v>53.21</v>
      </c>
      <c r="E9511">
        <v>58.41</v>
      </c>
      <c r="F9511" s="1789">
        <v>8.8999999999999996E-2</v>
      </c>
      <c r="G9511">
        <f t="shared" si="299"/>
        <v>53.21</v>
      </c>
    </row>
    <row r="9512" spans="1:7" ht="12.75" customHeight="1">
      <c r="A9512" s="3">
        <v>96762</v>
      </c>
      <c r="B9512" s="4" t="s">
        <v>9536</v>
      </c>
      <c r="C9512" s="3" t="s">
        <v>6</v>
      </c>
      <c r="D9512" s="5">
        <f t="shared" si="298"/>
        <v>101.54</v>
      </c>
      <c r="E9512">
        <v>111.47</v>
      </c>
      <c r="F9512" s="1789">
        <v>8.8999999999999996E-2</v>
      </c>
      <c r="G9512">
        <f t="shared" si="299"/>
        <v>101.54</v>
      </c>
    </row>
    <row r="9513" spans="1:7" ht="12.75" customHeight="1">
      <c r="A9513" s="3">
        <v>96763</v>
      </c>
      <c r="B9513" s="4" t="s">
        <v>9537</v>
      </c>
      <c r="C9513" s="3" t="s">
        <v>6</v>
      </c>
      <c r="D9513" s="5">
        <f t="shared" si="298"/>
        <v>136.04</v>
      </c>
      <c r="E9513">
        <v>149.34</v>
      </c>
      <c r="F9513" s="1789">
        <v>8.8999999999999996E-2</v>
      </c>
      <c r="G9513">
        <f t="shared" si="299"/>
        <v>136.04</v>
      </c>
    </row>
    <row r="9514" spans="1:7" ht="12.75" customHeight="1">
      <c r="A9514" s="3">
        <v>96764</v>
      </c>
      <c r="B9514" s="4" t="s">
        <v>9538</v>
      </c>
      <c r="C9514" s="3" t="s">
        <v>6</v>
      </c>
      <c r="D9514" s="5">
        <f t="shared" si="298"/>
        <v>271.22000000000003</v>
      </c>
      <c r="E9514">
        <v>297.72000000000003</v>
      </c>
      <c r="F9514" s="1789">
        <v>8.8999999999999996E-2</v>
      </c>
      <c r="G9514">
        <f t="shared" si="299"/>
        <v>271.22000000000003</v>
      </c>
    </row>
    <row r="9515" spans="1:7" ht="12.75" customHeight="1">
      <c r="A9515" s="3">
        <v>96802</v>
      </c>
      <c r="B9515" s="4" t="s">
        <v>9539</v>
      </c>
      <c r="C9515" s="3" t="s">
        <v>6</v>
      </c>
      <c r="D9515" s="5">
        <f t="shared" si="298"/>
        <v>367.83</v>
      </c>
      <c r="E9515">
        <v>403.77</v>
      </c>
      <c r="F9515" s="1789">
        <v>8.8999999999999996E-2</v>
      </c>
      <c r="G9515">
        <f t="shared" si="299"/>
        <v>367.83</v>
      </c>
    </row>
    <row r="9516" spans="1:7" ht="12.75" customHeight="1">
      <c r="A9516" s="3">
        <v>96803</v>
      </c>
      <c r="B9516" s="4" t="s">
        <v>9540</v>
      </c>
      <c r="C9516" s="3" t="s">
        <v>6</v>
      </c>
      <c r="D9516" s="5">
        <f t="shared" si="298"/>
        <v>65.81</v>
      </c>
      <c r="E9516">
        <v>72.239999999999995</v>
      </c>
      <c r="F9516" s="1789">
        <v>8.8999999999999996E-2</v>
      </c>
      <c r="G9516">
        <f t="shared" si="299"/>
        <v>65.81</v>
      </c>
    </row>
    <row r="9517" spans="1:7" ht="12.75" customHeight="1">
      <c r="A9517" s="3">
        <v>96804</v>
      </c>
      <c r="B9517" s="4" t="s">
        <v>9541</v>
      </c>
      <c r="C9517" s="3" t="s">
        <v>6</v>
      </c>
      <c r="D9517" s="5">
        <f t="shared" si="298"/>
        <v>104.83</v>
      </c>
      <c r="E9517">
        <v>115.08</v>
      </c>
      <c r="F9517" s="1789">
        <v>8.8999999999999996E-2</v>
      </c>
      <c r="G9517">
        <f t="shared" si="299"/>
        <v>104.83</v>
      </c>
    </row>
    <row r="9518" spans="1:7" ht="12.75" customHeight="1">
      <c r="A9518" s="3">
        <v>96805</v>
      </c>
      <c r="B9518" s="4" t="s">
        <v>9542</v>
      </c>
      <c r="C9518" s="3" t="s">
        <v>6</v>
      </c>
      <c r="D9518" s="5">
        <f t="shared" si="298"/>
        <v>188.62</v>
      </c>
      <c r="E9518">
        <v>207.05</v>
      </c>
      <c r="F9518" s="1789">
        <v>8.8999999999999996E-2</v>
      </c>
      <c r="G9518">
        <f t="shared" si="299"/>
        <v>188.62</v>
      </c>
    </row>
    <row r="9519" spans="1:7" ht="12.75" customHeight="1">
      <c r="A9519" s="3">
        <v>96806</v>
      </c>
      <c r="B9519" s="4" t="s">
        <v>9543</v>
      </c>
      <c r="C9519" s="3" t="s">
        <v>6</v>
      </c>
      <c r="D9519" s="5">
        <f t="shared" si="298"/>
        <v>71.41</v>
      </c>
      <c r="E9519">
        <v>78.39</v>
      </c>
      <c r="F9519" s="1789">
        <v>8.8999999999999996E-2</v>
      </c>
      <c r="G9519">
        <f t="shared" si="299"/>
        <v>71.41</v>
      </c>
    </row>
    <row r="9520" spans="1:7" ht="12.75" customHeight="1">
      <c r="A9520" s="3">
        <v>96807</v>
      </c>
      <c r="B9520" s="4" t="s">
        <v>9544</v>
      </c>
      <c r="C9520" s="3" t="s">
        <v>6</v>
      </c>
      <c r="D9520" s="5">
        <f t="shared" si="298"/>
        <v>113.89</v>
      </c>
      <c r="E9520">
        <v>125.02</v>
      </c>
      <c r="F9520" s="1789">
        <v>8.8999999999999996E-2</v>
      </c>
      <c r="G9520">
        <f t="shared" si="299"/>
        <v>113.89</v>
      </c>
    </row>
    <row r="9521" spans="1:7" ht="12.75" customHeight="1">
      <c r="A9521" s="3">
        <v>96808</v>
      </c>
      <c r="B9521" s="4" t="s">
        <v>9545</v>
      </c>
      <c r="C9521" s="3" t="s">
        <v>6</v>
      </c>
      <c r="D9521" s="5">
        <f t="shared" si="298"/>
        <v>14.25</v>
      </c>
      <c r="E9521">
        <v>15.65</v>
      </c>
      <c r="F9521" s="1789">
        <v>8.8999999999999996E-2</v>
      </c>
      <c r="G9521">
        <f t="shared" si="299"/>
        <v>14.25</v>
      </c>
    </row>
    <row r="9522" spans="1:7" ht="12.75" customHeight="1">
      <c r="A9522" s="3">
        <v>96809</v>
      </c>
      <c r="B9522" s="4" t="s">
        <v>9546</v>
      </c>
      <c r="C9522" s="3" t="s">
        <v>6</v>
      </c>
      <c r="D9522" s="5">
        <f t="shared" si="298"/>
        <v>15.81</v>
      </c>
      <c r="E9522">
        <v>17.36</v>
      </c>
      <c r="F9522" s="1789">
        <v>8.8999999999999996E-2</v>
      </c>
      <c r="G9522">
        <f t="shared" si="299"/>
        <v>15.81</v>
      </c>
    </row>
    <row r="9523" spans="1:7" ht="12.75" customHeight="1">
      <c r="A9523" s="3">
        <v>96810</v>
      </c>
      <c r="B9523" s="4" t="s">
        <v>9547</v>
      </c>
      <c r="C9523" s="3" t="s">
        <v>6</v>
      </c>
      <c r="D9523" s="5">
        <f t="shared" si="298"/>
        <v>17.149999999999999</v>
      </c>
      <c r="E9523">
        <v>18.829999999999998</v>
      </c>
      <c r="F9523" s="1789">
        <v>8.8999999999999996E-2</v>
      </c>
      <c r="G9523">
        <f t="shared" si="299"/>
        <v>17.149999999999999</v>
      </c>
    </row>
    <row r="9524" spans="1:7" ht="12.75" customHeight="1">
      <c r="A9524" s="3">
        <v>96811</v>
      </c>
      <c r="B9524" s="4" t="s">
        <v>9548</v>
      </c>
      <c r="C9524" s="3" t="s">
        <v>6</v>
      </c>
      <c r="D9524" s="5">
        <f t="shared" si="298"/>
        <v>18.07</v>
      </c>
      <c r="E9524">
        <v>19.84</v>
      </c>
      <c r="F9524" s="1789">
        <v>8.8999999999999996E-2</v>
      </c>
      <c r="G9524">
        <f t="shared" si="299"/>
        <v>18.07</v>
      </c>
    </row>
    <row r="9525" spans="1:7" ht="12.75" customHeight="1">
      <c r="A9525" s="3">
        <v>96812</v>
      </c>
      <c r="B9525" s="4" t="s">
        <v>9549</v>
      </c>
      <c r="C9525" s="3" t="s">
        <v>6</v>
      </c>
      <c r="D9525" s="5">
        <f t="shared" si="298"/>
        <v>16.46</v>
      </c>
      <c r="E9525">
        <v>18.07</v>
      </c>
      <c r="F9525" s="1789">
        <v>8.8999999999999996E-2</v>
      </c>
      <c r="G9525">
        <f t="shared" si="299"/>
        <v>16.46</v>
      </c>
    </row>
    <row r="9526" spans="1:7" ht="12.75" customHeight="1">
      <c r="A9526" s="3">
        <v>96813</v>
      </c>
      <c r="B9526" s="4" t="s">
        <v>9550</v>
      </c>
      <c r="C9526" s="3" t="s">
        <v>6</v>
      </c>
      <c r="D9526" s="5">
        <f t="shared" si="298"/>
        <v>18.79</v>
      </c>
      <c r="E9526">
        <v>20.63</v>
      </c>
      <c r="F9526" s="1789">
        <v>8.8999999999999996E-2</v>
      </c>
      <c r="G9526">
        <f t="shared" si="299"/>
        <v>18.79</v>
      </c>
    </row>
    <row r="9527" spans="1:7" ht="12.75" customHeight="1">
      <c r="A9527" s="3">
        <v>96814</v>
      </c>
      <c r="B9527" s="4" t="s">
        <v>9551</v>
      </c>
      <c r="C9527" s="3" t="s">
        <v>6</v>
      </c>
      <c r="D9527" s="5">
        <f t="shared" si="298"/>
        <v>13.55</v>
      </c>
      <c r="E9527">
        <v>14.88</v>
      </c>
      <c r="F9527" s="1789">
        <v>8.8999999999999996E-2</v>
      </c>
      <c r="G9527">
        <f t="shared" si="299"/>
        <v>13.55</v>
      </c>
    </row>
    <row r="9528" spans="1:7" ht="12.75" customHeight="1">
      <c r="A9528" s="3">
        <v>96815</v>
      </c>
      <c r="B9528" s="4" t="s">
        <v>9552</v>
      </c>
      <c r="C9528" s="3" t="s">
        <v>6</v>
      </c>
      <c r="D9528" s="5">
        <f t="shared" si="298"/>
        <v>28.39</v>
      </c>
      <c r="E9528">
        <v>31.17</v>
      </c>
      <c r="F9528" s="1789">
        <v>8.8999999999999996E-2</v>
      </c>
      <c r="G9528">
        <f t="shared" si="299"/>
        <v>28.39</v>
      </c>
    </row>
    <row r="9529" spans="1:7" ht="12.75" customHeight="1">
      <c r="A9529" s="3">
        <v>96816</v>
      </c>
      <c r="B9529" s="4" t="s">
        <v>9553</v>
      </c>
      <c r="C9529" s="3" t="s">
        <v>6</v>
      </c>
      <c r="D9529" s="5">
        <f t="shared" si="298"/>
        <v>21.29</v>
      </c>
      <c r="E9529">
        <v>23.37</v>
      </c>
      <c r="F9529" s="1789">
        <v>8.8999999999999996E-2</v>
      </c>
      <c r="G9529">
        <f t="shared" si="299"/>
        <v>21.29</v>
      </c>
    </row>
    <row r="9530" spans="1:7" ht="12.75" customHeight="1">
      <c r="A9530" s="3">
        <v>96817</v>
      </c>
      <c r="B9530" s="4" t="s">
        <v>9554</v>
      </c>
      <c r="C9530" s="3" t="s">
        <v>6</v>
      </c>
      <c r="D9530" s="5">
        <f t="shared" si="298"/>
        <v>28.62</v>
      </c>
      <c r="E9530">
        <v>31.42</v>
      </c>
      <c r="F9530" s="1789">
        <v>8.8999999999999996E-2</v>
      </c>
      <c r="G9530">
        <f t="shared" si="299"/>
        <v>28.62</v>
      </c>
    </row>
    <row r="9531" spans="1:7" ht="12.75" customHeight="1">
      <c r="A9531" s="3">
        <v>96818</v>
      </c>
      <c r="B9531" s="4" t="s">
        <v>9555</v>
      </c>
      <c r="C9531" s="3" t="s">
        <v>6</v>
      </c>
      <c r="D9531" s="5">
        <f t="shared" si="298"/>
        <v>18.37</v>
      </c>
      <c r="E9531">
        <v>20.170000000000002</v>
      </c>
      <c r="F9531" s="1789">
        <v>8.8999999999999996E-2</v>
      </c>
      <c r="G9531">
        <f t="shared" si="299"/>
        <v>18.37</v>
      </c>
    </row>
    <row r="9532" spans="1:7" ht="12.75" customHeight="1">
      <c r="A9532" s="3">
        <v>96819</v>
      </c>
      <c r="B9532" s="4" t="s">
        <v>9556</v>
      </c>
      <c r="C9532" s="3" t="s">
        <v>6</v>
      </c>
      <c r="D9532" s="5">
        <f t="shared" si="298"/>
        <v>19.690000000000001</v>
      </c>
      <c r="E9532">
        <v>21.62</v>
      </c>
      <c r="F9532" s="1789">
        <v>8.8999999999999996E-2</v>
      </c>
      <c r="G9532">
        <f t="shared" si="299"/>
        <v>19.690000000000001</v>
      </c>
    </row>
    <row r="9533" spans="1:7" ht="12.75" customHeight="1">
      <c r="A9533" s="3">
        <v>96820</v>
      </c>
      <c r="B9533" s="4" t="s">
        <v>9557</v>
      </c>
      <c r="C9533" s="3" t="s">
        <v>6</v>
      </c>
      <c r="D9533" s="5">
        <f t="shared" si="298"/>
        <v>34.11</v>
      </c>
      <c r="E9533">
        <v>37.450000000000003</v>
      </c>
      <c r="F9533" s="1789">
        <v>8.8999999999999996E-2</v>
      </c>
      <c r="G9533">
        <f t="shared" si="299"/>
        <v>34.11</v>
      </c>
    </row>
    <row r="9534" spans="1:7" ht="12.75" customHeight="1">
      <c r="A9534" s="3">
        <v>96821</v>
      </c>
      <c r="B9534" s="4" t="s">
        <v>9558</v>
      </c>
      <c r="C9534" s="3" t="s">
        <v>6</v>
      </c>
      <c r="D9534" s="5">
        <f t="shared" si="298"/>
        <v>31.9</v>
      </c>
      <c r="E9534">
        <v>35.020000000000003</v>
      </c>
      <c r="F9534" s="1789">
        <v>8.8999999999999996E-2</v>
      </c>
      <c r="G9534">
        <f t="shared" si="299"/>
        <v>31.9</v>
      </c>
    </row>
    <row r="9535" spans="1:7" ht="12.75" customHeight="1">
      <c r="A9535" s="3">
        <v>96822</v>
      </c>
      <c r="B9535" s="4" t="s">
        <v>9559</v>
      </c>
      <c r="C9535" s="3" t="s">
        <v>6</v>
      </c>
      <c r="D9535" s="5">
        <f t="shared" si="298"/>
        <v>25.94</v>
      </c>
      <c r="E9535">
        <v>28.48</v>
      </c>
      <c r="F9535" s="1789">
        <v>8.8999999999999996E-2</v>
      </c>
      <c r="G9535">
        <f t="shared" si="299"/>
        <v>25.94</v>
      </c>
    </row>
    <row r="9536" spans="1:7" ht="12.75" customHeight="1">
      <c r="A9536" s="3">
        <v>96823</v>
      </c>
      <c r="B9536" s="4" t="s">
        <v>9560</v>
      </c>
      <c r="C9536" s="3" t="s">
        <v>6</v>
      </c>
      <c r="D9536" s="5">
        <f t="shared" si="298"/>
        <v>9.57</v>
      </c>
      <c r="E9536">
        <v>10.51</v>
      </c>
      <c r="F9536" s="1789">
        <v>8.8999999999999996E-2</v>
      </c>
      <c r="G9536">
        <f t="shared" si="299"/>
        <v>9.57</v>
      </c>
    </row>
    <row r="9537" spans="1:7" ht="12.75" customHeight="1">
      <c r="A9537" s="3">
        <v>96824</v>
      </c>
      <c r="B9537" s="4" t="s">
        <v>9561</v>
      </c>
      <c r="C9537" s="3" t="s">
        <v>6</v>
      </c>
      <c r="D9537" s="5">
        <f t="shared" si="298"/>
        <v>14.86</v>
      </c>
      <c r="E9537">
        <v>16.32</v>
      </c>
      <c r="F9537" s="1789">
        <v>8.8999999999999996E-2</v>
      </c>
      <c r="G9537">
        <f t="shared" si="299"/>
        <v>14.86</v>
      </c>
    </row>
    <row r="9538" spans="1:7" ht="12.75" customHeight="1">
      <c r="A9538" s="3">
        <v>96826</v>
      </c>
      <c r="B9538" s="4" t="s">
        <v>9562</v>
      </c>
      <c r="C9538" s="3" t="s">
        <v>6</v>
      </c>
      <c r="D9538" s="5">
        <f t="shared" si="298"/>
        <v>11.08</v>
      </c>
      <c r="E9538">
        <v>12.17</v>
      </c>
      <c r="F9538" s="1789">
        <v>8.8999999999999996E-2</v>
      </c>
      <c r="G9538">
        <f t="shared" si="299"/>
        <v>11.08</v>
      </c>
    </row>
    <row r="9539" spans="1:7" ht="12.75" customHeight="1">
      <c r="A9539" s="3">
        <v>96827</v>
      </c>
      <c r="B9539" s="4" t="s">
        <v>9563</v>
      </c>
      <c r="C9539" s="3" t="s">
        <v>6</v>
      </c>
      <c r="D9539" s="5">
        <f t="shared" si="298"/>
        <v>16.21</v>
      </c>
      <c r="E9539">
        <v>17.8</v>
      </c>
      <c r="F9539" s="1789">
        <v>8.8999999999999996E-2</v>
      </c>
      <c r="G9539">
        <f t="shared" si="299"/>
        <v>16.21</v>
      </c>
    </row>
    <row r="9540" spans="1:7" ht="12.75" customHeight="1">
      <c r="A9540" s="3">
        <v>96828</v>
      </c>
      <c r="B9540" s="4" t="s">
        <v>9564</v>
      </c>
      <c r="C9540" s="3" t="s">
        <v>6</v>
      </c>
      <c r="D9540" s="5">
        <f t="shared" si="298"/>
        <v>20.07</v>
      </c>
      <c r="E9540">
        <v>22.04</v>
      </c>
      <c r="F9540" s="1789">
        <v>8.8999999999999996E-2</v>
      </c>
      <c r="G9540">
        <f t="shared" si="299"/>
        <v>20.07</v>
      </c>
    </row>
    <row r="9541" spans="1:7" ht="12.75" customHeight="1">
      <c r="A9541" s="3">
        <v>96829</v>
      </c>
      <c r="B9541" s="4" t="s">
        <v>9565</v>
      </c>
      <c r="C9541" s="3" t="s">
        <v>6</v>
      </c>
      <c r="D9541" s="5">
        <f t="shared" si="298"/>
        <v>15.77</v>
      </c>
      <c r="E9541">
        <v>17.32</v>
      </c>
      <c r="F9541" s="1789">
        <v>8.8999999999999996E-2</v>
      </c>
      <c r="G9541">
        <f t="shared" si="299"/>
        <v>15.77</v>
      </c>
    </row>
    <row r="9542" spans="1:7" ht="12.75" customHeight="1">
      <c r="A9542" s="3">
        <v>96830</v>
      </c>
      <c r="B9542" s="4" t="s">
        <v>9566</v>
      </c>
      <c r="C9542" s="3" t="s">
        <v>6</v>
      </c>
      <c r="D9542" s="5">
        <f t="shared" si="298"/>
        <v>17.66</v>
      </c>
      <c r="E9542">
        <v>19.39</v>
      </c>
      <c r="F9542" s="1789">
        <v>8.8999999999999996E-2</v>
      </c>
      <c r="G9542">
        <f t="shared" si="299"/>
        <v>17.66</v>
      </c>
    </row>
    <row r="9543" spans="1:7" ht="12.75" customHeight="1">
      <c r="A9543" s="3">
        <v>96832</v>
      </c>
      <c r="B9543" s="4" t="s">
        <v>9567</v>
      </c>
      <c r="C9543" s="3" t="s">
        <v>6</v>
      </c>
      <c r="D9543" s="5">
        <f t="shared" si="298"/>
        <v>25.42</v>
      </c>
      <c r="E9543">
        <v>27.91</v>
      </c>
      <c r="F9543" s="1789">
        <v>8.8999999999999996E-2</v>
      </c>
      <c r="G9543">
        <f t="shared" si="299"/>
        <v>25.42</v>
      </c>
    </row>
    <row r="9544" spans="1:7" ht="12.75" customHeight="1">
      <c r="A9544" s="3">
        <v>96833</v>
      </c>
      <c r="B9544" s="4" t="s">
        <v>9568</v>
      </c>
      <c r="C9544" s="3" t="s">
        <v>6</v>
      </c>
      <c r="D9544" s="5">
        <f t="shared" si="298"/>
        <v>20.21</v>
      </c>
      <c r="E9544">
        <v>22.19</v>
      </c>
      <c r="F9544" s="1789">
        <v>8.8999999999999996E-2</v>
      </c>
      <c r="G9544">
        <f t="shared" si="299"/>
        <v>20.21</v>
      </c>
    </row>
    <row r="9545" spans="1:7" ht="12.75" customHeight="1">
      <c r="A9545" s="3">
        <v>96834</v>
      </c>
      <c r="B9545" s="4" t="s">
        <v>9569</v>
      </c>
      <c r="C9545" s="3" t="s">
        <v>6</v>
      </c>
      <c r="D9545" s="5">
        <f t="shared" si="298"/>
        <v>24</v>
      </c>
      <c r="E9545">
        <v>26.35</v>
      </c>
      <c r="F9545" s="1789">
        <v>8.8999999999999996E-2</v>
      </c>
      <c r="G9545">
        <f t="shared" si="299"/>
        <v>24</v>
      </c>
    </row>
    <row r="9546" spans="1:7" ht="12.75" customHeight="1">
      <c r="A9546" s="3">
        <v>96836</v>
      </c>
      <c r="B9546" s="4" t="s">
        <v>9570</v>
      </c>
      <c r="C9546" s="3" t="s">
        <v>6</v>
      </c>
      <c r="D9546" s="5">
        <f t="shared" si="298"/>
        <v>28.98</v>
      </c>
      <c r="E9546">
        <v>31.82</v>
      </c>
      <c r="F9546" s="1789">
        <v>8.8999999999999996E-2</v>
      </c>
      <c r="G9546">
        <f t="shared" si="299"/>
        <v>28.98</v>
      </c>
    </row>
    <row r="9547" spans="1:7" ht="12.75" customHeight="1">
      <c r="A9547" s="3">
        <v>96837</v>
      </c>
      <c r="B9547" s="4" t="s">
        <v>9571</v>
      </c>
      <c r="C9547" s="3" t="s">
        <v>6</v>
      </c>
      <c r="D9547" s="5">
        <f t="shared" si="298"/>
        <v>17.61</v>
      </c>
      <c r="E9547">
        <v>19.34</v>
      </c>
      <c r="F9547" s="1789">
        <v>8.8999999999999996E-2</v>
      </c>
      <c r="G9547">
        <f t="shared" si="299"/>
        <v>17.61</v>
      </c>
    </row>
    <row r="9548" spans="1:7" ht="12.75" customHeight="1">
      <c r="A9548" s="3">
        <v>96838</v>
      </c>
      <c r="B9548" s="4" t="s">
        <v>9572</v>
      </c>
      <c r="C9548" s="3" t="s">
        <v>6</v>
      </c>
      <c r="D9548" s="5">
        <f t="shared" si="298"/>
        <v>21.09</v>
      </c>
      <c r="E9548">
        <v>23.16</v>
      </c>
      <c r="F9548" s="1789">
        <v>8.8999999999999996E-2</v>
      </c>
      <c r="G9548">
        <f t="shared" si="299"/>
        <v>21.09</v>
      </c>
    </row>
    <row r="9549" spans="1:7" ht="12.75" customHeight="1">
      <c r="A9549" s="3">
        <v>96839</v>
      </c>
      <c r="B9549" s="4" t="s">
        <v>9573</v>
      </c>
      <c r="C9549" s="3" t="s">
        <v>6</v>
      </c>
      <c r="D9549" s="5">
        <f t="shared" si="298"/>
        <v>21.85</v>
      </c>
      <c r="E9549">
        <v>23.99</v>
      </c>
      <c r="F9549" s="1789">
        <v>8.8999999999999996E-2</v>
      </c>
      <c r="G9549">
        <f t="shared" si="299"/>
        <v>21.85</v>
      </c>
    </row>
    <row r="9550" spans="1:7" ht="12.75" customHeight="1">
      <c r="A9550" s="3">
        <v>96840</v>
      </c>
      <c r="B9550" s="4" t="s">
        <v>9574</v>
      </c>
      <c r="C9550" s="3" t="s">
        <v>6</v>
      </c>
      <c r="D9550" s="5">
        <f t="shared" si="298"/>
        <v>21.29</v>
      </c>
      <c r="E9550">
        <v>23.37</v>
      </c>
      <c r="F9550" s="1789">
        <v>8.8999999999999996E-2</v>
      </c>
      <c r="G9550">
        <f t="shared" si="299"/>
        <v>21.29</v>
      </c>
    </row>
    <row r="9551" spans="1:7" ht="12.75" customHeight="1">
      <c r="A9551" s="3">
        <v>96841</v>
      </c>
      <c r="B9551" s="4" t="s">
        <v>9575</v>
      </c>
      <c r="C9551" s="3" t="s">
        <v>6</v>
      </c>
      <c r="D9551" s="5">
        <f t="shared" si="298"/>
        <v>23.45</v>
      </c>
      <c r="E9551">
        <v>25.75</v>
      </c>
      <c r="F9551" s="1789">
        <v>8.8999999999999996E-2</v>
      </c>
      <c r="G9551">
        <f t="shared" si="299"/>
        <v>23.45</v>
      </c>
    </row>
    <row r="9552" spans="1:7" ht="12.75" customHeight="1">
      <c r="A9552" s="3">
        <v>96842</v>
      </c>
      <c r="B9552" s="4" t="s">
        <v>9576</v>
      </c>
      <c r="C9552" s="3" t="s">
        <v>6</v>
      </c>
      <c r="D9552" s="5">
        <f t="shared" si="298"/>
        <v>26.92</v>
      </c>
      <c r="E9552">
        <v>29.55</v>
      </c>
      <c r="F9552" s="1789">
        <v>8.8999999999999996E-2</v>
      </c>
      <c r="G9552">
        <f t="shared" si="299"/>
        <v>26.92</v>
      </c>
    </row>
    <row r="9553" spans="1:7" ht="12.75" customHeight="1">
      <c r="A9553" s="3">
        <v>96843</v>
      </c>
      <c r="B9553" s="4" t="s">
        <v>9577</v>
      </c>
      <c r="C9553" s="3" t="s">
        <v>6</v>
      </c>
      <c r="D9553" s="5">
        <f t="shared" si="298"/>
        <v>24.48</v>
      </c>
      <c r="E9553">
        <v>26.88</v>
      </c>
      <c r="F9553" s="1789">
        <v>8.8999999999999996E-2</v>
      </c>
      <c r="G9553">
        <f t="shared" si="299"/>
        <v>24.48</v>
      </c>
    </row>
    <row r="9554" spans="1:7" ht="12.75" customHeight="1">
      <c r="A9554" s="3">
        <v>96844</v>
      </c>
      <c r="B9554" s="4" t="s">
        <v>9578</v>
      </c>
      <c r="C9554" s="3" t="s">
        <v>6</v>
      </c>
      <c r="D9554" s="5">
        <f t="shared" si="298"/>
        <v>28.24</v>
      </c>
      <c r="E9554">
        <v>31</v>
      </c>
      <c r="F9554" s="1789">
        <v>8.8999999999999996E-2</v>
      </c>
      <c r="G9554">
        <f t="shared" si="299"/>
        <v>28.24</v>
      </c>
    </row>
    <row r="9555" spans="1:7" ht="12.75" customHeight="1">
      <c r="A9555" s="3">
        <v>96845</v>
      </c>
      <c r="B9555" s="4" t="s">
        <v>9579</v>
      </c>
      <c r="C9555" s="3" t="s">
        <v>6</v>
      </c>
      <c r="D9555" s="5">
        <f t="shared" si="298"/>
        <v>33.9</v>
      </c>
      <c r="E9555">
        <v>37.22</v>
      </c>
      <c r="F9555" s="1789">
        <v>8.8999999999999996E-2</v>
      </c>
      <c r="G9555">
        <f t="shared" si="299"/>
        <v>33.9</v>
      </c>
    </row>
    <row r="9556" spans="1:7" ht="12.75" customHeight="1">
      <c r="A9556" s="3">
        <v>96846</v>
      </c>
      <c r="B9556" s="4" t="s">
        <v>9580</v>
      </c>
      <c r="C9556" s="3" t="s">
        <v>6</v>
      </c>
      <c r="D9556" s="5">
        <f t="shared" si="298"/>
        <v>31.52</v>
      </c>
      <c r="E9556">
        <v>34.6</v>
      </c>
      <c r="F9556" s="1789">
        <v>8.8999999999999996E-2</v>
      </c>
      <c r="G9556">
        <f t="shared" si="299"/>
        <v>31.52</v>
      </c>
    </row>
    <row r="9557" spans="1:7" ht="12.75" customHeight="1">
      <c r="A9557" s="3">
        <v>96847</v>
      </c>
      <c r="B9557" s="4" t="s">
        <v>9581</v>
      </c>
      <c r="C9557" s="3" t="s">
        <v>6</v>
      </c>
      <c r="D9557" s="5">
        <f t="shared" ref="D9557:D9620" si="300">G9557</f>
        <v>31.06</v>
      </c>
      <c r="E9557">
        <v>34.1</v>
      </c>
      <c r="F9557" s="1789">
        <v>8.8999999999999996E-2</v>
      </c>
      <c r="G9557">
        <f t="shared" ref="G9557:G9620" si="301">TRUNC((1-F9557)*E9557,2)</f>
        <v>31.06</v>
      </c>
    </row>
    <row r="9558" spans="1:7" ht="12.75" customHeight="1">
      <c r="A9558" s="3">
        <v>96848</v>
      </c>
      <c r="B9558" s="4" t="s">
        <v>9582</v>
      </c>
      <c r="C9558" s="3" t="s">
        <v>6</v>
      </c>
      <c r="D9558" s="5">
        <f t="shared" si="300"/>
        <v>45.12</v>
      </c>
      <c r="E9558">
        <v>49.53</v>
      </c>
      <c r="F9558" s="1789">
        <v>8.8999999999999996E-2</v>
      </c>
      <c r="G9558">
        <f t="shared" si="301"/>
        <v>45.12</v>
      </c>
    </row>
    <row r="9559" spans="1:7" ht="12.75" customHeight="1">
      <c r="A9559" s="3">
        <v>96849</v>
      </c>
      <c r="B9559" s="4" t="s">
        <v>9583</v>
      </c>
      <c r="C9559" s="3" t="s">
        <v>6</v>
      </c>
      <c r="D9559" s="5">
        <f t="shared" si="300"/>
        <v>14.12</v>
      </c>
      <c r="E9559">
        <v>15.51</v>
      </c>
      <c r="F9559" s="1789">
        <v>8.8999999999999996E-2</v>
      </c>
      <c r="G9559">
        <f t="shared" si="301"/>
        <v>14.12</v>
      </c>
    </row>
    <row r="9560" spans="1:7" ht="12.75" customHeight="1">
      <c r="A9560" s="3">
        <v>96850</v>
      </c>
      <c r="B9560" s="4" t="s">
        <v>9584</v>
      </c>
      <c r="C9560" s="3" t="s">
        <v>6</v>
      </c>
      <c r="D9560" s="5">
        <f t="shared" si="300"/>
        <v>19.72</v>
      </c>
      <c r="E9560">
        <v>21.65</v>
      </c>
      <c r="F9560" s="1789">
        <v>8.8999999999999996E-2</v>
      </c>
      <c r="G9560">
        <f t="shared" si="301"/>
        <v>19.72</v>
      </c>
    </row>
    <row r="9561" spans="1:7" ht="12.75" customHeight="1">
      <c r="A9561" s="3">
        <v>96852</v>
      </c>
      <c r="B9561" s="4" t="s">
        <v>9585</v>
      </c>
      <c r="C9561" s="3" t="s">
        <v>6</v>
      </c>
      <c r="D9561" s="5">
        <f t="shared" si="300"/>
        <v>18.03</v>
      </c>
      <c r="E9561">
        <v>19.8</v>
      </c>
      <c r="F9561" s="1789">
        <v>8.8999999999999996E-2</v>
      </c>
      <c r="G9561">
        <f t="shared" si="301"/>
        <v>18.03</v>
      </c>
    </row>
    <row r="9562" spans="1:7" ht="12.75" customHeight="1">
      <c r="A9562" s="3">
        <v>96853</v>
      </c>
      <c r="B9562" s="4" t="s">
        <v>9586</v>
      </c>
      <c r="C9562" s="3" t="s">
        <v>6</v>
      </c>
      <c r="D9562" s="5">
        <f t="shared" si="300"/>
        <v>21.2</v>
      </c>
      <c r="E9562">
        <v>23.28</v>
      </c>
      <c r="F9562" s="1789">
        <v>8.8999999999999996E-2</v>
      </c>
      <c r="G9562">
        <f t="shared" si="301"/>
        <v>21.2</v>
      </c>
    </row>
    <row r="9563" spans="1:7" ht="12.75" customHeight="1">
      <c r="A9563" s="3">
        <v>96854</v>
      </c>
      <c r="B9563" s="4" t="s">
        <v>9587</v>
      </c>
      <c r="C9563" s="3" t="s">
        <v>6</v>
      </c>
      <c r="D9563" s="5">
        <f t="shared" si="300"/>
        <v>26.24</v>
      </c>
      <c r="E9563">
        <v>28.81</v>
      </c>
      <c r="F9563" s="1789">
        <v>8.8999999999999996E-2</v>
      </c>
      <c r="G9563">
        <f t="shared" si="301"/>
        <v>26.24</v>
      </c>
    </row>
    <row r="9564" spans="1:7" ht="12.75" customHeight="1">
      <c r="A9564" s="3">
        <v>96855</v>
      </c>
      <c r="B9564" s="4" t="s">
        <v>9588</v>
      </c>
      <c r="C9564" s="3" t="s">
        <v>6</v>
      </c>
      <c r="D9564" s="5">
        <f t="shared" si="300"/>
        <v>28.55</v>
      </c>
      <c r="E9564">
        <v>31.35</v>
      </c>
      <c r="F9564" s="1789">
        <v>8.8999999999999996E-2</v>
      </c>
      <c r="G9564">
        <f t="shared" si="301"/>
        <v>28.55</v>
      </c>
    </row>
    <row r="9565" spans="1:7" ht="12.75" customHeight="1">
      <c r="A9565" s="3">
        <v>96856</v>
      </c>
      <c r="B9565" s="4" t="s">
        <v>9589</v>
      </c>
      <c r="C9565" s="3" t="s">
        <v>6</v>
      </c>
      <c r="D9565" s="5">
        <f t="shared" si="300"/>
        <v>30.34</v>
      </c>
      <c r="E9565">
        <v>33.31</v>
      </c>
      <c r="F9565" s="1789">
        <v>8.8999999999999996E-2</v>
      </c>
      <c r="G9565">
        <f t="shared" si="301"/>
        <v>30.34</v>
      </c>
    </row>
    <row r="9566" spans="1:7" ht="12.75" customHeight="1">
      <c r="A9566" s="3">
        <v>96860</v>
      </c>
      <c r="B9566" s="4" t="s">
        <v>9590</v>
      </c>
      <c r="C9566" s="3" t="s">
        <v>6</v>
      </c>
      <c r="D9566" s="5">
        <f t="shared" si="300"/>
        <v>25.28</v>
      </c>
      <c r="E9566">
        <v>27.75</v>
      </c>
      <c r="F9566" s="1789">
        <v>8.8999999999999996E-2</v>
      </c>
      <c r="G9566">
        <f t="shared" si="301"/>
        <v>25.28</v>
      </c>
    </row>
    <row r="9567" spans="1:7" ht="12.75" customHeight="1">
      <c r="A9567" s="3">
        <v>96861</v>
      </c>
      <c r="B9567" s="4" t="s">
        <v>9591</v>
      </c>
      <c r="C9567" s="3" t="s">
        <v>6</v>
      </c>
      <c r="D9567" s="5">
        <f t="shared" si="300"/>
        <v>32</v>
      </c>
      <c r="E9567">
        <v>35.130000000000003</v>
      </c>
      <c r="F9567" s="1789">
        <v>8.8999999999999996E-2</v>
      </c>
      <c r="G9567">
        <f t="shared" si="301"/>
        <v>32</v>
      </c>
    </row>
    <row r="9568" spans="1:7" ht="12.75" customHeight="1">
      <c r="A9568" s="3">
        <v>96862</v>
      </c>
      <c r="B9568" s="4" t="s">
        <v>9592</v>
      </c>
      <c r="C9568" s="3" t="s">
        <v>6</v>
      </c>
      <c r="D9568" s="5">
        <f t="shared" si="300"/>
        <v>31.12</v>
      </c>
      <c r="E9568">
        <v>34.17</v>
      </c>
      <c r="F9568" s="1789">
        <v>8.8999999999999996E-2</v>
      </c>
      <c r="G9568">
        <f t="shared" si="301"/>
        <v>31.12</v>
      </c>
    </row>
    <row r="9569" spans="1:7" ht="12.75" customHeight="1">
      <c r="A9569" s="3">
        <v>96863</v>
      </c>
      <c r="B9569" s="4" t="s">
        <v>9593</v>
      </c>
      <c r="C9569" s="3" t="s">
        <v>6</v>
      </c>
      <c r="D9569" s="5">
        <f t="shared" si="300"/>
        <v>32.67</v>
      </c>
      <c r="E9569">
        <v>35.869999999999997</v>
      </c>
      <c r="F9569" s="1789">
        <v>8.8999999999999996E-2</v>
      </c>
      <c r="G9569">
        <f t="shared" si="301"/>
        <v>32.67</v>
      </c>
    </row>
    <row r="9570" spans="1:7" ht="12.75" customHeight="1">
      <c r="A9570" s="3">
        <v>96864</v>
      </c>
      <c r="B9570" s="4" t="s">
        <v>9594</v>
      </c>
      <c r="C9570" s="3" t="s">
        <v>6</v>
      </c>
      <c r="D9570" s="5">
        <f t="shared" si="300"/>
        <v>44.27</v>
      </c>
      <c r="E9570">
        <v>48.6</v>
      </c>
      <c r="F9570" s="1789">
        <v>8.8999999999999996E-2</v>
      </c>
      <c r="G9570">
        <f t="shared" si="301"/>
        <v>44.27</v>
      </c>
    </row>
    <row r="9571" spans="1:7" ht="12.75" customHeight="1">
      <c r="A9571" s="3">
        <v>96865</v>
      </c>
      <c r="B9571" s="4" t="s">
        <v>9595</v>
      </c>
      <c r="C9571" s="3" t="s">
        <v>6</v>
      </c>
      <c r="D9571" s="5">
        <f t="shared" si="300"/>
        <v>38.53</v>
      </c>
      <c r="E9571">
        <v>42.3</v>
      </c>
      <c r="F9571" s="1789">
        <v>8.8999999999999996E-2</v>
      </c>
      <c r="G9571">
        <f t="shared" si="301"/>
        <v>38.53</v>
      </c>
    </row>
    <row r="9572" spans="1:7" ht="12.75" customHeight="1">
      <c r="A9572" s="3">
        <v>96866</v>
      </c>
      <c r="B9572" s="4" t="s">
        <v>9596</v>
      </c>
      <c r="C9572" s="3" t="s">
        <v>6</v>
      </c>
      <c r="D9572" s="5">
        <f t="shared" si="300"/>
        <v>57.73</v>
      </c>
      <c r="E9572">
        <v>63.37</v>
      </c>
      <c r="F9572" s="1789">
        <v>8.8999999999999996E-2</v>
      </c>
      <c r="G9572">
        <f t="shared" si="301"/>
        <v>57.73</v>
      </c>
    </row>
    <row r="9573" spans="1:7" ht="12.75" customHeight="1">
      <c r="A9573" s="3">
        <v>96868</v>
      </c>
      <c r="B9573" s="4" t="s">
        <v>9597</v>
      </c>
      <c r="C9573" s="3" t="s">
        <v>6</v>
      </c>
      <c r="D9573" s="5">
        <f t="shared" si="300"/>
        <v>16.46</v>
      </c>
      <c r="E9573">
        <v>18.07</v>
      </c>
      <c r="F9573" s="1789">
        <v>8.8999999999999996E-2</v>
      </c>
      <c r="G9573">
        <f t="shared" si="301"/>
        <v>16.46</v>
      </c>
    </row>
    <row r="9574" spans="1:7" ht="12.75" customHeight="1">
      <c r="A9574" s="3">
        <v>96869</v>
      </c>
      <c r="B9574" s="4" t="s">
        <v>9598</v>
      </c>
      <c r="C9574" s="3" t="s">
        <v>6</v>
      </c>
      <c r="D9574" s="5">
        <f t="shared" si="300"/>
        <v>25.5</v>
      </c>
      <c r="E9574">
        <v>28</v>
      </c>
      <c r="F9574" s="1789">
        <v>8.8999999999999996E-2</v>
      </c>
      <c r="G9574">
        <f t="shared" si="301"/>
        <v>25.5</v>
      </c>
    </row>
    <row r="9575" spans="1:7" ht="12.75" customHeight="1">
      <c r="A9575" s="3">
        <v>96870</v>
      </c>
      <c r="B9575" s="4" t="s">
        <v>9599</v>
      </c>
      <c r="C9575" s="3" t="s">
        <v>6</v>
      </c>
      <c r="D9575" s="5">
        <f t="shared" si="300"/>
        <v>38.590000000000003</v>
      </c>
      <c r="E9575">
        <v>42.37</v>
      </c>
      <c r="F9575" s="1789">
        <v>8.8999999999999996E-2</v>
      </c>
      <c r="G9575">
        <f t="shared" si="301"/>
        <v>38.590000000000003</v>
      </c>
    </row>
    <row r="9576" spans="1:7" ht="12.75" customHeight="1">
      <c r="A9576" s="3">
        <v>96871</v>
      </c>
      <c r="B9576" s="4" t="s">
        <v>9600</v>
      </c>
      <c r="C9576" s="3" t="s">
        <v>6</v>
      </c>
      <c r="D9576" s="5">
        <f t="shared" si="300"/>
        <v>44.02</v>
      </c>
      <c r="E9576">
        <v>48.33</v>
      </c>
      <c r="F9576" s="1789">
        <v>8.8999999999999996E-2</v>
      </c>
      <c r="G9576">
        <f t="shared" si="301"/>
        <v>44.02</v>
      </c>
    </row>
    <row r="9577" spans="1:7" ht="12.75" customHeight="1">
      <c r="A9577" s="3">
        <v>96872</v>
      </c>
      <c r="B9577" s="4" t="s">
        <v>9601</v>
      </c>
      <c r="C9577" s="3" t="s">
        <v>6</v>
      </c>
      <c r="D9577" s="5">
        <f t="shared" si="300"/>
        <v>40.479999999999997</v>
      </c>
      <c r="E9577">
        <v>44.44</v>
      </c>
      <c r="F9577" s="1789">
        <v>8.8999999999999996E-2</v>
      </c>
      <c r="G9577">
        <f t="shared" si="301"/>
        <v>40.479999999999997</v>
      </c>
    </row>
    <row r="9578" spans="1:7" ht="12.75" customHeight="1">
      <c r="A9578" s="3">
        <v>96873</v>
      </c>
      <c r="B9578" s="4" t="s">
        <v>9602</v>
      </c>
      <c r="C9578" s="3" t="s">
        <v>6</v>
      </c>
      <c r="D9578" s="5">
        <f t="shared" si="300"/>
        <v>54.26</v>
      </c>
      <c r="E9578">
        <v>59.57</v>
      </c>
      <c r="F9578" s="1789">
        <v>8.8999999999999996E-2</v>
      </c>
      <c r="G9578">
        <f t="shared" si="301"/>
        <v>54.26</v>
      </c>
    </row>
    <row r="9579" spans="1:7" ht="12.75" customHeight="1">
      <c r="A9579" s="3">
        <v>96874</v>
      </c>
      <c r="B9579" s="4" t="s">
        <v>9603</v>
      </c>
      <c r="C9579" s="3" t="s">
        <v>6</v>
      </c>
      <c r="D9579" s="5">
        <f t="shared" si="300"/>
        <v>49.28</v>
      </c>
      <c r="E9579">
        <v>54.1</v>
      </c>
      <c r="F9579" s="1789">
        <v>8.8999999999999996E-2</v>
      </c>
      <c r="G9579">
        <f t="shared" si="301"/>
        <v>49.28</v>
      </c>
    </row>
    <row r="9580" spans="1:7" ht="12.75" customHeight="1">
      <c r="A9580" s="3">
        <v>96875</v>
      </c>
      <c r="B9580" s="4" t="s">
        <v>9604</v>
      </c>
      <c r="C9580" s="3" t="s">
        <v>6</v>
      </c>
      <c r="D9580" s="5">
        <f t="shared" si="300"/>
        <v>65.08</v>
      </c>
      <c r="E9580">
        <v>71.44</v>
      </c>
      <c r="F9580" s="1789">
        <v>8.8999999999999996E-2</v>
      </c>
      <c r="G9580">
        <f t="shared" si="301"/>
        <v>65.08</v>
      </c>
    </row>
    <row r="9581" spans="1:7" ht="12.75" customHeight="1">
      <c r="A9581" s="3">
        <v>96876</v>
      </c>
      <c r="B9581" s="4" t="s">
        <v>9605</v>
      </c>
      <c r="C9581" s="3" t="s">
        <v>6</v>
      </c>
      <c r="D9581" s="5">
        <f t="shared" si="300"/>
        <v>151.46</v>
      </c>
      <c r="E9581">
        <v>166.26</v>
      </c>
      <c r="F9581" s="1789">
        <v>8.8999999999999996E-2</v>
      </c>
      <c r="G9581">
        <f t="shared" si="301"/>
        <v>151.46</v>
      </c>
    </row>
    <row r="9582" spans="1:7" ht="12.75" customHeight="1">
      <c r="A9582" s="3">
        <v>96878</v>
      </c>
      <c r="B9582" s="4" t="s">
        <v>9606</v>
      </c>
      <c r="C9582" s="3" t="s">
        <v>6</v>
      </c>
      <c r="D9582" s="5">
        <f t="shared" si="300"/>
        <v>170.43</v>
      </c>
      <c r="E9582">
        <v>187.09</v>
      </c>
      <c r="F9582" s="1789">
        <v>8.8999999999999996E-2</v>
      </c>
      <c r="G9582">
        <f t="shared" si="301"/>
        <v>170.43</v>
      </c>
    </row>
    <row r="9583" spans="1:7" ht="12.75" customHeight="1">
      <c r="A9583" s="3">
        <v>96879</v>
      </c>
      <c r="B9583" s="4" t="s">
        <v>9607</v>
      </c>
      <c r="C9583" s="3" t="s">
        <v>6</v>
      </c>
      <c r="D9583" s="5">
        <f t="shared" si="300"/>
        <v>164.99</v>
      </c>
      <c r="E9583">
        <v>181.11</v>
      </c>
      <c r="F9583" s="1789">
        <v>8.8999999999999996E-2</v>
      </c>
      <c r="G9583">
        <f t="shared" si="301"/>
        <v>164.99</v>
      </c>
    </row>
    <row r="9584" spans="1:7" ht="12.75" customHeight="1">
      <c r="A9584" s="3">
        <v>96881</v>
      </c>
      <c r="B9584" s="4" t="s">
        <v>9608</v>
      </c>
      <c r="C9584" s="3" t="s">
        <v>6</v>
      </c>
      <c r="D9584" s="5">
        <f t="shared" si="300"/>
        <v>196.32</v>
      </c>
      <c r="E9584">
        <v>215.5</v>
      </c>
      <c r="F9584" s="1789">
        <v>8.8999999999999996E-2</v>
      </c>
      <c r="G9584">
        <f t="shared" si="301"/>
        <v>196.32</v>
      </c>
    </row>
    <row r="9585" spans="1:7" ht="12.75" customHeight="1">
      <c r="A9585" s="3">
        <v>97430</v>
      </c>
      <c r="B9585" s="4" t="s">
        <v>9609</v>
      </c>
      <c r="C9585" s="3" t="s">
        <v>6</v>
      </c>
      <c r="D9585" s="5">
        <f t="shared" si="300"/>
        <v>32.81</v>
      </c>
      <c r="E9585">
        <v>36.020000000000003</v>
      </c>
      <c r="F9585" s="1789">
        <v>8.8999999999999996E-2</v>
      </c>
      <c r="G9585">
        <f t="shared" si="301"/>
        <v>32.81</v>
      </c>
    </row>
    <row r="9586" spans="1:7" ht="12.75" customHeight="1">
      <c r="A9586" s="3">
        <v>97431</v>
      </c>
      <c r="B9586" s="4" t="s">
        <v>9610</v>
      </c>
      <c r="C9586" s="3" t="s">
        <v>6</v>
      </c>
      <c r="D9586" s="5">
        <f t="shared" si="300"/>
        <v>36.69</v>
      </c>
      <c r="E9586">
        <v>40.28</v>
      </c>
      <c r="F9586" s="1789">
        <v>8.8999999999999996E-2</v>
      </c>
      <c r="G9586">
        <f t="shared" si="301"/>
        <v>36.69</v>
      </c>
    </row>
    <row r="9587" spans="1:7" ht="12.75" customHeight="1">
      <c r="A9587" s="3">
        <v>97432</v>
      </c>
      <c r="B9587" s="4" t="s">
        <v>9611</v>
      </c>
      <c r="C9587" s="3" t="s">
        <v>6</v>
      </c>
      <c r="D9587" s="5">
        <f t="shared" si="300"/>
        <v>41.43</v>
      </c>
      <c r="E9587">
        <v>45.48</v>
      </c>
      <c r="F9587" s="1789">
        <v>8.8999999999999996E-2</v>
      </c>
      <c r="G9587">
        <f t="shared" si="301"/>
        <v>41.43</v>
      </c>
    </row>
    <row r="9588" spans="1:7" ht="12.75" customHeight="1">
      <c r="A9588" s="3">
        <v>97433</v>
      </c>
      <c r="B9588" s="4" t="s">
        <v>9612</v>
      </c>
      <c r="C9588" s="3" t="s">
        <v>6</v>
      </c>
      <c r="D9588" s="5">
        <f t="shared" si="300"/>
        <v>73.38</v>
      </c>
      <c r="E9588">
        <v>80.55</v>
      </c>
      <c r="F9588" s="1789">
        <v>8.8999999999999996E-2</v>
      </c>
      <c r="G9588">
        <f t="shared" si="301"/>
        <v>73.38</v>
      </c>
    </row>
    <row r="9589" spans="1:7" ht="12.75" customHeight="1">
      <c r="A9589" s="3">
        <v>97434</v>
      </c>
      <c r="B9589" s="4" t="s">
        <v>9613</v>
      </c>
      <c r="C9589" s="3" t="s">
        <v>6</v>
      </c>
      <c r="D9589" s="5">
        <f t="shared" si="300"/>
        <v>74.7</v>
      </c>
      <c r="E9589">
        <v>82</v>
      </c>
      <c r="F9589" s="1789">
        <v>8.8999999999999996E-2</v>
      </c>
      <c r="G9589">
        <f t="shared" si="301"/>
        <v>74.7</v>
      </c>
    </row>
    <row r="9590" spans="1:7" ht="12.75" customHeight="1">
      <c r="A9590" s="3">
        <v>97435</v>
      </c>
      <c r="B9590" s="4" t="s">
        <v>9614</v>
      </c>
      <c r="C9590" s="3" t="s">
        <v>6</v>
      </c>
      <c r="D9590" s="5">
        <f t="shared" si="300"/>
        <v>85.79</v>
      </c>
      <c r="E9590">
        <v>94.18</v>
      </c>
      <c r="F9590" s="1789">
        <v>8.8999999999999996E-2</v>
      </c>
      <c r="G9590">
        <f t="shared" si="301"/>
        <v>85.79</v>
      </c>
    </row>
    <row r="9591" spans="1:7" ht="12.75" customHeight="1">
      <c r="A9591" s="3">
        <v>97436</v>
      </c>
      <c r="B9591" s="4" t="s">
        <v>9615</v>
      </c>
      <c r="C9591" s="3" t="s">
        <v>6</v>
      </c>
      <c r="D9591" s="5">
        <f t="shared" si="300"/>
        <v>88.33</v>
      </c>
      <c r="E9591">
        <v>96.96</v>
      </c>
      <c r="F9591" s="1789">
        <v>8.8999999999999996E-2</v>
      </c>
      <c r="G9591">
        <f t="shared" si="301"/>
        <v>88.33</v>
      </c>
    </row>
    <row r="9592" spans="1:7" ht="12.75" customHeight="1">
      <c r="A9592" s="3">
        <v>97437</v>
      </c>
      <c r="B9592" s="4" t="s">
        <v>9616</v>
      </c>
      <c r="C9592" s="3" t="s">
        <v>6</v>
      </c>
      <c r="D9592" s="5">
        <f t="shared" si="300"/>
        <v>98.19</v>
      </c>
      <c r="E9592">
        <v>107.79</v>
      </c>
      <c r="F9592" s="1789">
        <v>8.8999999999999996E-2</v>
      </c>
      <c r="G9592">
        <f t="shared" si="301"/>
        <v>98.19</v>
      </c>
    </row>
    <row r="9593" spans="1:7" ht="12.75" customHeight="1">
      <c r="A9593" s="3">
        <v>97438</v>
      </c>
      <c r="B9593" s="4" t="s">
        <v>9617</v>
      </c>
      <c r="C9593" s="3" t="s">
        <v>6</v>
      </c>
      <c r="D9593" s="5">
        <f t="shared" si="300"/>
        <v>100.91</v>
      </c>
      <c r="E9593">
        <v>110.77</v>
      </c>
      <c r="F9593" s="1789">
        <v>8.8999999999999996E-2</v>
      </c>
      <c r="G9593">
        <f t="shared" si="301"/>
        <v>100.91</v>
      </c>
    </row>
    <row r="9594" spans="1:7" ht="12.75" customHeight="1">
      <c r="A9594" s="3">
        <v>97439</v>
      </c>
      <c r="B9594" s="4" t="s">
        <v>9618</v>
      </c>
      <c r="C9594" s="3" t="s">
        <v>6</v>
      </c>
      <c r="D9594" s="5">
        <f t="shared" si="300"/>
        <v>110.49</v>
      </c>
      <c r="E9594">
        <v>121.29</v>
      </c>
      <c r="F9594" s="1789">
        <v>8.8999999999999996E-2</v>
      </c>
      <c r="G9594">
        <f t="shared" si="301"/>
        <v>110.49</v>
      </c>
    </row>
    <row r="9595" spans="1:7" ht="12.75" customHeight="1">
      <c r="A9595" s="3">
        <v>97440</v>
      </c>
      <c r="B9595" s="4" t="s">
        <v>9619</v>
      </c>
      <c r="C9595" s="3" t="s">
        <v>6</v>
      </c>
      <c r="D9595" s="5">
        <f t="shared" si="300"/>
        <v>132.31</v>
      </c>
      <c r="E9595">
        <v>145.24</v>
      </c>
      <c r="F9595" s="1789">
        <v>8.8999999999999996E-2</v>
      </c>
      <c r="G9595">
        <f t="shared" si="301"/>
        <v>132.31</v>
      </c>
    </row>
    <row r="9596" spans="1:7" ht="12.75" customHeight="1">
      <c r="A9596" s="3">
        <v>97442</v>
      </c>
      <c r="B9596" s="4" t="s">
        <v>9620</v>
      </c>
      <c r="C9596" s="3" t="s">
        <v>6</v>
      </c>
      <c r="D9596" s="5">
        <f t="shared" si="300"/>
        <v>146.16999999999999</v>
      </c>
      <c r="E9596">
        <v>160.46</v>
      </c>
      <c r="F9596" s="1789">
        <v>8.8999999999999996E-2</v>
      </c>
      <c r="G9596">
        <f t="shared" si="301"/>
        <v>146.16999999999999</v>
      </c>
    </row>
    <row r="9597" spans="1:7" ht="12.75" customHeight="1">
      <c r="A9597" s="3">
        <v>97443</v>
      </c>
      <c r="B9597" s="4" t="s">
        <v>9621</v>
      </c>
      <c r="C9597" s="3" t="s">
        <v>6</v>
      </c>
      <c r="D9597" s="5">
        <f t="shared" si="300"/>
        <v>100.75</v>
      </c>
      <c r="E9597">
        <v>110.6</v>
      </c>
      <c r="F9597" s="1789">
        <v>8.8999999999999996E-2</v>
      </c>
      <c r="G9597">
        <f t="shared" si="301"/>
        <v>100.75</v>
      </c>
    </row>
    <row r="9598" spans="1:7" ht="12.75" customHeight="1">
      <c r="A9598" s="3">
        <v>97444</v>
      </c>
      <c r="B9598" s="4" t="s">
        <v>9622</v>
      </c>
      <c r="C9598" s="3" t="s">
        <v>6</v>
      </c>
      <c r="D9598" s="5">
        <f t="shared" si="300"/>
        <v>119.33</v>
      </c>
      <c r="E9598">
        <v>130.99</v>
      </c>
      <c r="F9598" s="1789">
        <v>8.8999999999999996E-2</v>
      </c>
      <c r="G9598">
        <f t="shared" si="301"/>
        <v>119.33</v>
      </c>
    </row>
    <row r="9599" spans="1:7" ht="12.75" customHeight="1">
      <c r="A9599" s="3">
        <v>97446</v>
      </c>
      <c r="B9599" s="4" t="s">
        <v>9623</v>
      </c>
      <c r="C9599" s="3" t="s">
        <v>6</v>
      </c>
      <c r="D9599" s="5">
        <f t="shared" si="300"/>
        <v>209.01</v>
      </c>
      <c r="E9599">
        <v>229.43</v>
      </c>
      <c r="F9599" s="1789">
        <v>8.8999999999999996E-2</v>
      </c>
      <c r="G9599">
        <f t="shared" si="301"/>
        <v>209.01</v>
      </c>
    </row>
    <row r="9600" spans="1:7" ht="12.75" customHeight="1">
      <c r="A9600" s="3">
        <v>97447</v>
      </c>
      <c r="B9600" s="4" t="s">
        <v>9624</v>
      </c>
      <c r="C9600" s="3" t="s">
        <v>6</v>
      </c>
      <c r="D9600" s="5">
        <f t="shared" si="300"/>
        <v>209.01</v>
      </c>
      <c r="E9600">
        <v>229.43</v>
      </c>
      <c r="F9600" s="1789">
        <v>8.8999999999999996E-2</v>
      </c>
      <c r="G9600">
        <f t="shared" si="301"/>
        <v>209.01</v>
      </c>
    </row>
    <row r="9601" spans="1:7" ht="12.75" customHeight="1">
      <c r="A9601" s="3">
        <v>97449</v>
      </c>
      <c r="B9601" s="4" t="s">
        <v>9625</v>
      </c>
      <c r="C9601" s="3" t="s">
        <v>6</v>
      </c>
      <c r="D9601" s="5">
        <f t="shared" si="300"/>
        <v>222.46</v>
      </c>
      <c r="E9601">
        <v>244.2</v>
      </c>
      <c r="F9601" s="1789">
        <v>8.8999999999999996E-2</v>
      </c>
      <c r="G9601">
        <f t="shared" si="301"/>
        <v>222.46</v>
      </c>
    </row>
    <row r="9602" spans="1:7" ht="12.75" customHeight="1">
      <c r="A9602" s="3">
        <v>97450</v>
      </c>
      <c r="B9602" s="4" t="s">
        <v>9626</v>
      </c>
      <c r="C9602" s="3" t="s">
        <v>6</v>
      </c>
      <c r="D9602" s="5">
        <f t="shared" si="300"/>
        <v>273.04000000000002</v>
      </c>
      <c r="E9602">
        <v>299.72000000000003</v>
      </c>
      <c r="F9602" s="1789">
        <v>8.8999999999999996E-2</v>
      </c>
      <c r="G9602">
        <f t="shared" si="301"/>
        <v>273.04000000000002</v>
      </c>
    </row>
    <row r="9603" spans="1:7" ht="12.75" customHeight="1">
      <c r="A9603" s="3">
        <v>97452</v>
      </c>
      <c r="B9603" s="4" t="s">
        <v>9627</v>
      </c>
      <c r="C9603" s="3" t="s">
        <v>6</v>
      </c>
      <c r="D9603" s="5">
        <f t="shared" si="300"/>
        <v>166.34</v>
      </c>
      <c r="E9603">
        <v>182.6</v>
      </c>
      <c r="F9603" s="1789">
        <v>8.8999999999999996E-2</v>
      </c>
      <c r="G9603">
        <f t="shared" si="301"/>
        <v>166.34</v>
      </c>
    </row>
    <row r="9604" spans="1:7" ht="12.75" customHeight="1">
      <c r="A9604" s="3">
        <v>97453</v>
      </c>
      <c r="B9604" s="4" t="s">
        <v>9628</v>
      </c>
      <c r="C9604" s="3" t="s">
        <v>6</v>
      </c>
      <c r="D9604" s="5">
        <f t="shared" si="300"/>
        <v>176.95</v>
      </c>
      <c r="E9604">
        <v>194.24</v>
      </c>
      <c r="F9604" s="1789">
        <v>8.8999999999999996E-2</v>
      </c>
      <c r="G9604">
        <f t="shared" si="301"/>
        <v>176.95</v>
      </c>
    </row>
    <row r="9605" spans="1:7" ht="12.75" customHeight="1">
      <c r="A9605" s="3">
        <v>97454</v>
      </c>
      <c r="B9605" s="4" t="s">
        <v>9629</v>
      </c>
      <c r="C9605" s="3" t="s">
        <v>6</v>
      </c>
      <c r="D9605" s="5">
        <f t="shared" si="300"/>
        <v>286.72000000000003</v>
      </c>
      <c r="E9605">
        <v>314.74</v>
      </c>
      <c r="F9605" s="1789">
        <v>8.8999999999999996E-2</v>
      </c>
      <c r="G9605">
        <f t="shared" si="301"/>
        <v>286.72000000000003</v>
      </c>
    </row>
    <row r="9606" spans="1:7" ht="12.75" customHeight="1">
      <c r="A9606" s="3">
        <v>97455</v>
      </c>
      <c r="B9606" s="4" t="s">
        <v>9630</v>
      </c>
      <c r="C9606" s="3" t="s">
        <v>6</v>
      </c>
      <c r="D9606" s="5">
        <f t="shared" si="300"/>
        <v>303.68</v>
      </c>
      <c r="E9606">
        <v>333.35</v>
      </c>
      <c r="F9606" s="1789">
        <v>8.8999999999999996E-2</v>
      </c>
      <c r="G9606">
        <f t="shared" si="301"/>
        <v>303.68</v>
      </c>
    </row>
    <row r="9607" spans="1:7" ht="12.75" customHeight="1">
      <c r="A9607" s="3">
        <v>97456</v>
      </c>
      <c r="B9607" s="4" t="s">
        <v>9631</v>
      </c>
      <c r="C9607" s="3" t="s">
        <v>6</v>
      </c>
      <c r="D9607" s="5">
        <f t="shared" si="300"/>
        <v>657.23</v>
      </c>
      <c r="E9607">
        <v>721.44</v>
      </c>
      <c r="F9607" s="1789">
        <v>8.8999999999999996E-2</v>
      </c>
      <c r="G9607">
        <f t="shared" si="301"/>
        <v>657.23</v>
      </c>
    </row>
    <row r="9608" spans="1:7" ht="12.75" customHeight="1">
      <c r="A9608" s="3">
        <v>97457</v>
      </c>
      <c r="B9608" s="4" t="s">
        <v>9632</v>
      </c>
      <c r="C9608" s="3" t="s">
        <v>6</v>
      </c>
      <c r="D9608" s="5">
        <f t="shared" si="300"/>
        <v>581.16999999999996</v>
      </c>
      <c r="E9608">
        <v>637.95000000000005</v>
      </c>
      <c r="F9608" s="1789">
        <v>8.8999999999999996E-2</v>
      </c>
      <c r="G9608">
        <f t="shared" si="301"/>
        <v>581.16999999999996</v>
      </c>
    </row>
    <row r="9609" spans="1:7" ht="12.75" customHeight="1">
      <c r="A9609" s="3">
        <v>97458</v>
      </c>
      <c r="B9609" s="4" t="s">
        <v>9633</v>
      </c>
      <c r="C9609" s="3" t="s">
        <v>6</v>
      </c>
      <c r="D9609" s="5">
        <f t="shared" si="300"/>
        <v>264.38</v>
      </c>
      <c r="E9609">
        <v>290.20999999999998</v>
      </c>
      <c r="F9609" s="1789">
        <v>8.8999999999999996E-2</v>
      </c>
      <c r="G9609">
        <f t="shared" si="301"/>
        <v>264.38</v>
      </c>
    </row>
    <row r="9610" spans="1:7" ht="12.75" customHeight="1">
      <c r="A9610" s="3">
        <v>97459</v>
      </c>
      <c r="B9610" s="4" t="s">
        <v>9634</v>
      </c>
      <c r="C9610" s="3" t="s">
        <v>6</v>
      </c>
      <c r="D9610" s="5">
        <f t="shared" si="300"/>
        <v>458.46</v>
      </c>
      <c r="E9610">
        <v>503.25</v>
      </c>
      <c r="F9610" s="1789">
        <v>8.8999999999999996E-2</v>
      </c>
      <c r="G9610">
        <f t="shared" si="301"/>
        <v>458.46</v>
      </c>
    </row>
    <row r="9611" spans="1:7" ht="12.75" customHeight="1">
      <c r="A9611" s="3">
        <v>97460</v>
      </c>
      <c r="B9611" s="4" t="s">
        <v>9635</v>
      </c>
      <c r="C9611" s="3" t="s">
        <v>6</v>
      </c>
      <c r="D9611" s="5">
        <f t="shared" si="300"/>
        <v>708.53</v>
      </c>
      <c r="E9611">
        <v>777.76</v>
      </c>
      <c r="F9611" s="1789">
        <v>8.8999999999999996E-2</v>
      </c>
      <c r="G9611">
        <f t="shared" si="301"/>
        <v>708.53</v>
      </c>
    </row>
    <row r="9612" spans="1:7" ht="12.75" customHeight="1">
      <c r="A9612" s="3">
        <v>97461</v>
      </c>
      <c r="B9612" s="4" t="s">
        <v>9636</v>
      </c>
      <c r="C9612" s="3" t="s">
        <v>6</v>
      </c>
      <c r="D9612" s="5">
        <f t="shared" si="300"/>
        <v>31.84</v>
      </c>
      <c r="E9612">
        <v>34.96</v>
      </c>
      <c r="F9612" s="1789">
        <v>8.8999999999999996E-2</v>
      </c>
      <c r="G9612">
        <f t="shared" si="301"/>
        <v>31.84</v>
      </c>
    </row>
    <row r="9613" spans="1:7" ht="12.75" customHeight="1">
      <c r="A9613" s="3">
        <v>97462</v>
      </c>
      <c r="B9613" s="4" t="s">
        <v>9637</v>
      </c>
      <c r="C9613" s="3" t="s">
        <v>6</v>
      </c>
      <c r="D9613" s="5">
        <f t="shared" si="300"/>
        <v>26.4</v>
      </c>
      <c r="E9613">
        <v>28.99</v>
      </c>
      <c r="F9613" s="1789">
        <v>8.8999999999999996E-2</v>
      </c>
      <c r="G9613">
        <f t="shared" si="301"/>
        <v>26.4</v>
      </c>
    </row>
    <row r="9614" spans="1:7" ht="12.75" customHeight="1">
      <c r="A9614" s="3">
        <v>97464</v>
      </c>
      <c r="B9614" s="4" t="s">
        <v>9638</v>
      </c>
      <c r="C9614" s="3" t="s">
        <v>6</v>
      </c>
      <c r="D9614" s="5">
        <f t="shared" si="300"/>
        <v>46.05</v>
      </c>
      <c r="E9614">
        <v>50.55</v>
      </c>
      <c r="F9614" s="1789">
        <v>8.8999999999999996E-2</v>
      </c>
      <c r="G9614">
        <f t="shared" si="301"/>
        <v>46.05</v>
      </c>
    </row>
    <row r="9615" spans="1:7" ht="12.75" customHeight="1">
      <c r="A9615" s="3">
        <v>97465</v>
      </c>
      <c r="B9615" s="4" t="s">
        <v>9639</v>
      </c>
      <c r="C9615" s="3" t="s">
        <v>6</v>
      </c>
      <c r="D9615" s="5">
        <f t="shared" si="300"/>
        <v>55.22</v>
      </c>
      <c r="E9615">
        <v>60.62</v>
      </c>
      <c r="F9615" s="1789">
        <v>8.8999999999999996E-2</v>
      </c>
      <c r="G9615">
        <f t="shared" si="301"/>
        <v>55.22</v>
      </c>
    </row>
    <row r="9616" spans="1:7" ht="12.75" customHeight="1">
      <c r="A9616" s="3">
        <v>97467</v>
      </c>
      <c r="B9616" s="4" t="s">
        <v>9640</v>
      </c>
      <c r="C9616" s="3" t="s">
        <v>6</v>
      </c>
      <c r="D9616" s="5">
        <f t="shared" si="300"/>
        <v>58.46</v>
      </c>
      <c r="E9616">
        <v>64.180000000000007</v>
      </c>
      <c r="F9616" s="1789">
        <v>8.8999999999999996E-2</v>
      </c>
      <c r="G9616">
        <f t="shared" si="301"/>
        <v>58.46</v>
      </c>
    </row>
    <row r="9617" spans="1:7" ht="12.75" customHeight="1">
      <c r="A9617" s="3">
        <v>97468</v>
      </c>
      <c r="B9617" s="4" t="s">
        <v>9641</v>
      </c>
      <c r="C9617" s="3" t="s">
        <v>6</v>
      </c>
      <c r="D9617" s="5">
        <f t="shared" si="300"/>
        <v>70.209999999999994</v>
      </c>
      <c r="E9617">
        <v>77.08</v>
      </c>
      <c r="F9617" s="1789">
        <v>8.8999999999999996E-2</v>
      </c>
      <c r="G9617">
        <f t="shared" si="301"/>
        <v>70.209999999999994</v>
      </c>
    </row>
    <row r="9618" spans="1:7" ht="12.75" customHeight="1">
      <c r="A9618" s="3">
        <v>97470</v>
      </c>
      <c r="B9618" s="4" t="s">
        <v>9642</v>
      </c>
      <c r="C9618" s="3" t="s">
        <v>6</v>
      </c>
      <c r="D9618" s="5">
        <f t="shared" si="300"/>
        <v>86.75</v>
      </c>
      <c r="E9618">
        <v>95.23</v>
      </c>
      <c r="F9618" s="1789">
        <v>8.8999999999999996E-2</v>
      </c>
      <c r="G9618">
        <f t="shared" si="301"/>
        <v>86.75</v>
      </c>
    </row>
    <row r="9619" spans="1:7" ht="12.75" customHeight="1">
      <c r="A9619" s="3">
        <v>97471</v>
      </c>
      <c r="B9619" s="4" t="s">
        <v>9643</v>
      </c>
      <c r="C9619" s="3" t="s">
        <v>6</v>
      </c>
      <c r="D9619" s="5">
        <f t="shared" si="300"/>
        <v>105.32</v>
      </c>
      <c r="E9619">
        <v>115.62</v>
      </c>
      <c r="F9619" s="1789">
        <v>8.8999999999999996E-2</v>
      </c>
      <c r="G9619">
        <f t="shared" si="301"/>
        <v>105.32</v>
      </c>
    </row>
    <row r="9620" spans="1:7" ht="12.75" customHeight="1">
      <c r="A9620" s="3">
        <v>97474</v>
      </c>
      <c r="B9620" s="4" t="s">
        <v>9644</v>
      </c>
      <c r="C9620" s="3" t="s">
        <v>6</v>
      </c>
      <c r="D9620" s="5">
        <f t="shared" si="300"/>
        <v>159.86000000000001</v>
      </c>
      <c r="E9620">
        <v>175.48</v>
      </c>
      <c r="F9620" s="1789">
        <v>8.8999999999999996E-2</v>
      </c>
      <c r="G9620">
        <f t="shared" si="301"/>
        <v>159.86000000000001</v>
      </c>
    </row>
    <row r="9621" spans="1:7" ht="12.75" customHeight="1">
      <c r="A9621" s="3">
        <v>97475</v>
      </c>
      <c r="B9621" s="4" t="s">
        <v>9645</v>
      </c>
      <c r="C9621" s="3" t="s">
        <v>6</v>
      </c>
      <c r="D9621" s="5">
        <f t="shared" ref="D9621:D9684" si="302">G9621</f>
        <v>197.4</v>
      </c>
      <c r="E9621">
        <v>216.69</v>
      </c>
      <c r="F9621" s="1789">
        <v>8.8999999999999996E-2</v>
      </c>
      <c r="G9621">
        <f t="shared" ref="G9621:G9684" si="303">TRUNC((1-F9621)*E9621,2)</f>
        <v>197.4</v>
      </c>
    </row>
    <row r="9622" spans="1:7" ht="12.75" customHeight="1">
      <c r="A9622" s="3">
        <v>97477</v>
      </c>
      <c r="B9622" s="4" t="s">
        <v>9646</v>
      </c>
      <c r="C9622" s="3" t="s">
        <v>6</v>
      </c>
      <c r="D9622" s="5">
        <f t="shared" si="302"/>
        <v>213.22</v>
      </c>
      <c r="E9622">
        <v>234.06</v>
      </c>
      <c r="F9622" s="1789">
        <v>8.8999999999999996E-2</v>
      </c>
      <c r="G9622">
        <f t="shared" si="303"/>
        <v>213.22</v>
      </c>
    </row>
    <row r="9623" spans="1:7" ht="12.75" customHeight="1">
      <c r="A9623" s="3">
        <v>97478</v>
      </c>
      <c r="B9623" s="4" t="s">
        <v>9647</v>
      </c>
      <c r="C9623" s="3" t="s">
        <v>6</v>
      </c>
      <c r="D9623" s="5">
        <f t="shared" si="302"/>
        <v>263.8</v>
      </c>
      <c r="E9623">
        <v>289.58</v>
      </c>
      <c r="F9623" s="1789">
        <v>8.8999999999999996E-2</v>
      </c>
      <c r="G9623">
        <f t="shared" si="303"/>
        <v>263.8</v>
      </c>
    </row>
    <row r="9624" spans="1:7" ht="12.75" customHeight="1">
      <c r="A9624" s="3">
        <v>97479</v>
      </c>
      <c r="B9624" s="4" t="s">
        <v>9648</v>
      </c>
      <c r="C9624" s="3" t="s">
        <v>6</v>
      </c>
      <c r="D9624" s="5">
        <f t="shared" si="302"/>
        <v>51.48</v>
      </c>
      <c r="E9624">
        <v>56.51</v>
      </c>
      <c r="F9624" s="1789">
        <v>8.8999999999999996E-2</v>
      </c>
      <c r="G9624">
        <f t="shared" si="303"/>
        <v>51.48</v>
      </c>
    </row>
    <row r="9625" spans="1:7" ht="12.75" customHeight="1">
      <c r="A9625" s="3">
        <v>97480</v>
      </c>
      <c r="B9625" s="4" t="s">
        <v>9649</v>
      </c>
      <c r="C9625" s="3" t="s">
        <v>6</v>
      </c>
      <c r="D9625" s="5">
        <f t="shared" si="302"/>
        <v>51.48</v>
      </c>
      <c r="E9625">
        <v>56.51</v>
      </c>
      <c r="F9625" s="1789">
        <v>8.8999999999999996E-2</v>
      </c>
      <c r="G9625">
        <f t="shared" si="303"/>
        <v>51.48</v>
      </c>
    </row>
    <row r="9626" spans="1:7" ht="12.75" customHeight="1">
      <c r="A9626" s="3">
        <v>97481</v>
      </c>
      <c r="B9626" s="4" t="s">
        <v>9650</v>
      </c>
      <c r="C9626" s="3" t="s">
        <v>6</v>
      </c>
      <c r="D9626" s="5">
        <f t="shared" si="302"/>
        <v>74.88</v>
      </c>
      <c r="E9626">
        <v>82.2</v>
      </c>
      <c r="F9626" s="1789">
        <v>8.8999999999999996E-2</v>
      </c>
      <c r="G9626">
        <f t="shared" si="303"/>
        <v>74.88</v>
      </c>
    </row>
    <row r="9627" spans="1:7" ht="12.75" customHeight="1">
      <c r="A9627" s="3">
        <v>97482</v>
      </c>
      <c r="B9627" s="4" t="s">
        <v>9651</v>
      </c>
      <c r="C9627" s="3" t="s">
        <v>6</v>
      </c>
      <c r="D9627" s="5">
        <f t="shared" si="302"/>
        <v>74.88</v>
      </c>
      <c r="E9627">
        <v>82.2</v>
      </c>
      <c r="F9627" s="1789">
        <v>8.8999999999999996E-2</v>
      </c>
      <c r="G9627">
        <f t="shared" si="303"/>
        <v>74.88</v>
      </c>
    </row>
    <row r="9628" spans="1:7" ht="12.75" customHeight="1">
      <c r="A9628" s="3">
        <v>97483</v>
      </c>
      <c r="B9628" s="4" t="s">
        <v>9652</v>
      </c>
      <c r="C9628" s="3" t="s">
        <v>6</v>
      </c>
      <c r="D9628" s="5">
        <f t="shared" si="302"/>
        <v>105.17</v>
      </c>
      <c r="E9628">
        <v>115.45</v>
      </c>
      <c r="F9628" s="1789">
        <v>8.8999999999999996E-2</v>
      </c>
      <c r="G9628">
        <f t="shared" si="303"/>
        <v>105.17</v>
      </c>
    </row>
    <row r="9629" spans="1:7" ht="12.75" customHeight="1">
      <c r="A9629" s="3">
        <v>97484</v>
      </c>
      <c r="B9629" s="4" t="s">
        <v>9653</v>
      </c>
      <c r="C9629" s="3" t="s">
        <v>6</v>
      </c>
      <c r="D9629" s="5">
        <f t="shared" si="302"/>
        <v>105.17</v>
      </c>
      <c r="E9629">
        <v>115.45</v>
      </c>
      <c r="F9629" s="1789">
        <v>8.8999999999999996E-2</v>
      </c>
      <c r="G9629">
        <f t="shared" si="303"/>
        <v>105.17</v>
      </c>
    </row>
    <row r="9630" spans="1:7" ht="12.75" customHeight="1">
      <c r="A9630" s="3">
        <v>97485</v>
      </c>
      <c r="B9630" s="4" t="s">
        <v>9654</v>
      </c>
      <c r="C9630" s="3" t="s">
        <v>6</v>
      </c>
      <c r="D9630" s="5">
        <f t="shared" si="302"/>
        <v>145.37</v>
      </c>
      <c r="E9630">
        <v>159.58000000000001</v>
      </c>
      <c r="F9630" s="1789">
        <v>8.8999999999999996E-2</v>
      </c>
      <c r="G9630">
        <f t="shared" si="303"/>
        <v>145.37</v>
      </c>
    </row>
    <row r="9631" spans="1:7" ht="12.75" customHeight="1">
      <c r="A9631" s="3">
        <v>97486</v>
      </c>
      <c r="B9631" s="4" t="s">
        <v>9655</v>
      </c>
      <c r="C9631" s="3" t="s">
        <v>6</v>
      </c>
      <c r="D9631" s="5">
        <f t="shared" si="302"/>
        <v>155.97999999999999</v>
      </c>
      <c r="E9631">
        <v>171.22</v>
      </c>
      <c r="F9631" s="1789">
        <v>8.8999999999999996E-2</v>
      </c>
      <c r="G9631">
        <f t="shared" si="303"/>
        <v>155.97999999999999</v>
      </c>
    </row>
    <row r="9632" spans="1:7" ht="12.75" customHeight="1">
      <c r="A9632" s="3">
        <v>97487</v>
      </c>
      <c r="B9632" s="4" t="s">
        <v>9656</v>
      </c>
      <c r="C9632" s="3" t="s">
        <v>6</v>
      </c>
      <c r="D9632" s="5">
        <f t="shared" si="302"/>
        <v>269.33</v>
      </c>
      <c r="E9632">
        <v>295.64999999999998</v>
      </c>
      <c r="F9632" s="1789">
        <v>8.8999999999999996E-2</v>
      </c>
      <c r="G9632">
        <f t="shared" si="303"/>
        <v>269.33</v>
      </c>
    </row>
    <row r="9633" spans="1:7" ht="12.75" customHeight="1">
      <c r="A9633" s="3">
        <v>97488</v>
      </c>
      <c r="B9633" s="4" t="s">
        <v>9657</v>
      </c>
      <c r="C9633" s="3" t="s">
        <v>6</v>
      </c>
      <c r="D9633" s="5">
        <f t="shared" si="302"/>
        <v>286.29000000000002</v>
      </c>
      <c r="E9633">
        <v>314.26</v>
      </c>
      <c r="F9633" s="1789">
        <v>8.8999999999999996E-2</v>
      </c>
      <c r="G9633">
        <f t="shared" si="303"/>
        <v>286.29000000000002</v>
      </c>
    </row>
    <row r="9634" spans="1:7" ht="12.75" customHeight="1">
      <c r="A9634" s="3">
        <v>97489</v>
      </c>
      <c r="B9634" s="4" t="s">
        <v>9658</v>
      </c>
      <c r="C9634" s="3" t="s">
        <v>6</v>
      </c>
      <c r="D9634" s="5">
        <f t="shared" si="302"/>
        <v>643.36</v>
      </c>
      <c r="E9634">
        <v>706.22</v>
      </c>
      <c r="F9634" s="1789">
        <v>8.8999999999999996E-2</v>
      </c>
      <c r="G9634">
        <f t="shared" si="303"/>
        <v>643.36</v>
      </c>
    </row>
    <row r="9635" spans="1:7" ht="12.75" customHeight="1">
      <c r="A9635" s="3">
        <v>97490</v>
      </c>
      <c r="B9635" s="4" t="s">
        <v>9659</v>
      </c>
      <c r="C9635" s="3" t="s">
        <v>6</v>
      </c>
      <c r="D9635" s="5">
        <f t="shared" si="302"/>
        <v>567.29999999999995</v>
      </c>
      <c r="E9635">
        <v>622.73</v>
      </c>
      <c r="F9635" s="1789">
        <v>8.8999999999999996E-2</v>
      </c>
      <c r="G9635">
        <f t="shared" si="303"/>
        <v>567.29999999999995</v>
      </c>
    </row>
    <row r="9636" spans="1:7" ht="12.75" customHeight="1">
      <c r="A9636" s="3">
        <v>97491</v>
      </c>
      <c r="B9636" s="4" t="s">
        <v>9660</v>
      </c>
      <c r="C9636" s="3" t="s">
        <v>6</v>
      </c>
      <c r="D9636" s="5">
        <f t="shared" si="302"/>
        <v>79.88</v>
      </c>
      <c r="E9636">
        <v>87.69</v>
      </c>
      <c r="F9636" s="1789">
        <v>8.8999999999999996E-2</v>
      </c>
      <c r="G9636">
        <f t="shared" si="303"/>
        <v>79.88</v>
      </c>
    </row>
    <row r="9637" spans="1:7" ht="12.75" customHeight="1">
      <c r="A9637" s="3">
        <v>97492</v>
      </c>
      <c r="B9637" s="4" t="s">
        <v>9661</v>
      </c>
      <c r="C9637" s="3" t="s">
        <v>6</v>
      </c>
      <c r="D9637" s="5">
        <f t="shared" si="302"/>
        <v>117.59</v>
      </c>
      <c r="E9637">
        <v>129.08000000000001</v>
      </c>
      <c r="F9637" s="1789">
        <v>8.8999999999999996E-2</v>
      </c>
      <c r="G9637">
        <f t="shared" si="303"/>
        <v>117.59</v>
      </c>
    </row>
    <row r="9638" spans="1:7" ht="12.75" customHeight="1">
      <c r="A9638" s="3">
        <v>97493</v>
      </c>
      <c r="B9638" s="4" t="s">
        <v>9662</v>
      </c>
      <c r="C9638" s="3" t="s">
        <v>6</v>
      </c>
      <c r="D9638" s="5">
        <f t="shared" si="302"/>
        <v>151.74</v>
      </c>
      <c r="E9638">
        <v>166.57</v>
      </c>
      <c r="F9638" s="1789">
        <v>8.8999999999999996E-2</v>
      </c>
      <c r="G9638">
        <f t="shared" si="303"/>
        <v>151.74</v>
      </c>
    </row>
    <row r="9639" spans="1:7" ht="12.75" customHeight="1">
      <c r="A9639" s="3">
        <v>97494</v>
      </c>
      <c r="B9639" s="4" t="s">
        <v>9663</v>
      </c>
      <c r="C9639" s="3" t="s">
        <v>6</v>
      </c>
      <c r="D9639" s="5">
        <f t="shared" si="302"/>
        <v>236.38</v>
      </c>
      <c r="E9639">
        <v>259.48</v>
      </c>
      <c r="F9639" s="1789">
        <v>8.8999999999999996E-2</v>
      </c>
      <c r="G9639">
        <f t="shared" si="303"/>
        <v>236.38</v>
      </c>
    </row>
    <row r="9640" spans="1:7" ht="12.75" customHeight="1">
      <c r="A9640" s="3">
        <v>97495</v>
      </c>
      <c r="B9640" s="4" t="s">
        <v>9664</v>
      </c>
      <c r="C9640" s="3" t="s">
        <v>6</v>
      </c>
      <c r="D9640" s="5">
        <f t="shared" si="302"/>
        <v>435.23</v>
      </c>
      <c r="E9640">
        <v>477.75</v>
      </c>
      <c r="F9640" s="1789">
        <v>8.8999999999999996E-2</v>
      </c>
      <c r="G9640">
        <f t="shared" si="303"/>
        <v>435.23</v>
      </c>
    </row>
    <row r="9641" spans="1:7" ht="12.75" customHeight="1">
      <c r="A9641" s="3">
        <v>97496</v>
      </c>
      <c r="B9641" s="4" t="s">
        <v>9665</v>
      </c>
      <c r="C9641" s="3" t="s">
        <v>6</v>
      </c>
      <c r="D9641" s="5">
        <f t="shared" si="302"/>
        <v>690.08</v>
      </c>
      <c r="E9641">
        <v>757.5</v>
      </c>
      <c r="F9641" s="1789">
        <v>8.8999999999999996E-2</v>
      </c>
      <c r="G9641">
        <f t="shared" si="303"/>
        <v>690.08</v>
      </c>
    </row>
    <row r="9642" spans="1:7" ht="12.75" customHeight="1">
      <c r="A9642" s="3">
        <v>97499</v>
      </c>
      <c r="B9642" s="4" t="s">
        <v>9666</v>
      </c>
      <c r="C9642" s="3" t="s">
        <v>6</v>
      </c>
      <c r="D9642" s="5">
        <f t="shared" si="302"/>
        <v>29.58</v>
      </c>
      <c r="E9642">
        <v>32.479999999999997</v>
      </c>
      <c r="F9642" s="1789">
        <v>8.8999999999999996E-2</v>
      </c>
      <c r="G9642">
        <f t="shared" si="303"/>
        <v>29.58</v>
      </c>
    </row>
    <row r="9643" spans="1:7" ht="12.75" customHeight="1">
      <c r="A9643" s="3">
        <v>97500</v>
      </c>
      <c r="B9643" s="4" t="s">
        <v>9667</v>
      </c>
      <c r="C9643" s="3" t="s">
        <v>6</v>
      </c>
      <c r="D9643" s="5">
        <f t="shared" si="302"/>
        <v>24.15</v>
      </c>
      <c r="E9643">
        <v>26.51</v>
      </c>
      <c r="F9643" s="1789">
        <v>8.8999999999999996E-2</v>
      </c>
      <c r="G9643">
        <f t="shared" si="303"/>
        <v>24.15</v>
      </c>
    </row>
    <row r="9644" spans="1:7" ht="12.75" customHeight="1">
      <c r="A9644" s="3">
        <v>97502</v>
      </c>
      <c r="B9644" s="4" t="s">
        <v>9668</v>
      </c>
      <c r="C9644" s="3" t="s">
        <v>6</v>
      </c>
      <c r="D9644" s="5">
        <f t="shared" si="302"/>
        <v>41.86</v>
      </c>
      <c r="E9644">
        <v>45.95</v>
      </c>
      <c r="F9644" s="1789">
        <v>8.8999999999999996E-2</v>
      </c>
      <c r="G9644">
        <f t="shared" si="303"/>
        <v>41.86</v>
      </c>
    </row>
    <row r="9645" spans="1:7" ht="12.75" customHeight="1">
      <c r="A9645" s="3">
        <v>97503</v>
      </c>
      <c r="B9645" s="4" t="s">
        <v>9669</v>
      </c>
      <c r="C9645" s="3" t="s">
        <v>6</v>
      </c>
      <c r="D9645" s="5">
        <f t="shared" si="302"/>
        <v>51.24</v>
      </c>
      <c r="E9645">
        <v>56.25</v>
      </c>
      <c r="F9645" s="1789">
        <v>8.8999999999999996E-2</v>
      </c>
      <c r="G9645">
        <f t="shared" si="303"/>
        <v>51.24</v>
      </c>
    </row>
    <row r="9646" spans="1:7" ht="12.75" customHeight="1">
      <c r="A9646" s="3">
        <v>97505</v>
      </c>
      <c r="B9646" s="4" t="s">
        <v>9670</v>
      </c>
      <c r="C9646" s="3" t="s">
        <v>6</v>
      </c>
      <c r="D9646" s="5">
        <f t="shared" si="302"/>
        <v>52.55</v>
      </c>
      <c r="E9646">
        <v>57.69</v>
      </c>
      <c r="F9646" s="1789">
        <v>8.8999999999999996E-2</v>
      </c>
      <c r="G9646">
        <f t="shared" si="303"/>
        <v>52.55</v>
      </c>
    </row>
    <row r="9647" spans="1:7" ht="12.75" customHeight="1">
      <c r="A9647" s="3">
        <v>97506</v>
      </c>
      <c r="B9647" s="4" t="s">
        <v>9671</v>
      </c>
      <c r="C9647" s="3" t="s">
        <v>6</v>
      </c>
      <c r="D9647" s="5">
        <f t="shared" si="302"/>
        <v>64.3</v>
      </c>
      <c r="E9647">
        <v>70.59</v>
      </c>
      <c r="F9647" s="1789">
        <v>8.8999999999999996E-2</v>
      </c>
      <c r="G9647">
        <f t="shared" si="303"/>
        <v>64.3</v>
      </c>
    </row>
    <row r="9648" spans="1:7" ht="12.75" customHeight="1">
      <c r="A9648" s="3">
        <v>97508</v>
      </c>
      <c r="B9648" s="4" t="s">
        <v>9672</v>
      </c>
      <c r="C9648" s="3" t="s">
        <v>6</v>
      </c>
      <c r="D9648" s="5">
        <f t="shared" si="302"/>
        <v>78.400000000000006</v>
      </c>
      <c r="E9648">
        <v>86.06</v>
      </c>
      <c r="F9648" s="1789">
        <v>8.8999999999999996E-2</v>
      </c>
      <c r="G9648">
        <f t="shared" si="303"/>
        <v>78.400000000000006</v>
      </c>
    </row>
    <row r="9649" spans="1:7" ht="12.75" customHeight="1">
      <c r="A9649" s="3">
        <v>97509</v>
      </c>
      <c r="B9649" s="4" t="s">
        <v>9673</v>
      </c>
      <c r="C9649" s="3" t="s">
        <v>6</v>
      </c>
      <c r="D9649" s="5">
        <f t="shared" si="302"/>
        <v>96.97</v>
      </c>
      <c r="E9649">
        <v>106.45</v>
      </c>
      <c r="F9649" s="1789">
        <v>8.8999999999999996E-2</v>
      </c>
      <c r="G9649">
        <f t="shared" si="303"/>
        <v>96.97</v>
      </c>
    </row>
    <row r="9650" spans="1:7" ht="12.75" customHeight="1">
      <c r="A9650" s="3">
        <v>97511</v>
      </c>
      <c r="B9650" s="4" t="s">
        <v>9674</v>
      </c>
      <c r="C9650" s="3" t="s">
        <v>6</v>
      </c>
      <c r="D9650" s="5">
        <f t="shared" si="302"/>
        <v>147.84</v>
      </c>
      <c r="E9650">
        <v>162.29</v>
      </c>
      <c r="F9650" s="1789">
        <v>8.8999999999999996E-2</v>
      </c>
      <c r="G9650">
        <f t="shared" si="303"/>
        <v>147.84</v>
      </c>
    </row>
    <row r="9651" spans="1:7" ht="12.75" customHeight="1">
      <c r="A9651" s="3">
        <v>97512</v>
      </c>
      <c r="B9651" s="4" t="s">
        <v>9675</v>
      </c>
      <c r="C9651" s="3" t="s">
        <v>6</v>
      </c>
      <c r="D9651" s="5">
        <f t="shared" si="302"/>
        <v>185.38</v>
      </c>
      <c r="E9651">
        <v>203.5</v>
      </c>
      <c r="F9651" s="1789">
        <v>8.8999999999999996E-2</v>
      </c>
      <c r="G9651">
        <f t="shared" si="303"/>
        <v>185.38</v>
      </c>
    </row>
    <row r="9652" spans="1:7" ht="12.75" customHeight="1">
      <c r="A9652" s="3">
        <v>97514</v>
      </c>
      <c r="B9652" s="4" t="s">
        <v>9676</v>
      </c>
      <c r="C9652" s="3" t="s">
        <v>6</v>
      </c>
      <c r="D9652" s="5">
        <f t="shared" si="302"/>
        <v>197.44</v>
      </c>
      <c r="E9652">
        <v>216.73</v>
      </c>
      <c r="F9652" s="1789">
        <v>8.8999999999999996E-2</v>
      </c>
      <c r="G9652">
        <f t="shared" si="303"/>
        <v>197.44</v>
      </c>
    </row>
    <row r="9653" spans="1:7" ht="12.75" customHeight="1">
      <c r="A9653" s="3">
        <v>97515</v>
      </c>
      <c r="B9653" s="4" t="s">
        <v>9677</v>
      </c>
      <c r="C9653" s="3" t="s">
        <v>6</v>
      </c>
      <c r="D9653" s="5">
        <f t="shared" si="302"/>
        <v>248.01</v>
      </c>
      <c r="E9653">
        <v>272.25</v>
      </c>
      <c r="F9653" s="1789">
        <v>8.8999999999999996E-2</v>
      </c>
      <c r="G9653">
        <f t="shared" si="303"/>
        <v>248.01</v>
      </c>
    </row>
    <row r="9654" spans="1:7" ht="12.75" customHeight="1">
      <c r="A9654" s="3">
        <v>97517</v>
      </c>
      <c r="B9654" s="4" t="s">
        <v>9678</v>
      </c>
      <c r="C9654" s="3" t="s">
        <v>6</v>
      </c>
      <c r="D9654" s="5">
        <f t="shared" si="302"/>
        <v>48.1</v>
      </c>
      <c r="E9654">
        <v>52.8</v>
      </c>
      <c r="F9654" s="1789">
        <v>8.8999999999999996E-2</v>
      </c>
      <c r="G9654">
        <f t="shared" si="303"/>
        <v>48.1</v>
      </c>
    </row>
    <row r="9655" spans="1:7" ht="12.75" customHeight="1">
      <c r="A9655" s="3">
        <v>97518</v>
      </c>
      <c r="B9655" s="4" t="s">
        <v>9679</v>
      </c>
      <c r="C9655" s="3" t="s">
        <v>6</v>
      </c>
      <c r="D9655" s="5">
        <f t="shared" si="302"/>
        <v>48.1</v>
      </c>
      <c r="E9655">
        <v>52.8</v>
      </c>
      <c r="F9655" s="1789">
        <v>8.8999999999999996E-2</v>
      </c>
      <c r="G9655">
        <f t="shared" si="303"/>
        <v>48.1</v>
      </c>
    </row>
    <row r="9656" spans="1:7" ht="12.75" customHeight="1">
      <c r="A9656" s="3">
        <v>97519</v>
      </c>
      <c r="B9656" s="4" t="s">
        <v>9680</v>
      </c>
      <c r="C9656" s="3" t="s">
        <v>6</v>
      </c>
      <c r="D9656" s="5">
        <f t="shared" si="302"/>
        <v>68.900000000000006</v>
      </c>
      <c r="E9656">
        <v>75.64</v>
      </c>
      <c r="F9656" s="1789">
        <v>8.8999999999999996E-2</v>
      </c>
      <c r="G9656">
        <f t="shared" si="303"/>
        <v>68.900000000000006</v>
      </c>
    </row>
    <row r="9657" spans="1:7" ht="12.75" customHeight="1">
      <c r="A9657" s="3">
        <v>97520</v>
      </c>
      <c r="B9657" s="4" t="s">
        <v>9681</v>
      </c>
      <c r="C9657" s="3" t="s">
        <v>6</v>
      </c>
      <c r="D9657" s="5">
        <f t="shared" si="302"/>
        <v>68.900000000000006</v>
      </c>
      <c r="E9657">
        <v>75.64</v>
      </c>
      <c r="F9657" s="1789">
        <v>8.8999999999999996E-2</v>
      </c>
      <c r="G9657">
        <f t="shared" si="303"/>
        <v>68.900000000000006</v>
      </c>
    </row>
    <row r="9658" spans="1:7" ht="12.75" customHeight="1">
      <c r="A9658" s="3">
        <v>97521</v>
      </c>
      <c r="B9658" s="4" t="s">
        <v>9682</v>
      </c>
      <c r="C9658" s="3" t="s">
        <v>6</v>
      </c>
      <c r="D9658" s="5">
        <f t="shared" si="302"/>
        <v>96.28</v>
      </c>
      <c r="E9658">
        <v>105.69</v>
      </c>
      <c r="F9658" s="1789">
        <v>8.8999999999999996E-2</v>
      </c>
      <c r="G9658">
        <f t="shared" si="303"/>
        <v>96.28</v>
      </c>
    </row>
    <row r="9659" spans="1:7" ht="12.75" customHeight="1">
      <c r="A9659" s="3">
        <v>97522</v>
      </c>
      <c r="B9659" s="4" t="s">
        <v>9683</v>
      </c>
      <c r="C9659" s="3" t="s">
        <v>6</v>
      </c>
      <c r="D9659" s="5">
        <f t="shared" si="302"/>
        <v>96.28</v>
      </c>
      <c r="E9659">
        <v>105.69</v>
      </c>
      <c r="F9659" s="1789">
        <v>8.8999999999999996E-2</v>
      </c>
      <c r="G9659">
        <f t="shared" si="303"/>
        <v>96.28</v>
      </c>
    </row>
    <row r="9660" spans="1:7" ht="12.75" customHeight="1">
      <c r="A9660" s="3">
        <v>97523</v>
      </c>
      <c r="B9660" s="4" t="s">
        <v>9684</v>
      </c>
      <c r="C9660" s="3" t="s">
        <v>6</v>
      </c>
      <c r="D9660" s="5">
        <f t="shared" si="302"/>
        <v>132.83000000000001</v>
      </c>
      <c r="E9660">
        <v>145.81</v>
      </c>
      <c r="F9660" s="1789">
        <v>8.8999999999999996E-2</v>
      </c>
      <c r="G9660">
        <f t="shared" si="303"/>
        <v>132.83000000000001</v>
      </c>
    </row>
    <row r="9661" spans="1:7" ht="12.75" customHeight="1">
      <c r="A9661" s="3">
        <v>97524</v>
      </c>
      <c r="B9661" s="4" t="s">
        <v>9685</v>
      </c>
      <c r="C9661" s="3" t="s">
        <v>6</v>
      </c>
      <c r="D9661" s="5">
        <f t="shared" si="302"/>
        <v>143.43</v>
      </c>
      <c r="E9661">
        <v>157.44999999999999</v>
      </c>
      <c r="F9661" s="1789">
        <v>8.8999999999999996E-2</v>
      </c>
      <c r="G9661">
        <f t="shared" si="303"/>
        <v>143.43</v>
      </c>
    </row>
    <row r="9662" spans="1:7" ht="12.75" customHeight="1">
      <c r="A9662" s="3">
        <v>97525</v>
      </c>
      <c r="B9662" s="4" t="s">
        <v>9686</v>
      </c>
      <c r="C9662" s="3" t="s">
        <v>6</v>
      </c>
      <c r="D9662" s="5">
        <f t="shared" si="302"/>
        <v>251.22</v>
      </c>
      <c r="E9662">
        <v>275.77</v>
      </c>
      <c r="F9662" s="1789">
        <v>8.8999999999999996E-2</v>
      </c>
      <c r="G9662">
        <f t="shared" si="303"/>
        <v>251.22</v>
      </c>
    </row>
    <row r="9663" spans="1:7" ht="12.75" customHeight="1">
      <c r="A9663" s="3">
        <v>97526</v>
      </c>
      <c r="B9663" s="4" t="s">
        <v>9687</v>
      </c>
      <c r="C9663" s="3" t="s">
        <v>6</v>
      </c>
      <c r="D9663" s="5">
        <f t="shared" si="302"/>
        <v>268.18</v>
      </c>
      <c r="E9663">
        <v>294.38</v>
      </c>
      <c r="F9663" s="1789">
        <v>8.8999999999999996E-2</v>
      </c>
      <c r="G9663">
        <f t="shared" si="303"/>
        <v>268.18</v>
      </c>
    </row>
    <row r="9664" spans="1:7" ht="12.75" customHeight="1">
      <c r="A9664" s="3">
        <v>97527</v>
      </c>
      <c r="B9664" s="4" t="s">
        <v>9688</v>
      </c>
      <c r="C9664" s="3" t="s">
        <v>6</v>
      </c>
      <c r="D9664" s="5">
        <f t="shared" si="302"/>
        <v>619.74</v>
      </c>
      <c r="E9664">
        <v>680.29</v>
      </c>
      <c r="F9664" s="1789">
        <v>8.8999999999999996E-2</v>
      </c>
      <c r="G9664">
        <f t="shared" si="303"/>
        <v>619.74</v>
      </c>
    </row>
    <row r="9665" spans="1:7" ht="12.75" customHeight="1">
      <c r="A9665" s="3">
        <v>97528</v>
      </c>
      <c r="B9665" s="4" t="s">
        <v>9689</v>
      </c>
      <c r="C9665" s="3" t="s">
        <v>6</v>
      </c>
      <c r="D9665" s="5">
        <f t="shared" si="302"/>
        <v>543.67999999999995</v>
      </c>
      <c r="E9665">
        <v>596.79999999999995</v>
      </c>
      <c r="F9665" s="1789">
        <v>8.8999999999999996E-2</v>
      </c>
      <c r="G9665">
        <f t="shared" si="303"/>
        <v>543.67999999999995</v>
      </c>
    </row>
    <row r="9666" spans="1:7" ht="12.75" customHeight="1">
      <c r="A9666" s="3">
        <v>97529</v>
      </c>
      <c r="B9666" s="4" t="s">
        <v>9690</v>
      </c>
      <c r="C9666" s="3" t="s">
        <v>6</v>
      </c>
      <c r="D9666" s="5">
        <f t="shared" si="302"/>
        <v>75.430000000000007</v>
      </c>
      <c r="E9666">
        <v>82.81</v>
      </c>
      <c r="F9666" s="1789">
        <v>8.8999999999999996E-2</v>
      </c>
      <c r="G9666">
        <f t="shared" si="303"/>
        <v>75.430000000000007</v>
      </c>
    </row>
    <row r="9667" spans="1:7" ht="12.75" customHeight="1">
      <c r="A9667" s="3">
        <v>97530</v>
      </c>
      <c r="B9667" s="4" t="s">
        <v>9691</v>
      </c>
      <c r="C9667" s="3" t="s">
        <v>6</v>
      </c>
      <c r="D9667" s="5">
        <f t="shared" si="302"/>
        <v>109.62</v>
      </c>
      <c r="E9667">
        <v>120.33</v>
      </c>
      <c r="F9667" s="1789">
        <v>8.8999999999999996E-2</v>
      </c>
      <c r="G9667">
        <f t="shared" si="303"/>
        <v>109.62</v>
      </c>
    </row>
    <row r="9668" spans="1:7" ht="12.75" customHeight="1">
      <c r="A9668" s="3">
        <v>97531</v>
      </c>
      <c r="B9668" s="4" t="s">
        <v>9692</v>
      </c>
      <c r="C9668" s="3" t="s">
        <v>6</v>
      </c>
      <c r="D9668" s="5">
        <f t="shared" si="302"/>
        <v>139.86000000000001</v>
      </c>
      <c r="E9668">
        <v>153.53</v>
      </c>
      <c r="F9668" s="1789">
        <v>8.8999999999999996E-2</v>
      </c>
      <c r="G9668">
        <f t="shared" si="303"/>
        <v>139.86000000000001</v>
      </c>
    </row>
    <row r="9669" spans="1:7" ht="12.75" customHeight="1">
      <c r="A9669" s="3">
        <v>97532</v>
      </c>
      <c r="B9669" s="4" t="s">
        <v>9693</v>
      </c>
      <c r="C9669" s="3" t="s">
        <v>6</v>
      </c>
      <c r="D9669" s="5">
        <f t="shared" si="302"/>
        <v>219.66</v>
      </c>
      <c r="E9669">
        <v>241.13</v>
      </c>
      <c r="F9669" s="1789">
        <v>8.8999999999999996E-2</v>
      </c>
      <c r="G9669">
        <f t="shared" si="303"/>
        <v>219.66</v>
      </c>
    </row>
    <row r="9670" spans="1:7" ht="12.75" customHeight="1">
      <c r="A9670" s="3">
        <v>97533</v>
      </c>
      <c r="B9670" s="4" t="s">
        <v>9694</v>
      </c>
      <c r="C9670" s="3" t="s">
        <v>6</v>
      </c>
      <c r="D9670" s="5">
        <f t="shared" si="302"/>
        <v>414.66</v>
      </c>
      <c r="E9670">
        <v>455.18</v>
      </c>
      <c r="F9670" s="1789">
        <v>8.8999999999999996E-2</v>
      </c>
      <c r="G9670">
        <f t="shared" si="303"/>
        <v>414.66</v>
      </c>
    </row>
    <row r="9671" spans="1:7" ht="12.75" customHeight="1">
      <c r="A9671" s="3">
        <v>97534</v>
      </c>
      <c r="B9671" s="4" t="s">
        <v>9695</v>
      </c>
      <c r="C9671" s="3" t="s">
        <v>6</v>
      </c>
      <c r="D9671" s="5">
        <f t="shared" si="302"/>
        <v>658.57</v>
      </c>
      <c r="E9671">
        <v>722.91</v>
      </c>
      <c r="F9671" s="1789">
        <v>8.8999999999999996E-2</v>
      </c>
      <c r="G9671">
        <f t="shared" si="303"/>
        <v>658.57</v>
      </c>
    </row>
    <row r="9672" spans="1:7" ht="12.75" customHeight="1">
      <c r="A9672" s="3">
        <v>97537</v>
      </c>
      <c r="B9672" s="4" t="s">
        <v>9696</v>
      </c>
      <c r="C9672" s="3" t="s">
        <v>6</v>
      </c>
      <c r="D9672" s="5">
        <f t="shared" si="302"/>
        <v>22</v>
      </c>
      <c r="E9672">
        <v>24.16</v>
      </c>
      <c r="F9672" s="1789">
        <v>8.8999999999999996E-2</v>
      </c>
      <c r="G9672">
        <f t="shared" si="303"/>
        <v>22</v>
      </c>
    </row>
    <row r="9673" spans="1:7" ht="12.75" customHeight="1">
      <c r="A9673" s="3">
        <v>97540</v>
      </c>
      <c r="B9673" s="4" t="s">
        <v>9697</v>
      </c>
      <c r="C9673" s="3" t="s">
        <v>6</v>
      </c>
      <c r="D9673" s="5">
        <f t="shared" si="302"/>
        <v>29.27</v>
      </c>
      <c r="E9673">
        <v>32.14</v>
      </c>
      <c r="F9673" s="1789">
        <v>8.8999999999999996E-2</v>
      </c>
      <c r="G9673">
        <f t="shared" si="303"/>
        <v>29.27</v>
      </c>
    </row>
    <row r="9674" spans="1:7" ht="12.75" customHeight="1">
      <c r="A9674" s="3">
        <v>97541</v>
      </c>
      <c r="B9674" s="4" t="s">
        <v>9698</v>
      </c>
      <c r="C9674" s="3" t="s">
        <v>6</v>
      </c>
      <c r="D9674" s="5">
        <f t="shared" si="302"/>
        <v>24.76</v>
      </c>
      <c r="E9674">
        <v>27.18</v>
      </c>
      <c r="F9674" s="1789">
        <v>8.8999999999999996E-2</v>
      </c>
      <c r="G9674">
        <f t="shared" si="303"/>
        <v>24.76</v>
      </c>
    </row>
    <row r="9675" spans="1:7" ht="12.75" customHeight="1">
      <c r="A9675" s="3">
        <v>97543</v>
      </c>
      <c r="B9675" s="4" t="s">
        <v>9699</v>
      </c>
      <c r="C9675" s="3" t="s">
        <v>6</v>
      </c>
      <c r="D9675" s="5">
        <f t="shared" si="302"/>
        <v>47.18</v>
      </c>
      <c r="E9675">
        <v>51.79</v>
      </c>
      <c r="F9675" s="1789">
        <v>8.8999999999999996E-2</v>
      </c>
      <c r="G9675">
        <f t="shared" si="303"/>
        <v>47.18</v>
      </c>
    </row>
    <row r="9676" spans="1:7" ht="12.75" customHeight="1">
      <c r="A9676" s="3">
        <v>97544</v>
      </c>
      <c r="B9676" s="4" t="s">
        <v>9700</v>
      </c>
      <c r="C9676" s="3" t="s">
        <v>6</v>
      </c>
      <c r="D9676" s="5">
        <f t="shared" si="302"/>
        <v>41.74</v>
      </c>
      <c r="E9676">
        <v>45.82</v>
      </c>
      <c r="F9676" s="1789">
        <v>8.8999999999999996E-2</v>
      </c>
      <c r="G9676">
        <f t="shared" si="303"/>
        <v>41.74</v>
      </c>
    </row>
    <row r="9677" spans="1:7" ht="12.75" customHeight="1">
      <c r="A9677" s="3">
        <v>97546</v>
      </c>
      <c r="B9677" s="4" t="s">
        <v>9701</v>
      </c>
      <c r="C9677" s="3" t="s">
        <v>6</v>
      </c>
      <c r="D9677" s="5">
        <f t="shared" si="302"/>
        <v>30.7</v>
      </c>
      <c r="E9677">
        <v>33.700000000000003</v>
      </c>
      <c r="F9677" s="1789">
        <v>8.8999999999999996E-2</v>
      </c>
      <c r="G9677">
        <f t="shared" si="303"/>
        <v>30.7</v>
      </c>
    </row>
    <row r="9678" spans="1:7" ht="12.75" customHeight="1">
      <c r="A9678" s="3">
        <v>97547</v>
      </c>
      <c r="B9678" s="4" t="s">
        <v>9702</v>
      </c>
      <c r="C9678" s="3" t="s">
        <v>6</v>
      </c>
      <c r="D9678" s="5">
        <f t="shared" si="302"/>
        <v>30.7</v>
      </c>
      <c r="E9678">
        <v>33.700000000000003</v>
      </c>
      <c r="F9678" s="1789">
        <v>8.8999999999999996E-2</v>
      </c>
      <c r="G9678">
        <f t="shared" si="303"/>
        <v>30.7</v>
      </c>
    </row>
    <row r="9679" spans="1:7" ht="12.75" customHeight="1">
      <c r="A9679" s="3">
        <v>97548</v>
      </c>
      <c r="B9679" s="4" t="s">
        <v>9703</v>
      </c>
      <c r="C9679" s="3" t="s">
        <v>6</v>
      </c>
      <c r="D9679" s="5">
        <f t="shared" si="302"/>
        <v>45.24</v>
      </c>
      <c r="E9679">
        <v>49.66</v>
      </c>
      <c r="F9679" s="1789">
        <v>8.8999999999999996E-2</v>
      </c>
      <c r="G9679">
        <f t="shared" si="303"/>
        <v>45.24</v>
      </c>
    </row>
    <row r="9680" spans="1:7" ht="12.75" customHeight="1">
      <c r="A9680" s="3">
        <v>97549</v>
      </c>
      <c r="B9680" s="4" t="s">
        <v>9704</v>
      </c>
      <c r="C9680" s="3" t="s">
        <v>6</v>
      </c>
      <c r="D9680" s="5">
        <f t="shared" si="302"/>
        <v>45.24</v>
      </c>
      <c r="E9680">
        <v>49.66</v>
      </c>
      <c r="F9680" s="1789">
        <v>8.8999999999999996E-2</v>
      </c>
      <c r="G9680">
        <f t="shared" si="303"/>
        <v>45.24</v>
      </c>
    </row>
    <row r="9681" spans="1:7" ht="12.75" customHeight="1">
      <c r="A9681" s="3">
        <v>97550</v>
      </c>
      <c r="B9681" s="4" t="s">
        <v>9705</v>
      </c>
      <c r="C9681" s="3" t="s">
        <v>6</v>
      </c>
      <c r="D9681" s="5">
        <f t="shared" si="302"/>
        <v>74.5</v>
      </c>
      <c r="E9681">
        <v>81.78</v>
      </c>
      <c r="F9681" s="1789">
        <v>8.8999999999999996E-2</v>
      </c>
      <c r="G9681">
        <f t="shared" si="303"/>
        <v>74.5</v>
      </c>
    </row>
    <row r="9682" spans="1:7" ht="12.75" customHeight="1">
      <c r="A9682" s="3">
        <v>97551</v>
      </c>
      <c r="B9682" s="4" t="s">
        <v>9706</v>
      </c>
      <c r="C9682" s="3" t="s">
        <v>6</v>
      </c>
      <c r="D9682" s="5">
        <f t="shared" si="302"/>
        <v>74.5</v>
      </c>
      <c r="E9682">
        <v>81.78</v>
      </c>
      <c r="F9682" s="1789">
        <v>8.8999999999999996E-2</v>
      </c>
      <c r="G9682">
        <f t="shared" si="303"/>
        <v>74.5</v>
      </c>
    </row>
    <row r="9683" spans="1:7" ht="12.75" customHeight="1">
      <c r="A9683" s="3">
        <v>97552</v>
      </c>
      <c r="B9683" s="4" t="s">
        <v>9707</v>
      </c>
      <c r="C9683" s="3" t="s">
        <v>6</v>
      </c>
      <c r="D9683" s="5">
        <f t="shared" si="302"/>
        <v>44.89</v>
      </c>
      <c r="E9683">
        <v>49.28</v>
      </c>
      <c r="F9683" s="1789">
        <v>8.8999999999999996E-2</v>
      </c>
      <c r="G9683">
        <f t="shared" si="303"/>
        <v>44.89</v>
      </c>
    </row>
    <row r="9684" spans="1:7" ht="12.75" customHeight="1">
      <c r="A9684" s="3">
        <v>97553</v>
      </c>
      <c r="B9684" s="4" t="s">
        <v>9708</v>
      </c>
      <c r="C9684" s="3" t="s">
        <v>6</v>
      </c>
      <c r="D9684" s="5">
        <f t="shared" si="302"/>
        <v>64.25</v>
      </c>
      <c r="E9684">
        <v>70.53</v>
      </c>
      <c r="F9684" s="1789">
        <v>8.8999999999999996E-2</v>
      </c>
      <c r="G9684">
        <f t="shared" si="303"/>
        <v>64.25</v>
      </c>
    </row>
    <row r="9685" spans="1:7" ht="12.75" customHeight="1">
      <c r="A9685" s="3">
        <v>97554</v>
      </c>
      <c r="B9685" s="4" t="s">
        <v>9709</v>
      </c>
      <c r="C9685" s="3" t="s">
        <v>6</v>
      </c>
      <c r="D9685" s="5">
        <f t="shared" ref="D9685:D9748" si="304">G9685</f>
        <v>110.67</v>
      </c>
      <c r="E9685">
        <v>121.49</v>
      </c>
      <c r="F9685" s="1789">
        <v>8.8999999999999996E-2</v>
      </c>
      <c r="G9685">
        <f t="shared" ref="G9685:G9748" si="305">TRUNC((1-F9685)*E9685,2)</f>
        <v>110.67</v>
      </c>
    </row>
    <row r="9686" spans="1:7" ht="12.75" customHeight="1">
      <c r="A9686" s="3">
        <v>98602</v>
      </c>
      <c r="B9686" s="4" t="s">
        <v>9710</v>
      </c>
      <c r="C9686" s="3" t="s">
        <v>6</v>
      </c>
      <c r="D9686" s="5">
        <f t="shared" si="304"/>
        <v>16.22</v>
      </c>
      <c r="E9686">
        <v>17.809999999999999</v>
      </c>
      <c r="F9686" s="1789">
        <v>8.8999999999999996E-2</v>
      </c>
      <c r="G9686">
        <f t="shared" si="305"/>
        <v>16.22</v>
      </c>
    </row>
    <row r="9687" spans="1:7" ht="12.75" customHeight="1">
      <c r="A9687" s="3">
        <v>103805</v>
      </c>
      <c r="B9687" s="4" t="s">
        <v>9711</v>
      </c>
      <c r="C9687" s="3" t="s">
        <v>6</v>
      </c>
      <c r="D9687" s="5">
        <f t="shared" si="304"/>
        <v>15.87</v>
      </c>
      <c r="E9687">
        <v>17.43</v>
      </c>
      <c r="F9687" s="1789">
        <v>8.8999999999999996E-2</v>
      </c>
      <c r="G9687">
        <f t="shared" si="305"/>
        <v>15.87</v>
      </c>
    </row>
    <row r="9688" spans="1:7" ht="12.75" customHeight="1">
      <c r="A9688" s="3">
        <v>103806</v>
      </c>
      <c r="B9688" s="4" t="s">
        <v>9712</v>
      </c>
      <c r="C9688" s="3" t="s">
        <v>6</v>
      </c>
      <c r="D9688" s="5">
        <f t="shared" si="304"/>
        <v>15.85</v>
      </c>
      <c r="E9688">
        <v>17.399999999999999</v>
      </c>
      <c r="F9688" s="1789">
        <v>8.8999999999999996E-2</v>
      </c>
      <c r="G9688">
        <f t="shared" si="305"/>
        <v>15.85</v>
      </c>
    </row>
    <row r="9689" spans="1:7" ht="12.75" customHeight="1">
      <c r="A9689" s="3">
        <v>103807</v>
      </c>
      <c r="B9689" s="4" t="s">
        <v>9713</v>
      </c>
      <c r="C9689" s="3" t="s">
        <v>6</v>
      </c>
      <c r="D9689" s="5">
        <f t="shared" si="304"/>
        <v>19.62</v>
      </c>
      <c r="E9689">
        <v>21.54</v>
      </c>
      <c r="F9689" s="1789">
        <v>8.8999999999999996E-2</v>
      </c>
      <c r="G9689">
        <f t="shared" si="305"/>
        <v>19.62</v>
      </c>
    </row>
    <row r="9690" spans="1:7" ht="12.75" customHeight="1">
      <c r="A9690" s="3">
        <v>103808</v>
      </c>
      <c r="B9690" s="4" t="s">
        <v>9714</v>
      </c>
      <c r="C9690" s="3" t="s">
        <v>6</v>
      </c>
      <c r="D9690" s="5">
        <f t="shared" si="304"/>
        <v>29.78</v>
      </c>
      <c r="E9690">
        <v>32.69</v>
      </c>
      <c r="F9690" s="1789">
        <v>8.8999999999999996E-2</v>
      </c>
      <c r="G9690">
        <f t="shared" si="305"/>
        <v>29.78</v>
      </c>
    </row>
    <row r="9691" spans="1:7" ht="12.75" customHeight="1">
      <c r="A9691" s="3">
        <v>103809</v>
      </c>
      <c r="B9691" s="4" t="s">
        <v>9715</v>
      </c>
      <c r="C9691" s="3" t="s">
        <v>6</v>
      </c>
      <c r="D9691" s="5">
        <f t="shared" si="304"/>
        <v>29.51</v>
      </c>
      <c r="E9691">
        <v>32.4</v>
      </c>
      <c r="F9691" s="1789">
        <v>8.8999999999999996E-2</v>
      </c>
      <c r="G9691">
        <f t="shared" si="305"/>
        <v>29.51</v>
      </c>
    </row>
    <row r="9692" spans="1:7" ht="12.75" customHeight="1">
      <c r="A9692" s="3">
        <v>103810</v>
      </c>
      <c r="B9692" s="4" t="s">
        <v>9716</v>
      </c>
      <c r="C9692" s="3" t="s">
        <v>6</v>
      </c>
      <c r="D9692" s="5">
        <f t="shared" si="304"/>
        <v>30.22</v>
      </c>
      <c r="E9692">
        <v>33.18</v>
      </c>
      <c r="F9692" s="1789">
        <v>8.8999999999999996E-2</v>
      </c>
      <c r="G9692">
        <f t="shared" si="305"/>
        <v>30.22</v>
      </c>
    </row>
    <row r="9693" spans="1:7" ht="12.75" customHeight="1">
      <c r="A9693" s="3">
        <v>103811</v>
      </c>
      <c r="B9693" s="4" t="s">
        <v>9717</v>
      </c>
      <c r="C9693" s="3" t="s">
        <v>6</v>
      </c>
      <c r="D9693" s="5">
        <f t="shared" si="304"/>
        <v>33.340000000000003</v>
      </c>
      <c r="E9693">
        <v>36.6</v>
      </c>
      <c r="F9693" s="1789">
        <v>8.8999999999999996E-2</v>
      </c>
      <c r="G9693">
        <f t="shared" si="305"/>
        <v>33.340000000000003</v>
      </c>
    </row>
    <row r="9694" spans="1:7" ht="12.75" customHeight="1">
      <c r="A9694" s="3">
        <v>103812</v>
      </c>
      <c r="B9694" s="4" t="s">
        <v>9718</v>
      </c>
      <c r="C9694" s="3" t="s">
        <v>6</v>
      </c>
      <c r="D9694" s="5">
        <f t="shared" si="304"/>
        <v>44.17</v>
      </c>
      <c r="E9694">
        <v>48.49</v>
      </c>
      <c r="F9694" s="1789">
        <v>8.8999999999999996E-2</v>
      </c>
      <c r="G9694">
        <f t="shared" si="305"/>
        <v>44.17</v>
      </c>
    </row>
    <row r="9695" spans="1:7" ht="12.75" customHeight="1">
      <c r="A9695" s="3">
        <v>103813</v>
      </c>
      <c r="B9695" s="4" t="s">
        <v>9719</v>
      </c>
      <c r="C9695" s="3" t="s">
        <v>6</v>
      </c>
      <c r="D9695" s="5">
        <f t="shared" si="304"/>
        <v>42.57</v>
      </c>
      <c r="E9695">
        <v>46.73</v>
      </c>
      <c r="F9695" s="1789">
        <v>8.8999999999999996E-2</v>
      </c>
      <c r="G9695">
        <f t="shared" si="305"/>
        <v>42.57</v>
      </c>
    </row>
    <row r="9696" spans="1:7" ht="12.75" customHeight="1">
      <c r="A9696" s="3">
        <v>103814</v>
      </c>
      <c r="B9696" s="4" t="s">
        <v>9720</v>
      </c>
      <c r="C9696" s="3" t="s">
        <v>6</v>
      </c>
      <c r="D9696" s="5">
        <f t="shared" si="304"/>
        <v>10.38</v>
      </c>
      <c r="E9696">
        <v>11.4</v>
      </c>
      <c r="F9696" s="1789">
        <v>8.8999999999999996E-2</v>
      </c>
      <c r="G9696">
        <f t="shared" si="305"/>
        <v>10.38</v>
      </c>
    </row>
    <row r="9697" spans="1:7" ht="12.75" customHeight="1">
      <c r="A9697" s="3">
        <v>103815</v>
      </c>
      <c r="B9697" s="4" t="s">
        <v>9721</v>
      </c>
      <c r="C9697" s="3" t="s">
        <v>6</v>
      </c>
      <c r="D9697" s="5">
        <f t="shared" si="304"/>
        <v>10.41</v>
      </c>
      <c r="E9697">
        <v>11.43</v>
      </c>
      <c r="F9697" s="1789">
        <v>8.8999999999999996E-2</v>
      </c>
      <c r="G9697">
        <f t="shared" si="305"/>
        <v>10.41</v>
      </c>
    </row>
    <row r="9698" spans="1:7" ht="12.75" customHeight="1">
      <c r="A9698" s="3">
        <v>103816</v>
      </c>
      <c r="B9698" s="4" t="s">
        <v>9722</v>
      </c>
      <c r="C9698" s="3" t="s">
        <v>6</v>
      </c>
      <c r="D9698" s="5">
        <f t="shared" si="304"/>
        <v>24.26</v>
      </c>
      <c r="E9698">
        <v>26.64</v>
      </c>
      <c r="F9698" s="1789">
        <v>8.8999999999999996E-2</v>
      </c>
      <c r="G9698">
        <f t="shared" si="305"/>
        <v>24.26</v>
      </c>
    </row>
    <row r="9699" spans="1:7" ht="12.75" customHeight="1">
      <c r="A9699" s="3">
        <v>103817</v>
      </c>
      <c r="B9699" s="4" t="s">
        <v>9723</v>
      </c>
      <c r="C9699" s="3" t="s">
        <v>6</v>
      </c>
      <c r="D9699" s="5">
        <f t="shared" si="304"/>
        <v>409.42</v>
      </c>
      <c r="E9699">
        <v>449.42</v>
      </c>
      <c r="F9699" s="1789">
        <v>8.8999999999999996E-2</v>
      </c>
      <c r="G9699">
        <f t="shared" si="305"/>
        <v>409.42</v>
      </c>
    </row>
    <row r="9700" spans="1:7" ht="12.75" customHeight="1">
      <c r="A9700" s="3">
        <v>103818</v>
      </c>
      <c r="B9700" s="4" t="s">
        <v>9724</v>
      </c>
      <c r="C9700" s="3" t="s">
        <v>6</v>
      </c>
      <c r="D9700" s="5">
        <f t="shared" si="304"/>
        <v>17.989999999999998</v>
      </c>
      <c r="E9700">
        <v>19.75</v>
      </c>
      <c r="F9700" s="1789">
        <v>8.8999999999999996E-2</v>
      </c>
      <c r="G9700">
        <f t="shared" si="305"/>
        <v>17.989999999999998</v>
      </c>
    </row>
    <row r="9701" spans="1:7" ht="12.75" customHeight="1">
      <c r="A9701" s="3">
        <v>103819</v>
      </c>
      <c r="B9701" s="4" t="s">
        <v>9725</v>
      </c>
      <c r="C9701" s="3" t="s">
        <v>6</v>
      </c>
      <c r="D9701" s="5">
        <f t="shared" si="304"/>
        <v>18.37</v>
      </c>
      <c r="E9701">
        <v>20.170000000000002</v>
      </c>
      <c r="F9701" s="1789">
        <v>8.8999999999999996E-2</v>
      </c>
      <c r="G9701">
        <f t="shared" si="305"/>
        <v>18.37</v>
      </c>
    </row>
    <row r="9702" spans="1:7" ht="12.75" customHeight="1">
      <c r="A9702" s="3">
        <v>103820</v>
      </c>
      <c r="B9702" s="4" t="s">
        <v>9726</v>
      </c>
      <c r="C9702" s="3" t="s">
        <v>6</v>
      </c>
      <c r="D9702" s="5">
        <f t="shared" si="304"/>
        <v>19.559999999999999</v>
      </c>
      <c r="E9702">
        <v>21.48</v>
      </c>
      <c r="F9702" s="1789">
        <v>8.8999999999999996E-2</v>
      </c>
      <c r="G9702">
        <f t="shared" si="305"/>
        <v>19.559999999999999</v>
      </c>
    </row>
    <row r="9703" spans="1:7" ht="12.75" customHeight="1">
      <c r="A9703" s="3">
        <v>103821</v>
      </c>
      <c r="B9703" s="4" t="s">
        <v>9727</v>
      </c>
      <c r="C9703" s="3" t="s">
        <v>6</v>
      </c>
      <c r="D9703" s="5">
        <f t="shared" si="304"/>
        <v>479.25</v>
      </c>
      <c r="E9703">
        <v>526.08000000000004</v>
      </c>
      <c r="F9703" s="1789">
        <v>8.8999999999999996E-2</v>
      </c>
      <c r="G9703">
        <f t="shared" si="305"/>
        <v>479.25</v>
      </c>
    </row>
    <row r="9704" spans="1:7" ht="12.75" customHeight="1">
      <c r="A9704" s="3">
        <v>103822</v>
      </c>
      <c r="B9704" s="4" t="s">
        <v>9728</v>
      </c>
      <c r="C9704" s="3" t="s">
        <v>6</v>
      </c>
      <c r="D9704" s="5">
        <f t="shared" si="304"/>
        <v>50.01</v>
      </c>
      <c r="E9704">
        <v>54.9</v>
      </c>
      <c r="F9704" s="1789">
        <v>8.8999999999999996E-2</v>
      </c>
      <c r="G9704">
        <f t="shared" si="305"/>
        <v>50.01</v>
      </c>
    </row>
    <row r="9705" spans="1:7" ht="12.75" customHeight="1">
      <c r="A9705" s="3">
        <v>103823</v>
      </c>
      <c r="B9705" s="4" t="s">
        <v>9729</v>
      </c>
      <c r="C9705" s="3" t="s">
        <v>6</v>
      </c>
      <c r="D9705" s="5">
        <f t="shared" si="304"/>
        <v>15.96</v>
      </c>
      <c r="E9705">
        <v>17.52</v>
      </c>
      <c r="F9705" s="1789">
        <v>8.8999999999999996E-2</v>
      </c>
      <c r="G9705">
        <f t="shared" si="305"/>
        <v>15.96</v>
      </c>
    </row>
    <row r="9706" spans="1:7" ht="12.75" customHeight="1">
      <c r="A9706" s="3">
        <v>103824</v>
      </c>
      <c r="B9706" s="4" t="s">
        <v>9730</v>
      </c>
      <c r="C9706" s="3" t="s">
        <v>6</v>
      </c>
      <c r="D9706" s="5">
        <f t="shared" si="304"/>
        <v>20.97</v>
      </c>
      <c r="E9706">
        <v>23.02</v>
      </c>
      <c r="F9706" s="1789">
        <v>8.8999999999999996E-2</v>
      </c>
      <c r="G9706">
        <f t="shared" si="305"/>
        <v>20.97</v>
      </c>
    </row>
    <row r="9707" spans="1:7" ht="12.75" customHeight="1">
      <c r="A9707" s="3">
        <v>103825</v>
      </c>
      <c r="B9707" s="4" t="s">
        <v>9731</v>
      </c>
      <c r="C9707" s="3" t="s">
        <v>6</v>
      </c>
      <c r="D9707" s="5">
        <f t="shared" si="304"/>
        <v>24.85</v>
      </c>
      <c r="E9707">
        <v>27.28</v>
      </c>
      <c r="F9707" s="1789">
        <v>8.8999999999999996E-2</v>
      </c>
      <c r="G9707">
        <f t="shared" si="305"/>
        <v>24.85</v>
      </c>
    </row>
    <row r="9708" spans="1:7" ht="12.75" customHeight="1">
      <c r="A9708" s="3">
        <v>103826</v>
      </c>
      <c r="B9708" s="4" t="s">
        <v>9732</v>
      </c>
      <c r="C9708" s="3" t="s">
        <v>6</v>
      </c>
      <c r="D9708" s="5">
        <f t="shared" si="304"/>
        <v>27.69</v>
      </c>
      <c r="E9708">
        <v>30.4</v>
      </c>
      <c r="F9708" s="1789">
        <v>8.8999999999999996E-2</v>
      </c>
      <c r="G9708">
        <f t="shared" si="305"/>
        <v>27.69</v>
      </c>
    </row>
    <row r="9709" spans="1:7" ht="12.75" customHeight="1">
      <c r="A9709" s="3">
        <v>103827</v>
      </c>
      <c r="B9709" s="4" t="s">
        <v>9733</v>
      </c>
      <c r="C9709" s="3" t="s">
        <v>6</v>
      </c>
      <c r="D9709" s="5">
        <f t="shared" si="304"/>
        <v>27.69</v>
      </c>
      <c r="E9709">
        <v>30.4</v>
      </c>
      <c r="F9709" s="1789">
        <v>8.8999999999999996E-2</v>
      </c>
      <c r="G9709">
        <f t="shared" si="305"/>
        <v>27.69</v>
      </c>
    </row>
    <row r="9710" spans="1:7" ht="12.75" customHeight="1">
      <c r="A9710" s="3">
        <v>103828</v>
      </c>
      <c r="B9710" s="4" t="s">
        <v>9734</v>
      </c>
      <c r="C9710" s="3" t="s">
        <v>6</v>
      </c>
      <c r="D9710" s="5">
        <f t="shared" si="304"/>
        <v>83.67</v>
      </c>
      <c r="E9710">
        <v>91.85</v>
      </c>
      <c r="F9710" s="1789">
        <v>8.8999999999999996E-2</v>
      </c>
      <c r="G9710">
        <f t="shared" si="305"/>
        <v>83.67</v>
      </c>
    </row>
    <row r="9711" spans="1:7" ht="12.75" customHeight="1">
      <c r="A9711" s="3">
        <v>103829</v>
      </c>
      <c r="B9711" s="4" t="s">
        <v>9735</v>
      </c>
      <c r="C9711" s="3" t="s">
        <v>6</v>
      </c>
      <c r="D9711" s="5">
        <f t="shared" si="304"/>
        <v>529.4</v>
      </c>
      <c r="E9711">
        <v>581.12</v>
      </c>
      <c r="F9711" s="1789">
        <v>8.8999999999999996E-2</v>
      </c>
      <c r="G9711">
        <f t="shared" si="305"/>
        <v>529.4</v>
      </c>
    </row>
    <row r="9712" spans="1:7" ht="12.75" customHeight="1">
      <c r="A9712" s="3">
        <v>103830</v>
      </c>
      <c r="B9712" s="4" t="s">
        <v>9736</v>
      </c>
      <c r="C9712" s="3" t="s">
        <v>6</v>
      </c>
      <c r="D9712" s="5">
        <f t="shared" si="304"/>
        <v>32.64</v>
      </c>
      <c r="E9712">
        <v>35.83</v>
      </c>
      <c r="F9712" s="1789">
        <v>8.8999999999999996E-2</v>
      </c>
      <c r="G9712">
        <f t="shared" si="305"/>
        <v>32.64</v>
      </c>
    </row>
    <row r="9713" spans="1:7" ht="12.75" customHeight="1">
      <c r="A9713" s="3">
        <v>103831</v>
      </c>
      <c r="B9713" s="4" t="s">
        <v>9737</v>
      </c>
      <c r="C9713" s="3" t="s">
        <v>6</v>
      </c>
      <c r="D9713" s="5">
        <f t="shared" si="304"/>
        <v>23.8</v>
      </c>
      <c r="E9713">
        <v>26.13</v>
      </c>
      <c r="F9713" s="1789">
        <v>8.8999999999999996E-2</v>
      </c>
      <c r="G9713">
        <f t="shared" si="305"/>
        <v>23.8</v>
      </c>
    </row>
    <row r="9714" spans="1:7" ht="12.75" customHeight="1">
      <c r="A9714" s="3">
        <v>103832</v>
      </c>
      <c r="B9714" s="4" t="s">
        <v>9738</v>
      </c>
      <c r="C9714" s="3" t="s">
        <v>6</v>
      </c>
      <c r="D9714" s="5">
        <f t="shared" si="304"/>
        <v>21.47</v>
      </c>
      <c r="E9714">
        <v>23.57</v>
      </c>
      <c r="F9714" s="1789">
        <v>8.8999999999999996E-2</v>
      </c>
      <c r="G9714">
        <f t="shared" si="305"/>
        <v>21.47</v>
      </c>
    </row>
    <row r="9715" spans="1:7" ht="12.75" customHeight="1">
      <c r="A9715" s="3">
        <v>103833</v>
      </c>
      <c r="B9715" s="4" t="s">
        <v>9739</v>
      </c>
      <c r="C9715" s="3" t="s">
        <v>6</v>
      </c>
      <c r="D9715" s="5">
        <f t="shared" si="304"/>
        <v>39.479999999999997</v>
      </c>
      <c r="E9715">
        <v>43.34</v>
      </c>
      <c r="F9715" s="1789">
        <v>8.8999999999999996E-2</v>
      </c>
      <c r="G9715">
        <f t="shared" si="305"/>
        <v>39.479999999999997</v>
      </c>
    </row>
    <row r="9716" spans="1:7" ht="12.75" customHeight="1">
      <c r="A9716" s="3">
        <v>103834</v>
      </c>
      <c r="B9716" s="4" t="s">
        <v>9740</v>
      </c>
      <c r="C9716" s="3" t="s">
        <v>6</v>
      </c>
      <c r="D9716" s="5">
        <f t="shared" si="304"/>
        <v>57.41</v>
      </c>
      <c r="E9716">
        <v>63.02</v>
      </c>
      <c r="F9716" s="1789">
        <v>8.8999999999999996E-2</v>
      </c>
      <c r="G9716">
        <f t="shared" si="305"/>
        <v>57.41</v>
      </c>
    </row>
    <row r="9717" spans="1:7" ht="12.75" customHeight="1">
      <c r="A9717" s="3">
        <v>103838</v>
      </c>
      <c r="B9717" s="4" t="s">
        <v>9741</v>
      </c>
      <c r="C9717" s="3" t="s">
        <v>6</v>
      </c>
      <c r="D9717" s="5">
        <f t="shared" si="304"/>
        <v>15.26</v>
      </c>
      <c r="E9717">
        <v>16.760000000000002</v>
      </c>
      <c r="F9717" s="1789">
        <v>8.8999999999999996E-2</v>
      </c>
      <c r="G9717">
        <f t="shared" si="305"/>
        <v>15.26</v>
      </c>
    </row>
    <row r="9718" spans="1:7" ht="12.75" customHeight="1">
      <c r="A9718" s="3">
        <v>103839</v>
      </c>
      <c r="B9718" s="4" t="s">
        <v>9742</v>
      </c>
      <c r="C9718" s="3" t="s">
        <v>6</v>
      </c>
      <c r="D9718" s="5">
        <f t="shared" si="304"/>
        <v>15.24</v>
      </c>
      <c r="E9718">
        <v>16.73</v>
      </c>
      <c r="F9718" s="1789">
        <v>8.8999999999999996E-2</v>
      </c>
      <c r="G9718">
        <f t="shared" si="305"/>
        <v>15.24</v>
      </c>
    </row>
    <row r="9719" spans="1:7" ht="12.75" customHeight="1">
      <c r="A9719" s="3">
        <v>103840</v>
      </c>
      <c r="B9719" s="4" t="s">
        <v>9743</v>
      </c>
      <c r="C9719" s="3" t="s">
        <v>6</v>
      </c>
      <c r="D9719" s="5">
        <f t="shared" si="304"/>
        <v>19.309999999999999</v>
      </c>
      <c r="E9719">
        <v>21.2</v>
      </c>
      <c r="F9719" s="1789">
        <v>8.8999999999999996E-2</v>
      </c>
      <c r="G9719">
        <f t="shared" si="305"/>
        <v>19.309999999999999</v>
      </c>
    </row>
    <row r="9720" spans="1:7" ht="12.75" customHeight="1">
      <c r="A9720" s="3">
        <v>103841</v>
      </c>
      <c r="B9720" s="4" t="s">
        <v>9744</v>
      </c>
      <c r="C9720" s="3" t="s">
        <v>6</v>
      </c>
      <c r="D9720" s="5">
        <f t="shared" si="304"/>
        <v>24.96</v>
      </c>
      <c r="E9720">
        <v>27.4</v>
      </c>
      <c r="F9720" s="1789">
        <v>8.8999999999999996E-2</v>
      </c>
      <c r="G9720">
        <f t="shared" si="305"/>
        <v>24.96</v>
      </c>
    </row>
    <row r="9721" spans="1:7" ht="12.75" customHeight="1">
      <c r="A9721" s="3">
        <v>103842</v>
      </c>
      <c r="B9721" s="4" t="s">
        <v>9745</v>
      </c>
      <c r="C9721" s="3" t="s">
        <v>6</v>
      </c>
      <c r="D9721" s="5">
        <f t="shared" si="304"/>
        <v>24.69</v>
      </c>
      <c r="E9721">
        <v>27.11</v>
      </c>
      <c r="F9721" s="1789">
        <v>8.8999999999999996E-2</v>
      </c>
      <c r="G9721">
        <f t="shared" si="305"/>
        <v>24.69</v>
      </c>
    </row>
    <row r="9722" spans="1:7" ht="12.75" customHeight="1">
      <c r="A9722" s="3">
        <v>103843</v>
      </c>
      <c r="B9722" s="4" t="s">
        <v>9746</v>
      </c>
      <c r="C9722" s="3" t="s">
        <v>6</v>
      </c>
      <c r="D9722" s="5">
        <f t="shared" si="304"/>
        <v>27.81</v>
      </c>
      <c r="E9722">
        <v>30.53</v>
      </c>
      <c r="F9722" s="1789">
        <v>8.8999999999999996E-2</v>
      </c>
      <c r="G9722">
        <f t="shared" si="305"/>
        <v>27.81</v>
      </c>
    </row>
    <row r="9723" spans="1:7" ht="12.75" customHeight="1">
      <c r="A9723" s="3">
        <v>103844</v>
      </c>
      <c r="B9723" s="4" t="s">
        <v>9747</v>
      </c>
      <c r="C9723" s="3" t="s">
        <v>6</v>
      </c>
      <c r="D9723" s="5">
        <f t="shared" si="304"/>
        <v>30.91</v>
      </c>
      <c r="E9723">
        <v>33.94</v>
      </c>
      <c r="F9723" s="1789">
        <v>8.8999999999999996E-2</v>
      </c>
      <c r="G9723">
        <f t="shared" si="305"/>
        <v>30.91</v>
      </c>
    </row>
    <row r="9724" spans="1:7" ht="12.75" customHeight="1">
      <c r="A9724" s="3">
        <v>103845</v>
      </c>
      <c r="B9724" s="4" t="s">
        <v>9748</v>
      </c>
      <c r="C9724" s="3" t="s">
        <v>6</v>
      </c>
      <c r="D9724" s="5">
        <f t="shared" si="304"/>
        <v>35.74</v>
      </c>
      <c r="E9724">
        <v>39.24</v>
      </c>
      <c r="F9724" s="1789">
        <v>8.8999999999999996E-2</v>
      </c>
      <c r="G9724">
        <f t="shared" si="305"/>
        <v>35.74</v>
      </c>
    </row>
    <row r="9725" spans="1:7" ht="12.75" customHeight="1">
      <c r="A9725" s="3">
        <v>103846</v>
      </c>
      <c r="B9725" s="4" t="s">
        <v>9749</v>
      </c>
      <c r="C9725" s="3" t="s">
        <v>6</v>
      </c>
      <c r="D9725" s="5">
        <f t="shared" si="304"/>
        <v>34.14</v>
      </c>
      <c r="E9725">
        <v>37.479999999999997</v>
      </c>
      <c r="F9725" s="1789">
        <v>8.8999999999999996E-2</v>
      </c>
      <c r="G9725">
        <f t="shared" si="305"/>
        <v>34.14</v>
      </c>
    </row>
    <row r="9726" spans="1:7" ht="12.75" customHeight="1">
      <c r="A9726" s="3">
        <v>103847</v>
      </c>
      <c r="B9726" s="4" t="s">
        <v>9750</v>
      </c>
      <c r="C9726" s="3" t="s">
        <v>6</v>
      </c>
      <c r="D9726" s="5">
        <f t="shared" si="304"/>
        <v>9.9600000000000009</v>
      </c>
      <c r="E9726">
        <v>10.94</v>
      </c>
      <c r="F9726" s="1789">
        <v>8.8999999999999996E-2</v>
      </c>
      <c r="G9726">
        <f t="shared" si="305"/>
        <v>9.9600000000000009</v>
      </c>
    </row>
    <row r="9727" spans="1:7" ht="12.75" customHeight="1">
      <c r="A9727" s="3">
        <v>103848</v>
      </c>
      <c r="B9727" s="4" t="s">
        <v>9751</v>
      </c>
      <c r="C9727" s="3" t="s">
        <v>6</v>
      </c>
      <c r="D9727" s="5">
        <f t="shared" si="304"/>
        <v>9.99</v>
      </c>
      <c r="E9727">
        <v>10.97</v>
      </c>
      <c r="F9727" s="1789">
        <v>8.8999999999999996E-2</v>
      </c>
      <c r="G9727">
        <f t="shared" si="305"/>
        <v>9.99</v>
      </c>
    </row>
    <row r="9728" spans="1:7" ht="12.75" customHeight="1">
      <c r="A9728" s="3">
        <v>103849</v>
      </c>
      <c r="B9728" s="4" t="s">
        <v>9752</v>
      </c>
      <c r="C9728" s="3" t="s">
        <v>6</v>
      </c>
      <c r="D9728" s="5">
        <f t="shared" si="304"/>
        <v>23.84</v>
      </c>
      <c r="E9728">
        <v>26.18</v>
      </c>
      <c r="F9728" s="1789">
        <v>8.8999999999999996E-2</v>
      </c>
      <c r="G9728">
        <f t="shared" si="305"/>
        <v>23.84</v>
      </c>
    </row>
    <row r="9729" spans="1:7" ht="12.75" customHeight="1">
      <c r="A9729" s="3">
        <v>103850</v>
      </c>
      <c r="B9729" s="4" t="s">
        <v>9753</v>
      </c>
      <c r="C9729" s="3" t="s">
        <v>6</v>
      </c>
      <c r="D9729" s="5">
        <f t="shared" si="304"/>
        <v>409</v>
      </c>
      <c r="E9729">
        <v>448.96</v>
      </c>
      <c r="F9729" s="1789">
        <v>8.8999999999999996E-2</v>
      </c>
      <c r="G9729">
        <f t="shared" si="305"/>
        <v>409</v>
      </c>
    </row>
    <row r="9730" spans="1:7" ht="12.75" customHeight="1">
      <c r="A9730" s="3">
        <v>103851</v>
      </c>
      <c r="B9730" s="4" t="s">
        <v>9754</v>
      </c>
      <c r="C9730" s="3" t="s">
        <v>6</v>
      </c>
      <c r="D9730" s="5">
        <f t="shared" si="304"/>
        <v>17.78</v>
      </c>
      <c r="E9730">
        <v>19.52</v>
      </c>
      <c r="F9730" s="1789">
        <v>8.8999999999999996E-2</v>
      </c>
      <c r="G9730">
        <f t="shared" si="305"/>
        <v>17.78</v>
      </c>
    </row>
    <row r="9731" spans="1:7" ht="12.75" customHeight="1">
      <c r="A9731" s="3">
        <v>103852</v>
      </c>
      <c r="B9731" s="4" t="s">
        <v>9755</v>
      </c>
      <c r="C9731" s="3" t="s">
        <v>6</v>
      </c>
      <c r="D9731" s="5">
        <f t="shared" si="304"/>
        <v>15.11</v>
      </c>
      <c r="E9731">
        <v>16.59</v>
      </c>
      <c r="F9731" s="1789">
        <v>8.8999999999999996E-2</v>
      </c>
      <c r="G9731">
        <f t="shared" si="305"/>
        <v>15.11</v>
      </c>
    </row>
    <row r="9732" spans="1:7" ht="12.75" customHeight="1">
      <c r="A9732" s="3">
        <v>103853</v>
      </c>
      <c r="B9732" s="4" t="s">
        <v>9756</v>
      </c>
      <c r="C9732" s="3" t="s">
        <v>6</v>
      </c>
      <c r="D9732" s="5">
        <f t="shared" si="304"/>
        <v>16.3</v>
      </c>
      <c r="E9732">
        <v>17.899999999999999</v>
      </c>
      <c r="F9732" s="1789">
        <v>8.8999999999999996E-2</v>
      </c>
      <c r="G9732">
        <f t="shared" si="305"/>
        <v>16.3</v>
      </c>
    </row>
    <row r="9733" spans="1:7" ht="12.75" customHeight="1">
      <c r="A9733" s="3">
        <v>103854</v>
      </c>
      <c r="B9733" s="4" t="s">
        <v>9757</v>
      </c>
      <c r="C9733" s="3" t="s">
        <v>6</v>
      </c>
      <c r="D9733" s="5">
        <f t="shared" si="304"/>
        <v>475.99</v>
      </c>
      <c r="E9733">
        <v>522.5</v>
      </c>
      <c r="F9733" s="1789">
        <v>8.8999999999999996E-2</v>
      </c>
      <c r="G9733">
        <f t="shared" si="305"/>
        <v>475.99</v>
      </c>
    </row>
    <row r="9734" spans="1:7" ht="12.75" customHeight="1">
      <c r="A9734" s="3">
        <v>103855</v>
      </c>
      <c r="B9734" s="4" t="s">
        <v>9758</v>
      </c>
      <c r="C9734" s="3" t="s">
        <v>6</v>
      </c>
      <c r="D9734" s="5">
        <f t="shared" si="304"/>
        <v>46.75</v>
      </c>
      <c r="E9734">
        <v>51.32</v>
      </c>
      <c r="F9734" s="1789">
        <v>8.8999999999999996E-2</v>
      </c>
      <c r="G9734">
        <f t="shared" si="305"/>
        <v>46.75</v>
      </c>
    </row>
    <row r="9735" spans="1:7" ht="12.75" customHeight="1">
      <c r="A9735" s="3">
        <v>103856</v>
      </c>
      <c r="B9735" s="4" t="s">
        <v>9759</v>
      </c>
      <c r="C9735" s="3" t="s">
        <v>6</v>
      </c>
      <c r="D9735" s="5">
        <f t="shared" si="304"/>
        <v>14.23</v>
      </c>
      <c r="E9735">
        <v>15.63</v>
      </c>
      <c r="F9735" s="1789">
        <v>8.8999999999999996E-2</v>
      </c>
      <c r="G9735">
        <f t="shared" si="305"/>
        <v>14.23</v>
      </c>
    </row>
    <row r="9736" spans="1:7" ht="12.75" customHeight="1">
      <c r="A9736" s="3">
        <v>103857</v>
      </c>
      <c r="B9736" s="4" t="s">
        <v>9760</v>
      </c>
      <c r="C9736" s="3" t="s">
        <v>6</v>
      </c>
      <c r="D9736" s="5">
        <f t="shared" si="304"/>
        <v>19.34</v>
      </c>
      <c r="E9736">
        <v>21.23</v>
      </c>
      <c r="F9736" s="1789">
        <v>8.8999999999999996E-2</v>
      </c>
      <c r="G9736">
        <f t="shared" si="305"/>
        <v>19.34</v>
      </c>
    </row>
    <row r="9737" spans="1:7" ht="12.75" customHeight="1">
      <c r="A9737" s="3">
        <v>103858</v>
      </c>
      <c r="B9737" s="4" t="s">
        <v>9761</v>
      </c>
      <c r="C9737" s="3" t="s">
        <v>6</v>
      </c>
      <c r="D9737" s="5">
        <f t="shared" si="304"/>
        <v>23.22</v>
      </c>
      <c r="E9737">
        <v>25.49</v>
      </c>
      <c r="F9737" s="1789">
        <v>8.8999999999999996E-2</v>
      </c>
      <c r="G9737">
        <f t="shared" si="305"/>
        <v>23.22</v>
      </c>
    </row>
    <row r="9738" spans="1:7" ht="12.75" customHeight="1">
      <c r="A9738" s="3">
        <v>103859</v>
      </c>
      <c r="B9738" s="4" t="s">
        <v>9762</v>
      </c>
      <c r="C9738" s="3" t="s">
        <v>6</v>
      </c>
      <c r="D9738" s="5">
        <f t="shared" si="304"/>
        <v>22.45</v>
      </c>
      <c r="E9738">
        <v>24.65</v>
      </c>
      <c r="F9738" s="1789">
        <v>8.8999999999999996E-2</v>
      </c>
      <c r="G9738">
        <f t="shared" si="305"/>
        <v>22.45</v>
      </c>
    </row>
    <row r="9739" spans="1:7" ht="12.75" customHeight="1">
      <c r="A9739" s="3">
        <v>103860</v>
      </c>
      <c r="B9739" s="4" t="s">
        <v>9763</v>
      </c>
      <c r="C9739" s="3" t="s">
        <v>6</v>
      </c>
      <c r="D9739" s="5">
        <f t="shared" si="304"/>
        <v>22.45</v>
      </c>
      <c r="E9739">
        <v>24.65</v>
      </c>
      <c r="F9739" s="1789">
        <v>8.8999999999999996E-2</v>
      </c>
      <c r="G9739">
        <f t="shared" si="305"/>
        <v>22.45</v>
      </c>
    </row>
    <row r="9740" spans="1:7" ht="12.75" customHeight="1">
      <c r="A9740" s="3">
        <v>103861</v>
      </c>
      <c r="B9740" s="4" t="s">
        <v>9764</v>
      </c>
      <c r="C9740" s="3" t="s">
        <v>6</v>
      </c>
      <c r="D9740" s="5">
        <f t="shared" si="304"/>
        <v>78.430000000000007</v>
      </c>
      <c r="E9740">
        <v>86.1</v>
      </c>
      <c r="F9740" s="1789">
        <v>8.8999999999999996E-2</v>
      </c>
      <c r="G9740">
        <f t="shared" si="305"/>
        <v>78.430000000000007</v>
      </c>
    </row>
    <row r="9741" spans="1:7" ht="12.75" customHeight="1">
      <c r="A9741" s="3">
        <v>103862</v>
      </c>
      <c r="B9741" s="4" t="s">
        <v>9765</v>
      </c>
      <c r="C9741" s="3" t="s">
        <v>6</v>
      </c>
      <c r="D9741" s="5">
        <f t="shared" si="304"/>
        <v>524.16</v>
      </c>
      <c r="E9741">
        <v>575.37</v>
      </c>
      <c r="F9741" s="1789">
        <v>8.8999999999999996E-2</v>
      </c>
      <c r="G9741">
        <f t="shared" si="305"/>
        <v>524.16</v>
      </c>
    </row>
    <row r="9742" spans="1:7" ht="12.75" customHeight="1">
      <c r="A9742" s="3">
        <v>103863</v>
      </c>
      <c r="B9742" s="4" t="s">
        <v>9766</v>
      </c>
      <c r="C9742" s="3" t="s">
        <v>6</v>
      </c>
      <c r="D9742" s="5">
        <f t="shared" si="304"/>
        <v>30.01</v>
      </c>
      <c r="E9742">
        <v>32.950000000000003</v>
      </c>
      <c r="F9742" s="1789">
        <v>8.8999999999999996E-2</v>
      </c>
      <c r="G9742">
        <f t="shared" si="305"/>
        <v>30.01</v>
      </c>
    </row>
    <row r="9743" spans="1:7" ht="12.75" customHeight="1">
      <c r="A9743" s="3">
        <v>103864</v>
      </c>
      <c r="B9743" s="4" t="s">
        <v>9767</v>
      </c>
      <c r="C9743" s="3" t="s">
        <v>6</v>
      </c>
      <c r="D9743" s="5">
        <f t="shared" si="304"/>
        <v>19.489999999999998</v>
      </c>
      <c r="E9743">
        <v>21.4</v>
      </c>
      <c r="F9743" s="1789">
        <v>8.8999999999999996E-2</v>
      </c>
      <c r="G9743">
        <f t="shared" si="305"/>
        <v>19.489999999999998</v>
      </c>
    </row>
    <row r="9744" spans="1:7" ht="12.75" customHeight="1">
      <c r="A9744" s="3">
        <v>103865</v>
      </c>
      <c r="B9744" s="4" t="s">
        <v>9768</v>
      </c>
      <c r="C9744" s="3" t="s">
        <v>6</v>
      </c>
      <c r="D9744" s="5">
        <f t="shared" si="304"/>
        <v>20.64</v>
      </c>
      <c r="E9744">
        <v>22.66</v>
      </c>
      <c r="F9744" s="1789">
        <v>8.8999999999999996E-2</v>
      </c>
      <c r="G9744">
        <f t="shared" si="305"/>
        <v>20.64</v>
      </c>
    </row>
    <row r="9745" spans="1:7" ht="12.75" customHeight="1">
      <c r="A9745" s="3">
        <v>103866</v>
      </c>
      <c r="B9745" s="4" t="s">
        <v>9769</v>
      </c>
      <c r="C9745" s="3" t="s">
        <v>6</v>
      </c>
      <c r="D9745" s="5">
        <f t="shared" si="304"/>
        <v>33.020000000000003</v>
      </c>
      <c r="E9745">
        <v>36.25</v>
      </c>
      <c r="F9745" s="1789">
        <v>8.8999999999999996E-2</v>
      </c>
      <c r="G9745">
        <f t="shared" si="305"/>
        <v>33.020000000000003</v>
      </c>
    </row>
    <row r="9746" spans="1:7" ht="12.75" customHeight="1">
      <c r="A9746" s="3">
        <v>103867</v>
      </c>
      <c r="B9746" s="4" t="s">
        <v>9770</v>
      </c>
      <c r="C9746" s="3" t="s">
        <v>6</v>
      </c>
      <c r="D9746" s="5">
        <f t="shared" si="304"/>
        <v>46.15</v>
      </c>
      <c r="E9746">
        <v>50.66</v>
      </c>
      <c r="F9746" s="1789">
        <v>8.8999999999999996E-2</v>
      </c>
      <c r="G9746">
        <f t="shared" si="305"/>
        <v>46.15</v>
      </c>
    </row>
    <row r="9747" spans="1:7" ht="12.75" customHeight="1">
      <c r="A9747" s="3">
        <v>103874</v>
      </c>
      <c r="B9747" s="4" t="s">
        <v>9771</v>
      </c>
      <c r="C9747" s="3" t="s">
        <v>6</v>
      </c>
      <c r="D9747" s="5">
        <f t="shared" si="304"/>
        <v>15.9</v>
      </c>
      <c r="E9747">
        <v>17.46</v>
      </c>
      <c r="F9747" s="1789">
        <v>8.8999999999999996E-2</v>
      </c>
      <c r="G9747">
        <f t="shared" si="305"/>
        <v>15.9</v>
      </c>
    </row>
    <row r="9748" spans="1:7" ht="12.75" customHeight="1">
      <c r="A9748" s="3">
        <v>103875</v>
      </c>
      <c r="B9748" s="4" t="s">
        <v>9772</v>
      </c>
      <c r="C9748" s="3" t="s">
        <v>6</v>
      </c>
      <c r="D9748" s="5">
        <f t="shared" si="304"/>
        <v>15.87</v>
      </c>
      <c r="E9748">
        <v>17.43</v>
      </c>
      <c r="F9748" s="1789">
        <v>8.8999999999999996E-2</v>
      </c>
      <c r="G9748">
        <f t="shared" si="305"/>
        <v>15.87</v>
      </c>
    </row>
    <row r="9749" spans="1:7" ht="12.75" customHeight="1">
      <c r="A9749" s="3">
        <v>103876</v>
      </c>
      <c r="B9749" s="4" t="s">
        <v>9773</v>
      </c>
      <c r="C9749" s="3" t="s">
        <v>6</v>
      </c>
      <c r="D9749" s="5">
        <f t="shared" ref="D9749:D9812" si="306">G9749</f>
        <v>19.63</v>
      </c>
      <c r="E9749">
        <v>21.55</v>
      </c>
      <c r="F9749" s="1789">
        <v>8.8999999999999996E-2</v>
      </c>
      <c r="G9749">
        <f t="shared" ref="G9749:G9812" si="307">TRUNC((1-F9749)*E9749,2)</f>
        <v>19.63</v>
      </c>
    </row>
    <row r="9750" spans="1:7" ht="12.75" customHeight="1">
      <c r="A9750" s="3">
        <v>103877</v>
      </c>
      <c r="B9750" s="4" t="s">
        <v>9774</v>
      </c>
      <c r="C9750" s="3" t="s">
        <v>6</v>
      </c>
      <c r="D9750" s="5">
        <f t="shared" si="306"/>
        <v>24.22</v>
      </c>
      <c r="E9750">
        <v>26.59</v>
      </c>
      <c r="F9750" s="1789">
        <v>8.8999999999999996E-2</v>
      </c>
      <c r="G9750">
        <f t="shared" si="307"/>
        <v>24.22</v>
      </c>
    </row>
    <row r="9751" spans="1:7" ht="12.75" customHeight="1">
      <c r="A9751" s="3">
        <v>103878</v>
      </c>
      <c r="B9751" s="4" t="s">
        <v>9775</v>
      </c>
      <c r="C9751" s="3" t="s">
        <v>6</v>
      </c>
      <c r="D9751" s="5">
        <f t="shared" si="306"/>
        <v>23.95</v>
      </c>
      <c r="E9751">
        <v>26.3</v>
      </c>
      <c r="F9751" s="1789">
        <v>8.8999999999999996E-2</v>
      </c>
      <c r="G9751">
        <f t="shared" si="307"/>
        <v>23.95</v>
      </c>
    </row>
    <row r="9752" spans="1:7" ht="12.75" customHeight="1">
      <c r="A9752" s="3">
        <v>103879</v>
      </c>
      <c r="B9752" s="4" t="s">
        <v>9776</v>
      </c>
      <c r="C9752" s="3" t="s">
        <v>6</v>
      </c>
      <c r="D9752" s="5">
        <f t="shared" si="306"/>
        <v>27.44</v>
      </c>
      <c r="E9752">
        <v>30.13</v>
      </c>
      <c r="F9752" s="1789">
        <v>8.8999999999999996E-2</v>
      </c>
      <c r="G9752">
        <f t="shared" si="307"/>
        <v>27.44</v>
      </c>
    </row>
    <row r="9753" spans="1:7" ht="12.75" customHeight="1">
      <c r="A9753" s="3">
        <v>103880</v>
      </c>
      <c r="B9753" s="4" t="s">
        <v>9777</v>
      </c>
      <c r="C9753" s="3" t="s">
        <v>6</v>
      </c>
      <c r="D9753" s="5">
        <f t="shared" si="306"/>
        <v>30.56</v>
      </c>
      <c r="E9753">
        <v>33.549999999999997</v>
      </c>
      <c r="F9753" s="1789">
        <v>8.8999999999999996E-2</v>
      </c>
      <c r="G9753">
        <f t="shared" si="307"/>
        <v>30.56</v>
      </c>
    </row>
    <row r="9754" spans="1:7" ht="12.75" customHeight="1">
      <c r="A9754" s="3">
        <v>103881</v>
      </c>
      <c r="B9754" s="4" t="s">
        <v>9778</v>
      </c>
      <c r="C9754" s="3" t="s">
        <v>6</v>
      </c>
      <c r="D9754" s="5">
        <f t="shared" si="306"/>
        <v>33.85</v>
      </c>
      <c r="E9754">
        <v>37.159999999999997</v>
      </c>
      <c r="F9754" s="1789">
        <v>8.8999999999999996E-2</v>
      </c>
      <c r="G9754">
        <f t="shared" si="307"/>
        <v>33.85</v>
      </c>
    </row>
    <row r="9755" spans="1:7" ht="12.75" customHeight="1">
      <c r="A9755" s="3">
        <v>103882</v>
      </c>
      <c r="B9755" s="4" t="s">
        <v>9779</v>
      </c>
      <c r="C9755" s="3" t="s">
        <v>6</v>
      </c>
      <c r="D9755" s="5">
        <f t="shared" si="306"/>
        <v>32.24</v>
      </c>
      <c r="E9755">
        <v>35.4</v>
      </c>
      <c r="F9755" s="1789">
        <v>8.8999999999999996E-2</v>
      </c>
      <c r="G9755">
        <f t="shared" si="307"/>
        <v>32.24</v>
      </c>
    </row>
    <row r="9756" spans="1:7" ht="12.75" customHeight="1">
      <c r="A9756" s="3">
        <v>103883</v>
      </c>
      <c r="B9756" s="4" t="s">
        <v>9780</v>
      </c>
      <c r="C9756" s="3" t="s">
        <v>6</v>
      </c>
      <c r="D9756" s="5">
        <f t="shared" si="306"/>
        <v>10.38</v>
      </c>
      <c r="E9756">
        <v>11.4</v>
      </c>
      <c r="F9756" s="1789">
        <v>8.8999999999999996E-2</v>
      </c>
      <c r="G9756">
        <f t="shared" si="307"/>
        <v>10.38</v>
      </c>
    </row>
    <row r="9757" spans="1:7" ht="12.75" customHeight="1">
      <c r="A9757" s="3">
        <v>103884</v>
      </c>
      <c r="B9757" s="4" t="s">
        <v>9781</v>
      </c>
      <c r="C9757" s="3" t="s">
        <v>6</v>
      </c>
      <c r="D9757" s="5">
        <f t="shared" si="306"/>
        <v>10.41</v>
      </c>
      <c r="E9757">
        <v>11.43</v>
      </c>
      <c r="F9757" s="1789">
        <v>8.8999999999999996E-2</v>
      </c>
      <c r="G9757">
        <f t="shared" si="307"/>
        <v>10.41</v>
      </c>
    </row>
    <row r="9758" spans="1:7" ht="12.75" customHeight="1">
      <c r="A9758" s="3">
        <v>103885</v>
      </c>
      <c r="B9758" s="4" t="s">
        <v>9782</v>
      </c>
      <c r="C9758" s="3" t="s">
        <v>6</v>
      </c>
      <c r="D9758" s="5">
        <f t="shared" si="306"/>
        <v>24.26</v>
      </c>
      <c r="E9758">
        <v>26.64</v>
      </c>
      <c r="F9758" s="1789">
        <v>8.8999999999999996E-2</v>
      </c>
      <c r="G9758">
        <f t="shared" si="307"/>
        <v>24.26</v>
      </c>
    </row>
    <row r="9759" spans="1:7" ht="12.75" customHeight="1">
      <c r="A9759" s="3">
        <v>103886</v>
      </c>
      <c r="B9759" s="4" t="s">
        <v>9783</v>
      </c>
      <c r="C9759" s="3" t="s">
        <v>6</v>
      </c>
      <c r="D9759" s="5">
        <f t="shared" si="306"/>
        <v>409.42</v>
      </c>
      <c r="E9759">
        <v>449.42</v>
      </c>
      <c r="F9759" s="1789">
        <v>8.8999999999999996E-2</v>
      </c>
      <c r="G9759">
        <f t="shared" si="307"/>
        <v>409.42</v>
      </c>
    </row>
    <row r="9760" spans="1:7" ht="12.75" customHeight="1">
      <c r="A9760" s="3">
        <v>103887</v>
      </c>
      <c r="B9760" s="4" t="s">
        <v>9784</v>
      </c>
      <c r="C9760" s="3" t="s">
        <v>6</v>
      </c>
      <c r="D9760" s="5">
        <f t="shared" si="306"/>
        <v>17.989999999999998</v>
      </c>
      <c r="E9760">
        <v>19.75</v>
      </c>
      <c r="F9760" s="1789">
        <v>8.8999999999999996E-2</v>
      </c>
      <c r="G9760">
        <f t="shared" si="307"/>
        <v>17.989999999999998</v>
      </c>
    </row>
    <row r="9761" spans="1:7" ht="12.75" customHeight="1">
      <c r="A9761" s="3">
        <v>103888</v>
      </c>
      <c r="B9761" s="4" t="s">
        <v>9785</v>
      </c>
      <c r="C9761" s="3" t="s">
        <v>6</v>
      </c>
      <c r="D9761" s="5">
        <f t="shared" si="306"/>
        <v>14.6</v>
      </c>
      <c r="E9761">
        <v>16.03</v>
      </c>
      <c r="F9761" s="1789">
        <v>8.8999999999999996E-2</v>
      </c>
      <c r="G9761">
        <f t="shared" si="307"/>
        <v>14.6</v>
      </c>
    </row>
    <row r="9762" spans="1:7" ht="12.75" customHeight="1">
      <c r="A9762" s="3">
        <v>103889</v>
      </c>
      <c r="B9762" s="4" t="s">
        <v>9786</v>
      </c>
      <c r="C9762" s="3" t="s">
        <v>6</v>
      </c>
      <c r="D9762" s="5">
        <f t="shared" si="306"/>
        <v>15.79</v>
      </c>
      <c r="E9762">
        <v>17.34</v>
      </c>
      <c r="F9762" s="1789">
        <v>8.8999999999999996E-2</v>
      </c>
      <c r="G9762">
        <f t="shared" si="307"/>
        <v>15.79</v>
      </c>
    </row>
    <row r="9763" spans="1:7" ht="12.75" customHeight="1">
      <c r="A9763" s="3">
        <v>103890</v>
      </c>
      <c r="B9763" s="4" t="s">
        <v>9787</v>
      </c>
      <c r="C9763" s="3" t="s">
        <v>6</v>
      </c>
      <c r="D9763" s="5">
        <f t="shared" si="306"/>
        <v>475.48</v>
      </c>
      <c r="E9763">
        <v>521.94000000000005</v>
      </c>
      <c r="F9763" s="1789">
        <v>8.8999999999999996E-2</v>
      </c>
      <c r="G9763">
        <f t="shared" si="307"/>
        <v>475.48</v>
      </c>
    </row>
    <row r="9764" spans="1:7" ht="12.75" customHeight="1">
      <c r="A9764" s="3">
        <v>103891</v>
      </c>
      <c r="B9764" s="4" t="s">
        <v>9788</v>
      </c>
      <c r="C9764" s="3" t="s">
        <v>6</v>
      </c>
      <c r="D9764" s="5">
        <f t="shared" si="306"/>
        <v>46.24</v>
      </c>
      <c r="E9764">
        <v>50.76</v>
      </c>
      <c r="F9764" s="1789">
        <v>8.8999999999999996E-2</v>
      </c>
      <c r="G9764">
        <f t="shared" si="307"/>
        <v>46.24</v>
      </c>
    </row>
    <row r="9765" spans="1:7" ht="12.75" customHeight="1">
      <c r="A9765" s="3">
        <v>103892</v>
      </c>
      <c r="B9765" s="4" t="s">
        <v>9789</v>
      </c>
      <c r="C9765" s="3" t="s">
        <v>6</v>
      </c>
      <c r="D9765" s="5">
        <f t="shared" si="306"/>
        <v>14.22</v>
      </c>
      <c r="E9765">
        <v>15.61</v>
      </c>
      <c r="F9765" s="1789">
        <v>8.8999999999999996E-2</v>
      </c>
      <c r="G9765">
        <f t="shared" si="307"/>
        <v>14.22</v>
      </c>
    </row>
    <row r="9766" spans="1:7" ht="12.75" customHeight="1">
      <c r="A9766" s="3">
        <v>103893</v>
      </c>
      <c r="B9766" s="4" t="s">
        <v>9790</v>
      </c>
      <c r="C9766" s="3" t="s">
        <v>6</v>
      </c>
      <c r="D9766" s="5">
        <f t="shared" si="306"/>
        <v>19.079999999999998</v>
      </c>
      <c r="E9766">
        <v>20.95</v>
      </c>
      <c r="F9766" s="1789">
        <v>8.8999999999999996E-2</v>
      </c>
      <c r="G9766">
        <f t="shared" si="307"/>
        <v>19.079999999999998</v>
      </c>
    </row>
    <row r="9767" spans="1:7" ht="12.75" customHeight="1">
      <c r="A9767" s="3">
        <v>103894</v>
      </c>
      <c r="B9767" s="4" t="s">
        <v>9791</v>
      </c>
      <c r="C9767" s="3" t="s">
        <v>6</v>
      </c>
      <c r="D9767" s="5">
        <f t="shared" si="306"/>
        <v>22.96</v>
      </c>
      <c r="E9767">
        <v>25.21</v>
      </c>
      <c r="F9767" s="1789">
        <v>8.8999999999999996E-2</v>
      </c>
      <c r="G9767">
        <f t="shared" si="307"/>
        <v>22.96</v>
      </c>
    </row>
    <row r="9768" spans="1:7" ht="12.75" customHeight="1">
      <c r="A9768" s="3">
        <v>103895</v>
      </c>
      <c r="B9768" s="4" t="s">
        <v>9792</v>
      </c>
      <c r="C9768" s="3" t="s">
        <v>6</v>
      </c>
      <c r="D9768" s="5">
        <f t="shared" si="306"/>
        <v>21.15</v>
      </c>
      <c r="E9768">
        <v>23.22</v>
      </c>
      <c r="F9768" s="1789">
        <v>8.8999999999999996E-2</v>
      </c>
      <c r="G9768">
        <f t="shared" si="307"/>
        <v>21.15</v>
      </c>
    </row>
    <row r="9769" spans="1:7" ht="12.75" customHeight="1">
      <c r="A9769" s="3">
        <v>103896</v>
      </c>
      <c r="B9769" s="4" t="s">
        <v>9793</v>
      </c>
      <c r="C9769" s="3" t="s">
        <v>6</v>
      </c>
      <c r="D9769" s="5">
        <f t="shared" si="306"/>
        <v>21.15</v>
      </c>
      <c r="E9769">
        <v>23.22</v>
      </c>
      <c r="F9769" s="1789">
        <v>8.8999999999999996E-2</v>
      </c>
      <c r="G9769">
        <f t="shared" si="307"/>
        <v>21.15</v>
      </c>
    </row>
    <row r="9770" spans="1:7" ht="12.75" customHeight="1">
      <c r="A9770" s="3">
        <v>103897</v>
      </c>
      <c r="B9770" s="4" t="s">
        <v>9794</v>
      </c>
      <c r="C9770" s="3" t="s">
        <v>6</v>
      </c>
      <c r="D9770" s="5">
        <f t="shared" si="306"/>
        <v>77.13</v>
      </c>
      <c r="E9770">
        <v>84.67</v>
      </c>
      <c r="F9770" s="1789">
        <v>8.8999999999999996E-2</v>
      </c>
      <c r="G9770">
        <f t="shared" si="307"/>
        <v>77.13</v>
      </c>
    </row>
    <row r="9771" spans="1:7" ht="12.75" customHeight="1">
      <c r="A9771" s="3">
        <v>103898</v>
      </c>
      <c r="B9771" s="4" t="s">
        <v>9795</v>
      </c>
      <c r="C9771" s="3" t="s">
        <v>6</v>
      </c>
      <c r="D9771" s="5">
        <f t="shared" si="306"/>
        <v>522.85</v>
      </c>
      <c r="E9771">
        <v>573.94000000000005</v>
      </c>
      <c r="F9771" s="1789">
        <v>8.8999999999999996E-2</v>
      </c>
      <c r="G9771">
        <f t="shared" si="307"/>
        <v>522.85</v>
      </c>
    </row>
    <row r="9772" spans="1:7" ht="12.75" customHeight="1">
      <c r="A9772" s="3">
        <v>103899</v>
      </c>
      <c r="B9772" s="4" t="s">
        <v>9796</v>
      </c>
      <c r="C9772" s="3" t="s">
        <v>6</v>
      </c>
      <c r="D9772" s="5">
        <f t="shared" si="306"/>
        <v>29.36</v>
      </c>
      <c r="E9772">
        <v>32.229999999999997</v>
      </c>
      <c r="F9772" s="1789">
        <v>8.8999999999999996E-2</v>
      </c>
      <c r="G9772">
        <f t="shared" si="307"/>
        <v>29.36</v>
      </c>
    </row>
    <row r="9773" spans="1:7" ht="12.75" customHeight="1">
      <c r="A9773" s="3">
        <v>103900</v>
      </c>
      <c r="B9773" s="4" t="s">
        <v>9797</v>
      </c>
      <c r="C9773" s="3" t="s">
        <v>6</v>
      </c>
      <c r="D9773" s="5">
        <f t="shared" si="306"/>
        <v>18.420000000000002</v>
      </c>
      <c r="E9773">
        <v>20.23</v>
      </c>
      <c r="F9773" s="1789">
        <v>8.8999999999999996E-2</v>
      </c>
      <c r="G9773">
        <f t="shared" si="307"/>
        <v>18.420000000000002</v>
      </c>
    </row>
    <row r="9774" spans="1:7" ht="12.75" customHeight="1">
      <c r="A9774" s="3">
        <v>103901</v>
      </c>
      <c r="B9774" s="4" t="s">
        <v>9798</v>
      </c>
      <c r="C9774" s="3" t="s">
        <v>6</v>
      </c>
      <c r="D9774" s="5">
        <f t="shared" si="306"/>
        <v>21.49</v>
      </c>
      <c r="E9774">
        <v>23.6</v>
      </c>
      <c r="F9774" s="1789">
        <v>8.8999999999999996E-2</v>
      </c>
      <c r="G9774">
        <f t="shared" si="307"/>
        <v>21.49</v>
      </c>
    </row>
    <row r="9775" spans="1:7" ht="12.75" customHeight="1">
      <c r="A9775" s="3">
        <v>103902</v>
      </c>
      <c r="B9775" s="4" t="s">
        <v>9799</v>
      </c>
      <c r="C9775" s="3" t="s">
        <v>6</v>
      </c>
      <c r="D9775" s="5">
        <f t="shared" si="306"/>
        <v>32.03</v>
      </c>
      <c r="E9775">
        <v>35.17</v>
      </c>
      <c r="F9775" s="1789">
        <v>8.8999999999999996E-2</v>
      </c>
      <c r="G9775">
        <f t="shared" si="307"/>
        <v>32.03</v>
      </c>
    </row>
    <row r="9776" spans="1:7" ht="12.75" customHeight="1">
      <c r="A9776" s="3">
        <v>103903</v>
      </c>
      <c r="B9776" s="4" t="s">
        <v>9800</v>
      </c>
      <c r="C9776" s="3" t="s">
        <v>6</v>
      </c>
      <c r="D9776" s="5">
        <f t="shared" si="306"/>
        <v>43.59</v>
      </c>
      <c r="E9776">
        <v>47.85</v>
      </c>
      <c r="F9776" s="1789">
        <v>8.8999999999999996E-2</v>
      </c>
      <c r="G9776">
        <f t="shared" si="307"/>
        <v>43.59</v>
      </c>
    </row>
    <row r="9777" spans="1:7" ht="12.75" customHeight="1">
      <c r="A9777" s="3">
        <v>103947</v>
      </c>
      <c r="B9777" s="4" t="s">
        <v>9801</v>
      </c>
      <c r="C9777" s="3" t="s">
        <v>6</v>
      </c>
      <c r="D9777" s="5">
        <f t="shared" si="306"/>
        <v>5.49</v>
      </c>
      <c r="E9777">
        <v>6.03</v>
      </c>
      <c r="F9777" s="1789">
        <v>8.8999999999999996E-2</v>
      </c>
      <c r="G9777">
        <f t="shared" si="307"/>
        <v>5.49</v>
      </c>
    </row>
    <row r="9778" spans="1:7" ht="12.75" customHeight="1">
      <c r="A9778" s="3">
        <v>103948</v>
      </c>
      <c r="B9778" s="4" t="s">
        <v>9802</v>
      </c>
      <c r="C9778" s="3" t="s">
        <v>6</v>
      </c>
      <c r="D9778" s="5">
        <f t="shared" si="306"/>
        <v>6.85</v>
      </c>
      <c r="E9778">
        <v>7.52</v>
      </c>
      <c r="F9778" s="1789">
        <v>8.8999999999999996E-2</v>
      </c>
      <c r="G9778">
        <f t="shared" si="307"/>
        <v>6.85</v>
      </c>
    </row>
    <row r="9779" spans="1:7" ht="12.75" customHeight="1">
      <c r="A9779" s="3">
        <v>103949</v>
      </c>
      <c r="B9779" s="4" t="s">
        <v>9803</v>
      </c>
      <c r="C9779" s="3" t="s">
        <v>6</v>
      </c>
      <c r="D9779" s="5">
        <f t="shared" si="306"/>
        <v>7.84</v>
      </c>
      <c r="E9779">
        <v>8.61</v>
      </c>
      <c r="F9779" s="1789">
        <v>8.8999999999999996E-2</v>
      </c>
      <c r="G9779">
        <f t="shared" si="307"/>
        <v>7.84</v>
      </c>
    </row>
    <row r="9780" spans="1:7" ht="12.75" customHeight="1">
      <c r="A9780" s="3">
        <v>103950</v>
      </c>
      <c r="B9780" s="4" t="s">
        <v>9804</v>
      </c>
      <c r="C9780" s="3" t="s">
        <v>6</v>
      </c>
      <c r="D9780" s="5">
        <f t="shared" si="306"/>
        <v>9.16</v>
      </c>
      <c r="E9780">
        <v>10.06</v>
      </c>
      <c r="F9780" s="1789">
        <v>8.8999999999999996E-2</v>
      </c>
      <c r="G9780">
        <f t="shared" si="307"/>
        <v>9.16</v>
      </c>
    </row>
    <row r="9781" spans="1:7" ht="12.75" customHeight="1">
      <c r="A9781" s="3">
        <v>103951</v>
      </c>
      <c r="B9781" s="4" t="s">
        <v>9805</v>
      </c>
      <c r="C9781" s="3" t="s">
        <v>6</v>
      </c>
      <c r="D9781" s="5">
        <f t="shared" si="306"/>
        <v>12.5</v>
      </c>
      <c r="E9781">
        <v>13.73</v>
      </c>
      <c r="F9781" s="1789">
        <v>8.8999999999999996E-2</v>
      </c>
      <c r="G9781">
        <f t="shared" si="307"/>
        <v>12.5</v>
      </c>
    </row>
    <row r="9782" spans="1:7" ht="12.75" customHeight="1">
      <c r="A9782" s="3">
        <v>103952</v>
      </c>
      <c r="B9782" s="4" t="s">
        <v>9806</v>
      </c>
      <c r="C9782" s="3" t="s">
        <v>6</v>
      </c>
      <c r="D9782" s="5">
        <f t="shared" si="306"/>
        <v>5.05</v>
      </c>
      <c r="E9782">
        <v>5.55</v>
      </c>
      <c r="F9782" s="1789">
        <v>8.8999999999999996E-2</v>
      </c>
      <c r="G9782">
        <f t="shared" si="307"/>
        <v>5.05</v>
      </c>
    </row>
    <row r="9783" spans="1:7" ht="12.75" customHeight="1">
      <c r="A9783" s="3">
        <v>103953</v>
      </c>
      <c r="B9783" s="4" t="s">
        <v>9807</v>
      </c>
      <c r="C9783" s="3" t="s">
        <v>6</v>
      </c>
      <c r="D9783" s="5">
        <f t="shared" si="306"/>
        <v>6.34</v>
      </c>
      <c r="E9783">
        <v>6.96</v>
      </c>
      <c r="F9783" s="1789">
        <v>8.8999999999999996E-2</v>
      </c>
      <c r="G9783">
        <f t="shared" si="307"/>
        <v>6.34</v>
      </c>
    </row>
    <row r="9784" spans="1:7" ht="12.75" customHeight="1">
      <c r="A9784" s="3">
        <v>103954</v>
      </c>
      <c r="B9784" s="4" t="s">
        <v>9808</v>
      </c>
      <c r="C9784" s="3" t="s">
        <v>6</v>
      </c>
      <c r="D9784" s="5">
        <f t="shared" si="306"/>
        <v>7.36</v>
      </c>
      <c r="E9784">
        <v>8.08</v>
      </c>
      <c r="F9784" s="1789">
        <v>8.8999999999999996E-2</v>
      </c>
      <c r="G9784">
        <f t="shared" si="307"/>
        <v>7.36</v>
      </c>
    </row>
    <row r="9785" spans="1:7" ht="12.75" customHeight="1">
      <c r="A9785" s="3">
        <v>103955</v>
      </c>
      <c r="B9785" s="4" t="s">
        <v>9809</v>
      </c>
      <c r="C9785" s="3" t="s">
        <v>6</v>
      </c>
      <c r="D9785" s="5">
        <f t="shared" si="306"/>
        <v>8.51</v>
      </c>
      <c r="E9785">
        <v>9.35</v>
      </c>
      <c r="F9785" s="1789">
        <v>8.8999999999999996E-2</v>
      </c>
      <c r="G9785">
        <f t="shared" si="307"/>
        <v>8.51</v>
      </c>
    </row>
    <row r="9786" spans="1:7" ht="12.75" customHeight="1">
      <c r="A9786" s="3">
        <v>103956</v>
      </c>
      <c r="B9786" s="4" t="s">
        <v>9810</v>
      </c>
      <c r="C9786" s="3" t="s">
        <v>6</v>
      </c>
      <c r="D9786" s="5">
        <f t="shared" si="306"/>
        <v>11.75</v>
      </c>
      <c r="E9786">
        <v>12.9</v>
      </c>
      <c r="F9786" s="1789">
        <v>8.8999999999999996E-2</v>
      </c>
      <c r="G9786">
        <f t="shared" si="307"/>
        <v>11.75</v>
      </c>
    </row>
    <row r="9787" spans="1:7" ht="12.75" customHeight="1">
      <c r="A9787" s="3">
        <v>103957</v>
      </c>
      <c r="B9787" s="4" t="s">
        <v>9811</v>
      </c>
      <c r="C9787" s="3" t="s">
        <v>6</v>
      </c>
      <c r="D9787" s="5">
        <f t="shared" si="306"/>
        <v>4.29</v>
      </c>
      <c r="E9787">
        <v>4.72</v>
      </c>
      <c r="F9787" s="1789">
        <v>8.8999999999999996E-2</v>
      </c>
      <c r="G9787">
        <f t="shared" si="307"/>
        <v>4.29</v>
      </c>
    </row>
    <row r="9788" spans="1:7" ht="12.75" customHeight="1">
      <c r="A9788" s="3">
        <v>103958</v>
      </c>
      <c r="B9788" s="4" t="s">
        <v>9812</v>
      </c>
      <c r="C9788" s="3" t="s">
        <v>6</v>
      </c>
      <c r="D9788" s="5">
        <f t="shared" si="306"/>
        <v>8.5500000000000007</v>
      </c>
      <c r="E9788">
        <v>9.39</v>
      </c>
      <c r="F9788" s="1789">
        <v>8.8999999999999996E-2</v>
      </c>
      <c r="G9788">
        <f t="shared" si="307"/>
        <v>8.5500000000000007</v>
      </c>
    </row>
    <row r="9789" spans="1:7" ht="12.75" customHeight="1">
      <c r="A9789" s="3">
        <v>103959</v>
      </c>
      <c r="B9789" s="4" t="s">
        <v>9813</v>
      </c>
      <c r="C9789" s="3" t="s">
        <v>6</v>
      </c>
      <c r="D9789" s="5">
        <f t="shared" si="306"/>
        <v>12.66</v>
      </c>
      <c r="E9789">
        <v>13.9</v>
      </c>
      <c r="F9789" s="1789">
        <v>8.8999999999999996E-2</v>
      </c>
      <c r="G9789">
        <f t="shared" si="307"/>
        <v>12.66</v>
      </c>
    </row>
    <row r="9790" spans="1:7" ht="12.75" customHeight="1">
      <c r="A9790" s="3">
        <v>103962</v>
      </c>
      <c r="B9790" s="4" t="s">
        <v>9814</v>
      </c>
      <c r="C9790" s="3" t="s">
        <v>6</v>
      </c>
      <c r="D9790" s="5">
        <f t="shared" si="306"/>
        <v>5.4</v>
      </c>
      <c r="E9790">
        <v>5.93</v>
      </c>
      <c r="F9790" s="1789">
        <v>8.8999999999999996E-2</v>
      </c>
      <c r="G9790">
        <f t="shared" si="307"/>
        <v>5.4</v>
      </c>
    </row>
    <row r="9791" spans="1:7" ht="12.75" customHeight="1">
      <c r="A9791" s="3">
        <v>103964</v>
      </c>
      <c r="B9791" s="4" t="s">
        <v>9815</v>
      </c>
      <c r="C9791" s="3" t="s">
        <v>6</v>
      </c>
      <c r="D9791" s="5">
        <f t="shared" si="306"/>
        <v>6.85</v>
      </c>
      <c r="E9791">
        <v>7.52</v>
      </c>
      <c r="F9791" s="1789">
        <v>8.8999999999999996E-2</v>
      </c>
      <c r="G9791">
        <f t="shared" si="307"/>
        <v>6.85</v>
      </c>
    </row>
    <row r="9792" spans="1:7" ht="12.75" customHeight="1">
      <c r="A9792" s="3">
        <v>103966</v>
      </c>
      <c r="B9792" s="4" t="s">
        <v>9816</v>
      </c>
      <c r="C9792" s="3" t="s">
        <v>6</v>
      </c>
      <c r="D9792" s="5">
        <f t="shared" si="306"/>
        <v>8.1300000000000008</v>
      </c>
      <c r="E9792">
        <v>8.93</v>
      </c>
      <c r="F9792" s="1789">
        <v>8.8999999999999996E-2</v>
      </c>
      <c r="G9792">
        <f t="shared" si="307"/>
        <v>8.1300000000000008</v>
      </c>
    </row>
    <row r="9793" spans="1:7" ht="12.75" customHeight="1">
      <c r="A9793" s="3">
        <v>103967</v>
      </c>
      <c r="B9793" s="4" t="s">
        <v>9817</v>
      </c>
      <c r="C9793" s="3" t="s">
        <v>6</v>
      </c>
      <c r="D9793" s="5">
        <f t="shared" si="306"/>
        <v>9.7100000000000009</v>
      </c>
      <c r="E9793">
        <v>10.66</v>
      </c>
      <c r="F9793" s="1789">
        <v>8.8999999999999996E-2</v>
      </c>
      <c r="G9793">
        <f t="shared" si="307"/>
        <v>9.7100000000000009</v>
      </c>
    </row>
    <row r="9794" spans="1:7" ht="12.75" customHeight="1">
      <c r="A9794" s="3">
        <v>103968</v>
      </c>
      <c r="B9794" s="4" t="s">
        <v>9818</v>
      </c>
      <c r="C9794" s="3" t="s">
        <v>6</v>
      </c>
      <c r="D9794" s="5">
        <f t="shared" si="306"/>
        <v>13.59</v>
      </c>
      <c r="E9794">
        <v>14.92</v>
      </c>
      <c r="F9794" s="1789">
        <v>8.8999999999999996E-2</v>
      </c>
      <c r="G9794">
        <f t="shared" si="307"/>
        <v>13.59</v>
      </c>
    </row>
    <row r="9795" spans="1:7" ht="12.75" customHeight="1">
      <c r="A9795" s="3">
        <v>103969</v>
      </c>
      <c r="B9795" s="4" t="s">
        <v>9819</v>
      </c>
      <c r="C9795" s="3" t="s">
        <v>6</v>
      </c>
      <c r="D9795" s="5">
        <f t="shared" si="306"/>
        <v>15.94</v>
      </c>
      <c r="E9795">
        <v>17.5</v>
      </c>
      <c r="F9795" s="1789">
        <v>8.8999999999999996E-2</v>
      </c>
      <c r="G9795">
        <f t="shared" si="307"/>
        <v>15.94</v>
      </c>
    </row>
    <row r="9796" spans="1:7" ht="12.75" customHeight="1">
      <c r="A9796" s="3">
        <v>103971</v>
      </c>
      <c r="B9796" s="4" t="s">
        <v>9820</v>
      </c>
      <c r="C9796" s="3" t="s">
        <v>6</v>
      </c>
      <c r="D9796" s="5">
        <f t="shared" si="306"/>
        <v>20.239999999999998</v>
      </c>
      <c r="E9796">
        <v>22.22</v>
      </c>
      <c r="F9796" s="1789">
        <v>8.8999999999999996E-2</v>
      </c>
      <c r="G9796">
        <f t="shared" si="307"/>
        <v>20.239999999999998</v>
      </c>
    </row>
    <row r="9797" spans="1:7" ht="12.75" customHeight="1">
      <c r="A9797" s="3">
        <v>103972</v>
      </c>
      <c r="B9797" s="4" t="s">
        <v>9821</v>
      </c>
      <c r="C9797" s="3" t="s">
        <v>6</v>
      </c>
      <c r="D9797" s="5">
        <f t="shared" si="306"/>
        <v>23.54</v>
      </c>
      <c r="E9797">
        <v>25.84</v>
      </c>
      <c r="F9797" s="1789">
        <v>8.8999999999999996E-2</v>
      </c>
      <c r="G9797">
        <f t="shared" si="307"/>
        <v>23.54</v>
      </c>
    </row>
    <row r="9798" spans="1:7" ht="12.75" customHeight="1">
      <c r="A9798" s="3">
        <v>103974</v>
      </c>
      <c r="B9798" s="4" t="s">
        <v>9822</v>
      </c>
      <c r="C9798" s="3" t="s">
        <v>6</v>
      </c>
      <c r="D9798" s="5">
        <f t="shared" si="306"/>
        <v>8.6999999999999993</v>
      </c>
      <c r="E9798">
        <v>9.5500000000000007</v>
      </c>
      <c r="F9798" s="1789">
        <v>8.8999999999999996E-2</v>
      </c>
      <c r="G9798">
        <f t="shared" si="307"/>
        <v>8.6999999999999993</v>
      </c>
    </row>
    <row r="9799" spans="1:7" ht="12.75" customHeight="1">
      <c r="A9799" s="3">
        <v>103975</v>
      </c>
      <c r="B9799" s="4" t="s">
        <v>9823</v>
      </c>
      <c r="C9799" s="3" t="s">
        <v>6</v>
      </c>
      <c r="D9799" s="5">
        <f t="shared" si="306"/>
        <v>14.75</v>
      </c>
      <c r="E9799">
        <v>16.2</v>
      </c>
      <c r="F9799" s="1789">
        <v>8.8999999999999996E-2</v>
      </c>
      <c r="G9799">
        <f t="shared" si="307"/>
        <v>14.75</v>
      </c>
    </row>
    <row r="9800" spans="1:7" ht="12.75" customHeight="1">
      <c r="A9800" s="3">
        <v>103976</v>
      </c>
      <c r="B9800" s="4" t="s">
        <v>9824</v>
      </c>
      <c r="C9800" s="3" t="s">
        <v>6</v>
      </c>
      <c r="D9800" s="5">
        <f t="shared" si="306"/>
        <v>20.98</v>
      </c>
      <c r="E9800">
        <v>23.03</v>
      </c>
      <c r="F9800" s="1789">
        <v>8.8999999999999996E-2</v>
      </c>
      <c r="G9800">
        <f t="shared" si="307"/>
        <v>20.98</v>
      </c>
    </row>
    <row r="9801" spans="1:7" ht="12.75" customHeight="1">
      <c r="A9801" s="3">
        <v>103980</v>
      </c>
      <c r="B9801" s="4" t="s">
        <v>9825</v>
      </c>
      <c r="C9801" s="3" t="s">
        <v>6</v>
      </c>
      <c r="D9801" s="5">
        <f t="shared" si="306"/>
        <v>14.76</v>
      </c>
      <c r="E9801">
        <v>16.21</v>
      </c>
      <c r="F9801" s="1789">
        <v>8.8999999999999996E-2</v>
      </c>
      <c r="G9801">
        <f t="shared" si="307"/>
        <v>14.76</v>
      </c>
    </row>
    <row r="9802" spans="1:7" ht="12.75" customHeight="1">
      <c r="A9802" s="3">
        <v>103981</v>
      </c>
      <c r="B9802" s="4" t="s">
        <v>9826</v>
      </c>
      <c r="C9802" s="3" t="s">
        <v>6</v>
      </c>
      <c r="D9802" s="5">
        <f t="shared" si="306"/>
        <v>14.81</v>
      </c>
      <c r="E9802">
        <v>16.260000000000002</v>
      </c>
      <c r="F9802" s="1789">
        <v>8.8999999999999996E-2</v>
      </c>
      <c r="G9802">
        <f t="shared" si="307"/>
        <v>14.81</v>
      </c>
    </row>
    <row r="9803" spans="1:7" ht="12.75" customHeight="1">
      <c r="A9803" s="3">
        <v>103982</v>
      </c>
      <c r="B9803" s="4" t="s">
        <v>9827</v>
      </c>
      <c r="C9803" s="3" t="s">
        <v>6</v>
      </c>
      <c r="D9803" s="5">
        <f t="shared" si="306"/>
        <v>19.55</v>
      </c>
      <c r="E9803">
        <v>21.47</v>
      </c>
      <c r="F9803" s="1789">
        <v>8.8999999999999996E-2</v>
      </c>
      <c r="G9803">
        <f t="shared" si="307"/>
        <v>19.55</v>
      </c>
    </row>
    <row r="9804" spans="1:7" ht="12.75" customHeight="1">
      <c r="A9804" s="3">
        <v>103983</v>
      </c>
      <c r="B9804" s="4" t="s">
        <v>9828</v>
      </c>
      <c r="C9804" s="3" t="s">
        <v>6</v>
      </c>
      <c r="D9804" s="5">
        <f t="shared" si="306"/>
        <v>14.39</v>
      </c>
      <c r="E9804">
        <v>15.8</v>
      </c>
      <c r="F9804" s="1789">
        <v>8.8999999999999996E-2</v>
      </c>
      <c r="G9804">
        <f t="shared" si="307"/>
        <v>14.39</v>
      </c>
    </row>
    <row r="9805" spans="1:7" ht="12.75" customHeight="1">
      <c r="A9805" s="3">
        <v>103984</v>
      </c>
      <c r="B9805" s="4" t="s">
        <v>9829</v>
      </c>
      <c r="C9805" s="3" t="s">
        <v>6</v>
      </c>
      <c r="D9805" s="5">
        <f t="shared" si="306"/>
        <v>16.62</v>
      </c>
      <c r="E9805">
        <v>18.25</v>
      </c>
      <c r="F9805" s="1789">
        <v>8.8999999999999996E-2</v>
      </c>
      <c r="G9805">
        <f t="shared" si="307"/>
        <v>16.62</v>
      </c>
    </row>
    <row r="9806" spans="1:7" ht="12.75" customHeight="1">
      <c r="A9806" s="3">
        <v>103985</v>
      </c>
      <c r="B9806" s="4" t="s">
        <v>9830</v>
      </c>
      <c r="C9806" s="3" t="s">
        <v>6</v>
      </c>
      <c r="D9806" s="5">
        <f t="shared" si="306"/>
        <v>18.57</v>
      </c>
      <c r="E9806">
        <v>20.39</v>
      </c>
      <c r="F9806" s="1789">
        <v>8.8999999999999996E-2</v>
      </c>
      <c r="G9806">
        <f t="shared" si="307"/>
        <v>18.57</v>
      </c>
    </row>
    <row r="9807" spans="1:7" ht="12.75" customHeight="1">
      <c r="A9807" s="3">
        <v>103986</v>
      </c>
      <c r="B9807" s="4" t="s">
        <v>9831</v>
      </c>
      <c r="C9807" s="3" t="s">
        <v>6</v>
      </c>
      <c r="D9807" s="5">
        <f t="shared" si="306"/>
        <v>22.92</v>
      </c>
      <c r="E9807">
        <v>25.17</v>
      </c>
      <c r="F9807" s="1789">
        <v>8.8999999999999996E-2</v>
      </c>
      <c r="G9807">
        <f t="shared" si="307"/>
        <v>22.92</v>
      </c>
    </row>
    <row r="9808" spans="1:7" ht="12.75" customHeight="1">
      <c r="A9808" s="3">
        <v>103987</v>
      </c>
      <c r="B9808" s="4" t="s">
        <v>9832</v>
      </c>
      <c r="C9808" s="3" t="s">
        <v>6</v>
      </c>
      <c r="D9808" s="5">
        <f t="shared" si="306"/>
        <v>19.97</v>
      </c>
      <c r="E9808">
        <v>21.93</v>
      </c>
      <c r="F9808" s="1789">
        <v>8.8999999999999996E-2</v>
      </c>
      <c r="G9808">
        <f t="shared" si="307"/>
        <v>19.97</v>
      </c>
    </row>
    <row r="9809" spans="1:7" ht="12.75" customHeight="1">
      <c r="A9809" s="3">
        <v>103988</v>
      </c>
      <c r="B9809" s="4" t="s">
        <v>9833</v>
      </c>
      <c r="C9809" s="3" t="s">
        <v>6</v>
      </c>
      <c r="D9809" s="5">
        <f t="shared" si="306"/>
        <v>10.77</v>
      </c>
      <c r="E9809">
        <v>11.83</v>
      </c>
      <c r="F9809" s="1789">
        <v>8.8999999999999996E-2</v>
      </c>
      <c r="G9809">
        <f t="shared" si="307"/>
        <v>10.77</v>
      </c>
    </row>
    <row r="9810" spans="1:7" ht="12.75" customHeight="1">
      <c r="A9810" s="3">
        <v>103990</v>
      </c>
      <c r="B9810" s="4" t="s">
        <v>9834</v>
      </c>
      <c r="C9810" s="3" t="s">
        <v>6</v>
      </c>
      <c r="D9810" s="5">
        <f t="shared" si="306"/>
        <v>27.7</v>
      </c>
      <c r="E9810">
        <v>30.41</v>
      </c>
      <c r="F9810" s="1789">
        <v>8.8999999999999996E-2</v>
      </c>
      <c r="G9810">
        <f t="shared" si="307"/>
        <v>27.7</v>
      </c>
    </row>
    <row r="9811" spans="1:7" ht="12.75" customHeight="1">
      <c r="A9811" s="3">
        <v>103991</v>
      </c>
      <c r="B9811" s="4" t="s">
        <v>9835</v>
      </c>
      <c r="C9811" s="3" t="s">
        <v>6</v>
      </c>
      <c r="D9811" s="5">
        <f t="shared" si="306"/>
        <v>14.88</v>
      </c>
      <c r="E9811">
        <v>16.34</v>
      </c>
      <c r="F9811" s="1789">
        <v>8.8999999999999996E-2</v>
      </c>
      <c r="G9811">
        <f t="shared" si="307"/>
        <v>14.88</v>
      </c>
    </row>
    <row r="9812" spans="1:7" ht="12.75" customHeight="1">
      <c r="A9812" s="3">
        <v>103992</v>
      </c>
      <c r="B9812" s="4" t="s">
        <v>9836</v>
      </c>
      <c r="C9812" s="3" t="s">
        <v>6</v>
      </c>
      <c r="D9812" s="5">
        <f t="shared" si="306"/>
        <v>9.6999999999999993</v>
      </c>
      <c r="E9812">
        <v>10.65</v>
      </c>
      <c r="F9812" s="1789">
        <v>8.8999999999999996E-2</v>
      </c>
      <c r="G9812">
        <f t="shared" si="307"/>
        <v>9.6999999999999993</v>
      </c>
    </row>
    <row r="9813" spans="1:7" ht="12.75" customHeight="1">
      <c r="A9813" s="3">
        <v>103993</v>
      </c>
      <c r="B9813" s="4" t="s">
        <v>9837</v>
      </c>
      <c r="C9813" s="3" t="s">
        <v>6</v>
      </c>
      <c r="D9813" s="5">
        <f t="shared" ref="D9813:D9876" si="308">G9813</f>
        <v>8.4499999999999993</v>
      </c>
      <c r="E9813">
        <v>9.2799999999999994</v>
      </c>
      <c r="F9813" s="1789">
        <v>8.8999999999999996E-2</v>
      </c>
      <c r="G9813">
        <f t="shared" ref="G9813:G9876" si="309">TRUNC((1-F9813)*E9813,2)</f>
        <v>8.4499999999999993</v>
      </c>
    </row>
    <row r="9814" spans="1:7" ht="12.75" customHeight="1">
      <c r="A9814" s="3">
        <v>103994</v>
      </c>
      <c r="B9814" s="4" t="s">
        <v>9838</v>
      </c>
      <c r="C9814" s="3" t="s">
        <v>6</v>
      </c>
      <c r="D9814" s="5">
        <f t="shared" si="308"/>
        <v>11.78</v>
      </c>
      <c r="E9814">
        <v>12.94</v>
      </c>
      <c r="F9814" s="1789">
        <v>8.8999999999999996E-2</v>
      </c>
      <c r="G9814">
        <f t="shared" si="309"/>
        <v>11.78</v>
      </c>
    </row>
    <row r="9815" spans="1:7" ht="12.75" customHeight="1">
      <c r="A9815" s="3">
        <v>103995</v>
      </c>
      <c r="B9815" s="4" t="s">
        <v>9839</v>
      </c>
      <c r="C9815" s="3" t="s">
        <v>6</v>
      </c>
      <c r="D9815" s="5">
        <f t="shared" si="308"/>
        <v>12.89</v>
      </c>
      <c r="E9815">
        <v>14.16</v>
      </c>
      <c r="F9815" s="1789">
        <v>8.8999999999999996E-2</v>
      </c>
      <c r="G9815">
        <f t="shared" si="309"/>
        <v>12.89</v>
      </c>
    </row>
    <row r="9816" spans="1:7" ht="12.75" customHeight="1">
      <c r="A9816" s="3">
        <v>103996</v>
      </c>
      <c r="B9816" s="4" t="s">
        <v>9840</v>
      </c>
      <c r="C9816" s="3" t="s">
        <v>6</v>
      </c>
      <c r="D9816" s="5">
        <f t="shared" si="308"/>
        <v>31.84</v>
      </c>
      <c r="E9816">
        <v>34.96</v>
      </c>
      <c r="F9816" s="1789">
        <v>8.8999999999999996E-2</v>
      </c>
      <c r="G9816">
        <f t="shared" si="309"/>
        <v>31.84</v>
      </c>
    </row>
    <row r="9817" spans="1:7" ht="12.75" customHeight="1">
      <c r="A9817" s="3">
        <v>103997</v>
      </c>
      <c r="B9817" s="4" t="s">
        <v>9841</v>
      </c>
      <c r="C9817" s="3" t="s">
        <v>6</v>
      </c>
      <c r="D9817" s="5">
        <f t="shared" si="308"/>
        <v>31.11</v>
      </c>
      <c r="E9817">
        <v>34.159999999999997</v>
      </c>
      <c r="F9817" s="1789">
        <v>8.8999999999999996E-2</v>
      </c>
      <c r="G9817">
        <f t="shared" si="309"/>
        <v>31.11</v>
      </c>
    </row>
    <row r="9818" spans="1:7" ht="12.75" customHeight="1">
      <c r="A9818" s="3">
        <v>103998</v>
      </c>
      <c r="B9818" s="4" t="s">
        <v>9842</v>
      </c>
      <c r="C9818" s="3" t="s">
        <v>6</v>
      </c>
      <c r="D9818" s="5">
        <f t="shared" si="308"/>
        <v>12.12</v>
      </c>
      <c r="E9818">
        <v>13.31</v>
      </c>
      <c r="F9818" s="1789">
        <v>8.8999999999999996E-2</v>
      </c>
      <c r="G9818">
        <f t="shared" si="309"/>
        <v>12.12</v>
      </c>
    </row>
    <row r="9819" spans="1:7" ht="12.75" customHeight="1">
      <c r="A9819" s="3">
        <v>103999</v>
      </c>
      <c r="B9819" s="4" t="s">
        <v>9843</v>
      </c>
      <c r="C9819" s="3" t="s">
        <v>6</v>
      </c>
      <c r="D9819" s="5">
        <f t="shared" si="308"/>
        <v>10.56</v>
      </c>
      <c r="E9819">
        <v>11.6</v>
      </c>
      <c r="F9819" s="1789">
        <v>8.8999999999999996E-2</v>
      </c>
      <c r="G9819">
        <f t="shared" si="309"/>
        <v>10.56</v>
      </c>
    </row>
    <row r="9820" spans="1:7" ht="12.75" customHeight="1">
      <c r="A9820" s="3">
        <v>104000</v>
      </c>
      <c r="B9820" s="4" t="s">
        <v>9844</v>
      </c>
      <c r="C9820" s="3" t="s">
        <v>6</v>
      </c>
      <c r="D9820" s="5">
        <f t="shared" si="308"/>
        <v>22.49</v>
      </c>
      <c r="E9820">
        <v>24.69</v>
      </c>
      <c r="F9820" s="1789">
        <v>8.8999999999999996E-2</v>
      </c>
      <c r="G9820">
        <f t="shared" si="309"/>
        <v>22.49</v>
      </c>
    </row>
    <row r="9821" spans="1:7" ht="12.75" customHeight="1">
      <c r="A9821" s="3">
        <v>104001</v>
      </c>
      <c r="B9821" s="4" t="s">
        <v>9845</v>
      </c>
      <c r="C9821" s="3" t="s">
        <v>6</v>
      </c>
      <c r="D9821" s="5">
        <f t="shared" si="308"/>
        <v>11.67</v>
      </c>
      <c r="E9821">
        <v>12.82</v>
      </c>
      <c r="F9821" s="1789">
        <v>8.8999999999999996E-2</v>
      </c>
      <c r="G9821">
        <f t="shared" si="309"/>
        <v>11.67</v>
      </c>
    </row>
    <row r="9822" spans="1:7" ht="12.75" customHeight="1">
      <c r="A9822" s="3">
        <v>104002</v>
      </c>
      <c r="B9822" s="4" t="s">
        <v>9846</v>
      </c>
      <c r="C9822" s="3" t="s">
        <v>6</v>
      </c>
      <c r="D9822" s="5">
        <f t="shared" si="308"/>
        <v>14.42</v>
      </c>
      <c r="E9822">
        <v>15.83</v>
      </c>
      <c r="F9822" s="1789">
        <v>8.8999999999999996E-2</v>
      </c>
      <c r="G9822">
        <f t="shared" si="309"/>
        <v>14.42</v>
      </c>
    </row>
    <row r="9823" spans="1:7" ht="12.75" customHeight="1">
      <c r="A9823" s="3">
        <v>104003</v>
      </c>
      <c r="B9823" s="4" t="s">
        <v>9847</v>
      </c>
      <c r="C9823" s="3" t="s">
        <v>6</v>
      </c>
      <c r="D9823" s="5">
        <f t="shared" si="308"/>
        <v>12.29</v>
      </c>
      <c r="E9823">
        <v>13.5</v>
      </c>
      <c r="F9823" s="1789">
        <v>8.8999999999999996E-2</v>
      </c>
      <c r="G9823">
        <f t="shared" si="309"/>
        <v>12.29</v>
      </c>
    </row>
    <row r="9824" spans="1:7" ht="12.75" customHeight="1">
      <c r="A9824" s="3">
        <v>104004</v>
      </c>
      <c r="B9824" s="4" t="s">
        <v>9848</v>
      </c>
      <c r="C9824" s="3" t="s">
        <v>6</v>
      </c>
      <c r="D9824" s="5">
        <f t="shared" si="308"/>
        <v>25.02</v>
      </c>
      <c r="E9824">
        <v>27.47</v>
      </c>
      <c r="F9824" s="1789">
        <v>8.8999999999999996E-2</v>
      </c>
      <c r="G9824">
        <f t="shared" si="309"/>
        <v>25.02</v>
      </c>
    </row>
    <row r="9825" spans="1:7" ht="12.75" customHeight="1">
      <c r="A9825" s="3">
        <v>104005</v>
      </c>
      <c r="B9825" s="4" t="s">
        <v>9849</v>
      </c>
      <c r="C9825" s="3" t="s">
        <v>6</v>
      </c>
      <c r="D9825" s="5">
        <f t="shared" si="308"/>
        <v>29.84</v>
      </c>
      <c r="E9825">
        <v>32.76</v>
      </c>
      <c r="F9825" s="1789">
        <v>8.8999999999999996E-2</v>
      </c>
      <c r="G9825">
        <f t="shared" si="309"/>
        <v>29.84</v>
      </c>
    </row>
    <row r="9826" spans="1:7" ht="12.75" customHeight="1">
      <c r="A9826" s="3">
        <v>104006</v>
      </c>
      <c r="B9826" s="4" t="s">
        <v>9850</v>
      </c>
      <c r="C9826" s="3" t="s">
        <v>6</v>
      </c>
      <c r="D9826" s="5">
        <f t="shared" si="308"/>
        <v>20.92</v>
      </c>
      <c r="E9826">
        <v>22.97</v>
      </c>
      <c r="F9826" s="1789">
        <v>8.8999999999999996E-2</v>
      </c>
      <c r="G9826">
        <f t="shared" si="309"/>
        <v>20.92</v>
      </c>
    </row>
    <row r="9827" spans="1:7" ht="12.75" customHeight="1">
      <c r="A9827" s="3">
        <v>104007</v>
      </c>
      <c r="B9827" s="4" t="s">
        <v>9851</v>
      </c>
      <c r="C9827" s="3" t="s">
        <v>6</v>
      </c>
      <c r="D9827" s="5">
        <f t="shared" si="308"/>
        <v>18.350000000000001</v>
      </c>
      <c r="E9827">
        <v>20.149999999999999</v>
      </c>
      <c r="F9827" s="1789">
        <v>8.8999999999999996E-2</v>
      </c>
      <c r="G9827">
        <f t="shared" si="309"/>
        <v>18.350000000000001</v>
      </c>
    </row>
    <row r="9828" spans="1:7" ht="12.75" customHeight="1">
      <c r="A9828" s="3">
        <v>104008</v>
      </c>
      <c r="B9828" s="4" t="s">
        <v>9852</v>
      </c>
      <c r="C9828" s="3" t="s">
        <v>6</v>
      </c>
      <c r="D9828" s="5">
        <f t="shared" si="308"/>
        <v>26.1</v>
      </c>
      <c r="E9828">
        <v>28.66</v>
      </c>
      <c r="F9828" s="1789">
        <v>8.8999999999999996E-2</v>
      </c>
      <c r="G9828">
        <f t="shared" si="309"/>
        <v>26.1</v>
      </c>
    </row>
    <row r="9829" spans="1:7" ht="12.75" customHeight="1">
      <c r="A9829" s="3">
        <v>104009</v>
      </c>
      <c r="B9829" s="4" t="s">
        <v>9853</v>
      </c>
      <c r="C9829" s="3" t="s">
        <v>6</v>
      </c>
      <c r="D9829" s="5">
        <f t="shared" si="308"/>
        <v>11.3</v>
      </c>
      <c r="E9829">
        <v>12.41</v>
      </c>
      <c r="F9829" s="1789">
        <v>8.8999999999999996E-2</v>
      </c>
      <c r="G9829">
        <f t="shared" si="309"/>
        <v>11.3</v>
      </c>
    </row>
    <row r="9830" spans="1:7" ht="12.75" customHeight="1">
      <c r="A9830" s="3">
        <v>104011</v>
      </c>
      <c r="B9830" s="4" t="s">
        <v>9854</v>
      </c>
      <c r="C9830" s="3" t="s">
        <v>6</v>
      </c>
      <c r="D9830" s="5">
        <f t="shared" si="308"/>
        <v>21.1</v>
      </c>
      <c r="E9830">
        <v>23.17</v>
      </c>
      <c r="F9830" s="1789">
        <v>8.8999999999999996E-2</v>
      </c>
      <c r="G9830">
        <f t="shared" si="309"/>
        <v>21.1</v>
      </c>
    </row>
    <row r="9831" spans="1:7" ht="12.75" customHeight="1">
      <c r="A9831" s="3">
        <v>104012</v>
      </c>
      <c r="B9831" s="4" t="s">
        <v>9855</v>
      </c>
      <c r="C9831" s="3" t="s">
        <v>6</v>
      </c>
      <c r="D9831" s="5">
        <f t="shared" si="308"/>
        <v>19.510000000000002</v>
      </c>
      <c r="E9831">
        <v>21.42</v>
      </c>
      <c r="F9831" s="1789">
        <v>8.8999999999999996E-2</v>
      </c>
      <c r="G9831">
        <f t="shared" si="309"/>
        <v>19.510000000000002</v>
      </c>
    </row>
    <row r="9832" spans="1:7" ht="12.75" customHeight="1">
      <c r="A9832" s="3">
        <v>104014</v>
      </c>
      <c r="B9832" s="4" t="s">
        <v>9856</v>
      </c>
      <c r="C9832" s="3" t="s">
        <v>6</v>
      </c>
      <c r="D9832" s="5">
        <f t="shared" si="308"/>
        <v>9.08</v>
      </c>
      <c r="E9832">
        <v>9.9700000000000006</v>
      </c>
      <c r="F9832" s="1789">
        <v>8.8999999999999996E-2</v>
      </c>
      <c r="G9832">
        <f t="shared" si="309"/>
        <v>9.08</v>
      </c>
    </row>
    <row r="9833" spans="1:7" ht="12.75" customHeight="1">
      <c r="A9833" s="3">
        <v>104015</v>
      </c>
      <c r="B9833" s="4" t="s">
        <v>9857</v>
      </c>
      <c r="C9833" s="3" t="s">
        <v>6</v>
      </c>
      <c r="D9833" s="5">
        <f t="shared" si="308"/>
        <v>15.14</v>
      </c>
      <c r="E9833">
        <v>16.63</v>
      </c>
      <c r="F9833" s="1789">
        <v>8.8999999999999996E-2</v>
      </c>
      <c r="G9833">
        <f t="shared" si="309"/>
        <v>15.14</v>
      </c>
    </row>
    <row r="9834" spans="1:7" ht="12.75" customHeight="1">
      <c r="A9834" s="3">
        <v>104016</v>
      </c>
      <c r="B9834" s="4" t="s">
        <v>9858</v>
      </c>
      <c r="C9834" s="3" t="s">
        <v>6</v>
      </c>
      <c r="D9834" s="5">
        <f t="shared" si="308"/>
        <v>20.399999999999999</v>
      </c>
      <c r="E9834">
        <v>22.4</v>
      </c>
      <c r="F9834" s="1789">
        <v>8.8999999999999996E-2</v>
      </c>
      <c r="G9834">
        <f t="shared" si="309"/>
        <v>20.399999999999999</v>
      </c>
    </row>
    <row r="9835" spans="1:7" ht="12.75" customHeight="1">
      <c r="A9835" s="3">
        <v>104017</v>
      </c>
      <c r="B9835" s="4" t="s">
        <v>9859</v>
      </c>
      <c r="C9835" s="3" t="s">
        <v>6</v>
      </c>
      <c r="D9835" s="5">
        <f t="shared" si="308"/>
        <v>40.99</v>
      </c>
      <c r="E9835">
        <v>45</v>
      </c>
      <c r="F9835" s="1789">
        <v>8.8999999999999996E-2</v>
      </c>
      <c r="G9835">
        <f t="shared" si="309"/>
        <v>40.99</v>
      </c>
    </row>
    <row r="9836" spans="1:7" ht="12.75" customHeight="1">
      <c r="A9836" s="3">
        <v>104018</v>
      </c>
      <c r="B9836" s="4" t="s">
        <v>9860</v>
      </c>
      <c r="C9836" s="3" t="s">
        <v>6</v>
      </c>
      <c r="D9836" s="5">
        <f t="shared" si="308"/>
        <v>19.489999999999998</v>
      </c>
      <c r="E9836">
        <v>21.4</v>
      </c>
      <c r="F9836" s="1789">
        <v>8.8999999999999996E-2</v>
      </c>
      <c r="G9836">
        <f t="shared" si="309"/>
        <v>19.489999999999998</v>
      </c>
    </row>
    <row r="9837" spans="1:7" ht="12.75" customHeight="1">
      <c r="A9837" s="3">
        <v>104019</v>
      </c>
      <c r="B9837" s="4" t="s">
        <v>9861</v>
      </c>
      <c r="C9837" s="3" t="s">
        <v>6</v>
      </c>
      <c r="D9837" s="5">
        <f t="shared" si="308"/>
        <v>39.93</v>
      </c>
      <c r="E9837">
        <v>43.84</v>
      </c>
      <c r="F9837" s="1789">
        <v>8.8999999999999996E-2</v>
      </c>
      <c r="G9837">
        <f t="shared" si="309"/>
        <v>39.93</v>
      </c>
    </row>
    <row r="9838" spans="1:7" ht="12.75" customHeight="1">
      <c r="A9838" s="3">
        <v>104020</v>
      </c>
      <c r="B9838" s="4" t="s">
        <v>9862</v>
      </c>
      <c r="C9838" s="3" t="s">
        <v>6</v>
      </c>
      <c r="D9838" s="5">
        <f t="shared" si="308"/>
        <v>50.47</v>
      </c>
      <c r="E9838">
        <v>55.41</v>
      </c>
      <c r="F9838" s="1789">
        <v>8.8999999999999996E-2</v>
      </c>
      <c r="G9838">
        <f t="shared" si="309"/>
        <v>50.47</v>
      </c>
    </row>
    <row r="9839" spans="1:7" ht="12.75" customHeight="1">
      <c r="A9839" s="3">
        <v>104022</v>
      </c>
      <c r="B9839" s="4" t="s">
        <v>9863</v>
      </c>
      <c r="C9839" s="3" t="s">
        <v>6</v>
      </c>
      <c r="D9839" s="5">
        <f t="shared" si="308"/>
        <v>62.3</v>
      </c>
      <c r="E9839">
        <v>68.39</v>
      </c>
      <c r="F9839" s="1789">
        <v>8.8999999999999996E-2</v>
      </c>
      <c r="G9839">
        <f t="shared" si="309"/>
        <v>62.3</v>
      </c>
    </row>
    <row r="9840" spans="1:7" ht="12.75" customHeight="1">
      <c r="A9840" s="3">
        <v>104023</v>
      </c>
      <c r="B9840" s="4" t="s">
        <v>9864</v>
      </c>
      <c r="C9840" s="3" t="s">
        <v>6</v>
      </c>
      <c r="D9840" s="5">
        <f t="shared" si="308"/>
        <v>36.86</v>
      </c>
      <c r="E9840">
        <v>40.47</v>
      </c>
      <c r="F9840" s="1789">
        <v>8.8999999999999996E-2</v>
      </c>
      <c r="G9840">
        <f t="shared" si="309"/>
        <v>36.86</v>
      </c>
    </row>
    <row r="9841" spans="1:7" ht="12.75" customHeight="1">
      <c r="A9841" s="3">
        <v>104024</v>
      </c>
      <c r="B9841" s="4" t="s">
        <v>9865</v>
      </c>
      <c r="C9841" s="3" t="s">
        <v>6</v>
      </c>
      <c r="D9841" s="5">
        <f t="shared" si="308"/>
        <v>36.51</v>
      </c>
      <c r="E9841">
        <v>40.08</v>
      </c>
      <c r="F9841" s="1789">
        <v>8.8999999999999996E-2</v>
      </c>
      <c r="G9841">
        <f t="shared" si="309"/>
        <v>36.51</v>
      </c>
    </row>
    <row r="9842" spans="1:7" ht="12.75" customHeight="1">
      <c r="A9842" s="3">
        <v>104025</v>
      </c>
      <c r="B9842" s="4" t="s">
        <v>9866</v>
      </c>
      <c r="C9842" s="3" t="s">
        <v>6</v>
      </c>
      <c r="D9842" s="5">
        <f t="shared" si="308"/>
        <v>25.94</v>
      </c>
      <c r="E9842">
        <v>28.48</v>
      </c>
      <c r="F9842" s="1789">
        <v>8.8999999999999996E-2</v>
      </c>
      <c r="G9842">
        <f t="shared" si="309"/>
        <v>25.94</v>
      </c>
    </row>
    <row r="9843" spans="1:7" ht="12.75" customHeight="1">
      <c r="A9843" s="3">
        <v>104026</v>
      </c>
      <c r="B9843" s="4" t="s">
        <v>9867</v>
      </c>
      <c r="C9843" s="3" t="s">
        <v>6</v>
      </c>
      <c r="D9843" s="5">
        <f t="shared" si="308"/>
        <v>37.64</v>
      </c>
      <c r="E9843">
        <v>41.32</v>
      </c>
      <c r="F9843" s="1789">
        <v>8.8999999999999996E-2</v>
      </c>
      <c r="G9843">
        <f t="shared" si="309"/>
        <v>37.64</v>
      </c>
    </row>
    <row r="9844" spans="1:7" ht="12.75" customHeight="1">
      <c r="A9844" s="3">
        <v>104027</v>
      </c>
      <c r="B9844" s="4" t="s">
        <v>9868</v>
      </c>
      <c r="C9844" s="3" t="s">
        <v>6</v>
      </c>
      <c r="D9844" s="5">
        <f t="shared" si="308"/>
        <v>56.71</v>
      </c>
      <c r="E9844">
        <v>62.26</v>
      </c>
      <c r="F9844" s="1789">
        <v>8.8999999999999996E-2</v>
      </c>
      <c r="G9844">
        <f t="shared" si="309"/>
        <v>56.71</v>
      </c>
    </row>
    <row r="9845" spans="1:7" ht="12.75" customHeight="1">
      <c r="A9845" s="3">
        <v>104028</v>
      </c>
      <c r="B9845" s="4" t="s">
        <v>9869</v>
      </c>
      <c r="C9845" s="3" t="s">
        <v>6</v>
      </c>
      <c r="D9845" s="5">
        <f t="shared" si="308"/>
        <v>115.03</v>
      </c>
      <c r="E9845">
        <v>126.27</v>
      </c>
      <c r="F9845" s="1789">
        <v>8.8999999999999996E-2</v>
      </c>
      <c r="G9845">
        <f t="shared" si="309"/>
        <v>115.03</v>
      </c>
    </row>
    <row r="9846" spans="1:7" ht="12.75" customHeight="1">
      <c r="A9846" s="3">
        <v>104029</v>
      </c>
      <c r="B9846" s="4" t="s">
        <v>9870</v>
      </c>
      <c r="C9846" s="3" t="s">
        <v>6</v>
      </c>
      <c r="D9846" s="5">
        <f t="shared" si="308"/>
        <v>60.18</v>
      </c>
      <c r="E9846">
        <v>66.06</v>
      </c>
      <c r="F9846" s="1789">
        <v>8.8999999999999996E-2</v>
      </c>
      <c r="G9846">
        <f t="shared" si="309"/>
        <v>60.18</v>
      </c>
    </row>
    <row r="9847" spans="1:7" ht="12.75" customHeight="1">
      <c r="A9847" s="3">
        <v>104030</v>
      </c>
      <c r="B9847" s="4" t="s">
        <v>9871</v>
      </c>
      <c r="C9847" s="3" t="s">
        <v>6</v>
      </c>
      <c r="D9847" s="5">
        <f t="shared" si="308"/>
        <v>55.27</v>
      </c>
      <c r="E9847">
        <v>60.68</v>
      </c>
      <c r="F9847" s="1789">
        <v>8.8999999999999996E-2</v>
      </c>
      <c r="G9847">
        <f t="shared" si="309"/>
        <v>55.27</v>
      </c>
    </row>
    <row r="9848" spans="1:7" ht="12.75" customHeight="1">
      <c r="A9848" s="3">
        <v>104159</v>
      </c>
      <c r="B9848" s="4" t="s">
        <v>9872</v>
      </c>
      <c r="C9848" s="3" t="s">
        <v>6</v>
      </c>
      <c r="D9848" s="5">
        <f t="shared" si="308"/>
        <v>29.61</v>
      </c>
      <c r="E9848">
        <v>32.51</v>
      </c>
      <c r="F9848" s="1789">
        <v>8.8999999999999996E-2</v>
      </c>
      <c r="G9848">
        <f t="shared" si="309"/>
        <v>29.61</v>
      </c>
    </row>
    <row r="9849" spans="1:7" ht="12.75" customHeight="1">
      <c r="A9849" s="3">
        <v>104167</v>
      </c>
      <c r="B9849" s="4" t="s">
        <v>9873</v>
      </c>
      <c r="C9849" s="3" t="s">
        <v>6</v>
      </c>
      <c r="D9849" s="5">
        <f t="shared" si="308"/>
        <v>105.38</v>
      </c>
      <c r="E9849">
        <v>115.68</v>
      </c>
      <c r="F9849" s="1789">
        <v>8.8999999999999996E-2</v>
      </c>
      <c r="G9849">
        <f t="shared" si="309"/>
        <v>105.38</v>
      </c>
    </row>
    <row r="9850" spans="1:7" ht="12.75" customHeight="1">
      <c r="A9850" s="3">
        <v>104168</v>
      </c>
      <c r="B9850" s="4" t="s">
        <v>9874</v>
      </c>
      <c r="C9850" s="3" t="s">
        <v>6</v>
      </c>
      <c r="D9850" s="5">
        <f t="shared" si="308"/>
        <v>102.73</v>
      </c>
      <c r="E9850">
        <v>112.77</v>
      </c>
      <c r="F9850" s="1789">
        <v>8.8999999999999996E-2</v>
      </c>
      <c r="G9850">
        <f t="shared" si="309"/>
        <v>102.73</v>
      </c>
    </row>
    <row r="9851" spans="1:7" ht="12.75" customHeight="1">
      <c r="A9851" s="3">
        <v>104169</v>
      </c>
      <c r="B9851" s="4" t="s">
        <v>9875</v>
      </c>
      <c r="C9851" s="3" t="s">
        <v>6</v>
      </c>
      <c r="D9851" s="5">
        <f t="shared" si="308"/>
        <v>126.08</v>
      </c>
      <c r="E9851">
        <v>138.4</v>
      </c>
      <c r="F9851" s="1789">
        <v>8.8999999999999996E-2</v>
      </c>
      <c r="G9851">
        <f t="shared" si="309"/>
        <v>126.08</v>
      </c>
    </row>
    <row r="9852" spans="1:7" ht="12.75" customHeight="1">
      <c r="A9852" s="3">
        <v>104170</v>
      </c>
      <c r="B9852" s="4" t="s">
        <v>9876</v>
      </c>
      <c r="C9852" s="3" t="s">
        <v>6</v>
      </c>
      <c r="D9852" s="5">
        <f t="shared" si="308"/>
        <v>61.13</v>
      </c>
      <c r="E9852">
        <v>67.11</v>
      </c>
      <c r="F9852" s="1789">
        <v>8.8999999999999996E-2</v>
      </c>
      <c r="G9852">
        <f t="shared" si="309"/>
        <v>61.13</v>
      </c>
    </row>
    <row r="9853" spans="1:7" ht="12.75" customHeight="1">
      <c r="A9853" s="3">
        <v>104171</v>
      </c>
      <c r="B9853" s="4" t="s">
        <v>9877</v>
      </c>
      <c r="C9853" s="3" t="s">
        <v>6</v>
      </c>
      <c r="D9853" s="5">
        <f t="shared" si="308"/>
        <v>81</v>
      </c>
      <c r="E9853">
        <v>88.92</v>
      </c>
      <c r="F9853" s="1789">
        <v>8.8999999999999996E-2</v>
      </c>
      <c r="G9853">
        <f t="shared" si="309"/>
        <v>81</v>
      </c>
    </row>
    <row r="9854" spans="1:7" ht="12.75" customHeight="1">
      <c r="A9854" s="3">
        <v>104172</v>
      </c>
      <c r="B9854" s="4" t="s">
        <v>9878</v>
      </c>
      <c r="C9854" s="3" t="s">
        <v>6</v>
      </c>
      <c r="D9854" s="5">
        <f t="shared" si="308"/>
        <v>230.8</v>
      </c>
      <c r="E9854">
        <v>253.35</v>
      </c>
      <c r="F9854" s="1789">
        <v>8.8999999999999996E-2</v>
      </c>
      <c r="G9854">
        <f t="shared" si="309"/>
        <v>230.8</v>
      </c>
    </row>
    <row r="9855" spans="1:7" ht="12.75" customHeight="1">
      <c r="A9855" s="3">
        <v>104173</v>
      </c>
      <c r="B9855" s="4" t="s">
        <v>9879</v>
      </c>
      <c r="C9855" s="3" t="s">
        <v>6</v>
      </c>
      <c r="D9855" s="5">
        <f t="shared" si="308"/>
        <v>72.89</v>
      </c>
      <c r="E9855">
        <v>80.02</v>
      </c>
      <c r="F9855" s="1789">
        <v>8.8999999999999996E-2</v>
      </c>
      <c r="G9855">
        <f t="shared" si="309"/>
        <v>72.89</v>
      </c>
    </row>
    <row r="9856" spans="1:7" ht="12.75" customHeight="1">
      <c r="A9856" s="3">
        <v>104174</v>
      </c>
      <c r="B9856" s="4" t="s">
        <v>9880</v>
      </c>
      <c r="C9856" s="3" t="s">
        <v>6</v>
      </c>
      <c r="D9856" s="5">
        <f t="shared" si="308"/>
        <v>160.94999999999999</v>
      </c>
      <c r="E9856">
        <v>176.68</v>
      </c>
      <c r="F9856" s="1789">
        <v>8.8999999999999996E-2</v>
      </c>
      <c r="G9856">
        <f t="shared" si="309"/>
        <v>160.94999999999999</v>
      </c>
    </row>
    <row r="9857" spans="1:7" ht="12.75" customHeight="1">
      <c r="A9857" s="3">
        <v>104175</v>
      </c>
      <c r="B9857" s="4" t="s">
        <v>9881</v>
      </c>
      <c r="C9857" s="3" t="s">
        <v>6</v>
      </c>
      <c r="D9857" s="5">
        <f t="shared" si="308"/>
        <v>121.04</v>
      </c>
      <c r="E9857">
        <v>132.87</v>
      </c>
      <c r="F9857" s="1789">
        <v>8.8999999999999996E-2</v>
      </c>
      <c r="G9857">
        <f t="shared" si="309"/>
        <v>121.04</v>
      </c>
    </row>
    <row r="9858" spans="1:7" ht="12.75" customHeight="1">
      <c r="A9858" s="3">
        <v>104176</v>
      </c>
      <c r="B9858" s="4" t="s">
        <v>9882</v>
      </c>
      <c r="C9858" s="3" t="s">
        <v>6</v>
      </c>
      <c r="D9858" s="5">
        <f t="shared" si="308"/>
        <v>213.15</v>
      </c>
      <c r="E9858">
        <v>233.98</v>
      </c>
      <c r="F9858" s="1789">
        <v>8.8999999999999996E-2</v>
      </c>
      <c r="G9858">
        <f t="shared" si="309"/>
        <v>213.15</v>
      </c>
    </row>
    <row r="9859" spans="1:7" ht="12.75" customHeight="1">
      <c r="A9859" s="3">
        <v>104177</v>
      </c>
      <c r="B9859" s="4" t="s">
        <v>9883</v>
      </c>
      <c r="C9859" s="3" t="s">
        <v>6</v>
      </c>
      <c r="D9859" s="5">
        <f t="shared" si="308"/>
        <v>156.53</v>
      </c>
      <c r="E9859">
        <v>171.83</v>
      </c>
      <c r="F9859" s="1789">
        <v>8.8999999999999996E-2</v>
      </c>
      <c r="G9859">
        <f t="shared" si="309"/>
        <v>156.53</v>
      </c>
    </row>
    <row r="9860" spans="1:7" ht="12.75" customHeight="1">
      <c r="A9860" s="3">
        <v>104178</v>
      </c>
      <c r="B9860" s="4" t="s">
        <v>9884</v>
      </c>
      <c r="C9860" s="3" t="s">
        <v>6</v>
      </c>
      <c r="D9860" s="5">
        <f t="shared" si="308"/>
        <v>18.75</v>
      </c>
      <c r="E9860">
        <v>20.59</v>
      </c>
      <c r="F9860" s="1789">
        <v>8.8999999999999996E-2</v>
      </c>
      <c r="G9860">
        <f t="shared" si="309"/>
        <v>18.75</v>
      </c>
    </row>
    <row r="9861" spans="1:7" ht="12.75" customHeight="1">
      <c r="A9861" s="3">
        <v>104179</v>
      </c>
      <c r="B9861" s="4" t="s">
        <v>9885</v>
      </c>
      <c r="C9861" s="3" t="s">
        <v>6</v>
      </c>
      <c r="D9861" s="5">
        <f t="shared" si="308"/>
        <v>70.69</v>
      </c>
      <c r="E9861">
        <v>77.599999999999994</v>
      </c>
      <c r="F9861" s="1789">
        <v>8.8999999999999996E-2</v>
      </c>
      <c r="G9861">
        <f t="shared" si="309"/>
        <v>70.69</v>
      </c>
    </row>
    <row r="9862" spans="1:7" ht="12.75" customHeight="1">
      <c r="A9862" s="3">
        <v>104191</v>
      </c>
      <c r="B9862" s="4" t="s">
        <v>9886</v>
      </c>
      <c r="C9862" s="3" t="s">
        <v>6</v>
      </c>
      <c r="D9862" s="5">
        <f t="shared" si="308"/>
        <v>8.93</v>
      </c>
      <c r="E9862">
        <v>9.81</v>
      </c>
      <c r="F9862" s="1789">
        <v>8.8999999999999996E-2</v>
      </c>
      <c r="G9862">
        <f t="shared" si="309"/>
        <v>8.93</v>
      </c>
    </row>
    <row r="9863" spans="1:7" ht="12.75" customHeight="1">
      <c r="A9863" s="3">
        <v>104192</v>
      </c>
      <c r="B9863" s="4" t="s">
        <v>9887</v>
      </c>
      <c r="C9863" s="3" t="s">
        <v>6</v>
      </c>
      <c r="D9863" s="5">
        <f t="shared" si="308"/>
        <v>25.17</v>
      </c>
      <c r="E9863">
        <v>27.63</v>
      </c>
      <c r="F9863" s="1789">
        <v>8.8999999999999996E-2</v>
      </c>
      <c r="G9863">
        <f t="shared" si="309"/>
        <v>25.17</v>
      </c>
    </row>
    <row r="9864" spans="1:7" ht="12.75" customHeight="1">
      <c r="A9864" s="3">
        <v>104193</v>
      </c>
      <c r="B9864" s="4" t="s">
        <v>9888</v>
      </c>
      <c r="C9864" s="3" t="s">
        <v>6</v>
      </c>
      <c r="D9864" s="5">
        <f t="shared" si="308"/>
        <v>147.84</v>
      </c>
      <c r="E9864">
        <v>162.29</v>
      </c>
      <c r="F9864" s="1789">
        <v>8.8999999999999996E-2</v>
      </c>
      <c r="G9864">
        <f t="shared" si="309"/>
        <v>147.84</v>
      </c>
    </row>
    <row r="9865" spans="1:7" ht="12.75" customHeight="1">
      <c r="A9865" s="3">
        <v>104196</v>
      </c>
      <c r="B9865" s="4" t="s">
        <v>9889</v>
      </c>
      <c r="C9865" s="3" t="s">
        <v>6</v>
      </c>
      <c r="D9865" s="5">
        <f t="shared" si="308"/>
        <v>13.92</v>
      </c>
      <c r="E9865">
        <v>15.29</v>
      </c>
      <c r="F9865" s="1789">
        <v>8.8999999999999996E-2</v>
      </c>
      <c r="G9865">
        <f t="shared" si="309"/>
        <v>13.92</v>
      </c>
    </row>
    <row r="9866" spans="1:7" ht="12.75" customHeight="1">
      <c r="A9866" s="3">
        <v>104197</v>
      </c>
      <c r="B9866" s="4" t="s">
        <v>9890</v>
      </c>
      <c r="C9866" s="3" t="s">
        <v>6</v>
      </c>
      <c r="D9866" s="5">
        <f t="shared" si="308"/>
        <v>26.03</v>
      </c>
      <c r="E9866">
        <v>28.58</v>
      </c>
      <c r="F9866" s="1789">
        <v>8.8999999999999996E-2</v>
      </c>
      <c r="G9866">
        <f t="shared" si="309"/>
        <v>26.03</v>
      </c>
    </row>
    <row r="9867" spans="1:7" ht="12.75" customHeight="1">
      <c r="A9867" s="3">
        <v>104198</v>
      </c>
      <c r="B9867" s="4" t="s">
        <v>9891</v>
      </c>
      <c r="C9867" s="3" t="s">
        <v>6</v>
      </c>
      <c r="D9867" s="5">
        <f t="shared" si="308"/>
        <v>6.58</v>
      </c>
      <c r="E9867">
        <v>7.23</v>
      </c>
      <c r="F9867" s="1789">
        <v>8.8999999999999996E-2</v>
      </c>
      <c r="G9867">
        <f t="shared" si="309"/>
        <v>6.58</v>
      </c>
    </row>
    <row r="9868" spans="1:7" ht="12.75" customHeight="1">
      <c r="A9868" s="3">
        <v>104199</v>
      </c>
      <c r="B9868" s="4" t="s">
        <v>9892</v>
      </c>
      <c r="C9868" s="3" t="s">
        <v>6</v>
      </c>
      <c r="D9868" s="5">
        <f t="shared" si="308"/>
        <v>6.37</v>
      </c>
      <c r="E9868">
        <v>7</v>
      </c>
      <c r="F9868" s="1789">
        <v>8.8999999999999996E-2</v>
      </c>
      <c r="G9868">
        <f t="shared" si="309"/>
        <v>6.37</v>
      </c>
    </row>
    <row r="9869" spans="1:7" ht="12.75" customHeight="1">
      <c r="A9869" s="3">
        <v>104200</v>
      </c>
      <c r="B9869" s="4" t="s">
        <v>9893</v>
      </c>
      <c r="C9869" s="3" t="s">
        <v>6</v>
      </c>
      <c r="D9869" s="5">
        <f t="shared" si="308"/>
        <v>5.26</v>
      </c>
      <c r="E9869">
        <v>5.78</v>
      </c>
      <c r="F9869" s="1789">
        <v>8.8999999999999996E-2</v>
      </c>
      <c r="G9869">
        <f t="shared" si="309"/>
        <v>5.26</v>
      </c>
    </row>
    <row r="9870" spans="1:7" ht="12.75" customHeight="1">
      <c r="A9870" s="3">
        <v>104201</v>
      </c>
      <c r="B9870" s="4" t="s">
        <v>9894</v>
      </c>
      <c r="C9870" s="3" t="s">
        <v>6</v>
      </c>
      <c r="D9870" s="5">
        <f t="shared" si="308"/>
        <v>17.16</v>
      </c>
      <c r="E9870">
        <v>18.84</v>
      </c>
      <c r="F9870" s="1789">
        <v>8.8999999999999996E-2</v>
      </c>
      <c r="G9870">
        <f t="shared" si="309"/>
        <v>17.16</v>
      </c>
    </row>
    <row r="9871" spans="1:7" ht="12.75" customHeight="1">
      <c r="A9871" s="3">
        <v>104202</v>
      </c>
      <c r="B9871" s="4" t="s">
        <v>9895</v>
      </c>
      <c r="C9871" s="3" t="s">
        <v>6</v>
      </c>
      <c r="D9871" s="5">
        <f t="shared" si="308"/>
        <v>9.49</v>
      </c>
      <c r="E9871">
        <v>10.42</v>
      </c>
      <c r="F9871" s="1789">
        <v>8.8999999999999996E-2</v>
      </c>
      <c r="G9871">
        <f t="shared" si="309"/>
        <v>9.49</v>
      </c>
    </row>
    <row r="9872" spans="1:7" ht="12.75" customHeight="1">
      <c r="A9872" s="3">
        <v>104317</v>
      </c>
      <c r="B9872" s="4" t="s">
        <v>9896</v>
      </c>
      <c r="C9872" s="3" t="s">
        <v>6</v>
      </c>
      <c r="D9872" s="5">
        <f t="shared" si="308"/>
        <v>5.79</v>
      </c>
      <c r="E9872">
        <v>6.36</v>
      </c>
      <c r="F9872" s="1789">
        <v>8.8999999999999996E-2</v>
      </c>
      <c r="G9872">
        <f t="shared" si="309"/>
        <v>5.79</v>
      </c>
    </row>
    <row r="9873" spans="1:7" ht="12.75" customHeight="1">
      <c r="A9873" s="3">
        <v>104318</v>
      </c>
      <c r="B9873" s="4" t="s">
        <v>9897</v>
      </c>
      <c r="C9873" s="3" t="s">
        <v>6</v>
      </c>
      <c r="D9873" s="5">
        <f t="shared" si="308"/>
        <v>6.21</v>
      </c>
      <c r="E9873">
        <v>6.82</v>
      </c>
      <c r="F9873" s="1789">
        <v>8.8999999999999996E-2</v>
      </c>
      <c r="G9873">
        <f t="shared" si="309"/>
        <v>6.21</v>
      </c>
    </row>
    <row r="9874" spans="1:7" ht="12.75" customHeight="1">
      <c r="A9874" s="3">
        <v>104319</v>
      </c>
      <c r="B9874" s="4" t="s">
        <v>9898</v>
      </c>
      <c r="C9874" s="3" t="s">
        <v>6</v>
      </c>
      <c r="D9874" s="5">
        <f t="shared" si="308"/>
        <v>8.42</v>
      </c>
      <c r="E9874">
        <v>9.25</v>
      </c>
      <c r="F9874" s="1789">
        <v>8.8999999999999996E-2</v>
      </c>
      <c r="G9874">
        <f t="shared" si="309"/>
        <v>8.42</v>
      </c>
    </row>
    <row r="9875" spans="1:7" ht="12.75" customHeight="1">
      <c r="A9875" s="3">
        <v>104320</v>
      </c>
      <c r="B9875" s="4" t="s">
        <v>9899</v>
      </c>
      <c r="C9875" s="3" t="s">
        <v>6</v>
      </c>
      <c r="D9875" s="5">
        <f t="shared" si="308"/>
        <v>9.77</v>
      </c>
      <c r="E9875">
        <v>10.73</v>
      </c>
      <c r="F9875" s="1789">
        <v>8.8999999999999996E-2</v>
      </c>
      <c r="G9875">
        <f t="shared" si="309"/>
        <v>9.77</v>
      </c>
    </row>
    <row r="9876" spans="1:7" ht="12.75" customHeight="1">
      <c r="A9876" s="3">
        <v>104321</v>
      </c>
      <c r="B9876" s="4" t="s">
        <v>9900</v>
      </c>
      <c r="C9876" s="3" t="s">
        <v>6</v>
      </c>
      <c r="D9876" s="5">
        <f t="shared" si="308"/>
        <v>4.45</v>
      </c>
      <c r="E9876">
        <v>4.8899999999999997</v>
      </c>
      <c r="F9876" s="1789">
        <v>8.8999999999999996E-2</v>
      </c>
      <c r="G9876">
        <f t="shared" si="309"/>
        <v>4.45</v>
      </c>
    </row>
    <row r="9877" spans="1:7" ht="12.75" customHeight="1">
      <c r="A9877" s="3">
        <v>104322</v>
      </c>
      <c r="B9877" s="4" t="s">
        <v>9901</v>
      </c>
      <c r="C9877" s="3" t="s">
        <v>6</v>
      </c>
      <c r="D9877" s="5">
        <f t="shared" ref="D9877:D9940" si="310">G9877</f>
        <v>6.42</v>
      </c>
      <c r="E9877">
        <v>7.05</v>
      </c>
      <c r="F9877" s="1789">
        <v>8.8999999999999996E-2</v>
      </c>
      <c r="G9877">
        <f t="shared" ref="G9877:G9940" si="311">TRUNC((1-F9877)*E9877,2)</f>
        <v>6.42</v>
      </c>
    </row>
    <row r="9878" spans="1:7" ht="12.75" customHeight="1">
      <c r="A9878" s="3">
        <v>104323</v>
      </c>
      <c r="B9878" s="4" t="s">
        <v>9902</v>
      </c>
      <c r="C9878" s="3" t="s">
        <v>6</v>
      </c>
      <c r="D9878" s="5">
        <f t="shared" si="310"/>
        <v>8.08</v>
      </c>
      <c r="E9878">
        <v>8.8800000000000008</v>
      </c>
      <c r="F9878" s="1789">
        <v>8.8999999999999996E-2</v>
      </c>
      <c r="G9878">
        <f t="shared" si="311"/>
        <v>8.08</v>
      </c>
    </row>
    <row r="9879" spans="1:7" ht="12.75" customHeight="1">
      <c r="A9879" s="3">
        <v>104324</v>
      </c>
      <c r="B9879" s="4" t="s">
        <v>9903</v>
      </c>
      <c r="C9879" s="3" t="s">
        <v>6</v>
      </c>
      <c r="D9879" s="5">
        <f t="shared" si="310"/>
        <v>11.91</v>
      </c>
      <c r="E9879">
        <v>13.08</v>
      </c>
      <c r="F9879" s="1789">
        <v>8.8999999999999996E-2</v>
      </c>
      <c r="G9879">
        <f t="shared" si="311"/>
        <v>11.91</v>
      </c>
    </row>
    <row r="9880" spans="1:7" ht="12.75" customHeight="1">
      <c r="A9880" s="3">
        <v>104341</v>
      </c>
      <c r="B9880" s="4" t="s">
        <v>9904</v>
      </c>
      <c r="C9880" s="3" t="s">
        <v>6</v>
      </c>
      <c r="D9880" s="5">
        <f t="shared" si="310"/>
        <v>9.67</v>
      </c>
      <c r="E9880">
        <v>10.62</v>
      </c>
      <c r="F9880" s="1789">
        <v>8.8999999999999996E-2</v>
      </c>
      <c r="G9880">
        <f t="shared" si="311"/>
        <v>9.67</v>
      </c>
    </row>
    <row r="9881" spans="1:7" ht="12.75" customHeight="1">
      <c r="A9881" s="3">
        <v>104343</v>
      </c>
      <c r="B9881" s="4" t="s">
        <v>9905</v>
      </c>
      <c r="C9881" s="3" t="s">
        <v>6</v>
      </c>
      <c r="D9881" s="5">
        <f t="shared" si="310"/>
        <v>29.82</v>
      </c>
      <c r="E9881">
        <v>32.74</v>
      </c>
      <c r="F9881" s="1789">
        <v>8.8999999999999996E-2</v>
      </c>
      <c r="G9881">
        <f t="shared" si="311"/>
        <v>29.82</v>
      </c>
    </row>
    <row r="9882" spans="1:7" ht="12.75" customHeight="1">
      <c r="A9882" s="3">
        <v>104344</v>
      </c>
      <c r="B9882" s="4" t="s">
        <v>9906</v>
      </c>
      <c r="C9882" s="3" t="s">
        <v>6</v>
      </c>
      <c r="D9882" s="5">
        <f t="shared" si="310"/>
        <v>35.880000000000003</v>
      </c>
      <c r="E9882">
        <v>39.39</v>
      </c>
      <c r="F9882" s="1789">
        <v>8.8999999999999996E-2</v>
      </c>
      <c r="G9882">
        <f t="shared" si="311"/>
        <v>35.880000000000003</v>
      </c>
    </row>
    <row r="9883" spans="1:7" ht="12.75" customHeight="1">
      <c r="A9883" s="3">
        <v>104345</v>
      </c>
      <c r="B9883" s="4" t="s">
        <v>9907</v>
      </c>
      <c r="C9883" s="3" t="s">
        <v>6</v>
      </c>
      <c r="D9883" s="5">
        <f t="shared" si="310"/>
        <v>37.630000000000003</v>
      </c>
      <c r="E9883">
        <v>41.31</v>
      </c>
      <c r="F9883" s="1789">
        <v>8.8999999999999996E-2</v>
      </c>
      <c r="G9883">
        <f t="shared" si="311"/>
        <v>37.630000000000003</v>
      </c>
    </row>
    <row r="9884" spans="1:7" ht="12.75" customHeight="1">
      <c r="A9884" s="3">
        <v>104346</v>
      </c>
      <c r="B9884" s="4" t="s">
        <v>9908</v>
      </c>
      <c r="C9884" s="3" t="s">
        <v>6</v>
      </c>
      <c r="D9884" s="5">
        <f t="shared" si="310"/>
        <v>39.67</v>
      </c>
      <c r="E9884">
        <v>43.55</v>
      </c>
      <c r="F9884" s="1789">
        <v>8.8999999999999996E-2</v>
      </c>
      <c r="G9884">
        <f t="shared" si="311"/>
        <v>39.67</v>
      </c>
    </row>
    <row r="9885" spans="1:7" ht="12.75" customHeight="1">
      <c r="A9885" s="3">
        <v>104347</v>
      </c>
      <c r="B9885" s="4" t="s">
        <v>9909</v>
      </c>
      <c r="C9885" s="3" t="s">
        <v>6</v>
      </c>
      <c r="D9885" s="5">
        <f t="shared" si="310"/>
        <v>41.93</v>
      </c>
      <c r="E9885">
        <v>46.03</v>
      </c>
      <c r="F9885" s="1789">
        <v>8.8999999999999996E-2</v>
      </c>
      <c r="G9885">
        <f t="shared" si="311"/>
        <v>41.93</v>
      </c>
    </row>
    <row r="9886" spans="1:7" ht="12.75" customHeight="1">
      <c r="A9886" s="3">
        <v>104348</v>
      </c>
      <c r="B9886" s="4" t="s">
        <v>9910</v>
      </c>
      <c r="C9886" s="3" t="s">
        <v>6</v>
      </c>
      <c r="D9886" s="5">
        <f t="shared" si="310"/>
        <v>9.6</v>
      </c>
      <c r="E9886">
        <v>10.54</v>
      </c>
      <c r="F9886" s="1789">
        <v>8.8999999999999996E-2</v>
      </c>
      <c r="G9886">
        <f t="shared" si="311"/>
        <v>9.6</v>
      </c>
    </row>
    <row r="9887" spans="1:7" ht="12.75" customHeight="1">
      <c r="A9887" s="3">
        <v>104350</v>
      </c>
      <c r="B9887" s="4" t="s">
        <v>9911</v>
      </c>
      <c r="C9887" s="3" t="s">
        <v>6</v>
      </c>
      <c r="D9887" s="5">
        <f t="shared" si="310"/>
        <v>26.39</v>
      </c>
      <c r="E9887">
        <v>28.97</v>
      </c>
      <c r="F9887" s="1789">
        <v>8.8999999999999996E-2</v>
      </c>
      <c r="G9887">
        <f t="shared" si="311"/>
        <v>26.39</v>
      </c>
    </row>
    <row r="9888" spans="1:7" ht="12.75" customHeight="1">
      <c r="A9888" s="3">
        <v>104351</v>
      </c>
      <c r="B9888" s="4" t="s">
        <v>9912</v>
      </c>
      <c r="C9888" s="3" t="s">
        <v>6</v>
      </c>
      <c r="D9888" s="5">
        <f t="shared" si="310"/>
        <v>19.93</v>
      </c>
      <c r="E9888">
        <v>21.88</v>
      </c>
      <c r="F9888" s="1789">
        <v>8.8999999999999996E-2</v>
      </c>
      <c r="G9888">
        <f t="shared" si="311"/>
        <v>19.93</v>
      </c>
    </row>
    <row r="9889" spans="1:7" ht="12.75" customHeight="1">
      <c r="A9889" s="3">
        <v>104352</v>
      </c>
      <c r="B9889" s="4" t="s">
        <v>9913</v>
      </c>
      <c r="C9889" s="3" t="s">
        <v>6</v>
      </c>
      <c r="D9889" s="5">
        <f t="shared" si="310"/>
        <v>34.85</v>
      </c>
      <c r="E9889">
        <v>38.26</v>
      </c>
      <c r="F9889" s="1789">
        <v>8.8999999999999996E-2</v>
      </c>
      <c r="G9889">
        <f t="shared" si="311"/>
        <v>34.85</v>
      </c>
    </row>
    <row r="9890" spans="1:7" ht="12.75" customHeight="1">
      <c r="A9890" s="3">
        <v>104353</v>
      </c>
      <c r="B9890" s="4" t="s">
        <v>9914</v>
      </c>
      <c r="C9890" s="3" t="s">
        <v>6</v>
      </c>
      <c r="D9890" s="5">
        <f t="shared" si="310"/>
        <v>36.6</v>
      </c>
      <c r="E9890">
        <v>40.18</v>
      </c>
      <c r="F9890" s="1789">
        <v>8.8999999999999996E-2</v>
      </c>
      <c r="G9890">
        <f t="shared" si="311"/>
        <v>36.6</v>
      </c>
    </row>
    <row r="9891" spans="1:7" ht="12.75" customHeight="1">
      <c r="A9891" s="3">
        <v>104354</v>
      </c>
      <c r="B9891" s="4" t="s">
        <v>9915</v>
      </c>
      <c r="C9891" s="3" t="s">
        <v>6</v>
      </c>
      <c r="D9891" s="5">
        <f t="shared" si="310"/>
        <v>39.85</v>
      </c>
      <c r="E9891">
        <v>43.75</v>
      </c>
      <c r="F9891" s="1789">
        <v>8.8999999999999996E-2</v>
      </c>
      <c r="G9891">
        <f t="shared" si="311"/>
        <v>39.85</v>
      </c>
    </row>
    <row r="9892" spans="1:7" ht="12.75" customHeight="1">
      <c r="A9892" s="3">
        <v>104355</v>
      </c>
      <c r="B9892" s="4" t="s">
        <v>9916</v>
      </c>
      <c r="C9892" s="3" t="s">
        <v>6</v>
      </c>
      <c r="D9892" s="5">
        <f t="shared" si="310"/>
        <v>42.11</v>
      </c>
      <c r="E9892">
        <v>46.23</v>
      </c>
      <c r="F9892" s="1789">
        <v>8.8999999999999996E-2</v>
      </c>
      <c r="G9892">
        <f t="shared" si="311"/>
        <v>42.11</v>
      </c>
    </row>
    <row r="9893" spans="1:7" ht="12.75" customHeight="1">
      <c r="A9893" s="3">
        <v>104356</v>
      </c>
      <c r="B9893" s="4" t="s">
        <v>9917</v>
      </c>
      <c r="C9893" s="3" t="s">
        <v>6</v>
      </c>
      <c r="D9893" s="5">
        <f t="shared" si="310"/>
        <v>26.51</v>
      </c>
      <c r="E9893">
        <v>29.11</v>
      </c>
      <c r="F9893" s="1789">
        <v>8.8999999999999996E-2</v>
      </c>
      <c r="G9893">
        <f t="shared" si="311"/>
        <v>26.51</v>
      </c>
    </row>
    <row r="9894" spans="1:7" ht="12.75" customHeight="1">
      <c r="A9894" s="3">
        <v>104357</v>
      </c>
      <c r="B9894" s="4" t="s">
        <v>9918</v>
      </c>
      <c r="C9894" s="3" t="s">
        <v>6</v>
      </c>
      <c r="D9894" s="5">
        <f t="shared" si="310"/>
        <v>16.7</v>
      </c>
      <c r="E9894">
        <v>18.34</v>
      </c>
      <c r="F9894" s="1789">
        <v>8.8999999999999996E-2</v>
      </c>
      <c r="G9894">
        <f t="shared" si="311"/>
        <v>16.7</v>
      </c>
    </row>
    <row r="9895" spans="1:7" ht="12.75" customHeight="1">
      <c r="A9895" s="3">
        <v>104576</v>
      </c>
      <c r="B9895" s="4" t="s">
        <v>9919</v>
      </c>
      <c r="C9895" s="3" t="s">
        <v>6</v>
      </c>
      <c r="D9895" s="5">
        <f t="shared" si="310"/>
        <v>13.55</v>
      </c>
      <c r="E9895">
        <v>14.88</v>
      </c>
      <c r="F9895" s="1789">
        <v>8.8999999999999996E-2</v>
      </c>
      <c r="G9895">
        <f t="shared" si="311"/>
        <v>13.55</v>
      </c>
    </row>
    <row r="9896" spans="1:7" ht="12.75" customHeight="1">
      <c r="A9896" s="3">
        <v>104577</v>
      </c>
      <c r="B9896" s="4" t="s">
        <v>9920</v>
      </c>
      <c r="C9896" s="3" t="s">
        <v>6</v>
      </c>
      <c r="D9896" s="5">
        <f t="shared" si="310"/>
        <v>18.37</v>
      </c>
      <c r="E9896">
        <v>20.170000000000002</v>
      </c>
      <c r="F9896" s="1789">
        <v>8.8999999999999996E-2</v>
      </c>
      <c r="G9896">
        <f t="shared" si="311"/>
        <v>18.37</v>
      </c>
    </row>
    <row r="9897" spans="1:7" ht="12.75" customHeight="1">
      <c r="A9897" s="3">
        <v>104578</v>
      </c>
      <c r="B9897" s="4" t="s">
        <v>9921</v>
      </c>
      <c r="C9897" s="3" t="s">
        <v>6</v>
      </c>
      <c r="D9897" s="5">
        <f t="shared" si="310"/>
        <v>19.690000000000001</v>
      </c>
      <c r="E9897">
        <v>21.62</v>
      </c>
      <c r="F9897" s="1789">
        <v>8.8999999999999996E-2</v>
      </c>
      <c r="G9897">
        <f t="shared" si="311"/>
        <v>19.690000000000001</v>
      </c>
    </row>
    <row r="9898" spans="1:7" ht="12.75" customHeight="1">
      <c r="A9898" s="3">
        <v>104579</v>
      </c>
      <c r="B9898" s="4" t="s">
        <v>9922</v>
      </c>
      <c r="C9898" s="3" t="s">
        <v>6</v>
      </c>
      <c r="D9898" s="5">
        <f t="shared" si="310"/>
        <v>25.94</v>
      </c>
      <c r="E9898">
        <v>28.48</v>
      </c>
      <c r="F9898" s="1789">
        <v>8.8999999999999996E-2</v>
      </c>
      <c r="G9898">
        <f t="shared" si="311"/>
        <v>25.94</v>
      </c>
    </row>
    <row r="9899" spans="1:7" ht="12.75" customHeight="1">
      <c r="A9899" s="3">
        <v>104581</v>
      </c>
      <c r="B9899" s="4" t="s">
        <v>9923</v>
      </c>
      <c r="C9899" s="3" t="s">
        <v>6</v>
      </c>
      <c r="D9899" s="5">
        <f t="shared" si="310"/>
        <v>12.37</v>
      </c>
      <c r="E9899">
        <v>13.58</v>
      </c>
      <c r="F9899" s="1789">
        <v>8.8999999999999996E-2</v>
      </c>
      <c r="G9899">
        <f t="shared" si="311"/>
        <v>12.37</v>
      </c>
    </row>
    <row r="9900" spans="1:7" ht="12.75" customHeight="1">
      <c r="A9900" s="3">
        <v>104582</v>
      </c>
      <c r="B9900" s="4" t="s">
        <v>9924</v>
      </c>
      <c r="C9900" s="3" t="s">
        <v>6</v>
      </c>
      <c r="D9900" s="5">
        <f t="shared" si="310"/>
        <v>15.84</v>
      </c>
      <c r="E9900">
        <v>17.39</v>
      </c>
      <c r="F9900" s="1789">
        <v>8.8999999999999996E-2</v>
      </c>
      <c r="G9900">
        <f t="shared" si="311"/>
        <v>15.84</v>
      </c>
    </row>
    <row r="9901" spans="1:7" ht="12.75" customHeight="1">
      <c r="A9901" s="3">
        <v>104583</v>
      </c>
      <c r="B9901" s="4" t="s">
        <v>9925</v>
      </c>
      <c r="C9901" s="3" t="s">
        <v>6</v>
      </c>
      <c r="D9901" s="5">
        <f t="shared" si="310"/>
        <v>25.72</v>
      </c>
      <c r="E9901">
        <v>28.24</v>
      </c>
      <c r="F9901" s="1789">
        <v>8.8999999999999996E-2</v>
      </c>
      <c r="G9901">
        <f t="shared" si="311"/>
        <v>25.72</v>
      </c>
    </row>
    <row r="9902" spans="1:7" ht="12.75" customHeight="1">
      <c r="A9902" s="3">
        <v>104584</v>
      </c>
      <c r="B9902" s="4" t="s">
        <v>9926</v>
      </c>
      <c r="C9902" s="3" t="s">
        <v>6</v>
      </c>
      <c r="D9902" s="5">
        <f t="shared" si="310"/>
        <v>30.83</v>
      </c>
      <c r="E9902">
        <v>33.85</v>
      </c>
      <c r="F9902" s="1789">
        <v>8.8999999999999996E-2</v>
      </c>
      <c r="G9902">
        <f t="shared" si="311"/>
        <v>30.83</v>
      </c>
    </row>
    <row r="9903" spans="1:7" ht="12.75" customHeight="1">
      <c r="A9903" s="3">
        <v>105146</v>
      </c>
      <c r="B9903" s="4" t="s">
        <v>9927</v>
      </c>
      <c r="C9903" s="3" t="s">
        <v>6</v>
      </c>
      <c r="D9903" s="5">
        <f t="shared" si="310"/>
        <v>19.690000000000001</v>
      </c>
      <c r="E9903">
        <v>21.62</v>
      </c>
      <c r="F9903" s="1789">
        <v>8.8999999999999996E-2</v>
      </c>
      <c r="G9903">
        <f t="shared" si="311"/>
        <v>19.690000000000001</v>
      </c>
    </row>
    <row r="9904" spans="1:7" ht="12.75" customHeight="1">
      <c r="A9904" s="3">
        <v>105147</v>
      </c>
      <c r="B9904" s="4" t="s">
        <v>9928</v>
      </c>
      <c r="C9904" s="3" t="s">
        <v>6</v>
      </c>
      <c r="D9904" s="5">
        <f t="shared" si="310"/>
        <v>13.56</v>
      </c>
      <c r="E9904">
        <v>14.89</v>
      </c>
      <c r="F9904" s="1789">
        <v>8.8999999999999996E-2</v>
      </c>
      <c r="G9904">
        <f t="shared" si="311"/>
        <v>13.56</v>
      </c>
    </row>
    <row r="9905" spans="1:7" ht="12.75" customHeight="1">
      <c r="A9905" s="3">
        <v>105148</v>
      </c>
      <c r="B9905" s="4" t="s">
        <v>9929</v>
      </c>
      <c r="C9905" s="3" t="s">
        <v>6</v>
      </c>
      <c r="D9905" s="5">
        <f t="shared" si="310"/>
        <v>19.62</v>
      </c>
      <c r="E9905">
        <v>21.54</v>
      </c>
      <c r="F9905" s="1789">
        <v>8.8999999999999996E-2</v>
      </c>
      <c r="G9905">
        <f t="shared" si="311"/>
        <v>19.62</v>
      </c>
    </row>
    <row r="9906" spans="1:7" ht="12.75" customHeight="1">
      <c r="A9906" s="3">
        <v>105149</v>
      </c>
      <c r="B9906" s="4" t="s">
        <v>9930</v>
      </c>
      <c r="C9906" s="3" t="s">
        <v>6</v>
      </c>
      <c r="D9906" s="5">
        <f t="shared" si="310"/>
        <v>6.22</v>
      </c>
      <c r="E9906">
        <v>6.83</v>
      </c>
      <c r="F9906" s="1789">
        <v>8.8999999999999996E-2</v>
      </c>
      <c r="G9906">
        <f t="shared" si="311"/>
        <v>6.22</v>
      </c>
    </row>
    <row r="9907" spans="1:7" ht="12.75" customHeight="1">
      <c r="A9907" s="3">
        <v>105150</v>
      </c>
      <c r="B9907" s="4" t="s">
        <v>9931</v>
      </c>
      <c r="C9907" s="3" t="s">
        <v>6</v>
      </c>
      <c r="D9907" s="5">
        <f t="shared" si="310"/>
        <v>7.37</v>
      </c>
      <c r="E9907">
        <v>8.1</v>
      </c>
      <c r="F9907" s="1789">
        <v>8.8999999999999996E-2</v>
      </c>
      <c r="G9907">
        <f t="shared" si="311"/>
        <v>7.37</v>
      </c>
    </row>
    <row r="9908" spans="1:7" ht="12.75" customHeight="1">
      <c r="A9908" s="3">
        <v>105151</v>
      </c>
      <c r="B9908" s="4" t="s">
        <v>9932</v>
      </c>
      <c r="C9908" s="3" t="s">
        <v>6</v>
      </c>
      <c r="D9908" s="5">
        <f t="shared" si="310"/>
        <v>19.27</v>
      </c>
      <c r="E9908">
        <v>21.16</v>
      </c>
      <c r="F9908" s="1789">
        <v>8.8999999999999996E-2</v>
      </c>
      <c r="G9908">
        <f t="shared" si="311"/>
        <v>19.27</v>
      </c>
    </row>
    <row r="9909" spans="1:7" ht="12.75" customHeight="1">
      <c r="A9909" s="3">
        <v>105152</v>
      </c>
      <c r="B9909" s="4" t="s">
        <v>9933</v>
      </c>
      <c r="C9909" s="3" t="s">
        <v>6</v>
      </c>
      <c r="D9909" s="5">
        <f t="shared" si="310"/>
        <v>28.96</v>
      </c>
      <c r="E9909">
        <v>31.79</v>
      </c>
      <c r="F9909" s="1789">
        <v>8.8999999999999996E-2</v>
      </c>
      <c r="G9909">
        <f t="shared" si="311"/>
        <v>28.96</v>
      </c>
    </row>
    <row r="9910" spans="1:7" ht="12.75" customHeight="1">
      <c r="A9910" s="3">
        <v>105154</v>
      </c>
      <c r="B9910" s="4" t="s">
        <v>9934</v>
      </c>
      <c r="C9910" s="3" t="s">
        <v>6</v>
      </c>
      <c r="D9910" s="5">
        <f t="shared" si="310"/>
        <v>5.48</v>
      </c>
      <c r="E9910">
        <v>6.02</v>
      </c>
      <c r="F9910" s="1789">
        <v>8.8999999999999996E-2</v>
      </c>
      <c r="G9910">
        <f t="shared" si="311"/>
        <v>5.48</v>
      </c>
    </row>
    <row r="9911" spans="1:7" ht="12.75" customHeight="1">
      <c r="A9911" s="3">
        <v>105155</v>
      </c>
      <c r="B9911" s="4" t="s">
        <v>9935</v>
      </c>
      <c r="C9911" s="3" t="s">
        <v>6</v>
      </c>
      <c r="D9911" s="5">
        <f t="shared" si="310"/>
        <v>8.1999999999999993</v>
      </c>
      <c r="E9911">
        <v>9.01</v>
      </c>
      <c r="F9911" s="1789">
        <v>8.8999999999999996E-2</v>
      </c>
      <c r="G9911">
        <f t="shared" si="311"/>
        <v>8.1999999999999993</v>
      </c>
    </row>
    <row r="9912" spans="1:7" ht="12.75" customHeight="1">
      <c r="A9912" s="3">
        <v>105156</v>
      </c>
      <c r="B9912" s="4" t="s">
        <v>9936</v>
      </c>
      <c r="C9912" s="3" t="s">
        <v>6</v>
      </c>
      <c r="D9912" s="5">
        <f t="shared" si="310"/>
        <v>10.44</v>
      </c>
      <c r="E9912">
        <v>11.47</v>
      </c>
      <c r="F9912" s="1789">
        <v>8.8999999999999996E-2</v>
      </c>
      <c r="G9912">
        <f t="shared" si="311"/>
        <v>10.44</v>
      </c>
    </row>
    <row r="9913" spans="1:7" ht="12.75" customHeight="1">
      <c r="A9913" s="3">
        <v>105157</v>
      </c>
      <c r="B9913" s="4" t="s">
        <v>9937</v>
      </c>
      <c r="C9913" s="3" t="s">
        <v>6</v>
      </c>
      <c r="D9913" s="5">
        <f t="shared" si="310"/>
        <v>16.100000000000001</v>
      </c>
      <c r="E9913">
        <v>17.68</v>
      </c>
      <c r="F9913" s="1789">
        <v>8.8999999999999996E-2</v>
      </c>
      <c r="G9913">
        <f t="shared" si="311"/>
        <v>16.100000000000001</v>
      </c>
    </row>
    <row r="9914" spans="1:7" ht="12.75" customHeight="1">
      <c r="A9914" s="3">
        <v>105158</v>
      </c>
      <c r="B9914" s="4" t="s">
        <v>9938</v>
      </c>
      <c r="C9914" s="3" t="s">
        <v>6</v>
      </c>
      <c r="D9914" s="5">
        <f t="shared" si="310"/>
        <v>23.6</v>
      </c>
      <c r="E9914">
        <v>25.91</v>
      </c>
      <c r="F9914" s="1789">
        <v>8.8999999999999996E-2</v>
      </c>
      <c r="G9914">
        <f t="shared" si="311"/>
        <v>23.6</v>
      </c>
    </row>
    <row r="9915" spans="1:7" ht="12.75" customHeight="1">
      <c r="A9915" s="3">
        <v>105159</v>
      </c>
      <c r="B9915" s="4" t="s">
        <v>9939</v>
      </c>
      <c r="C9915" s="3" t="s">
        <v>6</v>
      </c>
      <c r="D9915" s="5">
        <f t="shared" si="310"/>
        <v>41.83</v>
      </c>
      <c r="E9915">
        <v>45.92</v>
      </c>
      <c r="F9915" s="1789">
        <v>8.8999999999999996E-2</v>
      </c>
      <c r="G9915">
        <f t="shared" si="311"/>
        <v>41.83</v>
      </c>
    </row>
    <row r="9916" spans="1:7" ht="12.75" customHeight="1">
      <c r="A9916" s="3">
        <v>105160</v>
      </c>
      <c r="B9916" s="4" t="s">
        <v>9940</v>
      </c>
      <c r="C9916" s="3" t="s">
        <v>6</v>
      </c>
      <c r="D9916" s="5">
        <f t="shared" si="310"/>
        <v>51.64</v>
      </c>
      <c r="E9916">
        <v>56.69</v>
      </c>
      <c r="F9916" s="1789">
        <v>8.8999999999999996E-2</v>
      </c>
      <c r="G9916">
        <f t="shared" si="311"/>
        <v>51.64</v>
      </c>
    </row>
    <row r="9917" spans="1:7" ht="12.75" customHeight="1">
      <c r="A9917" s="3">
        <v>105161</v>
      </c>
      <c r="B9917" s="4" t="s">
        <v>9941</v>
      </c>
      <c r="C9917" s="3" t="s">
        <v>6</v>
      </c>
      <c r="D9917" s="5">
        <f t="shared" si="310"/>
        <v>83.83</v>
      </c>
      <c r="E9917">
        <v>92.02</v>
      </c>
      <c r="F9917" s="1789">
        <v>8.8999999999999996E-2</v>
      </c>
      <c r="G9917">
        <f t="shared" si="311"/>
        <v>83.83</v>
      </c>
    </row>
    <row r="9918" spans="1:7" ht="12.75" customHeight="1">
      <c r="A9918" s="3">
        <v>105162</v>
      </c>
      <c r="B9918" s="4" t="s">
        <v>9942</v>
      </c>
      <c r="C9918" s="3" t="s">
        <v>6</v>
      </c>
      <c r="D9918" s="5">
        <f t="shared" si="310"/>
        <v>144.12</v>
      </c>
      <c r="E9918">
        <v>158.21</v>
      </c>
      <c r="F9918" s="1789">
        <v>8.8999999999999996E-2</v>
      </c>
      <c r="G9918">
        <f t="shared" si="311"/>
        <v>144.12</v>
      </c>
    </row>
    <row r="9919" spans="1:7" ht="12.75" customHeight="1">
      <c r="A9919" s="3">
        <v>105163</v>
      </c>
      <c r="B9919" s="4" t="s">
        <v>9943</v>
      </c>
      <c r="C9919" s="3" t="s">
        <v>6</v>
      </c>
      <c r="D9919" s="5">
        <f t="shared" si="310"/>
        <v>11.95</v>
      </c>
      <c r="E9919">
        <v>13.12</v>
      </c>
      <c r="F9919" s="1789">
        <v>8.8999999999999996E-2</v>
      </c>
      <c r="G9919">
        <f t="shared" si="311"/>
        <v>11.95</v>
      </c>
    </row>
    <row r="9920" spans="1:7" ht="12.75" customHeight="1">
      <c r="A9920" s="3">
        <v>105164</v>
      </c>
      <c r="B9920" s="4" t="s">
        <v>9944</v>
      </c>
      <c r="C9920" s="3" t="s">
        <v>6</v>
      </c>
      <c r="D9920" s="5">
        <f t="shared" si="310"/>
        <v>9</v>
      </c>
      <c r="E9920">
        <v>9.8800000000000008</v>
      </c>
      <c r="F9920" s="1789">
        <v>8.8999999999999996E-2</v>
      </c>
      <c r="G9920">
        <f t="shared" si="311"/>
        <v>9</v>
      </c>
    </row>
    <row r="9921" spans="1:7" ht="12.75" customHeight="1">
      <c r="A9921" s="3">
        <v>105165</v>
      </c>
      <c r="B9921" s="4" t="s">
        <v>9945</v>
      </c>
      <c r="C9921" s="3" t="s">
        <v>6</v>
      </c>
      <c r="D9921" s="5">
        <f t="shared" si="310"/>
        <v>9.11</v>
      </c>
      <c r="E9921">
        <v>10</v>
      </c>
      <c r="F9921" s="1789">
        <v>8.8999999999999996E-2</v>
      </c>
      <c r="G9921">
        <f t="shared" si="311"/>
        <v>9.11</v>
      </c>
    </row>
    <row r="9922" spans="1:7" ht="12.75" customHeight="1">
      <c r="A9922" s="3">
        <v>105166</v>
      </c>
      <c r="B9922" s="4" t="s">
        <v>9946</v>
      </c>
      <c r="C9922" s="3" t="s">
        <v>6</v>
      </c>
      <c r="D9922" s="5">
        <f t="shared" si="310"/>
        <v>32.630000000000003</v>
      </c>
      <c r="E9922">
        <v>35.82</v>
      </c>
      <c r="F9922" s="1789">
        <v>8.8999999999999996E-2</v>
      </c>
      <c r="G9922">
        <f t="shared" si="311"/>
        <v>32.630000000000003</v>
      </c>
    </row>
    <row r="9923" spans="1:7" ht="12.75" customHeight="1">
      <c r="A9923" s="3">
        <v>105167</v>
      </c>
      <c r="B9923" s="4" t="s">
        <v>9947</v>
      </c>
      <c r="C9923" s="3" t="s">
        <v>6</v>
      </c>
      <c r="D9923" s="5">
        <f t="shared" si="310"/>
        <v>186.69</v>
      </c>
      <c r="E9923">
        <v>204.93</v>
      </c>
      <c r="F9923" s="1789">
        <v>8.8999999999999996E-2</v>
      </c>
      <c r="G9923">
        <f t="shared" si="311"/>
        <v>186.69</v>
      </c>
    </row>
    <row r="9924" spans="1:7" ht="12.75" customHeight="1">
      <c r="A9924" s="3">
        <v>105169</v>
      </c>
      <c r="B9924" s="4" t="s">
        <v>9948</v>
      </c>
      <c r="C9924" s="3" t="s">
        <v>6</v>
      </c>
      <c r="D9924" s="5">
        <f t="shared" si="310"/>
        <v>65.150000000000006</v>
      </c>
      <c r="E9924">
        <v>71.52</v>
      </c>
      <c r="F9924" s="1789">
        <v>8.8999999999999996E-2</v>
      </c>
      <c r="G9924">
        <f t="shared" si="311"/>
        <v>65.150000000000006</v>
      </c>
    </row>
    <row r="9925" spans="1:7" ht="12.75" customHeight="1">
      <c r="A9925" s="3">
        <v>105170</v>
      </c>
      <c r="B9925" s="4" t="s">
        <v>9949</v>
      </c>
      <c r="C9925" s="3" t="s">
        <v>6</v>
      </c>
      <c r="D9925" s="5">
        <f t="shared" si="310"/>
        <v>4.7300000000000004</v>
      </c>
      <c r="E9925">
        <v>5.2</v>
      </c>
      <c r="F9925" s="1789">
        <v>8.8999999999999996E-2</v>
      </c>
      <c r="G9925">
        <f t="shared" si="311"/>
        <v>4.7300000000000004</v>
      </c>
    </row>
    <row r="9926" spans="1:7" ht="12.75" customHeight="1">
      <c r="A9926" s="3">
        <v>105172</v>
      </c>
      <c r="B9926" s="4" t="s">
        <v>9950</v>
      </c>
      <c r="C9926" s="3" t="s">
        <v>6</v>
      </c>
      <c r="D9926" s="5">
        <f t="shared" si="310"/>
        <v>65.09</v>
      </c>
      <c r="E9926">
        <v>71.45</v>
      </c>
      <c r="F9926" s="1789">
        <v>8.8999999999999996E-2</v>
      </c>
      <c r="G9926">
        <f t="shared" si="311"/>
        <v>65.09</v>
      </c>
    </row>
    <row r="9927" spans="1:7" ht="12.75" customHeight="1">
      <c r="A9927" s="3">
        <v>105173</v>
      </c>
      <c r="B9927" s="4" t="s">
        <v>9951</v>
      </c>
      <c r="C9927" s="3" t="s">
        <v>6</v>
      </c>
      <c r="D9927" s="5">
        <f t="shared" si="310"/>
        <v>65.510000000000005</v>
      </c>
      <c r="E9927">
        <v>71.91</v>
      </c>
      <c r="F9927" s="1789">
        <v>8.8999999999999996E-2</v>
      </c>
      <c r="G9927">
        <f t="shared" si="311"/>
        <v>65.510000000000005</v>
      </c>
    </row>
    <row r="9928" spans="1:7" ht="12.75" customHeight="1">
      <c r="A9928" s="3">
        <v>105174</v>
      </c>
      <c r="B9928" s="4" t="s">
        <v>9952</v>
      </c>
      <c r="C9928" s="3" t="s">
        <v>6</v>
      </c>
      <c r="D9928" s="5">
        <f t="shared" si="310"/>
        <v>94.62</v>
      </c>
      <c r="E9928">
        <v>103.87</v>
      </c>
      <c r="F9928" s="1789">
        <v>8.8999999999999996E-2</v>
      </c>
      <c r="G9928">
        <f t="shared" si="311"/>
        <v>94.62</v>
      </c>
    </row>
    <row r="9929" spans="1:7" ht="12.75" customHeight="1">
      <c r="A9929" s="3">
        <v>105175</v>
      </c>
      <c r="B9929" s="4" t="s">
        <v>9953</v>
      </c>
      <c r="C9929" s="3" t="s">
        <v>6</v>
      </c>
      <c r="D9929" s="5">
        <f t="shared" si="310"/>
        <v>93.44</v>
      </c>
      <c r="E9929">
        <v>102.57</v>
      </c>
      <c r="F9929" s="1789">
        <v>8.8999999999999996E-2</v>
      </c>
      <c r="G9929">
        <f t="shared" si="311"/>
        <v>93.44</v>
      </c>
    </row>
    <row r="9930" spans="1:7" ht="12.75" customHeight="1">
      <c r="A9930" s="3">
        <v>105176</v>
      </c>
      <c r="B9930" s="4" t="s">
        <v>9954</v>
      </c>
      <c r="C9930" s="3" t="s">
        <v>6</v>
      </c>
      <c r="D9930" s="5">
        <f t="shared" si="310"/>
        <v>118.17</v>
      </c>
      <c r="E9930">
        <v>129.72</v>
      </c>
      <c r="F9930" s="1789">
        <v>8.8999999999999996E-2</v>
      </c>
      <c r="G9930">
        <f t="shared" si="311"/>
        <v>118.17</v>
      </c>
    </row>
    <row r="9931" spans="1:7" ht="12.75" customHeight="1">
      <c r="A9931" s="3">
        <v>105177</v>
      </c>
      <c r="B9931" s="4" t="s">
        <v>9955</v>
      </c>
      <c r="C9931" s="3" t="s">
        <v>6</v>
      </c>
      <c r="D9931" s="5">
        <f t="shared" si="310"/>
        <v>105.23</v>
      </c>
      <c r="E9931">
        <v>115.52</v>
      </c>
      <c r="F9931" s="1789">
        <v>8.8999999999999996E-2</v>
      </c>
      <c r="G9931">
        <f t="shared" si="311"/>
        <v>105.23</v>
      </c>
    </row>
    <row r="9932" spans="1:7" ht="12.75" customHeight="1">
      <c r="A9932" s="3">
        <v>105178</v>
      </c>
      <c r="B9932" s="4" t="s">
        <v>9956</v>
      </c>
      <c r="C9932" s="3" t="s">
        <v>6</v>
      </c>
      <c r="D9932" s="5">
        <f t="shared" si="310"/>
        <v>101.79</v>
      </c>
      <c r="E9932">
        <v>111.74</v>
      </c>
      <c r="F9932" s="1789">
        <v>8.8999999999999996E-2</v>
      </c>
      <c r="G9932">
        <f t="shared" si="311"/>
        <v>101.79</v>
      </c>
    </row>
    <row r="9933" spans="1:7" ht="12.75" customHeight="1">
      <c r="A9933" s="3">
        <v>105179</v>
      </c>
      <c r="B9933" s="4" t="s">
        <v>9957</v>
      </c>
      <c r="C9933" s="3" t="s">
        <v>6</v>
      </c>
      <c r="D9933" s="5">
        <f t="shared" si="310"/>
        <v>7.95</v>
      </c>
      <c r="E9933">
        <v>8.73</v>
      </c>
      <c r="F9933" s="1789">
        <v>8.8999999999999996E-2</v>
      </c>
      <c r="G9933">
        <f t="shared" si="311"/>
        <v>7.95</v>
      </c>
    </row>
    <row r="9934" spans="1:7" ht="12.75" customHeight="1">
      <c r="A9934" s="3">
        <v>105180</v>
      </c>
      <c r="B9934" s="4" t="s">
        <v>9958</v>
      </c>
      <c r="C9934" s="3" t="s">
        <v>6</v>
      </c>
      <c r="D9934" s="5">
        <f t="shared" si="310"/>
        <v>10.86</v>
      </c>
      <c r="E9934">
        <v>11.93</v>
      </c>
      <c r="F9934" s="1789">
        <v>8.8999999999999996E-2</v>
      </c>
      <c r="G9934">
        <f t="shared" si="311"/>
        <v>10.86</v>
      </c>
    </row>
    <row r="9935" spans="1:7" ht="12.75" customHeight="1">
      <c r="A9935" s="3">
        <v>105181</v>
      </c>
      <c r="B9935" s="4" t="s">
        <v>9959</v>
      </c>
      <c r="C9935" s="3" t="s">
        <v>6</v>
      </c>
      <c r="D9935" s="5">
        <f t="shared" si="310"/>
        <v>14.7</v>
      </c>
      <c r="E9935">
        <v>16.14</v>
      </c>
      <c r="F9935" s="1789">
        <v>8.8999999999999996E-2</v>
      </c>
      <c r="G9935">
        <f t="shared" si="311"/>
        <v>14.7</v>
      </c>
    </row>
    <row r="9936" spans="1:7" ht="12.75" customHeight="1">
      <c r="A9936" s="3">
        <v>105182</v>
      </c>
      <c r="B9936" s="4" t="s">
        <v>9960</v>
      </c>
      <c r="C9936" s="3" t="s">
        <v>6</v>
      </c>
      <c r="D9936" s="5">
        <f t="shared" si="310"/>
        <v>33.17</v>
      </c>
      <c r="E9936">
        <v>36.42</v>
      </c>
      <c r="F9936" s="1789">
        <v>8.8999999999999996E-2</v>
      </c>
      <c r="G9936">
        <f t="shared" si="311"/>
        <v>33.17</v>
      </c>
    </row>
    <row r="9937" spans="1:7" ht="12.75" customHeight="1">
      <c r="A9937" s="3">
        <v>105183</v>
      </c>
      <c r="B9937" s="4" t="s">
        <v>9961</v>
      </c>
      <c r="C9937" s="3" t="s">
        <v>6</v>
      </c>
      <c r="D9937" s="5">
        <f t="shared" si="310"/>
        <v>68.66</v>
      </c>
      <c r="E9937">
        <v>75.37</v>
      </c>
      <c r="F9937" s="1789">
        <v>8.8999999999999996E-2</v>
      </c>
      <c r="G9937">
        <f t="shared" si="311"/>
        <v>68.66</v>
      </c>
    </row>
    <row r="9938" spans="1:7" ht="12.75" customHeight="1">
      <c r="A9938" s="3">
        <v>105184</v>
      </c>
      <c r="B9938" s="4" t="s">
        <v>9962</v>
      </c>
      <c r="C9938" s="3" t="s">
        <v>6</v>
      </c>
      <c r="D9938" s="5">
        <f t="shared" si="310"/>
        <v>85.08</v>
      </c>
      <c r="E9938">
        <v>93.4</v>
      </c>
      <c r="F9938" s="1789">
        <v>8.8999999999999996E-2</v>
      </c>
      <c r="G9938">
        <f t="shared" si="311"/>
        <v>85.08</v>
      </c>
    </row>
    <row r="9939" spans="1:7" ht="12.75" customHeight="1">
      <c r="A9939" s="3">
        <v>105189</v>
      </c>
      <c r="B9939" s="4" t="s">
        <v>9963</v>
      </c>
      <c r="C9939" s="3" t="s">
        <v>6</v>
      </c>
      <c r="D9939" s="5">
        <f t="shared" si="310"/>
        <v>17.809999999999999</v>
      </c>
      <c r="E9939">
        <v>19.55</v>
      </c>
      <c r="F9939" s="1789">
        <v>8.8999999999999996E-2</v>
      </c>
      <c r="G9939">
        <f t="shared" si="311"/>
        <v>17.809999999999999</v>
      </c>
    </row>
    <row r="9940" spans="1:7" ht="12.75" customHeight="1">
      <c r="A9940" s="3">
        <v>105190</v>
      </c>
      <c r="B9940" s="4" t="s">
        <v>9964</v>
      </c>
      <c r="C9940" s="3" t="s">
        <v>6</v>
      </c>
      <c r="D9940" s="5">
        <f t="shared" si="310"/>
        <v>21.96</v>
      </c>
      <c r="E9940">
        <v>24.11</v>
      </c>
      <c r="F9940" s="1789">
        <v>8.8999999999999996E-2</v>
      </c>
      <c r="G9940">
        <f t="shared" si="311"/>
        <v>21.96</v>
      </c>
    </row>
    <row r="9941" spans="1:7" ht="12.75" customHeight="1">
      <c r="A9941" s="3">
        <v>105193</v>
      </c>
      <c r="B9941" s="4" t="s">
        <v>9965</v>
      </c>
      <c r="C9941" s="3" t="s">
        <v>6</v>
      </c>
      <c r="D9941" s="5">
        <f t="shared" ref="D9941:D10004" si="312">G9941</f>
        <v>111.4</v>
      </c>
      <c r="E9941">
        <v>122.29</v>
      </c>
      <c r="F9941" s="1789">
        <v>8.8999999999999996E-2</v>
      </c>
      <c r="G9941">
        <f t="shared" ref="G9941:G10004" si="313">TRUNC((1-F9941)*E9941,2)</f>
        <v>111.4</v>
      </c>
    </row>
    <row r="9942" spans="1:7" ht="12.75" customHeight="1">
      <c r="A9942" s="3">
        <v>105194</v>
      </c>
      <c r="B9942" s="4" t="s">
        <v>9966</v>
      </c>
      <c r="C9942" s="3" t="s">
        <v>6</v>
      </c>
      <c r="D9942" s="5">
        <f t="shared" si="312"/>
        <v>63.57</v>
      </c>
      <c r="E9942">
        <v>69.790000000000006</v>
      </c>
      <c r="F9942" s="1789">
        <v>8.8999999999999996E-2</v>
      </c>
      <c r="G9942">
        <f t="shared" si="313"/>
        <v>63.57</v>
      </c>
    </row>
    <row r="9943" spans="1:7" ht="12.75" customHeight="1">
      <c r="A9943" s="3">
        <v>105195</v>
      </c>
      <c r="B9943" s="4" t="s">
        <v>9967</v>
      </c>
      <c r="C9943" s="3" t="s">
        <v>6</v>
      </c>
      <c r="D9943" s="5">
        <f t="shared" si="312"/>
        <v>161.31</v>
      </c>
      <c r="E9943">
        <v>177.08</v>
      </c>
      <c r="F9943" s="1789">
        <v>8.8999999999999996E-2</v>
      </c>
      <c r="G9943">
        <f t="shared" si="313"/>
        <v>161.31</v>
      </c>
    </row>
    <row r="9944" spans="1:7" ht="12.75" customHeight="1">
      <c r="A9944" s="3">
        <v>105196</v>
      </c>
      <c r="B9944" s="4" t="s">
        <v>9968</v>
      </c>
      <c r="C9944" s="3" t="s">
        <v>6</v>
      </c>
      <c r="D9944" s="5">
        <f t="shared" si="312"/>
        <v>171.83</v>
      </c>
      <c r="E9944">
        <v>188.62</v>
      </c>
      <c r="F9944" s="1789">
        <v>8.8999999999999996E-2</v>
      </c>
      <c r="G9944">
        <f t="shared" si="313"/>
        <v>171.83</v>
      </c>
    </row>
    <row r="9945" spans="1:7" ht="12.75" customHeight="1">
      <c r="A9945" s="3">
        <v>105197</v>
      </c>
      <c r="B9945" s="4" t="s">
        <v>9969</v>
      </c>
      <c r="C9945" s="3" t="s">
        <v>6</v>
      </c>
      <c r="D9945" s="5">
        <f t="shared" si="312"/>
        <v>118.59</v>
      </c>
      <c r="E9945">
        <v>130.18</v>
      </c>
      <c r="F9945" s="1789">
        <v>8.8999999999999996E-2</v>
      </c>
      <c r="G9945">
        <f t="shared" si="313"/>
        <v>118.59</v>
      </c>
    </row>
    <row r="9946" spans="1:7" ht="12.75" customHeight="1">
      <c r="A9946" s="3">
        <v>105198</v>
      </c>
      <c r="B9946" s="4" t="s">
        <v>9970</v>
      </c>
      <c r="C9946" s="3" t="s">
        <v>6</v>
      </c>
      <c r="D9946" s="5">
        <f t="shared" si="312"/>
        <v>243.36</v>
      </c>
      <c r="E9946">
        <v>267.14</v>
      </c>
      <c r="F9946" s="1789">
        <v>8.8999999999999996E-2</v>
      </c>
      <c r="G9946">
        <f t="shared" si="313"/>
        <v>243.36</v>
      </c>
    </row>
    <row r="9947" spans="1:7" ht="12.75" customHeight="1">
      <c r="A9947" s="3">
        <v>105199</v>
      </c>
      <c r="B9947" s="4" t="s">
        <v>9971</v>
      </c>
      <c r="C9947" s="3" t="s">
        <v>6</v>
      </c>
      <c r="D9947" s="5">
        <f t="shared" si="312"/>
        <v>156.30000000000001</v>
      </c>
      <c r="E9947">
        <v>171.58</v>
      </c>
      <c r="F9947" s="1789">
        <v>8.8999999999999996E-2</v>
      </c>
      <c r="G9947">
        <f t="shared" si="313"/>
        <v>156.30000000000001</v>
      </c>
    </row>
    <row r="9948" spans="1:7" ht="12.75" customHeight="1">
      <c r="A9948" s="3">
        <v>105200</v>
      </c>
      <c r="B9948" s="4" t="s">
        <v>9972</v>
      </c>
      <c r="C9948" s="3" t="s">
        <v>6</v>
      </c>
      <c r="D9948" s="5">
        <f t="shared" si="312"/>
        <v>93.83</v>
      </c>
      <c r="E9948">
        <v>103</v>
      </c>
      <c r="F9948" s="1789">
        <v>8.8999999999999996E-2</v>
      </c>
      <c r="G9948">
        <f t="shared" si="313"/>
        <v>93.83</v>
      </c>
    </row>
    <row r="9949" spans="1:7" ht="12.75" customHeight="1">
      <c r="A9949" s="3">
        <v>105201</v>
      </c>
      <c r="B9949" s="4" t="s">
        <v>9973</v>
      </c>
      <c r="C9949" s="3" t="s">
        <v>6</v>
      </c>
      <c r="D9949" s="5">
        <f t="shared" si="312"/>
        <v>213.62</v>
      </c>
      <c r="E9949">
        <v>234.49</v>
      </c>
      <c r="F9949" s="1789">
        <v>8.8999999999999996E-2</v>
      </c>
      <c r="G9949">
        <f t="shared" si="313"/>
        <v>213.62</v>
      </c>
    </row>
    <row r="9950" spans="1:7" ht="12.75" customHeight="1">
      <c r="A9950" s="3">
        <v>105202</v>
      </c>
      <c r="B9950" s="4" t="s">
        <v>9974</v>
      </c>
      <c r="C9950" s="3" t="s">
        <v>6</v>
      </c>
      <c r="D9950" s="5">
        <f t="shared" si="312"/>
        <v>193.42</v>
      </c>
      <c r="E9950">
        <v>212.32</v>
      </c>
      <c r="F9950" s="1789">
        <v>8.8999999999999996E-2</v>
      </c>
      <c r="G9950">
        <f t="shared" si="313"/>
        <v>193.42</v>
      </c>
    </row>
    <row r="9951" spans="1:7" ht="12.75" customHeight="1">
      <c r="A9951" s="3">
        <v>105203</v>
      </c>
      <c r="B9951" s="4" t="s">
        <v>9975</v>
      </c>
      <c r="C9951" s="3" t="s">
        <v>6</v>
      </c>
      <c r="D9951" s="5">
        <f t="shared" si="312"/>
        <v>118.07</v>
      </c>
      <c r="E9951">
        <v>129.61000000000001</v>
      </c>
      <c r="F9951" s="1789">
        <v>8.8999999999999996E-2</v>
      </c>
      <c r="G9951">
        <f t="shared" si="313"/>
        <v>118.07</v>
      </c>
    </row>
    <row r="9952" spans="1:7" ht="12.75" customHeight="1">
      <c r="A9952" s="3">
        <v>105204</v>
      </c>
      <c r="B9952" s="4" t="s">
        <v>9976</v>
      </c>
      <c r="C9952" s="3" t="s">
        <v>6</v>
      </c>
      <c r="D9952" s="5">
        <f t="shared" si="312"/>
        <v>257.04000000000002</v>
      </c>
      <c r="E9952">
        <v>282.16000000000003</v>
      </c>
      <c r="F9952" s="1789">
        <v>8.8999999999999996E-2</v>
      </c>
      <c r="G9952">
        <f t="shared" si="313"/>
        <v>257.04000000000002</v>
      </c>
    </row>
    <row r="9953" spans="1:7" ht="12.75" customHeight="1">
      <c r="A9953" s="3">
        <v>105205</v>
      </c>
      <c r="B9953" s="4" t="s">
        <v>9977</v>
      </c>
      <c r="C9953" s="3" t="s">
        <v>6</v>
      </c>
      <c r="D9953" s="5">
        <f t="shared" si="312"/>
        <v>178.78</v>
      </c>
      <c r="E9953">
        <v>196.25</v>
      </c>
      <c r="F9953" s="1789">
        <v>8.8999999999999996E-2</v>
      </c>
      <c r="G9953">
        <f t="shared" si="313"/>
        <v>178.78</v>
      </c>
    </row>
    <row r="9954" spans="1:7" ht="12.75" customHeight="1">
      <c r="A9954" s="3">
        <v>105206</v>
      </c>
      <c r="B9954" s="4" t="s">
        <v>9978</v>
      </c>
      <c r="C9954" s="3" t="s">
        <v>6</v>
      </c>
      <c r="D9954" s="5">
        <f t="shared" si="312"/>
        <v>112.58</v>
      </c>
      <c r="E9954">
        <v>123.58</v>
      </c>
      <c r="F9954" s="1789">
        <v>8.8999999999999996E-2</v>
      </c>
      <c r="G9954">
        <f t="shared" si="313"/>
        <v>112.58</v>
      </c>
    </row>
    <row r="9955" spans="1:7" ht="12.75" customHeight="1">
      <c r="A9955" s="3">
        <v>105207</v>
      </c>
      <c r="B9955" s="4" t="s">
        <v>9979</v>
      </c>
      <c r="C9955" s="3" t="s">
        <v>6</v>
      </c>
      <c r="D9955" s="5">
        <f t="shared" si="312"/>
        <v>249.72</v>
      </c>
      <c r="E9955">
        <v>274.12</v>
      </c>
      <c r="F9955" s="1789">
        <v>8.8999999999999996E-2</v>
      </c>
      <c r="G9955">
        <f t="shared" si="313"/>
        <v>249.72</v>
      </c>
    </row>
    <row r="9956" spans="1:7" ht="12.75" customHeight="1">
      <c r="A9956" s="3">
        <v>105208</v>
      </c>
      <c r="B9956" s="4" t="s">
        <v>9980</v>
      </c>
      <c r="C9956" s="3" t="s">
        <v>6</v>
      </c>
      <c r="D9956" s="5">
        <f t="shared" si="312"/>
        <v>235.09</v>
      </c>
      <c r="E9956">
        <v>258.06</v>
      </c>
      <c r="F9956" s="1789">
        <v>8.8999999999999996E-2</v>
      </c>
      <c r="G9956">
        <f t="shared" si="313"/>
        <v>235.09</v>
      </c>
    </row>
    <row r="9957" spans="1:7" ht="12.75" customHeight="1">
      <c r="A9957" s="3">
        <v>105209</v>
      </c>
      <c r="B9957" s="4" t="s">
        <v>9981</v>
      </c>
      <c r="C9957" s="3" t="s">
        <v>6</v>
      </c>
      <c r="D9957" s="5">
        <f t="shared" si="312"/>
        <v>114.88</v>
      </c>
      <c r="E9957">
        <v>126.11</v>
      </c>
      <c r="F9957" s="1789">
        <v>8.8999999999999996E-2</v>
      </c>
      <c r="G9957">
        <f t="shared" si="313"/>
        <v>114.88</v>
      </c>
    </row>
    <row r="9958" spans="1:7" ht="12.75" customHeight="1">
      <c r="A9958" s="3">
        <v>105210</v>
      </c>
      <c r="B9958" s="4" t="s">
        <v>9982</v>
      </c>
      <c r="C9958" s="3" t="s">
        <v>6</v>
      </c>
      <c r="D9958" s="5">
        <f t="shared" si="312"/>
        <v>303.27</v>
      </c>
      <c r="E9958">
        <v>332.9</v>
      </c>
      <c r="F9958" s="1789">
        <v>8.8999999999999996E-2</v>
      </c>
      <c r="G9958">
        <f t="shared" si="313"/>
        <v>303.27</v>
      </c>
    </row>
    <row r="9959" spans="1:7" ht="12.75" customHeight="1">
      <c r="A9959" s="3">
        <v>105211</v>
      </c>
      <c r="B9959" s="4" t="s">
        <v>9983</v>
      </c>
      <c r="C9959" s="3" t="s">
        <v>6</v>
      </c>
      <c r="D9959" s="5">
        <f t="shared" si="312"/>
        <v>180.53</v>
      </c>
      <c r="E9959">
        <v>198.17</v>
      </c>
      <c r="F9959" s="1789">
        <v>8.8999999999999996E-2</v>
      </c>
      <c r="G9959">
        <f t="shared" si="313"/>
        <v>180.53</v>
      </c>
    </row>
    <row r="9960" spans="1:7" ht="12.75" customHeight="1">
      <c r="A9960" s="3">
        <v>105212</v>
      </c>
      <c r="B9960" s="4" t="s">
        <v>9984</v>
      </c>
      <c r="C9960" s="3" t="s">
        <v>6</v>
      </c>
      <c r="D9960" s="5">
        <f t="shared" si="312"/>
        <v>178.97</v>
      </c>
      <c r="E9960">
        <v>196.46</v>
      </c>
      <c r="F9960" s="1789">
        <v>8.8999999999999996E-2</v>
      </c>
      <c r="G9960">
        <f t="shared" si="313"/>
        <v>178.97</v>
      </c>
    </row>
    <row r="9961" spans="1:7" ht="12.75" customHeight="1">
      <c r="A9961" s="3">
        <v>105213</v>
      </c>
      <c r="B9961" s="4" t="s">
        <v>9985</v>
      </c>
      <c r="C9961" s="3" t="s">
        <v>6</v>
      </c>
      <c r="D9961" s="5">
        <f t="shared" si="312"/>
        <v>163.12</v>
      </c>
      <c r="E9961">
        <v>179.06</v>
      </c>
      <c r="F9961" s="1789">
        <v>8.8999999999999996E-2</v>
      </c>
      <c r="G9961">
        <f t="shared" si="313"/>
        <v>163.12</v>
      </c>
    </row>
    <row r="9962" spans="1:7" ht="12.75" customHeight="1">
      <c r="A9962" s="3">
        <v>105214</v>
      </c>
      <c r="B9962" s="4" t="s">
        <v>9986</v>
      </c>
      <c r="C9962" s="3" t="s">
        <v>6</v>
      </c>
      <c r="D9962" s="5">
        <f t="shared" si="312"/>
        <v>36.6</v>
      </c>
      <c r="E9962">
        <v>40.18</v>
      </c>
      <c r="F9962" s="1789">
        <v>8.8999999999999996E-2</v>
      </c>
      <c r="G9962">
        <f t="shared" si="313"/>
        <v>36.6</v>
      </c>
    </row>
    <row r="9963" spans="1:7" ht="12.75" customHeight="1">
      <c r="A9963" s="3">
        <v>105215</v>
      </c>
      <c r="B9963" s="4" t="s">
        <v>9987</v>
      </c>
      <c r="C9963" s="3" t="s">
        <v>6</v>
      </c>
      <c r="D9963" s="5">
        <f t="shared" si="312"/>
        <v>8.58</v>
      </c>
      <c r="E9963">
        <v>9.42</v>
      </c>
      <c r="F9963" s="1789">
        <v>8.8999999999999996E-2</v>
      </c>
      <c r="G9963">
        <f t="shared" si="313"/>
        <v>8.58</v>
      </c>
    </row>
    <row r="9964" spans="1:7" ht="12.75" customHeight="1">
      <c r="A9964" s="3">
        <v>105216</v>
      </c>
      <c r="B9964" s="4" t="s">
        <v>9988</v>
      </c>
      <c r="C9964" s="3" t="s">
        <v>6</v>
      </c>
      <c r="D9964" s="5">
        <f t="shared" si="312"/>
        <v>31.04</v>
      </c>
      <c r="E9964">
        <v>34.08</v>
      </c>
      <c r="F9964" s="1789">
        <v>8.8999999999999996E-2</v>
      </c>
      <c r="G9964">
        <f t="shared" si="313"/>
        <v>31.04</v>
      </c>
    </row>
    <row r="9965" spans="1:7" ht="12.75" customHeight="1">
      <c r="A9965" s="3">
        <v>105217</v>
      </c>
      <c r="B9965" s="4" t="s">
        <v>9989</v>
      </c>
      <c r="C9965" s="3" t="s">
        <v>6</v>
      </c>
      <c r="D9965" s="5">
        <f t="shared" si="312"/>
        <v>34.89</v>
      </c>
      <c r="E9965">
        <v>38.299999999999997</v>
      </c>
      <c r="F9965" s="1789">
        <v>8.8999999999999996E-2</v>
      </c>
      <c r="G9965">
        <f t="shared" si="313"/>
        <v>34.89</v>
      </c>
    </row>
    <row r="9966" spans="1:7" ht="12.75" customHeight="1">
      <c r="A9966" s="3">
        <v>105218</v>
      </c>
      <c r="B9966" s="4" t="s">
        <v>9990</v>
      </c>
      <c r="C9966" s="3" t="s">
        <v>6</v>
      </c>
      <c r="D9966" s="5">
        <f t="shared" si="312"/>
        <v>60.29</v>
      </c>
      <c r="E9966">
        <v>66.19</v>
      </c>
      <c r="F9966" s="1789">
        <v>8.8999999999999996E-2</v>
      </c>
      <c r="G9966">
        <f t="shared" si="313"/>
        <v>60.29</v>
      </c>
    </row>
    <row r="9967" spans="1:7" ht="12.75" customHeight="1">
      <c r="A9967" s="3">
        <v>105219</v>
      </c>
      <c r="B9967" s="4" t="s">
        <v>9991</v>
      </c>
      <c r="C9967" s="3" t="s">
        <v>6</v>
      </c>
      <c r="D9967" s="5">
        <f t="shared" si="312"/>
        <v>10.28</v>
      </c>
      <c r="E9967">
        <v>11.29</v>
      </c>
      <c r="F9967" s="1789">
        <v>8.8999999999999996E-2</v>
      </c>
      <c r="G9967">
        <f t="shared" si="313"/>
        <v>10.28</v>
      </c>
    </row>
    <row r="9968" spans="1:7" ht="12.75" customHeight="1">
      <c r="A9968" s="3">
        <v>105220</v>
      </c>
      <c r="B9968" s="4" t="s">
        <v>9992</v>
      </c>
      <c r="C9968" s="3" t="s">
        <v>6</v>
      </c>
      <c r="D9968" s="5">
        <f t="shared" si="312"/>
        <v>14.12</v>
      </c>
      <c r="E9968">
        <v>15.51</v>
      </c>
      <c r="F9968" s="1789">
        <v>8.8999999999999996E-2</v>
      </c>
      <c r="G9968">
        <f t="shared" si="313"/>
        <v>14.12</v>
      </c>
    </row>
    <row r="9969" spans="1:8" ht="12.75" customHeight="1">
      <c r="A9969" s="3">
        <v>105221</v>
      </c>
      <c r="B9969" s="4" t="s">
        <v>9993</v>
      </c>
      <c r="C9969" s="3" t="s">
        <v>6</v>
      </c>
      <c r="D9969" s="5">
        <f t="shared" si="312"/>
        <v>21.6</v>
      </c>
      <c r="E9969">
        <v>23.72</v>
      </c>
      <c r="F9969" s="1789">
        <v>8.8999999999999996E-2</v>
      </c>
      <c r="G9969">
        <f t="shared" si="313"/>
        <v>21.6</v>
      </c>
    </row>
    <row r="9970" spans="1:8" ht="12.75" customHeight="1">
      <c r="A9970" s="3">
        <v>105222</v>
      </c>
      <c r="B9970" s="4" t="s">
        <v>9994</v>
      </c>
      <c r="C9970" s="3" t="s">
        <v>6</v>
      </c>
      <c r="D9970" s="5">
        <f t="shared" si="312"/>
        <v>61.28</v>
      </c>
      <c r="E9970">
        <v>67.27</v>
      </c>
      <c r="F9970" s="1789">
        <v>8.8999999999999996E-2</v>
      </c>
      <c r="G9970">
        <f t="shared" si="313"/>
        <v>61.28</v>
      </c>
    </row>
    <row r="9971" spans="1:8" ht="12.75" customHeight="1">
      <c r="A9971" s="3">
        <v>105223</v>
      </c>
      <c r="B9971" s="4" t="s">
        <v>9995</v>
      </c>
      <c r="C9971" s="3" t="s">
        <v>6</v>
      </c>
      <c r="D9971" s="5">
        <f t="shared" si="312"/>
        <v>139.58000000000001</v>
      </c>
      <c r="E9971">
        <v>153.22</v>
      </c>
      <c r="F9971" s="1789">
        <v>8.8999999999999996E-2</v>
      </c>
      <c r="G9971">
        <f t="shared" si="313"/>
        <v>139.58000000000001</v>
      </c>
    </row>
    <row r="9972" spans="1:8" ht="12.75" customHeight="1">
      <c r="A9972" s="3">
        <v>105224</v>
      </c>
      <c r="B9972" s="4" t="s">
        <v>9996</v>
      </c>
      <c r="C9972" s="3" t="s">
        <v>6</v>
      </c>
      <c r="D9972" s="5">
        <f t="shared" si="312"/>
        <v>203.69</v>
      </c>
      <c r="E9972">
        <v>223.6</v>
      </c>
      <c r="F9972" s="1789">
        <v>8.8999999999999996E-2</v>
      </c>
      <c r="G9972">
        <f t="shared" si="313"/>
        <v>203.69</v>
      </c>
    </row>
    <row r="9973" spans="1:8" ht="12.75" customHeight="1">
      <c r="A9973" s="3">
        <v>105225</v>
      </c>
      <c r="B9973" s="4" t="s">
        <v>9997</v>
      </c>
      <c r="C9973" s="3" t="s">
        <v>6</v>
      </c>
      <c r="D9973" s="5">
        <f t="shared" si="312"/>
        <v>15.45</v>
      </c>
      <c r="E9973">
        <v>16.96</v>
      </c>
      <c r="F9973" s="1789">
        <v>8.8999999999999996E-2</v>
      </c>
      <c r="G9973">
        <f t="shared" si="313"/>
        <v>15.45</v>
      </c>
    </row>
    <row r="9974" spans="1:8" ht="12.75" customHeight="1">
      <c r="A9974" s="3">
        <v>105226</v>
      </c>
      <c r="B9974" s="4" t="s">
        <v>9998</v>
      </c>
      <c r="C9974" s="3" t="s">
        <v>6</v>
      </c>
      <c r="D9974" s="5">
        <f t="shared" si="312"/>
        <v>35.49</v>
      </c>
      <c r="E9974">
        <v>38.96</v>
      </c>
      <c r="F9974" s="1789">
        <v>8.8999999999999996E-2</v>
      </c>
      <c r="G9974">
        <f t="shared" si="313"/>
        <v>35.49</v>
      </c>
    </row>
    <row r="9975" spans="1:8" ht="12.75" customHeight="1">
      <c r="A9975" s="3">
        <v>105227</v>
      </c>
      <c r="B9975" s="4" t="s">
        <v>9999</v>
      </c>
      <c r="C9975" s="3" t="s">
        <v>6</v>
      </c>
      <c r="D9975" s="5">
        <f t="shared" si="312"/>
        <v>50.62</v>
      </c>
      <c r="E9975">
        <v>55.57</v>
      </c>
      <c r="F9975" s="1789">
        <v>8.8999999999999996E-2</v>
      </c>
      <c r="G9975">
        <f t="shared" si="313"/>
        <v>50.62</v>
      </c>
    </row>
    <row r="9976" spans="1:8" ht="12.75" customHeight="1">
      <c r="A9976" s="3">
        <v>105228</v>
      </c>
      <c r="B9976" s="4" t="s">
        <v>10000</v>
      </c>
      <c r="C9976" s="3" t="s">
        <v>6</v>
      </c>
      <c r="D9976" s="5">
        <f t="shared" si="312"/>
        <v>9.74</v>
      </c>
      <c r="E9976">
        <v>10.7</v>
      </c>
      <c r="F9976" s="1789">
        <v>8.8999999999999996E-2</v>
      </c>
      <c r="G9976">
        <f t="shared" si="313"/>
        <v>9.74</v>
      </c>
    </row>
    <row r="9977" spans="1:8" ht="12.75" customHeight="1">
      <c r="A9977" s="3">
        <v>105229</v>
      </c>
      <c r="B9977" s="4" t="s">
        <v>10001</v>
      </c>
      <c r="C9977" s="3" t="s">
        <v>6</v>
      </c>
      <c r="D9977" s="5">
        <f t="shared" si="312"/>
        <v>24.54</v>
      </c>
      <c r="E9977">
        <v>26.94</v>
      </c>
      <c r="F9977" s="1789">
        <v>8.8999999999999996E-2</v>
      </c>
      <c r="G9977">
        <f t="shared" si="313"/>
        <v>24.54</v>
      </c>
    </row>
    <row r="9978" spans="1:8" ht="12.75" customHeight="1">
      <c r="A9978" s="3">
        <v>105230</v>
      </c>
      <c r="B9978" s="4" t="s">
        <v>10002</v>
      </c>
      <c r="C9978" s="3" t="s">
        <v>6</v>
      </c>
      <c r="D9978" s="5">
        <f t="shared" si="312"/>
        <v>6.68</v>
      </c>
      <c r="E9978">
        <v>7.34</v>
      </c>
      <c r="F9978" s="1789">
        <v>8.8999999999999996E-2</v>
      </c>
      <c r="G9978">
        <f t="shared" si="313"/>
        <v>6.68</v>
      </c>
    </row>
    <row r="9979" spans="1:8" ht="12.75" customHeight="1">
      <c r="A9979" s="3">
        <v>105231</v>
      </c>
      <c r="B9979" s="4" t="s">
        <v>10003</v>
      </c>
      <c r="C9979" s="3" t="s">
        <v>6</v>
      </c>
      <c r="D9979" s="5">
        <f t="shared" si="312"/>
        <v>7.85</v>
      </c>
      <c r="E9979">
        <v>8.6199999999999992</v>
      </c>
      <c r="F9979" s="1789">
        <v>8.8999999999999996E-2</v>
      </c>
      <c r="G9979">
        <f t="shared" si="313"/>
        <v>7.85</v>
      </c>
    </row>
    <row r="9980" spans="1:8" ht="12.75" customHeight="1">
      <c r="A9980" s="3">
        <v>105232</v>
      </c>
      <c r="B9980" s="4" t="s">
        <v>10004</v>
      </c>
      <c r="C9980" s="3" t="s">
        <v>6</v>
      </c>
      <c r="D9980" s="5">
        <f t="shared" si="312"/>
        <v>15.36</v>
      </c>
      <c r="E9980">
        <v>16.87</v>
      </c>
      <c r="F9980" s="1789">
        <v>8.8999999999999996E-2</v>
      </c>
      <c r="G9980">
        <f t="shared" si="313"/>
        <v>15.36</v>
      </c>
    </row>
    <row r="9981" spans="1:8" ht="12.75" customHeight="1">
      <c r="A9981" s="3">
        <v>105233</v>
      </c>
      <c r="B9981" s="4" t="s">
        <v>10005</v>
      </c>
      <c r="C9981" s="3" t="s">
        <v>6</v>
      </c>
      <c r="D9981" s="5">
        <f t="shared" si="312"/>
        <v>6.62</v>
      </c>
      <c r="E9981">
        <v>7.27</v>
      </c>
      <c r="F9981" s="1789">
        <v>8.8999999999999996E-2</v>
      </c>
      <c r="G9981">
        <f t="shared" si="313"/>
        <v>6.62</v>
      </c>
    </row>
    <row r="9982" spans="1:8" ht="12.75" customHeight="1">
      <c r="A9982" s="3">
        <v>105234</v>
      </c>
      <c r="B9982" s="4" t="s">
        <v>10006</v>
      </c>
      <c r="C9982" s="3" t="s">
        <v>6</v>
      </c>
      <c r="D9982" s="5">
        <f t="shared" si="312"/>
        <v>8.1199999999999992</v>
      </c>
      <c r="E9982">
        <v>8.92</v>
      </c>
      <c r="F9982" s="1789">
        <v>8.8999999999999996E-2</v>
      </c>
      <c r="G9982">
        <f t="shared" si="313"/>
        <v>8.1199999999999992</v>
      </c>
      <c r="H9982" s="1790" t="e">
        <f>'Medição '!#REF!</f>
        <v>#REF!</v>
      </c>
    </row>
    <row r="9983" spans="1:8" ht="12.75" customHeight="1">
      <c r="A9983" s="3">
        <v>97895</v>
      </c>
      <c r="B9983" s="4" t="s">
        <v>10007</v>
      </c>
      <c r="C9983" s="3" t="s">
        <v>6</v>
      </c>
      <c r="D9983" s="5">
        <f t="shared" si="312"/>
        <v>165</v>
      </c>
      <c r="E9983">
        <v>181.13</v>
      </c>
      <c r="F9983" s="1789">
        <v>8.8999999999999996E-2</v>
      </c>
      <c r="G9983">
        <f t="shared" si="313"/>
        <v>165</v>
      </c>
    </row>
    <row r="9984" spans="1:8" ht="12.75" customHeight="1">
      <c r="A9984" s="3">
        <v>97896</v>
      </c>
      <c r="B9984" s="4" t="s">
        <v>10008</v>
      </c>
      <c r="C9984" s="3" t="s">
        <v>6</v>
      </c>
      <c r="D9984" s="5">
        <f t="shared" si="312"/>
        <v>305.35000000000002</v>
      </c>
      <c r="E9984">
        <v>335.19</v>
      </c>
      <c r="F9984" s="1789">
        <v>8.8999999999999996E-2</v>
      </c>
      <c r="G9984">
        <f t="shared" si="313"/>
        <v>305.35000000000002</v>
      </c>
    </row>
    <row r="9985" spans="1:7" ht="12.75" customHeight="1">
      <c r="A9985" s="3">
        <v>97897</v>
      </c>
      <c r="B9985" s="4" t="s">
        <v>10009</v>
      </c>
      <c r="C9985" s="3" t="s">
        <v>6</v>
      </c>
      <c r="D9985" s="5">
        <f t="shared" si="312"/>
        <v>395.8</v>
      </c>
      <c r="E9985">
        <v>434.47</v>
      </c>
      <c r="F9985" s="1789">
        <v>8.8999999999999996E-2</v>
      </c>
      <c r="G9985">
        <f t="shared" si="313"/>
        <v>395.8</v>
      </c>
    </row>
    <row r="9986" spans="1:7" ht="12.75" customHeight="1">
      <c r="A9986" s="3">
        <v>97898</v>
      </c>
      <c r="B9986" s="4" t="s">
        <v>10010</v>
      </c>
      <c r="C9986" s="3" t="s">
        <v>6</v>
      </c>
      <c r="D9986" s="5">
        <f t="shared" si="312"/>
        <v>765.65</v>
      </c>
      <c r="E9986">
        <v>840.46</v>
      </c>
      <c r="F9986" s="1789">
        <v>8.8999999999999996E-2</v>
      </c>
      <c r="G9986">
        <f t="shared" si="313"/>
        <v>765.65</v>
      </c>
    </row>
    <row r="9987" spans="1:7" ht="12.75" customHeight="1">
      <c r="A9987" s="3">
        <v>97900</v>
      </c>
      <c r="B9987" s="4" t="s">
        <v>10011</v>
      </c>
      <c r="C9987" s="3" t="s">
        <v>6</v>
      </c>
      <c r="D9987" s="5">
        <f t="shared" si="312"/>
        <v>176.26</v>
      </c>
      <c r="E9987">
        <v>193.48</v>
      </c>
      <c r="F9987" s="1789">
        <v>8.8999999999999996E-2</v>
      </c>
      <c r="G9987">
        <f t="shared" si="313"/>
        <v>176.26</v>
      </c>
    </row>
    <row r="9988" spans="1:7" ht="12.75" customHeight="1">
      <c r="A9988" s="3">
        <v>97901</v>
      </c>
      <c r="B9988" s="4" t="s">
        <v>10012</v>
      </c>
      <c r="C9988" s="3" t="s">
        <v>6</v>
      </c>
      <c r="D9988" s="5">
        <f t="shared" si="312"/>
        <v>277.36</v>
      </c>
      <c r="E9988">
        <v>304.45999999999998</v>
      </c>
      <c r="F9988" s="1789">
        <v>8.8999999999999996E-2</v>
      </c>
      <c r="G9988">
        <f t="shared" si="313"/>
        <v>277.36</v>
      </c>
    </row>
    <row r="9989" spans="1:7" ht="12.75" customHeight="1">
      <c r="A9989" s="3">
        <v>97902</v>
      </c>
      <c r="B9989" s="4" t="s">
        <v>10013</v>
      </c>
      <c r="C9989" s="3" t="s">
        <v>6</v>
      </c>
      <c r="D9989" s="5">
        <f t="shared" si="312"/>
        <v>541.94000000000005</v>
      </c>
      <c r="E9989">
        <v>594.89</v>
      </c>
      <c r="F9989" s="1789">
        <v>8.8999999999999996E-2</v>
      </c>
      <c r="G9989">
        <f t="shared" si="313"/>
        <v>541.94000000000005</v>
      </c>
    </row>
    <row r="9990" spans="1:7" ht="12.75" customHeight="1">
      <c r="A9990" s="3">
        <v>97903</v>
      </c>
      <c r="B9990" s="4" t="s">
        <v>10014</v>
      </c>
      <c r="C9990" s="3" t="s">
        <v>6</v>
      </c>
      <c r="D9990" s="5">
        <f t="shared" si="312"/>
        <v>751.58</v>
      </c>
      <c r="E9990">
        <v>825.01</v>
      </c>
      <c r="F9990" s="1789">
        <v>8.8999999999999996E-2</v>
      </c>
      <c r="G9990">
        <f t="shared" si="313"/>
        <v>751.58</v>
      </c>
    </row>
    <row r="9991" spans="1:7" ht="12.75" customHeight="1">
      <c r="A9991" s="3">
        <v>97904</v>
      </c>
      <c r="B9991" s="4" t="s">
        <v>10015</v>
      </c>
      <c r="C9991" s="3" t="s">
        <v>6</v>
      </c>
      <c r="D9991" s="5">
        <f t="shared" si="312"/>
        <v>892.74</v>
      </c>
      <c r="E9991">
        <v>979.96</v>
      </c>
      <c r="F9991" s="1789">
        <v>8.8999999999999996E-2</v>
      </c>
      <c r="G9991">
        <f t="shared" si="313"/>
        <v>892.74</v>
      </c>
    </row>
    <row r="9992" spans="1:7" ht="12.75" customHeight="1">
      <c r="A9992" s="3">
        <v>97905</v>
      </c>
      <c r="B9992" s="4" t="s">
        <v>10016</v>
      </c>
      <c r="C9992" s="3" t="s">
        <v>6</v>
      </c>
      <c r="D9992" s="5">
        <f t="shared" si="312"/>
        <v>218.95</v>
      </c>
      <c r="E9992">
        <v>240.35</v>
      </c>
      <c r="F9992" s="1789">
        <v>8.8999999999999996E-2</v>
      </c>
      <c r="G9992">
        <f t="shared" si="313"/>
        <v>218.95</v>
      </c>
    </row>
    <row r="9993" spans="1:7" ht="12.75" customHeight="1">
      <c r="A9993" s="3">
        <v>97906</v>
      </c>
      <c r="B9993" s="4" t="s">
        <v>10017</v>
      </c>
      <c r="C9993" s="3" t="s">
        <v>6</v>
      </c>
      <c r="D9993" s="5">
        <f t="shared" si="312"/>
        <v>407.92</v>
      </c>
      <c r="E9993">
        <v>447.78</v>
      </c>
      <c r="F9993" s="1789">
        <v>8.8999999999999996E-2</v>
      </c>
      <c r="G9993">
        <f t="shared" si="313"/>
        <v>407.92</v>
      </c>
    </row>
    <row r="9994" spans="1:7" ht="12.75" customHeight="1">
      <c r="A9994" s="3">
        <v>97907</v>
      </c>
      <c r="B9994" s="4" t="s">
        <v>10018</v>
      </c>
      <c r="C9994" s="3" t="s">
        <v>6</v>
      </c>
      <c r="D9994" s="5">
        <f t="shared" si="312"/>
        <v>580.55999999999995</v>
      </c>
      <c r="E9994">
        <v>637.28</v>
      </c>
      <c r="F9994" s="1789">
        <v>8.8999999999999996E-2</v>
      </c>
      <c r="G9994">
        <f t="shared" si="313"/>
        <v>580.55999999999995</v>
      </c>
    </row>
    <row r="9995" spans="1:7" ht="12.75" customHeight="1">
      <c r="A9995" s="3">
        <v>97908</v>
      </c>
      <c r="B9995" s="4" t="s">
        <v>10019</v>
      </c>
      <c r="C9995" s="3" t="s">
        <v>6</v>
      </c>
      <c r="D9995" s="5">
        <f t="shared" si="312"/>
        <v>690.4</v>
      </c>
      <c r="E9995">
        <v>757.85</v>
      </c>
      <c r="F9995" s="1789">
        <v>8.8999999999999996E-2</v>
      </c>
      <c r="G9995">
        <f t="shared" si="313"/>
        <v>690.4</v>
      </c>
    </row>
    <row r="9996" spans="1:7" ht="12.75" customHeight="1">
      <c r="A9996" s="3">
        <v>98102</v>
      </c>
      <c r="B9996" s="4" t="s">
        <v>10020</v>
      </c>
      <c r="C9996" s="3" t="s">
        <v>6</v>
      </c>
      <c r="D9996" s="5">
        <f t="shared" si="312"/>
        <v>156.44</v>
      </c>
      <c r="E9996">
        <v>171.73</v>
      </c>
      <c r="F9996" s="1789">
        <v>8.8999999999999996E-2</v>
      </c>
      <c r="G9996">
        <f t="shared" si="313"/>
        <v>156.44</v>
      </c>
    </row>
    <row r="9997" spans="1:7" ht="12.75" customHeight="1">
      <c r="A9997" s="3">
        <v>98104</v>
      </c>
      <c r="B9997" s="4" t="s">
        <v>10021</v>
      </c>
      <c r="C9997" s="3" t="s">
        <v>6</v>
      </c>
      <c r="D9997" s="5">
        <f t="shared" si="312"/>
        <v>352.79</v>
      </c>
      <c r="E9997">
        <v>387.26</v>
      </c>
      <c r="F9997" s="1789">
        <v>8.8999999999999996E-2</v>
      </c>
      <c r="G9997">
        <f t="shared" si="313"/>
        <v>352.79</v>
      </c>
    </row>
    <row r="9998" spans="1:7" ht="12.75" customHeight="1">
      <c r="A9998" s="3">
        <v>98105</v>
      </c>
      <c r="B9998" s="4" t="s">
        <v>10022</v>
      </c>
      <c r="C9998" s="3" t="s">
        <v>6</v>
      </c>
      <c r="D9998" s="5">
        <f t="shared" si="312"/>
        <v>611.84</v>
      </c>
      <c r="E9998">
        <v>671.62</v>
      </c>
      <c r="F9998" s="1789">
        <v>8.8999999999999996E-2</v>
      </c>
      <c r="G9998">
        <f t="shared" si="313"/>
        <v>611.84</v>
      </c>
    </row>
    <row r="9999" spans="1:7" ht="12.75" customHeight="1">
      <c r="A9999" s="3">
        <v>98106</v>
      </c>
      <c r="B9999" s="4" t="s">
        <v>10023</v>
      </c>
      <c r="C9999" s="3" t="s">
        <v>6</v>
      </c>
      <c r="D9999" s="5">
        <f t="shared" si="312"/>
        <v>1012.14</v>
      </c>
      <c r="E9999">
        <v>1111.03</v>
      </c>
      <c r="F9999" s="1789">
        <v>8.8999999999999996E-2</v>
      </c>
      <c r="G9999">
        <f t="shared" si="313"/>
        <v>1012.14</v>
      </c>
    </row>
    <row r="10000" spans="1:7" ht="12.75" customHeight="1">
      <c r="A10000" s="3">
        <v>98107</v>
      </c>
      <c r="B10000" s="4" t="s">
        <v>10024</v>
      </c>
      <c r="C10000" s="3" t="s">
        <v>6</v>
      </c>
      <c r="D10000" s="5">
        <f t="shared" si="312"/>
        <v>249.06</v>
      </c>
      <c r="E10000">
        <v>273.39999999999998</v>
      </c>
      <c r="F10000" s="1789">
        <v>8.8999999999999996E-2</v>
      </c>
      <c r="G10000">
        <f t="shared" si="313"/>
        <v>249.06</v>
      </c>
    </row>
    <row r="10001" spans="1:7" ht="12.75" customHeight="1">
      <c r="A10001" s="3">
        <v>98108</v>
      </c>
      <c r="B10001" s="4" t="s">
        <v>10025</v>
      </c>
      <c r="C10001" s="3" t="s">
        <v>6</v>
      </c>
      <c r="D10001" s="5">
        <f t="shared" si="312"/>
        <v>444.36</v>
      </c>
      <c r="E10001">
        <v>487.78</v>
      </c>
      <c r="F10001" s="1789">
        <v>8.8999999999999996E-2</v>
      </c>
      <c r="G10001">
        <f t="shared" si="313"/>
        <v>444.36</v>
      </c>
    </row>
    <row r="10002" spans="1:7" ht="12.75" customHeight="1">
      <c r="A10002" s="3">
        <v>99250</v>
      </c>
      <c r="B10002" s="4" t="s">
        <v>10026</v>
      </c>
      <c r="C10002" s="3" t="s">
        <v>6</v>
      </c>
      <c r="D10002" s="5">
        <f t="shared" si="312"/>
        <v>171.83</v>
      </c>
      <c r="E10002">
        <v>188.62</v>
      </c>
      <c r="F10002" s="1789">
        <v>8.8999999999999996E-2</v>
      </c>
      <c r="G10002">
        <f t="shared" si="313"/>
        <v>171.83</v>
      </c>
    </row>
    <row r="10003" spans="1:7" ht="12.75" customHeight="1">
      <c r="A10003" s="3">
        <v>99251</v>
      </c>
      <c r="B10003" s="4" t="s">
        <v>10027</v>
      </c>
      <c r="C10003" s="3" t="s">
        <v>6</v>
      </c>
      <c r="D10003" s="5">
        <f t="shared" si="312"/>
        <v>269.75</v>
      </c>
      <c r="E10003">
        <v>296.11</v>
      </c>
      <c r="F10003" s="1789">
        <v>8.8999999999999996E-2</v>
      </c>
      <c r="G10003">
        <f t="shared" si="313"/>
        <v>269.75</v>
      </c>
    </row>
    <row r="10004" spans="1:7" ht="12.75" customHeight="1">
      <c r="A10004" s="3">
        <v>99253</v>
      </c>
      <c r="B10004" s="4" t="s">
        <v>10028</v>
      </c>
      <c r="C10004" s="3" t="s">
        <v>6</v>
      </c>
      <c r="D10004" s="5">
        <f t="shared" si="312"/>
        <v>524.86</v>
      </c>
      <c r="E10004">
        <v>576.14</v>
      </c>
      <c r="F10004" s="1789">
        <v>8.8999999999999996E-2</v>
      </c>
      <c r="G10004">
        <f t="shared" si="313"/>
        <v>524.86</v>
      </c>
    </row>
    <row r="10005" spans="1:7" ht="12.75" customHeight="1">
      <c r="A10005" s="3">
        <v>99255</v>
      </c>
      <c r="B10005" s="4" t="s">
        <v>10029</v>
      </c>
      <c r="C10005" s="3" t="s">
        <v>6</v>
      </c>
      <c r="D10005" s="5">
        <f t="shared" ref="D10005:D10068" si="314">G10005</f>
        <v>728.17</v>
      </c>
      <c r="E10005">
        <v>799.31</v>
      </c>
      <c r="F10005" s="1789">
        <v>8.8999999999999996E-2</v>
      </c>
      <c r="G10005">
        <f t="shared" ref="G10005:G10068" si="315">TRUNC((1-F10005)*E10005,2)</f>
        <v>728.17</v>
      </c>
    </row>
    <row r="10006" spans="1:7" ht="12.75" customHeight="1">
      <c r="A10006" s="3">
        <v>99257</v>
      </c>
      <c r="B10006" s="4" t="s">
        <v>10030</v>
      </c>
      <c r="C10006" s="3" t="s">
        <v>6</v>
      </c>
      <c r="D10006" s="5">
        <f t="shared" si="314"/>
        <v>862.46</v>
      </c>
      <c r="E10006">
        <v>946.72</v>
      </c>
      <c r="F10006" s="1789">
        <v>8.8999999999999996E-2</v>
      </c>
      <c r="G10006">
        <f t="shared" si="315"/>
        <v>862.46</v>
      </c>
    </row>
    <row r="10007" spans="1:7" ht="12.75" customHeight="1">
      <c r="A10007" s="3">
        <v>99258</v>
      </c>
      <c r="B10007" s="4" t="s">
        <v>10031</v>
      </c>
      <c r="C10007" s="3" t="s">
        <v>6</v>
      </c>
      <c r="D10007" s="5">
        <f t="shared" si="314"/>
        <v>214.13</v>
      </c>
      <c r="E10007">
        <v>235.05</v>
      </c>
      <c r="F10007" s="1789">
        <v>8.8999999999999996E-2</v>
      </c>
      <c r="G10007">
        <f t="shared" si="315"/>
        <v>214.13</v>
      </c>
    </row>
    <row r="10008" spans="1:7" ht="12.75" customHeight="1">
      <c r="A10008" s="3">
        <v>99260</v>
      </c>
      <c r="B10008" s="4" t="s">
        <v>10032</v>
      </c>
      <c r="C10008" s="3" t="s">
        <v>6</v>
      </c>
      <c r="D10008" s="5">
        <f t="shared" si="314"/>
        <v>397.17</v>
      </c>
      <c r="E10008">
        <v>435.98</v>
      </c>
      <c r="F10008" s="1789">
        <v>8.8999999999999996E-2</v>
      </c>
      <c r="G10008">
        <f t="shared" si="315"/>
        <v>397.17</v>
      </c>
    </row>
    <row r="10009" spans="1:7" ht="12.75" customHeight="1">
      <c r="A10009" s="3">
        <v>99262</v>
      </c>
      <c r="B10009" s="4" t="s">
        <v>10033</v>
      </c>
      <c r="C10009" s="3" t="s">
        <v>6</v>
      </c>
      <c r="D10009" s="5">
        <f t="shared" si="314"/>
        <v>565.22</v>
      </c>
      <c r="E10009">
        <v>620.44000000000005</v>
      </c>
      <c r="F10009" s="1789">
        <v>8.8999999999999996E-2</v>
      </c>
      <c r="G10009">
        <f t="shared" si="315"/>
        <v>565.22</v>
      </c>
    </row>
    <row r="10010" spans="1:7" ht="12.75" customHeight="1">
      <c r="A10010" s="3">
        <v>99264</v>
      </c>
      <c r="B10010" s="4" t="s">
        <v>10034</v>
      </c>
      <c r="C10010" s="3" t="s">
        <v>6</v>
      </c>
      <c r="D10010" s="5">
        <f t="shared" si="314"/>
        <v>669.65</v>
      </c>
      <c r="E10010">
        <v>735.08</v>
      </c>
      <c r="F10010" s="1789">
        <v>8.8999999999999996E-2</v>
      </c>
      <c r="G10010">
        <f t="shared" si="315"/>
        <v>669.65</v>
      </c>
    </row>
    <row r="10011" spans="1:7" ht="12.75" customHeight="1">
      <c r="A10011" s="3">
        <v>102587</v>
      </c>
      <c r="B10011" s="4" t="s">
        <v>10035</v>
      </c>
      <c r="C10011" s="3" t="s">
        <v>6</v>
      </c>
      <c r="D10011" s="5">
        <f t="shared" si="314"/>
        <v>2.95</v>
      </c>
      <c r="E10011">
        <v>3.24</v>
      </c>
      <c r="F10011" s="1789">
        <v>8.8999999999999996E-2</v>
      </c>
      <c r="G10011">
        <f t="shared" si="315"/>
        <v>2.95</v>
      </c>
    </row>
    <row r="10012" spans="1:7" ht="12.75" customHeight="1">
      <c r="A10012" s="3">
        <v>102588</v>
      </c>
      <c r="B10012" s="4" t="s">
        <v>10036</v>
      </c>
      <c r="C10012" s="3" t="s">
        <v>6</v>
      </c>
      <c r="D10012" s="5">
        <f t="shared" si="314"/>
        <v>4.2699999999999996</v>
      </c>
      <c r="E10012">
        <v>4.6900000000000004</v>
      </c>
      <c r="F10012" s="1789">
        <v>8.8999999999999996E-2</v>
      </c>
      <c r="G10012">
        <f t="shared" si="315"/>
        <v>4.2699999999999996</v>
      </c>
    </row>
    <row r="10013" spans="1:7" ht="12.75" customHeight="1">
      <c r="A10013" s="3">
        <v>102589</v>
      </c>
      <c r="B10013" s="4" t="s">
        <v>10037</v>
      </c>
      <c r="C10013" s="3" t="s">
        <v>6</v>
      </c>
      <c r="D10013" s="5">
        <f t="shared" si="314"/>
        <v>3.27</v>
      </c>
      <c r="E10013">
        <v>3.6</v>
      </c>
      <c r="F10013" s="1789">
        <v>8.8999999999999996E-2</v>
      </c>
      <c r="G10013">
        <f t="shared" si="315"/>
        <v>3.27</v>
      </c>
    </row>
    <row r="10014" spans="1:7" ht="12.75" customHeight="1">
      <c r="A10014" s="3">
        <v>102590</v>
      </c>
      <c r="B10014" s="4" t="s">
        <v>10038</v>
      </c>
      <c r="C10014" s="3" t="s">
        <v>6</v>
      </c>
      <c r="D10014" s="5">
        <f t="shared" si="314"/>
        <v>4.5999999999999996</v>
      </c>
      <c r="E10014">
        <v>5.0599999999999996</v>
      </c>
      <c r="F10014" s="1789">
        <v>8.8999999999999996E-2</v>
      </c>
      <c r="G10014">
        <f t="shared" si="315"/>
        <v>4.5999999999999996</v>
      </c>
    </row>
    <row r="10015" spans="1:7" ht="12.75" customHeight="1">
      <c r="A10015" s="3">
        <v>102591</v>
      </c>
      <c r="B10015" s="4" t="s">
        <v>10039</v>
      </c>
      <c r="C10015" s="3" t="s">
        <v>6</v>
      </c>
      <c r="D10015" s="5">
        <f t="shared" si="314"/>
        <v>3.61</v>
      </c>
      <c r="E10015">
        <v>3.97</v>
      </c>
      <c r="F10015" s="1789">
        <v>8.8999999999999996E-2</v>
      </c>
      <c r="G10015">
        <f t="shared" si="315"/>
        <v>3.61</v>
      </c>
    </row>
    <row r="10016" spans="1:7" ht="12.75" customHeight="1">
      <c r="A10016" s="3">
        <v>102592</v>
      </c>
      <c r="B10016" s="4" t="s">
        <v>10040</v>
      </c>
      <c r="C10016" s="3" t="s">
        <v>6</v>
      </c>
      <c r="D10016" s="5">
        <f t="shared" si="314"/>
        <v>4.93</v>
      </c>
      <c r="E10016">
        <v>5.42</v>
      </c>
      <c r="F10016" s="1789">
        <v>8.8999999999999996E-2</v>
      </c>
      <c r="G10016">
        <f t="shared" si="315"/>
        <v>4.93</v>
      </c>
    </row>
    <row r="10017" spans="1:7" ht="12.75" customHeight="1">
      <c r="A10017" s="3">
        <v>102593</v>
      </c>
      <c r="B10017" s="4" t="s">
        <v>10041</v>
      </c>
      <c r="C10017" s="3" t="s">
        <v>6</v>
      </c>
      <c r="D10017" s="5">
        <f t="shared" si="314"/>
        <v>4.09</v>
      </c>
      <c r="E10017">
        <v>4.49</v>
      </c>
      <c r="F10017" s="1789">
        <v>8.8999999999999996E-2</v>
      </c>
      <c r="G10017">
        <f t="shared" si="315"/>
        <v>4.09</v>
      </c>
    </row>
    <row r="10018" spans="1:7" ht="12.75" customHeight="1">
      <c r="A10018" s="3">
        <v>102594</v>
      </c>
      <c r="B10018" s="4" t="s">
        <v>10042</v>
      </c>
      <c r="C10018" s="3" t="s">
        <v>6</v>
      </c>
      <c r="D10018" s="5">
        <f t="shared" si="314"/>
        <v>5.41</v>
      </c>
      <c r="E10018">
        <v>5.94</v>
      </c>
      <c r="F10018" s="1789">
        <v>8.8999999999999996E-2</v>
      </c>
      <c r="G10018">
        <f t="shared" si="315"/>
        <v>5.41</v>
      </c>
    </row>
    <row r="10019" spans="1:7" ht="12.75" customHeight="1">
      <c r="A10019" s="3">
        <v>102595</v>
      </c>
      <c r="B10019" s="4" t="s">
        <v>10043</v>
      </c>
      <c r="C10019" s="3" t="s">
        <v>6</v>
      </c>
      <c r="D10019" s="5">
        <f t="shared" si="314"/>
        <v>4.6100000000000003</v>
      </c>
      <c r="E10019">
        <v>5.07</v>
      </c>
      <c r="F10019" s="1789">
        <v>8.8999999999999996E-2</v>
      </c>
      <c r="G10019">
        <f t="shared" si="315"/>
        <v>4.6100000000000003</v>
      </c>
    </row>
    <row r="10020" spans="1:7" ht="12.75" customHeight="1">
      <c r="A10020" s="3">
        <v>102596</v>
      </c>
      <c r="B10020" s="4" t="s">
        <v>10044</v>
      </c>
      <c r="C10020" s="3" t="s">
        <v>6</v>
      </c>
      <c r="D10020" s="5">
        <f t="shared" si="314"/>
        <v>5.94</v>
      </c>
      <c r="E10020">
        <v>6.53</v>
      </c>
      <c r="F10020" s="1789">
        <v>8.8999999999999996E-2</v>
      </c>
      <c r="G10020">
        <f t="shared" si="315"/>
        <v>5.94</v>
      </c>
    </row>
    <row r="10021" spans="1:7" ht="12.75" customHeight="1">
      <c r="A10021" s="3">
        <v>102597</v>
      </c>
      <c r="B10021" s="4" t="s">
        <v>10045</v>
      </c>
      <c r="C10021" s="3" t="s">
        <v>6</v>
      </c>
      <c r="D10021" s="5">
        <f t="shared" si="314"/>
        <v>5.28</v>
      </c>
      <c r="E10021">
        <v>5.8</v>
      </c>
      <c r="F10021" s="1789">
        <v>8.8999999999999996E-2</v>
      </c>
      <c r="G10021">
        <f t="shared" si="315"/>
        <v>5.28</v>
      </c>
    </row>
    <row r="10022" spans="1:7" ht="12.75" customHeight="1">
      <c r="A10022" s="3">
        <v>102598</v>
      </c>
      <c r="B10022" s="4" t="s">
        <v>10046</v>
      </c>
      <c r="C10022" s="3" t="s">
        <v>6</v>
      </c>
      <c r="D10022" s="5">
        <f t="shared" si="314"/>
        <v>6.6</v>
      </c>
      <c r="E10022">
        <v>7.25</v>
      </c>
      <c r="F10022" s="1789">
        <v>8.8999999999999996E-2</v>
      </c>
      <c r="G10022">
        <f t="shared" si="315"/>
        <v>6.6</v>
      </c>
    </row>
    <row r="10023" spans="1:7" ht="12.75" customHeight="1">
      <c r="A10023" s="3">
        <v>102599</v>
      </c>
      <c r="B10023" s="4" t="s">
        <v>10047</v>
      </c>
      <c r="C10023" s="3" t="s">
        <v>6</v>
      </c>
      <c r="D10023" s="5">
        <f t="shared" si="314"/>
        <v>5.94</v>
      </c>
      <c r="E10023">
        <v>6.53</v>
      </c>
      <c r="F10023" s="1789">
        <v>8.8999999999999996E-2</v>
      </c>
      <c r="G10023">
        <f t="shared" si="315"/>
        <v>5.94</v>
      </c>
    </row>
    <row r="10024" spans="1:7" ht="12.75" customHeight="1">
      <c r="A10024" s="3">
        <v>102600</v>
      </c>
      <c r="B10024" s="4" t="s">
        <v>10048</v>
      </c>
      <c r="C10024" s="3" t="s">
        <v>6</v>
      </c>
      <c r="D10024" s="5">
        <f t="shared" si="314"/>
        <v>7.27</v>
      </c>
      <c r="E10024">
        <v>7.99</v>
      </c>
      <c r="F10024" s="1789">
        <v>8.8999999999999996E-2</v>
      </c>
      <c r="G10024">
        <f t="shared" si="315"/>
        <v>7.27</v>
      </c>
    </row>
    <row r="10025" spans="1:7" ht="12.75" customHeight="1">
      <c r="A10025" s="3">
        <v>102601</v>
      </c>
      <c r="B10025" s="4" t="s">
        <v>10049</v>
      </c>
      <c r="C10025" s="3" t="s">
        <v>6</v>
      </c>
      <c r="D10025" s="5">
        <f t="shared" si="314"/>
        <v>6.96</v>
      </c>
      <c r="E10025">
        <v>7.64</v>
      </c>
      <c r="F10025" s="1789">
        <v>8.8999999999999996E-2</v>
      </c>
      <c r="G10025">
        <f t="shared" si="315"/>
        <v>6.96</v>
      </c>
    </row>
    <row r="10026" spans="1:7" ht="12.75" customHeight="1">
      <c r="A10026" s="3">
        <v>102602</v>
      </c>
      <c r="B10026" s="4" t="s">
        <v>10050</v>
      </c>
      <c r="C10026" s="3" t="s">
        <v>6</v>
      </c>
      <c r="D10026" s="5">
        <f t="shared" si="314"/>
        <v>8.2799999999999994</v>
      </c>
      <c r="E10026">
        <v>9.09</v>
      </c>
      <c r="F10026" s="1789">
        <v>8.8999999999999996E-2</v>
      </c>
      <c r="G10026">
        <f t="shared" si="315"/>
        <v>8.2799999999999994</v>
      </c>
    </row>
    <row r="10027" spans="1:7" ht="12.75" customHeight="1">
      <c r="A10027" s="3">
        <v>102603</v>
      </c>
      <c r="B10027" s="4" t="s">
        <v>10051</v>
      </c>
      <c r="C10027" s="3" t="s">
        <v>6</v>
      </c>
      <c r="D10027" s="5">
        <f t="shared" si="314"/>
        <v>8.61</v>
      </c>
      <c r="E10027">
        <v>9.4600000000000009</v>
      </c>
      <c r="F10027" s="1789">
        <v>8.8999999999999996E-2</v>
      </c>
      <c r="G10027">
        <f t="shared" si="315"/>
        <v>8.61</v>
      </c>
    </row>
    <row r="10028" spans="1:7" ht="12.75" customHeight="1">
      <c r="A10028" s="3">
        <v>102604</v>
      </c>
      <c r="B10028" s="4" t="s">
        <v>10052</v>
      </c>
      <c r="C10028" s="3" t="s">
        <v>6</v>
      </c>
      <c r="D10028" s="5">
        <f t="shared" si="314"/>
        <v>9.93</v>
      </c>
      <c r="E10028">
        <v>10.91</v>
      </c>
      <c r="F10028" s="1789">
        <v>8.8999999999999996E-2</v>
      </c>
      <c r="G10028">
        <f t="shared" si="315"/>
        <v>9.93</v>
      </c>
    </row>
    <row r="10029" spans="1:7" ht="12.75" customHeight="1">
      <c r="A10029" s="3">
        <v>102605</v>
      </c>
      <c r="B10029" s="4" t="s">
        <v>10053</v>
      </c>
      <c r="C10029" s="3" t="s">
        <v>6</v>
      </c>
      <c r="D10029" s="5">
        <f t="shared" si="314"/>
        <v>223.37</v>
      </c>
      <c r="E10029">
        <v>245.2</v>
      </c>
      <c r="F10029" s="1789">
        <v>8.8999999999999996E-2</v>
      </c>
      <c r="G10029">
        <f t="shared" si="315"/>
        <v>223.37</v>
      </c>
    </row>
    <row r="10030" spans="1:7" ht="12.75" customHeight="1">
      <c r="A10030" s="3">
        <v>102606</v>
      </c>
      <c r="B10030" s="4" t="s">
        <v>10054</v>
      </c>
      <c r="C10030" s="3" t="s">
        <v>6</v>
      </c>
      <c r="D10030" s="5">
        <f t="shared" si="314"/>
        <v>344.13</v>
      </c>
      <c r="E10030">
        <v>377.76</v>
      </c>
      <c r="F10030" s="1789">
        <v>8.8999999999999996E-2</v>
      </c>
      <c r="G10030">
        <f t="shared" si="315"/>
        <v>344.13</v>
      </c>
    </row>
    <row r="10031" spans="1:7" ht="12.75" customHeight="1">
      <c r="A10031" s="3">
        <v>102607</v>
      </c>
      <c r="B10031" s="4" t="s">
        <v>10055</v>
      </c>
      <c r="C10031" s="3" t="s">
        <v>6</v>
      </c>
      <c r="D10031" s="5">
        <f t="shared" si="314"/>
        <v>368.4</v>
      </c>
      <c r="E10031">
        <v>404.4</v>
      </c>
      <c r="F10031" s="1789">
        <v>8.8999999999999996E-2</v>
      </c>
      <c r="G10031">
        <f t="shared" si="315"/>
        <v>368.4</v>
      </c>
    </row>
    <row r="10032" spans="1:7" ht="12.75" customHeight="1">
      <c r="A10032" s="3">
        <v>102608</v>
      </c>
      <c r="B10032" s="4" t="s">
        <v>10056</v>
      </c>
      <c r="C10032" s="3" t="s">
        <v>6</v>
      </c>
      <c r="D10032" s="5">
        <f t="shared" si="314"/>
        <v>844.13</v>
      </c>
      <c r="E10032">
        <v>926.6</v>
      </c>
      <c r="F10032" s="1789">
        <v>8.8999999999999996E-2</v>
      </c>
      <c r="G10032">
        <f t="shared" si="315"/>
        <v>844.13</v>
      </c>
    </row>
    <row r="10033" spans="1:7" ht="12.75" customHeight="1">
      <c r="A10033" s="3">
        <v>102609</v>
      </c>
      <c r="B10033" s="4" t="s">
        <v>10057</v>
      </c>
      <c r="C10033" s="3" t="s">
        <v>6</v>
      </c>
      <c r="D10033" s="5">
        <f t="shared" si="314"/>
        <v>959.25</v>
      </c>
      <c r="E10033">
        <v>1052.97</v>
      </c>
      <c r="F10033" s="1789">
        <v>8.8999999999999996E-2</v>
      </c>
      <c r="G10033">
        <f t="shared" si="315"/>
        <v>959.25</v>
      </c>
    </row>
    <row r="10034" spans="1:7" ht="12.75" customHeight="1">
      <c r="A10034" s="3">
        <v>102610</v>
      </c>
      <c r="B10034" s="4" t="s">
        <v>10058</v>
      </c>
      <c r="C10034" s="3" t="s">
        <v>6</v>
      </c>
      <c r="D10034" s="5">
        <f t="shared" si="314"/>
        <v>1648.37</v>
      </c>
      <c r="E10034">
        <v>1809.41</v>
      </c>
      <c r="F10034" s="1789">
        <v>8.8999999999999996E-2</v>
      </c>
      <c r="G10034">
        <f t="shared" si="315"/>
        <v>1648.37</v>
      </c>
    </row>
    <row r="10035" spans="1:7" ht="12.75" customHeight="1">
      <c r="A10035" s="3">
        <v>102611</v>
      </c>
      <c r="B10035" s="4" t="s">
        <v>10059</v>
      </c>
      <c r="C10035" s="3" t="s">
        <v>6</v>
      </c>
      <c r="D10035" s="5">
        <f t="shared" si="314"/>
        <v>370.99</v>
      </c>
      <c r="E10035">
        <v>407.24</v>
      </c>
      <c r="F10035" s="1789">
        <v>8.8999999999999996E-2</v>
      </c>
      <c r="G10035">
        <f t="shared" si="315"/>
        <v>370.99</v>
      </c>
    </row>
    <row r="10036" spans="1:7" ht="12.75" customHeight="1">
      <c r="A10036" s="3">
        <v>102612</v>
      </c>
      <c r="B10036" s="4" t="s">
        <v>10060</v>
      </c>
      <c r="C10036" s="3" t="s">
        <v>6</v>
      </c>
      <c r="D10036" s="5">
        <f t="shared" si="314"/>
        <v>532.54999999999995</v>
      </c>
      <c r="E10036">
        <v>584.58000000000004</v>
      </c>
      <c r="F10036" s="1789">
        <v>8.8999999999999996E-2</v>
      </c>
      <c r="G10036">
        <f t="shared" si="315"/>
        <v>532.54999999999995</v>
      </c>
    </row>
    <row r="10037" spans="1:7" ht="12.75" customHeight="1">
      <c r="A10037" s="3">
        <v>102613</v>
      </c>
      <c r="B10037" s="4" t="s">
        <v>10061</v>
      </c>
      <c r="C10037" s="3" t="s">
        <v>6</v>
      </c>
      <c r="D10037" s="5">
        <f t="shared" si="314"/>
        <v>516.29999999999995</v>
      </c>
      <c r="E10037">
        <v>566.74</v>
      </c>
      <c r="F10037" s="1789">
        <v>8.8999999999999996E-2</v>
      </c>
      <c r="G10037">
        <f t="shared" si="315"/>
        <v>516.29999999999995</v>
      </c>
    </row>
    <row r="10038" spans="1:7" ht="12.75" customHeight="1">
      <c r="A10038" s="3">
        <v>102614</v>
      </c>
      <c r="B10038" s="4" t="s">
        <v>10062</v>
      </c>
      <c r="C10038" s="3" t="s">
        <v>6</v>
      </c>
      <c r="D10038" s="5">
        <f t="shared" si="314"/>
        <v>793.79</v>
      </c>
      <c r="E10038">
        <v>871.35</v>
      </c>
      <c r="F10038" s="1789">
        <v>8.8999999999999996E-2</v>
      </c>
      <c r="G10038">
        <f t="shared" si="315"/>
        <v>793.79</v>
      </c>
    </row>
    <row r="10039" spans="1:7" ht="12.75" customHeight="1">
      <c r="A10039" s="3">
        <v>102615</v>
      </c>
      <c r="B10039" s="4" t="s">
        <v>10063</v>
      </c>
      <c r="C10039" s="3" t="s">
        <v>6</v>
      </c>
      <c r="D10039" s="5">
        <f t="shared" si="314"/>
        <v>996.2</v>
      </c>
      <c r="E10039">
        <v>1093.53</v>
      </c>
      <c r="F10039" s="1789">
        <v>8.8999999999999996E-2</v>
      </c>
      <c r="G10039">
        <f t="shared" si="315"/>
        <v>996.2</v>
      </c>
    </row>
    <row r="10040" spans="1:7" ht="12.75" customHeight="1">
      <c r="A10040" s="3">
        <v>102616</v>
      </c>
      <c r="B10040" s="4" t="s">
        <v>10064</v>
      </c>
      <c r="C10040" s="3" t="s">
        <v>6</v>
      </c>
      <c r="D10040" s="5">
        <f t="shared" si="314"/>
        <v>1474.6</v>
      </c>
      <c r="E10040">
        <v>1618.67</v>
      </c>
      <c r="F10040" s="1789">
        <v>8.8999999999999996E-2</v>
      </c>
      <c r="G10040">
        <f t="shared" si="315"/>
        <v>1474.6</v>
      </c>
    </row>
    <row r="10041" spans="1:7" ht="12.75" customHeight="1">
      <c r="A10041" s="3">
        <v>102617</v>
      </c>
      <c r="B10041" s="4" t="s">
        <v>10065</v>
      </c>
      <c r="C10041" s="3" t="s">
        <v>6</v>
      </c>
      <c r="D10041" s="5">
        <f t="shared" si="314"/>
        <v>2776.29</v>
      </c>
      <c r="E10041">
        <v>3047.52</v>
      </c>
      <c r="F10041" s="1789">
        <v>8.8999999999999996E-2</v>
      </c>
      <c r="G10041">
        <f t="shared" si="315"/>
        <v>2776.29</v>
      </c>
    </row>
    <row r="10042" spans="1:7" ht="12.75" customHeight="1">
      <c r="A10042" s="3">
        <v>102618</v>
      </c>
      <c r="B10042" s="4" t="s">
        <v>10066</v>
      </c>
      <c r="C10042" s="3" t="s">
        <v>6</v>
      </c>
      <c r="D10042" s="5">
        <f t="shared" si="314"/>
        <v>3329.12</v>
      </c>
      <c r="E10042">
        <v>3654.36</v>
      </c>
      <c r="F10042" s="1789">
        <v>8.8999999999999996E-2</v>
      </c>
      <c r="G10042">
        <f t="shared" si="315"/>
        <v>3329.12</v>
      </c>
    </row>
    <row r="10043" spans="1:7" ht="12.75" customHeight="1">
      <c r="A10043" s="3">
        <v>102619</v>
      </c>
      <c r="B10043" s="4" t="s">
        <v>10067</v>
      </c>
      <c r="C10043" s="3" t="s">
        <v>6</v>
      </c>
      <c r="D10043" s="5">
        <f t="shared" si="314"/>
        <v>4450.7</v>
      </c>
      <c r="E10043">
        <v>4885.5200000000004</v>
      </c>
      <c r="F10043" s="1789">
        <v>8.8999999999999996E-2</v>
      </c>
      <c r="G10043">
        <f t="shared" si="315"/>
        <v>4450.7</v>
      </c>
    </row>
    <row r="10044" spans="1:7" ht="12.75" customHeight="1">
      <c r="A10044" s="3">
        <v>102620</v>
      </c>
      <c r="B10044" s="4" t="s">
        <v>10068</v>
      </c>
      <c r="C10044" s="3" t="s">
        <v>6</v>
      </c>
      <c r="D10044" s="5">
        <f t="shared" si="314"/>
        <v>6441.78</v>
      </c>
      <c r="E10044">
        <v>7071.11</v>
      </c>
      <c r="F10044" s="1789">
        <v>8.8999999999999996E-2</v>
      </c>
      <c r="G10044">
        <f t="shared" si="315"/>
        <v>6441.78</v>
      </c>
    </row>
    <row r="10045" spans="1:7" ht="12.75" customHeight="1">
      <c r="A10045" s="3">
        <v>102621</v>
      </c>
      <c r="B10045" s="4" t="s">
        <v>10069</v>
      </c>
      <c r="C10045" s="3" t="s">
        <v>6</v>
      </c>
      <c r="D10045" s="5">
        <f t="shared" si="314"/>
        <v>9872.9</v>
      </c>
      <c r="E10045">
        <v>10837.44</v>
      </c>
      <c r="F10045" s="1789">
        <v>8.8999999999999996E-2</v>
      </c>
      <c r="G10045">
        <f t="shared" si="315"/>
        <v>9872.9</v>
      </c>
    </row>
    <row r="10046" spans="1:7" ht="12.75" customHeight="1">
      <c r="A10046" s="3">
        <v>102622</v>
      </c>
      <c r="B10046" s="4" t="s">
        <v>10070</v>
      </c>
      <c r="C10046" s="3" t="s">
        <v>6</v>
      </c>
      <c r="D10046" s="5">
        <f t="shared" si="314"/>
        <v>469.61</v>
      </c>
      <c r="E10046">
        <v>515.49</v>
      </c>
      <c r="F10046" s="1789">
        <v>8.8999999999999996E-2</v>
      </c>
      <c r="G10046">
        <f t="shared" si="315"/>
        <v>469.61</v>
      </c>
    </row>
    <row r="10047" spans="1:7" ht="12.75" customHeight="1">
      <c r="A10047" s="3">
        <v>102623</v>
      </c>
      <c r="B10047" s="4" t="s">
        <v>10071</v>
      </c>
      <c r="C10047" s="3" t="s">
        <v>6</v>
      </c>
      <c r="D10047" s="5">
        <f t="shared" si="314"/>
        <v>653.54999999999995</v>
      </c>
      <c r="E10047">
        <v>717.4</v>
      </c>
      <c r="F10047" s="1789">
        <v>8.8999999999999996E-2</v>
      </c>
      <c r="G10047">
        <f t="shared" si="315"/>
        <v>653.54999999999995</v>
      </c>
    </row>
    <row r="10048" spans="1:7" ht="12.75" customHeight="1">
      <c r="A10048" s="3">
        <v>89482</v>
      </c>
      <c r="B10048" s="4" t="s">
        <v>10072</v>
      </c>
      <c r="C10048" s="3" t="s">
        <v>6</v>
      </c>
      <c r="D10048" s="5">
        <f t="shared" si="314"/>
        <v>35.18</v>
      </c>
      <c r="E10048">
        <v>38.619999999999997</v>
      </c>
      <c r="F10048" s="1789">
        <v>8.8999999999999996E-2</v>
      </c>
      <c r="G10048">
        <f t="shared" si="315"/>
        <v>35.18</v>
      </c>
    </row>
    <row r="10049" spans="1:7" ht="12.75" customHeight="1">
      <c r="A10049" s="3">
        <v>89491</v>
      </c>
      <c r="B10049" s="4" t="s">
        <v>10073</v>
      </c>
      <c r="C10049" s="3" t="s">
        <v>6</v>
      </c>
      <c r="D10049" s="5">
        <f t="shared" si="314"/>
        <v>89.34</v>
      </c>
      <c r="E10049">
        <v>98.07</v>
      </c>
      <c r="F10049" s="1789">
        <v>8.8999999999999996E-2</v>
      </c>
      <c r="G10049">
        <f t="shared" si="315"/>
        <v>89.34</v>
      </c>
    </row>
    <row r="10050" spans="1:7" ht="12.75" customHeight="1">
      <c r="A10050" s="3">
        <v>89495</v>
      </c>
      <c r="B10050" s="4" t="s">
        <v>10074</v>
      </c>
      <c r="C10050" s="3" t="s">
        <v>6</v>
      </c>
      <c r="D10050" s="5">
        <f t="shared" si="314"/>
        <v>15.94</v>
      </c>
      <c r="E10050">
        <v>17.5</v>
      </c>
      <c r="F10050" s="1789">
        <v>8.8999999999999996E-2</v>
      </c>
      <c r="G10050">
        <f t="shared" si="315"/>
        <v>15.94</v>
      </c>
    </row>
    <row r="10051" spans="1:7" ht="12.75" customHeight="1">
      <c r="A10051" s="3">
        <v>89707</v>
      </c>
      <c r="B10051" s="4" t="s">
        <v>10075</v>
      </c>
      <c r="C10051" s="3" t="s">
        <v>6</v>
      </c>
      <c r="D10051" s="5">
        <f t="shared" si="314"/>
        <v>42.88</v>
      </c>
      <c r="E10051">
        <v>47.07</v>
      </c>
      <c r="F10051" s="1789">
        <v>8.8999999999999996E-2</v>
      </c>
      <c r="G10051">
        <f t="shared" si="315"/>
        <v>42.88</v>
      </c>
    </row>
    <row r="10052" spans="1:7" ht="12.75" customHeight="1">
      <c r="A10052" s="3">
        <v>89708</v>
      </c>
      <c r="B10052" s="4" t="s">
        <v>10076</v>
      </c>
      <c r="C10052" s="3" t="s">
        <v>6</v>
      </c>
      <c r="D10052" s="5">
        <f t="shared" si="314"/>
        <v>91.78</v>
      </c>
      <c r="E10052">
        <v>100.75</v>
      </c>
      <c r="F10052" s="1789">
        <v>8.8999999999999996E-2</v>
      </c>
      <c r="G10052">
        <f t="shared" si="315"/>
        <v>91.78</v>
      </c>
    </row>
    <row r="10053" spans="1:7" ht="12.75" customHeight="1">
      <c r="A10053" s="3">
        <v>89709</v>
      </c>
      <c r="B10053" s="4" t="s">
        <v>10077</v>
      </c>
      <c r="C10053" s="3" t="s">
        <v>6</v>
      </c>
      <c r="D10053" s="5">
        <f t="shared" si="314"/>
        <v>18.25</v>
      </c>
      <c r="E10053">
        <v>20.04</v>
      </c>
      <c r="F10053" s="1789">
        <v>8.8999999999999996E-2</v>
      </c>
      <c r="G10053">
        <f t="shared" si="315"/>
        <v>18.25</v>
      </c>
    </row>
    <row r="10054" spans="1:7" ht="12.75" customHeight="1">
      <c r="A10054" s="3">
        <v>89710</v>
      </c>
      <c r="B10054" s="4" t="s">
        <v>10078</v>
      </c>
      <c r="C10054" s="3" t="s">
        <v>6</v>
      </c>
      <c r="D10054" s="5">
        <f t="shared" si="314"/>
        <v>16.05</v>
      </c>
      <c r="E10054">
        <v>17.62</v>
      </c>
      <c r="F10054" s="1789">
        <v>8.8999999999999996E-2</v>
      </c>
      <c r="G10054">
        <f t="shared" si="315"/>
        <v>16.05</v>
      </c>
    </row>
    <row r="10055" spans="1:7" ht="12.75" customHeight="1">
      <c r="A10055" s="3">
        <v>104326</v>
      </c>
      <c r="B10055" s="4" t="s">
        <v>10079</v>
      </c>
      <c r="C10055" s="3" t="s">
        <v>6</v>
      </c>
      <c r="D10055" s="5">
        <f t="shared" si="314"/>
        <v>17.41</v>
      </c>
      <c r="E10055">
        <v>19.12</v>
      </c>
      <c r="F10055" s="1789">
        <v>8.8999999999999996E-2</v>
      </c>
      <c r="G10055">
        <f t="shared" si="315"/>
        <v>17.41</v>
      </c>
    </row>
    <row r="10056" spans="1:7" ht="12.75" customHeight="1">
      <c r="A10056" s="3">
        <v>104327</v>
      </c>
      <c r="B10056" s="4" t="s">
        <v>10080</v>
      </c>
      <c r="C10056" s="3" t="s">
        <v>6</v>
      </c>
      <c r="D10056" s="5">
        <f t="shared" si="314"/>
        <v>16.600000000000001</v>
      </c>
      <c r="E10056">
        <v>18.23</v>
      </c>
      <c r="F10056" s="1789">
        <v>8.8999999999999996E-2</v>
      </c>
      <c r="G10056">
        <f t="shared" si="315"/>
        <v>16.600000000000001</v>
      </c>
    </row>
    <row r="10057" spans="1:7" ht="12.75" customHeight="1">
      <c r="A10057" s="3">
        <v>104328</v>
      </c>
      <c r="B10057" s="4" t="s">
        <v>10081</v>
      </c>
      <c r="C10057" s="3" t="s">
        <v>6</v>
      </c>
      <c r="D10057" s="5">
        <f t="shared" si="314"/>
        <v>61.73</v>
      </c>
      <c r="E10057">
        <v>67.77</v>
      </c>
      <c r="F10057" s="1789">
        <v>8.8999999999999996E-2</v>
      </c>
      <c r="G10057">
        <f t="shared" si="315"/>
        <v>61.73</v>
      </c>
    </row>
    <row r="10058" spans="1:7" ht="12.75" customHeight="1">
      <c r="A10058" s="3">
        <v>104329</v>
      </c>
      <c r="B10058" s="4" t="s">
        <v>10082</v>
      </c>
      <c r="C10058" s="3" t="s">
        <v>6</v>
      </c>
      <c r="D10058" s="5">
        <f t="shared" si="314"/>
        <v>69.599999999999994</v>
      </c>
      <c r="E10058">
        <v>76.400000000000006</v>
      </c>
      <c r="F10058" s="1789">
        <v>8.8999999999999996E-2</v>
      </c>
      <c r="G10058">
        <f t="shared" si="315"/>
        <v>69.599999999999994</v>
      </c>
    </row>
    <row r="10059" spans="1:7" ht="12.75" customHeight="1">
      <c r="A10059" s="3">
        <v>86872</v>
      </c>
      <c r="B10059" s="4" t="s">
        <v>10083</v>
      </c>
      <c r="C10059" s="3" t="s">
        <v>6</v>
      </c>
      <c r="D10059" s="5">
        <f t="shared" si="314"/>
        <v>635.51</v>
      </c>
      <c r="E10059">
        <v>697.6</v>
      </c>
      <c r="F10059" s="1789">
        <v>8.8999999999999996E-2</v>
      </c>
      <c r="G10059">
        <f t="shared" si="315"/>
        <v>635.51</v>
      </c>
    </row>
    <row r="10060" spans="1:7" ht="12.75" customHeight="1">
      <c r="A10060" s="3">
        <v>86874</v>
      </c>
      <c r="B10060" s="4" t="s">
        <v>10084</v>
      </c>
      <c r="C10060" s="3" t="s">
        <v>6</v>
      </c>
      <c r="D10060" s="5">
        <f t="shared" si="314"/>
        <v>444.03</v>
      </c>
      <c r="E10060">
        <v>487.41</v>
      </c>
      <c r="F10060" s="1789">
        <v>8.8999999999999996E-2</v>
      </c>
      <c r="G10060">
        <f t="shared" si="315"/>
        <v>444.03</v>
      </c>
    </row>
    <row r="10061" spans="1:7" ht="12.75" customHeight="1">
      <c r="A10061" s="3">
        <v>86875</v>
      </c>
      <c r="B10061" s="4" t="s">
        <v>10085</v>
      </c>
      <c r="C10061" s="3" t="s">
        <v>6</v>
      </c>
      <c r="D10061" s="5">
        <f t="shared" si="314"/>
        <v>515.54999999999995</v>
      </c>
      <c r="E10061">
        <v>565.91999999999996</v>
      </c>
      <c r="F10061" s="1789">
        <v>8.8999999999999996E-2</v>
      </c>
      <c r="G10061">
        <f t="shared" si="315"/>
        <v>515.54999999999995</v>
      </c>
    </row>
    <row r="10062" spans="1:7" ht="12.75" customHeight="1">
      <c r="A10062" s="3">
        <v>86876</v>
      </c>
      <c r="B10062" s="4" t="s">
        <v>10086</v>
      </c>
      <c r="C10062" s="3" t="s">
        <v>6</v>
      </c>
      <c r="D10062" s="5">
        <f t="shared" si="314"/>
        <v>293.81</v>
      </c>
      <c r="E10062">
        <v>322.52</v>
      </c>
      <c r="F10062" s="1789">
        <v>8.8999999999999996E-2</v>
      </c>
      <c r="G10062">
        <f t="shared" si="315"/>
        <v>293.81</v>
      </c>
    </row>
    <row r="10063" spans="1:7" ht="12.75" customHeight="1">
      <c r="A10063" s="3">
        <v>86877</v>
      </c>
      <c r="B10063" s="4" t="s">
        <v>10087</v>
      </c>
      <c r="C10063" s="3" t="s">
        <v>6</v>
      </c>
      <c r="D10063" s="5">
        <f t="shared" si="314"/>
        <v>67.12</v>
      </c>
      <c r="E10063">
        <v>73.680000000000007</v>
      </c>
      <c r="F10063" s="1789">
        <v>8.8999999999999996E-2</v>
      </c>
      <c r="G10063">
        <f t="shared" si="315"/>
        <v>67.12</v>
      </c>
    </row>
    <row r="10064" spans="1:7" ht="12.75" customHeight="1">
      <c r="A10064" s="3">
        <v>86878</v>
      </c>
      <c r="B10064" s="4" t="s">
        <v>10088</v>
      </c>
      <c r="C10064" s="3" t="s">
        <v>6</v>
      </c>
      <c r="D10064" s="5">
        <f t="shared" si="314"/>
        <v>72.42</v>
      </c>
      <c r="E10064">
        <v>79.5</v>
      </c>
      <c r="F10064" s="1789">
        <v>8.8999999999999996E-2</v>
      </c>
      <c r="G10064">
        <f t="shared" si="315"/>
        <v>72.42</v>
      </c>
    </row>
    <row r="10065" spans="1:7" ht="12.75" customHeight="1">
      <c r="A10065" s="3">
        <v>86879</v>
      </c>
      <c r="B10065" s="4" t="s">
        <v>10089</v>
      </c>
      <c r="C10065" s="3" t="s">
        <v>6</v>
      </c>
      <c r="D10065" s="5">
        <f t="shared" si="314"/>
        <v>9.84</v>
      </c>
      <c r="E10065">
        <v>10.81</v>
      </c>
      <c r="F10065" s="1789">
        <v>8.8999999999999996E-2</v>
      </c>
      <c r="G10065">
        <f t="shared" si="315"/>
        <v>9.84</v>
      </c>
    </row>
    <row r="10066" spans="1:7" ht="12.75" customHeight="1">
      <c r="A10066" s="3">
        <v>86880</v>
      </c>
      <c r="B10066" s="4" t="s">
        <v>10090</v>
      </c>
      <c r="C10066" s="3" t="s">
        <v>6</v>
      </c>
      <c r="D10066" s="5">
        <f t="shared" si="314"/>
        <v>28.93</v>
      </c>
      <c r="E10066">
        <v>31.76</v>
      </c>
      <c r="F10066" s="1789">
        <v>8.8999999999999996E-2</v>
      </c>
      <c r="G10066">
        <f t="shared" si="315"/>
        <v>28.93</v>
      </c>
    </row>
    <row r="10067" spans="1:7" ht="12.75" customHeight="1">
      <c r="A10067" s="3">
        <v>86881</v>
      </c>
      <c r="B10067" s="4" t="s">
        <v>10091</v>
      </c>
      <c r="C10067" s="3" t="s">
        <v>6</v>
      </c>
      <c r="D10067" s="5">
        <f t="shared" si="314"/>
        <v>204.84</v>
      </c>
      <c r="E10067">
        <v>224.86</v>
      </c>
      <c r="F10067" s="1789">
        <v>8.8999999999999996E-2</v>
      </c>
      <c r="G10067">
        <f t="shared" si="315"/>
        <v>204.84</v>
      </c>
    </row>
    <row r="10068" spans="1:7" ht="12.75" customHeight="1">
      <c r="A10068" s="3">
        <v>86882</v>
      </c>
      <c r="B10068" s="4" t="s">
        <v>10092</v>
      </c>
      <c r="C10068" s="3" t="s">
        <v>6</v>
      </c>
      <c r="D10068" s="5">
        <f t="shared" si="314"/>
        <v>24.22</v>
      </c>
      <c r="E10068">
        <v>26.59</v>
      </c>
      <c r="F10068" s="1789">
        <v>8.8999999999999996E-2</v>
      </c>
      <c r="G10068">
        <f t="shared" si="315"/>
        <v>24.22</v>
      </c>
    </row>
    <row r="10069" spans="1:7" ht="12.75" customHeight="1">
      <c r="A10069" s="3">
        <v>86883</v>
      </c>
      <c r="B10069" s="4" t="s">
        <v>10093</v>
      </c>
      <c r="C10069" s="3" t="s">
        <v>6</v>
      </c>
      <c r="D10069" s="5">
        <f t="shared" ref="D10069:D10132" si="316">G10069</f>
        <v>13.04</v>
      </c>
      <c r="E10069">
        <v>14.32</v>
      </c>
      <c r="F10069" s="1789">
        <v>8.8999999999999996E-2</v>
      </c>
      <c r="G10069">
        <f t="shared" ref="G10069:G10132" si="317">TRUNC((1-F10069)*E10069,2)</f>
        <v>13.04</v>
      </c>
    </row>
    <row r="10070" spans="1:7" ht="12.75" customHeight="1">
      <c r="A10070" s="3">
        <v>86884</v>
      </c>
      <c r="B10070" s="4" t="s">
        <v>10094</v>
      </c>
      <c r="C10070" s="3" t="s">
        <v>6</v>
      </c>
      <c r="D10070" s="5">
        <f t="shared" si="316"/>
        <v>10.84</v>
      </c>
      <c r="E10070">
        <v>11.9</v>
      </c>
      <c r="F10070" s="1789">
        <v>8.8999999999999996E-2</v>
      </c>
      <c r="G10070">
        <f t="shared" si="317"/>
        <v>10.84</v>
      </c>
    </row>
    <row r="10071" spans="1:7" ht="12.75" customHeight="1">
      <c r="A10071" s="3">
        <v>86885</v>
      </c>
      <c r="B10071" s="4" t="s">
        <v>10095</v>
      </c>
      <c r="C10071" s="3" t="s">
        <v>6</v>
      </c>
      <c r="D10071" s="5">
        <f t="shared" si="316"/>
        <v>12.48</v>
      </c>
      <c r="E10071">
        <v>13.71</v>
      </c>
      <c r="F10071" s="1789">
        <v>8.8999999999999996E-2</v>
      </c>
      <c r="G10071">
        <f t="shared" si="317"/>
        <v>12.48</v>
      </c>
    </row>
    <row r="10072" spans="1:7" ht="12.75" customHeight="1">
      <c r="A10072" s="3">
        <v>86886</v>
      </c>
      <c r="B10072" s="4" t="s">
        <v>10096</v>
      </c>
      <c r="C10072" s="3" t="s">
        <v>6</v>
      </c>
      <c r="D10072" s="5">
        <f t="shared" si="316"/>
        <v>49.62</v>
      </c>
      <c r="E10072">
        <v>54.47</v>
      </c>
      <c r="F10072" s="1789">
        <v>8.8999999999999996E-2</v>
      </c>
      <c r="G10072">
        <f t="shared" si="317"/>
        <v>49.62</v>
      </c>
    </row>
    <row r="10073" spans="1:7" ht="12.75" customHeight="1">
      <c r="A10073" s="3">
        <v>86887</v>
      </c>
      <c r="B10073" s="4" t="s">
        <v>10097</v>
      </c>
      <c r="C10073" s="3" t="s">
        <v>6</v>
      </c>
      <c r="D10073" s="5">
        <f t="shared" si="316"/>
        <v>53.89</v>
      </c>
      <c r="E10073">
        <v>59.16</v>
      </c>
      <c r="F10073" s="1789">
        <v>8.8999999999999996E-2</v>
      </c>
      <c r="G10073">
        <f t="shared" si="317"/>
        <v>53.89</v>
      </c>
    </row>
    <row r="10074" spans="1:7" ht="12.75" customHeight="1">
      <c r="A10074" s="3">
        <v>86888</v>
      </c>
      <c r="B10074" s="4" t="s">
        <v>10098</v>
      </c>
      <c r="C10074" s="3" t="s">
        <v>6</v>
      </c>
      <c r="D10074" s="5">
        <f t="shared" si="316"/>
        <v>431.89</v>
      </c>
      <c r="E10074">
        <v>474.09</v>
      </c>
      <c r="F10074" s="1789">
        <v>8.8999999999999996E-2</v>
      </c>
      <c r="G10074">
        <f t="shared" si="317"/>
        <v>431.89</v>
      </c>
    </row>
    <row r="10075" spans="1:7" ht="12.75" customHeight="1">
      <c r="A10075" s="3">
        <v>86889</v>
      </c>
      <c r="B10075" s="4" t="s">
        <v>10099</v>
      </c>
      <c r="C10075" s="3" t="s">
        <v>6</v>
      </c>
      <c r="D10075" s="5">
        <f t="shared" si="316"/>
        <v>692.48</v>
      </c>
      <c r="E10075">
        <v>760.14</v>
      </c>
      <c r="F10075" s="1789">
        <v>8.8999999999999996E-2</v>
      </c>
      <c r="G10075">
        <f t="shared" si="317"/>
        <v>692.48</v>
      </c>
    </row>
    <row r="10076" spans="1:7" ht="12.75" customHeight="1">
      <c r="A10076" s="3">
        <v>86893</v>
      </c>
      <c r="B10076" s="4" t="s">
        <v>10100</v>
      </c>
      <c r="C10076" s="3" t="s">
        <v>6</v>
      </c>
      <c r="D10076" s="5">
        <f t="shared" si="316"/>
        <v>618.63</v>
      </c>
      <c r="E10076">
        <v>679.07</v>
      </c>
      <c r="F10076" s="1789">
        <v>8.8999999999999996E-2</v>
      </c>
      <c r="G10076">
        <f t="shared" si="317"/>
        <v>618.63</v>
      </c>
    </row>
    <row r="10077" spans="1:7" ht="12.75" customHeight="1">
      <c r="A10077" s="3">
        <v>86894</v>
      </c>
      <c r="B10077" s="4" t="s">
        <v>10101</v>
      </c>
      <c r="C10077" s="3" t="s">
        <v>6</v>
      </c>
      <c r="D10077" s="5">
        <f t="shared" si="316"/>
        <v>290.55</v>
      </c>
      <c r="E10077">
        <v>318.94</v>
      </c>
      <c r="F10077" s="1789">
        <v>8.8999999999999996E-2</v>
      </c>
      <c r="G10077">
        <f t="shared" si="317"/>
        <v>290.55</v>
      </c>
    </row>
    <row r="10078" spans="1:7" ht="12.75" customHeight="1">
      <c r="A10078" s="3">
        <v>86895</v>
      </c>
      <c r="B10078" s="4" t="s">
        <v>10102</v>
      </c>
      <c r="C10078" s="3" t="s">
        <v>6</v>
      </c>
      <c r="D10078" s="5">
        <f t="shared" si="316"/>
        <v>329.56</v>
      </c>
      <c r="E10078">
        <v>361.76</v>
      </c>
      <c r="F10078" s="1789">
        <v>8.8999999999999996E-2</v>
      </c>
      <c r="G10078">
        <f t="shared" si="317"/>
        <v>329.56</v>
      </c>
    </row>
    <row r="10079" spans="1:7" ht="12.75" customHeight="1">
      <c r="A10079" s="3">
        <v>86899</v>
      </c>
      <c r="B10079" s="4" t="s">
        <v>10103</v>
      </c>
      <c r="C10079" s="3" t="s">
        <v>6</v>
      </c>
      <c r="D10079" s="5">
        <f t="shared" si="316"/>
        <v>301.85000000000002</v>
      </c>
      <c r="E10079">
        <v>331.35</v>
      </c>
      <c r="F10079" s="1789">
        <v>8.8999999999999996E-2</v>
      </c>
      <c r="G10079">
        <f t="shared" si="317"/>
        <v>301.85000000000002</v>
      </c>
    </row>
    <row r="10080" spans="1:7" ht="12.75" customHeight="1">
      <c r="A10080" s="3">
        <v>86900</v>
      </c>
      <c r="B10080" s="4" t="s">
        <v>10104</v>
      </c>
      <c r="C10080" s="3" t="s">
        <v>6</v>
      </c>
      <c r="D10080" s="5">
        <f t="shared" si="316"/>
        <v>189.36</v>
      </c>
      <c r="E10080">
        <v>207.86</v>
      </c>
      <c r="F10080" s="1789">
        <v>8.8999999999999996E-2</v>
      </c>
      <c r="G10080">
        <f t="shared" si="317"/>
        <v>189.36</v>
      </c>
    </row>
    <row r="10081" spans="1:7" ht="12.75" customHeight="1">
      <c r="A10081" s="3">
        <v>86901</v>
      </c>
      <c r="B10081" s="4" t="s">
        <v>10105</v>
      </c>
      <c r="C10081" s="3" t="s">
        <v>6</v>
      </c>
      <c r="D10081" s="5">
        <f t="shared" si="316"/>
        <v>128.59</v>
      </c>
      <c r="E10081">
        <v>141.16</v>
      </c>
      <c r="F10081" s="1789">
        <v>8.8999999999999996E-2</v>
      </c>
      <c r="G10081">
        <f t="shared" si="317"/>
        <v>128.59</v>
      </c>
    </row>
    <row r="10082" spans="1:7" ht="12.75" customHeight="1">
      <c r="A10082" s="3">
        <v>86902</v>
      </c>
      <c r="B10082" s="4" t="s">
        <v>10106</v>
      </c>
      <c r="C10082" s="3" t="s">
        <v>6</v>
      </c>
      <c r="D10082" s="5">
        <f t="shared" si="316"/>
        <v>280.63</v>
      </c>
      <c r="E10082">
        <v>308.05</v>
      </c>
      <c r="F10082" s="1789">
        <v>8.8999999999999996E-2</v>
      </c>
      <c r="G10082">
        <f t="shared" si="317"/>
        <v>280.63</v>
      </c>
    </row>
    <row r="10083" spans="1:7" ht="12.75" customHeight="1">
      <c r="A10083" s="3">
        <v>86903</v>
      </c>
      <c r="B10083" s="4" t="s">
        <v>10107</v>
      </c>
      <c r="C10083" s="3" t="s">
        <v>6</v>
      </c>
      <c r="D10083" s="5">
        <f t="shared" si="316"/>
        <v>316.91000000000003</v>
      </c>
      <c r="E10083">
        <v>347.88</v>
      </c>
      <c r="F10083" s="1789">
        <v>8.8999999999999996E-2</v>
      </c>
      <c r="G10083">
        <f t="shared" si="317"/>
        <v>316.91000000000003</v>
      </c>
    </row>
    <row r="10084" spans="1:7" ht="12.75" customHeight="1">
      <c r="A10084" s="3">
        <v>86904</v>
      </c>
      <c r="B10084" s="4" t="s">
        <v>10108</v>
      </c>
      <c r="C10084" s="3" t="s">
        <v>6</v>
      </c>
      <c r="D10084" s="5">
        <f t="shared" si="316"/>
        <v>131.22</v>
      </c>
      <c r="E10084">
        <v>144.05000000000001</v>
      </c>
      <c r="F10084" s="1789">
        <v>8.8999999999999996E-2</v>
      </c>
      <c r="G10084">
        <f t="shared" si="317"/>
        <v>131.22</v>
      </c>
    </row>
    <row r="10085" spans="1:7" ht="12.75" customHeight="1">
      <c r="A10085" s="3">
        <v>86905</v>
      </c>
      <c r="B10085" s="4" t="s">
        <v>10109</v>
      </c>
      <c r="C10085" s="3" t="s">
        <v>6</v>
      </c>
      <c r="D10085" s="5">
        <f t="shared" si="316"/>
        <v>399.42</v>
      </c>
      <c r="E10085">
        <v>438.45</v>
      </c>
      <c r="F10085" s="1789">
        <v>8.8999999999999996E-2</v>
      </c>
      <c r="G10085">
        <f t="shared" si="317"/>
        <v>399.42</v>
      </c>
    </row>
    <row r="10086" spans="1:7" ht="12.75" customHeight="1">
      <c r="A10086" s="3">
        <v>86906</v>
      </c>
      <c r="B10086" s="4" t="s">
        <v>10110</v>
      </c>
      <c r="C10086" s="3" t="s">
        <v>6</v>
      </c>
      <c r="D10086" s="5">
        <f t="shared" si="316"/>
        <v>73.86</v>
      </c>
      <c r="E10086">
        <v>81.08</v>
      </c>
      <c r="F10086" s="1789">
        <v>8.8999999999999996E-2</v>
      </c>
      <c r="G10086">
        <f t="shared" si="317"/>
        <v>73.86</v>
      </c>
    </row>
    <row r="10087" spans="1:7" ht="12.75" customHeight="1">
      <c r="A10087" s="3">
        <v>86908</v>
      </c>
      <c r="B10087" s="4" t="s">
        <v>10111</v>
      </c>
      <c r="C10087" s="3" t="s">
        <v>6</v>
      </c>
      <c r="D10087" s="5">
        <f t="shared" si="316"/>
        <v>479.3</v>
      </c>
      <c r="E10087">
        <v>526.13</v>
      </c>
      <c r="F10087" s="1789">
        <v>8.8999999999999996E-2</v>
      </c>
      <c r="G10087">
        <f t="shared" si="317"/>
        <v>479.3</v>
      </c>
    </row>
    <row r="10088" spans="1:7" ht="12.75" customHeight="1">
      <c r="A10088" s="3">
        <v>86909</v>
      </c>
      <c r="B10088" s="4" t="s">
        <v>10112</v>
      </c>
      <c r="C10088" s="3" t="s">
        <v>6</v>
      </c>
      <c r="D10088" s="5">
        <f t="shared" si="316"/>
        <v>128.25</v>
      </c>
      <c r="E10088">
        <v>140.79</v>
      </c>
      <c r="F10088" s="1789">
        <v>8.8999999999999996E-2</v>
      </c>
      <c r="G10088">
        <f t="shared" si="317"/>
        <v>128.25</v>
      </c>
    </row>
    <row r="10089" spans="1:7" ht="12.75" customHeight="1">
      <c r="A10089" s="3">
        <v>86910</v>
      </c>
      <c r="B10089" s="4" t="s">
        <v>10113</v>
      </c>
      <c r="C10089" s="3" t="s">
        <v>6</v>
      </c>
      <c r="D10089" s="5">
        <f t="shared" si="316"/>
        <v>126.41</v>
      </c>
      <c r="E10089">
        <v>138.77000000000001</v>
      </c>
      <c r="F10089" s="1789">
        <v>8.8999999999999996E-2</v>
      </c>
      <c r="G10089">
        <f t="shared" si="317"/>
        <v>126.41</v>
      </c>
    </row>
    <row r="10090" spans="1:7" ht="12.75" customHeight="1">
      <c r="A10090" s="3">
        <v>86911</v>
      </c>
      <c r="B10090" s="4" t="s">
        <v>10114</v>
      </c>
      <c r="C10090" s="3" t="s">
        <v>6</v>
      </c>
      <c r="D10090" s="5">
        <f t="shared" si="316"/>
        <v>86.42</v>
      </c>
      <c r="E10090">
        <v>94.87</v>
      </c>
      <c r="F10090" s="1789">
        <v>8.8999999999999996E-2</v>
      </c>
      <c r="G10090">
        <f t="shared" si="317"/>
        <v>86.42</v>
      </c>
    </row>
    <row r="10091" spans="1:7" ht="12.75" customHeight="1">
      <c r="A10091" s="3">
        <v>86913</v>
      </c>
      <c r="B10091" s="4" t="s">
        <v>10115</v>
      </c>
      <c r="C10091" s="3" t="s">
        <v>6</v>
      </c>
      <c r="D10091" s="5">
        <f t="shared" si="316"/>
        <v>53.88</v>
      </c>
      <c r="E10091">
        <v>59.15</v>
      </c>
      <c r="F10091" s="1789">
        <v>8.8999999999999996E-2</v>
      </c>
      <c r="G10091">
        <f t="shared" si="317"/>
        <v>53.88</v>
      </c>
    </row>
    <row r="10092" spans="1:7" ht="12.75" customHeight="1">
      <c r="A10092" s="3">
        <v>86914</v>
      </c>
      <c r="B10092" s="4" t="s">
        <v>10116</v>
      </c>
      <c r="C10092" s="3" t="s">
        <v>6</v>
      </c>
      <c r="D10092" s="5">
        <f t="shared" si="316"/>
        <v>96.97</v>
      </c>
      <c r="E10092">
        <v>106.45</v>
      </c>
      <c r="F10092" s="1789">
        <v>8.8999999999999996E-2</v>
      </c>
      <c r="G10092">
        <f t="shared" si="317"/>
        <v>96.97</v>
      </c>
    </row>
    <row r="10093" spans="1:7" ht="12.75" customHeight="1">
      <c r="A10093" s="3">
        <v>86915</v>
      </c>
      <c r="B10093" s="4" t="s">
        <v>10117</v>
      </c>
      <c r="C10093" s="3" t="s">
        <v>6</v>
      </c>
      <c r="D10093" s="5">
        <f t="shared" si="316"/>
        <v>141.65</v>
      </c>
      <c r="E10093">
        <v>155.49</v>
      </c>
      <c r="F10093" s="1789">
        <v>8.8999999999999996E-2</v>
      </c>
      <c r="G10093">
        <f t="shared" si="317"/>
        <v>141.65</v>
      </c>
    </row>
    <row r="10094" spans="1:7" ht="12.75" customHeight="1">
      <c r="A10094" s="3">
        <v>86916</v>
      </c>
      <c r="B10094" s="4" t="s">
        <v>10118</v>
      </c>
      <c r="C10094" s="3" t="s">
        <v>6</v>
      </c>
      <c r="D10094" s="5">
        <f t="shared" si="316"/>
        <v>24.59</v>
      </c>
      <c r="E10094">
        <v>27</v>
      </c>
      <c r="F10094" s="1789">
        <v>8.8999999999999996E-2</v>
      </c>
      <c r="G10094">
        <f t="shared" si="317"/>
        <v>24.59</v>
      </c>
    </row>
    <row r="10095" spans="1:7" ht="12.75" customHeight="1">
      <c r="A10095" s="3">
        <v>86919</v>
      </c>
      <c r="B10095" s="4" t="s">
        <v>10119</v>
      </c>
      <c r="C10095" s="3" t="s">
        <v>6</v>
      </c>
      <c r="D10095" s="5">
        <f t="shared" si="316"/>
        <v>812.65</v>
      </c>
      <c r="E10095">
        <v>892.05</v>
      </c>
      <c r="F10095" s="1789">
        <v>8.8999999999999996E-2</v>
      </c>
      <c r="G10095">
        <f t="shared" si="317"/>
        <v>812.65</v>
      </c>
    </row>
    <row r="10096" spans="1:7" ht="12.75" customHeight="1">
      <c r="A10096" s="3">
        <v>86920</v>
      </c>
      <c r="B10096" s="4" t="s">
        <v>10120</v>
      </c>
      <c r="C10096" s="3" t="s">
        <v>6</v>
      </c>
      <c r="D10096" s="5">
        <f t="shared" si="316"/>
        <v>712.29</v>
      </c>
      <c r="E10096">
        <v>781.88</v>
      </c>
      <c r="F10096" s="1789">
        <v>8.8999999999999996E-2</v>
      </c>
      <c r="G10096">
        <f t="shared" si="317"/>
        <v>712.29</v>
      </c>
    </row>
    <row r="10097" spans="1:7" ht="12.75" customHeight="1">
      <c r="A10097" s="3">
        <v>86921</v>
      </c>
      <c r="B10097" s="4" t="s">
        <v>10121</v>
      </c>
      <c r="C10097" s="3" t="s">
        <v>6</v>
      </c>
      <c r="D10097" s="5">
        <f t="shared" si="316"/>
        <v>683</v>
      </c>
      <c r="E10097">
        <v>749.73</v>
      </c>
      <c r="F10097" s="1789">
        <v>8.8999999999999996E-2</v>
      </c>
      <c r="G10097">
        <f t="shared" si="317"/>
        <v>683</v>
      </c>
    </row>
    <row r="10098" spans="1:7" ht="12.75" customHeight="1">
      <c r="A10098" s="3">
        <v>86922</v>
      </c>
      <c r="B10098" s="4" t="s">
        <v>10122</v>
      </c>
      <c r="C10098" s="3" t="s">
        <v>6</v>
      </c>
      <c r="D10098" s="5">
        <f t="shared" si="316"/>
        <v>812.97</v>
      </c>
      <c r="E10098">
        <v>892.4</v>
      </c>
      <c r="F10098" s="1789">
        <v>8.8999999999999996E-2</v>
      </c>
      <c r="G10098">
        <f t="shared" si="317"/>
        <v>812.97</v>
      </c>
    </row>
    <row r="10099" spans="1:7" ht="12.75" customHeight="1">
      <c r="A10099" s="3">
        <v>86923</v>
      </c>
      <c r="B10099" s="4" t="s">
        <v>10123</v>
      </c>
      <c r="C10099" s="3" t="s">
        <v>6</v>
      </c>
      <c r="D10099" s="5">
        <f t="shared" si="316"/>
        <v>531.98</v>
      </c>
      <c r="E10099">
        <v>583.96</v>
      </c>
      <c r="F10099" s="1789">
        <v>8.8999999999999996E-2</v>
      </c>
      <c r="G10099">
        <f t="shared" si="317"/>
        <v>531.98</v>
      </c>
    </row>
    <row r="10100" spans="1:7" ht="12.75" customHeight="1">
      <c r="A10100" s="3">
        <v>86924</v>
      </c>
      <c r="B10100" s="4" t="s">
        <v>10124</v>
      </c>
      <c r="C10100" s="3" t="s">
        <v>6</v>
      </c>
      <c r="D10100" s="5">
        <f t="shared" si="316"/>
        <v>502.69</v>
      </c>
      <c r="E10100">
        <v>551.80999999999995</v>
      </c>
      <c r="F10100" s="1789">
        <v>8.8999999999999996E-2</v>
      </c>
      <c r="G10100">
        <f t="shared" si="317"/>
        <v>502.69</v>
      </c>
    </row>
    <row r="10101" spans="1:7" ht="12.75" customHeight="1">
      <c r="A10101" s="3">
        <v>86925</v>
      </c>
      <c r="B10101" s="4" t="s">
        <v>10125</v>
      </c>
      <c r="C10101" s="3" t="s">
        <v>6</v>
      </c>
      <c r="D10101" s="5">
        <f t="shared" si="316"/>
        <v>592.33000000000004</v>
      </c>
      <c r="E10101">
        <v>650.20000000000005</v>
      </c>
      <c r="F10101" s="1789">
        <v>8.8999999999999996E-2</v>
      </c>
      <c r="G10101">
        <f t="shared" si="317"/>
        <v>592.33000000000004</v>
      </c>
    </row>
    <row r="10102" spans="1:7" ht="12.75" customHeight="1">
      <c r="A10102" s="3">
        <v>86926</v>
      </c>
      <c r="B10102" s="4" t="s">
        <v>10126</v>
      </c>
      <c r="C10102" s="3" t="s">
        <v>6</v>
      </c>
      <c r="D10102" s="5">
        <f t="shared" si="316"/>
        <v>563.04</v>
      </c>
      <c r="E10102">
        <v>618.04999999999995</v>
      </c>
      <c r="F10102" s="1789">
        <v>8.8999999999999996E-2</v>
      </c>
      <c r="G10102">
        <f t="shared" si="317"/>
        <v>563.04</v>
      </c>
    </row>
    <row r="10103" spans="1:7" ht="12.75" customHeight="1">
      <c r="A10103" s="3">
        <v>86927</v>
      </c>
      <c r="B10103" s="4" t="s">
        <v>10127</v>
      </c>
      <c r="C10103" s="3" t="s">
        <v>6</v>
      </c>
      <c r="D10103" s="5">
        <f t="shared" si="316"/>
        <v>381.77</v>
      </c>
      <c r="E10103">
        <v>419.07</v>
      </c>
      <c r="F10103" s="1789">
        <v>8.8999999999999996E-2</v>
      </c>
      <c r="G10103">
        <f t="shared" si="317"/>
        <v>381.77</v>
      </c>
    </row>
    <row r="10104" spans="1:7" ht="12.75" customHeight="1">
      <c r="A10104" s="3">
        <v>86928</v>
      </c>
      <c r="B10104" s="4" t="s">
        <v>10128</v>
      </c>
      <c r="C10104" s="3" t="s">
        <v>6</v>
      </c>
      <c r="D10104" s="5">
        <f t="shared" si="316"/>
        <v>352.48</v>
      </c>
      <c r="E10104">
        <v>386.92</v>
      </c>
      <c r="F10104" s="1789">
        <v>8.8999999999999996E-2</v>
      </c>
      <c r="G10104">
        <f t="shared" si="317"/>
        <v>352.48</v>
      </c>
    </row>
    <row r="10105" spans="1:7" ht="12.75" customHeight="1">
      <c r="A10105" s="3">
        <v>86929</v>
      </c>
      <c r="B10105" s="4" t="s">
        <v>10129</v>
      </c>
      <c r="C10105" s="3" t="s">
        <v>6</v>
      </c>
      <c r="D10105" s="5">
        <f t="shared" si="316"/>
        <v>370.59</v>
      </c>
      <c r="E10105">
        <v>406.8</v>
      </c>
      <c r="F10105" s="1789">
        <v>8.8999999999999996E-2</v>
      </c>
      <c r="G10105">
        <f t="shared" si="317"/>
        <v>370.59</v>
      </c>
    </row>
    <row r="10106" spans="1:7" ht="12.75" customHeight="1">
      <c r="A10106" s="3">
        <v>86930</v>
      </c>
      <c r="B10106" s="4" t="s">
        <v>10130</v>
      </c>
      <c r="C10106" s="3" t="s">
        <v>6</v>
      </c>
      <c r="D10106" s="5">
        <f t="shared" si="316"/>
        <v>341.3</v>
      </c>
      <c r="E10106">
        <v>374.65</v>
      </c>
      <c r="F10106" s="1789">
        <v>8.8999999999999996E-2</v>
      </c>
      <c r="G10106">
        <f t="shared" si="317"/>
        <v>341.3</v>
      </c>
    </row>
    <row r="10107" spans="1:7" ht="12.75" customHeight="1">
      <c r="A10107" s="3">
        <v>86931</v>
      </c>
      <c r="B10107" s="4" t="s">
        <v>10131</v>
      </c>
      <c r="C10107" s="3" t="s">
        <v>6</v>
      </c>
      <c r="D10107" s="5">
        <f t="shared" si="316"/>
        <v>444.38</v>
      </c>
      <c r="E10107">
        <v>487.8</v>
      </c>
      <c r="F10107" s="1789">
        <v>8.8999999999999996E-2</v>
      </c>
      <c r="G10107">
        <f t="shared" si="317"/>
        <v>444.38</v>
      </c>
    </row>
    <row r="10108" spans="1:7" ht="12.75" customHeight="1">
      <c r="A10108" s="3">
        <v>86932</v>
      </c>
      <c r="B10108" s="4" t="s">
        <v>10132</v>
      </c>
      <c r="C10108" s="3" t="s">
        <v>6</v>
      </c>
      <c r="D10108" s="5">
        <f t="shared" si="316"/>
        <v>485.79</v>
      </c>
      <c r="E10108">
        <v>533.25</v>
      </c>
      <c r="F10108" s="1789">
        <v>8.8999999999999996E-2</v>
      </c>
      <c r="G10108">
        <f t="shared" si="317"/>
        <v>485.79</v>
      </c>
    </row>
    <row r="10109" spans="1:7" ht="12.75" customHeight="1">
      <c r="A10109" s="3">
        <v>86933</v>
      </c>
      <c r="B10109" s="4" t="s">
        <v>10133</v>
      </c>
      <c r="C10109" s="3" t="s">
        <v>6</v>
      </c>
      <c r="D10109" s="5">
        <f t="shared" si="316"/>
        <v>430.13</v>
      </c>
      <c r="E10109">
        <v>472.16</v>
      </c>
      <c r="F10109" s="1789">
        <v>8.8999999999999996E-2</v>
      </c>
      <c r="G10109">
        <f t="shared" si="317"/>
        <v>430.13</v>
      </c>
    </row>
    <row r="10110" spans="1:7" ht="12.75" customHeight="1">
      <c r="A10110" s="3">
        <v>86934</v>
      </c>
      <c r="B10110" s="4" t="s">
        <v>10134</v>
      </c>
      <c r="C10110" s="3" t="s">
        <v>6</v>
      </c>
      <c r="D10110" s="5">
        <f t="shared" si="316"/>
        <v>418.95</v>
      </c>
      <c r="E10110">
        <v>459.89</v>
      </c>
      <c r="F10110" s="1789">
        <v>8.8999999999999996E-2</v>
      </c>
      <c r="G10110">
        <f t="shared" si="317"/>
        <v>418.95</v>
      </c>
    </row>
    <row r="10111" spans="1:7" ht="12.75" customHeight="1">
      <c r="A10111" s="3">
        <v>86935</v>
      </c>
      <c r="B10111" s="4" t="s">
        <v>10135</v>
      </c>
      <c r="C10111" s="3" t="s">
        <v>6</v>
      </c>
      <c r="D10111" s="5">
        <f t="shared" si="316"/>
        <v>274.83</v>
      </c>
      <c r="E10111">
        <v>301.68</v>
      </c>
      <c r="F10111" s="1789">
        <v>8.8999999999999996E-2</v>
      </c>
      <c r="G10111">
        <f t="shared" si="317"/>
        <v>274.83</v>
      </c>
    </row>
    <row r="10112" spans="1:7" ht="12.75" customHeight="1">
      <c r="A10112" s="3">
        <v>86936</v>
      </c>
      <c r="B10112" s="4" t="s">
        <v>10136</v>
      </c>
      <c r="C10112" s="3" t="s">
        <v>6</v>
      </c>
      <c r="D10112" s="5">
        <f t="shared" si="316"/>
        <v>466.63</v>
      </c>
      <c r="E10112">
        <v>512.22</v>
      </c>
      <c r="F10112" s="1789">
        <v>8.8999999999999996E-2</v>
      </c>
      <c r="G10112">
        <f t="shared" si="317"/>
        <v>466.63</v>
      </c>
    </row>
    <row r="10113" spans="1:7" ht="12.75" customHeight="1">
      <c r="A10113" s="3">
        <v>86937</v>
      </c>
      <c r="B10113" s="4" t="s">
        <v>10137</v>
      </c>
      <c r="C10113" s="3" t="s">
        <v>6</v>
      </c>
      <c r="D10113" s="5">
        <f t="shared" si="316"/>
        <v>208.76</v>
      </c>
      <c r="E10113">
        <v>229.16</v>
      </c>
      <c r="F10113" s="1789">
        <v>8.8999999999999996E-2</v>
      </c>
      <c r="G10113">
        <f t="shared" si="317"/>
        <v>208.76</v>
      </c>
    </row>
    <row r="10114" spans="1:7" ht="12.75" customHeight="1">
      <c r="A10114" s="3">
        <v>86938</v>
      </c>
      <c r="B10114" s="4" t="s">
        <v>10138</v>
      </c>
      <c r="C10114" s="3" t="s">
        <v>6</v>
      </c>
      <c r="D10114" s="5">
        <f t="shared" si="316"/>
        <v>400.56</v>
      </c>
      <c r="E10114">
        <v>439.7</v>
      </c>
      <c r="F10114" s="1789">
        <v>8.8999999999999996E-2</v>
      </c>
      <c r="G10114">
        <f t="shared" si="317"/>
        <v>400.56</v>
      </c>
    </row>
    <row r="10115" spans="1:7" ht="12.75" customHeight="1">
      <c r="A10115" s="3">
        <v>86939</v>
      </c>
      <c r="B10115" s="4" t="s">
        <v>10139</v>
      </c>
      <c r="C10115" s="3" t="s">
        <v>6</v>
      </c>
      <c r="D10115" s="5">
        <f t="shared" si="316"/>
        <v>388.23</v>
      </c>
      <c r="E10115">
        <v>426.16</v>
      </c>
      <c r="F10115" s="1789">
        <v>8.8999999999999996E-2</v>
      </c>
      <c r="G10115">
        <f t="shared" si="317"/>
        <v>388.23</v>
      </c>
    </row>
    <row r="10116" spans="1:7" ht="12.75" customHeight="1">
      <c r="A10116" s="3">
        <v>86940</v>
      </c>
      <c r="B10116" s="4" t="s">
        <v>10140</v>
      </c>
      <c r="C10116" s="3" t="s">
        <v>6</v>
      </c>
      <c r="D10116" s="5">
        <f t="shared" si="316"/>
        <v>1096.0999999999999</v>
      </c>
      <c r="E10116">
        <v>1203.19</v>
      </c>
      <c r="F10116" s="1789">
        <v>8.8999999999999996E-2</v>
      </c>
      <c r="G10116">
        <f t="shared" si="317"/>
        <v>1096.0999999999999</v>
      </c>
    </row>
    <row r="10117" spans="1:7" ht="12.75" customHeight="1">
      <c r="A10117" s="3">
        <v>86941</v>
      </c>
      <c r="B10117" s="4" t="s">
        <v>10141</v>
      </c>
      <c r="C10117" s="3" t="s">
        <v>6</v>
      </c>
      <c r="D10117" s="5">
        <f t="shared" si="316"/>
        <v>784.43</v>
      </c>
      <c r="E10117">
        <v>861.07</v>
      </c>
      <c r="F10117" s="1789">
        <v>8.8999999999999996E-2</v>
      </c>
      <c r="G10117">
        <f t="shared" si="317"/>
        <v>784.43</v>
      </c>
    </row>
    <row r="10118" spans="1:7" ht="12.75" customHeight="1">
      <c r="A10118" s="3">
        <v>86942</v>
      </c>
      <c r="B10118" s="4" t="s">
        <v>10142</v>
      </c>
      <c r="C10118" s="3" t="s">
        <v>6</v>
      </c>
      <c r="D10118" s="5">
        <f t="shared" si="316"/>
        <v>250</v>
      </c>
      <c r="E10118">
        <v>274.43</v>
      </c>
      <c r="F10118" s="1789">
        <v>8.8999999999999996E-2</v>
      </c>
      <c r="G10118">
        <f t="shared" si="317"/>
        <v>250</v>
      </c>
    </row>
    <row r="10119" spans="1:7" ht="12.75" customHeight="1">
      <c r="A10119" s="3">
        <v>86943</v>
      </c>
      <c r="B10119" s="4" t="s">
        <v>10143</v>
      </c>
      <c r="C10119" s="3" t="s">
        <v>6</v>
      </c>
      <c r="D10119" s="5">
        <f t="shared" si="316"/>
        <v>238.82</v>
      </c>
      <c r="E10119">
        <v>262.16000000000003</v>
      </c>
      <c r="F10119" s="1789">
        <v>8.8999999999999996E-2</v>
      </c>
      <c r="G10119">
        <f t="shared" si="317"/>
        <v>238.82</v>
      </c>
    </row>
    <row r="10120" spans="1:7" ht="12.75" customHeight="1">
      <c r="A10120" s="3">
        <v>86947</v>
      </c>
      <c r="B10120" s="4" t="s">
        <v>10144</v>
      </c>
      <c r="C10120" s="3" t="s">
        <v>6</v>
      </c>
      <c r="D10120" s="5">
        <f t="shared" si="316"/>
        <v>1209.6400000000001</v>
      </c>
      <c r="E10120">
        <v>1327.82</v>
      </c>
      <c r="F10120" s="1789">
        <v>8.8999999999999996E-2</v>
      </c>
      <c r="G10120">
        <f t="shared" si="317"/>
        <v>1209.6400000000001</v>
      </c>
    </row>
    <row r="10121" spans="1:7" ht="12.75" customHeight="1">
      <c r="A10121" s="3">
        <v>93396</v>
      </c>
      <c r="B10121" s="4" t="s">
        <v>10145</v>
      </c>
      <c r="C10121" s="3" t="s">
        <v>6</v>
      </c>
      <c r="D10121" s="5">
        <f t="shared" si="316"/>
        <v>623.03</v>
      </c>
      <c r="E10121">
        <v>683.9</v>
      </c>
      <c r="F10121" s="1789">
        <v>8.8999999999999996E-2</v>
      </c>
      <c r="G10121">
        <f t="shared" si="317"/>
        <v>623.03</v>
      </c>
    </row>
    <row r="10122" spans="1:7" ht="12.75" customHeight="1">
      <c r="A10122" s="3">
        <v>93441</v>
      </c>
      <c r="B10122" s="4" t="s">
        <v>10146</v>
      </c>
      <c r="C10122" s="3" t="s">
        <v>6</v>
      </c>
      <c r="D10122" s="5">
        <f t="shared" si="316"/>
        <v>1064.58</v>
      </c>
      <c r="E10122">
        <v>1168.5899999999999</v>
      </c>
      <c r="F10122" s="1789">
        <v>8.8999999999999996E-2</v>
      </c>
      <c r="G10122">
        <f t="shared" si="317"/>
        <v>1064.58</v>
      </c>
    </row>
    <row r="10123" spans="1:7" ht="12.75" customHeight="1">
      <c r="A10123" s="3">
        <v>93442</v>
      </c>
      <c r="B10123" s="4" t="s">
        <v>10147</v>
      </c>
      <c r="C10123" s="3" t="s">
        <v>6</v>
      </c>
      <c r="D10123" s="5">
        <f t="shared" si="316"/>
        <v>1224.3599999999999</v>
      </c>
      <c r="E10123">
        <v>1343.98</v>
      </c>
      <c r="F10123" s="1789">
        <v>8.8999999999999996E-2</v>
      </c>
      <c r="G10123">
        <f t="shared" si="317"/>
        <v>1224.3599999999999</v>
      </c>
    </row>
    <row r="10124" spans="1:7" ht="12.75" customHeight="1">
      <c r="A10124" s="3">
        <v>95469</v>
      </c>
      <c r="B10124" s="4" t="s">
        <v>10148</v>
      </c>
      <c r="C10124" s="3" t="s">
        <v>6</v>
      </c>
      <c r="D10124" s="5">
        <f t="shared" si="316"/>
        <v>265.31</v>
      </c>
      <c r="E10124">
        <v>291.24</v>
      </c>
      <c r="F10124" s="1789">
        <v>8.8999999999999996E-2</v>
      </c>
      <c r="G10124">
        <f t="shared" si="317"/>
        <v>265.31</v>
      </c>
    </row>
    <row r="10125" spans="1:7" ht="12.75" customHeight="1">
      <c r="A10125" s="3">
        <v>95470</v>
      </c>
      <c r="B10125" s="4" t="s">
        <v>10149</v>
      </c>
      <c r="C10125" s="3" t="s">
        <v>6</v>
      </c>
      <c r="D10125" s="5">
        <f t="shared" si="316"/>
        <v>272.19</v>
      </c>
      <c r="E10125">
        <v>298.79000000000002</v>
      </c>
      <c r="F10125" s="1789">
        <v>8.8999999999999996E-2</v>
      </c>
      <c r="G10125">
        <f t="shared" si="317"/>
        <v>272.19</v>
      </c>
    </row>
    <row r="10126" spans="1:7" ht="12.75" customHeight="1">
      <c r="A10126" s="3">
        <v>95471</v>
      </c>
      <c r="B10126" s="4" t="s">
        <v>10150</v>
      </c>
      <c r="C10126" s="3" t="s">
        <v>6</v>
      </c>
      <c r="D10126" s="5">
        <f t="shared" si="316"/>
        <v>675.44</v>
      </c>
      <c r="E10126">
        <v>741.43</v>
      </c>
      <c r="F10126" s="1789">
        <v>8.8999999999999996E-2</v>
      </c>
      <c r="G10126">
        <f t="shared" si="317"/>
        <v>675.44</v>
      </c>
    </row>
    <row r="10127" spans="1:7" ht="12.75" customHeight="1">
      <c r="A10127" s="3">
        <v>95472</v>
      </c>
      <c r="B10127" s="4" t="s">
        <v>10151</v>
      </c>
      <c r="C10127" s="3" t="s">
        <v>6</v>
      </c>
      <c r="D10127" s="5">
        <f t="shared" si="316"/>
        <v>682.32</v>
      </c>
      <c r="E10127">
        <v>748.98</v>
      </c>
      <c r="F10127" s="1789">
        <v>8.8999999999999996E-2</v>
      </c>
      <c r="G10127">
        <f t="shared" si="317"/>
        <v>682.32</v>
      </c>
    </row>
    <row r="10128" spans="1:7" ht="12.75" customHeight="1">
      <c r="A10128" s="3">
        <v>95542</v>
      </c>
      <c r="B10128" s="4" t="s">
        <v>10152</v>
      </c>
      <c r="C10128" s="3" t="s">
        <v>6</v>
      </c>
      <c r="D10128" s="5">
        <f t="shared" si="316"/>
        <v>30.13</v>
      </c>
      <c r="E10128">
        <v>33.08</v>
      </c>
      <c r="F10128" s="1789">
        <v>8.8999999999999996E-2</v>
      </c>
      <c r="G10128">
        <f t="shared" si="317"/>
        <v>30.13</v>
      </c>
    </row>
    <row r="10129" spans="1:7" ht="12.75" customHeight="1">
      <c r="A10129" s="3">
        <v>95543</v>
      </c>
      <c r="B10129" s="4" t="s">
        <v>10153</v>
      </c>
      <c r="C10129" s="3" t="s">
        <v>6</v>
      </c>
      <c r="D10129" s="5">
        <f t="shared" si="316"/>
        <v>51</v>
      </c>
      <c r="E10129">
        <v>55.99</v>
      </c>
      <c r="F10129" s="1789">
        <v>8.8999999999999996E-2</v>
      </c>
      <c r="G10129">
        <f t="shared" si="317"/>
        <v>51</v>
      </c>
    </row>
    <row r="10130" spans="1:7" ht="12.75" customHeight="1">
      <c r="A10130" s="3">
        <v>95544</v>
      </c>
      <c r="B10130" s="4" t="s">
        <v>10154</v>
      </c>
      <c r="C10130" s="3" t="s">
        <v>6</v>
      </c>
      <c r="D10130" s="5">
        <f t="shared" si="316"/>
        <v>36.61</v>
      </c>
      <c r="E10130">
        <v>40.19</v>
      </c>
      <c r="F10130" s="1789">
        <v>8.8999999999999996E-2</v>
      </c>
      <c r="G10130">
        <f t="shared" si="317"/>
        <v>36.61</v>
      </c>
    </row>
    <row r="10131" spans="1:7" ht="12.75" customHeight="1">
      <c r="A10131" s="3">
        <v>95545</v>
      </c>
      <c r="B10131" s="4" t="s">
        <v>10155</v>
      </c>
      <c r="C10131" s="3" t="s">
        <v>6</v>
      </c>
      <c r="D10131" s="5">
        <f t="shared" si="316"/>
        <v>35.92</v>
      </c>
      <c r="E10131">
        <v>39.43</v>
      </c>
      <c r="F10131" s="1789">
        <v>8.8999999999999996E-2</v>
      </c>
      <c r="G10131">
        <f t="shared" si="317"/>
        <v>35.92</v>
      </c>
    </row>
    <row r="10132" spans="1:7" ht="12.75" customHeight="1">
      <c r="A10132" s="3">
        <v>95546</v>
      </c>
      <c r="B10132" s="4" t="s">
        <v>10156</v>
      </c>
      <c r="C10132" s="3" t="s">
        <v>6</v>
      </c>
      <c r="D10132" s="5">
        <f t="shared" si="316"/>
        <v>125.67</v>
      </c>
      <c r="E10132">
        <v>137.94999999999999</v>
      </c>
      <c r="F10132" s="1789">
        <v>8.8999999999999996E-2</v>
      </c>
      <c r="G10132">
        <f t="shared" si="317"/>
        <v>125.67</v>
      </c>
    </row>
    <row r="10133" spans="1:7" ht="12.75" customHeight="1">
      <c r="A10133" s="3">
        <v>95547</v>
      </c>
      <c r="B10133" s="4" t="s">
        <v>10157</v>
      </c>
      <c r="C10133" s="3" t="s">
        <v>6</v>
      </c>
      <c r="D10133" s="5">
        <f t="shared" ref="D10133:D10196" si="318">G10133</f>
        <v>52.91</v>
      </c>
      <c r="E10133">
        <v>58.08</v>
      </c>
      <c r="F10133" s="1789">
        <v>8.8999999999999996E-2</v>
      </c>
      <c r="G10133">
        <f t="shared" ref="G10133:G10196" si="319">TRUNC((1-F10133)*E10133,2)</f>
        <v>52.91</v>
      </c>
    </row>
    <row r="10134" spans="1:7" ht="12.75" customHeight="1">
      <c r="A10134" s="3">
        <v>100848</v>
      </c>
      <c r="B10134" s="4" t="s">
        <v>10158</v>
      </c>
      <c r="C10134" s="3" t="s">
        <v>6</v>
      </c>
      <c r="D10134" s="5">
        <f t="shared" si="318"/>
        <v>486.82</v>
      </c>
      <c r="E10134">
        <v>534.39</v>
      </c>
      <c r="F10134" s="1789">
        <v>8.8999999999999996E-2</v>
      </c>
      <c r="G10134">
        <f t="shared" si="319"/>
        <v>486.82</v>
      </c>
    </row>
    <row r="10135" spans="1:7" ht="12.75" customHeight="1">
      <c r="A10135" s="3">
        <v>100849</v>
      </c>
      <c r="B10135" s="4" t="s">
        <v>10159</v>
      </c>
      <c r="C10135" s="3" t="s">
        <v>6</v>
      </c>
      <c r="D10135" s="5">
        <f t="shared" si="318"/>
        <v>39.630000000000003</v>
      </c>
      <c r="E10135">
        <v>43.51</v>
      </c>
      <c r="F10135" s="1789">
        <v>8.8999999999999996E-2</v>
      </c>
      <c r="G10135">
        <f t="shared" si="319"/>
        <v>39.630000000000003</v>
      </c>
    </row>
    <row r="10136" spans="1:7" ht="12.75" customHeight="1">
      <c r="A10136" s="3">
        <v>100851</v>
      </c>
      <c r="B10136" s="4" t="s">
        <v>10160</v>
      </c>
      <c r="C10136" s="3" t="s">
        <v>6</v>
      </c>
      <c r="D10136" s="5">
        <f t="shared" si="318"/>
        <v>79.31</v>
      </c>
      <c r="E10136">
        <v>87.06</v>
      </c>
      <c r="F10136" s="1789">
        <v>8.8999999999999996E-2</v>
      </c>
      <c r="G10136">
        <f t="shared" si="319"/>
        <v>79.31</v>
      </c>
    </row>
    <row r="10137" spans="1:7" ht="12.75" customHeight="1">
      <c r="A10137" s="3">
        <v>100852</v>
      </c>
      <c r="B10137" s="4" t="s">
        <v>10161</v>
      </c>
      <c r="C10137" s="3" t="s">
        <v>6</v>
      </c>
      <c r="D10137" s="5">
        <f t="shared" si="318"/>
        <v>207.48</v>
      </c>
      <c r="E10137">
        <v>227.75</v>
      </c>
      <c r="F10137" s="1789">
        <v>8.8999999999999996E-2</v>
      </c>
      <c r="G10137">
        <f t="shared" si="319"/>
        <v>207.48</v>
      </c>
    </row>
    <row r="10138" spans="1:7" ht="12.75" customHeight="1">
      <c r="A10138" s="3">
        <v>100853</v>
      </c>
      <c r="B10138" s="4" t="s">
        <v>10162</v>
      </c>
      <c r="C10138" s="3" t="s">
        <v>6</v>
      </c>
      <c r="D10138" s="5">
        <f t="shared" si="318"/>
        <v>339.24</v>
      </c>
      <c r="E10138">
        <v>372.39</v>
      </c>
      <c r="F10138" s="1789">
        <v>8.8999999999999996E-2</v>
      </c>
      <c r="G10138">
        <f t="shared" si="319"/>
        <v>339.24</v>
      </c>
    </row>
    <row r="10139" spans="1:7" ht="12.75" customHeight="1">
      <c r="A10139" s="3">
        <v>100854</v>
      </c>
      <c r="B10139" s="4" t="s">
        <v>10163</v>
      </c>
      <c r="C10139" s="3" t="s">
        <v>6</v>
      </c>
      <c r="D10139" s="5">
        <f t="shared" si="318"/>
        <v>1773.68</v>
      </c>
      <c r="E10139">
        <v>1946.97</v>
      </c>
      <c r="F10139" s="1789">
        <v>8.8999999999999996E-2</v>
      </c>
      <c r="G10139">
        <f t="shared" si="319"/>
        <v>1773.68</v>
      </c>
    </row>
    <row r="10140" spans="1:7" ht="12.75" customHeight="1">
      <c r="A10140" s="3">
        <v>100856</v>
      </c>
      <c r="B10140" s="4" t="s">
        <v>10164</v>
      </c>
      <c r="C10140" s="3" t="s">
        <v>6</v>
      </c>
      <c r="D10140" s="5">
        <f t="shared" si="318"/>
        <v>37.33</v>
      </c>
      <c r="E10140">
        <v>40.98</v>
      </c>
      <c r="F10140" s="1789">
        <v>8.8999999999999996E-2</v>
      </c>
      <c r="G10140">
        <f t="shared" si="319"/>
        <v>37.33</v>
      </c>
    </row>
    <row r="10141" spans="1:7" ht="12.75" customHeight="1">
      <c r="A10141" s="3">
        <v>100857</v>
      </c>
      <c r="B10141" s="4" t="s">
        <v>10165</v>
      </c>
      <c r="C10141" s="3" t="s">
        <v>6</v>
      </c>
      <c r="D10141" s="5">
        <f t="shared" si="318"/>
        <v>519.34</v>
      </c>
      <c r="E10141">
        <v>570.08000000000004</v>
      </c>
      <c r="F10141" s="1789">
        <v>8.8999999999999996E-2</v>
      </c>
      <c r="G10141">
        <f t="shared" si="319"/>
        <v>519.34</v>
      </c>
    </row>
    <row r="10142" spans="1:7" ht="12.75" customHeight="1">
      <c r="A10142" s="3">
        <v>100858</v>
      </c>
      <c r="B10142" s="4" t="s">
        <v>10166</v>
      </c>
      <c r="C10142" s="3" t="s">
        <v>6</v>
      </c>
      <c r="D10142" s="5">
        <f t="shared" si="318"/>
        <v>520.6</v>
      </c>
      <c r="E10142">
        <v>571.46</v>
      </c>
      <c r="F10142" s="1789">
        <v>8.8999999999999996E-2</v>
      </c>
      <c r="G10142">
        <f t="shared" si="319"/>
        <v>520.6</v>
      </c>
    </row>
    <row r="10143" spans="1:7" ht="12.75" customHeight="1">
      <c r="A10143" s="3">
        <v>100859</v>
      </c>
      <c r="B10143" s="4" t="s">
        <v>10167</v>
      </c>
      <c r="C10143" s="3" t="s">
        <v>6</v>
      </c>
      <c r="D10143" s="5">
        <f t="shared" si="318"/>
        <v>883.21</v>
      </c>
      <c r="E10143">
        <v>969.5</v>
      </c>
      <c r="F10143" s="1789">
        <v>8.8999999999999996E-2</v>
      </c>
      <c r="G10143">
        <f t="shared" si="319"/>
        <v>883.21</v>
      </c>
    </row>
    <row r="10144" spans="1:7" ht="12.75" customHeight="1">
      <c r="A10144" s="3">
        <v>100860</v>
      </c>
      <c r="B10144" s="4" t="s">
        <v>10168</v>
      </c>
      <c r="C10144" s="3" t="s">
        <v>6</v>
      </c>
      <c r="D10144" s="5">
        <f t="shared" si="318"/>
        <v>98.6</v>
      </c>
      <c r="E10144">
        <v>108.24</v>
      </c>
      <c r="F10144" s="1789">
        <v>8.8999999999999996E-2</v>
      </c>
      <c r="G10144">
        <f t="shared" si="319"/>
        <v>98.6</v>
      </c>
    </row>
    <row r="10145" spans="1:7" ht="12.75" customHeight="1">
      <c r="A10145" s="3">
        <v>100861</v>
      </c>
      <c r="B10145" s="4" t="s">
        <v>10169</v>
      </c>
      <c r="C10145" s="3" t="s">
        <v>6</v>
      </c>
      <c r="D10145" s="5">
        <f t="shared" si="318"/>
        <v>31.14</v>
      </c>
      <c r="E10145">
        <v>34.19</v>
      </c>
      <c r="F10145" s="1789">
        <v>8.8999999999999996E-2</v>
      </c>
      <c r="G10145">
        <f t="shared" si="319"/>
        <v>31.14</v>
      </c>
    </row>
    <row r="10146" spans="1:7" ht="12.75" customHeight="1">
      <c r="A10146" s="3">
        <v>100862</v>
      </c>
      <c r="B10146" s="4" t="s">
        <v>10170</v>
      </c>
      <c r="C10146" s="3" t="s">
        <v>6</v>
      </c>
      <c r="D10146" s="5">
        <f t="shared" si="318"/>
        <v>34.25</v>
      </c>
      <c r="E10146">
        <v>37.6</v>
      </c>
      <c r="F10146" s="1789">
        <v>8.8999999999999996E-2</v>
      </c>
      <c r="G10146">
        <f t="shared" si="319"/>
        <v>34.25</v>
      </c>
    </row>
    <row r="10147" spans="1:7" ht="12.75" customHeight="1">
      <c r="A10147" s="3">
        <v>100863</v>
      </c>
      <c r="B10147" s="4" t="s">
        <v>10171</v>
      </c>
      <c r="C10147" s="3" t="s">
        <v>6</v>
      </c>
      <c r="D10147" s="5">
        <f t="shared" si="318"/>
        <v>570.45000000000005</v>
      </c>
      <c r="E10147">
        <v>626.19000000000005</v>
      </c>
      <c r="F10147" s="1789">
        <v>8.8999999999999996E-2</v>
      </c>
      <c r="G10147">
        <f t="shared" si="319"/>
        <v>570.45000000000005</v>
      </c>
    </row>
    <row r="10148" spans="1:7" ht="12.75" customHeight="1">
      <c r="A10148" s="3">
        <v>100864</v>
      </c>
      <c r="B10148" s="4" t="s">
        <v>10172</v>
      </c>
      <c r="C10148" s="3" t="s">
        <v>6</v>
      </c>
      <c r="D10148" s="5">
        <f t="shared" si="318"/>
        <v>627.22</v>
      </c>
      <c r="E10148">
        <v>688.5</v>
      </c>
      <c r="F10148" s="1789">
        <v>8.8999999999999996E-2</v>
      </c>
      <c r="G10148">
        <f t="shared" si="319"/>
        <v>627.22</v>
      </c>
    </row>
    <row r="10149" spans="1:7" ht="12.75" customHeight="1">
      <c r="A10149" s="3">
        <v>100865</v>
      </c>
      <c r="B10149" s="4" t="s">
        <v>10173</v>
      </c>
      <c r="C10149" s="3" t="s">
        <v>6</v>
      </c>
      <c r="D10149" s="5">
        <f t="shared" si="318"/>
        <v>560.01</v>
      </c>
      <c r="E10149">
        <v>614.73</v>
      </c>
      <c r="F10149" s="1789">
        <v>8.8999999999999996E-2</v>
      </c>
      <c r="G10149">
        <f t="shared" si="319"/>
        <v>560.01</v>
      </c>
    </row>
    <row r="10150" spans="1:7" ht="12.75" customHeight="1">
      <c r="A10150" s="3">
        <v>100866</v>
      </c>
      <c r="B10150" s="4" t="s">
        <v>10174</v>
      </c>
      <c r="C10150" s="3" t="s">
        <v>6</v>
      </c>
      <c r="D10150" s="5">
        <f t="shared" si="318"/>
        <v>293.26</v>
      </c>
      <c r="E10150">
        <v>321.92</v>
      </c>
      <c r="F10150" s="1789">
        <v>8.8999999999999996E-2</v>
      </c>
      <c r="G10150">
        <f t="shared" si="319"/>
        <v>293.26</v>
      </c>
    </row>
    <row r="10151" spans="1:7" ht="12.75" customHeight="1">
      <c r="A10151" s="3">
        <v>100867</v>
      </c>
      <c r="B10151" s="4" t="s">
        <v>10175</v>
      </c>
      <c r="C10151" s="3" t="s">
        <v>6</v>
      </c>
      <c r="D10151" s="5">
        <f t="shared" si="318"/>
        <v>311.99</v>
      </c>
      <c r="E10151">
        <v>342.47</v>
      </c>
      <c r="F10151" s="1789">
        <v>8.8999999999999996E-2</v>
      </c>
      <c r="G10151">
        <f t="shared" si="319"/>
        <v>311.99</v>
      </c>
    </row>
    <row r="10152" spans="1:7" ht="12.75" customHeight="1">
      <c r="A10152" s="3">
        <v>100868</v>
      </c>
      <c r="B10152" s="4" t="s">
        <v>10176</v>
      </c>
      <c r="C10152" s="3" t="s">
        <v>6</v>
      </c>
      <c r="D10152" s="5">
        <f t="shared" si="318"/>
        <v>324.44</v>
      </c>
      <c r="E10152">
        <v>356.14</v>
      </c>
      <c r="F10152" s="1789">
        <v>8.8999999999999996E-2</v>
      </c>
      <c r="G10152">
        <f t="shared" si="319"/>
        <v>324.44</v>
      </c>
    </row>
    <row r="10153" spans="1:7" ht="12.75" customHeight="1">
      <c r="A10153" s="3">
        <v>100869</v>
      </c>
      <c r="B10153" s="4" t="s">
        <v>10177</v>
      </c>
      <c r="C10153" s="3" t="s">
        <v>6</v>
      </c>
      <c r="D10153" s="5">
        <f t="shared" si="318"/>
        <v>333.99</v>
      </c>
      <c r="E10153">
        <v>366.63</v>
      </c>
      <c r="F10153" s="1789">
        <v>8.8999999999999996E-2</v>
      </c>
      <c r="G10153">
        <f t="shared" si="319"/>
        <v>333.99</v>
      </c>
    </row>
    <row r="10154" spans="1:7" ht="12.75" customHeight="1">
      <c r="A10154" s="3">
        <v>100870</v>
      </c>
      <c r="B10154" s="4" t="s">
        <v>10178</v>
      </c>
      <c r="C10154" s="3" t="s">
        <v>6</v>
      </c>
      <c r="D10154" s="5">
        <f t="shared" si="318"/>
        <v>265.77</v>
      </c>
      <c r="E10154">
        <v>291.74</v>
      </c>
      <c r="F10154" s="1789">
        <v>8.8999999999999996E-2</v>
      </c>
      <c r="G10154">
        <f t="shared" si="319"/>
        <v>265.77</v>
      </c>
    </row>
    <row r="10155" spans="1:7" ht="12.75" customHeight="1">
      <c r="A10155" s="3">
        <v>100871</v>
      </c>
      <c r="B10155" s="4" t="s">
        <v>10179</v>
      </c>
      <c r="C10155" s="3" t="s">
        <v>6</v>
      </c>
      <c r="D10155" s="5">
        <f t="shared" si="318"/>
        <v>286.56</v>
      </c>
      <c r="E10155">
        <v>314.56</v>
      </c>
      <c r="F10155" s="1789">
        <v>8.8999999999999996E-2</v>
      </c>
      <c r="G10155">
        <f t="shared" si="319"/>
        <v>286.56</v>
      </c>
    </row>
    <row r="10156" spans="1:7" ht="12.75" customHeight="1">
      <c r="A10156" s="3">
        <v>100872</v>
      </c>
      <c r="B10156" s="4" t="s">
        <v>10180</v>
      </c>
      <c r="C10156" s="3" t="s">
        <v>6</v>
      </c>
      <c r="D10156" s="5">
        <f t="shared" si="318"/>
        <v>299.83</v>
      </c>
      <c r="E10156">
        <v>329.13</v>
      </c>
      <c r="F10156" s="1789">
        <v>8.8999999999999996E-2</v>
      </c>
      <c r="G10156">
        <f t="shared" si="319"/>
        <v>299.83</v>
      </c>
    </row>
    <row r="10157" spans="1:7" ht="12.75" customHeight="1">
      <c r="A10157" s="3">
        <v>100873</v>
      </c>
      <c r="B10157" s="4" t="s">
        <v>10181</v>
      </c>
      <c r="C10157" s="3" t="s">
        <v>6</v>
      </c>
      <c r="D10157" s="5">
        <f t="shared" si="318"/>
        <v>308.12</v>
      </c>
      <c r="E10157">
        <v>338.23</v>
      </c>
      <c r="F10157" s="1789">
        <v>8.8999999999999996E-2</v>
      </c>
      <c r="G10157">
        <f t="shared" si="319"/>
        <v>308.12</v>
      </c>
    </row>
    <row r="10158" spans="1:7" ht="12.75" customHeight="1">
      <c r="A10158" s="3">
        <v>100874</v>
      </c>
      <c r="B10158" s="4" t="s">
        <v>10182</v>
      </c>
      <c r="C10158" s="3" t="s">
        <v>6</v>
      </c>
      <c r="D10158" s="5">
        <f t="shared" si="318"/>
        <v>293.26</v>
      </c>
      <c r="E10158">
        <v>321.92</v>
      </c>
      <c r="F10158" s="1789">
        <v>8.8999999999999996E-2</v>
      </c>
      <c r="G10158">
        <f t="shared" si="319"/>
        <v>293.26</v>
      </c>
    </row>
    <row r="10159" spans="1:7" ht="12.75" customHeight="1">
      <c r="A10159" s="3">
        <v>100875</v>
      </c>
      <c r="B10159" s="4" t="s">
        <v>10183</v>
      </c>
      <c r="C10159" s="3" t="s">
        <v>6</v>
      </c>
      <c r="D10159" s="5">
        <f t="shared" si="318"/>
        <v>1033.27</v>
      </c>
      <c r="E10159">
        <v>1134.22</v>
      </c>
      <c r="F10159" s="1789">
        <v>8.8999999999999996E-2</v>
      </c>
      <c r="G10159">
        <f t="shared" si="319"/>
        <v>1033.27</v>
      </c>
    </row>
    <row r="10160" spans="1:7" ht="12.75" customHeight="1">
      <c r="A10160" s="3">
        <v>100878</v>
      </c>
      <c r="B10160" s="4" t="s">
        <v>10184</v>
      </c>
      <c r="C10160" s="3" t="s">
        <v>6</v>
      </c>
      <c r="D10160" s="5">
        <f t="shared" si="318"/>
        <v>578.27</v>
      </c>
      <c r="E10160">
        <v>634.77</v>
      </c>
      <c r="F10160" s="1789">
        <v>8.8999999999999996E-2</v>
      </c>
      <c r="G10160">
        <f t="shared" si="319"/>
        <v>578.27</v>
      </c>
    </row>
    <row r="10161" spans="1:7" ht="12.75" customHeight="1">
      <c r="A10161" s="3">
        <v>98052</v>
      </c>
      <c r="B10161" s="4" t="s">
        <v>10185</v>
      </c>
      <c r="C10161" s="3" t="s">
        <v>6</v>
      </c>
      <c r="D10161" s="5">
        <f t="shared" si="318"/>
        <v>1824.02</v>
      </c>
      <c r="E10161">
        <v>2002.22</v>
      </c>
      <c r="F10161" s="1789">
        <v>8.8999999999999996E-2</v>
      </c>
      <c r="G10161">
        <f t="shared" si="319"/>
        <v>1824.02</v>
      </c>
    </row>
    <row r="10162" spans="1:7" ht="12.75" customHeight="1">
      <c r="A10162" s="3">
        <v>98053</v>
      </c>
      <c r="B10162" s="4" t="s">
        <v>10186</v>
      </c>
      <c r="C10162" s="3" t="s">
        <v>6</v>
      </c>
      <c r="D10162" s="5">
        <f t="shared" si="318"/>
        <v>2517.63</v>
      </c>
      <c r="E10162">
        <v>2763.59</v>
      </c>
      <c r="F10162" s="1789">
        <v>8.8999999999999996E-2</v>
      </c>
      <c r="G10162">
        <f t="shared" si="319"/>
        <v>2517.63</v>
      </c>
    </row>
    <row r="10163" spans="1:7" ht="12.75" customHeight="1">
      <c r="A10163" s="3">
        <v>98054</v>
      </c>
      <c r="B10163" s="4" t="s">
        <v>10187</v>
      </c>
      <c r="C10163" s="3" t="s">
        <v>6</v>
      </c>
      <c r="D10163" s="5">
        <f t="shared" si="318"/>
        <v>4105.5200000000004</v>
      </c>
      <c r="E10163">
        <v>4506.6099999999997</v>
      </c>
      <c r="F10163" s="1789">
        <v>8.8999999999999996E-2</v>
      </c>
      <c r="G10163">
        <f t="shared" si="319"/>
        <v>4105.5200000000004</v>
      </c>
    </row>
    <row r="10164" spans="1:7" ht="12.75" customHeight="1">
      <c r="A10164" s="3">
        <v>98055</v>
      </c>
      <c r="B10164" s="4" t="s">
        <v>10188</v>
      </c>
      <c r="C10164" s="3" t="s">
        <v>6</v>
      </c>
      <c r="D10164" s="5">
        <f t="shared" si="318"/>
        <v>5597.2</v>
      </c>
      <c r="E10164">
        <v>6144.02</v>
      </c>
      <c r="F10164" s="1789">
        <v>8.8999999999999996E-2</v>
      </c>
      <c r="G10164">
        <f t="shared" si="319"/>
        <v>5597.2</v>
      </c>
    </row>
    <row r="10165" spans="1:7" ht="12.75" customHeight="1">
      <c r="A10165" s="3">
        <v>98056</v>
      </c>
      <c r="B10165" s="4" t="s">
        <v>10189</v>
      </c>
      <c r="C10165" s="3" t="s">
        <v>6</v>
      </c>
      <c r="D10165" s="5">
        <f t="shared" si="318"/>
        <v>6520.3</v>
      </c>
      <c r="E10165">
        <v>7157.3</v>
      </c>
      <c r="F10165" s="1789">
        <v>8.8999999999999996E-2</v>
      </c>
      <c r="G10165">
        <f t="shared" si="319"/>
        <v>6520.3</v>
      </c>
    </row>
    <row r="10166" spans="1:7" ht="12.75" customHeight="1">
      <c r="A10166" s="3">
        <v>98057</v>
      </c>
      <c r="B10166" s="4" t="s">
        <v>10190</v>
      </c>
      <c r="C10166" s="3" t="s">
        <v>6</v>
      </c>
      <c r="D10166" s="5">
        <f t="shared" si="318"/>
        <v>7788.39</v>
      </c>
      <c r="E10166">
        <v>8549.2800000000007</v>
      </c>
      <c r="F10166" s="1789">
        <v>8.8999999999999996E-2</v>
      </c>
      <c r="G10166">
        <f t="shared" si="319"/>
        <v>7788.39</v>
      </c>
    </row>
    <row r="10167" spans="1:7" ht="12.75" customHeight="1">
      <c r="A10167" s="3">
        <v>98058</v>
      </c>
      <c r="B10167" s="4" t="s">
        <v>10191</v>
      </c>
      <c r="C10167" s="3" t="s">
        <v>6</v>
      </c>
      <c r="D10167" s="5">
        <f t="shared" si="318"/>
        <v>1609.47</v>
      </c>
      <c r="E10167">
        <v>1766.71</v>
      </c>
      <c r="F10167" s="1789">
        <v>8.8999999999999996E-2</v>
      </c>
      <c r="G10167">
        <f t="shared" si="319"/>
        <v>1609.47</v>
      </c>
    </row>
    <row r="10168" spans="1:7" ht="12.75" customHeight="1">
      <c r="A10168" s="3">
        <v>98059</v>
      </c>
      <c r="B10168" s="4" t="s">
        <v>10192</v>
      </c>
      <c r="C10168" s="3" t="s">
        <v>6</v>
      </c>
      <c r="D10168" s="5">
        <f t="shared" si="318"/>
        <v>3524.84</v>
      </c>
      <c r="E10168">
        <v>3869.2</v>
      </c>
      <c r="F10168" s="1789">
        <v>8.8999999999999996E-2</v>
      </c>
      <c r="G10168">
        <f t="shared" si="319"/>
        <v>3524.84</v>
      </c>
    </row>
    <row r="10169" spans="1:7" ht="12.75" customHeight="1">
      <c r="A10169" s="3">
        <v>98060</v>
      </c>
      <c r="B10169" s="4" t="s">
        <v>10193</v>
      </c>
      <c r="C10169" s="3" t="s">
        <v>6</v>
      </c>
      <c r="D10169" s="5">
        <f t="shared" si="318"/>
        <v>4961.2700000000004</v>
      </c>
      <c r="E10169">
        <v>5445.97</v>
      </c>
      <c r="F10169" s="1789">
        <v>8.8999999999999996E-2</v>
      </c>
      <c r="G10169">
        <f t="shared" si="319"/>
        <v>4961.2700000000004</v>
      </c>
    </row>
    <row r="10170" spans="1:7" ht="12.75" customHeight="1">
      <c r="A10170" s="3">
        <v>98061</v>
      </c>
      <c r="B10170" s="4" t="s">
        <v>10194</v>
      </c>
      <c r="C10170" s="3" t="s">
        <v>6</v>
      </c>
      <c r="D10170" s="5">
        <f t="shared" si="318"/>
        <v>6942.02</v>
      </c>
      <c r="E10170">
        <v>7620.22</v>
      </c>
      <c r="F10170" s="1789">
        <v>8.8999999999999996E-2</v>
      </c>
      <c r="G10170">
        <f t="shared" si="319"/>
        <v>6942.02</v>
      </c>
    </row>
    <row r="10171" spans="1:7" ht="12.75" customHeight="1">
      <c r="A10171" s="3">
        <v>98062</v>
      </c>
      <c r="B10171" s="4" t="s">
        <v>10195</v>
      </c>
      <c r="C10171" s="3" t="s">
        <v>6</v>
      </c>
      <c r="D10171" s="5">
        <f t="shared" si="318"/>
        <v>2739.74</v>
      </c>
      <c r="E10171">
        <v>3007.4</v>
      </c>
      <c r="F10171" s="1789">
        <v>8.8999999999999996E-2</v>
      </c>
      <c r="G10171">
        <f t="shared" si="319"/>
        <v>2739.74</v>
      </c>
    </row>
    <row r="10172" spans="1:7" ht="12.75" customHeight="1">
      <c r="A10172" s="3">
        <v>98063</v>
      </c>
      <c r="B10172" s="4" t="s">
        <v>10196</v>
      </c>
      <c r="C10172" s="3" t="s">
        <v>6</v>
      </c>
      <c r="D10172" s="5">
        <f t="shared" si="318"/>
        <v>4188.29</v>
      </c>
      <c r="E10172">
        <v>4597.47</v>
      </c>
      <c r="F10172" s="1789">
        <v>8.8999999999999996E-2</v>
      </c>
      <c r="G10172">
        <f t="shared" si="319"/>
        <v>4188.29</v>
      </c>
    </row>
    <row r="10173" spans="1:7" ht="12.75" customHeight="1">
      <c r="A10173" s="3">
        <v>98064</v>
      </c>
      <c r="B10173" s="4" t="s">
        <v>10197</v>
      </c>
      <c r="C10173" s="3" t="s">
        <v>6</v>
      </c>
      <c r="D10173" s="5">
        <f t="shared" si="318"/>
        <v>4830.57</v>
      </c>
      <c r="E10173">
        <v>5302.5</v>
      </c>
      <c r="F10173" s="1789">
        <v>8.8999999999999996E-2</v>
      </c>
      <c r="G10173">
        <f t="shared" si="319"/>
        <v>4830.57</v>
      </c>
    </row>
    <row r="10174" spans="1:7" ht="12.75" customHeight="1">
      <c r="A10174" s="3">
        <v>98065</v>
      </c>
      <c r="B10174" s="4" t="s">
        <v>10198</v>
      </c>
      <c r="C10174" s="3" t="s">
        <v>6</v>
      </c>
      <c r="D10174" s="5">
        <f t="shared" si="318"/>
        <v>6723.03</v>
      </c>
      <c r="E10174">
        <v>7379.84</v>
      </c>
      <c r="F10174" s="1789">
        <v>8.8999999999999996E-2</v>
      </c>
      <c r="G10174">
        <f t="shared" si="319"/>
        <v>6723.03</v>
      </c>
    </row>
    <row r="10175" spans="1:7" ht="12.75" customHeight="1">
      <c r="A10175" s="3">
        <v>98066</v>
      </c>
      <c r="B10175" s="4" t="s">
        <v>10199</v>
      </c>
      <c r="C10175" s="3" t="s">
        <v>6</v>
      </c>
      <c r="D10175" s="5">
        <f t="shared" si="318"/>
        <v>4575.26</v>
      </c>
      <c r="E10175">
        <v>5022.25</v>
      </c>
      <c r="F10175" s="1789">
        <v>8.8999999999999996E-2</v>
      </c>
      <c r="G10175">
        <f t="shared" si="319"/>
        <v>4575.26</v>
      </c>
    </row>
    <row r="10176" spans="1:7" ht="12.75" customHeight="1">
      <c r="A10176" s="3">
        <v>98067</v>
      </c>
      <c r="B10176" s="4" t="s">
        <v>10200</v>
      </c>
      <c r="C10176" s="3" t="s">
        <v>6</v>
      </c>
      <c r="D10176" s="5">
        <f t="shared" si="318"/>
        <v>6101.73</v>
      </c>
      <c r="E10176">
        <v>6697.84</v>
      </c>
      <c r="F10176" s="1789">
        <v>8.8999999999999996E-2</v>
      </c>
      <c r="G10176">
        <f t="shared" si="319"/>
        <v>6101.73</v>
      </c>
    </row>
    <row r="10177" spans="1:7" ht="12.75" customHeight="1">
      <c r="A10177" s="3">
        <v>98068</v>
      </c>
      <c r="B10177" s="4" t="s">
        <v>10201</v>
      </c>
      <c r="C10177" s="3" t="s">
        <v>6</v>
      </c>
      <c r="D10177" s="5">
        <f t="shared" si="318"/>
        <v>8618.08</v>
      </c>
      <c r="E10177">
        <v>9460.0300000000007</v>
      </c>
      <c r="F10177" s="1789">
        <v>8.8999999999999996E-2</v>
      </c>
      <c r="G10177">
        <f t="shared" si="319"/>
        <v>8618.08</v>
      </c>
    </row>
    <row r="10178" spans="1:7" ht="12.75" customHeight="1">
      <c r="A10178" s="3">
        <v>98069</v>
      </c>
      <c r="B10178" s="4" t="s">
        <v>10202</v>
      </c>
      <c r="C10178" s="3" t="s">
        <v>6</v>
      </c>
      <c r="D10178" s="5">
        <f t="shared" si="318"/>
        <v>11563.26</v>
      </c>
      <c r="E10178">
        <v>12692.94</v>
      </c>
      <c r="F10178" s="1789">
        <v>8.8999999999999996E-2</v>
      </c>
      <c r="G10178">
        <f t="shared" si="319"/>
        <v>11563.26</v>
      </c>
    </row>
    <row r="10179" spans="1:7" ht="12.75" customHeight="1">
      <c r="A10179" s="3">
        <v>98070</v>
      </c>
      <c r="B10179" s="4" t="s">
        <v>10203</v>
      </c>
      <c r="C10179" s="3" t="s">
        <v>6</v>
      </c>
      <c r="D10179" s="5">
        <f t="shared" si="318"/>
        <v>13230.88</v>
      </c>
      <c r="E10179">
        <v>14523.47</v>
      </c>
      <c r="F10179" s="1789">
        <v>8.8999999999999996E-2</v>
      </c>
      <c r="G10179">
        <f t="shared" si="319"/>
        <v>13230.88</v>
      </c>
    </row>
    <row r="10180" spans="1:7" ht="12.75" customHeight="1">
      <c r="A10180" s="3">
        <v>98071</v>
      </c>
      <c r="B10180" s="4" t="s">
        <v>10204</v>
      </c>
      <c r="C10180" s="3" t="s">
        <v>6</v>
      </c>
      <c r="D10180" s="5">
        <f t="shared" si="318"/>
        <v>14479.5</v>
      </c>
      <c r="E10180">
        <v>15894.08</v>
      </c>
      <c r="F10180" s="1789">
        <v>8.8999999999999996E-2</v>
      </c>
      <c r="G10180">
        <f t="shared" si="319"/>
        <v>14479.5</v>
      </c>
    </row>
    <row r="10181" spans="1:7" ht="12.75" customHeight="1">
      <c r="A10181" s="3">
        <v>98072</v>
      </c>
      <c r="B10181" s="4" t="s">
        <v>10205</v>
      </c>
      <c r="C10181" s="3" t="s">
        <v>6</v>
      </c>
      <c r="D10181" s="5">
        <f t="shared" si="318"/>
        <v>3840.85</v>
      </c>
      <c r="E10181">
        <v>4216.09</v>
      </c>
      <c r="F10181" s="1789">
        <v>8.8999999999999996E-2</v>
      </c>
      <c r="G10181">
        <f t="shared" si="319"/>
        <v>3840.85</v>
      </c>
    </row>
    <row r="10182" spans="1:7" ht="12.75" customHeight="1">
      <c r="A10182" s="3">
        <v>98073</v>
      </c>
      <c r="B10182" s="4" t="s">
        <v>10206</v>
      </c>
      <c r="C10182" s="3" t="s">
        <v>6</v>
      </c>
      <c r="D10182" s="5">
        <f t="shared" si="318"/>
        <v>6023.22</v>
      </c>
      <c r="E10182">
        <v>6611.66</v>
      </c>
      <c r="F10182" s="1789">
        <v>8.8999999999999996E-2</v>
      </c>
      <c r="G10182">
        <f t="shared" si="319"/>
        <v>6023.22</v>
      </c>
    </row>
    <row r="10183" spans="1:7" ht="12.75" customHeight="1">
      <c r="A10183" s="3">
        <v>98074</v>
      </c>
      <c r="B10183" s="4" t="s">
        <v>10207</v>
      </c>
      <c r="C10183" s="3" t="s">
        <v>6</v>
      </c>
      <c r="D10183" s="5">
        <f t="shared" si="318"/>
        <v>9375.4</v>
      </c>
      <c r="E10183">
        <v>10291.33</v>
      </c>
      <c r="F10183" s="1789">
        <v>8.8999999999999996E-2</v>
      </c>
      <c r="G10183">
        <f t="shared" si="319"/>
        <v>9375.4</v>
      </c>
    </row>
    <row r="10184" spans="1:7" ht="12.75" customHeight="1">
      <c r="A10184" s="3">
        <v>98075</v>
      </c>
      <c r="B10184" s="4" t="s">
        <v>10208</v>
      </c>
      <c r="C10184" s="3" t="s">
        <v>6</v>
      </c>
      <c r="D10184" s="5">
        <f t="shared" si="318"/>
        <v>12205.65</v>
      </c>
      <c r="E10184">
        <v>13398.09</v>
      </c>
      <c r="F10184" s="1789">
        <v>8.8999999999999996E-2</v>
      </c>
      <c r="G10184">
        <f t="shared" si="319"/>
        <v>12205.65</v>
      </c>
    </row>
    <row r="10185" spans="1:7" ht="12.75" customHeight="1">
      <c r="A10185" s="3">
        <v>98076</v>
      </c>
      <c r="B10185" s="4" t="s">
        <v>10209</v>
      </c>
      <c r="C10185" s="3" t="s">
        <v>6</v>
      </c>
      <c r="D10185" s="5">
        <f t="shared" si="318"/>
        <v>14077.84</v>
      </c>
      <c r="E10185">
        <v>15453.18</v>
      </c>
      <c r="F10185" s="1789">
        <v>8.8999999999999996E-2</v>
      </c>
      <c r="G10185">
        <f t="shared" si="319"/>
        <v>14077.84</v>
      </c>
    </row>
    <row r="10186" spans="1:7" ht="12.75" customHeight="1">
      <c r="A10186" s="3">
        <v>98077</v>
      </c>
      <c r="B10186" s="4" t="s">
        <v>10210</v>
      </c>
      <c r="C10186" s="3" t="s">
        <v>6</v>
      </c>
      <c r="D10186" s="5">
        <f t="shared" si="318"/>
        <v>16583.689999999999</v>
      </c>
      <c r="E10186">
        <v>18203.84</v>
      </c>
      <c r="F10186" s="1789">
        <v>8.8999999999999996E-2</v>
      </c>
      <c r="G10186">
        <f t="shared" si="319"/>
        <v>16583.689999999999</v>
      </c>
    </row>
    <row r="10187" spans="1:7" ht="12.75" customHeight="1">
      <c r="A10187" s="3">
        <v>98078</v>
      </c>
      <c r="B10187" s="4" t="s">
        <v>10211</v>
      </c>
      <c r="C10187" s="3" t="s">
        <v>6</v>
      </c>
      <c r="D10187" s="5">
        <f t="shared" si="318"/>
        <v>4405</v>
      </c>
      <c r="E10187">
        <v>4835.3500000000004</v>
      </c>
      <c r="F10187" s="1789">
        <v>8.8999999999999996E-2</v>
      </c>
      <c r="G10187">
        <f t="shared" si="319"/>
        <v>4405</v>
      </c>
    </row>
    <row r="10188" spans="1:7" ht="12.75" customHeight="1">
      <c r="A10188" s="3">
        <v>98079</v>
      </c>
      <c r="B10188" s="4" t="s">
        <v>10212</v>
      </c>
      <c r="C10188" s="3" t="s">
        <v>6</v>
      </c>
      <c r="D10188" s="5">
        <f t="shared" si="318"/>
        <v>7709.38</v>
      </c>
      <c r="E10188">
        <v>8462.5499999999993</v>
      </c>
      <c r="F10188" s="1789">
        <v>8.8999999999999996E-2</v>
      </c>
      <c r="G10188">
        <f t="shared" si="319"/>
        <v>7709.38</v>
      </c>
    </row>
    <row r="10189" spans="1:7" ht="12.75" customHeight="1">
      <c r="A10189" s="3">
        <v>98080</v>
      </c>
      <c r="B10189" s="4" t="s">
        <v>10213</v>
      </c>
      <c r="C10189" s="3" t="s">
        <v>6</v>
      </c>
      <c r="D10189" s="5">
        <f t="shared" si="318"/>
        <v>9895.0300000000007</v>
      </c>
      <c r="E10189">
        <v>10861.73</v>
      </c>
      <c r="F10189" s="1789">
        <v>8.8999999999999996E-2</v>
      </c>
      <c r="G10189">
        <f t="shared" si="319"/>
        <v>9895.0300000000007</v>
      </c>
    </row>
    <row r="10190" spans="1:7" ht="12.75" customHeight="1">
      <c r="A10190" s="3">
        <v>98081</v>
      </c>
      <c r="B10190" s="4" t="s">
        <v>10214</v>
      </c>
      <c r="C10190" s="3" t="s">
        <v>6</v>
      </c>
      <c r="D10190" s="5">
        <f t="shared" si="318"/>
        <v>14644.9</v>
      </c>
      <c r="E10190">
        <v>16075.64</v>
      </c>
      <c r="F10190" s="1789">
        <v>8.8999999999999996E-2</v>
      </c>
      <c r="G10190">
        <f t="shared" si="319"/>
        <v>14644.9</v>
      </c>
    </row>
    <row r="10191" spans="1:7" ht="12.75" customHeight="1">
      <c r="A10191" s="3">
        <v>98082</v>
      </c>
      <c r="B10191" s="4" t="s">
        <v>10215</v>
      </c>
      <c r="C10191" s="3" t="s">
        <v>6</v>
      </c>
      <c r="D10191" s="5">
        <f t="shared" si="318"/>
        <v>3433.95</v>
      </c>
      <c r="E10191">
        <v>3769.43</v>
      </c>
      <c r="F10191" s="1789">
        <v>8.8999999999999996E-2</v>
      </c>
      <c r="G10191">
        <f t="shared" si="319"/>
        <v>3433.95</v>
      </c>
    </row>
    <row r="10192" spans="1:7" ht="12.75" customHeight="1">
      <c r="A10192" s="3">
        <v>98083</v>
      </c>
      <c r="B10192" s="4" t="s">
        <v>10216</v>
      </c>
      <c r="C10192" s="3" t="s">
        <v>6</v>
      </c>
      <c r="D10192" s="5">
        <f t="shared" si="318"/>
        <v>4523.63</v>
      </c>
      <c r="E10192">
        <v>4965.57</v>
      </c>
      <c r="F10192" s="1789">
        <v>8.8999999999999996E-2</v>
      </c>
      <c r="G10192">
        <f t="shared" si="319"/>
        <v>4523.63</v>
      </c>
    </row>
    <row r="10193" spans="1:7" ht="12.75" customHeight="1">
      <c r="A10193" s="3">
        <v>98084</v>
      </c>
      <c r="B10193" s="4" t="s">
        <v>10217</v>
      </c>
      <c r="C10193" s="3" t="s">
        <v>6</v>
      </c>
      <c r="D10193" s="5">
        <f t="shared" si="318"/>
        <v>6336.77</v>
      </c>
      <c r="E10193">
        <v>6955.84</v>
      </c>
      <c r="F10193" s="1789">
        <v>8.8999999999999996E-2</v>
      </c>
      <c r="G10193">
        <f t="shared" si="319"/>
        <v>6336.77</v>
      </c>
    </row>
    <row r="10194" spans="1:7" ht="12.75" customHeight="1">
      <c r="A10194" s="3">
        <v>98085</v>
      </c>
      <c r="B10194" s="4" t="s">
        <v>10218</v>
      </c>
      <c r="C10194" s="3" t="s">
        <v>6</v>
      </c>
      <c r="D10194" s="5">
        <f t="shared" si="318"/>
        <v>8592.18</v>
      </c>
      <c r="E10194">
        <v>9431.6</v>
      </c>
      <c r="F10194" s="1789">
        <v>8.8999999999999996E-2</v>
      </c>
      <c r="G10194">
        <f t="shared" si="319"/>
        <v>8592.18</v>
      </c>
    </row>
    <row r="10195" spans="1:7" ht="12.75" customHeight="1">
      <c r="A10195" s="3">
        <v>98086</v>
      </c>
      <c r="B10195" s="4" t="s">
        <v>10219</v>
      </c>
      <c r="C10195" s="3" t="s">
        <v>6</v>
      </c>
      <c r="D10195" s="5">
        <f t="shared" si="318"/>
        <v>9691.1299999999992</v>
      </c>
      <c r="E10195">
        <v>10637.91</v>
      </c>
      <c r="F10195" s="1789">
        <v>8.8999999999999996E-2</v>
      </c>
      <c r="G10195">
        <f t="shared" si="319"/>
        <v>9691.1299999999992</v>
      </c>
    </row>
    <row r="10196" spans="1:7" ht="12.75" customHeight="1">
      <c r="A10196" s="3">
        <v>98087</v>
      </c>
      <c r="B10196" s="4" t="s">
        <v>10220</v>
      </c>
      <c r="C10196" s="3" t="s">
        <v>6</v>
      </c>
      <c r="D10196" s="5">
        <f t="shared" si="318"/>
        <v>10329.6</v>
      </c>
      <c r="E10196">
        <v>11338.75</v>
      </c>
      <c r="F10196" s="1789">
        <v>8.8999999999999996E-2</v>
      </c>
      <c r="G10196">
        <f t="shared" si="319"/>
        <v>10329.6</v>
      </c>
    </row>
    <row r="10197" spans="1:7" ht="12.75" customHeight="1">
      <c r="A10197" s="3">
        <v>98088</v>
      </c>
      <c r="B10197" s="4" t="s">
        <v>10221</v>
      </c>
      <c r="C10197" s="3" t="s">
        <v>6</v>
      </c>
      <c r="D10197" s="5">
        <f t="shared" ref="D10197:D10260" si="320">G10197</f>
        <v>2988.41</v>
      </c>
      <c r="E10197">
        <v>3280.37</v>
      </c>
      <c r="F10197" s="1789">
        <v>8.8999999999999996E-2</v>
      </c>
      <c r="G10197">
        <f t="shared" ref="G10197:G10260" si="321">TRUNC((1-F10197)*E10197,2)</f>
        <v>2988.41</v>
      </c>
    </row>
    <row r="10198" spans="1:7" ht="12.75" customHeight="1">
      <c r="A10198" s="3">
        <v>98089</v>
      </c>
      <c r="B10198" s="4" t="s">
        <v>10222</v>
      </c>
      <c r="C10198" s="3" t="s">
        <v>6</v>
      </c>
      <c r="D10198" s="5">
        <f t="shared" si="320"/>
        <v>4745.4399999999996</v>
      </c>
      <c r="E10198">
        <v>5209.05</v>
      </c>
      <c r="F10198" s="1789">
        <v>8.8999999999999996E-2</v>
      </c>
      <c r="G10198">
        <f t="shared" si="321"/>
        <v>4745.4399999999996</v>
      </c>
    </row>
    <row r="10199" spans="1:7" ht="12.75" customHeight="1">
      <c r="A10199" s="3">
        <v>98090</v>
      </c>
      <c r="B10199" s="4" t="s">
        <v>10223</v>
      </c>
      <c r="C10199" s="3" t="s">
        <v>6</v>
      </c>
      <c r="D10199" s="5">
        <f t="shared" si="320"/>
        <v>7488.61</v>
      </c>
      <c r="E10199">
        <v>8220.2099999999991</v>
      </c>
      <c r="F10199" s="1789">
        <v>8.8999999999999996E-2</v>
      </c>
      <c r="G10199">
        <f t="shared" si="321"/>
        <v>7488.61</v>
      </c>
    </row>
    <row r="10200" spans="1:7" ht="12.75" customHeight="1">
      <c r="A10200" s="3">
        <v>98091</v>
      </c>
      <c r="B10200" s="4" t="s">
        <v>10224</v>
      </c>
      <c r="C10200" s="3" t="s">
        <v>6</v>
      </c>
      <c r="D10200" s="5">
        <f t="shared" si="320"/>
        <v>9801.51</v>
      </c>
      <c r="E10200">
        <v>10759.07</v>
      </c>
      <c r="F10200" s="1789">
        <v>8.8999999999999996E-2</v>
      </c>
      <c r="G10200">
        <f t="shared" si="321"/>
        <v>9801.51</v>
      </c>
    </row>
    <row r="10201" spans="1:7" ht="12.75" customHeight="1">
      <c r="A10201" s="3">
        <v>98092</v>
      </c>
      <c r="B10201" s="4" t="s">
        <v>10225</v>
      </c>
      <c r="C10201" s="3" t="s">
        <v>6</v>
      </c>
      <c r="D10201" s="5">
        <f t="shared" si="320"/>
        <v>11404.33</v>
      </c>
      <c r="E10201">
        <v>12518.48</v>
      </c>
      <c r="F10201" s="1789">
        <v>8.8999999999999996E-2</v>
      </c>
      <c r="G10201">
        <f t="shared" si="321"/>
        <v>11404.33</v>
      </c>
    </row>
    <row r="10202" spans="1:7" ht="12.75" customHeight="1">
      <c r="A10202" s="3">
        <v>98093</v>
      </c>
      <c r="B10202" s="4" t="s">
        <v>10226</v>
      </c>
      <c r="C10202" s="3" t="s">
        <v>6</v>
      </c>
      <c r="D10202" s="5">
        <f t="shared" si="320"/>
        <v>13475.44</v>
      </c>
      <c r="E10202">
        <v>14791.93</v>
      </c>
      <c r="F10202" s="1789">
        <v>8.8999999999999996E-2</v>
      </c>
      <c r="G10202">
        <f t="shared" si="321"/>
        <v>13475.44</v>
      </c>
    </row>
    <row r="10203" spans="1:7" ht="12.75" customHeight="1">
      <c r="A10203" s="3">
        <v>98094</v>
      </c>
      <c r="B10203" s="4" t="s">
        <v>10227</v>
      </c>
      <c r="C10203" s="3" t="s">
        <v>6</v>
      </c>
      <c r="D10203" s="5">
        <f t="shared" si="320"/>
        <v>2491.9</v>
      </c>
      <c r="E10203">
        <v>2735.35</v>
      </c>
      <c r="F10203" s="1789">
        <v>8.8999999999999996E-2</v>
      </c>
      <c r="G10203">
        <f t="shared" si="321"/>
        <v>2491.9</v>
      </c>
    </row>
    <row r="10204" spans="1:7" ht="12.75" customHeight="1">
      <c r="A10204" s="3">
        <v>98099</v>
      </c>
      <c r="B10204" s="4" t="s">
        <v>10228</v>
      </c>
      <c r="C10204" s="3" t="s">
        <v>6</v>
      </c>
      <c r="D10204" s="5">
        <f t="shared" si="320"/>
        <v>4263.4799999999996</v>
      </c>
      <c r="E10204">
        <v>4680.01</v>
      </c>
      <c r="F10204" s="1789">
        <v>8.8999999999999996E-2</v>
      </c>
      <c r="G10204">
        <f t="shared" si="321"/>
        <v>4263.4799999999996</v>
      </c>
    </row>
    <row r="10205" spans="1:7" ht="12.75" customHeight="1">
      <c r="A10205" s="3">
        <v>98100</v>
      </c>
      <c r="B10205" s="4" t="s">
        <v>10229</v>
      </c>
      <c r="C10205" s="3" t="s">
        <v>6</v>
      </c>
      <c r="D10205" s="5">
        <f t="shared" si="320"/>
        <v>5597.49</v>
      </c>
      <c r="E10205">
        <v>6144.34</v>
      </c>
      <c r="F10205" s="1789">
        <v>8.8999999999999996E-2</v>
      </c>
      <c r="G10205">
        <f t="shared" si="321"/>
        <v>5597.49</v>
      </c>
    </row>
    <row r="10206" spans="1:7" ht="12.75" customHeight="1">
      <c r="A10206" s="3">
        <v>98101</v>
      </c>
      <c r="B10206" s="4" t="s">
        <v>10230</v>
      </c>
      <c r="C10206" s="3" t="s">
        <v>6</v>
      </c>
      <c r="D10206" s="5">
        <f t="shared" si="320"/>
        <v>8280.69</v>
      </c>
      <c r="E10206">
        <v>9089.68</v>
      </c>
      <c r="F10206" s="1789">
        <v>8.8999999999999996E-2</v>
      </c>
      <c r="G10206">
        <f t="shared" si="321"/>
        <v>8280.69</v>
      </c>
    </row>
    <row r="10207" spans="1:7" ht="12.75" customHeight="1">
      <c r="A10207" s="3">
        <v>98109</v>
      </c>
      <c r="B10207" s="4" t="s">
        <v>10231</v>
      </c>
      <c r="C10207" s="3" t="s">
        <v>6</v>
      </c>
      <c r="D10207" s="5">
        <f t="shared" si="320"/>
        <v>721.99</v>
      </c>
      <c r="E10207">
        <v>792.53</v>
      </c>
      <c r="F10207" s="1789">
        <v>8.8999999999999996E-2</v>
      </c>
      <c r="G10207">
        <f t="shared" si="321"/>
        <v>721.99</v>
      </c>
    </row>
    <row r="10208" spans="1:7" ht="12.75" customHeight="1">
      <c r="A10208" s="3">
        <v>98110</v>
      </c>
      <c r="B10208" s="4" t="s">
        <v>10232</v>
      </c>
      <c r="C10208" s="3" t="s">
        <v>6</v>
      </c>
      <c r="D10208" s="5">
        <f t="shared" si="320"/>
        <v>337.13</v>
      </c>
      <c r="E10208">
        <v>370.07</v>
      </c>
      <c r="F10208" s="1789">
        <v>8.8999999999999996E-2</v>
      </c>
      <c r="G10208">
        <f t="shared" si="321"/>
        <v>337.13</v>
      </c>
    </row>
    <row r="10209" spans="1:7" ht="12.75" customHeight="1">
      <c r="A10209" s="3">
        <v>98111</v>
      </c>
      <c r="B10209" s="4" t="s">
        <v>10233</v>
      </c>
      <c r="C10209" s="3" t="s">
        <v>6</v>
      </c>
      <c r="D10209" s="5">
        <f t="shared" si="320"/>
        <v>45.8</v>
      </c>
      <c r="E10209">
        <v>50.28</v>
      </c>
      <c r="F10209" s="1789">
        <v>8.8999999999999996E-2</v>
      </c>
      <c r="G10209">
        <f t="shared" si="321"/>
        <v>45.8</v>
      </c>
    </row>
    <row r="10210" spans="1:7" ht="12.75" customHeight="1">
      <c r="A10210" s="3">
        <v>98112</v>
      </c>
      <c r="B10210" s="4" t="s">
        <v>10234</v>
      </c>
      <c r="C10210" s="3" t="s">
        <v>6</v>
      </c>
      <c r="D10210" s="5">
        <f t="shared" si="320"/>
        <v>81.31</v>
      </c>
      <c r="E10210">
        <v>89.26</v>
      </c>
      <c r="F10210" s="1789">
        <v>8.8999999999999996E-2</v>
      </c>
      <c r="G10210">
        <f t="shared" si="321"/>
        <v>81.31</v>
      </c>
    </row>
    <row r="10211" spans="1:7" ht="12.75" customHeight="1">
      <c r="A10211" s="3">
        <v>98114</v>
      </c>
      <c r="B10211" s="4" t="s">
        <v>10235</v>
      </c>
      <c r="C10211" s="3" t="s">
        <v>6</v>
      </c>
      <c r="D10211" s="5">
        <f t="shared" si="320"/>
        <v>638.59</v>
      </c>
      <c r="E10211">
        <v>700.98</v>
      </c>
      <c r="F10211" s="1789">
        <v>8.8999999999999996E-2</v>
      </c>
      <c r="G10211">
        <f t="shared" si="321"/>
        <v>638.59</v>
      </c>
    </row>
    <row r="10212" spans="1:7" ht="12.75" customHeight="1">
      <c r="A10212" s="3">
        <v>98115</v>
      </c>
      <c r="B10212" s="4" t="s">
        <v>10236</v>
      </c>
      <c r="C10212" s="3" t="s">
        <v>6</v>
      </c>
      <c r="D10212" s="5">
        <f t="shared" si="320"/>
        <v>89.57</v>
      </c>
      <c r="E10212">
        <v>98.33</v>
      </c>
      <c r="F10212" s="1789">
        <v>8.8999999999999996E-2</v>
      </c>
      <c r="G10212">
        <f t="shared" si="321"/>
        <v>89.57</v>
      </c>
    </row>
    <row r="10213" spans="1:7" ht="12.75" customHeight="1">
      <c r="A10213" s="3">
        <v>89349</v>
      </c>
      <c r="B10213" s="4" t="s">
        <v>10237</v>
      </c>
      <c r="C10213" s="3" t="s">
        <v>6</v>
      </c>
      <c r="D10213" s="5">
        <f t="shared" si="320"/>
        <v>19.95</v>
      </c>
      <c r="E10213">
        <v>21.9</v>
      </c>
      <c r="F10213" s="1789">
        <v>8.8999999999999996E-2</v>
      </c>
      <c r="G10213">
        <f t="shared" si="321"/>
        <v>19.95</v>
      </c>
    </row>
    <row r="10214" spans="1:7" ht="12.75" customHeight="1">
      <c r="A10214" s="3">
        <v>89351</v>
      </c>
      <c r="B10214" s="4" t="s">
        <v>10238</v>
      </c>
      <c r="C10214" s="3" t="s">
        <v>6</v>
      </c>
      <c r="D10214" s="5">
        <f t="shared" si="320"/>
        <v>24.85</v>
      </c>
      <c r="E10214">
        <v>27.28</v>
      </c>
      <c r="F10214" s="1789">
        <v>8.8999999999999996E-2</v>
      </c>
      <c r="G10214">
        <f t="shared" si="321"/>
        <v>24.85</v>
      </c>
    </row>
    <row r="10215" spans="1:7" ht="12.75" customHeight="1">
      <c r="A10215" s="3">
        <v>89352</v>
      </c>
      <c r="B10215" s="4" t="s">
        <v>10239</v>
      </c>
      <c r="C10215" s="3" t="s">
        <v>6</v>
      </c>
      <c r="D10215" s="5">
        <f t="shared" si="320"/>
        <v>26.85</v>
      </c>
      <c r="E10215">
        <v>29.48</v>
      </c>
      <c r="F10215" s="1789">
        <v>8.8999999999999996E-2</v>
      </c>
      <c r="G10215">
        <f t="shared" si="321"/>
        <v>26.85</v>
      </c>
    </row>
    <row r="10216" spans="1:7" ht="12.75" customHeight="1">
      <c r="A10216" s="3">
        <v>89353</v>
      </c>
      <c r="B10216" s="4" t="s">
        <v>10240</v>
      </c>
      <c r="C10216" s="3" t="s">
        <v>6</v>
      </c>
      <c r="D10216" s="5">
        <f t="shared" si="320"/>
        <v>29.8</v>
      </c>
      <c r="E10216">
        <v>32.72</v>
      </c>
      <c r="F10216" s="1789">
        <v>8.8999999999999996E-2</v>
      </c>
      <c r="G10216">
        <f t="shared" si="321"/>
        <v>29.8</v>
      </c>
    </row>
    <row r="10217" spans="1:7" ht="12.75" customHeight="1">
      <c r="A10217" s="3">
        <v>89354</v>
      </c>
      <c r="B10217" s="4" t="s">
        <v>10241</v>
      </c>
      <c r="C10217" s="3" t="s">
        <v>6</v>
      </c>
      <c r="D10217" s="5">
        <f t="shared" si="320"/>
        <v>535.77</v>
      </c>
      <c r="E10217">
        <v>588.12</v>
      </c>
      <c r="F10217" s="1789">
        <v>8.8999999999999996E-2</v>
      </c>
      <c r="G10217">
        <f t="shared" si="321"/>
        <v>535.77</v>
      </c>
    </row>
    <row r="10218" spans="1:7" ht="12.75" customHeight="1">
      <c r="A10218" s="3">
        <v>89984</v>
      </c>
      <c r="B10218" s="4" t="s">
        <v>10242</v>
      </c>
      <c r="C10218" s="3" t="s">
        <v>6</v>
      </c>
      <c r="D10218" s="5">
        <f t="shared" si="320"/>
        <v>63.52</v>
      </c>
      <c r="E10218">
        <v>69.73</v>
      </c>
      <c r="F10218" s="1789">
        <v>8.8999999999999996E-2</v>
      </c>
      <c r="G10218">
        <f t="shared" si="321"/>
        <v>63.52</v>
      </c>
    </row>
    <row r="10219" spans="1:7" ht="12.75" customHeight="1">
      <c r="A10219" s="3">
        <v>89985</v>
      </c>
      <c r="B10219" s="4" t="s">
        <v>10243</v>
      </c>
      <c r="C10219" s="3" t="s">
        <v>6</v>
      </c>
      <c r="D10219" s="5">
        <f t="shared" si="320"/>
        <v>67.040000000000006</v>
      </c>
      <c r="E10219">
        <v>73.599999999999994</v>
      </c>
      <c r="F10219" s="1789">
        <v>8.8999999999999996E-2</v>
      </c>
      <c r="G10219">
        <f t="shared" si="321"/>
        <v>67.040000000000006</v>
      </c>
    </row>
    <row r="10220" spans="1:7" ht="12.75" customHeight="1">
      <c r="A10220" s="3">
        <v>89986</v>
      </c>
      <c r="B10220" s="4" t="s">
        <v>10244</v>
      </c>
      <c r="C10220" s="3" t="s">
        <v>6</v>
      </c>
      <c r="D10220" s="5">
        <f t="shared" si="320"/>
        <v>61.93</v>
      </c>
      <c r="E10220">
        <v>67.989999999999995</v>
      </c>
      <c r="F10220" s="1789">
        <v>8.8999999999999996E-2</v>
      </c>
      <c r="G10220">
        <f t="shared" si="321"/>
        <v>61.93</v>
      </c>
    </row>
    <row r="10221" spans="1:7" ht="12.75" customHeight="1">
      <c r="A10221" s="3">
        <v>89987</v>
      </c>
      <c r="B10221" s="4" t="s">
        <v>10245</v>
      </c>
      <c r="C10221" s="3" t="s">
        <v>6</v>
      </c>
      <c r="D10221" s="5">
        <f t="shared" si="320"/>
        <v>70.52</v>
      </c>
      <c r="E10221">
        <v>77.41</v>
      </c>
      <c r="F10221" s="1789">
        <v>8.8999999999999996E-2</v>
      </c>
      <c r="G10221">
        <f t="shared" si="321"/>
        <v>70.52</v>
      </c>
    </row>
    <row r="10222" spans="1:7" ht="12.75" customHeight="1">
      <c r="A10222" s="3">
        <v>90371</v>
      </c>
      <c r="B10222" s="4" t="s">
        <v>10246</v>
      </c>
      <c r="C10222" s="3" t="s">
        <v>6</v>
      </c>
      <c r="D10222" s="5">
        <f t="shared" si="320"/>
        <v>22.12</v>
      </c>
      <c r="E10222">
        <v>24.29</v>
      </c>
      <c r="F10222" s="1789">
        <v>8.8999999999999996E-2</v>
      </c>
      <c r="G10222">
        <f t="shared" si="321"/>
        <v>22.12</v>
      </c>
    </row>
    <row r="10223" spans="1:7" ht="12.75" customHeight="1">
      <c r="A10223" s="3">
        <v>94489</v>
      </c>
      <c r="B10223" s="4" t="s">
        <v>10247</v>
      </c>
      <c r="C10223" s="3" t="s">
        <v>6</v>
      </c>
      <c r="D10223" s="5">
        <f t="shared" si="320"/>
        <v>22.62</v>
      </c>
      <c r="E10223">
        <v>24.83</v>
      </c>
      <c r="F10223" s="1789">
        <v>8.8999999999999996E-2</v>
      </c>
      <c r="G10223">
        <f t="shared" si="321"/>
        <v>22.62</v>
      </c>
    </row>
    <row r="10224" spans="1:7" ht="12.75" customHeight="1">
      <c r="A10224" s="3">
        <v>94490</v>
      </c>
      <c r="B10224" s="4" t="s">
        <v>10248</v>
      </c>
      <c r="C10224" s="3" t="s">
        <v>6</v>
      </c>
      <c r="D10224" s="5">
        <f t="shared" si="320"/>
        <v>32.950000000000003</v>
      </c>
      <c r="E10224">
        <v>36.18</v>
      </c>
      <c r="F10224" s="1789">
        <v>8.8999999999999996E-2</v>
      </c>
      <c r="G10224">
        <f t="shared" si="321"/>
        <v>32.950000000000003</v>
      </c>
    </row>
    <row r="10225" spans="1:7" ht="12.75" customHeight="1">
      <c r="A10225" s="3">
        <v>94491</v>
      </c>
      <c r="B10225" s="4" t="s">
        <v>10249</v>
      </c>
      <c r="C10225" s="3" t="s">
        <v>6</v>
      </c>
      <c r="D10225" s="5">
        <f t="shared" si="320"/>
        <v>45.21</v>
      </c>
      <c r="E10225">
        <v>49.63</v>
      </c>
      <c r="F10225" s="1789">
        <v>8.8999999999999996E-2</v>
      </c>
      <c r="G10225">
        <f t="shared" si="321"/>
        <v>45.21</v>
      </c>
    </row>
    <row r="10226" spans="1:7" ht="12.75" customHeight="1">
      <c r="A10226" s="3">
        <v>94492</v>
      </c>
      <c r="B10226" s="4" t="s">
        <v>10250</v>
      </c>
      <c r="C10226" s="3" t="s">
        <v>6</v>
      </c>
      <c r="D10226" s="5">
        <f t="shared" si="320"/>
        <v>46.43</v>
      </c>
      <c r="E10226">
        <v>50.97</v>
      </c>
      <c r="F10226" s="1789">
        <v>8.8999999999999996E-2</v>
      </c>
      <c r="G10226">
        <f t="shared" si="321"/>
        <v>46.43</v>
      </c>
    </row>
    <row r="10227" spans="1:7" ht="12.75" customHeight="1">
      <c r="A10227" s="3">
        <v>94493</v>
      </c>
      <c r="B10227" s="4" t="s">
        <v>10251</v>
      </c>
      <c r="C10227" s="3" t="s">
        <v>6</v>
      </c>
      <c r="D10227" s="5">
        <f t="shared" si="320"/>
        <v>85.21</v>
      </c>
      <c r="E10227">
        <v>93.54</v>
      </c>
      <c r="F10227" s="1789">
        <v>8.8999999999999996E-2</v>
      </c>
      <c r="G10227">
        <f t="shared" si="321"/>
        <v>85.21</v>
      </c>
    </row>
    <row r="10228" spans="1:7" ht="12.75" customHeight="1">
      <c r="A10228" s="3">
        <v>94495</v>
      </c>
      <c r="B10228" s="4" t="s">
        <v>10252</v>
      </c>
      <c r="C10228" s="3" t="s">
        <v>6</v>
      </c>
      <c r="D10228" s="5">
        <f t="shared" si="320"/>
        <v>45.93</v>
      </c>
      <c r="E10228">
        <v>50.42</v>
      </c>
      <c r="F10228" s="1789">
        <v>8.8999999999999996E-2</v>
      </c>
      <c r="G10228">
        <f t="shared" si="321"/>
        <v>45.93</v>
      </c>
    </row>
    <row r="10229" spans="1:7" ht="12.75" customHeight="1">
      <c r="A10229" s="3">
        <v>94496</v>
      </c>
      <c r="B10229" s="4" t="s">
        <v>10253</v>
      </c>
      <c r="C10229" s="3" t="s">
        <v>6</v>
      </c>
      <c r="D10229" s="5">
        <f t="shared" si="320"/>
        <v>62.57</v>
      </c>
      <c r="E10229">
        <v>68.69</v>
      </c>
      <c r="F10229" s="1789">
        <v>8.8999999999999996E-2</v>
      </c>
      <c r="G10229">
        <f t="shared" si="321"/>
        <v>62.57</v>
      </c>
    </row>
    <row r="10230" spans="1:7" ht="12.75" customHeight="1">
      <c r="A10230" s="3">
        <v>94497</v>
      </c>
      <c r="B10230" s="4" t="s">
        <v>10254</v>
      </c>
      <c r="C10230" s="3" t="s">
        <v>6</v>
      </c>
      <c r="D10230" s="5">
        <f t="shared" si="320"/>
        <v>79.319999999999993</v>
      </c>
      <c r="E10230">
        <v>87.07</v>
      </c>
      <c r="F10230" s="1789">
        <v>8.8999999999999996E-2</v>
      </c>
      <c r="G10230">
        <f t="shared" si="321"/>
        <v>79.319999999999993</v>
      </c>
    </row>
    <row r="10231" spans="1:7" ht="12.75" customHeight="1">
      <c r="A10231" s="3">
        <v>94498</v>
      </c>
      <c r="B10231" s="4" t="s">
        <v>10255</v>
      </c>
      <c r="C10231" s="3" t="s">
        <v>6</v>
      </c>
      <c r="D10231" s="5">
        <f t="shared" si="320"/>
        <v>109.31</v>
      </c>
      <c r="E10231">
        <v>119.99</v>
      </c>
      <c r="F10231" s="1789">
        <v>8.8999999999999996E-2</v>
      </c>
      <c r="G10231">
        <f t="shared" si="321"/>
        <v>109.31</v>
      </c>
    </row>
    <row r="10232" spans="1:7" ht="12.75" customHeight="1">
      <c r="A10232" s="3">
        <v>94499</v>
      </c>
      <c r="B10232" s="4" t="s">
        <v>10256</v>
      </c>
      <c r="C10232" s="3" t="s">
        <v>6</v>
      </c>
      <c r="D10232" s="5">
        <f t="shared" si="320"/>
        <v>215.88</v>
      </c>
      <c r="E10232">
        <v>236.98</v>
      </c>
      <c r="F10232" s="1789">
        <v>8.8999999999999996E-2</v>
      </c>
      <c r="G10232">
        <f t="shared" si="321"/>
        <v>215.88</v>
      </c>
    </row>
    <row r="10233" spans="1:7" ht="12.75" customHeight="1">
      <c r="A10233" s="3">
        <v>94500</v>
      </c>
      <c r="B10233" s="4" t="s">
        <v>10257</v>
      </c>
      <c r="C10233" s="3" t="s">
        <v>6</v>
      </c>
      <c r="D10233" s="5">
        <f t="shared" si="320"/>
        <v>262.16000000000003</v>
      </c>
      <c r="E10233">
        <v>287.77999999999997</v>
      </c>
      <c r="F10233" s="1789">
        <v>8.8999999999999996E-2</v>
      </c>
      <c r="G10233">
        <f t="shared" si="321"/>
        <v>262.16000000000003</v>
      </c>
    </row>
    <row r="10234" spans="1:7" ht="12.75" customHeight="1">
      <c r="A10234" s="3">
        <v>94501</v>
      </c>
      <c r="B10234" s="4" t="s">
        <v>10258</v>
      </c>
      <c r="C10234" s="3" t="s">
        <v>6</v>
      </c>
      <c r="D10234" s="5">
        <f t="shared" si="320"/>
        <v>526.24</v>
      </c>
      <c r="E10234">
        <v>577.66</v>
      </c>
      <c r="F10234" s="1789">
        <v>8.8999999999999996E-2</v>
      </c>
      <c r="G10234">
        <f t="shared" si="321"/>
        <v>526.24</v>
      </c>
    </row>
    <row r="10235" spans="1:7" ht="12.75" customHeight="1">
      <c r="A10235" s="3">
        <v>94792</v>
      </c>
      <c r="B10235" s="4" t="s">
        <v>10259</v>
      </c>
      <c r="C10235" s="3" t="s">
        <v>6</v>
      </c>
      <c r="D10235" s="5">
        <f t="shared" si="320"/>
        <v>85.85</v>
      </c>
      <c r="E10235">
        <v>94.24</v>
      </c>
      <c r="F10235" s="1789">
        <v>8.8999999999999996E-2</v>
      </c>
      <c r="G10235">
        <f t="shared" si="321"/>
        <v>85.85</v>
      </c>
    </row>
    <row r="10236" spans="1:7" ht="12.75" customHeight="1">
      <c r="A10236" s="3">
        <v>94793</v>
      </c>
      <c r="B10236" s="4" t="s">
        <v>10260</v>
      </c>
      <c r="C10236" s="3" t="s">
        <v>6</v>
      </c>
      <c r="D10236" s="5">
        <f t="shared" si="320"/>
        <v>117.32</v>
      </c>
      <c r="E10236">
        <v>128.79</v>
      </c>
      <c r="F10236" s="1789">
        <v>8.8999999999999996E-2</v>
      </c>
      <c r="G10236">
        <f t="shared" si="321"/>
        <v>117.32</v>
      </c>
    </row>
    <row r="10237" spans="1:7" ht="12.75" customHeight="1">
      <c r="A10237" s="3">
        <v>94794</v>
      </c>
      <c r="B10237" s="4" t="s">
        <v>10261</v>
      </c>
      <c r="C10237" s="3" t="s">
        <v>6</v>
      </c>
      <c r="D10237" s="5">
        <f t="shared" si="320"/>
        <v>124.72</v>
      </c>
      <c r="E10237">
        <v>136.91</v>
      </c>
      <c r="F10237" s="1789">
        <v>8.8999999999999996E-2</v>
      </c>
      <c r="G10237">
        <f t="shared" si="321"/>
        <v>124.72</v>
      </c>
    </row>
    <row r="10238" spans="1:7" ht="12.75" customHeight="1">
      <c r="A10238" s="3">
        <v>94795</v>
      </c>
      <c r="B10238" s="4" t="s">
        <v>10262</v>
      </c>
      <c r="C10238" s="3" t="s">
        <v>6</v>
      </c>
      <c r="D10238" s="5">
        <f t="shared" si="320"/>
        <v>31.75</v>
      </c>
      <c r="E10238">
        <v>34.86</v>
      </c>
      <c r="F10238" s="1789">
        <v>8.8999999999999996E-2</v>
      </c>
      <c r="G10238">
        <f t="shared" si="321"/>
        <v>31.75</v>
      </c>
    </row>
    <row r="10239" spans="1:7" ht="12.75" customHeight="1">
      <c r="A10239" s="3">
        <v>94796</v>
      </c>
      <c r="B10239" s="4" t="s">
        <v>10263</v>
      </c>
      <c r="C10239" s="3" t="s">
        <v>6</v>
      </c>
      <c r="D10239" s="5">
        <f t="shared" si="320"/>
        <v>36.68</v>
      </c>
      <c r="E10239">
        <v>40.270000000000003</v>
      </c>
      <c r="F10239" s="1789">
        <v>8.8999999999999996E-2</v>
      </c>
      <c r="G10239">
        <f t="shared" si="321"/>
        <v>36.68</v>
      </c>
    </row>
    <row r="10240" spans="1:7" ht="12.75" customHeight="1">
      <c r="A10240" s="3">
        <v>94797</v>
      </c>
      <c r="B10240" s="4" t="s">
        <v>10264</v>
      </c>
      <c r="C10240" s="3" t="s">
        <v>6</v>
      </c>
      <c r="D10240" s="5">
        <f t="shared" si="320"/>
        <v>75.2</v>
      </c>
      <c r="E10240">
        <v>82.55</v>
      </c>
      <c r="F10240" s="1789">
        <v>8.8999999999999996E-2</v>
      </c>
      <c r="G10240">
        <f t="shared" si="321"/>
        <v>75.2</v>
      </c>
    </row>
    <row r="10241" spans="1:7" ht="12.75" customHeight="1">
      <c r="A10241" s="3">
        <v>94798</v>
      </c>
      <c r="B10241" s="4" t="s">
        <v>10265</v>
      </c>
      <c r="C10241" s="3" t="s">
        <v>6</v>
      </c>
      <c r="D10241" s="5">
        <f t="shared" si="320"/>
        <v>124.35</v>
      </c>
      <c r="E10241">
        <v>136.5</v>
      </c>
      <c r="F10241" s="1789">
        <v>8.8999999999999996E-2</v>
      </c>
      <c r="G10241">
        <f t="shared" si="321"/>
        <v>124.35</v>
      </c>
    </row>
    <row r="10242" spans="1:7" ht="12.75" customHeight="1">
      <c r="A10242" s="3">
        <v>94799</v>
      </c>
      <c r="B10242" s="4" t="s">
        <v>10266</v>
      </c>
      <c r="C10242" s="3" t="s">
        <v>6</v>
      </c>
      <c r="D10242" s="5">
        <f t="shared" si="320"/>
        <v>152.79</v>
      </c>
      <c r="E10242">
        <v>167.72</v>
      </c>
      <c r="F10242" s="1789">
        <v>8.8999999999999996E-2</v>
      </c>
      <c r="G10242">
        <f t="shared" si="321"/>
        <v>152.79</v>
      </c>
    </row>
    <row r="10243" spans="1:7" ht="12.75" customHeight="1">
      <c r="A10243" s="3">
        <v>94800</v>
      </c>
      <c r="B10243" s="4" t="s">
        <v>10267</v>
      </c>
      <c r="C10243" s="3" t="s">
        <v>6</v>
      </c>
      <c r="D10243" s="5">
        <f t="shared" si="320"/>
        <v>196.19</v>
      </c>
      <c r="E10243">
        <v>215.36</v>
      </c>
      <c r="F10243" s="1789">
        <v>8.8999999999999996E-2</v>
      </c>
      <c r="G10243">
        <f t="shared" si="321"/>
        <v>196.19</v>
      </c>
    </row>
    <row r="10244" spans="1:7" ht="12.75" customHeight="1">
      <c r="A10244" s="3">
        <v>95248</v>
      </c>
      <c r="B10244" s="4" t="s">
        <v>10268</v>
      </c>
      <c r="C10244" s="3" t="s">
        <v>6</v>
      </c>
      <c r="D10244" s="5">
        <f t="shared" si="320"/>
        <v>38.69</v>
      </c>
      <c r="E10244">
        <v>42.47</v>
      </c>
      <c r="F10244" s="1789">
        <v>8.8999999999999996E-2</v>
      </c>
      <c r="G10244">
        <f t="shared" si="321"/>
        <v>38.69</v>
      </c>
    </row>
    <row r="10245" spans="1:7" ht="12.75" customHeight="1">
      <c r="A10245" s="3">
        <v>95249</v>
      </c>
      <c r="B10245" s="4" t="s">
        <v>10269</v>
      </c>
      <c r="C10245" s="3" t="s">
        <v>6</v>
      </c>
      <c r="D10245" s="5">
        <f t="shared" si="320"/>
        <v>45.82</v>
      </c>
      <c r="E10245">
        <v>50.3</v>
      </c>
      <c r="F10245" s="1789">
        <v>8.8999999999999996E-2</v>
      </c>
      <c r="G10245">
        <f t="shared" si="321"/>
        <v>45.82</v>
      </c>
    </row>
    <row r="10246" spans="1:7" ht="12.75" customHeight="1">
      <c r="A10246" s="3">
        <v>95250</v>
      </c>
      <c r="B10246" s="4" t="s">
        <v>10270</v>
      </c>
      <c r="C10246" s="3" t="s">
        <v>6</v>
      </c>
      <c r="D10246" s="5">
        <f t="shared" si="320"/>
        <v>61.84</v>
      </c>
      <c r="E10246">
        <v>67.89</v>
      </c>
      <c r="F10246" s="1789">
        <v>8.8999999999999996E-2</v>
      </c>
      <c r="G10246">
        <f t="shared" si="321"/>
        <v>61.84</v>
      </c>
    </row>
    <row r="10247" spans="1:7" ht="12.75" customHeight="1">
      <c r="A10247" s="3">
        <v>95251</v>
      </c>
      <c r="B10247" s="4" t="s">
        <v>10271</v>
      </c>
      <c r="C10247" s="3" t="s">
        <v>6</v>
      </c>
      <c r="D10247" s="5">
        <f t="shared" si="320"/>
        <v>91.33</v>
      </c>
      <c r="E10247">
        <v>100.26</v>
      </c>
      <c r="F10247" s="1789">
        <v>8.8999999999999996E-2</v>
      </c>
      <c r="G10247">
        <f t="shared" si="321"/>
        <v>91.33</v>
      </c>
    </row>
    <row r="10248" spans="1:7" ht="12.75" customHeight="1">
      <c r="A10248" s="3">
        <v>95252</v>
      </c>
      <c r="B10248" s="4" t="s">
        <v>10272</v>
      </c>
      <c r="C10248" s="3" t="s">
        <v>6</v>
      </c>
      <c r="D10248" s="5">
        <f t="shared" si="320"/>
        <v>110.87</v>
      </c>
      <c r="E10248">
        <v>121.71</v>
      </c>
      <c r="F10248" s="1789">
        <v>8.8999999999999996E-2</v>
      </c>
      <c r="G10248">
        <f t="shared" si="321"/>
        <v>110.87</v>
      </c>
    </row>
    <row r="10249" spans="1:7" ht="12.75" customHeight="1">
      <c r="A10249" s="3">
        <v>95253</v>
      </c>
      <c r="B10249" s="4" t="s">
        <v>10273</v>
      </c>
      <c r="C10249" s="3" t="s">
        <v>6</v>
      </c>
      <c r="D10249" s="5">
        <f t="shared" si="320"/>
        <v>168.1</v>
      </c>
      <c r="E10249">
        <v>184.53</v>
      </c>
      <c r="F10249" s="1789">
        <v>8.8999999999999996E-2</v>
      </c>
      <c r="G10249">
        <f t="shared" si="321"/>
        <v>168.1</v>
      </c>
    </row>
    <row r="10250" spans="1:7" ht="12.75" customHeight="1">
      <c r="A10250" s="3">
        <v>99619</v>
      </c>
      <c r="B10250" s="4" t="s">
        <v>10274</v>
      </c>
      <c r="C10250" s="3" t="s">
        <v>6</v>
      </c>
      <c r="D10250" s="5">
        <f t="shared" si="320"/>
        <v>111.36</v>
      </c>
      <c r="E10250">
        <v>122.24</v>
      </c>
      <c r="F10250" s="1789">
        <v>8.8999999999999996E-2</v>
      </c>
      <c r="G10250">
        <f t="shared" si="321"/>
        <v>111.36</v>
      </c>
    </row>
    <row r="10251" spans="1:7" ht="12.75" customHeight="1">
      <c r="A10251" s="3">
        <v>99620</v>
      </c>
      <c r="B10251" s="4" t="s">
        <v>10275</v>
      </c>
      <c r="C10251" s="3" t="s">
        <v>6</v>
      </c>
      <c r="D10251" s="5">
        <f t="shared" si="320"/>
        <v>151.28</v>
      </c>
      <c r="E10251">
        <v>166.07</v>
      </c>
      <c r="F10251" s="1789">
        <v>8.8999999999999996E-2</v>
      </c>
      <c r="G10251">
        <f t="shared" si="321"/>
        <v>151.28</v>
      </c>
    </row>
    <row r="10252" spans="1:7" ht="12.75" customHeight="1">
      <c r="A10252" s="3">
        <v>99621</v>
      </c>
      <c r="B10252" s="4" t="s">
        <v>10276</v>
      </c>
      <c r="C10252" s="3" t="s">
        <v>6</v>
      </c>
      <c r="D10252" s="5">
        <f t="shared" si="320"/>
        <v>225.6</v>
      </c>
      <c r="E10252">
        <v>247.64</v>
      </c>
      <c r="F10252" s="1789">
        <v>8.8999999999999996E-2</v>
      </c>
      <c r="G10252">
        <f t="shared" si="321"/>
        <v>225.6</v>
      </c>
    </row>
    <row r="10253" spans="1:7" ht="12.75" customHeight="1">
      <c r="A10253" s="3">
        <v>99622</v>
      </c>
      <c r="B10253" s="4" t="s">
        <v>10277</v>
      </c>
      <c r="C10253" s="3" t="s">
        <v>6</v>
      </c>
      <c r="D10253" s="5">
        <f t="shared" si="320"/>
        <v>253.7</v>
      </c>
      <c r="E10253">
        <v>278.49</v>
      </c>
      <c r="F10253" s="1789">
        <v>8.8999999999999996E-2</v>
      </c>
      <c r="G10253">
        <f t="shared" si="321"/>
        <v>253.7</v>
      </c>
    </row>
    <row r="10254" spans="1:7" ht="12.75" customHeight="1">
      <c r="A10254" s="3">
        <v>99623</v>
      </c>
      <c r="B10254" s="4" t="s">
        <v>10278</v>
      </c>
      <c r="C10254" s="3" t="s">
        <v>6</v>
      </c>
      <c r="D10254" s="5">
        <f t="shared" si="320"/>
        <v>354.18</v>
      </c>
      <c r="E10254">
        <v>388.79</v>
      </c>
      <c r="F10254" s="1789">
        <v>8.8999999999999996E-2</v>
      </c>
      <c r="G10254">
        <f t="shared" si="321"/>
        <v>354.18</v>
      </c>
    </row>
    <row r="10255" spans="1:7" ht="12.75" customHeight="1">
      <c r="A10255" s="3">
        <v>99624</v>
      </c>
      <c r="B10255" s="4" t="s">
        <v>10279</v>
      </c>
      <c r="C10255" s="3" t="s">
        <v>6</v>
      </c>
      <c r="D10255" s="5">
        <f t="shared" si="320"/>
        <v>505.14</v>
      </c>
      <c r="E10255">
        <v>554.49</v>
      </c>
      <c r="F10255" s="1789">
        <v>8.8999999999999996E-2</v>
      </c>
      <c r="G10255">
        <f t="shared" si="321"/>
        <v>505.14</v>
      </c>
    </row>
    <row r="10256" spans="1:7" ht="12.75" customHeight="1">
      <c r="A10256" s="3">
        <v>99625</v>
      </c>
      <c r="B10256" s="4" t="s">
        <v>10280</v>
      </c>
      <c r="C10256" s="3" t="s">
        <v>6</v>
      </c>
      <c r="D10256" s="5">
        <f t="shared" si="320"/>
        <v>695.14</v>
      </c>
      <c r="E10256">
        <v>763.06</v>
      </c>
      <c r="F10256" s="1789">
        <v>8.8999999999999996E-2</v>
      </c>
      <c r="G10256">
        <f t="shared" si="321"/>
        <v>695.14</v>
      </c>
    </row>
    <row r="10257" spans="1:7" ht="12.75" customHeight="1">
      <c r="A10257" s="3">
        <v>99626</v>
      </c>
      <c r="B10257" s="4" t="s">
        <v>10281</v>
      </c>
      <c r="C10257" s="3" t="s">
        <v>6</v>
      </c>
      <c r="D10257" s="5">
        <f t="shared" si="320"/>
        <v>1071.24</v>
      </c>
      <c r="E10257">
        <v>1175.9000000000001</v>
      </c>
      <c r="F10257" s="1789">
        <v>8.8999999999999996E-2</v>
      </c>
      <c r="G10257">
        <f t="shared" si="321"/>
        <v>1071.24</v>
      </c>
    </row>
    <row r="10258" spans="1:7" ht="12.75" customHeight="1">
      <c r="A10258" s="3">
        <v>99627</v>
      </c>
      <c r="B10258" s="4" t="s">
        <v>10282</v>
      </c>
      <c r="C10258" s="3" t="s">
        <v>6</v>
      </c>
      <c r="D10258" s="5">
        <f t="shared" si="320"/>
        <v>67.150000000000006</v>
      </c>
      <c r="E10258">
        <v>73.72</v>
      </c>
      <c r="F10258" s="1789">
        <v>8.8999999999999996E-2</v>
      </c>
      <c r="G10258">
        <f t="shared" si="321"/>
        <v>67.150000000000006</v>
      </c>
    </row>
    <row r="10259" spans="1:7" ht="12.75" customHeight="1">
      <c r="A10259" s="3">
        <v>99628</v>
      </c>
      <c r="B10259" s="4" t="s">
        <v>10283</v>
      </c>
      <c r="C10259" s="3" t="s">
        <v>6</v>
      </c>
      <c r="D10259" s="5">
        <f t="shared" si="320"/>
        <v>73.099999999999994</v>
      </c>
      <c r="E10259">
        <v>80.25</v>
      </c>
      <c r="F10259" s="1789">
        <v>8.8999999999999996E-2</v>
      </c>
      <c r="G10259">
        <f t="shared" si="321"/>
        <v>73.099999999999994</v>
      </c>
    </row>
    <row r="10260" spans="1:7" ht="12.75" customHeight="1">
      <c r="A10260" s="3">
        <v>99629</v>
      </c>
      <c r="B10260" s="4" t="s">
        <v>10284</v>
      </c>
      <c r="C10260" s="3" t="s">
        <v>6</v>
      </c>
      <c r="D10260" s="5">
        <f t="shared" si="320"/>
        <v>81.08</v>
      </c>
      <c r="E10260">
        <v>89.01</v>
      </c>
      <c r="F10260" s="1789">
        <v>8.8999999999999996E-2</v>
      </c>
      <c r="G10260">
        <f t="shared" si="321"/>
        <v>81.08</v>
      </c>
    </row>
    <row r="10261" spans="1:7" ht="12.75" customHeight="1">
      <c r="A10261" s="3">
        <v>99630</v>
      </c>
      <c r="B10261" s="4" t="s">
        <v>10285</v>
      </c>
      <c r="C10261" s="3" t="s">
        <v>6</v>
      </c>
      <c r="D10261" s="5">
        <f t="shared" ref="D10261:D10324" si="322">G10261</f>
        <v>120.74</v>
      </c>
      <c r="E10261">
        <v>132.54</v>
      </c>
      <c r="F10261" s="1789">
        <v>8.8999999999999996E-2</v>
      </c>
      <c r="G10261">
        <f t="shared" ref="G10261:G10324" si="323">TRUNC((1-F10261)*E10261,2)</f>
        <v>120.74</v>
      </c>
    </row>
    <row r="10262" spans="1:7" ht="12.75" customHeight="1">
      <c r="A10262" s="3">
        <v>99631</v>
      </c>
      <c r="B10262" s="4" t="s">
        <v>10286</v>
      </c>
      <c r="C10262" s="3" t="s">
        <v>6</v>
      </c>
      <c r="D10262" s="5">
        <f t="shared" si="322"/>
        <v>140.38</v>
      </c>
      <c r="E10262">
        <v>154.1</v>
      </c>
      <c r="F10262" s="1789">
        <v>8.8999999999999996E-2</v>
      </c>
      <c r="G10262">
        <f t="shared" si="323"/>
        <v>140.38</v>
      </c>
    </row>
    <row r="10263" spans="1:7" ht="12.75" customHeight="1">
      <c r="A10263" s="3">
        <v>99632</v>
      </c>
      <c r="B10263" s="4" t="s">
        <v>10287</v>
      </c>
      <c r="C10263" s="3" t="s">
        <v>6</v>
      </c>
      <c r="D10263" s="5">
        <f t="shared" si="322"/>
        <v>202.66</v>
      </c>
      <c r="E10263">
        <v>222.46</v>
      </c>
      <c r="F10263" s="1789">
        <v>8.8999999999999996E-2</v>
      </c>
      <c r="G10263">
        <f t="shared" si="323"/>
        <v>202.66</v>
      </c>
    </row>
    <row r="10264" spans="1:7" ht="12.75" customHeight="1">
      <c r="A10264" s="3">
        <v>99633</v>
      </c>
      <c r="B10264" s="4" t="s">
        <v>10288</v>
      </c>
      <c r="C10264" s="3" t="s">
        <v>6</v>
      </c>
      <c r="D10264" s="5">
        <f t="shared" si="322"/>
        <v>435.89</v>
      </c>
      <c r="E10264">
        <v>478.48</v>
      </c>
      <c r="F10264" s="1789">
        <v>8.8999999999999996E-2</v>
      </c>
      <c r="G10264">
        <f t="shared" si="323"/>
        <v>435.89</v>
      </c>
    </row>
    <row r="10265" spans="1:7" ht="12.75" customHeight="1">
      <c r="A10265" s="3">
        <v>99634</v>
      </c>
      <c r="B10265" s="4" t="s">
        <v>10289</v>
      </c>
      <c r="C10265" s="3" t="s">
        <v>6</v>
      </c>
      <c r="D10265" s="5">
        <f t="shared" si="322"/>
        <v>745.04</v>
      </c>
      <c r="E10265">
        <v>817.83</v>
      </c>
      <c r="F10265" s="1789">
        <v>8.8999999999999996E-2</v>
      </c>
      <c r="G10265">
        <f t="shared" si="323"/>
        <v>745.04</v>
      </c>
    </row>
    <row r="10266" spans="1:7" ht="12.75" customHeight="1">
      <c r="A10266" s="3">
        <v>99635</v>
      </c>
      <c r="B10266" s="4" t="s">
        <v>10290</v>
      </c>
      <c r="C10266" s="3" t="s">
        <v>6</v>
      </c>
      <c r="D10266" s="5">
        <f t="shared" si="322"/>
        <v>196.08</v>
      </c>
      <c r="E10266">
        <v>215.24</v>
      </c>
      <c r="F10266" s="1789">
        <v>8.8999999999999996E-2</v>
      </c>
      <c r="G10266">
        <f t="shared" si="323"/>
        <v>196.08</v>
      </c>
    </row>
    <row r="10267" spans="1:7" ht="12.75" customHeight="1">
      <c r="A10267" s="3">
        <v>103008</v>
      </c>
      <c r="B10267" s="4" t="s">
        <v>10291</v>
      </c>
      <c r="C10267" s="3" t="s">
        <v>6</v>
      </c>
      <c r="D10267" s="5">
        <f t="shared" si="322"/>
        <v>91.08</v>
      </c>
      <c r="E10267">
        <v>99.98</v>
      </c>
      <c r="F10267" s="1789">
        <v>8.8999999999999996E-2</v>
      </c>
      <c r="G10267">
        <f t="shared" si="323"/>
        <v>91.08</v>
      </c>
    </row>
    <row r="10268" spans="1:7" ht="12.75" customHeight="1">
      <c r="A10268" s="3">
        <v>103009</v>
      </c>
      <c r="B10268" s="4" t="s">
        <v>10292</v>
      </c>
      <c r="C10268" s="3" t="s">
        <v>6</v>
      </c>
      <c r="D10268" s="5">
        <f t="shared" si="322"/>
        <v>320.83999999999997</v>
      </c>
      <c r="E10268">
        <v>352.19</v>
      </c>
      <c r="F10268" s="1789">
        <v>8.8999999999999996E-2</v>
      </c>
      <c r="G10268">
        <f t="shared" si="323"/>
        <v>320.83999999999997</v>
      </c>
    </row>
    <row r="10269" spans="1:7" ht="12.75" customHeight="1">
      <c r="A10269" s="3">
        <v>103010</v>
      </c>
      <c r="B10269" s="4" t="s">
        <v>10293</v>
      </c>
      <c r="C10269" s="3" t="s">
        <v>6</v>
      </c>
      <c r="D10269" s="5">
        <f t="shared" si="322"/>
        <v>69.06</v>
      </c>
      <c r="E10269">
        <v>75.81</v>
      </c>
      <c r="F10269" s="1789">
        <v>8.8999999999999996E-2</v>
      </c>
      <c r="G10269">
        <f t="shared" si="323"/>
        <v>69.06</v>
      </c>
    </row>
    <row r="10270" spans="1:7" ht="12.75" customHeight="1">
      <c r="A10270" s="3">
        <v>103011</v>
      </c>
      <c r="B10270" s="4" t="s">
        <v>10294</v>
      </c>
      <c r="C10270" s="3" t="s">
        <v>6</v>
      </c>
      <c r="D10270" s="5">
        <f t="shared" si="322"/>
        <v>76.94</v>
      </c>
      <c r="E10270">
        <v>84.46</v>
      </c>
      <c r="F10270" s="1789">
        <v>8.8999999999999996E-2</v>
      </c>
      <c r="G10270">
        <f t="shared" si="323"/>
        <v>76.94</v>
      </c>
    </row>
    <row r="10271" spans="1:7" ht="12.75" customHeight="1">
      <c r="A10271" s="3">
        <v>103012</v>
      </c>
      <c r="B10271" s="4" t="s">
        <v>10295</v>
      </c>
      <c r="C10271" s="3" t="s">
        <v>6</v>
      </c>
      <c r="D10271" s="5">
        <f t="shared" si="322"/>
        <v>121.41</v>
      </c>
      <c r="E10271">
        <v>133.28</v>
      </c>
      <c r="F10271" s="1789">
        <v>8.8999999999999996E-2</v>
      </c>
      <c r="G10271">
        <f t="shared" si="323"/>
        <v>121.41</v>
      </c>
    </row>
    <row r="10272" spans="1:7" ht="12.75" customHeight="1">
      <c r="A10272" s="3">
        <v>103013</v>
      </c>
      <c r="B10272" s="4" t="s">
        <v>10296</v>
      </c>
      <c r="C10272" s="3" t="s">
        <v>6</v>
      </c>
      <c r="D10272" s="5">
        <f t="shared" si="322"/>
        <v>130.58000000000001</v>
      </c>
      <c r="E10272">
        <v>143.34</v>
      </c>
      <c r="F10272" s="1789">
        <v>8.8999999999999996E-2</v>
      </c>
      <c r="G10272">
        <f t="shared" si="323"/>
        <v>130.58000000000001</v>
      </c>
    </row>
    <row r="10273" spans="1:7" ht="12.75" customHeight="1">
      <c r="A10273" s="3">
        <v>103014</v>
      </c>
      <c r="B10273" s="4" t="s">
        <v>10297</v>
      </c>
      <c r="C10273" s="3" t="s">
        <v>6</v>
      </c>
      <c r="D10273" s="5">
        <f t="shared" si="322"/>
        <v>196.53</v>
      </c>
      <c r="E10273">
        <v>215.73</v>
      </c>
      <c r="F10273" s="1789">
        <v>8.8999999999999996E-2</v>
      </c>
      <c r="G10273">
        <f t="shared" si="323"/>
        <v>196.53</v>
      </c>
    </row>
    <row r="10274" spans="1:7" ht="12.75" customHeight="1">
      <c r="A10274" s="3">
        <v>103015</v>
      </c>
      <c r="B10274" s="4" t="s">
        <v>10298</v>
      </c>
      <c r="C10274" s="3" t="s">
        <v>6</v>
      </c>
      <c r="D10274" s="5">
        <f t="shared" si="322"/>
        <v>347.88</v>
      </c>
      <c r="E10274">
        <v>381.87</v>
      </c>
      <c r="F10274" s="1789">
        <v>8.8999999999999996E-2</v>
      </c>
      <c r="G10274">
        <f t="shared" si="323"/>
        <v>347.88</v>
      </c>
    </row>
    <row r="10275" spans="1:7" ht="12.75" customHeight="1">
      <c r="A10275" s="3">
        <v>103016</v>
      </c>
      <c r="B10275" s="4" t="s">
        <v>10299</v>
      </c>
      <c r="C10275" s="3" t="s">
        <v>6</v>
      </c>
      <c r="D10275" s="5">
        <f t="shared" si="322"/>
        <v>475.75</v>
      </c>
      <c r="E10275">
        <v>522.23</v>
      </c>
      <c r="F10275" s="1789">
        <v>8.8999999999999996E-2</v>
      </c>
      <c r="G10275">
        <f t="shared" si="323"/>
        <v>475.75</v>
      </c>
    </row>
    <row r="10276" spans="1:7" ht="12.75" customHeight="1">
      <c r="A10276" s="3">
        <v>103017</v>
      </c>
      <c r="B10276" s="4" t="s">
        <v>10300</v>
      </c>
      <c r="C10276" s="3" t="s">
        <v>6</v>
      </c>
      <c r="D10276" s="5">
        <f t="shared" si="322"/>
        <v>831.25</v>
      </c>
      <c r="E10276">
        <v>912.46</v>
      </c>
      <c r="F10276" s="1789">
        <v>8.8999999999999996E-2</v>
      </c>
      <c r="G10276">
        <f t="shared" si="323"/>
        <v>831.25</v>
      </c>
    </row>
    <row r="10277" spans="1:7" ht="12.75" customHeight="1">
      <c r="A10277" s="3">
        <v>103018</v>
      </c>
      <c r="B10277" s="4" t="s">
        <v>10301</v>
      </c>
      <c r="C10277" s="3" t="s">
        <v>6</v>
      </c>
      <c r="D10277" s="5">
        <f t="shared" si="322"/>
        <v>161.11000000000001</v>
      </c>
      <c r="E10277">
        <v>176.86</v>
      </c>
      <c r="F10277" s="1789">
        <v>8.8999999999999996E-2</v>
      </c>
      <c r="G10277">
        <f t="shared" si="323"/>
        <v>161.11000000000001</v>
      </c>
    </row>
    <row r="10278" spans="1:7" ht="12.75" customHeight="1">
      <c r="A10278" s="3">
        <v>103019</v>
      </c>
      <c r="B10278" s="4" t="s">
        <v>10302</v>
      </c>
      <c r="C10278" s="3" t="s">
        <v>6</v>
      </c>
      <c r="D10278" s="5">
        <f t="shared" si="322"/>
        <v>165.3</v>
      </c>
      <c r="E10278">
        <v>181.45</v>
      </c>
      <c r="F10278" s="1789">
        <v>8.8999999999999996E-2</v>
      </c>
      <c r="G10278">
        <f t="shared" si="323"/>
        <v>165.3</v>
      </c>
    </row>
    <row r="10279" spans="1:7" ht="12.75" customHeight="1">
      <c r="A10279" s="3">
        <v>103029</v>
      </c>
      <c r="B10279" s="4" t="s">
        <v>10303</v>
      </c>
      <c r="C10279" s="3" t="s">
        <v>6</v>
      </c>
      <c r="D10279" s="5">
        <f t="shared" si="322"/>
        <v>33.93</v>
      </c>
      <c r="E10279">
        <v>37.25</v>
      </c>
      <c r="F10279" s="1789">
        <v>8.8999999999999996E-2</v>
      </c>
      <c r="G10279">
        <f t="shared" si="323"/>
        <v>33.93</v>
      </c>
    </row>
    <row r="10280" spans="1:7" ht="12.75" customHeight="1">
      <c r="A10280" s="3">
        <v>103036</v>
      </c>
      <c r="B10280" s="4" t="s">
        <v>10304</v>
      </c>
      <c r="C10280" s="3" t="s">
        <v>6</v>
      </c>
      <c r="D10280" s="5">
        <f t="shared" si="322"/>
        <v>17.600000000000001</v>
      </c>
      <c r="E10280">
        <v>19.329999999999998</v>
      </c>
      <c r="F10280" s="1789">
        <v>8.8999999999999996E-2</v>
      </c>
      <c r="G10280">
        <f t="shared" si="323"/>
        <v>17.600000000000001</v>
      </c>
    </row>
    <row r="10281" spans="1:7" ht="12.75" customHeight="1">
      <c r="A10281" s="3">
        <v>103037</v>
      </c>
      <c r="B10281" s="4" t="s">
        <v>10305</v>
      </c>
      <c r="C10281" s="3" t="s">
        <v>6</v>
      </c>
      <c r="D10281" s="5">
        <f t="shared" si="322"/>
        <v>34.74</v>
      </c>
      <c r="E10281">
        <v>38.14</v>
      </c>
      <c r="F10281" s="1789">
        <v>8.8999999999999996E-2</v>
      </c>
      <c r="G10281">
        <f t="shared" si="323"/>
        <v>34.74</v>
      </c>
    </row>
    <row r="10282" spans="1:7" ht="12.75" customHeight="1">
      <c r="A10282" s="3">
        <v>103038</v>
      </c>
      <c r="B10282" s="4" t="s">
        <v>10306</v>
      </c>
      <c r="C10282" s="3" t="s">
        <v>6</v>
      </c>
      <c r="D10282" s="5">
        <f t="shared" si="322"/>
        <v>46.54</v>
      </c>
      <c r="E10282">
        <v>51.09</v>
      </c>
      <c r="F10282" s="1789">
        <v>8.8999999999999996E-2</v>
      </c>
      <c r="G10282">
        <f t="shared" si="323"/>
        <v>46.54</v>
      </c>
    </row>
    <row r="10283" spans="1:7" ht="12.75" customHeight="1">
      <c r="A10283" s="3">
        <v>103039</v>
      </c>
      <c r="B10283" s="4" t="s">
        <v>10307</v>
      </c>
      <c r="C10283" s="3" t="s">
        <v>6</v>
      </c>
      <c r="D10283" s="5">
        <f t="shared" si="322"/>
        <v>51.05</v>
      </c>
      <c r="E10283">
        <v>56.04</v>
      </c>
      <c r="F10283" s="1789">
        <v>8.8999999999999996E-2</v>
      </c>
      <c r="G10283">
        <f t="shared" si="323"/>
        <v>51.05</v>
      </c>
    </row>
    <row r="10284" spans="1:7" ht="12.75" customHeight="1">
      <c r="A10284" s="3">
        <v>103040</v>
      </c>
      <c r="B10284" s="4" t="s">
        <v>10308</v>
      </c>
      <c r="C10284" s="3" t="s">
        <v>6</v>
      </c>
      <c r="D10284" s="5">
        <f t="shared" si="322"/>
        <v>75.400000000000006</v>
      </c>
      <c r="E10284">
        <v>82.77</v>
      </c>
      <c r="F10284" s="1789">
        <v>8.8999999999999996E-2</v>
      </c>
      <c r="G10284">
        <f t="shared" si="323"/>
        <v>75.400000000000006</v>
      </c>
    </row>
    <row r="10285" spans="1:7" ht="12.75" customHeight="1">
      <c r="A10285" s="3">
        <v>103041</v>
      </c>
      <c r="B10285" s="4" t="s">
        <v>10309</v>
      </c>
      <c r="C10285" s="3" t="s">
        <v>6</v>
      </c>
      <c r="D10285" s="5">
        <f t="shared" si="322"/>
        <v>14.79</v>
      </c>
      <c r="E10285">
        <v>16.239999999999998</v>
      </c>
      <c r="F10285" s="1789">
        <v>8.8999999999999996E-2</v>
      </c>
      <c r="G10285">
        <f t="shared" si="323"/>
        <v>14.79</v>
      </c>
    </row>
    <row r="10286" spans="1:7" ht="12.75" customHeight="1">
      <c r="A10286" s="3">
        <v>103042</v>
      </c>
      <c r="B10286" s="4" t="s">
        <v>10310</v>
      </c>
      <c r="C10286" s="3" t="s">
        <v>6</v>
      </c>
      <c r="D10286" s="5">
        <f t="shared" si="322"/>
        <v>18.48</v>
      </c>
      <c r="E10286">
        <v>20.29</v>
      </c>
      <c r="F10286" s="1789">
        <v>8.8999999999999996E-2</v>
      </c>
      <c r="G10286">
        <f t="shared" si="323"/>
        <v>18.48</v>
      </c>
    </row>
    <row r="10287" spans="1:7" ht="12.75" customHeight="1">
      <c r="A10287" s="3">
        <v>103043</v>
      </c>
      <c r="B10287" s="4" t="s">
        <v>10311</v>
      </c>
      <c r="C10287" s="3" t="s">
        <v>6</v>
      </c>
      <c r="D10287" s="5">
        <f t="shared" si="322"/>
        <v>16.98</v>
      </c>
      <c r="E10287">
        <v>18.64</v>
      </c>
      <c r="F10287" s="1789">
        <v>8.8999999999999996E-2</v>
      </c>
      <c r="G10287">
        <f t="shared" si="323"/>
        <v>16.98</v>
      </c>
    </row>
    <row r="10288" spans="1:7" ht="12.75" customHeight="1">
      <c r="A10288" s="3">
        <v>103044</v>
      </c>
      <c r="B10288" s="4" t="s">
        <v>10312</v>
      </c>
      <c r="C10288" s="3" t="s">
        <v>6</v>
      </c>
      <c r="D10288" s="5">
        <f t="shared" si="322"/>
        <v>23.03</v>
      </c>
      <c r="E10288">
        <v>25.28</v>
      </c>
      <c r="F10288" s="1789">
        <v>8.8999999999999996E-2</v>
      </c>
      <c r="G10288">
        <f t="shared" si="323"/>
        <v>23.03</v>
      </c>
    </row>
    <row r="10289" spans="1:7" ht="12.75" customHeight="1">
      <c r="A10289" s="3">
        <v>103045</v>
      </c>
      <c r="B10289" s="4" t="s">
        <v>10313</v>
      </c>
      <c r="C10289" s="3" t="s">
        <v>6</v>
      </c>
      <c r="D10289" s="5">
        <f t="shared" si="322"/>
        <v>7.62</v>
      </c>
      <c r="E10289">
        <v>8.3699999999999992</v>
      </c>
      <c r="F10289" s="1789">
        <v>8.8999999999999996E-2</v>
      </c>
      <c r="G10289">
        <f t="shared" si="323"/>
        <v>7.62</v>
      </c>
    </row>
    <row r="10290" spans="1:7" ht="12.75" customHeight="1">
      <c r="A10290" s="3">
        <v>103046</v>
      </c>
      <c r="B10290" s="4" t="s">
        <v>10314</v>
      </c>
      <c r="C10290" s="3" t="s">
        <v>6</v>
      </c>
      <c r="D10290" s="5">
        <f t="shared" si="322"/>
        <v>17.559999999999999</v>
      </c>
      <c r="E10290">
        <v>19.28</v>
      </c>
      <c r="F10290" s="1789">
        <v>8.8999999999999996E-2</v>
      </c>
      <c r="G10290">
        <f t="shared" si="323"/>
        <v>17.559999999999999</v>
      </c>
    </row>
    <row r="10291" spans="1:7" ht="12.75" customHeight="1">
      <c r="A10291" s="3">
        <v>103047</v>
      </c>
      <c r="B10291" s="4" t="s">
        <v>10315</v>
      </c>
      <c r="C10291" s="3" t="s">
        <v>6</v>
      </c>
      <c r="D10291" s="5">
        <f t="shared" si="322"/>
        <v>18.5</v>
      </c>
      <c r="E10291">
        <v>20.309999999999999</v>
      </c>
      <c r="F10291" s="1789">
        <v>8.8999999999999996E-2</v>
      </c>
      <c r="G10291">
        <f t="shared" si="323"/>
        <v>18.5</v>
      </c>
    </row>
    <row r="10292" spans="1:7" ht="12.75" customHeight="1">
      <c r="A10292" s="3">
        <v>103048</v>
      </c>
      <c r="B10292" s="4" t="s">
        <v>10316</v>
      </c>
      <c r="C10292" s="3" t="s">
        <v>6</v>
      </c>
      <c r="D10292" s="5">
        <f t="shared" si="322"/>
        <v>14.16</v>
      </c>
      <c r="E10292">
        <v>15.55</v>
      </c>
      <c r="F10292" s="1789">
        <v>8.8999999999999996E-2</v>
      </c>
      <c r="G10292">
        <f t="shared" si="323"/>
        <v>14.16</v>
      </c>
    </row>
    <row r="10293" spans="1:7" ht="12.75" customHeight="1">
      <c r="A10293" s="3">
        <v>103049</v>
      </c>
      <c r="B10293" s="4" t="s">
        <v>10317</v>
      </c>
      <c r="C10293" s="3" t="s">
        <v>6</v>
      </c>
      <c r="D10293" s="5">
        <f t="shared" si="322"/>
        <v>15.39</v>
      </c>
      <c r="E10293">
        <v>16.899999999999999</v>
      </c>
      <c r="F10293" s="1789">
        <v>8.8999999999999996E-2</v>
      </c>
      <c r="G10293">
        <f t="shared" si="323"/>
        <v>15.39</v>
      </c>
    </row>
    <row r="10294" spans="1:7" ht="12.75" customHeight="1">
      <c r="A10294" s="3">
        <v>103050</v>
      </c>
      <c r="B10294" s="4" t="s">
        <v>10318</v>
      </c>
      <c r="C10294" s="3" t="s">
        <v>6</v>
      </c>
      <c r="D10294" s="5">
        <f t="shared" si="322"/>
        <v>21.48</v>
      </c>
      <c r="E10294">
        <v>23.58</v>
      </c>
      <c r="F10294" s="1789">
        <v>8.8999999999999996E-2</v>
      </c>
      <c r="G10294">
        <f t="shared" si="323"/>
        <v>21.48</v>
      </c>
    </row>
    <row r="10295" spans="1:7" ht="12.75" customHeight="1">
      <c r="A10295" s="3">
        <v>103051</v>
      </c>
      <c r="B10295" s="4" t="s">
        <v>10319</v>
      </c>
      <c r="C10295" s="3" t="s">
        <v>6</v>
      </c>
      <c r="D10295" s="5">
        <f t="shared" si="322"/>
        <v>25.97</v>
      </c>
      <c r="E10295">
        <v>28.51</v>
      </c>
      <c r="F10295" s="1789">
        <v>8.8999999999999996E-2</v>
      </c>
      <c r="G10295">
        <f t="shared" si="323"/>
        <v>25.97</v>
      </c>
    </row>
    <row r="10296" spans="1:7" ht="12.75" customHeight="1">
      <c r="A10296" s="3">
        <v>103052</v>
      </c>
      <c r="B10296" s="4" t="s">
        <v>10320</v>
      </c>
      <c r="C10296" s="3" t="s">
        <v>6</v>
      </c>
      <c r="D10296" s="5">
        <f t="shared" si="322"/>
        <v>34.74</v>
      </c>
      <c r="E10296">
        <v>38.14</v>
      </c>
      <c r="F10296" s="1789">
        <v>8.8999999999999996E-2</v>
      </c>
      <c r="G10296">
        <f t="shared" si="323"/>
        <v>34.74</v>
      </c>
    </row>
    <row r="10297" spans="1:7" ht="12.75" customHeight="1">
      <c r="A10297" s="3">
        <v>95634</v>
      </c>
      <c r="B10297" s="4" t="s">
        <v>10321</v>
      </c>
      <c r="C10297" s="3" t="s">
        <v>6</v>
      </c>
      <c r="D10297" s="5">
        <f t="shared" si="322"/>
        <v>164.28</v>
      </c>
      <c r="E10297">
        <v>180.34</v>
      </c>
      <c r="F10297" s="1789">
        <v>8.8999999999999996E-2</v>
      </c>
      <c r="G10297">
        <f t="shared" si="323"/>
        <v>164.28</v>
      </c>
    </row>
    <row r="10298" spans="1:7" ht="12.75" customHeight="1">
      <c r="A10298" s="3">
        <v>95635</v>
      </c>
      <c r="B10298" s="4" t="s">
        <v>10322</v>
      </c>
      <c r="C10298" s="3" t="s">
        <v>6</v>
      </c>
      <c r="D10298" s="5">
        <f t="shared" si="322"/>
        <v>173.26</v>
      </c>
      <c r="E10298">
        <v>190.19</v>
      </c>
      <c r="F10298" s="1789">
        <v>8.8999999999999996E-2</v>
      </c>
      <c r="G10298">
        <f t="shared" si="323"/>
        <v>173.26</v>
      </c>
    </row>
    <row r="10299" spans="1:7" ht="12.75" customHeight="1">
      <c r="A10299" s="3">
        <v>95636</v>
      </c>
      <c r="B10299" s="4" t="s">
        <v>10323</v>
      </c>
      <c r="C10299" s="3" t="s">
        <v>6</v>
      </c>
      <c r="D10299" s="5">
        <f t="shared" si="322"/>
        <v>314.22000000000003</v>
      </c>
      <c r="E10299">
        <v>344.92</v>
      </c>
      <c r="F10299" s="1789">
        <v>8.8999999999999996E-2</v>
      </c>
      <c r="G10299">
        <f t="shared" si="323"/>
        <v>314.22000000000003</v>
      </c>
    </row>
    <row r="10300" spans="1:7" ht="12.75" customHeight="1">
      <c r="A10300" s="3">
        <v>95637</v>
      </c>
      <c r="B10300" s="4" t="s">
        <v>10324</v>
      </c>
      <c r="C10300" s="3" t="s">
        <v>6</v>
      </c>
      <c r="D10300" s="5">
        <f t="shared" si="322"/>
        <v>413.65</v>
      </c>
      <c r="E10300">
        <v>454.07</v>
      </c>
      <c r="F10300" s="1789">
        <v>8.8999999999999996E-2</v>
      </c>
      <c r="G10300">
        <f t="shared" si="323"/>
        <v>413.65</v>
      </c>
    </row>
    <row r="10301" spans="1:7" ht="12.75" customHeight="1">
      <c r="A10301" s="3">
        <v>95638</v>
      </c>
      <c r="B10301" s="4" t="s">
        <v>10325</v>
      </c>
      <c r="C10301" s="3" t="s">
        <v>6</v>
      </c>
      <c r="D10301" s="5">
        <f t="shared" si="322"/>
        <v>509.07</v>
      </c>
      <c r="E10301">
        <v>558.80999999999995</v>
      </c>
      <c r="F10301" s="1789">
        <v>8.8999999999999996E-2</v>
      </c>
      <c r="G10301">
        <f t="shared" si="323"/>
        <v>509.07</v>
      </c>
    </row>
    <row r="10302" spans="1:7" ht="12.75" customHeight="1">
      <c r="A10302" s="3">
        <v>95639</v>
      </c>
      <c r="B10302" s="4" t="s">
        <v>10326</v>
      </c>
      <c r="C10302" s="3" t="s">
        <v>6</v>
      </c>
      <c r="D10302" s="5">
        <f t="shared" si="322"/>
        <v>694.88</v>
      </c>
      <c r="E10302">
        <v>762.77</v>
      </c>
      <c r="F10302" s="1789">
        <v>8.8999999999999996E-2</v>
      </c>
      <c r="G10302">
        <f t="shared" si="323"/>
        <v>694.88</v>
      </c>
    </row>
    <row r="10303" spans="1:7" ht="12.75" customHeight="1">
      <c r="A10303" s="3">
        <v>95641</v>
      </c>
      <c r="B10303" s="4" t="s">
        <v>10327</v>
      </c>
      <c r="C10303" s="3" t="s">
        <v>6</v>
      </c>
      <c r="D10303" s="5">
        <f t="shared" si="322"/>
        <v>244.73</v>
      </c>
      <c r="E10303">
        <v>268.64</v>
      </c>
      <c r="F10303" s="1789">
        <v>8.8999999999999996E-2</v>
      </c>
      <c r="G10303">
        <f t="shared" si="323"/>
        <v>244.73</v>
      </c>
    </row>
    <row r="10304" spans="1:7" ht="12.75" customHeight="1">
      <c r="A10304" s="3">
        <v>95642</v>
      </c>
      <c r="B10304" s="4" t="s">
        <v>10328</v>
      </c>
      <c r="C10304" s="3" t="s">
        <v>6</v>
      </c>
      <c r="D10304" s="5">
        <f t="shared" si="322"/>
        <v>361.93</v>
      </c>
      <c r="E10304">
        <v>397.29</v>
      </c>
      <c r="F10304" s="1789">
        <v>8.8999999999999996E-2</v>
      </c>
      <c r="G10304">
        <f t="shared" si="323"/>
        <v>361.93</v>
      </c>
    </row>
    <row r="10305" spans="1:7" ht="12.75" customHeight="1">
      <c r="A10305" s="3">
        <v>95643</v>
      </c>
      <c r="B10305" s="4" t="s">
        <v>10329</v>
      </c>
      <c r="C10305" s="3" t="s">
        <v>6</v>
      </c>
      <c r="D10305" s="5">
        <f t="shared" si="322"/>
        <v>473.24</v>
      </c>
      <c r="E10305">
        <v>519.48</v>
      </c>
      <c r="F10305" s="1789">
        <v>8.8999999999999996E-2</v>
      </c>
      <c r="G10305">
        <f t="shared" si="323"/>
        <v>473.24</v>
      </c>
    </row>
    <row r="10306" spans="1:7" ht="12.75" customHeight="1">
      <c r="A10306" s="3">
        <v>95644</v>
      </c>
      <c r="B10306" s="4" t="s">
        <v>10330</v>
      </c>
      <c r="C10306" s="3" t="s">
        <v>6</v>
      </c>
      <c r="D10306" s="5">
        <f t="shared" si="322"/>
        <v>177.69</v>
      </c>
      <c r="E10306">
        <v>195.06</v>
      </c>
      <c r="F10306" s="1789">
        <v>8.8999999999999996E-2</v>
      </c>
      <c r="G10306">
        <f t="shared" si="323"/>
        <v>177.69</v>
      </c>
    </row>
    <row r="10307" spans="1:7" ht="12.75" customHeight="1">
      <c r="A10307" s="3">
        <v>95645</v>
      </c>
      <c r="B10307" s="4" t="s">
        <v>10331</v>
      </c>
      <c r="C10307" s="3" t="s">
        <v>6</v>
      </c>
      <c r="D10307" s="5">
        <f t="shared" si="322"/>
        <v>324.67</v>
      </c>
      <c r="E10307">
        <v>356.39</v>
      </c>
      <c r="F10307" s="1789">
        <v>8.8999999999999996E-2</v>
      </c>
      <c r="G10307">
        <f t="shared" si="323"/>
        <v>324.67</v>
      </c>
    </row>
    <row r="10308" spans="1:7" ht="12.75" customHeight="1">
      <c r="A10308" s="3">
        <v>95646</v>
      </c>
      <c r="B10308" s="4" t="s">
        <v>10332</v>
      </c>
      <c r="C10308" s="3" t="s">
        <v>6</v>
      </c>
      <c r="D10308" s="5">
        <f t="shared" si="322"/>
        <v>483.86</v>
      </c>
      <c r="E10308">
        <v>531.14</v>
      </c>
      <c r="F10308" s="1789">
        <v>8.8999999999999996E-2</v>
      </c>
      <c r="G10308">
        <f t="shared" si="323"/>
        <v>483.86</v>
      </c>
    </row>
    <row r="10309" spans="1:7" ht="12.75" customHeight="1">
      <c r="A10309" s="3">
        <v>95647</v>
      </c>
      <c r="B10309" s="4" t="s">
        <v>10333</v>
      </c>
      <c r="C10309" s="3" t="s">
        <v>6</v>
      </c>
      <c r="D10309" s="5">
        <f t="shared" si="322"/>
        <v>634.21</v>
      </c>
      <c r="E10309">
        <v>696.17</v>
      </c>
      <c r="F10309" s="1789">
        <v>8.8999999999999996E-2</v>
      </c>
      <c r="G10309">
        <f t="shared" si="323"/>
        <v>634.21</v>
      </c>
    </row>
    <row r="10310" spans="1:7" ht="12.75" customHeight="1">
      <c r="A10310" s="3">
        <v>95648</v>
      </c>
      <c r="B10310" s="4" t="s">
        <v>10334</v>
      </c>
      <c r="C10310" s="3" t="s">
        <v>6</v>
      </c>
      <c r="D10310" s="5">
        <f t="shared" si="322"/>
        <v>511.09</v>
      </c>
      <c r="E10310">
        <v>561.03</v>
      </c>
      <c r="F10310" s="1789">
        <v>8.8999999999999996E-2</v>
      </c>
      <c r="G10310">
        <f t="shared" si="323"/>
        <v>511.09</v>
      </c>
    </row>
    <row r="10311" spans="1:7" ht="12.75" customHeight="1">
      <c r="A10311" s="3">
        <v>95649</v>
      </c>
      <c r="B10311" s="4" t="s">
        <v>10335</v>
      </c>
      <c r="C10311" s="3" t="s">
        <v>6</v>
      </c>
      <c r="D10311" s="5">
        <f t="shared" si="322"/>
        <v>881.92</v>
      </c>
      <c r="E10311">
        <v>968.08</v>
      </c>
      <c r="F10311" s="1789">
        <v>8.8999999999999996E-2</v>
      </c>
      <c r="G10311">
        <f t="shared" si="323"/>
        <v>881.92</v>
      </c>
    </row>
    <row r="10312" spans="1:7" ht="12.75" customHeight="1">
      <c r="A10312" s="3">
        <v>95650</v>
      </c>
      <c r="B10312" s="4" t="s">
        <v>10336</v>
      </c>
      <c r="C10312" s="3" t="s">
        <v>6</v>
      </c>
      <c r="D10312" s="5">
        <f t="shared" si="322"/>
        <v>1287.97</v>
      </c>
      <c r="E10312">
        <v>1413.8</v>
      </c>
      <c r="F10312" s="1789">
        <v>8.8999999999999996E-2</v>
      </c>
      <c r="G10312">
        <f t="shared" si="323"/>
        <v>1287.97</v>
      </c>
    </row>
    <row r="10313" spans="1:7" ht="12.75" customHeight="1">
      <c r="A10313" s="3">
        <v>95651</v>
      </c>
      <c r="B10313" s="4" t="s">
        <v>10337</v>
      </c>
      <c r="C10313" s="3" t="s">
        <v>6</v>
      </c>
      <c r="D10313" s="5">
        <f t="shared" si="322"/>
        <v>1673.09</v>
      </c>
      <c r="E10313">
        <v>1836.55</v>
      </c>
      <c r="F10313" s="1789">
        <v>8.8999999999999996E-2</v>
      </c>
      <c r="G10313">
        <f t="shared" si="323"/>
        <v>1673.09</v>
      </c>
    </row>
    <row r="10314" spans="1:7" ht="12.75" customHeight="1">
      <c r="A10314" s="3">
        <v>95652</v>
      </c>
      <c r="B10314" s="4" t="s">
        <v>10338</v>
      </c>
      <c r="C10314" s="3" t="s">
        <v>6</v>
      </c>
      <c r="D10314" s="5">
        <f t="shared" si="322"/>
        <v>630.75</v>
      </c>
      <c r="E10314">
        <v>692.38</v>
      </c>
      <c r="F10314" s="1789">
        <v>8.8999999999999996E-2</v>
      </c>
      <c r="G10314">
        <f t="shared" si="323"/>
        <v>630.75</v>
      </c>
    </row>
    <row r="10315" spans="1:7" ht="12.75" customHeight="1">
      <c r="A10315" s="3">
        <v>95653</v>
      </c>
      <c r="B10315" s="4" t="s">
        <v>10339</v>
      </c>
      <c r="C10315" s="3" t="s">
        <v>6</v>
      </c>
      <c r="D10315" s="5">
        <f t="shared" si="322"/>
        <v>1119.6300000000001</v>
      </c>
      <c r="E10315">
        <v>1229.02</v>
      </c>
      <c r="F10315" s="1789">
        <v>8.8999999999999996E-2</v>
      </c>
      <c r="G10315">
        <f t="shared" si="323"/>
        <v>1119.6300000000001</v>
      </c>
    </row>
    <row r="10316" spans="1:7" ht="12.75" customHeight="1">
      <c r="A10316" s="3">
        <v>95654</v>
      </c>
      <c r="B10316" s="4" t="s">
        <v>10340</v>
      </c>
      <c r="C10316" s="3" t="s">
        <v>6</v>
      </c>
      <c r="D10316" s="5">
        <f t="shared" si="322"/>
        <v>1648.57</v>
      </c>
      <c r="E10316">
        <v>1809.63</v>
      </c>
      <c r="F10316" s="1789">
        <v>8.8999999999999996E-2</v>
      </c>
      <c r="G10316">
        <f t="shared" si="323"/>
        <v>1648.57</v>
      </c>
    </row>
    <row r="10317" spans="1:7" ht="12.75" customHeight="1">
      <c r="A10317" s="3">
        <v>95655</v>
      </c>
      <c r="B10317" s="4" t="s">
        <v>10341</v>
      </c>
      <c r="C10317" s="3" t="s">
        <v>6</v>
      </c>
      <c r="D10317" s="5">
        <f t="shared" si="322"/>
        <v>2150.6799999999998</v>
      </c>
      <c r="E10317">
        <v>2360.8000000000002</v>
      </c>
      <c r="F10317" s="1789">
        <v>8.8999999999999996E-2</v>
      </c>
      <c r="G10317">
        <f t="shared" si="323"/>
        <v>2150.6799999999998</v>
      </c>
    </row>
    <row r="10318" spans="1:7" ht="12.75" customHeight="1">
      <c r="A10318" s="3">
        <v>95657</v>
      </c>
      <c r="B10318" s="4" t="s">
        <v>10342</v>
      </c>
      <c r="C10318" s="3" t="s">
        <v>6</v>
      </c>
      <c r="D10318" s="5">
        <f t="shared" si="322"/>
        <v>266.91000000000003</v>
      </c>
      <c r="E10318">
        <v>292.99</v>
      </c>
      <c r="F10318" s="1789">
        <v>8.8999999999999996E-2</v>
      </c>
      <c r="G10318">
        <f t="shared" si="323"/>
        <v>266.91000000000003</v>
      </c>
    </row>
    <row r="10319" spans="1:7" ht="12.75" customHeight="1">
      <c r="A10319" s="3">
        <v>95658</v>
      </c>
      <c r="B10319" s="4" t="s">
        <v>10343</v>
      </c>
      <c r="C10319" s="3" t="s">
        <v>6</v>
      </c>
      <c r="D10319" s="5">
        <f t="shared" si="322"/>
        <v>485.38</v>
      </c>
      <c r="E10319">
        <v>532.80999999999995</v>
      </c>
      <c r="F10319" s="1789">
        <v>8.8999999999999996E-2</v>
      </c>
      <c r="G10319">
        <f t="shared" si="323"/>
        <v>485.38</v>
      </c>
    </row>
    <row r="10320" spans="1:7" ht="12.75" customHeight="1">
      <c r="A10320" s="3">
        <v>95659</v>
      </c>
      <c r="B10320" s="4" t="s">
        <v>10344</v>
      </c>
      <c r="C10320" s="3" t="s">
        <v>6</v>
      </c>
      <c r="D10320" s="5">
        <f t="shared" si="322"/>
        <v>722.35</v>
      </c>
      <c r="E10320">
        <v>792.93</v>
      </c>
      <c r="F10320" s="1789">
        <v>8.8999999999999996E-2</v>
      </c>
      <c r="G10320">
        <f t="shared" si="323"/>
        <v>722.35</v>
      </c>
    </row>
    <row r="10321" spans="1:7" ht="12.75" customHeight="1">
      <c r="A10321" s="3">
        <v>95660</v>
      </c>
      <c r="B10321" s="4" t="s">
        <v>10345</v>
      </c>
      <c r="C10321" s="3" t="s">
        <v>6</v>
      </c>
      <c r="D10321" s="5">
        <f t="shared" si="322"/>
        <v>946.65</v>
      </c>
      <c r="E10321">
        <v>1039.1400000000001</v>
      </c>
      <c r="F10321" s="1789">
        <v>8.8999999999999996E-2</v>
      </c>
      <c r="G10321">
        <f t="shared" si="323"/>
        <v>946.65</v>
      </c>
    </row>
    <row r="10322" spans="1:7" ht="12.75" customHeight="1">
      <c r="A10322" s="3">
        <v>95661</v>
      </c>
      <c r="B10322" s="4" t="s">
        <v>10346</v>
      </c>
      <c r="C10322" s="3" t="s">
        <v>6</v>
      </c>
      <c r="D10322" s="5">
        <f t="shared" si="322"/>
        <v>330.09</v>
      </c>
      <c r="E10322">
        <v>362.34</v>
      </c>
      <c r="F10322" s="1789">
        <v>8.8999999999999996E-2</v>
      </c>
      <c r="G10322">
        <f t="shared" si="323"/>
        <v>330.09</v>
      </c>
    </row>
    <row r="10323" spans="1:7" ht="12.75" customHeight="1">
      <c r="A10323" s="3">
        <v>95662</v>
      </c>
      <c r="B10323" s="4" t="s">
        <v>10347</v>
      </c>
      <c r="C10323" s="3" t="s">
        <v>6</v>
      </c>
      <c r="D10323" s="5">
        <f t="shared" si="322"/>
        <v>610.47</v>
      </c>
      <c r="E10323">
        <v>670.11</v>
      </c>
      <c r="F10323" s="1789">
        <v>8.8999999999999996E-2</v>
      </c>
      <c r="G10323">
        <f t="shared" si="323"/>
        <v>610.47</v>
      </c>
    </row>
    <row r="10324" spans="1:7" ht="12.75" customHeight="1">
      <c r="A10324" s="3">
        <v>95663</v>
      </c>
      <c r="B10324" s="4" t="s">
        <v>10348</v>
      </c>
      <c r="C10324" s="3" t="s">
        <v>6</v>
      </c>
      <c r="D10324" s="5">
        <f t="shared" si="322"/>
        <v>913.14</v>
      </c>
      <c r="E10324">
        <v>1002.35</v>
      </c>
      <c r="F10324" s="1789">
        <v>8.8999999999999996E-2</v>
      </c>
      <c r="G10324">
        <f t="shared" si="323"/>
        <v>913.14</v>
      </c>
    </row>
    <row r="10325" spans="1:7" ht="12.75" customHeight="1">
      <c r="A10325" s="3">
        <v>95664</v>
      </c>
      <c r="B10325" s="4" t="s">
        <v>10349</v>
      </c>
      <c r="C10325" s="3" t="s">
        <v>6</v>
      </c>
      <c r="D10325" s="5">
        <f t="shared" ref="D10325:D10388" si="324">G10325</f>
        <v>1198.51</v>
      </c>
      <c r="E10325">
        <v>1315.6</v>
      </c>
      <c r="F10325" s="1789">
        <v>8.8999999999999996E-2</v>
      </c>
      <c r="G10325">
        <f t="shared" ref="G10325:G10388" si="325">TRUNC((1-F10325)*E10325,2)</f>
        <v>1198.51</v>
      </c>
    </row>
    <row r="10326" spans="1:7" ht="12.75" customHeight="1">
      <c r="A10326" s="3">
        <v>95665</v>
      </c>
      <c r="B10326" s="4" t="s">
        <v>10350</v>
      </c>
      <c r="C10326" s="3" t="s">
        <v>6</v>
      </c>
      <c r="D10326" s="5">
        <f t="shared" si="324"/>
        <v>296.52999999999997</v>
      </c>
      <c r="E10326">
        <v>325.5</v>
      </c>
      <c r="F10326" s="1789">
        <v>8.8999999999999996E-2</v>
      </c>
      <c r="G10326">
        <f t="shared" si="325"/>
        <v>296.52999999999997</v>
      </c>
    </row>
    <row r="10327" spans="1:7" ht="12.75" customHeight="1">
      <c r="A10327" s="3">
        <v>95666</v>
      </c>
      <c r="B10327" s="4" t="s">
        <v>10351</v>
      </c>
      <c r="C10327" s="3" t="s">
        <v>6</v>
      </c>
      <c r="D10327" s="5">
        <f t="shared" si="324"/>
        <v>523.54999999999995</v>
      </c>
      <c r="E10327">
        <v>574.70000000000005</v>
      </c>
      <c r="F10327" s="1789">
        <v>8.8999999999999996E-2</v>
      </c>
      <c r="G10327">
        <f t="shared" si="325"/>
        <v>523.54999999999995</v>
      </c>
    </row>
    <row r="10328" spans="1:7" ht="12.75" customHeight="1">
      <c r="A10328" s="3">
        <v>95667</v>
      </c>
      <c r="B10328" s="4" t="s">
        <v>10352</v>
      </c>
      <c r="C10328" s="3" t="s">
        <v>6</v>
      </c>
      <c r="D10328" s="5">
        <f t="shared" si="324"/>
        <v>775.06</v>
      </c>
      <c r="E10328">
        <v>850.78</v>
      </c>
      <c r="F10328" s="1789">
        <v>8.8999999999999996E-2</v>
      </c>
      <c r="G10328">
        <f t="shared" si="325"/>
        <v>775.06</v>
      </c>
    </row>
    <row r="10329" spans="1:7" ht="12.75" customHeight="1">
      <c r="A10329" s="3">
        <v>95668</v>
      </c>
      <c r="B10329" s="4" t="s">
        <v>10353</v>
      </c>
      <c r="C10329" s="3" t="s">
        <v>6</v>
      </c>
      <c r="D10329" s="5">
        <f t="shared" si="324"/>
        <v>1012.14</v>
      </c>
      <c r="E10329">
        <v>1111.03</v>
      </c>
      <c r="F10329" s="1789">
        <v>8.8999999999999996E-2</v>
      </c>
      <c r="G10329">
        <f t="shared" si="325"/>
        <v>1012.14</v>
      </c>
    </row>
    <row r="10330" spans="1:7" ht="12.75" customHeight="1">
      <c r="A10330" s="3">
        <v>95669</v>
      </c>
      <c r="B10330" s="4" t="s">
        <v>10354</v>
      </c>
      <c r="C10330" s="3" t="s">
        <v>6</v>
      </c>
      <c r="D10330" s="5">
        <f t="shared" si="324"/>
        <v>356.09</v>
      </c>
      <c r="E10330">
        <v>390.88</v>
      </c>
      <c r="F10330" s="1789">
        <v>8.8999999999999996E-2</v>
      </c>
      <c r="G10330">
        <f t="shared" si="325"/>
        <v>356.09</v>
      </c>
    </row>
    <row r="10331" spans="1:7" ht="12.75" customHeight="1">
      <c r="A10331" s="3">
        <v>95670</v>
      </c>
      <c r="B10331" s="4" t="s">
        <v>10355</v>
      </c>
      <c r="C10331" s="3" t="s">
        <v>6</v>
      </c>
      <c r="D10331" s="5">
        <f t="shared" si="324"/>
        <v>641.58000000000004</v>
      </c>
      <c r="E10331">
        <v>704.26</v>
      </c>
      <c r="F10331" s="1789">
        <v>8.8999999999999996E-2</v>
      </c>
      <c r="G10331">
        <f t="shared" si="325"/>
        <v>641.58000000000004</v>
      </c>
    </row>
    <row r="10332" spans="1:7" ht="12.75" customHeight="1">
      <c r="A10332" s="3">
        <v>95671</v>
      </c>
      <c r="B10332" s="4" t="s">
        <v>10356</v>
      </c>
      <c r="C10332" s="3" t="s">
        <v>6</v>
      </c>
      <c r="D10332" s="5">
        <f t="shared" si="324"/>
        <v>954.79</v>
      </c>
      <c r="E10332">
        <v>1048.07</v>
      </c>
      <c r="F10332" s="1789">
        <v>8.8999999999999996E-2</v>
      </c>
      <c r="G10332">
        <f t="shared" si="325"/>
        <v>954.79</v>
      </c>
    </row>
    <row r="10333" spans="1:7" ht="12.75" customHeight="1">
      <c r="A10333" s="3">
        <v>95672</v>
      </c>
      <c r="B10333" s="4" t="s">
        <v>10357</v>
      </c>
      <c r="C10333" s="3" t="s">
        <v>6</v>
      </c>
      <c r="D10333" s="5">
        <f t="shared" si="324"/>
        <v>1249.6600000000001</v>
      </c>
      <c r="E10333">
        <v>1371.75</v>
      </c>
      <c r="F10333" s="1789">
        <v>8.8999999999999996E-2</v>
      </c>
      <c r="G10333">
        <f t="shared" si="325"/>
        <v>1249.6600000000001</v>
      </c>
    </row>
    <row r="10334" spans="1:7" ht="12.75" customHeight="1">
      <c r="A10334" s="3">
        <v>95673</v>
      </c>
      <c r="B10334" s="4" t="s">
        <v>10358</v>
      </c>
      <c r="C10334" s="3" t="s">
        <v>6</v>
      </c>
      <c r="D10334" s="5">
        <f t="shared" si="324"/>
        <v>101.94</v>
      </c>
      <c r="E10334">
        <v>111.9</v>
      </c>
      <c r="F10334" s="1789">
        <v>8.8999999999999996E-2</v>
      </c>
      <c r="G10334">
        <f t="shared" si="325"/>
        <v>101.94</v>
      </c>
    </row>
    <row r="10335" spans="1:7" ht="12.75" customHeight="1">
      <c r="A10335" s="3">
        <v>95674</v>
      </c>
      <c r="B10335" s="4" t="s">
        <v>10359</v>
      </c>
      <c r="C10335" s="3" t="s">
        <v>6</v>
      </c>
      <c r="D10335" s="5">
        <f t="shared" si="324"/>
        <v>108.08</v>
      </c>
      <c r="E10335">
        <v>118.64</v>
      </c>
      <c r="F10335" s="1789">
        <v>8.8999999999999996E-2</v>
      </c>
      <c r="G10335">
        <f t="shared" si="325"/>
        <v>108.08</v>
      </c>
    </row>
    <row r="10336" spans="1:7" ht="12.75" customHeight="1">
      <c r="A10336" s="3">
        <v>95675</v>
      </c>
      <c r="B10336" s="4" t="s">
        <v>10360</v>
      </c>
      <c r="C10336" s="3" t="s">
        <v>6</v>
      </c>
      <c r="D10336" s="5">
        <f t="shared" si="324"/>
        <v>133.36000000000001</v>
      </c>
      <c r="E10336">
        <v>146.38999999999999</v>
      </c>
      <c r="F10336" s="1789">
        <v>8.8999999999999996E-2</v>
      </c>
      <c r="G10336">
        <f t="shared" si="325"/>
        <v>133.36000000000001</v>
      </c>
    </row>
    <row r="10337" spans="1:7" ht="12.75" customHeight="1">
      <c r="A10337" s="3">
        <v>95676</v>
      </c>
      <c r="B10337" s="4" t="s">
        <v>10361</v>
      </c>
      <c r="C10337" s="3" t="s">
        <v>6</v>
      </c>
      <c r="D10337" s="5">
        <f t="shared" si="324"/>
        <v>116.46</v>
      </c>
      <c r="E10337">
        <v>127.84</v>
      </c>
      <c r="F10337" s="1789">
        <v>8.8999999999999996E-2</v>
      </c>
      <c r="G10337">
        <f t="shared" si="325"/>
        <v>116.46</v>
      </c>
    </row>
    <row r="10338" spans="1:7" ht="12.75" customHeight="1">
      <c r="A10338" s="3">
        <v>97741</v>
      </c>
      <c r="B10338" s="4" t="s">
        <v>10362</v>
      </c>
      <c r="C10338" s="3" t="s">
        <v>6</v>
      </c>
      <c r="D10338" s="5">
        <f t="shared" si="324"/>
        <v>137.33000000000001</v>
      </c>
      <c r="E10338">
        <v>150.75</v>
      </c>
      <c r="F10338" s="1789">
        <v>8.8999999999999996E-2</v>
      </c>
      <c r="G10338">
        <f t="shared" si="325"/>
        <v>137.33000000000001</v>
      </c>
    </row>
    <row r="10339" spans="1:7" ht="12.75" customHeight="1">
      <c r="A10339" s="3">
        <v>104992</v>
      </c>
      <c r="B10339" s="4" t="s">
        <v>10363</v>
      </c>
      <c r="C10339" s="3" t="s">
        <v>6</v>
      </c>
      <c r="D10339" s="5">
        <f t="shared" si="324"/>
        <v>1056.2</v>
      </c>
      <c r="E10339">
        <v>1159.3900000000001</v>
      </c>
      <c r="F10339" s="1789">
        <v>8.8999999999999996E-2</v>
      </c>
      <c r="G10339">
        <f t="shared" si="325"/>
        <v>1056.2</v>
      </c>
    </row>
    <row r="10340" spans="1:7" ht="12.75" customHeight="1">
      <c r="A10340" s="3">
        <v>104997</v>
      </c>
      <c r="B10340" s="4" t="s">
        <v>10364</v>
      </c>
      <c r="C10340" s="3" t="s">
        <v>6</v>
      </c>
      <c r="D10340" s="5">
        <f t="shared" si="324"/>
        <v>347.08</v>
      </c>
      <c r="E10340">
        <v>380.99</v>
      </c>
      <c r="F10340" s="1789">
        <v>8.8999999999999996E-2</v>
      </c>
      <c r="G10340">
        <f t="shared" si="325"/>
        <v>347.08</v>
      </c>
    </row>
    <row r="10341" spans="1:7" ht="12.75" customHeight="1">
      <c r="A10341" s="3">
        <v>104998</v>
      </c>
      <c r="B10341" s="4" t="s">
        <v>10365</v>
      </c>
      <c r="C10341" s="3" t="s">
        <v>6</v>
      </c>
      <c r="D10341" s="5">
        <f t="shared" si="324"/>
        <v>463.8</v>
      </c>
      <c r="E10341">
        <v>509.12</v>
      </c>
      <c r="F10341" s="1789">
        <v>8.8999999999999996E-2</v>
      </c>
      <c r="G10341">
        <f t="shared" si="325"/>
        <v>463.8</v>
      </c>
    </row>
    <row r="10342" spans="1:7" ht="12.75" customHeight="1">
      <c r="A10342" s="3">
        <v>105135</v>
      </c>
      <c r="B10342" s="4" t="s">
        <v>10366</v>
      </c>
      <c r="C10342" s="3" t="s">
        <v>6</v>
      </c>
      <c r="D10342" s="5">
        <f t="shared" si="324"/>
        <v>756.91</v>
      </c>
      <c r="E10342">
        <v>830.86</v>
      </c>
      <c r="F10342" s="1789">
        <v>8.8999999999999996E-2</v>
      </c>
      <c r="G10342">
        <f t="shared" si="325"/>
        <v>756.91</v>
      </c>
    </row>
    <row r="10343" spans="1:7" ht="12.75" customHeight="1">
      <c r="A10343" s="3">
        <v>90436</v>
      </c>
      <c r="B10343" s="4" t="s">
        <v>10367</v>
      </c>
      <c r="C10343" s="3" t="s">
        <v>6</v>
      </c>
      <c r="D10343" s="5">
        <f t="shared" si="324"/>
        <v>12.5</v>
      </c>
      <c r="E10343">
        <v>13.73</v>
      </c>
      <c r="F10343" s="1789">
        <v>8.8999999999999996E-2</v>
      </c>
      <c r="G10343">
        <f t="shared" si="325"/>
        <v>12.5</v>
      </c>
    </row>
    <row r="10344" spans="1:7" ht="12.75" customHeight="1">
      <c r="A10344" s="3">
        <v>90437</v>
      </c>
      <c r="B10344" s="4" t="s">
        <v>10368</v>
      </c>
      <c r="C10344" s="3" t="s">
        <v>6</v>
      </c>
      <c r="D10344" s="5">
        <f t="shared" si="324"/>
        <v>33.340000000000003</v>
      </c>
      <c r="E10344">
        <v>36.6</v>
      </c>
      <c r="F10344" s="1789">
        <v>8.8999999999999996E-2</v>
      </c>
      <c r="G10344">
        <f t="shared" si="325"/>
        <v>33.340000000000003</v>
      </c>
    </row>
    <row r="10345" spans="1:7" ht="12.75" customHeight="1">
      <c r="A10345" s="3">
        <v>90438</v>
      </c>
      <c r="B10345" s="4" t="s">
        <v>10369</v>
      </c>
      <c r="C10345" s="3" t="s">
        <v>6</v>
      </c>
      <c r="D10345" s="5">
        <f t="shared" si="324"/>
        <v>48.69</v>
      </c>
      <c r="E10345">
        <v>53.45</v>
      </c>
      <c r="F10345" s="1789">
        <v>8.8999999999999996E-2</v>
      </c>
      <c r="G10345">
        <f t="shared" si="325"/>
        <v>48.69</v>
      </c>
    </row>
    <row r="10346" spans="1:7" ht="12.75" customHeight="1">
      <c r="A10346" s="3">
        <v>90439</v>
      </c>
      <c r="B10346" s="4" t="s">
        <v>10370</v>
      </c>
      <c r="C10346" s="3" t="s">
        <v>6</v>
      </c>
      <c r="D10346" s="5">
        <f t="shared" si="324"/>
        <v>7.14</v>
      </c>
      <c r="E10346">
        <v>7.84</v>
      </c>
      <c r="F10346" s="1789">
        <v>8.8999999999999996E-2</v>
      </c>
      <c r="G10346">
        <f t="shared" si="325"/>
        <v>7.14</v>
      </c>
    </row>
    <row r="10347" spans="1:7" ht="12.75" customHeight="1">
      <c r="A10347" s="3">
        <v>90440</v>
      </c>
      <c r="B10347" s="4" t="s">
        <v>10371</v>
      </c>
      <c r="C10347" s="3" t="s">
        <v>6</v>
      </c>
      <c r="D10347" s="5">
        <f t="shared" si="324"/>
        <v>19.05</v>
      </c>
      <c r="E10347">
        <v>20.92</v>
      </c>
      <c r="F10347" s="1789">
        <v>8.8999999999999996E-2</v>
      </c>
      <c r="G10347">
        <f t="shared" si="325"/>
        <v>19.05</v>
      </c>
    </row>
    <row r="10348" spans="1:7" ht="12.75" customHeight="1">
      <c r="A10348" s="3">
        <v>90441</v>
      </c>
      <c r="B10348" s="4" t="s">
        <v>10372</v>
      </c>
      <c r="C10348" s="3" t="s">
        <v>6</v>
      </c>
      <c r="D10348" s="5">
        <f t="shared" si="324"/>
        <v>27.83</v>
      </c>
      <c r="E10348">
        <v>30.55</v>
      </c>
      <c r="F10348" s="1789">
        <v>8.8999999999999996E-2</v>
      </c>
      <c r="G10348">
        <f t="shared" si="325"/>
        <v>27.83</v>
      </c>
    </row>
    <row r="10349" spans="1:7" ht="12.75" customHeight="1">
      <c r="A10349" s="3">
        <v>90443</v>
      </c>
      <c r="B10349" s="4" t="s">
        <v>10373</v>
      </c>
      <c r="C10349" s="3" t="s">
        <v>50</v>
      </c>
      <c r="D10349" s="5">
        <f t="shared" si="324"/>
        <v>6.71</v>
      </c>
      <c r="E10349">
        <v>7.37</v>
      </c>
      <c r="F10349" s="1789">
        <v>8.8999999999999996E-2</v>
      </c>
      <c r="G10349">
        <f t="shared" si="325"/>
        <v>6.71</v>
      </c>
    </row>
    <row r="10350" spans="1:7" ht="12.75" customHeight="1">
      <c r="A10350" s="3">
        <v>90444</v>
      </c>
      <c r="B10350" s="4" t="s">
        <v>10374</v>
      </c>
      <c r="C10350" s="3" t="s">
        <v>50</v>
      </c>
      <c r="D10350" s="5">
        <f t="shared" si="324"/>
        <v>9.58</v>
      </c>
      <c r="E10350">
        <v>10.52</v>
      </c>
      <c r="F10350" s="1789">
        <v>8.8999999999999996E-2</v>
      </c>
      <c r="G10350">
        <f t="shared" si="325"/>
        <v>9.58</v>
      </c>
    </row>
    <row r="10351" spans="1:7" ht="12.75" customHeight="1">
      <c r="A10351" s="3">
        <v>90445</v>
      </c>
      <c r="B10351" s="4" t="s">
        <v>10375</v>
      </c>
      <c r="C10351" s="3" t="s">
        <v>50</v>
      </c>
      <c r="D10351" s="5">
        <f t="shared" si="324"/>
        <v>12.7</v>
      </c>
      <c r="E10351">
        <v>13.95</v>
      </c>
      <c r="F10351" s="1789">
        <v>8.8999999999999996E-2</v>
      </c>
      <c r="G10351">
        <f t="shared" si="325"/>
        <v>12.7</v>
      </c>
    </row>
    <row r="10352" spans="1:7" ht="12.75" customHeight="1">
      <c r="A10352" s="3">
        <v>90446</v>
      </c>
      <c r="B10352" s="4" t="s">
        <v>10376</v>
      </c>
      <c r="C10352" s="3" t="s">
        <v>50</v>
      </c>
      <c r="D10352" s="5">
        <f t="shared" si="324"/>
        <v>16.88</v>
      </c>
      <c r="E10352">
        <v>18.53</v>
      </c>
      <c r="F10352" s="1789">
        <v>8.8999999999999996E-2</v>
      </c>
      <c r="G10352">
        <f t="shared" si="325"/>
        <v>16.88</v>
      </c>
    </row>
    <row r="10353" spans="1:7" ht="12.75" customHeight="1">
      <c r="A10353" s="3">
        <v>90447</v>
      </c>
      <c r="B10353" s="4" t="s">
        <v>10377</v>
      </c>
      <c r="C10353" s="3" t="s">
        <v>50</v>
      </c>
      <c r="D10353" s="5">
        <f t="shared" si="324"/>
        <v>7.01</v>
      </c>
      <c r="E10353">
        <v>7.7</v>
      </c>
      <c r="F10353" s="1789">
        <v>8.8999999999999996E-2</v>
      </c>
      <c r="G10353">
        <f t="shared" si="325"/>
        <v>7.01</v>
      </c>
    </row>
    <row r="10354" spans="1:7" ht="12.75" customHeight="1">
      <c r="A10354" s="3">
        <v>90451</v>
      </c>
      <c r="B10354" s="4" t="s">
        <v>10378</v>
      </c>
      <c r="C10354" s="3" t="s">
        <v>6</v>
      </c>
      <c r="D10354" s="5">
        <f t="shared" si="324"/>
        <v>5.49</v>
      </c>
      <c r="E10354">
        <v>6.03</v>
      </c>
      <c r="F10354" s="1789">
        <v>8.8999999999999996E-2</v>
      </c>
      <c r="G10354">
        <f t="shared" si="325"/>
        <v>5.49</v>
      </c>
    </row>
    <row r="10355" spans="1:7" ht="12.75" customHeight="1">
      <c r="A10355" s="3">
        <v>90452</v>
      </c>
      <c r="B10355" s="4" t="s">
        <v>10379</v>
      </c>
      <c r="C10355" s="3" t="s">
        <v>6</v>
      </c>
      <c r="D10355" s="5">
        <f t="shared" si="324"/>
        <v>20.47</v>
      </c>
      <c r="E10355">
        <v>22.47</v>
      </c>
      <c r="F10355" s="1789">
        <v>8.8999999999999996E-2</v>
      </c>
      <c r="G10355">
        <f t="shared" si="325"/>
        <v>20.47</v>
      </c>
    </row>
    <row r="10356" spans="1:7" ht="12.75" customHeight="1">
      <c r="A10356" s="3">
        <v>90453</v>
      </c>
      <c r="B10356" s="4" t="s">
        <v>10380</v>
      </c>
      <c r="C10356" s="3" t="s">
        <v>6</v>
      </c>
      <c r="D10356" s="5">
        <f t="shared" si="324"/>
        <v>3.39</v>
      </c>
      <c r="E10356">
        <v>3.73</v>
      </c>
      <c r="F10356" s="1789">
        <v>8.8999999999999996E-2</v>
      </c>
      <c r="G10356">
        <f t="shared" si="325"/>
        <v>3.39</v>
      </c>
    </row>
    <row r="10357" spans="1:7" ht="12.75" customHeight="1">
      <c r="A10357" s="3">
        <v>90454</v>
      </c>
      <c r="B10357" s="4" t="s">
        <v>10381</v>
      </c>
      <c r="C10357" s="3" t="s">
        <v>6</v>
      </c>
      <c r="D10357" s="5">
        <f t="shared" si="324"/>
        <v>5.4</v>
      </c>
      <c r="E10357">
        <v>5.93</v>
      </c>
      <c r="F10357" s="1789">
        <v>8.8999999999999996E-2</v>
      </c>
      <c r="G10357">
        <f t="shared" si="325"/>
        <v>5.4</v>
      </c>
    </row>
    <row r="10358" spans="1:7" ht="12.75" customHeight="1">
      <c r="A10358" s="3">
        <v>90455</v>
      </c>
      <c r="B10358" s="4" t="s">
        <v>10382</v>
      </c>
      <c r="C10358" s="3" t="s">
        <v>6</v>
      </c>
      <c r="D10358" s="5">
        <f t="shared" si="324"/>
        <v>6.88</v>
      </c>
      <c r="E10358">
        <v>7.56</v>
      </c>
      <c r="F10358" s="1789">
        <v>8.8999999999999996E-2</v>
      </c>
      <c r="G10358">
        <f t="shared" si="325"/>
        <v>6.88</v>
      </c>
    </row>
    <row r="10359" spans="1:7" ht="12.75" customHeight="1">
      <c r="A10359" s="3">
        <v>90456</v>
      </c>
      <c r="B10359" s="4" t="s">
        <v>10383</v>
      </c>
      <c r="C10359" s="3" t="s">
        <v>6</v>
      </c>
      <c r="D10359" s="5">
        <f t="shared" si="324"/>
        <v>4.6500000000000004</v>
      </c>
      <c r="E10359">
        <v>5.1100000000000003</v>
      </c>
      <c r="F10359" s="1789">
        <v>8.8999999999999996E-2</v>
      </c>
      <c r="G10359">
        <f t="shared" si="325"/>
        <v>4.6500000000000004</v>
      </c>
    </row>
    <row r="10360" spans="1:7" ht="12.75" customHeight="1">
      <c r="A10360" s="3">
        <v>90457</v>
      </c>
      <c r="B10360" s="4" t="s">
        <v>10384</v>
      </c>
      <c r="C10360" s="3" t="s">
        <v>6</v>
      </c>
      <c r="D10360" s="5">
        <f t="shared" si="324"/>
        <v>10.62</v>
      </c>
      <c r="E10360">
        <v>11.66</v>
      </c>
      <c r="F10360" s="1789">
        <v>8.8999999999999996E-2</v>
      </c>
      <c r="G10360">
        <f t="shared" si="325"/>
        <v>10.62</v>
      </c>
    </row>
    <row r="10361" spans="1:7" ht="12.75" customHeight="1">
      <c r="A10361" s="3">
        <v>90458</v>
      </c>
      <c r="B10361" s="4" t="s">
        <v>10385</v>
      </c>
      <c r="C10361" s="3" t="s">
        <v>6</v>
      </c>
      <c r="D10361" s="5">
        <f t="shared" si="324"/>
        <v>30.29</v>
      </c>
      <c r="E10361">
        <v>33.25</v>
      </c>
      <c r="F10361" s="1789">
        <v>8.8999999999999996E-2</v>
      </c>
      <c r="G10361">
        <f t="shared" si="325"/>
        <v>30.29</v>
      </c>
    </row>
    <row r="10362" spans="1:7" ht="12.75" customHeight="1">
      <c r="A10362" s="3">
        <v>90459</v>
      </c>
      <c r="B10362" s="4" t="s">
        <v>10386</v>
      </c>
      <c r="C10362" s="3" t="s">
        <v>6</v>
      </c>
      <c r="D10362" s="5">
        <f t="shared" si="324"/>
        <v>41.01</v>
      </c>
      <c r="E10362">
        <v>45.02</v>
      </c>
      <c r="F10362" s="1789">
        <v>8.8999999999999996E-2</v>
      </c>
      <c r="G10362">
        <f t="shared" si="325"/>
        <v>41.01</v>
      </c>
    </row>
    <row r="10363" spans="1:7" ht="12.75" customHeight="1">
      <c r="A10363" s="3">
        <v>90460</v>
      </c>
      <c r="B10363" s="4" t="s">
        <v>10387</v>
      </c>
      <c r="C10363" s="3" t="s">
        <v>50</v>
      </c>
      <c r="D10363" s="5">
        <f t="shared" si="324"/>
        <v>22.16</v>
      </c>
      <c r="E10363">
        <v>24.33</v>
      </c>
      <c r="F10363" s="1789">
        <v>8.8999999999999996E-2</v>
      </c>
      <c r="G10363">
        <f t="shared" si="325"/>
        <v>22.16</v>
      </c>
    </row>
    <row r="10364" spans="1:7" ht="12.75" customHeight="1">
      <c r="A10364" s="3">
        <v>90461</v>
      </c>
      <c r="B10364" s="4" t="s">
        <v>10388</v>
      </c>
      <c r="C10364" s="3" t="s">
        <v>50</v>
      </c>
      <c r="D10364" s="5">
        <f t="shared" si="324"/>
        <v>16.34</v>
      </c>
      <c r="E10364">
        <v>17.940000000000001</v>
      </c>
      <c r="F10364" s="1789">
        <v>8.8999999999999996E-2</v>
      </c>
      <c r="G10364">
        <f t="shared" si="325"/>
        <v>16.34</v>
      </c>
    </row>
    <row r="10365" spans="1:7" ht="12.75" customHeight="1">
      <c r="A10365" s="3">
        <v>90462</v>
      </c>
      <c r="B10365" s="4" t="s">
        <v>10389</v>
      </c>
      <c r="C10365" s="3" t="s">
        <v>50</v>
      </c>
      <c r="D10365" s="5">
        <f t="shared" si="324"/>
        <v>3.95</v>
      </c>
      <c r="E10365">
        <v>4.34</v>
      </c>
      <c r="F10365" s="1789">
        <v>8.8999999999999996E-2</v>
      </c>
      <c r="G10365">
        <f t="shared" si="325"/>
        <v>3.95</v>
      </c>
    </row>
    <row r="10366" spans="1:7" ht="12.75" customHeight="1">
      <c r="A10366" s="3">
        <v>90463</v>
      </c>
      <c r="B10366" s="4" t="s">
        <v>10390</v>
      </c>
      <c r="C10366" s="3" t="s">
        <v>50</v>
      </c>
      <c r="D10366" s="5">
        <f t="shared" si="324"/>
        <v>3.29</v>
      </c>
      <c r="E10366">
        <v>3.62</v>
      </c>
      <c r="F10366" s="1789">
        <v>8.8999999999999996E-2</v>
      </c>
      <c r="G10366">
        <f t="shared" si="325"/>
        <v>3.29</v>
      </c>
    </row>
    <row r="10367" spans="1:7" ht="12.75" customHeight="1">
      <c r="A10367" s="3">
        <v>90466</v>
      </c>
      <c r="B10367" s="4" t="s">
        <v>10391</v>
      </c>
      <c r="C10367" s="3" t="s">
        <v>50</v>
      </c>
      <c r="D10367" s="5">
        <f t="shared" si="324"/>
        <v>13.37</v>
      </c>
      <c r="E10367">
        <v>14.68</v>
      </c>
      <c r="F10367" s="1789">
        <v>8.8999999999999996E-2</v>
      </c>
      <c r="G10367">
        <f t="shared" si="325"/>
        <v>13.37</v>
      </c>
    </row>
    <row r="10368" spans="1:7" ht="12.75" customHeight="1">
      <c r="A10368" s="3">
        <v>90467</v>
      </c>
      <c r="B10368" s="4" t="s">
        <v>10392</v>
      </c>
      <c r="C10368" s="3" t="s">
        <v>50</v>
      </c>
      <c r="D10368" s="5">
        <f t="shared" si="324"/>
        <v>20.12</v>
      </c>
      <c r="E10368">
        <v>22.09</v>
      </c>
      <c r="F10368" s="1789">
        <v>8.8999999999999996E-2</v>
      </c>
      <c r="G10368">
        <f t="shared" si="325"/>
        <v>20.12</v>
      </c>
    </row>
    <row r="10369" spans="1:7" ht="12.75" customHeight="1">
      <c r="A10369" s="3">
        <v>90468</v>
      </c>
      <c r="B10369" s="4" t="s">
        <v>10393</v>
      </c>
      <c r="C10369" s="3" t="s">
        <v>50</v>
      </c>
      <c r="D10369" s="5">
        <f t="shared" si="324"/>
        <v>6.82</v>
      </c>
      <c r="E10369">
        <v>7.49</v>
      </c>
      <c r="F10369" s="1789">
        <v>8.8999999999999996E-2</v>
      </c>
      <c r="G10369">
        <f t="shared" si="325"/>
        <v>6.82</v>
      </c>
    </row>
    <row r="10370" spans="1:7" ht="12.75" customHeight="1">
      <c r="A10370" s="3">
        <v>90469</v>
      </c>
      <c r="B10370" s="4" t="s">
        <v>10394</v>
      </c>
      <c r="C10370" s="3" t="s">
        <v>50</v>
      </c>
      <c r="D10370" s="5">
        <f t="shared" si="324"/>
        <v>10.36</v>
      </c>
      <c r="E10370">
        <v>11.38</v>
      </c>
      <c r="F10370" s="1789">
        <v>8.8999999999999996E-2</v>
      </c>
      <c r="G10370">
        <f t="shared" si="325"/>
        <v>10.36</v>
      </c>
    </row>
    <row r="10371" spans="1:7" ht="12.75" customHeight="1">
      <c r="A10371" s="3">
        <v>90470</v>
      </c>
      <c r="B10371" s="4" t="s">
        <v>10395</v>
      </c>
      <c r="C10371" s="3" t="s">
        <v>50</v>
      </c>
      <c r="D10371" s="5">
        <f t="shared" si="324"/>
        <v>13.84</v>
      </c>
      <c r="E10371">
        <v>15.2</v>
      </c>
      <c r="F10371" s="1789">
        <v>8.8999999999999996E-2</v>
      </c>
      <c r="G10371">
        <f t="shared" si="325"/>
        <v>13.84</v>
      </c>
    </row>
    <row r="10372" spans="1:7" ht="12.75" customHeight="1">
      <c r="A10372" s="3">
        <v>91166</v>
      </c>
      <c r="B10372" s="4" t="s">
        <v>10396</v>
      </c>
      <c r="C10372" s="3" t="s">
        <v>50</v>
      </c>
      <c r="D10372" s="5">
        <f t="shared" si="324"/>
        <v>4.1900000000000004</v>
      </c>
      <c r="E10372">
        <v>4.6100000000000003</v>
      </c>
      <c r="F10372" s="1789">
        <v>8.8999999999999996E-2</v>
      </c>
      <c r="G10372">
        <f t="shared" si="325"/>
        <v>4.1900000000000004</v>
      </c>
    </row>
    <row r="10373" spans="1:7" ht="12.75" customHeight="1">
      <c r="A10373" s="3">
        <v>91167</v>
      </c>
      <c r="B10373" s="4" t="s">
        <v>10397</v>
      </c>
      <c r="C10373" s="3" t="s">
        <v>50</v>
      </c>
      <c r="D10373" s="5">
        <f t="shared" si="324"/>
        <v>9.09</v>
      </c>
      <c r="E10373">
        <v>9.98</v>
      </c>
      <c r="F10373" s="1789">
        <v>8.8999999999999996E-2</v>
      </c>
      <c r="G10373">
        <f t="shared" si="325"/>
        <v>9.09</v>
      </c>
    </row>
    <row r="10374" spans="1:7" ht="12.75" customHeight="1">
      <c r="A10374" s="3">
        <v>91170</v>
      </c>
      <c r="B10374" s="4" t="s">
        <v>10398</v>
      </c>
      <c r="C10374" s="3" t="s">
        <v>50</v>
      </c>
      <c r="D10374" s="5">
        <f t="shared" si="324"/>
        <v>9.09</v>
      </c>
      <c r="E10374">
        <v>9.98</v>
      </c>
      <c r="F10374" s="1789">
        <v>8.8999999999999996E-2</v>
      </c>
      <c r="G10374">
        <f t="shared" si="325"/>
        <v>9.09</v>
      </c>
    </row>
    <row r="10375" spans="1:7" ht="12.75" customHeight="1">
      <c r="A10375" s="3">
        <v>91171</v>
      </c>
      <c r="B10375" s="4" t="s">
        <v>10399</v>
      </c>
      <c r="C10375" s="3" t="s">
        <v>50</v>
      </c>
      <c r="D10375" s="5">
        <f t="shared" si="324"/>
        <v>14.93</v>
      </c>
      <c r="E10375">
        <v>16.39</v>
      </c>
      <c r="F10375" s="1789">
        <v>8.8999999999999996E-2</v>
      </c>
      <c r="G10375">
        <f t="shared" si="325"/>
        <v>14.93</v>
      </c>
    </row>
    <row r="10376" spans="1:7" ht="12.75" customHeight="1">
      <c r="A10376" s="3">
        <v>91172</v>
      </c>
      <c r="B10376" s="4" t="s">
        <v>10400</v>
      </c>
      <c r="C10376" s="3" t="s">
        <v>50</v>
      </c>
      <c r="D10376" s="5">
        <f t="shared" si="324"/>
        <v>17.22</v>
      </c>
      <c r="E10376">
        <v>18.91</v>
      </c>
      <c r="F10376" s="1789">
        <v>8.8999999999999996E-2</v>
      </c>
      <c r="G10376">
        <f t="shared" si="325"/>
        <v>17.22</v>
      </c>
    </row>
    <row r="10377" spans="1:7" ht="12.75" customHeight="1">
      <c r="A10377" s="3">
        <v>91173</v>
      </c>
      <c r="B10377" s="4" t="s">
        <v>10401</v>
      </c>
      <c r="C10377" s="3" t="s">
        <v>50</v>
      </c>
      <c r="D10377" s="5">
        <f t="shared" si="324"/>
        <v>3.38</v>
      </c>
      <c r="E10377">
        <v>3.72</v>
      </c>
      <c r="F10377" s="1789">
        <v>8.8999999999999996E-2</v>
      </c>
      <c r="G10377">
        <f t="shared" si="325"/>
        <v>3.38</v>
      </c>
    </row>
    <row r="10378" spans="1:7" ht="12.75" customHeight="1">
      <c r="A10378" s="3">
        <v>91174</v>
      </c>
      <c r="B10378" s="4" t="s">
        <v>10402</v>
      </c>
      <c r="C10378" s="3" t="s">
        <v>50</v>
      </c>
      <c r="D10378" s="5">
        <f t="shared" si="324"/>
        <v>5.95</v>
      </c>
      <c r="E10378">
        <v>6.54</v>
      </c>
      <c r="F10378" s="1789">
        <v>8.8999999999999996E-2</v>
      </c>
      <c r="G10378">
        <f t="shared" si="325"/>
        <v>5.95</v>
      </c>
    </row>
    <row r="10379" spans="1:7" ht="12.75" customHeight="1">
      <c r="A10379" s="3">
        <v>91175</v>
      </c>
      <c r="B10379" s="4" t="s">
        <v>10403</v>
      </c>
      <c r="C10379" s="3" t="s">
        <v>50</v>
      </c>
      <c r="D10379" s="5">
        <f t="shared" si="324"/>
        <v>9.2899999999999991</v>
      </c>
      <c r="E10379">
        <v>10.199999999999999</v>
      </c>
      <c r="F10379" s="1789">
        <v>8.8999999999999996E-2</v>
      </c>
      <c r="G10379">
        <f t="shared" si="325"/>
        <v>9.2899999999999991</v>
      </c>
    </row>
    <row r="10380" spans="1:7" ht="12.75" customHeight="1">
      <c r="A10380" s="3">
        <v>91176</v>
      </c>
      <c r="B10380" s="4" t="s">
        <v>10404</v>
      </c>
      <c r="C10380" s="3" t="s">
        <v>50</v>
      </c>
      <c r="D10380" s="5">
        <f t="shared" si="324"/>
        <v>15.27</v>
      </c>
      <c r="E10380">
        <v>16.77</v>
      </c>
      <c r="F10380" s="1789">
        <v>8.8999999999999996E-2</v>
      </c>
      <c r="G10380">
        <f t="shared" si="325"/>
        <v>15.27</v>
      </c>
    </row>
    <row r="10381" spans="1:7" ht="12.75" customHeight="1">
      <c r="A10381" s="3">
        <v>91179</v>
      </c>
      <c r="B10381" s="4" t="s">
        <v>10405</v>
      </c>
      <c r="C10381" s="3" t="s">
        <v>50</v>
      </c>
      <c r="D10381" s="5">
        <f t="shared" si="324"/>
        <v>15.27</v>
      </c>
      <c r="E10381">
        <v>16.77</v>
      </c>
      <c r="F10381" s="1789">
        <v>8.8999999999999996E-2</v>
      </c>
      <c r="G10381">
        <f t="shared" si="325"/>
        <v>15.27</v>
      </c>
    </row>
    <row r="10382" spans="1:7" ht="12.75" customHeight="1">
      <c r="A10382" s="3">
        <v>91180</v>
      </c>
      <c r="B10382" s="4" t="s">
        <v>10406</v>
      </c>
      <c r="C10382" s="3" t="s">
        <v>50</v>
      </c>
      <c r="D10382" s="5">
        <f t="shared" si="324"/>
        <v>20.420000000000002</v>
      </c>
      <c r="E10382">
        <v>22.42</v>
      </c>
      <c r="F10382" s="1789">
        <v>8.8999999999999996E-2</v>
      </c>
      <c r="G10382">
        <f t="shared" si="325"/>
        <v>20.420000000000002</v>
      </c>
    </row>
    <row r="10383" spans="1:7" ht="12.75" customHeight="1">
      <c r="A10383" s="3">
        <v>91181</v>
      </c>
      <c r="B10383" s="4" t="s">
        <v>10407</v>
      </c>
      <c r="C10383" s="3" t="s">
        <v>50</v>
      </c>
      <c r="D10383" s="5">
        <f t="shared" si="324"/>
        <v>21.44</v>
      </c>
      <c r="E10383">
        <v>23.54</v>
      </c>
      <c r="F10383" s="1789">
        <v>8.8999999999999996E-2</v>
      </c>
      <c r="G10383">
        <f t="shared" si="325"/>
        <v>21.44</v>
      </c>
    </row>
    <row r="10384" spans="1:7" ht="12.75" customHeight="1">
      <c r="A10384" s="3">
        <v>91182</v>
      </c>
      <c r="B10384" s="4" t="s">
        <v>10408</v>
      </c>
      <c r="C10384" s="3" t="s">
        <v>50</v>
      </c>
      <c r="D10384" s="5">
        <f t="shared" si="324"/>
        <v>21.13</v>
      </c>
      <c r="E10384">
        <v>23.2</v>
      </c>
      <c r="F10384" s="1789">
        <v>8.8999999999999996E-2</v>
      </c>
      <c r="G10384">
        <f t="shared" si="325"/>
        <v>21.13</v>
      </c>
    </row>
    <row r="10385" spans="1:7" ht="12.75" customHeight="1">
      <c r="A10385" s="3">
        <v>91185</v>
      </c>
      <c r="B10385" s="4" t="s">
        <v>10409</v>
      </c>
      <c r="C10385" s="3" t="s">
        <v>50</v>
      </c>
      <c r="D10385" s="5">
        <f t="shared" si="324"/>
        <v>21.13</v>
      </c>
      <c r="E10385">
        <v>23.2</v>
      </c>
      <c r="F10385" s="1789">
        <v>8.8999999999999996E-2</v>
      </c>
      <c r="G10385">
        <f t="shared" si="325"/>
        <v>21.13</v>
      </c>
    </row>
    <row r="10386" spans="1:7" ht="12.75" customHeight="1">
      <c r="A10386" s="3">
        <v>91186</v>
      </c>
      <c r="B10386" s="4" t="s">
        <v>10410</v>
      </c>
      <c r="C10386" s="3" t="s">
        <v>50</v>
      </c>
      <c r="D10386" s="5">
        <f t="shared" si="324"/>
        <v>23.24</v>
      </c>
      <c r="E10386">
        <v>25.52</v>
      </c>
      <c r="F10386" s="1789">
        <v>8.8999999999999996E-2</v>
      </c>
      <c r="G10386">
        <f t="shared" si="325"/>
        <v>23.24</v>
      </c>
    </row>
    <row r="10387" spans="1:7" ht="12.75" customHeight="1">
      <c r="A10387" s="3">
        <v>91187</v>
      </c>
      <c r="B10387" s="4" t="s">
        <v>10411</v>
      </c>
      <c r="C10387" s="3" t="s">
        <v>50</v>
      </c>
      <c r="D10387" s="5">
        <f t="shared" si="324"/>
        <v>20.85</v>
      </c>
      <c r="E10387">
        <v>22.89</v>
      </c>
      <c r="F10387" s="1789">
        <v>8.8999999999999996E-2</v>
      </c>
      <c r="G10387">
        <f t="shared" si="325"/>
        <v>20.85</v>
      </c>
    </row>
    <row r="10388" spans="1:7" ht="12.75" customHeight="1">
      <c r="A10388" s="3">
        <v>91188</v>
      </c>
      <c r="B10388" s="4" t="s">
        <v>10412</v>
      </c>
      <c r="C10388" s="3" t="s">
        <v>6</v>
      </c>
      <c r="D10388" s="5">
        <f t="shared" si="324"/>
        <v>11.82</v>
      </c>
      <c r="E10388">
        <v>12.98</v>
      </c>
      <c r="F10388" s="1789">
        <v>8.8999999999999996E-2</v>
      </c>
      <c r="G10388">
        <f t="shared" si="325"/>
        <v>11.82</v>
      </c>
    </row>
    <row r="10389" spans="1:7" ht="12.75" customHeight="1">
      <c r="A10389" s="3">
        <v>91189</v>
      </c>
      <c r="B10389" s="4" t="s">
        <v>10413</v>
      </c>
      <c r="C10389" s="3" t="s">
        <v>6</v>
      </c>
      <c r="D10389" s="5">
        <f t="shared" ref="D10389:D10452" si="326">G10389</f>
        <v>67.84</v>
      </c>
      <c r="E10389">
        <v>74.47</v>
      </c>
      <c r="F10389" s="1789">
        <v>8.8999999999999996E-2</v>
      </c>
      <c r="G10389">
        <f t="shared" ref="G10389:G10452" si="327">TRUNC((1-F10389)*E10389,2)</f>
        <v>67.84</v>
      </c>
    </row>
    <row r="10390" spans="1:7" ht="12.75" customHeight="1">
      <c r="A10390" s="3">
        <v>91190</v>
      </c>
      <c r="B10390" s="4" t="s">
        <v>10414</v>
      </c>
      <c r="C10390" s="3" t="s">
        <v>6</v>
      </c>
      <c r="D10390" s="5">
        <f t="shared" si="326"/>
        <v>9.41</v>
      </c>
      <c r="E10390">
        <v>10.33</v>
      </c>
      <c r="F10390" s="1789">
        <v>8.8999999999999996E-2</v>
      </c>
      <c r="G10390">
        <f t="shared" si="327"/>
        <v>9.41</v>
      </c>
    </row>
    <row r="10391" spans="1:7" ht="12.75" customHeight="1">
      <c r="A10391" s="3">
        <v>91191</v>
      </c>
      <c r="B10391" s="4" t="s">
        <v>10415</v>
      </c>
      <c r="C10391" s="3" t="s">
        <v>6</v>
      </c>
      <c r="D10391" s="5">
        <f t="shared" si="326"/>
        <v>13.29</v>
      </c>
      <c r="E10391">
        <v>14.59</v>
      </c>
      <c r="F10391" s="1789">
        <v>8.8999999999999996E-2</v>
      </c>
      <c r="G10391">
        <f t="shared" si="327"/>
        <v>13.29</v>
      </c>
    </row>
    <row r="10392" spans="1:7" ht="12.75" customHeight="1">
      <c r="A10392" s="3">
        <v>91192</v>
      </c>
      <c r="B10392" s="4" t="s">
        <v>10416</v>
      </c>
      <c r="C10392" s="3" t="s">
        <v>6</v>
      </c>
      <c r="D10392" s="5">
        <f t="shared" si="326"/>
        <v>20.260000000000002</v>
      </c>
      <c r="E10392">
        <v>22.24</v>
      </c>
      <c r="F10392" s="1789">
        <v>8.8999999999999996E-2</v>
      </c>
      <c r="G10392">
        <f t="shared" si="327"/>
        <v>20.260000000000002</v>
      </c>
    </row>
    <row r="10393" spans="1:7" ht="12.75" customHeight="1">
      <c r="A10393" s="3">
        <v>91222</v>
      </c>
      <c r="B10393" s="4" t="s">
        <v>10417</v>
      </c>
      <c r="C10393" s="3" t="s">
        <v>50</v>
      </c>
      <c r="D10393" s="5">
        <f t="shared" si="326"/>
        <v>7.46</v>
      </c>
      <c r="E10393">
        <v>8.19</v>
      </c>
      <c r="F10393" s="1789">
        <v>8.8999999999999996E-2</v>
      </c>
      <c r="G10393">
        <f t="shared" si="327"/>
        <v>7.46</v>
      </c>
    </row>
    <row r="10394" spans="1:7" ht="12.75" customHeight="1">
      <c r="A10394" s="3">
        <v>94480</v>
      </c>
      <c r="B10394" s="4" t="s">
        <v>10418</v>
      </c>
      <c r="C10394" s="3" t="s">
        <v>6</v>
      </c>
      <c r="D10394" s="5">
        <f t="shared" si="326"/>
        <v>2197.6799999999998</v>
      </c>
      <c r="E10394">
        <v>2412.39</v>
      </c>
      <c r="F10394" s="1789">
        <v>8.8999999999999996E-2</v>
      </c>
      <c r="G10394">
        <f t="shared" si="327"/>
        <v>2197.6799999999998</v>
      </c>
    </row>
    <row r="10395" spans="1:7" ht="12.75" customHeight="1">
      <c r="A10395" s="3">
        <v>94481</v>
      </c>
      <c r="B10395" s="4" t="s">
        <v>10419</v>
      </c>
      <c r="C10395" s="3" t="s">
        <v>6</v>
      </c>
      <c r="D10395" s="5">
        <f t="shared" si="326"/>
        <v>1555.14</v>
      </c>
      <c r="E10395">
        <v>1707.07</v>
      </c>
      <c r="F10395" s="1789">
        <v>8.8999999999999996E-2</v>
      </c>
      <c r="G10395">
        <f t="shared" si="327"/>
        <v>1555.14</v>
      </c>
    </row>
    <row r="10396" spans="1:7" ht="12.75" customHeight="1">
      <c r="A10396" s="3">
        <v>94482</v>
      </c>
      <c r="B10396" s="4" t="s">
        <v>10420</v>
      </c>
      <c r="C10396" s="3" t="s">
        <v>6</v>
      </c>
      <c r="D10396" s="5">
        <f t="shared" si="326"/>
        <v>1221.72</v>
      </c>
      <c r="E10396">
        <v>1341.08</v>
      </c>
      <c r="F10396" s="1789">
        <v>8.8999999999999996E-2</v>
      </c>
      <c r="G10396">
        <f t="shared" si="327"/>
        <v>1221.72</v>
      </c>
    </row>
    <row r="10397" spans="1:7" ht="12.75" customHeight="1">
      <c r="A10397" s="3">
        <v>94483</v>
      </c>
      <c r="B10397" s="4" t="s">
        <v>10421</v>
      </c>
      <c r="C10397" s="3" t="s">
        <v>6</v>
      </c>
      <c r="D10397" s="5">
        <f t="shared" si="326"/>
        <v>1025.26</v>
      </c>
      <c r="E10397">
        <v>1125.43</v>
      </c>
      <c r="F10397" s="1789">
        <v>8.8999999999999996E-2</v>
      </c>
      <c r="G10397">
        <f t="shared" si="327"/>
        <v>1025.26</v>
      </c>
    </row>
    <row r="10398" spans="1:7" ht="12.75" customHeight="1">
      <c r="A10398" s="3">
        <v>95541</v>
      </c>
      <c r="B10398" s="4" t="s">
        <v>10422</v>
      </c>
      <c r="C10398" s="3" t="s">
        <v>6</v>
      </c>
      <c r="D10398" s="5">
        <f t="shared" si="326"/>
        <v>20.51</v>
      </c>
      <c r="E10398">
        <v>22.52</v>
      </c>
      <c r="F10398" s="1789">
        <v>8.8999999999999996E-2</v>
      </c>
      <c r="G10398">
        <f t="shared" si="327"/>
        <v>20.51</v>
      </c>
    </row>
    <row r="10399" spans="1:7" ht="12.75" customHeight="1">
      <c r="A10399" s="3">
        <v>96559</v>
      </c>
      <c r="B10399" s="4" t="s">
        <v>10423</v>
      </c>
      <c r="C10399" s="3" t="s">
        <v>409</v>
      </c>
      <c r="D10399" s="5">
        <f t="shared" si="326"/>
        <v>31.01</v>
      </c>
      <c r="E10399">
        <v>34.049999999999997</v>
      </c>
      <c r="F10399" s="1789">
        <v>8.8999999999999996E-2</v>
      </c>
      <c r="G10399">
        <f t="shared" si="327"/>
        <v>31.01</v>
      </c>
    </row>
    <row r="10400" spans="1:7" ht="12.75" customHeight="1">
      <c r="A10400" s="3">
        <v>96560</v>
      </c>
      <c r="B10400" s="4" t="s">
        <v>10424</v>
      </c>
      <c r="C10400" s="3" t="s">
        <v>409</v>
      </c>
      <c r="D10400" s="5">
        <f t="shared" si="326"/>
        <v>28.97</v>
      </c>
      <c r="E10400">
        <v>31.81</v>
      </c>
      <c r="F10400" s="1789">
        <v>8.8999999999999996E-2</v>
      </c>
      <c r="G10400">
        <f t="shared" si="327"/>
        <v>28.97</v>
      </c>
    </row>
    <row r="10401" spans="1:7" ht="12.75" customHeight="1">
      <c r="A10401" s="3">
        <v>96562</v>
      </c>
      <c r="B10401" s="4" t="s">
        <v>10425</v>
      </c>
      <c r="C10401" s="3" t="s">
        <v>50</v>
      </c>
      <c r="D10401" s="5">
        <f t="shared" si="326"/>
        <v>44.39</v>
      </c>
      <c r="E10401">
        <v>48.73</v>
      </c>
      <c r="F10401" s="1789">
        <v>8.8999999999999996E-2</v>
      </c>
      <c r="G10401">
        <f t="shared" si="327"/>
        <v>44.39</v>
      </c>
    </row>
    <row r="10402" spans="1:7" ht="12.75" customHeight="1">
      <c r="A10402" s="3">
        <v>96563</v>
      </c>
      <c r="B10402" s="4" t="s">
        <v>10426</v>
      </c>
      <c r="C10402" s="3" t="s">
        <v>50</v>
      </c>
      <c r="D10402" s="5">
        <f t="shared" si="326"/>
        <v>49.7</v>
      </c>
      <c r="E10402">
        <v>54.56</v>
      </c>
      <c r="F10402" s="1789">
        <v>8.8999999999999996E-2</v>
      </c>
      <c r="G10402">
        <f t="shared" si="327"/>
        <v>49.7</v>
      </c>
    </row>
    <row r="10403" spans="1:7" ht="12.75" customHeight="1">
      <c r="A10403" s="3">
        <v>100128</v>
      </c>
      <c r="B10403" s="4" t="s">
        <v>10427</v>
      </c>
      <c r="C10403" s="3" t="s">
        <v>6</v>
      </c>
      <c r="D10403" s="5">
        <f t="shared" si="326"/>
        <v>1327.8</v>
      </c>
      <c r="E10403">
        <v>1457.52</v>
      </c>
      <c r="F10403" s="1789">
        <v>8.8999999999999996E-2</v>
      </c>
      <c r="G10403">
        <f t="shared" si="327"/>
        <v>1327.8</v>
      </c>
    </row>
    <row r="10404" spans="1:7" ht="12.75" customHeight="1">
      <c r="A10404" s="3">
        <v>101802</v>
      </c>
      <c r="B10404" s="4" t="s">
        <v>10428</v>
      </c>
      <c r="C10404" s="3" t="s">
        <v>6</v>
      </c>
      <c r="D10404" s="5">
        <f t="shared" si="326"/>
        <v>1599.87</v>
      </c>
      <c r="E10404">
        <v>1756.17</v>
      </c>
      <c r="F10404" s="1789">
        <v>8.8999999999999996E-2</v>
      </c>
      <c r="G10404">
        <f t="shared" si="327"/>
        <v>1599.87</v>
      </c>
    </row>
    <row r="10405" spans="1:7" ht="12.75" customHeight="1">
      <c r="A10405" s="3">
        <v>101803</v>
      </c>
      <c r="B10405" s="4" t="s">
        <v>10429</v>
      </c>
      <c r="C10405" s="3" t="s">
        <v>6</v>
      </c>
      <c r="D10405" s="5">
        <f t="shared" si="326"/>
        <v>1010.29</v>
      </c>
      <c r="E10405">
        <v>1109</v>
      </c>
      <c r="F10405" s="1789">
        <v>8.8999999999999996E-2</v>
      </c>
      <c r="G10405">
        <f t="shared" si="327"/>
        <v>1010.29</v>
      </c>
    </row>
    <row r="10406" spans="1:7" ht="12.75" customHeight="1">
      <c r="A10406" s="3">
        <v>101804</v>
      </c>
      <c r="B10406" s="4" t="s">
        <v>10430</v>
      </c>
      <c r="C10406" s="3" t="s">
        <v>6</v>
      </c>
      <c r="D10406" s="5">
        <f t="shared" si="326"/>
        <v>1276.92</v>
      </c>
      <c r="E10406">
        <v>1401.67</v>
      </c>
      <c r="F10406" s="1789">
        <v>8.8999999999999996E-2</v>
      </c>
      <c r="G10406">
        <f t="shared" si="327"/>
        <v>1276.92</v>
      </c>
    </row>
    <row r="10407" spans="1:7" ht="12.75" customHeight="1">
      <c r="A10407" s="3">
        <v>101805</v>
      </c>
      <c r="B10407" s="4" t="s">
        <v>10431</v>
      </c>
      <c r="C10407" s="3" t="s">
        <v>6</v>
      </c>
      <c r="D10407" s="5">
        <f t="shared" si="326"/>
        <v>1625.35</v>
      </c>
      <c r="E10407">
        <v>1784.14</v>
      </c>
      <c r="F10407" s="1789">
        <v>8.8999999999999996E-2</v>
      </c>
      <c r="G10407">
        <f t="shared" si="327"/>
        <v>1625.35</v>
      </c>
    </row>
    <row r="10408" spans="1:7" ht="12.75" customHeight="1">
      <c r="A10408" s="3">
        <v>102111</v>
      </c>
      <c r="B10408" s="4" t="s">
        <v>10432</v>
      </c>
      <c r="C10408" s="3" t="s">
        <v>6</v>
      </c>
      <c r="D10408" s="5">
        <f t="shared" si="326"/>
        <v>828.92</v>
      </c>
      <c r="E10408">
        <v>909.91</v>
      </c>
      <c r="F10408" s="1789">
        <v>8.8999999999999996E-2</v>
      </c>
      <c r="G10408">
        <f t="shared" si="327"/>
        <v>828.92</v>
      </c>
    </row>
    <row r="10409" spans="1:7" ht="12.75" customHeight="1">
      <c r="A10409" s="3">
        <v>102112</v>
      </c>
      <c r="B10409" s="4" t="s">
        <v>10433</v>
      </c>
      <c r="C10409" s="3" t="s">
        <v>6</v>
      </c>
      <c r="D10409" s="5">
        <f t="shared" si="326"/>
        <v>121.39</v>
      </c>
      <c r="E10409">
        <v>133.26</v>
      </c>
      <c r="F10409" s="1789">
        <v>8.8999999999999996E-2</v>
      </c>
      <c r="G10409">
        <f t="shared" si="327"/>
        <v>121.39</v>
      </c>
    </row>
    <row r="10410" spans="1:7" ht="12.75" customHeight="1">
      <c r="A10410" s="3">
        <v>102113</v>
      </c>
      <c r="B10410" s="4" t="s">
        <v>10434</v>
      </c>
      <c r="C10410" s="3" t="s">
        <v>6</v>
      </c>
      <c r="D10410" s="5">
        <f t="shared" si="326"/>
        <v>1317.1</v>
      </c>
      <c r="E10410">
        <v>1445.78</v>
      </c>
      <c r="F10410" s="1789">
        <v>8.8999999999999996E-2</v>
      </c>
      <c r="G10410">
        <f t="shared" si="327"/>
        <v>1317.1</v>
      </c>
    </row>
    <row r="10411" spans="1:7" ht="12.75" customHeight="1">
      <c r="A10411" s="3">
        <v>102114</v>
      </c>
      <c r="B10411" s="4" t="s">
        <v>10435</v>
      </c>
      <c r="C10411" s="3" t="s">
        <v>6</v>
      </c>
      <c r="D10411" s="5">
        <f t="shared" si="326"/>
        <v>124.45</v>
      </c>
      <c r="E10411">
        <v>136.61000000000001</v>
      </c>
      <c r="F10411" s="1789">
        <v>8.8999999999999996E-2</v>
      </c>
      <c r="G10411">
        <f t="shared" si="327"/>
        <v>124.45</v>
      </c>
    </row>
    <row r="10412" spans="1:7" ht="12.75" customHeight="1">
      <c r="A10412" s="3">
        <v>102115</v>
      </c>
      <c r="B10412" s="4" t="s">
        <v>10436</v>
      </c>
      <c r="C10412" s="3" t="s">
        <v>6</v>
      </c>
      <c r="D10412" s="5">
        <f t="shared" si="326"/>
        <v>2295.84</v>
      </c>
      <c r="E10412">
        <v>2520.14</v>
      </c>
      <c r="F10412" s="1789">
        <v>8.8999999999999996E-2</v>
      </c>
      <c r="G10412">
        <f t="shared" si="327"/>
        <v>2295.84</v>
      </c>
    </row>
    <row r="10413" spans="1:7" ht="12.75" customHeight="1">
      <c r="A10413" s="3">
        <v>102116</v>
      </c>
      <c r="B10413" s="4" t="s">
        <v>10437</v>
      </c>
      <c r="C10413" s="3" t="s">
        <v>6</v>
      </c>
      <c r="D10413" s="5">
        <f t="shared" si="326"/>
        <v>1406.68</v>
      </c>
      <c r="E10413">
        <v>1544.11</v>
      </c>
      <c r="F10413" s="1789">
        <v>8.8999999999999996E-2</v>
      </c>
      <c r="G10413">
        <f t="shared" si="327"/>
        <v>1406.68</v>
      </c>
    </row>
    <row r="10414" spans="1:7" ht="12.75" customHeight="1">
      <c r="A10414" s="3">
        <v>102117</v>
      </c>
      <c r="B10414" s="4" t="s">
        <v>10438</v>
      </c>
      <c r="C10414" s="3" t="s">
        <v>6</v>
      </c>
      <c r="D10414" s="5">
        <f t="shared" si="326"/>
        <v>128.15</v>
      </c>
      <c r="E10414">
        <v>140.68</v>
      </c>
      <c r="F10414" s="1789">
        <v>8.8999999999999996E-2</v>
      </c>
      <c r="G10414">
        <f t="shared" si="327"/>
        <v>128.15</v>
      </c>
    </row>
    <row r="10415" spans="1:7" ht="12.75" customHeight="1">
      <c r="A10415" s="3">
        <v>102118</v>
      </c>
      <c r="B10415" s="4" t="s">
        <v>10439</v>
      </c>
      <c r="C10415" s="3" t="s">
        <v>6</v>
      </c>
      <c r="D10415" s="5">
        <f t="shared" si="326"/>
        <v>1915.29</v>
      </c>
      <c r="E10415">
        <v>2102.41</v>
      </c>
      <c r="F10415" s="1789">
        <v>8.8999999999999996E-2</v>
      </c>
      <c r="G10415">
        <f t="shared" si="327"/>
        <v>1915.29</v>
      </c>
    </row>
    <row r="10416" spans="1:7" ht="12.75" customHeight="1">
      <c r="A10416" s="3">
        <v>102119</v>
      </c>
      <c r="B10416" s="4" t="s">
        <v>10440</v>
      </c>
      <c r="C10416" s="3" t="s">
        <v>6</v>
      </c>
      <c r="D10416" s="5">
        <f t="shared" si="326"/>
        <v>131.34</v>
      </c>
      <c r="E10416">
        <v>144.18</v>
      </c>
      <c r="F10416" s="1789">
        <v>8.8999999999999996E-2</v>
      </c>
      <c r="G10416">
        <f t="shared" si="327"/>
        <v>131.34</v>
      </c>
    </row>
    <row r="10417" spans="1:7" ht="12.75" customHeight="1">
      <c r="A10417" s="3">
        <v>102121</v>
      </c>
      <c r="B10417" s="4" t="s">
        <v>10441</v>
      </c>
      <c r="C10417" s="3" t="s">
        <v>6</v>
      </c>
      <c r="D10417" s="5">
        <f t="shared" si="326"/>
        <v>164.68</v>
      </c>
      <c r="E10417">
        <v>180.77</v>
      </c>
      <c r="F10417" s="1789">
        <v>8.8999999999999996E-2</v>
      </c>
      <c r="G10417">
        <f t="shared" si="327"/>
        <v>164.68</v>
      </c>
    </row>
    <row r="10418" spans="1:7" ht="12.75" customHeight="1">
      <c r="A10418" s="3">
        <v>102122</v>
      </c>
      <c r="B10418" s="4" t="s">
        <v>10442</v>
      </c>
      <c r="C10418" s="3" t="s">
        <v>6</v>
      </c>
      <c r="D10418" s="5">
        <f t="shared" si="326"/>
        <v>6465.89</v>
      </c>
      <c r="E10418">
        <v>7097.58</v>
      </c>
      <c r="F10418" s="1789">
        <v>8.8999999999999996E-2</v>
      </c>
      <c r="G10418">
        <f t="shared" si="327"/>
        <v>6465.89</v>
      </c>
    </row>
    <row r="10419" spans="1:7" ht="12.75" customHeight="1">
      <c r="A10419" s="3">
        <v>102123</v>
      </c>
      <c r="B10419" s="4" t="s">
        <v>10443</v>
      </c>
      <c r="C10419" s="3" t="s">
        <v>6</v>
      </c>
      <c r="D10419" s="5">
        <f t="shared" si="326"/>
        <v>174.17</v>
      </c>
      <c r="E10419">
        <v>191.19</v>
      </c>
      <c r="F10419" s="1789">
        <v>8.8999999999999996E-2</v>
      </c>
      <c r="G10419">
        <f t="shared" si="327"/>
        <v>174.17</v>
      </c>
    </row>
    <row r="10420" spans="1:7" ht="12.75" customHeight="1">
      <c r="A10420" s="3">
        <v>102136</v>
      </c>
      <c r="B10420" s="4" t="s">
        <v>10444</v>
      </c>
      <c r="C10420" s="3" t="s">
        <v>6</v>
      </c>
      <c r="D10420" s="5">
        <f t="shared" si="326"/>
        <v>63.06</v>
      </c>
      <c r="E10420">
        <v>69.23</v>
      </c>
      <c r="F10420" s="1789">
        <v>8.8999999999999996E-2</v>
      </c>
      <c r="G10420">
        <f t="shared" si="327"/>
        <v>63.06</v>
      </c>
    </row>
    <row r="10421" spans="1:7" ht="12.75" customHeight="1">
      <c r="A10421" s="3">
        <v>102137</v>
      </c>
      <c r="B10421" s="4" t="s">
        <v>10445</v>
      </c>
      <c r="C10421" s="3" t="s">
        <v>6</v>
      </c>
      <c r="D10421" s="5">
        <f t="shared" si="326"/>
        <v>76.05</v>
      </c>
      <c r="E10421">
        <v>83.48</v>
      </c>
      <c r="F10421" s="1789">
        <v>8.8999999999999996E-2</v>
      </c>
      <c r="G10421">
        <f t="shared" si="327"/>
        <v>76.05</v>
      </c>
    </row>
    <row r="10422" spans="1:7" ht="12.75" customHeight="1">
      <c r="A10422" s="3">
        <v>102138</v>
      </c>
      <c r="B10422" s="4" t="s">
        <v>10446</v>
      </c>
      <c r="C10422" s="3" t="s">
        <v>6</v>
      </c>
      <c r="D10422" s="5">
        <f t="shared" si="326"/>
        <v>189.63</v>
      </c>
      <c r="E10422">
        <v>208.16</v>
      </c>
      <c r="F10422" s="1789">
        <v>8.8999999999999996E-2</v>
      </c>
      <c r="G10422">
        <f t="shared" si="327"/>
        <v>189.63</v>
      </c>
    </row>
    <row r="10423" spans="1:7" ht="12.75" customHeight="1">
      <c r="A10423" s="3">
        <v>103517</v>
      </c>
      <c r="B10423" s="4" t="s">
        <v>10447</v>
      </c>
      <c r="C10423" s="3" t="s">
        <v>6</v>
      </c>
      <c r="D10423" s="5">
        <f t="shared" si="326"/>
        <v>3265.85</v>
      </c>
      <c r="E10423">
        <v>3584.91</v>
      </c>
      <c r="F10423" s="1789">
        <v>8.8999999999999996E-2</v>
      </c>
      <c r="G10423">
        <f t="shared" si="327"/>
        <v>3265.85</v>
      </c>
    </row>
    <row r="10424" spans="1:7" ht="12.75" customHeight="1">
      <c r="A10424" s="3">
        <v>103519</v>
      </c>
      <c r="B10424" s="4" t="s">
        <v>10448</v>
      </c>
      <c r="C10424" s="3" t="s">
        <v>6</v>
      </c>
      <c r="D10424" s="5">
        <f t="shared" si="326"/>
        <v>11.25</v>
      </c>
      <c r="E10424">
        <v>12.36</v>
      </c>
      <c r="F10424" s="1789">
        <v>8.8999999999999996E-2</v>
      </c>
      <c r="G10424">
        <f t="shared" si="327"/>
        <v>11.25</v>
      </c>
    </row>
    <row r="10425" spans="1:7" ht="12.75" customHeight="1">
      <c r="A10425" s="3">
        <v>103520</v>
      </c>
      <c r="B10425" s="4" t="s">
        <v>10449</v>
      </c>
      <c r="C10425" s="3" t="s">
        <v>6</v>
      </c>
      <c r="D10425" s="5">
        <f t="shared" si="326"/>
        <v>5400.32</v>
      </c>
      <c r="E10425">
        <v>5927.91</v>
      </c>
      <c r="F10425" s="1789">
        <v>8.8999999999999996E-2</v>
      </c>
      <c r="G10425">
        <f t="shared" si="327"/>
        <v>5400.32</v>
      </c>
    </row>
    <row r="10426" spans="1:7" ht="12.75" customHeight="1">
      <c r="A10426" s="3">
        <v>103521</v>
      </c>
      <c r="B10426" s="4" t="s">
        <v>10450</v>
      </c>
      <c r="C10426" s="3" t="s">
        <v>6</v>
      </c>
      <c r="D10426" s="5">
        <f t="shared" si="326"/>
        <v>7170.18</v>
      </c>
      <c r="E10426">
        <v>7870.67</v>
      </c>
      <c r="F10426" s="1789">
        <v>8.8999999999999996E-2</v>
      </c>
      <c r="G10426">
        <f t="shared" si="327"/>
        <v>7170.18</v>
      </c>
    </row>
    <row r="10427" spans="1:7" ht="12.75" customHeight="1">
      <c r="A10427" s="3">
        <v>103522</v>
      </c>
      <c r="B10427" s="4" t="s">
        <v>10451</v>
      </c>
      <c r="C10427" s="3" t="s">
        <v>6</v>
      </c>
      <c r="D10427" s="5">
        <f t="shared" si="326"/>
        <v>7226.36</v>
      </c>
      <c r="E10427">
        <v>7932.34</v>
      </c>
      <c r="F10427" s="1789">
        <v>8.8999999999999996E-2</v>
      </c>
      <c r="G10427">
        <f t="shared" si="327"/>
        <v>7226.36</v>
      </c>
    </row>
    <row r="10428" spans="1:7" ht="12.75" customHeight="1">
      <c r="A10428" s="3">
        <v>103523</v>
      </c>
      <c r="B10428" s="4" t="s">
        <v>10452</v>
      </c>
      <c r="C10428" s="3" t="s">
        <v>6</v>
      </c>
      <c r="D10428" s="5">
        <f t="shared" si="326"/>
        <v>10876.54</v>
      </c>
      <c r="E10428">
        <v>11939.13</v>
      </c>
      <c r="F10428" s="1789">
        <v>8.8999999999999996E-2</v>
      </c>
      <c r="G10428">
        <f t="shared" si="327"/>
        <v>10876.54</v>
      </c>
    </row>
    <row r="10429" spans="1:7" ht="12.75" customHeight="1">
      <c r="A10429" s="3">
        <v>104767</v>
      </c>
      <c r="B10429" s="4" t="s">
        <v>10453</v>
      </c>
      <c r="C10429" s="3" t="s">
        <v>6</v>
      </c>
      <c r="D10429" s="5">
        <f t="shared" si="326"/>
        <v>0.51</v>
      </c>
      <c r="E10429">
        <v>0.56999999999999995</v>
      </c>
      <c r="F10429" s="1789">
        <v>8.8999999999999996E-2</v>
      </c>
      <c r="G10429">
        <f t="shared" si="327"/>
        <v>0.51</v>
      </c>
    </row>
    <row r="10430" spans="1:7" ht="12.75" customHeight="1">
      <c r="A10430" s="3">
        <v>104769</v>
      </c>
      <c r="B10430" s="4" t="s">
        <v>10454</v>
      </c>
      <c r="C10430" s="3" t="s">
        <v>6</v>
      </c>
      <c r="D10430" s="5">
        <f t="shared" si="326"/>
        <v>1.41</v>
      </c>
      <c r="E10430">
        <v>1.55</v>
      </c>
      <c r="F10430" s="1789">
        <v>8.8999999999999996E-2</v>
      </c>
      <c r="G10430">
        <f t="shared" si="327"/>
        <v>1.41</v>
      </c>
    </row>
    <row r="10431" spans="1:7" ht="12.75" customHeight="1">
      <c r="A10431" s="3">
        <v>104771</v>
      </c>
      <c r="B10431" s="4" t="s">
        <v>10455</v>
      </c>
      <c r="C10431" s="3" t="s">
        <v>6</v>
      </c>
      <c r="D10431" s="5">
        <f t="shared" si="326"/>
        <v>2.0499999999999998</v>
      </c>
      <c r="E10431">
        <v>2.2599999999999998</v>
      </c>
      <c r="F10431" s="1789">
        <v>8.8999999999999996E-2</v>
      </c>
      <c r="G10431">
        <f t="shared" si="327"/>
        <v>2.0499999999999998</v>
      </c>
    </row>
    <row r="10432" spans="1:7" ht="12.75" customHeight="1">
      <c r="A10432" s="3">
        <v>104773</v>
      </c>
      <c r="B10432" s="4" t="s">
        <v>10456</v>
      </c>
      <c r="C10432" s="3" t="s">
        <v>6</v>
      </c>
      <c r="D10432" s="5">
        <f t="shared" si="326"/>
        <v>1.87</v>
      </c>
      <c r="E10432">
        <v>2.06</v>
      </c>
      <c r="F10432" s="1789">
        <v>8.8999999999999996E-2</v>
      </c>
      <c r="G10432">
        <f t="shared" si="327"/>
        <v>1.87</v>
      </c>
    </row>
    <row r="10433" spans="1:7" ht="12.75" customHeight="1">
      <c r="A10433" s="3">
        <v>104775</v>
      </c>
      <c r="B10433" s="4" t="s">
        <v>10457</v>
      </c>
      <c r="C10433" s="3" t="s">
        <v>6</v>
      </c>
      <c r="D10433" s="5">
        <f t="shared" si="326"/>
        <v>5.03</v>
      </c>
      <c r="E10433">
        <v>5.53</v>
      </c>
      <c r="F10433" s="1789">
        <v>8.8999999999999996E-2</v>
      </c>
      <c r="G10433">
        <f t="shared" si="327"/>
        <v>5.03</v>
      </c>
    </row>
    <row r="10434" spans="1:7" ht="12.75" customHeight="1">
      <c r="A10434" s="3">
        <v>104777</v>
      </c>
      <c r="B10434" s="4" t="s">
        <v>10458</v>
      </c>
      <c r="C10434" s="3" t="s">
        <v>6</v>
      </c>
      <c r="D10434" s="5">
        <f t="shared" si="326"/>
        <v>7.36</v>
      </c>
      <c r="E10434">
        <v>8.08</v>
      </c>
      <c r="F10434" s="1789">
        <v>8.8999999999999996E-2</v>
      </c>
      <c r="G10434">
        <f t="shared" si="327"/>
        <v>7.36</v>
      </c>
    </row>
    <row r="10435" spans="1:7" ht="12.75" customHeight="1">
      <c r="A10435" s="3">
        <v>104779</v>
      </c>
      <c r="B10435" s="4" t="s">
        <v>10459</v>
      </c>
      <c r="C10435" s="3" t="s">
        <v>50</v>
      </c>
      <c r="D10435" s="5">
        <f t="shared" si="326"/>
        <v>4.3099999999999996</v>
      </c>
      <c r="E10435">
        <v>4.74</v>
      </c>
      <c r="F10435" s="1789">
        <v>8.8999999999999996E-2</v>
      </c>
      <c r="G10435">
        <f t="shared" si="327"/>
        <v>4.3099999999999996</v>
      </c>
    </row>
    <row r="10436" spans="1:7" ht="12.75" customHeight="1">
      <c r="A10436" s="3">
        <v>104781</v>
      </c>
      <c r="B10436" s="4" t="s">
        <v>10460</v>
      </c>
      <c r="C10436" s="3" t="s">
        <v>50</v>
      </c>
      <c r="D10436" s="5">
        <f t="shared" si="326"/>
        <v>4.99</v>
      </c>
      <c r="E10436">
        <v>5.48</v>
      </c>
      <c r="F10436" s="1789">
        <v>8.8999999999999996E-2</v>
      </c>
      <c r="G10436">
        <f t="shared" si="327"/>
        <v>4.99</v>
      </c>
    </row>
    <row r="10437" spans="1:7" ht="12.75" customHeight="1">
      <c r="A10437" s="3">
        <v>104782</v>
      </c>
      <c r="B10437" s="4" t="s">
        <v>10461</v>
      </c>
      <c r="C10437" s="3" t="s">
        <v>6</v>
      </c>
      <c r="D10437" s="5">
        <f t="shared" si="326"/>
        <v>79.94</v>
      </c>
      <c r="E10437">
        <v>87.75</v>
      </c>
      <c r="F10437" s="1789">
        <v>8.8999999999999996E-2</v>
      </c>
      <c r="G10437">
        <f t="shared" si="327"/>
        <v>79.94</v>
      </c>
    </row>
    <row r="10438" spans="1:7" ht="12.75" customHeight="1">
      <c r="A10438" s="3">
        <v>104783</v>
      </c>
      <c r="B10438" s="4" t="s">
        <v>10462</v>
      </c>
      <c r="C10438" s="3" t="s">
        <v>6</v>
      </c>
      <c r="D10438" s="5">
        <f t="shared" si="326"/>
        <v>4.29</v>
      </c>
      <c r="E10438">
        <v>4.72</v>
      </c>
      <c r="F10438" s="1789">
        <v>8.8999999999999996E-2</v>
      </c>
      <c r="G10438">
        <f t="shared" si="327"/>
        <v>4.29</v>
      </c>
    </row>
    <row r="10439" spans="1:7" ht="12.75" customHeight="1">
      <c r="A10439" s="3">
        <v>104784</v>
      </c>
      <c r="B10439" s="4" t="s">
        <v>10463</v>
      </c>
      <c r="C10439" s="3" t="s">
        <v>6</v>
      </c>
      <c r="D10439" s="5">
        <f t="shared" si="326"/>
        <v>11.68</v>
      </c>
      <c r="E10439">
        <v>12.83</v>
      </c>
      <c r="F10439" s="1789">
        <v>8.8999999999999996E-2</v>
      </c>
      <c r="G10439">
        <f t="shared" si="327"/>
        <v>11.68</v>
      </c>
    </row>
    <row r="10440" spans="1:7" ht="12.75" customHeight="1">
      <c r="A10440" s="3">
        <v>104786</v>
      </c>
      <c r="B10440" s="4" t="s">
        <v>10464</v>
      </c>
      <c r="C10440" s="3" t="s">
        <v>50</v>
      </c>
      <c r="D10440" s="5">
        <f t="shared" si="326"/>
        <v>4.75</v>
      </c>
      <c r="E10440">
        <v>5.22</v>
      </c>
      <c r="F10440" s="1789">
        <v>8.8999999999999996E-2</v>
      </c>
      <c r="G10440">
        <f t="shared" si="327"/>
        <v>4.75</v>
      </c>
    </row>
    <row r="10441" spans="1:7" ht="12.75" customHeight="1">
      <c r="A10441" s="3">
        <v>104787</v>
      </c>
      <c r="B10441" s="4" t="s">
        <v>10465</v>
      </c>
      <c r="C10441" s="3" t="s">
        <v>50</v>
      </c>
      <c r="D10441" s="5">
        <f t="shared" si="326"/>
        <v>6.3</v>
      </c>
      <c r="E10441">
        <v>6.92</v>
      </c>
      <c r="F10441" s="1789">
        <v>8.8999999999999996E-2</v>
      </c>
      <c r="G10441">
        <f t="shared" si="327"/>
        <v>6.3</v>
      </c>
    </row>
    <row r="10442" spans="1:7" ht="12.75" customHeight="1">
      <c r="A10442" s="3">
        <v>104788</v>
      </c>
      <c r="B10442" s="4" t="s">
        <v>10466</v>
      </c>
      <c r="C10442" s="3" t="s">
        <v>50</v>
      </c>
      <c r="D10442" s="5">
        <f t="shared" si="326"/>
        <v>8.3699999999999992</v>
      </c>
      <c r="E10442">
        <v>9.19</v>
      </c>
      <c r="F10442" s="1789">
        <v>8.8999999999999996E-2</v>
      </c>
      <c r="G10442">
        <f t="shared" si="327"/>
        <v>8.3699999999999992</v>
      </c>
    </row>
    <row r="10443" spans="1:7" ht="12.75" customHeight="1">
      <c r="A10443" s="3">
        <v>104031</v>
      </c>
      <c r="B10443" s="4" t="s">
        <v>10467</v>
      </c>
      <c r="C10443" s="3" t="s">
        <v>6</v>
      </c>
      <c r="D10443" s="5">
        <f t="shared" si="326"/>
        <v>11.94</v>
      </c>
      <c r="E10443">
        <v>13.11</v>
      </c>
      <c r="F10443" s="1789">
        <v>8.8999999999999996E-2</v>
      </c>
      <c r="G10443">
        <f t="shared" si="327"/>
        <v>11.94</v>
      </c>
    </row>
    <row r="10444" spans="1:7" ht="12.75" customHeight="1">
      <c r="A10444" s="3">
        <v>104032</v>
      </c>
      <c r="B10444" s="4" t="s">
        <v>10468</v>
      </c>
      <c r="C10444" s="3" t="s">
        <v>6</v>
      </c>
      <c r="D10444" s="5">
        <f t="shared" si="326"/>
        <v>15.02</v>
      </c>
      <c r="E10444">
        <v>16.489999999999998</v>
      </c>
      <c r="F10444" s="1789">
        <v>8.8999999999999996E-2</v>
      </c>
      <c r="G10444">
        <f t="shared" si="327"/>
        <v>15.02</v>
      </c>
    </row>
    <row r="10445" spans="1:7" ht="12.75" customHeight="1">
      <c r="A10445" s="3">
        <v>104033</v>
      </c>
      <c r="B10445" s="4" t="s">
        <v>10469</v>
      </c>
      <c r="C10445" s="3" t="s">
        <v>6</v>
      </c>
      <c r="D10445" s="5">
        <f t="shared" si="326"/>
        <v>13.71</v>
      </c>
      <c r="E10445">
        <v>15.05</v>
      </c>
      <c r="F10445" s="1789">
        <v>8.8999999999999996E-2</v>
      </c>
      <c r="G10445">
        <f t="shared" si="327"/>
        <v>13.71</v>
      </c>
    </row>
    <row r="10446" spans="1:7" ht="12.75" customHeight="1">
      <c r="A10446" s="3">
        <v>104034</v>
      </c>
      <c r="B10446" s="4" t="s">
        <v>10470</v>
      </c>
      <c r="C10446" s="3" t="s">
        <v>6</v>
      </c>
      <c r="D10446" s="5">
        <f t="shared" si="326"/>
        <v>17.87</v>
      </c>
      <c r="E10446">
        <v>19.62</v>
      </c>
      <c r="F10446" s="1789">
        <v>8.8999999999999996E-2</v>
      </c>
      <c r="G10446">
        <f t="shared" si="327"/>
        <v>17.87</v>
      </c>
    </row>
    <row r="10447" spans="1:7" ht="12.75" customHeight="1">
      <c r="A10447" s="3">
        <v>104035</v>
      </c>
      <c r="B10447" s="4" t="s">
        <v>10471</v>
      </c>
      <c r="C10447" s="3" t="s">
        <v>6</v>
      </c>
      <c r="D10447" s="5">
        <f t="shared" si="326"/>
        <v>27.89</v>
      </c>
      <c r="E10447">
        <v>30.62</v>
      </c>
      <c r="F10447" s="1789">
        <v>8.8999999999999996E-2</v>
      </c>
      <c r="G10447">
        <f t="shared" si="327"/>
        <v>27.89</v>
      </c>
    </row>
    <row r="10448" spans="1:7" ht="12.75" customHeight="1">
      <c r="A10448" s="3">
        <v>104036</v>
      </c>
      <c r="B10448" s="4" t="s">
        <v>10472</v>
      </c>
      <c r="C10448" s="3" t="s">
        <v>6</v>
      </c>
      <c r="D10448" s="5">
        <f t="shared" si="326"/>
        <v>28.76</v>
      </c>
      <c r="E10448">
        <v>31.58</v>
      </c>
      <c r="F10448" s="1789">
        <v>8.8999999999999996E-2</v>
      </c>
      <c r="G10448">
        <f t="shared" si="327"/>
        <v>28.76</v>
      </c>
    </row>
    <row r="10449" spans="1:7" ht="12.75" customHeight="1">
      <c r="A10449" s="3">
        <v>104039</v>
      </c>
      <c r="B10449" s="4" t="s">
        <v>10473</v>
      </c>
      <c r="C10449" s="3" t="s">
        <v>6</v>
      </c>
      <c r="D10449" s="5">
        <f t="shared" si="326"/>
        <v>59.32</v>
      </c>
      <c r="E10449">
        <v>65.12</v>
      </c>
      <c r="F10449" s="1789">
        <v>8.8999999999999996E-2</v>
      </c>
      <c r="G10449">
        <f t="shared" si="327"/>
        <v>59.32</v>
      </c>
    </row>
    <row r="10450" spans="1:7" ht="12.75" customHeight="1">
      <c r="A10450" s="3">
        <v>104043</v>
      </c>
      <c r="B10450" s="4" t="s">
        <v>10474</v>
      </c>
      <c r="C10450" s="3" t="s">
        <v>6</v>
      </c>
      <c r="D10450" s="5">
        <f t="shared" si="326"/>
        <v>6.34</v>
      </c>
      <c r="E10450">
        <v>6.97</v>
      </c>
      <c r="F10450" s="1789">
        <v>8.8999999999999996E-2</v>
      </c>
      <c r="G10450">
        <f t="shared" si="327"/>
        <v>6.34</v>
      </c>
    </row>
    <row r="10451" spans="1:7" ht="12.75" customHeight="1">
      <c r="A10451" s="3">
        <v>104044</v>
      </c>
      <c r="B10451" s="4" t="s">
        <v>10475</v>
      </c>
      <c r="C10451" s="3" t="s">
        <v>6</v>
      </c>
      <c r="D10451" s="5">
        <f t="shared" si="326"/>
        <v>6.6</v>
      </c>
      <c r="E10451">
        <v>7.25</v>
      </c>
      <c r="F10451" s="1789">
        <v>8.8999999999999996E-2</v>
      </c>
      <c r="G10451">
        <f t="shared" si="327"/>
        <v>6.6</v>
      </c>
    </row>
    <row r="10452" spans="1:7" ht="12.75" customHeight="1">
      <c r="A10452" s="3">
        <v>104045</v>
      </c>
      <c r="B10452" s="4" t="s">
        <v>10476</v>
      </c>
      <c r="C10452" s="3" t="s">
        <v>6</v>
      </c>
      <c r="D10452" s="5">
        <f t="shared" si="326"/>
        <v>10.94</v>
      </c>
      <c r="E10452">
        <v>12.01</v>
      </c>
      <c r="F10452" s="1789">
        <v>8.8999999999999996E-2</v>
      </c>
      <c r="G10452">
        <f t="shared" si="327"/>
        <v>10.94</v>
      </c>
    </row>
    <row r="10453" spans="1:7" ht="12.75" customHeight="1">
      <c r="A10453" s="3">
        <v>104046</v>
      </c>
      <c r="B10453" s="4" t="s">
        <v>10477</v>
      </c>
      <c r="C10453" s="3" t="s">
        <v>6</v>
      </c>
      <c r="D10453" s="5">
        <f t="shared" ref="D10453:D10516" si="328">G10453</f>
        <v>6.01</v>
      </c>
      <c r="E10453">
        <v>6.6</v>
      </c>
      <c r="F10453" s="1789">
        <v>8.8999999999999996E-2</v>
      </c>
      <c r="G10453">
        <f t="shared" ref="G10453:G10516" si="329">TRUNC((1-F10453)*E10453,2)</f>
        <v>6.01</v>
      </c>
    </row>
    <row r="10454" spans="1:7" ht="12.75" customHeight="1">
      <c r="A10454" s="3">
        <v>104047</v>
      </c>
      <c r="B10454" s="4" t="s">
        <v>10478</v>
      </c>
      <c r="C10454" s="3" t="s">
        <v>6</v>
      </c>
      <c r="D10454" s="5">
        <f t="shared" si="328"/>
        <v>6.94</v>
      </c>
      <c r="E10454">
        <v>7.62</v>
      </c>
      <c r="F10454" s="1789">
        <v>8.8999999999999996E-2</v>
      </c>
      <c r="G10454">
        <f t="shared" si="329"/>
        <v>6.94</v>
      </c>
    </row>
    <row r="10455" spans="1:7" ht="12.75" customHeight="1">
      <c r="A10455" s="3">
        <v>104048</v>
      </c>
      <c r="B10455" s="4" t="s">
        <v>10479</v>
      </c>
      <c r="C10455" s="3" t="s">
        <v>6</v>
      </c>
      <c r="D10455" s="5">
        <f t="shared" si="328"/>
        <v>10.64</v>
      </c>
      <c r="E10455">
        <v>11.68</v>
      </c>
      <c r="F10455" s="1789">
        <v>8.8999999999999996E-2</v>
      </c>
      <c r="G10455">
        <f t="shared" si="329"/>
        <v>10.64</v>
      </c>
    </row>
    <row r="10456" spans="1:7" ht="12.75" customHeight="1">
      <c r="A10456" s="3">
        <v>104049</v>
      </c>
      <c r="B10456" s="4" t="s">
        <v>10480</v>
      </c>
      <c r="C10456" s="3" t="s">
        <v>6</v>
      </c>
      <c r="D10456" s="5">
        <f t="shared" si="328"/>
        <v>3.78</v>
      </c>
      <c r="E10456">
        <v>4.1500000000000004</v>
      </c>
      <c r="F10456" s="1789">
        <v>8.8999999999999996E-2</v>
      </c>
      <c r="G10456">
        <f t="shared" si="329"/>
        <v>3.78</v>
      </c>
    </row>
    <row r="10457" spans="1:7" ht="12.75" customHeight="1">
      <c r="A10457" s="3">
        <v>104050</v>
      </c>
      <c r="B10457" s="4" t="s">
        <v>10481</v>
      </c>
      <c r="C10457" s="3" t="s">
        <v>6</v>
      </c>
      <c r="D10457" s="5">
        <f t="shared" si="328"/>
        <v>5.79</v>
      </c>
      <c r="E10457">
        <v>6.36</v>
      </c>
      <c r="F10457" s="1789">
        <v>8.8999999999999996E-2</v>
      </c>
      <c r="G10457">
        <f t="shared" si="329"/>
        <v>5.79</v>
      </c>
    </row>
    <row r="10458" spans="1:7" ht="12.75" customHeight="1">
      <c r="A10458" s="3">
        <v>104051</v>
      </c>
      <c r="B10458" s="4" t="s">
        <v>10482</v>
      </c>
      <c r="C10458" s="3" t="s">
        <v>6</v>
      </c>
      <c r="D10458" s="5">
        <f t="shared" si="328"/>
        <v>5.6</v>
      </c>
      <c r="E10458">
        <v>6.15</v>
      </c>
      <c r="F10458" s="1789">
        <v>8.8999999999999996E-2</v>
      </c>
      <c r="G10458">
        <f t="shared" si="329"/>
        <v>5.6</v>
      </c>
    </row>
    <row r="10459" spans="1:7" ht="12.75" customHeight="1">
      <c r="A10459" s="3">
        <v>104052</v>
      </c>
      <c r="B10459" s="4" t="s">
        <v>10483</v>
      </c>
      <c r="C10459" s="3" t="s">
        <v>6</v>
      </c>
      <c r="D10459" s="5">
        <f t="shared" si="328"/>
        <v>7.88</v>
      </c>
      <c r="E10459">
        <v>8.66</v>
      </c>
      <c r="F10459" s="1789">
        <v>8.8999999999999996E-2</v>
      </c>
      <c r="G10459">
        <f t="shared" si="329"/>
        <v>7.88</v>
      </c>
    </row>
    <row r="10460" spans="1:7" ht="12.75" customHeight="1">
      <c r="A10460" s="3">
        <v>104053</v>
      </c>
      <c r="B10460" s="4" t="s">
        <v>10484</v>
      </c>
      <c r="C10460" s="3" t="s">
        <v>6</v>
      </c>
      <c r="D10460" s="5">
        <f t="shared" si="328"/>
        <v>6.7</v>
      </c>
      <c r="E10460">
        <v>7.36</v>
      </c>
      <c r="F10460" s="1789">
        <v>8.8999999999999996E-2</v>
      </c>
      <c r="G10460">
        <f t="shared" si="329"/>
        <v>6.7</v>
      </c>
    </row>
    <row r="10461" spans="1:7" ht="12.75" customHeight="1">
      <c r="A10461" s="3">
        <v>104054</v>
      </c>
      <c r="B10461" s="4" t="s">
        <v>10485</v>
      </c>
      <c r="C10461" s="3" t="s">
        <v>6</v>
      </c>
      <c r="D10461" s="5">
        <f t="shared" si="328"/>
        <v>13.94</v>
      </c>
      <c r="E10461">
        <v>15.31</v>
      </c>
      <c r="F10461" s="1789">
        <v>8.8999999999999996E-2</v>
      </c>
      <c r="G10461">
        <f t="shared" si="329"/>
        <v>13.94</v>
      </c>
    </row>
    <row r="10462" spans="1:7" ht="12.75" customHeight="1">
      <c r="A10462" s="3">
        <v>104055</v>
      </c>
      <c r="B10462" s="4" t="s">
        <v>10486</v>
      </c>
      <c r="C10462" s="3" t="s">
        <v>6</v>
      </c>
      <c r="D10462" s="5">
        <f t="shared" si="328"/>
        <v>10.92</v>
      </c>
      <c r="E10462">
        <v>11.99</v>
      </c>
      <c r="F10462" s="1789">
        <v>8.8999999999999996E-2</v>
      </c>
      <c r="G10462">
        <f t="shared" si="329"/>
        <v>10.92</v>
      </c>
    </row>
    <row r="10463" spans="1:7" ht="12.75" customHeight="1">
      <c r="A10463" s="3">
        <v>104056</v>
      </c>
      <c r="B10463" s="4" t="s">
        <v>10487</v>
      </c>
      <c r="C10463" s="3" t="s">
        <v>6</v>
      </c>
      <c r="D10463" s="5">
        <f t="shared" si="328"/>
        <v>16.579999999999998</v>
      </c>
      <c r="E10463">
        <v>18.2</v>
      </c>
      <c r="F10463" s="1789">
        <v>8.8999999999999996E-2</v>
      </c>
      <c r="G10463">
        <f t="shared" si="329"/>
        <v>16.579999999999998</v>
      </c>
    </row>
    <row r="10464" spans="1:7" ht="12.75" customHeight="1">
      <c r="A10464" s="3">
        <v>104058</v>
      </c>
      <c r="B10464" s="4" t="s">
        <v>10488</v>
      </c>
      <c r="C10464" s="3" t="s">
        <v>6</v>
      </c>
      <c r="D10464" s="5">
        <f t="shared" si="328"/>
        <v>5.4</v>
      </c>
      <c r="E10464">
        <v>5.93</v>
      </c>
      <c r="F10464" s="1789">
        <v>8.8999999999999996E-2</v>
      </c>
      <c r="G10464">
        <f t="shared" si="329"/>
        <v>5.4</v>
      </c>
    </row>
    <row r="10465" spans="1:7" ht="12.75" customHeight="1">
      <c r="A10465" s="3">
        <v>104059</v>
      </c>
      <c r="B10465" s="4" t="s">
        <v>10489</v>
      </c>
      <c r="C10465" s="3" t="s">
        <v>6</v>
      </c>
      <c r="D10465" s="5">
        <f t="shared" si="328"/>
        <v>7.31</v>
      </c>
      <c r="E10465">
        <v>8.0299999999999994</v>
      </c>
      <c r="F10465" s="1789">
        <v>8.8999999999999996E-2</v>
      </c>
      <c r="G10465">
        <f t="shared" si="329"/>
        <v>7.31</v>
      </c>
    </row>
    <row r="10466" spans="1:7" ht="12.75" customHeight="1">
      <c r="A10466" s="3">
        <v>104060</v>
      </c>
      <c r="B10466" s="4" t="s">
        <v>10490</v>
      </c>
      <c r="C10466" s="3" t="s">
        <v>50</v>
      </c>
      <c r="D10466" s="5">
        <f t="shared" si="328"/>
        <v>6.88</v>
      </c>
      <c r="E10466">
        <v>7.56</v>
      </c>
      <c r="F10466" s="1789">
        <v>8.8999999999999996E-2</v>
      </c>
      <c r="G10466">
        <f t="shared" si="329"/>
        <v>6.88</v>
      </c>
    </row>
    <row r="10467" spans="1:7" ht="12.75" customHeight="1">
      <c r="A10467" s="3">
        <v>104061</v>
      </c>
      <c r="B10467" s="4" t="s">
        <v>10491</v>
      </c>
      <c r="C10467" s="3" t="s">
        <v>50</v>
      </c>
      <c r="D10467" s="5">
        <f t="shared" si="328"/>
        <v>12.61</v>
      </c>
      <c r="E10467">
        <v>13.85</v>
      </c>
      <c r="F10467" s="1789">
        <v>8.8999999999999996E-2</v>
      </c>
      <c r="G10467">
        <f t="shared" si="329"/>
        <v>12.61</v>
      </c>
    </row>
    <row r="10468" spans="1:7" ht="12.75" customHeight="1">
      <c r="A10468" s="3">
        <v>104062</v>
      </c>
      <c r="B10468" s="4" t="s">
        <v>10492</v>
      </c>
      <c r="C10468" s="3" t="s">
        <v>6</v>
      </c>
      <c r="D10468" s="5">
        <f t="shared" si="328"/>
        <v>59.4</v>
      </c>
      <c r="E10468">
        <v>65.209999999999994</v>
      </c>
      <c r="F10468" s="1789">
        <v>8.8999999999999996E-2</v>
      </c>
      <c r="G10468">
        <f t="shared" si="329"/>
        <v>59.4</v>
      </c>
    </row>
    <row r="10469" spans="1:7" ht="12.75" customHeight="1">
      <c r="A10469" s="3">
        <v>104063</v>
      </c>
      <c r="B10469" s="4" t="s">
        <v>10493</v>
      </c>
      <c r="C10469" s="3" t="s">
        <v>6</v>
      </c>
      <c r="D10469" s="5">
        <f t="shared" si="328"/>
        <v>56.41</v>
      </c>
      <c r="E10469">
        <v>61.93</v>
      </c>
      <c r="F10469" s="1789">
        <v>8.8999999999999996E-2</v>
      </c>
      <c r="G10469">
        <f t="shared" si="329"/>
        <v>56.41</v>
      </c>
    </row>
    <row r="10470" spans="1:7" ht="12.75" customHeight="1">
      <c r="A10470" s="3">
        <v>104064</v>
      </c>
      <c r="B10470" s="4" t="s">
        <v>10494</v>
      </c>
      <c r="C10470" s="3" t="s">
        <v>6</v>
      </c>
      <c r="D10470" s="5">
        <f t="shared" si="328"/>
        <v>146.88999999999999</v>
      </c>
      <c r="E10470">
        <v>161.25</v>
      </c>
      <c r="F10470" s="1789">
        <v>8.8999999999999996E-2</v>
      </c>
      <c r="G10470">
        <f t="shared" si="329"/>
        <v>146.88999999999999</v>
      </c>
    </row>
    <row r="10471" spans="1:7" ht="12.75" customHeight="1">
      <c r="A10471" s="3">
        <v>104065</v>
      </c>
      <c r="B10471" s="4" t="s">
        <v>10495</v>
      </c>
      <c r="C10471" s="3" t="s">
        <v>6</v>
      </c>
      <c r="D10471" s="5">
        <f t="shared" si="328"/>
        <v>124.43</v>
      </c>
      <c r="E10471">
        <v>136.59</v>
      </c>
      <c r="F10471" s="1789">
        <v>8.8999999999999996E-2</v>
      </c>
      <c r="G10471">
        <f t="shared" si="329"/>
        <v>124.43</v>
      </c>
    </row>
    <row r="10472" spans="1:7" ht="12.75" customHeight="1">
      <c r="A10472" s="3">
        <v>104072</v>
      </c>
      <c r="B10472" s="4" t="s">
        <v>10496</v>
      </c>
      <c r="C10472" s="3" t="s">
        <v>6</v>
      </c>
      <c r="D10472" s="5">
        <f t="shared" si="328"/>
        <v>233.3</v>
      </c>
      <c r="E10472">
        <v>256.10000000000002</v>
      </c>
      <c r="F10472" s="1789">
        <v>8.8999999999999996E-2</v>
      </c>
      <c r="G10472">
        <f t="shared" si="329"/>
        <v>233.3</v>
      </c>
    </row>
    <row r="10473" spans="1:7" ht="12.75" customHeight="1">
      <c r="A10473" s="3">
        <v>104076</v>
      </c>
      <c r="B10473" s="4" t="s">
        <v>10497</v>
      </c>
      <c r="C10473" s="3" t="s">
        <v>6</v>
      </c>
      <c r="D10473" s="5">
        <f t="shared" si="328"/>
        <v>35.72</v>
      </c>
      <c r="E10473">
        <v>39.21</v>
      </c>
      <c r="F10473" s="1789">
        <v>8.8999999999999996E-2</v>
      </c>
      <c r="G10473">
        <f t="shared" si="329"/>
        <v>35.72</v>
      </c>
    </row>
    <row r="10474" spans="1:7" ht="12.75" customHeight="1">
      <c r="A10474" s="3">
        <v>104082</v>
      </c>
      <c r="B10474" s="4" t="s">
        <v>10498</v>
      </c>
      <c r="C10474" s="3" t="s">
        <v>6</v>
      </c>
      <c r="D10474" s="5">
        <f t="shared" si="328"/>
        <v>24.61</v>
      </c>
      <c r="E10474">
        <v>27.02</v>
      </c>
      <c r="F10474" s="1789">
        <v>8.8999999999999996E-2</v>
      </c>
      <c r="G10474">
        <f t="shared" si="329"/>
        <v>24.61</v>
      </c>
    </row>
    <row r="10475" spans="1:7" ht="12.75" customHeight="1">
      <c r="A10475" s="3">
        <v>104083</v>
      </c>
      <c r="B10475" s="4" t="s">
        <v>10499</v>
      </c>
      <c r="C10475" s="3" t="s">
        <v>6</v>
      </c>
      <c r="D10475" s="5">
        <f t="shared" si="328"/>
        <v>60.89</v>
      </c>
      <c r="E10475">
        <v>66.84</v>
      </c>
      <c r="F10475" s="1789">
        <v>8.8999999999999996E-2</v>
      </c>
      <c r="G10475">
        <f t="shared" si="329"/>
        <v>60.89</v>
      </c>
    </row>
    <row r="10476" spans="1:7" ht="12.75" customHeight="1">
      <c r="A10476" s="3">
        <v>104084</v>
      </c>
      <c r="B10476" s="4" t="s">
        <v>10500</v>
      </c>
      <c r="C10476" s="3" t="s">
        <v>6</v>
      </c>
      <c r="D10476" s="5">
        <f t="shared" si="328"/>
        <v>69.349999999999994</v>
      </c>
      <c r="E10476">
        <v>76.13</v>
      </c>
      <c r="F10476" s="1789">
        <v>8.8999999999999996E-2</v>
      </c>
      <c r="G10476">
        <f t="shared" si="329"/>
        <v>69.349999999999994</v>
      </c>
    </row>
    <row r="10477" spans="1:7" ht="12.75" customHeight="1">
      <c r="A10477" s="3">
        <v>104085</v>
      </c>
      <c r="B10477" s="4" t="s">
        <v>10501</v>
      </c>
      <c r="C10477" s="3" t="s">
        <v>50</v>
      </c>
      <c r="D10477" s="5">
        <f t="shared" si="328"/>
        <v>43.01</v>
      </c>
      <c r="E10477">
        <v>47.22</v>
      </c>
      <c r="F10477" s="1789">
        <v>8.8999999999999996E-2</v>
      </c>
      <c r="G10477">
        <f t="shared" si="329"/>
        <v>43.01</v>
      </c>
    </row>
    <row r="10478" spans="1:7" ht="12.75" customHeight="1">
      <c r="A10478" s="3">
        <v>104086</v>
      </c>
      <c r="B10478" s="4" t="s">
        <v>10502</v>
      </c>
      <c r="C10478" s="3" t="s">
        <v>50</v>
      </c>
      <c r="D10478" s="5">
        <f t="shared" si="328"/>
        <v>78.44</v>
      </c>
      <c r="E10478">
        <v>86.11</v>
      </c>
      <c r="F10478" s="1789">
        <v>8.8999999999999996E-2</v>
      </c>
      <c r="G10478">
        <f t="shared" si="329"/>
        <v>78.44</v>
      </c>
    </row>
    <row r="10479" spans="1:7" ht="12.75" customHeight="1">
      <c r="A10479" s="3">
        <v>104947</v>
      </c>
      <c r="B10479" s="4" t="s">
        <v>10503</v>
      </c>
      <c r="C10479" s="3" t="s">
        <v>152</v>
      </c>
      <c r="D10479" s="5">
        <f t="shared" si="328"/>
        <v>9.74</v>
      </c>
      <c r="E10479">
        <v>10.7</v>
      </c>
      <c r="F10479" s="1789">
        <v>8.8999999999999996E-2</v>
      </c>
      <c r="G10479">
        <f t="shared" si="329"/>
        <v>9.74</v>
      </c>
    </row>
    <row r="10480" spans="1:7" ht="12.75" customHeight="1">
      <c r="A10480" s="3">
        <v>104948</v>
      </c>
      <c r="B10480" s="4" t="s">
        <v>10504</v>
      </c>
      <c r="C10480" s="3" t="s">
        <v>152</v>
      </c>
      <c r="D10480" s="5">
        <f t="shared" si="328"/>
        <v>4.3899999999999997</v>
      </c>
      <c r="E10480">
        <v>4.82</v>
      </c>
      <c r="F10480" s="1789">
        <v>8.8999999999999996E-2</v>
      </c>
      <c r="G10480">
        <f t="shared" si="329"/>
        <v>4.3899999999999997</v>
      </c>
    </row>
    <row r="10481" spans="1:7" ht="12.75" customHeight="1">
      <c r="A10481" s="3">
        <v>96520</v>
      </c>
      <c r="B10481" s="4" t="s">
        <v>10505</v>
      </c>
      <c r="C10481" s="3" t="s">
        <v>152</v>
      </c>
      <c r="D10481" s="5">
        <f t="shared" si="328"/>
        <v>76.37</v>
      </c>
      <c r="E10481">
        <v>83.84</v>
      </c>
      <c r="F10481" s="1789">
        <v>8.8999999999999996E-2</v>
      </c>
      <c r="G10481">
        <f t="shared" si="329"/>
        <v>76.37</v>
      </c>
    </row>
    <row r="10482" spans="1:7" ht="12.75" customHeight="1">
      <c r="A10482" s="3">
        <v>96521</v>
      </c>
      <c r="B10482" s="4" t="s">
        <v>10506</v>
      </c>
      <c r="C10482" s="3" t="s">
        <v>152</v>
      </c>
      <c r="D10482" s="5">
        <f t="shared" si="328"/>
        <v>34.270000000000003</v>
      </c>
      <c r="E10482">
        <v>37.619999999999997</v>
      </c>
      <c r="F10482" s="1789">
        <v>8.8999999999999996E-2</v>
      </c>
      <c r="G10482">
        <f t="shared" si="329"/>
        <v>34.270000000000003</v>
      </c>
    </row>
    <row r="10483" spans="1:7" ht="12.75" customHeight="1">
      <c r="A10483" s="3">
        <v>96522</v>
      </c>
      <c r="B10483" s="4" t="s">
        <v>10507</v>
      </c>
      <c r="C10483" s="3" t="s">
        <v>152</v>
      </c>
      <c r="D10483" s="5">
        <f t="shared" si="328"/>
        <v>121.48</v>
      </c>
      <c r="E10483">
        <v>133.35</v>
      </c>
      <c r="F10483" s="1789">
        <v>8.8999999999999996E-2</v>
      </c>
      <c r="G10483">
        <f t="shared" si="329"/>
        <v>121.48</v>
      </c>
    </row>
    <row r="10484" spans="1:7" ht="12.75" customHeight="1">
      <c r="A10484" s="3">
        <v>96523</v>
      </c>
      <c r="B10484" s="4" t="s">
        <v>10508</v>
      </c>
      <c r="C10484" s="3" t="s">
        <v>152</v>
      </c>
      <c r="D10484" s="5">
        <f t="shared" si="328"/>
        <v>80.400000000000006</v>
      </c>
      <c r="E10484">
        <v>88.26</v>
      </c>
      <c r="F10484" s="1789">
        <v>8.8999999999999996E-2</v>
      </c>
      <c r="G10484">
        <f t="shared" si="329"/>
        <v>80.400000000000006</v>
      </c>
    </row>
    <row r="10485" spans="1:7" ht="12.75" customHeight="1">
      <c r="A10485" s="3">
        <v>96524</v>
      </c>
      <c r="B10485" s="4" t="s">
        <v>10509</v>
      </c>
      <c r="C10485" s="3" t="s">
        <v>152</v>
      </c>
      <c r="D10485" s="5">
        <f t="shared" si="328"/>
        <v>126.62</v>
      </c>
      <c r="E10485">
        <v>139</v>
      </c>
      <c r="F10485" s="1789">
        <v>8.8999999999999996E-2</v>
      </c>
      <c r="G10485">
        <f t="shared" si="329"/>
        <v>126.62</v>
      </c>
    </row>
    <row r="10486" spans="1:7" ht="12.75" customHeight="1">
      <c r="A10486" s="3">
        <v>96525</v>
      </c>
      <c r="B10486" s="4" t="s">
        <v>10510</v>
      </c>
      <c r="C10486" s="3" t="s">
        <v>152</v>
      </c>
      <c r="D10486" s="5">
        <f t="shared" si="328"/>
        <v>44.95</v>
      </c>
      <c r="E10486">
        <v>49.35</v>
      </c>
      <c r="F10486" s="1789">
        <v>8.8999999999999996E-2</v>
      </c>
      <c r="G10486">
        <f t="shared" si="329"/>
        <v>44.95</v>
      </c>
    </row>
    <row r="10487" spans="1:7" ht="12.75" customHeight="1">
      <c r="A10487" s="3">
        <v>96526</v>
      </c>
      <c r="B10487" s="4" t="s">
        <v>10511</v>
      </c>
      <c r="C10487" s="3" t="s">
        <v>152</v>
      </c>
      <c r="D10487" s="5">
        <f t="shared" si="328"/>
        <v>173.68</v>
      </c>
      <c r="E10487">
        <v>190.65</v>
      </c>
      <c r="F10487" s="1789">
        <v>8.8999999999999996E-2</v>
      </c>
      <c r="G10487">
        <f t="shared" si="329"/>
        <v>173.68</v>
      </c>
    </row>
    <row r="10488" spans="1:7" ht="12.75" customHeight="1">
      <c r="A10488" s="3">
        <v>96527</v>
      </c>
      <c r="B10488" s="4" t="s">
        <v>10512</v>
      </c>
      <c r="C10488" s="3" t="s">
        <v>152</v>
      </c>
      <c r="D10488" s="5">
        <f t="shared" si="328"/>
        <v>88.49</v>
      </c>
      <c r="E10488">
        <v>97.14</v>
      </c>
      <c r="F10488" s="1789">
        <v>8.8999999999999996E-2</v>
      </c>
      <c r="G10488">
        <f t="shared" si="329"/>
        <v>88.49</v>
      </c>
    </row>
    <row r="10489" spans="1:7" ht="12.75" customHeight="1">
      <c r="A10489" s="3">
        <v>96528</v>
      </c>
      <c r="B10489" s="4" t="s">
        <v>10513</v>
      </c>
      <c r="C10489" s="3" t="s">
        <v>409</v>
      </c>
      <c r="D10489" s="5">
        <f t="shared" si="328"/>
        <v>168.58</v>
      </c>
      <c r="E10489">
        <v>185.05</v>
      </c>
      <c r="F10489" s="1789">
        <v>8.8999999999999996E-2</v>
      </c>
      <c r="G10489">
        <f t="shared" si="329"/>
        <v>168.58</v>
      </c>
    </row>
    <row r="10490" spans="1:7" ht="12.75" customHeight="1">
      <c r="A10490" s="3">
        <v>101114</v>
      </c>
      <c r="B10490" s="4" t="s">
        <v>10514</v>
      </c>
      <c r="C10490" s="3" t="s">
        <v>152</v>
      </c>
      <c r="D10490" s="5">
        <f t="shared" si="328"/>
        <v>3.68</v>
      </c>
      <c r="E10490">
        <v>4.05</v>
      </c>
      <c r="F10490" s="1789">
        <v>8.8999999999999996E-2</v>
      </c>
      <c r="G10490">
        <f t="shared" si="329"/>
        <v>3.68</v>
      </c>
    </row>
    <row r="10491" spans="1:7" ht="12.75" customHeight="1">
      <c r="A10491" s="3">
        <v>101115</v>
      </c>
      <c r="B10491" s="4" t="s">
        <v>10515</v>
      </c>
      <c r="C10491" s="3" t="s">
        <v>152</v>
      </c>
      <c r="D10491" s="5">
        <f t="shared" si="328"/>
        <v>3.14</v>
      </c>
      <c r="E10491">
        <v>3.45</v>
      </c>
      <c r="F10491" s="1789">
        <v>8.8999999999999996E-2</v>
      </c>
      <c r="G10491">
        <f t="shared" si="329"/>
        <v>3.14</v>
      </c>
    </row>
    <row r="10492" spans="1:7" ht="12.75" customHeight="1">
      <c r="A10492" s="3">
        <v>101116</v>
      </c>
      <c r="B10492" s="4" t="s">
        <v>10516</v>
      </c>
      <c r="C10492" s="3" t="s">
        <v>152</v>
      </c>
      <c r="D10492" s="5">
        <f t="shared" si="328"/>
        <v>1.95</v>
      </c>
      <c r="E10492">
        <v>2.15</v>
      </c>
      <c r="F10492" s="1789">
        <v>8.8999999999999996E-2</v>
      </c>
      <c r="G10492">
        <f t="shared" si="329"/>
        <v>1.95</v>
      </c>
    </row>
    <row r="10493" spans="1:7" ht="12.75" customHeight="1">
      <c r="A10493" s="3">
        <v>101117</v>
      </c>
      <c r="B10493" s="4" t="s">
        <v>10517</v>
      </c>
      <c r="C10493" s="3" t="s">
        <v>152</v>
      </c>
      <c r="D10493" s="5">
        <f t="shared" si="328"/>
        <v>2.85</v>
      </c>
      <c r="E10493">
        <v>3.13</v>
      </c>
      <c r="F10493" s="1789">
        <v>8.8999999999999996E-2</v>
      </c>
      <c r="G10493">
        <f t="shared" si="329"/>
        <v>2.85</v>
      </c>
    </row>
    <row r="10494" spans="1:7" ht="12.75" customHeight="1">
      <c r="A10494" s="3">
        <v>101118</v>
      </c>
      <c r="B10494" s="4" t="s">
        <v>10518</v>
      </c>
      <c r="C10494" s="3" t="s">
        <v>152</v>
      </c>
      <c r="D10494" s="5">
        <f t="shared" si="328"/>
        <v>3.19</v>
      </c>
      <c r="E10494">
        <v>3.51</v>
      </c>
      <c r="F10494" s="1789">
        <v>8.8999999999999996E-2</v>
      </c>
      <c r="G10494">
        <f t="shared" si="329"/>
        <v>3.19</v>
      </c>
    </row>
    <row r="10495" spans="1:7" ht="12.75" customHeight="1">
      <c r="A10495" s="3">
        <v>101119</v>
      </c>
      <c r="B10495" s="4" t="s">
        <v>10519</v>
      </c>
      <c r="C10495" s="3" t="s">
        <v>152</v>
      </c>
      <c r="D10495" s="5">
        <f t="shared" si="328"/>
        <v>7.06</v>
      </c>
      <c r="E10495">
        <v>7.76</v>
      </c>
      <c r="F10495" s="1789">
        <v>8.8999999999999996E-2</v>
      </c>
      <c r="G10495">
        <f t="shared" si="329"/>
        <v>7.06</v>
      </c>
    </row>
    <row r="10496" spans="1:7" ht="12.75" customHeight="1">
      <c r="A10496" s="3">
        <v>101120</v>
      </c>
      <c r="B10496" s="4" t="s">
        <v>10520</v>
      </c>
      <c r="C10496" s="3" t="s">
        <v>152</v>
      </c>
      <c r="D10496" s="5">
        <f t="shared" si="328"/>
        <v>6.01</v>
      </c>
      <c r="E10496">
        <v>6.6</v>
      </c>
      <c r="F10496" s="1789">
        <v>8.8999999999999996E-2</v>
      </c>
      <c r="G10496">
        <f t="shared" si="329"/>
        <v>6.01</v>
      </c>
    </row>
    <row r="10497" spans="1:7" ht="12.75" customHeight="1">
      <c r="A10497" s="3">
        <v>101121</v>
      </c>
      <c r="B10497" s="4" t="s">
        <v>10521</v>
      </c>
      <c r="C10497" s="3" t="s">
        <v>152</v>
      </c>
      <c r="D10497" s="5">
        <f t="shared" si="328"/>
        <v>3.76</v>
      </c>
      <c r="E10497">
        <v>4.13</v>
      </c>
      <c r="F10497" s="1789">
        <v>8.8999999999999996E-2</v>
      </c>
      <c r="G10497">
        <f t="shared" si="329"/>
        <v>3.76</v>
      </c>
    </row>
    <row r="10498" spans="1:7" ht="12.75" customHeight="1">
      <c r="A10498" s="3">
        <v>101122</v>
      </c>
      <c r="B10498" s="4" t="s">
        <v>10522</v>
      </c>
      <c r="C10498" s="3" t="s">
        <v>152</v>
      </c>
      <c r="D10498" s="5">
        <f t="shared" si="328"/>
        <v>5.45</v>
      </c>
      <c r="E10498">
        <v>5.99</v>
      </c>
      <c r="F10498" s="1789">
        <v>8.8999999999999996E-2</v>
      </c>
      <c r="G10498">
        <f t="shared" si="329"/>
        <v>5.45</v>
      </c>
    </row>
    <row r="10499" spans="1:7" ht="12.75" customHeight="1">
      <c r="A10499" s="3">
        <v>101123</v>
      </c>
      <c r="B10499" s="4" t="s">
        <v>10523</v>
      </c>
      <c r="C10499" s="3" t="s">
        <v>152</v>
      </c>
      <c r="D10499" s="5">
        <f t="shared" si="328"/>
        <v>6.1</v>
      </c>
      <c r="E10499">
        <v>6.7</v>
      </c>
      <c r="F10499" s="1789">
        <v>8.8999999999999996E-2</v>
      </c>
      <c r="G10499">
        <f t="shared" si="329"/>
        <v>6.1</v>
      </c>
    </row>
    <row r="10500" spans="1:7" ht="12.75" customHeight="1">
      <c r="A10500" s="3">
        <v>101124</v>
      </c>
      <c r="B10500" s="4" t="s">
        <v>10524</v>
      </c>
      <c r="C10500" s="3" t="s">
        <v>152</v>
      </c>
      <c r="D10500" s="5">
        <f t="shared" si="328"/>
        <v>13.36</v>
      </c>
      <c r="E10500">
        <v>14.67</v>
      </c>
      <c r="F10500" s="1789">
        <v>8.8999999999999996E-2</v>
      </c>
      <c r="G10500">
        <f t="shared" si="329"/>
        <v>13.36</v>
      </c>
    </row>
    <row r="10501" spans="1:7" ht="12.75" customHeight="1">
      <c r="A10501" s="3">
        <v>101125</v>
      </c>
      <c r="B10501" s="4" t="s">
        <v>10525</v>
      </c>
      <c r="C10501" s="3" t="s">
        <v>152</v>
      </c>
      <c r="D10501" s="5">
        <f t="shared" si="328"/>
        <v>12.81</v>
      </c>
      <c r="E10501">
        <v>14.07</v>
      </c>
      <c r="F10501" s="1789">
        <v>8.8999999999999996E-2</v>
      </c>
      <c r="G10501">
        <f t="shared" si="329"/>
        <v>12.81</v>
      </c>
    </row>
    <row r="10502" spans="1:7" ht="12.75" customHeight="1">
      <c r="A10502" s="3">
        <v>101126</v>
      </c>
      <c r="B10502" s="4" t="s">
        <v>10526</v>
      </c>
      <c r="C10502" s="3" t="s">
        <v>152</v>
      </c>
      <c r="D10502" s="5">
        <f t="shared" si="328"/>
        <v>11.63</v>
      </c>
      <c r="E10502">
        <v>12.77</v>
      </c>
      <c r="F10502" s="1789">
        <v>8.8999999999999996E-2</v>
      </c>
      <c r="G10502">
        <f t="shared" si="329"/>
        <v>11.63</v>
      </c>
    </row>
    <row r="10503" spans="1:7" ht="12.75" customHeight="1">
      <c r="A10503" s="3">
        <v>101127</v>
      </c>
      <c r="B10503" s="4" t="s">
        <v>10527</v>
      </c>
      <c r="C10503" s="3" t="s">
        <v>152</v>
      </c>
      <c r="D10503" s="5">
        <f t="shared" si="328"/>
        <v>12.52</v>
      </c>
      <c r="E10503">
        <v>13.75</v>
      </c>
      <c r="F10503" s="1789">
        <v>8.8999999999999996E-2</v>
      </c>
      <c r="G10503">
        <f t="shared" si="329"/>
        <v>12.52</v>
      </c>
    </row>
    <row r="10504" spans="1:7" ht="12.75" customHeight="1">
      <c r="A10504" s="3">
        <v>101128</v>
      </c>
      <c r="B10504" s="4" t="s">
        <v>10528</v>
      </c>
      <c r="C10504" s="3" t="s">
        <v>152</v>
      </c>
      <c r="D10504" s="5">
        <f t="shared" si="328"/>
        <v>12.87</v>
      </c>
      <c r="E10504">
        <v>14.13</v>
      </c>
      <c r="F10504" s="1789">
        <v>8.8999999999999996E-2</v>
      </c>
      <c r="G10504">
        <f t="shared" si="329"/>
        <v>12.87</v>
      </c>
    </row>
    <row r="10505" spans="1:7" ht="12.75" customHeight="1">
      <c r="A10505" s="3">
        <v>101129</v>
      </c>
      <c r="B10505" s="4" t="s">
        <v>10529</v>
      </c>
      <c r="C10505" s="3" t="s">
        <v>152</v>
      </c>
      <c r="D10505" s="5">
        <f t="shared" si="328"/>
        <v>17.13</v>
      </c>
      <c r="E10505">
        <v>18.809999999999999</v>
      </c>
      <c r="F10505" s="1789">
        <v>8.8999999999999996E-2</v>
      </c>
      <c r="G10505">
        <f t="shared" si="329"/>
        <v>17.13</v>
      </c>
    </row>
    <row r="10506" spans="1:7" ht="12.75" customHeight="1">
      <c r="A10506" s="3">
        <v>101130</v>
      </c>
      <c r="B10506" s="4" t="s">
        <v>10530</v>
      </c>
      <c r="C10506" s="3" t="s">
        <v>152</v>
      </c>
      <c r="D10506" s="5">
        <f t="shared" si="328"/>
        <v>16.07</v>
      </c>
      <c r="E10506">
        <v>17.649999999999999</v>
      </c>
      <c r="F10506" s="1789">
        <v>8.8999999999999996E-2</v>
      </c>
      <c r="G10506">
        <f t="shared" si="329"/>
        <v>16.07</v>
      </c>
    </row>
    <row r="10507" spans="1:7" ht="12.75" customHeight="1">
      <c r="A10507" s="3">
        <v>101131</v>
      </c>
      <c r="B10507" s="4" t="s">
        <v>10531</v>
      </c>
      <c r="C10507" s="3" t="s">
        <v>152</v>
      </c>
      <c r="D10507" s="5">
        <f t="shared" si="328"/>
        <v>13.82</v>
      </c>
      <c r="E10507">
        <v>15.18</v>
      </c>
      <c r="F10507" s="1789">
        <v>8.8999999999999996E-2</v>
      </c>
      <c r="G10507">
        <f t="shared" si="329"/>
        <v>13.82</v>
      </c>
    </row>
    <row r="10508" spans="1:7" ht="12.75" customHeight="1">
      <c r="A10508" s="3">
        <v>101132</v>
      </c>
      <c r="B10508" s="4" t="s">
        <v>10532</v>
      </c>
      <c r="C10508" s="3" t="s">
        <v>152</v>
      </c>
      <c r="D10508" s="5">
        <f t="shared" si="328"/>
        <v>15.52</v>
      </c>
      <c r="E10508">
        <v>17.04</v>
      </c>
      <c r="F10508" s="1789">
        <v>8.8999999999999996E-2</v>
      </c>
      <c r="G10508">
        <f t="shared" si="329"/>
        <v>15.52</v>
      </c>
    </row>
    <row r="10509" spans="1:7" ht="12.75" customHeight="1">
      <c r="A10509" s="3">
        <v>101133</v>
      </c>
      <c r="B10509" s="4" t="s">
        <v>10533</v>
      </c>
      <c r="C10509" s="3" t="s">
        <v>152</v>
      </c>
      <c r="D10509" s="5">
        <f t="shared" si="328"/>
        <v>16.170000000000002</v>
      </c>
      <c r="E10509">
        <v>17.75</v>
      </c>
      <c r="F10509" s="1789">
        <v>8.8999999999999996E-2</v>
      </c>
      <c r="G10509">
        <f t="shared" si="329"/>
        <v>16.170000000000002</v>
      </c>
    </row>
    <row r="10510" spans="1:7" ht="12.75" customHeight="1">
      <c r="A10510" s="3">
        <v>101134</v>
      </c>
      <c r="B10510" s="4" t="s">
        <v>10534</v>
      </c>
      <c r="C10510" s="3" t="s">
        <v>152</v>
      </c>
      <c r="D10510" s="5">
        <f t="shared" si="328"/>
        <v>13.98</v>
      </c>
      <c r="E10510">
        <v>15.35</v>
      </c>
      <c r="F10510" s="1789">
        <v>8.8999999999999996E-2</v>
      </c>
      <c r="G10510">
        <f t="shared" si="329"/>
        <v>13.98</v>
      </c>
    </row>
    <row r="10511" spans="1:7" ht="12.75" customHeight="1">
      <c r="A10511" s="3">
        <v>101135</v>
      </c>
      <c r="B10511" s="4" t="s">
        <v>10535</v>
      </c>
      <c r="C10511" s="3" t="s">
        <v>152</v>
      </c>
      <c r="D10511" s="5">
        <f t="shared" si="328"/>
        <v>13.43</v>
      </c>
      <c r="E10511">
        <v>14.75</v>
      </c>
      <c r="F10511" s="1789">
        <v>8.8999999999999996E-2</v>
      </c>
      <c r="G10511">
        <f t="shared" si="329"/>
        <v>13.43</v>
      </c>
    </row>
    <row r="10512" spans="1:7" ht="12.75" customHeight="1">
      <c r="A10512" s="3">
        <v>101136</v>
      </c>
      <c r="B10512" s="4" t="s">
        <v>10536</v>
      </c>
      <c r="C10512" s="3" t="s">
        <v>152</v>
      </c>
      <c r="D10512" s="5">
        <f t="shared" si="328"/>
        <v>12.25</v>
      </c>
      <c r="E10512">
        <v>13.45</v>
      </c>
      <c r="F10512" s="1789">
        <v>8.8999999999999996E-2</v>
      </c>
      <c r="G10512">
        <f t="shared" si="329"/>
        <v>12.25</v>
      </c>
    </row>
    <row r="10513" spans="1:7" ht="12.75" customHeight="1">
      <c r="A10513" s="3">
        <v>101137</v>
      </c>
      <c r="B10513" s="4" t="s">
        <v>10537</v>
      </c>
      <c r="C10513" s="3" t="s">
        <v>152</v>
      </c>
      <c r="D10513" s="5">
        <f t="shared" si="328"/>
        <v>13.14</v>
      </c>
      <c r="E10513">
        <v>14.43</v>
      </c>
      <c r="F10513" s="1789">
        <v>8.8999999999999996E-2</v>
      </c>
      <c r="G10513">
        <f t="shared" si="329"/>
        <v>13.14</v>
      </c>
    </row>
    <row r="10514" spans="1:7" ht="12.75" customHeight="1">
      <c r="A10514" s="3">
        <v>101138</v>
      </c>
      <c r="B10514" s="4" t="s">
        <v>10538</v>
      </c>
      <c r="C10514" s="3" t="s">
        <v>152</v>
      </c>
      <c r="D10514" s="5">
        <f t="shared" si="328"/>
        <v>13.49</v>
      </c>
      <c r="E10514">
        <v>14.81</v>
      </c>
      <c r="F10514" s="1789">
        <v>8.8999999999999996E-2</v>
      </c>
      <c r="G10514">
        <f t="shared" si="329"/>
        <v>13.49</v>
      </c>
    </row>
    <row r="10515" spans="1:7" ht="12.75" customHeight="1">
      <c r="A10515" s="3">
        <v>101139</v>
      </c>
      <c r="B10515" s="4" t="s">
        <v>10539</v>
      </c>
      <c r="C10515" s="3" t="s">
        <v>152</v>
      </c>
      <c r="D10515" s="5">
        <f t="shared" si="328"/>
        <v>17.77</v>
      </c>
      <c r="E10515">
        <v>19.510000000000002</v>
      </c>
      <c r="F10515" s="1789">
        <v>8.8999999999999996E-2</v>
      </c>
      <c r="G10515">
        <f t="shared" si="329"/>
        <v>17.77</v>
      </c>
    </row>
    <row r="10516" spans="1:7" ht="12.75" customHeight="1">
      <c r="A10516" s="3">
        <v>101140</v>
      </c>
      <c r="B10516" s="4" t="s">
        <v>10540</v>
      </c>
      <c r="C10516" s="3" t="s">
        <v>152</v>
      </c>
      <c r="D10516" s="5">
        <f t="shared" si="328"/>
        <v>16.71</v>
      </c>
      <c r="E10516">
        <v>18.350000000000001</v>
      </c>
      <c r="F10516" s="1789">
        <v>8.8999999999999996E-2</v>
      </c>
      <c r="G10516">
        <f t="shared" si="329"/>
        <v>16.71</v>
      </c>
    </row>
    <row r="10517" spans="1:7" ht="12.75" customHeight="1">
      <c r="A10517" s="3">
        <v>101141</v>
      </c>
      <c r="B10517" s="4" t="s">
        <v>10541</v>
      </c>
      <c r="C10517" s="3" t="s">
        <v>152</v>
      </c>
      <c r="D10517" s="5">
        <f t="shared" ref="D10517:D10580" si="330">G10517</f>
        <v>14.46</v>
      </c>
      <c r="E10517">
        <v>15.88</v>
      </c>
      <c r="F10517" s="1789">
        <v>8.8999999999999996E-2</v>
      </c>
      <c r="G10517">
        <f t="shared" ref="G10517:G10580" si="331">TRUNC((1-F10517)*E10517,2)</f>
        <v>14.46</v>
      </c>
    </row>
    <row r="10518" spans="1:7" ht="12.75" customHeight="1">
      <c r="A10518" s="3">
        <v>101142</v>
      </c>
      <c r="B10518" s="4" t="s">
        <v>10542</v>
      </c>
      <c r="C10518" s="3" t="s">
        <v>152</v>
      </c>
      <c r="D10518" s="5">
        <f t="shared" si="330"/>
        <v>16.16</v>
      </c>
      <c r="E10518">
        <v>17.739999999999998</v>
      </c>
      <c r="F10518" s="1789">
        <v>8.8999999999999996E-2</v>
      </c>
      <c r="G10518">
        <f t="shared" si="331"/>
        <v>16.16</v>
      </c>
    </row>
    <row r="10519" spans="1:7" ht="12.75" customHeight="1">
      <c r="A10519" s="3">
        <v>101143</v>
      </c>
      <c r="B10519" s="4" t="s">
        <v>10543</v>
      </c>
      <c r="C10519" s="3" t="s">
        <v>152</v>
      </c>
      <c r="D10519" s="5">
        <f t="shared" si="330"/>
        <v>16.8</v>
      </c>
      <c r="E10519">
        <v>18.45</v>
      </c>
      <c r="F10519" s="1789">
        <v>8.8999999999999996E-2</v>
      </c>
      <c r="G10519">
        <f t="shared" si="331"/>
        <v>16.8</v>
      </c>
    </row>
    <row r="10520" spans="1:7" ht="12.75" customHeight="1">
      <c r="A10520" s="3">
        <v>101144</v>
      </c>
      <c r="B10520" s="4" t="s">
        <v>10544</v>
      </c>
      <c r="C10520" s="3" t="s">
        <v>152</v>
      </c>
      <c r="D10520" s="5">
        <f t="shared" si="330"/>
        <v>14.03</v>
      </c>
      <c r="E10520">
        <v>15.41</v>
      </c>
      <c r="F10520" s="1789">
        <v>8.8999999999999996E-2</v>
      </c>
      <c r="G10520">
        <f t="shared" si="331"/>
        <v>14.03</v>
      </c>
    </row>
    <row r="10521" spans="1:7" ht="12.75" customHeight="1">
      <c r="A10521" s="3">
        <v>101145</v>
      </c>
      <c r="B10521" s="4" t="s">
        <v>10545</v>
      </c>
      <c r="C10521" s="3" t="s">
        <v>152</v>
      </c>
      <c r="D10521" s="5">
        <f t="shared" si="330"/>
        <v>13.49</v>
      </c>
      <c r="E10521">
        <v>14.81</v>
      </c>
      <c r="F10521" s="1789">
        <v>8.8999999999999996E-2</v>
      </c>
      <c r="G10521">
        <f t="shared" si="331"/>
        <v>13.49</v>
      </c>
    </row>
    <row r="10522" spans="1:7" ht="12.75" customHeight="1">
      <c r="A10522" s="3">
        <v>101146</v>
      </c>
      <c r="B10522" s="4" t="s">
        <v>10546</v>
      </c>
      <c r="C10522" s="3" t="s">
        <v>152</v>
      </c>
      <c r="D10522" s="5">
        <f t="shared" si="330"/>
        <v>12.3</v>
      </c>
      <c r="E10522">
        <v>13.51</v>
      </c>
      <c r="F10522" s="1789">
        <v>8.8999999999999996E-2</v>
      </c>
      <c r="G10522">
        <f t="shared" si="331"/>
        <v>12.3</v>
      </c>
    </row>
    <row r="10523" spans="1:7" ht="12.75" customHeight="1">
      <c r="A10523" s="3">
        <v>101147</v>
      </c>
      <c r="B10523" s="4" t="s">
        <v>10547</v>
      </c>
      <c r="C10523" s="3" t="s">
        <v>152</v>
      </c>
      <c r="D10523" s="5">
        <f t="shared" si="330"/>
        <v>13.2</v>
      </c>
      <c r="E10523">
        <v>14.49</v>
      </c>
      <c r="F10523" s="1789">
        <v>8.8999999999999996E-2</v>
      </c>
      <c r="G10523">
        <f t="shared" si="331"/>
        <v>13.2</v>
      </c>
    </row>
    <row r="10524" spans="1:7" ht="12.75" customHeight="1">
      <c r="A10524" s="3">
        <v>101148</v>
      </c>
      <c r="B10524" s="4" t="s">
        <v>10548</v>
      </c>
      <c r="C10524" s="3" t="s">
        <v>152</v>
      </c>
      <c r="D10524" s="5">
        <f t="shared" si="330"/>
        <v>13.54</v>
      </c>
      <c r="E10524">
        <v>14.87</v>
      </c>
      <c r="F10524" s="1789">
        <v>8.8999999999999996E-2</v>
      </c>
      <c r="G10524">
        <f t="shared" si="331"/>
        <v>13.54</v>
      </c>
    </row>
    <row r="10525" spans="1:7" ht="12.75" customHeight="1">
      <c r="A10525" s="3">
        <v>101149</v>
      </c>
      <c r="B10525" s="4" t="s">
        <v>10549</v>
      </c>
      <c r="C10525" s="3" t="s">
        <v>152</v>
      </c>
      <c r="D10525" s="5">
        <f t="shared" si="330"/>
        <v>17.82</v>
      </c>
      <c r="E10525">
        <v>19.57</v>
      </c>
      <c r="F10525" s="1789">
        <v>8.8999999999999996E-2</v>
      </c>
      <c r="G10525">
        <f t="shared" si="331"/>
        <v>17.82</v>
      </c>
    </row>
    <row r="10526" spans="1:7" ht="12.75" customHeight="1">
      <c r="A10526" s="3">
        <v>101150</v>
      </c>
      <c r="B10526" s="4" t="s">
        <v>10550</v>
      </c>
      <c r="C10526" s="3" t="s">
        <v>152</v>
      </c>
      <c r="D10526" s="5">
        <f t="shared" si="330"/>
        <v>16.77</v>
      </c>
      <c r="E10526">
        <v>18.41</v>
      </c>
      <c r="F10526" s="1789">
        <v>8.8999999999999996E-2</v>
      </c>
      <c r="G10526">
        <f t="shared" si="331"/>
        <v>16.77</v>
      </c>
    </row>
    <row r="10527" spans="1:7" ht="12.75" customHeight="1">
      <c r="A10527" s="3">
        <v>101151</v>
      </c>
      <c r="B10527" s="4" t="s">
        <v>10551</v>
      </c>
      <c r="C10527" s="3" t="s">
        <v>152</v>
      </c>
      <c r="D10527" s="5">
        <f t="shared" si="330"/>
        <v>14.52</v>
      </c>
      <c r="E10527">
        <v>15.94</v>
      </c>
      <c r="F10527" s="1789">
        <v>8.8999999999999996E-2</v>
      </c>
      <c r="G10527">
        <f t="shared" si="331"/>
        <v>14.52</v>
      </c>
    </row>
    <row r="10528" spans="1:7" ht="12.75" customHeight="1">
      <c r="A10528" s="3">
        <v>101152</v>
      </c>
      <c r="B10528" s="4" t="s">
        <v>10552</v>
      </c>
      <c r="C10528" s="3" t="s">
        <v>152</v>
      </c>
      <c r="D10528" s="5">
        <f t="shared" si="330"/>
        <v>16.21</v>
      </c>
      <c r="E10528">
        <v>17.8</v>
      </c>
      <c r="F10528" s="1789">
        <v>8.8999999999999996E-2</v>
      </c>
      <c r="G10528">
        <f t="shared" si="331"/>
        <v>16.21</v>
      </c>
    </row>
    <row r="10529" spans="1:7" ht="12.75" customHeight="1">
      <c r="A10529" s="3">
        <v>101153</v>
      </c>
      <c r="B10529" s="4" t="s">
        <v>10553</v>
      </c>
      <c r="C10529" s="3" t="s">
        <v>152</v>
      </c>
      <c r="D10529" s="5">
        <f t="shared" si="330"/>
        <v>16.86</v>
      </c>
      <c r="E10529">
        <v>18.510000000000002</v>
      </c>
      <c r="F10529" s="1789">
        <v>8.8999999999999996E-2</v>
      </c>
      <c r="G10529">
        <f t="shared" si="331"/>
        <v>16.86</v>
      </c>
    </row>
    <row r="10530" spans="1:7" ht="12.75" customHeight="1">
      <c r="A10530" s="3">
        <v>101206</v>
      </c>
      <c r="B10530" s="4" t="s">
        <v>10554</v>
      </c>
      <c r="C10530" s="3" t="s">
        <v>152</v>
      </c>
      <c r="D10530" s="5">
        <f t="shared" si="330"/>
        <v>11.56</v>
      </c>
      <c r="E10530">
        <v>12.7</v>
      </c>
      <c r="F10530" s="1789">
        <v>8.8999999999999996E-2</v>
      </c>
      <c r="G10530">
        <f t="shared" si="331"/>
        <v>11.56</v>
      </c>
    </row>
    <row r="10531" spans="1:7" ht="12.75" customHeight="1">
      <c r="A10531" s="3">
        <v>101207</v>
      </c>
      <c r="B10531" s="4" t="s">
        <v>10555</v>
      </c>
      <c r="C10531" s="3" t="s">
        <v>152</v>
      </c>
      <c r="D10531" s="5">
        <f t="shared" si="330"/>
        <v>9.9499999999999993</v>
      </c>
      <c r="E10531">
        <v>10.93</v>
      </c>
      <c r="F10531" s="1789">
        <v>8.8999999999999996E-2</v>
      </c>
      <c r="G10531">
        <f t="shared" si="331"/>
        <v>9.9499999999999993</v>
      </c>
    </row>
    <row r="10532" spans="1:7" ht="12.75" customHeight="1">
      <c r="A10532" s="3">
        <v>101208</v>
      </c>
      <c r="B10532" s="4" t="s">
        <v>10556</v>
      </c>
      <c r="C10532" s="3" t="s">
        <v>152</v>
      </c>
      <c r="D10532" s="5">
        <f t="shared" si="330"/>
        <v>9.75</v>
      </c>
      <c r="E10532">
        <v>10.71</v>
      </c>
      <c r="F10532" s="1789">
        <v>8.8999999999999996E-2</v>
      </c>
      <c r="G10532">
        <f t="shared" si="331"/>
        <v>9.75</v>
      </c>
    </row>
    <row r="10533" spans="1:7" ht="12.75" customHeight="1">
      <c r="A10533" s="3">
        <v>101209</v>
      </c>
      <c r="B10533" s="4" t="s">
        <v>10557</v>
      </c>
      <c r="C10533" s="3" t="s">
        <v>152</v>
      </c>
      <c r="D10533" s="5">
        <f t="shared" si="330"/>
        <v>9.0500000000000007</v>
      </c>
      <c r="E10533">
        <v>9.94</v>
      </c>
      <c r="F10533" s="1789">
        <v>8.8999999999999996E-2</v>
      </c>
      <c r="G10533">
        <f t="shared" si="331"/>
        <v>9.0500000000000007</v>
      </c>
    </row>
    <row r="10534" spans="1:7" ht="12.75" customHeight="1">
      <c r="A10534" s="3">
        <v>101210</v>
      </c>
      <c r="B10534" s="4" t="s">
        <v>10558</v>
      </c>
      <c r="C10534" s="3" t="s">
        <v>152</v>
      </c>
      <c r="D10534" s="5">
        <f t="shared" si="330"/>
        <v>16.2</v>
      </c>
      <c r="E10534">
        <v>17.79</v>
      </c>
      <c r="F10534" s="1789">
        <v>8.8999999999999996E-2</v>
      </c>
      <c r="G10534">
        <f t="shared" si="331"/>
        <v>16.2</v>
      </c>
    </row>
    <row r="10535" spans="1:7" ht="12.75" customHeight="1">
      <c r="A10535" s="3">
        <v>101211</v>
      </c>
      <c r="B10535" s="4" t="s">
        <v>10559</v>
      </c>
      <c r="C10535" s="3" t="s">
        <v>152</v>
      </c>
      <c r="D10535" s="5">
        <f t="shared" si="330"/>
        <v>17.399999999999999</v>
      </c>
      <c r="E10535">
        <v>19.100000000000001</v>
      </c>
      <c r="F10535" s="1789">
        <v>8.8999999999999996E-2</v>
      </c>
      <c r="G10535">
        <f t="shared" si="331"/>
        <v>17.399999999999999</v>
      </c>
    </row>
    <row r="10536" spans="1:7" ht="12.75" customHeight="1">
      <c r="A10536" s="3">
        <v>101212</v>
      </c>
      <c r="B10536" s="4" t="s">
        <v>10560</v>
      </c>
      <c r="C10536" s="3" t="s">
        <v>152</v>
      </c>
      <c r="D10536" s="5">
        <f t="shared" si="330"/>
        <v>20.350000000000001</v>
      </c>
      <c r="E10536">
        <v>22.34</v>
      </c>
      <c r="F10536" s="1789">
        <v>8.8999999999999996E-2</v>
      </c>
      <c r="G10536">
        <f t="shared" si="331"/>
        <v>20.350000000000001</v>
      </c>
    </row>
    <row r="10537" spans="1:7" ht="12.75" customHeight="1">
      <c r="A10537" s="3">
        <v>101213</v>
      </c>
      <c r="B10537" s="4" t="s">
        <v>10561</v>
      </c>
      <c r="C10537" s="3" t="s">
        <v>152</v>
      </c>
      <c r="D10537" s="5">
        <f t="shared" si="330"/>
        <v>22.8</v>
      </c>
      <c r="E10537">
        <v>25.03</v>
      </c>
      <c r="F10537" s="1789">
        <v>8.8999999999999996E-2</v>
      </c>
      <c r="G10537">
        <f t="shared" si="331"/>
        <v>22.8</v>
      </c>
    </row>
    <row r="10538" spans="1:7" ht="12.75" customHeight="1">
      <c r="A10538" s="3">
        <v>101214</v>
      </c>
      <c r="B10538" s="4" t="s">
        <v>10562</v>
      </c>
      <c r="C10538" s="3" t="s">
        <v>152</v>
      </c>
      <c r="D10538" s="5">
        <f t="shared" si="330"/>
        <v>27.57</v>
      </c>
      <c r="E10538">
        <v>30.27</v>
      </c>
      <c r="F10538" s="1789">
        <v>8.8999999999999996E-2</v>
      </c>
      <c r="G10538">
        <f t="shared" si="331"/>
        <v>27.57</v>
      </c>
    </row>
    <row r="10539" spans="1:7" ht="12.75" customHeight="1">
      <c r="A10539" s="3">
        <v>101215</v>
      </c>
      <c r="B10539" s="4" t="s">
        <v>10563</v>
      </c>
      <c r="C10539" s="3" t="s">
        <v>152</v>
      </c>
      <c r="D10539" s="5">
        <f t="shared" si="330"/>
        <v>15.59</v>
      </c>
      <c r="E10539">
        <v>17.12</v>
      </c>
      <c r="F10539" s="1789">
        <v>8.8999999999999996E-2</v>
      </c>
      <c r="G10539">
        <f t="shared" si="331"/>
        <v>15.59</v>
      </c>
    </row>
    <row r="10540" spans="1:7" ht="12.75" customHeight="1">
      <c r="A10540" s="3">
        <v>101216</v>
      </c>
      <c r="B10540" s="4" t="s">
        <v>10564</v>
      </c>
      <c r="C10540" s="3" t="s">
        <v>152</v>
      </c>
      <c r="D10540" s="5">
        <f t="shared" si="330"/>
        <v>16.350000000000001</v>
      </c>
      <c r="E10540">
        <v>17.95</v>
      </c>
      <c r="F10540" s="1789">
        <v>8.8999999999999996E-2</v>
      </c>
      <c r="G10540">
        <f t="shared" si="331"/>
        <v>16.350000000000001</v>
      </c>
    </row>
    <row r="10541" spans="1:7" ht="12.75" customHeight="1">
      <c r="A10541" s="3">
        <v>101217</v>
      </c>
      <c r="B10541" s="4" t="s">
        <v>10565</v>
      </c>
      <c r="C10541" s="3" t="s">
        <v>152</v>
      </c>
      <c r="D10541" s="5">
        <f t="shared" si="330"/>
        <v>19.079999999999998</v>
      </c>
      <c r="E10541">
        <v>20.95</v>
      </c>
      <c r="F10541" s="1789">
        <v>8.8999999999999996E-2</v>
      </c>
      <c r="G10541">
        <f t="shared" si="331"/>
        <v>19.079999999999998</v>
      </c>
    </row>
    <row r="10542" spans="1:7" ht="12.75" customHeight="1">
      <c r="A10542" s="3">
        <v>101218</v>
      </c>
      <c r="B10542" s="4" t="s">
        <v>10566</v>
      </c>
      <c r="C10542" s="3" t="s">
        <v>152</v>
      </c>
      <c r="D10542" s="5">
        <f t="shared" si="330"/>
        <v>20.18</v>
      </c>
      <c r="E10542">
        <v>22.16</v>
      </c>
      <c r="F10542" s="1789">
        <v>8.8999999999999996E-2</v>
      </c>
      <c r="G10542">
        <f t="shared" si="331"/>
        <v>20.18</v>
      </c>
    </row>
    <row r="10543" spans="1:7" ht="12.75" customHeight="1">
      <c r="A10543" s="3">
        <v>101219</v>
      </c>
      <c r="B10543" s="4" t="s">
        <v>10567</v>
      </c>
      <c r="C10543" s="3" t="s">
        <v>152</v>
      </c>
      <c r="D10543" s="5">
        <f t="shared" si="330"/>
        <v>24.5</v>
      </c>
      <c r="E10543">
        <v>26.9</v>
      </c>
      <c r="F10543" s="1789">
        <v>8.8999999999999996E-2</v>
      </c>
      <c r="G10543">
        <f t="shared" si="331"/>
        <v>24.5</v>
      </c>
    </row>
    <row r="10544" spans="1:7" ht="12.75" customHeight="1">
      <c r="A10544" s="3">
        <v>101220</v>
      </c>
      <c r="B10544" s="4" t="s">
        <v>10568</v>
      </c>
      <c r="C10544" s="3" t="s">
        <v>152</v>
      </c>
      <c r="D10544" s="5">
        <f t="shared" si="330"/>
        <v>15.31</v>
      </c>
      <c r="E10544">
        <v>16.809999999999999</v>
      </c>
      <c r="F10544" s="1789">
        <v>8.8999999999999996E-2</v>
      </c>
      <c r="G10544">
        <f t="shared" si="331"/>
        <v>15.31</v>
      </c>
    </row>
    <row r="10545" spans="1:7" ht="12.75" customHeight="1">
      <c r="A10545" s="3">
        <v>101221</v>
      </c>
      <c r="B10545" s="4" t="s">
        <v>10569</v>
      </c>
      <c r="C10545" s="3" t="s">
        <v>152</v>
      </c>
      <c r="D10545" s="5">
        <f t="shared" si="330"/>
        <v>16.170000000000002</v>
      </c>
      <c r="E10545">
        <v>17.760000000000002</v>
      </c>
      <c r="F10545" s="1789">
        <v>8.8999999999999996E-2</v>
      </c>
      <c r="G10545">
        <f t="shared" si="331"/>
        <v>16.170000000000002</v>
      </c>
    </row>
    <row r="10546" spans="1:7" ht="12.75" customHeight="1">
      <c r="A10546" s="3">
        <v>101222</v>
      </c>
      <c r="B10546" s="4" t="s">
        <v>10570</v>
      </c>
      <c r="C10546" s="3" t="s">
        <v>152</v>
      </c>
      <c r="D10546" s="5">
        <f t="shared" si="330"/>
        <v>18.829999999999998</v>
      </c>
      <c r="E10546">
        <v>20.68</v>
      </c>
      <c r="F10546" s="1789">
        <v>8.8999999999999996E-2</v>
      </c>
      <c r="G10546">
        <f t="shared" si="331"/>
        <v>18.829999999999998</v>
      </c>
    </row>
    <row r="10547" spans="1:7" ht="12.75" customHeight="1">
      <c r="A10547" s="3">
        <v>101223</v>
      </c>
      <c r="B10547" s="4" t="s">
        <v>10571</v>
      </c>
      <c r="C10547" s="3" t="s">
        <v>152</v>
      </c>
      <c r="D10547" s="5">
        <f t="shared" si="330"/>
        <v>20.99</v>
      </c>
      <c r="E10547">
        <v>23.05</v>
      </c>
      <c r="F10547" s="1789">
        <v>8.8999999999999996E-2</v>
      </c>
      <c r="G10547">
        <f t="shared" si="331"/>
        <v>20.99</v>
      </c>
    </row>
    <row r="10548" spans="1:7" ht="12.75" customHeight="1">
      <c r="A10548" s="3">
        <v>101224</v>
      </c>
      <c r="B10548" s="4" t="s">
        <v>10572</v>
      </c>
      <c r="C10548" s="3" t="s">
        <v>152</v>
      </c>
      <c r="D10548" s="5">
        <f t="shared" si="330"/>
        <v>26.38</v>
      </c>
      <c r="E10548">
        <v>28.96</v>
      </c>
      <c r="F10548" s="1789">
        <v>8.8999999999999996E-2</v>
      </c>
      <c r="G10548">
        <f t="shared" si="331"/>
        <v>26.38</v>
      </c>
    </row>
    <row r="10549" spans="1:7" ht="12.75" customHeight="1">
      <c r="A10549" s="3">
        <v>101225</v>
      </c>
      <c r="B10549" s="4" t="s">
        <v>10573</v>
      </c>
      <c r="C10549" s="3" t="s">
        <v>152</v>
      </c>
      <c r="D10549" s="5">
        <f t="shared" si="330"/>
        <v>14.06</v>
      </c>
      <c r="E10549">
        <v>15.44</v>
      </c>
      <c r="F10549" s="1789">
        <v>8.8999999999999996E-2</v>
      </c>
      <c r="G10549">
        <f t="shared" si="331"/>
        <v>14.06</v>
      </c>
    </row>
    <row r="10550" spans="1:7" ht="12.75" customHeight="1">
      <c r="A10550" s="3">
        <v>101226</v>
      </c>
      <c r="B10550" s="4" t="s">
        <v>10574</v>
      </c>
      <c r="C10550" s="3" t="s">
        <v>152</v>
      </c>
      <c r="D10550" s="5">
        <f t="shared" si="330"/>
        <v>14.82</v>
      </c>
      <c r="E10550">
        <v>16.27</v>
      </c>
      <c r="F10550" s="1789">
        <v>8.8999999999999996E-2</v>
      </c>
      <c r="G10550">
        <f t="shared" si="331"/>
        <v>14.82</v>
      </c>
    </row>
    <row r="10551" spans="1:7" ht="12.75" customHeight="1">
      <c r="A10551" s="3">
        <v>101227</v>
      </c>
      <c r="B10551" s="4" t="s">
        <v>10575</v>
      </c>
      <c r="C10551" s="3" t="s">
        <v>152</v>
      </c>
      <c r="D10551" s="5">
        <f t="shared" si="330"/>
        <v>17.2</v>
      </c>
      <c r="E10551">
        <v>18.89</v>
      </c>
      <c r="F10551" s="1789">
        <v>8.8999999999999996E-2</v>
      </c>
      <c r="G10551">
        <f t="shared" si="331"/>
        <v>17.2</v>
      </c>
    </row>
    <row r="10552" spans="1:7" ht="12.75" customHeight="1">
      <c r="A10552" s="3">
        <v>101228</v>
      </c>
      <c r="B10552" s="4" t="s">
        <v>10576</v>
      </c>
      <c r="C10552" s="3" t="s">
        <v>152</v>
      </c>
      <c r="D10552" s="5">
        <f t="shared" si="330"/>
        <v>18.34</v>
      </c>
      <c r="E10552">
        <v>20.14</v>
      </c>
      <c r="F10552" s="1789">
        <v>8.8999999999999996E-2</v>
      </c>
      <c r="G10552">
        <f t="shared" si="331"/>
        <v>18.34</v>
      </c>
    </row>
    <row r="10553" spans="1:7" ht="12.75" customHeight="1">
      <c r="A10553" s="3">
        <v>101229</v>
      </c>
      <c r="B10553" s="4" t="s">
        <v>10577</v>
      </c>
      <c r="C10553" s="3" t="s">
        <v>152</v>
      </c>
      <c r="D10553" s="5">
        <f t="shared" si="330"/>
        <v>23.19</v>
      </c>
      <c r="E10553">
        <v>25.46</v>
      </c>
      <c r="F10553" s="1789">
        <v>8.8999999999999996E-2</v>
      </c>
      <c r="G10553">
        <f t="shared" si="331"/>
        <v>23.19</v>
      </c>
    </row>
    <row r="10554" spans="1:7" ht="12.75" customHeight="1">
      <c r="A10554" s="3">
        <v>101230</v>
      </c>
      <c r="B10554" s="4" t="s">
        <v>10578</v>
      </c>
      <c r="C10554" s="3" t="s">
        <v>152</v>
      </c>
      <c r="D10554" s="5">
        <f t="shared" si="330"/>
        <v>10.19</v>
      </c>
      <c r="E10554">
        <v>11.19</v>
      </c>
      <c r="F10554" s="1789">
        <v>8.8999999999999996E-2</v>
      </c>
      <c r="G10554">
        <f t="shared" si="331"/>
        <v>10.19</v>
      </c>
    </row>
    <row r="10555" spans="1:7" ht="12.75" customHeight="1">
      <c r="A10555" s="3">
        <v>101231</v>
      </c>
      <c r="B10555" s="4" t="s">
        <v>10579</v>
      </c>
      <c r="C10555" s="3" t="s">
        <v>152</v>
      </c>
      <c r="D10555" s="5">
        <f t="shared" si="330"/>
        <v>9.69</v>
      </c>
      <c r="E10555">
        <v>10.64</v>
      </c>
      <c r="F10555" s="1789">
        <v>8.8999999999999996E-2</v>
      </c>
      <c r="G10555">
        <f t="shared" si="331"/>
        <v>9.69</v>
      </c>
    </row>
    <row r="10556" spans="1:7" ht="12.75" customHeight="1">
      <c r="A10556" s="3">
        <v>101232</v>
      </c>
      <c r="B10556" s="4" t="s">
        <v>10580</v>
      </c>
      <c r="C10556" s="3" t="s">
        <v>152</v>
      </c>
      <c r="D10556" s="5">
        <f t="shared" si="330"/>
        <v>8.7100000000000009</v>
      </c>
      <c r="E10556">
        <v>9.57</v>
      </c>
      <c r="F10556" s="1789">
        <v>8.8999999999999996E-2</v>
      </c>
      <c r="G10556">
        <f t="shared" si="331"/>
        <v>8.7100000000000009</v>
      </c>
    </row>
    <row r="10557" spans="1:7" ht="12.75" customHeight="1">
      <c r="A10557" s="3">
        <v>101233</v>
      </c>
      <c r="B10557" s="4" t="s">
        <v>10581</v>
      </c>
      <c r="C10557" s="3" t="s">
        <v>152</v>
      </c>
      <c r="D10557" s="5">
        <f t="shared" si="330"/>
        <v>8.0399999999999991</v>
      </c>
      <c r="E10557">
        <v>8.83</v>
      </c>
      <c r="F10557" s="1789">
        <v>8.8999999999999996E-2</v>
      </c>
      <c r="G10557">
        <f t="shared" si="331"/>
        <v>8.0399999999999991</v>
      </c>
    </row>
    <row r="10558" spans="1:7" ht="12.75" customHeight="1">
      <c r="A10558" s="3">
        <v>101234</v>
      </c>
      <c r="B10558" s="4" t="s">
        <v>10582</v>
      </c>
      <c r="C10558" s="3" t="s">
        <v>152</v>
      </c>
      <c r="D10558" s="5">
        <f t="shared" si="330"/>
        <v>15.94</v>
      </c>
      <c r="E10558">
        <v>17.5</v>
      </c>
      <c r="F10558" s="1789">
        <v>8.8999999999999996E-2</v>
      </c>
      <c r="G10558">
        <f t="shared" si="331"/>
        <v>15.94</v>
      </c>
    </row>
    <row r="10559" spans="1:7" ht="12.75" customHeight="1">
      <c r="A10559" s="3">
        <v>101235</v>
      </c>
      <c r="B10559" s="4" t="s">
        <v>10583</v>
      </c>
      <c r="C10559" s="3" t="s">
        <v>152</v>
      </c>
      <c r="D10559" s="5">
        <f t="shared" si="330"/>
        <v>16.78</v>
      </c>
      <c r="E10559">
        <v>18.43</v>
      </c>
      <c r="F10559" s="1789">
        <v>8.8999999999999996E-2</v>
      </c>
      <c r="G10559">
        <f t="shared" si="331"/>
        <v>16.78</v>
      </c>
    </row>
    <row r="10560" spans="1:7" ht="12.75" customHeight="1">
      <c r="A10560" s="3">
        <v>101236</v>
      </c>
      <c r="B10560" s="4" t="s">
        <v>10584</v>
      </c>
      <c r="C10560" s="3" t="s">
        <v>152</v>
      </c>
      <c r="D10560" s="5">
        <f t="shared" si="330"/>
        <v>19.579999999999998</v>
      </c>
      <c r="E10560">
        <v>21.5</v>
      </c>
      <c r="F10560" s="1789">
        <v>8.8999999999999996E-2</v>
      </c>
      <c r="G10560">
        <f t="shared" si="331"/>
        <v>19.579999999999998</v>
      </c>
    </row>
    <row r="10561" spans="1:7" ht="12.75" customHeight="1">
      <c r="A10561" s="3">
        <v>101237</v>
      </c>
      <c r="B10561" s="4" t="s">
        <v>10585</v>
      </c>
      <c r="C10561" s="3" t="s">
        <v>152</v>
      </c>
      <c r="D10561" s="5">
        <f t="shared" si="330"/>
        <v>20.85</v>
      </c>
      <c r="E10561">
        <v>22.89</v>
      </c>
      <c r="F10561" s="1789">
        <v>8.8999999999999996E-2</v>
      </c>
      <c r="G10561">
        <f t="shared" si="331"/>
        <v>20.85</v>
      </c>
    </row>
    <row r="10562" spans="1:7" ht="12.75" customHeight="1">
      <c r="A10562" s="3">
        <v>101238</v>
      </c>
      <c r="B10562" s="4" t="s">
        <v>10586</v>
      </c>
      <c r="C10562" s="3" t="s">
        <v>152</v>
      </c>
      <c r="D10562" s="5">
        <f t="shared" si="330"/>
        <v>26.43</v>
      </c>
      <c r="E10562">
        <v>29.02</v>
      </c>
      <c r="F10562" s="1789">
        <v>8.8999999999999996E-2</v>
      </c>
      <c r="G10562">
        <f t="shared" si="331"/>
        <v>26.43</v>
      </c>
    </row>
    <row r="10563" spans="1:7" ht="12.75" customHeight="1">
      <c r="A10563" s="3">
        <v>101239</v>
      </c>
      <c r="B10563" s="4" t="s">
        <v>10587</v>
      </c>
      <c r="C10563" s="3" t="s">
        <v>152</v>
      </c>
      <c r="D10563" s="5">
        <f t="shared" si="330"/>
        <v>13.95</v>
      </c>
      <c r="E10563">
        <v>15.32</v>
      </c>
      <c r="F10563" s="1789">
        <v>8.8999999999999996E-2</v>
      </c>
      <c r="G10563">
        <f t="shared" si="331"/>
        <v>13.95</v>
      </c>
    </row>
    <row r="10564" spans="1:7" ht="12.75" customHeight="1">
      <c r="A10564" s="3">
        <v>101240</v>
      </c>
      <c r="B10564" s="4" t="s">
        <v>10588</v>
      </c>
      <c r="C10564" s="3" t="s">
        <v>152</v>
      </c>
      <c r="D10564" s="5">
        <f t="shared" si="330"/>
        <v>14.73</v>
      </c>
      <c r="E10564">
        <v>16.170000000000002</v>
      </c>
      <c r="F10564" s="1789">
        <v>8.8999999999999996E-2</v>
      </c>
      <c r="G10564">
        <f t="shared" si="331"/>
        <v>14.73</v>
      </c>
    </row>
    <row r="10565" spans="1:7" ht="12.75" customHeight="1">
      <c r="A10565" s="3">
        <v>101241</v>
      </c>
      <c r="B10565" s="4" t="s">
        <v>10589</v>
      </c>
      <c r="C10565" s="3" t="s">
        <v>152</v>
      </c>
      <c r="D10565" s="5">
        <f t="shared" si="330"/>
        <v>17.25</v>
      </c>
      <c r="E10565">
        <v>18.940000000000001</v>
      </c>
      <c r="F10565" s="1789">
        <v>8.8999999999999996E-2</v>
      </c>
      <c r="G10565">
        <f t="shared" si="331"/>
        <v>17.25</v>
      </c>
    </row>
    <row r="10566" spans="1:7" ht="12.75" customHeight="1">
      <c r="A10566" s="3">
        <v>101242</v>
      </c>
      <c r="B10566" s="4" t="s">
        <v>10590</v>
      </c>
      <c r="C10566" s="3" t="s">
        <v>152</v>
      </c>
      <c r="D10566" s="5">
        <f t="shared" si="330"/>
        <v>19.32</v>
      </c>
      <c r="E10566">
        <v>21.21</v>
      </c>
      <c r="F10566" s="1789">
        <v>8.8999999999999996E-2</v>
      </c>
      <c r="G10566">
        <f t="shared" si="331"/>
        <v>19.32</v>
      </c>
    </row>
    <row r="10567" spans="1:7" ht="12.75" customHeight="1">
      <c r="A10567" s="3">
        <v>101243</v>
      </c>
      <c r="B10567" s="4" t="s">
        <v>10591</v>
      </c>
      <c r="C10567" s="3" t="s">
        <v>152</v>
      </c>
      <c r="D10567" s="5">
        <f t="shared" si="330"/>
        <v>23.44</v>
      </c>
      <c r="E10567">
        <v>25.73</v>
      </c>
      <c r="F10567" s="1789">
        <v>8.8999999999999996E-2</v>
      </c>
      <c r="G10567">
        <f t="shared" si="331"/>
        <v>23.44</v>
      </c>
    </row>
    <row r="10568" spans="1:7" ht="12.75" customHeight="1">
      <c r="A10568" s="3">
        <v>101244</v>
      </c>
      <c r="B10568" s="4" t="s">
        <v>10592</v>
      </c>
      <c r="C10568" s="3" t="s">
        <v>152</v>
      </c>
      <c r="D10568" s="5">
        <f t="shared" si="330"/>
        <v>14.74</v>
      </c>
      <c r="E10568">
        <v>16.190000000000001</v>
      </c>
      <c r="F10568" s="1789">
        <v>8.8999999999999996E-2</v>
      </c>
      <c r="G10568">
        <f t="shared" si="331"/>
        <v>14.74</v>
      </c>
    </row>
    <row r="10569" spans="1:7" ht="12.75" customHeight="1">
      <c r="A10569" s="3">
        <v>101245</v>
      </c>
      <c r="B10569" s="4" t="s">
        <v>10593</v>
      </c>
      <c r="C10569" s="3" t="s">
        <v>152</v>
      </c>
      <c r="D10569" s="5">
        <f t="shared" si="330"/>
        <v>15.6</v>
      </c>
      <c r="E10569">
        <v>17.13</v>
      </c>
      <c r="F10569" s="1789">
        <v>8.8999999999999996E-2</v>
      </c>
      <c r="G10569">
        <f t="shared" si="331"/>
        <v>15.6</v>
      </c>
    </row>
    <row r="10570" spans="1:7" ht="12.75" customHeight="1">
      <c r="A10570" s="3">
        <v>101246</v>
      </c>
      <c r="B10570" s="4" t="s">
        <v>10594</v>
      </c>
      <c r="C10570" s="3" t="s">
        <v>152</v>
      </c>
      <c r="D10570" s="5">
        <f t="shared" si="330"/>
        <v>18.149999999999999</v>
      </c>
      <c r="E10570">
        <v>19.93</v>
      </c>
      <c r="F10570" s="1789">
        <v>8.8999999999999996E-2</v>
      </c>
      <c r="G10570">
        <f t="shared" si="331"/>
        <v>18.149999999999999</v>
      </c>
    </row>
    <row r="10571" spans="1:7" ht="12.75" customHeight="1">
      <c r="A10571" s="3">
        <v>101247</v>
      </c>
      <c r="B10571" s="4" t="s">
        <v>10595</v>
      </c>
      <c r="C10571" s="3" t="s">
        <v>152</v>
      </c>
      <c r="D10571" s="5">
        <f t="shared" si="330"/>
        <v>20.16</v>
      </c>
      <c r="E10571">
        <v>22.14</v>
      </c>
      <c r="F10571" s="1789">
        <v>8.8999999999999996E-2</v>
      </c>
      <c r="G10571">
        <f t="shared" si="331"/>
        <v>20.16</v>
      </c>
    </row>
    <row r="10572" spans="1:7" ht="12.75" customHeight="1">
      <c r="A10572" s="3">
        <v>101248</v>
      </c>
      <c r="B10572" s="4" t="s">
        <v>10596</v>
      </c>
      <c r="C10572" s="3" t="s">
        <v>152</v>
      </c>
      <c r="D10572" s="5">
        <f t="shared" si="330"/>
        <v>25.27</v>
      </c>
      <c r="E10572">
        <v>27.74</v>
      </c>
      <c r="F10572" s="1789">
        <v>8.8999999999999996E-2</v>
      </c>
      <c r="G10572">
        <f t="shared" si="331"/>
        <v>25.27</v>
      </c>
    </row>
    <row r="10573" spans="1:7" ht="12.75" customHeight="1">
      <c r="A10573" s="3">
        <v>101249</v>
      </c>
      <c r="B10573" s="4" t="s">
        <v>10597</v>
      </c>
      <c r="C10573" s="3" t="s">
        <v>152</v>
      </c>
      <c r="D10573" s="5">
        <f t="shared" si="330"/>
        <v>12.79</v>
      </c>
      <c r="E10573">
        <v>14.05</v>
      </c>
      <c r="F10573" s="1789">
        <v>8.8999999999999996E-2</v>
      </c>
      <c r="G10573">
        <f t="shared" si="331"/>
        <v>12.79</v>
      </c>
    </row>
    <row r="10574" spans="1:7" ht="12.75" customHeight="1">
      <c r="A10574" s="3">
        <v>101250</v>
      </c>
      <c r="B10574" s="4" t="s">
        <v>10598</v>
      </c>
      <c r="C10574" s="3" t="s">
        <v>152</v>
      </c>
      <c r="D10574" s="5">
        <f t="shared" si="330"/>
        <v>14.23</v>
      </c>
      <c r="E10574">
        <v>15.63</v>
      </c>
      <c r="F10574" s="1789">
        <v>8.8999999999999996E-2</v>
      </c>
      <c r="G10574">
        <f t="shared" si="331"/>
        <v>14.23</v>
      </c>
    </row>
    <row r="10575" spans="1:7" ht="12.75" customHeight="1">
      <c r="A10575" s="3">
        <v>101251</v>
      </c>
      <c r="B10575" s="4" t="s">
        <v>10599</v>
      </c>
      <c r="C10575" s="3" t="s">
        <v>152</v>
      </c>
      <c r="D10575" s="5">
        <f t="shared" si="330"/>
        <v>16.16</v>
      </c>
      <c r="E10575">
        <v>17.739999999999998</v>
      </c>
      <c r="F10575" s="1789">
        <v>8.8999999999999996E-2</v>
      </c>
      <c r="G10575">
        <f t="shared" si="331"/>
        <v>16.16</v>
      </c>
    </row>
    <row r="10576" spans="1:7" ht="12.75" customHeight="1">
      <c r="A10576" s="3">
        <v>101252</v>
      </c>
      <c r="B10576" s="4" t="s">
        <v>10600</v>
      </c>
      <c r="C10576" s="3" t="s">
        <v>152</v>
      </c>
      <c r="D10576" s="5">
        <f t="shared" si="330"/>
        <v>17.600000000000001</v>
      </c>
      <c r="E10576">
        <v>19.329999999999998</v>
      </c>
      <c r="F10576" s="1789">
        <v>8.8999999999999996E-2</v>
      </c>
      <c r="G10576">
        <f t="shared" si="331"/>
        <v>17.600000000000001</v>
      </c>
    </row>
    <row r="10577" spans="1:7" ht="12.75" customHeight="1">
      <c r="A10577" s="3">
        <v>101253</v>
      </c>
      <c r="B10577" s="4" t="s">
        <v>10601</v>
      </c>
      <c r="C10577" s="3" t="s">
        <v>152</v>
      </c>
      <c r="D10577" s="5">
        <f t="shared" si="330"/>
        <v>22.21</v>
      </c>
      <c r="E10577">
        <v>24.39</v>
      </c>
      <c r="F10577" s="1789">
        <v>8.8999999999999996E-2</v>
      </c>
      <c r="G10577">
        <f t="shared" si="331"/>
        <v>22.21</v>
      </c>
    </row>
    <row r="10578" spans="1:7" ht="12.75" customHeight="1">
      <c r="A10578" s="3">
        <v>101254</v>
      </c>
      <c r="B10578" s="4" t="s">
        <v>10602</v>
      </c>
      <c r="C10578" s="3" t="s">
        <v>152</v>
      </c>
      <c r="D10578" s="5">
        <f t="shared" si="330"/>
        <v>11.68</v>
      </c>
      <c r="E10578">
        <v>12.83</v>
      </c>
      <c r="F10578" s="1789">
        <v>8.8999999999999996E-2</v>
      </c>
      <c r="G10578">
        <f t="shared" si="331"/>
        <v>11.68</v>
      </c>
    </row>
    <row r="10579" spans="1:7" ht="12.75" customHeight="1">
      <c r="A10579" s="3">
        <v>101255</v>
      </c>
      <c r="B10579" s="4" t="s">
        <v>10603</v>
      </c>
      <c r="C10579" s="3" t="s">
        <v>152</v>
      </c>
      <c r="D10579" s="5">
        <f t="shared" si="330"/>
        <v>10.31</v>
      </c>
      <c r="E10579">
        <v>11.32</v>
      </c>
      <c r="F10579" s="1789">
        <v>8.8999999999999996E-2</v>
      </c>
      <c r="G10579">
        <f t="shared" si="331"/>
        <v>10.31</v>
      </c>
    </row>
    <row r="10580" spans="1:7" ht="12.75" customHeight="1">
      <c r="A10580" s="3">
        <v>101256</v>
      </c>
      <c r="B10580" s="4" t="s">
        <v>10604</v>
      </c>
      <c r="C10580" s="3" t="s">
        <v>152</v>
      </c>
      <c r="D10580" s="5">
        <f t="shared" si="330"/>
        <v>18.14</v>
      </c>
      <c r="E10580">
        <v>19.920000000000002</v>
      </c>
      <c r="F10580" s="1789">
        <v>8.8999999999999996E-2</v>
      </c>
      <c r="G10580">
        <f t="shared" si="331"/>
        <v>18.14</v>
      </c>
    </row>
    <row r="10581" spans="1:7" ht="12.75" customHeight="1">
      <c r="A10581" s="3">
        <v>101257</v>
      </c>
      <c r="B10581" s="4" t="s">
        <v>10605</v>
      </c>
      <c r="C10581" s="3" t="s">
        <v>152</v>
      </c>
      <c r="D10581" s="5">
        <f t="shared" ref="D10581:D10644" si="332">G10581</f>
        <v>19.12</v>
      </c>
      <c r="E10581">
        <v>20.99</v>
      </c>
      <c r="F10581" s="1789">
        <v>8.8999999999999996E-2</v>
      </c>
      <c r="G10581">
        <f t="shared" ref="G10581:G10644" si="333">TRUNC((1-F10581)*E10581,2)</f>
        <v>19.12</v>
      </c>
    </row>
    <row r="10582" spans="1:7" ht="12.75" customHeight="1">
      <c r="A10582" s="3">
        <v>101258</v>
      </c>
      <c r="B10582" s="4" t="s">
        <v>10606</v>
      </c>
      <c r="C10582" s="3" t="s">
        <v>152</v>
      </c>
      <c r="D10582" s="5">
        <f t="shared" si="332"/>
        <v>22.21</v>
      </c>
      <c r="E10582">
        <v>24.39</v>
      </c>
      <c r="F10582" s="1789">
        <v>8.8999999999999996E-2</v>
      </c>
      <c r="G10582">
        <f t="shared" si="333"/>
        <v>22.21</v>
      </c>
    </row>
    <row r="10583" spans="1:7" ht="12.75" customHeight="1">
      <c r="A10583" s="3">
        <v>101259</v>
      </c>
      <c r="B10583" s="4" t="s">
        <v>10607</v>
      </c>
      <c r="C10583" s="3" t="s">
        <v>152</v>
      </c>
      <c r="D10583" s="5">
        <f t="shared" si="332"/>
        <v>24.71</v>
      </c>
      <c r="E10583">
        <v>27.13</v>
      </c>
      <c r="F10583" s="1789">
        <v>8.8999999999999996E-2</v>
      </c>
      <c r="G10583">
        <f t="shared" si="333"/>
        <v>24.71</v>
      </c>
    </row>
    <row r="10584" spans="1:7" ht="12.75" customHeight="1">
      <c r="A10584" s="3">
        <v>101260</v>
      </c>
      <c r="B10584" s="4" t="s">
        <v>10608</v>
      </c>
      <c r="C10584" s="3" t="s">
        <v>152</v>
      </c>
      <c r="D10584" s="5">
        <f t="shared" si="332"/>
        <v>30.94</v>
      </c>
      <c r="E10584">
        <v>33.97</v>
      </c>
      <c r="F10584" s="1789">
        <v>8.8999999999999996E-2</v>
      </c>
      <c r="G10584">
        <f t="shared" si="333"/>
        <v>30.94</v>
      </c>
    </row>
    <row r="10585" spans="1:7" ht="12.75" customHeight="1">
      <c r="A10585" s="3">
        <v>101261</v>
      </c>
      <c r="B10585" s="4" t="s">
        <v>10609</v>
      </c>
      <c r="C10585" s="3" t="s">
        <v>152</v>
      </c>
      <c r="D10585" s="5">
        <f t="shared" si="332"/>
        <v>17.18</v>
      </c>
      <c r="E10585">
        <v>18.86</v>
      </c>
      <c r="F10585" s="1789">
        <v>8.8999999999999996E-2</v>
      </c>
      <c r="G10585">
        <f t="shared" si="333"/>
        <v>17.18</v>
      </c>
    </row>
    <row r="10586" spans="1:7" ht="12.75" customHeight="1">
      <c r="A10586" s="3">
        <v>101262</v>
      </c>
      <c r="B10586" s="4" t="s">
        <v>10610</v>
      </c>
      <c r="C10586" s="3" t="s">
        <v>152</v>
      </c>
      <c r="D10586" s="5">
        <f t="shared" si="332"/>
        <v>18.14</v>
      </c>
      <c r="E10586">
        <v>19.920000000000002</v>
      </c>
      <c r="F10586" s="1789">
        <v>8.8999999999999996E-2</v>
      </c>
      <c r="G10586">
        <f t="shared" si="333"/>
        <v>18.14</v>
      </c>
    </row>
    <row r="10587" spans="1:7" ht="12.75" customHeight="1">
      <c r="A10587" s="3">
        <v>101263</v>
      </c>
      <c r="B10587" s="4" t="s">
        <v>10611</v>
      </c>
      <c r="C10587" s="3" t="s">
        <v>152</v>
      </c>
      <c r="D10587" s="5">
        <f t="shared" si="332"/>
        <v>21</v>
      </c>
      <c r="E10587">
        <v>23.06</v>
      </c>
      <c r="F10587" s="1789">
        <v>8.8999999999999996E-2</v>
      </c>
      <c r="G10587">
        <f t="shared" si="333"/>
        <v>21</v>
      </c>
    </row>
    <row r="10588" spans="1:7" ht="12.75" customHeight="1">
      <c r="A10588" s="3">
        <v>101264</v>
      </c>
      <c r="B10588" s="4" t="s">
        <v>10612</v>
      </c>
      <c r="C10588" s="3" t="s">
        <v>152</v>
      </c>
      <c r="D10588" s="5">
        <f t="shared" si="332"/>
        <v>23.31</v>
      </c>
      <c r="E10588">
        <v>25.59</v>
      </c>
      <c r="F10588" s="1789">
        <v>8.8999999999999996E-2</v>
      </c>
      <c r="G10588">
        <f t="shared" si="333"/>
        <v>23.31</v>
      </c>
    </row>
    <row r="10589" spans="1:7" ht="12.75" customHeight="1">
      <c r="A10589" s="3">
        <v>101265</v>
      </c>
      <c r="B10589" s="4" t="s">
        <v>10613</v>
      </c>
      <c r="C10589" s="3" t="s">
        <v>152</v>
      </c>
      <c r="D10589" s="5">
        <f t="shared" si="332"/>
        <v>29.07</v>
      </c>
      <c r="E10589">
        <v>31.92</v>
      </c>
      <c r="F10589" s="1789">
        <v>8.8999999999999996E-2</v>
      </c>
      <c r="G10589">
        <f t="shared" si="333"/>
        <v>29.07</v>
      </c>
    </row>
    <row r="10590" spans="1:7" ht="12.75" customHeight="1">
      <c r="A10590" s="3">
        <v>101266</v>
      </c>
      <c r="B10590" s="4" t="s">
        <v>10614</v>
      </c>
      <c r="C10590" s="3" t="s">
        <v>152</v>
      </c>
      <c r="D10590" s="5">
        <f t="shared" si="332"/>
        <v>10.39</v>
      </c>
      <c r="E10590">
        <v>11.41</v>
      </c>
      <c r="F10590" s="1789">
        <v>8.8999999999999996E-2</v>
      </c>
      <c r="G10590">
        <f t="shared" si="333"/>
        <v>10.39</v>
      </c>
    </row>
    <row r="10591" spans="1:7" ht="12.75" customHeight="1">
      <c r="A10591" s="3">
        <v>101267</v>
      </c>
      <c r="B10591" s="4" t="s">
        <v>10615</v>
      </c>
      <c r="C10591" s="3" t="s">
        <v>152</v>
      </c>
      <c r="D10591" s="5">
        <f t="shared" si="332"/>
        <v>10.02</v>
      </c>
      <c r="E10591">
        <v>11</v>
      </c>
      <c r="F10591" s="1789">
        <v>8.8999999999999996E-2</v>
      </c>
      <c r="G10591">
        <f t="shared" si="333"/>
        <v>10.02</v>
      </c>
    </row>
    <row r="10592" spans="1:7" ht="12.75" customHeight="1">
      <c r="A10592" s="3">
        <v>101268</v>
      </c>
      <c r="B10592" s="4" t="s">
        <v>10616</v>
      </c>
      <c r="C10592" s="3" t="s">
        <v>152</v>
      </c>
      <c r="D10592" s="5">
        <f t="shared" si="332"/>
        <v>16.48</v>
      </c>
      <c r="E10592">
        <v>18.100000000000001</v>
      </c>
      <c r="F10592" s="1789">
        <v>8.8999999999999996E-2</v>
      </c>
      <c r="G10592">
        <f t="shared" si="333"/>
        <v>16.48</v>
      </c>
    </row>
    <row r="10593" spans="1:7" ht="12.75" customHeight="1">
      <c r="A10593" s="3">
        <v>101269</v>
      </c>
      <c r="B10593" s="4" t="s">
        <v>10617</v>
      </c>
      <c r="C10593" s="3" t="s">
        <v>152</v>
      </c>
      <c r="D10593" s="5">
        <f t="shared" si="332"/>
        <v>18.39</v>
      </c>
      <c r="E10593">
        <v>20.190000000000001</v>
      </c>
      <c r="F10593" s="1789">
        <v>8.8999999999999996E-2</v>
      </c>
      <c r="G10593">
        <f t="shared" si="333"/>
        <v>18.39</v>
      </c>
    </row>
    <row r="10594" spans="1:7" ht="12.75" customHeight="1">
      <c r="A10594" s="3">
        <v>101270</v>
      </c>
      <c r="B10594" s="4" t="s">
        <v>10618</v>
      </c>
      <c r="C10594" s="3" t="s">
        <v>152</v>
      </c>
      <c r="D10594" s="5">
        <f t="shared" si="332"/>
        <v>21.32</v>
      </c>
      <c r="E10594">
        <v>23.41</v>
      </c>
      <c r="F10594" s="1789">
        <v>8.8999999999999996E-2</v>
      </c>
      <c r="G10594">
        <f t="shared" si="333"/>
        <v>21.32</v>
      </c>
    </row>
    <row r="10595" spans="1:7" ht="12.75" customHeight="1">
      <c r="A10595" s="3">
        <v>101271</v>
      </c>
      <c r="B10595" s="4" t="s">
        <v>10619</v>
      </c>
      <c r="C10595" s="3" t="s">
        <v>152</v>
      </c>
      <c r="D10595" s="5">
        <f t="shared" si="332"/>
        <v>23.66</v>
      </c>
      <c r="E10595">
        <v>25.98</v>
      </c>
      <c r="F10595" s="1789">
        <v>8.8999999999999996E-2</v>
      </c>
      <c r="G10595">
        <f t="shared" si="333"/>
        <v>23.66</v>
      </c>
    </row>
    <row r="10596" spans="1:7" ht="12.75" customHeight="1">
      <c r="A10596" s="3">
        <v>101272</v>
      </c>
      <c r="B10596" s="4" t="s">
        <v>10620</v>
      </c>
      <c r="C10596" s="3" t="s">
        <v>152</v>
      </c>
      <c r="D10596" s="5">
        <f t="shared" si="332"/>
        <v>29.57</v>
      </c>
      <c r="E10596">
        <v>32.46</v>
      </c>
      <c r="F10596" s="1789">
        <v>8.8999999999999996E-2</v>
      </c>
      <c r="G10596">
        <f t="shared" si="333"/>
        <v>29.57</v>
      </c>
    </row>
    <row r="10597" spans="1:7" ht="12.75" customHeight="1">
      <c r="A10597" s="3">
        <v>101273</v>
      </c>
      <c r="B10597" s="4" t="s">
        <v>10621</v>
      </c>
      <c r="C10597" s="3" t="s">
        <v>152</v>
      </c>
      <c r="D10597" s="5">
        <f t="shared" si="332"/>
        <v>15.76</v>
      </c>
      <c r="E10597">
        <v>17.3</v>
      </c>
      <c r="F10597" s="1789">
        <v>8.8999999999999996E-2</v>
      </c>
      <c r="G10597">
        <f t="shared" si="333"/>
        <v>15.76</v>
      </c>
    </row>
    <row r="10598" spans="1:7" ht="12.75" customHeight="1">
      <c r="A10598" s="3">
        <v>101274</v>
      </c>
      <c r="B10598" s="4" t="s">
        <v>10622</v>
      </c>
      <c r="C10598" s="3" t="s">
        <v>152</v>
      </c>
      <c r="D10598" s="5">
        <f t="shared" si="332"/>
        <v>17.440000000000001</v>
      </c>
      <c r="E10598">
        <v>19.149999999999999</v>
      </c>
      <c r="F10598" s="1789">
        <v>8.8999999999999996E-2</v>
      </c>
      <c r="G10598">
        <f t="shared" si="333"/>
        <v>17.440000000000001</v>
      </c>
    </row>
    <row r="10599" spans="1:7" ht="12.75" customHeight="1">
      <c r="A10599" s="3">
        <v>101275</v>
      </c>
      <c r="B10599" s="4" t="s">
        <v>10623</v>
      </c>
      <c r="C10599" s="3" t="s">
        <v>152</v>
      </c>
      <c r="D10599" s="5">
        <f t="shared" si="332"/>
        <v>20.22</v>
      </c>
      <c r="E10599">
        <v>22.2</v>
      </c>
      <c r="F10599" s="1789">
        <v>8.8999999999999996E-2</v>
      </c>
      <c r="G10599">
        <f t="shared" si="333"/>
        <v>20.22</v>
      </c>
    </row>
    <row r="10600" spans="1:7" ht="12.75" customHeight="1">
      <c r="A10600" s="3">
        <v>101276</v>
      </c>
      <c r="B10600" s="4" t="s">
        <v>10624</v>
      </c>
      <c r="C10600" s="3" t="s">
        <v>152</v>
      </c>
      <c r="D10600" s="5">
        <f t="shared" si="332"/>
        <v>22.36</v>
      </c>
      <c r="E10600">
        <v>24.55</v>
      </c>
      <c r="F10600" s="1789">
        <v>8.8999999999999996E-2</v>
      </c>
      <c r="G10600">
        <f t="shared" si="333"/>
        <v>22.36</v>
      </c>
    </row>
    <row r="10601" spans="1:7" ht="12.75" customHeight="1">
      <c r="A10601" s="3">
        <v>101277</v>
      </c>
      <c r="B10601" s="4" t="s">
        <v>10625</v>
      </c>
      <c r="C10601" s="3" t="s">
        <v>152</v>
      </c>
      <c r="D10601" s="5">
        <f t="shared" si="332"/>
        <v>28.63</v>
      </c>
      <c r="E10601">
        <v>31.43</v>
      </c>
      <c r="F10601" s="1789">
        <v>8.8999999999999996E-2</v>
      </c>
      <c r="G10601">
        <f t="shared" si="333"/>
        <v>28.63</v>
      </c>
    </row>
    <row r="10602" spans="1:7" ht="12.75" customHeight="1">
      <c r="A10602" s="3">
        <v>102354</v>
      </c>
      <c r="B10602" s="4" t="s">
        <v>10626</v>
      </c>
      <c r="C10602" s="3" t="s">
        <v>152</v>
      </c>
      <c r="D10602" s="5">
        <f t="shared" si="332"/>
        <v>133</v>
      </c>
      <c r="E10602">
        <v>146</v>
      </c>
      <c r="F10602" s="1789">
        <v>8.8999999999999996E-2</v>
      </c>
      <c r="G10602">
        <f t="shared" si="333"/>
        <v>133</v>
      </c>
    </row>
    <row r="10603" spans="1:7" ht="12.75" customHeight="1">
      <c r="A10603" s="3">
        <v>102355</v>
      </c>
      <c r="B10603" s="4" t="s">
        <v>10627</v>
      </c>
      <c r="C10603" s="3" t="s">
        <v>152</v>
      </c>
      <c r="D10603" s="5">
        <f t="shared" si="332"/>
        <v>154.51</v>
      </c>
      <c r="E10603">
        <v>169.61</v>
      </c>
      <c r="F10603" s="1789">
        <v>8.8999999999999996E-2</v>
      </c>
      <c r="G10603">
        <f t="shared" si="333"/>
        <v>154.51</v>
      </c>
    </row>
    <row r="10604" spans="1:7" ht="12.75" customHeight="1">
      <c r="A10604" s="3">
        <v>102360</v>
      </c>
      <c r="B10604" s="4" t="s">
        <v>10628</v>
      </c>
      <c r="C10604" s="3" t="s">
        <v>152</v>
      </c>
      <c r="D10604" s="5">
        <f t="shared" si="332"/>
        <v>20.54</v>
      </c>
      <c r="E10604">
        <v>22.55</v>
      </c>
      <c r="F10604" s="1789">
        <v>8.8999999999999996E-2</v>
      </c>
      <c r="G10604">
        <f t="shared" si="333"/>
        <v>20.54</v>
      </c>
    </row>
    <row r="10605" spans="1:7" ht="12.75" customHeight="1">
      <c r="A10605" s="3">
        <v>102361</v>
      </c>
      <c r="B10605" s="4" t="s">
        <v>10629</v>
      </c>
      <c r="C10605" s="3" t="s">
        <v>152</v>
      </c>
      <c r="D10605" s="5">
        <f t="shared" si="332"/>
        <v>29.55</v>
      </c>
      <c r="E10605">
        <v>32.44</v>
      </c>
      <c r="F10605" s="1789">
        <v>8.8999999999999996E-2</v>
      </c>
      <c r="G10605">
        <f t="shared" si="333"/>
        <v>29.55</v>
      </c>
    </row>
    <row r="10606" spans="1:7" ht="12.75" customHeight="1">
      <c r="A10606" s="3">
        <v>90082</v>
      </c>
      <c r="B10606" s="4" t="s">
        <v>10630</v>
      </c>
      <c r="C10606" s="3" t="s">
        <v>152</v>
      </c>
      <c r="D10606" s="5">
        <f t="shared" si="332"/>
        <v>9.7799999999999994</v>
      </c>
      <c r="E10606">
        <v>10.74</v>
      </c>
      <c r="F10606" s="1789">
        <v>8.8999999999999996E-2</v>
      </c>
      <c r="G10606">
        <f t="shared" si="333"/>
        <v>9.7799999999999994</v>
      </c>
    </row>
    <row r="10607" spans="1:7" ht="12.75" customHeight="1">
      <c r="A10607" s="3">
        <v>90084</v>
      </c>
      <c r="B10607" s="4" t="s">
        <v>10631</v>
      </c>
      <c r="C10607" s="3" t="s">
        <v>152</v>
      </c>
      <c r="D10607" s="5">
        <f t="shared" si="332"/>
        <v>9.48</v>
      </c>
      <c r="E10607">
        <v>10.41</v>
      </c>
      <c r="F10607" s="1789">
        <v>8.8999999999999996E-2</v>
      </c>
      <c r="G10607">
        <f t="shared" si="333"/>
        <v>9.48</v>
      </c>
    </row>
    <row r="10608" spans="1:7" ht="12.75" customHeight="1">
      <c r="A10608" s="3">
        <v>90086</v>
      </c>
      <c r="B10608" s="4" t="s">
        <v>10632</v>
      </c>
      <c r="C10608" s="3" t="s">
        <v>152</v>
      </c>
      <c r="D10608" s="5">
        <f t="shared" si="332"/>
        <v>8.94</v>
      </c>
      <c r="E10608">
        <v>9.82</v>
      </c>
      <c r="F10608" s="1789">
        <v>8.8999999999999996E-2</v>
      </c>
      <c r="G10608">
        <f t="shared" si="333"/>
        <v>8.94</v>
      </c>
    </row>
    <row r="10609" spans="1:7" ht="12.75" customHeight="1">
      <c r="A10609" s="3">
        <v>90087</v>
      </c>
      <c r="B10609" s="4" t="s">
        <v>10633</v>
      </c>
      <c r="C10609" s="3" t="s">
        <v>152</v>
      </c>
      <c r="D10609" s="5">
        <f t="shared" si="332"/>
        <v>8.1999999999999993</v>
      </c>
      <c r="E10609">
        <v>9.01</v>
      </c>
      <c r="F10609" s="1789">
        <v>8.8999999999999996E-2</v>
      </c>
      <c r="G10609">
        <f t="shared" si="333"/>
        <v>8.1999999999999993</v>
      </c>
    </row>
    <row r="10610" spans="1:7" ht="12.75" customHeight="1">
      <c r="A10610" s="3">
        <v>90090</v>
      </c>
      <c r="B10610" s="4" t="s">
        <v>10634</v>
      </c>
      <c r="C10610" s="3" t="s">
        <v>152</v>
      </c>
      <c r="D10610" s="5">
        <f t="shared" si="332"/>
        <v>8.0299999999999994</v>
      </c>
      <c r="E10610">
        <v>8.82</v>
      </c>
      <c r="F10610" s="1789">
        <v>8.8999999999999996E-2</v>
      </c>
      <c r="G10610">
        <f t="shared" si="333"/>
        <v>8.0299999999999994</v>
      </c>
    </row>
    <row r="10611" spans="1:7" ht="12.75" customHeight="1">
      <c r="A10611" s="3">
        <v>90091</v>
      </c>
      <c r="B10611" s="4" t="s">
        <v>10635</v>
      </c>
      <c r="C10611" s="3" t="s">
        <v>152</v>
      </c>
      <c r="D10611" s="5">
        <f t="shared" si="332"/>
        <v>5.29</v>
      </c>
      <c r="E10611">
        <v>5.81</v>
      </c>
      <c r="F10611" s="1789">
        <v>8.8999999999999996E-2</v>
      </c>
      <c r="G10611">
        <f t="shared" si="333"/>
        <v>5.29</v>
      </c>
    </row>
    <row r="10612" spans="1:7" ht="12.75" customHeight="1">
      <c r="A10612" s="3">
        <v>90092</v>
      </c>
      <c r="B10612" s="4" t="s">
        <v>10636</v>
      </c>
      <c r="C10612" s="3" t="s">
        <v>152</v>
      </c>
      <c r="D10612" s="5">
        <f t="shared" si="332"/>
        <v>5.22</v>
      </c>
      <c r="E10612">
        <v>5.73</v>
      </c>
      <c r="F10612" s="1789">
        <v>8.8999999999999996E-2</v>
      </c>
      <c r="G10612">
        <f t="shared" si="333"/>
        <v>5.22</v>
      </c>
    </row>
    <row r="10613" spans="1:7" ht="12.75" customHeight="1">
      <c r="A10613" s="3">
        <v>90094</v>
      </c>
      <c r="B10613" s="4" t="s">
        <v>10637</v>
      </c>
      <c r="C10613" s="3" t="s">
        <v>152</v>
      </c>
      <c r="D10613" s="5">
        <f t="shared" si="332"/>
        <v>4.9400000000000004</v>
      </c>
      <c r="E10613">
        <v>5.43</v>
      </c>
      <c r="F10613" s="1789">
        <v>8.8999999999999996E-2</v>
      </c>
      <c r="G10613">
        <f t="shared" si="333"/>
        <v>4.9400000000000004</v>
      </c>
    </row>
    <row r="10614" spans="1:7" ht="12.75" customHeight="1">
      <c r="A10614" s="3">
        <v>90095</v>
      </c>
      <c r="B10614" s="4" t="s">
        <v>10638</v>
      </c>
      <c r="C10614" s="3" t="s">
        <v>152</v>
      </c>
      <c r="D10614" s="5">
        <f t="shared" si="332"/>
        <v>4.51</v>
      </c>
      <c r="E10614">
        <v>4.96</v>
      </c>
      <c r="F10614" s="1789">
        <v>8.8999999999999996E-2</v>
      </c>
      <c r="G10614">
        <f t="shared" si="333"/>
        <v>4.51</v>
      </c>
    </row>
    <row r="10615" spans="1:7" ht="12.75" customHeight="1">
      <c r="A10615" s="3">
        <v>90098</v>
      </c>
      <c r="B10615" s="4" t="s">
        <v>10639</v>
      </c>
      <c r="C10615" s="3" t="s">
        <v>152</v>
      </c>
      <c r="D10615" s="5">
        <f t="shared" si="332"/>
        <v>4.4400000000000004</v>
      </c>
      <c r="E10615">
        <v>4.88</v>
      </c>
      <c r="F10615" s="1789">
        <v>8.8999999999999996E-2</v>
      </c>
      <c r="G10615">
        <f t="shared" si="333"/>
        <v>4.4400000000000004</v>
      </c>
    </row>
    <row r="10616" spans="1:7" ht="12.75" customHeight="1">
      <c r="A10616" s="3">
        <v>90099</v>
      </c>
      <c r="B10616" s="4" t="s">
        <v>10640</v>
      </c>
      <c r="C10616" s="3" t="s">
        <v>152</v>
      </c>
      <c r="D10616" s="5">
        <f t="shared" si="332"/>
        <v>13.28</v>
      </c>
      <c r="E10616">
        <v>14.58</v>
      </c>
      <c r="F10616" s="1789">
        <v>8.8999999999999996E-2</v>
      </c>
      <c r="G10616">
        <f t="shared" si="333"/>
        <v>13.28</v>
      </c>
    </row>
    <row r="10617" spans="1:7" ht="12.75" customHeight="1">
      <c r="A10617" s="3">
        <v>90100</v>
      </c>
      <c r="B10617" s="4" t="s">
        <v>10641</v>
      </c>
      <c r="C10617" s="3" t="s">
        <v>152</v>
      </c>
      <c r="D10617" s="5">
        <f t="shared" si="332"/>
        <v>11.28</v>
      </c>
      <c r="E10617">
        <v>12.39</v>
      </c>
      <c r="F10617" s="1789">
        <v>8.8999999999999996E-2</v>
      </c>
      <c r="G10617">
        <f t="shared" si="333"/>
        <v>11.28</v>
      </c>
    </row>
    <row r="10618" spans="1:7" ht="12.75" customHeight="1">
      <c r="A10618" s="3">
        <v>90101</v>
      </c>
      <c r="B10618" s="4" t="s">
        <v>10642</v>
      </c>
      <c r="C10618" s="3" t="s">
        <v>152</v>
      </c>
      <c r="D10618" s="5">
        <f t="shared" si="332"/>
        <v>11.14</v>
      </c>
      <c r="E10618">
        <v>12.23</v>
      </c>
      <c r="F10618" s="1789">
        <v>8.8999999999999996E-2</v>
      </c>
      <c r="G10618">
        <f t="shared" si="333"/>
        <v>11.14</v>
      </c>
    </row>
    <row r="10619" spans="1:7" ht="12.75" customHeight="1">
      <c r="A10619" s="3">
        <v>90102</v>
      </c>
      <c r="B10619" s="4" t="s">
        <v>10643</v>
      </c>
      <c r="C10619" s="3" t="s">
        <v>152</v>
      </c>
      <c r="D10619" s="5">
        <f t="shared" si="332"/>
        <v>10.130000000000001</v>
      </c>
      <c r="E10619">
        <v>11.13</v>
      </c>
      <c r="F10619" s="1789">
        <v>8.8999999999999996E-2</v>
      </c>
      <c r="G10619">
        <f t="shared" si="333"/>
        <v>10.130000000000001</v>
      </c>
    </row>
    <row r="10620" spans="1:7" ht="12.75" customHeight="1">
      <c r="A10620" s="3">
        <v>90105</v>
      </c>
      <c r="B10620" s="4" t="s">
        <v>10644</v>
      </c>
      <c r="C10620" s="3" t="s">
        <v>152</v>
      </c>
      <c r="D10620" s="5">
        <f t="shared" si="332"/>
        <v>7.31</v>
      </c>
      <c r="E10620">
        <v>8.0299999999999994</v>
      </c>
      <c r="F10620" s="1789">
        <v>8.8999999999999996E-2</v>
      </c>
      <c r="G10620">
        <f t="shared" si="333"/>
        <v>7.31</v>
      </c>
    </row>
    <row r="10621" spans="1:7" ht="12.75" customHeight="1">
      <c r="A10621" s="3">
        <v>90106</v>
      </c>
      <c r="B10621" s="4" t="s">
        <v>10645</v>
      </c>
      <c r="C10621" s="3" t="s">
        <v>152</v>
      </c>
      <c r="D10621" s="5">
        <f t="shared" si="332"/>
        <v>6.22</v>
      </c>
      <c r="E10621">
        <v>6.83</v>
      </c>
      <c r="F10621" s="1789">
        <v>8.8999999999999996E-2</v>
      </c>
      <c r="G10621">
        <f t="shared" si="333"/>
        <v>6.22</v>
      </c>
    </row>
    <row r="10622" spans="1:7" ht="12.75" customHeight="1">
      <c r="A10622" s="3">
        <v>90107</v>
      </c>
      <c r="B10622" s="4" t="s">
        <v>10646</v>
      </c>
      <c r="C10622" s="3" t="s">
        <v>152</v>
      </c>
      <c r="D10622" s="5">
        <f t="shared" si="332"/>
        <v>6.14</v>
      </c>
      <c r="E10622">
        <v>6.75</v>
      </c>
      <c r="F10622" s="1789">
        <v>8.8999999999999996E-2</v>
      </c>
      <c r="G10622">
        <f t="shared" si="333"/>
        <v>6.14</v>
      </c>
    </row>
    <row r="10623" spans="1:7" ht="12.75" customHeight="1">
      <c r="A10623" s="3">
        <v>90108</v>
      </c>
      <c r="B10623" s="4" t="s">
        <v>10647</v>
      </c>
      <c r="C10623" s="3" t="s">
        <v>152</v>
      </c>
      <c r="D10623" s="5">
        <f t="shared" si="332"/>
        <v>5.59</v>
      </c>
      <c r="E10623">
        <v>6.14</v>
      </c>
      <c r="F10623" s="1789">
        <v>8.8999999999999996E-2</v>
      </c>
      <c r="G10623">
        <f t="shared" si="333"/>
        <v>5.59</v>
      </c>
    </row>
    <row r="10624" spans="1:7" ht="12.75" customHeight="1">
      <c r="A10624" s="3">
        <v>93358</v>
      </c>
      <c r="B10624" s="4" t="s">
        <v>10648</v>
      </c>
      <c r="C10624" s="3" t="s">
        <v>152</v>
      </c>
      <c r="D10624" s="5">
        <f t="shared" si="332"/>
        <v>73.22</v>
      </c>
      <c r="E10624">
        <v>80.38</v>
      </c>
      <c r="F10624" s="1789">
        <v>8.8999999999999996E-2</v>
      </c>
      <c r="G10624">
        <f t="shared" si="333"/>
        <v>73.22</v>
      </c>
    </row>
    <row r="10625" spans="1:7" ht="12.75" customHeight="1">
      <c r="A10625" s="3">
        <v>102276</v>
      </c>
      <c r="B10625" s="4" t="s">
        <v>10649</v>
      </c>
      <c r="C10625" s="3" t="s">
        <v>152</v>
      </c>
      <c r="D10625" s="5">
        <f t="shared" si="332"/>
        <v>11</v>
      </c>
      <c r="E10625">
        <v>12.08</v>
      </c>
      <c r="F10625" s="1789">
        <v>8.8999999999999996E-2</v>
      </c>
      <c r="G10625">
        <f t="shared" si="333"/>
        <v>11</v>
      </c>
    </row>
    <row r="10626" spans="1:7" ht="12.75" customHeight="1">
      <c r="A10626" s="3">
        <v>102277</v>
      </c>
      <c r="B10626" s="4" t="s">
        <v>10650</v>
      </c>
      <c r="C10626" s="3" t="s">
        <v>152</v>
      </c>
      <c r="D10626" s="5">
        <f t="shared" si="332"/>
        <v>8.69</v>
      </c>
      <c r="E10626">
        <v>9.5399999999999991</v>
      </c>
      <c r="F10626" s="1789">
        <v>8.8999999999999996E-2</v>
      </c>
      <c r="G10626">
        <f t="shared" si="333"/>
        <v>8.69</v>
      </c>
    </row>
    <row r="10627" spans="1:7" ht="12.75" customHeight="1">
      <c r="A10627" s="3">
        <v>102278</v>
      </c>
      <c r="B10627" s="4" t="s">
        <v>10651</v>
      </c>
      <c r="C10627" s="3" t="s">
        <v>152</v>
      </c>
      <c r="D10627" s="5">
        <f t="shared" si="332"/>
        <v>8.56</v>
      </c>
      <c r="E10627">
        <v>9.4</v>
      </c>
      <c r="F10627" s="1789">
        <v>8.8999999999999996E-2</v>
      </c>
      <c r="G10627">
        <f t="shared" si="333"/>
        <v>8.56</v>
      </c>
    </row>
    <row r="10628" spans="1:7" ht="12.75" customHeight="1">
      <c r="A10628" s="3">
        <v>102279</v>
      </c>
      <c r="B10628" s="4" t="s">
        <v>10652</v>
      </c>
      <c r="C10628" s="3" t="s">
        <v>152</v>
      </c>
      <c r="D10628" s="5">
        <f t="shared" si="332"/>
        <v>6.05</v>
      </c>
      <c r="E10628">
        <v>6.65</v>
      </c>
      <c r="F10628" s="1789">
        <v>8.8999999999999996E-2</v>
      </c>
      <c r="G10628">
        <f t="shared" si="333"/>
        <v>6.05</v>
      </c>
    </row>
    <row r="10629" spans="1:7" ht="12.75" customHeight="1">
      <c r="A10629" s="3">
        <v>102280</v>
      </c>
      <c r="B10629" s="4" t="s">
        <v>10653</v>
      </c>
      <c r="C10629" s="3" t="s">
        <v>152</v>
      </c>
      <c r="D10629" s="5">
        <f t="shared" si="332"/>
        <v>4.8</v>
      </c>
      <c r="E10629">
        <v>5.27</v>
      </c>
      <c r="F10629" s="1789">
        <v>8.8999999999999996E-2</v>
      </c>
      <c r="G10629">
        <f t="shared" si="333"/>
        <v>4.8</v>
      </c>
    </row>
    <row r="10630" spans="1:7" ht="12.75" customHeight="1">
      <c r="A10630" s="3">
        <v>102281</v>
      </c>
      <c r="B10630" s="4" t="s">
        <v>10654</v>
      </c>
      <c r="C10630" s="3" t="s">
        <v>152</v>
      </c>
      <c r="D10630" s="5">
        <f t="shared" si="332"/>
        <v>4.72</v>
      </c>
      <c r="E10630">
        <v>5.19</v>
      </c>
      <c r="F10630" s="1789">
        <v>8.8999999999999996E-2</v>
      </c>
      <c r="G10630">
        <f t="shared" si="333"/>
        <v>4.72</v>
      </c>
    </row>
    <row r="10631" spans="1:7" ht="12.75" customHeight="1">
      <c r="A10631" s="3">
        <v>102282</v>
      </c>
      <c r="B10631" s="4" t="s">
        <v>10655</v>
      </c>
      <c r="C10631" s="3" t="s">
        <v>152</v>
      </c>
      <c r="D10631" s="5">
        <f t="shared" si="332"/>
        <v>12.21</v>
      </c>
      <c r="E10631">
        <v>13.41</v>
      </c>
      <c r="F10631" s="1789">
        <v>8.8999999999999996E-2</v>
      </c>
      <c r="G10631">
        <f t="shared" si="333"/>
        <v>12.21</v>
      </c>
    </row>
    <row r="10632" spans="1:7" ht="12.75" customHeight="1">
      <c r="A10632" s="3">
        <v>102283</v>
      </c>
      <c r="B10632" s="4" t="s">
        <v>10656</v>
      </c>
      <c r="C10632" s="3" t="s">
        <v>152</v>
      </c>
      <c r="D10632" s="5">
        <f t="shared" si="332"/>
        <v>10.85</v>
      </c>
      <c r="E10632">
        <v>11.92</v>
      </c>
      <c r="F10632" s="1789">
        <v>8.8999999999999996E-2</v>
      </c>
      <c r="G10632">
        <f t="shared" si="333"/>
        <v>10.85</v>
      </c>
    </row>
    <row r="10633" spans="1:7" ht="12.75" customHeight="1">
      <c r="A10633" s="3">
        <v>102284</v>
      </c>
      <c r="B10633" s="4" t="s">
        <v>10657</v>
      </c>
      <c r="C10633" s="3" t="s">
        <v>152</v>
      </c>
      <c r="D10633" s="5">
        <f t="shared" si="332"/>
        <v>10.51</v>
      </c>
      <c r="E10633">
        <v>11.54</v>
      </c>
      <c r="F10633" s="1789">
        <v>8.8999999999999996E-2</v>
      </c>
      <c r="G10633">
        <f t="shared" si="333"/>
        <v>10.51</v>
      </c>
    </row>
    <row r="10634" spans="1:7" ht="12.75" customHeight="1">
      <c r="A10634" s="3">
        <v>102285</v>
      </c>
      <c r="B10634" s="4" t="s">
        <v>10658</v>
      </c>
      <c r="C10634" s="3" t="s">
        <v>152</v>
      </c>
      <c r="D10634" s="5">
        <f t="shared" si="332"/>
        <v>9.93</v>
      </c>
      <c r="E10634">
        <v>10.91</v>
      </c>
      <c r="F10634" s="1789">
        <v>8.8999999999999996E-2</v>
      </c>
      <c r="G10634">
        <f t="shared" si="333"/>
        <v>9.93</v>
      </c>
    </row>
    <row r="10635" spans="1:7" ht="12.75" customHeight="1">
      <c r="A10635" s="3">
        <v>102286</v>
      </c>
      <c r="B10635" s="4" t="s">
        <v>10659</v>
      </c>
      <c r="C10635" s="3" t="s">
        <v>152</v>
      </c>
      <c r="D10635" s="5">
        <f t="shared" si="332"/>
        <v>9.66</v>
      </c>
      <c r="E10635">
        <v>10.61</v>
      </c>
      <c r="F10635" s="1789">
        <v>8.8999999999999996E-2</v>
      </c>
      <c r="G10635">
        <f t="shared" si="333"/>
        <v>9.66</v>
      </c>
    </row>
    <row r="10636" spans="1:7" ht="12.75" customHeight="1">
      <c r="A10636" s="3">
        <v>102287</v>
      </c>
      <c r="B10636" s="4" t="s">
        <v>10660</v>
      </c>
      <c r="C10636" s="3" t="s">
        <v>152</v>
      </c>
      <c r="D10636" s="5">
        <f t="shared" si="332"/>
        <v>9.5299999999999994</v>
      </c>
      <c r="E10636">
        <v>10.47</v>
      </c>
      <c r="F10636" s="1789">
        <v>8.8999999999999996E-2</v>
      </c>
      <c r="G10636">
        <f t="shared" si="333"/>
        <v>9.5299999999999994</v>
      </c>
    </row>
    <row r="10637" spans="1:7" ht="12.75" customHeight="1">
      <c r="A10637" s="3">
        <v>102288</v>
      </c>
      <c r="B10637" s="4" t="s">
        <v>10661</v>
      </c>
      <c r="C10637" s="3" t="s">
        <v>152</v>
      </c>
      <c r="D10637" s="5">
        <f t="shared" si="332"/>
        <v>9.14</v>
      </c>
      <c r="E10637">
        <v>10.039999999999999</v>
      </c>
      <c r="F10637" s="1789">
        <v>8.8999999999999996E-2</v>
      </c>
      <c r="G10637">
        <f t="shared" si="333"/>
        <v>9.14</v>
      </c>
    </row>
    <row r="10638" spans="1:7" ht="12.75" customHeight="1">
      <c r="A10638" s="3">
        <v>102289</v>
      </c>
      <c r="B10638" s="4" t="s">
        <v>10662</v>
      </c>
      <c r="C10638" s="3" t="s">
        <v>152</v>
      </c>
      <c r="D10638" s="5">
        <f t="shared" si="332"/>
        <v>8.93</v>
      </c>
      <c r="E10638">
        <v>9.81</v>
      </c>
      <c r="F10638" s="1789">
        <v>8.8999999999999996E-2</v>
      </c>
      <c r="G10638">
        <f t="shared" si="333"/>
        <v>8.93</v>
      </c>
    </row>
    <row r="10639" spans="1:7" ht="12.75" customHeight="1">
      <c r="A10639" s="3">
        <v>102290</v>
      </c>
      <c r="B10639" s="4" t="s">
        <v>10663</v>
      </c>
      <c r="C10639" s="3" t="s">
        <v>152</v>
      </c>
      <c r="D10639" s="5">
        <f t="shared" si="332"/>
        <v>6.74</v>
      </c>
      <c r="E10639">
        <v>7.4</v>
      </c>
      <c r="F10639" s="1789">
        <v>8.8999999999999996E-2</v>
      </c>
      <c r="G10639">
        <f t="shared" si="333"/>
        <v>6.74</v>
      </c>
    </row>
    <row r="10640" spans="1:7" ht="12.75" customHeight="1">
      <c r="A10640" s="3">
        <v>102291</v>
      </c>
      <c r="B10640" s="4" t="s">
        <v>10664</v>
      </c>
      <c r="C10640" s="3" t="s">
        <v>152</v>
      </c>
      <c r="D10640" s="5">
        <f t="shared" si="332"/>
        <v>5.98</v>
      </c>
      <c r="E10640">
        <v>6.57</v>
      </c>
      <c r="F10640" s="1789">
        <v>8.8999999999999996E-2</v>
      </c>
      <c r="G10640">
        <f t="shared" si="333"/>
        <v>5.98</v>
      </c>
    </row>
    <row r="10641" spans="1:7" ht="12.75" customHeight="1">
      <c r="A10641" s="3">
        <v>102292</v>
      </c>
      <c r="B10641" s="4" t="s">
        <v>10665</v>
      </c>
      <c r="C10641" s="3" t="s">
        <v>152</v>
      </c>
      <c r="D10641" s="5">
        <f t="shared" si="332"/>
        <v>5.8</v>
      </c>
      <c r="E10641">
        <v>6.37</v>
      </c>
      <c r="F10641" s="1789">
        <v>8.8999999999999996E-2</v>
      </c>
      <c r="G10641">
        <f t="shared" si="333"/>
        <v>5.8</v>
      </c>
    </row>
    <row r="10642" spans="1:7" ht="12.75" customHeight="1">
      <c r="A10642" s="3">
        <v>102293</v>
      </c>
      <c r="B10642" s="4" t="s">
        <v>10666</v>
      </c>
      <c r="C10642" s="3" t="s">
        <v>152</v>
      </c>
      <c r="D10642" s="5">
        <f t="shared" si="332"/>
        <v>5.49</v>
      </c>
      <c r="E10642">
        <v>6.03</v>
      </c>
      <c r="F10642" s="1789">
        <v>8.8999999999999996E-2</v>
      </c>
      <c r="G10642">
        <f t="shared" si="333"/>
        <v>5.49</v>
      </c>
    </row>
    <row r="10643" spans="1:7" ht="12.75" customHeight="1">
      <c r="A10643" s="3">
        <v>102294</v>
      </c>
      <c r="B10643" s="4" t="s">
        <v>10667</v>
      </c>
      <c r="C10643" s="3" t="s">
        <v>152</v>
      </c>
      <c r="D10643" s="5">
        <f t="shared" si="332"/>
        <v>5.33</v>
      </c>
      <c r="E10643">
        <v>5.86</v>
      </c>
      <c r="F10643" s="1789">
        <v>8.8999999999999996E-2</v>
      </c>
      <c r="G10643">
        <f t="shared" si="333"/>
        <v>5.33</v>
      </c>
    </row>
    <row r="10644" spans="1:7" ht="12.75" customHeight="1">
      <c r="A10644" s="3">
        <v>102295</v>
      </c>
      <c r="B10644" s="4" t="s">
        <v>10668</v>
      </c>
      <c r="C10644" s="3" t="s">
        <v>152</v>
      </c>
      <c r="D10644" s="5">
        <f t="shared" si="332"/>
        <v>5.24</v>
      </c>
      <c r="E10644">
        <v>5.76</v>
      </c>
      <c r="F10644" s="1789">
        <v>8.8999999999999996E-2</v>
      </c>
      <c r="G10644">
        <f t="shared" si="333"/>
        <v>5.24</v>
      </c>
    </row>
    <row r="10645" spans="1:7" ht="12.75" customHeight="1">
      <c r="A10645" s="3">
        <v>102296</v>
      </c>
      <c r="B10645" s="4" t="s">
        <v>10669</v>
      </c>
      <c r="C10645" s="3" t="s">
        <v>152</v>
      </c>
      <c r="D10645" s="5">
        <f t="shared" ref="D10645:D10708" si="334">G10645</f>
        <v>5.0199999999999996</v>
      </c>
      <c r="E10645">
        <v>5.52</v>
      </c>
      <c r="F10645" s="1789">
        <v>8.8999999999999996E-2</v>
      </c>
      <c r="G10645">
        <f t="shared" ref="G10645:G10708" si="335">TRUNC((1-F10645)*E10645,2)</f>
        <v>5.0199999999999996</v>
      </c>
    </row>
    <row r="10646" spans="1:7" ht="12.75" customHeight="1">
      <c r="A10646" s="3">
        <v>102297</v>
      </c>
      <c r="B10646" s="4" t="s">
        <v>10670</v>
      </c>
      <c r="C10646" s="3" t="s">
        <v>152</v>
      </c>
      <c r="D10646" s="5">
        <f t="shared" si="334"/>
        <v>4.92</v>
      </c>
      <c r="E10646">
        <v>5.41</v>
      </c>
      <c r="F10646" s="1789">
        <v>8.8999999999999996E-2</v>
      </c>
      <c r="G10646">
        <f t="shared" si="335"/>
        <v>4.92</v>
      </c>
    </row>
    <row r="10647" spans="1:7" ht="12.75" customHeight="1">
      <c r="A10647" s="3">
        <v>102298</v>
      </c>
      <c r="B10647" s="4" t="s">
        <v>10671</v>
      </c>
      <c r="C10647" s="3" t="s">
        <v>152</v>
      </c>
      <c r="D10647" s="5">
        <f t="shared" si="334"/>
        <v>14.75</v>
      </c>
      <c r="E10647">
        <v>16.2</v>
      </c>
      <c r="F10647" s="1789">
        <v>8.8999999999999996E-2</v>
      </c>
      <c r="G10647">
        <f t="shared" si="335"/>
        <v>14.75</v>
      </c>
    </row>
    <row r="10648" spans="1:7" ht="12.75" customHeight="1">
      <c r="A10648" s="3">
        <v>102299</v>
      </c>
      <c r="B10648" s="4" t="s">
        <v>10672</v>
      </c>
      <c r="C10648" s="3" t="s">
        <v>152</v>
      </c>
      <c r="D10648" s="5">
        <f t="shared" si="334"/>
        <v>12.53</v>
      </c>
      <c r="E10648">
        <v>13.76</v>
      </c>
      <c r="F10648" s="1789">
        <v>8.8999999999999996E-2</v>
      </c>
      <c r="G10648">
        <f t="shared" si="335"/>
        <v>12.53</v>
      </c>
    </row>
    <row r="10649" spans="1:7" ht="12.75" customHeight="1">
      <c r="A10649" s="3">
        <v>102300</v>
      </c>
      <c r="B10649" s="4" t="s">
        <v>10673</v>
      </c>
      <c r="C10649" s="3" t="s">
        <v>152</v>
      </c>
      <c r="D10649" s="5">
        <f t="shared" si="334"/>
        <v>12.38</v>
      </c>
      <c r="E10649">
        <v>13.59</v>
      </c>
      <c r="F10649" s="1789">
        <v>8.8999999999999996E-2</v>
      </c>
      <c r="G10649">
        <f t="shared" si="335"/>
        <v>12.38</v>
      </c>
    </row>
    <row r="10650" spans="1:7" ht="12.75" customHeight="1">
      <c r="A10650" s="3">
        <v>102301</v>
      </c>
      <c r="B10650" s="4" t="s">
        <v>10674</v>
      </c>
      <c r="C10650" s="3" t="s">
        <v>152</v>
      </c>
      <c r="D10650" s="5">
        <f t="shared" si="334"/>
        <v>11.25</v>
      </c>
      <c r="E10650">
        <v>12.35</v>
      </c>
      <c r="F10650" s="1789">
        <v>8.8999999999999996E-2</v>
      </c>
      <c r="G10650">
        <f t="shared" si="335"/>
        <v>11.25</v>
      </c>
    </row>
    <row r="10651" spans="1:7" ht="12.75" customHeight="1">
      <c r="A10651" s="3">
        <v>102302</v>
      </c>
      <c r="B10651" s="4" t="s">
        <v>10675</v>
      </c>
      <c r="C10651" s="3" t="s">
        <v>152</v>
      </c>
      <c r="D10651" s="5">
        <f t="shared" si="334"/>
        <v>8.1300000000000008</v>
      </c>
      <c r="E10651">
        <v>8.93</v>
      </c>
      <c r="F10651" s="1789">
        <v>8.8999999999999996E-2</v>
      </c>
      <c r="G10651">
        <f t="shared" si="335"/>
        <v>8.1300000000000008</v>
      </c>
    </row>
    <row r="10652" spans="1:7" ht="12.75" customHeight="1">
      <c r="A10652" s="3">
        <v>102303</v>
      </c>
      <c r="B10652" s="4" t="s">
        <v>10676</v>
      </c>
      <c r="C10652" s="3" t="s">
        <v>152</v>
      </c>
      <c r="D10652" s="5">
        <f t="shared" si="334"/>
        <v>6.9</v>
      </c>
      <c r="E10652">
        <v>7.58</v>
      </c>
      <c r="F10652" s="1789">
        <v>8.8999999999999996E-2</v>
      </c>
      <c r="G10652">
        <f t="shared" si="335"/>
        <v>6.9</v>
      </c>
    </row>
    <row r="10653" spans="1:7" ht="12.75" customHeight="1">
      <c r="A10653" s="3">
        <v>102304</v>
      </c>
      <c r="B10653" s="4" t="s">
        <v>10677</v>
      </c>
      <c r="C10653" s="3" t="s">
        <v>152</v>
      </c>
      <c r="D10653" s="5">
        <f t="shared" si="334"/>
        <v>6.82</v>
      </c>
      <c r="E10653">
        <v>7.49</v>
      </c>
      <c r="F10653" s="1789">
        <v>8.8999999999999996E-2</v>
      </c>
      <c r="G10653">
        <f t="shared" si="335"/>
        <v>6.82</v>
      </c>
    </row>
    <row r="10654" spans="1:7" ht="12.75" customHeight="1">
      <c r="A10654" s="3">
        <v>102305</v>
      </c>
      <c r="B10654" s="4" t="s">
        <v>10678</v>
      </c>
      <c r="C10654" s="3" t="s">
        <v>152</v>
      </c>
      <c r="D10654" s="5">
        <f t="shared" si="334"/>
        <v>6.21</v>
      </c>
      <c r="E10654">
        <v>6.82</v>
      </c>
      <c r="F10654" s="1789">
        <v>8.8999999999999996E-2</v>
      </c>
      <c r="G10654">
        <f t="shared" si="335"/>
        <v>6.21</v>
      </c>
    </row>
    <row r="10655" spans="1:7" ht="12.75" customHeight="1">
      <c r="A10655" s="3">
        <v>102306</v>
      </c>
      <c r="B10655" s="4" t="s">
        <v>10679</v>
      </c>
      <c r="C10655" s="3" t="s">
        <v>152</v>
      </c>
      <c r="D10655" s="5">
        <f t="shared" si="334"/>
        <v>13.77</v>
      </c>
      <c r="E10655">
        <v>15.12</v>
      </c>
      <c r="F10655" s="1789">
        <v>8.8999999999999996E-2</v>
      </c>
      <c r="G10655">
        <f t="shared" si="335"/>
        <v>13.77</v>
      </c>
    </row>
    <row r="10656" spans="1:7" ht="12.75" customHeight="1">
      <c r="A10656" s="3">
        <v>102307</v>
      </c>
      <c r="B10656" s="4" t="s">
        <v>10680</v>
      </c>
      <c r="C10656" s="3" t="s">
        <v>152</v>
      </c>
      <c r="D10656" s="5">
        <f t="shared" si="334"/>
        <v>12.21</v>
      </c>
      <c r="E10656">
        <v>13.41</v>
      </c>
      <c r="F10656" s="1789">
        <v>8.8999999999999996E-2</v>
      </c>
      <c r="G10656">
        <f t="shared" si="335"/>
        <v>12.21</v>
      </c>
    </row>
    <row r="10657" spans="1:7" ht="12.75" customHeight="1">
      <c r="A10657" s="3">
        <v>102308</v>
      </c>
      <c r="B10657" s="4" t="s">
        <v>10681</v>
      </c>
      <c r="C10657" s="3" t="s">
        <v>152</v>
      </c>
      <c r="D10657" s="5">
        <f t="shared" si="334"/>
        <v>11.84</v>
      </c>
      <c r="E10657">
        <v>13</v>
      </c>
      <c r="F10657" s="1789">
        <v>8.8999999999999996E-2</v>
      </c>
      <c r="G10657">
        <f t="shared" si="335"/>
        <v>11.84</v>
      </c>
    </row>
    <row r="10658" spans="1:7" ht="12.75" customHeight="1">
      <c r="A10658" s="3">
        <v>102309</v>
      </c>
      <c r="B10658" s="4" t="s">
        <v>10682</v>
      </c>
      <c r="C10658" s="3" t="s">
        <v>152</v>
      </c>
      <c r="D10658" s="5">
        <f t="shared" si="334"/>
        <v>11.21</v>
      </c>
      <c r="E10658">
        <v>12.31</v>
      </c>
      <c r="F10658" s="1789">
        <v>8.8999999999999996E-2</v>
      </c>
      <c r="G10658">
        <f t="shared" si="335"/>
        <v>11.21</v>
      </c>
    </row>
    <row r="10659" spans="1:7" ht="12.75" customHeight="1">
      <c r="A10659" s="3">
        <v>102310</v>
      </c>
      <c r="B10659" s="4" t="s">
        <v>10683</v>
      </c>
      <c r="C10659" s="3" t="s">
        <v>152</v>
      </c>
      <c r="D10659" s="5">
        <f t="shared" si="334"/>
        <v>10.87</v>
      </c>
      <c r="E10659">
        <v>11.94</v>
      </c>
      <c r="F10659" s="1789">
        <v>8.8999999999999996E-2</v>
      </c>
      <c r="G10659">
        <f t="shared" si="335"/>
        <v>10.87</v>
      </c>
    </row>
    <row r="10660" spans="1:7" ht="12.75" customHeight="1">
      <c r="A10660" s="3">
        <v>102311</v>
      </c>
      <c r="B10660" s="4" t="s">
        <v>10684</v>
      </c>
      <c r="C10660" s="3" t="s">
        <v>152</v>
      </c>
      <c r="D10660" s="5">
        <f t="shared" si="334"/>
        <v>10.7</v>
      </c>
      <c r="E10660">
        <v>11.75</v>
      </c>
      <c r="F10660" s="1789">
        <v>8.8999999999999996E-2</v>
      </c>
      <c r="G10660">
        <f t="shared" si="335"/>
        <v>10.7</v>
      </c>
    </row>
    <row r="10661" spans="1:7" ht="12.75" customHeight="1">
      <c r="A10661" s="3">
        <v>102312</v>
      </c>
      <c r="B10661" s="4" t="s">
        <v>10685</v>
      </c>
      <c r="C10661" s="3" t="s">
        <v>152</v>
      </c>
      <c r="D10661" s="5">
        <f t="shared" si="334"/>
        <v>10.29</v>
      </c>
      <c r="E10661">
        <v>11.3</v>
      </c>
      <c r="F10661" s="1789">
        <v>8.8999999999999996E-2</v>
      </c>
      <c r="G10661">
        <f t="shared" si="335"/>
        <v>10.29</v>
      </c>
    </row>
    <row r="10662" spans="1:7" ht="12.75" customHeight="1">
      <c r="A10662" s="3">
        <v>102313</v>
      </c>
      <c r="B10662" s="4" t="s">
        <v>10686</v>
      </c>
      <c r="C10662" s="3" t="s">
        <v>152</v>
      </c>
      <c r="D10662" s="5">
        <f t="shared" si="334"/>
        <v>10.039999999999999</v>
      </c>
      <c r="E10662">
        <v>11.03</v>
      </c>
      <c r="F10662" s="1789">
        <v>8.8999999999999996E-2</v>
      </c>
      <c r="G10662">
        <f t="shared" si="335"/>
        <v>10.039999999999999</v>
      </c>
    </row>
    <row r="10663" spans="1:7" ht="12.75" customHeight="1">
      <c r="A10663" s="3">
        <v>102314</v>
      </c>
      <c r="B10663" s="4" t="s">
        <v>10687</v>
      </c>
      <c r="C10663" s="3" t="s">
        <v>152</v>
      </c>
      <c r="D10663" s="5">
        <f t="shared" si="334"/>
        <v>7.59</v>
      </c>
      <c r="E10663">
        <v>8.34</v>
      </c>
      <c r="F10663" s="1789">
        <v>8.8999999999999996E-2</v>
      </c>
      <c r="G10663">
        <f t="shared" si="335"/>
        <v>7.59</v>
      </c>
    </row>
    <row r="10664" spans="1:7" ht="12.75" customHeight="1">
      <c r="A10664" s="3">
        <v>102315</v>
      </c>
      <c r="B10664" s="4" t="s">
        <v>10688</v>
      </c>
      <c r="C10664" s="3" t="s">
        <v>152</v>
      </c>
      <c r="D10664" s="5">
        <f t="shared" si="334"/>
        <v>6.74</v>
      </c>
      <c r="E10664">
        <v>7.4</v>
      </c>
      <c r="F10664" s="1789">
        <v>8.8999999999999996E-2</v>
      </c>
      <c r="G10664">
        <f t="shared" si="335"/>
        <v>6.74</v>
      </c>
    </row>
    <row r="10665" spans="1:7" ht="12.75" customHeight="1">
      <c r="A10665" s="3">
        <v>102316</v>
      </c>
      <c r="B10665" s="4" t="s">
        <v>10689</v>
      </c>
      <c r="C10665" s="3" t="s">
        <v>152</v>
      </c>
      <c r="D10665" s="5">
        <f t="shared" si="334"/>
        <v>6.53</v>
      </c>
      <c r="E10665">
        <v>7.17</v>
      </c>
      <c r="F10665" s="1789">
        <v>8.8999999999999996E-2</v>
      </c>
      <c r="G10665">
        <f t="shared" si="335"/>
        <v>6.53</v>
      </c>
    </row>
    <row r="10666" spans="1:7" ht="12.75" customHeight="1">
      <c r="A10666" s="3">
        <v>102317</v>
      </c>
      <c r="B10666" s="4" t="s">
        <v>10690</v>
      </c>
      <c r="C10666" s="3" t="s">
        <v>152</v>
      </c>
      <c r="D10666" s="5">
        <f t="shared" si="334"/>
        <v>6.17</v>
      </c>
      <c r="E10666">
        <v>6.78</v>
      </c>
      <c r="F10666" s="1789">
        <v>8.8999999999999996E-2</v>
      </c>
      <c r="G10666">
        <f t="shared" si="335"/>
        <v>6.17</v>
      </c>
    </row>
    <row r="10667" spans="1:7" ht="12.75" customHeight="1">
      <c r="A10667" s="3">
        <v>102318</v>
      </c>
      <c r="B10667" s="4" t="s">
        <v>10691</v>
      </c>
      <c r="C10667" s="3" t="s">
        <v>152</v>
      </c>
      <c r="D10667" s="5">
        <f t="shared" si="334"/>
        <v>6</v>
      </c>
      <c r="E10667">
        <v>6.59</v>
      </c>
      <c r="F10667" s="1789">
        <v>8.8999999999999996E-2</v>
      </c>
      <c r="G10667">
        <f t="shared" si="335"/>
        <v>6</v>
      </c>
    </row>
    <row r="10668" spans="1:7" ht="12.75" customHeight="1">
      <c r="A10668" s="3">
        <v>102319</v>
      </c>
      <c r="B10668" s="4" t="s">
        <v>10692</v>
      </c>
      <c r="C10668" s="3" t="s">
        <v>152</v>
      </c>
      <c r="D10668" s="5">
        <f t="shared" si="334"/>
        <v>5.89</v>
      </c>
      <c r="E10668">
        <v>6.47</v>
      </c>
      <c r="F10668" s="1789">
        <v>8.8999999999999996E-2</v>
      </c>
      <c r="G10668">
        <f t="shared" si="335"/>
        <v>5.89</v>
      </c>
    </row>
    <row r="10669" spans="1:7" ht="12.75" customHeight="1">
      <c r="A10669" s="3">
        <v>102320</v>
      </c>
      <c r="B10669" s="4" t="s">
        <v>10693</v>
      </c>
      <c r="C10669" s="3" t="s">
        <v>152</v>
      </c>
      <c r="D10669" s="5">
        <f t="shared" si="334"/>
        <v>5.65</v>
      </c>
      <c r="E10669">
        <v>6.21</v>
      </c>
      <c r="F10669" s="1789">
        <v>8.8999999999999996E-2</v>
      </c>
      <c r="G10669">
        <f t="shared" si="335"/>
        <v>5.65</v>
      </c>
    </row>
    <row r="10670" spans="1:7" ht="12.75" customHeight="1">
      <c r="A10670" s="3">
        <v>102321</v>
      </c>
      <c r="B10670" s="4" t="s">
        <v>10694</v>
      </c>
      <c r="C10670" s="3" t="s">
        <v>152</v>
      </c>
      <c r="D10670" s="5">
        <f t="shared" si="334"/>
        <v>5.55</v>
      </c>
      <c r="E10670">
        <v>6.1</v>
      </c>
      <c r="F10670" s="1789">
        <v>8.8999999999999996E-2</v>
      </c>
      <c r="G10670">
        <f t="shared" si="335"/>
        <v>5.55</v>
      </c>
    </row>
    <row r="10671" spans="1:7" ht="12.75" customHeight="1">
      <c r="A10671" s="3">
        <v>102322</v>
      </c>
      <c r="B10671" s="4" t="s">
        <v>10695</v>
      </c>
      <c r="C10671" s="3" t="s">
        <v>152</v>
      </c>
      <c r="D10671" s="5">
        <f t="shared" si="334"/>
        <v>16.61</v>
      </c>
      <c r="E10671">
        <v>18.239999999999998</v>
      </c>
      <c r="F10671" s="1789">
        <v>8.8999999999999996E-2</v>
      </c>
      <c r="G10671">
        <f t="shared" si="335"/>
        <v>16.61</v>
      </c>
    </row>
    <row r="10672" spans="1:7" ht="12.75" customHeight="1">
      <c r="A10672" s="3">
        <v>102323</v>
      </c>
      <c r="B10672" s="4" t="s">
        <v>10696</v>
      </c>
      <c r="C10672" s="3" t="s">
        <v>152</v>
      </c>
      <c r="D10672" s="5">
        <f t="shared" si="334"/>
        <v>14.11</v>
      </c>
      <c r="E10672">
        <v>15.49</v>
      </c>
      <c r="F10672" s="1789">
        <v>8.8999999999999996E-2</v>
      </c>
      <c r="G10672">
        <f t="shared" si="335"/>
        <v>14.11</v>
      </c>
    </row>
    <row r="10673" spans="1:7" ht="12.75" customHeight="1">
      <c r="A10673" s="3">
        <v>102324</v>
      </c>
      <c r="B10673" s="4" t="s">
        <v>10697</v>
      </c>
      <c r="C10673" s="3" t="s">
        <v>152</v>
      </c>
      <c r="D10673" s="5">
        <f t="shared" si="334"/>
        <v>13.92</v>
      </c>
      <c r="E10673">
        <v>15.29</v>
      </c>
      <c r="F10673" s="1789">
        <v>8.8999999999999996E-2</v>
      </c>
      <c r="G10673">
        <f t="shared" si="335"/>
        <v>13.92</v>
      </c>
    </row>
    <row r="10674" spans="1:7" ht="12.75" customHeight="1">
      <c r="A10674" s="3">
        <v>102325</v>
      </c>
      <c r="B10674" s="4" t="s">
        <v>10698</v>
      </c>
      <c r="C10674" s="3" t="s">
        <v>152</v>
      </c>
      <c r="D10674" s="5">
        <f t="shared" si="334"/>
        <v>12.67</v>
      </c>
      <c r="E10674">
        <v>13.91</v>
      </c>
      <c r="F10674" s="1789">
        <v>8.8999999999999996E-2</v>
      </c>
      <c r="G10674">
        <f t="shared" si="335"/>
        <v>12.67</v>
      </c>
    </row>
    <row r="10675" spans="1:7" ht="12.75" customHeight="1">
      <c r="A10675" s="3">
        <v>102326</v>
      </c>
      <c r="B10675" s="4" t="s">
        <v>10699</v>
      </c>
      <c r="C10675" s="3" t="s">
        <v>152</v>
      </c>
      <c r="D10675" s="5">
        <f t="shared" si="334"/>
        <v>9.16</v>
      </c>
      <c r="E10675">
        <v>10.06</v>
      </c>
      <c r="F10675" s="1789">
        <v>8.8999999999999996E-2</v>
      </c>
      <c r="G10675">
        <f t="shared" si="335"/>
        <v>9.16</v>
      </c>
    </row>
    <row r="10676" spans="1:7" ht="12.75" customHeight="1">
      <c r="A10676" s="3">
        <v>102327</v>
      </c>
      <c r="B10676" s="4" t="s">
        <v>10700</v>
      </c>
      <c r="C10676" s="3" t="s">
        <v>152</v>
      </c>
      <c r="D10676" s="5">
        <f t="shared" si="334"/>
        <v>7.78</v>
      </c>
      <c r="E10676">
        <v>8.5500000000000007</v>
      </c>
      <c r="F10676" s="1789">
        <v>8.8999999999999996E-2</v>
      </c>
      <c r="G10676">
        <f t="shared" si="335"/>
        <v>7.78</v>
      </c>
    </row>
    <row r="10677" spans="1:7" ht="12.75" customHeight="1">
      <c r="A10677" s="3">
        <v>102328</v>
      </c>
      <c r="B10677" s="4" t="s">
        <v>10701</v>
      </c>
      <c r="C10677" s="3" t="s">
        <v>152</v>
      </c>
      <c r="D10677" s="5">
        <f t="shared" si="334"/>
        <v>7.67</v>
      </c>
      <c r="E10677">
        <v>8.43</v>
      </c>
      <c r="F10677" s="1789">
        <v>8.8999999999999996E-2</v>
      </c>
      <c r="G10677">
        <f t="shared" si="335"/>
        <v>7.67</v>
      </c>
    </row>
    <row r="10678" spans="1:7" ht="12.75" customHeight="1">
      <c r="A10678" s="3">
        <v>102329</v>
      </c>
      <c r="B10678" s="4" t="s">
        <v>10702</v>
      </c>
      <c r="C10678" s="3" t="s">
        <v>152</v>
      </c>
      <c r="D10678" s="5">
        <f t="shared" si="334"/>
        <v>6.99</v>
      </c>
      <c r="E10678">
        <v>7.68</v>
      </c>
      <c r="F10678" s="1789">
        <v>8.8999999999999996E-2</v>
      </c>
      <c r="G10678">
        <f t="shared" si="335"/>
        <v>6.99</v>
      </c>
    </row>
    <row r="10679" spans="1:7" ht="12.75" customHeight="1">
      <c r="A10679" s="3">
        <v>94304</v>
      </c>
      <c r="B10679" s="4" t="s">
        <v>10703</v>
      </c>
      <c r="C10679" s="3" t="s">
        <v>152</v>
      </c>
      <c r="D10679" s="5">
        <f t="shared" si="334"/>
        <v>66.58</v>
      </c>
      <c r="E10679">
        <v>73.09</v>
      </c>
      <c r="F10679" s="1789">
        <v>8.8999999999999996E-2</v>
      </c>
      <c r="G10679">
        <f t="shared" si="335"/>
        <v>66.58</v>
      </c>
    </row>
    <row r="10680" spans="1:7" ht="12.75" customHeight="1">
      <c r="A10680" s="3">
        <v>94306</v>
      </c>
      <c r="B10680" s="4" t="s">
        <v>10704</v>
      </c>
      <c r="C10680" s="3" t="s">
        <v>152</v>
      </c>
      <c r="D10680" s="5">
        <f t="shared" si="334"/>
        <v>61.09</v>
      </c>
      <c r="E10680">
        <v>67.06</v>
      </c>
      <c r="F10680" s="1789">
        <v>8.8999999999999996E-2</v>
      </c>
      <c r="G10680">
        <f t="shared" si="335"/>
        <v>61.09</v>
      </c>
    </row>
    <row r="10681" spans="1:7" ht="12.75" customHeight="1">
      <c r="A10681" s="3">
        <v>94310</v>
      </c>
      <c r="B10681" s="4" t="s">
        <v>10705</v>
      </c>
      <c r="C10681" s="3" t="s">
        <v>152</v>
      </c>
      <c r="D10681" s="5">
        <f t="shared" si="334"/>
        <v>58.57</v>
      </c>
      <c r="E10681">
        <v>64.3</v>
      </c>
      <c r="F10681" s="1789">
        <v>8.8999999999999996E-2</v>
      </c>
      <c r="G10681">
        <f t="shared" si="335"/>
        <v>58.57</v>
      </c>
    </row>
    <row r="10682" spans="1:7" ht="12.75" customHeight="1">
      <c r="A10682" s="3">
        <v>94316</v>
      </c>
      <c r="B10682" s="4" t="s">
        <v>10706</v>
      </c>
      <c r="C10682" s="3" t="s">
        <v>152</v>
      </c>
      <c r="D10682" s="5">
        <f t="shared" si="334"/>
        <v>61.78</v>
      </c>
      <c r="E10682">
        <v>67.819999999999993</v>
      </c>
      <c r="F10682" s="1789">
        <v>8.8999999999999996E-2</v>
      </c>
      <c r="G10682">
        <f t="shared" si="335"/>
        <v>61.78</v>
      </c>
    </row>
    <row r="10683" spans="1:7" ht="12.75" customHeight="1">
      <c r="A10683" s="3">
        <v>94318</v>
      </c>
      <c r="B10683" s="4" t="s">
        <v>10707</v>
      </c>
      <c r="C10683" s="3" t="s">
        <v>152</v>
      </c>
      <c r="D10683" s="5">
        <f t="shared" si="334"/>
        <v>57.28</v>
      </c>
      <c r="E10683">
        <v>62.88</v>
      </c>
      <c r="F10683" s="1789">
        <v>8.8999999999999996E-2</v>
      </c>
      <c r="G10683">
        <f t="shared" si="335"/>
        <v>57.28</v>
      </c>
    </row>
    <row r="10684" spans="1:7" ht="12.75" customHeight="1">
      <c r="A10684" s="3">
        <v>94319</v>
      </c>
      <c r="B10684" s="4" t="s">
        <v>10708</v>
      </c>
      <c r="C10684" s="3" t="s">
        <v>152</v>
      </c>
      <c r="D10684" s="5">
        <f t="shared" si="334"/>
        <v>68.77</v>
      </c>
      <c r="E10684">
        <v>75.489999999999995</v>
      </c>
      <c r="F10684" s="1789">
        <v>8.8999999999999996E-2</v>
      </c>
      <c r="G10684">
        <f t="shared" si="335"/>
        <v>68.77</v>
      </c>
    </row>
    <row r="10685" spans="1:7" ht="12.75" customHeight="1">
      <c r="A10685" s="3">
        <v>94327</v>
      </c>
      <c r="B10685" s="4" t="s">
        <v>10709</v>
      </c>
      <c r="C10685" s="3" t="s">
        <v>152</v>
      </c>
      <c r="D10685" s="5">
        <f t="shared" si="334"/>
        <v>103.15</v>
      </c>
      <c r="E10685">
        <v>113.23</v>
      </c>
      <c r="F10685" s="1789">
        <v>8.8999999999999996E-2</v>
      </c>
      <c r="G10685">
        <f t="shared" si="335"/>
        <v>103.15</v>
      </c>
    </row>
    <row r="10686" spans="1:7" ht="12.75" customHeight="1">
      <c r="A10686" s="3">
        <v>94329</v>
      </c>
      <c r="B10686" s="4" t="s">
        <v>10710</v>
      </c>
      <c r="C10686" s="3" t="s">
        <v>152</v>
      </c>
      <c r="D10686" s="5">
        <f t="shared" si="334"/>
        <v>97.65</v>
      </c>
      <c r="E10686">
        <v>107.2</v>
      </c>
      <c r="F10686" s="1789">
        <v>8.8999999999999996E-2</v>
      </c>
      <c r="G10686">
        <f t="shared" si="335"/>
        <v>97.65</v>
      </c>
    </row>
    <row r="10687" spans="1:7" ht="12.75" customHeight="1">
      <c r="A10687" s="3">
        <v>94333</v>
      </c>
      <c r="B10687" s="4" t="s">
        <v>10711</v>
      </c>
      <c r="C10687" s="3" t="s">
        <v>152</v>
      </c>
      <c r="D10687" s="5">
        <f t="shared" si="334"/>
        <v>95.14</v>
      </c>
      <c r="E10687">
        <v>104.44</v>
      </c>
      <c r="F10687" s="1789">
        <v>8.8999999999999996E-2</v>
      </c>
      <c r="G10687">
        <f t="shared" si="335"/>
        <v>95.14</v>
      </c>
    </row>
    <row r="10688" spans="1:7" ht="12.75" customHeight="1">
      <c r="A10688" s="3">
        <v>94339</v>
      </c>
      <c r="B10688" s="4" t="s">
        <v>10712</v>
      </c>
      <c r="C10688" s="3" t="s">
        <v>152</v>
      </c>
      <c r="D10688" s="5">
        <f t="shared" si="334"/>
        <v>98.35</v>
      </c>
      <c r="E10688">
        <v>107.96</v>
      </c>
      <c r="F10688" s="1789">
        <v>8.8999999999999996E-2</v>
      </c>
      <c r="G10688">
        <f t="shared" si="335"/>
        <v>98.35</v>
      </c>
    </row>
    <row r="10689" spans="1:7" ht="12.75" customHeight="1">
      <c r="A10689" s="3">
        <v>94341</v>
      </c>
      <c r="B10689" s="4" t="s">
        <v>10713</v>
      </c>
      <c r="C10689" s="3" t="s">
        <v>152</v>
      </c>
      <c r="D10689" s="5">
        <f t="shared" si="334"/>
        <v>93.85</v>
      </c>
      <c r="E10689">
        <v>103.02</v>
      </c>
      <c r="F10689" s="1789">
        <v>8.8999999999999996E-2</v>
      </c>
      <c r="G10689">
        <f t="shared" si="335"/>
        <v>93.85</v>
      </c>
    </row>
    <row r="10690" spans="1:7" ht="12.75" customHeight="1">
      <c r="A10690" s="3">
        <v>94342</v>
      </c>
      <c r="B10690" s="4" t="s">
        <v>10714</v>
      </c>
      <c r="C10690" s="3" t="s">
        <v>152</v>
      </c>
      <c r="D10690" s="5">
        <f t="shared" si="334"/>
        <v>105.33</v>
      </c>
      <c r="E10690">
        <v>115.63</v>
      </c>
      <c r="F10690" s="1789">
        <v>8.8999999999999996E-2</v>
      </c>
      <c r="G10690">
        <f t="shared" si="335"/>
        <v>105.33</v>
      </c>
    </row>
    <row r="10691" spans="1:7" ht="12.75" customHeight="1">
      <c r="A10691" s="3">
        <v>96385</v>
      </c>
      <c r="B10691" s="4" t="s">
        <v>10715</v>
      </c>
      <c r="C10691" s="3" t="s">
        <v>152</v>
      </c>
      <c r="D10691" s="5">
        <f t="shared" si="334"/>
        <v>10.15</v>
      </c>
      <c r="E10691">
        <v>11.15</v>
      </c>
      <c r="F10691" s="1789">
        <v>8.8999999999999996E-2</v>
      </c>
      <c r="G10691">
        <f t="shared" si="335"/>
        <v>10.15</v>
      </c>
    </row>
    <row r="10692" spans="1:7" ht="12.75" customHeight="1">
      <c r="A10692" s="3">
        <v>96386</v>
      </c>
      <c r="B10692" s="4" t="s">
        <v>10716</v>
      </c>
      <c r="C10692" s="3" t="s">
        <v>152</v>
      </c>
      <c r="D10692" s="5">
        <f t="shared" si="334"/>
        <v>7.63</v>
      </c>
      <c r="E10692">
        <v>8.3800000000000008</v>
      </c>
      <c r="F10692" s="1789">
        <v>8.8999999999999996E-2</v>
      </c>
      <c r="G10692">
        <f t="shared" si="335"/>
        <v>7.63</v>
      </c>
    </row>
    <row r="10693" spans="1:7" ht="12.75" customHeight="1">
      <c r="A10693" s="3">
        <v>93367</v>
      </c>
      <c r="B10693" s="4" t="s">
        <v>10717</v>
      </c>
      <c r="C10693" s="3" t="s">
        <v>152</v>
      </c>
      <c r="D10693" s="5">
        <f t="shared" si="334"/>
        <v>19.329999999999998</v>
      </c>
      <c r="E10693">
        <v>21.22</v>
      </c>
      <c r="F10693" s="1789">
        <v>8.8999999999999996E-2</v>
      </c>
      <c r="G10693">
        <f t="shared" si="335"/>
        <v>19.329999999999998</v>
      </c>
    </row>
    <row r="10694" spans="1:7" ht="12.75" customHeight="1">
      <c r="A10694" s="3">
        <v>93368</v>
      </c>
      <c r="B10694" s="4" t="s">
        <v>10718</v>
      </c>
      <c r="C10694" s="3" t="s">
        <v>152</v>
      </c>
      <c r="D10694" s="5">
        <f t="shared" si="334"/>
        <v>16.899999999999999</v>
      </c>
      <c r="E10694">
        <v>18.559999999999999</v>
      </c>
      <c r="F10694" s="1789">
        <v>8.8999999999999996E-2</v>
      </c>
      <c r="G10694">
        <f t="shared" si="335"/>
        <v>16.899999999999999</v>
      </c>
    </row>
    <row r="10695" spans="1:7" ht="12.75" customHeight="1">
      <c r="A10695" s="3">
        <v>93369</v>
      </c>
      <c r="B10695" s="4" t="s">
        <v>10719</v>
      </c>
      <c r="C10695" s="3" t="s">
        <v>152</v>
      </c>
      <c r="D10695" s="5">
        <f t="shared" si="334"/>
        <v>13.83</v>
      </c>
      <c r="E10695">
        <v>15.19</v>
      </c>
      <c r="F10695" s="1789">
        <v>8.8999999999999996E-2</v>
      </c>
      <c r="G10695">
        <f t="shared" si="335"/>
        <v>13.83</v>
      </c>
    </row>
    <row r="10696" spans="1:7" ht="12.75" customHeight="1">
      <c r="A10696" s="3">
        <v>93372</v>
      </c>
      <c r="B10696" s="4" t="s">
        <v>10720</v>
      </c>
      <c r="C10696" s="3" t="s">
        <v>152</v>
      </c>
      <c r="D10696" s="5">
        <f t="shared" si="334"/>
        <v>13.28</v>
      </c>
      <c r="E10696">
        <v>14.58</v>
      </c>
      <c r="F10696" s="1789">
        <v>8.8999999999999996E-2</v>
      </c>
      <c r="G10696">
        <f t="shared" si="335"/>
        <v>13.28</v>
      </c>
    </row>
    <row r="10697" spans="1:7" ht="12.75" customHeight="1">
      <c r="A10697" s="3">
        <v>93373</v>
      </c>
      <c r="B10697" s="4" t="s">
        <v>10721</v>
      </c>
      <c r="C10697" s="3" t="s">
        <v>152</v>
      </c>
      <c r="D10697" s="5">
        <f t="shared" si="334"/>
        <v>11.32</v>
      </c>
      <c r="E10697">
        <v>12.43</v>
      </c>
      <c r="F10697" s="1789">
        <v>8.8999999999999996E-2</v>
      </c>
      <c r="G10697">
        <f t="shared" si="335"/>
        <v>11.32</v>
      </c>
    </row>
    <row r="10698" spans="1:7" ht="12.75" customHeight="1">
      <c r="A10698" s="3">
        <v>93378</v>
      </c>
      <c r="B10698" s="4" t="s">
        <v>10722</v>
      </c>
      <c r="C10698" s="3" t="s">
        <v>152</v>
      </c>
      <c r="D10698" s="5">
        <f t="shared" si="334"/>
        <v>18.920000000000002</v>
      </c>
      <c r="E10698">
        <v>20.77</v>
      </c>
      <c r="F10698" s="1789">
        <v>8.8999999999999996E-2</v>
      </c>
      <c r="G10698">
        <f t="shared" si="335"/>
        <v>18.920000000000002</v>
      </c>
    </row>
    <row r="10699" spans="1:7" ht="12.75" customHeight="1">
      <c r="A10699" s="3">
        <v>93379</v>
      </c>
      <c r="B10699" s="4" t="s">
        <v>10723</v>
      </c>
      <c r="C10699" s="3" t="s">
        <v>152</v>
      </c>
      <c r="D10699" s="5">
        <f t="shared" si="334"/>
        <v>14.53</v>
      </c>
      <c r="E10699">
        <v>15.95</v>
      </c>
      <c r="F10699" s="1789">
        <v>8.8999999999999996E-2</v>
      </c>
      <c r="G10699">
        <f t="shared" si="335"/>
        <v>14.53</v>
      </c>
    </row>
    <row r="10700" spans="1:7" ht="12.75" customHeight="1">
      <c r="A10700" s="3">
        <v>93380</v>
      </c>
      <c r="B10700" s="4" t="s">
        <v>10724</v>
      </c>
      <c r="C10700" s="3" t="s">
        <v>152</v>
      </c>
      <c r="D10700" s="5">
        <f t="shared" si="334"/>
        <v>12.39</v>
      </c>
      <c r="E10700">
        <v>13.61</v>
      </c>
      <c r="F10700" s="1789">
        <v>8.8999999999999996E-2</v>
      </c>
      <c r="G10700">
        <f t="shared" si="335"/>
        <v>12.39</v>
      </c>
    </row>
    <row r="10701" spans="1:7" ht="12.75" customHeight="1">
      <c r="A10701" s="3">
        <v>93381</v>
      </c>
      <c r="B10701" s="4" t="s">
        <v>10725</v>
      </c>
      <c r="C10701" s="3" t="s">
        <v>152</v>
      </c>
      <c r="D10701" s="5">
        <f t="shared" si="334"/>
        <v>10.029999999999999</v>
      </c>
      <c r="E10701">
        <v>11.01</v>
      </c>
      <c r="F10701" s="1789">
        <v>8.8999999999999996E-2</v>
      </c>
      <c r="G10701">
        <f t="shared" si="335"/>
        <v>10.029999999999999</v>
      </c>
    </row>
    <row r="10702" spans="1:7" ht="12.75" customHeight="1">
      <c r="A10702" s="3">
        <v>93382</v>
      </c>
      <c r="B10702" s="4" t="s">
        <v>10726</v>
      </c>
      <c r="C10702" s="3" t="s">
        <v>152</v>
      </c>
      <c r="D10702" s="5">
        <f t="shared" si="334"/>
        <v>21.51</v>
      </c>
      <c r="E10702">
        <v>23.62</v>
      </c>
      <c r="F10702" s="1789">
        <v>8.8999999999999996E-2</v>
      </c>
      <c r="G10702">
        <f t="shared" si="335"/>
        <v>21.51</v>
      </c>
    </row>
    <row r="10703" spans="1:7" ht="12.75" customHeight="1">
      <c r="A10703" s="3">
        <v>104728</v>
      </c>
      <c r="B10703" s="4" t="s">
        <v>10727</v>
      </c>
      <c r="C10703" s="3" t="s">
        <v>152</v>
      </c>
      <c r="D10703" s="5">
        <f t="shared" si="334"/>
        <v>16.559999999999999</v>
      </c>
      <c r="E10703">
        <v>18.18</v>
      </c>
      <c r="F10703" s="1789">
        <v>8.8999999999999996E-2</v>
      </c>
      <c r="G10703">
        <f t="shared" si="335"/>
        <v>16.559999999999999</v>
      </c>
    </row>
    <row r="10704" spans="1:7" ht="12.75" customHeight="1">
      <c r="A10704" s="3">
        <v>104729</v>
      </c>
      <c r="B10704" s="4" t="s">
        <v>10728</v>
      </c>
      <c r="C10704" s="3" t="s">
        <v>152</v>
      </c>
      <c r="D10704" s="5">
        <f t="shared" si="334"/>
        <v>14.12</v>
      </c>
      <c r="E10704">
        <v>15.5</v>
      </c>
      <c r="F10704" s="1789">
        <v>8.8999999999999996E-2</v>
      </c>
      <c r="G10704">
        <f t="shared" si="335"/>
        <v>14.12</v>
      </c>
    </row>
    <row r="10705" spans="1:7" ht="12.75" customHeight="1">
      <c r="A10705" s="3">
        <v>104730</v>
      </c>
      <c r="B10705" s="4" t="s">
        <v>10729</v>
      </c>
      <c r="C10705" s="3" t="s">
        <v>152</v>
      </c>
      <c r="D10705" s="5">
        <f t="shared" si="334"/>
        <v>11.05</v>
      </c>
      <c r="E10705">
        <v>12.14</v>
      </c>
      <c r="F10705" s="1789">
        <v>8.8999999999999996E-2</v>
      </c>
      <c r="G10705">
        <f t="shared" si="335"/>
        <v>11.05</v>
      </c>
    </row>
    <row r="10706" spans="1:7" ht="12.75" customHeight="1">
      <c r="A10706" s="3">
        <v>104731</v>
      </c>
      <c r="B10706" s="4" t="s">
        <v>10730</v>
      </c>
      <c r="C10706" s="3" t="s">
        <v>152</v>
      </c>
      <c r="D10706" s="5">
        <f t="shared" si="334"/>
        <v>10.5</v>
      </c>
      <c r="E10706">
        <v>11.53</v>
      </c>
      <c r="F10706" s="1789">
        <v>8.8999999999999996E-2</v>
      </c>
      <c r="G10706">
        <f t="shared" si="335"/>
        <v>10.5</v>
      </c>
    </row>
    <row r="10707" spans="1:7" ht="12.75" customHeight="1">
      <c r="A10707" s="3">
        <v>104732</v>
      </c>
      <c r="B10707" s="4" t="s">
        <v>10731</v>
      </c>
      <c r="C10707" s="3" t="s">
        <v>152</v>
      </c>
      <c r="D10707" s="5">
        <f t="shared" si="334"/>
        <v>8.5399999999999991</v>
      </c>
      <c r="E10707">
        <v>9.3800000000000008</v>
      </c>
      <c r="F10707" s="1789">
        <v>8.8999999999999996E-2</v>
      </c>
      <c r="G10707">
        <f t="shared" si="335"/>
        <v>8.5399999999999991</v>
      </c>
    </row>
    <row r="10708" spans="1:7" ht="12.75" customHeight="1">
      <c r="A10708" s="3">
        <v>104733</v>
      </c>
      <c r="B10708" s="4" t="s">
        <v>10732</v>
      </c>
      <c r="C10708" s="3" t="s">
        <v>152</v>
      </c>
      <c r="D10708" s="5">
        <f t="shared" si="334"/>
        <v>16.16</v>
      </c>
      <c r="E10708">
        <v>17.739999999999998</v>
      </c>
      <c r="F10708" s="1789">
        <v>8.8999999999999996E-2</v>
      </c>
      <c r="G10708">
        <f t="shared" si="335"/>
        <v>16.16</v>
      </c>
    </row>
    <row r="10709" spans="1:7" ht="12.75" customHeight="1">
      <c r="A10709" s="3">
        <v>104734</v>
      </c>
      <c r="B10709" s="4" t="s">
        <v>10733</v>
      </c>
      <c r="C10709" s="3" t="s">
        <v>152</v>
      </c>
      <c r="D10709" s="5">
        <f t="shared" ref="D10709:D10772" si="336">G10709</f>
        <v>11.77</v>
      </c>
      <c r="E10709">
        <v>12.92</v>
      </c>
      <c r="F10709" s="1789">
        <v>8.8999999999999996E-2</v>
      </c>
      <c r="G10709">
        <f t="shared" ref="G10709:G10772" si="337">TRUNC((1-F10709)*E10709,2)</f>
        <v>11.77</v>
      </c>
    </row>
    <row r="10710" spans="1:7" ht="12.75" customHeight="1">
      <c r="A10710" s="3">
        <v>104735</v>
      </c>
      <c r="B10710" s="4" t="s">
        <v>10734</v>
      </c>
      <c r="C10710" s="3" t="s">
        <v>152</v>
      </c>
      <c r="D10710" s="5">
        <f t="shared" si="336"/>
        <v>9.6199999999999992</v>
      </c>
      <c r="E10710">
        <v>10.57</v>
      </c>
      <c r="F10710" s="1789">
        <v>8.8999999999999996E-2</v>
      </c>
      <c r="G10710">
        <f t="shared" si="337"/>
        <v>9.6199999999999992</v>
      </c>
    </row>
    <row r="10711" spans="1:7" ht="12.75" customHeight="1">
      <c r="A10711" s="3">
        <v>104736</v>
      </c>
      <c r="B10711" s="4" t="s">
        <v>10735</v>
      </c>
      <c r="C10711" s="3" t="s">
        <v>152</v>
      </c>
      <c r="D10711" s="5">
        <f t="shared" si="336"/>
        <v>7.25</v>
      </c>
      <c r="E10711">
        <v>7.96</v>
      </c>
      <c r="F10711" s="1789">
        <v>8.8999999999999996E-2</v>
      </c>
      <c r="G10711">
        <f t="shared" si="337"/>
        <v>7.25</v>
      </c>
    </row>
    <row r="10712" spans="1:7" ht="12.75" customHeight="1">
      <c r="A10712" s="3">
        <v>104737</v>
      </c>
      <c r="B10712" s="4" t="s">
        <v>10736</v>
      </c>
      <c r="C10712" s="3" t="s">
        <v>152</v>
      </c>
      <c r="D10712" s="5">
        <f t="shared" si="336"/>
        <v>18.75</v>
      </c>
      <c r="E10712">
        <v>20.59</v>
      </c>
      <c r="F10712" s="1789">
        <v>8.8999999999999996E-2</v>
      </c>
      <c r="G10712">
        <f t="shared" si="337"/>
        <v>18.75</v>
      </c>
    </row>
    <row r="10713" spans="1:7" ht="12.75" customHeight="1">
      <c r="A10713" s="3">
        <v>104738</v>
      </c>
      <c r="B10713" s="4" t="s">
        <v>10737</v>
      </c>
      <c r="C10713" s="3" t="s">
        <v>152</v>
      </c>
      <c r="D10713" s="5">
        <f t="shared" si="336"/>
        <v>69.19</v>
      </c>
      <c r="E10713">
        <v>75.959999999999994</v>
      </c>
      <c r="F10713" s="1789">
        <v>8.8999999999999996E-2</v>
      </c>
      <c r="G10713">
        <f t="shared" si="337"/>
        <v>69.19</v>
      </c>
    </row>
    <row r="10714" spans="1:7" ht="12.75" customHeight="1">
      <c r="A10714" s="3">
        <v>104739</v>
      </c>
      <c r="B10714" s="4" t="s">
        <v>10738</v>
      </c>
      <c r="C10714" s="3" t="s">
        <v>152</v>
      </c>
      <c r="D10714" s="5">
        <f t="shared" si="336"/>
        <v>105.76</v>
      </c>
      <c r="E10714">
        <v>116.1</v>
      </c>
      <c r="F10714" s="1789">
        <v>8.8999999999999996E-2</v>
      </c>
      <c r="G10714">
        <f t="shared" si="337"/>
        <v>105.76</v>
      </c>
    </row>
    <row r="10715" spans="1:7" ht="12.75" customHeight="1">
      <c r="A10715" s="3">
        <v>104740</v>
      </c>
      <c r="B10715" s="4" t="s">
        <v>10739</v>
      </c>
      <c r="C10715" s="3" t="s">
        <v>152</v>
      </c>
      <c r="D10715" s="5">
        <f t="shared" si="336"/>
        <v>21.94</v>
      </c>
      <c r="E10715">
        <v>24.09</v>
      </c>
      <c r="F10715" s="1789">
        <v>8.8999999999999996E-2</v>
      </c>
      <c r="G10715">
        <f t="shared" si="337"/>
        <v>21.94</v>
      </c>
    </row>
    <row r="10716" spans="1:7" ht="12.75" customHeight="1">
      <c r="A10716" s="3">
        <v>104741</v>
      </c>
      <c r="B10716" s="4" t="s">
        <v>10740</v>
      </c>
      <c r="C10716" s="3" t="s">
        <v>152</v>
      </c>
      <c r="D10716" s="5">
        <f t="shared" si="336"/>
        <v>19.190000000000001</v>
      </c>
      <c r="E10716">
        <v>21.07</v>
      </c>
      <c r="F10716" s="1789">
        <v>8.8999999999999996E-2</v>
      </c>
      <c r="G10716">
        <f t="shared" si="337"/>
        <v>19.190000000000001</v>
      </c>
    </row>
    <row r="10717" spans="1:7" ht="12.75" customHeight="1">
      <c r="A10717" s="3">
        <v>104742</v>
      </c>
      <c r="B10717" s="4" t="s">
        <v>10741</v>
      </c>
      <c r="C10717" s="3" t="s">
        <v>409</v>
      </c>
      <c r="D10717" s="5">
        <f t="shared" si="336"/>
        <v>7.29</v>
      </c>
      <c r="E10717">
        <v>8.01</v>
      </c>
      <c r="F10717" s="1789">
        <v>8.8999999999999996E-2</v>
      </c>
      <c r="G10717">
        <f t="shared" si="337"/>
        <v>7.29</v>
      </c>
    </row>
    <row r="10718" spans="1:7" ht="12.75" customHeight="1">
      <c r="A10718" s="3">
        <v>97916</v>
      </c>
      <c r="B10718" s="4" t="s">
        <v>10742</v>
      </c>
      <c r="C10718" s="3" t="s">
        <v>10743</v>
      </c>
      <c r="D10718" s="5">
        <f t="shared" si="336"/>
        <v>2.3199999999999998</v>
      </c>
      <c r="E10718">
        <v>2.5499999999999998</v>
      </c>
      <c r="F10718" s="1789">
        <v>8.8999999999999996E-2</v>
      </c>
      <c r="G10718">
        <f t="shared" si="337"/>
        <v>2.3199999999999998</v>
      </c>
    </row>
    <row r="10719" spans="1:7" ht="12.75" customHeight="1">
      <c r="A10719" s="3">
        <v>97917</v>
      </c>
      <c r="B10719" s="4" t="s">
        <v>10744</v>
      </c>
      <c r="C10719" s="3" t="s">
        <v>10743</v>
      </c>
      <c r="D10719" s="5">
        <f t="shared" si="336"/>
        <v>1.99</v>
      </c>
      <c r="E10719">
        <v>2.19</v>
      </c>
      <c r="F10719" s="1789">
        <v>8.8999999999999996E-2</v>
      </c>
      <c r="G10719">
        <f t="shared" si="337"/>
        <v>1.99</v>
      </c>
    </row>
    <row r="10720" spans="1:7" ht="12.75" customHeight="1">
      <c r="A10720" s="3">
        <v>97918</v>
      </c>
      <c r="B10720" s="4" t="s">
        <v>10745</v>
      </c>
      <c r="C10720" s="3" t="s">
        <v>10743</v>
      </c>
      <c r="D10720" s="5">
        <f t="shared" si="336"/>
        <v>1.84</v>
      </c>
      <c r="E10720">
        <v>2.02</v>
      </c>
      <c r="F10720" s="1789">
        <v>8.8999999999999996E-2</v>
      </c>
      <c r="G10720">
        <f t="shared" si="337"/>
        <v>1.84</v>
      </c>
    </row>
    <row r="10721" spans="1:7" ht="12.75" customHeight="1">
      <c r="A10721" s="3">
        <v>97919</v>
      </c>
      <c r="B10721" s="4" t="s">
        <v>10746</v>
      </c>
      <c r="C10721" s="3" t="s">
        <v>10743</v>
      </c>
      <c r="D10721" s="5">
        <f t="shared" si="336"/>
        <v>0.72</v>
      </c>
      <c r="E10721">
        <v>0.8</v>
      </c>
      <c r="F10721" s="1789">
        <v>8.8999999999999996E-2</v>
      </c>
      <c r="G10721">
        <f t="shared" si="337"/>
        <v>0.72</v>
      </c>
    </row>
    <row r="10722" spans="1:7" ht="12.75" customHeight="1">
      <c r="A10722" s="3">
        <v>101616</v>
      </c>
      <c r="B10722" s="4" t="s">
        <v>10747</v>
      </c>
      <c r="C10722" s="3" t="s">
        <v>409</v>
      </c>
      <c r="D10722" s="5">
        <f t="shared" si="336"/>
        <v>5.37</v>
      </c>
      <c r="E10722">
        <v>5.9</v>
      </c>
      <c r="F10722" s="1789">
        <v>8.8999999999999996E-2</v>
      </c>
      <c r="G10722">
        <f t="shared" si="337"/>
        <v>5.37</v>
      </c>
    </row>
    <row r="10723" spans="1:7" ht="12.75" customHeight="1">
      <c r="A10723" s="3">
        <v>101617</v>
      </c>
      <c r="B10723" s="4" t="s">
        <v>10748</v>
      </c>
      <c r="C10723" s="3" t="s">
        <v>409</v>
      </c>
      <c r="D10723" s="5">
        <f t="shared" si="336"/>
        <v>2.64</v>
      </c>
      <c r="E10723">
        <v>2.9</v>
      </c>
      <c r="F10723" s="1789">
        <v>8.8999999999999996E-2</v>
      </c>
      <c r="G10723">
        <f t="shared" si="337"/>
        <v>2.64</v>
      </c>
    </row>
    <row r="10724" spans="1:7" ht="12.75" customHeight="1">
      <c r="A10724" s="3">
        <v>101618</v>
      </c>
      <c r="B10724" s="4" t="s">
        <v>10749</v>
      </c>
      <c r="C10724" s="3" t="s">
        <v>152</v>
      </c>
      <c r="D10724" s="5">
        <f t="shared" si="336"/>
        <v>239.43</v>
      </c>
      <c r="E10724">
        <v>262.83</v>
      </c>
      <c r="F10724" s="1789">
        <v>8.8999999999999996E-2</v>
      </c>
      <c r="G10724">
        <f t="shared" si="337"/>
        <v>239.43</v>
      </c>
    </row>
    <row r="10725" spans="1:7" ht="12.75" customHeight="1">
      <c r="A10725" s="3">
        <v>101619</v>
      </c>
      <c r="B10725" s="4" t="s">
        <v>10750</v>
      </c>
      <c r="C10725" s="3" t="s">
        <v>152</v>
      </c>
      <c r="D10725" s="5">
        <f t="shared" si="336"/>
        <v>303.39999999999998</v>
      </c>
      <c r="E10725">
        <v>333.05</v>
      </c>
      <c r="F10725" s="1789">
        <v>8.8999999999999996E-2</v>
      </c>
      <c r="G10725">
        <f t="shared" si="337"/>
        <v>303.39999999999998</v>
      </c>
    </row>
    <row r="10726" spans="1:7" ht="12.75" customHeight="1">
      <c r="A10726" s="3">
        <v>101620</v>
      </c>
      <c r="B10726" s="4" t="s">
        <v>10751</v>
      </c>
      <c r="C10726" s="3" t="s">
        <v>152</v>
      </c>
      <c r="D10726" s="5">
        <f t="shared" si="336"/>
        <v>217.94</v>
      </c>
      <c r="E10726">
        <v>239.24</v>
      </c>
      <c r="F10726" s="1789">
        <v>8.8999999999999996E-2</v>
      </c>
      <c r="G10726">
        <f t="shared" si="337"/>
        <v>217.94</v>
      </c>
    </row>
    <row r="10727" spans="1:7" ht="12.75" customHeight="1">
      <c r="A10727" s="3">
        <v>101621</v>
      </c>
      <c r="B10727" s="4" t="s">
        <v>10752</v>
      </c>
      <c r="C10727" s="3" t="s">
        <v>152</v>
      </c>
      <c r="D10727" s="5">
        <f t="shared" si="336"/>
        <v>281.89999999999998</v>
      </c>
      <c r="E10727">
        <v>309.45</v>
      </c>
      <c r="F10727" s="1789">
        <v>8.8999999999999996E-2</v>
      </c>
      <c r="G10727">
        <f t="shared" si="337"/>
        <v>281.89999999999998</v>
      </c>
    </row>
    <row r="10728" spans="1:7" ht="12.75" customHeight="1">
      <c r="A10728" s="3">
        <v>101622</v>
      </c>
      <c r="B10728" s="4" t="s">
        <v>10753</v>
      </c>
      <c r="C10728" s="3" t="s">
        <v>152</v>
      </c>
      <c r="D10728" s="5">
        <f t="shared" si="336"/>
        <v>213.22</v>
      </c>
      <c r="E10728">
        <v>234.06</v>
      </c>
      <c r="F10728" s="1789">
        <v>8.8999999999999996E-2</v>
      </c>
      <c r="G10728">
        <f t="shared" si="337"/>
        <v>213.22</v>
      </c>
    </row>
    <row r="10729" spans="1:7" ht="12.75" customHeight="1">
      <c r="A10729" s="3">
        <v>101623</v>
      </c>
      <c r="B10729" s="4" t="s">
        <v>10754</v>
      </c>
      <c r="C10729" s="3" t="s">
        <v>152</v>
      </c>
      <c r="D10729" s="5">
        <f t="shared" si="336"/>
        <v>271.10000000000002</v>
      </c>
      <c r="E10729">
        <v>297.58999999999997</v>
      </c>
      <c r="F10729" s="1789">
        <v>8.8999999999999996E-2</v>
      </c>
      <c r="G10729">
        <f t="shared" si="337"/>
        <v>271.10000000000002</v>
      </c>
    </row>
    <row r="10730" spans="1:7" ht="12.75" customHeight="1">
      <c r="A10730" s="3">
        <v>101624</v>
      </c>
      <c r="B10730" s="4" t="s">
        <v>10755</v>
      </c>
      <c r="C10730" s="3" t="s">
        <v>152</v>
      </c>
      <c r="D10730" s="5">
        <f t="shared" si="336"/>
        <v>233.17</v>
      </c>
      <c r="E10730">
        <v>255.96</v>
      </c>
      <c r="F10730" s="1789">
        <v>8.8999999999999996E-2</v>
      </c>
      <c r="G10730">
        <f t="shared" si="337"/>
        <v>233.17</v>
      </c>
    </row>
    <row r="10731" spans="1:7" ht="12.75" customHeight="1">
      <c r="A10731" s="3">
        <v>101625</v>
      </c>
      <c r="B10731" s="4" t="s">
        <v>10756</v>
      </c>
      <c r="C10731" s="3" t="s">
        <v>152</v>
      </c>
      <c r="D10731" s="5">
        <f t="shared" si="336"/>
        <v>180.12</v>
      </c>
      <c r="E10731">
        <v>197.72</v>
      </c>
      <c r="F10731" s="1789">
        <v>8.8999999999999996E-2</v>
      </c>
      <c r="G10731">
        <f t="shared" si="337"/>
        <v>180.12</v>
      </c>
    </row>
    <row r="10732" spans="1:7" ht="12.75" customHeight="1">
      <c r="A10732" s="3">
        <v>101159</v>
      </c>
      <c r="B10732" s="4" t="s">
        <v>10757</v>
      </c>
      <c r="C10732" s="3" t="s">
        <v>409</v>
      </c>
      <c r="D10732" s="5">
        <f t="shared" si="336"/>
        <v>139.59</v>
      </c>
      <c r="E10732">
        <v>153.22999999999999</v>
      </c>
      <c r="F10732" s="1789">
        <v>8.8999999999999996E-2</v>
      </c>
      <c r="G10732">
        <f t="shared" si="337"/>
        <v>139.59</v>
      </c>
    </row>
    <row r="10733" spans="1:7" ht="12.75" customHeight="1">
      <c r="A10733" s="3">
        <v>103322</v>
      </c>
      <c r="B10733" s="4" t="s">
        <v>10758</v>
      </c>
      <c r="C10733" s="3" t="s">
        <v>409</v>
      </c>
      <c r="D10733" s="5">
        <f t="shared" si="336"/>
        <v>60.49</v>
      </c>
      <c r="E10733">
        <v>66.400000000000006</v>
      </c>
      <c r="F10733" s="1789">
        <v>8.8999999999999996E-2</v>
      </c>
      <c r="G10733">
        <f t="shared" si="337"/>
        <v>60.49</v>
      </c>
    </row>
    <row r="10734" spans="1:7" ht="12.75" customHeight="1">
      <c r="A10734" s="3">
        <v>103323</v>
      </c>
      <c r="B10734" s="4" t="s">
        <v>10759</v>
      </c>
      <c r="C10734" s="3" t="s">
        <v>409</v>
      </c>
      <c r="D10734" s="5">
        <f t="shared" si="336"/>
        <v>61.67</v>
      </c>
      <c r="E10734">
        <v>67.7</v>
      </c>
      <c r="F10734" s="1789">
        <v>8.8999999999999996E-2</v>
      </c>
      <c r="G10734">
        <f t="shared" si="337"/>
        <v>61.67</v>
      </c>
    </row>
    <row r="10735" spans="1:7" ht="12.75" customHeight="1">
      <c r="A10735" s="3">
        <v>103324</v>
      </c>
      <c r="B10735" s="4" t="s">
        <v>10760</v>
      </c>
      <c r="C10735" s="3" t="s">
        <v>409</v>
      </c>
      <c r="D10735" s="5">
        <f t="shared" si="336"/>
        <v>80.239999999999995</v>
      </c>
      <c r="E10735">
        <v>88.09</v>
      </c>
      <c r="F10735" s="1789">
        <v>8.8999999999999996E-2</v>
      </c>
      <c r="G10735">
        <f t="shared" si="337"/>
        <v>80.239999999999995</v>
      </c>
    </row>
    <row r="10736" spans="1:7" ht="12.75" customHeight="1">
      <c r="A10736" s="3">
        <v>103325</v>
      </c>
      <c r="B10736" s="4" t="s">
        <v>10761</v>
      </c>
      <c r="C10736" s="3" t="s">
        <v>409</v>
      </c>
      <c r="D10736" s="5">
        <f t="shared" si="336"/>
        <v>81.59</v>
      </c>
      <c r="E10736">
        <v>89.57</v>
      </c>
      <c r="F10736" s="1789">
        <v>8.8999999999999996E-2</v>
      </c>
      <c r="G10736">
        <f t="shared" si="337"/>
        <v>81.59</v>
      </c>
    </row>
    <row r="10737" spans="1:7" ht="12.75" customHeight="1">
      <c r="A10737" s="3">
        <v>103326</v>
      </c>
      <c r="B10737" s="4" t="s">
        <v>10762</v>
      </c>
      <c r="C10737" s="3" t="s">
        <v>409</v>
      </c>
      <c r="D10737" s="5">
        <f t="shared" si="336"/>
        <v>97.23</v>
      </c>
      <c r="E10737">
        <v>106.73</v>
      </c>
      <c r="F10737" s="1789">
        <v>8.8999999999999996E-2</v>
      </c>
      <c r="G10737">
        <f t="shared" si="337"/>
        <v>97.23</v>
      </c>
    </row>
    <row r="10738" spans="1:7" ht="12.75" customHeight="1">
      <c r="A10738" s="3">
        <v>103327</v>
      </c>
      <c r="B10738" s="4" t="s">
        <v>10763</v>
      </c>
      <c r="C10738" s="3" t="s">
        <v>409</v>
      </c>
      <c r="D10738" s="5">
        <f t="shared" si="336"/>
        <v>98.8</v>
      </c>
      <c r="E10738">
        <v>108.46</v>
      </c>
      <c r="F10738" s="1789">
        <v>8.8999999999999996E-2</v>
      </c>
      <c r="G10738">
        <f t="shared" si="337"/>
        <v>98.8</v>
      </c>
    </row>
    <row r="10739" spans="1:7" ht="12.75" customHeight="1">
      <c r="A10739" s="3">
        <v>103328</v>
      </c>
      <c r="B10739" s="4" t="s">
        <v>10764</v>
      </c>
      <c r="C10739" s="3" t="s">
        <v>409</v>
      </c>
      <c r="D10739" s="5">
        <f t="shared" si="336"/>
        <v>86.32</v>
      </c>
      <c r="E10739">
        <v>94.76</v>
      </c>
      <c r="F10739" s="1789">
        <v>8.8999999999999996E-2</v>
      </c>
      <c r="G10739">
        <f t="shared" si="337"/>
        <v>86.32</v>
      </c>
    </row>
    <row r="10740" spans="1:7" ht="12.75" customHeight="1">
      <c r="A10740" s="3">
        <v>103329</v>
      </c>
      <c r="B10740" s="4" t="s">
        <v>10765</v>
      </c>
      <c r="C10740" s="3" t="s">
        <v>409</v>
      </c>
      <c r="D10740" s="5">
        <f t="shared" si="336"/>
        <v>87.37</v>
      </c>
      <c r="E10740">
        <v>95.91</v>
      </c>
      <c r="F10740" s="1789">
        <v>8.8999999999999996E-2</v>
      </c>
      <c r="G10740">
        <f t="shared" si="337"/>
        <v>87.37</v>
      </c>
    </row>
    <row r="10741" spans="1:7" ht="12.75" customHeight="1">
      <c r="A10741" s="3">
        <v>103330</v>
      </c>
      <c r="B10741" s="4" t="s">
        <v>10766</v>
      </c>
      <c r="C10741" s="3" t="s">
        <v>409</v>
      </c>
      <c r="D10741" s="5">
        <f t="shared" si="336"/>
        <v>83.11</v>
      </c>
      <c r="E10741">
        <v>91.24</v>
      </c>
      <c r="F10741" s="1789">
        <v>8.8999999999999996E-2</v>
      </c>
      <c r="G10741">
        <f t="shared" si="337"/>
        <v>83.11</v>
      </c>
    </row>
    <row r="10742" spans="1:7" ht="12.75" customHeight="1">
      <c r="A10742" s="3">
        <v>103331</v>
      </c>
      <c r="B10742" s="4" t="s">
        <v>10767</v>
      </c>
      <c r="C10742" s="3" t="s">
        <v>409</v>
      </c>
      <c r="D10742" s="5">
        <f t="shared" si="336"/>
        <v>84.24</v>
      </c>
      <c r="E10742">
        <v>92.47</v>
      </c>
      <c r="F10742" s="1789">
        <v>8.8999999999999996E-2</v>
      </c>
      <c r="G10742">
        <f t="shared" si="337"/>
        <v>84.24</v>
      </c>
    </row>
    <row r="10743" spans="1:7" ht="12.75" customHeight="1">
      <c r="A10743" s="3">
        <v>103332</v>
      </c>
      <c r="B10743" s="4" t="s">
        <v>10768</v>
      </c>
      <c r="C10743" s="3" t="s">
        <v>409</v>
      </c>
      <c r="D10743" s="5">
        <f t="shared" si="336"/>
        <v>112.63</v>
      </c>
      <c r="E10743">
        <v>123.64</v>
      </c>
      <c r="F10743" s="1789">
        <v>8.8999999999999996E-2</v>
      </c>
      <c r="G10743">
        <f t="shared" si="337"/>
        <v>112.63</v>
      </c>
    </row>
    <row r="10744" spans="1:7" ht="12.75" customHeight="1">
      <c r="A10744" s="3">
        <v>103333</v>
      </c>
      <c r="B10744" s="4" t="s">
        <v>10769</v>
      </c>
      <c r="C10744" s="3" t="s">
        <v>409</v>
      </c>
      <c r="D10744" s="5">
        <f t="shared" si="336"/>
        <v>113.82</v>
      </c>
      <c r="E10744">
        <v>124.95</v>
      </c>
      <c r="F10744" s="1789">
        <v>8.8999999999999996E-2</v>
      </c>
      <c r="G10744">
        <f t="shared" si="337"/>
        <v>113.82</v>
      </c>
    </row>
    <row r="10745" spans="1:7" ht="12.75" customHeight="1">
      <c r="A10745" s="3">
        <v>103334</v>
      </c>
      <c r="B10745" s="4" t="s">
        <v>10770</v>
      </c>
      <c r="C10745" s="3" t="s">
        <v>409</v>
      </c>
      <c r="D10745" s="5">
        <f t="shared" si="336"/>
        <v>139.69999999999999</v>
      </c>
      <c r="E10745">
        <v>153.35</v>
      </c>
      <c r="F10745" s="1789">
        <v>8.8999999999999996E-2</v>
      </c>
      <c r="G10745">
        <f t="shared" si="337"/>
        <v>139.69999999999999</v>
      </c>
    </row>
    <row r="10746" spans="1:7" ht="12.75" customHeight="1">
      <c r="A10746" s="3">
        <v>103335</v>
      </c>
      <c r="B10746" s="4" t="s">
        <v>10771</v>
      </c>
      <c r="C10746" s="3" t="s">
        <v>409</v>
      </c>
      <c r="D10746" s="5">
        <f t="shared" si="336"/>
        <v>141.79</v>
      </c>
      <c r="E10746">
        <v>155.65</v>
      </c>
      <c r="F10746" s="1789">
        <v>8.8999999999999996E-2</v>
      </c>
      <c r="G10746">
        <f t="shared" si="337"/>
        <v>141.79</v>
      </c>
    </row>
    <row r="10747" spans="1:7" ht="12.75" customHeight="1">
      <c r="A10747" s="3">
        <v>103350</v>
      </c>
      <c r="B10747" s="4" t="s">
        <v>10772</v>
      </c>
      <c r="C10747" s="3" t="s">
        <v>409</v>
      </c>
      <c r="D10747" s="5">
        <f t="shared" si="336"/>
        <v>172.65</v>
      </c>
      <c r="E10747">
        <v>189.52</v>
      </c>
      <c r="F10747" s="1789">
        <v>8.8999999999999996E-2</v>
      </c>
      <c r="G10747">
        <f t="shared" si="337"/>
        <v>172.65</v>
      </c>
    </row>
    <row r="10748" spans="1:7" ht="12.75" customHeight="1">
      <c r="A10748" s="3">
        <v>103351</v>
      </c>
      <c r="B10748" s="4" t="s">
        <v>10773</v>
      </c>
      <c r="C10748" s="3" t="s">
        <v>409</v>
      </c>
      <c r="D10748" s="5">
        <f t="shared" si="336"/>
        <v>174.18</v>
      </c>
      <c r="E10748">
        <v>191.2</v>
      </c>
      <c r="F10748" s="1789">
        <v>8.8999999999999996E-2</v>
      </c>
      <c r="G10748">
        <f t="shared" si="337"/>
        <v>174.18</v>
      </c>
    </row>
    <row r="10749" spans="1:7" ht="12.75" customHeight="1">
      <c r="A10749" s="3">
        <v>103356</v>
      </c>
      <c r="B10749" s="4" t="s">
        <v>10774</v>
      </c>
      <c r="C10749" s="3" t="s">
        <v>409</v>
      </c>
      <c r="D10749" s="5">
        <f t="shared" si="336"/>
        <v>56.14</v>
      </c>
      <c r="E10749">
        <v>61.63</v>
      </c>
      <c r="F10749" s="1789">
        <v>8.8999999999999996E-2</v>
      </c>
      <c r="G10749">
        <f t="shared" si="337"/>
        <v>56.14</v>
      </c>
    </row>
    <row r="10750" spans="1:7" ht="12.75" customHeight="1">
      <c r="A10750" s="3">
        <v>103357</v>
      </c>
      <c r="B10750" s="4" t="s">
        <v>10775</v>
      </c>
      <c r="C10750" s="3" t="s">
        <v>409</v>
      </c>
      <c r="D10750" s="5">
        <f t="shared" si="336"/>
        <v>57.02</v>
      </c>
      <c r="E10750">
        <v>62.6</v>
      </c>
      <c r="F10750" s="1789">
        <v>8.8999999999999996E-2</v>
      </c>
      <c r="G10750">
        <f t="shared" si="337"/>
        <v>57.02</v>
      </c>
    </row>
    <row r="10751" spans="1:7" ht="12.75" customHeight="1">
      <c r="A10751" s="3">
        <v>89282</v>
      </c>
      <c r="B10751" s="4" t="s">
        <v>10776</v>
      </c>
      <c r="C10751" s="3" t="s">
        <v>409</v>
      </c>
      <c r="D10751" s="5">
        <f t="shared" si="336"/>
        <v>76.430000000000007</v>
      </c>
      <c r="E10751">
        <v>83.9</v>
      </c>
      <c r="F10751" s="1789">
        <v>8.8999999999999996E-2</v>
      </c>
      <c r="G10751">
        <f t="shared" si="337"/>
        <v>76.430000000000007</v>
      </c>
    </row>
    <row r="10752" spans="1:7" ht="12.75" customHeight="1">
      <c r="A10752" s="3">
        <v>89283</v>
      </c>
      <c r="B10752" s="4" t="s">
        <v>10777</v>
      </c>
      <c r="C10752" s="3" t="s">
        <v>409</v>
      </c>
      <c r="D10752" s="5">
        <f t="shared" si="336"/>
        <v>77.83</v>
      </c>
      <c r="E10752">
        <v>85.44</v>
      </c>
      <c r="F10752" s="1789">
        <v>8.8999999999999996E-2</v>
      </c>
      <c r="G10752">
        <f t="shared" si="337"/>
        <v>77.83</v>
      </c>
    </row>
    <row r="10753" spans="1:7" ht="12.75" customHeight="1">
      <c r="A10753" s="3">
        <v>89290</v>
      </c>
      <c r="B10753" s="4" t="s">
        <v>10778</v>
      </c>
      <c r="C10753" s="3" t="s">
        <v>409</v>
      </c>
      <c r="D10753" s="5">
        <f t="shared" si="336"/>
        <v>84.83</v>
      </c>
      <c r="E10753">
        <v>93.12</v>
      </c>
      <c r="F10753" s="1789">
        <v>8.8999999999999996E-2</v>
      </c>
      <c r="G10753">
        <f t="shared" si="337"/>
        <v>84.83</v>
      </c>
    </row>
    <row r="10754" spans="1:7" ht="12.75" customHeight="1">
      <c r="A10754" s="3">
        <v>89291</v>
      </c>
      <c r="B10754" s="4" t="s">
        <v>10779</v>
      </c>
      <c r="C10754" s="3" t="s">
        <v>409</v>
      </c>
      <c r="D10754" s="5">
        <f t="shared" si="336"/>
        <v>86.39</v>
      </c>
      <c r="E10754">
        <v>94.83</v>
      </c>
      <c r="F10754" s="1789">
        <v>8.8999999999999996E-2</v>
      </c>
      <c r="G10754">
        <f t="shared" si="337"/>
        <v>86.39</v>
      </c>
    </row>
    <row r="10755" spans="1:7" ht="12.75" customHeight="1">
      <c r="A10755" s="3">
        <v>89298</v>
      </c>
      <c r="B10755" s="4" t="s">
        <v>10780</v>
      </c>
      <c r="C10755" s="3" t="s">
        <v>409</v>
      </c>
      <c r="D10755" s="5">
        <f t="shared" si="336"/>
        <v>86.16</v>
      </c>
      <c r="E10755">
        <v>94.58</v>
      </c>
      <c r="F10755" s="1789">
        <v>8.8999999999999996E-2</v>
      </c>
      <c r="G10755">
        <f t="shared" si="337"/>
        <v>86.16</v>
      </c>
    </row>
    <row r="10756" spans="1:7" ht="12.75" customHeight="1">
      <c r="A10756" s="3">
        <v>89299</v>
      </c>
      <c r="B10756" s="4" t="s">
        <v>10781</v>
      </c>
      <c r="C10756" s="3" t="s">
        <v>409</v>
      </c>
      <c r="D10756" s="5">
        <f t="shared" si="336"/>
        <v>88.03</v>
      </c>
      <c r="E10756">
        <v>96.64</v>
      </c>
      <c r="F10756" s="1789">
        <v>8.8999999999999996E-2</v>
      </c>
      <c r="G10756">
        <f t="shared" si="337"/>
        <v>88.03</v>
      </c>
    </row>
    <row r="10757" spans="1:7" ht="12.75" customHeight="1">
      <c r="A10757" s="3">
        <v>89306</v>
      </c>
      <c r="B10757" s="4" t="s">
        <v>10782</v>
      </c>
      <c r="C10757" s="3" t="s">
        <v>409</v>
      </c>
      <c r="D10757" s="5">
        <f t="shared" si="336"/>
        <v>98.57</v>
      </c>
      <c r="E10757">
        <v>108.2</v>
      </c>
      <c r="F10757" s="1789">
        <v>8.8999999999999996E-2</v>
      </c>
      <c r="G10757">
        <f t="shared" si="337"/>
        <v>98.57</v>
      </c>
    </row>
    <row r="10758" spans="1:7" ht="12.75" customHeight="1">
      <c r="A10758" s="3">
        <v>89307</v>
      </c>
      <c r="B10758" s="4" t="s">
        <v>10783</v>
      </c>
      <c r="C10758" s="3" t="s">
        <v>409</v>
      </c>
      <c r="D10758" s="5">
        <f t="shared" si="336"/>
        <v>100.66</v>
      </c>
      <c r="E10758">
        <v>110.5</v>
      </c>
      <c r="F10758" s="1789">
        <v>8.8999999999999996E-2</v>
      </c>
      <c r="G10758">
        <f t="shared" si="337"/>
        <v>100.66</v>
      </c>
    </row>
    <row r="10759" spans="1:7" ht="12.75" customHeight="1">
      <c r="A10759" s="3">
        <v>101157</v>
      </c>
      <c r="B10759" s="4" t="s">
        <v>10784</v>
      </c>
      <c r="C10759" s="3" t="s">
        <v>409</v>
      </c>
      <c r="D10759" s="5">
        <f t="shared" si="336"/>
        <v>64.489999999999995</v>
      </c>
      <c r="E10759">
        <v>70.8</v>
      </c>
      <c r="F10759" s="1789">
        <v>8.8999999999999996E-2</v>
      </c>
      <c r="G10759">
        <f t="shared" si="337"/>
        <v>64.489999999999995</v>
      </c>
    </row>
    <row r="10760" spans="1:7" ht="12.75" customHeight="1">
      <c r="A10760" s="3">
        <v>101158</v>
      </c>
      <c r="B10760" s="4" t="s">
        <v>10785</v>
      </c>
      <c r="C10760" s="3" t="s">
        <v>409</v>
      </c>
      <c r="D10760" s="5">
        <f t="shared" si="336"/>
        <v>84.92</v>
      </c>
      <c r="E10760">
        <v>93.22</v>
      </c>
      <c r="F10760" s="1789">
        <v>8.8999999999999996E-2</v>
      </c>
      <c r="G10760">
        <f t="shared" si="337"/>
        <v>84.92</v>
      </c>
    </row>
    <row r="10761" spans="1:7" ht="12.75" customHeight="1">
      <c r="A10761" s="3">
        <v>101162</v>
      </c>
      <c r="B10761" s="4" t="s">
        <v>10786</v>
      </c>
      <c r="C10761" s="3" t="s">
        <v>409</v>
      </c>
      <c r="D10761" s="5">
        <f t="shared" si="336"/>
        <v>157.21</v>
      </c>
      <c r="E10761">
        <v>172.57</v>
      </c>
      <c r="F10761" s="1789">
        <v>8.8999999999999996E-2</v>
      </c>
      <c r="G10761">
        <f t="shared" si="337"/>
        <v>157.21</v>
      </c>
    </row>
    <row r="10762" spans="1:7" ht="12.75" customHeight="1">
      <c r="A10762" s="3">
        <v>103316</v>
      </c>
      <c r="B10762" s="4" t="s">
        <v>10787</v>
      </c>
      <c r="C10762" s="3" t="s">
        <v>409</v>
      </c>
      <c r="D10762" s="5">
        <f t="shared" si="336"/>
        <v>71.709999999999994</v>
      </c>
      <c r="E10762">
        <v>78.72</v>
      </c>
      <c r="F10762" s="1789">
        <v>8.8999999999999996E-2</v>
      </c>
      <c r="G10762">
        <f t="shared" si="337"/>
        <v>71.709999999999994</v>
      </c>
    </row>
    <row r="10763" spans="1:7" ht="12.75" customHeight="1">
      <c r="A10763" s="3">
        <v>103317</v>
      </c>
      <c r="B10763" s="4" t="s">
        <v>10788</v>
      </c>
      <c r="C10763" s="3" t="s">
        <v>409</v>
      </c>
      <c r="D10763" s="5">
        <f t="shared" si="336"/>
        <v>72.7</v>
      </c>
      <c r="E10763">
        <v>79.81</v>
      </c>
      <c r="F10763" s="1789">
        <v>8.8999999999999996E-2</v>
      </c>
      <c r="G10763">
        <f t="shared" si="337"/>
        <v>72.7</v>
      </c>
    </row>
    <row r="10764" spans="1:7" ht="12.75" customHeight="1">
      <c r="A10764" s="3">
        <v>103318</v>
      </c>
      <c r="B10764" s="4" t="s">
        <v>10789</v>
      </c>
      <c r="C10764" s="3" t="s">
        <v>409</v>
      </c>
      <c r="D10764" s="5">
        <f t="shared" si="336"/>
        <v>92.64</v>
      </c>
      <c r="E10764">
        <v>101.7</v>
      </c>
      <c r="F10764" s="1789">
        <v>8.8999999999999996E-2</v>
      </c>
      <c r="G10764">
        <f t="shared" si="337"/>
        <v>92.64</v>
      </c>
    </row>
    <row r="10765" spans="1:7" ht="12.75" customHeight="1">
      <c r="A10765" s="3">
        <v>103319</v>
      </c>
      <c r="B10765" s="4" t="s">
        <v>10790</v>
      </c>
      <c r="C10765" s="3" t="s">
        <v>409</v>
      </c>
      <c r="D10765" s="5">
        <f t="shared" si="336"/>
        <v>93.81</v>
      </c>
      <c r="E10765">
        <v>102.98</v>
      </c>
      <c r="F10765" s="1789">
        <v>8.8999999999999996E-2</v>
      </c>
      <c r="G10765">
        <f t="shared" si="337"/>
        <v>93.81</v>
      </c>
    </row>
    <row r="10766" spans="1:7" ht="12.75" customHeight="1">
      <c r="A10766" s="3">
        <v>103320</v>
      </c>
      <c r="B10766" s="4" t="s">
        <v>10791</v>
      </c>
      <c r="C10766" s="3" t="s">
        <v>409</v>
      </c>
      <c r="D10766" s="5">
        <f t="shared" si="336"/>
        <v>111.93</v>
      </c>
      <c r="E10766">
        <v>122.87</v>
      </c>
      <c r="F10766" s="1789">
        <v>8.8999999999999996E-2</v>
      </c>
      <c r="G10766">
        <f t="shared" si="337"/>
        <v>111.93</v>
      </c>
    </row>
    <row r="10767" spans="1:7" ht="12.75" customHeight="1">
      <c r="A10767" s="3">
        <v>103321</v>
      </c>
      <c r="B10767" s="4" t="s">
        <v>10792</v>
      </c>
      <c r="C10767" s="3" t="s">
        <v>409</v>
      </c>
      <c r="D10767" s="5">
        <f t="shared" si="336"/>
        <v>113.4</v>
      </c>
      <c r="E10767">
        <v>124.48</v>
      </c>
      <c r="F10767" s="1789">
        <v>8.8999999999999996E-2</v>
      </c>
      <c r="G10767">
        <f t="shared" si="337"/>
        <v>113.4</v>
      </c>
    </row>
    <row r="10768" spans="1:7" ht="12.75" customHeight="1">
      <c r="A10768" s="3">
        <v>103336</v>
      </c>
      <c r="B10768" s="4" t="s">
        <v>10793</v>
      </c>
      <c r="C10768" s="3" t="s">
        <v>409</v>
      </c>
      <c r="D10768" s="5">
        <f t="shared" si="336"/>
        <v>79.62</v>
      </c>
      <c r="E10768">
        <v>87.4</v>
      </c>
      <c r="F10768" s="1789">
        <v>8.8999999999999996E-2</v>
      </c>
      <c r="G10768">
        <f t="shared" si="337"/>
        <v>79.62</v>
      </c>
    </row>
    <row r="10769" spans="1:7" ht="12.75" customHeight="1">
      <c r="A10769" s="3">
        <v>103337</v>
      </c>
      <c r="B10769" s="4" t="s">
        <v>10794</v>
      </c>
      <c r="C10769" s="3" t="s">
        <v>409</v>
      </c>
      <c r="D10769" s="5">
        <f t="shared" si="336"/>
        <v>80.61</v>
      </c>
      <c r="E10769">
        <v>88.49</v>
      </c>
      <c r="F10769" s="1789">
        <v>8.8999999999999996E-2</v>
      </c>
      <c r="G10769">
        <f t="shared" si="337"/>
        <v>80.61</v>
      </c>
    </row>
    <row r="10770" spans="1:7" ht="12.75" customHeight="1">
      <c r="A10770" s="3">
        <v>103338</v>
      </c>
      <c r="B10770" s="4" t="s">
        <v>10795</v>
      </c>
      <c r="C10770" s="3" t="s">
        <v>409</v>
      </c>
      <c r="D10770" s="5">
        <f t="shared" si="336"/>
        <v>104.39</v>
      </c>
      <c r="E10770">
        <v>114.59</v>
      </c>
      <c r="F10770" s="1789">
        <v>8.8999999999999996E-2</v>
      </c>
      <c r="G10770">
        <f t="shared" si="337"/>
        <v>104.39</v>
      </c>
    </row>
    <row r="10771" spans="1:7" ht="12.75" customHeight="1">
      <c r="A10771" s="3">
        <v>103339</v>
      </c>
      <c r="B10771" s="4" t="s">
        <v>10796</v>
      </c>
      <c r="C10771" s="3" t="s">
        <v>409</v>
      </c>
      <c r="D10771" s="5">
        <f t="shared" si="336"/>
        <v>105.55</v>
      </c>
      <c r="E10771">
        <v>115.87</v>
      </c>
      <c r="F10771" s="1789">
        <v>8.8999999999999996E-2</v>
      </c>
      <c r="G10771">
        <f t="shared" si="337"/>
        <v>105.55</v>
      </c>
    </row>
    <row r="10772" spans="1:7" ht="12.75" customHeight="1">
      <c r="A10772" s="3">
        <v>103340</v>
      </c>
      <c r="B10772" s="4" t="s">
        <v>10797</v>
      </c>
      <c r="C10772" s="3" t="s">
        <v>409</v>
      </c>
      <c r="D10772" s="5">
        <f t="shared" si="336"/>
        <v>127.1</v>
      </c>
      <c r="E10772">
        <v>139.52000000000001</v>
      </c>
      <c r="F10772" s="1789">
        <v>8.8999999999999996E-2</v>
      </c>
      <c r="G10772">
        <f t="shared" si="337"/>
        <v>127.1</v>
      </c>
    </row>
    <row r="10773" spans="1:7" ht="12.75" customHeight="1">
      <c r="A10773" s="3">
        <v>103341</v>
      </c>
      <c r="B10773" s="4" t="s">
        <v>10798</v>
      </c>
      <c r="C10773" s="3" t="s">
        <v>409</v>
      </c>
      <c r="D10773" s="5">
        <f t="shared" ref="D10773:D10836" si="338">G10773</f>
        <v>128.56</v>
      </c>
      <c r="E10773">
        <v>141.13</v>
      </c>
      <c r="F10773" s="1789">
        <v>8.8999999999999996E-2</v>
      </c>
      <c r="G10773">
        <f t="shared" ref="G10773:G10836" si="339">TRUNC((1-F10773)*E10773,2)</f>
        <v>128.56</v>
      </c>
    </row>
    <row r="10774" spans="1:7" ht="12.75" customHeight="1">
      <c r="A10774" s="3">
        <v>103342</v>
      </c>
      <c r="B10774" s="4" t="s">
        <v>10799</v>
      </c>
      <c r="C10774" s="3" t="s">
        <v>409</v>
      </c>
      <c r="D10774" s="5">
        <f t="shared" si="338"/>
        <v>108.6</v>
      </c>
      <c r="E10774">
        <v>119.21</v>
      </c>
      <c r="F10774" s="1789">
        <v>8.8999999999999996E-2</v>
      </c>
      <c r="G10774">
        <f t="shared" si="339"/>
        <v>108.6</v>
      </c>
    </row>
    <row r="10775" spans="1:7" ht="12.75" customHeight="1">
      <c r="A10775" s="3">
        <v>103343</v>
      </c>
      <c r="B10775" s="4" t="s">
        <v>10800</v>
      </c>
      <c r="C10775" s="3" t="s">
        <v>409</v>
      </c>
      <c r="D10775" s="5">
        <f t="shared" si="338"/>
        <v>109.89</v>
      </c>
      <c r="E10775">
        <v>120.63</v>
      </c>
      <c r="F10775" s="1789">
        <v>8.8999999999999996E-2</v>
      </c>
      <c r="G10775">
        <f t="shared" si="339"/>
        <v>109.89</v>
      </c>
    </row>
    <row r="10776" spans="1:7" ht="12.75" customHeight="1">
      <c r="A10776" s="3">
        <v>89453</v>
      </c>
      <c r="B10776" s="4" t="s">
        <v>10801</v>
      </c>
      <c r="C10776" s="3" t="s">
        <v>409</v>
      </c>
      <c r="D10776" s="5">
        <f t="shared" si="338"/>
        <v>83.96</v>
      </c>
      <c r="E10776">
        <v>92.17</v>
      </c>
      <c r="F10776" s="1789">
        <v>8.8999999999999996E-2</v>
      </c>
      <c r="G10776">
        <f t="shared" si="339"/>
        <v>83.96</v>
      </c>
    </row>
    <row r="10777" spans="1:7" ht="12.75" customHeight="1">
      <c r="A10777" s="3">
        <v>89455</v>
      </c>
      <c r="B10777" s="4" t="s">
        <v>10802</v>
      </c>
      <c r="C10777" s="3" t="s">
        <v>409</v>
      </c>
      <c r="D10777" s="5">
        <f t="shared" si="338"/>
        <v>102.99</v>
      </c>
      <c r="E10777">
        <v>113.06</v>
      </c>
      <c r="F10777" s="1789">
        <v>8.8999999999999996E-2</v>
      </c>
      <c r="G10777">
        <f t="shared" si="339"/>
        <v>102.99</v>
      </c>
    </row>
    <row r="10778" spans="1:7" ht="12.75" customHeight="1">
      <c r="A10778" s="3">
        <v>89462</v>
      </c>
      <c r="B10778" s="4" t="s">
        <v>10803</v>
      </c>
      <c r="C10778" s="3" t="s">
        <v>409</v>
      </c>
      <c r="D10778" s="5">
        <f t="shared" si="338"/>
        <v>109.33</v>
      </c>
      <c r="E10778">
        <v>120.02</v>
      </c>
      <c r="F10778" s="1789">
        <v>8.8999999999999996E-2</v>
      </c>
      <c r="G10778">
        <f t="shared" si="339"/>
        <v>109.33</v>
      </c>
    </row>
    <row r="10779" spans="1:7" ht="12.75" customHeight="1">
      <c r="A10779" s="3">
        <v>89464</v>
      </c>
      <c r="B10779" s="4" t="s">
        <v>10804</v>
      </c>
      <c r="C10779" s="3" t="s">
        <v>409</v>
      </c>
      <c r="D10779" s="5">
        <f t="shared" si="338"/>
        <v>129.99</v>
      </c>
      <c r="E10779">
        <v>142.69</v>
      </c>
      <c r="F10779" s="1789">
        <v>8.8999999999999996E-2</v>
      </c>
      <c r="G10779">
        <f t="shared" si="339"/>
        <v>129.99</v>
      </c>
    </row>
    <row r="10780" spans="1:7" ht="12.75" customHeight="1">
      <c r="A10780" s="3">
        <v>89470</v>
      </c>
      <c r="B10780" s="4" t="s">
        <v>10805</v>
      </c>
      <c r="C10780" s="3" t="s">
        <v>409</v>
      </c>
      <c r="D10780" s="5">
        <f t="shared" si="338"/>
        <v>93.83</v>
      </c>
      <c r="E10780">
        <v>103</v>
      </c>
      <c r="F10780" s="1789">
        <v>8.8999999999999996E-2</v>
      </c>
      <c r="G10780">
        <f t="shared" si="339"/>
        <v>93.83</v>
      </c>
    </row>
    <row r="10781" spans="1:7" ht="12.75" customHeight="1">
      <c r="A10781" s="3">
        <v>89472</v>
      </c>
      <c r="B10781" s="4" t="s">
        <v>10806</v>
      </c>
      <c r="C10781" s="3" t="s">
        <v>409</v>
      </c>
      <c r="D10781" s="5">
        <f t="shared" si="338"/>
        <v>113.86</v>
      </c>
      <c r="E10781">
        <v>124.99</v>
      </c>
      <c r="F10781" s="1789">
        <v>8.8999999999999996E-2</v>
      </c>
      <c r="G10781">
        <f t="shared" si="339"/>
        <v>113.86</v>
      </c>
    </row>
    <row r="10782" spans="1:7" ht="12.75" customHeight="1">
      <c r="A10782" s="3">
        <v>89478</v>
      </c>
      <c r="B10782" s="4" t="s">
        <v>10807</v>
      </c>
      <c r="C10782" s="3" t="s">
        <v>409</v>
      </c>
      <c r="D10782" s="5">
        <f t="shared" si="338"/>
        <v>125.42</v>
      </c>
      <c r="E10782">
        <v>137.68</v>
      </c>
      <c r="F10782" s="1789">
        <v>8.8999999999999996E-2</v>
      </c>
      <c r="G10782">
        <f t="shared" si="339"/>
        <v>125.42</v>
      </c>
    </row>
    <row r="10783" spans="1:7" ht="12.75" customHeight="1">
      <c r="A10783" s="3">
        <v>89480</v>
      </c>
      <c r="B10783" s="4" t="s">
        <v>10808</v>
      </c>
      <c r="C10783" s="3" t="s">
        <v>409</v>
      </c>
      <c r="D10783" s="5">
        <f t="shared" si="338"/>
        <v>147.09</v>
      </c>
      <c r="E10783">
        <v>161.47</v>
      </c>
      <c r="F10783" s="1789">
        <v>8.8999999999999996E-2</v>
      </c>
      <c r="G10783">
        <f t="shared" si="339"/>
        <v>147.09</v>
      </c>
    </row>
    <row r="10784" spans="1:7" ht="12.75" customHeight="1">
      <c r="A10784" s="3">
        <v>101161</v>
      </c>
      <c r="B10784" s="4" t="s">
        <v>10809</v>
      </c>
      <c r="C10784" s="3" t="s">
        <v>409</v>
      </c>
      <c r="D10784" s="5">
        <f t="shared" si="338"/>
        <v>216.04</v>
      </c>
      <c r="E10784">
        <v>237.15</v>
      </c>
      <c r="F10784" s="1789">
        <v>8.8999999999999996E-2</v>
      </c>
      <c r="G10784">
        <f t="shared" si="339"/>
        <v>216.04</v>
      </c>
    </row>
    <row r="10785" spans="1:7" ht="12.75" customHeight="1">
      <c r="A10785" s="3">
        <v>101163</v>
      </c>
      <c r="B10785" s="4" t="s">
        <v>10810</v>
      </c>
      <c r="C10785" s="3" t="s">
        <v>409</v>
      </c>
      <c r="D10785" s="5">
        <f t="shared" si="338"/>
        <v>777.68</v>
      </c>
      <c r="E10785">
        <v>853.66</v>
      </c>
      <c r="F10785" s="1789">
        <v>8.8999999999999996E-2</v>
      </c>
      <c r="G10785">
        <f t="shared" si="339"/>
        <v>777.68</v>
      </c>
    </row>
    <row r="10786" spans="1:7" ht="12.75" customHeight="1">
      <c r="A10786" s="3">
        <v>101164</v>
      </c>
      <c r="B10786" s="4" t="s">
        <v>10811</v>
      </c>
      <c r="C10786" s="3" t="s">
        <v>409</v>
      </c>
      <c r="D10786" s="5">
        <f t="shared" si="338"/>
        <v>788.87</v>
      </c>
      <c r="E10786">
        <v>865.94</v>
      </c>
      <c r="F10786" s="1789">
        <v>8.8999999999999996E-2</v>
      </c>
      <c r="G10786">
        <f t="shared" si="339"/>
        <v>788.87</v>
      </c>
    </row>
    <row r="10787" spans="1:7" ht="12.75" customHeight="1">
      <c r="A10787" s="3">
        <v>96358</v>
      </c>
      <c r="B10787" s="4" t="s">
        <v>10812</v>
      </c>
      <c r="C10787" s="3" t="s">
        <v>409</v>
      </c>
      <c r="D10787" s="5">
        <f t="shared" si="338"/>
        <v>89.62</v>
      </c>
      <c r="E10787">
        <v>98.38</v>
      </c>
      <c r="F10787" s="1789">
        <v>8.8999999999999996E-2</v>
      </c>
      <c r="G10787">
        <f t="shared" si="339"/>
        <v>89.62</v>
      </c>
    </row>
    <row r="10788" spans="1:7" ht="12.75" customHeight="1">
      <c r="A10788" s="3">
        <v>96359</v>
      </c>
      <c r="B10788" s="4" t="s">
        <v>10813</v>
      </c>
      <c r="C10788" s="3" t="s">
        <v>409</v>
      </c>
      <c r="D10788" s="5">
        <f t="shared" si="338"/>
        <v>98.74</v>
      </c>
      <c r="E10788">
        <v>108.39</v>
      </c>
      <c r="F10788" s="1789">
        <v>8.8999999999999996E-2</v>
      </c>
      <c r="G10788">
        <f t="shared" si="339"/>
        <v>98.74</v>
      </c>
    </row>
    <row r="10789" spans="1:7" ht="12.75" customHeight="1">
      <c r="A10789" s="3">
        <v>96360</v>
      </c>
      <c r="B10789" s="4" t="s">
        <v>10814</v>
      </c>
      <c r="C10789" s="3" t="s">
        <v>409</v>
      </c>
      <c r="D10789" s="5">
        <f t="shared" si="338"/>
        <v>112.9</v>
      </c>
      <c r="E10789">
        <v>123.93</v>
      </c>
      <c r="F10789" s="1789">
        <v>8.8999999999999996E-2</v>
      </c>
      <c r="G10789">
        <f t="shared" si="339"/>
        <v>112.9</v>
      </c>
    </row>
    <row r="10790" spans="1:7" ht="12.75" customHeight="1">
      <c r="A10790" s="3">
        <v>96361</v>
      </c>
      <c r="B10790" s="4" t="s">
        <v>10815</v>
      </c>
      <c r="C10790" s="3" t="s">
        <v>409</v>
      </c>
      <c r="D10790" s="5">
        <f t="shared" si="338"/>
        <v>130.19999999999999</v>
      </c>
      <c r="E10790">
        <v>142.93</v>
      </c>
      <c r="F10790" s="1789">
        <v>8.8999999999999996E-2</v>
      </c>
      <c r="G10790">
        <f t="shared" si="339"/>
        <v>130.19999999999999</v>
      </c>
    </row>
    <row r="10791" spans="1:7" ht="12.75" customHeight="1">
      <c r="A10791" s="3">
        <v>96362</v>
      </c>
      <c r="B10791" s="4" t="s">
        <v>10816</v>
      </c>
      <c r="C10791" s="3" t="s">
        <v>409</v>
      </c>
      <c r="D10791" s="5">
        <f t="shared" si="338"/>
        <v>118.12</v>
      </c>
      <c r="E10791">
        <v>129.66999999999999</v>
      </c>
      <c r="F10791" s="1789">
        <v>8.8999999999999996E-2</v>
      </c>
      <c r="G10791">
        <f t="shared" si="339"/>
        <v>118.12</v>
      </c>
    </row>
    <row r="10792" spans="1:7" ht="12.75" customHeight="1">
      <c r="A10792" s="3">
        <v>96363</v>
      </c>
      <c r="B10792" s="4" t="s">
        <v>10817</v>
      </c>
      <c r="C10792" s="3" t="s">
        <v>409</v>
      </c>
      <c r="D10792" s="5">
        <f t="shared" si="338"/>
        <v>127.72</v>
      </c>
      <c r="E10792">
        <v>140.19999999999999</v>
      </c>
      <c r="F10792" s="1789">
        <v>8.8999999999999996E-2</v>
      </c>
      <c r="G10792">
        <f t="shared" si="339"/>
        <v>127.72</v>
      </c>
    </row>
    <row r="10793" spans="1:7" ht="12.75" customHeight="1">
      <c r="A10793" s="3">
        <v>96364</v>
      </c>
      <c r="B10793" s="4" t="s">
        <v>10818</v>
      </c>
      <c r="C10793" s="3" t="s">
        <v>409</v>
      </c>
      <c r="D10793" s="5">
        <f t="shared" si="338"/>
        <v>141.38999999999999</v>
      </c>
      <c r="E10793">
        <v>155.21</v>
      </c>
      <c r="F10793" s="1789">
        <v>8.8999999999999996E-2</v>
      </c>
      <c r="G10793">
        <f t="shared" si="339"/>
        <v>141.38999999999999</v>
      </c>
    </row>
    <row r="10794" spans="1:7" ht="12.75" customHeight="1">
      <c r="A10794" s="3">
        <v>96365</v>
      </c>
      <c r="B10794" s="4" t="s">
        <v>10819</v>
      </c>
      <c r="C10794" s="3" t="s">
        <v>409</v>
      </c>
      <c r="D10794" s="5">
        <f t="shared" si="338"/>
        <v>159.19999999999999</v>
      </c>
      <c r="E10794">
        <v>174.76</v>
      </c>
      <c r="F10794" s="1789">
        <v>8.8999999999999996E-2</v>
      </c>
      <c r="G10794">
        <f t="shared" si="339"/>
        <v>159.19999999999999</v>
      </c>
    </row>
    <row r="10795" spans="1:7" ht="12.75" customHeight="1">
      <c r="A10795" s="3">
        <v>96366</v>
      </c>
      <c r="B10795" s="4" t="s">
        <v>10820</v>
      </c>
      <c r="C10795" s="3" t="s">
        <v>409</v>
      </c>
      <c r="D10795" s="5">
        <f t="shared" si="338"/>
        <v>146.61000000000001</v>
      </c>
      <c r="E10795">
        <v>160.94</v>
      </c>
      <c r="F10795" s="1789">
        <v>8.8999999999999996E-2</v>
      </c>
      <c r="G10795">
        <f t="shared" si="339"/>
        <v>146.61000000000001</v>
      </c>
    </row>
    <row r="10796" spans="1:7" ht="12.75" customHeight="1">
      <c r="A10796" s="3">
        <v>96367</v>
      </c>
      <c r="B10796" s="4" t="s">
        <v>10821</v>
      </c>
      <c r="C10796" s="3" t="s">
        <v>409</v>
      </c>
      <c r="D10796" s="5">
        <f t="shared" si="338"/>
        <v>156.69</v>
      </c>
      <c r="E10796">
        <v>172</v>
      </c>
      <c r="F10796" s="1789">
        <v>8.8999999999999996E-2</v>
      </c>
      <c r="G10796">
        <f t="shared" si="339"/>
        <v>156.69</v>
      </c>
    </row>
    <row r="10797" spans="1:7" ht="12.75" customHeight="1">
      <c r="A10797" s="3">
        <v>96368</v>
      </c>
      <c r="B10797" s="4" t="s">
        <v>10822</v>
      </c>
      <c r="C10797" s="3" t="s">
        <v>409</v>
      </c>
      <c r="D10797" s="5">
        <f t="shared" si="338"/>
        <v>169.91</v>
      </c>
      <c r="E10797">
        <v>186.51</v>
      </c>
      <c r="F10797" s="1789">
        <v>8.8999999999999996E-2</v>
      </c>
      <c r="G10797">
        <f t="shared" si="339"/>
        <v>169.91</v>
      </c>
    </row>
    <row r="10798" spans="1:7" ht="12.75" customHeight="1">
      <c r="A10798" s="3">
        <v>96369</v>
      </c>
      <c r="B10798" s="4" t="s">
        <v>10823</v>
      </c>
      <c r="C10798" s="3" t="s">
        <v>409</v>
      </c>
      <c r="D10798" s="5">
        <f t="shared" si="338"/>
        <v>188.17</v>
      </c>
      <c r="E10798">
        <v>206.56</v>
      </c>
      <c r="F10798" s="1789">
        <v>8.8999999999999996E-2</v>
      </c>
      <c r="G10798">
        <f t="shared" si="339"/>
        <v>188.17</v>
      </c>
    </row>
    <row r="10799" spans="1:7" ht="12.75" customHeight="1">
      <c r="A10799" s="3">
        <v>96370</v>
      </c>
      <c r="B10799" s="4" t="s">
        <v>10824</v>
      </c>
      <c r="C10799" s="3" t="s">
        <v>409</v>
      </c>
      <c r="D10799" s="5">
        <f t="shared" si="338"/>
        <v>57.43</v>
      </c>
      <c r="E10799">
        <v>63.05</v>
      </c>
      <c r="F10799" s="1789">
        <v>8.8999999999999996E-2</v>
      </c>
      <c r="G10799">
        <f t="shared" si="339"/>
        <v>57.43</v>
      </c>
    </row>
    <row r="10800" spans="1:7" ht="12.75" customHeight="1">
      <c r="A10800" s="3">
        <v>96371</v>
      </c>
      <c r="B10800" s="4" t="s">
        <v>10825</v>
      </c>
      <c r="C10800" s="3" t="s">
        <v>409</v>
      </c>
      <c r="D10800" s="5">
        <f t="shared" si="338"/>
        <v>66.06</v>
      </c>
      <c r="E10800">
        <v>72.52</v>
      </c>
      <c r="F10800" s="1789">
        <v>8.8999999999999996E-2</v>
      </c>
      <c r="G10800">
        <f t="shared" si="339"/>
        <v>66.06</v>
      </c>
    </row>
    <row r="10801" spans="1:7" ht="12.75" customHeight="1">
      <c r="A10801" s="3">
        <v>96373</v>
      </c>
      <c r="B10801" s="4" t="s">
        <v>10826</v>
      </c>
      <c r="C10801" s="3" t="s">
        <v>50</v>
      </c>
      <c r="D10801" s="5">
        <f t="shared" si="338"/>
        <v>9.36</v>
      </c>
      <c r="E10801">
        <v>10.28</v>
      </c>
      <c r="F10801" s="1789">
        <v>8.8999999999999996E-2</v>
      </c>
      <c r="G10801">
        <f t="shared" si="339"/>
        <v>9.36</v>
      </c>
    </row>
    <row r="10802" spans="1:7" ht="12.75" customHeight="1">
      <c r="A10802" s="3">
        <v>96374</v>
      </c>
      <c r="B10802" s="4" t="s">
        <v>10827</v>
      </c>
      <c r="C10802" s="3" t="s">
        <v>50</v>
      </c>
      <c r="D10802" s="5">
        <f t="shared" si="338"/>
        <v>24.21</v>
      </c>
      <c r="E10802">
        <v>26.58</v>
      </c>
      <c r="F10802" s="1789">
        <v>8.8999999999999996E-2</v>
      </c>
      <c r="G10802">
        <f t="shared" si="339"/>
        <v>24.21</v>
      </c>
    </row>
    <row r="10803" spans="1:7" ht="12.75" customHeight="1">
      <c r="A10803" s="3">
        <v>102235</v>
      </c>
      <c r="B10803" s="4" t="s">
        <v>10828</v>
      </c>
      <c r="C10803" s="3" t="s">
        <v>409</v>
      </c>
      <c r="D10803" s="5">
        <f t="shared" si="338"/>
        <v>449.45</v>
      </c>
      <c r="E10803">
        <v>493.36</v>
      </c>
      <c r="F10803" s="1789">
        <v>8.8999999999999996E-2</v>
      </c>
      <c r="G10803">
        <f t="shared" si="339"/>
        <v>449.45</v>
      </c>
    </row>
    <row r="10804" spans="1:7" ht="12.75" customHeight="1">
      <c r="A10804" s="3">
        <v>102253</v>
      </c>
      <c r="B10804" s="4" t="s">
        <v>10829</v>
      </c>
      <c r="C10804" s="3" t="s">
        <v>409</v>
      </c>
      <c r="D10804" s="5">
        <f t="shared" si="338"/>
        <v>770.25</v>
      </c>
      <c r="E10804">
        <v>845.51</v>
      </c>
      <c r="F10804" s="1789">
        <v>8.8999999999999996E-2</v>
      </c>
      <c r="G10804">
        <f t="shared" si="339"/>
        <v>770.25</v>
      </c>
    </row>
    <row r="10805" spans="1:7" ht="12.75" customHeight="1">
      <c r="A10805" s="3">
        <v>102254</v>
      </c>
      <c r="B10805" s="4" t="s">
        <v>10830</v>
      </c>
      <c r="C10805" s="3" t="s">
        <v>409</v>
      </c>
      <c r="D10805" s="5">
        <f t="shared" si="338"/>
        <v>768.38</v>
      </c>
      <c r="E10805">
        <v>843.45</v>
      </c>
      <c r="F10805" s="1789">
        <v>8.8999999999999996E-2</v>
      </c>
      <c r="G10805">
        <f t="shared" si="339"/>
        <v>768.38</v>
      </c>
    </row>
    <row r="10806" spans="1:7" ht="12.75" customHeight="1">
      <c r="A10806" s="3">
        <v>102255</v>
      </c>
      <c r="B10806" s="4" t="s">
        <v>10831</v>
      </c>
      <c r="C10806" s="3" t="s">
        <v>409</v>
      </c>
      <c r="D10806" s="5">
        <f t="shared" si="338"/>
        <v>783.07</v>
      </c>
      <c r="E10806">
        <v>859.58</v>
      </c>
      <c r="F10806" s="1789">
        <v>8.8999999999999996E-2</v>
      </c>
      <c r="G10806">
        <f t="shared" si="339"/>
        <v>783.07</v>
      </c>
    </row>
    <row r="10807" spans="1:7" ht="12.75" customHeight="1">
      <c r="A10807" s="3">
        <v>102256</v>
      </c>
      <c r="B10807" s="4" t="s">
        <v>10832</v>
      </c>
      <c r="C10807" s="3" t="s">
        <v>409</v>
      </c>
      <c r="D10807" s="5">
        <f t="shared" si="338"/>
        <v>781.29</v>
      </c>
      <c r="E10807">
        <v>857.62</v>
      </c>
      <c r="F10807" s="1789">
        <v>8.8999999999999996E-2</v>
      </c>
      <c r="G10807">
        <f t="shared" si="339"/>
        <v>781.29</v>
      </c>
    </row>
    <row r="10808" spans="1:7" ht="12.75" customHeight="1">
      <c r="A10808" s="3">
        <v>102257</v>
      </c>
      <c r="B10808" s="4" t="s">
        <v>10833</v>
      </c>
      <c r="C10808" s="3" t="s">
        <v>409</v>
      </c>
      <c r="D10808" s="5">
        <f t="shared" si="338"/>
        <v>310.81</v>
      </c>
      <c r="E10808">
        <v>341.18</v>
      </c>
      <c r="F10808" s="1789">
        <v>8.8999999999999996E-2</v>
      </c>
      <c r="G10808">
        <f t="shared" si="339"/>
        <v>310.81</v>
      </c>
    </row>
    <row r="10809" spans="1:7" ht="12.75" customHeight="1">
      <c r="A10809" s="3">
        <v>102258</v>
      </c>
      <c r="B10809" s="4" t="s">
        <v>10834</v>
      </c>
      <c r="C10809" s="3" t="s">
        <v>409</v>
      </c>
      <c r="D10809" s="5">
        <f t="shared" si="338"/>
        <v>339.42</v>
      </c>
      <c r="E10809">
        <v>372.58</v>
      </c>
      <c r="F10809" s="1789">
        <v>8.8999999999999996E-2</v>
      </c>
      <c r="G10809">
        <f t="shared" si="339"/>
        <v>339.42</v>
      </c>
    </row>
    <row r="10810" spans="1:7" ht="12.75" customHeight="1">
      <c r="A10810" s="3">
        <v>104718</v>
      </c>
      <c r="B10810" s="4" t="s">
        <v>10835</v>
      </c>
      <c r="C10810" s="3" t="s">
        <v>409</v>
      </c>
      <c r="D10810" s="5">
        <f t="shared" si="338"/>
        <v>115.07</v>
      </c>
      <c r="E10810">
        <v>126.32</v>
      </c>
      <c r="F10810" s="1789">
        <v>8.8999999999999996E-2</v>
      </c>
      <c r="G10810">
        <f t="shared" si="339"/>
        <v>115.07</v>
      </c>
    </row>
    <row r="10811" spans="1:7" ht="12.75" customHeight="1">
      <c r="A10811" s="3">
        <v>104719</v>
      </c>
      <c r="B10811" s="4" t="s">
        <v>10836</v>
      </c>
      <c r="C10811" s="3" t="s">
        <v>409</v>
      </c>
      <c r="D10811" s="5">
        <f t="shared" si="338"/>
        <v>160.41999999999999</v>
      </c>
      <c r="E10811">
        <v>176.1</v>
      </c>
      <c r="F10811" s="1789">
        <v>8.8999999999999996E-2</v>
      </c>
      <c r="G10811">
        <f t="shared" si="339"/>
        <v>160.41999999999999</v>
      </c>
    </row>
    <row r="10812" spans="1:7" ht="12.75" customHeight="1">
      <c r="A10812" s="3">
        <v>104720</v>
      </c>
      <c r="B10812" s="4" t="s">
        <v>10837</v>
      </c>
      <c r="C10812" s="3" t="s">
        <v>409</v>
      </c>
      <c r="D10812" s="5">
        <f t="shared" si="338"/>
        <v>145.02000000000001</v>
      </c>
      <c r="E10812">
        <v>159.19</v>
      </c>
      <c r="F10812" s="1789">
        <v>8.8999999999999996E-2</v>
      </c>
      <c r="G10812">
        <f t="shared" si="339"/>
        <v>145.02000000000001</v>
      </c>
    </row>
    <row r="10813" spans="1:7" ht="12.75" customHeight="1">
      <c r="A10813" s="3">
        <v>104721</v>
      </c>
      <c r="B10813" s="4" t="s">
        <v>10838</v>
      </c>
      <c r="C10813" s="3" t="s">
        <v>409</v>
      </c>
      <c r="D10813" s="5">
        <f t="shared" si="338"/>
        <v>190.36</v>
      </c>
      <c r="E10813">
        <v>208.96</v>
      </c>
      <c r="F10813" s="1789">
        <v>8.8999999999999996E-2</v>
      </c>
      <c r="G10813">
        <f t="shared" si="339"/>
        <v>190.36</v>
      </c>
    </row>
    <row r="10814" spans="1:7" ht="12.75" customHeight="1">
      <c r="A10814" s="3">
        <v>104722</v>
      </c>
      <c r="B10814" s="4" t="s">
        <v>10839</v>
      </c>
      <c r="C10814" s="3" t="s">
        <v>409</v>
      </c>
      <c r="D10814" s="5">
        <f t="shared" si="338"/>
        <v>174.94</v>
      </c>
      <c r="E10814">
        <v>192.04</v>
      </c>
      <c r="F10814" s="1789">
        <v>8.8999999999999996E-2</v>
      </c>
      <c r="G10814">
        <f t="shared" si="339"/>
        <v>174.94</v>
      </c>
    </row>
    <row r="10815" spans="1:7" ht="12.75" customHeight="1">
      <c r="A10815" s="3">
        <v>104723</v>
      </c>
      <c r="B10815" s="4" t="s">
        <v>10840</v>
      </c>
      <c r="C10815" s="3" t="s">
        <v>409</v>
      </c>
      <c r="D10815" s="5">
        <f t="shared" si="338"/>
        <v>220.29</v>
      </c>
      <c r="E10815">
        <v>241.82</v>
      </c>
      <c r="F10815" s="1789">
        <v>8.8999999999999996E-2</v>
      </c>
      <c r="G10815">
        <f t="shared" si="339"/>
        <v>220.29</v>
      </c>
    </row>
    <row r="10816" spans="1:7" ht="12.75" customHeight="1">
      <c r="A10816" s="3">
        <v>104724</v>
      </c>
      <c r="B10816" s="4" t="s">
        <v>10841</v>
      </c>
      <c r="C10816" s="3" t="s">
        <v>409</v>
      </c>
      <c r="D10816" s="5">
        <f t="shared" si="338"/>
        <v>81.45</v>
      </c>
      <c r="E10816">
        <v>89.41</v>
      </c>
      <c r="F10816" s="1789">
        <v>8.8999999999999996E-2</v>
      </c>
      <c r="G10816">
        <f t="shared" si="339"/>
        <v>81.45</v>
      </c>
    </row>
    <row r="10817" spans="1:7" ht="12.75" customHeight="1">
      <c r="A10817" s="3">
        <v>101154</v>
      </c>
      <c r="B10817" s="4" t="s">
        <v>10842</v>
      </c>
      <c r="C10817" s="3" t="s">
        <v>409</v>
      </c>
      <c r="D10817" s="5">
        <f t="shared" si="338"/>
        <v>114.03</v>
      </c>
      <c r="E10817">
        <v>125.18</v>
      </c>
      <c r="F10817" s="1789">
        <v>8.8999999999999996E-2</v>
      </c>
      <c r="G10817">
        <f t="shared" si="339"/>
        <v>114.03</v>
      </c>
    </row>
    <row r="10818" spans="1:7" ht="12.75" customHeight="1">
      <c r="A10818" s="3">
        <v>101155</v>
      </c>
      <c r="B10818" s="4" t="s">
        <v>10843</v>
      </c>
      <c r="C10818" s="3" t="s">
        <v>409</v>
      </c>
      <c r="D10818" s="5">
        <f t="shared" si="338"/>
        <v>160.28</v>
      </c>
      <c r="E10818">
        <v>175.94</v>
      </c>
      <c r="F10818" s="1789">
        <v>8.8999999999999996E-2</v>
      </c>
      <c r="G10818">
        <f t="shared" si="339"/>
        <v>160.28</v>
      </c>
    </row>
    <row r="10819" spans="1:7" ht="12.75" customHeight="1">
      <c r="A10819" s="3">
        <v>101156</v>
      </c>
      <c r="B10819" s="4" t="s">
        <v>10844</v>
      </c>
      <c r="C10819" s="3" t="s">
        <v>409</v>
      </c>
      <c r="D10819" s="5">
        <f t="shared" si="338"/>
        <v>235.47</v>
      </c>
      <c r="E10819">
        <v>258.48</v>
      </c>
      <c r="F10819" s="1789">
        <v>8.8999999999999996E-2</v>
      </c>
      <c r="G10819">
        <f t="shared" si="339"/>
        <v>235.47</v>
      </c>
    </row>
    <row r="10820" spans="1:7" ht="12.75" customHeight="1">
      <c r="A10820" s="3">
        <v>101814</v>
      </c>
      <c r="B10820" s="4" t="s">
        <v>10845</v>
      </c>
      <c r="C10820" s="3" t="s">
        <v>409</v>
      </c>
      <c r="D10820" s="5">
        <f t="shared" si="338"/>
        <v>45.71</v>
      </c>
      <c r="E10820">
        <v>50.18</v>
      </c>
      <c r="F10820" s="1789">
        <v>8.8999999999999996E-2</v>
      </c>
      <c r="G10820">
        <f t="shared" si="339"/>
        <v>45.71</v>
      </c>
    </row>
    <row r="10821" spans="1:7" ht="12.75" customHeight="1">
      <c r="A10821" s="3">
        <v>101816</v>
      </c>
      <c r="B10821" s="4" t="s">
        <v>10846</v>
      </c>
      <c r="C10821" s="3" t="s">
        <v>409</v>
      </c>
      <c r="D10821" s="5">
        <f t="shared" si="338"/>
        <v>68.239999999999995</v>
      </c>
      <c r="E10821">
        <v>74.91</v>
      </c>
      <c r="F10821" s="1789">
        <v>8.8999999999999996E-2</v>
      </c>
      <c r="G10821">
        <f t="shared" si="339"/>
        <v>68.239999999999995</v>
      </c>
    </row>
    <row r="10822" spans="1:7" ht="12.75" customHeight="1">
      <c r="A10822" s="3">
        <v>101817</v>
      </c>
      <c r="B10822" s="4" t="s">
        <v>10847</v>
      </c>
      <c r="C10822" s="3" t="s">
        <v>409</v>
      </c>
      <c r="D10822" s="5">
        <f t="shared" si="338"/>
        <v>48.33</v>
      </c>
      <c r="E10822">
        <v>53.06</v>
      </c>
      <c r="F10822" s="1789">
        <v>8.8999999999999996E-2</v>
      </c>
      <c r="G10822">
        <f t="shared" si="339"/>
        <v>48.33</v>
      </c>
    </row>
    <row r="10823" spans="1:7" ht="12.75" customHeight="1">
      <c r="A10823" s="3">
        <v>101819</v>
      </c>
      <c r="B10823" s="4" t="s">
        <v>10848</v>
      </c>
      <c r="C10823" s="3" t="s">
        <v>409</v>
      </c>
      <c r="D10823" s="5">
        <f t="shared" si="338"/>
        <v>60.81</v>
      </c>
      <c r="E10823">
        <v>66.760000000000005</v>
      </c>
      <c r="F10823" s="1789">
        <v>8.8999999999999996E-2</v>
      </c>
      <c r="G10823">
        <f t="shared" si="339"/>
        <v>60.81</v>
      </c>
    </row>
    <row r="10824" spans="1:7" ht="12.75" customHeight="1">
      <c r="A10824" s="3">
        <v>101820</v>
      </c>
      <c r="B10824" s="4" t="s">
        <v>10849</v>
      </c>
      <c r="C10824" s="3" t="s">
        <v>409</v>
      </c>
      <c r="D10824" s="5">
        <f t="shared" si="338"/>
        <v>38.85</v>
      </c>
      <c r="E10824">
        <v>42.65</v>
      </c>
      <c r="F10824" s="1789">
        <v>8.8999999999999996E-2</v>
      </c>
      <c r="G10824">
        <f t="shared" si="339"/>
        <v>38.85</v>
      </c>
    </row>
    <row r="10825" spans="1:7" ht="12.75" customHeight="1">
      <c r="A10825" s="3">
        <v>101822</v>
      </c>
      <c r="B10825" s="4" t="s">
        <v>10850</v>
      </c>
      <c r="C10825" s="3" t="s">
        <v>152</v>
      </c>
      <c r="D10825" s="5">
        <f t="shared" si="338"/>
        <v>100.85</v>
      </c>
      <c r="E10825">
        <v>110.71</v>
      </c>
      <c r="F10825" s="1789">
        <v>8.8999999999999996E-2</v>
      </c>
      <c r="G10825">
        <f t="shared" si="339"/>
        <v>100.85</v>
      </c>
    </row>
    <row r="10826" spans="1:7" ht="12.75" customHeight="1">
      <c r="A10826" s="3">
        <v>101823</v>
      </c>
      <c r="B10826" s="4" t="s">
        <v>10851</v>
      </c>
      <c r="C10826" s="3" t="s">
        <v>152</v>
      </c>
      <c r="D10826" s="5">
        <f t="shared" si="338"/>
        <v>136.84</v>
      </c>
      <c r="E10826">
        <v>150.21</v>
      </c>
      <c r="F10826" s="1789">
        <v>8.8999999999999996E-2</v>
      </c>
      <c r="G10826">
        <f t="shared" si="339"/>
        <v>136.84</v>
      </c>
    </row>
    <row r="10827" spans="1:7" ht="12.75" customHeight="1">
      <c r="A10827" s="3">
        <v>101824</v>
      </c>
      <c r="B10827" s="4" t="s">
        <v>10852</v>
      </c>
      <c r="C10827" s="3" t="s">
        <v>152</v>
      </c>
      <c r="D10827" s="5">
        <f t="shared" si="338"/>
        <v>170.33</v>
      </c>
      <c r="E10827">
        <v>186.98</v>
      </c>
      <c r="F10827" s="1789">
        <v>8.8999999999999996E-2</v>
      </c>
      <c r="G10827">
        <f t="shared" si="339"/>
        <v>170.33</v>
      </c>
    </row>
    <row r="10828" spans="1:7" ht="12.75" customHeight="1">
      <c r="A10828" s="3">
        <v>101825</v>
      </c>
      <c r="B10828" s="4" t="s">
        <v>10853</v>
      </c>
      <c r="C10828" s="3" t="s">
        <v>152</v>
      </c>
      <c r="D10828" s="5">
        <f t="shared" si="338"/>
        <v>202.94</v>
      </c>
      <c r="E10828">
        <v>222.77</v>
      </c>
      <c r="F10828" s="1789">
        <v>8.8999999999999996E-2</v>
      </c>
      <c r="G10828">
        <f t="shared" si="339"/>
        <v>202.94</v>
      </c>
    </row>
    <row r="10829" spans="1:7" ht="12.75" customHeight="1">
      <c r="A10829" s="3">
        <v>101826</v>
      </c>
      <c r="B10829" s="4" t="s">
        <v>10854</v>
      </c>
      <c r="C10829" s="3" t="s">
        <v>152</v>
      </c>
      <c r="D10829" s="5">
        <f t="shared" si="338"/>
        <v>235.11</v>
      </c>
      <c r="E10829">
        <v>258.08</v>
      </c>
      <c r="F10829" s="1789">
        <v>8.8999999999999996E-2</v>
      </c>
      <c r="G10829">
        <f t="shared" si="339"/>
        <v>235.11</v>
      </c>
    </row>
    <row r="10830" spans="1:7" ht="12.75" customHeight="1">
      <c r="A10830" s="3">
        <v>101827</v>
      </c>
      <c r="B10830" s="4" t="s">
        <v>10855</v>
      </c>
      <c r="C10830" s="3" t="s">
        <v>152</v>
      </c>
      <c r="D10830" s="5">
        <f t="shared" si="338"/>
        <v>213.01</v>
      </c>
      <c r="E10830">
        <v>233.83</v>
      </c>
      <c r="F10830" s="1789">
        <v>8.8999999999999996E-2</v>
      </c>
      <c r="G10830">
        <f t="shared" si="339"/>
        <v>213.01</v>
      </c>
    </row>
    <row r="10831" spans="1:7" ht="12.75" customHeight="1">
      <c r="A10831" s="3">
        <v>101828</v>
      </c>
      <c r="B10831" s="4" t="s">
        <v>10856</v>
      </c>
      <c r="C10831" s="3" t="s">
        <v>152</v>
      </c>
      <c r="D10831" s="5">
        <f t="shared" si="338"/>
        <v>194.33</v>
      </c>
      <c r="E10831">
        <v>213.32</v>
      </c>
      <c r="F10831" s="1789">
        <v>8.8999999999999996E-2</v>
      </c>
      <c r="G10831">
        <f t="shared" si="339"/>
        <v>194.33</v>
      </c>
    </row>
    <row r="10832" spans="1:7" ht="12.75" customHeight="1">
      <c r="A10832" s="3">
        <v>101829</v>
      </c>
      <c r="B10832" s="4" t="s">
        <v>10857</v>
      </c>
      <c r="C10832" s="3" t="s">
        <v>152</v>
      </c>
      <c r="D10832" s="5">
        <f t="shared" si="338"/>
        <v>278.01</v>
      </c>
      <c r="E10832">
        <v>305.18</v>
      </c>
      <c r="F10832" s="1789">
        <v>8.8999999999999996E-2</v>
      </c>
      <c r="G10832">
        <f t="shared" si="339"/>
        <v>278.01</v>
      </c>
    </row>
    <row r="10833" spans="1:7" ht="12.75" customHeight="1">
      <c r="A10833" s="3">
        <v>101830</v>
      </c>
      <c r="B10833" s="4" t="s">
        <v>10858</v>
      </c>
      <c r="C10833" s="3" t="s">
        <v>152</v>
      </c>
      <c r="D10833" s="5">
        <f t="shared" si="338"/>
        <v>308.38</v>
      </c>
      <c r="E10833">
        <v>338.51</v>
      </c>
      <c r="F10833" s="1789">
        <v>8.8999999999999996E-2</v>
      </c>
      <c r="G10833">
        <f t="shared" si="339"/>
        <v>308.38</v>
      </c>
    </row>
    <row r="10834" spans="1:7" ht="12.75" customHeight="1">
      <c r="A10834" s="3">
        <v>101831</v>
      </c>
      <c r="B10834" s="4" t="s">
        <v>10859</v>
      </c>
      <c r="C10834" s="3" t="s">
        <v>152</v>
      </c>
      <c r="D10834" s="5">
        <f t="shared" si="338"/>
        <v>338.3</v>
      </c>
      <c r="E10834">
        <v>371.36</v>
      </c>
      <c r="F10834" s="1789">
        <v>8.8999999999999996E-2</v>
      </c>
      <c r="G10834">
        <f t="shared" si="339"/>
        <v>338.3</v>
      </c>
    </row>
    <row r="10835" spans="1:7" ht="12.75" customHeight="1">
      <c r="A10835" s="3">
        <v>101832</v>
      </c>
      <c r="B10835" s="4" t="s">
        <v>10860</v>
      </c>
      <c r="C10835" s="3" t="s">
        <v>152</v>
      </c>
      <c r="D10835" s="5">
        <f t="shared" si="338"/>
        <v>260.07</v>
      </c>
      <c r="E10835">
        <v>285.48</v>
      </c>
      <c r="F10835" s="1789">
        <v>8.8999999999999996E-2</v>
      </c>
      <c r="G10835">
        <f t="shared" si="339"/>
        <v>260.07</v>
      </c>
    </row>
    <row r="10836" spans="1:7" ht="12.75" customHeight="1">
      <c r="A10836" s="3">
        <v>101833</v>
      </c>
      <c r="B10836" s="4" t="s">
        <v>10861</v>
      </c>
      <c r="C10836" s="3" t="s">
        <v>152</v>
      </c>
      <c r="D10836" s="5">
        <f t="shared" si="338"/>
        <v>290.8</v>
      </c>
      <c r="E10836">
        <v>319.20999999999998</v>
      </c>
      <c r="F10836" s="1789">
        <v>8.8999999999999996E-2</v>
      </c>
      <c r="G10836">
        <f t="shared" si="339"/>
        <v>290.8</v>
      </c>
    </row>
    <row r="10837" spans="1:7" ht="12.75" customHeight="1">
      <c r="A10837" s="3">
        <v>101834</v>
      </c>
      <c r="B10837" s="4" t="s">
        <v>10862</v>
      </c>
      <c r="C10837" s="3" t="s">
        <v>152</v>
      </c>
      <c r="D10837" s="5">
        <f t="shared" ref="D10837:D10900" si="340">G10837</f>
        <v>321.10000000000002</v>
      </c>
      <c r="E10837">
        <v>352.48</v>
      </c>
      <c r="F10837" s="1789">
        <v>8.8999999999999996E-2</v>
      </c>
      <c r="G10837">
        <f t="shared" ref="G10837:G10900" si="341">TRUNC((1-F10837)*E10837,2)</f>
        <v>321.10000000000002</v>
      </c>
    </row>
    <row r="10838" spans="1:7" ht="12.75" customHeight="1">
      <c r="A10838" s="3">
        <v>101835</v>
      </c>
      <c r="B10838" s="4" t="s">
        <v>10863</v>
      </c>
      <c r="C10838" s="3" t="s">
        <v>152</v>
      </c>
      <c r="D10838" s="5">
        <f t="shared" si="340"/>
        <v>313.66000000000003</v>
      </c>
      <c r="E10838">
        <v>344.31</v>
      </c>
      <c r="F10838" s="1789">
        <v>8.8999999999999996E-2</v>
      </c>
      <c r="G10838">
        <f t="shared" si="341"/>
        <v>313.66000000000003</v>
      </c>
    </row>
    <row r="10839" spans="1:7" ht="12.75" customHeight="1">
      <c r="A10839" s="3">
        <v>101836</v>
      </c>
      <c r="B10839" s="4" t="s">
        <v>10864</v>
      </c>
      <c r="C10839" s="3" t="s">
        <v>152</v>
      </c>
      <c r="D10839" s="5">
        <f t="shared" si="340"/>
        <v>22.53</v>
      </c>
      <c r="E10839">
        <v>24.74</v>
      </c>
      <c r="F10839" s="1789">
        <v>8.8999999999999996E-2</v>
      </c>
      <c r="G10839">
        <f t="shared" si="341"/>
        <v>22.53</v>
      </c>
    </row>
    <row r="10840" spans="1:7" ht="12.75" customHeight="1">
      <c r="A10840" s="3">
        <v>101837</v>
      </c>
      <c r="B10840" s="4" t="s">
        <v>10865</v>
      </c>
      <c r="C10840" s="3" t="s">
        <v>152</v>
      </c>
      <c r="D10840" s="5">
        <f t="shared" si="340"/>
        <v>58.52</v>
      </c>
      <c r="E10840">
        <v>64.239999999999995</v>
      </c>
      <c r="F10840" s="1789">
        <v>8.8999999999999996E-2</v>
      </c>
      <c r="G10840">
        <f t="shared" si="341"/>
        <v>58.52</v>
      </c>
    </row>
    <row r="10841" spans="1:7" ht="12.75" customHeight="1">
      <c r="A10841" s="3">
        <v>101838</v>
      </c>
      <c r="B10841" s="4" t="s">
        <v>10866</v>
      </c>
      <c r="C10841" s="3" t="s">
        <v>152</v>
      </c>
      <c r="D10841" s="5">
        <f t="shared" si="340"/>
        <v>92.02</v>
      </c>
      <c r="E10841">
        <v>101.01</v>
      </c>
      <c r="F10841" s="1789">
        <v>8.8999999999999996E-2</v>
      </c>
      <c r="G10841">
        <f t="shared" si="341"/>
        <v>92.02</v>
      </c>
    </row>
    <row r="10842" spans="1:7" ht="12.75" customHeight="1">
      <c r="A10842" s="3">
        <v>101839</v>
      </c>
      <c r="B10842" s="4" t="s">
        <v>10867</v>
      </c>
      <c r="C10842" s="3" t="s">
        <v>152</v>
      </c>
      <c r="D10842" s="5">
        <f t="shared" si="340"/>
        <v>124.62</v>
      </c>
      <c r="E10842">
        <v>136.80000000000001</v>
      </c>
      <c r="F10842" s="1789">
        <v>8.8999999999999996E-2</v>
      </c>
      <c r="G10842">
        <f t="shared" si="341"/>
        <v>124.62</v>
      </c>
    </row>
    <row r="10843" spans="1:7" ht="12.75" customHeight="1">
      <c r="A10843" s="3">
        <v>101840</v>
      </c>
      <c r="B10843" s="4" t="s">
        <v>10868</v>
      </c>
      <c r="C10843" s="3" t="s">
        <v>152</v>
      </c>
      <c r="D10843" s="5">
        <f t="shared" si="340"/>
        <v>195.32</v>
      </c>
      <c r="E10843">
        <v>214.41</v>
      </c>
      <c r="F10843" s="1789">
        <v>8.8999999999999996E-2</v>
      </c>
      <c r="G10843">
        <f t="shared" si="341"/>
        <v>195.32</v>
      </c>
    </row>
    <row r="10844" spans="1:7" ht="12.75" customHeight="1">
      <c r="A10844" s="3">
        <v>101841</v>
      </c>
      <c r="B10844" s="4" t="s">
        <v>10869</v>
      </c>
      <c r="C10844" s="3" t="s">
        <v>152</v>
      </c>
      <c r="D10844" s="5">
        <f t="shared" si="340"/>
        <v>134.69999999999999</v>
      </c>
      <c r="E10844">
        <v>147.86000000000001</v>
      </c>
      <c r="F10844" s="1789">
        <v>8.8999999999999996E-2</v>
      </c>
      <c r="G10844">
        <f t="shared" si="341"/>
        <v>134.69999999999999</v>
      </c>
    </row>
    <row r="10845" spans="1:7" ht="12.75" customHeight="1">
      <c r="A10845" s="3">
        <v>101842</v>
      </c>
      <c r="B10845" s="4" t="s">
        <v>10870</v>
      </c>
      <c r="C10845" s="3" t="s">
        <v>152</v>
      </c>
      <c r="D10845" s="5">
        <f t="shared" si="340"/>
        <v>116.01</v>
      </c>
      <c r="E10845">
        <v>127.35</v>
      </c>
      <c r="F10845" s="1789">
        <v>8.8999999999999996E-2</v>
      </c>
      <c r="G10845">
        <f t="shared" si="341"/>
        <v>116.01</v>
      </c>
    </row>
    <row r="10846" spans="1:7" ht="12.75" customHeight="1">
      <c r="A10846" s="3">
        <v>101843</v>
      </c>
      <c r="B10846" s="4" t="s">
        <v>10871</v>
      </c>
      <c r="C10846" s="3" t="s">
        <v>152</v>
      </c>
      <c r="D10846" s="5">
        <f t="shared" si="340"/>
        <v>199.7</v>
      </c>
      <c r="E10846">
        <v>219.21</v>
      </c>
      <c r="F10846" s="1789">
        <v>8.8999999999999996E-2</v>
      </c>
      <c r="G10846">
        <f t="shared" si="341"/>
        <v>199.7</v>
      </c>
    </row>
    <row r="10847" spans="1:7" ht="12.75" customHeight="1">
      <c r="A10847" s="3">
        <v>101844</v>
      </c>
      <c r="B10847" s="4" t="s">
        <v>10872</v>
      </c>
      <c r="C10847" s="3" t="s">
        <v>152</v>
      </c>
      <c r="D10847" s="5">
        <f t="shared" si="340"/>
        <v>230.06</v>
      </c>
      <c r="E10847">
        <v>252.54</v>
      </c>
      <c r="F10847" s="1789">
        <v>8.8999999999999996E-2</v>
      </c>
      <c r="G10847">
        <f t="shared" si="341"/>
        <v>230.06</v>
      </c>
    </row>
    <row r="10848" spans="1:7" ht="12.75" customHeight="1">
      <c r="A10848" s="3">
        <v>101845</v>
      </c>
      <c r="B10848" s="4" t="s">
        <v>10873</v>
      </c>
      <c r="C10848" s="3" t="s">
        <v>152</v>
      </c>
      <c r="D10848" s="5">
        <f t="shared" si="340"/>
        <v>259.99</v>
      </c>
      <c r="E10848">
        <v>285.39</v>
      </c>
      <c r="F10848" s="1789">
        <v>8.8999999999999996E-2</v>
      </c>
      <c r="G10848">
        <f t="shared" si="341"/>
        <v>259.99</v>
      </c>
    </row>
    <row r="10849" spans="1:7" ht="12.75" customHeight="1">
      <c r="A10849" s="3">
        <v>101846</v>
      </c>
      <c r="B10849" s="4" t="s">
        <v>10874</v>
      </c>
      <c r="C10849" s="3" t="s">
        <v>152</v>
      </c>
      <c r="D10849" s="5">
        <f t="shared" si="340"/>
        <v>181.75</v>
      </c>
      <c r="E10849">
        <v>199.51</v>
      </c>
      <c r="F10849" s="1789">
        <v>8.8999999999999996E-2</v>
      </c>
      <c r="G10849">
        <f t="shared" si="341"/>
        <v>181.75</v>
      </c>
    </row>
    <row r="10850" spans="1:7" ht="12.75" customHeight="1">
      <c r="A10850" s="3">
        <v>101847</v>
      </c>
      <c r="B10850" s="4" t="s">
        <v>10875</v>
      </c>
      <c r="C10850" s="3" t="s">
        <v>152</v>
      </c>
      <c r="D10850" s="5">
        <f t="shared" si="340"/>
        <v>212.48</v>
      </c>
      <c r="E10850">
        <v>233.24</v>
      </c>
      <c r="F10850" s="1789">
        <v>8.8999999999999996E-2</v>
      </c>
      <c r="G10850">
        <f t="shared" si="341"/>
        <v>212.48</v>
      </c>
    </row>
    <row r="10851" spans="1:7" ht="12.75" customHeight="1">
      <c r="A10851" s="3">
        <v>101848</v>
      </c>
      <c r="B10851" s="4" t="s">
        <v>10876</v>
      </c>
      <c r="C10851" s="3" t="s">
        <v>152</v>
      </c>
      <c r="D10851" s="5">
        <f t="shared" si="340"/>
        <v>242.79</v>
      </c>
      <c r="E10851">
        <v>266.51</v>
      </c>
      <c r="F10851" s="1789">
        <v>8.8999999999999996E-2</v>
      </c>
      <c r="G10851">
        <f t="shared" si="341"/>
        <v>242.79</v>
      </c>
    </row>
    <row r="10852" spans="1:7" ht="12.75" customHeight="1">
      <c r="A10852" s="3">
        <v>101849</v>
      </c>
      <c r="B10852" s="4" t="s">
        <v>10877</v>
      </c>
      <c r="C10852" s="3" t="s">
        <v>152</v>
      </c>
      <c r="D10852" s="5">
        <f t="shared" si="340"/>
        <v>235.34</v>
      </c>
      <c r="E10852">
        <v>258.33999999999997</v>
      </c>
      <c r="F10852" s="1789">
        <v>8.8999999999999996E-2</v>
      </c>
      <c r="G10852">
        <f t="shared" si="341"/>
        <v>235.34</v>
      </c>
    </row>
    <row r="10853" spans="1:7" ht="12.75" customHeight="1">
      <c r="A10853" s="3">
        <v>101850</v>
      </c>
      <c r="B10853" s="4" t="s">
        <v>10878</v>
      </c>
      <c r="C10853" s="3" t="s">
        <v>409</v>
      </c>
      <c r="D10853" s="5">
        <f t="shared" si="340"/>
        <v>56.28</v>
      </c>
      <c r="E10853">
        <v>61.78</v>
      </c>
      <c r="F10853" s="1789">
        <v>8.8999999999999996E-2</v>
      </c>
      <c r="G10853">
        <f t="shared" si="341"/>
        <v>56.28</v>
      </c>
    </row>
    <row r="10854" spans="1:7" ht="12.75" customHeight="1">
      <c r="A10854" s="3">
        <v>101852</v>
      </c>
      <c r="B10854" s="4" t="s">
        <v>10879</v>
      </c>
      <c r="C10854" s="3" t="s">
        <v>409</v>
      </c>
      <c r="D10854" s="5">
        <f t="shared" si="340"/>
        <v>69.099999999999994</v>
      </c>
      <c r="E10854">
        <v>75.86</v>
      </c>
      <c r="F10854" s="1789">
        <v>8.8999999999999996E-2</v>
      </c>
      <c r="G10854">
        <f t="shared" si="341"/>
        <v>69.099999999999994</v>
      </c>
    </row>
    <row r="10855" spans="1:7" ht="12.75" customHeight="1">
      <c r="A10855" s="3">
        <v>101853</v>
      </c>
      <c r="B10855" s="4" t="s">
        <v>10880</v>
      </c>
      <c r="C10855" s="3" t="s">
        <v>409</v>
      </c>
      <c r="D10855" s="5">
        <f t="shared" si="340"/>
        <v>52.01</v>
      </c>
      <c r="E10855">
        <v>57.1</v>
      </c>
      <c r="F10855" s="1789">
        <v>8.8999999999999996E-2</v>
      </c>
      <c r="G10855">
        <f t="shared" si="341"/>
        <v>52.01</v>
      </c>
    </row>
    <row r="10856" spans="1:7" ht="12.75" customHeight="1">
      <c r="A10856" s="3">
        <v>101855</v>
      </c>
      <c r="B10856" s="4" t="s">
        <v>10881</v>
      </c>
      <c r="C10856" s="3" t="s">
        <v>409</v>
      </c>
      <c r="D10856" s="5">
        <f t="shared" si="340"/>
        <v>74.81</v>
      </c>
      <c r="E10856">
        <v>82.12</v>
      </c>
      <c r="F10856" s="1789">
        <v>8.8999999999999996E-2</v>
      </c>
      <c r="G10856">
        <f t="shared" si="341"/>
        <v>74.81</v>
      </c>
    </row>
    <row r="10857" spans="1:7" ht="12.75" customHeight="1">
      <c r="A10857" s="3">
        <v>101856</v>
      </c>
      <c r="B10857" s="4" t="s">
        <v>10882</v>
      </c>
      <c r="C10857" s="3" t="s">
        <v>409</v>
      </c>
      <c r="D10857" s="5">
        <f t="shared" si="340"/>
        <v>25.53</v>
      </c>
      <c r="E10857">
        <v>28.03</v>
      </c>
      <c r="F10857" s="1789">
        <v>8.8999999999999996E-2</v>
      </c>
      <c r="G10857">
        <f t="shared" si="341"/>
        <v>25.53</v>
      </c>
    </row>
    <row r="10858" spans="1:7" ht="12.75" customHeight="1">
      <c r="A10858" s="3">
        <v>101857</v>
      </c>
      <c r="B10858" s="4" t="s">
        <v>10883</v>
      </c>
      <c r="C10858" s="3" t="s">
        <v>409</v>
      </c>
      <c r="D10858" s="5">
        <f t="shared" si="340"/>
        <v>31.12</v>
      </c>
      <c r="E10858">
        <v>34.17</v>
      </c>
      <c r="F10858" s="1789">
        <v>8.8999999999999996E-2</v>
      </c>
      <c r="G10858">
        <f t="shared" si="341"/>
        <v>31.12</v>
      </c>
    </row>
    <row r="10859" spans="1:7" ht="12.75" customHeight="1">
      <c r="A10859" s="3">
        <v>101858</v>
      </c>
      <c r="B10859" s="4" t="s">
        <v>10884</v>
      </c>
      <c r="C10859" s="3" t="s">
        <v>409</v>
      </c>
      <c r="D10859" s="5">
        <f t="shared" si="340"/>
        <v>26.01</v>
      </c>
      <c r="E10859">
        <v>28.56</v>
      </c>
      <c r="F10859" s="1789">
        <v>8.8999999999999996E-2</v>
      </c>
      <c r="G10859">
        <f t="shared" si="341"/>
        <v>26.01</v>
      </c>
    </row>
    <row r="10860" spans="1:7" ht="12.75" customHeight="1">
      <c r="A10860" s="3">
        <v>101859</v>
      </c>
      <c r="B10860" s="4" t="s">
        <v>10885</v>
      </c>
      <c r="C10860" s="3" t="s">
        <v>409</v>
      </c>
      <c r="D10860" s="5">
        <f t="shared" si="340"/>
        <v>28.41</v>
      </c>
      <c r="E10860">
        <v>31.19</v>
      </c>
      <c r="F10860" s="1789">
        <v>8.8999999999999996E-2</v>
      </c>
      <c r="G10860">
        <f t="shared" si="341"/>
        <v>28.41</v>
      </c>
    </row>
    <row r="10861" spans="1:7" ht="12.75" customHeight="1">
      <c r="A10861" s="3">
        <v>101860</v>
      </c>
      <c r="B10861" s="4" t="s">
        <v>10886</v>
      </c>
      <c r="C10861" s="3" t="s">
        <v>409</v>
      </c>
      <c r="D10861" s="5">
        <f t="shared" si="340"/>
        <v>32.18</v>
      </c>
      <c r="E10861">
        <v>35.33</v>
      </c>
      <c r="F10861" s="1789">
        <v>8.8999999999999996E-2</v>
      </c>
      <c r="G10861">
        <f t="shared" si="341"/>
        <v>32.18</v>
      </c>
    </row>
    <row r="10862" spans="1:7" ht="12.75" customHeight="1">
      <c r="A10862" s="3">
        <v>101861</v>
      </c>
      <c r="B10862" s="4" t="s">
        <v>10887</v>
      </c>
      <c r="C10862" s="3" t="s">
        <v>409</v>
      </c>
      <c r="D10862" s="5">
        <f t="shared" si="340"/>
        <v>30.3</v>
      </c>
      <c r="E10862">
        <v>33.270000000000003</v>
      </c>
      <c r="F10862" s="1789">
        <v>8.8999999999999996E-2</v>
      </c>
      <c r="G10862">
        <f t="shared" si="341"/>
        <v>30.3</v>
      </c>
    </row>
    <row r="10863" spans="1:7" ht="12.75" customHeight="1">
      <c r="A10863" s="3">
        <v>101862</v>
      </c>
      <c r="B10863" s="4" t="s">
        <v>10888</v>
      </c>
      <c r="C10863" s="3" t="s">
        <v>409</v>
      </c>
      <c r="D10863" s="5">
        <f t="shared" si="340"/>
        <v>32.75</v>
      </c>
      <c r="E10863">
        <v>35.96</v>
      </c>
      <c r="F10863" s="1789">
        <v>8.8999999999999996E-2</v>
      </c>
      <c r="G10863">
        <f t="shared" si="341"/>
        <v>32.75</v>
      </c>
    </row>
    <row r="10864" spans="1:7" ht="12.75" customHeight="1">
      <c r="A10864" s="3">
        <v>101863</v>
      </c>
      <c r="B10864" s="4" t="s">
        <v>10889</v>
      </c>
      <c r="C10864" s="3" t="s">
        <v>409</v>
      </c>
      <c r="D10864" s="5">
        <f t="shared" si="340"/>
        <v>26.34</v>
      </c>
      <c r="E10864">
        <v>28.92</v>
      </c>
      <c r="F10864" s="1789">
        <v>8.8999999999999996E-2</v>
      </c>
      <c r="G10864">
        <f t="shared" si="341"/>
        <v>26.34</v>
      </c>
    </row>
    <row r="10865" spans="1:7" ht="12.75" customHeight="1">
      <c r="A10865" s="3">
        <v>101864</v>
      </c>
      <c r="B10865" s="4" t="s">
        <v>10890</v>
      </c>
      <c r="C10865" s="3" t="s">
        <v>409</v>
      </c>
      <c r="D10865" s="5">
        <f t="shared" si="340"/>
        <v>30.11</v>
      </c>
      <c r="E10865">
        <v>33.06</v>
      </c>
      <c r="F10865" s="1789">
        <v>8.8999999999999996E-2</v>
      </c>
      <c r="G10865">
        <f t="shared" si="341"/>
        <v>30.11</v>
      </c>
    </row>
    <row r="10866" spans="1:7" ht="12.75" customHeight="1">
      <c r="A10866" s="3">
        <v>101865</v>
      </c>
      <c r="B10866" s="4" t="s">
        <v>10891</v>
      </c>
      <c r="C10866" s="3" t="s">
        <v>409</v>
      </c>
      <c r="D10866" s="5">
        <f t="shared" si="340"/>
        <v>33.89</v>
      </c>
      <c r="E10866">
        <v>37.21</v>
      </c>
      <c r="F10866" s="1789">
        <v>8.8999999999999996E-2</v>
      </c>
      <c r="G10866">
        <f t="shared" si="341"/>
        <v>33.89</v>
      </c>
    </row>
    <row r="10867" spans="1:7" ht="12.75" customHeight="1">
      <c r="A10867" s="3">
        <v>101866</v>
      </c>
      <c r="B10867" s="4" t="s">
        <v>10892</v>
      </c>
      <c r="C10867" s="3" t="s">
        <v>409</v>
      </c>
      <c r="D10867" s="5">
        <f t="shared" si="340"/>
        <v>30.49</v>
      </c>
      <c r="E10867">
        <v>33.47</v>
      </c>
      <c r="F10867" s="1789">
        <v>8.8999999999999996E-2</v>
      </c>
      <c r="G10867">
        <f t="shared" si="341"/>
        <v>30.49</v>
      </c>
    </row>
    <row r="10868" spans="1:7" ht="12.75" customHeight="1">
      <c r="A10868" s="3">
        <v>101867</v>
      </c>
      <c r="B10868" s="4" t="s">
        <v>10893</v>
      </c>
      <c r="C10868" s="3" t="s">
        <v>409</v>
      </c>
      <c r="D10868" s="5">
        <f t="shared" si="340"/>
        <v>34.28</v>
      </c>
      <c r="E10868">
        <v>37.630000000000003</v>
      </c>
      <c r="F10868" s="1789">
        <v>8.8999999999999996E-2</v>
      </c>
      <c r="G10868">
        <f t="shared" si="341"/>
        <v>34.28</v>
      </c>
    </row>
    <row r="10869" spans="1:7" ht="12.75" customHeight="1">
      <c r="A10869" s="3">
        <v>101868</v>
      </c>
      <c r="B10869" s="4" t="s">
        <v>10894</v>
      </c>
      <c r="C10869" s="3" t="s">
        <v>409</v>
      </c>
      <c r="D10869" s="5">
        <f t="shared" si="340"/>
        <v>27.86</v>
      </c>
      <c r="E10869">
        <v>30.59</v>
      </c>
      <c r="F10869" s="1789">
        <v>8.8999999999999996E-2</v>
      </c>
      <c r="G10869">
        <f t="shared" si="341"/>
        <v>27.86</v>
      </c>
    </row>
    <row r="10870" spans="1:7" ht="12.75" customHeight="1">
      <c r="A10870" s="3">
        <v>101869</v>
      </c>
      <c r="B10870" s="4" t="s">
        <v>10895</v>
      </c>
      <c r="C10870" s="3" t="s">
        <v>409</v>
      </c>
      <c r="D10870" s="5">
        <f t="shared" si="340"/>
        <v>31.63</v>
      </c>
      <c r="E10870">
        <v>34.729999999999997</v>
      </c>
      <c r="F10870" s="1789">
        <v>8.8999999999999996E-2</v>
      </c>
      <c r="G10870">
        <f t="shared" si="341"/>
        <v>31.63</v>
      </c>
    </row>
    <row r="10871" spans="1:7" ht="12.75" customHeight="1">
      <c r="A10871" s="3">
        <v>101870</v>
      </c>
      <c r="B10871" s="4" t="s">
        <v>10896</v>
      </c>
      <c r="C10871" s="3" t="s">
        <v>409</v>
      </c>
      <c r="D10871" s="5">
        <f t="shared" si="340"/>
        <v>35.409999999999997</v>
      </c>
      <c r="E10871">
        <v>38.869999999999997</v>
      </c>
      <c r="F10871" s="1789">
        <v>8.8999999999999996E-2</v>
      </c>
      <c r="G10871">
        <f t="shared" si="341"/>
        <v>35.409999999999997</v>
      </c>
    </row>
    <row r="10872" spans="1:7" ht="12.75" customHeight="1">
      <c r="A10872" s="3">
        <v>102098</v>
      </c>
      <c r="B10872" s="4" t="s">
        <v>10897</v>
      </c>
      <c r="C10872" s="3" t="s">
        <v>152</v>
      </c>
      <c r="D10872" s="5">
        <f t="shared" si="340"/>
        <v>2301.87</v>
      </c>
      <c r="E10872">
        <v>2526.7600000000002</v>
      </c>
      <c r="F10872" s="1789">
        <v>8.8999999999999996E-2</v>
      </c>
      <c r="G10872">
        <f t="shared" si="341"/>
        <v>2301.87</v>
      </c>
    </row>
    <row r="10873" spans="1:7" ht="12.75" customHeight="1">
      <c r="A10873" s="3">
        <v>102988</v>
      </c>
      <c r="B10873" s="4" t="s">
        <v>10898</v>
      </c>
      <c r="C10873" s="3" t="s">
        <v>409</v>
      </c>
      <c r="D10873" s="5">
        <f t="shared" si="340"/>
        <v>50.78</v>
      </c>
      <c r="E10873">
        <v>55.75</v>
      </c>
      <c r="F10873" s="1789">
        <v>8.8999999999999996E-2</v>
      </c>
      <c r="G10873">
        <f t="shared" si="341"/>
        <v>50.78</v>
      </c>
    </row>
    <row r="10874" spans="1:7" ht="12.75" customHeight="1">
      <c r="A10874" s="3">
        <v>100576</v>
      </c>
      <c r="B10874" s="4" t="s">
        <v>10899</v>
      </c>
      <c r="C10874" s="3" t="s">
        <v>409</v>
      </c>
      <c r="D10874" s="5">
        <f t="shared" si="340"/>
        <v>2.2000000000000002</v>
      </c>
      <c r="E10874">
        <v>2.42</v>
      </c>
      <c r="F10874" s="1789">
        <v>8.8999999999999996E-2</v>
      </c>
      <c r="G10874">
        <f t="shared" si="341"/>
        <v>2.2000000000000002</v>
      </c>
    </row>
    <row r="10875" spans="1:7" ht="12.75" customHeight="1">
      <c r="A10875" s="3">
        <v>100577</v>
      </c>
      <c r="B10875" s="4" t="s">
        <v>10900</v>
      </c>
      <c r="C10875" s="3" t="s">
        <v>409</v>
      </c>
      <c r="D10875" s="5">
        <f t="shared" si="340"/>
        <v>1.08</v>
      </c>
      <c r="E10875">
        <v>1.19</v>
      </c>
      <c r="F10875" s="1789">
        <v>8.8999999999999996E-2</v>
      </c>
      <c r="G10875">
        <f t="shared" si="341"/>
        <v>1.08</v>
      </c>
    </row>
    <row r="10876" spans="1:7" ht="12.75" customHeight="1">
      <c r="A10876" s="3">
        <v>96388</v>
      </c>
      <c r="B10876" s="4" t="s">
        <v>10901</v>
      </c>
      <c r="C10876" s="3" t="s">
        <v>152</v>
      </c>
      <c r="D10876" s="5">
        <f t="shared" si="340"/>
        <v>10.74</v>
      </c>
      <c r="E10876">
        <v>11.79</v>
      </c>
      <c r="F10876" s="1789">
        <v>8.8999999999999996E-2</v>
      </c>
      <c r="G10876">
        <f t="shared" si="341"/>
        <v>10.74</v>
      </c>
    </row>
    <row r="10877" spans="1:7" ht="12.75" customHeight="1">
      <c r="A10877" s="3">
        <v>96389</v>
      </c>
      <c r="B10877" s="4" t="s">
        <v>10902</v>
      </c>
      <c r="C10877" s="3" t="s">
        <v>152</v>
      </c>
      <c r="D10877" s="5">
        <f t="shared" si="340"/>
        <v>50.97</v>
      </c>
      <c r="E10877">
        <v>55.95</v>
      </c>
      <c r="F10877" s="1789">
        <v>8.8999999999999996E-2</v>
      </c>
      <c r="G10877">
        <f t="shared" si="341"/>
        <v>50.97</v>
      </c>
    </row>
    <row r="10878" spans="1:7" ht="12.75" customHeight="1">
      <c r="A10878" s="3">
        <v>96390</v>
      </c>
      <c r="B10878" s="4" t="s">
        <v>10903</v>
      </c>
      <c r="C10878" s="3" t="s">
        <v>152</v>
      </c>
      <c r="D10878" s="5">
        <f t="shared" si="340"/>
        <v>82.88</v>
      </c>
      <c r="E10878">
        <v>90.98</v>
      </c>
      <c r="F10878" s="1789">
        <v>8.8999999999999996E-2</v>
      </c>
      <c r="G10878">
        <f t="shared" si="341"/>
        <v>82.88</v>
      </c>
    </row>
    <row r="10879" spans="1:7" ht="12.75" customHeight="1">
      <c r="A10879" s="3">
        <v>96391</v>
      </c>
      <c r="B10879" s="4" t="s">
        <v>10904</v>
      </c>
      <c r="C10879" s="3" t="s">
        <v>152</v>
      </c>
      <c r="D10879" s="5">
        <f t="shared" si="340"/>
        <v>116.14</v>
      </c>
      <c r="E10879">
        <v>127.49</v>
      </c>
      <c r="F10879" s="1789">
        <v>8.8999999999999996E-2</v>
      </c>
      <c r="G10879">
        <f t="shared" si="341"/>
        <v>116.14</v>
      </c>
    </row>
    <row r="10880" spans="1:7" ht="12.75" customHeight="1">
      <c r="A10880" s="3">
        <v>96392</v>
      </c>
      <c r="B10880" s="4" t="s">
        <v>10905</v>
      </c>
      <c r="C10880" s="3" t="s">
        <v>152</v>
      </c>
      <c r="D10880" s="5">
        <f t="shared" si="340"/>
        <v>148.31</v>
      </c>
      <c r="E10880">
        <v>162.80000000000001</v>
      </c>
      <c r="F10880" s="1789">
        <v>8.8999999999999996E-2</v>
      </c>
      <c r="G10880">
        <f t="shared" si="341"/>
        <v>148.31</v>
      </c>
    </row>
    <row r="10881" spans="1:7" ht="12.75" customHeight="1">
      <c r="A10881" s="3">
        <v>96396</v>
      </c>
      <c r="B10881" s="4" t="s">
        <v>10906</v>
      </c>
      <c r="C10881" s="3" t="s">
        <v>152</v>
      </c>
      <c r="D10881" s="5">
        <f t="shared" si="340"/>
        <v>224.76</v>
      </c>
      <c r="E10881">
        <v>246.72</v>
      </c>
      <c r="F10881" s="1789">
        <v>8.8999999999999996E-2</v>
      </c>
      <c r="G10881">
        <f t="shared" si="341"/>
        <v>224.76</v>
      </c>
    </row>
    <row r="10882" spans="1:7" ht="12.75" customHeight="1">
      <c r="A10882" s="3">
        <v>96397</v>
      </c>
      <c r="B10882" s="4" t="s">
        <v>10907</v>
      </c>
      <c r="C10882" s="3" t="s">
        <v>152</v>
      </c>
      <c r="D10882" s="5">
        <f t="shared" si="340"/>
        <v>287.70999999999998</v>
      </c>
      <c r="E10882">
        <v>315.82</v>
      </c>
      <c r="F10882" s="1789">
        <v>8.8999999999999996E-2</v>
      </c>
      <c r="G10882">
        <f t="shared" si="341"/>
        <v>287.70999999999998</v>
      </c>
    </row>
    <row r="10883" spans="1:7" ht="12.75" customHeight="1">
      <c r="A10883" s="3">
        <v>96398</v>
      </c>
      <c r="B10883" s="4" t="s">
        <v>10908</v>
      </c>
      <c r="C10883" s="3" t="s">
        <v>152</v>
      </c>
      <c r="D10883" s="5">
        <f t="shared" si="340"/>
        <v>371.9</v>
      </c>
      <c r="E10883">
        <v>408.24</v>
      </c>
      <c r="F10883" s="1789">
        <v>8.8999999999999996E-2</v>
      </c>
      <c r="G10883">
        <f t="shared" si="341"/>
        <v>371.9</v>
      </c>
    </row>
    <row r="10884" spans="1:7" ht="12.75" customHeight="1">
      <c r="A10884" s="3">
        <v>96399</v>
      </c>
      <c r="B10884" s="4" t="s">
        <v>10909</v>
      </c>
      <c r="C10884" s="3" t="s">
        <v>152</v>
      </c>
      <c r="D10884" s="5">
        <f t="shared" si="340"/>
        <v>153.30000000000001</v>
      </c>
      <c r="E10884">
        <v>168.28</v>
      </c>
      <c r="F10884" s="1789">
        <v>8.8999999999999996E-2</v>
      </c>
      <c r="G10884">
        <f t="shared" si="341"/>
        <v>153.30000000000001</v>
      </c>
    </row>
    <row r="10885" spans="1:7" ht="12.75" customHeight="1">
      <c r="A10885" s="3">
        <v>96400</v>
      </c>
      <c r="B10885" s="4" t="s">
        <v>10910</v>
      </c>
      <c r="C10885" s="3" t="s">
        <v>152</v>
      </c>
      <c r="D10885" s="5">
        <f t="shared" si="340"/>
        <v>198.23</v>
      </c>
      <c r="E10885">
        <v>217.6</v>
      </c>
      <c r="F10885" s="1789">
        <v>8.8999999999999996E-2</v>
      </c>
      <c r="G10885">
        <f t="shared" si="341"/>
        <v>198.23</v>
      </c>
    </row>
    <row r="10886" spans="1:7" ht="12.75" customHeight="1">
      <c r="A10886" s="3">
        <v>100564</v>
      </c>
      <c r="B10886" s="4" t="s">
        <v>10911</v>
      </c>
      <c r="C10886" s="3" t="s">
        <v>152</v>
      </c>
      <c r="D10886" s="5">
        <f t="shared" si="340"/>
        <v>132.37</v>
      </c>
      <c r="E10886">
        <v>145.31</v>
      </c>
      <c r="F10886" s="1789">
        <v>8.8999999999999996E-2</v>
      </c>
      <c r="G10886">
        <f t="shared" si="341"/>
        <v>132.37</v>
      </c>
    </row>
    <row r="10887" spans="1:7" ht="12.75" customHeight="1">
      <c r="A10887" s="3">
        <v>100565</v>
      </c>
      <c r="B10887" s="4" t="s">
        <v>10912</v>
      </c>
      <c r="C10887" s="3" t="s">
        <v>152</v>
      </c>
      <c r="D10887" s="5">
        <f t="shared" si="340"/>
        <v>113.75</v>
      </c>
      <c r="E10887">
        <v>124.87</v>
      </c>
      <c r="F10887" s="1789">
        <v>8.8999999999999996E-2</v>
      </c>
      <c r="G10887">
        <f t="shared" si="341"/>
        <v>113.75</v>
      </c>
    </row>
    <row r="10888" spans="1:7" ht="12.75" customHeight="1">
      <c r="A10888" s="3">
        <v>100566</v>
      </c>
      <c r="B10888" s="4" t="s">
        <v>10913</v>
      </c>
      <c r="C10888" s="3" t="s">
        <v>152</v>
      </c>
      <c r="D10888" s="5">
        <f t="shared" si="340"/>
        <v>197.37</v>
      </c>
      <c r="E10888">
        <v>216.66</v>
      </c>
      <c r="F10888" s="1789">
        <v>8.8999999999999996E-2</v>
      </c>
      <c r="G10888">
        <f t="shared" si="341"/>
        <v>197.37</v>
      </c>
    </row>
    <row r="10889" spans="1:7" ht="12.75" customHeight="1">
      <c r="A10889" s="3">
        <v>100567</v>
      </c>
      <c r="B10889" s="4" t="s">
        <v>10914</v>
      </c>
      <c r="C10889" s="3" t="s">
        <v>152</v>
      </c>
      <c r="D10889" s="5">
        <f t="shared" si="340"/>
        <v>227.8</v>
      </c>
      <c r="E10889">
        <v>250.06</v>
      </c>
      <c r="F10889" s="1789">
        <v>8.8999999999999996E-2</v>
      </c>
      <c r="G10889">
        <f t="shared" si="341"/>
        <v>227.8</v>
      </c>
    </row>
    <row r="10890" spans="1:7" ht="12.75" customHeight="1">
      <c r="A10890" s="3">
        <v>100568</v>
      </c>
      <c r="B10890" s="4" t="s">
        <v>10915</v>
      </c>
      <c r="C10890" s="3" t="s">
        <v>152</v>
      </c>
      <c r="D10890" s="5">
        <f t="shared" si="340"/>
        <v>257.66000000000003</v>
      </c>
      <c r="E10890">
        <v>282.83999999999997</v>
      </c>
      <c r="F10890" s="1789">
        <v>8.8999999999999996E-2</v>
      </c>
      <c r="G10890">
        <f t="shared" si="341"/>
        <v>257.66000000000003</v>
      </c>
    </row>
    <row r="10891" spans="1:7" ht="12.75" customHeight="1">
      <c r="A10891" s="3">
        <v>100569</v>
      </c>
      <c r="B10891" s="4" t="s">
        <v>10916</v>
      </c>
      <c r="C10891" s="3" t="s">
        <v>152</v>
      </c>
      <c r="D10891" s="5">
        <f t="shared" si="340"/>
        <v>179.43</v>
      </c>
      <c r="E10891">
        <v>196.96</v>
      </c>
      <c r="F10891" s="1789">
        <v>8.8999999999999996E-2</v>
      </c>
      <c r="G10891">
        <f t="shared" si="341"/>
        <v>179.43</v>
      </c>
    </row>
    <row r="10892" spans="1:7" ht="12.75" customHeight="1">
      <c r="A10892" s="3">
        <v>100570</v>
      </c>
      <c r="B10892" s="4" t="s">
        <v>10917</v>
      </c>
      <c r="C10892" s="3" t="s">
        <v>152</v>
      </c>
      <c r="D10892" s="5">
        <f t="shared" si="340"/>
        <v>212.15</v>
      </c>
      <c r="E10892">
        <v>232.88</v>
      </c>
      <c r="F10892" s="1789">
        <v>8.8999999999999996E-2</v>
      </c>
      <c r="G10892">
        <f t="shared" si="341"/>
        <v>212.15</v>
      </c>
    </row>
    <row r="10893" spans="1:7" ht="12.75" customHeight="1">
      <c r="A10893" s="3">
        <v>100571</v>
      </c>
      <c r="B10893" s="4" t="s">
        <v>10918</v>
      </c>
      <c r="C10893" s="3" t="s">
        <v>152</v>
      </c>
      <c r="D10893" s="5">
        <f t="shared" si="340"/>
        <v>240.53</v>
      </c>
      <c r="E10893">
        <v>264.02999999999997</v>
      </c>
      <c r="F10893" s="1789">
        <v>8.8999999999999996E-2</v>
      </c>
      <c r="G10893">
        <f t="shared" si="341"/>
        <v>240.53</v>
      </c>
    </row>
    <row r="10894" spans="1:7" ht="12.75" customHeight="1">
      <c r="A10894" s="3">
        <v>100572</v>
      </c>
      <c r="B10894" s="4" t="s">
        <v>10919</v>
      </c>
      <c r="C10894" s="3" t="s">
        <v>152</v>
      </c>
      <c r="D10894" s="5">
        <f t="shared" si="340"/>
        <v>136.63</v>
      </c>
      <c r="E10894">
        <v>149.97999999999999</v>
      </c>
      <c r="F10894" s="1789">
        <v>8.8999999999999996E-2</v>
      </c>
      <c r="G10894">
        <f t="shared" si="341"/>
        <v>136.63</v>
      </c>
    </row>
    <row r="10895" spans="1:7" ht="12.75" customHeight="1">
      <c r="A10895" s="3">
        <v>100573</v>
      </c>
      <c r="B10895" s="4" t="s">
        <v>10920</v>
      </c>
      <c r="C10895" s="3" t="s">
        <v>152</v>
      </c>
      <c r="D10895" s="5">
        <f t="shared" si="340"/>
        <v>118.01</v>
      </c>
      <c r="E10895">
        <v>129.54</v>
      </c>
      <c r="F10895" s="1789">
        <v>8.8999999999999996E-2</v>
      </c>
      <c r="G10895">
        <f t="shared" si="341"/>
        <v>118.01</v>
      </c>
    </row>
    <row r="10896" spans="1:7" ht="12.75" customHeight="1">
      <c r="A10896" s="3">
        <v>100574</v>
      </c>
      <c r="B10896" s="4" t="s">
        <v>10921</v>
      </c>
      <c r="C10896" s="3" t="s">
        <v>152</v>
      </c>
      <c r="D10896" s="5">
        <f t="shared" si="340"/>
        <v>1.27</v>
      </c>
      <c r="E10896">
        <v>1.4</v>
      </c>
      <c r="F10896" s="1789">
        <v>8.8999999999999996E-2</v>
      </c>
      <c r="G10896">
        <f t="shared" si="341"/>
        <v>1.27</v>
      </c>
    </row>
    <row r="10897" spans="1:7" ht="12.75" customHeight="1">
      <c r="A10897" s="3">
        <v>100575</v>
      </c>
      <c r="B10897" s="4" t="s">
        <v>10922</v>
      </c>
      <c r="C10897" s="3" t="s">
        <v>409</v>
      </c>
      <c r="D10897" s="5">
        <f t="shared" si="340"/>
        <v>0.1</v>
      </c>
      <c r="E10897">
        <v>0.12</v>
      </c>
      <c r="F10897" s="1789">
        <v>8.8999999999999996E-2</v>
      </c>
      <c r="G10897">
        <f t="shared" si="341"/>
        <v>0.1</v>
      </c>
    </row>
    <row r="10898" spans="1:7" ht="12.75" customHeight="1">
      <c r="A10898" s="3">
        <v>101767</v>
      </c>
      <c r="B10898" s="4" t="s">
        <v>10923</v>
      </c>
      <c r="C10898" s="3" t="s">
        <v>152</v>
      </c>
      <c r="D10898" s="5">
        <f t="shared" si="340"/>
        <v>24.47</v>
      </c>
      <c r="E10898">
        <v>26.87</v>
      </c>
      <c r="F10898" s="1789">
        <v>8.8999999999999996E-2</v>
      </c>
      <c r="G10898">
        <f t="shared" si="341"/>
        <v>24.47</v>
      </c>
    </row>
    <row r="10899" spans="1:7" ht="12.75" customHeight="1">
      <c r="A10899" s="3">
        <v>101768</v>
      </c>
      <c r="B10899" s="4" t="s">
        <v>10924</v>
      </c>
      <c r="C10899" s="3" t="s">
        <v>152</v>
      </c>
      <c r="D10899" s="5">
        <f t="shared" si="340"/>
        <v>21.09</v>
      </c>
      <c r="E10899">
        <v>23.16</v>
      </c>
      <c r="F10899" s="1789">
        <v>8.8999999999999996E-2</v>
      </c>
      <c r="G10899">
        <f t="shared" si="341"/>
        <v>21.09</v>
      </c>
    </row>
    <row r="10900" spans="1:7" ht="12.75" customHeight="1">
      <c r="A10900" s="3">
        <v>92391</v>
      </c>
      <c r="B10900" s="4" t="s">
        <v>10925</v>
      </c>
      <c r="C10900" s="3" t="s">
        <v>409</v>
      </c>
      <c r="D10900" s="5">
        <f t="shared" si="340"/>
        <v>83.68</v>
      </c>
      <c r="E10900">
        <v>91.86</v>
      </c>
      <c r="F10900" s="1789">
        <v>8.8999999999999996E-2</v>
      </c>
      <c r="G10900">
        <f t="shared" si="341"/>
        <v>83.68</v>
      </c>
    </row>
    <row r="10901" spans="1:7" ht="12.75" customHeight="1">
      <c r="A10901" s="3">
        <v>92392</v>
      </c>
      <c r="B10901" s="4" t="s">
        <v>10926</v>
      </c>
      <c r="C10901" s="3" t="s">
        <v>409</v>
      </c>
      <c r="D10901" s="5">
        <f t="shared" ref="D10901:D10964" si="342">G10901</f>
        <v>175.07</v>
      </c>
      <c r="E10901">
        <v>192.18</v>
      </c>
      <c r="F10901" s="1789">
        <v>8.8999999999999996E-2</v>
      </c>
      <c r="G10901">
        <f t="shared" ref="G10901:G10964" si="343">TRUNC((1-F10901)*E10901,2)</f>
        <v>175.07</v>
      </c>
    </row>
    <row r="10902" spans="1:7" ht="12.75" customHeight="1">
      <c r="A10902" s="3">
        <v>92393</v>
      </c>
      <c r="B10902" s="4" t="s">
        <v>10927</v>
      </c>
      <c r="C10902" s="3" t="s">
        <v>409</v>
      </c>
      <c r="D10902" s="5">
        <f t="shared" si="342"/>
        <v>81.89</v>
      </c>
      <c r="E10902">
        <v>89.9</v>
      </c>
      <c r="F10902" s="1789">
        <v>8.8999999999999996E-2</v>
      </c>
      <c r="G10902">
        <f t="shared" si="343"/>
        <v>81.89</v>
      </c>
    </row>
    <row r="10903" spans="1:7" ht="12.75" customHeight="1">
      <c r="A10903" s="3">
        <v>92394</v>
      </c>
      <c r="B10903" s="4" t="s">
        <v>10928</v>
      </c>
      <c r="C10903" s="3" t="s">
        <v>409</v>
      </c>
      <c r="D10903" s="5">
        <f t="shared" si="342"/>
        <v>101.65</v>
      </c>
      <c r="E10903">
        <v>111.59</v>
      </c>
      <c r="F10903" s="1789">
        <v>8.8999999999999996E-2</v>
      </c>
      <c r="G10903">
        <f t="shared" si="343"/>
        <v>101.65</v>
      </c>
    </row>
    <row r="10904" spans="1:7" ht="12.75" customHeight="1">
      <c r="A10904" s="3">
        <v>92395</v>
      </c>
      <c r="B10904" s="4" t="s">
        <v>10929</v>
      </c>
      <c r="C10904" s="3" t="s">
        <v>409</v>
      </c>
      <c r="D10904" s="5">
        <f t="shared" si="342"/>
        <v>121.6</v>
      </c>
      <c r="E10904">
        <v>133.49</v>
      </c>
      <c r="F10904" s="1789">
        <v>8.8999999999999996E-2</v>
      </c>
      <c r="G10904">
        <f t="shared" si="343"/>
        <v>121.6</v>
      </c>
    </row>
    <row r="10905" spans="1:7" ht="12.75" customHeight="1">
      <c r="A10905" s="3">
        <v>92396</v>
      </c>
      <c r="B10905" s="4" t="s">
        <v>10930</v>
      </c>
      <c r="C10905" s="3" t="s">
        <v>409</v>
      </c>
      <c r="D10905" s="5">
        <f t="shared" si="342"/>
        <v>94.16</v>
      </c>
      <c r="E10905">
        <v>103.36</v>
      </c>
      <c r="F10905" s="1789">
        <v>8.8999999999999996E-2</v>
      </c>
      <c r="G10905">
        <f t="shared" si="343"/>
        <v>94.16</v>
      </c>
    </row>
    <row r="10906" spans="1:7" ht="12.75" customHeight="1">
      <c r="A10906" s="3">
        <v>92397</v>
      </c>
      <c r="B10906" s="4" t="s">
        <v>10931</v>
      </c>
      <c r="C10906" s="3" t="s">
        <v>409</v>
      </c>
      <c r="D10906" s="5">
        <f t="shared" si="342"/>
        <v>85</v>
      </c>
      <c r="E10906">
        <v>93.31</v>
      </c>
      <c r="F10906" s="1789">
        <v>8.8999999999999996E-2</v>
      </c>
      <c r="G10906">
        <f t="shared" si="343"/>
        <v>85</v>
      </c>
    </row>
    <row r="10907" spans="1:7" ht="12.75" customHeight="1">
      <c r="A10907" s="3">
        <v>92398</v>
      </c>
      <c r="B10907" s="4" t="s">
        <v>10932</v>
      </c>
      <c r="C10907" s="3" t="s">
        <v>409</v>
      </c>
      <c r="D10907" s="5">
        <f t="shared" si="342"/>
        <v>105.59</v>
      </c>
      <c r="E10907">
        <v>115.91</v>
      </c>
      <c r="F10907" s="1789">
        <v>8.8999999999999996E-2</v>
      </c>
      <c r="G10907">
        <f t="shared" si="343"/>
        <v>105.59</v>
      </c>
    </row>
    <row r="10908" spans="1:7" ht="12.75" customHeight="1">
      <c r="A10908" s="3">
        <v>92400</v>
      </c>
      <c r="B10908" s="4" t="s">
        <v>10933</v>
      </c>
      <c r="C10908" s="3" t="s">
        <v>409</v>
      </c>
      <c r="D10908" s="5">
        <f t="shared" si="342"/>
        <v>123.65</v>
      </c>
      <c r="E10908">
        <v>135.72999999999999</v>
      </c>
      <c r="F10908" s="1789">
        <v>8.8999999999999996E-2</v>
      </c>
      <c r="G10908">
        <f t="shared" si="343"/>
        <v>123.65</v>
      </c>
    </row>
    <row r="10909" spans="1:7" ht="12.75" customHeight="1">
      <c r="A10909" s="3">
        <v>92402</v>
      </c>
      <c r="B10909" s="4" t="s">
        <v>10934</v>
      </c>
      <c r="C10909" s="3" t="s">
        <v>409</v>
      </c>
      <c r="D10909" s="5">
        <f t="shared" si="342"/>
        <v>92.51</v>
      </c>
      <c r="E10909">
        <v>101.55</v>
      </c>
      <c r="F10909" s="1789">
        <v>8.8999999999999996E-2</v>
      </c>
      <c r="G10909">
        <f t="shared" si="343"/>
        <v>92.51</v>
      </c>
    </row>
    <row r="10910" spans="1:7" ht="12.75" customHeight="1">
      <c r="A10910" s="3">
        <v>92403</v>
      </c>
      <c r="B10910" s="4" t="s">
        <v>10935</v>
      </c>
      <c r="C10910" s="3" t="s">
        <v>409</v>
      </c>
      <c r="D10910" s="5">
        <f t="shared" si="342"/>
        <v>82.96</v>
      </c>
      <c r="E10910">
        <v>91.07</v>
      </c>
      <c r="F10910" s="1789">
        <v>8.8999999999999996E-2</v>
      </c>
      <c r="G10910">
        <f t="shared" si="343"/>
        <v>82.96</v>
      </c>
    </row>
    <row r="10911" spans="1:7" ht="12.75" customHeight="1">
      <c r="A10911" s="3">
        <v>92404</v>
      </c>
      <c r="B10911" s="4" t="s">
        <v>10936</v>
      </c>
      <c r="C10911" s="3" t="s">
        <v>409</v>
      </c>
      <c r="D10911" s="5">
        <f t="shared" si="342"/>
        <v>103.54</v>
      </c>
      <c r="E10911">
        <v>113.66</v>
      </c>
      <c r="F10911" s="1789">
        <v>8.8999999999999996E-2</v>
      </c>
      <c r="G10911">
        <f t="shared" si="343"/>
        <v>103.54</v>
      </c>
    </row>
    <row r="10912" spans="1:7" ht="12.75" customHeight="1">
      <c r="A10912" s="3">
        <v>92406</v>
      </c>
      <c r="B10912" s="4" t="s">
        <v>10937</v>
      </c>
      <c r="C10912" s="3" t="s">
        <v>409</v>
      </c>
      <c r="D10912" s="5">
        <f t="shared" si="342"/>
        <v>123.85</v>
      </c>
      <c r="E10912">
        <v>135.94999999999999</v>
      </c>
      <c r="F10912" s="1789">
        <v>8.8999999999999996E-2</v>
      </c>
      <c r="G10912">
        <f t="shared" si="343"/>
        <v>123.85</v>
      </c>
    </row>
    <row r="10913" spans="1:7" ht="12.75" customHeight="1">
      <c r="A10913" s="3">
        <v>93679</v>
      </c>
      <c r="B10913" s="4" t="s">
        <v>10938</v>
      </c>
      <c r="C10913" s="3" t="s">
        <v>409</v>
      </c>
      <c r="D10913" s="5">
        <f t="shared" si="342"/>
        <v>105.3</v>
      </c>
      <c r="E10913">
        <v>115.59</v>
      </c>
      <c r="F10913" s="1789">
        <v>8.8999999999999996E-2</v>
      </c>
      <c r="G10913">
        <f t="shared" si="343"/>
        <v>105.3</v>
      </c>
    </row>
    <row r="10914" spans="1:7" ht="12.75" customHeight="1">
      <c r="A10914" s="3">
        <v>93680</v>
      </c>
      <c r="B10914" s="4" t="s">
        <v>10939</v>
      </c>
      <c r="C10914" s="3" t="s">
        <v>409</v>
      </c>
      <c r="D10914" s="5">
        <f t="shared" si="342"/>
        <v>95.87</v>
      </c>
      <c r="E10914">
        <v>105.24</v>
      </c>
      <c r="F10914" s="1789">
        <v>8.8999999999999996E-2</v>
      </c>
      <c r="G10914">
        <f t="shared" si="343"/>
        <v>95.87</v>
      </c>
    </row>
    <row r="10915" spans="1:7" ht="12.75" customHeight="1">
      <c r="A10915" s="3">
        <v>93681</v>
      </c>
      <c r="B10915" s="4" t="s">
        <v>10940</v>
      </c>
      <c r="C10915" s="3" t="s">
        <v>409</v>
      </c>
      <c r="D10915" s="5">
        <f t="shared" si="342"/>
        <v>114.3</v>
      </c>
      <c r="E10915">
        <v>125.47</v>
      </c>
      <c r="F10915" s="1789">
        <v>8.8999999999999996E-2</v>
      </c>
      <c r="G10915">
        <f t="shared" si="343"/>
        <v>114.3</v>
      </c>
    </row>
    <row r="10916" spans="1:7" ht="12.75" customHeight="1">
      <c r="A10916" s="3">
        <v>97104</v>
      </c>
      <c r="B10916" s="4" t="s">
        <v>10941</v>
      </c>
      <c r="C10916" s="3" t="s">
        <v>409</v>
      </c>
      <c r="D10916" s="5">
        <f t="shared" si="342"/>
        <v>151.9</v>
      </c>
      <c r="E10916">
        <v>166.74</v>
      </c>
      <c r="F10916" s="1789">
        <v>8.8999999999999996E-2</v>
      </c>
      <c r="G10916">
        <f t="shared" si="343"/>
        <v>151.9</v>
      </c>
    </row>
    <row r="10917" spans="1:7" ht="12.75" customHeight="1">
      <c r="A10917" s="3">
        <v>97105</v>
      </c>
      <c r="B10917" s="4" t="s">
        <v>10942</v>
      </c>
      <c r="C10917" s="3" t="s">
        <v>409</v>
      </c>
      <c r="D10917" s="5">
        <f t="shared" si="342"/>
        <v>172.58</v>
      </c>
      <c r="E10917">
        <v>189.45</v>
      </c>
      <c r="F10917" s="1789">
        <v>8.8999999999999996E-2</v>
      </c>
      <c r="G10917">
        <f t="shared" si="343"/>
        <v>172.58</v>
      </c>
    </row>
    <row r="10918" spans="1:7" ht="12.75" customHeight="1">
      <c r="A10918" s="3">
        <v>97106</v>
      </c>
      <c r="B10918" s="4" t="s">
        <v>10943</v>
      </c>
      <c r="C10918" s="3" t="s">
        <v>409</v>
      </c>
      <c r="D10918" s="5">
        <f t="shared" si="342"/>
        <v>192.62</v>
      </c>
      <c r="E10918">
        <v>211.44</v>
      </c>
      <c r="F10918" s="1789">
        <v>8.8999999999999996E-2</v>
      </c>
      <c r="G10918">
        <f t="shared" si="343"/>
        <v>192.62</v>
      </c>
    </row>
    <row r="10919" spans="1:7" ht="12.75" customHeight="1">
      <c r="A10919" s="3">
        <v>97107</v>
      </c>
      <c r="B10919" s="4" t="s">
        <v>10944</v>
      </c>
      <c r="C10919" s="3" t="s">
        <v>409</v>
      </c>
      <c r="D10919" s="5">
        <f t="shared" si="342"/>
        <v>219.04</v>
      </c>
      <c r="E10919">
        <v>240.44</v>
      </c>
      <c r="F10919" s="1789">
        <v>8.8999999999999996E-2</v>
      </c>
      <c r="G10919">
        <f t="shared" si="343"/>
        <v>219.04</v>
      </c>
    </row>
    <row r="10920" spans="1:7" ht="12.75" customHeight="1">
      <c r="A10920" s="3">
        <v>97108</v>
      </c>
      <c r="B10920" s="4" t="s">
        <v>10945</v>
      </c>
      <c r="C10920" s="3" t="s">
        <v>409</v>
      </c>
      <c r="D10920" s="5">
        <f t="shared" si="342"/>
        <v>249.39</v>
      </c>
      <c r="E10920">
        <v>273.76</v>
      </c>
      <c r="F10920" s="1789">
        <v>8.8999999999999996E-2</v>
      </c>
      <c r="G10920">
        <f t="shared" si="343"/>
        <v>249.39</v>
      </c>
    </row>
    <row r="10921" spans="1:7" ht="12.75" customHeight="1">
      <c r="A10921" s="3">
        <v>97109</v>
      </c>
      <c r="B10921" s="4" t="s">
        <v>10946</v>
      </c>
      <c r="C10921" s="3" t="s">
        <v>409</v>
      </c>
      <c r="D10921" s="5">
        <f t="shared" si="342"/>
        <v>275.57</v>
      </c>
      <c r="E10921">
        <v>302.5</v>
      </c>
      <c r="F10921" s="1789">
        <v>8.8999999999999996E-2</v>
      </c>
      <c r="G10921">
        <f t="shared" si="343"/>
        <v>275.57</v>
      </c>
    </row>
    <row r="10922" spans="1:7" ht="12.75" customHeight="1">
      <c r="A10922" s="3">
        <v>97111</v>
      </c>
      <c r="B10922" s="4" t="s">
        <v>10947</v>
      </c>
      <c r="C10922" s="3" t="s">
        <v>409</v>
      </c>
      <c r="D10922" s="5">
        <f t="shared" si="342"/>
        <v>267.60000000000002</v>
      </c>
      <c r="E10922">
        <v>293.75</v>
      </c>
      <c r="F10922" s="1789">
        <v>8.8999999999999996E-2</v>
      </c>
      <c r="G10922">
        <f t="shared" si="343"/>
        <v>267.60000000000002</v>
      </c>
    </row>
    <row r="10923" spans="1:7" ht="12.75" customHeight="1">
      <c r="A10923" s="3">
        <v>97112</v>
      </c>
      <c r="B10923" s="4" t="s">
        <v>10948</v>
      </c>
      <c r="C10923" s="3" t="s">
        <v>409</v>
      </c>
      <c r="D10923" s="5">
        <f t="shared" si="342"/>
        <v>241.28</v>
      </c>
      <c r="E10923">
        <v>264.86</v>
      </c>
      <c r="F10923" s="1789">
        <v>8.8999999999999996E-2</v>
      </c>
      <c r="G10923">
        <f t="shared" si="343"/>
        <v>241.28</v>
      </c>
    </row>
    <row r="10924" spans="1:7" ht="12.75" customHeight="1">
      <c r="A10924" s="3">
        <v>97113</v>
      </c>
      <c r="B10924" s="4" t="s">
        <v>10949</v>
      </c>
      <c r="C10924" s="3" t="s">
        <v>409</v>
      </c>
      <c r="D10924" s="5">
        <f t="shared" si="342"/>
        <v>3.05</v>
      </c>
      <c r="E10924">
        <v>3.35</v>
      </c>
      <c r="F10924" s="1789">
        <v>8.8999999999999996E-2</v>
      </c>
      <c r="G10924">
        <f t="shared" si="343"/>
        <v>3.05</v>
      </c>
    </row>
    <row r="10925" spans="1:7" ht="12.75" customHeight="1">
      <c r="A10925" s="3">
        <v>97114</v>
      </c>
      <c r="B10925" s="4" t="s">
        <v>10950</v>
      </c>
      <c r="C10925" s="3" t="s">
        <v>50</v>
      </c>
      <c r="D10925" s="5">
        <f t="shared" si="342"/>
        <v>0.31</v>
      </c>
      <c r="E10925">
        <v>0.35</v>
      </c>
      <c r="F10925" s="1789">
        <v>8.8999999999999996E-2</v>
      </c>
      <c r="G10925">
        <f t="shared" si="343"/>
        <v>0.31</v>
      </c>
    </row>
    <row r="10926" spans="1:7" ht="12.75" customHeight="1">
      <c r="A10926" s="3">
        <v>97115</v>
      </c>
      <c r="B10926" s="4" t="s">
        <v>10951</v>
      </c>
      <c r="C10926" s="3" t="s">
        <v>54</v>
      </c>
      <c r="D10926" s="5">
        <f t="shared" si="342"/>
        <v>52.72</v>
      </c>
      <c r="E10926">
        <v>57.88</v>
      </c>
      <c r="F10926" s="1789">
        <v>8.8999999999999996E-2</v>
      </c>
      <c r="G10926">
        <f t="shared" si="343"/>
        <v>52.72</v>
      </c>
    </row>
    <row r="10927" spans="1:7" ht="12.75" customHeight="1">
      <c r="A10927" s="3">
        <v>97116</v>
      </c>
      <c r="B10927" s="4" t="s">
        <v>10952</v>
      </c>
      <c r="C10927" s="3" t="s">
        <v>54</v>
      </c>
      <c r="D10927" s="5">
        <f t="shared" si="342"/>
        <v>21.58</v>
      </c>
      <c r="E10927">
        <v>23.69</v>
      </c>
      <c r="F10927" s="1789">
        <v>8.8999999999999996E-2</v>
      </c>
      <c r="G10927">
        <f t="shared" si="343"/>
        <v>21.58</v>
      </c>
    </row>
    <row r="10928" spans="1:7" ht="12.75" customHeight="1">
      <c r="A10928" s="3">
        <v>97117</v>
      </c>
      <c r="B10928" s="4" t="s">
        <v>10953</v>
      </c>
      <c r="C10928" s="3" t="s">
        <v>54</v>
      </c>
      <c r="D10928" s="5">
        <f t="shared" si="342"/>
        <v>19.38</v>
      </c>
      <c r="E10928">
        <v>21.28</v>
      </c>
      <c r="F10928" s="1789">
        <v>8.8999999999999996E-2</v>
      </c>
      <c r="G10928">
        <f t="shared" si="343"/>
        <v>19.38</v>
      </c>
    </row>
    <row r="10929" spans="1:7" ht="12.75" customHeight="1">
      <c r="A10929" s="3">
        <v>97118</v>
      </c>
      <c r="B10929" s="4" t="s">
        <v>10954</v>
      </c>
      <c r="C10929" s="3" t="s">
        <v>54</v>
      </c>
      <c r="D10929" s="5">
        <f t="shared" si="342"/>
        <v>16.350000000000001</v>
      </c>
      <c r="E10929">
        <v>17.95</v>
      </c>
      <c r="F10929" s="1789">
        <v>8.8999999999999996E-2</v>
      </c>
      <c r="G10929">
        <f t="shared" si="343"/>
        <v>16.350000000000001</v>
      </c>
    </row>
    <row r="10930" spans="1:7" ht="12.75" customHeight="1">
      <c r="A10930" s="3">
        <v>97119</v>
      </c>
      <c r="B10930" s="4" t="s">
        <v>10955</v>
      </c>
      <c r="C10930" s="3" t="s">
        <v>54</v>
      </c>
      <c r="D10930" s="5">
        <f t="shared" si="342"/>
        <v>15.01</v>
      </c>
      <c r="E10930">
        <v>16.48</v>
      </c>
      <c r="F10930" s="1789">
        <v>8.8999999999999996E-2</v>
      </c>
      <c r="G10930">
        <f t="shared" si="343"/>
        <v>15.01</v>
      </c>
    </row>
    <row r="10931" spans="1:7" ht="12.75" customHeight="1">
      <c r="A10931" s="3">
        <v>97120</v>
      </c>
      <c r="B10931" s="4" t="s">
        <v>10956</v>
      </c>
      <c r="C10931" s="3" t="s">
        <v>54</v>
      </c>
      <c r="D10931" s="5">
        <f t="shared" si="342"/>
        <v>9.81</v>
      </c>
      <c r="E10931">
        <v>10.77</v>
      </c>
      <c r="F10931" s="1789">
        <v>8.8999999999999996E-2</v>
      </c>
      <c r="G10931">
        <f t="shared" si="343"/>
        <v>9.81</v>
      </c>
    </row>
    <row r="10932" spans="1:7" ht="12.75" customHeight="1">
      <c r="A10932" s="3">
        <v>101167</v>
      </c>
      <c r="B10932" s="4" t="s">
        <v>10957</v>
      </c>
      <c r="C10932" s="3" t="s">
        <v>409</v>
      </c>
      <c r="D10932" s="5">
        <f t="shared" si="342"/>
        <v>256</v>
      </c>
      <c r="E10932">
        <v>281.01</v>
      </c>
      <c r="F10932" s="1789">
        <v>8.8999999999999996E-2</v>
      </c>
      <c r="G10932">
        <f t="shared" si="343"/>
        <v>256</v>
      </c>
    </row>
    <row r="10933" spans="1:7" ht="12.75" customHeight="1">
      <c r="A10933" s="3">
        <v>101169</v>
      </c>
      <c r="B10933" s="4" t="s">
        <v>10958</v>
      </c>
      <c r="C10933" s="3" t="s">
        <v>409</v>
      </c>
      <c r="D10933" s="5">
        <f t="shared" si="342"/>
        <v>268.87</v>
      </c>
      <c r="E10933">
        <v>295.14</v>
      </c>
      <c r="F10933" s="1789">
        <v>8.8999999999999996E-2</v>
      </c>
      <c r="G10933">
        <f t="shared" si="343"/>
        <v>268.87</v>
      </c>
    </row>
    <row r="10934" spans="1:7" ht="12.75" customHeight="1">
      <c r="A10934" s="3">
        <v>101170</v>
      </c>
      <c r="B10934" s="4" t="s">
        <v>10959</v>
      </c>
      <c r="C10934" s="3" t="s">
        <v>409</v>
      </c>
      <c r="D10934" s="5">
        <f t="shared" si="342"/>
        <v>52.66</v>
      </c>
      <c r="E10934">
        <v>57.81</v>
      </c>
      <c r="F10934" s="1789">
        <v>8.8999999999999996E-2</v>
      </c>
      <c r="G10934">
        <f t="shared" si="343"/>
        <v>52.66</v>
      </c>
    </row>
    <row r="10935" spans="1:7" ht="12.75" customHeight="1">
      <c r="A10935" s="3">
        <v>101172</v>
      </c>
      <c r="B10935" s="4" t="s">
        <v>10960</v>
      </c>
      <c r="C10935" s="3" t="s">
        <v>409</v>
      </c>
      <c r="D10935" s="5">
        <f t="shared" si="342"/>
        <v>75.569999999999993</v>
      </c>
      <c r="E10935">
        <v>82.96</v>
      </c>
      <c r="F10935" s="1789">
        <v>8.8999999999999996E-2</v>
      </c>
      <c r="G10935">
        <f t="shared" si="343"/>
        <v>75.569999999999993</v>
      </c>
    </row>
    <row r="10936" spans="1:7" ht="12.75" customHeight="1">
      <c r="A10936" s="3">
        <v>103904</v>
      </c>
      <c r="B10936" s="4" t="s">
        <v>10961</v>
      </c>
      <c r="C10936" s="3" t="s">
        <v>409</v>
      </c>
      <c r="D10936" s="5">
        <f t="shared" si="342"/>
        <v>147.26</v>
      </c>
      <c r="E10936">
        <v>161.65</v>
      </c>
      <c r="F10936" s="1789">
        <v>8.8999999999999996E-2</v>
      </c>
      <c r="G10936">
        <f t="shared" si="343"/>
        <v>147.26</v>
      </c>
    </row>
    <row r="10937" spans="1:7" ht="12.75" customHeight="1">
      <c r="A10937" s="3">
        <v>103905</v>
      </c>
      <c r="B10937" s="4" t="s">
        <v>10962</v>
      </c>
      <c r="C10937" s="3" t="s">
        <v>409</v>
      </c>
      <c r="D10937" s="5">
        <f t="shared" si="342"/>
        <v>155.59</v>
      </c>
      <c r="E10937">
        <v>170.8</v>
      </c>
      <c r="F10937" s="1789">
        <v>8.8999999999999996E-2</v>
      </c>
      <c r="G10937">
        <f t="shared" si="343"/>
        <v>155.59</v>
      </c>
    </row>
    <row r="10938" spans="1:7" ht="12.75" customHeight="1">
      <c r="A10938" s="3">
        <v>103906</v>
      </c>
      <c r="B10938" s="4" t="s">
        <v>10963</v>
      </c>
      <c r="C10938" s="3" t="s">
        <v>409</v>
      </c>
      <c r="D10938" s="5">
        <f t="shared" si="342"/>
        <v>183.11</v>
      </c>
      <c r="E10938">
        <v>201</v>
      </c>
      <c r="F10938" s="1789">
        <v>8.8999999999999996E-2</v>
      </c>
      <c r="G10938">
        <f t="shared" si="343"/>
        <v>183.11</v>
      </c>
    </row>
    <row r="10939" spans="1:7" ht="12.75" customHeight="1">
      <c r="A10939" s="3">
        <v>103907</v>
      </c>
      <c r="B10939" s="4" t="s">
        <v>10964</v>
      </c>
      <c r="C10939" s="3" t="s">
        <v>409</v>
      </c>
      <c r="D10939" s="5">
        <f t="shared" si="342"/>
        <v>164.27</v>
      </c>
      <c r="E10939">
        <v>180.32</v>
      </c>
      <c r="F10939" s="1789">
        <v>8.8999999999999996E-2</v>
      </c>
      <c r="G10939">
        <f t="shared" si="343"/>
        <v>164.27</v>
      </c>
    </row>
    <row r="10940" spans="1:7" ht="12.75" customHeight="1">
      <c r="A10940" s="3">
        <v>103908</v>
      </c>
      <c r="B10940" s="4" t="s">
        <v>10965</v>
      </c>
      <c r="C10940" s="3" t="s">
        <v>409</v>
      </c>
      <c r="D10940" s="5">
        <f t="shared" si="342"/>
        <v>186.44</v>
      </c>
      <c r="E10940">
        <v>204.66</v>
      </c>
      <c r="F10940" s="1789">
        <v>8.8999999999999996E-2</v>
      </c>
      <c r="G10940">
        <f t="shared" si="343"/>
        <v>186.44</v>
      </c>
    </row>
    <row r="10941" spans="1:7" ht="12.75" customHeight="1">
      <c r="A10941" s="3">
        <v>103909</v>
      </c>
      <c r="B10941" s="4" t="s">
        <v>10966</v>
      </c>
      <c r="C10941" s="3" t="s">
        <v>409</v>
      </c>
      <c r="D10941" s="5">
        <f t="shared" si="342"/>
        <v>212.09</v>
      </c>
      <c r="E10941">
        <v>232.82</v>
      </c>
      <c r="F10941" s="1789">
        <v>8.8999999999999996E-2</v>
      </c>
      <c r="G10941">
        <f t="shared" si="343"/>
        <v>212.09</v>
      </c>
    </row>
    <row r="10942" spans="1:7" ht="12.75" customHeight="1">
      <c r="A10942" s="3">
        <v>103911</v>
      </c>
      <c r="B10942" s="4" t="s">
        <v>10967</v>
      </c>
      <c r="C10942" s="3" t="s">
        <v>409</v>
      </c>
      <c r="D10942" s="5">
        <f t="shared" si="342"/>
        <v>241.68</v>
      </c>
      <c r="E10942">
        <v>265.3</v>
      </c>
      <c r="F10942" s="1789">
        <v>8.8999999999999996E-2</v>
      </c>
      <c r="G10942">
        <f t="shared" si="343"/>
        <v>241.68</v>
      </c>
    </row>
    <row r="10943" spans="1:7" ht="12.75" customHeight="1">
      <c r="A10943" s="3">
        <v>103912</v>
      </c>
      <c r="B10943" s="4" t="s">
        <v>10968</v>
      </c>
      <c r="C10943" s="3" t="s">
        <v>409</v>
      </c>
      <c r="D10943" s="5">
        <f t="shared" si="342"/>
        <v>267.08999999999997</v>
      </c>
      <c r="E10943">
        <v>293.19</v>
      </c>
      <c r="F10943" s="1789">
        <v>8.8999999999999996E-2</v>
      </c>
      <c r="G10943">
        <f t="shared" si="343"/>
        <v>267.08999999999997</v>
      </c>
    </row>
    <row r="10944" spans="1:7" ht="12.75" customHeight="1">
      <c r="A10944" s="3">
        <v>103913</v>
      </c>
      <c r="B10944" s="4" t="s">
        <v>10969</v>
      </c>
      <c r="C10944" s="3" t="s">
        <v>409</v>
      </c>
      <c r="D10944" s="5">
        <f t="shared" si="342"/>
        <v>135.91999999999999</v>
      </c>
      <c r="E10944">
        <v>149.19999999999999</v>
      </c>
      <c r="F10944" s="1789">
        <v>8.8999999999999996E-2</v>
      </c>
      <c r="G10944">
        <f t="shared" si="343"/>
        <v>135.91999999999999</v>
      </c>
    </row>
    <row r="10945" spans="1:7" ht="12.75" customHeight="1">
      <c r="A10945" s="3">
        <v>103914</v>
      </c>
      <c r="B10945" s="4" t="s">
        <v>10970</v>
      </c>
      <c r="C10945" s="3" t="s">
        <v>409</v>
      </c>
      <c r="D10945" s="5">
        <f t="shared" si="342"/>
        <v>158.61000000000001</v>
      </c>
      <c r="E10945">
        <v>174.11</v>
      </c>
      <c r="F10945" s="1789">
        <v>8.8999999999999996E-2</v>
      </c>
      <c r="G10945">
        <f t="shared" si="343"/>
        <v>158.61000000000001</v>
      </c>
    </row>
    <row r="10946" spans="1:7" ht="12.75" customHeight="1">
      <c r="A10946" s="3">
        <v>103915</v>
      </c>
      <c r="B10946" s="4" t="s">
        <v>10971</v>
      </c>
      <c r="C10946" s="3" t="s">
        <v>409</v>
      </c>
      <c r="D10946" s="5">
        <f t="shared" si="342"/>
        <v>172.64</v>
      </c>
      <c r="E10946">
        <v>189.51</v>
      </c>
      <c r="F10946" s="1789">
        <v>8.8999999999999996E-2</v>
      </c>
      <c r="G10946">
        <f t="shared" si="343"/>
        <v>172.64</v>
      </c>
    </row>
    <row r="10947" spans="1:7" ht="12.75" customHeight="1">
      <c r="A10947" s="3">
        <v>103916</v>
      </c>
      <c r="B10947" s="4" t="s">
        <v>10972</v>
      </c>
      <c r="C10947" s="3" t="s">
        <v>409</v>
      </c>
      <c r="D10947" s="5">
        <f t="shared" si="342"/>
        <v>199.23</v>
      </c>
      <c r="E10947">
        <v>218.7</v>
      </c>
      <c r="F10947" s="1789">
        <v>8.8999999999999996E-2</v>
      </c>
      <c r="G10947">
        <f t="shared" si="343"/>
        <v>199.23</v>
      </c>
    </row>
    <row r="10948" spans="1:7" ht="12.75" customHeight="1">
      <c r="A10948" s="3">
        <v>103917</v>
      </c>
      <c r="B10948" s="4" t="s">
        <v>10973</v>
      </c>
      <c r="C10948" s="3" t="s">
        <v>409</v>
      </c>
      <c r="D10948" s="5">
        <f t="shared" si="342"/>
        <v>228.18</v>
      </c>
      <c r="E10948">
        <v>250.48</v>
      </c>
      <c r="F10948" s="1789">
        <v>8.8999999999999996E-2</v>
      </c>
      <c r="G10948">
        <f t="shared" si="343"/>
        <v>228.18</v>
      </c>
    </row>
    <row r="10949" spans="1:7" ht="12.75" customHeight="1">
      <c r="A10949" s="3">
        <v>103918</v>
      </c>
      <c r="B10949" s="4" t="s">
        <v>10974</v>
      </c>
      <c r="C10949" s="3" t="s">
        <v>409</v>
      </c>
      <c r="D10949" s="5">
        <f t="shared" si="342"/>
        <v>242.41</v>
      </c>
      <c r="E10949">
        <v>266.10000000000002</v>
      </c>
      <c r="F10949" s="1789">
        <v>8.8999999999999996E-2</v>
      </c>
      <c r="G10949">
        <f t="shared" si="343"/>
        <v>242.41</v>
      </c>
    </row>
    <row r="10950" spans="1:7" ht="12.75" customHeight="1">
      <c r="A10950" s="3">
        <v>104432</v>
      </c>
      <c r="B10950" s="4" t="s">
        <v>10975</v>
      </c>
      <c r="C10950" s="3" t="s">
        <v>409</v>
      </c>
      <c r="D10950" s="5">
        <f t="shared" si="342"/>
        <v>98.38</v>
      </c>
      <c r="E10950">
        <v>108</v>
      </c>
      <c r="F10950" s="1789">
        <v>8.8999999999999996E-2</v>
      </c>
      <c r="G10950">
        <f t="shared" si="343"/>
        <v>98.38</v>
      </c>
    </row>
    <row r="10951" spans="1:7" ht="12.75" customHeight="1">
      <c r="A10951" s="3">
        <v>104433</v>
      </c>
      <c r="B10951" s="4" t="s">
        <v>10976</v>
      </c>
      <c r="C10951" s="3" t="s">
        <v>409</v>
      </c>
      <c r="D10951" s="5">
        <f t="shared" si="342"/>
        <v>88.13</v>
      </c>
      <c r="E10951">
        <v>96.75</v>
      </c>
      <c r="F10951" s="1789">
        <v>8.8999999999999996E-2</v>
      </c>
      <c r="G10951">
        <f t="shared" si="343"/>
        <v>88.13</v>
      </c>
    </row>
    <row r="10952" spans="1:7" ht="12.75" customHeight="1">
      <c r="A10952" s="3">
        <v>103689</v>
      </c>
      <c r="B10952" s="4" t="s">
        <v>10977</v>
      </c>
      <c r="C10952" s="3" t="s">
        <v>409</v>
      </c>
      <c r="D10952" s="5">
        <f t="shared" si="342"/>
        <v>421.5</v>
      </c>
      <c r="E10952">
        <v>462.68</v>
      </c>
      <c r="F10952" s="1789">
        <v>8.8999999999999996E-2</v>
      </c>
      <c r="G10952">
        <f t="shared" si="343"/>
        <v>421.5</v>
      </c>
    </row>
    <row r="10953" spans="1:7" ht="12.75" customHeight="1">
      <c r="A10953" s="3">
        <v>103694</v>
      </c>
      <c r="B10953" s="4" t="s">
        <v>10978</v>
      </c>
      <c r="C10953" s="3" t="s">
        <v>6</v>
      </c>
      <c r="D10953" s="5">
        <f t="shared" si="342"/>
        <v>106.81</v>
      </c>
      <c r="E10953">
        <v>117.25</v>
      </c>
      <c r="F10953" s="1789">
        <v>8.8999999999999996E-2</v>
      </c>
      <c r="G10953">
        <f t="shared" si="343"/>
        <v>106.81</v>
      </c>
    </row>
    <row r="10954" spans="1:7" ht="12.75" customHeight="1">
      <c r="A10954" s="3">
        <v>103695</v>
      </c>
      <c r="B10954" s="4" t="s">
        <v>10979</v>
      </c>
      <c r="C10954" s="3" t="s">
        <v>6</v>
      </c>
      <c r="D10954" s="5">
        <f t="shared" si="342"/>
        <v>95.52</v>
      </c>
      <c r="E10954">
        <v>104.86</v>
      </c>
      <c r="F10954" s="1789">
        <v>8.8999999999999996E-2</v>
      </c>
      <c r="G10954">
        <f t="shared" si="343"/>
        <v>95.52</v>
      </c>
    </row>
    <row r="10955" spans="1:7" ht="12.75" customHeight="1">
      <c r="A10955" s="3">
        <v>103696</v>
      </c>
      <c r="B10955" s="4" t="s">
        <v>10980</v>
      </c>
      <c r="C10955" s="3" t="s">
        <v>6</v>
      </c>
      <c r="D10955" s="5">
        <f t="shared" si="342"/>
        <v>130.47999999999999</v>
      </c>
      <c r="E10955">
        <v>143.22999999999999</v>
      </c>
      <c r="F10955" s="1789">
        <v>8.8999999999999996E-2</v>
      </c>
      <c r="G10955">
        <f t="shared" si="343"/>
        <v>130.47999999999999</v>
      </c>
    </row>
    <row r="10956" spans="1:7" ht="12.75" customHeight="1">
      <c r="A10956" s="3">
        <v>103697</v>
      </c>
      <c r="B10956" s="4" t="s">
        <v>10981</v>
      </c>
      <c r="C10956" s="3" t="s">
        <v>6</v>
      </c>
      <c r="D10956" s="5">
        <f t="shared" si="342"/>
        <v>119.19</v>
      </c>
      <c r="E10956">
        <v>130.84</v>
      </c>
      <c r="F10956" s="1789">
        <v>8.8999999999999996E-2</v>
      </c>
      <c r="G10956">
        <f t="shared" si="343"/>
        <v>119.19</v>
      </c>
    </row>
    <row r="10957" spans="1:7" ht="12.75" customHeight="1">
      <c r="A10957" s="3">
        <v>95995</v>
      </c>
      <c r="B10957" s="4" t="s">
        <v>10982</v>
      </c>
      <c r="C10957" s="3" t="s">
        <v>152</v>
      </c>
      <c r="D10957" s="5">
        <f t="shared" si="342"/>
        <v>1913.12</v>
      </c>
      <c r="E10957">
        <v>2100.0300000000002</v>
      </c>
      <c r="F10957" s="1789">
        <v>8.8999999999999996E-2</v>
      </c>
      <c r="G10957">
        <f t="shared" si="343"/>
        <v>1913.12</v>
      </c>
    </row>
    <row r="10958" spans="1:7" ht="12.75" customHeight="1">
      <c r="A10958" s="3">
        <v>95996</v>
      </c>
      <c r="B10958" s="4" t="s">
        <v>10983</v>
      </c>
      <c r="C10958" s="3" t="s">
        <v>152</v>
      </c>
      <c r="D10958" s="5">
        <f t="shared" si="342"/>
        <v>1660.59</v>
      </c>
      <c r="E10958">
        <v>1822.83</v>
      </c>
      <c r="F10958" s="1789">
        <v>8.8999999999999996E-2</v>
      </c>
      <c r="G10958">
        <f t="shared" si="343"/>
        <v>1660.59</v>
      </c>
    </row>
    <row r="10959" spans="1:7" ht="12.75" customHeight="1">
      <c r="A10959" s="3">
        <v>96001</v>
      </c>
      <c r="B10959" s="4" t="s">
        <v>10984</v>
      </c>
      <c r="C10959" s="3" t="s">
        <v>409</v>
      </c>
      <c r="D10959" s="5">
        <f t="shared" si="342"/>
        <v>6.78</v>
      </c>
      <c r="E10959">
        <v>7.45</v>
      </c>
      <c r="F10959" s="1789">
        <v>8.8999999999999996E-2</v>
      </c>
      <c r="G10959">
        <f t="shared" si="343"/>
        <v>6.78</v>
      </c>
    </row>
    <row r="10960" spans="1:7" ht="12.75" customHeight="1">
      <c r="A10960" s="3">
        <v>96393</v>
      </c>
      <c r="B10960" s="4" t="s">
        <v>10985</v>
      </c>
      <c r="C10960" s="3" t="s">
        <v>152</v>
      </c>
      <c r="D10960" s="5">
        <f t="shared" si="342"/>
        <v>212.8</v>
      </c>
      <c r="E10960">
        <v>233.6</v>
      </c>
      <c r="F10960" s="1789">
        <v>8.8999999999999996E-2</v>
      </c>
      <c r="G10960">
        <f t="shared" si="343"/>
        <v>212.8</v>
      </c>
    </row>
    <row r="10961" spans="1:7" ht="12.75" customHeight="1">
      <c r="A10961" s="3">
        <v>96394</v>
      </c>
      <c r="B10961" s="4" t="s">
        <v>10986</v>
      </c>
      <c r="C10961" s="3" t="s">
        <v>152</v>
      </c>
      <c r="D10961" s="5">
        <f t="shared" si="342"/>
        <v>274.12</v>
      </c>
      <c r="E10961">
        <v>300.91000000000003</v>
      </c>
      <c r="F10961" s="1789">
        <v>8.8999999999999996E-2</v>
      </c>
      <c r="G10961">
        <f t="shared" si="343"/>
        <v>274.12</v>
      </c>
    </row>
    <row r="10962" spans="1:7" ht="12.75" customHeight="1">
      <c r="A10962" s="3">
        <v>96395</v>
      </c>
      <c r="B10962" s="4" t="s">
        <v>10987</v>
      </c>
      <c r="C10962" s="3" t="s">
        <v>152</v>
      </c>
      <c r="D10962" s="5">
        <f t="shared" si="342"/>
        <v>359.95</v>
      </c>
      <c r="E10962">
        <v>395.12</v>
      </c>
      <c r="F10962" s="1789">
        <v>8.8999999999999996E-2</v>
      </c>
      <c r="G10962">
        <f t="shared" si="343"/>
        <v>359.95</v>
      </c>
    </row>
    <row r="10963" spans="1:7" ht="12.75" customHeight="1">
      <c r="A10963" s="3">
        <v>88411</v>
      </c>
      <c r="B10963" s="4" t="s">
        <v>10988</v>
      </c>
      <c r="C10963" s="3" t="s">
        <v>409</v>
      </c>
      <c r="D10963" s="5">
        <f t="shared" si="342"/>
        <v>3.06</v>
      </c>
      <c r="E10963">
        <v>3.36</v>
      </c>
      <c r="F10963" s="1789">
        <v>8.8999999999999996E-2</v>
      </c>
      <c r="G10963">
        <f t="shared" si="343"/>
        <v>3.06</v>
      </c>
    </row>
    <row r="10964" spans="1:7" ht="12.75" customHeight="1">
      <c r="A10964" s="3">
        <v>88412</v>
      </c>
      <c r="B10964" s="4" t="s">
        <v>10989</v>
      </c>
      <c r="C10964" s="3" t="s">
        <v>409</v>
      </c>
      <c r="D10964" s="5">
        <f t="shared" si="342"/>
        <v>2.39</v>
      </c>
      <c r="E10964">
        <v>2.63</v>
      </c>
      <c r="F10964" s="1789">
        <v>8.8999999999999996E-2</v>
      </c>
      <c r="G10964">
        <f t="shared" si="343"/>
        <v>2.39</v>
      </c>
    </row>
    <row r="10965" spans="1:7" ht="12.75" customHeight="1">
      <c r="A10965" s="3">
        <v>88413</v>
      </c>
      <c r="B10965" s="4" t="s">
        <v>10990</v>
      </c>
      <c r="C10965" s="3" t="s">
        <v>409</v>
      </c>
      <c r="D10965" s="5">
        <f t="shared" ref="D10965:D11028" si="344">G10965</f>
        <v>4.03</v>
      </c>
      <c r="E10965">
        <v>4.43</v>
      </c>
      <c r="F10965" s="1789">
        <v>8.8999999999999996E-2</v>
      </c>
      <c r="G10965">
        <f t="shared" ref="G10965:G11028" si="345">TRUNC((1-F10965)*E10965,2)</f>
        <v>4.03</v>
      </c>
    </row>
    <row r="10966" spans="1:7" ht="12.75" customHeight="1">
      <c r="A10966" s="3">
        <v>88414</v>
      </c>
      <c r="B10966" s="4" t="s">
        <v>10991</v>
      </c>
      <c r="C10966" s="3" t="s">
        <v>409</v>
      </c>
      <c r="D10966" s="5">
        <f t="shared" si="344"/>
        <v>4.76</v>
      </c>
      <c r="E10966">
        <v>5.23</v>
      </c>
      <c r="F10966" s="1789">
        <v>8.8999999999999996E-2</v>
      </c>
      <c r="G10966">
        <f t="shared" si="345"/>
        <v>4.76</v>
      </c>
    </row>
    <row r="10967" spans="1:7" ht="12.75" customHeight="1">
      <c r="A10967" s="3">
        <v>88415</v>
      </c>
      <c r="B10967" s="4" t="s">
        <v>10992</v>
      </c>
      <c r="C10967" s="3" t="s">
        <v>409</v>
      </c>
      <c r="D10967" s="5">
        <f t="shared" si="344"/>
        <v>3.14</v>
      </c>
      <c r="E10967">
        <v>3.45</v>
      </c>
      <c r="F10967" s="1789">
        <v>8.8999999999999996E-2</v>
      </c>
      <c r="G10967">
        <f t="shared" si="345"/>
        <v>3.14</v>
      </c>
    </row>
    <row r="10968" spans="1:7" ht="12.75" customHeight="1">
      <c r="A10968" s="3">
        <v>88416</v>
      </c>
      <c r="B10968" s="4" t="s">
        <v>10993</v>
      </c>
      <c r="C10968" s="3" t="s">
        <v>409</v>
      </c>
      <c r="D10968" s="5">
        <f t="shared" si="344"/>
        <v>18.260000000000002</v>
      </c>
      <c r="E10968">
        <v>20.05</v>
      </c>
      <c r="F10968" s="1789">
        <v>8.8999999999999996E-2</v>
      </c>
      <c r="G10968">
        <f t="shared" si="345"/>
        <v>18.260000000000002</v>
      </c>
    </row>
    <row r="10969" spans="1:7" ht="12.75" customHeight="1">
      <c r="A10969" s="3">
        <v>88417</v>
      </c>
      <c r="B10969" s="4" t="s">
        <v>10994</v>
      </c>
      <c r="C10969" s="3" t="s">
        <v>409</v>
      </c>
      <c r="D10969" s="5">
        <f t="shared" si="344"/>
        <v>15.55</v>
      </c>
      <c r="E10969">
        <v>17.079999999999998</v>
      </c>
      <c r="F10969" s="1789">
        <v>8.8999999999999996E-2</v>
      </c>
      <c r="G10969">
        <f t="shared" si="345"/>
        <v>15.55</v>
      </c>
    </row>
    <row r="10970" spans="1:7" ht="12.75" customHeight="1">
      <c r="A10970" s="3">
        <v>88420</v>
      </c>
      <c r="B10970" s="4" t="s">
        <v>10995</v>
      </c>
      <c r="C10970" s="3" t="s">
        <v>409</v>
      </c>
      <c r="D10970" s="5">
        <f t="shared" si="344"/>
        <v>20.74</v>
      </c>
      <c r="E10970">
        <v>22.77</v>
      </c>
      <c r="F10970" s="1789">
        <v>8.8999999999999996E-2</v>
      </c>
      <c r="G10970">
        <f t="shared" si="345"/>
        <v>20.74</v>
      </c>
    </row>
    <row r="10971" spans="1:7" ht="12.75" customHeight="1">
      <c r="A10971" s="3">
        <v>88421</v>
      </c>
      <c r="B10971" s="4" t="s">
        <v>10996</v>
      </c>
      <c r="C10971" s="3" t="s">
        <v>409</v>
      </c>
      <c r="D10971" s="5">
        <f t="shared" si="344"/>
        <v>25.05</v>
      </c>
      <c r="E10971">
        <v>27.5</v>
      </c>
      <c r="F10971" s="1789">
        <v>8.8999999999999996E-2</v>
      </c>
      <c r="G10971">
        <f t="shared" si="345"/>
        <v>25.05</v>
      </c>
    </row>
    <row r="10972" spans="1:7" ht="12.75" customHeight="1">
      <c r="A10972" s="3">
        <v>88423</v>
      </c>
      <c r="B10972" s="4" t="s">
        <v>10997</v>
      </c>
      <c r="C10972" s="3" t="s">
        <v>409</v>
      </c>
      <c r="D10972" s="5">
        <f t="shared" si="344"/>
        <v>18.23</v>
      </c>
      <c r="E10972">
        <v>20.02</v>
      </c>
      <c r="F10972" s="1789">
        <v>8.8999999999999996E-2</v>
      </c>
      <c r="G10972">
        <f t="shared" si="345"/>
        <v>18.23</v>
      </c>
    </row>
    <row r="10973" spans="1:7" ht="12.75" customHeight="1">
      <c r="A10973" s="3">
        <v>88424</v>
      </c>
      <c r="B10973" s="4" t="s">
        <v>10998</v>
      </c>
      <c r="C10973" s="3" t="s">
        <v>409</v>
      </c>
      <c r="D10973" s="5">
        <f t="shared" si="344"/>
        <v>21.2</v>
      </c>
      <c r="E10973">
        <v>23.28</v>
      </c>
      <c r="F10973" s="1789">
        <v>8.8999999999999996E-2</v>
      </c>
      <c r="G10973">
        <f t="shared" si="345"/>
        <v>21.2</v>
      </c>
    </row>
    <row r="10974" spans="1:7" ht="12.75" customHeight="1">
      <c r="A10974" s="3">
        <v>88426</v>
      </c>
      <c r="B10974" s="4" t="s">
        <v>10999</v>
      </c>
      <c r="C10974" s="3" t="s">
        <v>409</v>
      </c>
      <c r="D10974" s="5">
        <f t="shared" si="344"/>
        <v>17.13</v>
      </c>
      <c r="E10974">
        <v>18.809999999999999</v>
      </c>
      <c r="F10974" s="1789">
        <v>8.8999999999999996E-2</v>
      </c>
      <c r="G10974">
        <f t="shared" si="345"/>
        <v>17.13</v>
      </c>
    </row>
    <row r="10975" spans="1:7" ht="12.75" customHeight="1">
      <c r="A10975" s="3">
        <v>88428</v>
      </c>
      <c r="B10975" s="4" t="s">
        <v>11000</v>
      </c>
      <c r="C10975" s="3" t="s">
        <v>409</v>
      </c>
      <c r="D10975" s="5">
        <f t="shared" si="344"/>
        <v>26.38</v>
      </c>
      <c r="E10975">
        <v>28.96</v>
      </c>
      <c r="F10975" s="1789">
        <v>8.8999999999999996E-2</v>
      </c>
      <c r="G10975">
        <f t="shared" si="345"/>
        <v>26.38</v>
      </c>
    </row>
    <row r="10976" spans="1:7" ht="12.75" customHeight="1">
      <c r="A10976" s="3">
        <v>88429</v>
      </c>
      <c r="B10976" s="4" t="s">
        <v>11001</v>
      </c>
      <c r="C10976" s="3" t="s">
        <v>409</v>
      </c>
      <c r="D10976" s="5">
        <f t="shared" si="344"/>
        <v>31.62</v>
      </c>
      <c r="E10976">
        <v>34.71</v>
      </c>
      <c r="F10976" s="1789">
        <v>8.8999999999999996E-2</v>
      </c>
      <c r="G10976">
        <f t="shared" si="345"/>
        <v>31.62</v>
      </c>
    </row>
    <row r="10977" spans="1:7" ht="12.75" customHeight="1">
      <c r="A10977" s="3">
        <v>88431</v>
      </c>
      <c r="B10977" s="4" t="s">
        <v>11002</v>
      </c>
      <c r="C10977" s="3" t="s">
        <v>409</v>
      </c>
      <c r="D10977" s="5">
        <f t="shared" si="344"/>
        <v>21.54</v>
      </c>
      <c r="E10977">
        <v>23.65</v>
      </c>
      <c r="F10977" s="1789">
        <v>8.8999999999999996E-2</v>
      </c>
      <c r="G10977">
        <f t="shared" si="345"/>
        <v>21.54</v>
      </c>
    </row>
    <row r="10978" spans="1:7" ht="12.75" customHeight="1">
      <c r="A10978" s="3">
        <v>88432</v>
      </c>
      <c r="B10978" s="4" t="s">
        <v>11003</v>
      </c>
      <c r="C10978" s="3" t="s">
        <v>409</v>
      </c>
      <c r="D10978" s="5">
        <f t="shared" si="344"/>
        <v>26.85</v>
      </c>
      <c r="E10978">
        <v>29.48</v>
      </c>
      <c r="F10978" s="1789">
        <v>8.8999999999999996E-2</v>
      </c>
      <c r="G10978">
        <f t="shared" si="345"/>
        <v>26.85</v>
      </c>
    </row>
    <row r="10979" spans="1:7" ht="12.75" customHeight="1">
      <c r="A10979" s="3">
        <v>88484</v>
      </c>
      <c r="B10979" s="4" t="s">
        <v>11004</v>
      </c>
      <c r="C10979" s="3" t="s">
        <v>409</v>
      </c>
      <c r="D10979" s="5">
        <f t="shared" si="344"/>
        <v>3.74</v>
      </c>
      <c r="E10979">
        <v>4.1100000000000003</v>
      </c>
      <c r="F10979" s="1789">
        <v>8.8999999999999996E-2</v>
      </c>
      <c r="G10979">
        <f t="shared" si="345"/>
        <v>3.74</v>
      </c>
    </row>
    <row r="10980" spans="1:7" ht="12.75" customHeight="1">
      <c r="A10980" s="3">
        <v>88485</v>
      </c>
      <c r="B10980" s="4" t="s">
        <v>11005</v>
      </c>
      <c r="C10980" s="3" t="s">
        <v>409</v>
      </c>
      <c r="D10980" s="5">
        <f t="shared" si="344"/>
        <v>2.94</v>
      </c>
      <c r="E10980">
        <v>3.23</v>
      </c>
      <c r="F10980" s="1789">
        <v>8.8999999999999996E-2</v>
      </c>
      <c r="G10980">
        <f t="shared" si="345"/>
        <v>2.94</v>
      </c>
    </row>
    <row r="10981" spans="1:7" ht="12.75" customHeight="1">
      <c r="A10981" s="3">
        <v>88488</v>
      </c>
      <c r="B10981" s="4" t="s">
        <v>11006</v>
      </c>
      <c r="C10981" s="3" t="s">
        <v>409</v>
      </c>
      <c r="D10981" s="5">
        <f t="shared" si="344"/>
        <v>12.93</v>
      </c>
      <c r="E10981">
        <v>14.2</v>
      </c>
      <c r="F10981" s="1789">
        <v>8.8999999999999996E-2</v>
      </c>
      <c r="G10981">
        <f t="shared" si="345"/>
        <v>12.93</v>
      </c>
    </row>
    <row r="10982" spans="1:7" ht="12.75" customHeight="1">
      <c r="A10982" s="3">
        <v>88489</v>
      </c>
      <c r="B10982" s="4" t="s">
        <v>11007</v>
      </c>
      <c r="C10982" s="3" t="s">
        <v>409</v>
      </c>
      <c r="D10982" s="5">
        <f t="shared" si="344"/>
        <v>10.96</v>
      </c>
      <c r="E10982">
        <v>12.04</v>
      </c>
      <c r="F10982" s="1789">
        <v>8.8999999999999996E-2</v>
      </c>
      <c r="G10982">
        <f t="shared" si="345"/>
        <v>10.96</v>
      </c>
    </row>
    <row r="10983" spans="1:7" ht="12.75" customHeight="1">
      <c r="A10983" s="3">
        <v>88494</v>
      </c>
      <c r="B10983" s="4" t="s">
        <v>11008</v>
      </c>
      <c r="C10983" s="3" t="s">
        <v>409</v>
      </c>
      <c r="D10983" s="5">
        <f t="shared" si="344"/>
        <v>17.899999999999999</v>
      </c>
      <c r="E10983">
        <v>19.649999999999999</v>
      </c>
      <c r="F10983" s="1789">
        <v>8.8999999999999996E-2</v>
      </c>
      <c r="G10983">
        <f t="shared" si="345"/>
        <v>17.899999999999999</v>
      </c>
    </row>
    <row r="10984" spans="1:7" ht="12.75" customHeight="1">
      <c r="A10984" s="3">
        <v>88495</v>
      </c>
      <c r="B10984" s="4" t="s">
        <v>11009</v>
      </c>
      <c r="C10984" s="3" t="s">
        <v>409</v>
      </c>
      <c r="D10984" s="5">
        <f t="shared" si="344"/>
        <v>9.8800000000000008</v>
      </c>
      <c r="E10984">
        <v>10.85</v>
      </c>
      <c r="F10984" s="1789">
        <v>8.8999999999999996E-2</v>
      </c>
      <c r="G10984">
        <f t="shared" si="345"/>
        <v>9.8800000000000008</v>
      </c>
    </row>
    <row r="10985" spans="1:7" ht="12.75" customHeight="1">
      <c r="A10985" s="3">
        <v>88496</v>
      </c>
      <c r="B10985" s="4" t="s">
        <v>11010</v>
      </c>
      <c r="C10985" s="3" t="s">
        <v>409</v>
      </c>
      <c r="D10985" s="5">
        <f t="shared" si="344"/>
        <v>27.15</v>
      </c>
      <c r="E10985">
        <v>29.81</v>
      </c>
      <c r="F10985" s="1789">
        <v>8.8999999999999996E-2</v>
      </c>
      <c r="G10985">
        <f t="shared" si="345"/>
        <v>27.15</v>
      </c>
    </row>
    <row r="10986" spans="1:7" ht="12.75" customHeight="1">
      <c r="A10986" s="3">
        <v>88497</v>
      </c>
      <c r="B10986" s="4" t="s">
        <v>11011</v>
      </c>
      <c r="C10986" s="3" t="s">
        <v>409</v>
      </c>
      <c r="D10986" s="5">
        <f t="shared" si="344"/>
        <v>15.39</v>
      </c>
      <c r="E10986">
        <v>16.899999999999999</v>
      </c>
      <c r="F10986" s="1789">
        <v>8.8999999999999996E-2</v>
      </c>
      <c r="G10986">
        <f t="shared" si="345"/>
        <v>15.39</v>
      </c>
    </row>
    <row r="10987" spans="1:7" ht="12.75" customHeight="1">
      <c r="A10987" s="3">
        <v>95305</v>
      </c>
      <c r="B10987" s="4" t="s">
        <v>11012</v>
      </c>
      <c r="C10987" s="3" t="s">
        <v>409</v>
      </c>
      <c r="D10987" s="5">
        <f t="shared" si="344"/>
        <v>11.61</v>
      </c>
      <c r="E10987">
        <v>12.75</v>
      </c>
      <c r="F10987" s="1789">
        <v>8.8999999999999996E-2</v>
      </c>
      <c r="G10987">
        <f t="shared" si="345"/>
        <v>11.61</v>
      </c>
    </row>
    <row r="10988" spans="1:7" ht="12.75" customHeight="1">
      <c r="A10988" s="3">
        <v>95306</v>
      </c>
      <c r="B10988" s="4" t="s">
        <v>11013</v>
      </c>
      <c r="C10988" s="3" t="s">
        <v>409</v>
      </c>
      <c r="D10988" s="5">
        <f t="shared" si="344"/>
        <v>13.48</v>
      </c>
      <c r="E10988">
        <v>14.8</v>
      </c>
      <c r="F10988" s="1789">
        <v>8.8999999999999996E-2</v>
      </c>
      <c r="G10988">
        <f t="shared" si="345"/>
        <v>13.48</v>
      </c>
    </row>
    <row r="10989" spans="1:7" ht="12.75" customHeight="1">
      <c r="A10989" s="3">
        <v>95622</v>
      </c>
      <c r="B10989" s="4" t="s">
        <v>11014</v>
      </c>
      <c r="C10989" s="3" t="s">
        <v>409</v>
      </c>
      <c r="D10989" s="5">
        <f t="shared" si="344"/>
        <v>12.58</v>
      </c>
      <c r="E10989">
        <v>13.81</v>
      </c>
      <c r="F10989" s="1789">
        <v>8.8999999999999996E-2</v>
      </c>
      <c r="G10989">
        <f t="shared" si="345"/>
        <v>12.58</v>
      </c>
    </row>
    <row r="10990" spans="1:7" ht="12.75" customHeight="1">
      <c r="A10990" s="3">
        <v>95623</v>
      </c>
      <c r="B10990" s="4" t="s">
        <v>11015</v>
      </c>
      <c r="C10990" s="3" t="s">
        <v>409</v>
      </c>
      <c r="D10990" s="5">
        <f t="shared" si="344"/>
        <v>8.9</v>
      </c>
      <c r="E10990">
        <v>9.77</v>
      </c>
      <c r="F10990" s="1789">
        <v>8.8999999999999996E-2</v>
      </c>
      <c r="G10990">
        <f t="shared" si="345"/>
        <v>8.9</v>
      </c>
    </row>
    <row r="10991" spans="1:7" ht="12.75" customHeight="1">
      <c r="A10991" s="3">
        <v>95624</v>
      </c>
      <c r="B10991" s="4" t="s">
        <v>11016</v>
      </c>
      <c r="C10991" s="3" t="s">
        <v>409</v>
      </c>
      <c r="D10991" s="5">
        <f t="shared" si="344"/>
        <v>18.82</v>
      </c>
      <c r="E10991">
        <v>20.66</v>
      </c>
      <c r="F10991" s="1789">
        <v>8.8999999999999996E-2</v>
      </c>
      <c r="G10991">
        <f t="shared" si="345"/>
        <v>18.82</v>
      </c>
    </row>
    <row r="10992" spans="1:7" ht="12.75" customHeight="1">
      <c r="A10992" s="3">
        <v>95625</v>
      </c>
      <c r="B10992" s="4" t="s">
        <v>11017</v>
      </c>
      <c r="C10992" s="3" t="s">
        <v>409</v>
      </c>
      <c r="D10992" s="5">
        <f t="shared" si="344"/>
        <v>22.26</v>
      </c>
      <c r="E10992">
        <v>24.44</v>
      </c>
      <c r="F10992" s="1789">
        <v>8.8999999999999996E-2</v>
      </c>
      <c r="G10992">
        <f t="shared" si="345"/>
        <v>22.26</v>
      </c>
    </row>
    <row r="10993" spans="1:7" ht="12.75" customHeight="1">
      <c r="A10993" s="3">
        <v>95626</v>
      </c>
      <c r="B10993" s="4" t="s">
        <v>11018</v>
      </c>
      <c r="C10993" s="3" t="s">
        <v>409</v>
      </c>
      <c r="D10993" s="5">
        <f t="shared" si="344"/>
        <v>13.29</v>
      </c>
      <c r="E10993">
        <v>14.59</v>
      </c>
      <c r="F10993" s="1789">
        <v>8.8999999999999996E-2</v>
      </c>
      <c r="G10993">
        <f t="shared" si="345"/>
        <v>13.29</v>
      </c>
    </row>
    <row r="10994" spans="1:7" ht="12.75" customHeight="1">
      <c r="A10994" s="3">
        <v>96126</v>
      </c>
      <c r="B10994" s="4" t="s">
        <v>11019</v>
      </c>
      <c r="C10994" s="3" t="s">
        <v>409</v>
      </c>
      <c r="D10994" s="5">
        <f t="shared" si="344"/>
        <v>15.04</v>
      </c>
      <c r="E10994">
        <v>16.52</v>
      </c>
      <c r="F10994" s="1789">
        <v>8.8999999999999996E-2</v>
      </c>
      <c r="G10994">
        <f t="shared" si="345"/>
        <v>15.04</v>
      </c>
    </row>
    <row r="10995" spans="1:7" ht="12.75" customHeight="1">
      <c r="A10995" s="3">
        <v>96127</v>
      </c>
      <c r="B10995" s="4" t="s">
        <v>11020</v>
      </c>
      <c r="C10995" s="3" t="s">
        <v>409</v>
      </c>
      <c r="D10995" s="5">
        <f t="shared" si="344"/>
        <v>9.75</v>
      </c>
      <c r="E10995">
        <v>10.71</v>
      </c>
      <c r="F10995" s="1789">
        <v>8.8999999999999996E-2</v>
      </c>
      <c r="G10995">
        <f t="shared" si="345"/>
        <v>9.75</v>
      </c>
    </row>
    <row r="10996" spans="1:7" ht="12.75" customHeight="1">
      <c r="A10996" s="3">
        <v>96128</v>
      </c>
      <c r="B10996" s="4" t="s">
        <v>11021</v>
      </c>
      <c r="C10996" s="3" t="s">
        <v>409</v>
      </c>
      <c r="D10996" s="5">
        <f t="shared" si="344"/>
        <v>24.7</v>
      </c>
      <c r="E10996">
        <v>27.12</v>
      </c>
      <c r="F10996" s="1789">
        <v>8.8999999999999996E-2</v>
      </c>
      <c r="G10996">
        <f t="shared" si="345"/>
        <v>24.7</v>
      </c>
    </row>
    <row r="10997" spans="1:7" ht="12.75" customHeight="1">
      <c r="A10997" s="3">
        <v>96129</v>
      </c>
      <c r="B10997" s="4" t="s">
        <v>11022</v>
      </c>
      <c r="C10997" s="3" t="s">
        <v>409</v>
      </c>
      <c r="D10997" s="5">
        <f t="shared" si="344"/>
        <v>29.06</v>
      </c>
      <c r="E10997">
        <v>31.9</v>
      </c>
      <c r="F10997" s="1789">
        <v>8.8999999999999996E-2</v>
      </c>
      <c r="G10997">
        <f t="shared" si="345"/>
        <v>29.06</v>
      </c>
    </row>
    <row r="10998" spans="1:7" ht="12.75" customHeight="1">
      <c r="A10998" s="3">
        <v>96130</v>
      </c>
      <c r="B10998" s="4" t="s">
        <v>11023</v>
      </c>
      <c r="C10998" s="3" t="s">
        <v>409</v>
      </c>
      <c r="D10998" s="5">
        <f t="shared" si="344"/>
        <v>16.239999999999998</v>
      </c>
      <c r="E10998">
        <v>17.829999999999998</v>
      </c>
      <c r="F10998" s="1789">
        <v>8.8999999999999996E-2</v>
      </c>
      <c r="G10998">
        <f t="shared" si="345"/>
        <v>16.239999999999998</v>
      </c>
    </row>
    <row r="10999" spans="1:7" ht="12.75" customHeight="1">
      <c r="A10999" s="3">
        <v>96131</v>
      </c>
      <c r="B10999" s="4" t="s">
        <v>11024</v>
      </c>
      <c r="C10999" s="3" t="s">
        <v>409</v>
      </c>
      <c r="D10999" s="5">
        <f t="shared" si="344"/>
        <v>23.74</v>
      </c>
      <c r="E10999">
        <v>26.06</v>
      </c>
      <c r="F10999" s="1789">
        <v>8.8999999999999996E-2</v>
      </c>
      <c r="G10999">
        <f t="shared" si="345"/>
        <v>23.74</v>
      </c>
    </row>
    <row r="11000" spans="1:7" ht="12.75" customHeight="1">
      <c r="A11000" s="3">
        <v>96132</v>
      </c>
      <c r="B11000" s="4" t="s">
        <v>11025</v>
      </c>
      <c r="C11000" s="3" t="s">
        <v>409</v>
      </c>
      <c r="D11000" s="5">
        <f t="shared" si="344"/>
        <v>15.86</v>
      </c>
      <c r="E11000">
        <v>17.420000000000002</v>
      </c>
      <c r="F11000" s="1789">
        <v>8.8999999999999996E-2</v>
      </c>
      <c r="G11000">
        <f t="shared" si="345"/>
        <v>15.86</v>
      </c>
    </row>
    <row r="11001" spans="1:7" ht="12.75" customHeight="1">
      <c r="A11001" s="3">
        <v>96133</v>
      </c>
      <c r="B11001" s="4" t="s">
        <v>11026</v>
      </c>
      <c r="C11001" s="3" t="s">
        <v>409</v>
      </c>
      <c r="D11001" s="5">
        <f t="shared" si="344"/>
        <v>37.82</v>
      </c>
      <c r="E11001">
        <v>41.52</v>
      </c>
      <c r="F11001" s="1789">
        <v>8.8999999999999996E-2</v>
      </c>
      <c r="G11001">
        <f t="shared" si="345"/>
        <v>37.82</v>
      </c>
    </row>
    <row r="11002" spans="1:7" ht="12.75" customHeight="1">
      <c r="A11002" s="3">
        <v>96134</v>
      </c>
      <c r="B11002" s="4" t="s">
        <v>11027</v>
      </c>
      <c r="C11002" s="3" t="s">
        <v>409</v>
      </c>
      <c r="D11002" s="5">
        <f t="shared" si="344"/>
        <v>44.56</v>
      </c>
      <c r="E11002">
        <v>48.92</v>
      </c>
      <c r="F11002" s="1789">
        <v>8.8999999999999996E-2</v>
      </c>
      <c r="G11002">
        <f t="shared" si="345"/>
        <v>44.56</v>
      </c>
    </row>
    <row r="11003" spans="1:7" ht="12.75" customHeight="1">
      <c r="A11003" s="3">
        <v>96135</v>
      </c>
      <c r="B11003" s="4" t="s">
        <v>11028</v>
      </c>
      <c r="C11003" s="3" t="s">
        <v>409</v>
      </c>
      <c r="D11003" s="5">
        <f t="shared" si="344"/>
        <v>25.44</v>
      </c>
      <c r="E11003">
        <v>27.93</v>
      </c>
      <c r="F11003" s="1789">
        <v>8.8999999999999996E-2</v>
      </c>
      <c r="G11003">
        <f t="shared" si="345"/>
        <v>25.44</v>
      </c>
    </row>
    <row r="11004" spans="1:7" ht="12.75" customHeight="1">
      <c r="A11004" s="3">
        <v>104639</v>
      </c>
      <c r="B11004" s="4" t="s">
        <v>11029</v>
      </c>
      <c r="C11004" s="3" t="s">
        <v>409</v>
      </c>
      <c r="D11004" s="5">
        <f t="shared" si="344"/>
        <v>9.89</v>
      </c>
      <c r="E11004">
        <v>10.86</v>
      </c>
      <c r="F11004" s="1789">
        <v>8.8999999999999996E-2</v>
      </c>
      <c r="G11004">
        <f t="shared" si="345"/>
        <v>9.89</v>
      </c>
    </row>
    <row r="11005" spans="1:7" ht="12.75" customHeight="1">
      <c r="A11005" s="3">
        <v>104640</v>
      </c>
      <c r="B11005" s="4" t="s">
        <v>11030</v>
      </c>
      <c r="C11005" s="3" t="s">
        <v>409</v>
      </c>
      <c r="D11005" s="5">
        <f t="shared" si="344"/>
        <v>11.02</v>
      </c>
      <c r="E11005">
        <v>12.1</v>
      </c>
      <c r="F11005" s="1789">
        <v>8.8999999999999996E-2</v>
      </c>
      <c r="G11005">
        <f t="shared" si="345"/>
        <v>11.02</v>
      </c>
    </row>
    <row r="11006" spans="1:7" ht="12.75" customHeight="1">
      <c r="A11006" s="3">
        <v>104641</v>
      </c>
      <c r="B11006" s="4" t="s">
        <v>11031</v>
      </c>
      <c r="C11006" s="3" t="s">
        <v>409</v>
      </c>
      <c r="D11006" s="5">
        <f t="shared" si="344"/>
        <v>7.92</v>
      </c>
      <c r="E11006">
        <v>8.6999999999999993</v>
      </c>
      <c r="F11006" s="1789">
        <v>8.8999999999999996E-2</v>
      </c>
      <c r="G11006">
        <f t="shared" si="345"/>
        <v>7.92</v>
      </c>
    </row>
    <row r="11007" spans="1:7" ht="12.75" customHeight="1">
      <c r="A11007" s="3">
        <v>104642</v>
      </c>
      <c r="B11007" s="4" t="s">
        <v>11032</v>
      </c>
      <c r="C11007" s="3" t="s">
        <v>409</v>
      </c>
      <c r="D11007" s="5">
        <f t="shared" si="344"/>
        <v>9.0500000000000007</v>
      </c>
      <c r="E11007">
        <v>9.94</v>
      </c>
      <c r="F11007" s="1789">
        <v>8.8999999999999996E-2</v>
      </c>
      <c r="G11007">
        <f t="shared" si="345"/>
        <v>9.0500000000000007</v>
      </c>
    </row>
    <row r="11008" spans="1:7" ht="12.75" customHeight="1">
      <c r="A11008" s="3">
        <v>102193</v>
      </c>
      <c r="B11008" s="4" t="s">
        <v>11033</v>
      </c>
      <c r="C11008" s="3" t="s">
        <v>409</v>
      </c>
      <c r="D11008" s="5">
        <f t="shared" si="344"/>
        <v>1.74</v>
      </c>
      <c r="E11008">
        <v>1.92</v>
      </c>
      <c r="F11008" s="1789">
        <v>8.8999999999999996E-2</v>
      </c>
      <c r="G11008">
        <f t="shared" si="345"/>
        <v>1.74</v>
      </c>
    </row>
    <row r="11009" spans="1:7" ht="12.75" customHeight="1">
      <c r="A11009" s="3">
        <v>102194</v>
      </c>
      <c r="B11009" s="4" t="s">
        <v>11034</v>
      </c>
      <c r="C11009" s="3" t="s">
        <v>409</v>
      </c>
      <c r="D11009" s="5">
        <f t="shared" si="344"/>
        <v>6.96</v>
      </c>
      <c r="E11009">
        <v>7.64</v>
      </c>
      <c r="F11009" s="1789">
        <v>8.8999999999999996E-2</v>
      </c>
      <c r="G11009">
        <f t="shared" si="345"/>
        <v>6.96</v>
      </c>
    </row>
    <row r="11010" spans="1:7" ht="12.75" customHeight="1">
      <c r="A11010" s="3">
        <v>102197</v>
      </c>
      <c r="B11010" s="4" t="s">
        <v>11035</v>
      </c>
      <c r="C11010" s="3" t="s">
        <v>409</v>
      </c>
      <c r="D11010" s="5">
        <f t="shared" si="344"/>
        <v>23.08</v>
      </c>
      <c r="E11010">
        <v>25.34</v>
      </c>
      <c r="F11010" s="1789">
        <v>8.8999999999999996E-2</v>
      </c>
      <c r="G11010">
        <f t="shared" si="345"/>
        <v>23.08</v>
      </c>
    </row>
    <row r="11011" spans="1:7" ht="12.75" customHeight="1">
      <c r="A11011" s="3">
        <v>102200</v>
      </c>
      <c r="B11011" s="4" t="s">
        <v>11036</v>
      </c>
      <c r="C11011" s="3" t="s">
        <v>409</v>
      </c>
      <c r="D11011" s="5">
        <f t="shared" si="344"/>
        <v>17.95</v>
      </c>
      <c r="E11011">
        <v>19.71</v>
      </c>
      <c r="F11011" s="1789">
        <v>8.8999999999999996E-2</v>
      </c>
      <c r="G11011">
        <f t="shared" si="345"/>
        <v>17.95</v>
      </c>
    </row>
    <row r="11012" spans="1:7" ht="12.75" customHeight="1">
      <c r="A11012" s="3">
        <v>102201</v>
      </c>
      <c r="B11012" s="4" t="s">
        <v>11037</v>
      </c>
      <c r="C11012" s="3" t="s">
        <v>409</v>
      </c>
      <c r="D11012" s="5">
        <f t="shared" si="344"/>
        <v>16.41</v>
      </c>
      <c r="E11012">
        <v>18.02</v>
      </c>
      <c r="F11012" s="1789">
        <v>8.8999999999999996E-2</v>
      </c>
      <c r="G11012">
        <f t="shared" si="345"/>
        <v>16.41</v>
      </c>
    </row>
    <row r="11013" spans="1:7" ht="12.75" customHeight="1">
      <c r="A11013" s="3">
        <v>102202</v>
      </c>
      <c r="B11013" s="4" t="s">
        <v>11038</v>
      </c>
      <c r="C11013" s="3" t="s">
        <v>409</v>
      </c>
      <c r="D11013" s="5">
        <f t="shared" si="344"/>
        <v>44.16</v>
      </c>
      <c r="E11013">
        <v>48.48</v>
      </c>
      <c r="F11013" s="1789">
        <v>8.8999999999999996E-2</v>
      </c>
      <c r="G11013">
        <f t="shared" si="345"/>
        <v>44.16</v>
      </c>
    </row>
    <row r="11014" spans="1:7" ht="12.75" customHeight="1">
      <c r="A11014" s="3">
        <v>102203</v>
      </c>
      <c r="B11014" s="4" t="s">
        <v>11039</v>
      </c>
      <c r="C11014" s="3" t="s">
        <v>409</v>
      </c>
      <c r="D11014" s="5">
        <f t="shared" si="344"/>
        <v>9.02</v>
      </c>
      <c r="E11014">
        <v>9.91</v>
      </c>
      <c r="F11014" s="1789">
        <v>8.8999999999999996E-2</v>
      </c>
      <c r="G11014">
        <f t="shared" si="345"/>
        <v>9.02</v>
      </c>
    </row>
    <row r="11015" spans="1:7" ht="12.75" customHeight="1">
      <c r="A11015" s="3">
        <v>102204</v>
      </c>
      <c r="B11015" s="4" t="s">
        <v>11040</v>
      </c>
      <c r="C11015" s="3" t="s">
        <v>409</v>
      </c>
      <c r="D11015" s="5">
        <f t="shared" si="344"/>
        <v>9.31</v>
      </c>
      <c r="E11015">
        <v>10.23</v>
      </c>
      <c r="F11015" s="1789">
        <v>8.8999999999999996E-2</v>
      </c>
      <c r="G11015">
        <f t="shared" si="345"/>
        <v>9.31</v>
      </c>
    </row>
    <row r="11016" spans="1:7" ht="12.75" customHeight="1">
      <c r="A11016" s="3">
        <v>102205</v>
      </c>
      <c r="B11016" s="4" t="s">
        <v>11041</v>
      </c>
      <c r="C11016" s="3" t="s">
        <v>409</v>
      </c>
      <c r="D11016" s="5">
        <f t="shared" si="344"/>
        <v>8.39</v>
      </c>
      <c r="E11016">
        <v>9.2100000000000009</v>
      </c>
      <c r="F11016" s="1789">
        <v>8.8999999999999996E-2</v>
      </c>
      <c r="G11016">
        <f t="shared" si="345"/>
        <v>8.39</v>
      </c>
    </row>
    <row r="11017" spans="1:7" ht="12.75" customHeight="1">
      <c r="A11017" s="3">
        <v>102207</v>
      </c>
      <c r="B11017" s="4" t="s">
        <v>11042</v>
      </c>
      <c r="C11017" s="3" t="s">
        <v>409</v>
      </c>
      <c r="D11017" s="5">
        <f t="shared" si="344"/>
        <v>7.15</v>
      </c>
      <c r="E11017">
        <v>7.85</v>
      </c>
      <c r="F11017" s="1789">
        <v>8.8999999999999996E-2</v>
      </c>
      <c r="G11017">
        <f t="shared" si="345"/>
        <v>7.15</v>
      </c>
    </row>
    <row r="11018" spans="1:7" ht="12.75" customHeight="1">
      <c r="A11018" s="3">
        <v>102208</v>
      </c>
      <c r="B11018" s="4" t="s">
        <v>11043</v>
      </c>
      <c r="C11018" s="3" t="s">
        <v>409</v>
      </c>
      <c r="D11018" s="5">
        <f t="shared" si="344"/>
        <v>6.82</v>
      </c>
      <c r="E11018">
        <v>7.49</v>
      </c>
      <c r="F11018" s="1789">
        <v>8.8999999999999996E-2</v>
      </c>
      <c r="G11018">
        <f t="shared" si="345"/>
        <v>6.82</v>
      </c>
    </row>
    <row r="11019" spans="1:7" ht="12.75" customHeight="1">
      <c r="A11019" s="3">
        <v>102209</v>
      </c>
      <c r="B11019" s="4" t="s">
        <v>11044</v>
      </c>
      <c r="C11019" s="3" t="s">
        <v>409</v>
      </c>
      <c r="D11019" s="5">
        <f t="shared" si="344"/>
        <v>7.03</v>
      </c>
      <c r="E11019">
        <v>7.72</v>
      </c>
      <c r="F11019" s="1789">
        <v>8.8999999999999996E-2</v>
      </c>
      <c r="G11019">
        <f t="shared" si="345"/>
        <v>7.03</v>
      </c>
    </row>
    <row r="11020" spans="1:7" ht="12.75" customHeight="1">
      <c r="A11020" s="3">
        <v>102210</v>
      </c>
      <c r="B11020" s="4" t="s">
        <v>11045</v>
      </c>
      <c r="C11020" s="3" t="s">
        <v>409</v>
      </c>
      <c r="D11020" s="5">
        <f t="shared" si="344"/>
        <v>6.71</v>
      </c>
      <c r="E11020">
        <v>7.37</v>
      </c>
      <c r="F11020" s="1789">
        <v>8.8999999999999996E-2</v>
      </c>
      <c r="G11020">
        <f t="shared" si="345"/>
        <v>6.71</v>
      </c>
    </row>
    <row r="11021" spans="1:7" ht="12.75" customHeight="1">
      <c r="A11021" s="3">
        <v>102213</v>
      </c>
      <c r="B11021" s="4" t="s">
        <v>11046</v>
      </c>
      <c r="C11021" s="3" t="s">
        <v>409</v>
      </c>
      <c r="D11021" s="5">
        <f t="shared" si="344"/>
        <v>18.059999999999999</v>
      </c>
      <c r="E11021">
        <v>19.829999999999998</v>
      </c>
      <c r="F11021" s="1789">
        <v>8.8999999999999996E-2</v>
      </c>
      <c r="G11021">
        <f t="shared" si="345"/>
        <v>18.059999999999999</v>
      </c>
    </row>
    <row r="11022" spans="1:7" ht="12.75" customHeight="1">
      <c r="A11022" s="3">
        <v>102214</v>
      </c>
      <c r="B11022" s="4" t="s">
        <v>11047</v>
      </c>
      <c r="C11022" s="3" t="s">
        <v>409</v>
      </c>
      <c r="D11022" s="5">
        <f t="shared" si="344"/>
        <v>18.649999999999999</v>
      </c>
      <c r="E11022">
        <v>20.48</v>
      </c>
      <c r="F11022" s="1789">
        <v>8.8999999999999996E-2</v>
      </c>
      <c r="G11022">
        <f t="shared" si="345"/>
        <v>18.649999999999999</v>
      </c>
    </row>
    <row r="11023" spans="1:7" ht="12.75" customHeight="1">
      <c r="A11023" s="3">
        <v>102215</v>
      </c>
      <c r="B11023" s="4" t="s">
        <v>11048</v>
      </c>
      <c r="C11023" s="3" t="s">
        <v>409</v>
      </c>
      <c r="D11023" s="5">
        <f t="shared" si="344"/>
        <v>16.78</v>
      </c>
      <c r="E11023">
        <v>18.43</v>
      </c>
      <c r="F11023" s="1789">
        <v>8.8999999999999996E-2</v>
      </c>
      <c r="G11023">
        <f t="shared" si="345"/>
        <v>16.78</v>
      </c>
    </row>
    <row r="11024" spans="1:7" ht="12.75" customHeight="1">
      <c r="A11024" s="3">
        <v>102217</v>
      </c>
      <c r="B11024" s="4" t="s">
        <v>11049</v>
      </c>
      <c r="C11024" s="3" t="s">
        <v>409</v>
      </c>
      <c r="D11024" s="5">
        <f t="shared" si="344"/>
        <v>14.32</v>
      </c>
      <c r="E11024">
        <v>15.72</v>
      </c>
      <c r="F11024" s="1789">
        <v>8.8999999999999996E-2</v>
      </c>
      <c r="G11024">
        <f t="shared" si="345"/>
        <v>14.32</v>
      </c>
    </row>
    <row r="11025" spans="1:7" ht="12.75" customHeight="1">
      <c r="A11025" s="3">
        <v>102218</v>
      </c>
      <c r="B11025" s="4" t="s">
        <v>11050</v>
      </c>
      <c r="C11025" s="3" t="s">
        <v>409</v>
      </c>
      <c r="D11025" s="5">
        <f t="shared" si="344"/>
        <v>13.65</v>
      </c>
      <c r="E11025">
        <v>14.99</v>
      </c>
      <c r="F11025" s="1789">
        <v>8.8999999999999996E-2</v>
      </c>
      <c r="G11025">
        <f t="shared" si="345"/>
        <v>13.65</v>
      </c>
    </row>
    <row r="11026" spans="1:7" ht="12.75" customHeight="1">
      <c r="A11026" s="3">
        <v>102219</v>
      </c>
      <c r="B11026" s="4" t="s">
        <v>11051</v>
      </c>
      <c r="C11026" s="3" t="s">
        <v>409</v>
      </c>
      <c r="D11026" s="5">
        <f t="shared" si="344"/>
        <v>14.07</v>
      </c>
      <c r="E11026">
        <v>15.45</v>
      </c>
      <c r="F11026" s="1789">
        <v>8.8999999999999996E-2</v>
      </c>
      <c r="G11026">
        <f t="shared" si="345"/>
        <v>14.07</v>
      </c>
    </row>
    <row r="11027" spans="1:7" ht="12.75" customHeight="1">
      <c r="A11027" s="3">
        <v>102220</v>
      </c>
      <c r="B11027" s="4" t="s">
        <v>11052</v>
      </c>
      <c r="C11027" s="3" t="s">
        <v>409</v>
      </c>
      <c r="D11027" s="5">
        <f t="shared" si="344"/>
        <v>13.45</v>
      </c>
      <c r="E11027">
        <v>14.77</v>
      </c>
      <c r="F11027" s="1789">
        <v>8.8999999999999996E-2</v>
      </c>
      <c r="G11027">
        <f t="shared" si="345"/>
        <v>13.45</v>
      </c>
    </row>
    <row r="11028" spans="1:7" ht="12.75" customHeight="1">
      <c r="A11028" s="3">
        <v>102223</v>
      </c>
      <c r="B11028" s="4" t="s">
        <v>11053</v>
      </c>
      <c r="C11028" s="3" t="s">
        <v>409</v>
      </c>
      <c r="D11028" s="5">
        <f t="shared" si="344"/>
        <v>27.1</v>
      </c>
      <c r="E11028">
        <v>29.75</v>
      </c>
      <c r="F11028" s="1789">
        <v>8.8999999999999996E-2</v>
      </c>
      <c r="G11028">
        <f t="shared" si="345"/>
        <v>27.1</v>
      </c>
    </row>
    <row r="11029" spans="1:7" ht="12.75" customHeight="1">
      <c r="A11029" s="3">
        <v>102224</v>
      </c>
      <c r="B11029" s="4" t="s">
        <v>11054</v>
      </c>
      <c r="C11029" s="3" t="s">
        <v>409</v>
      </c>
      <c r="D11029" s="5">
        <f t="shared" ref="D11029:D11092" si="346">G11029</f>
        <v>27.97</v>
      </c>
      <c r="E11029">
        <v>30.71</v>
      </c>
      <c r="F11029" s="1789">
        <v>8.8999999999999996E-2</v>
      </c>
      <c r="G11029">
        <f t="shared" ref="G11029:G11092" si="347">TRUNC((1-F11029)*E11029,2)</f>
        <v>27.97</v>
      </c>
    </row>
    <row r="11030" spans="1:7" ht="12.75" customHeight="1">
      <c r="A11030" s="3">
        <v>102225</v>
      </c>
      <c r="B11030" s="4" t="s">
        <v>11055</v>
      </c>
      <c r="C11030" s="3" t="s">
        <v>409</v>
      </c>
      <c r="D11030" s="5">
        <f t="shared" si="346"/>
        <v>25.18</v>
      </c>
      <c r="E11030">
        <v>27.65</v>
      </c>
      <c r="F11030" s="1789">
        <v>8.8999999999999996E-2</v>
      </c>
      <c r="G11030">
        <f t="shared" si="347"/>
        <v>25.18</v>
      </c>
    </row>
    <row r="11031" spans="1:7" ht="12.75" customHeight="1">
      <c r="A11031" s="3">
        <v>102227</v>
      </c>
      <c r="B11031" s="4" t="s">
        <v>11056</v>
      </c>
      <c r="C11031" s="3" t="s">
        <v>409</v>
      </c>
      <c r="D11031" s="5">
        <f t="shared" si="346"/>
        <v>21.48</v>
      </c>
      <c r="E11031">
        <v>23.58</v>
      </c>
      <c r="F11031" s="1789">
        <v>8.8999999999999996E-2</v>
      </c>
      <c r="G11031">
        <f t="shared" si="347"/>
        <v>21.48</v>
      </c>
    </row>
    <row r="11032" spans="1:7" ht="12.75" customHeight="1">
      <c r="A11032" s="3">
        <v>102228</v>
      </c>
      <c r="B11032" s="4" t="s">
        <v>11057</v>
      </c>
      <c r="C11032" s="3" t="s">
        <v>409</v>
      </c>
      <c r="D11032" s="5">
        <f t="shared" si="346"/>
        <v>20.5</v>
      </c>
      <c r="E11032">
        <v>22.51</v>
      </c>
      <c r="F11032" s="1789">
        <v>8.8999999999999996E-2</v>
      </c>
      <c r="G11032">
        <f t="shared" si="347"/>
        <v>20.5</v>
      </c>
    </row>
    <row r="11033" spans="1:7" ht="12.75" customHeight="1">
      <c r="A11033" s="3">
        <v>102229</v>
      </c>
      <c r="B11033" s="4" t="s">
        <v>11058</v>
      </c>
      <c r="C11033" s="3" t="s">
        <v>409</v>
      </c>
      <c r="D11033" s="5">
        <f t="shared" si="346"/>
        <v>21.12</v>
      </c>
      <c r="E11033">
        <v>23.19</v>
      </c>
      <c r="F11033" s="1789">
        <v>8.8999999999999996E-2</v>
      </c>
      <c r="G11033">
        <f t="shared" si="347"/>
        <v>21.12</v>
      </c>
    </row>
    <row r="11034" spans="1:7" ht="12.75" customHeight="1">
      <c r="A11034" s="3">
        <v>102230</v>
      </c>
      <c r="B11034" s="4" t="s">
        <v>11059</v>
      </c>
      <c r="C11034" s="3" t="s">
        <v>409</v>
      </c>
      <c r="D11034" s="5">
        <f t="shared" si="346"/>
        <v>20.18</v>
      </c>
      <c r="E11034">
        <v>22.16</v>
      </c>
      <c r="F11034" s="1789">
        <v>8.8999999999999996E-2</v>
      </c>
      <c r="G11034">
        <f t="shared" si="347"/>
        <v>20.18</v>
      </c>
    </row>
    <row r="11035" spans="1:7" ht="12.75" customHeight="1">
      <c r="A11035" s="3">
        <v>102233</v>
      </c>
      <c r="B11035" s="4" t="s">
        <v>11060</v>
      </c>
      <c r="C11035" s="3" t="s">
        <v>409</v>
      </c>
      <c r="D11035" s="5">
        <f t="shared" si="346"/>
        <v>10.18</v>
      </c>
      <c r="E11035">
        <v>11.18</v>
      </c>
      <c r="F11035" s="1789">
        <v>8.8999999999999996E-2</v>
      </c>
      <c r="G11035">
        <f t="shared" si="347"/>
        <v>10.18</v>
      </c>
    </row>
    <row r="11036" spans="1:7" ht="12.75" customHeight="1">
      <c r="A11036" s="3">
        <v>102234</v>
      </c>
      <c r="B11036" s="4" t="s">
        <v>11061</v>
      </c>
      <c r="C11036" s="3" t="s">
        <v>409</v>
      </c>
      <c r="D11036" s="5">
        <f t="shared" si="346"/>
        <v>20.36</v>
      </c>
      <c r="E11036">
        <v>22.35</v>
      </c>
      <c r="F11036" s="1789">
        <v>8.8999999999999996E-2</v>
      </c>
      <c r="G11036">
        <f t="shared" si="347"/>
        <v>20.36</v>
      </c>
    </row>
    <row r="11037" spans="1:7" ht="12.75" customHeight="1">
      <c r="A11037" s="3">
        <v>100716</v>
      </c>
      <c r="B11037" s="4" t="s">
        <v>11062</v>
      </c>
      <c r="C11037" s="3" t="s">
        <v>409</v>
      </c>
      <c r="D11037" s="5">
        <f t="shared" si="346"/>
        <v>23.67</v>
      </c>
      <c r="E11037">
        <v>25.99</v>
      </c>
      <c r="F11037" s="1789">
        <v>8.8999999999999996E-2</v>
      </c>
      <c r="G11037">
        <f t="shared" si="347"/>
        <v>23.67</v>
      </c>
    </row>
    <row r="11038" spans="1:7" ht="12.75" customHeight="1">
      <c r="A11038" s="3">
        <v>100717</v>
      </c>
      <c r="B11038" s="4" t="s">
        <v>11063</v>
      </c>
      <c r="C11038" s="3" t="s">
        <v>409</v>
      </c>
      <c r="D11038" s="5">
        <f t="shared" si="346"/>
        <v>8.3000000000000007</v>
      </c>
      <c r="E11038">
        <v>9.1199999999999992</v>
      </c>
      <c r="F11038" s="1789">
        <v>8.8999999999999996E-2</v>
      </c>
      <c r="G11038">
        <f t="shared" si="347"/>
        <v>8.3000000000000007</v>
      </c>
    </row>
    <row r="11039" spans="1:7" ht="12.75" customHeight="1">
      <c r="A11039" s="3">
        <v>100718</v>
      </c>
      <c r="B11039" s="4" t="s">
        <v>11064</v>
      </c>
      <c r="C11039" s="3" t="s">
        <v>50</v>
      </c>
      <c r="D11039" s="5">
        <f t="shared" si="346"/>
        <v>1.21</v>
      </c>
      <c r="E11039">
        <v>1.33</v>
      </c>
      <c r="F11039" s="1789">
        <v>8.8999999999999996E-2</v>
      </c>
      <c r="G11039">
        <f t="shared" si="347"/>
        <v>1.21</v>
      </c>
    </row>
    <row r="11040" spans="1:7" ht="12.75" customHeight="1">
      <c r="A11040" s="3">
        <v>100719</v>
      </c>
      <c r="B11040" s="4" t="s">
        <v>11065</v>
      </c>
      <c r="C11040" s="3" t="s">
        <v>409</v>
      </c>
      <c r="D11040" s="5">
        <f t="shared" si="346"/>
        <v>8.91</v>
      </c>
      <c r="E11040">
        <v>9.7899999999999991</v>
      </c>
      <c r="F11040" s="1789">
        <v>8.8999999999999996E-2</v>
      </c>
      <c r="G11040">
        <f t="shared" si="347"/>
        <v>8.91</v>
      </c>
    </row>
    <row r="11041" spans="1:7" ht="12.75" customHeight="1">
      <c r="A11041" s="3">
        <v>100720</v>
      </c>
      <c r="B11041" s="4" t="s">
        <v>11066</v>
      </c>
      <c r="C11041" s="3" t="s">
        <v>409</v>
      </c>
      <c r="D11041" s="5">
        <f t="shared" si="346"/>
        <v>8.99</v>
      </c>
      <c r="E11041">
        <v>9.8699999999999992</v>
      </c>
      <c r="F11041" s="1789">
        <v>8.8999999999999996E-2</v>
      </c>
      <c r="G11041">
        <f t="shared" si="347"/>
        <v>8.99</v>
      </c>
    </row>
    <row r="11042" spans="1:7" ht="12.75" customHeight="1">
      <c r="A11042" s="3">
        <v>100721</v>
      </c>
      <c r="B11042" s="4" t="s">
        <v>11067</v>
      </c>
      <c r="C11042" s="3" t="s">
        <v>409</v>
      </c>
      <c r="D11042" s="5">
        <f t="shared" si="346"/>
        <v>20.97</v>
      </c>
      <c r="E11042">
        <v>23.02</v>
      </c>
      <c r="F11042" s="1789">
        <v>8.8999999999999996E-2</v>
      </c>
      <c r="G11042">
        <f t="shared" si="347"/>
        <v>20.97</v>
      </c>
    </row>
    <row r="11043" spans="1:7" ht="12.75" customHeight="1">
      <c r="A11043" s="3">
        <v>100722</v>
      </c>
      <c r="B11043" s="4" t="s">
        <v>11068</v>
      </c>
      <c r="C11043" s="3" t="s">
        <v>409</v>
      </c>
      <c r="D11043" s="5">
        <f t="shared" si="346"/>
        <v>20.56</v>
      </c>
      <c r="E11043">
        <v>22.57</v>
      </c>
      <c r="F11043" s="1789">
        <v>8.8999999999999996E-2</v>
      </c>
      <c r="G11043">
        <f t="shared" si="347"/>
        <v>20.56</v>
      </c>
    </row>
    <row r="11044" spans="1:7" ht="12.75" customHeight="1">
      <c r="A11044" s="3">
        <v>100723</v>
      </c>
      <c r="B11044" s="4" t="s">
        <v>11069</v>
      </c>
      <c r="C11044" s="3" t="s">
        <v>409</v>
      </c>
      <c r="D11044" s="5">
        <f t="shared" si="346"/>
        <v>9.56</v>
      </c>
      <c r="E11044">
        <v>10.5</v>
      </c>
      <c r="F11044" s="1789">
        <v>8.8999999999999996E-2</v>
      </c>
      <c r="G11044">
        <f t="shared" si="347"/>
        <v>9.56</v>
      </c>
    </row>
    <row r="11045" spans="1:7" ht="12.75" customHeight="1">
      <c r="A11045" s="3">
        <v>100724</v>
      </c>
      <c r="B11045" s="4" t="s">
        <v>11070</v>
      </c>
      <c r="C11045" s="3" t="s">
        <v>409</v>
      </c>
      <c r="D11045" s="5">
        <f t="shared" si="346"/>
        <v>11.58</v>
      </c>
      <c r="E11045">
        <v>12.72</v>
      </c>
      <c r="F11045" s="1789">
        <v>8.8999999999999996E-2</v>
      </c>
      <c r="G11045">
        <f t="shared" si="347"/>
        <v>11.58</v>
      </c>
    </row>
    <row r="11046" spans="1:7" ht="12.75" customHeight="1">
      <c r="A11046" s="3">
        <v>100725</v>
      </c>
      <c r="B11046" s="4" t="s">
        <v>11071</v>
      </c>
      <c r="C11046" s="3" t="s">
        <v>409</v>
      </c>
      <c r="D11046" s="5">
        <f t="shared" si="346"/>
        <v>21.18</v>
      </c>
      <c r="E11046">
        <v>23.25</v>
      </c>
      <c r="F11046" s="1789">
        <v>8.8999999999999996E-2</v>
      </c>
      <c r="G11046">
        <f t="shared" si="347"/>
        <v>21.18</v>
      </c>
    </row>
    <row r="11047" spans="1:7" ht="12.75" customHeight="1">
      <c r="A11047" s="3">
        <v>100726</v>
      </c>
      <c r="B11047" s="4" t="s">
        <v>11072</v>
      </c>
      <c r="C11047" s="3" t="s">
        <v>409</v>
      </c>
      <c r="D11047" s="5">
        <f t="shared" si="346"/>
        <v>23.07</v>
      </c>
      <c r="E11047">
        <v>25.33</v>
      </c>
      <c r="F11047" s="1789">
        <v>8.8999999999999996E-2</v>
      </c>
      <c r="G11047">
        <f t="shared" si="347"/>
        <v>23.07</v>
      </c>
    </row>
    <row r="11048" spans="1:7" ht="12.75" customHeight="1">
      <c r="A11048" s="3">
        <v>100727</v>
      </c>
      <c r="B11048" s="4" t="s">
        <v>11073</v>
      </c>
      <c r="C11048" s="3" t="s">
        <v>409</v>
      </c>
      <c r="D11048" s="5">
        <f t="shared" si="346"/>
        <v>21.56</v>
      </c>
      <c r="E11048">
        <v>23.67</v>
      </c>
      <c r="F11048" s="1789">
        <v>8.8999999999999996E-2</v>
      </c>
      <c r="G11048">
        <f t="shared" si="347"/>
        <v>21.56</v>
      </c>
    </row>
    <row r="11049" spans="1:7" ht="12.75" customHeight="1">
      <c r="A11049" s="3">
        <v>100728</v>
      </c>
      <c r="B11049" s="4" t="s">
        <v>11074</v>
      </c>
      <c r="C11049" s="3" t="s">
        <v>409</v>
      </c>
      <c r="D11049" s="5">
        <f t="shared" si="346"/>
        <v>19.600000000000001</v>
      </c>
      <c r="E11049">
        <v>21.52</v>
      </c>
      <c r="F11049" s="1789">
        <v>8.8999999999999996E-2</v>
      </c>
      <c r="G11049">
        <f t="shared" si="347"/>
        <v>19.600000000000001</v>
      </c>
    </row>
    <row r="11050" spans="1:7" ht="12.75" customHeight="1">
      <c r="A11050" s="3">
        <v>100729</v>
      </c>
      <c r="B11050" s="4" t="s">
        <v>11075</v>
      </c>
      <c r="C11050" s="3" t="s">
        <v>409</v>
      </c>
      <c r="D11050" s="5">
        <f t="shared" si="346"/>
        <v>16.399999999999999</v>
      </c>
      <c r="E11050">
        <v>18.010000000000002</v>
      </c>
      <c r="F11050" s="1789">
        <v>8.8999999999999996E-2</v>
      </c>
      <c r="G11050">
        <f t="shared" si="347"/>
        <v>16.399999999999999</v>
      </c>
    </row>
    <row r="11051" spans="1:7" ht="12.75" customHeight="1">
      <c r="A11051" s="3">
        <v>100730</v>
      </c>
      <c r="B11051" s="4" t="s">
        <v>11076</v>
      </c>
      <c r="C11051" s="3" t="s">
        <v>409</v>
      </c>
      <c r="D11051" s="5">
        <f t="shared" si="346"/>
        <v>19.32</v>
      </c>
      <c r="E11051">
        <v>21.21</v>
      </c>
      <c r="F11051" s="1789">
        <v>8.8999999999999996E-2</v>
      </c>
      <c r="G11051">
        <f t="shared" si="347"/>
        <v>19.32</v>
      </c>
    </row>
    <row r="11052" spans="1:7" ht="12.75" customHeight="1">
      <c r="A11052" s="3">
        <v>100733</v>
      </c>
      <c r="B11052" s="4" t="s">
        <v>11077</v>
      </c>
      <c r="C11052" s="3" t="s">
        <v>409</v>
      </c>
      <c r="D11052" s="5">
        <f t="shared" si="346"/>
        <v>9.48</v>
      </c>
      <c r="E11052">
        <v>10.41</v>
      </c>
      <c r="F11052" s="1789">
        <v>8.8999999999999996E-2</v>
      </c>
      <c r="G11052">
        <f t="shared" si="347"/>
        <v>9.48</v>
      </c>
    </row>
    <row r="11053" spans="1:7" ht="12.75" customHeight="1">
      <c r="A11053" s="3">
        <v>100734</v>
      </c>
      <c r="B11053" s="4" t="s">
        <v>11078</v>
      </c>
      <c r="C11053" s="3" t="s">
        <v>409</v>
      </c>
      <c r="D11053" s="5">
        <f t="shared" si="346"/>
        <v>12.7</v>
      </c>
      <c r="E11053">
        <v>13.95</v>
      </c>
      <c r="F11053" s="1789">
        <v>8.8999999999999996E-2</v>
      </c>
      <c r="G11053">
        <f t="shared" si="347"/>
        <v>12.7</v>
      </c>
    </row>
    <row r="11054" spans="1:7" ht="12.75" customHeight="1">
      <c r="A11054" s="3">
        <v>100735</v>
      </c>
      <c r="B11054" s="4" t="s">
        <v>11079</v>
      </c>
      <c r="C11054" s="3" t="s">
        <v>409</v>
      </c>
      <c r="D11054" s="5">
        <f t="shared" si="346"/>
        <v>9.36</v>
      </c>
      <c r="E11054">
        <v>10.28</v>
      </c>
      <c r="F11054" s="1789">
        <v>8.8999999999999996E-2</v>
      </c>
      <c r="G11054">
        <f t="shared" si="347"/>
        <v>9.36</v>
      </c>
    </row>
    <row r="11055" spans="1:7" ht="12.75" customHeight="1">
      <c r="A11055" s="3">
        <v>100736</v>
      </c>
      <c r="B11055" s="4" t="s">
        <v>11080</v>
      </c>
      <c r="C11055" s="3" t="s">
        <v>409</v>
      </c>
      <c r="D11055" s="5">
        <f t="shared" si="346"/>
        <v>12.51</v>
      </c>
      <c r="E11055">
        <v>13.74</v>
      </c>
      <c r="F11055" s="1789">
        <v>8.8999999999999996E-2</v>
      </c>
      <c r="G11055">
        <f t="shared" si="347"/>
        <v>12.51</v>
      </c>
    </row>
    <row r="11056" spans="1:7" ht="12.75" customHeight="1">
      <c r="A11056" s="3">
        <v>100739</v>
      </c>
      <c r="B11056" s="4" t="s">
        <v>11081</v>
      </c>
      <c r="C11056" s="3" t="s">
        <v>409</v>
      </c>
      <c r="D11056" s="5">
        <f t="shared" si="346"/>
        <v>8.7899999999999991</v>
      </c>
      <c r="E11056">
        <v>9.65</v>
      </c>
      <c r="F11056" s="1789">
        <v>8.8999999999999996E-2</v>
      </c>
      <c r="G11056">
        <f t="shared" si="347"/>
        <v>8.7899999999999991</v>
      </c>
    </row>
    <row r="11057" spans="1:7" ht="12.75" customHeight="1">
      <c r="A11057" s="3">
        <v>100740</v>
      </c>
      <c r="B11057" s="4" t="s">
        <v>11082</v>
      </c>
      <c r="C11057" s="3" t="s">
        <v>409</v>
      </c>
      <c r="D11057" s="5">
        <f t="shared" si="346"/>
        <v>9.4499999999999993</v>
      </c>
      <c r="E11057">
        <v>10.38</v>
      </c>
      <c r="F11057" s="1789">
        <v>8.8999999999999996E-2</v>
      </c>
      <c r="G11057">
        <f t="shared" si="347"/>
        <v>9.4499999999999993</v>
      </c>
    </row>
    <row r="11058" spans="1:7" ht="12.75" customHeight="1">
      <c r="A11058" s="3">
        <v>100741</v>
      </c>
      <c r="B11058" s="4" t="s">
        <v>11083</v>
      </c>
      <c r="C11058" s="3" t="s">
        <v>409</v>
      </c>
      <c r="D11058" s="5">
        <f t="shared" si="346"/>
        <v>20.67</v>
      </c>
      <c r="E11058">
        <v>22.69</v>
      </c>
      <c r="F11058" s="1789">
        <v>8.8999999999999996E-2</v>
      </c>
      <c r="G11058">
        <f t="shared" si="347"/>
        <v>20.67</v>
      </c>
    </row>
    <row r="11059" spans="1:7" ht="12.75" customHeight="1">
      <c r="A11059" s="3">
        <v>100742</v>
      </c>
      <c r="B11059" s="4" t="s">
        <v>11084</v>
      </c>
      <c r="C11059" s="3" t="s">
        <v>409</v>
      </c>
      <c r="D11059" s="5">
        <f t="shared" si="346"/>
        <v>20.98</v>
      </c>
      <c r="E11059">
        <v>23.04</v>
      </c>
      <c r="F11059" s="1789">
        <v>8.8999999999999996E-2</v>
      </c>
      <c r="G11059">
        <f t="shared" si="347"/>
        <v>20.98</v>
      </c>
    </row>
    <row r="11060" spans="1:7" ht="12.75" customHeight="1">
      <c r="A11060" s="3">
        <v>100743</v>
      </c>
      <c r="B11060" s="4" t="s">
        <v>11085</v>
      </c>
      <c r="C11060" s="3" t="s">
        <v>409</v>
      </c>
      <c r="D11060" s="5">
        <f t="shared" si="346"/>
        <v>8.59</v>
      </c>
      <c r="E11060">
        <v>9.43</v>
      </c>
      <c r="F11060" s="1789">
        <v>8.8999999999999996E-2</v>
      </c>
      <c r="G11060">
        <f t="shared" si="347"/>
        <v>8.59</v>
      </c>
    </row>
    <row r="11061" spans="1:7" ht="12.75" customHeight="1">
      <c r="A11061" s="3">
        <v>100744</v>
      </c>
      <c r="B11061" s="4" t="s">
        <v>11086</v>
      </c>
      <c r="C11061" s="3" t="s">
        <v>409</v>
      </c>
      <c r="D11061" s="5">
        <f t="shared" si="346"/>
        <v>9.32</v>
      </c>
      <c r="E11061">
        <v>10.24</v>
      </c>
      <c r="F11061" s="1789">
        <v>8.8999999999999996E-2</v>
      </c>
      <c r="G11061">
        <f t="shared" si="347"/>
        <v>9.32</v>
      </c>
    </row>
    <row r="11062" spans="1:7" ht="12.75" customHeight="1">
      <c r="A11062" s="3">
        <v>100745</v>
      </c>
      <c r="B11062" s="4" t="s">
        <v>11087</v>
      </c>
      <c r="C11062" s="3" t="s">
        <v>409</v>
      </c>
      <c r="D11062" s="5">
        <f t="shared" si="346"/>
        <v>20.46</v>
      </c>
      <c r="E11062">
        <v>22.46</v>
      </c>
      <c r="F11062" s="1789">
        <v>8.8999999999999996E-2</v>
      </c>
      <c r="G11062">
        <f t="shared" si="347"/>
        <v>20.46</v>
      </c>
    </row>
    <row r="11063" spans="1:7" ht="12.75" customHeight="1">
      <c r="A11063" s="3">
        <v>100746</v>
      </c>
      <c r="B11063" s="4" t="s">
        <v>11088</v>
      </c>
      <c r="C11063" s="3" t="s">
        <v>409</v>
      </c>
      <c r="D11063" s="5">
        <f t="shared" si="346"/>
        <v>20.86</v>
      </c>
      <c r="E11063">
        <v>22.9</v>
      </c>
      <c r="F11063" s="1789">
        <v>8.8999999999999996E-2</v>
      </c>
      <c r="G11063">
        <f t="shared" si="347"/>
        <v>20.86</v>
      </c>
    </row>
    <row r="11064" spans="1:7" ht="12.75" customHeight="1">
      <c r="A11064" s="3">
        <v>100747</v>
      </c>
      <c r="B11064" s="4" t="s">
        <v>11089</v>
      </c>
      <c r="C11064" s="3" t="s">
        <v>409</v>
      </c>
      <c r="D11064" s="5">
        <f t="shared" si="346"/>
        <v>8.67</v>
      </c>
      <c r="E11064">
        <v>9.52</v>
      </c>
      <c r="F11064" s="1789">
        <v>8.8999999999999996E-2</v>
      </c>
      <c r="G11064">
        <f t="shared" si="347"/>
        <v>8.67</v>
      </c>
    </row>
    <row r="11065" spans="1:7" ht="12.75" customHeight="1">
      <c r="A11065" s="3">
        <v>100748</v>
      </c>
      <c r="B11065" s="4" t="s">
        <v>11090</v>
      </c>
      <c r="C11065" s="3" t="s">
        <v>409</v>
      </c>
      <c r="D11065" s="5">
        <f t="shared" si="346"/>
        <v>9.3800000000000008</v>
      </c>
      <c r="E11065">
        <v>10.3</v>
      </c>
      <c r="F11065" s="1789">
        <v>8.8999999999999996E-2</v>
      </c>
      <c r="G11065">
        <f t="shared" si="347"/>
        <v>9.3800000000000008</v>
      </c>
    </row>
    <row r="11066" spans="1:7" ht="12.75" customHeight="1">
      <c r="A11066" s="3">
        <v>100749</v>
      </c>
      <c r="B11066" s="4" t="s">
        <v>11091</v>
      </c>
      <c r="C11066" s="3" t="s">
        <v>409</v>
      </c>
      <c r="D11066" s="5">
        <f t="shared" si="346"/>
        <v>20.55</v>
      </c>
      <c r="E11066">
        <v>22.56</v>
      </c>
      <c r="F11066" s="1789">
        <v>8.8999999999999996E-2</v>
      </c>
      <c r="G11066">
        <f t="shared" si="347"/>
        <v>20.55</v>
      </c>
    </row>
    <row r="11067" spans="1:7" ht="12.75" customHeight="1">
      <c r="A11067" s="3">
        <v>100750</v>
      </c>
      <c r="B11067" s="4" t="s">
        <v>11092</v>
      </c>
      <c r="C11067" s="3" t="s">
        <v>409</v>
      </c>
      <c r="D11067" s="5">
        <f t="shared" si="346"/>
        <v>20.91</v>
      </c>
      <c r="E11067">
        <v>22.96</v>
      </c>
      <c r="F11067" s="1789">
        <v>8.8999999999999996E-2</v>
      </c>
      <c r="G11067">
        <f t="shared" si="347"/>
        <v>20.91</v>
      </c>
    </row>
    <row r="11068" spans="1:7" ht="12.75" customHeight="1">
      <c r="A11068" s="3">
        <v>100751</v>
      </c>
      <c r="B11068" s="4" t="s">
        <v>11093</v>
      </c>
      <c r="C11068" s="3" t="s">
        <v>409</v>
      </c>
      <c r="D11068" s="5">
        <f t="shared" si="346"/>
        <v>32.82</v>
      </c>
      <c r="E11068">
        <v>36.03</v>
      </c>
      <c r="F11068" s="1789">
        <v>8.8999999999999996E-2</v>
      </c>
      <c r="G11068">
        <f t="shared" si="347"/>
        <v>32.82</v>
      </c>
    </row>
    <row r="11069" spans="1:7" ht="12.75" customHeight="1">
      <c r="A11069" s="3">
        <v>100752</v>
      </c>
      <c r="B11069" s="4" t="s">
        <v>11094</v>
      </c>
      <c r="C11069" s="3" t="s">
        <v>409</v>
      </c>
      <c r="D11069" s="5">
        <f t="shared" si="346"/>
        <v>38.659999999999997</v>
      </c>
      <c r="E11069">
        <v>42.44</v>
      </c>
      <c r="F11069" s="1789">
        <v>8.8999999999999996E-2</v>
      </c>
      <c r="G11069">
        <f t="shared" si="347"/>
        <v>38.659999999999997</v>
      </c>
    </row>
    <row r="11070" spans="1:7" ht="12.75" customHeight="1">
      <c r="A11070" s="3">
        <v>100753</v>
      </c>
      <c r="B11070" s="4" t="s">
        <v>11095</v>
      </c>
      <c r="C11070" s="3" t="s">
        <v>409</v>
      </c>
      <c r="D11070" s="5">
        <f t="shared" si="346"/>
        <v>18.73</v>
      </c>
      <c r="E11070">
        <v>20.57</v>
      </c>
      <c r="F11070" s="1789">
        <v>8.8999999999999996E-2</v>
      </c>
      <c r="G11070">
        <f t="shared" si="347"/>
        <v>18.73</v>
      </c>
    </row>
    <row r="11071" spans="1:7" ht="12.75" customHeight="1">
      <c r="A11071" s="3">
        <v>100754</v>
      </c>
      <c r="B11071" s="4" t="s">
        <v>11096</v>
      </c>
      <c r="C11071" s="3" t="s">
        <v>409</v>
      </c>
      <c r="D11071" s="5">
        <f t="shared" si="346"/>
        <v>25.05</v>
      </c>
      <c r="E11071">
        <v>27.5</v>
      </c>
      <c r="F11071" s="1789">
        <v>8.8999999999999996E-2</v>
      </c>
      <c r="G11071">
        <f t="shared" si="347"/>
        <v>25.05</v>
      </c>
    </row>
    <row r="11072" spans="1:7" ht="12.75" customHeight="1">
      <c r="A11072" s="3">
        <v>100757</v>
      </c>
      <c r="B11072" s="4" t="s">
        <v>11097</v>
      </c>
      <c r="C11072" s="3" t="s">
        <v>409</v>
      </c>
      <c r="D11072" s="5">
        <f t="shared" si="346"/>
        <v>41.35</v>
      </c>
      <c r="E11072">
        <v>45.39</v>
      </c>
      <c r="F11072" s="1789">
        <v>8.8999999999999996E-2</v>
      </c>
      <c r="G11072">
        <f t="shared" si="347"/>
        <v>41.35</v>
      </c>
    </row>
    <row r="11073" spans="1:7" ht="12.75" customHeight="1">
      <c r="A11073" s="3">
        <v>100758</v>
      </c>
      <c r="B11073" s="4" t="s">
        <v>11098</v>
      </c>
      <c r="C11073" s="3" t="s">
        <v>409</v>
      </c>
      <c r="D11073" s="5">
        <f t="shared" si="346"/>
        <v>41.99</v>
      </c>
      <c r="E11073">
        <v>46.1</v>
      </c>
      <c r="F11073" s="1789">
        <v>8.8999999999999996E-2</v>
      </c>
      <c r="G11073">
        <f t="shared" si="347"/>
        <v>41.99</v>
      </c>
    </row>
    <row r="11074" spans="1:7" ht="12.75" customHeight="1">
      <c r="A11074" s="3">
        <v>100759</v>
      </c>
      <c r="B11074" s="4" t="s">
        <v>11099</v>
      </c>
      <c r="C11074" s="3" t="s">
        <v>409</v>
      </c>
      <c r="D11074" s="5">
        <f t="shared" si="346"/>
        <v>40.94</v>
      </c>
      <c r="E11074">
        <v>44.94</v>
      </c>
      <c r="F11074" s="1789">
        <v>8.8999999999999996E-2</v>
      </c>
      <c r="G11074">
        <f t="shared" si="347"/>
        <v>40.94</v>
      </c>
    </row>
    <row r="11075" spans="1:7" ht="12.75" customHeight="1">
      <c r="A11075" s="3">
        <v>100760</v>
      </c>
      <c r="B11075" s="4" t="s">
        <v>11100</v>
      </c>
      <c r="C11075" s="3" t="s">
        <v>409</v>
      </c>
      <c r="D11075" s="5">
        <f t="shared" si="346"/>
        <v>41.74</v>
      </c>
      <c r="E11075">
        <v>45.82</v>
      </c>
      <c r="F11075" s="1789">
        <v>8.8999999999999996E-2</v>
      </c>
      <c r="G11075">
        <f t="shared" si="347"/>
        <v>41.74</v>
      </c>
    </row>
    <row r="11076" spans="1:7" ht="12.75" customHeight="1">
      <c r="A11076" s="3">
        <v>100761</v>
      </c>
      <c r="B11076" s="4" t="s">
        <v>11101</v>
      </c>
      <c r="C11076" s="3" t="s">
        <v>409</v>
      </c>
      <c r="D11076" s="5">
        <f t="shared" si="346"/>
        <v>41.11</v>
      </c>
      <c r="E11076">
        <v>45.13</v>
      </c>
      <c r="F11076" s="1789">
        <v>8.8999999999999996E-2</v>
      </c>
      <c r="G11076">
        <f t="shared" si="347"/>
        <v>41.11</v>
      </c>
    </row>
    <row r="11077" spans="1:7" ht="12.75" customHeight="1">
      <c r="A11077" s="3">
        <v>100762</v>
      </c>
      <c r="B11077" s="4" t="s">
        <v>11102</v>
      </c>
      <c r="C11077" s="3" t="s">
        <v>409</v>
      </c>
      <c r="D11077" s="5">
        <f t="shared" si="346"/>
        <v>41.85</v>
      </c>
      <c r="E11077">
        <v>45.94</v>
      </c>
      <c r="F11077" s="1789">
        <v>8.8999999999999996E-2</v>
      </c>
      <c r="G11077">
        <f t="shared" si="347"/>
        <v>41.85</v>
      </c>
    </row>
    <row r="11078" spans="1:7" ht="12.75" customHeight="1">
      <c r="A11078" s="3">
        <v>102488</v>
      </c>
      <c r="B11078" s="4" t="s">
        <v>11103</v>
      </c>
      <c r="C11078" s="3" t="s">
        <v>409</v>
      </c>
      <c r="D11078" s="5">
        <f t="shared" si="346"/>
        <v>3.04</v>
      </c>
      <c r="E11078">
        <v>3.34</v>
      </c>
      <c r="F11078" s="1789">
        <v>8.8999999999999996E-2</v>
      </c>
      <c r="G11078">
        <f t="shared" si="347"/>
        <v>3.04</v>
      </c>
    </row>
    <row r="11079" spans="1:7" ht="12.75" customHeight="1">
      <c r="A11079" s="3">
        <v>102489</v>
      </c>
      <c r="B11079" s="4" t="s">
        <v>11104</v>
      </c>
      <c r="C11079" s="3" t="s">
        <v>409</v>
      </c>
      <c r="D11079" s="5">
        <f t="shared" si="346"/>
        <v>25.62</v>
      </c>
      <c r="E11079">
        <v>28.13</v>
      </c>
      <c r="F11079" s="1789">
        <v>8.8999999999999996E-2</v>
      </c>
      <c r="G11079">
        <f t="shared" si="347"/>
        <v>25.62</v>
      </c>
    </row>
    <row r="11080" spans="1:7" ht="12.75" customHeight="1">
      <c r="A11080" s="3">
        <v>102491</v>
      </c>
      <c r="B11080" s="4" t="s">
        <v>11105</v>
      </c>
      <c r="C11080" s="3" t="s">
        <v>409</v>
      </c>
      <c r="D11080" s="5">
        <f t="shared" si="346"/>
        <v>17.3</v>
      </c>
      <c r="E11080">
        <v>19</v>
      </c>
      <c r="F11080" s="1789">
        <v>8.8999999999999996E-2</v>
      </c>
      <c r="G11080">
        <f t="shared" si="347"/>
        <v>17.3</v>
      </c>
    </row>
    <row r="11081" spans="1:7" ht="12.75" customHeight="1">
      <c r="A11081" s="3">
        <v>102492</v>
      </c>
      <c r="B11081" s="4" t="s">
        <v>11106</v>
      </c>
      <c r="C11081" s="3" t="s">
        <v>409</v>
      </c>
      <c r="D11081" s="5">
        <f t="shared" si="346"/>
        <v>22.08</v>
      </c>
      <c r="E11081">
        <v>24.24</v>
      </c>
      <c r="F11081" s="1789">
        <v>8.8999999999999996E-2</v>
      </c>
      <c r="G11081">
        <f t="shared" si="347"/>
        <v>22.08</v>
      </c>
    </row>
    <row r="11082" spans="1:7" ht="12.75" customHeight="1">
      <c r="A11082" s="3">
        <v>102494</v>
      </c>
      <c r="B11082" s="4" t="s">
        <v>11107</v>
      </c>
      <c r="C11082" s="3" t="s">
        <v>409</v>
      </c>
      <c r="D11082" s="5">
        <f t="shared" si="346"/>
        <v>51.19</v>
      </c>
      <c r="E11082">
        <v>56.2</v>
      </c>
      <c r="F11082" s="1789">
        <v>8.8999999999999996E-2</v>
      </c>
      <c r="G11082">
        <f t="shared" si="347"/>
        <v>51.19</v>
      </c>
    </row>
    <row r="11083" spans="1:7" ht="12.75" customHeight="1">
      <c r="A11083" s="3">
        <v>102496</v>
      </c>
      <c r="B11083" s="4" t="s">
        <v>11108</v>
      </c>
      <c r="C11083" s="3" t="s">
        <v>50</v>
      </c>
      <c r="D11083" s="5">
        <f t="shared" si="346"/>
        <v>10.93</v>
      </c>
      <c r="E11083">
        <v>12</v>
      </c>
      <c r="F11083" s="1789">
        <v>8.8999999999999996E-2</v>
      </c>
      <c r="G11083">
        <f t="shared" si="347"/>
        <v>10.93</v>
      </c>
    </row>
    <row r="11084" spans="1:7" ht="12.75" customHeight="1">
      <c r="A11084" s="3">
        <v>102497</v>
      </c>
      <c r="B11084" s="4" t="s">
        <v>11109</v>
      </c>
      <c r="C11084" s="3" t="s">
        <v>50</v>
      </c>
      <c r="D11084" s="5">
        <f t="shared" si="346"/>
        <v>4.3899999999999997</v>
      </c>
      <c r="E11084">
        <v>4.82</v>
      </c>
      <c r="F11084" s="1789">
        <v>8.8999999999999996E-2</v>
      </c>
      <c r="G11084">
        <f t="shared" si="347"/>
        <v>4.3899999999999997</v>
      </c>
    </row>
    <row r="11085" spans="1:7" ht="12.75" customHeight="1">
      <c r="A11085" s="3">
        <v>102498</v>
      </c>
      <c r="B11085" s="4" t="s">
        <v>11110</v>
      </c>
      <c r="C11085" s="3" t="s">
        <v>50</v>
      </c>
      <c r="D11085" s="5">
        <f t="shared" si="346"/>
        <v>1.35</v>
      </c>
      <c r="E11085">
        <v>1.49</v>
      </c>
      <c r="F11085" s="1789">
        <v>8.8999999999999996E-2</v>
      </c>
      <c r="G11085">
        <f t="shared" si="347"/>
        <v>1.35</v>
      </c>
    </row>
    <row r="11086" spans="1:7" ht="12.75" customHeight="1">
      <c r="A11086" s="3">
        <v>102499</v>
      </c>
      <c r="B11086" s="4" t="s">
        <v>11111</v>
      </c>
      <c r="C11086" s="3" t="s">
        <v>409</v>
      </c>
      <c r="D11086" s="5">
        <f t="shared" si="346"/>
        <v>2.83</v>
      </c>
      <c r="E11086">
        <v>3.11</v>
      </c>
      <c r="F11086" s="1789">
        <v>8.8999999999999996E-2</v>
      </c>
      <c r="G11086">
        <f t="shared" si="347"/>
        <v>2.83</v>
      </c>
    </row>
    <row r="11087" spans="1:7" ht="12.75" customHeight="1">
      <c r="A11087" s="3">
        <v>102500</v>
      </c>
      <c r="B11087" s="4" t="s">
        <v>11112</v>
      </c>
      <c r="C11087" s="3" t="s">
        <v>50</v>
      </c>
      <c r="D11087" s="5">
        <f t="shared" si="346"/>
        <v>3.85</v>
      </c>
      <c r="E11087">
        <v>4.2300000000000004</v>
      </c>
      <c r="F11087" s="1789">
        <v>8.8999999999999996E-2</v>
      </c>
      <c r="G11087">
        <f t="shared" si="347"/>
        <v>3.85</v>
      </c>
    </row>
    <row r="11088" spans="1:7" ht="12.75" customHeight="1">
      <c r="A11088" s="3">
        <v>102501</v>
      </c>
      <c r="B11088" s="4" t="s">
        <v>11113</v>
      </c>
      <c r="C11088" s="3" t="s">
        <v>409</v>
      </c>
      <c r="D11088" s="5">
        <f t="shared" si="346"/>
        <v>21.55</v>
      </c>
      <c r="E11088">
        <v>23.66</v>
      </c>
      <c r="F11088" s="1789">
        <v>8.8999999999999996E-2</v>
      </c>
      <c r="G11088">
        <f t="shared" si="347"/>
        <v>21.55</v>
      </c>
    </row>
    <row r="11089" spans="1:7" ht="12.75" customHeight="1">
      <c r="A11089" s="3">
        <v>102504</v>
      </c>
      <c r="B11089" s="4" t="s">
        <v>11114</v>
      </c>
      <c r="C11089" s="3" t="s">
        <v>50</v>
      </c>
      <c r="D11089" s="5">
        <f t="shared" si="346"/>
        <v>8.51</v>
      </c>
      <c r="E11089">
        <v>9.35</v>
      </c>
      <c r="F11089" s="1789">
        <v>8.8999999999999996E-2</v>
      </c>
      <c r="G11089">
        <f t="shared" si="347"/>
        <v>8.51</v>
      </c>
    </row>
    <row r="11090" spans="1:7" ht="12.75" customHeight="1">
      <c r="A11090" s="3">
        <v>102505</v>
      </c>
      <c r="B11090" s="4" t="s">
        <v>11115</v>
      </c>
      <c r="C11090" s="3" t="s">
        <v>50</v>
      </c>
      <c r="D11090" s="5">
        <f t="shared" si="346"/>
        <v>8.61</v>
      </c>
      <c r="E11090">
        <v>9.4600000000000009</v>
      </c>
      <c r="F11090" s="1789">
        <v>8.8999999999999996E-2</v>
      </c>
      <c r="G11090">
        <f t="shared" si="347"/>
        <v>8.61</v>
      </c>
    </row>
    <row r="11091" spans="1:7" ht="12.75" customHeight="1">
      <c r="A11091" s="3">
        <v>102506</v>
      </c>
      <c r="B11091" s="4" t="s">
        <v>11116</v>
      </c>
      <c r="C11091" s="3" t="s">
        <v>50</v>
      </c>
      <c r="D11091" s="5">
        <f t="shared" si="346"/>
        <v>9.27</v>
      </c>
      <c r="E11091">
        <v>10.18</v>
      </c>
      <c r="F11091" s="1789">
        <v>8.8999999999999996E-2</v>
      </c>
      <c r="G11091">
        <f t="shared" si="347"/>
        <v>9.27</v>
      </c>
    </row>
    <row r="11092" spans="1:7" ht="12.75" customHeight="1">
      <c r="A11092" s="3">
        <v>102507</v>
      </c>
      <c r="B11092" s="4" t="s">
        <v>11117</v>
      </c>
      <c r="C11092" s="3" t="s">
        <v>50</v>
      </c>
      <c r="D11092" s="5">
        <f t="shared" si="346"/>
        <v>5.36</v>
      </c>
      <c r="E11092">
        <v>5.89</v>
      </c>
      <c r="F11092" s="1789">
        <v>8.8999999999999996E-2</v>
      </c>
      <c r="G11092">
        <f t="shared" si="347"/>
        <v>5.36</v>
      </c>
    </row>
    <row r="11093" spans="1:7" ht="12.75" customHeight="1">
      <c r="A11093" s="3">
        <v>102508</v>
      </c>
      <c r="B11093" s="4" t="s">
        <v>11118</v>
      </c>
      <c r="C11093" s="3" t="s">
        <v>409</v>
      </c>
      <c r="D11093" s="5">
        <f t="shared" ref="D11093:D11156" si="348">G11093</f>
        <v>37.130000000000003</v>
      </c>
      <c r="E11093">
        <v>40.76</v>
      </c>
      <c r="F11093" s="1789">
        <v>8.8999999999999996E-2</v>
      </c>
      <c r="G11093">
        <f t="shared" ref="G11093:G11156" si="349">TRUNC((1-F11093)*E11093,2)</f>
        <v>37.130000000000003</v>
      </c>
    </row>
    <row r="11094" spans="1:7" ht="12.75" customHeight="1">
      <c r="A11094" s="3">
        <v>102509</v>
      </c>
      <c r="B11094" s="4" t="s">
        <v>11119</v>
      </c>
      <c r="C11094" s="3" t="s">
        <v>409</v>
      </c>
      <c r="D11094" s="5">
        <f t="shared" si="348"/>
        <v>24.25</v>
      </c>
      <c r="E11094">
        <v>26.62</v>
      </c>
      <c r="F11094" s="1789">
        <v>8.8999999999999996E-2</v>
      </c>
      <c r="G11094">
        <f t="shared" si="349"/>
        <v>24.25</v>
      </c>
    </row>
    <row r="11095" spans="1:7" ht="12.75" customHeight="1">
      <c r="A11095" s="3">
        <v>102512</v>
      </c>
      <c r="B11095" s="4" t="s">
        <v>11120</v>
      </c>
      <c r="C11095" s="3" t="s">
        <v>50</v>
      </c>
      <c r="D11095" s="5">
        <f t="shared" si="348"/>
        <v>5</v>
      </c>
      <c r="E11095">
        <v>5.49</v>
      </c>
      <c r="F11095" s="1789">
        <v>8.8999999999999996E-2</v>
      </c>
      <c r="G11095">
        <f t="shared" si="349"/>
        <v>5</v>
      </c>
    </row>
    <row r="11096" spans="1:7" ht="12.75" customHeight="1">
      <c r="A11096" s="3">
        <v>102513</v>
      </c>
      <c r="B11096" s="4" t="s">
        <v>11121</v>
      </c>
      <c r="C11096" s="3" t="s">
        <v>409</v>
      </c>
      <c r="D11096" s="5">
        <f t="shared" si="348"/>
        <v>40.9</v>
      </c>
      <c r="E11096">
        <v>44.9</v>
      </c>
      <c r="F11096" s="1789">
        <v>8.8999999999999996E-2</v>
      </c>
      <c r="G11096">
        <f t="shared" si="349"/>
        <v>40.9</v>
      </c>
    </row>
    <row r="11097" spans="1:7" ht="12.75" customHeight="1">
      <c r="A11097" s="3">
        <v>102520</v>
      </c>
      <c r="B11097" s="4" t="s">
        <v>11122</v>
      </c>
      <c r="C11097" s="3" t="s">
        <v>409</v>
      </c>
      <c r="D11097" s="5">
        <f t="shared" si="348"/>
        <v>69.81</v>
      </c>
      <c r="E11097">
        <v>76.64</v>
      </c>
      <c r="F11097" s="1789">
        <v>8.8999999999999996E-2</v>
      </c>
      <c r="G11097">
        <f t="shared" si="349"/>
        <v>69.81</v>
      </c>
    </row>
    <row r="11098" spans="1:7" ht="12.75" customHeight="1">
      <c r="A11098" s="3">
        <v>101749</v>
      </c>
      <c r="B11098" s="4" t="s">
        <v>11123</v>
      </c>
      <c r="C11098" s="3" t="s">
        <v>409</v>
      </c>
      <c r="D11098" s="5">
        <f t="shared" si="348"/>
        <v>51.11</v>
      </c>
      <c r="E11098">
        <v>56.11</v>
      </c>
      <c r="F11098" s="1789">
        <v>8.8999999999999996E-2</v>
      </c>
      <c r="G11098">
        <f t="shared" si="349"/>
        <v>51.11</v>
      </c>
    </row>
    <row r="11099" spans="1:7" ht="12.75" customHeight="1">
      <c r="A11099" s="3">
        <v>101750</v>
      </c>
      <c r="B11099" s="4" t="s">
        <v>11124</v>
      </c>
      <c r="C11099" s="3" t="s">
        <v>409</v>
      </c>
      <c r="D11099" s="5">
        <f t="shared" si="348"/>
        <v>48.92</v>
      </c>
      <c r="E11099">
        <v>53.7</v>
      </c>
      <c r="F11099" s="1789">
        <v>8.8999999999999996E-2</v>
      </c>
      <c r="G11099">
        <f t="shared" si="349"/>
        <v>48.92</v>
      </c>
    </row>
    <row r="11100" spans="1:7" ht="12.75" customHeight="1">
      <c r="A11100" s="3">
        <v>101729</v>
      </c>
      <c r="B11100" s="4" t="s">
        <v>11125</v>
      </c>
      <c r="C11100" s="3" t="s">
        <v>409</v>
      </c>
      <c r="D11100" s="5">
        <f t="shared" si="348"/>
        <v>226.7</v>
      </c>
      <c r="E11100">
        <v>248.85</v>
      </c>
      <c r="F11100" s="1789">
        <v>8.8999999999999996E-2</v>
      </c>
      <c r="G11100">
        <f t="shared" si="349"/>
        <v>226.7</v>
      </c>
    </row>
    <row r="11101" spans="1:7" ht="12.75" customHeight="1">
      <c r="A11101" s="3">
        <v>101746</v>
      </c>
      <c r="B11101" s="4" t="s">
        <v>11126</v>
      </c>
      <c r="C11101" s="3" t="s">
        <v>409</v>
      </c>
      <c r="D11101" s="5">
        <f t="shared" si="348"/>
        <v>357.41</v>
      </c>
      <c r="E11101">
        <v>392.33</v>
      </c>
      <c r="F11101" s="1789">
        <v>8.8999999999999996E-2</v>
      </c>
      <c r="G11101">
        <f t="shared" si="349"/>
        <v>357.41</v>
      </c>
    </row>
    <row r="11102" spans="1:7" ht="12.75" customHeight="1">
      <c r="A11102" s="3">
        <v>101751</v>
      </c>
      <c r="B11102" s="4" t="s">
        <v>11127</v>
      </c>
      <c r="C11102" s="3" t="s">
        <v>409</v>
      </c>
      <c r="D11102" s="5">
        <f t="shared" si="348"/>
        <v>232.2</v>
      </c>
      <c r="E11102">
        <v>254.89</v>
      </c>
      <c r="F11102" s="1789">
        <v>8.8999999999999996E-2</v>
      </c>
      <c r="G11102">
        <f t="shared" si="349"/>
        <v>232.2</v>
      </c>
    </row>
    <row r="11103" spans="1:7" ht="12.75" customHeight="1">
      <c r="A11103" s="3">
        <v>87246</v>
      </c>
      <c r="B11103" s="4" t="s">
        <v>11128</v>
      </c>
      <c r="C11103" s="3" t="s">
        <v>409</v>
      </c>
      <c r="D11103" s="5">
        <f t="shared" si="348"/>
        <v>62.19</v>
      </c>
      <c r="E11103">
        <v>68.27</v>
      </c>
      <c r="F11103" s="1789">
        <v>8.8999999999999996E-2</v>
      </c>
      <c r="G11103">
        <f t="shared" si="349"/>
        <v>62.19</v>
      </c>
    </row>
    <row r="11104" spans="1:7" ht="12.75" customHeight="1">
      <c r="A11104" s="3">
        <v>87247</v>
      </c>
      <c r="B11104" s="4" t="s">
        <v>11129</v>
      </c>
      <c r="C11104" s="3" t="s">
        <v>409</v>
      </c>
      <c r="D11104" s="5">
        <f t="shared" si="348"/>
        <v>56.33</v>
      </c>
      <c r="E11104">
        <v>61.84</v>
      </c>
      <c r="F11104" s="1789">
        <v>8.8999999999999996E-2</v>
      </c>
      <c r="G11104">
        <f t="shared" si="349"/>
        <v>56.33</v>
      </c>
    </row>
    <row r="11105" spans="1:7" ht="12.75" customHeight="1">
      <c r="A11105" s="3">
        <v>87248</v>
      </c>
      <c r="B11105" s="4" t="s">
        <v>11130</v>
      </c>
      <c r="C11105" s="3" t="s">
        <v>409</v>
      </c>
      <c r="D11105" s="5">
        <f t="shared" si="348"/>
        <v>50.21</v>
      </c>
      <c r="E11105">
        <v>55.12</v>
      </c>
      <c r="F11105" s="1789">
        <v>8.8999999999999996E-2</v>
      </c>
      <c r="G11105">
        <f t="shared" si="349"/>
        <v>50.21</v>
      </c>
    </row>
    <row r="11106" spans="1:7" ht="12.75" customHeight="1">
      <c r="A11106" s="3">
        <v>87249</v>
      </c>
      <c r="B11106" s="4" t="s">
        <v>11131</v>
      </c>
      <c r="C11106" s="3" t="s">
        <v>409</v>
      </c>
      <c r="D11106" s="5">
        <f t="shared" si="348"/>
        <v>66.06</v>
      </c>
      <c r="E11106">
        <v>72.52</v>
      </c>
      <c r="F11106" s="1789">
        <v>8.8999999999999996E-2</v>
      </c>
      <c r="G11106">
        <f t="shared" si="349"/>
        <v>66.06</v>
      </c>
    </row>
    <row r="11107" spans="1:7" ht="12.75" customHeight="1">
      <c r="A11107" s="3">
        <v>87250</v>
      </c>
      <c r="B11107" s="4" t="s">
        <v>11132</v>
      </c>
      <c r="C11107" s="3" t="s">
        <v>409</v>
      </c>
      <c r="D11107" s="5">
        <f t="shared" si="348"/>
        <v>57.3</v>
      </c>
      <c r="E11107">
        <v>62.9</v>
      </c>
      <c r="F11107" s="1789">
        <v>8.8999999999999996E-2</v>
      </c>
      <c r="G11107">
        <f t="shared" si="349"/>
        <v>57.3</v>
      </c>
    </row>
    <row r="11108" spans="1:7" ht="12.75" customHeight="1">
      <c r="A11108" s="3">
        <v>87251</v>
      </c>
      <c r="B11108" s="4" t="s">
        <v>11133</v>
      </c>
      <c r="C11108" s="3" t="s">
        <v>409</v>
      </c>
      <c r="D11108" s="5">
        <f t="shared" si="348"/>
        <v>50.27</v>
      </c>
      <c r="E11108">
        <v>55.19</v>
      </c>
      <c r="F11108" s="1789">
        <v>8.8999999999999996E-2</v>
      </c>
      <c r="G11108">
        <f t="shared" si="349"/>
        <v>50.27</v>
      </c>
    </row>
    <row r="11109" spans="1:7" ht="12.75" customHeight="1">
      <c r="A11109" s="3">
        <v>87255</v>
      </c>
      <c r="B11109" s="4" t="s">
        <v>11134</v>
      </c>
      <c r="C11109" s="3" t="s">
        <v>409</v>
      </c>
      <c r="D11109" s="5">
        <f t="shared" si="348"/>
        <v>102.46</v>
      </c>
      <c r="E11109">
        <v>112.47</v>
      </c>
      <c r="F11109" s="1789">
        <v>8.8999999999999996E-2</v>
      </c>
      <c r="G11109">
        <f t="shared" si="349"/>
        <v>102.46</v>
      </c>
    </row>
    <row r="11110" spans="1:7" ht="12.75" customHeight="1">
      <c r="A11110" s="3">
        <v>87256</v>
      </c>
      <c r="B11110" s="4" t="s">
        <v>11135</v>
      </c>
      <c r="C11110" s="3" t="s">
        <v>409</v>
      </c>
      <c r="D11110" s="5">
        <f t="shared" si="348"/>
        <v>91.73</v>
      </c>
      <c r="E11110">
        <v>100.7</v>
      </c>
      <c r="F11110" s="1789">
        <v>8.8999999999999996E-2</v>
      </c>
      <c r="G11110">
        <f t="shared" si="349"/>
        <v>91.73</v>
      </c>
    </row>
    <row r="11111" spans="1:7" ht="12.75" customHeight="1">
      <c r="A11111" s="3">
        <v>87257</v>
      </c>
      <c r="B11111" s="4" t="s">
        <v>11136</v>
      </c>
      <c r="C11111" s="3" t="s">
        <v>409</v>
      </c>
      <c r="D11111" s="5">
        <f t="shared" si="348"/>
        <v>83.42</v>
      </c>
      <c r="E11111">
        <v>91.57</v>
      </c>
      <c r="F11111" s="1789">
        <v>8.8999999999999996E-2</v>
      </c>
      <c r="G11111">
        <f t="shared" si="349"/>
        <v>83.42</v>
      </c>
    </row>
    <row r="11112" spans="1:7" ht="12.75" customHeight="1">
      <c r="A11112" s="3">
        <v>87258</v>
      </c>
      <c r="B11112" s="4" t="s">
        <v>11137</v>
      </c>
      <c r="C11112" s="3" t="s">
        <v>409</v>
      </c>
      <c r="D11112" s="5">
        <f t="shared" si="348"/>
        <v>136.58000000000001</v>
      </c>
      <c r="E11112">
        <v>149.93</v>
      </c>
      <c r="F11112" s="1789">
        <v>8.8999999999999996E-2</v>
      </c>
      <c r="G11112">
        <f t="shared" si="349"/>
        <v>136.58000000000001</v>
      </c>
    </row>
    <row r="11113" spans="1:7" ht="12.75" customHeight="1">
      <c r="A11113" s="3">
        <v>87259</v>
      </c>
      <c r="B11113" s="4" t="s">
        <v>11138</v>
      </c>
      <c r="C11113" s="3" t="s">
        <v>409</v>
      </c>
      <c r="D11113" s="5">
        <f t="shared" si="348"/>
        <v>126.2</v>
      </c>
      <c r="E11113">
        <v>138.53</v>
      </c>
      <c r="F11113" s="1789">
        <v>8.8999999999999996E-2</v>
      </c>
      <c r="G11113">
        <f t="shared" si="349"/>
        <v>126.2</v>
      </c>
    </row>
    <row r="11114" spans="1:7" ht="12.75" customHeight="1">
      <c r="A11114" s="3">
        <v>87260</v>
      </c>
      <c r="B11114" s="4" t="s">
        <v>11139</v>
      </c>
      <c r="C11114" s="3" t="s">
        <v>409</v>
      </c>
      <c r="D11114" s="5">
        <f t="shared" si="348"/>
        <v>118.7</v>
      </c>
      <c r="E11114">
        <v>130.30000000000001</v>
      </c>
      <c r="F11114" s="1789">
        <v>8.8999999999999996E-2</v>
      </c>
      <c r="G11114">
        <f t="shared" si="349"/>
        <v>118.7</v>
      </c>
    </row>
    <row r="11115" spans="1:7" ht="12.75" customHeight="1">
      <c r="A11115" s="3">
        <v>87261</v>
      </c>
      <c r="B11115" s="4" t="s">
        <v>11140</v>
      </c>
      <c r="C11115" s="3" t="s">
        <v>409</v>
      </c>
      <c r="D11115" s="5">
        <f t="shared" si="348"/>
        <v>167.63</v>
      </c>
      <c r="E11115">
        <v>184.01</v>
      </c>
      <c r="F11115" s="1789">
        <v>8.8999999999999996E-2</v>
      </c>
      <c r="G11115">
        <f t="shared" si="349"/>
        <v>167.63</v>
      </c>
    </row>
    <row r="11116" spans="1:7" ht="12.75" customHeight="1">
      <c r="A11116" s="3">
        <v>87262</v>
      </c>
      <c r="B11116" s="4" t="s">
        <v>11141</v>
      </c>
      <c r="C11116" s="3" t="s">
        <v>409</v>
      </c>
      <c r="D11116" s="5">
        <f t="shared" si="348"/>
        <v>155.35</v>
      </c>
      <c r="E11116">
        <v>170.53</v>
      </c>
      <c r="F11116" s="1789">
        <v>8.8999999999999996E-2</v>
      </c>
      <c r="G11116">
        <f t="shared" si="349"/>
        <v>155.35</v>
      </c>
    </row>
    <row r="11117" spans="1:7" ht="12.75" customHeight="1">
      <c r="A11117" s="3">
        <v>87263</v>
      </c>
      <c r="B11117" s="4" t="s">
        <v>11142</v>
      </c>
      <c r="C11117" s="3" t="s">
        <v>409</v>
      </c>
      <c r="D11117" s="5">
        <f t="shared" si="348"/>
        <v>146.43</v>
      </c>
      <c r="E11117">
        <v>160.74</v>
      </c>
      <c r="F11117" s="1789">
        <v>8.8999999999999996E-2</v>
      </c>
      <c r="G11117">
        <f t="shared" si="349"/>
        <v>146.43</v>
      </c>
    </row>
    <row r="11118" spans="1:7" ht="12.75" customHeight="1">
      <c r="A11118" s="3">
        <v>104593</v>
      </c>
      <c r="B11118" s="4" t="s">
        <v>11143</v>
      </c>
      <c r="C11118" s="3" t="s">
        <v>409</v>
      </c>
      <c r="D11118" s="5">
        <f t="shared" si="348"/>
        <v>105.76</v>
      </c>
      <c r="E11118">
        <v>116.1</v>
      </c>
      <c r="F11118" s="1789">
        <v>8.8999999999999996E-2</v>
      </c>
      <c r="G11118">
        <f t="shared" si="349"/>
        <v>105.76</v>
      </c>
    </row>
    <row r="11119" spans="1:7" ht="12.75" customHeight="1">
      <c r="A11119" s="3">
        <v>104594</v>
      </c>
      <c r="B11119" s="4" t="s">
        <v>11144</v>
      </c>
      <c r="C11119" s="3" t="s">
        <v>409</v>
      </c>
      <c r="D11119" s="5">
        <f t="shared" si="348"/>
        <v>93.72</v>
      </c>
      <c r="E11119">
        <v>102.88</v>
      </c>
      <c r="F11119" s="1789">
        <v>8.8999999999999996E-2</v>
      </c>
      <c r="G11119">
        <f t="shared" si="349"/>
        <v>93.72</v>
      </c>
    </row>
    <row r="11120" spans="1:7" ht="12.75" customHeight="1">
      <c r="A11120" s="3">
        <v>104595</v>
      </c>
      <c r="B11120" s="4" t="s">
        <v>11145</v>
      </c>
      <c r="C11120" s="3" t="s">
        <v>409</v>
      </c>
      <c r="D11120" s="5">
        <f t="shared" si="348"/>
        <v>83.78</v>
      </c>
      <c r="E11120">
        <v>91.97</v>
      </c>
      <c r="F11120" s="1789">
        <v>8.8999999999999996E-2</v>
      </c>
      <c r="G11120">
        <f t="shared" si="349"/>
        <v>83.78</v>
      </c>
    </row>
    <row r="11121" spans="1:7" ht="12.75" customHeight="1">
      <c r="A11121" s="3">
        <v>104596</v>
      </c>
      <c r="B11121" s="4" t="s">
        <v>11146</v>
      </c>
      <c r="C11121" s="3" t="s">
        <v>409</v>
      </c>
      <c r="D11121" s="5">
        <f t="shared" si="348"/>
        <v>171.67</v>
      </c>
      <c r="E11121">
        <v>188.45</v>
      </c>
      <c r="F11121" s="1789">
        <v>8.8999999999999996E-2</v>
      </c>
      <c r="G11121">
        <f t="shared" si="349"/>
        <v>171.67</v>
      </c>
    </row>
    <row r="11122" spans="1:7" ht="12.75" customHeight="1">
      <c r="A11122" s="3">
        <v>104597</v>
      </c>
      <c r="B11122" s="4" t="s">
        <v>11147</v>
      </c>
      <c r="C11122" s="3" t="s">
        <v>409</v>
      </c>
      <c r="D11122" s="5">
        <f t="shared" si="348"/>
        <v>157.78</v>
      </c>
      <c r="E11122">
        <v>173.2</v>
      </c>
      <c r="F11122" s="1789">
        <v>8.8999999999999996E-2</v>
      </c>
      <c r="G11122">
        <f t="shared" si="349"/>
        <v>157.78</v>
      </c>
    </row>
    <row r="11123" spans="1:7" ht="12.75" customHeight="1">
      <c r="A11123" s="3">
        <v>104598</v>
      </c>
      <c r="B11123" s="4" t="s">
        <v>11148</v>
      </c>
      <c r="C11123" s="3" t="s">
        <v>409</v>
      </c>
      <c r="D11123" s="5">
        <f t="shared" si="348"/>
        <v>146.93</v>
      </c>
      <c r="E11123">
        <v>161.29</v>
      </c>
      <c r="F11123" s="1789">
        <v>8.8999999999999996E-2</v>
      </c>
      <c r="G11123">
        <f t="shared" si="349"/>
        <v>146.93</v>
      </c>
    </row>
    <row r="11124" spans="1:7" ht="12.75" customHeight="1">
      <c r="A11124" s="3">
        <v>104599</v>
      </c>
      <c r="B11124" s="4" t="s">
        <v>11149</v>
      </c>
      <c r="C11124" s="3" t="s">
        <v>409</v>
      </c>
      <c r="D11124" s="5">
        <f t="shared" si="348"/>
        <v>73.209999999999994</v>
      </c>
      <c r="E11124">
        <v>80.37</v>
      </c>
      <c r="F11124" s="1789">
        <v>8.8999999999999996E-2</v>
      </c>
      <c r="G11124">
        <f t="shared" si="349"/>
        <v>73.209999999999994</v>
      </c>
    </row>
    <row r="11125" spans="1:7" ht="12.75" customHeight="1">
      <c r="A11125" s="3">
        <v>104601</v>
      </c>
      <c r="B11125" s="4" t="s">
        <v>11150</v>
      </c>
      <c r="C11125" s="3" t="s">
        <v>409</v>
      </c>
      <c r="D11125" s="5">
        <f t="shared" si="348"/>
        <v>60.49</v>
      </c>
      <c r="E11125">
        <v>66.400000000000006</v>
      </c>
      <c r="F11125" s="1789">
        <v>8.8999999999999996E-2</v>
      </c>
      <c r="G11125">
        <f t="shared" si="349"/>
        <v>60.49</v>
      </c>
    </row>
    <row r="11126" spans="1:7" ht="12.75" customHeight="1">
      <c r="A11126" s="3">
        <v>104603</v>
      </c>
      <c r="B11126" s="4" t="s">
        <v>11151</v>
      </c>
      <c r="C11126" s="3" t="s">
        <v>409</v>
      </c>
      <c r="D11126" s="5">
        <f t="shared" si="348"/>
        <v>52.27</v>
      </c>
      <c r="E11126">
        <v>57.38</v>
      </c>
      <c r="F11126" s="1789">
        <v>8.8999999999999996E-2</v>
      </c>
      <c r="G11126">
        <f t="shared" si="349"/>
        <v>52.27</v>
      </c>
    </row>
    <row r="11127" spans="1:7" ht="12.75" customHeight="1">
      <c r="A11127" s="3">
        <v>104605</v>
      </c>
      <c r="B11127" s="4" t="s">
        <v>11152</v>
      </c>
      <c r="C11127" s="3" t="s">
        <v>409</v>
      </c>
      <c r="D11127" s="5">
        <f t="shared" si="348"/>
        <v>89.38</v>
      </c>
      <c r="E11127">
        <v>98.12</v>
      </c>
      <c r="F11127" s="1789">
        <v>8.8999999999999996E-2</v>
      </c>
      <c r="G11127">
        <f t="shared" si="349"/>
        <v>89.38</v>
      </c>
    </row>
    <row r="11128" spans="1:7" ht="12.75" customHeight="1">
      <c r="A11128" s="3">
        <v>104606</v>
      </c>
      <c r="B11128" s="4" t="s">
        <v>11153</v>
      </c>
      <c r="C11128" s="3" t="s">
        <v>409</v>
      </c>
      <c r="D11128" s="5">
        <f t="shared" si="348"/>
        <v>63.92</v>
      </c>
      <c r="E11128">
        <v>70.17</v>
      </c>
      <c r="F11128" s="1789">
        <v>8.8999999999999996E-2</v>
      </c>
      <c r="G11128">
        <f t="shared" si="349"/>
        <v>63.92</v>
      </c>
    </row>
    <row r="11129" spans="1:7" ht="12.75" customHeight="1">
      <c r="A11129" s="3">
        <v>104607</v>
      </c>
      <c r="B11129" s="4" t="s">
        <v>11154</v>
      </c>
      <c r="C11129" s="3" t="s">
        <v>409</v>
      </c>
      <c r="D11129" s="5">
        <f t="shared" si="348"/>
        <v>53.22</v>
      </c>
      <c r="E11129">
        <v>58.43</v>
      </c>
      <c r="F11129" s="1789">
        <v>8.8999999999999996E-2</v>
      </c>
      <c r="G11129">
        <f t="shared" si="349"/>
        <v>53.22</v>
      </c>
    </row>
    <row r="11130" spans="1:7" ht="12.75" customHeight="1">
      <c r="A11130" s="3">
        <v>104608</v>
      </c>
      <c r="B11130" s="4" t="s">
        <v>11155</v>
      </c>
      <c r="C11130" s="3" t="s">
        <v>409</v>
      </c>
      <c r="D11130" s="5">
        <f t="shared" si="348"/>
        <v>166.87</v>
      </c>
      <c r="E11130">
        <v>183.18</v>
      </c>
      <c r="F11130" s="1789">
        <v>8.8999999999999996E-2</v>
      </c>
      <c r="G11130">
        <f t="shared" si="349"/>
        <v>166.87</v>
      </c>
    </row>
    <row r="11131" spans="1:7" ht="12.75" customHeight="1">
      <c r="A11131" s="3">
        <v>104609</v>
      </c>
      <c r="B11131" s="4" t="s">
        <v>11156</v>
      </c>
      <c r="C11131" s="3" t="s">
        <v>409</v>
      </c>
      <c r="D11131" s="5">
        <f t="shared" si="348"/>
        <v>134.75</v>
      </c>
      <c r="E11131">
        <v>147.91999999999999</v>
      </c>
      <c r="F11131" s="1789">
        <v>8.8999999999999996E-2</v>
      </c>
      <c r="G11131">
        <f t="shared" si="349"/>
        <v>134.75</v>
      </c>
    </row>
    <row r="11132" spans="1:7" ht="12.75" customHeight="1">
      <c r="A11132" s="3">
        <v>104610</v>
      </c>
      <c r="B11132" s="4" t="s">
        <v>11157</v>
      </c>
      <c r="C11132" s="3" t="s">
        <v>409</v>
      </c>
      <c r="D11132" s="5">
        <f t="shared" si="348"/>
        <v>122.52</v>
      </c>
      <c r="E11132">
        <v>134.49</v>
      </c>
      <c r="F11132" s="1789">
        <v>8.8999999999999996E-2</v>
      </c>
      <c r="G11132">
        <f t="shared" si="349"/>
        <v>122.52</v>
      </c>
    </row>
    <row r="11133" spans="1:7" ht="12.75" customHeight="1">
      <c r="A11133" s="3">
        <v>98671</v>
      </c>
      <c r="B11133" s="4" t="s">
        <v>11158</v>
      </c>
      <c r="C11133" s="3" t="s">
        <v>409</v>
      </c>
      <c r="D11133" s="5">
        <f t="shared" si="348"/>
        <v>401.78</v>
      </c>
      <c r="E11133">
        <v>441.04</v>
      </c>
      <c r="F11133" s="1789">
        <v>8.8999999999999996E-2</v>
      </c>
      <c r="G11133">
        <f t="shared" si="349"/>
        <v>401.78</v>
      </c>
    </row>
    <row r="11134" spans="1:7" ht="12.75" customHeight="1">
      <c r="A11134" s="3">
        <v>98672</v>
      </c>
      <c r="B11134" s="4" t="s">
        <v>11159</v>
      </c>
      <c r="C11134" s="3" t="s">
        <v>409</v>
      </c>
      <c r="D11134" s="5">
        <f t="shared" si="348"/>
        <v>551.85</v>
      </c>
      <c r="E11134">
        <v>605.77</v>
      </c>
      <c r="F11134" s="1789">
        <v>8.8999999999999996E-2</v>
      </c>
      <c r="G11134">
        <f t="shared" si="349"/>
        <v>551.85</v>
      </c>
    </row>
    <row r="11135" spans="1:7" ht="12.75" customHeight="1">
      <c r="A11135" s="3">
        <v>98678</v>
      </c>
      <c r="B11135" s="4" t="s">
        <v>11160</v>
      </c>
      <c r="C11135" s="3" t="s">
        <v>409</v>
      </c>
      <c r="D11135" s="5">
        <f t="shared" si="348"/>
        <v>356.72</v>
      </c>
      <c r="E11135">
        <v>391.57</v>
      </c>
      <c r="F11135" s="1789">
        <v>8.8999999999999996E-2</v>
      </c>
      <c r="G11135">
        <f t="shared" si="349"/>
        <v>356.72</v>
      </c>
    </row>
    <row r="11136" spans="1:7" ht="12.75" customHeight="1">
      <c r="A11136" s="3">
        <v>98679</v>
      </c>
      <c r="B11136" s="4" t="s">
        <v>11161</v>
      </c>
      <c r="C11136" s="3" t="s">
        <v>409</v>
      </c>
      <c r="D11136" s="5">
        <f t="shared" si="348"/>
        <v>34.42</v>
      </c>
      <c r="E11136">
        <v>37.79</v>
      </c>
      <c r="F11136" s="1789">
        <v>8.8999999999999996E-2</v>
      </c>
      <c r="G11136">
        <f t="shared" si="349"/>
        <v>34.42</v>
      </c>
    </row>
    <row r="11137" spans="1:7" ht="12.75" customHeight="1">
      <c r="A11137" s="3">
        <v>98680</v>
      </c>
      <c r="B11137" s="4" t="s">
        <v>11162</v>
      </c>
      <c r="C11137" s="3" t="s">
        <v>409</v>
      </c>
      <c r="D11137" s="5">
        <f t="shared" si="348"/>
        <v>43.61</v>
      </c>
      <c r="E11137">
        <v>47.88</v>
      </c>
      <c r="F11137" s="1789">
        <v>8.8999999999999996E-2</v>
      </c>
      <c r="G11137">
        <f t="shared" si="349"/>
        <v>43.61</v>
      </c>
    </row>
    <row r="11138" spans="1:7" ht="12.75" customHeight="1">
      <c r="A11138" s="3">
        <v>98681</v>
      </c>
      <c r="B11138" s="4" t="s">
        <v>11163</v>
      </c>
      <c r="C11138" s="3" t="s">
        <v>409</v>
      </c>
      <c r="D11138" s="5">
        <f t="shared" si="348"/>
        <v>32.229999999999997</v>
      </c>
      <c r="E11138">
        <v>35.380000000000003</v>
      </c>
      <c r="F11138" s="1789">
        <v>8.8999999999999996E-2</v>
      </c>
      <c r="G11138">
        <f t="shared" si="349"/>
        <v>32.229999999999997</v>
      </c>
    </row>
    <row r="11139" spans="1:7" ht="12.75" customHeight="1">
      <c r="A11139" s="3">
        <v>98682</v>
      </c>
      <c r="B11139" s="4" t="s">
        <v>11164</v>
      </c>
      <c r="C11139" s="3" t="s">
        <v>409</v>
      </c>
      <c r="D11139" s="5">
        <f t="shared" si="348"/>
        <v>41.42</v>
      </c>
      <c r="E11139">
        <v>45.47</v>
      </c>
      <c r="F11139" s="1789">
        <v>8.8999999999999996E-2</v>
      </c>
      <c r="G11139">
        <f t="shared" si="349"/>
        <v>41.42</v>
      </c>
    </row>
    <row r="11140" spans="1:7" ht="12.75" customHeight="1">
      <c r="A11140" s="3">
        <v>98685</v>
      </c>
      <c r="B11140" s="4" t="s">
        <v>11165</v>
      </c>
      <c r="C11140" s="3" t="s">
        <v>50</v>
      </c>
      <c r="D11140" s="5">
        <f t="shared" si="348"/>
        <v>72.28</v>
      </c>
      <c r="E11140">
        <v>79.349999999999994</v>
      </c>
      <c r="F11140" s="1789">
        <v>8.8999999999999996E-2</v>
      </c>
      <c r="G11140">
        <f t="shared" si="349"/>
        <v>72.28</v>
      </c>
    </row>
    <row r="11141" spans="1:7" ht="12.75" customHeight="1">
      <c r="A11141" s="3">
        <v>98686</v>
      </c>
      <c r="B11141" s="4" t="s">
        <v>11166</v>
      </c>
      <c r="C11141" s="3" t="s">
        <v>50</v>
      </c>
      <c r="D11141" s="5">
        <f t="shared" si="348"/>
        <v>38.479999999999997</v>
      </c>
      <c r="E11141">
        <v>42.24</v>
      </c>
      <c r="F11141" s="1789">
        <v>8.8999999999999996E-2</v>
      </c>
      <c r="G11141">
        <f t="shared" si="349"/>
        <v>38.479999999999997</v>
      </c>
    </row>
    <row r="11142" spans="1:7" ht="12.75" customHeight="1">
      <c r="A11142" s="3">
        <v>98688</v>
      </c>
      <c r="B11142" s="4" t="s">
        <v>11167</v>
      </c>
      <c r="C11142" s="3" t="s">
        <v>50</v>
      </c>
      <c r="D11142" s="5">
        <f t="shared" si="348"/>
        <v>83.49</v>
      </c>
      <c r="E11142">
        <v>91.65</v>
      </c>
      <c r="F11142" s="1789">
        <v>8.8999999999999996E-2</v>
      </c>
      <c r="G11142">
        <f t="shared" si="349"/>
        <v>83.49</v>
      </c>
    </row>
    <row r="11143" spans="1:7" ht="12.75" customHeight="1">
      <c r="A11143" s="3">
        <v>98689</v>
      </c>
      <c r="B11143" s="4" t="s">
        <v>11168</v>
      </c>
      <c r="C11143" s="3" t="s">
        <v>50</v>
      </c>
      <c r="D11143" s="5">
        <f t="shared" si="348"/>
        <v>102.29</v>
      </c>
      <c r="E11143">
        <v>112.29</v>
      </c>
      <c r="F11143" s="1789">
        <v>8.8999999999999996E-2</v>
      </c>
      <c r="G11143">
        <f t="shared" si="349"/>
        <v>102.29</v>
      </c>
    </row>
    <row r="11144" spans="1:7" ht="12.75" customHeight="1">
      <c r="A11144" s="3">
        <v>101090</v>
      </c>
      <c r="B11144" s="4" t="s">
        <v>11169</v>
      </c>
      <c r="C11144" s="3" t="s">
        <v>409</v>
      </c>
      <c r="D11144" s="5">
        <f t="shared" si="348"/>
        <v>213.12</v>
      </c>
      <c r="E11144">
        <v>233.95</v>
      </c>
      <c r="F11144" s="1789">
        <v>8.8999999999999996E-2</v>
      </c>
      <c r="G11144">
        <f t="shared" si="349"/>
        <v>213.12</v>
      </c>
    </row>
    <row r="11145" spans="1:7" ht="12.75" customHeight="1">
      <c r="A11145" s="3">
        <v>101091</v>
      </c>
      <c r="B11145" s="4" t="s">
        <v>11170</v>
      </c>
      <c r="C11145" s="3" t="s">
        <v>409</v>
      </c>
      <c r="D11145" s="5">
        <f t="shared" si="348"/>
        <v>145.06</v>
      </c>
      <c r="E11145">
        <v>159.24</v>
      </c>
      <c r="F11145" s="1789">
        <v>8.8999999999999996E-2</v>
      </c>
      <c r="G11145">
        <f t="shared" si="349"/>
        <v>145.06</v>
      </c>
    </row>
    <row r="11146" spans="1:7" ht="12.75" customHeight="1">
      <c r="A11146" s="3">
        <v>101725</v>
      </c>
      <c r="B11146" s="4" t="s">
        <v>11171</v>
      </c>
      <c r="C11146" s="3" t="s">
        <v>409</v>
      </c>
      <c r="D11146" s="5">
        <f t="shared" si="348"/>
        <v>258.86</v>
      </c>
      <c r="E11146">
        <v>284.16000000000003</v>
      </c>
      <c r="F11146" s="1789">
        <v>8.8999999999999996E-2</v>
      </c>
      <c r="G11146">
        <f t="shared" si="349"/>
        <v>258.86</v>
      </c>
    </row>
    <row r="11147" spans="1:7" ht="12.75" customHeight="1">
      <c r="A11147" s="3">
        <v>101726</v>
      </c>
      <c r="B11147" s="4" t="s">
        <v>11172</v>
      </c>
      <c r="C11147" s="3" t="s">
        <v>409</v>
      </c>
      <c r="D11147" s="5">
        <f t="shared" si="348"/>
        <v>181.14</v>
      </c>
      <c r="E11147">
        <v>198.84</v>
      </c>
      <c r="F11147" s="1789">
        <v>8.8999999999999996E-2</v>
      </c>
      <c r="G11147">
        <f t="shared" si="349"/>
        <v>181.14</v>
      </c>
    </row>
    <row r="11148" spans="1:7" ht="12.75" customHeight="1">
      <c r="A11148" s="3">
        <v>101731</v>
      </c>
      <c r="B11148" s="4" t="s">
        <v>11173</v>
      </c>
      <c r="C11148" s="3" t="s">
        <v>409</v>
      </c>
      <c r="D11148" s="5">
        <f t="shared" si="348"/>
        <v>312.74</v>
      </c>
      <c r="E11148">
        <v>343.3</v>
      </c>
      <c r="F11148" s="1789">
        <v>8.8999999999999996E-2</v>
      </c>
      <c r="G11148">
        <f t="shared" si="349"/>
        <v>312.74</v>
      </c>
    </row>
    <row r="11149" spans="1:7" ht="12.75" customHeight="1">
      <c r="A11149" s="3">
        <v>101732</v>
      </c>
      <c r="B11149" s="4" t="s">
        <v>11174</v>
      </c>
      <c r="C11149" s="3" t="s">
        <v>409</v>
      </c>
      <c r="D11149" s="5">
        <f t="shared" si="348"/>
        <v>92.66</v>
      </c>
      <c r="E11149">
        <v>101.72</v>
      </c>
      <c r="F11149" s="1789">
        <v>8.8999999999999996E-2</v>
      </c>
      <c r="G11149">
        <f t="shared" si="349"/>
        <v>92.66</v>
      </c>
    </row>
    <row r="11150" spans="1:7" ht="12.75" customHeight="1">
      <c r="A11150" s="3">
        <v>101094</v>
      </c>
      <c r="B11150" s="4" t="s">
        <v>11175</v>
      </c>
      <c r="C11150" s="3" t="s">
        <v>50</v>
      </c>
      <c r="D11150" s="5">
        <f t="shared" si="348"/>
        <v>163</v>
      </c>
      <c r="E11150">
        <v>178.93</v>
      </c>
      <c r="F11150" s="1789">
        <v>8.8999999999999996E-2</v>
      </c>
      <c r="G11150">
        <f t="shared" si="349"/>
        <v>163</v>
      </c>
    </row>
    <row r="11151" spans="1:7" ht="12.75" customHeight="1">
      <c r="A11151" s="3">
        <v>101727</v>
      </c>
      <c r="B11151" s="4" t="s">
        <v>11176</v>
      </c>
      <c r="C11151" s="3" t="s">
        <v>409</v>
      </c>
      <c r="D11151" s="5">
        <f t="shared" si="348"/>
        <v>190</v>
      </c>
      <c r="E11151">
        <v>208.57</v>
      </c>
      <c r="F11151" s="1789">
        <v>8.8999999999999996E-2</v>
      </c>
      <c r="G11151">
        <f t="shared" si="349"/>
        <v>190</v>
      </c>
    </row>
    <row r="11152" spans="1:7" ht="12.75" customHeight="1">
      <c r="A11152" s="3">
        <v>101733</v>
      </c>
      <c r="B11152" s="4" t="s">
        <v>11177</v>
      </c>
      <c r="C11152" s="3" t="s">
        <v>409</v>
      </c>
      <c r="D11152" s="5">
        <f t="shared" si="348"/>
        <v>256.86</v>
      </c>
      <c r="E11152">
        <v>281.95999999999998</v>
      </c>
      <c r="F11152" s="1789">
        <v>8.8999999999999996E-2</v>
      </c>
      <c r="G11152">
        <f t="shared" si="349"/>
        <v>256.86</v>
      </c>
    </row>
    <row r="11153" spans="1:7" ht="12.75" customHeight="1">
      <c r="A11153" s="3">
        <v>101734</v>
      </c>
      <c r="B11153" s="4" t="s">
        <v>11178</v>
      </c>
      <c r="C11153" s="3" t="s">
        <v>409</v>
      </c>
      <c r="D11153" s="5">
        <f t="shared" si="348"/>
        <v>392.57</v>
      </c>
      <c r="E11153">
        <v>430.93</v>
      </c>
      <c r="F11153" s="1789">
        <v>8.8999999999999996E-2</v>
      </c>
      <c r="G11153">
        <f t="shared" si="349"/>
        <v>392.57</v>
      </c>
    </row>
    <row r="11154" spans="1:7" ht="12.75" customHeight="1">
      <c r="A11154" s="3">
        <v>101735</v>
      </c>
      <c r="B11154" s="4" t="s">
        <v>11179</v>
      </c>
      <c r="C11154" s="3" t="s">
        <v>409</v>
      </c>
      <c r="D11154" s="5">
        <f t="shared" si="348"/>
        <v>402.41</v>
      </c>
      <c r="E11154">
        <v>441.73</v>
      </c>
      <c r="F11154" s="1789">
        <v>8.8999999999999996E-2</v>
      </c>
      <c r="G11154">
        <f t="shared" si="349"/>
        <v>402.41</v>
      </c>
    </row>
    <row r="11155" spans="1:7" ht="12.75" customHeight="1">
      <c r="A11155" s="3">
        <v>101736</v>
      </c>
      <c r="B11155" s="4" t="s">
        <v>11180</v>
      </c>
      <c r="C11155" s="3" t="s">
        <v>409</v>
      </c>
      <c r="D11155" s="5">
        <f t="shared" si="348"/>
        <v>90.01</v>
      </c>
      <c r="E11155">
        <v>98.81</v>
      </c>
      <c r="F11155" s="1789">
        <v>8.8999999999999996E-2</v>
      </c>
      <c r="G11155">
        <f t="shared" si="349"/>
        <v>90.01</v>
      </c>
    </row>
    <row r="11156" spans="1:7" ht="12.75" customHeight="1">
      <c r="A11156" s="3">
        <v>101737</v>
      </c>
      <c r="B11156" s="4" t="s">
        <v>11181</v>
      </c>
      <c r="C11156" s="3" t="s">
        <v>409</v>
      </c>
      <c r="D11156" s="5">
        <f t="shared" si="348"/>
        <v>109.48</v>
      </c>
      <c r="E11156">
        <v>120.18</v>
      </c>
      <c r="F11156" s="1789">
        <v>8.8999999999999996E-2</v>
      </c>
      <c r="G11156">
        <f t="shared" si="349"/>
        <v>109.48</v>
      </c>
    </row>
    <row r="11157" spans="1:7" ht="12.75" customHeight="1">
      <c r="A11157" s="3">
        <v>101748</v>
      </c>
      <c r="B11157" s="4" t="s">
        <v>11182</v>
      </c>
      <c r="C11157" s="3" t="s">
        <v>409</v>
      </c>
      <c r="D11157" s="5">
        <f t="shared" ref="D11157:D11220" si="350">G11157</f>
        <v>3.06</v>
      </c>
      <c r="E11157">
        <v>3.36</v>
      </c>
      <c r="F11157" s="1789">
        <v>8.8999999999999996E-2</v>
      </c>
      <c r="G11157">
        <f t="shared" ref="G11157:G11220" si="351">TRUNC((1-F11157)*E11157,2)</f>
        <v>3.06</v>
      </c>
    </row>
    <row r="11158" spans="1:7" ht="12.75" customHeight="1">
      <c r="A11158" s="3">
        <v>104162</v>
      </c>
      <c r="B11158" s="4" t="s">
        <v>11183</v>
      </c>
      <c r="C11158" s="3" t="s">
        <v>409</v>
      </c>
      <c r="D11158" s="5">
        <f t="shared" si="350"/>
        <v>89.28</v>
      </c>
      <c r="E11158">
        <v>98.01</v>
      </c>
      <c r="F11158" s="1789">
        <v>8.8999999999999996E-2</v>
      </c>
      <c r="G11158">
        <f t="shared" si="351"/>
        <v>89.28</v>
      </c>
    </row>
    <row r="11159" spans="1:7" ht="12.75" customHeight="1">
      <c r="A11159" s="3">
        <v>101092</v>
      </c>
      <c r="B11159" s="4" t="s">
        <v>11184</v>
      </c>
      <c r="C11159" s="3" t="s">
        <v>409</v>
      </c>
      <c r="D11159" s="5">
        <f t="shared" si="350"/>
        <v>411.1</v>
      </c>
      <c r="E11159">
        <v>451.27</v>
      </c>
      <c r="F11159" s="1789">
        <v>8.8999999999999996E-2</v>
      </c>
      <c r="G11159">
        <f t="shared" si="351"/>
        <v>411.1</v>
      </c>
    </row>
    <row r="11160" spans="1:7" ht="12.75" customHeight="1">
      <c r="A11160" s="3">
        <v>101093</v>
      </c>
      <c r="B11160" s="4" t="s">
        <v>11185</v>
      </c>
      <c r="C11160" s="3" t="s">
        <v>409</v>
      </c>
      <c r="D11160" s="5">
        <f t="shared" si="350"/>
        <v>561.16999999999996</v>
      </c>
      <c r="E11160">
        <v>616</v>
      </c>
      <c r="F11160" s="1789">
        <v>8.8999999999999996E-2</v>
      </c>
      <c r="G11160">
        <f t="shared" si="351"/>
        <v>561.16999999999996</v>
      </c>
    </row>
    <row r="11161" spans="1:7" ht="12.75" customHeight="1">
      <c r="A11161" s="3">
        <v>98695</v>
      </c>
      <c r="B11161" s="4" t="s">
        <v>11186</v>
      </c>
      <c r="C11161" s="3" t="s">
        <v>50</v>
      </c>
      <c r="D11161" s="5">
        <f t="shared" si="350"/>
        <v>96.12</v>
      </c>
      <c r="E11161">
        <v>105.52</v>
      </c>
      <c r="F11161" s="1789">
        <v>8.8999999999999996E-2</v>
      </c>
      <c r="G11161">
        <f t="shared" si="351"/>
        <v>96.12</v>
      </c>
    </row>
    <row r="11162" spans="1:7" ht="12.75" customHeight="1">
      <c r="A11162" s="3">
        <v>98697</v>
      </c>
      <c r="B11162" s="4" t="s">
        <v>11187</v>
      </c>
      <c r="C11162" s="3" t="s">
        <v>50</v>
      </c>
      <c r="D11162" s="5">
        <f t="shared" si="350"/>
        <v>63.85</v>
      </c>
      <c r="E11162">
        <v>70.09</v>
      </c>
      <c r="F11162" s="1789">
        <v>8.8999999999999996E-2</v>
      </c>
      <c r="G11162">
        <f t="shared" si="351"/>
        <v>63.85</v>
      </c>
    </row>
    <row r="11163" spans="1:7" ht="12.75" customHeight="1">
      <c r="A11163" s="3">
        <v>101738</v>
      </c>
      <c r="B11163" s="4" t="s">
        <v>11188</v>
      </c>
      <c r="C11163" s="3" t="s">
        <v>50</v>
      </c>
      <c r="D11163" s="5">
        <f t="shared" si="350"/>
        <v>31.08</v>
      </c>
      <c r="E11163">
        <v>34.119999999999997</v>
      </c>
      <c r="F11163" s="1789">
        <v>8.8999999999999996E-2</v>
      </c>
      <c r="G11163">
        <f t="shared" si="351"/>
        <v>31.08</v>
      </c>
    </row>
    <row r="11164" spans="1:7" ht="12.75" customHeight="1">
      <c r="A11164" s="3">
        <v>101739</v>
      </c>
      <c r="B11164" s="4" t="s">
        <v>11189</v>
      </c>
      <c r="C11164" s="3" t="s">
        <v>50</v>
      </c>
      <c r="D11164" s="5">
        <f t="shared" si="350"/>
        <v>33.68</v>
      </c>
      <c r="E11164">
        <v>36.979999999999997</v>
      </c>
      <c r="F11164" s="1789">
        <v>8.8999999999999996E-2</v>
      </c>
      <c r="G11164">
        <f t="shared" si="351"/>
        <v>33.68</v>
      </c>
    </row>
    <row r="11165" spans="1:7" ht="12.75" customHeight="1">
      <c r="A11165" s="3">
        <v>88648</v>
      </c>
      <c r="B11165" s="4" t="s">
        <v>11190</v>
      </c>
      <c r="C11165" s="3" t="s">
        <v>50</v>
      </c>
      <c r="D11165" s="5">
        <f t="shared" si="350"/>
        <v>7.03</v>
      </c>
      <c r="E11165">
        <v>7.72</v>
      </c>
      <c r="F11165" s="1789">
        <v>8.8999999999999996E-2</v>
      </c>
      <c r="G11165">
        <f t="shared" si="351"/>
        <v>7.03</v>
      </c>
    </row>
    <row r="11166" spans="1:7" ht="12.75" customHeight="1">
      <c r="A11166" s="3">
        <v>88649</v>
      </c>
      <c r="B11166" s="4" t="s">
        <v>11191</v>
      </c>
      <c r="C11166" s="3" t="s">
        <v>50</v>
      </c>
      <c r="D11166" s="5">
        <f t="shared" si="350"/>
        <v>7.93</v>
      </c>
      <c r="E11166">
        <v>8.7100000000000009</v>
      </c>
      <c r="F11166" s="1789">
        <v>8.8999999999999996E-2</v>
      </c>
      <c r="G11166">
        <f t="shared" si="351"/>
        <v>7.93</v>
      </c>
    </row>
    <row r="11167" spans="1:7" ht="12.75" customHeight="1">
      <c r="A11167" s="3">
        <v>88650</v>
      </c>
      <c r="B11167" s="4" t="s">
        <v>11192</v>
      </c>
      <c r="C11167" s="3" t="s">
        <v>50</v>
      </c>
      <c r="D11167" s="5">
        <f t="shared" si="350"/>
        <v>14.97</v>
      </c>
      <c r="E11167">
        <v>16.440000000000001</v>
      </c>
      <c r="F11167" s="1789">
        <v>8.8999999999999996E-2</v>
      </c>
      <c r="G11167">
        <f t="shared" si="351"/>
        <v>14.97</v>
      </c>
    </row>
    <row r="11168" spans="1:7" ht="12.75" customHeight="1">
      <c r="A11168" s="3">
        <v>101740</v>
      </c>
      <c r="B11168" s="4" t="s">
        <v>11193</v>
      </c>
      <c r="C11168" s="3" t="s">
        <v>50</v>
      </c>
      <c r="D11168" s="5">
        <f t="shared" si="350"/>
        <v>45.11</v>
      </c>
      <c r="E11168">
        <v>49.52</v>
      </c>
      <c r="F11168" s="1789">
        <v>8.8999999999999996E-2</v>
      </c>
      <c r="G11168">
        <f t="shared" si="351"/>
        <v>45.11</v>
      </c>
    </row>
    <row r="11169" spans="1:7" ht="12.75" customHeight="1">
      <c r="A11169" s="3">
        <v>101741</v>
      </c>
      <c r="B11169" s="4" t="s">
        <v>11194</v>
      </c>
      <c r="C11169" s="3" t="s">
        <v>50</v>
      </c>
      <c r="D11169" s="5">
        <f t="shared" si="350"/>
        <v>20.59</v>
      </c>
      <c r="E11169">
        <v>22.61</v>
      </c>
      <c r="F11169" s="1789">
        <v>8.8999999999999996E-2</v>
      </c>
      <c r="G11169">
        <f t="shared" si="351"/>
        <v>20.59</v>
      </c>
    </row>
    <row r="11170" spans="1:7" ht="12.75" customHeight="1">
      <c r="A11170" s="3">
        <v>94990</v>
      </c>
      <c r="B11170" s="4" t="s">
        <v>11195</v>
      </c>
      <c r="C11170" s="3" t="s">
        <v>152</v>
      </c>
      <c r="D11170" s="5">
        <f t="shared" si="350"/>
        <v>760.57</v>
      </c>
      <c r="E11170">
        <v>834.88</v>
      </c>
      <c r="F11170" s="1789">
        <v>8.8999999999999996E-2</v>
      </c>
      <c r="G11170">
        <f t="shared" si="351"/>
        <v>760.57</v>
      </c>
    </row>
    <row r="11171" spans="1:7" ht="12.75" customHeight="1">
      <c r="A11171" s="3">
        <v>94991</v>
      </c>
      <c r="B11171" s="4" t="s">
        <v>11196</v>
      </c>
      <c r="C11171" s="3" t="s">
        <v>152</v>
      </c>
      <c r="D11171" s="5">
        <f t="shared" si="350"/>
        <v>862.19</v>
      </c>
      <c r="E11171">
        <v>946.43</v>
      </c>
      <c r="F11171" s="1789">
        <v>8.8999999999999996E-2</v>
      </c>
      <c r="G11171">
        <f t="shared" si="351"/>
        <v>862.19</v>
      </c>
    </row>
    <row r="11172" spans="1:7" ht="12.75" customHeight="1">
      <c r="A11172" s="3">
        <v>94992</v>
      </c>
      <c r="B11172" s="4" t="s">
        <v>11197</v>
      </c>
      <c r="C11172" s="3" t="s">
        <v>409</v>
      </c>
      <c r="D11172" s="5">
        <f t="shared" si="350"/>
        <v>78.36</v>
      </c>
      <c r="E11172">
        <v>86.02</v>
      </c>
      <c r="F11172" s="1789">
        <v>8.8999999999999996E-2</v>
      </c>
      <c r="G11172">
        <f t="shared" si="351"/>
        <v>78.36</v>
      </c>
    </row>
    <row r="11173" spans="1:7" ht="12.75" customHeight="1">
      <c r="A11173" s="3">
        <v>94993</v>
      </c>
      <c r="B11173" s="4" t="s">
        <v>11198</v>
      </c>
      <c r="C11173" s="3" t="s">
        <v>409</v>
      </c>
      <c r="D11173" s="5">
        <f t="shared" si="350"/>
        <v>84.47</v>
      </c>
      <c r="E11173">
        <v>92.73</v>
      </c>
      <c r="F11173" s="1789">
        <v>8.8999999999999996E-2</v>
      </c>
      <c r="G11173">
        <f t="shared" si="351"/>
        <v>84.47</v>
      </c>
    </row>
    <row r="11174" spans="1:7" ht="12.75" customHeight="1">
      <c r="A11174" s="3">
        <v>94994</v>
      </c>
      <c r="B11174" s="4" t="s">
        <v>11199</v>
      </c>
      <c r="C11174" s="3" t="s">
        <v>409</v>
      </c>
      <c r="D11174" s="5">
        <f t="shared" si="350"/>
        <v>93.85</v>
      </c>
      <c r="E11174">
        <v>103.02</v>
      </c>
      <c r="F11174" s="1789">
        <v>8.8999999999999996E-2</v>
      </c>
      <c r="G11174">
        <f t="shared" si="351"/>
        <v>93.85</v>
      </c>
    </row>
    <row r="11175" spans="1:7" ht="12.75" customHeight="1">
      <c r="A11175" s="3">
        <v>94995</v>
      </c>
      <c r="B11175" s="4" t="s">
        <v>11200</v>
      </c>
      <c r="C11175" s="3" t="s">
        <v>409</v>
      </c>
      <c r="D11175" s="5">
        <f t="shared" si="350"/>
        <v>101.97</v>
      </c>
      <c r="E11175">
        <v>111.94</v>
      </c>
      <c r="F11175" s="1789">
        <v>8.8999999999999996E-2</v>
      </c>
      <c r="G11175">
        <f t="shared" si="351"/>
        <v>101.97</v>
      </c>
    </row>
    <row r="11176" spans="1:7" ht="12.75" customHeight="1">
      <c r="A11176" s="3">
        <v>101747</v>
      </c>
      <c r="B11176" s="4" t="s">
        <v>11201</v>
      </c>
      <c r="C11176" s="3" t="s">
        <v>409</v>
      </c>
      <c r="D11176" s="5">
        <f t="shared" si="350"/>
        <v>88.69</v>
      </c>
      <c r="E11176">
        <v>97.36</v>
      </c>
      <c r="F11176" s="1789">
        <v>8.8999999999999996E-2</v>
      </c>
      <c r="G11176">
        <f t="shared" si="351"/>
        <v>88.69</v>
      </c>
    </row>
    <row r="11177" spans="1:7" ht="12.75" customHeight="1">
      <c r="A11177" s="3">
        <v>104626</v>
      </c>
      <c r="B11177" s="4" t="s">
        <v>11202</v>
      </c>
      <c r="C11177" s="3" t="s">
        <v>152</v>
      </c>
      <c r="D11177" s="5">
        <f t="shared" si="350"/>
        <v>883.53</v>
      </c>
      <c r="E11177">
        <v>969.85</v>
      </c>
      <c r="F11177" s="1789">
        <v>8.8999999999999996E-2</v>
      </c>
      <c r="G11177">
        <f t="shared" si="351"/>
        <v>883.53</v>
      </c>
    </row>
    <row r="11178" spans="1:7" ht="12.75" customHeight="1">
      <c r="A11178" s="3">
        <v>104658</v>
      </c>
      <c r="B11178" s="4" t="s">
        <v>11203</v>
      </c>
      <c r="C11178" s="3" t="s">
        <v>409</v>
      </c>
      <c r="D11178" s="5">
        <f t="shared" si="350"/>
        <v>174.08</v>
      </c>
      <c r="E11178">
        <v>191.09</v>
      </c>
      <c r="F11178" s="1789">
        <v>8.8999999999999996E-2</v>
      </c>
      <c r="G11178">
        <f t="shared" si="351"/>
        <v>174.08</v>
      </c>
    </row>
    <row r="11179" spans="1:7" ht="12.75" customHeight="1">
      <c r="A11179" s="3">
        <v>87620</v>
      </c>
      <c r="B11179" s="4" t="s">
        <v>11204</v>
      </c>
      <c r="C11179" s="3" t="s">
        <v>409</v>
      </c>
      <c r="D11179" s="5">
        <f t="shared" si="350"/>
        <v>29.03</v>
      </c>
      <c r="E11179">
        <v>31.87</v>
      </c>
      <c r="F11179" s="1789">
        <v>8.8999999999999996E-2</v>
      </c>
      <c r="G11179">
        <f t="shared" si="351"/>
        <v>29.03</v>
      </c>
    </row>
    <row r="11180" spans="1:7" ht="12.75" customHeight="1">
      <c r="A11180" s="3">
        <v>87622</v>
      </c>
      <c r="B11180" s="4" t="s">
        <v>11205</v>
      </c>
      <c r="C11180" s="3" t="s">
        <v>409</v>
      </c>
      <c r="D11180" s="5">
        <f t="shared" si="350"/>
        <v>32.409999999999997</v>
      </c>
      <c r="E11180">
        <v>35.58</v>
      </c>
      <c r="F11180" s="1789">
        <v>8.8999999999999996E-2</v>
      </c>
      <c r="G11180">
        <f t="shared" si="351"/>
        <v>32.409999999999997</v>
      </c>
    </row>
    <row r="11181" spans="1:7" ht="12.75" customHeight="1">
      <c r="A11181" s="3">
        <v>87623</v>
      </c>
      <c r="B11181" s="4" t="s">
        <v>11206</v>
      </c>
      <c r="C11181" s="3" t="s">
        <v>409</v>
      </c>
      <c r="D11181" s="5">
        <f t="shared" si="350"/>
        <v>92.65</v>
      </c>
      <c r="E11181">
        <v>101.71</v>
      </c>
      <c r="F11181" s="1789">
        <v>8.8999999999999996E-2</v>
      </c>
      <c r="G11181">
        <f t="shared" si="351"/>
        <v>92.65</v>
      </c>
    </row>
    <row r="11182" spans="1:7" ht="12.75" customHeight="1">
      <c r="A11182" s="3">
        <v>87624</v>
      </c>
      <c r="B11182" s="4" t="s">
        <v>11207</v>
      </c>
      <c r="C11182" s="3" t="s">
        <v>409</v>
      </c>
      <c r="D11182" s="5">
        <f t="shared" si="350"/>
        <v>99.16</v>
      </c>
      <c r="E11182">
        <v>108.85</v>
      </c>
      <c r="F11182" s="1789">
        <v>8.8999999999999996E-2</v>
      </c>
      <c r="G11182">
        <f t="shared" si="351"/>
        <v>99.16</v>
      </c>
    </row>
    <row r="11183" spans="1:7" ht="12.75" customHeight="1">
      <c r="A11183" s="3">
        <v>87630</v>
      </c>
      <c r="B11183" s="4" t="s">
        <v>11208</v>
      </c>
      <c r="C11183" s="3" t="s">
        <v>409</v>
      </c>
      <c r="D11183" s="5">
        <f t="shared" si="350"/>
        <v>37.270000000000003</v>
      </c>
      <c r="E11183">
        <v>40.92</v>
      </c>
      <c r="F11183" s="1789">
        <v>8.8999999999999996E-2</v>
      </c>
      <c r="G11183">
        <f t="shared" si="351"/>
        <v>37.270000000000003</v>
      </c>
    </row>
    <row r="11184" spans="1:7" ht="12.75" customHeight="1">
      <c r="A11184" s="3">
        <v>87632</v>
      </c>
      <c r="B11184" s="4" t="s">
        <v>11209</v>
      </c>
      <c r="C11184" s="3" t="s">
        <v>409</v>
      </c>
      <c r="D11184" s="5">
        <f t="shared" si="350"/>
        <v>41.96</v>
      </c>
      <c r="E11184">
        <v>46.07</v>
      </c>
      <c r="F11184" s="1789">
        <v>8.8999999999999996E-2</v>
      </c>
      <c r="G11184">
        <f t="shared" si="351"/>
        <v>41.96</v>
      </c>
    </row>
    <row r="11185" spans="1:7" ht="12.75" customHeight="1">
      <c r="A11185" s="3">
        <v>87633</v>
      </c>
      <c r="B11185" s="4" t="s">
        <v>11210</v>
      </c>
      <c r="C11185" s="3" t="s">
        <v>409</v>
      </c>
      <c r="D11185" s="5">
        <f t="shared" si="350"/>
        <v>125.73</v>
      </c>
      <c r="E11185">
        <v>138.02000000000001</v>
      </c>
      <c r="F11185" s="1789">
        <v>8.8999999999999996E-2</v>
      </c>
      <c r="G11185">
        <f t="shared" si="351"/>
        <v>125.73</v>
      </c>
    </row>
    <row r="11186" spans="1:7" ht="12.75" customHeight="1">
      <c r="A11186" s="3">
        <v>87634</v>
      </c>
      <c r="B11186" s="4" t="s">
        <v>11211</v>
      </c>
      <c r="C11186" s="3" t="s">
        <v>409</v>
      </c>
      <c r="D11186" s="5">
        <f t="shared" si="350"/>
        <v>134.78</v>
      </c>
      <c r="E11186">
        <v>147.94999999999999</v>
      </c>
      <c r="F11186" s="1789">
        <v>8.8999999999999996E-2</v>
      </c>
      <c r="G11186">
        <f t="shared" si="351"/>
        <v>134.78</v>
      </c>
    </row>
    <row r="11187" spans="1:7" ht="12.75" customHeight="1">
      <c r="A11187" s="3">
        <v>87640</v>
      </c>
      <c r="B11187" s="4" t="s">
        <v>11212</v>
      </c>
      <c r="C11187" s="3" t="s">
        <v>409</v>
      </c>
      <c r="D11187" s="5">
        <f t="shared" si="350"/>
        <v>44.04</v>
      </c>
      <c r="E11187">
        <v>48.35</v>
      </c>
      <c r="F11187" s="1789">
        <v>8.8999999999999996E-2</v>
      </c>
      <c r="G11187">
        <f t="shared" si="351"/>
        <v>44.04</v>
      </c>
    </row>
    <row r="11188" spans="1:7" ht="12.75" customHeight="1">
      <c r="A11188" s="3">
        <v>87642</v>
      </c>
      <c r="B11188" s="4" t="s">
        <v>11213</v>
      </c>
      <c r="C11188" s="3" t="s">
        <v>409</v>
      </c>
      <c r="D11188" s="5">
        <f t="shared" si="350"/>
        <v>49.82</v>
      </c>
      <c r="E11188">
        <v>54.69</v>
      </c>
      <c r="F11188" s="1789">
        <v>8.8999999999999996E-2</v>
      </c>
      <c r="G11188">
        <f t="shared" si="351"/>
        <v>49.82</v>
      </c>
    </row>
    <row r="11189" spans="1:7" ht="12.75" customHeight="1">
      <c r="A11189" s="3">
        <v>87643</v>
      </c>
      <c r="B11189" s="4" t="s">
        <v>11214</v>
      </c>
      <c r="C11189" s="3" t="s">
        <v>409</v>
      </c>
      <c r="D11189" s="5">
        <f t="shared" si="350"/>
        <v>152.82</v>
      </c>
      <c r="E11189">
        <v>167.76</v>
      </c>
      <c r="F11189" s="1789">
        <v>8.8999999999999996E-2</v>
      </c>
      <c r="G11189">
        <f t="shared" si="351"/>
        <v>152.82</v>
      </c>
    </row>
    <row r="11190" spans="1:7" ht="12.75" customHeight="1">
      <c r="A11190" s="3">
        <v>87644</v>
      </c>
      <c r="B11190" s="4" t="s">
        <v>11215</v>
      </c>
      <c r="C11190" s="3" t="s">
        <v>409</v>
      </c>
      <c r="D11190" s="5">
        <f t="shared" si="350"/>
        <v>163.95</v>
      </c>
      <c r="E11190">
        <v>179.97</v>
      </c>
      <c r="F11190" s="1789">
        <v>8.8999999999999996E-2</v>
      </c>
      <c r="G11190">
        <f t="shared" si="351"/>
        <v>163.95</v>
      </c>
    </row>
    <row r="11191" spans="1:7" ht="12.75" customHeight="1">
      <c r="A11191" s="3">
        <v>87680</v>
      </c>
      <c r="B11191" s="4" t="s">
        <v>11216</v>
      </c>
      <c r="C11191" s="3" t="s">
        <v>409</v>
      </c>
      <c r="D11191" s="5">
        <f t="shared" si="350"/>
        <v>39.729999999999997</v>
      </c>
      <c r="E11191">
        <v>43.62</v>
      </c>
      <c r="F11191" s="1789">
        <v>8.8999999999999996E-2</v>
      </c>
      <c r="G11191">
        <f t="shared" si="351"/>
        <v>39.729999999999997</v>
      </c>
    </row>
    <row r="11192" spans="1:7" ht="12.75" customHeight="1">
      <c r="A11192" s="3">
        <v>87682</v>
      </c>
      <c r="B11192" s="4" t="s">
        <v>11217</v>
      </c>
      <c r="C11192" s="3" t="s">
        <v>409</v>
      </c>
      <c r="D11192" s="5">
        <f t="shared" si="350"/>
        <v>45.51</v>
      </c>
      <c r="E11192">
        <v>49.96</v>
      </c>
      <c r="F11192" s="1789">
        <v>8.8999999999999996E-2</v>
      </c>
      <c r="G11192">
        <f t="shared" si="351"/>
        <v>45.51</v>
      </c>
    </row>
    <row r="11193" spans="1:7" ht="12.75" customHeight="1">
      <c r="A11193" s="3">
        <v>87683</v>
      </c>
      <c r="B11193" s="4" t="s">
        <v>11218</v>
      </c>
      <c r="C11193" s="3" t="s">
        <v>409</v>
      </c>
      <c r="D11193" s="5">
        <f t="shared" si="350"/>
        <v>148.52000000000001</v>
      </c>
      <c r="E11193">
        <v>163.03</v>
      </c>
      <c r="F11193" s="1789">
        <v>8.8999999999999996E-2</v>
      </c>
      <c r="G11193">
        <f t="shared" si="351"/>
        <v>148.52000000000001</v>
      </c>
    </row>
    <row r="11194" spans="1:7" ht="12.75" customHeight="1">
      <c r="A11194" s="3">
        <v>87684</v>
      </c>
      <c r="B11194" s="4" t="s">
        <v>11219</v>
      </c>
      <c r="C11194" s="3" t="s">
        <v>409</v>
      </c>
      <c r="D11194" s="5">
        <f t="shared" si="350"/>
        <v>159.63999999999999</v>
      </c>
      <c r="E11194">
        <v>175.24</v>
      </c>
      <c r="F11194" s="1789">
        <v>8.8999999999999996E-2</v>
      </c>
      <c r="G11194">
        <f t="shared" si="351"/>
        <v>159.63999999999999</v>
      </c>
    </row>
    <row r="11195" spans="1:7" ht="12.75" customHeight="1">
      <c r="A11195" s="3">
        <v>87690</v>
      </c>
      <c r="B11195" s="4" t="s">
        <v>11220</v>
      </c>
      <c r="C11195" s="3" t="s">
        <v>409</v>
      </c>
      <c r="D11195" s="5">
        <f t="shared" si="350"/>
        <v>45.54</v>
      </c>
      <c r="E11195">
        <v>49.99</v>
      </c>
      <c r="F11195" s="1789">
        <v>8.8999999999999996E-2</v>
      </c>
      <c r="G11195">
        <f t="shared" si="351"/>
        <v>45.54</v>
      </c>
    </row>
    <row r="11196" spans="1:7" ht="12.75" customHeight="1">
      <c r="A11196" s="3">
        <v>87692</v>
      </c>
      <c r="B11196" s="4" t="s">
        <v>11221</v>
      </c>
      <c r="C11196" s="3" t="s">
        <v>409</v>
      </c>
      <c r="D11196" s="5">
        <f t="shared" si="350"/>
        <v>52.15</v>
      </c>
      <c r="E11196">
        <v>57.25</v>
      </c>
      <c r="F11196" s="1789">
        <v>8.8999999999999996E-2</v>
      </c>
      <c r="G11196">
        <f t="shared" si="351"/>
        <v>52.15</v>
      </c>
    </row>
    <row r="11197" spans="1:7" ht="12.75" customHeight="1">
      <c r="A11197" s="3">
        <v>87693</v>
      </c>
      <c r="B11197" s="4" t="s">
        <v>11222</v>
      </c>
      <c r="C11197" s="3" t="s">
        <v>409</v>
      </c>
      <c r="D11197" s="5">
        <f t="shared" si="350"/>
        <v>170.12</v>
      </c>
      <c r="E11197">
        <v>186.75</v>
      </c>
      <c r="F11197" s="1789">
        <v>8.8999999999999996E-2</v>
      </c>
      <c r="G11197">
        <f t="shared" si="351"/>
        <v>170.12</v>
      </c>
    </row>
    <row r="11198" spans="1:7" ht="12.75" customHeight="1">
      <c r="A11198" s="3">
        <v>87694</v>
      </c>
      <c r="B11198" s="4" t="s">
        <v>11223</v>
      </c>
      <c r="C11198" s="3" t="s">
        <v>409</v>
      </c>
      <c r="D11198" s="5">
        <f t="shared" si="350"/>
        <v>182.86</v>
      </c>
      <c r="E11198">
        <v>200.73</v>
      </c>
      <c r="F11198" s="1789">
        <v>8.8999999999999996E-2</v>
      </c>
      <c r="G11198">
        <f t="shared" si="351"/>
        <v>182.86</v>
      </c>
    </row>
    <row r="11199" spans="1:7" ht="12.75" customHeight="1">
      <c r="A11199" s="3">
        <v>87700</v>
      </c>
      <c r="B11199" s="4" t="s">
        <v>11224</v>
      </c>
      <c r="C11199" s="3" t="s">
        <v>409</v>
      </c>
      <c r="D11199" s="5">
        <f t="shared" si="350"/>
        <v>49.23</v>
      </c>
      <c r="E11199">
        <v>54.04</v>
      </c>
      <c r="F11199" s="1789">
        <v>8.8999999999999996E-2</v>
      </c>
      <c r="G11199">
        <f t="shared" si="351"/>
        <v>49.23</v>
      </c>
    </row>
    <row r="11200" spans="1:7" ht="12.75" customHeight="1">
      <c r="A11200" s="3">
        <v>87702</v>
      </c>
      <c r="B11200" s="4" t="s">
        <v>11225</v>
      </c>
      <c r="C11200" s="3" t="s">
        <v>409</v>
      </c>
      <c r="D11200" s="5">
        <f t="shared" si="350"/>
        <v>56.42</v>
      </c>
      <c r="E11200">
        <v>61.94</v>
      </c>
      <c r="F11200" s="1789">
        <v>8.8999999999999996E-2</v>
      </c>
      <c r="G11200">
        <f t="shared" si="351"/>
        <v>56.42</v>
      </c>
    </row>
    <row r="11201" spans="1:7" ht="12.75" customHeight="1">
      <c r="A11201" s="3">
        <v>87703</v>
      </c>
      <c r="B11201" s="4" t="s">
        <v>11226</v>
      </c>
      <c r="C11201" s="3" t="s">
        <v>409</v>
      </c>
      <c r="D11201" s="5">
        <f t="shared" si="350"/>
        <v>184.89</v>
      </c>
      <c r="E11201">
        <v>202.96</v>
      </c>
      <c r="F11201" s="1789">
        <v>8.8999999999999996E-2</v>
      </c>
      <c r="G11201">
        <f t="shared" si="351"/>
        <v>184.89</v>
      </c>
    </row>
    <row r="11202" spans="1:7" ht="12.75" customHeight="1">
      <c r="A11202" s="3">
        <v>87704</v>
      </c>
      <c r="B11202" s="4" t="s">
        <v>11227</v>
      </c>
      <c r="C11202" s="3" t="s">
        <v>409</v>
      </c>
      <c r="D11202" s="5">
        <f t="shared" si="350"/>
        <v>198.76</v>
      </c>
      <c r="E11202">
        <v>218.18</v>
      </c>
      <c r="F11202" s="1789">
        <v>8.8999999999999996E-2</v>
      </c>
      <c r="G11202">
        <f t="shared" si="351"/>
        <v>198.76</v>
      </c>
    </row>
    <row r="11203" spans="1:7" ht="12.75" customHeight="1">
      <c r="A11203" s="3">
        <v>87735</v>
      </c>
      <c r="B11203" s="4" t="s">
        <v>11228</v>
      </c>
      <c r="C11203" s="3" t="s">
        <v>409</v>
      </c>
      <c r="D11203" s="5">
        <f t="shared" si="350"/>
        <v>39.299999999999997</v>
      </c>
      <c r="E11203">
        <v>43.15</v>
      </c>
      <c r="F11203" s="1789">
        <v>8.8999999999999996E-2</v>
      </c>
      <c r="G11203">
        <f t="shared" si="351"/>
        <v>39.299999999999997</v>
      </c>
    </row>
    <row r="11204" spans="1:7" ht="12.75" customHeight="1">
      <c r="A11204" s="3">
        <v>87737</v>
      </c>
      <c r="B11204" s="4" t="s">
        <v>11229</v>
      </c>
      <c r="C11204" s="3" t="s">
        <v>409</v>
      </c>
      <c r="D11204" s="5">
        <f t="shared" si="350"/>
        <v>42.68</v>
      </c>
      <c r="E11204">
        <v>46.86</v>
      </c>
      <c r="F11204" s="1789">
        <v>8.8999999999999996E-2</v>
      </c>
      <c r="G11204">
        <f t="shared" si="351"/>
        <v>42.68</v>
      </c>
    </row>
    <row r="11205" spans="1:7" ht="12.75" customHeight="1">
      <c r="A11205" s="3">
        <v>87738</v>
      </c>
      <c r="B11205" s="4" t="s">
        <v>11230</v>
      </c>
      <c r="C11205" s="3" t="s">
        <v>409</v>
      </c>
      <c r="D11205" s="5">
        <f t="shared" si="350"/>
        <v>102.93</v>
      </c>
      <c r="E11205">
        <v>112.99</v>
      </c>
      <c r="F11205" s="1789">
        <v>8.8999999999999996E-2</v>
      </c>
      <c r="G11205">
        <f t="shared" si="351"/>
        <v>102.93</v>
      </c>
    </row>
    <row r="11206" spans="1:7" ht="12.75" customHeight="1">
      <c r="A11206" s="3">
        <v>87739</v>
      </c>
      <c r="B11206" s="4" t="s">
        <v>11231</v>
      </c>
      <c r="C11206" s="3" t="s">
        <v>409</v>
      </c>
      <c r="D11206" s="5">
        <f t="shared" si="350"/>
        <v>109.43</v>
      </c>
      <c r="E11206">
        <v>120.13</v>
      </c>
      <c r="F11206" s="1789">
        <v>8.8999999999999996E-2</v>
      </c>
      <c r="G11206">
        <f t="shared" si="351"/>
        <v>109.43</v>
      </c>
    </row>
    <row r="11207" spans="1:7" ht="12.75" customHeight="1">
      <c r="A11207" s="3">
        <v>87745</v>
      </c>
      <c r="B11207" s="4" t="s">
        <v>11232</v>
      </c>
      <c r="C11207" s="3" t="s">
        <v>409</v>
      </c>
      <c r="D11207" s="5">
        <f t="shared" si="350"/>
        <v>47.56</v>
      </c>
      <c r="E11207">
        <v>52.21</v>
      </c>
      <c r="F11207" s="1789">
        <v>8.8999999999999996E-2</v>
      </c>
      <c r="G11207">
        <f t="shared" si="351"/>
        <v>47.56</v>
      </c>
    </row>
    <row r="11208" spans="1:7" ht="12.75" customHeight="1">
      <c r="A11208" s="3">
        <v>87747</v>
      </c>
      <c r="B11208" s="4" t="s">
        <v>11233</v>
      </c>
      <c r="C11208" s="3" t="s">
        <v>409</v>
      </c>
      <c r="D11208" s="5">
        <f t="shared" si="350"/>
        <v>52.25</v>
      </c>
      <c r="E11208">
        <v>57.36</v>
      </c>
      <c r="F11208" s="1789">
        <v>8.8999999999999996E-2</v>
      </c>
      <c r="G11208">
        <f t="shared" si="351"/>
        <v>52.25</v>
      </c>
    </row>
    <row r="11209" spans="1:7" ht="12.75" customHeight="1">
      <c r="A11209" s="3">
        <v>87748</v>
      </c>
      <c r="B11209" s="4" t="s">
        <v>11234</v>
      </c>
      <c r="C11209" s="3" t="s">
        <v>409</v>
      </c>
      <c r="D11209" s="5">
        <f t="shared" si="350"/>
        <v>136.02000000000001</v>
      </c>
      <c r="E11209">
        <v>149.31</v>
      </c>
      <c r="F11209" s="1789">
        <v>8.8999999999999996E-2</v>
      </c>
      <c r="G11209">
        <f t="shared" si="351"/>
        <v>136.02000000000001</v>
      </c>
    </row>
    <row r="11210" spans="1:7" ht="12.75" customHeight="1">
      <c r="A11210" s="3">
        <v>87749</v>
      </c>
      <c r="B11210" s="4" t="s">
        <v>11235</v>
      </c>
      <c r="C11210" s="3" t="s">
        <v>409</v>
      </c>
      <c r="D11210" s="5">
        <f t="shared" si="350"/>
        <v>145.06</v>
      </c>
      <c r="E11210">
        <v>159.24</v>
      </c>
      <c r="F11210" s="1789">
        <v>8.8999999999999996E-2</v>
      </c>
      <c r="G11210">
        <f t="shared" si="351"/>
        <v>145.06</v>
      </c>
    </row>
    <row r="11211" spans="1:7" ht="12.75" customHeight="1">
      <c r="A11211" s="3">
        <v>87755</v>
      </c>
      <c r="B11211" s="4" t="s">
        <v>11236</v>
      </c>
      <c r="C11211" s="3" t="s">
        <v>409</v>
      </c>
      <c r="D11211" s="5">
        <f t="shared" si="350"/>
        <v>45.31</v>
      </c>
      <c r="E11211">
        <v>49.74</v>
      </c>
      <c r="F11211" s="1789">
        <v>8.8999999999999996E-2</v>
      </c>
      <c r="G11211">
        <f t="shared" si="351"/>
        <v>45.31</v>
      </c>
    </row>
    <row r="11212" spans="1:7" ht="12.75" customHeight="1">
      <c r="A11212" s="3">
        <v>87757</v>
      </c>
      <c r="B11212" s="4" t="s">
        <v>11237</v>
      </c>
      <c r="C11212" s="3" t="s">
        <v>409</v>
      </c>
      <c r="D11212" s="5">
        <f t="shared" si="350"/>
        <v>50</v>
      </c>
      <c r="E11212">
        <v>54.89</v>
      </c>
      <c r="F11212" s="1789">
        <v>8.8999999999999996E-2</v>
      </c>
      <c r="G11212">
        <f t="shared" si="351"/>
        <v>50</v>
      </c>
    </row>
    <row r="11213" spans="1:7" ht="12.75" customHeight="1">
      <c r="A11213" s="3">
        <v>87758</v>
      </c>
      <c r="B11213" s="4" t="s">
        <v>11238</v>
      </c>
      <c r="C11213" s="3" t="s">
        <v>409</v>
      </c>
      <c r="D11213" s="5">
        <f t="shared" si="350"/>
        <v>133.77000000000001</v>
      </c>
      <c r="E11213">
        <v>146.84</v>
      </c>
      <c r="F11213" s="1789">
        <v>8.8999999999999996E-2</v>
      </c>
      <c r="G11213">
        <f t="shared" si="351"/>
        <v>133.77000000000001</v>
      </c>
    </row>
    <row r="11214" spans="1:7" ht="12.75" customHeight="1">
      <c r="A11214" s="3">
        <v>87759</v>
      </c>
      <c r="B11214" s="4" t="s">
        <v>11239</v>
      </c>
      <c r="C11214" s="3" t="s">
        <v>409</v>
      </c>
      <c r="D11214" s="5">
        <f t="shared" si="350"/>
        <v>142.81</v>
      </c>
      <c r="E11214">
        <v>156.77000000000001</v>
      </c>
      <c r="F11214" s="1789">
        <v>8.8999999999999996E-2</v>
      </c>
      <c r="G11214">
        <f t="shared" si="351"/>
        <v>142.81</v>
      </c>
    </row>
    <row r="11215" spans="1:7" ht="12.75" customHeight="1">
      <c r="A11215" s="3">
        <v>87765</v>
      </c>
      <c r="B11215" s="4" t="s">
        <v>11240</v>
      </c>
      <c r="C11215" s="3" t="s">
        <v>409</v>
      </c>
      <c r="D11215" s="5">
        <f t="shared" si="350"/>
        <v>52.1</v>
      </c>
      <c r="E11215">
        <v>57.2</v>
      </c>
      <c r="F11215" s="1789">
        <v>8.8999999999999996E-2</v>
      </c>
      <c r="G11215">
        <f t="shared" si="351"/>
        <v>52.1</v>
      </c>
    </row>
    <row r="11216" spans="1:7" ht="12.75" customHeight="1">
      <c r="A11216" s="3">
        <v>87767</v>
      </c>
      <c r="B11216" s="4" t="s">
        <v>11241</v>
      </c>
      <c r="C11216" s="3" t="s">
        <v>409</v>
      </c>
      <c r="D11216" s="5">
        <f t="shared" si="350"/>
        <v>57.88</v>
      </c>
      <c r="E11216">
        <v>63.54</v>
      </c>
      <c r="F11216" s="1789">
        <v>8.8999999999999996E-2</v>
      </c>
      <c r="G11216">
        <f t="shared" si="351"/>
        <v>57.88</v>
      </c>
    </row>
    <row r="11217" spans="1:7" ht="12.75" customHeight="1">
      <c r="A11217" s="3">
        <v>87768</v>
      </c>
      <c r="B11217" s="4" t="s">
        <v>11242</v>
      </c>
      <c r="C11217" s="3" t="s">
        <v>409</v>
      </c>
      <c r="D11217" s="5">
        <f t="shared" si="350"/>
        <v>160.88999999999999</v>
      </c>
      <c r="E11217">
        <v>176.61</v>
      </c>
      <c r="F11217" s="1789">
        <v>8.8999999999999996E-2</v>
      </c>
      <c r="G11217">
        <f t="shared" si="351"/>
        <v>160.88999999999999</v>
      </c>
    </row>
    <row r="11218" spans="1:7" ht="12.75" customHeight="1">
      <c r="A11218" s="3">
        <v>87769</v>
      </c>
      <c r="B11218" s="4" t="s">
        <v>11243</v>
      </c>
      <c r="C11218" s="3" t="s">
        <v>409</v>
      </c>
      <c r="D11218" s="5">
        <f t="shared" si="350"/>
        <v>172.01</v>
      </c>
      <c r="E11218">
        <v>188.82</v>
      </c>
      <c r="F11218" s="1789">
        <v>8.8999999999999996E-2</v>
      </c>
      <c r="G11218">
        <f t="shared" si="351"/>
        <v>172.01</v>
      </c>
    </row>
    <row r="11219" spans="1:7" ht="12.75" customHeight="1">
      <c r="A11219" s="3">
        <v>88470</v>
      </c>
      <c r="B11219" s="4" t="s">
        <v>11244</v>
      </c>
      <c r="C11219" s="3" t="s">
        <v>409</v>
      </c>
      <c r="D11219" s="5">
        <f t="shared" si="350"/>
        <v>31.55</v>
      </c>
      <c r="E11219">
        <v>34.64</v>
      </c>
      <c r="F11219" s="1789">
        <v>8.8999999999999996E-2</v>
      </c>
      <c r="G11219">
        <f t="shared" si="351"/>
        <v>31.55</v>
      </c>
    </row>
    <row r="11220" spans="1:7" ht="12.75" customHeight="1">
      <c r="A11220" s="3">
        <v>88471</v>
      </c>
      <c r="B11220" s="4" t="s">
        <v>11245</v>
      </c>
      <c r="C11220" s="3" t="s">
        <v>409</v>
      </c>
      <c r="D11220" s="5">
        <f t="shared" si="350"/>
        <v>39.299999999999997</v>
      </c>
      <c r="E11220">
        <v>43.14</v>
      </c>
      <c r="F11220" s="1789">
        <v>8.8999999999999996E-2</v>
      </c>
      <c r="G11220">
        <f t="shared" si="351"/>
        <v>39.299999999999997</v>
      </c>
    </row>
    <row r="11221" spans="1:7" ht="12.75" customHeight="1">
      <c r="A11221" s="3">
        <v>88472</v>
      </c>
      <c r="B11221" s="4" t="s">
        <v>11246</v>
      </c>
      <c r="C11221" s="3" t="s">
        <v>409</v>
      </c>
      <c r="D11221" s="5">
        <f t="shared" ref="D11221:D11284" si="352">G11221</f>
        <v>45.47</v>
      </c>
      <c r="E11221">
        <v>49.92</v>
      </c>
      <c r="F11221" s="1789">
        <v>8.8999999999999996E-2</v>
      </c>
      <c r="G11221">
        <f t="shared" ref="G11221:G11284" si="353">TRUNC((1-F11221)*E11221,2)</f>
        <v>45.47</v>
      </c>
    </row>
    <row r="11222" spans="1:7" ht="12.75" customHeight="1">
      <c r="A11222" s="3">
        <v>88476</v>
      </c>
      <c r="B11222" s="4" t="s">
        <v>11247</v>
      </c>
      <c r="C11222" s="3" t="s">
        <v>409</v>
      </c>
      <c r="D11222" s="5">
        <f t="shared" si="352"/>
        <v>25.67</v>
      </c>
      <c r="E11222">
        <v>28.18</v>
      </c>
      <c r="F11222" s="1789">
        <v>8.8999999999999996E-2</v>
      </c>
      <c r="G11222">
        <f t="shared" si="353"/>
        <v>25.67</v>
      </c>
    </row>
    <row r="11223" spans="1:7" ht="12.75" customHeight="1">
      <c r="A11223" s="3">
        <v>88477</v>
      </c>
      <c r="B11223" s="4" t="s">
        <v>11248</v>
      </c>
      <c r="C11223" s="3" t="s">
        <v>409</v>
      </c>
      <c r="D11223" s="5">
        <f t="shared" si="352"/>
        <v>35.270000000000003</v>
      </c>
      <c r="E11223">
        <v>38.72</v>
      </c>
      <c r="F11223" s="1789">
        <v>8.8999999999999996E-2</v>
      </c>
      <c r="G11223">
        <f t="shared" si="353"/>
        <v>35.270000000000003</v>
      </c>
    </row>
    <row r="11224" spans="1:7" ht="12.75" customHeight="1">
      <c r="A11224" s="3">
        <v>88478</v>
      </c>
      <c r="B11224" s="4" t="s">
        <v>11249</v>
      </c>
      <c r="C11224" s="3" t="s">
        <v>409</v>
      </c>
      <c r="D11224" s="5">
        <f t="shared" si="352"/>
        <v>43.21</v>
      </c>
      <c r="E11224">
        <v>47.44</v>
      </c>
      <c r="F11224" s="1789">
        <v>8.8999999999999996E-2</v>
      </c>
      <c r="G11224">
        <f t="shared" si="353"/>
        <v>43.21</v>
      </c>
    </row>
    <row r="11225" spans="1:7" ht="12.75" customHeight="1">
      <c r="A11225" s="3">
        <v>90930</v>
      </c>
      <c r="B11225" s="4" t="s">
        <v>11250</v>
      </c>
      <c r="C11225" s="3" t="s">
        <v>409</v>
      </c>
      <c r="D11225" s="5">
        <f t="shared" si="352"/>
        <v>73.400000000000006</v>
      </c>
      <c r="E11225">
        <v>80.58</v>
      </c>
      <c r="F11225" s="1789">
        <v>8.8999999999999996E-2</v>
      </c>
      <c r="G11225">
        <f t="shared" si="353"/>
        <v>73.400000000000006</v>
      </c>
    </row>
    <row r="11226" spans="1:7" ht="12.75" customHeight="1">
      <c r="A11226" s="3">
        <v>90932</v>
      </c>
      <c r="B11226" s="4" t="s">
        <v>11251</v>
      </c>
      <c r="C11226" s="3" t="s">
        <v>409</v>
      </c>
      <c r="D11226" s="5">
        <f t="shared" si="352"/>
        <v>80.02</v>
      </c>
      <c r="E11226">
        <v>87.84</v>
      </c>
      <c r="F11226" s="1789">
        <v>8.8999999999999996E-2</v>
      </c>
      <c r="G11226">
        <f t="shared" si="353"/>
        <v>80.02</v>
      </c>
    </row>
    <row r="11227" spans="1:7" ht="12.75" customHeight="1">
      <c r="A11227" s="3">
        <v>90933</v>
      </c>
      <c r="B11227" s="4" t="s">
        <v>11252</v>
      </c>
      <c r="C11227" s="3" t="s">
        <v>409</v>
      </c>
      <c r="D11227" s="5">
        <f t="shared" si="352"/>
        <v>197.99</v>
      </c>
      <c r="E11227">
        <v>217.34</v>
      </c>
      <c r="F11227" s="1789">
        <v>8.8999999999999996E-2</v>
      </c>
      <c r="G11227">
        <f t="shared" si="353"/>
        <v>197.99</v>
      </c>
    </row>
    <row r="11228" spans="1:7" ht="12.75" customHeight="1">
      <c r="A11228" s="3">
        <v>90934</v>
      </c>
      <c r="B11228" s="4" t="s">
        <v>11253</v>
      </c>
      <c r="C11228" s="3" t="s">
        <v>409</v>
      </c>
      <c r="D11228" s="5">
        <f t="shared" si="352"/>
        <v>210.73</v>
      </c>
      <c r="E11228">
        <v>231.32</v>
      </c>
      <c r="F11228" s="1789">
        <v>8.8999999999999996E-2</v>
      </c>
      <c r="G11228">
        <f t="shared" si="353"/>
        <v>210.73</v>
      </c>
    </row>
    <row r="11229" spans="1:7" ht="12.75" customHeight="1">
      <c r="A11229" s="3">
        <v>90940</v>
      </c>
      <c r="B11229" s="4" t="s">
        <v>11254</v>
      </c>
      <c r="C11229" s="3" t="s">
        <v>409</v>
      </c>
      <c r="D11229" s="5">
        <f t="shared" si="352"/>
        <v>78.2</v>
      </c>
      <c r="E11229">
        <v>85.85</v>
      </c>
      <c r="F11229" s="1789">
        <v>8.8999999999999996E-2</v>
      </c>
      <c r="G11229">
        <f t="shared" si="353"/>
        <v>78.2</v>
      </c>
    </row>
    <row r="11230" spans="1:7" ht="12.75" customHeight="1">
      <c r="A11230" s="3">
        <v>90942</v>
      </c>
      <c r="B11230" s="4" t="s">
        <v>11255</v>
      </c>
      <c r="C11230" s="3" t="s">
        <v>409</v>
      </c>
      <c r="D11230" s="5">
        <f t="shared" si="352"/>
        <v>85.4</v>
      </c>
      <c r="E11230">
        <v>93.75</v>
      </c>
      <c r="F11230" s="1789">
        <v>8.8999999999999996E-2</v>
      </c>
      <c r="G11230">
        <f t="shared" si="353"/>
        <v>85.4</v>
      </c>
    </row>
    <row r="11231" spans="1:7" ht="12.75" customHeight="1">
      <c r="A11231" s="3">
        <v>90943</v>
      </c>
      <c r="B11231" s="4" t="s">
        <v>11256</v>
      </c>
      <c r="C11231" s="3" t="s">
        <v>409</v>
      </c>
      <c r="D11231" s="5">
        <f t="shared" si="352"/>
        <v>213.87</v>
      </c>
      <c r="E11231">
        <v>234.77</v>
      </c>
      <c r="F11231" s="1789">
        <v>8.8999999999999996E-2</v>
      </c>
      <c r="G11231">
        <f t="shared" si="353"/>
        <v>213.87</v>
      </c>
    </row>
    <row r="11232" spans="1:7" ht="12.75" customHeight="1">
      <c r="A11232" s="3">
        <v>90944</v>
      </c>
      <c r="B11232" s="4" t="s">
        <v>11257</v>
      </c>
      <c r="C11232" s="3" t="s">
        <v>409</v>
      </c>
      <c r="D11232" s="5">
        <f t="shared" si="352"/>
        <v>227.74</v>
      </c>
      <c r="E11232">
        <v>249.99</v>
      </c>
      <c r="F11232" s="1789">
        <v>8.8999999999999996E-2</v>
      </c>
      <c r="G11232">
        <f t="shared" si="353"/>
        <v>227.74</v>
      </c>
    </row>
    <row r="11233" spans="1:7" ht="12.75" customHeight="1">
      <c r="A11233" s="3">
        <v>90950</v>
      </c>
      <c r="B11233" s="4" t="s">
        <v>11258</v>
      </c>
      <c r="C11233" s="3" t="s">
        <v>409</v>
      </c>
      <c r="D11233" s="5">
        <f t="shared" si="352"/>
        <v>86.96</v>
      </c>
      <c r="E11233">
        <v>95.46</v>
      </c>
      <c r="F11233" s="1789">
        <v>8.8999999999999996E-2</v>
      </c>
      <c r="G11233">
        <f t="shared" si="353"/>
        <v>86.96</v>
      </c>
    </row>
    <row r="11234" spans="1:7" ht="12.75" customHeight="1">
      <c r="A11234" s="3">
        <v>90952</v>
      </c>
      <c r="B11234" s="4" t="s">
        <v>11259</v>
      </c>
      <c r="C11234" s="3" t="s">
        <v>409</v>
      </c>
      <c r="D11234" s="5">
        <f t="shared" si="352"/>
        <v>95.24</v>
      </c>
      <c r="E11234">
        <v>104.55</v>
      </c>
      <c r="F11234" s="1789">
        <v>8.8999999999999996E-2</v>
      </c>
      <c r="G11234">
        <f t="shared" si="353"/>
        <v>95.24</v>
      </c>
    </row>
    <row r="11235" spans="1:7" ht="12.75" customHeight="1">
      <c r="A11235" s="3">
        <v>90953</v>
      </c>
      <c r="B11235" s="4" t="s">
        <v>11260</v>
      </c>
      <c r="C11235" s="3" t="s">
        <v>409</v>
      </c>
      <c r="D11235" s="5">
        <f t="shared" si="352"/>
        <v>242.95</v>
      </c>
      <c r="E11235">
        <v>266.69</v>
      </c>
      <c r="F11235" s="1789">
        <v>8.8999999999999996E-2</v>
      </c>
      <c r="G11235">
        <f t="shared" si="353"/>
        <v>242.95</v>
      </c>
    </row>
    <row r="11236" spans="1:7" ht="12.75" customHeight="1">
      <c r="A11236" s="3">
        <v>90954</v>
      </c>
      <c r="B11236" s="4" t="s">
        <v>11261</v>
      </c>
      <c r="C11236" s="3" t="s">
        <v>409</v>
      </c>
      <c r="D11236" s="5">
        <f t="shared" si="352"/>
        <v>258.89</v>
      </c>
      <c r="E11236">
        <v>284.19</v>
      </c>
      <c r="F11236" s="1789">
        <v>8.8999999999999996E-2</v>
      </c>
      <c r="G11236">
        <f t="shared" si="353"/>
        <v>258.89</v>
      </c>
    </row>
    <row r="11237" spans="1:7" ht="12.75" customHeight="1">
      <c r="A11237" s="3">
        <v>102803</v>
      </c>
      <c r="B11237" s="4" t="s">
        <v>11262</v>
      </c>
      <c r="C11237" s="3" t="s">
        <v>409</v>
      </c>
      <c r="D11237" s="5">
        <f t="shared" si="352"/>
        <v>2.0499999999999998</v>
      </c>
      <c r="E11237">
        <v>2.2599999999999998</v>
      </c>
      <c r="F11237" s="1789">
        <v>8.8999999999999996E-2</v>
      </c>
      <c r="G11237">
        <f t="shared" si="353"/>
        <v>2.0499999999999998</v>
      </c>
    </row>
    <row r="11238" spans="1:7" ht="12.75" customHeight="1">
      <c r="A11238" s="3">
        <v>101742</v>
      </c>
      <c r="B11238" s="4" t="s">
        <v>11263</v>
      </c>
      <c r="C11238" s="3" t="s">
        <v>50</v>
      </c>
      <c r="D11238" s="5">
        <f t="shared" si="352"/>
        <v>55.74</v>
      </c>
      <c r="E11238">
        <v>61.19</v>
      </c>
      <c r="F11238" s="1789">
        <v>8.8999999999999996E-2</v>
      </c>
      <c r="G11238">
        <f t="shared" si="353"/>
        <v>55.74</v>
      </c>
    </row>
    <row r="11239" spans="1:7" ht="12.75" customHeight="1">
      <c r="A11239" s="3">
        <v>87878</v>
      </c>
      <c r="B11239" s="4" t="s">
        <v>11264</v>
      </c>
      <c r="C11239" s="3" t="s">
        <v>409</v>
      </c>
      <c r="D11239" s="5">
        <f t="shared" si="352"/>
        <v>4.3899999999999997</v>
      </c>
      <c r="E11239">
        <v>4.82</v>
      </c>
      <c r="F11239" s="1789">
        <v>8.8999999999999996E-2</v>
      </c>
      <c r="G11239">
        <f t="shared" si="353"/>
        <v>4.3899999999999997</v>
      </c>
    </row>
    <row r="11240" spans="1:7" ht="12.75" customHeight="1">
      <c r="A11240" s="3">
        <v>87879</v>
      </c>
      <c r="B11240" s="4" t="s">
        <v>11265</v>
      </c>
      <c r="C11240" s="3" t="s">
        <v>409</v>
      </c>
      <c r="D11240" s="5">
        <f t="shared" si="352"/>
        <v>3.95</v>
      </c>
      <c r="E11240">
        <v>4.34</v>
      </c>
      <c r="F11240" s="1789">
        <v>8.8999999999999996E-2</v>
      </c>
      <c r="G11240">
        <f t="shared" si="353"/>
        <v>3.95</v>
      </c>
    </row>
    <row r="11241" spans="1:7" ht="12.75" customHeight="1">
      <c r="A11241" s="3">
        <v>87881</v>
      </c>
      <c r="B11241" s="4" t="s">
        <v>11266</v>
      </c>
      <c r="C11241" s="3" t="s">
        <v>409</v>
      </c>
      <c r="D11241" s="5">
        <f t="shared" si="352"/>
        <v>6.17</v>
      </c>
      <c r="E11241">
        <v>6.78</v>
      </c>
      <c r="F11241" s="1789">
        <v>8.8999999999999996E-2</v>
      </c>
      <c r="G11241">
        <f t="shared" si="353"/>
        <v>6.17</v>
      </c>
    </row>
    <row r="11242" spans="1:7" ht="12.75" customHeight="1">
      <c r="A11242" s="3">
        <v>87882</v>
      </c>
      <c r="B11242" s="4" t="s">
        <v>11267</v>
      </c>
      <c r="C11242" s="3" t="s">
        <v>409</v>
      </c>
      <c r="D11242" s="5">
        <f t="shared" si="352"/>
        <v>6.02</v>
      </c>
      <c r="E11242">
        <v>6.61</v>
      </c>
      <c r="F11242" s="1789">
        <v>8.8999999999999996E-2</v>
      </c>
      <c r="G11242">
        <f t="shared" si="353"/>
        <v>6.02</v>
      </c>
    </row>
    <row r="11243" spans="1:7" ht="12.75" customHeight="1">
      <c r="A11243" s="3">
        <v>87884</v>
      </c>
      <c r="B11243" s="4" t="s">
        <v>11268</v>
      </c>
      <c r="C11243" s="3" t="s">
        <v>409</v>
      </c>
      <c r="D11243" s="5">
        <f t="shared" si="352"/>
        <v>12.34</v>
      </c>
      <c r="E11243">
        <v>13.55</v>
      </c>
      <c r="F11243" s="1789">
        <v>8.8999999999999996E-2</v>
      </c>
      <c r="G11243">
        <f t="shared" si="353"/>
        <v>12.34</v>
      </c>
    </row>
    <row r="11244" spans="1:7" ht="12.75" customHeight="1">
      <c r="A11244" s="3">
        <v>87885</v>
      </c>
      <c r="B11244" s="4" t="s">
        <v>11269</v>
      </c>
      <c r="C11244" s="3" t="s">
        <v>409</v>
      </c>
      <c r="D11244" s="5">
        <f t="shared" si="352"/>
        <v>11.97</v>
      </c>
      <c r="E11244">
        <v>13.14</v>
      </c>
      <c r="F11244" s="1789">
        <v>8.8999999999999996E-2</v>
      </c>
      <c r="G11244">
        <f t="shared" si="353"/>
        <v>11.97</v>
      </c>
    </row>
    <row r="11245" spans="1:7" ht="12.75" customHeight="1">
      <c r="A11245" s="3">
        <v>87886</v>
      </c>
      <c r="B11245" s="4" t="s">
        <v>11270</v>
      </c>
      <c r="C11245" s="3" t="s">
        <v>409</v>
      </c>
      <c r="D11245" s="5">
        <f t="shared" si="352"/>
        <v>20.03</v>
      </c>
      <c r="E11245">
        <v>21.99</v>
      </c>
      <c r="F11245" s="1789">
        <v>8.8999999999999996E-2</v>
      </c>
      <c r="G11245">
        <f t="shared" si="353"/>
        <v>20.03</v>
      </c>
    </row>
    <row r="11246" spans="1:7" ht="12.75" customHeight="1">
      <c r="A11246" s="3">
        <v>87887</v>
      </c>
      <c r="B11246" s="4" t="s">
        <v>11271</v>
      </c>
      <c r="C11246" s="3" t="s">
        <v>409</v>
      </c>
      <c r="D11246" s="5">
        <f t="shared" si="352"/>
        <v>19.25</v>
      </c>
      <c r="E11246">
        <v>21.14</v>
      </c>
      <c r="F11246" s="1789">
        <v>8.8999999999999996E-2</v>
      </c>
      <c r="G11246">
        <f t="shared" si="353"/>
        <v>19.25</v>
      </c>
    </row>
    <row r="11247" spans="1:7" ht="12.75" customHeight="1">
      <c r="A11247" s="3">
        <v>87888</v>
      </c>
      <c r="B11247" s="4" t="s">
        <v>11272</v>
      </c>
      <c r="C11247" s="3" t="s">
        <v>409</v>
      </c>
      <c r="D11247" s="5">
        <f t="shared" si="352"/>
        <v>7.56</v>
      </c>
      <c r="E11247">
        <v>8.3000000000000007</v>
      </c>
      <c r="F11247" s="1789">
        <v>8.8999999999999996E-2</v>
      </c>
      <c r="G11247">
        <f t="shared" si="353"/>
        <v>7.56</v>
      </c>
    </row>
    <row r="11248" spans="1:7" ht="12.75" customHeight="1">
      <c r="A11248" s="3">
        <v>87889</v>
      </c>
      <c r="B11248" s="4" t="s">
        <v>11273</v>
      </c>
      <c r="C11248" s="3" t="s">
        <v>409</v>
      </c>
      <c r="D11248" s="5">
        <f t="shared" si="352"/>
        <v>7.4</v>
      </c>
      <c r="E11248">
        <v>8.1300000000000008</v>
      </c>
      <c r="F11248" s="1789">
        <v>8.8999999999999996E-2</v>
      </c>
      <c r="G11248">
        <f t="shared" si="353"/>
        <v>7.4</v>
      </c>
    </row>
    <row r="11249" spans="1:7" ht="12.75" customHeight="1">
      <c r="A11249" s="3">
        <v>87891</v>
      </c>
      <c r="B11249" s="4" t="s">
        <v>11274</v>
      </c>
      <c r="C11249" s="3" t="s">
        <v>409</v>
      </c>
      <c r="D11249" s="5">
        <f t="shared" si="352"/>
        <v>13.72</v>
      </c>
      <c r="E11249">
        <v>15.07</v>
      </c>
      <c r="F11249" s="1789">
        <v>8.8999999999999996E-2</v>
      </c>
      <c r="G11249">
        <f t="shared" si="353"/>
        <v>13.72</v>
      </c>
    </row>
    <row r="11250" spans="1:7" ht="12.75" customHeight="1">
      <c r="A11250" s="3">
        <v>87892</v>
      </c>
      <c r="B11250" s="4" t="s">
        <v>11275</v>
      </c>
      <c r="C11250" s="3" t="s">
        <v>409</v>
      </c>
      <c r="D11250" s="5">
        <f t="shared" si="352"/>
        <v>13.35</v>
      </c>
      <c r="E11250">
        <v>14.66</v>
      </c>
      <c r="F11250" s="1789">
        <v>8.8999999999999996E-2</v>
      </c>
      <c r="G11250">
        <f t="shared" si="353"/>
        <v>13.35</v>
      </c>
    </row>
    <row r="11251" spans="1:7" ht="12.75" customHeight="1">
      <c r="A11251" s="3">
        <v>87893</v>
      </c>
      <c r="B11251" s="4" t="s">
        <v>11276</v>
      </c>
      <c r="C11251" s="3" t="s">
        <v>409</v>
      </c>
      <c r="D11251" s="5">
        <f t="shared" si="352"/>
        <v>6.44</v>
      </c>
      <c r="E11251">
        <v>7.08</v>
      </c>
      <c r="F11251" s="1789">
        <v>8.8999999999999996E-2</v>
      </c>
      <c r="G11251">
        <f t="shared" si="353"/>
        <v>6.44</v>
      </c>
    </row>
    <row r="11252" spans="1:7" ht="12.75" customHeight="1">
      <c r="A11252" s="3">
        <v>87894</v>
      </c>
      <c r="B11252" s="4" t="s">
        <v>11277</v>
      </c>
      <c r="C11252" s="3" t="s">
        <v>409</v>
      </c>
      <c r="D11252" s="5">
        <f t="shared" si="352"/>
        <v>6.01</v>
      </c>
      <c r="E11252">
        <v>6.6</v>
      </c>
      <c r="F11252" s="1789">
        <v>8.8999999999999996E-2</v>
      </c>
      <c r="G11252">
        <f t="shared" si="353"/>
        <v>6.01</v>
      </c>
    </row>
    <row r="11253" spans="1:7" ht="12.75" customHeight="1">
      <c r="A11253" s="3">
        <v>87896</v>
      </c>
      <c r="B11253" s="4" t="s">
        <v>11278</v>
      </c>
      <c r="C11253" s="3" t="s">
        <v>409</v>
      </c>
      <c r="D11253" s="5">
        <f t="shared" si="352"/>
        <v>5.01</v>
      </c>
      <c r="E11253">
        <v>5.51</v>
      </c>
      <c r="F11253" s="1789">
        <v>8.8999999999999996E-2</v>
      </c>
      <c r="G11253">
        <f t="shared" si="353"/>
        <v>5.01</v>
      </c>
    </row>
    <row r="11254" spans="1:7" ht="12.75" customHeight="1">
      <c r="A11254" s="3">
        <v>87897</v>
      </c>
      <c r="B11254" s="4" t="s">
        <v>11279</v>
      </c>
      <c r="C11254" s="3" t="s">
        <v>409</v>
      </c>
      <c r="D11254" s="5">
        <f t="shared" si="352"/>
        <v>4.58</v>
      </c>
      <c r="E11254">
        <v>5.03</v>
      </c>
      <c r="F11254" s="1789">
        <v>8.8999999999999996E-2</v>
      </c>
      <c r="G11254">
        <f t="shared" si="353"/>
        <v>4.58</v>
      </c>
    </row>
    <row r="11255" spans="1:7" ht="12.75" customHeight="1">
      <c r="A11255" s="3">
        <v>87899</v>
      </c>
      <c r="B11255" s="4" t="s">
        <v>11280</v>
      </c>
      <c r="C11255" s="3" t="s">
        <v>409</v>
      </c>
      <c r="D11255" s="5">
        <f t="shared" si="352"/>
        <v>8.17</v>
      </c>
      <c r="E11255">
        <v>8.9700000000000006</v>
      </c>
      <c r="F11255" s="1789">
        <v>8.8999999999999996E-2</v>
      </c>
      <c r="G11255">
        <f t="shared" si="353"/>
        <v>8.17</v>
      </c>
    </row>
    <row r="11256" spans="1:7" ht="12.75" customHeight="1">
      <c r="A11256" s="3">
        <v>87900</v>
      </c>
      <c r="B11256" s="4" t="s">
        <v>11281</v>
      </c>
      <c r="C11256" s="3" t="s">
        <v>409</v>
      </c>
      <c r="D11256" s="5">
        <f t="shared" si="352"/>
        <v>8.01</v>
      </c>
      <c r="E11256">
        <v>8.8000000000000007</v>
      </c>
      <c r="F11256" s="1789">
        <v>8.8999999999999996E-2</v>
      </c>
      <c r="G11256">
        <f t="shared" si="353"/>
        <v>8.01</v>
      </c>
    </row>
    <row r="11257" spans="1:7" ht="12.75" customHeight="1">
      <c r="A11257" s="3">
        <v>87902</v>
      </c>
      <c r="B11257" s="4" t="s">
        <v>11282</v>
      </c>
      <c r="C11257" s="3" t="s">
        <v>409</v>
      </c>
      <c r="D11257" s="5">
        <f t="shared" si="352"/>
        <v>14.33</v>
      </c>
      <c r="E11257">
        <v>15.74</v>
      </c>
      <c r="F11257" s="1789">
        <v>8.8999999999999996E-2</v>
      </c>
      <c r="G11257">
        <f t="shared" si="353"/>
        <v>14.33</v>
      </c>
    </row>
    <row r="11258" spans="1:7" ht="12.75" customHeight="1">
      <c r="A11258" s="3">
        <v>87903</v>
      </c>
      <c r="B11258" s="4" t="s">
        <v>11283</v>
      </c>
      <c r="C11258" s="3" t="s">
        <v>409</v>
      </c>
      <c r="D11258" s="5">
        <f t="shared" si="352"/>
        <v>13.96</v>
      </c>
      <c r="E11258">
        <v>15.33</v>
      </c>
      <c r="F11258" s="1789">
        <v>8.8999999999999996E-2</v>
      </c>
      <c r="G11258">
        <f t="shared" si="353"/>
        <v>13.96</v>
      </c>
    </row>
    <row r="11259" spans="1:7" ht="12.75" customHeight="1">
      <c r="A11259" s="3">
        <v>87904</v>
      </c>
      <c r="B11259" s="4" t="s">
        <v>11284</v>
      </c>
      <c r="C11259" s="3" t="s">
        <v>409</v>
      </c>
      <c r="D11259" s="5">
        <f t="shared" si="352"/>
        <v>7.41</v>
      </c>
      <c r="E11259">
        <v>8.14</v>
      </c>
      <c r="F11259" s="1789">
        <v>8.8999999999999996E-2</v>
      </c>
      <c r="G11259">
        <f t="shared" si="353"/>
        <v>7.41</v>
      </c>
    </row>
    <row r="11260" spans="1:7" ht="12.75" customHeight="1">
      <c r="A11260" s="3">
        <v>87905</v>
      </c>
      <c r="B11260" s="4" t="s">
        <v>11285</v>
      </c>
      <c r="C11260" s="3" t="s">
        <v>409</v>
      </c>
      <c r="D11260" s="5">
        <f t="shared" si="352"/>
        <v>6.97</v>
      </c>
      <c r="E11260">
        <v>7.66</v>
      </c>
      <c r="F11260" s="1789">
        <v>8.8999999999999996E-2</v>
      </c>
      <c r="G11260">
        <f t="shared" si="353"/>
        <v>6.97</v>
      </c>
    </row>
    <row r="11261" spans="1:7" ht="12.75" customHeight="1">
      <c r="A11261" s="3">
        <v>87907</v>
      </c>
      <c r="B11261" s="4" t="s">
        <v>11286</v>
      </c>
      <c r="C11261" s="3" t="s">
        <v>409</v>
      </c>
      <c r="D11261" s="5">
        <f t="shared" si="352"/>
        <v>5.97</v>
      </c>
      <c r="E11261">
        <v>6.56</v>
      </c>
      <c r="F11261" s="1789">
        <v>8.8999999999999996E-2</v>
      </c>
      <c r="G11261">
        <f t="shared" si="353"/>
        <v>5.97</v>
      </c>
    </row>
    <row r="11262" spans="1:7" ht="12.75" customHeight="1">
      <c r="A11262" s="3">
        <v>87908</v>
      </c>
      <c r="B11262" s="4" t="s">
        <v>11287</v>
      </c>
      <c r="C11262" s="3" t="s">
        <v>409</v>
      </c>
      <c r="D11262" s="5">
        <f t="shared" si="352"/>
        <v>5.53</v>
      </c>
      <c r="E11262">
        <v>6.08</v>
      </c>
      <c r="F11262" s="1789">
        <v>8.8999999999999996E-2</v>
      </c>
      <c r="G11262">
        <f t="shared" si="353"/>
        <v>5.53</v>
      </c>
    </row>
    <row r="11263" spans="1:7" ht="12.75" customHeight="1">
      <c r="A11263" s="3">
        <v>87910</v>
      </c>
      <c r="B11263" s="4" t="s">
        <v>11288</v>
      </c>
      <c r="C11263" s="3" t="s">
        <v>409</v>
      </c>
      <c r="D11263" s="5">
        <f t="shared" si="352"/>
        <v>24.64</v>
      </c>
      <c r="E11263">
        <v>27.05</v>
      </c>
      <c r="F11263" s="1789">
        <v>8.8999999999999996E-2</v>
      </c>
      <c r="G11263">
        <f t="shared" si="353"/>
        <v>24.64</v>
      </c>
    </row>
    <row r="11264" spans="1:7" ht="12.75" customHeight="1">
      <c r="A11264" s="3">
        <v>87911</v>
      </c>
      <c r="B11264" s="4" t="s">
        <v>11289</v>
      </c>
      <c r="C11264" s="3" t="s">
        <v>409</v>
      </c>
      <c r="D11264" s="5">
        <f t="shared" si="352"/>
        <v>23.86</v>
      </c>
      <c r="E11264">
        <v>26.2</v>
      </c>
      <c r="F11264" s="1789">
        <v>8.8999999999999996E-2</v>
      </c>
      <c r="G11264">
        <f t="shared" si="353"/>
        <v>23.86</v>
      </c>
    </row>
    <row r="11265" spans="1:7" ht="12.75" customHeight="1">
      <c r="A11265" s="3">
        <v>104410</v>
      </c>
      <c r="B11265" s="4" t="s">
        <v>11290</v>
      </c>
      <c r="C11265" s="3" t="s">
        <v>409</v>
      </c>
      <c r="D11265" s="5">
        <f t="shared" si="352"/>
        <v>4.66</v>
      </c>
      <c r="E11265">
        <v>5.12</v>
      </c>
      <c r="F11265" s="1789">
        <v>8.8999999999999996E-2</v>
      </c>
      <c r="G11265">
        <f t="shared" si="353"/>
        <v>4.66</v>
      </c>
    </row>
    <row r="11266" spans="1:7" ht="12.75" customHeight="1">
      <c r="A11266" s="3">
        <v>104411</v>
      </c>
      <c r="B11266" s="4" t="s">
        <v>11291</v>
      </c>
      <c r="C11266" s="3" t="s">
        <v>409</v>
      </c>
      <c r="D11266" s="5">
        <f t="shared" si="352"/>
        <v>4.66</v>
      </c>
      <c r="E11266">
        <v>5.12</v>
      </c>
      <c r="F11266" s="1789">
        <v>8.8999999999999996E-2</v>
      </c>
      <c r="G11266">
        <f t="shared" si="353"/>
        <v>4.66</v>
      </c>
    </row>
    <row r="11267" spans="1:7" ht="12.75" customHeight="1">
      <c r="A11267" s="3">
        <v>87411</v>
      </c>
      <c r="B11267" s="4" t="s">
        <v>11292</v>
      </c>
      <c r="C11267" s="3" t="s">
        <v>409</v>
      </c>
      <c r="D11267" s="5">
        <f t="shared" si="352"/>
        <v>15.85</v>
      </c>
      <c r="E11267">
        <v>17.399999999999999</v>
      </c>
      <c r="F11267" s="1789">
        <v>8.8999999999999996E-2</v>
      </c>
      <c r="G11267">
        <f t="shared" si="353"/>
        <v>15.85</v>
      </c>
    </row>
    <row r="11268" spans="1:7" ht="12.75" customHeight="1">
      <c r="A11268" s="3">
        <v>87412</v>
      </c>
      <c r="B11268" s="4" t="s">
        <v>11293</v>
      </c>
      <c r="C11268" s="3" t="s">
        <v>409</v>
      </c>
      <c r="D11268" s="5">
        <f t="shared" si="352"/>
        <v>22.61</v>
      </c>
      <c r="E11268">
        <v>24.82</v>
      </c>
      <c r="F11268" s="1789">
        <v>8.8999999999999996E-2</v>
      </c>
      <c r="G11268">
        <f t="shared" si="353"/>
        <v>22.61</v>
      </c>
    </row>
    <row r="11269" spans="1:7" ht="12.75" customHeight="1">
      <c r="A11269" s="3">
        <v>87413</v>
      </c>
      <c r="B11269" s="4" t="s">
        <v>11294</v>
      </c>
      <c r="C11269" s="3" t="s">
        <v>409</v>
      </c>
      <c r="D11269" s="5">
        <f t="shared" si="352"/>
        <v>26.49</v>
      </c>
      <c r="E11269">
        <v>29.08</v>
      </c>
      <c r="F11269" s="1789">
        <v>8.8999999999999996E-2</v>
      </c>
      <c r="G11269">
        <f t="shared" si="353"/>
        <v>26.49</v>
      </c>
    </row>
    <row r="11270" spans="1:7" ht="12.75" customHeight="1">
      <c r="A11270" s="3">
        <v>87414</v>
      </c>
      <c r="B11270" s="4" t="s">
        <v>11295</v>
      </c>
      <c r="C11270" s="3" t="s">
        <v>409</v>
      </c>
      <c r="D11270" s="5">
        <f t="shared" si="352"/>
        <v>25.64</v>
      </c>
      <c r="E11270">
        <v>28.15</v>
      </c>
      <c r="F11270" s="1789">
        <v>8.8999999999999996E-2</v>
      </c>
      <c r="G11270">
        <f t="shared" si="353"/>
        <v>25.64</v>
      </c>
    </row>
    <row r="11271" spans="1:7" ht="12.75" customHeight="1">
      <c r="A11271" s="3">
        <v>87415</v>
      </c>
      <c r="B11271" s="4" t="s">
        <v>11296</v>
      </c>
      <c r="C11271" s="3" t="s">
        <v>409</v>
      </c>
      <c r="D11271" s="5">
        <f t="shared" si="352"/>
        <v>32.4</v>
      </c>
      <c r="E11271">
        <v>35.57</v>
      </c>
      <c r="F11271" s="1789">
        <v>8.8999999999999996E-2</v>
      </c>
      <c r="G11271">
        <f t="shared" si="353"/>
        <v>32.4</v>
      </c>
    </row>
    <row r="11272" spans="1:7" ht="12.75" customHeight="1">
      <c r="A11272" s="3">
        <v>87416</v>
      </c>
      <c r="B11272" s="4" t="s">
        <v>11297</v>
      </c>
      <c r="C11272" s="3" t="s">
        <v>409</v>
      </c>
      <c r="D11272" s="5">
        <f t="shared" si="352"/>
        <v>36.28</v>
      </c>
      <c r="E11272">
        <v>39.83</v>
      </c>
      <c r="F11272" s="1789">
        <v>8.8999999999999996E-2</v>
      </c>
      <c r="G11272">
        <f t="shared" si="353"/>
        <v>36.28</v>
      </c>
    </row>
    <row r="11273" spans="1:7" ht="12.75" customHeight="1">
      <c r="A11273" s="3">
        <v>87418</v>
      </c>
      <c r="B11273" s="4" t="s">
        <v>11298</v>
      </c>
      <c r="C11273" s="3" t="s">
        <v>409</v>
      </c>
      <c r="D11273" s="5">
        <f t="shared" si="352"/>
        <v>17.989999999999998</v>
      </c>
      <c r="E11273">
        <v>19.75</v>
      </c>
      <c r="F11273" s="1789">
        <v>8.8999999999999996E-2</v>
      </c>
      <c r="G11273">
        <f t="shared" si="353"/>
        <v>17.989999999999998</v>
      </c>
    </row>
    <row r="11274" spans="1:7" ht="12.75" customHeight="1">
      <c r="A11274" s="3">
        <v>87421</v>
      </c>
      <c r="B11274" s="4" t="s">
        <v>11299</v>
      </c>
      <c r="C11274" s="3" t="s">
        <v>409</v>
      </c>
      <c r="D11274" s="5">
        <f t="shared" si="352"/>
        <v>28.09</v>
      </c>
      <c r="E11274">
        <v>30.84</v>
      </c>
      <c r="F11274" s="1789">
        <v>8.8999999999999996E-2</v>
      </c>
      <c r="G11274">
        <f t="shared" si="353"/>
        <v>28.09</v>
      </c>
    </row>
    <row r="11275" spans="1:7" ht="12.75" customHeight="1">
      <c r="A11275" s="3">
        <v>87424</v>
      </c>
      <c r="B11275" s="4" t="s">
        <v>11300</v>
      </c>
      <c r="C11275" s="3" t="s">
        <v>409</v>
      </c>
      <c r="D11275" s="5">
        <f t="shared" si="352"/>
        <v>35.630000000000003</v>
      </c>
      <c r="E11275">
        <v>39.119999999999997</v>
      </c>
      <c r="F11275" s="1789">
        <v>8.8999999999999996E-2</v>
      </c>
      <c r="G11275">
        <f t="shared" si="353"/>
        <v>35.630000000000003</v>
      </c>
    </row>
    <row r="11276" spans="1:7" ht="12.75" customHeight="1">
      <c r="A11276" s="3">
        <v>87427</v>
      </c>
      <c r="B11276" s="4" t="s">
        <v>11301</v>
      </c>
      <c r="C11276" s="3" t="s">
        <v>409</v>
      </c>
      <c r="D11276" s="5">
        <f t="shared" si="352"/>
        <v>42.66</v>
      </c>
      <c r="E11276">
        <v>46.83</v>
      </c>
      <c r="F11276" s="1789">
        <v>8.8999999999999996E-2</v>
      </c>
      <c r="G11276">
        <f t="shared" si="353"/>
        <v>42.66</v>
      </c>
    </row>
    <row r="11277" spans="1:7" ht="12.75" customHeight="1">
      <c r="A11277" s="3">
        <v>87430</v>
      </c>
      <c r="B11277" s="4" t="s">
        <v>11302</v>
      </c>
      <c r="C11277" s="3" t="s">
        <v>409</v>
      </c>
      <c r="D11277" s="5">
        <f t="shared" si="352"/>
        <v>17.46</v>
      </c>
      <c r="E11277">
        <v>19.170000000000002</v>
      </c>
      <c r="F11277" s="1789">
        <v>8.8999999999999996E-2</v>
      </c>
      <c r="G11277">
        <f t="shared" si="353"/>
        <v>17.46</v>
      </c>
    </row>
    <row r="11278" spans="1:7" ht="12.75" customHeight="1">
      <c r="A11278" s="3">
        <v>87433</v>
      </c>
      <c r="B11278" s="4" t="s">
        <v>11303</v>
      </c>
      <c r="C11278" s="3" t="s">
        <v>409</v>
      </c>
      <c r="D11278" s="5">
        <f t="shared" si="352"/>
        <v>25.89</v>
      </c>
      <c r="E11278">
        <v>28.43</v>
      </c>
      <c r="F11278" s="1789">
        <v>8.8999999999999996E-2</v>
      </c>
      <c r="G11278">
        <f t="shared" si="353"/>
        <v>25.89</v>
      </c>
    </row>
    <row r="11279" spans="1:7" ht="12.75" customHeight="1">
      <c r="A11279" s="3">
        <v>87436</v>
      </c>
      <c r="B11279" s="4" t="s">
        <v>11304</v>
      </c>
      <c r="C11279" s="3" t="s">
        <v>409</v>
      </c>
      <c r="D11279" s="5">
        <f t="shared" si="352"/>
        <v>28.96</v>
      </c>
      <c r="E11279">
        <v>31.79</v>
      </c>
      <c r="F11279" s="1789">
        <v>8.8999999999999996E-2</v>
      </c>
      <c r="G11279">
        <f t="shared" si="353"/>
        <v>28.96</v>
      </c>
    </row>
    <row r="11280" spans="1:7" ht="12.75" customHeight="1">
      <c r="A11280" s="3">
        <v>87439</v>
      </c>
      <c r="B11280" s="4" t="s">
        <v>11305</v>
      </c>
      <c r="C11280" s="3" t="s">
        <v>409</v>
      </c>
      <c r="D11280" s="5">
        <f t="shared" si="352"/>
        <v>35.74</v>
      </c>
      <c r="E11280">
        <v>39.24</v>
      </c>
      <c r="F11280" s="1789">
        <v>8.8999999999999996E-2</v>
      </c>
      <c r="G11280">
        <f t="shared" si="353"/>
        <v>35.74</v>
      </c>
    </row>
    <row r="11281" spans="1:7" ht="12.75" customHeight="1">
      <c r="A11281" s="3">
        <v>87527</v>
      </c>
      <c r="B11281" s="4" t="s">
        <v>11306</v>
      </c>
      <c r="C11281" s="3" t="s">
        <v>409</v>
      </c>
      <c r="D11281" s="5">
        <f t="shared" si="352"/>
        <v>34.020000000000003</v>
      </c>
      <c r="E11281">
        <v>37.35</v>
      </c>
      <c r="F11281" s="1789">
        <v>8.8999999999999996E-2</v>
      </c>
      <c r="G11281">
        <f t="shared" si="353"/>
        <v>34.020000000000003</v>
      </c>
    </row>
    <row r="11282" spans="1:7" ht="12.75" customHeight="1">
      <c r="A11282" s="3">
        <v>87528</v>
      </c>
      <c r="B11282" s="4" t="s">
        <v>11307</v>
      </c>
      <c r="C11282" s="3" t="s">
        <v>409</v>
      </c>
      <c r="D11282" s="5">
        <f t="shared" si="352"/>
        <v>37.49</v>
      </c>
      <c r="E11282">
        <v>41.16</v>
      </c>
      <c r="F11282" s="1789">
        <v>8.8999999999999996E-2</v>
      </c>
      <c r="G11282">
        <f t="shared" si="353"/>
        <v>37.49</v>
      </c>
    </row>
    <row r="11283" spans="1:7" ht="12.75" customHeight="1">
      <c r="A11283" s="3">
        <v>87529</v>
      </c>
      <c r="B11283" s="4" t="s">
        <v>11308</v>
      </c>
      <c r="C11283" s="3" t="s">
        <v>409</v>
      </c>
      <c r="D11283" s="5">
        <f t="shared" si="352"/>
        <v>31.44</v>
      </c>
      <c r="E11283">
        <v>34.520000000000003</v>
      </c>
      <c r="F11283" s="1789">
        <v>8.8999999999999996E-2</v>
      </c>
      <c r="G11283">
        <f t="shared" si="353"/>
        <v>31.44</v>
      </c>
    </row>
    <row r="11284" spans="1:7" ht="12.75" customHeight="1">
      <c r="A11284" s="3">
        <v>87530</v>
      </c>
      <c r="B11284" s="4" t="s">
        <v>11309</v>
      </c>
      <c r="C11284" s="3" t="s">
        <v>409</v>
      </c>
      <c r="D11284" s="5">
        <f t="shared" si="352"/>
        <v>34.909999999999997</v>
      </c>
      <c r="E11284">
        <v>38.33</v>
      </c>
      <c r="F11284" s="1789">
        <v>8.8999999999999996E-2</v>
      </c>
      <c r="G11284">
        <f t="shared" si="353"/>
        <v>34.909999999999997</v>
      </c>
    </row>
    <row r="11285" spans="1:7" ht="12.75" customHeight="1">
      <c r="A11285" s="3">
        <v>87531</v>
      </c>
      <c r="B11285" s="4" t="s">
        <v>11310</v>
      </c>
      <c r="C11285" s="3" t="s">
        <v>409</v>
      </c>
      <c r="D11285" s="5">
        <f t="shared" ref="D11285:D11348" si="354">G11285</f>
        <v>30.4</v>
      </c>
      <c r="E11285">
        <v>33.369999999999997</v>
      </c>
      <c r="F11285" s="1789">
        <v>8.8999999999999996E-2</v>
      </c>
      <c r="G11285">
        <f t="shared" ref="G11285:G11348" si="355">TRUNC((1-F11285)*E11285,2)</f>
        <v>30.4</v>
      </c>
    </row>
    <row r="11286" spans="1:7" ht="12.75" customHeight="1">
      <c r="A11286" s="3">
        <v>87532</v>
      </c>
      <c r="B11286" s="4" t="s">
        <v>11311</v>
      </c>
      <c r="C11286" s="3" t="s">
        <v>409</v>
      </c>
      <c r="D11286" s="5">
        <f t="shared" si="354"/>
        <v>33.869999999999997</v>
      </c>
      <c r="E11286">
        <v>37.18</v>
      </c>
      <c r="F11286" s="1789">
        <v>8.8999999999999996E-2</v>
      </c>
      <c r="G11286">
        <f t="shared" si="355"/>
        <v>33.869999999999997</v>
      </c>
    </row>
    <row r="11287" spans="1:7" ht="12.75" customHeight="1">
      <c r="A11287" s="3">
        <v>87535</v>
      </c>
      <c r="B11287" s="4" t="s">
        <v>11312</v>
      </c>
      <c r="C11287" s="3" t="s">
        <v>409</v>
      </c>
      <c r="D11287" s="5">
        <f t="shared" si="354"/>
        <v>28.24</v>
      </c>
      <c r="E11287">
        <v>31</v>
      </c>
      <c r="F11287" s="1789">
        <v>8.8999999999999996E-2</v>
      </c>
      <c r="G11287">
        <f t="shared" si="355"/>
        <v>28.24</v>
      </c>
    </row>
    <row r="11288" spans="1:7" ht="12.75" customHeight="1">
      <c r="A11288" s="3">
        <v>87536</v>
      </c>
      <c r="B11288" s="4" t="s">
        <v>11313</v>
      </c>
      <c r="C11288" s="3" t="s">
        <v>409</v>
      </c>
      <c r="D11288" s="5">
        <f t="shared" si="354"/>
        <v>31.71</v>
      </c>
      <c r="E11288">
        <v>34.81</v>
      </c>
      <c r="F11288" s="1789">
        <v>8.8999999999999996E-2</v>
      </c>
      <c r="G11288">
        <f t="shared" si="355"/>
        <v>31.71</v>
      </c>
    </row>
    <row r="11289" spans="1:7" ht="12.75" customHeight="1">
      <c r="A11289" s="3">
        <v>87539</v>
      </c>
      <c r="B11289" s="4" t="s">
        <v>11314</v>
      </c>
      <c r="C11289" s="3" t="s">
        <v>409</v>
      </c>
      <c r="D11289" s="5">
        <f t="shared" si="354"/>
        <v>80.62</v>
      </c>
      <c r="E11289">
        <v>88.5</v>
      </c>
      <c r="F11289" s="1789">
        <v>8.8999999999999996E-2</v>
      </c>
      <c r="G11289">
        <f t="shared" si="355"/>
        <v>80.62</v>
      </c>
    </row>
    <row r="11290" spans="1:7" ht="12.75" customHeight="1">
      <c r="A11290" s="3">
        <v>87543</v>
      </c>
      <c r="B11290" s="4" t="s">
        <v>11315</v>
      </c>
      <c r="C11290" s="3" t="s">
        <v>409</v>
      </c>
      <c r="D11290" s="5">
        <f t="shared" si="354"/>
        <v>29.72</v>
      </c>
      <c r="E11290">
        <v>32.630000000000003</v>
      </c>
      <c r="F11290" s="1789">
        <v>8.8999999999999996E-2</v>
      </c>
      <c r="G11290">
        <f t="shared" si="355"/>
        <v>29.72</v>
      </c>
    </row>
    <row r="11291" spans="1:7" ht="12.75" customHeight="1">
      <c r="A11291" s="3">
        <v>87545</v>
      </c>
      <c r="B11291" s="4" t="s">
        <v>11316</v>
      </c>
      <c r="C11291" s="3" t="s">
        <v>409</v>
      </c>
      <c r="D11291" s="5">
        <f t="shared" si="354"/>
        <v>25.17</v>
      </c>
      <c r="E11291">
        <v>27.63</v>
      </c>
      <c r="F11291" s="1789">
        <v>8.8999999999999996E-2</v>
      </c>
      <c r="G11291">
        <f t="shared" si="355"/>
        <v>25.17</v>
      </c>
    </row>
    <row r="11292" spans="1:7" ht="12.75" customHeight="1">
      <c r="A11292" s="3">
        <v>87546</v>
      </c>
      <c r="B11292" s="4" t="s">
        <v>11317</v>
      </c>
      <c r="C11292" s="3" t="s">
        <v>409</v>
      </c>
      <c r="D11292" s="5">
        <f t="shared" si="354"/>
        <v>27.38</v>
      </c>
      <c r="E11292">
        <v>30.06</v>
      </c>
      <c r="F11292" s="1789">
        <v>8.8999999999999996E-2</v>
      </c>
      <c r="G11292">
        <f t="shared" si="355"/>
        <v>27.38</v>
      </c>
    </row>
    <row r="11293" spans="1:7" ht="12.75" customHeight="1">
      <c r="A11293" s="3">
        <v>87547</v>
      </c>
      <c r="B11293" s="4" t="s">
        <v>11318</v>
      </c>
      <c r="C11293" s="3" t="s">
        <v>409</v>
      </c>
      <c r="D11293" s="5">
        <f t="shared" si="354"/>
        <v>22.58</v>
      </c>
      <c r="E11293">
        <v>24.79</v>
      </c>
      <c r="F11293" s="1789">
        <v>8.8999999999999996E-2</v>
      </c>
      <c r="G11293">
        <f t="shared" si="355"/>
        <v>22.58</v>
      </c>
    </row>
    <row r="11294" spans="1:7" ht="12.75" customHeight="1">
      <c r="A11294" s="3">
        <v>87548</v>
      </c>
      <c r="B11294" s="4" t="s">
        <v>11319</v>
      </c>
      <c r="C11294" s="3" t="s">
        <v>409</v>
      </c>
      <c r="D11294" s="5">
        <f t="shared" si="354"/>
        <v>24.79</v>
      </c>
      <c r="E11294">
        <v>27.22</v>
      </c>
      <c r="F11294" s="1789">
        <v>8.8999999999999996E-2</v>
      </c>
      <c r="G11294">
        <f t="shared" si="355"/>
        <v>24.79</v>
      </c>
    </row>
    <row r="11295" spans="1:7" ht="12.75" customHeight="1">
      <c r="A11295" s="3">
        <v>87549</v>
      </c>
      <c r="B11295" s="4" t="s">
        <v>11320</v>
      </c>
      <c r="C11295" s="3" t="s">
        <v>409</v>
      </c>
      <c r="D11295" s="5">
        <f t="shared" si="354"/>
        <v>21.54</v>
      </c>
      <c r="E11295">
        <v>23.65</v>
      </c>
      <c r="F11295" s="1789">
        <v>8.8999999999999996E-2</v>
      </c>
      <c r="G11295">
        <f t="shared" si="355"/>
        <v>21.54</v>
      </c>
    </row>
    <row r="11296" spans="1:7" ht="12.75" customHeight="1">
      <c r="A11296" s="3">
        <v>87550</v>
      </c>
      <c r="B11296" s="4" t="s">
        <v>11321</v>
      </c>
      <c r="C11296" s="3" t="s">
        <v>409</v>
      </c>
      <c r="D11296" s="5">
        <f t="shared" si="354"/>
        <v>23.75</v>
      </c>
      <c r="E11296">
        <v>26.08</v>
      </c>
      <c r="F11296" s="1789">
        <v>8.8999999999999996E-2</v>
      </c>
      <c r="G11296">
        <f t="shared" si="355"/>
        <v>23.75</v>
      </c>
    </row>
    <row r="11297" spans="1:7" ht="12.75" customHeight="1">
      <c r="A11297" s="3">
        <v>87553</v>
      </c>
      <c r="B11297" s="4" t="s">
        <v>11322</v>
      </c>
      <c r="C11297" s="3" t="s">
        <v>409</v>
      </c>
      <c r="D11297" s="5">
        <f t="shared" si="354"/>
        <v>19.37</v>
      </c>
      <c r="E11297">
        <v>21.27</v>
      </c>
      <c r="F11297" s="1789">
        <v>8.8999999999999996E-2</v>
      </c>
      <c r="G11297">
        <f t="shared" si="355"/>
        <v>19.37</v>
      </c>
    </row>
    <row r="11298" spans="1:7" ht="12.75" customHeight="1">
      <c r="A11298" s="3">
        <v>87554</v>
      </c>
      <c r="B11298" s="4" t="s">
        <v>11323</v>
      </c>
      <c r="C11298" s="3" t="s">
        <v>409</v>
      </c>
      <c r="D11298" s="5">
        <f t="shared" si="354"/>
        <v>21.59</v>
      </c>
      <c r="E11298">
        <v>23.7</v>
      </c>
      <c r="F11298" s="1789">
        <v>8.8999999999999996E-2</v>
      </c>
      <c r="G11298">
        <f t="shared" si="355"/>
        <v>21.59</v>
      </c>
    </row>
    <row r="11299" spans="1:7" ht="12.75" customHeight="1">
      <c r="A11299" s="3">
        <v>87557</v>
      </c>
      <c r="B11299" s="4" t="s">
        <v>11324</v>
      </c>
      <c r="C11299" s="3" t="s">
        <v>409</v>
      </c>
      <c r="D11299" s="5">
        <f t="shared" si="354"/>
        <v>52.67</v>
      </c>
      <c r="E11299">
        <v>57.82</v>
      </c>
      <c r="F11299" s="1789">
        <v>8.8999999999999996E-2</v>
      </c>
      <c r="G11299">
        <f t="shared" si="355"/>
        <v>52.67</v>
      </c>
    </row>
    <row r="11300" spans="1:7" ht="12.75" customHeight="1">
      <c r="A11300" s="3">
        <v>87561</v>
      </c>
      <c r="B11300" s="4" t="s">
        <v>11325</v>
      </c>
      <c r="C11300" s="3" t="s">
        <v>409</v>
      </c>
      <c r="D11300" s="5">
        <f t="shared" si="354"/>
        <v>52.2</v>
      </c>
      <c r="E11300">
        <v>57.3</v>
      </c>
      <c r="F11300" s="1789">
        <v>8.8999999999999996E-2</v>
      </c>
      <c r="G11300">
        <f t="shared" si="355"/>
        <v>52.2</v>
      </c>
    </row>
    <row r="11301" spans="1:7" ht="12.75" customHeight="1">
      <c r="A11301" s="3">
        <v>87775</v>
      </c>
      <c r="B11301" s="4" t="s">
        <v>11326</v>
      </c>
      <c r="C11301" s="3" t="s">
        <v>409</v>
      </c>
      <c r="D11301" s="5">
        <f t="shared" si="354"/>
        <v>47.48</v>
      </c>
      <c r="E11301">
        <v>52.12</v>
      </c>
      <c r="F11301" s="1789">
        <v>8.8999999999999996E-2</v>
      </c>
      <c r="G11301">
        <f t="shared" si="355"/>
        <v>47.48</v>
      </c>
    </row>
    <row r="11302" spans="1:7" ht="12.75" customHeight="1">
      <c r="A11302" s="3">
        <v>87777</v>
      </c>
      <c r="B11302" s="4" t="s">
        <v>11327</v>
      </c>
      <c r="C11302" s="3" t="s">
        <v>409</v>
      </c>
      <c r="D11302" s="5">
        <f t="shared" si="354"/>
        <v>51.07</v>
      </c>
      <c r="E11302">
        <v>56.06</v>
      </c>
      <c r="F11302" s="1789">
        <v>8.8999999999999996E-2</v>
      </c>
      <c r="G11302">
        <f t="shared" si="355"/>
        <v>51.07</v>
      </c>
    </row>
    <row r="11303" spans="1:7" ht="12.75" customHeight="1">
      <c r="A11303" s="3">
        <v>87778</v>
      </c>
      <c r="B11303" s="4" t="s">
        <v>11328</v>
      </c>
      <c r="C11303" s="3" t="s">
        <v>409</v>
      </c>
      <c r="D11303" s="5">
        <f t="shared" si="354"/>
        <v>101.22</v>
      </c>
      <c r="E11303">
        <v>111.11</v>
      </c>
      <c r="F11303" s="1789">
        <v>8.8999999999999996E-2</v>
      </c>
      <c r="G11303">
        <f t="shared" si="355"/>
        <v>101.22</v>
      </c>
    </row>
    <row r="11304" spans="1:7" ht="12.75" customHeight="1">
      <c r="A11304" s="3">
        <v>87779</v>
      </c>
      <c r="B11304" s="4" t="s">
        <v>11329</v>
      </c>
      <c r="C11304" s="3" t="s">
        <v>409</v>
      </c>
      <c r="D11304" s="5">
        <f t="shared" si="354"/>
        <v>61.08</v>
      </c>
      <c r="E11304">
        <v>67.05</v>
      </c>
      <c r="F11304" s="1789">
        <v>8.8999999999999996E-2</v>
      </c>
      <c r="G11304">
        <f t="shared" si="355"/>
        <v>61.08</v>
      </c>
    </row>
    <row r="11305" spans="1:7" ht="12.75" customHeight="1">
      <c r="A11305" s="3">
        <v>87781</v>
      </c>
      <c r="B11305" s="4" t="s">
        <v>11330</v>
      </c>
      <c r="C11305" s="3" t="s">
        <v>409</v>
      </c>
      <c r="D11305" s="5">
        <f t="shared" si="354"/>
        <v>65.900000000000006</v>
      </c>
      <c r="E11305">
        <v>72.34</v>
      </c>
      <c r="F11305" s="1789">
        <v>8.8999999999999996E-2</v>
      </c>
      <c r="G11305">
        <f t="shared" si="355"/>
        <v>65.900000000000006</v>
      </c>
    </row>
    <row r="11306" spans="1:7" ht="12.75" customHeight="1">
      <c r="A11306" s="3">
        <v>87783</v>
      </c>
      <c r="B11306" s="4" t="s">
        <v>11331</v>
      </c>
      <c r="C11306" s="3" t="s">
        <v>409</v>
      </c>
      <c r="D11306" s="5">
        <f t="shared" si="354"/>
        <v>133.35</v>
      </c>
      <c r="E11306">
        <v>146.38</v>
      </c>
      <c r="F11306" s="1789">
        <v>8.8999999999999996E-2</v>
      </c>
      <c r="G11306">
        <f t="shared" si="355"/>
        <v>133.35</v>
      </c>
    </row>
    <row r="11307" spans="1:7" ht="12.75" customHeight="1">
      <c r="A11307" s="3">
        <v>87784</v>
      </c>
      <c r="B11307" s="4" t="s">
        <v>11332</v>
      </c>
      <c r="C11307" s="3" t="s">
        <v>409</v>
      </c>
      <c r="D11307" s="5">
        <f t="shared" si="354"/>
        <v>66.73</v>
      </c>
      <c r="E11307">
        <v>73.260000000000005</v>
      </c>
      <c r="F11307" s="1789">
        <v>8.8999999999999996E-2</v>
      </c>
      <c r="G11307">
        <f t="shared" si="355"/>
        <v>66.73</v>
      </c>
    </row>
    <row r="11308" spans="1:7" ht="12.75" customHeight="1">
      <c r="A11308" s="3">
        <v>87786</v>
      </c>
      <c r="B11308" s="4" t="s">
        <v>11333</v>
      </c>
      <c r="C11308" s="3" t="s">
        <v>409</v>
      </c>
      <c r="D11308" s="5">
        <f t="shared" si="354"/>
        <v>72.77</v>
      </c>
      <c r="E11308">
        <v>79.89</v>
      </c>
      <c r="F11308" s="1789">
        <v>8.8999999999999996E-2</v>
      </c>
      <c r="G11308">
        <f t="shared" si="355"/>
        <v>72.77</v>
      </c>
    </row>
    <row r="11309" spans="1:7" ht="12.75" customHeight="1">
      <c r="A11309" s="3">
        <v>87787</v>
      </c>
      <c r="B11309" s="4" t="s">
        <v>11334</v>
      </c>
      <c r="C11309" s="3" t="s">
        <v>409</v>
      </c>
      <c r="D11309" s="5">
        <f t="shared" si="354"/>
        <v>158.19999999999999</v>
      </c>
      <c r="E11309">
        <v>173.66</v>
      </c>
      <c r="F11309" s="1789">
        <v>8.8999999999999996E-2</v>
      </c>
      <c r="G11309">
        <f t="shared" si="355"/>
        <v>158.19999999999999</v>
      </c>
    </row>
    <row r="11310" spans="1:7" ht="12.75" customHeight="1">
      <c r="A11310" s="3">
        <v>87788</v>
      </c>
      <c r="B11310" s="4" t="s">
        <v>11335</v>
      </c>
      <c r="C11310" s="3" t="s">
        <v>409</v>
      </c>
      <c r="D11310" s="5">
        <f t="shared" si="354"/>
        <v>78.569999999999993</v>
      </c>
      <c r="E11310">
        <v>86.25</v>
      </c>
      <c r="F11310" s="1789">
        <v>8.8999999999999996E-2</v>
      </c>
      <c r="G11310">
        <f t="shared" si="355"/>
        <v>78.569999999999993</v>
      </c>
    </row>
    <row r="11311" spans="1:7" ht="12.75" customHeight="1">
      <c r="A11311" s="3">
        <v>87791</v>
      </c>
      <c r="B11311" s="4" t="s">
        <v>11336</v>
      </c>
      <c r="C11311" s="3" t="s">
        <v>409</v>
      </c>
      <c r="D11311" s="5">
        <f t="shared" si="354"/>
        <v>174.23</v>
      </c>
      <c r="E11311">
        <v>191.26</v>
      </c>
      <c r="F11311" s="1789">
        <v>8.8999999999999996E-2</v>
      </c>
      <c r="G11311">
        <f t="shared" si="355"/>
        <v>174.23</v>
      </c>
    </row>
    <row r="11312" spans="1:7" ht="12.75" customHeight="1">
      <c r="A11312" s="3">
        <v>87792</v>
      </c>
      <c r="B11312" s="4" t="s">
        <v>11337</v>
      </c>
      <c r="C11312" s="3" t="s">
        <v>409</v>
      </c>
      <c r="D11312" s="5">
        <f t="shared" si="354"/>
        <v>35.409999999999997</v>
      </c>
      <c r="E11312">
        <v>38.880000000000003</v>
      </c>
      <c r="F11312" s="1789">
        <v>8.8999999999999996E-2</v>
      </c>
      <c r="G11312">
        <f t="shared" si="355"/>
        <v>35.409999999999997</v>
      </c>
    </row>
    <row r="11313" spans="1:7" ht="12.75" customHeight="1">
      <c r="A11313" s="3">
        <v>87775</v>
      </c>
      <c r="B11313" s="4" t="s">
        <v>11338</v>
      </c>
      <c r="C11313" s="3" t="s">
        <v>409</v>
      </c>
      <c r="D11313" s="5">
        <f t="shared" si="354"/>
        <v>38.770000000000003</v>
      </c>
      <c r="E11313">
        <v>42.56</v>
      </c>
      <c r="F11313" s="1789">
        <v>8.8999999999999996E-2</v>
      </c>
      <c r="G11313">
        <f t="shared" si="355"/>
        <v>38.770000000000003</v>
      </c>
    </row>
    <row r="11314" spans="1:7" ht="12.75" customHeight="1">
      <c r="A11314" s="3">
        <v>87795</v>
      </c>
      <c r="B11314" s="4" t="s">
        <v>11339</v>
      </c>
      <c r="C11314" s="3" t="s">
        <v>409</v>
      </c>
      <c r="D11314" s="5">
        <f t="shared" si="354"/>
        <v>86.43</v>
      </c>
      <c r="E11314">
        <v>94.88</v>
      </c>
      <c r="F11314" s="1789">
        <v>8.8999999999999996E-2</v>
      </c>
      <c r="G11314">
        <f t="shared" si="355"/>
        <v>86.43</v>
      </c>
    </row>
    <row r="11315" spans="1:7" ht="12.75" customHeight="1">
      <c r="A11315" s="3">
        <v>87797</v>
      </c>
      <c r="B11315" s="4" t="s">
        <v>11340</v>
      </c>
      <c r="C11315" s="3" t="s">
        <v>409</v>
      </c>
      <c r="D11315" s="5">
        <f t="shared" si="354"/>
        <v>48.7</v>
      </c>
      <c r="E11315">
        <v>53.46</v>
      </c>
      <c r="F11315" s="1789">
        <v>8.8999999999999996E-2</v>
      </c>
      <c r="G11315">
        <f t="shared" si="355"/>
        <v>48.7</v>
      </c>
    </row>
    <row r="11316" spans="1:7" ht="12.75" customHeight="1">
      <c r="A11316" s="3">
        <v>87799</v>
      </c>
      <c r="B11316" s="4" t="s">
        <v>11341</v>
      </c>
      <c r="C11316" s="3" t="s">
        <v>409</v>
      </c>
      <c r="D11316" s="5">
        <f t="shared" si="354"/>
        <v>53.19</v>
      </c>
      <c r="E11316">
        <v>58.39</v>
      </c>
      <c r="F11316" s="1789">
        <v>8.8999999999999996E-2</v>
      </c>
      <c r="G11316">
        <f t="shared" si="355"/>
        <v>53.19</v>
      </c>
    </row>
    <row r="11317" spans="1:7" ht="12.75" customHeight="1">
      <c r="A11317" s="3">
        <v>87800</v>
      </c>
      <c r="B11317" s="4" t="s">
        <v>11342</v>
      </c>
      <c r="C11317" s="3" t="s">
        <v>409</v>
      </c>
      <c r="D11317" s="5">
        <f t="shared" si="354"/>
        <v>116.9</v>
      </c>
      <c r="E11317">
        <v>128.33000000000001</v>
      </c>
      <c r="F11317" s="1789">
        <v>8.8999999999999996E-2</v>
      </c>
      <c r="G11317">
        <f t="shared" si="355"/>
        <v>116.9</v>
      </c>
    </row>
    <row r="11318" spans="1:7" ht="12.75" customHeight="1">
      <c r="A11318" s="3">
        <v>87801</v>
      </c>
      <c r="B11318" s="4" t="s">
        <v>11343</v>
      </c>
      <c r="C11318" s="3" t="s">
        <v>409</v>
      </c>
      <c r="D11318" s="5">
        <f t="shared" si="354"/>
        <v>53.98</v>
      </c>
      <c r="E11318">
        <v>59.26</v>
      </c>
      <c r="F11318" s="1789">
        <v>8.8999999999999996E-2</v>
      </c>
      <c r="G11318">
        <f t="shared" si="355"/>
        <v>53.98</v>
      </c>
    </row>
    <row r="11319" spans="1:7" ht="12.75" customHeight="1">
      <c r="A11319" s="3">
        <v>87803</v>
      </c>
      <c r="B11319" s="4" t="s">
        <v>11344</v>
      </c>
      <c r="C11319" s="3" t="s">
        <v>409</v>
      </c>
      <c r="D11319" s="5">
        <f t="shared" si="354"/>
        <v>59.62</v>
      </c>
      <c r="E11319">
        <v>65.45</v>
      </c>
      <c r="F11319" s="1789">
        <v>8.8999999999999996E-2</v>
      </c>
      <c r="G11319">
        <f t="shared" si="355"/>
        <v>59.62</v>
      </c>
    </row>
    <row r="11320" spans="1:7" ht="12.75" customHeight="1">
      <c r="A11320" s="3">
        <v>87804</v>
      </c>
      <c r="B11320" s="4" t="s">
        <v>11345</v>
      </c>
      <c r="C11320" s="3" t="s">
        <v>409</v>
      </c>
      <c r="D11320" s="5">
        <f t="shared" si="354"/>
        <v>140.13</v>
      </c>
      <c r="E11320">
        <v>153.82</v>
      </c>
      <c r="F11320" s="1789">
        <v>8.8999999999999996E-2</v>
      </c>
      <c r="G11320">
        <f t="shared" si="355"/>
        <v>140.13</v>
      </c>
    </row>
    <row r="11321" spans="1:7" ht="12.75" customHeight="1">
      <c r="A11321" s="3">
        <v>87805</v>
      </c>
      <c r="B11321" s="4" t="s">
        <v>11346</v>
      </c>
      <c r="C11321" s="3" t="s">
        <v>409</v>
      </c>
      <c r="D11321" s="5">
        <f t="shared" si="354"/>
        <v>58.92</v>
      </c>
      <c r="E11321">
        <v>64.680000000000007</v>
      </c>
      <c r="F11321" s="1789">
        <v>8.8999999999999996E-2</v>
      </c>
      <c r="G11321">
        <f t="shared" si="355"/>
        <v>58.92</v>
      </c>
    </row>
    <row r="11322" spans="1:7" ht="12.75" customHeight="1">
      <c r="A11322" s="3">
        <v>87807</v>
      </c>
      <c r="B11322" s="4" t="s">
        <v>11347</v>
      </c>
      <c r="C11322" s="3" t="s">
        <v>409</v>
      </c>
      <c r="D11322" s="5">
        <f t="shared" si="354"/>
        <v>65.13</v>
      </c>
      <c r="E11322">
        <v>71.5</v>
      </c>
      <c r="F11322" s="1789">
        <v>8.8999999999999996E-2</v>
      </c>
      <c r="G11322">
        <f t="shared" si="355"/>
        <v>65.13</v>
      </c>
    </row>
    <row r="11323" spans="1:7" ht="12.75" customHeight="1">
      <c r="A11323" s="3">
        <v>87808</v>
      </c>
      <c r="B11323" s="4" t="s">
        <v>11348</v>
      </c>
      <c r="C11323" s="3" t="s">
        <v>409</v>
      </c>
      <c r="D11323" s="5">
        <f t="shared" si="354"/>
        <v>151.15</v>
      </c>
      <c r="E11323">
        <v>165.92</v>
      </c>
      <c r="F11323" s="1789">
        <v>8.8999999999999996E-2</v>
      </c>
      <c r="G11323">
        <f t="shared" si="355"/>
        <v>151.15</v>
      </c>
    </row>
    <row r="11324" spans="1:7" ht="12.75" customHeight="1">
      <c r="A11324" s="3">
        <v>87809</v>
      </c>
      <c r="B11324" s="4" t="s">
        <v>11349</v>
      </c>
      <c r="C11324" s="3" t="s">
        <v>409</v>
      </c>
      <c r="D11324" s="5">
        <f t="shared" si="354"/>
        <v>66.349999999999994</v>
      </c>
      <c r="E11324">
        <v>72.84</v>
      </c>
      <c r="F11324" s="1789">
        <v>8.8999999999999996E-2</v>
      </c>
      <c r="G11324">
        <f t="shared" si="355"/>
        <v>66.349999999999994</v>
      </c>
    </row>
    <row r="11325" spans="1:7" ht="12.75" customHeight="1">
      <c r="A11325" s="3">
        <v>87811</v>
      </c>
      <c r="B11325" s="4" t="s">
        <v>11350</v>
      </c>
      <c r="C11325" s="3" t="s">
        <v>409</v>
      </c>
      <c r="D11325" s="5">
        <f t="shared" si="354"/>
        <v>69.7</v>
      </c>
      <c r="E11325">
        <v>76.52</v>
      </c>
      <c r="F11325" s="1789">
        <v>8.8999999999999996E-2</v>
      </c>
      <c r="G11325">
        <f t="shared" si="355"/>
        <v>69.7</v>
      </c>
    </row>
    <row r="11326" spans="1:7" ht="12.75" customHeight="1">
      <c r="A11326" s="3">
        <v>87812</v>
      </c>
      <c r="B11326" s="4" t="s">
        <v>11351</v>
      </c>
      <c r="C11326" s="3" t="s">
        <v>409</v>
      </c>
      <c r="D11326" s="5">
        <f t="shared" si="354"/>
        <v>114.28</v>
      </c>
      <c r="E11326">
        <v>125.45</v>
      </c>
      <c r="F11326" s="1789">
        <v>8.8999999999999996E-2</v>
      </c>
      <c r="G11326">
        <f t="shared" si="355"/>
        <v>114.28</v>
      </c>
    </row>
    <row r="11327" spans="1:7" ht="12.75" customHeight="1">
      <c r="A11327" s="3">
        <v>87813</v>
      </c>
      <c r="B11327" s="4" t="s">
        <v>11352</v>
      </c>
      <c r="C11327" s="3" t="s">
        <v>409</v>
      </c>
      <c r="D11327" s="5">
        <f t="shared" si="354"/>
        <v>79.63</v>
      </c>
      <c r="E11327">
        <v>87.42</v>
      </c>
      <c r="F11327" s="1789">
        <v>8.8999999999999996E-2</v>
      </c>
      <c r="G11327">
        <f t="shared" si="355"/>
        <v>79.63</v>
      </c>
    </row>
    <row r="11328" spans="1:7" ht="12.75" customHeight="1">
      <c r="A11328" s="3">
        <v>87815</v>
      </c>
      <c r="B11328" s="4" t="s">
        <v>11353</v>
      </c>
      <c r="C11328" s="3" t="s">
        <v>409</v>
      </c>
      <c r="D11328" s="5">
        <f t="shared" si="354"/>
        <v>84.13</v>
      </c>
      <c r="E11328">
        <v>92.35</v>
      </c>
      <c r="F11328" s="1789">
        <v>8.8999999999999996E-2</v>
      </c>
      <c r="G11328">
        <f t="shared" si="355"/>
        <v>84.13</v>
      </c>
    </row>
    <row r="11329" spans="1:7" ht="12.75" customHeight="1">
      <c r="A11329" s="3">
        <v>87816</v>
      </c>
      <c r="B11329" s="4" t="s">
        <v>11354</v>
      </c>
      <c r="C11329" s="3" t="s">
        <v>409</v>
      </c>
      <c r="D11329" s="5">
        <f t="shared" si="354"/>
        <v>144.78</v>
      </c>
      <c r="E11329">
        <v>158.93</v>
      </c>
      <c r="F11329" s="1789">
        <v>8.8999999999999996E-2</v>
      </c>
      <c r="G11329">
        <f t="shared" si="355"/>
        <v>144.78</v>
      </c>
    </row>
    <row r="11330" spans="1:7" ht="12.75" customHeight="1">
      <c r="A11330" s="3">
        <v>87817</v>
      </c>
      <c r="B11330" s="4" t="s">
        <v>11355</v>
      </c>
      <c r="C11330" s="3" t="s">
        <v>409</v>
      </c>
      <c r="D11330" s="5">
        <f t="shared" si="354"/>
        <v>84.92</v>
      </c>
      <c r="E11330">
        <v>93.22</v>
      </c>
      <c r="F11330" s="1789">
        <v>8.8999999999999996E-2</v>
      </c>
      <c r="G11330">
        <f t="shared" si="355"/>
        <v>84.92</v>
      </c>
    </row>
    <row r="11331" spans="1:7" ht="12.75" customHeight="1">
      <c r="A11331" s="3">
        <v>87819</v>
      </c>
      <c r="B11331" s="4" t="s">
        <v>11356</v>
      </c>
      <c r="C11331" s="3" t="s">
        <v>409</v>
      </c>
      <c r="D11331" s="5">
        <f t="shared" si="354"/>
        <v>90.56</v>
      </c>
      <c r="E11331">
        <v>99.41</v>
      </c>
      <c r="F11331" s="1789">
        <v>8.8999999999999996E-2</v>
      </c>
      <c r="G11331">
        <f t="shared" si="355"/>
        <v>90.56</v>
      </c>
    </row>
    <row r="11332" spans="1:7" ht="12.75" customHeight="1">
      <c r="A11332" s="3">
        <v>87820</v>
      </c>
      <c r="B11332" s="4" t="s">
        <v>11357</v>
      </c>
      <c r="C11332" s="3" t="s">
        <v>409</v>
      </c>
      <c r="D11332" s="5">
        <f t="shared" si="354"/>
        <v>168</v>
      </c>
      <c r="E11332">
        <v>184.42</v>
      </c>
      <c r="F11332" s="1789">
        <v>8.8999999999999996E-2</v>
      </c>
      <c r="G11332">
        <f t="shared" si="355"/>
        <v>168</v>
      </c>
    </row>
    <row r="11333" spans="1:7" ht="12.75" customHeight="1">
      <c r="A11333" s="3">
        <v>87821</v>
      </c>
      <c r="B11333" s="4" t="s">
        <v>11358</v>
      </c>
      <c r="C11333" s="3" t="s">
        <v>409</v>
      </c>
      <c r="D11333" s="5">
        <f t="shared" si="354"/>
        <v>110.03</v>
      </c>
      <c r="E11333">
        <v>120.79</v>
      </c>
      <c r="F11333" s="1789">
        <v>8.8999999999999996E-2</v>
      </c>
      <c r="G11333">
        <f t="shared" si="355"/>
        <v>110.03</v>
      </c>
    </row>
    <row r="11334" spans="1:7" ht="12.75" customHeight="1">
      <c r="A11334" s="3">
        <v>87823</v>
      </c>
      <c r="B11334" s="4" t="s">
        <v>11359</v>
      </c>
      <c r="C11334" s="3" t="s">
        <v>409</v>
      </c>
      <c r="D11334" s="5">
        <f t="shared" si="354"/>
        <v>116.25</v>
      </c>
      <c r="E11334">
        <v>127.61</v>
      </c>
      <c r="F11334" s="1789">
        <v>8.8999999999999996E-2</v>
      </c>
      <c r="G11334">
        <f t="shared" si="355"/>
        <v>116.25</v>
      </c>
    </row>
    <row r="11335" spans="1:7" ht="12.75" customHeight="1">
      <c r="A11335" s="3">
        <v>87824</v>
      </c>
      <c r="B11335" s="4" t="s">
        <v>11360</v>
      </c>
      <c r="C11335" s="3" t="s">
        <v>409</v>
      </c>
      <c r="D11335" s="5">
        <f t="shared" si="354"/>
        <v>192.1</v>
      </c>
      <c r="E11335">
        <v>210.87</v>
      </c>
      <c r="F11335" s="1789">
        <v>8.8999999999999996E-2</v>
      </c>
      <c r="G11335">
        <f t="shared" si="355"/>
        <v>192.1</v>
      </c>
    </row>
    <row r="11336" spans="1:7" ht="12.75" customHeight="1">
      <c r="A11336" s="3">
        <v>87825</v>
      </c>
      <c r="B11336" s="4" t="s">
        <v>11361</v>
      </c>
      <c r="C11336" s="3" t="s">
        <v>409</v>
      </c>
      <c r="D11336" s="5">
        <f t="shared" si="354"/>
        <v>62.35</v>
      </c>
      <c r="E11336">
        <v>68.45</v>
      </c>
      <c r="F11336" s="1789">
        <v>8.8999999999999996E-2</v>
      </c>
      <c r="G11336">
        <f t="shared" si="355"/>
        <v>62.35</v>
      </c>
    </row>
    <row r="11337" spans="1:7" ht="12.75" customHeight="1">
      <c r="A11337" s="3">
        <v>87827</v>
      </c>
      <c r="B11337" s="4" t="s">
        <v>11362</v>
      </c>
      <c r="C11337" s="3" t="s">
        <v>409</v>
      </c>
      <c r="D11337" s="5">
        <f t="shared" si="354"/>
        <v>66.459999999999994</v>
      </c>
      <c r="E11337">
        <v>72.959999999999994</v>
      </c>
      <c r="F11337" s="1789">
        <v>8.8999999999999996E-2</v>
      </c>
      <c r="G11337">
        <f t="shared" si="355"/>
        <v>66.459999999999994</v>
      </c>
    </row>
    <row r="11338" spans="1:7" ht="12.75" customHeight="1">
      <c r="A11338" s="3">
        <v>87828</v>
      </c>
      <c r="B11338" s="4" t="s">
        <v>11363</v>
      </c>
      <c r="C11338" s="3" t="s">
        <v>409</v>
      </c>
      <c r="D11338" s="5">
        <f t="shared" si="354"/>
        <v>122.87</v>
      </c>
      <c r="E11338">
        <v>134.88</v>
      </c>
      <c r="F11338" s="1789">
        <v>8.8999999999999996E-2</v>
      </c>
      <c r="G11338">
        <f t="shared" si="355"/>
        <v>122.87</v>
      </c>
    </row>
    <row r="11339" spans="1:7" ht="12.75" customHeight="1">
      <c r="A11339" s="3">
        <v>87829</v>
      </c>
      <c r="B11339" s="4" t="s">
        <v>11364</v>
      </c>
      <c r="C11339" s="3" t="s">
        <v>409</v>
      </c>
      <c r="D11339" s="5">
        <f t="shared" si="354"/>
        <v>75.62</v>
      </c>
      <c r="E11339">
        <v>83.01</v>
      </c>
      <c r="F11339" s="1789">
        <v>8.8999999999999996E-2</v>
      </c>
      <c r="G11339">
        <f t="shared" si="355"/>
        <v>75.62</v>
      </c>
    </row>
    <row r="11340" spans="1:7" ht="12.75" customHeight="1">
      <c r="A11340" s="3">
        <v>87831</v>
      </c>
      <c r="B11340" s="4" t="s">
        <v>11365</v>
      </c>
      <c r="C11340" s="3" t="s">
        <v>409</v>
      </c>
      <c r="D11340" s="5">
        <f t="shared" si="354"/>
        <v>81.12</v>
      </c>
      <c r="E11340">
        <v>89.05</v>
      </c>
      <c r="F11340" s="1789">
        <v>8.8999999999999996E-2</v>
      </c>
      <c r="G11340">
        <f t="shared" si="355"/>
        <v>81.12</v>
      </c>
    </row>
    <row r="11341" spans="1:7" ht="12.75" customHeight="1">
      <c r="A11341" s="3">
        <v>87832</v>
      </c>
      <c r="B11341" s="4" t="s">
        <v>11366</v>
      </c>
      <c r="C11341" s="3" t="s">
        <v>409</v>
      </c>
      <c r="D11341" s="5">
        <f t="shared" si="354"/>
        <v>157.38999999999999</v>
      </c>
      <c r="E11341">
        <v>172.77</v>
      </c>
      <c r="F11341" s="1789">
        <v>8.8999999999999996E-2</v>
      </c>
      <c r="G11341">
        <f t="shared" si="355"/>
        <v>157.38999999999999</v>
      </c>
    </row>
    <row r="11342" spans="1:7" ht="12.75" customHeight="1">
      <c r="A11342" s="3">
        <v>87838</v>
      </c>
      <c r="B11342" s="4" t="s">
        <v>11367</v>
      </c>
      <c r="C11342" s="3" t="s">
        <v>409</v>
      </c>
      <c r="D11342" s="5">
        <f t="shared" si="354"/>
        <v>249.82</v>
      </c>
      <c r="E11342">
        <v>274.23</v>
      </c>
      <c r="F11342" s="1789">
        <v>8.8999999999999996E-2</v>
      </c>
      <c r="G11342">
        <f t="shared" si="355"/>
        <v>249.82</v>
      </c>
    </row>
    <row r="11343" spans="1:7" ht="12.75" customHeight="1">
      <c r="A11343" s="3">
        <v>87839</v>
      </c>
      <c r="B11343" s="4" t="s">
        <v>11368</v>
      </c>
      <c r="C11343" s="3" t="s">
        <v>409</v>
      </c>
      <c r="D11343" s="5">
        <f t="shared" si="354"/>
        <v>177.95</v>
      </c>
      <c r="E11343">
        <v>195.34</v>
      </c>
      <c r="F11343" s="1789">
        <v>8.8999999999999996E-2</v>
      </c>
      <c r="G11343">
        <f t="shared" si="355"/>
        <v>177.95</v>
      </c>
    </row>
    <row r="11344" spans="1:7" ht="12.75" customHeight="1">
      <c r="A11344" s="3">
        <v>87840</v>
      </c>
      <c r="B11344" s="4" t="s">
        <v>11369</v>
      </c>
      <c r="C11344" s="3" t="s">
        <v>409</v>
      </c>
      <c r="D11344" s="5">
        <f t="shared" si="354"/>
        <v>243.45</v>
      </c>
      <c r="E11344">
        <v>267.24</v>
      </c>
      <c r="F11344" s="1789">
        <v>8.8999999999999996E-2</v>
      </c>
      <c r="G11344">
        <f t="shared" si="355"/>
        <v>243.45</v>
      </c>
    </row>
    <row r="11345" spans="1:7" ht="12.75" customHeight="1">
      <c r="A11345" s="3">
        <v>87841</v>
      </c>
      <c r="B11345" s="4" t="s">
        <v>11370</v>
      </c>
      <c r="C11345" s="3" t="s">
        <v>409</v>
      </c>
      <c r="D11345" s="5">
        <f t="shared" si="354"/>
        <v>172.28</v>
      </c>
      <c r="E11345">
        <v>189.12</v>
      </c>
      <c r="F11345" s="1789">
        <v>8.8999999999999996E-2</v>
      </c>
      <c r="G11345">
        <f t="shared" si="355"/>
        <v>172.28</v>
      </c>
    </row>
    <row r="11346" spans="1:7" ht="12.75" customHeight="1">
      <c r="A11346" s="3">
        <v>87850</v>
      </c>
      <c r="B11346" s="4" t="s">
        <v>11371</v>
      </c>
      <c r="C11346" s="3" t="s">
        <v>409</v>
      </c>
      <c r="D11346" s="5">
        <f t="shared" si="354"/>
        <v>269.47000000000003</v>
      </c>
      <c r="E11346">
        <v>295.8</v>
      </c>
      <c r="F11346" s="1789">
        <v>8.8999999999999996E-2</v>
      </c>
      <c r="G11346">
        <f t="shared" si="355"/>
        <v>269.47000000000003</v>
      </c>
    </row>
    <row r="11347" spans="1:7" ht="12.75" customHeight="1">
      <c r="A11347" s="3">
        <v>87851</v>
      </c>
      <c r="B11347" s="4" t="s">
        <v>11372</v>
      </c>
      <c r="C11347" s="3" t="s">
        <v>409</v>
      </c>
      <c r="D11347" s="5">
        <f t="shared" si="354"/>
        <v>197.6</v>
      </c>
      <c r="E11347">
        <v>216.91</v>
      </c>
      <c r="F11347" s="1789">
        <v>8.8999999999999996E-2</v>
      </c>
      <c r="G11347">
        <f t="shared" si="355"/>
        <v>197.6</v>
      </c>
    </row>
    <row r="11348" spans="1:7" ht="12.75" customHeight="1">
      <c r="A11348" s="3">
        <v>87852</v>
      </c>
      <c r="B11348" s="4" t="s">
        <v>11373</v>
      </c>
      <c r="C11348" s="3" t="s">
        <v>409</v>
      </c>
      <c r="D11348" s="5">
        <f t="shared" si="354"/>
        <v>262.81</v>
      </c>
      <c r="E11348">
        <v>288.49</v>
      </c>
      <c r="F11348" s="1789">
        <v>8.8999999999999996E-2</v>
      </c>
      <c r="G11348">
        <f t="shared" si="355"/>
        <v>262.81</v>
      </c>
    </row>
    <row r="11349" spans="1:7" ht="12.75" customHeight="1">
      <c r="A11349" s="3">
        <v>87853</v>
      </c>
      <c r="B11349" s="4" t="s">
        <v>11374</v>
      </c>
      <c r="C11349" s="3" t="s">
        <v>409</v>
      </c>
      <c r="D11349" s="5">
        <f t="shared" ref="D11349:D11412" si="356">G11349</f>
        <v>191.64</v>
      </c>
      <c r="E11349">
        <v>210.37</v>
      </c>
      <c r="F11349" s="1789">
        <v>8.8999999999999996E-2</v>
      </c>
      <c r="G11349">
        <f t="shared" ref="G11349:G11412" si="357">TRUNC((1-F11349)*E11349,2)</f>
        <v>191.64</v>
      </c>
    </row>
    <row r="11350" spans="1:7" ht="12.75" customHeight="1">
      <c r="A11350" s="3">
        <v>90406</v>
      </c>
      <c r="B11350" s="4" t="s">
        <v>11375</v>
      </c>
      <c r="C11350" s="3" t="s">
        <v>409</v>
      </c>
      <c r="D11350" s="5">
        <f t="shared" si="356"/>
        <v>37.15</v>
      </c>
      <c r="E11350">
        <v>40.78</v>
      </c>
      <c r="F11350" s="1789">
        <v>8.8999999999999996E-2</v>
      </c>
      <c r="G11350">
        <f t="shared" si="357"/>
        <v>37.15</v>
      </c>
    </row>
    <row r="11351" spans="1:7" ht="12.75" customHeight="1">
      <c r="A11351" s="3">
        <v>90408</v>
      </c>
      <c r="B11351" s="4" t="s">
        <v>11376</v>
      </c>
      <c r="C11351" s="3" t="s">
        <v>409</v>
      </c>
      <c r="D11351" s="5">
        <f t="shared" si="356"/>
        <v>27.59</v>
      </c>
      <c r="E11351">
        <v>30.29</v>
      </c>
      <c r="F11351" s="1789">
        <v>8.8999999999999996E-2</v>
      </c>
      <c r="G11351">
        <f t="shared" si="357"/>
        <v>27.59</v>
      </c>
    </row>
    <row r="11352" spans="1:7" ht="12.75" customHeight="1">
      <c r="A11352" s="3">
        <v>104203</v>
      </c>
      <c r="B11352" s="4" t="s">
        <v>11377</v>
      </c>
      <c r="C11352" s="3" t="s">
        <v>409</v>
      </c>
      <c r="D11352" s="5">
        <f t="shared" si="356"/>
        <v>51.55</v>
      </c>
      <c r="E11352">
        <v>56.59</v>
      </c>
      <c r="F11352" s="1789">
        <v>8.8999999999999996E-2</v>
      </c>
      <c r="G11352">
        <f t="shared" si="357"/>
        <v>51.55</v>
      </c>
    </row>
    <row r="11353" spans="1:7" ht="12.75" customHeight="1">
      <c r="A11353" s="3">
        <v>104204</v>
      </c>
      <c r="B11353" s="4" t="s">
        <v>11378</v>
      </c>
      <c r="C11353" s="3" t="s">
        <v>409</v>
      </c>
      <c r="D11353" s="5">
        <f t="shared" si="356"/>
        <v>66.56</v>
      </c>
      <c r="E11353">
        <v>73.069999999999993</v>
      </c>
      <c r="F11353" s="1789">
        <v>8.8999999999999996E-2</v>
      </c>
      <c r="G11353">
        <f t="shared" si="357"/>
        <v>66.56</v>
      </c>
    </row>
    <row r="11354" spans="1:7" ht="12.75" customHeight="1">
      <c r="A11354" s="3">
        <v>104205</v>
      </c>
      <c r="B11354" s="4" t="s">
        <v>11379</v>
      </c>
      <c r="C11354" s="3" t="s">
        <v>409</v>
      </c>
      <c r="D11354" s="5">
        <f t="shared" si="356"/>
        <v>72.86</v>
      </c>
      <c r="E11354">
        <v>79.98</v>
      </c>
      <c r="F11354" s="1789">
        <v>8.8999999999999996E-2</v>
      </c>
      <c r="G11354">
        <f t="shared" si="357"/>
        <v>72.86</v>
      </c>
    </row>
    <row r="11355" spans="1:7" ht="12.75" customHeight="1">
      <c r="A11355" s="3">
        <v>104206</v>
      </c>
      <c r="B11355" s="4" t="s">
        <v>11380</v>
      </c>
      <c r="C11355" s="3" t="s">
        <v>409</v>
      </c>
      <c r="D11355" s="5">
        <f t="shared" si="356"/>
        <v>80.430000000000007</v>
      </c>
      <c r="E11355">
        <v>88.29</v>
      </c>
      <c r="F11355" s="1789">
        <v>8.8999999999999996E-2</v>
      </c>
      <c r="G11355">
        <f t="shared" si="357"/>
        <v>80.430000000000007</v>
      </c>
    </row>
    <row r="11356" spans="1:7" ht="12.75" customHeight="1">
      <c r="A11356" s="3">
        <v>104207</v>
      </c>
      <c r="B11356" s="4" t="s">
        <v>11381</v>
      </c>
      <c r="C11356" s="3" t="s">
        <v>409</v>
      </c>
      <c r="D11356" s="5">
        <f t="shared" si="356"/>
        <v>38.51</v>
      </c>
      <c r="E11356">
        <v>42.28</v>
      </c>
      <c r="F11356" s="1789">
        <v>8.8999999999999996E-2</v>
      </c>
      <c r="G11356">
        <f t="shared" si="357"/>
        <v>38.51</v>
      </c>
    </row>
    <row r="11357" spans="1:7" ht="12.75" customHeight="1">
      <c r="A11357" s="3">
        <v>104208</v>
      </c>
      <c r="B11357" s="4" t="s">
        <v>11382</v>
      </c>
      <c r="C11357" s="3" t="s">
        <v>409</v>
      </c>
      <c r="D11357" s="5">
        <f t="shared" si="356"/>
        <v>53.12</v>
      </c>
      <c r="E11357">
        <v>58.31</v>
      </c>
      <c r="F11357" s="1789">
        <v>8.8999999999999996E-2</v>
      </c>
      <c r="G11357">
        <f t="shared" si="357"/>
        <v>53.12</v>
      </c>
    </row>
    <row r="11358" spans="1:7" ht="12.75" customHeight="1">
      <c r="A11358" s="3">
        <v>104209</v>
      </c>
      <c r="B11358" s="4" t="s">
        <v>11383</v>
      </c>
      <c r="C11358" s="3" t="s">
        <v>409</v>
      </c>
      <c r="D11358" s="5">
        <f t="shared" si="356"/>
        <v>59.04</v>
      </c>
      <c r="E11358">
        <v>64.81</v>
      </c>
      <c r="F11358" s="1789">
        <v>8.8999999999999996E-2</v>
      </c>
      <c r="G11358">
        <f t="shared" si="357"/>
        <v>59.04</v>
      </c>
    </row>
    <row r="11359" spans="1:7" ht="12.75" customHeight="1">
      <c r="A11359" s="3">
        <v>104210</v>
      </c>
      <c r="B11359" s="4" t="s">
        <v>11384</v>
      </c>
      <c r="C11359" s="3" t="s">
        <v>409</v>
      </c>
      <c r="D11359" s="5">
        <f t="shared" si="356"/>
        <v>61.29</v>
      </c>
      <c r="E11359">
        <v>67.28</v>
      </c>
      <c r="F11359" s="1789">
        <v>8.8999999999999996E-2</v>
      </c>
      <c r="G11359">
        <f t="shared" si="357"/>
        <v>61.29</v>
      </c>
    </row>
    <row r="11360" spans="1:7" ht="12.75" customHeight="1">
      <c r="A11360" s="3">
        <v>104211</v>
      </c>
      <c r="B11360" s="4" t="s">
        <v>11385</v>
      </c>
      <c r="C11360" s="3" t="s">
        <v>409</v>
      </c>
      <c r="D11360" s="5">
        <f t="shared" si="356"/>
        <v>72.39</v>
      </c>
      <c r="E11360">
        <v>79.47</v>
      </c>
      <c r="F11360" s="1789">
        <v>8.8999999999999996E-2</v>
      </c>
      <c r="G11360">
        <f t="shared" si="357"/>
        <v>72.39</v>
      </c>
    </row>
    <row r="11361" spans="1:7" ht="12.75" customHeight="1">
      <c r="A11361" s="3">
        <v>104212</v>
      </c>
      <c r="B11361" s="4" t="s">
        <v>11386</v>
      </c>
      <c r="C11361" s="3" t="s">
        <v>409</v>
      </c>
      <c r="D11361" s="5">
        <f t="shared" si="356"/>
        <v>87.02</v>
      </c>
      <c r="E11361">
        <v>95.53</v>
      </c>
      <c r="F11361" s="1789">
        <v>8.8999999999999996E-2</v>
      </c>
      <c r="G11361">
        <f t="shared" si="357"/>
        <v>87.02</v>
      </c>
    </row>
    <row r="11362" spans="1:7" ht="12.75" customHeight="1">
      <c r="A11362" s="3">
        <v>104213</v>
      </c>
      <c r="B11362" s="4" t="s">
        <v>11387</v>
      </c>
      <c r="C11362" s="3" t="s">
        <v>409</v>
      </c>
      <c r="D11362" s="5">
        <f t="shared" si="356"/>
        <v>92.94</v>
      </c>
      <c r="E11362">
        <v>102.03</v>
      </c>
      <c r="F11362" s="1789">
        <v>8.8999999999999996E-2</v>
      </c>
      <c r="G11362">
        <f t="shared" si="357"/>
        <v>92.94</v>
      </c>
    </row>
    <row r="11363" spans="1:7" ht="12.75" customHeight="1">
      <c r="A11363" s="3">
        <v>104214</v>
      </c>
      <c r="B11363" s="4" t="s">
        <v>11388</v>
      </c>
      <c r="C11363" s="3" t="s">
        <v>409</v>
      </c>
      <c r="D11363" s="5">
        <f t="shared" si="356"/>
        <v>110.84</v>
      </c>
      <c r="E11363">
        <v>121.67</v>
      </c>
      <c r="F11363" s="1789">
        <v>8.8999999999999996E-2</v>
      </c>
      <c r="G11363">
        <f t="shared" si="357"/>
        <v>110.84</v>
      </c>
    </row>
    <row r="11364" spans="1:7" ht="12.75" customHeight="1">
      <c r="A11364" s="3">
        <v>104215</v>
      </c>
      <c r="B11364" s="4" t="s">
        <v>11389</v>
      </c>
      <c r="C11364" s="3" t="s">
        <v>409</v>
      </c>
      <c r="D11364" s="5">
        <f t="shared" si="356"/>
        <v>67.819999999999993</v>
      </c>
      <c r="E11364">
        <v>74.45</v>
      </c>
      <c r="F11364" s="1789">
        <v>8.8999999999999996E-2</v>
      </c>
      <c r="G11364">
        <f t="shared" si="357"/>
        <v>67.819999999999993</v>
      </c>
    </row>
    <row r="11365" spans="1:7" ht="12.75" customHeight="1">
      <c r="A11365" s="3">
        <v>104216</v>
      </c>
      <c r="B11365" s="4" t="s">
        <v>11390</v>
      </c>
      <c r="C11365" s="3" t="s">
        <v>409</v>
      </c>
      <c r="D11365" s="5">
        <f t="shared" si="356"/>
        <v>82.3</v>
      </c>
      <c r="E11365">
        <v>90.35</v>
      </c>
      <c r="F11365" s="1789">
        <v>8.8999999999999996E-2</v>
      </c>
      <c r="G11365">
        <f t="shared" si="357"/>
        <v>82.3</v>
      </c>
    </row>
    <row r="11366" spans="1:7" ht="12.75" customHeight="1">
      <c r="A11366" s="3">
        <v>104217</v>
      </c>
      <c r="B11366" s="4" t="s">
        <v>11391</v>
      </c>
      <c r="C11366" s="3" t="s">
        <v>409</v>
      </c>
      <c r="D11366" s="5">
        <f t="shared" si="356"/>
        <v>44.21</v>
      </c>
      <c r="E11366">
        <v>48.54</v>
      </c>
      <c r="F11366" s="1789">
        <v>8.8999999999999996E-2</v>
      </c>
      <c r="G11366">
        <f t="shared" si="357"/>
        <v>44.21</v>
      </c>
    </row>
    <row r="11367" spans="1:7" ht="12.75" customHeight="1">
      <c r="A11367" s="3">
        <v>104218</v>
      </c>
      <c r="B11367" s="4" t="s">
        <v>11392</v>
      </c>
      <c r="C11367" s="3" t="s">
        <v>409</v>
      </c>
      <c r="D11367" s="5">
        <f t="shared" si="356"/>
        <v>47.8</v>
      </c>
      <c r="E11367">
        <v>52.48</v>
      </c>
      <c r="F11367" s="1789">
        <v>8.8999999999999996E-2</v>
      </c>
      <c r="G11367">
        <f t="shared" si="357"/>
        <v>47.8</v>
      </c>
    </row>
    <row r="11368" spans="1:7" ht="12.75" customHeight="1">
      <c r="A11368" s="3">
        <v>104219</v>
      </c>
      <c r="B11368" s="4" t="s">
        <v>11393</v>
      </c>
      <c r="C11368" s="3" t="s">
        <v>409</v>
      </c>
      <c r="D11368" s="5">
        <f t="shared" si="356"/>
        <v>98.29</v>
      </c>
      <c r="E11368">
        <v>107.9</v>
      </c>
      <c r="F11368" s="1789">
        <v>8.8999999999999996E-2</v>
      </c>
      <c r="G11368">
        <f t="shared" si="357"/>
        <v>98.29</v>
      </c>
    </row>
    <row r="11369" spans="1:7" ht="12.75" customHeight="1">
      <c r="A11369" s="3">
        <v>104220</v>
      </c>
      <c r="B11369" s="4" t="s">
        <v>11394</v>
      </c>
      <c r="C11369" s="3" t="s">
        <v>409</v>
      </c>
      <c r="D11369" s="5">
        <f t="shared" si="356"/>
        <v>48.04</v>
      </c>
      <c r="E11369">
        <v>52.74</v>
      </c>
      <c r="F11369" s="1789">
        <v>8.8999999999999996E-2</v>
      </c>
      <c r="G11369">
        <f t="shared" si="357"/>
        <v>48.04</v>
      </c>
    </row>
    <row r="11370" spans="1:7" ht="12.75" customHeight="1">
      <c r="A11370" s="3">
        <v>104221</v>
      </c>
      <c r="B11370" s="4" t="s">
        <v>11395</v>
      </c>
      <c r="C11370" s="3" t="s">
        <v>409</v>
      </c>
      <c r="D11370" s="5">
        <f t="shared" si="356"/>
        <v>56.9</v>
      </c>
      <c r="E11370">
        <v>62.46</v>
      </c>
      <c r="F11370" s="1789">
        <v>8.8999999999999996E-2</v>
      </c>
      <c r="G11370">
        <f t="shared" si="357"/>
        <v>56.9</v>
      </c>
    </row>
    <row r="11371" spans="1:7" ht="12.75" customHeight="1">
      <c r="A11371" s="3">
        <v>104222</v>
      </c>
      <c r="B11371" s="4" t="s">
        <v>11396</v>
      </c>
      <c r="C11371" s="3" t="s">
        <v>409</v>
      </c>
      <c r="D11371" s="5">
        <f t="shared" si="356"/>
        <v>61.72</v>
      </c>
      <c r="E11371">
        <v>67.75</v>
      </c>
      <c r="F11371" s="1789">
        <v>8.8999999999999996E-2</v>
      </c>
      <c r="G11371">
        <f t="shared" si="357"/>
        <v>61.72</v>
      </c>
    </row>
    <row r="11372" spans="1:7" ht="12.75" customHeight="1">
      <c r="A11372" s="3">
        <v>104223</v>
      </c>
      <c r="B11372" s="4" t="s">
        <v>11397</v>
      </c>
      <c r="C11372" s="3" t="s">
        <v>409</v>
      </c>
      <c r="D11372" s="5">
        <f t="shared" si="356"/>
        <v>129.54</v>
      </c>
      <c r="E11372">
        <v>142.19999999999999</v>
      </c>
      <c r="F11372" s="1789">
        <v>8.8999999999999996E-2</v>
      </c>
      <c r="G11372">
        <f t="shared" si="357"/>
        <v>129.54</v>
      </c>
    </row>
    <row r="11373" spans="1:7" ht="12.75" customHeight="1">
      <c r="A11373" s="3">
        <v>104224</v>
      </c>
      <c r="B11373" s="4" t="s">
        <v>11398</v>
      </c>
      <c r="C11373" s="3" t="s">
        <v>409</v>
      </c>
      <c r="D11373" s="5">
        <f t="shared" si="356"/>
        <v>62</v>
      </c>
      <c r="E11373">
        <v>68.06</v>
      </c>
      <c r="F11373" s="1789">
        <v>8.8999999999999996E-2</v>
      </c>
      <c r="G11373">
        <f t="shared" si="357"/>
        <v>62</v>
      </c>
    </row>
    <row r="11374" spans="1:7" ht="12.75" customHeight="1">
      <c r="A11374" s="3">
        <v>104225</v>
      </c>
      <c r="B11374" s="4" t="s">
        <v>11399</v>
      </c>
      <c r="C11374" s="3" t="s">
        <v>409</v>
      </c>
      <c r="D11374" s="5">
        <f t="shared" si="356"/>
        <v>62.55</v>
      </c>
      <c r="E11374">
        <v>68.67</v>
      </c>
      <c r="F11374" s="1789">
        <v>8.8999999999999996E-2</v>
      </c>
      <c r="G11374">
        <f t="shared" si="357"/>
        <v>62.55</v>
      </c>
    </row>
    <row r="11375" spans="1:7" ht="12.75" customHeight="1">
      <c r="A11375" s="3">
        <v>104226</v>
      </c>
      <c r="B11375" s="4" t="s">
        <v>11400</v>
      </c>
      <c r="C11375" s="3" t="s">
        <v>409</v>
      </c>
      <c r="D11375" s="5">
        <f t="shared" si="356"/>
        <v>68.59</v>
      </c>
      <c r="E11375">
        <v>75.3</v>
      </c>
      <c r="F11375" s="1789">
        <v>8.8999999999999996E-2</v>
      </c>
      <c r="G11375">
        <f t="shared" si="357"/>
        <v>68.59</v>
      </c>
    </row>
    <row r="11376" spans="1:7" ht="12.75" customHeight="1">
      <c r="A11376" s="3">
        <v>104227</v>
      </c>
      <c r="B11376" s="4" t="s">
        <v>11401</v>
      </c>
      <c r="C11376" s="3" t="s">
        <v>409</v>
      </c>
      <c r="D11376" s="5">
        <f t="shared" si="356"/>
        <v>154.38999999999999</v>
      </c>
      <c r="E11376">
        <v>169.48</v>
      </c>
      <c r="F11376" s="1789">
        <v>8.8999999999999996E-2</v>
      </c>
      <c r="G11376">
        <f t="shared" si="357"/>
        <v>154.38999999999999</v>
      </c>
    </row>
    <row r="11377" spans="1:7" ht="12.75" customHeight="1">
      <c r="A11377" s="3">
        <v>104228</v>
      </c>
      <c r="B11377" s="4" t="s">
        <v>11402</v>
      </c>
      <c r="C11377" s="3" t="s">
        <v>409</v>
      </c>
      <c r="D11377" s="5">
        <f t="shared" si="356"/>
        <v>68.290000000000006</v>
      </c>
      <c r="E11377">
        <v>74.97</v>
      </c>
      <c r="F11377" s="1789">
        <v>8.8999999999999996E-2</v>
      </c>
      <c r="G11377">
        <f t="shared" si="357"/>
        <v>68.290000000000006</v>
      </c>
    </row>
    <row r="11378" spans="1:7" ht="12.75" customHeight="1">
      <c r="A11378" s="3">
        <v>104229</v>
      </c>
      <c r="B11378" s="4" t="s">
        <v>11403</v>
      </c>
      <c r="C11378" s="3" t="s">
        <v>409</v>
      </c>
      <c r="D11378" s="5">
        <f t="shared" si="356"/>
        <v>73.39</v>
      </c>
      <c r="E11378">
        <v>80.56</v>
      </c>
      <c r="F11378" s="1789">
        <v>8.8999999999999996E-2</v>
      </c>
      <c r="G11378">
        <f t="shared" si="357"/>
        <v>73.39</v>
      </c>
    </row>
    <row r="11379" spans="1:7" ht="12.75" customHeight="1">
      <c r="A11379" s="3">
        <v>104230</v>
      </c>
      <c r="B11379" s="4" t="s">
        <v>11404</v>
      </c>
      <c r="C11379" s="3" t="s">
        <v>409</v>
      </c>
      <c r="D11379" s="5">
        <f t="shared" si="356"/>
        <v>80.040000000000006</v>
      </c>
      <c r="E11379">
        <v>87.86</v>
      </c>
      <c r="F11379" s="1789">
        <v>8.8999999999999996E-2</v>
      </c>
      <c r="G11379">
        <f t="shared" si="357"/>
        <v>80.040000000000006</v>
      </c>
    </row>
    <row r="11380" spans="1:7" ht="12.75" customHeight="1">
      <c r="A11380" s="3">
        <v>104231</v>
      </c>
      <c r="B11380" s="4" t="s">
        <v>11405</v>
      </c>
      <c r="C11380" s="3" t="s">
        <v>409</v>
      </c>
      <c r="D11380" s="5">
        <f t="shared" si="356"/>
        <v>170.04</v>
      </c>
      <c r="E11380">
        <v>186.66</v>
      </c>
      <c r="F11380" s="1789">
        <v>8.8999999999999996E-2</v>
      </c>
      <c r="G11380">
        <f t="shared" si="357"/>
        <v>170.04</v>
      </c>
    </row>
    <row r="11381" spans="1:7" ht="12.75" customHeight="1">
      <c r="A11381" s="3">
        <v>104232</v>
      </c>
      <c r="B11381" s="4" t="s">
        <v>11406</v>
      </c>
      <c r="C11381" s="3" t="s">
        <v>409</v>
      </c>
      <c r="D11381" s="5">
        <f t="shared" si="356"/>
        <v>75.42</v>
      </c>
      <c r="E11381">
        <v>82.79</v>
      </c>
      <c r="F11381" s="1789">
        <v>8.8999999999999996E-2</v>
      </c>
      <c r="G11381">
        <f t="shared" si="357"/>
        <v>75.42</v>
      </c>
    </row>
    <row r="11382" spans="1:7" ht="12.75" customHeight="1">
      <c r="A11382" s="3">
        <v>104233</v>
      </c>
      <c r="B11382" s="4" t="s">
        <v>11407</v>
      </c>
      <c r="C11382" s="3" t="s">
        <v>409</v>
      </c>
      <c r="D11382" s="5">
        <f t="shared" si="356"/>
        <v>33.49</v>
      </c>
      <c r="E11382">
        <v>36.770000000000003</v>
      </c>
      <c r="F11382" s="1789">
        <v>8.8999999999999996E-2</v>
      </c>
      <c r="G11382">
        <f t="shared" si="357"/>
        <v>33.49</v>
      </c>
    </row>
    <row r="11383" spans="1:7" ht="12.75" customHeight="1">
      <c r="A11383" s="3">
        <v>104234</v>
      </c>
      <c r="B11383" s="4" t="s">
        <v>11408</v>
      </c>
      <c r="C11383" s="3" t="s">
        <v>409</v>
      </c>
      <c r="D11383" s="5">
        <f t="shared" si="356"/>
        <v>36.840000000000003</v>
      </c>
      <c r="E11383">
        <v>40.450000000000003</v>
      </c>
      <c r="F11383" s="1789">
        <v>8.8999999999999996E-2</v>
      </c>
      <c r="G11383">
        <f t="shared" si="357"/>
        <v>36.840000000000003</v>
      </c>
    </row>
    <row r="11384" spans="1:7" ht="12.75" customHeight="1">
      <c r="A11384" s="3">
        <v>104235</v>
      </c>
      <c r="B11384" s="4" t="s">
        <v>11409</v>
      </c>
      <c r="C11384" s="3" t="s">
        <v>409</v>
      </c>
      <c r="D11384" s="5">
        <f t="shared" si="356"/>
        <v>84.63</v>
      </c>
      <c r="E11384">
        <v>92.9</v>
      </c>
      <c r="F11384" s="1789">
        <v>8.8999999999999996E-2</v>
      </c>
      <c r="G11384">
        <f t="shared" si="357"/>
        <v>84.63</v>
      </c>
    </row>
    <row r="11385" spans="1:7" ht="12.75" customHeight="1">
      <c r="A11385" s="3">
        <v>104236</v>
      </c>
      <c r="B11385" s="4" t="s">
        <v>11410</v>
      </c>
      <c r="C11385" s="3" t="s">
        <v>409</v>
      </c>
      <c r="D11385" s="5">
        <f t="shared" si="356"/>
        <v>36.35</v>
      </c>
      <c r="E11385">
        <v>39.909999999999997</v>
      </c>
      <c r="F11385" s="1789">
        <v>8.8999999999999996E-2</v>
      </c>
      <c r="G11385">
        <f t="shared" si="357"/>
        <v>36.35</v>
      </c>
    </row>
    <row r="11386" spans="1:7" ht="12.75" customHeight="1">
      <c r="A11386" s="3">
        <v>104237</v>
      </c>
      <c r="B11386" s="4" t="s">
        <v>11411</v>
      </c>
      <c r="C11386" s="3" t="s">
        <v>409</v>
      </c>
      <c r="D11386" s="5">
        <f t="shared" si="356"/>
        <v>45.85</v>
      </c>
      <c r="E11386">
        <v>50.33</v>
      </c>
      <c r="F11386" s="1789">
        <v>8.8999999999999996E-2</v>
      </c>
      <c r="G11386">
        <f t="shared" si="357"/>
        <v>45.85</v>
      </c>
    </row>
    <row r="11387" spans="1:7" ht="12.75" customHeight="1">
      <c r="A11387" s="3">
        <v>104238</v>
      </c>
      <c r="B11387" s="4" t="s">
        <v>11412</v>
      </c>
      <c r="C11387" s="3" t="s">
        <v>409</v>
      </c>
      <c r="D11387" s="5">
        <f t="shared" si="356"/>
        <v>50.34</v>
      </c>
      <c r="E11387">
        <v>55.26</v>
      </c>
      <c r="F11387" s="1789">
        <v>8.8999999999999996E-2</v>
      </c>
      <c r="G11387">
        <f t="shared" si="357"/>
        <v>50.34</v>
      </c>
    </row>
    <row r="11388" spans="1:7" ht="12.75" customHeight="1">
      <c r="A11388" s="3">
        <v>104239</v>
      </c>
      <c r="B11388" s="4" t="s">
        <v>11413</v>
      </c>
      <c r="C11388" s="3" t="s">
        <v>409</v>
      </c>
      <c r="D11388" s="5">
        <f t="shared" si="356"/>
        <v>114.31</v>
      </c>
      <c r="E11388">
        <v>125.48</v>
      </c>
      <c r="F11388" s="1789">
        <v>8.8999999999999996E-2</v>
      </c>
      <c r="G11388">
        <f t="shared" si="357"/>
        <v>114.31</v>
      </c>
    </row>
    <row r="11389" spans="1:7" ht="12.75" customHeight="1">
      <c r="A11389" s="3">
        <v>104240</v>
      </c>
      <c r="B11389" s="4" t="s">
        <v>11414</v>
      </c>
      <c r="C11389" s="3" t="s">
        <v>409</v>
      </c>
      <c r="D11389" s="5">
        <f t="shared" si="356"/>
        <v>50.01</v>
      </c>
      <c r="E11389">
        <v>54.9</v>
      </c>
      <c r="F11389" s="1789">
        <v>8.8999999999999996E-2</v>
      </c>
      <c r="G11389">
        <f t="shared" si="357"/>
        <v>50.01</v>
      </c>
    </row>
    <row r="11390" spans="1:7" ht="12.75" customHeight="1">
      <c r="A11390" s="3">
        <v>104241</v>
      </c>
      <c r="B11390" s="4" t="s">
        <v>11415</v>
      </c>
      <c r="C11390" s="3" t="s">
        <v>409</v>
      </c>
      <c r="D11390" s="5">
        <f t="shared" si="356"/>
        <v>51.13</v>
      </c>
      <c r="E11390">
        <v>56.13</v>
      </c>
      <c r="F11390" s="1789">
        <v>8.8999999999999996E-2</v>
      </c>
      <c r="G11390">
        <f t="shared" si="357"/>
        <v>51.13</v>
      </c>
    </row>
    <row r="11391" spans="1:7" ht="12.75" customHeight="1">
      <c r="A11391" s="3">
        <v>104242</v>
      </c>
      <c r="B11391" s="4" t="s">
        <v>11416</v>
      </c>
      <c r="C11391" s="3" t="s">
        <v>409</v>
      </c>
      <c r="D11391" s="5">
        <f t="shared" si="356"/>
        <v>56.77</v>
      </c>
      <c r="E11391">
        <v>62.32</v>
      </c>
      <c r="F11391" s="1789">
        <v>8.8999999999999996E-2</v>
      </c>
      <c r="G11391">
        <f t="shared" si="357"/>
        <v>56.77</v>
      </c>
    </row>
    <row r="11392" spans="1:7" ht="12.75" customHeight="1">
      <c r="A11392" s="3">
        <v>104243</v>
      </c>
      <c r="B11392" s="4" t="s">
        <v>11417</v>
      </c>
      <c r="C11392" s="3" t="s">
        <v>409</v>
      </c>
      <c r="D11392" s="5">
        <f t="shared" si="356"/>
        <v>137.53</v>
      </c>
      <c r="E11392">
        <v>150.97</v>
      </c>
      <c r="F11392" s="1789">
        <v>8.8999999999999996E-2</v>
      </c>
      <c r="G11392">
        <f t="shared" si="357"/>
        <v>137.53</v>
      </c>
    </row>
    <row r="11393" spans="1:7" ht="12.75" customHeight="1">
      <c r="A11393" s="3">
        <v>104244</v>
      </c>
      <c r="B11393" s="4" t="s">
        <v>11418</v>
      </c>
      <c r="C11393" s="3" t="s">
        <v>409</v>
      </c>
      <c r="D11393" s="5">
        <f t="shared" si="356"/>
        <v>55.93</v>
      </c>
      <c r="E11393">
        <v>61.4</v>
      </c>
      <c r="F11393" s="1789">
        <v>8.8999999999999996E-2</v>
      </c>
      <c r="G11393">
        <f t="shared" si="357"/>
        <v>55.93</v>
      </c>
    </row>
    <row r="11394" spans="1:7" ht="12.75" customHeight="1">
      <c r="A11394" s="3">
        <v>104245</v>
      </c>
      <c r="B11394" s="4" t="s">
        <v>11419</v>
      </c>
      <c r="C11394" s="3" t="s">
        <v>409</v>
      </c>
      <c r="D11394" s="5">
        <f t="shared" si="356"/>
        <v>55.78</v>
      </c>
      <c r="E11394">
        <v>61.23</v>
      </c>
      <c r="F11394" s="1789">
        <v>8.8999999999999996E-2</v>
      </c>
      <c r="G11394">
        <f t="shared" si="357"/>
        <v>55.78</v>
      </c>
    </row>
    <row r="11395" spans="1:7" ht="12.75" customHeight="1">
      <c r="A11395" s="3">
        <v>104246</v>
      </c>
      <c r="B11395" s="4" t="s">
        <v>11420</v>
      </c>
      <c r="C11395" s="3" t="s">
        <v>409</v>
      </c>
      <c r="D11395" s="5">
        <f t="shared" si="356"/>
        <v>61.99</v>
      </c>
      <c r="E11395">
        <v>68.05</v>
      </c>
      <c r="F11395" s="1789">
        <v>8.8999999999999996E-2</v>
      </c>
      <c r="G11395">
        <f t="shared" si="357"/>
        <v>61.99</v>
      </c>
    </row>
    <row r="11396" spans="1:7" ht="12.75" customHeight="1">
      <c r="A11396" s="3">
        <v>104247</v>
      </c>
      <c r="B11396" s="4" t="s">
        <v>11421</v>
      </c>
      <c r="C11396" s="3" t="s">
        <v>409</v>
      </c>
      <c r="D11396" s="5">
        <f t="shared" si="356"/>
        <v>148.63999999999999</v>
      </c>
      <c r="E11396">
        <v>163.16999999999999</v>
      </c>
      <c r="F11396" s="1789">
        <v>8.8999999999999996E-2</v>
      </c>
      <c r="G11396">
        <f t="shared" si="357"/>
        <v>148.63999999999999</v>
      </c>
    </row>
    <row r="11397" spans="1:7" ht="12.75" customHeight="1">
      <c r="A11397" s="3">
        <v>104248</v>
      </c>
      <c r="B11397" s="4" t="s">
        <v>11422</v>
      </c>
      <c r="C11397" s="3" t="s">
        <v>409</v>
      </c>
      <c r="D11397" s="5">
        <f t="shared" si="356"/>
        <v>58.29</v>
      </c>
      <c r="E11397">
        <v>63.99</v>
      </c>
      <c r="F11397" s="1789">
        <v>8.8999999999999996E-2</v>
      </c>
      <c r="G11397">
        <f t="shared" si="357"/>
        <v>58.29</v>
      </c>
    </row>
    <row r="11398" spans="1:7" ht="12.75" customHeight="1">
      <c r="A11398" s="3">
        <v>104249</v>
      </c>
      <c r="B11398" s="4" t="s">
        <v>11423</v>
      </c>
      <c r="C11398" s="3" t="s">
        <v>409</v>
      </c>
      <c r="D11398" s="5">
        <f t="shared" si="356"/>
        <v>60.49</v>
      </c>
      <c r="E11398">
        <v>66.41</v>
      </c>
      <c r="F11398" s="1789">
        <v>8.8999999999999996E-2</v>
      </c>
      <c r="G11398">
        <f t="shared" si="357"/>
        <v>60.49</v>
      </c>
    </row>
    <row r="11399" spans="1:7" ht="12.75" customHeight="1">
      <c r="A11399" s="3">
        <v>104250</v>
      </c>
      <c r="B11399" s="4" t="s">
        <v>11424</v>
      </c>
      <c r="C11399" s="3" t="s">
        <v>409</v>
      </c>
      <c r="D11399" s="5">
        <f t="shared" si="356"/>
        <v>63.85</v>
      </c>
      <c r="E11399">
        <v>70.09</v>
      </c>
      <c r="F11399" s="1789">
        <v>8.8999999999999996E-2</v>
      </c>
      <c r="G11399">
        <f t="shared" si="357"/>
        <v>63.85</v>
      </c>
    </row>
    <row r="11400" spans="1:7" ht="12.75" customHeight="1">
      <c r="A11400" s="3">
        <v>104251</v>
      </c>
      <c r="B11400" s="4" t="s">
        <v>11425</v>
      </c>
      <c r="C11400" s="3" t="s">
        <v>409</v>
      </c>
      <c r="D11400" s="5">
        <f t="shared" si="356"/>
        <v>109.01</v>
      </c>
      <c r="E11400">
        <v>119.66</v>
      </c>
      <c r="F11400" s="1789">
        <v>8.8999999999999996E-2</v>
      </c>
      <c r="G11400">
        <f t="shared" si="357"/>
        <v>109.01</v>
      </c>
    </row>
    <row r="11401" spans="1:7" ht="12.75" customHeight="1">
      <c r="A11401" s="3">
        <v>104252</v>
      </c>
      <c r="B11401" s="4" t="s">
        <v>11426</v>
      </c>
      <c r="C11401" s="3" t="s">
        <v>409</v>
      </c>
      <c r="D11401" s="5">
        <f t="shared" si="356"/>
        <v>66.08</v>
      </c>
      <c r="E11401">
        <v>72.540000000000006</v>
      </c>
      <c r="F11401" s="1789">
        <v>8.8999999999999996E-2</v>
      </c>
      <c r="G11401">
        <f t="shared" si="357"/>
        <v>66.08</v>
      </c>
    </row>
    <row r="11402" spans="1:7" ht="12.75" customHeight="1">
      <c r="A11402" s="3">
        <v>104253</v>
      </c>
      <c r="B11402" s="4" t="s">
        <v>11427</v>
      </c>
      <c r="C11402" s="3" t="s">
        <v>409</v>
      </c>
      <c r="D11402" s="5">
        <f t="shared" si="356"/>
        <v>72.849999999999994</v>
      </c>
      <c r="E11402">
        <v>79.97</v>
      </c>
      <c r="F11402" s="1789">
        <v>8.8999999999999996E-2</v>
      </c>
      <c r="G11402">
        <f t="shared" si="357"/>
        <v>72.849999999999994</v>
      </c>
    </row>
    <row r="11403" spans="1:7" ht="12.75" customHeight="1">
      <c r="A11403" s="3">
        <v>104254</v>
      </c>
      <c r="B11403" s="4" t="s">
        <v>11428</v>
      </c>
      <c r="C11403" s="3" t="s">
        <v>409</v>
      </c>
      <c r="D11403" s="5">
        <f t="shared" si="356"/>
        <v>77.34</v>
      </c>
      <c r="E11403">
        <v>84.9</v>
      </c>
      <c r="F11403" s="1789">
        <v>8.8999999999999996E-2</v>
      </c>
      <c r="G11403">
        <f t="shared" si="357"/>
        <v>77.34</v>
      </c>
    </row>
    <row r="11404" spans="1:7" ht="12.75" customHeight="1">
      <c r="A11404" s="3">
        <v>104255</v>
      </c>
      <c r="B11404" s="4" t="s">
        <v>11429</v>
      </c>
      <c r="C11404" s="3" t="s">
        <v>409</v>
      </c>
      <c r="D11404" s="5">
        <f t="shared" si="356"/>
        <v>138.68</v>
      </c>
      <c r="E11404">
        <v>152.22999999999999</v>
      </c>
      <c r="F11404" s="1789">
        <v>8.8999999999999996E-2</v>
      </c>
      <c r="G11404">
        <f t="shared" si="357"/>
        <v>138.68</v>
      </c>
    </row>
    <row r="11405" spans="1:7" ht="12.75" customHeight="1">
      <c r="A11405" s="3">
        <v>104256</v>
      </c>
      <c r="B11405" s="4" t="s">
        <v>11430</v>
      </c>
      <c r="C11405" s="3" t="s">
        <v>409</v>
      </c>
      <c r="D11405" s="5">
        <f t="shared" si="356"/>
        <v>79.72</v>
      </c>
      <c r="E11405">
        <v>87.51</v>
      </c>
      <c r="F11405" s="1789">
        <v>8.8999999999999996E-2</v>
      </c>
      <c r="G11405">
        <f t="shared" si="357"/>
        <v>79.72</v>
      </c>
    </row>
    <row r="11406" spans="1:7" ht="12.75" customHeight="1">
      <c r="A11406" s="3">
        <v>104257</v>
      </c>
      <c r="B11406" s="4" t="s">
        <v>11431</v>
      </c>
      <c r="C11406" s="3" t="s">
        <v>409</v>
      </c>
      <c r="D11406" s="5">
        <f t="shared" si="356"/>
        <v>78.13</v>
      </c>
      <c r="E11406">
        <v>85.77</v>
      </c>
      <c r="F11406" s="1789">
        <v>8.8999999999999996E-2</v>
      </c>
      <c r="G11406">
        <f t="shared" si="357"/>
        <v>78.13</v>
      </c>
    </row>
    <row r="11407" spans="1:7" ht="12.75" customHeight="1">
      <c r="A11407" s="3">
        <v>104258</v>
      </c>
      <c r="B11407" s="4" t="s">
        <v>11432</v>
      </c>
      <c r="C11407" s="3" t="s">
        <v>409</v>
      </c>
      <c r="D11407" s="5">
        <f t="shared" si="356"/>
        <v>83.77</v>
      </c>
      <c r="E11407">
        <v>91.96</v>
      </c>
      <c r="F11407" s="1789">
        <v>8.8999999999999996E-2</v>
      </c>
      <c r="G11407">
        <f t="shared" si="357"/>
        <v>83.77</v>
      </c>
    </row>
    <row r="11408" spans="1:7" ht="12.75" customHeight="1">
      <c r="A11408" s="3">
        <v>104259</v>
      </c>
      <c r="B11408" s="4" t="s">
        <v>11433</v>
      </c>
      <c r="C11408" s="3" t="s">
        <v>409</v>
      </c>
      <c r="D11408" s="5">
        <f t="shared" si="356"/>
        <v>161.9</v>
      </c>
      <c r="E11408">
        <v>177.72</v>
      </c>
      <c r="F11408" s="1789">
        <v>8.8999999999999996E-2</v>
      </c>
      <c r="G11408">
        <f t="shared" si="357"/>
        <v>161.9</v>
      </c>
    </row>
    <row r="11409" spans="1:7" ht="12.75" customHeight="1">
      <c r="A11409" s="3">
        <v>104260</v>
      </c>
      <c r="B11409" s="4" t="s">
        <v>11434</v>
      </c>
      <c r="C11409" s="3" t="s">
        <v>409</v>
      </c>
      <c r="D11409" s="5">
        <f t="shared" si="356"/>
        <v>85.64</v>
      </c>
      <c r="E11409">
        <v>94.01</v>
      </c>
      <c r="F11409" s="1789">
        <v>8.8999999999999996E-2</v>
      </c>
      <c r="G11409">
        <f t="shared" si="357"/>
        <v>85.64</v>
      </c>
    </row>
    <row r="11410" spans="1:7" ht="12.75" customHeight="1">
      <c r="A11410" s="3">
        <v>104261</v>
      </c>
      <c r="B11410" s="4" t="s">
        <v>11435</v>
      </c>
      <c r="C11410" s="3" t="s">
        <v>409</v>
      </c>
      <c r="D11410" s="5">
        <f t="shared" si="356"/>
        <v>100.79</v>
      </c>
      <c r="E11410">
        <v>110.64</v>
      </c>
      <c r="F11410" s="1789">
        <v>8.8999999999999996E-2</v>
      </c>
      <c r="G11410">
        <f t="shared" si="357"/>
        <v>100.79</v>
      </c>
    </row>
    <row r="11411" spans="1:7" ht="12.75" customHeight="1">
      <c r="A11411" s="3">
        <v>104262</v>
      </c>
      <c r="B11411" s="4" t="s">
        <v>11436</v>
      </c>
      <c r="C11411" s="3" t="s">
        <v>409</v>
      </c>
      <c r="D11411" s="5">
        <f t="shared" si="356"/>
        <v>107</v>
      </c>
      <c r="E11411">
        <v>117.46</v>
      </c>
      <c r="F11411" s="1789">
        <v>8.8999999999999996E-2</v>
      </c>
      <c r="G11411">
        <f t="shared" si="357"/>
        <v>107</v>
      </c>
    </row>
    <row r="11412" spans="1:7" ht="12.75" customHeight="1">
      <c r="A11412" s="3">
        <v>104263</v>
      </c>
      <c r="B11412" s="4" t="s">
        <v>11437</v>
      </c>
      <c r="C11412" s="3" t="s">
        <v>409</v>
      </c>
      <c r="D11412" s="5">
        <f t="shared" si="356"/>
        <v>184.56</v>
      </c>
      <c r="E11412">
        <v>202.6</v>
      </c>
      <c r="F11412" s="1789">
        <v>8.8999999999999996E-2</v>
      </c>
      <c r="G11412">
        <f t="shared" si="357"/>
        <v>184.56</v>
      </c>
    </row>
    <row r="11413" spans="1:7" ht="12.75" customHeight="1">
      <c r="A11413" s="3">
        <v>104264</v>
      </c>
      <c r="B11413" s="4" t="s">
        <v>11438</v>
      </c>
      <c r="C11413" s="3" t="s">
        <v>409</v>
      </c>
      <c r="D11413" s="5">
        <f t="shared" ref="D11413:D11476" si="358">G11413</f>
        <v>101.83</v>
      </c>
      <c r="E11413">
        <v>111.78</v>
      </c>
      <c r="F11413" s="1789">
        <v>8.8999999999999996E-2</v>
      </c>
      <c r="G11413">
        <f t="shared" ref="G11413:G11476" si="359">TRUNC((1-F11413)*E11413,2)</f>
        <v>101.83</v>
      </c>
    </row>
    <row r="11414" spans="1:7" ht="12.75" customHeight="1">
      <c r="A11414" s="3">
        <v>104627</v>
      </c>
      <c r="B11414" s="4" t="s">
        <v>11439</v>
      </c>
      <c r="C11414" s="3" t="s">
        <v>409</v>
      </c>
      <c r="D11414" s="5">
        <f t="shared" si="358"/>
        <v>17.98</v>
      </c>
      <c r="E11414">
        <v>19.739999999999998</v>
      </c>
      <c r="F11414" s="1789">
        <v>8.8999999999999996E-2</v>
      </c>
      <c r="G11414">
        <f t="shared" si="359"/>
        <v>17.98</v>
      </c>
    </row>
    <row r="11415" spans="1:7" ht="12.75" customHeight="1">
      <c r="A11415" s="3">
        <v>104628</v>
      </c>
      <c r="B11415" s="4" t="s">
        <v>11440</v>
      </c>
      <c r="C11415" s="3" t="s">
        <v>409</v>
      </c>
      <c r="D11415" s="5">
        <f t="shared" si="358"/>
        <v>26.74</v>
      </c>
      <c r="E11415">
        <v>29.36</v>
      </c>
      <c r="F11415" s="1789">
        <v>8.8999999999999996E-2</v>
      </c>
      <c r="G11415">
        <f t="shared" si="359"/>
        <v>26.74</v>
      </c>
    </row>
    <row r="11416" spans="1:7" ht="12.75" customHeight="1">
      <c r="A11416" s="3">
        <v>104629</v>
      </c>
      <c r="B11416" s="4" t="s">
        <v>11441</v>
      </c>
      <c r="C11416" s="3" t="s">
        <v>409</v>
      </c>
      <c r="D11416" s="5">
        <f t="shared" si="358"/>
        <v>31.77</v>
      </c>
      <c r="E11416">
        <v>34.880000000000003</v>
      </c>
      <c r="F11416" s="1789">
        <v>8.8999999999999996E-2</v>
      </c>
      <c r="G11416">
        <f t="shared" si="359"/>
        <v>31.77</v>
      </c>
    </row>
    <row r="11417" spans="1:7" ht="12.75" customHeight="1">
      <c r="A11417" s="3">
        <v>104630</v>
      </c>
      <c r="B11417" s="4" t="s">
        <v>11442</v>
      </c>
      <c r="C11417" s="3" t="s">
        <v>409</v>
      </c>
      <c r="D11417" s="5">
        <f t="shared" si="358"/>
        <v>28.69</v>
      </c>
      <c r="E11417">
        <v>31.5</v>
      </c>
      <c r="F11417" s="1789">
        <v>8.8999999999999996E-2</v>
      </c>
      <c r="G11417">
        <f t="shared" si="359"/>
        <v>28.69</v>
      </c>
    </row>
    <row r="11418" spans="1:7" ht="12.75" customHeight="1">
      <c r="A11418" s="3">
        <v>104631</v>
      </c>
      <c r="B11418" s="4" t="s">
        <v>11443</v>
      </c>
      <c r="C11418" s="3" t="s">
        <v>409</v>
      </c>
      <c r="D11418" s="5">
        <f t="shared" si="358"/>
        <v>37.46</v>
      </c>
      <c r="E11418">
        <v>41.13</v>
      </c>
      <c r="F11418" s="1789">
        <v>8.8999999999999996E-2</v>
      </c>
      <c r="G11418">
        <f t="shared" si="359"/>
        <v>37.46</v>
      </c>
    </row>
    <row r="11419" spans="1:7" ht="12.75" customHeight="1">
      <c r="A11419" s="3">
        <v>104632</v>
      </c>
      <c r="B11419" s="4" t="s">
        <v>11444</v>
      </c>
      <c r="C11419" s="3" t="s">
        <v>409</v>
      </c>
      <c r="D11419" s="5">
        <f t="shared" si="358"/>
        <v>42.49</v>
      </c>
      <c r="E11419">
        <v>46.65</v>
      </c>
      <c r="F11419" s="1789">
        <v>8.8999999999999996E-2</v>
      </c>
      <c r="G11419">
        <f t="shared" si="359"/>
        <v>42.49</v>
      </c>
    </row>
    <row r="11420" spans="1:7" ht="12.75" customHeight="1">
      <c r="A11420" s="3">
        <v>104633</v>
      </c>
      <c r="B11420" s="4" t="s">
        <v>11445</v>
      </c>
      <c r="C11420" s="3" t="s">
        <v>409</v>
      </c>
      <c r="D11420" s="5">
        <f t="shared" si="358"/>
        <v>23.86</v>
      </c>
      <c r="E11420">
        <v>26.2</v>
      </c>
      <c r="F11420" s="1789">
        <v>8.8999999999999996E-2</v>
      </c>
      <c r="G11420">
        <f t="shared" si="359"/>
        <v>23.86</v>
      </c>
    </row>
    <row r="11421" spans="1:7" ht="12.75" customHeight="1">
      <c r="A11421" s="3">
        <v>104634</v>
      </c>
      <c r="B11421" s="4" t="s">
        <v>11446</v>
      </c>
      <c r="C11421" s="3" t="s">
        <v>409</v>
      </c>
      <c r="D11421" s="5">
        <f t="shared" si="358"/>
        <v>35.909999999999997</v>
      </c>
      <c r="E11421">
        <v>39.42</v>
      </c>
      <c r="F11421" s="1789">
        <v>8.8999999999999996E-2</v>
      </c>
      <c r="G11421">
        <f t="shared" si="359"/>
        <v>35.909999999999997</v>
      </c>
    </row>
    <row r="11422" spans="1:7" ht="12.75" customHeight="1">
      <c r="A11422" s="3">
        <v>104635</v>
      </c>
      <c r="B11422" s="4" t="s">
        <v>11447</v>
      </c>
      <c r="C11422" s="3" t="s">
        <v>409</v>
      </c>
      <c r="D11422" s="5">
        <f t="shared" si="358"/>
        <v>48.11</v>
      </c>
      <c r="E11422">
        <v>52.82</v>
      </c>
      <c r="F11422" s="1789">
        <v>8.8999999999999996E-2</v>
      </c>
      <c r="G11422">
        <f t="shared" si="359"/>
        <v>48.11</v>
      </c>
    </row>
    <row r="11423" spans="1:7" ht="12.75" customHeight="1">
      <c r="A11423" s="3">
        <v>104636</v>
      </c>
      <c r="B11423" s="4" t="s">
        <v>11448</v>
      </c>
      <c r="C11423" s="3" t="s">
        <v>409</v>
      </c>
      <c r="D11423" s="5">
        <f t="shared" si="358"/>
        <v>56.49</v>
      </c>
      <c r="E11423">
        <v>62.01</v>
      </c>
      <c r="F11423" s="1789">
        <v>8.8999999999999996E-2</v>
      </c>
      <c r="G11423">
        <f t="shared" si="359"/>
        <v>56.49</v>
      </c>
    </row>
    <row r="11424" spans="1:7" ht="12.75" customHeight="1">
      <c r="A11424" s="3">
        <v>104951</v>
      </c>
      <c r="B11424" s="4" t="s">
        <v>11449</v>
      </c>
      <c r="C11424" s="3" t="s">
        <v>409</v>
      </c>
      <c r="D11424" s="5">
        <f t="shared" si="358"/>
        <v>28.77</v>
      </c>
      <c r="E11424">
        <v>31.59</v>
      </c>
      <c r="F11424" s="1789">
        <v>8.8999999999999996E-2</v>
      </c>
      <c r="G11424">
        <f t="shared" si="359"/>
        <v>28.77</v>
      </c>
    </row>
    <row r="11425" spans="1:7" ht="12.75" customHeight="1">
      <c r="A11425" s="3">
        <v>104952</v>
      </c>
      <c r="B11425" s="4" t="s">
        <v>11450</v>
      </c>
      <c r="C11425" s="3" t="s">
        <v>409</v>
      </c>
      <c r="D11425" s="5">
        <f t="shared" si="358"/>
        <v>32.24</v>
      </c>
      <c r="E11425">
        <v>35.4</v>
      </c>
      <c r="F11425" s="1789">
        <v>8.8999999999999996E-2</v>
      </c>
      <c r="G11425">
        <f t="shared" si="359"/>
        <v>32.24</v>
      </c>
    </row>
    <row r="11426" spans="1:7" ht="12.75" customHeight="1">
      <c r="A11426" s="3">
        <v>104953</v>
      </c>
      <c r="B11426" s="4" t="s">
        <v>11451</v>
      </c>
      <c r="C11426" s="3" t="s">
        <v>409</v>
      </c>
      <c r="D11426" s="5">
        <f t="shared" si="358"/>
        <v>79.34</v>
      </c>
      <c r="E11426">
        <v>87.1</v>
      </c>
      <c r="F11426" s="1789">
        <v>8.8999999999999996E-2</v>
      </c>
      <c r="G11426">
        <f t="shared" si="359"/>
        <v>79.34</v>
      </c>
    </row>
    <row r="11427" spans="1:7" ht="12.75" customHeight="1">
      <c r="A11427" s="3">
        <v>104954</v>
      </c>
      <c r="B11427" s="4" t="s">
        <v>11452</v>
      </c>
      <c r="C11427" s="3" t="s">
        <v>409</v>
      </c>
      <c r="D11427" s="5">
        <f t="shared" si="358"/>
        <v>41.75</v>
      </c>
      <c r="E11427">
        <v>45.83</v>
      </c>
      <c r="F11427" s="1789">
        <v>8.8999999999999996E-2</v>
      </c>
      <c r="G11427">
        <f t="shared" si="359"/>
        <v>41.75</v>
      </c>
    </row>
    <row r="11428" spans="1:7" ht="12.75" customHeight="1">
      <c r="A11428" s="3">
        <v>104955</v>
      </c>
      <c r="B11428" s="4" t="s">
        <v>11453</v>
      </c>
      <c r="C11428" s="3" t="s">
        <v>409</v>
      </c>
      <c r="D11428" s="5">
        <f t="shared" si="358"/>
        <v>35.770000000000003</v>
      </c>
      <c r="E11428">
        <v>39.270000000000003</v>
      </c>
      <c r="F11428" s="1789">
        <v>8.8999999999999996E-2</v>
      </c>
      <c r="G11428">
        <f t="shared" si="359"/>
        <v>35.770000000000003</v>
      </c>
    </row>
    <row r="11429" spans="1:7" ht="12.75" customHeight="1">
      <c r="A11429" s="3">
        <v>104956</v>
      </c>
      <c r="B11429" s="4" t="s">
        <v>11454</v>
      </c>
      <c r="C11429" s="3" t="s">
        <v>409</v>
      </c>
      <c r="D11429" s="5">
        <f t="shared" si="358"/>
        <v>39.24</v>
      </c>
      <c r="E11429">
        <v>43.08</v>
      </c>
      <c r="F11429" s="1789">
        <v>8.8999999999999996E-2</v>
      </c>
      <c r="G11429">
        <f t="shared" si="359"/>
        <v>39.24</v>
      </c>
    </row>
    <row r="11430" spans="1:7" ht="12.75" customHeight="1">
      <c r="A11430" s="3">
        <v>104957</v>
      </c>
      <c r="B11430" s="4" t="s">
        <v>11455</v>
      </c>
      <c r="C11430" s="3" t="s">
        <v>409</v>
      </c>
      <c r="D11430" s="5">
        <f t="shared" si="358"/>
        <v>34.93</v>
      </c>
      <c r="E11430">
        <v>38.35</v>
      </c>
      <c r="F11430" s="1789">
        <v>8.8999999999999996E-2</v>
      </c>
      <c r="G11430">
        <f t="shared" si="359"/>
        <v>34.93</v>
      </c>
    </row>
    <row r="11431" spans="1:7" ht="12.75" customHeight="1">
      <c r="A11431" s="3">
        <v>104958</v>
      </c>
      <c r="B11431" s="4" t="s">
        <v>11456</v>
      </c>
      <c r="C11431" s="3" t="s">
        <v>409</v>
      </c>
      <c r="D11431" s="5">
        <f t="shared" si="358"/>
        <v>19.920000000000002</v>
      </c>
      <c r="E11431">
        <v>21.87</v>
      </c>
      <c r="F11431" s="1789">
        <v>8.8999999999999996E-2</v>
      </c>
      <c r="G11431">
        <f t="shared" si="359"/>
        <v>19.920000000000002</v>
      </c>
    </row>
    <row r="11432" spans="1:7" ht="12.75" customHeight="1">
      <c r="A11432" s="3">
        <v>104959</v>
      </c>
      <c r="B11432" s="4" t="s">
        <v>11457</v>
      </c>
      <c r="C11432" s="3" t="s">
        <v>409</v>
      </c>
      <c r="D11432" s="5">
        <f t="shared" si="358"/>
        <v>22.13</v>
      </c>
      <c r="E11432">
        <v>24.3</v>
      </c>
      <c r="F11432" s="1789">
        <v>8.8999999999999996E-2</v>
      </c>
      <c r="G11432">
        <f t="shared" si="359"/>
        <v>22.13</v>
      </c>
    </row>
    <row r="11433" spans="1:7" ht="12.75" customHeight="1">
      <c r="A11433" s="3">
        <v>104960</v>
      </c>
      <c r="B11433" s="4" t="s">
        <v>11458</v>
      </c>
      <c r="C11433" s="3" t="s">
        <v>409</v>
      </c>
      <c r="D11433" s="5">
        <f t="shared" si="358"/>
        <v>51.38</v>
      </c>
      <c r="E11433">
        <v>56.41</v>
      </c>
      <c r="F11433" s="1789">
        <v>8.8999999999999996E-2</v>
      </c>
      <c r="G11433">
        <f t="shared" si="359"/>
        <v>51.38</v>
      </c>
    </row>
    <row r="11434" spans="1:7" ht="12.75" customHeight="1">
      <c r="A11434" s="3">
        <v>104961</v>
      </c>
      <c r="B11434" s="4" t="s">
        <v>11459</v>
      </c>
      <c r="C11434" s="3" t="s">
        <v>409</v>
      </c>
      <c r="D11434" s="5">
        <f t="shared" si="358"/>
        <v>43.9</v>
      </c>
      <c r="E11434">
        <v>48.19</v>
      </c>
      <c r="F11434" s="1789">
        <v>8.8999999999999996E-2</v>
      </c>
      <c r="G11434">
        <f t="shared" si="359"/>
        <v>43.9</v>
      </c>
    </row>
    <row r="11435" spans="1:7" ht="12.75" customHeight="1">
      <c r="A11435" s="3">
        <v>104962</v>
      </c>
      <c r="B11435" s="4" t="s">
        <v>11460</v>
      </c>
      <c r="C11435" s="3" t="s">
        <v>409</v>
      </c>
      <c r="D11435" s="5">
        <f t="shared" si="358"/>
        <v>47.37</v>
      </c>
      <c r="E11435">
        <v>52</v>
      </c>
      <c r="F11435" s="1789">
        <v>8.8999999999999996E-2</v>
      </c>
      <c r="G11435">
        <f t="shared" si="359"/>
        <v>47.37</v>
      </c>
    </row>
    <row r="11436" spans="1:7" ht="12.75" customHeight="1">
      <c r="A11436" s="3">
        <v>104963</v>
      </c>
      <c r="B11436" s="4" t="s">
        <v>11461</v>
      </c>
      <c r="C11436" s="3" t="s">
        <v>409</v>
      </c>
      <c r="D11436" s="5">
        <f t="shared" si="358"/>
        <v>39.909999999999997</v>
      </c>
      <c r="E11436">
        <v>43.81</v>
      </c>
      <c r="F11436" s="1789">
        <v>8.8999999999999996E-2</v>
      </c>
      <c r="G11436">
        <f t="shared" si="359"/>
        <v>39.909999999999997</v>
      </c>
    </row>
    <row r="11437" spans="1:7" ht="12.75" customHeight="1">
      <c r="A11437" s="3">
        <v>104964</v>
      </c>
      <c r="B11437" s="4" t="s">
        <v>11462</v>
      </c>
      <c r="C11437" s="3" t="s">
        <v>409</v>
      </c>
      <c r="D11437" s="5">
        <f t="shared" si="358"/>
        <v>43.38</v>
      </c>
      <c r="E11437">
        <v>47.62</v>
      </c>
      <c r="F11437" s="1789">
        <v>8.8999999999999996E-2</v>
      </c>
      <c r="G11437">
        <f t="shared" si="359"/>
        <v>43.38</v>
      </c>
    </row>
    <row r="11438" spans="1:7" ht="12.75" customHeight="1">
      <c r="A11438" s="3">
        <v>104965</v>
      </c>
      <c r="B11438" s="4" t="s">
        <v>11463</v>
      </c>
      <c r="C11438" s="3" t="s">
        <v>409</v>
      </c>
      <c r="D11438" s="5">
        <f t="shared" si="358"/>
        <v>38.28</v>
      </c>
      <c r="E11438">
        <v>42.02</v>
      </c>
      <c r="F11438" s="1789">
        <v>8.8999999999999996E-2</v>
      </c>
      <c r="G11438">
        <f t="shared" si="359"/>
        <v>38.28</v>
      </c>
    </row>
    <row r="11439" spans="1:7" ht="12.75" customHeight="1">
      <c r="A11439" s="3">
        <v>104966</v>
      </c>
      <c r="B11439" s="4" t="s">
        <v>11464</v>
      </c>
      <c r="C11439" s="3" t="s">
        <v>409</v>
      </c>
      <c r="D11439" s="5">
        <f t="shared" si="358"/>
        <v>38.4</v>
      </c>
      <c r="E11439">
        <v>42.16</v>
      </c>
      <c r="F11439" s="1789">
        <v>8.8999999999999996E-2</v>
      </c>
      <c r="G11439">
        <f t="shared" si="359"/>
        <v>38.4</v>
      </c>
    </row>
    <row r="11440" spans="1:7" ht="12.75" customHeight="1">
      <c r="A11440" s="3">
        <v>104967</v>
      </c>
      <c r="B11440" s="4" t="s">
        <v>11465</v>
      </c>
      <c r="C11440" s="3" t="s">
        <v>409</v>
      </c>
      <c r="D11440" s="5">
        <f t="shared" si="358"/>
        <v>33.36</v>
      </c>
      <c r="E11440">
        <v>36.619999999999997</v>
      </c>
      <c r="F11440" s="1789">
        <v>8.8999999999999996E-2</v>
      </c>
      <c r="G11440">
        <f t="shared" si="359"/>
        <v>33.36</v>
      </c>
    </row>
    <row r="11441" spans="1:7" ht="12.75" customHeight="1">
      <c r="A11441" s="3">
        <v>104968</v>
      </c>
      <c r="B11441" s="4" t="s">
        <v>11466</v>
      </c>
      <c r="C11441" s="3" t="s">
        <v>409</v>
      </c>
      <c r="D11441" s="5">
        <f t="shared" si="358"/>
        <v>35.57</v>
      </c>
      <c r="E11441">
        <v>39.049999999999997</v>
      </c>
      <c r="F11441" s="1789">
        <v>8.8999999999999996E-2</v>
      </c>
      <c r="G11441">
        <f t="shared" si="359"/>
        <v>35.57</v>
      </c>
    </row>
    <row r="11442" spans="1:7" ht="12.75" customHeight="1">
      <c r="A11442" s="3">
        <v>104969</v>
      </c>
      <c r="B11442" s="4" t="s">
        <v>11467</v>
      </c>
      <c r="C11442" s="3" t="s">
        <v>409</v>
      </c>
      <c r="D11442" s="5">
        <f t="shared" si="358"/>
        <v>29.37</v>
      </c>
      <c r="E11442">
        <v>32.25</v>
      </c>
      <c r="F11442" s="1789">
        <v>8.8999999999999996E-2</v>
      </c>
      <c r="G11442">
        <f t="shared" si="359"/>
        <v>29.37</v>
      </c>
    </row>
    <row r="11443" spans="1:7" ht="12.75" customHeight="1">
      <c r="A11443" s="3">
        <v>104970</v>
      </c>
      <c r="B11443" s="4" t="s">
        <v>11468</v>
      </c>
      <c r="C11443" s="3" t="s">
        <v>409</v>
      </c>
      <c r="D11443" s="5">
        <f t="shared" si="358"/>
        <v>31.59</v>
      </c>
      <c r="E11443">
        <v>34.68</v>
      </c>
      <c r="F11443" s="1789">
        <v>8.8999999999999996E-2</v>
      </c>
      <c r="G11443">
        <f t="shared" si="359"/>
        <v>31.59</v>
      </c>
    </row>
    <row r="11444" spans="1:7" ht="12.75" customHeight="1">
      <c r="A11444" s="3">
        <v>104971</v>
      </c>
      <c r="B11444" s="4" t="s">
        <v>11469</v>
      </c>
      <c r="C11444" s="3" t="s">
        <v>409</v>
      </c>
      <c r="D11444" s="5">
        <f t="shared" si="358"/>
        <v>27.74</v>
      </c>
      <c r="E11444">
        <v>30.46</v>
      </c>
      <c r="F11444" s="1789">
        <v>8.8999999999999996E-2</v>
      </c>
      <c r="G11444">
        <f t="shared" si="359"/>
        <v>27.74</v>
      </c>
    </row>
    <row r="11445" spans="1:7" ht="12.75" customHeight="1">
      <c r="A11445" s="3">
        <v>104972</v>
      </c>
      <c r="B11445" s="4" t="s">
        <v>11470</v>
      </c>
      <c r="C11445" s="3" t="s">
        <v>409</v>
      </c>
      <c r="D11445" s="5">
        <f t="shared" si="358"/>
        <v>29.96</v>
      </c>
      <c r="E11445">
        <v>32.89</v>
      </c>
      <c r="F11445" s="1789">
        <v>8.8999999999999996E-2</v>
      </c>
      <c r="G11445">
        <f t="shared" si="359"/>
        <v>29.96</v>
      </c>
    </row>
    <row r="11446" spans="1:7" ht="12.75" customHeight="1">
      <c r="A11446" s="3">
        <v>104973</v>
      </c>
      <c r="B11446" s="4" t="s">
        <v>11471</v>
      </c>
      <c r="C11446" s="3" t="s">
        <v>409</v>
      </c>
      <c r="D11446" s="5">
        <f t="shared" si="358"/>
        <v>25.24</v>
      </c>
      <c r="E11446">
        <v>27.71</v>
      </c>
      <c r="F11446" s="1789">
        <v>8.8999999999999996E-2</v>
      </c>
      <c r="G11446">
        <f t="shared" si="359"/>
        <v>25.24</v>
      </c>
    </row>
    <row r="11447" spans="1:7" ht="12.75" customHeight="1">
      <c r="A11447" s="3">
        <v>104974</v>
      </c>
      <c r="B11447" s="4" t="s">
        <v>11472</v>
      </c>
      <c r="C11447" s="3" t="s">
        <v>409</v>
      </c>
      <c r="D11447" s="5">
        <f t="shared" si="358"/>
        <v>27.45</v>
      </c>
      <c r="E11447">
        <v>30.14</v>
      </c>
      <c r="F11447" s="1789">
        <v>8.8999999999999996E-2</v>
      </c>
      <c r="G11447">
        <f t="shared" si="359"/>
        <v>27.45</v>
      </c>
    </row>
    <row r="11448" spans="1:7" ht="12.75" customHeight="1">
      <c r="A11448" s="3">
        <v>104975</v>
      </c>
      <c r="B11448" s="4" t="s">
        <v>11473</v>
      </c>
      <c r="C11448" s="3" t="s">
        <v>409</v>
      </c>
      <c r="D11448" s="5">
        <f t="shared" si="358"/>
        <v>24.4</v>
      </c>
      <c r="E11448">
        <v>26.79</v>
      </c>
      <c r="F11448" s="1789">
        <v>8.8999999999999996E-2</v>
      </c>
      <c r="G11448">
        <f t="shared" si="359"/>
        <v>24.4</v>
      </c>
    </row>
    <row r="11449" spans="1:7" ht="12.75" customHeight="1">
      <c r="A11449" s="3">
        <v>104976</v>
      </c>
      <c r="B11449" s="4" t="s">
        <v>11474</v>
      </c>
      <c r="C11449" s="3" t="s">
        <v>409</v>
      </c>
      <c r="D11449" s="5">
        <f t="shared" si="358"/>
        <v>26.61</v>
      </c>
      <c r="E11449">
        <v>29.22</v>
      </c>
      <c r="F11449" s="1789">
        <v>8.8999999999999996E-2</v>
      </c>
      <c r="G11449">
        <f t="shared" si="359"/>
        <v>26.61</v>
      </c>
    </row>
    <row r="11450" spans="1:7" ht="12.75" customHeight="1">
      <c r="A11450" s="3">
        <v>104977</v>
      </c>
      <c r="B11450" s="4" t="s">
        <v>11475</v>
      </c>
      <c r="C11450" s="3" t="s">
        <v>409</v>
      </c>
      <c r="D11450" s="5">
        <f t="shared" si="358"/>
        <v>41.8</v>
      </c>
      <c r="E11450">
        <v>45.89</v>
      </c>
      <c r="F11450" s="1789">
        <v>8.8999999999999996E-2</v>
      </c>
      <c r="G11450">
        <f t="shared" si="359"/>
        <v>41.8</v>
      </c>
    </row>
    <row r="11451" spans="1:7" ht="12.75" customHeight="1">
      <c r="A11451" s="3">
        <v>104978</v>
      </c>
      <c r="B11451" s="4" t="s">
        <v>11476</v>
      </c>
      <c r="C11451" s="3" t="s">
        <v>409</v>
      </c>
      <c r="D11451" s="5">
        <f t="shared" si="358"/>
        <v>31.42</v>
      </c>
      <c r="E11451">
        <v>34.49</v>
      </c>
      <c r="F11451" s="1789">
        <v>8.8999999999999996E-2</v>
      </c>
      <c r="G11451">
        <f t="shared" si="359"/>
        <v>31.42</v>
      </c>
    </row>
    <row r="11452" spans="1:7" ht="12.75" customHeight="1">
      <c r="A11452" s="3">
        <v>105185</v>
      </c>
      <c r="B11452" s="4" t="s">
        <v>11477</v>
      </c>
      <c r="C11452" s="3" t="s">
        <v>409</v>
      </c>
      <c r="D11452" s="5">
        <f t="shared" si="358"/>
        <v>266.98</v>
      </c>
      <c r="E11452">
        <v>293.07</v>
      </c>
      <c r="F11452" s="1789">
        <v>8.8999999999999996E-2</v>
      </c>
      <c r="G11452">
        <f t="shared" si="359"/>
        <v>266.98</v>
      </c>
    </row>
    <row r="11453" spans="1:7" ht="12.75" customHeight="1">
      <c r="A11453" s="3">
        <v>105186</v>
      </c>
      <c r="B11453" s="4" t="s">
        <v>11478</v>
      </c>
      <c r="C11453" s="3" t="s">
        <v>409</v>
      </c>
      <c r="D11453" s="5">
        <f t="shared" si="358"/>
        <v>195.17</v>
      </c>
      <c r="E11453">
        <v>214.24</v>
      </c>
      <c r="F11453" s="1789">
        <v>8.8999999999999996E-2</v>
      </c>
      <c r="G11453">
        <f t="shared" si="359"/>
        <v>195.17</v>
      </c>
    </row>
    <row r="11454" spans="1:7" ht="12.75" customHeight="1">
      <c r="A11454" s="3">
        <v>105187</v>
      </c>
      <c r="B11454" s="4" t="s">
        <v>11479</v>
      </c>
      <c r="C11454" s="3" t="s">
        <v>409</v>
      </c>
      <c r="D11454" s="5">
        <f t="shared" si="358"/>
        <v>260.93</v>
      </c>
      <c r="E11454">
        <v>286.43</v>
      </c>
      <c r="F11454" s="1789">
        <v>8.8999999999999996E-2</v>
      </c>
      <c r="G11454">
        <f t="shared" si="359"/>
        <v>260.93</v>
      </c>
    </row>
    <row r="11455" spans="1:7" ht="12.75" customHeight="1">
      <c r="A11455" s="3">
        <v>105188</v>
      </c>
      <c r="B11455" s="4" t="s">
        <v>11480</v>
      </c>
      <c r="C11455" s="3" t="s">
        <v>409</v>
      </c>
      <c r="D11455" s="5">
        <f t="shared" si="358"/>
        <v>189.77</v>
      </c>
      <c r="E11455">
        <v>208.31</v>
      </c>
      <c r="F11455" s="1789">
        <v>8.8999999999999996E-2</v>
      </c>
      <c r="G11455">
        <f t="shared" si="359"/>
        <v>189.77</v>
      </c>
    </row>
    <row r="11456" spans="1:7" ht="12.75" customHeight="1">
      <c r="A11456" s="3">
        <v>87244</v>
      </c>
      <c r="B11456" s="4" t="s">
        <v>11481</v>
      </c>
      <c r="C11456" s="3" t="s">
        <v>409</v>
      </c>
      <c r="D11456" s="5">
        <f t="shared" si="358"/>
        <v>194.7</v>
      </c>
      <c r="E11456">
        <v>213.73</v>
      </c>
      <c r="F11456" s="1789">
        <v>8.8999999999999996E-2</v>
      </c>
      <c r="G11456">
        <f t="shared" si="359"/>
        <v>194.7</v>
      </c>
    </row>
    <row r="11457" spans="1:7" ht="12.75" customHeight="1">
      <c r="A11457" s="3">
        <v>87245</v>
      </c>
      <c r="B11457" s="4" t="s">
        <v>11482</v>
      </c>
      <c r="C11457" s="3" t="s">
        <v>409</v>
      </c>
      <c r="D11457" s="5">
        <f t="shared" si="358"/>
        <v>229.89</v>
      </c>
      <c r="E11457">
        <v>252.36</v>
      </c>
      <c r="F11457" s="1789">
        <v>8.8999999999999996E-2</v>
      </c>
      <c r="G11457">
        <f t="shared" si="359"/>
        <v>229.89</v>
      </c>
    </row>
    <row r="11458" spans="1:7" ht="12.75" customHeight="1">
      <c r="A11458" s="3">
        <v>87265</v>
      </c>
      <c r="B11458" s="4" t="s">
        <v>11483</v>
      </c>
      <c r="C11458" s="3" t="s">
        <v>409</v>
      </c>
      <c r="D11458" s="5">
        <f t="shared" si="358"/>
        <v>57.78</v>
      </c>
      <c r="E11458">
        <v>63.43</v>
      </c>
      <c r="F11458" s="1789">
        <v>8.8999999999999996E-2</v>
      </c>
      <c r="G11458">
        <f t="shared" si="359"/>
        <v>57.78</v>
      </c>
    </row>
    <row r="11459" spans="1:7" ht="12.75" customHeight="1">
      <c r="A11459" s="3">
        <v>87267</v>
      </c>
      <c r="B11459" s="4" t="s">
        <v>11484</v>
      </c>
      <c r="C11459" s="3" t="s">
        <v>409</v>
      </c>
      <c r="D11459" s="5">
        <f t="shared" si="358"/>
        <v>62.1</v>
      </c>
      <c r="E11459">
        <v>68.17</v>
      </c>
      <c r="F11459" s="1789">
        <v>8.8999999999999996E-2</v>
      </c>
      <c r="G11459">
        <f t="shared" si="359"/>
        <v>62.1</v>
      </c>
    </row>
    <row r="11460" spans="1:7" ht="12.75" customHeight="1">
      <c r="A11460" s="3">
        <v>87269</v>
      </c>
      <c r="B11460" s="4" t="s">
        <v>11485</v>
      </c>
      <c r="C11460" s="3" t="s">
        <v>409</v>
      </c>
      <c r="D11460" s="5">
        <f t="shared" si="358"/>
        <v>60.71</v>
      </c>
      <c r="E11460">
        <v>66.650000000000006</v>
      </c>
      <c r="F11460" s="1789">
        <v>8.8999999999999996E-2</v>
      </c>
      <c r="G11460">
        <f t="shared" si="359"/>
        <v>60.71</v>
      </c>
    </row>
    <row r="11461" spans="1:7" ht="12.75" customHeight="1">
      <c r="A11461" s="3">
        <v>87271</v>
      </c>
      <c r="B11461" s="4" t="s">
        <v>11486</v>
      </c>
      <c r="C11461" s="3" t="s">
        <v>409</v>
      </c>
      <c r="D11461" s="5">
        <f t="shared" si="358"/>
        <v>65.08</v>
      </c>
      <c r="E11461">
        <v>71.44</v>
      </c>
      <c r="F11461" s="1789">
        <v>8.8999999999999996E-2</v>
      </c>
      <c r="G11461">
        <f t="shared" si="359"/>
        <v>65.08</v>
      </c>
    </row>
    <row r="11462" spans="1:7" ht="12.75" customHeight="1">
      <c r="A11462" s="3">
        <v>87273</v>
      </c>
      <c r="B11462" s="4" t="s">
        <v>11487</v>
      </c>
      <c r="C11462" s="3" t="s">
        <v>409</v>
      </c>
      <c r="D11462" s="5">
        <f t="shared" si="358"/>
        <v>63.98</v>
      </c>
      <c r="E11462">
        <v>70.239999999999995</v>
      </c>
      <c r="F11462" s="1789">
        <v>8.8999999999999996E-2</v>
      </c>
      <c r="G11462">
        <f t="shared" si="359"/>
        <v>63.98</v>
      </c>
    </row>
    <row r="11463" spans="1:7" ht="12.75" customHeight="1">
      <c r="A11463" s="3">
        <v>87275</v>
      </c>
      <c r="B11463" s="4" t="s">
        <v>11488</v>
      </c>
      <c r="C11463" s="3" t="s">
        <v>409</v>
      </c>
      <c r="D11463" s="5">
        <f t="shared" si="358"/>
        <v>69.81</v>
      </c>
      <c r="E11463">
        <v>76.64</v>
      </c>
      <c r="F11463" s="1789">
        <v>8.8999999999999996E-2</v>
      </c>
      <c r="G11463">
        <f t="shared" si="359"/>
        <v>69.81</v>
      </c>
    </row>
    <row r="11464" spans="1:7" ht="12.75" customHeight="1">
      <c r="A11464" s="3">
        <v>88788</v>
      </c>
      <c r="B11464" s="4" t="s">
        <v>11489</v>
      </c>
      <c r="C11464" s="3" t="s">
        <v>409</v>
      </c>
      <c r="D11464" s="5">
        <f t="shared" si="358"/>
        <v>274.39999999999998</v>
      </c>
      <c r="E11464">
        <v>301.20999999999998</v>
      </c>
      <c r="F11464" s="1789">
        <v>8.8999999999999996E-2</v>
      </c>
      <c r="G11464">
        <f t="shared" si="359"/>
        <v>274.39999999999998</v>
      </c>
    </row>
    <row r="11465" spans="1:7" ht="12.75" customHeight="1">
      <c r="A11465" s="3">
        <v>88789</v>
      </c>
      <c r="B11465" s="4" t="s">
        <v>11490</v>
      </c>
      <c r="C11465" s="3" t="s">
        <v>409</v>
      </c>
      <c r="D11465" s="5">
        <f t="shared" si="358"/>
        <v>325.64</v>
      </c>
      <c r="E11465">
        <v>357.46</v>
      </c>
      <c r="F11465" s="1789">
        <v>8.8999999999999996E-2</v>
      </c>
      <c r="G11465">
        <f t="shared" si="359"/>
        <v>325.64</v>
      </c>
    </row>
    <row r="11466" spans="1:7" ht="12.75" customHeight="1">
      <c r="A11466" s="3">
        <v>104611</v>
      </c>
      <c r="B11466" s="4" t="s">
        <v>11491</v>
      </c>
      <c r="C11466" s="3" t="s">
        <v>409</v>
      </c>
      <c r="D11466" s="5">
        <f t="shared" si="358"/>
        <v>77.650000000000006</v>
      </c>
      <c r="E11466">
        <v>85.24</v>
      </c>
      <c r="F11466" s="1789">
        <v>8.8999999999999996E-2</v>
      </c>
      <c r="G11466">
        <f t="shared" si="359"/>
        <v>77.650000000000006</v>
      </c>
    </row>
    <row r="11467" spans="1:7" ht="12.75" customHeight="1">
      <c r="A11467" s="3">
        <v>104612</v>
      </c>
      <c r="B11467" s="4" t="s">
        <v>11492</v>
      </c>
      <c r="C11467" s="3" t="s">
        <v>409</v>
      </c>
      <c r="D11467" s="5">
        <f t="shared" si="358"/>
        <v>78.22</v>
      </c>
      <c r="E11467">
        <v>85.87</v>
      </c>
      <c r="F11467" s="1789">
        <v>8.8999999999999996E-2</v>
      </c>
      <c r="G11467">
        <f t="shared" si="359"/>
        <v>78.22</v>
      </c>
    </row>
    <row r="11468" spans="1:7" ht="12.75" customHeight="1">
      <c r="A11468" s="3">
        <v>104613</v>
      </c>
      <c r="B11468" s="4" t="s">
        <v>11493</v>
      </c>
      <c r="C11468" s="3" t="s">
        <v>409</v>
      </c>
      <c r="D11468" s="5">
        <f t="shared" si="358"/>
        <v>60.71</v>
      </c>
      <c r="E11468">
        <v>66.650000000000006</v>
      </c>
      <c r="F11468" s="1789">
        <v>8.8999999999999996E-2</v>
      </c>
      <c r="G11468">
        <f t="shared" si="359"/>
        <v>60.71</v>
      </c>
    </row>
    <row r="11469" spans="1:7" ht="12.75" customHeight="1">
      <c r="A11469" s="3">
        <v>104614</v>
      </c>
      <c r="B11469" s="4" t="s">
        <v>11494</v>
      </c>
      <c r="C11469" s="3" t="s">
        <v>409</v>
      </c>
      <c r="D11469" s="5">
        <f t="shared" si="358"/>
        <v>66.36</v>
      </c>
      <c r="E11469">
        <v>72.849999999999994</v>
      </c>
      <c r="F11469" s="1789">
        <v>8.8999999999999996E-2</v>
      </c>
      <c r="G11469">
        <f t="shared" si="359"/>
        <v>66.36</v>
      </c>
    </row>
    <row r="11470" spans="1:7" ht="12.75" customHeight="1">
      <c r="A11470" s="3">
        <v>104615</v>
      </c>
      <c r="B11470" s="4" t="s">
        <v>11495</v>
      </c>
      <c r="C11470" s="3" t="s">
        <v>409</v>
      </c>
      <c r="D11470" s="5">
        <f t="shared" si="358"/>
        <v>191.32</v>
      </c>
      <c r="E11470">
        <v>210.02</v>
      </c>
      <c r="F11470" s="1789">
        <v>8.8999999999999996E-2</v>
      </c>
      <c r="G11470">
        <f t="shared" si="359"/>
        <v>191.32</v>
      </c>
    </row>
    <row r="11471" spans="1:7" ht="12.75" customHeight="1">
      <c r="A11471" s="3">
        <v>104616</v>
      </c>
      <c r="B11471" s="4" t="s">
        <v>11496</v>
      </c>
      <c r="C11471" s="3" t="s">
        <v>409</v>
      </c>
      <c r="D11471" s="5">
        <f t="shared" si="358"/>
        <v>275.26</v>
      </c>
      <c r="E11471">
        <v>302.16000000000003</v>
      </c>
      <c r="F11471" s="1789">
        <v>8.8999999999999996E-2</v>
      </c>
      <c r="G11471">
        <f t="shared" si="359"/>
        <v>275.26</v>
      </c>
    </row>
    <row r="11472" spans="1:7" ht="12.75" customHeight="1">
      <c r="A11472" s="3">
        <v>104617</v>
      </c>
      <c r="B11472" s="4" t="s">
        <v>11497</v>
      </c>
      <c r="C11472" s="3" t="s">
        <v>409</v>
      </c>
      <c r="D11472" s="5">
        <f t="shared" si="358"/>
        <v>199.96</v>
      </c>
      <c r="E11472">
        <v>219.5</v>
      </c>
      <c r="F11472" s="1789">
        <v>8.8999999999999996E-2</v>
      </c>
      <c r="G11472">
        <f t="shared" si="359"/>
        <v>199.96</v>
      </c>
    </row>
    <row r="11473" spans="1:7" ht="12.75" customHeight="1">
      <c r="A11473" s="3">
        <v>104618</v>
      </c>
      <c r="B11473" s="4" t="s">
        <v>11498</v>
      </c>
      <c r="C11473" s="3" t="s">
        <v>409</v>
      </c>
      <c r="D11473" s="5">
        <f t="shared" si="358"/>
        <v>283.89999999999998</v>
      </c>
      <c r="E11473">
        <v>311.64</v>
      </c>
      <c r="F11473" s="1789">
        <v>8.8999999999999996E-2</v>
      </c>
      <c r="G11473">
        <f t="shared" si="359"/>
        <v>283.89999999999998</v>
      </c>
    </row>
    <row r="11474" spans="1:7" ht="12.75" customHeight="1">
      <c r="A11474" s="3">
        <v>104619</v>
      </c>
      <c r="B11474" s="4" t="s">
        <v>11499</v>
      </c>
      <c r="C11474" s="3" t="s">
        <v>50</v>
      </c>
      <c r="D11474" s="5">
        <f t="shared" si="358"/>
        <v>18.02</v>
      </c>
      <c r="E11474">
        <v>19.79</v>
      </c>
      <c r="F11474" s="1789">
        <v>8.8999999999999996E-2</v>
      </c>
      <c r="G11474">
        <f t="shared" si="359"/>
        <v>18.02</v>
      </c>
    </row>
    <row r="11475" spans="1:7" ht="12.75" customHeight="1">
      <c r="A11475" s="3">
        <v>101965</v>
      </c>
      <c r="B11475" s="4" t="s">
        <v>11500</v>
      </c>
      <c r="C11475" s="3" t="s">
        <v>50</v>
      </c>
      <c r="D11475" s="5">
        <f t="shared" si="358"/>
        <v>126.96</v>
      </c>
      <c r="E11475">
        <v>139.37</v>
      </c>
      <c r="F11475" s="1789">
        <v>8.8999999999999996E-2</v>
      </c>
      <c r="G11475">
        <f t="shared" si="359"/>
        <v>126.96</v>
      </c>
    </row>
    <row r="11476" spans="1:7" ht="12.75" customHeight="1">
      <c r="A11476" s="3">
        <v>101966</v>
      </c>
      <c r="B11476" s="4" t="s">
        <v>11501</v>
      </c>
      <c r="C11476" s="3" t="s">
        <v>50</v>
      </c>
      <c r="D11476" s="5">
        <f t="shared" si="358"/>
        <v>164.88</v>
      </c>
      <c r="E11476">
        <v>180.99</v>
      </c>
      <c r="F11476" s="1789">
        <v>8.8999999999999996E-2</v>
      </c>
      <c r="G11476">
        <f t="shared" si="359"/>
        <v>164.88</v>
      </c>
    </row>
    <row r="11477" spans="1:7" ht="12.75" customHeight="1">
      <c r="A11477" s="3">
        <v>101979</v>
      </c>
      <c r="B11477" s="4" t="s">
        <v>11502</v>
      </c>
      <c r="C11477" s="3" t="s">
        <v>50</v>
      </c>
      <c r="D11477" s="5">
        <f t="shared" ref="D11477:D11540" si="360">G11477</f>
        <v>47.25</v>
      </c>
      <c r="E11477">
        <v>51.87</v>
      </c>
      <c r="F11477" s="1789">
        <v>8.8999999999999996E-2</v>
      </c>
      <c r="G11477">
        <f t="shared" ref="G11477:G11540" si="361">TRUNC((1-F11477)*E11477,2)</f>
        <v>47.25</v>
      </c>
    </row>
    <row r="11478" spans="1:7" ht="12.75" customHeight="1">
      <c r="A11478" s="3">
        <v>96112</v>
      </c>
      <c r="B11478" s="4" t="s">
        <v>11503</v>
      </c>
      <c r="C11478" s="3" t="s">
        <v>409</v>
      </c>
      <c r="D11478" s="5">
        <f t="shared" si="360"/>
        <v>119.26</v>
      </c>
      <c r="E11478">
        <v>130.91999999999999</v>
      </c>
      <c r="F11478" s="1789">
        <v>8.8999999999999996E-2</v>
      </c>
      <c r="G11478">
        <f t="shared" si="361"/>
        <v>119.26</v>
      </c>
    </row>
    <row r="11479" spans="1:7" ht="12.75" customHeight="1">
      <c r="A11479" s="3">
        <v>96122</v>
      </c>
      <c r="B11479" s="4" t="s">
        <v>11504</v>
      </c>
      <c r="C11479" s="3" t="s">
        <v>50</v>
      </c>
      <c r="D11479" s="5">
        <f t="shared" si="360"/>
        <v>36.380000000000003</v>
      </c>
      <c r="E11479">
        <v>39.94</v>
      </c>
      <c r="F11479" s="1789">
        <v>8.8999999999999996E-2</v>
      </c>
      <c r="G11479">
        <f t="shared" si="361"/>
        <v>36.380000000000003</v>
      </c>
    </row>
    <row r="11480" spans="1:7" ht="12.75" customHeight="1">
      <c r="A11480" s="3">
        <v>104756</v>
      </c>
      <c r="B11480" s="4" t="s">
        <v>11505</v>
      </c>
      <c r="C11480" s="3" t="s">
        <v>409</v>
      </c>
      <c r="D11480" s="5">
        <f t="shared" si="360"/>
        <v>157.4</v>
      </c>
      <c r="E11480">
        <v>172.78</v>
      </c>
      <c r="F11480" s="1789">
        <v>8.8999999999999996E-2</v>
      </c>
      <c r="G11480">
        <f t="shared" si="361"/>
        <v>157.4</v>
      </c>
    </row>
    <row r="11481" spans="1:7" ht="12.75" customHeight="1">
      <c r="A11481" s="3">
        <v>96109</v>
      </c>
      <c r="B11481" s="4" t="s">
        <v>11506</v>
      </c>
      <c r="C11481" s="3" t="s">
        <v>409</v>
      </c>
      <c r="D11481" s="5">
        <f t="shared" si="360"/>
        <v>46.36</v>
      </c>
      <c r="E11481">
        <v>50.89</v>
      </c>
      <c r="F11481" s="1789">
        <v>8.8999999999999996E-2</v>
      </c>
      <c r="G11481">
        <f t="shared" si="361"/>
        <v>46.36</v>
      </c>
    </row>
    <row r="11482" spans="1:7" ht="12.75" customHeight="1">
      <c r="A11482" s="3">
        <v>96110</v>
      </c>
      <c r="B11482" s="4" t="s">
        <v>11507</v>
      </c>
      <c r="C11482" s="3" t="s">
        <v>409</v>
      </c>
      <c r="D11482" s="5">
        <f t="shared" si="360"/>
        <v>69.11</v>
      </c>
      <c r="E11482">
        <v>75.87</v>
      </c>
      <c r="F11482" s="1789">
        <v>8.8999999999999996E-2</v>
      </c>
      <c r="G11482">
        <f t="shared" si="361"/>
        <v>69.11</v>
      </c>
    </row>
    <row r="11483" spans="1:7" ht="12.75" customHeight="1">
      <c r="A11483" s="3">
        <v>96113</v>
      </c>
      <c r="B11483" s="4" t="s">
        <v>11508</v>
      </c>
      <c r="C11483" s="3" t="s">
        <v>409</v>
      </c>
      <c r="D11483" s="5">
        <f t="shared" si="360"/>
        <v>42.21</v>
      </c>
      <c r="E11483">
        <v>46.34</v>
      </c>
      <c r="F11483" s="1789">
        <v>8.8999999999999996E-2</v>
      </c>
      <c r="G11483">
        <f t="shared" si="361"/>
        <v>42.21</v>
      </c>
    </row>
    <row r="11484" spans="1:7" ht="12.75" customHeight="1">
      <c r="A11484" s="3">
        <v>96114</v>
      </c>
      <c r="B11484" s="4" t="s">
        <v>11509</v>
      </c>
      <c r="C11484" s="3" t="s">
        <v>409</v>
      </c>
      <c r="D11484" s="5">
        <f t="shared" si="360"/>
        <v>69.73</v>
      </c>
      <c r="E11484">
        <v>76.55</v>
      </c>
      <c r="F11484" s="1789">
        <v>8.8999999999999996E-2</v>
      </c>
      <c r="G11484">
        <f t="shared" si="361"/>
        <v>69.73</v>
      </c>
    </row>
    <row r="11485" spans="1:7" ht="12.75" customHeight="1">
      <c r="A11485" s="3">
        <v>96120</v>
      </c>
      <c r="B11485" s="4" t="s">
        <v>11510</v>
      </c>
      <c r="C11485" s="3" t="s">
        <v>50</v>
      </c>
      <c r="D11485" s="5">
        <f t="shared" si="360"/>
        <v>2.8</v>
      </c>
      <c r="E11485">
        <v>3.08</v>
      </c>
      <c r="F11485" s="1789">
        <v>8.8999999999999996E-2</v>
      </c>
      <c r="G11485">
        <f t="shared" si="361"/>
        <v>2.8</v>
      </c>
    </row>
    <row r="11486" spans="1:7" ht="12.75" customHeight="1">
      <c r="A11486" s="3">
        <v>96123</v>
      </c>
      <c r="B11486" s="4" t="s">
        <v>11511</v>
      </c>
      <c r="C11486" s="3" t="s">
        <v>50</v>
      </c>
      <c r="D11486" s="5">
        <f t="shared" si="360"/>
        <v>25.01</v>
      </c>
      <c r="E11486">
        <v>27.46</v>
      </c>
      <c r="F11486" s="1789">
        <v>8.8999999999999996E-2</v>
      </c>
      <c r="G11486">
        <f t="shared" si="361"/>
        <v>25.01</v>
      </c>
    </row>
    <row r="11487" spans="1:7" ht="12.75" customHeight="1">
      <c r="A11487" s="3">
        <v>99054</v>
      </c>
      <c r="B11487" s="4" t="s">
        <v>11512</v>
      </c>
      <c r="C11487" s="3" t="s">
        <v>409</v>
      </c>
      <c r="D11487" s="5">
        <f t="shared" si="360"/>
        <v>52.46</v>
      </c>
      <c r="E11487">
        <v>57.59</v>
      </c>
      <c r="F11487" s="1789">
        <v>8.8999999999999996E-2</v>
      </c>
      <c r="G11487">
        <f t="shared" si="361"/>
        <v>52.46</v>
      </c>
    </row>
    <row r="11488" spans="1:7" ht="12.75" customHeight="1">
      <c r="A11488" s="3">
        <v>96111</v>
      </c>
      <c r="B11488" s="4" t="s">
        <v>11513</v>
      </c>
      <c r="C11488" s="3" t="s">
        <v>409</v>
      </c>
      <c r="D11488" s="5">
        <f t="shared" si="360"/>
        <v>52.61</v>
      </c>
      <c r="E11488">
        <v>57.76</v>
      </c>
      <c r="F11488" s="1789">
        <v>8.8999999999999996E-2</v>
      </c>
      <c r="G11488">
        <f t="shared" si="361"/>
        <v>52.61</v>
      </c>
    </row>
    <row r="11489" spans="1:7" ht="12.75" customHeight="1">
      <c r="A11489" s="3">
        <v>96116</v>
      </c>
      <c r="B11489" s="4" t="s">
        <v>11514</v>
      </c>
      <c r="C11489" s="3" t="s">
        <v>409</v>
      </c>
      <c r="D11489" s="5">
        <f t="shared" si="360"/>
        <v>54.56</v>
      </c>
      <c r="E11489">
        <v>59.9</v>
      </c>
      <c r="F11489" s="1789">
        <v>8.8999999999999996E-2</v>
      </c>
      <c r="G11489">
        <f t="shared" si="361"/>
        <v>54.56</v>
      </c>
    </row>
    <row r="11490" spans="1:7" ht="12.75" customHeight="1">
      <c r="A11490" s="3">
        <v>96121</v>
      </c>
      <c r="B11490" s="4" t="s">
        <v>11515</v>
      </c>
      <c r="C11490" s="3" t="s">
        <v>50</v>
      </c>
      <c r="D11490" s="5">
        <f t="shared" si="360"/>
        <v>10.02</v>
      </c>
      <c r="E11490">
        <v>11</v>
      </c>
      <c r="F11490" s="1789">
        <v>8.8999999999999996E-2</v>
      </c>
      <c r="G11490">
        <f t="shared" si="361"/>
        <v>10.02</v>
      </c>
    </row>
    <row r="11491" spans="1:7" ht="12.75" customHeight="1">
      <c r="A11491" s="3">
        <v>96485</v>
      </c>
      <c r="B11491" s="4" t="s">
        <v>11516</v>
      </c>
      <c r="C11491" s="3" t="s">
        <v>409</v>
      </c>
      <c r="D11491" s="5">
        <f t="shared" si="360"/>
        <v>61.31</v>
      </c>
      <c r="E11491">
        <v>67.31</v>
      </c>
      <c r="F11491" s="1789">
        <v>8.8999999999999996E-2</v>
      </c>
      <c r="G11491">
        <f t="shared" si="361"/>
        <v>61.31</v>
      </c>
    </row>
    <row r="11492" spans="1:7" ht="12.75" customHeight="1">
      <c r="A11492" s="3">
        <v>96486</v>
      </c>
      <c r="B11492" s="4" t="s">
        <v>11517</v>
      </c>
      <c r="C11492" s="3" t="s">
        <v>409</v>
      </c>
      <c r="D11492" s="5">
        <f t="shared" si="360"/>
        <v>63.26</v>
      </c>
      <c r="E11492">
        <v>69.45</v>
      </c>
      <c r="F11492" s="1789">
        <v>8.8999999999999996E-2</v>
      </c>
      <c r="G11492">
        <f t="shared" si="361"/>
        <v>63.26</v>
      </c>
    </row>
    <row r="11493" spans="1:7" ht="12.75" customHeight="1">
      <c r="A11493" s="3">
        <v>91515</v>
      </c>
      <c r="B11493" s="4" t="s">
        <v>11518</v>
      </c>
      <c r="C11493" s="3" t="s">
        <v>409</v>
      </c>
      <c r="D11493" s="5">
        <f t="shared" si="360"/>
        <v>5.42</v>
      </c>
      <c r="E11493">
        <v>5.96</v>
      </c>
      <c r="F11493" s="1789">
        <v>8.8999999999999996E-2</v>
      </c>
      <c r="G11493">
        <f t="shared" si="361"/>
        <v>5.42</v>
      </c>
    </row>
    <row r="11494" spans="1:7" ht="12.75" customHeight="1">
      <c r="A11494" s="3">
        <v>91519</v>
      </c>
      <c r="B11494" s="4" t="s">
        <v>11519</v>
      </c>
      <c r="C11494" s="3" t="s">
        <v>409</v>
      </c>
      <c r="D11494" s="5">
        <f t="shared" si="360"/>
        <v>7.26</v>
      </c>
      <c r="E11494">
        <v>7.97</v>
      </c>
      <c r="F11494" s="1789">
        <v>8.8999999999999996E-2</v>
      </c>
      <c r="G11494">
        <f t="shared" si="361"/>
        <v>7.26</v>
      </c>
    </row>
    <row r="11495" spans="1:7" ht="12.75" customHeight="1">
      <c r="A11495" s="3">
        <v>91520</v>
      </c>
      <c r="B11495" s="4" t="s">
        <v>11520</v>
      </c>
      <c r="C11495" s="3" t="s">
        <v>409</v>
      </c>
      <c r="D11495" s="5">
        <f t="shared" si="360"/>
        <v>2.0499999999999998</v>
      </c>
      <c r="E11495">
        <v>2.2599999999999998</v>
      </c>
      <c r="F11495" s="1789">
        <v>8.8999999999999996E-2</v>
      </c>
      <c r="G11495">
        <f t="shared" si="361"/>
        <v>2.0499999999999998</v>
      </c>
    </row>
    <row r="11496" spans="1:7" ht="12.75" customHeight="1">
      <c r="A11496" s="3">
        <v>91522</v>
      </c>
      <c r="B11496" s="4" t="s">
        <v>11521</v>
      </c>
      <c r="C11496" s="3" t="s">
        <v>409</v>
      </c>
      <c r="D11496" s="5">
        <f t="shared" si="360"/>
        <v>2.81</v>
      </c>
      <c r="E11496">
        <v>3.09</v>
      </c>
      <c r="F11496" s="1789">
        <v>8.8999999999999996E-2</v>
      </c>
      <c r="G11496">
        <f t="shared" si="361"/>
        <v>2.81</v>
      </c>
    </row>
    <row r="11497" spans="1:7" ht="12.75" customHeight="1">
      <c r="A11497" s="3">
        <v>91525</v>
      </c>
      <c r="B11497" s="4" t="s">
        <v>11522</v>
      </c>
      <c r="C11497" s="3" t="s">
        <v>409</v>
      </c>
      <c r="D11497" s="5">
        <f t="shared" si="360"/>
        <v>7.77</v>
      </c>
      <c r="E11497">
        <v>8.5399999999999991</v>
      </c>
      <c r="F11497" s="1789">
        <v>8.8999999999999996E-2</v>
      </c>
      <c r="G11497">
        <f t="shared" si="361"/>
        <v>7.77</v>
      </c>
    </row>
    <row r="11498" spans="1:7" ht="12.75" customHeight="1">
      <c r="A11498" s="3">
        <v>104412</v>
      </c>
      <c r="B11498" s="4" t="s">
        <v>11523</v>
      </c>
      <c r="C11498" s="3" t="s">
        <v>409</v>
      </c>
      <c r="D11498" s="5">
        <f t="shared" si="360"/>
        <v>2.5299999999999998</v>
      </c>
      <c r="E11498">
        <v>2.78</v>
      </c>
      <c r="F11498" s="1789">
        <v>8.8999999999999996E-2</v>
      </c>
      <c r="G11498">
        <f t="shared" si="361"/>
        <v>2.5299999999999998</v>
      </c>
    </row>
    <row r="11499" spans="1:7" ht="12.75" customHeight="1">
      <c r="A11499" s="3">
        <v>104413</v>
      </c>
      <c r="B11499" s="4" t="s">
        <v>11524</v>
      </c>
      <c r="C11499" s="3" t="s">
        <v>409</v>
      </c>
      <c r="D11499" s="5">
        <f t="shared" si="360"/>
        <v>4.4000000000000004</v>
      </c>
      <c r="E11499">
        <v>4.84</v>
      </c>
      <c r="F11499" s="1789">
        <v>8.8999999999999996E-2</v>
      </c>
      <c r="G11499">
        <f t="shared" si="361"/>
        <v>4.4000000000000004</v>
      </c>
    </row>
    <row r="11500" spans="1:7" ht="12.75" customHeight="1">
      <c r="A11500" s="3">
        <v>104414</v>
      </c>
      <c r="B11500" s="4" t="s">
        <v>11525</v>
      </c>
      <c r="C11500" s="3" t="s">
        <v>409</v>
      </c>
      <c r="D11500" s="5">
        <f t="shared" si="360"/>
        <v>7.13</v>
      </c>
      <c r="E11500">
        <v>7.83</v>
      </c>
      <c r="F11500" s="1789">
        <v>8.8999999999999996E-2</v>
      </c>
      <c r="G11500">
        <f t="shared" si="361"/>
        <v>7.13</v>
      </c>
    </row>
    <row r="11501" spans="1:7" ht="12.75" customHeight="1">
      <c r="A11501" s="3">
        <v>104415</v>
      </c>
      <c r="B11501" s="4" t="s">
        <v>11526</v>
      </c>
      <c r="C11501" s="3" t="s">
        <v>409</v>
      </c>
      <c r="D11501" s="5">
        <f t="shared" si="360"/>
        <v>11.33</v>
      </c>
      <c r="E11501">
        <v>12.44</v>
      </c>
      <c r="F11501" s="1789">
        <v>8.8999999999999996E-2</v>
      </c>
      <c r="G11501">
        <f t="shared" si="361"/>
        <v>11.33</v>
      </c>
    </row>
    <row r="11502" spans="1:7" ht="12.75" customHeight="1">
      <c r="A11502" s="3">
        <v>104416</v>
      </c>
      <c r="B11502" s="4" t="s">
        <v>11527</v>
      </c>
      <c r="C11502" s="3" t="s">
        <v>409</v>
      </c>
      <c r="D11502" s="5">
        <f t="shared" si="360"/>
        <v>1.77</v>
      </c>
      <c r="E11502">
        <v>1.95</v>
      </c>
      <c r="F11502" s="1789">
        <v>8.8999999999999996E-2</v>
      </c>
      <c r="G11502">
        <f t="shared" si="361"/>
        <v>1.77</v>
      </c>
    </row>
    <row r="11503" spans="1:7" ht="12.75" customHeight="1">
      <c r="A11503" s="3">
        <v>104417</v>
      </c>
      <c r="B11503" s="4" t="s">
        <v>11528</v>
      </c>
      <c r="C11503" s="3" t="s">
        <v>409</v>
      </c>
      <c r="D11503" s="5">
        <f t="shared" si="360"/>
        <v>3.65</v>
      </c>
      <c r="E11503">
        <v>4.01</v>
      </c>
      <c r="F11503" s="1789">
        <v>8.8999999999999996E-2</v>
      </c>
      <c r="G11503">
        <f t="shared" si="361"/>
        <v>3.65</v>
      </c>
    </row>
    <row r="11504" spans="1:7" ht="12.75" customHeight="1">
      <c r="A11504" s="3">
        <v>104418</v>
      </c>
      <c r="B11504" s="4" t="s">
        <v>11529</v>
      </c>
      <c r="C11504" s="3" t="s">
        <v>409</v>
      </c>
      <c r="D11504" s="5">
        <f t="shared" si="360"/>
        <v>2.41</v>
      </c>
      <c r="E11504">
        <v>2.65</v>
      </c>
      <c r="F11504" s="1789">
        <v>8.8999999999999996E-2</v>
      </c>
      <c r="G11504">
        <f t="shared" si="361"/>
        <v>2.41</v>
      </c>
    </row>
    <row r="11505" spans="1:7" ht="12.75" customHeight="1">
      <c r="A11505" s="3">
        <v>104419</v>
      </c>
      <c r="B11505" s="4" t="s">
        <v>11530</v>
      </c>
      <c r="C11505" s="3" t="s">
        <v>409</v>
      </c>
      <c r="D11505" s="5">
        <f t="shared" si="360"/>
        <v>9.66</v>
      </c>
      <c r="E11505">
        <v>10.61</v>
      </c>
      <c r="F11505" s="1789">
        <v>8.8999999999999996E-2</v>
      </c>
      <c r="G11505">
        <f t="shared" si="361"/>
        <v>9.66</v>
      </c>
    </row>
    <row r="11506" spans="1:7" ht="12.75" customHeight="1">
      <c r="A11506" s="3">
        <v>104420</v>
      </c>
      <c r="B11506" s="4" t="s">
        <v>11531</v>
      </c>
      <c r="C11506" s="3" t="s">
        <v>409</v>
      </c>
      <c r="D11506" s="5">
        <f t="shared" si="360"/>
        <v>8.73</v>
      </c>
      <c r="E11506">
        <v>9.59</v>
      </c>
      <c r="F11506" s="1789">
        <v>8.8999999999999996E-2</v>
      </c>
      <c r="G11506">
        <f t="shared" si="361"/>
        <v>8.73</v>
      </c>
    </row>
    <row r="11507" spans="1:7" ht="12.75" customHeight="1">
      <c r="A11507" s="3">
        <v>104421</v>
      </c>
      <c r="B11507" s="4" t="s">
        <v>11532</v>
      </c>
      <c r="C11507" s="3" t="s">
        <v>409</v>
      </c>
      <c r="D11507" s="5">
        <f t="shared" si="360"/>
        <v>14.5</v>
      </c>
      <c r="E11507">
        <v>15.92</v>
      </c>
      <c r="F11507" s="1789">
        <v>8.8999999999999996E-2</v>
      </c>
      <c r="G11507">
        <f t="shared" si="361"/>
        <v>14.5</v>
      </c>
    </row>
    <row r="11508" spans="1:7" ht="12.75" customHeight="1">
      <c r="A11508" s="3">
        <v>104422</v>
      </c>
      <c r="B11508" s="4" t="s">
        <v>11533</v>
      </c>
      <c r="C11508" s="3" t="s">
        <v>409</v>
      </c>
      <c r="D11508" s="5">
        <f t="shared" si="360"/>
        <v>9.4600000000000009</v>
      </c>
      <c r="E11508">
        <v>10.39</v>
      </c>
      <c r="F11508" s="1789">
        <v>8.8999999999999996E-2</v>
      </c>
      <c r="G11508">
        <f t="shared" si="361"/>
        <v>9.4600000000000009</v>
      </c>
    </row>
    <row r="11509" spans="1:7" ht="12.75" customHeight="1">
      <c r="A11509" s="3">
        <v>104423</v>
      </c>
      <c r="B11509" s="4" t="s">
        <v>11534</v>
      </c>
      <c r="C11509" s="3" t="s">
        <v>409</v>
      </c>
      <c r="D11509" s="5">
        <f t="shared" si="360"/>
        <v>21.64</v>
      </c>
      <c r="E11509">
        <v>23.76</v>
      </c>
      <c r="F11509" s="1789">
        <v>8.8999999999999996E-2</v>
      </c>
      <c r="G11509">
        <f t="shared" si="361"/>
        <v>21.64</v>
      </c>
    </row>
    <row r="11510" spans="1:7" ht="12.75" customHeight="1">
      <c r="A11510" s="3">
        <v>104424</v>
      </c>
      <c r="B11510" s="4" t="s">
        <v>11535</v>
      </c>
      <c r="C11510" s="3" t="s">
        <v>409</v>
      </c>
      <c r="D11510" s="5">
        <f t="shared" si="360"/>
        <v>20.13</v>
      </c>
      <c r="E11510">
        <v>22.1</v>
      </c>
      <c r="F11510" s="1789">
        <v>8.8999999999999996E-2</v>
      </c>
      <c r="G11510">
        <f t="shared" si="361"/>
        <v>20.13</v>
      </c>
    </row>
    <row r="11511" spans="1:7" ht="12.75" customHeight="1">
      <c r="A11511" s="3">
        <v>104425</v>
      </c>
      <c r="B11511" s="4" t="s">
        <v>11536</v>
      </c>
      <c r="C11511" s="3" t="s">
        <v>409</v>
      </c>
      <c r="D11511" s="5">
        <f t="shared" si="360"/>
        <v>17.600000000000001</v>
      </c>
      <c r="E11511">
        <v>19.329999999999998</v>
      </c>
      <c r="F11511" s="1789">
        <v>8.8999999999999996E-2</v>
      </c>
      <c r="G11511">
        <f t="shared" si="361"/>
        <v>17.600000000000001</v>
      </c>
    </row>
    <row r="11512" spans="1:7" ht="12.75" customHeight="1">
      <c r="A11512" s="3">
        <v>87280</v>
      </c>
      <c r="B11512" s="4" t="s">
        <v>11537</v>
      </c>
      <c r="C11512" s="3" t="s">
        <v>152</v>
      </c>
      <c r="D11512" s="5">
        <f t="shared" si="360"/>
        <v>430.89</v>
      </c>
      <c r="E11512">
        <v>472.99</v>
      </c>
      <c r="F11512" s="1789">
        <v>8.8999999999999996E-2</v>
      </c>
      <c r="G11512">
        <f t="shared" si="361"/>
        <v>430.89</v>
      </c>
    </row>
    <row r="11513" spans="1:7" ht="12.75" customHeight="1">
      <c r="A11513" s="3">
        <v>87281</v>
      </c>
      <c r="B11513" s="4" t="s">
        <v>11538</v>
      </c>
      <c r="C11513" s="3" t="s">
        <v>152</v>
      </c>
      <c r="D11513" s="5">
        <f t="shared" si="360"/>
        <v>426.85</v>
      </c>
      <c r="E11513">
        <v>468.56</v>
      </c>
      <c r="F11513" s="1789">
        <v>8.8999999999999996E-2</v>
      </c>
      <c r="G11513">
        <f t="shared" si="361"/>
        <v>426.85</v>
      </c>
    </row>
    <row r="11514" spans="1:7" ht="12.75" customHeight="1">
      <c r="A11514" s="3">
        <v>87283</v>
      </c>
      <c r="B11514" s="4" t="s">
        <v>11539</v>
      </c>
      <c r="C11514" s="3" t="s">
        <v>152</v>
      </c>
      <c r="D11514" s="5">
        <f t="shared" si="360"/>
        <v>447.83</v>
      </c>
      <c r="E11514">
        <v>491.59</v>
      </c>
      <c r="F11514" s="1789">
        <v>8.8999999999999996E-2</v>
      </c>
      <c r="G11514">
        <f t="shared" si="361"/>
        <v>447.83</v>
      </c>
    </row>
    <row r="11515" spans="1:7" ht="12.75" customHeight="1">
      <c r="A11515" s="3">
        <v>87284</v>
      </c>
      <c r="B11515" s="4" t="s">
        <v>11540</v>
      </c>
      <c r="C11515" s="3" t="s">
        <v>152</v>
      </c>
      <c r="D11515" s="5">
        <f t="shared" si="360"/>
        <v>442.3</v>
      </c>
      <c r="E11515">
        <v>485.52</v>
      </c>
      <c r="F11515" s="1789">
        <v>8.8999999999999996E-2</v>
      </c>
      <c r="G11515">
        <f t="shared" si="361"/>
        <v>442.3</v>
      </c>
    </row>
    <row r="11516" spans="1:7" ht="12.75" customHeight="1">
      <c r="A11516" s="3">
        <v>87286</v>
      </c>
      <c r="B11516" s="4" t="s">
        <v>11541</v>
      </c>
      <c r="C11516" s="3" t="s">
        <v>152</v>
      </c>
      <c r="D11516" s="5">
        <f t="shared" si="360"/>
        <v>540.71</v>
      </c>
      <c r="E11516">
        <v>593.54</v>
      </c>
      <c r="F11516" s="1789">
        <v>8.8999999999999996E-2</v>
      </c>
      <c r="G11516">
        <f t="shared" si="361"/>
        <v>540.71</v>
      </c>
    </row>
    <row r="11517" spans="1:7" ht="12.75" customHeight="1">
      <c r="A11517" s="3">
        <v>87287</v>
      </c>
      <c r="B11517" s="4" t="s">
        <v>11542</v>
      </c>
      <c r="C11517" s="3" t="s">
        <v>152</v>
      </c>
      <c r="D11517" s="5">
        <f t="shared" si="360"/>
        <v>528.29999999999995</v>
      </c>
      <c r="E11517">
        <v>579.91999999999996</v>
      </c>
      <c r="F11517" s="1789">
        <v>8.8999999999999996E-2</v>
      </c>
      <c r="G11517">
        <f t="shared" si="361"/>
        <v>528.29999999999995</v>
      </c>
    </row>
    <row r="11518" spans="1:7" ht="12.75" customHeight="1">
      <c r="A11518" s="3">
        <v>87289</v>
      </c>
      <c r="B11518" s="4" t="s">
        <v>11543</v>
      </c>
      <c r="C11518" s="3" t="s">
        <v>152</v>
      </c>
      <c r="D11518" s="5">
        <f t="shared" si="360"/>
        <v>519.34</v>
      </c>
      <c r="E11518">
        <v>570.08000000000004</v>
      </c>
      <c r="F11518" s="1789">
        <v>8.8999999999999996E-2</v>
      </c>
      <c r="G11518">
        <f t="shared" si="361"/>
        <v>519.34</v>
      </c>
    </row>
    <row r="11519" spans="1:7" ht="12.75" customHeight="1">
      <c r="A11519" s="3">
        <v>87290</v>
      </c>
      <c r="B11519" s="4" t="s">
        <v>11544</v>
      </c>
      <c r="C11519" s="3" t="s">
        <v>152</v>
      </c>
      <c r="D11519" s="5">
        <f t="shared" si="360"/>
        <v>512.80999999999995</v>
      </c>
      <c r="E11519">
        <v>562.91</v>
      </c>
      <c r="F11519" s="1789">
        <v>8.8999999999999996E-2</v>
      </c>
      <c r="G11519">
        <f t="shared" si="361"/>
        <v>512.80999999999995</v>
      </c>
    </row>
    <row r="11520" spans="1:7" ht="12.75" customHeight="1">
      <c r="A11520" s="3">
        <v>87292</v>
      </c>
      <c r="B11520" s="4" t="s">
        <v>11545</v>
      </c>
      <c r="C11520" s="3" t="s">
        <v>152</v>
      </c>
      <c r="D11520" s="5">
        <f t="shared" si="360"/>
        <v>528.39</v>
      </c>
      <c r="E11520">
        <v>580.02</v>
      </c>
      <c r="F11520" s="1789">
        <v>8.8999999999999996E-2</v>
      </c>
      <c r="G11520">
        <f t="shared" si="361"/>
        <v>528.39</v>
      </c>
    </row>
    <row r="11521" spans="1:7" ht="12.75" customHeight="1">
      <c r="A11521" s="3">
        <v>87294</v>
      </c>
      <c r="B11521" s="4" t="s">
        <v>11546</v>
      </c>
      <c r="C11521" s="3" t="s">
        <v>152</v>
      </c>
      <c r="D11521" s="5">
        <f t="shared" si="360"/>
        <v>506.28</v>
      </c>
      <c r="E11521">
        <v>555.75</v>
      </c>
      <c r="F11521" s="1789">
        <v>8.8999999999999996E-2</v>
      </c>
      <c r="G11521">
        <f t="shared" si="361"/>
        <v>506.28</v>
      </c>
    </row>
    <row r="11522" spans="1:7" ht="12.75" customHeight="1">
      <c r="A11522" s="3">
        <v>87295</v>
      </c>
      <c r="B11522" s="4" t="s">
        <v>11547</v>
      </c>
      <c r="C11522" s="3" t="s">
        <v>152</v>
      </c>
      <c r="D11522" s="5">
        <f t="shared" si="360"/>
        <v>511.78</v>
      </c>
      <c r="E11522">
        <v>561.78</v>
      </c>
      <c r="F11522" s="1789">
        <v>8.8999999999999996E-2</v>
      </c>
      <c r="G11522">
        <f t="shared" si="361"/>
        <v>511.78</v>
      </c>
    </row>
    <row r="11523" spans="1:7" ht="12.75" customHeight="1">
      <c r="A11523" s="3">
        <v>87296</v>
      </c>
      <c r="B11523" s="4" t="s">
        <v>11548</v>
      </c>
      <c r="C11523" s="3" t="s">
        <v>152</v>
      </c>
      <c r="D11523" s="5">
        <f t="shared" si="360"/>
        <v>490.51</v>
      </c>
      <c r="E11523">
        <v>538.44000000000005</v>
      </c>
      <c r="F11523" s="1789">
        <v>8.8999999999999996E-2</v>
      </c>
      <c r="G11523">
        <f t="shared" si="361"/>
        <v>490.51</v>
      </c>
    </row>
    <row r="11524" spans="1:7" ht="12.75" customHeight="1">
      <c r="A11524" s="3">
        <v>87298</v>
      </c>
      <c r="B11524" s="4" t="s">
        <v>11549</v>
      </c>
      <c r="C11524" s="3" t="s">
        <v>152</v>
      </c>
      <c r="D11524" s="5">
        <f t="shared" si="360"/>
        <v>663.76</v>
      </c>
      <c r="E11524">
        <v>728.61</v>
      </c>
      <c r="F11524" s="1789">
        <v>8.8999999999999996E-2</v>
      </c>
      <c r="G11524">
        <f t="shared" si="361"/>
        <v>663.76</v>
      </c>
    </row>
    <row r="11525" spans="1:7" ht="12.75" customHeight="1">
      <c r="A11525" s="3">
        <v>87299</v>
      </c>
      <c r="B11525" s="4" t="s">
        <v>11550</v>
      </c>
      <c r="C11525" s="3" t="s">
        <v>152</v>
      </c>
      <c r="D11525" s="5">
        <f t="shared" si="360"/>
        <v>438.63</v>
      </c>
      <c r="E11525">
        <v>481.49</v>
      </c>
      <c r="F11525" s="1789">
        <v>8.8999999999999996E-2</v>
      </c>
      <c r="G11525">
        <f t="shared" si="361"/>
        <v>438.63</v>
      </c>
    </row>
    <row r="11526" spans="1:7" ht="12.75" customHeight="1">
      <c r="A11526" s="3">
        <v>87301</v>
      </c>
      <c r="B11526" s="4" t="s">
        <v>11551</v>
      </c>
      <c r="C11526" s="3" t="s">
        <v>152</v>
      </c>
      <c r="D11526" s="5">
        <f t="shared" si="360"/>
        <v>597.62</v>
      </c>
      <c r="E11526">
        <v>656.01</v>
      </c>
      <c r="F11526" s="1789">
        <v>8.8999999999999996E-2</v>
      </c>
      <c r="G11526">
        <f t="shared" si="361"/>
        <v>597.62</v>
      </c>
    </row>
    <row r="11527" spans="1:7" ht="12.75" customHeight="1">
      <c r="A11527" s="3">
        <v>87302</v>
      </c>
      <c r="B11527" s="4" t="s">
        <v>11552</v>
      </c>
      <c r="C11527" s="3" t="s">
        <v>152</v>
      </c>
      <c r="D11527" s="5">
        <f t="shared" si="360"/>
        <v>591.57000000000005</v>
      </c>
      <c r="E11527">
        <v>649.37</v>
      </c>
      <c r="F11527" s="1789">
        <v>8.8999999999999996E-2</v>
      </c>
      <c r="G11527">
        <f t="shared" si="361"/>
        <v>591.57000000000005</v>
      </c>
    </row>
    <row r="11528" spans="1:7" ht="12.75" customHeight="1">
      <c r="A11528" s="3">
        <v>87304</v>
      </c>
      <c r="B11528" s="4" t="s">
        <v>11553</v>
      </c>
      <c r="C11528" s="3" t="s">
        <v>152</v>
      </c>
      <c r="D11528" s="5">
        <f t="shared" si="360"/>
        <v>543.46</v>
      </c>
      <c r="E11528">
        <v>596.55999999999995</v>
      </c>
      <c r="F11528" s="1789">
        <v>8.8999999999999996E-2</v>
      </c>
      <c r="G11528">
        <f t="shared" si="361"/>
        <v>543.46</v>
      </c>
    </row>
    <row r="11529" spans="1:7" ht="12.75" customHeight="1">
      <c r="A11529" s="3">
        <v>87305</v>
      </c>
      <c r="B11529" s="4" t="s">
        <v>11554</v>
      </c>
      <c r="C11529" s="3" t="s">
        <v>152</v>
      </c>
      <c r="D11529" s="5">
        <f t="shared" si="360"/>
        <v>546.47</v>
      </c>
      <c r="E11529">
        <v>599.86</v>
      </c>
      <c r="F11529" s="1789">
        <v>8.8999999999999996E-2</v>
      </c>
      <c r="G11529">
        <f t="shared" si="361"/>
        <v>546.47</v>
      </c>
    </row>
    <row r="11530" spans="1:7" ht="12.75" customHeight="1">
      <c r="A11530" s="3">
        <v>87307</v>
      </c>
      <c r="B11530" s="4" t="s">
        <v>11555</v>
      </c>
      <c r="C11530" s="3" t="s">
        <v>152</v>
      </c>
      <c r="D11530" s="5">
        <f t="shared" si="360"/>
        <v>516.89</v>
      </c>
      <c r="E11530">
        <v>567.39</v>
      </c>
      <c r="F11530" s="1789">
        <v>8.8999999999999996E-2</v>
      </c>
      <c r="G11530">
        <f t="shared" si="361"/>
        <v>516.89</v>
      </c>
    </row>
    <row r="11531" spans="1:7" ht="12.75" customHeight="1">
      <c r="A11531" s="3">
        <v>87308</v>
      </c>
      <c r="B11531" s="4" t="s">
        <v>11556</v>
      </c>
      <c r="C11531" s="3" t="s">
        <v>152</v>
      </c>
      <c r="D11531" s="5">
        <f t="shared" si="360"/>
        <v>509.37</v>
      </c>
      <c r="E11531">
        <v>559.14</v>
      </c>
      <c r="F11531" s="1789">
        <v>8.8999999999999996E-2</v>
      </c>
      <c r="G11531">
        <f t="shared" si="361"/>
        <v>509.37</v>
      </c>
    </row>
    <row r="11532" spans="1:7" ht="12.75" customHeight="1">
      <c r="A11532" s="3">
        <v>87310</v>
      </c>
      <c r="B11532" s="4" t="s">
        <v>11557</v>
      </c>
      <c r="C11532" s="3" t="s">
        <v>152</v>
      </c>
      <c r="D11532" s="5">
        <f t="shared" si="360"/>
        <v>426.72</v>
      </c>
      <c r="E11532">
        <v>468.41</v>
      </c>
      <c r="F11532" s="1789">
        <v>8.8999999999999996E-2</v>
      </c>
      <c r="G11532">
        <f t="shared" si="361"/>
        <v>426.72</v>
      </c>
    </row>
    <row r="11533" spans="1:7" ht="12.75" customHeight="1">
      <c r="A11533" s="3">
        <v>87311</v>
      </c>
      <c r="B11533" s="4" t="s">
        <v>11558</v>
      </c>
      <c r="C11533" s="3" t="s">
        <v>152</v>
      </c>
      <c r="D11533" s="5">
        <f t="shared" si="360"/>
        <v>419.34</v>
      </c>
      <c r="E11533">
        <v>460.31</v>
      </c>
      <c r="F11533" s="1789">
        <v>8.8999999999999996E-2</v>
      </c>
      <c r="G11533">
        <f t="shared" si="361"/>
        <v>419.34</v>
      </c>
    </row>
    <row r="11534" spans="1:7" ht="12.75" customHeight="1">
      <c r="A11534" s="3">
        <v>87313</v>
      </c>
      <c r="B11534" s="4" t="s">
        <v>11559</v>
      </c>
      <c r="C11534" s="3" t="s">
        <v>152</v>
      </c>
      <c r="D11534" s="5">
        <f t="shared" si="360"/>
        <v>514.87</v>
      </c>
      <c r="E11534">
        <v>565.17999999999995</v>
      </c>
      <c r="F11534" s="1789">
        <v>8.8999999999999996E-2</v>
      </c>
      <c r="G11534">
        <f t="shared" si="361"/>
        <v>514.87</v>
      </c>
    </row>
    <row r="11535" spans="1:7" ht="12.75" customHeight="1">
      <c r="A11535" s="3">
        <v>87314</v>
      </c>
      <c r="B11535" s="4" t="s">
        <v>11560</v>
      </c>
      <c r="C11535" s="3" t="s">
        <v>152</v>
      </c>
      <c r="D11535" s="5">
        <f t="shared" si="360"/>
        <v>509.31</v>
      </c>
      <c r="E11535">
        <v>559.07000000000005</v>
      </c>
      <c r="F11535" s="1789">
        <v>8.8999999999999996E-2</v>
      </c>
      <c r="G11535">
        <f t="shared" si="361"/>
        <v>509.31</v>
      </c>
    </row>
    <row r="11536" spans="1:7" ht="12.75" customHeight="1">
      <c r="A11536" s="3">
        <v>87316</v>
      </c>
      <c r="B11536" s="4" t="s">
        <v>11561</v>
      </c>
      <c r="C11536" s="3" t="s">
        <v>152</v>
      </c>
      <c r="D11536" s="5">
        <f t="shared" si="360"/>
        <v>467.38</v>
      </c>
      <c r="E11536">
        <v>513.04999999999995</v>
      </c>
      <c r="F11536" s="1789">
        <v>8.8999999999999996E-2</v>
      </c>
      <c r="G11536">
        <f t="shared" si="361"/>
        <v>467.38</v>
      </c>
    </row>
    <row r="11537" spans="1:7" ht="12.75" customHeight="1">
      <c r="A11537" s="3">
        <v>87317</v>
      </c>
      <c r="B11537" s="4" t="s">
        <v>11562</v>
      </c>
      <c r="C11537" s="3" t="s">
        <v>152</v>
      </c>
      <c r="D11537" s="5">
        <f t="shared" si="360"/>
        <v>456.13</v>
      </c>
      <c r="E11537">
        <v>500.7</v>
      </c>
      <c r="F11537" s="1789">
        <v>8.8999999999999996E-2</v>
      </c>
      <c r="G11537">
        <f t="shared" si="361"/>
        <v>456.13</v>
      </c>
    </row>
    <row r="11538" spans="1:7" ht="12.75" customHeight="1">
      <c r="A11538" s="3">
        <v>87319</v>
      </c>
      <c r="B11538" s="4" t="s">
        <v>11563</v>
      </c>
      <c r="C11538" s="3" t="s">
        <v>152</v>
      </c>
      <c r="D11538" s="5">
        <f t="shared" si="360"/>
        <v>3216.6</v>
      </c>
      <c r="E11538">
        <v>3530.85</v>
      </c>
      <c r="F11538" s="1789">
        <v>8.8999999999999996E-2</v>
      </c>
      <c r="G11538">
        <f t="shared" si="361"/>
        <v>3216.6</v>
      </c>
    </row>
    <row r="11539" spans="1:7" ht="12.75" customHeight="1">
      <c r="A11539" s="3">
        <v>87320</v>
      </c>
      <c r="B11539" s="4" t="s">
        <v>11564</v>
      </c>
      <c r="C11539" s="3" t="s">
        <v>152</v>
      </c>
      <c r="D11539" s="5">
        <f t="shared" si="360"/>
        <v>3223.5</v>
      </c>
      <c r="E11539">
        <v>3538.42</v>
      </c>
      <c r="F11539" s="1789">
        <v>8.8999999999999996E-2</v>
      </c>
      <c r="G11539">
        <f t="shared" si="361"/>
        <v>3223.5</v>
      </c>
    </row>
    <row r="11540" spans="1:7" ht="12.75" customHeight="1">
      <c r="A11540" s="3">
        <v>87322</v>
      </c>
      <c r="B11540" s="4" t="s">
        <v>11565</v>
      </c>
      <c r="C11540" s="3" t="s">
        <v>152</v>
      </c>
      <c r="D11540" s="5">
        <f t="shared" si="360"/>
        <v>3319.35</v>
      </c>
      <c r="E11540">
        <v>3643.64</v>
      </c>
      <c r="F11540" s="1789">
        <v>8.8999999999999996E-2</v>
      </c>
      <c r="G11540">
        <f t="shared" si="361"/>
        <v>3319.35</v>
      </c>
    </row>
    <row r="11541" spans="1:7" ht="12.75" customHeight="1">
      <c r="A11541" s="3">
        <v>87323</v>
      </c>
      <c r="B11541" s="4" t="s">
        <v>11566</v>
      </c>
      <c r="C11541" s="3" t="s">
        <v>152</v>
      </c>
      <c r="D11541" s="5">
        <f t="shared" ref="D11541:D11604" si="362">G11541</f>
        <v>3320.72</v>
      </c>
      <c r="E11541">
        <v>3645.14</v>
      </c>
      <c r="F11541" s="1789">
        <v>8.8999999999999996E-2</v>
      </c>
      <c r="G11541">
        <f t="shared" ref="G11541:G11604" si="363">TRUNC((1-F11541)*E11541,2)</f>
        <v>3320.72</v>
      </c>
    </row>
    <row r="11542" spans="1:7" ht="12.75" customHeight="1">
      <c r="A11542" s="3">
        <v>87325</v>
      </c>
      <c r="B11542" s="4" t="s">
        <v>11567</v>
      </c>
      <c r="C11542" s="3" t="s">
        <v>152</v>
      </c>
      <c r="D11542" s="5">
        <f t="shared" si="362"/>
        <v>3242.35</v>
      </c>
      <c r="E11542">
        <v>3559.12</v>
      </c>
      <c r="F11542" s="1789">
        <v>8.8999999999999996E-2</v>
      </c>
      <c r="G11542">
        <f t="shared" si="363"/>
        <v>3242.35</v>
      </c>
    </row>
    <row r="11543" spans="1:7" ht="12.75" customHeight="1">
      <c r="A11543" s="3">
        <v>87326</v>
      </c>
      <c r="B11543" s="4" t="s">
        <v>11568</v>
      </c>
      <c r="C11543" s="3" t="s">
        <v>152</v>
      </c>
      <c r="D11543" s="5">
        <f t="shared" si="362"/>
        <v>3253.7</v>
      </c>
      <c r="E11543">
        <v>3571.57</v>
      </c>
      <c r="F11543" s="1789">
        <v>8.8999999999999996E-2</v>
      </c>
      <c r="G11543">
        <f t="shared" si="363"/>
        <v>3253.7</v>
      </c>
    </row>
    <row r="11544" spans="1:7" ht="12.75" customHeight="1">
      <c r="A11544" s="3">
        <v>87327</v>
      </c>
      <c r="B11544" s="4" t="s">
        <v>11569</v>
      </c>
      <c r="C11544" s="3" t="s">
        <v>152</v>
      </c>
      <c r="D11544" s="5">
        <f t="shared" si="362"/>
        <v>448.77</v>
      </c>
      <c r="E11544">
        <v>492.62</v>
      </c>
      <c r="F11544" s="1789">
        <v>8.8999999999999996E-2</v>
      </c>
      <c r="G11544">
        <f t="shared" si="363"/>
        <v>448.77</v>
      </c>
    </row>
    <row r="11545" spans="1:7" ht="12.75" customHeight="1">
      <c r="A11545" s="3">
        <v>87328</v>
      </c>
      <c r="B11545" s="4" t="s">
        <v>11570</v>
      </c>
      <c r="C11545" s="3" t="s">
        <v>152</v>
      </c>
      <c r="D11545" s="5">
        <f t="shared" si="362"/>
        <v>401.83</v>
      </c>
      <c r="E11545">
        <v>441.09</v>
      </c>
      <c r="F11545" s="1789">
        <v>8.8999999999999996E-2</v>
      </c>
      <c r="G11545">
        <f t="shared" si="363"/>
        <v>401.83</v>
      </c>
    </row>
    <row r="11546" spans="1:7" ht="12.75" customHeight="1">
      <c r="A11546" s="3">
        <v>87329</v>
      </c>
      <c r="B11546" s="4" t="s">
        <v>11571</v>
      </c>
      <c r="C11546" s="3" t="s">
        <v>152</v>
      </c>
      <c r="D11546" s="5">
        <f t="shared" si="362"/>
        <v>479.58</v>
      </c>
      <c r="E11546">
        <v>526.44000000000005</v>
      </c>
      <c r="F11546" s="1789">
        <v>8.8999999999999996E-2</v>
      </c>
      <c r="G11546">
        <f t="shared" si="363"/>
        <v>479.58</v>
      </c>
    </row>
    <row r="11547" spans="1:7" ht="12.75" customHeight="1">
      <c r="A11547" s="3">
        <v>87330</v>
      </c>
      <c r="B11547" s="4" t="s">
        <v>11572</v>
      </c>
      <c r="C11547" s="3" t="s">
        <v>152</v>
      </c>
      <c r="D11547" s="5">
        <f t="shared" si="362"/>
        <v>426.22</v>
      </c>
      <c r="E11547">
        <v>467.86</v>
      </c>
      <c r="F11547" s="1789">
        <v>8.8999999999999996E-2</v>
      </c>
      <c r="G11547">
        <f t="shared" si="363"/>
        <v>426.22</v>
      </c>
    </row>
    <row r="11548" spans="1:7" ht="12.75" customHeight="1">
      <c r="A11548" s="3">
        <v>87331</v>
      </c>
      <c r="B11548" s="4" t="s">
        <v>11573</v>
      </c>
      <c r="C11548" s="3" t="s">
        <v>152</v>
      </c>
      <c r="D11548" s="5">
        <f t="shared" si="362"/>
        <v>557.97</v>
      </c>
      <c r="E11548">
        <v>612.49</v>
      </c>
      <c r="F11548" s="1789">
        <v>8.8999999999999996E-2</v>
      </c>
      <c r="G11548">
        <f t="shared" si="363"/>
        <v>557.97</v>
      </c>
    </row>
    <row r="11549" spans="1:7" ht="12.75" customHeight="1">
      <c r="A11549" s="3">
        <v>87332</v>
      </c>
      <c r="B11549" s="4" t="s">
        <v>11574</v>
      </c>
      <c r="C11549" s="3" t="s">
        <v>152</v>
      </c>
      <c r="D11549" s="5">
        <f t="shared" si="362"/>
        <v>509.32</v>
      </c>
      <c r="E11549">
        <v>559.08000000000004</v>
      </c>
      <c r="F11549" s="1789">
        <v>8.8999999999999996E-2</v>
      </c>
      <c r="G11549">
        <f t="shared" si="363"/>
        <v>509.32</v>
      </c>
    </row>
    <row r="11550" spans="1:7" ht="12.75" customHeight="1">
      <c r="A11550" s="3">
        <v>87333</v>
      </c>
      <c r="B11550" s="4" t="s">
        <v>11575</v>
      </c>
      <c r="C11550" s="3" t="s">
        <v>152</v>
      </c>
      <c r="D11550" s="5">
        <f t="shared" si="362"/>
        <v>521.38</v>
      </c>
      <c r="E11550">
        <v>572.32000000000005</v>
      </c>
      <c r="F11550" s="1789">
        <v>8.8999999999999996E-2</v>
      </c>
      <c r="G11550">
        <f t="shared" si="363"/>
        <v>521.38</v>
      </c>
    </row>
    <row r="11551" spans="1:7" ht="12.75" customHeight="1">
      <c r="A11551" s="3">
        <v>87334</v>
      </c>
      <c r="B11551" s="4" t="s">
        <v>11576</v>
      </c>
      <c r="C11551" s="3" t="s">
        <v>152</v>
      </c>
      <c r="D11551" s="5">
        <f t="shared" si="362"/>
        <v>492.12</v>
      </c>
      <c r="E11551">
        <v>540.20000000000005</v>
      </c>
      <c r="F11551" s="1789">
        <v>8.8999999999999996E-2</v>
      </c>
      <c r="G11551">
        <f t="shared" si="363"/>
        <v>492.12</v>
      </c>
    </row>
    <row r="11552" spans="1:7" ht="12.75" customHeight="1">
      <c r="A11552" s="3">
        <v>87335</v>
      </c>
      <c r="B11552" s="4" t="s">
        <v>11577</v>
      </c>
      <c r="C11552" s="3" t="s">
        <v>152</v>
      </c>
      <c r="D11552" s="5">
        <f t="shared" si="362"/>
        <v>515.9</v>
      </c>
      <c r="E11552">
        <v>566.30999999999995</v>
      </c>
      <c r="F11552" s="1789">
        <v>8.8999999999999996E-2</v>
      </c>
      <c r="G11552">
        <f t="shared" si="363"/>
        <v>515.9</v>
      </c>
    </row>
    <row r="11553" spans="1:7" ht="12.75" customHeight="1">
      <c r="A11553" s="3">
        <v>87336</v>
      </c>
      <c r="B11553" s="4" t="s">
        <v>11578</v>
      </c>
      <c r="C11553" s="3" t="s">
        <v>152</v>
      </c>
      <c r="D11553" s="5">
        <f t="shared" si="362"/>
        <v>504.94</v>
      </c>
      <c r="E11553">
        <v>554.28</v>
      </c>
      <c r="F11553" s="1789">
        <v>8.8999999999999996E-2</v>
      </c>
      <c r="G11553">
        <f t="shared" si="363"/>
        <v>504.94</v>
      </c>
    </row>
    <row r="11554" spans="1:7" ht="12.75" customHeight="1">
      <c r="A11554" s="3">
        <v>87337</v>
      </c>
      <c r="B11554" s="4" t="s">
        <v>11579</v>
      </c>
      <c r="C11554" s="3" t="s">
        <v>152</v>
      </c>
      <c r="D11554" s="5">
        <f t="shared" si="362"/>
        <v>506.5</v>
      </c>
      <c r="E11554">
        <v>555.99</v>
      </c>
      <c r="F11554" s="1789">
        <v>8.8999999999999996E-2</v>
      </c>
      <c r="G11554">
        <f t="shared" si="363"/>
        <v>506.5</v>
      </c>
    </row>
    <row r="11555" spans="1:7" ht="12.75" customHeight="1">
      <c r="A11555" s="3">
        <v>87338</v>
      </c>
      <c r="B11555" s="4" t="s">
        <v>11580</v>
      </c>
      <c r="C11555" s="3" t="s">
        <v>152</v>
      </c>
      <c r="D11555" s="5">
        <f t="shared" si="362"/>
        <v>487.21</v>
      </c>
      <c r="E11555">
        <v>534.80999999999995</v>
      </c>
      <c r="F11555" s="1789">
        <v>8.8999999999999996E-2</v>
      </c>
      <c r="G11555">
        <f t="shared" si="363"/>
        <v>487.21</v>
      </c>
    </row>
    <row r="11556" spans="1:7" ht="12.75" customHeight="1">
      <c r="A11556" s="3">
        <v>87339</v>
      </c>
      <c r="B11556" s="4" t="s">
        <v>11581</v>
      </c>
      <c r="C11556" s="3" t="s">
        <v>152</v>
      </c>
      <c r="D11556" s="5">
        <f t="shared" si="362"/>
        <v>759.09</v>
      </c>
      <c r="E11556">
        <v>833.25</v>
      </c>
      <c r="F11556" s="1789">
        <v>8.8999999999999996E-2</v>
      </c>
      <c r="G11556">
        <f t="shared" si="363"/>
        <v>759.09</v>
      </c>
    </row>
    <row r="11557" spans="1:7" ht="12.75" customHeight="1">
      <c r="A11557" s="3">
        <v>87340</v>
      </c>
      <c r="B11557" s="4" t="s">
        <v>11582</v>
      </c>
      <c r="C11557" s="3" t="s">
        <v>152</v>
      </c>
      <c r="D11557" s="5">
        <f t="shared" si="362"/>
        <v>659.54</v>
      </c>
      <c r="E11557">
        <v>723.98</v>
      </c>
      <c r="F11557" s="1789">
        <v>8.8999999999999996E-2</v>
      </c>
      <c r="G11557">
        <f t="shared" si="363"/>
        <v>659.54</v>
      </c>
    </row>
    <row r="11558" spans="1:7" ht="12.75" customHeight="1">
      <c r="A11558" s="3">
        <v>87341</v>
      </c>
      <c r="B11558" s="4" t="s">
        <v>11583</v>
      </c>
      <c r="C11558" s="3" t="s">
        <v>152</v>
      </c>
      <c r="D11558" s="5">
        <f t="shared" si="362"/>
        <v>635.13</v>
      </c>
      <c r="E11558">
        <v>697.18</v>
      </c>
      <c r="F11558" s="1789">
        <v>8.8999999999999996E-2</v>
      </c>
      <c r="G11558">
        <f t="shared" si="363"/>
        <v>635.13</v>
      </c>
    </row>
    <row r="11559" spans="1:7" ht="12.75" customHeight="1">
      <c r="A11559" s="3">
        <v>87342</v>
      </c>
      <c r="B11559" s="4" t="s">
        <v>11584</v>
      </c>
      <c r="C11559" s="3" t="s">
        <v>152</v>
      </c>
      <c r="D11559" s="5">
        <f t="shared" si="362"/>
        <v>652.86</v>
      </c>
      <c r="E11559">
        <v>716.65</v>
      </c>
      <c r="F11559" s="1789">
        <v>8.8999999999999996E-2</v>
      </c>
      <c r="G11559">
        <f t="shared" si="363"/>
        <v>652.86</v>
      </c>
    </row>
    <row r="11560" spans="1:7" ht="12.75" customHeight="1">
      <c r="A11560" s="3">
        <v>87343</v>
      </c>
      <c r="B11560" s="4" t="s">
        <v>11585</v>
      </c>
      <c r="C11560" s="3" t="s">
        <v>152</v>
      </c>
      <c r="D11560" s="5">
        <f t="shared" si="362"/>
        <v>596.54999999999995</v>
      </c>
      <c r="E11560">
        <v>654.84</v>
      </c>
      <c r="F11560" s="1789">
        <v>8.8999999999999996E-2</v>
      </c>
      <c r="G11560">
        <f t="shared" si="363"/>
        <v>596.54999999999995</v>
      </c>
    </row>
    <row r="11561" spans="1:7" ht="12.75" customHeight="1">
      <c r="A11561" s="3">
        <v>87344</v>
      </c>
      <c r="B11561" s="4" t="s">
        <v>11586</v>
      </c>
      <c r="C11561" s="3" t="s">
        <v>152</v>
      </c>
      <c r="D11561" s="5">
        <f t="shared" si="362"/>
        <v>566.48</v>
      </c>
      <c r="E11561">
        <v>621.83000000000004</v>
      </c>
      <c r="F11561" s="1789">
        <v>8.8999999999999996E-2</v>
      </c>
      <c r="G11561">
        <f t="shared" si="363"/>
        <v>566.48</v>
      </c>
    </row>
    <row r="11562" spans="1:7" ht="12.75" customHeight="1">
      <c r="A11562" s="3">
        <v>87345</v>
      </c>
      <c r="B11562" s="4" t="s">
        <v>11587</v>
      </c>
      <c r="C11562" s="3" t="s">
        <v>152</v>
      </c>
      <c r="D11562" s="5">
        <f t="shared" si="362"/>
        <v>589.16</v>
      </c>
      <c r="E11562">
        <v>646.72</v>
      </c>
      <c r="F11562" s="1789">
        <v>8.8999999999999996E-2</v>
      </c>
      <c r="G11562">
        <f t="shared" si="363"/>
        <v>589.16</v>
      </c>
    </row>
    <row r="11563" spans="1:7" ht="12.75" customHeight="1">
      <c r="A11563" s="3">
        <v>87346</v>
      </c>
      <c r="B11563" s="4" t="s">
        <v>11588</v>
      </c>
      <c r="C11563" s="3" t="s">
        <v>152</v>
      </c>
      <c r="D11563" s="5">
        <f t="shared" si="362"/>
        <v>542.91</v>
      </c>
      <c r="E11563">
        <v>595.96</v>
      </c>
      <c r="F11563" s="1789">
        <v>8.8999999999999996E-2</v>
      </c>
      <c r="G11563">
        <f t="shared" si="363"/>
        <v>542.91</v>
      </c>
    </row>
    <row r="11564" spans="1:7" ht="12.75" customHeight="1">
      <c r="A11564" s="3">
        <v>87347</v>
      </c>
      <c r="B11564" s="4" t="s">
        <v>11589</v>
      </c>
      <c r="C11564" s="3" t="s">
        <v>152</v>
      </c>
      <c r="D11564" s="5">
        <f t="shared" si="362"/>
        <v>518.95000000000005</v>
      </c>
      <c r="E11564">
        <v>569.65</v>
      </c>
      <c r="F11564" s="1789">
        <v>8.8999999999999996E-2</v>
      </c>
      <c r="G11564">
        <f t="shared" si="363"/>
        <v>518.95000000000005</v>
      </c>
    </row>
    <row r="11565" spans="1:7" ht="12.75" customHeight="1">
      <c r="A11565" s="3">
        <v>87348</v>
      </c>
      <c r="B11565" s="4" t="s">
        <v>11590</v>
      </c>
      <c r="C11565" s="3" t="s">
        <v>152</v>
      </c>
      <c r="D11565" s="5">
        <f t="shared" si="362"/>
        <v>541.99</v>
      </c>
      <c r="E11565">
        <v>594.95000000000005</v>
      </c>
      <c r="F11565" s="1789">
        <v>8.8999999999999996E-2</v>
      </c>
      <c r="G11565">
        <f t="shared" si="363"/>
        <v>541.99</v>
      </c>
    </row>
    <row r="11566" spans="1:7" ht="12.75" customHeight="1">
      <c r="A11566" s="3">
        <v>87349</v>
      </c>
      <c r="B11566" s="4" t="s">
        <v>11591</v>
      </c>
      <c r="C11566" s="3" t="s">
        <v>152</v>
      </c>
      <c r="D11566" s="5">
        <f t="shared" si="362"/>
        <v>482.33</v>
      </c>
      <c r="E11566">
        <v>529.46</v>
      </c>
      <c r="F11566" s="1789">
        <v>8.8999999999999996E-2</v>
      </c>
      <c r="G11566">
        <f t="shared" si="363"/>
        <v>482.33</v>
      </c>
    </row>
    <row r="11567" spans="1:7" ht="12.75" customHeight="1">
      <c r="A11567" s="3">
        <v>87350</v>
      </c>
      <c r="B11567" s="4" t="s">
        <v>11592</v>
      </c>
      <c r="C11567" s="3" t="s">
        <v>152</v>
      </c>
      <c r="D11567" s="5">
        <f t="shared" si="362"/>
        <v>462.62</v>
      </c>
      <c r="E11567">
        <v>507.82</v>
      </c>
      <c r="F11567" s="1789">
        <v>8.8999999999999996E-2</v>
      </c>
      <c r="G11567">
        <f t="shared" si="363"/>
        <v>462.62</v>
      </c>
    </row>
    <row r="11568" spans="1:7" ht="12.75" customHeight="1">
      <c r="A11568" s="3">
        <v>87351</v>
      </c>
      <c r="B11568" s="4" t="s">
        <v>11593</v>
      </c>
      <c r="C11568" s="3" t="s">
        <v>152</v>
      </c>
      <c r="D11568" s="5">
        <f t="shared" si="362"/>
        <v>405.03</v>
      </c>
      <c r="E11568">
        <v>444.61</v>
      </c>
      <c r="F11568" s="1789">
        <v>8.8999999999999996E-2</v>
      </c>
      <c r="G11568">
        <f t="shared" si="363"/>
        <v>405.03</v>
      </c>
    </row>
    <row r="11569" spans="1:7" ht="12.75" customHeight="1">
      <c r="A11569" s="3">
        <v>87352</v>
      </c>
      <c r="B11569" s="4" t="s">
        <v>11594</v>
      </c>
      <c r="C11569" s="3" t="s">
        <v>152</v>
      </c>
      <c r="D11569" s="5">
        <f t="shared" si="362"/>
        <v>578.83000000000004</v>
      </c>
      <c r="E11569">
        <v>635.38</v>
      </c>
      <c r="F11569" s="1789">
        <v>8.8999999999999996E-2</v>
      </c>
      <c r="G11569">
        <f t="shared" si="363"/>
        <v>578.83000000000004</v>
      </c>
    </row>
    <row r="11570" spans="1:7" ht="12.75" customHeight="1">
      <c r="A11570" s="3">
        <v>87353</v>
      </c>
      <c r="B11570" s="4" t="s">
        <v>11595</v>
      </c>
      <c r="C11570" s="3" t="s">
        <v>152</v>
      </c>
      <c r="D11570" s="5">
        <f t="shared" si="362"/>
        <v>516.63</v>
      </c>
      <c r="E11570">
        <v>567.11</v>
      </c>
      <c r="F11570" s="1789">
        <v>8.8999999999999996E-2</v>
      </c>
      <c r="G11570">
        <f t="shared" si="363"/>
        <v>516.63</v>
      </c>
    </row>
    <row r="11571" spans="1:7" ht="12.75" customHeight="1">
      <c r="A11571" s="3">
        <v>87354</v>
      </c>
      <c r="B11571" s="4" t="s">
        <v>11596</v>
      </c>
      <c r="C11571" s="3" t="s">
        <v>152</v>
      </c>
      <c r="D11571" s="5">
        <f t="shared" si="362"/>
        <v>490.09</v>
      </c>
      <c r="E11571">
        <v>537.98</v>
      </c>
      <c r="F11571" s="1789">
        <v>8.8999999999999996E-2</v>
      </c>
      <c r="G11571">
        <f t="shared" si="363"/>
        <v>490.09</v>
      </c>
    </row>
    <row r="11572" spans="1:7" ht="12.75" customHeight="1">
      <c r="A11572" s="3">
        <v>87355</v>
      </c>
      <c r="B11572" s="4" t="s">
        <v>11597</v>
      </c>
      <c r="C11572" s="3" t="s">
        <v>152</v>
      </c>
      <c r="D11572" s="5">
        <f t="shared" si="362"/>
        <v>496.68</v>
      </c>
      <c r="E11572">
        <v>545.21</v>
      </c>
      <c r="F11572" s="1789">
        <v>8.8999999999999996E-2</v>
      </c>
      <c r="G11572">
        <f t="shared" si="363"/>
        <v>496.68</v>
      </c>
    </row>
    <row r="11573" spans="1:7" ht="12.75" customHeight="1">
      <c r="A11573" s="3">
        <v>87356</v>
      </c>
      <c r="B11573" s="4" t="s">
        <v>11598</v>
      </c>
      <c r="C11573" s="3" t="s">
        <v>152</v>
      </c>
      <c r="D11573" s="5">
        <f t="shared" si="362"/>
        <v>455.35</v>
      </c>
      <c r="E11573">
        <v>499.84</v>
      </c>
      <c r="F11573" s="1789">
        <v>8.8999999999999996E-2</v>
      </c>
      <c r="G11573">
        <f t="shared" si="363"/>
        <v>455.35</v>
      </c>
    </row>
    <row r="11574" spans="1:7" ht="12.75" customHeight="1">
      <c r="A11574" s="3">
        <v>87357</v>
      </c>
      <c r="B11574" s="4" t="s">
        <v>11599</v>
      </c>
      <c r="C11574" s="3" t="s">
        <v>152</v>
      </c>
      <c r="D11574" s="5">
        <f t="shared" si="362"/>
        <v>435.71</v>
      </c>
      <c r="E11574">
        <v>478.28</v>
      </c>
      <c r="F11574" s="1789">
        <v>8.8999999999999996E-2</v>
      </c>
      <c r="G11574">
        <f t="shared" si="363"/>
        <v>435.71</v>
      </c>
    </row>
    <row r="11575" spans="1:7" ht="12.75" customHeight="1">
      <c r="A11575" s="3">
        <v>87358</v>
      </c>
      <c r="B11575" s="4" t="s">
        <v>11600</v>
      </c>
      <c r="C11575" s="3" t="s">
        <v>152</v>
      </c>
      <c r="D11575" s="5">
        <f t="shared" si="362"/>
        <v>3178.82</v>
      </c>
      <c r="E11575">
        <v>3489.38</v>
      </c>
      <c r="F11575" s="1789">
        <v>8.8999999999999996E-2</v>
      </c>
      <c r="G11575">
        <f t="shared" si="363"/>
        <v>3178.82</v>
      </c>
    </row>
    <row r="11576" spans="1:7" ht="12.75" customHeight="1">
      <c r="A11576" s="3">
        <v>87359</v>
      </c>
      <c r="B11576" s="4" t="s">
        <v>11601</v>
      </c>
      <c r="C11576" s="3" t="s">
        <v>152</v>
      </c>
      <c r="D11576" s="5">
        <f t="shared" si="362"/>
        <v>3157.79</v>
      </c>
      <c r="E11576">
        <v>3466.29</v>
      </c>
      <c r="F11576" s="1789">
        <v>8.8999999999999996E-2</v>
      </c>
      <c r="G11576">
        <f t="shared" si="363"/>
        <v>3157.79</v>
      </c>
    </row>
    <row r="11577" spans="1:7" ht="12.75" customHeight="1">
      <c r="A11577" s="3">
        <v>87360</v>
      </c>
      <c r="B11577" s="4" t="s">
        <v>11602</v>
      </c>
      <c r="C11577" s="3" t="s">
        <v>152</v>
      </c>
      <c r="D11577" s="5">
        <f t="shared" si="362"/>
        <v>3274.78</v>
      </c>
      <c r="E11577">
        <v>3594.72</v>
      </c>
      <c r="F11577" s="1789">
        <v>8.8999999999999996E-2</v>
      </c>
      <c r="G11577">
        <f t="shared" si="363"/>
        <v>3274.78</v>
      </c>
    </row>
    <row r="11578" spans="1:7" ht="12.75" customHeight="1">
      <c r="A11578" s="3">
        <v>87361</v>
      </c>
      <c r="B11578" s="4" t="s">
        <v>11603</v>
      </c>
      <c r="C11578" s="3" t="s">
        <v>152</v>
      </c>
      <c r="D11578" s="5">
        <f t="shared" si="362"/>
        <v>3241.66</v>
      </c>
      <c r="E11578">
        <v>3558.36</v>
      </c>
      <c r="F11578" s="1789">
        <v>8.8999999999999996E-2</v>
      </c>
      <c r="G11578">
        <f t="shared" si="363"/>
        <v>3241.66</v>
      </c>
    </row>
    <row r="11579" spans="1:7" ht="12.75" customHeight="1">
      <c r="A11579" s="3">
        <v>87362</v>
      </c>
      <c r="B11579" s="4" t="s">
        <v>11604</v>
      </c>
      <c r="C11579" s="3" t="s">
        <v>152</v>
      </c>
      <c r="D11579" s="5">
        <f t="shared" si="362"/>
        <v>3243.97</v>
      </c>
      <c r="E11579">
        <v>3560.89</v>
      </c>
      <c r="F11579" s="1789">
        <v>8.8999999999999996E-2</v>
      </c>
      <c r="G11579">
        <f t="shared" si="363"/>
        <v>3243.97</v>
      </c>
    </row>
    <row r="11580" spans="1:7" ht="12.75" customHeight="1">
      <c r="A11580" s="3">
        <v>87363</v>
      </c>
      <c r="B11580" s="4" t="s">
        <v>11605</v>
      </c>
      <c r="C11580" s="3" t="s">
        <v>152</v>
      </c>
      <c r="D11580" s="5">
        <f t="shared" si="362"/>
        <v>3212.86</v>
      </c>
      <c r="E11580">
        <v>3526.75</v>
      </c>
      <c r="F11580" s="1789">
        <v>8.8999999999999996E-2</v>
      </c>
      <c r="G11580">
        <f t="shared" si="363"/>
        <v>3212.86</v>
      </c>
    </row>
    <row r="11581" spans="1:7" ht="12.75" customHeight="1">
      <c r="A11581" s="3">
        <v>87364</v>
      </c>
      <c r="B11581" s="4" t="s">
        <v>11606</v>
      </c>
      <c r="C11581" s="3" t="s">
        <v>152</v>
      </c>
      <c r="D11581" s="5">
        <f t="shared" si="362"/>
        <v>3194.64</v>
      </c>
      <c r="E11581">
        <v>3506.75</v>
      </c>
      <c r="F11581" s="1789">
        <v>8.8999999999999996E-2</v>
      </c>
      <c r="G11581">
        <f t="shared" si="363"/>
        <v>3194.64</v>
      </c>
    </row>
    <row r="11582" spans="1:7" ht="12.75" customHeight="1">
      <c r="A11582" s="3">
        <v>87365</v>
      </c>
      <c r="B11582" s="4" t="s">
        <v>11607</v>
      </c>
      <c r="C11582" s="3" t="s">
        <v>152</v>
      </c>
      <c r="D11582" s="5">
        <f t="shared" si="362"/>
        <v>538.99</v>
      </c>
      <c r="E11582">
        <v>591.65</v>
      </c>
      <c r="F11582" s="1789">
        <v>8.8999999999999996E-2</v>
      </c>
      <c r="G11582">
        <f t="shared" si="363"/>
        <v>538.99</v>
      </c>
    </row>
    <row r="11583" spans="1:7" ht="12.75" customHeight="1">
      <c r="A11583" s="3">
        <v>87366</v>
      </c>
      <c r="B11583" s="4" t="s">
        <v>11608</v>
      </c>
      <c r="C11583" s="3" t="s">
        <v>152</v>
      </c>
      <c r="D11583" s="5">
        <f t="shared" si="362"/>
        <v>567.39</v>
      </c>
      <c r="E11583">
        <v>622.83000000000004</v>
      </c>
      <c r="F11583" s="1789">
        <v>8.8999999999999996E-2</v>
      </c>
      <c r="G11583">
        <f t="shared" si="363"/>
        <v>567.39</v>
      </c>
    </row>
    <row r="11584" spans="1:7" ht="12.75" customHeight="1">
      <c r="A11584" s="3">
        <v>87367</v>
      </c>
      <c r="B11584" s="4" t="s">
        <v>11609</v>
      </c>
      <c r="C11584" s="3" t="s">
        <v>152</v>
      </c>
      <c r="D11584" s="5">
        <f t="shared" si="362"/>
        <v>649.57000000000005</v>
      </c>
      <c r="E11584">
        <v>713.03</v>
      </c>
      <c r="F11584" s="1789">
        <v>8.8999999999999996E-2</v>
      </c>
      <c r="G11584">
        <f t="shared" si="363"/>
        <v>649.57000000000005</v>
      </c>
    </row>
    <row r="11585" spans="1:7" ht="12.75" customHeight="1">
      <c r="A11585" s="3">
        <v>87368</v>
      </c>
      <c r="B11585" s="4" t="s">
        <v>11610</v>
      </c>
      <c r="C11585" s="3" t="s">
        <v>152</v>
      </c>
      <c r="D11585" s="5">
        <f t="shared" si="362"/>
        <v>631.27</v>
      </c>
      <c r="E11585">
        <v>692.95</v>
      </c>
      <c r="F11585" s="1789">
        <v>8.8999999999999996E-2</v>
      </c>
      <c r="G11585">
        <f t="shared" si="363"/>
        <v>631.27</v>
      </c>
    </row>
    <row r="11586" spans="1:7" ht="12.75" customHeight="1">
      <c r="A11586" s="3">
        <v>87369</v>
      </c>
      <c r="B11586" s="4" t="s">
        <v>11611</v>
      </c>
      <c r="C11586" s="3" t="s">
        <v>152</v>
      </c>
      <c r="D11586" s="5">
        <f t="shared" si="362"/>
        <v>642.79</v>
      </c>
      <c r="E11586">
        <v>705.59</v>
      </c>
      <c r="F11586" s="1789">
        <v>8.8999999999999996E-2</v>
      </c>
      <c r="G11586">
        <f t="shared" si="363"/>
        <v>642.79</v>
      </c>
    </row>
    <row r="11587" spans="1:7" ht="12.75" customHeight="1">
      <c r="A11587" s="3">
        <v>87370</v>
      </c>
      <c r="B11587" s="4" t="s">
        <v>11612</v>
      </c>
      <c r="C11587" s="3" t="s">
        <v>152</v>
      </c>
      <c r="D11587" s="5">
        <f t="shared" si="362"/>
        <v>620.95000000000005</v>
      </c>
      <c r="E11587">
        <v>681.62</v>
      </c>
      <c r="F11587" s="1789">
        <v>8.8999999999999996E-2</v>
      </c>
      <c r="G11587">
        <f t="shared" si="363"/>
        <v>620.95000000000005</v>
      </c>
    </row>
    <row r="11588" spans="1:7" ht="12.75" customHeight="1">
      <c r="A11588" s="3">
        <v>87371</v>
      </c>
      <c r="B11588" s="4" t="s">
        <v>11613</v>
      </c>
      <c r="C11588" s="3" t="s">
        <v>152</v>
      </c>
      <c r="D11588" s="5">
        <f t="shared" si="362"/>
        <v>606.79999999999995</v>
      </c>
      <c r="E11588">
        <v>666.09</v>
      </c>
      <c r="F11588" s="1789">
        <v>8.8999999999999996E-2</v>
      </c>
      <c r="G11588">
        <f t="shared" si="363"/>
        <v>606.79999999999995</v>
      </c>
    </row>
    <row r="11589" spans="1:7" ht="12.75" customHeight="1">
      <c r="A11589" s="3">
        <v>87372</v>
      </c>
      <c r="B11589" s="4" t="s">
        <v>11614</v>
      </c>
      <c r="C11589" s="3" t="s">
        <v>152</v>
      </c>
      <c r="D11589" s="5">
        <f t="shared" si="362"/>
        <v>787.54</v>
      </c>
      <c r="E11589">
        <v>864.48</v>
      </c>
      <c r="F11589" s="1789">
        <v>8.8999999999999996E-2</v>
      </c>
      <c r="G11589">
        <f t="shared" si="363"/>
        <v>787.54</v>
      </c>
    </row>
    <row r="11590" spans="1:7" ht="12.75" customHeight="1">
      <c r="A11590" s="3">
        <v>87373</v>
      </c>
      <c r="B11590" s="4" t="s">
        <v>11615</v>
      </c>
      <c r="C11590" s="3" t="s">
        <v>152</v>
      </c>
      <c r="D11590" s="5">
        <f t="shared" si="362"/>
        <v>706.51</v>
      </c>
      <c r="E11590">
        <v>775.54</v>
      </c>
      <c r="F11590" s="1789">
        <v>8.8999999999999996E-2</v>
      </c>
      <c r="G11590">
        <f t="shared" si="363"/>
        <v>706.51</v>
      </c>
    </row>
    <row r="11591" spans="1:7" ht="12.75" customHeight="1">
      <c r="A11591" s="3">
        <v>87374</v>
      </c>
      <c r="B11591" s="4" t="s">
        <v>11616</v>
      </c>
      <c r="C11591" s="3" t="s">
        <v>152</v>
      </c>
      <c r="D11591" s="5">
        <f t="shared" si="362"/>
        <v>660.2</v>
      </c>
      <c r="E11591">
        <v>724.7</v>
      </c>
      <c r="F11591" s="1789">
        <v>8.8999999999999996E-2</v>
      </c>
      <c r="G11591">
        <f t="shared" si="363"/>
        <v>660.2</v>
      </c>
    </row>
    <row r="11592" spans="1:7" ht="12.75" customHeight="1">
      <c r="A11592" s="3">
        <v>87375</v>
      </c>
      <c r="B11592" s="4" t="s">
        <v>11617</v>
      </c>
      <c r="C11592" s="3" t="s">
        <v>152</v>
      </c>
      <c r="D11592" s="5">
        <f t="shared" si="362"/>
        <v>630.42999999999995</v>
      </c>
      <c r="E11592">
        <v>692.03</v>
      </c>
      <c r="F11592" s="1789">
        <v>8.8999999999999996E-2</v>
      </c>
      <c r="G11592">
        <f t="shared" si="363"/>
        <v>630.42999999999995</v>
      </c>
    </row>
    <row r="11593" spans="1:7" ht="12.75" customHeight="1">
      <c r="A11593" s="3">
        <v>87376</v>
      </c>
      <c r="B11593" s="4" t="s">
        <v>11618</v>
      </c>
      <c r="C11593" s="3" t="s">
        <v>152</v>
      </c>
      <c r="D11593" s="5">
        <f t="shared" si="362"/>
        <v>542.4</v>
      </c>
      <c r="E11593">
        <v>595.4</v>
      </c>
      <c r="F11593" s="1789">
        <v>8.8999999999999996E-2</v>
      </c>
      <c r="G11593">
        <f t="shared" si="363"/>
        <v>542.4</v>
      </c>
    </row>
    <row r="11594" spans="1:7" ht="12.75" customHeight="1">
      <c r="A11594" s="3">
        <v>87377</v>
      </c>
      <c r="B11594" s="4" t="s">
        <v>11619</v>
      </c>
      <c r="C11594" s="3" t="s">
        <v>152</v>
      </c>
      <c r="D11594" s="5">
        <f t="shared" si="362"/>
        <v>634.63</v>
      </c>
      <c r="E11594">
        <v>696.64</v>
      </c>
      <c r="F11594" s="1789">
        <v>8.8999999999999996E-2</v>
      </c>
      <c r="G11594">
        <f t="shared" si="363"/>
        <v>634.63</v>
      </c>
    </row>
    <row r="11595" spans="1:7" ht="12.75" customHeight="1">
      <c r="A11595" s="3">
        <v>87378</v>
      </c>
      <c r="B11595" s="4" t="s">
        <v>11620</v>
      </c>
      <c r="C11595" s="3" t="s">
        <v>152</v>
      </c>
      <c r="D11595" s="5">
        <f t="shared" si="362"/>
        <v>575.12</v>
      </c>
      <c r="E11595">
        <v>631.30999999999995</v>
      </c>
      <c r="F11595" s="1789">
        <v>8.8999999999999996E-2</v>
      </c>
      <c r="G11595">
        <f t="shared" si="363"/>
        <v>575.12</v>
      </c>
    </row>
    <row r="11596" spans="1:7" ht="12.75" customHeight="1">
      <c r="A11596" s="3">
        <v>87379</v>
      </c>
      <c r="B11596" s="4" t="s">
        <v>11621</v>
      </c>
      <c r="C11596" s="3" t="s">
        <v>152</v>
      </c>
      <c r="D11596" s="5">
        <f t="shared" si="362"/>
        <v>3313.48</v>
      </c>
      <c r="E11596">
        <v>3637.19</v>
      </c>
      <c r="F11596" s="1789">
        <v>8.8999999999999996E-2</v>
      </c>
      <c r="G11596">
        <f t="shared" si="363"/>
        <v>3313.48</v>
      </c>
    </row>
    <row r="11597" spans="1:7" ht="12.75" customHeight="1">
      <c r="A11597" s="3">
        <v>87380</v>
      </c>
      <c r="B11597" s="4" t="s">
        <v>11622</v>
      </c>
      <c r="C11597" s="3" t="s">
        <v>152</v>
      </c>
      <c r="D11597" s="5">
        <f t="shared" si="362"/>
        <v>3402.45</v>
      </c>
      <c r="E11597">
        <v>3734.86</v>
      </c>
      <c r="F11597" s="1789">
        <v>8.8999999999999996E-2</v>
      </c>
      <c r="G11597">
        <f t="shared" si="363"/>
        <v>3402.45</v>
      </c>
    </row>
    <row r="11598" spans="1:7" ht="12.75" customHeight="1">
      <c r="A11598" s="3">
        <v>87381</v>
      </c>
      <c r="B11598" s="4" t="s">
        <v>11623</v>
      </c>
      <c r="C11598" s="3" t="s">
        <v>152</v>
      </c>
      <c r="D11598" s="5">
        <f t="shared" si="362"/>
        <v>3344.61</v>
      </c>
      <c r="E11598">
        <v>3671.37</v>
      </c>
      <c r="F11598" s="1789">
        <v>8.8999999999999996E-2</v>
      </c>
      <c r="G11598">
        <f t="shared" si="363"/>
        <v>3344.61</v>
      </c>
    </row>
    <row r="11599" spans="1:7" ht="12.75" customHeight="1">
      <c r="A11599" s="3">
        <v>87382</v>
      </c>
      <c r="B11599" s="4" t="s">
        <v>11624</v>
      </c>
      <c r="C11599" s="3" t="s">
        <v>152</v>
      </c>
      <c r="D11599" s="5">
        <f t="shared" si="362"/>
        <v>2281.67</v>
      </c>
      <c r="E11599">
        <v>2504.58</v>
      </c>
      <c r="F11599" s="1789">
        <v>8.8999999999999996E-2</v>
      </c>
      <c r="G11599">
        <f t="shared" si="363"/>
        <v>2281.67</v>
      </c>
    </row>
    <row r="11600" spans="1:7" ht="12.75" customHeight="1">
      <c r="A11600" s="3">
        <v>87383</v>
      </c>
      <c r="B11600" s="4" t="s">
        <v>11625</v>
      </c>
      <c r="C11600" s="3" t="s">
        <v>152</v>
      </c>
      <c r="D11600" s="5">
        <f t="shared" si="362"/>
        <v>2286.54</v>
      </c>
      <c r="E11600">
        <v>2509.9299999999998</v>
      </c>
      <c r="F11600" s="1789">
        <v>8.8999999999999996E-2</v>
      </c>
      <c r="G11600">
        <f t="shared" si="363"/>
        <v>2286.54</v>
      </c>
    </row>
    <row r="11601" spans="1:7" ht="12.75" customHeight="1">
      <c r="A11601" s="3">
        <v>87384</v>
      </c>
      <c r="B11601" s="4" t="s">
        <v>11626</v>
      </c>
      <c r="C11601" s="3" t="s">
        <v>152</v>
      </c>
      <c r="D11601" s="5">
        <f t="shared" si="362"/>
        <v>2286.1</v>
      </c>
      <c r="E11601">
        <v>2509.4499999999998</v>
      </c>
      <c r="F11601" s="1789">
        <v>8.8999999999999996E-2</v>
      </c>
      <c r="G11601">
        <f t="shared" si="363"/>
        <v>2286.1</v>
      </c>
    </row>
    <row r="11602" spans="1:7" ht="12.75" customHeight="1">
      <c r="A11602" s="3">
        <v>87385</v>
      </c>
      <c r="B11602" s="4" t="s">
        <v>11627</v>
      </c>
      <c r="C11602" s="3" t="s">
        <v>152</v>
      </c>
      <c r="D11602" s="5">
        <f t="shared" si="362"/>
        <v>2648.15</v>
      </c>
      <c r="E11602">
        <v>2906.87</v>
      </c>
      <c r="F11602" s="1789">
        <v>8.8999999999999996E-2</v>
      </c>
      <c r="G11602">
        <f t="shared" si="363"/>
        <v>2648.15</v>
      </c>
    </row>
    <row r="11603" spans="1:7" ht="12.75" customHeight="1">
      <c r="A11603" s="3">
        <v>87386</v>
      </c>
      <c r="B11603" s="4" t="s">
        <v>11628</v>
      </c>
      <c r="C11603" s="3" t="s">
        <v>152</v>
      </c>
      <c r="D11603" s="5">
        <f t="shared" si="362"/>
        <v>2650.11</v>
      </c>
      <c r="E11603">
        <v>2909.02</v>
      </c>
      <c r="F11603" s="1789">
        <v>8.8999999999999996E-2</v>
      </c>
      <c r="G11603">
        <f t="shared" si="363"/>
        <v>2650.11</v>
      </c>
    </row>
    <row r="11604" spans="1:7" ht="12.75" customHeight="1">
      <c r="A11604" s="3">
        <v>87387</v>
      </c>
      <c r="B11604" s="4" t="s">
        <v>11629</v>
      </c>
      <c r="C11604" s="3" t="s">
        <v>152</v>
      </c>
      <c r="D11604" s="5">
        <f t="shared" si="362"/>
        <v>2653.31</v>
      </c>
      <c r="E11604">
        <v>2912.53</v>
      </c>
      <c r="F11604" s="1789">
        <v>8.8999999999999996E-2</v>
      </c>
      <c r="G11604">
        <f t="shared" si="363"/>
        <v>2653.31</v>
      </c>
    </row>
    <row r="11605" spans="1:7" ht="12.75" customHeight="1">
      <c r="A11605" s="3">
        <v>87388</v>
      </c>
      <c r="B11605" s="4" t="s">
        <v>11630</v>
      </c>
      <c r="C11605" s="3" t="s">
        <v>152</v>
      </c>
      <c r="D11605" s="5">
        <f t="shared" ref="D11605:D11668" si="364">G11605</f>
        <v>6418.04</v>
      </c>
      <c r="E11605">
        <v>7045.06</v>
      </c>
      <c r="F11605" s="1789">
        <v>8.8999999999999996E-2</v>
      </c>
      <c r="G11605">
        <f t="shared" ref="G11605:G11668" si="365">TRUNC((1-F11605)*E11605,2)</f>
        <v>6418.04</v>
      </c>
    </row>
    <row r="11606" spans="1:7" ht="12.75" customHeight="1">
      <c r="A11606" s="3">
        <v>87389</v>
      </c>
      <c r="B11606" s="4" t="s">
        <v>11631</v>
      </c>
      <c r="C11606" s="3" t="s">
        <v>152</v>
      </c>
      <c r="D11606" s="5">
        <f t="shared" si="364"/>
        <v>6452.95</v>
      </c>
      <c r="E11606">
        <v>7083.38</v>
      </c>
      <c r="F11606" s="1789">
        <v>8.8999999999999996E-2</v>
      </c>
      <c r="G11606">
        <f t="shared" si="365"/>
        <v>6452.95</v>
      </c>
    </row>
    <row r="11607" spans="1:7" ht="12.75" customHeight="1">
      <c r="A11607" s="3">
        <v>87390</v>
      </c>
      <c r="B11607" s="4" t="s">
        <v>11632</v>
      </c>
      <c r="C11607" s="3" t="s">
        <v>152</v>
      </c>
      <c r="D11607" s="5">
        <f t="shared" si="364"/>
        <v>6494.94</v>
      </c>
      <c r="E11607">
        <v>7129.47</v>
      </c>
      <c r="F11607" s="1789">
        <v>8.8999999999999996E-2</v>
      </c>
      <c r="G11607">
        <f t="shared" si="365"/>
        <v>6494.94</v>
      </c>
    </row>
    <row r="11608" spans="1:7" ht="12.75" customHeight="1">
      <c r="A11608" s="3">
        <v>87391</v>
      </c>
      <c r="B11608" s="4" t="s">
        <v>11633</v>
      </c>
      <c r="C11608" s="3" t="s">
        <v>152</v>
      </c>
      <c r="D11608" s="5">
        <f t="shared" si="364"/>
        <v>7129.59</v>
      </c>
      <c r="E11608">
        <v>7826.12</v>
      </c>
      <c r="F11608" s="1789">
        <v>8.8999999999999996E-2</v>
      </c>
      <c r="G11608">
        <f t="shared" si="365"/>
        <v>7129.59</v>
      </c>
    </row>
    <row r="11609" spans="1:7" ht="12.75" customHeight="1">
      <c r="A11609" s="3">
        <v>87393</v>
      </c>
      <c r="B11609" s="4" t="s">
        <v>11634</v>
      </c>
      <c r="C11609" s="3" t="s">
        <v>152</v>
      </c>
      <c r="D11609" s="5">
        <f t="shared" si="364"/>
        <v>7204.11</v>
      </c>
      <c r="E11609">
        <v>7907.92</v>
      </c>
      <c r="F11609" s="1789">
        <v>8.8999999999999996E-2</v>
      </c>
      <c r="G11609">
        <f t="shared" si="365"/>
        <v>7204.11</v>
      </c>
    </row>
    <row r="11610" spans="1:7" ht="12.75" customHeight="1">
      <c r="A11610" s="3">
        <v>87394</v>
      </c>
      <c r="B11610" s="4" t="s">
        <v>11635</v>
      </c>
      <c r="C11610" s="3" t="s">
        <v>152</v>
      </c>
      <c r="D11610" s="5">
        <f t="shared" si="364"/>
        <v>7277.71</v>
      </c>
      <c r="E11610">
        <v>7988.71</v>
      </c>
      <c r="F11610" s="1789">
        <v>8.8999999999999996E-2</v>
      </c>
      <c r="G11610">
        <f t="shared" si="365"/>
        <v>7277.71</v>
      </c>
    </row>
    <row r="11611" spans="1:7" ht="12.75" customHeight="1">
      <c r="A11611" s="3">
        <v>87395</v>
      </c>
      <c r="B11611" s="4" t="s">
        <v>11636</v>
      </c>
      <c r="C11611" s="3" t="s">
        <v>152</v>
      </c>
      <c r="D11611" s="5">
        <f t="shared" si="364"/>
        <v>4475.93</v>
      </c>
      <c r="E11611">
        <v>4913.21</v>
      </c>
      <c r="F11611" s="1789">
        <v>8.8999999999999996E-2</v>
      </c>
      <c r="G11611">
        <f t="shared" si="365"/>
        <v>4475.93</v>
      </c>
    </row>
    <row r="11612" spans="1:7" ht="12.75" customHeight="1">
      <c r="A11612" s="3">
        <v>87396</v>
      </c>
      <c r="B11612" s="4" t="s">
        <v>11637</v>
      </c>
      <c r="C11612" s="3" t="s">
        <v>152</v>
      </c>
      <c r="D11612" s="5">
        <f t="shared" si="364"/>
        <v>4514.8100000000004</v>
      </c>
      <c r="E11612">
        <v>4955.8900000000003</v>
      </c>
      <c r="F11612" s="1789">
        <v>8.8999999999999996E-2</v>
      </c>
      <c r="G11612">
        <f t="shared" si="365"/>
        <v>4514.8100000000004</v>
      </c>
    </row>
    <row r="11613" spans="1:7" ht="12.75" customHeight="1">
      <c r="A11613" s="3">
        <v>87397</v>
      </c>
      <c r="B11613" s="4" t="s">
        <v>11638</v>
      </c>
      <c r="C11613" s="3" t="s">
        <v>152</v>
      </c>
      <c r="D11613" s="5">
        <f t="shared" si="364"/>
        <v>4554.3599999999997</v>
      </c>
      <c r="E11613">
        <v>4999.3</v>
      </c>
      <c r="F11613" s="1789">
        <v>8.8999999999999996E-2</v>
      </c>
      <c r="G11613">
        <f t="shared" si="365"/>
        <v>4554.3599999999997</v>
      </c>
    </row>
    <row r="11614" spans="1:7" ht="12.75" customHeight="1">
      <c r="A11614" s="3">
        <v>87398</v>
      </c>
      <c r="B11614" s="4" t="s">
        <v>11639</v>
      </c>
      <c r="C11614" s="3" t="s">
        <v>152</v>
      </c>
      <c r="D11614" s="5">
        <f t="shared" si="364"/>
        <v>2488.59</v>
      </c>
      <c r="E11614">
        <v>2731.72</v>
      </c>
      <c r="F11614" s="1789">
        <v>8.8999999999999996E-2</v>
      </c>
      <c r="G11614">
        <f t="shared" si="365"/>
        <v>2488.59</v>
      </c>
    </row>
    <row r="11615" spans="1:7" ht="12.75" customHeight="1">
      <c r="A11615" s="3">
        <v>87399</v>
      </c>
      <c r="B11615" s="4" t="s">
        <v>11640</v>
      </c>
      <c r="C11615" s="3" t="s">
        <v>152</v>
      </c>
      <c r="D11615" s="5">
        <f t="shared" si="364"/>
        <v>2859.92</v>
      </c>
      <c r="E11615">
        <v>3139.32</v>
      </c>
      <c r="F11615" s="1789">
        <v>8.8999999999999996E-2</v>
      </c>
      <c r="G11615">
        <f t="shared" si="365"/>
        <v>2859.92</v>
      </c>
    </row>
    <row r="11616" spans="1:7" ht="12.75" customHeight="1">
      <c r="A11616" s="3">
        <v>87401</v>
      </c>
      <c r="B11616" s="4" t="s">
        <v>11641</v>
      </c>
      <c r="C11616" s="3" t="s">
        <v>152</v>
      </c>
      <c r="D11616" s="5">
        <f t="shared" si="364"/>
        <v>7452.83</v>
      </c>
      <c r="E11616">
        <v>8180.94</v>
      </c>
      <c r="F11616" s="1789">
        <v>8.8999999999999996E-2</v>
      </c>
      <c r="G11616">
        <f t="shared" si="365"/>
        <v>7452.83</v>
      </c>
    </row>
    <row r="11617" spans="1:7" ht="12.75" customHeight="1">
      <c r="A11617" s="3">
        <v>87402</v>
      </c>
      <c r="B11617" s="4" t="s">
        <v>11642</v>
      </c>
      <c r="C11617" s="3" t="s">
        <v>152</v>
      </c>
      <c r="D11617" s="5">
        <f t="shared" si="364"/>
        <v>4744.84</v>
      </c>
      <c r="E11617">
        <v>5208.3900000000003</v>
      </c>
      <c r="F11617" s="1789">
        <v>8.8999999999999996E-2</v>
      </c>
      <c r="G11617">
        <f t="shared" si="365"/>
        <v>4744.84</v>
      </c>
    </row>
    <row r="11618" spans="1:7" ht="12.75" customHeight="1">
      <c r="A11618" s="3">
        <v>87404</v>
      </c>
      <c r="B11618" s="4" t="s">
        <v>11643</v>
      </c>
      <c r="C11618" s="3" t="s">
        <v>152</v>
      </c>
      <c r="D11618" s="5">
        <f t="shared" si="364"/>
        <v>6641.23</v>
      </c>
      <c r="E11618">
        <v>7290.05</v>
      </c>
      <c r="F11618" s="1789">
        <v>8.8999999999999996E-2</v>
      </c>
      <c r="G11618">
        <f t="shared" si="365"/>
        <v>6641.23</v>
      </c>
    </row>
    <row r="11619" spans="1:7" ht="12.75" customHeight="1">
      <c r="A11619" s="3">
        <v>87405</v>
      </c>
      <c r="B11619" s="4" t="s">
        <v>11644</v>
      </c>
      <c r="C11619" s="3" t="s">
        <v>152</v>
      </c>
      <c r="D11619" s="5">
        <f t="shared" si="364"/>
        <v>6672.24</v>
      </c>
      <c r="E11619">
        <v>7324.09</v>
      </c>
      <c r="F11619" s="1789">
        <v>8.8999999999999996E-2</v>
      </c>
      <c r="G11619">
        <f t="shared" si="365"/>
        <v>6672.24</v>
      </c>
    </row>
    <row r="11620" spans="1:7" ht="12.75" customHeight="1">
      <c r="A11620" s="3">
        <v>87407</v>
      </c>
      <c r="B11620" s="4" t="s">
        <v>11645</v>
      </c>
      <c r="C11620" s="3" t="s">
        <v>152</v>
      </c>
      <c r="D11620" s="5">
        <f t="shared" si="364"/>
        <v>2322.4699999999998</v>
      </c>
      <c r="E11620">
        <v>2549.37</v>
      </c>
      <c r="F11620" s="1789">
        <v>8.8999999999999996E-2</v>
      </c>
      <c r="G11620">
        <f t="shared" si="365"/>
        <v>2322.4699999999998</v>
      </c>
    </row>
    <row r="11621" spans="1:7" ht="12.75" customHeight="1">
      <c r="A11621" s="3">
        <v>87408</v>
      </c>
      <c r="B11621" s="4" t="s">
        <v>11646</v>
      </c>
      <c r="C11621" s="3" t="s">
        <v>152</v>
      </c>
      <c r="D11621" s="5">
        <f t="shared" si="364"/>
        <v>2317.11</v>
      </c>
      <c r="E11621">
        <v>2543.48</v>
      </c>
      <c r="F11621" s="1789">
        <v>8.8999999999999996E-2</v>
      </c>
      <c r="G11621">
        <f t="shared" si="365"/>
        <v>2317.11</v>
      </c>
    </row>
    <row r="11622" spans="1:7" ht="12.75" customHeight="1">
      <c r="A11622" s="3">
        <v>87410</v>
      </c>
      <c r="B11622" s="4" t="s">
        <v>11647</v>
      </c>
      <c r="C11622" s="3" t="s">
        <v>152</v>
      </c>
      <c r="D11622" s="5">
        <f t="shared" si="364"/>
        <v>904.03</v>
      </c>
      <c r="E11622">
        <v>992.35</v>
      </c>
      <c r="F11622" s="1789">
        <v>8.8999999999999996E-2</v>
      </c>
      <c r="G11622">
        <f t="shared" si="365"/>
        <v>904.03</v>
      </c>
    </row>
    <row r="11623" spans="1:7" ht="12.75" customHeight="1">
      <c r="A11623" s="3">
        <v>88626</v>
      </c>
      <c r="B11623" s="4" t="s">
        <v>11648</v>
      </c>
      <c r="C11623" s="3" t="s">
        <v>152</v>
      </c>
      <c r="D11623" s="5">
        <f t="shared" si="364"/>
        <v>530.77</v>
      </c>
      <c r="E11623">
        <v>582.63</v>
      </c>
      <c r="F11623" s="1789">
        <v>8.8999999999999996E-2</v>
      </c>
      <c r="G11623">
        <f t="shared" si="365"/>
        <v>530.77</v>
      </c>
    </row>
    <row r="11624" spans="1:7" ht="12.75" customHeight="1">
      <c r="A11624" s="3">
        <v>88627</v>
      </c>
      <c r="B11624" s="4" t="s">
        <v>11649</v>
      </c>
      <c r="C11624" s="3" t="s">
        <v>152</v>
      </c>
      <c r="D11624" s="5">
        <f t="shared" si="364"/>
        <v>621.36</v>
      </c>
      <c r="E11624">
        <v>682.07</v>
      </c>
      <c r="F11624" s="1789">
        <v>8.8999999999999996E-2</v>
      </c>
      <c r="G11624">
        <f t="shared" si="365"/>
        <v>621.36</v>
      </c>
    </row>
    <row r="11625" spans="1:7" ht="12.75" customHeight="1">
      <c r="A11625" s="3">
        <v>88628</v>
      </c>
      <c r="B11625" s="4" t="s">
        <v>11650</v>
      </c>
      <c r="C11625" s="3" t="s">
        <v>152</v>
      </c>
      <c r="D11625" s="5">
        <f t="shared" si="364"/>
        <v>553.9</v>
      </c>
      <c r="E11625">
        <v>608.02</v>
      </c>
      <c r="F11625" s="1789">
        <v>8.8999999999999996E-2</v>
      </c>
      <c r="G11625">
        <f t="shared" si="365"/>
        <v>553.9</v>
      </c>
    </row>
    <row r="11626" spans="1:7" ht="12.75" customHeight="1">
      <c r="A11626" s="3">
        <v>88629</v>
      </c>
      <c r="B11626" s="4" t="s">
        <v>11651</v>
      </c>
      <c r="C11626" s="3" t="s">
        <v>152</v>
      </c>
      <c r="D11626" s="5">
        <f t="shared" si="364"/>
        <v>648.55999999999995</v>
      </c>
      <c r="E11626">
        <v>711.93</v>
      </c>
      <c r="F11626" s="1789">
        <v>8.8999999999999996E-2</v>
      </c>
      <c r="G11626">
        <f t="shared" si="365"/>
        <v>648.55999999999995</v>
      </c>
    </row>
    <row r="11627" spans="1:7" ht="12.75" customHeight="1">
      <c r="A11627" s="3">
        <v>88630</v>
      </c>
      <c r="B11627" s="4" t="s">
        <v>11652</v>
      </c>
      <c r="C11627" s="3" t="s">
        <v>152</v>
      </c>
      <c r="D11627" s="5">
        <f t="shared" si="364"/>
        <v>475.98</v>
      </c>
      <c r="E11627">
        <v>522.49</v>
      </c>
      <c r="F11627" s="1789">
        <v>8.8999999999999996E-2</v>
      </c>
      <c r="G11627">
        <f t="shared" si="365"/>
        <v>475.98</v>
      </c>
    </row>
    <row r="11628" spans="1:7" ht="12.75" customHeight="1">
      <c r="A11628" s="3">
        <v>88631</v>
      </c>
      <c r="B11628" s="4" t="s">
        <v>11653</v>
      </c>
      <c r="C11628" s="3" t="s">
        <v>152</v>
      </c>
      <c r="D11628" s="5">
        <f t="shared" si="364"/>
        <v>583.25</v>
      </c>
      <c r="E11628">
        <v>640.24</v>
      </c>
      <c r="F11628" s="1789">
        <v>8.8999999999999996E-2</v>
      </c>
      <c r="G11628">
        <f t="shared" si="365"/>
        <v>583.25</v>
      </c>
    </row>
    <row r="11629" spans="1:7" ht="12.75" customHeight="1">
      <c r="A11629" s="3">
        <v>88715</v>
      </c>
      <c r="B11629" s="4" t="s">
        <v>11654</v>
      </c>
      <c r="C11629" s="3" t="s">
        <v>152</v>
      </c>
      <c r="D11629" s="5">
        <f t="shared" si="364"/>
        <v>501.01</v>
      </c>
      <c r="E11629">
        <v>549.96</v>
      </c>
      <c r="F11629" s="1789">
        <v>8.8999999999999996E-2</v>
      </c>
      <c r="G11629">
        <f t="shared" si="365"/>
        <v>501.01</v>
      </c>
    </row>
    <row r="11630" spans="1:7" ht="12.75" customHeight="1">
      <c r="A11630" s="3">
        <v>100464</v>
      </c>
      <c r="B11630" s="4" t="s">
        <v>11655</v>
      </c>
      <c r="C11630" s="3" t="s">
        <v>152</v>
      </c>
      <c r="D11630" s="5">
        <f t="shared" si="364"/>
        <v>549.75</v>
      </c>
      <c r="E11630">
        <v>603.46</v>
      </c>
      <c r="F11630" s="1789">
        <v>8.8999999999999996E-2</v>
      </c>
      <c r="G11630">
        <f t="shared" si="365"/>
        <v>549.75</v>
      </c>
    </row>
    <row r="11631" spans="1:7" ht="12.75" customHeight="1">
      <c r="A11631" s="3">
        <v>100465</v>
      </c>
      <c r="B11631" s="4" t="s">
        <v>11656</v>
      </c>
      <c r="C11631" s="3" t="s">
        <v>152</v>
      </c>
      <c r="D11631" s="5">
        <f t="shared" si="364"/>
        <v>519.33000000000004</v>
      </c>
      <c r="E11631">
        <v>570.07000000000005</v>
      </c>
      <c r="F11631" s="1789">
        <v>8.8999999999999996E-2</v>
      </c>
      <c r="G11631">
        <f t="shared" si="365"/>
        <v>519.33000000000004</v>
      </c>
    </row>
    <row r="11632" spans="1:7" ht="12.75" customHeight="1">
      <c r="A11632" s="3">
        <v>100466</v>
      </c>
      <c r="B11632" s="4" t="s">
        <v>11657</v>
      </c>
      <c r="C11632" s="3" t="s">
        <v>152</v>
      </c>
      <c r="D11632" s="5">
        <f t="shared" si="364"/>
        <v>505.04</v>
      </c>
      <c r="E11632">
        <v>554.38</v>
      </c>
      <c r="F11632" s="1789">
        <v>8.8999999999999996E-2</v>
      </c>
      <c r="G11632">
        <f t="shared" si="365"/>
        <v>505.04</v>
      </c>
    </row>
    <row r="11633" spans="1:7" ht="12.75" customHeight="1">
      <c r="A11633" s="3">
        <v>100468</v>
      </c>
      <c r="B11633" s="4" t="s">
        <v>11658</v>
      </c>
      <c r="C11633" s="3" t="s">
        <v>152</v>
      </c>
      <c r="D11633" s="5">
        <f t="shared" si="364"/>
        <v>648.88</v>
      </c>
      <c r="E11633">
        <v>712.28</v>
      </c>
      <c r="F11633" s="1789">
        <v>8.8999999999999996E-2</v>
      </c>
      <c r="G11633">
        <f t="shared" si="365"/>
        <v>648.88</v>
      </c>
    </row>
    <row r="11634" spans="1:7" ht="12.75" customHeight="1">
      <c r="A11634" s="3">
        <v>100469</v>
      </c>
      <c r="B11634" s="4" t="s">
        <v>11659</v>
      </c>
      <c r="C11634" s="3" t="s">
        <v>152</v>
      </c>
      <c r="D11634" s="5">
        <f t="shared" si="364"/>
        <v>544.35</v>
      </c>
      <c r="E11634">
        <v>597.54</v>
      </c>
      <c r="F11634" s="1789">
        <v>8.8999999999999996E-2</v>
      </c>
      <c r="G11634">
        <f t="shared" si="365"/>
        <v>544.35</v>
      </c>
    </row>
    <row r="11635" spans="1:7" ht="12.75" customHeight="1">
      <c r="A11635" s="3">
        <v>100470</v>
      </c>
      <c r="B11635" s="4" t="s">
        <v>11660</v>
      </c>
      <c r="C11635" s="3" t="s">
        <v>152</v>
      </c>
      <c r="D11635" s="5">
        <f t="shared" si="364"/>
        <v>495.14</v>
      </c>
      <c r="E11635">
        <v>543.52</v>
      </c>
      <c r="F11635" s="1789">
        <v>8.8999999999999996E-2</v>
      </c>
      <c r="G11635">
        <f t="shared" si="365"/>
        <v>495.14</v>
      </c>
    </row>
    <row r="11636" spans="1:7" ht="12.75" customHeight="1">
      <c r="A11636" s="3">
        <v>100472</v>
      </c>
      <c r="B11636" s="4" t="s">
        <v>11661</v>
      </c>
      <c r="C11636" s="3" t="s">
        <v>152</v>
      </c>
      <c r="D11636" s="5">
        <f t="shared" si="364"/>
        <v>529.27</v>
      </c>
      <c r="E11636">
        <v>580.98</v>
      </c>
      <c r="F11636" s="1789">
        <v>8.8999999999999996E-2</v>
      </c>
      <c r="G11636">
        <f t="shared" si="365"/>
        <v>529.27</v>
      </c>
    </row>
    <row r="11637" spans="1:7" ht="12.75" customHeight="1">
      <c r="A11637" s="3">
        <v>100473</v>
      </c>
      <c r="B11637" s="4" t="s">
        <v>11662</v>
      </c>
      <c r="C11637" s="3" t="s">
        <v>152</v>
      </c>
      <c r="D11637" s="5">
        <f t="shared" si="364"/>
        <v>490.25</v>
      </c>
      <c r="E11637">
        <v>538.15</v>
      </c>
      <c r="F11637" s="1789">
        <v>8.8999999999999996E-2</v>
      </c>
      <c r="G11637">
        <f t="shared" si="365"/>
        <v>490.25</v>
      </c>
    </row>
    <row r="11638" spans="1:7" ht="12.75" customHeight="1">
      <c r="A11638" s="3">
        <v>100474</v>
      </c>
      <c r="B11638" s="4" t="s">
        <v>11663</v>
      </c>
      <c r="C11638" s="3" t="s">
        <v>152</v>
      </c>
      <c r="D11638" s="5">
        <f t="shared" si="364"/>
        <v>474.33</v>
      </c>
      <c r="E11638">
        <v>520.67999999999995</v>
      </c>
      <c r="F11638" s="1789">
        <v>8.8999999999999996E-2</v>
      </c>
      <c r="G11638">
        <f t="shared" si="365"/>
        <v>474.33</v>
      </c>
    </row>
    <row r="11639" spans="1:7" ht="12.75" customHeight="1">
      <c r="A11639" s="3">
        <v>100475</v>
      </c>
      <c r="B11639" s="4" t="s">
        <v>11664</v>
      </c>
      <c r="C11639" s="3" t="s">
        <v>152</v>
      </c>
      <c r="D11639" s="5">
        <f t="shared" si="364"/>
        <v>701.61</v>
      </c>
      <c r="E11639">
        <v>770.16</v>
      </c>
      <c r="F11639" s="1789">
        <v>8.8999999999999996E-2</v>
      </c>
      <c r="G11639">
        <f t="shared" si="365"/>
        <v>701.61</v>
      </c>
    </row>
    <row r="11640" spans="1:7" ht="12.75" customHeight="1">
      <c r="A11640" s="3">
        <v>100477</v>
      </c>
      <c r="B11640" s="4" t="s">
        <v>11665</v>
      </c>
      <c r="C11640" s="3" t="s">
        <v>152</v>
      </c>
      <c r="D11640" s="5">
        <f t="shared" si="364"/>
        <v>748.22</v>
      </c>
      <c r="E11640">
        <v>821.32</v>
      </c>
      <c r="F11640" s="1789">
        <v>8.8999999999999996E-2</v>
      </c>
      <c r="G11640">
        <f t="shared" si="365"/>
        <v>748.22</v>
      </c>
    </row>
    <row r="11641" spans="1:7" ht="12.75" customHeight="1">
      <c r="A11641" s="3">
        <v>100478</v>
      </c>
      <c r="B11641" s="4" t="s">
        <v>11666</v>
      </c>
      <c r="C11641" s="3" t="s">
        <v>152</v>
      </c>
      <c r="D11641" s="5">
        <f t="shared" si="364"/>
        <v>688.51</v>
      </c>
      <c r="E11641">
        <v>755.78</v>
      </c>
      <c r="F11641" s="1789">
        <v>8.8999999999999996E-2</v>
      </c>
      <c r="G11641">
        <f t="shared" si="365"/>
        <v>688.51</v>
      </c>
    </row>
    <row r="11642" spans="1:7" ht="12.75" customHeight="1">
      <c r="A11642" s="3">
        <v>100479</v>
      </c>
      <c r="B11642" s="4" t="s">
        <v>11667</v>
      </c>
      <c r="C11642" s="3" t="s">
        <v>152</v>
      </c>
      <c r="D11642" s="5">
        <f t="shared" si="364"/>
        <v>676.69</v>
      </c>
      <c r="E11642">
        <v>742.8</v>
      </c>
      <c r="F11642" s="1789">
        <v>8.8999999999999996E-2</v>
      </c>
      <c r="G11642">
        <f t="shared" si="365"/>
        <v>676.69</v>
      </c>
    </row>
    <row r="11643" spans="1:7" ht="12.75" customHeight="1">
      <c r="A11643" s="3">
        <v>100480</v>
      </c>
      <c r="B11643" s="4" t="s">
        <v>11668</v>
      </c>
      <c r="C11643" s="3" t="s">
        <v>152</v>
      </c>
      <c r="D11643" s="5">
        <f t="shared" si="364"/>
        <v>795.46</v>
      </c>
      <c r="E11643">
        <v>873.18</v>
      </c>
      <c r="F11643" s="1789">
        <v>8.8999999999999996E-2</v>
      </c>
      <c r="G11643">
        <f t="shared" si="365"/>
        <v>795.46</v>
      </c>
    </row>
    <row r="11644" spans="1:7" ht="12.75" customHeight="1">
      <c r="A11644" s="3">
        <v>100481</v>
      </c>
      <c r="B11644" s="4" t="s">
        <v>11669</v>
      </c>
      <c r="C11644" s="3" t="s">
        <v>152</v>
      </c>
      <c r="D11644" s="5">
        <f t="shared" si="364"/>
        <v>608.23</v>
      </c>
      <c r="E11644">
        <v>667.66</v>
      </c>
      <c r="F11644" s="1789">
        <v>8.8999999999999996E-2</v>
      </c>
      <c r="G11644">
        <f t="shared" si="365"/>
        <v>608.23</v>
      </c>
    </row>
    <row r="11645" spans="1:7" ht="12.75" customHeight="1">
      <c r="A11645" s="3">
        <v>100483</v>
      </c>
      <c r="B11645" s="4" t="s">
        <v>11670</v>
      </c>
      <c r="C11645" s="3" t="s">
        <v>152</v>
      </c>
      <c r="D11645" s="5">
        <f t="shared" si="364"/>
        <v>642.97</v>
      </c>
      <c r="E11645">
        <v>705.79</v>
      </c>
      <c r="F11645" s="1789">
        <v>8.8999999999999996E-2</v>
      </c>
      <c r="G11645">
        <f t="shared" si="365"/>
        <v>642.97</v>
      </c>
    </row>
    <row r="11646" spans="1:7" ht="12.75" customHeight="1">
      <c r="A11646" s="3">
        <v>100484</v>
      </c>
      <c r="B11646" s="4" t="s">
        <v>11671</v>
      </c>
      <c r="C11646" s="3" t="s">
        <v>152</v>
      </c>
      <c r="D11646" s="5">
        <f t="shared" si="364"/>
        <v>605</v>
      </c>
      <c r="E11646">
        <v>664.11</v>
      </c>
      <c r="F11646" s="1789">
        <v>8.8999999999999996E-2</v>
      </c>
      <c r="G11646">
        <f t="shared" si="365"/>
        <v>605</v>
      </c>
    </row>
    <row r="11647" spans="1:7" ht="12.75" customHeight="1">
      <c r="A11647" s="3">
        <v>100485</v>
      </c>
      <c r="B11647" s="4" t="s">
        <v>11672</v>
      </c>
      <c r="C11647" s="3" t="s">
        <v>152</v>
      </c>
      <c r="D11647" s="5">
        <f t="shared" si="364"/>
        <v>591.11</v>
      </c>
      <c r="E11647">
        <v>648.86</v>
      </c>
      <c r="F11647" s="1789">
        <v>8.8999999999999996E-2</v>
      </c>
      <c r="G11647">
        <f t="shared" si="365"/>
        <v>591.11</v>
      </c>
    </row>
    <row r="11648" spans="1:7" ht="12.75" customHeight="1">
      <c r="A11648" s="3">
        <v>100486</v>
      </c>
      <c r="B11648" s="4" t="s">
        <v>11673</v>
      </c>
      <c r="C11648" s="3" t="s">
        <v>152</v>
      </c>
      <c r="D11648" s="5">
        <f t="shared" si="364"/>
        <v>706.99</v>
      </c>
      <c r="E11648">
        <v>776.07</v>
      </c>
      <c r="F11648" s="1789">
        <v>8.8999999999999996E-2</v>
      </c>
      <c r="G11648">
        <f t="shared" si="365"/>
        <v>706.99</v>
      </c>
    </row>
    <row r="11649" spans="1:7" ht="12.75" customHeight="1">
      <c r="A11649" s="3">
        <v>100487</v>
      </c>
      <c r="B11649" s="4" t="s">
        <v>11674</v>
      </c>
      <c r="C11649" s="3" t="s">
        <v>152</v>
      </c>
      <c r="D11649" s="5">
        <f t="shared" si="364"/>
        <v>479.92</v>
      </c>
      <c r="E11649">
        <v>526.80999999999995</v>
      </c>
      <c r="F11649" s="1789">
        <v>8.8999999999999996E-2</v>
      </c>
      <c r="G11649">
        <f t="shared" si="365"/>
        <v>479.92</v>
      </c>
    </row>
    <row r="11650" spans="1:7" ht="12.75" customHeight="1">
      <c r="A11650" s="3">
        <v>100488</v>
      </c>
      <c r="B11650" s="4" t="s">
        <v>11675</v>
      </c>
      <c r="C11650" s="3" t="s">
        <v>152</v>
      </c>
      <c r="D11650" s="5">
        <f t="shared" si="364"/>
        <v>525.44000000000005</v>
      </c>
      <c r="E11650">
        <v>576.78</v>
      </c>
      <c r="F11650" s="1789">
        <v>8.8999999999999996E-2</v>
      </c>
      <c r="G11650">
        <f t="shared" si="365"/>
        <v>525.44000000000005</v>
      </c>
    </row>
    <row r="11651" spans="1:7" ht="12.75" customHeight="1">
      <c r="A11651" s="3">
        <v>100489</v>
      </c>
      <c r="B11651" s="4" t="s">
        <v>11676</v>
      </c>
      <c r="C11651" s="3" t="s">
        <v>152</v>
      </c>
      <c r="D11651" s="5">
        <f t="shared" si="364"/>
        <v>553.51</v>
      </c>
      <c r="E11651">
        <v>607.59</v>
      </c>
      <c r="F11651" s="1789">
        <v>8.8999999999999996E-2</v>
      </c>
      <c r="G11651">
        <f t="shared" si="365"/>
        <v>553.51</v>
      </c>
    </row>
    <row r="11652" spans="1:7" ht="12.75" customHeight="1">
      <c r="A11652" s="3">
        <v>100490</v>
      </c>
      <c r="B11652" s="4" t="s">
        <v>11677</v>
      </c>
      <c r="C11652" s="3" t="s">
        <v>152</v>
      </c>
      <c r="D11652" s="5">
        <f t="shared" si="364"/>
        <v>490.93</v>
      </c>
      <c r="E11652">
        <v>538.9</v>
      </c>
      <c r="F11652" s="1789">
        <v>8.8999999999999996E-2</v>
      </c>
      <c r="G11652">
        <f t="shared" si="365"/>
        <v>490.93</v>
      </c>
    </row>
    <row r="11653" spans="1:7" ht="12.75" customHeight="1">
      <c r="A11653" s="3">
        <v>100491</v>
      </c>
      <c r="B11653" s="4" t="s">
        <v>11678</v>
      </c>
      <c r="C11653" s="3" t="s">
        <v>152</v>
      </c>
      <c r="D11653" s="5">
        <f t="shared" si="364"/>
        <v>702.3</v>
      </c>
      <c r="E11653">
        <v>770.92</v>
      </c>
      <c r="F11653" s="1789">
        <v>8.8999999999999996E-2</v>
      </c>
      <c r="G11653">
        <f t="shared" si="365"/>
        <v>702.3</v>
      </c>
    </row>
    <row r="11654" spans="1:7" ht="12.75" customHeight="1">
      <c r="A11654" s="3">
        <v>100492</v>
      </c>
      <c r="B11654" s="4" t="s">
        <v>11679</v>
      </c>
      <c r="C11654" s="3" t="s">
        <v>152</v>
      </c>
      <c r="D11654" s="5">
        <f t="shared" si="364"/>
        <v>609.45000000000005</v>
      </c>
      <c r="E11654">
        <v>669</v>
      </c>
      <c r="F11654" s="1789">
        <v>8.8999999999999996E-2</v>
      </c>
      <c r="G11654">
        <f t="shared" si="365"/>
        <v>609.45000000000005</v>
      </c>
    </row>
    <row r="11655" spans="1:7" ht="12.75" customHeight="1">
      <c r="A11655" s="3">
        <v>105515</v>
      </c>
      <c r="B11655" s="4" t="s">
        <v>11680</v>
      </c>
      <c r="C11655" s="3" t="s">
        <v>152</v>
      </c>
      <c r="D11655" s="5">
        <f t="shared" si="364"/>
        <v>796.97</v>
      </c>
      <c r="E11655">
        <v>874.84</v>
      </c>
      <c r="F11655" s="1789">
        <v>8.8999999999999996E-2</v>
      </c>
      <c r="G11655">
        <f t="shared" si="365"/>
        <v>796.97</v>
      </c>
    </row>
    <row r="11656" spans="1:7" ht="12.75" customHeight="1">
      <c r="A11656" s="3">
        <v>92121</v>
      </c>
      <c r="B11656" s="4" t="s">
        <v>11681</v>
      </c>
      <c r="C11656" s="3" t="s">
        <v>152</v>
      </c>
      <c r="D11656" s="5">
        <f t="shared" si="364"/>
        <v>26.74</v>
      </c>
      <c r="E11656">
        <v>29.36</v>
      </c>
      <c r="F11656" s="1789">
        <v>8.8999999999999996E-2</v>
      </c>
      <c r="G11656">
        <f t="shared" si="365"/>
        <v>26.74</v>
      </c>
    </row>
    <row r="11657" spans="1:7" ht="12.75" customHeight="1">
      <c r="A11657" s="3">
        <v>92122</v>
      </c>
      <c r="B11657" s="4" t="s">
        <v>11682</v>
      </c>
      <c r="C11657" s="3" t="s">
        <v>152</v>
      </c>
      <c r="D11657" s="5">
        <f t="shared" si="364"/>
        <v>44.38</v>
      </c>
      <c r="E11657">
        <v>48.72</v>
      </c>
      <c r="F11657" s="1789">
        <v>8.8999999999999996E-2</v>
      </c>
      <c r="G11657">
        <f t="shared" si="365"/>
        <v>44.38</v>
      </c>
    </row>
    <row r="11658" spans="1:7" ht="12.75" customHeight="1">
      <c r="A11658" s="3">
        <v>92123</v>
      </c>
      <c r="B11658" s="4" t="s">
        <v>11683</v>
      </c>
      <c r="C11658" s="3" t="s">
        <v>152</v>
      </c>
      <c r="D11658" s="5">
        <f t="shared" si="364"/>
        <v>47.17</v>
      </c>
      <c r="E11658">
        <v>51.78</v>
      </c>
      <c r="F11658" s="1789">
        <v>8.8999999999999996E-2</v>
      </c>
      <c r="G11658">
        <f t="shared" si="365"/>
        <v>47.17</v>
      </c>
    </row>
    <row r="11659" spans="1:7" ht="12.75" customHeight="1">
      <c r="A11659" s="3">
        <v>100195</v>
      </c>
      <c r="B11659" s="4" t="s">
        <v>11684</v>
      </c>
      <c r="C11659" s="3" t="s">
        <v>11685</v>
      </c>
      <c r="D11659" s="5">
        <f t="shared" si="364"/>
        <v>0.67</v>
      </c>
      <c r="E11659">
        <v>0.74</v>
      </c>
      <c r="F11659" s="1789">
        <v>8.8999999999999996E-2</v>
      </c>
      <c r="G11659">
        <f t="shared" si="365"/>
        <v>0.67</v>
      </c>
    </row>
    <row r="11660" spans="1:7" ht="12.75" customHeight="1">
      <c r="A11660" s="3">
        <v>100196</v>
      </c>
      <c r="B11660" s="4" t="s">
        <v>11686</v>
      </c>
      <c r="C11660" s="3" t="s">
        <v>11685</v>
      </c>
      <c r="D11660" s="5">
        <f t="shared" si="364"/>
        <v>1.1200000000000001</v>
      </c>
      <c r="E11660">
        <v>1.24</v>
      </c>
      <c r="F11660" s="1789">
        <v>8.8999999999999996E-2</v>
      </c>
      <c r="G11660">
        <f t="shared" si="365"/>
        <v>1.1200000000000001</v>
      </c>
    </row>
    <row r="11661" spans="1:7" ht="12.75" customHeight="1">
      <c r="A11661" s="3">
        <v>100197</v>
      </c>
      <c r="B11661" s="4" t="s">
        <v>11687</v>
      </c>
      <c r="C11661" s="3" t="s">
        <v>11685</v>
      </c>
      <c r="D11661" s="5">
        <f t="shared" si="364"/>
        <v>1.69</v>
      </c>
      <c r="E11661">
        <v>1.86</v>
      </c>
      <c r="F11661" s="1789">
        <v>8.8999999999999996E-2</v>
      </c>
      <c r="G11661">
        <f t="shared" si="365"/>
        <v>1.69</v>
      </c>
    </row>
    <row r="11662" spans="1:7" ht="12.75" customHeight="1">
      <c r="A11662" s="3">
        <v>100198</v>
      </c>
      <c r="B11662" s="4" t="s">
        <v>11688</v>
      </c>
      <c r="C11662" s="3" t="s">
        <v>11685</v>
      </c>
      <c r="D11662" s="5">
        <f t="shared" si="364"/>
        <v>0.23</v>
      </c>
      <c r="E11662">
        <v>0.26</v>
      </c>
      <c r="F11662" s="1789">
        <v>8.8999999999999996E-2</v>
      </c>
      <c r="G11662">
        <f t="shared" si="365"/>
        <v>0.23</v>
      </c>
    </row>
    <row r="11663" spans="1:7" ht="12.75" customHeight="1">
      <c r="A11663" s="3">
        <v>100199</v>
      </c>
      <c r="B11663" s="4" t="s">
        <v>11689</v>
      </c>
      <c r="C11663" s="3" t="s">
        <v>11685</v>
      </c>
      <c r="D11663" s="5">
        <f t="shared" si="364"/>
        <v>0.28000000000000003</v>
      </c>
      <c r="E11663">
        <v>0.31</v>
      </c>
      <c r="F11663" s="1789">
        <v>8.8999999999999996E-2</v>
      </c>
      <c r="G11663">
        <f t="shared" si="365"/>
        <v>0.28000000000000003</v>
      </c>
    </row>
    <row r="11664" spans="1:7" ht="12.75" customHeight="1">
      <c r="A11664" s="3">
        <v>100200</v>
      </c>
      <c r="B11664" s="4" t="s">
        <v>11690</v>
      </c>
      <c r="C11664" s="3" t="s">
        <v>11685</v>
      </c>
      <c r="D11664" s="5">
        <f t="shared" si="364"/>
        <v>0.34</v>
      </c>
      <c r="E11664">
        <v>0.38</v>
      </c>
      <c r="F11664" s="1789">
        <v>8.8999999999999996E-2</v>
      </c>
      <c r="G11664">
        <f t="shared" si="365"/>
        <v>0.34</v>
      </c>
    </row>
    <row r="11665" spans="1:7" ht="12.75" customHeight="1">
      <c r="A11665" s="3">
        <v>100201</v>
      </c>
      <c r="B11665" s="4" t="s">
        <v>11691</v>
      </c>
      <c r="C11665" s="3" t="s">
        <v>11685</v>
      </c>
      <c r="D11665" s="5">
        <f t="shared" si="364"/>
        <v>0.68</v>
      </c>
      <c r="E11665">
        <v>0.75</v>
      </c>
      <c r="F11665" s="1789">
        <v>8.8999999999999996E-2</v>
      </c>
      <c r="G11665">
        <f t="shared" si="365"/>
        <v>0.68</v>
      </c>
    </row>
    <row r="11666" spans="1:7" ht="12.75" customHeight="1">
      <c r="A11666" s="3">
        <v>100202</v>
      </c>
      <c r="B11666" s="4" t="s">
        <v>11692</v>
      </c>
      <c r="C11666" s="3" t="s">
        <v>11685</v>
      </c>
      <c r="D11666" s="5">
        <f t="shared" si="364"/>
        <v>0.8</v>
      </c>
      <c r="E11666">
        <v>0.88</v>
      </c>
      <c r="F11666" s="1789">
        <v>8.8999999999999996E-2</v>
      </c>
      <c r="G11666">
        <f t="shared" si="365"/>
        <v>0.8</v>
      </c>
    </row>
    <row r="11667" spans="1:7" ht="12.75" customHeight="1">
      <c r="A11667" s="3">
        <v>100203</v>
      </c>
      <c r="B11667" s="4" t="s">
        <v>11693</v>
      </c>
      <c r="C11667" s="3" t="s">
        <v>11685</v>
      </c>
      <c r="D11667" s="5">
        <f t="shared" si="364"/>
        <v>0.94</v>
      </c>
      <c r="E11667">
        <v>1.04</v>
      </c>
      <c r="F11667" s="1789">
        <v>8.8999999999999996E-2</v>
      </c>
      <c r="G11667">
        <f t="shared" si="365"/>
        <v>0.94</v>
      </c>
    </row>
    <row r="11668" spans="1:7" ht="12.75" customHeight="1">
      <c r="A11668" s="3">
        <v>100204</v>
      </c>
      <c r="B11668" s="4" t="s">
        <v>11694</v>
      </c>
      <c r="C11668" s="3" t="s">
        <v>11685</v>
      </c>
      <c r="D11668" s="5">
        <f t="shared" si="364"/>
        <v>0.08</v>
      </c>
      <c r="E11668">
        <v>0.09</v>
      </c>
      <c r="F11668" s="1789">
        <v>8.8999999999999996E-2</v>
      </c>
      <c r="G11668">
        <f t="shared" si="365"/>
        <v>0.08</v>
      </c>
    </row>
    <row r="11669" spans="1:7" ht="12.75" customHeight="1">
      <c r="A11669" s="3">
        <v>100205</v>
      </c>
      <c r="B11669" s="4" t="s">
        <v>11695</v>
      </c>
      <c r="C11669" s="3" t="s">
        <v>11696</v>
      </c>
      <c r="D11669" s="5">
        <f t="shared" ref="D11669:D11732" si="366">G11669</f>
        <v>1264.44</v>
      </c>
      <c r="E11669">
        <v>1387.98</v>
      </c>
      <c r="F11669" s="1789">
        <v>8.8999999999999996E-2</v>
      </c>
      <c r="G11669">
        <f t="shared" ref="G11669:G11732" si="367">TRUNC((1-F11669)*E11669,2)</f>
        <v>1264.44</v>
      </c>
    </row>
    <row r="11670" spans="1:7" ht="12.75" customHeight="1">
      <c r="A11670" s="3">
        <v>100206</v>
      </c>
      <c r="B11670" s="4" t="s">
        <v>11697</v>
      </c>
      <c r="C11670" s="3" t="s">
        <v>11696</v>
      </c>
      <c r="D11670" s="5">
        <f t="shared" si="366"/>
        <v>913.97</v>
      </c>
      <c r="E11670">
        <v>1003.27</v>
      </c>
      <c r="F11670" s="1789">
        <v>8.8999999999999996E-2</v>
      </c>
      <c r="G11670">
        <f t="shared" si="367"/>
        <v>913.97</v>
      </c>
    </row>
    <row r="11671" spans="1:7" ht="12.75" customHeight="1">
      <c r="A11671" s="3">
        <v>100207</v>
      </c>
      <c r="B11671" s="4" t="s">
        <v>11698</v>
      </c>
      <c r="C11671" s="3" t="s">
        <v>11696</v>
      </c>
      <c r="D11671" s="5">
        <f t="shared" si="366"/>
        <v>403.65</v>
      </c>
      <c r="E11671">
        <v>443.09</v>
      </c>
      <c r="F11671" s="1789">
        <v>8.8999999999999996E-2</v>
      </c>
      <c r="G11671">
        <f t="shared" si="367"/>
        <v>403.65</v>
      </c>
    </row>
    <row r="11672" spans="1:7" ht="12.75" customHeight="1">
      <c r="A11672" s="3">
        <v>100208</v>
      </c>
      <c r="B11672" s="4" t="s">
        <v>11699</v>
      </c>
      <c r="C11672" s="3" t="s">
        <v>11700</v>
      </c>
      <c r="D11672" s="5">
        <f t="shared" si="366"/>
        <v>16.72</v>
      </c>
      <c r="E11672">
        <v>18.36</v>
      </c>
      <c r="F11672" s="1789">
        <v>8.8999999999999996E-2</v>
      </c>
      <c r="G11672">
        <f t="shared" si="367"/>
        <v>16.72</v>
      </c>
    </row>
    <row r="11673" spans="1:7" ht="12.75" customHeight="1">
      <c r="A11673" s="3">
        <v>100209</v>
      </c>
      <c r="B11673" s="4" t="s">
        <v>11701</v>
      </c>
      <c r="C11673" s="3" t="s">
        <v>11700</v>
      </c>
      <c r="D11673" s="5">
        <f t="shared" si="366"/>
        <v>8.36</v>
      </c>
      <c r="E11673">
        <v>9.18</v>
      </c>
      <c r="F11673" s="1789">
        <v>8.8999999999999996E-2</v>
      </c>
      <c r="G11673">
        <f t="shared" si="367"/>
        <v>8.36</v>
      </c>
    </row>
    <row r="11674" spans="1:7" ht="12.75" customHeight="1">
      <c r="A11674" s="3">
        <v>100210</v>
      </c>
      <c r="B11674" s="4" t="s">
        <v>11702</v>
      </c>
      <c r="C11674" s="3" t="s">
        <v>11700</v>
      </c>
      <c r="D11674" s="5">
        <f t="shared" si="366"/>
        <v>15.4</v>
      </c>
      <c r="E11674">
        <v>16.91</v>
      </c>
      <c r="F11674" s="1789">
        <v>8.8999999999999996E-2</v>
      </c>
      <c r="G11674">
        <f t="shared" si="367"/>
        <v>15.4</v>
      </c>
    </row>
    <row r="11675" spans="1:7" ht="12.75" customHeight="1">
      <c r="A11675" s="3">
        <v>100211</v>
      </c>
      <c r="B11675" s="4" t="s">
        <v>11703</v>
      </c>
      <c r="C11675" s="3" t="s">
        <v>11700</v>
      </c>
      <c r="D11675" s="5">
        <f t="shared" si="366"/>
        <v>5.93</v>
      </c>
      <c r="E11675">
        <v>6.52</v>
      </c>
      <c r="F11675" s="1789">
        <v>8.8999999999999996E-2</v>
      </c>
      <c r="G11675">
        <f t="shared" si="367"/>
        <v>5.93</v>
      </c>
    </row>
    <row r="11676" spans="1:7" ht="12.75" customHeight="1">
      <c r="A11676" s="3">
        <v>100212</v>
      </c>
      <c r="B11676" s="4" t="s">
        <v>11704</v>
      </c>
      <c r="C11676" s="3" t="s">
        <v>11700</v>
      </c>
      <c r="D11676" s="5">
        <f t="shared" si="366"/>
        <v>6.55</v>
      </c>
      <c r="E11676">
        <v>7.2</v>
      </c>
      <c r="F11676" s="1789">
        <v>8.8999999999999996E-2</v>
      </c>
      <c r="G11676">
        <f t="shared" si="367"/>
        <v>6.55</v>
      </c>
    </row>
    <row r="11677" spans="1:7" ht="12.75" customHeight="1">
      <c r="A11677" s="3">
        <v>100213</v>
      </c>
      <c r="B11677" s="4" t="s">
        <v>11705</v>
      </c>
      <c r="C11677" s="3" t="s">
        <v>11700</v>
      </c>
      <c r="D11677" s="5">
        <f t="shared" si="366"/>
        <v>2.35</v>
      </c>
      <c r="E11677">
        <v>2.59</v>
      </c>
      <c r="F11677" s="1789">
        <v>8.8999999999999996E-2</v>
      </c>
      <c r="G11677">
        <f t="shared" si="367"/>
        <v>2.35</v>
      </c>
    </row>
    <row r="11678" spans="1:7" ht="12.75" customHeight="1">
      <c r="A11678" s="3">
        <v>100214</v>
      </c>
      <c r="B11678" s="4" t="s">
        <v>11706</v>
      </c>
      <c r="C11678" s="3" t="s">
        <v>11700</v>
      </c>
      <c r="D11678" s="5">
        <f t="shared" si="366"/>
        <v>3.61</v>
      </c>
      <c r="E11678">
        <v>3.97</v>
      </c>
      <c r="F11678" s="1789">
        <v>8.8999999999999996E-2</v>
      </c>
      <c r="G11678">
        <f t="shared" si="367"/>
        <v>3.61</v>
      </c>
    </row>
    <row r="11679" spans="1:7" ht="12.75" customHeight="1">
      <c r="A11679" s="3">
        <v>100215</v>
      </c>
      <c r="B11679" s="4" t="s">
        <v>11707</v>
      </c>
      <c r="C11679" s="3" t="s">
        <v>11700</v>
      </c>
      <c r="D11679" s="5">
        <f t="shared" si="366"/>
        <v>3.09</v>
      </c>
      <c r="E11679">
        <v>3.4</v>
      </c>
      <c r="F11679" s="1789">
        <v>8.8999999999999996E-2</v>
      </c>
      <c r="G11679">
        <f t="shared" si="367"/>
        <v>3.09</v>
      </c>
    </row>
    <row r="11680" spans="1:7" ht="12.75" customHeight="1">
      <c r="A11680" s="3">
        <v>100216</v>
      </c>
      <c r="B11680" s="4" t="s">
        <v>11708</v>
      </c>
      <c r="C11680" s="3" t="s">
        <v>11700</v>
      </c>
      <c r="D11680" s="5">
        <f t="shared" si="366"/>
        <v>0.82</v>
      </c>
      <c r="E11680">
        <v>0.91</v>
      </c>
      <c r="F11680" s="1789">
        <v>8.8999999999999996E-2</v>
      </c>
      <c r="G11680">
        <f t="shared" si="367"/>
        <v>0.82</v>
      </c>
    </row>
    <row r="11681" spans="1:7" ht="12.75" customHeight="1">
      <c r="A11681" s="3">
        <v>100217</v>
      </c>
      <c r="B11681" s="4" t="s">
        <v>11709</v>
      </c>
      <c r="C11681" s="3" t="s">
        <v>11700</v>
      </c>
      <c r="D11681" s="5">
        <f t="shared" si="366"/>
        <v>2.44</v>
      </c>
      <c r="E11681">
        <v>2.68</v>
      </c>
      <c r="F11681" s="1789">
        <v>8.8999999999999996E-2</v>
      </c>
      <c r="G11681">
        <f t="shared" si="367"/>
        <v>2.44</v>
      </c>
    </row>
    <row r="11682" spans="1:7" ht="12.75" customHeight="1">
      <c r="A11682" s="3">
        <v>100218</v>
      </c>
      <c r="B11682" s="4" t="s">
        <v>11710</v>
      </c>
      <c r="C11682" s="3" t="s">
        <v>11700</v>
      </c>
      <c r="D11682" s="5">
        <f t="shared" si="366"/>
        <v>1.66</v>
      </c>
      <c r="E11682">
        <v>1.83</v>
      </c>
      <c r="F11682" s="1789">
        <v>8.8999999999999996E-2</v>
      </c>
      <c r="G11682">
        <f t="shared" si="367"/>
        <v>1.66</v>
      </c>
    </row>
    <row r="11683" spans="1:7" ht="12.75" customHeight="1">
      <c r="A11683" s="3">
        <v>100219</v>
      </c>
      <c r="B11683" s="4" t="s">
        <v>11711</v>
      </c>
      <c r="C11683" s="3" t="s">
        <v>11700</v>
      </c>
      <c r="D11683" s="5">
        <f t="shared" si="366"/>
        <v>0.37</v>
      </c>
      <c r="E11683">
        <v>0.41</v>
      </c>
      <c r="F11683" s="1789">
        <v>8.8999999999999996E-2</v>
      </c>
      <c r="G11683">
        <f t="shared" si="367"/>
        <v>0.37</v>
      </c>
    </row>
    <row r="11684" spans="1:7" ht="12.75" customHeight="1">
      <c r="A11684" s="3">
        <v>100220</v>
      </c>
      <c r="B11684" s="4" t="s">
        <v>11712</v>
      </c>
      <c r="C11684" s="3" t="s">
        <v>11713</v>
      </c>
      <c r="D11684" s="5">
        <f t="shared" si="366"/>
        <v>24.02</v>
      </c>
      <c r="E11684">
        <v>26.37</v>
      </c>
      <c r="F11684" s="1789">
        <v>8.8999999999999996E-2</v>
      </c>
      <c r="G11684">
        <f t="shared" si="367"/>
        <v>24.02</v>
      </c>
    </row>
    <row r="11685" spans="1:7" ht="12.75" customHeight="1">
      <c r="A11685" s="3">
        <v>100221</v>
      </c>
      <c r="B11685" s="4" t="s">
        <v>11714</v>
      </c>
      <c r="C11685" s="3" t="s">
        <v>11713</v>
      </c>
      <c r="D11685" s="5">
        <f t="shared" si="366"/>
        <v>27.23</v>
      </c>
      <c r="E11685">
        <v>29.9</v>
      </c>
      <c r="F11685" s="1789">
        <v>8.8999999999999996E-2</v>
      </c>
      <c r="G11685">
        <f t="shared" si="367"/>
        <v>27.23</v>
      </c>
    </row>
    <row r="11686" spans="1:7" ht="12.75" customHeight="1">
      <c r="A11686" s="3">
        <v>100222</v>
      </c>
      <c r="B11686" s="4" t="s">
        <v>11715</v>
      </c>
      <c r="C11686" s="3" t="s">
        <v>11713</v>
      </c>
      <c r="D11686" s="5">
        <f t="shared" si="366"/>
        <v>10.31</v>
      </c>
      <c r="E11686">
        <v>11.32</v>
      </c>
      <c r="F11686" s="1789">
        <v>8.8999999999999996E-2</v>
      </c>
      <c r="G11686">
        <f t="shared" si="367"/>
        <v>10.31</v>
      </c>
    </row>
    <row r="11687" spans="1:7" ht="12.75" customHeight="1">
      <c r="A11687" s="3">
        <v>100223</v>
      </c>
      <c r="B11687" s="4" t="s">
        <v>11716</v>
      </c>
      <c r="C11687" s="3" t="s">
        <v>11713</v>
      </c>
      <c r="D11687" s="5">
        <f t="shared" si="366"/>
        <v>4.82</v>
      </c>
      <c r="E11687">
        <v>5.3</v>
      </c>
      <c r="F11687" s="1789">
        <v>8.8999999999999996E-2</v>
      </c>
      <c r="G11687">
        <f t="shared" si="367"/>
        <v>4.82</v>
      </c>
    </row>
    <row r="11688" spans="1:7" ht="12.75" customHeight="1">
      <c r="A11688" s="3">
        <v>100224</v>
      </c>
      <c r="B11688" s="4" t="s">
        <v>11717</v>
      </c>
      <c r="C11688" s="3" t="s">
        <v>11713</v>
      </c>
      <c r="D11688" s="5">
        <f t="shared" si="366"/>
        <v>2.44</v>
      </c>
      <c r="E11688">
        <v>2.68</v>
      </c>
      <c r="F11688" s="1789">
        <v>8.8999999999999996E-2</v>
      </c>
      <c r="G11688">
        <f t="shared" si="367"/>
        <v>2.44</v>
      </c>
    </row>
    <row r="11689" spans="1:7" ht="12.75" customHeight="1">
      <c r="A11689" s="3">
        <v>100225</v>
      </c>
      <c r="B11689" s="4" t="s">
        <v>11718</v>
      </c>
      <c r="C11689" s="3" t="s">
        <v>11719</v>
      </c>
      <c r="D11689" s="5">
        <f t="shared" si="366"/>
        <v>1.88</v>
      </c>
      <c r="E11689">
        <v>2.0699999999999998</v>
      </c>
      <c r="F11689" s="1789">
        <v>8.8999999999999996E-2</v>
      </c>
      <c r="G11689">
        <f t="shared" si="367"/>
        <v>1.88</v>
      </c>
    </row>
    <row r="11690" spans="1:7" ht="12.75" customHeight="1">
      <c r="A11690" s="3">
        <v>100226</v>
      </c>
      <c r="B11690" s="4" t="s">
        <v>11720</v>
      </c>
      <c r="C11690" s="3" t="s">
        <v>11719</v>
      </c>
      <c r="D11690" s="5">
        <f t="shared" si="366"/>
        <v>0.59</v>
      </c>
      <c r="E11690">
        <v>0.65</v>
      </c>
      <c r="F11690" s="1789">
        <v>8.8999999999999996E-2</v>
      </c>
      <c r="G11690">
        <f t="shared" si="367"/>
        <v>0.59</v>
      </c>
    </row>
    <row r="11691" spans="1:7" ht="12.75" customHeight="1">
      <c r="A11691" s="3">
        <v>100227</v>
      </c>
      <c r="B11691" s="4" t="s">
        <v>11721</v>
      </c>
      <c r="C11691" s="3" t="s">
        <v>11719</v>
      </c>
      <c r="D11691" s="5">
        <f t="shared" si="366"/>
        <v>0.87</v>
      </c>
      <c r="E11691">
        <v>0.96</v>
      </c>
      <c r="F11691" s="1789">
        <v>8.8999999999999996E-2</v>
      </c>
      <c r="G11691">
        <f t="shared" si="367"/>
        <v>0.87</v>
      </c>
    </row>
    <row r="11692" spans="1:7" ht="12.75" customHeight="1">
      <c r="A11692" s="3">
        <v>100228</v>
      </c>
      <c r="B11692" s="4" t="s">
        <v>11722</v>
      </c>
      <c r="C11692" s="3" t="s">
        <v>11719</v>
      </c>
      <c r="D11692" s="5">
        <f t="shared" si="366"/>
        <v>0.24</v>
      </c>
      <c r="E11692">
        <v>0.27</v>
      </c>
      <c r="F11692" s="1789">
        <v>8.8999999999999996E-2</v>
      </c>
      <c r="G11692">
        <f t="shared" si="367"/>
        <v>0.24</v>
      </c>
    </row>
    <row r="11693" spans="1:7" ht="12.75" customHeight="1">
      <c r="A11693" s="3">
        <v>100229</v>
      </c>
      <c r="B11693" s="4" t="s">
        <v>11723</v>
      </c>
      <c r="C11693" s="3" t="s">
        <v>54</v>
      </c>
      <c r="D11693" s="5">
        <f t="shared" si="366"/>
        <v>0</v>
      </c>
      <c r="E11693">
        <v>0.01</v>
      </c>
      <c r="F11693" s="1789">
        <v>8.8999999999999996E-2</v>
      </c>
      <c r="G11693">
        <f t="shared" si="367"/>
        <v>0</v>
      </c>
    </row>
    <row r="11694" spans="1:7" ht="12.75" customHeight="1">
      <c r="A11694" s="3">
        <v>100230</v>
      </c>
      <c r="B11694" s="4" t="s">
        <v>11724</v>
      </c>
      <c r="C11694" s="3" t="s">
        <v>54</v>
      </c>
      <c r="D11694" s="5">
        <f t="shared" si="366"/>
        <v>0.01</v>
      </c>
      <c r="E11694">
        <v>0.02</v>
      </c>
      <c r="F11694" s="1789">
        <v>8.8999999999999996E-2</v>
      </c>
      <c r="G11694">
        <f t="shared" si="367"/>
        <v>0.01</v>
      </c>
    </row>
    <row r="11695" spans="1:7" ht="12.75" customHeight="1">
      <c r="A11695" s="3">
        <v>100231</v>
      </c>
      <c r="B11695" s="4" t="s">
        <v>11725</v>
      </c>
      <c r="C11695" s="3" t="s">
        <v>54</v>
      </c>
      <c r="D11695" s="5">
        <f t="shared" si="366"/>
        <v>0.02</v>
      </c>
      <c r="E11695">
        <v>0.03</v>
      </c>
      <c r="F11695" s="1789">
        <v>8.8999999999999996E-2</v>
      </c>
      <c r="G11695">
        <f t="shared" si="367"/>
        <v>0.02</v>
      </c>
    </row>
    <row r="11696" spans="1:7" ht="12.75" customHeight="1">
      <c r="A11696" s="3">
        <v>100232</v>
      </c>
      <c r="B11696" s="4" t="s">
        <v>11726</v>
      </c>
      <c r="C11696" s="3" t="s">
        <v>6</v>
      </c>
      <c r="D11696" s="5">
        <f t="shared" si="366"/>
        <v>0.3</v>
      </c>
      <c r="E11696">
        <v>0.34</v>
      </c>
      <c r="F11696" s="1789">
        <v>8.8999999999999996E-2</v>
      </c>
      <c r="G11696">
        <f t="shared" si="367"/>
        <v>0.3</v>
      </c>
    </row>
    <row r="11697" spans="1:7" ht="12.75" customHeight="1">
      <c r="A11697" s="3">
        <v>100233</v>
      </c>
      <c r="B11697" s="4" t="s">
        <v>11727</v>
      </c>
      <c r="C11697" s="3" t="s">
        <v>6</v>
      </c>
      <c r="D11697" s="5">
        <f t="shared" si="366"/>
        <v>0.15</v>
      </c>
      <c r="E11697">
        <v>0.17</v>
      </c>
      <c r="F11697" s="1789">
        <v>8.8999999999999996E-2</v>
      </c>
      <c r="G11697">
        <f t="shared" si="367"/>
        <v>0.15</v>
      </c>
    </row>
    <row r="11698" spans="1:7" ht="12.75" customHeight="1">
      <c r="A11698" s="3">
        <v>100234</v>
      </c>
      <c r="B11698" s="4" t="s">
        <v>11728</v>
      </c>
      <c r="C11698" s="3" t="s">
        <v>409</v>
      </c>
      <c r="D11698" s="5">
        <f t="shared" si="366"/>
        <v>0.47</v>
      </c>
      <c r="E11698">
        <v>0.52</v>
      </c>
      <c r="F11698" s="1789">
        <v>8.8999999999999996E-2</v>
      </c>
      <c r="G11698">
        <f t="shared" si="367"/>
        <v>0.47</v>
      </c>
    </row>
    <row r="11699" spans="1:7" ht="12.75" customHeight="1">
      <c r="A11699" s="3">
        <v>100235</v>
      </c>
      <c r="B11699" s="4" t="s">
        <v>11729</v>
      </c>
      <c r="C11699" s="3" t="s">
        <v>56</v>
      </c>
      <c r="D11699" s="5">
        <f t="shared" si="366"/>
        <v>0.03</v>
      </c>
      <c r="E11699">
        <v>0.04</v>
      </c>
      <c r="F11699" s="1789">
        <v>8.8999999999999996E-2</v>
      </c>
      <c r="G11699">
        <f t="shared" si="367"/>
        <v>0.03</v>
      </c>
    </row>
    <row r="11700" spans="1:7" ht="12.75" customHeight="1">
      <c r="A11700" s="3">
        <v>100236</v>
      </c>
      <c r="B11700" s="4" t="s">
        <v>11730</v>
      </c>
      <c r="C11700" s="3" t="s">
        <v>11731</v>
      </c>
      <c r="D11700" s="5">
        <f t="shared" si="366"/>
        <v>2.39</v>
      </c>
      <c r="E11700">
        <v>2.63</v>
      </c>
      <c r="F11700" s="1789">
        <v>8.8999999999999996E-2</v>
      </c>
      <c r="G11700">
        <f t="shared" si="367"/>
        <v>2.39</v>
      </c>
    </row>
    <row r="11701" spans="1:7" ht="12.75" customHeight="1">
      <c r="A11701" s="3">
        <v>100237</v>
      </c>
      <c r="B11701" s="4" t="s">
        <v>11732</v>
      </c>
      <c r="C11701" s="3" t="s">
        <v>11731</v>
      </c>
      <c r="D11701" s="5">
        <f t="shared" si="366"/>
        <v>2.86</v>
      </c>
      <c r="E11701">
        <v>3.15</v>
      </c>
      <c r="F11701" s="1789">
        <v>8.8999999999999996E-2</v>
      </c>
      <c r="G11701">
        <f t="shared" si="367"/>
        <v>2.86</v>
      </c>
    </row>
    <row r="11702" spans="1:7" ht="12.75" customHeight="1">
      <c r="A11702" s="3">
        <v>100238</v>
      </c>
      <c r="B11702" s="4" t="s">
        <v>11733</v>
      </c>
      <c r="C11702" s="3" t="s">
        <v>11731</v>
      </c>
      <c r="D11702" s="5">
        <f t="shared" si="366"/>
        <v>4.59</v>
      </c>
      <c r="E11702">
        <v>5.04</v>
      </c>
      <c r="F11702" s="1789">
        <v>8.8999999999999996E-2</v>
      </c>
      <c r="G11702">
        <f t="shared" si="367"/>
        <v>4.59</v>
      </c>
    </row>
    <row r="11703" spans="1:7" ht="12.75" customHeight="1">
      <c r="A11703" s="3">
        <v>100239</v>
      </c>
      <c r="B11703" s="4" t="s">
        <v>11734</v>
      </c>
      <c r="C11703" s="3" t="s">
        <v>11731</v>
      </c>
      <c r="D11703" s="5">
        <f t="shared" si="366"/>
        <v>5.74</v>
      </c>
      <c r="E11703">
        <v>6.31</v>
      </c>
      <c r="F11703" s="1789">
        <v>8.8999999999999996E-2</v>
      </c>
      <c r="G11703">
        <f t="shared" si="367"/>
        <v>5.74</v>
      </c>
    </row>
    <row r="11704" spans="1:7" ht="12.75" customHeight="1">
      <c r="A11704" s="3">
        <v>100240</v>
      </c>
      <c r="B11704" s="4" t="s">
        <v>11735</v>
      </c>
      <c r="C11704" s="3" t="s">
        <v>11731</v>
      </c>
      <c r="D11704" s="5">
        <f t="shared" si="366"/>
        <v>3.44</v>
      </c>
      <c r="E11704">
        <v>3.78</v>
      </c>
      <c r="F11704" s="1789">
        <v>8.8999999999999996E-2</v>
      </c>
      <c r="G11704">
        <f t="shared" si="367"/>
        <v>3.44</v>
      </c>
    </row>
    <row r="11705" spans="1:7" ht="12.75" customHeight="1">
      <c r="A11705" s="3">
        <v>100241</v>
      </c>
      <c r="B11705" s="4" t="s">
        <v>11736</v>
      </c>
      <c r="C11705" s="3" t="s">
        <v>11731</v>
      </c>
      <c r="D11705" s="5">
        <f t="shared" si="366"/>
        <v>5.74</v>
      </c>
      <c r="E11705">
        <v>6.31</v>
      </c>
      <c r="F11705" s="1789">
        <v>8.8999999999999996E-2</v>
      </c>
      <c r="G11705">
        <f t="shared" si="367"/>
        <v>5.74</v>
      </c>
    </row>
    <row r="11706" spans="1:7" ht="12.75" customHeight="1">
      <c r="A11706" s="3">
        <v>100242</v>
      </c>
      <c r="B11706" s="4" t="s">
        <v>11737</v>
      </c>
      <c r="C11706" s="3" t="s">
        <v>11731</v>
      </c>
      <c r="D11706" s="5">
        <f t="shared" si="366"/>
        <v>16.98</v>
      </c>
      <c r="E11706">
        <v>18.64</v>
      </c>
      <c r="F11706" s="1789">
        <v>8.8999999999999996E-2</v>
      </c>
      <c r="G11706">
        <f t="shared" si="367"/>
        <v>16.98</v>
      </c>
    </row>
    <row r="11707" spans="1:7" ht="12.75" customHeight="1">
      <c r="A11707" s="3">
        <v>100243</v>
      </c>
      <c r="B11707" s="4" t="s">
        <v>11738</v>
      </c>
      <c r="C11707" s="3" t="s">
        <v>11731</v>
      </c>
      <c r="D11707" s="5">
        <f t="shared" si="366"/>
        <v>2.75</v>
      </c>
      <c r="E11707">
        <v>3.02</v>
      </c>
      <c r="F11707" s="1789">
        <v>8.8999999999999996E-2</v>
      </c>
      <c r="G11707">
        <f t="shared" si="367"/>
        <v>2.75</v>
      </c>
    </row>
    <row r="11708" spans="1:7" ht="12.75" customHeight="1">
      <c r="A11708" s="3">
        <v>100244</v>
      </c>
      <c r="B11708" s="4" t="s">
        <v>11739</v>
      </c>
      <c r="C11708" s="3" t="s">
        <v>11731</v>
      </c>
      <c r="D11708" s="5">
        <f t="shared" si="366"/>
        <v>3.44</v>
      </c>
      <c r="E11708">
        <v>3.78</v>
      </c>
      <c r="F11708" s="1789">
        <v>8.8999999999999996E-2</v>
      </c>
      <c r="G11708">
        <f t="shared" si="367"/>
        <v>3.44</v>
      </c>
    </row>
    <row r="11709" spans="1:7" ht="12.75" customHeight="1">
      <c r="A11709" s="3">
        <v>100245</v>
      </c>
      <c r="B11709" s="4" t="s">
        <v>11740</v>
      </c>
      <c r="C11709" s="3" t="s">
        <v>11731</v>
      </c>
      <c r="D11709" s="5">
        <f t="shared" si="366"/>
        <v>6.89</v>
      </c>
      <c r="E11709">
        <v>7.57</v>
      </c>
      <c r="F11709" s="1789">
        <v>8.8999999999999996E-2</v>
      </c>
      <c r="G11709">
        <f t="shared" si="367"/>
        <v>6.89</v>
      </c>
    </row>
    <row r="11710" spans="1:7" ht="12.75" customHeight="1">
      <c r="A11710" s="3">
        <v>100246</v>
      </c>
      <c r="B11710" s="4" t="s">
        <v>11741</v>
      </c>
      <c r="C11710" s="3" t="s">
        <v>11731</v>
      </c>
      <c r="D11710" s="5">
        <f t="shared" si="366"/>
        <v>2.29</v>
      </c>
      <c r="E11710">
        <v>2.52</v>
      </c>
      <c r="F11710" s="1789">
        <v>8.8999999999999996E-2</v>
      </c>
      <c r="G11710">
        <f t="shared" si="367"/>
        <v>2.29</v>
      </c>
    </row>
    <row r="11711" spans="1:7" ht="12.75" customHeight="1">
      <c r="A11711" s="3">
        <v>100247</v>
      </c>
      <c r="B11711" s="4" t="s">
        <v>11742</v>
      </c>
      <c r="C11711" s="3" t="s">
        <v>11731</v>
      </c>
      <c r="D11711" s="5">
        <f t="shared" si="366"/>
        <v>2.86</v>
      </c>
      <c r="E11711">
        <v>3.15</v>
      </c>
      <c r="F11711" s="1789">
        <v>8.8999999999999996E-2</v>
      </c>
      <c r="G11711">
        <f t="shared" si="367"/>
        <v>2.86</v>
      </c>
    </row>
    <row r="11712" spans="1:7" ht="12.75" customHeight="1">
      <c r="A11712" s="3">
        <v>100248</v>
      </c>
      <c r="B11712" s="4" t="s">
        <v>11743</v>
      </c>
      <c r="C11712" s="3" t="s">
        <v>11731</v>
      </c>
      <c r="D11712" s="5">
        <f t="shared" si="366"/>
        <v>11.32</v>
      </c>
      <c r="E11712">
        <v>12.43</v>
      </c>
      <c r="F11712" s="1789">
        <v>8.8999999999999996E-2</v>
      </c>
      <c r="G11712">
        <f t="shared" si="367"/>
        <v>11.32</v>
      </c>
    </row>
    <row r="11713" spans="1:7" ht="12.75" customHeight="1">
      <c r="A11713" s="3">
        <v>100249</v>
      </c>
      <c r="B11713" s="4" t="s">
        <v>11744</v>
      </c>
      <c r="C11713" s="3" t="s">
        <v>11731</v>
      </c>
      <c r="D11713" s="5">
        <f t="shared" si="366"/>
        <v>2.29</v>
      </c>
      <c r="E11713">
        <v>2.52</v>
      </c>
      <c r="F11713" s="1789">
        <v>8.8999999999999996E-2</v>
      </c>
      <c r="G11713">
        <f t="shared" si="367"/>
        <v>2.29</v>
      </c>
    </row>
    <row r="11714" spans="1:7" ht="12.75" customHeight="1">
      <c r="A11714" s="3">
        <v>100250</v>
      </c>
      <c r="B11714" s="4" t="s">
        <v>11745</v>
      </c>
      <c r="C11714" s="3" t="s">
        <v>11731</v>
      </c>
      <c r="D11714" s="5">
        <f t="shared" si="366"/>
        <v>3.82</v>
      </c>
      <c r="E11714">
        <v>4.2</v>
      </c>
      <c r="F11714" s="1789">
        <v>8.8999999999999996E-2</v>
      </c>
      <c r="G11714">
        <f t="shared" si="367"/>
        <v>3.82</v>
      </c>
    </row>
    <row r="11715" spans="1:7" ht="12.75" customHeight="1">
      <c r="A11715" s="3">
        <v>100251</v>
      </c>
      <c r="B11715" s="4" t="s">
        <v>11746</v>
      </c>
      <c r="C11715" s="3" t="s">
        <v>11731</v>
      </c>
      <c r="D11715" s="5">
        <f t="shared" si="366"/>
        <v>11.32</v>
      </c>
      <c r="E11715">
        <v>12.43</v>
      </c>
      <c r="F11715" s="1789">
        <v>8.8999999999999996E-2</v>
      </c>
      <c r="G11715">
        <f t="shared" si="367"/>
        <v>11.32</v>
      </c>
    </row>
    <row r="11716" spans="1:7" ht="12.75" customHeight="1">
      <c r="A11716" s="3">
        <v>100252</v>
      </c>
      <c r="B11716" s="4" t="s">
        <v>11747</v>
      </c>
      <c r="C11716" s="3" t="s">
        <v>11731</v>
      </c>
      <c r="D11716" s="5">
        <f t="shared" si="366"/>
        <v>16.98</v>
      </c>
      <c r="E11716">
        <v>18.64</v>
      </c>
      <c r="F11716" s="1789">
        <v>8.8999999999999996E-2</v>
      </c>
      <c r="G11716">
        <f t="shared" si="367"/>
        <v>16.98</v>
      </c>
    </row>
    <row r="11717" spans="1:7" ht="12.75" customHeight="1">
      <c r="A11717" s="3">
        <v>100253</v>
      </c>
      <c r="B11717" s="4" t="s">
        <v>11748</v>
      </c>
      <c r="C11717" s="3" t="s">
        <v>11731</v>
      </c>
      <c r="D11717" s="5">
        <f t="shared" si="366"/>
        <v>22.64</v>
      </c>
      <c r="E11717">
        <v>24.86</v>
      </c>
      <c r="F11717" s="1789">
        <v>8.8999999999999996E-2</v>
      </c>
      <c r="G11717">
        <f t="shared" si="367"/>
        <v>22.64</v>
      </c>
    </row>
    <row r="11718" spans="1:7" ht="12.75" customHeight="1">
      <c r="A11718" s="3">
        <v>100254</v>
      </c>
      <c r="B11718" s="4" t="s">
        <v>11749</v>
      </c>
      <c r="C11718" s="3" t="s">
        <v>11731</v>
      </c>
      <c r="D11718" s="5">
        <f t="shared" si="366"/>
        <v>33.97</v>
      </c>
      <c r="E11718">
        <v>37.29</v>
      </c>
      <c r="F11718" s="1789">
        <v>8.8999999999999996E-2</v>
      </c>
      <c r="G11718">
        <f t="shared" si="367"/>
        <v>33.97</v>
      </c>
    </row>
    <row r="11719" spans="1:7" ht="12.75" customHeight="1">
      <c r="A11719" s="3">
        <v>100255</v>
      </c>
      <c r="B11719" s="4" t="s">
        <v>11750</v>
      </c>
      <c r="C11719" s="3" t="s">
        <v>11731</v>
      </c>
      <c r="D11719" s="5">
        <f t="shared" si="366"/>
        <v>11.49</v>
      </c>
      <c r="E11719">
        <v>12.62</v>
      </c>
      <c r="F11719" s="1789">
        <v>8.8999999999999996E-2</v>
      </c>
      <c r="G11719">
        <f t="shared" si="367"/>
        <v>11.49</v>
      </c>
    </row>
    <row r="11720" spans="1:7" ht="12.75" customHeight="1">
      <c r="A11720" s="3">
        <v>100256</v>
      </c>
      <c r="B11720" s="4" t="s">
        <v>11751</v>
      </c>
      <c r="C11720" s="3" t="s">
        <v>11731</v>
      </c>
      <c r="D11720" s="5">
        <f t="shared" si="366"/>
        <v>7.66</v>
      </c>
      <c r="E11720">
        <v>8.41</v>
      </c>
      <c r="F11720" s="1789">
        <v>8.8999999999999996E-2</v>
      </c>
      <c r="G11720">
        <f t="shared" si="367"/>
        <v>7.66</v>
      </c>
    </row>
    <row r="11721" spans="1:7" ht="12.75" customHeight="1">
      <c r="A11721" s="3">
        <v>100257</v>
      </c>
      <c r="B11721" s="4" t="s">
        <v>11752</v>
      </c>
      <c r="C11721" s="3" t="s">
        <v>11731</v>
      </c>
      <c r="D11721" s="5">
        <f t="shared" si="366"/>
        <v>4.59</v>
      </c>
      <c r="E11721">
        <v>5.04</v>
      </c>
      <c r="F11721" s="1789">
        <v>8.8999999999999996E-2</v>
      </c>
      <c r="G11721">
        <f t="shared" si="367"/>
        <v>4.59</v>
      </c>
    </row>
    <row r="11722" spans="1:7" ht="12.75" customHeight="1">
      <c r="A11722" s="3">
        <v>100258</v>
      </c>
      <c r="B11722" s="4" t="s">
        <v>11753</v>
      </c>
      <c r="C11722" s="3" t="s">
        <v>11731</v>
      </c>
      <c r="D11722" s="5">
        <f t="shared" si="366"/>
        <v>11.49</v>
      </c>
      <c r="E11722">
        <v>12.62</v>
      </c>
      <c r="F11722" s="1789">
        <v>8.8999999999999996E-2</v>
      </c>
      <c r="G11722">
        <f t="shared" si="367"/>
        <v>11.49</v>
      </c>
    </row>
    <row r="11723" spans="1:7" ht="12.75" customHeight="1">
      <c r="A11723" s="3">
        <v>100259</v>
      </c>
      <c r="B11723" s="4" t="s">
        <v>11754</v>
      </c>
      <c r="C11723" s="3" t="s">
        <v>11731</v>
      </c>
      <c r="D11723" s="5">
        <f t="shared" si="366"/>
        <v>22.64</v>
      </c>
      <c r="E11723">
        <v>24.86</v>
      </c>
      <c r="F11723" s="1789">
        <v>8.8999999999999996E-2</v>
      </c>
      <c r="G11723">
        <f t="shared" si="367"/>
        <v>22.64</v>
      </c>
    </row>
    <row r="11724" spans="1:7" ht="12.75" customHeight="1">
      <c r="A11724" s="3">
        <v>100260</v>
      </c>
      <c r="B11724" s="4" t="s">
        <v>11755</v>
      </c>
      <c r="C11724" s="3" t="s">
        <v>11685</v>
      </c>
      <c r="D11724" s="5">
        <f t="shared" si="366"/>
        <v>7.46</v>
      </c>
      <c r="E11724">
        <v>8.19</v>
      </c>
      <c r="F11724" s="1789">
        <v>8.8999999999999996E-2</v>
      </c>
      <c r="G11724">
        <f t="shared" si="367"/>
        <v>7.46</v>
      </c>
    </row>
    <row r="11725" spans="1:7" ht="12.75" customHeight="1">
      <c r="A11725" s="3">
        <v>100261</v>
      </c>
      <c r="B11725" s="4" t="s">
        <v>11756</v>
      </c>
      <c r="C11725" s="3" t="s">
        <v>11685</v>
      </c>
      <c r="D11725" s="5">
        <f t="shared" si="366"/>
        <v>4.6900000000000004</v>
      </c>
      <c r="E11725">
        <v>5.15</v>
      </c>
      <c r="F11725" s="1789">
        <v>8.8999999999999996E-2</v>
      </c>
      <c r="G11725">
        <f t="shared" si="367"/>
        <v>4.6900000000000004</v>
      </c>
    </row>
    <row r="11726" spans="1:7" ht="12.75" customHeight="1">
      <c r="A11726" s="3">
        <v>100262</v>
      </c>
      <c r="B11726" s="4" t="s">
        <v>11757</v>
      </c>
      <c r="C11726" s="3" t="s">
        <v>11685</v>
      </c>
      <c r="D11726" s="5">
        <f t="shared" si="366"/>
        <v>2.9</v>
      </c>
      <c r="E11726">
        <v>3.19</v>
      </c>
      <c r="F11726" s="1789">
        <v>8.8999999999999996E-2</v>
      </c>
      <c r="G11726">
        <f t="shared" si="367"/>
        <v>2.9</v>
      </c>
    </row>
    <row r="11727" spans="1:7" ht="12.75" customHeight="1">
      <c r="A11727" s="3">
        <v>100263</v>
      </c>
      <c r="B11727" s="4" t="s">
        <v>11758</v>
      </c>
      <c r="C11727" s="3" t="s">
        <v>11685</v>
      </c>
      <c r="D11727" s="5">
        <f t="shared" si="366"/>
        <v>1.85</v>
      </c>
      <c r="E11727">
        <v>2.04</v>
      </c>
      <c r="F11727" s="1789">
        <v>8.8999999999999996E-2</v>
      </c>
      <c r="G11727">
        <f t="shared" si="367"/>
        <v>1.85</v>
      </c>
    </row>
    <row r="11728" spans="1:7" ht="12.75" customHeight="1">
      <c r="A11728" s="3">
        <v>100264</v>
      </c>
      <c r="B11728" s="4" t="s">
        <v>11759</v>
      </c>
      <c r="C11728" s="3" t="s">
        <v>11713</v>
      </c>
      <c r="D11728" s="5">
        <f t="shared" si="366"/>
        <v>33.909999999999997</v>
      </c>
      <c r="E11728">
        <v>37.229999999999997</v>
      </c>
      <c r="F11728" s="1789">
        <v>8.8999999999999996E-2</v>
      </c>
      <c r="G11728">
        <f t="shared" si="367"/>
        <v>33.909999999999997</v>
      </c>
    </row>
    <row r="11729" spans="1:7" ht="12.75" customHeight="1">
      <c r="A11729" s="3">
        <v>100265</v>
      </c>
      <c r="B11729" s="4" t="s">
        <v>11760</v>
      </c>
      <c r="C11729" s="3" t="s">
        <v>409</v>
      </c>
      <c r="D11729" s="5">
        <f t="shared" si="366"/>
        <v>0.71</v>
      </c>
      <c r="E11729">
        <v>0.78</v>
      </c>
      <c r="F11729" s="1789">
        <v>8.8999999999999996E-2</v>
      </c>
      <c r="G11729">
        <f t="shared" si="367"/>
        <v>0.71</v>
      </c>
    </row>
    <row r="11730" spans="1:7" ht="12.75" customHeight="1">
      <c r="A11730" s="3">
        <v>100266</v>
      </c>
      <c r="B11730" s="4" t="s">
        <v>11761</v>
      </c>
      <c r="C11730" s="3" t="s">
        <v>11700</v>
      </c>
      <c r="D11730" s="5">
        <f t="shared" si="366"/>
        <v>72.08</v>
      </c>
      <c r="E11730">
        <v>79.13</v>
      </c>
      <c r="F11730" s="1789">
        <v>8.8999999999999996E-2</v>
      </c>
      <c r="G11730">
        <f t="shared" si="367"/>
        <v>72.08</v>
      </c>
    </row>
    <row r="11731" spans="1:7" ht="12.75" customHeight="1">
      <c r="A11731" s="3">
        <v>100267</v>
      </c>
      <c r="B11731" s="4" t="s">
        <v>11762</v>
      </c>
      <c r="C11731" s="3" t="s">
        <v>6</v>
      </c>
      <c r="D11731" s="5">
        <f t="shared" si="366"/>
        <v>1.42</v>
      </c>
      <c r="E11731">
        <v>1.56</v>
      </c>
      <c r="F11731" s="1789">
        <v>8.8999999999999996E-2</v>
      </c>
      <c r="G11731">
        <f t="shared" si="367"/>
        <v>1.42</v>
      </c>
    </row>
    <row r="11732" spans="1:7" ht="12.75" customHeight="1">
      <c r="A11732" s="3">
        <v>100268</v>
      </c>
      <c r="B11732" s="4" t="s">
        <v>11763</v>
      </c>
      <c r="C11732" s="3" t="s">
        <v>11700</v>
      </c>
      <c r="D11732" s="5">
        <f t="shared" si="366"/>
        <v>72.08</v>
      </c>
      <c r="E11732">
        <v>79.13</v>
      </c>
      <c r="F11732" s="1789">
        <v>8.8999999999999996E-2</v>
      </c>
      <c r="G11732">
        <f t="shared" si="367"/>
        <v>72.08</v>
      </c>
    </row>
    <row r="11733" spans="1:7" ht="12.75" customHeight="1">
      <c r="A11733" s="3">
        <v>100269</v>
      </c>
      <c r="B11733" s="4" t="s">
        <v>11764</v>
      </c>
      <c r="C11733" s="3" t="s">
        <v>6</v>
      </c>
      <c r="D11733" s="5">
        <f t="shared" ref="D11733:D11796" si="368">G11733</f>
        <v>1.42</v>
      </c>
      <c r="E11733">
        <v>1.56</v>
      </c>
      <c r="F11733" s="1789">
        <v>8.8999999999999996E-2</v>
      </c>
      <c r="G11733">
        <f t="shared" ref="G11733:G11796" si="369">TRUNC((1-F11733)*E11733,2)</f>
        <v>1.42</v>
      </c>
    </row>
    <row r="11734" spans="1:7" ht="12.75" customHeight="1">
      <c r="A11734" s="3">
        <v>100270</v>
      </c>
      <c r="B11734" s="4" t="s">
        <v>11765</v>
      </c>
      <c r="C11734" s="3" t="s">
        <v>11700</v>
      </c>
      <c r="D11734" s="5">
        <f t="shared" si="368"/>
        <v>54.04</v>
      </c>
      <c r="E11734">
        <v>59.32</v>
      </c>
      <c r="F11734" s="1789">
        <v>8.8999999999999996E-2</v>
      </c>
      <c r="G11734">
        <f t="shared" si="369"/>
        <v>54.04</v>
      </c>
    </row>
    <row r="11735" spans="1:7" ht="12.75" customHeight="1">
      <c r="A11735" s="3">
        <v>100271</v>
      </c>
      <c r="B11735" s="4" t="s">
        <v>11766</v>
      </c>
      <c r="C11735" s="3" t="s">
        <v>11713</v>
      </c>
      <c r="D11735" s="5">
        <f t="shared" si="368"/>
        <v>54.06</v>
      </c>
      <c r="E11735">
        <v>59.35</v>
      </c>
      <c r="F11735" s="1789">
        <v>8.8999999999999996E-2</v>
      </c>
      <c r="G11735">
        <f t="shared" si="369"/>
        <v>54.06</v>
      </c>
    </row>
    <row r="11736" spans="1:7" ht="12.75" customHeight="1">
      <c r="A11736" s="3">
        <v>100272</v>
      </c>
      <c r="B11736" s="4" t="s">
        <v>11767</v>
      </c>
      <c r="C11736" s="3" t="s">
        <v>409</v>
      </c>
      <c r="D11736" s="5">
        <f t="shared" si="368"/>
        <v>1.06</v>
      </c>
      <c r="E11736">
        <v>1.17</v>
      </c>
      <c r="F11736" s="1789">
        <v>8.8999999999999996E-2</v>
      </c>
      <c r="G11736">
        <f t="shared" si="369"/>
        <v>1.06</v>
      </c>
    </row>
    <row r="11737" spans="1:7" ht="12.75" customHeight="1">
      <c r="A11737" s="3">
        <v>100273</v>
      </c>
      <c r="B11737" s="4" t="s">
        <v>11768</v>
      </c>
      <c r="C11737" s="3" t="s">
        <v>11685</v>
      </c>
      <c r="D11737" s="5">
        <f t="shared" si="368"/>
        <v>2.81</v>
      </c>
      <c r="E11737">
        <v>3.09</v>
      </c>
      <c r="F11737" s="1789">
        <v>8.8999999999999996E-2</v>
      </c>
      <c r="G11737">
        <f t="shared" si="369"/>
        <v>2.81</v>
      </c>
    </row>
    <row r="11738" spans="1:7" ht="12.75" customHeight="1">
      <c r="A11738" s="3">
        <v>100274</v>
      </c>
      <c r="B11738" s="4" t="s">
        <v>11769</v>
      </c>
      <c r="C11738" s="3" t="s">
        <v>11713</v>
      </c>
      <c r="D11738" s="5">
        <f t="shared" si="368"/>
        <v>24.04</v>
      </c>
      <c r="E11738">
        <v>26.39</v>
      </c>
      <c r="F11738" s="1789">
        <v>8.8999999999999996E-2</v>
      </c>
      <c r="G11738">
        <f t="shared" si="369"/>
        <v>24.04</v>
      </c>
    </row>
    <row r="11739" spans="1:7" ht="12.75" customHeight="1">
      <c r="A11739" s="3">
        <v>100275</v>
      </c>
      <c r="B11739" s="4" t="s">
        <v>11770</v>
      </c>
      <c r="C11739" s="3" t="s">
        <v>11713</v>
      </c>
      <c r="D11739" s="5">
        <f t="shared" si="368"/>
        <v>15.54</v>
      </c>
      <c r="E11739">
        <v>17.059999999999999</v>
      </c>
      <c r="F11739" s="1789">
        <v>8.8999999999999996E-2</v>
      </c>
      <c r="G11739">
        <f t="shared" si="369"/>
        <v>15.54</v>
      </c>
    </row>
    <row r="11740" spans="1:7" ht="12.75" customHeight="1">
      <c r="A11740" s="3">
        <v>100276</v>
      </c>
      <c r="B11740" s="4" t="s">
        <v>11771</v>
      </c>
      <c r="C11740" s="3" t="s">
        <v>11713</v>
      </c>
      <c r="D11740" s="5">
        <f t="shared" si="368"/>
        <v>28.36</v>
      </c>
      <c r="E11740">
        <v>31.14</v>
      </c>
      <c r="F11740" s="1789">
        <v>8.8999999999999996E-2</v>
      </c>
      <c r="G11740">
        <f t="shared" si="369"/>
        <v>28.36</v>
      </c>
    </row>
    <row r="11741" spans="1:7" ht="12.75" customHeight="1">
      <c r="A11741" s="3">
        <v>100277</v>
      </c>
      <c r="B11741" s="4" t="s">
        <v>11772</v>
      </c>
      <c r="C11741" s="3" t="s">
        <v>11713</v>
      </c>
      <c r="D11741" s="5">
        <f t="shared" si="368"/>
        <v>1.55</v>
      </c>
      <c r="E11741">
        <v>1.71</v>
      </c>
      <c r="F11741" s="1789">
        <v>8.8999999999999996E-2</v>
      </c>
      <c r="G11741">
        <f t="shared" si="369"/>
        <v>1.55</v>
      </c>
    </row>
    <row r="11742" spans="1:7" ht="12.75" customHeight="1">
      <c r="A11742" s="3">
        <v>100278</v>
      </c>
      <c r="B11742" s="4" t="s">
        <v>11773</v>
      </c>
      <c r="C11742" s="3" t="s">
        <v>11700</v>
      </c>
      <c r="D11742" s="5">
        <f t="shared" si="368"/>
        <v>34.49</v>
      </c>
      <c r="E11742">
        <v>37.86</v>
      </c>
      <c r="F11742" s="1789">
        <v>8.8999999999999996E-2</v>
      </c>
      <c r="G11742">
        <f t="shared" si="369"/>
        <v>34.49</v>
      </c>
    </row>
    <row r="11743" spans="1:7" ht="12.75" customHeight="1">
      <c r="A11743" s="3">
        <v>100279</v>
      </c>
      <c r="B11743" s="4" t="s">
        <v>11774</v>
      </c>
      <c r="C11743" s="3" t="s">
        <v>6</v>
      </c>
      <c r="D11743" s="5">
        <f t="shared" si="368"/>
        <v>0.66</v>
      </c>
      <c r="E11743">
        <v>0.73</v>
      </c>
      <c r="F11743" s="1789">
        <v>8.8999999999999996E-2</v>
      </c>
      <c r="G11743">
        <f t="shared" si="369"/>
        <v>0.66</v>
      </c>
    </row>
    <row r="11744" spans="1:7" ht="12.75" customHeight="1">
      <c r="A11744" s="3">
        <v>100280</v>
      </c>
      <c r="B11744" s="4" t="s">
        <v>11775</v>
      </c>
      <c r="C11744" s="3" t="s">
        <v>11700</v>
      </c>
      <c r="D11744" s="5">
        <f t="shared" si="368"/>
        <v>15.83</v>
      </c>
      <c r="E11744">
        <v>17.38</v>
      </c>
      <c r="F11744" s="1789">
        <v>8.8999999999999996E-2</v>
      </c>
      <c r="G11744">
        <f t="shared" si="369"/>
        <v>15.83</v>
      </c>
    </row>
    <row r="11745" spans="1:7" ht="12.75" customHeight="1">
      <c r="A11745" s="3">
        <v>100281</v>
      </c>
      <c r="B11745" s="4" t="s">
        <v>11776</v>
      </c>
      <c r="C11745" s="3" t="s">
        <v>11700</v>
      </c>
      <c r="D11745" s="5">
        <f t="shared" si="368"/>
        <v>2.99</v>
      </c>
      <c r="E11745">
        <v>3.29</v>
      </c>
      <c r="F11745" s="1789">
        <v>8.8999999999999996E-2</v>
      </c>
      <c r="G11745">
        <f t="shared" si="369"/>
        <v>2.99</v>
      </c>
    </row>
    <row r="11746" spans="1:7" ht="12.75" customHeight="1">
      <c r="A11746" s="3">
        <v>100282</v>
      </c>
      <c r="B11746" s="4" t="s">
        <v>11777</v>
      </c>
      <c r="C11746" s="3" t="s">
        <v>11713</v>
      </c>
      <c r="D11746" s="5">
        <f t="shared" si="368"/>
        <v>135.06</v>
      </c>
      <c r="E11746">
        <v>148.26</v>
      </c>
      <c r="F11746" s="1789">
        <v>8.8999999999999996E-2</v>
      </c>
      <c r="G11746">
        <f t="shared" si="369"/>
        <v>135.06</v>
      </c>
    </row>
    <row r="11747" spans="1:7" ht="12.75" customHeight="1">
      <c r="A11747" s="3">
        <v>100283</v>
      </c>
      <c r="B11747" s="4" t="s">
        <v>11778</v>
      </c>
      <c r="C11747" s="3" t="s">
        <v>11713</v>
      </c>
      <c r="D11747" s="5">
        <f t="shared" si="368"/>
        <v>21.81</v>
      </c>
      <c r="E11747">
        <v>23.95</v>
      </c>
      <c r="F11747" s="1789">
        <v>8.8999999999999996E-2</v>
      </c>
      <c r="G11747">
        <f t="shared" si="369"/>
        <v>21.81</v>
      </c>
    </row>
    <row r="11748" spans="1:7" ht="12.75" customHeight="1">
      <c r="A11748" s="3">
        <v>100284</v>
      </c>
      <c r="B11748" s="4" t="s">
        <v>11779</v>
      </c>
      <c r="C11748" s="3" t="s">
        <v>11713</v>
      </c>
      <c r="D11748" s="5">
        <f t="shared" si="368"/>
        <v>8.77</v>
      </c>
      <c r="E11748">
        <v>9.6300000000000008</v>
      </c>
      <c r="F11748" s="1789">
        <v>8.8999999999999996E-2</v>
      </c>
      <c r="G11748">
        <f t="shared" si="369"/>
        <v>8.77</v>
      </c>
    </row>
    <row r="11749" spans="1:7" ht="12.75" customHeight="1">
      <c r="A11749" s="3">
        <v>100285</v>
      </c>
      <c r="B11749" s="4" t="s">
        <v>11780</v>
      </c>
      <c r="C11749" s="3" t="s">
        <v>11731</v>
      </c>
      <c r="D11749" s="5">
        <f t="shared" si="368"/>
        <v>36.28</v>
      </c>
      <c r="E11749">
        <v>39.83</v>
      </c>
      <c r="F11749" s="1789">
        <v>8.8999999999999996E-2</v>
      </c>
      <c r="G11749">
        <f t="shared" si="369"/>
        <v>36.28</v>
      </c>
    </row>
    <row r="11750" spans="1:7" ht="12.75" customHeight="1">
      <c r="A11750" s="3">
        <v>100286</v>
      </c>
      <c r="B11750" s="4" t="s">
        <v>11781</v>
      </c>
      <c r="C11750" s="3" t="s">
        <v>11731</v>
      </c>
      <c r="D11750" s="5">
        <f t="shared" si="368"/>
        <v>11.82</v>
      </c>
      <c r="E11750">
        <v>12.98</v>
      </c>
      <c r="F11750" s="1789">
        <v>8.8999999999999996E-2</v>
      </c>
      <c r="G11750">
        <f t="shared" si="369"/>
        <v>11.82</v>
      </c>
    </row>
    <row r="11751" spans="1:7" ht="12.75" customHeight="1">
      <c r="A11751" s="3">
        <v>100287</v>
      </c>
      <c r="B11751" s="4" t="s">
        <v>11782</v>
      </c>
      <c r="C11751" s="3" t="s">
        <v>11731</v>
      </c>
      <c r="D11751" s="5">
        <f t="shared" si="368"/>
        <v>11.32</v>
      </c>
      <c r="E11751">
        <v>12.43</v>
      </c>
      <c r="F11751" s="1789">
        <v>8.8999999999999996E-2</v>
      </c>
      <c r="G11751">
        <f t="shared" si="369"/>
        <v>11.32</v>
      </c>
    </row>
    <row r="11752" spans="1:7" ht="12.75" customHeight="1">
      <c r="A11752" s="3">
        <v>99802</v>
      </c>
      <c r="B11752" s="4" t="s">
        <v>11783</v>
      </c>
      <c r="C11752" s="3" t="s">
        <v>409</v>
      </c>
      <c r="D11752" s="5">
        <f t="shared" si="368"/>
        <v>0.45</v>
      </c>
      <c r="E11752">
        <v>0.5</v>
      </c>
      <c r="F11752" s="1789">
        <v>8.8999999999999996E-2</v>
      </c>
      <c r="G11752">
        <f t="shared" si="369"/>
        <v>0.45</v>
      </c>
    </row>
    <row r="11753" spans="1:7" ht="12.75" customHeight="1">
      <c r="A11753" s="3">
        <v>99803</v>
      </c>
      <c r="B11753" s="4" t="s">
        <v>11784</v>
      </c>
      <c r="C11753" s="3" t="s">
        <v>409</v>
      </c>
      <c r="D11753" s="5">
        <f t="shared" si="368"/>
        <v>1.79</v>
      </c>
      <c r="E11753">
        <v>1.97</v>
      </c>
      <c r="F11753" s="1789">
        <v>8.8999999999999996E-2</v>
      </c>
      <c r="G11753">
        <f t="shared" si="369"/>
        <v>1.79</v>
      </c>
    </row>
    <row r="11754" spans="1:7" ht="12.75" customHeight="1">
      <c r="A11754" s="3">
        <v>99804</v>
      </c>
      <c r="B11754" s="4" t="s">
        <v>11785</v>
      </c>
      <c r="C11754" s="3" t="s">
        <v>409</v>
      </c>
      <c r="D11754" s="5">
        <f t="shared" si="368"/>
        <v>4.6399999999999997</v>
      </c>
      <c r="E11754">
        <v>5.0999999999999996</v>
      </c>
      <c r="F11754" s="1789">
        <v>8.8999999999999996E-2</v>
      </c>
      <c r="G11754">
        <f t="shared" si="369"/>
        <v>4.6399999999999997</v>
      </c>
    </row>
    <row r="11755" spans="1:7" ht="12.75" customHeight="1">
      <c r="A11755" s="3">
        <v>99805</v>
      </c>
      <c r="B11755" s="4" t="s">
        <v>11786</v>
      </c>
      <c r="C11755" s="3" t="s">
        <v>409</v>
      </c>
      <c r="D11755" s="5">
        <f t="shared" si="368"/>
        <v>9.7200000000000006</v>
      </c>
      <c r="E11755">
        <v>10.68</v>
      </c>
      <c r="F11755" s="1789">
        <v>8.8999999999999996E-2</v>
      </c>
      <c r="G11755">
        <f t="shared" si="369"/>
        <v>9.7200000000000006</v>
      </c>
    </row>
    <row r="11756" spans="1:7" ht="12.75" customHeight="1">
      <c r="A11756" s="3">
        <v>99806</v>
      </c>
      <c r="B11756" s="4" t="s">
        <v>11787</v>
      </c>
      <c r="C11756" s="3" t="s">
        <v>409</v>
      </c>
      <c r="D11756" s="5">
        <f t="shared" si="368"/>
        <v>0.73</v>
      </c>
      <c r="E11756">
        <v>0.81</v>
      </c>
      <c r="F11756" s="1789">
        <v>8.8999999999999996E-2</v>
      </c>
      <c r="G11756">
        <f t="shared" si="369"/>
        <v>0.73</v>
      </c>
    </row>
    <row r="11757" spans="1:7" ht="12.75" customHeight="1">
      <c r="A11757" s="3">
        <v>99807</v>
      </c>
      <c r="B11757" s="4" t="s">
        <v>11788</v>
      </c>
      <c r="C11757" s="3" t="s">
        <v>409</v>
      </c>
      <c r="D11757" s="5">
        <f t="shared" si="368"/>
        <v>1.41</v>
      </c>
      <c r="E11757">
        <v>1.55</v>
      </c>
      <c r="F11757" s="1789">
        <v>8.8999999999999996E-2</v>
      </c>
      <c r="G11757">
        <f t="shared" si="369"/>
        <v>1.41</v>
      </c>
    </row>
    <row r="11758" spans="1:7" ht="12.75" customHeight="1">
      <c r="A11758" s="3">
        <v>99808</v>
      </c>
      <c r="B11758" s="4" t="s">
        <v>11789</v>
      </c>
      <c r="C11758" s="3" t="s">
        <v>409</v>
      </c>
      <c r="D11758" s="5">
        <f t="shared" si="368"/>
        <v>3.43</v>
      </c>
      <c r="E11758">
        <v>3.77</v>
      </c>
      <c r="F11758" s="1789">
        <v>8.8999999999999996E-2</v>
      </c>
      <c r="G11758">
        <f t="shared" si="369"/>
        <v>3.43</v>
      </c>
    </row>
    <row r="11759" spans="1:7" ht="12.75" customHeight="1">
      <c r="A11759" s="3">
        <v>99809</v>
      </c>
      <c r="B11759" s="4" t="s">
        <v>11790</v>
      </c>
      <c r="C11759" s="3" t="s">
        <v>409</v>
      </c>
      <c r="D11759" s="5">
        <f t="shared" si="368"/>
        <v>5.0999999999999996</v>
      </c>
      <c r="E11759">
        <v>5.6</v>
      </c>
      <c r="F11759" s="1789">
        <v>8.8999999999999996E-2</v>
      </c>
      <c r="G11759">
        <f t="shared" si="369"/>
        <v>5.0999999999999996</v>
      </c>
    </row>
    <row r="11760" spans="1:7" ht="12.75" customHeight="1">
      <c r="A11760" s="3">
        <v>99810</v>
      </c>
      <c r="B11760" s="4" t="s">
        <v>11791</v>
      </c>
      <c r="C11760" s="3" t="s">
        <v>409</v>
      </c>
      <c r="D11760" s="5">
        <f t="shared" si="368"/>
        <v>6.34</v>
      </c>
      <c r="E11760">
        <v>6.97</v>
      </c>
      <c r="F11760" s="1789">
        <v>8.8999999999999996E-2</v>
      </c>
      <c r="G11760">
        <f t="shared" si="369"/>
        <v>6.34</v>
      </c>
    </row>
    <row r="11761" spans="1:7" ht="12.75" customHeight="1">
      <c r="A11761" s="3">
        <v>99811</v>
      </c>
      <c r="B11761" s="4" t="s">
        <v>11792</v>
      </c>
      <c r="C11761" s="3" t="s">
        <v>409</v>
      </c>
      <c r="D11761" s="5">
        <f t="shared" si="368"/>
        <v>3.05</v>
      </c>
      <c r="E11761">
        <v>3.35</v>
      </c>
      <c r="F11761" s="1789">
        <v>8.8999999999999996E-2</v>
      </c>
      <c r="G11761">
        <f t="shared" si="369"/>
        <v>3.05</v>
      </c>
    </row>
    <row r="11762" spans="1:7" ht="12.75" customHeight="1">
      <c r="A11762" s="3">
        <v>99812</v>
      </c>
      <c r="B11762" s="4" t="s">
        <v>11793</v>
      </c>
      <c r="C11762" s="3" t="s">
        <v>409</v>
      </c>
      <c r="D11762" s="5">
        <f t="shared" si="368"/>
        <v>0.97</v>
      </c>
      <c r="E11762">
        <v>1.07</v>
      </c>
      <c r="F11762" s="1789">
        <v>8.8999999999999996E-2</v>
      </c>
      <c r="G11762">
        <f t="shared" si="369"/>
        <v>0.97</v>
      </c>
    </row>
    <row r="11763" spans="1:7" ht="12.75" customHeight="1">
      <c r="A11763" s="3">
        <v>99813</v>
      </c>
      <c r="B11763" s="4" t="s">
        <v>11794</v>
      </c>
      <c r="C11763" s="3" t="s">
        <v>409</v>
      </c>
      <c r="D11763" s="5">
        <f t="shared" si="368"/>
        <v>0.83</v>
      </c>
      <c r="E11763">
        <v>0.92</v>
      </c>
      <c r="F11763" s="1789">
        <v>8.8999999999999996E-2</v>
      </c>
      <c r="G11763">
        <f t="shared" si="369"/>
        <v>0.83</v>
      </c>
    </row>
    <row r="11764" spans="1:7" ht="12.75" customHeight="1">
      <c r="A11764" s="3">
        <v>99814</v>
      </c>
      <c r="B11764" s="4" t="s">
        <v>11795</v>
      </c>
      <c r="C11764" s="3" t="s">
        <v>409</v>
      </c>
      <c r="D11764" s="5">
        <f t="shared" si="368"/>
        <v>1.66</v>
      </c>
      <c r="E11764">
        <v>1.83</v>
      </c>
      <c r="F11764" s="1789">
        <v>8.8999999999999996E-2</v>
      </c>
      <c r="G11764">
        <f t="shared" si="369"/>
        <v>1.66</v>
      </c>
    </row>
    <row r="11765" spans="1:7" ht="12.75" customHeight="1">
      <c r="A11765" s="3">
        <v>99815</v>
      </c>
      <c r="B11765" s="4" t="s">
        <v>11796</v>
      </c>
      <c r="C11765" s="3" t="s">
        <v>6</v>
      </c>
      <c r="D11765" s="5">
        <f t="shared" si="368"/>
        <v>7.63</v>
      </c>
      <c r="E11765">
        <v>8.3800000000000008</v>
      </c>
      <c r="F11765" s="1789">
        <v>8.8999999999999996E-2</v>
      </c>
      <c r="G11765">
        <f t="shared" si="369"/>
        <v>7.63</v>
      </c>
    </row>
    <row r="11766" spans="1:7" ht="12.75" customHeight="1">
      <c r="A11766" s="3">
        <v>99816</v>
      </c>
      <c r="B11766" s="4" t="s">
        <v>11797</v>
      </c>
      <c r="C11766" s="3" t="s">
        <v>6</v>
      </c>
      <c r="D11766" s="5">
        <f t="shared" si="368"/>
        <v>8.09</v>
      </c>
      <c r="E11766">
        <v>8.89</v>
      </c>
      <c r="F11766" s="1789">
        <v>8.8999999999999996E-2</v>
      </c>
      <c r="G11766">
        <f t="shared" si="369"/>
        <v>8.09</v>
      </c>
    </row>
    <row r="11767" spans="1:7" ht="12.75" customHeight="1">
      <c r="A11767" s="3">
        <v>99817</v>
      </c>
      <c r="B11767" s="4" t="s">
        <v>11798</v>
      </c>
      <c r="C11767" s="3" t="s">
        <v>6</v>
      </c>
      <c r="D11767" s="5">
        <f t="shared" si="368"/>
        <v>4.87</v>
      </c>
      <c r="E11767">
        <v>5.35</v>
      </c>
      <c r="F11767" s="1789">
        <v>8.8999999999999996E-2</v>
      </c>
      <c r="G11767">
        <f t="shared" si="369"/>
        <v>4.87</v>
      </c>
    </row>
    <row r="11768" spans="1:7" ht="12.75" customHeight="1">
      <c r="A11768" s="3">
        <v>99818</v>
      </c>
      <c r="B11768" s="4" t="s">
        <v>11799</v>
      </c>
      <c r="C11768" s="3" t="s">
        <v>6</v>
      </c>
      <c r="D11768" s="5">
        <f t="shared" si="368"/>
        <v>4.87</v>
      </c>
      <c r="E11768">
        <v>5.35</v>
      </c>
      <c r="F11768" s="1789">
        <v>8.8999999999999996E-2</v>
      </c>
      <c r="G11768">
        <f t="shared" si="369"/>
        <v>4.87</v>
      </c>
    </row>
    <row r="11769" spans="1:7" ht="12.75" customHeight="1">
      <c r="A11769" s="3">
        <v>99819</v>
      </c>
      <c r="B11769" s="4" t="s">
        <v>11800</v>
      </c>
      <c r="C11769" s="3" t="s">
        <v>409</v>
      </c>
      <c r="D11769" s="5">
        <f t="shared" si="368"/>
        <v>14.54</v>
      </c>
      <c r="E11769">
        <v>15.97</v>
      </c>
      <c r="F11769" s="1789">
        <v>8.8999999999999996E-2</v>
      </c>
      <c r="G11769">
        <f t="shared" si="369"/>
        <v>14.54</v>
      </c>
    </row>
    <row r="11770" spans="1:7" ht="12.75" customHeight="1">
      <c r="A11770" s="3">
        <v>99820</v>
      </c>
      <c r="B11770" s="4" t="s">
        <v>11801</v>
      </c>
      <c r="C11770" s="3" t="s">
        <v>409</v>
      </c>
      <c r="D11770" s="5">
        <f t="shared" si="368"/>
        <v>1.72</v>
      </c>
      <c r="E11770">
        <v>1.89</v>
      </c>
      <c r="F11770" s="1789">
        <v>8.8999999999999996E-2</v>
      </c>
      <c r="G11770">
        <f t="shared" si="369"/>
        <v>1.72</v>
      </c>
    </row>
    <row r="11771" spans="1:7" ht="12.75" customHeight="1">
      <c r="A11771" s="3">
        <v>99821</v>
      </c>
      <c r="B11771" s="4" t="s">
        <v>11802</v>
      </c>
      <c r="C11771" s="3" t="s">
        <v>409</v>
      </c>
      <c r="D11771" s="5">
        <f t="shared" si="368"/>
        <v>2.66</v>
      </c>
      <c r="E11771">
        <v>2.93</v>
      </c>
      <c r="F11771" s="1789">
        <v>8.8999999999999996E-2</v>
      </c>
      <c r="G11771">
        <f t="shared" si="369"/>
        <v>2.66</v>
      </c>
    </row>
    <row r="11772" spans="1:7" ht="12.75" customHeight="1">
      <c r="A11772" s="3">
        <v>99822</v>
      </c>
      <c r="B11772" s="4" t="s">
        <v>11803</v>
      </c>
      <c r="C11772" s="3" t="s">
        <v>409</v>
      </c>
      <c r="D11772" s="5">
        <f t="shared" si="368"/>
        <v>0.86</v>
      </c>
      <c r="E11772">
        <v>0.95</v>
      </c>
      <c r="F11772" s="1789">
        <v>8.8999999999999996E-2</v>
      </c>
      <c r="G11772">
        <f t="shared" si="369"/>
        <v>0.86</v>
      </c>
    </row>
    <row r="11773" spans="1:7" ht="12.75" customHeight="1">
      <c r="A11773" s="3">
        <v>99823</v>
      </c>
      <c r="B11773" s="4" t="s">
        <v>11804</v>
      </c>
      <c r="C11773" s="3" t="s">
        <v>409</v>
      </c>
      <c r="D11773" s="5">
        <f t="shared" si="368"/>
        <v>2.0099999999999998</v>
      </c>
      <c r="E11773">
        <v>2.21</v>
      </c>
      <c r="F11773" s="1789">
        <v>8.8999999999999996E-2</v>
      </c>
      <c r="G11773">
        <f t="shared" si="369"/>
        <v>2.0099999999999998</v>
      </c>
    </row>
    <row r="11774" spans="1:7" ht="12.75" customHeight="1">
      <c r="A11774" s="3">
        <v>99824</v>
      </c>
      <c r="B11774" s="4" t="s">
        <v>11805</v>
      </c>
      <c r="C11774" s="3" t="s">
        <v>409</v>
      </c>
      <c r="D11774" s="5">
        <f t="shared" si="368"/>
        <v>2.19</v>
      </c>
      <c r="E11774">
        <v>2.41</v>
      </c>
      <c r="F11774" s="1789">
        <v>8.8999999999999996E-2</v>
      </c>
      <c r="G11774">
        <f t="shared" si="369"/>
        <v>2.19</v>
      </c>
    </row>
    <row r="11775" spans="1:7" ht="12.75" customHeight="1">
      <c r="A11775" s="3">
        <v>99825</v>
      </c>
      <c r="B11775" s="4" t="s">
        <v>11806</v>
      </c>
      <c r="C11775" s="3" t="s">
        <v>409</v>
      </c>
      <c r="D11775" s="5">
        <f t="shared" si="368"/>
        <v>3.11</v>
      </c>
      <c r="E11775">
        <v>3.42</v>
      </c>
      <c r="F11775" s="1789">
        <v>8.8999999999999996E-2</v>
      </c>
      <c r="G11775">
        <f t="shared" si="369"/>
        <v>3.11</v>
      </c>
    </row>
    <row r="11776" spans="1:7" ht="12.75" customHeight="1">
      <c r="A11776" s="3">
        <v>99826</v>
      </c>
      <c r="B11776" s="4" t="s">
        <v>11807</v>
      </c>
      <c r="C11776" s="3" t="s">
        <v>409</v>
      </c>
      <c r="D11776" s="5">
        <f t="shared" si="368"/>
        <v>1.33</v>
      </c>
      <c r="E11776">
        <v>1.46</v>
      </c>
      <c r="F11776" s="1789">
        <v>8.8999999999999996E-2</v>
      </c>
      <c r="G11776">
        <f t="shared" si="369"/>
        <v>1.33</v>
      </c>
    </row>
    <row r="11777" spans="1:7" ht="12.75" customHeight="1">
      <c r="A11777" s="3">
        <v>97013</v>
      </c>
      <c r="B11777" s="4" t="s">
        <v>11808</v>
      </c>
      <c r="C11777" s="3" t="s">
        <v>50</v>
      </c>
      <c r="D11777" s="5">
        <f t="shared" si="368"/>
        <v>82.13</v>
      </c>
      <c r="E11777">
        <v>90.16</v>
      </c>
      <c r="F11777" s="1789">
        <v>8.8999999999999996E-2</v>
      </c>
      <c r="G11777">
        <f t="shared" si="369"/>
        <v>82.13</v>
      </c>
    </row>
    <row r="11778" spans="1:7" ht="12.75" customHeight="1">
      <c r="A11778" s="3">
        <v>97014</v>
      </c>
      <c r="B11778" s="4" t="s">
        <v>11809</v>
      </c>
      <c r="C11778" s="3" t="s">
        <v>50</v>
      </c>
      <c r="D11778" s="5">
        <f t="shared" si="368"/>
        <v>60.16</v>
      </c>
      <c r="E11778">
        <v>66.040000000000006</v>
      </c>
      <c r="F11778" s="1789">
        <v>8.8999999999999996E-2</v>
      </c>
      <c r="G11778">
        <f t="shared" si="369"/>
        <v>60.16</v>
      </c>
    </row>
    <row r="11779" spans="1:7" ht="12.75" customHeight="1">
      <c r="A11779" s="3">
        <v>97015</v>
      </c>
      <c r="B11779" s="4" t="s">
        <v>11810</v>
      </c>
      <c r="C11779" s="3" t="s">
        <v>50</v>
      </c>
      <c r="D11779" s="5">
        <f t="shared" si="368"/>
        <v>49.18</v>
      </c>
      <c r="E11779">
        <v>53.99</v>
      </c>
      <c r="F11779" s="1789">
        <v>8.8999999999999996E-2</v>
      </c>
      <c r="G11779">
        <f t="shared" si="369"/>
        <v>49.18</v>
      </c>
    </row>
    <row r="11780" spans="1:7" ht="12.75" customHeight="1">
      <c r="A11780" s="3">
        <v>97016</v>
      </c>
      <c r="B11780" s="4" t="s">
        <v>11811</v>
      </c>
      <c r="C11780" s="3" t="s">
        <v>50</v>
      </c>
      <c r="D11780" s="5">
        <f t="shared" si="368"/>
        <v>50.45</v>
      </c>
      <c r="E11780">
        <v>55.38</v>
      </c>
      <c r="F11780" s="1789">
        <v>8.8999999999999996E-2</v>
      </c>
      <c r="G11780">
        <f t="shared" si="369"/>
        <v>50.45</v>
      </c>
    </row>
    <row r="11781" spans="1:7" ht="12.75" customHeight="1">
      <c r="A11781" s="3">
        <v>97017</v>
      </c>
      <c r="B11781" s="4" t="s">
        <v>11812</v>
      </c>
      <c r="C11781" s="3" t="s">
        <v>50</v>
      </c>
      <c r="D11781" s="5">
        <f t="shared" si="368"/>
        <v>37.71</v>
      </c>
      <c r="E11781">
        <v>41.4</v>
      </c>
      <c r="F11781" s="1789">
        <v>8.8999999999999996E-2</v>
      </c>
      <c r="G11781">
        <f t="shared" si="369"/>
        <v>37.71</v>
      </c>
    </row>
    <row r="11782" spans="1:7" ht="12.75" customHeight="1">
      <c r="A11782" s="3">
        <v>97018</v>
      </c>
      <c r="B11782" s="4" t="s">
        <v>11813</v>
      </c>
      <c r="C11782" s="3" t="s">
        <v>50</v>
      </c>
      <c r="D11782" s="5">
        <f t="shared" si="368"/>
        <v>31.39</v>
      </c>
      <c r="E11782">
        <v>34.46</v>
      </c>
      <c r="F11782" s="1789">
        <v>8.8999999999999996E-2</v>
      </c>
      <c r="G11782">
        <f t="shared" si="369"/>
        <v>31.39</v>
      </c>
    </row>
    <row r="11783" spans="1:7" ht="12.75" customHeight="1">
      <c r="A11783" s="3">
        <v>97031</v>
      </c>
      <c r="B11783" s="4" t="s">
        <v>11814</v>
      </c>
      <c r="C11783" s="3" t="s">
        <v>50</v>
      </c>
      <c r="D11783" s="5">
        <f t="shared" si="368"/>
        <v>84.69</v>
      </c>
      <c r="E11783">
        <v>92.97</v>
      </c>
      <c r="F11783" s="1789">
        <v>8.8999999999999996E-2</v>
      </c>
      <c r="G11783">
        <f t="shared" si="369"/>
        <v>84.69</v>
      </c>
    </row>
    <row r="11784" spans="1:7" ht="12.75" customHeight="1">
      <c r="A11784" s="3">
        <v>97032</v>
      </c>
      <c r="B11784" s="4" t="s">
        <v>11815</v>
      </c>
      <c r="C11784" s="3" t="s">
        <v>50</v>
      </c>
      <c r="D11784" s="5">
        <f t="shared" si="368"/>
        <v>51.07</v>
      </c>
      <c r="E11784">
        <v>56.06</v>
      </c>
      <c r="F11784" s="1789">
        <v>8.8999999999999996E-2</v>
      </c>
      <c r="G11784">
        <f t="shared" si="369"/>
        <v>51.07</v>
      </c>
    </row>
    <row r="11785" spans="1:7" ht="12.75" customHeight="1">
      <c r="A11785" s="3">
        <v>97033</v>
      </c>
      <c r="B11785" s="4" t="s">
        <v>11816</v>
      </c>
      <c r="C11785" s="3" t="s">
        <v>50</v>
      </c>
      <c r="D11785" s="5">
        <f t="shared" si="368"/>
        <v>73.53</v>
      </c>
      <c r="E11785">
        <v>80.72</v>
      </c>
      <c r="F11785" s="1789">
        <v>8.8999999999999996E-2</v>
      </c>
      <c r="G11785">
        <f t="shared" si="369"/>
        <v>73.53</v>
      </c>
    </row>
    <row r="11786" spans="1:7" ht="12.75" customHeight="1">
      <c r="A11786" s="3">
        <v>97034</v>
      </c>
      <c r="B11786" s="4" t="s">
        <v>11817</v>
      </c>
      <c r="C11786" s="3" t="s">
        <v>50</v>
      </c>
      <c r="D11786" s="5">
        <f t="shared" si="368"/>
        <v>47.57</v>
      </c>
      <c r="E11786">
        <v>52.22</v>
      </c>
      <c r="F11786" s="1789">
        <v>8.8999999999999996E-2</v>
      </c>
      <c r="G11786">
        <f t="shared" si="369"/>
        <v>47.57</v>
      </c>
    </row>
    <row r="11787" spans="1:7" ht="12.75" customHeight="1">
      <c r="A11787" s="3">
        <v>97039</v>
      </c>
      <c r="B11787" s="4" t="s">
        <v>11818</v>
      </c>
      <c r="C11787" s="3" t="s">
        <v>409</v>
      </c>
      <c r="D11787" s="5">
        <f t="shared" si="368"/>
        <v>92.38</v>
      </c>
      <c r="E11787">
        <v>101.41</v>
      </c>
      <c r="F11787" s="1789">
        <v>8.8999999999999996E-2</v>
      </c>
      <c r="G11787">
        <f t="shared" si="369"/>
        <v>92.38</v>
      </c>
    </row>
    <row r="11788" spans="1:7" ht="12.75" customHeight="1">
      <c r="A11788" s="3">
        <v>97040</v>
      </c>
      <c r="B11788" s="4" t="s">
        <v>11819</v>
      </c>
      <c r="C11788" s="3" t="s">
        <v>409</v>
      </c>
      <c r="D11788" s="5">
        <f t="shared" si="368"/>
        <v>16.989999999999998</v>
      </c>
      <c r="E11788">
        <v>18.649999999999999</v>
      </c>
      <c r="F11788" s="1789">
        <v>8.8999999999999996E-2</v>
      </c>
      <c r="G11788">
        <f t="shared" si="369"/>
        <v>16.989999999999998</v>
      </c>
    </row>
    <row r="11789" spans="1:7" ht="12.75" customHeight="1">
      <c r="A11789" s="3">
        <v>97041</v>
      </c>
      <c r="B11789" s="4" t="s">
        <v>11820</v>
      </c>
      <c r="C11789" s="3" t="s">
        <v>409</v>
      </c>
      <c r="D11789" s="5">
        <f t="shared" si="368"/>
        <v>168.07</v>
      </c>
      <c r="E11789">
        <v>184.49</v>
      </c>
      <c r="F11789" s="1789">
        <v>8.8999999999999996E-2</v>
      </c>
      <c r="G11789">
        <f t="shared" si="369"/>
        <v>168.07</v>
      </c>
    </row>
    <row r="11790" spans="1:7" ht="12.75" customHeight="1">
      <c r="A11790" s="3">
        <v>97046</v>
      </c>
      <c r="B11790" s="4" t="s">
        <v>11821</v>
      </c>
      <c r="C11790" s="3" t="s">
        <v>409</v>
      </c>
      <c r="D11790" s="5">
        <f t="shared" si="368"/>
        <v>0.28999999999999998</v>
      </c>
      <c r="E11790">
        <v>0.32</v>
      </c>
      <c r="F11790" s="1789">
        <v>8.8999999999999996E-2</v>
      </c>
      <c r="G11790">
        <f t="shared" si="369"/>
        <v>0.28999999999999998</v>
      </c>
    </row>
    <row r="11791" spans="1:7" ht="12.75" customHeight="1">
      <c r="A11791" s="3">
        <v>97047</v>
      </c>
      <c r="B11791" s="4" t="s">
        <v>11822</v>
      </c>
      <c r="C11791" s="3" t="s">
        <v>409</v>
      </c>
      <c r="D11791" s="5">
        <f t="shared" si="368"/>
        <v>0.11</v>
      </c>
      <c r="E11791">
        <v>0.13</v>
      </c>
      <c r="F11791" s="1789">
        <v>8.8999999999999996E-2</v>
      </c>
      <c r="G11791">
        <f t="shared" si="369"/>
        <v>0.11</v>
      </c>
    </row>
    <row r="11792" spans="1:7" ht="12.75" customHeight="1">
      <c r="A11792" s="3">
        <v>97048</v>
      </c>
      <c r="B11792" s="4" t="s">
        <v>11823</v>
      </c>
      <c r="C11792" s="3" t="s">
        <v>409</v>
      </c>
      <c r="D11792" s="5">
        <f t="shared" si="368"/>
        <v>0.08</v>
      </c>
      <c r="E11792">
        <v>0.09</v>
      </c>
      <c r="F11792" s="1789">
        <v>8.8999999999999996E-2</v>
      </c>
      <c r="G11792">
        <f t="shared" si="369"/>
        <v>0.08</v>
      </c>
    </row>
    <row r="11793" spans="1:7" ht="12.75" customHeight="1">
      <c r="A11793" s="3">
        <v>97054</v>
      </c>
      <c r="B11793" s="4" t="s">
        <v>11824</v>
      </c>
      <c r="C11793" s="3" t="s">
        <v>6</v>
      </c>
      <c r="D11793" s="5">
        <f t="shared" si="368"/>
        <v>26.63</v>
      </c>
      <c r="E11793">
        <v>29.24</v>
      </c>
      <c r="F11793" s="1789">
        <v>8.8999999999999996E-2</v>
      </c>
      <c r="G11793">
        <f t="shared" si="369"/>
        <v>26.63</v>
      </c>
    </row>
    <row r="11794" spans="1:7" ht="12.75" customHeight="1">
      <c r="A11794" s="3">
        <v>97062</v>
      </c>
      <c r="B11794" s="4" t="s">
        <v>11825</v>
      </c>
      <c r="C11794" s="3" t="s">
        <v>409</v>
      </c>
      <c r="D11794" s="5">
        <f t="shared" si="368"/>
        <v>6.2</v>
      </c>
      <c r="E11794">
        <v>6.81</v>
      </c>
      <c r="F11794" s="1789">
        <v>8.8999999999999996E-2</v>
      </c>
      <c r="G11794">
        <f t="shared" si="369"/>
        <v>6.2</v>
      </c>
    </row>
    <row r="11795" spans="1:7" ht="12.75" customHeight="1">
      <c r="A11795" s="3">
        <v>97063</v>
      </c>
      <c r="B11795" s="4" t="s">
        <v>11826</v>
      </c>
      <c r="C11795" s="3" t="s">
        <v>409</v>
      </c>
      <c r="D11795" s="5">
        <f t="shared" si="368"/>
        <v>15.17</v>
      </c>
      <c r="E11795">
        <v>16.66</v>
      </c>
      <c r="F11795" s="1789">
        <v>8.8999999999999996E-2</v>
      </c>
      <c r="G11795">
        <f t="shared" si="369"/>
        <v>15.17</v>
      </c>
    </row>
    <row r="11796" spans="1:7" ht="12.75" customHeight="1">
      <c r="A11796" s="3">
        <v>97064</v>
      </c>
      <c r="B11796" s="4" t="s">
        <v>11827</v>
      </c>
      <c r="C11796" s="3" t="s">
        <v>50</v>
      </c>
      <c r="D11796" s="5">
        <f t="shared" si="368"/>
        <v>21.26</v>
      </c>
      <c r="E11796">
        <v>23.34</v>
      </c>
      <c r="F11796" s="1789">
        <v>8.8999999999999996E-2</v>
      </c>
      <c r="G11796">
        <f t="shared" si="369"/>
        <v>21.26</v>
      </c>
    </row>
    <row r="11797" spans="1:7" ht="12.75" customHeight="1">
      <c r="A11797" s="3">
        <v>97065</v>
      </c>
      <c r="B11797" s="4" t="s">
        <v>11828</v>
      </c>
      <c r="C11797" s="3" t="s">
        <v>152</v>
      </c>
      <c r="D11797" s="5">
        <f t="shared" ref="D11797:D11860" si="370">G11797</f>
        <v>10.199999999999999</v>
      </c>
      <c r="E11797">
        <v>11.2</v>
      </c>
      <c r="F11797" s="1789">
        <v>8.8999999999999996E-2</v>
      </c>
      <c r="G11797">
        <f t="shared" ref="G11797:G11860" si="371">TRUNC((1-F11797)*E11797,2)</f>
        <v>10.199999999999999</v>
      </c>
    </row>
    <row r="11798" spans="1:7" ht="12.75" customHeight="1">
      <c r="A11798" s="3">
        <v>97066</v>
      </c>
      <c r="B11798" s="4" t="s">
        <v>11829</v>
      </c>
      <c r="C11798" s="3" t="s">
        <v>409</v>
      </c>
      <c r="D11798" s="5">
        <f t="shared" si="370"/>
        <v>332.87</v>
      </c>
      <c r="E11798">
        <v>365.4</v>
      </c>
      <c r="F11798" s="1789">
        <v>8.8999999999999996E-2</v>
      </c>
      <c r="G11798">
        <f t="shared" si="371"/>
        <v>332.87</v>
      </c>
    </row>
    <row r="11799" spans="1:7" ht="12.75" customHeight="1">
      <c r="A11799" s="3">
        <v>97067</v>
      </c>
      <c r="B11799" s="4" t="s">
        <v>11830</v>
      </c>
      <c r="C11799" s="3" t="s">
        <v>50</v>
      </c>
      <c r="D11799" s="5">
        <f t="shared" si="370"/>
        <v>518.95000000000005</v>
      </c>
      <c r="E11799">
        <v>569.65</v>
      </c>
      <c r="F11799" s="1789">
        <v>8.8999999999999996E-2</v>
      </c>
      <c r="G11799">
        <f t="shared" si="371"/>
        <v>518.95000000000005</v>
      </c>
    </row>
    <row r="11800" spans="1:7" ht="12.75" customHeight="1">
      <c r="A11800" s="3">
        <v>104989</v>
      </c>
      <c r="B11800" s="4" t="s">
        <v>11831</v>
      </c>
      <c r="C11800" s="3" t="s">
        <v>6</v>
      </c>
      <c r="D11800" s="5">
        <f t="shared" si="370"/>
        <v>33.64</v>
      </c>
      <c r="E11800">
        <v>36.93</v>
      </c>
      <c r="F11800" s="1789">
        <v>8.8999999999999996E-2</v>
      </c>
      <c r="G11800">
        <f t="shared" si="371"/>
        <v>33.64</v>
      </c>
    </row>
    <row r="11801" spans="1:7" ht="12.75" customHeight="1">
      <c r="A11801" s="3">
        <v>104990</v>
      </c>
      <c r="B11801" s="4" t="s">
        <v>11832</v>
      </c>
      <c r="C11801" s="3" t="s">
        <v>50</v>
      </c>
      <c r="D11801" s="5">
        <f t="shared" si="370"/>
        <v>9.69</v>
      </c>
      <c r="E11801">
        <v>10.64</v>
      </c>
      <c r="F11801" s="1789">
        <v>8.8999999999999996E-2</v>
      </c>
      <c r="G11801">
        <f t="shared" si="371"/>
        <v>9.69</v>
      </c>
    </row>
    <row r="11802" spans="1:7" ht="12.75" customHeight="1">
      <c r="A11802" s="3">
        <v>105103</v>
      </c>
      <c r="B11802" s="4" t="s">
        <v>11833</v>
      </c>
      <c r="C11802" s="3" t="s">
        <v>50</v>
      </c>
      <c r="D11802" s="5">
        <f t="shared" si="370"/>
        <v>59.93</v>
      </c>
      <c r="E11802">
        <v>65.790000000000006</v>
      </c>
      <c r="F11802" s="1789">
        <v>8.8999999999999996E-2</v>
      </c>
      <c r="G11802">
        <f t="shared" si="371"/>
        <v>59.93</v>
      </c>
    </row>
    <row r="11803" spans="1:7" ht="12.75" customHeight="1">
      <c r="A11803" s="3">
        <v>105104</v>
      </c>
      <c r="B11803" s="4" t="s">
        <v>11834</v>
      </c>
      <c r="C11803" s="3" t="s">
        <v>6</v>
      </c>
      <c r="D11803" s="5">
        <f t="shared" si="370"/>
        <v>3660.24</v>
      </c>
      <c r="E11803">
        <v>4017.83</v>
      </c>
      <c r="F11803" s="1789">
        <v>8.8999999999999996E-2</v>
      </c>
      <c r="G11803">
        <f t="shared" si="371"/>
        <v>3660.24</v>
      </c>
    </row>
    <row r="11804" spans="1:7" ht="12.75" customHeight="1">
      <c r="A11804" s="3">
        <v>105105</v>
      </c>
      <c r="B11804" s="4" t="s">
        <v>11835</v>
      </c>
      <c r="C11804" s="3" t="s">
        <v>50</v>
      </c>
      <c r="D11804" s="5">
        <f t="shared" si="370"/>
        <v>42.08</v>
      </c>
      <c r="E11804">
        <v>46.2</v>
      </c>
      <c r="F11804" s="1789">
        <v>8.8999999999999996E-2</v>
      </c>
      <c r="G11804">
        <f t="shared" si="371"/>
        <v>42.08</v>
      </c>
    </row>
    <row r="11805" spans="1:7" ht="12.75" customHeight="1">
      <c r="A11805" s="3">
        <v>105106</v>
      </c>
      <c r="B11805" s="4" t="s">
        <v>11836</v>
      </c>
      <c r="C11805" s="3" t="s">
        <v>6</v>
      </c>
      <c r="D11805" s="5">
        <f t="shared" si="370"/>
        <v>1364.34</v>
      </c>
      <c r="E11805">
        <v>1497.63</v>
      </c>
      <c r="F11805" s="1789">
        <v>8.8999999999999996E-2</v>
      </c>
      <c r="G11805">
        <f t="shared" si="371"/>
        <v>1364.34</v>
      </c>
    </row>
    <row r="11806" spans="1:7" ht="12.75" customHeight="1">
      <c r="A11806" s="3">
        <v>105107</v>
      </c>
      <c r="B11806" s="4" t="s">
        <v>11837</v>
      </c>
      <c r="C11806" s="3" t="s">
        <v>6</v>
      </c>
      <c r="D11806" s="5">
        <f t="shared" si="370"/>
        <v>2014.57</v>
      </c>
      <c r="E11806">
        <v>2211.39</v>
      </c>
      <c r="F11806" s="1789">
        <v>8.8999999999999996E-2</v>
      </c>
      <c r="G11806">
        <f t="shared" si="371"/>
        <v>2014.57</v>
      </c>
    </row>
    <row r="11807" spans="1:7" ht="12.75" customHeight="1">
      <c r="A11807" s="3">
        <v>105110</v>
      </c>
      <c r="B11807" s="4" t="s">
        <v>11838</v>
      </c>
      <c r="C11807" s="3" t="s">
        <v>50</v>
      </c>
      <c r="D11807" s="5">
        <f t="shared" si="370"/>
        <v>132.94999999999999</v>
      </c>
      <c r="E11807">
        <v>145.94</v>
      </c>
      <c r="F11807" s="1789">
        <v>8.8999999999999996E-2</v>
      </c>
      <c r="G11807">
        <f t="shared" si="371"/>
        <v>132.94999999999999</v>
      </c>
    </row>
    <row r="11808" spans="1:7" ht="12.75" customHeight="1">
      <c r="A11808" s="3">
        <v>105111</v>
      </c>
      <c r="B11808" s="4" t="s">
        <v>11839</v>
      </c>
      <c r="C11808" s="3" t="s">
        <v>6</v>
      </c>
      <c r="D11808" s="5">
        <f t="shared" si="370"/>
        <v>14608.21</v>
      </c>
      <c r="E11808">
        <v>16035.36</v>
      </c>
      <c r="F11808" s="1789">
        <v>8.8999999999999996E-2</v>
      </c>
      <c r="G11808">
        <f t="shared" si="371"/>
        <v>14608.21</v>
      </c>
    </row>
    <row r="11809" spans="1:7" ht="12.75" customHeight="1">
      <c r="A11809" s="3">
        <v>105112</v>
      </c>
      <c r="B11809" s="4" t="s">
        <v>11840</v>
      </c>
      <c r="C11809" s="3" t="s">
        <v>50</v>
      </c>
      <c r="D11809" s="5">
        <f t="shared" si="370"/>
        <v>111</v>
      </c>
      <c r="E11809">
        <v>121.85</v>
      </c>
      <c r="F11809" s="1789">
        <v>8.8999999999999996E-2</v>
      </c>
      <c r="G11809">
        <f t="shared" si="371"/>
        <v>111</v>
      </c>
    </row>
    <row r="11810" spans="1:7" ht="12.75" customHeight="1">
      <c r="A11810" s="3">
        <v>97621</v>
      </c>
      <c r="B11810" s="4" t="s">
        <v>11841</v>
      </c>
      <c r="C11810" s="3" t="s">
        <v>152</v>
      </c>
      <c r="D11810" s="5">
        <f t="shared" si="370"/>
        <v>100.33</v>
      </c>
      <c r="E11810">
        <v>110.14</v>
      </c>
      <c r="F11810" s="1789">
        <v>8.8999999999999996E-2</v>
      </c>
      <c r="G11810">
        <f t="shared" si="371"/>
        <v>100.33</v>
      </c>
    </row>
    <row r="11811" spans="1:7" ht="12.75" customHeight="1">
      <c r="A11811" s="3">
        <v>97622</v>
      </c>
      <c r="B11811" s="4" t="s">
        <v>11842</v>
      </c>
      <c r="C11811" s="3" t="s">
        <v>152</v>
      </c>
      <c r="D11811" s="5">
        <f t="shared" si="370"/>
        <v>48.9</v>
      </c>
      <c r="E11811">
        <v>53.68</v>
      </c>
      <c r="F11811" s="1789">
        <v>8.8999999999999996E-2</v>
      </c>
      <c r="G11811">
        <f t="shared" si="371"/>
        <v>48.9</v>
      </c>
    </row>
    <row r="11812" spans="1:7" ht="12.75" customHeight="1">
      <c r="A11812" s="3">
        <v>97623</v>
      </c>
      <c r="B11812" s="4" t="s">
        <v>11843</v>
      </c>
      <c r="C11812" s="3" t="s">
        <v>152</v>
      </c>
      <c r="D11812" s="5">
        <f t="shared" si="370"/>
        <v>149.81</v>
      </c>
      <c r="E11812">
        <v>164.45</v>
      </c>
      <c r="F11812" s="1789">
        <v>8.8999999999999996E-2</v>
      </c>
      <c r="G11812">
        <f t="shared" si="371"/>
        <v>149.81</v>
      </c>
    </row>
    <row r="11813" spans="1:7" ht="12.75" customHeight="1">
      <c r="A11813" s="3">
        <v>97624</v>
      </c>
      <c r="B11813" s="4" t="s">
        <v>11844</v>
      </c>
      <c r="C11813" s="3" t="s">
        <v>152</v>
      </c>
      <c r="D11813" s="5">
        <f t="shared" si="370"/>
        <v>91.93</v>
      </c>
      <c r="E11813">
        <v>100.92</v>
      </c>
      <c r="F11813" s="1789">
        <v>8.8999999999999996E-2</v>
      </c>
      <c r="G11813">
        <f t="shared" si="371"/>
        <v>91.93</v>
      </c>
    </row>
    <row r="11814" spans="1:7" ht="12.75" customHeight="1">
      <c r="A11814" s="3">
        <v>97625</v>
      </c>
      <c r="B11814" s="4" t="s">
        <v>11845</v>
      </c>
      <c r="C11814" s="3" t="s">
        <v>152</v>
      </c>
      <c r="D11814" s="5">
        <f t="shared" si="370"/>
        <v>45.79</v>
      </c>
      <c r="E11814">
        <v>50.27</v>
      </c>
      <c r="F11814" s="1789">
        <v>8.8999999999999996E-2</v>
      </c>
      <c r="G11814">
        <f t="shared" si="371"/>
        <v>45.79</v>
      </c>
    </row>
    <row r="11815" spans="1:7" ht="12.75" customHeight="1">
      <c r="A11815" s="3">
        <v>97626</v>
      </c>
      <c r="B11815" s="4" t="s">
        <v>11846</v>
      </c>
      <c r="C11815" s="3" t="s">
        <v>152</v>
      </c>
      <c r="D11815" s="5">
        <f t="shared" si="370"/>
        <v>491.48</v>
      </c>
      <c r="E11815">
        <v>539.5</v>
      </c>
      <c r="F11815" s="1789">
        <v>8.8999999999999996E-2</v>
      </c>
      <c r="G11815">
        <f t="shared" si="371"/>
        <v>491.48</v>
      </c>
    </row>
    <row r="11816" spans="1:7" ht="12.75" customHeight="1">
      <c r="A11816" s="3">
        <v>97627</v>
      </c>
      <c r="B11816" s="4" t="s">
        <v>11847</v>
      </c>
      <c r="C11816" s="3" t="s">
        <v>152</v>
      </c>
      <c r="D11816" s="5">
        <f t="shared" si="370"/>
        <v>141.26</v>
      </c>
      <c r="E11816">
        <v>155.07</v>
      </c>
      <c r="F11816" s="1789">
        <v>8.8999999999999996E-2</v>
      </c>
      <c r="G11816">
        <f t="shared" si="371"/>
        <v>141.26</v>
      </c>
    </row>
    <row r="11817" spans="1:7" ht="12.75" customHeight="1">
      <c r="A11817" s="3">
        <v>97628</v>
      </c>
      <c r="B11817" s="4" t="s">
        <v>11848</v>
      </c>
      <c r="C11817" s="3" t="s">
        <v>152</v>
      </c>
      <c r="D11817" s="5">
        <f t="shared" si="370"/>
        <v>228.89</v>
      </c>
      <c r="E11817">
        <v>251.26</v>
      </c>
      <c r="F11817" s="1789">
        <v>8.8999999999999996E-2</v>
      </c>
      <c r="G11817">
        <f t="shared" si="371"/>
        <v>228.89</v>
      </c>
    </row>
    <row r="11818" spans="1:7" ht="12.75" customHeight="1">
      <c r="A11818" s="3">
        <v>97629</v>
      </c>
      <c r="B11818" s="4" t="s">
        <v>11849</v>
      </c>
      <c r="C11818" s="3" t="s">
        <v>152</v>
      </c>
      <c r="D11818" s="5">
        <f t="shared" si="370"/>
        <v>65.78</v>
      </c>
      <c r="E11818">
        <v>72.209999999999994</v>
      </c>
      <c r="F11818" s="1789">
        <v>8.8999999999999996E-2</v>
      </c>
      <c r="G11818">
        <f t="shared" si="371"/>
        <v>65.78</v>
      </c>
    </row>
    <row r="11819" spans="1:7" ht="12.75" customHeight="1">
      <c r="A11819" s="3">
        <v>97631</v>
      </c>
      <c r="B11819" s="4" t="s">
        <v>11850</v>
      </c>
      <c r="C11819" s="3" t="s">
        <v>409</v>
      </c>
      <c r="D11819" s="5">
        <f t="shared" si="370"/>
        <v>9.83</v>
      </c>
      <c r="E11819">
        <v>10.8</v>
      </c>
      <c r="F11819" s="1789">
        <v>8.8999999999999996E-2</v>
      </c>
      <c r="G11819">
        <f t="shared" si="371"/>
        <v>9.83</v>
      </c>
    </row>
    <row r="11820" spans="1:7" ht="12.75" customHeight="1">
      <c r="A11820" s="3">
        <v>97632</v>
      </c>
      <c r="B11820" s="4" t="s">
        <v>11851</v>
      </c>
      <c r="C11820" s="3" t="s">
        <v>50</v>
      </c>
      <c r="D11820" s="5">
        <f t="shared" si="370"/>
        <v>2.25</v>
      </c>
      <c r="E11820">
        <v>2.4700000000000002</v>
      </c>
      <c r="F11820" s="1789">
        <v>8.8999999999999996E-2</v>
      </c>
      <c r="G11820">
        <f t="shared" si="371"/>
        <v>2.25</v>
      </c>
    </row>
    <row r="11821" spans="1:7" ht="12.75" customHeight="1">
      <c r="A11821" s="3">
        <v>97633</v>
      </c>
      <c r="B11821" s="4" t="s">
        <v>11852</v>
      </c>
      <c r="C11821" s="3" t="s">
        <v>409</v>
      </c>
      <c r="D11821" s="5">
        <f t="shared" si="370"/>
        <v>19.649999999999999</v>
      </c>
      <c r="E11821">
        <v>21.58</v>
      </c>
      <c r="F11821" s="1789">
        <v>8.8999999999999996E-2</v>
      </c>
      <c r="G11821">
        <f t="shared" si="371"/>
        <v>19.649999999999999</v>
      </c>
    </row>
    <row r="11822" spans="1:7" ht="12.75" customHeight="1">
      <c r="A11822" s="3">
        <v>97634</v>
      </c>
      <c r="B11822" s="4" t="s">
        <v>11853</v>
      </c>
      <c r="C11822" s="3" t="s">
        <v>409</v>
      </c>
      <c r="D11822" s="5">
        <f t="shared" si="370"/>
        <v>5.48</v>
      </c>
      <c r="E11822">
        <v>6.02</v>
      </c>
      <c r="F11822" s="1789">
        <v>8.8999999999999996E-2</v>
      </c>
      <c r="G11822">
        <f t="shared" si="371"/>
        <v>5.48</v>
      </c>
    </row>
    <row r="11823" spans="1:7" ht="12.75" customHeight="1">
      <c r="A11823" s="3">
        <v>97635</v>
      </c>
      <c r="B11823" s="4" t="s">
        <v>11854</v>
      </c>
      <c r="C11823" s="3" t="s">
        <v>409</v>
      </c>
      <c r="D11823" s="5">
        <f t="shared" si="370"/>
        <v>14.21</v>
      </c>
      <c r="E11823">
        <v>15.6</v>
      </c>
      <c r="F11823" s="1789">
        <v>8.8999999999999996E-2</v>
      </c>
      <c r="G11823">
        <f t="shared" si="371"/>
        <v>14.21</v>
      </c>
    </row>
    <row r="11824" spans="1:7" ht="12.75" customHeight="1">
      <c r="A11824" s="3">
        <v>97636</v>
      </c>
      <c r="B11824" s="4" t="s">
        <v>11855</v>
      </c>
      <c r="C11824" s="3" t="s">
        <v>409</v>
      </c>
      <c r="D11824" s="5">
        <f t="shared" si="370"/>
        <v>18.95</v>
      </c>
      <c r="E11824">
        <v>20.81</v>
      </c>
      <c r="F11824" s="1789">
        <v>8.8999999999999996E-2</v>
      </c>
      <c r="G11824">
        <f t="shared" si="371"/>
        <v>18.95</v>
      </c>
    </row>
    <row r="11825" spans="1:7" ht="12.75" customHeight="1">
      <c r="A11825" s="3">
        <v>97637</v>
      </c>
      <c r="B11825" s="4" t="s">
        <v>11856</v>
      </c>
      <c r="C11825" s="3" t="s">
        <v>409</v>
      </c>
      <c r="D11825" s="5">
        <f t="shared" si="370"/>
        <v>2.44</v>
      </c>
      <c r="E11825">
        <v>2.68</v>
      </c>
      <c r="F11825" s="1789">
        <v>8.8999999999999996E-2</v>
      </c>
      <c r="G11825">
        <f t="shared" si="371"/>
        <v>2.44</v>
      </c>
    </row>
    <row r="11826" spans="1:7" ht="12.75" customHeight="1">
      <c r="A11826" s="3">
        <v>97638</v>
      </c>
      <c r="B11826" s="4" t="s">
        <v>11857</v>
      </c>
      <c r="C11826" s="3" t="s">
        <v>409</v>
      </c>
      <c r="D11826" s="5">
        <f t="shared" si="370"/>
        <v>7.11</v>
      </c>
      <c r="E11826">
        <v>7.81</v>
      </c>
      <c r="F11826" s="1789">
        <v>8.8999999999999996E-2</v>
      </c>
      <c r="G11826">
        <f t="shared" si="371"/>
        <v>7.11</v>
      </c>
    </row>
    <row r="11827" spans="1:7" ht="12.75" customHeight="1">
      <c r="A11827" s="3">
        <v>97639</v>
      </c>
      <c r="B11827" s="4" t="s">
        <v>11858</v>
      </c>
      <c r="C11827" s="3" t="s">
        <v>409</v>
      </c>
      <c r="D11827" s="5">
        <f t="shared" si="370"/>
        <v>17.75</v>
      </c>
      <c r="E11827">
        <v>19.489999999999998</v>
      </c>
      <c r="F11827" s="1789">
        <v>8.8999999999999996E-2</v>
      </c>
      <c r="G11827">
        <f t="shared" si="371"/>
        <v>17.75</v>
      </c>
    </row>
    <row r="11828" spans="1:7" ht="12.75" customHeight="1">
      <c r="A11828" s="3">
        <v>97640</v>
      </c>
      <c r="B11828" s="4" t="s">
        <v>11859</v>
      </c>
      <c r="C11828" s="3" t="s">
        <v>409</v>
      </c>
      <c r="D11828" s="5">
        <f t="shared" si="370"/>
        <v>1.65</v>
      </c>
      <c r="E11828">
        <v>1.82</v>
      </c>
      <c r="F11828" s="1789">
        <v>8.8999999999999996E-2</v>
      </c>
      <c r="G11828">
        <f t="shared" si="371"/>
        <v>1.65</v>
      </c>
    </row>
    <row r="11829" spans="1:7" ht="12.75" customHeight="1">
      <c r="A11829" s="3">
        <v>97641</v>
      </c>
      <c r="B11829" s="4" t="s">
        <v>11860</v>
      </c>
      <c r="C11829" s="3" t="s">
        <v>409</v>
      </c>
      <c r="D11829" s="5">
        <f t="shared" si="370"/>
        <v>2.5</v>
      </c>
      <c r="E11829">
        <v>2.75</v>
      </c>
      <c r="F11829" s="1789">
        <v>8.8999999999999996E-2</v>
      </c>
      <c r="G11829">
        <f t="shared" si="371"/>
        <v>2.5</v>
      </c>
    </row>
    <row r="11830" spans="1:7" ht="12.75" customHeight="1">
      <c r="A11830" s="3">
        <v>97642</v>
      </c>
      <c r="B11830" s="4" t="s">
        <v>11861</v>
      </c>
      <c r="C11830" s="3" t="s">
        <v>409</v>
      </c>
      <c r="D11830" s="5">
        <f t="shared" si="370"/>
        <v>2.37</v>
      </c>
      <c r="E11830">
        <v>2.61</v>
      </c>
      <c r="F11830" s="1789">
        <v>8.8999999999999996E-2</v>
      </c>
      <c r="G11830">
        <f t="shared" si="371"/>
        <v>2.37</v>
      </c>
    </row>
    <row r="11831" spans="1:7" ht="12.75" customHeight="1">
      <c r="A11831" s="3">
        <v>97643</v>
      </c>
      <c r="B11831" s="4" t="s">
        <v>11862</v>
      </c>
      <c r="C11831" s="3" t="s">
        <v>409</v>
      </c>
      <c r="D11831" s="5">
        <f t="shared" si="370"/>
        <v>21.77</v>
      </c>
      <c r="E11831">
        <v>23.9</v>
      </c>
      <c r="F11831" s="1789">
        <v>8.8999999999999996E-2</v>
      </c>
      <c r="G11831">
        <f t="shared" si="371"/>
        <v>21.77</v>
      </c>
    </row>
    <row r="11832" spans="1:7" ht="12.75" customHeight="1">
      <c r="A11832" s="3">
        <v>97644</v>
      </c>
      <c r="B11832" s="4" t="s">
        <v>11863</v>
      </c>
      <c r="C11832" s="3" t="s">
        <v>409</v>
      </c>
      <c r="D11832" s="5">
        <f t="shared" si="370"/>
        <v>8.2100000000000009</v>
      </c>
      <c r="E11832">
        <v>9.02</v>
      </c>
      <c r="F11832" s="1789">
        <v>8.8999999999999996E-2</v>
      </c>
      <c r="G11832">
        <f t="shared" si="371"/>
        <v>8.2100000000000009</v>
      </c>
    </row>
    <row r="11833" spans="1:7" ht="12.75" customHeight="1">
      <c r="A11833" s="3">
        <v>97645</v>
      </c>
      <c r="B11833" s="4" t="s">
        <v>11864</v>
      </c>
      <c r="C11833" s="3" t="s">
        <v>409</v>
      </c>
      <c r="D11833" s="5">
        <f t="shared" si="370"/>
        <v>21.23</v>
      </c>
      <c r="E11833">
        <v>23.31</v>
      </c>
      <c r="F11833" s="1789">
        <v>8.8999999999999996E-2</v>
      </c>
      <c r="G11833">
        <f t="shared" si="371"/>
        <v>21.23</v>
      </c>
    </row>
    <row r="11834" spans="1:7" ht="12.75" customHeight="1">
      <c r="A11834" s="3">
        <v>97647</v>
      </c>
      <c r="B11834" s="4" t="s">
        <v>11865</v>
      </c>
      <c r="C11834" s="3" t="s">
        <v>409</v>
      </c>
      <c r="D11834" s="5">
        <f t="shared" si="370"/>
        <v>3.06</v>
      </c>
      <c r="E11834">
        <v>3.36</v>
      </c>
      <c r="F11834" s="1789">
        <v>8.8999999999999996E-2</v>
      </c>
      <c r="G11834">
        <f t="shared" si="371"/>
        <v>3.06</v>
      </c>
    </row>
    <row r="11835" spans="1:7" ht="12.75" customHeight="1">
      <c r="A11835" s="3">
        <v>97648</v>
      </c>
      <c r="B11835" s="4" t="s">
        <v>11866</v>
      </c>
      <c r="C11835" s="3" t="s">
        <v>409</v>
      </c>
      <c r="D11835" s="5">
        <f t="shared" si="370"/>
        <v>1.74</v>
      </c>
      <c r="E11835">
        <v>1.92</v>
      </c>
      <c r="F11835" s="1789">
        <v>8.8999999999999996E-2</v>
      </c>
      <c r="G11835">
        <f t="shared" si="371"/>
        <v>1.74</v>
      </c>
    </row>
    <row r="11836" spans="1:7" ht="12.75" customHeight="1">
      <c r="A11836" s="3">
        <v>97649</v>
      </c>
      <c r="B11836" s="4" t="s">
        <v>11867</v>
      </c>
      <c r="C11836" s="3" t="s">
        <v>409</v>
      </c>
      <c r="D11836" s="5">
        <f t="shared" si="370"/>
        <v>3.91</v>
      </c>
      <c r="E11836">
        <v>4.3</v>
      </c>
      <c r="F11836" s="1789">
        <v>8.8999999999999996E-2</v>
      </c>
      <c r="G11836">
        <f t="shared" si="371"/>
        <v>3.91</v>
      </c>
    </row>
    <row r="11837" spans="1:7" ht="12.75" customHeight="1">
      <c r="A11837" s="3">
        <v>97650</v>
      </c>
      <c r="B11837" s="4" t="s">
        <v>11868</v>
      </c>
      <c r="C11837" s="3" t="s">
        <v>409</v>
      </c>
      <c r="D11837" s="5">
        <f t="shared" si="370"/>
        <v>6.59</v>
      </c>
      <c r="E11837">
        <v>7.24</v>
      </c>
      <c r="F11837" s="1789">
        <v>8.8999999999999996E-2</v>
      </c>
      <c r="G11837">
        <f t="shared" si="371"/>
        <v>6.59</v>
      </c>
    </row>
    <row r="11838" spans="1:7" ht="12.75" customHeight="1">
      <c r="A11838" s="3">
        <v>97651</v>
      </c>
      <c r="B11838" s="4" t="s">
        <v>11869</v>
      </c>
      <c r="C11838" s="3" t="s">
        <v>6</v>
      </c>
      <c r="D11838" s="5">
        <f t="shared" si="370"/>
        <v>71.89</v>
      </c>
      <c r="E11838">
        <v>78.92</v>
      </c>
      <c r="F11838" s="1789">
        <v>8.8999999999999996E-2</v>
      </c>
      <c r="G11838">
        <f t="shared" si="371"/>
        <v>71.89</v>
      </c>
    </row>
    <row r="11839" spans="1:7" ht="12.75" customHeight="1">
      <c r="A11839" s="3">
        <v>97652</v>
      </c>
      <c r="B11839" s="4" t="s">
        <v>11870</v>
      </c>
      <c r="C11839" s="3" t="s">
        <v>6</v>
      </c>
      <c r="D11839" s="5">
        <f t="shared" si="370"/>
        <v>162.97999999999999</v>
      </c>
      <c r="E11839">
        <v>178.91</v>
      </c>
      <c r="F11839" s="1789">
        <v>8.8999999999999996E-2</v>
      </c>
      <c r="G11839">
        <f t="shared" si="371"/>
        <v>162.97999999999999</v>
      </c>
    </row>
    <row r="11840" spans="1:7" ht="12.75" customHeight="1">
      <c r="A11840" s="3">
        <v>97653</v>
      </c>
      <c r="B11840" s="4" t="s">
        <v>11871</v>
      </c>
      <c r="C11840" s="3" t="s">
        <v>6</v>
      </c>
      <c r="D11840" s="5">
        <f t="shared" si="370"/>
        <v>126.85</v>
      </c>
      <c r="E11840">
        <v>139.25</v>
      </c>
      <c r="F11840" s="1789">
        <v>8.8999999999999996E-2</v>
      </c>
      <c r="G11840">
        <f t="shared" si="371"/>
        <v>126.85</v>
      </c>
    </row>
    <row r="11841" spans="1:7" ht="12.75" customHeight="1">
      <c r="A11841" s="3">
        <v>97654</v>
      </c>
      <c r="B11841" s="4" t="s">
        <v>11872</v>
      </c>
      <c r="C11841" s="3" t="s">
        <v>6</v>
      </c>
      <c r="D11841" s="5">
        <f t="shared" si="370"/>
        <v>156.66999999999999</v>
      </c>
      <c r="E11841">
        <v>171.98</v>
      </c>
      <c r="F11841" s="1789">
        <v>8.8999999999999996E-2</v>
      </c>
      <c r="G11841">
        <f t="shared" si="371"/>
        <v>156.66999999999999</v>
      </c>
    </row>
    <row r="11842" spans="1:7" ht="12.75" customHeight="1">
      <c r="A11842" s="3">
        <v>97655</v>
      </c>
      <c r="B11842" s="4" t="s">
        <v>11873</v>
      </c>
      <c r="C11842" s="3" t="s">
        <v>409</v>
      </c>
      <c r="D11842" s="5">
        <f t="shared" si="370"/>
        <v>37.909999999999997</v>
      </c>
      <c r="E11842">
        <v>41.62</v>
      </c>
      <c r="F11842" s="1789">
        <v>8.8999999999999996E-2</v>
      </c>
      <c r="G11842">
        <f t="shared" si="371"/>
        <v>37.909999999999997</v>
      </c>
    </row>
    <row r="11843" spans="1:7" ht="12.75" customHeight="1">
      <c r="A11843" s="3">
        <v>97656</v>
      </c>
      <c r="B11843" s="4" t="s">
        <v>11874</v>
      </c>
      <c r="C11843" s="3" t="s">
        <v>6</v>
      </c>
      <c r="D11843" s="5">
        <f t="shared" si="370"/>
        <v>337.59</v>
      </c>
      <c r="E11843">
        <v>370.58</v>
      </c>
      <c r="F11843" s="1789">
        <v>8.8999999999999996E-2</v>
      </c>
      <c r="G11843">
        <f t="shared" si="371"/>
        <v>337.59</v>
      </c>
    </row>
    <row r="11844" spans="1:7" ht="12.75" customHeight="1">
      <c r="A11844" s="3">
        <v>97657</v>
      </c>
      <c r="B11844" s="4" t="s">
        <v>11875</v>
      </c>
      <c r="C11844" s="3" t="s">
        <v>6</v>
      </c>
      <c r="D11844" s="5">
        <f t="shared" si="370"/>
        <v>669.15</v>
      </c>
      <c r="E11844">
        <v>734.53</v>
      </c>
      <c r="F11844" s="1789">
        <v>8.8999999999999996E-2</v>
      </c>
      <c r="G11844">
        <f t="shared" si="371"/>
        <v>669.15</v>
      </c>
    </row>
    <row r="11845" spans="1:7" ht="12.75" customHeight="1">
      <c r="A11845" s="3">
        <v>97658</v>
      </c>
      <c r="B11845" s="4" t="s">
        <v>11876</v>
      </c>
      <c r="C11845" s="3" t="s">
        <v>6</v>
      </c>
      <c r="D11845" s="5">
        <f t="shared" si="370"/>
        <v>207.06</v>
      </c>
      <c r="E11845">
        <v>227.29</v>
      </c>
      <c r="F11845" s="1789">
        <v>8.8999999999999996E-2</v>
      </c>
      <c r="G11845">
        <f t="shared" si="371"/>
        <v>207.06</v>
      </c>
    </row>
    <row r="11846" spans="1:7" ht="12.75" customHeight="1">
      <c r="A11846" s="3">
        <v>97659</v>
      </c>
      <c r="B11846" s="4" t="s">
        <v>11877</v>
      </c>
      <c r="C11846" s="3" t="s">
        <v>6</v>
      </c>
      <c r="D11846" s="5">
        <f t="shared" si="370"/>
        <v>290.70999999999998</v>
      </c>
      <c r="E11846">
        <v>319.12</v>
      </c>
      <c r="F11846" s="1789">
        <v>8.8999999999999996E-2</v>
      </c>
      <c r="G11846">
        <f t="shared" si="371"/>
        <v>290.70999999999998</v>
      </c>
    </row>
    <row r="11847" spans="1:7" ht="12.75" customHeight="1">
      <c r="A11847" s="3">
        <v>97660</v>
      </c>
      <c r="B11847" s="4" t="s">
        <v>11878</v>
      </c>
      <c r="C11847" s="3" t="s">
        <v>6</v>
      </c>
      <c r="D11847" s="5">
        <f t="shared" si="370"/>
        <v>0.56999999999999995</v>
      </c>
      <c r="E11847">
        <v>0.63</v>
      </c>
      <c r="F11847" s="1789">
        <v>8.8999999999999996E-2</v>
      </c>
      <c r="G11847">
        <f t="shared" si="371"/>
        <v>0.56999999999999995</v>
      </c>
    </row>
    <row r="11848" spans="1:7" ht="12.75" customHeight="1">
      <c r="A11848" s="3">
        <v>97661</v>
      </c>
      <c r="B11848" s="4" t="s">
        <v>11879</v>
      </c>
      <c r="C11848" s="3" t="s">
        <v>50</v>
      </c>
      <c r="D11848" s="5">
        <f t="shared" si="370"/>
        <v>0.61</v>
      </c>
      <c r="E11848">
        <v>0.67</v>
      </c>
      <c r="F11848" s="1789">
        <v>8.8999999999999996E-2</v>
      </c>
      <c r="G11848">
        <f t="shared" si="371"/>
        <v>0.61</v>
      </c>
    </row>
    <row r="11849" spans="1:7" ht="12.75" customHeight="1">
      <c r="A11849" s="3">
        <v>97662</v>
      </c>
      <c r="B11849" s="4" t="s">
        <v>11880</v>
      </c>
      <c r="C11849" s="3" t="s">
        <v>50</v>
      </c>
      <c r="D11849" s="5">
        <f t="shared" si="370"/>
        <v>0.43</v>
      </c>
      <c r="E11849">
        <v>0.48</v>
      </c>
      <c r="F11849" s="1789">
        <v>8.8999999999999996E-2</v>
      </c>
      <c r="G11849">
        <f t="shared" si="371"/>
        <v>0.43</v>
      </c>
    </row>
    <row r="11850" spans="1:7" ht="12.75" customHeight="1">
      <c r="A11850" s="3">
        <v>97663</v>
      </c>
      <c r="B11850" s="4" t="s">
        <v>11881</v>
      </c>
      <c r="C11850" s="3" t="s">
        <v>6</v>
      </c>
      <c r="D11850" s="5">
        <f t="shared" si="370"/>
        <v>10.94</v>
      </c>
      <c r="E11850">
        <v>12.01</v>
      </c>
      <c r="F11850" s="1789">
        <v>8.8999999999999996E-2</v>
      </c>
      <c r="G11850">
        <f t="shared" si="371"/>
        <v>10.94</v>
      </c>
    </row>
    <row r="11851" spans="1:7" ht="12.75" customHeight="1">
      <c r="A11851" s="3">
        <v>97664</v>
      </c>
      <c r="B11851" s="4" t="s">
        <v>11882</v>
      </c>
      <c r="C11851" s="3" t="s">
        <v>6</v>
      </c>
      <c r="D11851" s="5">
        <f t="shared" si="370"/>
        <v>1.36</v>
      </c>
      <c r="E11851">
        <v>1.5</v>
      </c>
      <c r="F11851" s="1789">
        <v>8.8999999999999996E-2</v>
      </c>
      <c r="G11851">
        <f t="shared" si="371"/>
        <v>1.36</v>
      </c>
    </row>
    <row r="11852" spans="1:7" ht="12.75" customHeight="1">
      <c r="A11852" s="3">
        <v>97665</v>
      </c>
      <c r="B11852" s="4" t="s">
        <v>11883</v>
      </c>
      <c r="C11852" s="3" t="s">
        <v>6</v>
      </c>
      <c r="D11852" s="5">
        <f t="shared" si="370"/>
        <v>1.55</v>
      </c>
      <c r="E11852">
        <v>1.71</v>
      </c>
      <c r="F11852" s="1789">
        <v>8.8999999999999996E-2</v>
      </c>
      <c r="G11852">
        <f t="shared" si="371"/>
        <v>1.55</v>
      </c>
    </row>
    <row r="11853" spans="1:7" ht="12.75" customHeight="1">
      <c r="A11853" s="3">
        <v>97666</v>
      </c>
      <c r="B11853" s="4" t="s">
        <v>11884</v>
      </c>
      <c r="C11853" s="3" t="s">
        <v>6</v>
      </c>
      <c r="D11853" s="5">
        <f t="shared" si="370"/>
        <v>7.97</v>
      </c>
      <c r="E11853">
        <v>8.75</v>
      </c>
      <c r="F11853" s="1789">
        <v>8.8999999999999996E-2</v>
      </c>
      <c r="G11853">
        <f t="shared" si="371"/>
        <v>7.97</v>
      </c>
    </row>
    <row r="11854" spans="1:7" ht="12.75" customHeight="1">
      <c r="A11854" s="3">
        <v>104789</v>
      </c>
      <c r="B11854" s="4" t="s">
        <v>11885</v>
      </c>
      <c r="C11854" s="3" t="s">
        <v>152</v>
      </c>
      <c r="D11854" s="5">
        <f t="shared" si="370"/>
        <v>172.1</v>
      </c>
      <c r="E11854">
        <v>188.92</v>
      </c>
      <c r="F11854" s="1789">
        <v>8.8999999999999996E-2</v>
      </c>
      <c r="G11854">
        <f t="shared" si="371"/>
        <v>172.1</v>
      </c>
    </row>
    <row r="11855" spans="1:7" ht="12.75" customHeight="1">
      <c r="A11855" s="3">
        <v>104790</v>
      </c>
      <c r="B11855" s="4" t="s">
        <v>11886</v>
      </c>
      <c r="C11855" s="3" t="s">
        <v>152</v>
      </c>
      <c r="D11855" s="5">
        <f t="shared" si="370"/>
        <v>92.48</v>
      </c>
      <c r="E11855">
        <v>101.52</v>
      </c>
      <c r="F11855" s="1789">
        <v>8.8999999999999996E-2</v>
      </c>
      <c r="G11855">
        <f t="shared" si="371"/>
        <v>92.48</v>
      </c>
    </row>
    <row r="11856" spans="1:7" ht="12.75" customHeight="1">
      <c r="A11856" s="3">
        <v>104791</v>
      </c>
      <c r="B11856" s="4" t="s">
        <v>11887</v>
      </c>
      <c r="C11856" s="3" t="s">
        <v>409</v>
      </c>
      <c r="D11856" s="5">
        <f t="shared" si="370"/>
        <v>4.8099999999999996</v>
      </c>
      <c r="E11856">
        <v>5.29</v>
      </c>
      <c r="F11856" s="1789">
        <v>8.8999999999999996E-2</v>
      </c>
      <c r="G11856">
        <f t="shared" si="371"/>
        <v>4.8099999999999996</v>
      </c>
    </row>
    <row r="11857" spans="1:7" ht="12.75" customHeight="1">
      <c r="A11857" s="3">
        <v>104792</v>
      </c>
      <c r="B11857" s="4" t="s">
        <v>11888</v>
      </c>
      <c r="C11857" s="3" t="s">
        <v>50</v>
      </c>
      <c r="D11857" s="5">
        <f t="shared" si="370"/>
        <v>0.34</v>
      </c>
      <c r="E11857">
        <v>0.38</v>
      </c>
      <c r="F11857" s="1789">
        <v>8.8999999999999996E-2</v>
      </c>
      <c r="G11857">
        <f t="shared" si="371"/>
        <v>0.34</v>
      </c>
    </row>
    <row r="11858" spans="1:7" ht="12.75" customHeight="1">
      <c r="A11858" s="3">
        <v>104793</v>
      </c>
      <c r="B11858" s="4" t="s">
        <v>11889</v>
      </c>
      <c r="C11858" s="3" t="s">
        <v>50</v>
      </c>
      <c r="D11858" s="5">
        <f t="shared" si="370"/>
        <v>0.46</v>
      </c>
      <c r="E11858">
        <v>0.51</v>
      </c>
      <c r="F11858" s="1789">
        <v>8.8999999999999996E-2</v>
      </c>
      <c r="G11858">
        <f t="shared" si="371"/>
        <v>0.46</v>
      </c>
    </row>
    <row r="11859" spans="1:7" ht="12.75" customHeight="1">
      <c r="A11859" s="3">
        <v>104794</v>
      </c>
      <c r="B11859" s="4" t="s">
        <v>11890</v>
      </c>
      <c r="C11859" s="3" t="s">
        <v>50</v>
      </c>
      <c r="D11859" s="5">
        <f t="shared" si="370"/>
        <v>0.83</v>
      </c>
      <c r="E11859">
        <v>0.92</v>
      </c>
      <c r="F11859" s="1789">
        <v>8.8999999999999996E-2</v>
      </c>
      <c r="G11859">
        <f t="shared" si="371"/>
        <v>0.83</v>
      </c>
    </row>
    <row r="11860" spans="1:7" ht="12.75" customHeight="1">
      <c r="A11860" s="3">
        <v>104795</v>
      </c>
      <c r="B11860" s="4" t="s">
        <v>11891</v>
      </c>
      <c r="C11860" s="3" t="s">
        <v>50</v>
      </c>
      <c r="D11860" s="5">
        <f t="shared" si="370"/>
        <v>1.17</v>
      </c>
      <c r="E11860">
        <v>1.29</v>
      </c>
      <c r="F11860" s="1789">
        <v>8.8999999999999996E-2</v>
      </c>
      <c r="G11860">
        <f t="shared" si="371"/>
        <v>1.17</v>
      </c>
    </row>
    <row r="11861" spans="1:7" ht="12.75" customHeight="1">
      <c r="A11861" s="3">
        <v>104796</v>
      </c>
      <c r="B11861" s="4" t="s">
        <v>11892</v>
      </c>
      <c r="C11861" s="3" t="s">
        <v>50</v>
      </c>
      <c r="D11861" s="5">
        <f t="shared" ref="D11861:D11924" si="372">G11861</f>
        <v>11.87</v>
      </c>
      <c r="E11861">
        <v>13.04</v>
      </c>
      <c r="F11861" s="1789">
        <v>8.8999999999999996E-2</v>
      </c>
      <c r="G11861">
        <f t="shared" ref="G11861:G11924" si="373">TRUNC((1-F11861)*E11861,2)</f>
        <v>11.87</v>
      </c>
    </row>
    <row r="11862" spans="1:7" ht="12.75" customHeight="1">
      <c r="A11862" s="3">
        <v>104797</v>
      </c>
      <c r="B11862" s="4" t="s">
        <v>11893</v>
      </c>
      <c r="C11862" s="3" t="s">
        <v>50</v>
      </c>
      <c r="D11862" s="5">
        <f t="shared" si="372"/>
        <v>14.87</v>
      </c>
      <c r="E11862">
        <v>16.329999999999998</v>
      </c>
      <c r="F11862" s="1789">
        <v>8.8999999999999996E-2</v>
      </c>
      <c r="G11862">
        <f t="shared" si="373"/>
        <v>14.87</v>
      </c>
    </row>
    <row r="11863" spans="1:7" ht="12.75" customHeight="1">
      <c r="A11863" s="3">
        <v>104798</v>
      </c>
      <c r="B11863" s="4" t="s">
        <v>11894</v>
      </c>
      <c r="C11863" s="3" t="s">
        <v>6</v>
      </c>
      <c r="D11863" s="5">
        <f t="shared" si="372"/>
        <v>11.69</v>
      </c>
      <c r="E11863">
        <v>12.84</v>
      </c>
      <c r="F11863" s="1789">
        <v>8.8999999999999996E-2</v>
      </c>
      <c r="G11863">
        <f t="shared" si="373"/>
        <v>11.69</v>
      </c>
    </row>
    <row r="11864" spans="1:7" ht="12.75" customHeight="1">
      <c r="A11864" s="3">
        <v>104799</v>
      </c>
      <c r="B11864" s="4" t="s">
        <v>11895</v>
      </c>
      <c r="C11864" s="3" t="s">
        <v>409</v>
      </c>
      <c r="D11864" s="5">
        <f t="shared" si="372"/>
        <v>9.18</v>
      </c>
      <c r="E11864">
        <v>10.08</v>
      </c>
      <c r="F11864" s="1789">
        <v>8.8999999999999996E-2</v>
      </c>
      <c r="G11864">
        <f t="shared" si="373"/>
        <v>9.18</v>
      </c>
    </row>
    <row r="11865" spans="1:7" ht="12.75" customHeight="1">
      <c r="A11865" s="3">
        <v>104800</v>
      </c>
      <c r="B11865" s="4" t="s">
        <v>11896</v>
      </c>
      <c r="C11865" s="3" t="s">
        <v>50</v>
      </c>
      <c r="D11865" s="5">
        <f t="shared" si="372"/>
        <v>8.01</v>
      </c>
      <c r="E11865">
        <v>8.8000000000000007</v>
      </c>
      <c r="F11865" s="1789">
        <v>8.8999999999999996E-2</v>
      </c>
      <c r="G11865">
        <f t="shared" si="373"/>
        <v>8.01</v>
      </c>
    </row>
    <row r="11866" spans="1:7" ht="12.75" customHeight="1">
      <c r="A11866" s="3">
        <v>104801</v>
      </c>
      <c r="B11866" s="4" t="s">
        <v>11897</v>
      </c>
      <c r="C11866" s="3" t="s">
        <v>409</v>
      </c>
      <c r="D11866" s="5">
        <f t="shared" si="372"/>
        <v>12.16</v>
      </c>
      <c r="E11866">
        <v>13.35</v>
      </c>
      <c r="F11866" s="1789">
        <v>8.8999999999999996E-2</v>
      </c>
      <c r="G11866">
        <f t="shared" si="373"/>
        <v>12.16</v>
      </c>
    </row>
    <row r="11867" spans="1:7" ht="12.75" customHeight="1">
      <c r="A11867" s="3">
        <v>104802</v>
      </c>
      <c r="B11867" s="4" t="s">
        <v>11898</v>
      </c>
      <c r="C11867" s="3" t="s">
        <v>409</v>
      </c>
      <c r="D11867" s="5">
        <f t="shared" si="372"/>
        <v>8.09</v>
      </c>
      <c r="E11867">
        <v>8.89</v>
      </c>
      <c r="F11867" s="1789">
        <v>8.8999999999999996E-2</v>
      </c>
      <c r="G11867">
        <f t="shared" si="373"/>
        <v>8.09</v>
      </c>
    </row>
    <row r="11868" spans="1:7" ht="12.75" customHeight="1">
      <c r="A11868" s="3">
        <v>104803</v>
      </c>
      <c r="B11868" s="4" t="s">
        <v>11899</v>
      </c>
      <c r="C11868" s="3" t="s">
        <v>50</v>
      </c>
      <c r="D11868" s="5">
        <f t="shared" si="372"/>
        <v>3.93</v>
      </c>
      <c r="E11868">
        <v>4.32</v>
      </c>
      <c r="F11868" s="1789">
        <v>8.8999999999999996E-2</v>
      </c>
      <c r="G11868">
        <f t="shared" si="373"/>
        <v>3.93</v>
      </c>
    </row>
    <row r="11869" spans="1:7" ht="12.75" customHeight="1">
      <c r="A11869" s="3">
        <v>95967</v>
      </c>
      <c r="B11869" s="4" t="s">
        <v>11900</v>
      </c>
      <c r="C11869" s="3" t="s">
        <v>154</v>
      </c>
      <c r="D11869" s="5">
        <f t="shared" si="372"/>
        <v>139.47</v>
      </c>
      <c r="E11869">
        <v>153.1</v>
      </c>
      <c r="F11869" s="1789">
        <v>8.8999999999999996E-2</v>
      </c>
      <c r="G11869">
        <f t="shared" si="373"/>
        <v>139.47</v>
      </c>
    </row>
    <row r="11870" spans="1:7" ht="12.75" customHeight="1">
      <c r="A11870" s="3">
        <v>99059</v>
      </c>
      <c r="B11870" s="4" t="s">
        <v>11901</v>
      </c>
      <c r="C11870" s="3" t="s">
        <v>50</v>
      </c>
      <c r="D11870" s="5">
        <f t="shared" si="372"/>
        <v>55.36</v>
      </c>
      <c r="E11870">
        <v>60.77</v>
      </c>
      <c r="F11870" s="1789">
        <v>8.8999999999999996E-2</v>
      </c>
      <c r="G11870">
        <f t="shared" si="373"/>
        <v>55.36</v>
      </c>
    </row>
    <row r="11871" spans="1:7" ht="12.75" customHeight="1">
      <c r="A11871" s="3">
        <v>99060</v>
      </c>
      <c r="B11871" s="4" t="s">
        <v>11902</v>
      </c>
      <c r="C11871" s="3" t="s">
        <v>6</v>
      </c>
      <c r="D11871" s="5">
        <f t="shared" si="372"/>
        <v>159.5</v>
      </c>
      <c r="E11871">
        <v>175.09</v>
      </c>
      <c r="F11871" s="1789">
        <v>8.8999999999999996E-2</v>
      </c>
      <c r="G11871">
        <f t="shared" si="373"/>
        <v>159.5</v>
      </c>
    </row>
    <row r="11872" spans="1:7" ht="12.75" customHeight="1">
      <c r="A11872" s="3">
        <v>99061</v>
      </c>
      <c r="B11872" s="4" t="s">
        <v>11903</v>
      </c>
      <c r="C11872" s="3" t="s">
        <v>6</v>
      </c>
      <c r="D11872" s="5">
        <f t="shared" si="372"/>
        <v>99.8</v>
      </c>
      <c r="E11872">
        <v>109.56</v>
      </c>
      <c r="F11872" s="1789">
        <v>8.8999999999999996E-2</v>
      </c>
      <c r="G11872">
        <f t="shared" si="373"/>
        <v>99.8</v>
      </c>
    </row>
    <row r="11873" spans="1:7" ht="12.75" customHeight="1">
      <c r="A11873" s="3">
        <v>99062</v>
      </c>
      <c r="B11873" s="4" t="s">
        <v>11904</v>
      </c>
      <c r="C11873" s="3" t="s">
        <v>6</v>
      </c>
      <c r="D11873" s="5">
        <f t="shared" si="372"/>
        <v>1.72</v>
      </c>
      <c r="E11873">
        <v>1.89</v>
      </c>
      <c r="F11873" s="1789">
        <v>8.8999999999999996E-2</v>
      </c>
      <c r="G11873">
        <f t="shared" si="373"/>
        <v>1.72</v>
      </c>
    </row>
    <row r="11874" spans="1:7" ht="12.75" customHeight="1">
      <c r="A11874" s="3">
        <v>99063</v>
      </c>
      <c r="B11874" s="4" t="s">
        <v>11905</v>
      </c>
      <c r="C11874" s="3" t="s">
        <v>50</v>
      </c>
      <c r="D11874" s="5">
        <f t="shared" si="372"/>
        <v>7.74</v>
      </c>
      <c r="E11874">
        <v>8.5</v>
      </c>
      <c r="F11874" s="1789">
        <v>8.8999999999999996E-2</v>
      </c>
      <c r="G11874">
        <f t="shared" si="373"/>
        <v>7.74</v>
      </c>
    </row>
    <row r="11875" spans="1:7" ht="12.75" customHeight="1">
      <c r="A11875" s="3">
        <v>105007</v>
      </c>
      <c r="B11875" s="4" t="s">
        <v>11906</v>
      </c>
      <c r="C11875" s="3" t="s">
        <v>6</v>
      </c>
      <c r="D11875" s="5">
        <f t="shared" si="372"/>
        <v>31.36</v>
      </c>
      <c r="E11875">
        <v>34.43</v>
      </c>
      <c r="F11875" s="1789">
        <v>8.8999999999999996E-2</v>
      </c>
      <c r="G11875">
        <f t="shared" si="373"/>
        <v>31.36</v>
      </c>
    </row>
    <row r="11876" spans="1:7" ht="12.75" customHeight="1">
      <c r="A11876" s="3">
        <v>105009</v>
      </c>
      <c r="B11876" s="4" t="s">
        <v>11907</v>
      </c>
      <c r="C11876" s="3" t="s">
        <v>50</v>
      </c>
      <c r="D11876" s="5">
        <f t="shared" si="372"/>
        <v>67.25</v>
      </c>
      <c r="E11876">
        <v>73.819999999999993</v>
      </c>
      <c r="F11876" s="1789">
        <v>8.8999999999999996E-2</v>
      </c>
      <c r="G11876">
        <f t="shared" si="373"/>
        <v>67.25</v>
      </c>
    </row>
    <row r="11877" spans="1:7" ht="12.75" customHeight="1">
      <c r="A11877" s="3">
        <v>105011</v>
      </c>
      <c r="B11877" s="4" t="s">
        <v>11908</v>
      </c>
      <c r="C11877" s="3" t="s">
        <v>50</v>
      </c>
      <c r="D11877" s="5">
        <f t="shared" si="372"/>
        <v>0.47</v>
      </c>
      <c r="E11877">
        <v>0.52</v>
      </c>
      <c r="F11877" s="1789">
        <v>8.8999999999999996E-2</v>
      </c>
      <c r="G11877">
        <f t="shared" si="373"/>
        <v>0.47</v>
      </c>
    </row>
    <row r="11878" spans="1:7" ht="12.75" customHeight="1">
      <c r="A11878" s="3">
        <v>93588</v>
      </c>
      <c r="B11878" s="4" t="s">
        <v>11909</v>
      </c>
      <c r="C11878" s="3" t="s">
        <v>11696</v>
      </c>
      <c r="D11878" s="5">
        <f t="shared" si="372"/>
        <v>2.89</v>
      </c>
      <c r="E11878">
        <v>3.18</v>
      </c>
      <c r="F11878" s="1789">
        <v>8.8999999999999996E-2</v>
      </c>
      <c r="G11878">
        <f t="shared" si="373"/>
        <v>2.89</v>
      </c>
    </row>
    <row r="11879" spans="1:7" ht="12.75" customHeight="1">
      <c r="A11879" s="3">
        <v>93589</v>
      </c>
      <c r="B11879" s="4" t="s">
        <v>11910</v>
      </c>
      <c r="C11879" s="3" t="s">
        <v>11696</v>
      </c>
      <c r="D11879" s="5">
        <f t="shared" si="372"/>
        <v>2.48</v>
      </c>
      <c r="E11879">
        <v>2.73</v>
      </c>
      <c r="F11879" s="1789">
        <v>8.8999999999999996E-2</v>
      </c>
      <c r="G11879">
        <f t="shared" si="373"/>
        <v>2.48</v>
      </c>
    </row>
    <row r="11880" spans="1:7" ht="12.75" customHeight="1">
      <c r="A11880" s="3">
        <v>93590</v>
      </c>
      <c r="B11880" s="4" t="s">
        <v>11911</v>
      </c>
      <c r="C11880" s="3" t="s">
        <v>11696</v>
      </c>
      <c r="D11880" s="5">
        <f t="shared" si="372"/>
        <v>0.9</v>
      </c>
      <c r="E11880">
        <v>0.99</v>
      </c>
      <c r="F11880" s="1789">
        <v>8.8999999999999996E-2</v>
      </c>
      <c r="G11880">
        <f t="shared" si="373"/>
        <v>0.9</v>
      </c>
    </row>
    <row r="11881" spans="1:7" ht="12.75" customHeight="1">
      <c r="A11881" s="3">
        <v>93591</v>
      </c>
      <c r="B11881" s="4" t="s">
        <v>11912</v>
      </c>
      <c r="C11881" s="3" t="s">
        <v>11696</v>
      </c>
      <c r="D11881" s="5">
        <f t="shared" si="372"/>
        <v>2.54</v>
      </c>
      <c r="E11881">
        <v>2.79</v>
      </c>
      <c r="F11881" s="1789">
        <v>8.8999999999999996E-2</v>
      </c>
      <c r="G11881">
        <f t="shared" si="373"/>
        <v>2.54</v>
      </c>
    </row>
    <row r="11882" spans="1:7" ht="12.75" customHeight="1">
      <c r="A11882" s="3">
        <v>93592</v>
      </c>
      <c r="B11882" s="4" t="s">
        <v>11913</v>
      </c>
      <c r="C11882" s="3" t="s">
        <v>11696</v>
      </c>
      <c r="D11882" s="5">
        <f t="shared" si="372"/>
        <v>2.2000000000000002</v>
      </c>
      <c r="E11882">
        <v>2.42</v>
      </c>
      <c r="F11882" s="1789">
        <v>8.8999999999999996E-2</v>
      </c>
      <c r="G11882">
        <f t="shared" si="373"/>
        <v>2.2000000000000002</v>
      </c>
    </row>
    <row r="11883" spans="1:7" ht="12.75" customHeight="1">
      <c r="A11883" s="3">
        <v>93593</v>
      </c>
      <c r="B11883" s="4" t="s">
        <v>11914</v>
      </c>
      <c r="C11883" s="3" t="s">
        <v>11696</v>
      </c>
      <c r="D11883" s="5">
        <f t="shared" si="372"/>
        <v>0.81</v>
      </c>
      <c r="E11883">
        <v>0.89</v>
      </c>
      <c r="F11883" s="1789">
        <v>8.8999999999999996E-2</v>
      </c>
      <c r="G11883">
        <f t="shared" si="373"/>
        <v>0.81</v>
      </c>
    </row>
    <row r="11884" spans="1:7" ht="12.75" customHeight="1">
      <c r="A11884" s="3">
        <v>93594</v>
      </c>
      <c r="B11884" s="4" t="s">
        <v>11915</v>
      </c>
      <c r="C11884" s="3" t="s">
        <v>10743</v>
      </c>
      <c r="D11884" s="5">
        <f t="shared" si="372"/>
        <v>1.92</v>
      </c>
      <c r="E11884">
        <v>2.11</v>
      </c>
      <c r="F11884" s="1789">
        <v>8.8999999999999996E-2</v>
      </c>
      <c r="G11884">
        <f t="shared" si="373"/>
        <v>1.92</v>
      </c>
    </row>
    <row r="11885" spans="1:7" ht="12.75" customHeight="1">
      <c r="A11885" s="3">
        <v>93595</v>
      </c>
      <c r="B11885" s="4" t="s">
        <v>11916</v>
      </c>
      <c r="C11885" s="3" t="s">
        <v>10743</v>
      </c>
      <c r="D11885" s="5">
        <f t="shared" si="372"/>
        <v>1.67</v>
      </c>
      <c r="E11885">
        <v>1.84</v>
      </c>
      <c r="F11885" s="1789">
        <v>8.8999999999999996E-2</v>
      </c>
      <c r="G11885">
        <f t="shared" si="373"/>
        <v>1.67</v>
      </c>
    </row>
    <row r="11886" spans="1:7" ht="12.75" customHeight="1">
      <c r="A11886" s="3">
        <v>93596</v>
      </c>
      <c r="B11886" s="4" t="s">
        <v>11917</v>
      </c>
      <c r="C11886" s="3" t="s">
        <v>10743</v>
      </c>
      <c r="D11886" s="5">
        <f t="shared" si="372"/>
        <v>0.6</v>
      </c>
      <c r="E11886">
        <v>0.66</v>
      </c>
      <c r="F11886" s="1789">
        <v>8.8999999999999996E-2</v>
      </c>
      <c r="G11886">
        <f t="shared" si="373"/>
        <v>0.6</v>
      </c>
    </row>
    <row r="11887" spans="1:7" ht="12.75" customHeight="1">
      <c r="A11887" s="3">
        <v>93597</v>
      </c>
      <c r="B11887" s="4" t="s">
        <v>11918</v>
      </c>
      <c r="C11887" s="3" t="s">
        <v>10743</v>
      </c>
      <c r="D11887" s="5">
        <f t="shared" si="372"/>
        <v>1.68</v>
      </c>
      <c r="E11887">
        <v>1.85</v>
      </c>
      <c r="F11887" s="1789">
        <v>8.8999999999999996E-2</v>
      </c>
      <c r="G11887">
        <f t="shared" si="373"/>
        <v>1.68</v>
      </c>
    </row>
    <row r="11888" spans="1:7" ht="12.75" customHeight="1">
      <c r="A11888" s="3">
        <v>93598</v>
      </c>
      <c r="B11888" s="4" t="s">
        <v>11919</v>
      </c>
      <c r="C11888" s="3" t="s">
        <v>10743</v>
      </c>
      <c r="D11888" s="5">
        <f t="shared" si="372"/>
        <v>1.45</v>
      </c>
      <c r="E11888">
        <v>1.6</v>
      </c>
      <c r="F11888" s="1789">
        <v>8.8999999999999996E-2</v>
      </c>
      <c r="G11888">
        <f t="shared" si="373"/>
        <v>1.45</v>
      </c>
    </row>
    <row r="11889" spans="1:7" ht="12.75" customHeight="1">
      <c r="A11889" s="3">
        <v>93599</v>
      </c>
      <c r="B11889" s="4" t="s">
        <v>11920</v>
      </c>
      <c r="C11889" s="3" t="s">
        <v>10743</v>
      </c>
      <c r="D11889" s="5">
        <f t="shared" si="372"/>
        <v>0.53</v>
      </c>
      <c r="E11889">
        <v>0.59</v>
      </c>
      <c r="F11889" s="1789">
        <v>8.8999999999999996E-2</v>
      </c>
      <c r="G11889">
        <f t="shared" si="373"/>
        <v>0.53</v>
      </c>
    </row>
    <row r="11890" spans="1:7" ht="12.75" customHeight="1">
      <c r="A11890" s="3">
        <v>95425</v>
      </c>
      <c r="B11890" s="4" t="s">
        <v>11921</v>
      </c>
      <c r="C11890" s="3" t="s">
        <v>11696</v>
      </c>
      <c r="D11890" s="5">
        <f t="shared" si="372"/>
        <v>2.15</v>
      </c>
      <c r="E11890">
        <v>2.37</v>
      </c>
      <c r="F11890" s="1789">
        <v>8.8999999999999996E-2</v>
      </c>
      <c r="G11890">
        <f t="shared" si="373"/>
        <v>2.15</v>
      </c>
    </row>
    <row r="11891" spans="1:7" ht="12.75" customHeight="1">
      <c r="A11891" s="3">
        <v>95426</v>
      </c>
      <c r="B11891" s="4" t="s">
        <v>11922</v>
      </c>
      <c r="C11891" s="3" t="s">
        <v>11696</v>
      </c>
      <c r="D11891" s="5">
        <f t="shared" si="372"/>
        <v>1.85</v>
      </c>
      <c r="E11891">
        <v>2.04</v>
      </c>
      <c r="F11891" s="1789">
        <v>8.8999999999999996E-2</v>
      </c>
      <c r="G11891">
        <f t="shared" si="373"/>
        <v>1.85</v>
      </c>
    </row>
    <row r="11892" spans="1:7" ht="12.75" customHeight="1">
      <c r="A11892" s="3">
        <v>95427</v>
      </c>
      <c r="B11892" s="4" t="s">
        <v>11923</v>
      </c>
      <c r="C11892" s="3" t="s">
        <v>11696</v>
      </c>
      <c r="D11892" s="5">
        <f t="shared" si="372"/>
        <v>0.7</v>
      </c>
      <c r="E11892">
        <v>0.77</v>
      </c>
      <c r="F11892" s="1789">
        <v>8.8999999999999996E-2</v>
      </c>
      <c r="G11892">
        <f t="shared" si="373"/>
        <v>0.7</v>
      </c>
    </row>
    <row r="11893" spans="1:7" ht="12.75" customHeight="1">
      <c r="A11893" s="3">
        <v>95428</v>
      </c>
      <c r="B11893" s="4" t="s">
        <v>11924</v>
      </c>
      <c r="C11893" s="3" t="s">
        <v>10743</v>
      </c>
      <c r="D11893" s="5">
        <f t="shared" si="372"/>
        <v>1.45</v>
      </c>
      <c r="E11893">
        <v>1.6</v>
      </c>
      <c r="F11893" s="1789">
        <v>8.8999999999999996E-2</v>
      </c>
      <c r="G11893">
        <f t="shared" si="373"/>
        <v>1.45</v>
      </c>
    </row>
    <row r="11894" spans="1:7" ht="12.75" customHeight="1">
      <c r="A11894" s="3">
        <v>95429</v>
      </c>
      <c r="B11894" s="4" t="s">
        <v>11925</v>
      </c>
      <c r="C11894" s="3" t="s">
        <v>10743</v>
      </c>
      <c r="D11894" s="5">
        <f t="shared" si="372"/>
        <v>1.25</v>
      </c>
      <c r="E11894">
        <v>1.38</v>
      </c>
      <c r="F11894" s="1789">
        <v>8.8999999999999996E-2</v>
      </c>
      <c r="G11894">
        <f t="shared" si="373"/>
        <v>1.25</v>
      </c>
    </row>
    <row r="11895" spans="1:7" ht="12.75" customHeight="1">
      <c r="A11895" s="3">
        <v>95430</v>
      </c>
      <c r="B11895" s="4" t="s">
        <v>11926</v>
      </c>
      <c r="C11895" s="3" t="s">
        <v>10743</v>
      </c>
      <c r="D11895" s="5">
        <f t="shared" si="372"/>
        <v>0.43</v>
      </c>
      <c r="E11895">
        <v>0.48</v>
      </c>
      <c r="F11895" s="1789">
        <v>8.8999999999999996E-2</v>
      </c>
      <c r="G11895">
        <f t="shared" si="373"/>
        <v>0.43</v>
      </c>
    </row>
    <row r="11896" spans="1:7" ht="12.75" customHeight="1">
      <c r="A11896" s="3">
        <v>95875</v>
      </c>
      <c r="B11896" s="4" t="s">
        <v>11927</v>
      </c>
      <c r="C11896" s="3" t="s">
        <v>11696</v>
      </c>
      <c r="D11896" s="5">
        <f t="shared" si="372"/>
        <v>2.29</v>
      </c>
      <c r="E11896">
        <v>2.52</v>
      </c>
      <c r="F11896" s="1789">
        <v>8.8999999999999996E-2</v>
      </c>
      <c r="G11896">
        <f t="shared" si="373"/>
        <v>2.29</v>
      </c>
    </row>
    <row r="11897" spans="1:7" ht="12.75" customHeight="1">
      <c r="A11897" s="3">
        <v>95876</v>
      </c>
      <c r="B11897" s="4" t="s">
        <v>11928</v>
      </c>
      <c r="C11897" s="3" t="s">
        <v>11696</v>
      </c>
      <c r="D11897" s="5">
        <f t="shared" si="372"/>
        <v>1.99</v>
      </c>
      <c r="E11897">
        <v>2.19</v>
      </c>
      <c r="F11897" s="1789">
        <v>8.8999999999999996E-2</v>
      </c>
      <c r="G11897">
        <f t="shared" si="373"/>
        <v>1.99</v>
      </c>
    </row>
    <row r="11898" spans="1:7" ht="12.75" customHeight="1">
      <c r="A11898" s="3">
        <v>95877</v>
      </c>
      <c r="B11898" s="4" t="s">
        <v>11929</v>
      </c>
      <c r="C11898" s="3" t="s">
        <v>11696</v>
      </c>
      <c r="D11898" s="5">
        <f t="shared" si="372"/>
        <v>1.71</v>
      </c>
      <c r="E11898">
        <v>1.88</v>
      </c>
      <c r="F11898" s="1789">
        <v>8.8999999999999996E-2</v>
      </c>
      <c r="G11898">
        <f t="shared" si="373"/>
        <v>1.71</v>
      </c>
    </row>
    <row r="11899" spans="1:7" ht="12.75" customHeight="1">
      <c r="A11899" s="3">
        <v>95878</v>
      </c>
      <c r="B11899" s="4" t="s">
        <v>11930</v>
      </c>
      <c r="C11899" s="3" t="s">
        <v>10743</v>
      </c>
      <c r="D11899" s="5">
        <f t="shared" si="372"/>
        <v>1.53</v>
      </c>
      <c r="E11899">
        <v>1.69</v>
      </c>
      <c r="F11899" s="1789">
        <v>8.8999999999999996E-2</v>
      </c>
      <c r="G11899">
        <f t="shared" si="373"/>
        <v>1.53</v>
      </c>
    </row>
    <row r="11900" spans="1:7" ht="12.75" customHeight="1">
      <c r="A11900" s="3">
        <v>95879</v>
      </c>
      <c r="B11900" s="4" t="s">
        <v>11931</v>
      </c>
      <c r="C11900" s="3" t="s">
        <v>10743</v>
      </c>
      <c r="D11900" s="5">
        <f t="shared" si="372"/>
        <v>1.34</v>
      </c>
      <c r="E11900">
        <v>1.48</v>
      </c>
      <c r="F11900" s="1789">
        <v>8.8999999999999996E-2</v>
      </c>
      <c r="G11900">
        <f t="shared" si="373"/>
        <v>1.34</v>
      </c>
    </row>
    <row r="11901" spans="1:7" ht="12.75" customHeight="1">
      <c r="A11901" s="3">
        <v>95880</v>
      </c>
      <c r="B11901" s="4" t="s">
        <v>11932</v>
      </c>
      <c r="C11901" s="3" t="s">
        <v>10743</v>
      </c>
      <c r="D11901" s="5">
        <f t="shared" si="372"/>
        <v>1.1399999999999999</v>
      </c>
      <c r="E11901">
        <v>1.26</v>
      </c>
      <c r="F11901" s="1789">
        <v>8.8999999999999996E-2</v>
      </c>
      <c r="G11901">
        <f t="shared" si="373"/>
        <v>1.1399999999999999</v>
      </c>
    </row>
    <row r="11902" spans="1:7" ht="12.75" customHeight="1">
      <c r="A11902" s="3">
        <v>97912</v>
      </c>
      <c r="B11902" s="4" t="s">
        <v>11933</v>
      </c>
      <c r="C11902" s="3" t="s">
        <v>11696</v>
      </c>
      <c r="D11902" s="5">
        <f t="shared" si="372"/>
        <v>3.48</v>
      </c>
      <c r="E11902">
        <v>3.82</v>
      </c>
      <c r="F11902" s="1789">
        <v>8.8999999999999996E-2</v>
      </c>
      <c r="G11902">
        <f t="shared" si="373"/>
        <v>3.48</v>
      </c>
    </row>
    <row r="11903" spans="1:7" ht="12.75" customHeight="1">
      <c r="A11903" s="3">
        <v>97913</v>
      </c>
      <c r="B11903" s="4" t="s">
        <v>11934</v>
      </c>
      <c r="C11903" s="3" t="s">
        <v>11696</v>
      </c>
      <c r="D11903" s="5">
        <f t="shared" si="372"/>
        <v>3.01</v>
      </c>
      <c r="E11903">
        <v>3.31</v>
      </c>
      <c r="F11903" s="1789">
        <v>8.8999999999999996E-2</v>
      </c>
      <c r="G11903">
        <f t="shared" si="373"/>
        <v>3.01</v>
      </c>
    </row>
    <row r="11904" spans="1:7" ht="12.75" customHeight="1">
      <c r="A11904" s="3">
        <v>97914</v>
      </c>
      <c r="B11904" s="4" t="s">
        <v>11935</v>
      </c>
      <c r="C11904" s="3" t="s">
        <v>11696</v>
      </c>
      <c r="D11904" s="5">
        <f t="shared" si="372"/>
        <v>2.76</v>
      </c>
      <c r="E11904">
        <v>3.03</v>
      </c>
      <c r="F11904" s="1789">
        <v>8.8999999999999996E-2</v>
      </c>
      <c r="G11904">
        <f t="shared" si="373"/>
        <v>2.76</v>
      </c>
    </row>
    <row r="11905" spans="1:7" ht="12.75" customHeight="1">
      <c r="A11905" s="3">
        <v>97915</v>
      </c>
      <c r="B11905" s="4" t="s">
        <v>11936</v>
      </c>
      <c r="C11905" s="3" t="s">
        <v>11696</v>
      </c>
      <c r="D11905" s="5">
        <f t="shared" si="372"/>
        <v>1.1100000000000001</v>
      </c>
      <c r="E11905">
        <v>1.22</v>
      </c>
      <c r="F11905" s="1789">
        <v>8.8999999999999996E-2</v>
      </c>
      <c r="G11905">
        <f t="shared" si="373"/>
        <v>1.1100000000000001</v>
      </c>
    </row>
    <row r="11906" spans="1:7" ht="12.75" customHeight="1">
      <c r="A11906" s="3">
        <v>100937</v>
      </c>
      <c r="B11906" s="4" t="s">
        <v>11937</v>
      </c>
      <c r="C11906" s="3" t="s">
        <v>11696</v>
      </c>
      <c r="D11906" s="5">
        <f t="shared" si="372"/>
        <v>8.2899999999999991</v>
      </c>
      <c r="E11906">
        <v>9.1</v>
      </c>
      <c r="F11906" s="1789">
        <v>8.8999999999999996E-2</v>
      </c>
      <c r="G11906">
        <f t="shared" si="373"/>
        <v>8.2899999999999991</v>
      </c>
    </row>
    <row r="11907" spans="1:7" ht="12.75" customHeight="1">
      <c r="A11907" s="3">
        <v>100938</v>
      </c>
      <c r="B11907" s="4" t="s">
        <v>11938</v>
      </c>
      <c r="C11907" s="3" t="s">
        <v>11696</v>
      </c>
      <c r="D11907" s="5">
        <f t="shared" si="372"/>
        <v>6.9</v>
      </c>
      <c r="E11907">
        <v>7.58</v>
      </c>
      <c r="F11907" s="1789">
        <v>8.8999999999999996E-2</v>
      </c>
      <c r="G11907">
        <f t="shared" si="373"/>
        <v>6.9</v>
      </c>
    </row>
    <row r="11908" spans="1:7" ht="12.75" customHeight="1">
      <c r="A11908" s="3">
        <v>100939</v>
      </c>
      <c r="B11908" s="4" t="s">
        <v>11939</v>
      </c>
      <c r="C11908" s="3" t="s">
        <v>11696</v>
      </c>
      <c r="D11908" s="5">
        <f t="shared" si="372"/>
        <v>6.08</v>
      </c>
      <c r="E11908">
        <v>6.68</v>
      </c>
      <c r="F11908" s="1789">
        <v>8.8999999999999996E-2</v>
      </c>
      <c r="G11908">
        <f t="shared" si="373"/>
        <v>6.08</v>
      </c>
    </row>
    <row r="11909" spans="1:7" ht="12.75" customHeight="1">
      <c r="A11909" s="3">
        <v>100940</v>
      </c>
      <c r="B11909" s="4" t="s">
        <v>11940</v>
      </c>
      <c r="C11909" s="3" t="s">
        <v>11696</v>
      </c>
      <c r="D11909" s="5">
        <f t="shared" si="372"/>
        <v>5.19</v>
      </c>
      <c r="E11909">
        <v>5.7</v>
      </c>
      <c r="F11909" s="1789">
        <v>8.8999999999999996E-2</v>
      </c>
      <c r="G11909">
        <f t="shared" si="373"/>
        <v>5.19</v>
      </c>
    </row>
    <row r="11910" spans="1:7" ht="12.75" customHeight="1">
      <c r="A11910" s="3">
        <v>100941</v>
      </c>
      <c r="B11910" s="4" t="s">
        <v>11941</v>
      </c>
      <c r="C11910" s="3" t="s">
        <v>10743</v>
      </c>
      <c r="D11910" s="5">
        <f t="shared" si="372"/>
        <v>5.52</v>
      </c>
      <c r="E11910">
        <v>6.06</v>
      </c>
      <c r="F11910" s="1789">
        <v>8.8999999999999996E-2</v>
      </c>
      <c r="G11910">
        <f t="shared" si="373"/>
        <v>5.52</v>
      </c>
    </row>
    <row r="11911" spans="1:7" ht="12.75" customHeight="1">
      <c r="A11911" s="3">
        <v>100942</v>
      </c>
      <c r="B11911" s="4" t="s">
        <v>11942</v>
      </c>
      <c r="C11911" s="3" t="s">
        <v>10743</v>
      </c>
      <c r="D11911" s="5">
        <f t="shared" si="372"/>
        <v>4.5999999999999996</v>
      </c>
      <c r="E11911">
        <v>5.0599999999999996</v>
      </c>
      <c r="F11911" s="1789">
        <v>8.8999999999999996E-2</v>
      </c>
      <c r="G11911">
        <f t="shared" si="373"/>
        <v>4.5999999999999996</v>
      </c>
    </row>
    <row r="11912" spans="1:7" ht="12.75" customHeight="1">
      <c r="A11912" s="3">
        <v>100943</v>
      </c>
      <c r="B11912" s="4" t="s">
        <v>11943</v>
      </c>
      <c r="C11912" s="3" t="s">
        <v>10743</v>
      </c>
      <c r="D11912" s="5">
        <f t="shared" si="372"/>
        <v>4.04</v>
      </c>
      <c r="E11912">
        <v>4.4400000000000004</v>
      </c>
      <c r="F11912" s="1789">
        <v>8.8999999999999996E-2</v>
      </c>
      <c r="G11912">
        <f t="shared" si="373"/>
        <v>4.04</v>
      </c>
    </row>
    <row r="11913" spans="1:7" ht="12.75" customHeight="1">
      <c r="A11913" s="3">
        <v>100944</v>
      </c>
      <c r="B11913" s="4" t="s">
        <v>11944</v>
      </c>
      <c r="C11913" s="3" t="s">
        <v>10743</v>
      </c>
      <c r="D11913" s="5">
        <f t="shared" si="372"/>
        <v>3.47</v>
      </c>
      <c r="E11913">
        <v>3.81</v>
      </c>
      <c r="F11913" s="1789">
        <v>8.8999999999999996E-2</v>
      </c>
      <c r="G11913">
        <f t="shared" si="373"/>
        <v>3.47</v>
      </c>
    </row>
    <row r="11914" spans="1:7" ht="12.75" customHeight="1">
      <c r="A11914" s="3">
        <v>100945</v>
      </c>
      <c r="B11914" s="4" t="s">
        <v>11945</v>
      </c>
      <c r="C11914" s="3" t="s">
        <v>10743</v>
      </c>
      <c r="D11914" s="5">
        <f t="shared" si="372"/>
        <v>2.6</v>
      </c>
      <c r="E11914">
        <v>2.86</v>
      </c>
      <c r="F11914" s="1789">
        <v>8.8999999999999996E-2</v>
      </c>
      <c r="G11914">
        <f t="shared" si="373"/>
        <v>2.6</v>
      </c>
    </row>
    <row r="11915" spans="1:7" ht="12.75" customHeight="1">
      <c r="A11915" s="3">
        <v>100946</v>
      </c>
      <c r="B11915" s="4" t="s">
        <v>11946</v>
      </c>
      <c r="C11915" s="3" t="s">
        <v>10743</v>
      </c>
      <c r="D11915" s="5">
        <f t="shared" si="372"/>
        <v>2.25</v>
      </c>
      <c r="E11915">
        <v>2.4700000000000002</v>
      </c>
      <c r="F11915" s="1789">
        <v>8.8999999999999996E-2</v>
      </c>
      <c r="G11915">
        <f t="shared" si="373"/>
        <v>2.25</v>
      </c>
    </row>
    <row r="11916" spans="1:7" ht="12.75" customHeight="1">
      <c r="A11916" s="3">
        <v>100947</v>
      </c>
      <c r="B11916" s="4" t="s">
        <v>11947</v>
      </c>
      <c r="C11916" s="3" t="s">
        <v>10743</v>
      </c>
      <c r="D11916" s="5">
        <f t="shared" si="372"/>
        <v>2.0699999999999998</v>
      </c>
      <c r="E11916">
        <v>2.2799999999999998</v>
      </c>
      <c r="F11916" s="1789">
        <v>8.8999999999999996E-2</v>
      </c>
      <c r="G11916">
        <f t="shared" si="373"/>
        <v>2.0699999999999998</v>
      </c>
    </row>
    <row r="11917" spans="1:7" ht="12.75" customHeight="1">
      <c r="A11917" s="3">
        <v>100948</v>
      </c>
      <c r="B11917" s="4" t="s">
        <v>11948</v>
      </c>
      <c r="C11917" s="3" t="s">
        <v>10743</v>
      </c>
      <c r="D11917" s="5">
        <f t="shared" si="372"/>
        <v>0.81</v>
      </c>
      <c r="E11917">
        <v>0.9</v>
      </c>
      <c r="F11917" s="1789">
        <v>8.8999999999999996E-2</v>
      </c>
      <c r="G11917">
        <f t="shared" si="373"/>
        <v>0.81</v>
      </c>
    </row>
    <row r="11918" spans="1:7" ht="12.75" customHeight="1">
      <c r="A11918" s="3">
        <v>100949</v>
      </c>
      <c r="B11918" s="4" t="s">
        <v>11949</v>
      </c>
      <c r="C11918" s="3" t="s">
        <v>10743</v>
      </c>
      <c r="D11918" s="5">
        <f t="shared" si="372"/>
        <v>6.22</v>
      </c>
      <c r="E11918">
        <v>6.83</v>
      </c>
      <c r="F11918" s="1789">
        <v>8.8999999999999996E-2</v>
      </c>
      <c r="G11918">
        <f t="shared" si="373"/>
        <v>6.22</v>
      </c>
    </row>
    <row r="11919" spans="1:7" ht="12.75" customHeight="1">
      <c r="A11919" s="3">
        <v>100950</v>
      </c>
      <c r="B11919" s="4" t="s">
        <v>11950</v>
      </c>
      <c r="C11919" s="3" t="s">
        <v>10743</v>
      </c>
      <c r="D11919" s="5">
        <f t="shared" si="372"/>
        <v>3.32</v>
      </c>
      <c r="E11919">
        <v>3.65</v>
      </c>
      <c r="F11919" s="1789">
        <v>8.8999999999999996E-2</v>
      </c>
      <c r="G11919">
        <f t="shared" si="373"/>
        <v>3.32</v>
      </c>
    </row>
    <row r="11920" spans="1:7" ht="12.75" customHeight="1">
      <c r="A11920" s="3">
        <v>100951</v>
      </c>
      <c r="B11920" s="4" t="s">
        <v>11951</v>
      </c>
      <c r="C11920" s="3" t="s">
        <v>10743</v>
      </c>
      <c r="D11920" s="5">
        <f t="shared" si="372"/>
        <v>2.86</v>
      </c>
      <c r="E11920">
        <v>3.15</v>
      </c>
      <c r="F11920" s="1789">
        <v>8.8999999999999996E-2</v>
      </c>
      <c r="G11920">
        <f t="shared" si="373"/>
        <v>2.86</v>
      </c>
    </row>
    <row r="11921" spans="1:7" ht="12.75" customHeight="1">
      <c r="A11921" s="3">
        <v>100952</v>
      </c>
      <c r="B11921" s="4" t="s">
        <v>11952</v>
      </c>
      <c r="C11921" s="3" t="s">
        <v>10743</v>
      </c>
      <c r="D11921" s="5">
        <f t="shared" si="372"/>
        <v>2.64</v>
      </c>
      <c r="E11921">
        <v>2.9</v>
      </c>
      <c r="F11921" s="1789">
        <v>8.8999999999999996E-2</v>
      </c>
      <c r="G11921">
        <f t="shared" si="373"/>
        <v>2.64</v>
      </c>
    </row>
    <row r="11922" spans="1:7" ht="12.75" customHeight="1">
      <c r="A11922" s="3">
        <v>100953</v>
      </c>
      <c r="B11922" s="4" t="s">
        <v>11953</v>
      </c>
      <c r="C11922" s="3" t="s">
        <v>10743</v>
      </c>
      <c r="D11922" s="5">
        <f t="shared" si="372"/>
        <v>1.04</v>
      </c>
      <c r="E11922">
        <v>1.1499999999999999</v>
      </c>
      <c r="F11922" s="1789">
        <v>8.8999999999999996E-2</v>
      </c>
      <c r="G11922">
        <f t="shared" si="373"/>
        <v>1.04</v>
      </c>
    </row>
    <row r="11923" spans="1:7" ht="12.75" customHeight="1">
      <c r="A11923" s="3">
        <v>100954</v>
      </c>
      <c r="B11923" s="4" t="s">
        <v>11954</v>
      </c>
      <c r="C11923" s="3" t="s">
        <v>10743</v>
      </c>
      <c r="D11923" s="5">
        <f t="shared" si="372"/>
        <v>7.9</v>
      </c>
      <c r="E11923">
        <v>8.68</v>
      </c>
      <c r="F11923" s="1789">
        <v>8.8999999999999996E-2</v>
      </c>
      <c r="G11923">
        <f t="shared" si="373"/>
        <v>7.9</v>
      </c>
    </row>
    <row r="11924" spans="1:7" ht="12.75" customHeight="1">
      <c r="A11924" s="3">
        <v>100955</v>
      </c>
      <c r="B11924" s="4" t="s">
        <v>11955</v>
      </c>
      <c r="C11924" s="3" t="s">
        <v>11696</v>
      </c>
      <c r="D11924" s="5">
        <f t="shared" si="372"/>
        <v>4.54</v>
      </c>
      <c r="E11924">
        <v>4.99</v>
      </c>
      <c r="F11924" s="1789">
        <v>8.8999999999999996E-2</v>
      </c>
      <c r="G11924">
        <f t="shared" si="373"/>
        <v>4.54</v>
      </c>
    </row>
    <row r="11925" spans="1:7" ht="12.75" customHeight="1">
      <c r="A11925" s="3">
        <v>100956</v>
      </c>
      <c r="B11925" s="4" t="s">
        <v>11956</v>
      </c>
      <c r="C11925" s="3" t="s">
        <v>11696</v>
      </c>
      <c r="D11925" s="5">
        <f t="shared" ref="D11925:D11988" si="374">G11925</f>
        <v>3.93</v>
      </c>
      <c r="E11925">
        <v>4.32</v>
      </c>
      <c r="F11925" s="1789">
        <v>8.8999999999999996E-2</v>
      </c>
      <c r="G11925">
        <f t="shared" ref="G11925:G11988" si="375">TRUNC((1-F11925)*E11925,2)</f>
        <v>3.93</v>
      </c>
    </row>
    <row r="11926" spans="1:7" ht="12.75" customHeight="1">
      <c r="A11926" s="3">
        <v>100957</v>
      </c>
      <c r="B11926" s="4" t="s">
        <v>11957</v>
      </c>
      <c r="C11926" s="3" t="s">
        <v>11696</v>
      </c>
      <c r="D11926" s="5">
        <f t="shared" si="374"/>
        <v>3.6</v>
      </c>
      <c r="E11926">
        <v>3.96</v>
      </c>
      <c r="F11926" s="1789">
        <v>8.8999999999999996E-2</v>
      </c>
      <c r="G11926">
        <f t="shared" si="375"/>
        <v>3.6</v>
      </c>
    </row>
    <row r="11927" spans="1:7" ht="12.75" customHeight="1">
      <c r="A11927" s="3">
        <v>100958</v>
      </c>
      <c r="B11927" s="4" t="s">
        <v>11958</v>
      </c>
      <c r="C11927" s="3" t="s">
        <v>11696</v>
      </c>
      <c r="D11927" s="5">
        <f t="shared" si="374"/>
        <v>1.44</v>
      </c>
      <c r="E11927">
        <v>1.59</v>
      </c>
      <c r="F11927" s="1789">
        <v>8.8999999999999996E-2</v>
      </c>
      <c r="G11927">
        <f t="shared" si="375"/>
        <v>1.44</v>
      </c>
    </row>
    <row r="11928" spans="1:7" ht="12.75" customHeight="1">
      <c r="A11928" s="3">
        <v>100959</v>
      </c>
      <c r="B11928" s="4" t="s">
        <v>11959</v>
      </c>
      <c r="C11928" s="3" t="s">
        <v>11696</v>
      </c>
      <c r="D11928" s="5">
        <f t="shared" si="374"/>
        <v>10.83</v>
      </c>
      <c r="E11928">
        <v>11.89</v>
      </c>
      <c r="F11928" s="1789">
        <v>8.8999999999999996E-2</v>
      </c>
      <c r="G11928">
        <f t="shared" si="375"/>
        <v>10.83</v>
      </c>
    </row>
    <row r="11929" spans="1:7" ht="12.75" customHeight="1">
      <c r="A11929" s="3">
        <v>100960</v>
      </c>
      <c r="B11929" s="4" t="s">
        <v>11960</v>
      </c>
      <c r="C11929" s="3" t="s">
        <v>11696</v>
      </c>
      <c r="D11929" s="5">
        <f t="shared" si="374"/>
        <v>3.36</v>
      </c>
      <c r="E11929">
        <v>3.69</v>
      </c>
      <c r="F11929" s="1789">
        <v>8.8999999999999996E-2</v>
      </c>
      <c r="G11929">
        <f t="shared" si="375"/>
        <v>3.36</v>
      </c>
    </row>
    <row r="11930" spans="1:7" ht="12.75" customHeight="1">
      <c r="A11930" s="3">
        <v>100961</v>
      </c>
      <c r="B11930" s="4" t="s">
        <v>11961</v>
      </c>
      <c r="C11930" s="3" t="s">
        <v>11696</v>
      </c>
      <c r="D11930" s="5">
        <f t="shared" si="374"/>
        <v>2.91</v>
      </c>
      <c r="E11930">
        <v>3.2</v>
      </c>
      <c r="F11930" s="1789">
        <v>8.8999999999999996E-2</v>
      </c>
      <c r="G11930">
        <f t="shared" si="375"/>
        <v>2.91</v>
      </c>
    </row>
    <row r="11931" spans="1:7" ht="12.75" customHeight="1">
      <c r="A11931" s="3">
        <v>100962</v>
      </c>
      <c r="B11931" s="4" t="s">
        <v>11962</v>
      </c>
      <c r="C11931" s="3" t="s">
        <v>11696</v>
      </c>
      <c r="D11931" s="5">
        <f t="shared" si="374"/>
        <v>2.66</v>
      </c>
      <c r="E11931">
        <v>2.92</v>
      </c>
      <c r="F11931" s="1789">
        <v>8.8999999999999996E-2</v>
      </c>
      <c r="G11931">
        <f t="shared" si="375"/>
        <v>2.66</v>
      </c>
    </row>
    <row r="11932" spans="1:7" ht="12.75" customHeight="1">
      <c r="A11932" s="3">
        <v>100963</v>
      </c>
      <c r="B11932" s="4" t="s">
        <v>11963</v>
      </c>
      <c r="C11932" s="3" t="s">
        <v>11696</v>
      </c>
      <c r="D11932" s="5">
        <f t="shared" si="374"/>
        <v>1.04</v>
      </c>
      <c r="E11932">
        <v>1.1499999999999999</v>
      </c>
      <c r="F11932" s="1789">
        <v>8.8999999999999996E-2</v>
      </c>
      <c r="G11932">
        <f t="shared" si="375"/>
        <v>1.04</v>
      </c>
    </row>
    <row r="11933" spans="1:7" ht="12.75" customHeight="1">
      <c r="A11933" s="3">
        <v>100964</v>
      </c>
      <c r="B11933" s="4" t="s">
        <v>11964</v>
      </c>
      <c r="C11933" s="3" t="s">
        <v>11696</v>
      </c>
      <c r="D11933" s="5">
        <f t="shared" si="374"/>
        <v>8.07</v>
      </c>
      <c r="E11933">
        <v>8.86</v>
      </c>
      <c r="F11933" s="1789">
        <v>8.8999999999999996E-2</v>
      </c>
      <c r="G11933">
        <f t="shared" si="375"/>
        <v>8.07</v>
      </c>
    </row>
    <row r="11934" spans="1:7" ht="12.75" customHeight="1">
      <c r="A11934" s="3">
        <v>100973</v>
      </c>
      <c r="B11934" s="4" t="s">
        <v>11965</v>
      </c>
      <c r="C11934" s="3" t="s">
        <v>152</v>
      </c>
      <c r="D11934" s="5">
        <f t="shared" si="374"/>
        <v>8.02</v>
      </c>
      <c r="E11934">
        <v>8.81</v>
      </c>
      <c r="F11934" s="1789">
        <v>8.8999999999999996E-2</v>
      </c>
      <c r="G11934">
        <f t="shared" si="375"/>
        <v>8.02</v>
      </c>
    </row>
    <row r="11935" spans="1:7" ht="12.75" customHeight="1">
      <c r="A11935" s="3">
        <v>100974</v>
      </c>
      <c r="B11935" s="4" t="s">
        <v>11966</v>
      </c>
      <c r="C11935" s="3" t="s">
        <v>152</v>
      </c>
      <c r="D11935" s="5">
        <f t="shared" si="374"/>
        <v>7.74</v>
      </c>
      <c r="E11935">
        <v>8.5</v>
      </c>
      <c r="F11935" s="1789">
        <v>8.8999999999999996E-2</v>
      </c>
      <c r="G11935">
        <f t="shared" si="375"/>
        <v>7.74</v>
      </c>
    </row>
    <row r="11936" spans="1:7" ht="12.75" customHeight="1">
      <c r="A11936" s="3">
        <v>100975</v>
      </c>
      <c r="B11936" s="4" t="s">
        <v>11967</v>
      </c>
      <c r="C11936" s="3" t="s">
        <v>152</v>
      </c>
      <c r="D11936" s="5">
        <f t="shared" si="374"/>
        <v>7.84</v>
      </c>
      <c r="E11936">
        <v>8.61</v>
      </c>
      <c r="F11936" s="1789">
        <v>8.8999999999999996E-2</v>
      </c>
      <c r="G11936">
        <f t="shared" si="375"/>
        <v>7.84</v>
      </c>
    </row>
    <row r="11937" spans="1:7" ht="12.75" customHeight="1">
      <c r="A11937" s="3">
        <v>100965</v>
      </c>
      <c r="B11937" s="4" t="s">
        <v>11968</v>
      </c>
      <c r="C11937" s="3" t="s">
        <v>10743</v>
      </c>
      <c r="D11937" s="5">
        <f t="shared" si="374"/>
        <v>1.64</v>
      </c>
      <c r="E11937">
        <v>1.81</v>
      </c>
      <c r="F11937" s="1789">
        <v>8.8999999999999996E-2</v>
      </c>
      <c r="G11937">
        <f t="shared" si="375"/>
        <v>1.64</v>
      </c>
    </row>
    <row r="11938" spans="1:7" ht="12.75" customHeight="1">
      <c r="A11938" s="3">
        <v>100966</v>
      </c>
      <c r="B11938" s="4" t="s">
        <v>11969</v>
      </c>
      <c r="C11938" s="3" t="s">
        <v>10743</v>
      </c>
      <c r="D11938" s="5">
        <f t="shared" si="374"/>
        <v>1.41</v>
      </c>
      <c r="E11938">
        <v>1.55</v>
      </c>
      <c r="F11938" s="1789">
        <v>8.8999999999999996E-2</v>
      </c>
      <c r="G11938">
        <f t="shared" si="375"/>
        <v>1.41</v>
      </c>
    </row>
    <row r="11939" spans="1:7" ht="12.75" customHeight="1">
      <c r="A11939" s="3">
        <v>100969</v>
      </c>
      <c r="B11939" s="4" t="s">
        <v>11970</v>
      </c>
      <c r="C11939" s="3" t="s">
        <v>10743</v>
      </c>
      <c r="D11939" s="5">
        <f t="shared" si="374"/>
        <v>2.16</v>
      </c>
      <c r="E11939">
        <v>2.38</v>
      </c>
      <c r="F11939" s="1789">
        <v>8.8999999999999996E-2</v>
      </c>
      <c r="G11939">
        <f t="shared" si="375"/>
        <v>2.16</v>
      </c>
    </row>
    <row r="11940" spans="1:7" ht="12.75" customHeight="1">
      <c r="A11940" s="3">
        <v>100970</v>
      </c>
      <c r="B11940" s="4" t="s">
        <v>11971</v>
      </c>
      <c r="C11940" s="3" t="s">
        <v>10743</v>
      </c>
      <c r="D11940" s="5">
        <f t="shared" si="374"/>
        <v>1.83</v>
      </c>
      <c r="E11940">
        <v>2.0099999999999998</v>
      </c>
      <c r="F11940" s="1789">
        <v>8.8999999999999996E-2</v>
      </c>
      <c r="G11940">
        <f t="shared" si="375"/>
        <v>1.83</v>
      </c>
    </row>
    <row r="11941" spans="1:7" ht="12.75" customHeight="1">
      <c r="A11941" s="3">
        <v>102330</v>
      </c>
      <c r="B11941" s="4" t="s">
        <v>11972</v>
      </c>
      <c r="C11941" s="3" t="s">
        <v>10743</v>
      </c>
      <c r="D11941" s="5">
        <f t="shared" si="374"/>
        <v>1.32</v>
      </c>
      <c r="E11941">
        <v>1.45</v>
      </c>
      <c r="F11941" s="1789">
        <v>8.8999999999999996E-2</v>
      </c>
      <c r="G11941">
        <f t="shared" si="375"/>
        <v>1.32</v>
      </c>
    </row>
    <row r="11942" spans="1:7" ht="12.75" customHeight="1">
      <c r="A11942" s="3">
        <v>102331</v>
      </c>
      <c r="B11942" s="4" t="s">
        <v>11973</v>
      </c>
      <c r="C11942" s="3" t="s">
        <v>10743</v>
      </c>
      <c r="D11942" s="5">
        <f t="shared" si="374"/>
        <v>0.51</v>
      </c>
      <c r="E11942">
        <v>0.56999999999999995</v>
      </c>
      <c r="F11942" s="1789">
        <v>8.8999999999999996E-2</v>
      </c>
      <c r="G11942">
        <f t="shared" si="375"/>
        <v>0.51</v>
      </c>
    </row>
    <row r="11943" spans="1:7" ht="12.75" customHeight="1">
      <c r="A11943" s="3">
        <v>102332</v>
      </c>
      <c r="B11943" s="4" t="s">
        <v>11974</v>
      </c>
      <c r="C11943" s="3" t="s">
        <v>10743</v>
      </c>
      <c r="D11943" s="5">
        <f t="shared" si="374"/>
        <v>1.7</v>
      </c>
      <c r="E11943">
        <v>1.87</v>
      </c>
      <c r="F11943" s="1789">
        <v>8.8999999999999996E-2</v>
      </c>
      <c r="G11943">
        <f t="shared" si="375"/>
        <v>1.7</v>
      </c>
    </row>
    <row r="11944" spans="1:7" ht="12.75" customHeight="1">
      <c r="A11944" s="3">
        <v>102333</v>
      </c>
      <c r="B11944" s="4" t="s">
        <v>11975</v>
      </c>
      <c r="C11944" s="3" t="s">
        <v>10743</v>
      </c>
      <c r="D11944" s="5">
        <f t="shared" si="374"/>
        <v>0.68</v>
      </c>
      <c r="E11944">
        <v>0.75</v>
      </c>
      <c r="F11944" s="1789">
        <v>8.8999999999999996E-2</v>
      </c>
      <c r="G11944">
        <f t="shared" si="375"/>
        <v>0.68</v>
      </c>
    </row>
    <row r="11945" spans="1:7" ht="12.75" customHeight="1">
      <c r="A11945" s="3">
        <v>101019</v>
      </c>
      <c r="B11945" s="4" t="s">
        <v>11976</v>
      </c>
      <c r="C11945" s="3" t="s">
        <v>1201</v>
      </c>
      <c r="D11945" s="5">
        <f t="shared" si="374"/>
        <v>520.49</v>
      </c>
      <c r="E11945">
        <v>571.34</v>
      </c>
      <c r="F11945" s="1789">
        <v>8.8999999999999996E-2</v>
      </c>
      <c r="G11945">
        <f t="shared" si="375"/>
        <v>520.49</v>
      </c>
    </row>
    <row r="11946" spans="1:7" ht="12.75" customHeight="1">
      <c r="A11946" s="3">
        <v>101479</v>
      </c>
      <c r="B11946" s="4" t="s">
        <v>11977</v>
      </c>
      <c r="C11946" s="3" t="s">
        <v>1201</v>
      </c>
      <c r="D11946" s="5">
        <f t="shared" si="374"/>
        <v>151.63999999999999</v>
      </c>
      <c r="E11946">
        <v>166.46</v>
      </c>
      <c r="F11946" s="1789">
        <v>8.8999999999999996E-2</v>
      </c>
      <c r="G11946">
        <f t="shared" si="375"/>
        <v>151.63999999999999</v>
      </c>
    </row>
    <row r="11947" spans="1:7" ht="12.75" customHeight="1">
      <c r="A11947" s="3">
        <v>102568</v>
      </c>
      <c r="B11947" s="4" t="s">
        <v>11978</v>
      </c>
      <c r="C11947" s="3" t="s">
        <v>1201</v>
      </c>
      <c r="D11947" s="5">
        <f t="shared" si="374"/>
        <v>258.33</v>
      </c>
      <c r="E11947">
        <v>283.57</v>
      </c>
      <c r="F11947" s="1789">
        <v>8.8999999999999996E-2</v>
      </c>
      <c r="G11947">
        <f t="shared" si="375"/>
        <v>258.33</v>
      </c>
    </row>
    <row r="11948" spans="1:7" ht="12.75" customHeight="1">
      <c r="A11948" s="3">
        <v>100976</v>
      </c>
      <c r="B11948" s="4" t="s">
        <v>11979</v>
      </c>
      <c r="C11948" s="3" t="s">
        <v>152</v>
      </c>
      <c r="D11948" s="5">
        <f t="shared" si="374"/>
        <v>7.68</v>
      </c>
      <c r="E11948">
        <v>8.44</v>
      </c>
      <c r="F11948" s="1789">
        <v>8.8999999999999996E-2</v>
      </c>
      <c r="G11948">
        <f t="shared" si="375"/>
        <v>7.68</v>
      </c>
    </row>
    <row r="11949" spans="1:7" ht="12.75" customHeight="1">
      <c r="A11949" s="3">
        <v>100977</v>
      </c>
      <c r="B11949" s="4" t="s">
        <v>11980</v>
      </c>
      <c r="C11949" s="3" t="s">
        <v>152</v>
      </c>
      <c r="D11949" s="5">
        <f t="shared" si="374"/>
        <v>6.99</v>
      </c>
      <c r="E11949">
        <v>7.68</v>
      </c>
      <c r="F11949" s="1789">
        <v>8.8999999999999996E-2</v>
      </c>
      <c r="G11949">
        <f t="shared" si="375"/>
        <v>6.99</v>
      </c>
    </row>
    <row r="11950" spans="1:7" ht="12.75" customHeight="1">
      <c r="A11950" s="3">
        <v>100978</v>
      </c>
      <c r="B11950" s="4" t="s">
        <v>11981</v>
      </c>
      <c r="C11950" s="3" t="s">
        <v>152</v>
      </c>
      <c r="D11950" s="5">
        <f t="shared" si="374"/>
        <v>6.31</v>
      </c>
      <c r="E11950">
        <v>6.93</v>
      </c>
      <c r="F11950" s="1789">
        <v>8.8999999999999996E-2</v>
      </c>
      <c r="G11950">
        <f t="shared" si="375"/>
        <v>6.31</v>
      </c>
    </row>
    <row r="11951" spans="1:7" ht="12.75" customHeight="1">
      <c r="A11951" s="3">
        <v>100979</v>
      </c>
      <c r="B11951" s="4" t="s">
        <v>11982</v>
      </c>
      <c r="C11951" s="3" t="s">
        <v>152</v>
      </c>
      <c r="D11951" s="5">
        <f t="shared" si="374"/>
        <v>6.07</v>
      </c>
      <c r="E11951">
        <v>6.67</v>
      </c>
      <c r="F11951" s="1789">
        <v>8.8999999999999996E-2</v>
      </c>
      <c r="G11951">
        <f t="shared" si="375"/>
        <v>6.07</v>
      </c>
    </row>
    <row r="11952" spans="1:7" ht="12.75" customHeight="1">
      <c r="A11952" s="3">
        <v>100980</v>
      </c>
      <c r="B11952" s="4" t="s">
        <v>11983</v>
      </c>
      <c r="C11952" s="3" t="s">
        <v>152</v>
      </c>
      <c r="D11952" s="5">
        <f t="shared" si="374"/>
        <v>5.75</v>
      </c>
      <c r="E11952">
        <v>6.32</v>
      </c>
      <c r="F11952" s="1789">
        <v>8.8999999999999996E-2</v>
      </c>
      <c r="G11952">
        <f t="shared" si="375"/>
        <v>5.75</v>
      </c>
    </row>
    <row r="11953" spans="1:7" ht="12.75" customHeight="1">
      <c r="A11953" s="3">
        <v>100981</v>
      </c>
      <c r="B11953" s="4" t="s">
        <v>11984</v>
      </c>
      <c r="C11953" s="3" t="s">
        <v>152</v>
      </c>
      <c r="D11953" s="5">
        <f t="shared" si="374"/>
        <v>8.49</v>
      </c>
      <c r="E11953">
        <v>9.33</v>
      </c>
      <c r="F11953" s="1789">
        <v>8.8999999999999996E-2</v>
      </c>
      <c r="G11953">
        <f t="shared" si="375"/>
        <v>8.49</v>
      </c>
    </row>
    <row r="11954" spans="1:7" ht="12.75" customHeight="1">
      <c r="A11954" s="3">
        <v>100982</v>
      </c>
      <c r="B11954" s="4" t="s">
        <v>11985</v>
      </c>
      <c r="C11954" s="3" t="s">
        <v>152</v>
      </c>
      <c r="D11954" s="5">
        <f t="shared" si="374"/>
        <v>8.14</v>
      </c>
      <c r="E11954">
        <v>8.94</v>
      </c>
      <c r="F11954" s="1789">
        <v>8.8999999999999996E-2</v>
      </c>
      <c r="G11954">
        <f t="shared" si="375"/>
        <v>8.14</v>
      </c>
    </row>
    <row r="11955" spans="1:7" ht="12.75" customHeight="1">
      <c r="A11955" s="3">
        <v>100983</v>
      </c>
      <c r="B11955" s="4" t="s">
        <v>11986</v>
      </c>
      <c r="C11955" s="3" t="s">
        <v>152</v>
      </c>
      <c r="D11955" s="5">
        <f t="shared" si="374"/>
        <v>8.1999999999999993</v>
      </c>
      <c r="E11955">
        <v>9.01</v>
      </c>
      <c r="F11955" s="1789">
        <v>8.8999999999999996E-2</v>
      </c>
      <c r="G11955">
        <f t="shared" si="375"/>
        <v>8.1999999999999993</v>
      </c>
    </row>
    <row r="11956" spans="1:7" ht="12.75" customHeight="1">
      <c r="A11956" s="3">
        <v>100984</v>
      </c>
      <c r="B11956" s="4" t="s">
        <v>11987</v>
      </c>
      <c r="C11956" s="3" t="s">
        <v>152</v>
      </c>
      <c r="D11956" s="5">
        <f t="shared" si="374"/>
        <v>8.0399999999999991</v>
      </c>
      <c r="E11956">
        <v>8.83</v>
      </c>
      <c r="F11956" s="1789">
        <v>8.8999999999999996E-2</v>
      </c>
      <c r="G11956">
        <f t="shared" si="375"/>
        <v>8.0399999999999991</v>
      </c>
    </row>
    <row r="11957" spans="1:7" ht="12.75" customHeight="1">
      <c r="A11957" s="3">
        <v>100985</v>
      </c>
      <c r="B11957" s="4" t="s">
        <v>11988</v>
      </c>
      <c r="C11957" s="3" t="s">
        <v>152</v>
      </c>
      <c r="D11957" s="5">
        <f t="shared" si="374"/>
        <v>7</v>
      </c>
      <c r="E11957">
        <v>7.69</v>
      </c>
      <c r="F11957" s="1789">
        <v>8.8999999999999996E-2</v>
      </c>
      <c r="G11957">
        <f t="shared" si="375"/>
        <v>7</v>
      </c>
    </row>
    <row r="11958" spans="1:7" ht="12.75" customHeight="1">
      <c r="A11958" s="3">
        <v>100986</v>
      </c>
      <c r="B11958" s="4" t="s">
        <v>11989</v>
      </c>
      <c r="C11958" s="3" t="s">
        <v>152</v>
      </c>
      <c r="D11958" s="5">
        <f t="shared" si="374"/>
        <v>8.39</v>
      </c>
      <c r="E11958">
        <v>9.2100000000000009</v>
      </c>
      <c r="F11958" s="1789">
        <v>8.8999999999999996E-2</v>
      </c>
      <c r="G11958">
        <f t="shared" si="375"/>
        <v>8.39</v>
      </c>
    </row>
    <row r="11959" spans="1:7" ht="12.75" customHeight="1">
      <c r="A11959" s="3">
        <v>100987</v>
      </c>
      <c r="B11959" s="4" t="s">
        <v>11990</v>
      </c>
      <c r="C11959" s="3" t="s">
        <v>152</v>
      </c>
      <c r="D11959" s="5">
        <f t="shared" si="374"/>
        <v>9.65</v>
      </c>
      <c r="E11959">
        <v>10.6</v>
      </c>
      <c r="F11959" s="1789">
        <v>8.8999999999999996E-2</v>
      </c>
      <c r="G11959">
        <f t="shared" si="375"/>
        <v>9.65</v>
      </c>
    </row>
    <row r="11960" spans="1:7" ht="12.75" customHeight="1">
      <c r="A11960" s="3">
        <v>100988</v>
      </c>
      <c r="B11960" s="4" t="s">
        <v>11991</v>
      </c>
      <c r="C11960" s="3" t="s">
        <v>152</v>
      </c>
      <c r="D11960" s="5">
        <f t="shared" si="374"/>
        <v>10.220000000000001</v>
      </c>
      <c r="E11960">
        <v>11.22</v>
      </c>
      <c r="F11960" s="1789">
        <v>8.8999999999999996E-2</v>
      </c>
      <c r="G11960">
        <f t="shared" si="375"/>
        <v>10.220000000000001</v>
      </c>
    </row>
    <row r="11961" spans="1:7" ht="12.75" customHeight="1">
      <c r="A11961" s="3">
        <v>100989</v>
      </c>
      <c r="B11961" s="4" t="s">
        <v>11992</v>
      </c>
      <c r="C11961" s="3" t="s">
        <v>1201</v>
      </c>
      <c r="D11961" s="5">
        <f t="shared" si="374"/>
        <v>5.35</v>
      </c>
      <c r="E11961">
        <v>5.88</v>
      </c>
      <c r="F11961" s="1789">
        <v>8.8999999999999996E-2</v>
      </c>
      <c r="G11961">
        <f t="shared" si="375"/>
        <v>5.35</v>
      </c>
    </row>
    <row r="11962" spans="1:7" ht="12.75" customHeight="1">
      <c r="A11962" s="3">
        <v>100990</v>
      </c>
      <c r="B11962" s="4" t="s">
        <v>11993</v>
      </c>
      <c r="C11962" s="3" t="s">
        <v>1201</v>
      </c>
      <c r="D11962" s="5">
        <f t="shared" si="374"/>
        <v>5.17</v>
      </c>
      <c r="E11962">
        <v>5.68</v>
      </c>
      <c r="F11962" s="1789">
        <v>8.8999999999999996E-2</v>
      </c>
      <c r="G11962">
        <f t="shared" si="375"/>
        <v>5.17</v>
      </c>
    </row>
    <row r="11963" spans="1:7" ht="12.75" customHeight="1">
      <c r="A11963" s="3">
        <v>100991</v>
      </c>
      <c r="B11963" s="4" t="s">
        <v>11994</v>
      </c>
      <c r="C11963" s="3" t="s">
        <v>1201</v>
      </c>
      <c r="D11963" s="5">
        <f t="shared" si="374"/>
        <v>5.24</v>
      </c>
      <c r="E11963">
        <v>5.76</v>
      </c>
      <c r="F11963" s="1789">
        <v>8.8999999999999996E-2</v>
      </c>
      <c r="G11963">
        <f t="shared" si="375"/>
        <v>5.24</v>
      </c>
    </row>
    <row r="11964" spans="1:7" ht="12.75" customHeight="1">
      <c r="A11964" s="3">
        <v>100992</v>
      </c>
      <c r="B11964" s="4" t="s">
        <v>11995</v>
      </c>
      <c r="C11964" s="3" t="s">
        <v>1201</v>
      </c>
      <c r="D11964" s="5">
        <f t="shared" si="374"/>
        <v>5.12</v>
      </c>
      <c r="E11964">
        <v>5.63</v>
      </c>
      <c r="F11964" s="1789">
        <v>8.8999999999999996E-2</v>
      </c>
      <c r="G11964">
        <f t="shared" si="375"/>
        <v>5.12</v>
      </c>
    </row>
    <row r="11965" spans="1:7" ht="12.75" customHeight="1">
      <c r="A11965" s="3">
        <v>100993</v>
      </c>
      <c r="B11965" s="4" t="s">
        <v>11996</v>
      </c>
      <c r="C11965" s="3" t="s">
        <v>1201</v>
      </c>
      <c r="D11965" s="5">
        <f t="shared" si="374"/>
        <v>4.6500000000000004</v>
      </c>
      <c r="E11965">
        <v>5.1100000000000003</v>
      </c>
      <c r="F11965" s="1789">
        <v>8.8999999999999996E-2</v>
      </c>
      <c r="G11965">
        <f t="shared" si="375"/>
        <v>4.6500000000000004</v>
      </c>
    </row>
    <row r="11966" spans="1:7" ht="12.75" customHeight="1">
      <c r="A11966" s="3">
        <v>100994</v>
      </c>
      <c r="B11966" s="4" t="s">
        <v>11997</v>
      </c>
      <c r="C11966" s="3" t="s">
        <v>1201</v>
      </c>
      <c r="D11966" s="5">
        <f t="shared" si="374"/>
        <v>4.1900000000000004</v>
      </c>
      <c r="E11966">
        <v>4.6100000000000003</v>
      </c>
      <c r="F11966" s="1789">
        <v>8.8999999999999996E-2</v>
      </c>
      <c r="G11966">
        <f t="shared" si="375"/>
        <v>4.1900000000000004</v>
      </c>
    </row>
    <row r="11967" spans="1:7" ht="12.75" customHeight="1">
      <c r="A11967" s="3">
        <v>100995</v>
      </c>
      <c r="B11967" s="4" t="s">
        <v>11998</v>
      </c>
      <c r="C11967" s="3" t="s">
        <v>1201</v>
      </c>
      <c r="D11967" s="5">
        <f t="shared" si="374"/>
        <v>4.05</v>
      </c>
      <c r="E11967">
        <v>4.45</v>
      </c>
      <c r="F11967" s="1789">
        <v>8.8999999999999996E-2</v>
      </c>
      <c r="G11967">
        <f t="shared" si="375"/>
        <v>4.05</v>
      </c>
    </row>
    <row r="11968" spans="1:7" ht="12.75" customHeight="1">
      <c r="A11968" s="3">
        <v>100996</v>
      </c>
      <c r="B11968" s="4" t="s">
        <v>11999</v>
      </c>
      <c r="C11968" s="3" t="s">
        <v>1201</v>
      </c>
      <c r="D11968" s="5">
        <f t="shared" si="374"/>
        <v>3.82</v>
      </c>
      <c r="E11968">
        <v>4.2</v>
      </c>
      <c r="F11968" s="1789">
        <v>8.8999999999999996E-2</v>
      </c>
      <c r="G11968">
        <f t="shared" si="375"/>
        <v>3.82</v>
      </c>
    </row>
    <row r="11969" spans="1:7" ht="12.75" customHeight="1">
      <c r="A11969" s="3">
        <v>100997</v>
      </c>
      <c r="B11969" s="4" t="s">
        <v>12000</v>
      </c>
      <c r="C11969" s="3" t="s">
        <v>1201</v>
      </c>
      <c r="D11969" s="5">
        <f t="shared" si="374"/>
        <v>5.67</v>
      </c>
      <c r="E11969">
        <v>6.23</v>
      </c>
      <c r="F11969" s="1789">
        <v>8.8999999999999996E-2</v>
      </c>
      <c r="G11969">
        <f t="shared" si="375"/>
        <v>5.67</v>
      </c>
    </row>
    <row r="11970" spans="1:7" ht="12.75" customHeight="1">
      <c r="A11970" s="3">
        <v>100998</v>
      </c>
      <c r="B11970" s="4" t="s">
        <v>12001</v>
      </c>
      <c r="C11970" s="3" t="s">
        <v>1201</v>
      </c>
      <c r="D11970" s="5">
        <f t="shared" si="374"/>
        <v>5.43</v>
      </c>
      <c r="E11970">
        <v>5.97</v>
      </c>
      <c r="F11970" s="1789">
        <v>8.8999999999999996E-2</v>
      </c>
      <c r="G11970">
        <f t="shared" si="375"/>
        <v>5.43</v>
      </c>
    </row>
    <row r="11971" spans="1:7" ht="12.75" customHeight="1">
      <c r="A11971" s="3">
        <v>100999</v>
      </c>
      <c r="B11971" s="4" t="s">
        <v>12002</v>
      </c>
      <c r="C11971" s="3" t="s">
        <v>1201</v>
      </c>
      <c r="D11971" s="5">
        <f t="shared" si="374"/>
        <v>5.49</v>
      </c>
      <c r="E11971">
        <v>6.03</v>
      </c>
      <c r="F11971" s="1789">
        <v>8.8999999999999996E-2</v>
      </c>
      <c r="G11971">
        <f t="shared" si="375"/>
        <v>5.49</v>
      </c>
    </row>
    <row r="11972" spans="1:7" ht="12.75" customHeight="1">
      <c r="A11972" s="3">
        <v>101000</v>
      </c>
      <c r="B11972" s="4" t="s">
        <v>12003</v>
      </c>
      <c r="C11972" s="3" t="s">
        <v>1201</v>
      </c>
      <c r="D11972" s="5">
        <f t="shared" si="374"/>
        <v>5.35</v>
      </c>
      <c r="E11972">
        <v>5.88</v>
      </c>
      <c r="F11972" s="1789">
        <v>8.8999999999999996E-2</v>
      </c>
      <c r="G11972">
        <f t="shared" si="375"/>
        <v>5.35</v>
      </c>
    </row>
    <row r="11973" spans="1:7" ht="12.75" customHeight="1">
      <c r="A11973" s="3">
        <v>101001</v>
      </c>
      <c r="B11973" s="4" t="s">
        <v>12004</v>
      </c>
      <c r="C11973" s="3" t="s">
        <v>1201</v>
      </c>
      <c r="D11973" s="5">
        <f t="shared" si="374"/>
        <v>4.67</v>
      </c>
      <c r="E11973">
        <v>5.13</v>
      </c>
      <c r="F11973" s="1789">
        <v>8.8999999999999996E-2</v>
      </c>
      <c r="G11973">
        <f t="shared" si="375"/>
        <v>4.67</v>
      </c>
    </row>
    <row r="11974" spans="1:7" ht="12.75" customHeight="1">
      <c r="A11974" s="3">
        <v>101002</v>
      </c>
      <c r="B11974" s="4" t="s">
        <v>12005</v>
      </c>
      <c r="C11974" s="3" t="s">
        <v>1201</v>
      </c>
      <c r="D11974" s="5">
        <f t="shared" si="374"/>
        <v>5.58</v>
      </c>
      <c r="E11974">
        <v>6.13</v>
      </c>
      <c r="F11974" s="1789">
        <v>8.8999999999999996E-2</v>
      </c>
      <c r="G11974">
        <f t="shared" si="375"/>
        <v>5.58</v>
      </c>
    </row>
    <row r="11975" spans="1:7" ht="12.75" customHeight="1">
      <c r="A11975" s="3">
        <v>101003</v>
      </c>
      <c r="B11975" s="4" t="s">
        <v>12006</v>
      </c>
      <c r="C11975" s="3" t="s">
        <v>1201</v>
      </c>
      <c r="D11975" s="5">
        <f t="shared" si="374"/>
        <v>6.42</v>
      </c>
      <c r="E11975">
        <v>7.05</v>
      </c>
      <c r="F11975" s="1789">
        <v>8.8999999999999996E-2</v>
      </c>
      <c r="G11975">
        <f t="shared" si="375"/>
        <v>6.42</v>
      </c>
    </row>
    <row r="11976" spans="1:7" ht="12.75" customHeight="1">
      <c r="A11976" s="3">
        <v>101004</v>
      </c>
      <c r="B11976" s="4" t="s">
        <v>12007</v>
      </c>
      <c r="C11976" s="3" t="s">
        <v>1201</v>
      </c>
      <c r="D11976" s="5">
        <f t="shared" si="374"/>
        <v>6.81</v>
      </c>
      <c r="E11976">
        <v>7.48</v>
      </c>
      <c r="F11976" s="1789">
        <v>8.8999999999999996E-2</v>
      </c>
      <c r="G11976">
        <f t="shared" si="375"/>
        <v>6.81</v>
      </c>
    </row>
    <row r="11977" spans="1:7" ht="12.75" customHeight="1">
      <c r="A11977" s="3">
        <v>101005</v>
      </c>
      <c r="B11977" s="4" t="s">
        <v>12008</v>
      </c>
      <c r="C11977" s="3" t="s">
        <v>152</v>
      </c>
      <c r="D11977" s="5">
        <f t="shared" si="374"/>
        <v>17.27</v>
      </c>
      <c r="E11977">
        <v>18.96</v>
      </c>
      <c r="F11977" s="1789">
        <v>8.8999999999999996E-2</v>
      </c>
      <c r="G11977">
        <f t="shared" si="375"/>
        <v>17.27</v>
      </c>
    </row>
    <row r="11978" spans="1:7" ht="12.75" customHeight="1">
      <c r="A11978" s="3">
        <v>101006</v>
      </c>
      <c r="B11978" s="4" t="s">
        <v>12009</v>
      </c>
      <c r="C11978" s="3" t="s">
        <v>152</v>
      </c>
      <c r="D11978" s="5">
        <f t="shared" si="374"/>
        <v>19.149999999999999</v>
      </c>
      <c r="E11978">
        <v>21.03</v>
      </c>
      <c r="F11978" s="1789">
        <v>8.8999999999999996E-2</v>
      </c>
      <c r="G11978">
        <f t="shared" si="375"/>
        <v>19.149999999999999</v>
      </c>
    </row>
    <row r="11979" spans="1:7" ht="12.75" customHeight="1">
      <c r="A11979" s="3">
        <v>101007</v>
      </c>
      <c r="B11979" s="4" t="s">
        <v>12010</v>
      </c>
      <c r="C11979" s="3" t="s">
        <v>152</v>
      </c>
      <c r="D11979" s="5">
        <f t="shared" si="374"/>
        <v>5.01</v>
      </c>
      <c r="E11979">
        <v>5.5</v>
      </c>
      <c r="F11979" s="1789">
        <v>8.8999999999999996E-2</v>
      </c>
      <c r="G11979">
        <f t="shared" si="375"/>
        <v>5.01</v>
      </c>
    </row>
    <row r="11980" spans="1:7" ht="12.75" customHeight="1">
      <c r="A11980" s="3">
        <v>101008</v>
      </c>
      <c r="B11980" s="4" t="s">
        <v>12011</v>
      </c>
      <c r="C11980" s="3" t="s">
        <v>152</v>
      </c>
      <c r="D11980" s="5">
        <f t="shared" si="374"/>
        <v>5.0599999999999996</v>
      </c>
      <c r="E11980">
        <v>5.56</v>
      </c>
      <c r="F11980" s="1789">
        <v>8.8999999999999996E-2</v>
      </c>
      <c r="G11980">
        <f t="shared" si="375"/>
        <v>5.0599999999999996</v>
      </c>
    </row>
    <row r="11981" spans="1:7" ht="12.75" customHeight="1">
      <c r="A11981" s="3">
        <v>101009</v>
      </c>
      <c r="B11981" s="4" t="s">
        <v>12012</v>
      </c>
      <c r="C11981" s="3" t="s">
        <v>1201</v>
      </c>
      <c r="D11981" s="5">
        <f t="shared" si="374"/>
        <v>40.1</v>
      </c>
      <c r="E11981">
        <v>44.02</v>
      </c>
      <c r="F11981" s="1789">
        <v>8.8999999999999996E-2</v>
      </c>
      <c r="G11981">
        <f t="shared" si="375"/>
        <v>40.1</v>
      </c>
    </row>
    <row r="11982" spans="1:7" ht="12.75" customHeight="1">
      <c r="A11982" s="3">
        <v>101010</v>
      </c>
      <c r="B11982" s="4" t="s">
        <v>12013</v>
      </c>
      <c r="C11982" s="3" t="s">
        <v>1201</v>
      </c>
      <c r="D11982" s="5">
        <f t="shared" si="374"/>
        <v>25.24</v>
      </c>
      <c r="E11982">
        <v>27.71</v>
      </c>
      <c r="F11982" s="1789">
        <v>8.8999999999999996E-2</v>
      </c>
      <c r="G11982">
        <f t="shared" si="375"/>
        <v>25.24</v>
      </c>
    </row>
    <row r="11983" spans="1:7" ht="12.75" customHeight="1">
      <c r="A11983" s="3">
        <v>101013</v>
      </c>
      <c r="B11983" s="4" t="s">
        <v>12014</v>
      </c>
      <c r="C11983" s="3" t="s">
        <v>1201</v>
      </c>
      <c r="D11983" s="5">
        <f t="shared" si="374"/>
        <v>41.52</v>
      </c>
      <c r="E11983">
        <v>45.58</v>
      </c>
      <c r="F11983" s="1789">
        <v>8.8999999999999996E-2</v>
      </c>
      <c r="G11983">
        <f t="shared" si="375"/>
        <v>41.52</v>
      </c>
    </row>
    <row r="11984" spans="1:7" ht="12.75" customHeight="1">
      <c r="A11984" s="3">
        <v>101014</v>
      </c>
      <c r="B11984" s="4" t="s">
        <v>12015</v>
      </c>
      <c r="C11984" s="3" t="s">
        <v>1201</v>
      </c>
      <c r="D11984" s="5">
        <f t="shared" si="374"/>
        <v>38.04</v>
      </c>
      <c r="E11984">
        <v>41.76</v>
      </c>
      <c r="F11984" s="1789">
        <v>8.8999999999999996E-2</v>
      </c>
      <c r="G11984">
        <f t="shared" si="375"/>
        <v>38.04</v>
      </c>
    </row>
    <row r="11985" spans="1:7" ht="12.75" customHeight="1">
      <c r="A11985" s="3">
        <v>101015</v>
      </c>
      <c r="B11985" s="4" t="s">
        <v>12016</v>
      </c>
      <c r="C11985" s="3" t="s">
        <v>1201</v>
      </c>
      <c r="D11985" s="5">
        <f t="shared" si="374"/>
        <v>31.25</v>
      </c>
      <c r="E11985">
        <v>34.31</v>
      </c>
      <c r="F11985" s="1789">
        <v>8.8999999999999996E-2</v>
      </c>
      <c r="G11985">
        <f t="shared" si="375"/>
        <v>31.25</v>
      </c>
    </row>
    <row r="11986" spans="1:7" ht="12.75" customHeight="1">
      <c r="A11986" s="3">
        <v>101016</v>
      </c>
      <c r="B11986" s="4" t="s">
        <v>12017</v>
      </c>
      <c r="C11986" s="3" t="s">
        <v>1201</v>
      </c>
      <c r="D11986" s="5">
        <f t="shared" si="374"/>
        <v>36.17</v>
      </c>
      <c r="E11986">
        <v>39.71</v>
      </c>
      <c r="F11986" s="1789">
        <v>8.8999999999999996E-2</v>
      </c>
      <c r="G11986">
        <f t="shared" si="375"/>
        <v>36.17</v>
      </c>
    </row>
    <row r="11987" spans="1:7" ht="12.75" customHeight="1">
      <c r="A11987" s="3">
        <v>101017</v>
      </c>
      <c r="B11987" s="4" t="s">
        <v>12018</v>
      </c>
      <c r="C11987" s="3" t="s">
        <v>1201</v>
      </c>
      <c r="D11987" s="5">
        <f t="shared" si="374"/>
        <v>27.43</v>
      </c>
      <c r="E11987">
        <v>30.11</v>
      </c>
      <c r="F11987" s="1789">
        <v>8.8999999999999996E-2</v>
      </c>
      <c r="G11987">
        <f t="shared" si="375"/>
        <v>27.43</v>
      </c>
    </row>
    <row r="11988" spans="1:7" ht="12.75" customHeight="1">
      <c r="A11988" s="3">
        <v>101018</v>
      </c>
      <c r="B11988" s="4" t="s">
        <v>12019</v>
      </c>
      <c r="C11988" s="3" t="s">
        <v>1201</v>
      </c>
      <c r="D11988" s="5">
        <f t="shared" si="374"/>
        <v>22.52</v>
      </c>
      <c r="E11988">
        <v>24.73</v>
      </c>
      <c r="F11988" s="1789">
        <v>8.8999999999999996E-2</v>
      </c>
      <c r="G11988">
        <f t="shared" si="375"/>
        <v>22.52</v>
      </c>
    </row>
    <row r="11989" spans="1:7" ht="12.75" customHeight="1">
      <c r="A11989" s="3">
        <v>101463</v>
      </c>
      <c r="B11989" s="4" t="s">
        <v>12020</v>
      </c>
      <c r="C11989" s="3" t="s">
        <v>1201</v>
      </c>
      <c r="D11989" s="5">
        <f t="shared" ref="D11989:D12052" si="376">G11989</f>
        <v>41.65</v>
      </c>
      <c r="E11989">
        <v>45.72</v>
      </c>
      <c r="F11989" s="1789">
        <v>8.8999999999999996E-2</v>
      </c>
      <c r="G11989">
        <f t="shared" ref="G11989:G12052" si="377">TRUNC((1-F11989)*E11989,2)</f>
        <v>41.65</v>
      </c>
    </row>
    <row r="11990" spans="1:7" ht="12.75" customHeight="1">
      <c r="A11990" s="3">
        <v>101464</v>
      </c>
      <c r="B11990" s="4" t="s">
        <v>12021</v>
      </c>
      <c r="C11990" s="3" t="s">
        <v>1201</v>
      </c>
      <c r="D11990" s="5">
        <f t="shared" si="376"/>
        <v>31.98</v>
      </c>
      <c r="E11990">
        <v>35.11</v>
      </c>
      <c r="F11990" s="1789">
        <v>8.8999999999999996E-2</v>
      </c>
      <c r="G11990">
        <f t="shared" si="377"/>
        <v>31.98</v>
      </c>
    </row>
    <row r="11991" spans="1:7" ht="12.75" customHeight="1">
      <c r="A11991" s="3">
        <v>101465</v>
      </c>
      <c r="B11991" s="4" t="s">
        <v>12022</v>
      </c>
      <c r="C11991" s="3" t="s">
        <v>1201</v>
      </c>
      <c r="D11991" s="5">
        <f t="shared" si="376"/>
        <v>24.45</v>
      </c>
      <c r="E11991">
        <v>26.84</v>
      </c>
      <c r="F11991" s="1789">
        <v>8.8999999999999996E-2</v>
      </c>
      <c r="G11991">
        <f t="shared" si="377"/>
        <v>24.45</v>
      </c>
    </row>
    <row r="11992" spans="1:7" ht="12.75" customHeight="1">
      <c r="A11992" s="3">
        <v>101466</v>
      </c>
      <c r="B11992" s="4" t="s">
        <v>12023</v>
      </c>
      <c r="C11992" s="3" t="s">
        <v>1201</v>
      </c>
      <c r="D11992" s="5">
        <f t="shared" si="376"/>
        <v>19.88</v>
      </c>
      <c r="E11992">
        <v>21.83</v>
      </c>
      <c r="F11992" s="1789">
        <v>8.8999999999999996E-2</v>
      </c>
      <c r="G11992">
        <f t="shared" si="377"/>
        <v>19.88</v>
      </c>
    </row>
    <row r="11993" spans="1:7" ht="12.75" customHeight="1">
      <c r="A11993" s="3">
        <v>101467</v>
      </c>
      <c r="B11993" s="4" t="s">
        <v>12024</v>
      </c>
      <c r="C11993" s="3" t="s">
        <v>1201</v>
      </c>
      <c r="D11993" s="5">
        <f t="shared" si="376"/>
        <v>16.649999999999999</v>
      </c>
      <c r="E11993">
        <v>18.28</v>
      </c>
      <c r="F11993" s="1789">
        <v>8.8999999999999996E-2</v>
      </c>
      <c r="G11993">
        <f t="shared" si="377"/>
        <v>16.649999999999999</v>
      </c>
    </row>
    <row r="11994" spans="1:7" ht="12.75" customHeight="1">
      <c r="A11994" s="3">
        <v>101468</v>
      </c>
      <c r="B11994" s="4" t="s">
        <v>12025</v>
      </c>
      <c r="C11994" s="3" t="s">
        <v>1201</v>
      </c>
      <c r="D11994" s="5">
        <f t="shared" si="376"/>
        <v>15.22</v>
      </c>
      <c r="E11994">
        <v>16.71</v>
      </c>
      <c r="F11994" s="1789">
        <v>8.8999999999999996E-2</v>
      </c>
      <c r="G11994">
        <f t="shared" si="377"/>
        <v>15.22</v>
      </c>
    </row>
    <row r="11995" spans="1:7" ht="12.75" customHeight="1">
      <c r="A11995" s="3">
        <v>101469</v>
      </c>
      <c r="B11995" s="4" t="s">
        <v>12026</v>
      </c>
      <c r="C11995" s="3" t="s">
        <v>1201</v>
      </c>
      <c r="D11995" s="5">
        <f t="shared" si="376"/>
        <v>34.08</v>
      </c>
      <c r="E11995">
        <v>37.409999999999997</v>
      </c>
      <c r="F11995" s="1789">
        <v>8.8999999999999996E-2</v>
      </c>
      <c r="G11995">
        <f t="shared" si="377"/>
        <v>34.08</v>
      </c>
    </row>
    <row r="11996" spans="1:7" ht="12.75" customHeight="1">
      <c r="A11996" s="3">
        <v>101470</v>
      </c>
      <c r="B11996" s="4" t="s">
        <v>12027</v>
      </c>
      <c r="C11996" s="3" t="s">
        <v>1201</v>
      </c>
      <c r="D11996" s="5">
        <f t="shared" si="376"/>
        <v>27.05</v>
      </c>
      <c r="E11996">
        <v>29.7</v>
      </c>
      <c r="F11996" s="1789">
        <v>8.8999999999999996E-2</v>
      </c>
      <c r="G11996">
        <f t="shared" si="377"/>
        <v>27.05</v>
      </c>
    </row>
    <row r="11997" spans="1:7" ht="12.75" customHeight="1">
      <c r="A11997" s="3">
        <v>101471</v>
      </c>
      <c r="B11997" s="4" t="s">
        <v>12028</v>
      </c>
      <c r="C11997" s="3" t="s">
        <v>1201</v>
      </c>
      <c r="D11997" s="5">
        <f t="shared" si="376"/>
        <v>23.21</v>
      </c>
      <c r="E11997">
        <v>25.48</v>
      </c>
      <c r="F11997" s="1789">
        <v>8.8999999999999996E-2</v>
      </c>
      <c r="G11997">
        <f t="shared" si="377"/>
        <v>23.21</v>
      </c>
    </row>
    <row r="11998" spans="1:7" ht="12.75" customHeight="1">
      <c r="A11998" s="3">
        <v>101472</v>
      </c>
      <c r="B11998" s="4" t="s">
        <v>12029</v>
      </c>
      <c r="C11998" s="3" t="s">
        <v>1201</v>
      </c>
      <c r="D11998" s="5">
        <f t="shared" si="376"/>
        <v>18.05</v>
      </c>
      <c r="E11998">
        <v>19.82</v>
      </c>
      <c r="F11998" s="1789">
        <v>8.8999999999999996E-2</v>
      </c>
      <c r="G11998">
        <f t="shared" si="377"/>
        <v>18.05</v>
      </c>
    </row>
    <row r="11999" spans="1:7" ht="12.75" customHeight="1">
      <c r="A11999" s="3">
        <v>101473</v>
      </c>
      <c r="B11999" s="4" t="s">
        <v>12030</v>
      </c>
      <c r="C11999" s="3" t="s">
        <v>1201</v>
      </c>
      <c r="D11999" s="5">
        <f t="shared" si="376"/>
        <v>26.01</v>
      </c>
      <c r="E11999">
        <v>28.56</v>
      </c>
      <c r="F11999" s="1789">
        <v>8.8999999999999996E-2</v>
      </c>
      <c r="G11999">
        <f t="shared" si="377"/>
        <v>26.01</v>
      </c>
    </row>
    <row r="12000" spans="1:7" ht="12.75" customHeight="1">
      <c r="A12000" s="3">
        <v>101474</v>
      </c>
      <c r="B12000" s="4" t="s">
        <v>12031</v>
      </c>
      <c r="C12000" s="3" t="s">
        <v>1201</v>
      </c>
      <c r="D12000" s="5">
        <f t="shared" si="376"/>
        <v>18.61</v>
      </c>
      <c r="E12000">
        <v>20.43</v>
      </c>
      <c r="F12000" s="1789">
        <v>8.8999999999999996E-2</v>
      </c>
      <c r="G12000">
        <f t="shared" si="377"/>
        <v>18.61</v>
      </c>
    </row>
    <row r="12001" spans="1:7" ht="12.75" customHeight="1">
      <c r="A12001" s="3">
        <v>101475</v>
      </c>
      <c r="B12001" s="4" t="s">
        <v>12032</v>
      </c>
      <c r="C12001" s="3" t="s">
        <v>1201</v>
      </c>
      <c r="D12001" s="5">
        <f t="shared" si="376"/>
        <v>16.489999999999998</v>
      </c>
      <c r="E12001">
        <v>18.11</v>
      </c>
      <c r="F12001" s="1789">
        <v>8.8999999999999996E-2</v>
      </c>
      <c r="G12001">
        <f t="shared" si="377"/>
        <v>16.489999999999998</v>
      </c>
    </row>
    <row r="12002" spans="1:7" ht="12.75" customHeight="1">
      <c r="A12002" s="3">
        <v>101476</v>
      </c>
      <c r="B12002" s="4" t="s">
        <v>12033</v>
      </c>
      <c r="C12002" s="3" t="s">
        <v>1201</v>
      </c>
      <c r="D12002" s="5">
        <f t="shared" si="376"/>
        <v>14.72</v>
      </c>
      <c r="E12002">
        <v>16.16</v>
      </c>
      <c r="F12002" s="1789">
        <v>8.8999999999999996E-2</v>
      </c>
      <c r="G12002">
        <f t="shared" si="377"/>
        <v>14.72</v>
      </c>
    </row>
    <row r="12003" spans="1:7" ht="12.75" customHeight="1">
      <c r="A12003" s="3">
        <v>101477</v>
      </c>
      <c r="B12003" s="4" t="s">
        <v>12034</v>
      </c>
      <c r="C12003" s="3" t="s">
        <v>1201</v>
      </c>
      <c r="D12003" s="5">
        <f t="shared" si="376"/>
        <v>12.05</v>
      </c>
      <c r="E12003">
        <v>13.23</v>
      </c>
      <c r="F12003" s="1789">
        <v>8.8999999999999996E-2</v>
      </c>
      <c r="G12003">
        <f t="shared" si="377"/>
        <v>12.05</v>
      </c>
    </row>
    <row r="12004" spans="1:7" ht="12.75" customHeight="1">
      <c r="A12004" s="3">
        <v>101478</v>
      </c>
      <c r="B12004" s="4" t="s">
        <v>12035</v>
      </c>
      <c r="C12004" s="3" t="s">
        <v>1201</v>
      </c>
      <c r="D12004" s="5">
        <f t="shared" si="376"/>
        <v>10.25</v>
      </c>
      <c r="E12004">
        <v>11.26</v>
      </c>
      <c r="F12004" s="1789">
        <v>8.8999999999999996E-2</v>
      </c>
      <c r="G12004">
        <f t="shared" si="377"/>
        <v>10.25</v>
      </c>
    </row>
    <row r="12005" spans="1:7" ht="12.75" customHeight="1">
      <c r="A12005" s="3">
        <v>101480</v>
      </c>
      <c r="B12005" s="4" t="s">
        <v>12036</v>
      </c>
      <c r="C12005" s="3" t="s">
        <v>1201</v>
      </c>
      <c r="D12005" s="5">
        <f t="shared" si="376"/>
        <v>60.95</v>
      </c>
      <c r="E12005">
        <v>66.91</v>
      </c>
      <c r="F12005" s="1789">
        <v>8.8999999999999996E-2</v>
      </c>
      <c r="G12005">
        <f t="shared" si="377"/>
        <v>60.95</v>
      </c>
    </row>
    <row r="12006" spans="1:7" ht="12.75" customHeight="1">
      <c r="A12006" s="3">
        <v>101481</v>
      </c>
      <c r="B12006" s="4" t="s">
        <v>12037</v>
      </c>
      <c r="C12006" s="3" t="s">
        <v>1201</v>
      </c>
      <c r="D12006" s="5">
        <f t="shared" si="376"/>
        <v>44.01</v>
      </c>
      <c r="E12006">
        <v>48.32</v>
      </c>
      <c r="F12006" s="1789">
        <v>8.8999999999999996E-2</v>
      </c>
      <c r="G12006">
        <f t="shared" si="377"/>
        <v>44.01</v>
      </c>
    </row>
    <row r="12007" spans="1:7" ht="12.75" customHeight="1">
      <c r="A12007" s="3">
        <v>101482</v>
      </c>
      <c r="B12007" s="4" t="s">
        <v>12038</v>
      </c>
      <c r="C12007" s="3" t="s">
        <v>1201</v>
      </c>
      <c r="D12007" s="5">
        <f t="shared" si="376"/>
        <v>32.9</v>
      </c>
      <c r="E12007">
        <v>36.119999999999997</v>
      </c>
      <c r="F12007" s="1789">
        <v>8.8999999999999996E-2</v>
      </c>
      <c r="G12007">
        <f t="shared" si="377"/>
        <v>32.9</v>
      </c>
    </row>
    <row r="12008" spans="1:7" ht="12.75" customHeight="1">
      <c r="A12008" s="3">
        <v>101483</v>
      </c>
      <c r="B12008" s="4" t="s">
        <v>12039</v>
      </c>
      <c r="C12008" s="3" t="s">
        <v>1201</v>
      </c>
      <c r="D12008" s="5">
        <f t="shared" si="376"/>
        <v>34.15</v>
      </c>
      <c r="E12008">
        <v>37.49</v>
      </c>
      <c r="F12008" s="1789">
        <v>8.8999999999999996E-2</v>
      </c>
      <c r="G12008">
        <f t="shared" si="377"/>
        <v>34.15</v>
      </c>
    </row>
    <row r="12009" spans="1:7" ht="12.75" customHeight="1">
      <c r="A12009" s="3">
        <v>101484</v>
      </c>
      <c r="B12009" s="4" t="s">
        <v>12040</v>
      </c>
      <c r="C12009" s="3" t="s">
        <v>1201</v>
      </c>
      <c r="D12009" s="5">
        <f t="shared" si="376"/>
        <v>176.99</v>
      </c>
      <c r="E12009">
        <v>194.29</v>
      </c>
      <c r="F12009" s="1789">
        <v>8.8999999999999996E-2</v>
      </c>
      <c r="G12009">
        <f t="shared" si="377"/>
        <v>176.99</v>
      </c>
    </row>
    <row r="12010" spans="1:7" ht="12.75" customHeight="1">
      <c r="A12010" s="3">
        <v>101485</v>
      </c>
      <c r="B12010" s="4" t="s">
        <v>12041</v>
      </c>
      <c r="C12010" s="3" t="s">
        <v>1201</v>
      </c>
      <c r="D12010" s="5">
        <f t="shared" si="376"/>
        <v>135.87</v>
      </c>
      <c r="E12010">
        <v>149.15</v>
      </c>
      <c r="F12010" s="1789">
        <v>8.8999999999999996E-2</v>
      </c>
      <c r="G12010">
        <f t="shared" si="377"/>
        <v>135.87</v>
      </c>
    </row>
    <row r="12011" spans="1:7" ht="12.75" customHeight="1">
      <c r="A12011" s="3">
        <v>101486</v>
      </c>
      <c r="B12011" s="4" t="s">
        <v>12042</v>
      </c>
      <c r="C12011" s="3" t="s">
        <v>1201</v>
      </c>
      <c r="D12011" s="5">
        <f t="shared" si="376"/>
        <v>122.38</v>
      </c>
      <c r="E12011">
        <v>134.34</v>
      </c>
      <c r="F12011" s="1789">
        <v>8.8999999999999996E-2</v>
      </c>
      <c r="G12011">
        <f t="shared" si="377"/>
        <v>122.38</v>
      </c>
    </row>
    <row r="12012" spans="1:7" ht="12.75" customHeight="1">
      <c r="A12012" s="3">
        <v>101487</v>
      </c>
      <c r="B12012" s="4" t="s">
        <v>12043</v>
      </c>
      <c r="C12012" s="3" t="s">
        <v>1201</v>
      </c>
      <c r="D12012" s="5">
        <f t="shared" si="376"/>
        <v>89.61</v>
      </c>
      <c r="E12012">
        <v>98.37</v>
      </c>
      <c r="F12012" s="1789">
        <v>8.8999999999999996E-2</v>
      </c>
      <c r="G12012">
        <f t="shared" si="377"/>
        <v>89.61</v>
      </c>
    </row>
    <row r="12013" spans="1:7" ht="12.75" customHeight="1">
      <c r="A12013" s="3">
        <v>101488</v>
      </c>
      <c r="B12013" s="4" t="s">
        <v>12044</v>
      </c>
      <c r="C12013" s="3" t="s">
        <v>1201</v>
      </c>
      <c r="D12013" s="5">
        <f t="shared" si="376"/>
        <v>77.53</v>
      </c>
      <c r="E12013">
        <v>85.11</v>
      </c>
      <c r="F12013" s="1789">
        <v>8.8999999999999996E-2</v>
      </c>
      <c r="G12013">
        <f t="shared" si="377"/>
        <v>77.53</v>
      </c>
    </row>
    <row r="12014" spans="1:7" ht="12.75" customHeight="1">
      <c r="A12014" s="3">
        <v>101188</v>
      </c>
      <c r="B12014" s="4" t="s">
        <v>12045</v>
      </c>
      <c r="C12014" s="3" t="s">
        <v>50</v>
      </c>
      <c r="D12014" s="5">
        <f t="shared" si="376"/>
        <v>5.41</v>
      </c>
      <c r="E12014">
        <v>5.94</v>
      </c>
      <c r="F12014" s="1789">
        <v>8.8999999999999996E-2</v>
      </c>
      <c r="G12014">
        <f t="shared" si="377"/>
        <v>5.41</v>
      </c>
    </row>
    <row r="12015" spans="1:7" ht="12.75" customHeight="1">
      <c r="A12015" s="3">
        <v>101189</v>
      </c>
      <c r="B12015" s="4" t="s">
        <v>12046</v>
      </c>
      <c r="C12015" s="3" t="s">
        <v>50</v>
      </c>
      <c r="D12015" s="5">
        <f t="shared" si="376"/>
        <v>69.83</v>
      </c>
      <c r="E12015">
        <v>76.66</v>
      </c>
      <c r="F12015" s="1789">
        <v>8.8999999999999996E-2</v>
      </c>
      <c r="G12015">
        <f t="shared" si="377"/>
        <v>69.83</v>
      </c>
    </row>
    <row r="12016" spans="1:7" ht="12.75" customHeight="1">
      <c r="A12016" s="3">
        <v>101190</v>
      </c>
      <c r="B12016" s="4" t="s">
        <v>12047</v>
      </c>
      <c r="C12016" s="3" t="s">
        <v>50</v>
      </c>
      <c r="D12016" s="5">
        <f t="shared" si="376"/>
        <v>69.13</v>
      </c>
      <c r="E12016">
        <v>75.89</v>
      </c>
      <c r="F12016" s="1789">
        <v>8.8999999999999996E-2</v>
      </c>
      <c r="G12016">
        <f t="shared" si="377"/>
        <v>69.13</v>
      </c>
    </row>
    <row r="12017" spans="1:7" ht="12.75" customHeight="1">
      <c r="A12017" s="3">
        <v>101191</v>
      </c>
      <c r="B12017" s="4" t="s">
        <v>12048</v>
      </c>
      <c r="C12017" s="3" t="s">
        <v>50</v>
      </c>
      <c r="D12017" s="5">
        <f t="shared" si="376"/>
        <v>69.48</v>
      </c>
      <c r="E12017">
        <v>76.27</v>
      </c>
      <c r="F12017" s="1789">
        <v>8.8999999999999996E-2</v>
      </c>
      <c r="G12017">
        <f t="shared" si="377"/>
        <v>69.48</v>
      </c>
    </row>
    <row r="12018" spans="1:7" ht="12.75" customHeight="1">
      <c r="A12018" s="3">
        <v>101192</v>
      </c>
      <c r="B12018" s="4" t="s">
        <v>12049</v>
      </c>
      <c r="C12018" s="3" t="s">
        <v>50</v>
      </c>
      <c r="D12018" s="5">
        <f t="shared" si="376"/>
        <v>68.86</v>
      </c>
      <c r="E12018">
        <v>75.59</v>
      </c>
      <c r="F12018" s="1789">
        <v>8.8999999999999996E-2</v>
      </c>
      <c r="G12018">
        <f t="shared" si="377"/>
        <v>68.86</v>
      </c>
    </row>
    <row r="12019" spans="1:7" ht="12.75" customHeight="1">
      <c r="A12019" s="3">
        <v>101193</v>
      </c>
      <c r="B12019" s="4" t="s">
        <v>12050</v>
      </c>
      <c r="C12019" s="3" t="s">
        <v>50</v>
      </c>
      <c r="D12019" s="5">
        <f t="shared" si="376"/>
        <v>62.28</v>
      </c>
      <c r="E12019">
        <v>68.37</v>
      </c>
      <c r="F12019" s="1789">
        <v>8.8999999999999996E-2</v>
      </c>
      <c r="G12019">
        <f t="shared" si="377"/>
        <v>62.28</v>
      </c>
    </row>
    <row r="12020" spans="1:7" ht="12.75" customHeight="1">
      <c r="A12020" s="3">
        <v>101194</v>
      </c>
      <c r="B12020" s="4" t="s">
        <v>12051</v>
      </c>
      <c r="C12020" s="3" t="s">
        <v>50</v>
      </c>
      <c r="D12020" s="5">
        <f t="shared" si="376"/>
        <v>62.63</v>
      </c>
      <c r="E12020">
        <v>68.75</v>
      </c>
      <c r="F12020" s="1789">
        <v>8.8999999999999996E-2</v>
      </c>
      <c r="G12020">
        <f t="shared" si="377"/>
        <v>62.63</v>
      </c>
    </row>
    <row r="12021" spans="1:7" ht="12.75" customHeight="1">
      <c r="A12021" s="3">
        <v>101197</v>
      </c>
      <c r="B12021" s="4" t="s">
        <v>12052</v>
      </c>
      <c r="C12021" s="3" t="s">
        <v>50</v>
      </c>
      <c r="D12021" s="5">
        <f t="shared" si="376"/>
        <v>126.38</v>
      </c>
      <c r="E12021">
        <v>138.72999999999999</v>
      </c>
      <c r="F12021" s="1789">
        <v>8.8999999999999996E-2</v>
      </c>
      <c r="G12021">
        <f t="shared" si="377"/>
        <v>126.38</v>
      </c>
    </row>
    <row r="12022" spans="1:7" ht="12.75" customHeight="1">
      <c r="A12022" s="3">
        <v>101198</v>
      </c>
      <c r="B12022" s="4" t="s">
        <v>12053</v>
      </c>
      <c r="C12022" s="3" t="s">
        <v>50</v>
      </c>
      <c r="D12022" s="5">
        <f t="shared" si="376"/>
        <v>91.4</v>
      </c>
      <c r="E12022">
        <v>100.34</v>
      </c>
      <c r="F12022" s="1789">
        <v>8.8999999999999996E-2</v>
      </c>
      <c r="G12022">
        <f t="shared" si="377"/>
        <v>91.4</v>
      </c>
    </row>
    <row r="12023" spans="1:7" ht="12.75" customHeight="1">
      <c r="A12023" s="3">
        <v>101199</v>
      </c>
      <c r="B12023" s="4" t="s">
        <v>12054</v>
      </c>
      <c r="C12023" s="3" t="s">
        <v>50</v>
      </c>
      <c r="D12023" s="5">
        <f t="shared" si="376"/>
        <v>92.27</v>
      </c>
      <c r="E12023">
        <v>101.29</v>
      </c>
      <c r="F12023" s="1789">
        <v>8.8999999999999996E-2</v>
      </c>
      <c r="G12023">
        <f t="shared" si="377"/>
        <v>92.27</v>
      </c>
    </row>
    <row r="12024" spans="1:7" ht="12.75" customHeight="1">
      <c r="A12024" s="3">
        <v>101200</v>
      </c>
      <c r="B12024" s="4" t="s">
        <v>12055</v>
      </c>
      <c r="C12024" s="3" t="s">
        <v>50</v>
      </c>
      <c r="D12024" s="5">
        <f t="shared" si="376"/>
        <v>47.69</v>
      </c>
      <c r="E12024">
        <v>52.36</v>
      </c>
      <c r="F12024" s="1789">
        <v>8.8999999999999996E-2</v>
      </c>
      <c r="G12024">
        <f t="shared" si="377"/>
        <v>47.69</v>
      </c>
    </row>
    <row r="12025" spans="1:7" ht="12.75" customHeight="1">
      <c r="A12025" s="3">
        <v>101201</v>
      </c>
      <c r="B12025" s="4" t="s">
        <v>12056</v>
      </c>
      <c r="C12025" s="3" t="s">
        <v>50</v>
      </c>
      <c r="D12025" s="5">
        <f t="shared" si="376"/>
        <v>59.66</v>
      </c>
      <c r="E12025">
        <v>65.489999999999995</v>
      </c>
      <c r="F12025" s="1789">
        <v>8.8999999999999996E-2</v>
      </c>
      <c r="G12025">
        <f t="shared" si="377"/>
        <v>59.66</v>
      </c>
    </row>
    <row r="12026" spans="1:7" ht="12.75" customHeight="1">
      <c r="A12026" s="3">
        <v>101202</v>
      </c>
      <c r="B12026" s="4" t="s">
        <v>12057</v>
      </c>
      <c r="C12026" s="3" t="s">
        <v>50</v>
      </c>
      <c r="D12026" s="5">
        <f t="shared" si="376"/>
        <v>39.659999999999997</v>
      </c>
      <c r="E12026">
        <v>43.54</v>
      </c>
      <c r="F12026" s="1789">
        <v>8.8999999999999996E-2</v>
      </c>
      <c r="G12026">
        <f t="shared" si="377"/>
        <v>39.659999999999997</v>
      </c>
    </row>
    <row r="12027" spans="1:7" ht="12.75" customHeight="1">
      <c r="A12027" s="3">
        <v>101203</v>
      </c>
      <c r="B12027" s="4" t="s">
        <v>12058</v>
      </c>
      <c r="C12027" s="3" t="s">
        <v>50</v>
      </c>
      <c r="D12027" s="5">
        <f t="shared" si="376"/>
        <v>38.79</v>
      </c>
      <c r="E12027">
        <v>42.58</v>
      </c>
      <c r="F12027" s="1789">
        <v>8.8999999999999996E-2</v>
      </c>
      <c r="G12027">
        <f t="shared" si="377"/>
        <v>38.79</v>
      </c>
    </row>
    <row r="12028" spans="1:7" ht="12.75" customHeight="1">
      <c r="A12028" s="3">
        <v>101204</v>
      </c>
      <c r="B12028" s="4" t="s">
        <v>12059</v>
      </c>
      <c r="C12028" s="3" t="s">
        <v>50</v>
      </c>
      <c r="D12028" s="5">
        <f t="shared" si="376"/>
        <v>39.130000000000003</v>
      </c>
      <c r="E12028">
        <v>42.96</v>
      </c>
      <c r="F12028" s="1789">
        <v>8.8999999999999996E-2</v>
      </c>
      <c r="G12028">
        <f t="shared" si="377"/>
        <v>39.130000000000003</v>
      </c>
    </row>
    <row r="12029" spans="1:7" ht="12.75" customHeight="1">
      <c r="A12029" s="3">
        <v>101205</v>
      </c>
      <c r="B12029" s="4" t="s">
        <v>12060</v>
      </c>
      <c r="C12029" s="3" t="s">
        <v>50</v>
      </c>
      <c r="D12029" s="5">
        <f t="shared" si="376"/>
        <v>39.659999999999997</v>
      </c>
      <c r="E12029">
        <v>43.54</v>
      </c>
      <c r="F12029" s="1789">
        <v>8.8999999999999996E-2</v>
      </c>
      <c r="G12029">
        <f t="shared" si="377"/>
        <v>39.659999999999997</v>
      </c>
    </row>
    <row r="12030" spans="1:7" ht="12.75" customHeight="1">
      <c r="A12030" s="3">
        <v>102362</v>
      </c>
      <c r="B12030" s="4" t="s">
        <v>12061</v>
      </c>
      <c r="C12030" s="3" t="s">
        <v>409</v>
      </c>
      <c r="D12030" s="5">
        <f t="shared" si="376"/>
        <v>145.29</v>
      </c>
      <c r="E12030">
        <v>159.49</v>
      </c>
      <c r="F12030" s="1789">
        <v>8.8999999999999996E-2</v>
      </c>
      <c r="G12030">
        <f t="shared" si="377"/>
        <v>145.29</v>
      </c>
    </row>
    <row r="12031" spans="1:7" ht="12.75" customHeight="1">
      <c r="A12031" s="3">
        <v>102363</v>
      </c>
      <c r="B12031" s="4" t="s">
        <v>12062</v>
      </c>
      <c r="C12031" s="3" t="s">
        <v>409</v>
      </c>
      <c r="D12031" s="5">
        <f t="shared" si="376"/>
        <v>155.80000000000001</v>
      </c>
      <c r="E12031">
        <v>171.03</v>
      </c>
      <c r="F12031" s="1789">
        <v>8.8999999999999996E-2</v>
      </c>
      <c r="G12031">
        <f t="shared" si="377"/>
        <v>155.80000000000001</v>
      </c>
    </row>
    <row r="12032" spans="1:7" ht="12.75" customHeight="1">
      <c r="A12032" s="3">
        <v>102364</v>
      </c>
      <c r="B12032" s="4" t="s">
        <v>12063</v>
      </c>
      <c r="C12032" s="3" t="s">
        <v>409</v>
      </c>
      <c r="D12032" s="5">
        <f t="shared" si="376"/>
        <v>175.01</v>
      </c>
      <c r="E12032">
        <v>192.11</v>
      </c>
      <c r="F12032" s="1789">
        <v>8.8999999999999996E-2</v>
      </c>
      <c r="G12032">
        <f t="shared" si="377"/>
        <v>175.01</v>
      </c>
    </row>
    <row r="12033" spans="1:7" ht="12.75" customHeight="1">
      <c r="A12033" s="3">
        <v>98509</v>
      </c>
      <c r="B12033" s="4" t="s">
        <v>12064</v>
      </c>
      <c r="C12033" s="3" t="s">
        <v>6</v>
      </c>
      <c r="D12033" s="5">
        <f t="shared" si="376"/>
        <v>74.23</v>
      </c>
      <c r="E12033">
        <v>81.489999999999995</v>
      </c>
      <c r="F12033" s="1789">
        <v>8.8999999999999996E-2</v>
      </c>
      <c r="G12033">
        <f t="shared" si="377"/>
        <v>74.23</v>
      </c>
    </row>
    <row r="12034" spans="1:7" ht="12.75" customHeight="1">
      <c r="A12034" s="3">
        <v>98510</v>
      </c>
      <c r="B12034" s="4" t="s">
        <v>12065</v>
      </c>
      <c r="C12034" s="3" t="s">
        <v>6</v>
      </c>
      <c r="D12034" s="5">
        <f t="shared" si="376"/>
        <v>110.81</v>
      </c>
      <c r="E12034">
        <v>121.64</v>
      </c>
      <c r="F12034" s="1789">
        <v>8.8999999999999996E-2</v>
      </c>
      <c r="G12034">
        <f t="shared" si="377"/>
        <v>110.81</v>
      </c>
    </row>
    <row r="12035" spans="1:7" ht="12.75" customHeight="1">
      <c r="A12035" s="3">
        <v>98511</v>
      </c>
      <c r="B12035" s="4" t="s">
        <v>12066</v>
      </c>
      <c r="C12035" s="3" t="s">
        <v>6</v>
      </c>
      <c r="D12035" s="5">
        <f t="shared" si="376"/>
        <v>206.11</v>
      </c>
      <c r="E12035">
        <v>226.25</v>
      </c>
      <c r="F12035" s="1789">
        <v>8.8999999999999996E-2</v>
      </c>
      <c r="G12035">
        <f t="shared" si="377"/>
        <v>206.11</v>
      </c>
    </row>
    <row r="12036" spans="1:7" ht="12.75" customHeight="1">
      <c r="A12036" s="3">
        <v>98516</v>
      </c>
      <c r="B12036" s="4" t="s">
        <v>12067</v>
      </c>
      <c r="C12036" s="3" t="s">
        <v>6</v>
      </c>
      <c r="D12036" s="5">
        <f t="shared" si="376"/>
        <v>352.35</v>
      </c>
      <c r="E12036">
        <v>386.78</v>
      </c>
      <c r="F12036" s="1789">
        <v>8.8999999999999996E-2</v>
      </c>
      <c r="G12036">
        <f t="shared" si="377"/>
        <v>352.35</v>
      </c>
    </row>
    <row r="12037" spans="1:7" ht="12.75" customHeight="1">
      <c r="A12037" s="3">
        <v>98519</v>
      </c>
      <c r="B12037" s="4" t="s">
        <v>12068</v>
      </c>
      <c r="C12037" s="3" t="s">
        <v>409</v>
      </c>
      <c r="D12037" s="5">
        <f t="shared" si="376"/>
        <v>3.12</v>
      </c>
      <c r="E12037">
        <v>3.43</v>
      </c>
      <c r="F12037" s="1789">
        <v>8.8999999999999996E-2</v>
      </c>
      <c r="G12037">
        <f t="shared" si="377"/>
        <v>3.12</v>
      </c>
    </row>
    <row r="12038" spans="1:7" ht="12.75" customHeight="1">
      <c r="A12038" s="3">
        <v>98520</v>
      </c>
      <c r="B12038" s="4" t="s">
        <v>12069</v>
      </c>
      <c r="C12038" s="3" t="s">
        <v>409</v>
      </c>
      <c r="D12038" s="5">
        <f t="shared" si="376"/>
        <v>4.33</v>
      </c>
      <c r="E12038">
        <v>4.76</v>
      </c>
      <c r="F12038" s="1789">
        <v>8.8999999999999996E-2</v>
      </c>
      <c r="G12038">
        <f t="shared" si="377"/>
        <v>4.33</v>
      </c>
    </row>
    <row r="12039" spans="1:7" ht="12.75" customHeight="1">
      <c r="A12039" s="3">
        <v>98521</v>
      </c>
      <c r="B12039" s="4" t="s">
        <v>12070</v>
      </c>
      <c r="C12039" s="3" t="s">
        <v>409</v>
      </c>
      <c r="D12039" s="5">
        <f t="shared" si="376"/>
        <v>0.28999999999999998</v>
      </c>
      <c r="E12039">
        <v>0.32</v>
      </c>
      <c r="F12039" s="1789">
        <v>8.8999999999999996E-2</v>
      </c>
      <c r="G12039">
        <f t="shared" si="377"/>
        <v>0.28999999999999998</v>
      </c>
    </row>
    <row r="12040" spans="1:7" ht="12.75" customHeight="1">
      <c r="A12040" s="3">
        <v>98522</v>
      </c>
      <c r="B12040" s="4" t="s">
        <v>12071</v>
      </c>
      <c r="C12040" s="3" t="s">
        <v>50</v>
      </c>
      <c r="D12040" s="5">
        <f t="shared" si="376"/>
        <v>146.88</v>
      </c>
      <c r="E12040">
        <v>161.24</v>
      </c>
      <c r="F12040" s="1789">
        <v>8.8999999999999996E-2</v>
      </c>
      <c r="G12040">
        <f t="shared" si="377"/>
        <v>146.88</v>
      </c>
    </row>
    <row r="12041" spans="1:7" ht="12.75" customHeight="1">
      <c r="A12041" s="3">
        <v>98524</v>
      </c>
      <c r="B12041" s="4" t="s">
        <v>12072</v>
      </c>
      <c r="C12041" s="3" t="s">
        <v>409</v>
      </c>
      <c r="D12041" s="5">
        <f t="shared" si="376"/>
        <v>3.94</v>
      </c>
      <c r="E12041">
        <v>4.33</v>
      </c>
      <c r="F12041" s="1789">
        <v>8.8999999999999996E-2</v>
      </c>
      <c r="G12041">
        <f t="shared" si="377"/>
        <v>3.94</v>
      </c>
    </row>
    <row r="12042" spans="1:7" ht="12.75" customHeight="1">
      <c r="A12042" s="3">
        <v>105521</v>
      </c>
      <c r="B12042" s="4" t="s">
        <v>12073</v>
      </c>
      <c r="C12042" s="3" t="s">
        <v>409</v>
      </c>
      <c r="D12042" s="5">
        <f t="shared" si="376"/>
        <v>2.9</v>
      </c>
      <c r="E12042">
        <v>3.19</v>
      </c>
      <c r="F12042" s="1789">
        <v>8.8999999999999996E-2</v>
      </c>
      <c r="G12042">
        <f t="shared" si="377"/>
        <v>2.9</v>
      </c>
    </row>
    <row r="12043" spans="1:7" ht="12.75" customHeight="1">
      <c r="A12043" s="3">
        <v>98503</v>
      </c>
      <c r="B12043" s="4" t="s">
        <v>12074</v>
      </c>
      <c r="C12043" s="3" t="s">
        <v>409</v>
      </c>
      <c r="D12043" s="5">
        <f t="shared" si="376"/>
        <v>18.91</v>
      </c>
      <c r="E12043">
        <v>20.76</v>
      </c>
      <c r="F12043" s="1789">
        <v>8.8999999999999996E-2</v>
      </c>
      <c r="G12043">
        <f t="shared" si="377"/>
        <v>18.91</v>
      </c>
    </row>
    <row r="12044" spans="1:7" ht="12.75" customHeight="1">
      <c r="A12044" s="3">
        <v>98504</v>
      </c>
      <c r="B12044" s="4" t="s">
        <v>12075</v>
      </c>
      <c r="C12044" s="3" t="s">
        <v>409</v>
      </c>
      <c r="D12044" s="5">
        <f t="shared" si="376"/>
        <v>13.49</v>
      </c>
      <c r="E12044">
        <v>14.81</v>
      </c>
      <c r="F12044" s="1789">
        <v>8.8999999999999996E-2</v>
      </c>
      <c r="G12044">
        <f t="shared" si="377"/>
        <v>13.49</v>
      </c>
    </row>
    <row r="12045" spans="1:7" ht="12.75" customHeight="1">
      <c r="A12045" s="3">
        <v>98505</v>
      </c>
      <c r="B12045" s="4" t="s">
        <v>12076</v>
      </c>
      <c r="C12045" s="3" t="s">
        <v>409</v>
      </c>
      <c r="D12045" s="5">
        <f t="shared" si="376"/>
        <v>108.14</v>
      </c>
      <c r="E12045">
        <v>118.71</v>
      </c>
      <c r="F12045" s="1789">
        <v>8.8999999999999996E-2</v>
      </c>
      <c r="G12045">
        <f t="shared" si="377"/>
        <v>108.14</v>
      </c>
    </row>
    <row r="12046" spans="1:7" ht="12.75" customHeight="1">
      <c r="A12046" s="3">
        <v>103946</v>
      </c>
      <c r="B12046" s="4" t="s">
        <v>12077</v>
      </c>
      <c r="C12046" s="3" t="s">
        <v>409</v>
      </c>
      <c r="D12046" s="5">
        <f t="shared" si="376"/>
        <v>17.66</v>
      </c>
      <c r="E12046">
        <v>19.39</v>
      </c>
      <c r="F12046" s="1789">
        <v>8.8999999999999996E-2</v>
      </c>
      <c r="G12046">
        <f t="shared" si="377"/>
        <v>17.66</v>
      </c>
    </row>
    <row r="12047" spans="1:7" ht="12.75" customHeight="1">
      <c r="A12047" s="3">
        <v>105000</v>
      </c>
      <c r="B12047" s="4" t="s">
        <v>12078</v>
      </c>
      <c r="C12047" s="3" t="s">
        <v>50</v>
      </c>
      <c r="D12047" s="5">
        <f t="shared" si="376"/>
        <v>1260.44</v>
      </c>
      <c r="E12047">
        <v>1383.58</v>
      </c>
      <c r="F12047" s="1789">
        <v>8.8999999999999996E-2</v>
      </c>
      <c r="G12047">
        <f t="shared" si="377"/>
        <v>1260.44</v>
      </c>
    </row>
    <row r="12048" spans="1:7" ht="12.75" customHeight="1">
      <c r="A12048" s="3">
        <v>105001</v>
      </c>
      <c r="B12048" s="4" t="s">
        <v>12079</v>
      </c>
      <c r="C12048" s="3" t="s">
        <v>50</v>
      </c>
      <c r="D12048" s="5">
        <f t="shared" si="376"/>
        <v>1297.6300000000001</v>
      </c>
      <c r="E12048">
        <v>1424.41</v>
      </c>
      <c r="F12048" s="1789">
        <v>8.8999999999999996E-2</v>
      </c>
      <c r="G12048">
        <f t="shared" si="377"/>
        <v>1297.6300000000001</v>
      </c>
    </row>
    <row r="12049" spans="1:7" ht="12.75" customHeight="1">
      <c r="A12049" s="3">
        <v>105002</v>
      </c>
      <c r="B12049" s="4" t="s">
        <v>12080</v>
      </c>
      <c r="C12049" s="3" t="s">
        <v>6</v>
      </c>
      <c r="D12049" s="5">
        <f t="shared" si="376"/>
        <v>683.96</v>
      </c>
      <c r="E12049">
        <v>750.78</v>
      </c>
      <c r="F12049" s="1789">
        <v>8.8999999999999996E-2</v>
      </c>
      <c r="G12049">
        <f t="shared" si="377"/>
        <v>683.96</v>
      </c>
    </row>
    <row r="12050" spans="1:7" ht="12.75" customHeight="1">
      <c r="A12050" s="3">
        <v>105003</v>
      </c>
      <c r="B12050" s="4" t="s">
        <v>12081</v>
      </c>
      <c r="C12050" s="3" t="s">
        <v>6</v>
      </c>
      <c r="D12050" s="5">
        <f t="shared" si="376"/>
        <v>1052.67</v>
      </c>
      <c r="E12050">
        <v>1155.52</v>
      </c>
      <c r="F12050" s="1789">
        <v>8.8999999999999996E-2</v>
      </c>
      <c r="G12050">
        <f t="shared" si="377"/>
        <v>1052.67</v>
      </c>
    </row>
    <row r="12051" spans="1:7" ht="12.75" customHeight="1">
      <c r="A12051" s="3">
        <v>105004</v>
      </c>
      <c r="B12051" s="4" t="s">
        <v>12082</v>
      </c>
      <c r="C12051" s="3" t="s">
        <v>409</v>
      </c>
      <c r="D12051" s="5">
        <f t="shared" si="376"/>
        <v>115.47</v>
      </c>
      <c r="E12051">
        <v>126.76</v>
      </c>
      <c r="F12051" s="1789">
        <v>8.8999999999999996E-2</v>
      </c>
      <c r="G12051">
        <f t="shared" si="377"/>
        <v>115.47</v>
      </c>
    </row>
    <row r="12052" spans="1:7" ht="12.75" customHeight="1">
      <c r="A12052" s="3">
        <v>105005</v>
      </c>
      <c r="B12052" s="4" t="s">
        <v>12083</v>
      </c>
      <c r="C12052" s="3" t="s">
        <v>409</v>
      </c>
      <c r="D12052" s="5">
        <f t="shared" si="376"/>
        <v>183.74</v>
      </c>
      <c r="E12052">
        <v>201.7</v>
      </c>
      <c r="F12052" s="1789">
        <v>8.8999999999999996E-2</v>
      </c>
      <c r="G12052">
        <f t="shared" si="377"/>
        <v>183.74</v>
      </c>
    </row>
    <row r="12053" spans="1:7" ht="12.75" customHeight="1">
      <c r="A12053" s="3">
        <v>103185</v>
      </c>
      <c r="B12053" s="4" t="s">
        <v>12084</v>
      </c>
      <c r="C12053" s="3" t="s">
        <v>6</v>
      </c>
      <c r="D12053" s="5">
        <f t="shared" ref="D12053:D12116" si="378">G12053</f>
        <v>5598.14</v>
      </c>
      <c r="E12053">
        <v>6145.05</v>
      </c>
      <c r="F12053" s="1789">
        <v>8.8999999999999996E-2</v>
      </c>
      <c r="G12053">
        <f t="shared" ref="G12053:G12116" si="379">TRUNC((1-F12053)*E12053,2)</f>
        <v>5598.14</v>
      </c>
    </row>
    <row r="12054" spans="1:7" ht="12.75" customHeight="1">
      <c r="A12054" s="3">
        <v>103186</v>
      </c>
      <c r="B12054" s="4" t="s">
        <v>12085</v>
      </c>
      <c r="C12054" s="3" t="s">
        <v>6</v>
      </c>
      <c r="D12054" s="5">
        <f t="shared" si="378"/>
        <v>5906.34</v>
      </c>
      <c r="E12054">
        <v>6483.36</v>
      </c>
      <c r="F12054" s="1789">
        <v>8.8999999999999996E-2</v>
      </c>
      <c r="G12054">
        <f t="shared" si="379"/>
        <v>5906.34</v>
      </c>
    </row>
    <row r="12055" spans="1:7" ht="12.75" customHeight="1">
      <c r="A12055" s="3">
        <v>103187</v>
      </c>
      <c r="B12055" s="4" t="s">
        <v>12086</v>
      </c>
      <c r="C12055" s="3" t="s">
        <v>6</v>
      </c>
      <c r="D12055" s="5">
        <f t="shared" si="378"/>
        <v>4437.6899999999996</v>
      </c>
      <c r="E12055">
        <v>4871.2299999999996</v>
      </c>
      <c r="F12055" s="1789">
        <v>8.8999999999999996E-2</v>
      </c>
      <c r="G12055">
        <f t="shared" si="379"/>
        <v>4437.6899999999996</v>
      </c>
    </row>
    <row r="12056" spans="1:7" ht="12.75" customHeight="1">
      <c r="A12056" s="3">
        <v>103188</v>
      </c>
      <c r="B12056" s="4" t="s">
        <v>12087</v>
      </c>
      <c r="C12056" s="3" t="s">
        <v>6</v>
      </c>
      <c r="D12056" s="5">
        <f t="shared" si="378"/>
        <v>4772.2700000000004</v>
      </c>
      <c r="E12056">
        <v>5238.5</v>
      </c>
      <c r="F12056" s="1789">
        <v>8.8999999999999996E-2</v>
      </c>
      <c r="G12056">
        <f t="shared" si="379"/>
        <v>4772.2700000000004</v>
      </c>
    </row>
    <row r="12057" spans="1:7" ht="12.75" customHeight="1">
      <c r="A12057" s="3">
        <v>103189</v>
      </c>
      <c r="B12057" s="4" t="s">
        <v>12088</v>
      </c>
      <c r="C12057" s="3" t="s">
        <v>6</v>
      </c>
      <c r="D12057" s="5">
        <f t="shared" si="378"/>
        <v>2391.3000000000002</v>
      </c>
      <c r="E12057">
        <v>2624.92</v>
      </c>
      <c r="F12057" s="1789">
        <v>8.8999999999999996E-2</v>
      </c>
      <c r="G12057">
        <f t="shared" si="379"/>
        <v>2391.3000000000002</v>
      </c>
    </row>
    <row r="12058" spans="1:7" ht="12.75" customHeight="1">
      <c r="A12058" s="3">
        <v>103190</v>
      </c>
      <c r="B12058" s="4" t="s">
        <v>12089</v>
      </c>
      <c r="C12058" s="3" t="s">
        <v>6</v>
      </c>
      <c r="D12058" s="5">
        <f t="shared" si="378"/>
        <v>3723.84</v>
      </c>
      <c r="E12058">
        <v>4087.64</v>
      </c>
      <c r="F12058" s="1789">
        <v>8.8999999999999996E-2</v>
      </c>
      <c r="G12058">
        <f t="shared" si="379"/>
        <v>3723.84</v>
      </c>
    </row>
    <row r="12059" spans="1:7" ht="12.75" customHeight="1">
      <c r="A12059" s="3">
        <v>103191</v>
      </c>
      <c r="B12059" s="4" t="s">
        <v>12090</v>
      </c>
      <c r="C12059" s="3" t="s">
        <v>6</v>
      </c>
      <c r="D12059" s="5">
        <f t="shared" si="378"/>
        <v>2173.4699999999998</v>
      </c>
      <c r="E12059">
        <v>2385.81</v>
      </c>
      <c r="F12059" s="1789">
        <v>8.8999999999999996E-2</v>
      </c>
      <c r="G12059">
        <f t="shared" si="379"/>
        <v>2173.4699999999998</v>
      </c>
    </row>
    <row r="12060" spans="1:7" ht="12.75" customHeight="1">
      <c r="A12060" s="3">
        <v>103192</v>
      </c>
      <c r="B12060" s="4" t="s">
        <v>12091</v>
      </c>
      <c r="C12060" s="3" t="s">
        <v>6</v>
      </c>
      <c r="D12060" s="5">
        <f t="shared" si="378"/>
        <v>2313.4299999999998</v>
      </c>
      <c r="E12060">
        <v>2539.4499999999998</v>
      </c>
      <c r="F12060" s="1789">
        <v>8.8999999999999996E-2</v>
      </c>
      <c r="G12060">
        <f t="shared" si="379"/>
        <v>2313.4299999999998</v>
      </c>
    </row>
    <row r="12061" spans="1:7" ht="12.75" customHeight="1">
      <c r="A12061" s="3">
        <v>103193</v>
      </c>
      <c r="B12061" s="4" t="s">
        <v>12092</v>
      </c>
      <c r="C12061" s="3" t="s">
        <v>6</v>
      </c>
      <c r="D12061" s="5">
        <f t="shared" si="378"/>
        <v>1783.9</v>
      </c>
      <c r="E12061">
        <v>1958.18</v>
      </c>
      <c r="F12061" s="1789">
        <v>8.8999999999999996E-2</v>
      </c>
      <c r="G12061">
        <f t="shared" si="379"/>
        <v>1783.9</v>
      </c>
    </row>
    <row r="12062" spans="1:7" ht="12.75" customHeight="1">
      <c r="A12062" s="3">
        <v>103194</v>
      </c>
      <c r="B12062" s="4" t="s">
        <v>12093</v>
      </c>
      <c r="C12062" s="3" t="s">
        <v>6</v>
      </c>
      <c r="D12062" s="5">
        <f t="shared" si="378"/>
        <v>2565.5100000000002</v>
      </c>
      <c r="E12062">
        <v>2816.15</v>
      </c>
      <c r="F12062" s="1789">
        <v>8.8999999999999996E-2</v>
      </c>
      <c r="G12062">
        <f t="shared" si="379"/>
        <v>2565.5100000000002</v>
      </c>
    </row>
    <row r="12063" spans="1:7" ht="12.75" customHeight="1">
      <c r="A12063" s="3">
        <v>103195</v>
      </c>
      <c r="B12063" s="4" t="s">
        <v>12094</v>
      </c>
      <c r="C12063" s="3" t="s">
        <v>6</v>
      </c>
      <c r="D12063" s="5">
        <f t="shared" si="378"/>
        <v>2002.2</v>
      </c>
      <c r="E12063">
        <v>2197.81</v>
      </c>
      <c r="F12063" s="1789">
        <v>8.8999999999999996E-2</v>
      </c>
      <c r="G12063">
        <f t="shared" si="379"/>
        <v>2002.2</v>
      </c>
    </row>
    <row r="12064" spans="1:7" ht="12.75" customHeight="1">
      <c r="A12064" s="3">
        <v>103205</v>
      </c>
      <c r="B12064" s="4" t="s">
        <v>12095</v>
      </c>
      <c r="C12064" s="3" t="s">
        <v>6</v>
      </c>
      <c r="D12064" s="5">
        <f t="shared" si="378"/>
        <v>3730.47</v>
      </c>
      <c r="E12064">
        <v>4094.92</v>
      </c>
      <c r="F12064" s="1789">
        <v>8.8999999999999996E-2</v>
      </c>
      <c r="G12064">
        <f t="shared" si="379"/>
        <v>3730.47</v>
      </c>
    </row>
    <row r="12065" spans="1:7" ht="12.75" customHeight="1">
      <c r="A12065" s="3">
        <v>103206</v>
      </c>
      <c r="B12065" s="4" t="s">
        <v>12096</v>
      </c>
      <c r="C12065" s="3" t="s">
        <v>6</v>
      </c>
      <c r="D12065" s="5">
        <f t="shared" si="378"/>
        <v>2180.11</v>
      </c>
      <c r="E12065">
        <v>2393.1</v>
      </c>
      <c r="F12065" s="1789">
        <v>8.8999999999999996E-2</v>
      </c>
      <c r="G12065">
        <f t="shared" si="379"/>
        <v>2180.11</v>
      </c>
    </row>
    <row r="12066" spans="1:7" ht="12.75" customHeight="1">
      <c r="A12066" s="3">
        <v>103207</v>
      </c>
      <c r="B12066" s="4" t="s">
        <v>12097</v>
      </c>
      <c r="C12066" s="3" t="s">
        <v>6</v>
      </c>
      <c r="D12066" s="5">
        <f t="shared" si="378"/>
        <v>2320.08</v>
      </c>
      <c r="E12066">
        <v>2546.7399999999998</v>
      </c>
      <c r="F12066" s="1789">
        <v>8.8999999999999996E-2</v>
      </c>
      <c r="G12066">
        <f t="shared" si="379"/>
        <v>2320.08</v>
      </c>
    </row>
    <row r="12067" spans="1:7" ht="12.75" customHeight="1">
      <c r="A12067" s="3">
        <v>103208</v>
      </c>
      <c r="B12067" s="4" t="s">
        <v>12098</v>
      </c>
      <c r="C12067" s="3" t="s">
        <v>6</v>
      </c>
      <c r="D12067" s="5">
        <f t="shared" si="378"/>
        <v>1790.54</v>
      </c>
      <c r="E12067">
        <v>1965.47</v>
      </c>
      <c r="F12067" s="1789">
        <v>8.8999999999999996E-2</v>
      </c>
      <c r="G12067">
        <f t="shared" si="379"/>
        <v>1790.54</v>
      </c>
    </row>
    <row r="12068" spans="1:7" ht="12.75" customHeight="1">
      <c r="A12068" s="3">
        <v>103209</v>
      </c>
      <c r="B12068" s="4" t="s">
        <v>12099</v>
      </c>
      <c r="C12068" s="3" t="s">
        <v>6</v>
      </c>
      <c r="D12068" s="5">
        <f t="shared" si="378"/>
        <v>2572.15</v>
      </c>
      <c r="E12068">
        <v>2823.44</v>
      </c>
      <c r="F12068" s="1789">
        <v>8.8999999999999996E-2</v>
      </c>
      <c r="G12068">
        <f t="shared" si="379"/>
        <v>2572.15</v>
      </c>
    </row>
    <row r="12069" spans="1:7" ht="12.75" customHeight="1">
      <c r="A12069" s="3">
        <v>103210</v>
      </c>
      <c r="B12069" s="4" t="s">
        <v>12100</v>
      </c>
      <c r="C12069" s="3" t="s">
        <v>6</v>
      </c>
      <c r="D12069" s="5">
        <f t="shared" si="378"/>
        <v>2087.84</v>
      </c>
      <c r="E12069">
        <v>2291.8200000000002</v>
      </c>
      <c r="F12069" s="1789">
        <v>8.8999999999999996E-2</v>
      </c>
      <c r="G12069">
        <f t="shared" si="379"/>
        <v>2087.84</v>
      </c>
    </row>
    <row r="12070" spans="1:7" ht="12.75" customHeight="1">
      <c r="A12070" s="3">
        <v>103304</v>
      </c>
      <c r="B12070" s="4" t="s">
        <v>12101</v>
      </c>
      <c r="C12070" s="3" t="s">
        <v>6</v>
      </c>
      <c r="D12070" s="5">
        <f t="shared" si="378"/>
        <v>1134.93</v>
      </c>
      <c r="E12070">
        <v>1245.81</v>
      </c>
      <c r="F12070" s="1789">
        <v>8.8999999999999996E-2</v>
      </c>
      <c r="G12070">
        <f t="shared" si="379"/>
        <v>1134.93</v>
      </c>
    </row>
    <row r="12071" spans="1:7" ht="12.75" customHeight="1">
      <c r="A12071" s="3">
        <v>103307</v>
      </c>
      <c r="B12071" s="4" t="s">
        <v>12102</v>
      </c>
      <c r="C12071" s="3" t="s">
        <v>6</v>
      </c>
      <c r="D12071" s="5">
        <f t="shared" si="378"/>
        <v>1215.04</v>
      </c>
      <c r="E12071">
        <v>1333.75</v>
      </c>
      <c r="F12071" s="1789">
        <v>8.8999999999999996E-2</v>
      </c>
      <c r="G12071">
        <f t="shared" si="379"/>
        <v>1215.04</v>
      </c>
    </row>
    <row r="12072" spans="1:7" ht="12.75" customHeight="1">
      <c r="A12072" s="3">
        <v>103310</v>
      </c>
      <c r="B12072" s="4" t="s">
        <v>12103</v>
      </c>
      <c r="C12072" s="3" t="s">
        <v>6</v>
      </c>
      <c r="D12072" s="5">
        <f t="shared" si="378"/>
        <v>1172.42</v>
      </c>
      <c r="E12072">
        <v>1286.97</v>
      </c>
      <c r="F12072" s="1789">
        <v>8.8999999999999996E-2</v>
      </c>
      <c r="G12072">
        <f t="shared" si="379"/>
        <v>1172.42</v>
      </c>
    </row>
    <row r="12073" spans="1:7" ht="12.75" customHeight="1">
      <c r="A12073" s="3">
        <v>103314</v>
      </c>
      <c r="B12073" s="4" t="s">
        <v>12104</v>
      </c>
      <c r="C12073" s="3" t="s">
        <v>409</v>
      </c>
      <c r="D12073" s="5">
        <f t="shared" si="378"/>
        <v>217.86</v>
      </c>
      <c r="E12073">
        <v>239.15</v>
      </c>
      <c r="F12073" s="1789">
        <v>8.8999999999999996E-2</v>
      </c>
      <c r="G12073">
        <f t="shared" si="379"/>
        <v>217.86</v>
      </c>
    </row>
    <row r="12074" spans="1:7" ht="12.75" customHeight="1">
      <c r="A12074" s="3">
        <v>103315</v>
      </c>
      <c r="B12074" s="4" t="s">
        <v>12105</v>
      </c>
      <c r="C12074" s="3" t="s">
        <v>409</v>
      </c>
      <c r="D12074" s="5">
        <f t="shared" si="378"/>
        <v>210.72</v>
      </c>
      <c r="E12074">
        <v>231.31</v>
      </c>
      <c r="F12074" s="1789">
        <v>8.8999999999999996E-2</v>
      </c>
      <c r="G12074">
        <f t="shared" si="379"/>
        <v>210.72</v>
      </c>
    </row>
    <row r="12075" spans="1:7" ht="12.75" customHeight="1">
      <c r="A12075" s="3">
        <v>103769</v>
      </c>
      <c r="B12075" s="4" t="s">
        <v>12106</v>
      </c>
      <c r="C12075" s="3" t="s">
        <v>6</v>
      </c>
      <c r="D12075" s="5">
        <f t="shared" si="378"/>
        <v>4430.16</v>
      </c>
      <c r="E12075">
        <v>4862.97</v>
      </c>
      <c r="F12075" s="1789">
        <v>8.8999999999999996E-2</v>
      </c>
      <c r="G12075">
        <f t="shared" si="379"/>
        <v>4430.16</v>
      </c>
    </row>
    <row r="12076" spans="1:7" ht="12.75" customHeight="1">
      <c r="A12076" s="3">
        <v>98525</v>
      </c>
      <c r="B12076" s="4" t="s">
        <v>12107</v>
      </c>
      <c r="C12076" s="3" t="s">
        <v>409</v>
      </c>
      <c r="D12076" s="5">
        <f t="shared" si="378"/>
        <v>0.53</v>
      </c>
      <c r="E12076">
        <v>0.59</v>
      </c>
      <c r="F12076" s="1789">
        <v>8.8999999999999996E-2</v>
      </c>
      <c r="G12076">
        <f t="shared" si="379"/>
        <v>0.53</v>
      </c>
    </row>
    <row r="12077" spans="1:7" ht="12.75" customHeight="1">
      <c r="A12077" s="3">
        <v>98526</v>
      </c>
      <c r="B12077" s="4" t="s">
        <v>12108</v>
      </c>
      <c r="C12077" s="3" t="s">
        <v>6</v>
      </c>
      <c r="D12077" s="5">
        <f t="shared" si="378"/>
        <v>105.43</v>
      </c>
      <c r="E12077">
        <v>115.74</v>
      </c>
      <c r="F12077" s="1789">
        <v>8.8999999999999996E-2</v>
      </c>
      <c r="G12077">
        <f t="shared" si="379"/>
        <v>105.43</v>
      </c>
    </row>
    <row r="12078" spans="1:7" ht="12.75" customHeight="1">
      <c r="A12078" s="3">
        <v>98527</v>
      </c>
      <c r="B12078" s="4" t="s">
        <v>12109</v>
      </c>
      <c r="C12078" s="3" t="s">
        <v>6</v>
      </c>
      <c r="D12078" s="5">
        <f t="shared" si="378"/>
        <v>174.99</v>
      </c>
      <c r="E12078">
        <v>192.09</v>
      </c>
      <c r="F12078" s="1789">
        <v>8.8999999999999996E-2</v>
      </c>
      <c r="G12078">
        <f t="shared" si="379"/>
        <v>174.99</v>
      </c>
    </row>
    <row r="12079" spans="1:7" ht="12.75" customHeight="1">
      <c r="A12079" s="3">
        <v>98528</v>
      </c>
      <c r="B12079" s="4" t="s">
        <v>12110</v>
      </c>
      <c r="C12079" s="3" t="s">
        <v>6</v>
      </c>
      <c r="D12079" s="5">
        <f t="shared" si="378"/>
        <v>230.64</v>
      </c>
      <c r="E12079">
        <v>253.18</v>
      </c>
      <c r="F12079" s="1789">
        <v>8.8999999999999996E-2</v>
      </c>
      <c r="G12079">
        <f t="shared" si="379"/>
        <v>230.64</v>
      </c>
    </row>
    <row r="12080" spans="1:7" ht="12.75" customHeight="1">
      <c r="A12080" s="3">
        <v>98529</v>
      </c>
      <c r="B12080" s="4" t="s">
        <v>12111</v>
      </c>
      <c r="C12080" s="3" t="s">
        <v>6</v>
      </c>
      <c r="D12080" s="5">
        <f t="shared" si="378"/>
        <v>62.32</v>
      </c>
      <c r="E12080">
        <v>68.41</v>
      </c>
      <c r="F12080" s="1789">
        <v>8.8999999999999996E-2</v>
      </c>
      <c r="G12080">
        <f t="shared" si="379"/>
        <v>62.32</v>
      </c>
    </row>
    <row r="12081" spans="1:7" ht="12.75" customHeight="1">
      <c r="A12081" s="3">
        <v>98530</v>
      </c>
      <c r="B12081" s="4" t="s">
        <v>12112</v>
      </c>
      <c r="C12081" s="3" t="s">
        <v>6</v>
      </c>
      <c r="D12081" s="5">
        <f t="shared" si="378"/>
        <v>122.31</v>
      </c>
      <c r="E12081">
        <v>134.27000000000001</v>
      </c>
      <c r="F12081" s="1789">
        <v>8.8999999999999996E-2</v>
      </c>
      <c r="G12081">
        <f t="shared" si="379"/>
        <v>122.31</v>
      </c>
    </row>
    <row r="12082" spans="1:7" ht="12.75" customHeight="1">
      <c r="A12082" s="3">
        <v>98531</v>
      </c>
      <c r="B12082" s="4" t="s">
        <v>12113</v>
      </c>
      <c r="C12082" s="3" t="s">
        <v>6</v>
      </c>
      <c r="D12082" s="5">
        <f t="shared" si="378"/>
        <v>328.03</v>
      </c>
      <c r="E12082">
        <v>360.08</v>
      </c>
      <c r="F12082" s="1789">
        <v>8.8999999999999996E-2</v>
      </c>
      <c r="G12082">
        <f t="shared" si="379"/>
        <v>328.03</v>
      </c>
    </row>
    <row r="12083" spans="1:7" ht="12.75" customHeight="1">
      <c r="A12083" s="3">
        <v>98532</v>
      </c>
      <c r="B12083" s="4" t="s">
        <v>12114</v>
      </c>
      <c r="C12083" s="3" t="s">
        <v>6</v>
      </c>
      <c r="D12083" s="5">
        <f t="shared" si="378"/>
        <v>27.47</v>
      </c>
      <c r="E12083">
        <v>30.16</v>
      </c>
      <c r="F12083" s="1789">
        <v>8.8999999999999996E-2</v>
      </c>
      <c r="G12083">
        <f t="shared" si="379"/>
        <v>27.47</v>
      </c>
    </row>
    <row r="12084" spans="1:7" ht="12.75" customHeight="1">
      <c r="A12084" s="3">
        <v>98533</v>
      </c>
      <c r="B12084" s="4" t="s">
        <v>12115</v>
      </c>
      <c r="C12084" s="3" t="s">
        <v>6</v>
      </c>
      <c r="D12084" s="5">
        <f t="shared" si="378"/>
        <v>102.42</v>
      </c>
      <c r="E12084">
        <v>112.43</v>
      </c>
      <c r="F12084" s="1789">
        <v>8.8999999999999996E-2</v>
      </c>
      <c r="G12084">
        <f t="shared" si="379"/>
        <v>102.42</v>
      </c>
    </row>
    <row r="12085" spans="1:7" ht="12.75" customHeight="1">
      <c r="A12085" s="3">
        <v>98534</v>
      </c>
      <c r="B12085" s="4" t="s">
        <v>12116</v>
      </c>
      <c r="C12085" s="3" t="s">
        <v>6</v>
      </c>
      <c r="D12085" s="5">
        <f t="shared" si="378"/>
        <v>283.66000000000003</v>
      </c>
      <c r="E12085">
        <v>311.38</v>
      </c>
      <c r="F12085" s="1789">
        <v>8.8999999999999996E-2</v>
      </c>
      <c r="G12085">
        <f t="shared" si="379"/>
        <v>283.66000000000003</v>
      </c>
    </row>
    <row r="12086" spans="1:7" ht="12.75" customHeight="1">
      <c r="A12086" s="3">
        <v>98535</v>
      </c>
      <c r="B12086" s="4" t="s">
        <v>12117</v>
      </c>
      <c r="C12086" s="3" t="s">
        <v>6</v>
      </c>
      <c r="D12086" s="5">
        <f t="shared" si="378"/>
        <v>591.11</v>
      </c>
      <c r="E12086">
        <v>648.86</v>
      </c>
      <c r="F12086" s="1789">
        <v>8.8999999999999996E-2</v>
      </c>
      <c r="G12086">
        <f t="shared" si="379"/>
        <v>591.11</v>
      </c>
    </row>
    <row r="12087" spans="1:7" ht="12.75" customHeight="1">
      <c r="A12087" s="3">
        <v>88238</v>
      </c>
      <c r="B12087" s="4" t="s">
        <v>12118</v>
      </c>
      <c r="C12087" s="3" t="s">
        <v>154</v>
      </c>
      <c r="D12087" s="5">
        <f t="shared" si="378"/>
        <v>19.579999999999998</v>
      </c>
      <c r="E12087">
        <v>21.5</v>
      </c>
      <c r="F12087" s="1789">
        <v>8.8999999999999996E-2</v>
      </c>
      <c r="G12087">
        <f t="shared" si="379"/>
        <v>19.579999999999998</v>
      </c>
    </row>
    <row r="12088" spans="1:7" ht="12.75" customHeight="1">
      <c r="A12088" s="3">
        <v>88239</v>
      </c>
      <c r="B12088" s="4" t="s">
        <v>12119</v>
      </c>
      <c r="C12088" s="3" t="s">
        <v>154</v>
      </c>
      <c r="D12088" s="5">
        <f t="shared" si="378"/>
        <v>19.510000000000002</v>
      </c>
      <c r="E12088">
        <v>21.42</v>
      </c>
      <c r="F12088" s="1789">
        <v>8.8999999999999996E-2</v>
      </c>
      <c r="G12088">
        <f t="shared" si="379"/>
        <v>19.510000000000002</v>
      </c>
    </row>
    <row r="12089" spans="1:7" ht="12.75" customHeight="1">
      <c r="A12089" s="3">
        <v>88240</v>
      </c>
      <c r="B12089" s="4" t="s">
        <v>12120</v>
      </c>
      <c r="C12089" s="3" t="s">
        <v>154</v>
      </c>
      <c r="D12089" s="5">
        <f t="shared" si="378"/>
        <v>18.5</v>
      </c>
      <c r="E12089">
        <v>20.309999999999999</v>
      </c>
      <c r="F12089" s="1789">
        <v>8.8999999999999996E-2</v>
      </c>
      <c r="G12089">
        <f t="shared" si="379"/>
        <v>18.5</v>
      </c>
    </row>
    <row r="12090" spans="1:7" ht="12.75" customHeight="1">
      <c r="A12090" s="3">
        <v>88241</v>
      </c>
      <c r="B12090" s="4" t="s">
        <v>12121</v>
      </c>
      <c r="C12090" s="3" t="s">
        <v>154</v>
      </c>
      <c r="D12090" s="5">
        <f t="shared" si="378"/>
        <v>19.43</v>
      </c>
      <c r="E12090">
        <v>21.33</v>
      </c>
      <c r="F12090" s="1789">
        <v>8.8999999999999996E-2</v>
      </c>
      <c r="G12090">
        <f t="shared" si="379"/>
        <v>19.43</v>
      </c>
    </row>
    <row r="12091" spans="1:7" ht="12.75" customHeight="1">
      <c r="A12091" s="3">
        <v>88242</v>
      </c>
      <c r="B12091" s="4" t="s">
        <v>12122</v>
      </c>
      <c r="C12091" s="3" t="s">
        <v>154</v>
      </c>
      <c r="D12091" s="5">
        <f t="shared" si="378"/>
        <v>19.64</v>
      </c>
      <c r="E12091">
        <v>21.56</v>
      </c>
      <c r="F12091" s="1789">
        <v>8.8999999999999996E-2</v>
      </c>
      <c r="G12091">
        <f t="shared" si="379"/>
        <v>19.64</v>
      </c>
    </row>
    <row r="12092" spans="1:7" ht="12.75" customHeight="1">
      <c r="A12092" s="3">
        <v>88243</v>
      </c>
      <c r="B12092" s="4" t="s">
        <v>12123</v>
      </c>
      <c r="C12092" s="3" t="s">
        <v>154</v>
      </c>
      <c r="D12092" s="5">
        <f t="shared" si="378"/>
        <v>19.32</v>
      </c>
      <c r="E12092">
        <v>21.21</v>
      </c>
      <c r="F12092" s="1789">
        <v>8.8999999999999996E-2</v>
      </c>
      <c r="G12092">
        <f t="shared" si="379"/>
        <v>19.32</v>
      </c>
    </row>
    <row r="12093" spans="1:7" ht="12.75" customHeight="1">
      <c r="A12093" s="3">
        <v>88245</v>
      </c>
      <c r="B12093" s="4" t="s">
        <v>12124</v>
      </c>
      <c r="C12093" s="3" t="s">
        <v>154</v>
      </c>
      <c r="D12093" s="5">
        <f t="shared" si="378"/>
        <v>23.13</v>
      </c>
      <c r="E12093">
        <v>25.4</v>
      </c>
      <c r="F12093" s="1789">
        <v>8.8999999999999996E-2</v>
      </c>
      <c r="G12093">
        <f t="shared" si="379"/>
        <v>23.13</v>
      </c>
    </row>
    <row r="12094" spans="1:7" ht="12.75" customHeight="1">
      <c r="A12094" s="3">
        <v>88246</v>
      </c>
      <c r="B12094" s="4" t="s">
        <v>12125</v>
      </c>
      <c r="C12094" s="3" t="s">
        <v>154</v>
      </c>
      <c r="D12094" s="5">
        <f t="shared" si="378"/>
        <v>13.03</v>
      </c>
      <c r="E12094">
        <v>14.31</v>
      </c>
      <c r="F12094" s="1789">
        <v>8.8999999999999996E-2</v>
      </c>
      <c r="G12094">
        <f t="shared" si="379"/>
        <v>13.03</v>
      </c>
    </row>
    <row r="12095" spans="1:7" ht="12.75" customHeight="1">
      <c r="A12095" s="3">
        <v>88247</v>
      </c>
      <c r="B12095" s="4" t="s">
        <v>12126</v>
      </c>
      <c r="C12095" s="3" t="s">
        <v>154</v>
      </c>
      <c r="D12095" s="5">
        <f t="shared" si="378"/>
        <v>20</v>
      </c>
      <c r="E12095">
        <v>21.96</v>
      </c>
      <c r="F12095" s="1789">
        <v>8.8999999999999996E-2</v>
      </c>
      <c r="G12095">
        <f t="shared" si="379"/>
        <v>20</v>
      </c>
    </row>
    <row r="12096" spans="1:7" ht="12.75" customHeight="1">
      <c r="A12096" s="3">
        <v>88248</v>
      </c>
      <c r="B12096" s="4" t="s">
        <v>12127</v>
      </c>
      <c r="C12096" s="3" t="s">
        <v>154</v>
      </c>
      <c r="D12096" s="5">
        <f t="shared" si="378"/>
        <v>19.05</v>
      </c>
      <c r="E12096">
        <v>20.92</v>
      </c>
      <c r="F12096" s="1789">
        <v>8.8999999999999996E-2</v>
      </c>
      <c r="G12096">
        <f t="shared" si="379"/>
        <v>19.05</v>
      </c>
    </row>
    <row r="12097" spans="1:7" ht="12.75" customHeight="1">
      <c r="A12097" s="3">
        <v>88249</v>
      </c>
      <c r="B12097" s="4" t="s">
        <v>12128</v>
      </c>
      <c r="C12097" s="3" t="s">
        <v>154</v>
      </c>
      <c r="D12097" s="5">
        <f t="shared" si="378"/>
        <v>24.77</v>
      </c>
      <c r="E12097">
        <v>27.19</v>
      </c>
      <c r="F12097" s="1789">
        <v>8.8999999999999996E-2</v>
      </c>
      <c r="G12097">
        <f t="shared" si="379"/>
        <v>24.77</v>
      </c>
    </row>
    <row r="12098" spans="1:7" ht="12.75" customHeight="1">
      <c r="A12098" s="3">
        <v>88250</v>
      </c>
      <c r="B12098" s="4" t="s">
        <v>12129</v>
      </c>
      <c r="C12098" s="3" t="s">
        <v>154</v>
      </c>
      <c r="D12098" s="5">
        <f t="shared" si="378"/>
        <v>18.5</v>
      </c>
      <c r="E12098">
        <v>20.309999999999999</v>
      </c>
      <c r="F12098" s="1789">
        <v>8.8999999999999996E-2</v>
      </c>
      <c r="G12098">
        <f t="shared" si="379"/>
        <v>18.5</v>
      </c>
    </row>
    <row r="12099" spans="1:7" ht="12.75" customHeight="1">
      <c r="A12099" s="3">
        <v>88251</v>
      </c>
      <c r="B12099" s="4" t="s">
        <v>12130</v>
      </c>
      <c r="C12099" s="3" t="s">
        <v>154</v>
      </c>
      <c r="D12099" s="5">
        <f t="shared" si="378"/>
        <v>19.579999999999998</v>
      </c>
      <c r="E12099">
        <v>21.5</v>
      </c>
      <c r="F12099" s="1789">
        <v>8.8999999999999996E-2</v>
      </c>
      <c r="G12099">
        <f t="shared" si="379"/>
        <v>19.579999999999998</v>
      </c>
    </row>
    <row r="12100" spans="1:7" ht="12.75" customHeight="1">
      <c r="A12100" s="3">
        <v>88252</v>
      </c>
      <c r="B12100" s="4" t="s">
        <v>12131</v>
      </c>
      <c r="C12100" s="3" t="s">
        <v>154</v>
      </c>
      <c r="D12100" s="5">
        <f t="shared" si="378"/>
        <v>18.36</v>
      </c>
      <c r="E12100">
        <v>20.16</v>
      </c>
      <c r="F12100" s="1789">
        <v>8.8999999999999996E-2</v>
      </c>
      <c r="G12100">
        <f t="shared" si="379"/>
        <v>18.36</v>
      </c>
    </row>
    <row r="12101" spans="1:7" ht="12.75" customHeight="1">
      <c r="A12101" s="3">
        <v>88253</v>
      </c>
      <c r="B12101" s="4" t="s">
        <v>12132</v>
      </c>
      <c r="C12101" s="3" t="s">
        <v>154</v>
      </c>
      <c r="D12101" s="5">
        <f t="shared" si="378"/>
        <v>10.130000000000001</v>
      </c>
      <c r="E12101">
        <v>11.13</v>
      </c>
      <c r="F12101" s="1789">
        <v>8.8999999999999996E-2</v>
      </c>
      <c r="G12101">
        <f t="shared" si="379"/>
        <v>10.130000000000001</v>
      </c>
    </row>
    <row r="12102" spans="1:7" ht="12.75" customHeight="1">
      <c r="A12102" s="3">
        <v>88255</v>
      </c>
      <c r="B12102" s="4" t="s">
        <v>12133</v>
      </c>
      <c r="C12102" s="3" t="s">
        <v>154</v>
      </c>
      <c r="D12102" s="5">
        <f t="shared" si="378"/>
        <v>24.79</v>
      </c>
      <c r="E12102">
        <v>27.22</v>
      </c>
      <c r="F12102" s="1789">
        <v>8.8999999999999996E-2</v>
      </c>
      <c r="G12102">
        <f t="shared" si="379"/>
        <v>24.79</v>
      </c>
    </row>
    <row r="12103" spans="1:7" ht="12.75" customHeight="1">
      <c r="A12103" s="3">
        <v>88256</v>
      </c>
      <c r="B12103" s="4" t="s">
        <v>12134</v>
      </c>
      <c r="C12103" s="3" t="s">
        <v>154</v>
      </c>
      <c r="D12103" s="5">
        <f t="shared" si="378"/>
        <v>23.2</v>
      </c>
      <c r="E12103">
        <v>25.47</v>
      </c>
      <c r="F12103" s="1789">
        <v>8.8999999999999996E-2</v>
      </c>
      <c r="G12103">
        <f t="shared" si="379"/>
        <v>23.2</v>
      </c>
    </row>
    <row r="12104" spans="1:7" ht="12.75" customHeight="1">
      <c r="A12104" s="3">
        <v>88257</v>
      </c>
      <c r="B12104" s="4" t="s">
        <v>12135</v>
      </c>
      <c r="C12104" s="3" t="s">
        <v>154</v>
      </c>
      <c r="D12104" s="5">
        <f t="shared" si="378"/>
        <v>16.86</v>
      </c>
      <c r="E12104">
        <v>18.510000000000002</v>
      </c>
      <c r="F12104" s="1789">
        <v>8.8999999999999996E-2</v>
      </c>
      <c r="G12104">
        <f t="shared" si="379"/>
        <v>16.86</v>
      </c>
    </row>
    <row r="12105" spans="1:7" ht="12.75" customHeight="1">
      <c r="A12105" s="3">
        <v>88260</v>
      </c>
      <c r="B12105" s="4" t="s">
        <v>12136</v>
      </c>
      <c r="C12105" s="3" t="s">
        <v>154</v>
      </c>
      <c r="D12105" s="5">
        <f t="shared" si="378"/>
        <v>21.39</v>
      </c>
      <c r="E12105">
        <v>23.49</v>
      </c>
      <c r="F12105" s="1789">
        <v>8.8999999999999996E-2</v>
      </c>
      <c r="G12105">
        <f t="shared" si="379"/>
        <v>21.39</v>
      </c>
    </row>
    <row r="12106" spans="1:7" ht="12.75" customHeight="1">
      <c r="A12106" s="3">
        <v>88261</v>
      </c>
      <c r="B12106" s="4" t="s">
        <v>12137</v>
      </c>
      <c r="C12106" s="3" t="s">
        <v>154</v>
      </c>
      <c r="D12106" s="5">
        <f t="shared" si="378"/>
        <v>22</v>
      </c>
      <c r="E12106">
        <v>24.15</v>
      </c>
      <c r="F12106" s="1789">
        <v>8.8999999999999996E-2</v>
      </c>
      <c r="G12106">
        <f t="shared" si="379"/>
        <v>22</v>
      </c>
    </row>
    <row r="12107" spans="1:7" ht="12.75" customHeight="1">
      <c r="A12107" s="3">
        <v>88262</v>
      </c>
      <c r="B12107" s="4" t="s">
        <v>12138</v>
      </c>
      <c r="C12107" s="3" t="s">
        <v>154</v>
      </c>
      <c r="D12107" s="5">
        <f t="shared" si="378"/>
        <v>23.01</v>
      </c>
      <c r="E12107">
        <v>25.26</v>
      </c>
      <c r="F12107" s="1789">
        <v>8.8999999999999996E-2</v>
      </c>
      <c r="G12107">
        <f t="shared" si="379"/>
        <v>23.01</v>
      </c>
    </row>
    <row r="12108" spans="1:7" ht="12.75" customHeight="1">
      <c r="A12108" s="3">
        <v>88263</v>
      </c>
      <c r="B12108" s="4" t="s">
        <v>12139</v>
      </c>
      <c r="C12108" s="3" t="s">
        <v>154</v>
      </c>
      <c r="D12108" s="5">
        <f t="shared" si="378"/>
        <v>19.28</v>
      </c>
      <c r="E12108">
        <v>21.17</v>
      </c>
      <c r="F12108" s="1789">
        <v>8.8999999999999996E-2</v>
      </c>
      <c r="G12108">
        <f t="shared" si="379"/>
        <v>19.28</v>
      </c>
    </row>
    <row r="12109" spans="1:7" ht="12.75" customHeight="1">
      <c r="A12109" s="3">
        <v>88264</v>
      </c>
      <c r="B12109" s="4" t="s">
        <v>12140</v>
      </c>
      <c r="C12109" s="3" t="s">
        <v>154</v>
      </c>
      <c r="D12109" s="5">
        <f t="shared" si="378"/>
        <v>24.3</v>
      </c>
      <c r="E12109">
        <v>26.68</v>
      </c>
      <c r="F12109" s="1789">
        <v>8.8999999999999996E-2</v>
      </c>
      <c r="G12109">
        <f t="shared" si="379"/>
        <v>24.3</v>
      </c>
    </row>
    <row r="12110" spans="1:7" ht="12.75" customHeight="1">
      <c r="A12110" s="3">
        <v>88266</v>
      </c>
      <c r="B12110" s="4" t="s">
        <v>12141</v>
      </c>
      <c r="C12110" s="3" t="s">
        <v>154</v>
      </c>
      <c r="D12110" s="5">
        <f t="shared" si="378"/>
        <v>29.92</v>
      </c>
      <c r="E12110">
        <v>32.85</v>
      </c>
      <c r="F12110" s="1789">
        <v>8.8999999999999996E-2</v>
      </c>
      <c r="G12110">
        <f t="shared" si="379"/>
        <v>29.92</v>
      </c>
    </row>
    <row r="12111" spans="1:7" ht="12.75" customHeight="1">
      <c r="A12111" s="3">
        <v>88267</v>
      </c>
      <c r="B12111" s="4" t="s">
        <v>12142</v>
      </c>
      <c r="C12111" s="3" t="s">
        <v>154</v>
      </c>
      <c r="D12111" s="5">
        <f t="shared" si="378"/>
        <v>23.27</v>
      </c>
      <c r="E12111">
        <v>25.55</v>
      </c>
      <c r="F12111" s="1789">
        <v>8.8999999999999996E-2</v>
      </c>
      <c r="G12111">
        <f t="shared" si="379"/>
        <v>23.27</v>
      </c>
    </row>
    <row r="12112" spans="1:7" ht="12.75" customHeight="1">
      <c r="A12112" s="3">
        <v>88269</v>
      </c>
      <c r="B12112" s="4" t="s">
        <v>12143</v>
      </c>
      <c r="C12112" s="3" t="s">
        <v>154</v>
      </c>
      <c r="D12112" s="5">
        <f t="shared" si="378"/>
        <v>22.31</v>
      </c>
      <c r="E12112">
        <v>24.5</v>
      </c>
      <c r="F12112" s="1789">
        <v>8.8999999999999996E-2</v>
      </c>
      <c r="G12112">
        <f t="shared" si="379"/>
        <v>22.31</v>
      </c>
    </row>
    <row r="12113" spans="1:7" ht="12.75" customHeight="1">
      <c r="A12113" s="3">
        <v>88270</v>
      </c>
      <c r="B12113" s="4" t="s">
        <v>12144</v>
      </c>
      <c r="C12113" s="3" t="s">
        <v>154</v>
      </c>
      <c r="D12113" s="5">
        <f t="shared" si="378"/>
        <v>21.08</v>
      </c>
      <c r="E12113">
        <v>23.14</v>
      </c>
      <c r="F12113" s="1789">
        <v>8.8999999999999996E-2</v>
      </c>
      <c r="G12113">
        <f t="shared" si="379"/>
        <v>21.08</v>
      </c>
    </row>
    <row r="12114" spans="1:7" ht="12.75" customHeight="1">
      <c r="A12114" s="3">
        <v>88272</v>
      </c>
      <c r="B12114" s="4" t="s">
        <v>12145</v>
      </c>
      <c r="C12114" s="3" t="s">
        <v>154</v>
      </c>
      <c r="D12114" s="5">
        <f t="shared" si="378"/>
        <v>23.65</v>
      </c>
      <c r="E12114">
        <v>25.97</v>
      </c>
      <c r="F12114" s="1789">
        <v>8.8999999999999996E-2</v>
      </c>
      <c r="G12114">
        <f t="shared" si="379"/>
        <v>23.65</v>
      </c>
    </row>
    <row r="12115" spans="1:7" ht="12.75" customHeight="1">
      <c r="A12115" s="3">
        <v>88273</v>
      </c>
      <c r="B12115" s="4" t="s">
        <v>12146</v>
      </c>
      <c r="C12115" s="3" t="s">
        <v>154</v>
      </c>
      <c r="D12115" s="5">
        <f t="shared" si="378"/>
        <v>21.71</v>
      </c>
      <c r="E12115">
        <v>23.84</v>
      </c>
      <c r="F12115" s="1789">
        <v>8.8999999999999996E-2</v>
      </c>
      <c r="G12115">
        <f t="shared" si="379"/>
        <v>21.71</v>
      </c>
    </row>
    <row r="12116" spans="1:7" ht="12.75" customHeight="1">
      <c r="A12116" s="3">
        <v>88274</v>
      </c>
      <c r="B12116" s="4" t="s">
        <v>12147</v>
      </c>
      <c r="C12116" s="3" t="s">
        <v>154</v>
      </c>
      <c r="D12116" s="5">
        <f t="shared" si="378"/>
        <v>23.2</v>
      </c>
      <c r="E12116">
        <v>25.47</v>
      </c>
      <c r="F12116" s="1789">
        <v>8.8999999999999996E-2</v>
      </c>
      <c r="G12116">
        <f t="shared" si="379"/>
        <v>23.2</v>
      </c>
    </row>
    <row r="12117" spans="1:7" ht="12.75" customHeight="1">
      <c r="A12117" s="3">
        <v>88275</v>
      </c>
      <c r="B12117" s="4" t="s">
        <v>12148</v>
      </c>
      <c r="C12117" s="3" t="s">
        <v>154</v>
      </c>
      <c r="D12117" s="5">
        <f t="shared" ref="D12117:D12180" si="380">G12117</f>
        <v>27.71</v>
      </c>
      <c r="E12117">
        <v>30.42</v>
      </c>
      <c r="F12117" s="1789">
        <v>8.8999999999999996E-2</v>
      </c>
      <c r="G12117">
        <f t="shared" ref="G12117:G12180" si="381">TRUNC((1-F12117)*E12117,2)</f>
        <v>27.71</v>
      </c>
    </row>
    <row r="12118" spans="1:7" ht="12.75" customHeight="1">
      <c r="A12118" s="3">
        <v>88277</v>
      </c>
      <c r="B12118" s="4" t="s">
        <v>12149</v>
      </c>
      <c r="C12118" s="3" t="s">
        <v>154</v>
      </c>
      <c r="D12118" s="5">
        <f t="shared" si="380"/>
        <v>14.47</v>
      </c>
      <c r="E12118">
        <v>15.89</v>
      </c>
      <c r="F12118" s="1789">
        <v>8.8999999999999996E-2</v>
      </c>
      <c r="G12118">
        <f t="shared" si="381"/>
        <v>14.47</v>
      </c>
    </row>
    <row r="12119" spans="1:7" ht="12.75" customHeight="1">
      <c r="A12119" s="3">
        <v>88278</v>
      </c>
      <c r="B12119" s="4" t="s">
        <v>12150</v>
      </c>
      <c r="C12119" s="3" t="s">
        <v>154</v>
      </c>
      <c r="D12119" s="5">
        <f t="shared" si="380"/>
        <v>20.440000000000001</v>
      </c>
      <c r="E12119">
        <v>22.44</v>
      </c>
      <c r="F12119" s="1789">
        <v>8.8999999999999996E-2</v>
      </c>
      <c r="G12119">
        <f t="shared" si="381"/>
        <v>20.440000000000001</v>
      </c>
    </row>
    <row r="12120" spans="1:7" ht="12.75" customHeight="1">
      <c r="A12120" s="3">
        <v>88279</v>
      </c>
      <c r="B12120" s="4" t="s">
        <v>12151</v>
      </c>
      <c r="C12120" s="3" t="s">
        <v>154</v>
      </c>
      <c r="D12120" s="5">
        <f t="shared" si="380"/>
        <v>17.61</v>
      </c>
      <c r="E12120">
        <v>19.34</v>
      </c>
      <c r="F12120" s="1789">
        <v>8.8999999999999996E-2</v>
      </c>
      <c r="G12120">
        <f t="shared" si="381"/>
        <v>17.61</v>
      </c>
    </row>
    <row r="12121" spans="1:7" ht="12.75" customHeight="1">
      <c r="A12121" s="3">
        <v>88281</v>
      </c>
      <c r="B12121" s="4" t="s">
        <v>12152</v>
      </c>
      <c r="C12121" s="3" t="s">
        <v>154</v>
      </c>
      <c r="D12121" s="5">
        <f t="shared" si="380"/>
        <v>28.62</v>
      </c>
      <c r="E12121">
        <v>31.42</v>
      </c>
      <c r="F12121" s="1789">
        <v>8.8999999999999996E-2</v>
      </c>
      <c r="G12121">
        <f t="shared" si="381"/>
        <v>28.62</v>
      </c>
    </row>
    <row r="12122" spans="1:7" ht="12.75" customHeight="1">
      <c r="A12122" s="3">
        <v>88282</v>
      </c>
      <c r="B12122" s="4" t="s">
        <v>12153</v>
      </c>
      <c r="C12122" s="3" t="s">
        <v>154</v>
      </c>
      <c r="D12122" s="5">
        <f t="shared" si="380"/>
        <v>27.7</v>
      </c>
      <c r="E12122">
        <v>30.41</v>
      </c>
      <c r="F12122" s="1789">
        <v>8.8999999999999996E-2</v>
      </c>
      <c r="G12122">
        <f t="shared" si="381"/>
        <v>27.7</v>
      </c>
    </row>
    <row r="12123" spans="1:7" ht="12.75" customHeight="1">
      <c r="A12123" s="3">
        <v>88283</v>
      </c>
      <c r="B12123" s="4" t="s">
        <v>12154</v>
      </c>
      <c r="C12123" s="3" t="s">
        <v>154</v>
      </c>
      <c r="D12123" s="5">
        <f t="shared" si="380"/>
        <v>33.520000000000003</v>
      </c>
      <c r="E12123">
        <v>36.799999999999997</v>
      </c>
      <c r="F12123" s="1789">
        <v>8.8999999999999996E-2</v>
      </c>
      <c r="G12123">
        <f t="shared" si="381"/>
        <v>33.520000000000003</v>
      </c>
    </row>
    <row r="12124" spans="1:7" ht="12.75" customHeight="1">
      <c r="A12124" s="3">
        <v>88284</v>
      </c>
      <c r="B12124" s="4" t="s">
        <v>12155</v>
      </c>
      <c r="C12124" s="3" t="s">
        <v>154</v>
      </c>
      <c r="D12124" s="5">
        <f t="shared" si="380"/>
        <v>23.69</v>
      </c>
      <c r="E12124">
        <v>26.01</v>
      </c>
      <c r="F12124" s="1789">
        <v>8.8999999999999996E-2</v>
      </c>
      <c r="G12124">
        <f t="shared" si="381"/>
        <v>23.69</v>
      </c>
    </row>
    <row r="12125" spans="1:7" ht="12.75" customHeight="1">
      <c r="A12125" s="3">
        <v>88286</v>
      </c>
      <c r="B12125" s="4" t="s">
        <v>12156</v>
      </c>
      <c r="C12125" s="3" t="s">
        <v>154</v>
      </c>
      <c r="D12125" s="5">
        <f t="shared" si="380"/>
        <v>31.04</v>
      </c>
      <c r="E12125">
        <v>34.08</v>
      </c>
      <c r="F12125" s="1789">
        <v>8.8999999999999996E-2</v>
      </c>
      <c r="G12125">
        <f t="shared" si="381"/>
        <v>31.04</v>
      </c>
    </row>
    <row r="12126" spans="1:7" ht="12.75" customHeight="1">
      <c r="A12126" s="3">
        <v>88288</v>
      </c>
      <c r="B12126" s="4" t="s">
        <v>12157</v>
      </c>
      <c r="C12126" s="3" t="s">
        <v>154</v>
      </c>
      <c r="D12126" s="5">
        <f t="shared" si="380"/>
        <v>16.62</v>
      </c>
      <c r="E12126">
        <v>18.25</v>
      </c>
      <c r="F12126" s="1789">
        <v>8.8999999999999996E-2</v>
      </c>
      <c r="G12126">
        <f t="shared" si="381"/>
        <v>16.62</v>
      </c>
    </row>
    <row r="12127" spans="1:7" ht="12.75" customHeight="1">
      <c r="A12127" s="3">
        <v>88291</v>
      </c>
      <c r="B12127" s="4" t="s">
        <v>12158</v>
      </c>
      <c r="C12127" s="3" t="s">
        <v>154</v>
      </c>
      <c r="D12127" s="5">
        <f t="shared" si="380"/>
        <v>19.47</v>
      </c>
      <c r="E12127">
        <v>21.38</v>
      </c>
      <c r="F12127" s="1789">
        <v>8.8999999999999996E-2</v>
      </c>
      <c r="G12127">
        <f t="shared" si="381"/>
        <v>19.47</v>
      </c>
    </row>
    <row r="12128" spans="1:7" ht="12.75" customHeight="1">
      <c r="A12128" s="3">
        <v>88292</v>
      </c>
      <c r="B12128" s="4" t="s">
        <v>12159</v>
      </c>
      <c r="C12128" s="3" t="s">
        <v>154</v>
      </c>
      <c r="D12128" s="5">
        <f t="shared" si="380"/>
        <v>19.32</v>
      </c>
      <c r="E12128">
        <v>21.21</v>
      </c>
      <c r="F12128" s="1789">
        <v>8.8999999999999996E-2</v>
      </c>
      <c r="G12128">
        <f t="shared" si="381"/>
        <v>19.32</v>
      </c>
    </row>
    <row r="12129" spans="1:7" ht="12.75" customHeight="1">
      <c r="A12129" s="3">
        <v>88293</v>
      </c>
      <c r="B12129" s="4" t="s">
        <v>12160</v>
      </c>
      <c r="C12129" s="3" t="s">
        <v>154</v>
      </c>
      <c r="D12129" s="5">
        <f t="shared" si="380"/>
        <v>19.47</v>
      </c>
      <c r="E12129">
        <v>21.38</v>
      </c>
      <c r="F12129" s="1789">
        <v>8.8999999999999996E-2</v>
      </c>
      <c r="G12129">
        <f t="shared" si="381"/>
        <v>19.47</v>
      </c>
    </row>
    <row r="12130" spans="1:7" ht="12.75" customHeight="1">
      <c r="A12130" s="3">
        <v>88294</v>
      </c>
      <c r="B12130" s="4" t="s">
        <v>12161</v>
      </c>
      <c r="C12130" s="3" t="s">
        <v>154</v>
      </c>
      <c r="D12130" s="5">
        <f t="shared" si="380"/>
        <v>22.05</v>
      </c>
      <c r="E12130">
        <v>24.21</v>
      </c>
      <c r="F12130" s="1789">
        <v>8.8999999999999996E-2</v>
      </c>
      <c r="G12130">
        <f t="shared" si="381"/>
        <v>22.05</v>
      </c>
    </row>
    <row r="12131" spans="1:7" ht="12.75" customHeight="1">
      <c r="A12131" s="3">
        <v>88295</v>
      </c>
      <c r="B12131" s="4" t="s">
        <v>12162</v>
      </c>
      <c r="C12131" s="3" t="s">
        <v>154</v>
      </c>
      <c r="D12131" s="5">
        <f t="shared" si="380"/>
        <v>19.12</v>
      </c>
      <c r="E12131">
        <v>20.99</v>
      </c>
      <c r="F12131" s="1789">
        <v>8.8999999999999996E-2</v>
      </c>
      <c r="G12131">
        <f t="shared" si="381"/>
        <v>19.12</v>
      </c>
    </row>
    <row r="12132" spans="1:7" ht="12.75" customHeight="1">
      <c r="A12132" s="3">
        <v>88296</v>
      </c>
      <c r="B12132" s="4" t="s">
        <v>12163</v>
      </c>
      <c r="C12132" s="3" t="s">
        <v>154</v>
      </c>
      <c r="D12132" s="5">
        <f t="shared" si="380"/>
        <v>22.83</v>
      </c>
      <c r="E12132">
        <v>25.07</v>
      </c>
      <c r="F12132" s="1789">
        <v>8.8999999999999996E-2</v>
      </c>
      <c r="G12132">
        <f t="shared" si="381"/>
        <v>22.83</v>
      </c>
    </row>
    <row r="12133" spans="1:7" ht="12.75" customHeight="1">
      <c r="A12133" s="3">
        <v>88297</v>
      </c>
      <c r="B12133" s="4" t="s">
        <v>12164</v>
      </c>
      <c r="C12133" s="3" t="s">
        <v>154</v>
      </c>
      <c r="D12133" s="5">
        <f t="shared" si="380"/>
        <v>19.78</v>
      </c>
      <c r="E12133">
        <v>21.72</v>
      </c>
      <c r="F12133" s="1789">
        <v>8.8999999999999996E-2</v>
      </c>
      <c r="G12133">
        <f t="shared" si="381"/>
        <v>19.78</v>
      </c>
    </row>
    <row r="12134" spans="1:7" ht="12.75" customHeight="1">
      <c r="A12134" s="3">
        <v>88298</v>
      </c>
      <c r="B12134" s="4" t="s">
        <v>12165</v>
      </c>
      <c r="C12134" s="3" t="s">
        <v>154</v>
      </c>
      <c r="D12134" s="5">
        <f t="shared" si="380"/>
        <v>17.399999999999999</v>
      </c>
      <c r="E12134">
        <v>19.100000000000001</v>
      </c>
      <c r="F12134" s="1789">
        <v>8.8999999999999996E-2</v>
      </c>
      <c r="G12134">
        <f t="shared" si="381"/>
        <v>17.399999999999999</v>
      </c>
    </row>
    <row r="12135" spans="1:7" ht="12.75" customHeight="1">
      <c r="A12135" s="3">
        <v>88299</v>
      </c>
      <c r="B12135" s="4" t="s">
        <v>12166</v>
      </c>
      <c r="C12135" s="3" t="s">
        <v>154</v>
      </c>
      <c r="D12135" s="5">
        <f t="shared" si="380"/>
        <v>26.22</v>
      </c>
      <c r="E12135">
        <v>28.79</v>
      </c>
      <c r="F12135" s="1789">
        <v>8.8999999999999996E-2</v>
      </c>
      <c r="G12135">
        <f t="shared" si="381"/>
        <v>26.22</v>
      </c>
    </row>
    <row r="12136" spans="1:7" ht="12.75" customHeight="1">
      <c r="A12136" s="3">
        <v>88300</v>
      </c>
      <c r="B12136" s="4" t="s">
        <v>12167</v>
      </c>
      <c r="C12136" s="3" t="s">
        <v>154</v>
      </c>
      <c r="D12136" s="5">
        <f t="shared" si="380"/>
        <v>26.22</v>
      </c>
      <c r="E12136">
        <v>28.79</v>
      </c>
      <c r="F12136" s="1789">
        <v>8.8999999999999996E-2</v>
      </c>
      <c r="G12136">
        <f t="shared" si="381"/>
        <v>26.22</v>
      </c>
    </row>
    <row r="12137" spans="1:7" ht="12.75" customHeight="1">
      <c r="A12137" s="3">
        <v>88301</v>
      </c>
      <c r="B12137" s="4" t="s">
        <v>12168</v>
      </c>
      <c r="C12137" s="3" t="s">
        <v>154</v>
      </c>
      <c r="D12137" s="5">
        <f t="shared" si="380"/>
        <v>19.47</v>
      </c>
      <c r="E12137">
        <v>21.38</v>
      </c>
      <c r="F12137" s="1789">
        <v>8.8999999999999996E-2</v>
      </c>
      <c r="G12137">
        <f t="shared" si="381"/>
        <v>19.47</v>
      </c>
    </row>
    <row r="12138" spans="1:7" ht="12.75" customHeight="1">
      <c r="A12138" s="3">
        <v>88302</v>
      </c>
      <c r="B12138" s="4" t="s">
        <v>12169</v>
      </c>
      <c r="C12138" s="3" t="s">
        <v>154</v>
      </c>
      <c r="D12138" s="5">
        <f t="shared" si="380"/>
        <v>19.47</v>
      </c>
      <c r="E12138">
        <v>21.38</v>
      </c>
      <c r="F12138" s="1789">
        <v>8.8999999999999996E-2</v>
      </c>
      <c r="G12138">
        <f t="shared" si="381"/>
        <v>19.47</v>
      </c>
    </row>
    <row r="12139" spans="1:7" ht="12.75" customHeight="1">
      <c r="A12139" s="3">
        <v>88303</v>
      </c>
      <c r="B12139" s="4" t="s">
        <v>12170</v>
      </c>
      <c r="C12139" s="3" t="s">
        <v>154</v>
      </c>
      <c r="D12139" s="5">
        <f t="shared" si="380"/>
        <v>19.32</v>
      </c>
      <c r="E12139">
        <v>21.21</v>
      </c>
      <c r="F12139" s="1789">
        <v>8.8999999999999996E-2</v>
      </c>
      <c r="G12139">
        <f t="shared" si="381"/>
        <v>19.32</v>
      </c>
    </row>
    <row r="12140" spans="1:7" ht="12.75" customHeight="1">
      <c r="A12140" s="3">
        <v>88304</v>
      </c>
      <c r="B12140" s="4" t="s">
        <v>12171</v>
      </c>
      <c r="C12140" s="3" t="s">
        <v>154</v>
      </c>
      <c r="D12140" s="5">
        <f t="shared" si="380"/>
        <v>26.22</v>
      </c>
      <c r="E12140">
        <v>28.79</v>
      </c>
      <c r="F12140" s="1789">
        <v>8.8999999999999996E-2</v>
      </c>
      <c r="G12140">
        <f t="shared" si="381"/>
        <v>26.22</v>
      </c>
    </row>
    <row r="12141" spans="1:7" ht="12.75" customHeight="1">
      <c r="A12141" s="3">
        <v>88306</v>
      </c>
      <c r="B12141" s="4" t="s">
        <v>12172</v>
      </c>
      <c r="C12141" s="3" t="s">
        <v>154</v>
      </c>
      <c r="D12141" s="5">
        <f t="shared" si="380"/>
        <v>17.100000000000001</v>
      </c>
      <c r="E12141">
        <v>18.78</v>
      </c>
      <c r="F12141" s="1789">
        <v>8.8999999999999996E-2</v>
      </c>
      <c r="G12141">
        <f t="shared" si="381"/>
        <v>17.100000000000001</v>
      </c>
    </row>
    <row r="12142" spans="1:7" ht="12.75" customHeight="1">
      <c r="A12142" s="3">
        <v>88307</v>
      </c>
      <c r="B12142" s="4" t="s">
        <v>12173</v>
      </c>
      <c r="C12142" s="3" t="s">
        <v>154</v>
      </c>
      <c r="D12142" s="5">
        <f t="shared" si="380"/>
        <v>18.84</v>
      </c>
      <c r="E12142">
        <v>20.69</v>
      </c>
      <c r="F12142" s="1789">
        <v>8.8999999999999996E-2</v>
      </c>
      <c r="G12142">
        <f t="shared" si="381"/>
        <v>18.84</v>
      </c>
    </row>
    <row r="12143" spans="1:7" ht="12.75" customHeight="1">
      <c r="A12143" s="3">
        <v>88308</v>
      </c>
      <c r="B12143" s="4" t="s">
        <v>12174</v>
      </c>
      <c r="C12143" s="3" t="s">
        <v>154</v>
      </c>
      <c r="D12143" s="5">
        <f t="shared" si="380"/>
        <v>23.2</v>
      </c>
      <c r="E12143">
        <v>25.47</v>
      </c>
      <c r="F12143" s="1789">
        <v>8.8999999999999996E-2</v>
      </c>
      <c r="G12143">
        <f t="shared" si="381"/>
        <v>23.2</v>
      </c>
    </row>
    <row r="12144" spans="1:7" ht="12.75" customHeight="1">
      <c r="A12144" s="3">
        <v>88309</v>
      </c>
      <c r="B12144" s="4" t="s">
        <v>12175</v>
      </c>
      <c r="C12144" s="3" t="s">
        <v>154</v>
      </c>
      <c r="D12144" s="5">
        <f t="shared" si="380"/>
        <v>23.33</v>
      </c>
      <c r="E12144">
        <v>25.62</v>
      </c>
      <c r="F12144" s="1789">
        <v>8.8999999999999996E-2</v>
      </c>
      <c r="G12144">
        <f t="shared" si="381"/>
        <v>23.33</v>
      </c>
    </row>
    <row r="12145" spans="1:7" ht="12.75" customHeight="1">
      <c r="A12145" s="3">
        <v>88310</v>
      </c>
      <c r="B12145" s="4" t="s">
        <v>12176</v>
      </c>
      <c r="C12145" s="3" t="s">
        <v>154</v>
      </c>
      <c r="D12145" s="5">
        <f t="shared" si="380"/>
        <v>24.69</v>
      </c>
      <c r="E12145">
        <v>27.11</v>
      </c>
      <c r="F12145" s="1789">
        <v>8.8999999999999996E-2</v>
      </c>
      <c r="G12145">
        <f t="shared" si="381"/>
        <v>24.69</v>
      </c>
    </row>
    <row r="12146" spans="1:7" ht="12.75" customHeight="1">
      <c r="A12146" s="3">
        <v>88311</v>
      </c>
      <c r="B12146" s="4" t="s">
        <v>12177</v>
      </c>
      <c r="C12146" s="3" t="s">
        <v>154</v>
      </c>
      <c r="D12146" s="5">
        <f t="shared" si="380"/>
        <v>24.15</v>
      </c>
      <c r="E12146">
        <v>26.52</v>
      </c>
      <c r="F12146" s="1789">
        <v>8.8999999999999996E-2</v>
      </c>
      <c r="G12146">
        <f t="shared" si="381"/>
        <v>24.15</v>
      </c>
    </row>
    <row r="12147" spans="1:7" ht="12.75" customHeight="1">
      <c r="A12147" s="3">
        <v>88312</v>
      </c>
      <c r="B12147" s="4" t="s">
        <v>12178</v>
      </c>
      <c r="C12147" s="3" t="s">
        <v>154</v>
      </c>
      <c r="D12147" s="5">
        <f t="shared" si="380"/>
        <v>24.69</v>
      </c>
      <c r="E12147">
        <v>27.11</v>
      </c>
      <c r="F12147" s="1789">
        <v>8.8999999999999996E-2</v>
      </c>
      <c r="G12147">
        <f t="shared" si="381"/>
        <v>24.69</v>
      </c>
    </row>
    <row r="12148" spans="1:7" ht="12.75" customHeight="1">
      <c r="A12148" s="3">
        <v>88313</v>
      </c>
      <c r="B12148" s="4" t="s">
        <v>12179</v>
      </c>
      <c r="C12148" s="3" t="s">
        <v>154</v>
      </c>
      <c r="D12148" s="5">
        <f t="shared" si="380"/>
        <v>19.03</v>
      </c>
      <c r="E12148">
        <v>20.89</v>
      </c>
      <c r="F12148" s="1789">
        <v>8.8999999999999996E-2</v>
      </c>
      <c r="G12148">
        <f t="shared" si="381"/>
        <v>19.03</v>
      </c>
    </row>
    <row r="12149" spans="1:7" ht="12.75" customHeight="1">
      <c r="A12149" s="3">
        <v>88314</v>
      </c>
      <c r="B12149" s="4" t="s">
        <v>12180</v>
      </c>
      <c r="C12149" s="3" t="s">
        <v>154</v>
      </c>
      <c r="D12149" s="5">
        <f t="shared" si="380"/>
        <v>20.190000000000001</v>
      </c>
      <c r="E12149">
        <v>22.17</v>
      </c>
      <c r="F12149" s="1789">
        <v>8.8999999999999996E-2</v>
      </c>
      <c r="G12149">
        <f t="shared" si="381"/>
        <v>20.190000000000001</v>
      </c>
    </row>
    <row r="12150" spans="1:7" ht="12.75" customHeight="1">
      <c r="A12150" s="3">
        <v>88315</v>
      </c>
      <c r="B12150" s="4" t="s">
        <v>12181</v>
      </c>
      <c r="C12150" s="3" t="s">
        <v>154</v>
      </c>
      <c r="D12150" s="5">
        <f t="shared" si="380"/>
        <v>23.13</v>
      </c>
      <c r="E12150">
        <v>25.4</v>
      </c>
      <c r="F12150" s="1789">
        <v>8.8999999999999996E-2</v>
      </c>
      <c r="G12150">
        <f t="shared" si="381"/>
        <v>23.13</v>
      </c>
    </row>
    <row r="12151" spans="1:7" ht="12.75" customHeight="1">
      <c r="A12151" s="3">
        <v>88316</v>
      </c>
      <c r="B12151" s="4" t="s">
        <v>12182</v>
      </c>
      <c r="C12151" s="3" t="s">
        <v>154</v>
      </c>
      <c r="D12151" s="5">
        <f t="shared" si="380"/>
        <v>18.510000000000002</v>
      </c>
      <c r="E12151">
        <v>20.32</v>
      </c>
      <c r="F12151" s="1789">
        <v>8.8999999999999996E-2</v>
      </c>
      <c r="G12151">
        <f t="shared" si="381"/>
        <v>18.510000000000002</v>
      </c>
    </row>
    <row r="12152" spans="1:7" ht="12.75" customHeight="1">
      <c r="A12152" s="3">
        <v>88317</v>
      </c>
      <c r="B12152" s="4" t="s">
        <v>12183</v>
      </c>
      <c r="C12152" s="3" t="s">
        <v>154</v>
      </c>
      <c r="D12152" s="5">
        <f t="shared" si="380"/>
        <v>24.01</v>
      </c>
      <c r="E12152">
        <v>26.36</v>
      </c>
      <c r="F12152" s="1789">
        <v>8.8999999999999996E-2</v>
      </c>
      <c r="G12152">
        <f t="shared" si="381"/>
        <v>24.01</v>
      </c>
    </row>
    <row r="12153" spans="1:7" ht="12.75" customHeight="1">
      <c r="A12153" s="3">
        <v>88318</v>
      </c>
      <c r="B12153" s="4" t="s">
        <v>12184</v>
      </c>
      <c r="C12153" s="3" t="s">
        <v>154</v>
      </c>
      <c r="D12153" s="5">
        <f t="shared" si="380"/>
        <v>27.19</v>
      </c>
      <c r="E12153">
        <v>29.85</v>
      </c>
      <c r="F12153" s="1789">
        <v>8.8999999999999996E-2</v>
      </c>
      <c r="G12153">
        <f t="shared" si="381"/>
        <v>27.19</v>
      </c>
    </row>
    <row r="12154" spans="1:7" ht="12.75" customHeight="1">
      <c r="A12154" s="3">
        <v>88321</v>
      </c>
      <c r="B12154" s="4" t="s">
        <v>12185</v>
      </c>
      <c r="C12154" s="3" t="s">
        <v>154</v>
      </c>
      <c r="D12154" s="5">
        <f t="shared" si="380"/>
        <v>27.03</v>
      </c>
      <c r="E12154">
        <v>29.68</v>
      </c>
      <c r="F12154" s="1789">
        <v>8.8999999999999996E-2</v>
      </c>
      <c r="G12154">
        <f t="shared" si="381"/>
        <v>27.03</v>
      </c>
    </row>
    <row r="12155" spans="1:7" ht="12.75" customHeight="1">
      <c r="A12155" s="3">
        <v>88322</v>
      </c>
      <c r="B12155" s="4" t="s">
        <v>12186</v>
      </c>
      <c r="C12155" s="3" t="s">
        <v>154</v>
      </c>
      <c r="D12155" s="5">
        <f t="shared" si="380"/>
        <v>21.38</v>
      </c>
      <c r="E12155">
        <v>23.47</v>
      </c>
      <c r="F12155" s="1789">
        <v>8.8999999999999996E-2</v>
      </c>
      <c r="G12155">
        <f t="shared" si="381"/>
        <v>21.38</v>
      </c>
    </row>
    <row r="12156" spans="1:7" ht="12.75" customHeight="1">
      <c r="A12156" s="3">
        <v>88323</v>
      </c>
      <c r="B12156" s="4" t="s">
        <v>12187</v>
      </c>
      <c r="C12156" s="3" t="s">
        <v>154</v>
      </c>
      <c r="D12156" s="5">
        <f t="shared" si="380"/>
        <v>22.77</v>
      </c>
      <c r="E12156">
        <v>25</v>
      </c>
      <c r="F12156" s="1789">
        <v>8.8999999999999996E-2</v>
      </c>
      <c r="G12156">
        <f t="shared" si="381"/>
        <v>22.77</v>
      </c>
    </row>
    <row r="12157" spans="1:7" ht="12.75" customHeight="1">
      <c r="A12157" s="3">
        <v>88324</v>
      </c>
      <c r="B12157" s="4" t="s">
        <v>12188</v>
      </c>
      <c r="C12157" s="3" t="s">
        <v>154</v>
      </c>
      <c r="D12157" s="5">
        <f t="shared" si="380"/>
        <v>19.78</v>
      </c>
      <c r="E12157">
        <v>21.72</v>
      </c>
      <c r="F12157" s="1789">
        <v>8.8999999999999996E-2</v>
      </c>
      <c r="G12157">
        <f t="shared" si="381"/>
        <v>19.78</v>
      </c>
    </row>
    <row r="12158" spans="1:7" ht="12.75" customHeight="1">
      <c r="A12158" s="3">
        <v>88325</v>
      </c>
      <c r="B12158" s="4" t="s">
        <v>12189</v>
      </c>
      <c r="C12158" s="3" t="s">
        <v>154</v>
      </c>
      <c r="D12158" s="5">
        <f t="shared" si="380"/>
        <v>20.67</v>
      </c>
      <c r="E12158">
        <v>22.69</v>
      </c>
      <c r="F12158" s="1789">
        <v>8.8999999999999996E-2</v>
      </c>
      <c r="G12158">
        <f t="shared" si="381"/>
        <v>20.67</v>
      </c>
    </row>
    <row r="12159" spans="1:7" ht="12.75" customHeight="1">
      <c r="A12159" s="3">
        <v>88377</v>
      </c>
      <c r="B12159" s="4" t="s">
        <v>12190</v>
      </c>
      <c r="C12159" s="3" t="s">
        <v>154</v>
      </c>
      <c r="D12159" s="5">
        <f t="shared" si="380"/>
        <v>17.850000000000001</v>
      </c>
      <c r="E12159">
        <v>19.600000000000001</v>
      </c>
      <c r="F12159" s="1789">
        <v>8.8999999999999996E-2</v>
      </c>
      <c r="G12159">
        <f t="shared" si="381"/>
        <v>17.850000000000001</v>
      </c>
    </row>
    <row r="12160" spans="1:7" ht="12.75" customHeight="1">
      <c r="A12160" s="3">
        <v>88441</v>
      </c>
      <c r="B12160" s="4" t="s">
        <v>12191</v>
      </c>
      <c r="C12160" s="3" t="s">
        <v>154</v>
      </c>
      <c r="D12160" s="5">
        <f t="shared" si="380"/>
        <v>19.23</v>
      </c>
      <c r="E12160">
        <v>21.11</v>
      </c>
      <c r="F12160" s="1789">
        <v>8.8999999999999996E-2</v>
      </c>
      <c r="G12160">
        <f t="shared" si="381"/>
        <v>19.23</v>
      </c>
    </row>
    <row r="12161" spans="1:7" ht="12.75" customHeight="1">
      <c r="A12161" s="3">
        <v>90766</v>
      </c>
      <c r="B12161" s="4" t="s">
        <v>12192</v>
      </c>
      <c r="C12161" s="3" t="s">
        <v>154</v>
      </c>
      <c r="D12161" s="5">
        <f t="shared" si="380"/>
        <v>20.16</v>
      </c>
      <c r="E12161">
        <v>22.13</v>
      </c>
      <c r="F12161" s="1789">
        <v>8.8999999999999996E-2</v>
      </c>
      <c r="G12161">
        <f t="shared" si="381"/>
        <v>20.16</v>
      </c>
    </row>
    <row r="12162" spans="1:7" ht="12.75" customHeight="1">
      <c r="A12162" s="3">
        <v>90767</v>
      </c>
      <c r="B12162" s="4" t="s">
        <v>12193</v>
      </c>
      <c r="C12162" s="3" t="s">
        <v>154</v>
      </c>
      <c r="D12162" s="5">
        <f t="shared" si="380"/>
        <v>21.08</v>
      </c>
      <c r="E12162">
        <v>23.15</v>
      </c>
      <c r="F12162" s="1789">
        <v>8.8999999999999996E-2</v>
      </c>
      <c r="G12162">
        <f t="shared" si="381"/>
        <v>21.08</v>
      </c>
    </row>
    <row r="12163" spans="1:7" ht="12.75" customHeight="1">
      <c r="A12163" s="3">
        <v>90768</v>
      </c>
      <c r="B12163" s="4" t="s">
        <v>12194</v>
      </c>
      <c r="C12163" s="3" t="s">
        <v>154</v>
      </c>
      <c r="D12163" s="5">
        <f t="shared" si="380"/>
        <v>103.78</v>
      </c>
      <c r="E12163">
        <v>113.92</v>
      </c>
      <c r="F12163" s="1789">
        <v>8.8999999999999996E-2</v>
      </c>
      <c r="G12163">
        <f t="shared" si="381"/>
        <v>103.78</v>
      </c>
    </row>
    <row r="12164" spans="1:7" ht="12.75" customHeight="1">
      <c r="A12164" s="3">
        <v>90769</v>
      </c>
      <c r="B12164" s="4" t="s">
        <v>12195</v>
      </c>
      <c r="C12164" s="3" t="s">
        <v>154</v>
      </c>
      <c r="D12164" s="5">
        <f t="shared" si="380"/>
        <v>109.83</v>
      </c>
      <c r="E12164">
        <v>120.56</v>
      </c>
      <c r="F12164" s="1789">
        <v>8.8999999999999996E-2</v>
      </c>
      <c r="G12164">
        <f t="shared" si="381"/>
        <v>109.83</v>
      </c>
    </row>
    <row r="12165" spans="1:7" ht="12.75" customHeight="1">
      <c r="A12165" s="3">
        <v>90770</v>
      </c>
      <c r="B12165" s="4" t="s">
        <v>12196</v>
      </c>
      <c r="C12165" s="3" t="s">
        <v>154</v>
      </c>
      <c r="D12165" s="5">
        <f t="shared" si="380"/>
        <v>115</v>
      </c>
      <c r="E12165">
        <v>126.24</v>
      </c>
      <c r="F12165" s="1789">
        <v>8.8999999999999996E-2</v>
      </c>
      <c r="G12165">
        <f t="shared" si="381"/>
        <v>115</v>
      </c>
    </row>
    <row r="12166" spans="1:7" ht="12.75" customHeight="1">
      <c r="A12166" s="3">
        <v>90772</v>
      </c>
      <c r="B12166" s="4" t="s">
        <v>12197</v>
      </c>
      <c r="C12166" s="3" t="s">
        <v>154</v>
      </c>
      <c r="D12166" s="5">
        <f t="shared" si="380"/>
        <v>16.12</v>
      </c>
      <c r="E12166">
        <v>17.7</v>
      </c>
      <c r="F12166" s="1789">
        <v>8.8999999999999996E-2</v>
      </c>
      <c r="G12166">
        <f t="shared" si="381"/>
        <v>16.12</v>
      </c>
    </row>
    <row r="12167" spans="1:7" ht="12.75" customHeight="1">
      <c r="A12167" s="3">
        <v>90775</v>
      </c>
      <c r="B12167" s="4" t="s">
        <v>12198</v>
      </c>
      <c r="C12167" s="3" t="s">
        <v>154</v>
      </c>
      <c r="D12167" s="5">
        <f t="shared" si="380"/>
        <v>20.53</v>
      </c>
      <c r="E12167">
        <v>22.54</v>
      </c>
      <c r="F12167" s="1789">
        <v>8.8999999999999996E-2</v>
      </c>
      <c r="G12167">
        <f t="shared" si="381"/>
        <v>20.53</v>
      </c>
    </row>
    <row r="12168" spans="1:7" ht="12.75" customHeight="1">
      <c r="A12168" s="3">
        <v>90776</v>
      </c>
      <c r="B12168" s="4" t="s">
        <v>12199</v>
      </c>
      <c r="C12168" s="3" t="s">
        <v>154</v>
      </c>
      <c r="D12168" s="5">
        <f t="shared" si="380"/>
        <v>27.18</v>
      </c>
      <c r="E12168">
        <v>29.84</v>
      </c>
      <c r="F12168" s="1789">
        <v>8.8999999999999996E-2</v>
      </c>
      <c r="G12168">
        <f t="shared" si="381"/>
        <v>27.18</v>
      </c>
    </row>
    <row r="12169" spans="1:7" ht="12.75" customHeight="1">
      <c r="A12169" s="3">
        <v>90777</v>
      </c>
      <c r="B12169" s="4" t="s">
        <v>12200</v>
      </c>
      <c r="C12169" s="3" t="s">
        <v>154</v>
      </c>
      <c r="D12169" s="5">
        <f t="shared" si="380"/>
        <v>106.46</v>
      </c>
      <c r="E12169">
        <v>116.87</v>
      </c>
      <c r="F12169" s="1789">
        <v>8.8999999999999996E-2</v>
      </c>
      <c r="G12169">
        <f t="shared" si="381"/>
        <v>106.46</v>
      </c>
    </row>
    <row r="12170" spans="1:7" ht="12.75" customHeight="1">
      <c r="A12170" s="3">
        <v>90778</v>
      </c>
      <c r="B12170" s="4" t="s">
        <v>12201</v>
      </c>
      <c r="C12170" s="3" t="s">
        <v>154</v>
      </c>
      <c r="D12170" s="5">
        <f t="shared" si="380"/>
        <v>112.28</v>
      </c>
      <c r="E12170">
        <v>123.26</v>
      </c>
      <c r="F12170" s="1789">
        <v>8.8999999999999996E-2</v>
      </c>
      <c r="G12170">
        <f t="shared" si="381"/>
        <v>112.28</v>
      </c>
    </row>
    <row r="12171" spans="1:7" ht="12.75" customHeight="1">
      <c r="A12171" s="3">
        <v>90779</v>
      </c>
      <c r="B12171" s="4" t="s">
        <v>12202</v>
      </c>
      <c r="C12171" s="3" t="s">
        <v>154</v>
      </c>
      <c r="D12171" s="5">
        <f t="shared" si="380"/>
        <v>133.54</v>
      </c>
      <c r="E12171">
        <v>146.59</v>
      </c>
      <c r="F12171" s="1789">
        <v>8.8999999999999996E-2</v>
      </c>
      <c r="G12171">
        <f t="shared" si="381"/>
        <v>133.54</v>
      </c>
    </row>
    <row r="12172" spans="1:7" ht="12.75" customHeight="1">
      <c r="A12172" s="3">
        <v>90780</v>
      </c>
      <c r="B12172" s="4" t="s">
        <v>12203</v>
      </c>
      <c r="C12172" s="3" t="s">
        <v>154</v>
      </c>
      <c r="D12172" s="5">
        <f t="shared" si="380"/>
        <v>55.78</v>
      </c>
      <c r="E12172">
        <v>61.24</v>
      </c>
      <c r="F12172" s="1789">
        <v>8.8999999999999996E-2</v>
      </c>
      <c r="G12172">
        <f t="shared" si="381"/>
        <v>55.78</v>
      </c>
    </row>
    <row r="12173" spans="1:7" ht="12.75" customHeight="1">
      <c r="A12173" s="3">
        <v>90781</v>
      </c>
      <c r="B12173" s="4" t="s">
        <v>12204</v>
      </c>
      <c r="C12173" s="3" t="s">
        <v>154</v>
      </c>
      <c r="D12173" s="5">
        <f t="shared" si="380"/>
        <v>20.16</v>
      </c>
      <c r="E12173">
        <v>22.13</v>
      </c>
      <c r="F12173" s="1789">
        <v>8.8999999999999996E-2</v>
      </c>
      <c r="G12173">
        <f t="shared" si="381"/>
        <v>20.16</v>
      </c>
    </row>
    <row r="12174" spans="1:7" ht="12.75" customHeight="1">
      <c r="A12174" s="3">
        <v>93558</v>
      </c>
      <c r="B12174" s="4" t="s">
        <v>12205</v>
      </c>
      <c r="C12174" s="3" t="s">
        <v>156</v>
      </c>
      <c r="D12174" s="5">
        <f t="shared" si="380"/>
        <v>4914.5</v>
      </c>
      <c r="E12174">
        <v>5394.63</v>
      </c>
      <c r="F12174" s="1789">
        <v>8.8999999999999996E-2</v>
      </c>
      <c r="G12174">
        <f t="shared" si="381"/>
        <v>4914.5</v>
      </c>
    </row>
    <row r="12175" spans="1:7" ht="12.75" customHeight="1">
      <c r="A12175" s="3">
        <v>93561</v>
      </c>
      <c r="B12175" s="4" t="s">
        <v>12198</v>
      </c>
      <c r="C12175" s="3" t="s">
        <v>156</v>
      </c>
      <c r="D12175" s="5">
        <f t="shared" si="380"/>
        <v>3634.39</v>
      </c>
      <c r="E12175">
        <v>3989.46</v>
      </c>
      <c r="F12175" s="1789">
        <v>8.8999999999999996E-2</v>
      </c>
      <c r="G12175">
        <f t="shared" si="381"/>
        <v>3634.39</v>
      </c>
    </row>
    <row r="12176" spans="1:7" ht="12.75" customHeight="1">
      <c r="A12176" s="3">
        <v>93563</v>
      </c>
      <c r="B12176" s="4" t="s">
        <v>12192</v>
      </c>
      <c r="C12176" s="3" t="s">
        <v>156</v>
      </c>
      <c r="D12176" s="5">
        <f t="shared" si="380"/>
        <v>3567.38</v>
      </c>
      <c r="E12176">
        <v>3915.9</v>
      </c>
      <c r="F12176" s="1789">
        <v>8.8999999999999996E-2</v>
      </c>
      <c r="G12176">
        <f t="shared" si="381"/>
        <v>3567.38</v>
      </c>
    </row>
    <row r="12177" spans="1:7" ht="12.75" customHeight="1">
      <c r="A12177" s="3">
        <v>93564</v>
      </c>
      <c r="B12177" s="4" t="s">
        <v>12193</v>
      </c>
      <c r="C12177" s="3" t="s">
        <v>156</v>
      </c>
      <c r="D12177" s="5">
        <f t="shared" si="380"/>
        <v>3716.98</v>
      </c>
      <c r="E12177">
        <v>4080.12</v>
      </c>
      <c r="F12177" s="1789">
        <v>8.8999999999999996E-2</v>
      </c>
      <c r="G12177">
        <f t="shared" si="381"/>
        <v>3716.98</v>
      </c>
    </row>
    <row r="12178" spans="1:7" ht="12.75" customHeight="1">
      <c r="A12178" s="3">
        <v>93565</v>
      </c>
      <c r="B12178" s="4" t="s">
        <v>12200</v>
      </c>
      <c r="C12178" s="3" t="s">
        <v>156</v>
      </c>
      <c r="D12178" s="5">
        <f t="shared" si="380"/>
        <v>18678.990000000002</v>
      </c>
      <c r="E12178">
        <v>20503.84</v>
      </c>
      <c r="F12178" s="1789">
        <v>8.8999999999999996E-2</v>
      </c>
      <c r="G12178">
        <f t="shared" si="381"/>
        <v>18678.990000000002</v>
      </c>
    </row>
    <row r="12179" spans="1:7" ht="12.75" customHeight="1">
      <c r="A12179" s="3">
        <v>93566</v>
      </c>
      <c r="B12179" s="4" t="s">
        <v>12197</v>
      </c>
      <c r="C12179" s="3" t="s">
        <v>156</v>
      </c>
      <c r="D12179" s="5">
        <f t="shared" si="380"/>
        <v>2860.02</v>
      </c>
      <c r="E12179">
        <v>3139.44</v>
      </c>
      <c r="F12179" s="1789">
        <v>8.8999999999999996E-2</v>
      </c>
      <c r="G12179">
        <f t="shared" si="381"/>
        <v>2860.02</v>
      </c>
    </row>
    <row r="12180" spans="1:7" ht="12.75" customHeight="1">
      <c r="A12180" s="3">
        <v>93567</v>
      </c>
      <c r="B12180" s="4" t="s">
        <v>12201</v>
      </c>
      <c r="C12180" s="3" t="s">
        <v>156</v>
      </c>
      <c r="D12180" s="5">
        <f t="shared" si="380"/>
        <v>19700.43</v>
      </c>
      <c r="E12180">
        <v>21625.07</v>
      </c>
      <c r="F12180" s="1789">
        <v>8.8999999999999996E-2</v>
      </c>
      <c r="G12180">
        <f t="shared" si="381"/>
        <v>19700.43</v>
      </c>
    </row>
    <row r="12181" spans="1:7" ht="12.75" customHeight="1">
      <c r="A12181" s="3">
        <v>93568</v>
      </c>
      <c r="B12181" s="4" t="s">
        <v>12202</v>
      </c>
      <c r="C12181" s="3" t="s">
        <v>156</v>
      </c>
      <c r="D12181" s="5">
        <f t="shared" ref="D12181:D12244" si="382">G12181</f>
        <v>23424.06</v>
      </c>
      <c r="E12181">
        <v>25712.47</v>
      </c>
      <c r="F12181" s="1789">
        <v>8.8999999999999996E-2</v>
      </c>
      <c r="G12181">
        <f t="shared" ref="G12181:G12244" si="383">TRUNC((1-F12181)*E12181,2)</f>
        <v>23424.06</v>
      </c>
    </row>
    <row r="12182" spans="1:7" ht="12.75" customHeight="1">
      <c r="A12182" s="3">
        <v>93569</v>
      </c>
      <c r="B12182" s="4" t="s">
        <v>12206</v>
      </c>
      <c r="C12182" s="3" t="s">
        <v>156</v>
      </c>
      <c r="D12182" s="5">
        <f t="shared" si="382"/>
        <v>18242.02</v>
      </c>
      <c r="E12182">
        <v>20024.18</v>
      </c>
      <c r="F12182" s="1789">
        <v>8.8999999999999996E-2</v>
      </c>
      <c r="G12182">
        <f t="shared" si="383"/>
        <v>18242.02</v>
      </c>
    </row>
    <row r="12183" spans="1:7" ht="12.75" customHeight="1">
      <c r="A12183" s="3">
        <v>93570</v>
      </c>
      <c r="B12183" s="4" t="s">
        <v>12207</v>
      </c>
      <c r="C12183" s="3" t="s">
        <v>156</v>
      </c>
      <c r="D12183" s="5">
        <f t="shared" si="382"/>
        <v>19303.919999999998</v>
      </c>
      <c r="E12183">
        <v>21189.82</v>
      </c>
      <c r="F12183" s="1789">
        <v>8.8999999999999996E-2</v>
      </c>
      <c r="G12183">
        <f t="shared" si="383"/>
        <v>19303.919999999998</v>
      </c>
    </row>
    <row r="12184" spans="1:7" ht="12.75" customHeight="1">
      <c r="A12184" s="3">
        <v>93571</v>
      </c>
      <c r="B12184" s="4" t="s">
        <v>12208</v>
      </c>
      <c r="C12184" s="3" t="s">
        <v>156</v>
      </c>
      <c r="D12184" s="5">
        <f t="shared" si="382"/>
        <v>20213.55</v>
      </c>
      <c r="E12184">
        <v>22188.31</v>
      </c>
      <c r="F12184" s="1789">
        <v>8.8999999999999996E-2</v>
      </c>
      <c r="G12184">
        <f t="shared" si="383"/>
        <v>20213.55</v>
      </c>
    </row>
    <row r="12185" spans="1:7" ht="12.75" customHeight="1">
      <c r="A12185" s="3">
        <v>93572</v>
      </c>
      <c r="B12185" s="4" t="s">
        <v>12209</v>
      </c>
      <c r="C12185" s="3" t="s">
        <v>156</v>
      </c>
      <c r="D12185" s="5">
        <f t="shared" si="382"/>
        <v>4789.1000000000004</v>
      </c>
      <c r="E12185">
        <v>5256.98</v>
      </c>
      <c r="F12185" s="1789">
        <v>8.8999999999999996E-2</v>
      </c>
      <c r="G12185">
        <f t="shared" si="383"/>
        <v>4789.1000000000004</v>
      </c>
    </row>
    <row r="12186" spans="1:7" ht="12.75" customHeight="1">
      <c r="A12186" s="3">
        <v>94295</v>
      </c>
      <c r="B12186" s="4" t="s">
        <v>12203</v>
      </c>
      <c r="C12186" s="3" t="s">
        <v>156</v>
      </c>
      <c r="D12186" s="5">
        <f t="shared" si="382"/>
        <v>9793.6</v>
      </c>
      <c r="E12186">
        <v>10750.39</v>
      </c>
      <c r="F12186" s="1789">
        <v>8.8999999999999996E-2</v>
      </c>
      <c r="G12186">
        <f t="shared" si="383"/>
        <v>9793.6</v>
      </c>
    </row>
    <row r="12187" spans="1:7" ht="12.75" customHeight="1">
      <c r="A12187" s="3">
        <v>94296</v>
      </c>
      <c r="B12187" s="4" t="s">
        <v>12204</v>
      </c>
      <c r="C12187" s="3" t="s">
        <v>156</v>
      </c>
      <c r="D12187" s="5">
        <f t="shared" si="382"/>
        <v>3564.15</v>
      </c>
      <c r="E12187">
        <v>3912.36</v>
      </c>
      <c r="F12187" s="1789">
        <v>8.8999999999999996E-2</v>
      </c>
      <c r="G12187">
        <f t="shared" si="383"/>
        <v>3564.15</v>
      </c>
    </row>
    <row r="12188" spans="1:7" ht="12.75" customHeight="1">
      <c r="A12188" s="3">
        <v>95308</v>
      </c>
      <c r="B12188" s="4" t="s">
        <v>12210</v>
      </c>
      <c r="C12188" s="3" t="s">
        <v>154</v>
      </c>
      <c r="D12188" s="5">
        <f t="shared" si="382"/>
        <v>0.19</v>
      </c>
      <c r="E12188">
        <v>0.21</v>
      </c>
      <c r="F12188" s="1789">
        <v>8.8999999999999996E-2</v>
      </c>
      <c r="G12188">
        <f t="shared" si="383"/>
        <v>0.19</v>
      </c>
    </row>
    <row r="12189" spans="1:7" ht="12.75" customHeight="1">
      <c r="A12189" s="3">
        <v>95309</v>
      </c>
      <c r="B12189" s="4" t="s">
        <v>12211</v>
      </c>
      <c r="C12189" s="3" t="s">
        <v>154</v>
      </c>
      <c r="D12189" s="5">
        <f t="shared" si="382"/>
        <v>0.24</v>
      </c>
      <c r="E12189">
        <v>0.27</v>
      </c>
      <c r="F12189" s="1789">
        <v>8.8999999999999996E-2</v>
      </c>
      <c r="G12189">
        <f t="shared" si="383"/>
        <v>0.24</v>
      </c>
    </row>
    <row r="12190" spans="1:7" ht="12.75" customHeight="1">
      <c r="A12190" s="3">
        <v>95310</v>
      </c>
      <c r="B12190" s="4" t="s">
        <v>12212</v>
      </c>
      <c r="C12190" s="3" t="s">
        <v>154</v>
      </c>
      <c r="D12190" s="5">
        <f t="shared" si="382"/>
        <v>0.19</v>
      </c>
      <c r="E12190">
        <v>0.21</v>
      </c>
      <c r="F12190" s="1789">
        <v>8.8999999999999996E-2</v>
      </c>
      <c r="G12190">
        <f t="shared" si="383"/>
        <v>0.19</v>
      </c>
    </row>
    <row r="12191" spans="1:7" ht="12.75" customHeight="1">
      <c r="A12191" s="3">
        <v>95311</v>
      </c>
      <c r="B12191" s="4" t="s">
        <v>12213</v>
      </c>
      <c r="C12191" s="3" t="s">
        <v>154</v>
      </c>
      <c r="D12191" s="5">
        <f t="shared" si="382"/>
        <v>0.18</v>
      </c>
      <c r="E12191">
        <v>0.2</v>
      </c>
      <c r="F12191" s="1789">
        <v>8.8999999999999996E-2</v>
      </c>
      <c r="G12191">
        <f t="shared" si="383"/>
        <v>0.18</v>
      </c>
    </row>
    <row r="12192" spans="1:7" ht="12.75" customHeight="1">
      <c r="A12192" s="3">
        <v>95312</v>
      </c>
      <c r="B12192" s="4" t="s">
        <v>12214</v>
      </c>
      <c r="C12192" s="3" t="s">
        <v>154</v>
      </c>
      <c r="D12192" s="5">
        <f t="shared" si="382"/>
        <v>0.24</v>
      </c>
      <c r="E12192">
        <v>0.27</v>
      </c>
      <c r="F12192" s="1789">
        <v>8.8999999999999996E-2</v>
      </c>
      <c r="G12192">
        <f t="shared" si="383"/>
        <v>0.24</v>
      </c>
    </row>
    <row r="12193" spans="1:7" ht="12.75" customHeight="1">
      <c r="A12193" s="3">
        <v>95313</v>
      </c>
      <c r="B12193" s="4" t="s">
        <v>12215</v>
      </c>
      <c r="C12193" s="3" t="s">
        <v>154</v>
      </c>
      <c r="D12193" s="5">
        <f t="shared" si="382"/>
        <v>0.18</v>
      </c>
      <c r="E12193">
        <v>0.2</v>
      </c>
      <c r="F12193" s="1789">
        <v>8.8999999999999996E-2</v>
      </c>
      <c r="G12193">
        <f t="shared" si="383"/>
        <v>0.18</v>
      </c>
    </row>
    <row r="12194" spans="1:7" ht="12.75" customHeight="1">
      <c r="A12194" s="3">
        <v>95314</v>
      </c>
      <c r="B12194" s="4" t="s">
        <v>12216</v>
      </c>
      <c r="C12194" s="3" t="s">
        <v>154</v>
      </c>
      <c r="D12194" s="5">
        <f t="shared" si="382"/>
        <v>0.23</v>
      </c>
      <c r="E12194">
        <v>0.26</v>
      </c>
      <c r="F12194" s="1789">
        <v>8.8999999999999996E-2</v>
      </c>
      <c r="G12194">
        <f t="shared" si="383"/>
        <v>0.23</v>
      </c>
    </row>
    <row r="12195" spans="1:7" ht="12.75" customHeight="1">
      <c r="A12195" s="3">
        <v>95315</v>
      </c>
      <c r="B12195" s="4" t="s">
        <v>12217</v>
      </c>
      <c r="C12195" s="3" t="s">
        <v>154</v>
      </c>
      <c r="D12195" s="5">
        <f t="shared" si="382"/>
        <v>0.14000000000000001</v>
      </c>
      <c r="E12195">
        <v>0.16</v>
      </c>
      <c r="F12195" s="1789">
        <v>8.8999999999999996E-2</v>
      </c>
      <c r="G12195">
        <f t="shared" si="383"/>
        <v>0.14000000000000001</v>
      </c>
    </row>
    <row r="12196" spans="1:7" ht="12.75" customHeight="1">
      <c r="A12196" s="3">
        <v>95316</v>
      </c>
      <c r="B12196" s="4" t="s">
        <v>12218</v>
      </c>
      <c r="C12196" s="3" t="s">
        <v>154</v>
      </c>
      <c r="D12196" s="5">
        <f t="shared" si="382"/>
        <v>0.61</v>
      </c>
      <c r="E12196">
        <v>0.68</v>
      </c>
      <c r="F12196" s="1789">
        <v>8.8999999999999996E-2</v>
      </c>
      <c r="G12196">
        <f t="shared" si="383"/>
        <v>0.61</v>
      </c>
    </row>
    <row r="12197" spans="1:7" ht="12.75" customHeight="1">
      <c r="A12197" s="3">
        <v>95317</v>
      </c>
      <c r="B12197" s="4" t="s">
        <v>12219</v>
      </c>
      <c r="C12197" s="3" t="s">
        <v>154</v>
      </c>
      <c r="D12197" s="5">
        <f t="shared" si="382"/>
        <v>0.28999999999999998</v>
      </c>
      <c r="E12197">
        <v>0.32</v>
      </c>
      <c r="F12197" s="1789">
        <v>8.8999999999999996E-2</v>
      </c>
      <c r="G12197">
        <f t="shared" si="383"/>
        <v>0.28999999999999998</v>
      </c>
    </row>
    <row r="12198" spans="1:7" ht="12.75" customHeight="1">
      <c r="A12198" s="3">
        <v>95318</v>
      </c>
      <c r="B12198" s="4" t="s">
        <v>12220</v>
      </c>
      <c r="C12198" s="3" t="s">
        <v>154</v>
      </c>
      <c r="D12198" s="5">
        <f t="shared" si="382"/>
        <v>0.2</v>
      </c>
      <c r="E12198">
        <v>0.23</v>
      </c>
      <c r="F12198" s="1789">
        <v>8.8999999999999996E-2</v>
      </c>
      <c r="G12198">
        <f t="shared" si="383"/>
        <v>0.2</v>
      </c>
    </row>
    <row r="12199" spans="1:7" ht="12.75" customHeight="1">
      <c r="A12199" s="3">
        <v>95319</v>
      </c>
      <c r="B12199" s="4" t="s">
        <v>12221</v>
      </c>
      <c r="C12199" s="3" t="s">
        <v>154</v>
      </c>
      <c r="D12199" s="5">
        <f t="shared" si="382"/>
        <v>0.19</v>
      </c>
      <c r="E12199">
        <v>0.21</v>
      </c>
      <c r="F12199" s="1789">
        <v>8.8999999999999996E-2</v>
      </c>
      <c r="G12199">
        <f t="shared" si="383"/>
        <v>0.19</v>
      </c>
    </row>
    <row r="12200" spans="1:7" ht="12.75" customHeight="1">
      <c r="A12200" s="3">
        <v>95320</v>
      </c>
      <c r="B12200" s="4" t="s">
        <v>12222</v>
      </c>
      <c r="C12200" s="3" t="s">
        <v>154</v>
      </c>
      <c r="D12200" s="5">
        <f t="shared" si="382"/>
        <v>0.19</v>
      </c>
      <c r="E12200">
        <v>0.21</v>
      </c>
      <c r="F12200" s="1789">
        <v>8.8999999999999996E-2</v>
      </c>
      <c r="G12200">
        <f t="shared" si="383"/>
        <v>0.19</v>
      </c>
    </row>
    <row r="12201" spans="1:7" ht="12.75" customHeight="1">
      <c r="A12201" s="3">
        <v>95321</v>
      </c>
      <c r="B12201" s="4" t="s">
        <v>12223</v>
      </c>
      <c r="C12201" s="3" t="s">
        <v>154</v>
      </c>
      <c r="D12201" s="5">
        <f t="shared" si="382"/>
        <v>0.17</v>
      </c>
      <c r="E12201">
        <v>0.19</v>
      </c>
      <c r="F12201" s="1789">
        <v>8.8999999999999996E-2</v>
      </c>
      <c r="G12201">
        <f t="shared" si="383"/>
        <v>0.17</v>
      </c>
    </row>
    <row r="12202" spans="1:7" ht="12.75" customHeight="1">
      <c r="A12202" s="3">
        <v>95322</v>
      </c>
      <c r="B12202" s="4" t="s">
        <v>12224</v>
      </c>
      <c r="C12202" s="3" t="s">
        <v>154</v>
      </c>
      <c r="D12202" s="5">
        <f t="shared" si="382"/>
        <v>7.0000000000000007E-2</v>
      </c>
      <c r="E12202">
        <v>0.08</v>
      </c>
      <c r="F12202" s="1789">
        <v>8.8999999999999996E-2</v>
      </c>
      <c r="G12202">
        <f t="shared" si="383"/>
        <v>7.0000000000000007E-2</v>
      </c>
    </row>
    <row r="12203" spans="1:7" ht="12.75" customHeight="1">
      <c r="A12203" s="3">
        <v>95323</v>
      </c>
      <c r="B12203" s="4" t="s">
        <v>12225</v>
      </c>
      <c r="C12203" s="3" t="s">
        <v>154</v>
      </c>
      <c r="D12203" s="5">
        <f t="shared" si="382"/>
        <v>0.2</v>
      </c>
      <c r="E12203">
        <v>0.23</v>
      </c>
      <c r="F12203" s="1789">
        <v>8.8999999999999996E-2</v>
      </c>
      <c r="G12203">
        <f t="shared" si="383"/>
        <v>0.2</v>
      </c>
    </row>
    <row r="12204" spans="1:7" ht="12.75" customHeight="1">
      <c r="A12204" s="3">
        <v>95324</v>
      </c>
      <c r="B12204" s="4" t="s">
        <v>12226</v>
      </c>
      <c r="C12204" s="3" t="s">
        <v>154</v>
      </c>
      <c r="D12204" s="5">
        <f t="shared" si="382"/>
        <v>0.3</v>
      </c>
      <c r="E12204">
        <v>0.33</v>
      </c>
      <c r="F12204" s="1789">
        <v>8.8999999999999996E-2</v>
      </c>
      <c r="G12204">
        <f t="shared" si="383"/>
        <v>0.3</v>
      </c>
    </row>
    <row r="12205" spans="1:7" ht="12.75" customHeight="1">
      <c r="A12205" s="3">
        <v>95325</v>
      </c>
      <c r="B12205" s="4" t="s">
        <v>12227</v>
      </c>
      <c r="C12205" s="3" t="s">
        <v>154</v>
      </c>
      <c r="D12205" s="5">
        <f t="shared" si="382"/>
        <v>0.26</v>
      </c>
      <c r="E12205">
        <v>0.28999999999999998</v>
      </c>
      <c r="F12205" s="1789">
        <v>8.8999999999999996E-2</v>
      </c>
      <c r="G12205">
        <f t="shared" si="383"/>
        <v>0.26</v>
      </c>
    </row>
    <row r="12206" spans="1:7" ht="12.75" customHeight="1">
      <c r="A12206" s="3">
        <v>95328</v>
      </c>
      <c r="B12206" s="4" t="s">
        <v>12228</v>
      </c>
      <c r="C12206" s="3" t="s">
        <v>154</v>
      </c>
      <c r="D12206" s="5">
        <f t="shared" si="382"/>
        <v>0.2</v>
      </c>
      <c r="E12206">
        <v>0.23</v>
      </c>
      <c r="F12206" s="1789">
        <v>8.8999999999999996E-2</v>
      </c>
      <c r="G12206">
        <f t="shared" si="383"/>
        <v>0.2</v>
      </c>
    </row>
    <row r="12207" spans="1:7" ht="12.75" customHeight="1">
      <c r="A12207" s="3">
        <v>95329</v>
      </c>
      <c r="B12207" s="4" t="s">
        <v>12229</v>
      </c>
      <c r="C12207" s="3" t="s">
        <v>154</v>
      </c>
      <c r="D12207" s="5">
        <f t="shared" si="382"/>
        <v>0.28000000000000003</v>
      </c>
      <c r="E12207">
        <v>0.31</v>
      </c>
      <c r="F12207" s="1789">
        <v>8.8999999999999996E-2</v>
      </c>
      <c r="G12207">
        <f t="shared" si="383"/>
        <v>0.28000000000000003</v>
      </c>
    </row>
    <row r="12208" spans="1:7" ht="12.75" customHeight="1">
      <c r="A12208" s="3">
        <v>95330</v>
      </c>
      <c r="B12208" s="4" t="s">
        <v>12230</v>
      </c>
      <c r="C12208" s="3" t="s">
        <v>154</v>
      </c>
      <c r="D12208" s="5">
        <f t="shared" si="382"/>
        <v>0.23</v>
      </c>
      <c r="E12208">
        <v>0.26</v>
      </c>
      <c r="F12208" s="1789">
        <v>8.8999999999999996E-2</v>
      </c>
      <c r="G12208">
        <f t="shared" si="383"/>
        <v>0.23</v>
      </c>
    </row>
    <row r="12209" spans="1:7" ht="12.75" customHeight="1">
      <c r="A12209" s="3">
        <v>95331</v>
      </c>
      <c r="B12209" s="4" t="s">
        <v>12231</v>
      </c>
      <c r="C12209" s="3" t="s">
        <v>154</v>
      </c>
      <c r="D12209" s="5">
        <f t="shared" si="382"/>
        <v>0.2</v>
      </c>
      <c r="E12209">
        <v>0.22</v>
      </c>
      <c r="F12209" s="1789">
        <v>8.8999999999999996E-2</v>
      </c>
      <c r="G12209">
        <f t="shared" si="383"/>
        <v>0.2</v>
      </c>
    </row>
    <row r="12210" spans="1:7" ht="12.75" customHeight="1">
      <c r="A12210" s="3">
        <v>95332</v>
      </c>
      <c r="B12210" s="4" t="s">
        <v>12232</v>
      </c>
      <c r="C12210" s="3" t="s">
        <v>154</v>
      </c>
      <c r="D12210" s="5">
        <f t="shared" si="382"/>
        <v>0.79</v>
      </c>
      <c r="E12210">
        <v>0.87</v>
      </c>
      <c r="F12210" s="1789">
        <v>8.8999999999999996E-2</v>
      </c>
      <c r="G12210">
        <f t="shared" si="383"/>
        <v>0.79</v>
      </c>
    </row>
    <row r="12211" spans="1:7" ht="12.75" customHeight="1">
      <c r="A12211" s="3">
        <v>95334</v>
      </c>
      <c r="B12211" s="4" t="s">
        <v>12233</v>
      </c>
      <c r="C12211" s="3" t="s">
        <v>154</v>
      </c>
      <c r="D12211" s="5">
        <f t="shared" si="382"/>
        <v>0.85</v>
      </c>
      <c r="E12211">
        <v>0.94</v>
      </c>
      <c r="F12211" s="1789">
        <v>8.8999999999999996E-2</v>
      </c>
      <c r="G12211">
        <f t="shared" si="383"/>
        <v>0.85</v>
      </c>
    </row>
    <row r="12212" spans="1:7" ht="12.75" customHeight="1">
      <c r="A12212" s="3">
        <v>95335</v>
      </c>
      <c r="B12212" s="4" t="s">
        <v>12234</v>
      </c>
      <c r="C12212" s="3" t="s">
        <v>154</v>
      </c>
      <c r="D12212" s="5">
        <f t="shared" si="382"/>
        <v>0.38</v>
      </c>
      <c r="E12212">
        <v>0.42</v>
      </c>
      <c r="F12212" s="1789">
        <v>8.8999999999999996E-2</v>
      </c>
      <c r="G12212">
        <f t="shared" si="383"/>
        <v>0.38</v>
      </c>
    </row>
    <row r="12213" spans="1:7" ht="12.75" customHeight="1">
      <c r="A12213" s="3">
        <v>95337</v>
      </c>
      <c r="B12213" s="4" t="s">
        <v>12235</v>
      </c>
      <c r="C12213" s="3" t="s">
        <v>154</v>
      </c>
      <c r="D12213" s="5">
        <f t="shared" si="382"/>
        <v>0.22</v>
      </c>
      <c r="E12213">
        <v>0.25</v>
      </c>
      <c r="F12213" s="1789">
        <v>8.8999999999999996E-2</v>
      </c>
      <c r="G12213">
        <f t="shared" si="383"/>
        <v>0.22</v>
      </c>
    </row>
    <row r="12214" spans="1:7" ht="12.75" customHeight="1">
      <c r="A12214" s="3">
        <v>95338</v>
      </c>
      <c r="B12214" s="4" t="s">
        <v>12236</v>
      </c>
      <c r="C12214" s="3" t="s">
        <v>154</v>
      </c>
      <c r="D12214" s="5">
        <f t="shared" si="382"/>
        <v>0.38</v>
      </c>
      <c r="E12214">
        <v>0.42</v>
      </c>
      <c r="F12214" s="1789">
        <v>8.8999999999999996E-2</v>
      </c>
      <c r="G12214">
        <f t="shared" si="383"/>
        <v>0.38</v>
      </c>
    </row>
    <row r="12215" spans="1:7" ht="12.75" customHeight="1">
      <c r="A12215" s="3">
        <v>95339</v>
      </c>
      <c r="B12215" s="4" t="s">
        <v>12237</v>
      </c>
      <c r="C12215" s="3" t="s">
        <v>154</v>
      </c>
      <c r="D12215" s="5">
        <f t="shared" si="382"/>
        <v>0.35</v>
      </c>
      <c r="E12215">
        <v>0.39</v>
      </c>
      <c r="F12215" s="1789">
        <v>8.8999999999999996E-2</v>
      </c>
      <c r="G12215">
        <f t="shared" si="383"/>
        <v>0.35</v>
      </c>
    </row>
    <row r="12216" spans="1:7" ht="12.75" customHeight="1">
      <c r="A12216" s="3">
        <v>95340</v>
      </c>
      <c r="B12216" s="4" t="s">
        <v>12238</v>
      </c>
      <c r="C12216" s="3" t="s">
        <v>154</v>
      </c>
      <c r="D12216" s="5">
        <f t="shared" si="382"/>
        <v>0.28000000000000003</v>
      </c>
      <c r="E12216">
        <v>0.31</v>
      </c>
      <c r="F12216" s="1789">
        <v>8.8999999999999996E-2</v>
      </c>
      <c r="G12216">
        <f t="shared" si="383"/>
        <v>0.28000000000000003</v>
      </c>
    </row>
    <row r="12217" spans="1:7" ht="12.75" customHeight="1">
      <c r="A12217" s="3">
        <v>95341</v>
      </c>
      <c r="B12217" s="4" t="s">
        <v>12239</v>
      </c>
      <c r="C12217" s="3" t="s">
        <v>154</v>
      </c>
      <c r="D12217" s="5">
        <f t="shared" si="382"/>
        <v>0.3</v>
      </c>
      <c r="E12217">
        <v>0.33</v>
      </c>
      <c r="F12217" s="1789">
        <v>8.8999999999999996E-2</v>
      </c>
      <c r="G12217">
        <f t="shared" si="383"/>
        <v>0.3</v>
      </c>
    </row>
    <row r="12218" spans="1:7" ht="12.75" customHeight="1">
      <c r="A12218" s="3">
        <v>95342</v>
      </c>
      <c r="B12218" s="4" t="s">
        <v>12240</v>
      </c>
      <c r="C12218" s="3" t="s">
        <v>154</v>
      </c>
      <c r="D12218" s="5">
        <f t="shared" si="382"/>
        <v>0.21</v>
      </c>
      <c r="E12218">
        <v>0.24</v>
      </c>
      <c r="F12218" s="1789">
        <v>8.8999999999999996E-2</v>
      </c>
      <c r="G12218">
        <f t="shared" si="383"/>
        <v>0.21</v>
      </c>
    </row>
    <row r="12219" spans="1:7" ht="12.75" customHeight="1">
      <c r="A12219" s="3">
        <v>95343</v>
      </c>
      <c r="B12219" s="4" t="s">
        <v>12241</v>
      </c>
      <c r="C12219" s="3" t="s">
        <v>154</v>
      </c>
      <c r="D12219" s="5">
        <f t="shared" si="382"/>
        <v>0.17</v>
      </c>
      <c r="E12219">
        <v>0.19</v>
      </c>
      <c r="F12219" s="1789">
        <v>8.8999999999999996E-2</v>
      </c>
      <c r="G12219">
        <f t="shared" si="383"/>
        <v>0.17</v>
      </c>
    </row>
    <row r="12220" spans="1:7" ht="12.75" customHeight="1">
      <c r="A12220" s="3">
        <v>95344</v>
      </c>
      <c r="B12220" s="4" t="s">
        <v>12242</v>
      </c>
      <c r="C12220" s="3" t="s">
        <v>154</v>
      </c>
      <c r="D12220" s="5">
        <f t="shared" si="382"/>
        <v>0.2</v>
      </c>
      <c r="E12220">
        <v>0.23</v>
      </c>
      <c r="F12220" s="1789">
        <v>8.8999999999999996E-2</v>
      </c>
      <c r="G12220">
        <f t="shared" si="383"/>
        <v>0.2</v>
      </c>
    </row>
    <row r="12221" spans="1:7" ht="12.75" customHeight="1">
      <c r="A12221" s="3">
        <v>95345</v>
      </c>
      <c r="B12221" s="4" t="s">
        <v>12243</v>
      </c>
      <c r="C12221" s="3" t="s">
        <v>154</v>
      </c>
      <c r="D12221" s="5">
        <f t="shared" si="382"/>
        <v>0.43</v>
      </c>
      <c r="E12221">
        <v>0.48</v>
      </c>
      <c r="F12221" s="1789">
        <v>8.8999999999999996E-2</v>
      </c>
      <c r="G12221">
        <f t="shared" si="383"/>
        <v>0.43</v>
      </c>
    </row>
    <row r="12222" spans="1:7" ht="12.75" customHeight="1">
      <c r="A12222" s="3">
        <v>95346</v>
      </c>
      <c r="B12222" s="4" t="s">
        <v>12244</v>
      </c>
      <c r="C12222" s="3" t="s">
        <v>154</v>
      </c>
      <c r="D12222" s="5">
        <f t="shared" si="382"/>
        <v>0.13</v>
      </c>
      <c r="E12222">
        <v>0.15</v>
      </c>
      <c r="F12222" s="1789">
        <v>8.8999999999999996E-2</v>
      </c>
      <c r="G12222">
        <f t="shared" si="383"/>
        <v>0.13</v>
      </c>
    </row>
    <row r="12223" spans="1:7" ht="12.75" customHeight="1">
      <c r="A12223" s="3">
        <v>95347</v>
      </c>
      <c r="B12223" s="4" t="s">
        <v>12245</v>
      </c>
      <c r="C12223" s="3" t="s">
        <v>154</v>
      </c>
      <c r="D12223" s="5">
        <f t="shared" si="382"/>
        <v>0.13</v>
      </c>
      <c r="E12223">
        <v>0.15</v>
      </c>
      <c r="F12223" s="1789">
        <v>8.8999999999999996E-2</v>
      </c>
      <c r="G12223">
        <f t="shared" si="383"/>
        <v>0.13</v>
      </c>
    </row>
    <row r="12224" spans="1:7" ht="12.75" customHeight="1">
      <c r="A12224" s="3">
        <v>95348</v>
      </c>
      <c r="B12224" s="4" t="s">
        <v>12246</v>
      </c>
      <c r="C12224" s="3" t="s">
        <v>154</v>
      </c>
      <c r="D12224" s="5">
        <f t="shared" si="382"/>
        <v>0.17</v>
      </c>
      <c r="E12224">
        <v>0.19</v>
      </c>
      <c r="F12224" s="1789">
        <v>8.8999999999999996E-2</v>
      </c>
      <c r="G12224">
        <f t="shared" si="383"/>
        <v>0.17</v>
      </c>
    </row>
    <row r="12225" spans="1:7" ht="12.75" customHeight="1">
      <c r="A12225" s="3">
        <v>95349</v>
      </c>
      <c r="B12225" s="4" t="s">
        <v>12247</v>
      </c>
      <c r="C12225" s="3" t="s">
        <v>154</v>
      </c>
      <c r="D12225" s="5">
        <f t="shared" si="382"/>
        <v>0.1</v>
      </c>
      <c r="E12225">
        <v>0.12</v>
      </c>
      <c r="F12225" s="1789">
        <v>8.8999999999999996E-2</v>
      </c>
      <c r="G12225">
        <f t="shared" si="383"/>
        <v>0.1</v>
      </c>
    </row>
    <row r="12226" spans="1:7" ht="12.75" customHeight="1">
      <c r="A12226" s="3">
        <v>95351</v>
      </c>
      <c r="B12226" s="4" t="s">
        <v>12248</v>
      </c>
      <c r="C12226" s="3" t="s">
        <v>154</v>
      </c>
      <c r="D12226" s="5">
        <f t="shared" si="382"/>
        <v>0.5</v>
      </c>
      <c r="E12226">
        <v>0.55000000000000004</v>
      </c>
      <c r="F12226" s="1789">
        <v>8.8999999999999996E-2</v>
      </c>
      <c r="G12226">
        <f t="shared" si="383"/>
        <v>0.5</v>
      </c>
    </row>
    <row r="12227" spans="1:7" ht="12.75" customHeight="1">
      <c r="A12227" s="3">
        <v>95352</v>
      </c>
      <c r="B12227" s="4" t="s">
        <v>12249</v>
      </c>
      <c r="C12227" s="3" t="s">
        <v>154</v>
      </c>
      <c r="D12227" s="5">
        <f t="shared" si="382"/>
        <v>0.13</v>
      </c>
      <c r="E12227">
        <v>0.15</v>
      </c>
      <c r="F12227" s="1789">
        <v>8.8999999999999996E-2</v>
      </c>
      <c r="G12227">
        <f t="shared" si="383"/>
        <v>0.13</v>
      </c>
    </row>
    <row r="12228" spans="1:7" ht="12.75" customHeight="1">
      <c r="A12228" s="3">
        <v>95354</v>
      </c>
      <c r="B12228" s="4" t="s">
        <v>12250</v>
      </c>
      <c r="C12228" s="3" t="s">
        <v>154</v>
      </c>
      <c r="D12228" s="5">
        <f t="shared" si="382"/>
        <v>0.14000000000000001</v>
      </c>
      <c r="E12228">
        <v>0.16</v>
      </c>
      <c r="F12228" s="1789">
        <v>8.8999999999999996E-2</v>
      </c>
      <c r="G12228">
        <f t="shared" si="383"/>
        <v>0.14000000000000001</v>
      </c>
    </row>
    <row r="12229" spans="1:7" ht="12.75" customHeight="1">
      <c r="A12229" s="3">
        <v>95355</v>
      </c>
      <c r="B12229" s="4" t="s">
        <v>12251</v>
      </c>
      <c r="C12229" s="3" t="s">
        <v>154</v>
      </c>
      <c r="D12229" s="5">
        <f t="shared" si="382"/>
        <v>0.14000000000000001</v>
      </c>
      <c r="E12229">
        <v>0.16</v>
      </c>
      <c r="F12229" s="1789">
        <v>8.8999999999999996E-2</v>
      </c>
      <c r="G12229">
        <f t="shared" si="383"/>
        <v>0.14000000000000001</v>
      </c>
    </row>
    <row r="12230" spans="1:7" ht="12.75" customHeight="1">
      <c r="A12230" s="3">
        <v>95356</v>
      </c>
      <c r="B12230" s="4" t="s">
        <v>12252</v>
      </c>
      <c r="C12230" s="3" t="s">
        <v>154</v>
      </c>
      <c r="D12230" s="5">
        <f t="shared" si="382"/>
        <v>0.14000000000000001</v>
      </c>
      <c r="E12230">
        <v>0.16</v>
      </c>
      <c r="F12230" s="1789">
        <v>8.8999999999999996E-2</v>
      </c>
      <c r="G12230">
        <f t="shared" si="383"/>
        <v>0.14000000000000001</v>
      </c>
    </row>
    <row r="12231" spans="1:7" ht="12.75" customHeight="1">
      <c r="A12231" s="3">
        <v>95357</v>
      </c>
      <c r="B12231" s="4" t="s">
        <v>12253</v>
      </c>
      <c r="C12231" s="3" t="s">
        <v>154</v>
      </c>
      <c r="D12231" s="5">
        <f t="shared" si="382"/>
        <v>0.23</v>
      </c>
      <c r="E12231">
        <v>0.26</v>
      </c>
      <c r="F12231" s="1789">
        <v>8.8999999999999996E-2</v>
      </c>
      <c r="G12231">
        <f t="shared" si="383"/>
        <v>0.23</v>
      </c>
    </row>
    <row r="12232" spans="1:7" ht="12.75" customHeight="1">
      <c r="A12232" s="3">
        <v>95358</v>
      </c>
      <c r="B12232" s="4" t="s">
        <v>12254</v>
      </c>
      <c r="C12232" s="3" t="s">
        <v>154</v>
      </c>
      <c r="D12232" s="5">
        <f t="shared" si="382"/>
        <v>0.28000000000000003</v>
      </c>
      <c r="E12232">
        <v>0.31</v>
      </c>
      <c r="F12232" s="1789">
        <v>8.8999999999999996E-2</v>
      </c>
      <c r="G12232">
        <f t="shared" si="383"/>
        <v>0.28000000000000003</v>
      </c>
    </row>
    <row r="12233" spans="1:7" ht="12.75" customHeight="1">
      <c r="A12233" s="3">
        <v>95359</v>
      </c>
      <c r="B12233" s="4" t="s">
        <v>12255</v>
      </c>
      <c r="C12233" s="3" t="s">
        <v>154</v>
      </c>
      <c r="D12233" s="5">
        <f t="shared" si="382"/>
        <v>0.34</v>
      </c>
      <c r="E12233">
        <v>0.38</v>
      </c>
      <c r="F12233" s="1789">
        <v>8.8999999999999996E-2</v>
      </c>
      <c r="G12233">
        <f t="shared" si="383"/>
        <v>0.34</v>
      </c>
    </row>
    <row r="12234" spans="1:7" ht="12.75" customHeight="1">
      <c r="A12234" s="3">
        <v>95360</v>
      </c>
      <c r="B12234" s="4" t="s">
        <v>12256</v>
      </c>
      <c r="C12234" s="3" t="s">
        <v>154</v>
      </c>
      <c r="D12234" s="5">
        <f t="shared" si="382"/>
        <v>0.2</v>
      </c>
      <c r="E12234">
        <v>0.23</v>
      </c>
      <c r="F12234" s="1789">
        <v>8.8999999999999996E-2</v>
      </c>
      <c r="G12234">
        <f t="shared" si="383"/>
        <v>0.2</v>
      </c>
    </row>
    <row r="12235" spans="1:7" ht="12.75" customHeight="1">
      <c r="A12235" s="3">
        <v>95361</v>
      </c>
      <c r="B12235" s="4" t="s">
        <v>12257</v>
      </c>
      <c r="C12235" s="3" t="s">
        <v>154</v>
      </c>
      <c r="D12235" s="5">
        <f t="shared" si="382"/>
        <v>0.12</v>
      </c>
      <c r="E12235">
        <v>0.14000000000000001</v>
      </c>
      <c r="F12235" s="1789">
        <v>8.8999999999999996E-2</v>
      </c>
      <c r="G12235">
        <f t="shared" si="383"/>
        <v>0.12</v>
      </c>
    </row>
    <row r="12236" spans="1:7" ht="12.75" customHeight="1">
      <c r="A12236" s="3">
        <v>95362</v>
      </c>
      <c r="B12236" s="4" t="s">
        <v>12258</v>
      </c>
      <c r="C12236" s="3" t="s">
        <v>154</v>
      </c>
      <c r="D12236" s="5">
        <f t="shared" si="382"/>
        <v>0.2</v>
      </c>
      <c r="E12236">
        <v>0.23</v>
      </c>
      <c r="F12236" s="1789">
        <v>8.8999999999999996E-2</v>
      </c>
      <c r="G12236">
        <f t="shared" si="383"/>
        <v>0.2</v>
      </c>
    </row>
    <row r="12237" spans="1:7" ht="12.75" customHeight="1">
      <c r="A12237" s="3">
        <v>95363</v>
      </c>
      <c r="B12237" s="4" t="s">
        <v>12259</v>
      </c>
      <c r="C12237" s="3" t="s">
        <v>154</v>
      </c>
      <c r="D12237" s="5">
        <f t="shared" si="382"/>
        <v>0.2</v>
      </c>
      <c r="E12237">
        <v>0.23</v>
      </c>
      <c r="F12237" s="1789">
        <v>8.8999999999999996E-2</v>
      </c>
      <c r="G12237">
        <f t="shared" si="383"/>
        <v>0.2</v>
      </c>
    </row>
    <row r="12238" spans="1:7" ht="12.75" customHeight="1">
      <c r="A12238" s="3">
        <v>95364</v>
      </c>
      <c r="B12238" s="4" t="s">
        <v>12260</v>
      </c>
      <c r="C12238" s="3" t="s">
        <v>154</v>
      </c>
      <c r="D12238" s="5">
        <f t="shared" si="382"/>
        <v>0.14000000000000001</v>
      </c>
      <c r="E12238">
        <v>0.16</v>
      </c>
      <c r="F12238" s="1789">
        <v>8.8999999999999996E-2</v>
      </c>
      <c r="G12238">
        <f t="shared" si="383"/>
        <v>0.14000000000000001</v>
      </c>
    </row>
    <row r="12239" spans="1:7" ht="12.75" customHeight="1">
      <c r="A12239" s="3">
        <v>95365</v>
      </c>
      <c r="B12239" s="4" t="s">
        <v>12261</v>
      </c>
      <c r="C12239" s="3" t="s">
        <v>154</v>
      </c>
      <c r="D12239" s="5">
        <f t="shared" si="382"/>
        <v>0.14000000000000001</v>
      </c>
      <c r="E12239">
        <v>0.16</v>
      </c>
      <c r="F12239" s="1789">
        <v>8.8999999999999996E-2</v>
      </c>
      <c r="G12239">
        <f t="shared" si="383"/>
        <v>0.14000000000000001</v>
      </c>
    </row>
    <row r="12240" spans="1:7" ht="12.75" customHeight="1">
      <c r="A12240" s="3">
        <v>95366</v>
      </c>
      <c r="B12240" s="4" t="s">
        <v>12262</v>
      </c>
      <c r="C12240" s="3" t="s">
        <v>154</v>
      </c>
      <c r="D12240" s="5">
        <f t="shared" si="382"/>
        <v>0.14000000000000001</v>
      </c>
      <c r="E12240">
        <v>0.16</v>
      </c>
      <c r="F12240" s="1789">
        <v>8.8999999999999996E-2</v>
      </c>
      <c r="G12240">
        <f t="shared" si="383"/>
        <v>0.14000000000000001</v>
      </c>
    </row>
    <row r="12241" spans="1:7" ht="12.75" customHeight="1">
      <c r="A12241" s="3">
        <v>95367</v>
      </c>
      <c r="B12241" s="4" t="s">
        <v>12263</v>
      </c>
      <c r="C12241" s="3" t="s">
        <v>154</v>
      </c>
      <c r="D12241" s="5">
        <f t="shared" si="382"/>
        <v>0.2</v>
      </c>
      <c r="E12241">
        <v>0.23</v>
      </c>
      <c r="F12241" s="1789">
        <v>8.8999999999999996E-2</v>
      </c>
      <c r="G12241">
        <f t="shared" si="383"/>
        <v>0.2</v>
      </c>
    </row>
    <row r="12242" spans="1:7" ht="12.75" customHeight="1">
      <c r="A12242" s="3">
        <v>95368</v>
      </c>
      <c r="B12242" s="4" t="s">
        <v>12264</v>
      </c>
      <c r="C12242" s="3" t="s">
        <v>154</v>
      </c>
      <c r="D12242" s="5">
        <f t="shared" si="382"/>
        <v>0.17</v>
      </c>
      <c r="E12242">
        <v>0.19</v>
      </c>
      <c r="F12242" s="1789">
        <v>8.8999999999999996E-2</v>
      </c>
      <c r="G12242">
        <f t="shared" si="383"/>
        <v>0.17</v>
      </c>
    </row>
    <row r="12243" spans="1:7" ht="12.75" customHeight="1">
      <c r="A12243" s="3">
        <v>95369</v>
      </c>
      <c r="B12243" s="4" t="s">
        <v>12265</v>
      </c>
      <c r="C12243" s="3" t="s">
        <v>154</v>
      </c>
      <c r="D12243" s="5">
        <f t="shared" si="382"/>
        <v>0.13</v>
      </c>
      <c r="E12243">
        <v>0.15</v>
      </c>
      <c r="F12243" s="1789">
        <v>8.8999999999999996E-2</v>
      </c>
      <c r="G12243">
        <f t="shared" si="383"/>
        <v>0.13</v>
      </c>
    </row>
    <row r="12244" spans="1:7" ht="12.75" customHeight="1">
      <c r="A12244" s="3">
        <v>95370</v>
      </c>
      <c r="B12244" s="4" t="s">
        <v>12266</v>
      </c>
      <c r="C12244" s="3" t="s">
        <v>154</v>
      </c>
      <c r="D12244" s="5">
        <f t="shared" si="382"/>
        <v>0.3</v>
      </c>
      <c r="E12244">
        <v>0.33</v>
      </c>
      <c r="F12244" s="1789">
        <v>8.8999999999999996E-2</v>
      </c>
      <c r="G12244">
        <f t="shared" si="383"/>
        <v>0.3</v>
      </c>
    </row>
    <row r="12245" spans="1:7" ht="12.75" customHeight="1">
      <c r="A12245" s="3">
        <v>95371</v>
      </c>
      <c r="B12245" s="4" t="s">
        <v>12267</v>
      </c>
      <c r="C12245" s="3" t="s">
        <v>154</v>
      </c>
      <c r="D12245" s="5">
        <f t="shared" ref="D12245:D12308" si="384">G12245</f>
        <v>0.43</v>
      </c>
      <c r="E12245">
        <v>0.48</v>
      </c>
      <c r="F12245" s="1789">
        <v>8.8999999999999996E-2</v>
      </c>
      <c r="G12245">
        <f t="shared" ref="G12245:G12308" si="385">TRUNC((1-F12245)*E12245,2)</f>
        <v>0.43</v>
      </c>
    </row>
    <row r="12246" spans="1:7" ht="12.75" customHeight="1">
      <c r="A12246" s="3">
        <v>95372</v>
      </c>
      <c r="B12246" s="4" t="s">
        <v>12268</v>
      </c>
      <c r="C12246" s="3" t="s">
        <v>154</v>
      </c>
      <c r="D12246" s="5">
        <f t="shared" si="384"/>
        <v>0.3</v>
      </c>
      <c r="E12246">
        <v>0.33</v>
      </c>
      <c r="F12246" s="1789">
        <v>8.8999999999999996E-2</v>
      </c>
      <c r="G12246">
        <f t="shared" si="385"/>
        <v>0.3</v>
      </c>
    </row>
    <row r="12247" spans="1:7" ht="12.75" customHeight="1">
      <c r="A12247" s="3">
        <v>95373</v>
      </c>
      <c r="B12247" s="4" t="s">
        <v>12269</v>
      </c>
      <c r="C12247" s="3" t="s">
        <v>154</v>
      </c>
      <c r="D12247" s="5">
        <f t="shared" si="384"/>
        <v>0.28999999999999998</v>
      </c>
      <c r="E12247">
        <v>0.32</v>
      </c>
      <c r="F12247" s="1789">
        <v>8.8999999999999996E-2</v>
      </c>
      <c r="G12247">
        <f t="shared" si="385"/>
        <v>0.28999999999999998</v>
      </c>
    </row>
    <row r="12248" spans="1:7" ht="12.75" customHeight="1">
      <c r="A12248" s="3">
        <v>95374</v>
      </c>
      <c r="B12248" s="4" t="s">
        <v>12270</v>
      </c>
      <c r="C12248" s="3" t="s">
        <v>154</v>
      </c>
      <c r="D12248" s="5">
        <f t="shared" si="384"/>
        <v>0.3</v>
      </c>
      <c r="E12248">
        <v>0.33</v>
      </c>
      <c r="F12248" s="1789">
        <v>8.8999999999999996E-2</v>
      </c>
      <c r="G12248">
        <f t="shared" si="385"/>
        <v>0.3</v>
      </c>
    </row>
    <row r="12249" spans="1:7" ht="12.75" customHeight="1">
      <c r="A12249" s="3">
        <v>95375</v>
      </c>
      <c r="B12249" s="4" t="s">
        <v>12271</v>
      </c>
      <c r="C12249" s="3" t="s">
        <v>154</v>
      </c>
      <c r="D12249" s="5">
        <f t="shared" si="384"/>
        <v>0.35</v>
      </c>
      <c r="E12249">
        <v>0.39</v>
      </c>
      <c r="F12249" s="1789">
        <v>8.8999999999999996E-2</v>
      </c>
      <c r="G12249">
        <f t="shared" si="385"/>
        <v>0.35</v>
      </c>
    </row>
    <row r="12250" spans="1:7" ht="12.75" customHeight="1">
      <c r="A12250" s="3">
        <v>95376</v>
      </c>
      <c r="B12250" s="4" t="s">
        <v>12272</v>
      </c>
      <c r="C12250" s="3" t="s">
        <v>154</v>
      </c>
      <c r="D12250" s="5">
        <f t="shared" si="384"/>
        <v>0.09</v>
      </c>
      <c r="E12250">
        <v>0.1</v>
      </c>
      <c r="F12250" s="1789">
        <v>8.8999999999999996E-2</v>
      </c>
      <c r="G12250">
        <f t="shared" si="385"/>
        <v>0.09</v>
      </c>
    </row>
    <row r="12251" spans="1:7" ht="12.75" customHeight="1">
      <c r="A12251" s="3">
        <v>95377</v>
      </c>
      <c r="B12251" s="4" t="s">
        <v>12273</v>
      </c>
      <c r="C12251" s="3" t="s">
        <v>154</v>
      </c>
      <c r="D12251" s="5">
        <f t="shared" si="384"/>
        <v>0.23</v>
      </c>
      <c r="E12251">
        <v>0.26</v>
      </c>
      <c r="F12251" s="1789">
        <v>8.8999999999999996E-2</v>
      </c>
      <c r="G12251">
        <f t="shared" si="385"/>
        <v>0.23</v>
      </c>
    </row>
    <row r="12252" spans="1:7" ht="12.75" customHeight="1">
      <c r="A12252" s="3">
        <v>95378</v>
      </c>
      <c r="B12252" s="4" t="s">
        <v>12274</v>
      </c>
      <c r="C12252" s="3" t="s">
        <v>154</v>
      </c>
      <c r="D12252" s="5">
        <f t="shared" si="384"/>
        <v>0.31</v>
      </c>
      <c r="E12252">
        <v>0.35</v>
      </c>
      <c r="F12252" s="1789">
        <v>8.8999999999999996E-2</v>
      </c>
      <c r="G12252">
        <f t="shared" si="385"/>
        <v>0.31</v>
      </c>
    </row>
    <row r="12253" spans="1:7" ht="12.75" customHeight="1">
      <c r="A12253" s="3">
        <v>95379</v>
      </c>
      <c r="B12253" s="4" t="s">
        <v>12275</v>
      </c>
      <c r="C12253" s="3" t="s">
        <v>154</v>
      </c>
      <c r="D12253" s="5">
        <f t="shared" si="384"/>
        <v>0.23</v>
      </c>
      <c r="E12253">
        <v>0.26</v>
      </c>
      <c r="F12253" s="1789">
        <v>8.8999999999999996E-2</v>
      </c>
      <c r="G12253">
        <f t="shared" si="385"/>
        <v>0.23</v>
      </c>
    </row>
    <row r="12254" spans="1:7" ht="12.75" customHeight="1">
      <c r="A12254" s="3">
        <v>95380</v>
      </c>
      <c r="B12254" s="4" t="s">
        <v>12276</v>
      </c>
      <c r="C12254" s="3" t="s">
        <v>154</v>
      </c>
      <c r="D12254" s="5">
        <f t="shared" si="384"/>
        <v>0.27</v>
      </c>
      <c r="E12254">
        <v>0.3</v>
      </c>
      <c r="F12254" s="1789">
        <v>8.8999999999999996E-2</v>
      </c>
      <c r="G12254">
        <f t="shared" si="385"/>
        <v>0.27</v>
      </c>
    </row>
    <row r="12255" spans="1:7" ht="12.75" customHeight="1">
      <c r="A12255" s="3">
        <v>95383</v>
      </c>
      <c r="B12255" s="4" t="s">
        <v>12277</v>
      </c>
      <c r="C12255" s="3" t="s">
        <v>154</v>
      </c>
      <c r="D12255" s="5">
        <f t="shared" si="384"/>
        <v>0.23</v>
      </c>
      <c r="E12255">
        <v>0.26</v>
      </c>
      <c r="F12255" s="1789">
        <v>8.8999999999999996E-2</v>
      </c>
      <c r="G12255">
        <f t="shared" si="385"/>
        <v>0.23</v>
      </c>
    </row>
    <row r="12256" spans="1:7" ht="12.75" customHeight="1">
      <c r="A12256" s="3">
        <v>95384</v>
      </c>
      <c r="B12256" s="4" t="s">
        <v>12278</v>
      </c>
      <c r="C12256" s="3" t="s">
        <v>154</v>
      </c>
      <c r="D12256" s="5">
        <f t="shared" si="384"/>
        <v>0.24</v>
      </c>
      <c r="E12256">
        <v>0.27</v>
      </c>
      <c r="F12256" s="1789">
        <v>8.8999999999999996E-2</v>
      </c>
      <c r="G12256">
        <f t="shared" si="385"/>
        <v>0.24</v>
      </c>
    </row>
    <row r="12257" spans="1:7" ht="12.75" customHeight="1">
      <c r="A12257" s="3">
        <v>95385</v>
      </c>
      <c r="B12257" s="4" t="s">
        <v>12279</v>
      </c>
      <c r="C12257" s="3" t="s">
        <v>154</v>
      </c>
      <c r="D12257" s="5">
        <f t="shared" si="384"/>
        <v>0.22</v>
      </c>
      <c r="E12257">
        <v>0.25</v>
      </c>
      <c r="F12257" s="1789">
        <v>8.8999999999999996E-2</v>
      </c>
      <c r="G12257">
        <f t="shared" si="385"/>
        <v>0.22</v>
      </c>
    </row>
    <row r="12258" spans="1:7" ht="12.75" customHeight="1">
      <c r="A12258" s="3">
        <v>95386</v>
      </c>
      <c r="B12258" s="4" t="s">
        <v>12280</v>
      </c>
      <c r="C12258" s="3" t="s">
        <v>154</v>
      </c>
      <c r="D12258" s="5">
        <f t="shared" si="384"/>
        <v>0.2</v>
      </c>
      <c r="E12258">
        <v>0.23</v>
      </c>
      <c r="F12258" s="1789">
        <v>8.8999999999999996E-2</v>
      </c>
      <c r="G12258">
        <f t="shared" si="385"/>
        <v>0.2</v>
      </c>
    </row>
    <row r="12259" spans="1:7" ht="12.75" customHeight="1">
      <c r="A12259" s="3">
        <v>95387</v>
      </c>
      <c r="B12259" s="4" t="s">
        <v>12281</v>
      </c>
      <c r="C12259" s="3" t="s">
        <v>154</v>
      </c>
      <c r="D12259" s="5">
        <f t="shared" si="384"/>
        <v>0.25</v>
      </c>
      <c r="E12259">
        <v>0.28000000000000003</v>
      </c>
      <c r="F12259" s="1789">
        <v>8.8999999999999996E-2</v>
      </c>
      <c r="G12259">
        <f t="shared" si="385"/>
        <v>0.25</v>
      </c>
    </row>
    <row r="12260" spans="1:7" ht="12.75" customHeight="1">
      <c r="A12260" s="3">
        <v>95389</v>
      </c>
      <c r="B12260" s="4" t="s">
        <v>12282</v>
      </c>
      <c r="C12260" s="3" t="s">
        <v>154</v>
      </c>
      <c r="D12260" s="5">
        <f t="shared" si="384"/>
        <v>0.12</v>
      </c>
      <c r="E12260">
        <v>0.14000000000000001</v>
      </c>
      <c r="F12260" s="1789">
        <v>8.8999999999999996E-2</v>
      </c>
      <c r="G12260">
        <f t="shared" si="385"/>
        <v>0.12</v>
      </c>
    </row>
    <row r="12261" spans="1:7" ht="12.75" customHeight="1">
      <c r="A12261" s="3">
        <v>95390</v>
      </c>
      <c r="B12261" s="4" t="s">
        <v>12283</v>
      </c>
      <c r="C12261" s="3" t="s">
        <v>154</v>
      </c>
      <c r="D12261" s="5">
        <f t="shared" si="384"/>
        <v>0.08</v>
      </c>
      <c r="E12261">
        <v>0.09</v>
      </c>
      <c r="F12261" s="1789">
        <v>8.8999999999999996E-2</v>
      </c>
      <c r="G12261">
        <f t="shared" si="385"/>
        <v>0.08</v>
      </c>
    </row>
    <row r="12262" spans="1:7" ht="12.75" customHeight="1">
      <c r="A12262" s="3">
        <v>95392</v>
      </c>
      <c r="B12262" s="4" t="s">
        <v>12284</v>
      </c>
      <c r="C12262" s="3" t="s">
        <v>154</v>
      </c>
      <c r="D12262" s="5">
        <f t="shared" si="384"/>
        <v>0.1</v>
      </c>
      <c r="E12262">
        <v>0.11</v>
      </c>
      <c r="F12262" s="1789">
        <v>8.8999999999999996E-2</v>
      </c>
      <c r="G12262">
        <f t="shared" si="385"/>
        <v>0.1</v>
      </c>
    </row>
    <row r="12263" spans="1:7" ht="12.75" customHeight="1">
      <c r="A12263" s="3">
        <v>95393</v>
      </c>
      <c r="B12263" s="4" t="s">
        <v>12285</v>
      </c>
      <c r="C12263" s="3" t="s">
        <v>154</v>
      </c>
      <c r="D12263" s="5">
        <f t="shared" si="384"/>
        <v>0.44</v>
      </c>
      <c r="E12263">
        <v>0.49</v>
      </c>
      <c r="F12263" s="1789">
        <v>8.8999999999999996E-2</v>
      </c>
      <c r="G12263">
        <f t="shared" si="385"/>
        <v>0.44</v>
      </c>
    </row>
    <row r="12264" spans="1:7" ht="12.75" customHeight="1">
      <c r="A12264" s="3">
        <v>95394</v>
      </c>
      <c r="B12264" s="4" t="s">
        <v>12286</v>
      </c>
      <c r="C12264" s="3" t="s">
        <v>154</v>
      </c>
      <c r="D12264" s="5">
        <f t="shared" si="384"/>
        <v>0.95</v>
      </c>
      <c r="E12264">
        <v>1.05</v>
      </c>
      <c r="F12264" s="1789">
        <v>8.8999999999999996E-2</v>
      </c>
      <c r="G12264">
        <f t="shared" si="385"/>
        <v>0.95</v>
      </c>
    </row>
    <row r="12265" spans="1:7" ht="12.75" customHeight="1">
      <c r="A12265" s="3">
        <v>95395</v>
      </c>
      <c r="B12265" s="4" t="s">
        <v>12287</v>
      </c>
      <c r="C12265" s="3" t="s">
        <v>154</v>
      </c>
      <c r="D12265" s="5">
        <f t="shared" si="384"/>
        <v>1.02</v>
      </c>
      <c r="E12265">
        <v>1.1200000000000001</v>
      </c>
      <c r="F12265" s="1789">
        <v>8.8999999999999996E-2</v>
      </c>
      <c r="G12265">
        <f t="shared" si="385"/>
        <v>1.02</v>
      </c>
    </row>
    <row r="12266" spans="1:7" ht="12.75" customHeight="1">
      <c r="A12266" s="3">
        <v>95396</v>
      </c>
      <c r="B12266" s="4" t="s">
        <v>12288</v>
      </c>
      <c r="C12266" s="3" t="s">
        <v>154</v>
      </c>
      <c r="D12266" s="5">
        <f t="shared" si="384"/>
        <v>1.06</v>
      </c>
      <c r="E12266">
        <v>1.17</v>
      </c>
      <c r="F12266" s="1789">
        <v>8.8999999999999996E-2</v>
      </c>
      <c r="G12266">
        <f t="shared" si="385"/>
        <v>1.06</v>
      </c>
    </row>
    <row r="12267" spans="1:7" ht="12.75" customHeight="1">
      <c r="A12267" s="3">
        <v>95398</v>
      </c>
      <c r="B12267" s="4" t="s">
        <v>12289</v>
      </c>
      <c r="C12267" s="3" t="s">
        <v>154</v>
      </c>
      <c r="D12267" s="5">
        <f t="shared" si="384"/>
        <v>0.08</v>
      </c>
      <c r="E12267">
        <v>0.09</v>
      </c>
      <c r="F12267" s="1789">
        <v>8.8999999999999996E-2</v>
      </c>
      <c r="G12267">
        <f t="shared" si="385"/>
        <v>0.08</v>
      </c>
    </row>
    <row r="12268" spans="1:7" ht="12.75" customHeight="1">
      <c r="A12268" s="3">
        <v>95400</v>
      </c>
      <c r="B12268" s="4" t="s">
        <v>12290</v>
      </c>
      <c r="C12268" s="3" t="s">
        <v>154</v>
      </c>
      <c r="D12268" s="5">
        <f t="shared" si="384"/>
        <v>0.1</v>
      </c>
      <c r="E12268">
        <v>0.11</v>
      </c>
      <c r="F12268" s="1789">
        <v>8.8999999999999996E-2</v>
      </c>
      <c r="G12268">
        <f t="shared" si="385"/>
        <v>0.1</v>
      </c>
    </row>
    <row r="12269" spans="1:7" ht="12.75" customHeight="1">
      <c r="A12269" s="3">
        <v>95401</v>
      </c>
      <c r="B12269" s="4" t="s">
        <v>12291</v>
      </c>
      <c r="C12269" s="3" t="s">
        <v>154</v>
      </c>
      <c r="D12269" s="5">
        <f t="shared" si="384"/>
        <v>0.57999999999999996</v>
      </c>
      <c r="E12269">
        <v>0.64</v>
      </c>
      <c r="F12269" s="1789">
        <v>8.8999999999999996E-2</v>
      </c>
      <c r="G12269">
        <f t="shared" si="385"/>
        <v>0.57999999999999996</v>
      </c>
    </row>
    <row r="12270" spans="1:7" ht="12.75" customHeight="1">
      <c r="A12270" s="3">
        <v>95402</v>
      </c>
      <c r="B12270" s="4" t="s">
        <v>12292</v>
      </c>
      <c r="C12270" s="3" t="s">
        <v>154</v>
      </c>
      <c r="D12270" s="5">
        <f t="shared" si="384"/>
        <v>1.74</v>
      </c>
      <c r="E12270">
        <v>1.91</v>
      </c>
      <c r="F12270" s="1789">
        <v>8.8999999999999996E-2</v>
      </c>
      <c r="G12270">
        <f t="shared" si="385"/>
        <v>1.74</v>
      </c>
    </row>
    <row r="12271" spans="1:7" ht="12.75" customHeight="1">
      <c r="A12271" s="3">
        <v>95403</v>
      </c>
      <c r="B12271" s="4" t="s">
        <v>12293</v>
      </c>
      <c r="C12271" s="3" t="s">
        <v>154</v>
      </c>
      <c r="D12271" s="5">
        <f t="shared" si="384"/>
        <v>1.84</v>
      </c>
      <c r="E12271">
        <v>2.02</v>
      </c>
      <c r="F12271" s="1789">
        <v>8.8999999999999996E-2</v>
      </c>
      <c r="G12271">
        <f t="shared" si="385"/>
        <v>1.84</v>
      </c>
    </row>
    <row r="12272" spans="1:7" ht="12.75" customHeight="1">
      <c r="A12272" s="3">
        <v>95404</v>
      </c>
      <c r="B12272" s="4" t="s">
        <v>12294</v>
      </c>
      <c r="C12272" s="3" t="s">
        <v>154</v>
      </c>
      <c r="D12272" s="5">
        <f t="shared" si="384"/>
        <v>2.19</v>
      </c>
      <c r="E12272">
        <v>2.41</v>
      </c>
      <c r="F12272" s="1789">
        <v>8.8999999999999996E-2</v>
      </c>
      <c r="G12272">
        <f t="shared" si="385"/>
        <v>2.19</v>
      </c>
    </row>
    <row r="12273" spans="1:7" ht="12.75" customHeight="1">
      <c r="A12273" s="3">
        <v>95405</v>
      </c>
      <c r="B12273" s="4" t="s">
        <v>12295</v>
      </c>
      <c r="C12273" s="3" t="s">
        <v>154</v>
      </c>
      <c r="D12273" s="5">
        <f t="shared" si="384"/>
        <v>1.26</v>
      </c>
      <c r="E12273">
        <v>1.39</v>
      </c>
      <c r="F12273" s="1789">
        <v>8.8999999999999996E-2</v>
      </c>
      <c r="G12273">
        <f t="shared" si="385"/>
        <v>1.26</v>
      </c>
    </row>
    <row r="12274" spans="1:7" ht="12.75" customHeight="1">
      <c r="A12274" s="3">
        <v>95406</v>
      </c>
      <c r="B12274" s="4" t="s">
        <v>12296</v>
      </c>
      <c r="C12274" s="3" t="s">
        <v>154</v>
      </c>
      <c r="D12274" s="5">
        <f t="shared" si="384"/>
        <v>0.16</v>
      </c>
      <c r="E12274">
        <v>0.18</v>
      </c>
      <c r="F12274" s="1789">
        <v>8.8999999999999996E-2</v>
      </c>
      <c r="G12274">
        <f t="shared" si="385"/>
        <v>0.16</v>
      </c>
    </row>
    <row r="12275" spans="1:7" ht="12.75" customHeight="1">
      <c r="A12275" s="3">
        <v>95408</v>
      </c>
      <c r="B12275" s="4" t="s">
        <v>12297</v>
      </c>
      <c r="C12275" s="3" t="s">
        <v>156</v>
      </c>
      <c r="D12275" s="5">
        <f t="shared" si="384"/>
        <v>18.32</v>
      </c>
      <c r="E12275">
        <v>20.11</v>
      </c>
      <c r="F12275" s="1789">
        <v>8.8999999999999996E-2</v>
      </c>
      <c r="G12275">
        <f t="shared" si="385"/>
        <v>18.32</v>
      </c>
    </row>
    <row r="12276" spans="1:7" ht="12.75" customHeight="1">
      <c r="A12276" s="3">
        <v>95411</v>
      </c>
      <c r="B12276" s="4" t="s">
        <v>12298</v>
      </c>
      <c r="C12276" s="3" t="s">
        <v>156</v>
      </c>
      <c r="D12276" s="5">
        <f t="shared" si="384"/>
        <v>14.23</v>
      </c>
      <c r="E12276">
        <v>15.63</v>
      </c>
      <c r="F12276" s="1789">
        <v>8.8999999999999996E-2</v>
      </c>
      <c r="G12276">
        <f t="shared" si="385"/>
        <v>14.23</v>
      </c>
    </row>
    <row r="12277" spans="1:7" ht="12.75" customHeight="1">
      <c r="A12277" s="3">
        <v>95413</v>
      </c>
      <c r="B12277" s="4" t="s">
        <v>12299</v>
      </c>
      <c r="C12277" s="3" t="s">
        <v>156</v>
      </c>
      <c r="D12277" s="5">
        <f t="shared" si="384"/>
        <v>13.89</v>
      </c>
      <c r="E12277">
        <v>15.25</v>
      </c>
      <c r="F12277" s="1789">
        <v>8.8999999999999996E-2</v>
      </c>
      <c r="G12277">
        <f t="shared" si="385"/>
        <v>13.89</v>
      </c>
    </row>
    <row r="12278" spans="1:7" ht="12.75" customHeight="1">
      <c r="A12278" s="3">
        <v>95414</v>
      </c>
      <c r="B12278" s="4" t="s">
        <v>12300</v>
      </c>
      <c r="C12278" s="3" t="s">
        <v>156</v>
      </c>
      <c r="D12278" s="5">
        <f t="shared" si="384"/>
        <v>59.81</v>
      </c>
      <c r="E12278">
        <v>65.66</v>
      </c>
      <c r="F12278" s="1789">
        <v>8.8999999999999996E-2</v>
      </c>
      <c r="G12278">
        <f t="shared" si="385"/>
        <v>59.81</v>
      </c>
    </row>
    <row r="12279" spans="1:7" ht="12.75" customHeight="1">
      <c r="A12279" s="3">
        <v>95415</v>
      </c>
      <c r="B12279" s="4" t="s">
        <v>12301</v>
      </c>
      <c r="C12279" s="3" t="s">
        <v>156</v>
      </c>
      <c r="D12279" s="5">
        <f t="shared" si="384"/>
        <v>229.82</v>
      </c>
      <c r="E12279">
        <v>252.28</v>
      </c>
      <c r="F12279" s="1789">
        <v>8.8999999999999996E-2</v>
      </c>
      <c r="G12279">
        <f t="shared" si="385"/>
        <v>229.82</v>
      </c>
    </row>
    <row r="12280" spans="1:7" ht="12.75" customHeight="1">
      <c r="A12280" s="3">
        <v>95416</v>
      </c>
      <c r="B12280" s="4" t="s">
        <v>12302</v>
      </c>
      <c r="C12280" s="3" t="s">
        <v>156</v>
      </c>
      <c r="D12280" s="5">
        <f t="shared" si="384"/>
        <v>10.8</v>
      </c>
      <c r="E12280">
        <v>11.86</v>
      </c>
      <c r="F12280" s="1789">
        <v>8.8999999999999996E-2</v>
      </c>
      <c r="G12280">
        <f t="shared" si="385"/>
        <v>10.8</v>
      </c>
    </row>
    <row r="12281" spans="1:7" ht="12.75" customHeight="1">
      <c r="A12281" s="3">
        <v>95417</v>
      </c>
      <c r="B12281" s="4" t="s">
        <v>12303</v>
      </c>
      <c r="C12281" s="3" t="s">
        <v>156</v>
      </c>
      <c r="D12281" s="5">
        <f t="shared" si="384"/>
        <v>242.65</v>
      </c>
      <c r="E12281">
        <v>266.36</v>
      </c>
      <c r="F12281" s="1789">
        <v>8.8999999999999996E-2</v>
      </c>
      <c r="G12281">
        <f t="shared" si="385"/>
        <v>242.65</v>
      </c>
    </row>
    <row r="12282" spans="1:7" ht="12.75" customHeight="1">
      <c r="A12282" s="3">
        <v>95418</v>
      </c>
      <c r="B12282" s="4" t="s">
        <v>12304</v>
      </c>
      <c r="C12282" s="3" t="s">
        <v>156</v>
      </c>
      <c r="D12282" s="5">
        <f t="shared" si="384"/>
        <v>289.37</v>
      </c>
      <c r="E12282">
        <v>317.64999999999998</v>
      </c>
      <c r="F12282" s="1789">
        <v>8.8999999999999996E-2</v>
      </c>
      <c r="G12282">
        <f t="shared" si="385"/>
        <v>289.37</v>
      </c>
    </row>
    <row r="12283" spans="1:7" ht="12.75" customHeight="1">
      <c r="A12283" s="3">
        <v>95419</v>
      </c>
      <c r="B12283" s="4" t="s">
        <v>12305</v>
      </c>
      <c r="C12283" s="3" t="s">
        <v>156</v>
      </c>
      <c r="D12283" s="5">
        <f t="shared" si="384"/>
        <v>127.07</v>
      </c>
      <c r="E12283">
        <v>139.49</v>
      </c>
      <c r="F12283" s="1789">
        <v>8.8999999999999996E-2</v>
      </c>
      <c r="G12283">
        <f t="shared" si="385"/>
        <v>127.07</v>
      </c>
    </row>
    <row r="12284" spans="1:7" ht="12.75" customHeight="1">
      <c r="A12284" s="3">
        <v>95420</v>
      </c>
      <c r="B12284" s="4" t="s">
        <v>12306</v>
      </c>
      <c r="C12284" s="3" t="s">
        <v>156</v>
      </c>
      <c r="D12284" s="5">
        <f t="shared" si="384"/>
        <v>134.62</v>
      </c>
      <c r="E12284">
        <v>147.78</v>
      </c>
      <c r="F12284" s="1789">
        <v>8.8999999999999996E-2</v>
      </c>
      <c r="G12284">
        <f t="shared" si="385"/>
        <v>134.62</v>
      </c>
    </row>
    <row r="12285" spans="1:7" ht="12.75" customHeight="1">
      <c r="A12285" s="3">
        <v>95421</v>
      </c>
      <c r="B12285" s="4" t="s">
        <v>12307</v>
      </c>
      <c r="C12285" s="3" t="s">
        <v>156</v>
      </c>
      <c r="D12285" s="5">
        <f t="shared" si="384"/>
        <v>141.09</v>
      </c>
      <c r="E12285">
        <v>154.88</v>
      </c>
      <c r="F12285" s="1789">
        <v>8.8999999999999996E-2</v>
      </c>
      <c r="G12285">
        <f t="shared" si="385"/>
        <v>141.09</v>
      </c>
    </row>
    <row r="12286" spans="1:7" ht="12.75" customHeight="1">
      <c r="A12286" s="3">
        <v>95422</v>
      </c>
      <c r="B12286" s="4" t="s">
        <v>12308</v>
      </c>
      <c r="C12286" s="3" t="s">
        <v>156</v>
      </c>
      <c r="D12286" s="5">
        <f t="shared" si="384"/>
        <v>77.47</v>
      </c>
      <c r="E12286">
        <v>85.04</v>
      </c>
      <c r="F12286" s="1789">
        <v>8.8999999999999996E-2</v>
      </c>
      <c r="G12286">
        <f t="shared" si="385"/>
        <v>77.47</v>
      </c>
    </row>
    <row r="12287" spans="1:7" ht="12.75" customHeight="1">
      <c r="A12287" s="3">
        <v>95423</v>
      </c>
      <c r="B12287" s="4" t="s">
        <v>12309</v>
      </c>
      <c r="C12287" s="3" t="s">
        <v>156</v>
      </c>
      <c r="D12287" s="5">
        <f t="shared" si="384"/>
        <v>167.21</v>
      </c>
      <c r="E12287">
        <v>183.55</v>
      </c>
      <c r="F12287" s="1789">
        <v>8.8999999999999996E-2</v>
      </c>
      <c r="G12287">
        <f t="shared" si="385"/>
        <v>167.21</v>
      </c>
    </row>
    <row r="12288" spans="1:7" ht="12.75" customHeight="1">
      <c r="A12288" s="3">
        <v>95424</v>
      </c>
      <c r="B12288" s="4" t="s">
        <v>12310</v>
      </c>
      <c r="C12288" s="3" t="s">
        <v>156</v>
      </c>
      <c r="D12288" s="5">
        <f t="shared" si="384"/>
        <v>22.71</v>
      </c>
      <c r="E12288">
        <v>24.93</v>
      </c>
      <c r="F12288" s="1789">
        <v>8.8999999999999996E-2</v>
      </c>
      <c r="G12288">
        <f t="shared" si="385"/>
        <v>22.71</v>
      </c>
    </row>
    <row r="12289" spans="1:7" ht="12.75" customHeight="1">
      <c r="A12289" s="3">
        <v>100288</v>
      </c>
      <c r="B12289" s="4" t="s">
        <v>12311</v>
      </c>
      <c r="C12289" s="3" t="s">
        <v>154</v>
      </c>
      <c r="D12289" s="5">
        <f t="shared" si="384"/>
        <v>7.0000000000000007E-2</v>
      </c>
      <c r="E12289">
        <v>0.08</v>
      </c>
      <c r="F12289" s="1789">
        <v>8.8999999999999996E-2</v>
      </c>
      <c r="G12289">
        <f t="shared" si="385"/>
        <v>7.0000000000000007E-2</v>
      </c>
    </row>
    <row r="12290" spans="1:7" ht="12.75" customHeight="1">
      <c r="A12290" s="3">
        <v>100289</v>
      </c>
      <c r="B12290" s="4" t="s">
        <v>12312</v>
      </c>
      <c r="C12290" s="3" t="s">
        <v>154</v>
      </c>
      <c r="D12290" s="5">
        <f t="shared" si="384"/>
        <v>18.75</v>
      </c>
      <c r="E12290">
        <v>20.59</v>
      </c>
      <c r="F12290" s="1789">
        <v>8.8999999999999996E-2</v>
      </c>
      <c r="G12290">
        <f t="shared" si="385"/>
        <v>18.75</v>
      </c>
    </row>
    <row r="12291" spans="1:7" ht="12.75" customHeight="1">
      <c r="A12291" s="3">
        <v>100291</v>
      </c>
      <c r="B12291" s="4" t="s">
        <v>12313</v>
      </c>
      <c r="C12291" s="3" t="s">
        <v>154</v>
      </c>
      <c r="D12291" s="5">
        <f t="shared" si="384"/>
        <v>0.3</v>
      </c>
      <c r="E12291">
        <v>0.33</v>
      </c>
      <c r="F12291" s="1789">
        <v>8.8999999999999996E-2</v>
      </c>
      <c r="G12291">
        <f t="shared" si="385"/>
        <v>0.3</v>
      </c>
    </row>
    <row r="12292" spans="1:7" ht="12.75" customHeight="1">
      <c r="A12292" s="3">
        <v>100293</v>
      </c>
      <c r="B12292" s="4" t="s">
        <v>12314</v>
      </c>
      <c r="C12292" s="3" t="s">
        <v>154</v>
      </c>
      <c r="D12292" s="5">
        <f t="shared" si="384"/>
        <v>0.22</v>
      </c>
      <c r="E12292">
        <v>0.25</v>
      </c>
      <c r="F12292" s="1789">
        <v>8.8999999999999996E-2</v>
      </c>
      <c r="G12292">
        <f t="shared" si="385"/>
        <v>0.22</v>
      </c>
    </row>
    <row r="12293" spans="1:7" ht="12.75" customHeight="1">
      <c r="A12293" s="3">
        <v>100295</v>
      </c>
      <c r="B12293" s="4" t="s">
        <v>12315</v>
      </c>
      <c r="C12293" s="3" t="s">
        <v>154</v>
      </c>
      <c r="D12293" s="5">
        <f t="shared" si="384"/>
        <v>0.55000000000000004</v>
      </c>
      <c r="E12293">
        <v>0.61</v>
      </c>
      <c r="F12293" s="1789">
        <v>8.8999999999999996E-2</v>
      </c>
      <c r="G12293">
        <f t="shared" si="385"/>
        <v>0.55000000000000004</v>
      </c>
    </row>
    <row r="12294" spans="1:7" ht="12.75" customHeight="1">
      <c r="A12294" s="3">
        <v>100298</v>
      </c>
      <c r="B12294" s="4" t="s">
        <v>12316</v>
      </c>
      <c r="C12294" s="3" t="s">
        <v>154</v>
      </c>
      <c r="D12294" s="5">
        <f t="shared" si="384"/>
        <v>0.62</v>
      </c>
      <c r="E12294">
        <v>0.69</v>
      </c>
      <c r="F12294" s="1789">
        <v>8.8999999999999996E-2</v>
      </c>
      <c r="G12294">
        <f t="shared" si="385"/>
        <v>0.62</v>
      </c>
    </row>
    <row r="12295" spans="1:7" ht="12.75" customHeight="1">
      <c r="A12295" s="3">
        <v>100299</v>
      </c>
      <c r="B12295" s="4" t="s">
        <v>12317</v>
      </c>
      <c r="C12295" s="3" t="s">
        <v>154</v>
      </c>
      <c r="D12295" s="5">
        <f t="shared" si="384"/>
        <v>0.5</v>
      </c>
      <c r="E12295">
        <v>0.55000000000000004</v>
      </c>
      <c r="F12295" s="1789">
        <v>8.8999999999999996E-2</v>
      </c>
      <c r="G12295">
        <f t="shared" si="385"/>
        <v>0.5</v>
      </c>
    </row>
    <row r="12296" spans="1:7" ht="12.75" customHeight="1">
      <c r="A12296" s="3">
        <v>100301</v>
      </c>
      <c r="B12296" s="4" t="s">
        <v>12318</v>
      </c>
      <c r="C12296" s="3" t="s">
        <v>154</v>
      </c>
      <c r="D12296" s="5">
        <f t="shared" si="384"/>
        <v>24.69</v>
      </c>
      <c r="E12296">
        <v>27.11</v>
      </c>
      <c r="F12296" s="1789">
        <v>8.8999999999999996E-2</v>
      </c>
      <c r="G12296">
        <f t="shared" si="385"/>
        <v>24.69</v>
      </c>
    </row>
    <row r="12297" spans="1:7" ht="12.75" customHeight="1">
      <c r="A12297" s="3">
        <v>100303</v>
      </c>
      <c r="B12297" s="4" t="s">
        <v>12319</v>
      </c>
      <c r="C12297" s="3" t="s">
        <v>154</v>
      </c>
      <c r="D12297" s="5">
        <f t="shared" si="384"/>
        <v>18.510000000000002</v>
      </c>
      <c r="E12297">
        <v>20.32</v>
      </c>
      <c r="F12297" s="1789">
        <v>8.8999999999999996E-2</v>
      </c>
      <c r="G12297">
        <f t="shared" si="385"/>
        <v>18.510000000000002</v>
      </c>
    </row>
    <row r="12298" spans="1:7" ht="12.75" customHeight="1">
      <c r="A12298" s="3">
        <v>100307</v>
      </c>
      <c r="B12298" s="4" t="s">
        <v>12320</v>
      </c>
      <c r="C12298" s="3" t="s">
        <v>154</v>
      </c>
      <c r="D12298" s="5">
        <f t="shared" si="384"/>
        <v>21.2</v>
      </c>
      <c r="E12298">
        <v>23.28</v>
      </c>
      <c r="F12298" s="1789">
        <v>8.8999999999999996E-2</v>
      </c>
      <c r="G12298">
        <f t="shared" si="385"/>
        <v>21.2</v>
      </c>
    </row>
    <row r="12299" spans="1:7" ht="12.75" customHeight="1">
      <c r="A12299" s="3">
        <v>100308</v>
      </c>
      <c r="B12299" s="4" t="s">
        <v>12321</v>
      </c>
      <c r="C12299" s="3" t="s">
        <v>154</v>
      </c>
      <c r="D12299" s="5">
        <f t="shared" si="384"/>
        <v>25.35</v>
      </c>
      <c r="E12299">
        <v>27.83</v>
      </c>
      <c r="F12299" s="1789">
        <v>8.8999999999999996E-2</v>
      </c>
      <c r="G12299">
        <f t="shared" si="385"/>
        <v>25.35</v>
      </c>
    </row>
    <row r="12300" spans="1:7" ht="12.75" customHeight="1">
      <c r="A12300" s="3">
        <v>100309</v>
      </c>
      <c r="B12300" s="4" t="s">
        <v>12322</v>
      </c>
      <c r="C12300" s="3" t="s">
        <v>154</v>
      </c>
      <c r="D12300" s="5">
        <f t="shared" si="384"/>
        <v>27.06</v>
      </c>
      <c r="E12300">
        <v>29.71</v>
      </c>
      <c r="F12300" s="1789">
        <v>8.8999999999999996E-2</v>
      </c>
      <c r="G12300">
        <f t="shared" si="385"/>
        <v>27.06</v>
      </c>
    </row>
    <row r="12301" spans="1:7" ht="12.75" customHeight="1">
      <c r="A12301" s="3">
        <v>100315</v>
      </c>
      <c r="B12301" s="4" t="s">
        <v>12323</v>
      </c>
      <c r="C12301" s="3" t="s">
        <v>156</v>
      </c>
      <c r="D12301" s="5">
        <f t="shared" si="384"/>
        <v>66.900000000000006</v>
      </c>
      <c r="E12301">
        <v>73.44</v>
      </c>
      <c r="F12301" s="1789">
        <v>8.8999999999999996E-2</v>
      </c>
      <c r="G12301">
        <f t="shared" si="385"/>
        <v>66.900000000000006</v>
      </c>
    </row>
    <row r="12302" spans="1:7" ht="12.75" customHeight="1">
      <c r="A12302" s="3">
        <v>100321</v>
      </c>
      <c r="B12302" s="4" t="s">
        <v>12322</v>
      </c>
      <c r="C12302" s="3" t="s">
        <v>156</v>
      </c>
      <c r="D12302" s="5">
        <f t="shared" si="384"/>
        <v>4767.26</v>
      </c>
      <c r="E12302">
        <v>5233</v>
      </c>
      <c r="F12302" s="1789">
        <v>8.8999999999999996E-2</v>
      </c>
      <c r="G12302">
        <f t="shared" si="385"/>
        <v>4767.26</v>
      </c>
    </row>
    <row r="12303" spans="1:7" ht="12.75" customHeight="1">
      <c r="A12303" s="3">
        <v>100533</v>
      </c>
      <c r="B12303" s="4" t="s">
        <v>12324</v>
      </c>
      <c r="C12303" s="3" t="s">
        <v>154</v>
      </c>
      <c r="D12303" s="5">
        <f t="shared" si="384"/>
        <v>16.489999999999998</v>
      </c>
      <c r="E12303">
        <v>18.11</v>
      </c>
      <c r="F12303" s="1789">
        <v>8.8999999999999996E-2</v>
      </c>
      <c r="G12303">
        <f t="shared" si="385"/>
        <v>16.489999999999998</v>
      </c>
    </row>
    <row r="12304" spans="1:7" ht="12.75" customHeight="1">
      <c r="A12304" s="3">
        <v>100534</v>
      </c>
      <c r="B12304" s="4" t="s">
        <v>12324</v>
      </c>
      <c r="C12304" s="3" t="s">
        <v>156</v>
      </c>
      <c r="D12304" s="5">
        <f t="shared" si="384"/>
        <v>2926.5</v>
      </c>
      <c r="E12304">
        <v>3212.41</v>
      </c>
      <c r="F12304" s="1789">
        <v>8.8999999999999996E-2</v>
      </c>
      <c r="G12304">
        <f t="shared" si="385"/>
        <v>2926.5</v>
      </c>
    </row>
    <row r="12305" spans="1:7" ht="12.75" customHeight="1">
      <c r="A12305" s="3">
        <v>100535</v>
      </c>
      <c r="B12305" s="4" t="s">
        <v>12325</v>
      </c>
      <c r="C12305" s="3" t="s">
        <v>154</v>
      </c>
      <c r="D12305" s="5">
        <f t="shared" si="384"/>
        <v>0.28999999999999998</v>
      </c>
      <c r="E12305">
        <v>0.32</v>
      </c>
      <c r="F12305" s="1789">
        <v>8.8999999999999996E-2</v>
      </c>
      <c r="G12305">
        <f t="shared" si="385"/>
        <v>0.28999999999999998</v>
      </c>
    </row>
    <row r="12306" spans="1:7" ht="12.75" customHeight="1">
      <c r="A12306" s="3">
        <v>100536</v>
      </c>
      <c r="B12306" s="4" t="s">
        <v>12326</v>
      </c>
      <c r="C12306" s="3" t="s">
        <v>156</v>
      </c>
      <c r="D12306" s="5">
        <f t="shared" si="384"/>
        <v>38.82</v>
      </c>
      <c r="E12306">
        <v>42.62</v>
      </c>
      <c r="F12306" s="1789">
        <v>8.8999999999999996E-2</v>
      </c>
      <c r="G12306">
        <f t="shared" si="385"/>
        <v>38.82</v>
      </c>
    </row>
    <row r="12307" spans="1:7" ht="12.75" customHeight="1">
      <c r="A12307" s="3">
        <v>101286</v>
      </c>
      <c r="B12307" s="4" t="s">
        <v>12327</v>
      </c>
      <c r="C12307" s="3" t="s">
        <v>156</v>
      </c>
      <c r="D12307" s="5">
        <f t="shared" si="384"/>
        <v>25.41</v>
      </c>
      <c r="E12307">
        <v>27.9</v>
      </c>
      <c r="F12307" s="1789">
        <v>8.8999999999999996E-2</v>
      </c>
      <c r="G12307">
        <f t="shared" si="385"/>
        <v>25.41</v>
      </c>
    </row>
    <row r="12308" spans="1:7" ht="12.75" customHeight="1">
      <c r="A12308" s="3">
        <v>101287</v>
      </c>
      <c r="B12308" s="4" t="s">
        <v>12328</v>
      </c>
      <c r="C12308" s="3" t="s">
        <v>156</v>
      </c>
      <c r="D12308" s="5">
        <f t="shared" si="384"/>
        <v>82.18</v>
      </c>
      <c r="E12308">
        <v>90.21</v>
      </c>
      <c r="F12308" s="1789">
        <v>8.8999999999999996E-2</v>
      </c>
      <c r="G12308">
        <f t="shared" si="385"/>
        <v>82.18</v>
      </c>
    </row>
    <row r="12309" spans="1:7" ht="12.75" customHeight="1">
      <c r="A12309" s="3">
        <v>101288</v>
      </c>
      <c r="B12309" s="4" t="s">
        <v>12329</v>
      </c>
      <c r="C12309" s="3" t="s">
        <v>156</v>
      </c>
      <c r="D12309" s="5">
        <f t="shared" ref="D12309:D12372" si="386">G12309</f>
        <v>25.41</v>
      </c>
      <c r="E12309">
        <v>27.9</v>
      </c>
      <c r="F12309" s="1789">
        <v>8.8999999999999996E-2</v>
      </c>
      <c r="G12309">
        <f t="shared" ref="G12309:G12372" si="387">TRUNC((1-F12309)*E12309,2)</f>
        <v>25.41</v>
      </c>
    </row>
    <row r="12310" spans="1:7" ht="12.75" customHeight="1">
      <c r="A12310" s="3">
        <v>101289</v>
      </c>
      <c r="B12310" s="4" t="s">
        <v>12330</v>
      </c>
      <c r="C12310" s="3" t="s">
        <v>156</v>
      </c>
      <c r="D12310" s="5">
        <f t="shared" si="386"/>
        <v>25.15</v>
      </c>
      <c r="E12310">
        <v>27.61</v>
      </c>
      <c r="F12310" s="1789">
        <v>8.8999999999999996E-2</v>
      </c>
      <c r="G12310">
        <f t="shared" si="387"/>
        <v>25.15</v>
      </c>
    </row>
    <row r="12311" spans="1:7" ht="12.75" customHeight="1">
      <c r="A12311" s="3">
        <v>101290</v>
      </c>
      <c r="B12311" s="4" t="s">
        <v>12331</v>
      </c>
      <c r="C12311" s="3" t="s">
        <v>156</v>
      </c>
      <c r="D12311" s="5">
        <f t="shared" si="386"/>
        <v>40.32</v>
      </c>
      <c r="E12311">
        <v>44.27</v>
      </c>
      <c r="F12311" s="1789">
        <v>8.8999999999999996E-2</v>
      </c>
      <c r="G12311">
        <f t="shared" si="387"/>
        <v>40.32</v>
      </c>
    </row>
    <row r="12312" spans="1:7" ht="12.75" customHeight="1">
      <c r="A12312" s="3">
        <v>101291</v>
      </c>
      <c r="B12312" s="4" t="s">
        <v>12332</v>
      </c>
      <c r="C12312" s="3" t="s">
        <v>156</v>
      </c>
      <c r="D12312" s="5">
        <f t="shared" si="386"/>
        <v>25.41</v>
      </c>
      <c r="E12312">
        <v>27.9</v>
      </c>
      <c r="F12312" s="1789">
        <v>8.8999999999999996E-2</v>
      </c>
      <c r="G12312">
        <f t="shared" si="387"/>
        <v>25.41</v>
      </c>
    </row>
    <row r="12313" spans="1:7" ht="12.75" customHeight="1">
      <c r="A12313" s="3">
        <v>101292</v>
      </c>
      <c r="B12313" s="4" t="s">
        <v>12333</v>
      </c>
      <c r="C12313" s="3" t="s">
        <v>156</v>
      </c>
      <c r="D12313" s="5">
        <f t="shared" si="386"/>
        <v>25.15</v>
      </c>
      <c r="E12313">
        <v>27.61</v>
      </c>
      <c r="F12313" s="1789">
        <v>8.8999999999999996E-2</v>
      </c>
      <c r="G12313">
        <f t="shared" si="387"/>
        <v>25.15</v>
      </c>
    </row>
    <row r="12314" spans="1:7" ht="12.75" customHeight="1">
      <c r="A12314" s="3">
        <v>101293</v>
      </c>
      <c r="B12314" s="4" t="s">
        <v>12334</v>
      </c>
      <c r="C12314" s="3" t="s">
        <v>156</v>
      </c>
      <c r="D12314" s="5">
        <f t="shared" si="386"/>
        <v>31.52</v>
      </c>
      <c r="E12314">
        <v>34.61</v>
      </c>
      <c r="F12314" s="1789">
        <v>8.8999999999999996E-2</v>
      </c>
      <c r="G12314">
        <f t="shared" si="387"/>
        <v>31.52</v>
      </c>
    </row>
    <row r="12315" spans="1:7" ht="12.75" customHeight="1">
      <c r="A12315" s="3">
        <v>101294</v>
      </c>
      <c r="B12315" s="4" t="s">
        <v>12335</v>
      </c>
      <c r="C12315" s="3" t="s">
        <v>156</v>
      </c>
      <c r="D12315" s="5">
        <f t="shared" si="386"/>
        <v>20.37</v>
      </c>
      <c r="E12315">
        <v>22.37</v>
      </c>
      <c r="F12315" s="1789">
        <v>8.8999999999999996E-2</v>
      </c>
      <c r="G12315">
        <f t="shared" si="387"/>
        <v>20.37</v>
      </c>
    </row>
    <row r="12316" spans="1:7" ht="12.75" customHeight="1">
      <c r="A12316" s="3">
        <v>101295</v>
      </c>
      <c r="B12316" s="4" t="s">
        <v>12336</v>
      </c>
      <c r="C12316" s="3" t="s">
        <v>156</v>
      </c>
      <c r="D12316" s="5">
        <f t="shared" si="386"/>
        <v>29.99</v>
      </c>
      <c r="E12316">
        <v>32.93</v>
      </c>
      <c r="F12316" s="1789">
        <v>8.8999999999999996E-2</v>
      </c>
      <c r="G12316">
        <f t="shared" si="387"/>
        <v>29.99</v>
      </c>
    </row>
    <row r="12317" spans="1:7" ht="12.75" customHeight="1">
      <c r="A12317" s="3">
        <v>101296</v>
      </c>
      <c r="B12317" s="4" t="s">
        <v>12337</v>
      </c>
      <c r="C12317" s="3" t="s">
        <v>156</v>
      </c>
      <c r="D12317" s="5">
        <f t="shared" si="386"/>
        <v>39.6</v>
      </c>
      <c r="E12317">
        <v>43.47</v>
      </c>
      <c r="F12317" s="1789">
        <v>8.8999999999999996E-2</v>
      </c>
      <c r="G12317">
        <f t="shared" si="387"/>
        <v>39.6</v>
      </c>
    </row>
    <row r="12318" spans="1:7" ht="12.75" customHeight="1">
      <c r="A12318" s="3">
        <v>101297</v>
      </c>
      <c r="B12318" s="4" t="s">
        <v>12338</v>
      </c>
      <c r="C12318" s="3" t="s">
        <v>156</v>
      </c>
      <c r="D12318" s="5">
        <f t="shared" si="386"/>
        <v>28.38</v>
      </c>
      <c r="E12318">
        <v>31.16</v>
      </c>
      <c r="F12318" s="1789">
        <v>8.8999999999999996E-2</v>
      </c>
      <c r="G12318">
        <f t="shared" si="387"/>
        <v>28.38</v>
      </c>
    </row>
    <row r="12319" spans="1:7" ht="12.75" customHeight="1">
      <c r="A12319" s="3">
        <v>101298</v>
      </c>
      <c r="B12319" s="4" t="s">
        <v>12339</v>
      </c>
      <c r="C12319" s="3" t="s">
        <v>156</v>
      </c>
      <c r="D12319" s="5">
        <f t="shared" si="386"/>
        <v>25.41</v>
      </c>
      <c r="E12319">
        <v>27.9</v>
      </c>
      <c r="F12319" s="1789">
        <v>8.8999999999999996E-2</v>
      </c>
      <c r="G12319">
        <f t="shared" si="387"/>
        <v>25.41</v>
      </c>
    </row>
    <row r="12320" spans="1:7" ht="12.75" customHeight="1">
      <c r="A12320" s="3">
        <v>101299</v>
      </c>
      <c r="B12320" s="4" t="s">
        <v>12340</v>
      </c>
      <c r="C12320" s="3" t="s">
        <v>156</v>
      </c>
      <c r="D12320" s="5">
        <f t="shared" si="386"/>
        <v>32.49</v>
      </c>
      <c r="E12320">
        <v>35.67</v>
      </c>
      <c r="F12320" s="1789">
        <v>8.8999999999999996E-2</v>
      </c>
      <c r="G12320">
        <f t="shared" si="387"/>
        <v>32.49</v>
      </c>
    </row>
    <row r="12321" spans="1:7" ht="12.75" customHeight="1">
      <c r="A12321" s="3">
        <v>101300</v>
      </c>
      <c r="B12321" s="4" t="s">
        <v>12341</v>
      </c>
      <c r="C12321" s="3" t="s">
        <v>156</v>
      </c>
      <c r="D12321" s="5">
        <f t="shared" si="386"/>
        <v>23.48</v>
      </c>
      <c r="E12321">
        <v>25.78</v>
      </c>
      <c r="F12321" s="1789">
        <v>8.8999999999999996E-2</v>
      </c>
      <c r="G12321">
        <f t="shared" si="387"/>
        <v>23.48</v>
      </c>
    </row>
    <row r="12322" spans="1:7" ht="12.75" customHeight="1">
      <c r="A12322" s="3">
        <v>101301</v>
      </c>
      <c r="B12322" s="4" t="s">
        <v>12342</v>
      </c>
      <c r="C12322" s="3" t="s">
        <v>156</v>
      </c>
      <c r="D12322" s="5">
        <f t="shared" si="386"/>
        <v>10.220000000000001</v>
      </c>
      <c r="E12322">
        <v>11.22</v>
      </c>
      <c r="F12322" s="1789">
        <v>8.8999999999999996E-2</v>
      </c>
      <c r="G12322">
        <f t="shared" si="387"/>
        <v>10.220000000000001</v>
      </c>
    </row>
    <row r="12323" spans="1:7" ht="12.75" customHeight="1">
      <c r="A12323" s="3">
        <v>101302</v>
      </c>
      <c r="B12323" s="4" t="s">
        <v>12343</v>
      </c>
      <c r="C12323" s="3" t="s">
        <v>156</v>
      </c>
      <c r="D12323" s="5">
        <f t="shared" si="386"/>
        <v>28.55</v>
      </c>
      <c r="E12323">
        <v>31.34</v>
      </c>
      <c r="F12323" s="1789">
        <v>8.8999999999999996E-2</v>
      </c>
      <c r="G12323">
        <f t="shared" si="387"/>
        <v>28.55</v>
      </c>
    </row>
    <row r="12324" spans="1:7" ht="12.75" customHeight="1">
      <c r="A12324" s="3">
        <v>101303</v>
      </c>
      <c r="B12324" s="4" t="s">
        <v>12344</v>
      </c>
      <c r="C12324" s="3" t="s">
        <v>156</v>
      </c>
      <c r="D12324" s="5">
        <f t="shared" si="386"/>
        <v>73.900000000000006</v>
      </c>
      <c r="E12324">
        <v>81.12</v>
      </c>
      <c r="F12324" s="1789">
        <v>8.8999999999999996E-2</v>
      </c>
      <c r="G12324">
        <f t="shared" si="387"/>
        <v>73.900000000000006</v>
      </c>
    </row>
    <row r="12325" spans="1:7" ht="12.75" customHeight="1">
      <c r="A12325" s="3">
        <v>101304</v>
      </c>
      <c r="B12325" s="4" t="s">
        <v>12345</v>
      </c>
      <c r="C12325" s="3" t="s">
        <v>156</v>
      </c>
      <c r="D12325" s="5">
        <f t="shared" si="386"/>
        <v>40.32</v>
      </c>
      <c r="E12325">
        <v>44.26</v>
      </c>
      <c r="F12325" s="1789">
        <v>8.8999999999999996E-2</v>
      </c>
      <c r="G12325">
        <f t="shared" si="387"/>
        <v>40.32</v>
      </c>
    </row>
    <row r="12326" spans="1:7" ht="12.75" customHeight="1">
      <c r="A12326" s="3">
        <v>101305</v>
      </c>
      <c r="B12326" s="4" t="s">
        <v>12346</v>
      </c>
      <c r="C12326" s="3" t="s">
        <v>156</v>
      </c>
      <c r="D12326" s="5">
        <f t="shared" si="386"/>
        <v>34.92</v>
      </c>
      <c r="E12326">
        <v>38.340000000000003</v>
      </c>
      <c r="F12326" s="1789">
        <v>8.8999999999999996E-2</v>
      </c>
      <c r="G12326">
        <f t="shared" si="387"/>
        <v>34.92</v>
      </c>
    </row>
    <row r="12327" spans="1:7" ht="12.75" customHeight="1">
      <c r="A12327" s="3">
        <v>101307</v>
      </c>
      <c r="B12327" s="4" t="s">
        <v>12347</v>
      </c>
      <c r="C12327" s="3" t="s">
        <v>156</v>
      </c>
      <c r="D12327" s="5">
        <f t="shared" si="386"/>
        <v>28.55</v>
      </c>
      <c r="E12327">
        <v>31.35</v>
      </c>
      <c r="F12327" s="1789">
        <v>8.8999999999999996E-2</v>
      </c>
      <c r="G12327">
        <f t="shared" si="387"/>
        <v>28.55</v>
      </c>
    </row>
    <row r="12328" spans="1:7" ht="12.75" customHeight="1">
      <c r="A12328" s="3">
        <v>101308</v>
      </c>
      <c r="B12328" s="4" t="s">
        <v>12348</v>
      </c>
      <c r="C12328" s="3" t="s">
        <v>156</v>
      </c>
      <c r="D12328" s="5">
        <f t="shared" si="386"/>
        <v>28.76</v>
      </c>
      <c r="E12328">
        <v>31.57</v>
      </c>
      <c r="F12328" s="1789">
        <v>8.8999999999999996E-2</v>
      </c>
      <c r="G12328">
        <f t="shared" si="387"/>
        <v>28.76</v>
      </c>
    </row>
    <row r="12329" spans="1:7" ht="12.75" customHeight="1">
      <c r="A12329" s="3">
        <v>101309</v>
      </c>
      <c r="B12329" s="4" t="s">
        <v>12349</v>
      </c>
      <c r="C12329" s="3" t="s">
        <v>156</v>
      </c>
      <c r="D12329" s="5">
        <f t="shared" si="386"/>
        <v>32.49</v>
      </c>
      <c r="E12329">
        <v>35.67</v>
      </c>
      <c r="F12329" s="1789">
        <v>8.8999999999999996E-2</v>
      </c>
      <c r="G12329">
        <f t="shared" si="387"/>
        <v>32.49</v>
      </c>
    </row>
    <row r="12330" spans="1:7" ht="12.75" customHeight="1">
      <c r="A12330" s="3">
        <v>101310</v>
      </c>
      <c r="B12330" s="4" t="s">
        <v>12350</v>
      </c>
      <c r="C12330" s="3" t="s">
        <v>156</v>
      </c>
      <c r="D12330" s="5">
        <f t="shared" si="386"/>
        <v>37.96</v>
      </c>
      <c r="E12330">
        <v>41.67</v>
      </c>
      <c r="F12330" s="1789">
        <v>8.8999999999999996E-2</v>
      </c>
      <c r="G12330">
        <f t="shared" si="387"/>
        <v>37.96</v>
      </c>
    </row>
    <row r="12331" spans="1:7" ht="12.75" customHeight="1">
      <c r="A12331" s="3">
        <v>101311</v>
      </c>
      <c r="B12331" s="4" t="s">
        <v>12351</v>
      </c>
      <c r="C12331" s="3" t="s">
        <v>156</v>
      </c>
      <c r="D12331" s="5">
        <f t="shared" si="386"/>
        <v>31.52</v>
      </c>
      <c r="E12331">
        <v>34.61</v>
      </c>
      <c r="F12331" s="1789">
        <v>8.8999999999999996E-2</v>
      </c>
      <c r="G12331">
        <f t="shared" si="387"/>
        <v>31.52</v>
      </c>
    </row>
    <row r="12332" spans="1:7" ht="12.75" customHeight="1">
      <c r="A12332" s="3">
        <v>101312</v>
      </c>
      <c r="B12332" s="4" t="s">
        <v>12352</v>
      </c>
      <c r="C12332" s="3" t="s">
        <v>156</v>
      </c>
      <c r="D12332" s="5">
        <f t="shared" si="386"/>
        <v>26.78</v>
      </c>
      <c r="E12332">
        <v>29.4</v>
      </c>
      <c r="F12332" s="1789">
        <v>8.8999999999999996E-2</v>
      </c>
      <c r="G12332">
        <f t="shared" si="387"/>
        <v>26.78</v>
      </c>
    </row>
    <row r="12333" spans="1:7" ht="12.75" customHeight="1">
      <c r="A12333" s="3">
        <v>101313</v>
      </c>
      <c r="B12333" s="4" t="s">
        <v>12353</v>
      </c>
      <c r="C12333" s="3" t="s">
        <v>156</v>
      </c>
      <c r="D12333" s="5">
        <f t="shared" si="386"/>
        <v>105.47</v>
      </c>
      <c r="E12333">
        <v>115.78</v>
      </c>
      <c r="F12333" s="1789">
        <v>8.8999999999999996E-2</v>
      </c>
      <c r="G12333">
        <f t="shared" si="387"/>
        <v>105.47</v>
      </c>
    </row>
    <row r="12334" spans="1:7" ht="12.75" customHeight="1">
      <c r="A12334" s="3">
        <v>101315</v>
      </c>
      <c r="B12334" s="4" t="s">
        <v>12354</v>
      </c>
      <c r="C12334" s="3" t="s">
        <v>156</v>
      </c>
      <c r="D12334" s="5">
        <f t="shared" si="386"/>
        <v>113.28</v>
      </c>
      <c r="E12334">
        <v>124.35</v>
      </c>
      <c r="F12334" s="1789">
        <v>8.8999999999999996E-2</v>
      </c>
      <c r="G12334">
        <f t="shared" si="387"/>
        <v>113.28</v>
      </c>
    </row>
    <row r="12335" spans="1:7" ht="12.75" customHeight="1">
      <c r="A12335" s="3">
        <v>101316</v>
      </c>
      <c r="B12335" s="4" t="s">
        <v>12355</v>
      </c>
      <c r="C12335" s="3" t="s">
        <v>156</v>
      </c>
      <c r="D12335" s="5">
        <f t="shared" si="386"/>
        <v>50.83</v>
      </c>
      <c r="E12335">
        <v>55.8</v>
      </c>
      <c r="F12335" s="1789">
        <v>8.8999999999999996E-2</v>
      </c>
      <c r="G12335">
        <f t="shared" si="387"/>
        <v>50.83</v>
      </c>
    </row>
    <row r="12336" spans="1:7" ht="12.75" customHeight="1">
      <c r="A12336" s="3">
        <v>101320</v>
      </c>
      <c r="B12336" s="4" t="s">
        <v>12356</v>
      </c>
      <c r="C12336" s="3" t="s">
        <v>156</v>
      </c>
      <c r="D12336" s="5">
        <f t="shared" si="386"/>
        <v>15.52</v>
      </c>
      <c r="E12336">
        <v>17.04</v>
      </c>
      <c r="F12336" s="1789">
        <v>8.8999999999999996E-2</v>
      </c>
      <c r="G12336">
        <f t="shared" si="387"/>
        <v>15.52</v>
      </c>
    </row>
    <row r="12337" spans="1:7" ht="12.75" customHeight="1">
      <c r="A12337" s="3">
        <v>101322</v>
      </c>
      <c r="B12337" s="4" t="s">
        <v>12357</v>
      </c>
      <c r="C12337" s="3" t="s">
        <v>156</v>
      </c>
      <c r="D12337" s="5">
        <f t="shared" si="386"/>
        <v>30.13</v>
      </c>
      <c r="E12337">
        <v>33.08</v>
      </c>
      <c r="F12337" s="1789">
        <v>8.8999999999999996E-2</v>
      </c>
      <c r="G12337">
        <f t="shared" si="387"/>
        <v>30.13</v>
      </c>
    </row>
    <row r="12338" spans="1:7" ht="12.75" customHeight="1">
      <c r="A12338" s="3">
        <v>101323</v>
      </c>
      <c r="B12338" s="4" t="s">
        <v>12358</v>
      </c>
      <c r="C12338" s="3" t="s">
        <v>156</v>
      </c>
      <c r="D12338" s="5">
        <f t="shared" si="386"/>
        <v>50.86</v>
      </c>
      <c r="E12338">
        <v>55.83</v>
      </c>
      <c r="F12338" s="1789">
        <v>8.8999999999999996E-2</v>
      </c>
      <c r="G12338">
        <f t="shared" si="387"/>
        <v>50.86</v>
      </c>
    </row>
    <row r="12339" spans="1:7" ht="12.75" customHeight="1">
      <c r="A12339" s="3">
        <v>101324</v>
      </c>
      <c r="B12339" s="4" t="s">
        <v>12359</v>
      </c>
      <c r="C12339" s="3" t="s">
        <v>156</v>
      </c>
      <c r="D12339" s="5">
        <f t="shared" si="386"/>
        <v>19.03</v>
      </c>
      <c r="E12339">
        <v>20.9</v>
      </c>
      <c r="F12339" s="1789">
        <v>8.8999999999999996E-2</v>
      </c>
      <c r="G12339">
        <f t="shared" si="387"/>
        <v>19.03</v>
      </c>
    </row>
    <row r="12340" spans="1:7" ht="12.75" customHeight="1">
      <c r="A12340" s="3">
        <v>101325</v>
      </c>
      <c r="B12340" s="4" t="s">
        <v>12360</v>
      </c>
      <c r="C12340" s="3" t="s">
        <v>156</v>
      </c>
      <c r="D12340" s="5">
        <f t="shared" si="386"/>
        <v>23.5</v>
      </c>
      <c r="E12340">
        <v>25.8</v>
      </c>
      <c r="F12340" s="1789">
        <v>8.8999999999999996E-2</v>
      </c>
      <c r="G12340">
        <f t="shared" si="387"/>
        <v>23.5</v>
      </c>
    </row>
    <row r="12341" spans="1:7" ht="12.75" customHeight="1">
      <c r="A12341" s="3">
        <v>101326</v>
      </c>
      <c r="B12341" s="4" t="s">
        <v>12361</v>
      </c>
      <c r="C12341" s="3" t="s">
        <v>156</v>
      </c>
      <c r="D12341" s="5">
        <f t="shared" si="386"/>
        <v>11.01</v>
      </c>
      <c r="E12341">
        <v>12.09</v>
      </c>
      <c r="F12341" s="1789">
        <v>8.8999999999999996E-2</v>
      </c>
      <c r="G12341">
        <f t="shared" si="387"/>
        <v>11.01</v>
      </c>
    </row>
    <row r="12342" spans="1:7" ht="12.75" customHeight="1">
      <c r="A12342" s="3">
        <v>101328</v>
      </c>
      <c r="B12342" s="4" t="s">
        <v>12362</v>
      </c>
      <c r="C12342" s="3" t="s">
        <v>156</v>
      </c>
      <c r="D12342" s="5">
        <f t="shared" si="386"/>
        <v>22.78</v>
      </c>
      <c r="E12342">
        <v>25.01</v>
      </c>
      <c r="F12342" s="1789">
        <v>8.8999999999999996E-2</v>
      </c>
      <c r="G12342">
        <f t="shared" si="387"/>
        <v>22.78</v>
      </c>
    </row>
    <row r="12343" spans="1:7" ht="12.75" customHeight="1">
      <c r="A12343" s="3">
        <v>101329</v>
      </c>
      <c r="B12343" s="4" t="s">
        <v>12363</v>
      </c>
      <c r="C12343" s="3" t="s">
        <v>156</v>
      </c>
      <c r="D12343" s="5">
        <f t="shared" si="386"/>
        <v>47.9</v>
      </c>
      <c r="E12343">
        <v>52.58</v>
      </c>
      <c r="F12343" s="1789">
        <v>8.8999999999999996E-2</v>
      </c>
      <c r="G12343">
        <f t="shared" si="387"/>
        <v>47.9</v>
      </c>
    </row>
    <row r="12344" spans="1:7" ht="12.75" customHeight="1">
      <c r="A12344" s="3">
        <v>101330</v>
      </c>
      <c r="B12344" s="4" t="s">
        <v>12364</v>
      </c>
      <c r="C12344" s="3" t="s">
        <v>156</v>
      </c>
      <c r="D12344" s="5">
        <f t="shared" si="386"/>
        <v>37.36</v>
      </c>
      <c r="E12344">
        <v>41.01</v>
      </c>
      <c r="F12344" s="1789">
        <v>8.8999999999999996E-2</v>
      </c>
      <c r="G12344">
        <f t="shared" si="387"/>
        <v>37.36</v>
      </c>
    </row>
    <row r="12345" spans="1:7" ht="12.75" customHeight="1">
      <c r="A12345" s="3">
        <v>101331</v>
      </c>
      <c r="B12345" s="4" t="s">
        <v>12365</v>
      </c>
      <c r="C12345" s="3" t="s">
        <v>156</v>
      </c>
      <c r="D12345" s="5">
        <f t="shared" si="386"/>
        <v>40.32</v>
      </c>
      <c r="E12345">
        <v>44.26</v>
      </c>
      <c r="F12345" s="1789">
        <v>8.8999999999999996E-2</v>
      </c>
      <c r="G12345">
        <f t="shared" si="387"/>
        <v>40.32</v>
      </c>
    </row>
    <row r="12346" spans="1:7" ht="12.75" customHeight="1">
      <c r="A12346" s="3">
        <v>101332</v>
      </c>
      <c r="B12346" s="4" t="s">
        <v>12366</v>
      </c>
      <c r="C12346" s="3" t="s">
        <v>156</v>
      </c>
      <c r="D12346" s="5">
        <f t="shared" si="386"/>
        <v>15.25</v>
      </c>
      <c r="E12346">
        <v>16.75</v>
      </c>
      <c r="F12346" s="1789">
        <v>8.8999999999999996E-2</v>
      </c>
      <c r="G12346">
        <f t="shared" si="387"/>
        <v>15.25</v>
      </c>
    </row>
    <row r="12347" spans="1:7" ht="12.75" customHeight="1">
      <c r="A12347" s="3">
        <v>101333</v>
      </c>
      <c r="B12347" s="4" t="s">
        <v>12367</v>
      </c>
      <c r="C12347" s="3" t="s">
        <v>156</v>
      </c>
      <c r="D12347" s="5">
        <f t="shared" si="386"/>
        <v>29.85</v>
      </c>
      <c r="E12347">
        <v>32.770000000000003</v>
      </c>
      <c r="F12347" s="1789">
        <v>8.8999999999999996E-2</v>
      </c>
      <c r="G12347">
        <f t="shared" si="387"/>
        <v>29.85</v>
      </c>
    </row>
    <row r="12348" spans="1:7" ht="12.75" customHeight="1">
      <c r="A12348" s="3">
        <v>101334</v>
      </c>
      <c r="B12348" s="4" t="s">
        <v>12368</v>
      </c>
      <c r="C12348" s="3" t="s">
        <v>156</v>
      </c>
      <c r="D12348" s="5">
        <f t="shared" si="386"/>
        <v>83.24</v>
      </c>
      <c r="E12348">
        <v>91.38</v>
      </c>
      <c r="F12348" s="1789">
        <v>8.8999999999999996E-2</v>
      </c>
      <c r="G12348">
        <f t="shared" si="387"/>
        <v>83.24</v>
      </c>
    </row>
    <row r="12349" spans="1:7" ht="12.75" customHeight="1">
      <c r="A12349" s="3">
        <v>101336</v>
      </c>
      <c r="B12349" s="4" t="s">
        <v>12369</v>
      </c>
      <c r="C12349" s="3" t="s">
        <v>156</v>
      </c>
      <c r="D12349" s="5">
        <f t="shared" si="386"/>
        <v>66.41</v>
      </c>
      <c r="E12349">
        <v>72.900000000000006</v>
      </c>
      <c r="F12349" s="1789">
        <v>8.8999999999999996E-2</v>
      </c>
      <c r="G12349">
        <f t="shared" si="387"/>
        <v>66.41</v>
      </c>
    </row>
    <row r="12350" spans="1:7" ht="12.75" customHeight="1">
      <c r="A12350" s="3">
        <v>101337</v>
      </c>
      <c r="B12350" s="4" t="s">
        <v>12370</v>
      </c>
      <c r="C12350" s="3" t="s">
        <v>156</v>
      </c>
      <c r="D12350" s="5">
        <f t="shared" si="386"/>
        <v>18.3</v>
      </c>
      <c r="E12350">
        <v>20.09</v>
      </c>
      <c r="F12350" s="1789">
        <v>8.8999999999999996E-2</v>
      </c>
      <c r="G12350">
        <f t="shared" si="387"/>
        <v>18.3</v>
      </c>
    </row>
    <row r="12351" spans="1:7" ht="12.75" customHeight="1">
      <c r="A12351" s="3">
        <v>101338</v>
      </c>
      <c r="B12351" s="4" t="s">
        <v>12371</v>
      </c>
      <c r="C12351" s="3" t="s">
        <v>156</v>
      </c>
      <c r="D12351" s="5">
        <f t="shared" si="386"/>
        <v>18.809999999999999</v>
      </c>
      <c r="E12351">
        <v>20.65</v>
      </c>
      <c r="F12351" s="1789">
        <v>8.8999999999999996E-2</v>
      </c>
      <c r="G12351">
        <f t="shared" si="387"/>
        <v>18.809999999999999</v>
      </c>
    </row>
    <row r="12352" spans="1:7" ht="12.75" customHeight="1">
      <c r="A12352" s="3">
        <v>101339</v>
      </c>
      <c r="B12352" s="4" t="s">
        <v>12372</v>
      </c>
      <c r="C12352" s="3" t="s">
        <v>156</v>
      </c>
      <c r="D12352" s="5">
        <f t="shared" si="386"/>
        <v>19.59</v>
      </c>
      <c r="E12352">
        <v>21.51</v>
      </c>
      <c r="F12352" s="1789">
        <v>8.8999999999999996E-2</v>
      </c>
      <c r="G12352">
        <f t="shared" si="387"/>
        <v>19.59</v>
      </c>
    </row>
    <row r="12353" spans="1:7" ht="12.75" customHeight="1">
      <c r="A12353" s="3">
        <v>101340</v>
      </c>
      <c r="B12353" s="4" t="s">
        <v>12373</v>
      </c>
      <c r="C12353" s="3" t="s">
        <v>156</v>
      </c>
      <c r="D12353" s="5">
        <f t="shared" si="386"/>
        <v>17.579999999999998</v>
      </c>
      <c r="E12353">
        <v>19.3</v>
      </c>
      <c r="F12353" s="1789">
        <v>8.8999999999999996E-2</v>
      </c>
      <c r="G12353">
        <f t="shared" si="387"/>
        <v>17.579999999999998</v>
      </c>
    </row>
    <row r="12354" spans="1:7" ht="12.75" customHeight="1">
      <c r="A12354" s="3">
        <v>101341</v>
      </c>
      <c r="B12354" s="4" t="s">
        <v>12374</v>
      </c>
      <c r="C12354" s="3" t="s">
        <v>156</v>
      </c>
      <c r="D12354" s="5">
        <f t="shared" si="386"/>
        <v>19.399999999999999</v>
      </c>
      <c r="E12354">
        <v>21.3</v>
      </c>
      <c r="F12354" s="1789">
        <v>8.8999999999999996E-2</v>
      </c>
      <c r="G12354">
        <f t="shared" si="387"/>
        <v>19.399999999999999</v>
      </c>
    </row>
    <row r="12355" spans="1:7" ht="12.75" customHeight="1">
      <c r="A12355" s="3">
        <v>101342</v>
      </c>
      <c r="B12355" s="4" t="s">
        <v>12375</v>
      </c>
      <c r="C12355" s="3" t="s">
        <v>156</v>
      </c>
      <c r="D12355" s="5">
        <f t="shared" si="386"/>
        <v>19.59</v>
      </c>
      <c r="E12355">
        <v>21.51</v>
      </c>
      <c r="F12355" s="1789">
        <v>8.8999999999999996E-2</v>
      </c>
      <c r="G12355">
        <f t="shared" si="387"/>
        <v>19.59</v>
      </c>
    </row>
    <row r="12356" spans="1:7" ht="12.75" customHeight="1">
      <c r="A12356" s="3">
        <v>101343</v>
      </c>
      <c r="B12356" s="4" t="s">
        <v>12376</v>
      </c>
      <c r="C12356" s="3" t="s">
        <v>156</v>
      </c>
      <c r="D12356" s="5">
        <f t="shared" si="386"/>
        <v>31.52</v>
      </c>
      <c r="E12356">
        <v>34.61</v>
      </c>
      <c r="F12356" s="1789">
        <v>8.8999999999999996E-2</v>
      </c>
      <c r="G12356">
        <f t="shared" si="387"/>
        <v>31.52</v>
      </c>
    </row>
    <row r="12357" spans="1:7" ht="12.75" customHeight="1">
      <c r="A12357" s="3">
        <v>101344</v>
      </c>
      <c r="B12357" s="4" t="s">
        <v>12377</v>
      </c>
      <c r="C12357" s="3" t="s">
        <v>156</v>
      </c>
      <c r="D12357" s="5">
        <f t="shared" si="386"/>
        <v>37.36</v>
      </c>
      <c r="E12357">
        <v>41.02</v>
      </c>
      <c r="F12357" s="1789">
        <v>8.8999999999999996E-2</v>
      </c>
      <c r="G12357">
        <f t="shared" si="387"/>
        <v>37.36</v>
      </c>
    </row>
    <row r="12358" spans="1:7" ht="12.75" customHeight="1">
      <c r="A12358" s="3">
        <v>101345</v>
      </c>
      <c r="B12358" s="4" t="s">
        <v>12378</v>
      </c>
      <c r="C12358" s="3" t="s">
        <v>156</v>
      </c>
      <c r="D12358" s="5">
        <f t="shared" si="386"/>
        <v>46.41</v>
      </c>
      <c r="E12358">
        <v>50.95</v>
      </c>
      <c r="F12358" s="1789">
        <v>8.8999999999999996E-2</v>
      </c>
      <c r="G12358">
        <f t="shared" si="387"/>
        <v>46.41</v>
      </c>
    </row>
    <row r="12359" spans="1:7" ht="12.75" customHeight="1">
      <c r="A12359" s="3">
        <v>101346</v>
      </c>
      <c r="B12359" s="4" t="s">
        <v>12379</v>
      </c>
      <c r="C12359" s="3" t="s">
        <v>156</v>
      </c>
      <c r="D12359" s="5">
        <f t="shared" si="386"/>
        <v>22.99</v>
      </c>
      <c r="E12359">
        <v>25.24</v>
      </c>
      <c r="F12359" s="1789">
        <v>8.8999999999999996E-2</v>
      </c>
      <c r="G12359">
        <f t="shared" si="387"/>
        <v>22.99</v>
      </c>
    </row>
    <row r="12360" spans="1:7" ht="12.75" customHeight="1">
      <c r="A12360" s="3">
        <v>101347</v>
      </c>
      <c r="B12360" s="4" t="s">
        <v>12380</v>
      </c>
      <c r="C12360" s="3" t="s">
        <v>156</v>
      </c>
      <c r="D12360" s="5">
        <f t="shared" si="386"/>
        <v>27.63</v>
      </c>
      <c r="E12360">
        <v>30.33</v>
      </c>
      <c r="F12360" s="1789">
        <v>8.8999999999999996E-2</v>
      </c>
      <c r="G12360">
        <f t="shared" si="387"/>
        <v>27.63</v>
      </c>
    </row>
    <row r="12361" spans="1:7" ht="12.75" customHeight="1">
      <c r="A12361" s="3">
        <v>101348</v>
      </c>
      <c r="B12361" s="4" t="s">
        <v>12381</v>
      </c>
      <c r="C12361" s="3" t="s">
        <v>156</v>
      </c>
      <c r="D12361" s="5">
        <f t="shared" si="386"/>
        <v>16.989999999999998</v>
      </c>
      <c r="E12361">
        <v>18.649999999999999</v>
      </c>
      <c r="F12361" s="1789">
        <v>8.8999999999999996E-2</v>
      </c>
      <c r="G12361">
        <f t="shared" si="387"/>
        <v>16.989999999999998</v>
      </c>
    </row>
    <row r="12362" spans="1:7" ht="12.75" customHeight="1">
      <c r="A12362" s="3">
        <v>101349</v>
      </c>
      <c r="B12362" s="4" t="s">
        <v>12382</v>
      </c>
      <c r="C12362" s="3" t="s">
        <v>156</v>
      </c>
      <c r="D12362" s="5">
        <f t="shared" si="386"/>
        <v>28</v>
      </c>
      <c r="E12362">
        <v>30.74</v>
      </c>
      <c r="F12362" s="1789">
        <v>8.8999999999999996E-2</v>
      </c>
      <c r="G12362">
        <f t="shared" si="387"/>
        <v>28</v>
      </c>
    </row>
    <row r="12363" spans="1:7" ht="12.75" customHeight="1">
      <c r="A12363" s="3">
        <v>101350</v>
      </c>
      <c r="B12363" s="4" t="s">
        <v>12383</v>
      </c>
      <c r="C12363" s="3" t="s">
        <v>156</v>
      </c>
      <c r="D12363" s="5">
        <f t="shared" si="386"/>
        <v>28</v>
      </c>
      <c r="E12363">
        <v>30.74</v>
      </c>
      <c r="F12363" s="1789">
        <v>8.8999999999999996E-2</v>
      </c>
      <c r="G12363">
        <f t="shared" si="387"/>
        <v>28</v>
      </c>
    </row>
    <row r="12364" spans="1:7" ht="12.75" customHeight="1">
      <c r="A12364" s="3">
        <v>101351</v>
      </c>
      <c r="B12364" s="4" t="s">
        <v>12384</v>
      </c>
      <c r="C12364" s="3" t="s">
        <v>156</v>
      </c>
      <c r="D12364" s="5">
        <f t="shared" si="386"/>
        <v>19.59</v>
      </c>
      <c r="E12364">
        <v>21.51</v>
      </c>
      <c r="F12364" s="1789">
        <v>8.8999999999999996E-2</v>
      </c>
      <c r="G12364">
        <f t="shared" si="387"/>
        <v>19.59</v>
      </c>
    </row>
    <row r="12365" spans="1:7" ht="12.75" customHeight="1">
      <c r="A12365" s="3">
        <v>101352</v>
      </c>
      <c r="B12365" s="4" t="s">
        <v>12385</v>
      </c>
      <c r="C12365" s="3" t="s">
        <v>156</v>
      </c>
      <c r="D12365" s="5">
        <f t="shared" si="386"/>
        <v>19.59</v>
      </c>
      <c r="E12365">
        <v>21.51</v>
      </c>
      <c r="F12365" s="1789">
        <v>8.8999999999999996E-2</v>
      </c>
      <c r="G12365">
        <f t="shared" si="387"/>
        <v>19.59</v>
      </c>
    </row>
    <row r="12366" spans="1:7" ht="12.75" customHeight="1">
      <c r="A12366" s="3">
        <v>101353</v>
      </c>
      <c r="B12366" s="4" t="s">
        <v>12386</v>
      </c>
      <c r="C12366" s="3" t="s">
        <v>156</v>
      </c>
      <c r="D12366" s="5">
        <f t="shared" si="386"/>
        <v>19.399999999999999</v>
      </c>
      <c r="E12366">
        <v>21.3</v>
      </c>
      <c r="F12366" s="1789">
        <v>8.8999999999999996E-2</v>
      </c>
      <c r="G12366">
        <f t="shared" si="387"/>
        <v>19.399999999999999</v>
      </c>
    </row>
    <row r="12367" spans="1:7" ht="12.75" customHeight="1">
      <c r="A12367" s="3">
        <v>101355</v>
      </c>
      <c r="B12367" s="4" t="s">
        <v>12387</v>
      </c>
      <c r="C12367" s="3" t="s">
        <v>156</v>
      </c>
      <c r="D12367" s="5">
        <f t="shared" si="386"/>
        <v>28</v>
      </c>
      <c r="E12367">
        <v>30.74</v>
      </c>
      <c r="F12367" s="1789">
        <v>8.8999999999999996E-2</v>
      </c>
      <c r="G12367">
        <f t="shared" si="387"/>
        <v>28</v>
      </c>
    </row>
    <row r="12368" spans="1:7" ht="12.75" customHeight="1">
      <c r="A12368" s="3">
        <v>101356</v>
      </c>
      <c r="B12368" s="4" t="s">
        <v>12388</v>
      </c>
      <c r="C12368" s="3" t="s">
        <v>156</v>
      </c>
      <c r="D12368" s="5">
        <f t="shared" si="386"/>
        <v>40.32</v>
      </c>
      <c r="E12368">
        <v>44.26</v>
      </c>
      <c r="F12368" s="1789">
        <v>8.8999999999999996E-2</v>
      </c>
      <c r="G12368">
        <f t="shared" si="387"/>
        <v>40.32</v>
      </c>
    </row>
    <row r="12369" spans="1:7" ht="12.75" customHeight="1">
      <c r="A12369" s="3">
        <v>101357</v>
      </c>
      <c r="B12369" s="4" t="s">
        <v>12389</v>
      </c>
      <c r="C12369" s="3" t="s">
        <v>156</v>
      </c>
      <c r="D12369" s="5">
        <f t="shared" si="386"/>
        <v>57.92</v>
      </c>
      <c r="E12369">
        <v>63.58</v>
      </c>
      <c r="F12369" s="1789">
        <v>8.8999999999999996E-2</v>
      </c>
      <c r="G12369">
        <f t="shared" si="387"/>
        <v>57.92</v>
      </c>
    </row>
    <row r="12370" spans="1:7" ht="12.75" customHeight="1">
      <c r="A12370" s="3">
        <v>101358</v>
      </c>
      <c r="B12370" s="4" t="s">
        <v>12390</v>
      </c>
      <c r="C12370" s="3" t="s">
        <v>156</v>
      </c>
      <c r="D12370" s="5">
        <f t="shared" si="386"/>
        <v>40.32</v>
      </c>
      <c r="E12370">
        <v>44.26</v>
      </c>
      <c r="F12370" s="1789">
        <v>8.8999999999999996E-2</v>
      </c>
      <c r="G12370">
        <f t="shared" si="387"/>
        <v>40.32</v>
      </c>
    </row>
    <row r="12371" spans="1:7" ht="12.75" customHeight="1">
      <c r="A12371" s="3">
        <v>101359</v>
      </c>
      <c r="B12371" s="4" t="s">
        <v>12391</v>
      </c>
      <c r="C12371" s="3" t="s">
        <v>156</v>
      </c>
      <c r="D12371" s="5">
        <f t="shared" si="386"/>
        <v>39.14</v>
      </c>
      <c r="E12371">
        <v>42.97</v>
      </c>
      <c r="F12371" s="1789">
        <v>8.8999999999999996E-2</v>
      </c>
      <c r="G12371">
        <f t="shared" si="387"/>
        <v>39.14</v>
      </c>
    </row>
    <row r="12372" spans="1:7" ht="12.75" customHeight="1">
      <c r="A12372" s="3">
        <v>101360</v>
      </c>
      <c r="B12372" s="4" t="s">
        <v>12392</v>
      </c>
      <c r="C12372" s="3" t="s">
        <v>156</v>
      </c>
      <c r="D12372" s="5">
        <f t="shared" si="386"/>
        <v>40.32</v>
      </c>
      <c r="E12372">
        <v>44.26</v>
      </c>
      <c r="F12372" s="1789">
        <v>8.8999999999999996E-2</v>
      </c>
      <c r="G12372">
        <f t="shared" si="387"/>
        <v>40.32</v>
      </c>
    </row>
    <row r="12373" spans="1:7" ht="12.75" customHeight="1">
      <c r="A12373" s="3">
        <v>101361</v>
      </c>
      <c r="B12373" s="4" t="s">
        <v>12393</v>
      </c>
      <c r="C12373" s="3" t="s">
        <v>156</v>
      </c>
      <c r="D12373" s="5">
        <f t="shared" ref="D12373:D12436" si="388">G12373</f>
        <v>47.87</v>
      </c>
      <c r="E12373">
        <v>52.55</v>
      </c>
      <c r="F12373" s="1789">
        <v>8.8999999999999996E-2</v>
      </c>
      <c r="G12373">
        <f t="shared" ref="G12373:G12436" si="389">TRUNC((1-F12373)*E12373,2)</f>
        <v>47.87</v>
      </c>
    </row>
    <row r="12374" spans="1:7" ht="12.75" customHeight="1">
      <c r="A12374" s="3">
        <v>101363</v>
      </c>
      <c r="B12374" s="4" t="s">
        <v>12394</v>
      </c>
      <c r="C12374" s="3" t="s">
        <v>156</v>
      </c>
      <c r="D12374" s="5">
        <f t="shared" si="388"/>
        <v>31.52</v>
      </c>
      <c r="E12374">
        <v>34.61</v>
      </c>
      <c r="F12374" s="1789">
        <v>8.8999999999999996E-2</v>
      </c>
      <c r="G12374">
        <f t="shared" si="389"/>
        <v>31.52</v>
      </c>
    </row>
    <row r="12375" spans="1:7" ht="12.75" customHeight="1">
      <c r="A12375" s="3">
        <v>101364</v>
      </c>
      <c r="B12375" s="4" t="s">
        <v>12395</v>
      </c>
      <c r="C12375" s="3" t="s">
        <v>156</v>
      </c>
      <c r="D12375" s="5">
        <f t="shared" si="388"/>
        <v>43.15</v>
      </c>
      <c r="E12375">
        <v>47.37</v>
      </c>
      <c r="F12375" s="1789">
        <v>8.8999999999999996E-2</v>
      </c>
      <c r="G12375">
        <f t="shared" si="389"/>
        <v>43.15</v>
      </c>
    </row>
    <row r="12376" spans="1:7" ht="12.75" customHeight="1">
      <c r="A12376" s="3">
        <v>101365</v>
      </c>
      <c r="B12376" s="4" t="s">
        <v>12396</v>
      </c>
      <c r="C12376" s="3" t="s">
        <v>156</v>
      </c>
      <c r="D12376" s="5">
        <f t="shared" si="388"/>
        <v>31.52</v>
      </c>
      <c r="E12376">
        <v>34.61</v>
      </c>
      <c r="F12376" s="1789">
        <v>8.8999999999999996E-2</v>
      </c>
      <c r="G12376">
        <f t="shared" si="389"/>
        <v>31.52</v>
      </c>
    </row>
    <row r="12377" spans="1:7" ht="12.75" customHeight="1">
      <c r="A12377" s="3">
        <v>101366</v>
      </c>
      <c r="B12377" s="4" t="s">
        <v>12397</v>
      </c>
      <c r="C12377" s="3" t="s">
        <v>156</v>
      </c>
      <c r="D12377" s="5">
        <f t="shared" si="388"/>
        <v>37.049999999999997</v>
      </c>
      <c r="E12377">
        <v>40.67</v>
      </c>
      <c r="F12377" s="1789">
        <v>8.8999999999999996E-2</v>
      </c>
      <c r="G12377">
        <f t="shared" si="389"/>
        <v>37.049999999999997</v>
      </c>
    </row>
    <row r="12378" spans="1:7" ht="12.75" customHeight="1">
      <c r="A12378" s="3">
        <v>101368</v>
      </c>
      <c r="B12378" s="4" t="s">
        <v>12398</v>
      </c>
      <c r="C12378" s="3" t="s">
        <v>156</v>
      </c>
      <c r="D12378" s="5">
        <f t="shared" si="388"/>
        <v>31.22</v>
      </c>
      <c r="E12378">
        <v>34.28</v>
      </c>
      <c r="F12378" s="1789">
        <v>8.8999999999999996E-2</v>
      </c>
      <c r="G12378">
        <f t="shared" si="389"/>
        <v>31.22</v>
      </c>
    </row>
    <row r="12379" spans="1:7" ht="12.75" customHeight="1">
      <c r="A12379" s="3">
        <v>101369</v>
      </c>
      <c r="B12379" s="4" t="s">
        <v>12399</v>
      </c>
      <c r="C12379" s="3" t="s">
        <v>156</v>
      </c>
      <c r="D12379" s="5">
        <f t="shared" si="388"/>
        <v>33.369999999999997</v>
      </c>
      <c r="E12379">
        <v>36.64</v>
      </c>
      <c r="F12379" s="1789">
        <v>8.8999999999999996E-2</v>
      </c>
      <c r="G12379">
        <f t="shared" si="389"/>
        <v>33.369999999999997</v>
      </c>
    </row>
    <row r="12380" spans="1:7" ht="12.75" customHeight="1">
      <c r="A12380" s="3">
        <v>101370</v>
      </c>
      <c r="B12380" s="4" t="s">
        <v>12400</v>
      </c>
      <c r="C12380" s="3" t="s">
        <v>156</v>
      </c>
      <c r="D12380" s="5">
        <f t="shared" si="388"/>
        <v>31.15</v>
      </c>
      <c r="E12380">
        <v>34.200000000000003</v>
      </c>
      <c r="F12380" s="1789">
        <v>8.8999999999999996E-2</v>
      </c>
      <c r="G12380">
        <f t="shared" si="389"/>
        <v>31.15</v>
      </c>
    </row>
    <row r="12381" spans="1:7" ht="12.75" customHeight="1">
      <c r="A12381" s="3">
        <v>101371</v>
      </c>
      <c r="B12381" s="4" t="s">
        <v>12401</v>
      </c>
      <c r="C12381" s="3" t="s">
        <v>156</v>
      </c>
      <c r="D12381" s="5">
        <f t="shared" si="388"/>
        <v>34.76</v>
      </c>
      <c r="E12381">
        <v>38.159999999999997</v>
      </c>
      <c r="F12381" s="1789">
        <v>8.8999999999999996E-2</v>
      </c>
      <c r="G12381">
        <f t="shared" si="389"/>
        <v>34.76</v>
      </c>
    </row>
    <row r="12382" spans="1:7" ht="12.75" customHeight="1">
      <c r="A12382" s="3">
        <v>101372</v>
      </c>
      <c r="B12382" s="4" t="s">
        <v>12402</v>
      </c>
      <c r="C12382" s="3" t="s">
        <v>156</v>
      </c>
      <c r="D12382" s="5">
        <f t="shared" si="388"/>
        <v>10.74</v>
      </c>
      <c r="E12382">
        <v>11.79</v>
      </c>
      <c r="F12382" s="1789">
        <v>8.8999999999999996E-2</v>
      </c>
      <c r="G12382">
        <f t="shared" si="389"/>
        <v>10.74</v>
      </c>
    </row>
    <row r="12383" spans="1:7" ht="12.75" customHeight="1">
      <c r="A12383" s="3">
        <v>101374</v>
      </c>
      <c r="B12383" s="4" t="s">
        <v>12118</v>
      </c>
      <c r="C12383" s="3" t="s">
        <v>156</v>
      </c>
      <c r="D12383" s="5">
        <f t="shared" si="388"/>
        <v>3500.76</v>
      </c>
      <c r="E12383">
        <v>3842.77</v>
      </c>
      <c r="F12383" s="1789">
        <v>8.8999999999999996E-2</v>
      </c>
      <c r="G12383">
        <f t="shared" si="389"/>
        <v>3500.76</v>
      </c>
    </row>
    <row r="12384" spans="1:7" ht="12.75" customHeight="1">
      <c r="A12384" s="3">
        <v>101375</v>
      </c>
      <c r="B12384" s="4" t="s">
        <v>12403</v>
      </c>
      <c r="C12384" s="3" t="s">
        <v>156</v>
      </c>
      <c r="D12384" s="5">
        <f t="shared" si="388"/>
        <v>3555.32</v>
      </c>
      <c r="E12384">
        <v>3902.66</v>
      </c>
      <c r="F12384" s="1789">
        <v>8.8999999999999996E-2</v>
      </c>
      <c r="G12384">
        <f t="shared" si="389"/>
        <v>3555.32</v>
      </c>
    </row>
    <row r="12385" spans="1:7" ht="12.75" customHeight="1">
      <c r="A12385" s="3">
        <v>101376</v>
      </c>
      <c r="B12385" s="4" t="s">
        <v>12404</v>
      </c>
      <c r="C12385" s="3" t="s">
        <v>156</v>
      </c>
      <c r="D12385" s="5">
        <f t="shared" si="388"/>
        <v>3295.26</v>
      </c>
      <c r="E12385">
        <v>3617.19</v>
      </c>
      <c r="F12385" s="1789">
        <v>8.8999999999999996E-2</v>
      </c>
      <c r="G12385">
        <f t="shared" si="389"/>
        <v>3295.26</v>
      </c>
    </row>
    <row r="12386" spans="1:7" ht="12.75" customHeight="1">
      <c r="A12386" s="3">
        <v>101377</v>
      </c>
      <c r="B12386" s="4" t="s">
        <v>12121</v>
      </c>
      <c r="C12386" s="3" t="s">
        <v>156</v>
      </c>
      <c r="D12386" s="5">
        <f t="shared" si="388"/>
        <v>3474.04</v>
      </c>
      <c r="E12386">
        <v>3813.44</v>
      </c>
      <c r="F12386" s="1789">
        <v>8.8999999999999996E-2</v>
      </c>
      <c r="G12386">
        <f t="shared" si="389"/>
        <v>3474.04</v>
      </c>
    </row>
    <row r="12387" spans="1:7" ht="12.75" customHeight="1">
      <c r="A12387" s="3">
        <v>101378</v>
      </c>
      <c r="B12387" s="4" t="s">
        <v>12318</v>
      </c>
      <c r="C12387" s="3" t="s">
        <v>156</v>
      </c>
      <c r="D12387" s="5">
        <f t="shared" si="388"/>
        <v>4413.09</v>
      </c>
      <c r="E12387">
        <v>4844.2299999999996</v>
      </c>
      <c r="F12387" s="1789">
        <v>8.8999999999999996E-2</v>
      </c>
      <c r="G12387">
        <f t="shared" si="389"/>
        <v>4413.09</v>
      </c>
    </row>
    <row r="12388" spans="1:7" ht="12.75" customHeight="1">
      <c r="A12388" s="3">
        <v>101379</v>
      </c>
      <c r="B12388" s="4" t="s">
        <v>12405</v>
      </c>
      <c r="C12388" s="3" t="s">
        <v>156</v>
      </c>
      <c r="D12388" s="5">
        <f t="shared" si="388"/>
        <v>3500.76</v>
      </c>
      <c r="E12388">
        <v>3842.77</v>
      </c>
      <c r="F12388" s="1789">
        <v>8.8999999999999996E-2</v>
      </c>
      <c r="G12388">
        <f t="shared" si="389"/>
        <v>3500.76</v>
      </c>
    </row>
    <row r="12389" spans="1:7" ht="12.75" customHeight="1">
      <c r="A12389" s="3">
        <v>101380</v>
      </c>
      <c r="B12389" s="4" t="s">
        <v>12123</v>
      </c>
      <c r="C12389" s="3" t="s">
        <v>156</v>
      </c>
      <c r="D12389" s="5">
        <f t="shared" si="388"/>
        <v>3452.54</v>
      </c>
      <c r="E12389">
        <v>3789.84</v>
      </c>
      <c r="F12389" s="1789">
        <v>8.8999999999999996E-2</v>
      </c>
      <c r="G12389">
        <f t="shared" si="389"/>
        <v>3452.54</v>
      </c>
    </row>
    <row r="12390" spans="1:7" ht="12.75" customHeight="1">
      <c r="A12390" s="3">
        <v>101381</v>
      </c>
      <c r="B12390" s="4" t="s">
        <v>12124</v>
      </c>
      <c r="C12390" s="3" t="s">
        <v>156</v>
      </c>
      <c r="D12390" s="5">
        <f t="shared" si="388"/>
        <v>4122.16</v>
      </c>
      <c r="E12390">
        <v>4524.88</v>
      </c>
      <c r="F12390" s="1789">
        <v>8.8999999999999996E-2</v>
      </c>
      <c r="G12390">
        <f t="shared" si="389"/>
        <v>4122.16</v>
      </c>
    </row>
    <row r="12391" spans="1:7" ht="12.75" customHeight="1">
      <c r="A12391" s="3">
        <v>101382</v>
      </c>
      <c r="B12391" s="4" t="s">
        <v>12406</v>
      </c>
      <c r="C12391" s="3" t="s">
        <v>156</v>
      </c>
      <c r="D12391" s="5">
        <f t="shared" si="388"/>
        <v>2336.84</v>
      </c>
      <c r="E12391">
        <v>2565.14</v>
      </c>
      <c r="F12391" s="1789">
        <v>8.8999999999999996E-2</v>
      </c>
      <c r="G12391">
        <f t="shared" si="389"/>
        <v>2336.84</v>
      </c>
    </row>
    <row r="12392" spans="1:7" ht="12.75" customHeight="1">
      <c r="A12392" s="3">
        <v>101383</v>
      </c>
      <c r="B12392" s="4" t="s">
        <v>12319</v>
      </c>
      <c r="C12392" s="3" t="s">
        <v>156</v>
      </c>
      <c r="D12392" s="5">
        <f t="shared" si="388"/>
        <v>3308.65</v>
      </c>
      <c r="E12392">
        <v>3631.89</v>
      </c>
      <c r="F12392" s="1789">
        <v>8.8999999999999996E-2</v>
      </c>
      <c r="G12392">
        <f t="shared" si="389"/>
        <v>3308.65</v>
      </c>
    </row>
    <row r="12393" spans="1:7" ht="12.75" customHeight="1">
      <c r="A12393" s="3">
        <v>101384</v>
      </c>
      <c r="B12393" s="4" t="s">
        <v>12127</v>
      </c>
      <c r="C12393" s="3" t="s">
        <v>156</v>
      </c>
      <c r="D12393" s="5">
        <f t="shared" si="388"/>
        <v>3396.44</v>
      </c>
      <c r="E12393">
        <v>3728.26</v>
      </c>
      <c r="F12393" s="1789">
        <v>8.8999999999999996E-2</v>
      </c>
      <c r="G12393">
        <f t="shared" si="389"/>
        <v>3396.44</v>
      </c>
    </row>
    <row r="12394" spans="1:7" ht="12.75" customHeight="1">
      <c r="A12394" s="3">
        <v>101385</v>
      </c>
      <c r="B12394" s="4" t="s">
        <v>12407</v>
      </c>
      <c r="C12394" s="3" t="s">
        <v>156</v>
      </c>
      <c r="D12394" s="5">
        <f t="shared" si="388"/>
        <v>4374.97</v>
      </c>
      <c r="E12394">
        <v>4802.3900000000003</v>
      </c>
      <c r="F12394" s="1789">
        <v>8.8999999999999996E-2</v>
      </c>
      <c r="G12394">
        <f t="shared" si="389"/>
        <v>4374.97</v>
      </c>
    </row>
    <row r="12395" spans="1:7" ht="12.75" customHeight="1">
      <c r="A12395" s="3">
        <v>101386</v>
      </c>
      <c r="B12395" s="4" t="s">
        <v>12129</v>
      </c>
      <c r="C12395" s="3" t="s">
        <v>156</v>
      </c>
      <c r="D12395" s="5">
        <f t="shared" si="388"/>
        <v>3295.26</v>
      </c>
      <c r="E12395">
        <v>3617.19</v>
      </c>
      <c r="F12395" s="1789">
        <v>8.8999999999999996E-2</v>
      </c>
      <c r="G12395">
        <f t="shared" si="389"/>
        <v>3295.26</v>
      </c>
    </row>
    <row r="12396" spans="1:7" ht="12.75" customHeight="1">
      <c r="A12396" s="3">
        <v>101387</v>
      </c>
      <c r="B12396" s="4" t="s">
        <v>12408</v>
      </c>
      <c r="C12396" s="3" t="s">
        <v>156</v>
      </c>
      <c r="D12396" s="5">
        <f t="shared" si="388"/>
        <v>3507.84</v>
      </c>
      <c r="E12396">
        <v>3850.54</v>
      </c>
      <c r="F12396" s="1789">
        <v>8.8999999999999996E-2</v>
      </c>
      <c r="G12396">
        <f t="shared" si="389"/>
        <v>3507.84</v>
      </c>
    </row>
    <row r="12397" spans="1:7" ht="12.75" customHeight="1">
      <c r="A12397" s="3">
        <v>101388</v>
      </c>
      <c r="B12397" s="4" t="s">
        <v>12131</v>
      </c>
      <c r="C12397" s="3" t="s">
        <v>156</v>
      </c>
      <c r="D12397" s="5">
        <f t="shared" si="388"/>
        <v>3283.77</v>
      </c>
      <c r="E12397">
        <v>3604.58</v>
      </c>
      <c r="F12397" s="1789">
        <v>8.8999999999999996E-2</v>
      </c>
      <c r="G12397">
        <f t="shared" si="389"/>
        <v>3283.77</v>
      </c>
    </row>
    <row r="12398" spans="1:7" ht="12.75" customHeight="1">
      <c r="A12398" s="3">
        <v>101389</v>
      </c>
      <c r="B12398" s="4" t="s">
        <v>12132</v>
      </c>
      <c r="C12398" s="3" t="s">
        <v>156</v>
      </c>
      <c r="D12398" s="5">
        <f t="shared" si="388"/>
        <v>1806.93</v>
      </c>
      <c r="E12398">
        <v>1983.46</v>
      </c>
      <c r="F12398" s="1789">
        <v>8.8999999999999996E-2</v>
      </c>
      <c r="G12398">
        <f t="shared" si="389"/>
        <v>1806.93</v>
      </c>
    </row>
    <row r="12399" spans="1:7" ht="12.75" customHeight="1">
      <c r="A12399" s="3">
        <v>101390</v>
      </c>
      <c r="B12399" s="4" t="s">
        <v>12409</v>
      </c>
      <c r="C12399" s="3" t="s">
        <v>156</v>
      </c>
      <c r="D12399" s="5">
        <f t="shared" si="388"/>
        <v>4382.4399999999996</v>
      </c>
      <c r="E12399">
        <v>4810.59</v>
      </c>
      <c r="F12399" s="1789">
        <v>8.8999999999999996E-2</v>
      </c>
      <c r="G12399">
        <f t="shared" si="389"/>
        <v>4382.4399999999996</v>
      </c>
    </row>
    <row r="12400" spans="1:7" ht="12.75" customHeight="1">
      <c r="A12400" s="3">
        <v>101391</v>
      </c>
      <c r="B12400" s="4" t="s">
        <v>12410</v>
      </c>
      <c r="C12400" s="3" t="s">
        <v>156</v>
      </c>
      <c r="D12400" s="5">
        <f t="shared" si="388"/>
        <v>4130.95</v>
      </c>
      <c r="E12400">
        <v>4534.53</v>
      </c>
      <c r="F12400" s="1789">
        <v>8.8999999999999996E-2</v>
      </c>
      <c r="G12400">
        <f t="shared" si="389"/>
        <v>4130.95</v>
      </c>
    </row>
    <row r="12401" spans="1:7" ht="12.75" customHeight="1">
      <c r="A12401" s="3">
        <v>101392</v>
      </c>
      <c r="B12401" s="4" t="s">
        <v>12411</v>
      </c>
      <c r="C12401" s="3" t="s">
        <v>156</v>
      </c>
      <c r="D12401" s="5">
        <f t="shared" si="388"/>
        <v>3002.97</v>
      </c>
      <c r="E12401">
        <v>3296.35</v>
      </c>
      <c r="F12401" s="1789">
        <v>8.8999999999999996E-2</v>
      </c>
      <c r="G12401">
        <f t="shared" si="389"/>
        <v>3002.97</v>
      </c>
    </row>
    <row r="12402" spans="1:7" ht="12.75" customHeight="1">
      <c r="A12402" s="3">
        <v>101394</v>
      </c>
      <c r="B12402" s="4" t="s">
        <v>12136</v>
      </c>
      <c r="C12402" s="3" t="s">
        <v>156</v>
      </c>
      <c r="D12402" s="5">
        <f t="shared" si="388"/>
        <v>3820.15</v>
      </c>
      <c r="E12402">
        <v>4193.3599999999997</v>
      </c>
      <c r="F12402" s="1789">
        <v>8.8999999999999996E-2</v>
      </c>
      <c r="G12402">
        <f t="shared" si="389"/>
        <v>3820.15</v>
      </c>
    </row>
    <row r="12403" spans="1:7" ht="12.75" customHeight="1">
      <c r="A12403" s="3">
        <v>101395</v>
      </c>
      <c r="B12403" s="4" t="s">
        <v>12412</v>
      </c>
      <c r="C12403" s="3" t="s">
        <v>156</v>
      </c>
      <c r="D12403" s="5">
        <f t="shared" si="388"/>
        <v>3483.85</v>
      </c>
      <c r="E12403">
        <v>3824.21</v>
      </c>
      <c r="F12403" s="1789">
        <v>8.8999999999999996E-2</v>
      </c>
      <c r="G12403">
        <f t="shared" si="389"/>
        <v>3483.85</v>
      </c>
    </row>
    <row r="12404" spans="1:7" ht="12.75" customHeight="1">
      <c r="A12404" s="3">
        <v>101396</v>
      </c>
      <c r="B12404" s="4" t="s">
        <v>12413</v>
      </c>
      <c r="C12404" s="3" t="s">
        <v>156</v>
      </c>
      <c r="D12404" s="5">
        <f t="shared" si="388"/>
        <v>3919.49</v>
      </c>
      <c r="E12404">
        <v>4302.41</v>
      </c>
      <c r="F12404" s="1789">
        <v>8.8999999999999996E-2</v>
      </c>
      <c r="G12404">
        <f t="shared" si="389"/>
        <v>3919.49</v>
      </c>
    </row>
    <row r="12405" spans="1:7" ht="12.75" customHeight="1">
      <c r="A12405" s="3">
        <v>101397</v>
      </c>
      <c r="B12405" s="4" t="s">
        <v>12138</v>
      </c>
      <c r="C12405" s="3" t="s">
        <v>156</v>
      </c>
      <c r="D12405" s="5">
        <f t="shared" si="388"/>
        <v>4098.17</v>
      </c>
      <c r="E12405">
        <v>4498.55</v>
      </c>
      <c r="F12405" s="1789">
        <v>8.8999999999999996E-2</v>
      </c>
      <c r="G12405">
        <f t="shared" si="389"/>
        <v>4098.17</v>
      </c>
    </row>
    <row r="12406" spans="1:7" ht="12.75" customHeight="1">
      <c r="A12406" s="3">
        <v>101398</v>
      </c>
      <c r="B12406" s="4" t="s">
        <v>12414</v>
      </c>
      <c r="C12406" s="3" t="s">
        <v>156</v>
      </c>
      <c r="D12406" s="5">
        <f t="shared" si="388"/>
        <v>3434.35</v>
      </c>
      <c r="E12406">
        <v>3769.87</v>
      </c>
      <c r="F12406" s="1789">
        <v>8.8999999999999996E-2</v>
      </c>
      <c r="G12406">
        <f t="shared" si="389"/>
        <v>3434.35</v>
      </c>
    </row>
    <row r="12407" spans="1:7" ht="12.75" customHeight="1">
      <c r="A12407" s="3">
        <v>101399</v>
      </c>
      <c r="B12407" s="4" t="s">
        <v>12140</v>
      </c>
      <c r="C12407" s="3" t="s">
        <v>156</v>
      </c>
      <c r="D12407" s="5">
        <f t="shared" si="388"/>
        <v>4303.29</v>
      </c>
      <c r="E12407">
        <v>4723.71</v>
      </c>
      <c r="F12407" s="1789">
        <v>8.8999999999999996E-2</v>
      </c>
      <c r="G12407">
        <f t="shared" si="389"/>
        <v>4303.29</v>
      </c>
    </row>
    <row r="12408" spans="1:7" ht="12.75" customHeight="1">
      <c r="A12408" s="3">
        <v>101401</v>
      </c>
      <c r="B12408" s="4" t="s">
        <v>12141</v>
      </c>
      <c r="C12408" s="3" t="s">
        <v>156</v>
      </c>
      <c r="D12408" s="5">
        <f t="shared" si="388"/>
        <v>5289.67</v>
      </c>
      <c r="E12408">
        <v>5806.45</v>
      </c>
      <c r="F12408" s="1789">
        <v>8.8999999999999996E-2</v>
      </c>
      <c r="G12408">
        <f t="shared" si="389"/>
        <v>5289.67</v>
      </c>
    </row>
    <row r="12409" spans="1:7" ht="12.75" customHeight="1">
      <c r="A12409" s="3">
        <v>101402</v>
      </c>
      <c r="B12409" s="4" t="s">
        <v>12142</v>
      </c>
      <c r="C12409" s="3" t="s">
        <v>156</v>
      </c>
      <c r="D12409" s="5">
        <f t="shared" si="388"/>
        <v>4132.3500000000004</v>
      </c>
      <c r="E12409">
        <v>4536.07</v>
      </c>
      <c r="F12409" s="1789">
        <v>8.8999999999999996E-2</v>
      </c>
      <c r="G12409">
        <f t="shared" si="389"/>
        <v>4132.3500000000004</v>
      </c>
    </row>
    <row r="12410" spans="1:7" ht="12.75" customHeight="1">
      <c r="A12410" s="3">
        <v>101407</v>
      </c>
      <c r="B12410" s="4" t="s">
        <v>12143</v>
      </c>
      <c r="C12410" s="3" t="s">
        <v>156</v>
      </c>
      <c r="D12410" s="5">
        <f t="shared" si="388"/>
        <v>3980.66</v>
      </c>
      <c r="E12410">
        <v>4369.5600000000004</v>
      </c>
      <c r="F12410" s="1789">
        <v>8.8999999999999996E-2</v>
      </c>
      <c r="G12410">
        <f t="shared" si="389"/>
        <v>3980.66</v>
      </c>
    </row>
    <row r="12411" spans="1:7" ht="12.75" customHeight="1">
      <c r="A12411" s="3">
        <v>101408</v>
      </c>
      <c r="B12411" s="4" t="s">
        <v>12144</v>
      </c>
      <c r="C12411" s="3" t="s">
        <v>156</v>
      </c>
      <c r="D12411" s="5">
        <f t="shared" si="388"/>
        <v>3754.59</v>
      </c>
      <c r="E12411">
        <v>4121.3999999999996</v>
      </c>
      <c r="F12411" s="1789">
        <v>8.8999999999999996E-2</v>
      </c>
      <c r="G12411">
        <f t="shared" si="389"/>
        <v>3754.59</v>
      </c>
    </row>
    <row r="12412" spans="1:7" ht="12.75" customHeight="1">
      <c r="A12412" s="3">
        <v>101409</v>
      </c>
      <c r="B12412" s="4" t="s">
        <v>12415</v>
      </c>
      <c r="C12412" s="3" t="s">
        <v>156</v>
      </c>
      <c r="D12412" s="5">
        <f t="shared" si="388"/>
        <v>2586.11</v>
      </c>
      <c r="E12412">
        <v>2838.77</v>
      </c>
      <c r="F12412" s="1789">
        <v>8.8999999999999996E-2</v>
      </c>
      <c r="G12412">
        <f t="shared" si="389"/>
        <v>2586.11</v>
      </c>
    </row>
    <row r="12413" spans="1:7" ht="12.75" customHeight="1">
      <c r="A12413" s="3">
        <v>101410</v>
      </c>
      <c r="B12413" s="4" t="s">
        <v>12191</v>
      </c>
      <c r="C12413" s="3" t="s">
        <v>156</v>
      </c>
      <c r="D12413" s="5">
        <f t="shared" si="388"/>
        <v>3444.42</v>
      </c>
      <c r="E12413">
        <v>3780.93</v>
      </c>
      <c r="F12413" s="1789">
        <v>8.8999999999999996E-2</v>
      </c>
      <c r="G12413">
        <f t="shared" si="389"/>
        <v>3444.42</v>
      </c>
    </row>
    <row r="12414" spans="1:7" ht="12.75" customHeight="1">
      <c r="A12414" s="3">
        <v>101412</v>
      </c>
      <c r="B12414" s="4" t="s">
        <v>12416</v>
      </c>
      <c r="C12414" s="3" t="s">
        <v>156</v>
      </c>
      <c r="D12414" s="5">
        <f t="shared" si="388"/>
        <v>4224.16</v>
      </c>
      <c r="E12414">
        <v>4636.84</v>
      </c>
      <c r="F12414" s="1789">
        <v>8.8999999999999996E-2</v>
      </c>
      <c r="G12414">
        <f t="shared" si="389"/>
        <v>4224.16</v>
      </c>
    </row>
    <row r="12415" spans="1:7" ht="12.75" customHeight="1">
      <c r="A12415" s="3">
        <v>101413</v>
      </c>
      <c r="B12415" s="4" t="s">
        <v>12146</v>
      </c>
      <c r="C12415" s="3" t="s">
        <v>156</v>
      </c>
      <c r="D12415" s="5">
        <f t="shared" si="388"/>
        <v>3871.75</v>
      </c>
      <c r="E12415">
        <v>4250</v>
      </c>
      <c r="F12415" s="1789">
        <v>8.8999999999999996E-2</v>
      </c>
      <c r="G12415">
        <f t="shared" si="389"/>
        <v>3871.75</v>
      </c>
    </row>
    <row r="12416" spans="1:7" ht="12.75" customHeight="1">
      <c r="A12416" s="3">
        <v>101414</v>
      </c>
      <c r="B12416" s="4" t="s">
        <v>12417</v>
      </c>
      <c r="C12416" s="3" t="s">
        <v>156</v>
      </c>
      <c r="D12416" s="5">
        <f t="shared" si="388"/>
        <v>4130.95</v>
      </c>
      <c r="E12416">
        <v>4534.53</v>
      </c>
      <c r="F12416" s="1789">
        <v>8.8999999999999996E-2</v>
      </c>
      <c r="G12416">
        <f t="shared" si="389"/>
        <v>4130.95</v>
      </c>
    </row>
    <row r="12417" spans="1:7" ht="12.75" customHeight="1">
      <c r="A12417" s="3">
        <v>101415</v>
      </c>
      <c r="B12417" s="4" t="s">
        <v>12418</v>
      </c>
      <c r="C12417" s="3" t="s">
        <v>156</v>
      </c>
      <c r="D12417" s="5">
        <f t="shared" si="388"/>
        <v>4913.3</v>
      </c>
      <c r="E12417">
        <v>5393.31</v>
      </c>
      <c r="F12417" s="1789">
        <v>8.8999999999999996E-2</v>
      </c>
      <c r="G12417">
        <f t="shared" si="389"/>
        <v>4913.3</v>
      </c>
    </row>
    <row r="12418" spans="1:7" ht="12.75" customHeight="1">
      <c r="A12418" s="3">
        <v>101416</v>
      </c>
      <c r="B12418" s="4" t="s">
        <v>12321</v>
      </c>
      <c r="C12418" s="3" t="s">
        <v>156</v>
      </c>
      <c r="D12418" s="5">
        <f t="shared" si="388"/>
        <v>4494.32</v>
      </c>
      <c r="E12418">
        <v>4933.3999999999996</v>
      </c>
      <c r="F12418" s="1789">
        <v>8.8999999999999996E-2</v>
      </c>
      <c r="G12418">
        <f t="shared" si="389"/>
        <v>4494.32</v>
      </c>
    </row>
    <row r="12419" spans="1:7" ht="12.75" customHeight="1">
      <c r="A12419" s="3">
        <v>101417</v>
      </c>
      <c r="B12419" s="4" t="s">
        <v>12419</v>
      </c>
      <c r="C12419" s="3" t="s">
        <v>156</v>
      </c>
      <c r="D12419" s="5">
        <f t="shared" si="388"/>
        <v>3769.28</v>
      </c>
      <c r="E12419">
        <v>4137.5200000000004</v>
      </c>
      <c r="F12419" s="1789">
        <v>8.8999999999999996E-2</v>
      </c>
      <c r="G12419">
        <f t="shared" si="389"/>
        <v>3769.28</v>
      </c>
    </row>
    <row r="12420" spans="1:7" ht="12.75" customHeight="1">
      <c r="A12420" s="3">
        <v>101418</v>
      </c>
      <c r="B12420" s="4" t="s">
        <v>12420</v>
      </c>
      <c r="C12420" s="3" t="s">
        <v>156</v>
      </c>
      <c r="D12420" s="5">
        <f t="shared" si="388"/>
        <v>3635.73</v>
      </c>
      <c r="E12420">
        <v>3990.93</v>
      </c>
      <c r="F12420" s="1789">
        <v>8.8999999999999996E-2</v>
      </c>
      <c r="G12420">
        <f t="shared" si="389"/>
        <v>3635.73</v>
      </c>
    </row>
    <row r="12421" spans="1:7" ht="12.75" customHeight="1">
      <c r="A12421" s="3">
        <v>101419</v>
      </c>
      <c r="B12421" s="4" t="s">
        <v>12421</v>
      </c>
      <c r="C12421" s="3" t="s">
        <v>156</v>
      </c>
      <c r="D12421" s="5">
        <f t="shared" si="388"/>
        <v>3100.32</v>
      </c>
      <c r="E12421">
        <v>3403.21</v>
      </c>
      <c r="F12421" s="1789">
        <v>8.8999999999999996E-2</v>
      </c>
      <c r="G12421">
        <f t="shared" si="389"/>
        <v>3100.32</v>
      </c>
    </row>
    <row r="12422" spans="1:7" ht="12.75" customHeight="1">
      <c r="A12422" s="3">
        <v>101420</v>
      </c>
      <c r="B12422" s="4" t="s">
        <v>12422</v>
      </c>
      <c r="C12422" s="3" t="s">
        <v>156</v>
      </c>
      <c r="D12422" s="5">
        <f t="shared" si="388"/>
        <v>5079.22</v>
      </c>
      <c r="E12422">
        <v>5575.44</v>
      </c>
      <c r="F12422" s="1789">
        <v>8.8999999999999996E-2</v>
      </c>
      <c r="G12422">
        <f t="shared" si="389"/>
        <v>5079.22</v>
      </c>
    </row>
    <row r="12423" spans="1:7" ht="12.75" customHeight="1">
      <c r="A12423" s="3">
        <v>101421</v>
      </c>
      <c r="B12423" s="4" t="s">
        <v>12423</v>
      </c>
      <c r="C12423" s="3" t="s">
        <v>156</v>
      </c>
      <c r="D12423" s="5">
        <f t="shared" si="388"/>
        <v>5939</v>
      </c>
      <c r="E12423">
        <v>6519.21</v>
      </c>
      <c r="F12423" s="1789">
        <v>8.8999999999999996E-2</v>
      </c>
      <c r="G12423">
        <f t="shared" si="389"/>
        <v>5939</v>
      </c>
    </row>
    <row r="12424" spans="1:7" ht="12.75" customHeight="1">
      <c r="A12424" s="3">
        <v>101422</v>
      </c>
      <c r="B12424" s="4" t="s">
        <v>12424</v>
      </c>
      <c r="C12424" s="3" t="s">
        <v>156</v>
      </c>
      <c r="D12424" s="5">
        <f t="shared" si="388"/>
        <v>4212.7</v>
      </c>
      <c r="E12424">
        <v>4624.26</v>
      </c>
      <c r="F12424" s="1789">
        <v>8.8999999999999996E-2</v>
      </c>
      <c r="G12424">
        <f t="shared" si="389"/>
        <v>4212.7</v>
      </c>
    </row>
    <row r="12425" spans="1:7" ht="12.75" customHeight="1">
      <c r="A12425" s="3">
        <v>101424</v>
      </c>
      <c r="B12425" s="4" t="s">
        <v>12425</v>
      </c>
      <c r="C12425" s="3" t="s">
        <v>156</v>
      </c>
      <c r="D12425" s="5">
        <f t="shared" si="388"/>
        <v>5489.25</v>
      </c>
      <c r="E12425">
        <v>6025.53</v>
      </c>
      <c r="F12425" s="1789">
        <v>8.8999999999999996E-2</v>
      </c>
      <c r="G12425">
        <f t="shared" si="389"/>
        <v>5489.25</v>
      </c>
    </row>
    <row r="12426" spans="1:7" ht="12.75" customHeight="1">
      <c r="A12426" s="3">
        <v>101425</v>
      </c>
      <c r="B12426" s="4" t="s">
        <v>12426</v>
      </c>
      <c r="C12426" s="3" t="s">
        <v>156</v>
      </c>
      <c r="D12426" s="5">
        <f t="shared" si="388"/>
        <v>2944.46</v>
      </c>
      <c r="E12426">
        <v>3232.12</v>
      </c>
      <c r="F12426" s="1789">
        <v>8.8999999999999996E-2</v>
      </c>
      <c r="G12426">
        <f t="shared" si="389"/>
        <v>2944.46</v>
      </c>
    </row>
    <row r="12427" spans="1:7" ht="12.75" customHeight="1">
      <c r="A12427" s="3">
        <v>101426</v>
      </c>
      <c r="B12427" s="4" t="s">
        <v>12427</v>
      </c>
      <c r="C12427" s="3" t="s">
        <v>156</v>
      </c>
      <c r="D12427" s="5">
        <f t="shared" si="388"/>
        <v>3359.79</v>
      </c>
      <c r="E12427">
        <v>3688.03</v>
      </c>
      <c r="F12427" s="1789">
        <v>8.8999999999999996E-2</v>
      </c>
      <c r="G12427">
        <f t="shared" si="389"/>
        <v>3359.79</v>
      </c>
    </row>
    <row r="12428" spans="1:7" ht="12.75" customHeight="1">
      <c r="A12428" s="3">
        <v>101427</v>
      </c>
      <c r="B12428" s="4" t="s">
        <v>12158</v>
      </c>
      <c r="C12428" s="3" t="s">
        <v>156</v>
      </c>
      <c r="D12428" s="5">
        <f t="shared" si="388"/>
        <v>3469.71</v>
      </c>
      <c r="E12428">
        <v>3808.69</v>
      </c>
      <c r="F12428" s="1789">
        <v>8.8999999999999996E-2</v>
      </c>
      <c r="G12428">
        <f t="shared" si="389"/>
        <v>3469.71</v>
      </c>
    </row>
    <row r="12429" spans="1:7" ht="12.75" customHeight="1">
      <c r="A12429" s="3">
        <v>101428</v>
      </c>
      <c r="B12429" s="4" t="s">
        <v>12428</v>
      </c>
      <c r="C12429" s="3" t="s">
        <v>156</v>
      </c>
      <c r="D12429" s="5">
        <f t="shared" si="388"/>
        <v>3186.3</v>
      </c>
      <c r="E12429">
        <v>3497.59</v>
      </c>
      <c r="F12429" s="1789">
        <v>8.8999999999999996E-2</v>
      </c>
      <c r="G12429">
        <f t="shared" si="389"/>
        <v>3186.3</v>
      </c>
    </row>
    <row r="12430" spans="1:7" ht="12.75" customHeight="1">
      <c r="A12430" s="3">
        <v>101429</v>
      </c>
      <c r="B12430" s="4" t="s">
        <v>12429</v>
      </c>
      <c r="C12430" s="3" t="s">
        <v>156</v>
      </c>
      <c r="D12430" s="5">
        <f t="shared" si="388"/>
        <v>3443.1</v>
      </c>
      <c r="E12430">
        <v>3779.48</v>
      </c>
      <c r="F12430" s="1789">
        <v>8.8999999999999996E-2</v>
      </c>
      <c r="G12430">
        <f t="shared" si="389"/>
        <v>3443.1</v>
      </c>
    </row>
    <row r="12431" spans="1:7" ht="12.75" customHeight="1">
      <c r="A12431" s="3">
        <v>101430</v>
      </c>
      <c r="B12431" s="4" t="s">
        <v>12430</v>
      </c>
      <c r="C12431" s="3" t="s">
        <v>156</v>
      </c>
      <c r="D12431" s="5">
        <f t="shared" si="388"/>
        <v>3469.71</v>
      </c>
      <c r="E12431">
        <v>3808.69</v>
      </c>
      <c r="F12431" s="1789">
        <v>8.8999999999999996E-2</v>
      </c>
      <c r="G12431">
        <f t="shared" si="389"/>
        <v>3469.71</v>
      </c>
    </row>
    <row r="12432" spans="1:7" ht="12.75" customHeight="1">
      <c r="A12432" s="3">
        <v>101431</v>
      </c>
      <c r="B12432" s="4" t="s">
        <v>12161</v>
      </c>
      <c r="C12432" s="3" t="s">
        <v>156</v>
      </c>
      <c r="D12432" s="5">
        <f t="shared" si="388"/>
        <v>3916.66</v>
      </c>
      <c r="E12432">
        <v>4299.3</v>
      </c>
      <c r="F12432" s="1789">
        <v>8.8999999999999996E-2</v>
      </c>
      <c r="G12432">
        <f t="shared" si="389"/>
        <v>3916.66</v>
      </c>
    </row>
    <row r="12433" spans="1:7" ht="12.75" customHeight="1">
      <c r="A12433" s="3">
        <v>101432</v>
      </c>
      <c r="B12433" s="4" t="s">
        <v>12431</v>
      </c>
      <c r="C12433" s="3" t="s">
        <v>156</v>
      </c>
      <c r="D12433" s="5">
        <f t="shared" si="388"/>
        <v>3400.52</v>
      </c>
      <c r="E12433">
        <v>3732.74</v>
      </c>
      <c r="F12433" s="1789">
        <v>8.8999999999999996E-2</v>
      </c>
      <c r="G12433">
        <f t="shared" si="389"/>
        <v>3400.52</v>
      </c>
    </row>
    <row r="12434" spans="1:7" ht="12.75" customHeight="1">
      <c r="A12434" s="3">
        <v>101433</v>
      </c>
      <c r="B12434" s="4" t="s">
        <v>12163</v>
      </c>
      <c r="C12434" s="3" t="s">
        <v>156</v>
      </c>
      <c r="D12434" s="5">
        <f t="shared" si="388"/>
        <v>4051.08</v>
      </c>
      <c r="E12434">
        <v>4446.8599999999997</v>
      </c>
      <c r="F12434" s="1789">
        <v>8.8999999999999996E-2</v>
      </c>
      <c r="G12434">
        <f t="shared" si="389"/>
        <v>4051.08</v>
      </c>
    </row>
    <row r="12435" spans="1:7" ht="12.75" customHeight="1">
      <c r="A12435" s="3">
        <v>101434</v>
      </c>
      <c r="B12435" s="4" t="s">
        <v>12432</v>
      </c>
      <c r="C12435" s="3" t="s">
        <v>156</v>
      </c>
      <c r="D12435" s="5">
        <f t="shared" si="388"/>
        <v>3049.82</v>
      </c>
      <c r="E12435">
        <v>3347.78</v>
      </c>
      <c r="F12435" s="1789">
        <v>8.8999999999999996E-2</v>
      </c>
      <c r="G12435">
        <f t="shared" si="389"/>
        <v>3049.82</v>
      </c>
    </row>
    <row r="12436" spans="1:7" ht="12.75" customHeight="1">
      <c r="A12436" s="3">
        <v>101435</v>
      </c>
      <c r="B12436" s="4" t="s">
        <v>12433</v>
      </c>
      <c r="C12436" s="3" t="s">
        <v>156</v>
      </c>
      <c r="D12436" s="5">
        <f t="shared" si="388"/>
        <v>3520.84</v>
      </c>
      <c r="E12436">
        <v>3864.81</v>
      </c>
      <c r="F12436" s="1789">
        <v>8.8999999999999996E-2</v>
      </c>
      <c r="G12436">
        <f t="shared" si="389"/>
        <v>3520.84</v>
      </c>
    </row>
    <row r="12437" spans="1:7" ht="12.75" customHeight="1">
      <c r="A12437" s="3">
        <v>101436</v>
      </c>
      <c r="B12437" s="4" t="s">
        <v>12165</v>
      </c>
      <c r="C12437" s="3" t="s">
        <v>156</v>
      </c>
      <c r="D12437" s="5">
        <f t="shared" ref="D12437:D12458" si="390">G12437</f>
        <v>3103.75</v>
      </c>
      <c r="E12437">
        <v>3406.98</v>
      </c>
      <c r="F12437" s="1789">
        <v>8.8999999999999996E-2</v>
      </c>
      <c r="G12437">
        <f t="shared" ref="G12437:G12458" si="391">TRUNC((1-F12437)*E12437,2)</f>
        <v>3103.75</v>
      </c>
    </row>
    <row r="12438" spans="1:7" ht="12.75" customHeight="1">
      <c r="A12438" s="3">
        <v>101437</v>
      </c>
      <c r="B12438" s="4" t="s">
        <v>12434</v>
      </c>
      <c r="C12438" s="3" t="s">
        <v>156</v>
      </c>
      <c r="D12438" s="5">
        <f t="shared" si="390"/>
        <v>4652.43</v>
      </c>
      <c r="E12438">
        <v>5106.95</v>
      </c>
      <c r="F12438" s="1789">
        <v>8.8999999999999996E-2</v>
      </c>
      <c r="G12438">
        <f t="shared" si="391"/>
        <v>4652.43</v>
      </c>
    </row>
    <row r="12439" spans="1:7" ht="12.75" customHeight="1">
      <c r="A12439" s="3">
        <v>101438</v>
      </c>
      <c r="B12439" s="4" t="s">
        <v>12167</v>
      </c>
      <c r="C12439" s="3" t="s">
        <v>156</v>
      </c>
      <c r="D12439" s="5">
        <f t="shared" si="390"/>
        <v>4652.43</v>
      </c>
      <c r="E12439">
        <v>5106.95</v>
      </c>
      <c r="F12439" s="1789">
        <v>8.8999999999999996E-2</v>
      </c>
      <c r="G12439">
        <f t="shared" si="391"/>
        <v>4652.43</v>
      </c>
    </row>
    <row r="12440" spans="1:7" ht="12.75" customHeight="1">
      <c r="A12440" s="3">
        <v>101439</v>
      </c>
      <c r="B12440" s="4" t="s">
        <v>12168</v>
      </c>
      <c r="C12440" s="3" t="s">
        <v>156</v>
      </c>
      <c r="D12440" s="5">
        <f t="shared" si="390"/>
        <v>3469.71</v>
      </c>
      <c r="E12440">
        <v>3808.69</v>
      </c>
      <c r="F12440" s="1789">
        <v>8.8999999999999996E-2</v>
      </c>
      <c r="G12440">
        <f t="shared" si="391"/>
        <v>3469.71</v>
      </c>
    </row>
    <row r="12441" spans="1:7" ht="12.75" customHeight="1">
      <c r="A12441" s="3">
        <v>101440</v>
      </c>
      <c r="B12441" s="4" t="s">
        <v>12435</v>
      </c>
      <c r="C12441" s="3" t="s">
        <v>156</v>
      </c>
      <c r="D12441" s="5">
        <f t="shared" si="390"/>
        <v>3469.71</v>
      </c>
      <c r="E12441">
        <v>3808.69</v>
      </c>
      <c r="F12441" s="1789">
        <v>8.8999999999999996E-2</v>
      </c>
      <c r="G12441">
        <f t="shared" si="391"/>
        <v>3469.71</v>
      </c>
    </row>
    <row r="12442" spans="1:7" ht="12.75" customHeight="1">
      <c r="A12442" s="3">
        <v>101441</v>
      </c>
      <c r="B12442" s="4" t="s">
        <v>12170</v>
      </c>
      <c r="C12442" s="3" t="s">
        <v>156</v>
      </c>
      <c r="D12442" s="5">
        <f t="shared" si="390"/>
        <v>3443.1</v>
      </c>
      <c r="E12442">
        <v>3779.48</v>
      </c>
      <c r="F12442" s="1789">
        <v>8.8999999999999996E-2</v>
      </c>
      <c r="G12442">
        <f t="shared" si="391"/>
        <v>3443.1</v>
      </c>
    </row>
    <row r="12443" spans="1:7" ht="12.75" customHeight="1">
      <c r="A12443" s="3">
        <v>101443</v>
      </c>
      <c r="B12443" s="4" t="s">
        <v>12171</v>
      </c>
      <c r="C12443" s="3" t="s">
        <v>156</v>
      </c>
      <c r="D12443" s="5">
        <f t="shared" si="390"/>
        <v>4652.43</v>
      </c>
      <c r="E12443">
        <v>5106.95</v>
      </c>
      <c r="F12443" s="1789">
        <v>8.8999999999999996E-2</v>
      </c>
      <c r="G12443">
        <f t="shared" si="391"/>
        <v>4652.43</v>
      </c>
    </row>
    <row r="12444" spans="1:7" ht="12.75" customHeight="1">
      <c r="A12444" s="3">
        <v>101444</v>
      </c>
      <c r="B12444" s="4" t="s">
        <v>12174</v>
      </c>
      <c r="C12444" s="3" t="s">
        <v>156</v>
      </c>
      <c r="D12444" s="5">
        <f t="shared" si="390"/>
        <v>4130.95</v>
      </c>
      <c r="E12444">
        <v>4534.53</v>
      </c>
      <c r="F12444" s="1789">
        <v>8.8999999999999996E-2</v>
      </c>
      <c r="G12444">
        <f t="shared" si="391"/>
        <v>4130.95</v>
      </c>
    </row>
    <row r="12445" spans="1:7" ht="12.75" customHeight="1">
      <c r="A12445" s="3">
        <v>101445</v>
      </c>
      <c r="B12445" s="4" t="s">
        <v>12175</v>
      </c>
      <c r="C12445" s="3" t="s">
        <v>156</v>
      </c>
      <c r="D12445" s="5">
        <f t="shared" si="390"/>
        <v>4148.55</v>
      </c>
      <c r="E12445">
        <v>4553.8500000000004</v>
      </c>
      <c r="F12445" s="1789">
        <v>8.8999999999999996E-2</v>
      </c>
      <c r="G12445">
        <f t="shared" si="391"/>
        <v>4148.55</v>
      </c>
    </row>
    <row r="12446" spans="1:7" ht="12.75" customHeight="1">
      <c r="A12446" s="3">
        <v>101446</v>
      </c>
      <c r="B12446" s="4" t="s">
        <v>12176</v>
      </c>
      <c r="C12446" s="3" t="s">
        <v>156</v>
      </c>
      <c r="D12446" s="5">
        <f t="shared" si="390"/>
        <v>4411.6899999999996</v>
      </c>
      <c r="E12446">
        <v>4842.6899999999996</v>
      </c>
      <c r="F12446" s="1789">
        <v>8.8999999999999996E-2</v>
      </c>
      <c r="G12446">
        <f t="shared" si="391"/>
        <v>4411.6899999999996</v>
      </c>
    </row>
    <row r="12447" spans="1:7" ht="12.75" customHeight="1">
      <c r="A12447" s="3">
        <v>101447</v>
      </c>
      <c r="B12447" s="4" t="s">
        <v>12177</v>
      </c>
      <c r="C12447" s="3" t="s">
        <v>156</v>
      </c>
      <c r="D12447" s="5">
        <f t="shared" si="390"/>
        <v>4318.71</v>
      </c>
      <c r="E12447">
        <v>4740.63</v>
      </c>
      <c r="F12447" s="1789">
        <v>8.8999999999999996E-2</v>
      </c>
      <c r="G12447">
        <f t="shared" si="391"/>
        <v>4318.71</v>
      </c>
    </row>
    <row r="12448" spans="1:7" ht="12.75" customHeight="1">
      <c r="A12448" s="3">
        <v>101448</v>
      </c>
      <c r="B12448" s="4" t="s">
        <v>12178</v>
      </c>
      <c r="C12448" s="3" t="s">
        <v>156</v>
      </c>
      <c r="D12448" s="5">
        <f t="shared" si="390"/>
        <v>4411.6899999999996</v>
      </c>
      <c r="E12448">
        <v>4842.6899999999996</v>
      </c>
      <c r="F12448" s="1789">
        <v>8.8999999999999996E-2</v>
      </c>
      <c r="G12448">
        <f t="shared" si="391"/>
        <v>4411.6899999999996</v>
      </c>
    </row>
    <row r="12449" spans="1:7" ht="12.75" customHeight="1">
      <c r="A12449" s="3">
        <v>101449</v>
      </c>
      <c r="B12449" s="4" t="s">
        <v>12436</v>
      </c>
      <c r="C12449" s="3" t="s">
        <v>156</v>
      </c>
      <c r="D12449" s="5">
        <f t="shared" si="390"/>
        <v>3382.67</v>
      </c>
      <c r="E12449">
        <v>3713.15</v>
      </c>
      <c r="F12449" s="1789">
        <v>8.8999999999999996E-2</v>
      </c>
      <c r="G12449">
        <f t="shared" si="391"/>
        <v>3382.67</v>
      </c>
    </row>
    <row r="12450" spans="1:7" ht="12.75" customHeight="1">
      <c r="A12450" s="3">
        <v>101451</v>
      </c>
      <c r="B12450" s="4" t="s">
        <v>12181</v>
      </c>
      <c r="C12450" s="3" t="s">
        <v>156</v>
      </c>
      <c r="D12450" s="5">
        <f t="shared" si="390"/>
        <v>4122.16</v>
      </c>
      <c r="E12450">
        <v>4524.88</v>
      </c>
      <c r="F12450" s="1789">
        <v>8.8999999999999996E-2</v>
      </c>
      <c r="G12450">
        <f t="shared" si="391"/>
        <v>4122.16</v>
      </c>
    </row>
    <row r="12451" spans="1:7" ht="12.75" customHeight="1">
      <c r="A12451" s="3">
        <v>101452</v>
      </c>
      <c r="B12451" s="4" t="s">
        <v>12437</v>
      </c>
      <c r="C12451" s="3" t="s">
        <v>156</v>
      </c>
      <c r="D12451" s="5">
        <f t="shared" si="390"/>
        <v>3303.44</v>
      </c>
      <c r="E12451">
        <v>3626.17</v>
      </c>
      <c r="F12451" s="1789">
        <v>8.8999999999999996E-2</v>
      </c>
      <c r="G12451">
        <f t="shared" si="391"/>
        <v>3303.44</v>
      </c>
    </row>
    <row r="12452" spans="1:7" ht="12.75" customHeight="1">
      <c r="A12452" s="3">
        <v>101453</v>
      </c>
      <c r="B12452" s="4" t="s">
        <v>12183</v>
      </c>
      <c r="C12452" s="3" t="s">
        <v>156</v>
      </c>
      <c r="D12452" s="5">
        <f t="shared" si="390"/>
        <v>4287.62</v>
      </c>
      <c r="E12452">
        <v>4706.5</v>
      </c>
      <c r="F12452" s="1789">
        <v>8.8999999999999996E-2</v>
      </c>
      <c r="G12452">
        <f t="shared" si="391"/>
        <v>4287.62</v>
      </c>
    </row>
    <row r="12453" spans="1:7" ht="12.75" customHeight="1">
      <c r="A12453" s="3">
        <v>101454</v>
      </c>
      <c r="B12453" s="4" t="s">
        <v>12438</v>
      </c>
      <c r="C12453" s="3" t="s">
        <v>156</v>
      </c>
      <c r="D12453" s="5">
        <f t="shared" si="390"/>
        <v>4848.7</v>
      </c>
      <c r="E12453">
        <v>5322.4</v>
      </c>
      <c r="F12453" s="1789">
        <v>8.8999999999999996E-2</v>
      </c>
      <c r="G12453">
        <f t="shared" si="391"/>
        <v>4848.7</v>
      </c>
    </row>
    <row r="12454" spans="1:7" ht="12.75" customHeight="1">
      <c r="A12454" s="3">
        <v>101456</v>
      </c>
      <c r="B12454" s="4" t="s">
        <v>12439</v>
      </c>
      <c r="C12454" s="3" t="s">
        <v>156</v>
      </c>
      <c r="D12454" s="5">
        <f t="shared" si="390"/>
        <v>4774.3500000000004</v>
      </c>
      <c r="E12454">
        <v>5240.79</v>
      </c>
      <c r="F12454" s="1789">
        <v>8.8999999999999996E-2</v>
      </c>
      <c r="G12454">
        <f t="shared" si="391"/>
        <v>4774.3500000000004</v>
      </c>
    </row>
    <row r="12455" spans="1:7" ht="12.75" customHeight="1">
      <c r="A12455" s="3">
        <v>101457</v>
      </c>
      <c r="B12455" s="4" t="s">
        <v>12440</v>
      </c>
      <c r="C12455" s="3" t="s">
        <v>156</v>
      </c>
      <c r="D12455" s="5">
        <f t="shared" si="390"/>
        <v>4105.07</v>
      </c>
      <c r="E12455">
        <v>4506.12</v>
      </c>
      <c r="F12455" s="1789">
        <v>8.8999999999999996E-2</v>
      </c>
      <c r="G12455">
        <f t="shared" si="391"/>
        <v>4105.07</v>
      </c>
    </row>
    <row r="12456" spans="1:7" ht="12.75" customHeight="1">
      <c r="A12456" s="3">
        <v>101458</v>
      </c>
      <c r="B12456" s="4" t="s">
        <v>12441</v>
      </c>
      <c r="C12456" s="3" t="s">
        <v>156</v>
      </c>
      <c r="D12456" s="5">
        <f t="shared" si="390"/>
        <v>4060.09</v>
      </c>
      <c r="E12456">
        <v>4456.74</v>
      </c>
      <c r="F12456" s="1789">
        <v>8.8999999999999996E-2</v>
      </c>
      <c r="G12456">
        <f t="shared" si="391"/>
        <v>4060.09</v>
      </c>
    </row>
    <row r="12457" spans="1:7" ht="12.75" customHeight="1">
      <c r="A12457" s="3">
        <v>101459</v>
      </c>
      <c r="B12457" s="4" t="s">
        <v>12189</v>
      </c>
      <c r="C12457" s="3" t="s">
        <v>156</v>
      </c>
      <c r="D12457" s="5">
        <f t="shared" si="390"/>
        <v>3688.48</v>
      </c>
      <c r="E12457">
        <v>4048.83</v>
      </c>
      <c r="F12457" s="1789">
        <v>8.8999999999999996E-2</v>
      </c>
      <c r="G12457">
        <f t="shared" si="391"/>
        <v>3688.48</v>
      </c>
    </row>
    <row r="12458" spans="1:7" ht="12.75" customHeight="1">
      <c r="A12458" s="3">
        <v>101460</v>
      </c>
      <c r="B12458" s="4" t="s">
        <v>12312</v>
      </c>
      <c r="C12458" s="3" t="s">
        <v>156</v>
      </c>
      <c r="D12458" s="5">
        <f t="shared" si="390"/>
        <v>3360.05</v>
      </c>
      <c r="E12458">
        <v>3688.32</v>
      </c>
      <c r="F12458" s="1789">
        <v>8.8999999999999996E-2</v>
      </c>
      <c r="G12458">
        <f t="shared" si="391"/>
        <v>3360.05</v>
      </c>
    </row>
    <row r="12459" spans="1:7" ht="12.75" customHeight="1">
      <c r="A12459" s="8"/>
      <c r="B12459" s="9"/>
      <c r="C12459" s="8"/>
      <c r="D12459" s="10"/>
    </row>
  </sheetData>
  <mergeCells count="1">
    <mergeCell ref="A1:D1"/>
  </mergeCells>
  <pageMargins left="0.511811024" right="0.511811024" top="0.78740157499999996" bottom="0.78740157499999996" header="0" footer="0"/>
  <pageSetup paperSize="9" scale="8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pageSetUpPr fitToPage="1"/>
  </sheetPr>
  <dimension ref="A1:AG2895"/>
  <sheetViews>
    <sheetView topLeftCell="A1248" workbookViewId="0">
      <selection activeCell="AF1258" sqref="AF1258"/>
    </sheetView>
  </sheetViews>
  <sheetFormatPr defaultColWidth="12.5703125" defaultRowHeight="15" customHeight="1"/>
  <cols>
    <col min="1" max="1" width="19.140625" customWidth="1"/>
    <col min="2" max="2" width="9.7109375" customWidth="1"/>
    <col min="3" max="3" width="16.42578125" customWidth="1"/>
    <col min="4" max="4" width="71.7109375" customWidth="1"/>
    <col min="5" max="5" width="9.42578125" customWidth="1"/>
    <col min="6" max="6" width="10.5703125" customWidth="1"/>
    <col min="7" max="7" width="13.140625" customWidth="1"/>
    <col min="8" max="8" width="18.5703125" customWidth="1"/>
    <col min="9" max="9" width="25.7109375" hidden="1" customWidth="1"/>
    <col min="10" max="10" width="13.7109375" hidden="1" customWidth="1"/>
    <col min="11" max="11" width="40.140625" hidden="1" customWidth="1"/>
    <col min="12" max="12" width="13.42578125" hidden="1" customWidth="1"/>
    <col min="13" max="13" width="68.28515625" hidden="1" customWidth="1"/>
    <col min="14" max="26" width="9.140625" hidden="1" customWidth="1"/>
    <col min="27" max="27" width="46.42578125" hidden="1" customWidth="1"/>
    <col min="28" max="28" width="9.140625" hidden="1" customWidth="1"/>
    <col min="29" max="30" width="0" hidden="1" customWidth="1"/>
    <col min="32" max="32" width="13.28515625" bestFit="1" customWidth="1"/>
  </cols>
  <sheetData>
    <row r="1" spans="1:31">
      <c r="A1" s="259" t="str">
        <f>'Medição '!V5</f>
        <v>OBRA:</v>
      </c>
      <c r="B1" s="2993" t="str">
        <f>'Medição '!W5</f>
        <v>COMPLEXO SUNSET DO PARQUE NOVO MATO GROSSO</v>
      </c>
      <c r="C1" s="2994"/>
      <c r="D1" s="2994"/>
      <c r="E1" s="2994"/>
      <c r="F1" s="2994"/>
      <c r="G1" s="2994"/>
      <c r="H1" s="2995"/>
      <c r="I1" s="260"/>
      <c r="J1" s="261"/>
      <c r="K1" s="262"/>
      <c r="L1" s="262"/>
      <c r="M1" s="261"/>
      <c r="N1" s="261"/>
      <c r="O1" s="261"/>
      <c r="P1" s="261"/>
      <c r="Q1" s="261"/>
      <c r="R1" s="261"/>
      <c r="S1" s="261"/>
      <c r="T1" s="261"/>
      <c r="U1" s="261"/>
      <c r="V1" s="261"/>
      <c r="W1" s="261"/>
      <c r="X1" s="261"/>
      <c r="Y1" s="261"/>
      <c r="Z1" s="261"/>
      <c r="AA1" s="261"/>
      <c r="AB1" s="261"/>
    </row>
    <row r="2" spans="1:31">
      <c r="A2" s="263" t="e">
        <f>'Medição '!$V$6:$AB$6</f>
        <v>#VALUE!</v>
      </c>
      <c r="B2" s="2996" t="str">
        <f>'Medição '!W6</f>
        <v>MT 251, KM 11, S/N, ÁREA RURAL - PARQUE NOVO MATO GROSSO, CEP 78099-899</v>
      </c>
      <c r="C2" s="2997"/>
      <c r="D2" s="2997"/>
      <c r="E2" s="2997"/>
      <c r="F2" s="2997"/>
      <c r="G2" s="2997"/>
      <c r="H2" s="2998"/>
      <c r="J2" s="261"/>
      <c r="K2" s="261"/>
      <c r="L2" s="261"/>
      <c r="M2" s="261"/>
      <c r="N2" s="261"/>
      <c r="O2" s="261"/>
      <c r="P2" s="261"/>
      <c r="Q2" s="261"/>
      <c r="R2" s="261"/>
      <c r="S2" s="261"/>
      <c r="T2" s="261"/>
      <c r="U2" s="261"/>
      <c r="V2" s="261"/>
      <c r="W2" s="261"/>
      <c r="X2" s="261"/>
      <c r="Y2" s="261"/>
      <c r="Z2" s="261"/>
      <c r="AA2" s="261"/>
      <c r="AB2" s="261"/>
    </row>
    <row r="3" spans="1:31">
      <c r="A3" s="263" t="e">
        <f>'Medição '!$V$7:$AB$7</f>
        <v>#VALUE!</v>
      </c>
      <c r="B3" s="2996" t="str">
        <f>'Medição '!W7</f>
        <v>CUIABÁ - MT</v>
      </c>
      <c r="C3" s="2997"/>
      <c r="D3" s="2997"/>
      <c r="E3" s="2997"/>
      <c r="F3" s="2997"/>
      <c r="G3" s="2997"/>
      <c r="H3" s="2998"/>
      <c r="I3" s="260"/>
      <c r="J3" s="261"/>
      <c r="K3" s="261"/>
      <c r="L3" s="261"/>
      <c r="M3" s="261"/>
      <c r="N3" s="261"/>
      <c r="O3" s="261"/>
      <c r="P3" s="261"/>
      <c r="Q3" s="261"/>
      <c r="R3" s="261"/>
      <c r="S3" s="261"/>
      <c r="T3" s="261"/>
      <c r="U3" s="261"/>
      <c r="V3" s="261"/>
      <c r="W3" s="261"/>
      <c r="X3" s="261"/>
      <c r="Y3" s="261"/>
      <c r="Z3" s="261"/>
      <c r="AA3" s="261"/>
      <c r="AB3" s="261"/>
    </row>
    <row r="4" spans="1:31">
      <c r="A4" s="263" t="e">
        <f>'Medição '!$V$8:$AB$8</f>
        <v>#VALUE!</v>
      </c>
      <c r="B4" s="2999" t="str">
        <f>'Medição '!W8</f>
        <v>CONTRATAÇÃO DE EMPRESA ESPECIALIZADA PARA EXECUÇÃO DAS OBRAS DO "COMPLEXO SUNSET (WAKE BAR, PRAÇA SUNSET, QUIOSQUE, BANHEIROS DE APOIO E INFRA DE CONTÊINER) DO PARQUE NOVO MATO GROSSO"</v>
      </c>
      <c r="C4" s="2997"/>
      <c r="D4" s="2997"/>
      <c r="E4" s="2997"/>
      <c r="F4" s="2997"/>
      <c r="G4" s="2997"/>
      <c r="H4" s="2998"/>
      <c r="I4" s="260"/>
      <c r="J4" s="261"/>
      <c r="K4" s="261"/>
      <c r="L4" s="261"/>
      <c r="M4" s="261"/>
      <c r="N4" s="261"/>
      <c r="O4" s="261"/>
      <c r="P4" s="261"/>
      <c r="Q4" s="261"/>
      <c r="R4" s="261"/>
      <c r="S4" s="261"/>
      <c r="T4" s="261"/>
      <c r="U4" s="261"/>
      <c r="V4" s="261"/>
      <c r="W4" s="261"/>
      <c r="X4" s="261"/>
      <c r="Y4" s="261"/>
      <c r="Z4" s="261"/>
      <c r="AA4" s="261"/>
      <c r="AB4" s="261"/>
    </row>
    <row r="5" spans="1:31" ht="23.25">
      <c r="A5" s="3000" t="s">
        <v>14465</v>
      </c>
      <c r="B5" s="3001"/>
      <c r="C5" s="3001"/>
      <c r="D5" s="3001"/>
      <c r="E5" s="3001"/>
      <c r="F5" s="3001"/>
      <c r="G5" s="3001"/>
      <c r="H5" s="3002"/>
      <c r="I5" s="264"/>
      <c r="J5" s="262"/>
      <c r="K5" s="262"/>
      <c r="L5" s="262"/>
      <c r="M5" s="262"/>
      <c r="N5" s="262"/>
      <c r="O5" s="262"/>
      <c r="P5" s="262"/>
      <c r="Q5" s="262"/>
      <c r="R5" s="262"/>
      <c r="S5" s="262"/>
      <c r="T5" s="262"/>
      <c r="U5" s="262"/>
      <c r="V5" s="262"/>
      <c r="W5" s="262"/>
      <c r="X5" s="262"/>
      <c r="Y5" s="262"/>
      <c r="Z5" s="262"/>
      <c r="AA5" s="262"/>
      <c r="AB5" s="262"/>
    </row>
    <row r="6" spans="1:31" ht="25.5">
      <c r="A6" s="265"/>
      <c r="B6" s="266" t="s">
        <v>14466</v>
      </c>
      <c r="C6" s="267" t="s">
        <v>1</v>
      </c>
      <c r="D6" s="268" t="s">
        <v>14467</v>
      </c>
      <c r="E6" s="266" t="s">
        <v>6</v>
      </c>
      <c r="F6" s="266" t="s">
        <v>14468</v>
      </c>
      <c r="G6" s="266" t="s">
        <v>14469</v>
      </c>
      <c r="H6" s="269" t="s">
        <v>12615</v>
      </c>
      <c r="I6" s="264"/>
      <c r="J6" s="262"/>
      <c r="K6" s="262"/>
      <c r="L6" s="262"/>
      <c r="M6" s="262"/>
      <c r="N6" s="262"/>
      <c r="O6" s="262"/>
      <c r="P6" s="262"/>
      <c r="Q6" s="262"/>
      <c r="R6" s="262"/>
      <c r="S6" s="262"/>
      <c r="T6" s="262"/>
      <c r="U6" s="262"/>
      <c r="V6" s="262"/>
      <c r="W6" s="262"/>
      <c r="X6" s="262"/>
      <c r="Y6" s="262"/>
      <c r="Z6" s="262"/>
      <c r="AA6" s="262"/>
      <c r="AB6" s="262"/>
    </row>
    <row r="7" spans="1:31" ht="30" customHeight="1">
      <c r="A7" s="2992" t="s">
        <v>14470</v>
      </c>
      <c r="B7" s="2588"/>
      <c r="C7" s="2588"/>
      <c r="D7" s="2588"/>
      <c r="E7" s="2588"/>
      <c r="F7" s="2588"/>
      <c r="G7" s="2588"/>
      <c r="H7" s="2621"/>
      <c r="I7" s="264"/>
      <c r="J7" s="262"/>
      <c r="K7" s="262"/>
      <c r="L7" s="262"/>
      <c r="M7" s="262"/>
      <c r="N7" s="262"/>
      <c r="O7" s="262"/>
      <c r="P7" s="262"/>
      <c r="Q7" s="262"/>
      <c r="R7" s="262"/>
      <c r="S7" s="262"/>
      <c r="T7" s="262"/>
      <c r="U7" s="262"/>
      <c r="V7" s="262"/>
      <c r="W7" s="262"/>
      <c r="X7" s="262"/>
      <c r="Y7" s="262"/>
      <c r="Z7" s="262"/>
      <c r="AA7" s="262"/>
      <c r="AB7" s="262"/>
    </row>
    <row r="8" spans="1:31" ht="12.75">
      <c r="A8" s="271" t="s">
        <v>14471</v>
      </c>
      <c r="B8" s="272" t="s">
        <v>14472</v>
      </c>
      <c r="C8" s="273" t="s">
        <v>14473</v>
      </c>
      <c r="D8" s="274" t="s">
        <v>14474</v>
      </c>
      <c r="E8" s="272" t="s">
        <v>409</v>
      </c>
      <c r="F8" s="272"/>
      <c r="G8" s="272"/>
      <c r="H8" s="275">
        <f>SUM(H10:H17)</f>
        <v>483.89</v>
      </c>
      <c r="I8" s="276">
        <f>COUNTIF($C$8:$C8,C:C)</f>
        <v>1</v>
      </c>
      <c r="J8" s="262"/>
      <c r="K8" s="262"/>
      <c r="L8" s="262"/>
      <c r="M8" s="262"/>
      <c r="N8" s="262"/>
      <c r="O8" s="262"/>
      <c r="P8" s="262"/>
      <c r="Q8" s="262"/>
      <c r="R8" s="262"/>
      <c r="S8" s="262"/>
      <c r="T8" s="262"/>
      <c r="U8" s="262"/>
      <c r="V8" s="262"/>
      <c r="W8" s="262"/>
      <c r="X8" s="262"/>
      <c r="Y8" s="262"/>
      <c r="Z8" s="262"/>
      <c r="AA8" s="262"/>
      <c r="AB8" s="262"/>
    </row>
    <row r="9" spans="1:31" ht="12.75">
      <c r="A9" s="277" t="s">
        <v>14475</v>
      </c>
      <c r="B9" s="278" t="s">
        <v>14476</v>
      </c>
      <c r="C9" s="279">
        <v>103689</v>
      </c>
      <c r="D9" s="280" t="s">
        <v>14477</v>
      </c>
      <c r="E9" s="281"/>
      <c r="F9" s="282"/>
      <c r="G9" s="283"/>
      <c r="H9" s="284"/>
      <c r="I9" s="262"/>
      <c r="J9" s="262"/>
      <c r="K9" s="262"/>
      <c r="L9" s="262"/>
      <c r="M9" s="262"/>
      <c r="N9" s="262"/>
      <c r="O9" s="262"/>
      <c r="P9" s="262"/>
      <c r="Q9" s="262"/>
      <c r="R9" s="262"/>
      <c r="S9" s="262"/>
      <c r="T9" s="262"/>
      <c r="U9" s="262"/>
      <c r="V9" s="262"/>
      <c r="W9" s="262"/>
      <c r="X9" s="262"/>
      <c r="Y9" s="262"/>
      <c r="Z9" s="262"/>
      <c r="AA9" s="262"/>
      <c r="AB9" s="262"/>
    </row>
    <row r="10" spans="1:31" ht="25.5">
      <c r="A10" s="285" t="s">
        <v>14478</v>
      </c>
      <c r="B10" s="286" t="s">
        <v>14476</v>
      </c>
      <c r="C10" s="287">
        <v>94962</v>
      </c>
      <c r="D10" s="288" t="str">
        <f>IFERROR(VLOOKUP($C10,'24.08_ND'!$A:$D,2,0),)</f>
        <v>CONCRETO MAGRO PARA LASTRO, TRAÇO 1:4,5:4,5 (EM MASSA SECA DE CIMENTO/ AREIA MÉDIA/ BRITA 1) - PREPARO MECÂNICO COM BETONEIRA 400 L. AF_05/2021</v>
      </c>
      <c r="E10" s="289" t="str">
        <f>IFERROR(VLOOKUP($C10,'24.08_ND'!$A:$D,3,0),)</f>
        <v>M3</v>
      </c>
      <c r="F10" s="290">
        <v>6.3E-2</v>
      </c>
      <c r="G10" s="291">
        <f>IFERROR(VLOOKUP($C10,'24.08_ND'!$A:$D,4,0),)</f>
        <v>408.22</v>
      </c>
      <c r="H10" s="292">
        <f t="shared" ref="H10:H17" si="0">TRUNC(($F10*$G10),2)</f>
        <v>25.71</v>
      </c>
      <c r="I10" s="262"/>
      <c r="J10" s="262"/>
      <c r="K10" s="262"/>
      <c r="L10" s="262"/>
      <c r="M10" s="262"/>
      <c r="N10" s="262"/>
      <c r="O10" s="262"/>
      <c r="P10" s="262"/>
      <c r="Q10" s="262"/>
      <c r="R10" s="262"/>
      <c r="S10" s="262"/>
      <c r="T10" s="262"/>
      <c r="U10" s="262"/>
      <c r="V10" s="262"/>
      <c r="W10" s="262"/>
      <c r="X10" s="262"/>
      <c r="Y10" s="262"/>
      <c r="Z10" s="262"/>
      <c r="AA10" s="262"/>
      <c r="AB10" s="262"/>
      <c r="AD10" s="1791" t="e">
        <f>VLOOKUP(C10,'Medição '!$B$16:$F$1833,6,0)</f>
        <v>#N/A</v>
      </c>
      <c r="AE10" s="1791"/>
    </row>
    <row r="11" spans="1:31" ht="25.5">
      <c r="A11" s="285" t="s">
        <v>14478</v>
      </c>
      <c r="B11" s="286" t="s">
        <v>14476</v>
      </c>
      <c r="C11" s="287">
        <v>88262</v>
      </c>
      <c r="D11" s="288" t="str">
        <f>IFERROR(VLOOKUP($C11,'24.08_ND'!$A:$D,2,0),)</f>
        <v>CARPINTEIRO DE FORMAS COM ENCARGOS COMPLEMENTARES</v>
      </c>
      <c r="E11" s="289" t="str">
        <f>IFERROR(VLOOKUP($C11,'24.08_ND'!$A:$D,3,0),)</f>
        <v>H</v>
      </c>
      <c r="F11" s="290">
        <v>0.37290000000000001</v>
      </c>
      <c r="G11" s="291">
        <f>IFERROR(VLOOKUP($C11,'24.08_ND'!$A:$D,4,0),)</f>
        <v>23.01</v>
      </c>
      <c r="H11" s="292">
        <f t="shared" si="0"/>
        <v>8.58</v>
      </c>
      <c r="I11" s="262"/>
      <c r="J11" s="262"/>
      <c r="K11" s="262"/>
      <c r="L11" s="262"/>
      <c r="M11" s="262"/>
      <c r="N11" s="262"/>
      <c r="O11" s="262"/>
      <c r="P11" s="262"/>
      <c r="Q11" s="262"/>
      <c r="R11" s="262"/>
      <c r="S11" s="262"/>
      <c r="T11" s="262"/>
      <c r="U11" s="262"/>
      <c r="V11" s="262"/>
      <c r="W11" s="262"/>
      <c r="X11" s="262"/>
      <c r="Y11" s="262"/>
      <c r="Z11" s="262"/>
      <c r="AA11" s="262"/>
      <c r="AB11" s="262"/>
      <c r="AD11" s="1791" t="e">
        <f>VLOOKUP(C11,'Medição '!$B$16:$F$1833,6,0)</f>
        <v>#N/A</v>
      </c>
      <c r="AE11" s="1791"/>
    </row>
    <row r="12" spans="1:31" ht="25.5">
      <c r="A12" s="285" t="s">
        <v>14478</v>
      </c>
      <c r="B12" s="286" t="s">
        <v>14476</v>
      </c>
      <c r="C12" s="287">
        <v>93358</v>
      </c>
      <c r="D12" s="288" t="str">
        <f>IFERROR(VLOOKUP($C12,'24.08_ND'!$A:$D,2,0),)</f>
        <v>ESCAVAÇÃO MANUAL DE VALA COM PROFUNDIDADE MENOR OU IGUAL A 1,30 M. AF_02/2021</v>
      </c>
      <c r="E12" s="289" t="str">
        <f>IFERROR(VLOOKUP($C12,'24.08_ND'!$A:$D,3,0),)</f>
        <v>M3</v>
      </c>
      <c r="F12" s="290">
        <v>6.3E-2</v>
      </c>
      <c r="G12" s="291">
        <f>IFERROR(VLOOKUP($C12,'24.08_ND'!$A:$D,4,0),)</f>
        <v>73.22</v>
      </c>
      <c r="H12" s="292">
        <f t="shared" si="0"/>
        <v>4.6100000000000003</v>
      </c>
      <c r="I12" s="262"/>
      <c r="J12" s="262"/>
      <c r="K12" s="262"/>
      <c r="L12" s="262"/>
      <c r="M12" s="262"/>
      <c r="N12" s="262"/>
      <c r="O12" s="262"/>
      <c r="P12" s="262"/>
      <c r="Q12" s="262"/>
      <c r="R12" s="262"/>
      <c r="S12" s="262"/>
      <c r="T12" s="262"/>
      <c r="U12" s="262"/>
      <c r="V12" s="262"/>
      <c r="W12" s="262"/>
      <c r="X12" s="262"/>
      <c r="Y12" s="262"/>
      <c r="Z12" s="262"/>
      <c r="AA12" s="262"/>
      <c r="AB12" s="262"/>
      <c r="AD12" s="1791" t="e">
        <f>VLOOKUP(C12,'Medição '!$B$16:$F$1833,6,0)</f>
        <v>#REF!</v>
      </c>
      <c r="AE12" s="1791"/>
    </row>
    <row r="13" spans="1:31" ht="25.5">
      <c r="A13" s="285" t="s">
        <v>14478</v>
      </c>
      <c r="B13" s="286" t="s">
        <v>14476</v>
      </c>
      <c r="C13" s="287">
        <v>88316</v>
      </c>
      <c r="D13" s="288" t="str">
        <f>IFERROR(VLOOKUP($C13,'24.08_ND'!$A:$D,2,0),)</f>
        <v>SERVENTE COM ENCARGOS COMPLEMENTARES</v>
      </c>
      <c r="E13" s="289" t="str">
        <f>IFERROR(VLOOKUP($C13,'24.08_ND'!$A:$D,3,0),)</f>
        <v>H</v>
      </c>
      <c r="F13" s="290">
        <v>1.1186</v>
      </c>
      <c r="G13" s="291">
        <f>IFERROR(VLOOKUP($C13,'24.08_ND'!$A:$D,4,0),)</f>
        <v>18.510000000000002</v>
      </c>
      <c r="H13" s="292">
        <f t="shared" si="0"/>
        <v>20.7</v>
      </c>
      <c r="I13" s="262"/>
      <c r="J13" s="262"/>
      <c r="K13" s="262"/>
      <c r="L13" s="262"/>
      <c r="M13" s="262"/>
      <c r="N13" s="262"/>
      <c r="O13" s="262"/>
      <c r="P13" s="262"/>
      <c r="Q13" s="262"/>
      <c r="R13" s="262"/>
      <c r="S13" s="262"/>
      <c r="T13" s="262"/>
      <c r="U13" s="262"/>
      <c r="V13" s="262"/>
      <c r="W13" s="262"/>
      <c r="X13" s="262"/>
      <c r="Y13" s="262"/>
      <c r="Z13" s="262"/>
      <c r="AA13" s="262"/>
      <c r="AB13" s="262"/>
      <c r="AD13" s="1791" t="e">
        <f>VLOOKUP(C13,'Medição '!$B$16:$F$1833,6,0)</f>
        <v>#N/A</v>
      </c>
      <c r="AE13" s="1791"/>
    </row>
    <row r="14" spans="1:31" ht="12.75">
      <c r="A14" s="293" t="s">
        <v>14479</v>
      </c>
      <c r="B14" s="294" t="s">
        <v>14476</v>
      </c>
      <c r="C14" s="295">
        <v>5075</v>
      </c>
      <c r="D14" s="296" t="str">
        <f>IFERROR(VLOOKUP($C14,'24.08_ND'!$A:$D,2,0),)</f>
        <v>PREGO DE ACO POLIDO COM CABECA 18 X 30 (2 3/4 X 10)</v>
      </c>
      <c r="E14" s="297" t="str">
        <f>IFERROR(VLOOKUP($C14,'24.08_ND'!$A:$D,3,0),)</f>
        <v>KG</v>
      </c>
      <c r="F14" s="298">
        <v>0.11</v>
      </c>
      <c r="G14" s="299">
        <f>IFERROR(VLOOKUP($C14,'24.08_ND'!$A:$D,4,0),)</f>
        <v>16.309999999999999</v>
      </c>
      <c r="H14" s="300">
        <f t="shared" si="0"/>
        <v>1.79</v>
      </c>
      <c r="I14" s="262"/>
      <c r="J14" s="262"/>
      <c r="K14" s="262"/>
      <c r="L14" s="262"/>
      <c r="M14" s="262"/>
      <c r="N14" s="262"/>
      <c r="O14" s="262"/>
      <c r="P14" s="262"/>
      <c r="Q14" s="262"/>
      <c r="R14" s="262"/>
      <c r="S14" s="262"/>
      <c r="T14" s="262"/>
      <c r="U14" s="262"/>
      <c r="V14" s="262"/>
      <c r="W14" s="262"/>
      <c r="X14" s="262"/>
      <c r="Y14" s="262"/>
      <c r="Z14" s="262"/>
      <c r="AA14" s="262"/>
      <c r="AB14" s="262"/>
    </row>
    <row r="15" spans="1:31" ht="25.5">
      <c r="A15" s="293" t="s">
        <v>14479</v>
      </c>
      <c r="B15" s="294" t="s">
        <v>14476</v>
      </c>
      <c r="C15" s="295">
        <v>4417</v>
      </c>
      <c r="D15" s="296" t="str">
        <f>IFERROR(VLOOKUP($C15,'24.08_ND'!$A:$D,2,0),)</f>
        <v>SARRAFO NAO APARELHADO *2,5 X 7* CM, EM MACARANDUBA/MASSARANDUBA, ANGELIM, PEROBA-ROSA OU EQUIVALENTE DA REGIAO - BRUTA</v>
      </c>
      <c r="E15" s="297" t="str">
        <f>IFERROR(VLOOKUP($C15,'24.08_ND'!$A:$D,3,0),)</f>
        <v>M</v>
      </c>
      <c r="F15" s="298">
        <v>3.2082999999999999</v>
      </c>
      <c r="G15" s="299">
        <f>IFERROR(VLOOKUP($C15,'24.08_ND'!$A:$D,4,0),)</f>
        <v>5.84</v>
      </c>
      <c r="H15" s="300">
        <f t="shared" si="0"/>
        <v>18.73</v>
      </c>
      <c r="I15" s="262"/>
      <c r="J15" s="262"/>
      <c r="K15" s="262"/>
      <c r="L15" s="262"/>
      <c r="M15" s="262"/>
      <c r="N15" s="262"/>
      <c r="O15" s="262"/>
      <c r="P15" s="262"/>
      <c r="Q15" s="262"/>
      <c r="R15" s="262"/>
      <c r="S15" s="262"/>
      <c r="T15" s="262"/>
      <c r="U15" s="262"/>
      <c r="V15" s="262"/>
      <c r="W15" s="262"/>
      <c r="X15" s="262"/>
      <c r="Y15" s="262"/>
      <c r="Z15" s="262"/>
      <c r="AA15" s="262"/>
      <c r="AB15" s="262"/>
    </row>
    <row r="16" spans="1:31" ht="12.75">
      <c r="A16" s="293" t="s">
        <v>14479</v>
      </c>
      <c r="B16" s="294" t="s">
        <v>14476</v>
      </c>
      <c r="C16" s="295">
        <v>4491</v>
      </c>
      <c r="D16" s="296" t="str">
        <f>IFERROR(VLOOKUP($C16,'24.08_ND'!$A:$D,2,0),)</f>
        <v>PONTALETE *7,5 X 7,5* CM EM PINUS, MISTA OU EQUIVALENTE DA REGIAO - BRUTA</v>
      </c>
      <c r="E16" s="297" t="str">
        <f>IFERROR(VLOOKUP($C16,'24.08_ND'!$A:$D,3,0),)</f>
        <v>M</v>
      </c>
      <c r="F16" s="298">
        <v>3.75</v>
      </c>
      <c r="G16" s="299">
        <f>IFERROR(VLOOKUP($C16,'24.08_ND'!$A:$D,4,0),)</f>
        <v>10.5</v>
      </c>
      <c r="H16" s="300">
        <f t="shared" si="0"/>
        <v>39.369999999999997</v>
      </c>
      <c r="I16" s="262"/>
      <c r="J16" s="262"/>
      <c r="K16" s="262"/>
      <c r="L16" s="262"/>
      <c r="M16" s="262"/>
      <c r="N16" s="262"/>
      <c r="O16" s="262"/>
      <c r="P16" s="262"/>
      <c r="Q16" s="262"/>
      <c r="R16" s="262"/>
      <c r="S16" s="262"/>
      <c r="T16" s="262"/>
      <c r="U16" s="262"/>
      <c r="V16" s="262"/>
      <c r="W16" s="262"/>
      <c r="X16" s="262"/>
      <c r="Y16" s="262"/>
      <c r="Z16" s="262"/>
      <c r="AA16" s="262"/>
      <c r="AB16" s="262"/>
    </row>
    <row r="17" spans="1:31" ht="25.5">
      <c r="A17" s="293" t="s">
        <v>14479</v>
      </c>
      <c r="B17" s="294" t="s">
        <v>14476</v>
      </c>
      <c r="C17" s="295">
        <v>4813</v>
      </c>
      <c r="D17" s="296" t="str">
        <f>IFERROR(VLOOKUP($C17,'24.08_ND'!$A:$D,2,0),)</f>
        <v>PLACA DE OBRA (PARA CONSTRUCAO CIVIL) EM CHAPA GALVANIZADA *N. 22*, ADESIVADA, DE *2,4 X 1,2* M (SEM POSTES PARA FIXACAO)</v>
      </c>
      <c r="E17" s="297" t="str">
        <f>IFERROR(VLOOKUP($C17,'24.08_ND'!$A:$D,3,0),)</f>
        <v>M2</v>
      </c>
      <c r="F17" s="298">
        <v>1</v>
      </c>
      <c r="G17" s="299">
        <f>IFERROR(VLOOKUP($C17,'24.08_ND'!$A:$D,4,0),)</f>
        <v>364.4</v>
      </c>
      <c r="H17" s="300">
        <f t="shared" si="0"/>
        <v>364.4</v>
      </c>
      <c r="I17" s="262"/>
      <c r="J17" s="262"/>
      <c r="K17" s="262"/>
      <c r="L17" s="262"/>
      <c r="M17" s="262"/>
      <c r="N17" s="262"/>
      <c r="O17" s="262"/>
      <c r="P17" s="262"/>
      <c r="Q17" s="262"/>
      <c r="R17" s="262"/>
      <c r="S17" s="262"/>
      <c r="T17" s="262"/>
      <c r="U17" s="262"/>
      <c r="V17" s="262"/>
      <c r="W17" s="262"/>
      <c r="X17" s="262"/>
      <c r="Y17" s="262"/>
      <c r="Z17" s="262"/>
      <c r="AA17" s="262"/>
      <c r="AB17" s="262"/>
    </row>
    <row r="18" spans="1:31" ht="12.75">
      <c r="A18" s="301"/>
      <c r="B18" s="302"/>
      <c r="C18" s="303"/>
      <c r="D18" s="304"/>
      <c r="E18" s="305"/>
      <c r="F18" s="306"/>
      <c r="G18" s="307"/>
      <c r="H18" s="308"/>
      <c r="I18" s="262"/>
      <c r="J18" s="262"/>
      <c r="K18" s="262"/>
      <c r="L18" s="262"/>
      <c r="M18" s="262"/>
      <c r="N18" s="262"/>
      <c r="O18" s="262"/>
      <c r="P18" s="262"/>
      <c r="Q18" s="262"/>
      <c r="R18" s="262"/>
      <c r="S18" s="262"/>
      <c r="T18" s="262"/>
      <c r="U18" s="262"/>
      <c r="V18" s="262"/>
      <c r="W18" s="262"/>
      <c r="X18" s="262"/>
      <c r="Y18" s="262"/>
      <c r="Z18" s="262"/>
      <c r="AA18" s="262"/>
      <c r="AB18" s="262"/>
    </row>
    <row r="19" spans="1:31" ht="25.5">
      <c r="A19" s="271" t="s">
        <v>14471</v>
      </c>
      <c r="B19" s="272" t="s">
        <v>14472</v>
      </c>
      <c r="C19" s="273" t="s">
        <v>14480</v>
      </c>
      <c r="D19" s="274" t="s">
        <v>14481</v>
      </c>
      <c r="E19" s="272" t="s">
        <v>6</v>
      </c>
      <c r="F19" s="272"/>
      <c r="G19" s="272"/>
      <c r="H19" s="275">
        <f>SUM(H21:H32)</f>
        <v>1513.8200000000002</v>
      </c>
      <c r="I19" s="276">
        <f>COUNTIF($C$8:$C19,C:C)</f>
        <v>1</v>
      </c>
      <c r="J19" s="262"/>
      <c r="K19" s="262"/>
      <c r="L19" s="262"/>
      <c r="M19" s="262"/>
      <c r="N19" s="262"/>
      <c r="O19" s="262"/>
      <c r="P19" s="262"/>
      <c r="Q19" s="262"/>
      <c r="R19" s="262"/>
      <c r="S19" s="262"/>
      <c r="T19" s="262"/>
      <c r="U19" s="262"/>
      <c r="V19" s="262"/>
      <c r="W19" s="262"/>
      <c r="X19" s="262"/>
      <c r="Y19" s="262"/>
      <c r="Z19" s="262"/>
      <c r="AA19" s="262"/>
      <c r="AB19" s="262"/>
    </row>
    <row r="20" spans="1:31" ht="12.75">
      <c r="A20" s="277" t="s">
        <v>14475</v>
      </c>
      <c r="B20" s="278" t="s">
        <v>14476</v>
      </c>
      <c r="C20" s="279">
        <v>98458</v>
      </c>
      <c r="D20" s="280" t="s">
        <v>14477</v>
      </c>
      <c r="E20" s="281"/>
      <c r="F20" s="282"/>
      <c r="G20" s="283"/>
      <c r="H20" s="284"/>
      <c r="I20" s="262"/>
      <c r="J20" s="262"/>
      <c r="K20" s="262"/>
      <c r="L20" s="262"/>
      <c r="M20" s="262"/>
      <c r="N20" s="262"/>
      <c r="O20" s="262"/>
      <c r="P20" s="262"/>
      <c r="Q20" s="262"/>
      <c r="R20" s="262"/>
      <c r="S20" s="262"/>
      <c r="T20" s="262"/>
      <c r="U20" s="262"/>
      <c r="V20" s="262"/>
      <c r="W20" s="262"/>
      <c r="X20" s="262"/>
      <c r="Y20" s="262"/>
      <c r="Z20" s="262"/>
      <c r="AA20" s="262"/>
      <c r="AB20" s="262"/>
    </row>
    <row r="21" spans="1:31" ht="25.5">
      <c r="A21" s="285" t="s">
        <v>14478</v>
      </c>
      <c r="B21" s="286" t="s">
        <v>14476</v>
      </c>
      <c r="C21" s="287">
        <v>94974</v>
      </c>
      <c r="D21" s="288" t="str">
        <f>IFERROR(VLOOKUP($C21,'24.08_ND'!$A:$D,2,0),)</f>
        <v>CONCRETO MAGRO PARA LASTRO, TRAÇO 1:4,5:4,5 (EM MASSA SECA DE CIMENTO/ AREIA MÉDIA/ BRITA 1) - PREPARO MANUAL. AF_05/2021</v>
      </c>
      <c r="E21" s="289" t="str">
        <f>IFERROR(VLOOKUP($C21,'24.08_ND'!$A:$D,3,0),)</f>
        <v>M3</v>
      </c>
      <c r="F21" s="290">
        <v>0.18</v>
      </c>
      <c r="G21" s="291">
        <f>IFERROR(VLOOKUP($C21,'24.08_ND'!$A:$D,4,0),)</f>
        <v>464.1</v>
      </c>
      <c r="H21" s="292">
        <f t="shared" ref="H21:H32" si="1">TRUNC(($F21*$G21),2)</f>
        <v>83.53</v>
      </c>
      <c r="I21" s="262"/>
      <c r="J21" s="262"/>
      <c r="K21" s="262"/>
      <c r="L21" s="262"/>
      <c r="M21" s="262"/>
      <c r="N21" s="262"/>
      <c r="O21" s="262"/>
      <c r="P21" s="262"/>
      <c r="Q21" s="262"/>
      <c r="R21" s="262"/>
      <c r="S21" s="262"/>
      <c r="T21" s="262"/>
      <c r="U21" s="262"/>
      <c r="V21" s="262"/>
      <c r="W21" s="262"/>
      <c r="X21" s="262"/>
      <c r="Y21" s="262"/>
      <c r="Z21" s="262"/>
      <c r="AA21" s="262"/>
      <c r="AB21" s="262"/>
      <c r="AD21" s="1791" t="e">
        <f>VLOOKUP(C21,'Medição '!$B$16:$F$1833,6,0)</f>
        <v>#N/A</v>
      </c>
      <c r="AE21" s="1791"/>
    </row>
    <row r="22" spans="1:31" ht="25.5">
      <c r="A22" s="285" t="s">
        <v>14478</v>
      </c>
      <c r="B22" s="286" t="s">
        <v>14476</v>
      </c>
      <c r="C22" s="287">
        <v>88239</v>
      </c>
      <c r="D22" s="288" t="str">
        <f>IFERROR(VLOOKUP($C22,'24.08_ND'!$A:$D,2,0),)</f>
        <v>AJUDANTE DE CARPINTEIRO COM ENCARGOS COMPLEMENTARES</v>
      </c>
      <c r="E22" s="289" t="str">
        <f>IFERROR(VLOOKUP($C22,'24.08_ND'!$A:$D,3,0),)</f>
        <v>H</v>
      </c>
      <c r="F22" s="290">
        <v>1.6175999999999999</v>
      </c>
      <c r="G22" s="291">
        <f>IFERROR(VLOOKUP($C22,'24.08_ND'!$A:$D,4,0),)</f>
        <v>19.510000000000002</v>
      </c>
      <c r="H22" s="292">
        <f t="shared" si="1"/>
        <v>31.55</v>
      </c>
      <c r="I22" s="262"/>
      <c r="J22" s="262"/>
      <c r="K22" s="262"/>
      <c r="L22" s="262"/>
      <c r="M22" s="262"/>
      <c r="N22" s="262"/>
      <c r="O22" s="262"/>
      <c r="P22" s="262"/>
      <c r="Q22" s="262"/>
      <c r="R22" s="262"/>
      <c r="S22" s="262"/>
      <c r="T22" s="262"/>
      <c r="U22" s="262"/>
      <c r="V22" s="262"/>
      <c r="W22" s="262"/>
      <c r="X22" s="262"/>
      <c r="Y22" s="262"/>
      <c r="Z22" s="262"/>
      <c r="AA22" s="262"/>
      <c r="AB22" s="262"/>
      <c r="AD22" s="1791" t="e">
        <f>VLOOKUP(C22,'Medição '!$B$16:$F$1833,6,0)</f>
        <v>#N/A</v>
      </c>
      <c r="AE22" s="1791"/>
    </row>
    <row r="23" spans="1:31" ht="25.5">
      <c r="A23" s="285" t="s">
        <v>14478</v>
      </c>
      <c r="B23" s="286" t="s">
        <v>14476</v>
      </c>
      <c r="C23" s="287">
        <v>91693</v>
      </c>
      <c r="D23" s="288" t="str">
        <f>IFERROR(VLOOKUP($C23,'24.08_ND'!$A:$D,2,0),)</f>
        <v>SERRA CIRCULAR DE BANCADA COM MOTOR ELÉTRICO POTÊNCIA DE 5HP, COM COIFA PARA DISCO 10" - CHI DIURNO. AF_08/2015</v>
      </c>
      <c r="E23" s="289" t="str">
        <f>IFERROR(VLOOKUP($C23,'24.08_ND'!$A:$D,3,0),)</f>
        <v>CHI</v>
      </c>
      <c r="F23" s="290">
        <v>0.15279999999999999</v>
      </c>
      <c r="G23" s="291">
        <f>IFERROR(VLOOKUP($C23,'24.08_ND'!$A:$D,4,0),)</f>
        <v>19.899999999999999</v>
      </c>
      <c r="H23" s="292">
        <f t="shared" si="1"/>
        <v>3.04</v>
      </c>
      <c r="I23" s="262"/>
      <c r="J23" s="262"/>
      <c r="K23" s="262"/>
      <c r="L23" s="262"/>
      <c r="M23" s="262"/>
      <c r="N23" s="262"/>
      <c r="O23" s="262"/>
      <c r="P23" s="262"/>
      <c r="Q23" s="262"/>
      <c r="R23" s="262"/>
      <c r="S23" s="262"/>
      <c r="T23" s="262"/>
      <c r="U23" s="262"/>
      <c r="V23" s="262"/>
      <c r="W23" s="262"/>
      <c r="X23" s="262"/>
      <c r="Y23" s="262"/>
      <c r="Z23" s="262"/>
      <c r="AA23" s="262"/>
      <c r="AB23" s="262"/>
      <c r="AD23" s="1791" t="e">
        <f>VLOOKUP(C23,'Medição '!$B$16:$F$1833,6,0)</f>
        <v>#N/A</v>
      </c>
      <c r="AE23" s="1791"/>
    </row>
    <row r="24" spans="1:31" ht="25.5">
      <c r="A24" s="285" t="s">
        <v>14478</v>
      </c>
      <c r="B24" s="286" t="s">
        <v>14476</v>
      </c>
      <c r="C24" s="287">
        <v>91692</v>
      </c>
      <c r="D24" s="288" t="str">
        <f>IFERROR(VLOOKUP($C24,'24.08_ND'!$A:$D,2,0),)</f>
        <v>SERRA CIRCULAR DE BANCADA COM MOTOR ELÉTRICO POTÊNCIA DE 5HP, COM COIFA PARA DISCO 10" - CHP DIURNO. AF_08/2015</v>
      </c>
      <c r="E24" s="289" t="str">
        <f>IFERROR(VLOOKUP($C24,'24.08_ND'!$A:$D,3,0),)</f>
        <v>CHP</v>
      </c>
      <c r="F24" s="290">
        <v>3.5200000000000002E-2</v>
      </c>
      <c r="G24" s="291">
        <f>IFERROR(VLOOKUP($C24,'24.08_ND'!$A:$D,4,0),)</f>
        <v>21.22</v>
      </c>
      <c r="H24" s="292">
        <f t="shared" si="1"/>
        <v>0.74</v>
      </c>
      <c r="I24" s="262"/>
      <c r="J24" s="262"/>
      <c r="K24" s="262"/>
      <c r="L24" s="262"/>
      <c r="M24" s="262"/>
      <c r="N24" s="262"/>
      <c r="O24" s="262"/>
      <c r="P24" s="262"/>
      <c r="Q24" s="262"/>
      <c r="R24" s="262"/>
      <c r="S24" s="262"/>
      <c r="T24" s="262"/>
      <c r="U24" s="262"/>
      <c r="V24" s="262"/>
      <c r="W24" s="262"/>
      <c r="X24" s="262"/>
      <c r="Y24" s="262"/>
      <c r="Z24" s="262"/>
      <c r="AA24" s="262"/>
      <c r="AB24" s="262"/>
      <c r="AD24" s="1791" t="e">
        <f>VLOOKUP(C24,'Medição '!$B$16:$F$1833,6,0)</f>
        <v>#N/A</v>
      </c>
      <c r="AE24" s="1791"/>
    </row>
    <row r="25" spans="1:31" ht="25.5">
      <c r="A25" s="285" t="s">
        <v>14478</v>
      </c>
      <c r="B25" s="286" t="s">
        <v>14476</v>
      </c>
      <c r="C25" s="287">
        <v>88262</v>
      </c>
      <c r="D25" s="288" t="str">
        <f>IFERROR(VLOOKUP($C25,'24.08_ND'!$A:$D,2,0),)</f>
        <v>CARPINTEIRO DE FORMAS COM ENCARGOS COMPLEMENTARES</v>
      </c>
      <c r="E25" s="289" t="str">
        <f>IFERROR(VLOOKUP($C25,'24.08_ND'!$A:$D,3,0),)</f>
        <v>H</v>
      </c>
      <c r="F25" s="290">
        <v>4.7527999999999997</v>
      </c>
      <c r="G25" s="291">
        <f>IFERROR(VLOOKUP($C25,'24.08_ND'!$A:$D,4,0),)</f>
        <v>23.01</v>
      </c>
      <c r="H25" s="292">
        <f t="shared" si="1"/>
        <v>109.36</v>
      </c>
      <c r="I25" s="262"/>
      <c r="J25" s="262"/>
      <c r="K25" s="262"/>
      <c r="L25" s="262"/>
      <c r="M25" s="262"/>
      <c r="N25" s="262"/>
      <c r="O25" s="262"/>
      <c r="P25" s="262"/>
      <c r="Q25" s="262"/>
      <c r="R25" s="262"/>
      <c r="S25" s="262"/>
      <c r="T25" s="262"/>
      <c r="U25" s="262"/>
      <c r="V25" s="262"/>
      <c r="W25" s="262"/>
      <c r="X25" s="262"/>
      <c r="Y25" s="262"/>
      <c r="Z25" s="262"/>
      <c r="AA25" s="262"/>
      <c r="AB25" s="262"/>
      <c r="AD25" s="1791" t="e">
        <f>VLOOKUP(C25,'Medição '!$B$16:$F$1833,6,0)</f>
        <v>#N/A</v>
      </c>
      <c r="AE25" s="1791"/>
    </row>
    <row r="26" spans="1:31" ht="25.5">
      <c r="A26" s="293" t="s">
        <v>14479</v>
      </c>
      <c r="B26" s="294" t="s">
        <v>14476</v>
      </c>
      <c r="C26" s="295">
        <v>20211</v>
      </c>
      <c r="D26" s="296" t="str">
        <f>IFERROR(VLOOKUP($C26,'24.08_ND'!$A:$D,2,0),)</f>
        <v>VIGA APARELHADA *6 X 16* CM, EM MACARANDUBA/MASSARANDUBA, ANGELIM OU EQUIVALENTE DA REGIAO</v>
      </c>
      <c r="E26" s="297" t="str">
        <f>IFERROR(VLOOKUP($C26,'24.08_ND'!$A:$D,3,0),)</f>
        <v>M</v>
      </c>
      <c r="F26" s="298">
        <v>6</v>
      </c>
      <c r="G26" s="299">
        <f>IFERROR(VLOOKUP($C26,'24.08_ND'!$A:$D,4,0),)</f>
        <v>27.5</v>
      </c>
      <c r="H26" s="300">
        <f t="shared" si="1"/>
        <v>165</v>
      </c>
      <c r="I26" s="262"/>
      <c r="J26" s="262"/>
      <c r="K26" s="262"/>
      <c r="L26" s="262"/>
      <c r="M26" s="262"/>
      <c r="N26" s="262"/>
      <c r="O26" s="262"/>
      <c r="P26" s="262"/>
      <c r="Q26" s="262"/>
      <c r="R26" s="262"/>
      <c r="S26" s="262"/>
      <c r="T26" s="262"/>
      <c r="U26" s="262"/>
      <c r="V26" s="262"/>
      <c r="W26" s="262"/>
      <c r="X26" s="262"/>
      <c r="Y26" s="262"/>
      <c r="Z26" s="262"/>
      <c r="AA26" s="262"/>
      <c r="AB26" s="262"/>
    </row>
    <row r="27" spans="1:31" ht="38.25">
      <c r="A27" s="293" t="s">
        <v>14479</v>
      </c>
      <c r="B27" s="294" t="s">
        <v>14476</v>
      </c>
      <c r="C27" s="295">
        <v>5085</v>
      </c>
      <c r="D27" s="296" t="str">
        <f>IFERROR(VLOOKUP($C27,'24.08_ND'!$A:$D,2,0),)</f>
        <v>CADEADO SIMPLES, CORPO EM LATAO MACICO, COM LARGURA DE 35 MM E ALTURA DE APROX 30 MM, HASTE CEMENTADA (NAO LONGA), EM ACO TEMPERADO COM DIAMETRO DE APROX 6,0 MM, INCLUINDO 2 CHAVES</v>
      </c>
      <c r="E27" s="297" t="str">
        <f>IFERROR(VLOOKUP($C27,'24.08_ND'!$A:$D,3,0),)</f>
        <v>UN</v>
      </c>
      <c r="F27" s="298">
        <v>1</v>
      </c>
      <c r="G27" s="299">
        <f>IFERROR(VLOOKUP($C27,'24.08_ND'!$A:$D,4,0),)</f>
        <v>32.130000000000003</v>
      </c>
      <c r="H27" s="300">
        <f t="shared" si="1"/>
        <v>32.130000000000003</v>
      </c>
      <c r="I27" s="262"/>
      <c r="J27" s="262"/>
      <c r="K27" s="262"/>
      <c r="L27" s="262"/>
      <c r="M27" s="262"/>
      <c r="N27" s="262"/>
      <c r="O27" s="262"/>
      <c r="P27" s="262"/>
      <c r="Q27" s="262"/>
      <c r="R27" s="262"/>
      <c r="S27" s="262"/>
      <c r="T27" s="262"/>
      <c r="U27" s="262"/>
      <c r="V27" s="262"/>
      <c r="W27" s="262"/>
      <c r="X27" s="262"/>
      <c r="Y27" s="262"/>
      <c r="Z27" s="262"/>
      <c r="AA27" s="262"/>
      <c r="AB27" s="262"/>
    </row>
    <row r="28" spans="1:31" ht="25.5">
      <c r="A28" s="293" t="s">
        <v>14479</v>
      </c>
      <c r="B28" s="294" t="s">
        <v>14476</v>
      </c>
      <c r="C28" s="295">
        <v>7243</v>
      </c>
      <c r="D28" s="296" t="str">
        <f>IFERROR(VLOOKUP($C28,'24.08_ND'!$A:$D,2,0),)</f>
        <v>TELHA TRAPEZOIDAL EM ACO ZINCADO, SEM PINTURA, ALTURA DE APROXIMADAMENTE 40 MM, ESPESSURA DE 0,50 MM E LARGURA UTIL DE 980 MM</v>
      </c>
      <c r="E28" s="297" t="str">
        <f>IFERROR(VLOOKUP($C28,'24.08_ND'!$A:$D,3,0),)</f>
        <v>M2</v>
      </c>
      <c r="F28" s="298">
        <v>8.4504999999999999</v>
      </c>
      <c r="G28" s="299">
        <f>IFERROR(VLOOKUP($C28,'24.08_ND'!$A:$D,4,0),)</f>
        <v>35.85</v>
      </c>
      <c r="H28" s="300">
        <f t="shared" si="1"/>
        <v>302.95</v>
      </c>
      <c r="I28" s="262"/>
      <c r="J28" s="262"/>
      <c r="K28" s="262"/>
      <c r="L28" s="262"/>
      <c r="M28" s="262"/>
      <c r="N28" s="262"/>
      <c r="O28" s="262"/>
      <c r="P28" s="262"/>
      <c r="Q28" s="262"/>
      <c r="R28" s="262"/>
      <c r="S28" s="262"/>
      <c r="T28" s="262"/>
      <c r="U28" s="262"/>
      <c r="V28" s="262"/>
      <c r="W28" s="262"/>
      <c r="X28" s="262"/>
      <c r="Y28" s="262"/>
      <c r="Z28" s="262"/>
      <c r="AA28" s="262"/>
      <c r="AB28" s="262"/>
    </row>
    <row r="29" spans="1:31" ht="25.5">
      <c r="A29" s="293" t="s">
        <v>14479</v>
      </c>
      <c r="B29" s="294" t="s">
        <v>14476</v>
      </c>
      <c r="C29" s="295">
        <v>5086</v>
      </c>
      <c r="D29" s="296" t="str">
        <f>IFERROR(VLOOKUP($C29,'24.08_ND'!$A:$D,2,0),)</f>
        <v>CORRENTE DE ELO CURTO COMUM, SOLDADA, GALVANIZADA, ESPESSURA DO ELO = 1/2" (12,5 MM)</v>
      </c>
      <c r="E29" s="297" t="str">
        <f>IFERROR(VLOOKUP($C29,'24.08_ND'!$A:$D,3,0),)</f>
        <v>KG</v>
      </c>
      <c r="F29" s="298">
        <v>3.1680000000000001</v>
      </c>
      <c r="G29" s="299">
        <f>IFERROR(VLOOKUP($C29,'24.08_ND'!$A:$D,4,0),)</f>
        <v>35.31</v>
      </c>
      <c r="H29" s="300">
        <f t="shared" si="1"/>
        <v>111.86</v>
      </c>
      <c r="I29" s="262"/>
      <c r="J29" s="262"/>
      <c r="K29" s="262"/>
      <c r="L29" s="262"/>
      <c r="M29" s="262"/>
      <c r="N29" s="262"/>
      <c r="O29" s="262"/>
      <c r="P29" s="262"/>
      <c r="Q29" s="262"/>
      <c r="R29" s="262"/>
      <c r="S29" s="262"/>
      <c r="T29" s="262"/>
      <c r="U29" s="262"/>
      <c r="V29" s="262"/>
      <c r="W29" s="262"/>
      <c r="X29" s="262"/>
      <c r="Y29" s="262"/>
      <c r="Z29" s="262"/>
      <c r="AA29" s="262"/>
      <c r="AB29" s="262"/>
    </row>
    <row r="30" spans="1:31" ht="12.75">
      <c r="A30" s="293" t="s">
        <v>14479</v>
      </c>
      <c r="B30" s="294" t="s">
        <v>14476</v>
      </c>
      <c r="C30" s="295">
        <v>5061</v>
      </c>
      <c r="D30" s="296" t="str">
        <f>IFERROR(VLOOKUP($C30,'24.08_ND'!$A:$D,2,0),)</f>
        <v>PREGO DE ACO POLIDO COM CABECA 18 X 27 (2 1/2 X 10)</v>
      </c>
      <c r="E30" s="297" t="str">
        <f>IFERROR(VLOOKUP($C30,'24.08_ND'!$A:$D,3,0),)</f>
        <v>KG</v>
      </c>
      <c r="F30" s="298">
        <v>0.34239999999999998</v>
      </c>
      <c r="G30" s="299">
        <f>IFERROR(VLOOKUP($C30,'24.08_ND'!$A:$D,4,0),)</f>
        <v>16.04</v>
      </c>
      <c r="H30" s="300">
        <f t="shared" si="1"/>
        <v>5.49</v>
      </c>
      <c r="I30" s="262"/>
      <c r="J30" s="262"/>
      <c r="K30" s="262"/>
      <c r="L30" s="262"/>
      <c r="M30" s="262"/>
      <c r="N30" s="262"/>
      <c r="O30" s="262"/>
      <c r="P30" s="262"/>
      <c r="Q30" s="262"/>
      <c r="R30" s="262"/>
      <c r="S30" s="262"/>
      <c r="T30" s="262"/>
      <c r="U30" s="262"/>
      <c r="V30" s="262"/>
      <c r="W30" s="262"/>
      <c r="X30" s="262"/>
      <c r="Y30" s="262"/>
      <c r="Z30" s="262"/>
      <c r="AA30" s="262"/>
      <c r="AB30" s="262"/>
    </row>
    <row r="31" spans="1:31" ht="25.5">
      <c r="A31" s="293" t="s">
        <v>14479</v>
      </c>
      <c r="B31" s="294" t="s">
        <v>14476</v>
      </c>
      <c r="C31" s="295">
        <v>4433</v>
      </c>
      <c r="D31" s="296" t="str">
        <f>IFERROR(VLOOKUP($C31,'24.08_ND'!$A:$D,2,0),)</f>
        <v>CAIBRO NAO APARELHADO *6 X 6* CM, EM MACARANDUBA/MASSARANDUBA, ANGELIM OU EQUIVALENTE DA REGIAO - BRUTA</v>
      </c>
      <c r="E31" s="297" t="str">
        <f>IFERROR(VLOOKUP($C31,'24.08_ND'!$A:$D,3,0),)</f>
        <v>M</v>
      </c>
      <c r="F31" s="298">
        <v>29.4</v>
      </c>
      <c r="G31" s="299">
        <f>IFERROR(VLOOKUP($C31,'24.08_ND'!$A:$D,4,0),)</f>
        <v>21.01</v>
      </c>
      <c r="H31" s="300">
        <f t="shared" si="1"/>
        <v>617.69000000000005</v>
      </c>
      <c r="I31" s="262"/>
      <c r="J31" s="262"/>
      <c r="K31" s="262"/>
      <c r="L31" s="262"/>
      <c r="M31" s="262"/>
      <c r="N31" s="262"/>
      <c r="O31" s="262"/>
      <c r="P31" s="262"/>
      <c r="Q31" s="262"/>
      <c r="R31" s="262"/>
      <c r="S31" s="262"/>
      <c r="T31" s="262"/>
      <c r="U31" s="262"/>
      <c r="V31" s="262"/>
      <c r="W31" s="262"/>
      <c r="X31" s="262"/>
      <c r="Y31" s="262"/>
      <c r="Z31" s="262"/>
      <c r="AA31" s="262"/>
      <c r="AB31" s="262"/>
    </row>
    <row r="32" spans="1:31" ht="25.5">
      <c r="A32" s="293" t="s">
        <v>14479</v>
      </c>
      <c r="B32" s="294" t="s">
        <v>14476</v>
      </c>
      <c r="C32" s="295">
        <v>2433</v>
      </c>
      <c r="D32" s="296" t="str">
        <f>IFERROR(VLOOKUP($C32,'24.08_ND'!$A:$D,2,0),)</f>
        <v>DOBRADICA EM ACO/FERRO, 3" X 2 1/2", E= 1,2 A 1,8 MM, SEM ANEL, CROMADO OU ZINCADO, TAMPA CHATA, COM PARAFUSOS</v>
      </c>
      <c r="E32" s="297" t="str">
        <f>IFERROR(VLOOKUP($C32,'24.08_ND'!$A:$D,3,0),)</f>
        <v>UN</v>
      </c>
      <c r="F32" s="298">
        <v>8</v>
      </c>
      <c r="G32" s="299">
        <f>IFERROR(VLOOKUP($C32,'24.08_ND'!$A:$D,4,0),)</f>
        <v>6.31</v>
      </c>
      <c r="H32" s="300">
        <f t="shared" si="1"/>
        <v>50.48</v>
      </c>
      <c r="I32" s="262"/>
      <c r="J32" s="262"/>
      <c r="K32" s="262"/>
      <c r="L32" s="262"/>
      <c r="M32" s="262"/>
      <c r="N32" s="262"/>
      <c r="O32" s="262"/>
      <c r="P32" s="262"/>
      <c r="Q32" s="262"/>
      <c r="R32" s="262"/>
      <c r="S32" s="262"/>
      <c r="T32" s="262"/>
      <c r="U32" s="262"/>
      <c r="V32" s="262"/>
      <c r="W32" s="262"/>
      <c r="X32" s="262"/>
      <c r="Y32" s="262"/>
      <c r="Z32" s="262"/>
      <c r="AA32" s="262"/>
      <c r="AB32" s="262"/>
    </row>
    <row r="33" spans="1:31" ht="12.75">
      <c r="A33" s="309"/>
      <c r="B33" s="303"/>
      <c r="C33" s="303"/>
      <c r="D33" s="310"/>
      <c r="E33" s="303"/>
      <c r="F33" s="306"/>
      <c r="G33" s="307"/>
      <c r="H33" s="308"/>
      <c r="I33" s="262"/>
      <c r="J33" s="262"/>
      <c r="K33" s="262"/>
      <c r="L33" s="262"/>
      <c r="M33" s="262"/>
      <c r="N33" s="262"/>
      <c r="O33" s="262"/>
      <c r="P33" s="262"/>
      <c r="Q33" s="262"/>
      <c r="R33" s="262"/>
      <c r="S33" s="262"/>
      <c r="T33" s="262"/>
      <c r="U33" s="262"/>
      <c r="V33" s="262"/>
      <c r="W33" s="262"/>
      <c r="X33" s="262"/>
      <c r="Y33" s="262"/>
      <c r="Z33" s="262"/>
      <c r="AA33" s="262"/>
      <c r="AB33" s="262"/>
    </row>
    <row r="34" spans="1:31" ht="25.5">
      <c r="A34" s="271" t="s">
        <v>14471</v>
      </c>
      <c r="B34" s="272" t="s">
        <v>14472</v>
      </c>
      <c r="C34" s="273" t="s">
        <v>14482</v>
      </c>
      <c r="D34" s="274" t="s">
        <v>14483</v>
      </c>
      <c r="E34" s="272" t="s">
        <v>50</v>
      </c>
      <c r="F34" s="272"/>
      <c r="G34" s="272"/>
      <c r="H34" s="275">
        <f>SUM(H36:H39)</f>
        <v>2.8899999999999997</v>
      </c>
      <c r="I34" s="276">
        <f>COUNTIF($C$8:$C34,C:C)</f>
        <v>1</v>
      </c>
      <c r="J34" s="262"/>
      <c r="K34" s="262"/>
      <c r="L34" s="262"/>
      <c r="M34" s="262"/>
      <c r="N34" s="262"/>
      <c r="O34" s="262"/>
      <c r="P34" s="262"/>
      <c r="Q34" s="262"/>
      <c r="R34" s="262"/>
      <c r="S34" s="262"/>
      <c r="T34" s="262"/>
      <c r="U34" s="262"/>
      <c r="V34" s="262"/>
      <c r="W34" s="262"/>
      <c r="X34" s="262"/>
      <c r="Y34" s="262"/>
      <c r="Z34" s="262"/>
      <c r="AA34" s="262"/>
      <c r="AB34" s="262"/>
    </row>
    <row r="35" spans="1:31" ht="12.75">
      <c r="A35" s="277" t="s">
        <v>14475</v>
      </c>
      <c r="B35" s="278" t="s">
        <v>14484</v>
      </c>
      <c r="C35" s="279">
        <v>2010053</v>
      </c>
      <c r="D35" s="280" t="s">
        <v>14485</v>
      </c>
      <c r="E35" s="281"/>
      <c r="F35" s="282"/>
      <c r="G35" s="283"/>
      <c r="H35" s="284"/>
      <c r="I35" s="262"/>
      <c r="J35" s="262"/>
      <c r="K35" s="262"/>
      <c r="L35" s="262"/>
      <c r="M35" s="262"/>
      <c r="N35" s="262"/>
      <c r="O35" s="262"/>
      <c r="P35" s="262"/>
      <c r="Q35" s="262"/>
      <c r="R35" s="262"/>
      <c r="S35" s="262"/>
      <c r="T35" s="262"/>
      <c r="U35" s="262"/>
      <c r="V35" s="262"/>
      <c r="W35" s="262"/>
      <c r="X35" s="262"/>
      <c r="Y35" s="262"/>
      <c r="Z35" s="262"/>
      <c r="AA35" s="262"/>
      <c r="AB35" s="262"/>
    </row>
    <row r="36" spans="1:31" ht="25.5">
      <c r="A36" s="285" t="s">
        <v>14478</v>
      </c>
      <c r="B36" s="286" t="s">
        <v>14476</v>
      </c>
      <c r="C36" s="287">
        <v>88316</v>
      </c>
      <c r="D36" s="288" t="str">
        <f>IFERROR(VLOOKUP($C36,'24.08_ND'!$A:$D,2,0),)</f>
        <v>SERVENTE COM ENCARGOS COMPLEMENTARES</v>
      </c>
      <c r="E36" s="289" t="str">
        <f>IFERROR(VLOOKUP($C36,'24.08_ND'!$A:$D,3,0),)</f>
        <v>H</v>
      </c>
      <c r="F36" s="290">
        <v>8.3299999999999999E-2</v>
      </c>
      <c r="G36" s="291">
        <f>IFERROR(VLOOKUP($C36,'24.08_ND'!$A:$D,4,0),)</f>
        <v>18.510000000000002</v>
      </c>
      <c r="H36" s="292">
        <f>TRUNC(($F36*$G36),2)</f>
        <v>1.54</v>
      </c>
      <c r="I36" s="262"/>
      <c r="J36" s="262"/>
      <c r="K36" s="262"/>
      <c r="L36" s="262"/>
      <c r="M36" s="262"/>
      <c r="N36" s="262"/>
      <c r="O36" s="262"/>
      <c r="P36" s="262"/>
      <c r="Q36" s="262"/>
      <c r="R36" s="262"/>
      <c r="S36" s="262"/>
      <c r="T36" s="262"/>
      <c r="U36" s="262"/>
      <c r="V36" s="262"/>
      <c r="W36" s="262"/>
      <c r="X36" s="262"/>
      <c r="Y36" s="262"/>
      <c r="Z36" s="262"/>
      <c r="AA36" s="262"/>
      <c r="AB36" s="262"/>
      <c r="AD36" s="1791" t="e">
        <f>VLOOKUP(C36,'Medição '!$B$16:$F$1833,6,0)</f>
        <v>#N/A</v>
      </c>
      <c r="AE36" s="1791"/>
    </row>
    <row r="37" spans="1:31" ht="25.5">
      <c r="A37" s="311" t="s">
        <v>14478</v>
      </c>
      <c r="B37" s="312" t="str">
        <f>VLOOKUP($C37,'• CIs EXT'!$A:$E,2,0)</f>
        <v>CAERN</v>
      </c>
      <c r="C37" s="313">
        <v>2010055</v>
      </c>
      <c r="D37" s="314" t="str">
        <f>VLOOKUP($C37,'• CIs EXT'!$A:$E,3,0)</f>
        <v>PLACA DE SINALIZAÇÃO DE OBRAS MONTADA EM CAVALETE METÁLICO,INCLUSO PINTURA E LETREIRO - 0,90 X 1,20M. R_11/2023</v>
      </c>
      <c r="E37" s="312" t="str">
        <f>VLOOKUP($C37,'• CIs EXT'!$A:$E,4,0)</f>
        <v>UN</v>
      </c>
      <c r="F37" s="315">
        <v>2.5000000000000001E-2</v>
      </c>
      <c r="G37" s="312">
        <f>VLOOKUP($C37,'• CIs EXT'!$A:$E,5,0)</f>
        <v>9.2100000000000009</v>
      </c>
      <c r="H37" s="316">
        <f>TRUNC(($F37*$G37),2)</f>
        <v>0.23</v>
      </c>
      <c r="I37" s="262"/>
      <c r="J37" s="262"/>
      <c r="K37" s="262"/>
      <c r="L37" s="262"/>
      <c r="M37" s="262"/>
      <c r="N37" s="262"/>
      <c r="O37" s="262"/>
      <c r="P37" s="262"/>
      <c r="Q37" s="262"/>
      <c r="R37" s="262"/>
      <c r="S37" s="262"/>
      <c r="T37" s="262"/>
      <c r="U37" s="262"/>
      <c r="V37" s="262"/>
      <c r="W37" s="262"/>
      <c r="X37" s="262"/>
      <c r="Y37" s="262"/>
      <c r="Z37" s="262"/>
      <c r="AA37" s="262"/>
      <c r="AB37" s="262"/>
    </row>
    <row r="38" spans="1:31" ht="25.5">
      <c r="A38" s="293" t="s">
        <v>14479</v>
      </c>
      <c r="B38" s="294" t="s">
        <v>14476</v>
      </c>
      <c r="C38" s="295">
        <v>37524</v>
      </c>
      <c r="D38" s="296" t="str">
        <f>IFERROR(VLOOKUP($C38,'24.08_ND'!$A:$D,2,0),)</f>
        <v>TELA PLASTICA LARANJA, TIPO TAPUME PARA SINALIZACAO, MALHA RETANGULAR, ROLO 1.20 X 50 M (L X C)</v>
      </c>
      <c r="E38" s="297" t="str">
        <f>IFERROR(VLOOKUP($C38,'24.08_ND'!$A:$D,3,0),)</f>
        <v>M</v>
      </c>
      <c r="F38" s="298">
        <v>0.1</v>
      </c>
      <c r="G38" s="299">
        <f>IFERROR(VLOOKUP($C38,'24.08_ND'!$A:$D,4,0),)</f>
        <v>2.4500000000000002</v>
      </c>
      <c r="H38" s="300">
        <f>TRUNC(($F38*$G38),2)</f>
        <v>0.24</v>
      </c>
      <c r="I38" s="262"/>
      <c r="J38" s="262"/>
      <c r="K38" s="262"/>
      <c r="L38" s="262"/>
      <c r="M38" s="262"/>
      <c r="N38" s="262"/>
      <c r="O38" s="262"/>
      <c r="P38" s="262"/>
      <c r="Q38" s="262"/>
      <c r="R38" s="262"/>
      <c r="S38" s="262"/>
      <c r="T38" s="262"/>
      <c r="U38" s="262"/>
      <c r="V38" s="262"/>
      <c r="W38" s="262"/>
      <c r="X38" s="262"/>
      <c r="Y38" s="262"/>
      <c r="Z38" s="262"/>
      <c r="AA38" s="262"/>
      <c r="AB38" s="262"/>
    </row>
    <row r="39" spans="1:31" ht="12.75">
      <c r="A39" s="317" t="s">
        <v>14479</v>
      </c>
      <c r="B39" s="312" t="str">
        <f>VLOOKUP($C39,'• CIs EXT'!$A:$E,2,0)</f>
        <v>CAERN</v>
      </c>
      <c r="C39" s="313" t="s">
        <v>14486</v>
      </c>
      <c r="D39" s="314" t="str">
        <f>VLOOKUP($C39,'• CIs EXT'!$A:$E,3,0)</f>
        <v>BALIZADOR MÓVEL CONFORME NTC-108</v>
      </c>
      <c r="E39" s="312" t="str">
        <f>VLOOKUP($C39,'• CIs EXT'!$A:$E,4,0)</f>
        <v>UN</v>
      </c>
      <c r="F39" s="315">
        <v>6.4000000000000003E-3</v>
      </c>
      <c r="G39" s="312">
        <f>VLOOKUP($C39,'• CIs EXT'!$A:$E,5,0)</f>
        <v>138.77000000000001</v>
      </c>
      <c r="H39" s="316">
        <f>TRUNC(($F39*$G39),2)</f>
        <v>0.88</v>
      </c>
      <c r="I39" s="262"/>
      <c r="J39" s="262"/>
      <c r="K39" s="262"/>
      <c r="L39" s="262"/>
      <c r="M39" s="262"/>
      <c r="N39" s="262"/>
      <c r="O39" s="262"/>
      <c r="P39" s="262"/>
      <c r="Q39" s="262"/>
      <c r="R39" s="262"/>
      <c r="S39" s="262"/>
      <c r="T39" s="262"/>
      <c r="U39" s="262"/>
      <c r="V39" s="262"/>
      <c r="W39" s="262"/>
      <c r="X39" s="262"/>
      <c r="Y39" s="262"/>
      <c r="Z39" s="262"/>
      <c r="AA39" s="262"/>
      <c r="AB39" s="262"/>
    </row>
    <row r="40" spans="1:31" ht="12.75">
      <c r="A40" s="309"/>
      <c r="B40" s="303"/>
      <c r="C40" s="303"/>
      <c r="D40" s="310"/>
      <c r="E40" s="303"/>
      <c r="F40" s="306"/>
      <c r="G40" s="307"/>
      <c r="H40" s="308"/>
      <c r="I40" s="262"/>
      <c r="J40" s="262"/>
      <c r="K40" s="262"/>
      <c r="L40" s="262"/>
      <c r="M40" s="262"/>
      <c r="N40" s="262"/>
      <c r="O40" s="262"/>
      <c r="P40" s="262"/>
      <c r="Q40" s="262"/>
      <c r="R40" s="262"/>
      <c r="S40" s="262"/>
      <c r="T40" s="262"/>
      <c r="U40" s="262"/>
      <c r="V40" s="262"/>
      <c r="W40" s="262"/>
      <c r="X40" s="262"/>
      <c r="Y40" s="262"/>
      <c r="Z40" s="262"/>
      <c r="AA40" s="262"/>
      <c r="AB40" s="262"/>
    </row>
    <row r="41" spans="1:31" ht="38.25">
      <c r="A41" s="271" t="s">
        <v>14471</v>
      </c>
      <c r="B41" s="272" t="s">
        <v>14472</v>
      </c>
      <c r="C41" s="273" t="s">
        <v>14487</v>
      </c>
      <c r="D41" s="274" t="s">
        <v>14488</v>
      </c>
      <c r="E41" s="318" t="s">
        <v>2562</v>
      </c>
      <c r="F41" s="272"/>
      <c r="G41" s="272"/>
      <c r="H41" s="275">
        <f>SUM(H43:H46)</f>
        <v>686.04</v>
      </c>
      <c r="I41" s="276">
        <f>COUNTIF($C$8:$C41,C:C)</f>
        <v>1</v>
      </c>
      <c r="J41" s="262"/>
      <c r="K41" s="262"/>
      <c r="L41" s="262"/>
      <c r="M41" s="262"/>
      <c r="N41" s="262"/>
      <c r="O41" s="262"/>
      <c r="P41" s="262"/>
      <c r="Q41" s="262"/>
      <c r="R41" s="262"/>
      <c r="S41" s="262"/>
      <c r="T41" s="262"/>
      <c r="U41" s="262"/>
      <c r="V41" s="262"/>
      <c r="W41" s="262"/>
      <c r="X41" s="262"/>
      <c r="Y41" s="262"/>
      <c r="Z41" s="262"/>
      <c r="AA41" s="262"/>
      <c r="AB41" s="262"/>
    </row>
    <row r="42" spans="1:31" ht="12.75">
      <c r="A42" s="277" t="s">
        <v>14475</v>
      </c>
      <c r="B42" s="278" t="s">
        <v>14489</v>
      </c>
      <c r="C42" s="279">
        <v>19161</v>
      </c>
      <c r="D42" s="280" t="s">
        <v>14490</v>
      </c>
      <c r="E42" s="281"/>
      <c r="F42" s="282"/>
      <c r="G42" s="283"/>
      <c r="H42" s="284"/>
      <c r="I42" s="262"/>
      <c r="J42" s="262"/>
      <c r="K42" s="262"/>
      <c r="L42" s="262"/>
      <c r="M42" s="262"/>
      <c r="N42" s="262"/>
      <c r="O42" s="262"/>
      <c r="P42" s="262"/>
      <c r="Q42" s="262"/>
      <c r="R42" s="262"/>
      <c r="S42" s="262"/>
      <c r="T42" s="262"/>
      <c r="U42" s="262"/>
      <c r="V42" s="262"/>
      <c r="W42" s="262"/>
      <c r="X42" s="262"/>
      <c r="Y42" s="262"/>
      <c r="Z42" s="262"/>
      <c r="AA42" s="262"/>
      <c r="AB42" s="262"/>
    </row>
    <row r="43" spans="1:31" ht="25.5">
      <c r="A43" s="285" t="s">
        <v>14478</v>
      </c>
      <c r="B43" s="286" t="s">
        <v>14476</v>
      </c>
      <c r="C43" s="287">
        <v>88309</v>
      </c>
      <c r="D43" s="288" t="str">
        <f>IFERROR(VLOOKUP($C43,'24.08_ND'!$A:$D,2,0),)</f>
        <v>PEDREIRO COM ENCARGOS COMPLEMENTARES</v>
      </c>
      <c r="E43" s="289" t="str">
        <f>IFERROR(VLOOKUP($C43,'24.08_ND'!$A:$D,3,0),)</f>
        <v>H</v>
      </c>
      <c r="F43" s="290">
        <v>1.1000000000000001</v>
      </c>
      <c r="G43" s="291">
        <f>IFERROR(VLOOKUP($C43,'24.08_ND'!$A:$D,4,0),)</f>
        <v>23.33</v>
      </c>
      <c r="H43" s="292">
        <f>TRUNC(($F43*$G43),2)</f>
        <v>25.66</v>
      </c>
      <c r="I43" s="262"/>
      <c r="J43" s="262"/>
      <c r="K43" s="262"/>
      <c r="L43" s="262"/>
      <c r="M43" s="262"/>
      <c r="N43" s="262"/>
      <c r="O43" s="262"/>
      <c r="P43" s="262"/>
      <c r="Q43" s="262"/>
      <c r="R43" s="262"/>
      <c r="S43" s="262"/>
      <c r="T43" s="262"/>
      <c r="U43" s="262"/>
      <c r="V43" s="262"/>
      <c r="W43" s="262"/>
      <c r="X43" s="262"/>
      <c r="Y43" s="262"/>
      <c r="Z43" s="262"/>
      <c r="AA43" s="262"/>
      <c r="AB43" s="262"/>
      <c r="AD43" s="1791" t="e">
        <f>VLOOKUP(C43,'Medição '!$B$16:$F$1833,6,0)</f>
        <v>#N/A</v>
      </c>
      <c r="AE43" s="1791"/>
    </row>
    <row r="44" spans="1:31" ht="25.5">
      <c r="A44" s="285" t="s">
        <v>14478</v>
      </c>
      <c r="B44" s="286" t="s">
        <v>14476</v>
      </c>
      <c r="C44" s="287">
        <v>88316</v>
      </c>
      <c r="D44" s="288" t="str">
        <f>IFERROR(VLOOKUP($C44,'24.08_ND'!$A:$D,2,0),)</f>
        <v>SERVENTE COM ENCARGOS COMPLEMENTARES</v>
      </c>
      <c r="E44" s="289" t="str">
        <f>IFERROR(VLOOKUP($C44,'24.08_ND'!$A:$D,3,0),)</f>
        <v>H</v>
      </c>
      <c r="F44" s="290">
        <v>1.25</v>
      </c>
      <c r="G44" s="291">
        <f>IFERROR(VLOOKUP($C44,'24.08_ND'!$A:$D,4,0),)</f>
        <v>18.510000000000002</v>
      </c>
      <c r="H44" s="292">
        <f>TRUNC(($F44*$G44),2)</f>
        <v>23.13</v>
      </c>
      <c r="I44" s="262"/>
      <c r="J44" s="262"/>
      <c r="K44" s="262"/>
      <c r="L44" s="262"/>
      <c r="M44" s="262"/>
      <c r="N44" s="262"/>
      <c r="O44" s="262"/>
      <c r="P44" s="262"/>
      <c r="Q44" s="262"/>
      <c r="R44" s="262"/>
      <c r="S44" s="262"/>
      <c r="T44" s="262"/>
      <c r="U44" s="262"/>
      <c r="V44" s="262"/>
      <c r="W44" s="262"/>
      <c r="X44" s="262"/>
      <c r="Y44" s="262"/>
      <c r="Z44" s="262"/>
      <c r="AA44" s="262"/>
      <c r="AB44" s="262"/>
      <c r="AD44" s="1791" t="e">
        <f>VLOOKUP(C44,'Medição '!$B$16:$F$1833,6,0)</f>
        <v>#N/A</v>
      </c>
      <c r="AE44" s="1791"/>
    </row>
    <row r="45" spans="1:31" ht="12.75">
      <c r="A45" s="319" t="s">
        <v>14479</v>
      </c>
      <c r="B45" s="320" t="s">
        <v>14491</v>
      </c>
      <c r="C45" s="320" t="s">
        <v>14492</v>
      </c>
      <c r="D45" s="321" t="str">
        <f>VLOOKUP($C45,'09 - MC'!$A:$F,2,0)</f>
        <v>LOCAÇÃO MENSAL  DE TENDA 5X5 M</v>
      </c>
      <c r="E45" s="322" t="str">
        <f>VLOOKUP($C45,'09 - MC'!$A:$F,3,0)</f>
        <v>UN</v>
      </c>
      <c r="F45" s="323">
        <v>1</v>
      </c>
      <c r="G45" s="324">
        <f>VLOOKUP($C45,'09 - MC'!$A:$F,6,0)</f>
        <v>637.25</v>
      </c>
      <c r="H45" s="325">
        <f>TRUNC(G45*F45,2)</f>
        <v>637.25</v>
      </c>
      <c r="I45" s="262"/>
      <c r="J45" s="262"/>
      <c r="K45" s="262"/>
      <c r="L45" s="262"/>
      <c r="M45" s="262"/>
      <c r="N45" s="262"/>
      <c r="O45" s="262"/>
      <c r="P45" s="262"/>
      <c r="Q45" s="262"/>
      <c r="R45" s="262"/>
      <c r="S45" s="262"/>
      <c r="T45" s="262"/>
      <c r="U45" s="262"/>
      <c r="V45" s="262"/>
      <c r="W45" s="262"/>
      <c r="X45" s="262"/>
      <c r="Y45" s="262"/>
      <c r="Z45" s="262"/>
      <c r="AA45" s="262"/>
      <c r="AB45" s="262"/>
    </row>
    <row r="46" spans="1:31" ht="12.75">
      <c r="A46" s="301"/>
      <c r="B46" s="302"/>
      <c r="C46" s="303"/>
      <c r="D46" s="304"/>
      <c r="E46" s="305"/>
      <c r="F46" s="306"/>
      <c r="G46" s="307"/>
      <c r="H46" s="308"/>
      <c r="I46" s="262"/>
      <c r="J46" s="262"/>
      <c r="K46" s="262"/>
      <c r="L46" s="262"/>
      <c r="M46" s="262"/>
      <c r="N46" s="262"/>
      <c r="O46" s="262"/>
      <c r="P46" s="262"/>
      <c r="Q46" s="262"/>
      <c r="R46" s="262"/>
      <c r="S46" s="262"/>
      <c r="T46" s="262"/>
      <c r="U46" s="262"/>
      <c r="V46" s="262"/>
      <c r="W46" s="262"/>
      <c r="X46" s="262"/>
      <c r="Y46" s="262"/>
      <c r="Z46" s="262"/>
      <c r="AA46" s="262"/>
      <c r="AB46" s="262"/>
    </row>
    <row r="47" spans="1:31" ht="25.5">
      <c r="A47" s="271" t="s">
        <v>14471</v>
      </c>
      <c r="B47" s="272" t="s">
        <v>14472</v>
      </c>
      <c r="C47" s="273" t="s">
        <v>14493</v>
      </c>
      <c r="D47" s="274" t="s">
        <v>14494</v>
      </c>
      <c r="E47" s="272" t="s">
        <v>6</v>
      </c>
      <c r="F47" s="272"/>
      <c r="G47" s="272"/>
      <c r="H47" s="275">
        <f>TRUNC(SUM(H49:H50))</f>
        <v>540</v>
      </c>
      <c r="I47" s="276">
        <f>COUNTIF($C$8:$C47,C:C)</f>
        <v>1</v>
      </c>
      <c r="J47" s="262"/>
      <c r="K47" s="262"/>
      <c r="L47" s="262"/>
      <c r="M47" s="262"/>
      <c r="N47" s="262"/>
      <c r="O47" s="262"/>
      <c r="P47" s="262"/>
      <c r="Q47" s="262"/>
      <c r="R47" s="262"/>
      <c r="S47" s="262"/>
      <c r="T47" s="262"/>
      <c r="U47" s="262"/>
      <c r="V47" s="262"/>
      <c r="W47" s="262"/>
      <c r="X47" s="262"/>
      <c r="Y47" s="262"/>
      <c r="Z47" s="262"/>
      <c r="AA47" s="262"/>
      <c r="AB47" s="262"/>
    </row>
    <row r="48" spans="1:31" ht="12.75">
      <c r="A48" s="277" t="s">
        <v>14475</v>
      </c>
      <c r="B48" s="278" t="s">
        <v>14489</v>
      </c>
      <c r="C48" s="279">
        <v>19161</v>
      </c>
      <c r="D48" s="280" t="s">
        <v>14495</v>
      </c>
      <c r="E48" s="281"/>
      <c r="F48" s="282"/>
      <c r="G48" s="283"/>
      <c r="H48" s="284"/>
      <c r="I48" s="262"/>
      <c r="J48" s="262"/>
      <c r="K48" s="262"/>
      <c r="L48" s="262"/>
      <c r="M48" s="262"/>
      <c r="N48" s="262"/>
      <c r="O48" s="262"/>
      <c r="P48" s="262"/>
      <c r="Q48" s="262"/>
      <c r="R48" s="262"/>
      <c r="S48" s="262"/>
      <c r="T48" s="262"/>
      <c r="U48" s="262"/>
      <c r="V48" s="262"/>
      <c r="W48" s="262"/>
      <c r="X48" s="262"/>
      <c r="Y48" s="262"/>
      <c r="Z48" s="262"/>
      <c r="AA48" s="262"/>
      <c r="AB48" s="262"/>
    </row>
    <row r="49" spans="1:33" ht="25.5">
      <c r="A49" s="285" t="s">
        <v>14478</v>
      </c>
      <c r="B49" s="286" t="s">
        <v>14476</v>
      </c>
      <c r="C49" s="287">
        <v>88316</v>
      </c>
      <c r="D49" s="288" t="str">
        <f>IFERROR(VLOOKUP($C49,'24.08_ND'!$A:$D,2,0),)</f>
        <v>SERVENTE COM ENCARGOS COMPLEMENTARES</v>
      </c>
      <c r="E49" s="289" t="str">
        <f>IFERROR(VLOOKUP($C49,'24.08_ND'!$A:$D,3,0),)</f>
        <v>H</v>
      </c>
      <c r="F49" s="290">
        <v>12</v>
      </c>
      <c r="G49" s="291">
        <f>IFERROR(VLOOKUP($C49,'24.08_ND'!$A:$D,4,0),)</f>
        <v>18.510000000000002</v>
      </c>
      <c r="H49" s="292">
        <f>TRUNC(($F49*$G49),2)</f>
        <v>222.12</v>
      </c>
      <c r="I49" s="262"/>
      <c r="J49" s="262"/>
      <c r="K49" s="262"/>
      <c r="L49" s="262"/>
      <c r="M49" s="262"/>
      <c r="N49" s="262"/>
      <c r="O49" s="262"/>
      <c r="P49" s="262"/>
      <c r="Q49" s="262"/>
      <c r="R49" s="262"/>
      <c r="S49" s="262"/>
      <c r="T49" s="262"/>
      <c r="U49" s="262"/>
      <c r="V49" s="262"/>
      <c r="W49" s="262"/>
      <c r="X49" s="262"/>
      <c r="Y49" s="262"/>
      <c r="Z49" s="262"/>
      <c r="AA49" s="262"/>
      <c r="AB49" s="262"/>
      <c r="AD49" s="1791" t="e">
        <f>VLOOKUP(C49,'Medição '!$B$16:$F$1833,6,0)</f>
        <v>#N/A</v>
      </c>
      <c r="AE49" s="1791"/>
    </row>
    <row r="50" spans="1:33" ht="25.5">
      <c r="A50" s="317" t="s">
        <v>14479</v>
      </c>
      <c r="B50" s="312" t="str">
        <f>VLOOKUP($C50,'• CIs EXT'!$A:$E,2,0)</f>
        <v>EMOP</v>
      </c>
      <c r="C50" s="313">
        <v>10962</v>
      </c>
      <c r="D50" s="314" t="str">
        <f>VLOOKUP($C50,'• CIs EXT'!$A:$E,3,0)</f>
        <v>ALUGUEL CACAMBA DE ACO TIPO CONTAINER C/5M3 CAPAC.P/RETIRADA ENTULHO OBRA,INCL.CARREGA.,TRANSP.E DESCAR.LOCAIS AUTORIZ.</v>
      </c>
      <c r="E50" s="312" t="str">
        <f>VLOOKUP($C50,'• CIs EXT'!$A:$E,4,0)</f>
        <v>UN</v>
      </c>
      <c r="F50" s="315">
        <v>1</v>
      </c>
      <c r="G50" s="312">
        <f>VLOOKUP($C50,'• CIs EXT'!$A:$E,5,0)</f>
        <v>318.85000000000002</v>
      </c>
      <c r="H50" s="316">
        <f>TRUNC(($F50*$G50),2)</f>
        <v>318.85000000000002</v>
      </c>
      <c r="I50" s="262"/>
      <c r="J50" s="262"/>
      <c r="K50" s="262"/>
      <c r="L50" s="262"/>
      <c r="M50" s="262"/>
      <c r="N50" s="262"/>
      <c r="O50" s="262"/>
      <c r="P50" s="262"/>
      <c r="Q50" s="262"/>
      <c r="R50" s="262"/>
      <c r="S50" s="262"/>
      <c r="T50" s="262"/>
      <c r="U50" s="262"/>
      <c r="V50" s="262"/>
      <c r="W50" s="262"/>
      <c r="X50" s="262"/>
      <c r="Y50" s="262"/>
      <c r="Z50" s="262"/>
      <c r="AA50" s="262"/>
      <c r="AB50" s="262"/>
    </row>
    <row r="51" spans="1:33" ht="12.75">
      <c r="A51" s="301"/>
      <c r="B51" s="302"/>
      <c r="C51" s="303"/>
      <c r="D51" s="304"/>
      <c r="E51" s="305"/>
      <c r="F51" s="306"/>
      <c r="G51" s="307"/>
      <c r="H51" s="308"/>
      <c r="I51" s="262"/>
      <c r="J51" s="262"/>
      <c r="K51" s="262"/>
      <c r="L51" s="262"/>
      <c r="M51" s="262"/>
      <c r="N51" s="262"/>
      <c r="O51" s="262"/>
      <c r="P51" s="262"/>
      <c r="Q51" s="262"/>
      <c r="R51" s="262"/>
      <c r="S51" s="262"/>
      <c r="T51" s="262"/>
      <c r="U51" s="262"/>
      <c r="V51" s="262"/>
      <c r="W51" s="262"/>
      <c r="X51" s="262"/>
      <c r="Y51" s="262"/>
      <c r="Z51" s="262"/>
      <c r="AA51" s="262"/>
      <c r="AB51" s="262"/>
    </row>
    <row r="52" spans="1:33" ht="66.75" customHeight="1">
      <c r="A52" s="271" t="s">
        <v>14471</v>
      </c>
      <c r="B52" s="272" t="s">
        <v>14472</v>
      </c>
      <c r="C52" s="273" t="s">
        <v>14496</v>
      </c>
      <c r="D52" s="1861" t="s">
        <v>14497</v>
      </c>
      <c r="E52" s="272" t="s">
        <v>6</v>
      </c>
      <c r="F52" s="272"/>
      <c r="G52" s="272"/>
      <c r="H52" s="275">
        <f>SUM(H54:H70)</f>
        <v>7973.2799999999988</v>
      </c>
      <c r="I52" s="276">
        <f>COUNTIF($C$8:$C52,C:C)</f>
        <v>1</v>
      </c>
      <c r="J52" s="262"/>
      <c r="K52" s="262"/>
      <c r="L52" s="262"/>
      <c r="M52" s="262"/>
      <c r="N52" s="262"/>
      <c r="O52" s="262"/>
      <c r="P52" s="262"/>
      <c r="Q52" s="262"/>
      <c r="R52" s="262"/>
      <c r="S52" s="262"/>
      <c r="T52" s="262"/>
      <c r="U52" s="262"/>
      <c r="V52" s="262"/>
      <c r="W52" s="262"/>
      <c r="X52" s="262"/>
      <c r="Y52" s="262"/>
      <c r="Z52" s="262"/>
      <c r="AA52" s="262"/>
      <c r="AB52" s="262"/>
      <c r="AG52" t="s">
        <v>14497</v>
      </c>
    </row>
    <row r="53" spans="1:33" ht="25.5">
      <c r="A53" s="277" t="s">
        <v>14475</v>
      </c>
      <c r="B53" s="326" t="s">
        <v>14498</v>
      </c>
      <c r="C53" s="327"/>
      <c r="D53" s="328" t="s">
        <v>14499</v>
      </c>
      <c r="E53" s="329"/>
      <c r="F53" s="282"/>
      <c r="G53" s="283"/>
      <c r="H53" s="284"/>
      <c r="I53" s="262"/>
      <c r="J53" s="262"/>
      <c r="K53" s="262"/>
      <c r="L53" s="262"/>
      <c r="M53" s="262"/>
      <c r="N53" s="262"/>
      <c r="O53" s="262"/>
      <c r="P53" s="262"/>
      <c r="Q53" s="262"/>
      <c r="R53" s="262"/>
      <c r="S53" s="262"/>
      <c r="T53" s="262"/>
      <c r="U53" s="262"/>
      <c r="V53" s="262"/>
      <c r="W53" s="262"/>
      <c r="X53" s="262"/>
      <c r="Y53" s="262"/>
      <c r="Z53" s="262"/>
      <c r="AA53" s="262"/>
      <c r="AB53" s="262"/>
    </row>
    <row r="54" spans="1:33" ht="25.5">
      <c r="A54" s="285" t="s">
        <v>14478</v>
      </c>
      <c r="B54" s="286" t="s">
        <v>14476</v>
      </c>
      <c r="C54" s="287">
        <v>88247</v>
      </c>
      <c r="D54" s="288" t="str">
        <f>IFERROR(VLOOKUP($C54,'24.08_ND'!$A:$D,2,0),)</f>
        <v>AUXILIAR DE ELETRICISTA COM ENCARGOS COMPLEMENTARES</v>
      </c>
      <c r="E54" s="289" t="str">
        <f>IFERROR(VLOOKUP($C54,'24.08_ND'!$A:$D,3,0),)</f>
        <v>H</v>
      </c>
      <c r="F54" s="290">
        <v>5</v>
      </c>
      <c r="G54" s="291">
        <f>IFERROR(VLOOKUP($C54,'24.08_ND'!$A:$D,4,0),)</f>
        <v>20</v>
      </c>
      <c r="H54" s="292">
        <f t="shared" ref="H54:H70" si="2">TRUNC(($F54*$G54),2)</f>
        <v>100</v>
      </c>
      <c r="I54" s="262"/>
      <c r="J54" s="262"/>
      <c r="K54" s="262"/>
      <c r="L54" s="262"/>
      <c r="M54" s="262"/>
      <c r="N54" s="262"/>
      <c r="O54" s="262"/>
      <c r="P54" s="262"/>
      <c r="Q54" s="262"/>
      <c r="R54" s="262"/>
      <c r="S54" s="262"/>
      <c r="T54" s="262"/>
      <c r="U54" s="262"/>
      <c r="V54" s="262"/>
      <c r="W54" s="262"/>
      <c r="X54" s="262"/>
      <c r="Y54" s="262"/>
      <c r="Z54" s="262"/>
      <c r="AA54" s="262"/>
      <c r="AB54" s="262"/>
      <c r="AD54" s="1791" t="e">
        <f>VLOOKUP(C54,'Medição '!$B$16:$F$1833,6,0)</f>
        <v>#N/A</v>
      </c>
      <c r="AE54" s="1791"/>
    </row>
    <row r="55" spans="1:33" ht="25.5">
      <c r="A55" s="285" t="s">
        <v>14478</v>
      </c>
      <c r="B55" s="286" t="s">
        <v>14476</v>
      </c>
      <c r="C55" s="287">
        <v>88239</v>
      </c>
      <c r="D55" s="288" t="str">
        <f>IFERROR(VLOOKUP($C55,'24.08_ND'!$A:$D,2,0),)</f>
        <v>AJUDANTE DE CARPINTEIRO COM ENCARGOS COMPLEMENTARES</v>
      </c>
      <c r="E55" s="289" t="str">
        <f>IFERROR(VLOOKUP($C55,'24.08_ND'!$A:$D,3,0),)</f>
        <v>H</v>
      </c>
      <c r="F55" s="290">
        <v>18</v>
      </c>
      <c r="G55" s="291">
        <f>IFERROR(VLOOKUP($C55,'24.08_ND'!$A:$D,4,0),)</f>
        <v>19.510000000000002</v>
      </c>
      <c r="H55" s="292">
        <f t="shared" si="2"/>
        <v>351.18</v>
      </c>
      <c r="I55" s="262"/>
      <c r="J55" s="262"/>
      <c r="K55" s="262"/>
      <c r="L55" s="262"/>
      <c r="M55" s="262"/>
      <c r="N55" s="262"/>
      <c r="O55" s="262"/>
      <c r="P55" s="262"/>
      <c r="Q55" s="262"/>
      <c r="R55" s="262"/>
      <c r="S55" s="262"/>
      <c r="T55" s="262"/>
      <c r="U55" s="262"/>
      <c r="V55" s="262"/>
      <c r="W55" s="262"/>
      <c r="X55" s="262"/>
      <c r="Y55" s="262"/>
      <c r="Z55" s="262"/>
      <c r="AA55" s="262"/>
      <c r="AB55" s="262"/>
      <c r="AD55" s="1791" t="e">
        <f>VLOOKUP(C55,'Medição '!$B$16:$F$1833,6,0)</f>
        <v>#N/A</v>
      </c>
      <c r="AE55" s="1791"/>
    </row>
    <row r="56" spans="1:33" ht="38.25">
      <c r="A56" s="285" t="s">
        <v>14478</v>
      </c>
      <c r="B56" s="286" t="s">
        <v>14476</v>
      </c>
      <c r="C56" s="287">
        <v>94207</v>
      </c>
      <c r="D56" s="288" t="str">
        <f>IFERROR(VLOOKUP($C56,'24.08_ND'!$A:$D,2,0),)</f>
        <v>TELHAMENTO COM TELHA ONDULADA DE FIBROCIMENTO E = 6 MM, COM RECOBRIMENTO LATERAL DE 1/4 DE ONDA PARA TELHADO COM INCLINAÇÃO MAIOR QUE 10°, COM ATÉ 2 ÁGUAS, INCLUSO IÇAMENTO. AF_07/2019</v>
      </c>
      <c r="E56" s="289" t="str">
        <f>IFERROR(VLOOKUP($C56,'24.08_ND'!$A:$D,3,0),)</f>
        <v>M2</v>
      </c>
      <c r="F56" s="290">
        <v>31.4</v>
      </c>
      <c r="G56" s="291">
        <f>IFERROR(VLOOKUP($C56,'24.08_ND'!$A:$D,4,0),)</f>
        <v>42.62</v>
      </c>
      <c r="H56" s="292">
        <f t="shared" si="2"/>
        <v>1338.26</v>
      </c>
      <c r="I56" s="262"/>
      <c r="J56" s="262"/>
      <c r="K56" s="262"/>
      <c r="L56" s="262"/>
      <c r="M56" s="262"/>
      <c r="N56" s="262"/>
      <c r="O56" s="262"/>
      <c r="P56" s="262"/>
      <c r="Q56" s="262"/>
      <c r="R56" s="262"/>
      <c r="S56" s="262"/>
      <c r="T56" s="262"/>
      <c r="U56" s="262"/>
      <c r="V56" s="262"/>
      <c r="W56" s="262"/>
      <c r="X56" s="262"/>
      <c r="Y56" s="262"/>
      <c r="Z56" s="262"/>
      <c r="AA56" s="262"/>
      <c r="AB56" s="262"/>
      <c r="AD56" s="1791" t="e">
        <f>VLOOKUP(C56,'Medição '!$B$16:$F$1833,6,0)</f>
        <v>#N/A</v>
      </c>
      <c r="AE56" s="1791"/>
    </row>
    <row r="57" spans="1:33" ht="25.5">
      <c r="A57" s="285" t="s">
        <v>14478</v>
      </c>
      <c r="B57" s="286" t="s">
        <v>14476</v>
      </c>
      <c r="C57" s="287">
        <v>88316</v>
      </c>
      <c r="D57" s="288" t="str">
        <f>IFERROR(VLOOKUP($C57,'24.08_ND'!$A:$D,2,0),)</f>
        <v>SERVENTE COM ENCARGOS COMPLEMENTARES</v>
      </c>
      <c r="E57" s="289" t="str">
        <f>IFERROR(VLOOKUP($C57,'24.08_ND'!$A:$D,3,0),)</f>
        <v>H</v>
      </c>
      <c r="F57" s="290">
        <v>28</v>
      </c>
      <c r="G57" s="291">
        <f>IFERROR(VLOOKUP($C57,'24.08_ND'!$A:$D,4,0),)</f>
        <v>18.510000000000002</v>
      </c>
      <c r="H57" s="292">
        <f t="shared" si="2"/>
        <v>518.28</v>
      </c>
      <c r="I57" s="262"/>
      <c r="J57" s="262"/>
      <c r="K57" s="262"/>
      <c r="L57" s="262"/>
      <c r="M57" s="262"/>
      <c r="N57" s="262"/>
      <c r="O57" s="262"/>
      <c r="P57" s="262"/>
      <c r="Q57" s="262"/>
      <c r="R57" s="262"/>
      <c r="S57" s="262"/>
      <c r="T57" s="262"/>
      <c r="U57" s="262"/>
      <c r="V57" s="262"/>
      <c r="W57" s="262"/>
      <c r="X57" s="262"/>
      <c r="Y57" s="262"/>
      <c r="Z57" s="262"/>
      <c r="AA57" s="262"/>
      <c r="AB57" s="262"/>
      <c r="AD57" s="1791" t="e">
        <f>VLOOKUP(C57,'Medição '!$B$16:$F$1833,6,0)</f>
        <v>#N/A</v>
      </c>
      <c r="AE57" s="1791"/>
    </row>
    <row r="58" spans="1:33" ht="25.5">
      <c r="A58" s="285" t="s">
        <v>14478</v>
      </c>
      <c r="B58" s="286" t="s">
        <v>14476</v>
      </c>
      <c r="C58" s="287">
        <v>88264</v>
      </c>
      <c r="D58" s="288" t="str">
        <f>IFERROR(VLOOKUP($C58,'24.08_ND'!$A:$D,2,0),)</f>
        <v>ELETRICISTA COM ENCARGOS COMPLEMENTARES</v>
      </c>
      <c r="E58" s="289" t="str">
        <f>IFERROR(VLOOKUP($C58,'24.08_ND'!$A:$D,3,0),)</f>
        <v>H</v>
      </c>
      <c r="F58" s="290">
        <v>4.5</v>
      </c>
      <c r="G58" s="291">
        <f>IFERROR(VLOOKUP($C58,'24.08_ND'!$A:$D,4,0),)</f>
        <v>24.3</v>
      </c>
      <c r="H58" s="292">
        <f t="shared" si="2"/>
        <v>109.35</v>
      </c>
      <c r="I58" s="262"/>
      <c r="J58" s="262"/>
      <c r="K58" s="262"/>
      <c r="L58" s="262"/>
      <c r="M58" s="262"/>
      <c r="N58" s="262"/>
      <c r="O58" s="262"/>
      <c r="P58" s="262"/>
      <c r="Q58" s="262"/>
      <c r="R58" s="262"/>
      <c r="S58" s="262"/>
      <c r="T58" s="262"/>
      <c r="U58" s="262"/>
      <c r="V58" s="262"/>
      <c r="W58" s="262"/>
      <c r="X58" s="262"/>
      <c r="Y58" s="262"/>
      <c r="Z58" s="262"/>
      <c r="AA58" s="262"/>
      <c r="AB58" s="262"/>
      <c r="AD58" s="1791" t="e">
        <f>VLOOKUP(C58,'Medição '!$B$16:$F$1833,6,0)</f>
        <v>#N/A</v>
      </c>
      <c r="AE58" s="1791"/>
    </row>
    <row r="59" spans="1:33" ht="25.5">
      <c r="A59" s="285" t="s">
        <v>14478</v>
      </c>
      <c r="B59" s="286" t="s">
        <v>14476</v>
      </c>
      <c r="C59" s="287">
        <v>88262</v>
      </c>
      <c r="D59" s="288" t="str">
        <f>IFERROR(VLOOKUP($C59,'24.08_ND'!$A:$D,2,0),)</f>
        <v>CARPINTEIRO DE FORMAS COM ENCARGOS COMPLEMENTARES</v>
      </c>
      <c r="E59" s="289" t="str">
        <f>IFERROR(VLOOKUP($C59,'24.08_ND'!$A:$D,3,0),)</f>
        <v>H</v>
      </c>
      <c r="F59" s="290">
        <v>16</v>
      </c>
      <c r="G59" s="291">
        <f>IFERROR(VLOOKUP($C59,'24.08_ND'!$A:$D,4,0),)</f>
        <v>23.01</v>
      </c>
      <c r="H59" s="292">
        <f t="shared" si="2"/>
        <v>368.16</v>
      </c>
      <c r="I59" s="262"/>
      <c r="J59" s="262"/>
      <c r="K59" s="262"/>
      <c r="L59" s="262"/>
      <c r="M59" s="262"/>
      <c r="N59" s="262"/>
      <c r="O59" s="262"/>
      <c r="P59" s="262"/>
      <c r="Q59" s="262"/>
      <c r="R59" s="262"/>
      <c r="S59" s="262"/>
      <c r="T59" s="262"/>
      <c r="U59" s="262"/>
      <c r="V59" s="262"/>
      <c r="W59" s="262"/>
      <c r="X59" s="262"/>
      <c r="Y59" s="262"/>
      <c r="Z59" s="262"/>
      <c r="AA59" s="262"/>
      <c r="AB59" s="262"/>
      <c r="AD59" s="1791" t="e">
        <f>VLOOKUP(C59,'Medição '!$B$16:$F$1833,6,0)</f>
        <v>#N/A</v>
      </c>
      <c r="AE59" s="1791"/>
    </row>
    <row r="60" spans="1:33" ht="38.25">
      <c r="A60" s="285" t="s">
        <v>14478</v>
      </c>
      <c r="B60" s="286" t="s">
        <v>14476</v>
      </c>
      <c r="C60" s="287">
        <v>94994</v>
      </c>
      <c r="D60" s="288" t="str">
        <f>IFERROR(VLOOKUP($C60,'24.08_ND'!$A:$D,2,0),)</f>
        <v>EXECUÇÃO DE PASSEIO (CALÇADA) OU PISO DE CONCRETO COM CONCRETO MOLDADO IN LOCO, FEITO EM OBRA, ACABAMENTO CONVENCIONAL, ESPESSURA 8 CM, ARMADO. AF_08/2022</v>
      </c>
      <c r="E60" s="289" t="str">
        <f>IFERROR(VLOOKUP($C60,'24.08_ND'!$A:$D,3,0),)</f>
        <v>M2</v>
      </c>
      <c r="F60" s="290">
        <v>25</v>
      </c>
      <c r="G60" s="291">
        <f>IFERROR(VLOOKUP($C60,'24.08_ND'!$A:$D,4,0),)</f>
        <v>93.85</v>
      </c>
      <c r="H60" s="292">
        <f t="shared" si="2"/>
        <v>2346.25</v>
      </c>
      <c r="I60" s="262"/>
      <c r="J60" s="262"/>
      <c r="K60" s="262"/>
      <c r="L60" s="262"/>
      <c r="M60" s="262"/>
      <c r="N60" s="262"/>
      <c r="O60" s="262"/>
      <c r="P60" s="262"/>
      <c r="Q60" s="262"/>
      <c r="R60" s="262"/>
      <c r="S60" s="262"/>
      <c r="T60" s="262"/>
      <c r="U60" s="262"/>
      <c r="V60" s="262"/>
      <c r="W60" s="262"/>
      <c r="X60" s="262"/>
      <c r="Y60" s="262"/>
      <c r="Z60" s="262"/>
      <c r="AA60" s="262"/>
      <c r="AB60" s="262"/>
      <c r="AD60" s="1791" t="e">
        <f>VLOOKUP(C60,'Medição '!$B$16:$F$1833,6,0)</f>
        <v>#N/A</v>
      </c>
      <c r="AE60" s="1791"/>
    </row>
    <row r="61" spans="1:33" ht="25.5">
      <c r="A61" s="285" t="s">
        <v>14478</v>
      </c>
      <c r="B61" s="286" t="s">
        <v>14476</v>
      </c>
      <c r="C61" s="287">
        <v>93662</v>
      </c>
      <c r="D61" s="288" t="str">
        <f>IFERROR(VLOOKUP($C61,'24.08_ND'!$A:$D,2,0),)</f>
        <v>DISJUNTOR BIPOLAR TIPO DIN, CORRENTE NOMINAL DE 20A - FORNECIMENTO E INSTALAÇÃO. AF_10/2020</v>
      </c>
      <c r="E61" s="289" t="str">
        <f>IFERROR(VLOOKUP($C61,'24.08_ND'!$A:$D,3,0),)</f>
        <v>UN</v>
      </c>
      <c r="F61" s="290">
        <v>1</v>
      </c>
      <c r="G61" s="291">
        <f>IFERROR(VLOOKUP($C61,'24.08_ND'!$A:$D,4,0),)</f>
        <v>55.9</v>
      </c>
      <c r="H61" s="292">
        <f t="shared" si="2"/>
        <v>55.9</v>
      </c>
      <c r="I61" s="262"/>
      <c r="J61" s="262"/>
      <c r="K61" s="262"/>
      <c r="L61" s="262"/>
      <c r="M61" s="262"/>
      <c r="N61" s="262"/>
      <c r="O61" s="262"/>
      <c r="P61" s="262"/>
      <c r="Q61" s="262"/>
      <c r="R61" s="262"/>
      <c r="S61" s="262"/>
      <c r="T61" s="262"/>
      <c r="U61" s="262"/>
      <c r="V61" s="262"/>
      <c r="W61" s="262"/>
      <c r="X61" s="262"/>
      <c r="Y61" s="262"/>
      <c r="Z61" s="262"/>
      <c r="AA61" s="262"/>
      <c r="AB61" s="262"/>
      <c r="AD61" s="1791" t="e">
        <f>VLOOKUP(C61,'Medição '!$B$16:$F$1833,6,0)</f>
        <v>#N/A</v>
      </c>
      <c r="AE61" s="1791"/>
    </row>
    <row r="62" spans="1:33" ht="25.5">
      <c r="A62" s="285" t="s">
        <v>14478</v>
      </c>
      <c r="B62" s="286" t="s">
        <v>14476</v>
      </c>
      <c r="C62" s="287">
        <v>88309</v>
      </c>
      <c r="D62" s="288" t="str">
        <f>IFERROR(VLOOKUP($C62,'24.08_ND'!$A:$D,2,0),)</f>
        <v>PEDREIRO COM ENCARGOS COMPLEMENTARES</v>
      </c>
      <c r="E62" s="289" t="str">
        <f>IFERROR(VLOOKUP($C62,'24.08_ND'!$A:$D,3,0),)</f>
        <v>H</v>
      </c>
      <c r="F62" s="290">
        <v>24</v>
      </c>
      <c r="G62" s="291">
        <f>IFERROR(VLOOKUP($C62,'24.08_ND'!$A:$D,4,0),)</f>
        <v>23.33</v>
      </c>
      <c r="H62" s="292">
        <f t="shared" si="2"/>
        <v>559.91999999999996</v>
      </c>
      <c r="I62" s="262"/>
      <c r="J62" s="262"/>
      <c r="K62" s="262"/>
      <c r="L62" s="262"/>
      <c r="M62" s="262"/>
      <c r="N62" s="262"/>
      <c r="O62" s="262"/>
      <c r="P62" s="262"/>
      <c r="Q62" s="262"/>
      <c r="R62" s="262"/>
      <c r="S62" s="262"/>
      <c r="T62" s="262"/>
      <c r="U62" s="262"/>
      <c r="V62" s="262"/>
      <c r="W62" s="262"/>
      <c r="X62" s="262"/>
      <c r="Y62" s="262"/>
      <c r="Z62" s="262"/>
      <c r="AA62" s="262"/>
      <c r="AB62" s="262"/>
      <c r="AD62" s="1791" t="e">
        <f>VLOOKUP(C62,'Medição '!$B$16:$F$1833,6,0)</f>
        <v>#N/A</v>
      </c>
      <c r="AE62" s="1791"/>
    </row>
    <row r="63" spans="1:33" ht="12.75">
      <c r="A63" s="317" t="s">
        <v>14479</v>
      </c>
      <c r="B63" s="312" t="str">
        <f>VLOOKUP($C63,'• CIs EXT'!$A:$E,2,0)</f>
        <v>ORSE</v>
      </c>
      <c r="C63" s="313">
        <v>3162</v>
      </c>
      <c r="D63" s="314" t="str">
        <f>VLOOKUP($C63,'• CIs EXT'!$A:$E,3,0)</f>
        <v>CABO DE COBRE PP CORDPLAST 4 X 2,5 MM2, 450/750V</v>
      </c>
      <c r="E63" s="312" t="str">
        <f>VLOOKUP($C63,'• CIs EXT'!$A:$E,4,0)</f>
        <v>M</v>
      </c>
      <c r="F63" s="315">
        <v>12</v>
      </c>
      <c r="G63" s="312">
        <f>VLOOKUP($C63,'• CIs EXT'!$A:$E,5,0)</f>
        <v>9.01</v>
      </c>
      <c r="H63" s="316">
        <f t="shared" si="2"/>
        <v>108.12</v>
      </c>
      <c r="I63" s="262"/>
      <c r="J63" s="262"/>
      <c r="K63" s="262"/>
      <c r="L63" s="262"/>
      <c r="M63" s="262"/>
      <c r="N63" s="262"/>
      <c r="O63" s="262"/>
      <c r="P63" s="262"/>
      <c r="Q63" s="262"/>
      <c r="R63" s="262"/>
      <c r="S63" s="262"/>
      <c r="T63" s="262"/>
      <c r="U63" s="262"/>
      <c r="V63" s="262"/>
      <c r="W63" s="262"/>
      <c r="X63" s="262"/>
      <c r="Y63" s="262"/>
      <c r="Z63" s="262"/>
      <c r="AA63" s="262"/>
      <c r="AB63" s="262"/>
    </row>
    <row r="64" spans="1:33" ht="12.75">
      <c r="A64" s="293" t="s">
        <v>14479</v>
      </c>
      <c r="B64" s="294" t="s">
        <v>14476</v>
      </c>
      <c r="C64" s="295">
        <v>21127</v>
      </c>
      <c r="D64" s="296" t="str">
        <f>IFERROR(VLOOKUP($C64,'24.08_ND'!$A:$D,2,0),)</f>
        <v>FITA ISOLANTE ADESIVA ANTICHAMA, USO ATE 750 V, EM ROLO DE 19 MM X 5 M</v>
      </c>
      <c r="E64" s="297" t="str">
        <f>IFERROR(VLOOKUP($C64,'24.08_ND'!$A:$D,3,0),)</f>
        <v>UN</v>
      </c>
      <c r="F64" s="298">
        <v>0.09</v>
      </c>
      <c r="G64" s="299">
        <f>IFERROR(VLOOKUP($C64,'24.08_ND'!$A:$D,4,0),)</f>
        <v>4.2</v>
      </c>
      <c r="H64" s="300">
        <f t="shared" si="2"/>
        <v>0.37</v>
      </c>
      <c r="I64" s="262"/>
      <c r="J64" s="262"/>
      <c r="K64" s="262"/>
      <c r="L64" s="262"/>
      <c r="M64" s="262"/>
      <c r="N64" s="262"/>
      <c r="O64" s="262"/>
      <c r="P64" s="262"/>
      <c r="Q64" s="262"/>
      <c r="R64" s="262"/>
      <c r="S64" s="262"/>
      <c r="T64" s="262"/>
      <c r="U64" s="262"/>
      <c r="V64" s="262"/>
      <c r="W64" s="262"/>
      <c r="X64" s="262"/>
      <c r="Y64" s="262"/>
      <c r="Z64" s="262"/>
      <c r="AA64" s="262"/>
      <c r="AB64" s="262"/>
    </row>
    <row r="65" spans="1:28" ht="25.5">
      <c r="A65" s="293" t="s">
        <v>14479</v>
      </c>
      <c r="B65" s="294" t="s">
        <v>14476</v>
      </c>
      <c r="C65" s="295">
        <v>39812</v>
      </c>
      <c r="D65" s="296" t="str">
        <f>IFERROR(VLOOKUP($C65,'24.08_ND'!$A:$D,2,0),)</f>
        <v>CAIXA DE PASSAGEM ELETRICA DE PAREDE, DE EMBUTIR, EM PVC, COM TAMPA APARAFUSADA, DIMENSOES 200 X 200 X *90* MM</v>
      </c>
      <c r="E65" s="297" t="str">
        <f>IFERROR(VLOOKUP($C65,'24.08_ND'!$A:$D,3,0),)</f>
        <v>UN</v>
      </c>
      <c r="F65" s="298">
        <v>1</v>
      </c>
      <c r="G65" s="299">
        <f>IFERROR(VLOOKUP($C65,'24.08_ND'!$A:$D,4,0),)</f>
        <v>73.55</v>
      </c>
      <c r="H65" s="300">
        <f t="shared" si="2"/>
        <v>73.55</v>
      </c>
      <c r="I65" s="262"/>
      <c r="J65" s="262"/>
      <c r="K65" s="262"/>
      <c r="L65" s="262"/>
      <c r="M65" s="262"/>
      <c r="N65" s="262"/>
      <c r="O65" s="262"/>
      <c r="P65" s="262"/>
      <c r="Q65" s="262"/>
      <c r="R65" s="262"/>
      <c r="S65" s="262"/>
      <c r="T65" s="262"/>
      <c r="U65" s="262"/>
      <c r="V65" s="262"/>
      <c r="W65" s="262"/>
      <c r="X65" s="262"/>
      <c r="Y65" s="262"/>
      <c r="Z65" s="262"/>
      <c r="AA65" s="262"/>
      <c r="AB65" s="262"/>
    </row>
    <row r="66" spans="1:28" ht="25.5">
      <c r="A66" s="293" t="s">
        <v>14479</v>
      </c>
      <c r="B66" s="294" t="s">
        <v>14476</v>
      </c>
      <c r="C66" s="295">
        <v>4430</v>
      </c>
      <c r="D66" s="296" t="str">
        <f>IFERROR(VLOOKUP($C66,'24.08_ND'!$A:$D,2,0),)</f>
        <v>CAIBRO NAO APARELHADO *5 X 6* CM, EM MACARANDUBA/MASSARANDUBA, ANGELIM OU EQUIVALENTE DA REGIAO - BRUTA</v>
      </c>
      <c r="E66" s="297" t="str">
        <f>IFERROR(VLOOKUP($C66,'24.08_ND'!$A:$D,3,0),)</f>
        <v>M</v>
      </c>
      <c r="F66" s="298">
        <v>30</v>
      </c>
      <c r="G66" s="299">
        <f>IFERROR(VLOOKUP($C66,'24.08_ND'!$A:$D,4,0),)</f>
        <v>10.74</v>
      </c>
      <c r="H66" s="300">
        <f t="shared" si="2"/>
        <v>322.2</v>
      </c>
      <c r="I66" s="262"/>
      <c r="J66" s="262"/>
      <c r="K66" s="262"/>
      <c r="L66" s="262"/>
      <c r="M66" s="262"/>
      <c r="N66" s="262"/>
      <c r="O66" s="262"/>
      <c r="P66" s="262"/>
      <c r="Q66" s="262"/>
      <c r="R66" s="262"/>
      <c r="S66" s="262"/>
      <c r="T66" s="262"/>
      <c r="U66" s="262"/>
      <c r="V66" s="262"/>
      <c r="W66" s="262"/>
      <c r="X66" s="262"/>
      <c r="Y66" s="262"/>
      <c r="Z66" s="262"/>
      <c r="AA66" s="262"/>
      <c r="AB66" s="262"/>
    </row>
    <row r="67" spans="1:28" ht="25.5">
      <c r="A67" s="293" t="s">
        <v>14479</v>
      </c>
      <c r="B67" s="294" t="s">
        <v>14476</v>
      </c>
      <c r="C67" s="295">
        <v>6193</v>
      </c>
      <c r="D67" s="296" t="str">
        <f>IFERROR(VLOOKUP($C67,'24.08_ND'!$A:$D,2,0),)</f>
        <v>TABUA NAO APARELHADA *2,5 X 20* CM, EM MACARANDUBA/MASSARANDUBA, ANGELIM OU EQUIVALENTE DA REGIAO - BRUTA</v>
      </c>
      <c r="E67" s="297" t="str">
        <f>IFERROR(VLOOKUP($C67,'24.08_ND'!$A:$D,3,0),)</f>
        <v>M</v>
      </c>
      <c r="F67" s="298">
        <v>30</v>
      </c>
      <c r="G67" s="299">
        <f>IFERROR(VLOOKUP($C67,'24.08_ND'!$A:$D,4,0),)</f>
        <v>15.18</v>
      </c>
      <c r="H67" s="300">
        <f t="shared" si="2"/>
        <v>455.4</v>
      </c>
      <c r="I67" s="262"/>
      <c r="J67" s="262"/>
      <c r="K67" s="262"/>
      <c r="L67" s="262"/>
      <c r="M67" s="262"/>
      <c r="N67" s="262"/>
      <c r="O67" s="262"/>
      <c r="P67" s="262"/>
      <c r="Q67" s="262"/>
      <c r="R67" s="262"/>
      <c r="S67" s="262"/>
      <c r="T67" s="262"/>
      <c r="U67" s="262"/>
      <c r="V67" s="262"/>
      <c r="W67" s="262"/>
      <c r="X67" s="262"/>
      <c r="Y67" s="262"/>
      <c r="Z67" s="262"/>
      <c r="AA67" s="262"/>
      <c r="AB67" s="262"/>
    </row>
    <row r="68" spans="1:28" ht="12.75">
      <c r="A68" s="293" t="s">
        <v>14479</v>
      </c>
      <c r="B68" s="294" t="s">
        <v>14476</v>
      </c>
      <c r="C68" s="295">
        <v>2676</v>
      </c>
      <c r="D68" s="296" t="str">
        <f>IFERROR(VLOOKUP($C68,'24.08_ND'!$A:$D,2,0),)</f>
        <v>ELETRODUTO DE PVC RIGIDO SOLDAVEL, CLASSE B, DE 20 MM</v>
      </c>
      <c r="E68" s="297" t="str">
        <f>IFERROR(VLOOKUP($C68,'24.08_ND'!$A:$D,3,0),)</f>
        <v>M</v>
      </c>
      <c r="F68" s="298">
        <v>3</v>
      </c>
      <c r="G68" s="299">
        <f>IFERROR(VLOOKUP($C68,'24.08_ND'!$A:$D,4,0),)</f>
        <v>2.14</v>
      </c>
      <c r="H68" s="300">
        <f t="shared" si="2"/>
        <v>6.42</v>
      </c>
      <c r="I68" s="262"/>
      <c r="J68" s="262"/>
      <c r="K68" s="262"/>
      <c r="L68" s="262"/>
      <c r="M68" s="262"/>
      <c r="N68" s="262"/>
      <c r="O68" s="262"/>
      <c r="P68" s="262"/>
      <c r="Q68" s="262"/>
      <c r="R68" s="262"/>
      <c r="S68" s="262"/>
      <c r="T68" s="262"/>
      <c r="U68" s="262"/>
      <c r="V68" s="262"/>
      <c r="W68" s="262"/>
      <c r="X68" s="262"/>
      <c r="Y68" s="262"/>
      <c r="Z68" s="262"/>
      <c r="AA68" s="262"/>
      <c r="AB68" s="262"/>
    </row>
    <row r="69" spans="1:28" ht="25.5">
      <c r="A69" s="293" t="s">
        <v>14479</v>
      </c>
      <c r="B69" s="294" t="s">
        <v>14476</v>
      </c>
      <c r="C69" s="295">
        <v>4472</v>
      </c>
      <c r="D69" s="296" t="str">
        <f>IFERROR(VLOOKUP($C69,'24.08_ND'!$A:$D,2,0),)</f>
        <v>VIGA NAO APARELHADA *6 X 16* CM, EM MACARANDUBA/MASSARANDUBA, ANGELIM OU EQUIVALENTE DA REGIAO - BRUTA</v>
      </c>
      <c r="E69" s="297" t="str">
        <f>IFERROR(VLOOKUP($C69,'24.08_ND'!$A:$D,3,0),)</f>
        <v>M</v>
      </c>
      <c r="F69" s="298">
        <v>24.4</v>
      </c>
      <c r="G69" s="299">
        <f>IFERROR(VLOOKUP($C69,'24.08_ND'!$A:$D,4,0),)</f>
        <v>28.4</v>
      </c>
      <c r="H69" s="300">
        <f t="shared" si="2"/>
        <v>692.96</v>
      </c>
      <c r="I69" s="262"/>
      <c r="J69" s="262"/>
      <c r="K69" s="262"/>
      <c r="L69" s="262"/>
      <c r="M69" s="262"/>
      <c r="N69" s="262"/>
      <c r="O69" s="262"/>
      <c r="P69" s="262"/>
      <c r="Q69" s="262"/>
      <c r="R69" s="262"/>
      <c r="S69" s="262"/>
      <c r="T69" s="262"/>
      <c r="U69" s="262"/>
      <c r="V69" s="262"/>
      <c r="W69" s="262"/>
      <c r="X69" s="262"/>
      <c r="Y69" s="262"/>
      <c r="Z69" s="262"/>
      <c r="AA69" s="262"/>
      <c r="AB69" s="262"/>
    </row>
    <row r="70" spans="1:28" ht="25.5">
      <c r="A70" s="293" t="s">
        <v>14479</v>
      </c>
      <c r="B70" s="294" t="s">
        <v>14476</v>
      </c>
      <c r="C70" s="295">
        <v>10888</v>
      </c>
      <c r="D70" s="296" t="str">
        <f>IFERROR(VLOOKUP($C70,'24.08_ND'!$A:$D,2,0),)</f>
        <v>EXTINTOR DE INCENDIO PORTATIL COM CARGA DE GAS CARBONICO CO2 DE 4 KG, CLASSE BC</v>
      </c>
      <c r="E70" s="297" t="str">
        <f>IFERROR(VLOOKUP($C70,'24.08_ND'!$A:$D,3,0),)</f>
        <v>UN</v>
      </c>
      <c r="F70" s="298">
        <v>1</v>
      </c>
      <c r="G70" s="299">
        <f>IFERROR(VLOOKUP($C70,'24.08_ND'!$A:$D,4,0),)</f>
        <v>566.96</v>
      </c>
      <c r="H70" s="300">
        <f t="shared" si="2"/>
        <v>566.96</v>
      </c>
      <c r="I70" s="262"/>
      <c r="J70" s="262"/>
      <c r="K70" s="262"/>
      <c r="L70" s="262"/>
      <c r="M70" s="262"/>
      <c r="N70" s="262"/>
      <c r="O70" s="262"/>
      <c r="P70" s="262"/>
      <c r="Q70" s="262"/>
      <c r="R70" s="262"/>
      <c r="S70" s="262"/>
      <c r="T70" s="262"/>
      <c r="U70" s="262"/>
      <c r="V70" s="262"/>
      <c r="W70" s="262"/>
      <c r="X70" s="262"/>
      <c r="Y70" s="262"/>
      <c r="Z70" s="262"/>
      <c r="AA70" s="262"/>
      <c r="AB70" s="262"/>
    </row>
    <row r="71" spans="1:28" ht="12.75">
      <c r="A71" s="301"/>
      <c r="B71" s="302"/>
      <c r="C71" s="303"/>
      <c r="D71" s="304"/>
      <c r="E71" s="305"/>
      <c r="F71" s="306"/>
      <c r="G71" s="307"/>
      <c r="H71" s="308"/>
      <c r="I71" s="262"/>
      <c r="J71" s="262"/>
      <c r="K71" s="262"/>
      <c r="L71" s="262"/>
      <c r="M71" s="262"/>
      <c r="N71" s="262"/>
      <c r="O71" s="262"/>
      <c r="P71" s="262"/>
      <c r="Q71" s="262"/>
      <c r="R71" s="262"/>
      <c r="S71" s="262"/>
      <c r="T71" s="262"/>
      <c r="U71" s="262"/>
      <c r="V71" s="262"/>
      <c r="W71" s="262"/>
      <c r="X71" s="262"/>
      <c r="Y71" s="262"/>
      <c r="Z71" s="262"/>
      <c r="AA71" s="262"/>
      <c r="AB71" s="262"/>
    </row>
    <row r="72" spans="1:28" ht="25.5">
      <c r="A72" s="271" t="s">
        <v>14471</v>
      </c>
      <c r="B72" s="272" t="s">
        <v>14472</v>
      </c>
      <c r="C72" s="273" t="s">
        <v>14500</v>
      </c>
      <c r="D72" s="274" t="s">
        <v>14501</v>
      </c>
      <c r="E72" s="272" t="s">
        <v>156</v>
      </c>
      <c r="F72" s="272"/>
      <c r="G72" s="272"/>
      <c r="H72" s="275">
        <f>TRUNC(SUM(H74))</f>
        <v>758</v>
      </c>
      <c r="I72" s="276">
        <f>COUNTIF($C$8:$C72,C:C)</f>
        <v>1</v>
      </c>
      <c r="J72" s="262"/>
      <c r="K72" s="262"/>
      <c r="L72" s="262"/>
      <c r="M72" s="262"/>
      <c r="N72" s="262"/>
      <c r="O72" s="262"/>
      <c r="P72" s="262"/>
      <c r="Q72" s="262"/>
      <c r="R72" s="262"/>
      <c r="S72" s="262"/>
      <c r="T72" s="262"/>
      <c r="U72" s="262"/>
      <c r="V72" s="262"/>
      <c r="W72" s="262"/>
      <c r="X72" s="262"/>
      <c r="Y72" s="262"/>
      <c r="Z72" s="262"/>
      <c r="AA72" s="262"/>
      <c r="AB72" s="262"/>
    </row>
    <row r="73" spans="1:28" ht="12.75">
      <c r="A73" s="277" t="s">
        <v>14475</v>
      </c>
      <c r="B73" s="278" t="s">
        <v>14502</v>
      </c>
      <c r="C73" s="330" t="s">
        <v>14503</v>
      </c>
      <c r="D73" s="280" t="s">
        <v>14490</v>
      </c>
      <c r="E73" s="281"/>
      <c r="F73" s="282"/>
      <c r="G73" s="283"/>
      <c r="H73" s="284"/>
      <c r="I73" s="262"/>
      <c r="J73" s="262"/>
      <c r="K73" s="262"/>
      <c r="L73" s="262"/>
      <c r="M73" s="262"/>
      <c r="N73" s="262"/>
      <c r="O73" s="262"/>
      <c r="P73" s="262"/>
      <c r="Q73" s="262"/>
      <c r="R73" s="262"/>
      <c r="S73" s="262"/>
      <c r="T73" s="262"/>
      <c r="U73" s="262"/>
      <c r="V73" s="262"/>
      <c r="W73" s="262"/>
      <c r="X73" s="262"/>
      <c r="Y73" s="262"/>
      <c r="Z73" s="262"/>
      <c r="AA73" s="262"/>
      <c r="AB73" s="262"/>
    </row>
    <row r="74" spans="1:28" ht="38.25">
      <c r="A74" s="293" t="s">
        <v>14479</v>
      </c>
      <c r="B74" s="294" t="s">
        <v>14476</v>
      </c>
      <c r="C74" s="295">
        <v>10775</v>
      </c>
      <c r="D74" s="296" t="str">
        <f>IFERROR(VLOOKUP($C74,'24.08_ND'!$A:$D,2,0),)</f>
        <v>LOCACAO DE CONTAINER 2,30 X 6,00 M, ALT. 2,50 M, COM 1 SANITARIO, PARA ESCRITORIO, COMPLETO, SEM DIVISORIAS INTERNAS (NAO INCLUI MOBILIZACAO/DESMOBILIZACAO)</v>
      </c>
      <c r="E74" s="297" t="str">
        <f>IFERROR(VLOOKUP($C74,'24.08_ND'!$A:$D,3,0),)</f>
        <v>MES</v>
      </c>
      <c r="F74" s="298">
        <v>1</v>
      </c>
      <c r="G74" s="299">
        <f>IFERROR(VLOOKUP($C74,'24.08_ND'!$A:$D,4,0),)</f>
        <v>758.4</v>
      </c>
      <c r="H74" s="300">
        <f>TRUNC(($F74*$G74),2)</f>
        <v>758.4</v>
      </c>
      <c r="I74" s="262"/>
      <c r="J74" s="262"/>
      <c r="K74" s="262"/>
      <c r="L74" s="262"/>
      <c r="M74" s="262"/>
      <c r="N74" s="262"/>
      <c r="O74" s="262"/>
      <c r="P74" s="262"/>
      <c r="Q74" s="262"/>
      <c r="R74" s="262"/>
      <c r="S74" s="262"/>
      <c r="T74" s="262"/>
      <c r="U74" s="262"/>
      <c r="V74" s="262"/>
      <c r="W74" s="262"/>
      <c r="X74" s="262"/>
      <c r="Y74" s="262"/>
      <c r="Z74" s="262"/>
      <c r="AA74" s="262"/>
      <c r="AB74" s="262"/>
    </row>
    <row r="75" spans="1:28" ht="12.75">
      <c r="A75" s="301"/>
      <c r="B75" s="302"/>
      <c r="C75" s="303"/>
      <c r="D75" s="304"/>
      <c r="E75" s="305"/>
      <c r="F75" s="306"/>
      <c r="G75" s="307"/>
      <c r="H75" s="308"/>
      <c r="I75" s="262"/>
      <c r="J75" s="262"/>
      <c r="K75" s="262"/>
      <c r="L75" s="262"/>
      <c r="M75" s="262"/>
      <c r="N75" s="262"/>
      <c r="O75" s="262"/>
      <c r="P75" s="262"/>
      <c r="Q75" s="262"/>
      <c r="R75" s="262"/>
      <c r="S75" s="262"/>
      <c r="T75" s="262"/>
      <c r="U75" s="262"/>
      <c r="V75" s="262"/>
      <c r="W75" s="262"/>
      <c r="X75" s="262"/>
      <c r="Y75" s="262"/>
      <c r="Z75" s="262"/>
      <c r="AA75" s="262"/>
      <c r="AB75" s="262"/>
    </row>
    <row r="76" spans="1:28" ht="25.5">
      <c r="A76" s="271" t="s">
        <v>14471</v>
      </c>
      <c r="B76" s="272" t="s">
        <v>14472</v>
      </c>
      <c r="C76" s="273" t="s">
        <v>14504</v>
      </c>
      <c r="D76" s="274" t="s">
        <v>14505</v>
      </c>
      <c r="E76" s="272" t="s">
        <v>156</v>
      </c>
      <c r="F76" s="272"/>
      <c r="G76" s="272"/>
      <c r="H76" s="275">
        <f>TRUNC(SUM(H78))</f>
        <v>861</v>
      </c>
      <c r="I76" s="276">
        <f>COUNTIF($C$8:$C76,C:C)</f>
        <v>1</v>
      </c>
      <c r="J76" s="262"/>
      <c r="K76" s="262"/>
      <c r="L76" s="262"/>
      <c r="M76" s="262"/>
      <c r="N76" s="262"/>
      <c r="O76" s="262"/>
      <c r="P76" s="262"/>
      <c r="Q76" s="262"/>
      <c r="R76" s="262"/>
      <c r="S76" s="262"/>
      <c r="T76" s="262"/>
      <c r="U76" s="262"/>
      <c r="V76" s="262"/>
      <c r="W76" s="262"/>
      <c r="X76" s="262"/>
      <c r="Y76" s="262"/>
      <c r="Z76" s="262"/>
      <c r="AA76" s="262"/>
      <c r="AB76" s="262"/>
    </row>
    <row r="77" spans="1:28" ht="12.75">
      <c r="A77" s="277" t="s">
        <v>14475</v>
      </c>
      <c r="B77" s="278" t="s">
        <v>14502</v>
      </c>
      <c r="C77" s="330" t="s">
        <v>14506</v>
      </c>
      <c r="D77" s="280" t="s">
        <v>14490</v>
      </c>
      <c r="E77" s="281"/>
      <c r="F77" s="282"/>
      <c r="G77" s="283"/>
      <c r="H77" s="284"/>
      <c r="I77" s="262"/>
      <c r="J77" s="262"/>
      <c r="K77" s="262"/>
      <c r="L77" s="262"/>
      <c r="M77" s="262"/>
      <c r="N77" s="262"/>
      <c r="O77" s="262"/>
      <c r="P77" s="262"/>
      <c r="Q77" s="262"/>
      <c r="R77" s="262"/>
      <c r="S77" s="262"/>
      <c r="T77" s="262"/>
      <c r="U77" s="262"/>
      <c r="V77" s="262"/>
      <c r="W77" s="262"/>
      <c r="X77" s="262"/>
      <c r="Y77" s="262"/>
      <c r="Z77" s="262"/>
      <c r="AA77" s="262"/>
      <c r="AB77" s="262"/>
    </row>
    <row r="78" spans="1:28" ht="25.5">
      <c r="A78" s="293" t="s">
        <v>14479</v>
      </c>
      <c r="B78" s="294" t="s">
        <v>14476</v>
      </c>
      <c r="C78" s="295">
        <v>10777</v>
      </c>
      <c r="D78" s="296" t="str">
        <f>IFERROR(VLOOKUP($C78,'24.08_ND'!$A:$D,2,0),)</f>
        <v>LOCACAO DE CONTAINER 2,30 X 4,30 M, ALT. 2,50 M, PARA SANITARIO, COM 3 BACIAS, 4 CHUVEIROS, 1 LAVATORIO E 1 MICTORIO (NAO INCLUI MOBILIZACAO/DESMOBILIZACAO)</v>
      </c>
      <c r="E78" s="297" t="str">
        <f>IFERROR(VLOOKUP($C78,'24.08_ND'!$A:$D,3,0),)</f>
        <v>MES</v>
      </c>
      <c r="F78" s="298">
        <v>1</v>
      </c>
      <c r="G78" s="299">
        <f>IFERROR(VLOOKUP($C78,'24.08_ND'!$A:$D,4,0),)</f>
        <v>861.1</v>
      </c>
      <c r="H78" s="300">
        <f>TRUNC(($F78*$G78),2)</f>
        <v>861.1</v>
      </c>
      <c r="I78" s="262"/>
      <c r="J78" s="262"/>
      <c r="K78" s="262"/>
      <c r="L78" s="262"/>
      <c r="M78" s="262"/>
      <c r="N78" s="262"/>
      <c r="O78" s="262"/>
      <c r="P78" s="262"/>
      <c r="Q78" s="262"/>
      <c r="R78" s="262"/>
      <c r="S78" s="262"/>
      <c r="T78" s="262"/>
      <c r="U78" s="262"/>
      <c r="V78" s="262"/>
      <c r="W78" s="262"/>
      <c r="X78" s="262"/>
      <c r="Y78" s="262"/>
      <c r="Z78" s="262"/>
      <c r="AA78" s="262"/>
      <c r="AB78" s="262"/>
    </row>
    <row r="79" spans="1:28" ht="12.75">
      <c r="A79" s="301"/>
      <c r="B79" s="302"/>
      <c r="C79" s="303"/>
      <c r="D79" s="304"/>
      <c r="E79" s="305"/>
      <c r="F79" s="306"/>
      <c r="G79" s="307"/>
      <c r="H79" s="308"/>
      <c r="I79" s="262"/>
      <c r="J79" s="262"/>
      <c r="K79" s="262"/>
      <c r="L79" s="262"/>
      <c r="M79" s="262"/>
      <c r="N79" s="262"/>
      <c r="O79" s="262"/>
      <c r="P79" s="262"/>
      <c r="Q79" s="262"/>
      <c r="R79" s="262"/>
      <c r="S79" s="262"/>
      <c r="T79" s="262"/>
      <c r="U79" s="262"/>
      <c r="V79" s="262"/>
      <c r="W79" s="262"/>
      <c r="X79" s="262"/>
      <c r="Y79" s="262"/>
      <c r="Z79" s="262"/>
      <c r="AA79" s="262"/>
      <c r="AB79" s="262"/>
    </row>
    <row r="80" spans="1:28" ht="25.5">
      <c r="A80" s="271" t="s">
        <v>14471</v>
      </c>
      <c r="B80" s="272" t="s">
        <v>14472</v>
      </c>
      <c r="C80" s="273" t="s">
        <v>14507</v>
      </c>
      <c r="D80" s="274" t="s">
        <v>14508</v>
      </c>
      <c r="E80" s="272" t="s">
        <v>156</v>
      </c>
      <c r="F80" s="272"/>
      <c r="G80" s="272"/>
      <c r="H80" s="275">
        <f>TRUNC(SUM(H82))</f>
        <v>948</v>
      </c>
      <c r="I80" s="276">
        <f>COUNTIF($C$8:$C80,C:C)</f>
        <v>1</v>
      </c>
      <c r="J80" s="262"/>
      <c r="K80" s="262"/>
      <c r="L80" s="262"/>
      <c r="M80" s="262"/>
      <c r="N80" s="262"/>
      <c r="O80" s="262"/>
      <c r="P80" s="262"/>
      <c r="Q80" s="262"/>
      <c r="R80" s="262"/>
      <c r="S80" s="262"/>
      <c r="T80" s="262"/>
      <c r="U80" s="262"/>
      <c r="V80" s="262"/>
      <c r="W80" s="262"/>
      <c r="X80" s="262"/>
      <c r="Y80" s="262"/>
      <c r="Z80" s="262"/>
      <c r="AA80" s="262"/>
      <c r="AB80" s="262"/>
    </row>
    <row r="81" spans="1:31" ht="12.75">
      <c r="A81" s="277" t="s">
        <v>14475</v>
      </c>
      <c r="B81" s="278" t="s">
        <v>14502</v>
      </c>
      <c r="C81" s="330" t="s">
        <v>14503</v>
      </c>
      <c r="D81" s="280" t="s">
        <v>14490</v>
      </c>
      <c r="E81" s="281"/>
      <c r="F81" s="282"/>
      <c r="G81" s="283"/>
      <c r="H81" s="284"/>
      <c r="I81" s="262"/>
      <c r="J81" s="262"/>
      <c r="K81" s="262"/>
      <c r="L81" s="262"/>
      <c r="M81" s="262"/>
      <c r="N81" s="262"/>
      <c r="O81" s="262"/>
      <c r="P81" s="262"/>
      <c r="Q81" s="262"/>
      <c r="R81" s="262"/>
      <c r="S81" s="262"/>
      <c r="T81" s="262"/>
      <c r="U81" s="262"/>
      <c r="V81" s="262"/>
      <c r="W81" s="262"/>
      <c r="X81" s="262"/>
      <c r="Y81" s="262"/>
      <c r="Z81" s="262"/>
      <c r="AA81" s="262"/>
      <c r="AB81" s="262"/>
    </row>
    <row r="82" spans="1:31" ht="25.5">
      <c r="A82" s="293" t="s">
        <v>14479</v>
      </c>
      <c r="B82" s="294" t="s">
        <v>14476</v>
      </c>
      <c r="C82" s="295">
        <v>10778</v>
      </c>
      <c r="D82" s="296" t="str">
        <f>IFERROR(VLOOKUP($C82,'24.08_ND'!$A:$D,2,0),)</f>
        <v>LOCACAO DE CONTAINER 2,30 X 6,00 M, ALT. 2,50 M, PARA SANITARIO, COM 4 BACIAS, 8 CHUVEIROS,1 LAVATORIO E 1 MICTORIO (NAO INCLUI MOBILIZACAO/DESMOBILIZACAO)</v>
      </c>
      <c r="E82" s="297" t="str">
        <f>IFERROR(VLOOKUP($C82,'24.08_ND'!$A:$D,3,0),)</f>
        <v>MES</v>
      </c>
      <c r="F82" s="298">
        <v>1</v>
      </c>
      <c r="G82" s="299">
        <f>IFERROR(VLOOKUP($C82,'24.08_ND'!$A:$D,4,0),)</f>
        <v>948</v>
      </c>
      <c r="H82" s="300">
        <f>TRUNC(($F82*$G82),2)</f>
        <v>948</v>
      </c>
      <c r="I82" s="262"/>
      <c r="J82" s="262"/>
      <c r="K82" s="262"/>
      <c r="L82" s="262"/>
      <c r="M82" s="262"/>
      <c r="N82" s="262"/>
      <c r="O82" s="262"/>
      <c r="P82" s="262"/>
      <c r="Q82" s="262"/>
      <c r="R82" s="262"/>
      <c r="S82" s="262"/>
      <c r="T82" s="262"/>
      <c r="U82" s="262"/>
      <c r="V82" s="262"/>
      <c r="W82" s="262"/>
      <c r="X82" s="262"/>
      <c r="Y82" s="262"/>
      <c r="Z82" s="262"/>
      <c r="AA82" s="262"/>
      <c r="AB82" s="262"/>
    </row>
    <row r="83" spans="1:31" ht="12.75">
      <c r="A83" s="309"/>
      <c r="B83" s="303"/>
      <c r="C83" s="303"/>
      <c r="D83" s="310"/>
      <c r="E83" s="303"/>
      <c r="F83" s="306"/>
      <c r="G83" s="307"/>
      <c r="H83" s="308"/>
      <c r="I83" s="262"/>
      <c r="J83" s="262"/>
      <c r="K83" s="262"/>
      <c r="L83" s="262"/>
      <c r="M83" s="262"/>
      <c r="N83" s="262"/>
      <c r="O83" s="262"/>
      <c r="P83" s="262"/>
      <c r="Q83" s="262"/>
      <c r="R83" s="262"/>
      <c r="S83" s="262"/>
      <c r="T83" s="262"/>
      <c r="U83" s="262"/>
      <c r="V83" s="262"/>
      <c r="W83" s="262"/>
      <c r="X83" s="262"/>
      <c r="Y83" s="262"/>
      <c r="Z83" s="262"/>
      <c r="AA83" s="262"/>
      <c r="AB83" s="262"/>
    </row>
    <row r="84" spans="1:31" ht="25.5">
      <c r="A84" s="271" t="s">
        <v>14471</v>
      </c>
      <c r="B84" s="272" t="s">
        <v>14472</v>
      </c>
      <c r="C84" s="273" t="s">
        <v>14509</v>
      </c>
      <c r="D84" s="274" t="s">
        <v>14510</v>
      </c>
      <c r="E84" s="272" t="s">
        <v>156</v>
      </c>
      <c r="F84" s="272"/>
      <c r="G84" s="272"/>
      <c r="H84" s="275">
        <f>TRUNC(SUM(H86))</f>
        <v>592</v>
      </c>
      <c r="I84" s="276">
        <f>COUNTIF($C$8:$C84,C:C)</f>
        <v>1</v>
      </c>
      <c r="J84" s="262"/>
      <c r="K84" s="262"/>
      <c r="L84" s="262"/>
      <c r="M84" s="262"/>
      <c r="N84" s="262"/>
      <c r="O84" s="262"/>
      <c r="P84" s="262"/>
      <c r="Q84" s="262"/>
      <c r="R84" s="262"/>
      <c r="S84" s="262"/>
      <c r="T84" s="262"/>
      <c r="U84" s="262"/>
      <c r="V84" s="262"/>
      <c r="W84" s="262"/>
      <c r="X84" s="262"/>
      <c r="Y84" s="262"/>
      <c r="Z84" s="262"/>
      <c r="AA84" s="262"/>
      <c r="AB84" s="262"/>
    </row>
    <row r="85" spans="1:31" ht="12.75">
      <c r="A85" s="277" t="s">
        <v>14475</v>
      </c>
      <c r="B85" s="278" t="s">
        <v>14502</v>
      </c>
      <c r="C85" s="330" t="s">
        <v>14503</v>
      </c>
      <c r="D85" s="280" t="s">
        <v>14490</v>
      </c>
      <c r="E85" s="281"/>
      <c r="F85" s="282"/>
      <c r="G85" s="283"/>
      <c r="H85" s="284"/>
      <c r="I85" s="262"/>
      <c r="J85" s="262"/>
      <c r="K85" s="262"/>
      <c r="L85" s="262"/>
      <c r="M85" s="262"/>
      <c r="N85" s="262"/>
      <c r="O85" s="262"/>
      <c r="P85" s="262"/>
      <c r="Q85" s="262"/>
      <c r="R85" s="262"/>
      <c r="S85" s="262"/>
      <c r="T85" s="262"/>
      <c r="U85" s="262"/>
      <c r="V85" s="262"/>
      <c r="W85" s="262"/>
      <c r="X85" s="262"/>
      <c r="Y85" s="262"/>
      <c r="Z85" s="262"/>
      <c r="AA85" s="262"/>
      <c r="AB85" s="262"/>
    </row>
    <row r="86" spans="1:31" ht="25.5">
      <c r="A86" s="293" t="s">
        <v>14479</v>
      </c>
      <c r="B86" s="294" t="s">
        <v>14476</v>
      </c>
      <c r="C86" s="295">
        <v>10776</v>
      </c>
      <c r="D86" s="296" t="str">
        <f>IFERROR(VLOOKUP($C86,'24.08_ND'!$A:$D,2,0),)</f>
        <v>LOCACAO DE CONTAINER 2,30 X 6,00 M, ALT. 2,50 M, PARA ESCRITORIO, SEM DIVISORIAS INTERNAS E SEM SANITARIO (NAO INCLUI MOBILIZACAO/DESMOBILIZACAO)</v>
      </c>
      <c r="E86" s="297" t="str">
        <f>IFERROR(VLOOKUP($C86,'24.08_ND'!$A:$D,3,0),)</f>
        <v>MES</v>
      </c>
      <c r="F86" s="298">
        <v>1</v>
      </c>
      <c r="G86" s="299">
        <f>IFERROR(VLOOKUP($C86,'24.08_ND'!$A:$D,4,0),)</f>
        <v>592.5</v>
      </c>
      <c r="H86" s="300">
        <f>TRUNC(($F86*$G86),2)</f>
        <v>592.5</v>
      </c>
      <c r="I86" s="262"/>
      <c r="J86" s="262"/>
      <c r="K86" s="262"/>
      <c r="L86" s="262"/>
      <c r="M86" s="262"/>
      <c r="N86" s="262"/>
      <c r="O86" s="262"/>
      <c r="P86" s="262"/>
      <c r="Q86" s="262"/>
      <c r="R86" s="262"/>
      <c r="S86" s="262"/>
      <c r="T86" s="262"/>
      <c r="U86" s="262"/>
      <c r="V86" s="262"/>
      <c r="W86" s="262"/>
      <c r="X86" s="262"/>
      <c r="Y86" s="262"/>
      <c r="Z86" s="262"/>
      <c r="AA86" s="262"/>
      <c r="AB86" s="262"/>
    </row>
    <row r="87" spans="1:31" ht="12.75">
      <c r="A87" s="301"/>
      <c r="B87" s="302"/>
      <c r="C87" s="303"/>
      <c r="D87" s="304"/>
      <c r="E87" s="305"/>
      <c r="F87" s="306"/>
      <c r="G87" s="307"/>
      <c r="H87" s="308"/>
      <c r="I87" s="262"/>
      <c r="J87" s="262"/>
      <c r="K87" s="262"/>
      <c r="L87" s="262"/>
      <c r="M87" s="262"/>
      <c r="N87" s="262"/>
      <c r="O87" s="262"/>
      <c r="P87" s="262"/>
      <c r="Q87" s="262"/>
      <c r="R87" s="262"/>
      <c r="S87" s="262"/>
      <c r="T87" s="262"/>
      <c r="U87" s="262"/>
      <c r="V87" s="262"/>
      <c r="W87" s="262"/>
      <c r="X87" s="262"/>
      <c r="Y87" s="262"/>
      <c r="Z87" s="262"/>
      <c r="AA87" s="262"/>
      <c r="AB87" s="262"/>
    </row>
    <row r="88" spans="1:31" ht="25.5">
      <c r="A88" s="271" t="s">
        <v>14471</v>
      </c>
      <c r="B88" s="272" t="s">
        <v>14472</v>
      </c>
      <c r="C88" s="273" t="s">
        <v>14511</v>
      </c>
      <c r="D88" s="274" t="s">
        <v>14512</v>
      </c>
      <c r="E88" s="272" t="s">
        <v>6</v>
      </c>
      <c r="F88" s="272"/>
      <c r="G88" s="272"/>
      <c r="H88" s="275">
        <f>TRUNC(SUM(H90:H101))</f>
        <v>15200</v>
      </c>
      <c r="I88" s="276">
        <f>COUNTIF($C$8:$C88,C:C)</f>
        <v>1</v>
      </c>
      <c r="J88" s="262"/>
      <c r="K88" s="262"/>
      <c r="L88" s="262"/>
      <c r="M88" s="262"/>
      <c r="N88" s="262"/>
      <c r="O88" s="262"/>
      <c r="P88" s="262"/>
      <c r="Q88" s="262"/>
      <c r="R88" s="262"/>
      <c r="S88" s="262"/>
      <c r="T88" s="262"/>
      <c r="U88" s="262"/>
      <c r="V88" s="262"/>
      <c r="W88" s="262"/>
      <c r="X88" s="262"/>
      <c r="Y88" s="262"/>
      <c r="Z88" s="262"/>
      <c r="AA88" s="262"/>
      <c r="AB88" s="262"/>
    </row>
    <row r="89" spans="1:31" ht="12.75">
      <c r="A89" s="277" t="s">
        <v>14475</v>
      </c>
      <c r="B89" s="278" t="s">
        <v>14513</v>
      </c>
      <c r="C89" s="331">
        <v>53888</v>
      </c>
      <c r="D89" s="332">
        <v>43709</v>
      </c>
      <c r="E89" s="281"/>
      <c r="F89" s="282"/>
      <c r="G89" s="283"/>
      <c r="H89" s="284"/>
      <c r="I89" s="262"/>
      <c r="J89" s="262"/>
      <c r="K89" s="262"/>
      <c r="L89" s="262"/>
      <c r="M89" s="262"/>
      <c r="N89" s="262"/>
      <c r="O89" s="262"/>
      <c r="P89" s="262"/>
      <c r="Q89" s="262"/>
      <c r="R89" s="262"/>
      <c r="S89" s="262"/>
      <c r="T89" s="262"/>
      <c r="U89" s="262"/>
      <c r="V89" s="262"/>
      <c r="W89" s="262"/>
      <c r="X89" s="262"/>
      <c r="Y89" s="262"/>
      <c r="Z89" s="262"/>
      <c r="AA89" s="262"/>
      <c r="AB89" s="262"/>
    </row>
    <row r="90" spans="1:31" ht="25.5">
      <c r="A90" s="285" t="s">
        <v>14478</v>
      </c>
      <c r="B90" s="286" t="s">
        <v>14476</v>
      </c>
      <c r="C90" s="287">
        <v>88248</v>
      </c>
      <c r="D90" s="288" t="str">
        <f>IFERROR(VLOOKUP($C90,'24.08_ND'!$A:$D,2,0),)</f>
        <v>AUXILIAR DE ENCANADOR OU BOMBEIRO HIDRÁULICO COM ENCARGOS COMPLEMENTARES</v>
      </c>
      <c r="E90" s="289" t="str">
        <f>IFERROR(VLOOKUP($C90,'24.08_ND'!$A:$D,3,0),)</f>
        <v>H</v>
      </c>
      <c r="F90" s="333">
        <v>24.744</v>
      </c>
      <c r="G90" s="291">
        <f>IFERROR(VLOOKUP($C90,'24.08_ND'!$A:$D,4,0),)</f>
        <v>19.05</v>
      </c>
      <c r="H90" s="292">
        <f t="shared" ref="H90:H101" si="3">TRUNC(($F90*$G90),2)</f>
        <v>471.37</v>
      </c>
      <c r="I90" s="262"/>
      <c r="J90" s="262"/>
      <c r="K90" s="262"/>
      <c r="L90" s="262"/>
      <c r="M90" s="262"/>
      <c r="N90" s="262"/>
      <c r="O90" s="262"/>
      <c r="P90" s="262"/>
      <c r="Q90" s="262"/>
      <c r="R90" s="262"/>
      <c r="S90" s="262"/>
      <c r="T90" s="262"/>
      <c r="U90" s="262"/>
      <c r="V90" s="262"/>
      <c r="W90" s="262"/>
      <c r="X90" s="262"/>
      <c r="Y90" s="262"/>
      <c r="Z90" s="262"/>
      <c r="AA90" s="262"/>
      <c r="AB90" s="262"/>
      <c r="AD90" s="1791" t="e">
        <f>VLOOKUP(C90,'Medição '!$B$16:$F$1833,6,0)</f>
        <v>#N/A</v>
      </c>
      <c r="AE90" s="1791"/>
    </row>
    <row r="91" spans="1:31" ht="25.5">
      <c r="A91" s="285" t="s">
        <v>14478</v>
      </c>
      <c r="B91" s="286" t="s">
        <v>14476</v>
      </c>
      <c r="C91" s="287">
        <v>88267</v>
      </c>
      <c r="D91" s="288" t="str">
        <f>IFERROR(VLOOKUP($C91,'24.08_ND'!$A:$D,2,0),)</f>
        <v>ENCANADOR OU BOMBEIRO HIDRÁULICO COM ENCARGOS COMPLEMENTARES</v>
      </c>
      <c r="E91" s="289" t="str">
        <f>IFERROR(VLOOKUP($C91,'24.08_ND'!$A:$D,3,0),)</f>
        <v>H</v>
      </c>
      <c r="F91" s="333">
        <v>1</v>
      </c>
      <c r="G91" s="291">
        <f>IFERROR(VLOOKUP($C91,'24.08_ND'!$A:$D,4,0),)</f>
        <v>23.27</v>
      </c>
      <c r="H91" s="292">
        <f t="shared" si="3"/>
        <v>23.27</v>
      </c>
      <c r="I91" s="262"/>
      <c r="J91" s="262"/>
      <c r="K91" s="262"/>
      <c r="L91" s="262"/>
      <c r="M91" s="262"/>
      <c r="N91" s="262"/>
      <c r="O91" s="262"/>
      <c r="P91" s="262"/>
      <c r="Q91" s="262"/>
      <c r="R91" s="262"/>
      <c r="S91" s="262"/>
      <c r="T91" s="262"/>
      <c r="U91" s="262"/>
      <c r="V91" s="262"/>
      <c r="W91" s="262"/>
      <c r="X91" s="262"/>
      <c r="Y91" s="262"/>
      <c r="Z91" s="262"/>
      <c r="AA91" s="262"/>
      <c r="AB91" s="262"/>
      <c r="AD91" s="1791" t="e">
        <f>VLOOKUP(C91,'Medição '!$B$16:$F$1833,6,0)</f>
        <v>#N/A</v>
      </c>
      <c r="AE91" s="1791"/>
    </row>
    <row r="92" spans="1:31" ht="38.25">
      <c r="A92" s="285" t="s">
        <v>14478</v>
      </c>
      <c r="B92" s="286" t="s">
        <v>14476</v>
      </c>
      <c r="C92" s="287">
        <v>101808</v>
      </c>
      <c r="D92" s="288" t="str">
        <f>IFERROR(VLOOKUP($C92,'24.08_ND'!$A:$D,2,0),)</f>
        <v>CAIXA ENTERRADA DISTRIBUIDORA DE VAZÃO (SUMIDOUROS MÚLTIPLOS), RETANGULAR, EM CONCRETO PRÉ-MOLDADO, DIMENSÕES INTERNAS: 0,60 X 0,60 X H=0,50 M. AF_12/2020</v>
      </c>
      <c r="E92" s="289" t="str">
        <f>IFERROR(VLOOKUP($C92,'24.08_ND'!$A:$D,3,0),)</f>
        <v>UN</v>
      </c>
      <c r="F92" s="333">
        <v>10</v>
      </c>
      <c r="G92" s="291">
        <f>IFERROR(VLOOKUP($C92,'24.08_ND'!$A:$D,4,0),)</f>
        <v>484.91</v>
      </c>
      <c r="H92" s="292">
        <f t="shared" si="3"/>
        <v>4849.1000000000004</v>
      </c>
      <c r="I92" s="262"/>
      <c r="J92" s="262"/>
      <c r="K92" s="262"/>
      <c r="L92" s="262"/>
      <c r="M92" s="262"/>
      <c r="N92" s="262"/>
      <c r="O92" s="262"/>
      <c r="P92" s="262"/>
      <c r="Q92" s="262"/>
      <c r="R92" s="262"/>
      <c r="S92" s="262"/>
      <c r="T92" s="262"/>
      <c r="U92" s="262"/>
      <c r="V92" s="262"/>
      <c r="W92" s="262"/>
      <c r="X92" s="262"/>
      <c r="Y92" s="262"/>
      <c r="Z92" s="262"/>
      <c r="AA92" s="262"/>
      <c r="AB92" s="262"/>
      <c r="AD92" s="1791" t="e">
        <f>VLOOKUP(C92,'Medição '!$B$16:$F$1833,6,0)</f>
        <v>#N/A</v>
      </c>
      <c r="AE92" s="1791"/>
    </row>
    <row r="93" spans="1:31" ht="38.25">
      <c r="A93" s="285" t="s">
        <v>14478</v>
      </c>
      <c r="B93" s="286" t="s">
        <v>14476</v>
      </c>
      <c r="C93" s="287">
        <v>89796</v>
      </c>
      <c r="D93" s="288" t="str">
        <f>IFERROR(VLOOKUP($C93,'24.08_ND'!$A:$D,2,0),)</f>
        <v>TE, PVC, SERIE NORMAL, ESGOTO PREDIAL, DN 100 X 100 MM, JUNTA ELÁSTICA, FORNECIDO E INSTALADO EM RAMAL DE DESCARGA OU RAMAL DE ESGOTO SANITÁRIO. AF_08/2022</v>
      </c>
      <c r="E93" s="289" t="str">
        <f>IFERROR(VLOOKUP($C93,'24.08_ND'!$A:$D,3,0),)</f>
        <v>UN</v>
      </c>
      <c r="F93" s="333">
        <v>2</v>
      </c>
      <c r="G93" s="291">
        <f>IFERROR(VLOOKUP($C93,'24.08_ND'!$A:$D,4,0),)</f>
        <v>38.28</v>
      </c>
      <c r="H93" s="292">
        <f t="shared" si="3"/>
        <v>76.56</v>
      </c>
      <c r="I93" s="262"/>
      <c r="J93" s="262"/>
      <c r="K93" s="262"/>
      <c r="L93" s="262"/>
      <c r="M93" s="262"/>
      <c r="N93" s="262"/>
      <c r="O93" s="262"/>
      <c r="P93" s="262"/>
      <c r="Q93" s="262"/>
      <c r="R93" s="262"/>
      <c r="S93" s="262"/>
      <c r="T93" s="262"/>
      <c r="U93" s="262"/>
      <c r="V93" s="262"/>
      <c r="W93" s="262"/>
      <c r="X93" s="262"/>
      <c r="Y93" s="262"/>
      <c r="Z93" s="262"/>
      <c r="AA93" s="262"/>
      <c r="AB93" s="262"/>
      <c r="AD93" s="1791" t="e">
        <f>VLOOKUP(C93,'Medição '!$B$16:$F$1833,6,0)</f>
        <v>#REF!</v>
      </c>
      <c r="AE93" s="1791"/>
    </row>
    <row r="94" spans="1:31" ht="25.5">
      <c r="A94" s="285" t="s">
        <v>14478</v>
      </c>
      <c r="B94" s="286" t="s">
        <v>14476</v>
      </c>
      <c r="C94" s="287">
        <v>89800</v>
      </c>
      <c r="D94" s="288" t="str">
        <f>IFERROR(VLOOKUP($C94,'24.08_ND'!$A:$D,2,0),)</f>
        <v>TUBO PVC, SERIE NORMAL, ESGOTO PREDIAL, DN 100 MM, FORNECIDO E INSTALADO EM PRUMADA DE ESGOTO SANITÁRIO OU VENTILAÇÃO. AF_08/2022</v>
      </c>
      <c r="E94" s="289" t="str">
        <f>IFERROR(VLOOKUP($C94,'24.08_ND'!$A:$D,3,0),)</f>
        <v>M</v>
      </c>
      <c r="F94" s="333">
        <v>12</v>
      </c>
      <c r="G94" s="291">
        <f>IFERROR(VLOOKUP($C94,'24.08_ND'!$A:$D,4,0),)</f>
        <v>24.48</v>
      </c>
      <c r="H94" s="292">
        <f t="shared" si="3"/>
        <v>293.76</v>
      </c>
      <c r="I94" s="262"/>
      <c r="J94" s="262"/>
      <c r="K94" s="262"/>
      <c r="L94" s="262"/>
      <c r="M94" s="262"/>
      <c r="N94" s="262"/>
      <c r="O94" s="262"/>
      <c r="P94" s="262"/>
      <c r="Q94" s="262"/>
      <c r="R94" s="262"/>
      <c r="S94" s="262"/>
      <c r="T94" s="262"/>
      <c r="U94" s="262"/>
      <c r="V94" s="262"/>
      <c r="W94" s="262"/>
      <c r="X94" s="262"/>
      <c r="Y94" s="262"/>
      <c r="Z94" s="262"/>
      <c r="AA94" s="262"/>
      <c r="AB94" s="262"/>
      <c r="AD94" s="1791" t="e">
        <f>VLOOKUP(C94,'Medição '!$B$16:$F$1833,6,0)</f>
        <v>#N/A</v>
      </c>
      <c r="AE94" s="1791"/>
    </row>
    <row r="95" spans="1:31" ht="38.25">
      <c r="A95" s="285" t="s">
        <v>14478</v>
      </c>
      <c r="B95" s="286" t="s">
        <v>14476</v>
      </c>
      <c r="C95" s="287">
        <v>89744</v>
      </c>
      <c r="D95" s="288" t="str">
        <f>IFERROR(VLOOKUP($C95,'24.08_ND'!$A:$D,2,0),)</f>
        <v>JOELHO 90 GRAUS, PVC, SERIE NORMAL, ESGOTO PREDIAL, DN 100 MM, JUNTA ELÁSTICA, FORNECIDO E INSTALADO EM RAMAL DE DESCARGA OU RAMAL DE ESGOTO SANITÁRIO. AF_08/2022</v>
      </c>
      <c r="E95" s="289" t="str">
        <f>IFERROR(VLOOKUP($C95,'24.08_ND'!$A:$D,3,0),)</f>
        <v>UN</v>
      </c>
      <c r="F95" s="333">
        <v>3</v>
      </c>
      <c r="G95" s="291">
        <f>IFERROR(VLOOKUP($C95,'24.08_ND'!$A:$D,4,0),)</f>
        <v>24.43</v>
      </c>
      <c r="H95" s="292">
        <f t="shared" si="3"/>
        <v>73.290000000000006</v>
      </c>
      <c r="I95" s="262"/>
      <c r="J95" s="262"/>
      <c r="K95" s="262"/>
      <c r="L95" s="262"/>
      <c r="M95" s="262"/>
      <c r="N95" s="262"/>
      <c r="O95" s="262"/>
      <c r="P95" s="262"/>
      <c r="Q95" s="262"/>
      <c r="R95" s="262"/>
      <c r="S95" s="262"/>
      <c r="T95" s="262"/>
      <c r="U95" s="262"/>
      <c r="V95" s="262"/>
      <c r="W95" s="262"/>
      <c r="X95" s="262"/>
      <c r="Y95" s="262"/>
      <c r="Z95" s="262"/>
      <c r="AA95" s="262"/>
      <c r="AB95" s="262"/>
      <c r="AD95" s="1791" t="e">
        <f>VLOOKUP(C95,'Medição '!$B$16:$F$1833,6,0)</f>
        <v>#REF!</v>
      </c>
      <c r="AE95" s="1791"/>
    </row>
    <row r="96" spans="1:31" ht="25.5">
      <c r="A96" s="285" t="s">
        <v>14478</v>
      </c>
      <c r="B96" s="286" t="s">
        <v>14476</v>
      </c>
      <c r="C96" s="287">
        <v>104357</v>
      </c>
      <c r="D96" s="288" t="str">
        <f>IFERROR(VLOOKUP($C96,'24.08_ND'!$A:$D,2,0),)</f>
        <v>CAP, PVC, SÉRIE NORMAL, ESGOTO PREDIAL, DN 100 MM, JUNTA ELÁSTICA, FORNECIDO E INSTALADO EM SUBCOLETOR AÉREO DE ESGOTO SANITÁRIO. AF_08/2022</v>
      </c>
      <c r="E96" s="289" t="str">
        <f>IFERROR(VLOOKUP($C96,'24.08_ND'!$A:$D,3,0),)</f>
        <v>UN</v>
      </c>
      <c r="F96" s="333">
        <v>1</v>
      </c>
      <c r="G96" s="291">
        <f>IFERROR(VLOOKUP($C96,'24.08_ND'!$A:$D,4,0),)</f>
        <v>16.7</v>
      </c>
      <c r="H96" s="292">
        <f t="shared" si="3"/>
        <v>16.7</v>
      </c>
      <c r="I96" s="262"/>
      <c r="J96" s="262"/>
      <c r="K96" s="262"/>
      <c r="L96" s="262"/>
      <c r="M96" s="262"/>
      <c r="N96" s="262"/>
      <c r="O96" s="262"/>
      <c r="P96" s="262"/>
      <c r="Q96" s="262"/>
      <c r="R96" s="262"/>
      <c r="S96" s="262"/>
      <c r="T96" s="262"/>
      <c r="U96" s="262"/>
      <c r="V96" s="262"/>
      <c r="W96" s="262"/>
      <c r="X96" s="262"/>
      <c r="Y96" s="262"/>
      <c r="Z96" s="262"/>
      <c r="AA96" s="262"/>
      <c r="AB96" s="262"/>
      <c r="AD96" s="1791" t="e">
        <f>VLOOKUP(C96,'Medição '!$B$16:$F$1833,6,0)</f>
        <v>#N/A</v>
      </c>
      <c r="AE96" s="1791"/>
    </row>
    <row r="97" spans="1:31" ht="25.5">
      <c r="A97" s="285" t="s">
        <v>14478</v>
      </c>
      <c r="B97" s="286" t="s">
        <v>14476</v>
      </c>
      <c r="C97" s="287">
        <v>88267</v>
      </c>
      <c r="D97" s="288" t="str">
        <f>IFERROR(VLOOKUP($C97,'24.08_ND'!$A:$D,2,0),)</f>
        <v>ENCANADOR OU BOMBEIRO HIDRÁULICO COM ENCARGOS COMPLEMENTARES</v>
      </c>
      <c r="E97" s="289" t="str">
        <f>IFERROR(VLOOKUP($C97,'24.08_ND'!$A:$D,3,0),)</f>
        <v>H</v>
      </c>
      <c r="F97" s="333">
        <v>2</v>
      </c>
      <c r="G97" s="291">
        <f>IFERROR(VLOOKUP($C97,'24.08_ND'!$A:$D,4,0),)</f>
        <v>23.27</v>
      </c>
      <c r="H97" s="292">
        <f t="shared" si="3"/>
        <v>46.54</v>
      </c>
      <c r="I97" s="262"/>
      <c r="J97" s="262"/>
      <c r="K97" s="262"/>
      <c r="L97" s="262"/>
      <c r="M97" s="262"/>
      <c r="N97" s="262"/>
      <c r="O97" s="262"/>
      <c r="P97" s="262"/>
      <c r="Q97" s="262"/>
      <c r="R97" s="262"/>
      <c r="S97" s="262"/>
      <c r="T97" s="262"/>
      <c r="U97" s="262"/>
      <c r="V97" s="262"/>
      <c r="W97" s="262"/>
      <c r="X97" s="262"/>
      <c r="Y97" s="262"/>
      <c r="Z97" s="262"/>
      <c r="AA97" s="262"/>
      <c r="AB97" s="262"/>
      <c r="AD97" s="1791" t="e">
        <f>VLOOKUP(C97,'Medição '!$B$16:$F$1833,6,0)</f>
        <v>#N/A</v>
      </c>
      <c r="AE97" s="1791"/>
    </row>
    <row r="98" spans="1:31" ht="25.5">
      <c r="A98" s="285" t="s">
        <v>14478</v>
      </c>
      <c r="B98" s="286" t="s">
        <v>14476</v>
      </c>
      <c r="C98" s="287">
        <v>88248</v>
      </c>
      <c r="D98" s="288" t="str">
        <f>IFERROR(VLOOKUP($C98,'24.08_ND'!$A:$D,2,0),)</f>
        <v>AUXILIAR DE ENCANADOR OU BOMBEIRO HIDRÁULICO COM ENCARGOS COMPLEMENTARES</v>
      </c>
      <c r="E98" s="289" t="str">
        <f>IFERROR(VLOOKUP($C98,'24.08_ND'!$A:$D,3,0),)</f>
        <v>H</v>
      </c>
      <c r="F98" s="333">
        <v>1</v>
      </c>
      <c r="G98" s="291">
        <f>IFERROR(VLOOKUP($C98,'24.08_ND'!$A:$D,4,0),)</f>
        <v>19.05</v>
      </c>
      <c r="H98" s="292">
        <f t="shared" si="3"/>
        <v>19.05</v>
      </c>
      <c r="I98" s="262"/>
      <c r="J98" s="262"/>
      <c r="K98" s="262"/>
      <c r="L98" s="262"/>
      <c r="M98" s="262"/>
      <c r="N98" s="262"/>
      <c r="O98" s="262"/>
      <c r="P98" s="262"/>
      <c r="Q98" s="262"/>
      <c r="R98" s="262"/>
      <c r="S98" s="262"/>
      <c r="T98" s="262"/>
      <c r="U98" s="262"/>
      <c r="V98" s="262"/>
      <c r="W98" s="262"/>
      <c r="X98" s="262"/>
      <c r="Y98" s="262"/>
      <c r="Z98" s="262"/>
      <c r="AA98" s="262"/>
      <c r="AB98" s="262"/>
      <c r="AD98" s="1791" t="e">
        <f>VLOOKUP(C98,'Medição '!$B$16:$F$1833,6,0)</f>
        <v>#N/A</v>
      </c>
      <c r="AE98" s="1791"/>
    </row>
    <row r="99" spans="1:31" ht="25.5">
      <c r="A99" s="293" t="s">
        <v>14479</v>
      </c>
      <c r="B99" s="294" t="s">
        <v>14476</v>
      </c>
      <c r="C99" s="295">
        <v>39366</v>
      </c>
      <c r="D99" s="296" t="str">
        <f>IFERROR(VLOOKUP($C99,'24.08_ND'!$A:$D,2,0),)</f>
        <v>FILTRO ANAEROBIO, EM POLIETILENO DE ALTA DENSIDADE (PEAD), CAPACIDADE *2800* LITROS (NBR 13969)</v>
      </c>
      <c r="E99" s="297" t="str">
        <f>IFERROR(VLOOKUP($C99,'24.08_ND'!$A:$D,3,0),)</f>
        <v>UN</v>
      </c>
      <c r="F99" s="334">
        <v>1</v>
      </c>
      <c r="G99" s="299">
        <f>IFERROR(VLOOKUP($C99,'24.08_ND'!$A:$D,4,0),)</f>
        <v>2355.36</v>
      </c>
      <c r="H99" s="300">
        <f t="shared" si="3"/>
        <v>2355.36</v>
      </c>
      <c r="I99" s="262"/>
      <c r="J99" s="262"/>
      <c r="K99" s="262"/>
      <c r="L99" s="262"/>
      <c r="M99" s="262"/>
      <c r="N99" s="262"/>
      <c r="O99" s="262"/>
      <c r="P99" s="262"/>
      <c r="Q99" s="262"/>
      <c r="R99" s="262"/>
      <c r="S99" s="262"/>
      <c r="T99" s="262"/>
      <c r="U99" s="262"/>
      <c r="V99" s="262"/>
      <c r="W99" s="262"/>
      <c r="X99" s="262"/>
      <c r="Y99" s="262"/>
      <c r="Z99" s="262"/>
      <c r="AA99" s="262"/>
      <c r="AB99" s="262"/>
    </row>
    <row r="100" spans="1:31" ht="38.25">
      <c r="A100" s="293" t="s">
        <v>14479</v>
      </c>
      <c r="B100" s="294" t="s">
        <v>14476</v>
      </c>
      <c r="C100" s="295">
        <v>39362</v>
      </c>
      <c r="D100" s="296" t="str">
        <f>IFERROR(VLOOKUP($C100,'24.08_ND'!$A:$D,2,0),)</f>
        <v>FOSSA SEPTICA, SEM FILTRO, EM POLIETILENO DE ALTA DENSIDADE (PEAD), PARA 8 A 14 CONTRIBUINTES, CILINDRICA, COM TAMPA, CAPACIDADE APROXIMADA DE *3000* LITROS (NBR 7229)</v>
      </c>
      <c r="E100" s="297" t="str">
        <f>IFERROR(VLOOKUP($C100,'24.08_ND'!$A:$D,3,0),)</f>
        <v>UN</v>
      </c>
      <c r="F100" s="334">
        <v>1</v>
      </c>
      <c r="G100" s="299">
        <f>IFERROR(VLOOKUP($C100,'24.08_ND'!$A:$D,4,0),)</f>
        <v>2469.73</v>
      </c>
      <c r="H100" s="300">
        <f t="shared" si="3"/>
        <v>2469.73</v>
      </c>
      <c r="I100" s="262"/>
      <c r="J100" s="262"/>
      <c r="K100" s="262"/>
      <c r="L100" s="262"/>
      <c r="M100" s="262"/>
      <c r="N100" s="262"/>
      <c r="O100" s="262"/>
      <c r="P100" s="262"/>
      <c r="Q100" s="262"/>
      <c r="R100" s="262"/>
      <c r="S100" s="262"/>
      <c r="T100" s="262"/>
      <c r="U100" s="262"/>
      <c r="V100" s="262"/>
      <c r="W100" s="262"/>
      <c r="X100" s="262"/>
      <c r="Y100" s="262"/>
      <c r="Z100" s="262"/>
      <c r="AA100" s="262"/>
      <c r="AB100" s="262"/>
    </row>
    <row r="101" spans="1:31" ht="25.5">
      <c r="A101" s="293" t="s">
        <v>14479</v>
      </c>
      <c r="B101" s="294" t="s">
        <v>14476</v>
      </c>
      <c r="C101" s="295">
        <v>37105</v>
      </c>
      <c r="D101" s="296" t="str">
        <f>IFERROR(VLOOKUP($C101,'24.08_ND'!$A:$D,2,0),)</f>
        <v>CAIXA D'AGUA / RESERVATORIO EM POLIESTER REFORCADO COM FIBRA DE VIDRO, 5000 LITROS, COM TAMPA</v>
      </c>
      <c r="E101" s="297" t="str">
        <f>IFERROR(VLOOKUP($C101,'24.08_ND'!$A:$D,3,0),)</f>
        <v>UN</v>
      </c>
      <c r="F101" s="298">
        <v>2</v>
      </c>
      <c r="G101" s="299">
        <f>IFERROR(VLOOKUP($C101,'24.08_ND'!$A:$D,4,0),)</f>
        <v>2252.81</v>
      </c>
      <c r="H101" s="300">
        <f t="shared" si="3"/>
        <v>4505.62</v>
      </c>
      <c r="I101" s="262"/>
      <c r="J101" s="262"/>
      <c r="K101" s="262"/>
      <c r="L101" s="262"/>
      <c r="M101" s="262"/>
      <c r="N101" s="262"/>
      <c r="O101" s="262"/>
      <c r="P101" s="262"/>
      <c r="Q101" s="262"/>
      <c r="R101" s="262"/>
      <c r="S101" s="262"/>
      <c r="T101" s="262"/>
      <c r="U101" s="262"/>
      <c r="V101" s="262"/>
      <c r="W101" s="262"/>
      <c r="X101" s="262"/>
      <c r="Y101" s="262"/>
      <c r="Z101" s="262"/>
      <c r="AA101" s="262"/>
      <c r="AB101" s="262"/>
    </row>
    <row r="102" spans="1:31" ht="12.75">
      <c r="A102" s="309"/>
      <c r="B102" s="303"/>
      <c r="C102" s="303"/>
      <c r="D102" s="310"/>
      <c r="E102" s="303"/>
      <c r="F102" s="306"/>
      <c r="G102" s="307"/>
      <c r="H102" s="308"/>
      <c r="I102" s="262"/>
      <c r="J102" s="262"/>
      <c r="K102" s="262"/>
      <c r="L102" s="262"/>
      <c r="M102" s="262"/>
      <c r="N102" s="262"/>
      <c r="O102" s="262"/>
      <c r="P102" s="262"/>
      <c r="Q102" s="262"/>
      <c r="R102" s="262"/>
      <c r="S102" s="262"/>
      <c r="T102" s="262"/>
      <c r="U102" s="262"/>
      <c r="V102" s="262"/>
      <c r="W102" s="262"/>
      <c r="X102" s="262"/>
      <c r="Y102" s="262"/>
      <c r="Z102" s="262"/>
      <c r="AA102" s="262"/>
      <c r="AB102" s="262"/>
    </row>
    <row r="103" spans="1:31" ht="12.75">
      <c r="A103" s="271" t="s">
        <v>14471</v>
      </c>
      <c r="B103" s="272" t="s">
        <v>14472</v>
      </c>
      <c r="C103" s="273" t="s">
        <v>14514</v>
      </c>
      <c r="D103" s="274" t="s">
        <v>14515</v>
      </c>
      <c r="E103" s="272" t="s">
        <v>6</v>
      </c>
      <c r="F103" s="272"/>
      <c r="G103" s="272"/>
      <c r="H103" s="275">
        <f>SUM(H105:H106)</f>
        <v>489.28000000000003</v>
      </c>
      <c r="I103" s="276">
        <f>COUNTIF($C$8:$C103,C:C)</f>
        <v>1</v>
      </c>
      <c r="J103" s="262"/>
      <c r="K103" s="262"/>
      <c r="L103" s="262"/>
      <c r="M103" s="262"/>
      <c r="N103" s="262"/>
      <c r="O103" s="262"/>
      <c r="P103" s="262"/>
      <c r="Q103" s="262"/>
      <c r="R103" s="262"/>
      <c r="S103" s="262"/>
      <c r="T103" s="262"/>
      <c r="U103" s="262"/>
      <c r="V103" s="262"/>
      <c r="W103" s="262"/>
      <c r="X103" s="262"/>
      <c r="Y103" s="262"/>
      <c r="Z103" s="262"/>
      <c r="AA103" s="262"/>
      <c r="AB103" s="262"/>
    </row>
    <row r="104" spans="1:31" ht="12.75">
      <c r="A104" s="277" t="s">
        <v>14475</v>
      </c>
      <c r="B104" s="278" t="s">
        <v>14484</v>
      </c>
      <c r="C104" s="279">
        <v>1070044</v>
      </c>
      <c r="D104" s="280" t="s">
        <v>14516</v>
      </c>
      <c r="E104" s="281"/>
      <c r="F104" s="282"/>
      <c r="G104" s="283"/>
      <c r="H104" s="284"/>
      <c r="I104" s="262"/>
      <c r="J104" s="262"/>
      <c r="K104" s="262"/>
      <c r="L104" s="262"/>
      <c r="M104" s="262"/>
      <c r="N104" s="262"/>
      <c r="O104" s="262"/>
      <c r="P104" s="262"/>
      <c r="Q104" s="262"/>
      <c r="R104" s="262"/>
      <c r="S104" s="262"/>
      <c r="T104" s="262"/>
      <c r="U104" s="262"/>
      <c r="V104" s="262"/>
      <c r="W104" s="262"/>
      <c r="X104" s="262"/>
      <c r="Y104" s="262"/>
      <c r="Z104" s="262"/>
      <c r="AA104" s="262"/>
      <c r="AB104" s="262"/>
    </row>
    <row r="105" spans="1:31" ht="25.5">
      <c r="A105" s="285" t="s">
        <v>14478</v>
      </c>
      <c r="B105" s="286" t="s">
        <v>14476</v>
      </c>
      <c r="C105" s="287">
        <v>88316</v>
      </c>
      <c r="D105" s="288" t="str">
        <f>IFERROR(VLOOKUP($C105,'24.08_ND'!$A:$D,2,0),)</f>
        <v>SERVENTE COM ENCARGOS COMPLEMENTARES</v>
      </c>
      <c r="E105" s="289" t="str">
        <f>IFERROR(VLOOKUP($C105,'24.08_ND'!$A:$D,3,0),)</f>
        <v>H</v>
      </c>
      <c r="F105" s="290">
        <v>1.3</v>
      </c>
      <c r="G105" s="291">
        <f>IFERROR(VLOOKUP($C105,'24.08_ND'!$A:$D,4,0),)</f>
        <v>18.510000000000002</v>
      </c>
      <c r="H105" s="292">
        <f>TRUNC(($F105*$G105),2)</f>
        <v>24.06</v>
      </c>
      <c r="I105" s="262"/>
      <c r="J105" s="262"/>
      <c r="K105" s="262"/>
      <c r="L105" s="262"/>
      <c r="M105" s="262"/>
      <c r="N105" s="262"/>
      <c r="O105" s="262"/>
      <c r="P105" s="262"/>
      <c r="Q105" s="262"/>
      <c r="R105" s="262"/>
      <c r="S105" s="262"/>
      <c r="T105" s="262"/>
      <c r="U105" s="262"/>
      <c r="V105" s="262"/>
      <c r="W105" s="262"/>
      <c r="X105" s="262"/>
      <c r="Y105" s="262"/>
      <c r="Z105" s="262"/>
      <c r="AA105" s="262"/>
      <c r="AB105" s="262"/>
      <c r="AD105" s="1791" t="e">
        <f>VLOOKUP(C105,'Medição '!$B$16:$F$1833,6,0)</f>
        <v>#N/A</v>
      </c>
      <c r="AE105" s="1791"/>
    </row>
    <row r="106" spans="1:31" ht="51">
      <c r="A106" s="285" t="s">
        <v>14478</v>
      </c>
      <c r="B106" s="286" t="s">
        <v>14476</v>
      </c>
      <c r="C106" s="287">
        <v>92106</v>
      </c>
      <c r="D106" s="288" t="str">
        <f>IFERROR(VLOOKUP($C106,'24.08_ND'!$A:$D,2,0),)</f>
        <v>CAMINHÃO PARA EQUIPAMENTO DE LIMPEZA A SUCÇÃO, COM CAMINHÃO TRUCADO DE PESO BRUTO TOTAL 23000 KG, CARGA ÚTIL MÁXIMA 15935 KG, DISTÂNCIA ENTRE EIXOS 4,80 M, POTÊNCIA 230 CV, INCLUSIVE LIMPADORA A SUCÇÃO, TANQUE 12000 L - CHP DIURNO. AF_05/2023</v>
      </c>
      <c r="E106" s="289" t="str">
        <f>IFERROR(VLOOKUP($C106,'24.08_ND'!$A:$D,3,0),)</f>
        <v>CHP</v>
      </c>
      <c r="F106" s="290">
        <v>1.5</v>
      </c>
      <c r="G106" s="291">
        <f>IFERROR(VLOOKUP($C106,'24.08_ND'!$A:$D,4,0),)</f>
        <v>310.14999999999998</v>
      </c>
      <c r="H106" s="292">
        <f>TRUNC(($F106*$G106),2)</f>
        <v>465.22</v>
      </c>
      <c r="I106" s="262"/>
      <c r="J106" s="262"/>
      <c r="K106" s="262"/>
      <c r="L106" s="262"/>
      <c r="M106" s="262"/>
      <c r="N106" s="262"/>
      <c r="O106" s="262"/>
      <c r="P106" s="262"/>
      <c r="Q106" s="262"/>
      <c r="R106" s="262"/>
      <c r="S106" s="262"/>
      <c r="T106" s="262"/>
      <c r="U106" s="262"/>
      <c r="V106" s="262"/>
      <c r="W106" s="262"/>
      <c r="X106" s="262"/>
      <c r="Y106" s="262"/>
      <c r="Z106" s="262"/>
      <c r="AA106" s="262"/>
      <c r="AB106" s="262"/>
      <c r="AD106" s="1791" t="e">
        <f>VLOOKUP(C106,'Medição '!$B$16:$F$1833,6,0)</f>
        <v>#N/A</v>
      </c>
      <c r="AE106" s="1791"/>
    </row>
    <row r="107" spans="1:31" ht="12.75">
      <c r="A107" s="309"/>
      <c r="B107" s="303"/>
      <c r="C107" s="303"/>
      <c r="D107" s="310"/>
      <c r="E107" s="303"/>
      <c r="F107" s="306"/>
      <c r="G107" s="307"/>
      <c r="H107" s="308"/>
      <c r="I107" s="262"/>
      <c r="J107" s="262"/>
      <c r="K107" s="262"/>
      <c r="L107" s="262"/>
      <c r="M107" s="262"/>
      <c r="N107" s="262"/>
      <c r="O107" s="262"/>
      <c r="P107" s="262"/>
      <c r="Q107" s="262"/>
      <c r="R107" s="262"/>
      <c r="S107" s="262"/>
      <c r="T107" s="262"/>
      <c r="U107" s="262"/>
      <c r="V107" s="262"/>
      <c r="W107" s="262"/>
      <c r="X107" s="262"/>
      <c r="Y107" s="262"/>
      <c r="Z107" s="262"/>
      <c r="AA107" s="262"/>
      <c r="AB107" s="262"/>
    </row>
    <row r="108" spans="1:31" ht="25.5">
      <c r="A108" s="271" t="s">
        <v>14471</v>
      </c>
      <c r="B108" s="272" t="s">
        <v>14472</v>
      </c>
      <c r="C108" s="273" t="s">
        <v>14517</v>
      </c>
      <c r="D108" s="274" t="s">
        <v>14518</v>
      </c>
      <c r="E108" s="272" t="s">
        <v>409</v>
      </c>
      <c r="F108" s="272"/>
      <c r="G108" s="272"/>
      <c r="H108" s="275">
        <f>SUM(H110:H114)</f>
        <v>943.26</v>
      </c>
      <c r="I108" s="276">
        <f>COUNTIF($C$8:$C108,C:C)</f>
        <v>1</v>
      </c>
      <c r="J108" s="262"/>
      <c r="K108" s="262"/>
      <c r="L108" s="262"/>
      <c r="M108" s="262"/>
      <c r="N108" s="262"/>
      <c r="O108" s="262"/>
      <c r="P108" s="262"/>
      <c r="Q108" s="262"/>
      <c r="R108" s="262"/>
      <c r="S108" s="262"/>
      <c r="T108" s="262"/>
      <c r="U108" s="262"/>
      <c r="V108" s="262"/>
      <c r="W108" s="262"/>
      <c r="X108" s="262"/>
      <c r="Y108" s="262"/>
      <c r="Z108" s="262"/>
      <c r="AA108" s="262"/>
      <c r="AB108" s="262"/>
    </row>
    <row r="109" spans="1:31" ht="12.75">
      <c r="A109" s="277" t="s">
        <v>14475</v>
      </c>
      <c r="B109" s="278" t="s">
        <v>14476</v>
      </c>
      <c r="C109" s="279" t="s">
        <v>14519</v>
      </c>
      <c r="D109" s="335">
        <v>43770</v>
      </c>
      <c r="E109" s="281"/>
      <c r="F109" s="282"/>
      <c r="G109" s="283"/>
      <c r="H109" s="284"/>
      <c r="I109" s="262"/>
      <c r="J109" s="262"/>
      <c r="K109" s="262"/>
      <c r="L109" s="262"/>
      <c r="M109" s="262"/>
      <c r="N109" s="262"/>
      <c r="O109" s="262"/>
      <c r="P109" s="262"/>
      <c r="Q109" s="262"/>
      <c r="R109" s="262"/>
      <c r="S109" s="262"/>
      <c r="T109" s="262"/>
      <c r="U109" s="262"/>
      <c r="V109" s="262"/>
      <c r="W109" s="262"/>
      <c r="X109" s="262"/>
      <c r="Y109" s="262"/>
      <c r="Z109" s="262"/>
      <c r="AA109" s="262"/>
      <c r="AB109" s="262"/>
    </row>
    <row r="110" spans="1:31" ht="25.5">
      <c r="A110" s="285" t="s">
        <v>14478</v>
      </c>
      <c r="B110" s="286" t="s">
        <v>14476</v>
      </c>
      <c r="C110" s="287">
        <v>88315</v>
      </c>
      <c r="D110" s="288" t="str">
        <f>IFERROR(VLOOKUP($C110,'24.08_ND'!$A:$D,2,0),)</f>
        <v>SERRALHEIRO COM ENCARGOS COMPLEMENTARES</v>
      </c>
      <c r="E110" s="289" t="str">
        <f>IFERROR(VLOOKUP($C110,'24.08_ND'!$A:$D,3,0),)</f>
        <v>H</v>
      </c>
      <c r="F110" s="290">
        <v>1.6</v>
      </c>
      <c r="G110" s="291">
        <f>IFERROR(VLOOKUP($C110,'24.08_ND'!$A:$D,4,0),)</f>
        <v>23.13</v>
      </c>
      <c r="H110" s="292">
        <f>TRUNC(($F110*$G110),2)</f>
        <v>37</v>
      </c>
      <c r="I110" s="262"/>
      <c r="J110" s="262"/>
      <c r="K110" s="262"/>
      <c r="L110" s="262"/>
      <c r="M110" s="262"/>
      <c r="N110" s="262"/>
      <c r="O110" s="262"/>
      <c r="P110" s="262"/>
      <c r="Q110" s="262"/>
      <c r="R110" s="262"/>
      <c r="S110" s="262"/>
      <c r="T110" s="262"/>
      <c r="U110" s="262"/>
      <c r="V110" s="262"/>
      <c r="W110" s="262"/>
      <c r="X110" s="262"/>
      <c r="Y110" s="262"/>
      <c r="Z110" s="262"/>
      <c r="AA110" s="262"/>
      <c r="AB110" s="262"/>
      <c r="AD110" s="1791" t="e">
        <f>VLOOKUP(C110,'Medição '!$B$16:$F$1833,6,0)</f>
        <v>#N/A</v>
      </c>
      <c r="AE110" s="1791"/>
    </row>
    <row r="111" spans="1:31" ht="25.5">
      <c r="A111" s="285" t="s">
        <v>14478</v>
      </c>
      <c r="B111" s="286" t="s">
        <v>14476</v>
      </c>
      <c r="C111" s="287">
        <v>88627</v>
      </c>
      <c r="D111" s="288" t="str">
        <f>IFERROR(VLOOKUP($C111,'24.08_ND'!$A:$D,2,0),)</f>
        <v>ARGAMASSA TRAÇO 1:0,5:4,5 (EM VOLUME DE CIMENTO, CAL E AREIA MÉDIA ÚMIDA) PARA ASSENTAMENTO DE ALVENARIA, PREPARO MANUAL. AF_08/2019</v>
      </c>
      <c r="E111" s="289" t="str">
        <f>IFERROR(VLOOKUP($C111,'24.08_ND'!$A:$D,3,0),)</f>
        <v>M3</v>
      </c>
      <c r="F111" s="290">
        <v>6.0000000000000001E-3</v>
      </c>
      <c r="G111" s="291">
        <f>IFERROR(VLOOKUP($C111,'24.08_ND'!$A:$D,4,0),)</f>
        <v>621.36</v>
      </c>
      <c r="H111" s="292">
        <f>TRUNC(($F111*$G111),2)</f>
        <v>3.72</v>
      </c>
      <c r="I111" s="262"/>
      <c r="J111" s="262"/>
      <c r="K111" s="262"/>
      <c r="L111" s="262"/>
      <c r="M111" s="262"/>
      <c r="N111" s="262"/>
      <c r="O111" s="262"/>
      <c r="P111" s="262"/>
      <c r="Q111" s="262"/>
      <c r="R111" s="262"/>
      <c r="S111" s="262"/>
      <c r="T111" s="262"/>
      <c r="U111" s="262"/>
      <c r="V111" s="262"/>
      <c r="W111" s="262"/>
      <c r="X111" s="262"/>
      <c r="Y111" s="262"/>
      <c r="Z111" s="262"/>
      <c r="AA111" s="262"/>
      <c r="AB111" s="262"/>
      <c r="AD111" s="1791" t="e">
        <f>VLOOKUP(C111,'Medição '!$B$16:$F$1833,6,0)</f>
        <v>#N/A</v>
      </c>
      <c r="AE111" s="1791"/>
    </row>
    <row r="112" spans="1:31" ht="25.5">
      <c r="A112" s="285" t="s">
        <v>14478</v>
      </c>
      <c r="B112" s="286" t="s">
        <v>14476</v>
      </c>
      <c r="C112" s="287">
        <v>88316</v>
      </c>
      <c r="D112" s="288" t="str">
        <f>IFERROR(VLOOKUP($C112,'24.08_ND'!$A:$D,2,0),)</f>
        <v>SERVENTE COM ENCARGOS COMPLEMENTARES</v>
      </c>
      <c r="E112" s="289" t="str">
        <f>IFERROR(VLOOKUP($C112,'24.08_ND'!$A:$D,3,0),)</f>
        <v>H</v>
      </c>
      <c r="F112" s="290">
        <v>2.8</v>
      </c>
      <c r="G112" s="291">
        <f>IFERROR(VLOOKUP($C112,'24.08_ND'!$A:$D,4,0),)</f>
        <v>18.510000000000002</v>
      </c>
      <c r="H112" s="292">
        <f>TRUNC(($F112*$G112),2)</f>
        <v>51.82</v>
      </c>
      <c r="I112" s="262"/>
      <c r="J112" s="262"/>
      <c r="K112" s="262"/>
      <c r="L112" s="262"/>
      <c r="M112" s="262"/>
      <c r="N112" s="262"/>
      <c r="O112" s="262"/>
      <c r="P112" s="262"/>
      <c r="Q112" s="262"/>
      <c r="R112" s="262"/>
      <c r="S112" s="262"/>
      <c r="T112" s="262"/>
      <c r="U112" s="262"/>
      <c r="V112" s="262"/>
      <c r="W112" s="262"/>
      <c r="X112" s="262"/>
      <c r="Y112" s="262"/>
      <c r="Z112" s="262"/>
      <c r="AA112" s="262"/>
      <c r="AB112" s="262"/>
      <c r="AD112" s="1791" t="e">
        <f>VLOOKUP(C112,'Medição '!$B$16:$F$1833,6,0)</f>
        <v>#N/A</v>
      </c>
      <c r="AE112" s="1791"/>
    </row>
    <row r="113" spans="1:31" ht="25.5">
      <c r="A113" s="285" t="s">
        <v>14478</v>
      </c>
      <c r="B113" s="286" t="s">
        <v>14476</v>
      </c>
      <c r="C113" s="287">
        <v>88309</v>
      </c>
      <c r="D113" s="288" t="str">
        <f>IFERROR(VLOOKUP($C113,'24.08_ND'!$A:$D,2,0),)</f>
        <v>PEDREIRO COM ENCARGOS COMPLEMENTARES</v>
      </c>
      <c r="E113" s="289" t="str">
        <f>IFERROR(VLOOKUP($C113,'24.08_ND'!$A:$D,3,0),)</f>
        <v>H</v>
      </c>
      <c r="F113" s="290">
        <v>0.8</v>
      </c>
      <c r="G113" s="291">
        <f>IFERROR(VLOOKUP($C113,'24.08_ND'!$A:$D,4,0),)</f>
        <v>23.33</v>
      </c>
      <c r="H113" s="292">
        <f>TRUNC(($F113*$G113),2)</f>
        <v>18.66</v>
      </c>
      <c r="I113" s="262"/>
      <c r="J113" s="262"/>
      <c r="K113" s="262"/>
      <c r="L113" s="262"/>
      <c r="M113" s="262"/>
      <c r="N113" s="262"/>
      <c r="O113" s="262"/>
      <c r="P113" s="262"/>
      <c r="Q113" s="262"/>
      <c r="R113" s="262"/>
      <c r="S113" s="262"/>
      <c r="T113" s="262"/>
      <c r="U113" s="262"/>
      <c r="V113" s="262"/>
      <c r="W113" s="262"/>
      <c r="X113" s="262"/>
      <c r="Y113" s="262"/>
      <c r="Z113" s="262"/>
      <c r="AA113" s="262"/>
      <c r="AB113" s="262"/>
      <c r="AD113" s="1791" t="e">
        <f>VLOOKUP(C113,'Medição '!$B$16:$F$1833,6,0)</f>
        <v>#N/A</v>
      </c>
      <c r="AE113" s="1791"/>
    </row>
    <row r="114" spans="1:31" ht="25.5">
      <c r="A114" s="293" t="s">
        <v>14479</v>
      </c>
      <c r="B114" s="294" t="s">
        <v>14476</v>
      </c>
      <c r="C114" s="295">
        <v>4930</v>
      </c>
      <c r="D114" s="296" t="str">
        <f>IFERROR(VLOOKUP($C114,'24.08_ND'!$A:$D,2,0),)</f>
        <v>PORTA DE ABRIR / GIRO, EM GRADIL FERRO, COM BARRA CHATA 3 CM X 1/4", COM REQUADRO E GUARNICAO - COMPLETO - ACABAMENTO NATURAL</v>
      </c>
      <c r="E114" s="297" t="str">
        <f>IFERROR(VLOOKUP($C114,'24.08_ND'!$A:$D,3,0),)</f>
        <v>M2</v>
      </c>
      <c r="F114" s="298">
        <v>1.2</v>
      </c>
      <c r="G114" s="299">
        <f>IFERROR(VLOOKUP($C114,'24.08_ND'!$A:$D,4,0),)</f>
        <v>693.39</v>
      </c>
      <c r="H114" s="300">
        <f>TRUNC(($F114*$G114),2)</f>
        <v>832.06</v>
      </c>
      <c r="I114" s="262"/>
      <c r="J114" s="262"/>
      <c r="K114" s="262"/>
      <c r="L114" s="262"/>
      <c r="M114" s="262"/>
      <c r="N114" s="262"/>
      <c r="O114" s="262"/>
      <c r="P114" s="262"/>
      <c r="Q114" s="262"/>
      <c r="R114" s="262"/>
      <c r="S114" s="262"/>
      <c r="T114" s="262"/>
      <c r="U114" s="262"/>
      <c r="V114" s="262"/>
      <c r="W114" s="262"/>
      <c r="X114" s="262"/>
      <c r="Y114" s="262"/>
      <c r="Z114" s="262"/>
      <c r="AA114" s="262"/>
      <c r="AB114" s="262"/>
    </row>
    <row r="115" spans="1:31" ht="12.75">
      <c r="A115" s="309"/>
      <c r="B115" s="303"/>
      <c r="C115" s="303"/>
      <c r="D115" s="310"/>
      <c r="E115" s="303"/>
      <c r="F115" s="306"/>
      <c r="G115" s="307"/>
      <c r="H115" s="308"/>
      <c r="I115" s="262"/>
      <c r="J115" s="262"/>
      <c r="K115" s="262"/>
      <c r="L115" s="262"/>
      <c r="M115" s="262"/>
      <c r="N115" s="262"/>
      <c r="O115" s="262"/>
      <c r="P115" s="262"/>
      <c r="Q115" s="262"/>
      <c r="R115" s="262"/>
      <c r="S115" s="262"/>
      <c r="T115" s="262"/>
      <c r="U115" s="262"/>
      <c r="V115" s="262"/>
      <c r="W115" s="262"/>
      <c r="X115" s="262"/>
      <c r="Y115" s="262"/>
      <c r="Z115" s="262"/>
      <c r="AA115" s="262"/>
      <c r="AB115" s="262"/>
    </row>
    <row r="116" spans="1:31" ht="12.75">
      <c r="A116" s="271" t="s">
        <v>14471</v>
      </c>
      <c r="B116" s="272" t="s">
        <v>14472</v>
      </c>
      <c r="C116" s="273" t="s">
        <v>14520</v>
      </c>
      <c r="D116" s="274" t="s">
        <v>14521</v>
      </c>
      <c r="E116" s="272" t="s">
        <v>156</v>
      </c>
      <c r="F116" s="272"/>
      <c r="G116" s="272"/>
      <c r="H116" s="275">
        <f>SUM(H118)</f>
        <v>799.29</v>
      </c>
      <c r="I116" s="276">
        <f>COUNTIF($C$8:$C116,C:C)</f>
        <v>1</v>
      </c>
      <c r="J116" s="262"/>
      <c r="K116" s="262"/>
      <c r="L116" s="262"/>
      <c r="M116" s="262"/>
      <c r="N116" s="262"/>
      <c r="O116" s="262"/>
      <c r="P116" s="262"/>
      <c r="Q116" s="262"/>
      <c r="R116" s="262"/>
      <c r="S116" s="262"/>
      <c r="T116" s="262"/>
      <c r="U116" s="262"/>
      <c r="V116" s="262"/>
      <c r="W116" s="262"/>
      <c r="X116" s="262"/>
      <c r="Y116" s="262"/>
      <c r="Z116" s="262"/>
      <c r="AA116" s="262"/>
      <c r="AB116" s="262"/>
    </row>
    <row r="117" spans="1:31" ht="25.5">
      <c r="A117" s="277" t="s">
        <v>14475</v>
      </c>
      <c r="B117" s="278" t="s">
        <v>14522</v>
      </c>
      <c r="C117" s="279">
        <v>-635488</v>
      </c>
      <c r="D117" s="280" t="s">
        <v>14523</v>
      </c>
      <c r="E117" s="281"/>
      <c r="F117" s="282"/>
      <c r="G117" s="283"/>
      <c r="H117" s="284"/>
      <c r="I117" s="262"/>
      <c r="J117" s="262"/>
      <c r="K117" s="262"/>
      <c r="L117" s="262"/>
      <c r="M117" s="262"/>
      <c r="N117" s="262"/>
      <c r="O117" s="262"/>
      <c r="P117" s="262"/>
      <c r="Q117" s="262"/>
      <c r="R117" s="262"/>
      <c r="S117" s="262"/>
      <c r="T117" s="262"/>
      <c r="U117" s="262"/>
      <c r="V117" s="262"/>
      <c r="W117" s="262"/>
      <c r="X117" s="262"/>
      <c r="Y117" s="262"/>
      <c r="Z117" s="262"/>
      <c r="AA117" s="262"/>
      <c r="AB117" s="262"/>
    </row>
    <row r="118" spans="1:31" ht="38.25">
      <c r="A118" s="317" t="s">
        <v>14479</v>
      </c>
      <c r="B118" s="312" t="str">
        <f>VLOOKUP($C118,'• CIs EXT'!$A:$E,2,0)</f>
        <v>CPOS/CDHU</v>
      </c>
      <c r="C118" s="313" t="s">
        <v>14524</v>
      </c>
      <c r="D118" s="314" t="str">
        <f>VLOOKUP($C118,'• CIs EXT'!$A:$E,3,0)</f>
        <v>CONTAINER GUARITA, MÓDULO METÁLICO AÇO GALVANIZADO 2,00X2,30M OU 2,30X2,30M, VÃO LIVRE, FORRO TÉRMICO, PISO CONCRETO, CIMENTADO, MADEIRA OU MATERIAL EQUIVALENTE</v>
      </c>
      <c r="E118" s="312" t="str">
        <f>VLOOKUP($C118,'• CIs EXT'!$A:$E,4,0)</f>
        <v>MES</v>
      </c>
      <c r="F118" s="315">
        <v>1</v>
      </c>
      <c r="G118" s="312">
        <f>VLOOKUP($C118,'• CIs EXT'!$A:$E,5,0)</f>
        <v>799.29</v>
      </c>
      <c r="H118" s="316">
        <f>TRUNC(($F118*$G118),2)</f>
        <v>799.29</v>
      </c>
      <c r="I118" s="262"/>
      <c r="J118" s="262"/>
      <c r="K118" s="262"/>
      <c r="L118" s="262"/>
      <c r="M118" s="262"/>
      <c r="N118" s="262"/>
      <c r="O118" s="262"/>
      <c r="P118" s="262"/>
      <c r="Q118" s="262"/>
      <c r="R118" s="262"/>
      <c r="S118" s="262"/>
      <c r="T118" s="262"/>
      <c r="U118" s="262"/>
      <c r="V118" s="262"/>
      <c r="W118" s="262"/>
      <c r="X118" s="262"/>
      <c r="Y118" s="262"/>
      <c r="Z118" s="262"/>
      <c r="AA118" s="262"/>
      <c r="AB118" s="262"/>
    </row>
    <row r="119" spans="1:31" ht="12.75">
      <c r="A119" s="309"/>
      <c r="B119" s="303"/>
      <c r="C119" s="303"/>
      <c r="D119" s="310"/>
      <c r="E119" s="303"/>
      <c r="F119" s="306"/>
      <c r="G119" s="307"/>
      <c r="H119" s="308"/>
      <c r="I119" s="262"/>
      <c r="J119" s="262"/>
      <c r="K119" s="262"/>
      <c r="L119" s="262"/>
      <c r="M119" s="262"/>
      <c r="N119" s="262"/>
      <c r="O119" s="262"/>
      <c r="P119" s="262"/>
      <c r="Q119" s="262"/>
      <c r="R119" s="262"/>
      <c r="S119" s="262"/>
      <c r="T119" s="262"/>
      <c r="U119" s="262"/>
      <c r="V119" s="262"/>
      <c r="W119" s="262"/>
      <c r="X119" s="262"/>
      <c r="Y119" s="262"/>
      <c r="Z119" s="262"/>
      <c r="AA119" s="262"/>
      <c r="AB119" s="262"/>
    </row>
    <row r="120" spans="1:31" ht="12.75">
      <c r="A120" s="271" t="s">
        <v>14471</v>
      </c>
      <c r="B120" s="272" t="s">
        <v>14472</v>
      </c>
      <c r="C120" s="273" t="s">
        <v>14525</v>
      </c>
      <c r="D120" s="274" t="s">
        <v>14526</v>
      </c>
      <c r="E120" s="272" t="s">
        <v>409</v>
      </c>
      <c r="F120" s="272"/>
      <c r="G120" s="272"/>
      <c r="H120" s="275">
        <f>TRUNC(SUM(H122:H125))</f>
        <v>887</v>
      </c>
      <c r="I120" s="276">
        <f>COUNTIF($C$8:$C120,C:C)</f>
        <v>1</v>
      </c>
      <c r="J120" s="262"/>
      <c r="K120" s="262"/>
      <c r="L120" s="262"/>
      <c r="M120" s="262"/>
      <c r="N120" s="262"/>
      <c r="O120" s="262"/>
      <c r="P120" s="262"/>
      <c r="Q120" s="262"/>
      <c r="R120" s="262"/>
      <c r="S120" s="262"/>
      <c r="T120" s="262"/>
      <c r="U120" s="262"/>
      <c r="V120" s="262"/>
      <c r="W120" s="262"/>
      <c r="X120" s="262"/>
      <c r="Y120" s="262"/>
      <c r="Z120" s="262"/>
      <c r="AA120" s="262"/>
      <c r="AB120" s="262"/>
    </row>
    <row r="121" spans="1:31" ht="25.5">
      <c r="A121" s="277" t="s">
        <v>14475</v>
      </c>
      <c r="B121" s="278" t="s">
        <v>14522</v>
      </c>
      <c r="C121" s="279" t="s">
        <v>14527</v>
      </c>
      <c r="D121" s="332">
        <v>45352</v>
      </c>
      <c r="E121" s="281"/>
      <c r="F121" s="282"/>
      <c r="G121" s="283"/>
      <c r="H121" s="284"/>
      <c r="I121" s="262"/>
      <c r="J121" s="262"/>
      <c r="K121" s="262"/>
      <c r="L121" s="262"/>
      <c r="M121" s="262"/>
      <c r="N121" s="262"/>
      <c r="O121" s="262"/>
      <c r="P121" s="262"/>
      <c r="Q121" s="262"/>
      <c r="R121" s="262"/>
      <c r="S121" s="262"/>
      <c r="T121" s="262"/>
      <c r="U121" s="262"/>
      <c r="V121" s="262"/>
      <c r="W121" s="262"/>
      <c r="X121" s="262"/>
      <c r="Y121" s="262"/>
      <c r="Z121" s="262"/>
      <c r="AA121" s="262"/>
      <c r="AB121" s="262"/>
    </row>
    <row r="122" spans="1:31" ht="25.5">
      <c r="A122" s="285" t="s">
        <v>14478</v>
      </c>
      <c r="B122" s="286" t="s">
        <v>14476</v>
      </c>
      <c r="C122" s="287">
        <v>88309</v>
      </c>
      <c r="D122" s="288" t="str">
        <f>IFERROR(VLOOKUP($C122,'24.08_ND'!$A:$D,2,0),)</f>
        <v>PEDREIRO COM ENCARGOS COMPLEMENTARES</v>
      </c>
      <c r="E122" s="289" t="str">
        <f>IFERROR(VLOOKUP($C122,'24.08_ND'!$A:$D,3,0),)</f>
        <v>H</v>
      </c>
      <c r="F122" s="290">
        <v>0.15</v>
      </c>
      <c r="G122" s="291">
        <f>IFERROR(VLOOKUP($C122,'24.08_ND'!$A:$D,4,0),)</f>
        <v>23.33</v>
      </c>
      <c r="H122" s="292">
        <f>TRUNC(($F122*$G122),2)</f>
        <v>3.49</v>
      </c>
      <c r="I122" s="262"/>
      <c r="J122" s="262"/>
      <c r="K122" s="262"/>
      <c r="L122" s="262"/>
      <c r="M122" s="262"/>
      <c r="N122" s="262"/>
      <c r="O122" s="262"/>
      <c r="P122" s="262"/>
      <c r="Q122" s="262"/>
      <c r="R122" s="262"/>
      <c r="S122" s="262"/>
      <c r="T122" s="262"/>
      <c r="U122" s="262"/>
      <c r="V122" s="262"/>
      <c r="W122" s="262"/>
      <c r="X122" s="262"/>
      <c r="Y122" s="262"/>
      <c r="Z122" s="262"/>
      <c r="AA122" s="262"/>
      <c r="AB122" s="262"/>
      <c r="AD122" s="1791" t="e">
        <f>VLOOKUP(C122,'Medição '!$B$16:$F$1833,6,0)</f>
        <v>#N/A</v>
      </c>
      <c r="AE122" s="1791"/>
    </row>
    <row r="123" spans="1:31" ht="25.5">
      <c r="A123" s="285" t="s">
        <v>14478</v>
      </c>
      <c r="B123" s="286" t="s">
        <v>14476</v>
      </c>
      <c r="C123" s="287">
        <v>88316</v>
      </c>
      <c r="D123" s="288" t="str">
        <f>IFERROR(VLOOKUP($C123,'24.08_ND'!$A:$D,2,0),)</f>
        <v>SERVENTE COM ENCARGOS COMPLEMENTARES</v>
      </c>
      <c r="E123" s="289" t="str">
        <f>IFERROR(VLOOKUP($C123,'24.08_ND'!$A:$D,3,0),)</f>
        <v>H</v>
      </c>
      <c r="F123" s="290">
        <v>0.15</v>
      </c>
      <c r="G123" s="291">
        <f>IFERROR(VLOOKUP($C123,'24.08_ND'!$A:$D,4,0),)</f>
        <v>18.510000000000002</v>
      </c>
      <c r="H123" s="292">
        <f>TRUNC(($F123*$G123),2)</f>
        <v>2.77</v>
      </c>
      <c r="I123" s="262"/>
      <c r="J123" s="262"/>
      <c r="K123" s="262"/>
      <c r="L123" s="262"/>
      <c r="M123" s="262"/>
      <c r="N123" s="262"/>
      <c r="O123" s="262"/>
      <c r="P123" s="262"/>
      <c r="Q123" s="262"/>
      <c r="R123" s="262"/>
      <c r="S123" s="262"/>
      <c r="T123" s="262"/>
      <c r="U123" s="262"/>
      <c r="V123" s="262"/>
      <c r="W123" s="262"/>
      <c r="X123" s="262"/>
      <c r="Y123" s="262"/>
      <c r="Z123" s="262"/>
      <c r="AA123" s="262"/>
      <c r="AB123" s="262"/>
      <c r="AD123" s="1791" t="e">
        <f>VLOOKUP(C123,'Medição '!$B$16:$F$1833,6,0)</f>
        <v>#N/A</v>
      </c>
      <c r="AE123" s="1791"/>
    </row>
    <row r="124" spans="1:31" ht="25.5">
      <c r="A124" s="293" t="s">
        <v>14479</v>
      </c>
      <c r="B124" s="294" t="s">
        <v>14476</v>
      </c>
      <c r="C124" s="295">
        <v>40552</v>
      </c>
      <c r="D124" s="296" t="str">
        <f>IFERROR(VLOOKUP($C124,'24.08_ND'!$A:$D,2,0),)</f>
        <v>PARAFUSO, AUTOATARRAXANTE, CABECA CHATA, FENDA SIMPLES, EM ACO ZINCADO, 1/4" (6,35 MM) X 25 MM</v>
      </c>
      <c r="E124" s="297" t="str">
        <f>IFERROR(VLOOKUP($C124,'24.08_ND'!$A:$D,3,0),)</f>
        <v>CENTO</v>
      </c>
      <c r="F124" s="298">
        <v>0.6</v>
      </c>
      <c r="G124" s="299">
        <f>IFERROR(VLOOKUP($C124,'24.08_ND'!$A:$D,4,0),)</f>
        <v>45.14</v>
      </c>
      <c r="H124" s="300">
        <f>TRUNC(($F124*$G124),2)</f>
        <v>27.08</v>
      </c>
      <c r="I124" s="262"/>
      <c r="J124" s="262"/>
      <c r="K124" s="262"/>
      <c r="L124" s="262"/>
      <c r="M124" s="262"/>
      <c r="N124" s="262"/>
      <c r="O124" s="262"/>
      <c r="P124" s="262"/>
      <c r="Q124" s="262"/>
      <c r="R124" s="262"/>
      <c r="S124" s="262"/>
      <c r="T124" s="262"/>
      <c r="U124" s="262"/>
      <c r="V124" s="262"/>
      <c r="W124" s="262"/>
      <c r="X124" s="262"/>
      <c r="Y124" s="262"/>
      <c r="Z124" s="262"/>
      <c r="AA124" s="262"/>
      <c r="AB124" s="262"/>
    </row>
    <row r="125" spans="1:31" ht="12.75">
      <c r="A125" s="293" t="s">
        <v>14479</v>
      </c>
      <c r="B125" s="294" t="s">
        <v>14476</v>
      </c>
      <c r="C125" s="295">
        <v>34723</v>
      </c>
      <c r="D125" s="296" t="str">
        <f>IFERROR(VLOOKUP($C125,'24.08_ND'!$A:$D,2,0),)</f>
        <v>PLACA DE SINALIZACAO EM CHAPA DE ACO NUM 16 COM PINTURA REFLETIVA</v>
      </c>
      <c r="E125" s="297" t="str">
        <f>IFERROR(VLOOKUP($C125,'24.08_ND'!$A:$D,3,0),)</f>
        <v>M2</v>
      </c>
      <c r="F125" s="298">
        <v>1.0149999999999999</v>
      </c>
      <c r="G125" s="299">
        <f>IFERROR(VLOOKUP($C125,'24.08_ND'!$A:$D,4,0),)</f>
        <v>841.76</v>
      </c>
      <c r="H125" s="300">
        <f>TRUNC(($F125*$G125),2)</f>
        <v>854.38</v>
      </c>
      <c r="I125" s="262"/>
      <c r="J125" s="262"/>
      <c r="K125" s="262"/>
      <c r="L125" s="262"/>
      <c r="M125" s="262"/>
      <c r="N125" s="262"/>
      <c r="O125" s="262"/>
      <c r="P125" s="262"/>
      <c r="Q125" s="262"/>
      <c r="R125" s="262"/>
      <c r="S125" s="262"/>
      <c r="T125" s="262"/>
      <c r="U125" s="262"/>
      <c r="V125" s="262"/>
      <c r="W125" s="262"/>
      <c r="X125" s="262"/>
      <c r="Y125" s="262"/>
      <c r="Z125" s="262"/>
      <c r="AA125" s="262"/>
      <c r="AB125" s="262"/>
    </row>
    <row r="126" spans="1:31" ht="12.75">
      <c r="A126" s="309"/>
      <c r="B126" s="303"/>
      <c r="C126" s="303"/>
      <c r="D126" s="310"/>
      <c r="E126" s="303"/>
      <c r="F126" s="306"/>
      <c r="G126" s="307"/>
      <c r="H126" s="308"/>
      <c r="I126" s="262"/>
      <c r="J126" s="262"/>
      <c r="K126" s="262"/>
      <c r="L126" s="262"/>
      <c r="M126" s="262"/>
      <c r="N126" s="262"/>
      <c r="O126" s="262"/>
      <c r="P126" s="262"/>
      <c r="Q126" s="262"/>
      <c r="R126" s="262"/>
      <c r="S126" s="262"/>
      <c r="T126" s="262"/>
      <c r="U126" s="262"/>
      <c r="V126" s="262"/>
      <c r="W126" s="262"/>
      <c r="X126" s="262"/>
      <c r="Y126" s="262"/>
      <c r="Z126" s="262"/>
      <c r="AA126" s="262"/>
      <c r="AB126" s="262"/>
    </row>
    <row r="127" spans="1:31" ht="25.5">
      <c r="A127" s="271" t="s">
        <v>14471</v>
      </c>
      <c r="B127" s="272" t="s">
        <v>14472</v>
      </c>
      <c r="C127" s="273" t="s">
        <v>14528</v>
      </c>
      <c r="D127" s="274" t="s">
        <v>14529</v>
      </c>
      <c r="E127" s="272" t="s">
        <v>50</v>
      </c>
      <c r="F127" s="272"/>
      <c r="G127" s="272"/>
      <c r="H127" s="275">
        <f>SUM(H129:H135)</f>
        <v>1559.12</v>
      </c>
      <c r="I127" s="276">
        <f>COUNTIF($C$8:$C127,C:C)</f>
        <v>1</v>
      </c>
      <c r="J127" s="262"/>
      <c r="K127" s="262"/>
      <c r="L127" s="262"/>
      <c r="M127" s="262"/>
      <c r="N127" s="262"/>
      <c r="O127" s="262"/>
      <c r="P127" s="262"/>
      <c r="Q127" s="262"/>
      <c r="R127" s="262"/>
      <c r="S127" s="262"/>
      <c r="T127" s="262"/>
      <c r="U127" s="262"/>
      <c r="V127" s="262"/>
      <c r="W127" s="262"/>
      <c r="X127" s="262"/>
      <c r="Y127" s="262"/>
      <c r="Z127" s="262"/>
      <c r="AA127" s="262"/>
      <c r="AB127" s="262"/>
    </row>
    <row r="128" spans="1:31" ht="12.75">
      <c r="A128" s="277" t="s">
        <v>14475</v>
      </c>
      <c r="B128" s="336" t="s">
        <v>14476</v>
      </c>
      <c r="C128" s="337">
        <v>104900</v>
      </c>
      <c r="D128" s="338" t="s">
        <v>14530</v>
      </c>
      <c r="E128" s="339"/>
      <c r="F128" s="340"/>
      <c r="G128" s="341"/>
      <c r="H128" s="342"/>
      <c r="I128" s="262"/>
      <c r="J128" s="262"/>
      <c r="K128" s="262"/>
      <c r="L128" s="262"/>
      <c r="M128" s="262"/>
      <c r="N128" s="262"/>
      <c r="O128" s="262"/>
      <c r="P128" s="262"/>
      <c r="Q128" s="262"/>
      <c r="R128" s="262"/>
      <c r="S128" s="262"/>
      <c r="T128" s="262"/>
      <c r="U128" s="262"/>
      <c r="V128" s="262"/>
      <c r="W128" s="262"/>
      <c r="X128" s="262"/>
      <c r="Y128" s="262"/>
      <c r="Z128" s="262"/>
      <c r="AA128" s="262"/>
      <c r="AB128" s="262"/>
    </row>
    <row r="129" spans="1:31" ht="25.5">
      <c r="A129" s="285" t="s">
        <v>14478</v>
      </c>
      <c r="B129" s="343" t="s">
        <v>14476</v>
      </c>
      <c r="C129" s="344">
        <v>88248</v>
      </c>
      <c r="D129" s="288" t="str">
        <f>IFERROR(VLOOKUP($C129,'24.08_ND'!$A:$D,2,0),)</f>
        <v>AUXILIAR DE ENCANADOR OU BOMBEIRO HIDRÁULICO COM ENCARGOS COMPLEMENTARES</v>
      </c>
      <c r="E129" s="289" t="str">
        <f>IFERROR(VLOOKUP($C129,'24.08_ND'!$A:$D,3,0),)</f>
        <v>H</v>
      </c>
      <c r="F129" s="345">
        <v>2</v>
      </c>
      <c r="G129" s="291">
        <f>IFERROR(VLOOKUP($C129,'24.08_ND'!$A:$D,4,0),)</f>
        <v>19.05</v>
      </c>
      <c r="H129" s="292">
        <f t="shared" ref="H129:H135" si="4">TRUNC(($F129*$G129),2)</f>
        <v>38.1</v>
      </c>
      <c r="I129" s="262"/>
      <c r="J129" s="262"/>
      <c r="K129" s="262"/>
      <c r="L129" s="262"/>
      <c r="M129" s="262"/>
      <c r="N129" s="262"/>
      <c r="O129" s="262"/>
      <c r="P129" s="262"/>
      <c r="Q129" s="262"/>
      <c r="R129" s="262"/>
      <c r="S129" s="262"/>
      <c r="T129" s="262"/>
      <c r="U129" s="262"/>
      <c r="V129" s="262"/>
      <c r="W129" s="262"/>
      <c r="X129" s="262"/>
      <c r="Y129" s="262"/>
      <c r="Z129" s="262"/>
      <c r="AA129" s="262"/>
      <c r="AB129" s="262"/>
      <c r="AD129" s="1791" t="e">
        <f>VLOOKUP(C129,'Medição '!$B$16:$F$1833,6,0)</f>
        <v>#N/A</v>
      </c>
      <c r="AE129" s="1791"/>
    </row>
    <row r="130" spans="1:31" ht="25.5">
      <c r="A130" s="285" t="s">
        <v>14478</v>
      </c>
      <c r="B130" s="343" t="s">
        <v>14476</v>
      </c>
      <c r="C130" s="344">
        <v>88267</v>
      </c>
      <c r="D130" s="288" t="str">
        <f>IFERROR(VLOOKUP($C130,'24.08_ND'!$A:$D,2,0),)</f>
        <v>ENCANADOR OU BOMBEIRO HIDRÁULICO COM ENCARGOS COMPLEMENTARES</v>
      </c>
      <c r="E130" s="289" t="str">
        <f>IFERROR(VLOOKUP($C130,'24.08_ND'!$A:$D,3,0),)</f>
        <v>H</v>
      </c>
      <c r="F130" s="345">
        <v>1</v>
      </c>
      <c r="G130" s="291">
        <f>IFERROR(VLOOKUP($C130,'24.08_ND'!$A:$D,4,0),)</f>
        <v>23.27</v>
      </c>
      <c r="H130" s="292">
        <f t="shared" si="4"/>
        <v>23.27</v>
      </c>
      <c r="I130" s="262"/>
      <c r="J130" s="262"/>
      <c r="K130" s="262"/>
      <c r="L130" s="262"/>
      <c r="M130" s="262"/>
      <c r="N130" s="262"/>
      <c r="O130" s="262"/>
      <c r="P130" s="262"/>
      <c r="Q130" s="262"/>
      <c r="R130" s="262"/>
      <c r="S130" s="262"/>
      <c r="T130" s="262"/>
      <c r="U130" s="262"/>
      <c r="V130" s="262"/>
      <c r="W130" s="262"/>
      <c r="X130" s="262"/>
      <c r="Y130" s="262"/>
      <c r="Z130" s="262"/>
      <c r="AA130" s="262"/>
      <c r="AB130" s="262"/>
      <c r="AD130" s="1791" t="e">
        <f>VLOOKUP(C130,'Medição '!$B$16:$F$1833,6,0)</f>
        <v>#N/A</v>
      </c>
      <c r="AE130" s="1791"/>
    </row>
    <row r="131" spans="1:31" ht="25.5">
      <c r="A131" s="285" t="s">
        <v>14478</v>
      </c>
      <c r="B131" s="343" t="s">
        <v>14476</v>
      </c>
      <c r="C131" s="344">
        <v>86916</v>
      </c>
      <c r="D131" s="288" t="str">
        <f>IFERROR(VLOOKUP($C131,'24.08_ND'!$A:$D,2,0),)</f>
        <v>TORNEIRA PLÁSTICA 3/4" PARA TANQUE - FORNECIMENTO E INSTALAÇÃO. AF_01/2020</v>
      </c>
      <c r="E131" s="289" t="str">
        <f>IFERROR(VLOOKUP($C131,'24.08_ND'!$A:$D,3,0),)</f>
        <v>UN</v>
      </c>
      <c r="F131" s="345">
        <v>2</v>
      </c>
      <c r="G131" s="291">
        <f>IFERROR(VLOOKUP($C131,'24.08_ND'!$A:$D,4,0),)</f>
        <v>24.59</v>
      </c>
      <c r="H131" s="292">
        <f t="shared" si="4"/>
        <v>49.18</v>
      </c>
      <c r="I131" s="262"/>
      <c r="J131" s="262"/>
      <c r="K131" s="262"/>
      <c r="L131" s="262"/>
      <c r="M131" s="262"/>
      <c r="N131" s="262"/>
      <c r="O131" s="262"/>
      <c r="P131" s="262"/>
      <c r="Q131" s="262"/>
      <c r="R131" s="262"/>
      <c r="S131" s="262"/>
      <c r="T131" s="262"/>
      <c r="U131" s="262"/>
      <c r="V131" s="262"/>
      <c r="W131" s="262"/>
      <c r="X131" s="262"/>
      <c r="Y131" s="262"/>
      <c r="Z131" s="262"/>
      <c r="AA131" s="262"/>
      <c r="AB131" s="262"/>
      <c r="AD131" s="1791" t="e">
        <f>VLOOKUP(C131,'Medição '!$B$16:$F$1833,6,0)</f>
        <v>#N/A</v>
      </c>
      <c r="AE131" s="1791"/>
    </row>
    <row r="132" spans="1:31" ht="25.5">
      <c r="A132" s="346" t="s">
        <v>14479</v>
      </c>
      <c r="B132" s="347" t="s">
        <v>14476</v>
      </c>
      <c r="C132" s="348">
        <v>7583</v>
      </c>
      <c r="D132" s="296" t="str">
        <f>IFERROR(VLOOKUP($C132,'24.08_ND'!$A:$D,2,0),)</f>
        <v>BUCHA DE NYLON SEM ABA S8, COM PARAFUSO DE 4,80 X 50 MM EM ACO ZINCADO COM ROSCA SOBERBA, CABECA CHATA E FENDA PHILLIPS</v>
      </c>
      <c r="E132" s="297" t="str">
        <f>IFERROR(VLOOKUP($C132,'24.08_ND'!$A:$D,3,0),)</f>
        <v>UN</v>
      </c>
      <c r="F132" s="349">
        <v>2</v>
      </c>
      <c r="G132" s="299">
        <f>IFERROR(VLOOKUP($C132,'24.08_ND'!$A:$D,4,0),)</f>
        <v>0.45</v>
      </c>
      <c r="H132" s="300">
        <f t="shared" si="4"/>
        <v>0.9</v>
      </c>
      <c r="I132" s="262"/>
      <c r="J132" s="262"/>
      <c r="K132" s="262"/>
      <c r="L132" s="262"/>
      <c r="M132" s="262"/>
      <c r="N132" s="262"/>
      <c r="O132" s="262"/>
      <c r="P132" s="262"/>
      <c r="Q132" s="262"/>
      <c r="R132" s="262"/>
      <c r="S132" s="262"/>
      <c r="T132" s="262"/>
      <c r="U132" s="262"/>
      <c r="V132" s="262"/>
      <c r="W132" s="262"/>
      <c r="X132" s="262"/>
      <c r="Y132" s="262"/>
      <c r="Z132" s="262"/>
      <c r="AA132" s="262"/>
      <c r="AB132" s="262"/>
    </row>
    <row r="133" spans="1:31" ht="12.75">
      <c r="A133" s="346" t="s">
        <v>14479</v>
      </c>
      <c r="B133" s="347" t="s">
        <v>14476</v>
      </c>
      <c r="C133" s="348">
        <v>3146</v>
      </c>
      <c r="D133" s="296" t="str">
        <f>IFERROR(VLOOKUP($C133,'24.08_ND'!$A:$D,2,0),)</f>
        <v>FITA VEDA ROSCA EM ROLOS DE 18 MM X 10 M (L X C)</v>
      </c>
      <c r="E133" s="297" t="str">
        <f>IFERROR(VLOOKUP($C133,'24.08_ND'!$A:$D,3,0),)</f>
        <v>UN</v>
      </c>
      <c r="F133" s="349">
        <v>0.94</v>
      </c>
      <c r="G133" s="299">
        <f>IFERROR(VLOOKUP($C133,'24.08_ND'!$A:$D,4,0),)</f>
        <v>3.59</v>
      </c>
      <c r="H133" s="300">
        <f t="shared" si="4"/>
        <v>3.37</v>
      </c>
      <c r="I133" s="262"/>
      <c r="J133" s="262"/>
      <c r="K133" s="262"/>
      <c r="L133" s="262"/>
      <c r="M133" s="262"/>
      <c r="N133" s="262"/>
      <c r="O133" s="262"/>
      <c r="P133" s="262"/>
      <c r="Q133" s="262"/>
      <c r="R133" s="262"/>
      <c r="S133" s="262"/>
      <c r="T133" s="262"/>
      <c r="U133" s="262"/>
      <c r="V133" s="262"/>
      <c r="W133" s="262"/>
      <c r="X133" s="262"/>
      <c r="Y133" s="262"/>
      <c r="Z133" s="262"/>
      <c r="AA133" s="262"/>
      <c r="AB133" s="262"/>
    </row>
    <row r="134" spans="1:31" ht="25.5">
      <c r="A134" s="346" t="s">
        <v>14479</v>
      </c>
      <c r="B134" s="347" t="s">
        <v>14476</v>
      </c>
      <c r="C134" s="348">
        <v>4356</v>
      </c>
      <c r="D134" s="296" t="str">
        <f>IFERROR(VLOOKUP($C134,'24.08_ND'!$A:$D,2,0),)</f>
        <v>PARAFUSO DE ACO ZINCADO COM ROSCA SOBERBA, CABECA CHATA E FENDA SIMPLES, DIAMETRO 4,8 MM, COMPRIMENTO 45 MM</v>
      </c>
      <c r="E134" s="297" t="str">
        <f>IFERROR(VLOOKUP($C134,'24.08_ND'!$A:$D,3,0),)</f>
        <v>UN</v>
      </c>
      <c r="F134" s="349">
        <v>2</v>
      </c>
      <c r="G134" s="299">
        <f>IFERROR(VLOOKUP($C134,'24.08_ND'!$A:$D,4,0),)</f>
        <v>0.24</v>
      </c>
      <c r="H134" s="300">
        <f t="shared" si="4"/>
        <v>0.48</v>
      </c>
      <c r="I134" s="262"/>
      <c r="J134" s="262"/>
      <c r="K134" s="262"/>
      <c r="L134" s="262"/>
      <c r="M134" s="262"/>
      <c r="N134" s="262"/>
      <c r="O134" s="262"/>
      <c r="P134" s="262"/>
      <c r="Q134" s="262"/>
      <c r="R134" s="262"/>
      <c r="S134" s="262"/>
      <c r="T134" s="262"/>
      <c r="U134" s="262"/>
      <c r="V134" s="262"/>
      <c r="W134" s="262"/>
      <c r="X134" s="262"/>
      <c r="Y134" s="262"/>
      <c r="Z134" s="262"/>
      <c r="AA134" s="262"/>
      <c r="AB134" s="262"/>
    </row>
    <row r="135" spans="1:31" ht="38.25">
      <c r="A135" s="350" t="s">
        <v>14479</v>
      </c>
      <c r="B135" s="312" t="str">
        <f>VLOOKUP($C135,'• CIs EXT'!$A:$E,2,0)</f>
        <v>CPOS/CDHU</v>
      </c>
      <c r="C135" s="351" t="s">
        <v>14531</v>
      </c>
      <c r="D135" s="314" t="str">
        <f>VLOOKUP($C135,'• CIs EXT'!$A:$E,3,0)</f>
        <v>LAVATÓRIO/BEBEDOURO COLETIVO DE AÇO INOXIDÁVEL AISI 304 CHAPA 20 (1,0MM) - (200 X 80) CM</v>
      </c>
      <c r="E135" s="312" t="str">
        <f>VLOOKUP($C135,'• CIs EXT'!$A:$E,4,0)</f>
        <v>M</v>
      </c>
      <c r="F135" s="315">
        <v>1</v>
      </c>
      <c r="G135" s="312">
        <f>VLOOKUP($C135,'• CIs EXT'!$A:$E,5,0)</f>
        <v>1443.82</v>
      </c>
      <c r="H135" s="316">
        <f t="shared" si="4"/>
        <v>1443.82</v>
      </c>
      <c r="I135" s="262"/>
      <c r="J135" s="262"/>
      <c r="K135" s="262"/>
      <c r="L135" s="262"/>
      <c r="M135" s="262"/>
      <c r="N135" s="262"/>
      <c r="O135" s="262"/>
      <c r="P135" s="262"/>
      <c r="Q135" s="262"/>
      <c r="R135" s="262"/>
      <c r="S135" s="262"/>
      <c r="T135" s="262"/>
      <c r="U135" s="262"/>
      <c r="V135" s="262"/>
      <c r="W135" s="262"/>
      <c r="X135" s="262"/>
      <c r="Y135" s="262"/>
      <c r="Z135" s="262"/>
      <c r="AA135" s="262"/>
      <c r="AB135" s="262"/>
    </row>
    <row r="136" spans="1:31" ht="12.75">
      <c r="A136" s="309"/>
      <c r="B136" s="303"/>
      <c r="C136" s="303"/>
      <c r="D136" s="310"/>
      <c r="E136" s="303"/>
      <c r="F136" s="306"/>
      <c r="G136" s="307"/>
      <c r="H136" s="308"/>
      <c r="I136" s="262"/>
      <c r="J136" s="262"/>
      <c r="K136" s="262"/>
      <c r="L136" s="262"/>
      <c r="M136" s="262"/>
      <c r="N136" s="262"/>
      <c r="O136" s="262"/>
      <c r="P136" s="262"/>
      <c r="Q136" s="262"/>
      <c r="R136" s="262"/>
      <c r="S136" s="262"/>
      <c r="T136" s="262"/>
      <c r="U136" s="262"/>
      <c r="V136" s="262"/>
      <c r="W136" s="262"/>
      <c r="X136" s="262"/>
      <c r="Y136" s="262"/>
      <c r="Z136" s="262"/>
      <c r="AA136" s="262"/>
      <c r="AB136" s="262"/>
    </row>
    <row r="137" spans="1:31" ht="25.5">
      <c r="A137" s="271" t="s">
        <v>14471</v>
      </c>
      <c r="B137" s="272" t="s">
        <v>14472</v>
      </c>
      <c r="C137" s="273" t="s">
        <v>14532</v>
      </c>
      <c r="D137" s="274" t="s">
        <v>14533</v>
      </c>
      <c r="E137" s="272" t="s">
        <v>152</v>
      </c>
      <c r="F137" s="272"/>
      <c r="G137" s="272"/>
      <c r="H137" s="275">
        <f>SUM(H139:H144)</f>
        <v>203.74</v>
      </c>
      <c r="I137" s="276">
        <f>COUNTIF($C$8:$C137,C:C)</f>
        <v>1</v>
      </c>
      <c r="J137" s="262"/>
      <c r="K137" s="262"/>
      <c r="L137" s="262"/>
      <c r="M137" s="262"/>
      <c r="N137" s="262"/>
      <c r="O137" s="262"/>
      <c r="P137" s="262"/>
      <c r="Q137" s="262"/>
      <c r="R137" s="262"/>
      <c r="S137" s="262"/>
      <c r="T137" s="262"/>
      <c r="U137" s="262"/>
      <c r="V137" s="262"/>
      <c r="W137" s="262"/>
      <c r="X137" s="262"/>
      <c r="Y137" s="262"/>
      <c r="Z137" s="262"/>
      <c r="AA137" s="262"/>
      <c r="AB137" s="262"/>
    </row>
    <row r="138" spans="1:31" ht="12.75">
      <c r="A138" s="277" t="s">
        <v>14475</v>
      </c>
      <c r="B138" s="327" t="s">
        <v>14476</v>
      </c>
      <c r="C138" s="327">
        <v>96622</v>
      </c>
      <c r="D138" s="280" t="s">
        <v>14477</v>
      </c>
      <c r="E138" s="329"/>
      <c r="F138" s="282"/>
      <c r="G138" s="283"/>
      <c r="H138" s="284"/>
      <c r="I138" s="262"/>
      <c r="J138" s="262"/>
      <c r="K138" s="262"/>
      <c r="L138" s="262"/>
      <c r="M138" s="262"/>
      <c r="N138" s="262"/>
      <c r="O138" s="262"/>
      <c r="P138" s="262"/>
      <c r="Q138" s="262"/>
      <c r="R138" s="262"/>
      <c r="S138" s="262"/>
      <c r="T138" s="262"/>
      <c r="U138" s="262"/>
      <c r="V138" s="262"/>
      <c r="W138" s="262"/>
      <c r="X138" s="262"/>
      <c r="Y138" s="262"/>
      <c r="Z138" s="262"/>
      <c r="AA138" s="262"/>
      <c r="AB138" s="262"/>
    </row>
    <row r="139" spans="1:31" ht="25.5">
      <c r="A139" s="285" t="s">
        <v>14478</v>
      </c>
      <c r="B139" s="286" t="s">
        <v>14476</v>
      </c>
      <c r="C139" s="287">
        <v>88309</v>
      </c>
      <c r="D139" s="288" t="str">
        <f>IFERROR(VLOOKUP($C139,'24.08_ND'!$A:$D,2,0),)</f>
        <v>PEDREIRO COM ENCARGOS COMPLEMENTARES</v>
      </c>
      <c r="E139" s="289" t="str">
        <f>IFERROR(VLOOKUP($C139,'24.08_ND'!$A:$D,3,0),)</f>
        <v>H</v>
      </c>
      <c r="F139" s="290">
        <v>1.2170000000000001</v>
      </c>
      <c r="G139" s="291">
        <f>IFERROR(VLOOKUP($C139,'24.08_ND'!$A:$D,4,0),)</f>
        <v>23.33</v>
      </c>
      <c r="H139" s="292">
        <f t="shared" ref="H139:H144" si="5">TRUNC(($F139*$G139),2)</f>
        <v>28.39</v>
      </c>
      <c r="I139" s="262"/>
      <c r="J139" s="262"/>
      <c r="K139" s="262"/>
      <c r="L139" s="262"/>
      <c r="M139" s="262"/>
      <c r="N139" s="262"/>
      <c r="O139" s="262"/>
      <c r="P139" s="262"/>
      <c r="Q139" s="262"/>
      <c r="R139" s="262"/>
      <c r="S139" s="262"/>
      <c r="T139" s="262"/>
      <c r="U139" s="262"/>
      <c r="V139" s="262"/>
      <c r="W139" s="262"/>
      <c r="X139" s="262"/>
      <c r="Y139" s="262"/>
      <c r="Z139" s="262"/>
      <c r="AA139" s="262"/>
      <c r="AB139" s="262"/>
      <c r="AD139" s="1791" t="e">
        <f>VLOOKUP(C139,'Medição '!$B$16:$F$1833,6,0)</f>
        <v>#N/A</v>
      </c>
      <c r="AE139" s="1791"/>
    </row>
    <row r="140" spans="1:31" ht="25.5">
      <c r="A140" s="285" t="s">
        <v>14478</v>
      </c>
      <c r="B140" s="286" t="s">
        <v>14476</v>
      </c>
      <c r="C140" s="287">
        <v>88316</v>
      </c>
      <c r="D140" s="288" t="str">
        <f>IFERROR(VLOOKUP($C140,'24.08_ND'!$A:$D,2,0),)</f>
        <v>SERVENTE COM ENCARGOS COMPLEMENTARES</v>
      </c>
      <c r="E140" s="289" t="str">
        <f>IFERROR(VLOOKUP($C140,'24.08_ND'!$A:$D,3,0),)</f>
        <v>H</v>
      </c>
      <c r="F140" s="290">
        <v>0.39400000000000002</v>
      </c>
      <c r="G140" s="291">
        <f>IFERROR(VLOOKUP($C140,'24.08_ND'!$A:$D,4,0),)</f>
        <v>18.510000000000002</v>
      </c>
      <c r="H140" s="292">
        <f t="shared" si="5"/>
        <v>7.29</v>
      </c>
      <c r="I140" s="262"/>
      <c r="J140" s="262"/>
      <c r="K140" s="262"/>
      <c r="L140" s="262"/>
      <c r="M140" s="262"/>
      <c r="N140" s="262"/>
      <c r="O140" s="262"/>
      <c r="P140" s="262"/>
      <c r="Q140" s="262"/>
      <c r="R140" s="262"/>
      <c r="S140" s="262"/>
      <c r="T140" s="262"/>
      <c r="U140" s="262"/>
      <c r="V140" s="262"/>
      <c r="W140" s="262"/>
      <c r="X140" s="262"/>
      <c r="Y140" s="262"/>
      <c r="Z140" s="262"/>
      <c r="AA140" s="262"/>
      <c r="AB140" s="262"/>
      <c r="AD140" s="1791" t="e">
        <f>VLOOKUP(C140,'Medição '!$B$16:$F$1833,6,0)</f>
        <v>#N/A</v>
      </c>
      <c r="AE140" s="1791"/>
    </row>
    <row r="141" spans="1:31" ht="25.5">
      <c r="A141" s="285" t="s">
        <v>14478</v>
      </c>
      <c r="B141" s="286" t="s">
        <v>14476</v>
      </c>
      <c r="C141" s="287">
        <v>91277</v>
      </c>
      <c r="D141" s="288" t="str">
        <f>IFERROR(VLOOKUP($C141,'24.08_ND'!$A:$D,2,0),)</f>
        <v>PLACA VIBRATÓRIA REVERSÍVEL COM MOTOR 4 TEMPOS A GASOLINA, FORÇA CENTRÍFUGA DE 25 KN (2500 KGF), POTÊNCIA 5,5 CV - CHP DIURNO. AF_08/2015</v>
      </c>
      <c r="E141" s="289" t="str">
        <f>IFERROR(VLOOKUP($C141,'24.08_ND'!$A:$D,3,0),)</f>
        <v>CHP</v>
      </c>
      <c r="F141" s="290">
        <v>3.2000000000000001E-2</v>
      </c>
      <c r="G141" s="291">
        <f>IFERROR(VLOOKUP($C141,'24.08_ND'!$A:$D,4,0),)</f>
        <v>9.15</v>
      </c>
      <c r="H141" s="292">
        <f t="shared" si="5"/>
        <v>0.28999999999999998</v>
      </c>
      <c r="I141" s="262"/>
      <c r="J141" s="262"/>
      <c r="K141" s="262"/>
      <c r="L141" s="262"/>
      <c r="M141" s="262"/>
      <c r="N141" s="262"/>
      <c r="O141" s="262"/>
      <c r="P141" s="262"/>
      <c r="Q141" s="262"/>
      <c r="R141" s="262"/>
      <c r="S141" s="262"/>
      <c r="T141" s="262"/>
      <c r="U141" s="262"/>
      <c r="V141" s="262"/>
      <c r="W141" s="262"/>
      <c r="X141" s="262"/>
      <c r="Y141" s="262"/>
      <c r="Z141" s="262"/>
      <c r="AA141" s="262"/>
      <c r="AB141" s="262"/>
      <c r="AD141" s="1791" t="e">
        <f>VLOOKUP(C141,'Medição '!$B$16:$F$1833,6,0)</f>
        <v>#N/A</v>
      </c>
      <c r="AE141" s="1791"/>
    </row>
    <row r="142" spans="1:31" ht="25.5">
      <c r="A142" s="285" t="s">
        <v>14478</v>
      </c>
      <c r="B142" s="286" t="s">
        <v>14476</v>
      </c>
      <c r="C142" s="287">
        <v>91278</v>
      </c>
      <c r="D142" s="288" t="str">
        <f>IFERROR(VLOOKUP($C142,'24.08_ND'!$A:$D,2,0),)</f>
        <v>PLACA VIBRATÓRIA REVERSÍVEL COM MOTOR 4 TEMPOS A GASOLINA, FORÇA CENTRÍFUGA DE 25 KN (2500 KGF), POTÊNCIA 5,5 CV - CHI DIURNO. AF_08/2015</v>
      </c>
      <c r="E142" s="289" t="str">
        <f>IFERROR(VLOOKUP($C142,'24.08_ND'!$A:$D,3,0),)</f>
        <v>CHI</v>
      </c>
      <c r="F142" s="290">
        <v>0.03</v>
      </c>
      <c r="G142" s="291">
        <f>IFERROR(VLOOKUP($C142,'24.08_ND'!$A:$D,4,0),)</f>
        <v>0.64</v>
      </c>
      <c r="H142" s="292">
        <f t="shared" si="5"/>
        <v>0.01</v>
      </c>
      <c r="I142" s="262"/>
      <c r="J142" s="262"/>
      <c r="K142" s="262"/>
      <c r="L142" s="262"/>
      <c r="M142" s="262"/>
      <c r="N142" s="262"/>
      <c r="O142" s="262"/>
      <c r="P142" s="262"/>
      <c r="Q142" s="262"/>
      <c r="R142" s="262"/>
      <c r="S142" s="262"/>
      <c r="T142" s="262"/>
      <c r="U142" s="262"/>
      <c r="V142" s="262"/>
      <c r="W142" s="262"/>
      <c r="X142" s="262"/>
      <c r="Y142" s="262"/>
      <c r="Z142" s="262"/>
      <c r="AA142" s="262"/>
      <c r="AB142" s="262"/>
      <c r="AD142" s="1791" t="e">
        <f>VLOOKUP(C142,'Medição '!$B$16:$F$1833,6,0)</f>
        <v>#N/A</v>
      </c>
      <c r="AE142" s="1791"/>
    </row>
    <row r="143" spans="1:31" ht="25.5">
      <c r="A143" s="285" t="s">
        <v>14478</v>
      </c>
      <c r="B143" s="286" t="s">
        <v>14476</v>
      </c>
      <c r="C143" s="287">
        <v>88316</v>
      </c>
      <c r="D143" s="288" t="str">
        <f>IFERROR(VLOOKUP($C143,'24.08_ND'!$A:$D,2,0),)</f>
        <v>SERVENTE COM ENCARGOS COMPLEMENTARES</v>
      </c>
      <c r="E143" s="289" t="str">
        <f>IFERROR(VLOOKUP($C143,'24.08_ND'!$A:$D,3,0),)</f>
        <v>H</v>
      </c>
      <c r="F143" s="290">
        <v>0.76500000000000001</v>
      </c>
      <c r="G143" s="291">
        <f>IFERROR(VLOOKUP($C143,'24.08_ND'!$A:$D,4,0),)</f>
        <v>18.510000000000002</v>
      </c>
      <c r="H143" s="292">
        <f t="shared" si="5"/>
        <v>14.16</v>
      </c>
      <c r="I143" s="262"/>
      <c r="J143" s="262"/>
      <c r="K143" s="262"/>
      <c r="L143" s="262"/>
      <c r="M143" s="262"/>
      <c r="N143" s="262"/>
      <c r="O143" s="262"/>
      <c r="P143" s="262"/>
      <c r="Q143" s="262"/>
      <c r="R143" s="262"/>
      <c r="S143" s="262"/>
      <c r="T143" s="262"/>
      <c r="U143" s="262"/>
      <c r="V143" s="262"/>
      <c r="W143" s="262"/>
      <c r="X143" s="262"/>
      <c r="Y143" s="262"/>
      <c r="Z143" s="262"/>
      <c r="AA143" s="262"/>
      <c r="AB143" s="262"/>
      <c r="AD143" s="1791" t="e">
        <f>VLOOKUP(C143,'Medição '!$B$16:$F$1833,6,0)</f>
        <v>#N/A</v>
      </c>
      <c r="AE143" s="1791"/>
    </row>
    <row r="144" spans="1:31" ht="12.75">
      <c r="A144" s="293" t="s">
        <v>14479</v>
      </c>
      <c r="B144" s="294" t="s">
        <v>14476</v>
      </c>
      <c r="C144" s="295">
        <v>4721</v>
      </c>
      <c r="D144" s="296" t="str">
        <f>IFERROR(VLOOKUP($C144,'24.08_ND'!$A:$D,2,0),)</f>
        <v>PEDRA BRITADA N. 1 (9,5 A 19 MM) POSTO PEDREIRA/FORNECEDOR, SEM FRETE</v>
      </c>
      <c r="E144" s="297" t="str">
        <f>IFERROR(VLOOKUP($C144,'24.08_ND'!$A:$D,3,0),)</f>
        <v>M3</v>
      </c>
      <c r="F144" s="298">
        <v>1.1299999999999999</v>
      </c>
      <c r="G144" s="299">
        <f>IFERROR(VLOOKUP($C144,'24.08_ND'!$A:$D,4,0),)</f>
        <v>135.93</v>
      </c>
      <c r="H144" s="300">
        <f t="shared" si="5"/>
        <v>153.6</v>
      </c>
      <c r="I144" s="262"/>
      <c r="J144" s="262"/>
      <c r="K144" s="262"/>
      <c r="L144" s="262"/>
      <c r="M144" s="262"/>
      <c r="N144" s="262"/>
      <c r="O144" s="262"/>
      <c r="P144" s="262"/>
      <c r="Q144" s="262"/>
      <c r="R144" s="262"/>
      <c r="S144" s="262"/>
      <c r="T144" s="262"/>
      <c r="U144" s="262"/>
      <c r="V144" s="262"/>
      <c r="W144" s="262"/>
      <c r="X144" s="262"/>
      <c r="Y144" s="262"/>
      <c r="Z144" s="262"/>
      <c r="AA144" s="262"/>
      <c r="AB144" s="262"/>
    </row>
    <row r="145" spans="1:31" ht="12.75">
      <c r="A145" s="309"/>
      <c r="B145" s="303"/>
      <c r="C145" s="303"/>
      <c r="D145" s="310"/>
      <c r="E145" s="303"/>
      <c r="F145" s="306"/>
      <c r="G145" s="307"/>
      <c r="H145" s="308"/>
      <c r="I145" s="262"/>
      <c r="J145" s="262"/>
      <c r="K145" s="262"/>
      <c r="L145" s="262"/>
      <c r="M145" s="262"/>
      <c r="N145" s="262"/>
      <c r="O145" s="262"/>
      <c r="P145" s="262"/>
      <c r="Q145" s="262"/>
      <c r="R145" s="262"/>
      <c r="S145" s="262"/>
      <c r="T145" s="262"/>
      <c r="U145" s="262"/>
      <c r="V145" s="262"/>
      <c r="W145" s="262"/>
      <c r="X145" s="262"/>
      <c r="Y145" s="262"/>
      <c r="Z145" s="262"/>
      <c r="AA145" s="262"/>
      <c r="AB145" s="262"/>
    </row>
    <row r="146" spans="1:31" ht="25.5">
      <c r="A146" s="271" t="s">
        <v>14471</v>
      </c>
      <c r="B146" s="272" t="s">
        <v>14472</v>
      </c>
      <c r="C146" s="273" t="s">
        <v>14534</v>
      </c>
      <c r="D146" s="274" t="s">
        <v>14535</v>
      </c>
      <c r="E146" s="272" t="s">
        <v>6</v>
      </c>
      <c r="F146" s="272"/>
      <c r="G146" s="272"/>
      <c r="H146" s="275">
        <f>TRUNC(SUM(H148:H163),2)</f>
        <v>9567.1</v>
      </c>
      <c r="I146" s="276">
        <f>COUNTIF($C$8:$C146,C:C)</f>
        <v>1</v>
      </c>
      <c r="J146" s="262"/>
      <c r="K146" s="262"/>
      <c r="L146" s="262"/>
      <c r="M146" s="262"/>
      <c r="N146" s="262"/>
      <c r="O146" s="262"/>
      <c r="P146" s="262"/>
      <c r="Q146" s="262"/>
      <c r="R146" s="262"/>
      <c r="S146" s="262"/>
      <c r="T146" s="262"/>
      <c r="U146" s="262"/>
      <c r="V146" s="262"/>
      <c r="W146" s="262"/>
      <c r="X146" s="262"/>
      <c r="Y146" s="262"/>
      <c r="Z146" s="262"/>
      <c r="AA146" s="262"/>
      <c r="AB146" s="262"/>
    </row>
    <row r="147" spans="1:31" ht="12.75">
      <c r="A147" s="277" t="s">
        <v>14475</v>
      </c>
      <c r="B147" s="352" t="s">
        <v>14476</v>
      </c>
      <c r="C147" s="331">
        <v>104900</v>
      </c>
      <c r="D147" s="353" t="s">
        <v>14530</v>
      </c>
      <c r="E147" s="354"/>
      <c r="F147" s="355"/>
      <c r="G147" s="356"/>
      <c r="H147" s="357"/>
      <c r="I147" s="262"/>
      <c r="J147" s="262"/>
      <c r="K147" s="262"/>
      <c r="L147" s="262"/>
      <c r="M147" s="262"/>
      <c r="N147" s="262"/>
      <c r="O147" s="262"/>
      <c r="P147" s="262"/>
      <c r="Q147" s="262"/>
      <c r="R147" s="262"/>
      <c r="S147" s="262"/>
      <c r="T147" s="262"/>
      <c r="U147" s="262"/>
      <c r="V147" s="262"/>
      <c r="W147" s="262"/>
      <c r="X147" s="262"/>
      <c r="Y147" s="262"/>
      <c r="Z147" s="262"/>
      <c r="AA147" s="262"/>
      <c r="AB147" s="262"/>
    </row>
    <row r="148" spans="1:31" ht="25.5">
      <c r="A148" s="285" t="s">
        <v>14478</v>
      </c>
      <c r="B148" s="286" t="s">
        <v>14476</v>
      </c>
      <c r="C148" s="287">
        <v>94489</v>
      </c>
      <c r="D148" s="288" t="str">
        <f>IFERROR(VLOOKUP($C148,'24.08_ND'!$A:$D,2,0),)</f>
        <v>REGISTRO DE ESFERA, PVC, SOLDÁVEL, COM VOLANTE, DN  25 MM - FORNECIMENTO E INSTALAÇÃO. AF_08/2021</v>
      </c>
      <c r="E148" s="289" t="str">
        <f>IFERROR(VLOOKUP($C148,'24.08_ND'!$A:$D,3,0),)</f>
        <v>UN</v>
      </c>
      <c r="F148" s="290">
        <v>2</v>
      </c>
      <c r="G148" s="291">
        <f>IFERROR(VLOOKUP($C148,'24.08_ND'!$A:$D,4,0),)</f>
        <v>22.62</v>
      </c>
      <c r="H148" s="292">
        <f t="shared" ref="H148:H163" si="6">TRUNC(($F148*$G148),2)</f>
        <v>45.24</v>
      </c>
      <c r="I148" s="262"/>
      <c r="J148" s="262"/>
      <c r="K148" s="262"/>
      <c r="L148" s="262"/>
      <c r="M148" s="262"/>
      <c r="N148" s="262"/>
      <c r="O148" s="262"/>
      <c r="P148" s="262"/>
      <c r="Q148" s="262"/>
      <c r="R148" s="262"/>
      <c r="S148" s="262"/>
      <c r="T148" s="262"/>
      <c r="U148" s="262"/>
      <c r="V148" s="262"/>
      <c r="W148" s="262"/>
      <c r="X148" s="262"/>
      <c r="Y148" s="262"/>
      <c r="Z148" s="262"/>
      <c r="AA148" s="262"/>
      <c r="AB148" s="262"/>
      <c r="AD148" s="1791" t="e">
        <f>VLOOKUP(C148,'Medição '!$B$16:$F$1833,6,0)</f>
        <v>#REF!</v>
      </c>
      <c r="AE148" s="1791"/>
    </row>
    <row r="149" spans="1:31" ht="25.5">
      <c r="A149" s="285" t="s">
        <v>14478</v>
      </c>
      <c r="B149" s="286" t="s">
        <v>14476</v>
      </c>
      <c r="C149" s="287">
        <v>94491</v>
      </c>
      <c r="D149" s="288" t="str">
        <f>IFERROR(VLOOKUP($C149,'24.08_ND'!$A:$D,2,0),)</f>
        <v>REGISTRO DE ESFERA, PVC, SOLDÁVEL, COM VOLANTE, DN  40 MM - FORNECIMENTO E INSTALAÇÃO. AF_08/2021</v>
      </c>
      <c r="E149" s="289" t="str">
        <f>IFERROR(VLOOKUP($C149,'24.08_ND'!$A:$D,3,0),)</f>
        <v>UN</v>
      </c>
      <c r="F149" s="290">
        <v>1</v>
      </c>
      <c r="G149" s="291">
        <f>IFERROR(VLOOKUP($C149,'24.08_ND'!$A:$D,4,0),)</f>
        <v>45.21</v>
      </c>
      <c r="H149" s="292">
        <f t="shared" si="6"/>
        <v>45.21</v>
      </c>
      <c r="I149" s="262"/>
      <c r="J149" s="262"/>
      <c r="K149" s="262"/>
      <c r="L149" s="262"/>
      <c r="M149" s="262"/>
      <c r="N149" s="262"/>
      <c r="O149" s="262"/>
      <c r="P149" s="262"/>
      <c r="Q149" s="262"/>
      <c r="R149" s="262"/>
      <c r="S149" s="262"/>
      <c r="T149" s="262"/>
      <c r="U149" s="262"/>
      <c r="V149" s="262"/>
      <c r="W149" s="262"/>
      <c r="X149" s="262"/>
      <c r="Y149" s="262"/>
      <c r="Z149" s="262"/>
      <c r="AA149" s="262"/>
      <c r="AB149" s="262"/>
      <c r="AD149" s="1791" t="e">
        <f>VLOOKUP(C149,'Medição '!$B$16:$F$1833,6,0)</f>
        <v>#N/A</v>
      </c>
      <c r="AE149" s="1791"/>
    </row>
    <row r="150" spans="1:31" ht="25.5">
      <c r="A150" s="285" t="s">
        <v>14478</v>
      </c>
      <c r="B150" s="286" t="s">
        <v>14476</v>
      </c>
      <c r="C150" s="287">
        <v>94648</v>
      </c>
      <c r="D150" s="288" t="str">
        <f>IFERROR(VLOOKUP($C150,'24.08_ND'!$A:$D,2,0),)</f>
        <v>TUBO, PVC, SOLDÁVEL, DE  25MM, INSTALADO EM RESERVAÇÃO PREDIAL DE ÁGUA - FORNECIMENTO E INSTALAÇÃO. AF_04/2024</v>
      </c>
      <c r="E150" s="289" t="str">
        <f>IFERROR(VLOOKUP($C150,'24.08_ND'!$A:$D,3,0),)</f>
        <v>M</v>
      </c>
      <c r="F150" s="290">
        <v>1.1000000000000001</v>
      </c>
      <c r="G150" s="291">
        <f>IFERROR(VLOOKUP($C150,'24.08_ND'!$A:$D,4,0),)</f>
        <v>5.36</v>
      </c>
      <c r="H150" s="292">
        <f t="shared" si="6"/>
        <v>5.89</v>
      </c>
      <c r="I150" s="262"/>
      <c r="J150" s="262"/>
      <c r="K150" s="262"/>
      <c r="L150" s="262"/>
      <c r="M150" s="262"/>
      <c r="N150" s="262"/>
      <c r="O150" s="262"/>
      <c r="P150" s="262"/>
      <c r="Q150" s="262"/>
      <c r="R150" s="262"/>
      <c r="S150" s="262"/>
      <c r="T150" s="262"/>
      <c r="U150" s="262"/>
      <c r="V150" s="262"/>
      <c r="W150" s="262"/>
      <c r="X150" s="262"/>
      <c r="Y150" s="262"/>
      <c r="Z150" s="262"/>
      <c r="AA150" s="262"/>
      <c r="AB150" s="262"/>
      <c r="AD150" s="1791" t="e">
        <f>VLOOKUP(C150,'Medição '!$B$16:$F$1833,6,0)</f>
        <v>#N/A</v>
      </c>
      <c r="AE150" s="1791"/>
    </row>
    <row r="151" spans="1:31" ht="25.5">
      <c r="A151" s="285" t="s">
        <v>14478</v>
      </c>
      <c r="B151" s="286" t="s">
        <v>14476</v>
      </c>
      <c r="C151" s="287">
        <v>94649</v>
      </c>
      <c r="D151" s="288" t="str">
        <f>IFERROR(VLOOKUP($C151,'24.08_ND'!$A:$D,2,0),)</f>
        <v>TUBO, PVC, SOLDÁVEL, DE 32MM, INSTALADO EM RESERVAÇÃO PREDIAL DE ÁGUA - FORNECIMENTO E INSTALAÇÃO. AF_04/2024</v>
      </c>
      <c r="E151" s="289" t="str">
        <f>IFERROR(VLOOKUP($C151,'24.08_ND'!$A:$D,3,0),)</f>
        <v>M</v>
      </c>
      <c r="F151" s="290">
        <v>1.75</v>
      </c>
      <c r="G151" s="291">
        <f>IFERROR(VLOOKUP($C151,'24.08_ND'!$A:$D,4,0),)</f>
        <v>9.91</v>
      </c>
      <c r="H151" s="292">
        <f t="shared" si="6"/>
        <v>17.34</v>
      </c>
      <c r="I151" s="262"/>
      <c r="J151" s="262"/>
      <c r="K151" s="262"/>
      <c r="L151" s="262"/>
      <c r="M151" s="262"/>
      <c r="N151" s="262"/>
      <c r="O151" s="262"/>
      <c r="P151" s="262"/>
      <c r="Q151" s="262"/>
      <c r="R151" s="262"/>
      <c r="S151" s="262"/>
      <c r="T151" s="262"/>
      <c r="U151" s="262"/>
      <c r="V151" s="262"/>
      <c r="W151" s="262"/>
      <c r="X151" s="262"/>
      <c r="Y151" s="262"/>
      <c r="Z151" s="262"/>
      <c r="AA151" s="262"/>
      <c r="AB151" s="262"/>
      <c r="AD151" s="1791" t="e">
        <f>VLOOKUP(C151,'Medição '!$B$16:$F$1833,6,0)</f>
        <v>#N/A</v>
      </c>
      <c r="AE151" s="1791"/>
    </row>
    <row r="152" spans="1:31" ht="25.5">
      <c r="A152" s="285" t="s">
        <v>14478</v>
      </c>
      <c r="B152" s="286" t="s">
        <v>14476</v>
      </c>
      <c r="C152" s="287">
        <v>94650</v>
      </c>
      <c r="D152" s="288" t="str">
        <f>IFERROR(VLOOKUP($C152,'24.08_ND'!$A:$D,2,0),)</f>
        <v>TUBO, PVC, SOLDÁVEL, DE 40MM, INSTALADO EM RESERVAÇÃO PREDIAL DE ÁGUA - FORNECIMENTO E INSTALAÇÃO. AF_04/2024</v>
      </c>
      <c r="E152" s="289" t="str">
        <f>IFERROR(VLOOKUP($C152,'24.08_ND'!$A:$D,3,0),)</f>
        <v>M</v>
      </c>
      <c r="F152" s="290">
        <v>0.2</v>
      </c>
      <c r="G152" s="291">
        <f>IFERROR(VLOOKUP($C152,'24.08_ND'!$A:$D,4,0),)</f>
        <v>14.99</v>
      </c>
      <c r="H152" s="292">
        <f t="shared" si="6"/>
        <v>2.99</v>
      </c>
      <c r="I152" s="262"/>
      <c r="J152" s="262"/>
      <c r="K152" s="262"/>
      <c r="L152" s="262"/>
      <c r="M152" s="262"/>
      <c r="N152" s="262"/>
      <c r="O152" s="262"/>
      <c r="P152" s="262"/>
      <c r="Q152" s="262"/>
      <c r="R152" s="262"/>
      <c r="S152" s="262"/>
      <c r="T152" s="262"/>
      <c r="U152" s="262"/>
      <c r="V152" s="262"/>
      <c r="W152" s="262"/>
      <c r="X152" s="262"/>
      <c r="Y152" s="262"/>
      <c r="Z152" s="262"/>
      <c r="AA152" s="262"/>
      <c r="AB152" s="262"/>
      <c r="AD152" s="1791" t="e">
        <f>VLOOKUP(C152,'Medição '!$B$16:$F$1833,6,0)</f>
        <v>#N/A</v>
      </c>
      <c r="AE152" s="1791"/>
    </row>
    <row r="153" spans="1:31" ht="25.5">
      <c r="A153" s="285" t="s">
        <v>14478</v>
      </c>
      <c r="B153" s="286" t="s">
        <v>14476</v>
      </c>
      <c r="C153" s="287">
        <v>94672</v>
      </c>
      <c r="D153" s="288" t="str">
        <f>IFERROR(VLOOKUP($C153,'24.08_ND'!$A:$D,2,0),)</f>
        <v>JOELHO 90 GRAUS COM BUCHA DE LATÃO, PVC, SOLDÁVEL, DN  25 MM X 3/4", INSTALADO EM RESERVAÇÃO PREDIAL DE ÁGUA - FORNECIMENTO E INSTALAÇÃO. AF_04/2024</v>
      </c>
      <c r="E153" s="289" t="str">
        <f>IFERROR(VLOOKUP($C153,'24.08_ND'!$A:$D,3,0),)</f>
        <v>UN</v>
      </c>
      <c r="F153" s="290">
        <v>1</v>
      </c>
      <c r="G153" s="291">
        <f>IFERROR(VLOOKUP($C153,'24.08_ND'!$A:$D,4,0),)</f>
        <v>4.9400000000000004</v>
      </c>
      <c r="H153" s="292">
        <f t="shared" si="6"/>
        <v>4.9400000000000004</v>
      </c>
      <c r="I153" s="262"/>
      <c r="J153" s="262"/>
      <c r="K153" s="262"/>
      <c r="L153" s="262"/>
      <c r="M153" s="262"/>
      <c r="N153" s="262"/>
      <c r="O153" s="262"/>
      <c r="P153" s="262"/>
      <c r="Q153" s="262"/>
      <c r="R153" s="262"/>
      <c r="S153" s="262"/>
      <c r="T153" s="262"/>
      <c r="U153" s="262"/>
      <c r="V153" s="262"/>
      <c r="W153" s="262"/>
      <c r="X153" s="262"/>
      <c r="Y153" s="262"/>
      <c r="Z153" s="262"/>
      <c r="AA153" s="262"/>
      <c r="AB153" s="262"/>
      <c r="AD153" s="1791" t="e">
        <f>VLOOKUP(C153,'Medição '!$B$16:$F$1833,6,0)</f>
        <v>#N/A</v>
      </c>
      <c r="AE153" s="1791"/>
    </row>
    <row r="154" spans="1:31" ht="25.5">
      <c r="A154" s="285" t="s">
        <v>14478</v>
      </c>
      <c r="B154" s="286" t="s">
        <v>14476</v>
      </c>
      <c r="C154" s="287">
        <v>94674</v>
      </c>
      <c r="D154" s="288" t="str">
        <f>IFERROR(VLOOKUP($C154,'24.08_ND'!$A:$D,2,0),)</f>
        <v>JOELHO 90 GRAUS, PVC, SOLDÁVEL, DN 32 MM INSTALADO EM RESERVAÇÃO PREDIAL DE ÁGUA - FORNECIMENTO E INSTALAÇÃO. AF_04/2024</v>
      </c>
      <c r="E154" s="289" t="str">
        <f>IFERROR(VLOOKUP($C154,'24.08_ND'!$A:$D,3,0),)</f>
        <v>UN</v>
      </c>
      <c r="F154" s="290">
        <v>2</v>
      </c>
      <c r="G154" s="291">
        <f>IFERROR(VLOOKUP($C154,'24.08_ND'!$A:$D,4,0),)</f>
        <v>6.6</v>
      </c>
      <c r="H154" s="292">
        <f t="shared" si="6"/>
        <v>13.2</v>
      </c>
      <c r="I154" s="262"/>
      <c r="J154" s="262"/>
      <c r="K154" s="262"/>
      <c r="L154" s="262"/>
      <c r="M154" s="262"/>
      <c r="N154" s="262"/>
      <c r="O154" s="262"/>
      <c r="P154" s="262"/>
      <c r="Q154" s="262"/>
      <c r="R154" s="262"/>
      <c r="S154" s="262"/>
      <c r="T154" s="262"/>
      <c r="U154" s="262"/>
      <c r="V154" s="262"/>
      <c r="W154" s="262"/>
      <c r="X154" s="262"/>
      <c r="Y154" s="262"/>
      <c r="Z154" s="262"/>
      <c r="AA154" s="262"/>
      <c r="AB154" s="262"/>
      <c r="AD154" s="1791" t="e">
        <f>VLOOKUP(C154,'Medição '!$B$16:$F$1833,6,0)</f>
        <v>#N/A</v>
      </c>
      <c r="AE154" s="1791"/>
    </row>
    <row r="155" spans="1:31" ht="25.5">
      <c r="A155" s="285" t="s">
        <v>14478</v>
      </c>
      <c r="B155" s="286" t="s">
        <v>14476</v>
      </c>
      <c r="C155" s="287">
        <v>94690</v>
      </c>
      <c r="D155" s="288" t="str">
        <f>IFERROR(VLOOKUP($C155,'24.08_ND'!$A:$D,2,0),)</f>
        <v>TÊ, PVC, SOLDÁVEL, DN 32 MM INSTALADO EM RESERVAÇÃO PREDIAL DE ÁGUA - FORNECIMENTO E INSTALAÇÃO. AF_04/2024</v>
      </c>
      <c r="E155" s="289" t="str">
        <f>IFERROR(VLOOKUP($C155,'24.08_ND'!$A:$D,3,0),)</f>
        <v>UN</v>
      </c>
      <c r="F155" s="290">
        <v>1</v>
      </c>
      <c r="G155" s="291">
        <f>IFERROR(VLOOKUP($C155,'24.08_ND'!$A:$D,4,0),)</f>
        <v>9.5</v>
      </c>
      <c r="H155" s="292">
        <f t="shared" si="6"/>
        <v>9.5</v>
      </c>
      <c r="I155" s="262"/>
      <c r="J155" s="262"/>
      <c r="K155" s="262"/>
      <c r="L155" s="262"/>
      <c r="M155" s="262"/>
      <c r="N155" s="262"/>
      <c r="O155" s="262"/>
      <c r="P155" s="262"/>
      <c r="Q155" s="262"/>
      <c r="R155" s="262"/>
      <c r="S155" s="262"/>
      <c r="T155" s="262"/>
      <c r="U155" s="262"/>
      <c r="V155" s="262"/>
      <c r="W155" s="262"/>
      <c r="X155" s="262"/>
      <c r="Y155" s="262"/>
      <c r="Z155" s="262"/>
      <c r="AA155" s="262"/>
      <c r="AB155" s="262"/>
      <c r="AD155" s="1791" t="e">
        <f>VLOOKUP(C155,'Medição '!$B$16:$F$1833,6,0)</f>
        <v>#N/A</v>
      </c>
      <c r="AE155" s="1791"/>
    </row>
    <row r="156" spans="1:31" ht="25.5">
      <c r="A156" s="285" t="s">
        <v>14478</v>
      </c>
      <c r="B156" s="286" t="s">
        <v>14476</v>
      </c>
      <c r="C156" s="287">
        <v>94692</v>
      </c>
      <c r="D156" s="288" t="str">
        <f>IFERROR(VLOOKUP($C156,'24.08_ND'!$A:$D,2,0),)</f>
        <v>TÊ, PVC, SOLDÁVEL, DN 40 MM INSTALADO EM RESERVAÇÃO PREDIAL DE ÁGUA - FORNECIMENTO E INSTALAÇÃO. AF_04/2024</v>
      </c>
      <c r="E156" s="289" t="str">
        <f>IFERROR(VLOOKUP($C156,'24.08_ND'!$A:$D,3,0),)</f>
        <v>UN</v>
      </c>
      <c r="F156" s="290">
        <v>1</v>
      </c>
      <c r="G156" s="291">
        <f>IFERROR(VLOOKUP($C156,'24.08_ND'!$A:$D,4,0),)</f>
        <v>15.82</v>
      </c>
      <c r="H156" s="292">
        <f t="shared" si="6"/>
        <v>15.82</v>
      </c>
      <c r="I156" s="262"/>
      <c r="J156" s="262"/>
      <c r="K156" s="262"/>
      <c r="L156" s="262"/>
      <c r="M156" s="262"/>
      <c r="N156" s="262"/>
      <c r="O156" s="262"/>
      <c r="P156" s="262"/>
      <c r="Q156" s="262"/>
      <c r="R156" s="262"/>
      <c r="S156" s="262"/>
      <c r="T156" s="262"/>
      <c r="U156" s="262"/>
      <c r="V156" s="262"/>
      <c r="W156" s="262"/>
      <c r="X156" s="262"/>
      <c r="Y156" s="262"/>
      <c r="Z156" s="262"/>
      <c r="AA156" s="262"/>
      <c r="AB156" s="262"/>
      <c r="AD156" s="1791" t="e">
        <f>VLOOKUP(C156,'Medição '!$B$16:$F$1833,6,0)</f>
        <v>#N/A</v>
      </c>
      <c r="AE156" s="1791"/>
    </row>
    <row r="157" spans="1:31" ht="38.25">
      <c r="A157" s="285" t="s">
        <v>14478</v>
      </c>
      <c r="B157" s="286" t="s">
        <v>14476</v>
      </c>
      <c r="C157" s="287">
        <v>94703</v>
      </c>
      <c r="D157" s="288" t="str">
        <f>IFERROR(VLOOKUP($C157,'24.08_ND'!$A:$D,2,0),)</f>
        <v>ADAPTADOR COM FLANGE E ANEL DE VEDAÇÃO, PVC, SOLDÁVEL, DN  25 MM X 3/4", INSTALADO EM RESERVAÇÃO PREDIAL DE ÁGUA - FORNECIMENTO E INSTALAÇÃO. AF_04/2024</v>
      </c>
      <c r="E157" s="289" t="str">
        <f>IFERROR(VLOOKUP($C157,'24.08_ND'!$A:$D,3,0),)</f>
        <v>UN</v>
      </c>
      <c r="F157" s="290">
        <v>2</v>
      </c>
      <c r="G157" s="291">
        <f>IFERROR(VLOOKUP($C157,'24.08_ND'!$A:$D,4,0),)</f>
        <v>15.84</v>
      </c>
      <c r="H157" s="292">
        <f t="shared" si="6"/>
        <v>31.68</v>
      </c>
      <c r="I157" s="262"/>
      <c r="J157" s="262"/>
      <c r="K157" s="262"/>
      <c r="L157" s="262"/>
      <c r="M157" s="262"/>
      <c r="N157" s="262"/>
      <c r="O157" s="262"/>
      <c r="P157" s="262"/>
      <c r="Q157" s="262"/>
      <c r="R157" s="262"/>
      <c r="S157" s="262"/>
      <c r="T157" s="262"/>
      <c r="U157" s="262"/>
      <c r="V157" s="262"/>
      <c r="W157" s="262"/>
      <c r="X157" s="262"/>
      <c r="Y157" s="262"/>
      <c r="Z157" s="262"/>
      <c r="AA157" s="262"/>
      <c r="AB157" s="262"/>
      <c r="AD157" s="1791" t="e">
        <f>VLOOKUP(C157,'Medição '!$B$16:$F$1833,6,0)</f>
        <v>#REF!</v>
      </c>
      <c r="AE157" s="1791"/>
    </row>
    <row r="158" spans="1:31" ht="38.25">
      <c r="A158" s="285" t="s">
        <v>14478</v>
      </c>
      <c r="B158" s="286" t="s">
        <v>14476</v>
      </c>
      <c r="C158" s="287">
        <v>94704</v>
      </c>
      <c r="D158" s="288" t="str">
        <f>IFERROR(VLOOKUP($C158,'24.08_ND'!$A:$D,2,0),)</f>
        <v>ADAPTADOR COM FLANGE E ANEL DE VEDAÇÃO, PVC, SOLDÁVEL, DN 32 MM X 1", INSTALADO EM RESERVAÇÃO PREDIAL DE ÁGUA - FORNECIMENTO E INSTALAÇÃO. AF_04/2024</v>
      </c>
      <c r="E158" s="289" t="str">
        <f>IFERROR(VLOOKUP($C158,'24.08_ND'!$A:$D,3,0),)</f>
        <v>UN</v>
      </c>
      <c r="F158" s="290">
        <v>1</v>
      </c>
      <c r="G158" s="291">
        <f>IFERROR(VLOOKUP($C158,'24.08_ND'!$A:$D,4,0),)</f>
        <v>21.08</v>
      </c>
      <c r="H158" s="292">
        <f t="shared" si="6"/>
        <v>21.08</v>
      </c>
      <c r="I158" s="262"/>
      <c r="J158" s="262"/>
      <c r="K158" s="262"/>
      <c r="L158" s="262"/>
      <c r="M158" s="262"/>
      <c r="N158" s="262"/>
      <c r="O158" s="262"/>
      <c r="P158" s="262"/>
      <c r="Q158" s="262"/>
      <c r="R158" s="262"/>
      <c r="S158" s="262"/>
      <c r="T158" s="262"/>
      <c r="U158" s="262"/>
      <c r="V158" s="262"/>
      <c r="W158" s="262"/>
      <c r="X158" s="262"/>
      <c r="Y158" s="262"/>
      <c r="Z158" s="262"/>
      <c r="AA158" s="262"/>
      <c r="AB158" s="262"/>
      <c r="AD158" s="1791" t="e">
        <f>VLOOKUP(C158,'Medição '!$B$16:$F$1833,6,0)</f>
        <v>#REF!</v>
      </c>
      <c r="AE158" s="1791"/>
    </row>
    <row r="159" spans="1:31" ht="38.25">
      <c r="A159" s="285" t="s">
        <v>14478</v>
      </c>
      <c r="B159" s="286" t="s">
        <v>14476</v>
      </c>
      <c r="C159" s="287">
        <v>94705</v>
      </c>
      <c r="D159" s="288" t="str">
        <f>IFERROR(VLOOKUP($C159,'24.08_ND'!$A:$D,2,0),)</f>
        <v>ADAPTADOR COM FLANGE E ANEL DE VEDAÇÃO, PVC, SOLDÁVEL, DN 40 MM X 1 1/4", INSTALADO EM RESERVAÇÃO PREDIAL DE ÁGUA - FORNECIMENTO E INSTALAÇÃO. AF_04/2024</v>
      </c>
      <c r="E159" s="289" t="str">
        <f>IFERROR(VLOOKUP($C159,'24.08_ND'!$A:$D,3,0),)</f>
        <v>UN</v>
      </c>
      <c r="F159" s="290">
        <v>1</v>
      </c>
      <c r="G159" s="291">
        <f>IFERROR(VLOOKUP($C159,'24.08_ND'!$A:$D,4,0),)</f>
        <v>28.69</v>
      </c>
      <c r="H159" s="292">
        <f t="shared" si="6"/>
        <v>28.69</v>
      </c>
      <c r="I159" s="262"/>
      <c r="J159" s="262"/>
      <c r="K159" s="262"/>
      <c r="L159" s="262"/>
      <c r="M159" s="262"/>
      <c r="N159" s="262"/>
      <c r="O159" s="262"/>
      <c r="P159" s="262"/>
      <c r="Q159" s="262"/>
      <c r="R159" s="262"/>
      <c r="S159" s="262"/>
      <c r="T159" s="262"/>
      <c r="U159" s="262"/>
      <c r="V159" s="262"/>
      <c r="W159" s="262"/>
      <c r="X159" s="262"/>
      <c r="Y159" s="262"/>
      <c r="Z159" s="262"/>
      <c r="AA159" s="262"/>
      <c r="AB159" s="262"/>
      <c r="AD159" s="1791" t="e">
        <f>VLOOKUP(C159,'Medição '!$B$16:$F$1833,6,0)</f>
        <v>#N/A</v>
      </c>
      <c r="AE159" s="1791"/>
    </row>
    <row r="160" spans="1:31" ht="25.5">
      <c r="A160" s="285" t="s">
        <v>14478</v>
      </c>
      <c r="B160" s="286" t="s">
        <v>14476</v>
      </c>
      <c r="C160" s="287">
        <v>94797</v>
      </c>
      <c r="D160" s="288" t="str">
        <f>IFERROR(VLOOKUP($C160,'24.08_ND'!$A:$D,2,0),)</f>
        <v>TORNEIRA DE BOIA PARA CAIXA D'ÁGUA, ROSCÁVEL, 1" - FORNECIMENTO E INSTALAÇÃO. AF_08/2021</v>
      </c>
      <c r="E160" s="289" t="str">
        <f>IFERROR(VLOOKUP($C160,'24.08_ND'!$A:$D,3,0),)</f>
        <v>UN</v>
      </c>
      <c r="F160" s="290">
        <v>1</v>
      </c>
      <c r="G160" s="291">
        <f>IFERROR(VLOOKUP($C160,'24.08_ND'!$A:$D,4,0),)</f>
        <v>75.2</v>
      </c>
      <c r="H160" s="292">
        <f t="shared" si="6"/>
        <v>75.2</v>
      </c>
      <c r="I160" s="262"/>
      <c r="J160" s="262"/>
      <c r="K160" s="262"/>
      <c r="L160" s="262"/>
      <c r="M160" s="262"/>
      <c r="N160" s="262"/>
      <c r="O160" s="262"/>
      <c r="P160" s="262"/>
      <c r="Q160" s="262"/>
      <c r="R160" s="262"/>
      <c r="S160" s="262"/>
      <c r="T160" s="262"/>
      <c r="U160" s="262"/>
      <c r="V160" s="262"/>
      <c r="W160" s="262"/>
      <c r="X160" s="262"/>
      <c r="Y160" s="262"/>
      <c r="Z160" s="262"/>
      <c r="AA160" s="262"/>
      <c r="AB160" s="262"/>
      <c r="AD160" s="1791" t="e">
        <f>VLOOKUP(C160,'Medição '!$B$16:$F$1833,6,0)</f>
        <v>#N/A</v>
      </c>
      <c r="AE160" s="1791"/>
    </row>
    <row r="161" spans="1:31" ht="25.5">
      <c r="A161" s="285" t="s">
        <v>14478</v>
      </c>
      <c r="B161" s="286" t="s">
        <v>14476</v>
      </c>
      <c r="C161" s="287">
        <v>105113</v>
      </c>
      <c r="D161" s="288" t="str">
        <f>IFERROR(VLOOKUP($C161,'24.08_ND'!$A:$D,2,0),)</f>
        <v>ESTRUTURA DE MADEIRA PROVISÓRIA PARA SUPORTE DE CAIXA D'ÁGUA ELEVADA DE 2000 LITROS. AF_03/2024</v>
      </c>
      <c r="E161" s="289" t="str">
        <f>IFERROR(VLOOKUP($C161,'24.08_ND'!$A:$D,3,0),)</f>
        <v>UN</v>
      </c>
      <c r="F161" s="290">
        <v>1</v>
      </c>
      <c r="G161" s="291">
        <f>IFERROR(VLOOKUP($C161,'24.08_ND'!$A:$D,4,0),)</f>
        <v>8277.24</v>
      </c>
      <c r="H161" s="292">
        <f t="shared" si="6"/>
        <v>8277.24</v>
      </c>
      <c r="I161" s="262"/>
      <c r="J161" s="262"/>
      <c r="K161" s="262"/>
      <c r="L161" s="262"/>
      <c r="M161" s="262"/>
      <c r="N161" s="262"/>
      <c r="O161" s="262"/>
      <c r="P161" s="262"/>
      <c r="Q161" s="262"/>
      <c r="R161" s="262"/>
      <c r="S161" s="262"/>
      <c r="T161" s="262"/>
      <c r="U161" s="262"/>
      <c r="V161" s="262"/>
      <c r="W161" s="262"/>
      <c r="X161" s="262"/>
      <c r="Y161" s="262"/>
      <c r="Z161" s="262"/>
      <c r="AA161" s="262"/>
      <c r="AB161" s="262"/>
      <c r="AD161" s="1791" t="e">
        <f>VLOOKUP(C161,'Medição '!$B$16:$F$1833,6,0)</f>
        <v>#N/A</v>
      </c>
      <c r="AE161" s="1791"/>
    </row>
    <row r="162" spans="1:31" ht="25.5">
      <c r="A162" s="285" t="s">
        <v>14478</v>
      </c>
      <c r="B162" s="286" t="s">
        <v>14476</v>
      </c>
      <c r="C162" s="287">
        <v>102595</v>
      </c>
      <c r="D162" s="288" t="str">
        <f>IFERROR(VLOOKUP($C162,'24.08_ND'!$A:$D,2,0),)</f>
        <v>FURO EM CAIXA D'ÁGUA COM ESPESSURA DE 2 ATÉ 5 MM E DIÂMETRO DE 40 MM. AF_06/2021</v>
      </c>
      <c r="E162" s="289" t="str">
        <f>IFERROR(VLOOKUP($C162,'24.08_ND'!$A:$D,3,0),)</f>
        <v>UN</v>
      </c>
      <c r="F162" s="290">
        <v>3</v>
      </c>
      <c r="G162" s="291">
        <f>IFERROR(VLOOKUP($C162,'24.08_ND'!$A:$D,4,0),)</f>
        <v>4.6100000000000003</v>
      </c>
      <c r="H162" s="292">
        <f t="shared" si="6"/>
        <v>13.83</v>
      </c>
      <c r="I162" s="262"/>
      <c r="J162" s="262"/>
      <c r="K162" s="262"/>
      <c r="L162" s="262"/>
      <c r="M162" s="262"/>
      <c r="N162" s="262"/>
      <c r="O162" s="262"/>
      <c r="P162" s="262"/>
      <c r="Q162" s="262"/>
      <c r="R162" s="262"/>
      <c r="S162" s="262"/>
      <c r="T162" s="262"/>
      <c r="U162" s="262"/>
      <c r="V162" s="262"/>
      <c r="W162" s="262"/>
      <c r="X162" s="262"/>
      <c r="Y162" s="262"/>
      <c r="Z162" s="262"/>
      <c r="AA162" s="262"/>
      <c r="AB162" s="262"/>
      <c r="AD162" s="1791" t="e">
        <f>VLOOKUP(C162,'Medição '!$B$16:$F$1833,6,0)</f>
        <v>#N/A</v>
      </c>
      <c r="AE162" s="1791"/>
    </row>
    <row r="163" spans="1:31" ht="25.5">
      <c r="A163" s="285" t="s">
        <v>14478</v>
      </c>
      <c r="B163" s="286" t="s">
        <v>14476</v>
      </c>
      <c r="C163" s="287">
        <v>102609</v>
      </c>
      <c r="D163" s="288" t="str">
        <f>IFERROR(VLOOKUP($C163,'24.08_ND'!$A:$D,2,0),)</f>
        <v>CAIXA D´ÁGUA EM POLIETILENO, 2000 LITROS - FORNECIMENTO E INSTALAÇÃO. AF_06/2021</v>
      </c>
      <c r="E163" s="289" t="str">
        <f>IFERROR(VLOOKUP($C163,'24.08_ND'!$A:$D,3,0),)</f>
        <v>UN</v>
      </c>
      <c r="F163" s="290">
        <v>1</v>
      </c>
      <c r="G163" s="291">
        <f>IFERROR(VLOOKUP($C163,'24.08_ND'!$A:$D,4,0),)</f>
        <v>959.25</v>
      </c>
      <c r="H163" s="292">
        <f t="shared" si="6"/>
        <v>959.25</v>
      </c>
      <c r="I163" s="262"/>
      <c r="J163" s="262"/>
      <c r="K163" s="262"/>
      <c r="L163" s="262"/>
      <c r="M163" s="262"/>
      <c r="N163" s="262"/>
      <c r="O163" s="262"/>
      <c r="P163" s="262"/>
      <c r="Q163" s="262"/>
      <c r="R163" s="262"/>
      <c r="S163" s="262"/>
      <c r="T163" s="262"/>
      <c r="U163" s="262"/>
      <c r="V163" s="262"/>
      <c r="W163" s="262"/>
      <c r="X163" s="262"/>
      <c r="Y163" s="262"/>
      <c r="Z163" s="262"/>
      <c r="AA163" s="262"/>
      <c r="AB163" s="262"/>
      <c r="AD163" s="1791" t="e">
        <f>VLOOKUP(C163,'Medição '!$B$16:$F$1833,6,0)</f>
        <v>#REF!</v>
      </c>
      <c r="AE163" s="1791"/>
    </row>
    <row r="164" spans="1:31" ht="12.75">
      <c r="A164" s="309"/>
      <c r="B164" s="303"/>
      <c r="C164" s="303"/>
      <c r="D164" s="310"/>
      <c r="E164" s="303"/>
      <c r="F164" s="306"/>
      <c r="G164" s="307"/>
      <c r="H164" s="308"/>
      <c r="I164" s="262"/>
      <c r="J164" s="262"/>
      <c r="K164" s="262"/>
      <c r="L164" s="262"/>
      <c r="M164" s="262"/>
      <c r="N164" s="262"/>
      <c r="O164" s="262"/>
      <c r="P164" s="262"/>
      <c r="Q164" s="262"/>
      <c r="R164" s="262"/>
      <c r="S164" s="262"/>
      <c r="T164" s="262"/>
      <c r="U164" s="262"/>
      <c r="V164" s="262"/>
      <c r="W164" s="262"/>
      <c r="X164" s="262"/>
      <c r="Y164" s="262"/>
      <c r="Z164" s="262"/>
      <c r="AA164" s="262"/>
      <c r="AB164" s="262"/>
    </row>
    <row r="165" spans="1:31" ht="38.25">
      <c r="A165" s="271" t="s">
        <v>14471</v>
      </c>
      <c r="B165" s="272" t="s">
        <v>14472</v>
      </c>
      <c r="C165" s="273" t="s">
        <v>14536</v>
      </c>
      <c r="D165" s="274" t="s">
        <v>14537</v>
      </c>
      <c r="E165" s="272" t="s">
        <v>409</v>
      </c>
      <c r="F165" s="272"/>
      <c r="G165" s="272"/>
      <c r="H165" s="275">
        <f>TRUNC(SUM(H166:H173),2)</f>
        <v>205.75</v>
      </c>
      <c r="I165" s="276">
        <f>COUNTIF($C$8:$C165,C:C)</f>
        <v>1</v>
      </c>
      <c r="J165" s="262"/>
      <c r="K165" s="262"/>
      <c r="L165" s="262"/>
      <c r="M165" s="262"/>
      <c r="N165" s="262"/>
      <c r="O165" s="262"/>
      <c r="P165" s="262"/>
      <c r="Q165" s="262"/>
      <c r="R165" s="262"/>
      <c r="S165" s="262"/>
      <c r="T165" s="262"/>
      <c r="U165" s="262"/>
      <c r="V165" s="262"/>
      <c r="W165" s="262"/>
      <c r="X165" s="262"/>
      <c r="Y165" s="262"/>
      <c r="Z165" s="262"/>
      <c r="AA165" s="262"/>
      <c r="AB165" s="262"/>
    </row>
    <row r="166" spans="1:31" ht="25.5">
      <c r="A166" s="285" t="s">
        <v>14478</v>
      </c>
      <c r="B166" s="286" t="s">
        <v>14476</v>
      </c>
      <c r="C166" s="287">
        <v>88309</v>
      </c>
      <c r="D166" s="288" t="str">
        <f>IFERROR(VLOOKUP($C166,'24.08_ND'!$A:$D,2,0),)</f>
        <v>PEDREIRO COM ENCARGOS COMPLEMENTARES</v>
      </c>
      <c r="E166" s="289" t="str">
        <f>IFERROR(VLOOKUP($C166,'24.08_ND'!$A:$D,3,0),)</f>
        <v>H</v>
      </c>
      <c r="F166" s="290">
        <v>0.282667</v>
      </c>
      <c r="G166" s="291">
        <f>IFERROR(VLOOKUP($C166,'24.08_ND'!$A:$D,4,0),)</f>
        <v>23.33</v>
      </c>
      <c r="H166" s="292">
        <f t="shared" ref="H166:H173" si="7">TRUNC(($F166*$G166),2)</f>
        <v>6.59</v>
      </c>
      <c r="I166" s="262"/>
      <c r="J166" s="262"/>
      <c r="K166" s="262"/>
      <c r="L166" s="262"/>
      <c r="M166" s="262"/>
      <c r="N166" s="262"/>
      <c r="O166" s="262"/>
      <c r="P166" s="262"/>
      <c r="Q166" s="262"/>
      <c r="R166" s="262"/>
      <c r="S166" s="262"/>
      <c r="T166" s="262"/>
      <c r="U166" s="262"/>
      <c r="V166" s="262"/>
      <c r="W166" s="262"/>
      <c r="X166" s="262"/>
      <c r="Y166" s="262"/>
      <c r="Z166" s="262"/>
      <c r="AA166" s="262"/>
      <c r="AB166" s="262"/>
      <c r="AD166" s="1791" t="e">
        <f>VLOOKUP(C166,'Medição '!$B$16:$F$1833,6,0)</f>
        <v>#N/A</v>
      </c>
      <c r="AE166" s="1791"/>
    </row>
    <row r="167" spans="1:31" ht="25.5">
      <c r="A167" s="285" t="s">
        <v>14478</v>
      </c>
      <c r="B167" s="286" t="s">
        <v>14476</v>
      </c>
      <c r="C167" s="287">
        <v>88316</v>
      </c>
      <c r="D167" s="288" t="str">
        <f>IFERROR(VLOOKUP($C167,'24.08_ND'!$A:$D,2,0),)</f>
        <v>SERVENTE COM ENCARGOS COMPLEMENTARES</v>
      </c>
      <c r="E167" s="289" t="str">
        <f>IFERROR(VLOOKUP($C167,'24.08_ND'!$A:$D,3,0),)</f>
        <v>H</v>
      </c>
      <c r="F167" s="290">
        <v>0.35484399999999999</v>
      </c>
      <c r="G167" s="291">
        <f>IFERROR(VLOOKUP($C167,'24.08_ND'!$A:$D,4,0),)</f>
        <v>18.510000000000002</v>
      </c>
      <c r="H167" s="292">
        <f t="shared" si="7"/>
        <v>6.56</v>
      </c>
      <c r="I167" s="262"/>
      <c r="J167" s="262"/>
      <c r="K167" s="262"/>
      <c r="L167" s="262"/>
      <c r="M167" s="262"/>
      <c r="N167" s="262"/>
      <c r="O167" s="262"/>
      <c r="P167" s="262"/>
      <c r="Q167" s="262"/>
      <c r="R167" s="262"/>
      <c r="S167" s="262"/>
      <c r="T167" s="262"/>
      <c r="U167" s="262"/>
      <c r="V167" s="262"/>
      <c r="W167" s="262"/>
      <c r="X167" s="262"/>
      <c r="Y167" s="262"/>
      <c r="Z167" s="262"/>
      <c r="AA167" s="262"/>
      <c r="AB167" s="262"/>
      <c r="AD167" s="1791" t="e">
        <f>VLOOKUP(C167,'Medição '!$B$16:$F$1833,6,0)</f>
        <v>#N/A</v>
      </c>
      <c r="AE167" s="1791"/>
    </row>
    <row r="168" spans="1:31" ht="38.25">
      <c r="A168" s="285" t="s">
        <v>14478</v>
      </c>
      <c r="B168" s="286" t="s">
        <v>14476</v>
      </c>
      <c r="C168" s="287">
        <v>100978</v>
      </c>
      <c r="D168" s="288" t="str">
        <f>IFERROR(VLOOKUP($C168,'24.08_ND'!$A:$D,2,0),)</f>
        <v>CARGA, MANOBRA E DESCARGA DE SOLOS E MATERIAIS GRANULARES EM CAMINHÃO BASCULANTE 10 M³ - CARGA COM ESCAVADEIRA HIDRÁULICA (CAÇAMBA DE 1,20 M³ / 155 HP) E DESCARGA LIVRE (UNIDADE: M3). AF_07/2020</v>
      </c>
      <c r="E168" s="289" t="str">
        <f>IFERROR(VLOOKUP($C168,'24.08_ND'!$A:$D,3,0),)</f>
        <v>M3</v>
      </c>
      <c r="F168" s="290">
        <v>3.0862199999999999E-2</v>
      </c>
      <c r="G168" s="291">
        <f>IFERROR(VLOOKUP($C168,'24.08_ND'!$A:$D,4,0),)</f>
        <v>6.31</v>
      </c>
      <c r="H168" s="292">
        <f t="shared" si="7"/>
        <v>0.19</v>
      </c>
      <c r="I168" s="262"/>
      <c r="J168" s="262"/>
      <c r="K168" s="262"/>
      <c r="L168" s="262"/>
      <c r="M168" s="262"/>
      <c r="N168" s="262"/>
      <c r="O168" s="262"/>
      <c r="P168" s="262"/>
      <c r="Q168" s="262"/>
      <c r="R168" s="262"/>
      <c r="S168" s="262"/>
      <c r="T168" s="262"/>
      <c r="U168" s="262"/>
      <c r="V168" s="262"/>
      <c r="W168" s="262"/>
      <c r="X168" s="262"/>
      <c r="Y168" s="262"/>
      <c r="Z168" s="262"/>
      <c r="AA168" s="262"/>
      <c r="AB168" s="262"/>
      <c r="AD168" s="1791" t="e">
        <f>VLOOKUP(C168,'Medição '!$B$16:$F$1833,6,0)</f>
        <v>#REF!</v>
      </c>
      <c r="AE168" s="1791"/>
    </row>
    <row r="169" spans="1:31" ht="25.5">
      <c r="A169" s="285" t="s">
        <v>14478</v>
      </c>
      <c r="B169" s="286" t="s">
        <v>14476</v>
      </c>
      <c r="C169" s="287">
        <v>100938</v>
      </c>
      <c r="D169" s="288" t="str">
        <f>IFERROR(VLOOKUP($C169,'24.08_ND'!$A:$D,2,0),)</f>
        <v>TRANSPORTE COM CAMINHÃO BASCULANTE DE 10 M³, EM VIA INTERNA (DENTRO DO CANTEIRO - UNIDADE: M3XKM). AF_07/2020</v>
      </c>
      <c r="E169" s="289" t="str">
        <f>IFERROR(VLOOKUP($C169,'24.08_ND'!$A:$D,3,0),)</f>
        <v>M3XKM</v>
      </c>
      <c r="F169" s="290">
        <v>4.6293300000000003E-2</v>
      </c>
      <c r="G169" s="291">
        <f>IFERROR(VLOOKUP($C169,'24.08_ND'!$A:$D,4,0),)</f>
        <v>6.9</v>
      </c>
      <c r="H169" s="292">
        <f t="shared" si="7"/>
        <v>0.31</v>
      </c>
      <c r="I169" s="262"/>
      <c r="J169" s="262"/>
      <c r="K169" s="262"/>
      <c r="L169" s="262"/>
      <c r="M169" s="262"/>
      <c r="N169" s="262"/>
      <c r="O169" s="262"/>
      <c r="P169" s="262"/>
      <c r="Q169" s="262"/>
      <c r="R169" s="262"/>
      <c r="S169" s="262"/>
      <c r="T169" s="262"/>
      <c r="U169" s="262"/>
      <c r="V169" s="262"/>
      <c r="W169" s="262"/>
      <c r="X169" s="262"/>
      <c r="Y169" s="262"/>
      <c r="Z169" s="262"/>
      <c r="AA169" s="262"/>
      <c r="AB169" s="262"/>
      <c r="AD169" s="1791" t="e">
        <f>VLOOKUP(C169,'Medição '!$B$16:$F$1833,6,0)</f>
        <v>#REF!</v>
      </c>
      <c r="AE169" s="1791"/>
    </row>
    <row r="170" spans="1:31" ht="25.5">
      <c r="A170" s="285" t="s">
        <v>14478</v>
      </c>
      <c r="B170" s="286" t="s">
        <v>14476</v>
      </c>
      <c r="C170" s="287">
        <v>94970</v>
      </c>
      <c r="D170" s="288" t="str">
        <f>IFERROR(VLOOKUP($C170,'24.08_ND'!$A:$D,2,0),)</f>
        <v>CONCRETO FCK = 20MPA, TRAÇO 1:2,7:3 (EM MASSA SECA DE CIMENTO/ AREIA MÉDIA/ BRITA 1) - PREPARO MECÂNICO COM BETONEIRA 600 L. AF_05/2021</v>
      </c>
      <c r="E170" s="289" t="str">
        <f>IFERROR(VLOOKUP($C170,'24.08_ND'!$A:$D,3,0),)</f>
        <v>M3</v>
      </c>
      <c r="F170" s="290">
        <v>2.2044000000000001E-2</v>
      </c>
      <c r="G170" s="291">
        <f>IFERROR(VLOOKUP($C170,'24.08_ND'!$A:$D,4,0),)</f>
        <v>479.63</v>
      </c>
      <c r="H170" s="292">
        <f t="shared" si="7"/>
        <v>10.57</v>
      </c>
      <c r="I170" s="262"/>
      <c r="J170" s="262"/>
      <c r="K170" s="262"/>
      <c r="L170" s="262"/>
      <c r="M170" s="262"/>
      <c r="N170" s="262"/>
      <c r="O170" s="262"/>
      <c r="P170" s="262"/>
      <c r="Q170" s="262"/>
      <c r="R170" s="262"/>
      <c r="S170" s="262"/>
      <c r="T170" s="262"/>
      <c r="U170" s="262"/>
      <c r="V170" s="262"/>
      <c r="W170" s="262"/>
      <c r="X170" s="262"/>
      <c r="Y170" s="262"/>
      <c r="Z170" s="262"/>
      <c r="AA170" s="262"/>
      <c r="AB170" s="262"/>
      <c r="AD170" s="1791" t="e">
        <f>VLOOKUP(C170,'Medição '!$B$16:$F$1833,6,0)</f>
        <v>#N/A</v>
      </c>
      <c r="AE170" s="1791"/>
    </row>
    <row r="171" spans="1:31" ht="38.25">
      <c r="A171" s="285" t="s">
        <v>14478</v>
      </c>
      <c r="B171" s="286" t="s">
        <v>14476</v>
      </c>
      <c r="C171" s="287">
        <v>105042</v>
      </c>
      <c r="D171" s="288" t="str">
        <f>IFERROR(VLOOKUP($C171,'24.08_ND'!$A:$D,2,0),)</f>
        <v>PILAR DE MADEIRA ROLIÇA, EUCALIPTO OU EQUIVALENTE DA REGIÃO, FIXADO COM VERGALHÃO, DIÂMETRO DE 12 A 15 CM, APOIO ARTICULADO, COMPRIMENTO DE 3 M. AF_03/2024</v>
      </c>
      <c r="E171" s="289" t="str">
        <f>IFERROR(VLOOKUP($C171,'24.08_ND'!$A:$D,3,0),)</f>
        <v>M</v>
      </c>
      <c r="F171" s="290">
        <v>1.5555555999999999</v>
      </c>
      <c r="G171" s="291">
        <f>IFERROR(VLOOKUP($C171,'24.08_ND'!$A:$D,4,0),)</f>
        <v>64.69</v>
      </c>
      <c r="H171" s="292">
        <f t="shared" si="7"/>
        <v>100.62</v>
      </c>
      <c r="I171" s="262"/>
      <c r="J171" s="262"/>
      <c r="K171" s="262"/>
      <c r="L171" s="262"/>
      <c r="M171" s="262"/>
      <c r="N171" s="262"/>
      <c r="O171" s="262"/>
      <c r="P171" s="262"/>
      <c r="Q171" s="262"/>
      <c r="R171" s="262"/>
      <c r="S171" s="262"/>
      <c r="T171" s="262"/>
      <c r="U171" s="262"/>
      <c r="V171" s="262"/>
      <c r="W171" s="262"/>
      <c r="X171" s="262"/>
      <c r="Y171" s="262"/>
      <c r="Z171" s="262"/>
      <c r="AA171" s="262"/>
      <c r="AB171" s="262"/>
      <c r="AD171" s="1791" t="e">
        <f>VLOOKUP(C171,'Medição '!$B$16:$F$1833,6,0)</f>
        <v>#N/A</v>
      </c>
      <c r="AE171" s="1791"/>
    </row>
    <row r="172" spans="1:31" ht="25.5">
      <c r="A172" s="285" t="s">
        <v>14478</v>
      </c>
      <c r="B172" s="286" t="s">
        <v>14476</v>
      </c>
      <c r="C172" s="287">
        <v>92544</v>
      </c>
      <c r="D172" s="288" t="str">
        <f>IFERROR(VLOOKUP($C172,'24.08_ND'!$A:$D,2,0),)</f>
        <v>TRAMA DE MADEIRA COMPOSTA POR TERÇAS PARA TELHADOS DE ATÉ 2 ÁGUAS PARA TELHA ESTRUTURAL DE FIBROCIMENTO, INCLUSO TRANSPORTE VERTICAL. AF_07/2019</v>
      </c>
      <c r="E172" s="289" t="str">
        <f>IFERROR(VLOOKUP($C172,'24.08_ND'!$A:$D,3,0),)</f>
        <v>M2</v>
      </c>
      <c r="F172" s="290">
        <v>1.4</v>
      </c>
      <c r="G172" s="291">
        <f>IFERROR(VLOOKUP($C172,'24.08_ND'!$A:$D,4,0),)</f>
        <v>15.18</v>
      </c>
      <c r="H172" s="292">
        <f t="shared" si="7"/>
        <v>21.25</v>
      </c>
      <c r="I172" s="262"/>
      <c r="J172" s="262"/>
      <c r="K172" s="262"/>
      <c r="L172" s="262"/>
      <c r="M172" s="262"/>
      <c r="N172" s="262"/>
      <c r="O172" s="262"/>
      <c r="P172" s="262"/>
      <c r="Q172" s="262"/>
      <c r="R172" s="262"/>
      <c r="S172" s="262"/>
      <c r="T172" s="262"/>
      <c r="U172" s="262"/>
      <c r="V172" s="262"/>
      <c r="W172" s="262"/>
      <c r="X172" s="262"/>
      <c r="Y172" s="262"/>
      <c r="Z172" s="262"/>
      <c r="AA172" s="262"/>
      <c r="AB172" s="262"/>
      <c r="AD172" s="1791" t="e">
        <f>VLOOKUP(C172,'Medição '!$B$16:$F$1833,6,0)</f>
        <v>#N/A</v>
      </c>
      <c r="AE172" s="1791"/>
    </row>
    <row r="173" spans="1:31" ht="38.25">
      <c r="A173" s="285" t="s">
        <v>14478</v>
      </c>
      <c r="B173" s="286" t="s">
        <v>14476</v>
      </c>
      <c r="C173" s="287">
        <v>94207</v>
      </c>
      <c r="D173" s="288" t="str">
        <f>IFERROR(VLOOKUP($C173,'24.08_ND'!$A:$D,2,0),)</f>
        <v>TELHAMENTO COM TELHA ONDULADA DE FIBROCIMENTO E = 6 MM, COM RECOBRIMENTO LATERAL DE 1/4 DE ONDA PARA TELHADO COM INCLINAÇÃO MAIOR QUE 10°, COM ATÉ 2 ÁGUAS, INCLUSO IÇAMENTO. AF_07/2019</v>
      </c>
      <c r="E173" s="289" t="str">
        <f>IFERROR(VLOOKUP($C173,'24.08_ND'!$A:$D,3,0),)</f>
        <v>M2</v>
      </c>
      <c r="F173" s="290">
        <v>1.4</v>
      </c>
      <c r="G173" s="291">
        <f>IFERROR(VLOOKUP($C173,'24.08_ND'!$A:$D,4,0),)</f>
        <v>42.62</v>
      </c>
      <c r="H173" s="292">
        <f t="shared" si="7"/>
        <v>59.66</v>
      </c>
      <c r="I173" s="262"/>
      <c r="J173" s="262"/>
      <c r="K173" s="262"/>
      <c r="L173" s="262"/>
      <c r="M173" s="262"/>
      <c r="N173" s="262"/>
      <c r="O173" s="262"/>
      <c r="P173" s="262"/>
      <c r="Q173" s="262"/>
      <c r="R173" s="262"/>
      <c r="S173" s="262"/>
      <c r="T173" s="262"/>
      <c r="U173" s="262"/>
      <c r="V173" s="262"/>
      <c r="W173" s="262"/>
      <c r="X173" s="262"/>
      <c r="Y173" s="262"/>
      <c r="Z173" s="262"/>
      <c r="AA173" s="262"/>
      <c r="AB173" s="262"/>
      <c r="AD173" s="1791" t="e">
        <f>VLOOKUP(C173,'Medição '!$B$16:$F$1833,6,0)</f>
        <v>#N/A</v>
      </c>
      <c r="AE173" s="1791"/>
    </row>
    <row r="174" spans="1:31" ht="12.75">
      <c r="A174" s="309"/>
      <c r="B174" s="303"/>
      <c r="C174" s="303"/>
      <c r="D174" s="310"/>
      <c r="E174" s="303"/>
      <c r="F174" s="306"/>
      <c r="G174" s="307"/>
      <c r="H174" s="308"/>
      <c r="I174" s="262"/>
      <c r="J174" s="262"/>
      <c r="K174" s="262"/>
      <c r="L174" s="262"/>
      <c r="M174" s="262"/>
      <c r="N174" s="262"/>
      <c r="O174" s="262"/>
      <c r="P174" s="262"/>
      <c r="Q174" s="262"/>
      <c r="R174" s="262"/>
      <c r="S174" s="262"/>
      <c r="T174" s="262"/>
      <c r="U174" s="262"/>
      <c r="V174" s="262"/>
      <c r="W174" s="262"/>
      <c r="X174" s="262"/>
      <c r="Y174" s="262"/>
      <c r="Z174" s="262"/>
      <c r="AA174" s="262"/>
      <c r="AB174" s="262"/>
    </row>
    <row r="175" spans="1:31" ht="25.5">
      <c r="A175" s="271" t="s">
        <v>14471</v>
      </c>
      <c r="B175" s="272" t="s">
        <v>14472</v>
      </c>
      <c r="C175" s="273" t="s">
        <v>14538</v>
      </c>
      <c r="D175" s="274" t="s">
        <v>14539</v>
      </c>
      <c r="E175" s="272" t="s">
        <v>409</v>
      </c>
      <c r="F175" s="272"/>
      <c r="G175" s="272"/>
      <c r="H175" s="275">
        <f>SUM(H177:H180)</f>
        <v>365.39</v>
      </c>
      <c r="I175" s="276">
        <f>COUNTIF($C$8:$C175,C:C)</f>
        <v>1</v>
      </c>
      <c r="J175" s="262"/>
      <c r="K175" s="262"/>
      <c r="L175" s="262"/>
      <c r="M175" s="262"/>
      <c r="N175" s="262"/>
      <c r="O175" s="262"/>
      <c r="P175" s="262"/>
      <c r="Q175" s="262"/>
      <c r="R175" s="262"/>
      <c r="S175" s="262"/>
      <c r="T175" s="262"/>
      <c r="U175" s="262"/>
      <c r="V175" s="262"/>
      <c r="W175" s="262"/>
      <c r="X175" s="262"/>
      <c r="Y175" s="262"/>
      <c r="Z175" s="262"/>
      <c r="AA175" s="262"/>
      <c r="AB175" s="262"/>
    </row>
    <row r="176" spans="1:31" ht="12.75">
      <c r="A176" s="277" t="s">
        <v>14475</v>
      </c>
      <c r="B176" s="278" t="s">
        <v>14540</v>
      </c>
      <c r="C176" s="279">
        <v>45731</v>
      </c>
      <c r="D176" s="335">
        <v>45292</v>
      </c>
      <c r="E176" s="281"/>
      <c r="F176" s="282"/>
      <c r="G176" s="283"/>
      <c r="H176" s="284"/>
      <c r="I176" s="262"/>
      <c r="J176" s="262"/>
      <c r="K176" s="262"/>
      <c r="L176" s="262"/>
      <c r="M176" s="262"/>
      <c r="N176" s="262"/>
      <c r="O176" s="262"/>
      <c r="P176" s="262"/>
      <c r="Q176" s="262"/>
      <c r="R176" s="262"/>
      <c r="S176" s="262"/>
      <c r="T176" s="262"/>
      <c r="U176" s="262"/>
      <c r="V176" s="262"/>
      <c r="W176" s="262"/>
      <c r="X176" s="262"/>
      <c r="Y176" s="262"/>
      <c r="Z176" s="262"/>
      <c r="AA176" s="262"/>
      <c r="AB176" s="262"/>
    </row>
    <row r="177" spans="1:31" ht="25.5">
      <c r="A177" s="285" t="s">
        <v>14478</v>
      </c>
      <c r="B177" s="286" t="s">
        <v>14476</v>
      </c>
      <c r="C177" s="287">
        <v>88627</v>
      </c>
      <c r="D177" s="288" t="str">
        <f>IFERROR(VLOOKUP($C177,'24.08_ND'!$A:$D,2,0),)</f>
        <v>ARGAMASSA TRAÇO 1:0,5:4,5 (EM VOLUME DE CIMENTO, CAL E AREIA MÉDIA ÚMIDA) PARA ASSENTAMENTO DE ALVENARIA, PREPARO MANUAL. AF_08/2019</v>
      </c>
      <c r="E177" s="289" t="str">
        <f>IFERROR(VLOOKUP($C177,'24.08_ND'!$A:$D,3,0),)</f>
        <v>M3</v>
      </c>
      <c r="F177" s="290">
        <v>8.0000000000000002E-3</v>
      </c>
      <c r="G177" s="291">
        <f>IFERROR(VLOOKUP($C177,'24.08_ND'!$A:$D,4,0),)</f>
        <v>621.36</v>
      </c>
      <c r="H177" s="292">
        <f>TRUNC(($F177*$G177),2)</f>
        <v>4.97</v>
      </c>
      <c r="I177" s="262"/>
      <c r="J177" s="262"/>
      <c r="K177" s="262"/>
      <c r="L177" s="262"/>
      <c r="M177" s="262"/>
      <c r="N177" s="262"/>
      <c r="O177" s="262"/>
      <c r="P177" s="262"/>
      <c r="Q177" s="262"/>
      <c r="R177" s="262"/>
      <c r="S177" s="262"/>
      <c r="T177" s="262"/>
      <c r="U177" s="262"/>
      <c r="V177" s="262"/>
      <c r="W177" s="262"/>
      <c r="X177" s="262"/>
      <c r="Y177" s="262"/>
      <c r="Z177" s="262"/>
      <c r="AA177" s="262"/>
      <c r="AB177" s="262"/>
      <c r="AD177" s="1791" t="e">
        <f>VLOOKUP(C177,'Medição '!$B$16:$F$1833,6,0)</f>
        <v>#N/A</v>
      </c>
      <c r="AE177" s="1791"/>
    </row>
    <row r="178" spans="1:31" ht="25.5">
      <c r="A178" s="285" t="s">
        <v>14478</v>
      </c>
      <c r="B178" s="286" t="s">
        <v>14476</v>
      </c>
      <c r="C178" s="287">
        <v>88316</v>
      </c>
      <c r="D178" s="288" t="str">
        <f>IFERROR(VLOOKUP($C178,'24.08_ND'!$A:$D,2,0),)</f>
        <v>SERVENTE COM ENCARGOS COMPLEMENTARES</v>
      </c>
      <c r="E178" s="289" t="str">
        <f>IFERROR(VLOOKUP($C178,'24.08_ND'!$A:$D,3,0),)</f>
        <v>H</v>
      </c>
      <c r="F178" s="290">
        <v>1.1000000000000001</v>
      </c>
      <c r="G178" s="291">
        <f>IFERROR(VLOOKUP($C178,'24.08_ND'!$A:$D,4,0),)</f>
        <v>18.510000000000002</v>
      </c>
      <c r="H178" s="292">
        <f>TRUNC(($F178*$G178),2)</f>
        <v>20.36</v>
      </c>
      <c r="I178" s="262"/>
      <c r="J178" s="262"/>
      <c r="K178" s="262"/>
      <c r="L178" s="262"/>
      <c r="M178" s="262"/>
      <c r="N178" s="262"/>
      <c r="O178" s="262"/>
      <c r="P178" s="262"/>
      <c r="Q178" s="262"/>
      <c r="R178" s="262"/>
      <c r="S178" s="262"/>
      <c r="T178" s="262"/>
      <c r="U178" s="262"/>
      <c r="V178" s="262"/>
      <c r="W178" s="262"/>
      <c r="X178" s="262"/>
      <c r="Y178" s="262"/>
      <c r="Z178" s="262"/>
      <c r="AA178" s="262"/>
      <c r="AB178" s="262"/>
      <c r="AD178" s="1791" t="e">
        <f>VLOOKUP(C178,'Medição '!$B$16:$F$1833,6,0)</f>
        <v>#N/A</v>
      </c>
      <c r="AE178" s="1791"/>
    </row>
    <row r="179" spans="1:31" ht="25.5">
      <c r="A179" s="285" t="s">
        <v>14478</v>
      </c>
      <c r="B179" s="286" t="s">
        <v>14476</v>
      </c>
      <c r="C179" s="287">
        <v>88309</v>
      </c>
      <c r="D179" s="288" t="str">
        <f>IFERROR(VLOOKUP($C179,'24.08_ND'!$A:$D,2,0),)</f>
        <v>PEDREIRO COM ENCARGOS COMPLEMENTARES</v>
      </c>
      <c r="E179" s="289" t="str">
        <f>IFERROR(VLOOKUP($C179,'24.08_ND'!$A:$D,3,0),)</f>
        <v>H</v>
      </c>
      <c r="F179" s="290">
        <v>1</v>
      </c>
      <c r="G179" s="291">
        <f>IFERROR(VLOOKUP($C179,'24.08_ND'!$A:$D,4,0),)</f>
        <v>23.33</v>
      </c>
      <c r="H179" s="292">
        <f>TRUNC(($F179*$G179),2)</f>
        <v>23.33</v>
      </c>
      <c r="I179" s="262"/>
      <c r="J179" s="262"/>
      <c r="K179" s="262"/>
      <c r="L179" s="262"/>
      <c r="M179" s="262"/>
      <c r="N179" s="262"/>
      <c r="O179" s="262"/>
      <c r="P179" s="262"/>
      <c r="Q179" s="262"/>
      <c r="R179" s="262"/>
      <c r="S179" s="262"/>
      <c r="T179" s="262"/>
      <c r="U179" s="262"/>
      <c r="V179" s="262"/>
      <c r="W179" s="262"/>
      <c r="X179" s="262"/>
      <c r="Y179" s="262"/>
      <c r="Z179" s="262"/>
      <c r="AA179" s="262"/>
      <c r="AB179" s="262"/>
      <c r="AD179" s="1791" t="e">
        <f>VLOOKUP(C179,'Medição '!$B$16:$F$1833,6,0)</f>
        <v>#N/A</v>
      </c>
      <c r="AE179" s="1791"/>
    </row>
    <row r="180" spans="1:31" ht="12.75">
      <c r="A180" s="317" t="s">
        <v>14479</v>
      </c>
      <c r="B180" s="312" t="str">
        <f>VLOOKUP($C180,'• CIs EXT'!$A:$E,2,0)</f>
        <v>EMBASA</v>
      </c>
      <c r="C180" s="313" t="s">
        <v>14541</v>
      </c>
      <c r="D180" s="314" t="str">
        <f>VLOOKUP($C180,'• CIs EXT'!$A:$E,3,0)</f>
        <v>PORTA/PORTAO EM ALUMINIO DE CORRER C/FERRAGENS</v>
      </c>
      <c r="E180" s="312" t="str">
        <f>VLOOKUP($C180,'• CIs EXT'!$A:$E,4,0)</f>
        <v>M2</v>
      </c>
      <c r="F180" s="315">
        <v>1</v>
      </c>
      <c r="G180" s="312">
        <f>VLOOKUP($C180,'• CIs EXT'!$A:$E,5,0)</f>
        <v>316.73</v>
      </c>
      <c r="H180" s="316">
        <f>TRUNC(($F180*$G180),2)</f>
        <v>316.73</v>
      </c>
      <c r="I180" s="262"/>
      <c r="J180" s="262"/>
      <c r="K180" s="262"/>
      <c r="L180" s="262"/>
      <c r="M180" s="262"/>
      <c r="N180" s="262"/>
      <c r="O180" s="262"/>
      <c r="P180" s="262"/>
      <c r="Q180" s="262"/>
      <c r="R180" s="262"/>
      <c r="S180" s="262"/>
      <c r="T180" s="262"/>
      <c r="U180" s="262"/>
      <c r="V180" s="262"/>
      <c r="W180" s="262"/>
      <c r="X180" s="262"/>
      <c r="Y180" s="262"/>
      <c r="Z180" s="262"/>
      <c r="AA180" s="262"/>
      <c r="AB180" s="262"/>
    </row>
    <row r="181" spans="1:31" ht="12.75">
      <c r="A181" s="301"/>
      <c r="B181" s="302"/>
      <c r="C181" s="303"/>
      <c r="D181" s="304"/>
      <c r="E181" s="305"/>
      <c r="F181" s="306"/>
      <c r="G181" s="307"/>
      <c r="H181" s="308"/>
      <c r="I181" s="262"/>
      <c r="J181" s="262"/>
      <c r="K181" s="262"/>
      <c r="L181" s="262"/>
      <c r="M181" s="262"/>
      <c r="N181" s="262"/>
      <c r="O181" s="262"/>
      <c r="P181" s="262"/>
      <c r="Q181" s="262"/>
      <c r="R181" s="262"/>
      <c r="S181" s="262"/>
      <c r="T181" s="262"/>
      <c r="U181" s="262"/>
      <c r="V181" s="262"/>
      <c r="W181" s="262"/>
      <c r="X181" s="262"/>
      <c r="Y181" s="262"/>
      <c r="Z181" s="262"/>
      <c r="AA181" s="262"/>
      <c r="AB181" s="262"/>
    </row>
    <row r="182" spans="1:31" ht="25.5">
      <c r="A182" s="271" t="s">
        <v>14471</v>
      </c>
      <c r="B182" s="272" t="s">
        <v>14472</v>
      </c>
      <c r="C182" s="273" t="s">
        <v>14542</v>
      </c>
      <c r="D182" s="274" t="s">
        <v>14543</v>
      </c>
      <c r="E182" s="272" t="s">
        <v>409</v>
      </c>
      <c r="F182" s="272"/>
      <c r="G182" s="272"/>
      <c r="H182" s="275">
        <f>SUM(H184:H188)</f>
        <v>1030.45</v>
      </c>
      <c r="I182" s="276">
        <f>COUNTIF($C$8:$C182,C:C)</f>
        <v>1</v>
      </c>
      <c r="J182" s="262"/>
      <c r="K182" s="262"/>
      <c r="L182" s="262"/>
      <c r="M182" s="262"/>
      <c r="N182" s="262"/>
      <c r="O182" s="262"/>
      <c r="P182" s="262"/>
      <c r="Q182" s="262"/>
      <c r="R182" s="262"/>
      <c r="S182" s="262"/>
      <c r="T182" s="262"/>
      <c r="U182" s="262"/>
      <c r="V182" s="262"/>
      <c r="W182" s="262"/>
      <c r="X182" s="262"/>
      <c r="Y182" s="262"/>
      <c r="Z182" s="262"/>
      <c r="AA182" s="262"/>
      <c r="AB182" s="262"/>
    </row>
    <row r="183" spans="1:31" ht="12.75">
      <c r="A183" s="277" t="s">
        <v>14475</v>
      </c>
      <c r="B183" s="278" t="s">
        <v>14544</v>
      </c>
      <c r="C183" s="279" t="s">
        <v>14545</v>
      </c>
      <c r="D183" s="335">
        <v>45047</v>
      </c>
      <c r="E183" s="281"/>
      <c r="F183" s="282"/>
      <c r="G183" s="283"/>
      <c r="H183" s="284"/>
      <c r="I183" s="262"/>
      <c r="J183" s="262"/>
      <c r="K183" s="262"/>
      <c r="L183" s="262"/>
      <c r="M183" s="262"/>
      <c r="N183" s="262"/>
      <c r="O183" s="262"/>
      <c r="P183" s="262"/>
      <c r="Q183" s="262"/>
      <c r="R183" s="262"/>
      <c r="S183" s="262"/>
      <c r="T183" s="262"/>
      <c r="U183" s="262"/>
      <c r="V183" s="262"/>
      <c r="W183" s="262"/>
      <c r="X183" s="262"/>
      <c r="Y183" s="262"/>
      <c r="Z183" s="262"/>
      <c r="AA183" s="262"/>
      <c r="AB183" s="262"/>
    </row>
    <row r="184" spans="1:31" ht="25.5">
      <c r="A184" s="285" t="s">
        <v>14478</v>
      </c>
      <c r="B184" s="286" t="s">
        <v>14476</v>
      </c>
      <c r="C184" s="287">
        <v>88315</v>
      </c>
      <c r="D184" s="288" t="str">
        <f>IFERROR(VLOOKUP($C184,'24.08_ND'!$A:$D,2,0),)</f>
        <v>SERRALHEIRO COM ENCARGOS COMPLEMENTARES</v>
      </c>
      <c r="E184" s="289" t="str">
        <f>IFERROR(VLOOKUP($C184,'24.08_ND'!$A:$D,3,0),)</f>
        <v>H</v>
      </c>
      <c r="F184" s="290">
        <v>2.5284</v>
      </c>
      <c r="G184" s="291">
        <f>IFERROR(VLOOKUP($C184,'24.08_ND'!$A:$D,4,0),)</f>
        <v>23.13</v>
      </c>
      <c r="H184" s="292">
        <f>TRUNC(($F184*$G184),2)</f>
        <v>58.48</v>
      </c>
      <c r="I184" s="262"/>
      <c r="J184" s="262"/>
      <c r="K184" s="262"/>
      <c r="L184" s="262"/>
      <c r="M184" s="262"/>
      <c r="N184" s="262"/>
      <c r="O184" s="262"/>
      <c r="P184" s="262"/>
      <c r="Q184" s="262"/>
      <c r="R184" s="262"/>
      <c r="S184" s="262"/>
      <c r="T184" s="262"/>
      <c r="U184" s="262"/>
      <c r="V184" s="262"/>
      <c r="W184" s="262"/>
      <c r="X184" s="262"/>
      <c r="Y184" s="262"/>
      <c r="Z184" s="262"/>
      <c r="AA184" s="262"/>
      <c r="AB184" s="262"/>
      <c r="AD184" s="1791" t="e">
        <f>VLOOKUP(C184,'Medição '!$B$16:$F$1833,6,0)</f>
        <v>#N/A</v>
      </c>
      <c r="AE184" s="1791"/>
    </row>
    <row r="185" spans="1:31" ht="25.5">
      <c r="A185" s="285" t="s">
        <v>14478</v>
      </c>
      <c r="B185" s="286" t="s">
        <v>14476</v>
      </c>
      <c r="C185" s="287">
        <v>546</v>
      </c>
      <c r="D185" s="288" t="str">
        <f>IFERROR(VLOOKUP($C185,'24.08_ND'!$A:$D,2,0),)</f>
        <v>BARRA DE ACO CHATA, RETANGULAR (QUALQUER BITOLA)</v>
      </c>
      <c r="E185" s="289" t="str">
        <f>IFERROR(VLOOKUP($C185,'24.08_ND'!$A:$D,3,0),)</f>
        <v>KG</v>
      </c>
      <c r="F185" s="290">
        <v>3.718</v>
      </c>
      <c r="G185" s="291">
        <f>IFERROR(VLOOKUP($C185,'24.08_ND'!$A:$D,4,0),)</f>
        <v>8.18</v>
      </c>
      <c r="H185" s="292">
        <f>TRUNC(($F185*$G185),2)</f>
        <v>30.41</v>
      </c>
      <c r="I185" s="262"/>
      <c r="J185" s="262"/>
      <c r="K185" s="262"/>
      <c r="L185" s="262"/>
      <c r="M185" s="262"/>
      <c r="N185" s="262"/>
      <c r="O185" s="262"/>
      <c r="P185" s="262"/>
      <c r="Q185" s="262"/>
      <c r="R185" s="262"/>
      <c r="S185" s="262"/>
      <c r="T185" s="262"/>
      <c r="U185" s="262"/>
      <c r="V185" s="262"/>
      <c r="W185" s="262"/>
      <c r="X185" s="262"/>
      <c r="Y185" s="262"/>
      <c r="Z185" s="262"/>
      <c r="AA185" s="262"/>
      <c r="AB185" s="262"/>
      <c r="AD185" s="1791" t="e">
        <f>VLOOKUP(C185,'Medição '!$B$16:$F$1833,6,0)</f>
        <v>#N/A</v>
      </c>
      <c r="AE185" s="1791"/>
    </row>
    <row r="186" spans="1:31" ht="25.5">
      <c r="A186" s="285" t="s">
        <v>14478</v>
      </c>
      <c r="B186" s="286" t="s">
        <v>14476</v>
      </c>
      <c r="C186" s="287">
        <v>4777</v>
      </c>
      <c r="D186" s="288" t="str">
        <f>IFERROR(VLOOKUP($C186,'24.08_ND'!$A:$D,2,0),)</f>
        <v>CANTONEIRA ACO ABAS IGUAIS (QUALQUER BITOLA), ESPESSURA ENTRE 1/8" E 1/4"</v>
      </c>
      <c r="E186" s="289" t="str">
        <f>IFERROR(VLOOKUP($C186,'24.08_ND'!$A:$D,3,0),)</f>
        <v>KG</v>
      </c>
      <c r="F186" s="290">
        <v>3.3439999999999999</v>
      </c>
      <c r="G186" s="291">
        <f>IFERROR(VLOOKUP($C186,'24.08_ND'!$A:$D,4,0),)</f>
        <v>7.3</v>
      </c>
      <c r="H186" s="292">
        <f>TRUNC(($F186*$G186),2)</f>
        <v>24.41</v>
      </c>
      <c r="I186" s="262"/>
      <c r="J186" s="262"/>
      <c r="K186" s="262"/>
      <c r="L186" s="262"/>
      <c r="M186" s="262"/>
      <c r="N186" s="262"/>
      <c r="O186" s="262"/>
      <c r="P186" s="262"/>
      <c r="Q186" s="262"/>
      <c r="R186" s="262"/>
      <c r="S186" s="262"/>
      <c r="T186" s="262"/>
      <c r="U186" s="262"/>
      <c r="V186" s="262"/>
      <c r="W186" s="262"/>
      <c r="X186" s="262"/>
      <c r="Y186" s="262"/>
      <c r="Z186" s="262"/>
      <c r="AA186" s="262"/>
      <c r="AB186" s="262"/>
      <c r="AD186" s="1791" t="e">
        <f>VLOOKUP(C186,'Medição '!$B$16:$F$1833,6,0)</f>
        <v>#N/A</v>
      </c>
      <c r="AE186" s="1791"/>
    </row>
    <row r="187" spans="1:31" ht="25.5">
      <c r="A187" s="285" t="s">
        <v>14478</v>
      </c>
      <c r="B187" s="286" t="s">
        <v>14476</v>
      </c>
      <c r="C187" s="287">
        <v>37562</v>
      </c>
      <c r="D187" s="288" t="str">
        <f>IFERROR(VLOOKUP($C187,'24.08_ND'!$A:$D,2,0),)</f>
        <v>PORTAO DE CORRER EM GRADIL FIXO DE BARRA DE FERRO CHATA DE 3 X 1/4" NA VERTICAL, SEM REQUADRO, ACABAMENTO NATURAL, COM TRILHOS E ROLDANAS</v>
      </c>
      <c r="E187" s="289" t="str">
        <f>IFERROR(VLOOKUP($C187,'24.08_ND'!$A:$D,3,0),)</f>
        <v>M2</v>
      </c>
      <c r="F187" s="290">
        <v>1</v>
      </c>
      <c r="G187" s="291">
        <f>IFERROR(VLOOKUP($C187,'24.08_ND'!$A:$D,4,0),)</f>
        <v>811.71</v>
      </c>
      <c r="H187" s="292">
        <f>TRUNC(($F187*$G187),2)</f>
        <v>811.71</v>
      </c>
      <c r="I187" s="262"/>
      <c r="J187" s="262"/>
      <c r="K187" s="262"/>
      <c r="L187" s="262"/>
      <c r="M187" s="262"/>
      <c r="N187" s="262"/>
      <c r="O187" s="262"/>
      <c r="P187" s="262"/>
      <c r="Q187" s="262"/>
      <c r="R187" s="262"/>
      <c r="S187" s="262"/>
      <c r="T187" s="262"/>
      <c r="U187" s="262"/>
      <c r="V187" s="262"/>
      <c r="W187" s="262"/>
      <c r="X187" s="262"/>
      <c r="Y187" s="262"/>
      <c r="Z187" s="262"/>
      <c r="AA187" s="262"/>
      <c r="AB187" s="262"/>
      <c r="AD187" s="1791" t="e">
        <f>VLOOKUP(C187,'Medição '!$B$16:$F$1833,6,0)</f>
        <v>#N/A</v>
      </c>
      <c r="AE187" s="1791"/>
    </row>
    <row r="188" spans="1:31" ht="12.75">
      <c r="A188" s="317" t="s">
        <v>14479</v>
      </c>
      <c r="B188" s="312" t="str">
        <f>VLOOKUP($C188,'• CIs EXT'!$A:$E,2,0)</f>
        <v>SUDECAP</v>
      </c>
      <c r="C188" s="313" t="s">
        <v>14546</v>
      </c>
      <c r="D188" s="314" t="str">
        <f>VLOOKUP($C188,'• CIs EXT'!$A:$E,3,0)</f>
        <v>TELA ARTISTICA GALVANIZADA FIO 12 MALHA= 1"</v>
      </c>
      <c r="E188" s="312" t="str">
        <f>VLOOKUP($C188,'• CIs EXT'!$A:$E,4,0)</f>
        <v>M2</v>
      </c>
      <c r="F188" s="315">
        <v>1.8480000000000001</v>
      </c>
      <c r="G188" s="312">
        <f>VLOOKUP($C188,'• CIs EXT'!$A:$E,5,0)</f>
        <v>57.06</v>
      </c>
      <c r="H188" s="316">
        <f>TRUNC(($F188*$G188),2)</f>
        <v>105.44</v>
      </c>
      <c r="I188" s="262"/>
      <c r="J188" s="262"/>
      <c r="K188" s="262"/>
      <c r="L188" s="262"/>
      <c r="M188" s="262"/>
      <c r="N188" s="262"/>
      <c r="O188" s="262"/>
      <c r="P188" s="262"/>
      <c r="Q188" s="262"/>
      <c r="R188" s="262"/>
      <c r="S188" s="262"/>
      <c r="T188" s="262"/>
      <c r="U188" s="262"/>
      <c r="V188" s="262"/>
      <c r="W188" s="262"/>
      <c r="X188" s="262"/>
      <c r="Y188" s="262"/>
      <c r="Z188" s="262"/>
      <c r="AA188" s="262"/>
      <c r="AB188" s="262"/>
    </row>
    <row r="189" spans="1:31" ht="12.75">
      <c r="A189" s="301"/>
      <c r="B189" s="302"/>
      <c r="C189" s="303"/>
      <c r="D189" s="304"/>
      <c r="E189" s="305"/>
      <c r="F189" s="306"/>
      <c r="G189" s="307"/>
      <c r="H189" s="308"/>
      <c r="I189" s="262"/>
      <c r="J189" s="262"/>
      <c r="K189" s="262"/>
      <c r="L189" s="262"/>
      <c r="M189" s="262"/>
      <c r="N189" s="262"/>
      <c r="O189" s="262"/>
      <c r="P189" s="262"/>
      <c r="Q189" s="262"/>
      <c r="R189" s="262"/>
      <c r="S189" s="262"/>
      <c r="T189" s="262"/>
      <c r="U189" s="262"/>
      <c r="V189" s="262"/>
      <c r="W189" s="262"/>
      <c r="X189" s="262"/>
      <c r="Y189" s="262"/>
      <c r="Z189" s="262"/>
      <c r="AA189" s="262"/>
      <c r="AB189" s="262"/>
    </row>
    <row r="190" spans="1:31" ht="38.25">
      <c r="A190" s="271" t="s">
        <v>14471</v>
      </c>
      <c r="B190" s="272" t="s">
        <v>14472</v>
      </c>
      <c r="C190" s="273" t="s">
        <v>14547</v>
      </c>
      <c r="D190" s="274" t="s">
        <v>14548</v>
      </c>
      <c r="E190" s="272" t="s">
        <v>50</v>
      </c>
      <c r="F190" s="272"/>
      <c r="G190" s="272"/>
      <c r="H190" s="275">
        <f>SUM(H191:H200)</f>
        <v>312.15999999999997</v>
      </c>
      <c r="I190" s="276">
        <f>COUNTIF($C$8:$C190,C:C)</f>
        <v>1</v>
      </c>
      <c r="J190" s="262"/>
      <c r="K190" s="262"/>
      <c r="L190" s="262"/>
      <c r="M190" s="262"/>
      <c r="N190" s="262"/>
      <c r="O190" s="262"/>
      <c r="P190" s="262"/>
      <c r="Q190" s="262"/>
      <c r="R190" s="262"/>
      <c r="S190" s="262"/>
      <c r="T190" s="262"/>
      <c r="U190" s="262"/>
      <c r="V190" s="262"/>
      <c r="W190" s="262"/>
      <c r="X190" s="262"/>
      <c r="Y190" s="262"/>
      <c r="Z190" s="262"/>
      <c r="AA190" s="262"/>
      <c r="AB190" s="262"/>
    </row>
    <row r="191" spans="1:31" ht="25.5">
      <c r="A191" s="285" t="s">
        <v>14478</v>
      </c>
      <c r="B191" s="286" t="s">
        <v>14476</v>
      </c>
      <c r="C191" s="287">
        <v>88262</v>
      </c>
      <c r="D191" s="288" t="str">
        <f>IFERROR(VLOOKUP($C191,'24.08_ND'!$A:$D,2,0),)</f>
        <v>CARPINTEIRO DE FORMAS COM ENCARGOS COMPLEMENTARES</v>
      </c>
      <c r="E191" s="289" t="str">
        <f>IFERROR(VLOOKUP($C191,'24.08_ND'!$A:$D,3,0),)</f>
        <v>H</v>
      </c>
      <c r="F191" s="290">
        <v>1.69</v>
      </c>
      <c r="G191" s="291">
        <f>IFERROR(VLOOKUP($C191,'24.08_ND'!$A:$D,4,0),)</f>
        <v>23.01</v>
      </c>
      <c r="H191" s="292">
        <f t="shared" ref="H191:H200" si="8">TRUNC(($F191*$G191),2)</f>
        <v>38.880000000000003</v>
      </c>
      <c r="I191" s="262"/>
      <c r="J191" s="262"/>
      <c r="K191" s="262"/>
      <c r="L191" s="262"/>
      <c r="M191" s="262"/>
      <c r="N191" s="262"/>
      <c r="O191" s="262"/>
      <c r="P191" s="262"/>
      <c r="Q191" s="262"/>
      <c r="R191" s="262"/>
      <c r="S191" s="262"/>
      <c r="T191" s="262"/>
      <c r="U191" s="262"/>
      <c r="V191" s="262"/>
      <c r="W191" s="262"/>
      <c r="X191" s="262"/>
      <c r="Y191" s="262"/>
      <c r="Z191" s="262"/>
      <c r="AA191" s="262"/>
      <c r="AB191" s="262"/>
      <c r="AD191" s="1791" t="e">
        <f>VLOOKUP(C191,'Medição '!$B$16:$F$1833,6,0)</f>
        <v>#N/A</v>
      </c>
      <c r="AE191" s="1791"/>
    </row>
    <row r="192" spans="1:31" ht="25.5">
      <c r="A192" s="285" t="s">
        <v>14478</v>
      </c>
      <c r="B192" s="286" t="s">
        <v>14476</v>
      </c>
      <c r="C192" s="287">
        <v>91692</v>
      </c>
      <c r="D192" s="288" t="str">
        <f>IFERROR(VLOOKUP($C192,'24.08_ND'!$A:$D,2,0),)</f>
        <v>SERRA CIRCULAR DE BANCADA COM MOTOR ELÉTRICO POTÊNCIA DE 5HP, COM COIFA PARA DISCO 10" - CHP DIURNO. AF_08/2015</v>
      </c>
      <c r="E192" s="289" t="str">
        <f>IFERROR(VLOOKUP($C192,'24.08_ND'!$A:$D,3,0),)</f>
        <v>CHP</v>
      </c>
      <c r="F192" s="290">
        <v>1.0699999999999999E-2</v>
      </c>
      <c r="G192" s="291">
        <f>IFERROR(VLOOKUP($C192,'24.08_ND'!$A:$D,4,0),)</f>
        <v>21.22</v>
      </c>
      <c r="H192" s="292">
        <f t="shared" si="8"/>
        <v>0.22</v>
      </c>
      <c r="I192" s="262"/>
      <c r="J192" s="262"/>
      <c r="K192" s="262"/>
      <c r="L192" s="262"/>
      <c r="M192" s="262"/>
      <c r="N192" s="262"/>
      <c r="O192" s="262"/>
      <c r="P192" s="262"/>
      <c r="Q192" s="262"/>
      <c r="R192" s="262"/>
      <c r="S192" s="262"/>
      <c r="T192" s="262"/>
      <c r="U192" s="262"/>
      <c r="V192" s="262"/>
      <c r="W192" s="262"/>
      <c r="X192" s="262"/>
      <c r="Y192" s="262"/>
      <c r="Z192" s="262"/>
      <c r="AA192" s="262"/>
      <c r="AB192" s="262"/>
      <c r="AD192" s="1791" t="e">
        <f>VLOOKUP(C192,'Medição '!$B$16:$F$1833,6,0)</f>
        <v>#N/A</v>
      </c>
      <c r="AE192" s="1791"/>
    </row>
    <row r="193" spans="1:31" ht="25.5">
      <c r="A193" s="285" t="s">
        <v>14478</v>
      </c>
      <c r="B193" s="286" t="s">
        <v>14476</v>
      </c>
      <c r="C193" s="287">
        <v>91693</v>
      </c>
      <c r="D193" s="288" t="str">
        <f>IFERROR(VLOOKUP($C193,'24.08_ND'!$A:$D,2,0),)</f>
        <v>SERRA CIRCULAR DE BANCADA COM MOTOR ELÉTRICO POTÊNCIA DE 5HP, COM COIFA PARA DISCO 10" - CHI DIURNO. AF_08/2015</v>
      </c>
      <c r="E193" s="289" t="str">
        <f>IFERROR(VLOOKUP($C193,'24.08_ND'!$A:$D,3,0),)</f>
        <v>CHI</v>
      </c>
      <c r="F193" s="290">
        <v>4.2900000000000001E-2</v>
      </c>
      <c r="G193" s="291">
        <f>IFERROR(VLOOKUP($C193,'24.08_ND'!$A:$D,4,0),)</f>
        <v>19.899999999999999</v>
      </c>
      <c r="H193" s="292">
        <f t="shared" si="8"/>
        <v>0.85</v>
      </c>
      <c r="I193" s="262"/>
      <c r="J193" s="262"/>
      <c r="K193" s="262"/>
      <c r="L193" s="262"/>
      <c r="M193" s="262"/>
      <c r="N193" s="262"/>
      <c r="O193" s="262"/>
      <c r="P193" s="262"/>
      <c r="Q193" s="262"/>
      <c r="R193" s="262"/>
      <c r="S193" s="262"/>
      <c r="T193" s="262"/>
      <c r="U193" s="262"/>
      <c r="V193" s="262"/>
      <c r="W193" s="262"/>
      <c r="X193" s="262"/>
      <c r="Y193" s="262"/>
      <c r="Z193" s="262"/>
      <c r="AA193" s="262"/>
      <c r="AB193" s="262"/>
      <c r="AD193" s="1791" t="e">
        <f>VLOOKUP(C193,'Medição '!$B$16:$F$1833,6,0)</f>
        <v>#N/A</v>
      </c>
      <c r="AE193" s="1791"/>
    </row>
    <row r="194" spans="1:31" ht="38.25">
      <c r="A194" s="285" t="s">
        <v>14478</v>
      </c>
      <c r="B194" s="286" t="s">
        <v>14476</v>
      </c>
      <c r="C194" s="287">
        <v>100721</v>
      </c>
      <c r="D194" s="288" t="str">
        <f>IFERROR(VLOOKUP($C194,'24.08_ND'!$A:$D,2,0),)</f>
        <v>PINTURA COM TINTA ALQUÍDICA DE FUNDO (TIPO ZARCÃO) PULVERIZADA SOBRE SUPERFÍCIES METÁLICAS (EXCETO PERFIL) EXECUTADO EM OBRA (POR DEMÃO). AF_01/2020_PE</v>
      </c>
      <c r="E194" s="289" t="str">
        <f>IFERROR(VLOOKUP($C194,'24.08_ND'!$A:$D,3,0),)</f>
        <v>M2</v>
      </c>
      <c r="F194" s="290">
        <v>0.42</v>
      </c>
      <c r="G194" s="291">
        <f>IFERROR(VLOOKUP($C194,'24.08_ND'!$A:$D,4,0),)</f>
        <v>20.97</v>
      </c>
      <c r="H194" s="292">
        <f t="shared" si="8"/>
        <v>8.8000000000000007</v>
      </c>
      <c r="I194" s="262"/>
      <c r="J194" s="262"/>
      <c r="K194" s="262"/>
      <c r="L194" s="262"/>
      <c r="M194" s="262"/>
      <c r="N194" s="262"/>
      <c r="O194" s="262"/>
      <c r="P194" s="262"/>
      <c r="Q194" s="262"/>
      <c r="R194" s="262"/>
      <c r="S194" s="262"/>
      <c r="T194" s="262"/>
      <c r="U194" s="262"/>
      <c r="V194" s="262"/>
      <c r="W194" s="262"/>
      <c r="X194" s="262"/>
      <c r="Y194" s="262"/>
      <c r="Z194" s="262"/>
      <c r="AA194" s="262"/>
      <c r="AB194" s="262"/>
      <c r="AD194" s="1791" t="e">
        <f>VLOOKUP(C194,'Medição '!$B$16:$F$1833,6,0)</f>
        <v>#REF!</v>
      </c>
      <c r="AE194" s="1791"/>
    </row>
    <row r="195" spans="1:31" ht="25.5">
      <c r="A195" s="285" t="s">
        <v>14478</v>
      </c>
      <c r="B195" s="286" t="s">
        <v>14476</v>
      </c>
      <c r="C195" s="287">
        <v>88239</v>
      </c>
      <c r="D195" s="288" t="str">
        <f>IFERROR(VLOOKUP($C195,'24.08_ND'!$A:$D,2,0),)</f>
        <v>AJUDANTE DE CARPINTEIRO COM ENCARGOS COMPLEMENTARES</v>
      </c>
      <c r="E195" s="289" t="str">
        <f>IFERROR(VLOOKUP($C195,'24.08_ND'!$A:$D,3,0),)</f>
        <v>H</v>
      </c>
      <c r="F195" s="290">
        <v>7.1999999999999995E-2</v>
      </c>
      <c r="G195" s="291">
        <f>IFERROR(VLOOKUP($C195,'24.08_ND'!$A:$D,4,0),)</f>
        <v>19.510000000000002</v>
      </c>
      <c r="H195" s="292">
        <f t="shared" si="8"/>
        <v>1.4</v>
      </c>
      <c r="I195" s="262"/>
      <c r="J195" s="262"/>
      <c r="K195" s="262"/>
      <c r="L195" s="262"/>
      <c r="M195" s="262"/>
      <c r="N195" s="262"/>
      <c r="O195" s="262"/>
      <c r="P195" s="262"/>
      <c r="Q195" s="262"/>
      <c r="R195" s="262"/>
      <c r="S195" s="262"/>
      <c r="T195" s="262"/>
      <c r="U195" s="262"/>
      <c r="V195" s="262"/>
      <c r="W195" s="262"/>
      <c r="X195" s="262"/>
      <c r="Y195" s="262"/>
      <c r="Z195" s="262"/>
      <c r="AA195" s="262"/>
      <c r="AB195" s="262"/>
      <c r="AD195" s="1791" t="e">
        <f>VLOOKUP(C195,'Medição '!$B$16:$F$1833,6,0)</f>
        <v>#N/A</v>
      </c>
      <c r="AE195" s="1791"/>
    </row>
    <row r="196" spans="1:31" ht="25.5">
      <c r="A196" s="293" t="s">
        <v>14479</v>
      </c>
      <c r="B196" s="294" t="s">
        <v>14476</v>
      </c>
      <c r="C196" s="295">
        <v>43692</v>
      </c>
      <c r="D196" s="296" t="str">
        <f>IFERROR(VLOOKUP($C196,'24.08_ND'!$A:$D,2,0),)</f>
        <v>PERFIL "U" SIMPLES, EM CHAPA DOBRADA DE ACO LAMINADO, E = 3 MM, H = 200 MM, L = 50 MM (6,83 KG/M)</v>
      </c>
      <c r="E196" s="297" t="str">
        <f>IFERROR(VLOOKUP($C196,'24.08_ND'!$A:$D,3,0),)</f>
        <v>KG</v>
      </c>
      <c r="F196" s="298">
        <v>0.4</v>
      </c>
      <c r="G196" s="299">
        <f>IFERROR(VLOOKUP($C196,'24.08_ND'!$A:$D,4,0),)</f>
        <v>8.3000000000000007</v>
      </c>
      <c r="H196" s="300">
        <f t="shared" si="8"/>
        <v>3.32</v>
      </c>
      <c r="I196" s="262"/>
      <c r="J196" s="262"/>
      <c r="K196" s="262"/>
      <c r="L196" s="262"/>
      <c r="M196" s="262"/>
      <c r="N196" s="262"/>
      <c r="O196" s="262"/>
      <c r="P196" s="262"/>
      <c r="Q196" s="262"/>
      <c r="R196" s="262"/>
      <c r="S196" s="262"/>
      <c r="T196" s="262"/>
      <c r="U196" s="262"/>
      <c r="V196" s="262"/>
      <c r="W196" s="262"/>
      <c r="X196" s="262"/>
      <c r="Y196" s="262"/>
      <c r="Z196" s="262"/>
      <c r="AA196" s="262"/>
      <c r="AB196" s="262"/>
    </row>
    <row r="197" spans="1:31" ht="25.5">
      <c r="A197" s="293" t="s">
        <v>14479</v>
      </c>
      <c r="B197" s="294" t="s">
        <v>14476</v>
      </c>
      <c r="C197" s="295">
        <v>4430</v>
      </c>
      <c r="D197" s="296" t="str">
        <f>IFERROR(VLOOKUP($C197,'24.08_ND'!$A:$D,2,0),)</f>
        <v>CAIBRO NAO APARELHADO *5 X 6* CM, EM MACARANDUBA/MASSARANDUBA, ANGELIM OU EQUIVALENTE DA REGIAO - BRUTA</v>
      </c>
      <c r="E197" s="297" t="str">
        <f>IFERROR(VLOOKUP($C197,'24.08_ND'!$A:$D,3,0),)</f>
        <v>M</v>
      </c>
      <c r="F197" s="298">
        <v>1.5</v>
      </c>
      <c r="G197" s="299">
        <f>IFERROR(VLOOKUP($C197,'24.08_ND'!$A:$D,4,0),)</f>
        <v>10.74</v>
      </c>
      <c r="H197" s="300">
        <f t="shared" si="8"/>
        <v>16.11</v>
      </c>
      <c r="I197" s="262"/>
      <c r="J197" s="262"/>
      <c r="K197" s="262"/>
      <c r="L197" s="262"/>
      <c r="M197" s="262"/>
      <c r="N197" s="262"/>
      <c r="O197" s="262"/>
      <c r="P197" s="262"/>
      <c r="Q197" s="262"/>
      <c r="R197" s="262"/>
      <c r="S197" s="262"/>
      <c r="T197" s="262"/>
      <c r="U197" s="262"/>
      <c r="V197" s="262"/>
      <c r="W197" s="262"/>
      <c r="X197" s="262"/>
      <c r="Y197" s="262"/>
      <c r="Z197" s="262"/>
      <c r="AA197" s="262"/>
      <c r="AB197" s="262"/>
    </row>
    <row r="198" spans="1:31" ht="12.75">
      <c r="A198" s="293" t="s">
        <v>14479</v>
      </c>
      <c r="B198" s="294" t="s">
        <v>14476</v>
      </c>
      <c r="C198" s="295">
        <v>43055</v>
      </c>
      <c r="D198" s="296" t="str">
        <f>IFERROR(VLOOKUP($C198,'24.08_ND'!$A:$D,2,0),)</f>
        <v>ACO CA-50, 12,5 MM OU 16,0 MM, VERGALHAO</v>
      </c>
      <c r="E198" s="297" t="str">
        <f>IFERROR(VLOOKUP($C198,'24.08_ND'!$A:$D,3,0),)</f>
        <v>KG</v>
      </c>
      <c r="F198" s="298">
        <v>1.37</v>
      </c>
      <c r="G198" s="299">
        <f>IFERROR(VLOOKUP($C198,'24.08_ND'!$A:$D,4,0),)</f>
        <v>7.32</v>
      </c>
      <c r="H198" s="300">
        <f t="shared" si="8"/>
        <v>10.02</v>
      </c>
      <c r="I198" s="262"/>
      <c r="J198" s="262"/>
      <c r="K198" s="262"/>
      <c r="L198" s="262"/>
      <c r="M198" s="262"/>
      <c r="N198" s="262"/>
      <c r="O198" s="262"/>
      <c r="P198" s="262"/>
      <c r="Q198" s="262"/>
      <c r="R198" s="262"/>
      <c r="S198" s="262"/>
      <c r="T198" s="262"/>
      <c r="U198" s="262"/>
      <c r="V198" s="262"/>
      <c r="W198" s="262"/>
      <c r="X198" s="262"/>
      <c r="Y198" s="262"/>
      <c r="Z198" s="262"/>
      <c r="AA198" s="262"/>
      <c r="AB198" s="262"/>
    </row>
    <row r="199" spans="1:31" ht="25.5">
      <c r="A199" s="293" t="s">
        <v>14479</v>
      </c>
      <c r="B199" s="294" t="s">
        <v>14476</v>
      </c>
      <c r="C199" s="295">
        <v>3992</v>
      </c>
      <c r="D199" s="296" t="str">
        <f>IFERROR(VLOOKUP($C199,'24.08_ND'!$A:$D,2,0),)</f>
        <v>TABUA APARELHADA *2,5 X 30* CM, EM MACARANDUBA/MASSARANDUBA, ANGELIM OU EQUIVALENTE DA REGIAO</v>
      </c>
      <c r="E199" s="297" t="str">
        <f>IFERROR(VLOOKUP($C199,'24.08_ND'!$A:$D,3,0),)</f>
        <v>M</v>
      </c>
      <c r="F199" s="298">
        <v>9.24</v>
      </c>
      <c r="G199" s="299">
        <f>IFERROR(VLOOKUP($C199,'24.08_ND'!$A:$D,4,0),)</f>
        <v>24.94</v>
      </c>
      <c r="H199" s="300">
        <f t="shared" si="8"/>
        <v>230.44</v>
      </c>
      <c r="I199" s="262"/>
      <c r="J199" s="262"/>
      <c r="K199" s="262"/>
      <c r="L199" s="262"/>
      <c r="M199" s="262"/>
      <c r="N199" s="262"/>
      <c r="O199" s="262"/>
      <c r="P199" s="262"/>
      <c r="Q199" s="262"/>
      <c r="R199" s="262"/>
      <c r="S199" s="262"/>
      <c r="T199" s="262"/>
      <c r="U199" s="262"/>
      <c r="V199" s="262"/>
      <c r="W199" s="262"/>
      <c r="X199" s="262"/>
      <c r="Y199" s="262"/>
      <c r="Z199" s="262"/>
      <c r="AA199" s="262"/>
      <c r="AB199" s="262"/>
    </row>
    <row r="200" spans="1:31" ht="12.75">
      <c r="A200" s="293" t="s">
        <v>14479</v>
      </c>
      <c r="B200" s="294" t="s">
        <v>14476</v>
      </c>
      <c r="C200" s="295">
        <v>5068</v>
      </c>
      <c r="D200" s="296" t="str">
        <f>IFERROR(VLOOKUP($C200,'24.08_ND'!$A:$D,2,0),)</f>
        <v>PREGO DE ACO POLIDO COM CABECA 17 X 21 (2 X 11)</v>
      </c>
      <c r="E200" s="297" t="str">
        <f>IFERROR(VLOOKUP($C200,'24.08_ND'!$A:$D,3,0),)</f>
        <v>KG</v>
      </c>
      <c r="F200" s="298">
        <v>0.13</v>
      </c>
      <c r="G200" s="299">
        <f>IFERROR(VLOOKUP($C200,'24.08_ND'!$A:$D,4,0),)</f>
        <v>16.309999999999999</v>
      </c>
      <c r="H200" s="300">
        <f t="shared" si="8"/>
        <v>2.12</v>
      </c>
      <c r="I200" s="262"/>
      <c r="J200" s="262"/>
      <c r="K200" s="262"/>
      <c r="L200" s="262"/>
      <c r="M200" s="262"/>
      <c r="N200" s="262"/>
      <c r="O200" s="262"/>
      <c r="P200" s="262"/>
      <c r="Q200" s="262"/>
      <c r="R200" s="262"/>
      <c r="S200" s="262"/>
      <c r="T200" s="262"/>
      <c r="U200" s="262"/>
      <c r="V200" s="262"/>
      <c r="W200" s="262"/>
      <c r="X200" s="262"/>
      <c r="Y200" s="262"/>
      <c r="Z200" s="262"/>
      <c r="AA200" s="262"/>
      <c r="AB200" s="262"/>
    </row>
    <row r="201" spans="1:31" ht="12.75">
      <c r="A201" s="301"/>
      <c r="B201" s="302"/>
      <c r="C201" s="303"/>
      <c r="D201" s="304"/>
      <c r="E201" s="305"/>
      <c r="F201" s="306"/>
      <c r="G201" s="307"/>
      <c r="H201" s="308"/>
      <c r="I201" s="262"/>
      <c r="J201" s="262"/>
      <c r="K201" s="262"/>
      <c r="L201" s="262"/>
      <c r="M201" s="262"/>
      <c r="N201" s="262"/>
      <c r="O201" s="262"/>
      <c r="P201" s="262"/>
      <c r="Q201" s="262"/>
      <c r="R201" s="262"/>
      <c r="S201" s="262"/>
      <c r="T201" s="262"/>
      <c r="U201" s="262"/>
      <c r="V201" s="262"/>
      <c r="W201" s="262"/>
      <c r="X201" s="262"/>
      <c r="Y201" s="262"/>
      <c r="Z201" s="262"/>
      <c r="AA201" s="262"/>
      <c r="AB201" s="262"/>
    </row>
    <row r="202" spans="1:31" ht="38.25">
      <c r="A202" s="271" t="s">
        <v>14471</v>
      </c>
      <c r="B202" s="272" t="s">
        <v>14472</v>
      </c>
      <c r="C202" s="273" t="s">
        <v>14549</v>
      </c>
      <c r="D202" s="274" t="s">
        <v>14550</v>
      </c>
      <c r="E202" s="272" t="s">
        <v>50</v>
      </c>
      <c r="F202" s="272"/>
      <c r="G202" s="272"/>
      <c r="H202" s="275">
        <f>SUM(H203:H212)</f>
        <v>473.91999999999996</v>
      </c>
      <c r="I202" s="276">
        <f>COUNTIF($C$8:$C202,C:C)</f>
        <v>1</v>
      </c>
      <c r="J202" s="262"/>
      <c r="K202" s="262"/>
      <c r="L202" s="262"/>
      <c r="M202" s="262"/>
      <c r="N202" s="262"/>
      <c r="O202" s="262"/>
      <c r="P202" s="262"/>
      <c r="Q202" s="262"/>
      <c r="R202" s="262"/>
      <c r="S202" s="262"/>
      <c r="T202" s="262"/>
      <c r="U202" s="262"/>
      <c r="V202" s="262"/>
      <c r="W202" s="262"/>
      <c r="X202" s="262"/>
      <c r="Y202" s="262"/>
      <c r="Z202" s="262"/>
      <c r="AA202" s="262"/>
      <c r="AB202" s="262"/>
    </row>
    <row r="203" spans="1:31" ht="25.5">
      <c r="A203" s="285" t="s">
        <v>14478</v>
      </c>
      <c r="B203" s="286" t="s">
        <v>14476</v>
      </c>
      <c r="C203" s="287">
        <v>88262</v>
      </c>
      <c r="D203" s="288" t="str">
        <f>IFERROR(VLOOKUP($C203,'24.08_ND'!$A:$D,2,0),)</f>
        <v>CARPINTEIRO DE FORMAS COM ENCARGOS COMPLEMENTARES</v>
      </c>
      <c r="E203" s="289" t="str">
        <f>IFERROR(VLOOKUP($C203,'24.08_ND'!$A:$D,3,0),)</f>
        <v>H</v>
      </c>
      <c r="F203" s="290">
        <v>2.4348999999999998</v>
      </c>
      <c r="G203" s="291">
        <f>IFERROR(VLOOKUP($C203,'24.08_ND'!$A:$D,4,0),)</f>
        <v>23.01</v>
      </c>
      <c r="H203" s="292">
        <f t="shared" ref="H203:H212" si="9">TRUNC(($F203*$G203),2)</f>
        <v>56.02</v>
      </c>
      <c r="I203" s="262"/>
      <c r="J203" s="262"/>
      <c r="K203" s="262"/>
      <c r="L203" s="262"/>
      <c r="M203" s="262"/>
      <c r="N203" s="262"/>
      <c r="O203" s="262"/>
      <c r="P203" s="262"/>
      <c r="Q203" s="262"/>
      <c r="R203" s="262"/>
      <c r="S203" s="262"/>
      <c r="T203" s="262"/>
      <c r="U203" s="262"/>
      <c r="V203" s="262"/>
      <c r="W203" s="262"/>
      <c r="X203" s="262"/>
      <c r="Y203" s="262"/>
      <c r="Z203" s="262"/>
      <c r="AA203" s="262"/>
      <c r="AB203" s="262"/>
      <c r="AD203" s="1791" t="e">
        <f>VLOOKUP(C203,'Medição '!$B$16:$F$1833,6,0)</f>
        <v>#N/A</v>
      </c>
      <c r="AE203" s="1791"/>
    </row>
    <row r="204" spans="1:31" ht="25.5">
      <c r="A204" s="285" t="s">
        <v>14478</v>
      </c>
      <c r="B204" s="286" t="s">
        <v>14476</v>
      </c>
      <c r="C204" s="287">
        <v>91692</v>
      </c>
      <c r="D204" s="288" t="str">
        <f>IFERROR(VLOOKUP($C204,'24.08_ND'!$A:$D,2,0),)</f>
        <v>SERRA CIRCULAR DE BANCADA COM MOTOR ELÉTRICO POTÊNCIA DE 5HP, COM COIFA PARA DISCO 10" - CHP DIURNO. AF_08/2015</v>
      </c>
      <c r="E204" s="289" t="str">
        <f>IFERROR(VLOOKUP($C204,'24.08_ND'!$A:$D,3,0),)</f>
        <v>CHP</v>
      </c>
      <c r="F204" s="290">
        <v>1.0699999999999999E-2</v>
      </c>
      <c r="G204" s="291">
        <f>IFERROR(VLOOKUP($C204,'24.08_ND'!$A:$D,4,0),)</f>
        <v>21.22</v>
      </c>
      <c r="H204" s="292">
        <f t="shared" si="9"/>
        <v>0.22</v>
      </c>
      <c r="I204" s="262"/>
      <c r="J204" s="262"/>
      <c r="K204" s="262"/>
      <c r="L204" s="262"/>
      <c r="M204" s="262"/>
      <c r="N204" s="262"/>
      <c r="O204" s="262"/>
      <c r="P204" s="262"/>
      <c r="Q204" s="262"/>
      <c r="R204" s="262"/>
      <c r="S204" s="262"/>
      <c r="T204" s="262"/>
      <c r="U204" s="262"/>
      <c r="V204" s="262"/>
      <c r="W204" s="262"/>
      <c r="X204" s="262"/>
      <c r="Y204" s="262"/>
      <c r="Z204" s="262"/>
      <c r="AA204" s="262"/>
      <c r="AB204" s="262"/>
      <c r="AD204" s="1791" t="e">
        <f>VLOOKUP(C204,'Medição '!$B$16:$F$1833,6,0)</f>
        <v>#N/A</v>
      </c>
      <c r="AE204" s="1791"/>
    </row>
    <row r="205" spans="1:31" ht="25.5">
      <c r="A205" s="285" t="s">
        <v>14478</v>
      </c>
      <c r="B205" s="286" t="s">
        <v>14476</v>
      </c>
      <c r="C205" s="287">
        <v>91693</v>
      </c>
      <c r="D205" s="288" t="str">
        <f>IFERROR(VLOOKUP($C205,'24.08_ND'!$A:$D,2,0),)</f>
        <v>SERRA CIRCULAR DE BANCADA COM MOTOR ELÉTRICO POTÊNCIA DE 5HP, COM COIFA PARA DISCO 10" - CHI DIURNO. AF_08/2015</v>
      </c>
      <c r="E205" s="289" t="str">
        <f>IFERROR(VLOOKUP($C205,'24.08_ND'!$A:$D,3,0),)</f>
        <v>CHI</v>
      </c>
      <c r="F205" s="290">
        <v>4.2900000000000001E-2</v>
      </c>
      <c r="G205" s="291">
        <f>IFERROR(VLOOKUP($C205,'24.08_ND'!$A:$D,4,0),)</f>
        <v>19.899999999999999</v>
      </c>
      <c r="H205" s="292">
        <f t="shared" si="9"/>
        <v>0.85</v>
      </c>
      <c r="I205" s="262"/>
      <c r="J205" s="262"/>
      <c r="K205" s="262"/>
      <c r="L205" s="262"/>
      <c r="M205" s="262"/>
      <c r="N205" s="262"/>
      <c r="O205" s="262"/>
      <c r="P205" s="262"/>
      <c r="Q205" s="262"/>
      <c r="R205" s="262"/>
      <c r="S205" s="262"/>
      <c r="T205" s="262"/>
      <c r="U205" s="262"/>
      <c r="V205" s="262"/>
      <c r="W205" s="262"/>
      <c r="X205" s="262"/>
      <c r="Y205" s="262"/>
      <c r="Z205" s="262"/>
      <c r="AA205" s="262"/>
      <c r="AB205" s="262"/>
      <c r="AD205" s="1791" t="e">
        <f>VLOOKUP(C205,'Medição '!$B$16:$F$1833,6,0)</f>
        <v>#N/A</v>
      </c>
      <c r="AE205" s="1791"/>
    </row>
    <row r="206" spans="1:31" ht="38.25">
      <c r="A206" s="285" t="s">
        <v>14478</v>
      </c>
      <c r="B206" s="286" t="s">
        <v>14476</v>
      </c>
      <c r="C206" s="287">
        <v>100721</v>
      </c>
      <c r="D206" s="288" t="str">
        <f>IFERROR(VLOOKUP($C206,'24.08_ND'!$A:$D,2,0),)</f>
        <v>PINTURA COM TINTA ALQUÍDICA DE FUNDO (TIPO ZARCÃO) PULVERIZADA SOBRE SUPERFÍCIES METÁLICAS (EXCETO PERFIL) EXECUTADO EM OBRA (POR DEMÃO). AF_01/2020_PE</v>
      </c>
      <c r="E206" s="289" t="str">
        <f>IFERROR(VLOOKUP($C206,'24.08_ND'!$A:$D,3,0),)</f>
        <v>M2</v>
      </c>
      <c r="F206" s="290">
        <v>0.66049999999999998</v>
      </c>
      <c r="G206" s="291">
        <f>IFERROR(VLOOKUP($C206,'24.08_ND'!$A:$D,4,0),)</f>
        <v>20.97</v>
      </c>
      <c r="H206" s="292">
        <f t="shared" si="9"/>
        <v>13.85</v>
      </c>
      <c r="I206" s="262"/>
      <c r="J206" s="262"/>
      <c r="K206" s="262"/>
      <c r="L206" s="262"/>
      <c r="M206" s="262"/>
      <c r="N206" s="262"/>
      <c r="O206" s="262"/>
      <c r="P206" s="262"/>
      <c r="Q206" s="262"/>
      <c r="R206" s="262"/>
      <c r="S206" s="262"/>
      <c r="T206" s="262"/>
      <c r="U206" s="262"/>
      <c r="V206" s="262"/>
      <c r="W206" s="262"/>
      <c r="X206" s="262"/>
      <c r="Y206" s="262"/>
      <c r="Z206" s="262"/>
      <c r="AA206" s="262"/>
      <c r="AB206" s="262"/>
      <c r="AD206" s="1791" t="e">
        <f>VLOOKUP(C206,'Medição '!$B$16:$F$1833,6,0)</f>
        <v>#REF!</v>
      </c>
      <c r="AE206" s="1791"/>
    </row>
    <row r="207" spans="1:31" ht="25.5">
      <c r="A207" s="285" t="s">
        <v>14478</v>
      </c>
      <c r="B207" s="286" t="s">
        <v>14476</v>
      </c>
      <c r="C207" s="287">
        <v>88239</v>
      </c>
      <c r="D207" s="288" t="str">
        <f>IFERROR(VLOOKUP($C207,'24.08_ND'!$A:$D,2,0),)</f>
        <v>AJUDANTE DE CARPINTEIRO COM ENCARGOS COMPLEMENTARES</v>
      </c>
      <c r="E207" s="289" t="str">
        <f>IFERROR(VLOOKUP($C207,'24.08_ND'!$A:$D,3,0),)</f>
        <v>H</v>
      </c>
      <c r="F207" s="290">
        <v>0.10050000000000001</v>
      </c>
      <c r="G207" s="291">
        <f>IFERROR(VLOOKUP($C207,'24.08_ND'!$A:$D,4,0),)</f>
        <v>19.510000000000002</v>
      </c>
      <c r="H207" s="292">
        <f t="shared" si="9"/>
        <v>1.96</v>
      </c>
      <c r="I207" s="262"/>
      <c r="J207" s="262"/>
      <c r="K207" s="262"/>
      <c r="L207" s="262"/>
      <c r="M207" s="262"/>
      <c r="N207" s="262"/>
      <c r="O207" s="262"/>
      <c r="P207" s="262"/>
      <c r="Q207" s="262"/>
      <c r="R207" s="262"/>
      <c r="S207" s="262"/>
      <c r="T207" s="262"/>
      <c r="U207" s="262"/>
      <c r="V207" s="262"/>
      <c r="W207" s="262"/>
      <c r="X207" s="262"/>
      <c r="Y207" s="262"/>
      <c r="Z207" s="262"/>
      <c r="AA207" s="262"/>
      <c r="AB207" s="262"/>
      <c r="AD207" s="1791" t="e">
        <f>VLOOKUP(C207,'Medição '!$B$16:$F$1833,6,0)</f>
        <v>#N/A</v>
      </c>
      <c r="AE207" s="1791"/>
    </row>
    <row r="208" spans="1:31" ht="25.5">
      <c r="A208" s="293" t="s">
        <v>14479</v>
      </c>
      <c r="B208" s="294" t="s">
        <v>14476</v>
      </c>
      <c r="C208" s="295">
        <v>43692</v>
      </c>
      <c r="D208" s="296" t="str">
        <f>IFERROR(VLOOKUP($C208,'24.08_ND'!$A:$D,2,0),)</f>
        <v>PERFIL "U" SIMPLES, EM CHAPA DOBRADA DE ACO LAMINADO, E = 3 MM, H = 200 MM, L = 50 MM (6,83 KG/M)</v>
      </c>
      <c r="E208" s="297" t="str">
        <f>IFERROR(VLOOKUP($C208,'24.08_ND'!$A:$D,3,0),)</f>
        <v>KG</v>
      </c>
      <c r="F208" s="298">
        <v>0.4</v>
      </c>
      <c r="G208" s="299">
        <f>IFERROR(VLOOKUP($C208,'24.08_ND'!$A:$D,4,0),)</f>
        <v>8.3000000000000007</v>
      </c>
      <c r="H208" s="300">
        <f t="shared" si="9"/>
        <v>3.32</v>
      </c>
      <c r="I208" s="262"/>
      <c r="J208" s="262"/>
      <c r="K208" s="262"/>
      <c r="L208" s="262"/>
      <c r="M208" s="262"/>
      <c r="N208" s="262"/>
      <c r="O208" s="262"/>
      <c r="P208" s="262"/>
      <c r="Q208" s="262"/>
      <c r="R208" s="262"/>
      <c r="S208" s="262"/>
      <c r="T208" s="262"/>
      <c r="U208" s="262"/>
      <c r="V208" s="262"/>
      <c r="W208" s="262"/>
      <c r="X208" s="262"/>
      <c r="Y208" s="262"/>
      <c r="Z208" s="262"/>
      <c r="AA208" s="262"/>
      <c r="AB208" s="262"/>
    </row>
    <row r="209" spans="1:28" ht="25.5">
      <c r="A209" s="293" t="s">
        <v>14479</v>
      </c>
      <c r="B209" s="294" t="s">
        <v>14476</v>
      </c>
      <c r="C209" s="295">
        <v>4430</v>
      </c>
      <c r="D209" s="296" t="str">
        <f>IFERROR(VLOOKUP($C209,'24.08_ND'!$A:$D,2,0),)</f>
        <v>CAIBRO NAO APARELHADO *5 X 6* CM, EM MACARANDUBA/MASSARANDUBA, ANGELIM OU EQUIVALENTE DA REGIAO - BRUTA</v>
      </c>
      <c r="E209" s="297" t="str">
        <f>IFERROR(VLOOKUP($C209,'24.08_ND'!$A:$D,3,0),)</f>
        <v>M</v>
      </c>
      <c r="F209" s="298">
        <v>2.2400000000000002</v>
      </c>
      <c r="G209" s="299">
        <f>IFERROR(VLOOKUP($C209,'24.08_ND'!$A:$D,4,0),)</f>
        <v>10.74</v>
      </c>
      <c r="H209" s="300">
        <f t="shared" si="9"/>
        <v>24.05</v>
      </c>
      <c r="I209" s="262"/>
      <c r="J209" s="262"/>
      <c r="K209" s="262"/>
      <c r="L209" s="262"/>
      <c r="M209" s="262"/>
      <c r="N209" s="262"/>
      <c r="O209" s="262"/>
      <c r="P209" s="262"/>
      <c r="Q209" s="262"/>
      <c r="R209" s="262"/>
      <c r="S209" s="262"/>
      <c r="T209" s="262"/>
      <c r="U209" s="262"/>
      <c r="V209" s="262"/>
      <c r="W209" s="262"/>
      <c r="X209" s="262"/>
      <c r="Y209" s="262"/>
      <c r="Z209" s="262"/>
      <c r="AA209" s="262"/>
      <c r="AB209" s="262"/>
    </row>
    <row r="210" spans="1:28" ht="12.75">
      <c r="A210" s="293" t="s">
        <v>14479</v>
      </c>
      <c r="B210" s="294" t="s">
        <v>14476</v>
      </c>
      <c r="C210" s="295">
        <v>43055</v>
      </c>
      <c r="D210" s="296" t="str">
        <f>IFERROR(VLOOKUP($C210,'24.08_ND'!$A:$D,2,0),)</f>
        <v>ACO CA-50, 12,5 MM OU 16,0 MM, VERGALHAO</v>
      </c>
      <c r="E210" s="297" t="str">
        <f>IFERROR(VLOOKUP($C210,'24.08_ND'!$A:$D,3,0),)</f>
        <v>KG</v>
      </c>
      <c r="F210" s="298">
        <v>1.3675999999999999</v>
      </c>
      <c r="G210" s="299">
        <f>IFERROR(VLOOKUP($C210,'24.08_ND'!$A:$D,4,0),)</f>
        <v>7.32</v>
      </c>
      <c r="H210" s="300">
        <f t="shared" si="9"/>
        <v>10.01</v>
      </c>
      <c r="I210" s="262"/>
      <c r="J210" s="262"/>
      <c r="K210" s="262"/>
      <c r="L210" s="262"/>
      <c r="M210" s="262"/>
      <c r="N210" s="262"/>
      <c r="O210" s="262"/>
      <c r="P210" s="262"/>
      <c r="Q210" s="262"/>
      <c r="R210" s="262"/>
      <c r="S210" s="262"/>
      <c r="T210" s="262"/>
      <c r="U210" s="262"/>
      <c r="V210" s="262"/>
      <c r="W210" s="262"/>
      <c r="X210" s="262"/>
      <c r="Y210" s="262"/>
      <c r="Z210" s="262"/>
      <c r="AA210" s="262"/>
      <c r="AB210" s="262"/>
    </row>
    <row r="211" spans="1:28" ht="25.5">
      <c r="A211" s="293" t="s">
        <v>14479</v>
      </c>
      <c r="B211" s="294" t="s">
        <v>14476</v>
      </c>
      <c r="C211" s="295">
        <v>3992</v>
      </c>
      <c r="D211" s="296" t="str">
        <f>IFERROR(VLOOKUP($C211,'24.08_ND'!$A:$D,2,0),)</f>
        <v>TABUA APARELHADA *2,5 X 30* CM, EM MACARANDUBA/MASSARANDUBA, ANGELIM OU EQUIVALENTE DA REGIAO</v>
      </c>
      <c r="E211" s="297" t="str">
        <f>IFERROR(VLOOKUP($C211,'24.08_ND'!$A:$D,3,0),)</f>
        <v>M</v>
      </c>
      <c r="F211" s="298">
        <v>14.45</v>
      </c>
      <c r="G211" s="299">
        <f>IFERROR(VLOOKUP($C211,'24.08_ND'!$A:$D,4,0),)</f>
        <v>24.94</v>
      </c>
      <c r="H211" s="300">
        <f t="shared" si="9"/>
        <v>360.38</v>
      </c>
      <c r="I211" s="262"/>
      <c r="J211" s="262"/>
      <c r="K211" s="262"/>
      <c r="L211" s="262"/>
      <c r="M211" s="262"/>
      <c r="N211" s="262"/>
      <c r="O211" s="262"/>
      <c r="P211" s="262"/>
      <c r="Q211" s="262"/>
      <c r="R211" s="262"/>
      <c r="S211" s="262"/>
      <c r="T211" s="262"/>
      <c r="U211" s="262"/>
      <c r="V211" s="262"/>
      <c r="W211" s="262"/>
      <c r="X211" s="262"/>
      <c r="Y211" s="262"/>
      <c r="Z211" s="262"/>
      <c r="AA211" s="262"/>
      <c r="AB211" s="262"/>
    </row>
    <row r="212" spans="1:28" ht="12.75">
      <c r="A212" s="293" t="s">
        <v>14479</v>
      </c>
      <c r="B212" s="294" t="s">
        <v>14476</v>
      </c>
      <c r="C212" s="295">
        <v>5068</v>
      </c>
      <c r="D212" s="296" t="str">
        <f>IFERROR(VLOOKUP($C212,'24.08_ND'!$A:$D,2,0),)</f>
        <v>PREGO DE ACO POLIDO COM CABECA 17 X 21 (2 X 11)</v>
      </c>
      <c r="E212" s="297" t="str">
        <f>IFERROR(VLOOKUP($C212,'24.08_ND'!$A:$D,3,0),)</f>
        <v>KG</v>
      </c>
      <c r="F212" s="298">
        <v>0.2</v>
      </c>
      <c r="G212" s="299">
        <f>IFERROR(VLOOKUP($C212,'24.08_ND'!$A:$D,4,0),)</f>
        <v>16.309999999999999</v>
      </c>
      <c r="H212" s="300">
        <f t="shared" si="9"/>
        <v>3.26</v>
      </c>
      <c r="I212" s="262"/>
      <c r="J212" s="262"/>
      <c r="K212" s="262"/>
      <c r="L212" s="262"/>
      <c r="M212" s="262"/>
      <c r="N212" s="262"/>
      <c r="O212" s="262"/>
      <c r="P212" s="262"/>
      <c r="Q212" s="262"/>
      <c r="R212" s="262"/>
      <c r="S212" s="262"/>
      <c r="T212" s="262"/>
      <c r="U212" s="262"/>
      <c r="V212" s="262"/>
      <c r="W212" s="262"/>
      <c r="X212" s="262"/>
      <c r="Y212" s="262"/>
      <c r="Z212" s="262"/>
      <c r="AA212" s="262"/>
      <c r="AB212" s="262"/>
    </row>
    <row r="213" spans="1:28" ht="12.75">
      <c r="A213" s="309"/>
      <c r="B213" s="303"/>
      <c r="C213" s="303"/>
      <c r="D213" s="310"/>
      <c r="E213" s="303"/>
      <c r="F213" s="306"/>
      <c r="G213" s="307"/>
      <c r="H213" s="308"/>
      <c r="I213" s="262"/>
      <c r="J213" s="262"/>
      <c r="K213" s="262"/>
      <c r="L213" s="262"/>
      <c r="M213" s="262"/>
      <c r="N213" s="262"/>
      <c r="O213" s="262"/>
      <c r="P213" s="262"/>
      <c r="Q213" s="262"/>
      <c r="R213" s="262"/>
      <c r="S213" s="262"/>
      <c r="T213" s="262"/>
      <c r="U213" s="262"/>
      <c r="V213" s="262"/>
      <c r="W213" s="262"/>
      <c r="X213" s="262"/>
      <c r="Y213" s="262"/>
      <c r="Z213" s="262"/>
      <c r="AA213" s="262"/>
      <c r="AB213" s="262"/>
    </row>
    <row r="214" spans="1:28" ht="25.5">
      <c r="A214" s="271" t="s">
        <v>14471</v>
      </c>
      <c r="B214" s="272" t="s">
        <v>14472</v>
      </c>
      <c r="C214" s="273" t="s">
        <v>14551</v>
      </c>
      <c r="D214" s="274" t="s">
        <v>14552</v>
      </c>
      <c r="E214" s="272" t="s">
        <v>156</v>
      </c>
      <c r="F214" s="272"/>
      <c r="G214" s="272"/>
      <c r="H214" s="275">
        <f>TRUNC(SUM(H216))</f>
        <v>892</v>
      </c>
      <c r="I214" s="276">
        <f>COUNTIF($C$8:$C214,C:C)</f>
        <v>1</v>
      </c>
      <c r="J214" s="262"/>
      <c r="K214" s="262"/>
      <c r="L214" s="262"/>
      <c r="M214" s="262"/>
      <c r="N214" s="262"/>
      <c r="O214" s="262"/>
      <c r="P214" s="262"/>
      <c r="Q214" s="262"/>
      <c r="R214" s="262"/>
      <c r="S214" s="262"/>
      <c r="T214" s="262"/>
      <c r="U214" s="262"/>
      <c r="V214" s="262"/>
      <c r="W214" s="262"/>
      <c r="X214" s="262"/>
      <c r="Y214" s="262"/>
      <c r="Z214" s="262"/>
      <c r="AA214" s="262"/>
      <c r="AB214" s="262"/>
    </row>
    <row r="215" spans="1:28" ht="12.75">
      <c r="A215" s="277" t="s">
        <v>14475</v>
      </c>
      <c r="B215" s="278" t="s">
        <v>14544</v>
      </c>
      <c r="C215" s="331">
        <v>37165</v>
      </c>
      <c r="D215" s="335">
        <v>45200</v>
      </c>
      <c r="E215" s="281"/>
      <c r="F215" s="282"/>
      <c r="G215" s="283"/>
      <c r="H215" s="284"/>
      <c r="I215" s="262"/>
      <c r="J215" s="262"/>
      <c r="K215" s="262"/>
      <c r="L215" s="262"/>
      <c r="M215" s="262"/>
      <c r="N215" s="262"/>
      <c r="O215" s="262"/>
      <c r="P215" s="262"/>
      <c r="Q215" s="262"/>
      <c r="R215" s="262"/>
      <c r="S215" s="262"/>
      <c r="T215" s="262"/>
      <c r="U215" s="262"/>
      <c r="V215" s="262"/>
      <c r="W215" s="262"/>
      <c r="X215" s="262"/>
      <c r="Y215" s="262"/>
      <c r="Z215" s="262"/>
      <c r="AA215" s="262"/>
      <c r="AB215" s="262"/>
    </row>
    <row r="216" spans="1:28" ht="12.75">
      <c r="A216" s="317" t="s">
        <v>14479</v>
      </c>
      <c r="B216" s="312" t="str">
        <f>VLOOKUP($C216,'• CIs EXT'!$A:$E,2,0)</f>
        <v>SUDECAP</v>
      </c>
      <c r="C216" s="313" t="s">
        <v>14553</v>
      </c>
      <c r="D216" s="314" t="str">
        <f>VLOOKUP($C216,'• CIs EXT'!$A:$E,3,0)</f>
        <v>BANHEIRO QUIMICO 2 MANUT. 2 ROLOS PAPEL HIGIENICO</v>
      </c>
      <c r="E216" s="312" t="str">
        <f>VLOOKUP($C216,'• CIs EXT'!$A:$E,4,0)</f>
        <v>MES</v>
      </c>
      <c r="F216" s="315">
        <v>1</v>
      </c>
      <c r="G216" s="312">
        <f>VLOOKUP($C216,'• CIs EXT'!$A:$E,5,0)</f>
        <v>892.78</v>
      </c>
      <c r="H216" s="316">
        <f>TRUNC(($F216*$G216),2)</f>
        <v>892.78</v>
      </c>
      <c r="I216" s="262"/>
      <c r="J216" s="262"/>
      <c r="K216" s="262"/>
      <c r="L216" s="262"/>
      <c r="M216" s="262"/>
      <c r="N216" s="262"/>
      <c r="O216" s="262"/>
      <c r="P216" s="262"/>
      <c r="Q216" s="262"/>
      <c r="R216" s="262"/>
      <c r="S216" s="262"/>
      <c r="T216" s="262"/>
      <c r="U216" s="262"/>
      <c r="V216" s="262"/>
      <c r="W216" s="262"/>
      <c r="X216" s="262"/>
      <c r="Y216" s="262"/>
      <c r="Z216" s="262"/>
      <c r="AA216" s="262"/>
      <c r="AB216" s="262"/>
    </row>
    <row r="217" spans="1:28" ht="12.75">
      <c r="A217" s="309"/>
      <c r="B217" s="303"/>
      <c r="C217" s="303"/>
      <c r="D217" s="310"/>
      <c r="E217" s="303"/>
      <c r="F217" s="306"/>
      <c r="G217" s="307"/>
      <c r="H217" s="308"/>
      <c r="I217" s="262"/>
      <c r="J217" s="262"/>
      <c r="K217" s="262"/>
      <c r="L217" s="262"/>
      <c r="M217" s="262"/>
      <c r="N217" s="262"/>
      <c r="O217" s="262"/>
      <c r="P217" s="262"/>
      <c r="Q217" s="262"/>
      <c r="R217" s="262"/>
      <c r="S217" s="262"/>
      <c r="T217" s="262"/>
      <c r="U217" s="262"/>
      <c r="V217" s="262"/>
      <c r="W217" s="262"/>
      <c r="X217" s="262"/>
      <c r="Y217" s="262"/>
      <c r="Z217" s="262"/>
      <c r="AA217" s="262"/>
      <c r="AB217" s="262"/>
    </row>
    <row r="218" spans="1:28" ht="25.5">
      <c r="A218" s="271" t="s">
        <v>14471</v>
      </c>
      <c r="B218" s="272" t="s">
        <v>14472</v>
      </c>
      <c r="C218" s="273" t="s">
        <v>14554</v>
      </c>
      <c r="D218" s="274" t="s">
        <v>14555</v>
      </c>
      <c r="E218" s="272" t="s">
        <v>154</v>
      </c>
      <c r="F218" s="272"/>
      <c r="G218" s="272"/>
      <c r="H218" s="275">
        <f>SUM(H220:H221)</f>
        <v>126.12</v>
      </c>
      <c r="I218" s="276">
        <f>COUNTIF($C$8:$C218,C:C)</f>
        <v>1</v>
      </c>
      <c r="J218" s="262"/>
      <c r="K218" s="262"/>
      <c r="L218" s="262"/>
      <c r="M218" s="262"/>
      <c r="N218" s="262"/>
      <c r="O218" s="262"/>
      <c r="P218" s="262"/>
      <c r="Q218" s="262"/>
      <c r="R218" s="262"/>
      <c r="S218" s="262"/>
      <c r="T218" s="262"/>
      <c r="U218" s="262"/>
      <c r="V218" s="262"/>
      <c r="W218" s="262"/>
      <c r="X218" s="262"/>
      <c r="Y218" s="262"/>
      <c r="Z218" s="262"/>
      <c r="AA218" s="262"/>
      <c r="AB218" s="262"/>
    </row>
    <row r="219" spans="1:28" ht="12.75">
      <c r="A219" s="277" t="s">
        <v>14475</v>
      </c>
      <c r="B219" s="278" t="s">
        <v>14540</v>
      </c>
      <c r="C219" s="279" t="s">
        <v>14556</v>
      </c>
      <c r="D219" s="332">
        <v>45292</v>
      </c>
      <c r="E219" s="354"/>
      <c r="F219" s="355"/>
      <c r="G219" s="356"/>
      <c r="H219" s="357"/>
      <c r="I219" s="262"/>
      <c r="J219" s="262"/>
      <c r="K219" s="262"/>
      <c r="L219" s="262"/>
      <c r="M219" s="262"/>
      <c r="N219" s="262"/>
      <c r="O219" s="262"/>
      <c r="P219" s="262"/>
      <c r="Q219" s="262"/>
      <c r="R219" s="262"/>
      <c r="S219" s="262"/>
      <c r="T219" s="262"/>
      <c r="U219" s="262"/>
      <c r="V219" s="262"/>
      <c r="W219" s="262"/>
      <c r="X219" s="262"/>
      <c r="Y219" s="262"/>
      <c r="Z219" s="262"/>
      <c r="AA219" s="262"/>
      <c r="AB219" s="262"/>
    </row>
    <row r="220" spans="1:28" ht="25.5">
      <c r="A220" s="293" t="s">
        <v>14479</v>
      </c>
      <c r="B220" s="294" t="s">
        <v>14476</v>
      </c>
      <c r="C220" s="295">
        <v>3346</v>
      </c>
      <c r="D220" s="296" t="str">
        <f>IFERROR(VLOOKUP($C220,'24.08_ND'!$A:$D,2,0),)</f>
        <v>LOCACAO DE GRUPO GERADOR *80 A 125* KVA, MOTOR DIESEL, REBOCAVEL, ACIONAMENTO MANUAL</v>
      </c>
      <c r="E220" s="297" t="str">
        <f>IFERROR(VLOOKUP($C220,'24.08_ND'!$A:$D,3,0),)</f>
        <v>H</v>
      </c>
      <c r="F220" s="298">
        <v>1</v>
      </c>
      <c r="G220" s="299">
        <f>IFERROR(VLOOKUP($C220,'24.08_ND'!$A:$D,4,0),)</f>
        <v>16.72</v>
      </c>
      <c r="H220" s="300">
        <f>TRUNC(($F220*$G220),2)</f>
        <v>16.72</v>
      </c>
      <c r="I220" s="262"/>
      <c r="J220" s="262"/>
      <c r="K220" s="262"/>
      <c r="L220" s="262"/>
      <c r="M220" s="262"/>
      <c r="N220" s="262"/>
      <c r="O220" s="262"/>
      <c r="P220" s="262"/>
      <c r="Q220" s="262"/>
      <c r="R220" s="262"/>
      <c r="S220" s="262"/>
      <c r="T220" s="262"/>
      <c r="U220" s="262"/>
      <c r="V220" s="262"/>
      <c r="W220" s="262"/>
      <c r="X220" s="262"/>
      <c r="Y220" s="262"/>
      <c r="Z220" s="262"/>
      <c r="AA220" s="262"/>
      <c r="AB220" s="262"/>
    </row>
    <row r="221" spans="1:28" ht="12.75">
      <c r="A221" s="293" t="s">
        <v>14479</v>
      </c>
      <c r="B221" s="294" t="s">
        <v>14476</v>
      </c>
      <c r="C221" s="295">
        <v>4221</v>
      </c>
      <c r="D221" s="296" t="str">
        <f>IFERROR(VLOOKUP($C221,'24.08_ND'!$A:$D,2,0),)</f>
        <v>OLEO DIESEL COMBUSTIVEL COMUM METROPOLITANO S-10 OU S-500</v>
      </c>
      <c r="E221" s="297" t="str">
        <f>IFERROR(VLOOKUP($C221,'24.08_ND'!$A:$D,3,0),)</f>
        <v>L</v>
      </c>
      <c r="F221" s="298">
        <v>20</v>
      </c>
      <c r="G221" s="299">
        <f>IFERROR(VLOOKUP($C221,'24.08_ND'!$A:$D,4,0),)</f>
        <v>5.47</v>
      </c>
      <c r="H221" s="300">
        <f>TRUNC(($F221*$G221),2)</f>
        <v>109.4</v>
      </c>
      <c r="I221" s="262"/>
      <c r="J221" s="262"/>
      <c r="K221" s="262"/>
      <c r="L221" s="262"/>
      <c r="M221" s="262"/>
      <c r="N221" s="262"/>
      <c r="O221" s="262"/>
      <c r="P221" s="262"/>
      <c r="Q221" s="262"/>
      <c r="R221" s="262"/>
      <c r="S221" s="262"/>
      <c r="T221" s="262"/>
      <c r="U221" s="262"/>
      <c r="V221" s="262"/>
      <c r="W221" s="262"/>
      <c r="X221" s="262"/>
      <c r="Y221" s="262"/>
      <c r="Z221" s="262"/>
      <c r="AA221" s="262"/>
      <c r="AB221" s="262"/>
    </row>
    <row r="222" spans="1:28" ht="12.75">
      <c r="A222" s="309"/>
      <c r="B222" s="303"/>
      <c r="C222" s="303"/>
      <c r="D222" s="310"/>
      <c r="E222" s="303"/>
      <c r="F222" s="306"/>
      <c r="G222" s="307"/>
      <c r="H222" s="308"/>
      <c r="I222" s="262"/>
      <c r="J222" s="262"/>
      <c r="K222" s="262"/>
      <c r="L222" s="262"/>
      <c r="M222" s="262"/>
      <c r="N222" s="262"/>
      <c r="O222" s="262"/>
      <c r="P222" s="262"/>
      <c r="Q222" s="262"/>
      <c r="R222" s="262"/>
      <c r="S222" s="262"/>
      <c r="T222" s="262"/>
      <c r="U222" s="262"/>
      <c r="V222" s="262"/>
      <c r="W222" s="262"/>
      <c r="X222" s="262"/>
      <c r="Y222" s="262"/>
      <c r="Z222" s="262"/>
      <c r="AA222" s="262"/>
      <c r="AB222" s="262"/>
    </row>
    <row r="223" spans="1:28" ht="38.25">
      <c r="A223" s="271" t="s">
        <v>14471</v>
      </c>
      <c r="B223" s="272" t="s">
        <v>14472</v>
      </c>
      <c r="C223" s="273" t="s">
        <v>14557</v>
      </c>
      <c r="D223" s="274" t="s">
        <v>14558</v>
      </c>
      <c r="E223" s="272" t="s">
        <v>2557</v>
      </c>
      <c r="F223" s="272"/>
      <c r="G223" s="272"/>
      <c r="H223" s="275">
        <f>SUM(H225:H228)</f>
        <v>33.6</v>
      </c>
      <c r="I223" s="276">
        <f>COUNTIF($C$8:$C223,C:C)</f>
        <v>1</v>
      </c>
      <c r="J223" s="262"/>
      <c r="K223" s="262"/>
      <c r="L223" s="262"/>
      <c r="M223" s="262"/>
      <c r="N223" s="262"/>
      <c r="O223" s="262"/>
      <c r="P223" s="262"/>
      <c r="Q223" s="262"/>
      <c r="R223" s="262"/>
      <c r="S223" s="262"/>
      <c r="T223" s="262"/>
      <c r="U223" s="262"/>
      <c r="V223" s="262"/>
      <c r="W223" s="262"/>
      <c r="X223" s="262"/>
      <c r="Y223" s="262"/>
      <c r="Z223" s="262"/>
      <c r="AA223" s="262"/>
      <c r="AB223" s="262"/>
    </row>
    <row r="224" spans="1:28" ht="12.75">
      <c r="A224" s="277" t="s">
        <v>14475</v>
      </c>
      <c r="B224" s="352" t="s">
        <v>14476</v>
      </c>
      <c r="C224" s="331">
        <v>97063</v>
      </c>
      <c r="D224" s="353" t="s">
        <v>14559</v>
      </c>
      <c r="E224" s="354"/>
      <c r="F224" s="355"/>
      <c r="G224" s="356"/>
      <c r="H224" s="357"/>
      <c r="I224" s="262"/>
      <c r="J224" s="262"/>
      <c r="K224" s="262"/>
      <c r="L224" s="262"/>
      <c r="M224" s="262"/>
      <c r="N224" s="262"/>
      <c r="O224" s="262"/>
      <c r="P224" s="262"/>
      <c r="Q224" s="262"/>
      <c r="R224" s="262"/>
      <c r="S224" s="262"/>
      <c r="T224" s="262"/>
      <c r="U224" s="262"/>
      <c r="V224" s="262"/>
      <c r="W224" s="262"/>
      <c r="X224" s="262"/>
      <c r="Y224" s="262"/>
      <c r="Z224" s="262"/>
      <c r="AA224" s="262"/>
      <c r="AB224" s="262"/>
    </row>
    <row r="225" spans="1:31" ht="25.5">
      <c r="A225" s="285" t="s">
        <v>14478</v>
      </c>
      <c r="B225" s="286" t="s">
        <v>14476</v>
      </c>
      <c r="C225" s="287">
        <v>88316</v>
      </c>
      <c r="D225" s="288" t="str">
        <f>IFERROR(VLOOKUP($C225,'24.08_ND'!$A:$D,2,0),)</f>
        <v>SERVENTE COM ENCARGOS COMPLEMENTARES</v>
      </c>
      <c r="E225" s="289" t="str">
        <f>IFERROR(VLOOKUP($C225,'24.08_ND'!$A:$D,3,0),)</f>
        <v>H</v>
      </c>
      <c r="F225" s="290">
        <v>5.8999999999999997E-2</v>
      </c>
      <c r="G225" s="291">
        <f>IFERROR(VLOOKUP($C225,'24.08_ND'!$A:$D,4,0),)</f>
        <v>18.510000000000002</v>
      </c>
      <c r="H225" s="292">
        <f>TRUNC(($F225*$G225),2)</f>
        <v>1.0900000000000001</v>
      </c>
      <c r="I225" s="262"/>
      <c r="J225" s="262"/>
      <c r="K225" s="262"/>
      <c r="L225" s="262"/>
      <c r="M225" s="262"/>
      <c r="N225" s="262"/>
      <c r="O225" s="262"/>
      <c r="P225" s="262"/>
      <c r="Q225" s="262"/>
      <c r="R225" s="262"/>
      <c r="S225" s="262"/>
      <c r="T225" s="262"/>
      <c r="U225" s="262"/>
      <c r="V225" s="262"/>
      <c r="W225" s="262"/>
      <c r="X225" s="262"/>
      <c r="Y225" s="262"/>
      <c r="Z225" s="262"/>
      <c r="AA225" s="262"/>
      <c r="AB225" s="262"/>
      <c r="AD225" s="1791" t="e">
        <f>VLOOKUP(C225,'Medição '!$B$16:$F$1833,6,0)</f>
        <v>#N/A</v>
      </c>
      <c r="AE225" s="1791"/>
    </row>
    <row r="226" spans="1:31" ht="38.25">
      <c r="A226" s="285" t="s">
        <v>14478</v>
      </c>
      <c r="B226" s="286" t="s">
        <v>14476</v>
      </c>
      <c r="C226" s="287">
        <v>100251</v>
      </c>
      <c r="D226" s="288" t="str">
        <f>IFERROR(VLOOKUP($C226,'24.08_ND'!$A:$D,2,0),)</f>
        <v>TRANSPORTE HORIZONTAL MANUAL, DE TUBO DE AÇO CARBONO LEVE OU MÉDIO, PRETO OU GALVANIZADO, COM DIÂMETRO MAIOR QUE 32 MM E MENOR OU IGUAL A 65 MM (UNIDADE: MXKM). AF_07/2019</v>
      </c>
      <c r="E226" s="289" t="str">
        <f>IFERROR(VLOOKUP($C226,'24.08_ND'!$A:$D,3,0),)</f>
        <v>MXKM</v>
      </c>
      <c r="F226" s="290">
        <v>0.1673</v>
      </c>
      <c r="G226" s="291">
        <f>IFERROR(VLOOKUP($C226,'24.08_ND'!$A:$D,4,0),)</f>
        <v>11.32</v>
      </c>
      <c r="H226" s="292">
        <f>TRUNC(($F226*$G226),2)</f>
        <v>1.89</v>
      </c>
      <c r="I226" s="262"/>
      <c r="J226" s="262"/>
      <c r="K226" s="262"/>
      <c r="L226" s="262"/>
      <c r="M226" s="262"/>
      <c r="N226" s="262"/>
      <c r="O226" s="262"/>
      <c r="P226" s="262"/>
      <c r="Q226" s="262"/>
      <c r="R226" s="262"/>
      <c r="S226" s="262"/>
      <c r="T226" s="262"/>
      <c r="U226" s="262"/>
      <c r="V226" s="262"/>
      <c r="W226" s="262"/>
      <c r="X226" s="262"/>
      <c r="Y226" s="262"/>
      <c r="Z226" s="262"/>
      <c r="AA226" s="262"/>
      <c r="AB226" s="262"/>
      <c r="AD226" s="1791" t="e">
        <f>VLOOKUP(C226,'Medição '!$B$16:$F$1833,6,0)</f>
        <v>#N/A</v>
      </c>
      <c r="AE226" s="1791"/>
    </row>
    <row r="227" spans="1:31" ht="25.5">
      <c r="A227" s="285" t="s">
        <v>14478</v>
      </c>
      <c r="B227" s="286" t="s">
        <v>14476</v>
      </c>
      <c r="C227" s="287">
        <v>88278</v>
      </c>
      <c r="D227" s="288" t="str">
        <f>IFERROR(VLOOKUP($C227,'24.08_ND'!$A:$D,2,0),)</f>
        <v>MONTADOR DE ESTRUTURA METÁLICA COM ENCARGOS COMPLEMENTARES</v>
      </c>
      <c r="E227" s="289" t="str">
        <f>IFERROR(VLOOKUP($C227,'24.08_ND'!$A:$D,3,0),)</f>
        <v>H</v>
      </c>
      <c r="F227" s="290">
        <v>0.29509999999999997</v>
      </c>
      <c r="G227" s="291">
        <f>IFERROR(VLOOKUP($C227,'24.08_ND'!$A:$D,4,0),)</f>
        <v>20.440000000000001</v>
      </c>
      <c r="H227" s="292">
        <f>TRUNC(($F227*$G227),2)</f>
        <v>6.03</v>
      </c>
      <c r="I227" s="262"/>
      <c r="J227" s="262"/>
      <c r="K227" s="262"/>
      <c r="L227" s="262"/>
      <c r="M227" s="262"/>
      <c r="N227" s="262"/>
      <c r="O227" s="262"/>
      <c r="P227" s="262"/>
      <c r="Q227" s="262"/>
      <c r="R227" s="262"/>
      <c r="S227" s="262"/>
      <c r="T227" s="262"/>
      <c r="U227" s="262"/>
      <c r="V227" s="262"/>
      <c r="W227" s="262"/>
      <c r="X227" s="262"/>
      <c r="Y227" s="262"/>
      <c r="Z227" s="262"/>
      <c r="AA227" s="262"/>
      <c r="AB227" s="262"/>
      <c r="AD227" s="1791" t="e">
        <f>VLOOKUP(C227,'Medição '!$B$16:$F$1833,6,0)</f>
        <v>#N/A</v>
      </c>
      <c r="AE227" s="1791"/>
    </row>
    <row r="228" spans="1:31" ht="51">
      <c r="A228" s="293" t="s">
        <v>14479</v>
      </c>
      <c r="B228" s="294" t="s">
        <v>14476</v>
      </c>
      <c r="C228" s="295">
        <v>20193</v>
      </c>
      <c r="D228" s="296" t="str">
        <f>IFERROR(VLOOKUP($C228,'24.08_ND'!$A:$D,2,0),)</f>
        <v>LOCACAO DE ANDAIME METALICO TIPO FACHADEIRO, PECAS COM APROXIMADAMENTE 1,20 M DE LARGURA E 2,0 M DE ALTURA, INCLUINDO DIAGONAIS EM X, BARRAS DE LIGACAO, SAPATAS E DEMAIS ITENS NECESSARIOS A MONTAGEM (NAO INCLUI INSTALACAO)</v>
      </c>
      <c r="E228" s="297" t="str">
        <f>IFERROR(VLOOKUP($C228,'24.08_ND'!$A:$D,3,0),)</f>
        <v>M2XMES</v>
      </c>
      <c r="F228" s="298">
        <v>1</v>
      </c>
      <c r="G228" s="299">
        <f>IFERROR(VLOOKUP($C228,'24.08_ND'!$A:$D,4,0),)</f>
        <v>24.59</v>
      </c>
      <c r="H228" s="300">
        <f>TRUNC(($F228*$G228),2)</f>
        <v>24.59</v>
      </c>
      <c r="I228" s="262"/>
      <c r="J228" s="262"/>
      <c r="K228" s="262"/>
      <c r="L228" s="262"/>
      <c r="M228" s="262"/>
      <c r="N228" s="262"/>
      <c r="O228" s="262"/>
      <c r="P228" s="262"/>
      <c r="Q228" s="262"/>
      <c r="R228" s="262"/>
      <c r="S228" s="262"/>
      <c r="T228" s="262"/>
      <c r="U228" s="262"/>
      <c r="V228" s="262"/>
      <c r="W228" s="262"/>
      <c r="X228" s="262"/>
      <c r="Y228" s="262"/>
      <c r="Z228" s="262"/>
      <c r="AA228" s="262"/>
      <c r="AB228" s="262"/>
    </row>
    <row r="229" spans="1:31" ht="12.75">
      <c r="A229" s="309"/>
      <c r="B229" s="303"/>
      <c r="C229" s="303"/>
      <c r="D229" s="310"/>
      <c r="E229" s="303"/>
      <c r="F229" s="306"/>
      <c r="G229" s="307"/>
      <c r="H229" s="308"/>
      <c r="I229" s="262"/>
      <c r="J229" s="262"/>
      <c r="K229" s="262"/>
      <c r="L229" s="262"/>
      <c r="M229" s="262"/>
      <c r="N229" s="262"/>
      <c r="O229" s="262"/>
      <c r="P229" s="262"/>
      <c r="Q229" s="262"/>
      <c r="R229" s="262"/>
      <c r="S229" s="262"/>
      <c r="T229" s="262"/>
      <c r="U229" s="262"/>
      <c r="V229" s="262"/>
      <c r="W229" s="262"/>
      <c r="X229" s="262"/>
      <c r="Y229" s="262"/>
      <c r="Z229" s="262"/>
      <c r="AA229" s="262"/>
      <c r="AB229" s="262"/>
    </row>
    <row r="230" spans="1:31" ht="25.5">
      <c r="A230" s="271" t="s">
        <v>14471</v>
      </c>
      <c r="B230" s="272" t="s">
        <v>14472</v>
      </c>
      <c r="C230" s="273" t="s">
        <v>14560</v>
      </c>
      <c r="D230" s="274" t="s">
        <v>14561</v>
      </c>
      <c r="E230" s="272" t="s">
        <v>2559</v>
      </c>
      <c r="F230" s="272"/>
      <c r="G230" s="272"/>
      <c r="H230" s="275">
        <f>SUM(H232:H233)</f>
        <v>54.05</v>
      </c>
      <c r="I230" s="276">
        <f>COUNTIF($C$8:$C230,C:C)</f>
        <v>1</v>
      </c>
      <c r="J230" s="262"/>
      <c r="K230" s="262"/>
      <c r="L230" s="262"/>
      <c r="M230" s="262"/>
      <c r="N230" s="262"/>
      <c r="O230" s="262"/>
      <c r="P230" s="262"/>
      <c r="Q230" s="262"/>
      <c r="R230" s="262"/>
      <c r="S230" s="262"/>
      <c r="T230" s="262"/>
      <c r="U230" s="262"/>
      <c r="V230" s="262"/>
      <c r="W230" s="262"/>
      <c r="X230" s="262"/>
      <c r="Y230" s="262"/>
      <c r="Z230" s="262"/>
      <c r="AA230" s="262"/>
      <c r="AB230" s="262"/>
    </row>
    <row r="231" spans="1:31" ht="12.75">
      <c r="A231" s="277" t="s">
        <v>14475</v>
      </c>
      <c r="B231" s="352" t="s">
        <v>14562</v>
      </c>
      <c r="C231" s="331" t="s">
        <v>14563</v>
      </c>
      <c r="D231" s="353" t="s">
        <v>14485</v>
      </c>
      <c r="E231" s="354"/>
      <c r="F231" s="355"/>
      <c r="G231" s="356"/>
      <c r="H231" s="357"/>
      <c r="I231" s="262"/>
      <c r="J231" s="262"/>
      <c r="K231" s="262"/>
      <c r="L231" s="262"/>
      <c r="M231" s="262"/>
      <c r="N231" s="262"/>
      <c r="O231" s="262"/>
      <c r="P231" s="262"/>
      <c r="Q231" s="262"/>
      <c r="R231" s="262"/>
      <c r="S231" s="262"/>
      <c r="T231" s="262"/>
      <c r="U231" s="262"/>
      <c r="V231" s="262"/>
      <c r="W231" s="262"/>
      <c r="X231" s="262"/>
      <c r="Y231" s="262"/>
      <c r="Z231" s="262"/>
      <c r="AA231" s="262"/>
      <c r="AB231" s="262"/>
    </row>
    <row r="232" spans="1:31" ht="25.5">
      <c r="A232" s="285" t="s">
        <v>14478</v>
      </c>
      <c r="B232" s="286" t="s">
        <v>14476</v>
      </c>
      <c r="C232" s="287">
        <v>97064</v>
      </c>
      <c r="D232" s="288" t="str">
        <f>IFERROR(VLOOKUP($C232,'24.08_ND'!$A:$D,2,0),)</f>
        <v>MONTAGEM E DESMONTAGEM DE ANDAIME TUBULAR TIPO "TORRE" (EXCLUSIVE ANDAIME E LIMPEZA). AF_03/2024</v>
      </c>
      <c r="E232" s="289" t="str">
        <f>IFERROR(VLOOKUP($C232,'24.08_ND'!$A:$D,3,0),)</f>
        <v>M</v>
      </c>
      <c r="F232" s="290">
        <v>1</v>
      </c>
      <c r="G232" s="291">
        <f>IFERROR(VLOOKUP($C232,'24.08_ND'!$A:$D,4,0),)</f>
        <v>21.26</v>
      </c>
      <c r="H232" s="292">
        <f>TRUNC(($F232*$G232),2)</f>
        <v>21.26</v>
      </c>
      <c r="I232" s="262"/>
      <c r="J232" s="262"/>
      <c r="K232" s="262"/>
      <c r="L232" s="262"/>
      <c r="M232" s="262"/>
      <c r="N232" s="262"/>
      <c r="O232" s="262"/>
      <c r="P232" s="262"/>
      <c r="Q232" s="262"/>
      <c r="R232" s="262"/>
      <c r="S232" s="262"/>
      <c r="T232" s="262"/>
      <c r="U232" s="262"/>
      <c r="V232" s="262"/>
      <c r="W232" s="262"/>
      <c r="X232" s="262"/>
      <c r="Y232" s="262"/>
      <c r="Z232" s="262"/>
      <c r="AA232" s="262"/>
      <c r="AB232" s="262"/>
      <c r="AD232" s="1791" t="e">
        <f>VLOOKUP(C232,'Medição '!$B$16:$F$1833,6,0)</f>
        <v>#N/A</v>
      </c>
      <c r="AE232" s="1791"/>
    </row>
    <row r="233" spans="1:31" ht="51">
      <c r="A233" s="293" t="s">
        <v>14479</v>
      </c>
      <c r="B233" s="294" t="s">
        <v>14476</v>
      </c>
      <c r="C233" s="295">
        <v>10527</v>
      </c>
      <c r="D233" s="296" t="str">
        <f>IFERROR(VLOOKUP($C233,'24.08_ND'!$A:$D,2,0),)</f>
        <v>LOCACAO DE ANDAIME METALICO TUBULAR DE ENCAIXE, TIPO DE TORRE, CADA PAINEL COM LARGURA DE 1 ATE 1,5 M E ALTURA DE *1,00* M, INCLUINDO DIAGONAL, BARRAS DE LIGACAO, SAPATAS OU RODIZIOS E DEMAIS ITENS NECESSARIOS A MONTAGEM (NAO INCLUI INSTALACAO)</v>
      </c>
      <c r="E233" s="297" t="str">
        <f>IFERROR(VLOOKUP($C233,'24.08_ND'!$A:$D,3,0),)</f>
        <v>MXMES</v>
      </c>
      <c r="F233" s="298">
        <v>1</v>
      </c>
      <c r="G233" s="299">
        <f>IFERROR(VLOOKUP($C233,'24.08_ND'!$A:$D,4,0),)</f>
        <v>32.79</v>
      </c>
      <c r="H233" s="300">
        <f>TRUNC(($F233*$G233),2)</f>
        <v>32.79</v>
      </c>
      <c r="I233" s="262"/>
      <c r="J233" s="262"/>
      <c r="K233" s="262"/>
      <c r="L233" s="262"/>
      <c r="M233" s="262"/>
      <c r="N233" s="262"/>
      <c r="O233" s="262"/>
      <c r="P233" s="262"/>
      <c r="Q233" s="262"/>
      <c r="R233" s="262"/>
      <c r="S233" s="262"/>
      <c r="T233" s="262"/>
      <c r="U233" s="262"/>
      <c r="V233" s="262"/>
      <c r="W233" s="262"/>
      <c r="X233" s="262"/>
      <c r="Y233" s="262"/>
      <c r="Z233" s="262"/>
      <c r="AA233" s="262"/>
      <c r="AB233" s="262"/>
    </row>
    <row r="234" spans="1:31" ht="12.75">
      <c r="A234" s="309"/>
      <c r="B234" s="303"/>
      <c r="C234" s="303"/>
      <c r="D234" s="310"/>
      <c r="E234" s="303"/>
      <c r="F234" s="306"/>
      <c r="G234" s="307"/>
      <c r="H234" s="308"/>
      <c r="I234" s="262"/>
      <c r="J234" s="262"/>
      <c r="K234" s="262"/>
      <c r="L234" s="262"/>
      <c r="M234" s="262"/>
      <c r="N234" s="262"/>
      <c r="O234" s="262"/>
      <c r="P234" s="262"/>
      <c r="Q234" s="262"/>
      <c r="R234" s="262"/>
      <c r="S234" s="262"/>
      <c r="T234" s="262"/>
      <c r="U234" s="262"/>
      <c r="V234" s="262"/>
      <c r="W234" s="262"/>
      <c r="X234" s="262"/>
      <c r="Y234" s="262"/>
      <c r="Z234" s="262"/>
      <c r="AA234" s="262"/>
      <c r="AB234" s="262"/>
    </row>
    <row r="235" spans="1:31" ht="38.25">
      <c r="A235" s="358" t="s">
        <v>14471</v>
      </c>
      <c r="B235" s="359" t="s">
        <v>14472</v>
      </c>
      <c r="C235" s="360" t="s">
        <v>14564</v>
      </c>
      <c r="D235" s="361" t="s">
        <v>14565</v>
      </c>
      <c r="E235" s="359" t="s">
        <v>2559</v>
      </c>
      <c r="F235" s="362"/>
      <c r="G235" s="362"/>
      <c r="H235" s="363">
        <f>SUM(H237:H241)</f>
        <v>23907.549999999996</v>
      </c>
      <c r="I235" s="276">
        <f>COUNTIF($C$8:$C235,C:C)</f>
        <v>1</v>
      </c>
      <c r="J235" s="262"/>
      <c r="K235" s="262"/>
      <c r="L235" s="262"/>
      <c r="M235" s="262"/>
      <c r="N235" s="262"/>
      <c r="O235" s="262"/>
      <c r="P235" s="262"/>
      <c r="Q235" s="262"/>
      <c r="R235" s="262"/>
      <c r="S235" s="262"/>
      <c r="T235" s="262"/>
      <c r="U235" s="262"/>
      <c r="V235" s="262"/>
      <c r="W235" s="262"/>
      <c r="X235" s="262"/>
      <c r="Y235" s="262"/>
      <c r="Z235" s="262"/>
      <c r="AA235" s="262"/>
      <c r="AB235" s="262"/>
    </row>
    <row r="236" spans="1:31" ht="12.75">
      <c r="A236" s="364" t="s">
        <v>14475</v>
      </c>
      <c r="B236" s="365" t="s">
        <v>14522</v>
      </c>
      <c r="C236" s="366" t="s">
        <v>14566</v>
      </c>
      <c r="D236" s="367" t="s">
        <v>14567</v>
      </c>
      <c r="E236" s="368"/>
      <c r="F236" s="369"/>
      <c r="G236" s="370"/>
      <c r="H236" s="371"/>
      <c r="I236" s="262"/>
      <c r="J236" s="262"/>
      <c r="K236" s="262"/>
      <c r="L236" s="262"/>
      <c r="M236" s="262"/>
      <c r="N236" s="262"/>
      <c r="O236" s="262"/>
      <c r="P236" s="262"/>
      <c r="Q236" s="262"/>
      <c r="R236" s="262"/>
      <c r="S236" s="262"/>
      <c r="T236" s="262"/>
      <c r="U236" s="262"/>
      <c r="V236" s="262"/>
      <c r="W236" s="262"/>
      <c r="X236" s="262"/>
      <c r="Y236" s="262"/>
      <c r="Z236" s="262"/>
      <c r="AA236" s="262"/>
      <c r="AB236" s="262"/>
    </row>
    <row r="237" spans="1:31" ht="25.5">
      <c r="A237" s="372" t="s">
        <v>14478</v>
      </c>
      <c r="B237" s="373" t="s">
        <v>14476</v>
      </c>
      <c r="C237" s="374">
        <v>101380</v>
      </c>
      <c r="D237" s="288" t="str">
        <f>IFERROR(VLOOKUP($C237,'24.08_ND'!$A:$D,2,0),)</f>
        <v>AJUDANTE ESPECIALIZADO COM ENCARGOS COMPLEMENTARES</v>
      </c>
      <c r="E237" s="289" t="str">
        <f>IFERROR(VLOOKUP($C237,'24.08_ND'!$A:$D,3,0),)</f>
        <v>MES</v>
      </c>
      <c r="F237" s="375">
        <v>1</v>
      </c>
      <c r="G237" s="291">
        <f>IFERROR(VLOOKUP($C237,'24.08_ND'!$A:$D,4,0),)</f>
        <v>3452.54</v>
      </c>
      <c r="H237" s="292">
        <f>TRUNC(($F237*$G237),2)</f>
        <v>3452.54</v>
      </c>
      <c r="I237" s="262"/>
      <c r="J237" s="262"/>
      <c r="K237" s="262"/>
      <c r="L237" s="262"/>
      <c r="M237" s="262"/>
      <c r="N237" s="262"/>
      <c r="O237" s="262"/>
      <c r="P237" s="262"/>
      <c r="Q237" s="262"/>
      <c r="R237" s="262"/>
      <c r="S237" s="262"/>
      <c r="T237" s="262"/>
      <c r="U237" s="262"/>
      <c r="V237" s="262"/>
      <c r="W237" s="262"/>
      <c r="X237" s="262"/>
      <c r="Y237" s="262"/>
      <c r="Z237" s="262"/>
      <c r="AA237" s="262"/>
      <c r="AB237" s="262"/>
      <c r="AD237" s="1791" t="e">
        <f>VLOOKUP(C237,'Medição '!$B$16:$F$1833,6,0)</f>
        <v>#N/A</v>
      </c>
      <c r="AE237" s="1791"/>
    </row>
    <row r="238" spans="1:31" ht="12.75">
      <c r="A238" s="376" t="s">
        <v>14479</v>
      </c>
      <c r="B238" s="312" t="str">
        <f>VLOOKUP($C238,'• CIs EXT'!$A:$E,2,0)</f>
        <v>CAERN</v>
      </c>
      <c r="C238" s="377" t="s">
        <v>14486</v>
      </c>
      <c r="D238" s="378" t="str">
        <f>VLOOKUP($C238,'• CIs EXT'!$A:$E,3,0)</f>
        <v>BALIZADOR MÓVEL CONFORME NTC-108</v>
      </c>
      <c r="E238" s="379" t="str">
        <f>VLOOKUP($C238,'• CIs EXT'!$A:$E,4,0)</f>
        <v>UN</v>
      </c>
      <c r="F238" s="380">
        <v>2</v>
      </c>
      <c r="G238" s="379">
        <f>VLOOKUP($C238,'• CIs EXT'!$A:$E,5,0)</f>
        <v>138.77000000000001</v>
      </c>
      <c r="H238" s="381">
        <f>TRUNC(($F238*$G238),2)</f>
        <v>277.54000000000002</v>
      </c>
      <c r="I238" s="262"/>
      <c r="J238" s="262"/>
      <c r="K238" s="262"/>
      <c r="L238" s="262"/>
      <c r="M238" s="262"/>
      <c r="N238" s="262"/>
      <c r="O238" s="262"/>
      <c r="P238" s="262"/>
      <c r="Q238" s="262"/>
      <c r="R238" s="262"/>
      <c r="S238" s="262"/>
      <c r="T238" s="262"/>
      <c r="U238" s="262"/>
      <c r="V238" s="262"/>
      <c r="W238" s="262"/>
      <c r="X238" s="262"/>
      <c r="Y238" s="262"/>
      <c r="Z238" s="262"/>
      <c r="AA238" s="262"/>
      <c r="AB238" s="262"/>
    </row>
    <row r="239" spans="1:31" ht="38.25">
      <c r="A239" s="376" t="s">
        <v>14479</v>
      </c>
      <c r="B239" s="312" t="str">
        <f>VLOOKUP($C239,'• CIs EXT'!$A:$E,2,0)</f>
        <v>CPOS/CDHU</v>
      </c>
      <c r="C239" s="377" t="s">
        <v>14568</v>
      </c>
      <c r="D239" s="378" t="str">
        <f>VLOOKUP($C239,'• CIs EXT'!$A:$E,3,0)</f>
        <v>PLATAFORMA ARTICULADA À DIESEL, AUTOPROPELIDA, COM ALTURA APROXIMADA DE 20M E CAPACIDADE PARA 227KG, REF. 600 AJ DA JLG, Z60/34 RT DA GENIE OU EQUIVALENTE</v>
      </c>
      <c r="E239" s="379" t="str">
        <f>VLOOKUP($C239,'• CIs EXT'!$A:$E,4,0)</f>
        <v>UNXMES</v>
      </c>
      <c r="F239" s="380">
        <v>1</v>
      </c>
      <c r="G239" s="379">
        <f>VLOOKUP($C239,'• CIs EXT'!$A:$E,5,0)</f>
        <v>19975.259999999998</v>
      </c>
      <c r="H239" s="381">
        <f>TRUNC(($F239*$G239),2)</f>
        <v>19975.259999999998</v>
      </c>
      <c r="I239" s="262"/>
      <c r="J239" s="262"/>
      <c r="K239" s="262"/>
      <c r="L239" s="262"/>
      <c r="M239" s="262"/>
      <c r="N239" s="262"/>
      <c r="O239" s="262"/>
      <c r="P239" s="262"/>
      <c r="Q239" s="262"/>
      <c r="R239" s="262"/>
      <c r="S239" s="262"/>
      <c r="T239" s="262"/>
      <c r="U239" s="262"/>
      <c r="V239" s="262"/>
      <c r="W239" s="262"/>
      <c r="X239" s="262"/>
      <c r="Y239" s="262"/>
      <c r="Z239" s="262"/>
      <c r="AA239" s="262"/>
      <c r="AB239" s="262"/>
    </row>
    <row r="240" spans="1:31" ht="12.75">
      <c r="A240" s="382" t="s">
        <v>14479</v>
      </c>
      <c r="B240" s="383" t="s">
        <v>14476</v>
      </c>
      <c r="C240" s="384">
        <v>34723</v>
      </c>
      <c r="D240" s="296" t="str">
        <f>IFERROR(VLOOKUP($C240,'24.08_ND'!$A:$D,2,0),)</f>
        <v>PLACA DE SINALIZACAO EM CHAPA DE ACO NUM 16 COM PINTURA REFLETIVA</v>
      </c>
      <c r="E240" s="297" t="str">
        <f>IFERROR(VLOOKUP($C240,'24.08_ND'!$A:$D,3,0),)</f>
        <v>M2</v>
      </c>
      <c r="F240" s="385">
        <f>2*(0.3*0.4)</f>
        <v>0.24</v>
      </c>
      <c r="G240" s="299">
        <f>IFERROR(VLOOKUP($C240,'24.08_ND'!$A:$D,4,0),)</f>
        <v>841.76</v>
      </c>
      <c r="H240" s="300">
        <f>TRUNC(($F240*$G240),2)</f>
        <v>202.02</v>
      </c>
      <c r="I240" s="262"/>
      <c r="J240" s="262"/>
      <c r="K240" s="262"/>
      <c r="L240" s="262"/>
      <c r="M240" s="262"/>
      <c r="N240" s="262"/>
      <c r="O240" s="262"/>
      <c r="P240" s="262"/>
      <c r="Q240" s="262"/>
      <c r="R240" s="262"/>
      <c r="S240" s="262"/>
      <c r="T240" s="262"/>
      <c r="U240" s="262"/>
      <c r="V240" s="262"/>
      <c r="W240" s="262"/>
      <c r="X240" s="262"/>
      <c r="Y240" s="262"/>
      <c r="Z240" s="262"/>
      <c r="AA240" s="262"/>
      <c r="AB240" s="262"/>
    </row>
    <row r="241" spans="1:31" ht="25.5">
      <c r="A241" s="382" t="s">
        <v>14479</v>
      </c>
      <c r="B241" s="383" t="s">
        <v>14476</v>
      </c>
      <c r="C241" s="384">
        <v>37524</v>
      </c>
      <c r="D241" s="296" t="str">
        <f>IFERROR(VLOOKUP($C241,'24.08_ND'!$A:$D,2,0),)</f>
        <v>TELA PLASTICA LARANJA, TIPO TAPUME PARA SINALIZACAO, MALHA RETANGULAR, ROLO 1.20 X 50 M (L X C)</v>
      </c>
      <c r="E241" s="297" t="str">
        <f>IFERROR(VLOOKUP($C241,'24.08_ND'!$A:$D,3,0),)</f>
        <v>M</v>
      </c>
      <c r="F241" s="385">
        <f>4/50</f>
        <v>0.08</v>
      </c>
      <c r="G241" s="299">
        <f>IFERROR(VLOOKUP($C241,'24.08_ND'!$A:$D,4,0),)</f>
        <v>2.4500000000000002</v>
      </c>
      <c r="H241" s="300">
        <f>TRUNC(($F241*$G241),2)</f>
        <v>0.19</v>
      </c>
      <c r="I241" s="262"/>
      <c r="J241" s="262"/>
      <c r="K241" s="262"/>
      <c r="L241" s="262"/>
      <c r="M241" s="262"/>
      <c r="N241" s="262"/>
      <c r="O241" s="262"/>
      <c r="P241" s="262"/>
      <c r="Q241" s="262"/>
      <c r="R241" s="262"/>
      <c r="S241" s="262"/>
      <c r="T241" s="262"/>
      <c r="U241" s="262"/>
      <c r="V241" s="262"/>
      <c r="W241" s="262"/>
      <c r="X241" s="262"/>
      <c r="Y241" s="262"/>
      <c r="Z241" s="262"/>
      <c r="AA241" s="262"/>
      <c r="AB241" s="262"/>
    </row>
    <row r="242" spans="1:31" ht="12.75">
      <c r="A242" s="309"/>
      <c r="B242" s="303"/>
      <c r="C242" s="303"/>
      <c r="D242" s="310"/>
      <c r="E242" s="303"/>
      <c r="F242" s="306"/>
      <c r="G242" s="307"/>
      <c r="H242" s="308"/>
      <c r="I242" s="262"/>
      <c r="J242" s="262"/>
      <c r="K242" s="262"/>
      <c r="L242" s="262"/>
      <c r="M242" s="262"/>
      <c r="N242" s="262"/>
      <c r="O242" s="262"/>
      <c r="P242" s="262"/>
      <c r="Q242" s="262"/>
      <c r="R242" s="262"/>
      <c r="S242" s="262"/>
      <c r="T242" s="262"/>
      <c r="U242" s="262"/>
      <c r="V242" s="262"/>
      <c r="W242" s="262"/>
      <c r="X242" s="262"/>
      <c r="Y242" s="262"/>
      <c r="Z242" s="262"/>
      <c r="AA242" s="262"/>
      <c r="AB242" s="262"/>
    </row>
    <row r="243" spans="1:31" ht="25.5">
      <c r="A243" s="271" t="s">
        <v>14471</v>
      </c>
      <c r="B243" s="272" t="s">
        <v>14472</v>
      </c>
      <c r="C243" s="273" t="s">
        <v>14569</v>
      </c>
      <c r="D243" s="274" t="s">
        <v>14570</v>
      </c>
      <c r="E243" s="272" t="s">
        <v>154</v>
      </c>
      <c r="F243" s="272"/>
      <c r="G243" s="272"/>
      <c r="H243" s="275">
        <f>SUM(H245:H246)</f>
        <v>25.22</v>
      </c>
      <c r="I243" s="276">
        <f>COUNTIF($C$8:$C243,C:C)</f>
        <v>1</v>
      </c>
      <c r="J243" s="262"/>
      <c r="K243" s="262"/>
      <c r="L243" s="262"/>
      <c r="M243" s="262"/>
      <c r="N243" s="262"/>
      <c r="O243" s="262"/>
      <c r="P243" s="262"/>
      <c r="Q243" s="262"/>
      <c r="R243" s="262"/>
      <c r="S243" s="262"/>
      <c r="T243" s="262"/>
      <c r="U243" s="262"/>
      <c r="V243" s="262"/>
      <c r="W243" s="262"/>
      <c r="X243" s="262"/>
      <c r="Y243" s="262"/>
      <c r="Z243" s="262"/>
      <c r="AA243" s="262"/>
      <c r="AB243" s="262"/>
    </row>
    <row r="244" spans="1:31" ht="12.75">
      <c r="A244" s="277" t="s">
        <v>14475</v>
      </c>
      <c r="B244" s="278" t="s">
        <v>14540</v>
      </c>
      <c r="C244" s="279" t="s">
        <v>14556</v>
      </c>
      <c r="D244" s="332">
        <v>45292</v>
      </c>
      <c r="E244" s="354"/>
      <c r="F244" s="355"/>
      <c r="G244" s="356"/>
      <c r="H244" s="357"/>
      <c r="I244" s="262"/>
      <c r="J244" s="262"/>
      <c r="K244" s="262"/>
      <c r="L244" s="262"/>
      <c r="M244" s="262"/>
      <c r="N244" s="262"/>
      <c r="O244" s="262"/>
      <c r="P244" s="262"/>
      <c r="Q244" s="262"/>
      <c r="R244" s="262"/>
      <c r="S244" s="262"/>
      <c r="T244" s="262"/>
      <c r="U244" s="262"/>
      <c r="V244" s="262"/>
      <c r="W244" s="262"/>
      <c r="X244" s="262"/>
      <c r="Y244" s="262"/>
      <c r="Z244" s="262"/>
      <c r="AA244" s="262"/>
      <c r="AB244" s="262"/>
    </row>
    <row r="245" spans="1:31" ht="25.5">
      <c r="A245" s="372" t="s">
        <v>14478</v>
      </c>
      <c r="B245" s="373" t="s">
        <v>14476</v>
      </c>
      <c r="C245" s="374">
        <v>93415</v>
      </c>
      <c r="D245" s="288" t="str">
        <f>IFERROR(VLOOKUP($C245,'24.08_ND'!$A:$D,2,0),)</f>
        <v>GERADOR PORTÁTIL MONOFÁSICO, POTÊNCIA 5500 VA, MOTOR A GASOLINA, POTÊNCIA DO MOTOR 13 CV - CHP DIURNO. AF_03/2016</v>
      </c>
      <c r="E245" s="289" t="str">
        <f>IFERROR(VLOOKUP($C245,'24.08_ND'!$A:$D,3,0),)</f>
        <v>CHP</v>
      </c>
      <c r="F245" s="375">
        <v>1</v>
      </c>
      <c r="G245" s="291">
        <f>IFERROR(VLOOKUP($C245,'24.08_ND'!$A:$D,4,0),)</f>
        <v>14.3</v>
      </c>
      <c r="H245" s="292">
        <f>TRUNC(($F245*$G245),2)</f>
        <v>14.3</v>
      </c>
      <c r="I245" s="262"/>
      <c r="J245" s="262"/>
      <c r="K245" s="262"/>
      <c r="L245" s="262"/>
      <c r="M245" s="262"/>
      <c r="N245" s="262"/>
      <c r="O245" s="262"/>
      <c r="P245" s="262"/>
      <c r="Q245" s="262"/>
      <c r="R245" s="262"/>
      <c r="S245" s="262"/>
      <c r="T245" s="262"/>
      <c r="U245" s="262"/>
      <c r="V245" s="262"/>
      <c r="W245" s="262"/>
      <c r="X245" s="262"/>
      <c r="Y245" s="262"/>
      <c r="Z245" s="262"/>
      <c r="AA245" s="262"/>
      <c r="AB245" s="262"/>
      <c r="AD245" s="1791" t="e">
        <f>VLOOKUP(C245,'Medição '!$B$16:$F$1833,6,0)</f>
        <v>#N/A</v>
      </c>
      <c r="AE245" s="1791"/>
    </row>
    <row r="246" spans="1:31" ht="12.75">
      <c r="A246" s="293" t="s">
        <v>14479</v>
      </c>
      <c r="B246" s="294" t="s">
        <v>14476</v>
      </c>
      <c r="C246" s="295">
        <v>4222</v>
      </c>
      <c r="D246" s="296" t="str">
        <f>IFERROR(VLOOKUP($C246,'24.08_ND'!$A:$D,2,0),)</f>
        <v>GASOLINA COMUM</v>
      </c>
      <c r="E246" s="297" t="str">
        <f>IFERROR(VLOOKUP($C246,'24.08_ND'!$A:$D,3,0),)</f>
        <v>L</v>
      </c>
      <c r="F246" s="298">
        <v>2</v>
      </c>
      <c r="G246" s="299">
        <f>IFERROR(VLOOKUP($C246,'24.08_ND'!$A:$D,4,0),)</f>
        <v>5.46</v>
      </c>
      <c r="H246" s="300">
        <f>TRUNC(($F246*$G246),2)</f>
        <v>10.92</v>
      </c>
      <c r="I246" s="262"/>
      <c r="J246" s="262"/>
      <c r="K246" s="262"/>
      <c r="L246" s="262"/>
      <c r="M246" s="262"/>
      <c r="N246" s="262"/>
      <c r="O246" s="262"/>
      <c r="P246" s="262"/>
      <c r="Q246" s="262"/>
      <c r="R246" s="262"/>
      <c r="S246" s="262"/>
      <c r="T246" s="262"/>
      <c r="U246" s="262"/>
      <c r="V246" s="262"/>
      <c r="W246" s="262"/>
      <c r="X246" s="262"/>
      <c r="Y246" s="262"/>
      <c r="Z246" s="262"/>
      <c r="AA246" s="262"/>
      <c r="AB246" s="262"/>
    </row>
    <row r="247" spans="1:31" ht="12.75">
      <c r="A247" s="309"/>
      <c r="B247" s="303"/>
      <c r="C247" s="303"/>
      <c r="D247" s="310"/>
      <c r="E247" s="303"/>
      <c r="F247" s="306"/>
      <c r="G247" s="307"/>
      <c r="H247" s="308"/>
      <c r="I247" s="262"/>
      <c r="J247" s="262"/>
      <c r="K247" s="262"/>
      <c r="L247" s="262"/>
      <c r="M247" s="262"/>
      <c r="N247" s="262"/>
      <c r="O247" s="262"/>
      <c r="P247" s="262"/>
      <c r="Q247" s="262"/>
      <c r="R247" s="262"/>
      <c r="S247" s="262"/>
      <c r="T247" s="262"/>
      <c r="U247" s="262"/>
      <c r="V247" s="262"/>
      <c r="W247" s="262"/>
      <c r="X247" s="262"/>
      <c r="Y247" s="262"/>
      <c r="Z247" s="262"/>
      <c r="AA247" s="262"/>
      <c r="AB247" s="262"/>
    </row>
    <row r="248" spans="1:31" ht="12.75">
      <c r="A248" s="271" t="s">
        <v>14471</v>
      </c>
      <c r="B248" s="272" t="s">
        <v>14472</v>
      </c>
      <c r="C248" s="273" t="s">
        <v>14571</v>
      </c>
      <c r="D248" s="274" t="s">
        <v>14572</v>
      </c>
      <c r="E248" s="272" t="s">
        <v>156</v>
      </c>
      <c r="F248" s="272"/>
      <c r="G248" s="272"/>
      <c r="H248" s="275">
        <f>TRUNC(SUM(H250:H255),2)</f>
        <v>18943.59</v>
      </c>
      <c r="I248" s="276">
        <f>COUNTIF($C$8:$C248,C:C)</f>
        <v>1</v>
      </c>
      <c r="J248" s="262"/>
      <c r="K248" s="262"/>
      <c r="L248" s="262"/>
      <c r="M248" s="262"/>
      <c r="N248" s="262"/>
      <c r="O248" s="262"/>
      <c r="P248" s="262"/>
      <c r="Q248" s="262"/>
      <c r="R248" s="262"/>
      <c r="S248" s="262"/>
      <c r="T248" s="262"/>
      <c r="U248" s="262"/>
      <c r="V248" s="262"/>
      <c r="W248" s="262"/>
      <c r="X248" s="262"/>
      <c r="Y248" s="262"/>
      <c r="Z248" s="262"/>
      <c r="AA248" s="262"/>
      <c r="AB248" s="262"/>
    </row>
    <row r="249" spans="1:31" ht="12.75">
      <c r="A249" s="277" t="s">
        <v>14475</v>
      </c>
      <c r="B249" s="278" t="s">
        <v>14562</v>
      </c>
      <c r="C249" s="279" t="s">
        <v>14573</v>
      </c>
      <c r="D249" s="280" t="s">
        <v>14485</v>
      </c>
      <c r="E249" s="354"/>
      <c r="F249" s="355"/>
      <c r="G249" s="356"/>
      <c r="H249" s="357"/>
      <c r="I249" s="262"/>
      <c r="J249" s="262"/>
      <c r="K249" s="262"/>
      <c r="L249" s="262"/>
      <c r="M249" s="262"/>
      <c r="N249" s="262"/>
      <c r="O249" s="262"/>
      <c r="P249" s="262"/>
      <c r="Q249" s="262"/>
      <c r="R249" s="262"/>
      <c r="S249" s="262"/>
      <c r="T249" s="262"/>
      <c r="U249" s="262"/>
      <c r="V249" s="262"/>
      <c r="W249" s="262"/>
      <c r="X249" s="262"/>
      <c r="Y249" s="262"/>
      <c r="Z249" s="262"/>
      <c r="AA249" s="262"/>
      <c r="AB249" s="262"/>
    </row>
    <row r="250" spans="1:31" ht="12.75">
      <c r="A250" s="293" t="s">
        <v>14479</v>
      </c>
      <c r="B250" s="294" t="s">
        <v>14476</v>
      </c>
      <c r="C250" s="295">
        <v>40863</v>
      </c>
      <c r="D250" s="296" t="str">
        <f>IFERROR(VLOOKUP($C250,'24.08_ND'!$A:$D,2,0),)</f>
        <v>EXAMES - MENSALISTA (COLETADO CAIXA - ENCARGOS COMPLEMENTARES)</v>
      </c>
      <c r="E250" s="297" t="str">
        <f>IFERROR(VLOOKUP($C250,'24.08_ND'!$A:$D,3,0),)</f>
        <v>MES</v>
      </c>
      <c r="F250" s="298">
        <v>1</v>
      </c>
      <c r="G250" s="299">
        <f>IFERROR(VLOOKUP($C250,'24.08_ND'!$A:$D,4,0),)</f>
        <v>229.64</v>
      </c>
      <c r="H250" s="300">
        <f t="shared" ref="H250:H255" si="10">TRUNC(($F250*$G250),2)</f>
        <v>229.64</v>
      </c>
      <c r="I250" s="262"/>
      <c r="J250" s="262"/>
      <c r="K250" s="262"/>
      <c r="L250" s="262"/>
      <c r="M250" s="262"/>
      <c r="N250" s="262"/>
      <c r="O250" s="262"/>
      <c r="P250" s="262"/>
      <c r="Q250" s="262"/>
      <c r="R250" s="262"/>
      <c r="S250" s="262"/>
      <c r="T250" s="262"/>
      <c r="U250" s="262"/>
      <c r="V250" s="262"/>
      <c r="W250" s="262"/>
      <c r="X250" s="262"/>
      <c r="Y250" s="262"/>
      <c r="Z250" s="262"/>
      <c r="AA250" s="262"/>
      <c r="AB250" s="262"/>
    </row>
    <row r="251" spans="1:31" ht="12.75">
      <c r="A251" s="293" t="s">
        <v>14479</v>
      </c>
      <c r="B251" s="294" t="s">
        <v>14476</v>
      </c>
      <c r="C251" s="295">
        <v>40864</v>
      </c>
      <c r="D251" s="296" t="str">
        <f>IFERROR(VLOOKUP($C251,'24.08_ND'!$A:$D,2,0),)</f>
        <v>SEGURO - MENSALISTA (COLETADO CAIXA - ENCARGOS COMPLEMENTARES)</v>
      </c>
      <c r="E251" s="297" t="str">
        <f>IFERROR(VLOOKUP($C251,'24.08_ND'!$A:$D,3,0),)</f>
        <v>MES</v>
      </c>
      <c r="F251" s="298">
        <v>1</v>
      </c>
      <c r="G251" s="299">
        <f>IFERROR(VLOOKUP($C251,'24.08_ND'!$A:$D,4,0),)</f>
        <v>6.65</v>
      </c>
      <c r="H251" s="300">
        <f t="shared" si="10"/>
        <v>6.65</v>
      </c>
      <c r="I251" s="262"/>
      <c r="J251" s="262"/>
      <c r="K251" s="262"/>
      <c r="L251" s="262"/>
      <c r="M251" s="262"/>
      <c r="N251" s="262"/>
      <c r="O251" s="262"/>
      <c r="P251" s="262"/>
      <c r="Q251" s="262"/>
      <c r="R251" s="262"/>
      <c r="S251" s="262"/>
      <c r="T251" s="262"/>
      <c r="U251" s="262"/>
      <c r="V251" s="262"/>
      <c r="W251" s="262"/>
      <c r="X251" s="262"/>
      <c r="Y251" s="262"/>
      <c r="Z251" s="262"/>
      <c r="AA251" s="262"/>
      <c r="AB251" s="262"/>
    </row>
    <row r="252" spans="1:31" ht="25.5">
      <c r="A252" s="317" t="s">
        <v>14479</v>
      </c>
      <c r="B252" s="312" t="str">
        <f>VLOOKUP($C252,'• CIs EXT'!$A:$E,2,0)</f>
        <v>SETOP</v>
      </c>
      <c r="C252" s="313" t="s">
        <v>14574</v>
      </c>
      <c r="D252" s="314" t="str">
        <f>VLOOKUP($C252,'• CIs EXT'!$A:$E,3,0)</f>
        <v>CURSO DE CAPACITAÇÃO PARA ENGENHEIRO ELETRICISTA/MECÂNICO (ENCARGOS COMPLEMENTARES) - MENSALISTA</v>
      </c>
      <c r="E252" s="312" t="str">
        <f>VLOOKUP($C252,'• CIs EXT'!$A:$E,4,0)</f>
        <v>MÊS</v>
      </c>
      <c r="F252" s="315">
        <v>1</v>
      </c>
      <c r="G252" s="312">
        <f>VLOOKUP($C252,'• CIs EXT'!$A:$E,5,0)</f>
        <v>233.15</v>
      </c>
      <c r="H252" s="316">
        <f t="shared" si="10"/>
        <v>233.15</v>
      </c>
      <c r="I252" s="262"/>
      <c r="J252" s="262"/>
      <c r="K252" s="262"/>
      <c r="L252" s="262"/>
      <c r="M252" s="262"/>
      <c r="N252" s="262"/>
      <c r="O252" s="262"/>
      <c r="P252" s="262"/>
      <c r="Q252" s="262"/>
      <c r="R252" s="262"/>
      <c r="S252" s="262"/>
      <c r="T252" s="262"/>
      <c r="U252" s="262"/>
      <c r="V252" s="262"/>
      <c r="W252" s="262"/>
      <c r="X252" s="262"/>
      <c r="Y252" s="262"/>
      <c r="Z252" s="262"/>
      <c r="AA252" s="262"/>
      <c r="AB252" s="262"/>
    </row>
    <row r="253" spans="1:31" ht="25.5">
      <c r="A253" s="293" t="s">
        <v>14479</v>
      </c>
      <c r="B253" s="294" t="s">
        <v>14476</v>
      </c>
      <c r="C253" s="295">
        <v>43498</v>
      </c>
      <c r="D253" s="296" t="str">
        <f>IFERROR(VLOOKUP($C253,'24.08_ND'!$A:$D,2,0),)</f>
        <v>EPI - FAMILIA ENGENHEIRO CIVIL - MENSALISTA (ENCARGOS COMPLEMENTARES - COLETADO CAIXA)</v>
      </c>
      <c r="E253" s="297" t="str">
        <f>IFERROR(VLOOKUP($C253,'24.08_ND'!$A:$D,3,0),)</f>
        <v>MES</v>
      </c>
      <c r="F253" s="298">
        <v>1</v>
      </c>
      <c r="G253" s="299">
        <f>IFERROR(VLOOKUP($C253,'24.08_ND'!$A:$D,4,0),)</f>
        <v>127.74</v>
      </c>
      <c r="H253" s="300">
        <f t="shared" si="10"/>
        <v>127.74</v>
      </c>
      <c r="I253" s="262"/>
      <c r="J253" s="262"/>
      <c r="K253" s="262"/>
      <c r="L253" s="262"/>
      <c r="M253" s="262"/>
      <c r="N253" s="262"/>
      <c r="O253" s="262"/>
      <c r="P253" s="262"/>
      <c r="Q253" s="262"/>
      <c r="R253" s="262"/>
      <c r="S253" s="262"/>
      <c r="T253" s="262"/>
      <c r="U253" s="262"/>
      <c r="V253" s="262"/>
      <c r="W253" s="262"/>
      <c r="X253" s="262"/>
      <c r="Y253" s="262"/>
      <c r="Z253" s="262"/>
      <c r="AA253" s="262"/>
      <c r="AB253" s="262"/>
    </row>
    <row r="254" spans="1:31" ht="25.5">
      <c r="A254" s="293" t="s">
        <v>14479</v>
      </c>
      <c r="B254" s="294" t="s">
        <v>14476</v>
      </c>
      <c r="C254" s="295">
        <v>43474</v>
      </c>
      <c r="D254" s="296" t="str">
        <f>IFERROR(VLOOKUP($C254,'24.08_ND'!$A:$D,2,0),)</f>
        <v>FERRAMENTAS - FAMILIA ENGENHEIRO CIVIL - MENSALISTA (ENCARGOS COMPLEMENTARES - COLETADO CAIXA)</v>
      </c>
      <c r="E254" s="297" t="str">
        <f>IFERROR(VLOOKUP($C254,'24.08_ND'!$A:$D,3,0),)</f>
        <v>MES</v>
      </c>
      <c r="F254" s="298">
        <v>1</v>
      </c>
      <c r="G254" s="299">
        <f>IFERROR(VLOOKUP($C254,'24.08_ND'!$A:$D,4,0),)</f>
        <v>2.08</v>
      </c>
      <c r="H254" s="300">
        <f t="shared" si="10"/>
        <v>2.08</v>
      </c>
      <c r="I254" s="262"/>
      <c r="J254" s="262"/>
      <c r="K254" s="262"/>
      <c r="L254" s="262"/>
      <c r="M254" s="262"/>
      <c r="N254" s="262"/>
      <c r="O254" s="262"/>
      <c r="P254" s="262"/>
      <c r="Q254" s="262"/>
      <c r="R254" s="262"/>
      <c r="S254" s="262"/>
      <c r="T254" s="262"/>
      <c r="U254" s="262"/>
      <c r="V254" s="262"/>
      <c r="W254" s="262"/>
      <c r="X254" s="262"/>
      <c r="Y254" s="262"/>
      <c r="Z254" s="262"/>
      <c r="AA254" s="262"/>
      <c r="AB254" s="262"/>
    </row>
    <row r="255" spans="1:31" ht="12.75">
      <c r="A255" s="317" t="s">
        <v>14479</v>
      </c>
      <c r="B255" s="312" t="str">
        <f>VLOOKUP($C255,'• CIs EXT'!$A:$E,2,0)</f>
        <v>SETOP</v>
      </c>
      <c r="C255" s="313" t="s">
        <v>14575</v>
      </c>
      <c r="D255" s="314" t="str">
        <f>VLOOKUP($C255,'• CIs EXT'!$A:$E,3,0)</f>
        <v>ENGENHEIRO ELETRICISTA/MECÂNICO (MENSALISTA)</v>
      </c>
      <c r="E255" s="312" t="str">
        <f>VLOOKUP($C255,'• CIs EXT'!$A:$E,4,0)</f>
        <v>MÊS</v>
      </c>
      <c r="F255" s="315">
        <v>1</v>
      </c>
      <c r="G255" s="312">
        <f>VLOOKUP($C255,'• CIs EXT'!$A:$E,5,0)</f>
        <v>18344.330000000002</v>
      </c>
      <c r="H255" s="316">
        <f t="shared" si="10"/>
        <v>18344.330000000002</v>
      </c>
      <c r="I255" s="262"/>
      <c r="J255" s="262"/>
      <c r="K255" s="262"/>
      <c r="L255" s="262"/>
      <c r="M255" s="262"/>
      <c r="N255" s="262"/>
      <c r="O255" s="262"/>
      <c r="P255" s="262"/>
      <c r="Q255" s="262"/>
      <c r="R255" s="262"/>
      <c r="S255" s="262"/>
      <c r="T255" s="262"/>
      <c r="U255" s="262"/>
      <c r="V255" s="262"/>
      <c r="W255" s="262"/>
      <c r="X255" s="262"/>
      <c r="Y255" s="262"/>
      <c r="Z255" s="262"/>
      <c r="AA255" s="262"/>
      <c r="AB255" s="262"/>
    </row>
    <row r="256" spans="1:31" ht="12.75">
      <c r="A256" s="235"/>
      <c r="B256" s="386"/>
      <c r="C256" s="386"/>
      <c r="D256" s="387"/>
      <c r="E256" s="388"/>
      <c r="F256" s="389"/>
      <c r="G256" s="390"/>
      <c r="H256" s="391"/>
      <c r="I256" s="262"/>
      <c r="J256" s="262"/>
      <c r="K256" s="262"/>
      <c r="L256" s="262"/>
      <c r="M256" s="262"/>
      <c r="N256" s="262"/>
      <c r="O256" s="262"/>
      <c r="P256" s="262"/>
      <c r="Q256" s="262"/>
      <c r="R256" s="262"/>
      <c r="S256" s="262"/>
      <c r="T256" s="262"/>
      <c r="U256" s="262"/>
      <c r="V256" s="262"/>
      <c r="W256" s="262"/>
      <c r="X256" s="262"/>
      <c r="Y256" s="262"/>
      <c r="Z256" s="262"/>
      <c r="AA256" s="262"/>
      <c r="AB256" s="262"/>
    </row>
    <row r="257" spans="1:31" ht="12.75">
      <c r="A257" s="271" t="s">
        <v>14471</v>
      </c>
      <c r="B257" s="272" t="s">
        <v>14472</v>
      </c>
      <c r="C257" s="273" t="s">
        <v>14576</v>
      </c>
      <c r="D257" s="274" t="s">
        <v>14577</v>
      </c>
      <c r="E257" s="272" t="s">
        <v>156</v>
      </c>
      <c r="F257" s="272"/>
      <c r="G257" s="272"/>
      <c r="H257" s="275">
        <f>TRUNC(SUM(H259:H264),2)</f>
        <v>18943.59</v>
      </c>
      <c r="I257" s="276">
        <f>COUNTIF($C$8:$C257,C:C)</f>
        <v>1</v>
      </c>
      <c r="J257" s="262"/>
      <c r="K257" s="262"/>
      <c r="L257" s="262"/>
      <c r="M257" s="262"/>
      <c r="N257" s="262"/>
      <c r="O257" s="262"/>
      <c r="P257" s="262"/>
      <c r="Q257" s="262"/>
      <c r="R257" s="262"/>
      <c r="S257" s="262"/>
      <c r="T257" s="262"/>
      <c r="U257" s="262"/>
      <c r="V257" s="262"/>
      <c r="W257" s="262"/>
      <c r="X257" s="262"/>
      <c r="Y257" s="262"/>
      <c r="Z257" s="262"/>
      <c r="AA257" s="262"/>
      <c r="AB257" s="262"/>
    </row>
    <row r="258" spans="1:31" ht="12.75">
      <c r="A258" s="277" t="s">
        <v>14475</v>
      </c>
      <c r="B258" s="278" t="s">
        <v>14562</v>
      </c>
      <c r="C258" s="279" t="s">
        <v>14578</v>
      </c>
      <c r="D258" s="280" t="s">
        <v>14485</v>
      </c>
      <c r="E258" s="354"/>
      <c r="F258" s="355"/>
      <c r="G258" s="356"/>
      <c r="H258" s="357"/>
      <c r="I258" s="262"/>
      <c r="J258" s="262"/>
      <c r="K258" s="262"/>
      <c r="L258" s="262"/>
      <c r="M258" s="262"/>
      <c r="N258" s="262"/>
      <c r="O258" s="262"/>
      <c r="P258" s="262"/>
      <c r="Q258" s="262"/>
      <c r="R258" s="262"/>
      <c r="S258" s="262"/>
      <c r="T258" s="262"/>
      <c r="U258" s="262"/>
      <c r="V258" s="262"/>
      <c r="W258" s="262"/>
      <c r="X258" s="262"/>
      <c r="Y258" s="262"/>
      <c r="Z258" s="262"/>
      <c r="AA258" s="262"/>
      <c r="AB258" s="262"/>
    </row>
    <row r="259" spans="1:31" ht="12.75">
      <c r="A259" s="293" t="s">
        <v>14479</v>
      </c>
      <c r="B259" s="294" t="s">
        <v>14476</v>
      </c>
      <c r="C259" s="295">
        <v>40863</v>
      </c>
      <c r="D259" s="296" t="str">
        <f>IFERROR(VLOOKUP($C259,'24.08_ND'!$A:$D,2,0),)</f>
        <v>EXAMES - MENSALISTA (COLETADO CAIXA - ENCARGOS COMPLEMENTARES)</v>
      </c>
      <c r="E259" s="297" t="str">
        <f>IFERROR(VLOOKUP($C259,'24.08_ND'!$A:$D,3,0),)</f>
        <v>MES</v>
      </c>
      <c r="F259" s="298">
        <v>1</v>
      </c>
      <c r="G259" s="299">
        <f>IFERROR(VLOOKUP($C259,'24.08_ND'!$A:$D,4,0),)</f>
        <v>229.64</v>
      </c>
      <c r="H259" s="300">
        <f t="shared" ref="H259:H264" si="11">TRUNC(($F259*$G259),2)</f>
        <v>229.64</v>
      </c>
      <c r="I259" s="262"/>
      <c r="J259" s="262"/>
      <c r="K259" s="262"/>
      <c r="L259" s="262"/>
      <c r="M259" s="262"/>
      <c r="N259" s="262"/>
      <c r="O259" s="262"/>
      <c r="P259" s="262"/>
      <c r="Q259" s="262"/>
      <c r="R259" s="262"/>
      <c r="S259" s="262"/>
      <c r="T259" s="262"/>
      <c r="U259" s="262"/>
      <c r="V259" s="262"/>
      <c r="W259" s="262"/>
      <c r="X259" s="262"/>
      <c r="Y259" s="262"/>
      <c r="Z259" s="262"/>
      <c r="AA259" s="262"/>
      <c r="AB259" s="262"/>
    </row>
    <row r="260" spans="1:31" ht="12.75">
      <c r="A260" s="293" t="s">
        <v>14479</v>
      </c>
      <c r="B260" s="294" t="s">
        <v>14476</v>
      </c>
      <c r="C260" s="295">
        <v>40864</v>
      </c>
      <c r="D260" s="296" t="str">
        <f>IFERROR(VLOOKUP($C260,'24.08_ND'!$A:$D,2,0),)</f>
        <v>SEGURO - MENSALISTA (COLETADO CAIXA - ENCARGOS COMPLEMENTARES)</v>
      </c>
      <c r="E260" s="297" t="str">
        <f>IFERROR(VLOOKUP($C260,'24.08_ND'!$A:$D,3,0),)</f>
        <v>MES</v>
      </c>
      <c r="F260" s="298">
        <v>1</v>
      </c>
      <c r="G260" s="299">
        <f>IFERROR(VLOOKUP($C260,'24.08_ND'!$A:$D,4,0),)</f>
        <v>6.65</v>
      </c>
      <c r="H260" s="300">
        <f t="shared" si="11"/>
        <v>6.65</v>
      </c>
      <c r="I260" s="262"/>
      <c r="J260" s="262"/>
      <c r="K260" s="262"/>
      <c r="L260" s="262"/>
      <c r="M260" s="262"/>
      <c r="N260" s="262"/>
      <c r="O260" s="262"/>
      <c r="P260" s="262"/>
      <c r="Q260" s="262"/>
      <c r="R260" s="262"/>
      <c r="S260" s="262"/>
      <c r="T260" s="262"/>
      <c r="U260" s="262"/>
      <c r="V260" s="262"/>
      <c r="W260" s="262"/>
      <c r="X260" s="262"/>
      <c r="Y260" s="262"/>
      <c r="Z260" s="262"/>
      <c r="AA260" s="262"/>
      <c r="AB260" s="262"/>
    </row>
    <row r="261" spans="1:31" ht="25.5">
      <c r="A261" s="317" t="s">
        <v>14479</v>
      </c>
      <c r="B261" s="312" t="str">
        <f>VLOOKUP($C261,'• CIs EXT'!$A:$E,2,0)</f>
        <v>SETOP</v>
      </c>
      <c r="C261" s="313" t="s">
        <v>14579</v>
      </c>
      <c r="D261" s="314" t="str">
        <f>VLOOKUP($C261,'• CIs EXT'!$A:$E,3,0)</f>
        <v>CURSO DE CAPACITAÇÃO PARA ENGENHEIRO SANITARISTA (ENCARGOS COMPLEMENTARES) - MENSALISTA</v>
      </c>
      <c r="E261" s="312" t="str">
        <f>VLOOKUP($C261,'• CIs EXT'!$A:$E,4,0)</f>
        <v>MÊS</v>
      </c>
      <c r="F261" s="315">
        <v>1</v>
      </c>
      <c r="G261" s="312">
        <f>VLOOKUP($C261,'• CIs EXT'!$A:$E,5,0)</f>
        <v>233.15</v>
      </c>
      <c r="H261" s="316">
        <f t="shared" si="11"/>
        <v>233.15</v>
      </c>
      <c r="I261" s="262"/>
      <c r="J261" s="262"/>
      <c r="K261" s="262"/>
      <c r="L261" s="262"/>
      <c r="M261" s="262"/>
      <c r="N261" s="262"/>
      <c r="O261" s="262"/>
      <c r="P261" s="262"/>
      <c r="Q261" s="262"/>
      <c r="R261" s="262"/>
      <c r="S261" s="262"/>
      <c r="T261" s="262"/>
      <c r="U261" s="262"/>
      <c r="V261" s="262"/>
      <c r="W261" s="262"/>
      <c r="X261" s="262"/>
      <c r="Y261" s="262"/>
      <c r="Z261" s="262"/>
      <c r="AA261" s="262"/>
      <c r="AB261" s="262"/>
    </row>
    <row r="262" spans="1:31" ht="25.5">
      <c r="A262" s="293" t="s">
        <v>14479</v>
      </c>
      <c r="B262" s="294" t="s">
        <v>14476</v>
      </c>
      <c r="C262" s="295">
        <v>43498</v>
      </c>
      <c r="D262" s="296" t="str">
        <f>IFERROR(VLOOKUP($C262,'24.08_ND'!$A:$D,2,0),)</f>
        <v>EPI - FAMILIA ENGENHEIRO CIVIL - MENSALISTA (ENCARGOS COMPLEMENTARES - COLETADO CAIXA)</v>
      </c>
      <c r="E262" s="297" t="str">
        <f>IFERROR(VLOOKUP($C262,'24.08_ND'!$A:$D,3,0),)</f>
        <v>MES</v>
      </c>
      <c r="F262" s="298">
        <v>1</v>
      </c>
      <c r="G262" s="299">
        <f>IFERROR(VLOOKUP($C262,'24.08_ND'!$A:$D,4,0),)</f>
        <v>127.74</v>
      </c>
      <c r="H262" s="300">
        <f t="shared" si="11"/>
        <v>127.74</v>
      </c>
      <c r="I262" s="262"/>
      <c r="J262" s="262"/>
      <c r="K262" s="262"/>
      <c r="L262" s="262"/>
      <c r="M262" s="262"/>
      <c r="N262" s="262"/>
      <c r="O262" s="262"/>
      <c r="P262" s="262"/>
      <c r="Q262" s="262"/>
      <c r="R262" s="262"/>
      <c r="S262" s="262"/>
      <c r="T262" s="262"/>
      <c r="U262" s="262"/>
      <c r="V262" s="262"/>
      <c r="W262" s="262"/>
      <c r="X262" s="262"/>
      <c r="Y262" s="262"/>
      <c r="Z262" s="262"/>
      <c r="AA262" s="262"/>
      <c r="AB262" s="262"/>
    </row>
    <row r="263" spans="1:31" ht="25.5">
      <c r="A263" s="293" t="s">
        <v>14479</v>
      </c>
      <c r="B263" s="294" t="s">
        <v>14476</v>
      </c>
      <c r="C263" s="295">
        <v>43474</v>
      </c>
      <c r="D263" s="296" t="str">
        <f>IFERROR(VLOOKUP($C263,'24.08_ND'!$A:$D,2,0),)</f>
        <v>FERRAMENTAS - FAMILIA ENGENHEIRO CIVIL - MENSALISTA (ENCARGOS COMPLEMENTARES - COLETADO CAIXA)</v>
      </c>
      <c r="E263" s="297" t="str">
        <f>IFERROR(VLOOKUP($C263,'24.08_ND'!$A:$D,3,0),)</f>
        <v>MES</v>
      </c>
      <c r="F263" s="298">
        <v>1</v>
      </c>
      <c r="G263" s="299">
        <f>IFERROR(VLOOKUP($C263,'24.08_ND'!$A:$D,4,0),)</f>
        <v>2.08</v>
      </c>
      <c r="H263" s="300">
        <f t="shared" si="11"/>
        <v>2.08</v>
      </c>
      <c r="I263" s="262"/>
      <c r="J263" s="262"/>
      <c r="K263" s="262"/>
      <c r="L263" s="262"/>
      <c r="M263" s="262"/>
      <c r="N263" s="262"/>
      <c r="O263" s="262"/>
      <c r="P263" s="262"/>
      <c r="Q263" s="262"/>
      <c r="R263" s="262"/>
      <c r="S263" s="262"/>
      <c r="T263" s="262"/>
      <c r="U263" s="262"/>
      <c r="V263" s="262"/>
      <c r="W263" s="262"/>
      <c r="X263" s="262"/>
      <c r="Y263" s="262"/>
      <c r="Z263" s="262"/>
      <c r="AA263" s="262"/>
      <c r="AB263" s="262"/>
    </row>
    <row r="264" spans="1:31" ht="12.75">
      <c r="A264" s="317" t="s">
        <v>14479</v>
      </c>
      <c r="B264" s="312" t="str">
        <f>VLOOKUP($C264,'• CIs EXT'!$A:$E,2,0)</f>
        <v>SETOP</v>
      </c>
      <c r="C264" s="313" t="s">
        <v>14580</v>
      </c>
      <c r="D264" s="314" t="str">
        <f>VLOOKUP($C264,'• CIs EXT'!$A:$E,3,0)</f>
        <v>ENGENHEIRO SANITARISTA (MENSALISTA)</v>
      </c>
      <c r="E264" s="312" t="str">
        <f>VLOOKUP($C264,'• CIs EXT'!$A:$E,4,0)</f>
        <v>MÊS</v>
      </c>
      <c r="F264" s="315">
        <v>1</v>
      </c>
      <c r="G264" s="312">
        <f>VLOOKUP($C264,'• CIs EXT'!$A:$E,5,0)</f>
        <v>18344.330000000002</v>
      </c>
      <c r="H264" s="316">
        <f t="shared" si="11"/>
        <v>18344.330000000002</v>
      </c>
      <c r="I264" s="262"/>
      <c r="J264" s="262"/>
      <c r="K264" s="262"/>
      <c r="L264" s="262"/>
      <c r="M264" s="262"/>
      <c r="N264" s="262"/>
      <c r="O264" s="262"/>
      <c r="P264" s="262"/>
      <c r="Q264" s="262"/>
      <c r="R264" s="262"/>
      <c r="S264" s="262"/>
      <c r="T264" s="262"/>
      <c r="U264" s="262"/>
      <c r="V264" s="262"/>
      <c r="W264" s="262"/>
      <c r="X264" s="262"/>
      <c r="Y264" s="262"/>
      <c r="Z264" s="262"/>
      <c r="AA264" s="262"/>
      <c r="AB264" s="262"/>
    </row>
    <row r="265" spans="1:31" ht="12.75">
      <c r="A265" s="309"/>
      <c r="B265" s="303"/>
      <c r="C265" s="303"/>
      <c r="D265" s="310"/>
      <c r="E265" s="303"/>
      <c r="F265" s="306"/>
      <c r="G265" s="307"/>
      <c r="H265" s="308"/>
      <c r="I265" s="262"/>
      <c r="J265" s="262"/>
      <c r="K265" s="262"/>
      <c r="L265" s="262"/>
      <c r="M265" s="262"/>
      <c r="N265" s="262"/>
      <c r="O265" s="262"/>
      <c r="P265" s="262"/>
      <c r="Q265" s="262"/>
      <c r="R265" s="262"/>
      <c r="S265" s="262"/>
      <c r="T265" s="262"/>
      <c r="U265" s="262"/>
      <c r="V265" s="262"/>
      <c r="W265" s="262"/>
      <c r="X265" s="262"/>
      <c r="Y265" s="262"/>
      <c r="Z265" s="262"/>
      <c r="AA265" s="262"/>
      <c r="AB265" s="262"/>
    </row>
    <row r="266" spans="1:31" ht="25.5">
      <c r="A266" s="271" t="s">
        <v>14471</v>
      </c>
      <c r="B266" s="272" t="s">
        <v>14472</v>
      </c>
      <c r="C266" s="273" t="s">
        <v>14581</v>
      </c>
      <c r="D266" s="274" t="s">
        <v>14582</v>
      </c>
      <c r="E266" s="272" t="s">
        <v>154</v>
      </c>
      <c r="F266" s="272"/>
      <c r="G266" s="272"/>
      <c r="H266" s="275">
        <f>TRUNC(SUM(H268:H275),2)</f>
        <v>24.33</v>
      </c>
      <c r="I266" s="276">
        <f>COUNTIF($C$8:$C266,C:C)</f>
        <v>1</v>
      </c>
      <c r="J266" s="262"/>
      <c r="K266" s="262"/>
      <c r="L266" s="262"/>
      <c r="M266" s="262"/>
      <c r="N266" s="262"/>
      <c r="O266" s="262"/>
      <c r="P266" s="262"/>
      <c r="Q266" s="262"/>
      <c r="R266" s="262"/>
      <c r="S266" s="262"/>
      <c r="T266" s="262"/>
      <c r="U266" s="262"/>
      <c r="V266" s="262"/>
      <c r="W266" s="262"/>
      <c r="X266" s="262"/>
      <c r="Y266" s="262"/>
      <c r="Z266" s="262"/>
      <c r="AA266" s="262"/>
      <c r="AB266" s="262"/>
    </row>
    <row r="267" spans="1:31" ht="12.75">
      <c r="A267" s="277" t="s">
        <v>14475</v>
      </c>
      <c r="B267" s="352" t="s">
        <v>14476</v>
      </c>
      <c r="C267" s="331">
        <v>100289</v>
      </c>
      <c r="D267" s="353" t="s">
        <v>14495</v>
      </c>
      <c r="E267" s="354"/>
      <c r="F267" s="355"/>
      <c r="G267" s="356"/>
      <c r="H267" s="357"/>
      <c r="I267" s="262"/>
      <c r="J267" s="262"/>
      <c r="K267" s="262"/>
      <c r="L267" s="262"/>
      <c r="M267" s="262"/>
      <c r="N267" s="262"/>
      <c r="O267" s="262"/>
      <c r="P267" s="262"/>
      <c r="Q267" s="262"/>
      <c r="R267" s="262"/>
      <c r="S267" s="262"/>
      <c r="T267" s="262"/>
      <c r="U267" s="262"/>
      <c r="V267" s="262"/>
      <c r="W267" s="262"/>
      <c r="X267" s="262"/>
      <c r="Y267" s="262"/>
      <c r="Z267" s="262"/>
      <c r="AA267" s="262"/>
      <c r="AB267" s="262"/>
    </row>
    <row r="268" spans="1:31" ht="25.5">
      <c r="A268" s="285" t="s">
        <v>14478</v>
      </c>
      <c r="B268" s="286" t="s">
        <v>14476</v>
      </c>
      <c r="C268" s="287">
        <v>100288</v>
      </c>
      <c r="D268" s="288" t="str">
        <f>IFERROR(VLOOKUP($C268,'24.08_ND'!$A:$D,2,0),)</f>
        <v>CURSO DE CAPACITAÇÃO PARA VIGIA DIURNO (ENCARGOS COMPLEMENTARES) - HORISTA</v>
      </c>
      <c r="E268" s="289" t="str">
        <f>IFERROR(VLOOKUP($C268,'24.08_ND'!$A:$D,3,0),)</f>
        <v>H</v>
      </c>
      <c r="F268" s="290">
        <v>1</v>
      </c>
      <c r="G268" s="291">
        <f>IFERROR(VLOOKUP($C268,'24.08_ND'!$A:$D,4,0),)</f>
        <v>7.0000000000000007E-2</v>
      </c>
      <c r="H268" s="292">
        <f t="shared" ref="H268:H275" si="12">TRUNC(($F268*$G268),2)</f>
        <v>7.0000000000000007E-2</v>
      </c>
      <c r="I268" s="262"/>
      <c r="J268" s="262"/>
      <c r="K268" s="262"/>
      <c r="L268" s="262"/>
      <c r="M268" s="262"/>
      <c r="N268" s="262"/>
      <c r="O268" s="262"/>
      <c r="P268" s="262"/>
      <c r="Q268" s="262"/>
      <c r="R268" s="262"/>
      <c r="S268" s="262"/>
      <c r="T268" s="262"/>
      <c r="U268" s="262"/>
      <c r="V268" s="262"/>
      <c r="W268" s="262"/>
      <c r="X268" s="262"/>
      <c r="Y268" s="262"/>
      <c r="Z268" s="262"/>
      <c r="AA268" s="262"/>
      <c r="AB268" s="262"/>
      <c r="AD268" s="1791" t="e">
        <f>VLOOKUP(C268,'Medição '!$B$16:$F$1833,6,0)</f>
        <v>#N/A</v>
      </c>
      <c r="AE268" s="1791"/>
    </row>
    <row r="269" spans="1:31" ht="25.5">
      <c r="A269" s="311" t="s">
        <v>14478</v>
      </c>
      <c r="B269" s="312" t="str">
        <f>VLOOKUP($C269,'• CIs EXT'!$A:$E,2,0)</f>
        <v>SETOP</v>
      </c>
      <c r="C269" s="313" t="s">
        <v>14583</v>
      </c>
      <c r="D269" s="314" t="str">
        <f>VLOOKUP($C269,'• CIs EXT'!$A:$E,3,0)</f>
        <v>VIGIA NOTURNO COM ENCARGOS COMPLEMENTARES</v>
      </c>
      <c r="E269" s="312" t="str">
        <f>VLOOKUP($C269,'• CIs EXT'!$A:$E,4,0)</f>
        <v>MES</v>
      </c>
      <c r="F269" s="315">
        <v>4.1666669999999998E-3</v>
      </c>
      <c r="G269" s="312">
        <f>VLOOKUP($C269,'• CIs EXT'!$A:$E,5,0)</f>
        <v>4686.62</v>
      </c>
      <c r="H269" s="316">
        <f t="shared" si="12"/>
        <v>19.52</v>
      </c>
      <c r="I269" s="262"/>
      <c r="J269" s="262"/>
      <c r="K269" s="262"/>
      <c r="L269" s="262"/>
      <c r="M269" s="262"/>
      <c r="N269" s="262"/>
      <c r="O269" s="262"/>
      <c r="P269" s="262"/>
      <c r="Q269" s="262"/>
      <c r="R269" s="262"/>
      <c r="S269" s="262"/>
      <c r="T269" s="262"/>
      <c r="U269" s="262"/>
      <c r="V269" s="262"/>
      <c r="W269" s="262"/>
      <c r="X269" s="262"/>
      <c r="Y269" s="262"/>
      <c r="Z269" s="262"/>
      <c r="AA269" s="262"/>
      <c r="AB269" s="262"/>
    </row>
    <row r="270" spans="1:31" ht="12.75">
      <c r="A270" s="293" t="s">
        <v>14479</v>
      </c>
      <c r="B270" s="294" t="s">
        <v>14476</v>
      </c>
      <c r="C270" s="295">
        <v>37370</v>
      </c>
      <c r="D270" s="296" t="str">
        <f>IFERROR(VLOOKUP($C270,'24.08_ND'!$A:$D,2,0),)</f>
        <v>ALIMENTACAO - HORISTA (COLETADO CAIXA - ENCARGOS COMPLEMENTARES)</v>
      </c>
      <c r="E270" s="297" t="str">
        <f>IFERROR(VLOOKUP($C270,'24.08_ND'!$A:$D,3,0),)</f>
        <v>H</v>
      </c>
      <c r="F270" s="298">
        <v>1</v>
      </c>
      <c r="G270" s="299">
        <f>IFERROR(VLOOKUP($C270,'24.08_ND'!$A:$D,4,0),)</f>
        <v>0.99</v>
      </c>
      <c r="H270" s="300">
        <f t="shared" si="12"/>
        <v>0.99</v>
      </c>
      <c r="I270" s="262"/>
      <c r="J270" s="262"/>
      <c r="K270" s="262"/>
      <c r="L270" s="262"/>
      <c r="M270" s="262"/>
      <c r="N270" s="262"/>
      <c r="O270" s="262"/>
      <c r="P270" s="262"/>
      <c r="Q270" s="262"/>
      <c r="R270" s="262"/>
      <c r="S270" s="262"/>
      <c r="T270" s="262"/>
      <c r="U270" s="262"/>
      <c r="V270" s="262"/>
      <c r="W270" s="262"/>
      <c r="X270" s="262"/>
      <c r="Y270" s="262"/>
      <c r="Z270" s="262"/>
      <c r="AA270" s="262"/>
      <c r="AB270" s="262"/>
    </row>
    <row r="271" spans="1:31" ht="12.75">
      <c r="A271" s="293" t="s">
        <v>14479</v>
      </c>
      <c r="B271" s="294" t="s">
        <v>14476</v>
      </c>
      <c r="C271" s="295">
        <v>37371</v>
      </c>
      <c r="D271" s="296" t="str">
        <f>IFERROR(VLOOKUP($C271,'24.08_ND'!$A:$D,2,0),)</f>
        <v>TRANSPORTE - HORISTA (COLETADO CAIXA - ENCARGOS COMPLEMENTARES)</v>
      </c>
      <c r="E271" s="297" t="str">
        <f>IFERROR(VLOOKUP($C271,'24.08_ND'!$A:$D,3,0),)</f>
        <v>H</v>
      </c>
      <c r="F271" s="298">
        <v>1</v>
      </c>
      <c r="G271" s="299">
        <f>IFERROR(VLOOKUP($C271,'24.08_ND'!$A:$D,4,0),)</f>
        <v>0.74</v>
      </c>
      <c r="H271" s="300">
        <f t="shared" si="12"/>
        <v>0.74</v>
      </c>
      <c r="I271" s="262"/>
      <c r="J271" s="262"/>
      <c r="K271" s="262"/>
      <c r="L271" s="262"/>
      <c r="M271" s="262"/>
      <c r="N271" s="262"/>
      <c r="O271" s="262"/>
      <c r="P271" s="262"/>
      <c r="Q271" s="262"/>
      <c r="R271" s="262"/>
      <c r="S271" s="262"/>
      <c r="T271" s="262"/>
      <c r="U271" s="262"/>
      <c r="V271" s="262"/>
      <c r="W271" s="262"/>
      <c r="X271" s="262"/>
      <c r="Y271" s="262"/>
      <c r="Z271" s="262"/>
      <c r="AA271" s="262"/>
      <c r="AB271" s="262"/>
    </row>
    <row r="272" spans="1:31" ht="12.75">
      <c r="A272" s="293" t="s">
        <v>14479</v>
      </c>
      <c r="B272" s="294" t="s">
        <v>14476</v>
      </c>
      <c r="C272" s="295">
        <v>37372</v>
      </c>
      <c r="D272" s="296" t="str">
        <f>IFERROR(VLOOKUP($C272,'24.08_ND'!$A:$D,2,0),)</f>
        <v>EXAMES - HORISTA (COLETADO CAIXA - ENCARGOS COMPLEMENTARES)</v>
      </c>
      <c r="E272" s="297" t="str">
        <f>IFERROR(VLOOKUP($C272,'24.08_ND'!$A:$D,3,0),)</f>
        <v>H</v>
      </c>
      <c r="F272" s="298">
        <v>1</v>
      </c>
      <c r="G272" s="299">
        <f>IFERROR(VLOOKUP($C272,'24.08_ND'!$A:$D,4,0),)</f>
        <v>1.22</v>
      </c>
      <c r="H272" s="300">
        <f t="shared" si="12"/>
        <v>1.22</v>
      </c>
      <c r="I272" s="262"/>
      <c r="J272" s="262"/>
      <c r="K272" s="262"/>
      <c r="L272" s="262"/>
      <c r="M272" s="262"/>
      <c r="N272" s="262"/>
      <c r="O272" s="262"/>
      <c r="P272" s="262"/>
      <c r="Q272" s="262"/>
      <c r="R272" s="262"/>
      <c r="S272" s="262"/>
      <c r="T272" s="262"/>
      <c r="U272" s="262"/>
      <c r="V272" s="262"/>
      <c r="W272" s="262"/>
      <c r="X272" s="262"/>
      <c r="Y272" s="262"/>
      <c r="Z272" s="262"/>
      <c r="AA272" s="262"/>
      <c r="AB272" s="262"/>
    </row>
    <row r="273" spans="1:31" ht="12.75">
      <c r="A273" s="293" t="s">
        <v>14479</v>
      </c>
      <c r="B273" s="294" t="s">
        <v>14476</v>
      </c>
      <c r="C273" s="295">
        <v>37373</v>
      </c>
      <c r="D273" s="296" t="str">
        <f>IFERROR(VLOOKUP($C273,'24.08_ND'!$A:$D,2,0),)</f>
        <v>SEGURO - HORISTA (COLETADO CAIXA - ENCARGOS COMPLEMENTARES)</v>
      </c>
      <c r="E273" s="297" t="str">
        <f>IFERROR(VLOOKUP($C273,'24.08_ND'!$A:$D,3,0),)</f>
        <v>H</v>
      </c>
      <c r="F273" s="298">
        <v>1</v>
      </c>
      <c r="G273" s="299">
        <f>IFERROR(VLOOKUP($C273,'24.08_ND'!$A:$D,4,0),)</f>
        <v>0.03</v>
      </c>
      <c r="H273" s="300">
        <f t="shared" si="12"/>
        <v>0.03</v>
      </c>
      <c r="I273" s="262"/>
      <c r="J273" s="262"/>
      <c r="K273" s="262"/>
      <c r="L273" s="262"/>
      <c r="M273" s="262"/>
      <c r="N273" s="262"/>
      <c r="O273" s="262"/>
      <c r="P273" s="262"/>
      <c r="Q273" s="262"/>
      <c r="R273" s="262"/>
      <c r="S273" s="262"/>
      <c r="T273" s="262"/>
      <c r="U273" s="262"/>
      <c r="V273" s="262"/>
      <c r="W273" s="262"/>
      <c r="X273" s="262"/>
      <c r="Y273" s="262"/>
      <c r="Z273" s="262"/>
      <c r="AA273" s="262"/>
      <c r="AB273" s="262"/>
    </row>
    <row r="274" spans="1:31" ht="25.5">
      <c r="A274" s="293" t="s">
        <v>14479</v>
      </c>
      <c r="B274" s="294" t="s">
        <v>14476</v>
      </c>
      <c r="C274" s="295">
        <v>43467</v>
      </c>
      <c r="D274" s="296" t="str">
        <f>IFERROR(VLOOKUP($C274,'24.08_ND'!$A:$D,2,0),)</f>
        <v>FERRAMENTAS - FAMILIA SERVENTE - HORISTA (ENCARGOS COMPLEMENTARES - COLETADO CAIXA)</v>
      </c>
      <c r="E274" s="297" t="str">
        <f>IFERROR(VLOOKUP($C274,'24.08_ND'!$A:$D,3,0),)</f>
        <v>H</v>
      </c>
      <c r="F274" s="298">
        <v>1</v>
      </c>
      <c r="G274" s="299">
        <f>IFERROR(VLOOKUP($C274,'24.08_ND'!$A:$D,4,0),)</f>
        <v>0.55000000000000004</v>
      </c>
      <c r="H274" s="300">
        <f t="shared" si="12"/>
        <v>0.55000000000000004</v>
      </c>
      <c r="I274" s="262"/>
      <c r="J274" s="262"/>
      <c r="K274" s="262"/>
      <c r="L274" s="262"/>
      <c r="M274" s="262"/>
      <c r="N274" s="262"/>
      <c r="O274" s="262"/>
      <c r="P274" s="262"/>
      <c r="Q274" s="262"/>
      <c r="R274" s="262"/>
      <c r="S274" s="262"/>
      <c r="T274" s="262"/>
      <c r="U274" s="262"/>
      <c r="V274" s="262"/>
      <c r="W274" s="262"/>
      <c r="X274" s="262"/>
      <c r="Y274" s="262"/>
      <c r="Z274" s="262"/>
      <c r="AA274" s="262"/>
      <c r="AB274" s="262"/>
    </row>
    <row r="275" spans="1:31" ht="12.75">
      <c r="A275" s="293" t="s">
        <v>14479</v>
      </c>
      <c r="B275" s="294" t="s">
        <v>14476</v>
      </c>
      <c r="C275" s="295">
        <v>43491</v>
      </c>
      <c r="D275" s="296" t="str">
        <f>IFERROR(VLOOKUP($C275,'24.08_ND'!$A:$D,2,0),)</f>
        <v>EPI - FAMILIA SERVENTE - HORISTA (ENCARGOS COMPLEMENTARES - COLETADO CAIXA)</v>
      </c>
      <c r="E275" s="297" t="str">
        <f>IFERROR(VLOOKUP($C275,'24.08_ND'!$A:$D,3,0),)</f>
        <v>H</v>
      </c>
      <c r="F275" s="298">
        <v>1</v>
      </c>
      <c r="G275" s="299">
        <f>IFERROR(VLOOKUP($C275,'24.08_ND'!$A:$D,4,0),)</f>
        <v>1.21</v>
      </c>
      <c r="H275" s="300">
        <f t="shared" si="12"/>
        <v>1.21</v>
      </c>
      <c r="I275" s="262"/>
      <c r="J275" s="262"/>
      <c r="K275" s="262"/>
      <c r="L275" s="262"/>
      <c r="M275" s="262"/>
      <c r="N275" s="262"/>
      <c r="O275" s="262"/>
      <c r="P275" s="262"/>
      <c r="Q275" s="262"/>
      <c r="R275" s="262"/>
      <c r="S275" s="262"/>
      <c r="T275" s="262"/>
      <c r="U275" s="262"/>
      <c r="V275" s="262"/>
      <c r="W275" s="262"/>
      <c r="X275" s="262"/>
      <c r="Y275" s="262"/>
      <c r="Z275" s="262"/>
      <c r="AA275" s="262"/>
      <c r="AB275" s="262"/>
    </row>
    <row r="276" spans="1:31" ht="12.75">
      <c r="A276" s="309"/>
      <c r="B276" s="303"/>
      <c r="C276" s="303"/>
      <c r="D276" s="310"/>
      <c r="E276" s="303"/>
      <c r="F276" s="306"/>
      <c r="G276" s="307"/>
      <c r="H276" s="308"/>
      <c r="I276" s="262"/>
      <c r="J276" s="262"/>
      <c r="K276" s="262"/>
      <c r="L276" s="262"/>
      <c r="M276" s="262"/>
      <c r="N276" s="262"/>
      <c r="O276" s="262"/>
      <c r="P276" s="262"/>
      <c r="Q276" s="262"/>
      <c r="R276" s="262"/>
      <c r="S276" s="262"/>
      <c r="T276" s="262"/>
      <c r="U276" s="262"/>
      <c r="V276" s="262"/>
      <c r="W276" s="262"/>
      <c r="X276" s="262"/>
      <c r="Y276" s="262"/>
      <c r="Z276" s="262"/>
      <c r="AA276" s="262"/>
      <c r="AB276" s="262"/>
    </row>
    <row r="277" spans="1:31" ht="19.5">
      <c r="A277" s="392"/>
      <c r="B277" s="393"/>
      <c r="C277" s="394"/>
      <c r="D277" s="393"/>
      <c r="E277" s="393"/>
      <c r="F277" s="395"/>
      <c r="G277" s="393"/>
      <c r="H277" s="396"/>
      <c r="I277" s="262"/>
      <c r="J277" s="262"/>
      <c r="K277" s="262"/>
      <c r="L277" s="262"/>
      <c r="M277" s="262"/>
      <c r="N277" s="262"/>
      <c r="O277" s="262"/>
      <c r="P277" s="262"/>
      <c r="Q277" s="262"/>
      <c r="R277" s="262"/>
      <c r="S277" s="262"/>
      <c r="T277" s="262"/>
      <c r="U277" s="262"/>
      <c r="V277" s="262"/>
      <c r="W277" s="262"/>
      <c r="X277" s="262"/>
      <c r="Y277" s="262"/>
      <c r="Z277" s="262"/>
      <c r="AA277" s="262"/>
      <c r="AB277" s="262"/>
    </row>
    <row r="278" spans="1:31" ht="30" customHeight="1">
      <c r="A278" s="270" t="s">
        <v>14584</v>
      </c>
      <c r="B278" s="397"/>
      <c r="C278" s="398"/>
      <c r="D278" s="397"/>
      <c r="E278" s="397"/>
      <c r="F278" s="399"/>
      <c r="G278" s="397"/>
      <c r="H278" s="400"/>
      <c r="I278" s="262"/>
      <c r="J278" s="262"/>
      <c r="K278" s="262"/>
      <c r="L278" s="262"/>
      <c r="M278" s="262"/>
      <c r="N278" s="262"/>
      <c r="O278" s="262"/>
      <c r="P278" s="262"/>
      <c r="Q278" s="262"/>
      <c r="R278" s="262"/>
      <c r="S278" s="262"/>
      <c r="T278" s="262"/>
      <c r="U278" s="262"/>
      <c r="V278" s="262"/>
      <c r="W278" s="262"/>
      <c r="X278" s="262"/>
      <c r="Y278" s="262"/>
      <c r="Z278" s="262"/>
      <c r="AA278" s="262"/>
      <c r="AB278" s="262"/>
    </row>
    <row r="279" spans="1:31" ht="25.5">
      <c r="A279" s="358" t="s">
        <v>14471</v>
      </c>
      <c r="B279" s="359" t="s">
        <v>14472</v>
      </c>
      <c r="C279" s="360" t="s">
        <v>14585</v>
      </c>
      <c r="D279" s="361" t="s">
        <v>14586</v>
      </c>
      <c r="E279" s="359" t="s">
        <v>50</v>
      </c>
      <c r="F279" s="401"/>
      <c r="G279" s="402"/>
      <c r="H279" s="363">
        <f>TRUNC(SUM(H281:H286),2)</f>
        <v>62.93</v>
      </c>
      <c r="I279" s="276">
        <f>COUNTIF($C$8:$C279,C:C)</f>
        <v>1</v>
      </c>
      <c r="J279" s="262"/>
      <c r="K279" s="262"/>
      <c r="L279" s="262"/>
      <c r="M279" s="262"/>
      <c r="N279" s="262"/>
      <c r="O279" s="262"/>
      <c r="P279" s="262"/>
      <c r="Q279" s="262"/>
      <c r="R279" s="262"/>
      <c r="S279" s="262"/>
      <c r="T279" s="262"/>
      <c r="U279" s="262"/>
      <c r="V279" s="262"/>
      <c r="W279" s="262"/>
      <c r="X279" s="262"/>
      <c r="Y279" s="262"/>
      <c r="Z279" s="262"/>
      <c r="AA279" s="262"/>
      <c r="AB279" s="262"/>
    </row>
    <row r="280" spans="1:31" ht="12.75">
      <c r="A280" s="364" t="s">
        <v>14475</v>
      </c>
      <c r="B280" s="403" t="s">
        <v>14476</v>
      </c>
      <c r="C280" s="404">
        <v>98575</v>
      </c>
      <c r="D280" s="367" t="s">
        <v>14587</v>
      </c>
      <c r="E280" s="405"/>
      <c r="F280" s="369"/>
      <c r="G280" s="370"/>
      <c r="H280" s="371"/>
      <c r="I280" s="262"/>
      <c r="J280" s="262"/>
      <c r="K280" s="262"/>
      <c r="L280" s="262"/>
      <c r="M280" s="262"/>
      <c r="N280" s="262"/>
      <c r="O280" s="262"/>
      <c r="P280" s="262"/>
      <c r="Q280" s="262"/>
      <c r="R280" s="262"/>
      <c r="S280" s="262"/>
      <c r="T280" s="262"/>
      <c r="U280" s="262"/>
      <c r="V280" s="262"/>
      <c r="W280" s="262"/>
      <c r="X280" s="262"/>
      <c r="Y280" s="262"/>
      <c r="Z280" s="262"/>
      <c r="AA280" s="262"/>
      <c r="AB280" s="262"/>
    </row>
    <row r="281" spans="1:31" ht="25.5">
      <c r="A281" s="406" t="s">
        <v>14478</v>
      </c>
      <c r="B281" s="407" t="s">
        <v>14476</v>
      </c>
      <c r="C281" s="408">
        <v>88309</v>
      </c>
      <c r="D281" s="288" t="str">
        <f>IFERROR(VLOOKUP($C281,'24.08_ND'!$A:$D,2,0),)</f>
        <v>PEDREIRO COM ENCARGOS COMPLEMENTARES</v>
      </c>
      <c r="E281" s="289" t="str">
        <f>IFERROR(VLOOKUP($C281,'24.08_ND'!$A:$D,3,0),)</f>
        <v>H</v>
      </c>
      <c r="F281" s="409">
        <v>1.3275999999999999</v>
      </c>
      <c r="G281" s="291">
        <f>IFERROR(VLOOKUP($C281,'24.08_ND'!$A:$D,4,0),)</f>
        <v>23.33</v>
      </c>
      <c r="H281" s="410">
        <f t="shared" ref="H281:H286" si="13">TRUNC(($F281*$G281),2)</f>
        <v>30.97</v>
      </c>
      <c r="I281" s="262"/>
      <c r="J281" s="262"/>
      <c r="K281" s="262"/>
      <c r="L281" s="262"/>
      <c r="M281" s="262"/>
      <c r="N281" s="262"/>
      <c r="O281" s="262"/>
      <c r="P281" s="262"/>
      <c r="Q281" s="262"/>
      <c r="R281" s="262"/>
      <c r="S281" s="262"/>
      <c r="T281" s="262"/>
      <c r="U281" s="262"/>
      <c r="V281" s="262"/>
      <c r="W281" s="262"/>
      <c r="X281" s="262"/>
      <c r="Y281" s="262"/>
      <c r="Z281" s="262"/>
      <c r="AA281" s="262"/>
      <c r="AB281" s="262"/>
      <c r="AD281" s="1791" t="e">
        <f>VLOOKUP(C281,'Medição '!$B$16:$F$1833,6,0)</f>
        <v>#N/A</v>
      </c>
      <c r="AE281" s="1791"/>
    </row>
    <row r="282" spans="1:31" ht="25.5">
      <c r="A282" s="406" t="s">
        <v>14478</v>
      </c>
      <c r="B282" s="407" t="s">
        <v>14476</v>
      </c>
      <c r="C282" s="408">
        <v>88316</v>
      </c>
      <c r="D282" s="288" t="str">
        <f>IFERROR(VLOOKUP($C282,'24.08_ND'!$A:$D,2,0),)</f>
        <v>SERVENTE COM ENCARGOS COMPLEMENTARES</v>
      </c>
      <c r="E282" s="289" t="str">
        <f>IFERROR(VLOOKUP($C282,'24.08_ND'!$A:$D,3,0),)</f>
        <v>H</v>
      </c>
      <c r="F282" s="409">
        <v>0.26869999999999999</v>
      </c>
      <c r="G282" s="291">
        <f>IFERROR(VLOOKUP($C282,'24.08_ND'!$A:$D,4,0),)</f>
        <v>18.510000000000002</v>
      </c>
      <c r="H282" s="410">
        <f t="shared" si="13"/>
        <v>4.97</v>
      </c>
      <c r="I282" s="262"/>
      <c r="J282" s="262"/>
      <c r="K282" s="262"/>
      <c r="L282" s="262"/>
      <c r="M282" s="262"/>
      <c r="N282" s="262"/>
      <c r="O282" s="262"/>
      <c r="P282" s="262"/>
      <c r="Q282" s="262"/>
      <c r="R282" s="262"/>
      <c r="S282" s="262"/>
      <c r="T282" s="262"/>
      <c r="U282" s="262"/>
      <c r="V282" s="262"/>
      <c r="W282" s="262"/>
      <c r="X282" s="262"/>
      <c r="Y282" s="262"/>
      <c r="Z282" s="262"/>
      <c r="AA282" s="262"/>
      <c r="AB282" s="262"/>
      <c r="AD282" s="1791" t="e">
        <f>VLOOKUP(C282,'Medição '!$B$16:$F$1833,6,0)</f>
        <v>#N/A</v>
      </c>
      <c r="AE282" s="1791"/>
    </row>
    <row r="283" spans="1:31" ht="12.75">
      <c r="A283" s="411" t="s">
        <v>14479</v>
      </c>
      <c r="B283" s="412" t="s">
        <v>14476</v>
      </c>
      <c r="C283" s="348">
        <v>44074</v>
      </c>
      <c r="D283" s="296" t="str">
        <f>IFERROR(VLOOKUP($C283,'24.08_ND'!$A:$D,2,0),)</f>
        <v>PRIMER DE POLIURETANO</v>
      </c>
      <c r="E283" s="297" t="str">
        <f>IFERROR(VLOOKUP($C283,'24.08_ND'!$A:$D,3,0),)</f>
        <v>L</v>
      </c>
      <c r="F283" s="413">
        <v>6.0000000000000001E-3</v>
      </c>
      <c r="G283" s="299">
        <f>IFERROR(VLOOKUP($C283,'24.08_ND'!$A:$D,4,0),)</f>
        <v>554.89</v>
      </c>
      <c r="H283" s="414">
        <f t="shared" si="13"/>
        <v>3.32</v>
      </c>
      <c r="I283" s="262"/>
      <c r="J283" s="262"/>
      <c r="K283" s="262"/>
      <c r="L283" s="262"/>
      <c r="M283" s="262"/>
      <c r="N283" s="262"/>
      <c r="O283" s="262"/>
      <c r="P283" s="262"/>
      <c r="Q283" s="262"/>
      <c r="R283" s="262"/>
      <c r="S283" s="262"/>
      <c r="T283" s="262"/>
      <c r="U283" s="262"/>
      <c r="V283" s="262"/>
      <c r="W283" s="262"/>
      <c r="X283" s="262"/>
      <c r="Y283" s="262"/>
      <c r="Z283" s="262"/>
      <c r="AA283" s="262"/>
      <c r="AB283" s="262"/>
    </row>
    <row r="284" spans="1:31" ht="25.5">
      <c r="A284" s="411" t="s">
        <v>14479</v>
      </c>
      <c r="B284" s="412" t="s">
        <v>14476</v>
      </c>
      <c r="C284" s="348">
        <v>142</v>
      </c>
      <c r="D284" s="296" t="str">
        <f>IFERROR(VLOOKUP($C284,'24.08_ND'!$A:$D,2,0),)</f>
        <v>SELANTE ELASTICO MONOCOMPONENTE A BASE DE POLIURETANO (PU) PARA JUNTAS DIVERSAS</v>
      </c>
      <c r="E284" s="297" t="str">
        <f>IFERROR(VLOOKUP($C284,'24.08_ND'!$A:$D,3,0),)</f>
        <v>310ML</v>
      </c>
      <c r="F284" s="413">
        <v>0.6452</v>
      </c>
      <c r="G284" s="299">
        <f>IFERROR(VLOOKUP($C284,'24.08_ND'!$A:$D,4,0),)</f>
        <v>34.200000000000003</v>
      </c>
      <c r="H284" s="414">
        <f t="shared" si="13"/>
        <v>22.06</v>
      </c>
      <c r="I284" s="262"/>
      <c r="J284" s="262"/>
      <c r="K284" s="262"/>
      <c r="L284" s="262"/>
      <c r="M284" s="262"/>
      <c r="N284" s="262"/>
      <c r="O284" s="262"/>
      <c r="P284" s="262"/>
      <c r="Q284" s="262"/>
      <c r="R284" s="262"/>
      <c r="S284" s="262"/>
      <c r="T284" s="262"/>
      <c r="U284" s="262"/>
      <c r="V284" s="262"/>
      <c r="W284" s="262"/>
      <c r="X284" s="262"/>
      <c r="Y284" s="262"/>
      <c r="Z284" s="262"/>
      <c r="AA284" s="262"/>
      <c r="AB284" s="262"/>
    </row>
    <row r="285" spans="1:31" ht="25.5">
      <c r="A285" s="411" t="s">
        <v>14479</v>
      </c>
      <c r="B285" s="412" t="s">
        <v>14476</v>
      </c>
      <c r="C285" s="348">
        <v>44073</v>
      </c>
      <c r="D285" s="296" t="str">
        <f>IFERROR(VLOOKUP($C285,'24.08_ND'!$A:$D,2,0),)</f>
        <v>TARUGO DELIMITADOR DE PROFUNDIDADE EM ESPUMA DE POLIETILENO DE BAIXA DENSIDADE 10 MM, CINZA</v>
      </c>
      <c r="E285" s="297" t="str">
        <f>IFERROR(VLOOKUP($C285,'24.08_ND'!$A:$D,3,0),)</f>
        <v>M</v>
      </c>
      <c r="F285" s="413">
        <v>1</v>
      </c>
      <c r="G285" s="299">
        <f>IFERROR(VLOOKUP($C285,'24.08_ND'!$A:$D,4,0),)</f>
        <v>0.64</v>
      </c>
      <c r="H285" s="414">
        <f t="shared" si="13"/>
        <v>0.64</v>
      </c>
      <c r="I285" s="262"/>
      <c r="J285" s="262"/>
      <c r="K285" s="262"/>
      <c r="L285" s="262"/>
      <c r="M285" s="262"/>
      <c r="N285" s="262"/>
      <c r="O285" s="262"/>
      <c r="P285" s="262"/>
      <c r="Q285" s="262"/>
      <c r="R285" s="262"/>
      <c r="S285" s="262"/>
      <c r="T285" s="262"/>
      <c r="U285" s="262"/>
      <c r="V285" s="262"/>
      <c r="W285" s="262"/>
      <c r="X285" s="262"/>
      <c r="Y285" s="262"/>
      <c r="Z285" s="262"/>
      <c r="AA285" s="262"/>
      <c r="AB285" s="262"/>
    </row>
    <row r="286" spans="1:31" ht="25.5">
      <c r="A286" s="411" t="s">
        <v>14479</v>
      </c>
      <c r="B286" s="412" t="s">
        <v>14476</v>
      </c>
      <c r="C286" s="348">
        <v>3408</v>
      </c>
      <c r="D286" s="296" t="str">
        <f>IFERROR(VLOOKUP($C286,'24.08_ND'!$A:$D,2,0),)</f>
        <v>POLIESTIRENO EXPANDIDO/EPS (ISOPOR), TIPO 2F, PLACA, ISOLAMENTO TERMOACUSTICO, E = 20 MM, 1000 X 500 MM</v>
      </c>
      <c r="E286" s="297" t="str">
        <f>IFERROR(VLOOKUP($C286,'24.08_ND'!$A:$D,3,0),)</f>
        <v>M2</v>
      </c>
      <c r="F286" s="413">
        <v>0.11</v>
      </c>
      <c r="G286" s="299">
        <f>IFERROR(VLOOKUP($C286,'24.08_ND'!$A:$D,4,0),)</f>
        <v>8.83</v>
      </c>
      <c r="H286" s="414">
        <f t="shared" si="13"/>
        <v>0.97</v>
      </c>
      <c r="I286" s="262"/>
      <c r="J286" s="262"/>
      <c r="K286" s="262"/>
      <c r="L286" s="262"/>
      <c r="M286" s="262"/>
      <c r="N286" s="262"/>
      <c r="O286" s="262"/>
      <c r="P286" s="262"/>
      <c r="Q286" s="262"/>
      <c r="R286" s="262"/>
      <c r="S286" s="262"/>
      <c r="T286" s="262"/>
      <c r="U286" s="262"/>
      <c r="V286" s="262"/>
      <c r="W286" s="262"/>
      <c r="X286" s="262"/>
      <c r="Y286" s="262"/>
      <c r="Z286" s="262"/>
      <c r="AA286" s="262"/>
      <c r="AB286" s="262"/>
    </row>
    <row r="287" spans="1:31" ht="12.75">
      <c r="A287" s="415"/>
      <c r="B287" s="416"/>
      <c r="C287" s="416"/>
      <c r="D287" s="416"/>
      <c r="E287" s="416"/>
      <c r="F287" s="417"/>
      <c r="G287" s="418"/>
      <c r="H287" s="419"/>
      <c r="I287" s="262"/>
      <c r="J287" s="262"/>
      <c r="K287" s="262"/>
      <c r="L287" s="262"/>
      <c r="M287" s="262"/>
      <c r="N287" s="262"/>
      <c r="O287" s="262"/>
      <c r="P287" s="262"/>
      <c r="Q287" s="262"/>
      <c r="R287" s="262"/>
      <c r="S287" s="262"/>
      <c r="T287" s="262"/>
      <c r="U287" s="262"/>
      <c r="V287" s="262"/>
      <c r="W287" s="262"/>
      <c r="X287" s="262"/>
      <c r="Y287" s="262"/>
      <c r="Z287" s="262"/>
      <c r="AA287" s="262"/>
      <c r="AB287" s="262"/>
    </row>
    <row r="288" spans="1:31" ht="38.25">
      <c r="A288" s="358" t="s">
        <v>14471</v>
      </c>
      <c r="B288" s="359" t="s">
        <v>14472</v>
      </c>
      <c r="C288" s="360" t="s">
        <v>14588</v>
      </c>
      <c r="D288" s="361" t="s">
        <v>14589</v>
      </c>
      <c r="E288" s="359" t="s">
        <v>50</v>
      </c>
      <c r="F288" s="401"/>
      <c r="G288" s="402"/>
      <c r="H288" s="363">
        <f>SUM(H290:H293)</f>
        <v>27.94</v>
      </c>
      <c r="I288" s="276">
        <f>COUNTIF($C$8:$C288,C:C)</f>
        <v>1</v>
      </c>
      <c r="J288" s="262"/>
      <c r="K288" s="262"/>
      <c r="L288" s="262"/>
      <c r="M288" s="262"/>
      <c r="N288" s="262"/>
      <c r="O288" s="262"/>
      <c r="P288" s="262"/>
      <c r="Q288" s="262"/>
      <c r="R288" s="262"/>
      <c r="S288" s="262"/>
      <c r="T288" s="262"/>
      <c r="U288" s="262"/>
      <c r="V288" s="262"/>
      <c r="W288" s="262"/>
      <c r="X288" s="262"/>
      <c r="Y288" s="262"/>
      <c r="Z288" s="262"/>
      <c r="AA288" s="262"/>
      <c r="AB288" s="262"/>
    </row>
    <row r="289" spans="1:31" ht="12.75">
      <c r="A289" s="364" t="s">
        <v>14475</v>
      </c>
      <c r="B289" s="403" t="s">
        <v>14476</v>
      </c>
      <c r="C289" s="404">
        <v>100897</v>
      </c>
      <c r="D289" s="367" t="s">
        <v>14567</v>
      </c>
      <c r="E289" s="420"/>
      <c r="F289" s="369"/>
      <c r="G289" s="370"/>
      <c r="H289" s="371"/>
      <c r="I289" s="262"/>
      <c r="J289" s="262"/>
      <c r="K289" s="262"/>
      <c r="L289" s="262"/>
      <c r="M289" s="262"/>
      <c r="N289" s="262"/>
      <c r="O289" s="262"/>
      <c r="P289" s="262"/>
      <c r="Q289" s="262"/>
      <c r="R289" s="262"/>
      <c r="S289" s="262"/>
      <c r="T289" s="262"/>
      <c r="U289" s="262"/>
      <c r="V289" s="262"/>
      <c r="W289" s="262"/>
      <c r="X289" s="262"/>
      <c r="Y289" s="262"/>
      <c r="Z289" s="262"/>
      <c r="AA289" s="262"/>
      <c r="AB289" s="262"/>
    </row>
    <row r="290" spans="1:31" ht="25.5">
      <c r="A290" s="372" t="s">
        <v>14478</v>
      </c>
      <c r="B290" s="421" t="s">
        <v>14476</v>
      </c>
      <c r="C290" s="422">
        <v>88316</v>
      </c>
      <c r="D290" s="288" t="str">
        <f>IFERROR(VLOOKUP($C290,'24.08_ND'!$A:$D,2,0),)</f>
        <v>SERVENTE COM ENCARGOS COMPLEMENTARES</v>
      </c>
      <c r="E290" s="289" t="str">
        <f>IFERROR(VLOOKUP($C290,'24.08_ND'!$A:$D,3,0),)</f>
        <v>H</v>
      </c>
      <c r="F290" s="375">
        <v>0.27950000000000003</v>
      </c>
      <c r="G290" s="291">
        <f>IFERROR(VLOOKUP($C290,'24.08_ND'!$A:$D,4,0),)</f>
        <v>18.510000000000002</v>
      </c>
      <c r="H290" s="423">
        <f>TRUNC(($F290*$G290),2)</f>
        <v>5.17</v>
      </c>
      <c r="I290" s="262"/>
      <c r="J290" s="262"/>
      <c r="K290" s="262"/>
      <c r="L290" s="262"/>
      <c r="M290" s="262"/>
      <c r="N290" s="262"/>
      <c r="O290" s="262"/>
      <c r="P290" s="262"/>
      <c r="Q290" s="262"/>
      <c r="R290" s="262"/>
      <c r="S290" s="262"/>
      <c r="T290" s="262"/>
      <c r="U290" s="262"/>
      <c r="V290" s="262"/>
      <c r="W290" s="262"/>
      <c r="X290" s="262"/>
      <c r="Y290" s="262"/>
      <c r="Z290" s="262"/>
      <c r="AA290" s="262"/>
      <c r="AB290" s="262"/>
      <c r="AD290" s="1791" t="e">
        <f>VLOOKUP(C290,'Medição '!$B$16:$F$1833,6,0)</f>
        <v>#N/A</v>
      </c>
      <c r="AE290" s="1791"/>
    </row>
    <row r="291" spans="1:31" ht="51">
      <c r="A291" s="372" t="s">
        <v>14478</v>
      </c>
      <c r="B291" s="421" t="s">
        <v>14476</v>
      </c>
      <c r="C291" s="422">
        <v>90680</v>
      </c>
      <c r="D291" s="288" t="str">
        <f>IFERROR(VLOOKUP($C291,'24.08_ND'!$A:$D,2,0),)</f>
        <v>PERFURATRIZ HIDRÁULICA SOBRE CAMINHÃO COM TRADO CURTO ACOPLADO, PROFUNDIDADE MÁXIMA DE 20 M, DIÂMETRO MÁXIMO DE 1500 MM, POTÊNCIA INSTALADA DE 137 HP, MESA ROTATIVA COM TORQUE MÁXIMO DE 30 KNM - CHP DIURNO. AF_06/2015</v>
      </c>
      <c r="E291" s="289" t="str">
        <f>IFERROR(VLOOKUP($C291,'24.08_ND'!$A:$D,3,0),)</f>
        <v>CHP</v>
      </c>
      <c r="F291" s="375">
        <v>3.4200000000000001E-2</v>
      </c>
      <c r="G291" s="291">
        <f>IFERROR(VLOOKUP($C291,'24.08_ND'!$A:$D,4,0),)</f>
        <v>369.42</v>
      </c>
      <c r="H291" s="423">
        <f>TRUNC(($F291*$G291),2)</f>
        <v>12.63</v>
      </c>
      <c r="I291" s="262"/>
      <c r="J291" s="262"/>
      <c r="K291" s="262"/>
      <c r="L291" s="262"/>
      <c r="M291" s="262"/>
      <c r="N291" s="262"/>
      <c r="O291" s="262"/>
      <c r="P291" s="262"/>
      <c r="Q291" s="262"/>
      <c r="R291" s="262"/>
      <c r="S291" s="262"/>
      <c r="T291" s="262"/>
      <c r="U291" s="262"/>
      <c r="V291" s="262"/>
      <c r="W291" s="262"/>
      <c r="X291" s="262"/>
      <c r="Y291" s="262"/>
      <c r="Z291" s="262"/>
      <c r="AA291" s="262"/>
      <c r="AB291" s="262"/>
      <c r="AD291" s="1791" t="e">
        <f>VLOOKUP(C291,'Medição '!$B$16:$F$1833,6,0)</f>
        <v>#N/A</v>
      </c>
      <c r="AE291" s="1791"/>
    </row>
    <row r="292" spans="1:31" ht="51">
      <c r="A292" s="372" t="s">
        <v>14478</v>
      </c>
      <c r="B292" s="421" t="s">
        <v>14476</v>
      </c>
      <c r="C292" s="422">
        <v>90681</v>
      </c>
      <c r="D292" s="288" t="str">
        <f>IFERROR(VLOOKUP($C292,'24.08_ND'!$A:$D,2,0),)</f>
        <v>PERFURATRIZ HIDRÁULICA SOBRE CAMINHÃO COM TRADO CURTO ACOPLADO, PROFUNDIDADE MÁXIMA DE 20 M, DIÂMETRO MÁXIMO DE 1500 MM, POTÊNCIA INSTALADA DE 137 HP, MESA ROTATIVA COM TORQUE MÁXIMO DE 30 KNM - CHI DIURNO. AF_06/2015</v>
      </c>
      <c r="E292" s="289" t="str">
        <f>IFERROR(VLOOKUP($C292,'24.08_ND'!$A:$D,3,0),)</f>
        <v>CHI</v>
      </c>
      <c r="F292" s="375">
        <v>6.1199999999999997E-2</v>
      </c>
      <c r="G292" s="291">
        <f>IFERROR(VLOOKUP($C292,'24.08_ND'!$A:$D,4,0),)</f>
        <v>154.12</v>
      </c>
      <c r="H292" s="423">
        <f>TRUNC(($F292*$G292),2)</f>
        <v>9.43</v>
      </c>
      <c r="I292" s="262"/>
      <c r="J292" s="262"/>
      <c r="K292" s="262"/>
      <c r="L292" s="262"/>
      <c r="M292" s="262"/>
      <c r="N292" s="262"/>
      <c r="O292" s="262"/>
      <c r="P292" s="262"/>
      <c r="Q292" s="262"/>
      <c r="R292" s="262"/>
      <c r="S292" s="262"/>
      <c r="T292" s="262"/>
      <c r="U292" s="262"/>
      <c r="V292" s="262"/>
      <c r="W292" s="262"/>
      <c r="X292" s="262"/>
      <c r="Y292" s="262"/>
      <c r="Z292" s="262"/>
      <c r="AA292" s="262"/>
      <c r="AB292" s="262"/>
      <c r="AD292" s="1791" t="e">
        <f>VLOOKUP(C292,'Medição '!$B$16:$F$1833,6,0)</f>
        <v>#N/A</v>
      </c>
      <c r="AE292" s="1791"/>
    </row>
    <row r="293" spans="1:31" ht="25.5">
      <c r="A293" s="372" t="s">
        <v>14478</v>
      </c>
      <c r="B293" s="421" t="s">
        <v>14476</v>
      </c>
      <c r="C293" s="422">
        <v>90778</v>
      </c>
      <c r="D293" s="288" t="str">
        <f>IFERROR(VLOOKUP($C293,'24.08_ND'!$A:$D,2,0),)</f>
        <v>ENGENHEIRO CIVIL DE OBRA PLENO COM ENCARGOS COMPLEMENTARES</v>
      </c>
      <c r="E293" s="289" t="str">
        <f>IFERROR(VLOOKUP($C293,'24.08_ND'!$A:$D,3,0),)</f>
        <v>H</v>
      </c>
      <c r="F293" s="375">
        <v>6.4000000000000003E-3</v>
      </c>
      <c r="G293" s="291">
        <f>IFERROR(VLOOKUP($C293,'24.08_ND'!$A:$D,4,0),)</f>
        <v>112.28</v>
      </c>
      <c r="H293" s="423">
        <f>TRUNC(($F293*$G293),2)</f>
        <v>0.71</v>
      </c>
      <c r="I293" s="262"/>
      <c r="J293" s="262"/>
      <c r="K293" s="262"/>
      <c r="L293" s="262"/>
      <c r="M293" s="262"/>
      <c r="N293" s="262"/>
      <c r="O293" s="262"/>
      <c r="P293" s="262"/>
      <c r="Q293" s="262"/>
      <c r="R293" s="262"/>
      <c r="S293" s="262"/>
      <c r="T293" s="262"/>
      <c r="U293" s="262"/>
      <c r="V293" s="262"/>
      <c r="W293" s="262"/>
      <c r="X293" s="262"/>
      <c r="Y293" s="262"/>
      <c r="Z293" s="262"/>
      <c r="AA293" s="262"/>
      <c r="AB293" s="262"/>
      <c r="AD293" s="1791" t="e">
        <f>VLOOKUP(C293,'Medição '!$B$16:$F$1833,6,0)</f>
        <v>#N/A</v>
      </c>
      <c r="AE293" s="1791"/>
    </row>
    <row r="294" spans="1:31" ht="12.75">
      <c r="A294" s="415"/>
      <c r="B294" s="416"/>
      <c r="C294" s="416"/>
      <c r="D294" s="416"/>
      <c r="E294" s="416"/>
      <c r="F294" s="417"/>
      <c r="G294" s="418"/>
      <c r="H294" s="419"/>
      <c r="I294" s="262"/>
      <c r="J294" s="262"/>
      <c r="K294" s="262"/>
      <c r="L294" s="262"/>
      <c r="M294" s="262"/>
      <c r="N294" s="262"/>
      <c r="O294" s="262"/>
      <c r="P294" s="262"/>
      <c r="Q294" s="262"/>
      <c r="R294" s="262"/>
      <c r="S294" s="262"/>
      <c r="T294" s="262"/>
      <c r="U294" s="262"/>
      <c r="V294" s="262"/>
      <c r="W294" s="262"/>
      <c r="X294" s="262"/>
      <c r="Y294" s="262"/>
      <c r="Z294" s="262"/>
      <c r="AA294" s="262"/>
      <c r="AB294" s="262"/>
    </row>
    <row r="295" spans="1:31" ht="25.5">
      <c r="A295" s="358" t="s">
        <v>14471</v>
      </c>
      <c r="B295" s="359" t="s">
        <v>14472</v>
      </c>
      <c r="C295" s="360" t="s">
        <v>14590</v>
      </c>
      <c r="D295" s="361" t="s">
        <v>14591</v>
      </c>
      <c r="E295" s="359" t="s">
        <v>152</v>
      </c>
      <c r="F295" s="401"/>
      <c r="G295" s="402"/>
      <c r="H295" s="363">
        <f>SUM(H297:H302)</f>
        <v>790.9</v>
      </c>
      <c r="I295" s="276">
        <f>COUNTIF($C$8:$C295,C:C)</f>
        <v>1</v>
      </c>
      <c r="J295" s="262"/>
      <c r="K295" s="262"/>
      <c r="L295" s="262"/>
      <c r="M295" s="262"/>
      <c r="N295" s="262"/>
      <c r="O295" s="262"/>
      <c r="P295" s="262"/>
      <c r="Q295" s="262"/>
      <c r="R295" s="262"/>
      <c r="S295" s="262"/>
      <c r="T295" s="262"/>
      <c r="U295" s="262"/>
      <c r="V295" s="262"/>
      <c r="W295" s="262"/>
      <c r="X295" s="262"/>
      <c r="Y295" s="262"/>
      <c r="Z295" s="262"/>
      <c r="AA295" s="262"/>
      <c r="AB295" s="262"/>
    </row>
    <row r="296" spans="1:31">
      <c r="A296" s="424" t="s">
        <v>14475</v>
      </c>
      <c r="B296" s="425" t="s">
        <v>14476</v>
      </c>
      <c r="C296" s="426">
        <v>103672</v>
      </c>
      <c r="D296" s="367" t="s">
        <v>14567</v>
      </c>
      <c r="E296" s="427"/>
      <c r="F296" s="428"/>
      <c r="G296" s="429"/>
      <c r="H296" s="430"/>
      <c r="I296" s="262"/>
      <c r="J296" s="262"/>
      <c r="K296" s="262"/>
      <c r="L296" s="262"/>
      <c r="M296" s="262"/>
      <c r="N296" s="262"/>
      <c r="O296" s="262"/>
      <c r="P296" s="262"/>
      <c r="Q296" s="262"/>
      <c r="R296" s="262"/>
      <c r="S296" s="262"/>
      <c r="T296" s="262"/>
      <c r="U296" s="262"/>
      <c r="V296" s="262"/>
      <c r="W296" s="262"/>
      <c r="X296" s="262"/>
      <c r="Y296" s="262"/>
      <c r="Z296" s="262"/>
      <c r="AA296" s="262"/>
      <c r="AB296" s="262"/>
    </row>
    <row r="297" spans="1:31" ht="12.75">
      <c r="A297" s="431" t="s">
        <v>14478</v>
      </c>
      <c r="B297" s="432" t="s">
        <v>14476</v>
      </c>
      <c r="C297" s="432">
        <v>88262</v>
      </c>
      <c r="D297" s="288" t="str">
        <f>IFERROR(VLOOKUP($C297,'24.08_ND'!$A:$D,2,0),)</f>
        <v>CARPINTEIRO DE FORMAS COM ENCARGOS COMPLEMENTARES</v>
      </c>
      <c r="E297" s="289" t="str">
        <f>IFERROR(VLOOKUP($C297,'24.08_ND'!$A:$D,3,0),)</f>
        <v>H</v>
      </c>
      <c r="F297" s="433">
        <v>0.224</v>
      </c>
      <c r="G297" s="291">
        <f>IFERROR(VLOOKUP($C297,'24.08_ND'!$A:$D,4,0),)</f>
        <v>23.01</v>
      </c>
      <c r="H297" s="434">
        <f t="shared" ref="H297:H302" si="14">TRUNC(($F297*$G297),2)</f>
        <v>5.15</v>
      </c>
      <c r="I297" s="262"/>
      <c r="J297" s="262"/>
      <c r="K297" s="262"/>
      <c r="L297" s="262"/>
      <c r="M297" s="262"/>
      <c r="N297" s="262"/>
      <c r="O297" s="262"/>
      <c r="P297" s="262"/>
      <c r="Q297" s="262"/>
      <c r="R297" s="262"/>
      <c r="S297" s="262"/>
      <c r="T297" s="262"/>
      <c r="U297" s="262"/>
      <c r="V297" s="262"/>
      <c r="W297" s="262"/>
      <c r="X297" s="262"/>
      <c r="Y297" s="262"/>
      <c r="Z297" s="262"/>
      <c r="AA297" s="262"/>
      <c r="AB297" s="262"/>
      <c r="AD297" s="1791" t="e">
        <f>VLOOKUP(C297,'Medição '!$B$16:$F$1833,6,0)</f>
        <v>#N/A</v>
      </c>
      <c r="AE297" s="1791"/>
    </row>
    <row r="298" spans="1:31" ht="12.75">
      <c r="A298" s="431" t="s">
        <v>14478</v>
      </c>
      <c r="B298" s="432" t="s">
        <v>14476</v>
      </c>
      <c r="C298" s="432">
        <v>88309</v>
      </c>
      <c r="D298" s="288" t="str">
        <f>IFERROR(VLOOKUP($C298,'24.08_ND'!$A:$D,2,0),)</f>
        <v>PEDREIRO COM ENCARGOS COMPLEMENTARES</v>
      </c>
      <c r="E298" s="289" t="str">
        <f>IFERROR(VLOOKUP($C298,'24.08_ND'!$A:$D,3,0),)</f>
        <v>H</v>
      </c>
      <c r="F298" s="433">
        <v>0.224</v>
      </c>
      <c r="G298" s="291">
        <f>IFERROR(VLOOKUP($C298,'24.08_ND'!$A:$D,4,0),)</f>
        <v>23.33</v>
      </c>
      <c r="H298" s="434">
        <f t="shared" si="14"/>
        <v>5.22</v>
      </c>
      <c r="I298" s="262"/>
      <c r="J298" s="262"/>
      <c r="K298" s="262"/>
      <c r="L298" s="262"/>
      <c r="M298" s="262"/>
      <c r="N298" s="262"/>
      <c r="O298" s="262"/>
      <c r="P298" s="262"/>
      <c r="Q298" s="262"/>
      <c r="R298" s="262"/>
      <c r="S298" s="262"/>
      <c r="T298" s="262"/>
      <c r="U298" s="262"/>
      <c r="V298" s="262"/>
      <c r="W298" s="262"/>
      <c r="X298" s="262"/>
      <c r="Y298" s="262"/>
      <c r="Z298" s="262"/>
      <c r="AA298" s="262"/>
      <c r="AB298" s="262"/>
      <c r="AD298" s="1791" t="e">
        <f>VLOOKUP(C298,'Medição '!$B$16:$F$1833,6,0)</f>
        <v>#N/A</v>
      </c>
      <c r="AE298" s="1791"/>
    </row>
    <row r="299" spans="1:31" ht="12.75">
      <c r="A299" s="431" t="s">
        <v>14478</v>
      </c>
      <c r="B299" s="432" t="s">
        <v>14476</v>
      </c>
      <c r="C299" s="432">
        <v>88316</v>
      </c>
      <c r="D299" s="288" t="str">
        <f>IFERROR(VLOOKUP($C299,'24.08_ND'!$A:$D,2,0),)</f>
        <v>SERVENTE COM ENCARGOS COMPLEMENTARES</v>
      </c>
      <c r="E299" s="289" t="str">
        <f>IFERROR(VLOOKUP($C299,'24.08_ND'!$A:$D,3,0),)</f>
        <v>H</v>
      </c>
      <c r="F299" s="433">
        <v>1.345</v>
      </c>
      <c r="G299" s="291">
        <f>IFERROR(VLOOKUP($C299,'24.08_ND'!$A:$D,4,0),)</f>
        <v>18.510000000000002</v>
      </c>
      <c r="H299" s="434">
        <f t="shared" si="14"/>
        <v>24.89</v>
      </c>
      <c r="I299" s="262"/>
      <c r="J299" s="262"/>
      <c r="K299" s="262"/>
      <c r="L299" s="262"/>
      <c r="M299" s="262"/>
      <c r="N299" s="262"/>
      <c r="O299" s="262"/>
      <c r="P299" s="262"/>
      <c r="Q299" s="262"/>
      <c r="R299" s="262"/>
      <c r="S299" s="262"/>
      <c r="T299" s="262"/>
      <c r="U299" s="262"/>
      <c r="V299" s="262"/>
      <c r="W299" s="262"/>
      <c r="X299" s="262"/>
      <c r="Y299" s="262"/>
      <c r="Z299" s="262"/>
      <c r="AA299" s="262"/>
      <c r="AB299" s="262"/>
      <c r="AD299" s="1791" t="e">
        <f>VLOOKUP(C299,'Medição '!$B$16:$F$1833,6,0)</f>
        <v>#N/A</v>
      </c>
      <c r="AE299" s="1791"/>
    </row>
    <row r="300" spans="1:31" ht="25.5">
      <c r="A300" s="431" t="s">
        <v>14478</v>
      </c>
      <c r="B300" s="432" t="s">
        <v>14476</v>
      </c>
      <c r="C300" s="432">
        <v>90586</v>
      </c>
      <c r="D300" s="288" t="str">
        <f>IFERROR(VLOOKUP($C300,'24.08_ND'!$A:$D,2,0),)</f>
        <v>VIBRADOR DE IMERSÃO, DIÂMETRO DE PONTEIRA 45MM, MOTOR ELÉTRICO TRIFÁSICO POTÊNCIA DE 2 CV - CHP DIURNO. AF_06/2015</v>
      </c>
      <c r="E300" s="289" t="str">
        <f>IFERROR(VLOOKUP($C300,'24.08_ND'!$A:$D,3,0),)</f>
        <v>CHP</v>
      </c>
      <c r="F300" s="433">
        <v>9.4E-2</v>
      </c>
      <c r="G300" s="291">
        <f>IFERROR(VLOOKUP($C300,'24.08_ND'!$A:$D,4,0),)</f>
        <v>1.21</v>
      </c>
      <c r="H300" s="434">
        <f t="shared" si="14"/>
        <v>0.11</v>
      </c>
      <c r="I300" s="262"/>
      <c r="J300" s="262"/>
      <c r="K300" s="262"/>
      <c r="L300" s="262"/>
      <c r="M300" s="262"/>
      <c r="N300" s="262"/>
      <c r="O300" s="262"/>
      <c r="P300" s="262"/>
      <c r="Q300" s="262"/>
      <c r="R300" s="262"/>
      <c r="S300" s="262"/>
      <c r="T300" s="262"/>
      <c r="U300" s="262"/>
      <c r="V300" s="262"/>
      <c r="W300" s="262"/>
      <c r="X300" s="262"/>
      <c r="Y300" s="262"/>
      <c r="Z300" s="262"/>
      <c r="AA300" s="262"/>
      <c r="AB300" s="262"/>
      <c r="AD300" s="1791" t="e">
        <f>VLOOKUP(C300,'Medição '!$B$16:$F$1833,6,0)</f>
        <v>#N/A</v>
      </c>
      <c r="AE300" s="1791"/>
    </row>
    <row r="301" spans="1:31" ht="25.5">
      <c r="A301" s="431" t="s">
        <v>14478</v>
      </c>
      <c r="B301" s="432" t="s">
        <v>14476</v>
      </c>
      <c r="C301" s="432">
        <v>90587</v>
      </c>
      <c r="D301" s="288" t="str">
        <f>IFERROR(VLOOKUP($C301,'24.08_ND'!$A:$D,2,0),)</f>
        <v>VIBRADOR DE IMERSÃO, DIÂMETRO DE PONTEIRA 45MM, MOTOR ELÉTRICO TRIFÁSICO POTÊNCIA DE 2 CV - CHI DIURNO. AF_06/2015</v>
      </c>
      <c r="E301" s="289" t="str">
        <f>IFERROR(VLOOKUP($C301,'24.08_ND'!$A:$D,3,0),)</f>
        <v>CHI</v>
      </c>
      <c r="F301" s="433">
        <v>0.13</v>
      </c>
      <c r="G301" s="291">
        <f>IFERROR(VLOOKUP($C301,'24.08_ND'!$A:$D,4,0),)</f>
        <v>0.44</v>
      </c>
      <c r="H301" s="434">
        <f t="shared" si="14"/>
        <v>0.05</v>
      </c>
      <c r="I301" s="262"/>
      <c r="J301" s="262"/>
      <c r="K301" s="262"/>
      <c r="L301" s="262"/>
      <c r="M301" s="262"/>
      <c r="N301" s="262"/>
      <c r="O301" s="262"/>
      <c r="P301" s="262"/>
      <c r="Q301" s="262"/>
      <c r="R301" s="262"/>
      <c r="S301" s="262"/>
      <c r="T301" s="262"/>
      <c r="U301" s="262"/>
      <c r="V301" s="262"/>
      <c r="W301" s="262"/>
      <c r="X301" s="262"/>
      <c r="Y301" s="262"/>
      <c r="Z301" s="262"/>
      <c r="AA301" s="262"/>
      <c r="AB301" s="262"/>
      <c r="AD301" s="1791" t="e">
        <f>VLOOKUP(C301,'Medição '!$B$16:$F$1833,6,0)</f>
        <v>#N/A</v>
      </c>
      <c r="AE301" s="1791"/>
    </row>
    <row r="302" spans="1:31" ht="38.25">
      <c r="A302" s="435" t="s">
        <v>14479</v>
      </c>
      <c r="B302" s="436" t="s">
        <v>14476</v>
      </c>
      <c r="C302" s="436">
        <v>1527</v>
      </c>
      <c r="D302" s="296" t="str">
        <f>IFERROR(VLOOKUP($C302,'24.08_ND'!$A:$D,2,0),)</f>
        <v>CONCRETO USINADO BOMBEAVEL, CLASSE DE RESISTENCIA C25, BRITA 0 E 1, SLUMP = 100 +/- 20 MM, COM BOMBEAMENTO (DISPONIBILIZACAO DE BOMBA), SEM O LANCAMENTO (NBR 8953)</v>
      </c>
      <c r="E302" s="297" t="str">
        <f>IFERROR(VLOOKUP($C302,'24.08_ND'!$A:$D,3,0),)</f>
        <v>M3</v>
      </c>
      <c r="F302" s="437">
        <v>1.103</v>
      </c>
      <c r="G302" s="299">
        <f>IFERROR(VLOOKUP($C302,'24.08_ND'!$A:$D,4,0),)</f>
        <v>684.94</v>
      </c>
      <c r="H302" s="414">
        <f t="shared" si="14"/>
        <v>755.48</v>
      </c>
      <c r="I302" s="262"/>
      <c r="J302" s="262"/>
      <c r="K302" s="262"/>
      <c r="L302" s="262"/>
      <c r="M302" s="262"/>
      <c r="N302" s="262"/>
      <c r="O302" s="262"/>
      <c r="P302" s="262"/>
      <c r="Q302" s="262"/>
      <c r="R302" s="262"/>
      <c r="S302" s="262"/>
      <c r="T302" s="262"/>
      <c r="U302" s="262"/>
      <c r="V302" s="262"/>
      <c r="W302" s="262"/>
      <c r="X302" s="262"/>
      <c r="Y302" s="262"/>
      <c r="Z302" s="262"/>
      <c r="AA302" s="262"/>
      <c r="AB302" s="262"/>
    </row>
    <row r="303" spans="1:31" ht="12.75">
      <c r="A303" s="415"/>
      <c r="B303" s="416"/>
      <c r="C303" s="416"/>
      <c r="D303" s="416"/>
      <c r="E303" s="416"/>
      <c r="F303" s="417"/>
      <c r="G303" s="418"/>
      <c r="H303" s="419"/>
      <c r="I303" s="262"/>
      <c r="J303" s="262"/>
      <c r="K303" s="262"/>
      <c r="L303" s="262"/>
      <c r="M303" s="262"/>
      <c r="N303" s="262"/>
      <c r="O303" s="262"/>
      <c r="P303" s="262"/>
      <c r="Q303" s="262"/>
      <c r="R303" s="262"/>
      <c r="S303" s="262"/>
      <c r="T303" s="262"/>
      <c r="U303" s="262"/>
      <c r="V303" s="262"/>
      <c r="W303" s="262"/>
      <c r="X303" s="262"/>
      <c r="Y303" s="262"/>
      <c r="Z303" s="262"/>
      <c r="AA303" s="262"/>
      <c r="AB303" s="262"/>
    </row>
    <row r="304" spans="1:31" ht="25.5">
      <c r="A304" s="358" t="s">
        <v>14471</v>
      </c>
      <c r="B304" s="359" t="s">
        <v>14472</v>
      </c>
      <c r="C304" s="360" t="s">
        <v>14592</v>
      </c>
      <c r="D304" s="361" t="s">
        <v>14593</v>
      </c>
      <c r="E304" s="359" t="s">
        <v>409</v>
      </c>
      <c r="F304" s="401"/>
      <c r="G304" s="402"/>
      <c r="H304" s="363">
        <f>SUM(H306:H313)</f>
        <v>188.04</v>
      </c>
      <c r="I304" s="276">
        <f>COUNTIF($C$8:$C304,C:C)</f>
        <v>1</v>
      </c>
      <c r="J304" s="262"/>
      <c r="K304" s="262"/>
      <c r="L304" s="262"/>
      <c r="M304" s="262"/>
      <c r="N304" s="262"/>
      <c r="O304" s="262"/>
      <c r="P304" s="262"/>
      <c r="Q304" s="262"/>
      <c r="R304" s="262"/>
      <c r="S304" s="262"/>
      <c r="T304" s="262"/>
      <c r="U304" s="262"/>
      <c r="V304" s="262"/>
      <c r="W304" s="262"/>
      <c r="X304" s="262"/>
      <c r="Y304" s="262"/>
      <c r="Z304" s="262"/>
      <c r="AA304" s="262"/>
      <c r="AB304" s="262"/>
    </row>
    <row r="305" spans="1:31">
      <c r="A305" s="424" t="s">
        <v>14475</v>
      </c>
      <c r="B305" s="425" t="s">
        <v>14476</v>
      </c>
      <c r="C305" s="426">
        <v>92266</v>
      </c>
      <c r="D305" s="367" t="s">
        <v>14567</v>
      </c>
      <c r="E305" s="427"/>
      <c r="F305" s="428"/>
      <c r="G305" s="429"/>
      <c r="H305" s="430"/>
      <c r="I305" s="262"/>
      <c r="J305" s="262"/>
      <c r="K305" s="262"/>
      <c r="L305" s="262"/>
      <c r="M305" s="262"/>
      <c r="N305" s="262"/>
      <c r="O305" s="262"/>
      <c r="P305" s="262"/>
      <c r="Q305" s="262"/>
      <c r="R305" s="262"/>
      <c r="S305" s="262"/>
      <c r="T305" s="262"/>
      <c r="U305" s="262"/>
      <c r="V305" s="262"/>
      <c r="W305" s="262"/>
      <c r="X305" s="262"/>
      <c r="Y305" s="262"/>
      <c r="Z305" s="262"/>
      <c r="AA305" s="262"/>
      <c r="AB305" s="262"/>
    </row>
    <row r="306" spans="1:31" ht="12.75">
      <c r="A306" s="431" t="s">
        <v>14478</v>
      </c>
      <c r="B306" s="432" t="s">
        <v>14476</v>
      </c>
      <c r="C306" s="432">
        <v>88239</v>
      </c>
      <c r="D306" s="288" t="str">
        <f>IFERROR(VLOOKUP($C306,'24.08_ND'!$A:$D,2,0),)</f>
        <v>AJUDANTE DE CARPINTEIRO COM ENCARGOS COMPLEMENTARES</v>
      </c>
      <c r="E306" s="289" t="str">
        <f>IFERROR(VLOOKUP($C306,'24.08_ND'!$A:$D,3,0),)</f>
        <v>H</v>
      </c>
      <c r="F306" s="433">
        <v>0.20200000000000001</v>
      </c>
      <c r="G306" s="291">
        <f>IFERROR(VLOOKUP($C306,'24.08_ND'!$A:$D,4,0),)</f>
        <v>19.510000000000002</v>
      </c>
      <c r="H306" s="434">
        <f t="shared" ref="H306:H313" si="15">TRUNC(($F306*$G306),2)</f>
        <v>3.94</v>
      </c>
      <c r="I306" s="262"/>
      <c r="J306" s="262"/>
      <c r="K306" s="262"/>
      <c r="L306" s="262"/>
      <c r="M306" s="262"/>
      <c r="N306" s="262"/>
      <c r="O306" s="262"/>
      <c r="P306" s="262"/>
      <c r="Q306" s="262"/>
      <c r="R306" s="262"/>
      <c r="S306" s="262"/>
      <c r="T306" s="262"/>
      <c r="U306" s="262"/>
      <c r="V306" s="262"/>
      <c r="W306" s="262"/>
      <c r="X306" s="262"/>
      <c r="Y306" s="262"/>
      <c r="Z306" s="262"/>
      <c r="AA306" s="262"/>
      <c r="AB306" s="262"/>
      <c r="AD306" s="1791" t="e">
        <f>VLOOKUP(C306,'Medição '!$B$16:$F$1833,6,0)</f>
        <v>#N/A</v>
      </c>
      <c r="AE306" s="1791"/>
    </row>
    <row r="307" spans="1:31" ht="12.75">
      <c r="A307" s="431" t="s">
        <v>14478</v>
      </c>
      <c r="B307" s="432" t="s">
        <v>14476</v>
      </c>
      <c r="C307" s="432">
        <v>88262</v>
      </c>
      <c r="D307" s="288" t="str">
        <f>IFERROR(VLOOKUP($C307,'24.08_ND'!$A:$D,2,0),)</f>
        <v>CARPINTEIRO DE FORMAS COM ENCARGOS COMPLEMENTARES</v>
      </c>
      <c r="E307" s="289" t="str">
        <f>IFERROR(VLOOKUP($C307,'24.08_ND'!$A:$D,3,0),)</f>
        <v>H</v>
      </c>
      <c r="F307" s="433">
        <v>0.91100000000000003</v>
      </c>
      <c r="G307" s="291">
        <f>IFERROR(VLOOKUP($C307,'24.08_ND'!$A:$D,4,0),)</f>
        <v>23.01</v>
      </c>
      <c r="H307" s="434">
        <f t="shared" si="15"/>
        <v>20.96</v>
      </c>
      <c r="I307" s="262"/>
      <c r="J307" s="262"/>
      <c r="K307" s="262"/>
      <c r="L307" s="262"/>
      <c r="M307" s="262"/>
      <c r="N307" s="262"/>
      <c r="O307" s="262"/>
      <c r="P307" s="262"/>
      <c r="Q307" s="262"/>
      <c r="R307" s="262"/>
      <c r="S307" s="262"/>
      <c r="T307" s="262"/>
      <c r="U307" s="262"/>
      <c r="V307" s="262"/>
      <c r="W307" s="262"/>
      <c r="X307" s="262"/>
      <c r="Y307" s="262"/>
      <c r="Z307" s="262"/>
      <c r="AA307" s="262"/>
      <c r="AB307" s="262"/>
      <c r="AD307" s="1791" t="e">
        <f>VLOOKUP(C307,'Medição '!$B$16:$F$1833,6,0)</f>
        <v>#N/A</v>
      </c>
      <c r="AE307" s="1791"/>
    </row>
    <row r="308" spans="1:31" ht="25.5">
      <c r="A308" s="431" t="s">
        <v>14478</v>
      </c>
      <c r="B308" s="432" t="s">
        <v>14476</v>
      </c>
      <c r="C308" s="432">
        <v>91693</v>
      </c>
      <c r="D308" s="288" t="str">
        <f>IFERROR(VLOOKUP($C308,'24.08_ND'!$A:$D,2,0),)</f>
        <v>SERRA CIRCULAR DE BANCADA COM MOTOR ELÉTRICO POTÊNCIA DE 5HP, COM COIFA PARA DISCO 10" - CHI DIURNO. AF_08/2015</v>
      </c>
      <c r="E308" s="289" t="str">
        <f>IFERROR(VLOOKUP($C308,'24.08_ND'!$A:$D,3,0),)</f>
        <v>CHI</v>
      </c>
      <c r="F308" s="433">
        <v>0.23699999999999999</v>
      </c>
      <c r="G308" s="291">
        <f>IFERROR(VLOOKUP($C308,'24.08_ND'!$A:$D,4,0),)</f>
        <v>19.899999999999999</v>
      </c>
      <c r="H308" s="434">
        <f t="shared" si="15"/>
        <v>4.71</v>
      </c>
      <c r="I308" s="262"/>
      <c r="J308" s="262"/>
      <c r="K308" s="262"/>
      <c r="L308" s="262"/>
      <c r="M308" s="262"/>
      <c r="N308" s="262"/>
      <c r="O308" s="262"/>
      <c r="P308" s="262"/>
      <c r="Q308" s="262"/>
      <c r="R308" s="262"/>
      <c r="S308" s="262"/>
      <c r="T308" s="262"/>
      <c r="U308" s="262"/>
      <c r="V308" s="262"/>
      <c r="W308" s="262"/>
      <c r="X308" s="262"/>
      <c r="Y308" s="262"/>
      <c r="Z308" s="262"/>
      <c r="AA308" s="262"/>
      <c r="AB308" s="262"/>
      <c r="AD308" s="1791" t="e">
        <f>VLOOKUP(C308,'Medição '!$B$16:$F$1833,6,0)</f>
        <v>#N/A</v>
      </c>
      <c r="AE308" s="1791"/>
    </row>
    <row r="309" spans="1:31" ht="25.5">
      <c r="A309" s="431" t="s">
        <v>14478</v>
      </c>
      <c r="B309" s="432" t="s">
        <v>14476</v>
      </c>
      <c r="C309" s="432">
        <v>91692</v>
      </c>
      <c r="D309" s="288" t="str">
        <f>IFERROR(VLOOKUP($C309,'24.08_ND'!$A:$D,2,0),)</f>
        <v>SERRA CIRCULAR DE BANCADA COM MOTOR ELÉTRICO POTÊNCIA DE 5HP, COM COIFA PARA DISCO 10" - CHP DIURNO. AF_08/2015</v>
      </c>
      <c r="E309" s="289" t="str">
        <f>IFERROR(VLOOKUP($C309,'24.08_ND'!$A:$D,3,0),)</f>
        <v>CHP</v>
      </c>
      <c r="F309" s="433">
        <v>0.05</v>
      </c>
      <c r="G309" s="291">
        <f>IFERROR(VLOOKUP($C309,'24.08_ND'!$A:$D,4,0),)</f>
        <v>21.22</v>
      </c>
      <c r="H309" s="434">
        <f t="shared" si="15"/>
        <v>1.06</v>
      </c>
      <c r="I309" s="262"/>
      <c r="J309" s="262"/>
      <c r="K309" s="262"/>
      <c r="L309" s="262"/>
      <c r="M309" s="262"/>
      <c r="N309" s="262"/>
      <c r="O309" s="262"/>
      <c r="P309" s="262"/>
      <c r="Q309" s="262"/>
      <c r="R309" s="262"/>
      <c r="S309" s="262"/>
      <c r="T309" s="262"/>
      <c r="U309" s="262"/>
      <c r="V309" s="262"/>
      <c r="W309" s="262"/>
      <c r="X309" s="262"/>
      <c r="Y309" s="262"/>
      <c r="Z309" s="262"/>
      <c r="AA309" s="262"/>
      <c r="AB309" s="262"/>
      <c r="AD309" s="1791" t="e">
        <f>VLOOKUP(C309,'Medição '!$B$16:$F$1833,6,0)</f>
        <v>#N/A</v>
      </c>
      <c r="AE309" s="1791"/>
    </row>
    <row r="310" spans="1:31" ht="25.5">
      <c r="A310" s="435" t="s">
        <v>14479</v>
      </c>
      <c r="B310" s="436" t="s">
        <v>14476</v>
      </c>
      <c r="C310" s="436">
        <v>1345</v>
      </c>
      <c r="D310" s="296" t="str">
        <f>IFERROR(VLOOKUP($C310,'24.08_ND'!$A:$D,2,0),)</f>
        <v>CHAPA/PAINEL DE MADEIRA COMPENSADA PLASTIFICADA (MADEIRITE PLASTIFICADO) PARA FORMA DE CONCRETO, DE 2200 X 1100 MM, E = *17* MM</v>
      </c>
      <c r="E310" s="297" t="str">
        <f>IFERROR(VLOOKUP($C310,'24.08_ND'!$A:$D,3,0),)</f>
        <v>M2</v>
      </c>
      <c r="F310" s="437">
        <v>1.1459999999999999</v>
      </c>
      <c r="G310" s="299">
        <f>IFERROR(VLOOKUP($C310,'24.08_ND'!$A:$D,4,0),)</f>
        <v>111.29</v>
      </c>
      <c r="H310" s="414">
        <f t="shared" si="15"/>
        <v>127.53</v>
      </c>
      <c r="I310" s="262"/>
      <c r="J310" s="262"/>
      <c r="K310" s="262"/>
      <c r="L310" s="262"/>
      <c r="M310" s="262"/>
      <c r="N310" s="262"/>
      <c r="O310" s="262"/>
      <c r="P310" s="262"/>
      <c r="Q310" s="262"/>
      <c r="R310" s="262"/>
      <c r="S310" s="262"/>
      <c r="T310" s="262"/>
      <c r="U310" s="262"/>
      <c r="V310" s="262"/>
      <c r="W310" s="262"/>
      <c r="X310" s="262"/>
      <c r="Y310" s="262"/>
      <c r="Z310" s="262"/>
      <c r="AA310" s="262"/>
      <c r="AB310" s="262"/>
    </row>
    <row r="311" spans="1:31" ht="12.75">
      <c r="A311" s="435" t="s">
        <v>14479</v>
      </c>
      <c r="B311" s="436" t="s">
        <v>14476</v>
      </c>
      <c r="C311" s="436">
        <v>4491</v>
      </c>
      <c r="D311" s="296" t="str">
        <f>IFERROR(VLOOKUP($C311,'24.08_ND'!$A:$D,2,0),)</f>
        <v>PONTALETE *7,5 X 7,5* CM EM PINUS, MISTA OU EQUIVALENTE DA REGIAO - BRUTA</v>
      </c>
      <c r="E311" s="297" t="str">
        <f>IFERROR(VLOOKUP($C311,'24.08_ND'!$A:$D,3,0),)</f>
        <v>M</v>
      </c>
      <c r="F311" s="437">
        <v>0.16600000000000001</v>
      </c>
      <c r="G311" s="299">
        <f>IFERROR(VLOOKUP($C311,'24.08_ND'!$A:$D,4,0),)</f>
        <v>10.5</v>
      </c>
      <c r="H311" s="414">
        <f t="shared" si="15"/>
        <v>1.74</v>
      </c>
      <c r="I311" s="262"/>
      <c r="J311" s="262"/>
      <c r="K311" s="262"/>
      <c r="L311" s="262"/>
      <c r="M311" s="262"/>
      <c r="N311" s="262"/>
      <c r="O311" s="262"/>
      <c r="P311" s="262"/>
      <c r="Q311" s="262"/>
      <c r="R311" s="262"/>
      <c r="S311" s="262"/>
      <c r="T311" s="262"/>
      <c r="U311" s="262"/>
      <c r="V311" s="262"/>
      <c r="W311" s="262"/>
      <c r="X311" s="262"/>
      <c r="Y311" s="262"/>
      <c r="Z311" s="262"/>
      <c r="AA311" s="262"/>
      <c r="AB311" s="262"/>
    </row>
    <row r="312" spans="1:31" ht="12.75">
      <c r="A312" s="435" t="s">
        <v>14479</v>
      </c>
      <c r="B312" s="436" t="s">
        <v>14476</v>
      </c>
      <c r="C312" s="436">
        <v>5068</v>
      </c>
      <c r="D312" s="296" t="str">
        <f>IFERROR(VLOOKUP($C312,'24.08_ND'!$A:$D,2,0),)</f>
        <v>PREGO DE ACO POLIDO COM CABECA 17 X 21 (2 X 11)</v>
      </c>
      <c r="E312" s="297" t="str">
        <f>IFERROR(VLOOKUP($C312,'24.08_ND'!$A:$D,3,0),)</f>
        <v>KG</v>
      </c>
      <c r="F312" s="437">
        <v>0.159</v>
      </c>
      <c r="G312" s="299">
        <f>IFERROR(VLOOKUP($C312,'24.08_ND'!$A:$D,4,0),)</f>
        <v>16.309999999999999</v>
      </c>
      <c r="H312" s="414">
        <f t="shared" si="15"/>
        <v>2.59</v>
      </c>
      <c r="I312" s="262"/>
      <c r="J312" s="262"/>
      <c r="K312" s="262"/>
      <c r="L312" s="262"/>
      <c r="M312" s="262"/>
      <c r="N312" s="262"/>
      <c r="O312" s="262"/>
      <c r="P312" s="262"/>
      <c r="Q312" s="262"/>
      <c r="R312" s="262"/>
      <c r="S312" s="262"/>
      <c r="T312" s="262"/>
      <c r="U312" s="262"/>
      <c r="V312" s="262"/>
      <c r="W312" s="262"/>
      <c r="X312" s="262"/>
      <c r="Y312" s="262"/>
      <c r="Z312" s="262"/>
      <c r="AA312" s="262"/>
      <c r="AB312" s="262"/>
    </row>
    <row r="313" spans="1:31" ht="12.75">
      <c r="A313" s="435" t="s">
        <v>14479</v>
      </c>
      <c r="B313" s="436" t="s">
        <v>14476</v>
      </c>
      <c r="C313" s="436">
        <v>4517</v>
      </c>
      <c r="D313" s="296" t="str">
        <f>IFERROR(VLOOKUP($C313,'24.08_ND'!$A:$D,2,0),)</f>
        <v>SARRAFO *2,5 X 7,5* CM EM PINUS, MISTA OU EQUIVALENTE DA REGIAO - BRUTA</v>
      </c>
      <c r="E313" s="297" t="str">
        <f>IFERROR(VLOOKUP($C313,'24.08_ND'!$A:$D,3,0),)</f>
        <v>M</v>
      </c>
      <c r="F313" s="437">
        <v>6.952</v>
      </c>
      <c r="G313" s="299">
        <f>IFERROR(VLOOKUP($C313,'24.08_ND'!$A:$D,4,0),)</f>
        <v>3.67</v>
      </c>
      <c r="H313" s="414">
        <f t="shared" si="15"/>
        <v>25.51</v>
      </c>
      <c r="I313" s="262"/>
      <c r="J313" s="262"/>
      <c r="K313" s="262"/>
      <c r="L313" s="262"/>
      <c r="M313" s="262"/>
      <c r="N313" s="262"/>
      <c r="O313" s="262"/>
      <c r="P313" s="262"/>
      <c r="Q313" s="262"/>
      <c r="R313" s="262"/>
      <c r="S313" s="262"/>
      <c r="T313" s="262"/>
      <c r="U313" s="262"/>
      <c r="V313" s="262"/>
      <c r="W313" s="262"/>
      <c r="X313" s="262"/>
      <c r="Y313" s="262"/>
      <c r="Z313" s="262"/>
      <c r="AA313" s="262"/>
      <c r="AB313" s="262"/>
    </row>
    <row r="314" spans="1:31" ht="12.75">
      <c r="A314" s="415"/>
      <c r="B314" s="416"/>
      <c r="C314" s="416"/>
      <c r="D314" s="416"/>
      <c r="E314" s="416"/>
      <c r="F314" s="417"/>
      <c r="G314" s="418"/>
      <c r="H314" s="419"/>
      <c r="I314" s="262"/>
      <c r="J314" s="262"/>
      <c r="K314" s="262"/>
      <c r="L314" s="262"/>
      <c r="M314" s="262"/>
      <c r="N314" s="262"/>
      <c r="O314" s="262"/>
      <c r="P314" s="262"/>
      <c r="Q314" s="262"/>
      <c r="R314" s="262"/>
      <c r="S314" s="262"/>
      <c r="T314" s="262"/>
      <c r="U314" s="262"/>
      <c r="V314" s="262"/>
      <c r="W314" s="262"/>
      <c r="X314" s="262"/>
      <c r="Y314" s="262"/>
      <c r="Z314" s="262"/>
      <c r="AA314" s="262"/>
      <c r="AB314" s="262"/>
    </row>
    <row r="315" spans="1:31" ht="38.25">
      <c r="A315" s="358" t="s">
        <v>14471</v>
      </c>
      <c r="B315" s="359" t="s">
        <v>14472</v>
      </c>
      <c r="C315" s="360" t="s">
        <v>14594</v>
      </c>
      <c r="D315" s="361" t="s">
        <v>14595</v>
      </c>
      <c r="E315" s="359" t="s">
        <v>50</v>
      </c>
      <c r="F315" s="401"/>
      <c r="G315" s="402"/>
      <c r="H315" s="363">
        <f>SUM(H317:H320)</f>
        <v>21.419999999999998</v>
      </c>
      <c r="I315" s="276">
        <f>COUNTIF($C$8:$C315,C:C)</f>
        <v>1</v>
      </c>
      <c r="J315" s="262"/>
      <c r="K315" s="262"/>
      <c r="L315" s="262"/>
      <c r="M315" s="262"/>
      <c r="N315" s="262"/>
      <c r="O315" s="262"/>
      <c r="P315" s="262"/>
      <c r="Q315" s="262"/>
      <c r="R315" s="262"/>
      <c r="S315" s="262"/>
      <c r="T315" s="262"/>
      <c r="U315" s="262"/>
      <c r="V315" s="262"/>
      <c r="W315" s="262"/>
      <c r="X315" s="262"/>
      <c r="Y315" s="262"/>
      <c r="Z315" s="262"/>
      <c r="AA315" s="262"/>
      <c r="AB315" s="262"/>
    </row>
    <row r="316" spans="1:31" ht="12.75">
      <c r="A316" s="364" t="s">
        <v>14475</v>
      </c>
      <c r="B316" s="403" t="s">
        <v>14476</v>
      </c>
      <c r="C316" s="404">
        <v>100896</v>
      </c>
      <c r="D316" s="367" t="s">
        <v>14587</v>
      </c>
      <c r="E316" s="420"/>
      <c r="F316" s="369"/>
      <c r="G316" s="370"/>
      <c r="H316" s="371"/>
      <c r="I316" s="262"/>
      <c r="J316" s="262"/>
      <c r="K316" s="262"/>
      <c r="L316" s="262"/>
      <c r="M316" s="262"/>
      <c r="N316" s="262"/>
      <c r="O316" s="262"/>
      <c r="P316" s="262"/>
      <c r="Q316" s="262"/>
      <c r="R316" s="262"/>
      <c r="S316" s="262"/>
      <c r="T316" s="262"/>
      <c r="U316" s="262"/>
      <c r="V316" s="262"/>
      <c r="W316" s="262"/>
      <c r="X316" s="262"/>
      <c r="Y316" s="262"/>
      <c r="Z316" s="262"/>
      <c r="AA316" s="262"/>
      <c r="AB316" s="262"/>
    </row>
    <row r="317" spans="1:31" ht="25.5">
      <c r="A317" s="372" t="s">
        <v>14478</v>
      </c>
      <c r="B317" s="421" t="s">
        <v>14476</v>
      </c>
      <c r="C317" s="374">
        <v>88316</v>
      </c>
      <c r="D317" s="288" t="str">
        <f>IFERROR(VLOOKUP($C317,'24.08_ND'!$A:$D,2,0),)</f>
        <v>SERVENTE COM ENCARGOS COMPLEMENTARES</v>
      </c>
      <c r="E317" s="289" t="str">
        <f>IFERROR(VLOOKUP($C317,'24.08_ND'!$A:$D,3,0),)</f>
        <v>H</v>
      </c>
      <c r="F317" s="438">
        <v>0.2263</v>
      </c>
      <c r="G317" s="439">
        <f>IFERROR(VLOOKUP($C317,'24.08_ND'!$A:$D,4,0),)</f>
        <v>18.510000000000002</v>
      </c>
      <c r="H317" s="440">
        <f>TRUNC(($F317*$G317),2)</f>
        <v>4.18</v>
      </c>
      <c r="I317" s="262"/>
      <c r="J317" s="262"/>
      <c r="K317" s="262"/>
      <c r="L317" s="262"/>
      <c r="M317" s="262"/>
      <c r="N317" s="262"/>
      <c r="O317" s="262"/>
      <c r="P317" s="262"/>
      <c r="Q317" s="262"/>
      <c r="R317" s="262"/>
      <c r="S317" s="262"/>
      <c r="T317" s="262"/>
      <c r="U317" s="262"/>
      <c r="V317" s="262"/>
      <c r="W317" s="262"/>
      <c r="X317" s="262"/>
      <c r="Y317" s="262"/>
      <c r="Z317" s="262"/>
      <c r="AA317" s="262"/>
      <c r="AB317" s="262"/>
      <c r="AD317" s="1791" t="e">
        <f>VLOOKUP(C317,'Medição '!$B$16:$F$1833,6,0)</f>
        <v>#N/A</v>
      </c>
      <c r="AE317" s="1791"/>
    </row>
    <row r="318" spans="1:31" ht="51">
      <c r="A318" s="372" t="s">
        <v>14478</v>
      </c>
      <c r="B318" s="421" t="s">
        <v>14476</v>
      </c>
      <c r="C318" s="374">
        <v>90680</v>
      </c>
      <c r="D318" s="288" t="str">
        <f>IFERROR(VLOOKUP($C318,'24.08_ND'!$A:$D,2,0),)</f>
        <v>PERFURATRIZ HIDRÁULICA SOBRE CAMINHÃO COM TRADO CURTO ACOPLADO, PROFUNDIDADE MÁXIMA DE 20 M, DIÂMETRO MÁXIMO DE 1500 MM, POTÊNCIA INSTALADA DE 137 HP, MESA ROTATIVA COM TORQUE MÁXIMO DE 30 KNM - CHP DIURNO. AF_06/2015</v>
      </c>
      <c r="E318" s="289" t="str">
        <f>IFERROR(VLOOKUP($C318,'24.08_ND'!$A:$D,3,0),)</f>
        <v>CHP</v>
      </c>
      <c r="F318" s="438">
        <v>2.47E-2</v>
      </c>
      <c r="G318" s="439">
        <f>IFERROR(VLOOKUP($C318,'24.08_ND'!$A:$D,4,0),)</f>
        <v>369.42</v>
      </c>
      <c r="H318" s="440">
        <f>TRUNC(($F318*$G318),2)</f>
        <v>9.1199999999999992</v>
      </c>
      <c r="I318" s="262"/>
      <c r="J318" s="262"/>
      <c r="K318" s="262"/>
      <c r="L318" s="262"/>
      <c r="M318" s="262"/>
      <c r="N318" s="262"/>
      <c r="O318" s="262"/>
      <c r="P318" s="262"/>
      <c r="Q318" s="262"/>
      <c r="R318" s="262"/>
      <c r="S318" s="262"/>
      <c r="T318" s="262"/>
      <c r="U318" s="262"/>
      <c r="V318" s="262"/>
      <c r="W318" s="262"/>
      <c r="X318" s="262"/>
      <c r="Y318" s="262"/>
      <c r="Z318" s="262"/>
      <c r="AA318" s="262"/>
      <c r="AB318" s="262"/>
      <c r="AD318" s="1791" t="e">
        <f>VLOOKUP(C318,'Medição '!$B$16:$F$1833,6,0)</f>
        <v>#N/A</v>
      </c>
      <c r="AE318" s="1791"/>
    </row>
    <row r="319" spans="1:31" ht="51">
      <c r="A319" s="372" t="s">
        <v>14478</v>
      </c>
      <c r="B319" s="421" t="s">
        <v>14476</v>
      </c>
      <c r="C319" s="374">
        <v>90681</v>
      </c>
      <c r="D319" s="288" t="str">
        <f>IFERROR(VLOOKUP($C319,'24.08_ND'!$A:$D,2,0),)</f>
        <v>PERFURATRIZ HIDRÁULICA SOBRE CAMINHÃO COM TRADO CURTO ACOPLADO, PROFUNDIDADE MÁXIMA DE 20 M, DIÂMETRO MÁXIMO DE 1500 MM, POTÊNCIA INSTALADA DE 137 HP, MESA ROTATIVA COM TORQUE MÁXIMO DE 30 KNM - CHI DIURNO. AF_06/2015</v>
      </c>
      <c r="E319" s="289" t="str">
        <f>IFERROR(VLOOKUP($C319,'24.08_ND'!$A:$D,3,0),)</f>
        <v>CHI</v>
      </c>
      <c r="F319" s="438">
        <v>4.9000000000000002E-2</v>
      </c>
      <c r="G319" s="439">
        <f>IFERROR(VLOOKUP($C319,'24.08_ND'!$A:$D,4,0),)</f>
        <v>154.12</v>
      </c>
      <c r="H319" s="440">
        <f>TRUNC(($F319*$G319),2)</f>
        <v>7.55</v>
      </c>
      <c r="I319" s="262"/>
      <c r="J319" s="262"/>
      <c r="K319" s="262"/>
      <c r="L319" s="262"/>
      <c r="M319" s="262"/>
      <c r="N319" s="262"/>
      <c r="O319" s="262"/>
      <c r="P319" s="262"/>
      <c r="Q319" s="262"/>
      <c r="R319" s="262"/>
      <c r="S319" s="262"/>
      <c r="T319" s="262"/>
      <c r="U319" s="262"/>
      <c r="V319" s="262"/>
      <c r="W319" s="262"/>
      <c r="X319" s="262"/>
      <c r="Y319" s="262"/>
      <c r="Z319" s="262"/>
      <c r="AA319" s="262"/>
      <c r="AB319" s="262"/>
      <c r="AD319" s="1791" t="e">
        <f>VLOOKUP(C319,'Medição '!$B$16:$F$1833,6,0)</f>
        <v>#N/A</v>
      </c>
      <c r="AE319" s="1791"/>
    </row>
    <row r="320" spans="1:31" ht="25.5">
      <c r="A320" s="372" t="s">
        <v>14478</v>
      </c>
      <c r="B320" s="421" t="s">
        <v>14476</v>
      </c>
      <c r="C320" s="374">
        <v>90778</v>
      </c>
      <c r="D320" s="288" t="str">
        <f>IFERROR(VLOOKUP($C320,'24.08_ND'!$A:$D,2,0),)</f>
        <v>ENGENHEIRO CIVIL DE OBRA PLENO COM ENCARGOS COMPLEMENTARES</v>
      </c>
      <c r="E320" s="289" t="str">
        <f>IFERROR(VLOOKUP($C320,'24.08_ND'!$A:$D,3,0),)</f>
        <v>H</v>
      </c>
      <c r="F320" s="438">
        <v>5.1000000000000004E-3</v>
      </c>
      <c r="G320" s="439">
        <f>IFERROR(VLOOKUP($C320,'24.08_ND'!$A:$D,4,0),)</f>
        <v>112.28</v>
      </c>
      <c r="H320" s="440">
        <f>TRUNC(($F320*$G320),2)</f>
        <v>0.56999999999999995</v>
      </c>
      <c r="I320" s="262"/>
      <c r="J320" s="262"/>
      <c r="K320" s="262"/>
      <c r="L320" s="262"/>
      <c r="M320" s="262"/>
      <c r="N320" s="262"/>
      <c r="O320" s="262"/>
      <c r="P320" s="262"/>
      <c r="Q320" s="262"/>
      <c r="R320" s="262"/>
      <c r="S320" s="262"/>
      <c r="T320" s="262"/>
      <c r="U320" s="262"/>
      <c r="V320" s="262"/>
      <c r="W320" s="262"/>
      <c r="X320" s="262"/>
      <c r="Y320" s="262"/>
      <c r="Z320" s="262"/>
      <c r="AA320" s="262"/>
      <c r="AB320" s="262"/>
      <c r="AD320" s="1791" t="e">
        <f>VLOOKUP(C320,'Medição '!$B$16:$F$1833,6,0)</f>
        <v>#N/A</v>
      </c>
      <c r="AE320" s="1791"/>
    </row>
    <row r="321" spans="1:31" ht="12.75">
      <c r="A321" s="415"/>
      <c r="B321" s="416"/>
      <c r="C321" s="416"/>
      <c r="D321" s="416"/>
      <c r="E321" s="416"/>
      <c r="F321" s="417"/>
      <c r="G321" s="418"/>
      <c r="H321" s="419"/>
      <c r="I321" s="262"/>
      <c r="J321" s="262"/>
      <c r="K321" s="262"/>
      <c r="L321" s="262"/>
      <c r="M321" s="262"/>
      <c r="N321" s="262"/>
      <c r="O321" s="262"/>
      <c r="P321" s="262"/>
      <c r="Q321" s="262"/>
      <c r="R321" s="262"/>
      <c r="S321" s="262"/>
      <c r="T321" s="262"/>
      <c r="U321" s="262"/>
      <c r="V321" s="262"/>
      <c r="W321" s="262"/>
      <c r="X321" s="262"/>
      <c r="Y321" s="262"/>
      <c r="Z321" s="262"/>
      <c r="AA321" s="262"/>
      <c r="AB321" s="262"/>
    </row>
    <row r="322" spans="1:31" ht="38.25">
      <c r="A322" s="358" t="s">
        <v>14471</v>
      </c>
      <c r="B322" s="359" t="s">
        <v>14472</v>
      </c>
      <c r="C322" s="360" t="s">
        <v>14596</v>
      </c>
      <c r="D322" s="361" t="s">
        <v>14597</v>
      </c>
      <c r="E322" s="359" t="s">
        <v>152</v>
      </c>
      <c r="F322" s="401"/>
      <c r="G322" s="402"/>
      <c r="H322" s="363">
        <f>TRUNC(SUM(H324:H327),2)</f>
        <v>5.9</v>
      </c>
      <c r="I322" s="276">
        <f>COUNTIF($C$8:$C322,C:C)</f>
        <v>1</v>
      </c>
      <c r="J322" s="262"/>
      <c r="K322" s="262"/>
      <c r="L322" s="262"/>
      <c r="M322" s="262"/>
      <c r="N322" s="262"/>
      <c r="O322" s="262"/>
      <c r="P322" s="262"/>
      <c r="Q322" s="262"/>
      <c r="R322" s="262"/>
      <c r="S322" s="262"/>
      <c r="T322" s="262"/>
      <c r="U322" s="262"/>
      <c r="V322" s="262"/>
      <c r="W322" s="262"/>
      <c r="X322" s="262"/>
      <c r="Y322" s="262"/>
      <c r="Z322" s="262"/>
      <c r="AA322" s="262"/>
      <c r="AB322" s="262"/>
    </row>
    <row r="323" spans="1:31" ht="12.75">
      <c r="A323" s="364" t="s">
        <v>14475</v>
      </c>
      <c r="B323" s="403" t="s">
        <v>14513</v>
      </c>
      <c r="C323" s="404">
        <v>128</v>
      </c>
      <c r="D323" s="367" t="s">
        <v>14567</v>
      </c>
      <c r="E323" s="368"/>
      <c r="F323" s="369"/>
      <c r="G323" s="370"/>
      <c r="H323" s="371"/>
      <c r="I323" s="262"/>
      <c r="J323" s="262"/>
      <c r="K323" s="262"/>
      <c r="L323" s="262"/>
      <c r="M323" s="262"/>
      <c r="N323" s="262"/>
      <c r="O323" s="262"/>
      <c r="P323" s="262"/>
      <c r="Q323" s="262"/>
      <c r="R323" s="262"/>
      <c r="S323" s="262"/>
      <c r="T323" s="262"/>
      <c r="U323" s="262"/>
      <c r="V323" s="262"/>
      <c r="W323" s="262"/>
      <c r="X323" s="262"/>
      <c r="Y323" s="262"/>
      <c r="Z323" s="262"/>
      <c r="AA323" s="262"/>
      <c r="AB323" s="262"/>
    </row>
    <row r="324" spans="1:31" ht="25.5">
      <c r="A324" s="372" t="s">
        <v>14478</v>
      </c>
      <c r="B324" s="373" t="s">
        <v>14476</v>
      </c>
      <c r="C324" s="374">
        <v>90778</v>
      </c>
      <c r="D324" s="288" t="str">
        <f>IFERROR(VLOOKUP($C324,'24.08_ND'!$A:$D,2,0),)</f>
        <v>ENGENHEIRO CIVIL DE OBRA PLENO COM ENCARGOS COMPLEMENTARES</v>
      </c>
      <c r="E324" s="289" t="str">
        <f>IFERROR(VLOOKUP($C324,'24.08_ND'!$A:$D,3,0),)</f>
        <v>H</v>
      </c>
      <c r="F324" s="441">
        <v>8.9999999999999993E-3</v>
      </c>
      <c r="G324" s="291">
        <f>IFERROR(VLOOKUP($C324,'24.08_ND'!$A:$D,4,0),)</f>
        <v>112.28</v>
      </c>
      <c r="H324" s="440">
        <f>TRUNC(($F324*$G324),2)</f>
        <v>1.01</v>
      </c>
      <c r="I324" s="262"/>
      <c r="J324" s="262"/>
      <c r="K324" s="262"/>
      <c r="L324" s="262"/>
      <c r="M324" s="262"/>
      <c r="N324" s="262"/>
      <c r="O324" s="262"/>
      <c r="P324" s="262"/>
      <c r="Q324" s="262"/>
      <c r="R324" s="262"/>
      <c r="S324" s="262"/>
      <c r="T324" s="262"/>
      <c r="U324" s="262"/>
      <c r="V324" s="262"/>
      <c r="W324" s="262"/>
      <c r="X324" s="262"/>
      <c r="Y324" s="262"/>
      <c r="Z324" s="262"/>
      <c r="AA324" s="262"/>
      <c r="AB324" s="262"/>
      <c r="AD324" s="1791" t="e">
        <f>VLOOKUP(C324,'Medição '!$B$16:$F$1833,6,0)</f>
        <v>#N/A</v>
      </c>
      <c r="AE324" s="1791"/>
    </row>
    <row r="325" spans="1:31" ht="25.5">
      <c r="A325" s="372" t="s">
        <v>14478</v>
      </c>
      <c r="B325" s="373" t="s">
        <v>14476</v>
      </c>
      <c r="C325" s="374">
        <v>90776</v>
      </c>
      <c r="D325" s="288" t="str">
        <f>IFERROR(VLOOKUP($C325,'24.08_ND'!$A:$D,2,0),)</f>
        <v>ENCARREGADO GERAL COM ENCARGOS COMPLEMENTARES</v>
      </c>
      <c r="E325" s="289" t="str">
        <f>IFERROR(VLOOKUP($C325,'24.08_ND'!$A:$D,3,0),)</f>
        <v>H</v>
      </c>
      <c r="F325" s="441">
        <v>0.03</v>
      </c>
      <c r="G325" s="291">
        <f>IFERROR(VLOOKUP($C325,'24.08_ND'!$A:$D,4,0),)</f>
        <v>27.18</v>
      </c>
      <c r="H325" s="440">
        <f>TRUNC(($F325*$G325),2)</f>
        <v>0.81</v>
      </c>
      <c r="I325" s="262"/>
      <c r="J325" s="262"/>
      <c r="K325" s="262"/>
      <c r="L325" s="262"/>
      <c r="M325" s="262"/>
      <c r="N325" s="262"/>
      <c r="O325" s="262"/>
      <c r="P325" s="262"/>
      <c r="Q325" s="262"/>
      <c r="R325" s="262"/>
      <c r="S325" s="262"/>
      <c r="T325" s="262"/>
      <c r="U325" s="262"/>
      <c r="V325" s="262"/>
      <c r="W325" s="262"/>
      <c r="X325" s="262"/>
      <c r="Y325" s="262"/>
      <c r="Z325" s="262"/>
      <c r="AA325" s="262"/>
      <c r="AB325" s="262"/>
      <c r="AD325" s="1791" t="e">
        <f>VLOOKUP(C325,'Medição '!$B$16:$F$1833,6,0)</f>
        <v>#N/A</v>
      </c>
      <c r="AE325" s="1791"/>
    </row>
    <row r="326" spans="1:31" ht="25.5">
      <c r="A326" s="372" t="s">
        <v>14478</v>
      </c>
      <c r="B326" s="373" t="s">
        <v>14476</v>
      </c>
      <c r="C326" s="374">
        <v>88321</v>
      </c>
      <c r="D326" s="288" t="str">
        <f>IFERROR(VLOOKUP($C326,'24.08_ND'!$A:$D,2,0),)</f>
        <v>TÉCNICO DE LABORATÓRIO COM ENCARGOS COMPLEMENTARES</v>
      </c>
      <c r="E326" s="289" t="str">
        <f>IFERROR(VLOOKUP($C326,'24.08_ND'!$A:$D,3,0),)</f>
        <v>H</v>
      </c>
      <c r="F326" s="441">
        <v>0.03</v>
      </c>
      <c r="G326" s="291">
        <f>IFERROR(VLOOKUP($C326,'24.08_ND'!$A:$D,4,0),)</f>
        <v>27.03</v>
      </c>
      <c r="H326" s="440">
        <f>TRUNC(($F326*$G326),2)</f>
        <v>0.81</v>
      </c>
      <c r="I326" s="262"/>
      <c r="J326" s="262"/>
      <c r="K326" s="262"/>
      <c r="L326" s="262"/>
      <c r="M326" s="262"/>
      <c r="N326" s="262"/>
      <c r="O326" s="262"/>
      <c r="P326" s="262"/>
      <c r="Q326" s="262"/>
      <c r="R326" s="262"/>
      <c r="S326" s="262"/>
      <c r="T326" s="262"/>
      <c r="U326" s="262"/>
      <c r="V326" s="262"/>
      <c r="W326" s="262"/>
      <c r="X326" s="262"/>
      <c r="Y326" s="262"/>
      <c r="Z326" s="262"/>
      <c r="AA326" s="262"/>
      <c r="AB326" s="262"/>
      <c r="AD326" s="1791" t="e">
        <f>VLOOKUP(C326,'Medição '!$B$16:$F$1833,6,0)</f>
        <v>#N/A</v>
      </c>
      <c r="AE326" s="1791"/>
    </row>
    <row r="327" spans="1:31" ht="25.5">
      <c r="A327" s="376" t="s">
        <v>14479</v>
      </c>
      <c r="B327" s="312" t="str">
        <f>VLOOKUP($C327,'• CIs EXT'!$A:$E,2,0)</f>
        <v>SBC</v>
      </c>
      <c r="C327" s="377">
        <v>8823</v>
      </c>
      <c r="D327" s="378" t="str">
        <f>VLOOKUP($C327,'• CIs EXT'!$A:$E,3,0)</f>
        <v>ENSAIO - DETERMINACAO DA RESISTENCIA A COMPRESSAO DE CORPOS DE PROVA CILINDRICOS - CIMENTO PORTLAND (NBR 7215:2019)</v>
      </c>
      <c r="E327" s="379" t="str">
        <f>VLOOKUP($C327,'• CIs EXT'!$A:$E,4,0)</f>
        <v>UN</v>
      </c>
      <c r="F327" s="442">
        <v>0.2</v>
      </c>
      <c r="G327" s="379">
        <f>VLOOKUP($C327,'• CIs EXT'!$A:$E,5,0)</f>
        <v>16.39</v>
      </c>
      <c r="H327" s="381">
        <f>TRUNC(($F327*$G327),2)</f>
        <v>3.27</v>
      </c>
      <c r="I327" s="262"/>
      <c r="J327" s="262"/>
      <c r="K327" s="262"/>
      <c r="L327" s="262"/>
      <c r="M327" s="262"/>
      <c r="N327" s="262"/>
      <c r="O327" s="262"/>
      <c r="P327" s="262"/>
      <c r="Q327" s="262"/>
      <c r="R327" s="262"/>
      <c r="S327" s="262"/>
      <c r="T327" s="262"/>
      <c r="U327" s="262"/>
      <c r="V327" s="262"/>
      <c r="W327" s="262"/>
      <c r="X327" s="262"/>
      <c r="Y327" s="262"/>
      <c r="Z327" s="262"/>
      <c r="AA327" s="262"/>
      <c r="AB327" s="262"/>
    </row>
    <row r="328" spans="1:31" ht="12.75">
      <c r="A328" s="415"/>
      <c r="B328" s="416"/>
      <c r="C328" s="416"/>
      <c r="D328" s="416"/>
      <c r="E328" s="416"/>
      <c r="F328" s="417"/>
      <c r="G328" s="418"/>
      <c r="H328" s="419"/>
      <c r="I328" s="262"/>
      <c r="J328" s="262"/>
      <c r="K328" s="262"/>
      <c r="L328" s="262"/>
      <c r="M328" s="262"/>
      <c r="N328" s="262"/>
      <c r="O328" s="262"/>
      <c r="P328" s="262"/>
      <c r="Q328" s="262"/>
      <c r="R328" s="262"/>
      <c r="S328" s="262"/>
      <c r="T328" s="262"/>
      <c r="U328" s="262"/>
      <c r="V328" s="262"/>
      <c r="W328" s="262"/>
      <c r="X328" s="262"/>
      <c r="Y328" s="262"/>
      <c r="Z328" s="262"/>
      <c r="AA328" s="262"/>
      <c r="AB328" s="262"/>
    </row>
    <row r="329" spans="1:31" ht="38.25">
      <c r="A329" s="358" t="s">
        <v>14471</v>
      </c>
      <c r="B329" s="359" t="s">
        <v>14472</v>
      </c>
      <c r="C329" s="360" t="s">
        <v>14598</v>
      </c>
      <c r="D329" s="361" t="s">
        <v>14599</v>
      </c>
      <c r="E329" s="359" t="s">
        <v>409</v>
      </c>
      <c r="F329" s="401"/>
      <c r="G329" s="402"/>
      <c r="H329" s="363">
        <f>TRUNC(SUM(H331:H332),2)</f>
        <v>13.07</v>
      </c>
      <c r="I329" s="276">
        <f>COUNTIF($C$8:$C329,C:C)</f>
        <v>1</v>
      </c>
      <c r="J329" s="262"/>
      <c r="K329" s="262"/>
      <c r="L329" s="262"/>
      <c r="M329" s="262"/>
      <c r="N329" s="262"/>
      <c r="O329" s="262"/>
      <c r="P329" s="262"/>
      <c r="Q329" s="262"/>
      <c r="R329" s="262"/>
      <c r="S329" s="262"/>
      <c r="T329" s="262"/>
      <c r="U329" s="262"/>
      <c r="V329" s="262"/>
      <c r="W329" s="262"/>
      <c r="X329" s="262"/>
      <c r="Y329" s="262"/>
      <c r="Z329" s="262"/>
      <c r="AA329" s="262"/>
      <c r="AB329" s="262"/>
    </row>
    <row r="330" spans="1:31" ht="12.75">
      <c r="A330" s="364" t="s">
        <v>14475</v>
      </c>
      <c r="B330" s="403" t="s">
        <v>14600</v>
      </c>
      <c r="C330" s="404">
        <v>4922</v>
      </c>
      <c r="D330" s="367" t="s">
        <v>14567</v>
      </c>
      <c r="E330" s="368"/>
      <c r="F330" s="369"/>
      <c r="G330" s="370"/>
      <c r="H330" s="371"/>
      <c r="I330" s="262"/>
      <c r="J330" s="262"/>
      <c r="K330" s="262"/>
      <c r="L330" s="262"/>
      <c r="M330" s="262"/>
      <c r="N330" s="262"/>
      <c r="O330" s="262"/>
      <c r="P330" s="262"/>
      <c r="Q330" s="262"/>
      <c r="R330" s="262"/>
      <c r="S330" s="262"/>
      <c r="T330" s="262"/>
      <c r="U330" s="262"/>
      <c r="V330" s="262"/>
      <c r="W330" s="262"/>
      <c r="X330" s="262"/>
      <c r="Y330" s="262"/>
      <c r="Z330" s="262"/>
      <c r="AA330" s="262"/>
      <c r="AB330" s="262"/>
    </row>
    <row r="331" spans="1:31" ht="25.5">
      <c r="A331" s="406" t="s">
        <v>14478</v>
      </c>
      <c r="B331" s="343" t="s">
        <v>14476</v>
      </c>
      <c r="C331" s="408">
        <v>88316</v>
      </c>
      <c r="D331" s="288" t="str">
        <f>IFERROR(VLOOKUP($C331,'24.08_ND'!$A:$D,2,0),)</f>
        <v>SERVENTE COM ENCARGOS COMPLEMENTARES</v>
      </c>
      <c r="E331" s="289" t="str">
        <f>IFERROR(VLOOKUP($C331,'24.08_ND'!$A:$D,3,0),)</f>
        <v>H</v>
      </c>
      <c r="F331" s="443">
        <v>0.6</v>
      </c>
      <c r="G331" s="291">
        <f>IFERROR(VLOOKUP($C331,'24.08_ND'!$A:$D,4,0),)</f>
        <v>18.510000000000002</v>
      </c>
      <c r="H331" s="410">
        <f>TRUNC(($F331*$G331),2)</f>
        <v>11.1</v>
      </c>
      <c r="I331" s="262"/>
      <c r="J331" s="262"/>
      <c r="K331" s="262"/>
      <c r="L331" s="262"/>
      <c r="M331" s="262"/>
      <c r="N331" s="262"/>
      <c r="O331" s="262"/>
      <c r="P331" s="262"/>
      <c r="Q331" s="262"/>
      <c r="R331" s="262"/>
      <c r="S331" s="262"/>
      <c r="T331" s="262"/>
      <c r="U331" s="262"/>
      <c r="V331" s="262"/>
      <c r="W331" s="262"/>
      <c r="X331" s="262"/>
      <c r="Y331" s="262"/>
      <c r="Z331" s="262"/>
      <c r="AA331" s="262"/>
      <c r="AB331" s="262"/>
      <c r="AD331" s="1791" t="e">
        <f>VLOOKUP(C331,'Medição '!$B$16:$F$1833,6,0)</f>
        <v>#N/A</v>
      </c>
      <c r="AE331" s="1791"/>
    </row>
    <row r="332" spans="1:31" ht="25.5">
      <c r="A332" s="435" t="s">
        <v>14479</v>
      </c>
      <c r="B332" s="436" t="s">
        <v>14476</v>
      </c>
      <c r="C332" s="436">
        <v>4011</v>
      </c>
      <c r="D332" s="296" t="str">
        <f>IFERROR(VLOOKUP($C332,'24.08_ND'!$A:$D,2,0),)</f>
        <v>GEOTEXTIL NAO TECIDO AGULHADO DE FILAMENTOS CONTINUOS 100% POLIESTER, RESITENCIA A TRACAO = 10 KN/M</v>
      </c>
      <c r="E332" s="297" t="str">
        <f>IFERROR(VLOOKUP($C332,'24.08_ND'!$A:$D,3,0),)</f>
        <v>M2</v>
      </c>
      <c r="F332" s="444">
        <v>0.25</v>
      </c>
      <c r="G332" s="299">
        <f>IFERROR(VLOOKUP($C332,'24.08_ND'!$A:$D,4,0),)</f>
        <v>7.91</v>
      </c>
      <c r="H332" s="414">
        <f>TRUNC(($F332*$G332),2)</f>
        <v>1.97</v>
      </c>
      <c r="I332" s="262"/>
      <c r="J332" s="262"/>
      <c r="K332" s="262"/>
      <c r="L332" s="262"/>
      <c r="M332" s="262"/>
      <c r="N332" s="262"/>
      <c r="O332" s="262"/>
      <c r="P332" s="262"/>
      <c r="Q332" s="262"/>
      <c r="R332" s="262"/>
      <c r="S332" s="262"/>
      <c r="T332" s="262"/>
      <c r="U332" s="262"/>
      <c r="V332" s="262"/>
      <c r="W332" s="262"/>
      <c r="X332" s="262"/>
      <c r="Y332" s="262"/>
      <c r="Z332" s="262"/>
      <c r="AA332" s="262"/>
      <c r="AB332" s="262"/>
    </row>
    <row r="333" spans="1:31" ht="12.75">
      <c r="A333" s="415"/>
      <c r="B333" s="416"/>
      <c r="C333" s="416"/>
      <c r="D333" s="416"/>
      <c r="E333" s="416"/>
      <c r="F333" s="417"/>
      <c r="G333" s="418"/>
      <c r="H333" s="419"/>
      <c r="I333" s="262"/>
      <c r="J333" s="262"/>
      <c r="K333" s="262"/>
      <c r="L333" s="262"/>
      <c r="M333" s="262"/>
      <c r="N333" s="262"/>
      <c r="O333" s="262"/>
      <c r="P333" s="262"/>
      <c r="Q333" s="262"/>
      <c r="R333" s="262"/>
      <c r="S333" s="262"/>
      <c r="T333" s="262"/>
      <c r="U333" s="262"/>
      <c r="V333" s="262"/>
      <c r="W333" s="262"/>
      <c r="X333" s="262"/>
      <c r="Y333" s="262"/>
      <c r="Z333" s="262"/>
      <c r="AA333" s="262"/>
      <c r="AB333" s="262"/>
    </row>
    <row r="334" spans="1:31" ht="25.5">
      <c r="A334" s="358" t="s">
        <v>14471</v>
      </c>
      <c r="B334" s="359" t="s">
        <v>14472</v>
      </c>
      <c r="C334" s="360" t="s">
        <v>12604</v>
      </c>
      <c r="D334" s="361" t="s">
        <v>14601</v>
      </c>
      <c r="E334" s="359" t="s">
        <v>409</v>
      </c>
      <c r="F334" s="401"/>
      <c r="G334" s="402"/>
      <c r="H334" s="363">
        <f>TRUNC(SUM(H336:H344),2)</f>
        <v>104.07</v>
      </c>
      <c r="I334" s="276">
        <f>COUNTIF($C$8:$C334,C:C)</f>
        <v>1</v>
      </c>
      <c r="J334" s="262"/>
      <c r="K334" s="262"/>
      <c r="L334" s="262"/>
      <c r="M334" s="262"/>
      <c r="N334" s="262"/>
      <c r="O334" s="262"/>
      <c r="P334" s="262"/>
      <c r="Q334" s="262"/>
      <c r="R334" s="262"/>
      <c r="S334" s="262"/>
      <c r="T334" s="262"/>
      <c r="U334" s="262"/>
      <c r="V334" s="262"/>
      <c r="W334" s="262"/>
      <c r="X334" s="262"/>
      <c r="Y334" s="262"/>
      <c r="Z334" s="262"/>
      <c r="AA334" s="262"/>
      <c r="AB334" s="262"/>
    </row>
    <row r="335" spans="1:31" ht="12.75">
      <c r="A335" s="364" t="s">
        <v>14475</v>
      </c>
      <c r="B335" s="403" t="s">
        <v>14476</v>
      </c>
      <c r="C335" s="404">
        <v>94995</v>
      </c>
      <c r="D335" s="367" t="s">
        <v>14602</v>
      </c>
      <c r="E335" s="405"/>
      <c r="F335" s="369"/>
      <c r="G335" s="370"/>
      <c r="H335" s="371"/>
      <c r="I335" s="262"/>
      <c r="J335" s="262"/>
      <c r="K335" s="262"/>
      <c r="L335" s="262"/>
      <c r="M335" s="262"/>
      <c r="N335" s="262"/>
      <c r="O335" s="262"/>
      <c r="P335" s="262"/>
      <c r="Q335" s="262"/>
      <c r="R335" s="262"/>
      <c r="S335" s="262"/>
      <c r="T335" s="262"/>
      <c r="U335" s="262"/>
      <c r="V335" s="262"/>
      <c r="W335" s="262"/>
      <c r="X335" s="262"/>
      <c r="Y335" s="262"/>
      <c r="Z335" s="262"/>
      <c r="AA335" s="262"/>
      <c r="AB335" s="262"/>
    </row>
    <row r="336" spans="1:31" ht="25.5">
      <c r="A336" s="372" t="s">
        <v>14478</v>
      </c>
      <c r="B336" s="421" t="s">
        <v>14476</v>
      </c>
      <c r="C336" s="374">
        <v>88262</v>
      </c>
      <c r="D336" s="288" t="str">
        <f>IFERROR(VLOOKUP($C336,'24.08_ND'!$A:$D,2,0),)</f>
        <v>CARPINTEIRO DE FORMAS COM ENCARGOS COMPLEMENTARES</v>
      </c>
      <c r="E336" s="289" t="str">
        <f>IFERROR(VLOOKUP($C336,'24.08_ND'!$A:$D,3,0),)</f>
        <v>H</v>
      </c>
      <c r="F336" s="438">
        <v>0.13009999999999999</v>
      </c>
      <c r="G336" s="291">
        <f>IFERROR(VLOOKUP($C336,'24.08_ND'!$A:$D,4,0),)</f>
        <v>23.01</v>
      </c>
      <c r="H336" s="440">
        <f t="shared" ref="H336:H344" si="16">TRUNC(($F336*$G336),2)</f>
        <v>2.99</v>
      </c>
      <c r="I336" s="262"/>
      <c r="J336" s="262"/>
      <c r="K336" s="262"/>
      <c r="L336" s="262"/>
      <c r="M336" s="262"/>
      <c r="N336" s="262"/>
      <c r="O336" s="262"/>
      <c r="P336" s="262"/>
      <c r="Q336" s="262"/>
      <c r="R336" s="262"/>
      <c r="S336" s="262"/>
      <c r="T336" s="262"/>
      <c r="U336" s="262"/>
      <c r="V336" s="262"/>
      <c r="W336" s="262"/>
      <c r="X336" s="262"/>
      <c r="Y336" s="262"/>
      <c r="Z336" s="262"/>
      <c r="AA336" s="262"/>
      <c r="AB336" s="262"/>
      <c r="AD336" s="1791" t="e">
        <f>VLOOKUP(C336,'Medição '!$B$16:$F$1833,6,0)</f>
        <v>#N/A</v>
      </c>
      <c r="AE336" s="1791"/>
    </row>
    <row r="337" spans="1:31" ht="25.5">
      <c r="A337" s="372" t="s">
        <v>14478</v>
      </c>
      <c r="B337" s="421" t="s">
        <v>14476</v>
      </c>
      <c r="C337" s="374">
        <v>88309</v>
      </c>
      <c r="D337" s="288" t="str">
        <f>IFERROR(VLOOKUP($C337,'24.08_ND'!$A:$D,2,0),)</f>
        <v>PEDREIRO COM ENCARGOS COMPLEMENTARES</v>
      </c>
      <c r="E337" s="289" t="str">
        <f>IFERROR(VLOOKUP($C337,'24.08_ND'!$A:$D,3,0),)</f>
        <v>H</v>
      </c>
      <c r="F337" s="438">
        <v>8.7400000000000005E-2</v>
      </c>
      <c r="G337" s="291">
        <f>IFERROR(VLOOKUP($C337,'24.08_ND'!$A:$D,4,0),)</f>
        <v>23.33</v>
      </c>
      <c r="H337" s="440">
        <f t="shared" si="16"/>
        <v>2.0299999999999998</v>
      </c>
      <c r="I337" s="262"/>
      <c r="J337" s="262"/>
      <c r="K337" s="262"/>
      <c r="L337" s="262"/>
      <c r="M337" s="262"/>
      <c r="N337" s="262"/>
      <c r="O337" s="262"/>
      <c r="P337" s="262"/>
      <c r="Q337" s="262"/>
      <c r="R337" s="262"/>
      <c r="S337" s="262"/>
      <c r="T337" s="262"/>
      <c r="U337" s="262"/>
      <c r="V337" s="262"/>
      <c r="W337" s="262"/>
      <c r="X337" s="262"/>
      <c r="Y337" s="262"/>
      <c r="Z337" s="262"/>
      <c r="AA337" s="262"/>
      <c r="AB337" s="262"/>
      <c r="AD337" s="1791" t="e">
        <f>VLOOKUP(C337,'Medição '!$B$16:$F$1833,6,0)</f>
        <v>#N/A</v>
      </c>
      <c r="AE337" s="1791"/>
    </row>
    <row r="338" spans="1:31" ht="25.5">
      <c r="A338" s="372" t="s">
        <v>14478</v>
      </c>
      <c r="B338" s="421" t="s">
        <v>14476</v>
      </c>
      <c r="C338" s="374">
        <v>88316</v>
      </c>
      <c r="D338" s="288" t="str">
        <f>IFERROR(VLOOKUP($C338,'24.08_ND'!$A:$D,2,0),)</f>
        <v>SERVENTE COM ENCARGOS COMPLEMENTARES</v>
      </c>
      <c r="E338" s="289" t="str">
        <f>IFERROR(VLOOKUP($C338,'24.08_ND'!$A:$D,3,0),)</f>
        <v>H</v>
      </c>
      <c r="F338" s="438">
        <v>0.21759999999999999</v>
      </c>
      <c r="G338" s="291">
        <f>IFERROR(VLOOKUP($C338,'24.08_ND'!$A:$D,4,0),)</f>
        <v>18.510000000000002</v>
      </c>
      <c r="H338" s="440">
        <f t="shared" si="16"/>
        <v>4.0199999999999996</v>
      </c>
      <c r="I338" s="262"/>
      <c r="J338" s="262"/>
      <c r="K338" s="262"/>
      <c r="L338" s="262"/>
      <c r="M338" s="262"/>
      <c r="N338" s="262"/>
      <c r="O338" s="262"/>
      <c r="P338" s="262"/>
      <c r="Q338" s="262"/>
      <c r="R338" s="262"/>
      <c r="S338" s="262"/>
      <c r="T338" s="262"/>
      <c r="U338" s="262"/>
      <c r="V338" s="262"/>
      <c r="W338" s="262"/>
      <c r="X338" s="262"/>
      <c r="Y338" s="262"/>
      <c r="Z338" s="262"/>
      <c r="AA338" s="262"/>
      <c r="AB338" s="262"/>
      <c r="AD338" s="1791" t="e">
        <f>VLOOKUP(C338,'Medição '!$B$16:$F$1833,6,0)</f>
        <v>#N/A</v>
      </c>
      <c r="AE338" s="1791"/>
    </row>
    <row r="339" spans="1:31" ht="25.5">
      <c r="A339" s="445" t="s">
        <v>14479</v>
      </c>
      <c r="B339" s="446" t="s">
        <v>14476</v>
      </c>
      <c r="C339" s="447">
        <v>34493</v>
      </c>
      <c r="D339" s="296" t="str">
        <f>IFERROR(VLOOKUP($C339,'24.08_ND'!$A:$D,2,0),)</f>
        <v>CONCRETO USINADO BOMBEAVEL, CLASSE DE RESISTENCIA C25, COM BRITA 0 E 1, SLUMP = 100 +/- 20 MM, EXCLUI SERVICO DE BOMBEAMENTO (NBR 8953)</v>
      </c>
      <c r="E339" s="297" t="str">
        <f>IFERROR(VLOOKUP($C339,'24.08_ND'!$A:$D,3,0),)</f>
        <v>M3</v>
      </c>
      <c r="F339" s="448">
        <v>9.8500000000000004E-2</v>
      </c>
      <c r="G339" s="299">
        <f>IFERROR(VLOOKUP($C339,'24.08_ND'!$A:$D,4,0),)</f>
        <v>632.25</v>
      </c>
      <c r="H339" s="449">
        <f t="shared" si="16"/>
        <v>62.27</v>
      </c>
      <c r="I339" s="262"/>
      <c r="J339" s="262"/>
      <c r="K339" s="262"/>
      <c r="L339" s="262"/>
      <c r="M339" s="262"/>
      <c r="N339" s="262"/>
      <c r="O339" s="262"/>
      <c r="P339" s="262"/>
      <c r="Q339" s="262"/>
      <c r="R339" s="262"/>
      <c r="S339" s="262"/>
      <c r="T339" s="262"/>
      <c r="U339" s="262"/>
      <c r="V339" s="262"/>
      <c r="W339" s="262"/>
      <c r="X339" s="262"/>
      <c r="Y339" s="262"/>
      <c r="Z339" s="262"/>
      <c r="AA339" s="262"/>
      <c r="AB339" s="262"/>
    </row>
    <row r="340" spans="1:31" ht="25.5">
      <c r="A340" s="445" t="s">
        <v>14479</v>
      </c>
      <c r="B340" s="446" t="s">
        <v>14476</v>
      </c>
      <c r="C340" s="447">
        <v>2692</v>
      </c>
      <c r="D340" s="296" t="str">
        <f>IFERROR(VLOOKUP($C340,'24.08_ND'!$A:$D,2,0),)</f>
        <v>DESMOLDANTE PROTETOR PARA FORMAS DE MADEIRA, DE BASE OLEOSA EMULSIONADA EM AGUA</v>
      </c>
      <c r="E340" s="297" t="str">
        <f>IFERROR(VLOOKUP($C340,'24.08_ND'!$A:$D,3,0),)</f>
        <v>L</v>
      </c>
      <c r="F340" s="448">
        <v>1.6999999999999999E-3</v>
      </c>
      <c r="G340" s="299">
        <f>IFERROR(VLOOKUP($C340,'24.08_ND'!$A:$D,4,0),)</f>
        <v>6.85</v>
      </c>
      <c r="H340" s="449">
        <f t="shared" si="16"/>
        <v>0.01</v>
      </c>
      <c r="I340" s="262"/>
      <c r="J340" s="262"/>
      <c r="K340" s="262"/>
      <c r="L340" s="262"/>
      <c r="M340" s="262"/>
      <c r="N340" s="262"/>
      <c r="O340" s="262"/>
      <c r="P340" s="262"/>
      <c r="Q340" s="262"/>
      <c r="R340" s="262"/>
      <c r="S340" s="262"/>
      <c r="T340" s="262"/>
      <c r="U340" s="262"/>
      <c r="V340" s="262"/>
      <c r="W340" s="262"/>
      <c r="X340" s="262"/>
      <c r="Y340" s="262"/>
      <c r="Z340" s="262"/>
      <c r="AA340" s="262"/>
      <c r="AB340" s="262"/>
    </row>
    <row r="341" spans="1:31" ht="12.75">
      <c r="A341" s="445" t="s">
        <v>14479</v>
      </c>
      <c r="B341" s="446" t="s">
        <v>14476</v>
      </c>
      <c r="C341" s="447">
        <v>5068</v>
      </c>
      <c r="D341" s="296" t="str">
        <f>IFERROR(VLOOKUP($C341,'24.08_ND'!$A:$D,2,0),)</f>
        <v>PREGO DE ACO POLIDO COM CABECA 17 X 21 (2 X 11)</v>
      </c>
      <c r="E341" s="297" t="str">
        <f>IFERROR(VLOOKUP($C341,'24.08_ND'!$A:$D,3,0),)</f>
        <v>KG</v>
      </c>
      <c r="F341" s="448">
        <v>2.4E-2</v>
      </c>
      <c r="G341" s="299">
        <f>IFERROR(VLOOKUP($C341,'24.08_ND'!$A:$D,4,0),)</f>
        <v>16.309999999999999</v>
      </c>
      <c r="H341" s="449">
        <f t="shared" si="16"/>
        <v>0.39</v>
      </c>
      <c r="I341" s="262"/>
      <c r="J341" s="262"/>
      <c r="K341" s="262"/>
      <c r="L341" s="262"/>
      <c r="M341" s="262"/>
      <c r="N341" s="262"/>
      <c r="O341" s="262"/>
      <c r="P341" s="262"/>
      <c r="Q341" s="262"/>
      <c r="R341" s="262"/>
      <c r="S341" s="262"/>
      <c r="T341" s="262"/>
      <c r="U341" s="262"/>
      <c r="V341" s="262"/>
      <c r="W341" s="262"/>
      <c r="X341" s="262"/>
      <c r="Y341" s="262"/>
      <c r="Z341" s="262"/>
      <c r="AA341" s="262"/>
      <c r="AB341" s="262"/>
    </row>
    <row r="342" spans="1:31" ht="12.75">
      <c r="A342" s="445" t="s">
        <v>14479</v>
      </c>
      <c r="B342" s="446" t="s">
        <v>14476</v>
      </c>
      <c r="C342" s="447">
        <v>4509</v>
      </c>
      <c r="D342" s="296" t="str">
        <f>IFERROR(VLOOKUP($C342,'24.08_ND'!$A:$D,2,0),)</f>
        <v>SARRAFO *2,5 X 10* CM EM PINUS, MISTA OU EQUIVALENTE DA REGIAO - BRUTA</v>
      </c>
      <c r="E342" s="297" t="str">
        <f>IFERROR(VLOOKUP($C342,'24.08_ND'!$A:$D,3,0),)</f>
        <v>M</v>
      </c>
      <c r="F342" s="448">
        <v>0.25</v>
      </c>
      <c r="G342" s="299">
        <f>IFERROR(VLOOKUP($C342,'24.08_ND'!$A:$D,4,0),)</f>
        <v>5.32</v>
      </c>
      <c r="H342" s="449">
        <f t="shared" si="16"/>
        <v>1.33</v>
      </c>
      <c r="I342" s="262"/>
      <c r="J342" s="262"/>
      <c r="K342" s="262"/>
      <c r="L342" s="262"/>
      <c r="M342" s="262"/>
      <c r="N342" s="262"/>
      <c r="O342" s="262"/>
      <c r="P342" s="262"/>
      <c r="Q342" s="262"/>
      <c r="R342" s="262"/>
      <c r="S342" s="262"/>
      <c r="T342" s="262"/>
      <c r="U342" s="262"/>
      <c r="V342" s="262"/>
      <c r="W342" s="262"/>
      <c r="X342" s="262"/>
      <c r="Y342" s="262"/>
      <c r="Z342" s="262"/>
      <c r="AA342" s="262"/>
      <c r="AB342" s="262"/>
    </row>
    <row r="343" spans="1:31" ht="12.75">
      <c r="A343" s="445" t="s">
        <v>14479</v>
      </c>
      <c r="B343" s="446" t="s">
        <v>14476</v>
      </c>
      <c r="C343" s="447">
        <v>4517</v>
      </c>
      <c r="D343" s="296" t="str">
        <f>IFERROR(VLOOKUP($C343,'24.08_ND'!$A:$D,2,0),)</f>
        <v>SARRAFO *2,5 X 7,5* CM EM PINUS, MISTA OU EQUIVALENTE DA REGIAO - BRUTA</v>
      </c>
      <c r="E343" s="297" t="str">
        <f>IFERROR(VLOOKUP($C343,'24.08_ND'!$A:$D,3,0),)</f>
        <v>M</v>
      </c>
      <c r="F343" s="448">
        <v>0.2</v>
      </c>
      <c r="G343" s="299">
        <f>IFERROR(VLOOKUP($C343,'24.08_ND'!$A:$D,4,0),)</f>
        <v>3.67</v>
      </c>
      <c r="H343" s="449">
        <f t="shared" si="16"/>
        <v>0.73</v>
      </c>
      <c r="I343" s="262"/>
      <c r="J343" s="262"/>
      <c r="K343" s="262"/>
      <c r="L343" s="262"/>
      <c r="M343" s="262"/>
      <c r="N343" s="262"/>
      <c r="O343" s="262"/>
      <c r="P343" s="262"/>
      <c r="Q343" s="262"/>
      <c r="R343" s="262"/>
      <c r="S343" s="262"/>
      <c r="T343" s="262"/>
      <c r="U343" s="262"/>
      <c r="V343" s="262"/>
      <c r="W343" s="262"/>
      <c r="X343" s="262"/>
      <c r="Y343" s="262"/>
      <c r="Z343" s="262"/>
      <c r="AA343" s="262"/>
      <c r="AB343" s="262"/>
    </row>
    <row r="344" spans="1:31" ht="25.5">
      <c r="A344" s="445" t="s">
        <v>14479</v>
      </c>
      <c r="B344" s="446" t="s">
        <v>14476</v>
      </c>
      <c r="C344" s="447">
        <v>7156</v>
      </c>
      <c r="D344" s="296" t="str">
        <f>IFERROR(VLOOKUP($C344,'24.08_ND'!$A:$D,2,0),)</f>
        <v>TELA DE ACO SOLDADA NERVURADA, CA-60, Q-196, (3,11 KG/M2), DIAMETRO DO FIO = 5,0 MM, LARGURA = 2,45 M, ESPACAMENTO DA MALHA = 10 X 10 CM</v>
      </c>
      <c r="E344" s="297" t="str">
        <f>IFERROR(VLOOKUP($C344,'24.08_ND'!$A:$D,3,0),)</f>
        <v>M2</v>
      </c>
      <c r="F344" s="448">
        <v>1.0815999999999999</v>
      </c>
      <c r="G344" s="299">
        <v>28.02</v>
      </c>
      <c r="H344" s="449">
        <f t="shared" si="16"/>
        <v>30.3</v>
      </c>
      <c r="I344" s="262"/>
      <c r="J344" s="262"/>
      <c r="K344" s="262"/>
      <c r="L344" s="262"/>
      <c r="M344" s="262"/>
      <c r="N344" s="262"/>
      <c r="O344" s="262"/>
      <c r="P344" s="262"/>
      <c r="Q344" s="262"/>
      <c r="R344" s="262"/>
      <c r="S344" s="262"/>
      <c r="T344" s="262"/>
      <c r="U344" s="262"/>
      <c r="V344" s="262"/>
      <c r="W344" s="262"/>
      <c r="X344" s="262"/>
      <c r="Y344" s="262"/>
      <c r="Z344" s="262"/>
      <c r="AA344" s="262"/>
      <c r="AB344" s="262"/>
    </row>
    <row r="345" spans="1:31" ht="12.75">
      <c r="A345" s="450"/>
      <c r="C345" s="451"/>
      <c r="F345" s="452"/>
      <c r="H345" s="453"/>
      <c r="I345" s="262"/>
      <c r="J345" s="262"/>
      <c r="K345" s="262"/>
      <c r="L345" s="262"/>
      <c r="M345" s="262"/>
      <c r="N345" s="262"/>
      <c r="O345" s="262"/>
      <c r="P345" s="262"/>
      <c r="Q345" s="262"/>
      <c r="R345" s="262"/>
      <c r="S345" s="262"/>
      <c r="T345" s="262"/>
      <c r="U345" s="262"/>
      <c r="V345" s="262"/>
      <c r="W345" s="262"/>
      <c r="X345" s="262"/>
      <c r="Y345" s="262"/>
      <c r="Z345" s="262"/>
      <c r="AA345" s="262"/>
      <c r="AB345" s="262"/>
    </row>
    <row r="346" spans="1:31" ht="12.75">
      <c r="A346" s="358" t="s">
        <v>14471</v>
      </c>
      <c r="B346" s="359" t="s">
        <v>14472</v>
      </c>
      <c r="C346" s="360" t="s">
        <v>14603</v>
      </c>
      <c r="D346" s="361" t="s">
        <v>14604</v>
      </c>
      <c r="E346" s="359" t="s">
        <v>409</v>
      </c>
      <c r="F346" s="401"/>
      <c r="G346" s="402"/>
      <c r="H346" s="363">
        <f>TRUNC(SUM(H348:H350),2)</f>
        <v>11.19</v>
      </c>
      <c r="I346" s="276">
        <f>COUNTIF($C$8:$C346,C:C)</f>
        <v>1</v>
      </c>
      <c r="J346" s="262"/>
      <c r="K346" s="262"/>
      <c r="L346" s="262"/>
      <c r="M346" s="262"/>
      <c r="N346" s="262"/>
      <c r="O346" s="262"/>
      <c r="P346" s="262"/>
      <c r="Q346" s="262"/>
      <c r="R346" s="262"/>
      <c r="S346" s="262"/>
      <c r="T346" s="262"/>
      <c r="U346" s="262"/>
      <c r="V346" s="262"/>
      <c r="W346" s="262"/>
      <c r="X346" s="262"/>
      <c r="Y346" s="262"/>
      <c r="Z346" s="262"/>
      <c r="AA346" s="262"/>
      <c r="AB346" s="262"/>
    </row>
    <row r="347" spans="1:31" ht="12.75">
      <c r="A347" s="364" t="s">
        <v>14475</v>
      </c>
      <c r="B347" s="403" t="s">
        <v>14476</v>
      </c>
      <c r="C347" s="404">
        <v>89996</v>
      </c>
      <c r="D347" s="367" t="s">
        <v>14587</v>
      </c>
      <c r="E347" s="405"/>
      <c r="F347" s="369"/>
      <c r="G347" s="370"/>
      <c r="H347" s="371"/>
      <c r="I347" s="262"/>
      <c r="J347" s="262"/>
      <c r="K347" s="262"/>
      <c r="L347" s="262"/>
      <c r="M347" s="262"/>
      <c r="N347" s="262"/>
      <c r="O347" s="262"/>
      <c r="P347" s="262"/>
      <c r="Q347" s="262"/>
      <c r="R347" s="262"/>
      <c r="S347" s="262"/>
      <c r="T347" s="262"/>
      <c r="U347" s="262"/>
      <c r="V347" s="262"/>
      <c r="W347" s="262"/>
      <c r="X347" s="262"/>
      <c r="Y347" s="262"/>
      <c r="Z347" s="262"/>
      <c r="AA347" s="262"/>
      <c r="AB347" s="262"/>
    </row>
    <row r="348" spans="1:31" ht="25.5">
      <c r="A348" s="372" t="s">
        <v>14478</v>
      </c>
      <c r="B348" s="421" t="s">
        <v>14476</v>
      </c>
      <c r="C348" s="374">
        <v>88238</v>
      </c>
      <c r="D348" s="288" t="str">
        <f>IFERROR(VLOOKUP($C348,'24.08_ND'!$A:$D,2,0),)</f>
        <v>AJUDANTE DE ARMADOR COM ENCARGOS COMPLEMENTARES</v>
      </c>
      <c r="E348" s="289" t="str">
        <f>IFERROR(VLOOKUP($C348,'24.08_ND'!$A:$D,3,0),)</f>
        <v>H</v>
      </c>
      <c r="F348" s="375">
        <v>4.1000000000000002E-2</v>
      </c>
      <c r="G348" s="291">
        <f>IFERROR(VLOOKUP($C348,'24.08_ND'!$A:$D,4,0),)</f>
        <v>19.579999999999998</v>
      </c>
      <c r="H348" s="440">
        <f>TRUNC(($F348*$G348),2)</f>
        <v>0.8</v>
      </c>
      <c r="I348" s="262"/>
      <c r="J348" s="262"/>
      <c r="K348" s="262"/>
      <c r="L348" s="262"/>
      <c r="M348" s="262"/>
      <c r="N348" s="262"/>
      <c r="O348" s="262"/>
      <c r="P348" s="262"/>
      <c r="Q348" s="262"/>
      <c r="R348" s="262"/>
      <c r="S348" s="262"/>
      <c r="T348" s="262"/>
      <c r="U348" s="262"/>
      <c r="V348" s="262"/>
      <c r="W348" s="262"/>
      <c r="X348" s="262"/>
      <c r="Y348" s="262"/>
      <c r="Z348" s="262"/>
      <c r="AA348" s="262"/>
      <c r="AB348" s="262"/>
      <c r="AD348" s="1791" t="e">
        <f>VLOOKUP(C348,'Medição '!$B$16:$F$1833,6,0)</f>
        <v>#N/A</v>
      </c>
      <c r="AE348" s="1791"/>
    </row>
    <row r="349" spans="1:31" ht="25.5">
      <c r="A349" s="372" t="s">
        <v>14478</v>
      </c>
      <c r="B349" s="421" t="s">
        <v>14476</v>
      </c>
      <c r="C349" s="374">
        <v>88245</v>
      </c>
      <c r="D349" s="288" t="str">
        <f>IFERROR(VLOOKUP($C349,'24.08_ND'!$A:$D,2,0),)</f>
        <v>ARMADOR COM ENCARGOS COMPLEMENTARES</v>
      </c>
      <c r="E349" s="289" t="str">
        <f>IFERROR(VLOOKUP($C349,'24.08_ND'!$A:$D,3,0),)</f>
        <v>H</v>
      </c>
      <c r="F349" s="375">
        <v>6.1499999999999999E-2</v>
      </c>
      <c r="G349" s="291">
        <f>IFERROR(VLOOKUP($C349,'24.08_ND'!$A:$D,4,0),)</f>
        <v>23.13</v>
      </c>
      <c r="H349" s="440">
        <f>TRUNC(($F349*$G349),2)</f>
        <v>1.42</v>
      </c>
      <c r="I349" s="262"/>
      <c r="J349" s="262"/>
      <c r="K349" s="262"/>
      <c r="L349" s="262"/>
      <c r="M349" s="262"/>
      <c r="N349" s="262"/>
      <c r="O349" s="262"/>
      <c r="P349" s="262"/>
      <c r="Q349" s="262"/>
      <c r="R349" s="262"/>
      <c r="S349" s="262"/>
      <c r="T349" s="262"/>
      <c r="U349" s="262"/>
      <c r="V349" s="262"/>
      <c r="W349" s="262"/>
      <c r="X349" s="262"/>
      <c r="Y349" s="262"/>
      <c r="Z349" s="262"/>
      <c r="AA349" s="262"/>
      <c r="AB349" s="262"/>
      <c r="AD349" s="1791" t="e">
        <f>VLOOKUP(C349,'Medição '!$B$16:$F$1833,6,0)</f>
        <v>#N/A</v>
      </c>
      <c r="AE349" s="1791"/>
    </row>
    <row r="350" spans="1:31" ht="12.75">
      <c r="A350" s="445" t="s">
        <v>14479</v>
      </c>
      <c r="B350" s="446" t="s">
        <v>14476</v>
      </c>
      <c r="C350" s="447">
        <v>33</v>
      </c>
      <c r="D350" s="296" t="str">
        <f>IFERROR(VLOOKUP($C350,'24.08_ND'!$A:$D,2,0),)</f>
        <v>ACO CA-50, 8,0 MM, VERGALHAO</v>
      </c>
      <c r="E350" s="297" t="str">
        <f>IFERROR(VLOOKUP($C350,'24.08_ND'!$A:$D,3,0),)</f>
        <v>KG</v>
      </c>
      <c r="F350" s="385">
        <v>1</v>
      </c>
      <c r="G350" s="299">
        <f>IFERROR(VLOOKUP($C350,'24.08_ND'!$A:$D,4,0),)</f>
        <v>8.9700000000000006</v>
      </c>
      <c r="H350" s="449">
        <f>TRUNC(($F350*$G350),2)</f>
        <v>8.9700000000000006</v>
      </c>
      <c r="I350" s="262"/>
      <c r="J350" s="262"/>
      <c r="K350" s="262"/>
      <c r="L350" s="262"/>
      <c r="M350" s="262"/>
      <c r="N350" s="262"/>
      <c r="O350" s="262"/>
      <c r="P350" s="262"/>
      <c r="Q350" s="262"/>
      <c r="R350" s="262"/>
      <c r="S350" s="262"/>
      <c r="T350" s="262"/>
      <c r="U350" s="262"/>
      <c r="V350" s="262"/>
      <c r="W350" s="262"/>
      <c r="X350" s="262"/>
      <c r="Y350" s="262"/>
      <c r="Z350" s="262"/>
      <c r="AA350" s="262"/>
      <c r="AB350" s="262"/>
    </row>
    <row r="351" spans="1:31" ht="12.75">
      <c r="A351" s="450"/>
      <c r="C351" s="451"/>
      <c r="F351" s="452"/>
      <c r="H351" s="453"/>
      <c r="I351" s="262"/>
      <c r="J351" s="262"/>
      <c r="K351" s="262"/>
      <c r="L351" s="262"/>
      <c r="M351" s="262"/>
      <c r="N351" s="262"/>
      <c r="O351" s="262"/>
      <c r="P351" s="262"/>
      <c r="Q351" s="262"/>
      <c r="R351" s="262"/>
      <c r="S351" s="262"/>
      <c r="T351" s="262"/>
      <c r="U351" s="262"/>
      <c r="V351" s="262"/>
      <c r="W351" s="262"/>
      <c r="X351" s="262"/>
      <c r="Y351" s="262"/>
      <c r="Z351" s="262"/>
      <c r="AA351" s="262"/>
      <c r="AB351" s="262"/>
    </row>
    <row r="352" spans="1:31" ht="25.5">
      <c r="A352" s="358" t="s">
        <v>14471</v>
      </c>
      <c r="B352" s="359" t="s">
        <v>14472</v>
      </c>
      <c r="C352" s="360" t="s">
        <v>14605</v>
      </c>
      <c r="D352" s="361" t="s">
        <v>14606</v>
      </c>
      <c r="E352" s="359" t="s">
        <v>409</v>
      </c>
      <c r="F352" s="401"/>
      <c r="G352" s="402"/>
      <c r="H352" s="363">
        <f>TRUNC(SUM(H354:H359),2)</f>
        <v>130.38999999999999</v>
      </c>
      <c r="I352" s="276">
        <f>COUNTIF($C$8:$C352,C:C)</f>
        <v>1</v>
      </c>
      <c r="J352" s="262"/>
      <c r="K352" s="262"/>
      <c r="L352" s="262"/>
      <c r="M352" s="262"/>
      <c r="N352" s="262"/>
      <c r="O352" s="262"/>
      <c r="P352" s="262"/>
      <c r="Q352" s="262"/>
      <c r="R352" s="262"/>
      <c r="S352" s="262"/>
      <c r="T352" s="262"/>
      <c r="U352" s="262"/>
      <c r="V352" s="262"/>
      <c r="W352" s="262"/>
      <c r="X352" s="262"/>
      <c r="Y352" s="262"/>
      <c r="Z352" s="262"/>
      <c r="AA352" s="262"/>
      <c r="AB352" s="262"/>
    </row>
    <row r="353" spans="1:31" ht="12.75">
      <c r="A353" s="364" t="s">
        <v>14475</v>
      </c>
      <c r="B353" s="403" t="s">
        <v>14476</v>
      </c>
      <c r="C353" s="403">
        <v>103340</v>
      </c>
      <c r="D353" s="367" t="s">
        <v>14587</v>
      </c>
      <c r="E353" s="405"/>
      <c r="F353" s="369"/>
      <c r="G353" s="370"/>
      <c r="H353" s="371"/>
      <c r="I353" s="262"/>
      <c r="J353" s="262"/>
      <c r="K353" s="262"/>
      <c r="L353" s="262"/>
      <c r="M353" s="262"/>
      <c r="N353" s="262"/>
      <c r="O353" s="262"/>
      <c r="P353" s="262"/>
      <c r="Q353" s="262"/>
      <c r="R353" s="262"/>
      <c r="S353" s="262"/>
      <c r="T353" s="262"/>
      <c r="U353" s="262"/>
      <c r="V353" s="262"/>
      <c r="W353" s="262"/>
      <c r="X353" s="262"/>
      <c r="Y353" s="262"/>
      <c r="Z353" s="262"/>
      <c r="AA353" s="262"/>
      <c r="AB353" s="262"/>
    </row>
    <row r="354" spans="1:31" ht="25.5">
      <c r="A354" s="372" t="s">
        <v>14478</v>
      </c>
      <c r="B354" s="421" t="s">
        <v>14476</v>
      </c>
      <c r="C354" s="454">
        <v>88309</v>
      </c>
      <c r="D354" s="288" t="str">
        <f>IFERROR(VLOOKUP($C354,'24.08_ND'!$A:$D,2,0),)</f>
        <v>PEDREIRO COM ENCARGOS COMPLEMENTARES</v>
      </c>
      <c r="E354" s="289" t="str">
        <f>IFERROR(VLOOKUP($C354,'24.08_ND'!$A:$D,3,0),)</f>
        <v>H</v>
      </c>
      <c r="F354" s="455">
        <v>1.1299999999999999</v>
      </c>
      <c r="G354" s="291">
        <f>IFERROR(VLOOKUP($C354,'24.08_ND'!$A:$D,4,0),)</f>
        <v>23.33</v>
      </c>
      <c r="H354" s="440">
        <f t="shared" ref="H354:H359" si="17">TRUNC(($F354*$G354),2)</f>
        <v>26.36</v>
      </c>
      <c r="I354" s="262"/>
      <c r="J354" s="262"/>
      <c r="K354" s="262"/>
      <c r="L354" s="262"/>
      <c r="M354" s="262"/>
      <c r="N354" s="262"/>
      <c r="O354" s="262"/>
      <c r="P354" s="262"/>
      <c r="Q354" s="262"/>
      <c r="R354" s="262"/>
      <c r="S354" s="262"/>
      <c r="T354" s="262"/>
      <c r="U354" s="262"/>
      <c r="V354" s="262"/>
      <c r="W354" s="262"/>
      <c r="X354" s="262"/>
      <c r="Y354" s="262"/>
      <c r="Z354" s="262"/>
      <c r="AA354" s="262"/>
      <c r="AB354" s="262"/>
      <c r="AD354" s="1791" t="e">
        <f>VLOOKUP(C354,'Medição '!$B$16:$F$1833,6,0)</f>
        <v>#N/A</v>
      </c>
      <c r="AE354" s="1791"/>
    </row>
    <row r="355" spans="1:31" ht="25.5">
      <c r="A355" s="372" t="s">
        <v>14478</v>
      </c>
      <c r="B355" s="421" t="s">
        <v>14476</v>
      </c>
      <c r="C355" s="454">
        <v>88316</v>
      </c>
      <c r="D355" s="288" t="str">
        <f>IFERROR(VLOOKUP($C355,'24.08_ND'!$A:$D,2,0),)</f>
        <v>SERVENTE COM ENCARGOS COMPLEMENTARES</v>
      </c>
      <c r="E355" s="289" t="str">
        <f>IFERROR(VLOOKUP($C355,'24.08_ND'!$A:$D,3,0),)</f>
        <v>H</v>
      </c>
      <c r="F355" s="455">
        <v>0.56499999999999995</v>
      </c>
      <c r="G355" s="291">
        <f>IFERROR(VLOOKUP($C355,'24.08_ND'!$A:$D,4,0),)</f>
        <v>18.510000000000002</v>
      </c>
      <c r="H355" s="440">
        <f t="shared" si="17"/>
        <v>10.45</v>
      </c>
      <c r="I355" s="262"/>
      <c r="J355" s="262"/>
      <c r="K355" s="262"/>
      <c r="L355" s="262"/>
      <c r="M355" s="262"/>
      <c r="N355" s="262"/>
      <c r="O355" s="262"/>
      <c r="P355" s="262"/>
      <c r="Q355" s="262"/>
      <c r="R355" s="262"/>
      <c r="S355" s="262"/>
      <c r="T355" s="262"/>
      <c r="U355" s="262"/>
      <c r="V355" s="262"/>
      <c r="W355" s="262"/>
      <c r="X355" s="262"/>
      <c r="Y355" s="262"/>
      <c r="Z355" s="262"/>
      <c r="AA355" s="262"/>
      <c r="AB355" s="262"/>
      <c r="AD355" s="1791" t="e">
        <f>VLOOKUP(C355,'Medição '!$B$16:$F$1833,6,0)</f>
        <v>#N/A</v>
      </c>
      <c r="AE355" s="1791"/>
    </row>
    <row r="356" spans="1:31" ht="38.25">
      <c r="A356" s="372" t="s">
        <v>14478</v>
      </c>
      <c r="B356" s="421" t="s">
        <v>14476</v>
      </c>
      <c r="C356" s="454">
        <v>87292</v>
      </c>
      <c r="D356" s="288" t="str">
        <f>IFERROR(VLOOKUP($C356,'24.08_ND'!$A:$D,2,0),)</f>
        <v>ARGAMASSA TRAÇO 1:2:8 (EM VOLUME DE CIMENTO, CAL E AREIA MÉDIA ÚMIDA) PARA EMBOÇO/MASSA ÚNICA/ASSENTAMENTO DE ALVENARIA DE VEDAÇÃO, PREPARO MECÂNICO COM BETONEIRA 400 L. AF_08/2019</v>
      </c>
      <c r="E356" s="289" t="str">
        <f>IFERROR(VLOOKUP($C356,'24.08_ND'!$A:$D,3,0),)</f>
        <v>M3</v>
      </c>
      <c r="F356" s="455">
        <v>1.2800000000000001E-2</v>
      </c>
      <c r="G356" s="291">
        <f>IFERROR(VLOOKUP($C356,'24.08_ND'!$A:$D,4,0),)</f>
        <v>528.39</v>
      </c>
      <c r="H356" s="440">
        <f t="shared" si="17"/>
        <v>6.76</v>
      </c>
      <c r="I356" s="262"/>
      <c r="J356" s="262"/>
      <c r="K356" s="262"/>
      <c r="L356" s="262"/>
      <c r="M356" s="262"/>
      <c r="N356" s="262"/>
      <c r="O356" s="262"/>
      <c r="P356" s="262"/>
      <c r="Q356" s="262"/>
      <c r="R356" s="262"/>
      <c r="S356" s="262"/>
      <c r="T356" s="262"/>
      <c r="U356" s="262"/>
      <c r="V356" s="262"/>
      <c r="W356" s="262"/>
      <c r="X356" s="262"/>
      <c r="Y356" s="262"/>
      <c r="Z356" s="262"/>
      <c r="AA356" s="262"/>
      <c r="AB356" s="262"/>
      <c r="AD356" s="1791" t="e">
        <f>VLOOKUP(C356,'Medição '!$B$16:$F$1833,6,0)</f>
        <v>#N/A</v>
      </c>
      <c r="AE356" s="1791"/>
    </row>
    <row r="357" spans="1:31" ht="25.5">
      <c r="A357" s="445" t="s">
        <v>14479</v>
      </c>
      <c r="B357" s="446" t="s">
        <v>14476</v>
      </c>
      <c r="C357" s="456">
        <v>34548</v>
      </c>
      <c r="D357" s="296" t="str">
        <f>IFERROR(VLOOKUP($C357,'24.08_ND'!$A:$D,2,0),)</f>
        <v>TELA DE ACO SOLDADA GALVANIZADA/ZINCADA PARA ALVENARIA, FIO D = *1,20 A 1,70* MM, MALHA 15 X 15 MM, (C X L) *50 X 17,5* CM</v>
      </c>
      <c r="E357" s="297" t="str">
        <f>IFERROR(VLOOKUP($C357,'24.08_ND'!$A:$D,3,0),)</f>
        <v>M</v>
      </c>
      <c r="F357" s="457">
        <v>0.42</v>
      </c>
      <c r="G357" s="299">
        <f>IFERROR(VLOOKUP($C357,'24.08_ND'!$A:$D,4,0),)</f>
        <v>6.34</v>
      </c>
      <c r="H357" s="449">
        <f t="shared" si="17"/>
        <v>2.66</v>
      </c>
      <c r="I357" s="262"/>
      <c r="J357" s="262"/>
      <c r="K357" s="262"/>
      <c r="L357" s="262"/>
      <c r="M357" s="262"/>
      <c r="N357" s="262"/>
      <c r="O357" s="262"/>
      <c r="P357" s="262"/>
      <c r="Q357" s="262"/>
      <c r="R357" s="262"/>
      <c r="S357" s="262"/>
      <c r="T357" s="262"/>
      <c r="U357" s="262"/>
      <c r="V357" s="262"/>
      <c r="W357" s="262"/>
      <c r="X357" s="262"/>
      <c r="Y357" s="262"/>
      <c r="Z357" s="262"/>
      <c r="AA357" s="262"/>
      <c r="AB357" s="262"/>
    </row>
    <row r="358" spans="1:31" ht="12.75">
      <c r="A358" s="445" t="s">
        <v>14479</v>
      </c>
      <c r="B358" s="446" t="s">
        <v>14476</v>
      </c>
      <c r="C358" s="456">
        <v>34580</v>
      </c>
      <c r="D358" s="296" t="str">
        <f>IFERROR(VLOOKUP($C358,'24.08_ND'!$A:$D,2,0),)</f>
        <v>BLOCO DE CONCRETO ESTRUTURAL 19 X 19 X 39 CM, FBK 8 MPA (NBR 6136)</v>
      </c>
      <c r="E358" s="297" t="str">
        <f>IFERROR(VLOOKUP($C358,'24.08_ND'!$A:$D,3,0),)</f>
        <v>UN</v>
      </c>
      <c r="F358" s="457">
        <v>13.6</v>
      </c>
      <c r="G358" s="299">
        <f>IFERROR(VLOOKUP($C358,'24.08_ND'!$A:$D,4,0),)</f>
        <v>6.16</v>
      </c>
      <c r="H358" s="449">
        <f t="shared" si="17"/>
        <v>83.77</v>
      </c>
      <c r="I358" s="262"/>
      <c r="J358" s="262"/>
      <c r="K358" s="262"/>
      <c r="L358" s="262"/>
      <c r="M358" s="262"/>
      <c r="N358" s="262"/>
      <c r="O358" s="262"/>
      <c r="P358" s="262"/>
      <c r="Q358" s="262"/>
      <c r="R358" s="262"/>
      <c r="S358" s="262"/>
      <c r="T358" s="262"/>
      <c r="U358" s="262"/>
      <c r="V358" s="262"/>
      <c r="W358" s="262"/>
      <c r="X358" s="262"/>
      <c r="Y358" s="262"/>
      <c r="Z358" s="262"/>
      <c r="AA358" s="262"/>
      <c r="AB358" s="262"/>
    </row>
    <row r="359" spans="1:31" ht="12.75">
      <c r="A359" s="445" t="s">
        <v>14479</v>
      </c>
      <c r="B359" s="446" t="s">
        <v>14476</v>
      </c>
      <c r="C359" s="456">
        <v>37395</v>
      </c>
      <c r="D359" s="296" t="str">
        <f>IFERROR(VLOOKUP($C359,'24.08_ND'!$A:$D,2,0),)</f>
        <v>PINO DE ACO COM FURO, HASTE = 27 MM (ACAO DIRETA)</v>
      </c>
      <c r="E359" s="297" t="str">
        <f>IFERROR(VLOOKUP($C359,'24.08_ND'!$A:$D,3,0),)</f>
        <v>CENTO</v>
      </c>
      <c r="F359" s="457">
        <v>0.01</v>
      </c>
      <c r="G359" s="299">
        <f>IFERROR(VLOOKUP($C359,'24.08_ND'!$A:$D,4,0),)</f>
        <v>39.840000000000003</v>
      </c>
      <c r="H359" s="449">
        <f t="shared" si="17"/>
        <v>0.39</v>
      </c>
      <c r="I359" s="262"/>
      <c r="J359" s="262"/>
      <c r="K359" s="262"/>
      <c r="L359" s="262"/>
      <c r="M359" s="262"/>
      <c r="N359" s="262"/>
      <c r="O359" s="262"/>
      <c r="P359" s="262"/>
      <c r="Q359" s="262"/>
      <c r="R359" s="262"/>
      <c r="S359" s="262"/>
      <c r="T359" s="262"/>
      <c r="U359" s="262"/>
      <c r="V359" s="262"/>
      <c r="W359" s="262"/>
      <c r="X359" s="262"/>
      <c r="Y359" s="262"/>
      <c r="Z359" s="262"/>
      <c r="AA359" s="262"/>
      <c r="AB359" s="262"/>
    </row>
    <row r="360" spans="1:31" ht="12.75">
      <c r="A360" s="450"/>
      <c r="C360" s="451"/>
      <c r="F360" s="452"/>
      <c r="H360" s="453"/>
      <c r="I360" s="262"/>
      <c r="J360" s="262"/>
      <c r="K360" s="262"/>
      <c r="L360" s="262"/>
      <c r="M360" s="262"/>
      <c r="N360" s="262"/>
      <c r="O360" s="262"/>
      <c r="P360" s="262"/>
      <c r="Q360" s="262"/>
      <c r="R360" s="262"/>
      <c r="S360" s="262"/>
      <c r="T360" s="262"/>
      <c r="U360" s="262"/>
      <c r="V360" s="262"/>
      <c r="W360" s="262"/>
      <c r="X360" s="262"/>
      <c r="Y360" s="262"/>
      <c r="Z360" s="262"/>
      <c r="AA360" s="262"/>
      <c r="AB360" s="262"/>
    </row>
    <row r="361" spans="1:31" ht="12.75">
      <c r="A361" s="358" t="s">
        <v>14471</v>
      </c>
      <c r="B361" s="359" t="s">
        <v>14472</v>
      </c>
      <c r="C361" s="360" t="s">
        <v>14607</v>
      </c>
      <c r="D361" s="361" t="s">
        <v>14608</v>
      </c>
      <c r="E361" s="359" t="s">
        <v>409</v>
      </c>
      <c r="F361" s="401"/>
      <c r="G361" s="402"/>
      <c r="H361" s="363">
        <f>TRUNC(SUM(H363:H365),2)</f>
        <v>29.77</v>
      </c>
      <c r="I361" s="276">
        <f>COUNTIF($C$8:$C361,C:C)</f>
        <v>1</v>
      </c>
      <c r="J361" s="262"/>
      <c r="K361" s="262"/>
      <c r="L361" s="262"/>
      <c r="M361" s="262"/>
      <c r="N361" s="262"/>
      <c r="O361" s="262"/>
      <c r="P361" s="262"/>
      <c r="Q361" s="262"/>
      <c r="R361" s="262"/>
      <c r="S361" s="262"/>
      <c r="T361" s="262"/>
      <c r="U361" s="262"/>
      <c r="V361" s="262"/>
      <c r="W361" s="262"/>
      <c r="X361" s="262"/>
      <c r="Y361" s="262"/>
      <c r="Z361" s="262"/>
      <c r="AA361" s="262"/>
      <c r="AB361" s="262"/>
    </row>
    <row r="362" spans="1:31" ht="12.75">
      <c r="A362" s="364" t="s">
        <v>14475</v>
      </c>
      <c r="B362" s="403" t="s">
        <v>14476</v>
      </c>
      <c r="C362" s="404">
        <v>98562</v>
      </c>
      <c r="D362" s="367" t="s">
        <v>14587</v>
      </c>
      <c r="E362" s="405"/>
      <c r="F362" s="369"/>
      <c r="G362" s="370"/>
      <c r="H362" s="371"/>
      <c r="I362" s="262"/>
      <c r="J362" s="262"/>
      <c r="K362" s="262"/>
      <c r="L362" s="262"/>
      <c r="M362" s="262"/>
      <c r="N362" s="262"/>
      <c r="O362" s="262"/>
      <c r="P362" s="262"/>
      <c r="Q362" s="262"/>
      <c r="R362" s="262"/>
      <c r="S362" s="262"/>
      <c r="T362" s="262"/>
      <c r="U362" s="262"/>
      <c r="V362" s="262"/>
      <c r="W362" s="262"/>
      <c r="X362" s="262"/>
      <c r="Y362" s="262"/>
      <c r="Z362" s="262"/>
      <c r="AA362" s="262"/>
      <c r="AB362" s="262"/>
    </row>
    <row r="363" spans="1:31" ht="25.5">
      <c r="A363" s="372" t="s">
        <v>14478</v>
      </c>
      <c r="B363" s="421" t="s">
        <v>14476</v>
      </c>
      <c r="C363" s="374">
        <v>87298</v>
      </c>
      <c r="D363" s="288" t="str">
        <f>IFERROR(VLOOKUP($C363,'24.08_ND'!$A:$D,2,0),)</f>
        <v>ARGAMASSA TRAÇO 1:3 (EM VOLUME DE CIMENTO E AREIA MÉDIA ÚMIDA) PARA CONTRAPISO, PREPARO MECÂNICO COM BETONEIRA 400 L. AF_08/2019</v>
      </c>
      <c r="E363" s="289" t="str">
        <f>IFERROR(VLOOKUP($C363,'24.08_ND'!$A:$D,3,0),)</f>
        <v>M3</v>
      </c>
      <c r="F363" s="375">
        <v>4.1000000000000002E-2</v>
      </c>
      <c r="G363" s="291">
        <f>IFERROR(VLOOKUP($C363,'24.08_ND'!$A:$D,4,0),)</f>
        <v>663.76</v>
      </c>
      <c r="H363" s="440">
        <f>TRUNC(($F363*$G363),2)</f>
        <v>27.21</v>
      </c>
      <c r="I363" s="262"/>
      <c r="J363" s="262"/>
      <c r="K363" s="262"/>
      <c r="L363" s="262"/>
      <c r="M363" s="262"/>
      <c r="N363" s="262"/>
      <c r="O363" s="262"/>
      <c r="P363" s="262"/>
      <c r="Q363" s="262"/>
      <c r="R363" s="262"/>
      <c r="S363" s="262"/>
      <c r="T363" s="262"/>
      <c r="U363" s="262"/>
      <c r="V363" s="262"/>
      <c r="W363" s="262"/>
      <c r="X363" s="262"/>
      <c r="Y363" s="262"/>
      <c r="Z363" s="262"/>
      <c r="AA363" s="262"/>
      <c r="AB363" s="262"/>
      <c r="AD363" s="1791" t="e">
        <f>VLOOKUP(C363,'Medição '!$B$16:$F$1833,6,0)</f>
        <v>#N/A</v>
      </c>
      <c r="AE363" s="1791"/>
    </row>
    <row r="364" spans="1:31" ht="25.5">
      <c r="A364" s="372" t="s">
        <v>14478</v>
      </c>
      <c r="B364" s="421" t="s">
        <v>14476</v>
      </c>
      <c r="C364" s="374">
        <v>88309</v>
      </c>
      <c r="D364" s="288" t="str">
        <f>IFERROR(VLOOKUP($C364,'24.08_ND'!$A:$D,2,0),)</f>
        <v>PEDREIRO COM ENCARGOS COMPLEMENTARES</v>
      </c>
      <c r="E364" s="289" t="str">
        <f>IFERROR(VLOOKUP($C364,'24.08_ND'!$A:$D,3,0),)</f>
        <v>H</v>
      </c>
      <c r="F364" s="375">
        <v>6.1499999999999999E-2</v>
      </c>
      <c r="G364" s="291">
        <f>IFERROR(VLOOKUP($C364,'24.08_ND'!$A:$D,4,0),)</f>
        <v>23.33</v>
      </c>
      <c r="H364" s="440">
        <f>TRUNC(($F364*$G364),2)</f>
        <v>1.43</v>
      </c>
      <c r="I364" s="262"/>
      <c r="J364" s="262"/>
      <c r="K364" s="262"/>
      <c r="L364" s="262"/>
      <c r="M364" s="262"/>
      <c r="N364" s="262"/>
      <c r="O364" s="262"/>
      <c r="P364" s="262"/>
      <c r="Q364" s="262"/>
      <c r="R364" s="262"/>
      <c r="S364" s="262"/>
      <c r="T364" s="262"/>
      <c r="U364" s="262"/>
      <c r="V364" s="262"/>
      <c r="W364" s="262"/>
      <c r="X364" s="262"/>
      <c r="Y364" s="262"/>
      <c r="Z364" s="262"/>
      <c r="AA364" s="262"/>
      <c r="AB364" s="262"/>
      <c r="AD364" s="1791" t="e">
        <f>VLOOKUP(C364,'Medição '!$B$16:$F$1833,6,0)</f>
        <v>#N/A</v>
      </c>
      <c r="AE364" s="1791"/>
    </row>
    <row r="365" spans="1:31" ht="25.5">
      <c r="A365" s="372" t="s">
        <v>14478</v>
      </c>
      <c r="B365" s="421" t="s">
        <v>14476</v>
      </c>
      <c r="C365" s="374">
        <v>88316</v>
      </c>
      <c r="D365" s="288" t="str">
        <f>IFERROR(VLOOKUP($C365,'24.08_ND'!$A:$D,2,0),)</f>
        <v>SERVENTE COM ENCARGOS COMPLEMENTARES</v>
      </c>
      <c r="E365" s="289" t="str">
        <f>IFERROR(VLOOKUP($C365,'24.08_ND'!$A:$D,3,0),)</f>
        <v>H</v>
      </c>
      <c r="F365" s="375">
        <v>6.1499999999999999E-2</v>
      </c>
      <c r="G365" s="291">
        <f>IFERROR(VLOOKUP($C365,'24.08_ND'!$A:$D,4,0),)</f>
        <v>18.510000000000002</v>
      </c>
      <c r="H365" s="440">
        <f>TRUNC(($F365*$G365),2)</f>
        <v>1.1299999999999999</v>
      </c>
      <c r="I365" s="262"/>
      <c r="J365" s="262"/>
      <c r="K365" s="262"/>
      <c r="L365" s="262"/>
      <c r="M365" s="262"/>
      <c r="N365" s="262"/>
      <c r="O365" s="262"/>
      <c r="P365" s="262"/>
      <c r="Q365" s="262"/>
      <c r="R365" s="262"/>
      <c r="S365" s="262"/>
      <c r="T365" s="262"/>
      <c r="U365" s="262"/>
      <c r="V365" s="262"/>
      <c r="W365" s="262"/>
      <c r="X365" s="262"/>
      <c r="Y365" s="262"/>
      <c r="Z365" s="262"/>
      <c r="AA365" s="262"/>
      <c r="AB365" s="262"/>
      <c r="AD365" s="1791" t="e">
        <f>VLOOKUP(C365,'Medição '!$B$16:$F$1833,6,0)</f>
        <v>#N/A</v>
      </c>
      <c r="AE365" s="1791"/>
    </row>
    <row r="366" spans="1:31" ht="12.75">
      <c r="A366" s="450"/>
      <c r="C366" s="451"/>
      <c r="F366" s="452"/>
      <c r="H366" s="453"/>
      <c r="I366" s="262"/>
      <c r="J366" s="262"/>
      <c r="K366" s="262"/>
      <c r="L366" s="262"/>
      <c r="M366" s="262"/>
      <c r="N366" s="262"/>
      <c r="O366" s="262"/>
      <c r="P366" s="262"/>
      <c r="Q366" s="262"/>
      <c r="R366" s="262"/>
      <c r="S366" s="262"/>
      <c r="T366" s="262"/>
      <c r="U366" s="262"/>
      <c r="V366" s="262"/>
      <c r="W366" s="262"/>
      <c r="X366" s="262"/>
      <c r="Y366" s="262"/>
      <c r="Z366" s="262"/>
      <c r="AA366" s="262"/>
      <c r="AB366" s="262"/>
    </row>
    <row r="367" spans="1:31" ht="38.25">
      <c r="A367" s="358" t="s">
        <v>14609</v>
      </c>
      <c r="B367" s="359" t="s">
        <v>14472</v>
      </c>
      <c r="C367" s="360" t="s">
        <v>14610</v>
      </c>
      <c r="D367" s="361" t="s">
        <v>14611</v>
      </c>
      <c r="E367" s="359" t="s">
        <v>54</v>
      </c>
      <c r="F367" s="458">
        <f>SUM(F376:F377,F379,F381,F383:F384)</f>
        <v>157.25</v>
      </c>
      <c r="G367" s="402"/>
      <c r="H367" s="363">
        <f>TRUNC(SUM(H369:H390),2)</f>
        <v>23.8</v>
      </c>
      <c r="I367" s="276">
        <f>COUNTIF($C$8:$C367,C:C)</f>
        <v>1</v>
      </c>
      <c r="J367" s="262"/>
      <c r="K367" s="262"/>
      <c r="L367" s="262"/>
      <c r="M367" s="262"/>
      <c r="N367" s="262"/>
      <c r="O367" s="262"/>
      <c r="P367" s="262"/>
      <c r="Q367" s="262"/>
      <c r="R367" s="262"/>
      <c r="S367" s="262"/>
      <c r="T367" s="262"/>
      <c r="U367" s="262"/>
      <c r="V367" s="262"/>
      <c r="W367" s="262"/>
      <c r="X367" s="262"/>
      <c r="Y367" s="262"/>
      <c r="Z367" s="262"/>
      <c r="AA367" s="262"/>
      <c r="AB367" s="262"/>
    </row>
    <row r="368" spans="1:31" ht="12.75">
      <c r="A368" s="364" t="s">
        <v>14475</v>
      </c>
      <c r="B368" s="403" t="s">
        <v>14476</v>
      </c>
      <c r="C368" s="404">
        <v>100773</v>
      </c>
      <c r="D368" s="367" t="s">
        <v>14587</v>
      </c>
      <c r="E368" s="405"/>
      <c r="F368" s="369"/>
      <c r="G368" s="370"/>
      <c r="H368" s="371"/>
      <c r="I368" s="262"/>
      <c r="J368" s="262"/>
      <c r="K368" s="262"/>
      <c r="L368" s="262"/>
      <c r="M368" s="262"/>
      <c r="N368" s="262"/>
      <c r="O368" s="262"/>
      <c r="P368" s="262"/>
      <c r="Q368" s="262"/>
      <c r="R368" s="262"/>
      <c r="S368" s="262"/>
      <c r="T368" s="262"/>
      <c r="U368" s="262"/>
      <c r="V368" s="262"/>
      <c r="W368" s="262"/>
      <c r="X368" s="262"/>
      <c r="Y368" s="262"/>
      <c r="Z368" s="262"/>
      <c r="AA368" s="262"/>
      <c r="AB368" s="262"/>
    </row>
    <row r="369" spans="1:31" ht="25.5">
      <c r="A369" s="406" t="s">
        <v>14478</v>
      </c>
      <c r="B369" s="407" t="s">
        <v>14476</v>
      </c>
      <c r="C369" s="408">
        <v>88240</v>
      </c>
      <c r="D369" s="288" t="str">
        <f>IFERROR(VLOOKUP($C369,'24.08_ND'!$A:$D,2,0),)</f>
        <v>AJUDANTE DE ESTRUTURA METÁLICA COM ENCARGOS COMPLEMENTARES</v>
      </c>
      <c r="E369" s="289" t="str">
        <f>IFERROR(VLOOKUP($C369,'24.08_ND'!$A:$D,3,0),)</f>
        <v>H</v>
      </c>
      <c r="F369" s="409">
        <v>4.0000000000000001E-3</v>
      </c>
      <c r="G369" s="291">
        <f>IFERROR(VLOOKUP($C369,'24.08_ND'!$A:$D,4,0),)</f>
        <v>18.5</v>
      </c>
      <c r="H369" s="410">
        <f t="shared" ref="H369:H375" si="18">TRUNC(($F369*$G369),2)</f>
        <v>7.0000000000000007E-2</v>
      </c>
      <c r="I369" s="262"/>
      <c r="J369" s="262"/>
      <c r="K369" s="262"/>
      <c r="L369" s="262"/>
      <c r="M369" s="262"/>
      <c r="N369" s="262"/>
      <c r="O369" s="262"/>
      <c r="P369" s="262"/>
      <c r="Q369" s="262"/>
      <c r="R369" s="262"/>
      <c r="S369" s="262"/>
      <c r="T369" s="262"/>
      <c r="U369" s="262"/>
      <c r="V369" s="262"/>
      <c r="W369" s="262"/>
      <c r="X369" s="262"/>
      <c r="Y369" s="262"/>
      <c r="Z369" s="262"/>
      <c r="AA369" s="262"/>
      <c r="AB369" s="262"/>
      <c r="AD369" s="1791" t="e">
        <f>VLOOKUP(C369,'Medição '!$B$16:$F$1833,6,0)</f>
        <v>#N/A</v>
      </c>
      <c r="AE369" s="1791"/>
    </row>
    <row r="370" spans="1:31" ht="25.5">
      <c r="A370" s="406" t="s">
        <v>14478</v>
      </c>
      <c r="B370" s="407" t="s">
        <v>14476</v>
      </c>
      <c r="C370" s="408">
        <v>88278</v>
      </c>
      <c r="D370" s="288" t="str">
        <f>IFERROR(VLOOKUP($C370,'24.08_ND'!$A:$D,2,0),)</f>
        <v>MONTADOR DE ESTRUTURA METÁLICA COM ENCARGOS COMPLEMENTARES</v>
      </c>
      <c r="E370" s="289" t="str">
        <f>IFERROR(VLOOKUP($C370,'24.08_ND'!$A:$D,3,0),)</f>
        <v>H</v>
      </c>
      <c r="F370" s="409">
        <v>8.9999999999999993E-3</v>
      </c>
      <c r="G370" s="291">
        <f>IFERROR(VLOOKUP($C370,'24.08_ND'!$A:$D,4,0),)</f>
        <v>20.440000000000001</v>
      </c>
      <c r="H370" s="410">
        <f t="shared" si="18"/>
        <v>0.18</v>
      </c>
      <c r="I370" s="262"/>
      <c r="J370" s="262"/>
      <c r="K370" s="262"/>
      <c r="L370" s="262"/>
      <c r="M370" s="262"/>
      <c r="N370" s="262"/>
      <c r="O370" s="262"/>
      <c r="P370" s="262"/>
      <c r="Q370" s="262"/>
      <c r="R370" s="262"/>
      <c r="S370" s="262"/>
      <c r="T370" s="262"/>
      <c r="U370" s="262"/>
      <c r="V370" s="262"/>
      <c r="W370" s="262"/>
      <c r="X370" s="262"/>
      <c r="Y370" s="262"/>
      <c r="Z370" s="262"/>
      <c r="AA370" s="262"/>
      <c r="AB370" s="262"/>
      <c r="AD370" s="1791" t="e">
        <f>VLOOKUP(C370,'Medição '!$B$16:$F$1833,6,0)</f>
        <v>#N/A</v>
      </c>
      <c r="AE370" s="1791"/>
    </row>
    <row r="371" spans="1:31" ht="25.5">
      <c r="A371" s="406" t="s">
        <v>14478</v>
      </c>
      <c r="B371" s="407" t="s">
        <v>14476</v>
      </c>
      <c r="C371" s="408">
        <v>88251</v>
      </c>
      <c r="D371" s="288" t="str">
        <f>IFERROR(VLOOKUP($C371,'24.08_ND'!$A:$D,2,0),)</f>
        <v>AUXILIAR DE SERRALHEIRO COM ENCARGOS COMPLEMENTARES</v>
      </c>
      <c r="E371" s="289" t="str">
        <f>IFERROR(VLOOKUP($C371,'24.08_ND'!$A:$D,3,0),)</f>
        <v>H</v>
      </c>
      <c r="F371" s="409">
        <v>5.0000000000000001E-3</v>
      </c>
      <c r="G371" s="291">
        <f>IFERROR(VLOOKUP($C371,'24.08_ND'!$A:$D,4,0),)</f>
        <v>19.579999999999998</v>
      </c>
      <c r="H371" s="410">
        <f t="shared" si="18"/>
        <v>0.09</v>
      </c>
      <c r="I371" s="262"/>
      <c r="J371" s="262"/>
      <c r="K371" s="262"/>
      <c r="L371" s="262"/>
      <c r="M371" s="262"/>
      <c r="N371" s="262"/>
      <c r="O371" s="262"/>
      <c r="P371" s="262"/>
      <c r="Q371" s="262"/>
      <c r="R371" s="262"/>
      <c r="S371" s="262"/>
      <c r="T371" s="262"/>
      <c r="U371" s="262"/>
      <c r="V371" s="262"/>
      <c r="W371" s="262"/>
      <c r="X371" s="262"/>
      <c r="Y371" s="262"/>
      <c r="Z371" s="262"/>
      <c r="AA371" s="262"/>
      <c r="AB371" s="262"/>
      <c r="AD371" s="1791" t="e">
        <f>VLOOKUP(C371,'Medição '!$B$16:$F$1833,6,0)</f>
        <v>#N/A</v>
      </c>
      <c r="AE371" s="1791"/>
    </row>
    <row r="372" spans="1:31" ht="25.5">
      <c r="A372" s="406" t="s">
        <v>14478</v>
      </c>
      <c r="B372" s="407" t="s">
        <v>14476</v>
      </c>
      <c r="C372" s="408">
        <v>88315</v>
      </c>
      <c r="D372" s="288" t="str">
        <f>IFERROR(VLOOKUP($C372,'24.08_ND'!$A:$D,2,0),)</f>
        <v>SERRALHEIRO COM ENCARGOS COMPLEMENTARES</v>
      </c>
      <c r="E372" s="289" t="str">
        <f>IFERROR(VLOOKUP($C372,'24.08_ND'!$A:$D,3,0),)</f>
        <v>H</v>
      </c>
      <c r="F372" s="409">
        <v>0.01</v>
      </c>
      <c r="G372" s="291">
        <f>IFERROR(VLOOKUP($C372,'24.08_ND'!$A:$D,4,0),)</f>
        <v>23.13</v>
      </c>
      <c r="H372" s="410">
        <f t="shared" si="18"/>
        <v>0.23</v>
      </c>
      <c r="I372" s="262"/>
      <c r="J372" s="262"/>
      <c r="K372" s="262"/>
      <c r="L372" s="262"/>
      <c r="M372" s="262"/>
      <c r="N372" s="262"/>
      <c r="O372" s="262"/>
      <c r="P372" s="262"/>
      <c r="Q372" s="262"/>
      <c r="R372" s="262"/>
      <c r="S372" s="262"/>
      <c r="T372" s="262"/>
      <c r="U372" s="262"/>
      <c r="V372" s="262"/>
      <c r="W372" s="262"/>
      <c r="X372" s="262"/>
      <c r="Y372" s="262"/>
      <c r="Z372" s="262"/>
      <c r="AA372" s="262"/>
      <c r="AB372" s="262"/>
      <c r="AD372" s="1791" t="e">
        <f>VLOOKUP(C372,'Medição '!$B$16:$F$1833,6,0)</f>
        <v>#N/A</v>
      </c>
      <c r="AE372" s="1791"/>
    </row>
    <row r="373" spans="1:31" ht="25.5">
      <c r="A373" s="406" t="s">
        <v>14478</v>
      </c>
      <c r="B373" s="407" t="s">
        <v>14476</v>
      </c>
      <c r="C373" s="408">
        <v>88317</v>
      </c>
      <c r="D373" s="288" t="str">
        <f>IFERROR(VLOOKUP($C373,'24.08_ND'!$A:$D,2,0),)</f>
        <v>SOLDADOR COM ENCARGOS COMPLEMENTARES</v>
      </c>
      <c r="E373" s="289" t="str">
        <f>IFERROR(VLOOKUP($C373,'24.08_ND'!$A:$D,3,0),)</f>
        <v>H</v>
      </c>
      <c r="F373" s="409">
        <v>0.01</v>
      </c>
      <c r="G373" s="291">
        <f>IFERROR(VLOOKUP($C373,'24.08_ND'!$A:$D,4,0),)</f>
        <v>24.01</v>
      </c>
      <c r="H373" s="410">
        <f t="shared" si="18"/>
        <v>0.24</v>
      </c>
      <c r="I373" s="262"/>
      <c r="J373" s="262"/>
      <c r="K373" s="262"/>
      <c r="L373" s="262"/>
      <c r="M373" s="262"/>
      <c r="N373" s="262"/>
      <c r="O373" s="262"/>
      <c r="P373" s="262"/>
      <c r="Q373" s="262"/>
      <c r="R373" s="262"/>
      <c r="S373" s="262"/>
      <c r="T373" s="262"/>
      <c r="U373" s="262"/>
      <c r="V373" s="262"/>
      <c r="W373" s="262"/>
      <c r="X373" s="262"/>
      <c r="Y373" s="262"/>
      <c r="Z373" s="262"/>
      <c r="AA373" s="262"/>
      <c r="AB373" s="262"/>
      <c r="AD373" s="1791" t="e">
        <f>VLOOKUP(C373,'Medição '!$B$16:$F$1833,6,0)</f>
        <v>#N/A</v>
      </c>
      <c r="AE373" s="1791"/>
    </row>
    <row r="374" spans="1:31" ht="12.75">
      <c r="A374" s="459" t="s">
        <v>14479</v>
      </c>
      <c r="B374" s="460" t="s">
        <v>14476</v>
      </c>
      <c r="C374" s="461">
        <v>10997</v>
      </c>
      <c r="D374" s="296" t="str">
        <f>IFERROR(VLOOKUP($C374,'24.08_ND'!$A:$D,2,0),)</f>
        <v>ELETRODO REVESTIDO AWS - E7018, DIAMETRO IGUAL A 4,00 MM</v>
      </c>
      <c r="E374" s="297" t="str">
        <f>IFERROR(VLOOKUP($C374,'24.08_ND'!$A:$D,3,0),)</f>
        <v>KG</v>
      </c>
      <c r="F374" s="462">
        <v>4.0000000000000001E-3</v>
      </c>
      <c r="G374" s="299">
        <f>IFERROR(VLOOKUP($C374,'24.08_ND'!$A:$D,4,0),)</f>
        <v>32.6</v>
      </c>
      <c r="H374" s="463">
        <f t="shared" si="18"/>
        <v>0.13</v>
      </c>
      <c r="I374" s="262"/>
      <c r="J374" s="262"/>
      <c r="K374" s="262"/>
      <c r="L374" s="262"/>
      <c r="M374" s="262"/>
      <c r="N374" s="262"/>
      <c r="O374" s="262"/>
      <c r="P374" s="262"/>
      <c r="Q374" s="262"/>
      <c r="R374" s="262"/>
      <c r="S374" s="262"/>
      <c r="T374" s="262"/>
      <c r="U374" s="262"/>
      <c r="V374" s="262"/>
      <c r="W374" s="262"/>
      <c r="X374" s="262"/>
      <c r="Y374" s="262"/>
      <c r="Z374" s="262"/>
      <c r="AA374" s="262"/>
      <c r="AB374" s="262"/>
    </row>
    <row r="375" spans="1:31" ht="12.75">
      <c r="A375" s="459" t="s">
        <v>14479</v>
      </c>
      <c r="B375" s="460" t="s">
        <v>14476</v>
      </c>
      <c r="C375" s="461">
        <v>1319</v>
      </c>
      <c r="D375" s="296" t="str">
        <f>IFERROR(VLOOKUP($C375,'24.08_ND'!$A:$D,2,0),)</f>
        <v>CHAPA DE ACO FINA A QUENTE BITOLA MSG 3/16 ", E = 4,75 MM (38,00 KG/M2)</v>
      </c>
      <c r="E375" s="297" t="str">
        <f>IFERROR(VLOOKUP($C375,'24.08_ND'!$A:$D,3,0),)</f>
        <v>KG</v>
      </c>
      <c r="F375" s="462">
        <f>ROUNDUP(((F376+F377)/$F$367)*1.075,4)</f>
        <v>0.33079999999999998</v>
      </c>
      <c r="G375" s="299">
        <f>IFERROR(VLOOKUP($C375,'24.08_ND'!$A:$D,4,0),)</f>
        <v>9.8800000000000008</v>
      </c>
      <c r="H375" s="463">
        <f t="shared" si="18"/>
        <v>3.26</v>
      </c>
      <c r="I375" s="262"/>
      <c r="J375" s="262"/>
      <c r="K375" s="262"/>
      <c r="L375" s="262"/>
      <c r="M375" s="262"/>
      <c r="N375" s="262"/>
      <c r="O375" s="262"/>
      <c r="P375" s="262"/>
      <c r="Q375" s="262"/>
      <c r="R375" s="262"/>
      <c r="S375" s="262"/>
      <c r="T375" s="262"/>
      <c r="U375" s="262"/>
      <c r="V375" s="262"/>
      <c r="W375" s="262"/>
      <c r="X375" s="262"/>
      <c r="Y375" s="262"/>
      <c r="Z375" s="262"/>
      <c r="AA375" s="262"/>
      <c r="AB375" s="262"/>
    </row>
    <row r="376" spans="1:31" ht="12.75">
      <c r="A376" s="464"/>
      <c r="B376" s="465"/>
      <c r="C376" s="466"/>
      <c r="D376" s="467" t="s">
        <v>14612</v>
      </c>
      <c r="E376" s="468" t="s">
        <v>54</v>
      </c>
      <c r="F376" s="469">
        <v>47.68</v>
      </c>
      <c r="G376" s="470"/>
      <c r="H376" s="471"/>
      <c r="I376" s="262"/>
      <c r="J376" s="262"/>
      <c r="K376" s="262"/>
      <c r="L376" s="262"/>
      <c r="M376" s="262"/>
      <c r="N376" s="262"/>
      <c r="O376" s="262"/>
      <c r="P376" s="262"/>
      <c r="Q376" s="262"/>
      <c r="R376" s="262"/>
      <c r="S376" s="262"/>
      <c r="T376" s="262"/>
      <c r="U376" s="262"/>
      <c r="V376" s="262"/>
      <c r="W376" s="262"/>
      <c r="X376" s="262"/>
      <c r="Y376" s="262"/>
      <c r="Z376" s="262"/>
      <c r="AA376" s="262"/>
      <c r="AB376" s="262"/>
    </row>
    <row r="377" spans="1:31" ht="12.75">
      <c r="A377" s="464"/>
      <c r="B377" s="465"/>
      <c r="C377" s="466"/>
      <c r="D377" s="467" t="s">
        <v>14613</v>
      </c>
      <c r="E377" s="468" t="s">
        <v>54</v>
      </c>
      <c r="F377" s="469">
        <v>0.7</v>
      </c>
      <c r="G377" s="470"/>
      <c r="H377" s="471"/>
      <c r="I377" s="262"/>
      <c r="J377" s="262"/>
      <c r="K377" s="262"/>
      <c r="L377" s="262"/>
      <c r="M377" s="262"/>
      <c r="N377" s="262"/>
      <c r="O377" s="262"/>
      <c r="P377" s="262"/>
      <c r="Q377" s="262"/>
      <c r="R377" s="262"/>
      <c r="S377" s="262"/>
      <c r="T377" s="262"/>
      <c r="U377" s="262"/>
      <c r="V377" s="262"/>
      <c r="W377" s="262"/>
      <c r="X377" s="262"/>
      <c r="Y377" s="262"/>
      <c r="Z377" s="262"/>
      <c r="AA377" s="262"/>
      <c r="AB377" s="262"/>
    </row>
    <row r="378" spans="1:31" ht="12.75">
      <c r="A378" s="459" t="s">
        <v>14479</v>
      </c>
      <c r="B378" s="460" t="s">
        <v>14476</v>
      </c>
      <c r="C378" s="461">
        <v>1318</v>
      </c>
      <c r="D378" s="296" t="str">
        <f>IFERROR(VLOOKUP($C378,'24.08_ND'!$A:$D,2,0),)</f>
        <v>CHAPA DE ACO FINA A QUENTE BITOLA MSG 14, E = 2,00 MM (16,0 KG/M2)</v>
      </c>
      <c r="E378" s="297" t="str">
        <f>IFERROR(VLOOKUP($C378,'24.08_ND'!$A:$D,3,0),)</f>
        <v>KG</v>
      </c>
      <c r="F378" s="462">
        <f>ROUNDUP((F379/$F$367)*1.075,4)</f>
        <v>0.50070000000000003</v>
      </c>
      <c r="G378" s="299">
        <f>IFERROR(VLOOKUP($C378,'24.08_ND'!$A:$D,4,0),)</f>
        <v>11.1</v>
      </c>
      <c r="H378" s="463">
        <f>TRUNC(($F378*$G378),2)</f>
        <v>5.55</v>
      </c>
      <c r="I378" s="262"/>
      <c r="J378" s="262"/>
      <c r="K378" s="262"/>
      <c r="L378" s="262"/>
      <c r="M378" s="262"/>
      <c r="N378" s="262"/>
      <c r="O378" s="262"/>
      <c r="P378" s="262"/>
      <c r="Q378" s="262"/>
      <c r="R378" s="262"/>
      <c r="S378" s="262"/>
      <c r="T378" s="262"/>
      <c r="U378" s="262"/>
      <c r="V378" s="262"/>
      <c r="W378" s="262"/>
      <c r="X378" s="262"/>
      <c r="Y378" s="262"/>
      <c r="Z378" s="262"/>
      <c r="AA378" s="262"/>
      <c r="AB378" s="262"/>
    </row>
    <row r="379" spans="1:31" ht="12.75">
      <c r="A379" s="464"/>
      <c r="B379" s="465"/>
      <c r="C379" s="466"/>
      <c r="D379" s="467" t="s">
        <v>14614</v>
      </c>
      <c r="E379" s="468" t="s">
        <v>54</v>
      </c>
      <c r="F379" s="469">
        <v>73.23</v>
      </c>
      <c r="G379" s="470"/>
      <c r="H379" s="471"/>
      <c r="I379" s="262"/>
      <c r="J379" s="262"/>
      <c r="K379" s="262"/>
      <c r="L379" s="262"/>
      <c r="M379" s="262"/>
      <c r="N379" s="262"/>
      <c r="O379" s="262"/>
      <c r="P379" s="262"/>
      <c r="Q379" s="262"/>
      <c r="R379" s="262"/>
      <c r="S379" s="262"/>
      <c r="T379" s="262"/>
      <c r="U379" s="262"/>
      <c r="V379" s="262"/>
      <c r="W379" s="262"/>
      <c r="X379" s="262"/>
      <c r="Y379" s="262"/>
      <c r="Z379" s="262"/>
      <c r="AA379" s="262"/>
      <c r="AB379" s="262"/>
    </row>
    <row r="380" spans="1:31" ht="12.75">
      <c r="A380" s="459" t="s">
        <v>14479</v>
      </c>
      <c r="B380" s="460" t="s">
        <v>14476</v>
      </c>
      <c r="C380" s="461">
        <v>1323</v>
      </c>
      <c r="D380" s="296" t="str">
        <f>IFERROR(VLOOKUP($C380,'24.08_ND'!$A:$D,2,0),)</f>
        <v>CHAPA DE ACO FINA A QUENTE BITOLA MSG 18, E = 1,20 MM (9,60 KG/M2)</v>
      </c>
      <c r="E380" s="297" t="str">
        <f>IFERROR(VLOOKUP($C380,'24.08_ND'!$A:$D,3,0),)</f>
        <v>KG</v>
      </c>
      <c r="F380" s="462">
        <f>ROUNDUP((F381/$F$367)*1.075,4)</f>
        <v>9.0400000000000008E-2</v>
      </c>
      <c r="G380" s="299">
        <f>IFERROR(VLOOKUP($C380,'24.08_ND'!$A:$D,4,0),)</f>
        <v>11.73</v>
      </c>
      <c r="H380" s="463">
        <f>TRUNC(($F380*$G380),2)</f>
        <v>1.06</v>
      </c>
      <c r="I380" s="262"/>
      <c r="J380" s="262"/>
      <c r="K380" s="262"/>
      <c r="L380" s="262"/>
      <c r="M380" s="262"/>
      <c r="N380" s="262"/>
      <c r="O380" s="262"/>
      <c r="P380" s="262"/>
      <c r="Q380" s="262"/>
      <c r="R380" s="262"/>
      <c r="S380" s="262"/>
      <c r="T380" s="262"/>
      <c r="U380" s="262"/>
      <c r="V380" s="262"/>
      <c r="W380" s="262"/>
      <c r="X380" s="262"/>
      <c r="Y380" s="262"/>
      <c r="Z380" s="262"/>
      <c r="AA380" s="262"/>
      <c r="AB380" s="262"/>
    </row>
    <row r="381" spans="1:31" ht="12.75">
      <c r="A381" s="464"/>
      <c r="B381" s="465"/>
      <c r="C381" s="466"/>
      <c r="D381" s="467" t="s">
        <v>14615</v>
      </c>
      <c r="E381" s="468" t="s">
        <v>54</v>
      </c>
      <c r="F381" s="469">
        <v>13.22</v>
      </c>
      <c r="G381" s="470"/>
      <c r="H381" s="471"/>
      <c r="I381" s="262"/>
      <c r="J381" s="262"/>
      <c r="K381" s="262"/>
      <c r="L381" s="262"/>
      <c r="M381" s="262"/>
      <c r="N381" s="262"/>
      <c r="O381" s="262"/>
      <c r="P381" s="262"/>
      <c r="Q381" s="262"/>
      <c r="R381" s="262"/>
      <c r="S381" s="262"/>
      <c r="T381" s="262"/>
      <c r="U381" s="262"/>
      <c r="V381" s="262"/>
      <c r="W381" s="262"/>
      <c r="X381" s="262"/>
      <c r="Y381" s="262"/>
      <c r="Z381" s="262"/>
      <c r="AA381" s="262"/>
      <c r="AB381" s="262"/>
    </row>
    <row r="382" spans="1:31" ht="12.75">
      <c r="A382" s="459" t="s">
        <v>14479</v>
      </c>
      <c r="B382" s="460" t="s">
        <v>14476</v>
      </c>
      <c r="C382" s="461">
        <v>1330</v>
      </c>
      <c r="D382" s="296" t="str">
        <f>IFERROR(VLOOKUP($C382,'24.08_ND'!$A:$D,2,0),)</f>
        <v>CHAPA DE ACO GROSSA, ASTM A36, E = 1/4" (6,35 MM) 49,79 KG/M2</v>
      </c>
      <c r="E382" s="297" t="str">
        <f>IFERROR(VLOOKUP($C382,'24.08_ND'!$A:$D,3,0),)</f>
        <v>KG</v>
      </c>
      <c r="F382" s="462">
        <f>ROUNDUP(((F383+F384)/$F$367)*1.075,4)</f>
        <v>0.15329999999999999</v>
      </c>
      <c r="G382" s="299">
        <f>IFERROR(VLOOKUP($C382,'24.08_ND'!$A:$D,4,0),)</f>
        <v>10.67</v>
      </c>
      <c r="H382" s="463">
        <f>TRUNC(($F382*$G382),2)</f>
        <v>1.63</v>
      </c>
      <c r="I382" s="262"/>
      <c r="J382" s="262"/>
      <c r="K382" s="262"/>
      <c r="L382" s="262"/>
      <c r="M382" s="262"/>
      <c r="N382" s="262"/>
      <c r="O382" s="262"/>
      <c r="P382" s="262"/>
      <c r="Q382" s="262"/>
      <c r="R382" s="262"/>
      <c r="S382" s="262"/>
      <c r="T382" s="262"/>
      <c r="U382" s="262"/>
      <c r="V382" s="262"/>
      <c r="W382" s="262"/>
      <c r="X382" s="262"/>
      <c r="Y382" s="262"/>
      <c r="Z382" s="262"/>
      <c r="AA382" s="262"/>
      <c r="AB382" s="262"/>
    </row>
    <row r="383" spans="1:31" ht="12.75">
      <c r="A383" s="464"/>
      <c r="B383" s="465"/>
      <c r="C383" s="466"/>
      <c r="D383" s="467" t="s">
        <v>14616</v>
      </c>
      <c r="E383" s="468" t="s">
        <v>54</v>
      </c>
      <c r="F383" s="469">
        <v>14.88</v>
      </c>
      <c r="G383" s="470"/>
      <c r="H383" s="471"/>
      <c r="I383" s="262"/>
      <c r="J383" s="262"/>
      <c r="K383" s="262"/>
      <c r="L383" s="262"/>
      <c r="M383" s="262"/>
      <c r="N383" s="262"/>
      <c r="O383" s="262"/>
      <c r="P383" s="262"/>
      <c r="Q383" s="262"/>
      <c r="R383" s="262"/>
      <c r="S383" s="262"/>
      <c r="T383" s="262"/>
      <c r="U383" s="262"/>
      <c r="V383" s="262"/>
      <c r="W383" s="262"/>
      <c r="X383" s="262"/>
      <c r="Y383" s="262"/>
      <c r="Z383" s="262"/>
      <c r="AA383" s="262"/>
      <c r="AB383" s="262"/>
    </row>
    <row r="384" spans="1:31" ht="12.75">
      <c r="A384" s="464"/>
      <c r="B384" s="465"/>
      <c r="C384" s="466"/>
      <c r="D384" s="467" t="s">
        <v>14617</v>
      </c>
      <c r="E384" s="468" t="s">
        <v>54</v>
      </c>
      <c r="F384" s="469">
        <v>7.54</v>
      </c>
      <c r="G384" s="470"/>
      <c r="H384" s="471"/>
      <c r="I384" s="262"/>
      <c r="J384" s="262"/>
      <c r="K384" s="262"/>
      <c r="L384" s="262"/>
      <c r="M384" s="262"/>
      <c r="N384" s="262"/>
      <c r="O384" s="262"/>
      <c r="P384" s="262"/>
      <c r="Q384" s="262"/>
      <c r="R384" s="262"/>
      <c r="S384" s="262"/>
      <c r="T384" s="262"/>
      <c r="U384" s="262"/>
      <c r="V384" s="262"/>
      <c r="W384" s="262"/>
      <c r="X384" s="262"/>
      <c r="Y384" s="262"/>
      <c r="Z384" s="262"/>
      <c r="AA384" s="262"/>
      <c r="AB384" s="262"/>
    </row>
    <row r="385" spans="1:31" ht="12.75">
      <c r="A385" s="472" t="s">
        <v>14479</v>
      </c>
      <c r="B385" s="312" t="str">
        <f>VLOOKUP($C385,'• CIs EXT'!$A:$E,2,0)</f>
        <v>ORSE</v>
      </c>
      <c r="C385" s="473">
        <v>8212</v>
      </c>
      <c r="D385" s="474" t="str">
        <f>VLOOKUP($C385,'• CIs EXT'!$A:$E,3,0)</f>
        <v>CHUMBADOR PARABOLT Ø 1/4" X 2"</v>
      </c>
      <c r="E385" s="475" t="str">
        <f>VLOOKUP($C385,'• CIs EXT'!$A:$E,4,0)</f>
        <v>UN</v>
      </c>
      <c r="F385" s="476">
        <f>ROUNDUP(((32)/$F$367)*1.075,4)</f>
        <v>0.21879999999999999</v>
      </c>
      <c r="G385" s="475">
        <f>VLOOKUP($C385,'• CIs EXT'!$A:$E,5,0)</f>
        <v>1.41</v>
      </c>
      <c r="H385" s="477">
        <f>TRUNC(($F385*$G385),2)</f>
        <v>0.3</v>
      </c>
      <c r="I385" s="262"/>
      <c r="J385" s="262"/>
      <c r="K385" s="262"/>
      <c r="L385" s="262"/>
      <c r="M385" s="262"/>
      <c r="N385" s="262"/>
      <c r="O385" s="262"/>
      <c r="P385" s="262"/>
      <c r="Q385" s="262"/>
      <c r="R385" s="262"/>
      <c r="S385" s="262"/>
      <c r="T385" s="262"/>
      <c r="U385" s="262"/>
      <c r="V385" s="262"/>
      <c r="W385" s="262"/>
      <c r="X385" s="262"/>
      <c r="Y385" s="262"/>
      <c r="Z385" s="262"/>
      <c r="AA385" s="262"/>
      <c r="AB385" s="262"/>
    </row>
    <row r="386" spans="1:31" ht="25.5">
      <c r="A386" s="459" t="s">
        <v>14479</v>
      </c>
      <c r="B386" s="460" t="s">
        <v>14476</v>
      </c>
      <c r="C386" s="461">
        <v>11964</v>
      </c>
      <c r="D386" s="296" t="str">
        <f>IFERROR(VLOOKUP($C386,'24.08_ND'!$A:$D,2,0),)</f>
        <v>PARAFUSO DE ACO ZINCADO, TIPO CHUMBADOR PARABOLT, DIAMETRO 3/8", COMPRIMENTO 75 MM</v>
      </c>
      <c r="E386" s="297" t="str">
        <f>IFERROR(VLOOKUP($C386,'24.08_ND'!$A:$D,3,0),)</f>
        <v>UN</v>
      </c>
      <c r="F386" s="462">
        <f>ROUNDUP(((64)/$F$367)*1.075,4)</f>
        <v>0.43759999999999999</v>
      </c>
      <c r="G386" s="299">
        <f>IFERROR(VLOOKUP($C386,'24.08_ND'!$A:$D,4,0),)</f>
        <v>2.29</v>
      </c>
      <c r="H386" s="463">
        <f>TRUNC(($F386*$G386),2)</f>
        <v>1</v>
      </c>
      <c r="I386" s="262"/>
      <c r="J386" s="262"/>
      <c r="K386" s="262"/>
      <c r="L386" s="262"/>
      <c r="M386" s="262"/>
      <c r="N386" s="262"/>
      <c r="O386" s="262"/>
      <c r="P386" s="262"/>
      <c r="Q386" s="262"/>
      <c r="R386" s="262"/>
      <c r="S386" s="262"/>
      <c r="T386" s="262"/>
      <c r="U386" s="262"/>
      <c r="V386" s="262"/>
      <c r="W386" s="262"/>
      <c r="X386" s="262"/>
      <c r="Y386" s="262"/>
      <c r="Z386" s="262"/>
      <c r="AA386" s="262"/>
      <c r="AB386" s="262"/>
    </row>
    <row r="387" spans="1:31" ht="12.75">
      <c r="A387" s="319" t="s">
        <v>14479</v>
      </c>
      <c r="B387" s="320" t="s">
        <v>14491</v>
      </c>
      <c r="C387" s="478" t="s">
        <v>14618</v>
      </c>
      <c r="D387" s="321" t="str">
        <f>VLOOKUP($C387,'09 - MC'!$A:$F,2,0)</f>
        <v>PARAFUSO SEXTAVADO Ø3/8X5" (AÇO CARBONO)</v>
      </c>
      <c r="E387" s="479" t="str">
        <f>VLOOKUP($C387,'09 - MC'!$A:$F,3,0)</f>
        <v>UN</v>
      </c>
      <c r="F387" s="480">
        <f>ROUNDUP(((18)/$F$367)*1.075,4)</f>
        <v>0.1231</v>
      </c>
      <c r="G387" s="481">
        <f>VLOOKUP($C387,'09 - MC'!$A:$F,6,0)</f>
        <v>2.76</v>
      </c>
      <c r="H387" s="482">
        <f>TRUNC(G387*F387,2)</f>
        <v>0.33</v>
      </c>
      <c r="I387" s="262"/>
      <c r="J387" s="262"/>
      <c r="K387" s="262"/>
      <c r="L387" s="262"/>
      <c r="M387" s="262"/>
      <c r="N387" s="262"/>
      <c r="O387" s="262"/>
      <c r="P387" s="262"/>
      <c r="Q387" s="262"/>
      <c r="R387" s="262"/>
      <c r="S387" s="262"/>
      <c r="T387" s="262"/>
      <c r="U387" s="262"/>
      <c r="V387" s="262"/>
      <c r="W387" s="262"/>
      <c r="X387" s="262"/>
      <c r="Y387" s="262"/>
      <c r="Z387" s="262"/>
      <c r="AA387" s="262"/>
      <c r="AB387" s="262"/>
    </row>
    <row r="388" spans="1:31" ht="38.25">
      <c r="A388" s="483" t="s">
        <v>14478</v>
      </c>
      <c r="B388" s="484" t="s">
        <v>14476</v>
      </c>
      <c r="C388" s="485">
        <v>100721</v>
      </c>
      <c r="D388" s="288" t="str">
        <f>IFERROR(VLOOKUP($C388,'24.08_ND'!$A:$D,2,0),)</f>
        <v>PINTURA COM TINTA ALQUÍDICA DE FUNDO (TIPO ZARCÃO) PULVERIZADA SOBRE SUPERFÍCIES METÁLICAS (EXCETO PERFIL) EXECUTADO EM OBRA (POR DEMÃO). AF_01/2020_PE</v>
      </c>
      <c r="E388" s="289" t="str">
        <f>IFERROR(VLOOKUP($C388,'24.08_ND'!$A:$D,3,0),)</f>
        <v>M2</v>
      </c>
      <c r="F388" s="486">
        <f>ROUNDUP(((17.37)/$F$367),4)</f>
        <v>0.1105</v>
      </c>
      <c r="G388" s="291">
        <f>IFERROR(VLOOKUP($C388,'24.08_ND'!$A:$D,4,0),)</f>
        <v>20.97</v>
      </c>
      <c r="H388" s="487">
        <f>TRUNC(($F388*$G388),2)</f>
        <v>2.31</v>
      </c>
      <c r="I388" s="262"/>
      <c r="J388" s="262"/>
      <c r="K388" s="262"/>
      <c r="L388" s="262"/>
      <c r="M388" s="262"/>
      <c r="N388" s="262"/>
      <c r="O388" s="262"/>
      <c r="P388" s="262"/>
      <c r="Q388" s="262"/>
      <c r="R388" s="262"/>
      <c r="S388" s="262"/>
      <c r="T388" s="262"/>
      <c r="U388" s="262"/>
      <c r="V388" s="262"/>
      <c r="W388" s="262"/>
      <c r="X388" s="262"/>
      <c r="Y388" s="262"/>
      <c r="Z388" s="262"/>
      <c r="AA388" s="262"/>
      <c r="AB388" s="262"/>
      <c r="AD388" s="1791" t="e">
        <f>VLOOKUP(C388,'Medição '!$B$16:$F$1833,6,0)</f>
        <v>#REF!</v>
      </c>
      <c r="AE388" s="1791"/>
    </row>
    <row r="389" spans="1:31" ht="38.25">
      <c r="A389" s="483" t="s">
        <v>14478</v>
      </c>
      <c r="B389" s="484" t="s">
        <v>14476</v>
      </c>
      <c r="C389" s="485">
        <v>100761</v>
      </c>
      <c r="D389" s="288" t="str">
        <f>IFERROR(VLOOKUP($C389,'24.08_ND'!$A:$D,2,0),)</f>
        <v>PINTURA COM TINTA ALQUÍDICA DE ACABAMENTO (ESMALTE SINTÉTICO FOSCO) PULVERIZADA SOBRE SUPERFÍCIES METÁLICAS (EXCETO PERFIL) EXECUTADO EM OBRA (02 DEMÃOS). AF_01/2020_PE</v>
      </c>
      <c r="E389" s="289" t="str">
        <f>IFERROR(VLOOKUP($C389,'24.08_ND'!$A:$D,3,0),)</f>
        <v>M2</v>
      </c>
      <c r="F389" s="486">
        <f>ROUNDUP(((17.37)/$F$367),4)</f>
        <v>0.1105</v>
      </c>
      <c r="G389" s="291">
        <f>IFERROR(VLOOKUP($C389,'24.08_ND'!$A:$D,4,0),)</f>
        <v>41.11</v>
      </c>
      <c r="H389" s="487">
        <f>TRUNC(($F389*$G389),2)</f>
        <v>4.54</v>
      </c>
      <c r="I389" s="262"/>
      <c r="J389" s="262"/>
      <c r="K389" s="262"/>
      <c r="L389" s="262"/>
      <c r="M389" s="262"/>
      <c r="N389" s="262"/>
      <c r="O389" s="262"/>
      <c r="P389" s="262"/>
      <c r="Q389" s="262"/>
      <c r="R389" s="262"/>
      <c r="S389" s="262"/>
      <c r="T389" s="262"/>
      <c r="U389" s="262"/>
      <c r="V389" s="262"/>
      <c r="W389" s="262"/>
      <c r="X389" s="262"/>
      <c r="Y389" s="262"/>
      <c r="Z389" s="262"/>
      <c r="AA389" s="262"/>
      <c r="AB389" s="262"/>
      <c r="AD389" s="1791" t="e">
        <f>VLOOKUP(C389,'Medição '!$B$16:$F$1833,6,0)</f>
        <v>#REF!</v>
      </c>
      <c r="AE389" s="1791"/>
    </row>
    <row r="390" spans="1:31" ht="25.5">
      <c r="A390" s="472" t="s">
        <v>14478</v>
      </c>
      <c r="B390" s="312" t="str">
        <f>VLOOKUP($C390,'• CIs EXT'!$A:$E,2,0)</f>
        <v>SETOP</v>
      </c>
      <c r="C390" s="473" t="s">
        <v>14619</v>
      </c>
      <c r="D390" s="474" t="str">
        <f>VLOOKUP($C390,'• CIs EXT'!$A:$E,3,0)</f>
        <v>SERVIÇO DE CORTE E DOBRA EM CHAPA DE AÇO, EXCLUSIVE FORNECIMENTO</v>
      </c>
      <c r="E390" s="475" t="str">
        <f>VLOOKUP($C390,'• CIs EXT'!$A:$E,4,0)</f>
        <v>KG</v>
      </c>
      <c r="F390" s="476">
        <v>1</v>
      </c>
      <c r="G390" s="475">
        <f>VLOOKUP($C390,'• CIs EXT'!$A:$E,5,0)</f>
        <v>2.88</v>
      </c>
      <c r="H390" s="477">
        <f>TRUNC(($F390*$G390),2)</f>
        <v>2.88</v>
      </c>
      <c r="I390" s="262"/>
      <c r="J390" s="262"/>
      <c r="K390" s="262"/>
      <c r="L390" s="262"/>
      <c r="M390" s="262"/>
      <c r="N390" s="262"/>
      <c r="O390" s="262"/>
      <c r="P390" s="262"/>
      <c r="Q390" s="262"/>
      <c r="R390" s="262"/>
      <c r="S390" s="262"/>
      <c r="T390" s="262"/>
      <c r="U390" s="262"/>
      <c r="V390" s="262"/>
      <c r="W390" s="262"/>
      <c r="X390" s="262"/>
      <c r="Y390" s="262"/>
      <c r="Z390" s="262"/>
      <c r="AA390" s="262"/>
      <c r="AB390" s="262"/>
    </row>
    <row r="391" spans="1:31" ht="12.75">
      <c r="A391" s="309"/>
      <c r="B391" s="303"/>
      <c r="C391" s="303"/>
      <c r="D391" s="310"/>
      <c r="E391" s="303"/>
      <c r="F391" s="306"/>
      <c r="G391" s="307"/>
      <c r="H391" s="308"/>
      <c r="I391" s="262"/>
      <c r="J391" s="262"/>
      <c r="K391" s="262"/>
      <c r="L391" s="262"/>
      <c r="M391" s="262"/>
      <c r="N391" s="262"/>
      <c r="O391" s="262"/>
      <c r="P391" s="262"/>
      <c r="Q391" s="262"/>
      <c r="R391" s="262"/>
      <c r="S391" s="262"/>
      <c r="T391" s="262"/>
      <c r="U391" s="262"/>
      <c r="V391" s="262"/>
      <c r="W391" s="262"/>
      <c r="X391" s="262"/>
      <c r="Y391" s="262"/>
      <c r="Z391" s="262"/>
      <c r="AA391" s="262"/>
      <c r="AB391" s="262"/>
    </row>
    <row r="392" spans="1:31" ht="25.5">
      <c r="A392" s="271" t="s">
        <v>14471</v>
      </c>
      <c r="B392" s="272" t="s">
        <v>14472</v>
      </c>
      <c r="C392" s="360" t="s">
        <v>14620</v>
      </c>
      <c r="D392" s="274" t="s">
        <v>14621</v>
      </c>
      <c r="E392" s="272" t="s">
        <v>152</v>
      </c>
      <c r="F392" s="272"/>
      <c r="G392" s="272"/>
      <c r="H392" s="275">
        <f>SUM(H394:H399)</f>
        <v>928.8</v>
      </c>
      <c r="I392" s="276">
        <f>COUNTIF($C$8:$C392,C:C)</f>
        <v>1</v>
      </c>
      <c r="J392" s="262"/>
      <c r="K392" s="262"/>
      <c r="L392" s="262"/>
      <c r="M392" s="262"/>
      <c r="N392" s="262"/>
      <c r="O392" s="262"/>
      <c r="P392" s="262"/>
      <c r="Q392" s="262"/>
      <c r="R392" s="262"/>
      <c r="S392" s="262"/>
      <c r="T392" s="262"/>
      <c r="U392" s="262"/>
      <c r="V392" s="262"/>
      <c r="W392" s="262"/>
      <c r="X392" s="262"/>
      <c r="Y392" s="262"/>
      <c r="Z392" s="262"/>
      <c r="AA392" s="262"/>
      <c r="AB392" s="262"/>
    </row>
    <row r="393" spans="1:31" ht="12.75">
      <c r="A393" s="277" t="s">
        <v>14475</v>
      </c>
      <c r="B393" s="488" t="s">
        <v>14476</v>
      </c>
      <c r="C393" s="489">
        <v>103688</v>
      </c>
      <c r="D393" s="490" t="s">
        <v>14587</v>
      </c>
      <c r="E393" s="491"/>
      <c r="F393" s="282"/>
      <c r="G393" s="492"/>
      <c r="H393" s="493"/>
      <c r="I393" s="262"/>
      <c r="J393" s="262"/>
      <c r="K393" s="262"/>
      <c r="L393" s="262"/>
      <c r="M393" s="262"/>
      <c r="N393" s="262"/>
      <c r="O393" s="262"/>
      <c r="P393" s="262"/>
      <c r="Q393" s="262"/>
      <c r="R393" s="262"/>
      <c r="S393" s="262"/>
      <c r="T393" s="262"/>
      <c r="U393" s="262"/>
      <c r="V393" s="262"/>
      <c r="W393" s="262"/>
      <c r="X393" s="262"/>
      <c r="Y393" s="262"/>
      <c r="Z393" s="262"/>
      <c r="AA393" s="262"/>
      <c r="AB393" s="262"/>
    </row>
    <row r="394" spans="1:31" ht="25.5">
      <c r="A394" s="285" t="s">
        <v>14478</v>
      </c>
      <c r="B394" s="407" t="s">
        <v>14476</v>
      </c>
      <c r="C394" s="344">
        <v>88262</v>
      </c>
      <c r="D394" s="288" t="str">
        <f>IFERROR(VLOOKUP($C394,'24.08_ND'!$A:$D,2,0),)</f>
        <v>CARPINTEIRO DE FORMAS COM ENCARGOS COMPLEMENTARES</v>
      </c>
      <c r="E394" s="289" t="str">
        <f>IFERROR(VLOOKUP($C394,'24.08_ND'!$A:$D,3,0),)</f>
        <v>H</v>
      </c>
      <c r="F394" s="333">
        <v>0.82699999999999996</v>
      </c>
      <c r="G394" s="291">
        <f>IFERROR(VLOOKUP($C394,'24.08_ND'!$A:$D,4,0),)</f>
        <v>23.01</v>
      </c>
      <c r="H394" s="434">
        <f t="shared" ref="H394:H399" si="19">TRUNC(($F394*$G394),2)</f>
        <v>19.02</v>
      </c>
      <c r="I394" s="262"/>
      <c r="J394" s="262"/>
      <c r="K394" s="262"/>
      <c r="L394" s="262"/>
      <c r="M394" s="262"/>
      <c r="N394" s="262"/>
      <c r="O394" s="262"/>
      <c r="P394" s="262"/>
      <c r="Q394" s="262"/>
      <c r="R394" s="262"/>
      <c r="S394" s="262"/>
      <c r="T394" s="262"/>
      <c r="U394" s="262"/>
      <c r="V394" s="262"/>
      <c r="W394" s="262"/>
      <c r="X394" s="262"/>
      <c r="Y394" s="262"/>
      <c r="Z394" s="262"/>
      <c r="AA394" s="262"/>
      <c r="AB394" s="262"/>
      <c r="AD394" s="1791" t="e">
        <f>VLOOKUP(C394,'Medição '!$B$16:$F$1833,6,0)</f>
        <v>#N/A</v>
      </c>
      <c r="AE394" s="1791"/>
    </row>
    <row r="395" spans="1:31" ht="25.5">
      <c r="A395" s="285" t="s">
        <v>14478</v>
      </c>
      <c r="B395" s="407" t="s">
        <v>14476</v>
      </c>
      <c r="C395" s="344">
        <v>88309</v>
      </c>
      <c r="D395" s="288" t="str">
        <f>IFERROR(VLOOKUP($C395,'24.08_ND'!$A:$D,2,0),)</f>
        <v>PEDREIRO COM ENCARGOS COMPLEMENTARES</v>
      </c>
      <c r="E395" s="289" t="str">
        <f>IFERROR(VLOOKUP($C395,'24.08_ND'!$A:$D,3,0),)</f>
        <v>H</v>
      </c>
      <c r="F395" s="333">
        <v>1.6539999999999999</v>
      </c>
      <c r="G395" s="291">
        <f>IFERROR(VLOOKUP($C395,'24.08_ND'!$A:$D,4,0),)</f>
        <v>23.33</v>
      </c>
      <c r="H395" s="434">
        <f t="shared" si="19"/>
        <v>38.58</v>
      </c>
      <c r="I395" s="262"/>
      <c r="J395" s="262"/>
      <c r="K395" s="262"/>
      <c r="L395" s="262"/>
      <c r="M395" s="262"/>
      <c r="N395" s="262"/>
      <c r="O395" s="262"/>
      <c r="P395" s="262"/>
      <c r="Q395" s="262"/>
      <c r="R395" s="262"/>
      <c r="S395" s="262"/>
      <c r="T395" s="262"/>
      <c r="U395" s="262"/>
      <c r="V395" s="262"/>
      <c r="W395" s="262"/>
      <c r="X395" s="262"/>
      <c r="Y395" s="262"/>
      <c r="Z395" s="262"/>
      <c r="AA395" s="262"/>
      <c r="AB395" s="262"/>
      <c r="AD395" s="1791" t="e">
        <f>VLOOKUP(C395,'Medição '!$B$16:$F$1833,6,0)</f>
        <v>#N/A</v>
      </c>
      <c r="AE395" s="1791"/>
    </row>
    <row r="396" spans="1:31" ht="25.5">
      <c r="A396" s="285" t="s">
        <v>14478</v>
      </c>
      <c r="B396" s="407" t="s">
        <v>14476</v>
      </c>
      <c r="C396" s="344">
        <v>88316</v>
      </c>
      <c r="D396" s="288" t="str">
        <f>IFERROR(VLOOKUP($C396,'24.08_ND'!$A:$D,2,0),)</f>
        <v>SERVENTE COM ENCARGOS COMPLEMENTARES</v>
      </c>
      <c r="E396" s="289" t="str">
        <f>IFERROR(VLOOKUP($C396,'24.08_ND'!$A:$D,3,0),)</f>
        <v>H</v>
      </c>
      <c r="F396" s="333">
        <v>4.9619999999999997</v>
      </c>
      <c r="G396" s="291">
        <f>IFERROR(VLOOKUP($C396,'24.08_ND'!$A:$D,4,0),)</f>
        <v>18.510000000000002</v>
      </c>
      <c r="H396" s="434">
        <f t="shared" si="19"/>
        <v>91.84</v>
      </c>
      <c r="I396" s="262"/>
      <c r="J396" s="262"/>
      <c r="K396" s="262"/>
      <c r="L396" s="262"/>
      <c r="M396" s="262"/>
      <c r="N396" s="262"/>
      <c r="O396" s="262"/>
      <c r="P396" s="262"/>
      <c r="Q396" s="262"/>
      <c r="R396" s="262"/>
      <c r="S396" s="262"/>
      <c r="T396" s="262"/>
      <c r="U396" s="262"/>
      <c r="V396" s="262"/>
      <c r="W396" s="262"/>
      <c r="X396" s="262"/>
      <c r="Y396" s="262"/>
      <c r="Z396" s="262"/>
      <c r="AA396" s="262"/>
      <c r="AB396" s="262"/>
      <c r="AD396" s="1791" t="e">
        <f>VLOOKUP(C396,'Medição '!$B$16:$F$1833,6,0)</f>
        <v>#N/A</v>
      </c>
      <c r="AE396" s="1791"/>
    </row>
    <row r="397" spans="1:31" ht="25.5">
      <c r="A397" s="285" t="s">
        <v>14478</v>
      </c>
      <c r="B397" s="407" t="s">
        <v>14476</v>
      </c>
      <c r="C397" s="344">
        <v>90586</v>
      </c>
      <c r="D397" s="288" t="str">
        <f>IFERROR(VLOOKUP($C397,'24.08_ND'!$A:$D,2,0),)</f>
        <v>VIBRADOR DE IMERSÃO, DIÂMETRO DE PONTEIRA 45MM, MOTOR ELÉTRICO TRIFÁSICO POTÊNCIA DE 2 CV - CHP DIURNO. AF_06/2015</v>
      </c>
      <c r="E397" s="289" t="str">
        <f>IFERROR(VLOOKUP($C397,'24.08_ND'!$A:$D,3,0),)</f>
        <v>CHP</v>
      </c>
      <c r="F397" s="333">
        <v>0.371</v>
      </c>
      <c r="G397" s="291">
        <f>IFERROR(VLOOKUP($C397,'24.08_ND'!$A:$D,4,0),)</f>
        <v>1.21</v>
      </c>
      <c r="H397" s="434">
        <f t="shared" si="19"/>
        <v>0.44</v>
      </c>
      <c r="I397" s="262"/>
      <c r="J397" s="262"/>
      <c r="K397" s="262"/>
      <c r="L397" s="262"/>
      <c r="M397" s="262"/>
      <c r="N397" s="262"/>
      <c r="O397" s="262"/>
      <c r="P397" s="262"/>
      <c r="Q397" s="262"/>
      <c r="R397" s="262"/>
      <c r="S397" s="262"/>
      <c r="T397" s="262"/>
      <c r="U397" s="262"/>
      <c r="V397" s="262"/>
      <c r="W397" s="262"/>
      <c r="X397" s="262"/>
      <c r="Y397" s="262"/>
      <c r="Z397" s="262"/>
      <c r="AA397" s="262"/>
      <c r="AB397" s="262"/>
      <c r="AD397" s="1791" t="e">
        <f>VLOOKUP(C397,'Medição '!$B$16:$F$1833,6,0)</f>
        <v>#N/A</v>
      </c>
      <c r="AE397" s="1791"/>
    </row>
    <row r="398" spans="1:31" ht="25.5">
      <c r="A398" s="285" t="s">
        <v>14478</v>
      </c>
      <c r="B398" s="407" t="s">
        <v>14476</v>
      </c>
      <c r="C398" s="344">
        <v>90587</v>
      </c>
      <c r="D398" s="288" t="str">
        <f>IFERROR(VLOOKUP($C398,'24.08_ND'!$A:$D,2,0),)</f>
        <v>VIBRADOR DE IMERSÃO, DIÂMETRO DE PONTEIRA 45MM, MOTOR ELÉTRICO TRIFÁSICO POTÊNCIA DE 2 CV - CHI DIURNO. AF_06/2015</v>
      </c>
      <c r="E398" s="289" t="str">
        <f>IFERROR(VLOOKUP($C398,'24.08_ND'!$A:$D,3,0),)</f>
        <v>CHI</v>
      </c>
      <c r="F398" s="333">
        <v>0.45600000000000002</v>
      </c>
      <c r="G398" s="291">
        <f>IFERROR(VLOOKUP($C398,'24.08_ND'!$A:$D,4,0),)</f>
        <v>0.44</v>
      </c>
      <c r="H398" s="434">
        <f t="shared" si="19"/>
        <v>0.2</v>
      </c>
      <c r="I398" s="262"/>
      <c r="J398" s="262"/>
      <c r="K398" s="262"/>
      <c r="L398" s="262"/>
      <c r="M398" s="262"/>
      <c r="N398" s="262"/>
      <c r="O398" s="262"/>
      <c r="P398" s="262"/>
      <c r="Q398" s="262"/>
      <c r="R398" s="262"/>
      <c r="S398" s="262"/>
      <c r="T398" s="262"/>
      <c r="U398" s="262"/>
      <c r="V398" s="262"/>
      <c r="W398" s="262"/>
      <c r="X398" s="262"/>
      <c r="Y398" s="262"/>
      <c r="Z398" s="262"/>
      <c r="AA398" s="262"/>
      <c r="AB398" s="262"/>
      <c r="AD398" s="1791" t="e">
        <f>VLOOKUP(C398,'Medição '!$B$16:$F$1833,6,0)</f>
        <v>#N/A</v>
      </c>
      <c r="AE398" s="1791"/>
    </row>
    <row r="399" spans="1:31" ht="38.25">
      <c r="A399" s="494" t="s">
        <v>14479</v>
      </c>
      <c r="B399" s="495" t="s">
        <v>14476</v>
      </c>
      <c r="C399" s="348">
        <v>1525</v>
      </c>
      <c r="D399" s="296" t="str">
        <f>IFERROR(VLOOKUP($C399,'24.08_ND'!$A:$D,2,0),)</f>
        <v>CONCRETO USINADO BOMBEAVEL, CLASSE DE RESISTENCIA C30, BRITA 0 E 1, SLUMP = 100 +/- 20 MM, COM BOMBEAMENTO (DISPONIBILIZACAO DE BOMBA), SEM O LANCAMENTO (NBR 8953)</v>
      </c>
      <c r="E399" s="297" t="str">
        <f>IFERROR(VLOOKUP($C399,'24.08_ND'!$A:$D,3,0),)</f>
        <v>M3</v>
      </c>
      <c r="F399" s="334">
        <v>1.103</v>
      </c>
      <c r="G399" s="299">
        <f>IFERROR(VLOOKUP($C399,'24.08_ND'!$A:$D,4,0),)</f>
        <v>706.01</v>
      </c>
      <c r="H399" s="300">
        <f t="shared" si="19"/>
        <v>778.72</v>
      </c>
      <c r="I399" s="262"/>
      <c r="J399" s="262"/>
      <c r="K399" s="262"/>
      <c r="L399" s="262"/>
      <c r="M399" s="262"/>
      <c r="N399" s="262"/>
      <c r="O399" s="262"/>
      <c r="P399" s="262"/>
      <c r="Q399" s="262"/>
      <c r="R399" s="262"/>
      <c r="S399" s="262"/>
      <c r="T399" s="262"/>
      <c r="U399" s="262"/>
      <c r="V399" s="262"/>
      <c r="W399" s="262"/>
      <c r="X399" s="262"/>
      <c r="Y399" s="262"/>
      <c r="Z399" s="262"/>
      <c r="AA399" s="262"/>
      <c r="AB399" s="262"/>
    </row>
    <row r="400" spans="1:31" ht="12.75">
      <c r="A400" s="309"/>
      <c r="B400" s="303"/>
      <c r="C400" s="303"/>
      <c r="D400" s="310"/>
      <c r="E400" s="303"/>
      <c r="F400" s="306"/>
      <c r="G400" s="307"/>
      <c r="H400" s="308"/>
      <c r="I400" s="262"/>
      <c r="J400" s="262"/>
      <c r="K400" s="262"/>
      <c r="L400" s="262"/>
      <c r="M400" s="262"/>
      <c r="N400" s="262"/>
      <c r="O400" s="262"/>
      <c r="P400" s="262"/>
      <c r="Q400" s="262"/>
      <c r="R400" s="262"/>
      <c r="S400" s="262"/>
      <c r="T400" s="262"/>
      <c r="U400" s="262"/>
      <c r="V400" s="262"/>
      <c r="W400" s="262"/>
      <c r="X400" s="262"/>
      <c r="Y400" s="262"/>
      <c r="Z400" s="262"/>
      <c r="AA400" s="262"/>
      <c r="AB400" s="262"/>
    </row>
    <row r="401" spans="1:31" ht="25.5">
      <c r="A401" s="271" t="s">
        <v>14471</v>
      </c>
      <c r="B401" s="272" t="s">
        <v>14472</v>
      </c>
      <c r="C401" s="360" t="s">
        <v>14622</v>
      </c>
      <c r="D401" s="274" t="s">
        <v>14623</v>
      </c>
      <c r="E401" s="272" t="s">
        <v>152</v>
      </c>
      <c r="F401" s="272"/>
      <c r="G401" s="272"/>
      <c r="H401" s="275">
        <f>SUM(H403:H408)</f>
        <v>814.62</v>
      </c>
      <c r="I401" s="276">
        <f>COUNTIF($C$8:$C401,C:C)</f>
        <v>1</v>
      </c>
      <c r="J401" s="262"/>
      <c r="K401" s="262"/>
      <c r="L401" s="262"/>
      <c r="M401" s="262"/>
      <c r="N401" s="262"/>
      <c r="O401" s="262"/>
      <c r="P401" s="262"/>
      <c r="Q401" s="262"/>
      <c r="R401" s="262"/>
      <c r="S401" s="262"/>
      <c r="T401" s="262"/>
      <c r="U401" s="262"/>
      <c r="V401" s="262"/>
      <c r="W401" s="262"/>
      <c r="X401" s="262"/>
      <c r="Y401" s="262"/>
      <c r="Z401" s="262"/>
      <c r="AA401" s="262"/>
      <c r="AB401" s="262"/>
    </row>
    <row r="402" spans="1:31" ht="12.75">
      <c r="A402" s="277" t="s">
        <v>14475</v>
      </c>
      <c r="B402" s="488" t="s">
        <v>14476</v>
      </c>
      <c r="C402" s="489">
        <v>103675</v>
      </c>
      <c r="D402" s="496">
        <v>45323</v>
      </c>
      <c r="E402" s="491"/>
      <c r="F402" s="282"/>
      <c r="G402" s="492"/>
      <c r="H402" s="493"/>
      <c r="I402" s="262"/>
      <c r="J402" s="262"/>
      <c r="K402" s="262"/>
      <c r="L402" s="262"/>
      <c r="M402" s="262"/>
      <c r="N402" s="262"/>
      <c r="O402" s="262"/>
      <c r="P402" s="262"/>
      <c r="Q402" s="262"/>
      <c r="R402" s="262"/>
      <c r="S402" s="262"/>
      <c r="T402" s="262"/>
      <c r="U402" s="262"/>
      <c r="V402" s="262"/>
      <c r="W402" s="262"/>
      <c r="X402" s="262"/>
      <c r="Y402" s="262"/>
      <c r="Z402" s="262"/>
      <c r="AA402" s="262"/>
      <c r="AB402" s="262"/>
    </row>
    <row r="403" spans="1:31" ht="25.5">
      <c r="A403" s="285" t="s">
        <v>14478</v>
      </c>
      <c r="B403" s="407" t="s">
        <v>14476</v>
      </c>
      <c r="C403" s="344">
        <v>88262</v>
      </c>
      <c r="D403" s="288" t="str">
        <f>IFERROR(VLOOKUP($C403,'24.08_ND'!$A:$D,2,0),)</f>
        <v>CARPINTEIRO DE FORMAS COM ENCARGOS COMPLEMENTARES</v>
      </c>
      <c r="E403" s="289" t="str">
        <f>IFERROR(VLOOKUP($C403,'24.08_ND'!$A:$D,3,0),)</f>
        <v>H</v>
      </c>
      <c r="F403" s="333">
        <v>0.125</v>
      </c>
      <c r="G403" s="291">
        <f>IFERROR(VLOOKUP($C403,'24.08_ND'!$A:$D,4,0),)</f>
        <v>23.01</v>
      </c>
      <c r="H403" s="434">
        <f t="shared" ref="H403:H408" si="20">TRUNC(($F403*$G403),2)</f>
        <v>2.87</v>
      </c>
      <c r="I403" s="262"/>
      <c r="J403" s="262"/>
      <c r="K403" s="262"/>
      <c r="L403" s="262"/>
      <c r="M403" s="262"/>
      <c r="N403" s="262"/>
      <c r="O403" s="262"/>
      <c r="P403" s="262"/>
      <c r="Q403" s="262"/>
      <c r="R403" s="262"/>
      <c r="S403" s="262"/>
      <c r="T403" s="262"/>
      <c r="U403" s="262"/>
      <c r="V403" s="262"/>
      <c r="W403" s="262"/>
      <c r="X403" s="262"/>
      <c r="Y403" s="262"/>
      <c r="Z403" s="262"/>
      <c r="AA403" s="262"/>
      <c r="AB403" s="262"/>
      <c r="AD403" s="1791" t="e">
        <f>VLOOKUP(C403,'Medição '!$B$16:$F$1833,6,0)</f>
        <v>#N/A</v>
      </c>
      <c r="AE403" s="1791"/>
    </row>
    <row r="404" spans="1:31" ht="25.5">
      <c r="A404" s="285" t="s">
        <v>14478</v>
      </c>
      <c r="B404" s="407" t="s">
        <v>14476</v>
      </c>
      <c r="C404" s="344">
        <v>88309</v>
      </c>
      <c r="D404" s="288" t="str">
        <f>IFERROR(VLOOKUP($C404,'24.08_ND'!$A:$D,2,0),)</f>
        <v>PEDREIRO COM ENCARGOS COMPLEMENTARES</v>
      </c>
      <c r="E404" s="289" t="str">
        <f>IFERROR(VLOOKUP($C404,'24.08_ND'!$A:$D,3,0),)</f>
        <v>H</v>
      </c>
      <c r="F404" s="333">
        <v>0.753</v>
      </c>
      <c r="G404" s="291">
        <f>IFERROR(VLOOKUP($C404,'24.08_ND'!$A:$D,4,0),)</f>
        <v>23.33</v>
      </c>
      <c r="H404" s="434">
        <f t="shared" si="20"/>
        <v>17.559999999999999</v>
      </c>
      <c r="I404" s="262"/>
      <c r="J404" s="262"/>
      <c r="K404" s="262"/>
      <c r="L404" s="262"/>
      <c r="M404" s="262"/>
      <c r="N404" s="262"/>
      <c r="O404" s="262"/>
      <c r="P404" s="262"/>
      <c r="Q404" s="262"/>
      <c r="R404" s="262"/>
      <c r="S404" s="262"/>
      <c r="T404" s="262"/>
      <c r="U404" s="262"/>
      <c r="V404" s="262"/>
      <c r="W404" s="262"/>
      <c r="X404" s="262"/>
      <c r="Y404" s="262"/>
      <c r="Z404" s="262"/>
      <c r="AA404" s="262"/>
      <c r="AB404" s="262"/>
      <c r="AD404" s="1791" t="e">
        <f>VLOOKUP(C404,'Medição '!$B$16:$F$1833,6,0)</f>
        <v>#N/A</v>
      </c>
      <c r="AE404" s="1791"/>
    </row>
    <row r="405" spans="1:31" ht="25.5">
      <c r="A405" s="285" t="s">
        <v>14478</v>
      </c>
      <c r="B405" s="407" t="s">
        <v>14476</v>
      </c>
      <c r="C405" s="344">
        <v>88316</v>
      </c>
      <c r="D405" s="288" t="str">
        <f>IFERROR(VLOOKUP($C405,'24.08_ND'!$A:$D,2,0),)</f>
        <v>SERVENTE COM ENCARGOS COMPLEMENTARES</v>
      </c>
      <c r="E405" s="289" t="str">
        <f>IFERROR(VLOOKUP($C405,'24.08_ND'!$A:$D,3,0),)</f>
        <v>H</v>
      </c>
      <c r="F405" s="333">
        <v>0.82599999999999996</v>
      </c>
      <c r="G405" s="291">
        <f>IFERROR(VLOOKUP($C405,'24.08_ND'!$A:$D,4,0),)</f>
        <v>18.510000000000002</v>
      </c>
      <c r="H405" s="434">
        <f t="shared" si="20"/>
        <v>15.28</v>
      </c>
      <c r="I405" s="262"/>
      <c r="J405" s="262"/>
      <c r="K405" s="262"/>
      <c r="L405" s="262"/>
      <c r="M405" s="262"/>
      <c r="N405" s="262"/>
      <c r="O405" s="262"/>
      <c r="P405" s="262"/>
      <c r="Q405" s="262"/>
      <c r="R405" s="262"/>
      <c r="S405" s="262"/>
      <c r="T405" s="262"/>
      <c r="U405" s="262"/>
      <c r="V405" s="262"/>
      <c r="W405" s="262"/>
      <c r="X405" s="262"/>
      <c r="Y405" s="262"/>
      <c r="Z405" s="262"/>
      <c r="AA405" s="262"/>
      <c r="AB405" s="262"/>
      <c r="AD405" s="1791" t="e">
        <f>VLOOKUP(C405,'Medição '!$B$16:$F$1833,6,0)</f>
        <v>#N/A</v>
      </c>
      <c r="AE405" s="1791"/>
    </row>
    <row r="406" spans="1:31" ht="25.5">
      <c r="A406" s="285" t="s">
        <v>14478</v>
      </c>
      <c r="B406" s="407" t="s">
        <v>14476</v>
      </c>
      <c r="C406" s="344">
        <v>90586</v>
      </c>
      <c r="D406" s="288" t="str">
        <f>IFERROR(VLOOKUP($C406,'24.08_ND'!$A:$D,2,0),)</f>
        <v>VIBRADOR DE IMERSÃO, DIÂMETRO DE PONTEIRA 45MM, MOTOR ELÉTRICO TRIFÁSICO POTÊNCIA DE 2 CV - CHP DIURNO. AF_06/2015</v>
      </c>
      <c r="E406" s="289" t="str">
        <f>IFERROR(VLOOKUP($C406,'24.08_ND'!$A:$D,3,0),)</f>
        <v>CHP</v>
      </c>
      <c r="F406" s="333">
        <v>0.12</v>
      </c>
      <c r="G406" s="291">
        <f>IFERROR(VLOOKUP($C406,'24.08_ND'!$A:$D,4,0),)</f>
        <v>1.21</v>
      </c>
      <c r="H406" s="434">
        <f t="shared" si="20"/>
        <v>0.14000000000000001</v>
      </c>
      <c r="I406" s="262"/>
      <c r="J406" s="262"/>
      <c r="K406" s="262"/>
      <c r="L406" s="262"/>
      <c r="M406" s="262"/>
      <c r="N406" s="262"/>
      <c r="O406" s="262"/>
      <c r="P406" s="262"/>
      <c r="Q406" s="262"/>
      <c r="R406" s="262"/>
      <c r="S406" s="262"/>
      <c r="T406" s="262"/>
      <c r="U406" s="262"/>
      <c r="V406" s="262"/>
      <c r="W406" s="262"/>
      <c r="X406" s="262"/>
      <c r="Y406" s="262"/>
      <c r="Z406" s="262"/>
      <c r="AA406" s="262"/>
      <c r="AB406" s="262"/>
      <c r="AD406" s="1791" t="e">
        <f>VLOOKUP(C406,'Medição '!$B$16:$F$1833,6,0)</f>
        <v>#N/A</v>
      </c>
      <c r="AE406" s="1791"/>
    </row>
    <row r="407" spans="1:31" ht="25.5">
      <c r="A407" s="285" t="s">
        <v>14478</v>
      </c>
      <c r="B407" s="407" t="s">
        <v>14476</v>
      </c>
      <c r="C407" s="344">
        <v>90587</v>
      </c>
      <c r="D407" s="288" t="str">
        <f>IFERROR(VLOOKUP($C407,'24.08_ND'!$A:$D,2,0),)</f>
        <v>VIBRADOR DE IMERSÃO, DIÂMETRO DE PONTEIRA 45MM, MOTOR ELÉTRICO TRIFÁSICO POTÊNCIA DE 2 CV - CHI DIURNO. AF_06/2015</v>
      </c>
      <c r="E407" s="289" t="str">
        <f>IFERROR(VLOOKUP($C407,'24.08_ND'!$A:$D,3,0),)</f>
        <v>CHI</v>
      </c>
      <c r="F407" s="333">
        <v>0.13100000000000001</v>
      </c>
      <c r="G407" s="291">
        <f>IFERROR(VLOOKUP($C407,'24.08_ND'!$A:$D,4,0),)</f>
        <v>0.44</v>
      </c>
      <c r="H407" s="434">
        <f t="shared" si="20"/>
        <v>0.05</v>
      </c>
      <c r="I407" s="262"/>
      <c r="J407" s="262"/>
      <c r="K407" s="262"/>
      <c r="L407" s="262"/>
      <c r="M407" s="262"/>
      <c r="N407" s="262"/>
      <c r="O407" s="262"/>
      <c r="P407" s="262"/>
      <c r="Q407" s="262"/>
      <c r="R407" s="262"/>
      <c r="S407" s="262"/>
      <c r="T407" s="262"/>
      <c r="U407" s="262"/>
      <c r="V407" s="262"/>
      <c r="W407" s="262"/>
      <c r="X407" s="262"/>
      <c r="Y407" s="262"/>
      <c r="Z407" s="262"/>
      <c r="AA407" s="262"/>
      <c r="AB407" s="262"/>
      <c r="AD407" s="1791" t="e">
        <f>VLOOKUP(C407,'Medição '!$B$16:$F$1833,6,0)</f>
        <v>#N/A</v>
      </c>
      <c r="AE407" s="1791"/>
    </row>
    <row r="408" spans="1:31" ht="38.25">
      <c r="A408" s="494" t="s">
        <v>14479</v>
      </c>
      <c r="B408" s="495" t="s">
        <v>14476</v>
      </c>
      <c r="C408" s="348">
        <v>1525</v>
      </c>
      <c r="D408" s="296" t="str">
        <f>IFERROR(VLOOKUP($C408,'24.08_ND'!$A:$D,2,0),)</f>
        <v>CONCRETO USINADO BOMBEAVEL, CLASSE DE RESISTENCIA C30, BRITA 0 E 1, SLUMP = 100 +/- 20 MM, COM BOMBEAMENTO (DISPONIBILIZACAO DE BOMBA), SEM O LANCAMENTO (NBR 8953)</v>
      </c>
      <c r="E408" s="297" t="str">
        <f>IFERROR(VLOOKUP($C408,'24.08_ND'!$A:$D,3,0),)</f>
        <v>M3</v>
      </c>
      <c r="F408" s="334">
        <v>1.103</v>
      </c>
      <c r="G408" s="299">
        <f>IFERROR(VLOOKUP($C408,'24.08_ND'!$A:$D,4,0),)</f>
        <v>706.01</v>
      </c>
      <c r="H408" s="300">
        <f t="shared" si="20"/>
        <v>778.72</v>
      </c>
      <c r="I408" s="262"/>
      <c r="J408" s="262"/>
      <c r="K408" s="262"/>
      <c r="L408" s="262"/>
      <c r="M408" s="262"/>
      <c r="N408" s="262"/>
      <c r="O408" s="262"/>
      <c r="P408" s="262"/>
      <c r="Q408" s="262"/>
      <c r="R408" s="262"/>
      <c r="S408" s="262"/>
      <c r="T408" s="262"/>
      <c r="U408" s="262"/>
      <c r="V408" s="262"/>
      <c r="W408" s="262"/>
      <c r="X408" s="262"/>
      <c r="Y408" s="262"/>
      <c r="Z408" s="262"/>
      <c r="AA408" s="262"/>
      <c r="AB408" s="262"/>
    </row>
    <row r="409" spans="1:31" ht="12.75">
      <c r="A409" s="309"/>
      <c r="B409" s="303"/>
      <c r="C409" s="303"/>
      <c r="D409" s="310"/>
      <c r="E409" s="303"/>
      <c r="F409" s="306"/>
      <c r="G409" s="307"/>
      <c r="H409" s="308"/>
      <c r="I409" s="262"/>
      <c r="J409" s="262"/>
      <c r="K409" s="262"/>
      <c r="L409" s="262"/>
      <c r="M409" s="262"/>
      <c r="N409" s="262"/>
      <c r="O409" s="262"/>
      <c r="P409" s="262"/>
      <c r="Q409" s="262"/>
      <c r="R409" s="262"/>
      <c r="S409" s="262"/>
      <c r="T409" s="262"/>
      <c r="U409" s="262"/>
      <c r="V409" s="262"/>
      <c r="W409" s="262"/>
      <c r="X409" s="262"/>
      <c r="Y409" s="262"/>
      <c r="Z409" s="262"/>
      <c r="AA409" s="262"/>
      <c r="AB409" s="262"/>
    </row>
    <row r="410" spans="1:31" ht="25.5">
      <c r="A410" s="497" t="s">
        <v>14471</v>
      </c>
      <c r="B410" s="498" t="s">
        <v>14472</v>
      </c>
      <c r="C410" s="499" t="s">
        <v>14624</v>
      </c>
      <c r="D410" s="500" t="s">
        <v>14625</v>
      </c>
      <c r="E410" s="501" t="s">
        <v>54</v>
      </c>
      <c r="F410" s="501">
        <f>SUM(F419,F421,F423:F425,F427:F429,F431,F433:F434,F436,F438:F439)</f>
        <v>10042.120000000003</v>
      </c>
      <c r="G410" s="502"/>
      <c r="H410" s="503">
        <f>TRUNC(SUM(H412:H443),2)</f>
        <v>19.22</v>
      </c>
      <c r="I410" s="276">
        <f>COUNTIF($C$8:$C410,C:C)</f>
        <v>1</v>
      </c>
      <c r="J410" s="504"/>
      <c r="K410" s="504"/>
      <c r="L410" s="505"/>
      <c r="M410" s="505"/>
      <c r="N410" s="504"/>
      <c r="O410" s="504"/>
      <c r="P410" s="504"/>
      <c r="Q410" s="504"/>
      <c r="R410" s="504"/>
      <c r="S410" s="504"/>
      <c r="T410" s="504"/>
      <c r="U410" s="504"/>
      <c r="V410" s="504"/>
      <c r="W410" s="504"/>
      <c r="X410" s="504"/>
      <c r="Y410" s="504"/>
      <c r="Z410" s="504"/>
      <c r="AA410" s="504"/>
      <c r="AB410" s="504"/>
    </row>
    <row r="411" spans="1:31" ht="12.75">
      <c r="A411" s="506" t="s">
        <v>14475</v>
      </c>
      <c r="B411" s="507" t="s">
        <v>14476</v>
      </c>
      <c r="C411" s="404">
        <v>100773</v>
      </c>
      <c r="D411" s="367" t="s">
        <v>14587</v>
      </c>
      <c r="E411" s="508"/>
      <c r="F411" s="509"/>
      <c r="G411" s="510"/>
      <c r="H411" s="511"/>
      <c r="I411" s="262"/>
      <c r="J411" s="262"/>
      <c r="K411" s="262"/>
      <c r="L411" s="512"/>
      <c r="M411" s="512"/>
      <c r="N411" s="262"/>
      <c r="O411" s="262"/>
      <c r="P411" s="262"/>
      <c r="Q411" s="262"/>
      <c r="R411" s="262"/>
      <c r="S411" s="262"/>
      <c r="T411" s="262"/>
      <c r="U411" s="262"/>
      <c r="V411" s="262"/>
      <c r="W411" s="262"/>
      <c r="X411" s="262"/>
      <c r="Y411" s="262"/>
      <c r="Z411" s="262"/>
      <c r="AA411" s="262"/>
      <c r="AB411" s="262"/>
    </row>
    <row r="412" spans="1:31" ht="25.5">
      <c r="A412" s="513" t="s">
        <v>14478</v>
      </c>
      <c r="B412" s="514" t="s">
        <v>14476</v>
      </c>
      <c r="C412" s="432">
        <v>88240</v>
      </c>
      <c r="D412" s="515" t="str">
        <f>IFERROR(VLOOKUP($C412,'24.08_ND'!$A:$D,2,0),)</f>
        <v>AJUDANTE DE ESTRUTURA METÁLICA COM ENCARGOS COMPLEMENTARES</v>
      </c>
      <c r="E412" s="516" t="str">
        <f>IFERROR(VLOOKUP($C412,'24.08_ND'!$A:$D,3,0),)</f>
        <v>H</v>
      </c>
      <c r="F412" s="517">
        <v>4.0000000000000001E-3</v>
      </c>
      <c r="G412" s="518">
        <f>IFERROR(VLOOKUP($C412,'24.08_ND'!$A:$D,4,0),)</f>
        <v>18.5</v>
      </c>
      <c r="H412" s="519">
        <f t="shared" ref="H412:H418" si="21">TRUNC(($F412*$G412),2)</f>
        <v>7.0000000000000007E-2</v>
      </c>
      <c r="I412" s="262"/>
      <c r="J412" s="262"/>
      <c r="K412" s="262"/>
      <c r="L412" s="512"/>
      <c r="M412" s="512"/>
      <c r="N412" s="262"/>
      <c r="O412" s="262"/>
      <c r="P412" s="262"/>
      <c r="Q412" s="262"/>
      <c r="R412" s="262"/>
      <c r="S412" s="262"/>
      <c r="T412" s="262"/>
      <c r="U412" s="262"/>
      <c r="V412" s="262"/>
      <c r="W412" s="262"/>
      <c r="X412" s="262"/>
      <c r="Y412" s="262"/>
      <c r="Z412" s="262"/>
      <c r="AA412" s="262"/>
      <c r="AB412" s="262"/>
      <c r="AD412" s="1791" t="e">
        <f>VLOOKUP(C412,'Medição '!$B$16:$F$1833,6,0)</f>
        <v>#N/A</v>
      </c>
      <c r="AE412" s="1791"/>
    </row>
    <row r="413" spans="1:31" ht="25.5">
      <c r="A413" s="513" t="s">
        <v>14478</v>
      </c>
      <c r="B413" s="514" t="s">
        <v>14476</v>
      </c>
      <c r="C413" s="432">
        <v>88278</v>
      </c>
      <c r="D413" s="515" t="str">
        <f>IFERROR(VLOOKUP($C413,'24.08_ND'!$A:$D,2,0),)</f>
        <v>MONTADOR DE ESTRUTURA METÁLICA COM ENCARGOS COMPLEMENTARES</v>
      </c>
      <c r="E413" s="516" t="str">
        <f>IFERROR(VLOOKUP($C413,'24.08_ND'!$A:$D,3,0),)</f>
        <v>H</v>
      </c>
      <c r="F413" s="517">
        <v>8.9999999999999993E-3</v>
      </c>
      <c r="G413" s="518">
        <f>IFERROR(VLOOKUP($C413,'24.08_ND'!$A:$D,4,0),)</f>
        <v>20.440000000000001</v>
      </c>
      <c r="H413" s="519">
        <f t="shared" si="21"/>
        <v>0.18</v>
      </c>
      <c r="I413" s="262"/>
      <c r="J413" s="262"/>
      <c r="K413" s="262"/>
      <c r="L413" s="512"/>
      <c r="M413" s="512"/>
      <c r="N413" s="262"/>
      <c r="O413" s="262"/>
      <c r="P413" s="262"/>
      <c r="Q413" s="262"/>
      <c r="R413" s="262"/>
      <c r="S413" s="262"/>
      <c r="T413" s="262"/>
      <c r="U413" s="262"/>
      <c r="V413" s="262"/>
      <c r="W413" s="262"/>
      <c r="X413" s="262"/>
      <c r="Y413" s="262"/>
      <c r="Z413" s="262"/>
      <c r="AA413" s="262"/>
      <c r="AB413" s="262"/>
      <c r="AD413" s="1791" t="e">
        <f>VLOOKUP(C413,'Medição '!$B$16:$F$1833,6,0)</f>
        <v>#N/A</v>
      </c>
      <c r="AE413" s="1791"/>
    </row>
    <row r="414" spans="1:31" ht="25.5">
      <c r="A414" s="513" t="s">
        <v>14478</v>
      </c>
      <c r="B414" s="514" t="s">
        <v>14476</v>
      </c>
      <c r="C414" s="432">
        <v>88251</v>
      </c>
      <c r="D414" s="515" t="str">
        <f>IFERROR(VLOOKUP($C414,'24.08_ND'!$A:$D,2,0),)</f>
        <v>AUXILIAR DE SERRALHEIRO COM ENCARGOS COMPLEMENTARES</v>
      </c>
      <c r="E414" s="516" t="str">
        <f>IFERROR(VLOOKUP($C414,'24.08_ND'!$A:$D,3,0),)</f>
        <v>H</v>
      </c>
      <c r="F414" s="517">
        <v>5.0000000000000001E-3</v>
      </c>
      <c r="G414" s="518">
        <f>IFERROR(VLOOKUP($C414,'24.08_ND'!$A:$D,4,0),)</f>
        <v>19.579999999999998</v>
      </c>
      <c r="H414" s="519">
        <f t="shared" si="21"/>
        <v>0.09</v>
      </c>
      <c r="I414" s="262"/>
      <c r="J414" s="262"/>
      <c r="K414" s="262"/>
      <c r="L414" s="512"/>
      <c r="M414" s="512"/>
      <c r="N414" s="262"/>
      <c r="O414" s="262"/>
      <c r="P414" s="262"/>
      <c r="Q414" s="262"/>
      <c r="R414" s="262"/>
      <c r="S414" s="262"/>
      <c r="T414" s="262"/>
      <c r="U414" s="262"/>
      <c r="V414" s="262"/>
      <c r="W414" s="262"/>
      <c r="X414" s="262"/>
      <c r="Y414" s="262"/>
      <c r="Z414" s="262"/>
      <c r="AA414" s="262"/>
      <c r="AB414" s="262"/>
      <c r="AD414" s="1791" t="e">
        <f>VLOOKUP(C414,'Medição '!$B$16:$F$1833,6,0)</f>
        <v>#N/A</v>
      </c>
      <c r="AE414" s="1791"/>
    </row>
    <row r="415" spans="1:31" ht="25.5">
      <c r="A415" s="513" t="s">
        <v>14478</v>
      </c>
      <c r="B415" s="514" t="s">
        <v>14476</v>
      </c>
      <c r="C415" s="432">
        <v>88315</v>
      </c>
      <c r="D415" s="515" t="str">
        <f>IFERROR(VLOOKUP($C415,'24.08_ND'!$A:$D,2,0),)</f>
        <v>SERRALHEIRO COM ENCARGOS COMPLEMENTARES</v>
      </c>
      <c r="E415" s="516" t="str">
        <f>IFERROR(VLOOKUP($C415,'24.08_ND'!$A:$D,3,0),)</f>
        <v>H</v>
      </c>
      <c r="F415" s="517">
        <v>0.01</v>
      </c>
      <c r="G415" s="518">
        <f>IFERROR(VLOOKUP($C415,'24.08_ND'!$A:$D,4,0),)</f>
        <v>23.13</v>
      </c>
      <c r="H415" s="519">
        <f t="shared" si="21"/>
        <v>0.23</v>
      </c>
      <c r="I415" s="262"/>
      <c r="J415" s="262"/>
      <c r="K415" s="262"/>
      <c r="L415" s="512"/>
      <c r="M415" s="512"/>
      <c r="N415" s="262"/>
      <c r="O415" s="262"/>
      <c r="P415" s="262"/>
      <c r="Q415" s="262"/>
      <c r="R415" s="262"/>
      <c r="S415" s="262"/>
      <c r="T415" s="262"/>
      <c r="U415" s="262"/>
      <c r="V415" s="262"/>
      <c r="W415" s="262"/>
      <c r="X415" s="262"/>
      <c r="Y415" s="262"/>
      <c r="Z415" s="262"/>
      <c r="AA415" s="262"/>
      <c r="AB415" s="262"/>
      <c r="AD415" s="1791" t="e">
        <f>VLOOKUP(C415,'Medição '!$B$16:$F$1833,6,0)</f>
        <v>#N/A</v>
      </c>
      <c r="AE415" s="1791"/>
    </row>
    <row r="416" spans="1:31" ht="25.5">
      <c r="A416" s="513" t="s">
        <v>14478</v>
      </c>
      <c r="B416" s="514" t="s">
        <v>14476</v>
      </c>
      <c r="C416" s="432">
        <v>88317</v>
      </c>
      <c r="D416" s="515" t="str">
        <f>IFERROR(VLOOKUP($C416,'24.08_ND'!$A:$D,2,0),)</f>
        <v>SOLDADOR COM ENCARGOS COMPLEMENTARES</v>
      </c>
      <c r="E416" s="516" t="str">
        <f>IFERROR(VLOOKUP($C416,'24.08_ND'!$A:$D,3,0),)</f>
        <v>H</v>
      </c>
      <c r="F416" s="517">
        <v>0.01</v>
      </c>
      <c r="G416" s="518">
        <f>IFERROR(VLOOKUP($C416,'24.08_ND'!$A:$D,4,0),)</f>
        <v>24.01</v>
      </c>
      <c r="H416" s="519">
        <f t="shared" si="21"/>
        <v>0.24</v>
      </c>
      <c r="I416" s="262"/>
      <c r="J416" s="262"/>
      <c r="K416" s="262"/>
      <c r="L416" s="512"/>
      <c r="M416" s="512"/>
      <c r="N416" s="262"/>
      <c r="O416" s="262"/>
      <c r="P416" s="262"/>
      <c r="Q416" s="262"/>
      <c r="R416" s="262"/>
      <c r="S416" s="262"/>
      <c r="T416" s="262"/>
      <c r="U416" s="262"/>
      <c r="V416" s="262"/>
      <c r="W416" s="262"/>
      <c r="X416" s="262"/>
      <c r="Y416" s="262"/>
      <c r="Z416" s="262"/>
      <c r="AA416" s="262"/>
      <c r="AB416" s="262"/>
      <c r="AD416" s="1791" t="e">
        <f>VLOOKUP(C416,'Medição '!$B$16:$F$1833,6,0)</f>
        <v>#N/A</v>
      </c>
      <c r="AE416" s="1791"/>
    </row>
    <row r="417" spans="1:28" ht="12.75">
      <c r="A417" s="520" t="s">
        <v>14479</v>
      </c>
      <c r="B417" s="521" t="s">
        <v>14476</v>
      </c>
      <c r="C417" s="522">
        <v>10997</v>
      </c>
      <c r="D417" s="523" t="str">
        <f>IFERROR(VLOOKUP($C417,'24.08_ND'!$A:$D,2,0),)</f>
        <v>ELETRODO REVESTIDO AWS - E7018, DIAMETRO IGUAL A 4,00 MM</v>
      </c>
      <c r="E417" s="244" t="str">
        <f>IFERROR(VLOOKUP($C417,'24.08_ND'!$A:$D,3,0),)</f>
        <v>KG</v>
      </c>
      <c r="F417" s="444">
        <v>4.0000000000000001E-3</v>
      </c>
      <c r="G417" s="524">
        <f>IFERROR(VLOOKUP($C417,'24.08_ND'!$A:$D,4,0),)</f>
        <v>32.6</v>
      </c>
      <c r="H417" s="525">
        <f t="shared" si="21"/>
        <v>0.13</v>
      </c>
      <c r="I417" s="262"/>
      <c r="J417" s="262"/>
      <c r="K417" s="262"/>
      <c r="L417" s="512"/>
      <c r="M417" s="512"/>
      <c r="N417" s="262"/>
      <c r="O417" s="262"/>
      <c r="P417" s="262"/>
      <c r="Q417" s="262"/>
      <c r="R417" s="262"/>
      <c r="S417" s="262"/>
      <c r="T417" s="262"/>
      <c r="U417" s="262"/>
      <c r="V417" s="262"/>
      <c r="W417" s="262"/>
      <c r="X417" s="262"/>
      <c r="Y417" s="262"/>
      <c r="Z417" s="262"/>
      <c r="AA417" s="262"/>
      <c r="AB417" s="262"/>
    </row>
    <row r="418" spans="1:28" ht="12.75">
      <c r="A418" s="520" t="s">
        <v>14479</v>
      </c>
      <c r="B418" s="521" t="s">
        <v>14476</v>
      </c>
      <c r="C418" s="522">
        <v>1330</v>
      </c>
      <c r="D418" s="523" t="str">
        <f>IFERROR(VLOOKUP($C418,'24.08_ND'!$A:$D,2,0),)</f>
        <v>CHAPA DE ACO GROSSA, ASTM A36, E = 1/4" (6,35 MM) 49,79 KG/M2</v>
      </c>
      <c r="E418" s="244" t="str">
        <f>IFERROR(VLOOKUP($C418,'24.08_ND'!$A:$D,3,0),)</f>
        <v>KG</v>
      </c>
      <c r="F418" s="444">
        <f>ROUNDUP((F419/$F$410)*1.075,4)</f>
        <v>0.37309999999999999</v>
      </c>
      <c r="G418" s="524">
        <f>IFERROR(VLOOKUP($C418,'24.08_ND'!$A:$D,4,0),)</f>
        <v>10.67</v>
      </c>
      <c r="H418" s="525">
        <f t="shared" si="21"/>
        <v>3.98</v>
      </c>
      <c r="I418" s="262"/>
      <c r="J418" s="262"/>
      <c r="K418" s="262"/>
      <c r="L418" s="512"/>
      <c r="M418" s="512"/>
      <c r="N418" s="262"/>
      <c r="O418" s="262"/>
      <c r="P418" s="262"/>
      <c r="Q418" s="262"/>
      <c r="R418" s="262"/>
      <c r="S418" s="262"/>
      <c r="T418" s="262"/>
      <c r="U418" s="262"/>
      <c r="V418" s="262"/>
      <c r="W418" s="262"/>
      <c r="X418" s="262"/>
      <c r="Y418" s="262"/>
      <c r="Z418" s="262"/>
      <c r="AA418" s="262"/>
      <c r="AB418" s="262"/>
    </row>
    <row r="419" spans="1:28" ht="12.75">
      <c r="A419" s="526"/>
      <c r="B419" s="527"/>
      <c r="C419" s="528"/>
      <c r="D419" s="529" t="s">
        <v>14626</v>
      </c>
      <c r="E419" s="530" t="s">
        <v>54</v>
      </c>
      <c r="F419" s="531">
        <v>3484.99</v>
      </c>
      <c r="G419" s="532"/>
      <c r="H419" s="511"/>
      <c r="I419" s="262"/>
      <c r="J419" s="262"/>
      <c r="K419" s="262"/>
      <c r="L419" s="512"/>
      <c r="M419" s="512"/>
      <c r="N419" s="262"/>
      <c r="O419" s="262"/>
      <c r="P419" s="262"/>
      <c r="Q419" s="262"/>
      <c r="R419" s="262"/>
      <c r="S419" s="262"/>
      <c r="T419" s="262"/>
      <c r="U419" s="262"/>
      <c r="V419" s="262"/>
      <c r="W419" s="262"/>
      <c r="X419" s="262"/>
      <c r="Y419" s="262"/>
      <c r="Z419" s="262"/>
      <c r="AA419" s="262"/>
      <c r="AB419" s="262"/>
    </row>
    <row r="420" spans="1:28" ht="25.5">
      <c r="A420" s="520" t="s">
        <v>14479</v>
      </c>
      <c r="B420" s="521" t="s">
        <v>14476</v>
      </c>
      <c r="C420" s="522">
        <v>43054</v>
      </c>
      <c r="D420" s="523" t="str">
        <f>IFERROR(VLOOKUP($C420,'24.08_ND'!$A:$D,2,0),)</f>
        <v>ACO CA-25, 10,0 MM, OU 12,5 MM, OU 16,0 MM, OU 20,0 MM, OU 25,0 MM, VERGALHAO</v>
      </c>
      <c r="E420" s="244" t="str">
        <f>IFERROR(VLOOKUP($C420,'24.08_ND'!$A:$D,3,0),)</f>
        <v>KG</v>
      </c>
      <c r="F420" s="444">
        <f>ROUNDUP((F421/$F$410)*1.075,4)</f>
        <v>1.6500000000000001E-2</v>
      </c>
      <c r="G420" s="524">
        <f>IFERROR(VLOOKUP($C420,'24.08_ND'!$A:$D,4,0),)</f>
        <v>9.08</v>
      </c>
      <c r="H420" s="525">
        <f>TRUNC(($F420*$G420),2)</f>
        <v>0.14000000000000001</v>
      </c>
      <c r="I420" s="262"/>
      <c r="J420" s="262"/>
      <c r="K420" s="262"/>
      <c r="L420" s="512"/>
      <c r="M420" s="512"/>
      <c r="N420" s="262"/>
      <c r="O420" s="262"/>
      <c r="P420" s="262"/>
      <c r="Q420" s="262"/>
      <c r="R420" s="262"/>
      <c r="S420" s="262"/>
      <c r="T420" s="262"/>
      <c r="U420" s="262"/>
      <c r="V420" s="262"/>
      <c r="W420" s="262"/>
      <c r="X420" s="262"/>
      <c r="Y420" s="262"/>
      <c r="Z420" s="262"/>
      <c r="AA420" s="262"/>
      <c r="AB420" s="262"/>
    </row>
    <row r="421" spans="1:28" ht="12.75">
      <c r="A421" s="526"/>
      <c r="B421" s="527"/>
      <c r="C421" s="528"/>
      <c r="D421" s="529" t="s">
        <v>14627</v>
      </c>
      <c r="E421" s="530" t="s">
        <v>54</v>
      </c>
      <c r="F421" s="533">
        <v>153.58000000000001</v>
      </c>
      <c r="G421" s="532"/>
      <c r="H421" s="511"/>
      <c r="I421" s="262"/>
      <c r="J421" s="262"/>
      <c r="K421" s="262"/>
      <c r="L421" s="512"/>
      <c r="M421" s="512"/>
      <c r="N421" s="262"/>
      <c r="O421" s="262"/>
      <c r="P421" s="262"/>
      <c r="Q421" s="262"/>
      <c r="R421" s="262"/>
      <c r="S421" s="262"/>
      <c r="T421" s="262"/>
      <c r="U421" s="262"/>
      <c r="V421" s="262"/>
      <c r="W421" s="262"/>
      <c r="X421" s="262"/>
      <c r="Y421" s="262"/>
      <c r="Z421" s="262"/>
      <c r="AA421" s="262"/>
      <c r="AB421" s="262"/>
    </row>
    <row r="422" spans="1:28" ht="12.75">
      <c r="A422" s="520" t="s">
        <v>14479</v>
      </c>
      <c r="B422" s="521" t="s">
        <v>14476</v>
      </c>
      <c r="C422" s="522">
        <v>1319</v>
      </c>
      <c r="D422" s="523" t="str">
        <f>IFERROR(VLOOKUP($C422,'24.08_ND'!$A:$D,2,0),)</f>
        <v>CHAPA DE ACO FINA A QUENTE BITOLA MSG 3/16 ", E = 4,75 MM (38,00 KG/M2)</v>
      </c>
      <c r="E422" s="244" t="str">
        <f>IFERROR(VLOOKUP($C422,'24.08_ND'!$A:$D,3,0),)</f>
        <v>KG</v>
      </c>
      <c r="F422" s="444">
        <f>ROUNDUP(((F423+F424+F425)/$F$410)*1.075,4)</f>
        <v>0.26069999999999999</v>
      </c>
      <c r="G422" s="524">
        <f>IFERROR(VLOOKUP($C422,'24.08_ND'!$A:$D,4,0),)</f>
        <v>9.8800000000000008</v>
      </c>
      <c r="H422" s="525">
        <f>TRUNC(($F422*$G422),2)</f>
        <v>2.57</v>
      </c>
      <c r="I422" s="262"/>
      <c r="J422" s="262"/>
      <c r="K422" s="262"/>
      <c r="L422" s="512"/>
      <c r="M422" s="512"/>
      <c r="N422" s="262"/>
      <c r="O422" s="262"/>
      <c r="P422" s="262"/>
      <c r="Q422" s="262"/>
      <c r="R422" s="262"/>
      <c r="S422" s="262"/>
      <c r="T422" s="262"/>
      <c r="U422" s="262"/>
      <c r="V422" s="262"/>
      <c r="W422" s="262"/>
      <c r="X422" s="262"/>
      <c r="Y422" s="262"/>
      <c r="Z422" s="262"/>
      <c r="AA422" s="262"/>
      <c r="AB422" s="262"/>
    </row>
    <row r="423" spans="1:28" ht="12.75">
      <c r="A423" s="526"/>
      <c r="B423" s="527"/>
      <c r="C423" s="528"/>
      <c r="D423" s="529" t="s">
        <v>14628</v>
      </c>
      <c r="E423" s="530" t="s">
        <v>54</v>
      </c>
      <c r="F423" s="533">
        <v>1772.75</v>
      </c>
      <c r="G423" s="532"/>
      <c r="H423" s="511"/>
      <c r="I423" s="262"/>
      <c r="J423" s="262"/>
      <c r="K423" s="262"/>
      <c r="L423" s="512"/>
      <c r="M423" s="512"/>
      <c r="N423" s="262"/>
      <c r="O423" s="262"/>
      <c r="P423" s="262"/>
      <c r="Q423" s="262"/>
      <c r="R423" s="262"/>
      <c r="S423" s="262"/>
      <c r="T423" s="262"/>
      <c r="U423" s="262"/>
      <c r="V423" s="262"/>
      <c r="W423" s="262"/>
      <c r="X423" s="262"/>
      <c r="Y423" s="262"/>
      <c r="Z423" s="262"/>
      <c r="AA423" s="262"/>
      <c r="AB423" s="262"/>
    </row>
    <row r="424" spans="1:28" ht="12.75">
      <c r="A424" s="526"/>
      <c r="B424" s="527"/>
      <c r="C424" s="528"/>
      <c r="D424" s="529" t="s">
        <v>14629</v>
      </c>
      <c r="E424" s="530" t="s">
        <v>54</v>
      </c>
      <c r="F424" s="533">
        <v>244.25</v>
      </c>
      <c r="G424" s="532"/>
      <c r="H424" s="511"/>
      <c r="I424" s="262"/>
      <c r="J424" s="262"/>
      <c r="K424" s="262"/>
      <c r="L424" s="512"/>
      <c r="M424" s="512"/>
      <c r="N424" s="262"/>
      <c r="O424" s="262"/>
      <c r="P424" s="262"/>
      <c r="Q424" s="262"/>
      <c r="R424" s="262"/>
      <c r="S424" s="262"/>
      <c r="T424" s="262"/>
      <c r="U424" s="262"/>
      <c r="V424" s="262"/>
      <c r="W424" s="262"/>
      <c r="X424" s="262"/>
      <c r="Y424" s="262"/>
      <c r="Z424" s="262"/>
      <c r="AA424" s="262"/>
      <c r="AB424" s="262"/>
    </row>
    <row r="425" spans="1:28" ht="12.75">
      <c r="A425" s="526"/>
      <c r="B425" s="527"/>
      <c r="C425" s="528"/>
      <c r="D425" s="529" t="s">
        <v>14630</v>
      </c>
      <c r="E425" s="530" t="s">
        <v>54</v>
      </c>
      <c r="F425" s="533">
        <v>418.23</v>
      </c>
      <c r="G425" s="532"/>
      <c r="H425" s="511"/>
      <c r="I425" s="262"/>
      <c r="J425" s="262"/>
      <c r="K425" s="262"/>
      <c r="L425" s="512"/>
      <c r="M425" s="512"/>
      <c r="N425" s="262"/>
      <c r="O425" s="262"/>
      <c r="P425" s="262"/>
      <c r="Q425" s="262"/>
      <c r="R425" s="262"/>
      <c r="S425" s="262"/>
      <c r="T425" s="262"/>
      <c r="U425" s="262"/>
      <c r="V425" s="262"/>
      <c r="W425" s="262"/>
      <c r="X425" s="262"/>
      <c r="Y425" s="262"/>
      <c r="Z425" s="262"/>
      <c r="AA425" s="262"/>
      <c r="AB425" s="262"/>
    </row>
    <row r="426" spans="1:28" ht="12.75">
      <c r="A426" s="520" t="s">
        <v>14479</v>
      </c>
      <c r="B426" s="521" t="s">
        <v>14476</v>
      </c>
      <c r="C426" s="522">
        <v>1318</v>
      </c>
      <c r="D426" s="523" t="str">
        <f>IFERROR(VLOOKUP($C426,'24.08_ND'!$A:$D,2,0),)</f>
        <v>CHAPA DE ACO FINA A QUENTE BITOLA MSG 14, E = 2,00 MM (16,0 KG/M2)</v>
      </c>
      <c r="E426" s="244" t="str">
        <f>IFERROR(VLOOKUP($C426,'24.08_ND'!$A:$D,3,0),)</f>
        <v>KG</v>
      </c>
      <c r="F426" s="444">
        <f>ROUNDUP(((F427+F428+F429)/$F$410)*1.075,4)</f>
        <v>0.40709999999999996</v>
      </c>
      <c r="G426" s="524">
        <f>IFERROR(VLOOKUP($C426,'24.08_ND'!$A:$D,4,0),)</f>
        <v>11.1</v>
      </c>
      <c r="H426" s="525">
        <f>TRUNC(($F426*$G426),2)</f>
        <v>4.51</v>
      </c>
      <c r="I426" s="262"/>
      <c r="J426" s="262"/>
      <c r="K426" s="262"/>
      <c r="L426" s="512"/>
      <c r="M426" s="512"/>
      <c r="N426" s="262"/>
      <c r="O426" s="262"/>
      <c r="P426" s="262"/>
      <c r="Q426" s="262"/>
      <c r="R426" s="262"/>
      <c r="S426" s="262"/>
      <c r="T426" s="262"/>
      <c r="U426" s="262"/>
      <c r="V426" s="262"/>
      <c r="W426" s="262"/>
      <c r="X426" s="262"/>
      <c r="Y426" s="262"/>
      <c r="Z426" s="262"/>
      <c r="AA426" s="262"/>
      <c r="AB426" s="262"/>
    </row>
    <row r="427" spans="1:28" ht="12.75">
      <c r="A427" s="526"/>
      <c r="B427" s="527"/>
      <c r="C427" s="528"/>
      <c r="D427" s="534" t="s">
        <v>14631</v>
      </c>
      <c r="E427" s="530" t="s">
        <v>54</v>
      </c>
      <c r="F427" s="533">
        <v>475.62</v>
      </c>
      <c r="G427" s="532"/>
      <c r="H427" s="511"/>
      <c r="I427" s="262"/>
      <c r="J427" s="262"/>
      <c r="K427" s="262"/>
      <c r="L427" s="512"/>
      <c r="M427" s="512"/>
      <c r="N427" s="262"/>
      <c r="O427" s="262"/>
      <c r="P427" s="262"/>
      <c r="Q427" s="262"/>
      <c r="R427" s="262"/>
      <c r="S427" s="262"/>
      <c r="T427" s="262"/>
      <c r="U427" s="262"/>
      <c r="V427" s="262"/>
      <c r="W427" s="262"/>
      <c r="X427" s="262"/>
      <c r="Y427" s="262"/>
      <c r="Z427" s="262"/>
      <c r="AA427" s="262"/>
      <c r="AB427" s="262"/>
    </row>
    <row r="428" spans="1:28" ht="12.75">
      <c r="A428" s="526"/>
      <c r="B428" s="527"/>
      <c r="C428" s="528"/>
      <c r="D428" s="534" t="s">
        <v>14632</v>
      </c>
      <c r="E428" s="530" t="s">
        <v>54</v>
      </c>
      <c r="F428" s="533">
        <v>1756.33</v>
      </c>
      <c r="G428" s="532"/>
      <c r="H428" s="511"/>
      <c r="I428" s="262"/>
      <c r="J428" s="262"/>
      <c r="K428" s="262"/>
      <c r="L428" s="512"/>
      <c r="M428" s="512"/>
      <c r="N428" s="262"/>
      <c r="O428" s="262"/>
      <c r="P428" s="262"/>
      <c r="Q428" s="262"/>
      <c r="R428" s="262"/>
      <c r="S428" s="262"/>
      <c r="T428" s="262"/>
      <c r="U428" s="262"/>
      <c r="V428" s="262"/>
      <c r="W428" s="262"/>
      <c r="X428" s="262"/>
      <c r="Y428" s="262"/>
      <c r="Z428" s="262"/>
      <c r="AA428" s="262"/>
      <c r="AB428" s="262"/>
    </row>
    <row r="429" spans="1:28" ht="12.75">
      <c r="A429" s="520"/>
      <c r="B429" s="521"/>
      <c r="C429" s="528"/>
      <c r="D429" s="534" t="s">
        <v>14633</v>
      </c>
      <c r="E429" s="530" t="s">
        <v>54</v>
      </c>
      <c r="F429" s="533">
        <v>1570.56</v>
      </c>
      <c r="G429" s="524"/>
      <c r="H429" s="525"/>
      <c r="I429" s="262"/>
      <c r="J429" s="262"/>
      <c r="K429" s="262"/>
      <c r="L429" s="512"/>
      <c r="M429" s="512"/>
      <c r="N429" s="262"/>
      <c r="O429" s="262"/>
      <c r="P429" s="262"/>
      <c r="Q429" s="262"/>
      <c r="R429" s="262"/>
      <c r="S429" s="262"/>
      <c r="T429" s="262"/>
      <c r="U429" s="262"/>
      <c r="V429" s="262"/>
      <c r="W429" s="262"/>
      <c r="X429" s="262"/>
      <c r="Y429" s="262"/>
      <c r="Z429" s="262"/>
      <c r="AA429" s="262"/>
      <c r="AB429" s="262"/>
    </row>
    <row r="430" spans="1:28" ht="12.75">
      <c r="A430" s="520" t="s">
        <v>14479</v>
      </c>
      <c r="B430" s="521" t="s">
        <v>14476</v>
      </c>
      <c r="C430" s="522">
        <v>1323</v>
      </c>
      <c r="D430" s="523" t="str">
        <f>IFERROR(VLOOKUP($C430,'24.08_ND'!$A:$D,2,0),)</f>
        <v>CHAPA DE ACO FINA A QUENTE BITOLA MSG 18, E = 1,20 MM (9,60 KG/M2)</v>
      </c>
      <c r="E430" s="244" t="str">
        <f>IFERROR(VLOOKUP($C430,'24.08_ND'!$A:$D,3,0),)</f>
        <v>KG</v>
      </c>
      <c r="F430" s="444">
        <f>ROUNDUP(((F431)/$F$410)*1.075,4)</f>
        <v>4.5999999999999999E-3</v>
      </c>
      <c r="G430" s="524">
        <f>IFERROR(VLOOKUP($C430,'24.08_ND'!$A:$D,4,0),)</f>
        <v>11.73</v>
      </c>
      <c r="H430" s="525">
        <f>TRUNC(($F430*$G430),2)</f>
        <v>0.05</v>
      </c>
      <c r="I430" s="262"/>
      <c r="J430" s="262"/>
      <c r="K430" s="262"/>
      <c r="L430" s="512"/>
      <c r="M430" s="512"/>
      <c r="N430" s="262"/>
      <c r="O430" s="262"/>
      <c r="P430" s="262"/>
      <c r="Q430" s="262"/>
      <c r="R430" s="262"/>
      <c r="S430" s="262"/>
      <c r="T430" s="262"/>
      <c r="U430" s="262"/>
      <c r="V430" s="262"/>
      <c r="W430" s="262"/>
      <c r="X430" s="262"/>
      <c r="Y430" s="262"/>
      <c r="Z430" s="262"/>
      <c r="AA430" s="262"/>
      <c r="AB430" s="262"/>
    </row>
    <row r="431" spans="1:28" ht="12.75">
      <c r="A431" s="526"/>
      <c r="B431" s="527"/>
      <c r="C431" s="528"/>
      <c r="D431" s="534" t="s">
        <v>14634</v>
      </c>
      <c r="E431" s="530" t="s">
        <v>54</v>
      </c>
      <c r="F431" s="533">
        <v>42.7</v>
      </c>
      <c r="G431" s="532"/>
      <c r="H431" s="511"/>
      <c r="I431" s="262"/>
      <c r="J431" s="262"/>
      <c r="K431" s="262"/>
      <c r="L431" s="512"/>
      <c r="M431" s="512"/>
      <c r="N431" s="262"/>
      <c r="O431" s="262"/>
      <c r="P431" s="262"/>
      <c r="Q431" s="262"/>
      <c r="R431" s="262"/>
      <c r="S431" s="262"/>
      <c r="T431" s="262"/>
      <c r="U431" s="262"/>
      <c r="V431" s="262"/>
      <c r="W431" s="262"/>
      <c r="X431" s="262"/>
      <c r="Y431" s="262"/>
      <c r="Z431" s="262"/>
      <c r="AA431" s="262"/>
      <c r="AB431" s="262"/>
    </row>
    <row r="432" spans="1:28" ht="12.75">
      <c r="A432" s="535" t="s">
        <v>14479</v>
      </c>
      <c r="B432" s="536" t="s">
        <v>14476</v>
      </c>
      <c r="C432" s="537">
        <v>1332</v>
      </c>
      <c r="D432" s="538" t="str">
        <f>IFERROR(VLOOKUP($C432,'24.08_ND'!$A:$D,2,0),)</f>
        <v>CHAPA DE ACO GROSSA, ASTM A36, E = 3/8" (9,53 MM) 74,69 KG/M2</v>
      </c>
      <c r="E432" s="539" t="str">
        <f>IFERROR(VLOOKUP($C432,'24.08_ND'!$A:$D,3,0),)</f>
        <v>KG</v>
      </c>
      <c r="F432" s="444">
        <f>ROUNDUP(((F433+F434)/$F$410)*1.075,4)</f>
        <v>5.5000000000000005E-3</v>
      </c>
      <c r="G432" s="540">
        <f>IFERROR(VLOOKUP($C432,'24.08_ND'!$A:$D,4,0),)</f>
        <v>10.95</v>
      </c>
      <c r="H432" s="541">
        <f>TRUNC(($F432*$G432),2)</f>
        <v>0.06</v>
      </c>
      <c r="I432" s="368"/>
      <c r="J432" s="368"/>
      <c r="K432" s="368"/>
      <c r="L432" s="368"/>
      <c r="M432" s="368"/>
      <c r="N432" s="368"/>
      <c r="O432" s="368"/>
      <c r="P432" s="368"/>
      <c r="Q432" s="368"/>
      <c r="R432" s="368"/>
      <c r="S432" s="368"/>
      <c r="T432" s="368"/>
      <c r="U432" s="368"/>
      <c r="V432" s="368"/>
      <c r="W432" s="368"/>
      <c r="X432" s="368"/>
      <c r="Y432" s="368"/>
      <c r="Z432" s="368"/>
      <c r="AA432" s="368"/>
      <c r="AB432" s="368"/>
    </row>
    <row r="433" spans="1:31" ht="12.75">
      <c r="A433" s="542"/>
      <c r="B433" s="543"/>
      <c r="C433" s="427"/>
      <c r="D433" s="544" t="s">
        <v>14635</v>
      </c>
      <c r="E433" s="545" t="s">
        <v>54</v>
      </c>
      <c r="F433" s="546">
        <v>45.28</v>
      </c>
      <c r="G433" s="547"/>
      <c r="H433" s="430"/>
      <c r="I433" s="368"/>
      <c r="J433" s="368"/>
      <c r="K433" s="368"/>
      <c r="L433" s="368"/>
      <c r="M433" s="368"/>
      <c r="N433" s="368"/>
      <c r="O433" s="368"/>
      <c r="P433" s="368"/>
      <c r="Q433" s="368"/>
      <c r="R433" s="368"/>
      <c r="S433" s="368"/>
      <c r="T433" s="368"/>
      <c r="U433" s="368"/>
      <c r="V433" s="368"/>
      <c r="W433" s="368"/>
      <c r="X433" s="368"/>
      <c r="Y433" s="368"/>
      <c r="Z433" s="368"/>
      <c r="AA433" s="368"/>
      <c r="AB433" s="368"/>
    </row>
    <row r="434" spans="1:31" ht="12.75">
      <c r="A434" s="542"/>
      <c r="B434" s="543"/>
      <c r="C434" s="427"/>
      <c r="D434" s="544" t="s">
        <v>14635</v>
      </c>
      <c r="E434" s="545" t="s">
        <v>54</v>
      </c>
      <c r="F434" s="546">
        <v>5.66</v>
      </c>
      <c r="G434" s="547"/>
      <c r="H434" s="430"/>
      <c r="I434" s="368"/>
      <c r="J434" s="368"/>
      <c r="K434" s="368"/>
      <c r="L434" s="368"/>
      <c r="M434" s="368"/>
      <c r="N434" s="368"/>
      <c r="O434" s="368"/>
      <c r="P434" s="368"/>
      <c r="Q434" s="368"/>
      <c r="R434" s="368"/>
      <c r="S434" s="368"/>
      <c r="T434" s="368"/>
      <c r="U434" s="368"/>
      <c r="V434" s="368"/>
      <c r="W434" s="368"/>
      <c r="X434" s="368"/>
      <c r="Y434" s="368"/>
      <c r="Z434" s="368"/>
      <c r="AA434" s="368"/>
      <c r="AB434" s="368"/>
    </row>
    <row r="435" spans="1:31" ht="12.75">
      <c r="A435" s="520" t="s">
        <v>14479</v>
      </c>
      <c r="B435" s="521" t="s">
        <v>14476</v>
      </c>
      <c r="C435" s="522">
        <v>1333</v>
      </c>
      <c r="D435" s="523" t="str">
        <f>IFERROR(VLOOKUP($C435,'24.08_ND'!$A:$D,2,0),)</f>
        <v>CHAPA DE ACO GROSSA, ASTM A36, E = 1/2" (12,70 MM) 99,59 KG/M2</v>
      </c>
      <c r="E435" s="244" t="str">
        <f>IFERROR(VLOOKUP($C435,'24.08_ND'!$A:$D,3,0),)</f>
        <v>KG</v>
      </c>
      <c r="F435" s="444">
        <f>ROUNDUP(((F436)/$F$410)*1.075,4)</f>
        <v>3.8999999999999998E-3</v>
      </c>
      <c r="G435" s="524">
        <f>IFERROR(VLOOKUP($C435,'24.08_ND'!$A:$D,4,0),)</f>
        <v>10.77</v>
      </c>
      <c r="H435" s="525">
        <f>TRUNC(($F435*$G435),2)</f>
        <v>0.04</v>
      </c>
      <c r="I435" s="262"/>
      <c r="J435" s="262"/>
      <c r="K435" s="262"/>
      <c r="L435" s="512"/>
      <c r="M435" s="512"/>
      <c r="N435" s="262"/>
      <c r="O435" s="262"/>
      <c r="P435" s="262"/>
      <c r="Q435" s="262"/>
      <c r="R435" s="262"/>
      <c r="S435" s="262"/>
      <c r="T435" s="262"/>
      <c r="U435" s="262"/>
      <c r="V435" s="262"/>
      <c r="W435" s="262"/>
      <c r="X435" s="262"/>
      <c r="Y435" s="262"/>
      <c r="Z435" s="262"/>
      <c r="AA435" s="262"/>
      <c r="AB435" s="262"/>
    </row>
    <row r="436" spans="1:31" ht="12.75">
      <c r="A436" s="526"/>
      <c r="B436" s="527"/>
      <c r="C436" s="528"/>
      <c r="D436" s="529" t="s">
        <v>14636</v>
      </c>
      <c r="E436" s="530" t="s">
        <v>54</v>
      </c>
      <c r="F436" s="533">
        <v>35.94</v>
      </c>
      <c r="G436" s="532"/>
      <c r="H436" s="511"/>
      <c r="I436" s="262"/>
      <c r="J436" s="262"/>
      <c r="K436" s="262"/>
      <c r="L436" s="512"/>
      <c r="M436" s="512"/>
      <c r="N436" s="262"/>
      <c r="O436" s="262"/>
      <c r="P436" s="262"/>
      <c r="Q436" s="262"/>
      <c r="R436" s="262"/>
      <c r="S436" s="262"/>
      <c r="T436" s="262"/>
      <c r="U436" s="262"/>
      <c r="V436" s="262"/>
      <c r="W436" s="262"/>
      <c r="X436" s="262"/>
      <c r="Y436" s="262"/>
      <c r="Z436" s="262"/>
      <c r="AA436" s="262"/>
      <c r="AB436" s="262"/>
    </row>
    <row r="437" spans="1:31" ht="12.75">
      <c r="A437" s="520" t="s">
        <v>14479</v>
      </c>
      <c r="B437" s="521" t="s">
        <v>14476</v>
      </c>
      <c r="C437" s="522">
        <v>43055</v>
      </c>
      <c r="D437" s="523" t="str">
        <f>IFERROR(VLOOKUP($C437,'24.08_ND'!$A:$D,2,0),)</f>
        <v>ACO CA-50, 12,5 MM OU 16,0 MM, VERGALHAO</v>
      </c>
      <c r="E437" s="244" t="str">
        <f>IFERROR(VLOOKUP($C437,'24.08_ND'!$A:$D,3,0),)</f>
        <v>KG</v>
      </c>
      <c r="F437" s="444">
        <f>ROUNDUP(((F438+F439)/$F$410)*1.075,4)</f>
        <v>3.8999999999999998E-3</v>
      </c>
      <c r="G437" s="524">
        <f>IFERROR(VLOOKUP($C437,'24.08_ND'!$A:$D,4,0),)</f>
        <v>7.32</v>
      </c>
      <c r="H437" s="525">
        <f>TRUNC(($F437*$G437),2)</f>
        <v>0.02</v>
      </c>
      <c r="I437" s="262"/>
      <c r="J437" s="262"/>
      <c r="K437" s="262"/>
      <c r="L437" s="512"/>
      <c r="M437" s="512"/>
      <c r="N437" s="262"/>
      <c r="O437" s="262"/>
      <c r="P437" s="262"/>
      <c r="Q437" s="262"/>
      <c r="R437" s="262"/>
      <c r="S437" s="262"/>
      <c r="T437" s="262"/>
      <c r="U437" s="262"/>
      <c r="V437" s="262"/>
      <c r="W437" s="262"/>
      <c r="X437" s="262"/>
      <c r="Y437" s="262"/>
      <c r="Z437" s="262"/>
      <c r="AA437" s="262"/>
      <c r="AB437" s="262"/>
    </row>
    <row r="438" spans="1:31" ht="12.75">
      <c r="A438" s="526"/>
      <c r="B438" s="527"/>
      <c r="C438" s="528"/>
      <c r="D438" s="529" t="s">
        <v>14637</v>
      </c>
      <c r="E438" s="530" t="s">
        <v>54</v>
      </c>
      <c r="F438" s="533">
        <v>25.7</v>
      </c>
      <c r="G438" s="532"/>
      <c r="H438" s="511"/>
      <c r="I438" s="262"/>
      <c r="J438" s="262"/>
      <c r="K438" s="262"/>
      <c r="L438" s="512"/>
      <c r="M438" s="512"/>
      <c r="N438" s="262"/>
      <c r="O438" s="262"/>
      <c r="P438" s="262"/>
      <c r="Q438" s="262"/>
      <c r="R438" s="262"/>
      <c r="S438" s="262"/>
      <c r="T438" s="262"/>
      <c r="U438" s="262"/>
      <c r="V438" s="262"/>
      <c r="W438" s="262"/>
      <c r="X438" s="262"/>
      <c r="Y438" s="262"/>
      <c r="Z438" s="262"/>
      <c r="AA438" s="262"/>
      <c r="AB438" s="262"/>
    </row>
    <row r="439" spans="1:31" ht="12.75">
      <c r="A439" s="526"/>
      <c r="B439" s="527"/>
      <c r="C439" s="528"/>
      <c r="D439" s="529" t="s">
        <v>14638</v>
      </c>
      <c r="E439" s="530" t="s">
        <v>54</v>
      </c>
      <c r="F439" s="533">
        <v>10.53</v>
      </c>
      <c r="G439" s="532"/>
      <c r="H439" s="511"/>
      <c r="I439" s="262"/>
      <c r="J439" s="262"/>
      <c r="K439" s="262"/>
      <c r="L439" s="512"/>
      <c r="M439" s="512"/>
      <c r="N439" s="262"/>
      <c r="O439" s="262"/>
      <c r="P439" s="262"/>
      <c r="Q439" s="262"/>
      <c r="R439" s="262"/>
      <c r="S439" s="262"/>
      <c r="T439" s="262"/>
      <c r="U439" s="262"/>
      <c r="V439" s="262"/>
      <c r="W439" s="262"/>
      <c r="X439" s="262"/>
      <c r="Y439" s="262"/>
      <c r="Z439" s="262"/>
      <c r="AA439" s="262"/>
      <c r="AB439" s="262"/>
    </row>
    <row r="440" spans="1:31" ht="12.75">
      <c r="A440" s="376" t="s">
        <v>14479</v>
      </c>
      <c r="B440" s="312" t="str">
        <f>VLOOKUP($C440,'• CIs EXT'!$A:$E,2,0)</f>
        <v>FDE</v>
      </c>
      <c r="C440" s="377" t="s">
        <v>14639</v>
      </c>
      <c r="D440" s="378" t="str">
        <f>VLOOKUP($C440,'• CIs EXT'!$A:$E,3,0)</f>
        <v>CHUMBADOR MECÂNICO EXPANSÍVEL 1/4"X3".</v>
      </c>
      <c r="E440" s="379" t="str">
        <f>VLOOKUP($C440,'• CIs EXT'!$A:$E,4,0)</f>
        <v>UN</v>
      </c>
      <c r="F440" s="548">
        <f>ROUNDUP((8/$F$410)*1.075,4)</f>
        <v>9.0000000000000008E-4</v>
      </c>
      <c r="G440" s="379">
        <f>VLOOKUP($C440,'• CIs EXT'!$A:$E,5,0)</f>
        <v>1.68</v>
      </c>
      <c r="H440" s="549">
        <f>$F440*$G440</f>
        <v>1.5120000000000001E-3</v>
      </c>
      <c r="I440" s="262"/>
      <c r="J440" s="262"/>
      <c r="K440" s="262"/>
      <c r="L440" s="262"/>
      <c r="M440" s="262"/>
      <c r="N440" s="262"/>
      <c r="O440" s="262"/>
      <c r="P440" s="262"/>
      <c r="Q440" s="262"/>
      <c r="R440" s="262"/>
      <c r="S440" s="262"/>
      <c r="T440" s="262"/>
      <c r="U440" s="262"/>
      <c r="V440" s="262"/>
      <c r="W440" s="262"/>
      <c r="X440" s="262"/>
      <c r="Y440" s="262"/>
      <c r="Z440" s="262"/>
      <c r="AA440" s="262"/>
      <c r="AB440" s="262"/>
    </row>
    <row r="441" spans="1:31" ht="38.25">
      <c r="A441" s="513" t="s">
        <v>14478</v>
      </c>
      <c r="B441" s="550" t="s">
        <v>14476</v>
      </c>
      <c r="C441" s="551">
        <v>100721</v>
      </c>
      <c r="D441" s="515" t="str">
        <f>IFERROR(VLOOKUP($C441,'24.08_ND'!$A:$D,2,0),)</f>
        <v>PINTURA COM TINTA ALQUÍDICA DE FUNDO (TIPO ZARCÃO) PULVERIZADA SOBRE SUPERFÍCIES METÁLICAS (EXCETO PERFIL) EXECUTADO EM OBRA (POR DEMÃO). AF_01/2020_PE</v>
      </c>
      <c r="E441" s="516" t="str">
        <f>IFERROR(VLOOKUP($C441,'24.08_ND'!$A:$D,3,0),)</f>
        <v>M2</v>
      </c>
      <c r="F441" s="552">
        <f>ROUNDUP((607.2/$F$410)*1.075,4)</f>
        <v>6.5100000000000005E-2</v>
      </c>
      <c r="G441" s="518">
        <f>IFERROR(VLOOKUP($C441,'24.08_ND'!$A:$D,4,0),)</f>
        <v>20.97</v>
      </c>
      <c r="H441" s="519">
        <f>TRUNC(($F441*$G441),2)</f>
        <v>1.36</v>
      </c>
      <c r="I441" s="262"/>
      <c r="J441" s="262"/>
      <c r="K441" s="262"/>
      <c r="L441" s="512"/>
      <c r="M441" s="512"/>
      <c r="N441" s="262"/>
      <c r="O441" s="262"/>
      <c r="P441" s="262"/>
      <c r="Q441" s="262"/>
      <c r="R441" s="262"/>
      <c r="S441" s="262"/>
      <c r="T441" s="262"/>
      <c r="U441" s="262"/>
      <c r="V441" s="262"/>
      <c r="W441" s="262"/>
      <c r="X441" s="262"/>
      <c r="Y441" s="262"/>
      <c r="Z441" s="262"/>
      <c r="AA441" s="262"/>
      <c r="AB441" s="262"/>
      <c r="AD441" s="1791" t="e">
        <f>VLOOKUP(C441,'Medição '!$B$16:$F$1833,6,0)</f>
        <v>#REF!</v>
      </c>
      <c r="AE441" s="1791"/>
    </row>
    <row r="442" spans="1:31" ht="38.25">
      <c r="A442" s="513" t="s">
        <v>14478</v>
      </c>
      <c r="B442" s="550" t="s">
        <v>14476</v>
      </c>
      <c r="C442" s="551">
        <v>100761</v>
      </c>
      <c r="D442" s="515" t="str">
        <f>IFERROR(VLOOKUP($C442,'24.08_ND'!$A:$D,2,0),)</f>
        <v>PINTURA COM TINTA ALQUÍDICA DE ACABAMENTO (ESMALTE SINTÉTICO FOSCO) PULVERIZADA SOBRE SUPERFÍCIES METÁLICAS (EXCETO PERFIL) EXECUTADO EM OBRA (02 DEMÃOS). AF_01/2020_PE</v>
      </c>
      <c r="E442" s="516" t="str">
        <f>IFERROR(VLOOKUP($C442,'24.08_ND'!$A:$D,3,0),)</f>
        <v>M2</v>
      </c>
      <c r="F442" s="552">
        <f>ROUNDUP((607.2/$F$410)*1.075,4)</f>
        <v>6.5100000000000005E-2</v>
      </c>
      <c r="G442" s="518">
        <f>IFERROR(VLOOKUP($C442,'24.08_ND'!$A:$D,4,0),)</f>
        <v>41.11</v>
      </c>
      <c r="H442" s="519">
        <f>TRUNC(($F442*$G442),2)</f>
        <v>2.67</v>
      </c>
      <c r="I442" s="262"/>
      <c r="J442" s="262"/>
      <c r="K442" s="262"/>
      <c r="L442" s="512"/>
      <c r="M442" s="512"/>
      <c r="N442" s="262"/>
      <c r="O442" s="262"/>
      <c r="P442" s="262"/>
      <c r="Q442" s="262"/>
      <c r="R442" s="262"/>
      <c r="S442" s="262"/>
      <c r="T442" s="262"/>
      <c r="U442" s="262"/>
      <c r="V442" s="262"/>
      <c r="W442" s="262"/>
      <c r="X442" s="262"/>
      <c r="Y442" s="262"/>
      <c r="Z442" s="262"/>
      <c r="AA442" s="262"/>
      <c r="AB442" s="262"/>
      <c r="AD442" s="1791" t="e">
        <f>VLOOKUP(C442,'Medição '!$B$16:$F$1833,6,0)</f>
        <v>#REF!</v>
      </c>
      <c r="AE442" s="1791"/>
    </row>
    <row r="443" spans="1:31" ht="25.5">
      <c r="A443" s="376" t="s">
        <v>14478</v>
      </c>
      <c r="B443" s="312" t="str">
        <f>VLOOKUP($C443,'• CIs EXT'!$A:$E,2,0)</f>
        <v>SETOP</v>
      </c>
      <c r="C443" s="377" t="s">
        <v>14619</v>
      </c>
      <c r="D443" s="378" t="str">
        <f>VLOOKUP($C443,'• CIs EXT'!$A:$E,3,0)</f>
        <v>SERVIÇO DE CORTE E DOBRA EM CHAPA DE AÇO, EXCLUSIVE FORNECIMENTO</v>
      </c>
      <c r="E443" s="379" t="str">
        <f>VLOOKUP($C443,'• CIs EXT'!$A:$E,4,0)</f>
        <v>KG</v>
      </c>
      <c r="F443" s="548">
        <v>1</v>
      </c>
      <c r="G443" s="379">
        <f>VLOOKUP($C443,'• CIs EXT'!$A:$E,5,0)</f>
        <v>2.88</v>
      </c>
      <c r="H443" s="381">
        <f>TRUNC(($F443*$G443),2)</f>
        <v>2.88</v>
      </c>
      <c r="I443" s="262"/>
      <c r="J443" s="262"/>
      <c r="K443" s="262"/>
      <c r="L443" s="262"/>
      <c r="M443" s="262"/>
      <c r="N443" s="262"/>
      <c r="O443" s="262"/>
      <c r="P443" s="262"/>
      <c r="Q443" s="262"/>
      <c r="R443" s="262"/>
      <c r="S443" s="262"/>
      <c r="T443" s="262"/>
      <c r="U443" s="262"/>
      <c r="V443" s="262"/>
      <c r="W443" s="262"/>
      <c r="X443" s="262"/>
      <c r="Y443" s="262"/>
      <c r="Z443" s="262"/>
      <c r="AA443" s="262"/>
      <c r="AB443" s="262"/>
    </row>
    <row r="444" spans="1:31" ht="19.5">
      <c r="A444" s="392"/>
      <c r="B444" s="393"/>
      <c r="C444" s="394"/>
      <c r="D444" s="393"/>
      <c r="E444" s="393"/>
      <c r="F444" s="395"/>
      <c r="G444" s="393"/>
      <c r="H444" s="396"/>
      <c r="I444" s="262"/>
      <c r="J444" s="262"/>
      <c r="K444" s="262"/>
      <c r="N444" s="262"/>
      <c r="O444" s="262"/>
      <c r="P444" s="262"/>
      <c r="Q444" s="262"/>
      <c r="R444" s="262"/>
      <c r="S444" s="262"/>
      <c r="T444" s="262"/>
      <c r="U444" s="262"/>
      <c r="V444" s="262"/>
      <c r="W444" s="262"/>
      <c r="X444" s="262"/>
      <c r="Y444" s="262"/>
      <c r="Z444" s="262"/>
      <c r="AA444" s="262"/>
      <c r="AB444" s="262"/>
    </row>
    <row r="445" spans="1:31" ht="25.5">
      <c r="A445" s="271" t="s">
        <v>14471</v>
      </c>
      <c r="B445" s="272" t="s">
        <v>14472</v>
      </c>
      <c r="C445" s="273" t="s">
        <v>14640</v>
      </c>
      <c r="D445" s="274" t="s">
        <v>14641</v>
      </c>
      <c r="E445" s="272" t="s">
        <v>409</v>
      </c>
      <c r="F445" s="272"/>
      <c r="G445" s="272"/>
      <c r="H445" s="275">
        <f>TRUNC(SUM(H447:H457),2)</f>
        <v>276.93</v>
      </c>
      <c r="I445" s="276">
        <f>COUNTIF($C$8:$C445,C:C)</f>
        <v>1</v>
      </c>
      <c r="J445" s="110"/>
      <c r="K445" s="110"/>
      <c r="L445" s="110"/>
      <c r="M445" s="110"/>
      <c r="N445" s="110"/>
      <c r="O445" s="110"/>
      <c r="P445" s="110"/>
      <c r="Q445" s="110"/>
      <c r="R445" s="110"/>
      <c r="S445" s="110"/>
      <c r="T445" s="110"/>
      <c r="U445" s="110"/>
      <c r="V445" s="110"/>
      <c r="W445" s="110"/>
      <c r="X445" s="110"/>
      <c r="Y445" s="110"/>
      <c r="Z445" s="110"/>
      <c r="AA445" s="110"/>
      <c r="AB445" s="110"/>
    </row>
    <row r="446" spans="1:31" ht="12.75">
      <c r="A446" s="277" t="s">
        <v>14475</v>
      </c>
      <c r="B446" s="488" t="s">
        <v>14476</v>
      </c>
      <c r="C446" s="489">
        <v>101963</v>
      </c>
      <c r="D446" s="490" t="s">
        <v>14587</v>
      </c>
      <c r="E446" s="553"/>
      <c r="F446" s="554"/>
      <c r="G446" s="492"/>
      <c r="H446" s="493"/>
      <c r="I446" s="110"/>
      <c r="J446" s="110"/>
      <c r="K446" s="110"/>
      <c r="L446" s="110"/>
      <c r="M446" s="110"/>
      <c r="N446" s="110"/>
      <c r="O446" s="110"/>
      <c r="P446" s="110"/>
      <c r="Q446" s="110"/>
      <c r="R446" s="110"/>
      <c r="S446" s="110"/>
      <c r="T446" s="110"/>
      <c r="U446" s="110"/>
      <c r="V446" s="110"/>
      <c r="W446" s="110"/>
      <c r="X446" s="110"/>
      <c r="Y446" s="110"/>
      <c r="Z446" s="110"/>
      <c r="AA446" s="110"/>
      <c r="AB446" s="110"/>
    </row>
    <row r="447" spans="1:31" ht="25.5">
      <c r="A447" s="285" t="s">
        <v>14478</v>
      </c>
      <c r="B447" s="555" t="s">
        <v>14476</v>
      </c>
      <c r="C447" s="408">
        <v>88262</v>
      </c>
      <c r="D447" s="288" t="str">
        <f>IFERROR(VLOOKUP($C447,'24.08_ND'!$A:$D,2,0),)</f>
        <v>CARPINTEIRO DE FORMAS COM ENCARGOS COMPLEMENTARES</v>
      </c>
      <c r="E447" s="556" t="str">
        <f>IFERROR(VLOOKUP($C447,'24.08_ND'!$A:$D,3,0),)</f>
        <v>H</v>
      </c>
      <c r="F447" s="443">
        <f>0.501+0.186</f>
        <v>0.68700000000000006</v>
      </c>
      <c r="G447" s="439">
        <f>IFERROR(VLOOKUP($C447,'24.08_ND'!$A:$D,4,0),)</f>
        <v>23.01</v>
      </c>
      <c r="H447" s="557">
        <f t="shared" ref="H447:H452" si="22">TRUNC(($F447*$G447),2)</f>
        <v>15.8</v>
      </c>
      <c r="I447" s="110"/>
      <c r="J447" s="110"/>
      <c r="K447" s="110"/>
      <c r="L447" s="110"/>
      <c r="M447" s="110"/>
      <c r="N447" s="110"/>
      <c r="O447" s="110"/>
      <c r="P447" s="110"/>
      <c r="Q447" s="110"/>
      <c r="R447" s="110"/>
      <c r="S447" s="110"/>
      <c r="T447" s="110"/>
      <c r="U447" s="110"/>
      <c r="V447" s="110"/>
      <c r="W447" s="110"/>
      <c r="X447" s="110"/>
      <c r="Y447" s="110"/>
      <c r="Z447" s="110"/>
      <c r="AA447" s="110"/>
      <c r="AB447" s="110"/>
      <c r="AD447" s="1791" t="e">
        <f>VLOOKUP(C447,'Medição '!$B$16:$F$1833,6,0)</f>
        <v>#N/A</v>
      </c>
      <c r="AE447" s="1791"/>
    </row>
    <row r="448" spans="1:31" ht="25.5">
      <c r="A448" s="285" t="s">
        <v>14478</v>
      </c>
      <c r="B448" s="555" t="s">
        <v>14476</v>
      </c>
      <c r="C448" s="408">
        <v>88316</v>
      </c>
      <c r="D448" s="288" t="str">
        <f>IFERROR(VLOOKUP($C448,'24.08_ND'!$A:$D,2,0),)</f>
        <v>SERVENTE COM ENCARGOS COMPLEMENTARES</v>
      </c>
      <c r="E448" s="556" t="str">
        <f>IFERROR(VLOOKUP($C448,'24.08_ND'!$A:$D,3,0),)</f>
        <v>H</v>
      </c>
      <c r="F448" s="443">
        <f>0.354+1.192</f>
        <v>1.5459999999999998</v>
      </c>
      <c r="G448" s="439">
        <f>IFERROR(VLOOKUP($C448,'24.08_ND'!$A:$D,4,0),)</f>
        <v>18.510000000000002</v>
      </c>
      <c r="H448" s="557">
        <f t="shared" si="22"/>
        <v>28.61</v>
      </c>
      <c r="I448" s="110"/>
      <c r="J448" s="110"/>
      <c r="K448" s="110"/>
      <c r="L448" s="110"/>
      <c r="M448" s="110"/>
      <c r="N448" s="110"/>
      <c r="O448" s="110"/>
      <c r="P448" s="110"/>
      <c r="Q448" s="110"/>
      <c r="R448" s="110"/>
      <c r="S448" s="110"/>
      <c r="T448" s="110"/>
      <c r="U448" s="110"/>
      <c r="V448" s="110"/>
      <c r="W448" s="110"/>
      <c r="X448" s="110"/>
      <c r="Y448" s="110"/>
      <c r="Z448" s="110"/>
      <c r="AA448" s="110"/>
      <c r="AB448" s="110"/>
      <c r="AD448" s="1791" t="e">
        <f>VLOOKUP(C448,'Medição '!$B$16:$F$1833,6,0)</f>
        <v>#N/A</v>
      </c>
      <c r="AE448" s="1791"/>
    </row>
    <row r="449" spans="1:31" ht="25.5">
      <c r="A449" s="285" t="s">
        <v>14478</v>
      </c>
      <c r="B449" s="555" t="s">
        <v>14476</v>
      </c>
      <c r="C449" s="408">
        <v>92273</v>
      </c>
      <c r="D449" s="288" t="str">
        <f>IFERROR(VLOOKUP($C449,'24.08_ND'!$A:$D,2,0),)</f>
        <v>FABRICAÇÃO DE ESCORAS DO TIPO PONTALETE, EM MADEIRA, PARA PÉ-DIREITO SIMPLES. AF_09/2020</v>
      </c>
      <c r="E449" s="556" t="str">
        <f>IFERROR(VLOOKUP($C449,'24.08_ND'!$A:$D,3,0),)</f>
        <v>M</v>
      </c>
      <c r="F449" s="443">
        <v>0.97</v>
      </c>
      <c r="G449" s="439">
        <f>IFERROR(VLOOKUP($C449,'24.08_ND'!$A:$D,4,0),)</f>
        <v>17.350000000000001</v>
      </c>
      <c r="H449" s="557">
        <f t="shared" si="22"/>
        <v>16.82</v>
      </c>
      <c r="I449" s="110"/>
      <c r="J449" s="110"/>
      <c r="K449" s="110"/>
      <c r="L449" s="110"/>
      <c r="M449" s="110"/>
      <c r="N449" s="110"/>
      <c r="O449" s="110"/>
      <c r="P449" s="110"/>
      <c r="Q449" s="110"/>
      <c r="R449" s="110"/>
      <c r="S449" s="110"/>
      <c r="T449" s="110"/>
      <c r="U449" s="110"/>
      <c r="V449" s="110"/>
      <c r="W449" s="110"/>
      <c r="X449" s="110"/>
      <c r="Y449" s="110"/>
      <c r="Z449" s="110"/>
      <c r="AA449" s="110"/>
      <c r="AB449" s="110"/>
      <c r="AD449" s="1791" t="e">
        <f>VLOOKUP(C449,'Medição '!$B$16:$F$1833,6,0)</f>
        <v>#N/A</v>
      </c>
      <c r="AE449" s="1791"/>
    </row>
    <row r="450" spans="1:31" ht="25.5">
      <c r="A450" s="558" t="s">
        <v>14479</v>
      </c>
      <c r="B450" s="559" t="s">
        <v>14476</v>
      </c>
      <c r="C450" s="559">
        <v>10917</v>
      </c>
      <c r="D450" s="296" t="str">
        <f>IFERROR(VLOOKUP($C450,'24.08_ND'!$A:$D,2,0),)</f>
        <v>TELA DE ACO SOLDADA NERVURADA, CA-60, Q-61, (0,97 KG/M2), DIAMETRO DO FIO = 3,4 MM, LARGURA = 2,45 M, ESPACAMENTO DA MALHA = 15 X 15 CM</v>
      </c>
      <c r="E450" s="560" t="str">
        <f>IFERROR(VLOOKUP($C450,'24.08_ND'!$A:$D,3,0),)</f>
        <v>M2</v>
      </c>
      <c r="F450" s="561">
        <v>1.1000000000000001</v>
      </c>
      <c r="G450" s="562">
        <f>IFERROR(VLOOKUP($C450,'24.08_ND'!$A:$D,4,0),)</f>
        <v>8.35</v>
      </c>
      <c r="H450" s="414">
        <f t="shared" si="22"/>
        <v>9.18</v>
      </c>
      <c r="I450" s="262"/>
      <c r="J450" s="262"/>
      <c r="K450" s="262"/>
      <c r="L450" s="262"/>
      <c r="M450" s="262"/>
      <c r="N450" s="262"/>
      <c r="O450" s="262"/>
      <c r="P450" s="262"/>
      <c r="Q450" s="262"/>
      <c r="R450" s="262"/>
      <c r="S450" s="262"/>
      <c r="T450" s="262"/>
      <c r="U450" s="262"/>
      <c r="V450" s="262"/>
      <c r="W450" s="262"/>
      <c r="X450" s="262"/>
      <c r="Y450" s="262"/>
      <c r="Z450" s="262"/>
      <c r="AA450" s="262"/>
      <c r="AB450" s="262"/>
    </row>
    <row r="451" spans="1:31" ht="25.5">
      <c r="A451" s="558" t="s">
        <v>14479</v>
      </c>
      <c r="B451" s="559" t="s">
        <v>14476</v>
      </c>
      <c r="C451" s="559">
        <v>6193</v>
      </c>
      <c r="D451" s="296" t="str">
        <f>IFERROR(VLOOKUP($C451,'24.08_ND'!$A:$D,2,0),)</f>
        <v>TABUA NAO APARELHADA *2,5 X 20* CM, EM MACARANDUBA/MASSARANDUBA, ANGELIM OU EQUIVALENTE DA REGIAO - BRUTA</v>
      </c>
      <c r="E451" s="560" t="str">
        <f>IFERROR(VLOOKUP($C451,'24.08_ND'!$A:$D,3,0),)</f>
        <v>M</v>
      </c>
      <c r="F451" s="561">
        <v>1.87</v>
      </c>
      <c r="G451" s="562">
        <f>IFERROR(VLOOKUP($C451,'24.08_ND'!$A:$D,4,0),)</f>
        <v>15.18</v>
      </c>
      <c r="H451" s="414">
        <f t="shared" si="22"/>
        <v>28.38</v>
      </c>
      <c r="I451" s="262"/>
      <c r="J451" s="262"/>
      <c r="K451" s="262"/>
      <c r="L451" s="262"/>
      <c r="M451" s="262"/>
      <c r="N451" s="262"/>
      <c r="O451" s="262"/>
      <c r="P451" s="262"/>
      <c r="Q451" s="262"/>
      <c r="R451" s="262"/>
      <c r="S451" s="262"/>
      <c r="T451" s="262"/>
      <c r="U451" s="262"/>
      <c r="V451" s="262"/>
      <c r="W451" s="262"/>
      <c r="X451" s="262"/>
      <c r="Y451" s="262"/>
      <c r="Z451" s="262"/>
      <c r="AA451" s="262"/>
      <c r="AB451" s="262"/>
    </row>
    <row r="452" spans="1:31" ht="12.75">
      <c r="A452" s="558" t="s">
        <v>14479</v>
      </c>
      <c r="B452" s="559" t="s">
        <v>14476</v>
      </c>
      <c r="C452" s="559">
        <v>40304</v>
      </c>
      <c r="D452" s="296" t="str">
        <f>IFERROR(VLOOKUP($C452,'24.08_ND'!$A:$D,2,0),)</f>
        <v>PREGO DE ACO POLIDO COM CABECA DUPLA 17 X 27 (2 1/2 X 11)</v>
      </c>
      <c r="E452" s="560" t="str">
        <f>IFERROR(VLOOKUP($C452,'24.08_ND'!$A:$D,3,0),)</f>
        <v>KG</v>
      </c>
      <c r="F452" s="561">
        <v>0.04</v>
      </c>
      <c r="G452" s="562">
        <f>IFERROR(VLOOKUP($C452,'24.08_ND'!$A:$D,4,0),)</f>
        <v>20.14</v>
      </c>
      <c r="H452" s="414">
        <f t="shared" si="22"/>
        <v>0.8</v>
      </c>
      <c r="I452" s="262"/>
      <c r="J452" s="262"/>
      <c r="K452" s="262"/>
      <c r="L452" s="262"/>
      <c r="M452" s="262"/>
      <c r="N452" s="262"/>
      <c r="O452" s="262"/>
      <c r="P452" s="262"/>
      <c r="Q452" s="262"/>
      <c r="R452" s="262"/>
      <c r="S452" s="262"/>
      <c r="T452" s="262"/>
      <c r="U452" s="262"/>
      <c r="V452" s="262"/>
      <c r="W452" s="262"/>
      <c r="X452" s="262"/>
      <c r="Y452" s="262"/>
      <c r="Z452" s="262"/>
      <c r="AA452" s="262"/>
      <c r="AB452" s="262"/>
    </row>
    <row r="453" spans="1:31" ht="12.75">
      <c r="A453" s="319" t="s">
        <v>14479</v>
      </c>
      <c r="B453" s="320" t="s">
        <v>14491</v>
      </c>
      <c r="C453" s="478" t="s">
        <v>14642</v>
      </c>
      <c r="D453" s="321" t="str">
        <f>VLOOKUP($C453,'09 - MC'!$A:$F,2,0)</f>
        <v>LAJE TRELIÇADA UNIDIRECIONAL COM TRELIÇA TR12645 - ENCHIMENTO EPS H12</v>
      </c>
      <c r="E453" s="479" t="str">
        <f>VLOOKUP($C453,'09 - MC'!$A:$F,3,0)</f>
        <v>M2</v>
      </c>
      <c r="F453" s="480">
        <v>1</v>
      </c>
      <c r="G453" s="481">
        <f>VLOOKUP($C453,'09 - MC'!$A:$F,6,0)</f>
        <v>109.01</v>
      </c>
      <c r="H453" s="482">
        <f>TRUNC(G453*F453,2)</f>
        <v>109.01</v>
      </c>
      <c r="I453" s="262"/>
      <c r="J453" s="262"/>
      <c r="K453" s="262"/>
      <c r="L453" s="262"/>
      <c r="M453" s="262"/>
      <c r="N453" s="262"/>
      <c r="O453" s="262"/>
      <c r="P453" s="262"/>
      <c r="Q453" s="262"/>
      <c r="R453" s="262"/>
      <c r="S453" s="262"/>
      <c r="T453" s="262"/>
      <c r="U453" s="262"/>
      <c r="V453" s="262"/>
      <c r="W453" s="262"/>
      <c r="X453" s="262"/>
      <c r="Y453" s="262"/>
      <c r="Z453" s="262"/>
      <c r="AA453" s="262"/>
      <c r="AB453" s="262"/>
    </row>
    <row r="454" spans="1:31" ht="25.5">
      <c r="A454" s="285" t="s">
        <v>14478</v>
      </c>
      <c r="B454" s="555" t="s">
        <v>14476</v>
      </c>
      <c r="C454" s="408">
        <v>88309</v>
      </c>
      <c r="D454" s="288" t="str">
        <f>IFERROR(VLOOKUP($C454,'24.08_ND'!$A:$D,2,0),)</f>
        <v>PEDREIRO COM ENCARGOS COMPLEMENTARES</v>
      </c>
      <c r="E454" s="556" t="str">
        <f>IFERROR(VLOOKUP($C454,'24.08_ND'!$A:$D,3,0),)</f>
        <v>H</v>
      </c>
      <c r="F454" s="443">
        <v>1.119</v>
      </c>
      <c r="G454" s="439">
        <f>IFERROR(VLOOKUP($C454,'24.08_ND'!$A:$D,4,0),)</f>
        <v>23.33</v>
      </c>
      <c r="H454" s="557">
        <f>TRUNC(($F454*$G454),2)</f>
        <v>26.1</v>
      </c>
      <c r="I454" s="110"/>
      <c r="J454" s="110"/>
      <c r="K454" s="110"/>
      <c r="L454" s="110"/>
      <c r="M454" s="110"/>
      <c r="N454" s="110"/>
      <c r="O454" s="110"/>
      <c r="P454" s="110"/>
      <c r="Q454" s="110"/>
      <c r="R454" s="110"/>
      <c r="S454" s="110"/>
      <c r="T454" s="110"/>
      <c r="U454" s="110"/>
      <c r="V454" s="110"/>
      <c r="W454" s="110"/>
      <c r="X454" s="110"/>
      <c r="Y454" s="110"/>
      <c r="Z454" s="110"/>
      <c r="AA454" s="110"/>
      <c r="AB454" s="110"/>
      <c r="AD454" s="1791" t="e">
        <f>VLOOKUP(C454,'Medição '!$B$16:$F$1833,6,0)</f>
        <v>#N/A</v>
      </c>
      <c r="AE454" s="1791"/>
    </row>
    <row r="455" spans="1:31" ht="25.5">
      <c r="A455" s="285" t="s">
        <v>14478</v>
      </c>
      <c r="B455" s="555" t="s">
        <v>14476</v>
      </c>
      <c r="C455" s="408">
        <v>90587</v>
      </c>
      <c r="D455" s="288" t="str">
        <f>IFERROR(VLOOKUP($C455,'24.08_ND'!$A:$D,2,0),)</f>
        <v>VIBRADOR DE IMERSÃO, DIÂMETRO DE PONTEIRA 45MM, MOTOR ELÉTRICO TRIFÁSICO POTÊNCIA DE 2 CV - CHI DIURNO. AF_06/2015</v>
      </c>
      <c r="E455" s="556" t="str">
        <f>IFERROR(VLOOKUP($C455,'24.08_ND'!$A:$D,3,0),)</f>
        <v>CHI</v>
      </c>
      <c r="F455" s="443">
        <v>0.17899999999999999</v>
      </c>
      <c r="G455" s="439">
        <f>IFERROR(VLOOKUP($C455,'24.08_ND'!$A:$D,4,0),)</f>
        <v>0.44</v>
      </c>
      <c r="H455" s="557">
        <f>TRUNC(($F455*$G455),2)</f>
        <v>7.0000000000000007E-2</v>
      </c>
      <c r="I455" s="110"/>
      <c r="J455" s="110"/>
      <c r="K455" s="110"/>
      <c r="L455" s="110"/>
      <c r="M455" s="110"/>
      <c r="N455" s="110"/>
      <c r="O455" s="110"/>
      <c r="P455" s="110"/>
      <c r="Q455" s="110"/>
      <c r="R455" s="110"/>
      <c r="S455" s="110"/>
      <c r="T455" s="110"/>
      <c r="U455" s="110"/>
      <c r="V455" s="110"/>
      <c r="W455" s="110"/>
      <c r="X455" s="110"/>
      <c r="Y455" s="110"/>
      <c r="Z455" s="110"/>
      <c r="AA455" s="110"/>
      <c r="AB455" s="110"/>
      <c r="AD455" s="1791" t="e">
        <f>VLOOKUP(C455,'Medição '!$B$16:$F$1833,6,0)</f>
        <v>#N/A</v>
      </c>
      <c r="AE455" s="1791"/>
    </row>
    <row r="456" spans="1:31" ht="25.5">
      <c r="A456" s="285" t="s">
        <v>14478</v>
      </c>
      <c r="B456" s="555" t="s">
        <v>14476</v>
      </c>
      <c r="C456" s="408">
        <v>90586</v>
      </c>
      <c r="D456" s="288" t="str">
        <f>IFERROR(VLOOKUP($C456,'24.08_ND'!$A:$D,2,0),)</f>
        <v>VIBRADOR DE IMERSÃO, DIÂMETRO DE PONTEIRA 45MM, MOTOR ELÉTRICO TRIFÁSICO POTÊNCIA DE 2 CV - CHP DIURNO. AF_06/2015</v>
      </c>
      <c r="E456" s="556" t="str">
        <f>IFERROR(VLOOKUP($C456,'24.08_ND'!$A:$D,3,0),)</f>
        <v>CHP</v>
      </c>
      <c r="F456" s="443">
        <v>0.19400000000000001</v>
      </c>
      <c r="G456" s="439">
        <f>IFERROR(VLOOKUP($C456,'24.08_ND'!$A:$D,4,0),)</f>
        <v>1.21</v>
      </c>
      <c r="H456" s="557">
        <f>TRUNC(($F456*$G456),2)</f>
        <v>0.23</v>
      </c>
      <c r="I456" s="110"/>
      <c r="J456" s="110"/>
      <c r="K456" s="110"/>
      <c r="L456" s="110"/>
      <c r="M456" s="110"/>
      <c r="N456" s="110"/>
      <c r="O456" s="110"/>
      <c r="P456" s="110"/>
      <c r="Q456" s="110"/>
      <c r="R456" s="110"/>
      <c r="S456" s="110"/>
      <c r="T456" s="110"/>
      <c r="U456" s="110"/>
      <c r="V456" s="110"/>
      <c r="W456" s="110"/>
      <c r="X456" s="110"/>
      <c r="Y456" s="110"/>
      <c r="Z456" s="110"/>
      <c r="AA456" s="110"/>
      <c r="AB456" s="110"/>
      <c r="AD456" s="1791" t="e">
        <f>VLOOKUP(C456,'Medição '!$B$16:$F$1833,6,0)</f>
        <v>#N/A</v>
      </c>
      <c r="AE456" s="1791"/>
    </row>
    <row r="457" spans="1:31" ht="38.25">
      <c r="A457" s="558" t="s">
        <v>14479</v>
      </c>
      <c r="B457" s="559" t="s">
        <v>14476</v>
      </c>
      <c r="C457" s="559">
        <v>1525</v>
      </c>
      <c r="D457" s="296" t="str">
        <f>IFERROR(VLOOKUP($C457,'24.08_ND'!$A:$D,2,0),)</f>
        <v>CONCRETO USINADO BOMBEAVEL, CLASSE DE RESISTENCIA C30, BRITA 0 E 1, SLUMP = 100 +/- 20 MM, COM BOMBEAMENTO (DISPONIBILIZACAO DE BOMBA), SEM O LANCAMENTO (NBR 8953)</v>
      </c>
      <c r="E457" s="560" t="str">
        <f>IFERROR(VLOOKUP($C457,'24.08_ND'!$A:$D,3,0),)</f>
        <v>M3</v>
      </c>
      <c r="F457" s="561">
        <v>5.9400000000000001E-2</v>
      </c>
      <c r="G457" s="562">
        <f>IFERROR(VLOOKUP($C457,'24.08_ND'!$A:$D,4,0),)</f>
        <v>706.01</v>
      </c>
      <c r="H457" s="414">
        <f>TRUNC(($F457*$G457),2)</f>
        <v>41.93</v>
      </c>
      <c r="I457" s="262"/>
      <c r="J457" s="262"/>
      <c r="K457" s="262"/>
      <c r="L457" s="262"/>
      <c r="M457" s="262"/>
      <c r="N457" s="262"/>
      <c r="O457" s="262"/>
      <c r="P457" s="262"/>
      <c r="Q457" s="262"/>
      <c r="R457" s="262"/>
      <c r="S457" s="262"/>
      <c r="T457" s="262"/>
      <c r="U457" s="262"/>
      <c r="V457" s="262"/>
      <c r="W457" s="262"/>
      <c r="X457" s="262"/>
      <c r="Y457" s="262"/>
      <c r="Z457" s="262"/>
      <c r="AA457" s="262"/>
      <c r="AB457" s="262"/>
    </row>
    <row r="458" spans="1:31" ht="19.5">
      <c r="A458" s="392"/>
      <c r="B458" s="393"/>
      <c r="C458" s="394"/>
      <c r="D458" s="393"/>
      <c r="E458" s="393"/>
      <c r="F458" s="395"/>
      <c r="G458" s="393"/>
      <c r="H458" s="396"/>
      <c r="I458" s="262"/>
      <c r="J458" s="262"/>
      <c r="K458" s="262"/>
      <c r="N458" s="262"/>
      <c r="O458" s="262"/>
      <c r="P458" s="262"/>
      <c r="Q458" s="262"/>
      <c r="R458" s="262"/>
      <c r="S458" s="262"/>
      <c r="T458" s="262"/>
      <c r="U458" s="262"/>
      <c r="V458" s="262"/>
      <c r="W458" s="262"/>
      <c r="X458" s="262"/>
      <c r="Y458" s="262"/>
      <c r="Z458" s="262"/>
      <c r="AA458" s="262"/>
      <c r="AB458" s="262"/>
    </row>
    <row r="459" spans="1:31" ht="38.25">
      <c r="A459" s="271" t="s">
        <v>14471</v>
      </c>
      <c r="B459" s="272" t="s">
        <v>14472</v>
      </c>
      <c r="C459" s="273" t="s">
        <v>14643</v>
      </c>
      <c r="D459" s="274" t="s">
        <v>14644</v>
      </c>
      <c r="E459" s="272" t="s">
        <v>50</v>
      </c>
      <c r="F459" s="272"/>
      <c r="G459" s="272"/>
      <c r="H459" s="275">
        <f>TRUNC(SUM(H461:H463),2)</f>
        <v>111.05</v>
      </c>
      <c r="I459" s="276">
        <f>COUNTIF($C$8:$C459,C:C)</f>
        <v>1</v>
      </c>
      <c r="J459" s="368"/>
      <c r="K459" s="368"/>
      <c r="L459" s="368"/>
      <c r="M459" s="368"/>
      <c r="N459" s="368"/>
      <c r="O459" s="368"/>
      <c r="P459" s="368"/>
      <c r="Q459" s="368"/>
      <c r="R459" s="368"/>
      <c r="S459" s="368"/>
      <c r="T459" s="368"/>
      <c r="U459" s="368"/>
      <c r="V459" s="368"/>
      <c r="W459" s="368"/>
      <c r="X459" s="368"/>
      <c r="Y459" s="368"/>
      <c r="Z459" s="368"/>
      <c r="AA459" s="368"/>
      <c r="AB459" s="368"/>
    </row>
    <row r="460" spans="1:31" ht="12.75">
      <c r="A460" s="277" t="s">
        <v>14475</v>
      </c>
      <c r="B460" s="563" t="s">
        <v>14476</v>
      </c>
      <c r="C460" s="489">
        <v>101176</v>
      </c>
      <c r="D460" s="490" t="s">
        <v>14587</v>
      </c>
      <c r="E460" s="553"/>
      <c r="F460" s="282"/>
      <c r="G460" s="492"/>
      <c r="H460" s="493"/>
      <c r="I460" s="368"/>
      <c r="J460" s="368"/>
      <c r="K460" s="368"/>
      <c r="L460" s="368"/>
      <c r="M460" s="368"/>
      <c r="N460" s="368"/>
      <c r="O460" s="368"/>
      <c r="P460" s="368"/>
      <c r="Q460" s="368"/>
      <c r="R460" s="368"/>
      <c r="S460" s="368"/>
      <c r="T460" s="368"/>
      <c r="U460" s="368"/>
      <c r="V460" s="368"/>
      <c r="W460" s="368"/>
      <c r="X460" s="368"/>
      <c r="Y460" s="368"/>
      <c r="Z460" s="368"/>
      <c r="AA460" s="368"/>
      <c r="AB460" s="368"/>
    </row>
    <row r="461" spans="1:31" ht="25.5">
      <c r="A461" s="285" t="s">
        <v>14478</v>
      </c>
      <c r="B461" s="555" t="s">
        <v>14476</v>
      </c>
      <c r="C461" s="408">
        <v>88309</v>
      </c>
      <c r="D461" s="288" t="str">
        <f>IFERROR(VLOOKUP($C461,'24.08_ND'!$A:$D,2,0),)</f>
        <v>PEDREIRO COM ENCARGOS COMPLEMENTARES</v>
      </c>
      <c r="E461" s="289" t="str">
        <f>IFERROR(VLOOKUP($C461,'24.08_ND'!$A:$D,3,0),)</f>
        <v>H</v>
      </c>
      <c r="F461" s="333">
        <v>1.103</v>
      </c>
      <c r="G461" s="291">
        <f>IFERROR(VLOOKUP($C461,'24.08_ND'!$A:$D,4,0),)</f>
        <v>23.33</v>
      </c>
      <c r="H461" s="292">
        <f>TRUNC(($F461*$G461),2)</f>
        <v>25.73</v>
      </c>
      <c r="I461" s="368"/>
      <c r="J461" s="368"/>
      <c r="K461" s="368"/>
      <c r="L461" s="368"/>
      <c r="M461" s="368"/>
      <c r="N461" s="368"/>
      <c r="O461" s="368"/>
      <c r="P461" s="368"/>
      <c r="Q461" s="368"/>
      <c r="R461" s="368"/>
      <c r="S461" s="368"/>
      <c r="T461" s="368"/>
      <c r="U461" s="368"/>
      <c r="V461" s="368"/>
      <c r="W461" s="368"/>
      <c r="X461" s="368"/>
      <c r="Y461" s="368"/>
      <c r="Z461" s="368"/>
      <c r="AA461" s="368"/>
      <c r="AB461" s="368"/>
      <c r="AD461" s="1791" t="e">
        <f>VLOOKUP(C461,'Medição '!$B$16:$F$1833,6,0)</f>
        <v>#N/A</v>
      </c>
      <c r="AE461" s="1791"/>
    </row>
    <row r="462" spans="1:31" ht="25.5">
      <c r="A462" s="285" t="s">
        <v>14478</v>
      </c>
      <c r="B462" s="555" t="s">
        <v>14476</v>
      </c>
      <c r="C462" s="408">
        <v>88316</v>
      </c>
      <c r="D462" s="288" t="str">
        <f>IFERROR(VLOOKUP($C462,'24.08_ND'!$A:$D,2,0),)</f>
        <v>SERVENTE COM ENCARGOS COMPLEMENTARES</v>
      </c>
      <c r="E462" s="289" t="str">
        <f>IFERROR(VLOOKUP($C462,'24.08_ND'!$A:$D,3,0),)</f>
        <v>H</v>
      </c>
      <c r="F462" s="333">
        <v>1.33</v>
      </c>
      <c r="G462" s="291">
        <f>IFERROR(VLOOKUP($C462,'24.08_ND'!$A:$D,4,0),)</f>
        <v>18.510000000000002</v>
      </c>
      <c r="H462" s="292">
        <f>TRUNC(($F462*$G462),2)</f>
        <v>24.61</v>
      </c>
      <c r="I462" s="368"/>
      <c r="J462" s="368"/>
      <c r="K462" s="368"/>
      <c r="L462" s="368"/>
      <c r="M462" s="368"/>
      <c r="N462" s="368"/>
      <c r="O462" s="368"/>
      <c r="P462" s="368"/>
      <c r="Q462" s="368"/>
      <c r="R462" s="368"/>
      <c r="S462" s="368"/>
      <c r="T462" s="368"/>
      <c r="U462" s="368"/>
      <c r="V462" s="368"/>
      <c r="W462" s="368"/>
      <c r="X462" s="368"/>
      <c r="Y462" s="368"/>
      <c r="Z462" s="368"/>
      <c r="AA462" s="368"/>
      <c r="AB462" s="368"/>
      <c r="AD462" s="1791" t="e">
        <f>VLOOKUP(C462,'Medição '!$B$16:$F$1833,6,0)</f>
        <v>#N/A</v>
      </c>
      <c r="AE462" s="1791"/>
    </row>
    <row r="463" spans="1:31" ht="38.25">
      <c r="A463" s="564" t="s">
        <v>14479</v>
      </c>
      <c r="B463" s="565" t="s">
        <v>14476</v>
      </c>
      <c r="C463" s="559">
        <v>1525</v>
      </c>
      <c r="D463" s="296" t="str">
        <f>IFERROR(VLOOKUP($C463,'24.08_ND'!$A:$D,2,0),)</f>
        <v>CONCRETO USINADO BOMBEAVEL, CLASSE DE RESISTENCIA C30, BRITA 0 E 1, SLUMP = 100 +/- 20 MM, COM BOMBEAMENTO (DISPONIBILIZACAO DE BOMBA), SEM O LANCAMENTO (NBR 8953)</v>
      </c>
      <c r="E463" s="297" t="str">
        <f>IFERROR(VLOOKUP($C463,'24.08_ND'!$A:$D,3,0),)</f>
        <v>M3</v>
      </c>
      <c r="F463" s="334">
        <v>8.5999999999999993E-2</v>
      </c>
      <c r="G463" s="299">
        <f>IFERROR(VLOOKUP($C463,'24.08_ND'!$A:$D,4,0),)</f>
        <v>706.01</v>
      </c>
      <c r="H463" s="300">
        <f>TRUNC(($F463*$G463),2)</f>
        <v>60.71</v>
      </c>
      <c r="I463" s="368"/>
      <c r="J463" s="368"/>
      <c r="K463" s="368"/>
      <c r="L463" s="368"/>
      <c r="M463" s="368"/>
      <c r="N463" s="368"/>
      <c r="O463" s="368"/>
      <c r="P463" s="368"/>
      <c r="Q463" s="368"/>
      <c r="R463" s="368"/>
      <c r="S463" s="368"/>
      <c r="T463" s="368"/>
      <c r="U463" s="368"/>
      <c r="V463" s="368"/>
      <c r="W463" s="368"/>
      <c r="X463" s="368"/>
      <c r="Y463" s="368"/>
      <c r="Z463" s="368"/>
      <c r="AA463" s="368"/>
      <c r="AB463" s="368"/>
    </row>
    <row r="464" spans="1:31" ht="12.75">
      <c r="A464" s="566"/>
      <c r="B464" s="567"/>
      <c r="C464" s="568"/>
      <c r="D464" s="569"/>
      <c r="E464" s="567"/>
      <c r="F464" s="306"/>
      <c r="G464" s="570"/>
      <c r="H464" s="571"/>
      <c r="I464" s="368"/>
      <c r="J464" s="368"/>
      <c r="K464" s="368"/>
      <c r="L464" s="368"/>
      <c r="M464" s="368"/>
      <c r="N464" s="368"/>
      <c r="O464" s="368"/>
      <c r="P464" s="368"/>
      <c r="Q464" s="368"/>
      <c r="R464" s="368"/>
      <c r="S464" s="368"/>
      <c r="T464" s="368"/>
      <c r="U464" s="368"/>
      <c r="V464" s="368"/>
      <c r="W464" s="368"/>
      <c r="X464" s="368"/>
      <c r="Y464" s="368"/>
      <c r="Z464" s="368"/>
      <c r="AA464" s="368"/>
      <c r="AB464" s="368"/>
    </row>
    <row r="465" spans="1:31" ht="19.5">
      <c r="A465" s="392"/>
      <c r="B465" s="393"/>
      <c r="C465" s="394"/>
      <c r="D465" s="393"/>
      <c r="E465" s="393"/>
      <c r="F465" s="395"/>
      <c r="G465" s="393"/>
      <c r="H465" s="396"/>
      <c r="I465" s="262"/>
      <c r="J465" s="262"/>
      <c r="K465" s="262"/>
      <c r="N465" s="262"/>
      <c r="O465" s="262"/>
      <c r="P465" s="262"/>
      <c r="Q465" s="262"/>
      <c r="R465" s="262"/>
      <c r="S465" s="262"/>
      <c r="T465" s="262"/>
      <c r="U465" s="262"/>
      <c r="V465" s="262"/>
      <c r="W465" s="262"/>
      <c r="X465" s="262"/>
      <c r="Y465" s="262"/>
      <c r="Z465" s="262"/>
      <c r="AA465" s="262"/>
      <c r="AB465" s="262"/>
    </row>
    <row r="466" spans="1:31" ht="38.25">
      <c r="A466" s="271" t="s">
        <v>14471</v>
      </c>
      <c r="B466" s="272" t="s">
        <v>14472</v>
      </c>
      <c r="C466" s="273" t="s">
        <v>14645</v>
      </c>
      <c r="D466" s="274" t="s">
        <v>14646</v>
      </c>
      <c r="E466" s="272" t="s">
        <v>409</v>
      </c>
      <c r="F466" s="272"/>
      <c r="G466" s="272"/>
      <c r="H466" s="275">
        <f>TRUNC(SUM(H468:H478),2)</f>
        <v>281.97000000000003</v>
      </c>
      <c r="I466" s="276">
        <f>COUNTIF($C$8:$C466,C:C)</f>
        <v>1</v>
      </c>
      <c r="J466" s="110"/>
      <c r="K466" s="110"/>
      <c r="L466" s="110"/>
      <c r="M466" s="110"/>
      <c r="N466" s="110"/>
      <c r="O466" s="110"/>
      <c r="P466" s="110"/>
      <c r="Q466" s="110"/>
      <c r="R466" s="110"/>
      <c r="S466" s="110"/>
      <c r="T466" s="110"/>
      <c r="U466" s="110"/>
      <c r="V466" s="110"/>
      <c r="W466" s="110"/>
      <c r="X466" s="110"/>
      <c r="Y466" s="110"/>
      <c r="Z466" s="110"/>
      <c r="AA466" s="110"/>
      <c r="AB466" s="110"/>
    </row>
    <row r="467" spans="1:31" ht="12.75">
      <c r="A467" s="277" t="s">
        <v>14475</v>
      </c>
      <c r="B467" s="488" t="s">
        <v>14476</v>
      </c>
      <c r="C467" s="489">
        <v>101963</v>
      </c>
      <c r="D467" s="490" t="s">
        <v>14587</v>
      </c>
      <c r="E467" s="553"/>
      <c r="F467" s="554"/>
      <c r="G467" s="492"/>
      <c r="H467" s="493"/>
      <c r="I467" s="110"/>
      <c r="J467" s="110"/>
      <c r="K467" s="110"/>
      <c r="L467" s="110"/>
      <c r="M467" s="110"/>
      <c r="N467" s="110"/>
      <c r="O467" s="110"/>
      <c r="P467" s="110"/>
      <c r="Q467" s="110"/>
      <c r="R467" s="110"/>
      <c r="S467" s="110"/>
      <c r="T467" s="110"/>
      <c r="U467" s="110"/>
      <c r="V467" s="110"/>
      <c r="W467" s="110"/>
      <c r="X467" s="110"/>
      <c r="Y467" s="110"/>
      <c r="Z467" s="110"/>
      <c r="AA467" s="110"/>
      <c r="AB467" s="110"/>
    </row>
    <row r="468" spans="1:31" ht="25.5">
      <c r="A468" s="285" t="s">
        <v>14478</v>
      </c>
      <c r="B468" s="555" t="s">
        <v>14476</v>
      </c>
      <c r="C468" s="408">
        <v>88262</v>
      </c>
      <c r="D468" s="288" t="str">
        <f>IFERROR(VLOOKUP($C468,'24.08_ND'!$A:$D,2,0),)</f>
        <v>CARPINTEIRO DE FORMAS COM ENCARGOS COMPLEMENTARES</v>
      </c>
      <c r="E468" s="556" t="str">
        <f>IFERROR(VLOOKUP($C468,'24.08_ND'!$A:$D,3,0),)</f>
        <v>H</v>
      </c>
      <c r="F468" s="443">
        <f>0.501+0.186</f>
        <v>0.68700000000000006</v>
      </c>
      <c r="G468" s="439">
        <f>IFERROR(VLOOKUP($C468,'24.08_ND'!$A:$D,4,0),)</f>
        <v>23.01</v>
      </c>
      <c r="H468" s="557">
        <f t="shared" ref="H468:H473" si="23">TRUNC(($F468*$G468),2)</f>
        <v>15.8</v>
      </c>
      <c r="I468" s="110"/>
      <c r="J468" s="110"/>
      <c r="K468" s="110"/>
      <c r="L468" s="110"/>
      <c r="M468" s="110"/>
      <c r="N468" s="110"/>
      <c r="O468" s="110"/>
      <c r="P468" s="110"/>
      <c r="Q468" s="110"/>
      <c r="R468" s="110"/>
      <c r="S468" s="110"/>
      <c r="T468" s="110"/>
      <c r="U468" s="110"/>
      <c r="V468" s="110"/>
      <c r="W468" s="110"/>
      <c r="X468" s="110"/>
      <c r="Y468" s="110"/>
      <c r="Z468" s="110"/>
      <c r="AA468" s="110"/>
      <c r="AB468" s="110"/>
      <c r="AD468" s="1791" t="e">
        <f>VLOOKUP(C468,'Medição '!$B$16:$F$1833,6,0)</f>
        <v>#N/A</v>
      </c>
      <c r="AE468" s="1791"/>
    </row>
    <row r="469" spans="1:31" ht="25.5">
      <c r="A469" s="285" t="s">
        <v>14478</v>
      </c>
      <c r="B469" s="555" t="s">
        <v>14476</v>
      </c>
      <c r="C469" s="408">
        <v>88316</v>
      </c>
      <c r="D469" s="288" t="str">
        <f>IFERROR(VLOOKUP($C469,'24.08_ND'!$A:$D,2,0),)</f>
        <v>SERVENTE COM ENCARGOS COMPLEMENTARES</v>
      </c>
      <c r="E469" s="556" t="str">
        <f>IFERROR(VLOOKUP($C469,'24.08_ND'!$A:$D,3,0),)</f>
        <v>H</v>
      </c>
      <c r="F469" s="443">
        <f>0.354+1.192</f>
        <v>1.5459999999999998</v>
      </c>
      <c r="G469" s="439">
        <f>IFERROR(VLOOKUP($C469,'24.08_ND'!$A:$D,4,0),)</f>
        <v>18.510000000000002</v>
      </c>
      <c r="H469" s="557">
        <f t="shared" si="23"/>
        <v>28.61</v>
      </c>
      <c r="I469" s="110"/>
      <c r="J469" s="110"/>
      <c r="K469" s="110"/>
      <c r="L469" s="110"/>
      <c r="M469" s="110"/>
      <c r="N469" s="110"/>
      <c r="O469" s="110"/>
      <c r="P469" s="110"/>
      <c r="Q469" s="110"/>
      <c r="R469" s="110"/>
      <c r="S469" s="110"/>
      <c r="T469" s="110"/>
      <c r="U469" s="110"/>
      <c r="V469" s="110"/>
      <c r="W469" s="110"/>
      <c r="X469" s="110"/>
      <c r="Y469" s="110"/>
      <c r="Z469" s="110"/>
      <c r="AA469" s="110"/>
      <c r="AB469" s="110"/>
      <c r="AD469" s="1791" t="e">
        <f>VLOOKUP(C469,'Medição '!$B$16:$F$1833,6,0)</f>
        <v>#N/A</v>
      </c>
      <c r="AE469" s="1791"/>
    </row>
    <row r="470" spans="1:31" ht="25.5">
      <c r="A470" s="285" t="s">
        <v>14478</v>
      </c>
      <c r="B470" s="555" t="s">
        <v>14476</v>
      </c>
      <c r="C470" s="408">
        <v>92273</v>
      </c>
      <c r="D470" s="288" t="str">
        <f>IFERROR(VLOOKUP($C470,'24.08_ND'!$A:$D,2,0),)</f>
        <v>FABRICAÇÃO DE ESCORAS DO TIPO PONTALETE, EM MADEIRA, PARA PÉ-DIREITO SIMPLES. AF_09/2020</v>
      </c>
      <c r="E470" s="556" t="str">
        <f>IFERROR(VLOOKUP($C470,'24.08_ND'!$A:$D,3,0),)</f>
        <v>M</v>
      </c>
      <c r="F470" s="443">
        <v>0.97</v>
      </c>
      <c r="G470" s="439">
        <f>IFERROR(VLOOKUP($C470,'24.08_ND'!$A:$D,4,0),)</f>
        <v>17.350000000000001</v>
      </c>
      <c r="H470" s="557">
        <f t="shared" si="23"/>
        <v>16.82</v>
      </c>
      <c r="I470" s="110"/>
      <c r="J470" s="110"/>
      <c r="K470" s="110"/>
      <c r="L470" s="110"/>
      <c r="M470" s="110"/>
      <c r="N470" s="110"/>
      <c r="O470" s="110"/>
      <c r="P470" s="110"/>
      <c r="Q470" s="110"/>
      <c r="R470" s="110"/>
      <c r="S470" s="110"/>
      <c r="T470" s="110"/>
      <c r="U470" s="110"/>
      <c r="V470" s="110"/>
      <c r="W470" s="110"/>
      <c r="X470" s="110"/>
      <c r="Y470" s="110"/>
      <c r="Z470" s="110"/>
      <c r="AA470" s="110"/>
      <c r="AB470" s="110"/>
      <c r="AD470" s="1791" t="e">
        <f>VLOOKUP(C470,'Medição '!$B$16:$F$1833,6,0)</f>
        <v>#N/A</v>
      </c>
      <c r="AE470" s="1791"/>
    </row>
    <row r="471" spans="1:31" ht="25.5">
      <c r="A471" s="558" t="s">
        <v>14479</v>
      </c>
      <c r="B471" s="559" t="s">
        <v>14476</v>
      </c>
      <c r="C471" s="559">
        <v>21141</v>
      </c>
      <c r="D471" s="296" t="str">
        <f>IFERROR(VLOOKUP($C471,'24.08_ND'!$A:$D,2,0),)</f>
        <v>TELA DE ACO SOLDADA NERVURADA, CA-60, Q-92, (1,48 KG/M2), DIAMETRO DO FIO = 4,2 MM, LARGURA = 2,45 X 60 M DE COMPRIMENTO, ESPACAMENTO DA MALHA = 15 X 15 CM</v>
      </c>
      <c r="E471" s="560" t="str">
        <f>IFERROR(VLOOKUP($C471,'24.08_ND'!$A:$D,3,0),)</f>
        <v>M2</v>
      </c>
      <c r="F471" s="561">
        <v>1.1000000000000001</v>
      </c>
      <c r="G471" s="562">
        <f>IFERROR(VLOOKUP($C471,'24.08_ND'!$A:$D,4,0),)</f>
        <v>12.93</v>
      </c>
      <c r="H471" s="414">
        <f t="shared" si="23"/>
        <v>14.22</v>
      </c>
      <c r="I471" s="262"/>
      <c r="J471" s="262"/>
      <c r="K471" s="262"/>
      <c r="L471" s="262"/>
      <c r="M471" s="262"/>
      <c r="N471" s="262"/>
      <c r="O471" s="262"/>
      <c r="P471" s="262"/>
      <c r="Q471" s="262"/>
      <c r="R471" s="262"/>
      <c r="S471" s="262"/>
      <c r="T471" s="262"/>
      <c r="U471" s="262"/>
      <c r="V471" s="262"/>
      <c r="W471" s="262"/>
      <c r="X471" s="262"/>
      <c r="Y471" s="262"/>
      <c r="Z471" s="262"/>
      <c r="AA471" s="262"/>
      <c r="AB471" s="262"/>
    </row>
    <row r="472" spans="1:31" ht="25.5">
      <c r="A472" s="558" t="s">
        <v>14479</v>
      </c>
      <c r="B472" s="559" t="s">
        <v>14476</v>
      </c>
      <c r="C472" s="559">
        <v>6193</v>
      </c>
      <c r="D472" s="296" t="str">
        <f>IFERROR(VLOOKUP($C472,'24.08_ND'!$A:$D,2,0),)</f>
        <v>TABUA NAO APARELHADA *2,5 X 20* CM, EM MACARANDUBA/MASSARANDUBA, ANGELIM OU EQUIVALENTE DA REGIAO - BRUTA</v>
      </c>
      <c r="E472" s="560" t="str">
        <f>IFERROR(VLOOKUP($C472,'24.08_ND'!$A:$D,3,0),)</f>
        <v>M</v>
      </c>
      <c r="F472" s="561">
        <v>1.87</v>
      </c>
      <c r="G472" s="562">
        <f>IFERROR(VLOOKUP($C472,'24.08_ND'!$A:$D,4,0),)</f>
        <v>15.18</v>
      </c>
      <c r="H472" s="414">
        <f t="shared" si="23"/>
        <v>28.38</v>
      </c>
      <c r="I472" s="262"/>
      <c r="J472" s="262"/>
      <c r="K472" s="262"/>
      <c r="L472" s="262"/>
      <c r="M472" s="262"/>
      <c r="N472" s="262"/>
      <c r="O472" s="262"/>
      <c r="P472" s="262"/>
      <c r="Q472" s="262"/>
      <c r="R472" s="262"/>
      <c r="S472" s="262"/>
      <c r="T472" s="262"/>
      <c r="U472" s="262"/>
      <c r="V472" s="262"/>
      <c r="W472" s="262"/>
      <c r="X472" s="262"/>
      <c r="Y472" s="262"/>
      <c r="Z472" s="262"/>
      <c r="AA472" s="262"/>
      <c r="AB472" s="262"/>
    </row>
    <row r="473" spans="1:31" ht="12.75">
      <c r="A473" s="558" t="s">
        <v>14479</v>
      </c>
      <c r="B473" s="559" t="s">
        <v>14476</v>
      </c>
      <c r="C473" s="559">
        <v>40304</v>
      </c>
      <c r="D473" s="296" t="str">
        <f>IFERROR(VLOOKUP($C473,'24.08_ND'!$A:$D,2,0),)</f>
        <v>PREGO DE ACO POLIDO COM CABECA DUPLA 17 X 27 (2 1/2 X 11)</v>
      </c>
      <c r="E473" s="560" t="str">
        <f>IFERROR(VLOOKUP($C473,'24.08_ND'!$A:$D,3,0),)</f>
        <v>KG</v>
      </c>
      <c r="F473" s="561">
        <v>0.04</v>
      </c>
      <c r="G473" s="562">
        <f>IFERROR(VLOOKUP($C473,'24.08_ND'!$A:$D,4,0),)</f>
        <v>20.14</v>
      </c>
      <c r="H473" s="414">
        <f t="shared" si="23"/>
        <v>0.8</v>
      </c>
      <c r="I473" s="262"/>
      <c r="J473" s="262"/>
      <c r="K473" s="262"/>
      <c r="L473" s="262"/>
      <c r="M473" s="262"/>
      <c r="N473" s="262"/>
      <c r="O473" s="262"/>
      <c r="P473" s="262"/>
      <c r="Q473" s="262"/>
      <c r="R473" s="262"/>
      <c r="S473" s="262"/>
      <c r="T473" s="262"/>
      <c r="U473" s="262"/>
      <c r="V473" s="262"/>
      <c r="W473" s="262"/>
      <c r="X473" s="262"/>
      <c r="Y473" s="262"/>
      <c r="Z473" s="262"/>
      <c r="AA473" s="262"/>
      <c r="AB473" s="262"/>
    </row>
    <row r="474" spans="1:31" ht="12.75">
      <c r="A474" s="319" t="s">
        <v>14479</v>
      </c>
      <c r="B474" s="320" t="s">
        <v>14491</v>
      </c>
      <c r="C474" s="478" t="s">
        <v>14642</v>
      </c>
      <c r="D474" s="321" t="str">
        <f>VLOOKUP($C474,'09 - MC'!$A:$F,2,0)</f>
        <v>LAJE TRELIÇADA UNIDIRECIONAL COM TRELIÇA TR12645 - ENCHIMENTO EPS H12</v>
      </c>
      <c r="E474" s="479" t="str">
        <f>VLOOKUP($C474,'09 - MC'!$A:$F,3,0)</f>
        <v>M2</v>
      </c>
      <c r="F474" s="480">
        <v>1</v>
      </c>
      <c r="G474" s="481">
        <f>VLOOKUP($C474,'09 - MC'!$A:$F,6,0)</f>
        <v>109.01</v>
      </c>
      <c r="H474" s="482">
        <f>TRUNC(G474*F474,2)</f>
        <v>109.01</v>
      </c>
      <c r="I474" s="262"/>
      <c r="J474" s="262"/>
      <c r="K474" s="262"/>
      <c r="L474" s="262"/>
      <c r="M474" s="262"/>
      <c r="N474" s="262"/>
      <c r="O474" s="262"/>
      <c r="P474" s="262"/>
      <c r="Q474" s="262"/>
      <c r="R474" s="262"/>
      <c r="S474" s="262"/>
      <c r="T474" s="262"/>
      <c r="U474" s="262"/>
      <c r="V474" s="262"/>
      <c r="W474" s="262"/>
      <c r="X474" s="262"/>
      <c r="Y474" s="262"/>
      <c r="Z474" s="262"/>
      <c r="AA474" s="262"/>
      <c r="AB474" s="262"/>
    </row>
    <row r="475" spans="1:31" ht="25.5">
      <c r="A475" s="285" t="s">
        <v>14478</v>
      </c>
      <c r="B475" s="555" t="s">
        <v>14476</v>
      </c>
      <c r="C475" s="408">
        <v>88309</v>
      </c>
      <c r="D475" s="288" t="str">
        <f>IFERROR(VLOOKUP($C475,'24.08_ND'!$A:$D,2,0),)</f>
        <v>PEDREIRO COM ENCARGOS COMPLEMENTARES</v>
      </c>
      <c r="E475" s="556" t="str">
        <f>IFERROR(VLOOKUP($C475,'24.08_ND'!$A:$D,3,0),)</f>
        <v>H</v>
      </c>
      <c r="F475" s="443">
        <v>1.119</v>
      </c>
      <c r="G475" s="439">
        <f>IFERROR(VLOOKUP($C475,'24.08_ND'!$A:$D,4,0),)</f>
        <v>23.33</v>
      </c>
      <c r="H475" s="557">
        <f>TRUNC(($F475*$G475),2)</f>
        <v>26.1</v>
      </c>
      <c r="I475" s="110"/>
      <c r="J475" s="110"/>
      <c r="K475" s="110"/>
      <c r="L475" s="110"/>
      <c r="M475" s="110"/>
      <c r="N475" s="110"/>
      <c r="O475" s="110"/>
      <c r="P475" s="110"/>
      <c r="Q475" s="110"/>
      <c r="R475" s="110"/>
      <c r="S475" s="110"/>
      <c r="T475" s="110"/>
      <c r="U475" s="110"/>
      <c r="V475" s="110"/>
      <c r="W475" s="110"/>
      <c r="X475" s="110"/>
      <c r="Y475" s="110"/>
      <c r="Z475" s="110"/>
      <c r="AA475" s="110"/>
      <c r="AB475" s="110"/>
      <c r="AD475" s="1791" t="e">
        <f>VLOOKUP(C475,'Medição '!$B$16:$F$1833,6,0)</f>
        <v>#N/A</v>
      </c>
      <c r="AE475" s="1791"/>
    </row>
    <row r="476" spans="1:31" ht="25.5">
      <c r="A476" s="285" t="s">
        <v>14478</v>
      </c>
      <c r="B476" s="555" t="s">
        <v>14476</v>
      </c>
      <c r="C476" s="408">
        <v>90587</v>
      </c>
      <c r="D476" s="288" t="str">
        <f>IFERROR(VLOOKUP($C476,'24.08_ND'!$A:$D,2,0),)</f>
        <v>VIBRADOR DE IMERSÃO, DIÂMETRO DE PONTEIRA 45MM, MOTOR ELÉTRICO TRIFÁSICO POTÊNCIA DE 2 CV - CHI DIURNO. AF_06/2015</v>
      </c>
      <c r="E476" s="556" t="str">
        <f>IFERROR(VLOOKUP($C476,'24.08_ND'!$A:$D,3,0),)</f>
        <v>CHI</v>
      </c>
      <c r="F476" s="443">
        <v>0.17899999999999999</v>
      </c>
      <c r="G476" s="439">
        <f>IFERROR(VLOOKUP($C476,'24.08_ND'!$A:$D,4,0),)</f>
        <v>0.44</v>
      </c>
      <c r="H476" s="557">
        <f>TRUNC(($F476*$G476),2)</f>
        <v>7.0000000000000007E-2</v>
      </c>
      <c r="I476" s="110"/>
      <c r="J476" s="110"/>
      <c r="K476" s="110"/>
      <c r="L476" s="110"/>
      <c r="M476" s="110"/>
      <c r="N476" s="110"/>
      <c r="O476" s="110"/>
      <c r="P476" s="110"/>
      <c r="Q476" s="110"/>
      <c r="R476" s="110"/>
      <c r="S476" s="110"/>
      <c r="T476" s="110"/>
      <c r="U476" s="110"/>
      <c r="V476" s="110"/>
      <c r="W476" s="110"/>
      <c r="X476" s="110"/>
      <c r="Y476" s="110"/>
      <c r="Z476" s="110"/>
      <c r="AA476" s="110"/>
      <c r="AB476" s="110"/>
      <c r="AD476" s="1791" t="e">
        <f>VLOOKUP(C476,'Medição '!$B$16:$F$1833,6,0)</f>
        <v>#N/A</v>
      </c>
      <c r="AE476" s="1791"/>
    </row>
    <row r="477" spans="1:31" ht="25.5">
      <c r="A477" s="285" t="s">
        <v>14478</v>
      </c>
      <c r="B477" s="555" t="s">
        <v>14476</v>
      </c>
      <c r="C477" s="408">
        <v>90586</v>
      </c>
      <c r="D477" s="288" t="str">
        <f>IFERROR(VLOOKUP($C477,'24.08_ND'!$A:$D,2,0),)</f>
        <v>VIBRADOR DE IMERSÃO, DIÂMETRO DE PONTEIRA 45MM, MOTOR ELÉTRICO TRIFÁSICO POTÊNCIA DE 2 CV - CHP DIURNO. AF_06/2015</v>
      </c>
      <c r="E477" s="556" t="str">
        <f>IFERROR(VLOOKUP($C477,'24.08_ND'!$A:$D,3,0),)</f>
        <v>CHP</v>
      </c>
      <c r="F477" s="443">
        <v>0.19400000000000001</v>
      </c>
      <c r="G477" s="439">
        <f>IFERROR(VLOOKUP($C477,'24.08_ND'!$A:$D,4,0),)</f>
        <v>1.21</v>
      </c>
      <c r="H477" s="557">
        <f>TRUNC(($F477*$G477),2)</f>
        <v>0.23</v>
      </c>
      <c r="I477" s="110"/>
      <c r="J477" s="110"/>
      <c r="K477" s="110"/>
      <c r="L477" s="110"/>
      <c r="M477" s="110"/>
      <c r="N477" s="110"/>
      <c r="O477" s="110"/>
      <c r="P477" s="110"/>
      <c r="Q477" s="110"/>
      <c r="R477" s="110"/>
      <c r="S477" s="110"/>
      <c r="T477" s="110"/>
      <c r="U477" s="110"/>
      <c r="V477" s="110"/>
      <c r="W477" s="110"/>
      <c r="X477" s="110"/>
      <c r="Y477" s="110"/>
      <c r="Z477" s="110"/>
      <c r="AA477" s="110"/>
      <c r="AB477" s="110"/>
      <c r="AD477" s="1791" t="e">
        <f>VLOOKUP(C477,'Medição '!$B$16:$F$1833,6,0)</f>
        <v>#N/A</v>
      </c>
      <c r="AE477" s="1791"/>
    </row>
    <row r="478" spans="1:31" ht="38.25">
      <c r="A478" s="558" t="s">
        <v>14479</v>
      </c>
      <c r="B478" s="559" t="s">
        <v>14476</v>
      </c>
      <c r="C478" s="559">
        <v>1525</v>
      </c>
      <c r="D478" s="296" t="str">
        <f>IFERROR(VLOOKUP($C478,'24.08_ND'!$A:$D,2,0),)</f>
        <v>CONCRETO USINADO BOMBEAVEL, CLASSE DE RESISTENCIA C30, BRITA 0 E 1, SLUMP = 100 +/- 20 MM, COM BOMBEAMENTO (DISPONIBILIZACAO DE BOMBA), SEM O LANCAMENTO (NBR 8953)</v>
      </c>
      <c r="E478" s="560" t="str">
        <f>IFERROR(VLOOKUP($C478,'24.08_ND'!$A:$D,3,0),)</f>
        <v>M3</v>
      </c>
      <c r="F478" s="561">
        <v>5.9400000000000001E-2</v>
      </c>
      <c r="G478" s="562">
        <f>IFERROR(VLOOKUP($C478,'24.08_ND'!$A:$D,4,0),)</f>
        <v>706.01</v>
      </c>
      <c r="H478" s="414">
        <f>TRUNC(($F478*$G478),2)</f>
        <v>41.93</v>
      </c>
      <c r="I478" s="262"/>
      <c r="J478" s="262"/>
      <c r="K478" s="262"/>
      <c r="L478" s="262"/>
      <c r="M478" s="262"/>
      <c r="N478" s="262"/>
      <c r="O478" s="262"/>
      <c r="P478" s="262"/>
      <c r="Q478" s="262"/>
      <c r="R478" s="262"/>
      <c r="S478" s="262"/>
      <c r="T478" s="262"/>
      <c r="U478" s="262"/>
      <c r="V478" s="262"/>
      <c r="W478" s="262"/>
      <c r="X478" s="262"/>
      <c r="Y478" s="262"/>
      <c r="Z478" s="262"/>
      <c r="AA478" s="262"/>
      <c r="AB478" s="262"/>
    </row>
    <row r="479" spans="1:31" ht="19.5">
      <c r="A479" s="392"/>
      <c r="B479" s="393"/>
      <c r="C479" s="394"/>
      <c r="D479" s="393"/>
      <c r="E479" s="393"/>
      <c r="F479" s="395"/>
      <c r="G479" s="393"/>
      <c r="H479" s="396"/>
      <c r="I479" s="262"/>
      <c r="J479" s="262"/>
      <c r="K479" s="262"/>
      <c r="N479" s="262"/>
      <c r="O479" s="262"/>
      <c r="P479" s="262"/>
      <c r="Q479" s="262"/>
      <c r="R479" s="262"/>
      <c r="S479" s="262"/>
      <c r="T479" s="262"/>
      <c r="U479" s="262"/>
      <c r="V479" s="262"/>
      <c r="W479" s="262"/>
      <c r="X479" s="262"/>
      <c r="Y479" s="262"/>
      <c r="Z479" s="262"/>
      <c r="AA479" s="262"/>
      <c r="AB479" s="262"/>
    </row>
    <row r="480" spans="1:31" ht="25.5">
      <c r="A480" s="271" t="s">
        <v>14471</v>
      </c>
      <c r="B480" s="272" t="s">
        <v>14472</v>
      </c>
      <c r="C480" s="273" t="s">
        <v>14647</v>
      </c>
      <c r="D480" s="274" t="s">
        <v>14648</v>
      </c>
      <c r="E480" s="272" t="s">
        <v>50</v>
      </c>
      <c r="F480" s="272"/>
      <c r="G480" s="272"/>
      <c r="H480" s="275">
        <f>TRUNC(SUM(H482:H483),2)</f>
        <v>23.63</v>
      </c>
      <c r="I480" s="276">
        <f>COUNTIF($C$8:$C480,C:C)</f>
        <v>1</v>
      </c>
      <c r="J480" s="110"/>
      <c r="K480" s="110"/>
      <c r="L480" s="110"/>
      <c r="M480" s="110"/>
      <c r="N480" s="110"/>
      <c r="O480" s="110"/>
      <c r="P480" s="110"/>
      <c r="Q480" s="110"/>
      <c r="R480" s="110"/>
      <c r="S480" s="110"/>
      <c r="T480" s="110"/>
      <c r="U480" s="110"/>
      <c r="V480" s="110"/>
      <c r="W480" s="110"/>
      <c r="X480" s="110"/>
      <c r="Y480" s="110"/>
      <c r="Z480" s="110"/>
      <c r="AA480" s="110"/>
      <c r="AB480" s="110"/>
    </row>
    <row r="481" spans="1:31" ht="12.75">
      <c r="A481" s="277" t="s">
        <v>14475</v>
      </c>
      <c r="B481" s="488" t="s">
        <v>14476</v>
      </c>
      <c r="C481" s="489">
        <v>101173</v>
      </c>
      <c r="D481" s="490" t="s">
        <v>14587</v>
      </c>
      <c r="E481" s="553"/>
      <c r="F481" s="554"/>
      <c r="G481" s="492"/>
      <c r="H481" s="493"/>
      <c r="I481" s="110"/>
      <c r="J481" s="110"/>
      <c r="K481" s="110"/>
      <c r="L481" s="110"/>
      <c r="M481" s="110"/>
      <c r="N481" s="110"/>
      <c r="O481" s="110"/>
      <c r="P481" s="110"/>
      <c r="Q481" s="110"/>
      <c r="R481" s="110"/>
      <c r="S481" s="110"/>
      <c r="T481" s="110"/>
      <c r="U481" s="110"/>
      <c r="V481" s="110"/>
      <c r="W481" s="110"/>
      <c r="X481" s="110"/>
      <c r="Y481" s="110"/>
      <c r="Z481" s="110"/>
      <c r="AA481" s="110"/>
      <c r="AB481" s="110"/>
    </row>
    <row r="482" spans="1:31" ht="25.5">
      <c r="A482" s="285" t="s">
        <v>14478</v>
      </c>
      <c r="B482" s="555" t="s">
        <v>14476</v>
      </c>
      <c r="C482" s="408">
        <v>88309</v>
      </c>
      <c r="D482" s="288" t="str">
        <f>IFERROR(VLOOKUP($C482,'24.08_ND'!$A:$D,2,0),)</f>
        <v>PEDREIRO COM ENCARGOS COMPLEMENTARES</v>
      </c>
      <c r="E482" s="556" t="str">
        <f>IFERROR(VLOOKUP($C482,'24.08_ND'!$A:$D,3,0),)</f>
        <v>H</v>
      </c>
      <c r="F482" s="443">
        <v>0.48599999999999999</v>
      </c>
      <c r="G482" s="439">
        <f>IFERROR(VLOOKUP($C482,'24.08_ND'!$A:$D,4,0),)</f>
        <v>23.33</v>
      </c>
      <c r="H482" s="557">
        <f>TRUNC(($F482*$G482),2)</f>
        <v>11.33</v>
      </c>
      <c r="I482" s="110"/>
      <c r="J482" s="110"/>
      <c r="K482" s="110"/>
      <c r="L482" s="110"/>
      <c r="M482" s="110"/>
      <c r="N482" s="110"/>
      <c r="O482" s="110"/>
      <c r="P482" s="110"/>
      <c r="Q482" s="110"/>
      <c r="R482" s="110"/>
      <c r="S482" s="110"/>
      <c r="T482" s="110"/>
      <c r="U482" s="110"/>
      <c r="V482" s="110"/>
      <c r="W482" s="110"/>
      <c r="X482" s="110"/>
      <c r="Y482" s="110"/>
      <c r="Z482" s="110"/>
      <c r="AA482" s="110"/>
      <c r="AB482" s="110"/>
      <c r="AD482" s="1791" t="e">
        <f>VLOOKUP(C482,'Medição '!$B$16:$F$1833,6,0)</f>
        <v>#N/A</v>
      </c>
      <c r="AE482" s="1791"/>
    </row>
    <row r="483" spans="1:31" ht="25.5">
      <c r="A483" s="285" t="s">
        <v>14478</v>
      </c>
      <c r="B483" s="555" t="s">
        <v>14476</v>
      </c>
      <c r="C483" s="408">
        <v>88316</v>
      </c>
      <c r="D483" s="288" t="str">
        <f>IFERROR(VLOOKUP($C483,'24.08_ND'!$A:$D,2,0),)</f>
        <v>SERVENTE COM ENCARGOS COMPLEMENTARES</v>
      </c>
      <c r="E483" s="556" t="str">
        <f>IFERROR(VLOOKUP($C483,'24.08_ND'!$A:$D,3,0),)</f>
        <v>H</v>
      </c>
      <c r="F483" s="443">
        <v>0.66500000000000004</v>
      </c>
      <c r="G483" s="439">
        <f>IFERROR(VLOOKUP($C483,'24.08_ND'!$A:$D,4,0),)</f>
        <v>18.510000000000002</v>
      </c>
      <c r="H483" s="557">
        <f>TRUNC(($F483*$G483),2)</f>
        <v>12.3</v>
      </c>
      <c r="I483" s="110"/>
      <c r="J483" s="110"/>
      <c r="K483" s="110"/>
      <c r="L483" s="110"/>
      <c r="M483" s="110"/>
      <c r="N483" s="110"/>
      <c r="O483" s="110"/>
      <c r="P483" s="110"/>
      <c r="Q483" s="110"/>
      <c r="R483" s="110"/>
      <c r="S483" s="110"/>
      <c r="T483" s="110"/>
      <c r="U483" s="110"/>
      <c r="V483" s="110"/>
      <c r="W483" s="110"/>
      <c r="X483" s="110"/>
      <c r="Y483" s="110"/>
      <c r="Z483" s="110"/>
      <c r="AA483" s="110"/>
      <c r="AB483" s="110"/>
      <c r="AD483" s="1791" t="e">
        <f>VLOOKUP(C483,'Medição '!$B$16:$F$1833,6,0)</f>
        <v>#N/A</v>
      </c>
      <c r="AE483" s="1791"/>
    </row>
    <row r="484" spans="1:31" ht="12.75">
      <c r="A484" s="566"/>
      <c r="B484" s="567"/>
      <c r="C484" s="568"/>
      <c r="D484" s="569"/>
      <c r="E484" s="567"/>
      <c r="F484" s="306"/>
      <c r="G484" s="570"/>
      <c r="H484" s="571"/>
      <c r="I484" s="368"/>
      <c r="J484" s="368"/>
      <c r="K484" s="368"/>
      <c r="L484" s="368"/>
      <c r="M484" s="368"/>
      <c r="N484" s="368"/>
      <c r="O484" s="368"/>
      <c r="P484" s="368"/>
      <c r="Q484" s="368"/>
      <c r="R484" s="368"/>
      <c r="S484" s="368"/>
      <c r="T484" s="368"/>
      <c r="U484" s="368"/>
      <c r="V484" s="368"/>
      <c r="W484" s="368"/>
      <c r="X484" s="368"/>
      <c r="Y484" s="368"/>
      <c r="Z484" s="368"/>
      <c r="AA484" s="368"/>
      <c r="AB484" s="368"/>
    </row>
    <row r="485" spans="1:31" ht="25.5">
      <c r="A485" s="271" t="s">
        <v>14471</v>
      </c>
      <c r="B485" s="272" t="s">
        <v>14472</v>
      </c>
      <c r="C485" s="273" t="s">
        <v>14649</v>
      </c>
      <c r="D485" s="274" t="s">
        <v>14650</v>
      </c>
      <c r="E485" s="272" t="s">
        <v>50</v>
      </c>
      <c r="F485" s="272"/>
      <c r="G485" s="272"/>
      <c r="H485" s="275">
        <f>TRUNC(SUM(H487:H488),2)</f>
        <v>37.01</v>
      </c>
      <c r="I485" s="276">
        <f>COUNTIF($C$8:$C485,C:C)</f>
        <v>1</v>
      </c>
      <c r="J485" s="110"/>
      <c r="K485" s="110"/>
      <c r="L485" s="110"/>
      <c r="M485" s="110"/>
      <c r="N485" s="110"/>
      <c r="O485" s="110"/>
      <c r="P485" s="110"/>
      <c r="Q485" s="110"/>
      <c r="R485" s="110"/>
      <c r="S485" s="110"/>
      <c r="T485" s="110"/>
      <c r="U485" s="110"/>
      <c r="V485" s="110"/>
      <c r="W485" s="110"/>
      <c r="X485" s="110"/>
      <c r="Y485" s="110"/>
      <c r="Z485" s="110"/>
      <c r="AA485" s="110"/>
      <c r="AB485" s="110"/>
    </row>
    <row r="486" spans="1:31" ht="12.75">
      <c r="A486" s="277" t="s">
        <v>14475</v>
      </c>
      <c r="B486" s="488" t="s">
        <v>14476</v>
      </c>
      <c r="C486" s="489">
        <v>101174</v>
      </c>
      <c r="D486" s="490" t="s">
        <v>14587</v>
      </c>
      <c r="E486" s="553"/>
      <c r="F486" s="554"/>
      <c r="G486" s="492"/>
      <c r="H486" s="493"/>
      <c r="I486" s="110"/>
      <c r="J486" s="110"/>
      <c r="K486" s="110"/>
      <c r="L486" s="110"/>
      <c r="M486" s="110"/>
      <c r="N486" s="110"/>
      <c r="O486" s="110"/>
      <c r="P486" s="110"/>
      <c r="Q486" s="110"/>
      <c r="R486" s="110"/>
      <c r="S486" s="110"/>
      <c r="T486" s="110"/>
      <c r="U486" s="110"/>
      <c r="V486" s="110"/>
      <c r="W486" s="110"/>
      <c r="X486" s="110"/>
      <c r="Y486" s="110"/>
      <c r="Z486" s="110"/>
      <c r="AA486" s="110"/>
      <c r="AB486" s="110"/>
    </row>
    <row r="487" spans="1:31" ht="25.5">
      <c r="A487" s="285" t="s">
        <v>14478</v>
      </c>
      <c r="B487" s="555" t="s">
        <v>14476</v>
      </c>
      <c r="C487" s="408">
        <v>88309</v>
      </c>
      <c r="D487" s="288" t="str">
        <f>IFERROR(VLOOKUP($C487,'24.08_ND'!$A:$D,2,0),)</f>
        <v>PEDREIRO COM ENCARGOS COMPLEMENTARES</v>
      </c>
      <c r="E487" s="556" t="str">
        <f>IFERROR(VLOOKUP($C487,'24.08_ND'!$A:$D,3,0),)</f>
        <v>H</v>
      </c>
      <c r="F487" s="443">
        <v>0.79500000000000004</v>
      </c>
      <c r="G487" s="439">
        <f>IFERROR(VLOOKUP($C487,'24.08_ND'!$A:$D,4,0),)</f>
        <v>23.33</v>
      </c>
      <c r="H487" s="557">
        <f>TRUNC(($F487*$G487),2)</f>
        <v>18.54</v>
      </c>
      <c r="I487" s="110"/>
      <c r="J487" s="110"/>
      <c r="K487" s="110"/>
      <c r="L487" s="110"/>
      <c r="M487" s="110"/>
      <c r="N487" s="110"/>
      <c r="O487" s="110"/>
      <c r="P487" s="110"/>
      <c r="Q487" s="110"/>
      <c r="R487" s="110"/>
      <c r="S487" s="110"/>
      <c r="T487" s="110"/>
      <c r="U487" s="110"/>
      <c r="V487" s="110"/>
      <c r="W487" s="110"/>
      <c r="X487" s="110"/>
      <c r="Y487" s="110"/>
      <c r="Z487" s="110"/>
      <c r="AA487" s="110"/>
      <c r="AB487" s="110"/>
      <c r="AD487" s="1791" t="e">
        <f>VLOOKUP(C487,'Medição '!$B$16:$F$1833,6,0)</f>
        <v>#N/A</v>
      </c>
      <c r="AE487" s="1791"/>
    </row>
    <row r="488" spans="1:31" ht="25.5">
      <c r="A488" s="285" t="s">
        <v>14478</v>
      </c>
      <c r="B488" s="555" t="s">
        <v>14476</v>
      </c>
      <c r="C488" s="408">
        <v>88316</v>
      </c>
      <c r="D488" s="288" t="str">
        <f>IFERROR(VLOOKUP($C488,'24.08_ND'!$A:$D,2,0),)</f>
        <v>SERVENTE COM ENCARGOS COMPLEMENTARES</v>
      </c>
      <c r="E488" s="556" t="str">
        <f>IFERROR(VLOOKUP($C488,'24.08_ND'!$A:$D,3,0),)</f>
        <v>H</v>
      </c>
      <c r="F488" s="443">
        <v>0.998</v>
      </c>
      <c r="G488" s="439">
        <f>IFERROR(VLOOKUP($C488,'24.08_ND'!$A:$D,4,0),)</f>
        <v>18.510000000000002</v>
      </c>
      <c r="H488" s="557">
        <f>TRUNC(($F488*$G488),2)</f>
        <v>18.47</v>
      </c>
      <c r="I488" s="110"/>
      <c r="J488" s="110"/>
      <c r="K488" s="110"/>
      <c r="L488" s="110"/>
      <c r="M488" s="110"/>
      <c r="N488" s="110"/>
      <c r="O488" s="110"/>
      <c r="P488" s="110"/>
      <c r="Q488" s="110"/>
      <c r="R488" s="110"/>
      <c r="S488" s="110"/>
      <c r="T488" s="110"/>
      <c r="U488" s="110"/>
      <c r="V488" s="110"/>
      <c r="W488" s="110"/>
      <c r="X488" s="110"/>
      <c r="Y488" s="110"/>
      <c r="Z488" s="110"/>
      <c r="AA488" s="110"/>
      <c r="AB488" s="110"/>
      <c r="AD488" s="1791" t="e">
        <f>VLOOKUP(C488,'Medição '!$B$16:$F$1833,6,0)</f>
        <v>#N/A</v>
      </c>
      <c r="AE488" s="1791"/>
    </row>
    <row r="489" spans="1:31" ht="12.75">
      <c r="A489" s="566"/>
      <c r="B489" s="567"/>
      <c r="C489" s="568"/>
      <c r="D489" s="569"/>
      <c r="E489" s="567"/>
      <c r="F489" s="306"/>
      <c r="G489" s="570"/>
      <c r="H489" s="571"/>
      <c r="I489" s="368"/>
      <c r="J489" s="368"/>
      <c r="K489" s="368"/>
      <c r="L489" s="368"/>
      <c r="M489" s="368"/>
      <c r="N489" s="368"/>
      <c r="O489" s="368"/>
      <c r="P489" s="368"/>
      <c r="Q489" s="368"/>
      <c r="R489" s="368"/>
      <c r="S489" s="368"/>
      <c r="T489" s="368"/>
      <c r="U489" s="368"/>
      <c r="V489" s="368"/>
      <c r="W489" s="368"/>
      <c r="X489" s="368"/>
      <c r="Y489" s="368"/>
      <c r="Z489" s="368"/>
      <c r="AA489" s="368"/>
      <c r="AB489" s="368"/>
    </row>
    <row r="490" spans="1:31" ht="51">
      <c r="A490" s="497" t="s">
        <v>14471</v>
      </c>
      <c r="B490" s="498" t="s">
        <v>14472</v>
      </c>
      <c r="C490" s="499" t="s">
        <v>14651</v>
      </c>
      <c r="D490" s="500" t="s">
        <v>14652</v>
      </c>
      <c r="E490" s="501" t="s">
        <v>54</v>
      </c>
      <c r="F490" s="501">
        <f>SUM(F499:F502,F504:F506,F508,F522:F524,F526:F527,F529,F531:F532,F537)</f>
        <v>3402.78</v>
      </c>
      <c r="G490" s="502"/>
      <c r="H490" s="503">
        <f>TRUNC(SUM(H492:H541),2)</f>
        <v>23.84</v>
      </c>
      <c r="I490" s="276">
        <f>COUNTIF($C$8:$C490,C:C)</f>
        <v>1</v>
      </c>
      <c r="J490" s="504"/>
      <c r="K490" s="504"/>
      <c r="L490" s="505"/>
      <c r="M490" s="505"/>
      <c r="N490" s="504"/>
      <c r="O490" s="504"/>
      <c r="P490" s="504"/>
      <c r="Q490" s="504"/>
      <c r="R490" s="504"/>
      <c r="S490" s="504"/>
      <c r="T490" s="504"/>
      <c r="U490" s="504"/>
      <c r="V490" s="504"/>
      <c r="W490" s="504"/>
      <c r="X490" s="504"/>
      <c r="Y490" s="504"/>
      <c r="Z490" s="504"/>
      <c r="AA490" s="504"/>
      <c r="AB490" s="504"/>
    </row>
    <row r="491" spans="1:31" ht="12.75">
      <c r="A491" s="506" t="s">
        <v>14475</v>
      </c>
      <c r="B491" s="507" t="s">
        <v>14476</v>
      </c>
      <c r="C491" s="404">
        <v>100773</v>
      </c>
      <c r="D491" s="367" t="s">
        <v>14587</v>
      </c>
      <c r="E491" s="508"/>
      <c r="F491" s="509"/>
      <c r="G491" s="510"/>
      <c r="H491" s="511"/>
      <c r="I491" s="262"/>
      <c r="J491" s="262"/>
      <c r="K491" s="262"/>
      <c r="L491" s="512"/>
      <c r="M491" s="512"/>
      <c r="N491" s="262"/>
      <c r="O491" s="262"/>
      <c r="P491" s="262"/>
      <c r="Q491" s="262"/>
      <c r="R491" s="262"/>
      <c r="S491" s="262"/>
      <c r="T491" s="262"/>
      <c r="U491" s="262"/>
      <c r="V491" s="262"/>
      <c r="W491" s="262"/>
      <c r="X491" s="262"/>
      <c r="Y491" s="262"/>
      <c r="Z491" s="262"/>
      <c r="AA491" s="262"/>
      <c r="AB491" s="262"/>
    </row>
    <row r="492" spans="1:31" ht="25.5">
      <c r="A492" s="513" t="s">
        <v>14478</v>
      </c>
      <c r="B492" s="514" t="s">
        <v>14476</v>
      </c>
      <c r="C492" s="432">
        <v>88240</v>
      </c>
      <c r="D492" s="515" t="str">
        <f>IFERROR(VLOOKUP($C492,'24.08_ND'!$A:$D,2,0),)</f>
        <v>AJUDANTE DE ESTRUTURA METÁLICA COM ENCARGOS COMPLEMENTARES</v>
      </c>
      <c r="E492" s="516" t="str">
        <f>IFERROR(VLOOKUP($C492,'24.08_ND'!$A:$D,3,0),)</f>
        <v>H</v>
      </c>
      <c r="F492" s="517">
        <v>4.0000000000000001E-3</v>
      </c>
      <c r="G492" s="518">
        <f>IFERROR(VLOOKUP($C492,'24.08_ND'!$A:$D,4,0),)</f>
        <v>18.5</v>
      </c>
      <c r="H492" s="519">
        <f t="shared" ref="H492:H498" si="24">TRUNC(($F492*$G492),2)</f>
        <v>7.0000000000000007E-2</v>
      </c>
      <c r="I492" s="262"/>
      <c r="J492" s="262"/>
      <c r="K492" s="262"/>
      <c r="L492" s="512"/>
      <c r="M492" s="512"/>
      <c r="N492" s="262"/>
      <c r="O492" s="262"/>
      <c r="P492" s="262"/>
      <c r="Q492" s="262"/>
      <c r="R492" s="262"/>
      <c r="S492" s="262"/>
      <c r="T492" s="262"/>
      <c r="U492" s="262"/>
      <c r="V492" s="262"/>
      <c r="W492" s="262"/>
      <c r="X492" s="262"/>
      <c r="Y492" s="262"/>
      <c r="Z492" s="262"/>
      <c r="AA492" s="262"/>
      <c r="AB492" s="262"/>
      <c r="AD492" s="1791" t="e">
        <f>VLOOKUP(C492,'Medição '!$B$16:$F$1833,6,0)</f>
        <v>#N/A</v>
      </c>
      <c r="AE492" s="1791"/>
    </row>
    <row r="493" spans="1:31" ht="25.5">
      <c r="A493" s="513" t="s">
        <v>14478</v>
      </c>
      <c r="B493" s="514" t="s">
        <v>14476</v>
      </c>
      <c r="C493" s="432">
        <v>88278</v>
      </c>
      <c r="D493" s="515" t="str">
        <f>IFERROR(VLOOKUP($C493,'24.08_ND'!$A:$D,2,0),)</f>
        <v>MONTADOR DE ESTRUTURA METÁLICA COM ENCARGOS COMPLEMENTARES</v>
      </c>
      <c r="E493" s="516" t="str">
        <f>IFERROR(VLOOKUP($C493,'24.08_ND'!$A:$D,3,0),)</f>
        <v>H</v>
      </c>
      <c r="F493" s="517">
        <v>8.9999999999999993E-3</v>
      </c>
      <c r="G493" s="518">
        <f>IFERROR(VLOOKUP($C493,'24.08_ND'!$A:$D,4,0),)</f>
        <v>20.440000000000001</v>
      </c>
      <c r="H493" s="519">
        <f t="shared" si="24"/>
        <v>0.18</v>
      </c>
      <c r="I493" s="262"/>
      <c r="J493" s="262"/>
      <c r="K493" s="262"/>
      <c r="L493" s="512"/>
      <c r="M493" s="512"/>
      <c r="N493" s="262"/>
      <c r="O493" s="262"/>
      <c r="P493" s="262"/>
      <c r="Q493" s="262"/>
      <c r="R493" s="262"/>
      <c r="S493" s="262"/>
      <c r="T493" s="262"/>
      <c r="U493" s="262"/>
      <c r="V493" s="262"/>
      <c r="W493" s="262"/>
      <c r="X493" s="262"/>
      <c r="Y493" s="262"/>
      <c r="Z493" s="262"/>
      <c r="AA493" s="262"/>
      <c r="AB493" s="262"/>
      <c r="AD493" s="1791" t="e">
        <f>VLOOKUP(C493,'Medição '!$B$16:$F$1833,6,0)</f>
        <v>#N/A</v>
      </c>
      <c r="AE493" s="1791"/>
    </row>
    <row r="494" spans="1:31" ht="25.5">
      <c r="A494" s="513" t="s">
        <v>14478</v>
      </c>
      <c r="B494" s="514" t="s">
        <v>14476</v>
      </c>
      <c r="C494" s="432">
        <v>88251</v>
      </c>
      <c r="D494" s="515" t="str">
        <f>IFERROR(VLOOKUP($C494,'24.08_ND'!$A:$D,2,0),)</f>
        <v>AUXILIAR DE SERRALHEIRO COM ENCARGOS COMPLEMENTARES</v>
      </c>
      <c r="E494" s="516" t="str">
        <f>IFERROR(VLOOKUP($C494,'24.08_ND'!$A:$D,3,0),)</f>
        <v>H</v>
      </c>
      <c r="F494" s="517">
        <v>5.0000000000000001E-3</v>
      </c>
      <c r="G494" s="518">
        <f>IFERROR(VLOOKUP($C494,'24.08_ND'!$A:$D,4,0),)</f>
        <v>19.579999999999998</v>
      </c>
      <c r="H494" s="519">
        <f t="shared" si="24"/>
        <v>0.09</v>
      </c>
      <c r="I494" s="262"/>
      <c r="J494" s="262"/>
      <c r="K494" s="262"/>
      <c r="L494" s="512"/>
      <c r="M494" s="512"/>
      <c r="N494" s="262"/>
      <c r="O494" s="262"/>
      <c r="P494" s="262"/>
      <c r="Q494" s="262"/>
      <c r="R494" s="262"/>
      <c r="S494" s="262"/>
      <c r="T494" s="262"/>
      <c r="U494" s="262"/>
      <c r="V494" s="262"/>
      <c r="W494" s="262"/>
      <c r="X494" s="262"/>
      <c r="Y494" s="262"/>
      <c r="Z494" s="262"/>
      <c r="AA494" s="262"/>
      <c r="AB494" s="262"/>
      <c r="AD494" s="1791" t="e">
        <f>VLOOKUP(C494,'Medição '!$B$16:$F$1833,6,0)</f>
        <v>#N/A</v>
      </c>
      <c r="AE494" s="1791"/>
    </row>
    <row r="495" spans="1:31" ht="25.5">
      <c r="A495" s="513" t="s">
        <v>14478</v>
      </c>
      <c r="B495" s="514" t="s">
        <v>14476</v>
      </c>
      <c r="C495" s="432">
        <v>88315</v>
      </c>
      <c r="D495" s="515" t="str">
        <f>IFERROR(VLOOKUP($C495,'24.08_ND'!$A:$D,2,0),)</f>
        <v>SERRALHEIRO COM ENCARGOS COMPLEMENTARES</v>
      </c>
      <c r="E495" s="516" t="str">
        <f>IFERROR(VLOOKUP($C495,'24.08_ND'!$A:$D,3,0),)</f>
        <v>H</v>
      </c>
      <c r="F495" s="517">
        <v>0.01</v>
      </c>
      <c r="G495" s="518">
        <f>IFERROR(VLOOKUP($C495,'24.08_ND'!$A:$D,4,0),)</f>
        <v>23.13</v>
      </c>
      <c r="H495" s="519">
        <f t="shared" si="24"/>
        <v>0.23</v>
      </c>
      <c r="I495" s="262"/>
      <c r="J495" s="262"/>
      <c r="K495" s="262"/>
      <c r="L495" s="512"/>
      <c r="M495" s="512"/>
      <c r="N495" s="262"/>
      <c r="O495" s="262"/>
      <c r="P495" s="262"/>
      <c r="Q495" s="262"/>
      <c r="R495" s="262"/>
      <c r="S495" s="262"/>
      <c r="T495" s="262"/>
      <c r="U495" s="262"/>
      <c r="V495" s="262"/>
      <c r="W495" s="262"/>
      <c r="X495" s="262"/>
      <c r="Y495" s="262"/>
      <c r="Z495" s="262"/>
      <c r="AA495" s="262"/>
      <c r="AB495" s="262"/>
      <c r="AD495" s="1791" t="e">
        <f>VLOOKUP(C495,'Medição '!$B$16:$F$1833,6,0)</f>
        <v>#N/A</v>
      </c>
      <c r="AE495" s="1791"/>
    </row>
    <row r="496" spans="1:31" ht="25.5">
      <c r="A496" s="513" t="s">
        <v>14478</v>
      </c>
      <c r="B496" s="514" t="s">
        <v>14476</v>
      </c>
      <c r="C496" s="432">
        <v>88317</v>
      </c>
      <c r="D496" s="515" t="str">
        <f>IFERROR(VLOOKUP($C496,'24.08_ND'!$A:$D,2,0),)</f>
        <v>SOLDADOR COM ENCARGOS COMPLEMENTARES</v>
      </c>
      <c r="E496" s="516" t="str">
        <f>IFERROR(VLOOKUP($C496,'24.08_ND'!$A:$D,3,0),)</f>
        <v>H</v>
      </c>
      <c r="F496" s="517">
        <v>0.01</v>
      </c>
      <c r="G496" s="518">
        <f>IFERROR(VLOOKUP($C496,'24.08_ND'!$A:$D,4,0),)</f>
        <v>24.01</v>
      </c>
      <c r="H496" s="519">
        <f t="shared" si="24"/>
        <v>0.24</v>
      </c>
      <c r="I496" s="262"/>
      <c r="J496" s="262"/>
      <c r="K496" s="262"/>
      <c r="L496" s="512"/>
      <c r="M496" s="512"/>
      <c r="N496" s="262"/>
      <c r="O496" s="262"/>
      <c r="P496" s="262"/>
      <c r="Q496" s="262"/>
      <c r="R496" s="262"/>
      <c r="S496" s="262"/>
      <c r="T496" s="262"/>
      <c r="U496" s="262"/>
      <c r="V496" s="262"/>
      <c r="W496" s="262"/>
      <c r="X496" s="262"/>
      <c r="Y496" s="262"/>
      <c r="Z496" s="262"/>
      <c r="AA496" s="262"/>
      <c r="AB496" s="262"/>
      <c r="AD496" s="1791" t="e">
        <f>VLOOKUP(C496,'Medição '!$B$16:$F$1833,6,0)</f>
        <v>#N/A</v>
      </c>
      <c r="AE496" s="1791"/>
    </row>
    <row r="497" spans="1:28" ht="12.75">
      <c r="A497" s="520" t="s">
        <v>14479</v>
      </c>
      <c r="B497" s="521" t="s">
        <v>14476</v>
      </c>
      <c r="C497" s="522">
        <v>10997</v>
      </c>
      <c r="D497" s="523" t="str">
        <f>IFERROR(VLOOKUP($C497,'24.08_ND'!$A:$D,2,0),)</f>
        <v>ELETRODO REVESTIDO AWS - E7018, DIAMETRO IGUAL A 4,00 MM</v>
      </c>
      <c r="E497" s="244" t="str">
        <f>IFERROR(VLOOKUP($C497,'24.08_ND'!$A:$D,3,0),)</f>
        <v>KG</v>
      </c>
      <c r="F497" s="444">
        <v>4.0000000000000001E-3</v>
      </c>
      <c r="G497" s="524">
        <f>IFERROR(VLOOKUP($C497,'24.08_ND'!$A:$D,4,0),)</f>
        <v>32.6</v>
      </c>
      <c r="H497" s="525">
        <f t="shared" si="24"/>
        <v>0.13</v>
      </c>
      <c r="I497" s="262"/>
      <c r="J497" s="262"/>
      <c r="K497" s="262"/>
      <c r="L497" s="512"/>
      <c r="M497" s="512"/>
      <c r="N497" s="262"/>
      <c r="O497" s="262"/>
      <c r="P497" s="262"/>
      <c r="Q497" s="262"/>
      <c r="R497" s="262"/>
      <c r="S497" s="262"/>
      <c r="T497" s="262"/>
      <c r="U497" s="262"/>
      <c r="V497" s="262"/>
      <c r="W497" s="262"/>
      <c r="X497" s="262"/>
      <c r="Y497" s="262"/>
      <c r="Z497" s="262"/>
      <c r="AA497" s="262"/>
      <c r="AB497" s="262"/>
    </row>
    <row r="498" spans="1:28" ht="12.75">
      <c r="A498" s="520" t="s">
        <v>14479</v>
      </c>
      <c r="B498" s="521" t="s">
        <v>14476</v>
      </c>
      <c r="C498" s="522">
        <v>1319</v>
      </c>
      <c r="D498" s="523" t="str">
        <f>IFERROR(VLOOKUP($C498,'24.08_ND'!$A:$D,2,0),)</f>
        <v>CHAPA DE ACO FINA A QUENTE BITOLA MSG 3/16 ", E = 4,75 MM (38,00 KG/M2)</v>
      </c>
      <c r="E498" s="244" t="str">
        <f>IFERROR(VLOOKUP($C498,'24.08_ND'!$A:$D,3,0),)</f>
        <v>KG</v>
      </c>
      <c r="F498" s="444">
        <f>ROUNDUP(((F499+F500+F501+F502)/$F$490)*1.075,4)</f>
        <v>0.1244</v>
      </c>
      <c r="G498" s="524">
        <f>IFERROR(VLOOKUP($C498,'24.08_ND'!$A:$D,4,0),)</f>
        <v>9.8800000000000008</v>
      </c>
      <c r="H498" s="525">
        <f t="shared" si="24"/>
        <v>1.22</v>
      </c>
      <c r="I498" s="262"/>
      <c r="J498" s="262"/>
      <c r="K498" s="262"/>
      <c r="L498" s="512"/>
      <c r="M498" s="512"/>
      <c r="N498" s="262"/>
      <c r="O498" s="262"/>
      <c r="P498" s="262"/>
      <c r="Q498" s="262"/>
      <c r="R498" s="262"/>
      <c r="S498" s="262"/>
      <c r="T498" s="262"/>
      <c r="U498" s="262"/>
      <c r="V498" s="262"/>
      <c r="W498" s="262"/>
      <c r="X498" s="262"/>
      <c r="Y498" s="262"/>
      <c r="Z498" s="262"/>
      <c r="AA498" s="262"/>
      <c r="AB498" s="262"/>
    </row>
    <row r="499" spans="1:28" ht="12.75">
      <c r="A499" s="526"/>
      <c r="B499" s="527"/>
      <c r="C499" s="528"/>
      <c r="D499" s="529" t="s">
        <v>14653</v>
      </c>
      <c r="E499" s="530" t="s">
        <v>54</v>
      </c>
      <c r="F499" s="533">
        <v>263.22000000000003</v>
      </c>
      <c r="G499" s="532"/>
      <c r="H499" s="511"/>
      <c r="I499" s="262"/>
      <c r="J499" s="262"/>
      <c r="K499" s="262"/>
      <c r="L499" s="512"/>
      <c r="M499" s="512"/>
      <c r="N499" s="262"/>
      <c r="O499" s="262"/>
      <c r="P499" s="262"/>
      <c r="Q499" s="262"/>
      <c r="R499" s="262"/>
      <c r="S499" s="262"/>
      <c r="T499" s="262"/>
      <c r="U499" s="262"/>
      <c r="V499" s="262"/>
      <c r="W499" s="262"/>
      <c r="X499" s="262"/>
      <c r="Y499" s="262"/>
      <c r="Z499" s="262"/>
      <c r="AA499" s="262"/>
      <c r="AB499" s="262"/>
    </row>
    <row r="500" spans="1:28" ht="12.75">
      <c r="A500" s="526"/>
      <c r="B500" s="527"/>
      <c r="C500" s="528"/>
      <c r="D500" s="529" t="s">
        <v>14654</v>
      </c>
      <c r="E500" s="530" t="s">
        <v>54</v>
      </c>
      <c r="F500" s="533">
        <v>126.98</v>
      </c>
      <c r="G500" s="532"/>
      <c r="H500" s="511"/>
      <c r="I500" s="262"/>
      <c r="J500" s="262"/>
      <c r="K500" s="262"/>
      <c r="L500" s="512"/>
      <c r="M500" s="512"/>
      <c r="N500" s="262"/>
      <c r="O500" s="262"/>
      <c r="P500" s="262"/>
      <c r="Q500" s="262"/>
      <c r="R500" s="262"/>
      <c r="S500" s="262"/>
      <c r="T500" s="262"/>
      <c r="U500" s="262"/>
      <c r="V500" s="262"/>
      <c r="W500" s="262"/>
      <c r="X500" s="262"/>
      <c r="Y500" s="262"/>
      <c r="Z500" s="262"/>
      <c r="AA500" s="262"/>
      <c r="AB500" s="262"/>
    </row>
    <row r="501" spans="1:28" ht="12.75">
      <c r="A501" s="526"/>
      <c r="B501" s="527"/>
      <c r="C501" s="528"/>
      <c r="D501" s="529" t="s">
        <v>14655</v>
      </c>
      <c r="E501" s="530" t="s">
        <v>54</v>
      </c>
      <c r="F501" s="533">
        <v>1.1399999999999999</v>
      </c>
      <c r="G501" s="532"/>
      <c r="H501" s="511"/>
      <c r="I501" s="262"/>
      <c r="J501" s="262"/>
      <c r="K501" s="262"/>
      <c r="L501" s="512"/>
      <c r="M501" s="512"/>
      <c r="N501" s="262"/>
      <c r="O501" s="262"/>
      <c r="P501" s="262"/>
      <c r="Q501" s="262"/>
      <c r="R501" s="262"/>
      <c r="S501" s="262"/>
      <c r="T501" s="262"/>
      <c r="U501" s="262"/>
      <c r="V501" s="262"/>
      <c r="W501" s="262"/>
      <c r="X501" s="262"/>
      <c r="Y501" s="262"/>
      <c r="Z501" s="262"/>
      <c r="AA501" s="262"/>
      <c r="AB501" s="262"/>
    </row>
    <row r="502" spans="1:28" ht="12.75">
      <c r="A502" s="526"/>
      <c r="B502" s="527"/>
      <c r="C502" s="528"/>
      <c r="D502" s="529" t="s">
        <v>14656</v>
      </c>
      <c r="E502" s="530" t="s">
        <v>54</v>
      </c>
      <c r="F502" s="533">
        <v>2.27</v>
      </c>
      <c r="G502" s="532"/>
      <c r="H502" s="511"/>
      <c r="I502" s="262"/>
      <c r="J502" s="262"/>
      <c r="K502" s="262"/>
      <c r="L502" s="512"/>
      <c r="M502" s="512"/>
      <c r="N502" s="262"/>
      <c r="O502" s="262"/>
      <c r="P502" s="262"/>
      <c r="Q502" s="262"/>
      <c r="R502" s="262"/>
      <c r="S502" s="262"/>
      <c r="T502" s="262"/>
      <c r="U502" s="262"/>
      <c r="V502" s="262"/>
      <c r="W502" s="262"/>
      <c r="X502" s="262"/>
      <c r="Y502" s="262"/>
      <c r="Z502" s="262"/>
      <c r="AA502" s="262"/>
      <c r="AB502" s="262"/>
    </row>
    <row r="503" spans="1:28" ht="12.75">
      <c r="A503" s="535" t="s">
        <v>14479</v>
      </c>
      <c r="B503" s="536" t="s">
        <v>14476</v>
      </c>
      <c r="C503" s="537">
        <v>1332</v>
      </c>
      <c r="D503" s="538" t="str">
        <f>IFERROR(VLOOKUP($C503,'24.08_ND'!$A:$D,2,0),)</f>
        <v>CHAPA DE ACO GROSSA, ASTM A36, E = 3/8" (9,53 MM) 74,69 KG/M2</v>
      </c>
      <c r="E503" s="539" t="str">
        <f>IFERROR(VLOOKUP($C503,'24.08_ND'!$A:$D,3,0),)</f>
        <v>KG</v>
      </c>
      <c r="F503" s="444">
        <f>ROUNDUP(((F504+F505+F506)/$F$490)*1.075,4)</f>
        <v>6.59E-2</v>
      </c>
      <c r="G503" s="540">
        <f>IFERROR(VLOOKUP($C503,'24.08_ND'!$A:$D,4,0),)</f>
        <v>10.95</v>
      </c>
      <c r="H503" s="541">
        <f>TRUNC(($F503*$G503),2)</f>
        <v>0.72</v>
      </c>
      <c r="I503" s="368"/>
      <c r="J503" s="368"/>
      <c r="K503" s="368"/>
      <c r="L503" s="368"/>
      <c r="M503" s="368"/>
      <c r="N503" s="368"/>
      <c r="O503" s="368"/>
      <c r="P503" s="368"/>
      <c r="Q503" s="368"/>
      <c r="R503" s="368"/>
      <c r="S503" s="368"/>
      <c r="T503" s="368"/>
      <c r="U503" s="368"/>
      <c r="V503" s="368"/>
      <c r="W503" s="368"/>
      <c r="X503" s="368"/>
      <c r="Y503" s="368"/>
      <c r="Z503" s="368"/>
      <c r="AA503" s="368"/>
      <c r="AB503" s="368"/>
    </row>
    <row r="504" spans="1:28" ht="12.75">
      <c r="A504" s="542"/>
      <c r="B504" s="543"/>
      <c r="C504" s="427"/>
      <c r="D504" s="544" t="s">
        <v>14657</v>
      </c>
      <c r="E504" s="545" t="s">
        <v>54</v>
      </c>
      <c r="F504" s="546">
        <v>60.5</v>
      </c>
      <c r="G504" s="547"/>
      <c r="H504" s="430"/>
      <c r="I504" s="368"/>
      <c r="J504" s="368"/>
      <c r="K504" s="368"/>
      <c r="L504" s="368"/>
      <c r="M504" s="368"/>
      <c r="N504" s="368"/>
      <c r="O504" s="368"/>
      <c r="P504" s="368"/>
      <c r="Q504" s="368"/>
      <c r="R504" s="368"/>
      <c r="S504" s="368"/>
      <c r="T504" s="368"/>
      <c r="U504" s="368"/>
      <c r="V504" s="368"/>
      <c r="W504" s="368"/>
      <c r="X504" s="368"/>
      <c r="Y504" s="368"/>
      <c r="Z504" s="368"/>
      <c r="AA504" s="368"/>
      <c r="AB504" s="368"/>
    </row>
    <row r="505" spans="1:28" ht="12.75">
      <c r="A505" s="542"/>
      <c r="B505" s="543"/>
      <c r="C505" s="427"/>
      <c r="D505" s="544" t="s">
        <v>14658</v>
      </c>
      <c r="E505" s="545" t="s">
        <v>54</v>
      </c>
      <c r="F505" s="546">
        <v>40.340000000000003</v>
      </c>
      <c r="G505" s="547"/>
      <c r="H505" s="430"/>
      <c r="I505" s="368"/>
      <c r="J505" s="368"/>
      <c r="K505" s="368"/>
      <c r="L505" s="368"/>
      <c r="M505" s="368"/>
      <c r="N505" s="368"/>
      <c r="O505" s="368"/>
      <c r="P505" s="368"/>
      <c r="Q505" s="368"/>
      <c r="R505" s="368"/>
      <c r="S505" s="368"/>
      <c r="T505" s="368"/>
      <c r="U505" s="368"/>
      <c r="V505" s="368"/>
      <c r="W505" s="368"/>
      <c r="X505" s="368"/>
      <c r="Y505" s="368"/>
      <c r="Z505" s="368"/>
      <c r="AA505" s="368"/>
      <c r="AB505" s="368"/>
    </row>
    <row r="506" spans="1:28" ht="12.75">
      <c r="A506" s="542"/>
      <c r="B506" s="543"/>
      <c r="C506" s="427"/>
      <c r="D506" s="544" t="s">
        <v>14659</v>
      </c>
      <c r="E506" s="545" t="s">
        <v>54</v>
      </c>
      <c r="F506" s="546">
        <v>107.56</v>
      </c>
      <c r="G506" s="547"/>
      <c r="H506" s="430"/>
      <c r="I506" s="368"/>
      <c r="J506" s="368"/>
      <c r="K506" s="368"/>
      <c r="L506" s="368"/>
      <c r="M506" s="368"/>
      <c r="N506" s="368"/>
      <c r="O506" s="368"/>
      <c r="P506" s="368"/>
      <c r="Q506" s="368"/>
      <c r="R506" s="368"/>
      <c r="S506" s="368"/>
      <c r="T506" s="368"/>
      <c r="U506" s="368"/>
      <c r="V506" s="368"/>
      <c r="W506" s="368"/>
      <c r="X506" s="368"/>
      <c r="Y506" s="368"/>
      <c r="Z506" s="368"/>
      <c r="AA506" s="368"/>
      <c r="AB506" s="368"/>
    </row>
    <row r="507" spans="1:28" ht="12.75">
      <c r="A507" s="520" t="s">
        <v>14479</v>
      </c>
      <c r="B507" s="521" t="s">
        <v>14476</v>
      </c>
      <c r="C507" s="522">
        <v>1333</v>
      </c>
      <c r="D507" s="523" t="str">
        <f>IFERROR(VLOOKUP($C507,'24.08_ND'!$A:$D,2,0),)</f>
        <v>CHAPA DE ACO GROSSA, ASTM A36, E = 1/2" (12,70 MM) 99,59 KG/M2</v>
      </c>
      <c r="E507" s="244" t="str">
        <f>IFERROR(VLOOKUP($C507,'24.08_ND'!$A:$D,3,0),)</f>
        <v>KG</v>
      </c>
      <c r="F507" s="444">
        <f>ROUNDUP(((F508)/$F$490)*1.075,4)</f>
        <v>2.5499999999999998E-2</v>
      </c>
      <c r="G507" s="524">
        <f>IFERROR(VLOOKUP($C507,'24.08_ND'!$A:$D,4,0),)</f>
        <v>10.77</v>
      </c>
      <c r="H507" s="525">
        <f>TRUNC(($F507*$G507),2)</f>
        <v>0.27</v>
      </c>
      <c r="I507" s="262"/>
      <c r="J507" s="262"/>
      <c r="K507" s="262"/>
      <c r="L507" s="512"/>
      <c r="M507" s="512"/>
      <c r="N507" s="262"/>
      <c r="O507" s="262"/>
      <c r="P507" s="262"/>
      <c r="Q507" s="262"/>
      <c r="R507" s="262"/>
      <c r="S507" s="262"/>
      <c r="T507" s="262"/>
      <c r="U507" s="262"/>
      <c r="V507" s="262"/>
      <c r="W507" s="262"/>
      <c r="X507" s="262"/>
      <c r="Y507" s="262"/>
      <c r="Z507" s="262"/>
      <c r="AA507" s="262"/>
      <c r="AB507" s="262"/>
    </row>
    <row r="508" spans="1:28" ht="12.75">
      <c r="A508" s="526"/>
      <c r="B508" s="527"/>
      <c r="C508" s="528"/>
      <c r="D508" s="529" t="s">
        <v>14660</v>
      </c>
      <c r="E508" s="530" t="s">
        <v>54</v>
      </c>
      <c r="F508" s="533">
        <v>80.67</v>
      </c>
      <c r="G508" s="532"/>
      <c r="H508" s="511"/>
      <c r="I508" s="262"/>
      <c r="J508" s="262"/>
      <c r="K508" s="262"/>
      <c r="L508" s="512"/>
      <c r="M508" s="512"/>
      <c r="N508" s="262"/>
      <c r="O508" s="262"/>
      <c r="P508" s="262"/>
      <c r="Q508" s="262"/>
      <c r="R508" s="262"/>
      <c r="S508" s="262"/>
      <c r="T508" s="262"/>
      <c r="U508" s="262"/>
      <c r="V508" s="262"/>
      <c r="W508" s="262"/>
      <c r="X508" s="262"/>
      <c r="Y508" s="262"/>
      <c r="Z508" s="262"/>
      <c r="AA508" s="262"/>
      <c r="AB508" s="262"/>
    </row>
    <row r="509" spans="1:28" ht="12.75">
      <c r="A509" s="319" t="s">
        <v>14479</v>
      </c>
      <c r="B509" s="320" t="s">
        <v>14491</v>
      </c>
      <c r="C509" s="320" t="s">
        <v>14661</v>
      </c>
      <c r="D509" s="321" t="str">
        <f>VLOOKUP($C509,'09 - MC'!$A:$F,2,0)</f>
        <v>BARRA ROSCADA DE AÇO UNC - 1/2"</v>
      </c>
      <c r="E509" s="322" t="str">
        <f>VLOOKUP($C509,'09 - MC'!$A:$F,3,0)</f>
        <v>M</v>
      </c>
      <c r="F509" s="572">
        <f>ROUNDUP(((F510+F511+F512)/$F$490)*1.075,4)</f>
        <v>2.2800000000000001E-2</v>
      </c>
      <c r="G509" s="324">
        <f>VLOOKUP($C509,'09 - MC'!$A:$F,6,0)</f>
        <v>30.56</v>
      </c>
      <c r="H509" s="325">
        <f>TRUNC(G509*F509,2)</f>
        <v>0.69</v>
      </c>
      <c r="I509" s="262"/>
      <c r="J509" s="262"/>
      <c r="K509" s="262"/>
      <c r="L509" s="262"/>
      <c r="M509" s="262"/>
      <c r="N509" s="262"/>
      <c r="O509" s="262"/>
      <c r="P509" s="262"/>
      <c r="Q509" s="262"/>
      <c r="R509" s="262"/>
      <c r="S509" s="262"/>
      <c r="T509" s="262"/>
      <c r="U509" s="262"/>
      <c r="V509" s="262"/>
      <c r="W509" s="262"/>
      <c r="X509" s="262"/>
      <c r="Y509" s="262"/>
      <c r="Z509" s="262"/>
      <c r="AA509" s="262"/>
      <c r="AB509" s="262"/>
    </row>
    <row r="510" spans="1:28" ht="12.75">
      <c r="A510" s="526"/>
      <c r="B510" s="527"/>
      <c r="C510" s="528"/>
      <c r="D510" s="529" t="s">
        <v>14662</v>
      </c>
      <c r="E510" s="530" t="s">
        <v>50</v>
      </c>
      <c r="F510" s="531">
        <v>36</v>
      </c>
      <c r="G510" s="532"/>
      <c r="H510" s="511"/>
      <c r="I510" s="262"/>
      <c r="J510" s="262"/>
      <c r="K510" s="262"/>
      <c r="L510" s="512"/>
      <c r="M510" s="512"/>
      <c r="N510" s="262"/>
      <c r="O510" s="262"/>
      <c r="P510" s="262"/>
      <c r="Q510" s="262"/>
      <c r="R510" s="262"/>
      <c r="S510" s="262"/>
      <c r="T510" s="262"/>
      <c r="U510" s="262"/>
      <c r="V510" s="262"/>
      <c r="W510" s="262"/>
      <c r="X510" s="262"/>
      <c r="Y510" s="262"/>
      <c r="Z510" s="262"/>
      <c r="AA510" s="262"/>
      <c r="AB510" s="262"/>
    </row>
    <row r="511" spans="1:28" ht="12.75">
      <c r="A511" s="526"/>
      <c r="B511" s="527"/>
      <c r="C511" s="528"/>
      <c r="D511" s="529" t="s">
        <v>14663</v>
      </c>
      <c r="E511" s="530" t="s">
        <v>50</v>
      </c>
      <c r="F511" s="531">
        <v>12</v>
      </c>
      <c r="G511" s="532"/>
      <c r="H511" s="511"/>
      <c r="I511" s="262"/>
      <c r="J511" s="262"/>
      <c r="K511" s="262"/>
      <c r="L511" s="512"/>
      <c r="M511" s="512"/>
      <c r="N511" s="262"/>
      <c r="O511" s="262"/>
      <c r="P511" s="262"/>
      <c r="Q511" s="262"/>
      <c r="R511" s="262"/>
      <c r="S511" s="262"/>
      <c r="T511" s="262"/>
      <c r="U511" s="262"/>
      <c r="V511" s="262"/>
      <c r="W511" s="262"/>
      <c r="X511" s="262"/>
      <c r="Y511" s="262"/>
      <c r="Z511" s="262"/>
      <c r="AA511" s="262"/>
      <c r="AB511" s="262"/>
    </row>
    <row r="512" spans="1:28" ht="12.75">
      <c r="A512" s="526"/>
      <c r="B512" s="527"/>
      <c r="C512" s="528"/>
      <c r="D512" s="529" t="s">
        <v>14664</v>
      </c>
      <c r="E512" s="530" t="s">
        <v>50</v>
      </c>
      <c r="F512" s="531">
        <v>24</v>
      </c>
      <c r="G512" s="532"/>
      <c r="H512" s="511"/>
      <c r="I512" s="262"/>
      <c r="J512" s="262"/>
      <c r="K512" s="262"/>
      <c r="L512" s="512"/>
      <c r="M512" s="512"/>
      <c r="N512" s="262"/>
      <c r="O512" s="262"/>
      <c r="P512" s="262"/>
      <c r="Q512" s="262"/>
      <c r="R512" s="262"/>
      <c r="S512" s="262"/>
      <c r="T512" s="262"/>
      <c r="U512" s="262"/>
      <c r="V512" s="262"/>
      <c r="W512" s="262"/>
      <c r="X512" s="262"/>
      <c r="Y512" s="262"/>
      <c r="Z512" s="262"/>
      <c r="AA512" s="262"/>
      <c r="AB512" s="262"/>
    </row>
    <row r="513" spans="1:28" ht="12.75">
      <c r="A513" s="520" t="s">
        <v>14479</v>
      </c>
      <c r="B513" s="521" t="s">
        <v>14476</v>
      </c>
      <c r="C513" s="522">
        <v>4339</v>
      </c>
      <c r="D513" s="523" t="str">
        <f>IFERROR(VLOOKUP($C513,'24.08_ND'!$A:$D,2,0),)</f>
        <v>PORCA ZINCADA, SEXTAVADA, DIAMETRO 1/2"</v>
      </c>
      <c r="E513" s="244" t="str">
        <f>IFERROR(VLOOKUP($C513,'24.08_ND'!$A:$D,3,0),)</f>
        <v>UN</v>
      </c>
      <c r="F513" s="444">
        <f>ROUNDUP(((F514+F515+F516)/$F$490)*1.075,4)</f>
        <v>0.16689999999999999</v>
      </c>
      <c r="G513" s="524">
        <f>IFERROR(VLOOKUP($C513,'24.08_ND'!$A:$D,4,0),)</f>
        <v>0.51</v>
      </c>
      <c r="H513" s="525">
        <f>TRUNC(($F513*$G513),2)</f>
        <v>0.08</v>
      </c>
      <c r="I513" s="262"/>
      <c r="J513" s="262"/>
      <c r="K513" s="262"/>
      <c r="L513" s="512"/>
      <c r="M513" s="512"/>
      <c r="N513" s="262"/>
      <c r="O513" s="262"/>
      <c r="P513" s="262"/>
      <c r="Q513" s="262"/>
      <c r="R513" s="262"/>
      <c r="S513" s="262"/>
      <c r="T513" s="262"/>
      <c r="U513" s="262"/>
      <c r="V513" s="262"/>
      <c r="W513" s="262"/>
      <c r="X513" s="262"/>
      <c r="Y513" s="262"/>
      <c r="Z513" s="262"/>
      <c r="AA513" s="262"/>
      <c r="AB513" s="262"/>
    </row>
    <row r="514" spans="1:28" ht="12.75">
      <c r="A514" s="526"/>
      <c r="B514" s="527"/>
      <c r="C514" s="528"/>
      <c r="D514" s="529" t="s">
        <v>14665</v>
      </c>
      <c r="E514" s="530" t="s">
        <v>6</v>
      </c>
      <c r="F514" s="531">
        <v>288</v>
      </c>
      <c r="G514" s="532"/>
      <c r="H514" s="511"/>
      <c r="I514" s="262"/>
      <c r="J514" s="262"/>
      <c r="K514" s="262"/>
      <c r="L514" s="512"/>
      <c r="M514" s="512"/>
      <c r="N514" s="262"/>
      <c r="O514" s="262"/>
      <c r="P514" s="262"/>
      <c r="Q514" s="262"/>
      <c r="R514" s="262"/>
      <c r="S514" s="262"/>
      <c r="T514" s="262"/>
      <c r="U514" s="262"/>
      <c r="V514" s="262"/>
      <c r="W514" s="262"/>
      <c r="X514" s="262"/>
      <c r="Y514" s="262"/>
      <c r="Z514" s="262"/>
      <c r="AA514" s="262"/>
      <c r="AB514" s="262"/>
    </row>
    <row r="515" spans="1:28" ht="12.75">
      <c r="A515" s="526"/>
      <c r="B515" s="527"/>
      <c r="C515" s="528"/>
      <c r="D515" s="529" t="s">
        <v>14666</v>
      </c>
      <c r="E515" s="530" t="s">
        <v>6</v>
      </c>
      <c r="F515" s="531">
        <v>96</v>
      </c>
      <c r="G515" s="532"/>
      <c r="H515" s="511"/>
      <c r="I515" s="262"/>
      <c r="J515" s="262"/>
      <c r="K515" s="262"/>
      <c r="L515" s="512"/>
      <c r="M515" s="512"/>
      <c r="N515" s="262"/>
      <c r="O515" s="262"/>
      <c r="P515" s="262"/>
      <c r="Q515" s="262"/>
      <c r="R515" s="262"/>
      <c r="S515" s="262"/>
      <c r="T515" s="262"/>
      <c r="U515" s="262"/>
      <c r="V515" s="262"/>
      <c r="W515" s="262"/>
      <c r="X515" s="262"/>
      <c r="Y515" s="262"/>
      <c r="Z515" s="262"/>
      <c r="AA515" s="262"/>
      <c r="AB515" s="262"/>
    </row>
    <row r="516" spans="1:28" ht="12.75">
      <c r="A516" s="526"/>
      <c r="B516" s="527"/>
      <c r="C516" s="528"/>
      <c r="D516" s="529" t="s">
        <v>14667</v>
      </c>
      <c r="E516" s="530" t="s">
        <v>6</v>
      </c>
      <c r="F516" s="531">
        <v>144</v>
      </c>
      <c r="G516" s="532"/>
      <c r="H516" s="511"/>
      <c r="I516" s="262"/>
      <c r="J516" s="262"/>
      <c r="K516" s="262"/>
      <c r="L516" s="512"/>
      <c r="M516" s="512"/>
      <c r="N516" s="262"/>
      <c r="O516" s="262"/>
      <c r="P516" s="262"/>
      <c r="Q516" s="262"/>
      <c r="R516" s="262"/>
      <c r="S516" s="262"/>
      <c r="T516" s="262"/>
      <c r="U516" s="262"/>
      <c r="V516" s="262"/>
      <c r="W516" s="262"/>
      <c r="X516" s="262"/>
      <c r="Y516" s="262"/>
      <c r="Z516" s="262"/>
      <c r="AA516" s="262"/>
      <c r="AB516" s="262"/>
    </row>
    <row r="517" spans="1:28" ht="12.75">
      <c r="A517" s="376" t="s">
        <v>14479</v>
      </c>
      <c r="B517" s="312" t="str">
        <f>VLOOKUP($C517,'• CIs EXT'!$A:$E,2,0)</f>
        <v>SEINFRA</v>
      </c>
      <c r="C517" s="377" t="s">
        <v>14668</v>
      </c>
      <c r="D517" s="378" t="str">
        <f>VLOOKUP($C517,'• CIs EXT'!$A:$E,3,0)</f>
        <v>ARRUELA DE FERRO GALVANIZADO 1/2''</v>
      </c>
      <c r="E517" s="379" t="str">
        <f>VLOOKUP($C517,'• CIs EXT'!$A:$E,4,0)</f>
        <v>UN</v>
      </c>
      <c r="F517" s="548">
        <f>ROUNDUP(((F518+F519+F520)/$F$490)*1.075,4)</f>
        <v>0.16689999999999999</v>
      </c>
      <c r="G517" s="379">
        <f>VLOOKUP($C517,'• CIs EXT'!$A:$E,5,0)</f>
        <v>0.23</v>
      </c>
      <c r="H517" s="381">
        <f>TRUNC(($F517*$G517),2)</f>
        <v>0.03</v>
      </c>
      <c r="I517" s="262"/>
      <c r="J517" s="262"/>
      <c r="K517" s="262"/>
      <c r="L517" s="262"/>
      <c r="M517" s="262"/>
      <c r="N517" s="262"/>
      <c r="O517" s="262"/>
      <c r="P517" s="262"/>
      <c r="Q517" s="262"/>
      <c r="R517" s="262"/>
      <c r="S517" s="262"/>
      <c r="T517" s="262"/>
      <c r="U517" s="262"/>
      <c r="V517" s="262"/>
      <c r="W517" s="262"/>
      <c r="X517" s="262"/>
      <c r="Y517" s="262"/>
      <c r="Z517" s="262"/>
      <c r="AA517" s="262"/>
      <c r="AB517" s="262"/>
    </row>
    <row r="518" spans="1:28" ht="12.75">
      <c r="A518" s="526"/>
      <c r="B518" s="527"/>
      <c r="C518" s="528"/>
      <c r="D518" s="529" t="s">
        <v>14669</v>
      </c>
      <c r="E518" s="530" t="s">
        <v>6</v>
      </c>
      <c r="F518" s="531">
        <v>288</v>
      </c>
      <c r="G518" s="532"/>
      <c r="H518" s="511"/>
      <c r="I518" s="262"/>
      <c r="J518" s="262"/>
      <c r="K518" s="262"/>
      <c r="L518" s="512"/>
      <c r="M518" s="512"/>
      <c r="N518" s="262"/>
      <c r="O518" s="262"/>
      <c r="P518" s="262"/>
      <c r="Q518" s="262"/>
      <c r="R518" s="262"/>
      <c r="S518" s="262"/>
      <c r="T518" s="262"/>
      <c r="U518" s="262"/>
      <c r="V518" s="262"/>
      <c r="W518" s="262"/>
      <c r="X518" s="262"/>
      <c r="Y518" s="262"/>
      <c r="Z518" s="262"/>
      <c r="AA518" s="262"/>
      <c r="AB518" s="262"/>
    </row>
    <row r="519" spans="1:28" ht="12.75">
      <c r="A519" s="526"/>
      <c r="B519" s="527"/>
      <c r="C519" s="528"/>
      <c r="D519" s="529" t="s">
        <v>14670</v>
      </c>
      <c r="E519" s="530" t="s">
        <v>6</v>
      </c>
      <c r="F519" s="531">
        <v>96</v>
      </c>
      <c r="G519" s="532"/>
      <c r="H519" s="511"/>
      <c r="I519" s="262"/>
      <c r="J519" s="262"/>
      <c r="K519" s="262"/>
      <c r="L519" s="512"/>
      <c r="M519" s="512"/>
      <c r="N519" s="262"/>
      <c r="O519" s="262"/>
      <c r="P519" s="262"/>
      <c r="Q519" s="262"/>
      <c r="R519" s="262"/>
      <c r="S519" s="262"/>
      <c r="T519" s="262"/>
      <c r="U519" s="262"/>
      <c r="V519" s="262"/>
      <c r="W519" s="262"/>
      <c r="X519" s="262"/>
      <c r="Y519" s="262"/>
      <c r="Z519" s="262"/>
      <c r="AA519" s="262"/>
      <c r="AB519" s="262"/>
    </row>
    <row r="520" spans="1:28" ht="12.75">
      <c r="A520" s="526"/>
      <c r="B520" s="527"/>
      <c r="C520" s="528"/>
      <c r="D520" s="529" t="s">
        <v>14671</v>
      </c>
      <c r="E520" s="530" t="s">
        <v>6</v>
      </c>
      <c r="F520" s="531">
        <v>144</v>
      </c>
      <c r="G520" s="532"/>
      <c r="H520" s="511"/>
      <c r="I520" s="262"/>
      <c r="J520" s="262"/>
      <c r="K520" s="262"/>
      <c r="L520" s="512"/>
      <c r="M520" s="512"/>
      <c r="N520" s="262"/>
      <c r="O520" s="262"/>
      <c r="P520" s="262"/>
      <c r="Q520" s="262"/>
      <c r="R520" s="262"/>
      <c r="S520" s="262"/>
      <c r="T520" s="262"/>
      <c r="U520" s="262"/>
      <c r="V520" s="262"/>
      <c r="W520" s="262"/>
      <c r="X520" s="262"/>
      <c r="Y520" s="262"/>
      <c r="Z520" s="262"/>
      <c r="AA520" s="262"/>
      <c r="AB520" s="262"/>
    </row>
    <row r="521" spans="1:28" ht="12.75">
      <c r="A521" s="520" t="s">
        <v>14479</v>
      </c>
      <c r="B521" s="521" t="s">
        <v>14476</v>
      </c>
      <c r="C521" s="522">
        <v>1318</v>
      </c>
      <c r="D521" s="523" t="str">
        <f>IFERROR(VLOOKUP($C521,'24.08_ND'!$A:$D,2,0),)</f>
        <v>CHAPA DE ACO FINA A QUENTE BITOLA MSG 14, E = 2,00 MM (16,0 KG/M2)</v>
      </c>
      <c r="E521" s="244" t="str">
        <f>IFERROR(VLOOKUP($C521,'24.08_ND'!$A:$D,3,0),)</f>
        <v>KG</v>
      </c>
      <c r="F521" s="444">
        <f>ROUNDUP(((F522+F523+F524)/$F$490)*1.075,4)</f>
        <v>0.50449999999999995</v>
      </c>
      <c r="G521" s="524">
        <f>IFERROR(VLOOKUP($C521,'24.08_ND'!$A:$D,4,0),)</f>
        <v>11.1</v>
      </c>
      <c r="H521" s="525">
        <f>TRUNC(($F521*$G521),2)</f>
        <v>5.59</v>
      </c>
      <c r="I521" s="262"/>
      <c r="J521" s="262"/>
      <c r="K521" s="262"/>
      <c r="L521" s="512"/>
      <c r="M521" s="512"/>
      <c r="N521" s="262"/>
      <c r="O521" s="262"/>
      <c r="P521" s="262"/>
      <c r="Q521" s="262"/>
      <c r="R521" s="262"/>
      <c r="S521" s="262"/>
      <c r="T521" s="262"/>
      <c r="U521" s="262"/>
      <c r="V521" s="262"/>
      <c r="W521" s="262"/>
      <c r="X521" s="262"/>
      <c r="Y521" s="262"/>
      <c r="Z521" s="262"/>
      <c r="AA521" s="262"/>
      <c r="AB521" s="262"/>
    </row>
    <row r="522" spans="1:28" ht="12.75">
      <c r="A522" s="526"/>
      <c r="B522" s="527"/>
      <c r="C522" s="528"/>
      <c r="D522" s="534" t="s">
        <v>14672</v>
      </c>
      <c r="E522" s="530" t="s">
        <v>54</v>
      </c>
      <c r="F522" s="533">
        <v>751.7</v>
      </c>
      <c r="G522" s="532"/>
      <c r="H522" s="511"/>
      <c r="I522" s="262"/>
      <c r="J522" s="262"/>
      <c r="K522" s="262"/>
      <c r="L522" s="512"/>
      <c r="M522" s="512"/>
      <c r="N522" s="262"/>
      <c r="O522" s="262"/>
      <c r="P522" s="262"/>
      <c r="Q522" s="262"/>
      <c r="R522" s="262"/>
      <c r="S522" s="262"/>
      <c r="T522" s="262"/>
      <c r="U522" s="262"/>
      <c r="V522" s="262"/>
      <c r="W522" s="262"/>
      <c r="X522" s="262"/>
      <c r="Y522" s="262"/>
      <c r="Z522" s="262"/>
      <c r="AA522" s="262"/>
      <c r="AB522" s="262"/>
    </row>
    <row r="523" spans="1:28" ht="12.75">
      <c r="A523" s="526"/>
      <c r="B523" s="527"/>
      <c r="C523" s="528"/>
      <c r="D523" s="534" t="s">
        <v>14673</v>
      </c>
      <c r="E523" s="530" t="s">
        <v>54</v>
      </c>
      <c r="F523" s="533">
        <v>516.82000000000005</v>
      </c>
      <c r="G523" s="532"/>
      <c r="H523" s="511"/>
      <c r="I523" s="262"/>
      <c r="J523" s="262"/>
      <c r="K523" s="262"/>
      <c r="L523" s="512"/>
      <c r="M523" s="512"/>
      <c r="N523" s="262"/>
      <c r="O523" s="262"/>
      <c r="P523" s="262"/>
      <c r="Q523" s="262"/>
      <c r="R523" s="262"/>
      <c r="S523" s="262"/>
      <c r="T523" s="262"/>
      <c r="U523" s="262"/>
      <c r="V523" s="262"/>
      <c r="W523" s="262"/>
      <c r="X523" s="262"/>
      <c r="Y523" s="262"/>
      <c r="Z523" s="262"/>
      <c r="AA523" s="262"/>
      <c r="AB523" s="262"/>
    </row>
    <row r="524" spans="1:28" ht="12.75">
      <c r="A524" s="526"/>
      <c r="B524" s="527"/>
      <c r="C524" s="528"/>
      <c r="D524" s="534" t="s">
        <v>14674</v>
      </c>
      <c r="E524" s="530" t="s">
        <v>54</v>
      </c>
      <c r="F524" s="533">
        <v>328.1</v>
      </c>
      <c r="G524" s="532"/>
      <c r="H524" s="511"/>
      <c r="I524" s="262"/>
      <c r="J524" s="262"/>
      <c r="K524" s="262"/>
      <c r="L524" s="512"/>
      <c r="M524" s="512"/>
      <c r="N524" s="262"/>
      <c r="O524" s="262"/>
      <c r="P524" s="262"/>
      <c r="Q524" s="262"/>
      <c r="R524" s="262"/>
      <c r="S524" s="262"/>
      <c r="T524" s="262"/>
      <c r="U524" s="262"/>
      <c r="V524" s="262"/>
      <c r="W524" s="262"/>
      <c r="X524" s="262"/>
      <c r="Y524" s="262"/>
      <c r="Z524" s="262"/>
      <c r="AA524" s="262"/>
      <c r="AB524" s="262"/>
    </row>
    <row r="525" spans="1:28" ht="12.75">
      <c r="A525" s="520" t="s">
        <v>14479</v>
      </c>
      <c r="B525" s="521" t="s">
        <v>14476</v>
      </c>
      <c r="C525" s="522">
        <v>1321</v>
      </c>
      <c r="D525" s="523" t="str">
        <f>IFERROR(VLOOKUP($C525,'24.08_ND'!$A:$D,2,0),)</f>
        <v>CHAPA DE ACO FINA A QUENTE BITOLA MSG 13, E = 2,25 MM (18,00 KG/M2)</v>
      </c>
      <c r="E525" s="244" t="str">
        <f>IFERROR(VLOOKUP($C525,'24.08_ND'!$A:$D,3,0),)</f>
        <v>KG</v>
      </c>
      <c r="F525" s="444">
        <f>ROUNDUP(((F526+F527)/$F$490)*1.075,4)</f>
        <v>0.1164</v>
      </c>
      <c r="G525" s="524">
        <f>IFERROR(VLOOKUP($C525,'24.08_ND'!$A:$D,4,0),)</f>
        <v>11.09</v>
      </c>
      <c r="H525" s="525">
        <f>TRUNC(($F525*$G525),2)</f>
        <v>1.29</v>
      </c>
      <c r="I525" s="262"/>
      <c r="J525" s="262"/>
      <c r="K525" s="262"/>
      <c r="L525" s="512"/>
      <c r="M525" s="512"/>
      <c r="N525" s="262"/>
      <c r="O525" s="262"/>
      <c r="P525" s="262"/>
      <c r="Q525" s="262"/>
      <c r="R525" s="262"/>
      <c r="S525" s="262"/>
      <c r="T525" s="262"/>
      <c r="U525" s="262"/>
      <c r="V525" s="262"/>
      <c r="W525" s="262"/>
      <c r="X525" s="262"/>
      <c r="Y525" s="262"/>
      <c r="Z525" s="262"/>
      <c r="AA525" s="262"/>
      <c r="AB525" s="262"/>
    </row>
    <row r="526" spans="1:28" ht="12.75">
      <c r="A526" s="526"/>
      <c r="B526" s="527"/>
      <c r="C526" s="528"/>
      <c r="D526" s="534" t="s">
        <v>14675</v>
      </c>
      <c r="E526" s="530" t="s">
        <v>54</v>
      </c>
      <c r="F526" s="531">
        <v>225.66</v>
      </c>
      <c r="G526" s="532"/>
      <c r="H526" s="511"/>
      <c r="I526" s="262"/>
      <c r="J526" s="262"/>
      <c r="K526" s="262"/>
      <c r="L526" s="512"/>
      <c r="M526" s="512"/>
      <c r="N526" s="262"/>
      <c r="O526" s="262"/>
      <c r="P526" s="262"/>
      <c r="Q526" s="262"/>
      <c r="R526" s="262"/>
      <c r="S526" s="262"/>
      <c r="T526" s="262"/>
      <c r="U526" s="262"/>
      <c r="V526" s="262"/>
      <c r="W526" s="262"/>
      <c r="X526" s="262"/>
      <c r="Y526" s="262"/>
      <c r="Z526" s="262"/>
      <c r="AA526" s="262"/>
      <c r="AB526" s="262"/>
    </row>
    <row r="527" spans="1:28" ht="12.75">
      <c r="A527" s="526"/>
      <c r="B527" s="527"/>
      <c r="C527" s="528"/>
      <c r="D527" s="534" t="s">
        <v>14676</v>
      </c>
      <c r="E527" s="530" t="s">
        <v>54</v>
      </c>
      <c r="F527" s="531">
        <v>142.6</v>
      </c>
      <c r="G527" s="532"/>
      <c r="H527" s="511"/>
      <c r="I527" s="262"/>
      <c r="J527" s="262"/>
      <c r="K527" s="262"/>
      <c r="L527" s="512"/>
      <c r="M527" s="512"/>
      <c r="N527" s="262"/>
      <c r="O527" s="262"/>
      <c r="P527" s="262"/>
      <c r="Q527" s="262"/>
      <c r="R527" s="262"/>
      <c r="S527" s="262"/>
      <c r="T527" s="262"/>
      <c r="U527" s="262"/>
      <c r="V527" s="262"/>
      <c r="W527" s="262"/>
      <c r="X527" s="262"/>
      <c r="Y527" s="262"/>
      <c r="Z527" s="262"/>
      <c r="AA527" s="262"/>
      <c r="AB527" s="262"/>
    </row>
    <row r="528" spans="1:28" ht="12.75">
      <c r="A528" s="520" t="s">
        <v>14479</v>
      </c>
      <c r="B528" s="521" t="s">
        <v>14476</v>
      </c>
      <c r="C528" s="522">
        <v>1323</v>
      </c>
      <c r="D528" s="523" t="str">
        <f>IFERROR(VLOOKUP($C528,'24.08_ND'!$A:$D,2,0),)</f>
        <v>CHAPA DE ACO FINA A QUENTE BITOLA MSG 18, E = 1,20 MM (9,60 KG/M2)</v>
      </c>
      <c r="E528" s="244" t="str">
        <f>IFERROR(VLOOKUP($C528,'24.08_ND'!$A:$D,3,0),)</f>
        <v>KG</v>
      </c>
      <c r="F528" s="444">
        <f>ROUNDUP((F529/$F$490)*1.075,4)</f>
        <v>0.21869999999999998</v>
      </c>
      <c r="G528" s="524">
        <f>IFERROR(VLOOKUP($C528,'24.08_ND'!$A:$D,4,0),)</f>
        <v>11.73</v>
      </c>
      <c r="H528" s="525">
        <f>TRUNC(($F528*$G528),2)</f>
        <v>2.56</v>
      </c>
      <c r="I528" s="262"/>
      <c r="J528" s="262"/>
      <c r="K528" s="262"/>
      <c r="L528" s="512"/>
      <c r="M528" s="512"/>
      <c r="N528" s="262"/>
      <c r="O528" s="262"/>
      <c r="P528" s="262"/>
      <c r="Q528" s="262"/>
      <c r="R528" s="262"/>
      <c r="S528" s="262"/>
      <c r="T528" s="262"/>
      <c r="U528" s="262"/>
      <c r="V528" s="262"/>
      <c r="W528" s="262"/>
      <c r="X528" s="262"/>
      <c r="Y528" s="262"/>
      <c r="Z528" s="262"/>
      <c r="AA528" s="262"/>
      <c r="AB528" s="262"/>
    </row>
    <row r="529" spans="1:31" ht="12.75">
      <c r="A529" s="526"/>
      <c r="B529" s="527"/>
      <c r="C529" s="528"/>
      <c r="D529" s="529" t="s">
        <v>14677</v>
      </c>
      <c r="E529" s="530" t="s">
        <v>54</v>
      </c>
      <c r="F529" s="533">
        <v>692.21</v>
      </c>
      <c r="G529" s="532"/>
      <c r="H529" s="511"/>
      <c r="I529" s="262"/>
      <c r="J529" s="262"/>
      <c r="K529" s="262"/>
      <c r="L529" s="512"/>
      <c r="M529" s="512"/>
      <c r="N529" s="262"/>
      <c r="O529" s="262"/>
      <c r="P529" s="262"/>
      <c r="Q529" s="262"/>
      <c r="R529" s="262"/>
      <c r="S529" s="262"/>
      <c r="T529" s="262"/>
      <c r="U529" s="262"/>
      <c r="V529" s="262"/>
      <c r="W529" s="262"/>
      <c r="X529" s="262"/>
      <c r="Y529" s="262"/>
      <c r="Z529" s="262"/>
      <c r="AA529" s="262"/>
      <c r="AB529" s="262"/>
    </row>
    <row r="530" spans="1:31" ht="25.5">
      <c r="A530" s="520" t="s">
        <v>14479</v>
      </c>
      <c r="B530" s="521" t="s">
        <v>14476</v>
      </c>
      <c r="C530" s="522">
        <v>43054</v>
      </c>
      <c r="D530" s="523" t="str">
        <f>IFERROR(VLOOKUP($C530,'24.08_ND'!$A:$D,2,0),)</f>
        <v>ACO CA-25, 10,0 MM, OU 12,5 MM, OU 16,0 MM, OU 20,0 MM, OU 25,0 MM, VERGALHAO</v>
      </c>
      <c r="E530" s="244" t="str">
        <f>IFERROR(VLOOKUP($C530,'24.08_ND'!$A:$D,3,0),)</f>
        <v>KG</v>
      </c>
      <c r="F530" s="444">
        <f>ROUNDUP(((F531+F532)/$F$490)*1.075,4)</f>
        <v>1.24E-2</v>
      </c>
      <c r="G530" s="524">
        <f>IFERROR(VLOOKUP($C530,'24.08_ND'!$A:$D,4,0),)</f>
        <v>9.08</v>
      </c>
      <c r="H530" s="525">
        <f>TRUNC(($F530*$G530),2)</f>
        <v>0.11</v>
      </c>
      <c r="I530" s="262"/>
      <c r="J530" s="262"/>
      <c r="K530" s="262"/>
      <c r="L530" s="512"/>
      <c r="M530" s="512"/>
      <c r="N530" s="262"/>
      <c r="O530" s="262"/>
      <c r="P530" s="262"/>
      <c r="Q530" s="262"/>
      <c r="R530" s="262"/>
      <c r="S530" s="262"/>
      <c r="T530" s="262"/>
      <c r="U530" s="262"/>
      <c r="V530" s="262"/>
      <c r="W530" s="262"/>
      <c r="X530" s="262"/>
      <c r="Y530" s="262"/>
      <c r="Z530" s="262"/>
      <c r="AA530" s="262"/>
      <c r="AB530" s="262"/>
    </row>
    <row r="531" spans="1:31" ht="12.75">
      <c r="A531" s="526"/>
      <c r="B531" s="527"/>
      <c r="C531" s="528"/>
      <c r="D531" s="529" t="s">
        <v>14678</v>
      </c>
      <c r="E531" s="530" t="s">
        <v>54</v>
      </c>
      <c r="F531" s="533">
        <v>12.25</v>
      </c>
      <c r="G531" s="532"/>
      <c r="H531" s="511"/>
      <c r="I531" s="262"/>
      <c r="J531" s="262"/>
      <c r="K531" s="262"/>
      <c r="L531" s="512"/>
      <c r="M531" s="512"/>
      <c r="N531" s="262"/>
      <c r="O531" s="262"/>
      <c r="P531" s="262"/>
      <c r="Q531" s="262"/>
      <c r="R531" s="262"/>
      <c r="S531" s="262"/>
      <c r="T531" s="262"/>
      <c r="U531" s="262"/>
      <c r="V531" s="262"/>
      <c r="W531" s="262"/>
      <c r="X531" s="262"/>
      <c r="Y531" s="262"/>
      <c r="Z531" s="262"/>
      <c r="AA531" s="262"/>
      <c r="AB531" s="262"/>
    </row>
    <row r="532" spans="1:31" ht="12.75">
      <c r="A532" s="526"/>
      <c r="B532" s="527"/>
      <c r="C532" s="528"/>
      <c r="D532" s="529" t="s">
        <v>14679</v>
      </c>
      <c r="E532" s="530" t="s">
        <v>54</v>
      </c>
      <c r="F532" s="533">
        <v>26.86</v>
      </c>
      <c r="G532" s="532"/>
      <c r="H532" s="511"/>
      <c r="I532" s="262"/>
      <c r="J532" s="262"/>
      <c r="K532" s="262"/>
      <c r="L532" s="512"/>
      <c r="M532" s="512"/>
      <c r="N532" s="262"/>
      <c r="O532" s="262"/>
      <c r="P532" s="262"/>
      <c r="Q532" s="262"/>
      <c r="R532" s="262"/>
      <c r="S532" s="262"/>
      <c r="T532" s="262"/>
      <c r="U532" s="262"/>
      <c r="V532" s="262"/>
      <c r="W532" s="262"/>
      <c r="X532" s="262"/>
      <c r="Y532" s="262"/>
      <c r="Z532" s="262"/>
      <c r="AA532" s="262"/>
      <c r="AB532" s="262"/>
    </row>
    <row r="533" spans="1:31" ht="12.75">
      <c r="A533" s="520" t="s">
        <v>14479</v>
      </c>
      <c r="B533" s="521" t="s">
        <v>14476</v>
      </c>
      <c r="C533" s="522">
        <v>4342</v>
      </c>
      <c r="D533" s="523" t="str">
        <f>IFERROR(VLOOKUP($C533,'24.08_ND'!$A:$D,2,0),)</f>
        <v>PORCA ZINCADA, SEXTAVADA, DIAMETRO 3/8"</v>
      </c>
      <c r="E533" s="244" t="str">
        <f>IFERROR(VLOOKUP($C533,'24.08_ND'!$A:$D,3,0),)</f>
        <v>UN</v>
      </c>
      <c r="F533" s="444">
        <f>ROUNDUP(((F534+F535)/$F$490)*1.075,4)</f>
        <v>1.52E-2</v>
      </c>
      <c r="G533" s="524">
        <f>IFERROR(VLOOKUP($C533,'24.08_ND'!$A:$D,4,0),)</f>
        <v>0.2</v>
      </c>
      <c r="H533" s="573">
        <f>$F533*$G533</f>
        <v>3.0400000000000002E-3</v>
      </c>
      <c r="I533" s="262"/>
      <c r="J533" s="262"/>
      <c r="K533" s="262"/>
      <c r="L533" s="512"/>
      <c r="M533" s="512"/>
      <c r="N533" s="262"/>
      <c r="O533" s="262"/>
      <c r="P533" s="262"/>
      <c r="Q533" s="262"/>
      <c r="R533" s="262"/>
      <c r="S533" s="262"/>
      <c r="T533" s="262"/>
      <c r="U533" s="262"/>
      <c r="V533" s="262"/>
      <c r="W533" s="262"/>
      <c r="X533" s="262"/>
      <c r="Y533" s="262"/>
      <c r="Z533" s="262"/>
      <c r="AA533" s="262"/>
      <c r="AB533" s="262"/>
    </row>
    <row r="534" spans="1:31" ht="12.75">
      <c r="A534" s="526"/>
      <c r="B534" s="527"/>
      <c r="C534" s="528"/>
      <c r="D534" s="529" t="s">
        <v>14680</v>
      </c>
      <c r="E534" s="530" t="s">
        <v>6</v>
      </c>
      <c r="F534" s="533">
        <v>16</v>
      </c>
      <c r="G534" s="532"/>
      <c r="H534" s="511"/>
      <c r="I534" s="262"/>
      <c r="J534" s="262"/>
      <c r="K534" s="262"/>
      <c r="L534" s="512"/>
      <c r="M534" s="512"/>
      <c r="N534" s="262"/>
      <c r="O534" s="262"/>
      <c r="P534" s="262"/>
      <c r="Q534" s="262"/>
      <c r="R534" s="262"/>
      <c r="S534" s="262"/>
      <c r="T534" s="262"/>
      <c r="U534" s="262"/>
      <c r="V534" s="262"/>
      <c r="W534" s="262"/>
      <c r="X534" s="262"/>
      <c r="Y534" s="262"/>
      <c r="Z534" s="262"/>
      <c r="AA534" s="262"/>
      <c r="AB534" s="262"/>
    </row>
    <row r="535" spans="1:31" ht="12.75">
      <c r="A535" s="526"/>
      <c r="B535" s="527"/>
      <c r="C535" s="528"/>
      <c r="D535" s="529" t="s">
        <v>14681</v>
      </c>
      <c r="E535" s="530" t="s">
        <v>6</v>
      </c>
      <c r="F535" s="533">
        <v>32</v>
      </c>
      <c r="G535" s="532"/>
      <c r="H535" s="511"/>
      <c r="I535" s="262"/>
      <c r="J535" s="262"/>
      <c r="K535" s="262"/>
      <c r="L535" s="512"/>
      <c r="M535" s="512"/>
      <c r="N535" s="262"/>
      <c r="O535" s="262"/>
      <c r="P535" s="262"/>
      <c r="Q535" s="262"/>
      <c r="R535" s="262"/>
      <c r="S535" s="262"/>
      <c r="T535" s="262"/>
      <c r="U535" s="262"/>
      <c r="V535" s="262"/>
      <c r="W535" s="262"/>
      <c r="X535" s="262"/>
      <c r="Y535" s="262"/>
      <c r="Z535" s="262"/>
      <c r="AA535" s="262"/>
      <c r="AB535" s="262"/>
    </row>
    <row r="536" spans="1:31" ht="12.75">
      <c r="A536" s="520" t="s">
        <v>14479</v>
      </c>
      <c r="B536" s="521" t="s">
        <v>14476</v>
      </c>
      <c r="C536" s="522">
        <v>1330</v>
      </c>
      <c r="D536" s="523" t="str">
        <f>IFERROR(VLOOKUP($C536,'24.08_ND'!$A:$D,2,0),)</f>
        <v>CHAPA DE ACO GROSSA, ASTM A36, E = 1/4" (6,35 MM) 49,79 KG/M2</v>
      </c>
      <c r="E536" s="244" t="str">
        <f>IFERROR(VLOOKUP($C536,'24.08_ND'!$A:$D,3,0),)</f>
        <v>KG</v>
      </c>
      <c r="F536" s="444">
        <f>ROUNDUP((F537/$F$490)*1.075,4)</f>
        <v>7.6E-3</v>
      </c>
      <c r="G536" s="524">
        <f>IFERROR(VLOOKUP($C536,'24.08_ND'!$A:$D,4,0),)</f>
        <v>10.67</v>
      </c>
      <c r="H536" s="525">
        <f>TRUNC(($F536*$G536),2)</f>
        <v>0.08</v>
      </c>
      <c r="I536" s="262"/>
      <c r="J536" s="262"/>
      <c r="K536" s="262"/>
      <c r="L536" s="512"/>
      <c r="M536" s="512"/>
      <c r="N536" s="262"/>
      <c r="O536" s="262"/>
      <c r="P536" s="262"/>
      <c r="Q536" s="262"/>
      <c r="R536" s="262"/>
      <c r="S536" s="262"/>
      <c r="T536" s="262"/>
      <c r="U536" s="262"/>
      <c r="V536" s="262"/>
      <c r="W536" s="262"/>
      <c r="X536" s="262"/>
      <c r="Y536" s="262"/>
      <c r="Z536" s="262"/>
      <c r="AA536" s="262"/>
      <c r="AB536" s="262"/>
    </row>
    <row r="537" spans="1:31" ht="12.75">
      <c r="A537" s="526"/>
      <c r="B537" s="527"/>
      <c r="C537" s="528"/>
      <c r="D537" s="529" t="s">
        <v>14682</v>
      </c>
      <c r="E537" s="530" t="s">
        <v>54</v>
      </c>
      <c r="F537" s="531">
        <v>23.9</v>
      </c>
      <c r="G537" s="532"/>
      <c r="H537" s="511"/>
      <c r="I537" s="262"/>
      <c r="J537" s="262"/>
      <c r="K537" s="262"/>
      <c r="L537" s="512"/>
      <c r="M537" s="512"/>
      <c r="N537" s="262"/>
      <c r="O537" s="262"/>
      <c r="P537" s="262"/>
      <c r="Q537" s="262"/>
      <c r="R537" s="262"/>
      <c r="S537" s="262"/>
      <c r="T537" s="262"/>
      <c r="U537" s="262"/>
      <c r="V537" s="262"/>
      <c r="W537" s="262"/>
      <c r="X537" s="262"/>
      <c r="Y537" s="262"/>
      <c r="Z537" s="262"/>
      <c r="AA537" s="262"/>
      <c r="AB537" s="262"/>
    </row>
    <row r="538" spans="1:31" ht="38.25">
      <c r="A538" s="513" t="s">
        <v>14478</v>
      </c>
      <c r="B538" s="550" t="s">
        <v>14476</v>
      </c>
      <c r="C538" s="551">
        <v>100721</v>
      </c>
      <c r="D538" s="515" t="str">
        <f>IFERROR(VLOOKUP($C538,'24.08_ND'!$A:$D,2,0),)</f>
        <v>PINTURA COM TINTA ALQUÍDICA DE FUNDO (TIPO ZARCÃO) PULVERIZADA SOBRE SUPERFÍCIES METÁLICAS (EXCETO PERFIL) EXECUTADO EM OBRA (POR DEMÃO). AF_01/2020_PE</v>
      </c>
      <c r="E538" s="516" t="str">
        <f>IFERROR(VLOOKUP($C538,'24.08_ND'!$A:$D,3,0),)</f>
        <v>M2</v>
      </c>
      <c r="F538" s="552">
        <f>ROUNDUP((272.15/$F$490)*1.075,4)</f>
        <v>8.6000000000000007E-2</v>
      </c>
      <c r="G538" s="518">
        <f>IFERROR(VLOOKUP($C538,'24.08_ND'!$A:$D,4,0),)</f>
        <v>20.97</v>
      </c>
      <c r="H538" s="519">
        <f>TRUNC(($F538*$G538),2)</f>
        <v>1.8</v>
      </c>
      <c r="I538" s="262"/>
      <c r="J538" s="262"/>
      <c r="K538" s="262"/>
      <c r="L538" s="512"/>
      <c r="M538" s="512"/>
      <c r="N538" s="262"/>
      <c r="O538" s="262"/>
      <c r="P538" s="262"/>
      <c r="Q538" s="262"/>
      <c r="R538" s="262"/>
      <c r="S538" s="262"/>
      <c r="T538" s="262"/>
      <c r="U538" s="262"/>
      <c r="V538" s="262"/>
      <c r="W538" s="262"/>
      <c r="X538" s="262"/>
      <c r="Y538" s="262"/>
      <c r="Z538" s="262"/>
      <c r="AA538" s="262"/>
      <c r="AB538" s="262"/>
      <c r="AD538" s="1791" t="e">
        <f>VLOOKUP(C538,'Medição '!$B$16:$F$1833,6,0)</f>
        <v>#REF!</v>
      </c>
      <c r="AE538" s="1791"/>
    </row>
    <row r="539" spans="1:31" ht="38.25">
      <c r="A539" s="513" t="s">
        <v>14478</v>
      </c>
      <c r="B539" s="550" t="s">
        <v>14476</v>
      </c>
      <c r="C539" s="551">
        <v>100761</v>
      </c>
      <c r="D539" s="515" t="str">
        <f>IFERROR(VLOOKUP($C539,'24.08_ND'!$A:$D,2,0),)</f>
        <v>PINTURA COM TINTA ALQUÍDICA DE ACABAMENTO (ESMALTE SINTÉTICO FOSCO) PULVERIZADA SOBRE SUPERFÍCIES METÁLICAS (EXCETO PERFIL) EXECUTADO EM OBRA (02 DEMÃOS). AF_01/2020_PE</v>
      </c>
      <c r="E539" s="516" t="str">
        <f>IFERROR(VLOOKUP($C539,'24.08_ND'!$A:$D,3,0),)</f>
        <v>M2</v>
      </c>
      <c r="F539" s="552">
        <f>ROUNDUP((272.15/$F$490)*1.075,4)</f>
        <v>8.6000000000000007E-2</v>
      </c>
      <c r="G539" s="518">
        <f>IFERROR(VLOOKUP($C539,'24.08_ND'!$A:$D,4,0),)</f>
        <v>41.11</v>
      </c>
      <c r="H539" s="519">
        <f>TRUNC(($F539*$G539),2)</f>
        <v>3.53</v>
      </c>
      <c r="I539" s="262"/>
      <c r="J539" s="262"/>
      <c r="K539" s="262"/>
      <c r="L539" s="512"/>
      <c r="M539" s="512"/>
      <c r="N539" s="262"/>
      <c r="O539" s="262"/>
      <c r="P539" s="262"/>
      <c r="Q539" s="262"/>
      <c r="R539" s="262"/>
      <c r="S539" s="262"/>
      <c r="T539" s="262"/>
      <c r="U539" s="262"/>
      <c r="V539" s="262"/>
      <c r="W539" s="262"/>
      <c r="X539" s="262"/>
      <c r="Y539" s="262"/>
      <c r="Z539" s="262"/>
      <c r="AA539" s="262"/>
      <c r="AB539" s="262"/>
      <c r="AD539" s="1791" t="e">
        <f>VLOOKUP(C539,'Medição '!$B$16:$F$1833,6,0)</f>
        <v>#REF!</v>
      </c>
      <c r="AE539" s="1791"/>
    </row>
    <row r="540" spans="1:31" ht="25.5">
      <c r="A540" s="376" t="s">
        <v>14478</v>
      </c>
      <c r="B540" s="312" t="str">
        <f>VLOOKUP($C540,'• CIs EXT'!$A:$E,2,0)</f>
        <v>SICRO</v>
      </c>
      <c r="C540" s="377">
        <v>5605942</v>
      </c>
      <c r="D540" s="378" t="str">
        <f>VLOOKUP($C540,'• CIs EXT'!$A:$E,3,0)</f>
        <v>PINTURA ELETROSTÁTICA COM TINTA EM PÓ À BASE DE RESINA EPÓXI - E = 200 ?M</v>
      </c>
      <c r="E540" s="379" t="str">
        <f>VLOOKUP($C540,'• CIs EXT'!$A:$E,4,0)</f>
        <v>M2</v>
      </c>
      <c r="F540" s="548">
        <f>ROUNDUP((144.21/$F$490)*1.075,4)</f>
        <v>4.5600000000000002E-2</v>
      </c>
      <c r="G540" s="379">
        <f>VLOOKUP($C540,'• CIs EXT'!$A:$E,5,0)</f>
        <v>45.1</v>
      </c>
      <c r="H540" s="381">
        <f>TRUNC(($F540*$G540),2)</f>
        <v>2.0499999999999998</v>
      </c>
      <c r="I540" s="262"/>
      <c r="J540" s="262"/>
      <c r="K540" s="262"/>
      <c r="L540" s="262"/>
      <c r="M540" s="262"/>
      <c r="N540" s="262"/>
      <c r="O540" s="262"/>
      <c r="P540" s="262"/>
      <c r="Q540" s="262"/>
      <c r="R540" s="262"/>
      <c r="S540" s="262"/>
      <c r="T540" s="262"/>
      <c r="U540" s="262"/>
      <c r="V540" s="262"/>
      <c r="W540" s="262"/>
      <c r="X540" s="262"/>
      <c r="Y540" s="262"/>
      <c r="Z540" s="262"/>
      <c r="AA540" s="262"/>
      <c r="AB540" s="262"/>
    </row>
    <row r="541" spans="1:31" ht="25.5">
      <c r="A541" s="376" t="s">
        <v>14478</v>
      </c>
      <c r="B541" s="312" t="str">
        <f>VLOOKUP($C541,'• CIs EXT'!$A:$E,2,0)</f>
        <v>SETOP</v>
      </c>
      <c r="C541" s="377" t="s">
        <v>14619</v>
      </c>
      <c r="D541" s="378" t="str">
        <f>VLOOKUP($C541,'• CIs EXT'!$A:$E,3,0)</f>
        <v>SERVIÇO DE CORTE E DOBRA EM CHAPA DE AÇO, EXCLUSIVE FORNECIMENTO</v>
      </c>
      <c r="E541" s="379" t="str">
        <f>VLOOKUP($C541,'• CIs EXT'!$A:$E,4,0)</f>
        <v>KG</v>
      </c>
      <c r="F541" s="548">
        <v>1</v>
      </c>
      <c r="G541" s="379">
        <f>VLOOKUP($C541,'• CIs EXT'!$A:$E,5,0)</f>
        <v>2.88</v>
      </c>
      <c r="H541" s="381">
        <f>TRUNC(($F541*$G541),2)</f>
        <v>2.88</v>
      </c>
      <c r="I541" s="262"/>
      <c r="J541" s="262"/>
      <c r="K541" s="262"/>
      <c r="L541" s="262"/>
      <c r="M541" s="262"/>
      <c r="N541" s="262"/>
      <c r="O541" s="262"/>
      <c r="P541" s="262"/>
      <c r="Q541" s="262"/>
      <c r="R541" s="262"/>
      <c r="S541" s="262"/>
      <c r="T541" s="262"/>
      <c r="U541" s="262"/>
      <c r="V541" s="262"/>
      <c r="W541" s="262"/>
      <c r="X541" s="262"/>
      <c r="Y541" s="262"/>
      <c r="Z541" s="262"/>
      <c r="AA541" s="262"/>
      <c r="AB541" s="262"/>
    </row>
    <row r="542" spans="1:31" ht="12.75">
      <c r="A542" s="566"/>
      <c r="B542" s="567"/>
      <c r="C542" s="568"/>
      <c r="D542" s="569"/>
      <c r="E542" s="567"/>
      <c r="F542" s="306"/>
      <c r="G542" s="570"/>
      <c r="H542" s="571"/>
      <c r="I542" s="368"/>
      <c r="J542" s="368"/>
      <c r="K542" s="368"/>
      <c r="L542" s="368"/>
      <c r="M542" s="368"/>
      <c r="N542" s="368"/>
      <c r="O542" s="368"/>
      <c r="P542" s="368"/>
      <c r="Q542" s="368"/>
      <c r="R542" s="368"/>
      <c r="S542" s="368"/>
      <c r="T542" s="368"/>
      <c r="U542" s="368"/>
      <c r="V542" s="368"/>
      <c r="W542" s="368"/>
      <c r="X542" s="368"/>
      <c r="Y542" s="368"/>
      <c r="Z542" s="368"/>
      <c r="AA542" s="368"/>
      <c r="AB542" s="368"/>
    </row>
    <row r="543" spans="1:31" ht="38.25">
      <c r="A543" s="497" t="s">
        <v>14471</v>
      </c>
      <c r="B543" s="498" t="s">
        <v>14472</v>
      </c>
      <c r="C543" s="499" t="s">
        <v>14683</v>
      </c>
      <c r="D543" s="500" t="s">
        <v>14684</v>
      </c>
      <c r="E543" s="501" t="s">
        <v>54</v>
      </c>
      <c r="F543" s="501">
        <f>SUM(F552:F558,F560:F562,F564,F566:F567,F569,F571:F580,F588:F590,F592:F595)</f>
        <v>4384.0099999999984</v>
      </c>
      <c r="G543" s="502"/>
      <c r="H543" s="503">
        <f>TRUNC(SUM(H545:H610),2)</f>
        <v>21.48</v>
      </c>
      <c r="I543" s="276">
        <f>COUNTIF($C$8:$C543,C:C)</f>
        <v>1</v>
      </c>
      <c r="J543" s="504"/>
      <c r="K543" s="504"/>
      <c r="L543" s="505"/>
      <c r="M543" s="505"/>
      <c r="N543" s="504"/>
      <c r="O543" s="504"/>
      <c r="P543" s="504"/>
      <c r="Q543" s="504"/>
      <c r="R543" s="504"/>
      <c r="S543" s="504"/>
      <c r="T543" s="504"/>
      <c r="U543" s="504"/>
      <c r="V543" s="504"/>
      <c r="W543" s="504"/>
      <c r="X543" s="504"/>
      <c r="Y543" s="504"/>
      <c r="Z543" s="504"/>
      <c r="AA543" s="504"/>
      <c r="AB543" s="504"/>
    </row>
    <row r="544" spans="1:31" ht="12.75">
      <c r="A544" s="506" t="s">
        <v>14475</v>
      </c>
      <c r="B544" s="507" t="s">
        <v>14476</v>
      </c>
      <c r="C544" s="404">
        <v>100773</v>
      </c>
      <c r="D544" s="367" t="s">
        <v>14587</v>
      </c>
      <c r="E544" s="508"/>
      <c r="F544" s="509"/>
      <c r="G544" s="510"/>
      <c r="H544" s="511"/>
      <c r="I544" s="262"/>
      <c r="J544" s="262"/>
      <c r="K544" s="262"/>
      <c r="L544" s="512"/>
      <c r="M544" s="512"/>
      <c r="N544" s="262"/>
      <c r="O544" s="262"/>
      <c r="P544" s="262"/>
      <c r="Q544" s="262"/>
      <c r="R544" s="262"/>
      <c r="S544" s="262"/>
      <c r="T544" s="262"/>
      <c r="U544" s="262"/>
      <c r="V544" s="262"/>
      <c r="W544" s="262"/>
      <c r="X544" s="262"/>
      <c r="Y544" s="262"/>
      <c r="Z544" s="262"/>
      <c r="AA544" s="262"/>
      <c r="AB544" s="262"/>
    </row>
    <row r="545" spans="1:31" ht="25.5">
      <c r="A545" s="513" t="s">
        <v>14478</v>
      </c>
      <c r="B545" s="514" t="s">
        <v>14476</v>
      </c>
      <c r="C545" s="432">
        <v>88240</v>
      </c>
      <c r="D545" s="515" t="str">
        <f>IFERROR(VLOOKUP($C545,'24.08_ND'!$A:$D,2,0),)</f>
        <v>AJUDANTE DE ESTRUTURA METÁLICA COM ENCARGOS COMPLEMENTARES</v>
      </c>
      <c r="E545" s="516" t="str">
        <f>IFERROR(VLOOKUP($C545,'24.08_ND'!$A:$D,3,0),)</f>
        <v>H</v>
      </c>
      <c r="F545" s="517">
        <v>4.0000000000000001E-3</v>
      </c>
      <c r="G545" s="518">
        <f>IFERROR(VLOOKUP($C545,'24.08_ND'!$A:$D,4,0),)</f>
        <v>18.5</v>
      </c>
      <c r="H545" s="519">
        <f t="shared" ref="H545:H551" si="25">TRUNC(($F545*$G545),2)</f>
        <v>7.0000000000000007E-2</v>
      </c>
      <c r="I545" s="262"/>
      <c r="J545" s="262"/>
      <c r="K545" s="262"/>
      <c r="L545" s="512"/>
      <c r="M545" s="512"/>
      <c r="N545" s="262"/>
      <c r="O545" s="262"/>
      <c r="P545" s="262"/>
      <c r="Q545" s="262"/>
      <c r="R545" s="262"/>
      <c r="S545" s="262"/>
      <c r="T545" s="262"/>
      <c r="U545" s="262"/>
      <c r="V545" s="262"/>
      <c r="W545" s="262"/>
      <c r="X545" s="262"/>
      <c r="Y545" s="262"/>
      <c r="Z545" s="262"/>
      <c r="AA545" s="262"/>
      <c r="AB545" s="262"/>
      <c r="AD545" s="1791" t="e">
        <f>VLOOKUP(C545,'Medição '!$B$16:$F$1833,6,0)</f>
        <v>#N/A</v>
      </c>
      <c r="AE545" s="1791"/>
    </row>
    <row r="546" spans="1:31" ht="25.5">
      <c r="A546" s="513" t="s">
        <v>14478</v>
      </c>
      <c r="B546" s="514" t="s">
        <v>14476</v>
      </c>
      <c r="C546" s="432">
        <v>88278</v>
      </c>
      <c r="D546" s="515" t="str">
        <f>IFERROR(VLOOKUP($C546,'24.08_ND'!$A:$D,2,0),)</f>
        <v>MONTADOR DE ESTRUTURA METÁLICA COM ENCARGOS COMPLEMENTARES</v>
      </c>
      <c r="E546" s="516" t="str">
        <f>IFERROR(VLOOKUP($C546,'24.08_ND'!$A:$D,3,0),)</f>
        <v>H</v>
      </c>
      <c r="F546" s="517">
        <v>8.9999999999999993E-3</v>
      </c>
      <c r="G546" s="518">
        <f>IFERROR(VLOOKUP($C546,'24.08_ND'!$A:$D,4,0),)</f>
        <v>20.440000000000001</v>
      </c>
      <c r="H546" s="519">
        <f t="shared" si="25"/>
        <v>0.18</v>
      </c>
      <c r="I546" s="262"/>
      <c r="J546" s="262"/>
      <c r="K546" s="262"/>
      <c r="L546" s="512"/>
      <c r="M546" s="512"/>
      <c r="N546" s="262"/>
      <c r="O546" s="262"/>
      <c r="P546" s="262"/>
      <c r="Q546" s="262"/>
      <c r="R546" s="262"/>
      <c r="S546" s="262"/>
      <c r="T546" s="262"/>
      <c r="U546" s="262"/>
      <c r="V546" s="262"/>
      <c r="W546" s="262"/>
      <c r="X546" s="262"/>
      <c r="Y546" s="262"/>
      <c r="Z546" s="262"/>
      <c r="AA546" s="262"/>
      <c r="AB546" s="262"/>
      <c r="AD546" s="1791" t="e">
        <f>VLOOKUP(C546,'Medição '!$B$16:$F$1833,6,0)</f>
        <v>#N/A</v>
      </c>
      <c r="AE546" s="1791"/>
    </row>
    <row r="547" spans="1:31" ht="25.5">
      <c r="A547" s="513" t="s">
        <v>14478</v>
      </c>
      <c r="B547" s="514" t="s">
        <v>14476</v>
      </c>
      <c r="C547" s="432">
        <v>88251</v>
      </c>
      <c r="D547" s="515" t="str">
        <f>IFERROR(VLOOKUP($C547,'24.08_ND'!$A:$D,2,0),)</f>
        <v>AUXILIAR DE SERRALHEIRO COM ENCARGOS COMPLEMENTARES</v>
      </c>
      <c r="E547" s="516" t="str">
        <f>IFERROR(VLOOKUP($C547,'24.08_ND'!$A:$D,3,0),)</f>
        <v>H</v>
      </c>
      <c r="F547" s="517">
        <v>5.0000000000000001E-3</v>
      </c>
      <c r="G547" s="518">
        <f>IFERROR(VLOOKUP($C547,'24.08_ND'!$A:$D,4,0),)</f>
        <v>19.579999999999998</v>
      </c>
      <c r="H547" s="519">
        <f t="shared" si="25"/>
        <v>0.09</v>
      </c>
      <c r="I547" s="262"/>
      <c r="J547" s="262"/>
      <c r="K547" s="262"/>
      <c r="L547" s="512"/>
      <c r="M547" s="512"/>
      <c r="N547" s="262"/>
      <c r="O547" s="262"/>
      <c r="P547" s="262"/>
      <c r="Q547" s="262"/>
      <c r="R547" s="262"/>
      <c r="S547" s="262"/>
      <c r="T547" s="262"/>
      <c r="U547" s="262"/>
      <c r="V547" s="262"/>
      <c r="W547" s="262"/>
      <c r="X547" s="262"/>
      <c r="Y547" s="262"/>
      <c r="Z547" s="262"/>
      <c r="AA547" s="262"/>
      <c r="AB547" s="262"/>
      <c r="AD547" s="1791" t="e">
        <f>VLOOKUP(C547,'Medição '!$B$16:$F$1833,6,0)</f>
        <v>#N/A</v>
      </c>
      <c r="AE547" s="1791"/>
    </row>
    <row r="548" spans="1:31" ht="25.5">
      <c r="A548" s="513" t="s">
        <v>14478</v>
      </c>
      <c r="B548" s="514" t="s">
        <v>14476</v>
      </c>
      <c r="C548" s="432">
        <v>88315</v>
      </c>
      <c r="D548" s="515" t="str">
        <f>IFERROR(VLOOKUP($C548,'24.08_ND'!$A:$D,2,0),)</f>
        <v>SERRALHEIRO COM ENCARGOS COMPLEMENTARES</v>
      </c>
      <c r="E548" s="516" t="str">
        <f>IFERROR(VLOOKUP($C548,'24.08_ND'!$A:$D,3,0),)</f>
        <v>H</v>
      </c>
      <c r="F548" s="517">
        <v>0.01</v>
      </c>
      <c r="G548" s="518">
        <f>IFERROR(VLOOKUP($C548,'24.08_ND'!$A:$D,4,0),)</f>
        <v>23.13</v>
      </c>
      <c r="H548" s="519">
        <f t="shared" si="25"/>
        <v>0.23</v>
      </c>
      <c r="I548" s="262"/>
      <c r="J548" s="262"/>
      <c r="K548" s="262"/>
      <c r="L548" s="512"/>
      <c r="M548" s="512"/>
      <c r="N548" s="262"/>
      <c r="O548" s="262"/>
      <c r="P548" s="262"/>
      <c r="Q548" s="262"/>
      <c r="R548" s="262"/>
      <c r="S548" s="262"/>
      <c r="T548" s="262"/>
      <c r="U548" s="262"/>
      <c r="V548" s="262"/>
      <c r="W548" s="262"/>
      <c r="X548" s="262"/>
      <c r="Y548" s="262"/>
      <c r="Z548" s="262"/>
      <c r="AA548" s="262"/>
      <c r="AB548" s="262"/>
      <c r="AD548" s="1791" t="e">
        <f>VLOOKUP(C548,'Medição '!$B$16:$F$1833,6,0)</f>
        <v>#N/A</v>
      </c>
      <c r="AE548" s="1791"/>
    </row>
    <row r="549" spans="1:31" ht="25.5">
      <c r="A549" s="513" t="s">
        <v>14478</v>
      </c>
      <c r="B549" s="514" t="s">
        <v>14476</v>
      </c>
      <c r="C549" s="432">
        <v>88317</v>
      </c>
      <c r="D549" s="515" t="str">
        <f>IFERROR(VLOOKUP($C549,'24.08_ND'!$A:$D,2,0),)</f>
        <v>SOLDADOR COM ENCARGOS COMPLEMENTARES</v>
      </c>
      <c r="E549" s="516" t="str">
        <f>IFERROR(VLOOKUP($C549,'24.08_ND'!$A:$D,3,0),)</f>
        <v>H</v>
      </c>
      <c r="F549" s="517">
        <v>0.01</v>
      </c>
      <c r="G549" s="518">
        <f>IFERROR(VLOOKUP($C549,'24.08_ND'!$A:$D,4,0),)</f>
        <v>24.01</v>
      </c>
      <c r="H549" s="519">
        <f t="shared" si="25"/>
        <v>0.24</v>
      </c>
      <c r="I549" s="262"/>
      <c r="J549" s="262"/>
      <c r="K549" s="262"/>
      <c r="L549" s="512"/>
      <c r="M549" s="512"/>
      <c r="N549" s="262"/>
      <c r="O549" s="262"/>
      <c r="P549" s="262"/>
      <c r="Q549" s="262"/>
      <c r="R549" s="262"/>
      <c r="S549" s="262"/>
      <c r="T549" s="262"/>
      <c r="U549" s="262"/>
      <c r="V549" s="262"/>
      <c r="W549" s="262"/>
      <c r="X549" s="262"/>
      <c r="Y549" s="262"/>
      <c r="Z549" s="262"/>
      <c r="AA549" s="262"/>
      <c r="AB549" s="262"/>
      <c r="AD549" s="1791" t="e">
        <f>VLOOKUP(C549,'Medição '!$B$16:$F$1833,6,0)</f>
        <v>#N/A</v>
      </c>
      <c r="AE549" s="1791"/>
    </row>
    <row r="550" spans="1:31" ht="12.75">
      <c r="A550" s="520" t="s">
        <v>14479</v>
      </c>
      <c r="B550" s="521" t="s">
        <v>14476</v>
      </c>
      <c r="C550" s="522">
        <v>10997</v>
      </c>
      <c r="D550" s="523" t="str">
        <f>IFERROR(VLOOKUP($C550,'24.08_ND'!$A:$D,2,0),)</f>
        <v>ELETRODO REVESTIDO AWS - E7018, DIAMETRO IGUAL A 4,00 MM</v>
      </c>
      <c r="E550" s="244" t="str">
        <f>IFERROR(VLOOKUP($C550,'24.08_ND'!$A:$D,3,0),)</f>
        <v>KG</v>
      </c>
      <c r="F550" s="444">
        <v>4.0000000000000001E-3</v>
      </c>
      <c r="G550" s="524">
        <f>IFERROR(VLOOKUP($C550,'24.08_ND'!$A:$D,4,0),)</f>
        <v>32.6</v>
      </c>
      <c r="H550" s="525">
        <f t="shared" si="25"/>
        <v>0.13</v>
      </c>
      <c r="I550" s="262"/>
      <c r="J550" s="262"/>
      <c r="K550" s="262"/>
      <c r="L550" s="512"/>
      <c r="M550" s="512"/>
      <c r="N550" s="262"/>
      <c r="O550" s="262"/>
      <c r="P550" s="262"/>
      <c r="Q550" s="262"/>
      <c r="R550" s="262"/>
      <c r="S550" s="262"/>
      <c r="T550" s="262"/>
      <c r="U550" s="262"/>
      <c r="V550" s="262"/>
      <c r="W550" s="262"/>
      <c r="X550" s="262"/>
      <c r="Y550" s="262"/>
      <c r="Z550" s="262"/>
      <c r="AA550" s="262"/>
      <c r="AB550" s="262"/>
    </row>
    <row r="551" spans="1:31" ht="12.75">
      <c r="A551" s="535" t="s">
        <v>14479</v>
      </c>
      <c r="B551" s="536" t="s">
        <v>14476</v>
      </c>
      <c r="C551" s="537">
        <v>1318</v>
      </c>
      <c r="D551" s="538" t="str">
        <f>IFERROR(VLOOKUP($C551,'24.08_ND'!$A:$D,2,0),)</f>
        <v>CHAPA DE ACO FINA A QUENTE BITOLA MSG 14, E = 2,00 MM (16,0 KG/M2)</v>
      </c>
      <c r="E551" s="539" t="str">
        <f>IFERROR(VLOOKUP($C551,'24.08_ND'!$A:$D,3,0),)</f>
        <v>KG</v>
      </c>
      <c r="F551" s="574">
        <f>ROUNDUP(((F552+F553+F554+F555+F556+F557+F558)/$F$543)*1.075,4)</f>
        <v>0.42909999999999998</v>
      </c>
      <c r="G551" s="540">
        <f>IFERROR(VLOOKUP($C551,'24.08_ND'!$A:$D,4,0),)</f>
        <v>11.1</v>
      </c>
      <c r="H551" s="541">
        <f t="shared" si="25"/>
        <v>4.76</v>
      </c>
      <c r="I551" s="368"/>
      <c r="J551" s="368"/>
      <c r="K551" s="368"/>
      <c r="L551" s="368"/>
      <c r="M551" s="368"/>
      <c r="N551" s="368"/>
      <c r="O551" s="368"/>
      <c r="P551" s="368"/>
      <c r="Q551" s="368"/>
      <c r="R551" s="368"/>
      <c r="S551" s="368"/>
      <c r="T551" s="368"/>
      <c r="U551" s="368"/>
      <c r="V551" s="368"/>
      <c r="W551" s="368"/>
      <c r="X551" s="368"/>
      <c r="Y551" s="368"/>
      <c r="Z551" s="368"/>
      <c r="AA551" s="368"/>
      <c r="AB551" s="368"/>
    </row>
    <row r="552" spans="1:31" ht="12.75">
      <c r="A552" s="542"/>
      <c r="B552" s="543"/>
      <c r="C552" s="427"/>
      <c r="D552" s="544" t="s">
        <v>14685</v>
      </c>
      <c r="E552" s="545" t="s">
        <v>54</v>
      </c>
      <c r="F552" s="546">
        <v>652.36</v>
      </c>
      <c r="G552" s="547"/>
      <c r="H552" s="430"/>
      <c r="I552" s="368"/>
      <c r="J552" s="368"/>
      <c r="K552" s="368"/>
      <c r="L552" s="368"/>
      <c r="M552" s="368"/>
      <c r="N552" s="368"/>
      <c r="O552" s="368"/>
      <c r="P552" s="368"/>
      <c r="Q552" s="368"/>
      <c r="R552" s="368"/>
      <c r="S552" s="368"/>
      <c r="T552" s="368"/>
      <c r="U552" s="368"/>
      <c r="V552" s="368"/>
      <c r="W552" s="368"/>
      <c r="X552" s="368"/>
      <c r="Y552" s="368"/>
      <c r="Z552" s="368"/>
      <c r="AA552" s="368"/>
      <c r="AB552" s="368"/>
    </row>
    <row r="553" spans="1:31" ht="12.75">
      <c r="A553" s="542"/>
      <c r="B553" s="543"/>
      <c r="C553" s="427"/>
      <c r="D553" s="544" t="s">
        <v>14686</v>
      </c>
      <c r="E553" s="545" t="s">
        <v>54</v>
      </c>
      <c r="F553" s="546">
        <v>271.88</v>
      </c>
      <c r="G553" s="547"/>
      <c r="H553" s="430"/>
      <c r="I553" s="368"/>
      <c r="J553" s="368"/>
      <c r="K553" s="368"/>
      <c r="L553" s="368"/>
      <c r="M553" s="368"/>
      <c r="N553" s="368"/>
      <c r="O553" s="368"/>
      <c r="P553" s="368"/>
      <c r="Q553" s="368"/>
      <c r="R553" s="368"/>
      <c r="S553" s="368"/>
      <c r="T553" s="368"/>
      <c r="U553" s="368"/>
      <c r="V553" s="368"/>
      <c r="W553" s="368"/>
      <c r="X553" s="368"/>
      <c r="Y553" s="368"/>
      <c r="Z553" s="368"/>
      <c r="AA553" s="368"/>
      <c r="AB553" s="368"/>
    </row>
    <row r="554" spans="1:31" ht="12.75">
      <c r="A554" s="542"/>
      <c r="B554" s="543"/>
      <c r="C554" s="427"/>
      <c r="D554" s="544" t="s">
        <v>14687</v>
      </c>
      <c r="E554" s="545" t="s">
        <v>54</v>
      </c>
      <c r="F554" s="546">
        <v>22.28</v>
      </c>
      <c r="G554" s="547"/>
      <c r="H554" s="430"/>
      <c r="I554" s="368"/>
      <c r="J554" s="368"/>
      <c r="K554" s="368"/>
      <c r="L554" s="368"/>
      <c r="M554" s="368"/>
      <c r="N554" s="368"/>
      <c r="O554" s="368"/>
      <c r="P554" s="368"/>
      <c r="Q554" s="368"/>
      <c r="R554" s="368"/>
      <c r="S554" s="368"/>
      <c r="T554" s="368"/>
      <c r="U554" s="368"/>
      <c r="V554" s="368"/>
      <c r="W554" s="368"/>
      <c r="X554" s="368"/>
      <c r="Y554" s="368"/>
      <c r="Z554" s="368"/>
      <c r="AA554" s="368"/>
      <c r="AB554" s="368"/>
    </row>
    <row r="555" spans="1:31" ht="12.75">
      <c r="A555" s="542"/>
      <c r="B555" s="543"/>
      <c r="C555" s="427"/>
      <c r="D555" s="544" t="s">
        <v>14688</v>
      </c>
      <c r="E555" s="545" t="s">
        <v>54</v>
      </c>
      <c r="F555" s="546">
        <v>237.66</v>
      </c>
      <c r="G555" s="547"/>
      <c r="H555" s="430"/>
      <c r="I555" s="368"/>
      <c r="J555" s="368"/>
      <c r="K555" s="368"/>
      <c r="L555" s="368"/>
      <c r="M555" s="368"/>
      <c r="N555" s="368"/>
      <c r="O555" s="368"/>
      <c r="P555" s="368"/>
      <c r="Q555" s="368"/>
      <c r="R555" s="368"/>
      <c r="S555" s="368"/>
      <c r="T555" s="368"/>
      <c r="U555" s="368"/>
      <c r="V555" s="368"/>
      <c r="W555" s="368"/>
      <c r="X555" s="368"/>
      <c r="Y555" s="368"/>
      <c r="Z555" s="368"/>
      <c r="AA555" s="368"/>
      <c r="AB555" s="368"/>
    </row>
    <row r="556" spans="1:31" ht="12.75">
      <c r="A556" s="542"/>
      <c r="B556" s="543"/>
      <c r="C556" s="427"/>
      <c r="D556" s="544" t="s">
        <v>14689</v>
      </c>
      <c r="E556" s="545" t="s">
        <v>54</v>
      </c>
      <c r="F556" s="546">
        <v>303.10000000000002</v>
      </c>
      <c r="G556" s="547"/>
      <c r="H556" s="430"/>
      <c r="I556" s="368"/>
      <c r="J556" s="368"/>
      <c r="K556" s="368"/>
      <c r="L556" s="368"/>
      <c r="M556" s="368"/>
      <c r="N556" s="368"/>
      <c r="O556" s="368"/>
      <c r="P556" s="368"/>
      <c r="Q556" s="368"/>
      <c r="R556" s="368"/>
      <c r="S556" s="368"/>
      <c r="T556" s="368"/>
      <c r="U556" s="368"/>
      <c r="V556" s="368"/>
      <c r="W556" s="368"/>
      <c r="X556" s="368"/>
      <c r="Y556" s="368"/>
      <c r="Z556" s="368"/>
      <c r="AA556" s="368"/>
      <c r="AB556" s="368"/>
    </row>
    <row r="557" spans="1:31" ht="12.75">
      <c r="A557" s="542"/>
      <c r="B557" s="543"/>
      <c r="C557" s="427"/>
      <c r="D557" s="544" t="s">
        <v>14690</v>
      </c>
      <c r="E557" s="545" t="s">
        <v>54</v>
      </c>
      <c r="F557" s="546">
        <v>95.44</v>
      </c>
      <c r="G557" s="547"/>
      <c r="H557" s="430"/>
      <c r="I557" s="368"/>
      <c r="J557" s="368"/>
      <c r="K557" s="368"/>
      <c r="L557" s="368"/>
      <c r="M557" s="368"/>
      <c r="N557" s="368"/>
      <c r="O557" s="368"/>
      <c r="P557" s="368"/>
      <c r="Q557" s="368"/>
      <c r="R557" s="368"/>
      <c r="S557" s="368"/>
      <c r="T557" s="368"/>
      <c r="U557" s="368"/>
      <c r="V557" s="368"/>
      <c r="W557" s="368"/>
      <c r="X557" s="368"/>
      <c r="Y557" s="368"/>
      <c r="Z557" s="368"/>
      <c r="AA557" s="368"/>
      <c r="AB557" s="368"/>
    </row>
    <row r="558" spans="1:31" ht="12.75">
      <c r="A558" s="542"/>
      <c r="B558" s="543"/>
      <c r="C558" s="427"/>
      <c r="D558" s="544" t="s">
        <v>14691</v>
      </c>
      <c r="E558" s="545" t="s">
        <v>54</v>
      </c>
      <c r="F558" s="546">
        <v>166.85</v>
      </c>
      <c r="G558" s="547"/>
      <c r="H558" s="430"/>
      <c r="I558" s="368"/>
      <c r="J558" s="368"/>
      <c r="K558" s="368"/>
      <c r="L558" s="368"/>
      <c r="M558" s="368"/>
      <c r="N558" s="368"/>
      <c r="O558" s="368"/>
      <c r="P558" s="368"/>
      <c r="Q558" s="368"/>
      <c r="R558" s="368"/>
      <c r="S558" s="368"/>
      <c r="T558" s="368"/>
      <c r="U558" s="368"/>
      <c r="V558" s="368"/>
      <c r="W558" s="368"/>
      <c r="X558" s="368"/>
      <c r="Y558" s="368"/>
      <c r="Z558" s="368"/>
      <c r="AA558" s="368"/>
      <c r="AB558" s="368"/>
    </row>
    <row r="559" spans="1:31" ht="12.75">
      <c r="A559" s="520" t="s">
        <v>14479</v>
      </c>
      <c r="B559" s="521" t="s">
        <v>14476</v>
      </c>
      <c r="C559" s="522">
        <v>1319</v>
      </c>
      <c r="D559" s="523" t="str">
        <f>IFERROR(VLOOKUP($C559,'24.08_ND'!$A:$D,2,0),)</f>
        <v>CHAPA DE ACO FINA A QUENTE BITOLA MSG 3/16 ", E = 4,75 MM (38,00 KG/M2)</v>
      </c>
      <c r="E559" s="244" t="str">
        <f>IFERROR(VLOOKUP($C559,'24.08_ND'!$A:$D,3,0),)</f>
        <v>KG</v>
      </c>
      <c r="F559" s="444">
        <f>ROUNDUP(((F561+F562+F560)/$F$543)*1.075,4)</f>
        <v>6.7299999999999999E-2</v>
      </c>
      <c r="G559" s="524">
        <f>IFERROR(VLOOKUP($C559,'24.08_ND'!$A:$D,4,0),)</f>
        <v>9.8800000000000008</v>
      </c>
      <c r="H559" s="525">
        <f>TRUNC(($F559*$G559),2)</f>
        <v>0.66</v>
      </c>
      <c r="I559" s="262"/>
      <c r="J559" s="262"/>
      <c r="K559" s="262"/>
      <c r="L559" s="512"/>
      <c r="M559" s="512"/>
      <c r="N559" s="262"/>
      <c r="O559" s="262"/>
      <c r="P559" s="262"/>
      <c r="Q559" s="262"/>
      <c r="R559" s="262"/>
      <c r="S559" s="262"/>
      <c r="T559" s="262"/>
      <c r="U559" s="262"/>
      <c r="V559" s="262"/>
      <c r="W559" s="262"/>
      <c r="X559" s="262"/>
      <c r="Y559" s="262"/>
      <c r="Z559" s="262"/>
      <c r="AA559" s="262"/>
      <c r="AB559" s="262"/>
    </row>
    <row r="560" spans="1:31" ht="12.75">
      <c r="A560" s="526"/>
      <c r="B560" s="527"/>
      <c r="C560" s="528"/>
      <c r="D560" s="529" t="s">
        <v>14692</v>
      </c>
      <c r="E560" s="530" t="s">
        <v>54</v>
      </c>
      <c r="F560" s="533">
        <v>1.02</v>
      </c>
      <c r="G560" s="532"/>
      <c r="H560" s="511"/>
      <c r="I560" s="262"/>
      <c r="J560" s="262"/>
      <c r="K560" s="262"/>
      <c r="L560" s="512"/>
      <c r="M560" s="512"/>
      <c r="N560" s="262"/>
      <c r="O560" s="262"/>
      <c r="P560" s="262"/>
      <c r="Q560" s="262"/>
      <c r="R560" s="262"/>
      <c r="S560" s="262"/>
      <c r="T560" s="262"/>
      <c r="U560" s="262"/>
      <c r="V560" s="262"/>
      <c r="W560" s="262"/>
      <c r="X560" s="262"/>
      <c r="Y560" s="262"/>
      <c r="Z560" s="262"/>
      <c r="AA560" s="262"/>
      <c r="AB560" s="262"/>
    </row>
    <row r="561" spans="1:28" ht="12.75">
      <c r="A561" s="526"/>
      <c r="B561" s="527"/>
      <c r="C561" s="528"/>
      <c r="D561" s="529" t="s">
        <v>14693</v>
      </c>
      <c r="E561" s="530" t="s">
        <v>54</v>
      </c>
      <c r="F561" s="533">
        <v>271.75</v>
      </c>
      <c r="G561" s="532"/>
      <c r="H561" s="511"/>
      <c r="I561" s="262"/>
      <c r="J561" s="262"/>
      <c r="K561" s="262"/>
      <c r="L561" s="512"/>
      <c r="M561" s="512"/>
      <c r="N561" s="262"/>
      <c r="O561" s="262"/>
      <c r="P561" s="262"/>
      <c r="Q561" s="262"/>
      <c r="R561" s="262"/>
      <c r="S561" s="262"/>
      <c r="T561" s="262"/>
      <c r="U561" s="262"/>
      <c r="V561" s="262"/>
      <c r="W561" s="262"/>
      <c r="X561" s="262"/>
      <c r="Y561" s="262"/>
      <c r="Z561" s="262"/>
      <c r="AA561" s="262"/>
      <c r="AB561" s="262"/>
    </row>
    <row r="562" spans="1:28" ht="12.75">
      <c r="A562" s="526"/>
      <c r="B562" s="527"/>
      <c r="C562" s="528"/>
      <c r="D562" s="529" t="s">
        <v>14694</v>
      </c>
      <c r="E562" s="530" t="s">
        <v>54</v>
      </c>
      <c r="F562" s="533">
        <v>1.53</v>
      </c>
      <c r="G562" s="532"/>
      <c r="H562" s="511"/>
      <c r="I562" s="262"/>
      <c r="J562" s="262"/>
      <c r="K562" s="262"/>
      <c r="L562" s="512"/>
      <c r="M562" s="512"/>
      <c r="N562" s="262"/>
      <c r="O562" s="262"/>
      <c r="P562" s="262"/>
      <c r="Q562" s="262"/>
      <c r="R562" s="262"/>
      <c r="S562" s="262"/>
      <c r="T562" s="262"/>
      <c r="U562" s="262"/>
      <c r="V562" s="262"/>
      <c r="W562" s="262"/>
      <c r="X562" s="262"/>
      <c r="Y562" s="262"/>
      <c r="Z562" s="262"/>
      <c r="AA562" s="262"/>
      <c r="AB562" s="262"/>
    </row>
    <row r="563" spans="1:28" ht="12.75">
      <c r="A563" s="520" t="s">
        <v>14479</v>
      </c>
      <c r="B563" s="521" t="s">
        <v>14476</v>
      </c>
      <c r="C563" s="522">
        <v>1322</v>
      </c>
      <c r="D563" s="523" t="str">
        <f>IFERROR(VLOOKUP($C563,'24.08_ND'!$A:$D,2,0),)</f>
        <v>CHAPA DE ACO FINA A QUENTE BITOLA MSG 16, E = 1,50 MM (12,00 KG/M2)</v>
      </c>
      <c r="E563" s="244" t="str">
        <f>IFERROR(VLOOKUP($C563,'24.08_ND'!$A:$D,3,0),)</f>
        <v>KG</v>
      </c>
      <c r="F563" s="444">
        <f>ROUNDUP(((F564)/$F$543)*1.075,4)</f>
        <v>0.35819999999999996</v>
      </c>
      <c r="G563" s="524">
        <f>IFERROR(VLOOKUP($C563,'24.08_ND'!$A:$D,4,0),)</f>
        <v>11.73</v>
      </c>
      <c r="H563" s="525">
        <f>TRUNC(($F563*$G563),2)</f>
        <v>4.2</v>
      </c>
      <c r="I563" s="262"/>
      <c r="J563" s="262"/>
      <c r="K563" s="262"/>
      <c r="L563" s="512"/>
      <c r="M563" s="512"/>
      <c r="N563" s="262"/>
      <c r="O563" s="262"/>
      <c r="P563" s="262"/>
      <c r="Q563" s="262"/>
      <c r="R563" s="262"/>
      <c r="S563" s="262"/>
      <c r="T563" s="262"/>
      <c r="U563" s="262"/>
      <c r="V563" s="262"/>
      <c r="W563" s="262"/>
      <c r="X563" s="262"/>
      <c r="Y563" s="262"/>
      <c r="Z563" s="262"/>
      <c r="AA563" s="262"/>
      <c r="AB563" s="262"/>
    </row>
    <row r="564" spans="1:28" ht="12.75">
      <c r="A564" s="526"/>
      <c r="B564" s="527"/>
      <c r="C564" s="528"/>
      <c r="D564" s="529" t="s">
        <v>14695</v>
      </c>
      <c r="E564" s="530" t="s">
        <v>54</v>
      </c>
      <c r="F564" s="533">
        <v>1460.51</v>
      </c>
      <c r="G564" s="532"/>
      <c r="H564" s="511"/>
      <c r="I564" s="262"/>
      <c r="J564" s="262"/>
      <c r="K564" s="262"/>
      <c r="L564" s="512"/>
      <c r="M564" s="512"/>
      <c r="N564" s="262"/>
      <c r="O564" s="262"/>
      <c r="P564" s="262"/>
      <c r="Q564" s="262"/>
      <c r="R564" s="262"/>
      <c r="S564" s="262"/>
      <c r="T564" s="262"/>
      <c r="U564" s="262"/>
      <c r="V564" s="262"/>
      <c r="W564" s="262"/>
      <c r="X564" s="262"/>
      <c r="Y564" s="262"/>
      <c r="Z564" s="262"/>
      <c r="AA564" s="262"/>
      <c r="AB564" s="262"/>
    </row>
    <row r="565" spans="1:28" ht="12.75">
      <c r="A565" s="520" t="s">
        <v>14479</v>
      </c>
      <c r="B565" s="521" t="s">
        <v>14476</v>
      </c>
      <c r="C565" s="522">
        <v>1323</v>
      </c>
      <c r="D565" s="523" t="str">
        <f>IFERROR(VLOOKUP($C565,'24.08_ND'!$A:$D,2,0),)</f>
        <v>CHAPA DE ACO FINA A QUENTE BITOLA MSG 18, E = 1,20 MM (9,60 KG/M2)</v>
      </c>
      <c r="E565" s="244" t="str">
        <f>IFERROR(VLOOKUP($C565,'24.08_ND'!$A:$D,3,0),)</f>
        <v>KG</v>
      </c>
      <c r="F565" s="444">
        <f>ROUNDUP(((F566+F567)/$F$543)*1.075,4)</f>
        <v>8.2000000000000003E-2</v>
      </c>
      <c r="G565" s="524">
        <f>IFERROR(VLOOKUP($C565,'24.08_ND'!$A:$D,4,0),)</f>
        <v>11.73</v>
      </c>
      <c r="H565" s="525">
        <f>TRUNC(($F565*$G565),2)</f>
        <v>0.96</v>
      </c>
      <c r="I565" s="262"/>
      <c r="J565" s="262"/>
      <c r="K565" s="262"/>
      <c r="L565" s="512"/>
      <c r="M565" s="512"/>
      <c r="N565" s="262"/>
      <c r="O565" s="262"/>
      <c r="P565" s="262"/>
      <c r="Q565" s="262"/>
      <c r="R565" s="262"/>
      <c r="S565" s="262"/>
      <c r="T565" s="262"/>
      <c r="U565" s="262"/>
      <c r="V565" s="262"/>
      <c r="W565" s="262"/>
      <c r="X565" s="262"/>
      <c r="Y565" s="262"/>
      <c r="Z565" s="262"/>
      <c r="AA565" s="262"/>
      <c r="AB565" s="262"/>
    </row>
    <row r="566" spans="1:28" ht="12.75">
      <c r="A566" s="526"/>
      <c r="B566" s="527"/>
      <c r="C566" s="528"/>
      <c r="D566" s="529" t="s">
        <v>14696</v>
      </c>
      <c r="E566" s="530" t="s">
        <v>54</v>
      </c>
      <c r="F566" s="533">
        <v>287.26</v>
      </c>
      <c r="G566" s="532"/>
      <c r="H566" s="511"/>
      <c r="I566" s="262"/>
      <c r="J566" s="262"/>
      <c r="K566" s="262"/>
      <c r="L566" s="512"/>
      <c r="M566" s="512"/>
      <c r="N566" s="262"/>
      <c r="O566" s="262"/>
      <c r="P566" s="262"/>
      <c r="Q566" s="262"/>
      <c r="R566" s="262"/>
      <c r="S566" s="262"/>
      <c r="T566" s="262"/>
      <c r="U566" s="262"/>
      <c r="V566" s="262"/>
      <c r="W566" s="262"/>
      <c r="X566" s="262"/>
      <c r="Y566" s="262"/>
      <c r="Z566" s="262"/>
      <c r="AA566" s="262"/>
      <c r="AB566" s="262"/>
    </row>
    <row r="567" spans="1:28" ht="12.75">
      <c r="A567" s="526"/>
      <c r="B567" s="527"/>
      <c r="C567" s="528"/>
      <c r="D567" s="529" t="s">
        <v>14697</v>
      </c>
      <c r="E567" s="530" t="s">
        <v>54</v>
      </c>
      <c r="F567" s="533">
        <v>47.14</v>
      </c>
      <c r="G567" s="532"/>
      <c r="H567" s="511"/>
      <c r="I567" s="262"/>
      <c r="J567" s="262"/>
      <c r="K567" s="262"/>
      <c r="L567" s="512"/>
      <c r="M567" s="512"/>
      <c r="N567" s="262"/>
      <c r="O567" s="262"/>
      <c r="P567" s="262"/>
      <c r="Q567" s="262"/>
      <c r="R567" s="262"/>
      <c r="S567" s="262"/>
      <c r="T567" s="262"/>
      <c r="U567" s="262"/>
      <c r="V567" s="262"/>
      <c r="W567" s="262"/>
      <c r="X567" s="262"/>
      <c r="Y567" s="262"/>
      <c r="Z567" s="262"/>
      <c r="AA567" s="262"/>
      <c r="AB567" s="262"/>
    </row>
    <row r="568" spans="1:28" ht="12.75">
      <c r="A568" s="520" t="s">
        <v>14479</v>
      </c>
      <c r="B568" s="521" t="s">
        <v>14476</v>
      </c>
      <c r="C568" s="522">
        <v>1325</v>
      </c>
      <c r="D568" s="523" t="str">
        <f>IFERROR(VLOOKUP($C568,'24.08_ND'!$A:$D,2,0),)</f>
        <v>CHAPA DE ACO FINA A FRIO BITOLA MSG 20, E = 0,90 MM (7,20 KG/M2)</v>
      </c>
      <c r="E568" s="244" t="str">
        <f>IFERROR(VLOOKUP($C568,'24.08_ND'!$A:$D,3,0),)</f>
        <v>KG</v>
      </c>
      <c r="F568" s="444">
        <f>ROUNDUP(((F569)/$F$543)*1.075,4)</f>
        <v>6.3E-3</v>
      </c>
      <c r="G568" s="524">
        <f>IFERROR(VLOOKUP($C568,'24.08_ND'!$A:$D,4,0),)</f>
        <v>11.95</v>
      </c>
      <c r="H568" s="525">
        <f>TRUNC(($F568*$G568),2)</f>
        <v>7.0000000000000007E-2</v>
      </c>
      <c r="I568" s="262"/>
      <c r="J568" s="262"/>
      <c r="K568" s="262"/>
      <c r="L568" s="512"/>
      <c r="M568" s="512"/>
      <c r="N568" s="262"/>
      <c r="O568" s="262"/>
      <c r="P568" s="262"/>
      <c r="Q568" s="262"/>
      <c r="R568" s="262"/>
      <c r="S568" s="262"/>
      <c r="T568" s="262"/>
      <c r="U568" s="262"/>
      <c r="V568" s="262"/>
      <c r="W568" s="262"/>
      <c r="X568" s="262"/>
      <c r="Y568" s="262"/>
      <c r="Z568" s="262"/>
      <c r="AA568" s="262"/>
      <c r="AB568" s="262"/>
    </row>
    <row r="569" spans="1:28" ht="12.75">
      <c r="A569" s="526"/>
      <c r="B569" s="527"/>
      <c r="C569" s="528"/>
      <c r="D569" s="529" t="s">
        <v>14698</v>
      </c>
      <c r="E569" s="530" t="s">
        <v>54</v>
      </c>
      <c r="F569" s="533">
        <v>25.33</v>
      </c>
      <c r="G569" s="532"/>
      <c r="H569" s="511"/>
      <c r="I569" s="262"/>
      <c r="J569" s="262"/>
      <c r="K569" s="262"/>
      <c r="L569" s="512"/>
      <c r="M569" s="512"/>
      <c r="N569" s="262"/>
      <c r="O569" s="262"/>
      <c r="P569" s="262"/>
      <c r="Q569" s="262"/>
      <c r="R569" s="262"/>
      <c r="S569" s="262"/>
      <c r="T569" s="262"/>
      <c r="U569" s="262"/>
      <c r="V569" s="262"/>
      <c r="W569" s="262"/>
      <c r="X569" s="262"/>
      <c r="Y569" s="262"/>
      <c r="Z569" s="262"/>
      <c r="AA569" s="262"/>
      <c r="AB569" s="262"/>
    </row>
    <row r="570" spans="1:28" ht="12.75">
      <c r="A570" s="535" t="s">
        <v>14479</v>
      </c>
      <c r="B570" s="536" t="s">
        <v>14476</v>
      </c>
      <c r="C570" s="537">
        <v>1332</v>
      </c>
      <c r="D570" s="538" t="str">
        <f>IFERROR(VLOOKUP($C570,'24.08_ND'!$A:$D,2,0),)</f>
        <v>CHAPA DE ACO GROSSA, ASTM A36, E = 3/8" (9,53 MM) 74,69 KG/M2</v>
      </c>
      <c r="E570" s="539" t="str">
        <f>IFERROR(VLOOKUP($C570,'24.08_ND'!$A:$D,3,0),)</f>
        <v>KG</v>
      </c>
      <c r="F570" s="444">
        <f>ROUNDUP(((F571+F572+F573+F574+F575+F576+F577+F578+F579+F580)/$F$543)*1.075,4)</f>
        <v>0.1021</v>
      </c>
      <c r="G570" s="540">
        <f>IFERROR(VLOOKUP($C570,'24.08_ND'!$A:$D,4,0),)</f>
        <v>10.95</v>
      </c>
      <c r="H570" s="541">
        <f>TRUNC(($F570*$G570),2)</f>
        <v>1.1100000000000001</v>
      </c>
      <c r="I570" s="368"/>
      <c r="J570" s="368"/>
      <c r="K570" s="368"/>
      <c r="L570" s="368"/>
      <c r="M570" s="368"/>
      <c r="N570" s="368"/>
      <c r="O570" s="368"/>
      <c r="P570" s="368"/>
      <c r="Q570" s="368"/>
      <c r="R570" s="368"/>
      <c r="S570" s="368"/>
      <c r="T570" s="368"/>
      <c r="U570" s="368"/>
      <c r="V570" s="368"/>
      <c r="W570" s="368"/>
      <c r="X570" s="368"/>
      <c r="Y570" s="368"/>
      <c r="Z570" s="368"/>
      <c r="AA570" s="368"/>
      <c r="AB570" s="368"/>
    </row>
    <row r="571" spans="1:28" ht="12.75">
      <c r="A571" s="542"/>
      <c r="B571" s="543"/>
      <c r="C571" s="427"/>
      <c r="D571" s="529" t="s">
        <v>14699</v>
      </c>
      <c r="E571" s="545" t="s">
        <v>54</v>
      </c>
      <c r="F571" s="546">
        <v>26.22</v>
      </c>
      <c r="G571" s="547"/>
      <c r="H571" s="430"/>
      <c r="I571" s="368"/>
      <c r="J571" s="368"/>
      <c r="K571" s="368"/>
      <c r="L571" s="368"/>
      <c r="M571" s="368"/>
      <c r="N571" s="368"/>
      <c r="O571" s="368"/>
      <c r="P571" s="368"/>
      <c r="Q571" s="368"/>
      <c r="R571" s="368"/>
      <c r="S571" s="368"/>
      <c r="T571" s="368"/>
      <c r="U571" s="368"/>
      <c r="V571" s="368"/>
      <c r="W571" s="368"/>
      <c r="X571" s="368"/>
      <c r="Y571" s="368"/>
      <c r="Z571" s="368"/>
      <c r="AA571" s="368"/>
      <c r="AB571" s="368"/>
    </row>
    <row r="572" spans="1:28" ht="12.75">
      <c r="A572" s="542"/>
      <c r="B572" s="543"/>
      <c r="C572" s="427"/>
      <c r="D572" s="529" t="s">
        <v>14700</v>
      </c>
      <c r="E572" s="545" t="s">
        <v>54</v>
      </c>
      <c r="F572" s="546">
        <v>18.72</v>
      </c>
      <c r="G572" s="547"/>
      <c r="H572" s="430"/>
      <c r="I572" s="368"/>
      <c r="J572" s="368"/>
      <c r="K572" s="368"/>
      <c r="L572" s="368"/>
      <c r="M572" s="368"/>
      <c r="N572" s="368"/>
      <c r="O572" s="368"/>
      <c r="P572" s="368"/>
      <c r="Q572" s="368"/>
      <c r="R572" s="368"/>
      <c r="S572" s="368"/>
      <c r="T572" s="368"/>
      <c r="U572" s="368"/>
      <c r="V572" s="368"/>
      <c r="W572" s="368"/>
      <c r="X572" s="368"/>
      <c r="Y572" s="368"/>
      <c r="Z572" s="368"/>
      <c r="AA572" s="368"/>
      <c r="AB572" s="368"/>
    </row>
    <row r="573" spans="1:28" ht="12.75">
      <c r="A573" s="542"/>
      <c r="B573" s="543"/>
      <c r="C573" s="427"/>
      <c r="D573" s="529" t="s">
        <v>14701</v>
      </c>
      <c r="E573" s="545" t="s">
        <v>54</v>
      </c>
      <c r="F573" s="546">
        <v>18.72</v>
      </c>
      <c r="G573" s="547"/>
      <c r="H573" s="430"/>
      <c r="I573" s="368"/>
      <c r="J573" s="368"/>
      <c r="K573" s="368"/>
      <c r="L573" s="368"/>
      <c r="M573" s="368"/>
      <c r="N573" s="368"/>
      <c r="O573" s="368"/>
      <c r="P573" s="368"/>
      <c r="Q573" s="368"/>
      <c r="R573" s="368"/>
      <c r="S573" s="368"/>
      <c r="T573" s="368"/>
      <c r="U573" s="368"/>
      <c r="V573" s="368"/>
      <c r="W573" s="368"/>
      <c r="X573" s="368"/>
      <c r="Y573" s="368"/>
      <c r="Z573" s="368"/>
      <c r="AA573" s="368"/>
      <c r="AB573" s="368"/>
    </row>
    <row r="574" spans="1:28" ht="12.75">
      <c r="A574" s="542"/>
      <c r="B574" s="543"/>
      <c r="C574" s="427"/>
      <c r="D574" s="529" t="s">
        <v>14702</v>
      </c>
      <c r="E574" s="545" t="s">
        <v>54</v>
      </c>
      <c r="F574" s="546">
        <v>100.67</v>
      </c>
      <c r="G574" s="547"/>
      <c r="H574" s="430"/>
      <c r="I574" s="368"/>
      <c r="J574" s="368"/>
      <c r="K574" s="368"/>
      <c r="L574" s="368"/>
      <c r="M574" s="368"/>
      <c r="N574" s="368"/>
      <c r="O574" s="368"/>
      <c r="P574" s="368"/>
      <c r="Q574" s="368"/>
      <c r="R574" s="368"/>
      <c r="S574" s="368"/>
      <c r="T574" s="368"/>
      <c r="U574" s="368"/>
      <c r="V574" s="368"/>
      <c r="W574" s="368"/>
      <c r="X574" s="368"/>
      <c r="Y574" s="368"/>
      <c r="Z574" s="368"/>
      <c r="AA574" s="368"/>
      <c r="AB574" s="368"/>
    </row>
    <row r="575" spans="1:28" ht="12.75">
      <c r="A575" s="542"/>
      <c r="B575" s="543"/>
      <c r="C575" s="427"/>
      <c r="D575" s="529" t="s">
        <v>14703</v>
      </c>
      <c r="E575" s="545" t="s">
        <v>54</v>
      </c>
      <c r="F575" s="546">
        <v>137.08000000000001</v>
      </c>
      <c r="G575" s="547"/>
      <c r="H575" s="430"/>
      <c r="I575" s="368"/>
      <c r="J575" s="368"/>
      <c r="K575" s="368"/>
      <c r="L575" s="368"/>
      <c r="M575" s="368"/>
      <c r="N575" s="368"/>
      <c r="O575" s="368"/>
      <c r="P575" s="368"/>
      <c r="Q575" s="368"/>
      <c r="R575" s="368"/>
      <c r="S575" s="368"/>
      <c r="T575" s="368"/>
      <c r="U575" s="368"/>
      <c r="V575" s="368"/>
      <c r="W575" s="368"/>
      <c r="X575" s="368"/>
      <c r="Y575" s="368"/>
      <c r="Z575" s="368"/>
      <c r="AA575" s="368"/>
      <c r="AB575" s="368"/>
    </row>
    <row r="576" spans="1:28" ht="12.75">
      <c r="A576" s="542"/>
      <c r="B576" s="543"/>
      <c r="C576" s="427"/>
      <c r="D576" s="529" t="s">
        <v>14704</v>
      </c>
      <c r="E576" s="545" t="s">
        <v>54</v>
      </c>
      <c r="F576" s="546">
        <v>2.63</v>
      </c>
      <c r="G576" s="547"/>
      <c r="H576" s="430"/>
      <c r="I576" s="368"/>
      <c r="J576" s="368"/>
      <c r="K576" s="368"/>
      <c r="L576" s="368"/>
      <c r="M576" s="368"/>
      <c r="N576" s="368"/>
      <c r="O576" s="368"/>
      <c r="P576" s="368"/>
      <c r="Q576" s="368"/>
      <c r="R576" s="368"/>
      <c r="S576" s="368"/>
      <c r="T576" s="368"/>
      <c r="U576" s="368"/>
      <c r="V576" s="368"/>
      <c r="W576" s="368"/>
      <c r="X576" s="368"/>
      <c r="Y576" s="368"/>
      <c r="Z576" s="368"/>
      <c r="AA576" s="368"/>
      <c r="AB576" s="368"/>
    </row>
    <row r="577" spans="1:28" ht="12.75">
      <c r="A577" s="542"/>
      <c r="B577" s="543"/>
      <c r="C577" s="427"/>
      <c r="D577" s="529" t="s">
        <v>14705</v>
      </c>
      <c r="E577" s="545" t="s">
        <v>54</v>
      </c>
      <c r="F577" s="546">
        <v>4.04</v>
      </c>
      <c r="G577" s="547"/>
      <c r="H577" s="430"/>
      <c r="I577" s="368"/>
      <c r="J577" s="368"/>
      <c r="K577" s="368"/>
      <c r="L577" s="368"/>
      <c r="M577" s="368"/>
      <c r="N577" s="368"/>
      <c r="O577" s="368"/>
      <c r="P577" s="368"/>
      <c r="Q577" s="368"/>
      <c r="R577" s="368"/>
      <c r="S577" s="368"/>
      <c r="T577" s="368"/>
      <c r="U577" s="368"/>
      <c r="V577" s="368"/>
      <c r="W577" s="368"/>
      <c r="X577" s="368"/>
      <c r="Y577" s="368"/>
      <c r="Z577" s="368"/>
      <c r="AA577" s="368"/>
      <c r="AB577" s="368"/>
    </row>
    <row r="578" spans="1:28" ht="12.75">
      <c r="A578" s="542"/>
      <c r="B578" s="543"/>
      <c r="C578" s="427"/>
      <c r="D578" s="529" t="s">
        <v>14706</v>
      </c>
      <c r="E578" s="545" t="s">
        <v>54</v>
      </c>
      <c r="F578" s="546">
        <v>74.91</v>
      </c>
      <c r="G578" s="547"/>
      <c r="H578" s="430"/>
      <c r="I578" s="368"/>
      <c r="J578" s="368"/>
      <c r="K578" s="368"/>
      <c r="L578" s="368"/>
      <c r="M578" s="368"/>
      <c r="N578" s="368"/>
      <c r="O578" s="368"/>
      <c r="P578" s="368"/>
      <c r="Q578" s="368"/>
      <c r="R578" s="368"/>
      <c r="S578" s="368"/>
      <c r="T578" s="368"/>
      <c r="U578" s="368"/>
      <c r="V578" s="368"/>
      <c r="W578" s="368"/>
      <c r="X578" s="368"/>
      <c r="Y578" s="368"/>
      <c r="Z578" s="368"/>
      <c r="AA578" s="368"/>
      <c r="AB578" s="368"/>
    </row>
    <row r="579" spans="1:28" ht="12.75">
      <c r="A579" s="542"/>
      <c r="B579" s="543"/>
      <c r="C579" s="427"/>
      <c r="D579" s="529" t="s">
        <v>14707</v>
      </c>
      <c r="E579" s="545" t="s">
        <v>54</v>
      </c>
      <c r="F579" s="546">
        <v>7.87</v>
      </c>
      <c r="G579" s="547"/>
      <c r="H579" s="430"/>
      <c r="I579" s="368"/>
      <c r="J579" s="368"/>
      <c r="K579" s="368"/>
      <c r="L579" s="368"/>
      <c r="M579" s="368"/>
      <c r="N579" s="368"/>
      <c r="O579" s="368"/>
      <c r="P579" s="368"/>
      <c r="Q579" s="368"/>
      <c r="R579" s="368"/>
      <c r="S579" s="368"/>
      <c r="T579" s="368"/>
      <c r="U579" s="368"/>
      <c r="V579" s="368"/>
      <c r="W579" s="368"/>
      <c r="X579" s="368"/>
      <c r="Y579" s="368"/>
      <c r="Z579" s="368"/>
      <c r="AA579" s="368"/>
      <c r="AB579" s="368"/>
    </row>
    <row r="580" spans="1:28" ht="12.75">
      <c r="A580" s="542"/>
      <c r="B580" s="543"/>
      <c r="C580" s="427"/>
      <c r="D580" s="529" t="s">
        <v>14708</v>
      </c>
      <c r="E580" s="545" t="s">
        <v>54</v>
      </c>
      <c r="F580" s="546">
        <v>25.16</v>
      </c>
      <c r="G580" s="547"/>
      <c r="H580" s="430"/>
      <c r="I580" s="368"/>
      <c r="J580" s="368"/>
      <c r="K580" s="368"/>
      <c r="L580" s="368"/>
      <c r="M580" s="368"/>
      <c r="N580" s="368"/>
      <c r="O580" s="368"/>
      <c r="P580" s="368"/>
      <c r="Q580" s="368"/>
      <c r="R580" s="368"/>
      <c r="S580" s="368"/>
      <c r="T580" s="368"/>
      <c r="U580" s="368"/>
      <c r="V580" s="368"/>
      <c r="W580" s="368"/>
      <c r="X580" s="368"/>
      <c r="Y580" s="368"/>
      <c r="Z580" s="368"/>
      <c r="AA580" s="368"/>
      <c r="AB580" s="368"/>
    </row>
    <row r="581" spans="1:28" ht="12.75">
      <c r="A581" s="520" t="s">
        <v>14479</v>
      </c>
      <c r="B581" s="521" t="s">
        <v>14476</v>
      </c>
      <c r="C581" s="522">
        <v>4339</v>
      </c>
      <c r="D581" s="523" t="str">
        <f>IFERROR(VLOOKUP($C581,'24.08_ND'!$A:$D,2,0),)</f>
        <v>PORCA ZINCADA, SEXTAVADA, DIAMETRO 1/2"</v>
      </c>
      <c r="E581" s="244" t="str">
        <f>IFERROR(VLOOKUP($C581,'24.08_ND'!$A:$D,3,0),)</f>
        <v>UN</v>
      </c>
      <c r="F581" s="444">
        <f>ROUNDUP(((F582)/$F$543)*1.075,4)</f>
        <v>1.9699999999999999E-2</v>
      </c>
      <c r="G581" s="524">
        <f>IFERROR(VLOOKUP($C581,'24.08_ND'!$A:$D,4,0),)</f>
        <v>0.51</v>
      </c>
      <c r="H581" s="525">
        <f>TRUNC(($F581*$G581),2)</f>
        <v>0.01</v>
      </c>
      <c r="I581" s="262"/>
      <c r="J581" s="262"/>
      <c r="K581" s="262"/>
      <c r="L581" s="512"/>
      <c r="M581" s="512"/>
      <c r="N581" s="262"/>
      <c r="O581" s="262"/>
      <c r="P581" s="262"/>
      <c r="Q581" s="262"/>
      <c r="R581" s="262"/>
      <c r="S581" s="262"/>
      <c r="T581" s="262"/>
      <c r="U581" s="262"/>
      <c r="V581" s="262"/>
      <c r="W581" s="262"/>
      <c r="X581" s="262"/>
      <c r="Y581" s="262"/>
      <c r="Z581" s="262"/>
      <c r="AA581" s="262"/>
      <c r="AB581" s="262"/>
    </row>
    <row r="582" spans="1:28" ht="12.75">
      <c r="A582" s="526"/>
      <c r="B582" s="527"/>
      <c r="C582" s="528"/>
      <c r="D582" s="529" t="s">
        <v>14709</v>
      </c>
      <c r="E582" s="530" t="s">
        <v>6</v>
      </c>
      <c r="F582" s="531">
        <v>80</v>
      </c>
      <c r="G582" s="532"/>
      <c r="H582" s="511"/>
      <c r="I582" s="262"/>
      <c r="J582" s="262"/>
      <c r="K582" s="262"/>
      <c r="L582" s="512"/>
      <c r="M582" s="512"/>
      <c r="N582" s="262"/>
      <c r="O582" s="262"/>
      <c r="P582" s="262"/>
      <c r="Q582" s="262"/>
      <c r="R582" s="262"/>
      <c r="S582" s="262"/>
      <c r="T582" s="262"/>
      <c r="U582" s="262"/>
      <c r="V582" s="262"/>
      <c r="W582" s="262"/>
      <c r="X582" s="262"/>
      <c r="Y582" s="262"/>
      <c r="Z582" s="262"/>
      <c r="AA582" s="262"/>
      <c r="AB582" s="262"/>
    </row>
    <row r="583" spans="1:28" ht="12.75">
      <c r="A583" s="520" t="s">
        <v>14479</v>
      </c>
      <c r="B583" s="521" t="s">
        <v>14476</v>
      </c>
      <c r="C583" s="522">
        <v>4342</v>
      </c>
      <c r="D583" s="523" t="str">
        <f>IFERROR(VLOOKUP($C583,'24.08_ND'!$A:$D,2,0),)</f>
        <v>PORCA ZINCADA, SEXTAVADA, DIAMETRO 3/8"</v>
      </c>
      <c r="E583" s="244" t="str">
        <f>IFERROR(VLOOKUP($C583,'24.08_ND'!$A:$D,3,0),)</f>
        <v>UN</v>
      </c>
      <c r="F583" s="444">
        <f>ROUNDUP(((F584)/$F$543)*1.075,4)</f>
        <v>5.8999999999999999E-3</v>
      </c>
      <c r="G583" s="524">
        <f>IFERROR(VLOOKUP($C583,'24.08_ND'!$A:$D,4,0),)</f>
        <v>0.2</v>
      </c>
      <c r="H583" s="573">
        <f>$F583*$G583</f>
        <v>1.1800000000000001E-3</v>
      </c>
      <c r="I583" s="262"/>
      <c r="J583" s="262"/>
      <c r="K583" s="262"/>
      <c r="L583" s="512"/>
      <c r="M583" s="512"/>
      <c r="N583" s="262"/>
      <c r="O583" s="262"/>
      <c r="P583" s="262"/>
      <c r="Q583" s="262"/>
      <c r="R583" s="262"/>
      <c r="S583" s="262"/>
      <c r="T583" s="262"/>
      <c r="U583" s="262"/>
      <c r="V583" s="262"/>
      <c r="W583" s="262"/>
      <c r="X583" s="262"/>
      <c r="Y583" s="262"/>
      <c r="Z583" s="262"/>
      <c r="AA583" s="262"/>
      <c r="AB583" s="262"/>
    </row>
    <row r="584" spans="1:28" ht="12.75">
      <c r="A584" s="526"/>
      <c r="B584" s="527"/>
      <c r="C584" s="528"/>
      <c r="D584" s="529" t="s">
        <v>14710</v>
      </c>
      <c r="E584" s="530" t="s">
        <v>6</v>
      </c>
      <c r="F584" s="531">
        <v>24</v>
      </c>
      <c r="G584" s="532"/>
      <c r="H584" s="511"/>
      <c r="I584" s="262"/>
      <c r="J584" s="262"/>
      <c r="K584" s="262"/>
      <c r="L584" s="512"/>
      <c r="M584" s="512"/>
      <c r="N584" s="262"/>
      <c r="O584" s="262"/>
      <c r="P584" s="262"/>
      <c r="Q584" s="262"/>
      <c r="R584" s="262"/>
      <c r="S584" s="262"/>
      <c r="T584" s="262"/>
      <c r="U584" s="262"/>
      <c r="V584" s="262"/>
      <c r="W584" s="262"/>
      <c r="X584" s="262"/>
      <c r="Y584" s="262"/>
      <c r="Z584" s="262"/>
      <c r="AA584" s="262"/>
      <c r="AB584" s="262"/>
    </row>
    <row r="585" spans="1:28" ht="25.5">
      <c r="A585" s="520" t="s">
        <v>14479</v>
      </c>
      <c r="B585" s="521" t="s">
        <v>14476</v>
      </c>
      <c r="C585" s="522">
        <v>4350</v>
      </c>
      <c r="D585" s="523" t="str">
        <f>IFERROR(VLOOKUP($C585,'24.08_ND'!$A:$D,2,0),)</f>
        <v>BUCHA DE NYLON, DIAMETRO DO FURO 8 MM, COMPRIMENTO 40 MM, COM PARAFUSO DE ROSCA SOBERBA, CABECA CHATA, FENDA SIMPLES, 4,8 X 50 MM</v>
      </c>
      <c r="E585" s="244" t="str">
        <f>IFERROR(VLOOKUP($C585,'24.08_ND'!$A:$D,3,0),)</f>
        <v>UN</v>
      </c>
      <c r="F585" s="444">
        <f>ROUNDUP(((F586)/$F$543)*1.075,4)</f>
        <v>5.8999999999999999E-3</v>
      </c>
      <c r="G585" s="524">
        <f>IFERROR(VLOOKUP($C585,'24.08_ND'!$A:$D,4,0),)</f>
        <v>0.61</v>
      </c>
      <c r="H585" s="573">
        <f>$F585*$G585</f>
        <v>3.5989999999999998E-3</v>
      </c>
      <c r="I585" s="262"/>
      <c r="J585" s="262"/>
      <c r="K585" s="262"/>
      <c r="L585" s="512"/>
      <c r="M585" s="512"/>
      <c r="N585" s="262"/>
      <c r="O585" s="262"/>
      <c r="P585" s="262"/>
      <c r="Q585" s="262"/>
      <c r="R585" s="262"/>
      <c r="S585" s="262"/>
      <c r="T585" s="262"/>
      <c r="U585" s="262"/>
      <c r="V585" s="262"/>
      <c r="W585" s="262"/>
      <c r="X585" s="262"/>
      <c r="Y585" s="262"/>
      <c r="Z585" s="262"/>
      <c r="AA585" s="262"/>
      <c r="AB585" s="262"/>
    </row>
    <row r="586" spans="1:28" ht="12.75">
      <c r="A586" s="526"/>
      <c r="B586" s="527"/>
      <c r="C586" s="528"/>
      <c r="D586" s="529" t="s">
        <v>14711</v>
      </c>
      <c r="E586" s="530" t="s">
        <v>6</v>
      </c>
      <c r="F586" s="531">
        <v>24</v>
      </c>
      <c r="G586" s="532"/>
      <c r="H586" s="511"/>
      <c r="I586" s="262"/>
      <c r="J586" s="262"/>
      <c r="K586" s="262"/>
      <c r="L586" s="512"/>
      <c r="M586" s="512"/>
      <c r="N586" s="262"/>
      <c r="O586" s="262"/>
      <c r="P586" s="262"/>
      <c r="Q586" s="262"/>
      <c r="R586" s="262"/>
      <c r="S586" s="262"/>
      <c r="T586" s="262"/>
      <c r="U586" s="262"/>
      <c r="V586" s="262"/>
      <c r="W586" s="262"/>
      <c r="X586" s="262"/>
      <c r="Y586" s="262"/>
      <c r="Z586" s="262"/>
      <c r="AA586" s="262"/>
      <c r="AB586" s="262"/>
    </row>
    <row r="587" spans="1:28" ht="25.5">
      <c r="A587" s="520" t="s">
        <v>14479</v>
      </c>
      <c r="B587" s="521" t="s">
        <v>14476</v>
      </c>
      <c r="C587" s="522">
        <v>43054</v>
      </c>
      <c r="D587" s="523" t="str">
        <f>IFERROR(VLOOKUP($C587,'24.08_ND'!$A:$D,2,0),)</f>
        <v>ACO CA-25, 10,0 MM, OU 12,5 MM, OU 16,0 MM, OU 20,0 MM, OU 25,0 MM, VERGALHAO</v>
      </c>
      <c r="E587" s="244" t="str">
        <f>IFERROR(VLOOKUP($C587,'24.08_ND'!$A:$D,3,0),)</f>
        <v>KG</v>
      </c>
      <c r="F587" s="444">
        <f>ROUNDUP(((F588+F589+F590)/$F$543)*1.075,4)</f>
        <v>2.1899999999999999E-2</v>
      </c>
      <c r="G587" s="524">
        <f>IFERROR(VLOOKUP($C587,'24.08_ND'!$A:$D,4,0),)</f>
        <v>9.08</v>
      </c>
      <c r="H587" s="525">
        <f>TRUNC(($F587*$G587),2)</f>
        <v>0.19</v>
      </c>
      <c r="I587" s="262"/>
      <c r="J587" s="262"/>
      <c r="K587" s="262"/>
      <c r="L587" s="512"/>
      <c r="M587" s="512"/>
      <c r="N587" s="262"/>
      <c r="O587" s="262"/>
      <c r="P587" s="262"/>
      <c r="Q587" s="262"/>
      <c r="R587" s="262"/>
      <c r="S587" s="262"/>
      <c r="T587" s="262"/>
      <c r="U587" s="262"/>
      <c r="V587" s="262"/>
      <c r="W587" s="262"/>
      <c r="X587" s="262"/>
      <c r="Y587" s="262"/>
      <c r="Z587" s="262"/>
      <c r="AA587" s="262"/>
      <c r="AB587" s="262"/>
    </row>
    <row r="588" spans="1:28" ht="12.75">
      <c r="A588" s="526"/>
      <c r="B588" s="527"/>
      <c r="C588" s="528"/>
      <c r="D588" s="529" t="s">
        <v>14712</v>
      </c>
      <c r="E588" s="530" t="s">
        <v>54</v>
      </c>
      <c r="F588" s="533">
        <v>35.24</v>
      </c>
      <c r="G588" s="532"/>
      <c r="H588" s="511"/>
      <c r="I588" s="262"/>
      <c r="J588" s="262"/>
      <c r="K588" s="262"/>
      <c r="L588" s="512"/>
      <c r="M588" s="512"/>
      <c r="N588" s="262"/>
      <c r="O588" s="262"/>
      <c r="P588" s="262"/>
      <c r="Q588" s="262"/>
      <c r="R588" s="262"/>
      <c r="S588" s="262"/>
      <c r="T588" s="262"/>
      <c r="U588" s="262"/>
      <c r="V588" s="262"/>
      <c r="W588" s="262"/>
      <c r="X588" s="262"/>
      <c r="Y588" s="262"/>
      <c r="Z588" s="262"/>
      <c r="AA588" s="262"/>
      <c r="AB588" s="262"/>
    </row>
    <row r="589" spans="1:28" ht="12.75">
      <c r="A589" s="526"/>
      <c r="B589" s="527"/>
      <c r="C589" s="528"/>
      <c r="D589" s="529" t="s">
        <v>14713</v>
      </c>
      <c r="E589" s="530" t="s">
        <v>54</v>
      </c>
      <c r="F589" s="533">
        <v>40.42</v>
      </c>
      <c r="G589" s="532"/>
      <c r="H589" s="511"/>
      <c r="I589" s="262"/>
      <c r="J589" s="262"/>
      <c r="K589" s="262"/>
      <c r="L589" s="512"/>
      <c r="M589" s="512"/>
      <c r="N589" s="262"/>
      <c r="O589" s="262"/>
      <c r="P589" s="262"/>
      <c r="Q589" s="262"/>
      <c r="R589" s="262"/>
      <c r="S589" s="262"/>
      <c r="T589" s="262"/>
      <c r="U589" s="262"/>
      <c r="V589" s="262"/>
      <c r="W589" s="262"/>
      <c r="X589" s="262"/>
      <c r="Y589" s="262"/>
      <c r="Z589" s="262"/>
      <c r="AA589" s="262"/>
      <c r="AB589" s="262"/>
    </row>
    <row r="590" spans="1:28" ht="12.75">
      <c r="A590" s="526"/>
      <c r="B590" s="527"/>
      <c r="C590" s="528"/>
      <c r="D590" s="529" t="s">
        <v>14714</v>
      </c>
      <c r="E590" s="530" t="s">
        <v>54</v>
      </c>
      <c r="F590" s="533">
        <v>13.4</v>
      </c>
      <c r="G590" s="532"/>
      <c r="H590" s="511"/>
      <c r="I590" s="262"/>
      <c r="J590" s="262"/>
      <c r="K590" s="262"/>
      <c r="L590" s="512"/>
      <c r="M590" s="512"/>
      <c r="N590" s="262"/>
      <c r="O590" s="262"/>
      <c r="P590" s="262"/>
      <c r="Q590" s="262"/>
      <c r="R590" s="262"/>
      <c r="S590" s="262"/>
      <c r="T590" s="262"/>
      <c r="U590" s="262"/>
      <c r="V590" s="262"/>
      <c r="W590" s="262"/>
      <c r="X590" s="262"/>
      <c r="Y590" s="262"/>
      <c r="Z590" s="262"/>
      <c r="AA590" s="262"/>
      <c r="AB590" s="262"/>
    </row>
    <row r="591" spans="1:28" ht="12.75">
      <c r="A591" s="520" t="s">
        <v>14479</v>
      </c>
      <c r="B591" s="521" t="s">
        <v>14476</v>
      </c>
      <c r="C591" s="522">
        <v>43055</v>
      </c>
      <c r="D591" s="523" t="str">
        <f>IFERROR(VLOOKUP($C591,'24.08_ND'!$A:$D,2,0),)</f>
        <v>ACO CA-50, 12,5 MM OU 16,0 MM, VERGALHAO</v>
      </c>
      <c r="E591" s="244" t="str">
        <f>IFERROR(VLOOKUP($C591,'24.08_ND'!$A:$D,3,0),)</f>
        <v>KG</v>
      </c>
      <c r="F591" s="444">
        <f>ROUNDUP(((F592+F593+F595+F594)/$F$543)*1.075,4)</f>
        <v>8.6E-3</v>
      </c>
      <c r="G591" s="524">
        <f>IFERROR(VLOOKUP($C591,'24.08_ND'!$A:$D,4,0),)</f>
        <v>7.32</v>
      </c>
      <c r="H591" s="525">
        <f>TRUNC(($F591*$G591),2)</f>
        <v>0.06</v>
      </c>
      <c r="I591" s="262"/>
      <c r="J591" s="262"/>
      <c r="K591" s="262"/>
      <c r="L591" s="512"/>
      <c r="M591" s="512"/>
      <c r="N591" s="262"/>
      <c r="O591" s="262"/>
      <c r="P591" s="262"/>
      <c r="Q591" s="262"/>
      <c r="R591" s="262"/>
      <c r="S591" s="262"/>
      <c r="T591" s="262"/>
      <c r="U591" s="262"/>
      <c r="V591" s="262"/>
      <c r="W591" s="262"/>
      <c r="X591" s="262"/>
      <c r="Y591" s="262"/>
      <c r="Z591" s="262"/>
      <c r="AA591" s="262"/>
      <c r="AB591" s="262"/>
    </row>
    <row r="592" spans="1:28" ht="12.75">
      <c r="A592" s="526"/>
      <c r="B592" s="527"/>
      <c r="C592" s="528"/>
      <c r="D592" s="529" t="s">
        <v>14715</v>
      </c>
      <c r="E592" s="530" t="s">
        <v>54</v>
      </c>
      <c r="F592" s="533">
        <v>14.66</v>
      </c>
      <c r="G592" s="532"/>
      <c r="H592" s="511"/>
      <c r="I592" s="262"/>
      <c r="J592" s="262"/>
      <c r="K592" s="262"/>
      <c r="L592" s="512"/>
      <c r="M592" s="512"/>
      <c r="N592" s="262"/>
      <c r="O592" s="262"/>
      <c r="P592" s="262"/>
      <c r="Q592" s="262"/>
      <c r="R592" s="262"/>
      <c r="S592" s="262"/>
      <c r="T592" s="262"/>
      <c r="U592" s="262"/>
      <c r="V592" s="262"/>
      <c r="W592" s="262"/>
      <c r="X592" s="262"/>
      <c r="Y592" s="262"/>
      <c r="Z592" s="262"/>
      <c r="AA592" s="262"/>
      <c r="AB592" s="262"/>
    </row>
    <row r="593" spans="1:31" ht="12.75">
      <c r="A593" s="526"/>
      <c r="B593" s="527"/>
      <c r="C593" s="528"/>
      <c r="D593" s="529" t="s">
        <v>14716</v>
      </c>
      <c r="E593" s="530" t="s">
        <v>54</v>
      </c>
      <c r="F593" s="533">
        <v>18.32</v>
      </c>
      <c r="G593" s="532"/>
      <c r="H593" s="511"/>
      <c r="I593" s="262"/>
      <c r="J593" s="262"/>
      <c r="K593" s="262"/>
      <c r="L593" s="512"/>
      <c r="M593" s="512"/>
      <c r="N593" s="262"/>
      <c r="O593" s="262"/>
      <c r="P593" s="262"/>
      <c r="Q593" s="262"/>
      <c r="R593" s="262"/>
      <c r="S593" s="262"/>
      <c r="T593" s="262"/>
      <c r="U593" s="262"/>
      <c r="V593" s="262"/>
      <c r="W593" s="262"/>
      <c r="X593" s="262"/>
      <c r="Y593" s="262"/>
      <c r="Z593" s="262"/>
      <c r="AA593" s="262"/>
      <c r="AB593" s="262"/>
    </row>
    <row r="594" spans="1:31" ht="12.75">
      <c r="A594" s="526"/>
      <c r="B594" s="527"/>
      <c r="C594" s="528"/>
      <c r="D594" s="529" t="s">
        <v>14717</v>
      </c>
      <c r="E594" s="530" t="s">
        <v>54</v>
      </c>
      <c r="F594" s="533">
        <v>0.92</v>
      </c>
      <c r="G594" s="532"/>
      <c r="H594" s="511"/>
      <c r="I594" s="262"/>
      <c r="J594" s="262"/>
      <c r="K594" s="262"/>
      <c r="L594" s="512"/>
      <c r="M594" s="512"/>
      <c r="N594" s="262"/>
      <c r="O594" s="262"/>
      <c r="P594" s="262"/>
      <c r="Q594" s="262"/>
      <c r="R594" s="262"/>
      <c r="S594" s="262"/>
      <c r="T594" s="262"/>
      <c r="U594" s="262"/>
      <c r="V594" s="262"/>
      <c r="W594" s="262"/>
      <c r="X594" s="262"/>
      <c r="Y594" s="262"/>
      <c r="Z594" s="262"/>
      <c r="AA594" s="262"/>
      <c r="AB594" s="262"/>
    </row>
    <row r="595" spans="1:31" ht="12.75">
      <c r="A595" s="526"/>
      <c r="B595" s="527"/>
      <c r="C595" s="528"/>
      <c r="D595" s="529" t="s">
        <v>14718</v>
      </c>
      <c r="E595" s="530" t="s">
        <v>54</v>
      </c>
      <c r="F595" s="533">
        <v>0.92</v>
      </c>
      <c r="G595" s="532"/>
      <c r="H595" s="511"/>
      <c r="I595" s="262"/>
      <c r="J595" s="262"/>
      <c r="K595" s="262"/>
      <c r="L595" s="512"/>
      <c r="M595" s="512"/>
      <c r="N595" s="262"/>
      <c r="O595" s="262"/>
      <c r="P595" s="262"/>
      <c r="Q595" s="262"/>
      <c r="R595" s="262"/>
      <c r="S595" s="262"/>
      <c r="T595" s="262"/>
      <c r="U595" s="262"/>
      <c r="V595" s="262"/>
      <c r="W595" s="262"/>
      <c r="X595" s="262"/>
      <c r="Y595" s="262"/>
      <c r="Z595" s="262"/>
      <c r="AA595" s="262"/>
      <c r="AB595" s="262"/>
    </row>
    <row r="596" spans="1:31" ht="12.75">
      <c r="A596" s="376" t="s">
        <v>14479</v>
      </c>
      <c r="B596" s="575" t="s">
        <v>14719</v>
      </c>
      <c r="C596" s="377" t="s">
        <v>14668</v>
      </c>
      <c r="D596" s="378" t="str">
        <f>VLOOKUP($C596,'• CIs EXT'!$A:$E,3,0)</f>
        <v>ARRUELA DE FERRO GALVANIZADO 1/2''</v>
      </c>
      <c r="E596" s="379" t="str">
        <f>VLOOKUP($C596,'• CIs EXT'!$A:$E,4,0)</f>
        <v>UN</v>
      </c>
      <c r="F596" s="548">
        <f>ROUNDUP(((F597)/$F$543)*1.075,4)</f>
        <v>1.9699999999999999E-2</v>
      </c>
      <c r="G596" s="379">
        <f>VLOOKUP($C596,'• CIs EXT'!$A:$E,5,0)</f>
        <v>0.23</v>
      </c>
      <c r="H596" s="549">
        <f>$F596*$G596</f>
        <v>4.5310000000000003E-3</v>
      </c>
      <c r="I596" s="262"/>
      <c r="J596" s="262"/>
      <c r="K596" s="262"/>
      <c r="L596" s="262"/>
      <c r="M596" s="262"/>
      <c r="N596" s="262"/>
      <c r="O596" s="262"/>
      <c r="P596" s="262"/>
      <c r="Q596" s="262"/>
      <c r="R596" s="262"/>
      <c r="S596" s="262"/>
      <c r="T596" s="262"/>
      <c r="U596" s="262"/>
      <c r="V596" s="262"/>
      <c r="W596" s="262"/>
      <c r="X596" s="262"/>
      <c r="Y596" s="262"/>
      <c r="Z596" s="262"/>
      <c r="AA596" s="262"/>
      <c r="AB596" s="262"/>
    </row>
    <row r="597" spans="1:31" ht="12.75">
      <c r="A597" s="526"/>
      <c r="B597" s="527"/>
      <c r="C597" s="528"/>
      <c r="D597" s="529" t="s">
        <v>14720</v>
      </c>
      <c r="E597" s="530" t="s">
        <v>6</v>
      </c>
      <c r="F597" s="531">
        <v>80</v>
      </c>
      <c r="G597" s="532"/>
      <c r="H597" s="511"/>
      <c r="I597" s="262"/>
      <c r="J597" s="262"/>
      <c r="K597" s="262"/>
      <c r="L597" s="512"/>
      <c r="M597" s="512"/>
      <c r="N597" s="262"/>
      <c r="O597" s="262"/>
      <c r="P597" s="262"/>
      <c r="Q597" s="262"/>
      <c r="R597" s="262"/>
      <c r="S597" s="262"/>
      <c r="T597" s="262"/>
      <c r="U597" s="262"/>
      <c r="V597" s="262"/>
      <c r="W597" s="262"/>
      <c r="X597" s="262"/>
      <c r="Y597" s="262"/>
      <c r="Z597" s="262"/>
      <c r="AA597" s="262"/>
      <c r="AB597" s="262"/>
    </row>
    <row r="598" spans="1:31" ht="12.75">
      <c r="A598" s="319" t="s">
        <v>14479</v>
      </c>
      <c r="B598" s="320" t="s">
        <v>14491</v>
      </c>
      <c r="C598" s="320" t="s">
        <v>14661</v>
      </c>
      <c r="D598" s="321" t="str">
        <f>VLOOKUP($C598,'09 - MC'!$A:$F,2,0)</f>
        <v>BARRA ROSCADA DE AÇO UNC - 1/2"</v>
      </c>
      <c r="E598" s="322" t="str">
        <f>VLOOKUP($C598,'09 - MC'!$A:$F,3,0)</f>
        <v>M</v>
      </c>
      <c r="F598" s="572">
        <f>ROUNDUP(((F599)/$F$543)*1.075,4)</f>
        <v>2.3E-3</v>
      </c>
      <c r="G598" s="324">
        <f>VLOOKUP($C598,'09 - MC'!$A:$F,6,0)</f>
        <v>30.56</v>
      </c>
      <c r="H598" s="325">
        <f>TRUNC(G598*F598,2)</f>
        <v>7.0000000000000007E-2</v>
      </c>
      <c r="I598" s="262"/>
      <c r="J598" s="262"/>
      <c r="K598" s="262"/>
      <c r="L598" s="262"/>
      <c r="M598" s="262"/>
      <c r="N598" s="262"/>
      <c r="O598" s="262"/>
      <c r="P598" s="262"/>
      <c r="Q598" s="262"/>
      <c r="R598" s="262"/>
      <c r="S598" s="262"/>
      <c r="T598" s="262"/>
      <c r="U598" s="262"/>
      <c r="V598" s="262"/>
      <c r="W598" s="262"/>
      <c r="X598" s="262"/>
      <c r="Y598" s="262"/>
      <c r="Z598" s="262"/>
      <c r="AA598" s="262"/>
      <c r="AB598" s="262"/>
    </row>
    <row r="599" spans="1:31" ht="12.75">
      <c r="A599" s="526"/>
      <c r="B599" s="527"/>
      <c r="C599" s="528"/>
      <c r="D599" s="529" t="s">
        <v>14721</v>
      </c>
      <c r="E599" s="530" t="s">
        <v>50</v>
      </c>
      <c r="F599" s="531">
        <v>9</v>
      </c>
      <c r="G599" s="532"/>
      <c r="H599" s="511"/>
      <c r="I599" s="262"/>
      <c r="J599" s="262"/>
      <c r="K599" s="262"/>
      <c r="L599" s="512"/>
      <c r="M599" s="512"/>
      <c r="N599" s="262"/>
      <c r="O599" s="262"/>
      <c r="P599" s="262"/>
      <c r="Q599" s="262"/>
      <c r="R599" s="262"/>
      <c r="S599" s="262"/>
      <c r="T599" s="262"/>
      <c r="U599" s="262"/>
      <c r="V599" s="262"/>
      <c r="W599" s="262"/>
      <c r="X599" s="262"/>
      <c r="Y599" s="262"/>
      <c r="Z599" s="262"/>
      <c r="AA599" s="262"/>
      <c r="AB599" s="262"/>
    </row>
    <row r="600" spans="1:31" ht="12.75">
      <c r="A600" s="376" t="s">
        <v>14479</v>
      </c>
      <c r="B600" s="312" t="s">
        <v>14489</v>
      </c>
      <c r="C600" s="377" t="s">
        <v>14639</v>
      </c>
      <c r="D600" s="378" t="str">
        <f>VLOOKUP($C600,'• CIs EXT'!$A:$E,3,0)</f>
        <v>CHUMBADOR MECÂNICO EXPANSÍVEL 1/4"X3".</v>
      </c>
      <c r="E600" s="379" t="str">
        <f>VLOOKUP($C600,'• CIs EXT'!$A:$E,4,0)</f>
        <v>UN</v>
      </c>
      <c r="F600" s="548">
        <f>ROUNDUP(((F601+F602+F603+F604+F605)/$F$543)*1.075,4)</f>
        <v>3.44E-2</v>
      </c>
      <c r="G600" s="379">
        <f>VLOOKUP($C600,'• CIs EXT'!$A:$E,5,0)</f>
        <v>1.68</v>
      </c>
      <c r="H600" s="381">
        <f>TRUNC(($F600*$G600),2)</f>
        <v>0.05</v>
      </c>
      <c r="I600" s="262"/>
      <c r="J600" s="262"/>
      <c r="K600" s="262"/>
      <c r="L600" s="262"/>
      <c r="M600" s="262"/>
      <c r="N600" s="262"/>
      <c r="O600" s="262"/>
      <c r="P600" s="262"/>
      <c r="Q600" s="262"/>
      <c r="R600" s="262"/>
      <c r="S600" s="262"/>
      <c r="T600" s="262"/>
      <c r="U600" s="262"/>
      <c r="V600" s="262"/>
      <c r="W600" s="262"/>
      <c r="X600" s="262"/>
      <c r="Y600" s="262"/>
      <c r="Z600" s="262"/>
      <c r="AA600" s="262"/>
      <c r="AB600" s="262"/>
    </row>
    <row r="601" spans="1:31" ht="12.75">
      <c r="A601" s="526"/>
      <c r="B601" s="527"/>
      <c r="C601" s="528"/>
      <c r="D601" s="529" t="s">
        <v>14722</v>
      </c>
      <c r="E601" s="530" t="s">
        <v>6</v>
      </c>
      <c r="F601" s="531">
        <v>40</v>
      </c>
      <c r="G601" s="532"/>
      <c r="H601" s="511"/>
      <c r="I601" s="262"/>
      <c r="J601" s="262"/>
      <c r="K601" s="262"/>
      <c r="L601" s="512"/>
      <c r="M601" s="512"/>
      <c r="N601" s="262"/>
      <c r="O601" s="262"/>
      <c r="P601" s="262"/>
      <c r="Q601" s="262"/>
      <c r="R601" s="262"/>
      <c r="S601" s="262"/>
      <c r="T601" s="262"/>
      <c r="U601" s="262"/>
      <c r="V601" s="262"/>
      <c r="W601" s="262"/>
      <c r="X601" s="262"/>
      <c r="Y601" s="262"/>
      <c r="Z601" s="262"/>
      <c r="AA601" s="262"/>
      <c r="AB601" s="262"/>
    </row>
    <row r="602" spans="1:31" ht="12.75">
      <c r="A602" s="526"/>
      <c r="B602" s="527"/>
      <c r="C602" s="528"/>
      <c r="D602" s="529" t="s">
        <v>14723</v>
      </c>
      <c r="E602" s="530" t="s">
        <v>6</v>
      </c>
      <c r="F602" s="531">
        <v>16</v>
      </c>
      <c r="G602" s="532"/>
      <c r="H602" s="511"/>
      <c r="I602" s="262"/>
      <c r="J602" s="262"/>
      <c r="K602" s="262"/>
      <c r="L602" s="512"/>
      <c r="M602" s="512"/>
      <c r="N602" s="262"/>
      <c r="O602" s="262"/>
      <c r="P602" s="262"/>
      <c r="Q602" s="262"/>
      <c r="R602" s="262"/>
      <c r="S602" s="262"/>
      <c r="T602" s="262"/>
      <c r="U602" s="262"/>
      <c r="V602" s="262"/>
      <c r="W602" s="262"/>
      <c r="X602" s="262"/>
      <c r="Y602" s="262"/>
      <c r="Z602" s="262"/>
      <c r="AA602" s="262"/>
      <c r="AB602" s="262"/>
    </row>
    <row r="603" spans="1:31" ht="12.75">
      <c r="A603" s="526"/>
      <c r="B603" s="527"/>
      <c r="C603" s="528"/>
      <c r="D603" s="529" t="s">
        <v>14724</v>
      </c>
      <c r="E603" s="530" t="s">
        <v>6</v>
      </c>
      <c r="F603" s="531">
        <v>32</v>
      </c>
      <c r="G603" s="532"/>
      <c r="H603" s="511"/>
      <c r="I603" s="262"/>
      <c r="J603" s="262"/>
      <c r="K603" s="262"/>
      <c r="L603" s="512"/>
      <c r="M603" s="512"/>
      <c r="N603" s="262"/>
      <c r="O603" s="262"/>
      <c r="P603" s="262"/>
      <c r="Q603" s="262"/>
      <c r="R603" s="262"/>
      <c r="S603" s="262"/>
      <c r="T603" s="262"/>
      <c r="U603" s="262"/>
      <c r="V603" s="262"/>
      <c r="W603" s="262"/>
      <c r="X603" s="262"/>
      <c r="Y603" s="262"/>
      <c r="Z603" s="262"/>
      <c r="AA603" s="262"/>
      <c r="AB603" s="262"/>
    </row>
    <row r="604" spans="1:31" ht="12.75">
      <c r="A604" s="526"/>
      <c r="B604" s="527"/>
      <c r="C604" s="528"/>
      <c r="D604" s="529" t="s">
        <v>14725</v>
      </c>
      <c r="E604" s="530" t="s">
        <v>6</v>
      </c>
      <c r="F604" s="531">
        <v>12</v>
      </c>
      <c r="G604" s="532"/>
      <c r="H604" s="511"/>
      <c r="I604" s="262"/>
      <c r="J604" s="262"/>
      <c r="K604" s="262"/>
      <c r="L604" s="512"/>
      <c r="M604" s="512"/>
      <c r="N604" s="262"/>
      <c r="O604" s="262"/>
      <c r="P604" s="262"/>
      <c r="Q604" s="262"/>
      <c r="R604" s="262"/>
      <c r="S604" s="262"/>
      <c r="T604" s="262"/>
      <c r="U604" s="262"/>
      <c r="V604" s="262"/>
      <c r="W604" s="262"/>
      <c r="X604" s="262"/>
      <c r="Y604" s="262"/>
      <c r="Z604" s="262"/>
      <c r="AA604" s="262"/>
      <c r="AB604" s="262"/>
    </row>
    <row r="605" spans="1:31" ht="12.75">
      <c r="A605" s="526"/>
      <c r="B605" s="527"/>
      <c r="C605" s="528"/>
      <c r="D605" s="529" t="s">
        <v>14726</v>
      </c>
      <c r="E605" s="530" t="s">
        <v>6</v>
      </c>
      <c r="F605" s="531">
        <v>40</v>
      </c>
      <c r="G605" s="532"/>
      <c r="H605" s="511"/>
      <c r="I605" s="262"/>
      <c r="J605" s="262"/>
      <c r="K605" s="262"/>
      <c r="L605" s="512"/>
      <c r="M605" s="512"/>
      <c r="N605" s="262"/>
      <c r="O605" s="262"/>
      <c r="P605" s="262"/>
      <c r="Q605" s="262"/>
      <c r="R605" s="262"/>
      <c r="S605" s="262"/>
      <c r="T605" s="262"/>
      <c r="U605" s="262"/>
      <c r="V605" s="262"/>
      <c r="W605" s="262"/>
      <c r="X605" s="262"/>
      <c r="Y605" s="262"/>
      <c r="Z605" s="262"/>
      <c r="AA605" s="262"/>
      <c r="AB605" s="262"/>
    </row>
    <row r="606" spans="1:31" ht="12.75">
      <c r="A606" s="376" t="s">
        <v>14479</v>
      </c>
      <c r="B606" s="312" t="s">
        <v>14600</v>
      </c>
      <c r="C606" s="377">
        <v>4685</v>
      </c>
      <c r="D606" s="378" t="str">
        <f>VLOOKUP($C606,'• CIs EXT'!$A:$E,3,0)</f>
        <v>ARRUELA P/ PARAFUSO 3/8 "</v>
      </c>
      <c r="E606" s="379" t="str">
        <f>VLOOKUP($C606,'• CIs EXT'!$A:$E,4,0)</f>
        <v>UN</v>
      </c>
      <c r="F606" s="548">
        <f>ROUNDUP(((F607)/$F$543)*1.075,4)</f>
        <v>5.8999999999999999E-3</v>
      </c>
      <c r="G606" s="379">
        <f>VLOOKUP($C606,'• CIs EXT'!$A:$E,5,0)</f>
        <v>1.99</v>
      </c>
      <c r="H606" s="381">
        <f>TRUNC(($F606*$G606),2)</f>
        <v>0.01</v>
      </c>
      <c r="I606" s="262"/>
      <c r="J606" s="262"/>
      <c r="K606" s="262"/>
      <c r="L606" s="262"/>
      <c r="M606" s="262"/>
      <c r="N606" s="262"/>
      <c r="O606" s="262"/>
      <c r="P606" s="262"/>
      <c r="Q606" s="262"/>
      <c r="R606" s="262"/>
      <c r="S606" s="262"/>
      <c r="T606" s="262"/>
      <c r="U606" s="262"/>
      <c r="V606" s="262"/>
      <c r="W606" s="262"/>
      <c r="X606" s="262"/>
      <c r="Y606" s="262"/>
      <c r="Z606" s="262"/>
      <c r="AA606" s="262"/>
      <c r="AB606" s="262"/>
    </row>
    <row r="607" spans="1:31" ht="12.75">
      <c r="A607" s="526"/>
      <c r="B607" s="527"/>
      <c r="C607" s="528"/>
      <c r="D607" s="529" t="s">
        <v>14727</v>
      </c>
      <c r="E607" s="530" t="s">
        <v>6</v>
      </c>
      <c r="F607" s="531">
        <v>24</v>
      </c>
      <c r="G607" s="532"/>
      <c r="H607" s="511"/>
      <c r="I607" s="262"/>
      <c r="J607" s="262"/>
      <c r="K607" s="262"/>
      <c r="L607" s="512"/>
      <c r="M607" s="512"/>
      <c r="N607" s="262"/>
      <c r="O607" s="262"/>
      <c r="P607" s="262"/>
      <c r="Q607" s="262"/>
      <c r="R607" s="262"/>
      <c r="S607" s="262"/>
      <c r="T607" s="262"/>
      <c r="U607" s="262"/>
      <c r="V607" s="262"/>
      <c r="W607" s="262"/>
      <c r="X607" s="262"/>
      <c r="Y607" s="262"/>
      <c r="Z607" s="262"/>
      <c r="AA607" s="262"/>
      <c r="AB607" s="262"/>
    </row>
    <row r="608" spans="1:31" ht="38.25">
      <c r="A608" s="513" t="s">
        <v>14478</v>
      </c>
      <c r="B608" s="550" t="s">
        <v>14476</v>
      </c>
      <c r="C608" s="551">
        <v>100721</v>
      </c>
      <c r="D608" s="515" t="str">
        <f>IFERROR(VLOOKUP($C608,'24.08_ND'!$A:$D,2,0),)</f>
        <v>PINTURA COM TINTA ALQUÍDICA DE FUNDO (TIPO ZARCÃO) PULVERIZADA SOBRE SUPERFÍCIES METÁLICAS (EXCETO PERFIL) EXECUTADO EM OBRA (POR DEMÃO). AF_01/2020_PE</v>
      </c>
      <c r="E608" s="516" t="str">
        <f>IFERROR(VLOOKUP($C608,'24.08_ND'!$A:$D,3,0),)</f>
        <v>M2</v>
      </c>
      <c r="F608" s="552">
        <f>ROUNDUP((362.06/$F$543)*1.075,4)</f>
        <v>8.8800000000000004E-2</v>
      </c>
      <c r="G608" s="518">
        <f>IFERROR(VLOOKUP($C608,'24.08_ND'!$A:$D,4,0),)</f>
        <v>20.97</v>
      </c>
      <c r="H608" s="519">
        <f>TRUNC(($F608*$G608),2)</f>
        <v>1.86</v>
      </c>
      <c r="I608" s="262"/>
      <c r="J608" s="262"/>
      <c r="K608" s="262"/>
      <c r="L608" s="512"/>
      <c r="M608" s="512"/>
      <c r="N608" s="262"/>
      <c r="O608" s="262"/>
      <c r="P608" s="262"/>
      <c r="Q608" s="262"/>
      <c r="R608" s="262"/>
      <c r="S608" s="262"/>
      <c r="T608" s="262"/>
      <c r="U608" s="262"/>
      <c r="V608" s="262"/>
      <c r="W608" s="262"/>
      <c r="X608" s="262"/>
      <c r="Y608" s="262"/>
      <c r="Z608" s="262"/>
      <c r="AA608" s="262"/>
      <c r="AB608" s="262"/>
      <c r="AD608" s="1791" t="e">
        <f>VLOOKUP(C608,'Medição '!$B$16:$F$1833,6,0)</f>
        <v>#REF!</v>
      </c>
      <c r="AE608" s="1791"/>
    </row>
    <row r="609" spans="1:31" ht="38.25">
      <c r="A609" s="513" t="s">
        <v>14478</v>
      </c>
      <c r="B609" s="550" t="s">
        <v>14476</v>
      </c>
      <c r="C609" s="551">
        <v>100761</v>
      </c>
      <c r="D609" s="515" t="str">
        <f>IFERROR(VLOOKUP($C609,'24.08_ND'!$A:$D,2,0),)</f>
        <v>PINTURA COM TINTA ALQUÍDICA DE ACABAMENTO (ESMALTE SINTÉTICO FOSCO) PULVERIZADA SOBRE SUPERFÍCIES METÁLICAS (EXCETO PERFIL) EXECUTADO EM OBRA (02 DEMÃOS). AF_01/2020_PE</v>
      </c>
      <c r="E609" s="516" t="str">
        <f>IFERROR(VLOOKUP($C609,'24.08_ND'!$A:$D,3,0),)</f>
        <v>M2</v>
      </c>
      <c r="F609" s="552">
        <f>ROUNDUP((362.06/$F$543)*1.075,4)</f>
        <v>8.8800000000000004E-2</v>
      </c>
      <c r="G609" s="518">
        <f>IFERROR(VLOOKUP($C609,'24.08_ND'!$A:$D,4,0),)</f>
        <v>41.11</v>
      </c>
      <c r="H609" s="519">
        <f>TRUNC(($F609*$G609),2)</f>
        <v>3.65</v>
      </c>
      <c r="I609" s="262"/>
      <c r="J609" s="262"/>
      <c r="K609" s="262"/>
      <c r="L609" s="512"/>
      <c r="M609" s="512"/>
      <c r="N609" s="262"/>
      <c r="O609" s="262"/>
      <c r="P609" s="262"/>
      <c r="Q609" s="262"/>
      <c r="R609" s="262"/>
      <c r="S609" s="262"/>
      <c r="T609" s="262"/>
      <c r="U609" s="262"/>
      <c r="V609" s="262"/>
      <c r="W609" s="262"/>
      <c r="X609" s="262"/>
      <c r="Y609" s="262"/>
      <c r="Z609" s="262"/>
      <c r="AA609" s="262"/>
      <c r="AB609" s="262"/>
      <c r="AD609" s="1791" t="e">
        <f>VLOOKUP(C609,'Medição '!$B$16:$F$1833,6,0)</f>
        <v>#REF!</v>
      </c>
      <c r="AE609" s="1791"/>
    </row>
    <row r="610" spans="1:31" ht="25.5">
      <c r="A610" s="376" t="s">
        <v>14478</v>
      </c>
      <c r="B610" s="312" t="str">
        <f>VLOOKUP($C610,'• CIs EXT'!$A:$E,2,0)</f>
        <v>SETOP</v>
      </c>
      <c r="C610" s="377" t="s">
        <v>14619</v>
      </c>
      <c r="D610" s="378" t="str">
        <f>VLOOKUP($C610,'• CIs EXT'!$A:$E,3,0)</f>
        <v>SERVIÇO DE CORTE E DOBRA EM CHAPA DE AÇO, EXCLUSIVE FORNECIMENTO</v>
      </c>
      <c r="E610" s="379" t="str">
        <f>VLOOKUP($C610,'• CIs EXT'!$A:$E,4,0)</f>
        <v>KG</v>
      </c>
      <c r="F610" s="548">
        <v>1</v>
      </c>
      <c r="G610" s="379">
        <f>VLOOKUP($C610,'• CIs EXT'!$A:$E,5,0)</f>
        <v>2.88</v>
      </c>
      <c r="H610" s="381">
        <f>TRUNC(($F610*$G610),2)</f>
        <v>2.88</v>
      </c>
      <c r="I610" s="262"/>
      <c r="J610" s="262"/>
      <c r="K610" s="262"/>
      <c r="L610" s="262"/>
      <c r="M610" s="262"/>
      <c r="N610" s="262"/>
      <c r="O610" s="262"/>
      <c r="P610" s="262"/>
      <c r="Q610" s="262"/>
      <c r="R610" s="262"/>
      <c r="S610" s="262"/>
      <c r="T610" s="262"/>
      <c r="U610" s="262"/>
      <c r="V610" s="262"/>
      <c r="W610" s="262"/>
      <c r="X610" s="262"/>
      <c r="Y610" s="262"/>
      <c r="Z610" s="262"/>
      <c r="AA610" s="262"/>
      <c r="AB610" s="262"/>
    </row>
    <row r="611" spans="1:31" ht="12.75">
      <c r="A611" s="566"/>
      <c r="B611" s="567"/>
      <c r="C611" s="568"/>
      <c r="D611" s="569"/>
      <c r="E611" s="567"/>
      <c r="F611" s="306"/>
      <c r="G611" s="570"/>
      <c r="H611" s="571"/>
      <c r="I611" s="368"/>
      <c r="J611" s="368"/>
      <c r="K611" s="368"/>
      <c r="L611" s="368"/>
      <c r="M611" s="368"/>
      <c r="N611" s="368"/>
      <c r="O611" s="368"/>
      <c r="P611" s="368"/>
      <c r="Q611" s="368"/>
      <c r="R611" s="368"/>
      <c r="S611" s="368"/>
      <c r="T611" s="368"/>
      <c r="U611" s="368"/>
      <c r="V611" s="368"/>
      <c r="W611" s="368"/>
      <c r="X611" s="368"/>
      <c r="Y611" s="368"/>
      <c r="Z611" s="368"/>
      <c r="AA611" s="368"/>
      <c r="AB611" s="368"/>
    </row>
    <row r="612" spans="1:31" ht="12.75">
      <c r="A612" s="566"/>
      <c r="B612" s="567"/>
      <c r="C612" s="568"/>
      <c r="D612" s="569"/>
      <c r="E612" s="567"/>
      <c r="F612" s="306"/>
      <c r="G612" s="570"/>
      <c r="H612" s="571"/>
      <c r="I612" s="368"/>
      <c r="J612" s="368"/>
      <c r="K612" s="368"/>
      <c r="L612" s="368"/>
      <c r="M612" s="368"/>
      <c r="N612" s="368"/>
      <c r="O612" s="368"/>
      <c r="P612" s="368"/>
      <c r="Q612" s="368"/>
      <c r="R612" s="368"/>
      <c r="S612" s="368"/>
      <c r="T612" s="368"/>
      <c r="U612" s="368"/>
      <c r="V612" s="368"/>
      <c r="W612" s="368"/>
      <c r="X612" s="368"/>
      <c r="Y612" s="368"/>
      <c r="Z612" s="368"/>
      <c r="AA612" s="368"/>
      <c r="AB612" s="368"/>
    </row>
    <row r="613" spans="1:31" ht="12.75">
      <c r="A613" s="566"/>
      <c r="B613" s="567"/>
      <c r="C613" s="568"/>
      <c r="D613" s="569"/>
      <c r="E613" s="567"/>
      <c r="F613" s="306"/>
      <c r="G613" s="570"/>
      <c r="H613" s="571"/>
      <c r="I613" s="368"/>
      <c r="J613" s="368"/>
      <c r="K613" s="368"/>
      <c r="L613" s="368"/>
      <c r="M613" s="368"/>
      <c r="N613" s="368"/>
      <c r="O613" s="368"/>
      <c r="P613" s="368"/>
      <c r="Q613" s="368"/>
      <c r="R613" s="368"/>
      <c r="S613" s="368"/>
      <c r="T613" s="368"/>
      <c r="U613" s="368"/>
      <c r="V613" s="368"/>
      <c r="W613" s="368"/>
      <c r="X613" s="368"/>
      <c r="Y613" s="368"/>
      <c r="Z613" s="368"/>
      <c r="AA613" s="368"/>
      <c r="AB613" s="368"/>
    </row>
    <row r="614" spans="1:31" ht="12.75">
      <c r="A614" s="566"/>
      <c r="B614" s="567"/>
      <c r="C614" s="568"/>
      <c r="D614" s="569"/>
      <c r="E614" s="567"/>
      <c r="F614" s="306"/>
      <c r="G614" s="570"/>
      <c r="H614" s="571"/>
      <c r="I614" s="368"/>
      <c r="J614" s="368"/>
      <c r="K614" s="368"/>
      <c r="L614" s="368"/>
      <c r="M614" s="368"/>
      <c r="N614" s="368"/>
      <c r="O614" s="368"/>
      <c r="P614" s="368"/>
      <c r="Q614" s="368"/>
      <c r="R614" s="368"/>
      <c r="S614" s="368"/>
      <c r="T614" s="368"/>
      <c r="U614" s="368"/>
      <c r="V614" s="368"/>
      <c r="W614" s="368"/>
      <c r="X614" s="368"/>
      <c r="Y614" s="368"/>
      <c r="Z614" s="368"/>
      <c r="AA614" s="368"/>
      <c r="AB614" s="368"/>
    </row>
    <row r="615" spans="1:31" ht="12.75">
      <c r="A615" s="566"/>
      <c r="B615" s="567"/>
      <c r="C615" s="568"/>
      <c r="D615" s="569">
        <f>IFERROR(VLOOKUP($C615,'[3]24'!$1:$9001,2,0),)</f>
        <v>0</v>
      </c>
      <c r="E615" s="567"/>
      <c r="F615" s="306"/>
      <c r="G615" s="570"/>
      <c r="H615" s="571"/>
      <c r="I615" s="368"/>
      <c r="J615" s="368"/>
      <c r="K615" s="368"/>
      <c r="L615" s="368"/>
      <c r="M615" s="368"/>
      <c r="N615" s="368"/>
      <c r="O615" s="368"/>
      <c r="P615" s="368"/>
      <c r="Q615" s="368"/>
      <c r="R615" s="368"/>
      <c r="S615" s="368"/>
      <c r="T615" s="368"/>
      <c r="U615" s="368"/>
      <c r="V615" s="368"/>
      <c r="W615" s="368"/>
      <c r="X615" s="368"/>
      <c r="Y615" s="368"/>
      <c r="Z615" s="368"/>
      <c r="AA615" s="368"/>
      <c r="AB615" s="368"/>
    </row>
    <row r="616" spans="1:31" ht="30" customHeight="1">
      <c r="A616" s="270" t="s">
        <v>14728</v>
      </c>
      <c r="B616" s="397"/>
      <c r="C616" s="398"/>
      <c r="D616" s="397"/>
      <c r="E616" s="397"/>
      <c r="F616" s="399"/>
      <c r="G616" s="397"/>
      <c r="H616" s="400"/>
      <c r="I616" s="262"/>
      <c r="J616" s="262"/>
      <c r="K616" s="262"/>
      <c r="N616" s="262"/>
      <c r="O616" s="262"/>
      <c r="P616" s="262"/>
      <c r="Q616" s="262"/>
      <c r="R616" s="262"/>
      <c r="S616" s="262"/>
      <c r="T616" s="262"/>
      <c r="U616" s="262"/>
      <c r="V616" s="262"/>
      <c r="W616" s="262"/>
      <c r="X616" s="262"/>
      <c r="Y616" s="262"/>
      <c r="Z616" s="262"/>
      <c r="AA616" s="262"/>
      <c r="AB616" s="262"/>
    </row>
    <row r="617" spans="1:31" ht="25.5">
      <c r="A617" s="271" t="s">
        <v>14471</v>
      </c>
      <c r="B617" s="272" t="s">
        <v>14472</v>
      </c>
      <c r="C617" s="273" t="s">
        <v>14729</v>
      </c>
      <c r="D617" s="274" t="s">
        <v>14730</v>
      </c>
      <c r="E617" s="272" t="s">
        <v>409</v>
      </c>
      <c r="F617" s="272"/>
      <c r="G617" s="272"/>
      <c r="H617" s="275">
        <f>SUM(H619:H623)</f>
        <v>221.66</v>
      </c>
      <c r="I617" s="276">
        <f>COUNTIF($C$8:$C617,C:C)</f>
        <v>1</v>
      </c>
      <c r="J617" s="262"/>
      <c r="K617" s="262"/>
      <c r="L617" s="262"/>
      <c r="M617" s="262"/>
      <c r="N617" s="262"/>
      <c r="O617" s="262"/>
      <c r="P617" s="262"/>
      <c r="Q617" s="262"/>
      <c r="R617" s="262"/>
      <c r="S617" s="262"/>
      <c r="T617" s="262"/>
      <c r="U617" s="262"/>
      <c r="V617" s="262"/>
      <c r="W617" s="262"/>
      <c r="X617" s="262"/>
      <c r="Y617" s="262"/>
      <c r="Z617" s="262"/>
      <c r="AA617" s="262"/>
      <c r="AB617" s="262"/>
    </row>
    <row r="618" spans="1:31" ht="12.75">
      <c r="A618" s="277" t="s">
        <v>14475</v>
      </c>
      <c r="B618" s="327" t="s">
        <v>14476</v>
      </c>
      <c r="C618" s="327">
        <v>104598</v>
      </c>
      <c r="D618" s="280" t="s">
        <v>14567</v>
      </c>
      <c r="E618" s="329"/>
      <c r="F618" s="282"/>
      <c r="G618" s="283"/>
      <c r="H618" s="284"/>
      <c r="I618" s="262"/>
      <c r="J618" s="262"/>
      <c r="K618" s="262"/>
      <c r="L618" s="262"/>
      <c r="M618" s="262"/>
      <c r="N618" s="262"/>
      <c r="O618" s="262"/>
      <c r="P618" s="262"/>
      <c r="Q618" s="262"/>
      <c r="R618" s="262"/>
      <c r="S618" s="262"/>
      <c r="T618" s="262"/>
      <c r="U618" s="262"/>
      <c r="V618" s="262"/>
      <c r="W618" s="262"/>
      <c r="X618" s="262"/>
      <c r="Y618" s="262"/>
      <c r="Z618" s="262"/>
      <c r="AA618" s="262"/>
      <c r="AB618" s="262"/>
    </row>
    <row r="619" spans="1:31" ht="25.5">
      <c r="A619" s="285" t="s">
        <v>14478</v>
      </c>
      <c r="B619" s="286" t="s">
        <v>14476</v>
      </c>
      <c r="C619" s="287">
        <v>88256</v>
      </c>
      <c r="D619" s="288" t="str">
        <f>IFERROR(VLOOKUP($C619,'24.08_ND'!$A:$D,2,0),)</f>
        <v>AZULEJISTA OU LADRILHISTA COM ENCARGOS COMPLEMENTARES</v>
      </c>
      <c r="E619" s="289" t="str">
        <f>IFERROR(VLOOKUP($C619,'24.08_ND'!$A:$D,3,0),)</f>
        <v>H</v>
      </c>
      <c r="F619" s="290">
        <v>0.22561875000000001</v>
      </c>
      <c r="G619" s="291">
        <f>IFERROR(VLOOKUP($C619,'24.08_ND'!$A:$D,4,0),)</f>
        <v>23.2</v>
      </c>
      <c r="H619" s="292">
        <f>TRUNC(($F619*$G619),2)</f>
        <v>5.23</v>
      </c>
      <c r="I619" s="262"/>
      <c r="J619" s="262"/>
      <c r="K619" s="262"/>
      <c r="L619" s="262"/>
      <c r="M619" s="262"/>
      <c r="N619" s="262"/>
      <c r="O619" s="262"/>
      <c r="P619" s="262"/>
      <c r="Q619" s="262"/>
      <c r="R619" s="262"/>
      <c r="S619" s="262"/>
      <c r="T619" s="262"/>
      <c r="U619" s="262"/>
      <c r="V619" s="262"/>
      <c r="W619" s="262"/>
      <c r="X619" s="262"/>
      <c r="Y619" s="262"/>
      <c r="Z619" s="262"/>
      <c r="AA619" s="262"/>
      <c r="AB619" s="262"/>
      <c r="AD619" s="1791" t="e">
        <f>VLOOKUP(C619,'Medição '!$B$16:$F$1833,6,0)</f>
        <v>#N/A</v>
      </c>
      <c r="AE619" s="1791"/>
    </row>
    <row r="620" spans="1:31" ht="25.5">
      <c r="A620" s="285" t="s">
        <v>14478</v>
      </c>
      <c r="B620" s="286" t="s">
        <v>14476</v>
      </c>
      <c r="C620" s="287">
        <v>88316</v>
      </c>
      <c r="D620" s="288" t="str">
        <f>IFERROR(VLOOKUP($C620,'24.08_ND'!$A:$D,2,0),)</f>
        <v>SERVENTE COM ENCARGOS COMPLEMENTARES</v>
      </c>
      <c r="E620" s="289" t="str">
        <f>IFERROR(VLOOKUP($C620,'24.08_ND'!$A:$D,3,0),)</f>
        <v>H</v>
      </c>
      <c r="F620" s="290">
        <v>7.1465625000000005E-2</v>
      </c>
      <c r="G620" s="291">
        <f>IFERROR(VLOOKUP($C620,'24.08_ND'!$A:$D,4,0),)</f>
        <v>18.510000000000002</v>
      </c>
      <c r="H620" s="292">
        <f>TRUNC(($F620*$G620),2)</f>
        <v>1.32</v>
      </c>
      <c r="I620" s="262"/>
      <c r="J620" s="262"/>
      <c r="K620" s="262"/>
      <c r="L620" s="262"/>
      <c r="M620" s="262"/>
      <c r="N620" s="262"/>
      <c r="O620" s="262"/>
      <c r="P620" s="262"/>
      <c r="Q620" s="262"/>
      <c r="R620" s="262"/>
      <c r="S620" s="262"/>
      <c r="T620" s="262"/>
      <c r="U620" s="262"/>
      <c r="V620" s="262"/>
      <c r="W620" s="262"/>
      <c r="X620" s="262"/>
      <c r="Y620" s="262"/>
      <c r="Z620" s="262"/>
      <c r="AA620" s="262"/>
      <c r="AB620" s="262"/>
      <c r="AD620" s="1791" t="e">
        <f>VLOOKUP(C620,'Medição '!$B$16:$F$1833,6,0)</f>
        <v>#N/A</v>
      </c>
      <c r="AE620" s="1791"/>
    </row>
    <row r="621" spans="1:31" ht="12.75">
      <c r="A621" s="293" t="s">
        <v>14479</v>
      </c>
      <c r="B621" s="294" t="s">
        <v>14476</v>
      </c>
      <c r="C621" s="295">
        <v>34357</v>
      </c>
      <c r="D621" s="296" t="str">
        <f>IFERROR(VLOOKUP($C621,'24.08_ND'!$A:$D,2,0),)</f>
        <v>REJUNTE CIMENTICIO, QUALQUER COR</v>
      </c>
      <c r="E621" s="297" t="str">
        <f>IFERROR(VLOOKUP($C621,'24.08_ND'!$A:$D,3,0),)</f>
        <v>KG</v>
      </c>
      <c r="F621" s="298">
        <v>7.9500000000000001E-2</v>
      </c>
      <c r="G621" s="299">
        <f>IFERROR(VLOOKUP($C621,'24.08_ND'!$A:$D,4,0),)</f>
        <v>6.41</v>
      </c>
      <c r="H621" s="300">
        <f>TRUNC(($F621*$G621),2)</f>
        <v>0.5</v>
      </c>
      <c r="I621" s="262"/>
      <c r="J621" s="262"/>
      <c r="K621" s="262"/>
      <c r="L621" s="262"/>
      <c r="M621" s="262"/>
      <c r="N621" s="262"/>
      <c r="O621" s="262"/>
      <c r="P621" s="262"/>
      <c r="Q621" s="262"/>
      <c r="R621" s="262"/>
      <c r="S621" s="262"/>
      <c r="T621" s="262"/>
      <c r="U621" s="262"/>
      <c r="V621" s="262"/>
      <c r="W621" s="262"/>
      <c r="X621" s="262"/>
      <c r="Y621" s="262"/>
      <c r="Z621" s="262"/>
      <c r="AA621" s="262"/>
      <c r="AB621" s="262"/>
    </row>
    <row r="622" spans="1:31" ht="12.75">
      <c r="A622" s="293" t="s">
        <v>14479</v>
      </c>
      <c r="B622" s="294" t="s">
        <v>14476</v>
      </c>
      <c r="C622" s="295">
        <v>37595</v>
      </c>
      <c r="D622" s="296" t="str">
        <f>IFERROR(VLOOKUP($C622,'24.08_ND'!$A:$D,2,0),)</f>
        <v>ARGAMASSA COLANTE TIPO AC III</v>
      </c>
      <c r="E622" s="297" t="str">
        <f>IFERROR(VLOOKUP($C622,'24.08_ND'!$A:$D,3,0),)</f>
        <v>KG</v>
      </c>
      <c r="F622" s="298">
        <v>3.8517187499999999</v>
      </c>
      <c r="G622" s="299">
        <f>IFERROR(VLOOKUP($C622,'24.08_ND'!$A:$D,4,0),)</f>
        <v>3.36</v>
      </c>
      <c r="H622" s="300">
        <f>TRUNC(($F622*$G622),2)</f>
        <v>12.94</v>
      </c>
      <c r="I622" s="262"/>
      <c r="J622" s="262"/>
      <c r="K622" s="262"/>
      <c r="L622" s="262"/>
      <c r="M622" s="262"/>
      <c r="N622" s="262"/>
      <c r="O622" s="262"/>
      <c r="P622" s="262"/>
      <c r="Q622" s="262"/>
      <c r="R622" s="262"/>
      <c r="S622" s="262"/>
      <c r="T622" s="262"/>
      <c r="U622" s="262"/>
      <c r="V622" s="262"/>
      <c r="W622" s="262"/>
      <c r="X622" s="262"/>
      <c r="Y622" s="262"/>
      <c r="Z622" s="262"/>
      <c r="AA622" s="262"/>
      <c r="AB622" s="262"/>
    </row>
    <row r="623" spans="1:31" ht="12.75">
      <c r="A623" s="317" t="s">
        <v>14479</v>
      </c>
      <c r="B623" s="312" t="str">
        <f>VLOOKUP($C623,'• CIs EXT'!$A:$E,2,0)</f>
        <v>SEDOP</v>
      </c>
      <c r="C623" s="313" t="s">
        <v>14731</v>
      </c>
      <c r="D623" s="314" t="str">
        <f>VLOOKUP($C623,'• CIs EXT'!$A:$E,3,0)</f>
        <v>PORCELANATO - PADRÃO ALTO</v>
      </c>
      <c r="E623" s="312" t="str">
        <f>VLOOKUP($C623,'• CIs EXT'!$A:$E,4,0)</f>
        <v>M2</v>
      </c>
      <c r="F623" s="315">
        <v>1.1000000000000001</v>
      </c>
      <c r="G623" s="312">
        <f>VLOOKUP($C623,'• CIs EXT'!$A:$E,5,0)</f>
        <v>183.34</v>
      </c>
      <c r="H623" s="316">
        <f>TRUNC(($F623*$G623),2)</f>
        <v>201.67</v>
      </c>
      <c r="I623" s="262"/>
      <c r="J623" s="262"/>
      <c r="K623" s="262"/>
      <c r="L623" s="262"/>
      <c r="M623" s="262"/>
      <c r="N623" s="262"/>
      <c r="O623" s="262"/>
      <c r="P623" s="262"/>
      <c r="Q623" s="262"/>
      <c r="R623" s="262"/>
      <c r="S623" s="262"/>
      <c r="T623" s="262"/>
      <c r="U623" s="262"/>
      <c r="V623" s="262"/>
      <c r="W623" s="262"/>
      <c r="X623" s="262"/>
      <c r="Y623" s="262"/>
      <c r="Z623" s="262"/>
      <c r="AA623" s="262"/>
      <c r="AB623" s="262"/>
    </row>
    <row r="624" spans="1:31" ht="12.75">
      <c r="A624" s="309"/>
      <c r="B624" s="303"/>
      <c r="C624" s="303"/>
      <c r="D624" s="310"/>
      <c r="E624" s="303"/>
      <c r="F624" s="306"/>
      <c r="G624" s="307"/>
      <c r="H624" s="308"/>
      <c r="I624" s="262"/>
      <c r="J624" s="262"/>
      <c r="K624" s="262"/>
      <c r="L624" s="262"/>
      <c r="M624" s="262"/>
      <c r="N624" s="262"/>
      <c r="O624" s="262"/>
      <c r="P624" s="262"/>
      <c r="Q624" s="262"/>
      <c r="R624" s="262"/>
      <c r="S624" s="262"/>
      <c r="T624" s="262"/>
      <c r="U624" s="262"/>
      <c r="V624" s="262"/>
      <c r="W624" s="262"/>
      <c r="X624" s="262"/>
      <c r="Y624" s="262"/>
      <c r="Z624" s="262"/>
      <c r="AA624" s="262"/>
      <c r="AB624" s="262"/>
    </row>
    <row r="625" spans="1:31" ht="25.5">
      <c r="A625" s="271" t="s">
        <v>14471</v>
      </c>
      <c r="B625" s="272" t="s">
        <v>14472</v>
      </c>
      <c r="C625" s="273" t="s">
        <v>14732</v>
      </c>
      <c r="D625" s="274" t="s">
        <v>14733</v>
      </c>
      <c r="E625" s="272" t="s">
        <v>409</v>
      </c>
      <c r="F625" s="272"/>
      <c r="G625" s="272"/>
      <c r="H625" s="275">
        <f>SUM(H627:H631)</f>
        <v>221.66</v>
      </c>
      <c r="I625" s="276">
        <f>COUNTIF($C$8:$C625,C:C)</f>
        <v>1</v>
      </c>
      <c r="J625" s="262"/>
      <c r="K625" s="262"/>
      <c r="L625" s="262"/>
      <c r="M625" s="262"/>
      <c r="N625" s="262"/>
      <c r="O625" s="262"/>
      <c r="P625" s="262"/>
      <c r="Q625" s="262"/>
      <c r="R625" s="262"/>
      <c r="S625" s="262"/>
      <c r="T625" s="262"/>
      <c r="U625" s="262"/>
      <c r="V625" s="262"/>
      <c r="W625" s="262"/>
      <c r="X625" s="262"/>
      <c r="Y625" s="262"/>
      <c r="Z625" s="262"/>
      <c r="AA625" s="262"/>
      <c r="AB625" s="262"/>
    </row>
    <row r="626" spans="1:31" ht="12.75">
      <c r="A626" s="277" t="s">
        <v>14475</v>
      </c>
      <c r="B626" s="327" t="s">
        <v>14476</v>
      </c>
      <c r="C626" s="327">
        <v>87263</v>
      </c>
      <c r="D626" s="280" t="s">
        <v>14477</v>
      </c>
      <c r="E626" s="329"/>
      <c r="F626" s="282"/>
      <c r="G626" s="283"/>
      <c r="H626" s="284"/>
      <c r="I626" s="262"/>
      <c r="J626" s="262"/>
      <c r="K626" s="262"/>
      <c r="L626" s="262"/>
      <c r="M626" s="262"/>
      <c r="N626" s="262"/>
      <c r="O626" s="262"/>
      <c r="P626" s="262"/>
      <c r="Q626" s="262"/>
      <c r="R626" s="262"/>
      <c r="S626" s="262"/>
      <c r="T626" s="262"/>
      <c r="U626" s="262"/>
      <c r="V626" s="262"/>
      <c r="W626" s="262"/>
      <c r="X626" s="262"/>
      <c r="Y626" s="262"/>
      <c r="Z626" s="262"/>
      <c r="AA626" s="262"/>
      <c r="AB626" s="262"/>
    </row>
    <row r="627" spans="1:31" ht="25.5">
      <c r="A627" s="285" t="s">
        <v>14478</v>
      </c>
      <c r="B627" s="286" t="s">
        <v>14476</v>
      </c>
      <c r="C627" s="287">
        <v>88256</v>
      </c>
      <c r="D627" s="288" t="str">
        <f>IFERROR(VLOOKUP($C627,'24.08_ND'!$A:$D,2,0),)</f>
        <v>AZULEJISTA OU LADRILHISTA COM ENCARGOS COMPLEMENTARES</v>
      </c>
      <c r="E627" s="289" t="str">
        <f>IFERROR(VLOOKUP($C627,'24.08_ND'!$A:$D,3,0),)</f>
        <v>H</v>
      </c>
      <c r="F627" s="290">
        <v>0.22561875000000001</v>
      </c>
      <c r="G627" s="291">
        <f>IFERROR(VLOOKUP($C627,'24.08_ND'!$A:$D,4,0),)</f>
        <v>23.2</v>
      </c>
      <c r="H627" s="292">
        <f>TRUNC(($F627*$G627),2)</f>
        <v>5.23</v>
      </c>
      <c r="I627" s="262"/>
      <c r="J627" s="262"/>
      <c r="K627" s="262"/>
      <c r="L627" s="262"/>
      <c r="M627" s="262"/>
      <c r="N627" s="262"/>
      <c r="O627" s="262"/>
      <c r="P627" s="262"/>
      <c r="Q627" s="262"/>
      <c r="R627" s="262"/>
      <c r="S627" s="262"/>
      <c r="T627" s="262"/>
      <c r="U627" s="262"/>
      <c r="V627" s="262"/>
      <c r="W627" s="262"/>
      <c r="X627" s="262"/>
      <c r="Y627" s="262"/>
      <c r="Z627" s="262"/>
      <c r="AA627" s="262"/>
      <c r="AB627" s="262"/>
      <c r="AD627" s="1791" t="e">
        <f>VLOOKUP(C627,'Medição '!$B$16:$F$1833,6,0)</f>
        <v>#N/A</v>
      </c>
      <c r="AE627" s="1791"/>
    </row>
    <row r="628" spans="1:31" ht="25.5">
      <c r="A628" s="285" t="s">
        <v>14478</v>
      </c>
      <c r="B628" s="286" t="s">
        <v>14476</v>
      </c>
      <c r="C628" s="287">
        <v>88316</v>
      </c>
      <c r="D628" s="288" t="str">
        <f>IFERROR(VLOOKUP($C628,'24.08_ND'!$A:$D,2,0),)</f>
        <v>SERVENTE COM ENCARGOS COMPLEMENTARES</v>
      </c>
      <c r="E628" s="289" t="str">
        <f>IFERROR(VLOOKUP($C628,'24.08_ND'!$A:$D,3,0),)</f>
        <v>H</v>
      </c>
      <c r="F628" s="290">
        <v>7.1465625000000005E-2</v>
      </c>
      <c r="G628" s="291">
        <f>IFERROR(VLOOKUP($C628,'24.08_ND'!$A:$D,4,0),)</f>
        <v>18.510000000000002</v>
      </c>
      <c r="H628" s="292">
        <f>TRUNC(($F628*$G628),2)</f>
        <v>1.32</v>
      </c>
      <c r="I628" s="262"/>
      <c r="J628" s="262"/>
      <c r="K628" s="262"/>
      <c r="L628" s="262"/>
      <c r="M628" s="262"/>
      <c r="N628" s="262"/>
      <c r="O628" s="262"/>
      <c r="P628" s="262"/>
      <c r="Q628" s="262"/>
      <c r="R628" s="262"/>
      <c r="S628" s="262"/>
      <c r="T628" s="262"/>
      <c r="U628" s="262"/>
      <c r="V628" s="262"/>
      <c r="W628" s="262"/>
      <c r="X628" s="262"/>
      <c r="Y628" s="262"/>
      <c r="Z628" s="262"/>
      <c r="AA628" s="262"/>
      <c r="AB628" s="262"/>
      <c r="AD628" s="1791" t="e">
        <f>VLOOKUP(C628,'Medição '!$B$16:$F$1833,6,0)</f>
        <v>#N/A</v>
      </c>
      <c r="AE628" s="1791"/>
    </row>
    <row r="629" spans="1:31" ht="12.75">
      <c r="A629" s="293" t="s">
        <v>14479</v>
      </c>
      <c r="B629" s="294" t="s">
        <v>14476</v>
      </c>
      <c r="C629" s="295">
        <v>34357</v>
      </c>
      <c r="D629" s="296" t="str">
        <f>IFERROR(VLOOKUP($C629,'24.08_ND'!$A:$D,2,0),)</f>
        <v>REJUNTE CIMENTICIO, QUALQUER COR</v>
      </c>
      <c r="E629" s="297" t="str">
        <f>IFERROR(VLOOKUP($C629,'24.08_ND'!$A:$D,3,0),)</f>
        <v>KG</v>
      </c>
      <c r="F629" s="298">
        <v>7.9500000000000001E-2</v>
      </c>
      <c r="G629" s="299">
        <f>IFERROR(VLOOKUP($C629,'24.08_ND'!$A:$D,4,0),)</f>
        <v>6.41</v>
      </c>
      <c r="H629" s="300">
        <f>TRUNC(($F629*$G629),2)</f>
        <v>0.5</v>
      </c>
      <c r="I629" s="262"/>
      <c r="J629" s="262"/>
      <c r="K629" s="262"/>
      <c r="L629" s="262"/>
      <c r="M629" s="262"/>
      <c r="N629" s="262"/>
      <c r="O629" s="262"/>
      <c r="P629" s="262"/>
      <c r="Q629" s="262"/>
      <c r="R629" s="262"/>
      <c r="S629" s="262"/>
      <c r="T629" s="262"/>
      <c r="U629" s="262"/>
      <c r="V629" s="262"/>
      <c r="W629" s="262"/>
      <c r="X629" s="262"/>
      <c r="Y629" s="262"/>
      <c r="Z629" s="262"/>
      <c r="AA629" s="262"/>
      <c r="AB629" s="262"/>
    </row>
    <row r="630" spans="1:31" ht="12.75">
      <c r="A630" s="293" t="s">
        <v>14479</v>
      </c>
      <c r="B630" s="294" t="s">
        <v>14476</v>
      </c>
      <c r="C630" s="295">
        <v>37595</v>
      </c>
      <c r="D630" s="296" t="str">
        <f>IFERROR(VLOOKUP($C630,'24.08_ND'!$A:$D,2,0),)</f>
        <v>ARGAMASSA COLANTE TIPO AC III</v>
      </c>
      <c r="E630" s="297" t="str">
        <f>IFERROR(VLOOKUP($C630,'24.08_ND'!$A:$D,3,0),)</f>
        <v>KG</v>
      </c>
      <c r="F630" s="298">
        <v>3.8517187499999999</v>
      </c>
      <c r="G630" s="299">
        <f>IFERROR(VLOOKUP($C630,'24.08_ND'!$A:$D,4,0),)</f>
        <v>3.36</v>
      </c>
      <c r="H630" s="300">
        <f>TRUNC(($F630*$G630),2)</f>
        <v>12.94</v>
      </c>
      <c r="I630" s="262"/>
      <c r="J630" s="262"/>
      <c r="K630" s="262"/>
      <c r="L630" s="262"/>
      <c r="M630" s="262"/>
      <c r="N630" s="262"/>
      <c r="O630" s="262"/>
      <c r="P630" s="262"/>
      <c r="Q630" s="262"/>
      <c r="R630" s="262"/>
      <c r="S630" s="262"/>
      <c r="T630" s="262"/>
      <c r="U630" s="262"/>
      <c r="V630" s="262"/>
      <c r="W630" s="262"/>
      <c r="X630" s="262"/>
      <c r="Y630" s="262"/>
      <c r="Z630" s="262"/>
      <c r="AA630" s="262"/>
      <c r="AB630" s="262"/>
    </row>
    <row r="631" spans="1:31" ht="12.75">
      <c r="A631" s="317" t="s">
        <v>14479</v>
      </c>
      <c r="B631" s="312" t="str">
        <f>VLOOKUP($C631,'• CIs EXT'!$A:$E,2,0)</f>
        <v>SEDOP</v>
      </c>
      <c r="C631" s="313" t="s">
        <v>14731</v>
      </c>
      <c r="D631" s="314" t="str">
        <f>VLOOKUP($C631,'• CIs EXT'!$A:$E,3,0)</f>
        <v>PORCELANATO - PADRÃO ALTO</v>
      </c>
      <c r="E631" s="312" t="str">
        <f>VLOOKUP($C631,'• CIs EXT'!$A:$E,4,0)</f>
        <v>M2</v>
      </c>
      <c r="F631" s="315">
        <v>1.1000000000000001</v>
      </c>
      <c r="G631" s="312">
        <f>VLOOKUP($C631,'• CIs EXT'!$A:$E,5,0)</f>
        <v>183.34</v>
      </c>
      <c r="H631" s="316">
        <f>TRUNC(($F631*$G631),2)</f>
        <v>201.67</v>
      </c>
      <c r="I631" s="262"/>
      <c r="J631" s="262"/>
      <c r="K631" s="262"/>
      <c r="L631" s="262"/>
      <c r="M631" s="262"/>
      <c r="N631" s="262"/>
      <c r="O631" s="262"/>
      <c r="P631" s="262"/>
      <c r="Q631" s="262"/>
      <c r="R631" s="262"/>
      <c r="S631" s="262"/>
      <c r="T631" s="262"/>
      <c r="U631" s="262"/>
      <c r="V631" s="262"/>
      <c r="W631" s="262"/>
      <c r="X631" s="262"/>
      <c r="Y631" s="262"/>
      <c r="Z631" s="262"/>
      <c r="AA631" s="262"/>
      <c r="AB631" s="262"/>
    </row>
    <row r="632" spans="1:31" ht="12.75">
      <c r="A632" s="576"/>
      <c r="B632" s="577"/>
      <c r="C632" s="578"/>
      <c r="D632" s="579"/>
      <c r="E632" s="577"/>
      <c r="F632" s="577"/>
      <c r="G632" s="577"/>
      <c r="H632" s="580"/>
      <c r="I632" s="262"/>
      <c r="J632" s="262"/>
      <c r="K632" s="262"/>
      <c r="L632" s="262"/>
      <c r="M632" s="262"/>
      <c r="N632" s="262"/>
      <c r="O632" s="262"/>
      <c r="P632" s="262"/>
      <c r="Q632" s="262"/>
      <c r="R632" s="262"/>
      <c r="S632" s="262"/>
      <c r="T632" s="262"/>
      <c r="U632" s="262"/>
      <c r="V632" s="262"/>
      <c r="W632" s="262"/>
      <c r="X632" s="262"/>
      <c r="Y632" s="262"/>
      <c r="Z632" s="262"/>
      <c r="AA632" s="262"/>
      <c r="AB632" s="262"/>
    </row>
    <row r="633" spans="1:31" ht="25.5">
      <c r="A633" s="271" t="s">
        <v>14471</v>
      </c>
      <c r="B633" s="272" t="s">
        <v>14472</v>
      </c>
      <c r="C633" s="273" t="s">
        <v>14734</v>
      </c>
      <c r="D633" s="274" t="s">
        <v>14735</v>
      </c>
      <c r="E633" s="272" t="s">
        <v>409</v>
      </c>
      <c r="F633" s="272"/>
      <c r="G633" s="272"/>
      <c r="H633" s="275">
        <f>SUM(H635:H639)</f>
        <v>122.13999999999999</v>
      </c>
      <c r="I633" s="276">
        <f>COUNTIF($C$8:$C633,C:C)</f>
        <v>1</v>
      </c>
      <c r="J633" s="262"/>
      <c r="K633" s="262"/>
      <c r="L633" s="262"/>
      <c r="M633" s="262"/>
      <c r="N633" s="262"/>
      <c r="O633" s="262"/>
      <c r="P633" s="262"/>
      <c r="Q633" s="262"/>
      <c r="R633" s="262"/>
      <c r="S633" s="262"/>
      <c r="T633" s="262"/>
      <c r="U633" s="262"/>
      <c r="V633" s="262"/>
      <c r="W633" s="262"/>
      <c r="X633" s="262"/>
      <c r="Y633" s="262"/>
      <c r="Z633" s="262"/>
      <c r="AA633" s="262"/>
      <c r="AB633" s="262"/>
    </row>
    <row r="634" spans="1:31" ht="12.75">
      <c r="A634" s="277" t="s">
        <v>14475</v>
      </c>
      <c r="B634" s="327" t="s">
        <v>14476</v>
      </c>
      <c r="C634" s="327">
        <v>104598</v>
      </c>
      <c r="D634" s="280" t="s">
        <v>14477</v>
      </c>
      <c r="E634" s="329"/>
      <c r="F634" s="282"/>
      <c r="G634" s="283"/>
      <c r="H634" s="284"/>
      <c r="I634" s="262"/>
      <c r="J634" s="262"/>
      <c r="K634" s="262"/>
      <c r="L634" s="262"/>
      <c r="M634" s="262"/>
      <c r="N634" s="262"/>
      <c r="O634" s="262"/>
      <c r="P634" s="262"/>
      <c r="Q634" s="262"/>
      <c r="R634" s="262"/>
      <c r="S634" s="262"/>
      <c r="T634" s="262"/>
      <c r="U634" s="262"/>
      <c r="V634" s="262"/>
      <c r="W634" s="262"/>
      <c r="X634" s="262"/>
      <c r="Y634" s="262"/>
      <c r="Z634" s="262"/>
      <c r="AA634" s="262"/>
      <c r="AB634" s="262"/>
    </row>
    <row r="635" spans="1:31" ht="25.5">
      <c r="A635" s="285" t="s">
        <v>14478</v>
      </c>
      <c r="B635" s="286" t="s">
        <v>14476</v>
      </c>
      <c r="C635" s="287">
        <v>88256</v>
      </c>
      <c r="D635" s="288" t="str">
        <f>IFERROR(VLOOKUP($C635,'24.08_ND'!$A:$D,2,0),)</f>
        <v>AZULEJISTA OU LADRILHISTA COM ENCARGOS COMPLEMENTARES</v>
      </c>
      <c r="E635" s="289" t="str">
        <f>IFERROR(VLOOKUP($C635,'24.08_ND'!$A:$D,3,0),)</f>
        <v>H</v>
      </c>
      <c r="F635" s="290">
        <v>0.22561875000000001</v>
      </c>
      <c r="G635" s="291">
        <f>IFERROR(VLOOKUP($C635,'24.08_ND'!$A:$D,4,0),)</f>
        <v>23.2</v>
      </c>
      <c r="H635" s="292">
        <f>TRUNC(($F635*$G635),2)</f>
        <v>5.23</v>
      </c>
      <c r="I635" s="262"/>
      <c r="J635" s="262"/>
      <c r="K635" s="262"/>
      <c r="L635" s="262"/>
      <c r="M635" s="262"/>
      <c r="N635" s="262"/>
      <c r="O635" s="262"/>
      <c r="P635" s="262"/>
      <c r="Q635" s="262"/>
      <c r="R635" s="262"/>
      <c r="S635" s="262"/>
      <c r="T635" s="262"/>
      <c r="U635" s="262"/>
      <c r="V635" s="262"/>
      <c r="W635" s="262"/>
      <c r="X635" s="262"/>
      <c r="Y635" s="262"/>
      <c r="Z635" s="262"/>
      <c r="AA635" s="262"/>
      <c r="AB635" s="262"/>
      <c r="AD635" s="1791" t="e">
        <f>VLOOKUP(C635,'Medição '!$B$16:$F$1833,6,0)</f>
        <v>#N/A</v>
      </c>
      <c r="AE635" s="1791"/>
    </row>
    <row r="636" spans="1:31" ht="25.5">
      <c r="A636" s="285" t="s">
        <v>14478</v>
      </c>
      <c r="B636" s="286" t="s">
        <v>14476</v>
      </c>
      <c r="C636" s="287">
        <v>88316</v>
      </c>
      <c r="D636" s="288" t="str">
        <f>IFERROR(VLOOKUP($C636,'24.08_ND'!$A:$D,2,0),)</f>
        <v>SERVENTE COM ENCARGOS COMPLEMENTARES</v>
      </c>
      <c r="E636" s="289" t="str">
        <f>IFERROR(VLOOKUP($C636,'24.08_ND'!$A:$D,3,0),)</f>
        <v>H</v>
      </c>
      <c r="F636" s="290">
        <v>7.1465625000000005E-2</v>
      </c>
      <c r="G636" s="291">
        <f>IFERROR(VLOOKUP($C636,'24.08_ND'!$A:$D,4,0),)</f>
        <v>18.510000000000002</v>
      </c>
      <c r="H636" s="292">
        <f>TRUNC(($F636*$G636),2)</f>
        <v>1.32</v>
      </c>
      <c r="I636" s="262"/>
      <c r="J636" s="262"/>
      <c r="K636" s="262"/>
      <c r="L636" s="262"/>
      <c r="M636" s="262"/>
      <c r="N636" s="262"/>
      <c r="O636" s="262"/>
      <c r="P636" s="262"/>
      <c r="Q636" s="262"/>
      <c r="R636" s="262"/>
      <c r="S636" s="262"/>
      <c r="T636" s="262"/>
      <c r="U636" s="262"/>
      <c r="V636" s="262"/>
      <c r="W636" s="262"/>
      <c r="X636" s="262"/>
      <c r="Y636" s="262"/>
      <c r="Z636" s="262"/>
      <c r="AA636" s="262"/>
      <c r="AB636" s="262"/>
      <c r="AD636" s="1791" t="e">
        <f>VLOOKUP(C636,'Medição '!$B$16:$F$1833,6,0)</f>
        <v>#N/A</v>
      </c>
      <c r="AE636" s="1791"/>
    </row>
    <row r="637" spans="1:31" ht="12.75">
      <c r="A637" s="293" t="s">
        <v>14479</v>
      </c>
      <c r="B637" s="294" t="s">
        <v>14476</v>
      </c>
      <c r="C637" s="295">
        <v>34357</v>
      </c>
      <c r="D637" s="296" t="str">
        <f>IFERROR(VLOOKUP($C637,'24.08_ND'!$A:$D,2,0),)</f>
        <v>REJUNTE CIMENTICIO, QUALQUER COR</v>
      </c>
      <c r="E637" s="297" t="str">
        <f>IFERROR(VLOOKUP($C637,'24.08_ND'!$A:$D,3,0),)</f>
        <v>KG</v>
      </c>
      <c r="F637" s="298">
        <v>6.6249999999999998E-3</v>
      </c>
      <c r="G637" s="299">
        <f>IFERROR(VLOOKUP($C637,'24.08_ND'!$A:$D,4,0),)</f>
        <v>6.41</v>
      </c>
      <c r="H637" s="300">
        <f>TRUNC(($F637*$G637),2)</f>
        <v>0.04</v>
      </c>
      <c r="I637" s="262"/>
      <c r="J637" s="262"/>
      <c r="K637" s="262"/>
      <c r="L637" s="262"/>
      <c r="M637" s="262"/>
      <c r="N637" s="262"/>
      <c r="O637" s="262"/>
      <c r="P637" s="262"/>
      <c r="Q637" s="262"/>
      <c r="R637" s="262"/>
      <c r="S637" s="262"/>
      <c r="T637" s="262"/>
      <c r="U637" s="262"/>
      <c r="V637" s="262"/>
      <c r="W637" s="262"/>
      <c r="X637" s="262"/>
      <c r="Y637" s="262"/>
      <c r="Z637" s="262"/>
      <c r="AA637" s="262"/>
      <c r="AB637" s="262"/>
    </row>
    <row r="638" spans="1:31" ht="12.75">
      <c r="A638" s="293" t="s">
        <v>14479</v>
      </c>
      <c r="B638" s="294" t="s">
        <v>14476</v>
      </c>
      <c r="C638" s="295">
        <v>37595</v>
      </c>
      <c r="D638" s="296" t="str">
        <f>IFERROR(VLOOKUP($C638,'24.08_ND'!$A:$D,2,0),)</f>
        <v>ARGAMASSA COLANTE TIPO AC III</v>
      </c>
      <c r="E638" s="297" t="str">
        <f>IFERROR(VLOOKUP($C638,'24.08_ND'!$A:$D,3,0),)</f>
        <v>KG</v>
      </c>
      <c r="F638" s="298">
        <f>4*1.15</f>
        <v>4.5999999999999996</v>
      </c>
      <c r="G638" s="299">
        <f>IFERROR(VLOOKUP($C638,'24.08_ND'!$A:$D,4,0),)</f>
        <v>3.36</v>
      </c>
      <c r="H638" s="300">
        <f>TRUNC(($F638*$G638),2)</f>
        <v>15.45</v>
      </c>
      <c r="I638" s="262"/>
      <c r="J638" s="262"/>
      <c r="K638" s="262"/>
      <c r="L638" s="262"/>
      <c r="M638" s="262"/>
      <c r="N638" s="262"/>
      <c r="O638" s="262"/>
      <c r="P638" s="262"/>
      <c r="Q638" s="262"/>
      <c r="R638" s="262"/>
      <c r="S638" s="262"/>
      <c r="T638" s="262"/>
      <c r="U638" s="262"/>
      <c r="V638" s="262"/>
      <c r="W638" s="262"/>
      <c r="X638" s="262"/>
      <c r="Y638" s="262"/>
      <c r="Z638" s="262"/>
      <c r="AA638" s="262"/>
      <c r="AB638" s="262"/>
    </row>
    <row r="639" spans="1:31" ht="12.75">
      <c r="A639" s="317" t="s">
        <v>14479</v>
      </c>
      <c r="B639" s="312" t="str">
        <f>VLOOKUP($C639,'• CIs EXT'!$A:$E,2,0)</f>
        <v>SEDOP</v>
      </c>
      <c r="C639" s="313" t="s">
        <v>14736</v>
      </c>
      <c r="D639" s="314" t="str">
        <f>VLOOKUP($C639,'• CIs EXT'!$A:$E,3,0)</f>
        <v>PORCELANATO - PADRÃO MÉDIO</v>
      </c>
      <c r="E639" s="312" t="str">
        <f>VLOOKUP($C639,'• CIs EXT'!$A:$E,4,0)</f>
        <v>M2</v>
      </c>
      <c r="F639" s="315">
        <v>1.1000000000000001</v>
      </c>
      <c r="G639" s="312">
        <f>VLOOKUP($C639,'• CIs EXT'!$A:$E,5,0)</f>
        <v>91</v>
      </c>
      <c r="H639" s="316">
        <f>TRUNC(($F639*$G639),2)</f>
        <v>100.1</v>
      </c>
      <c r="I639" s="262"/>
      <c r="J639" s="262"/>
      <c r="K639" s="262"/>
      <c r="L639" s="262"/>
      <c r="M639" s="262"/>
      <c r="N639" s="262"/>
      <c r="O639" s="262"/>
      <c r="P639" s="262"/>
      <c r="Q639" s="262"/>
      <c r="R639" s="262"/>
      <c r="S639" s="262"/>
      <c r="T639" s="262"/>
      <c r="U639" s="262"/>
      <c r="V639" s="262"/>
      <c r="W639" s="262"/>
      <c r="X639" s="262"/>
      <c r="Y639" s="262"/>
      <c r="Z639" s="262"/>
      <c r="AA639" s="262"/>
      <c r="AB639" s="262"/>
    </row>
    <row r="640" spans="1:31" ht="12.75">
      <c r="A640" s="309"/>
      <c r="B640" s="303"/>
      <c r="C640" s="303"/>
      <c r="D640" s="310"/>
      <c r="E640" s="303"/>
      <c r="F640" s="306"/>
      <c r="G640" s="307"/>
      <c r="H640" s="308"/>
      <c r="I640" s="262"/>
      <c r="J640" s="262"/>
      <c r="K640" s="262"/>
      <c r="L640" s="262"/>
      <c r="M640" s="262"/>
      <c r="N640" s="262"/>
      <c r="O640" s="262"/>
      <c r="P640" s="262"/>
      <c r="Q640" s="262"/>
      <c r="R640" s="262"/>
      <c r="S640" s="262"/>
      <c r="T640" s="262"/>
      <c r="U640" s="262"/>
      <c r="V640" s="262"/>
      <c r="W640" s="262"/>
      <c r="X640" s="262"/>
      <c r="Y640" s="262"/>
      <c r="Z640" s="262"/>
      <c r="AA640" s="262"/>
      <c r="AB640" s="262"/>
    </row>
    <row r="641" spans="1:31" ht="25.5">
      <c r="A641" s="271" t="s">
        <v>14471</v>
      </c>
      <c r="B641" s="272" t="s">
        <v>14472</v>
      </c>
      <c r="C641" s="273" t="s">
        <v>14737</v>
      </c>
      <c r="D641" s="274" t="s">
        <v>14738</v>
      </c>
      <c r="E641" s="272" t="s">
        <v>409</v>
      </c>
      <c r="F641" s="272"/>
      <c r="G641" s="272"/>
      <c r="H641" s="275">
        <f>SUM(H643:H647)</f>
        <v>122.13999999999999</v>
      </c>
      <c r="I641" s="276">
        <f>COUNTIF($C$8:$C641,C:C)</f>
        <v>1</v>
      </c>
      <c r="J641" s="262"/>
      <c r="K641" s="262"/>
      <c r="L641" s="262"/>
      <c r="M641" s="262"/>
      <c r="N641" s="262"/>
      <c r="O641" s="262"/>
      <c r="P641" s="262"/>
      <c r="Q641" s="262"/>
      <c r="R641" s="262"/>
      <c r="S641" s="262"/>
      <c r="T641" s="262"/>
      <c r="U641" s="262"/>
      <c r="V641" s="262"/>
      <c r="W641" s="262"/>
      <c r="X641" s="262"/>
      <c r="Y641" s="262"/>
      <c r="Z641" s="262"/>
      <c r="AA641" s="262"/>
      <c r="AB641" s="262"/>
    </row>
    <row r="642" spans="1:31" ht="12.75">
      <c r="A642" s="277" t="s">
        <v>14475</v>
      </c>
      <c r="B642" s="327" t="s">
        <v>14476</v>
      </c>
      <c r="C642" s="327">
        <v>104598</v>
      </c>
      <c r="D642" s="280" t="s">
        <v>14477</v>
      </c>
      <c r="E642" s="329"/>
      <c r="F642" s="282"/>
      <c r="G642" s="283"/>
      <c r="H642" s="284"/>
      <c r="I642" s="262"/>
      <c r="J642" s="262"/>
      <c r="K642" s="262"/>
      <c r="L642" s="262"/>
      <c r="M642" s="262"/>
      <c r="N642" s="262"/>
      <c r="O642" s="262"/>
      <c r="P642" s="262"/>
      <c r="Q642" s="262"/>
      <c r="R642" s="262"/>
      <c r="S642" s="262"/>
      <c r="T642" s="262"/>
      <c r="U642" s="262"/>
      <c r="V642" s="262"/>
      <c r="W642" s="262"/>
      <c r="X642" s="262"/>
      <c r="Y642" s="262"/>
      <c r="Z642" s="262"/>
      <c r="AA642" s="262"/>
      <c r="AB642" s="262"/>
    </row>
    <row r="643" spans="1:31" ht="25.5">
      <c r="A643" s="285" t="s">
        <v>14478</v>
      </c>
      <c r="B643" s="286" t="s">
        <v>14476</v>
      </c>
      <c r="C643" s="287">
        <v>88256</v>
      </c>
      <c r="D643" s="288" t="str">
        <f>IFERROR(VLOOKUP($C643,'24.08_ND'!$A:$D,2,0),)</f>
        <v>AZULEJISTA OU LADRILHISTA COM ENCARGOS COMPLEMENTARES</v>
      </c>
      <c r="E643" s="289" t="str">
        <f>IFERROR(VLOOKUP($C643,'24.08_ND'!$A:$D,3,0),)</f>
        <v>H</v>
      </c>
      <c r="F643" s="290">
        <v>0.22561875000000001</v>
      </c>
      <c r="G643" s="291">
        <f>IFERROR(VLOOKUP($C643,'24.08_ND'!$A:$D,4,0),)</f>
        <v>23.2</v>
      </c>
      <c r="H643" s="292">
        <f>TRUNC(($F643*$G643),2)</f>
        <v>5.23</v>
      </c>
      <c r="I643" s="262"/>
      <c r="J643" s="262"/>
      <c r="K643" s="262"/>
      <c r="L643" s="262"/>
      <c r="M643" s="262"/>
      <c r="N643" s="262"/>
      <c r="O643" s="262"/>
      <c r="P643" s="262"/>
      <c r="Q643" s="262"/>
      <c r="R643" s="262"/>
      <c r="S643" s="262"/>
      <c r="T643" s="262"/>
      <c r="U643" s="262"/>
      <c r="V643" s="262"/>
      <c r="W643" s="262"/>
      <c r="X643" s="262"/>
      <c r="Y643" s="262"/>
      <c r="Z643" s="262"/>
      <c r="AA643" s="262"/>
      <c r="AB643" s="262"/>
      <c r="AD643" s="1791" t="e">
        <f>VLOOKUP(C643,'Medição '!$B$16:$F$1833,6,0)</f>
        <v>#N/A</v>
      </c>
      <c r="AE643" s="1791"/>
    </row>
    <row r="644" spans="1:31" ht="25.5">
      <c r="A644" s="285" t="s">
        <v>14478</v>
      </c>
      <c r="B644" s="286" t="s">
        <v>14476</v>
      </c>
      <c r="C644" s="287">
        <v>88316</v>
      </c>
      <c r="D644" s="288" t="str">
        <f>IFERROR(VLOOKUP($C644,'24.08_ND'!$A:$D,2,0),)</f>
        <v>SERVENTE COM ENCARGOS COMPLEMENTARES</v>
      </c>
      <c r="E644" s="289" t="str">
        <f>IFERROR(VLOOKUP($C644,'24.08_ND'!$A:$D,3,0),)</f>
        <v>H</v>
      </c>
      <c r="F644" s="290">
        <v>7.1465625000000005E-2</v>
      </c>
      <c r="G644" s="291">
        <f>IFERROR(VLOOKUP($C644,'24.08_ND'!$A:$D,4,0),)</f>
        <v>18.510000000000002</v>
      </c>
      <c r="H644" s="292">
        <f>TRUNC(($F644*$G644),2)</f>
        <v>1.32</v>
      </c>
      <c r="I644" s="262"/>
      <c r="J644" s="262"/>
      <c r="K644" s="262"/>
      <c r="L644" s="262"/>
      <c r="M644" s="262"/>
      <c r="N644" s="262"/>
      <c r="O644" s="262"/>
      <c r="P644" s="262"/>
      <c r="Q644" s="262"/>
      <c r="R644" s="262"/>
      <c r="S644" s="262"/>
      <c r="T644" s="262"/>
      <c r="U644" s="262"/>
      <c r="V644" s="262"/>
      <c r="W644" s="262"/>
      <c r="X644" s="262"/>
      <c r="Y644" s="262"/>
      <c r="Z644" s="262"/>
      <c r="AA644" s="262"/>
      <c r="AB644" s="262"/>
      <c r="AD644" s="1791" t="e">
        <f>VLOOKUP(C644,'Medição '!$B$16:$F$1833,6,0)</f>
        <v>#N/A</v>
      </c>
      <c r="AE644" s="1791"/>
    </row>
    <row r="645" spans="1:31" ht="12.75">
      <c r="A645" s="293" t="s">
        <v>14479</v>
      </c>
      <c r="B645" s="294" t="s">
        <v>14476</v>
      </c>
      <c r="C645" s="295">
        <v>34357</v>
      </c>
      <c r="D645" s="296" t="str">
        <f>IFERROR(VLOOKUP($C645,'24.08_ND'!$A:$D,2,0),)</f>
        <v>REJUNTE CIMENTICIO, QUALQUER COR</v>
      </c>
      <c r="E645" s="297" t="str">
        <f>IFERROR(VLOOKUP($C645,'24.08_ND'!$A:$D,3,0),)</f>
        <v>KG</v>
      </c>
      <c r="F645" s="298">
        <v>6.6249999999999998E-3</v>
      </c>
      <c r="G645" s="299">
        <f>IFERROR(VLOOKUP($C645,'24.08_ND'!$A:$D,4,0),)</f>
        <v>6.41</v>
      </c>
      <c r="H645" s="300">
        <f>TRUNC(($F645*$G645),2)</f>
        <v>0.04</v>
      </c>
      <c r="I645" s="262"/>
      <c r="J645" s="262"/>
      <c r="K645" s="262"/>
      <c r="L645" s="262"/>
      <c r="M645" s="262"/>
      <c r="N645" s="262"/>
      <c r="O645" s="262"/>
      <c r="P645" s="262"/>
      <c r="Q645" s="262"/>
      <c r="R645" s="262"/>
      <c r="S645" s="262"/>
      <c r="T645" s="262"/>
      <c r="U645" s="262"/>
      <c r="V645" s="262"/>
      <c r="W645" s="262"/>
      <c r="X645" s="262"/>
      <c r="Y645" s="262"/>
      <c r="Z645" s="262"/>
      <c r="AA645" s="262"/>
      <c r="AB645" s="262"/>
    </row>
    <row r="646" spans="1:31" ht="12.75">
      <c r="A646" s="293" t="s">
        <v>14479</v>
      </c>
      <c r="B646" s="294" t="s">
        <v>14476</v>
      </c>
      <c r="C646" s="295">
        <v>37595</v>
      </c>
      <c r="D646" s="296" t="str">
        <f>IFERROR(VLOOKUP($C646,'24.08_ND'!$A:$D,2,0),)</f>
        <v>ARGAMASSA COLANTE TIPO AC III</v>
      </c>
      <c r="E646" s="297" t="str">
        <f>IFERROR(VLOOKUP($C646,'24.08_ND'!$A:$D,3,0),)</f>
        <v>KG</v>
      </c>
      <c r="F646" s="298">
        <f>4*1.15</f>
        <v>4.5999999999999996</v>
      </c>
      <c r="G646" s="299">
        <f>IFERROR(VLOOKUP($C646,'24.08_ND'!$A:$D,4,0),)</f>
        <v>3.36</v>
      </c>
      <c r="H646" s="300">
        <f>TRUNC(($F646*$G646),2)</f>
        <v>15.45</v>
      </c>
      <c r="I646" s="262"/>
      <c r="J646" s="262"/>
      <c r="K646" s="262"/>
      <c r="L646" s="262"/>
      <c r="M646" s="262"/>
      <c r="N646" s="262"/>
      <c r="O646" s="262"/>
      <c r="P646" s="262"/>
      <c r="Q646" s="262"/>
      <c r="R646" s="262"/>
      <c r="S646" s="262"/>
      <c r="T646" s="262"/>
      <c r="U646" s="262"/>
      <c r="V646" s="262"/>
      <c r="W646" s="262"/>
      <c r="X646" s="262"/>
      <c r="Y646" s="262"/>
      <c r="Z646" s="262"/>
      <c r="AA646" s="262"/>
      <c r="AB646" s="262"/>
    </row>
    <row r="647" spans="1:31" ht="12.75">
      <c r="A647" s="317" t="s">
        <v>14479</v>
      </c>
      <c r="B647" s="312" t="str">
        <f>VLOOKUP($C647,'• CIs EXT'!$A:$E,2,0)</f>
        <v>SEDOP</v>
      </c>
      <c r="C647" s="313" t="s">
        <v>14736</v>
      </c>
      <c r="D647" s="314" t="str">
        <f>VLOOKUP($C647,'• CIs EXT'!$A:$E,3,0)</f>
        <v>PORCELANATO - PADRÃO MÉDIO</v>
      </c>
      <c r="E647" s="312" t="str">
        <f>VLOOKUP($C647,'• CIs EXT'!$A:$E,4,0)</f>
        <v>M2</v>
      </c>
      <c r="F647" s="315">
        <v>1.1000000000000001</v>
      </c>
      <c r="G647" s="312">
        <f>VLOOKUP($C647,'• CIs EXT'!$A:$E,5,0)</f>
        <v>91</v>
      </c>
      <c r="H647" s="316">
        <f>TRUNC(($F647*$G647),2)</f>
        <v>100.1</v>
      </c>
      <c r="I647" s="262"/>
      <c r="J647" s="262"/>
      <c r="K647" s="262"/>
      <c r="L647" s="262"/>
      <c r="M647" s="262"/>
      <c r="N647" s="262"/>
      <c r="O647" s="262"/>
      <c r="P647" s="262"/>
      <c r="Q647" s="262"/>
      <c r="R647" s="262"/>
      <c r="S647" s="262"/>
      <c r="T647" s="262"/>
      <c r="U647" s="262"/>
      <c r="V647" s="262"/>
      <c r="W647" s="262"/>
      <c r="X647" s="262"/>
      <c r="Y647" s="262"/>
      <c r="Z647" s="262"/>
      <c r="AA647" s="262"/>
      <c r="AB647" s="262"/>
    </row>
    <row r="648" spans="1:31" ht="12.75">
      <c r="A648" s="309"/>
      <c r="B648" s="303"/>
      <c r="C648" s="303"/>
      <c r="D648" s="310"/>
      <c r="E648" s="303"/>
      <c r="F648" s="306"/>
      <c r="G648" s="307"/>
      <c r="H648" s="308"/>
      <c r="I648" s="262"/>
      <c r="J648" s="262"/>
      <c r="K648" s="262"/>
      <c r="L648" s="262"/>
      <c r="M648" s="262"/>
      <c r="N648" s="262"/>
      <c r="O648" s="262"/>
      <c r="P648" s="262"/>
      <c r="Q648" s="262"/>
      <c r="R648" s="262"/>
      <c r="S648" s="262"/>
      <c r="T648" s="262"/>
      <c r="U648" s="262"/>
      <c r="V648" s="262"/>
      <c r="W648" s="262"/>
      <c r="X648" s="262"/>
      <c r="Y648" s="262"/>
      <c r="Z648" s="262"/>
      <c r="AA648" s="262"/>
      <c r="AB648" s="262"/>
    </row>
    <row r="649" spans="1:31" ht="25.5">
      <c r="A649" s="271" t="s">
        <v>14471</v>
      </c>
      <c r="B649" s="272" t="s">
        <v>14472</v>
      </c>
      <c r="C649" s="273" t="s">
        <v>14739</v>
      </c>
      <c r="D649" s="274" t="s">
        <v>14740</v>
      </c>
      <c r="E649" s="272" t="s">
        <v>409</v>
      </c>
      <c r="F649" s="272"/>
      <c r="G649" s="272"/>
      <c r="H649" s="275">
        <f>SUM(H651:H655)</f>
        <v>122.13999999999999</v>
      </c>
      <c r="I649" s="276">
        <f>COUNTIF($C$8:$C649,C:C)</f>
        <v>1</v>
      </c>
      <c r="J649" s="262"/>
      <c r="K649" s="262"/>
      <c r="L649" s="262"/>
      <c r="M649" s="262"/>
      <c r="N649" s="262"/>
      <c r="O649" s="262"/>
      <c r="P649" s="262"/>
      <c r="Q649" s="262"/>
      <c r="R649" s="262"/>
      <c r="S649" s="262"/>
      <c r="T649" s="262"/>
      <c r="U649" s="262"/>
      <c r="V649" s="262"/>
      <c r="W649" s="262"/>
      <c r="X649" s="262"/>
      <c r="Y649" s="262"/>
      <c r="Z649" s="262"/>
      <c r="AA649" s="262"/>
      <c r="AB649" s="262"/>
    </row>
    <row r="650" spans="1:31" ht="12.75">
      <c r="A650" s="277" t="s">
        <v>14475</v>
      </c>
      <c r="B650" s="327" t="s">
        <v>14476</v>
      </c>
      <c r="C650" s="327">
        <v>104598</v>
      </c>
      <c r="D650" s="280" t="s">
        <v>14477</v>
      </c>
      <c r="E650" s="329"/>
      <c r="F650" s="282"/>
      <c r="G650" s="283"/>
      <c r="H650" s="284"/>
      <c r="I650" s="262"/>
      <c r="J650" s="262"/>
      <c r="K650" s="262"/>
      <c r="L650" s="262"/>
      <c r="M650" s="262"/>
      <c r="N650" s="262"/>
      <c r="O650" s="262"/>
      <c r="P650" s="262"/>
      <c r="Q650" s="262"/>
      <c r="R650" s="262"/>
      <c r="S650" s="262"/>
      <c r="T650" s="262"/>
      <c r="U650" s="262"/>
      <c r="V650" s="262"/>
      <c r="W650" s="262"/>
      <c r="X650" s="262"/>
      <c r="Y650" s="262"/>
      <c r="Z650" s="262"/>
      <c r="AA650" s="262"/>
      <c r="AB650" s="262"/>
    </row>
    <row r="651" spans="1:31" ht="25.5">
      <c r="A651" s="285" t="s">
        <v>14478</v>
      </c>
      <c r="B651" s="286" t="s">
        <v>14476</v>
      </c>
      <c r="C651" s="287">
        <v>88256</v>
      </c>
      <c r="D651" s="288" t="str">
        <f>IFERROR(VLOOKUP($C651,'24.08_ND'!$A:$D,2,0),)</f>
        <v>AZULEJISTA OU LADRILHISTA COM ENCARGOS COMPLEMENTARES</v>
      </c>
      <c r="E651" s="289" t="str">
        <f>IFERROR(VLOOKUP($C651,'24.08_ND'!$A:$D,3,0),)</f>
        <v>H</v>
      </c>
      <c r="F651" s="290">
        <v>0.22561875000000001</v>
      </c>
      <c r="G651" s="291">
        <f>IFERROR(VLOOKUP($C651,'24.08_ND'!$A:$D,4,0),)</f>
        <v>23.2</v>
      </c>
      <c r="H651" s="292">
        <f>TRUNC(($F651*$G651),2)</f>
        <v>5.23</v>
      </c>
      <c r="I651" s="262"/>
      <c r="J651" s="262"/>
      <c r="K651" s="262"/>
      <c r="L651" s="262"/>
      <c r="M651" s="262"/>
      <c r="N651" s="262"/>
      <c r="O651" s="262"/>
      <c r="P651" s="262"/>
      <c r="Q651" s="262"/>
      <c r="R651" s="262"/>
      <c r="S651" s="262"/>
      <c r="T651" s="262"/>
      <c r="U651" s="262"/>
      <c r="V651" s="262"/>
      <c r="W651" s="262"/>
      <c r="X651" s="262"/>
      <c r="Y651" s="262"/>
      <c r="Z651" s="262"/>
      <c r="AA651" s="262"/>
      <c r="AB651" s="262"/>
      <c r="AD651" s="1791" t="e">
        <f>VLOOKUP(C651,'Medição '!$B$16:$F$1833,6,0)</f>
        <v>#N/A</v>
      </c>
      <c r="AE651" s="1791"/>
    </row>
    <row r="652" spans="1:31" ht="25.5">
      <c r="A652" s="285" t="s">
        <v>14478</v>
      </c>
      <c r="B652" s="286" t="s">
        <v>14476</v>
      </c>
      <c r="C652" s="287">
        <v>88316</v>
      </c>
      <c r="D652" s="288" t="str">
        <f>IFERROR(VLOOKUP($C652,'24.08_ND'!$A:$D,2,0),)</f>
        <v>SERVENTE COM ENCARGOS COMPLEMENTARES</v>
      </c>
      <c r="E652" s="289" t="str">
        <f>IFERROR(VLOOKUP($C652,'24.08_ND'!$A:$D,3,0),)</f>
        <v>H</v>
      </c>
      <c r="F652" s="290">
        <v>7.1465625000000005E-2</v>
      </c>
      <c r="G652" s="291">
        <f>IFERROR(VLOOKUP($C652,'24.08_ND'!$A:$D,4,0),)</f>
        <v>18.510000000000002</v>
      </c>
      <c r="H652" s="292">
        <f>TRUNC(($F652*$G652),2)</f>
        <v>1.32</v>
      </c>
      <c r="I652" s="262"/>
      <c r="J652" s="262"/>
      <c r="K652" s="262"/>
      <c r="L652" s="262"/>
      <c r="M652" s="262"/>
      <c r="N652" s="262"/>
      <c r="O652" s="262"/>
      <c r="P652" s="262"/>
      <c r="Q652" s="262"/>
      <c r="R652" s="262"/>
      <c r="S652" s="262"/>
      <c r="T652" s="262"/>
      <c r="U652" s="262"/>
      <c r="V652" s="262"/>
      <c r="W652" s="262"/>
      <c r="X652" s="262"/>
      <c r="Y652" s="262"/>
      <c r="Z652" s="262"/>
      <c r="AA652" s="262"/>
      <c r="AB652" s="262"/>
      <c r="AD652" s="1791" t="e">
        <f>VLOOKUP(C652,'Medição '!$B$16:$F$1833,6,0)</f>
        <v>#N/A</v>
      </c>
      <c r="AE652" s="1791"/>
    </row>
    <row r="653" spans="1:31" ht="12.75">
      <c r="A653" s="293" t="s">
        <v>14479</v>
      </c>
      <c r="B653" s="294" t="s">
        <v>14476</v>
      </c>
      <c r="C653" s="295">
        <v>34357</v>
      </c>
      <c r="D653" s="296" t="str">
        <f>IFERROR(VLOOKUP($C653,'24.08_ND'!$A:$D,2,0),)</f>
        <v>REJUNTE CIMENTICIO, QUALQUER COR</v>
      </c>
      <c r="E653" s="297" t="str">
        <f>IFERROR(VLOOKUP($C653,'24.08_ND'!$A:$D,3,0),)</f>
        <v>KG</v>
      </c>
      <c r="F653" s="298">
        <v>6.6249999999999998E-3</v>
      </c>
      <c r="G653" s="299">
        <f>IFERROR(VLOOKUP($C653,'24.08_ND'!$A:$D,4,0),)</f>
        <v>6.41</v>
      </c>
      <c r="H653" s="300">
        <f>TRUNC(($F653*$G653),2)</f>
        <v>0.04</v>
      </c>
      <c r="I653" s="262"/>
      <c r="J653" s="262"/>
      <c r="K653" s="262"/>
      <c r="L653" s="262"/>
      <c r="M653" s="262"/>
      <c r="N653" s="262"/>
      <c r="O653" s="262"/>
      <c r="P653" s="262"/>
      <c r="Q653" s="262"/>
      <c r="R653" s="262"/>
      <c r="S653" s="262"/>
      <c r="T653" s="262"/>
      <c r="U653" s="262"/>
      <c r="V653" s="262"/>
      <c r="W653" s="262"/>
      <c r="X653" s="262"/>
      <c r="Y653" s="262"/>
      <c r="Z653" s="262"/>
      <c r="AA653" s="262"/>
      <c r="AB653" s="262"/>
    </row>
    <row r="654" spans="1:31" ht="12.75">
      <c r="A654" s="293" t="s">
        <v>14479</v>
      </c>
      <c r="B654" s="294" t="s">
        <v>14476</v>
      </c>
      <c r="C654" s="295">
        <v>37595</v>
      </c>
      <c r="D654" s="296" t="str">
        <f>IFERROR(VLOOKUP($C654,'24.08_ND'!$A:$D,2,0),)</f>
        <v>ARGAMASSA COLANTE TIPO AC III</v>
      </c>
      <c r="E654" s="297" t="str">
        <f>IFERROR(VLOOKUP($C654,'24.08_ND'!$A:$D,3,0),)</f>
        <v>KG</v>
      </c>
      <c r="F654" s="298">
        <f>4*1.15</f>
        <v>4.5999999999999996</v>
      </c>
      <c r="G654" s="299">
        <f>IFERROR(VLOOKUP($C654,'24.08_ND'!$A:$D,4,0),)</f>
        <v>3.36</v>
      </c>
      <c r="H654" s="300">
        <f>TRUNC(($F654*$G654),2)</f>
        <v>15.45</v>
      </c>
      <c r="I654" s="262"/>
      <c r="J654" s="262"/>
      <c r="K654" s="262"/>
      <c r="L654" s="262"/>
      <c r="M654" s="262"/>
      <c r="N654" s="262"/>
      <c r="O654" s="262"/>
      <c r="P654" s="262"/>
      <c r="Q654" s="262"/>
      <c r="R654" s="262"/>
      <c r="S654" s="262"/>
      <c r="T654" s="262"/>
      <c r="U654" s="262"/>
      <c r="V654" s="262"/>
      <c r="W654" s="262"/>
      <c r="X654" s="262"/>
      <c r="Y654" s="262"/>
      <c r="Z654" s="262"/>
      <c r="AA654" s="262"/>
      <c r="AB654" s="262"/>
    </row>
    <row r="655" spans="1:31" ht="12.75">
      <c r="A655" s="317" t="s">
        <v>14479</v>
      </c>
      <c r="B655" s="312" t="str">
        <f>VLOOKUP($C655,'• CIs EXT'!$A:$E,2,0)</f>
        <v>SEDOP</v>
      </c>
      <c r="C655" s="313" t="s">
        <v>14736</v>
      </c>
      <c r="D655" s="314" t="str">
        <f>VLOOKUP($C655,'• CIs EXT'!$A:$E,3,0)</f>
        <v>PORCELANATO - PADRÃO MÉDIO</v>
      </c>
      <c r="E655" s="312" t="str">
        <f>VLOOKUP($C655,'• CIs EXT'!$A:$E,4,0)</f>
        <v>M2</v>
      </c>
      <c r="F655" s="315">
        <v>1.1000000000000001</v>
      </c>
      <c r="G655" s="312">
        <f>VLOOKUP($C655,'• CIs EXT'!$A:$E,5,0)</f>
        <v>91</v>
      </c>
      <c r="H655" s="316">
        <f>TRUNC(($F655*$G655),2)</f>
        <v>100.1</v>
      </c>
      <c r="I655" s="262"/>
      <c r="J655" s="262"/>
      <c r="K655" s="262"/>
      <c r="L655" s="262"/>
      <c r="M655" s="262"/>
      <c r="N655" s="262"/>
      <c r="O655" s="262"/>
      <c r="P655" s="262"/>
      <c r="Q655" s="262"/>
      <c r="R655" s="262"/>
      <c r="S655" s="262"/>
      <c r="T655" s="262"/>
      <c r="U655" s="262"/>
      <c r="V655" s="262"/>
      <c r="W655" s="262"/>
      <c r="X655" s="262"/>
      <c r="Y655" s="262"/>
      <c r="Z655" s="262"/>
      <c r="AA655" s="262"/>
      <c r="AB655" s="262"/>
    </row>
    <row r="656" spans="1:31" ht="12.75">
      <c r="A656" s="309"/>
      <c r="B656" s="303"/>
      <c r="C656" s="303"/>
      <c r="D656" s="310"/>
      <c r="E656" s="303"/>
      <c r="F656" s="306"/>
      <c r="G656" s="307"/>
      <c r="H656" s="308"/>
      <c r="I656" s="262"/>
      <c r="J656" s="262"/>
      <c r="K656" s="262"/>
      <c r="L656" s="262"/>
      <c r="M656" s="262"/>
      <c r="N656" s="262"/>
      <c r="O656" s="262"/>
      <c r="P656" s="262"/>
      <c r="Q656" s="262"/>
      <c r="R656" s="262"/>
      <c r="S656" s="262"/>
      <c r="T656" s="262"/>
      <c r="U656" s="262"/>
      <c r="V656" s="262"/>
      <c r="W656" s="262"/>
      <c r="X656" s="262"/>
      <c r="Y656" s="262"/>
      <c r="Z656" s="262"/>
      <c r="AA656" s="262"/>
      <c r="AB656" s="262"/>
    </row>
    <row r="657" spans="1:31" ht="25.5">
      <c r="A657" s="271" t="s">
        <v>14471</v>
      </c>
      <c r="B657" s="272" t="s">
        <v>14472</v>
      </c>
      <c r="C657" s="273" t="s">
        <v>14741</v>
      </c>
      <c r="D657" s="274" t="s">
        <v>14742</v>
      </c>
      <c r="E657" s="272" t="s">
        <v>409</v>
      </c>
      <c r="F657" s="272"/>
      <c r="G657" s="272"/>
      <c r="H657" s="275">
        <f>SUM(H659:H663)</f>
        <v>391.12</v>
      </c>
      <c r="I657" s="276">
        <f>COUNTIF($C$8:$C657,C:C)</f>
        <v>1</v>
      </c>
      <c r="J657" s="262"/>
      <c r="K657" s="262"/>
      <c r="L657" s="262"/>
      <c r="M657" s="262"/>
      <c r="N657" s="262"/>
      <c r="O657" s="262"/>
      <c r="P657" s="262"/>
      <c r="Q657" s="262"/>
      <c r="R657" s="262"/>
      <c r="S657" s="262"/>
      <c r="T657" s="262"/>
      <c r="U657" s="262"/>
      <c r="V657" s="262"/>
      <c r="W657" s="262"/>
      <c r="X657" s="262"/>
      <c r="Y657" s="262"/>
      <c r="Z657" s="262"/>
      <c r="AA657" s="262"/>
      <c r="AB657" s="262"/>
    </row>
    <row r="658" spans="1:31" ht="12.75">
      <c r="A658" s="277" t="s">
        <v>14475</v>
      </c>
      <c r="B658" s="327" t="s">
        <v>14476</v>
      </c>
      <c r="C658" s="327">
        <v>104598</v>
      </c>
      <c r="D658" s="280" t="s">
        <v>14477</v>
      </c>
      <c r="E658" s="329"/>
      <c r="F658" s="282"/>
      <c r="G658" s="283"/>
      <c r="H658" s="284"/>
      <c r="I658" s="262"/>
      <c r="J658" s="262"/>
      <c r="K658" s="262"/>
      <c r="L658" s="262"/>
      <c r="M658" s="262"/>
      <c r="N658" s="262"/>
      <c r="O658" s="262"/>
      <c r="P658" s="262"/>
      <c r="Q658" s="262"/>
      <c r="R658" s="262"/>
      <c r="S658" s="262"/>
      <c r="T658" s="262"/>
      <c r="U658" s="262"/>
      <c r="V658" s="262"/>
      <c r="W658" s="262"/>
      <c r="X658" s="262"/>
      <c r="Y658" s="262"/>
      <c r="Z658" s="262"/>
      <c r="AA658" s="262"/>
      <c r="AB658" s="262"/>
    </row>
    <row r="659" spans="1:31" ht="25.5">
      <c r="A659" s="285" t="s">
        <v>14478</v>
      </c>
      <c r="B659" s="286" t="s">
        <v>14476</v>
      </c>
      <c r="C659" s="287">
        <v>88256</v>
      </c>
      <c r="D659" s="288" t="str">
        <f>IFERROR(VLOOKUP($C659,'24.08_ND'!$A:$D,2,0),)</f>
        <v>AZULEJISTA OU LADRILHISTA COM ENCARGOS COMPLEMENTARES</v>
      </c>
      <c r="E659" s="289" t="str">
        <f>IFERROR(VLOOKUP($C659,'24.08_ND'!$A:$D,3,0),)</f>
        <v>H</v>
      </c>
      <c r="F659" s="290">
        <v>0.75</v>
      </c>
      <c r="G659" s="291">
        <f>IFERROR(VLOOKUP($C659,'24.08_ND'!$A:$D,4,0),)</f>
        <v>23.2</v>
      </c>
      <c r="H659" s="292">
        <f>TRUNC(($F659*$G659),2)</f>
        <v>17.399999999999999</v>
      </c>
      <c r="I659" s="262"/>
      <c r="J659" s="262"/>
      <c r="K659" s="262"/>
      <c r="L659" s="262"/>
      <c r="M659" s="262"/>
      <c r="N659" s="262"/>
      <c r="O659" s="262"/>
      <c r="P659" s="262"/>
      <c r="Q659" s="262"/>
      <c r="R659" s="262"/>
      <c r="S659" s="262"/>
      <c r="T659" s="262"/>
      <c r="U659" s="262"/>
      <c r="V659" s="262"/>
      <c r="W659" s="262"/>
      <c r="X659" s="262"/>
      <c r="Y659" s="262"/>
      <c r="Z659" s="262"/>
      <c r="AA659" s="262"/>
      <c r="AB659" s="262"/>
      <c r="AD659" s="1791" t="e">
        <f>VLOOKUP(C659,'Medição '!$B$16:$F$1833,6,0)</f>
        <v>#N/A</v>
      </c>
      <c r="AE659" s="1791"/>
    </row>
    <row r="660" spans="1:31" ht="25.5">
      <c r="A660" s="285" t="s">
        <v>14478</v>
      </c>
      <c r="B660" s="286" t="s">
        <v>14476</v>
      </c>
      <c r="C660" s="287">
        <v>88316</v>
      </c>
      <c r="D660" s="288" t="str">
        <f>IFERROR(VLOOKUP($C660,'24.08_ND'!$A:$D,2,0),)</f>
        <v>SERVENTE COM ENCARGOS COMPLEMENTARES</v>
      </c>
      <c r="E660" s="289" t="str">
        <f>IFERROR(VLOOKUP($C660,'24.08_ND'!$A:$D,3,0),)</f>
        <v>H</v>
      </c>
      <c r="F660" s="290">
        <v>0.25</v>
      </c>
      <c r="G660" s="291">
        <f>IFERROR(VLOOKUP($C660,'24.08_ND'!$A:$D,4,0),)</f>
        <v>18.510000000000002</v>
      </c>
      <c r="H660" s="292">
        <f>TRUNC(($F660*$G660),2)</f>
        <v>4.62</v>
      </c>
      <c r="I660" s="262"/>
      <c r="J660" s="262"/>
      <c r="K660" s="262"/>
      <c r="L660" s="262"/>
      <c r="M660" s="262"/>
      <c r="N660" s="262"/>
      <c r="O660" s="262"/>
      <c r="P660" s="262"/>
      <c r="Q660" s="262"/>
      <c r="R660" s="262"/>
      <c r="S660" s="262"/>
      <c r="T660" s="262"/>
      <c r="U660" s="262"/>
      <c r="V660" s="262"/>
      <c r="W660" s="262"/>
      <c r="X660" s="262"/>
      <c r="Y660" s="262"/>
      <c r="Z660" s="262"/>
      <c r="AA660" s="262"/>
      <c r="AB660" s="262"/>
      <c r="AD660" s="1791" t="e">
        <f>VLOOKUP(C660,'Medição '!$B$16:$F$1833,6,0)</f>
        <v>#N/A</v>
      </c>
      <c r="AE660" s="1791"/>
    </row>
    <row r="661" spans="1:31" ht="12.75">
      <c r="A661" s="293" t="s">
        <v>14479</v>
      </c>
      <c r="B661" s="294" t="s">
        <v>14476</v>
      </c>
      <c r="C661" s="295">
        <v>34357</v>
      </c>
      <c r="D661" s="296" t="str">
        <f>IFERROR(VLOOKUP($C661,'24.08_ND'!$A:$D,2,0),)</f>
        <v>REJUNTE CIMENTICIO, QUALQUER COR</v>
      </c>
      <c r="E661" s="297" t="str">
        <f>IFERROR(VLOOKUP($C661,'24.08_ND'!$A:$D,3,0),)</f>
        <v>KG</v>
      </c>
      <c r="F661" s="298">
        <v>6.6249999999999998E-3</v>
      </c>
      <c r="G661" s="299">
        <f>IFERROR(VLOOKUP($C661,'24.08_ND'!$A:$D,4,0),)</f>
        <v>6.41</v>
      </c>
      <c r="H661" s="300">
        <f>TRUNC(($F661*$G661),2)</f>
        <v>0.04</v>
      </c>
      <c r="I661" s="262"/>
      <c r="J661" s="262"/>
      <c r="K661" s="262"/>
      <c r="L661" s="262"/>
      <c r="M661" s="262"/>
      <c r="N661" s="262"/>
      <c r="O661" s="262"/>
      <c r="P661" s="262"/>
      <c r="Q661" s="262"/>
      <c r="R661" s="262"/>
      <c r="S661" s="262"/>
      <c r="T661" s="262"/>
      <c r="U661" s="262"/>
      <c r="V661" s="262"/>
      <c r="W661" s="262"/>
      <c r="X661" s="262"/>
      <c r="Y661" s="262"/>
      <c r="Z661" s="262"/>
      <c r="AA661" s="262"/>
      <c r="AB661" s="262"/>
    </row>
    <row r="662" spans="1:31" ht="12.75">
      <c r="A662" s="293" t="s">
        <v>14479</v>
      </c>
      <c r="B662" s="294" t="s">
        <v>14476</v>
      </c>
      <c r="C662" s="295">
        <v>37595</v>
      </c>
      <c r="D662" s="296" t="str">
        <f>IFERROR(VLOOKUP($C662,'24.08_ND'!$A:$D,2,0),)</f>
        <v>ARGAMASSA COLANTE TIPO AC III</v>
      </c>
      <c r="E662" s="297" t="str">
        <f>IFERROR(VLOOKUP($C662,'24.08_ND'!$A:$D,3,0),)</f>
        <v>KG</v>
      </c>
      <c r="F662" s="298">
        <v>10.199999999999999</v>
      </c>
      <c r="G662" s="299">
        <f>IFERROR(VLOOKUP($C662,'24.08_ND'!$A:$D,4,0),)</f>
        <v>3.36</v>
      </c>
      <c r="H662" s="300">
        <f>TRUNC(($F662*$G662),2)</f>
        <v>34.270000000000003</v>
      </c>
      <c r="I662" s="262"/>
      <c r="J662" s="262"/>
      <c r="K662" s="262"/>
      <c r="L662" s="262"/>
      <c r="M662" s="262"/>
      <c r="N662" s="262"/>
      <c r="O662" s="262"/>
      <c r="P662" s="262"/>
      <c r="Q662" s="262"/>
      <c r="R662" s="262"/>
      <c r="S662" s="262"/>
      <c r="T662" s="262"/>
      <c r="U662" s="262"/>
      <c r="V662" s="262"/>
      <c r="W662" s="262"/>
      <c r="X662" s="262"/>
      <c r="Y662" s="262"/>
      <c r="Z662" s="262"/>
      <c r="AA662" s="262"/>
      <c r="AB662" s="262"/>
    </row>
    <row r="663" spans="1:31" ht="12.75">
      <c r="A663" s="319" t="s">
        <v>14479</v>
      </c>
      <c r="B663" s="320" t="s">
        <v>14491</v>
      </c>
      <c r="C663" s="320" t="s">
        <v>14743</v>
      </c>
      <c r="D663" s="321" t="str">
        <f>VLOOKUP($C663,'09 - MC'!$A:$F,2,0)</f>
        <v>PEDRA NATURAL REGIONAL</v>
      </c>
      <c r="E663" s="322" t="str">
        <f>VLOOKUP($C663,'09 - MC'!$A:$F,3,0)</f>
        <v>M2</v>
      </c>
      <c r="F663" s="323">
        <v>1.05</v>
      </c>
      <c r="G663" s="324">
        <f>VLOOKUP($C663,'09 - MC'!$A:$F,6,0)</f>
        <v>318.85000000000002</v>
      </c>
      <c r="H663" s="325">
        <f>TRUNC(G663*F663,2)</f>
        <v>334.79</v>
      </c>
      <c r="I663" s="262"/>
      <c r="J663" s="262"/>
      <c r="K663" s="262"/>
      <c r="L663" s="262"/>
      <c r="M663" s="262"/>
      <c r="N663" s="262"/>
      <c r="O663" s="262"/>
      <c r="P663" s="262"/>
      <c r="Q663" s="262"/>
      <c r="R663" s="262"/>
      <c r="S663" s="262"/>
      <c r="T663" s="262"/>
      <c r="U663" s="262"/>
      <c r="V663" s="262"/>
      <c r="W663" s="262"/>
      <c r="X663" s="262"/>
      <c r="Y663" s="262"/>
      <c r="Z663" s="262"/>
      <c r="AA663" s="262"/>
      <c r="AB663" s="262"/>
    </row>
    <row r="664" spans="1:31" ht="12.75">
      <c r="A664" s="309"/>
      <c r="B664" s="303"/>
      <c r="C664" s="303"/>
      <c r="D664" s="310"/>
      <c r="E664" s="303"/>
      <c r="F664" s="306"/>
      <c r="G664" s="307"/>
      <c r="H664" s="308"/>
      <c r="I664" s="262"/>
      <c r="J664" s="262"/>
      <c r="K664" s="262"/>
      <c r="L664" s="262"/>
      <c r="M664" s="262"/>
      <c r="N664" s="262"/>
      <c r="O664" s="262"/>
      <c r="P664" s="262"/>
      <c r="Q664" s="262"/>
      <c r="R664" s="262"/>
      <c r="S664" s="262"/>
      <c r="T664" s="262"/>
      <c r="U664" s="262"/>
      <c r="V664" s="262"/>
      <c r="W664" s="262"/>
      <c r="X664" s="262"/>
      <c r="Y664" s="262"/>
      <c r="Z664" s="262"/>
      <c r="AA664" s="262"/>
      <c r="AB664" s="262"/>
    </row>
    <row r="665" spans="1:31" ht="25.5">
      <c r="A665" s="271" t="s">
        <v>14471</v>
      </c>
      <c r="B665" s="272" t="s">
        <v>14472</v>
      </c>
      <c r="C665" s="273" t="s">
        <v>14744</v>
      </c>
      <c r="D665" s="274" t="s">
        <v>14745</v>
      </c>
      <c r="E665" s="272" t="s">
        <v>409</v>
      </c>
      <c r="F665" s="272"/>
      <c r="G665" s="272"/>
      <c r="H665" s="275">
        <f>SUM(H667:H671)</f>
        <v>267.64</v>
      </c>
      <c r="I665" s="276">
        <f>COUNTIF($C$8:$C665,C:C)</f>
        <v>1</v>
      </c>
      <c r="J665" s="262"/>
      <c r="K665" s="262"/>
      <c r="L665" s="262"/>
      <c r="M665" s="262"/>
      <c r="N665" s="262"/>
      <c r="O665" s="262"/>
      <c r="P665" s="262"/>
      <c r="Q665" s="262"/>
      <c r="R665" s="262"/>
      <c r="S665" s="262"/>
      <c r="T665" s="262"/>
      <c r="U665" s="262"/>
      <c r="V665" s="262"/>
      <c r="W665" s="262"/>
      <c r="X665" s="262"/>
      <c r="Y665" s="262"/>
      <c r="Z665" s="262"/>
      <c r="AA665" s="262"/>
      <c r="AB665" s="262"/>
    </row>
    <row r="666" spans="1:31" ht="12.75">
      <c r="A666" s="277" t="s">
        <v>14475</v>
      </c>
      <c r="B666" s="327" t="s">
        <v>14476</v>
      </c>
      <c r="C666" s="327">
        <v>104598</v>
      </c>
      <c r="D666" s="280" t="s">
        <v>14477</v>
      </c>
      <c r="E666" s="329"/>
      <c r="F666" s="282"/>
      <c r="G666" s="283"/>
      <c r="H666" s="284"/>
      <c r="I666" s="262"/>
      <c r="J666" s="262"/>
      <c r="K666" s="262"/>
      <c r="L666" s="262"/>
      <c r="M666" s="262"/>
      <c r="N666" s="262"/>
      <c r="O666" s="262"/>
      <c r="P666" s="262"/>
      <c r="Q666" s="262"/>
      <c r="R666" s="262"/>
      <c r="S666" s="262"/>
      <c r="T666" s="262"/>
      <c r="U666" s="262"/>
      <c r="V666" s="262"/>
      <c r="W666" s="262"/>
      <c r="X666" s="262"/>
      <c r="Y666" s="262"/>
      <c r="Z666" s="262"/>
      <c r="AA666" s="262"/>
      <c r="AB666" s="262"/>
    </row>
    <row r="667" spans="1:31" ht="25.5">
      <c r="A667" s="285" t="s">
        <v>14478</v>
      </c>
      <c r="B667" s="286" t="s">
        <v>14476</v>
      </c>
      <c r="C667" s="287">
        <v>88256</v>
      </c>
      <c r="D667" s="288" t="str">
        <f>IFERROR(VLOOKUP($C667,'24.08_ND'!$A:$D,2,0),)</f>
        <v>AZULEJISTA OU LADRILHISTA COM ENCARGOS COMPLEMENTARES</v>
      </c>
      <c r="E667" s="289" t="str">
        <f>IFERROR(VLOOKUP($C667,'24.08_ND'!$A:$D,3,0),)</f>
        <v>H</v>
      </c>
      <c r="F667" s="290">
        <v>0.83562499999999995</v>
      </c>
      <c r="G667" s="291">
        <f>IFERROR(VLOOKUP($C667,'24.08_ND'!$A:$D,4,0),)</f>
        <v>23.2</v>
      </c>
      <c r="H667" s="292">
        <f>TRUNC(($F667*$G667),2)</f>
        <v>19.38</v>
      </c>
      <c r="I667" s="262"/>
      <c r="J667" s="262"/>
      <c r="K667" s="262"/>
      <c r="L667" s="262"/>
      <c r="M667" s="262"/>
      <c r="N667" s="262"/>
      <c r="O667" s="262"/>
      <c r="P667" s="262"/>
      <c r="Q667" s="262"/>
      <c r="R667" s="262"/>
      <c r="S667" s="262"/>
      <c r="T667" s="262"/>
      <c r="U667" s="262"/>
      <c r="V667" s="262"/>
      <c r="W667" s="262"/>
      <c r="X667" s="262"/>
      <c r="Y667" s="262"/>
      <c r="Z667" s="262"/>
      <c r="AA667" s="262"/>
      <c r="AB667" s="262"/>
      <c r="AD667" s="1791" t="e">
        <f>VLOOKUP(C667,'Medição '!$B$16:$F$1833,6,0)</f>
        <v>#N/A</v>
      </c>
      <c r="AE667" s="1791"/>
    </row>
    <row r="668" spans="1:31" ht="25.5">
      <c r="A668" s="285" t="s">
        <v>14478</v>
      </c>
      <c r="B668" s="286" t="s">
        <v>14476</v>
      </c>
      <c r="C668" s="287">
        <v>88316</v>
      </c>
      <c r="D668" s="288" t="str">
        <f>IFERROR(VLOOKUP($C668,'24.08_ND'!$A:$D,2,0),)</f>
        <v>SERVENTE COM ENCARGOS COMPLEMENTARES</v>
      </c>
      <c r="E668" s="289" t="str">
        <f>IFERROR(VLOOKUP($C668,'24.08_ND'!$A:$D,3,0),)</f>
        <v>H</v>
      </c>
      <c r="F668" s="290">
        <v>0.26468750000000002</v>
      </c>
      <c r="G668" s="291">
        <f>IFERROR(VLOOKUP($C668,'24.08_ND'!$A:$D,4,0),)</f>
        <v>18.510000000000002</v>
      </c>
      <c r="H668" s="292">
        <f>TRUNC(($F668*$G668),2)</f>
        <v>4.8899999999999997</v>
      </c>
      <c r="I668" s="262"/>
      <c r="J668" s="262"/>
      <c r="K668" s="262"/>
      <c r="L668" s="262"/>
      <c r="M668" s="262"/>
      <c r="N668" s="262"/>
      <c r="O668" s="262"/>
      <c r="P668" s="262"/>
      <c r="Q668" s="262"/>
      <c r="R668" s="262"/>
      <c r="S668" s="262"/>
      <c r="T668" s="262"/>
      <c r="U668" s="262"/>
      <c r="V668" s="262"/>
      <c r="W668" s="262"/>
      <c r="X668" s="262"/>
      <c r="Y668" s="262"/>
      <c r="Z668" s="262"/>
      <c r="AA668" s="262"/>
      <c r="AB668" s="262"/>
      <c r="AD668" s="1791" t="e">
        <f>VLOOKUP(C668,'Medição '!$B$16:$F$1833,6,0)</f>
        <v>#N/A</v>
      </c>
      <c r="AE668" s="1791"/>
    </row>
    <row r="669" spans="1:31" ht="12.75">
      <c r="A669" s="293" t="s">
        <v>14479</v>
      </c>
      <c r="B669" s="294" t="s">
        <v>14476</v>
      </c>
      <c r="C669" s="295">
        <v>34357</v>
      </c>
      <c r="D669" s="296" t="str">
        <f>IFERROR(VLOOKUP($C669,'24.08_ND'!$A:$D,2,0),)</f>
        <v>REJUNTE CIMENTICIO, QUALQUER COR</v>
      </c>
      <c r="E669" s="297" t="str">
        <f>IFERROR(VLOOKUP($C669,'24.08_ND'!$A:$D,3,0),)</f>
        <v>KG</v>
      </c>
      <c r="F669" s="298">
        <v>6.6249999999999998E-3</v>
      </c>
      <c r="G669" s="299">
        <f>IFERROR(VLOOKUP($C669,'24.08_ND'!$A:$D,4,0),)</f>
        <v>6.41</v>
      </c>
      <c r="H669" s="300">
        <f>TRUNC(($F669*$G669),2)</f>
        <v>0.04</v>
      </c>
      <c r="I669" s="262"/>
      <c r="J669" s="262"/>
      <c r="K669" s="262"/>
      <c r="L669" s="262"/>
      <c r="M669" s="262"/>
      <c r="N669" s="262"/>
      <c r="O669" s="262"/>
      <c r="P669" s="262"/>
      <c r="Q669" s="262"/>
      <c r="R669" s="262"/>
      <c r="S669" s="262"/>
      <c r="T669" s="262"/>
      <c r="U669" s="262"/>
      <c r="V669" s="262"/>
      <c r="W669" s="262"/>
      <c r="X669" s="262"/>
      <c r="Y669" s="262"/>
      <c r="Z669" s="262"/>
      <c r="AA669" s="262"/>
      <c r="AB669" s="262"/>
    </row>
    <row r="670" spans="1:31" ht="12.75">
      <c r="A670" s="293" t="s">
        <v>14479</v>
      </c>
      <c r="B670" s="294" t="s">
        <v>14476</v>
      </c>
      <c r="C670" s="295">
        <v>37595</v>
      </c>
      <c r="D670" s="296" t="str">
        <f>IFERROR(VLOOKUP($C670,'24.08_ND'!$A:$D,2,0),)</f>
        <v>ARGAMASSA COLANTE TIPO AC III</v>
      </c>
      <c r="E670" s="297" t="str">
        <f>IFERROR(VLOOKUP($C670,'24.08_ND'!$A:$D,3,0),)</f>
        <v>KG</v>
      </c>
      <c r="F670" s="298">
        <v>12.4</v>
      </c>
      <c r="G670" s="299">
        <f>IFERROR(VLOOKUP($C670,'24.08_ND'!$A:$D,4,0),)</f>
        <v>3.36</v>
      </c>
      <c r="H670" s="300">
        <f>TRUNC(($F670*$G670),2)</f>
        <v>41.66</v>
      </c>
      <c r="I670" s="262"/>
      <c r="J670" s="262"/>
      <c r="K670" s="262"/>
      <c r="L670" s="262"/>
      <c r="M670" s="262"/>
      <c r="N670" s="262"/>
      <c r="O670" s="262"/>
      <c r="P670" s="262"/>
      <c r="Q670" s="262"/>
      <c r="R670" s="262"/>
      <c r="S670" s="262"/>
      <c r="T670" s="262"/>
      <c r="U670" s="262"/>
      <c r="V670" s="262"/>
      <c r="W670" s="262"/>
      <c r="X670" s="262"/>
      <c r="Y670" s="262"/>
      <c r="Z670" s="262"/>
      <c r="AA670" s="262"/>
      <c r="AB670" s="262"/>
    </row>
    <row r="671" spans="1:31" ht="12.75">
      <c r="A671" s="317" t="s">
        <v>14479</v>
      </c>
      <c r="B671" s="312" t="str">
        <f>VLOOKUP($C671,'• CIs EXT'!$A:$E,2,0)</f>
        <v>SEDOP</v>
      </c>
      <c r="C671" s="313" t="s">
        <v>14731</v>
      </c>
      <c r="D671" s="314" t="str">
        <f>VLOOKUP($C671,'• CIs EXT'!$A:$E,3,0)</f>
        <v>PORCELANATO - PADRÃO ALTO</v>
      </c>
      <c r="E671" s="312" t="str">
        <f>VLOOKUP($C671,'• CIs EXT'!$A:$E,4,0)</f>
        <v>M2</v>
      </c>
      <c r="F671" s="315">
        <v>1.1000000000000001</v>
      </c>
      <c r="G671" s="312">
        <f>VLOOKUP($C671,'• CIs EXT'!$A:$E,5,0)</f>
        <v>183.34</v>
      </c>
      <c r="H671" s="316">
        <f>TRUNC(($F671*$G671),2)</f>
        <v>201.67</v>
      </c>
      <c r="I671" s="262"/>
      <c r="J671" s="262"/>
      <c r="K671" s="262"/>
      <c r="L671" s="262"/>
      <c r="M671" s="262"/>
      <c r="N671" s="262"/>
      <c r="O671" s="262"/>
      <c r="P671" s="262"/>
      <c r="Q671" s="262"/>
      <c r="R671" s="262"/>
      <c r="S671" s="262"/>
      <c r="T671" s="262"/>
      <c r="U671" s="262"/>
      <c r="V671" s="262"/>
      <c r="W671" s="262"/>
      <c r="X671" s="262"/>
      <c r="Y671" s="262"/>
      <c r="Z671" s="262"/>
      <c r="AA671" s="262"/>
      <c r="AB671" s="262"/>
    </row>
    <row r="672" spans="1:31" ht="12.75">
      <c r="A672" s="309"/>
      <c r="B672" s="303"/>
      <c r="C672" s="303"/>
      <c r="D672" s="310"/>
      <c r="E672" s="303"/>
      <c r="F672" s="306"/>
      <c r="G672" s="307"/>
      <c r="H672" s="308"/>
      <c r="I672" s="262"/>
      <c r="J672" s="262"/>
      <c r="K672" s="262"/>
      <c r="L672" s="262"/>
      <c r="M672" s="262"/>
      <c r="N672" s="262"/>
      <c r="O672" s="262"/>
      <c r="P672" s="262"/>
      <c r="Q672" s="262"/>
      <c r="R672" s="262"/>
      <c r="S672" s="262"/>
      <c r="T672" s="262"/>
      <c r="U672" s="262"/>
      <c r="V672" s="262"/>
      <c r="W672" s="262"/>
      <c r="X672" s="262"/>
      <c r="Y672" s="262"/>
      <c r="Z672" s="262"/>
      <c r="AA672" s="262"/>
      <c r="AB672" s="262"/>
    </row>
    <row r="673" spans="1:31" ht="38.25">
      <c r="A673" s="358" t="s">
        <v>14471</v>
      </c>
      <c r="B673" s="359" t="s">
        <v>14472</v>
      </c>
      <c r="C673" s="273" t="s">
        <v>14746</v>
      </c>
      <c r="D673" s="361" t="s">
        <v>14747</v>
      </c>
      <c r="E673" s="359" t="s">
        <v>409</v>
      </c>
      <c r="F673" s="362"/>
      <c r="G673" s="362"/>
      <c r="H673" s="363">
        <f>TRUNC(SUM(H675:H679),2)</f>
        <v>261</v>
      </c>
      <c r="I673" s="276">
        <f>COUNTIF($C$8:$C673,C:C)</f>
        <v>1</v>
      </c>
      <c r="J673" s="262"/>
      <c r="K673" s="262"/>
      <c r="L673" s="262"/>
      <c r="M673" s="262"/>
      <c r="N673" s="262"/>
      <c r="O673" s="262"/>
      <c r="P673" s="262"/>
      <c r="Q673" s="262"/>
      <c r="R673" s="262"/>
      <c r="S673" s="262"/>
      <c r="T673" s="262"/>
      <c r="U673" s="262"/>
      <c r="V673" s="262"/>
      <c r="W673" s="262"/>
      <c r="X673" s="262"/>
      <c r="Y673" s="262"/>
      <c r="Z673" s="262"/>
      <c r="AA673" s="262"/>
      <c r="AB673" s="262"/>
    </row>
    <row r="674" spans="1:31" ht="12.75">
      <c r="A674" s="364" t="s">
        <v>14475</v>
      </c>
      <c r="B674" s="403" t="s">
        <v>14476</v>
      </c>
      <c r="C674" s="404">
        <v>104598</v>
      </c>
      <c r="D674" s="367" t="s">
        <v>14477</v>
      </c>
      <c r="E674" s="405"/>
      <c r="F674" s="369"/>
      <c r="G674" s="370"/>
      <c r="H674" s="371"/>
      <c r="I674" s="262"/>
      <c r="J674" s="262"/>
      <c r="K674" s="262"/>
      <c r="L674" s="262"/>
      <c r="M674" s="262"/>
      <c r="N674" s="262"/>
      <c r="O674" s="262"/>
      <c r="P674" s="262"/>
      <c r="Q674" s="262"/>
      <c r="R674" s="262"/>
      <c r="S674" s="262"/>
      <c r="T674" s="262"/>
      <c r="U674" s="262"/>
      <c r="V674" s="262"/>
      <c r="W674" s="262"/>
      <c r="X674" s="262"/>
      <c r="Y674" s="262"/>
      <c r="Z674" s="262"/>
      <c r="AA674" s="262"/>
      <c r="AB674" s="262"/>
    </row>
    <row r="675" spans="1:31" ht="25.5">
      <c r="A675" s="372" t="s">
        <v>14478</v>
      </c>
      <c r="B675" s="421" t="s">
        <v>14476</v>
      </c>
      <c r="C675" s="374">
        <v>88256</v>
      </c>
      <c r="D675" s="288" t="str">
        <f>IFERROR(VLOOKUP($C675,'24.08_ND'!$A:$D,2,0),)</f>
        <v>AZULEJISTA OU LADRILHISTA COM ENCARGOS COMPLEMENTARES</v>
      </c>
      <c r="E675" s="289" t="str">
        <f>IFERROR(VLOOKUP($C675,'24.08_ND'!$A:$D,3,0),)</f>
        <v>H</v>
      </c>
      <c r="F675" s="375">
        <v>0.67685625000000005</v>
      </c>
      <c r="G675" s="291">
        <f>IFERROR(VLOOKUP($C675,'24.08_ND'!$A:$D,4,0),)</f>
        <v>23.2</v>
      </c>
      <c r="H675" s="292">
        <f>TRUNC(($F675*$G675),2)</f>
        <v>15.7</v>
      </c>
      <c r="I675" s="262"/>
      <c r="J675" s="262"/>
      <c r="K675" s="262"/>
      <c r="L675" s="262"/>
      <c r="M675" s="262"/>
      <c r="N675" s="262"/>
      <c r="O675" s="262"/>
      <c r="P675" s="262"/>
      <c r="Q675" s="262"/>
      <c r="R675" s="262"/>
      <c r="S675" s="262"/>
      <c r="T675" s="262"/>
      <c r="U675" s="262"/>
      <c r="V675" s="262"/>
      <c r="W675" s="262"/>
      <c r="X675" s="262"/>
      <c r="Y675" s="262"/>
      <c r="Z675" s="262"/>
      <c r="AA675" s="262"/>
      <c r="AB675" s="262"/>
      <c r="AD675" s="1791" t="e">
        <f>VLOOKUP(C675,'Medição '!$B$16:$F$1833,6,0)</f>
        <v>#N/A</v>
      </c>
      <c r="AE675" s="1791"/>
    </row>
    <row r="676" spans="1:31" ht="25.5">
      <c r="A676" s="372" t="s">
        <v>14478</v>
      </c>
      <c r="B676" s="421" t="s">
        <v>14476</v>
      </c>
      <c r="C676" s="374">
        <v>88316</v>
      </c>
      <c r="D676" s="288" t="str">
        <f>IFERROR(VLOOKUP($C676,'24.08_ND'!$A:$D,2,0),)</f>
        <v>SERVENTE COM ENCARGOS COMPLEMENTARES</v>
      </c>
      <c r="E676" s="289" t="str">
        <f>IFERROR(VLOOKUP($C676,'24.08_ND'!$A:$D,3,0),)</f>
        <v>H</v>
      </c>
      <c r="F676" s="375">
        <v>0.21439687499999999</v>
      </c>
      <c r="G676" s="291">
        <f>IFERROR(VLOOKUP($C676,'24.08_ND'!$A:$D,4,0),)</f>
        <v>18.510000000000002</v>
      </c>
      <c r="H676" s="292">
        <f>TRUNC(($F676*$G676),2)</f>
        <v>3.96</v>
      </c>
      <c r="I676" s="262"/>
      <c r="J676" s="262"/>
      <c r="K676" s="262"/>
      <c r="L676" s="262"/>
      <c r="M676" s="262"/>
      <c r="N676" s="262"/>
      <c r="O676" s="262"/>
      <c r="P676" s="262"/>
      <c r="Q676" s="262"/>
      <c r="R676" s="262"/>
      <c r="S676" s="262"/>
      <c r="T676" s="262"/>
      <c r="U676" s="262"/>
      <c r="V676" s="262"/>
      <c r="W676" s="262"/>
      <c r="X676" s="262"/>
      <c r="Y676" s="262"/>
      <c r="Z676" s="262"/>
      <c r="AA676" s="262"/>
      <c r="AB676" s="262"/>
      <c r="AD676" s="1791" t="e">
        <f>VLOOKUP(C676,'Medição '!$B$16:$F$1833,6,0)</f>
        <v>#N/A</v>
      </c>
      <c r="AE676" s="1791"/>
    </row>
    <row r="677" spans="1:31" ht="12.75">
      <c r="A677" s="581" t="s">
        <v>14479</v>
      </c>
      <c r="B677" s="582" t="s">
        <v>14476</v>
      </c>
      <c r="C677" s="447">
        <v>34357</v>
      </c>
      <c r="D677" s="296" t="str">
        <f>IFERROR(VLOOKUP($C677,'24.08_ND'!$A:$D,2,0),)</f>
        <v>REJUNTE CIMENTICIO, QUALQUER COR</v>
      </c>
      <c r="E677" s="297" t="str">
        <f>IFERROR(VLOOKUP($C677,'24.08_ND'!$A:$D,3,0),)</f>
        <v>KG</v>
      </c>
      <c r="F677" s="385">
        <v>0.13415625</v>
      </c>
      <c r="G677" s="299">
        <f>IFERROR(VLOOKUP($C677,'24.08_ND'!$A:$D,4,0),)</f>
        <v>6.41</v>
      </c>
      <c r="H677" s="300">
        <f>TRUNC(($F677*$G677),2)</f>
        <v>0.85</v>
      </c>
      <c r="I677" s="262"/>
      <c r="J677" s="262"/>
      <c r="K677" s="262"/>
      <c r="L677" s="262"/>
      <c r="M677" s="262"/>
      <c r="N677" s="262"/>
      <c r="O677" s="262"/>
      <c r="P677" s="262"/>
      <c r="Q677" s="262"/>
      <c r="R677" s="262"/>
      <c r="S677" s="262"/>
      <c r="T677" s="262"/>
      <c r="U677" s="262"/>
      <c r="V677" s="262"/>
      <c r="W677" s="262"/>
      <c r="X677" s="262"/>
      <c r="Y677" s="262"/>
      <c r="Z677" s="262"/>
      <c r="AA677" s="262"/>
      <c r="AB677" s="262"/>
    </row>
    <row r="678" spans="1:31" ht="12.75">
      <c r="A678" s="581" t="s">
        <v>14479</v>
      </c>
      <c r="B678" s="582" t="s">
        <v>14476</v>
      </c>
      <c r="C678" s="447">
        <v>37595</v>
      </c>
      <c r="D678" s="296" t="str">
        <f>IFERROR(VLOOKUP($C678,'24.08_ND'!$A:$D,2,0),)</f>
        <v>ARGAMASSA COLANTE TIPO AC III</v>
      </c>
      <c r="E678" s="297" t="str">
        <f>IFERROR(VLOOKUP($C678,'24.08_ND'!$A:$D,3,0),)</f>
        <v>KG</v>
      </c>
      <c r="F678" s="385">
        <v>11.55515625</v>
      </c>
      <c r="G678" s="299">
        <f>IFERROR(VLOOKUP($C678,'24.08_ND'!$A:$D,4,0),)</f>
        <v>3.36</v>
      </c>
      <c r="H678" s="300">
        <f>TRUNC(($F678*$G678),2)</f>
        <v>38.82</v>
      </c>
      <c r="I678" s="262"/>
      <c r="J678" s="262"/>
      <c r="K678" s="262"/>
      <c r="L678" s="262"/>
      <c r="M678" s="262"/>
      <c r="N678" s="262"/>
      <c r="O678" s="262"/>
      <c r="P678" s="262"/>
      <c r="Q678" s="262"/>
      <c r="R678" s="262"/>
      <c r="S678" s="262"/>
      <c r="T678" s="262"/>
      <c r="U678" s="262"/>
      <c r="V678" s="262"/>
      <c r="W678" s="262"/>
      <c r="X678" s="262"/>
      <c r="Y678" s="262"/>
      <c r="Z678" s="262"/>
      <c r="AA678" s="262"/>
      <c r="AB678" s="262"/>
    </row>
    <row r="679" spans="1:31" ht="12.75">
      <c r="A679" s="317" t="s">
        <v>14479</v>
      </c>
      <c r="B679" s="312" t="str">
        <f>VLOOKUP($C679,'• CIs EXT'!$A:$E,2,0)</f>
        <v>SEDOP</v>
      </c>
      <c r="C679" s="313" t="s">
        <v>14731</v>
      </c>
      <c r="D679" s="314" t="str">
        <f>VLOOKUP($C679,'• CIs EXT'!$A:$E,3,0)</f>
        <v>PORCELANATO - PADRÃO ALTO</v>
      </c>
      <c r="E679" s="312" t="str">
        <f>VLOOKUP($C679,'• CIs EXT'!$A:$E,4,0)</f>
        <v>M2</v>
      </c>
      <c r="F679" s="315">
        <v>1.1000000000000001</v>
      </c>
      <c r="G679" s="312">
        <f>VLOOKUP($C679,'• CIs EXT'!$A:$E,5,0)</f>
        <v>183.34</v>
      </c>
      <c r="H679" s="316">
        <f>TRUNC(($F679*$G679),2)</f>
        <v>201.67</v>
      </c>
      <c r="I679" s="262"/>
      <c r="J679" s="262"/>
      <c r="K679" s="262"/>
      <c r="L679" s="262"/>
      <c r="M679" s="262"/>
      <c r="N679" s="262"/>
      <c r="O679" s="262"/>
      <c r="P679" s="262"/>
      <c r="Q679" s="262"/>
      <c r="R679" s="262"/>
      <c r="S679" s="262"/>
      <c r="T679" s="262"/>
      <c r="U679" s="262"/>
      <c r="V679" s="262"/>
      <c r="W679" s="262"/>
      <c r="X679" s="262"/>
      <c r="Y679" s="262"/>
      <c r="Z679" s="262"/>
      <c r="AA679" s="262"/>
      <c r="AB679" s="262"/>
    </row>
    <row r="680" spans="1:31" ht="12.75">
      <c r="A680" s="309"/>
      <c r="B680" s="303"/>
      <c r="C680" s="303"/>
      <c r="D680" s="310"/>
      <c r="E680" s="303"/>
      <c r="F680" s="306"/>
      <c r="G680" s="307"/>
      <c r="H680" s="308"/>
      <c r="I680" s="262"/>
      <c r="J680" s="262"/>
      <c r="K680" s="262"/>
      <c r="L680" s="262"/>
      <c r="M680" s="262"/>
      <c r="N680" s="262"/>
      <c r="O680" s="262"/>
      <c r="P680" s="262"/>
      <c r="Q680" s="262"/>
      <c r="R680" s="262"/>
      <c r="S680" s="262"/>
      <c r="T680" s="262"/>
      <c r="U680" s="262"/>
      <c r="V680" s="262"/>
      <c r="W680" s="262"/>
      <c r="X680" s="262"/>
      <c r="Y680" s="262"/>
      <c r="Z680" s="262"/>
      <c r="AA680" s="262"/>
      <c r="AB680" s="262"/>
    </row>
    <row r="681" spans="1:31" ht="25.5">
      <c r="A681" s="358" t="s">
        <v>14471</v>
      </c>
      <c r="B681" s="359" t="s">
        <v>14472</v>
      </c>
      <c r="C681" s="273" t="s">
        <v>14748</v>
      </c>
      <c r="D681" s="361" t="s">
        <v>14749</v>
      </c>
      <c r="E681" s="359" t="s">
        <v>409</v>
      </c>
      <c r="F681" s="362"/>
      <c r="G681" s="362"/>
      <c r="H681" s="363">
        <f>TRUNC(SUM(H683:H687),2)</f>
        <v>159.43</v>
      </c>
      <c r="I681" s="276">
        <f>COUNTIF($C$8:$C681,C:C)</f>
        <v>1</v>
      </c>
      <c r="J681" s="262"/>
      <c r="K681" s="262"/>
      <c r="L681" s="262"/>
      <c r="M681" s="262"/>
      <c r="N681" s="262"/>
      <c r="O681" s="262"/>
      <c r="P681" s="262"/>
      <c r="Q681" s="262"/>
      <c r="R681" s="262"/>
      <c r="S681" s="262"/>
      <c r="T681" s="262"/>
      <c r="U681" s="262"/>
      <c r="V681" s="262"/>
      <c r="W681" s="262"/>
      <c r="X681" s="262"/>
      <c r="Y681" s="262"/>
      <c r="Z681" s="262"/>
      <c r="AA681" s="262"/>
      <c r="AB681" s="262"/>
    </row>
    <row r="682" spans="1:31" ht="12.75">
      <c r="A682" s="364" t="s">
        <v>14475</v>
      </c>
      <c r="B682" s="403" t="s">
        <v>14476</v>
      </c>
      <c r="C682" s="404">
        <v>104598</v>
      </c>
      <c r="D682" s="367" t="s">
        <v>14477</v>
      </c>
      <c r="E682" s="405"/>
      <c r="F682" s="369"/>
      <c r="G682" s="370"/>
      <c r="H682" s="371"/>
      <c r="I682" s="262"/>
      <c r="J682" s="262"/>
      <c r="K682" s="262"/>
      <c r="L682" s="262"/>
      <c r="M682" s="262"/>
      <c r="N682" s="262"/>
      <c r="O682" s="262"/>
      <c r="P682" s="262"/>
      <c r="Q682" s="262"/>
      <c r="R682" s="262"/>
      <c r="S682" s="262"/>
      <c r="T682" s="262"/>
      <c r="U682" s="262"/>
      <c r="V682" s="262"/>
      <c r="W682" s="262"/>
      <c r="X682" s="262"/>
      <c r="Y682" s="262"/>
      <c r="Z682" s="262"/>
      <c r="AA682" s="262"/>
      <c r="AB682" s="262"/>
    </row>
    <row r="683" spans="1:31" ht="25.5">
      <c r="A683" s="372" t="s">
        <v>14478</v>
      </c>
      <c r="B683" s="421" t="s">
        <v>14476</v>
      </c>
      <c r="C683" s="374">
        <v>88256</v>
      </c>
      <c r="D683" s="288" t="str">
        <f>IFERROR(VLOOKUP($C683,'24.08_ND'!$A:$D,2,0),)</f>
        <v>AZULEJISTA OU LADRILHISTA COM ENCARGOS COMPLEMENTARES</v>
      </c>
      <c r="E683" s="289" t="str">
        <f>IFERROR(VLOOKUP($C683,'24.08_ND'!$A:$D,3,0),)</f>
        <v>H</v>
      </c>
      <c r="F683" s="375">
        <v>0.67685625000000005</v>
      </c>
      <c r="G683" s="291">
        <f>IFERROR(VLOOKUP($C683,'24.08_ND'!$A:$D,4,0),)</f>
        <v>23.2</v>
      </c>
      <c r="H683" s="292">
        <f>TRUNC(($F683*$G683),2)</f>
        <v>15.7</v>
      </c>
      <c r="I683" s="262"/>
      <c r="J683" s="262"/>
      <c r="K683" s="262"/>
      <c r="L683" s="262"/>
      <c r="M683" s="262"/>
      <c r="N683" s="262"/>
      <c r="O683" s="262"/>
      <c r="P683" s="262"/>
      <c r="Q683" s="262"/>
      <c r="R683" s="262"/>
      <c r="S683" s="262"/>
      <c r="T683" s="262"/>
      <c r="U683" s="262"/>
      <c r="V683" s="262"/>
      <c r="W683" s="262"/>
      <c r="X683" s="262"/>
      <c r="Y683" s="262"/>
      <c r="Z683" s="262"/>
      <c r="AA683" s="262"/>
      <c r="AB683" s="262"/>
      <c r="AD683" s="1791" t="e">
        <f>VLOOKUP(C683,'Medição '!$B$16:$F$1833,6,0)</f>
        <v>#N/A</v>
      </c>
      <c r="AE683" s="1791"/>
    </row>
    <row r="684" spans="1:31" ht="25.5">
      <c r="A684" s="372" t="s">
        <v>14478</v>
      </c>
      <c r="B684" s="421" t="s">
        <v>14476</v>
      </c>
      <c r="C684" s="374">
        <v>88316</v>
      </c>
      <c r="D684" s="288" t="str">
        <f>IFERROR(VLOOKUP($C684,'24.08_ND'!$A:$D,2,0),)</f>
        <v>SERVENTE COM ENCARGOS COMPLEMENTARES</v>
      </c>
      <c r="E684" s="289" t="str">
        <f>IFERROR(VLOOKUP($C684,'24.08_ND'!$A:$D,3,0),)</f>
        <v>H</v>
      </c>
      <c r="F684" s="375">
        <v>0.21439687499999999</v>
      </c>
      <c r="G684" s="291">
        <f>IFERROR(VLOOKUP($C684,'24.08_ND'!$A:$D,4,0),)</f>
        <v>18.510000000000002</v>
      </c>
      <c r="H684" s="292">
        <f>TRUNC(($F684*$G684),2)</f>
        <v>3.96</v>
      </c>
      <c r="I684" s="262"/>
      <c r="J684" s="262"/>
      <c r="K684" s="262"/>
      <c r="L684" s="262"/>
      <c r="M684" s="262"/>
      <c r="N684" s="262"/>
      <c r="O684" s="262"/>
      <c r="P684" s="262"/>
      <c r="Q684" s="262"/>
      <c r="R684" s="262"/>
      <c r="S684" s="262"/>
      <c r="T684" s="262"/>
      <c r="U684" s="262"/>
      <c r="V684" s="262"/>
      <c r="W684" s="262"/>
      <c r="X684" s="262"/>
      <c r="Y684" s="262"/>
      <c r="Z684" s="262"/>
      <c r="AA684" s="262"/>
      <c r="AB684" s="262"/>
      <c r="AD684" s="1791" t="e">
        <f>VLOOKUP(C684,'Medição '!$B$16:$F$1833,6,0)</f>
        <v>#N/A</v>
      </c>
      <c r="AE684" s="1791"/>
    </row>
    <row r="685" spans="1:31" ht="12.75">
      <c r="A685" s="581" t="s">
        <v>14479</v>
      </c>
      <c r="B685" s="582" t="s">
        <v>14476</v>
      </c>
      <c r="C685" s="447">
        <v>34357</v>
      </c>
      <c r="D685" s="296" t="str">
        <f>IFERROR(VLOOKUP($C685,'24.08_ND'!$A:$D,2,0),)</f>
        <v>REJUNTE CIMENTICIO, QUALQUER COR</v>
      </c>
      <c r="E685" s="297" t="str">
        <f>IFERROR(VLOOKUP($C685,'24.08_ND'!$A:$D,3,0),)</f>
        <v>KG</v>
      </c>
      <c r="F685" s="385">
        <v>0.13415625</v>
      </c>
      <c r="G685" s="299">
        <f>IFERROR(VLOOKUP($C685,'24.08_ND'!$A:$D,4,0),)</f>
        <v>6.41</v>
      </c>
      <c r="H685" s="300">
        <f>TRUNC(($F685*$G685),2)</f>
        <v>0.85</v>
      </c>
      <c r="I685" s="262"/>
      <c r="J685" s="262"/>
      <c r="K685" s="262"/>
      <c r="L685" s="262"/>
      <c r="M685" s="262"/>
      <c r="N685" s="262"/>
      <c r="O685" s="262"/>
      <c r="P685" s="262"/>
      <c r="Q685" s="262"/>
      <c r="R685" s="262"/>
      <c r="S685" s="262"/>
      <c r="T685" s="262"/>
      <c r="U685" s="262"/>
      <c r="V685" s="262"/>
      <c r="W685" s="262"/>
      <c r="X685" s="262"/>
      <c r="Y685" s="262"/>
      <c r="Z685" s="262"/>
      <c r="AA685" s="262"/>
      <c r="AB685" s="262"/>
    </row>
    <row r="686" spans="1:31" ht="12.75">
      <c r="A686" s="581" t="s">
        <v>14479</v>
      </c>
      <c r="B686" s="582" t="s">
        <v>14476</v>
      </c>
      <c r="C686" s="447">
        <v>37595</v>
      </c>
      <c r="D686" s="296" t="str">
        <f>IFERROR(VLOOKUP($C686,'24.08_ND'!$A:$D,2,0),)</f>
        <v>ARGAMASSA COLANTE TIPO AC III</v>
      </c>
      <c r="E686" s="297" t="str">
        <f>IFERROR(VLOOKUP($C686,'24.08_ND'!$A:$D,3,0),)</f>
        <v>KG</v>
      </c>
      <c r="F686" s="385">
        <v>11.55515625</v>
      </c>
      <c r="G686" s="299">
        <f>IFERROR(VLOOKUP($C686,'24.08_ND'!$A:$D,4,0),)</f>
        <v>3.36</v>
      </c>
      <c r="H686" s="300">
        <f>TRUNC(($F686*$G686),2)</f>
        <v>38.82</v>
      </c>
      <c r="I686" s="262"/>
      <c r="J686" s="262"/>
      <c r="K686" s="262"/>
      <c r="L686" s="262"/>
      <c r="M686" s="262"/>
      <c r="N686" s="262"/>
      <c r="O686" s="262"/>
      <c r="P686" s="262"/>
      <c r="Q686" s="262"/>
      <c r="R686" s="262"/>
      <c r="S686" s="262"/>
      <c r="T686" s="262"/>
      <c r="U686" s="262"/>
      <c r="V686" s="262"/>
      <c r="W686" s="262"/>
      <c r="X686" s="262"/>
      <c r="Y686" s="262"/>
      <c r="Z686" s="262"/>
      <c r="AA686" s="262"/>
      <c r="AB686" s="262"/>
    </row>
    <row r="687" spans="1:31" ht="12.75">
      <c r="A687" s="317" t="s">
        <v>14479</v>
      </c>
      <c r="B687" s="312" t="str">
        <f>VLOOKUP($C687,'• CIs EXT'!$A:$E,2,0)</f>
        <v>SEDOP</v>
      </c>
      <c r="C687" s="313" t="s">
        <v>14736</v>
      </c>
      <c r="D687" s="314" t="str">
        <f>VLOOKUP($C687,'• CIs EXT'!$A:$E,3,0)</f>
        <v>PORCELANATO - PADRÃO MÉDIO</v>
      </c>
      <c r="E687" s="312" t="str">
        <f>VLOOKUP($C687,'• CIs EXT'!$A:$E,4,0)</f>
        <v>M2</v>
      </c>
      <c r="F687" s="315">
        <v>1.1000000000000001</v>
      </c>
      <c r="G687" s="312">
        <f>VLOOKUP($C687,'• CIs EXT'!$A:$E,5,0)</f>
        <v>91</v>
      </c>
      <c r="H687" s="316">
        <f>TRUNC(($F687*$G687),2)</f>
        <v>100.1</v>
      </c>
      <c r="I687" s="262"/>
      <c r="J687" s="262"/>
      <c r="K687" s="262"/>
      <c r="L687" s="262"/>
      <c r="M687" s="262"/>
      <c r="N687" s="262"/>
      <c r="O687" s="262"/>
      <c r="P687" s="262"/>
      <c r="Q687" s="262"/>
      <c r="R687" s="262"/>
      <c r="S687" s="262"/>
      <c r="T687" s="262"/>
      <c r="U687" s="262"/>
      <c r="V687" s="262"/>
      <c r="W687" s="262"/>
      <c r="X687" s="262"/>
      <c r="Y687" s="262"/>
      <c r="Z687" s="262"/>
      <c r="AA687" s="262"/>
      <c r="AB687" s="262"/>
    </row>
    <row r="688" spans="1:31" ht="12.75">
      <c r="A688" s="309"/>
      <c r="B688" s="303"/>
      <c r="C688" s="303"/>
      <c r="D688" s="310"/>
      <c r="E688" s="303"/>
      <c r="F688" s="306"/>
      <c r="G688" s="307"/>
      <c r="H688" s="308"/>
      <c r="I688" s="262"/>
      <c r="J688" s="262"/>
      <c r="K688" s="262"/>
      <c r="L688" s="262"/>
      <c r="M688" s="262"/>
      <c r="N688" s="262"/>
      <c r="O688" s="262"/>
      <c r="P688" s="262"/>
      <c r="Q688" s="262"/>
      <c r="R688" s="262"/>
      <c r="S688" s="262"/>
      <c r="T688" s="262"/>
      <c r="U688" s="262"/>
      <c r="V688" s="262"/>
      <c r="W688" s="262"/>
      <c r="X688" s="262"/>
      <c r="Y688" s="262"/>
      <c r="Z688" s="262"/>
      <c r="AA688" s="262"/>
      <c r="AB688" s="262"/>
    </row>
    <row r="689" spans="1:31" ht="25.5">
      <c r="A689" s="271" t="s">
        <v>14471</v>
      </c>
      <c r="B689" s="272" t="s">
        <v>14472</v>
      </c>
      <c r="C689" s="273" t="s">
        <v>14750</v>
      </c>
      <c r="D689" s="274" t="s">
        <v>14751</v>
      </c>
      <c r="E689" s="272" t="s">
        <v>409</v>
      </c>
      <c r="F689" s="272"/>
      <c r="G689" s="272"/>
      <c r="H689" s="275">
        <f>SUM(H691:H697)</f>
        <v>1128.97</v>
      </c>
      <c r="I689" s="276">
        <f>COUNTIF($C$8:$C689,C:C)</f>
        <v>1</v>
      </c>
      <c r="J689" s="262"/>
      <c r="K689" s="262"/>
      <c r="L689" s="262"/>
      <c r="M689" s="262"/>
      <c r="N689" s="262"/>
      <c r="O689" s="262"/>
      <c r="P689" s="262"/>
      <c r="Q689" s="262"/>
      <c r="R689" s="262"/>
      <c r="S689" s="262"/>
      <c r="T689" s="262"/>
      <c r="U689" s="262"/>
      <c r="V689" s="262"/>
      <c r="W689" s="262"/>
      <c r="X689" s="262"/>
      <c r="Y689" s="262"/>
      <c r="Z689" s="262"/>
      <c r="AA689" s="262"/>
      <c r="AB689" s="262"/>
    </row>
    <row r="690" spans="1:31" ht="12.75">
      <c r="A690" s="277" t="s">
        <v>14475</v>
      </c>
      <c r="B690" s="327" t="s">
        <v>14476</v>
      </c>
      <c r="C690" s="327">
        <v>91341</v>
      </c>
      <c r="D690" s="280" t="s">
        <v>14567</v>
      </c>
      <c r="E690" s="329"/>
      <c r="F690" s="282"/>
      <c r="G690" s="283"/>
      <c r="H690" s="284"/>
      <c r="I690" s="262"/>
      <c r="J690" s="262"/>
      <c r="K690" s="262"/>
      <c r="L690" s="262"/>
      <c r="M690" s="262"/>
      <c r="N690" s="262"/>
      <c r="O690" s="262"/>
      <c r="P690" s="262"/>
      <c r="Q690" s="262"/>
      <c r="R690" s="262"/>
      <c r="S690" s="262"/>
      <c r="T690" s="262"/>
      <c r="U690" s="262"/>
      <c r="V690" s="262"/>
      <c r="W690" s="262"/>
      <c r="X690" s="262"/>
      <c r="Y690" s="262"/>
      <c r="Z690" s="262"/>
      <c r="AA690" s="262"/>
      <c r="AB690" s="262"/>
    </row>
    <row r="691" spans="1:31" ht="25.5">
      <c r="A691" s="285" t="s">
        <v>14478</v>
      </c>
      <c r="B691" s="286" t="s">
        <v>14476</v>
      </c>
      <c r="C691" s="287">
        <v>88309</v>
      </c>
      <c r="D691" s="288" t="str">
        <f>IFERROR(VLOOKUP($C691,'24.08_ND'!$A:$D,2,0),)</f>
        <v>PEDREIRO COM ENCARGOS COMPLEMENTARES</v>
      </c>
      <c r="E691" s="289" t="str">
        <f>IFERROR(VLOOKUP($C691,'24.08_ND'!$A:$D,3,0),)</f>
        <v>H</v>
      </c>
      <c r="F691" s="583">
        <v>0.3826</v>
      </c>
      <c r="G691" s="291">
        <f>IFERROR(VLOOKUP($C691,'24.08_ND'!$A:$D,4,0),)</f>
        <v>23.33</v>
      </c>
      <c r="H691" s="292">
        <f t="shared" ref="H691:H697" si="26">TRUNC(($F691*$G691),2)</f>
        <v>8.92</v>
      </c>
      <c r="I691" s="262"/>
      <c r="J691" s="262"/>
      <c r="K691" s="262"/>
      <c r="L691" s="262"/>
      <c r="M691" s="262"/>
      <c r="N691" s="262"/>
      <c r="O691" s="262"/>
      <c r="P691" s="262"/>
      <c r="Q691" s="262"/>
      <c r="R691" s="262"/>
      <c r="S691" s="262"/>
      <c r="T691" s="262"/>
      <c r="U691" s="262"/>
      <c r="V691" s="262"/>
      <c r="W691" s="262"/>
      <c r="X691" s="262"/>
      <c r="Y691" s="262"/>
      <c r="Z691" s="262"/>
      <c r="AA691" s="262"/>
      <c r="AB691" s="262"/>
      <c r="AD691" s="1791" t="e">
        <f>VLOOKUP(C691,'Medição '!$B$16:$F$1833,6,0)</f>
        <v>#N/A</v>
      </c>
      <c r="AE691" s="1791"/>
    </row>
    <row r="692" spans="1:31" ht="25.5">
      <c r="A692" s="285" t="s">
        <v>14478</v>
      </c>
      <c r="B692" s="286" t="s">
        <v>14476</v>
      </c>
      <c r="C692" s="287">
        <v>88316</v>
      </c>
      <c r="D692" s="288" t="str">
        <f>IFERROR(VLOOKUP($C692,'24.08_ND'!$A:$D,2,0),)</f>
        <v>SERVENTE COM ENCARGOS COMPLEMENTARES</v>
      </c>
      <c r="E692" s="289" t="str">
        <f>IFERROR(VLOOKUP($C692,'24.08_ND'!$A:$D,3,0),)</f>
        <v>H</v>
      </c>
      <c r="F692" s="583">
        <v>0.64800000000000002</v>
      </c>
      <c r="G692" s="291">
        <f>IFERROR(VLOOKUP($C692,'24.08_ND'!$A:$D,4,0),)</f>
        <v>18.510000000000002</v>
      </c>
      <c r="H692" s="292">
        <f t="shared" si="26"/>
        <v>11.99</v>
      </c>
      <c r="I692" s="262"/>
      <c r="J692" s="262"/>
      <c r="K692" s="262"/>
      <c r="L692" s="262"/>
      <c r="M692" s="262"/>
      <c r="N692" s="262"/>
      <c r="O692" s="262"/>
      <c r="P692" s="262"/>
      <c r="Q692" s="262"/>
      <c r="R692" s="262"/>
      <c r="S692" s="262"/>
      <c r="T692" s="262"/>
      <c r="U692" s="262"/>
      <c r="V692" s="262"/>
      <c r="W692" s="262"/>
      <c r="X692" s="262"/>
      <c r="Y692" s="262"/>
      <c r="Z692" s="262"/>
      <c r="AA692" s="262"/>
      <c r="AB692" s="262"/>
      <c r="AD692" s="1791" t="e">
        <f>VLOOKUP(C692,'Medição '!$B$16:$F$1833,6,0)</f>
        <v>#N/A</v>
      </c>
      <c r="AE692" s="1791"/>
    </row>
    <row r="693" spans="1:31" ht="25.5">
      <c r="A693" s="293" t="s">
        <v>14479</v>
      </c>
      <c r="B693" s="294" t="s">
        <v>14476</v>
      </c>
      <c r="C693" s="295">
        <v>7568</v>
      </c>
      <c r="D693" s="296" t="str">
        <f>IFERROR(VLOOKUP($C693,'24.08_ND'!$A:$D,2,0),)</f>
        <v>BUCHA DE NYLON SEM ABA S10, COM PARAFUSO DE 6,10 X 65 MM EM ACO ZINCADO COM ROSCA SOBERBA, CABECA CHATA E FENDA PHILLIPS</v>
      </c>
      <c r="E693" s="297" t="str">
        <f>IFERROR(VLOOKUP($C693,'24.08_ND'!$A:$D,3,0),)</f>
        <v>UN</v>
      </c>
      <c r="F693" s="584">
        <v>6</v>
      </c>
      <c r="G693" s="299">
        <f>IFERROR(VLOOKUP($C693,'24.08_ND'!$A:$D,4,0),)</f>
        <v>0.66</v>
      </c>
      <c r="H693" s="300">
        <f t="shared" si="26"/>
        <v>3.96</v>
      </c>
      <c r="I693" s="262"/>
      <c r="J693" s="262"/>
      <c r="K693" s="262"/>
      <c r="L693" s="262"/>
      <c r="M693" s="262"/>
      <c r="N693" s="262"/>
      <c r="O693" s="262"/>
      <c r="P693" s="262"/>
      <c r="Q693" s="262"/>
      <c r="R693" s="262"/>
      <c r="S693" s="262"/>
      <c r="T693" s="262"/>
      <c r="U693" s="262"/>
      <c r="V693" s="262"/>
      <c r="W693" s="262"/>
      <c r="X693" s="262"/>
      <c r="Y693" s="262"/>
      <c r="Z693" s="262"/>
      <c r="AA693" s="262"/>
      <c r="AB693" s="262"/>
    </row>
    <row r="694" spans="1:31" ht="25.5">
      <c r="A694" s="293" t="s">
        <v>14479</v>
      </c>
      <c r="B694" s="294" t="s">
        <v>14476</v>
      </c>
      <c r="C694" s="295">
        <v>36888</v>
      </c>
      <c r="D694" s="296" t="str">
        <f>IFERROR(VLOOKUP($C694,'24.08_ND'!$A:$D,2,0),)</f>
        <v>GUARNICAO / MOLDURA / ARREMATE DE ACABAMENTO PARA ESQUADRIA, EM ALUMINIO PERFIL 25, ACABAMENTO ANODIZADO BRANCO OU BRILHANTE, PARA 1 FACE</v>
      </c>
      <c r="E694" s="297" t="str">
        <f>IFERROR(VLOOKUP($C694,'24.08_ND'!$A:$D,3,0),)</f>
        <v>M</v>
      </c>
      <c r="F694" s="584">
        <v>6.8503999999999996</v>
      </c>
      <c r="G694" s="299">
        <f>IFERROR(VLOOKUP($C694,'24.08_ND'!$A:$D,4,0),)</f>
        <v>22.7</v>
      </c>
      <c r="H694" s="300">
        <f t="shared" si="26"/>
        <v>155.5</v>
      </c>
      <c r="I694" s="262"/>
      <c r="J694" s="262"/>
      <c r="K694" s="262"/>
      <c r="L694" s="262"/>
      <c r="M694" s="262"/>
      <c r="N694" s="262"/>
      <c r="O694" s="262"/>
      <c r="P694" s="262"/>
      <c r="Q694" s="262"/>
      <c r="R694" s="262"/>
      <c r="S694" s="262"/>
      <c r="T694" s="262"/>
      <c r="U694" s="262"/>
      <c r="V694" s="262"/>
      <c r="W694" s="262"/>
      <c r="X694" s="262"/>
      <c r="Y694" s="262"/>
      <c r="Z694" s="262"/>
      <c r="AA694" s="262"/>
      <c r="AB694" s="262"/>
    </row>
    <row r="695" spans="1:31" ht="25.5">
      <c r="A695" s="293" t="s">
        <v>14479</v>
      </c>
      <c r="B695" s="294" t="s">
        <v>14476</v>
      </c>
      <c r="C695" s="295">
        <v>11457</v>
      </c>
      <c r="D695" s="296" t="str">
        <f>IFERROR(VLOOKUP($C695,'24.08_ND'!$A:$D,2,0),)</f>
        <v>TARJETA LIVRE / OCUPADO PARA PORTA DE BANHEIRO, CORPO EM ZAMAC E ESPELHO EM LATAO</v>
      </c>
      <c r="E695" s="297" t="str">
        <f>IFERROR(VLOOKUP($C695,'24.08_ND'!$A:$D,3,0),)</f>
        <v>UN</v>
      </c>
      <c r="F695" s="584">
        <v>1</v>
      </c>
      <c r="G695" s="299">
        <f>IFERROR(VLOOKUP($C695,'24.08_ND'!$A:$D,4,0),)</f>
        <v>49.41</v>
      </c>
      <c r="H695" s="300">
        <f t="shared" si="26"/>
        <v>49.41</v>
      </c>
      <c r="I695" s="262"/>
      <c r="J695" s="262"/>
      <c r="K695" s="262"/>
      <c r="L695" s="262"/>
      <c r="M695" s="262"/>
      <c r="N695" s="262"/>
      <c r="O695" s="262"/>
      <c r="P695" s="262"/>
      <c r="Q695" s="262"/>
      <c r="R695" s="262"/>
      <c r="S695" s="262"/>
      <c r="T695" s="262"/>
      <c r="U695" s="262"/>
      <c r="V695" s="262"/>
      <c r="W695" s="262"/>
      <c r="X695" s="262"/>
      <c r="Y695" s="262"/>
      <c r="Z695" s="262"/>
      <c r="AA695" s="262"/>
      <c r="AB695" s="262"/>
    </row>
    <row r="696" spans="1:31" ht="25.5">
      <c r="A696" s="293" t="s">
        <v>14479</v>
      </c>
      <c r="B696" s="294" t="s">
        <v>14476</v>
      </c>
      <c r="C696" s="295">
        <v>142</v>
      </c>
      <c r="D696" s="296" t="str">
        <f>IFERROR(VLOOKUP($C696,'24.08_ND'!$A:$D,2,0),)</f>
        <v>SELANTE ELASTICO MONOCOMPONENTE A BASE DE POLIURETANO (PU) PARA JUNTAS DIVERSAS</v>
      </c>
      <c r="E696" s="297" t="str">
        <f>IFERROR(VLOOKUP($C696,'24.08_ND'!$A:$D,3,0),)</f>
        <v>310ML</v>
      </c>
      <c r="F696" s="584">
        <v>0.88290000000000002</v>
      </c>
      <c r="G696" s="299">
        <f>IFERROR(VLOOKUP($C696,'24.08_ND'!$A:$D,4,0),)</f>
        <v>34.200000000000003</v>
      </c>
      <c r="H696" s="300">
        <f t="shared" si="26"/>
        <v>30.19</v>
      </c>
      <c r="I696" s="262"/>
      <c r="J696" s="262"/>
      <c r="K696" s="262"/>
      <c r="L696" s="262"/>
      <c r="M696" s="262"/>
      <c r="N696" s="262"/>
      <c r="O696" s="262"/>
      <c r="P696" s="262"/>
      <c r="Q696" s="262"/>
      <c r="R696" s="262"/>
      <c r="S696" s="262"/>
      <c r="T696" s="262"/>
      <c r="U696" s="262"/>
      <c r="V696" s="262"/>
      <c r="W696" s="262"/>
      <c r="X696" s="262"/>
      <c r="Y696" s="262"/>
      <c r="Z696" s="262"/>
      <c r="AA696" s="262"/>
      <c r="AB696" s="262"/>
    </row>
    <row r="697" spans="1:31" ht="25.5">
      <c r="A697" s="317" t="s">
        <v>14479</v>
      </c>
      <c r="B697" s="312" t="str">
        <f>VLOOKUP($C697,'• CIs EXT'!$A:$E,2,0)</f>
        <v>AGETOP CIVIL</v>
      </c>
      <c r="C697" s="313">
        <v>2995</v>
      </c>
      <c r="D697" s="314" t="str">
        <f>VLOOKUP($C697,'• CIs EXT'!$A:$E,3,0)</f>
        <v>PORTA VENEZIANA DE ABRIR EM ALUMÍNIO COM ACABAMENTO EM PINTURA ELETROSTÁTICA BRANCA</v>
      </c>
      <c r="E697" s="312" t="str">
        <f>VLOOKUP($C697,'• CIs EXT'!$A:$E,4,0)</f>
        <v>M2</v>
      </c>
      <c r="F697" s="315">
        <v>1</v>
      </c>
      <c r="G697" s="312">
        <f>VLOOKUP($C697,'• CIs EXT'!$A:$E,5,0)</f>
        <v>869</v>
      </c>
      <c r="H697" s="316">
        <f t="shared" si="26"/>
        <v>869</v>
      </c>
      <c r="I697" s="262"/>
      <c r="J697" s="262"/>
      <c r="K697" s="262"/>
      <c r="L697" s="262"/>
      <c r="M697" s="262"/>
      <c r="N697" s="262"/>
      <c r="O697" s="262"/>
      <c r="P697" s="262"/>
      <c r="Q697" s="262"/>
      <c r="R697" s="262"/>
      <c r="S697" s="262"/>
      <c r="T697" s="262"/>
      <c r="U697" s="262"/>
      <c r="V697" s="262"/>
      <c r="W697" s="262"/>
      <c r="X697" s="262"/>
      <c r="Y697" s="262"/>
      <c r="Z697" s="262"/>
      <c r="AA697" s="262"/>
      <c r="AB697" s="262"/>
    </row>
    <row r="698" spans="1:31" ht="12.75">
      <c r="A698" s="309"/>
      <c r="B698" s="303"/>
      <c r="C698" s="303"/>
      <c r="D698" s="310"/>
      <c r="E698" s="303"/>
      <c r="F698" s="306"/>
      <c r="G698" s="307"/>
      <c r="H698" s="308"/>
      <c r="I698" s="262"/>
      <c r="J698" s="262"/>
      <c r="K698" s="262"/>
      <c r="L698" s="262"/>
      <c r="M698" s="262"/>
      <c r="N698" s="262"/>
      <c r="O698" s="262"/>
      <c r="P698" s="262"/>
      <c r="Q698" s="262"/>
      <c r="R698" s="262"/>
      <c r="S698" s="262"/>
      <c r="T698" s="262"/>
      <c r="U698" s="262"/>
      <c r="V698" s="262"/>
      <c r="W698" s="262"/>
      <c r="X698" s="262"/>
      <c r="Y698" s="262"/>
      <c r="Z698" s="262"/>
      <c r="AA698" s="262"/>
      <c r="AB698" s="262"/>
    </row>
    <row r="699" spans="1:31" ht="25.5">
      <c r="A699" s="271" t="s">
        <v>14471</v>
      </c>
      <c r="B699" s="272" t="s">
        <v>14472</v>
      </c>
      <c r="C699" s="273" t="s">
        <v>14752</v>
      </c>
      <c r="D699" s="274" t="s">
        <v>14753</v>
      </c>
      <c r="E699" s="272" t="s">
        <v>409</v>
      </c>
      <c r="F699" s="272"/>
      <c r="G699" s="272"/>
      <c r="H699" s="275">
        <f>SUM(H701:H706)</f>
        <v>606.29</v>
      </c>
      <c r="I699" s="276">
        <f>COUNTIF($C$8:$C699,C:C)</f>
        <v>1</v>
      </c>
      <c r="J699" s="262"/>
      <c r="K699" s="262"/>
      <c r="L699" s="262"/>
      <c r="M699" s="262"/>
      <c r="N699" s="262"/>
      <c r="O699" s="262"/>
      <c r="P699" s="262"/>
      <c r="Q699" s="262"/>
      <c r="R699" s="262"/>
      <c r="S699" s="262"/>
      <c r="T699" s="262"/>
      <c r="U699" s="262"/>
      <c r="V699" s="262"/>
      <c r="W699" s="262"/>
      <c r="X699" s="262"/>
      <c r="Y699" s="262"/>
      <c r="Z699" s="262"/>
      <c r="AA699" s="262"/>
      <c r="AB699" s="262"/>
    </row>
    <row r="700" spans="1:31" ht="12.75">
      <c r="A700" s="277" t="s">
        <v>14475</v>
      </c>
      <c r="B700" s="327" t="s">
        <v>14476</v>
      </c>
      <c r="C700" s="327">
        <v>94572</v>
      </c>
      <c r="D700" s="280" t="s">
        <v>14567</v>
      </c>
      <c r="E700" s="329"/>
      <c r="F700" s="282"/>
      <c r="G700" s="283"/>
      <c r="H700" s="284"/>
      <c r="I700" s="262"/>
      <c r="J700" s="262"/>
      <c r="K700" s="262"/>
      <c r="L700" s="262"/>
      <c r="M700" s="262"/>
      <c r="N700" s="262"/>
      <c r="O700" s="262"/>
      <c r="P700" s="262"/>
      <c r="Q700" s="262"/>
      <c r="R700" s="262"/>
      <c r="S700" s="262"/>
      <c r="T700" s="262"/>
      <c r="U700" s="262"/>
      <c r="V700" s="262"/>
      <c r="W700" s="262"/>
      <c r="X700" s="262"/>
      <c r="Y700" s="262"/>
      <c r="Z700" s="262"/>
      <c r="AA700" s="262"/>
      <c r="AB700" s="262"/>
    </row>
    <row r="701" spans="1:31" ht="25.5">
      <c r="A701" s="285" t="s">
        <v>14478</v>
      </c>
      <c r="B701" s="286" t="s">
        <v>14476</v>
      </c>
      <c r="C701" s="287">
        <v>88309</v>
      </c>
      <c r="D701" s="288" t="str">
        <f>IFERROR(VLOOKUP($C701,'24.08_ND'!$A:$D,2,0),)</f>
        <v>PEDREIRO COM ENCARGOS COMPLEMENTARES</v>
      </c>
      <c r="E701" s="289" t="str">
        <f>IFERROR(VLOOKUP($C701,'24.08_ND'!$A:$D,3,0),)</f>
        <v>H</v>
      </c>
      <c r="F701" s="583">
        <v>0.69699999999999995</v>
      </c>
      <c r="G701" s="291">
        <f>IFERROR(VLOOKUP($C701,'24.08_ND'!$A:$D,4,0),)</f>
        <v>23.33</v>
      </c>
      <c r="H701" s="292">
        <f t="shared" ref="H701:H706" si="27">TRUNC(($F701*$G701),2)</f>
        <v>16.260000000000002</v>
      </c>
      <c r="I701" s="262"/>
      <c r="J701" s="262"/>
      <c r="K701" s="262"/>
      <c r="L701" s="262"/>
      <c r="M701" s="262"/>
      <c r="N701" s="262"/>
      <c r="O701" s="262"/>
      <c r="P701" s="262"/>
      <c r="Q701" s="262"/>
      <c r="R701" s="262"/>
      <c r="S701" s="262"/>
      <c r="T701" s="262"/>
      <c r="U701" s="262"/>
      <c r="V701" s="262"/>
      <c r="W701" s="262"/>
      <c r="X701" s="262"/>
      <c r="Y701" s="262"/>
      <c r="Z701" s="262"/>
      <c r="AA701" s="262"/>
      <c r="AB701" s="262"/>
      <c r="AD701" s="1791" t="e">
        <f>VLOOKUP(C701,'Medição '!$B$16:$F$1833,6,0)</f>
        <v>#N/A</v>
      </c>
      <c r="AE701" s="1791"/>
    </row>
    <row r="702" spans="1:31" ht="25.5">
      <c r="A702" s="285" t="s">
        <v>14478</v>
      </c>
      <c r="B702" s="286" t="s">
        <v>14476</v>
      </c>
      <c r="C702" s="287">
        <v>88316</v>
      </c>
      <c r="D702" s="288" t="str">
        <f>IFERROR(VLOOKUP($C702,'24.08_ND'!$A:$D,2,0),)</f>
        <v>SERVENTE COM ENCARGOS COMPLEMENTARES</v>
      </c>
      <c r="E702" s="289" t="str">
        <f>IFERROR(VLOOKUP($C702,'24.08_ND'!$A:$D,3,0),)</f>
        <v>H</v>
      </c>
      <c r="F702" s="583">
        <v>0.34799999999999998</v>
      </c>
      <c r="G702" s="291">
        <f>IFERROR(VLOOKUP($C702,'24.08_ND'!$A:$D,4,0),)</f>
        <v>18.510000000000002</v>
      </c>
      <c r="H702" s="292">
        <f t="shared" si="27"/>
        <v>6.44</v>
      </c>
      <c r="I702" s="262"/>
      <c r="J702" s="262"/>
      <c r="K702" s="262"/>
      <c r="L702" s="262"/>
      <c r="M702" s="262"/>
      <c r="N702" s="262"/>
      <c r="O702" s="262"/>
      <c r="P702" s="262"/>
      <c r="Q702" s="262"/>
      <c r="R702" s="262"/>
      <c r="S702" s="262"/>
      <c r="T702" s="262"/>
      <c r="U702" s="262"/>
      <c r="V702" s="262"/>
      <c r="W702" s="262"/>
      <c r="X702" s="262"/>
      <c r="Y702" s="262"/>
      <c r="Z702" s="262"/>
      <c r="AA702" s="262"/>
      <c r="AB702" s="262"/>
      <c r="AD702" s="1791" t="e">
        <f>VLOOKUP(C702,'Medição '!$B$16:$F$1833,6,0)</f>
        <v>#N/A</v>
      </c>
      <c r="AE702" s="1791"/>
    </row>
    <row r="703" spans="1:31" ht="25.5">
      <c r="A703" s="285" t="s">
        <v>14478</v>
      </c>
      <c r="B703" s="286" t="s">
        <v>14476</v>
      </c>
      <c r="C703" s="287">
        <v>102179</v>
      </c>
      <c r="D703" s="288" t="str">
        <f>IFERROR(VLOOKUP($C703,'24.08_ND'!$A:$D,2,0),)</f>
        <v>INSTALAÇÃO DE VIDRO TEMPERADO, E = 6 MM, ENCAIXADO EM PERFIL U. AF_01/2021_PS</v>
      </c>
      <c r="E703" s="289" t="str">
        <f>IFERROR(VLOOKUP($C703,'24.08_ND'!$A:$D,3,0),)</f>
        <v>M2</v>
      </c>
      <c r="F703" s="583">
        <v>1</v>
      </c>
      <c r="G703" s="291">
        <f>IFERROR(VLOOKUP($C703,'24.08_ND'!$A:$D,4,0),)</f>
        <v>340.2</v>
      </c>
      <c r="H703" s="292">
        <f t="shared" si="27"/>
        <v>340.2</v>
      </c>
      <c r="I703" s="262"/>
      <c r="J703" s="262"/>
      <c r="K703" s="262"/>
      <c r="L703" s="262"/>
      <c r="M703" s="262"/>
      <c r="N703" s="262"/>
      <c r="O703" s="262"/>
      <c r="P703" s="262"/>
      <c r="Q703" s="262"/>
      <c r="R703" s="262"/>
      <c r="S703" s="262"/>
      <c r="T703" s="262"/>
      <c r="U703" s="262"/>
      <c r="V703" s="262"/>
      <c r="W703" s="262"/>
      <c r="X703" s="262"/>
      <c r="Y703" s="262"/>
      <c r="Z703" s="262"/>
      <c r="AA703" s="262"/>
      <c r="AB703" s="262"/>
      <c r="AD703" s="1791" t="e">
        <f>VLOOKUP(C703,'Medição '!$B$16:$F$1833,6,0)</f>
        <v>#N/A</v>
      </c>
      <c r="AE703" s="1791"/>
    </row>
    <row r="704" spans="1:31" ht="25.5">
      <c r="A704" s="293" t="s">
        <v>14479</v>
      </c>
      <c r="B704" s="294" t="s">
        <v>14476</v>
      </c>
      <c r="C704" s="295">
        <v>4377</v>
      </c>
      <c r="D704" s="296" t="str">
        <f>IFERROR(VLOOKUP($C704,'24.08_ND'!$A:$D,2,0),)</f>
        <v>PARAFUSO DE ACO ZINCADO COM ROSCA SOBERBA, CABECA CHATA E FENDA SIMPLES, DIAMETRO 4,2 MM, COMPRIMENTO * 32 * MM</v>
      </c>
      <c r="E704" s="297" t="str">
        <f>IFERROR(VLOOKUP($C704,'24.08_ND'!$A:$D,3,0),)</f>
        <v>UN</v>
      </c>
      <c r="F704" s="584">
        <v>9.1999999999999993</v>
      </c>
      <c r="G704" s="299">
        <f>IFERROR(VLOOKUP($C704,'24.08_ND'!$A:$D,4,0),)</f>
        <v>0.17</v>
      </c>
      <c r="H704" s="300">
        <f t="shared" si="27"/>
        <v>1.56</v>
      </c>
      <c r="I704" s="262"/>
      <c r="J704" s="262"/>
      <c r="K704" s="262"/>
      <c r="L704" s="262"/>
      <c r="M704" s="262"/>
      <c r="N704" s="262"/>
      <c r="O704" s="262"/>
      <c r="P704" s="262"/>
      <c r="Q704" s="262"/>
      <c r="R704" s="262"/>
      <c r="S704" s="262"/>
      <c r="T704" s="262"/>
      <c r="U704" s="262"/>
      <c r="V704" s="262"/>
      <c r="W704" s="262"/>
      <c r="X704" s="262"/>
      <c r="Y704" s="262"/>
      <c r="Z704" s="262"/>
      <c r="AA704" s="262"/>
      <c r="AB704" s="262"/>
    </row>
    <row r="705" spans="1:31" ht="12.75">
      <c r="A705" s="293" t="s">
        <v>14479</v>
      </c>
      <c r="B705" s="294" t="s">
        <v>14476</v>
      </c>
      <c r="C705" s="295">
        <v>39961</v>
      </c>
      <c r="D705" s="296" t="str">
        <f>IFERROR(VLOOKUP($C705,'24.08_ND'!$A:$D,2,0),)</f>
        <v>SILICONE ACETICO USO GERAL INCOLOR 280 G</v>
      </c>
      <c r="E705" s="297" t="str">
        <f>IFERROR(VLOOKUP($C705,'24.08_ND'!$A:$D,3,0),)</f>
        <v>UN</v>
      </c>
      <c r="F705" s="584">
        <v>0.62329999999999997</v>
      </c>
      <c r="G705" s="299">
        <f>IFERROR(VLOOKUP($C705,'24.08_ND'!$A:$D,4,0),)</f>
        <v>22.6</v>
      </c>
      <c r="H705" s="300">
        <f t="shared" si="27"/>
        <v>14.08</v>
      </c>
      <c r="I705" s="262"/>
      <c r="J705" s="262"/>
      <c r="K705" s="262"/>
      <c r="L705" s="262"/>
      <c r="M705" s="262"/>
      <c r="N705" s="262"/>
      <c r="O705" s="262"/>
      <c r="P705" s="262"/>
      <c r="Q705" s="262"/>
      <c r="R705" s="262"/>
      <c r="S705" s="262"/>
      <c r="T705" s="262"/>
      <c r="U705" s="262"/>
      <c r="V705" s="262"/>
      <c r="W705" s="262"/>
      <c r="X705" s="262"/>
      <c r="Y705" s="262"/>
      <c r="Z705" s="262"/>
      <c r="AA705" s="262"/>
      <c r="AB705" s="262"/>
    </row>
    <row r="706" spans="1:31" ht="25.5">
      <c r="A706" s="317" t="s">
        <v>14479</v>
      </c>
      <c r="B706" s="312" t="str">
        <f>VLOOKUP($C706,'• CIs EXT'!$A:$E,2,0)</f>
        <v>ORSE</v>
      </c>
      <c r="C706" s="313">
        <v>12793</v>
      </c>
      <c r="D706" s="314" t="str">
        <f>VLOOKUP($C706,'• CIs EXT'!$A:$E,3,0)</f>
        <v>JANELA EM ALUMÍNIO, COR N/P/B, MOLDURA-VIDRO, TIPO GUILHOTINA, EXCLUSIVE VIDRO</v>
      </c>
      <c r="E706" s="312" t="str">
        <f>VLOOKUP($C706,'• CIs EXT'!$A:$E,4,0)</f>
        <v>M2</v>
      </c>
      <c r="F706" s="315">
        <v>1</v>
      </c>
      <c r="G706" s="312">
        <f>VLOOKUP($C706,'• CIs EXT'!$A:$E,5,0)</f>
        <v>227.75</v>
      </c>
      <c r="H706" s="316">
        <f t="shared" si="27"/>
        <v>227.75</v>
      </c>
      <c r="I706" s="262"/>
      <c r="J706" s="262"/>
      <c r="K706" s="262"/>
      <c r="L706" s="262"/>
      <c r="M706" s="262"/>
      <c r="N706" s="262"/>
      <c r="O706" s="262"/>
      <c r="P706" s="262"/>
      <c r="Q706" s="262"/>
      <c r="R706" s="262"/>
      <c r="S706" s="262"/>
      <c r="T706" s="262"/>
      <c r="U706" s="262"/>
      <c r="V706" s="262"/>
      <c r="W706" s="262"/>
      <c r="X706" s="262"/>
      <c r="Y706" s="262"/>
      <c r="Z706" s="262"/>
      <c r="AA706" s="262"/>
      <c r="AB706" s="262"/>
    </row>
    <row r="707" spans="1:31" ht="12.75">
      <c r="A707" s="309"/>
      <c r="B707" s="303"/>
      <c r="C707" s="303"/>
      <c r="D707" s="310"/>
      <c r="E707" s="303"/>
      <c r="F707" s="306"/>
      <c r="G707" s="307"/>
      <c r="H707" s="308"/>
      <c r="I707" s="262"/>
      <c r="J707" s="262"/>
      <c r="K707" s="262"/>
      <c r="L707" s="262"/>
      <c r="M707" s="262"/>
      <c r="N707" s="262"/>
      <c r="O707" s="262"/>
      <c r="P707" s="262"/>
      <c r="Q707" s="262"/>
      <c r="R707" s="262"/>
      <c r="S707" s="262"/>
      <c r="T707" s="262"/>
      <c r="U707" s="262"/>
      <c r="V707" s="262"/>
      <c r="W707" s="262"/>
      <c r="X707" s="262"/>
      <c r="Y707" s="262"/>
      <c r="Z707" s="262"/>
      <c r="AA707" s="262"/>
      <c r="AB707" s="262"/>
    </row>
    <row r="708" spans="1:31" ht="25.5">
      <c r="A708" s="358" t="s">
        <v>14471</v>
      </c>
      <c r="B708" s="359" t="s">
        <v>14472</v>
      </c>
      <c r="C708" s="585" t="s">
        <v>14754</v>
      </c>
      <c r="D708" s="361" t="s">
        <v>14755</v>
      </c>
      <c r="E708" s="359" t="s">
        <v>409</v>
      </c>
      <c r="F708" s="362"/>
      <c r="G708" s="362"/>
      <c r="H708" s="363">
        <f>SUM(H710:H719)</f>
        <v>1560.92</v>
      </c>
      <c r="I708" s="276">
        <f>COUNTIF($C$8:$C708,C:C)</f>
        <v>1</v>
      </c>
      <c r="J708" s="262"/>
      <c r="K708" s="262"/>
      <c r="L708" s="262"/>
      <c r="M708" s="262"/>
      <c r="N708" s="262"/>
      <c r="O708" s="262"/>
      <c r="P708" s="262"/>
      <c r="Q708" s="262"/>
      <c r="R708" s="262"/>
      <c r="S708" s="262"/>
      <c r="T708" s="262"/>
      <c r="U708" s="262"/>
      <c r="V708" s="262"/>
      <c r="W708" s="262"/>
      <c r="X708" s="262"/>
      <c r="Y708" s="262"/>
      <c r="Z708" s="262"/>
      <c r="AA708" s="262"/>
      <c r="AB708" s="262"/>
    </row>
    <row r="709" spans="1:31" ht="12.75">
      <c r="A709" s="364" t="s">
        <v>14475</v>
      </c>
      <c r="B709" s="365" t="s">
        <v>14522</v>
      </c>
      <c r="C709" s="365">
        <v>-529575</v>
      </c>
      <c r="D709" s="367" t="s">
        <v>14477</v>
      </c>
      <c r="E709" s="368"/>
      <c r="F709" s="369"/>
      <c r="G709" s="370"/>
      <c r="H709" s="371"/>
      <c r="I709" s="262"/>
      <c r="J709" s="262"/>
      <c r="K709" s="262"/>
      <c r="L709" s="262"/>
      <c r="M709" s="262"/>
      <c r="N709" s="262"/>
      <c r="O709" s="262"/>
      <c r="P709" s="262"/>
      <c r="Q709" s="262"/>
      <c r="R709" s="262"/>
      <c r="S709" s="262"/>
      <c r="T709" s="262"/>
      <c r="U709" s="262"/>
      <c r="V709" s="262"/>
      <c r="W709" s="262"/>
      <c r="X709" s="262"/>
      <c r="Y709" s="262"/>
      <c r="Z709" s="262"/>
      <c r="AA709" s="262"/>
      <c r="AB709" s="262"/>
    </row>
    <row r="710" spans="1:31" ht="25.5">
      <c r="A710" s="586" t="s">
        <v>14478</v>
      </c>
      <c r="B710" s="421" t="s">
        <v>14476</v>
      </c>
      <c r="C710" s="422">
        <v>88315</v>
      </c>
      <c r="D710" s="288" t="str">
        <f>IFERROR(VLOOKUP($C710,'24.08_ND'!$A:$D,2,0),)</f>
        <v>SERRALHEIRO COM ENCARGOS COMPLEMENTARES</v>
      </c>
      <c r="E710" s="289" t="str">
        <f>IFERROR(VLOOKUP($C710,'24.08_ND'!$A:$D,3,0),)</f>
        <v>H</v>
      </c>
      <c r="F710" s="587">
        <v>1.6870000000000001</v>
      </c>
      <c r="G710" s="291">
        <f>IFERROR(VLOOKUP($C710,'24.08_ND'!$A:$D,4,0),)</f>
        <v>23.13</v>
      </c>
      <c r="H710" s="292">
        <f t="shared" ref="H710:H719" si="28">TRUNC(($F710*$G710),2)</f>
        <v>39.020000000000003</v>
      </c>
      <c r="I710" s="262"/>
      <c r="J710" s="262"/>
      <c r="K710" s="262"/>
      <c r="L710" s="262"/>
      <c r="M710" s="262"/>
      <c r="N710" s="262"/>
      <c r="O710" s="262"/>
      <c r="P710" s="262"/>
      <c r="Q710" s="262"/>
      <c r="R710" s="262"/>
      <c r="S710" s="262"/>
      <c r="T710" s="262"/>
      <c r="U710" s="262"/>
      <c r="V710" s="262"/>
      <c r="W710" s="262"/>
      <c r="X710" s="262"/>
      <c r="Y710" s="262"/>
      <c r="Z710" s="262"/>
      <c r="AA710" s="262"/>
      <c r="AB710" s="262"/>
      <c r="AD710" s="1791" t="e">
        <f>VLOOKUP(C710,'Medição '!$B$16:$F$1833,6,0)</f>
        <v>#N/A</v>
      </c>
      <c r="AE710" s="1791"/>
    </row>
    <row r="711" spans="1:31" ht="25.5">
      <c r="A711" s="586" t="s">
        <v>14478</v>
      </c>
      <c r="B711" s="421" t="s">
        <v>14476</v>
      </c>
      <c r="C711" s="422">
        <v>88251</v>
      </c>
      <c r="D711" s="288" t="str">
        <f>IFERROR(VLOOKUP($C711,'24.08_ND'!$A:$D,2,0),)</f>
        <v>AUXILIAR DE SERRALHEIRO COM ENCARGOS COMPLEMENTARES</v>
      </c>
      <c r="E711" s="289" t="str">
        <f>IFERROR(VLOOKUP($C711,'24.08_ND'!$A:$D,3,0),)</f>
        <v>H</v>
      </c>
      <c r="F711" s="587">
        <v>1.6870000000000001</v>
      </c>
      <c r="G711" s="291">
        <f>IFERROR(VLOOKUP($C711,'24.08_ND'!$A:$D,4,0),)</f>
        <v>19.579999999999998</v>
      </c>
      <c r="H711" s="292">
        <f t="shared" si="28"/>
        <v>33.03</v>
      </c>
      <c r="I711" s="262"/>
      <c r="J711" s="262"/>
      <c r="K711" s="262"/>
      <c r="L711" s="262"/>
      <c r="M711" s="262"/>
      <c r="N711" s="262"/>
      <c r="O711" s="262"/>
      <c r="P711" s="262"/>
      <c r="Q711" s="262"/>
      <c r="R711" s="262"/>
      <c r="S711" s="262"/>
      <c r="T711" s="262"/>
      <c r="U711" s="262"/>
      <c r="V711" s="262"/>
      <c r="W711" s="262"/>
      <c r="X711" s="262"/>
      <c r="Y711" s="262"/>
      <c r="Z711" s="262"/>
      <c r="AA711" s="262"/>
      <c r="AB711" s="262"/>
      <c r="AD711" s="1791" t="e">
        <f>VLOOKUP(C711,'Medição '!$B$16:$F$1833,6,0)</f>
        <v>#N/A</v>
      </c>
      <c r="AE711" s="1791"/>
    </row>
    <row r="712" spans="1:31" ht="25.5">
      <c r="A712" s="586" t="s">
        <v>14478</v>
      </c>
      <c r="B712" s="422" t="s">
        <v>14476</v>
      </c>
      <c r="C712" s="422">
        <v>88325</v>
      </c>
      <c r="D712" s="288" t="str">
        <f>IFERROR(VLOOKUP($C712,'24.08_ND'!$A:$D,2,0),)</f>
        <v>VIDRACEIRO COM ENCARGOS COMPLEMENTARES</v>
      </c>
      <c r="E712" s="289" t="str">
        <f>IFERROR(VLOOKUP($C712,'24.08_ND'!$A:$D,3,0),)</f>
        <v>H</v>
      </c>
      <c r="F712" s="587">
        <v>1.899</v>
      </c>
      <c r="G712" s="291">
        <f>IFERROR(VLOOKUP($C712,'24.08_ND'!$A:$D,4,0),)</f>
        <v>20.67</v>
      </c>
      <c r="H712" s="292">
        <f t="shared" si="28"/>
        <v>39.25</v>
      </c>
      <c r="I712" s="262"/>
      <c r="J712" s="262"/>
      <c r="K712" s="262"/>
      <c r="L712" s="262"/>
      <c r="M712" s="262"/>
      <c r="N712" s="262"/>
      <c r="O712" s="262"/>
      <c r="P712" s="262"/>
      <c r="Q712" s="262"/>
      <c r="R712" s="262"/>
      <c r="S712" s="262"/>
      <c r="T712" s="262"/>
      <c r="U712" s="262"/>
      <c r="V712" s="262"/>
      <c r="W712" s="262"/>
      <c r="X712" s="262"/>
      <c r="Y712" s="262"/>
      <c r="Z712" s="262"/>
      <c r="AA712" s="262"/>
      <c r="AB712" s="262"/>
      <c r="AD712" s="1791" t="e">
        <f>VLOOKUP(C712,'Medição '!$B$16:$F$1833,6,0)</f>
        <v>#N/A</v>
      </c>
      <c r="AE712" s="1791"/>
    </row>
    <row r="713" spans="1:31" ht="25.5">
      <c r="A713" s="586" t="s">
        <v>14478</v>
      </c>
      <c r="B713" s="422" t="s">
        <v>14476</v>
      </c>
      <c r="C713" s="422">
        <v>88243</v>
      </c>
      <c r="D713" s="288" t="str">
        <f>IFERROR(VLOOKUP($C713,'24.08_ND'!$A:$D,2,0),)</f>
        <v>AJUDANTE ESPECIALIZADO COM ENCARGOS COMPLEMENTARES</v>
      </c>
      <c r="E713" s="289" t="str">
        <f>IFERROR(VLOOKUP($C713,'24.08_ND'!$A:$D,3,0),)</f>
        <v>H</v>
      </c>
      <c r="F713" s="587">
        <v>1.899</v>
      </c>
      <c r="G713" s="291">
        <f>IFERROR(VLOOKUP($C713,'24.08_ND'!$A:$D,4,0),)</f>
        <v>19.32</v>
      </c>
      <c r="H713" s="292">
        <f t="shared" si="28"/>
        <v>36.68</v>
      </c>
      <c r="I713" s="262"/>
      <c r="J713" s="262"/>
      <c r="K713" s="262"/>
      <c r="L713" s="262"/>
      <c r="M713" s="262"/>
      <c r="N713" s="262"/>
      <c r="O713" s="262"/>
      <c r="P713" s="262"/>
      <c r="Q713" s="262"/>
      <c r="R713" s="262"/>
      <c r="S713" s="262"/>
      <c r="T713" s="262"/>
      <c r="U713" s="262"/>
      <c r="V713" s="262"/>
      <c r="W713" s="262"/>
      <c r="X713" s="262"/>
      <c r="Y713" s="262"/>
      <c r="Z713" s="262"/>
      <c r="AA713" s="262"/>
      <c r="AB713" s="262"/>
      <c r="AD713" s="1791" t="e">
        <f>VLOOKUP(C713,'Medição '!$B$16:$F$1833,6,0)</f>
        <v>#N/A</v>
      </c>
      <c r="AE713" s="1791"/>
    </row>
    <row r="714" spans="1:31" ht="12.75">
      <c r="A714" s="588" t="s">
        <v>14479</v>
      </c>
      <c r="B714" s="589" t="s">
        <v>14476</v>
      </c>
      <c r="C714" s="447">
        <v>20259</v>
      </c>
      <c r="D714" s="296" t="str">
        <f>IFERROR(VLOOKUP($C714,'24.08_ND'!$A:$D,2,0),)</f>
        <v>PERFIL DE BORRACHA EPDM MACICO *12 X 15* MM PARA ESQUADRIAS</v>
      </c>
      <c r="E714" s="297" t="str">
        <f>IFERROR(VLOOKUP($C714,'24.08_ND'!$A:$D,3,0),)</f>
        <v>M</v>
      </c>
      <c r="F714" s="584">
        <v>4</v>
      </c>
      <c r="G714" s="299">
        <f>IFERROR(VLOOKUP($C714,'24.08_ND'!$A:$D,4,0),)</f>
        <v>11.75</v>
      </c>
      <c r="H714" s="300">
        <f t="shared" si="28"/>
        <v>47</v>
      </c>
      <c r="I714" s="262"/>
      <c r="J714" s="262"/>
      <c r="K714" s="262"/>
      <c r="L714" s="262"/>
      <c r="M714" s="262"/>
      <c r="N714" s="262"/>
      <c r="O714" s="262"/>
      <c r="P714" s="262"/>
      <c r="Q714" s="262"/>
      <c r="R714" s="262"/>
      <c r="S714" s="262"/>
      <c r="T714" s="262"/>
      <c r="U714" s="262"/>
      <c r="V714" s="262"/>
      <c r="W714" s="262"/>
      <c r="X714" s="262"/>
      <c r="Y714" s="262"/>
      <c r="Z714" s="262"/>
      <c r="AA714" s="262"/>
      <c r="AB714" s="262"/>
    </row>
    <row r="715" spans="1:31" ht="12.75">
      <c r="A715" s="588" t="s">
        <v>14479</v>
      </c>
      <c r="B715" s="589" t="s">
        <v>14476</v>
      </c>
      <c r="C715" s="447">
        <v>39961</v>
      </c>
      <c r="D715" s="296" t="str">
        <f>IFERROR(VLOOKUP($C715,'24.08_ND'!$A:$D,2,0),)</f>
        <v>SILICONE ACETICO USO GERAL INCOLOR 280 G</v>
      </c>
      <c r="E715" s="297" t="str">
        <f>IFERROR(VLOOKUP($C715,'24.08_ND'!$A:$D,3,0),)</f>
        <v>UN</v>
      </c>
      <c r="F715" s="584">
        <v>0.309</v>
      </c>
      <c r="G715" s="299">
        <f>IFERROR(VLOOKUP($C715,'24.08_ND'!$A:$D,4,0),)</f>
        <v>22.6</v>
      </c>
      <c r="H715" s="300">
        <f t="shared" si="28"/>
        <v>6.98</v>
      </c>
      <c r="I715" s="262"/>
      <c r="J715" s="262"/>
      <c r="K715" s="262"/>
      <c r="L715" s="262"/>
      <c r="M715" s="262"/>
      <c r="N715" s="262"/>
      <c r="O715" s="262"/>
      <c r="P715" s="262"/>
      <c r="Q715" s="262"/>
      <c r="R715" s="262"/>
      <c r="S715" s="262"/>
      <c r="T715" s="262"/>
      <c r="U715" s="262"/>
      <c r="V715" s="262"/>
      <c r="W715" s="262"/>
      <c r="X715" s="262"/>
      <c r="Y715" s="262"/>
      <c r="Z715" s="262"/>
      <c r="AA715" s="262"/>
      <c r="AB715" s="262"/>
    </row>
    <row r="716" spans="1:31" ht="25.5">
      <c r="A716" s="588" t="s">
        <v>14479</v>
      </c>
      <c r="B716" s="589" t="s">
        <v>14476</v>
      </c>
      <c r="C716" s="447">
        <v>7583</v>
      </c>
      <c r="D716" s="296" t="str">
        <f>IFERROR(VLOOKUP($C716,'24.08_ND'!$A:$D,2,0),)</f>
        <v>BUCHA DE NYLON SEM ABA S8, COM PARAFUSO DE 4,80 X 50 MM EM ACO ZINCADO COM ROSCA SOBERBA, CABECA CHATA E FENDA PHILLIPS</v>
      </c>
      <c r="E716" s="297" t="str">
        <f>IFERROR(VLOOKUP($C716,'24.08_ND'!$A:$D,3,0),)</f>
        <v>UN</v>
      </c>
      <c r="F716" s="584">
        <v>6</v>
      </c>
      <c r="G716" s="299">
        <f>IFERROR(VLOOKUP($C716,'24.08_ND'!$A:$D,4,0),)</f>
        <v>0.45</v>
      </c>
      <c r="H716" s="300">
        <f t="shared" si="28"/>
        <v>2.7</v>
      </c>
      <c r="I716" s="262"/>
      <c r="J716" s="262"/>
      <c r="K716" s="262"/>
      <c r="L716" s="262"/>
      <c r="M716" s="262"/>
      <c r="N716" s="262"/>
      <c r="O716" s="262"/>
      <c r="P716" s="262"/>
      <c r="Q716" s="262"/>
      <c r="R716" s="262"/>
      <c r="S716" s="262"/>
      <c r="T716" s="262"/>
      <c r="U716" s="262"/>
      <c r="V716" s="262"/>
      <c r="W716" s="262"/>
      <c r="X716" s="262"/>
      <c r="Y716" s="262"/>
      <c r="Z716" s="262"/>
      <c r="AA716" s="262"/>
      <c r="AB716" s="262"/>
    </row>
    <row r="717" spans="1:31" ht="12.75">
      <c r="A717" s="588" t="s">
        <v>14479</v>
      </c>
      <c r="B717" s="589" t="s">
        <v>14476</v>
      </c>
      <c r="C717" s="447">
        <v>10507</v>
      </c>
      <c r="D717" s="296" t="str">
        <f>IFERROR(VLOOKUP($C717,'24.08_ND'!$A:$D,2,0),)</f>
        <v>VIDRO TEMPERADO INCOLOR E = 10 MM, SEM COLOCACAO</v>
      </c>
      <c r="E717" s="297" t="str">
        <f>IFERROR(VLOOKUP($C717,'24.08_ND'!$A:$D,3,0),)</f>
        <v>M2</v>
      </c>
      <c r="F717" s="584">
        <v>1</v>
      </c>
      <c r="G717" s="299">
        <f>IFERROR(VLOOKUP($C717,'24.08_ND'!$A:$D,4,0),)</f>
        <v>379.02</v>
      </c>
      <c r="H717" s="300">
        <f t="shared" si="28"/>
        <v>379.02</v>
      </c>
      <c r="I717" s="262"/>
      <c r="J717" s="262"/>
      <c r="K717" s="262"/>
      <c r="L717" s="262"/>
      <c r="M717" s="262"/>
      <c r="N717" s="262"/>
      <c r="O717" s="262"/>
      <c r="P717" s="262"/>
      <c r="Q717" s="262"/>
      <c r="R717" s="262"/>
      <c r="S717" s="262"/>
      <c r="T717" s="262"/>
      <c r="U717" s="262"/>
      <c r="V717" s="262"/>
      <c r="W717" s="262"/>
      <c r="X717" s="262"/>
      <c r="Y717" s="262"/>
      <c r="Z717" s="262"/>
      <c r="AA717" s="262"/>
      <c r="AB717" s="262"/>
    </row>
    <row r="718" spans="1:31" ht="38.25">
      <c r="A718" s="590" t="s">
        <v>14479</v>
      </c>
      <c r="B718" s="312" t="str">
        <f>VLOOKUP($C718,'• CIs EXT'!$A:$E,2,0)</f>
        <v>CPOS/CDHU</v>
      </c>
      <c r="C718" s="591" t="s">
        <v>14756</v>
      </c>
      <c r="D718" s="378" t="str">
        <f>VLOOKUP($C718,'• CIs EXT'!$A:$E,3,0)</f>
        <v>CAIXILHO FIXO EM ALUMÍNIO COM PINTURA ELETROSTÁTICA BRANCA, SOB MEDIDA, INSTALADO - SEM VIDROS</v>
      </c>
      <c r="E718" s="379" t="str">
        <f>VLOOKUP($C718,'• CIs EXT'!$A:$E,4,0)</f>
        <v>M2</v>
      </c>
      <c r="F718" s="380">
        <v>1</v>
      </c>
      <c r="G718" s="312">
        <f>VLOOKUP($C718,'• CIs EXT'!$A:$E,5,0)</f>
        <v>974.3</v>
      </c>
      <c r="H718" s="316">
        <f t="shared" si="28"/>
        <v>974.3</v>
      </c>
      <c r="I718" s="262"/>
      <c r="J718" s="262"/>
      <c r="K718" s="262"/>
      <c r="L718" s="262"/>
      <c r="M718" s="262"/>
      <c r="N718" s="262"/>
      <c r="O718" s="262"/>
      <c r="P718" s="262"/>
      <c r="Q718" s="262"/>
      <c r="R718" s="262"/>
      <c r="S718" s="262"/>
      <c r="T718" s="262"/>
      <c r="U718" s="262"/>
      <c r="V718" s="262"/>
      <c r="W718" s="262"/>
      <c r="X718" s="262"/>
      <c r="Y718" s="262"/>
      <c r="Z718" s="262"/>
      <c r="AA718" s="262"/>
      <c r="AB718" s="262"/>
    </row>
    <row r="719" spans="1:31" ht="12.75">
      <c r="A719" s="590" t="s">
        <v>14479</v>
      </c>
      <c r="B719" s="312" t="str">
        <f>VLOOKUP($C719,'• CIs EXT'!$A:$E,2,0)</f>
        <v>ORSE</v>
      </c>
      <c r="C719" s="377">
        <v>11922</v>
      </c>
      <c r="D719" s="378" t="str">
        <f>VLOOKUP($C719,'• CIs EXT'!$A:$E,3,0)</f>
        <v>FITA ADESIVA MARCA 3M, LARGURA 22MM, REF. VHB - ROLO COM 20M</v>
      </c>
      <c r="E719" s="379" t="str">
        <f>VLOOKUP($C719,'• CIs EXT'!$A:$E,4,0)</f>
        <v>UN</v>
      </c>
      <c r="F719" s="442">
        <f>4.2/20</f>
        <v>0.21000000000000002</v>
      </c>
      <c r="G719" s="312">
        <f>VLOOKUP($C719,'• CIs EXT'!$A:$E,5,0)</f>
        <v>14</v>
      </c>
      <c r="H719" s="316">
        <f t="shared" si="28"/>
        <v>2.94</v>
      </c>
      <c r="I719" s="262"/>
      <c r="J719" s="262"/>
      <c r="K719" s="262"/>
      <c r="L719" s="262"/>
      <c r="M719" s="262"/>
      <c r="N719" s="262"/>
      <c r="O719" s="262"/>
      <c r="P719" s="262"/>
      <c r="Q719" s="262"/>
      <c r="R719" s="262"/>
      <c r="S719" s="262"/>
      <c r="T719" s="262"/>
      <c r="U719" s="262"/>
      <c r="V719" s="262"/>
      <c r="W719" s="262"/>
      <c r="X719" s="262"/>
      <c r="Y719" s="262"/>
      <c r="Z719" s="262"/>
      <c r="AA719" s="262"/>
      <c r="AB719" s="262"/>
    </row>
    <row r="720" spans="1:31" ht="12.75">
      <c r="A720" s="309"/>
      <c r="B720" s="303"/>
      <c r="C720" s="303"/>
      <c r="D720" s="310"/>
      <c r="E720" s="303"/>
      <c r="F720" s="306"/>
      <c r="G720" s="307"/>
      <c r="H720" s="308"/>
      <c r="I720" s="262"/>
      <c r="J720" s="262"/>
      <c r="K720" s="262"/>
      <c r="L720" s="262"/>
      <c r="M720" s="262"/>
      <c r="N720" s="262"/>
      <c r="O720" s="262"/>
      <c r="P720" s="262"/>
      <c r="Q720" s="262"/>
      <c r="R720" s="262"/>
      <c r="S720" s="262"/>
      <c r="T720" s="262"/>
      <c r="U720" s="262"/>
      <c r="V720" s="262"/>
      <c r="W720" s="262"/>
      <c r="X720" s="262"/>
      <c r="Y720" s="262"/>
      <c r="Z720" s="262"/>
      <c r="AA720" s="262"/>
      <c r="AB720" s="262"/>
    </row>
    <row r="721" spans="1:31" ht="12.75">
      <c r="A721" s="358" t="s">
        <v>14471</v>
      </c>
      <c r="B721" s="359" t="s">
        <v>14472</v>
      </c>
      <c r="C721" s="585" t="s">
        <v>14757</v>
      </c>
      <c r="D721" s="361" t="s">
        <v>14758</v>
      </c>
      <c r="E721" s="359" t="s">
        <v>409</v>
      </c>
      <c r="F721" s="362"/>
      <c r="G721" s="362"/>
      <c r="H721" s="363">
        <f>SUM(H723:H726)</f>
        <v>116.45</v>
      </c>
      <c r="I721" s="276">
        <f>COUNTIF($C$8:$C721,C:C)</f>
        <v>1</v>
      </c>
      <c r="J721" s="262"/>
      <c r="K721" s="262"/>
      <c r="L721" s="262"/>
      <c r="M721" s="262"/>
      <c r="N721" s="262"/>
      <c r="O721" s="262"/>
      <c r="P721" s="262"/>
      <c r="Q721" s="262"/>
      <c r="R721" s="262"/>
      <c r="S721" s="262"/>
      <c r="T721" s="262"/>
      <c r="U721" s="262"/>
      <c r="V721" s="262"/>
      <c r="W721" s="262"/>
      <c r="X721" s="262"/>
      <c r="Y721" s="262"/>
      <c r="Z721" s="262"/>
      <c r="AA721" s="262"/>
      <c r="AB721" s="262"/>
    </row>
    <row r="722" spans="1:31" ht="12.75">
      <c r="A722" s="364" t="s">
        <v>14475</v>
      </c>
      <c r="B722" s="365" t="s">
        <v>14719</v>
      </c>
      <c r="C722" s="365" t="s">
        <v>14759</v>
      </c>
      <c r="D722" s="367" t="s">
        <v>14477</v>
      </c>
      <c r="E722" s="368"/>
      <c r="F722" s="369"/>
      <c r="G722" s="370"/>
      <c r="H722" s="371"/>
      <c r="I722" s="262"/>
      <c r="J722" s="262"/>
      <c r="K722" s="262"/>
      <c r="L722" s="262"/>
      <c r="M722" s="262"/>
      <c r="N722" s="262"/>
      <c r="O722" s="262"/>
      <c r="P722" s="262"/>
      <c r="Q722" s="262"/>
      <c r="R722" s="262"/>
      <c r="S722" s="262"/>
      <c r="T722" s="262"/>
      <c r="U722" s="262"/>
      <c r="V722" s="262"/>
      <c r="W722" s="262"/>
      <c r="X722" s="262"/>
      <c r="Y722" s="262"/>
      <c r="Z722" s="262"/>
      <c r="AA722" s="262"/>
      <c r="AB722" s="262"/>
    </row>
    <row r="723" spans="1:31" ht="25.5">
      <c r="A723" s="586" t="s">
        <v>14478</v>
      </c>
      <c r="B723" s="421" t="s">
        <v>14476</v>
      </c>
      <c r="C723" s="422">
        <v>88273</v>
      </c>
      <c r="D723" s="288" t="str">
        <f>IFERROR(VLOOKUP($C723,'24.08_ND'!$A:$D,2,0),)</f>
        <v>MARCENEIRO COM ENCARGOS COMPLEMENTARES</v>
      </c>
      <c r="E723" s="289" t="str">
        <f>IFERROR(VLOOKUP($C723,'24.08_ND'!$A:$D,3,0),)</f>
        <v>H</v>
      </c>
      <c r="F723" s="587">
        <v>0.18</v>
      </c>
      <c r="G723" s="291">
        <f>IFERROR(VLOOKUP($C723,'24.08_ND'!$A:$D,4,0),)</f>
        <v>21.71</v>
      </c>
      <c r="H723" s="292">
        <f>TRUNC(($F723*$G723),2)</f>
        <v>3.9</v>
      </c>
      <c r="I723" s="262"/>
      <c r="J723" s="262"/>
      <c r="K723" s="262"/>
      <c r="L723" s="262"/>
      <c r="M723" s="262"/>
      <c r="N723" s="262"/>
      <c r="O723" s="262"/>
      <c r="P723" s="262"/>
      <c r="Q723" s="262"/>
      <c r="R723" s="262"/>
      <c r="S723" s="262"/>
      <c r="T723" s="262"/>
      <c r="U723" s="262"/>
      <c r="V723" s="262"/>
      <c r="W723" s="262"/>
      <c r="X723" s="262"/>
      <c r="Y723" s="262"/>
      <c r="Z723" s="262"/>
      <c r="AA723" s="262"/>
      <c r="AB723" s="262"/>
      <c r="AD723" s="1791" t="e">
        <f>VLOOKUP(C723,'Medição '!$B$16:$F$1833,6,0)</f>
        <v>#N/A</v>
      </c>
      <c r="AE723" s="1791"/>
    </row>
    <row r="724" spans="1:31" ht="25.5">
      <c r="A724" s="586" t="s">
        <v>14478</v>
      </c>
      <c r="B724" s="421" t="s">
        <v>14476</v>
      </c>
      <c r="C724" s="422">
        <v>88243</v>
      </c>
      <c r="D724" s="288" t="str">
        <f>IFERROR(VLOOKUP($C724,'24.08_ND'!$A:$D,2,0),)</f>
        <v>AJUDANTE ESPECIALIZADO COM ENCARGOS COMPLEMENTARES</v>
      </c>
      <c r="E724" s="289" t="str">
        <f>IFERROR(VLOOKUP($C724,'24.08_ND'!$A:$D,3,0),)</f>
        <v>H</v>
      </c>
      <c r="F724" s="587">
        <v>0.18</v>
      </c>
      <c r="G724" s="291">
        <f>IFERROR(VLOOKUP($C724,'24.08_ND'!$A:$D,4,0),)</f>
        <v>19.32</v>
      </c>
      <c r="H724" s="292">
        <f>TRUNC(($F724*$G724),2)</f>
        <v>3.47</v>
      </c>
      <c r="I724" s="262"/>
      <c r="J724" s="262"/>
      <c r="K724" s="262"/>
      <c r="L724" s="262"/>
      <c r="M724" s="262"/>
      <c r="N724" s="262"/>
      <c r="O724" s="262"/>
      <c r="P724" s="262"/>
      <c r="Q724" s="262"/>
      <c r="R724" s="262"/>
      <c r="S724" s="262"/>
      <c r="T724" s="262"/>
      <c r="U724" s="262"/>
      <c r="V724" s="262"/>
      <c r="W724" s="262"/>
      <c r="X724" s="262"/>
      <c r="Y724" s="262"/>
      <c r="Z724" s="262"/>
      <c r="AA724" s="262"/>
      <c r="AB724" s="262"/>
      <c r="AD724" s="1791" t="e">
        <f>VLOOKUP(C724,'Medição '!$B$16:$F$1833,6,0)</f>
        <v>#N/A</v>
      </c>
      <c r="AE724" s="1791"/>
    </row>
    <row r="725" spans="1:31" ht="25.5">
      <c r="A725" s="588" t="s">
        <v>14479</v>
      </c>
      <c r="B725" s="589" t="s">
        <v>14476</v>
      </c>
      <c r="C725" s="447">
        <v>1340</v>
      </c>
      <c r="D725" s="296" t="str">
        <f>IFERROR(VLOOKUP($C725,'24.08_ND'!$A:$D,2,0),)</f>
        <v>CHAPA DE LAMINADO MELAMINICO, LISO FOSCO, DE 1,25 X 3,08 METROS, ESPESSURA = 0,8 MILIMETROS</v>
      </c>
      <c r="E725" s="297" t="str">
        <f>IFERROR(VLOOKUP($C725,'24.08_ND'!$A:$D,3,0),)</f>
        <v>M2</v>
      </c>
      <c r="F725" s="584">
        <v>1.05</v>
      </c>
      <c r="G725" s="299">
        <f>IFERROR(VLOOKUP($C725,'24.08_ND'!$A:$D,4,0),)</f>
        <v>75.739999999999995</v>
      </c>
      <c r="H725" s="300">
        <f>TRUNC(($F725*$G725),2)</f>
        <v>79.52</v>
      </c>
      <c r="I725" s="262"/>
      <c r="J725" s="262"/>
      <c r="K725" s="262"/>
      <c r="L725" s="262"/>
      <c r="M725" s="262"/>
      <c r="N725" s="262"/>
      <c r="O725" s="262"/>
      <c r="P725" s="262"/>
      <c r="Q725" s="262"/>
      <c r="R725" s="262"/>
      <c r="S725" s="262"/>
      <c r="T725" s="262"/>
      <c r="U725" s="262"/>
      <c r="V725" s="262"/>
      <c r="W725" s="262"/>
      <c r="X725" s="262"/>
      <c r="Y725" s="262"/>
      <c r="Z725" s="262"/>
      <c r="AA725" s="262"/>
      <c r="AB725" s="262"/>
    </row>
    <row r="726" spans="1:31" ht="12.75">
      <c r="A726" s="588" t="s">
        <v>14479</v>
      </c>
      <c r="B726" s="589" t="s">
        <v>14476</v>
      </c>
      <c r="C726" s="447">
        <v>1339</v>
      </c>
      <c r="D726" s="296" t="str">
        <f>IFERROR(VLOOKUP($C726,'24.08_ND'!$A:$D,2,0),)</f>
        <v>COLA A BASE DE RESINA SINTETICA PARA CHAPA DE LAMINADO MELAMINICO E OUTROS</v>
      </c>
      <c r="E726" s="297" t="str">
        <f>IFERROR(VLOOKUP($C726,'24.08_ND'!$A:$D,3,0),)</f>
        <v>KG</v>
      </c>
      <c r="F726" s="584">
        <v>0.45</v>
      </c>
      <c r="G726" s="299">
        <f>IFERROR(VLOOKUP($C726,'24.08_ND'!$A:$D,4,0),)</f>
        <v>65.69</v>
      </c>
      <c r="H726" s="300">
        <f>TRUNC(($F726*$G726),2)</f>
        <v>29.56</v>
      </c>
      <c r="I726" s="262"/>
      <c r="J726" s="262"/>
      <c r="K726" s="262"/>
      <c r="L726" s="262"/>
      <c r="M726" s="262"/>
      <c r="N726" s="262"/>
      <c r="O726" s="262"/>
      <c r="P726" s="262"/>
      <c r="Q726" s="262"/>
      <c r="R726" s="262"/>
      <c r="S726" s="262"/>
      <c r="T726" s="262"/>
      <c r="U726" s="262"/>
      <c r="V726" s="262"/>
      <c r="W726" s="262"/>
      <c r="X726" s="262"/>
      <c r="Y726" s="262"/>
      <c r="Z726" s="262"/>
      <c r="AA726" s="262"/>
      <c r="AB726" s="262"/>
    </row>
    <row r="727" spans="1:31" ht="12.75">
      <c r="A727" s="309"/>
      <c r="B727" s="303"/>
      <c r="C727" s="303"/>
      <c r="D727" s="310"/>
      <c r="E727" s="303"/>
      <c r="F727" s="306"/>
      <c r="G727" s="307"/>
      <c r="H727" s="308"/>
      <c r="I727" s="262"/>
      <c r="J727" s="262"/>
      <c r="K727" s="262"/>
      <c r="L727" s="262"/>
      <c r="M727" s="262"/>
      <c r="N727" s="262"/>
      <c r="O727" s="262"/>
      <c r="P727" s="262"/>
      <c r="Q727" s="262"/>
      <c r="R727" s="262"/>
      <c r="S727" s="262"/>
      <c r="T727" s="262"/>
      <c r="U727" s="262"/>
      <c r="V727" s="262"/>
      <c r="W727" s="262"/>
      <c r="X727" s="262"/>
      <c r="Y727" s="262"/>
      <c r="Z727" s="262"/>
      <c r="AA727" s="262"/>
      <c r="AB727" s="262"/>
    </row>
    <row r="728" spans="1:31" ht="12.75">
      <c r="A728" s="358" t="s">
        <v>14471</v>
      </c>
      <c r="B728" s="359" t="s">
        <v>14472</v>
      </c>
      <c r="C728" s="585" t="s">
        <v>14760</v>
      </c>
      <c r="D728" s="361" t="s">
        <v>14761</v>
      </c>
      <c r="E728" s="359" t="s">
        <v>409</v>
      </c>
      <c r="F728" s="362"/>
      <c r="G728" s="362"/>
      <c r="H728" s="363">
        <f>SUM(H730:H733)</f>
        <v>77.61</v>
      </c>
      <c r="I728" s="276">
        <f>COUNTIF($C$8:$C728,C:C)</f>
        <v>1</v>
      </c>
      <c r="J728" s="262"/>
      <c r="K728" s="262"/>
      <c r="L728" s="262"/>
      <c r="M728" s="262"/>
      <c r="N728" s="262"/>
      <c r="O728" s="262"/>
      <c r="P728" s="262"/>
      <c r="Q728" s="262"/>
      <c r="R728" s="262"/>
      <c r="S728" s="262"/>
      <c r="T728" s="262"/>
      <c r="U728" s="262"/>
      <c r="V728" s="262"/>
      <c r="W728" s="262"/>
      <c r="X728" s="262"/>
      <c r="Y728" s="262"/>
      <c r="Z728" s="262"/>
      <c r="AA728" s="262"/>
      <c r="AB728" s="262"/>
    </row>
    <row r="729" spans="1:31" ht="12.75">
      <c r="A729" s="364" t="s">
        <v>14475</v>
      </c>
      <c r="B729" s="365" t="s">
        <v>14476</v>
      </c>
      <c r="C729" s="365">
        <v>95305</v>
      </c>
      <c r="D729" s="367" t="s">
        <v>14602</v>
      </c>
      <c r="E729" s="368"/>
      <c r="F729" s="369"/>
      <c r="G729" s="370"/>
      <c r="H729" s="371"/>
      <c r="I729" s="262"/>
      <c r="J729" s="262"/>
      <c r="K729" s="262"/>
      <c r="L729" s="262"/>
      <c r="M729" s="262"/>
      <c r="N729" s="262"/>
      <c r="O729" s="262"/>
      <c r="P729" s="262"/>
      <c r="Q729" s="262"/>
      <c r="R729" s="262"/>
      <c r="S729" s="262"/>
      <c r="T729" s="262"/>
      <c r="U729" s="262"/>
      <c r="V729" s="262"/>
      <c r="W729" s="262"/>
      <c r="X729" s="262"/>
      <c r="Y729" s="262"/>
      <c r="Z729" s="262"/>
      <c r="AA729" s="262"/>
      <c r="AB729" s="262"/>
    </row>
    <row r="730" spans="1:31" ht="25.5">
      <c r="A730" s="586" t="s">
        <v>14478</v>
      </c>
      <c r="B730" s="421" t="s">
        <v>14476</v>
      </c>
      <c r="C730" s="422">
        <v>88310</v>
      </c>
      <c r="D730" s="288" t="str">
        <f>IFERROR(VLOOKUP($C730,'24.08_ND'!$A:$D,2,0),)</f>
        <v>PINTOR COM ENCARGOS COMPLEMENTARES</v>
      </c>
      <c r="E730" s="289" t="str">
        <f>IFERROR(VLOOKUP($C730,'24.08_ND'!$A:$D,3,0),)</f>
        <v>H</v>
      </c>
      <c r="F730" s="587">
        <v>0.7</v>
      </c>
      <c r="G730" s="291">
        <f>IFERROR(VLOOKUP($C730,'24.08_ND'!$A:$D,4,0),)</f>
        <v>24.69</v>
      </c>
      <c r="H730" s="292">
        <f>TRUNC(($F730*$G730),2)</f>
        <v>17.28</v>
      </c>
      <c r="I730" s="262"/>
      <c r="J730" s="262"/>
      <c r="K730" s="262"/>
      <c r="L730" s="262"/>
      <c r="M730" s="262"/>
      <c r="N730" s="262"/>
      <c r="O730" s="262"/>
      <c r="P730" s="262"/>
      <c r="Q730" s="262"/>
      <c r="R730" s="262"/>
      <c r="S730" s="262"/>
      <c r="T730" s="262"/>
      <c r="U730" s="262"/>
      <c r="V730" s="262"/>
      <c r="W730" s="262"/>
      <c r="X730" s="262"/>
      <c r="Y730" s="262"/>
      <c r="Z730" s="262"/>
      <c r="AA730" s="262"/>
      <c r="AB730" s="262"/>
      <c r="AD730" s="1791" t="e">
        <f>VLOOKUP(C730,'Medição '!$B$16:$F$1833,6,0)</f>
        <v>#N/A</v>
      </c>
      <c r="AE730" s="1791"/>
    </row>
    <row r="731" spans="1:31" ht="25.5">
      <c r="A731" s="586" t="s">
        <v>14478</v>
      </c>
      <c r="B731" s="421" t="s">
        <v>14476</v>
      </c>
      <c r="C731" s="422">
        <v>88316</v>
      </c>
      <c r="D731" s="288" t="str">
        <f>IFERROR(VLOOKUP($C731,'24.08_ND'!$A:$D,2,0),)</f>
        <v>SERVENTE COM ENCARGOS COMPLEMENTARES</v>
      </c>
      <c r="E731" s="289" t="str">
        <f>IFERROR(VLOOKUP($C731,'24.08_ND'!$A:$D,3,0),)</f>
        <v>H</v>
      </c>
      <c r="F731" s="587">
        <v>0.7</v>
      </c>
      <c r="G731" s="291">
        <f>IFERROR(VLOOKUP($C731,'24.08_ND'!$A:$D,4,0),)</f>
        <v>18.510000000000002</v>
      </c>
      <c r="H731" s="292">
        <f>TRUNC(($F731*$G731),2)</f>
        <v>12.95</v>
      </c>
      <c r="I731" s="262"/>
      <c r="J731" s="262"/>
      <c r="K731" s="262"/>
      <c r="L731" s="262"/>
      <c r="M731" s="262"/>
      <c r="N731" s="262"/>
      <c r="O731" s="262"/>
      <c r="P731" s="262"/>
      <c r="Q731" s="262"/>
      <c r="R731" s="262"/>
      <c r="S731" s="262"/>
      <c r="T731" s="262"/>
      <c r="U731" s="262"/>
      <c r="V731" s="262"/>
      <c r="W731" s="262"/>
      <c r="X731" s="262"/>
      <c r="Y731" s="262"/>
      <c r="Z731" s="262"/>
      <c r="AA731" s="262"/>
      <c r="AB731" s="262"/>
      <c r="AD731" s="1791" t="e">
        <f>VLOOKUP(C731,'Medição '!$B$16:$F$1833,6,0)</f>
        <v>#N/A</v>
      </c>
      <c r="AE731" s="1791"/>
    </row>
    <row r="732" spans="1:31" ht="12.75">
      <c r="A732" s="588" t="s">
        <v>14479</v>
      </c>
      <c r="B732" s="589" t="s">
        <v>14476</v>
      </c>
      <c r="C732" s="447">
        <v>7353</v>
      </c>
      <c r="D732" s="296" t="str">
        <f>IFERROR(VLOOKUP($C732,'24.08_ND'!$A:$D,2,0),)</f>
        <v>RESINA ACRILICA PREMIUM BASE AGUA - COR BRANCA</v>
      </c>
      <c r="E732" s="297" t="str">
        <f>IFERROR(VLOOKUP($C732,'24.08_ND'!$A:$D,3,0),)</f>
        <v>L</v>
      </c>
      <c r="F732" s="584">
        <f>(3.6/60)*2</f>
        <v>0.12000000000000001</v>
      </c>
      <c r="G732" s="299">
        <f>IFERROR(VLOOKUP($C732,'24.08_ND'!$A:$D,4,0),)</f>
        <v>28.83</v>
      </c>
      <c r="H732" s="300">
        <f>TRUNC(($F732*$G732),2)</f>
        <v>3.45</v>
      </c>
      <c r="I732" s="262"/>
      <c r="J732" s="262"/>
      <c r="K732" s="262"/>
      <c r="L732" s="262"/>
      <c r="M732" s="262"/>
      <c r="N732" s="262"/>
      <c r="O732" s="262"/>
      <c r="P732" s="262"/>
      <c r="Q732" s="262"/>
      <c r="R732" s="262"/>
      <c r="S732" s="262"/>
      <c r="T732" s="262"/>
      <c r="U732" s="262"/>
      <c r="V732" s="262"/>
      <c r="W732" s="262"/>
      <c r="X732" s="262"/>
      <c r="Y732" s="262"/>
      <c r="Z732" s="262"/>
      <c r="AA732" s="262"/>
      <c r="AB732" s="262"/>
    </row>
    <row r="733" spans="1:31" ht="12.75">
      <c r="A733" s="319" t="s">
        <v>14479</v>
      </c>
      <c r="B733" s="320" t="s">
        <v>14491</v>
      </c>
      <c r="C733" s="320" t="s">
        <v>14762</v>
      </c>
      <c r="D733" s="321" t="str">
        <f>VLOOKUP($C733,'09 - MC'!$A:$F,2,0)</f>
        <v>TEXTURA CIMENTO QUEIMADO BRANCO</v>
      </c>
      <c r="E733" s="322" t="str">
        <f>VLOOKUP($C733,'09 - MC'!$A:$F,3,0)</f>
        <v>KG</v>
      </c>
      <c r="F733" s="323">
        <f>(23/65)*3</f>
        <v>1.0615384615384615</v>
      </c>
      <c r="G733" s="324">
        <f>VLOOKUP($C733,'09 - MC'!$A:$F,6,0)</f>
        <v>41.39</v>
      </c>
      <c r="H733" s="325">
        <f>TRUNC(G733*F733,2)</f>
        <v>43.93</v>
      </c>
      <c r="I733" s="262"/>
      <c r="J733" s="262"/>
      <c r="K733" s="262"/>
      <c r="L733" s="262"/>
      <c r="M733" s="262"/>
      <c r="N733" s="262"/>
      <c r="O733" s="262"/>
      <c r="P733" s="262"/>
      <c r="Q733" s="262"/>
      <c r="R733" s="262"/>
      <c r="S733" s="262"/>
      <c r="T733" s="262"/>
      <c r="U733" s="262"/>
      <c r="V733" s="262"/>
      <c r="W733" s="262"/>
      <c r="X733" s="262"/>
      <c r="Y733" s="262"/>
      <c r="Z733" s="262"/>
      <c r="AA733" s="262"/>
      <c r="AB733" s="262"/>
    </row>
    <row r="734" spans="1:31" ht="12.75">
      <c r="A734" s="309"/>
      <c r="B734" s="303"/>
      <c r="C734" s="303"/>
      <c r="D734" s="310"/>
      <c r="E734" s="303"/>
      <c r="F734" s="306"/>
      <c r="G734" s="307"/>
      <c r="H734" s="308"/>
      <c r="I734" s="262"/>
      <c r="J734" s="262"/>
      <c r="K734" s="262"/>
      <c r="L734" s="262"/>
      <c r="M734" s="262"/>
      <c r="N734" s="262"/>
      <c r="O734" s="262"/>
      <c r="P734" s="262"/>
      <c r="Q734" s="262"/>
      <c r="R734" s="262"/>
      <c r="S734" s="262"/>
      <c r="T734" s="262"/>
      <c r="U734" s="262"/>
      <c r="V734" s="262"/>
      <c r="W734" s="262"/>
      <c r="X734" s="262"/>
      <c r="Y734" s="262"/>
      <c r="Z734" s="262"/>
      <c r="AA734" s="262"/>
      <c r="AB734" s="262"/>
    </row>
    <row r="735" spans="1:31" ht="12.75">
      <c r="A735" s="358" t="s">
        <v>14471</v>
      </c>
      <c r="B735" s="359" t="s">
        <v>14472</v>
      </c>
      <c r="C735" s="585" t="s">
        <v>14763</v>
      </c>
      <c r="D735" s="361" t="s">
        <v>14764</v>
      </c>
      <c r="E735" s="359" t="s">
        <v>409</v>
      </c>
      <c r="F735" s="362"/>
      <c r="G735" s="362"/>
      <c r="H735" s="363">
        <f>SUM(H737:H740)</f>
        <v>71.61999999999999</v>
      </c>
      <c r="I735" s="276">
        <f>COUNTIF($C$8:$C735,C:C)</f>
        <v>1</v>
      </c>
      <c r="J735" s="262"/>
      <c r="K735" s="262"/>
      <c r="L735" s="262"/>
      <c r="M735" s="262"/>
      <c r="N735" s="262"/>
      <c r="O735" s="262"/>
      <c r="P735" s="262"/>
      <c r="Q735" s="262"/>
      <c r="R735" s="262"/>
      <c r="S735" s="262"/>
      <c r="T735" s="262"/>
      <c r="U735" s="262"/>
      <c r="V735" s="262"/>
      <c r="W735" s="262"/>
      <c r="X735" s="262"/>
      <c r="Y735" s="262"/>
      <c r="Z735" s="262"/>
      <c r="AA735" s="262"/>
      <c r="AB735" s="262"/>
    </row>
    <row r="736" spans="1:31" ht="12.75">
      <c r="A736" s="364" t="s">
        <v>14475</v>
      </c>
      <c r="B736" s="365" t="s">
        <v>14476</v>
      </c>
      <c r="C736" s="365">
        <v>87777</v>
      </c>
      <c r="D736" s="367" t="s">
        <v>14602</v>
      </c>
      <c r="E736" s="368"/>
      <c r="F736" s="369"/>
      <c r="G736" s="370"/>
      <c r="H736" s="371"/>
      <c r="I736" s="262"/>
      <c r="J736" s="262"/>
      <c r="K736" s="262"/>
      <c r="L736" s="262"/>
      <c r="M736" s="262"/>
      <c r="N736" s="262"/>
      <c r="O736" s="262"/>
      <c r="P736" s="262"/>
      <c r="Q736" s="262"/>
      <c r="R736" s="262"/>
      <c r="S736" s="262"/>
      <c r="T736" s="262"/>
      <c r="U736" s="262"/>
      <c r="V736" s="262"/>
      <c r="W736" s="262"/>
      <c r="X736" s="262"/>
      <c r="Y736" s="262"/>
      <c r="Z736" s="262"/>
      <c r="AA736" s="262"/>
      <c r="AB736" s="262"/>
    </row>
    <row r="737" spans="1:32" ht="38.25">
      <c r="A737" s="586" t="s">
        <v>14478</v>
      </c>
      <c r="B737" s="421" t="s">
        <v>14476</v>
      </c>
      <c r="C737" s="422">
        <v>87369</v>
      </c>
      <c r="D737" s="288" t="str">
        <f>IFERROR(VLOOKUP($C737,'24.08_ND'!$A:$D,2,0),)</f>
        <v>ARGAMASSA TRAÇO 1:2:8 (EM VOLUME DE CIMENTO, CAL E AREIA MÉDIA ÚMIDA) PARA EMBOÇO/MASSA ÚNICA/ASSENTAMENTO DE ALVENARIA DE VEDAÇÃO, PREPARO MANUAL. AF_08/2019</v>
      </c>
      <c r="E737" s="289" t="str">
        <f>IFERROR(VLOOKUP($C737,'24.08_ND'!$A:$D,3,0),)</f>
        <v>M3</v>
      </c>
      <c r="F737" s="587">
        <v>3.9249999999999993E-2</v>
      </c>
      <c r="G737" s="291">
        <f>IFERROR(VLOOKUP($C737,'24.08_ND'!$A:$D,4,0),)</f>
        <v>642.79</v>
      </c>
      <c r="H737" s="292">
        <f>TRUNC(($F737*$G737),2)</f>
        <v>25.22</v>
      </c>
      <c r="I737" s="262"/>
      <c r="J737" s="262"/>
      <c r="K737" s="262"/>
      <c r="L737" s="262"/>
      <c r="M737" s="262"/>
      <c r="N737" s="262"/>
      <c r="O737" s="262"/>
      <c r="P737" s="262"/>
      <c r="Q737" s="262"/>
      <c r="R737" s="262"/>
      <c r="S737" s="262"/>
      <c r="T737" s="262"/>
      <c r="U737" s="262"/>
      <c r="V737" s="262"/>
      <c r="W737" s="262"/>
      <c r="X737" s="262"/>
      <c r="Y737" s="262"/>
      <c r="Z737" s="262"/>
      <c r="AA737" s="262"/>
      <c r="AB737" s="262"/>
      <c r="AD737" s="1791" t="e">
        <f>VLOOKUP(C737,'Medição '!$B$16:$F$1833,6,0)</f>
        <v>#N/A</v>
      </c>
      <c r="AE737" s="1791"/>
    </row>
    <row r="738" spans="1:32" ht="25.5">
      <c r="A738" s="586" t="s">
        <v>14478</v>
      </c>
      <c r="B738" s="421" t="s">
        <v>14476</v>
      </c>
      <c r="C738" s="422">
        <v>88309</v>
      </c>
      <c r="D738" s="288" t="str">
        <f>IFERROR(VLOOKUP($C738,'24.08_ND'!$A:$D,2,0),)</f>
        <v>PEDREIRO COM ENCARGOS COMPLEMENTARES</v>
      </c>
      <c r="E738" s="289" t="str">
        <f>IFERROR(VLOOKUP($C738,'24.08_ND'!$A:$D,3,0),)</f>
        <v>H</v>
      </c>
      <c r="F738" s="587">
        <v>1.0499999999999998</v>
      </c>
      <c r="G738" s="291">
        <f>IFERROR(VLOOKUP($C738,'24.08_ND'!$A:$D,4,0),)</f>
        <v>23.33</v>
      </c>
      <c r="H738" s="292">
        <f>TRUNC(($F738*$G738),2)</f>
        <v>24.49</v>
      </c>
      <c r="I738" s="262"/>
      <c r="J738" s="262"/>
      <c r="K738" s="262"/>
      <c r="L738" s="262"/>
      <c r="M738" s="262"/>
      <c r="N738" s="262"/>
      <c r="O738" s="262"/>
      <c r="P738" s="262"/>
      <c r="Q738" s="262"/>
      <c r="R738" s="262"/>
      <c r="S738" s="262"/>
      <c r="T738" s="262"/>
      <c r="U738" s="262"/>
      <c r="V738" s="262"/>
      <c r="W738" s="262"/>
      <c r="X738" s="262"/>
      <c r="Y738" s="262"/>
      <c r="Z738" s="262"/>
      <c r="AA738" s="262"/>
      <c r="AB738" s="262"/>
      <c r="AD738" s="1791" t="e">
        <f>VLOOKUP(C738,'Medição '!$B$16:$F$1833,6,0)</f>
        <v>#N/A</v>
      </c>
      <c r="AE738" s="1791"/>
    </row>
    <row r="739" spans="1:32" ht="25.5">
      <c r="A739" s="586" t="s">
        <v>14478</v>
      </c>
      <c r="B739" s="421" t="s">
        <v>14476</v>
      </c>
      <c r="C739" s="422">
        <v>88316</v>
      </c>
      <c r="D739" s="288" t="str">
        <f>IFERROR(VLOOKUP($C739,'24.08_ND'!$A:$D,2,0),)</f>
        <v>SERVENTE COM ENCARGOS COMPLEMENTARES</v>
      </c>
      <c r="E739" s="289" t="str">
        <f>IFERROR(VLOOKUP($C739,'24.08_ND'!$A:$D,3,0),)</f>
        <v>H</v>
      </c>
      <c r="F739" s="587">
        <v>1.0499999999999998</v>
      </c>
      <c r="G739" s="291">
        <f>IFERROR(VLOOKUP($C739,'24.08_ND'!$A:$D,4,0),)</f>
        <v>18.510000000000002</v>
      </c>
      <c r="H739" s="292">
        <f>TRUNC(($F739*$G739),2)</f>
        <v>19.43</v>
      </c>
      <c r="I739" s="262"/>
      <c r="J739" s="262"/>
      <c r="K739" s="262"/>
      <c r="L739" s="262"/>
      <c r="M739" s="262"/>
      <c r="N739" s="262"/>
      <c r="O739" s="262"/>
      <c r="P739" s="262"/>
      <c r="Q739" s="262"/>
      <c r="R739" s="262"/>
      <c r="S739" s="262"/>
      <c r="T739" s="262"/>
      <c r="U739" s="262"/>
      <c r="V739" s="262"/>
      <c r="W739" s="262"/>
      <c r="X739" s="262"/>
      <c r="Y739" s="262"/>
      <c r="Z739" s="262"/>
      <c r="AA739" s="262"/>
      <c r="AB739" s="262"/>
      <c r="AD739" s="1791" t="e">
        <f>VLOOKUP(C739,'Medição '!$B$16:$F$1833,6,0)</f>
        <v>#N/A</v>
      </c>
      <c r="AE739" s="1791"/>
    </row>
    <row r="740" spans="1:32" ht="25.5">
      <c r="A740" s="588" t="s">
        <v>14479</v>
      </c>
      <c r="B740" s="589" t="s">
        <v>14476</v>
      </c>
      <c r="C740" s="447">
        <v>37411</v>
      </c>
      <c r="D740" s="296" t="str">
        <f>IFERROR(VLOOKUP($C740,'24.08_ND'!$A:$D,2,0),)</f>
        <v>TELA DE ACO SOLDADA GALVANIZADA/ZINCADA PARA ALVENARIA, FIO D = *1,24 MM, MALHA 25 X 25 MM</v>
      </c>
      <c r="E740" s="297" t="str">
        <f>IFERROR(VLOOKUP($C740,'24.08_ND'!$A:$D,3,0),)</f>
        <v>M2</v>
      </c>
      <c r="F740" s="584">
        <v>0.13880000000000001</v>
      </c>
      <c r="G740" s="299">
        <f>IFERROR(VLOOKUP($C740,'24.08_ND'!$A:$D,4,0),)</f>
        <v>17.920000000000002</v>
      </c>
      <c r="H740" s="300">
        <f>TRUNC(($F740*$G740),2)</f>
        <v>2.48</v>
      </c>
      <c r="I740" s="262"/>
      <c r="J740" s="262"/>
      <c r="K740" s="262"/>
      <c r="L740" s="262"/>
      <c r="M740" s="262"/>
      <c r="N740" s="262"/>
      <c r="O740" s="262"/>
      <c r="P740" s="262"/>
      <c r="Q740" s="262"/>
      <c r="R740" s="262"/>
      <c r="S740" s="262"/>
      <c r="T740" s="262"/>
      <c r="U740" s="262"/>
      <c r="V740" s="262"/>
      <c r="W740" s="262"/>
      <c r="X740" s="262"/>
      <c r="Y740" s="262"/>
      <c r="Z740" s="262"/>
      <c r="AA740" s="262"/>
      <c r="AB740" s="262"/>
    </row>
    <row r="741" spans="1:32" ht="12.75">
      <c r="A741" s="309"/>
      <c r="B741" s="303"/>
      <c r="C741" s="303"/>
      <c r="D741" s="310"/>
      <c r="E741" s="303"/>
      <c r="F741" s="306"/>
      <c r="G741" s="307"/>
      <c r="H741" s="308"/>
      <c r="I741" s="262"/>
      <c r="J741" s="262"/>
      <c r="K741" s="262"/>
      <c r="L741" s="262"/>
      <c r="M741" s="262"/>
      <c r="N741" s="262"/>
      <c r="O741" s="262"/>
      <c r="P741" s="262"/>
      <c r="Q741" s="262"/>
      <c r="R741" s="262"/>
      <c r="S741" s="262"/>
      <c r="T741" s="262"/>
      <c r="U741" s="262"/>
      <c r="V741" s="262"/>
      <c r="W741" s="262"/>
      <c r="X741" s="262"/>
      <c r="Y741" s="262"/>
      <c r="Z741" s="262"/>
      <c r="AA741" s="262"/>
      <c r="AB741" s="262"/>
    </row>
    <row r="742" spans="1:32" ht="12.75">
      <c r="A742" s="358" t="s">
        <v>14471</v>
      </c>
      <c r="B742" s="359" t="s">
        <v>14472</v>
      </c>
      <c r="C742" s="360" t="s">
        <v>14765</v>
      </c>
      <c r="D742" s="361" t="s">
        <v>14766</v>
      </c>
      <c r="E742" s="359" t="s">
        <v>409</v>
      </c>
      <c r="F742" s="362"/>
      <c r="G742" s="362"/>
      <c r="H742" s="363">
        <f>TRUNC(SUM(H744:H746),2)</f>
        <v>23.1</v>
      </c>
      <c r="I742" s="276">
        <f>COUNTIF($C$8:$C742,C:C)</f>
        <v>1</v>
      </c>
      <c r="J742" s="262"/>
      <c r="K742" s="262"/>
      <c r="L742" s="262"/>
      <c r="M742" s="262"/>
      <c r="N742" s="262"/>
      <c r="O742" s="262"/>
      <c r="P742" s="262"/>
      <c r="Q742" s="262"/>
      <c r="R742" s="262"/>
      <c r="S742" s="262"/>
      <c r="T742" s="262"/>
      <c r="U742" s="262"/>
      <c r="V742" s="262"/>
      <c r="W742" s="262"/>
      <c r="X742" s="262"/>
      <c r="Y742" s="262"/>
      <c r="Z742" s="262"/>
      <c r="AA742" s="262"/>
      <c r="AB742" s="262"/>
    </row>
    <row r="743" spans="1:32" ht="12.75">
      <c r="A743" s="364" t="s">
        <v>14475</v>
      </c>
      <c r="B743" s="403" t="s">
        <v>14476</v>
      </c>
      <c r="C743" s="404">
        <v>95625</v>
      </c>
      <c r="D743" s="367" t="s">
        <v>14602</v>
      </c>
      <c r="E743" s="405"/>
      <c r="F743" s="369"/>
      <c r="G743" s="370"/>
      <c r="H743" s="371"/>
      <c r="I743" s="262"/>
      <c r="J743" s="262"/>
      <c r="K743" s="262"/>
      <c r="L743" s="262"/>
      <c r="M743" s="262"/>
      <c r="N743" s="262"/>
      <c r="O743" s="262"/>
      <c r="P743" s="262"/>
      <c r="Q743" s="262"/>
      <c r="R743" s="262"/>
      <c r="S743" s="262"/>
      <c r="T743" s="262"/>
      <c r="U743" s="262"/>
      <c r="V743" s="262"/>
      <c r="W743" s="262"/>
      <c r="X743" s="262"/>
      <c r="Y743" s="262"/>
      <c r="Z743" s="262"/>
      <c r="AA743" s="262"/>
      <c r="AB743" s="262"/>
    </row>
    <row r="744" spans="1:32" ht="25.5">
      <c r="A744" s="372" t="s">
        <v>14478</v>
      </c>
      <c r="B744" s="421" t="s">
        <v>14476</v>
      </c>
      <c r="C744" s="374">
        <v>88310</v>
      </c>
      <c r="D744" s="288" t="str">
        <f>IFERROR(VLOOKUP($C744,'24.08_ND'!$A:$D,2,0),)</f>
        <v>PINTOR COM ENCARGOS COMPLEMENTARES</v>
      </c>
      <c r="E744" s="289" t="str">
        <f>IFERROR(VLOOKUP($C744,'24.08_ND'!$A:$D,3,0),)</f>
        <v>H</v>
      </c>
      <c r="F744" s="375">
        <v>0.57389999999999997</v>
      </c>
      <c r="G744" s="291">
        <f>IFERROR(VLOOKUP($C744,'24.08_ND'!$A:$D,4,0),)</f>
        <v>24.69</v>
      </c>
      <c r="H744" s="292">
        <f>TRUNC(($F744*$G744),2)</f>
        <v>14.16</v>
      </c>
      <c r="I744" s="262"/>
      <c r="J744" s="262"/>
      <c r="K744" s="262"/>
      <c r="L744" s="262"/>
      <c r="M744" s="262"/>
      <c r="N744" s="262"/>
      <c r="O744" s="262"/>
      <c r="P744" s="262"/>
      <c r="Q744" s="262"/>
      <c r="R744" s="262"/>
      <c r="S744" s="262"/>
      <c r="T744" s="262"/>
      <c r="U744" s="262"/>
      <c r="V744" s="262"/>
      <c r="W744" s="262"/>
      <c r="X744" s="262"/>
      <c r="Y744" s="262"/>
      <c r="Z744" s="262"/>
      <c r="AA744" s="262"/>
      <c r="AB744" s="262"/>
      <c r="AD744" s="1791" t="e">
        <f>VLOOKUP(C744,'Medição '!$B$16:$F$1833,6,0)</f>
        <v>#N/A</v>
      </c>
      <c r="AE744" s="1791"/>
    </row>
    <row r="745" spans="1:32" ht="25.5">
      <c r="A745" s="372" t="s">
        <v>14478</v>
      </c>
      <c r="B745" s="421" t="s">
        <v>14476</v>
      </c>
      <c r="C745" s="374">
        <v>88316</v>
      </c>
      <c r="D745" s="288" t="str">
        <f>IFERROR(VLOOKUP($C745,'24.08_ND'!$A:$D,2,0),)</f>
        <v>SERVENTE COM ENCARGOS COMPLEMENTARES</v>
      </c>
      <c r="E745" s="289" t="str">
        <f>IFERROR(VLOOKUP($C745,'24.08_ND'!$A:$D,3,0),)</f>
        <v>H</v>
      </c>
      <c r="F745" s="375">
        <v>0.11244</v>
      </c>
      <c r="G745" s="291">
        <f>IFERROR(VLOOKUP($C745,'24.08_ND'!$A:$D,4,0),)</f>
        <v>18.510000000000002</v>
      </c>
      <c r="H745" s="292">
        <f>TRUNC(($F745*$G745),2)</f>
        <v>2.08</v>
      </c>
      <c r="I745" s="262"/>
      <c r="J745" s="262"/>
      <c r="K745" s="262"/>
      <c r="L745" s="262"/>
      <c r="M745" s="262"/>
      <c r="N745" s="262"/>
      <c r="O745" s="262"/>
      <c r="P745" s="262"/>
      <c r="Q745" s="262"/>
      <c r="R745" s="262"/>
      <c r="S745" s="262"/>
      <c r="T745" s="262"/>
      <c r="U745" s="262"/>
      <c r="V745" s="262"/>
      <c r="W745" s="262"/>
      <c r="X745" s="262"/>
      <c r="Y745" s="262"/>
      <c r="Z745" s="262"/>
      <c r="AA745" s="262"/>
      <c r="AB745" s="262"/>
      <c r="AD745" s="1791" t="e">
        <f>VLOOKUP(C745,'Medição '!$B$16:$F$1833,6,0)</f>
        <v>#N/A</v>
      </c>
      <c r="AE745" s="1791"/>
    </row>
    <row r="746" spans="1:32" ht="12.75">
      <c r="A746" s="445" t="s">
        <v>14479</v>
      </c>
      <c r="B746" s="446" t="s">
        <v>14476</v>
      </c>
      <c r="C746" s="447">
        <v>43624</v>
      </c>
      <c r="D746" s="296" t="str">
        <f>IFERROR(VLOOKUP($C746,'24.08_ND'!$A:$D,2,0),)</f>
        <v>TINTA LATEX ACRILICA SUPER PREMIUM, COR BRANCO FOSCO</v>
      </c>
      <c r="E746" s="297" t="str">
        <f>IFERROR(VLOOKUP($C746,'24.08_ND'!$A:$D,3,0),)</f>
        <v>L</v>
      </c>
      <c r="F746" s="298">
        <v>0.21652799999999997</v>
      </c>
      <c r="G746" s="299">
        <f>IFERROR(VLOOKUP($C746,'24.08_ND'!$A:$D,4,0),)</f>
        <v>31.71</v>
      </c>
      <c r="H746" s="300">
        <f>TRUNC(($F746*$G746),2)</f>
        <v>6.86</v>
      </c>
      <c r="I746" s="262"/>
      <c r="J746" s="262"/>
      <c r="K746" s="262"/>
      <c r="L746" s="262"/>
      <c r="M746" s="262"/>
      <c r="N746" s="262"/>
      <c r="O746" s="262"/>
      <c r="P746" s="262"/>
      <c r="Q746" s="262"/>
      <c r="R746" s="262"/>
      <c r="S746" s="262"/>
      <c r="T746" s="262"/>
      <c r="U746" s="262"/>
      <c r="V746" s="262"/>
      <c r="W746" s="262"/>
      <c r="X746" s="262"/>
      <c r="Y746" s="262"/>
      <c r="Z746" s="262"/>
      <c r="AA746" s="262"/>
      <c r="AB746" s="262"/>
      <c r="AE746">
        <f>18*2</f>
        <v>36</v>
      </c>
      <c r="AF746" s="1790">
        <f>AE746*H746</f>
        <v>246.96</v>
      </c>
    </row>
    <row r="747" spans="1:32" ht="12.75">
      <c r="A747" s="309"/>
      <c r="B747" s="303"/>
      <c r="C747" s="303"/>
      <c r="D747" s="310"/>
      <c r="E747" s="303"/>
      <c r="F747" s="306"/>
      <c r="G747" s="307"/>
      <c r="H747" s="308"/>
      <c r="I747" s="262"/>
      <c r="J747" s="262"/>
      <c r="K747" s="262"/>
      <c r="L747" s="262"/>
      <c r="M747" s="262"/>
      <c r="N747" s="262"/>
      <c r="O747" s="262"/>
      <c r="P747" s="262"/>
      <c r="Q747" s="262"/>
      <c r="R747" s="262"/>
      <c r="S747" s="262"/>
      <c r="T747" s="262"/>
      <c r="U747" s="262"/>
      <c r="V747" s="262"/>
      <c r="W747" s="262"/>
      <c r="X747" s="262"/>
      <c r="Y747" s="262"/>
      <c r="Z747" s="262"/>
      <c r="AA747" s="262"/>
      <c r="AB747" s="262"/>
    </row>
    <row r="748" spans="1:32" ht="12.75">
      <c r="A748" s="358" t="s">
        <v>14471</v>
      </c>
      <c r="B748" s="359" t="s">
        <v>14472</v>
      </c>
      <c r="C748" s="360" t="s">
        <v>14767</v>
      </c>
      <c r="D748" s="361" t="s">
        <v>14768</v>
      </c>
      <c r="E748" s="359" t="s">
        <v>409</v>
      </c>
      <c r="F748" s="362"/>
      <c r="G748" s="362"/>
      <c r="H748" s="363">
        <f>TRUNC(SUM(H750:H755),2)</f>
        <v>51.19</v>
      </c>
      <c r="I748" s="276">
        <f>COUNTIF($C$8:$C748,C:C)</f>
        <v>1</v>
      </c>
      <c r="J748" s="262"/>
      <c r="K748" s="262"/>
      <c r="L748" s="262"/>
      <c r="M748" s="262"/>
      <c r="N748" s="262"/>
      <c r="O748" s="262"/>
      <c r="P748" s="262"/>
      <c r="Q748" s="262"/>
      <c r="R748" s="262"/>
      <c r="S748" s="262"/>
      <c r="T748" s="262"/>
      <c r="U748" s="262"/>
      <c r="V748" s="262"/>
      <c r="W748" s="262"/>
      <c r="X748" s="262"/>
      <c r="Y748" s="262"/>
      <c r="Z748" s="262"/>
      <c r="AA748" s="262"/>
      <c r="AB748" s="262"/>
    </row>
    <row r="749" spans="1:32" ht="12.75">
      <c r="A749" s="364" t="s">
        <v>14475</v>
      </c>
      <c r="B749" s="403" t="s">
        <v>14476</v>
      </c>
      <c r="C749" s="404">
        <v>102494</v>
      </c>
      <c r="D749" s="367" t="s">
        <v>14602</v>
      </c>
      <c r="E749" s="405"/>
      <c r="F749" s="369"/>
      <c r="G749" s="370"/>
      <c r="H749" s="371"/>
      <c r="I749" s="262"/>
      <c r="J749" s="262"/>
      <c r="K749" s="262"/>
      <c r="L749" s="262"/>
      <c r="M749" s="262"/>
      <c r="N749" s="262"/>
      <c r="O749" s="262"/>
      <c r="P749" s="262"/>
      <c r="Q749" s="262"/>
      <c r="R749" s="262"/>
      <c r="S749" s="262"/>
      <c r="T749" s="262"/>
      <c r="U749" s="262"/>
      <c r="V749" s="262"/>
      <c r="W749" s="262"/>
      <c r="X749" s="262"/>
      <c r="Y749" s="262"/>
      <c r="Z749" s="262"/>
      <c r="AA749" s="262"/>
      <c r="AB749" s="262"/>
    </row>
    <row r="750" spans="1:32" ht="25.5">
      <c r="A750" s="372" t="s">
        <v>14478</v>
      </c>
      <c r="B750" s="421" t="s">
        <v>14476</v>
      </c>
      <c r="C750" s="374">
        <v>88310</v>
      </c>
      <c r="D750" s="288" t="str">
        <f>IFERROR(VLOOKUP($C750,'24.08_ND'!$A:$D,2,0),)</f>
        <v>PINTOR COM ENCARGOS COMPLEMENTARES</v>
      </c>
      <c r="E750" s="289" t="str">
        <f>IFERROR(VLOOKUP($C750,'24.08_ND'!$A:$D,3,0),)</f>
        <v>H</v>
      </c>
      <c r="F750" s="375">
        <v>0.27500000000000002</v>
      </c>
      <c r="G750" s="291">
        <f>IFERROR(VLOOKUP($C750,'24.08_ND'!$A:$D,4,0),)</f>
        <v>24.69</v>
      </c>
      <c r="H750" s="292">
        <f t="shared" ref="H750:H755" si="29">TRUNC(($F750*$G750),2)</f>
        <v>6.78</v>
      </c>
      <c r="I750" s="262"/>
      <c r="J750" s="262"/>
      <c r="K750" s="262"/>
      <c r="L750" s="262"/>
      <c r="M750" s="262"/>
      <c r="N750" s="262"/>
      <c r="O750" s="262"/>
      <c r="P750" s="262"/>
      <c r="Q750" s="262"/>
      <c r="R750" s="262"/>
      <c r="S750" s="262"/>
      <c r="T750" s="262"/>
      <c r="U750" s="262"/>
      <c r="V750" s="262"/>
      <c r="W750" s="262"/>
      <c r="X750" s="262"/>
      <c r="Y750" s="262"/>
      <c r="Z750" s="262"/>
      <c r="AA750" s="262"/>
      <c r="AB750" s="262"/>
      <c r="AD750" s="1791" t="e">
        <f>VLOOKUP(C750,'Medição '!$B$16:$F$1833,6,0)</f>
        <v>#N/A</v>
      </c>
      <c r="AE750" s="1791"/>
    </row>
    <row r="751" spans="1:32" ht="25.5">
      <c r="A751" s="372" t="s">
        <v>14478</v>
      </c>
      <c r="B751" s="421" t="s">
        <v>14476</v>
      </c>
      <c r="C751" s="374">
        <v>88316</v>
      </c>
      <c r="D751" s="288" t="str">
        <f>IFERROR(VLOOKUP($C751,'24.08_ND'!$A:$D,2,0),)</f>
        <v>SERVENTE COM ENCARGOS COMPLEMENTARES</v>
      </c>
      <c r="E751" s="289" t="str">
        <f>IFERROR(VLOOKUP($C751,'24.08_ND'!$A:$D,3,0),)</f>
        <v>H</v>
      </c>
      <c r="F751" s="375">
        <v>0.115</v>
      </c>
      <c r="G751" s="291">
        <f>IFERROR(VLOOKUP($C751,'24.08_ND'!$A:$D,4,0),)</f>
        <v>18.510000000000002</v>
      </c>
      <c r="H751" s="292">
        <f t="shared" si="29"/>
        <v>2.12</v>
      </c>
      <c r="I751" s="262"/>
      <c r="J751" s="262"/>
      <c r="K751" s="262"/>
      <c r="L751" s="262"/>
      <c r="M751" s="262"/>
      <c r="N751" s="262"/>
      <c r="O751" s="262"/>
      <c r="P751" s="262"/>
      <c r="Q751" s="262"/>
      <c r="R751" s="262"/>
      <c r="S751" s="262"/>
      <c r="T751" s="262"/>
      <c r="U751" s="262"/>
      <c r="V751" s="262"/>
      <c r="W751" s="262"/>
      <c r="X751" s="262"/>
      <c r="Y751" s="262"/>
      <c r="Z751" s="262"/>
      <c r="AA751" s="262"/>
      <c r="AB751" s="262"/>
      <c r="AD751" s="1791" t="e">
        <f>VLOOKUP(C751,'Medição '!$B$16:$F$1833,6,0)</f>
        <v>#N/A</v>
      </c>
      <c r="AE751" s="1791"/>
    </row>
    <row r="752" spans="1:32" ht="12.75">
      <c r="A752" s="445" t="s">
        <v>14479</v>
      </c>
      <c r="B752" s="446" t="s">
        <v>14476</v>
      </c>
      <c r="C752" s="447">
        <v>5330</v>
      </c>
      <c r="D752" s="296" t="str">
        <f>IFERROR(VLOOKUP($C752,'24.08_ND'!$A:$D,2,0),)</f>
        <v>DILUENTE EPOXI</v>
      </c>
      <c r="E752" s="297" t="str">
        <f>IFERROR(VLOOKUP($C752,'24.08_ND'!$A:$D,3,0),)</f>
        <v>L</v>
      </c>
      <c r="F752" s="584">
        <v>6.4000000000000001E-2</v>
      </c>
      <c r="G752" s="299">
        <f>IFERROR(VLOOKUP($C752,'24.08_ND'!$A:$D,4,0),)</f>
        <v>42.06</v>
      </c>
      <c r="H752" s="300">
        <f t="shared" si="29"/>
        <v>2.69</v>
      </c>
      <c r="I752" s="262"/>
      <c r="J752" s="262"/>
      <c r="K752" s="262"/>
      <c r="L752" s="262"/>
      <c r="M752" s="262"/>
      <c r="N752" s="262"/>
      <c r="O752" s="262"/>
      <c r="P752" s="262"/>
      <c r="Q752" s="262"/>
      <c r="R752" s="262"/>
      <c r="S752" s="262"/>
      <c r="T752" s="262"/>
      <c r="U752" s="262"/>
      <c r="V752" s="262"/>
      <c r="W752" s="262"/>
      <c r="X752" s="262"/>
      <c r="Y752" s="262"/>
      <c r="Z752" s="262"/>
      <c r="AA752" s="262"/>
      <c r="AB752" s="262"/>
    </row>
    <row r="753" spans="1:31" ht="12.75">
      <c r="A753" s="445" t="s">
        <v>14479</v>
      </c>
      <c r="B753" s="446" t="s">
        <v>14476</v>
      </c>
      <c r="C753" s="447">
        <v>12815</v>
      </c>
      <c r="D753" s="296" t="str">
        <f>IFERROR(VLOOKUP($C753,'24.08_ND'!$A:$D,2,0),)</f>
        <v>FITA CREPE ROLO DE 25 MM X 50 M</v>
      </c>
      <c r="E753" s="297" t="str">
        <f>IFERROR(VLOOKUP($C753,'24.08_ND'!$A:$D,3,0),)</f>
        <v>UN</v>
      </c>
      <c r="F753" s="584">
        <v>0.01</v>
      </c>
      <c r="G753" s="299">
        <f>IFERROR(VLOOKUP($C753,'24.08_ND'!$A:$D,4,0),)</f>
        <v>10.27</v>
      </c>
      <c r="H753" s="300">
        <f t="shared" si="29"/>
        <v>0.1</v>
      </c>
      <c r="I753" s="262"/>
      <c r="J753" s="262"/>
      <c r="K753" s="262"/>
      <c r="L753" s="262"/>
      <c r="M753" s="262"/>
      <c r="N753" s="262"/>
      <c r="O753" s="262"/>
      <c r="P753" s="262"/>
      <c r="Q753" s="262"/>
      <c r="R753" s="262"/>
      <c r="S753" s="262"/>
      <c r="T753" s="262"/>
      <c r="U753" s="262"/>
      <c r="V753" s="262"/>
      <c r="W753" s="262"/>
      <c r="X753" s="262"/>
      <c r="Y753" s="262"/>
      <c r="Z753" s="262"/>
      <c r="AA753" s="262"/>
      <c r="AB753" s="262"/>
    </row>
    <row r="754" spans="1:31" ht="12.75">
      <c r="A754" s="445" t="s">
        <v>14479</v>
      </c>
      <c r="B754" s="446" t="s">
        <v>14476</v>
      </c>
      <c r="C754" s="447">
        <v>44072</v>
      </c>
      <c r="D754" s="296" t="str">
        <f>IFERROR(VLOOKUP($C754,'24.08_ND'!$A:$D,2,0),)</f>
        <v>PRIMER EPOXI / EPOXIDICO</v>
      </c>
      <c r="E754" s="297" t="str">
        <f>IFERROR(VLOOKUP($C754,'24.08_ND'!$A:$D,3,0),)</f>
        <v>L</v>
      </c>
      <c r="F754" s="584">
        <v>0.2016</v>
      </c>
      <c r="G754" s="299">
        <f>IFERROR(VLOOKUP($C754,'24.08_ND'!$A:$D,4,0),)</f>
        <v>95.1</v>
      </c>
      <c r="H754" s="300">
        <f t="shared" si="29"/>
        <v>19.170000000000002</v>
      </c>
      <c r="I754" s="262"/>
      <c r="J754" s="262"/>
      <c r="K754" s="262"/>
      <c r="L754" s="262"/>
      <c r="M754" s="262"/>
      <c r="N754" s="262"/>
      <c r="O754" s="262"/>
      <c r="P754" s="262"/>
      <c r="Q754" s="262"/>
      <c r="R754" s="262"/>
      <c r="S754" s="262"/>
      <c r="T754" s="262"/>
      <c r="U754" s="262"/>
      <c r="V754" s="262"/>
      <c r="W754" s="262"/>
      <c r="X754" s="262"/>
      <c r="Y754" s="262"/>
      <c r="Z754" s="262"/>
      <c r="AA754" s="262"/>
      <c r="AB754" s="262"/>
    </row>
    <row r="755" spans="1:31" ht="12.75">
      <c r="A755" s="445" t="s">
        <v>14479</v>
      </c>
      <c r="B755" s="446" t="s">
        <v>14476</v>
      </c>
      <c r="C755" s="447">
        <v>7304</v>
      </c>
      <c r="D755" s="296" t="str">
        <f>IFERROR(VLOOKUP($C755,'24.08_ND'!$A:$D,2,0),)</f>
        <v>TINTA EPOXI BASE AGUA PREMIUM, BRANCA</v>
      </c>
      <c r="E755" s="297" t="str">
        <f>IFERROR(VLOOKUP($C755,'24.08_ND'!$A:$D,3,0),)</f>
        <v>L</v>
      </c>
      <c r="F755" s="584">
        <v>0.32200000000000001</v>
      </c>
      <c r="G755" s="299">
        <f>IFERROR(VLOOKUP($C755,'24.08_ND'!$A:$D,4,0),)</f>
        <v>63.16</v>
      </c>
      <c r="H755" s="300">
        <f t="shared" si="29"/>
        <v>20.329999999999998</v>
      </c>
      <c r="I755" s="262"/>
      <c r="J755" s="262"/>
      <c r="K755" s="262"/>
      <c r="L755" s="262"/>
      <c r="M755" s="262"/>
      <c r="N755" s="262"/>
      <c r="O755" s="262"/>
      <c r="P755" s="262"/>
      <c r="Q755" s="262"/>
      <c r="R755" s="262"/>
      <c r="S755" s="262"/>
      <c r="T755" s="262"/>
      <c r="U755" s="262"/>
      <c r="V755" s="262"/>
      <c r="W755" s="262"/>
      <c r="X755" s="262"/>
      <c r="Y755" s="262"/>
      <c r="Z755" s="262"/>
      <c r="AA755" s="262"/>
      <c r="AB755" s="262"/>
    </row>
    <row r="756" spans="1:31" ht="12.75">
      <c r="A756" s="309"/>
      <c r="B756" s="303"/>
      <c r="C756" s="303"/>
      <c r="D756" s="310"/>
      <c r="E756" s="303"/>
      <c r="F756" s="306"/>
      <c r="G756" s="307"/>
      <c r="H756" s="308"/>
      <c r="I756" s="262"/>
      <c r="J756" s="262"/>
      <c r="K756" s="262"/>
      <c r="L756" s="262"/>
      <c r="M756" s="262"/>
      <c r="N756" s="262"/>
      <c r="O756" s="262"/>
      <c r="P756" s="262"/>
      <c r="Q756" s="262"/>
      <c r="R756" s="262"/>
      <c r="S756" s="262"/>
      <c r="T756" s="262"/>
      <c r="U756" s="262"/>
      <c r="V756" s="262"/>
      <c r="W756" s="262"/>
      <c r="X756" s="262"/>
      <c r="Y756" s="262"/>
      <c r="Z756" s="262"/>
      <c r="AA756" s="262"/>
      <c r="AB756" s="262"/>
    </row>
    <row r="757" spans="1:31" ht="12.75">
      <c r="A757" s="358" t="s">
        <v>14471</v>
      </c>
      <c r="B757" s="359" t="s">
        <v>14472</v>
      </c>
      <c r="C757" s="360" t="s">
        <v>14769</v>
      </c>
      <c r="D757" s="361" t="s">
        <v>14770</v>
      </c>
      <c r="E757" s="359" t="s">
        <v>409</v>
      </c>
      <c r="F757" s="362"/>
      <c r="G757" s="362"/>
      <c r="H757" s="363">
        <f>TRUNC(SUM(H759:H762),2)</f>
        <v>3.03</v>
      </c>
      <c r="I757" s="276">
        <f>COUNTIF($C$8:$C757,C:C)</f>
        <v>1</v>
      </c>
      <c r="J757" s="262"/>
      <c r="K757" s="262"/>
      <c r="L757" s="262"/>
      <c r="M757" s="262"/>
      <c r="N757" s="262"/>
      <c r="O757" s="262"/>
      <c r="P757" s="262"/>
      <c r="Q757" s="262"/>
      <c r="R757" s="262"/>
      <c r="S757" s="262"/>
      <c r="T757" s="262"/>
      <c r="U757" s="262"/>
      <c r="V757" s="262"/>
      <c r="W757" s="262"/>
      <c r="X757" s="262"/>
      <c r="Y757" s="262"/>
      <c r="Z757" s="262"/>
      <c r="AA757" s="262"/>
      <c r="AB757" s="262"/>
    </row>
    <row r="758" spans="1:31" ht="12.75">
      <c r="A758" s="364" t="s">
        <v>14475</v>
      </c>
      <c r="B758" s="403" t="s">
        <v>14476</v>
      </c>
      <c r="C758" s="404">
        <v>102488</v>
      </c>
      <c r="D758" s="367" t="s">
        <v>14602</v>
      </c>
      <c r="E758" s="405"/>
      <c r="F758" s="369"/>
      <c r="G758" s="370"/>
      <c r="H758" s="371"/>
      <c r="I758" s="262"/>
      <c r="J758" s="262"/>
      <c r="K758" s="262"/>
      <c r="L758" s="262"/>
      <c r="M758" s="262"/>
      <c r="N758" s="262"/>
      <c r="O758" s="262"/>
      <c r="P758" s="262"/>
      <c r="Q758" s="262"/>
      <c r="R758" s="262"/>
      <c r="S758" s="262"/>
      <c r="T758" s="262"/>
      <c r="U758" s="262"/>
      <c r="V758" s="262"/>
      <c r="W758" s="262"/>
      <c r="X758" s="262"/>
      <c r="Y758" s="262"/>
      <c r="Z758" s="262"/>
      <c r="AA758" s="262"/>
      <c r="AB758" s="262"/>
    </row>
    <row r="759" spans="1:31" ht="25.5">
      <c r="A759" s="372" t="s">
        <v>14478</v>
      </c>
      <c r="B759" s="421" t="s">
        <v>14476</v>
      </c>
      <c r="C759" s="374">
        <v>88309</v>
      </c>
      <c r="D759" s="288" t="str">
        <f>IFERROR(VLOOKUP($C759,'24.08_ND'!$A:$D,2,0),)</f>
        <v>PEDREIRO COM ENCARGOS COMPLEMENTARES</v>
      </c>
      <c r="E759" s="289" t="str">
        <f>IFERROR(VLOOKUP($C759,'24.08_ND'!$A:$D,3,0),)</f>
        <v>H</v>
      </c>
      <c r="F759" s="375">
        <v>9.6000000000000002E-2</v>
      </c>
      <c r="G759" s="291">
        <f>IFERROR(VLOOKUP($C759,'24.08_ND'!$A:$D,4,0),)</f>
        <v>23.33</v>
      </c>
      <c r="H759" s="292">
        <f>TRUNC(($F759*$G759),2)</f>
        <v>2.23</v>
      </c>
      <c r="I759" s="262"/>
      <c r="J759" s="262"/>
      <c r="K759" s="262"/>
      <c r="L759" s="262"/>
      <c r="M759" s="262"/>
      <c r="N759" s="262"/>
      <c r="O759" s="262"/>
      <c r="P759" s="262"/>
      <c r="Q759" s="262"/>
      <c r="R759" s="262"/>
      <c r="S759" s="262"/>
      <c r="T759" s="262"/>
      <c r="U759" s="262"/>
      <c r="V759" s="262"/>
      <c r="W759" s="262"/>
      <c r="X759" s="262"/>
      <c r="Y759" s="262"/>
      <c r="Z759" s="262"/>
      <c r="AA759" s="262"/>
      <c r="AB759" s="262"/>
      <c r="AD759" s="1791" t="e">
        <f>VLOOKUP(C759,'Medição '!$B$16:$F$1833,6,0)</f>
        <v>#N/A</v>
      </c>
      <c r="AE759" s="1791"/>
    </row>
    <row r="760" spans="1:31" ht="25.5">
      <c r="A760" s="372" t="s">
        <v>14478</v>
      </c>
      <c r="B760" s="421" t="s">
        <v>14476</v>
      </c>
      <c r="C760" s="374">
        <v>95277</v>
      </c>
      <c r="D760" s="288" t="str">
        <f>IFERROR(VLOOKUP($C760,'24.08_ND'!$A:$D,2,0),)</f>
        <v>POLIDORA DE PISO (POLITRIZ), PESO DE 100KG, DIÂMETRO 450 MM, MOTOR ELÉTRICO, POTÊNCIA 4 HP - CHI DIURNO. AF_05/2023</v>
      </c>
      <c r="E760" s="289" t="str">
        <f>IFERROR(VLOOKUP($C760,'24.08_ND'!$A:$D,3,0),)</f>
        <v>CHI</v>
      </c>
      <c r="F760" s="375">
        <v>8.4099999999999994E-2</v>
      </c>
      <c r="G760" s="291">
        <f>IFERROR(VLOOKUP($C760,'24.08_ND'!$A:$D,4,0),)</f>
        <v>0.47</v>
      </c>
      <c r="H760" s="292">
        <f>TRUNC(($F760*$G760),2)</f>
        <v>0.03</v>
      </c>
      <c r="I760" s="262"/>
      <c r="J760" s="262"/>
      <c r="K760" s="262"/>
      <c r="L760" s="262"/>
      <c r="M760" s="262"/>
      <c r="N760" s="262"/>
      <c r="O760" s="262"/>
      <c r="P760" s="262"/>
      <c r="Q760" s="262"/>
      <c r="R760" s="262"/>
      <c r="S760" s="262"/>
      <c r="T760" s="262"/>
      <c r="U760" s="262"/>
      <c r="V760" s="262"/>
      <c r="W760" s="262"/>
      <c r="X760" s="262"/>
      <c r="Y760" s="262"/>
      <c r="Z760" s="262"/>
      <c r="AA760" s="262"/>
      <c r="AB760" s="262"/>
      <c r="AD760" s="1791" t="e">
        <f>VLOOKUP(C760,'Medição '!$B$16:$F$1833,6,0)</f>
        <v>#N/A</v>
      </c>
      <c r="AE760" s="1791"/>
    </row>
    <row r="761" spans="1:31" ht="25.5">
      <c r="A761" s="372" t="s">
        <v>14478</v>
      </c>
      <c r="B761" s="421" t="s">
        <v>14476</v>
      </c>
      <c r="C761" s="374">
        <v>95276</v>
      </c>
      <c r="D761" s="288" t="str">
        <f>IFERROR(VLOOKUP($C761,'24.08_ND'!$A:$D,2,0),)</f>
        <v>POLIDORA DE PISO (POLITRIZ), PESO DE 100KG, DIÂMETRO 450 MM, MOTOR ELÉTRICO, POTÊNCIA 4 HP - CHP DIURNO. AF_05/2023</v>
      </c>
      <c r="E761" s="289" t="str">
        <f>IFERROR(VLOOKUP($C761,'24.08_ND'!$A:$D,3,0),)</f>
        <v>CHP</v>
      </c>
      <c r="F761" s="375">
        <v>1.1900000000000001E-2</v>
      </c>
      <c r="G761" s="291">
        <f>IFERROR(VLOOKUP($C761,'24.08_ND'!$A:$D,4,0),)</f>
        <v>3.14</v>
      </c>
      <c r="H761" s="292">
        <f>TRUNC(($F761*$G761),2)</f>
        <v>0.03</v>
      </c>
      <c r="I761" s="262"/>
      <c r="J761" s="262"/>
      <c r="K761" s="262"/>
      <c r="L761" s="262"/>
      <c r="M761" s="262"/>
      <c r="N761" s="262"/>
      <c r="O761" s="262"/>
      <c r="P761" s="262"/>
      <c r="Q761" s="262"/>
      <c r="R761" s="262"/>
      <c r="S761" s="262"/>
      <c r="T761" s="262"/>
      <c r="U761" s="262"/>
      <c r="V761" s="262"/>
      <c r="W761" s="262"/>
      <c r="X761" s="262"/>
      <c r="Y761" s="262"/>
      <c r="Z761" s="262"/>
      <c r="AA761" s="262"/>
      <c r="AB761" s="262"/>
      <c r="AD761" s="1791" t="e">
        <f>VLOOKUP(C761,'Medição '!$B$16:$F$1833,6,0)</f>
        <v>#N/A</v>
      </c>
      <c r="AE761" s="1791"/>
    </row>
    <row r="762" spans="1:31" ht="25.5">
      <c r="A762" s="372" t="s">
        <v>14478</v>
      </c>
      <c r="B762" s="421" t="s">
        <v>14476</v>
      </c>
      <c r="C762" s="374">
        <v>88316</v>
      </c>
      <c r="D762" s="288" t="str">
        <f>IFERROR(VLOOKUP($C762,'24.08_ND'!$A:$D,2,0),)</f>
        <v>SERVENTE COM ENCARGOS COMPLEMENTARES</v>
      </c>
      <c r="E762" s="289" t="str">
        <f>IFERROR(VLOOKUP($C762,'24.08_ND'!$A:$D,3,0),)</f>
        <v>H</v>
      </c>
      <c r="F762" s="375">
        <v>0.04</v>
      </c>
      <c r="G762" s="291">
        <f>IFERROR(VLOOKUP($C762,'24.08_ND'!$A:$D,4,0),)</f>
        <v>18.510000000000002</v>
      </c>
      <c r="H762" s="292">
        <f>TRUNC(($F762*$G762),2)</f>
        <v>0.74</v>
      </c>
      <c r="I762" s="262"/>
      <c r="J762" s="262"/>
      <c r="K762" s="262"/>
      <c r="L762" s="262"/>
      <c r="M762" s="262"/>
      <c r="N762" s="262"/>
      <c r="O762" s="262"/>
      <c r="P762" s="262"/>
      <c r="Q762" s="262"/>
      <c r="R762" s="262"/>
      <c r="S762" s="262"/>
      <c r="T762" s="262"/>
      <c r="U762" s="262"/>
      <c r="V762" s="262"/>
      <c r="W762" s="262"/>
      <c r="X762" s="262"/>
      <c r="Y762" s="262"/>
      <c r="Z762" s="262"/>
      <c r="AA762" s="262"/>
      <c r="AB762" s="262"/>
      <c r="AD762" s="1791" t="e">
        <f>VLOOKUP(C762,'Medição '!$B$16:$F$1833,6,0)</f>
        <v>#N/A</v>
      </c>
      <c r="AE762" s="1791"/>
    </row>
    <row r="763" spans="1:31" ht="12.75">
      <c r="A763" s="309"/>
      <c r="B763" s="303"/>
      <c r="C763" s="303"/>
      <c r="D763" s="310"/>
      <c r="E763" s="303"/>
      <c r="F763" s="306"/>
      <c r="G763" s="307"/>
      <c r="H763" s="308"/>
      <c r="I763" s="262"/>
      <c r="J763" s="262"/>
      <c r="K763" s="262"/>
      <c r="L763" s="262"/>
      <c r="M763" s="262"/>
      <c r="N763" s="262"/>
      <c r="O763" s="262"/>
      <c r="P763" s="262"/>
      <c r="Q763" s="262"/>
      <c r="R763" s="262"/>
      <c r="S763" s="262"/>
      <c r="T763" s="262"/>
      <c r="U763" s="262"/>
      <c r="V763" s="262"/>
      <c r="W763" s="262"/>
      <c r="X763" s="262"/>
      <c r="Y763" s="262"/>
      <c r="Z763" s="262"/>
      <c r="AA763" s="262"/>
      <c r="AB763" s="262"/>
    </row>
    <row r="764" spans="1:31" ht="25.5">
      <c r="A764" s="358" t="s">
        <v>14471</v>
      </c>
      <c r="B764" s="359" t="s">
        <v>14472</v>
      </c>
      <c r="C764" s="360" t="s">
        <v>14771</v>
      </c>
      <c r="D764" s="361" t="s">
        <v>14772</v>
      </c>
      <c r="E764" s="359" t="s">
        <v>409</v>
      </c>
      <c r="F764" s="362"/>
      <c r="G764" s="362"/>
      <c r="H764" s="363">
        <f>SUM(H766:H775)</f>
        <v>866.86</v>
      </c>
      <c r="I764" s="276">
        <f>COUNTIF($C$8:$C764,C:C)</f>
        <v>1</v>
      </c>
      <c r="J764" s="262"/>
      <c r="K764" s="262"/>
      <c r="L764" s="262"/>
      <c r="M764" s="262"/>
      <c r="N764" s="262"/>
      <c r="O764" s="262"/>
      <c r="P764" s="262"/>
      <c r="Q764" s="262"/>
      <c r="R764" s="262"/>
      <c r="S764" s="262"/>
      <c r="T764" s="262"/>
      <c r="U764" s="262"/>
      <c r="V764" s="262"/>
      <c r="W764" s="262"/>
      <c r="X764" s="262"/>
      <c r="Y764" s="262"/>
      <c r="Z764" s="262"/>
      <c r="AA764" s="262"/>
      <c r="AB764" s="262"/>
    </row>
    <row r="765" spans="1:31" ht="12.75">
      <c r="A765" s="364" t="s">
        <v>14475</v>
      </c>
      <c r="B765" s="592" t="s">
        <v>14476</v>
      </c>
      <c r="C765" s="404">
        <v>86889</v>
      </c>
      <c r="D765" s="367" t="s">
        <v>14773</v>
      </c>
      <c r="E765" s="405"/>
      <c r="F765" s="369"/>
      <c r="G765" s="370"/>
      <c r="H765" s="371"/>
      <c r="I765" s="262"/>
      <c r="J765" s="262"/>
      <c r="K765" s="262"/>
      <c r="L765" s="262"/>
      <c r="M765" s="262"/>
      <c r="N765" s="262"/>
      <c r="O765" s="262"/>
      <c r="P765" s="262"/>
      <c r="Q765" s="262"/>
      <c r="R765" s="262"/>
      <c r="S765" s="262"/>
      <c r="T765" s="262"/>
      <c r="U765" s="262"/>
      <c r="V765" s="262"/>
      <c r="W765" s="262"/>
      <c r="X765" s="262"/>
      <c r="Y765" s="262"/>
      <c r="Z765" s="262"/>
      <c r="AA765" s="262"/>
      <c r="AB765" s="262"/>
    </row>
    <row r="766" spans="1:31" ht="25.5">
      <c r="A766" s="372" t="s">
        <v>14478</v>
      </c>
      <c r="B766" s="421" t="s">
        <v>14476</v>
      </c>
      <c r="C766" s="374">
        <v>88274</v>
      </c>
      <c r="D766" s="593" t="str">
        <f>IFERROR(VLOOKUP($C766,'24.08_ND'!$A:$D,2,0),)</f>
        <v>MARMORISTA/GRANITEIRO COM ENCARGOS COMPLEMENTARES</v>
      </c>
      <c r="E766" s="594" t="str">
        <f>IFERROR(VLOOKUP($C766,'24.08_ND'!$A:$D,3,0),)</f>
        <v>H</v>
      </c>
      <c r="F766" s="375">
        <v>0.37</v>
      </c>
      <c r="G766" s="595">
        <f>IFERROR(VLOOKUP($C766,'24.08_ND'!$A:$D,4,0),)</f>
        <v>23.2</v>
      </c>
      <c r="H766" s="440">
        <f t="shared" ref="H766:H774" si="30">TRUNC(($F766*$G766),2)</f>
        <v>8.58</v>
      </c>
      <c r="I766" s="262"/>
      <c r="J766" s="262"/>
      <c r="K766" s="262"/>
      <c r="L766" s="262"/>
      <c r="M766" s="262"/>
      <c r="N766" s="262"/>
      <c r="O766" s="262"/>
      <c r="P766" s="262"/>
      <c r="Q766" s="262"/>
      <c r="R766" s="262"/>
      <c r="S766" s="262"/>
      <c r="T766" s="262"/>
      <c r="U766" s="262"/>
      <c r="V766" s="262"/>
      <c r="W766" s="262"/>
      <c r="X766" s="262"/>
      <c r="Y766" s="262"/>
      <c r="Z766" s="262"/>
      <c r="AA766" s="262"/>
      <c r="AB766" s="262"/>
      <c r="AD766" s="1791" t="e">
        <f>VLOOKUP(C766,'Medição '!$B$16:$F$1833,6,0)</f>
        <v>#N/A</v>
      </c>
      <c r="AE766" s="1791"/>
    </row>
    <row r="767" spans="1:31" ht="25.5">
      <c r="A767" s="372" t="s">
        <v>14478</v>
      </c>
      <c r="B767" s="421" t="s">
        <v>14476</v>
      </c>
      <c r="C767" s="374">
        <v>88316</v>
      </c>
      <c r="D767" s="593" t="str">
        <f>IFERROR(VLOOKUP($C767,'24.08_ND'!$A:$D,2,0),)</f>
        <v>SERVENTE COM ENCARGOS COMPLEMENTARES</v>
      </c>
      <c r="E767" s="594" t="str">
        <f>IFERROR(VLOOKUP($C767,'24.08_ND'!$A:$D,3,0),)</f>
        <v>H</v>
      </c>
      <c r="F767" s="375">
        <v>0.74</v>
      </c>
      <c r="G767" s="595">
        <f>IFERROR(VLOOKUP($C767,'24.08_ND'!$A:$D,4,0),)</f>
        <v>18.510000000000002</v>
      </c>
      <c r="H767" s="440">
        <f t="shared" si="30"/>
        <v>13.69</v>
      </c>
      <c r="I767" s="262"/>
      <c r="J767" s="262"/>
      <c r="K767" s="262"/>
      <c r="L767" s="262"/>
      <c r="M767" s="262"/>
      <c r="N767" s="262"/>
      <c r="O767" s="262"/>
      <c r="P767" s="262"/>
      <c r="Q767" s="262"/>
      <c r="R767" s="262"/>
      <c r="S767" s="262"/>
      <c r="T767" s="262"/>
      <c r="U767" s="262"/>
      <c r="V767" s="262"/>
      <c r="W767" s="262"/>
      <c r="X767" s="262"/>
      <c r="Y767" s="262"/>
      <c r="Z767" s="262"/>
      <c r="AA767" s="262"/>
      <c r="AB767" s="262"/>
      <c r="AD767" s="1791" t="e">
        <f>VLOOKUP(C767,'Medição '!$B$16:$F$1833,6,0)</f>
        <v>#N/A</v>
      </c>
      <c r="AE767" s="1791"/>
    </row>
    <row r="768" spans="1:31" ht="25.5">
      <c r="A768" s="372" t="s">
        <v>14478</v>
      </c>
      <c r="B768" s="421" t="s">
        <v>14476</v>
      </c>
      <c r="C768" s="374">
        <v>91692</v>
      </c>
      <c r="D768" s="593" t="str">
        <f>IFERROR(VLOOKUP($C768,'24.08_ND'!$A:$D,2,0),)</f>
        <v>SERRA CIRCULAR DE BANCADA COM MOTOR ELÉTRICO POTÊNCIA DE 5HP, COM COIFA PARA DISCO 10" - CHP DIURNO. AF_08/2015</v>
      </c>
      <c r="E768" s="594" t="str">
        <f>IFERROR(VLOOKUP($C768,'24.08_ND'!$A:$D,3,0),)</f>
        <v>CHP</v>
      </c>
      <c r="F768" s="375">
        <v>0.83340000000000003</v>
      </c>
      <c r="G768" s="595">
        <f>IFERROR(VLOOKUP($C768,'24.08_ND'!$A:$D,4,0),)</f>
        <v>21.22</v>
      </c>
      <c r="H768" s="440">
        <f t="shared" si="30"/>
        <v>17.68</v>
      </c>
      <c r="I768" s="262"/>
      <c r="J768" s="262"/>
      <c r="K768" s="262"/>
      <c r="L768" s="262"/>
      <c r="M768" s="262"/>
      <c r="N768" s="262"/>
      <c r="O768" s="262"/>
      <c r="P768" s="262"/>
      <c r="Q768" s="262"/>
      <c r="R768" s="262"/>
      <c r="S768" s="262"/>
      <c r="T768" s="262"/>
      <c r="U768" s="262"/>
      <c r="V768" s="262"/>
      <c r="W768" s="262"/>
      <c r="X768" s="262"/>
      <c r="Y768" s="262"/>
      <c r="Z768" s="262"/>
      <c r="AA768" s="262"/>
      <c r="AB768" s="262"/>
      <c r="AD768" s="1791" t="e">
        <f>VLOOKUP(C768,'Medição '!$B$16:$F$1833,6,0)</f>
        <v>#N/A</v>
      </c>
      <c r="AE768" s="1791"/>
    </row>
    <row r="769" spans="1:31" ht="25.5">
      <c r="A769" s="372" t="s">
        <v>14478</v>
      </c>
      <c r="B769" s="421" t="s">
        <v>14476</v>
      </c>
      <c r="C769" s="374">
        <v>91693</v>
      </c>
      <c r="D769" s="593" t="str">
        <f>IFERROR(VLOOKUP($C769,'24.08_ND'!$A:$D,2,0),)</f>
        <v>SERRA CIRCULAR DE BANCADA COM MOTOR ELÉTRICO POTÊNCIA DE 5HP, COM COIFA PARA DISCO 10" - CHI DIURNO. AF_08/2015</v>
      </c>
      <c r="E769" s="594" t="str">
        <f>IFERROR(VLOOKUP($C769,'24.08_ND'!$A:$D,3,0),)</f>
        <v>CHI</v>
      </c>
      <c r="F769" s="375">
        <v>5.6426999999999998E-2</v>
      </c>
      <c r="G769" s="595">
        <f>IFERROR(VLOOKUP($C769,'24.08_ND'!$A:$D,4,0),)</f>
        <v>19.899999999999999</v>
      </c>
      <c r="H769" s="440">
        <f t="shared" si="30"/>
        <v>1.1200000000000001</v>
      </c>
      <c r="I769" s="262"/>
      <c r="J769" s="262"/>
      <c r="K769" s="262"/>
      <c r="L769" s="262"/>
      <c r="M769" s="262"/>
      <c r="N769" s="262"/>
      <c r="O769" s="262"/>
      <c r="P769" s="262"/>
      <c r="Q769" s="262"/>
      <c r="R769" s="262"/>
      <c r="S769" s="262"/>
      <c r="T769" s="262"/>
      <c r="U769" s="262"/>
      <c r="V769" s="262"/>
      <c r="W769" s="262"/>
      <c r="X769" s="262"/>
      <c r="Y769" s="262"/>
      <c r="Z769" s="262"/>
      <c r="AA769" s="262"/>
      <c r="AB769" s="262"/>
      <c r="AD769" s="1791" t="e">
        <f>VLOOKUP(C769,'Medição '!$B$16:$F$1833,6,0)</f>
        <v>#N/A</v>
      </c>
      <c r="AE769" s="1791"/>
    </row>
    <row r="770" spans="1:31" ht="12.75">
      <c r="A770" s="581" t="s">
        <v>14479</v>
      </c>
      <c r="B770" s="582" t="s">
        <v>14476</v>
      </c>
      <c r="C770" s="447">
        <v>37596</v>
      </c>
      <c r="D770" s="596" t="str">
        <f>IFERROR(VLOOKUP($C770,'24.08_ND'!$A:$D,2,0),)</f>
        <v>ARGAMASSA COLANTE TIPO AC III E</v>
      </c>
      <c r="E770" s="597" t="str">
        <f>IFERROR(VLOOKUP($C770,'24.08_ND'!$A:$D,3,0),)</f>
        <v>KG</v>
      </c>
      <c r="F770" s="385">
        <v>5.4</v>
      </c>
      <c r="G770" s="598">
        <f>IFERROR(VLOOKUP($C770,'24.08_ND'!$A:$D,4,0),)</f>
        <v>3.85</v>
      </c>
      <c r="H770" s="449">
        <f t="shared" si="30"/>
        <v>20.79</v>
      </c>
      <c r="I770" s="262"/>
      <c r="J770" s="262"/>
      <c r="K770" s="262"/>
      <c r="L770" s="262"/>
      <c r="M770" s="262"/>
      <c r="N770" s="262"/>
      <c r="O770" s="262"/>
      <c r="P770" s="262"/>
      <c r="Q770" s="262"/>
      <c r="R770" s="262"/>
      <c r="S770" s="262"/>
      <c r="T770" s="262"/>
      <c r="U770" s="262"/>
      <c r="V770" s="262"/>
      <c r="W770" s="262"/>
      <c r="X770" s="262"/>
      <c r="Y770" s="262"/>
      <c r="Z770" s="262"/>
      <c r="AA770" s="262"/>
      <c r="AB770" s="262"/>
    </row>
    <row r="771" spans="1:31" ht="25.5">
      <c r="A771" s="581" t="s">
        <v>14479</v>
      </c>
      <c r="B771" s="582" t="s">
        <v>14476</v>
      </c>
      <c r="C771" s="447">
        <v>131</v>
      </c>
      <c r="D771" s="596" t="str">
        <f>IFERROR(VLOOKUP($C771,'24.08_ND'!$A:$D,2,0),)</f>
        <v>ADESIVO ESTRUTURAL A BASE DE RESINA EPOXI, BICOMPONENTE, PASTOSO (TIXOTROPICO)</v>
      </c>
      <c r="E771" s="597" t="str">
        <f>IFERROR(VLOOKUP($C771,'24.08_ND'!$A:$D,3,0),)</f>
        <v>KG</v>
      </c>
      <c r="F771" s="385">
        <v>1.05</v>
      </c>
      <c r="G771" s="598">
        <f>IFERROR(VLOOKUP($C771,'24.08_ND'!$A:$D,4,0),)</f>
        <v>45.21</v>
      </c>
      <c r="H771" s="449">
        <f t="shared" si="30"/>
        <v>47.47</v>
      </c>
      <c r="I771" s="262"/>
      <c r="J771" s="262"/>
      <c r="K771" s="262"/>
      <c r="L771" s="262"/>
      <c r="M771" s="262"/>
      <c r="N771" s="262"/>
      <c r="O771" s="262"/>
      <c r="P771" s="262"/>
      <c r="Q771" s="262"/>
      <c r="R771" s="262"/>
      <c r="S771" s="262"/>
      <c r="T771" s="262"/>
      <c r="U771" s="262"/>
      <c r="V771" s="262"/>
      <c r="W771" s="262"/>
      <c r="X771" s="262"/>
      <c r="Y771" s="262"/>
      <c r="Z771" s="262"/>
      <c r="AA771" s="262"/>
      <c r="AB771" s="262"/>
    </row>
    <row r="772" spans="1:31" ht="12.75">
      <c r="A772" s="581" t="s">
        <v>14479</v>
      </c>
      <c r="B772" s="582" t="s">
        <v>14476</v>
      </c>
      <c r="C772" s="447">
        <v>39961</v>
      </c>
      <c r="D772" s="596" t="str">
        <f>IFERROR(VLOOKUP($C772,'24.08_ND'!$A:$D,2,0),)</f>
        <v>SILICONE ACETICO USO GERAL INCOLOR 280 G</v>
      </c>
      <c r="E772" s="597" t="str">
        <f>IFERROR(VLOOKUP($C772,'24.08_ND'!$A:$D,3,0),)</f>
        <v>UN</v>
      </c>
      <c r="F772" s="385">
        <v>1.673</v>
      </c>
      <c r="G772" s="598">
        <f>IFERROR(VLOOKUP($C772,'24.08_ND'!$A:$D,4,0),)</f>
        <v>22.6</v>
      </c>
      <c r="H772" s="449">
        <f t="shared" si="30"/>
        <v>37.799999999999997</v>
      </c>
      <c r="I772" s="262"/>
      <c r="J772" s="262"/>
      <c r="K772" s="262"/>
      <c r="L772" s="262"/>
      <c r="M772" s="262"/>
      <c r="N772" s="262"/>
      <c r="O772" s="262"/>
      <c r="P772" s="262"/>
      <c r="Q772" s="262"/>
      <c r="R772" s="262"/>
      <c r="S772" s="262"/>
      <c r="T772" s="262"/>
      <c r="U772" s="262"/>
      <c r="V772" s="262"/>
      <c r="W772" s="262"/>
      <c r="X772" s="262"/>
      <c r="Y772" s="262"/>
      <c r="Z772" s="262"/>
      <c r="AA772" s="262"/>
      <c r="AB772" s="262"/>
    </row>
    <row r="773" spans="1:31" ht="25.5">
      <c r="A773" s="581" t="s">
        <v>14479</v>
      </c>
      <c r="B773" s="582" t="s">
        <v>14476</v>
      </c>
      <c r="C773" s="447">
        <v>142</v>
      </c>
      <c r="D773" s="596" t="str">
        <f>IFERROR(VLOOKUP($C773,'24.08_ND'!$A:$D,2,0),)</f>
        <v>SELANTE ELASTICO MONOCOMPONENTE A BASE DE POLIURETANO (PU) PARA JUNTAS DIVERSAS</v>
      </c>
      <c r="E773" s="597" t="str">
        <f>IFERROR(VLOOKUP($C773,'24.08_ND'!$A:$D,3,0),)</f>
        <v>310ML</v>
      </c>
      <c r="F773" s="385">
        <v>1.1499999999999999</v>
      </c>
      <c r="G773" s="598">
        <f>IFERROR(VLOOKUP($C773,'24.08_ND'!$A:$D,4,0),)</f>
        <v>34.200000000000003</v>
      </c>
      <c r="H773" s="449">
        <f t="shared" si="30"/>
        <v>39.33</v>
      </c>
      <c r="I773" s="262"/>
      <c r="J773" s="262"/>
      <c r="K773" s="262"/>
      <c r="L773" s="262"/>
      <c r="M773" s="262"/>
      <c r="N773" s="262"/>
      <c r="O773" s="262"/>
      <c r="P773" s="262"/>
      <c r="Q773" s="262"/>
      <c r="R773" s="262"/>
      <c r="S773" s="262"/>
      <c r="T773" s="262"/>
      <c r="U773" s="262"/>
      <c r="V773" s="262"/>
      <c r="W773" s="262"/>
      <c r="X773" s="262"/>
      <c r="Y773" s="262"/>
      <c r="Z773" s="262"/>
      <c r="AA773" s="262"/>
      <c r="AB773" s="262"/>
    </row>
    <row r="774" spans="1:31" ht="12.75">
      <c r="A774" s="581" t="s">
        <v>14479</v>
      </c>
      <c r="B774" s="582" t="s">
        <v>14476</v>
      </c>
      <c r="C774" s="447">
        <v>43082</v>
      </c>
      <c r="D774" s="596" t="str">
        <f>IFERROR(VLOOKUP($C774,'24.08_ND'!$A:$D,2,0),)</f>
        <v>PERFIL "I" OU "W" EM ACO LAMINADO, QUAISQUER DIMENSOES</v>
      </c>
      <c r="E774" s="597" t="str">
        <f>IFERROR(VLOOKUP($C774,'24.08_ND'!$A:$D,3,0),)</f>
        <v>KG</v>
      </c>
      <c r="F774" s="385">
        <v>5.6879999999999997</v>
      </c>
      <c r="G774" s="598">
        <f>IFERROR(VLOOKUP($C774,'24.08_ND'!$A:$D,4,0),)</f>
        <v>9.11</v>
      </c>
      <c r="H774" s="449">
        <f t="shared" si="30"/>
        <v>51.81</v>
      </c>
      <c r="I774" s="262"/>
      <c r="J774" s="262"/>
      <c r="K774" s="262"/>
      <c r="L774" s="262"/>
      <c r="M774" s="262"/>
      <c r="N774" s="262"/>
      <c r="O774" s="262"/>
      <c r="P774" s="262"/>
      <c r="Q774" s="262"/>
      <c r="R774" s="262"/>
      <c r="S774" s="262"/>
      <c r="T774" s="262"/>
      <c r="U774" s="262"/>
      <c r="V774" s="262"/>
      <c r="W774" s="262"/>
      <c r="X774" s="262"/>
      <c r="Y774" s="262"/>
      <c r="Z774" s="262"/>
      <c r="AA774" s="262"/>
      <c r="AB774" s="262"/>
    </row>
    <row r="775" spans="1:31" ht="12.75">
      <c r="A775" s="599" t="s">
        <v>14479</v>
      </c>
      <c r="B775" s="600" t="s">
        <v>14491</v>
      </c>
      <c r="C775" s="600" t="s">
        <v>14774</v>
      </c>
      <c r="D775" s="601" t="str">
        <f>VLOOKUP($C775,'09 - MC'!$A:$F,2,0)</f>
        <v>GRANITO BRANCO ITAÚNAS - LEVIGADO</v>
      </c>
      <c r="E775" s="602" t="str">
        <f>VLOOKUP($C775,'09 - MC'!$A:$F,3,0)</f>
        <v>M2</v>
      </c>
      <c r="F775" s="603">
        <v>1</v>
      </c>
      <c r="G775" s="604">
        <f>VLOOKUP($C775,'09 - MC'!$A:$F,6,0)</f>
        <v>628.59</v>
      </c>
      <c r="H775" s="605">
        <f>TRUNC(G775*F775,2)</f>
        <v>628.59</v>
      </c>
      <c r="I775" s="262"/>
      <c r="J775" s="262"/>
      <c r="K775" s="262"/>
      <c r="L775" s="262"/>
      <c r="M775" s="262"/>
      <c r="N775" s="262"/>
      <c r="O775" s="262"/>
      <c r="P775" s="262"/>
      <c r="Q775" s="262"/>
      <c r="R775" s="262"/>
      <c r="S775" s="262"/>
      <c r="T775" s="262"/>
      <c r="U775" s="262"/>
      <c r="V775" s="262"/>
      <c r="W775" s="262"/>
      <c r="X775" s="262"/>
      <c r="Y775" s="262"/>
      <c r="Z775" s="262"/>
      <c r="AA775" s="262"/>
      <c r="AB775" s="262"/>
    </row>
    <row r="776" spans="1:31" ht="12.75">
      <c r="A776" s="309"/>
      <c r="B776" s="303"/>
      <c r="C776" s="303"/>
      <c r="D776" s="310"/>
      <c r="E776" s="303"/>
      <c r="F776" s="306"/>
      <c r="G776" s="307"/>
      <c r="H776" s="308"/>
      <c r="I776" s="262"/>
      <c r="J776" s="262"/>
      <c r="K776" s="262"/>
      <c r="L776" s="262"/>
      <c r="M776" s="262"/>
      <c r="N776" s="262"/>
      <c r="O776" s="262"/>
      <c r="P776" s="262"/>
      <c r="Q776" s="262"/>
      <c r="R776" s="262"/>
      <c r="S776" s="262"/>
      <c r="T776" s="262"/>
      <c r="U776" s="262"/>
      <c r="V776" s="262"/>
      <c r="W776" s="262"/>
      <c r="X776" s="262"/>
      <c r="Y776" s="262"/>
      <c r="Z776" s="262"/>
      <c r="AA776" s="262"/>
      <c r="AB776" s="262"/>
    </row>
    <row r="777" spans="1:31" ht="25.5">
      <c r="A777" s="358" t="s">
        <v>14471</v>
      </c>
      <c r="B777" s="359" t="s">
        <v>14472</v>
      </c>
      <c r="C777" s="360" t="s">
        <v>14775</v>
      </c>
      <c r="D777" s="361" t="s">
        <v>14776</v>
      </c>
      <c r="E777" s="359" t="s">
        <v>409</v>
      </c>
      <c r="F777" s="362"/>
      <c r="G777" s="362"/>
      <c r="H777" s="363">
        <f>SUM(H779:H789)</f>
        <v>150.83999999999997</v>
      </c>
      <c r="I777" s="276">
        <f>COUNTIF($C$8:$C777,C:C)</f>
        <v>1</v>
      </c>
      <c r="J777" s="262"/>
      <c r="K777" s="262"/>
      <c r="L777" s="262"/>
      <c r="M777" s="262"/>
      <c r="N777" s="262"/>
      <c r="O777" s="262"/>
      <c r="P777" s="262"/>
      <c r="Q777" s="262"/>
      <c r="R777" s="262"/>
      <c r="S777" s="262"/>
      <c r="T777" s="262"/>
      <c r="U777" s="262"/>
      <c r="V777" s="262"/>
      <c r="W777" s="262"/>
      <c r="X777" s="262"/>
      <c r="Y777" s="262"/>
      <c r="Z777" s="262"/>
      <c r="AA777" s="262"/>
      <c r="AB777" s="262"/>
    </row>
    <row r="778" spans="1:31" ht="12.75">
      <c r="A778" s="364" t="s">
        <v>14475</v>
      </c>
      <c r="B778" s="592" t="s">
        <v>14476</v>
      </c>
      <c r="C778" s="404">
        <v>104162</v>
      </c>
      <c r="D778" s="367" t="s">
        <v>14602</v>
      </c>
      <c r="E778" s="405"/>
      <c r="F778" s="369"/>
      <c r="G778" s="370"/>
      <c r="H778" s="371"/>
      <c r="I778" s="262"/>
      <c r="J778" s="262"/>
      <c r="K778" s="262"/>
      <c r="L778" s="262"/>
      <c r="M778" s="262"/>
      <c r="N778" s="262"/>
      <c r="O778" s="262"/>
      <c r="P778" s="262"/>
      <c r="Q778" s="262"/>
      <c r="R778" s="262"/>
      <c r="S778" s="262"/>
      <c r="T778" s="262"/>
      <c r="U778" s="262"/>
      <c r="V778" s="262"/>
      <c r="W778" s="262"/>
      <c r="X778" s="262"/>
      <c r="Y778" s="262"/>
      <c r="Z778" s="262"/>
      <c r="AA778" s="262"/>
      <c r="AB778" s="262"/>
    </row>
    <row r="779" spans="1:31" ht="25.5">
      <c r="A779" s="372" t="s">
        <v>14478</v>
      </c>
      <c r="B779" s="421" t="s">
        <v>14476</v>
      </c>
      <c r="C779" s="374">
        <v>89226</v>
      </c>
      <c r="D779" s="288" t="str">
        <f>IFERROR(VLOOKUP($C779,'24.08_ND'!$A:$D,2,0),)</f>
        <v>BETONEIRA CAPACIDADE NOMINAL DE 600 L, CAPACIDADE DE MISTURA 360 L, MOTOR ELÉTRICO TRIFÁSICO POTÊNCIA DE 4 CV, SEM CARREGADOR - CHI DIURNO. AF_05/2023</v>
      </c>
      <c r="E779" s="289" t="str">
        <f>IFERROR(VLOOKUP($C779,'24.08_ND'!$A:$D,3,0),)</f>
        <v>CHI</v>
      </c>
      <c r="F779" s="375">
        <v>7.5899999999999995E-2</v>
      </c>
      <c r="G779" s="291">
        <f>IFERROR(VLOOKUP($C779,'24.08_ND'!$A:$D,4,0),)</f>
        <v>1.43</v>
      </c>
      <c r="H779" s="292">
        <f t="shared" ref="H779:H789" si="31">TRUNC(($F779*$G779),2)</f>
        <v>0.1</v>
      </c>
      <c r="I779" s="262"/>
      <c r="J779" s="262"/>
      <c r="K779" s="262"/>
      <c r="L779" s="262"/>
      <c r="M779" s="262"/>
      <c r="N779" s="262"/>
      <c r="O779" s="262"/>
      <c r="P779" s="262"/>
      <c r="Q779" s="262"/>
      <c r="R779" s="262"/>
      <c r="S779" s="262"/>
      <c r="T779" s="262"/>
      <c r="U779" s="262"/>
      <c r="V779" s="262"/>
      <c r="W779" s="262"/>
      <c r="X779" s="262"/>
      <c r="Y779" s="262"/>
      <c r="Z779" s="262"/>
      <c r="AA779" s="262"/>
      <c r="AB779" s="262"/>
      <c r="AD779" s="1791" t="e">
        <f>VLOOKUP(C779,'Medição '!$B$16:$F$1833,6,0)</f>
        <v>#N/A</v>
      </c>
      <c r="AE779" s="1791"/>
    </row>
    <row r="780" spans="1:31" ht="25.5">
      <c r="A780" s="372" t="s">
        <v>14478</v>
      </c>
      <c r="B780" s="421" t="s">
        <v>14476</v>
      </c>
      <c r="C780" s="374">
        <v>89225</v>
      </c>
      <c r="D780" s="288" t="str">
        <f>IFERROR(VLOOKUP($C780,'24.08_ND'!$A:$D,2,0),)</f>
        <v>BETONEIRA CAPACIDADE NOMINAL DE 600 L, CAPACIDADE DE MISTURA 360 L, MOTOR ELÉTRICO TRIFÁSICO POTÊNCIA DE 4 CV, SEM CARREGADOR - CHP DIURNO. AF_05/2023</v>
      </c>
      <c r="E780" s="289" t="str">
        <f>IFERROR(VLOOKUP($C780,'24.08_ND'!$A:$D,3,0),)</f>
        <v>CHP</v>
      </c>
      <c r="F780" s="375">
        <v>2.5399999999999999E-2</v>
      </c>
      <c r="G780" s="291">
        <f>IFERROR(VLOOKUP($C780,'24.08_ND'!$A:$D,4,0),)</f>
        <v>5.09</v>
      </c>
      <c r="H780" s="292">
        <f t="shared" si="31"/>
        <v>0.12</v>
      </c>
      <c r="I780" s="262"/>
      <c r="J780" s="262"/>
      <c r="K780" s="262"/>
      <c r="L780" s="262"/>
      <c r="M780" s="262"/>
      <c r="N780" s="262"/>
      <c r="O780" s="262"/>
      <c r="P780" s="262"/>
      <c r="Q780" s="262"/>
      <c r="R780" s="262"/>
      <c r="S780" s="262"/>
      <c r="T780" s="262"/>
      <c r="U780" s="262"/>
      <c r="V780" s="262"/>
      <c r="W780" s="262"/>
      <c r="X780" s="262"/>
      <c r="Y780" s="262"/>
      <c r="Z780" s="262"/>
      <c r="AA780" s="262"/>
      <c r="AB780" s="262"/>
      <c r="AD780" s="1791" t="e">
        <f>VLOOKUP(C780,'Medição '!$B$16:$F$1833,6,0)</f>
        <v>#N/A</v>
      </c>
      <c r="AE780" s="1791"/>
    </row>
    <row r="781" spans="1:31" ht="25.5">
      <c r="A781" s="372" t="s">
        <v>14478</v>
      </c>
      <c r="B781" s="421" t="s">
        <v>14476</v>
      </c>
      <c r="C781" s="374">
        <v>88274</v>
      </c>
      <c r="D781" s="288" t="str">
        <f>IFERROR(VLOOKUP($C781,'24.08_ND'!$A:$D,2,0),)</f>
        <v>MARMORISTA/GRANITEIRO COM ENCARGOS COMPLEMENTARES</v>
      </c>
      <c r="E781" s="289" t="str">
        <f>IFERROR(VLOOKUP($C781,'24.08_ND'!$A:$D,3,0),)</f>
        <v>H</v>
      </c>
      <c r="F781" s="375">
        <v>1.0955999999999999</v>
      </c>
      <c r="G781" s="291">
        <f>IFERROR(VLOOKUP($C781,'24.08_ND'!$A:$D,4,0),)</f>
        <v>23.2</v>
      </c>
      <c r="H781" s="292">
        <f t="shared" si="31"/>
        <v>25.41</v>
      </c>
      <c r="I781" s="262"/>
      <c r="J781" s="262"/>
      <c r="K781" s="262"/>
      <c r="L781" s="262"/>
      <c r="M781" s="262"/>
      <c r="N781" s="262"/>
      <c r="O781" s="262"/>
      <c r="P781" s="262"/>
      <c r="Q781" s="262"/>
      <c r="R781" s="262"/>
      <c r="S781" s="262"/>
      <c r="T781" s="262"/>
      <c r="U781" s="262"/>
      <c r="V781" s="262"/>
      <c r="W781" s="262"/>
      <c r="X781" s="262"/>
      <c r="Y781" s="262"/>
      <c r="Z781" s="262"/>
      <c r="AA781" s="262"/>
      <c r="AB781" s="262"/>
      <c r="AD781" s="1791" t="e">
        <f>VLOOKUP(C781,'Medição '!$B$16:$F$1833,6,0)</f>
        <v>#N/A</v>
      </c>
      <c r="AE781" s="1791"/>
    </row>
    <row r="782" spans="1:31" ht="25.5">
      <c r="A782" s="372" t="s">
        <v>14478</v>
      </c>
      <c r="B782" s="421" t="s">
        <v>14476</v>
      </c>
      <c r="C782" s="374">
        <v>88316</v>
      </c>
      <c r="D782" s="288" t="str">
        <f>IFERROR(VLOOKUP($C782,'24.08_ND'!$A:$D,2,0),)</f>
        <v>SERVENTE COM ENCARGOS COMPLEMENTARES</v>
      </c>
      <c r="E782" s="289" t="str">
        <f>IFERROR(VLOOKUP($C782,'24.08_ND'!$A:$D,3,0),)</f>
        <v>H</v>
      </c>
      <c r="F782" s="375">
        <v>0.49719999999999998</v>
      </c>
      <c r="G782" s="291">
        <f>IFERROR(VLOOKUP($C782,'24.08_ND'!$A:$D,4,0),)</f>
        <v>18.510000000000002</v>
      </c>
      <c r="H782" s="292">
        <f t="shared" si="31"/>
        <v>9.1999999999999993</v>
      </c>
      <c r="I782" s="262"/>
      <c r="J782" s="262"/>
      <c r="K782" s="262"/>
      <c r="L782" s="262"/>
      <c r="M782" s="262"/>
      <c r="N782" s="262"/>
      <c r="O782" s="262"/>
      <c r="P782" s="262"/>
      <c r="Q782" s="262"/>
      <c r="R782" s="262"/>
      <c r="S782" s="262"/>
      <c r="T782" s="262"/>
      <c r="U782" s="262"/>
      <c r="V782" s="262"/>
      <c r="W782" s="262"/>
      <c r="X782" s="262"/>
      <c r="Y782" s="262"/>
      <c r="Z782" s="262"/>
      <c r="AA782" s="262"/>
      <c r="AB782" s="262"/>
      <c r="AD782" s="1791" t="e">
        <f>VLOOKUP(C782,'Medição '!$B$16:$F$1833,6,0)</f>
        <v>#N/A</v>
      </c>
      <c r="AE782" s="1791"/>
    </row>
    <row r="783" spans="1:31" ht="25.5">
      <c r="A783" s="581" t="s">
        <v>14479</v>
      </c>
      <c r="B783" s="582" t="s">
        <v>14476</v>
      </c>
      <c r="C783" s="447">
        <v>38413</v>
      </c>
      <c r="D783" s="596" t="str">
        <f>IFERROR(VLOOKUP($C783,'24.08_ND'!$A:$D,2,0),)</f>
        <v>LIXADEIRA ELETRICA ANGULAR, PARA DISCO DE 7" (180 MM), POTENCIA DE 2.200 W, *5.000* RPM, 220 V</v>
      </c>
      <c r="E783" s="597" t="str">
        <f>IFERROR(VLOOKUP($C783,'24.08_ND'!$A:$D,3,0),)</f>
        <v>UN</v>
      </c>
      <c r="F783" s="385">
        <v>2.5000000000000001E-2</v>
      </c>
      <c r="G783" s="598">
        <f>IFERROR(VLOOKUP($C783,'24.08_ND'!$A:$D,4,0),)</f>
        <v>986.19</v>
      </c>
      <c r="H783" s="449">
        <f t="shared" si="31"/>
        <v>24.65</v>
      </c>
      <c r="I783" s="262"/>
      <c r="J783" s="262"/>
      <c r="K783" s="262"/>
      <c r="L783" s="262"/>
      <c r="M783" s="262"/>
      <c r="N783" s="262"/>
      <c r="O783" s="262"/>
      <c r="P783" s="262"/>
      <c r="Q783" s="262"/>
      <c r="R783" s="262"/>
      <c r="S783" s="262"/>
      <c r="T783" s="262"/>
      <c r="U783" s="262"/>
      <c r="V783" s="262"/>
      <c r="W783" s="262"/>
      <c r="X783" s="262"/>
      <c r="Y783" s="262"/>
      <c r="Z783" s="262"/>
      <c r="AA783" s="262"/>
      <c r="AB783" s="262"/>
    </row>
    <row r="784" spans="1:31" ht="12.75">
      <c r="A784" s="581" t="s">
        <v>14479</v>
      </c>
      <c r="B784" s="582" t="s">
        <v>14476</v>
      </c>
      <c r="C784" s="447">
        <v>2705</v>
      </c>
      <c r="D784" s="596" t="str">
        <f>IFERROR(VLOOKUP($C784,'24.08_ND'!$A:$D,2,0),)</f>
        <v>ENERGIA ELETRICA ATE 2000 KWH INDUSTRIAL, SEM DEMANDA</v>
      </c>
      <c r="E784" s="597" t="str">
        <f>IFERROR(VLOOKUP($C784,'24.08_ND'!$A:$D,3,0),)</f>
        <v>KWH</v>
      </c>
      <c r="F784" s="385">
        <f>1.64*F783</f>
        <v>4.1000000000000002E-2</v>
      </c>
      <c r="G784" s="598">
        <f>IFERROR(VLOOKUP($C784,'24.08_ND'!$A:$D,4,0),)</f>
        <v>0.92</v>
      </c>
      <c r="H784" s="449">
        <f t="shared" si="31"/>
        <v>0.03</v>
      </c>
      <c r="I784" s="262"/>
      <c r="J784" s="262"/>
      <c r="K784" s="262"/>
      <c r="L784" s="262"/>
      <c r="M784" s="262"/>
      <c r="N784" s="262"/>
      <c r="O784" s="262"/>
      <c r="P784" s="262"/>
      <c r="Q784" s="262"/>
      <c r="R784" s="262"/>
      <c r="S784" s="262"/>
      <c r="T784" s="262"/>
      <c r="U784" s="262"/>
      <c r="V784" s="262"/>
      <c r="W784" s="262"/>
      <c r="X784" s="262"/>
      <c r="Y784" s="262"/>
      <c r="Z784" s="262"/>
      <c r="AA784" s="262"/>
      <c r="AB784" s="262"/>
    </row>
    <row r="785" spans="1:31" ht="12.75">
      <c r="A785" s="581" t="s">
        <v>14479</v>
      </c>
      <c r="B785" s="582" t="s">
        <v>14476</v>
      </c>
      <c r="C785" s="447">
        <v>41967</v>
      </c>
      <c r="D785" s="596" t="str">
        <f>IFERROR(VLOOKUP($C785,'24.08_ND'!$A:$D,2,0),)</f>
        <v>CERA LIQUIDA INCOLOR MULTIPISO</v>
      </c>
      <c r="E785" s="597" t="str">
        <f>IFERROR(VLOOKUP($C785,'24.08_ND'!$A:$D,3,0),)</f>
        <v>L</v>
      </c>
      <c r="F785" s="385">
        <v>3.2500000000000001E-2</v>
      </c>
      <c r="G785" s="598">
        <f>IFERROR(VLOOKUP($C785,'24.08_ND'!$A:$D,4,0),)</f>
        <v>19.25</v>
      </c>
      <c r="H785" s="449">
        <f t="shared" si="31"/>
        <v>0.62</v>
      </c>
      <c r="I785" s="262"/>
      <c r="J785" s="262"/>
      <c r="K785" s="262"/>
      <c r="L785" s="262"/>
      <c r="M785" s="262"/>
      <c r="N785" s="262"/>
      <c r="O785" s="262"/>
      <c r="P785" s="262"/>
      <c r="Q785" s="262"/>
      <c r="R785" s="262"/>
      <c r="S785" s="262"/>
      <c r="T785" s="262"/>
      <c r="U785" s="262"/>
      <c r="V785" s="262"/>
      <c r="W785" s="262"/>
      <c r="X785" s="262"/>
      <c r="Y785" s="262"/>
      <c r="Z785" s="262"/>
      <c r="AA785" s="262"/>
      <c r="AB785" s="262"/>
    </row>
    <row r="786" spans="1:31" ht="12.75">
      <c r="A786" s="581" t="s">
        <v>14479</v>
      </c>
      <c r="B786" s="582" t="s">
        <v>14476</v>
      </c>
      <c r="C786" s="447">
        <v>44528</v>
      </c>
      <c r="D786" s="596" t="str">
        <f>IFERROR(VLOOKUP($C786,'24.08_ND'!$A:$D,2,0),)</f>
        <v>CIMENTO PORTLAND ESTRUTURAL BRANCO CPB - 32 OU CPB - 40</v>
      </c>
      <c r="E786" s="597" t="str">
        <f>IFERROR(VLOOKUP($C786,'24.08_ND'!$A:$D,3,0),)</f>
        <v>KG</v>
      </c>
      <c r="F786" s="385">
        <v>17</v>
      </c>
      <c r="G786" s="598">
        <f>IFERROR(VLOOKUP($C786,'24.08_ND'!$A:$D,4,0),)</f>
        <v>3.98</v>
      </c>
      <c r="H786" s="449">
        <f t="shared" si="31"/>
        <v>67.66</v>
      </c>
      <c r="I786" s="262"/>
      <c r="J786" s="262"/>
      <c r="K786" s="262"/>
      <c r="L786" s="262"/>
      <c r="M786" s="262"/>
      <c r="N786" s="262"/>
      <c r="O786" s="262"/>
      <c r="P786" s="262"/>
      <c r="Q786" s="262"/>
      <c r="R786" s="262"/>
      <c r="S786" s="262"/>
      <c r="T786" s="262"/>
      <c r="U786" s="262"/>
      <c r="V786" s="262"/>
      <c r="W786" s="262"/>
      <c r="X786" s="262"/>
      <c r="Y786" s="262"/>
      <c r="Z786" s="262"/>
      <c r="AA786" s="262"/>
      <c r="AB786" s="262"/>
    </row>
    <row r="787" spans="1:31" ht="25.5">
      <c r="A787" s="581" t="s">
        <v>14479</v>
      </c>
      <c r="B787" s="582" t="s">
        <v>14476</v>
      </c>
      <c r="C787" s="447">
        <v>4824</v>
      </c>
      <c r="D787" s="596" t="str">
        <f>IFERROR(VLOOKUP($C787,'24.08_ND'!$A:$D,2,0),)</f>
        <v>GRANILHA/ GRANA/ PEDRISCO OU AGREGADO EM MARMORE/ GRANITO/ QUARTZO E CALCARIO, PRETO, CINZA, PALHA OU BRANCO</v>
      </c>
      <c r="E787" s="597" t="str">
        <f>IFERROR(VLOOKUP($C787,'24.08_ND'!$A:$D,3,0),)</f>
        <v>KG</v>
      </c>
      <c r="F787" s="385">
        <v>35</v>
      </c>
      <c r="G787" s="598">
        <f>IFERROR(VLOOKUP($C787,'24.08_ND'!$A:$D,4,0),)</f>
        <v>0.59</v>
      </c>
      <c r="H787" s="449">
        <f t="shared" si="31"/>
        <v>20.65</v>
      </c>
      <c r="I787" s="262"/>
      <c r="J787" s="262"/>
      <c r="K787" s="262"/>
      <c r="L787" s="262"/>
      <c r="M787" s="262"/>
      <c r="N787" s="262"/>
      <c r="O787" s="262"/>
      <c r="P787" s="262"/>
      <c r="Q787" s="262"/>
      <c r="R787" s="262"/>
      <c r="S787" s="262"/>
      <c r="T787" s="262"/>
      <c r="U787" s="262"/>
      <c r="V787" s="262"/>
      <c r="W787" s="262"/>
      <c r="X787" s="262"/>
      <c r="Y787" s="262"/>
      <c r="Z787" s="262"/>
      <c r="AA787" s="262"/>
      <c r="AB787" s="262"/>
    </row>
    <row r="788" spans="1:31" ht="25.5">
      <c r="A788" s="581" t="s">
        <v>14479</v>
      </c>
      <c r="B788" s="582" t="s">
        <v>14476</v>
      </c>
      <c r="C788" s="447">
        <v>3671</v>
      </c>
      <c r="D788" s="596" t="str">
        <f>IFERROR(VLOOKUP($C788,'24.08_ND'!$A:$D,2,0),)</f>
        <v>JUNTA PLASTICA DE DILATACAO PARA PISOS, COR CINZA, 17 X 3 MM (ALTURA X ESPESSURA)</v>
      </c>
      <c r="E788" s="597" t="str">
        <f>IFERROR(VLOOKUP($C788,'24.08_ND'!$A:$D,3,0),)</f>
        <v>M</v>
      </c>
      <c r="F788" s="385">
        <v>1.67</v>
      </c>
      <c r="G788" s="598">
        <f>IFERROR(VLOOKUP($C788,'24.08_ND'!$A:$D,4,0),)</f>
        <v>1.17</v>
      </c>
      <c r="H788" s="449">
        <f t="shared" si="31"/>
        <v>1.95</v>
      </c>
      <c r="I788" s="262"/>
      <c r="J788" s="262"/>
      <c r="K788" s="262"/>
      <c r="L788" s="262"/>
      <c r="M788" s="262"/>
      <c r="N788" s="262"/>
      <c r="O788" s="262"/>
      <c r="P788" s="262"/>
      <c r="Q788" s="262"/>
      <c r="R788" s="262"/>
      <c r="S788" s="262"/>
      <c r="T788" s="262"/>
      <c r="U788" s="262"/>
      <c r="V788" s="262"/>
      <c r="W788" s="262"/>
      <c r="X788" s="262"/>
      <c r="Y788" s="262"/>
      <c r="Z788" s="262"/>
      <c r="AA788" s="262"/>
      <c r="AB788" s="262"/>
    </row>
    <row r="789" spans="1:31" ht="12.75">
      <c r="A789" s="581" t="s">
        <v>14479</v>
      </c>
      <c r="B789" s="582" t="s">
        <v>14476</v>
      </c>
      <c r="C789" s="447">
        <v>6085</v>
      </c>
      <c r="D789" s="596" t="str">
        <f>IFERROR(VLOOKUP($C789,'24.08_ND'!$A:$D,2,0),)</f>
        <v>SELADOR ACRILICO OPACO PREMIUM INTERIOR/EXTERIOR</v>
      </c>
      <c r="E789" s="597" t="str">
        <f>IFERROR(VLOOKUP($C789,'24.08_ND'!$A:$D,3,0),)</f>
        <v>L</v>
      </c>
      <c r="F789" s="385">
        <v>8.5000000000000006E-2</v>
      </c>
      <c r="G789" s="598">
        <f>IFERROR(VLOOKUP($C789,'24.08_ND'!$A:$D,4,0),)</f>
        <v>5.39</v>
      </c>
      <c r="H789" s="449">
        <f t="shared" si="31"/>
        <v>0.45</v>
      </c>
      <c r="I789" s="262"/>
      <c r="J789" s="262"/>
      <c r="K789" s="262"/>
      <c r="L789" s="262"/>
      <c r="M789" s="262"/>
      <c r="N789" s="262"/>
      <c r="O789" s="262"/>
      <c r="P789" s="262"/>
      <c r="Q789" s="262"/>
      <c r="R789" s="262"/>
      <c r="S789" s="262"/>
      <c r="T789" s="262"/>
      <c r="U789" s="262"/>
      <c r="V789" s="262"/>
      <c r="W789" s="262"/>
      <c r="X789" s="262"/>
      <c r="Y789" s="262"/>
      <c r="Z789" s="262"/>
      <c r="AA789" s="262"/>
      <c r="AB789" s="262"/>
    </row>
    <row r="790" spans="1:31" ht="12.75">
      <c r="A790" s="309"/>
      <c r="B790" s="303"/>
      <c r="C790" s="303"/>
      <c r="D790" s="310"/>
      <c r="E790" s="303"/>
      <c r="F790" s="306"/>
      <c r="G790" s="307"/>
      <c r="H790" s="308"/>
      <c r="I790" s="262"/>
      <c r="J790" s="262"/>
      <c r="K790" s="262"/>
      <c r="L790" s="262"/>
      <c r="M790" s="262"/>
      <c r="N790" s="262"/>
      <c r="O790" s="262"/>
      <c r="P790" s="262"/>
      <c r="Q790" s="262"/>
      <c r="R790" s="262"/>
      <c r="S790" s="262"/>
      <c r="T790" s="262"/>
      <c r="U790" s="262"/>
      <c r="V790" s="262"/>
      <c r="W790" s="262"/>
      <c r="X790" s="262"/>
      <c r="Y790" s="262"/>
      <c r="Z790" s="262"/>
      <c r="AA790" s="262"/>
      <c r="AB790" s="262"/>
    </row>
    <row r="791" spans="1:31" ht="25.5">
      <c r="A791" s="358" t="s">
        <v>14471</v>
      </c>
      <c r="B791" s="359" t="s">
        <v>14472</v>
      </c>
      <c r="C791" s="360" t="s">
        <v>14777</v>
      </c>
      <c r="D791" s="361" t="s">
        <v>14778</v>
      </c>
      <c r="E791" s="359" t="s">
        <v>50</v>
      </c>
      <c r="F791" s="362"/>
      <c r="G791" s="362"/>
      <c r="H791" s="363">
        <f>TRUNC(SUM(H793:H798),2)</f>
        <v>209.98</v>
      </c>
      <c r="I791" s="276">
        <f>COUNTIF($C$8:$C791,C:C)</f>
        <v>1</v>
      </c>
      <c r="J791" s="262"/>
      <c r="K791" s="262"/>
      <c r="L791" s="262"/>
      <c r="M791" s="262"/>
      <c r="N791" s="262"/>
      <c r="O791" s="262"/>
      <c r="P791" s="262"/>
      <c r="Q791" s="262"/>
      <c r="R791" s="262"/>
      <c r="S791" s="262"/>
      <c r="T791" s="262"/>
      <c r="U791" s="262"/>
      <c r="V791" s="262"/>
      <c r="W791" s="262"/>
      <c r="X791" s="262"/>
      <c r="Y791" s="262"/>
      <c r="Z791" s="262"/>
      <c r="AA791" s="262"/>
      <c r="AB791" s="262"/>
    </row>
    <row r="792" spans="1:31" ht="12.75">
      <c r="A792" s="364" t="s">
        <v>14475</v>
      </c>
      <c r="B792" s="403" t="s">
        <v>14476</v>
      </c>
      <c r="C792" s="404">
        <v>101965</v>
      </c>
      <c r="D792" s="367" t="s">
        <v>14477</v>
      </c>
      <c r="E792" s="405"/>
      <c r="F792" s="369"/>
      <c r="G792" s="370"/>
      <c r="H792" s="371"/>
      <c r="I792" s="262"/>
      <c r="J792" s="262"/>
      <c r="K792" s="262"/>
      <c r="L792" s="262"/>
      <c r="M792" s="262"/>
      <c r="N792" s="262"/>
      <c r="O792" s="262"/>
      <c r="P792" s="262"/>
      <c r="Q792" s="262"/>
      <c r="R792" s="262"/>
      <c r="S792" s="262"/>
      <c r="T792" s="262"/>
      <c r="U792" s="262"/>
      <c r="V792" s="262"/>
      <c r="W792" s="262"/>
      <c r="X792" s="262"/>
      <c r="Y792" s="262"/>
      <c r="Z792" s="262"/>
      <c r="AA792" s="262"/>
      <c r="AB792" s="262"/>
    </row>
    <row r="793" spans="1:31" ht="25.5">
      <c r="A793" s="372" t="s">
        <v>14478</v>
      </c>
      <c r="B793" s="421" t="s">
        <v>14476</v>
      </c>
      <c r="C793" s="374">
        <v>88274</v>
      </c>
      <c r="D793" s="593" t="str">
        <f>IFERROR(VLOOKUP($C793,'24.08_ND'!$A:$D,2,0),)</f>
        <v>MARMORISTA/GRANITEIRO COM ENCARGOS COMPLEMENTARES</v>
      </c>
      <c r="E793" s="594" t="str">
        <f>IFERROR(VLOOKUP($C793,'24.08_ND'!$A:$D,3,0),)</f>
        <v>H</v>
      </c>
      <c r="F793" s="375">
        <v>0.698333333</v>
      </c>
      <c r="G793" s="595">
        <f>IFERROR(VLOOKUP($C793,'24.08_ND'!$A:$D,4,0),)</f>
        <v>23.2</v>
      </c>
      <c r="H793" s="440">
        <f>TRUNC(($F793*$G793),2)</f>
        <v>16.2</v>
      </c>
      <c r="I793" s="262"/>
      <c r="J793" s="262"/>
      <c r="K793" s="262"/>
      <c r="L793" s="262"/>
      <c r="M793" s="262"/>
      <c r="N793" s="262"/>
      <c r="O793" s="262"/>
      <c r="P793" s="262"/>
      <c r="Q793" s="262"/>
      <c r="R793" s="262"/>
      <c r="S793" s="262"/>
      <c r="T793" s="262"/>
      <c r="U793" s="262"/>
      <c r="V793" s="262"/>
      <c r="W793" s="262"/>
      <c r="X793" s="262"/>
      <c r="Y793" s="262"/>
      <c r="Z793" s="262"/>
      <c r="AA793" s="262"/>
      <c r="AB793" s="262"/>
      <c r="AD793" s="1791" t="e">
        <f>VLOOKUP(C793,'Medição '!$B$16:$F$1833,6,0)</f>
        <v>#N/A</v>
      </c>
      <c r="AE793" s="1791"/>
    </row>
    <row r="794" spans="1:31" ht="25.5">
      <c r="A794" s="372" t="s">
        <v>14478</v>
      </c>
      <c r="B794" s="421" t="s">
        <v>14476</v>
      </c>
      <c r="C794" s="374">
        <v>88316</v>
      </c>
      <c r="D794" s="593" t="str">
        <f>IFERROR(VLOOKUP($C794,'24.08_ND'!$A:$D,2,0),)</f>
        <v>SERVENTE COM ENCARGOS COMPLEMENTARES</v>
      </c>
      <c r="E794" s="594" t="str">
        <f>IFERROR(VLOOKUP($C794,'24.08_ND'!$A:$D,3,0),)</f>
        <v>H</v>
      </c>
      <c r="F794" s="375">
        <v>0.34833333300000002</v>
      </c>
      <c r="G794" s="595">
        <f>IFERROR(VLOOKUP($C794,'24.08_ND'!$A:$D,4,0),)</f>
        <v>18.510000000000002</v>
      </c>
      <c r="H794" s="440">
        <f>TRUNC(($F794*$G794),2)</f>
        <v>6.44</v>
      </c>
      <c r="I794" s="262"/>
      <c r="J794" s="262"/>
      <c r="K794" s="262"/>
      <c r="L794" s="262"/>
      <c r="M794" s="262"/>
      <c r="N794" s="262"/>
      <c r="O794" s="262"/>
      <c r="P794" s="262"/>
      <c r="Q794" s="262"/>
      <c r="R794" s="262"/>
      <c r="S794" s="262"/>
      <c r="T794" s="262"/>
      <c r="U794" s="262"/>
      <c r="V794" s="262"/>
      <c r="W794" s="262"/>
      <c r="X794" s="262"/>
      <c r="Y794" s="262"/>
      <c r="Z794" s="262"/>
      <c r="AA794" s="262"/>
      <c r="AB794" s="262"/>
      <c r="AD794" s="1791" t="e">
        <f>VLOOKUP(C794,'Medição '!$B$16:$F$1833,6,0)</f>
        <v>#N/A</v>
      </c>
      <c r="AE794" s="1791"/>
    </row>
    <row r="795" spans="1:31" ht="25.5">
      <c r="A795" s="372" t="s">
        <v>14478</v>
      </c>
      <c r="B795" s="421" t="s">
        <v>14476</v>
      </c>
      <c r="C795" s="374">
        <v>91692</v>
      </c>
      <c r="D795" s="593" t="str">
        <f>IFERROR(VLOOKUP($C795,'24.08_ND'!$A:$D,2,0),)</f>
        <v>SERRA CIRCULAR DE BANCADA COM MOTOR ELÉTRICO POTÊNCIA DE 5HP, COM COIFA PARA DISCO 10" - CHP DIURNO. AF_08/2015</v>
      </c>
      <c r="E795" s="594" t="str">
        <f>IFERROR(VLOOKUP($C795,'24.08_ND'!$A:$D,3,0),)</f>
        <v>CHP</v>
      </c>
      <c r="F795" s="375">
        <v>3.5000000000000003E-2</v>
      </c>
      <c r="G795" s="595">
        <f>IFERROR(VLOOKUP($C795,'24.08_ND'!$A:$D,4,0),)</f>
        <v>21.22</v>
      </c>
      <c r="H795" s="440">
        <f>TRUNC(($F795*$G795),2)</f>
        <v>0.74</v>
      </c>
      <c r="I795" s="262"/>
      <c r="J795" s="262"/>
      <c r="K795" s="262"/>
      <c r="L795" s="262"/>
      <c r="M795" s="262"/>
      <c r="N795" s="262"/>
      <c r="O795" s="262"/>
      <c r="P795" s="262"/>
      <c r="Q795" s="262"/>
      <c r="R795" s="262"/>
      <c r="S795" s="262"/>
      <c r="T795" s="262"/>
      <c r="U795" s="262"/>
      <c r="V795" s="262"/>
      <c r="W795" s="262"/>
      <c r="X795" s="262"/>
      <c r="Y795" s="262"/>
      <c r="Z795" s="262"/>
      <c r="AA795" s="262"/>
      <c r="AB795" s="262"/>
      <c r="AD795" s="1791" t="e">
        <f>VLOOKUP(C795,'Medição '!$B$16:$F$1833,6,0)</f>
        <v>#N/A</v>
      </c>
      <c r="AE795" s="1791"/>
    </row>
    <row r="796" spans="1:31" ht="25.5">
      <c r="A796" s="372" t="s">
        <v>14478</v>
      </c>
      <c r="B796" s="421" t="s">
        <v>14476</v>
      </c>
      <c r="C796" s="374">
        <v>91693</v>
      </c>
      <c r="D796" s="593" t="str">
        <f>IFERROR(VLOOKUP($C796,'24.08_ND'!$A:$D,2,0),)</f>
        <v>SERRA CIRCULAR DE BANCADA COM MOTOR ELÉTRICO POTÊNCIA DE 5HP, COM COIFA PARA DISCO 10" - CHI DIURNO. AF_08/2015</v>
      </c>
      <c r="E796" s="594" t="str">
        <f>IFERROR(VLOOKUP($C796,'24.08_ND'!$A:$D,3,0),)</f>
        <v>CHI</v>
      </c>
      <c r="F796" s="375">
        <v>0.66333333299999997</v>
      </c>
      <c r="G796" s="595">
        <f>IFERROR(VLOOKUP($C796,'24.08_ND'!$A:$D,4,0),)</f>
        <v>19.899999999999999</v>
      </c>
      <c r="H796" s="440">
        <f>TRUNC(($F796*$G796),2)</f>
        <v>13.2</v>
      </c>
      <c r="I796" s="262"/>
      <c r="J796" s="262"/>
      <c r="K796" s="262"/>
      <c r="L796" s="262"/>
      <c r="M796" s="262"/>
      <c r="N796" s="262"/>
      <c r="O796" s="262"/>
      <c r="P796" s="262"/>
      <c r="Q796" s="262"/>
      <c r="R796" s="262"/>
      <c r="S796" s="262"/>
      <c r="T796" s="262"/>
      <c r="U796" s="262"/>
      <c r="V796" s="262"/>
      <c r="W796" s="262"/>
      <c r="X796" s="262"/>
      <c r="Y796" s="262"/>
      <c r="Z796" s="262"/>
      <c r="AA796" s="262"/>
      <c r="AB796" s="262"/>
      <c r="AD796" s="1791" t="e">
        <f>VLOOKUP(C796,'Medição '!$B$16:$F$1833,6,0)</f>
        <v>#N/A</v>
      </c>
      <c r="AE796" s="1791"/>
    </row>
    <row r="797" spans="1:31" ht="12.75">
      <c r="A797" s="581" t="s">
        <v>14479</v>
      </c>
      <c r="B797" s="582" t="s">
        <v>14476</v>
      </c>
      <c r="C797" s="447">
        <v>37595</v>
      </c>
      <c r="D797" s="596" t="str">
        <f>IFERROR(VLOOKUP($C797,'24.08_ND'!$A:$D,2,0),)</f>
        <v>ARGAMASSA COLANTE TIPO AC III</v>
      </c>
      <c r="E797" s="597" t="str">
        <f>IFERROR(VLOOKUP($C797,'24.08_ND'!$A:$D,3,0),)</f>
        <v>KG</v>
      </c>
      <c r="F797" s="385">
        <v>2.5</v>
      </c>
      <c r="G797" s="598">
        <f>IFERROR(VLOOKUP($C797,'24.08_ND'!$A:$D,4,0),)</f>
        <v>3.36</v>
      </c>
      <c r="H797" s="449">
        <f>TRUNC(($F797*$G797),2)</f>
        <v>8.4</v>
      </c>
      <c r="I797" s="262"/>
      <c r="J797" s="262"/>
      <c r="K797" s="262"/>
      <c r="L797" s="262"/>
      <c r="M797" s="262"/>
      <c r="N797" s="262"/>
      <c r="O797" s="262"/>
      <c r="P797" s="262"/>
      <c r="Q797" s="262"/>
      <c r="R797" s="262"/>
      <c r="S797" s="262"/>
      <c r="T797" s="262"/>
      <c r="U797" s="262"/>
      <c r="V797" s="262"/>
      <c r="W797" s="262"/>
      <c r="X797" s="262"/>
      <c r="Y797" s="262"/>
      <c r="Z797" s="262"/>
      <c r="AA797" s="262"/>
      <c r="AB797" s="262"/>
    </row>
    <row r="798" spans="1:31" ht="12.75">
      <c r="A798" s="599" t="s">
        <v>14479</v>
      </c>
      <c r="B798" s="600" t="s">
        <v>14491</v>
      </c>
      <c r="C798" s="600" t="s">
        <v>14779</v>
      </c>
      <c r="D798" s="601" t="str">
        <f>VLOOKUP($C798,'09 - MC'!$A:$F,2,0)</f>
        <v>GRANITO BRANCO ITAÚNAS PISO / PEITORIL</v>
      </c>
      <c r="E798" s="602" t="str">
        <f>VLOOKUP($C798,'09 - MC'!$A:$F,3,0)</f>
        <v>M2</v>
      </c>
      <c r="F798" s="603">
        <f>0.25*1.05</f>
        <v>0.26250000000000001</v>
      </c>
      <c r="G798" s="604">
        <f>VLOOKUP($C798,'09 - MC'!$A:$F,6,0)</f>
        <v>628.59</v>
      </c>
      <c r="H798" s="605">
        <f>TRUNC(G798*F798,2)</f>
        <v>165</v>
      </c>
      <c r="I798" s="262"/>
      <c r="J798" s="262"/>
      <c r="K798" s="262"/>
      <c r="L798" s="262"/>
      <c r="M798" s="262"/>
      <c r="N798" s="262"/>
      <c r="O798" s="262"/>
      <c r="P798" s="262"/>
      <c r="Q798" s="262"/>
      <c r="R798" s="262"/>
      <c r="S798" s="262"/>
      <c r="T798" s="262"/>
      <c r="U798" s="262"/>
      <c r="V798" s="262"/>
      <c r="W798" s="262"/>
      <c r="X798" s="262"/>
      <c r="Y798" s="262"/>
      <c r="Z798" s="262"/>
      <c r="AA798" s="262"/>
      <c r="AB798" s="262"/>
    </row>
    <row r="799" spans="1:31" ht="12.75">
      <c r="A799" s="309"/>
      <c r="B799" s="303"/>
      <c r="C799" s="303"/>
      <c r="D799" s="310"/>
      <c r="E799" s="303"/>
      <c r="F799" s="306"/>
      <c r="G799" s="307"/>
      <c r="H799" s="308"/>
      <c r="I799" s="262"/>
      <c r="J799" s="262"/>
      <c r="K799" s="262"/>
      <c r="L799" s="262"/>
      <c r="M799" s="262"/>
      <c r="N799" s="262"/>
      <c r="O799" s="262"/>
      <c r="P799" s="262"/>
      <c r="Q799" s="262"/>
      <c r="R799" s="262"/>
      <c r="S799" s="262"/>
      <c r="T799" s="262"/>
      <c r="U799" s="262"/>
      <c r="V799" s="262"/>
      <c r="W799" s="262"/>
      <c r="X799" s="262"/>
      <c r="Y799" s="262"/>
      <c r="Z799" s="262"/>
      <c r="AA799" s="262"/>
      <c r="AB799" s="262"/>
    </row>
    <row r="800" spans="1:31" ht="25.5">
      <c r="A800" s="271" t="s">
        <v>14471</v>
      </c>
      <c r="B800" s="272" t="s">
        <v>14472</v>
      </c>
      <c r="C800" s="360" t="s">
        <v>14780</v>
      </c>
      <c r="D800" s="274" t="s">
        <v>14781</v>
      </c>
      <c r="E800" s="272" t="s">
        <v>50</v>
      </c>
      <c r="F800" s="272"/>
      <c r="G800" s="272"/>
      <c r="H800" s="275">
        <f>TRUNC(SUM(H802:H805),2)</f>
        <v>106.09</v>
      </c>
      <c r="I800" s="276">
        <f>COUNTIF($C$8:$C800,C:C)</f>
        <v>1</v>
      </c>
      <c r="J800" s="262"/>
      <c r="K800" s="262"/>
      <c r="L800" s="262"/>
      <c r="M800" s="262"/>
      <c r="N800" s="262"/>
      <c r="O800" s="262"/>
      <c r="P800" s="262"/>
      <c r="Q800" s="262"/>
      <c r="R800" s="262"/>
      <c r="S800" s="262"/>
      <c r="T800" s="262"/>
      <c r="U800" s="262"/>
      <c r="V800" s="262"/>
      <c r="W800" s="262"/>
      <c r="X800" s="262"/>
      <c r="Y800" s="262"/>
      <c r="Z800" s="262"/>
      <c r="AA800" s="262"/>
      <c r="AB800" s="262"/>
    </row>
    <row r="801" spans="1:31" ht="12.75">
      <c r="A801" s="277" t="s">
        <v>14475</v>
      </c>
      <c r="B801" s="488" t="s">
        <v>14476</v>
      </c>
      <c r="C801" s="489">
        <v>98689</v>
      </c>
      <c r="D801" s="490" t="s">
        <v>14477</v>
      </c>
      <c r="E801" s="606"/>
      <c r="F801" s="282"/>
      <c r="G801" s="492"/>
      <c r="H801" s="493"/>
      <c r="I801" s="262"/>
      <c r="J801" s="262"/>
      <c r="K801" s="262"/>
      <c r="L801" s="262"/>
      <c r="M801" s="262"/>
      <c r="N801" s="262"/>
      <c r="O801" s="262"/>
      <c r="P801" s="262"/>
      <c r="Q801" s="262"/>
      <c r="R801" s="262"/>
      <c r="S801" s="262"/>
      <c r="T801" s="262"/>
      <c r="U801" s="262"/>
      <c r="V801" s="262"/>
      <c r="W801" s="262"/>
      <c r="X801" s="262"/>
      <c r="Y801" s="262"/>
      <c r="Z801" s="262"/>
      <c r="AA801" s="262"/>
      <c r="AB801" s="262"/>
    </row>
    <row r="802" spans="1:31" ht="25.5">
      <c r="A802" s="285" t="s">
        <v>14478</v>
      </c>
      <c r="B802" s="407" t="s">
        <v>14476</v>
      </c>
      <c r="C802" s="408">
        <v>88274</v>
      </c>
      <c r="D802" s="288" t="str">
        <f>IFERROR(VLOOKUP($C802,'24.08_ND'!$A:$D,2,0),)</f>
        <v>MARMORISTA/GRANITEIRO COM ENCARGOS COMPLEMENTARES</v>
      </c>
      <c r="E802" s="289" t="str">
        <f>IFERROR(VLOOKUP($C802,'24.08_ND'!$A:$D,3,0),)</f>
        <v>H</v>
      </c>
      <c r="F802" s="290">
        <v>0.91166666699999999</v>
      </c>
      <c r="G802" s="291">
        <f>IFERROR(VLOOKUP($C802,'24.08_ND'!$A:$D,4,0),)</f>
        <v>23.2</v>
      </c>
      <c r="H802" s="292">
        <f>TRUNC(($F802*$G802),2)</f>
        <v>21.15</v>
      </c>
      <c r="I802" s="262"/>
      <c r="J802" s="262"/>
      <c r="K802" s="262"/>
      <c r="L802" s="262"/>
      <c r="M802" s="262"/>
      <c r="N802" s="262"/>
      <c r="O802" s="262"/>
      <c r="P802" s="262"/>
      <c r="Q802" s="262"/>
      <c r="R802" s="262"/>
      <c r="S802" s="262"/>
      <c r="T802" s="262"/>
      <c r="U802" s="262"/>
      <c r="V802" s="262"/>
      <c r="W802" s="262"/>
      <c r="X802" s="262"/>
      <c r="Y802" s="262"/>
      <c r="Z802" s="262"/>
      <c r="AA802" s="262"/>
      <c r="AB802" s="262"/>
      <c r="AD802" s="1791" t="e">
        <f>VLOOKUP(C802,'Medição '!$B$16:$F$1833,6,0)</f>
        <v>#N/A</v>
      </c>
      <c r="AE802" s="1791"/>
    </row>
    <row r="803" spans="1:31" ht="25.5">
      <c r="A803" s="285" t="s">
        <v>14478</v>
      </c>
      <c r="B803" s="407" t="s">
        <v>14476</v>
      </c>
      <c r="C803" s="408">
        <v>88316</v>
      </c>
      <c r="D803" s="288" t="str">
        <f>IFERROR(VLOOKUP($C803,'24.08_ND'!$A:$D,2,0),)</f>
        <v>SERVENTE COM ENCARGOS COMPLEMENTARES</v>
      </c>
      <c r="E803" s="289" t="str">
        <f>IFERROR(VLOOKUP($C803,'24.08_ND'!$A:$D,3,0),)</f>
        <v>H</v>
      </c>
      <c r="F803" s="290">
        <v>0.45500000000000002</v>
      </c>
      <c r="G803" s="291">
        <f>IFERROR(VLOOKUP($C803,'24.08_ND'!$A:$D,4,0),)</f>
        <v>18.510000000000002</v>
      </c>
      <c r="H803" s="292">
        <f>TRUNC(($F803*$G803),2)</f>
        <v>8.42</v>
      </c>
      <c r="I803" s="262"/>
      <c r="J803" s="262"/>
      <c r="K803" s="262"/>
      <c r="L803" s="262"/>
      <c r="M803" s="262"/>
      <c r="N803" s="262"/>
      <c r="O803" s="262"/>
      <c r="P803" s="262"/>
      <c r="Q803" s="262"/>
      <c r="R803" s="262"/>
      <c r="S803" s="262"/>
      <c r="T803" s="262"/>
      <c r="U803" s="262"/>
      <c r="V803" s="262"/>
      <c r="W803" s="262"/>
      <c r="X803" s="262"/>
      <c r="Y803" s="262"/>
      <c r="Z803" s="262"/>
      <c r="AA803" s="262"/>
      <c r="AB803" s="262"/>
      <c r="AD803" s="1791" t="e">
        <f>VLOOKUP(C803,'Medição '!$B$16:$F$1833,6,0)</f>
        <v>#N/A</v>
      </c>
      <c r="AE803" s="1791"/>
    </row>
    <row r="804" spans="1:31" ht="12.75">
      <c r="A804" s="319" t="s">
        <v>14479</v>
      </c>
      <c r="B804" s="320" t="s">
        <v>14491</v>
      </c>
      <c r="C804" s="320" t="s">
        <v>14782</v>
      </c>
      <c r="D804" s="321" t="str">
        <f>VLOOKUP($C804,'09 - MC'!$A:$F,2,0)</f>
        <v>GRANITO CINZA ANDORINHA LEVIGADO</v>
      </c>
      <c r="E804" s="322" t="str">
        <f>VLOOKUP($C804,'09 - MC'!$A:$F,3,0)</f>
        <v>M2</v>
      </c>
      <c r="F804" s="323">
        <f>0.2*1.05</f>
        <v>0.21000000000000002</v>
      </c>
      <c r="G804" s="324">
        <f>VLOOKUP($C804,'09 - MC'!$A:$F,6,0)</f>
        <v>364.4</v>
      </c>
      <c r="H804" s="325">
        <f>TRUNC(G804*F804,2)</f>
        <v>76.52</v>
      </c>
      <c r="I804" s="262"/>
      <c r="J804" s="262"/>
      <c r="K804" s="262"/>
      <c r="L804" s="262"/>
      <c r="M804" s="262"/>
      <c r="N804" s="262"/>
      <c r="O804" s="262"/>
      <c r="P804" s="262"/>
      <c r="Q804" s="262"/>
      <c r="R804" s="262"/>
      <c r="S804" s="262"/>
      <c r="T804" s="262"/>
      <c r="U804" s="262"/>
      <c r="V804" s="262"/>
      <c r="W804" s="262"/>
      <c r="X804" s="262"/>
      <c r="Y804" s="262"/>
      <c r="Z804" s="262"/>
      <c r="AA804" s="262"/>
      <c r="AB804" s="262"/>
    </row>
    <row r="805" spans="1:31" ht="12.75">
      <c r="A805" s="494" t="s">
        <v>14479</v>
      </c>
      <c r="B805" s="495" t="s">
        <v>14476</v>
      </c>
      <c r="C805" s="348">
        <v>37595</v>
      </c>
      <c r="D805" s="296" t="str">
        <f>IFERROR(VLOOKUP($C805,'24.08_ND'!$A:$D,2,0),)</f>
        <v>ARGAMASSA COLANTE TIPO AC III</v>
      </c>
      <c r="E805" s="297" t="str">
        <f>IFERROR(VLOOKUP($C805,'24.08_ND'!$A:$D,3,0),)</f>
        <v>KG</v>
      </c>
      <c r="F805" s="298">
        <v>2.15</v>
      </c>
      <c r="G805" s="299">
        <f>IFERROR(VLOOKUP($C805,'24.08_ND'!$A:$D,4,0),)</f>
        <v>3.36</v>
      </c>
      <c r="H805" s="300" t="s">
        <v>14783</v>
      </c>
      <c r="I805" s="262"/>
      <c r="J805" s="262"/>
      <c r="K805" s="262"/>
      <c r="L805" s="262"/>
      <c r="M805" s="262"/>
      <c r="N805" s="262"/>
      <c r="O805" s="262"/>
      <c r="P805" s="262"/>
      <c r="Q805" s="262"/>
      <c r="R805" s="262"/>
      <c r="S805" s="262"/>
      <c r="T805" s="262"/>
      <c r="U805" s="262"/>
      <c r="V805" s="262"/>
      <c r="W805" s="262"/>
      <c r="X805" s="262"/>
      <c r="Y805" s="262"/>
      <c r="Z805" s="262"/>
      <c r="AA805" s="262"/>
      <c r="AB805" s="262"/>
    </row>
    <row r="806" spans="1:31" ht="12.75">
      <c r="A806" s="309"/>
      <c r="B806" s="303"/>
      <c r="C806" s="303"/>
      <c r="D806" s="310"/>
      <c r="E806" s="303"/>
      <c r="F806" s="306"/>
      <c r="G806" s="307"/>
      <c r="H806" s="308"/>
      <c r="I806" s="262"/>
      <c r="J806" s="262"/>
      <c r="K806" s="262"/>
      <c r="L806" s="262"/>
      <c r="M806" s="262"/>
      <c r="N806" s="262"/>
      <c r="O806" s="262"/>
      <c r="P806" s="262"/>
      <c r="Q806" s="262"/>
      <c r="R806" s="262"/>
      <c r="S806" s="262"/>
      <c r="T806" s="262"/>
      <c r="U806" s="262"/>
      <c r="V806" s="262"/>
      <c r="W806" s="262"/>
      <c r="X806" s="262"/>
      <c r="Y806" s="262"/>
      <c r="Z806" s="262"/>
      <c r="AA806" s="262"/>
      <c r="AB806" s="262"/>
    </row>
    <row r="807" spans="1:31" ht="25.5">
      <c r="A807" s="271" t="s">
        <v>14471</v>
      </c>
      <c r="B807" s="272" t="s">
        <v>14472</v>
      </c>
      <c r="C807" s="360" t="s">
        <v>14784</v>
      </c>
      <c r="D807" s="274" t="s">
        <v>14785</v>
      </c>
      <c r="E807" s="272" t="s">
        <v>50</v>
      </c>
      <c r="F807" s="272"/>
      <c r="G807" s="272"/>
      <c r="H807" s="275">
        <f>TRUNC(SUM(H809:H812),2)</f>
        <v>168.79</v>
      </c>
      <c r="I807" s="276">
        <f>COUNTIF($C$8:$C807,C:C)</f>
        <v>1</v>
      </c>
      <c r="J807" s="262"/>
      <c r="K807" s="262"/>
      <c r="L807" s="262"/>
      <c r="M807" s="262"/>
      <c r="N807" s="262"/>
      <c r="O807" s="262"/>
      <c r="P807" s="262"/>
      <c r="Q807" s="262"/>
      <c r="R807" s="262"/>
      <c r="S807" s="262"/>
      <c r="T807" s="262"/>
      <c r="U807" s="262"/>
      <c r="V807" s="262"/>
      <c r="W807" s="262"/>
      <c r="X807" s="262"/>
      <c r="Y807" s="262"/>
      <c r="Z807" s="262"/>
      <c r="AA807" s="262"/>
      <c r="AB807" s="262"/>
    </row>
    <row r="808" spans="1:31" ht="12.75">
      <c r="A808" s="277" t="s">
        <v>14475</v>
      </c>
      <c r="B808" s="488" t="s">
        <v>14476</v>
      </c>
      <c r="C808" s="489">
        <v>98689</v>
      </c>
      <c r="D808" s="490" t="s">
        <v>14477</v>
      </c>
      <c r="E808" s="606"/>
      <c r="F808" s="282"/>
      <c r="G808" s="492"/>
      <c r="H808" s="493"/>
      <c r="I808" s="262"/>
      <c r="J808" s="262"/>
      <c r="K808" s="262"/>
      <c r="L808" s="262"/>
      <c r="M808" s="262"/>
      <c r="N808" s="262"/>
      <c r="O808" s="262"/>
      <c r="P808" s="262"/>
      <c r="Q808" s="262"/>
      <c r="R808" s="262"/>
      <c r="S808" s="262"/>
      <c r="T808" s="262"/>
      <c r="U808" s="262"/>
      <c r="V808" s="262"/>
      <c r="W808" s="262"/>
      <c r="X808" s="262"/>
      <c r="Y808" s="262"/>
      <c r="Z808" s="262"/>
      <c r="AA808" s="262"/>
      <c r="AB808" s="262"/>
    </row>
    <row r="809" spans="1:31" ht="25.5">
      <c r="A809" s="285" t="s">
        <v>14478</v>
      </c>
      <c r="B809" s="407" t="s">
        <v>14476</v>
      </c>
      <c r="C809" s="408">
        <v>88274</v>
      </c>
      <c r="D809" s="288" t="str">
        <f>IFERROR(VLOOKUP($C809,'24.08_ND'!$A:$D,2,0),)</f>
        <v>MARMORISTA/GRANITEIRO COM ENCARGOS COMPLEMENTARES</v>
      </c>
      <c r="E809" s="289" t="str">
        <f>IFERROR(VLOOKUP($C809,'24.08_ND'!$A:$D,3,0),)</f>
        <v>H</v>
      </c>
      <c r="F809" s="290">
        <v>0.91166666699999999</v>
      </c>
      <c r="G809" s="291">
        <f>IFERROR(VLOOKUP($C809,'24.08_ND'!$A:$D,4,0),)</f>
        <v>23.2</v>
      </c>
      <c r="H809" s="292">
        <f>TRUNC(($F809*$G809),2)</f>
        <v>21.15</v>
      </c>
      <c r="I809" s="262"/>
      <c r="J809" s="262"/>
      <c r="K809" s="262"/>
      <c r="L809" s="262"/>
      <c r="M809" s="262"/>
      <c r="N809" s="262"/>
      <c r="O809" s="262"/>
      <c r="P809" s="262"/>
      <c r="Q809" s="262"/>
      <c r="R809" s="262"/>
      <c r="S809" s="262"/>
      <c r="T809" s="262"/>
      <c r="U809" s="262"/>
      <c r="V809" s="262"/>
      <c r="W809" s="262"/>
      <c r="X809" s="262"/>
      <c r="Y809" s="262"/>
      <c r="Z809" s="262"/>
      <c r="AA809" s="262"/>
      <c r="AB809" s="262"/>
      <c r="AD809" s="1791" t="e">
        <f>VLOOKUP(C809,'Medição '!$B$16:$F$1833,6,0)</f>
        <v>#N/A</v>
      </c>
      <c r="AE809" s="1791"/>
    </row>
    <row r="810" spans="1:31" ht="25.5">
      <c r="A810" s="285" t="s">
        <v>14478</v>
      </c>
      <c r="B810" s="407" t="s">
        <v>14476</v>
      </c>
      <c r="C810" s="408">
        <v>88316</v>
      </c>
      <c r="D810" s="288" t="str">
        <f>IFERROR(VLOOKUP($C810,'24.08_ND'!$A:$D,2,0),)</f>
        <v>SERVENTE COM ENCARGOS COMPLEMENTARES</v>
      </c>
      <c r="E810" s="289" t="str">
        <f>IFERROR(VLOOKUP($C810,'24.08_ND'!$A:$D,3,0),)</f>
        <v>H</v>
      </c>
      <c r="F810" s="290">
        <v>0.45500000000000002</v>
      </c>
      <c r="G810" s="291">
        <f>IFERROR(VLOOKUP($C810,'24.08_ND'!$A:$D,4,0),)</f>
        <v>18.510000000000002</v>
      </c>
      <c r="H810" s="292">
        <f>TRUNC(($F810*$G810),2)</f>
        <v>8.42</v>
      </c>
      <c r="I810" s="262"/>
      <c r="J810" s="262"/>
      <c r="K810" s="262"/>
      <c r="L810" s="262"/>
      <c r="M810" s="262"/>
      <c r="N810" s="262"/>
      <c r="O810" s="262"/>
      <c r="P810" s="262"/>
      <c r="Q810" s="262"/>
      <c r="R810" s="262"/>
      <c r="S810" s="262"/>
      <c r="T810" s="262"/>
      <c r="U810" s="262"/>
      <c r="V810" s="262"/>
      <c r="W810" s="262"/>
      <c r="X810" s="262"/>
      <c r="Y810" s="262"/>
      <c r="Z810" s="262"/>
      <c r="AA810" s="262"/>
      <c r="AB810" s="262"/>
      <c r="AD810" s="1791" t="e">
        <f>VLOOKUP(C810,'Medição '!$B$16:$F$1833,6,0)</f>
        <v>#N/A</v>
      </c>
      <c r="AE810" s="1791"/>
    </row>
    <row r="811" spans="1:31" ht="12.75">
      <c r="A811" s="319" t="s">
        <v>14479</v>
      </c>
      <c r="B811" s="320" t="s">
        <v>14491</v>
      </c>
      <c r="C811" s="600" t="s">
        <v>14779</v>
      </c>
      <c r="D811" s="321" t="str">
        <f>VLOOKUP($C811,'09 - MC'!$A:$F,2,0)</f>
        <v>GRANITO BRANCO ITAÚNAS PISO / PEITORIL</v>
      </c>
      <c r="E811" s="322" t="str">
        <f>VLOOKUP($C811,'09 - MC'!$A:$F,3,0)</f>
        <v>M2</v>
      </c>
      <c r="F811" s="323">
        <f>0.2*1.05</f>
        <v>0.21000000000000002</v>
      </c>
      <c r="G811" s="324">
        <f>VLOOKUP($C811,'09 - MC'!$A:$F,6,0)</f>
        <v>628.59</v>
      </c>
      <c r="H811" s="325">
        <f>TRUNC(G811*F811,2)</f>
        <v>132</v>
      </c>
      <c r="I811" s="262"/>
      <c r="J811" s="262"/>
      <c r="K811" s="262"/>
      <c r="L811" s="262"/>
      <c r="M811" s="262"/>
      <c r="N811" s="262"/>
      <c r="O811" s="262"/>
      <c r="P811" s="262"/>
      <c r="Q811" s="262"/>
      <c r="R811" s="262"/>
      <c r="S811" s="262"/>
      <c r="T811" s="262"/>
      <c r="U811" s="262"/>
      <c r="V811" s="262"/>
      <c r="W811" s="262"/>
      <c r="X811" s="262"/>
      <c r="Y811" s="262"/>
      <c r="Z811" s="262"/>
      <c r="AA811" s="262"/>
      <c r="AB811" s="262"/>
    </row>
    <row r="812" spans="1:31" ht="12.75">
      <c r="A812" s="494" t="s">
        <v>14479</v>
      </c>
      <c r="B812" s="495" t="s">
        <v>14476</v>
      </c>
      <c r="C812" s="348">
        <v>37595</v>
      </c>
      <c r="D812" s="296" t="str">
        <f>IFERROR(VLOOKUP($C812,'24.08_ND'!$A:$D,2,0),)</f>
        <v>ARGAMASSA COLANTE TIPO AC III</v>
      </c>
      <c r="E812" s="297" t="str">
        <f>IFERROR(VLOOKUP($C812,'24.08_ND'!$A:$D,3,0),)</f>
        <v>KG</v>
      </c>
      <c r="F812" s="298">
        <v>2.15</v>
      </c>
      <c r="G812" s="299">
        <f>IFERROR(VLOOKUP($C812,'24.08_ND'!$A:$D,4,0),)</f>
        <v>3.36</v>
      </c>
      <c r="H812" s="300">
        <f>TRUNC(($F812*$G812),2)</f>
        <v>7.22</v>
      </c>
      <c r="I812" s="262"/>
      <c r="J812" s="262"/>
      <c r="K812" s="262"/>
      <c r="L812" s="262"/>
      <c r="M812" s="262"/>
      <c r="N812" s="262"/>
      <c r="O812" s="262"/>
      <c r="P812" s="262"/>
      <c r="Q812" s="262"/>
      <c r="R812" s="262"/>
      <c r="S812" s="262"/>
      <c r="T812" s="262"/>
      <c r="U812" s="262"/>
      <c r="V812" s="262"/>
      <c r="W812" s="262"/>
      <c r="X812" s="262"/>
      <c r="Y812" s="262"/>
      <c r="Z812" s="262"/>
      <c r="AA812" s="262"/>
      <c r="AB812" s="262"/>
    </row>
    <row r="813" spans="1:31" ht="12.75">
      <c r="A813" s="309"/>
      <c r="B813" s="303"/>
      <c r="C813" s="303"/>
      <c r="D813" s="310"/>
      <c r="E813" s="303"/>
      <c r="F813" s="306"/>
      <c r="G813" s="307"/>
      <c r="H813" s="308"/>
      <c r="I813" s="262"/>
      <c r="J813" s="262"/>
      <c r="K813" s="262"/>
      <c r="L813" s="262"/>
      <c r="M813" s="262"/>
      <c r="N813" s="262"/>
      <c r="O813" s="262"/>
      <c r="P813" s="262"/>
      <c r="Q813" s="262"/>
      <c r="R813" s="262"/>
      <c r="S813" s="262"/>
      <c r="T813" s="262"/>
      <c r="U813" s="262"/>
      <c r="V813" s="262"/>
      <c r="W813" s="262"/>
      <c r="X813" s="262"/>
      <c r="Y813" s="262"/>
      <c r="Z813" s="262"/>
      <c r="AA813" s="262"/>
      <c r="AB813" s="262"/>
    </row>
    <row r="814" spans="1:31" ht="25.5">
      <c r="A814" s="271" t="s">
        <v>14471</v>
      </c>
      <c r="B814" s="272" t="s">
        <v>14472</v>
      </c>
      <c r="C814" s="360" t="s">
        <v>14786</v>
      </c>
      <c r="D814" s="274" t="s">
        <v>14787</v>
      </c>
      <c r="E814" s="272" t="s">
        <v>50</v>
      </c>
      <c r="F814" s="272"/>
      <c r="G814" s="272"/>
      <c r="H814" s="275">
        <f>TRUNC(SUM(H816:H819),2)</f>
        <v>45.25</v>
      </c>
      <c r="I814" s="276">
        <f>COUNTIF($C$8:$C814,C:C)</f>
        <v>1</v>
      </c>
      <c r="J814" s="262"/>
      <c r="K814" s="262"/>
      <c r="L814" s="262"/>
      <c r="M814" s="262"/>
      <c r="N814" s="262"/>
      <c r="O814" s="262"/>
      <c r="P814" s="262"/>
      <c r="Q814" s="262"/>
      <c r="R814" s="262"/>
      <c r="S814" s="262"/>
      <c r="T814" s="262"/>
      <c r="U814" s="262"/>
      <c r="V814" s="262"/>
      <c r="W814" s="262"/>
      <c r="X814" s="262"/>
      <c r="Y814" s="262"/>
      <c r="Z814" s="262"/>
      <c r="AA814" s="262"/>
      <c r="AB814" s="262"/>
    </row>
    <row r="815" spans="1:31" ht="12.75">
      <c r="A815" s="277" t="s">
        <v>14475</v>
      </c>
      <c r="B815" s="488" t="s">
        <v>14476</v>
      </c>
      <c r="C815" s="489">
        <v>98689</v>
      </c>
      <c r="D815" s="490" t="s">
        <v>14477</v>
      </c>
      <c r="E815" s="606"/>
      <c r="F815" s="282"/>
      <c r="G815" s="492"/>
      <c r="H815" s="493"/>
      <c r="I815" s="262"/>
      <c r="J815" s="262"/>
      <c r="K815" s="262"/>
      <c r="L815" s="262"/>
      <c r="M815" s="262"/>
      <c r="N815" s="262"/>
      <c r="O815" s="262"/>
      <c r="P815" s="262"/>
      <c r="Q815" s="262"/>
      <c r="R815" s="262"/>
      <c r="S815" s="262"/>
      <c r="T815" s="262"/>
      <c r="U815" s="262"/>
      <c r="V815" s="262"/>
      <c r="W815" s="262"/>
      <c r="X815" s="262"/>
      <c r="Y815" s="262"/>
      <c r="Z815" s="262"/>
      <c r="AA815" s="262"/>
      <c r="AB815" s="262"/>
    </row>
    <row r="816" spans="1:31" ht="25.5">
      <c r="A816" s="285" t="s">
        <v>14478</v>
      </c>
      <c r="B816" s="407" t="s">
        <v>14476</v>
      </c>
      <c r="C816" s="408">
        <v>88274</v>
      </c>
      <c r="D816" s="288" t="str">
        <f>IFERROR(VLOOKUP($C816,'24.08_ND'!$A:$D,2,0),)</f>
        <v>MARMORISTA/GRANITEIRO COM ENCARGOS COMPLEMENTARES</v>
      </c>
      <c r="E816" s="289" t="str">
        <f>IFERROR(VLOOKUP($C816,'24.08_ND'!$A:$D,3,0),)</f>
        <v>H</v>
      </c>
      <c r="F816" s="290">
        <f>F809/3</f>
        <v>0.303888889</v>
      </c>
      <c r="G816" s="291">
        <f>IFERROR(VLOOKUP($C816,'24.08_ND'!$A:$D,4,0),)</f>
        <v>23.2</v>
      </c>
      <c r="H816" s="292">
        <f>TRUNC(($F816*$G816),2)</f>
        <v>7.05</v>
      </c>
      <c r="I816" s="262"/>
      <c r="J816" s="262"/>
      <c r="K816" s="262"/>
      <c r="L816" s="262"/>
      <c r="M816" s="262"/>
      <c r="N816" s="262"/>
      <c r="O816" s="262"/>
      <c r="P816" s="262"/>
      <c r="Q816" s="262"/>
      <c r="R816" s="262"/>
      <c r="S816" s="262"/>
      <c r="T816" s="262"/>
      <c r="U816" s="262"/>
      <c r="V816" s="262"/>
      <c r="W816" s="262"/>
      <c r="X816" s="262"/>
      <c r="Y816" s="262"/>
      <c r="Z816" s="262"/>
      <c r="AA816" s="262"/>
      <c r="AB816" s="262"/>
      <c r="AD816" s="1791" t="e">
        <f>VLOOKUP(C816,'Medição '!$B$16:$F$1833,6,0)</f>
        <v>#N/A</v>
      </c>
      <c r="AE816" s="1791"/>
    </row>
    <row r="817" spans="1:31" ht="25.5">
      <c r="A817" s="285" t="s">
        <v>14478</v>
      </c>
      <c r="B817" s="407" t="s">
        <v>14476</v>
      </c>
      <c r="C817" s="408">
        <v>88316</v>
      </c>
      <c r="D817" s="288" t="str">
        <f>IFERROR(VLOOKUP($C817,'24.08_ND'!$A:$D,2,0),)</f>
        <v>SERVENTE COM ENCARGOS COMPLEMENTARES</v>
      </c>
      <c r="E817" s="289" t="str">
        <f>IFERROR(VLOOKUP($C817,'24.08_ND'!$A:$D,3,0),)</f>
        <v>H</v>
      </c>
      <c r="F817" s="290">
        <f>F810/3</f>
        <v>0.15166666666666667</v>
      </c>
      <c r="G817" s="291">
        <f>IFERROR(VLOOKUP($C817,'24.08_ND'!$A:$D,4,0),)</f>
        <v>18.510000000000002</v>
      </c>
      <c r="H817" s="292">
        <f>TRUNC(($F817*$G817),2)</f>
        <v>2.8</v>
      </c>
      <c r="I817" s="262"/>
      <c r="J817" s="262"/>
      <c r="K817" s="262"/>
      <c r="L817" s="262"/>
      <c r="M817" s="262"/>
      <c r="N817" s="262"/>
      <c r="O817" s="262"/>
      <c r="P817" s="262"/>
      <c r="Q817" s="262"/>
      <c r="R817" s="262"/>
      <c r="S817" s="262"/>
      <c r="T817" s="262"/>
      <c r="U817" s="262"/>
      <c r="V817" s="262"/>
      <c r="W817" s="262"/>
      <c r="X817" s="262"/>
      <c r="Y817" s="262"/>
      <c r="Z817" s="262"/>
      <c r="AA817" s="262"/>
      <c r="AB817" s="262"/>
      <c r="AD817" s="1791" t="e">
        <f>VLOOKUP(C817,'Medição '!$B$16:$F$1833,6,0)</f>
        <v>#N/A</v>
      </c>
      <c r="AE817" s="1791"/>
    </row>
    <row r="818" spans="1:31" ht="12.75">
      <c r="A818" s="319" t="s">
        <v>14479</v>
      </c>
      <c r="B818" s="320" t="s">
        <v>14491</v>
      </c>
      <c r="C818" s="600" t="s">
        <v>14779</v>
      </c>
      <c r="D818" s="321" t="str">
        <f>VLOOKUP($C818,'09 - MC'!$A:$F,2,0)</f>
        <v>GRANITO BRANCO ITAÚNAS PISO / PEITORIL</v>
      </c>
      <c r="E818" s="322" t="str">
        <f>VLOOKUP($C818,'09 - MC'!$A:$F,3,0)</f>
        <v>M2</v>
      </c>
      <c r="F818" s="323">
        <f>F811/4</f>
        <v>5.2500000000000005E-2</v>
      </c>
      <c r="G818" s="324">
        <f>VLOOKUP($C818,'09 - MC'!$A:$F,6,0)</f>
        <v>628.59</v>
      </c>
      <c r="H818" s="325">
        <f>TRUNC(G818*F818,2)</f>
        <v>33</v>
      </c>
      <c r="I818" s="262"/>
      <c r="J818" s="262"/>
      <c r="K818" s="262"/>
      <c r="L818" s="262"/>
      <c r="M818" s="262"/>
      <c r="N818" s="262"/>
      <c r="O818" s="262"/>
      <c r="P818" s="262"/>
      <c r="Q818" s="262"/>
      <c r="R818" s="262"/>
      <c r="S818" s="262"/>
      <c r="T818" s="262"/>
      <c r="U818" s="262"/>
      <c r="V818" s="262"/>
      <c r="W818" s="262"/>
      <c r="X818" s="262"/>
      <c r="Y818" s="262"/>
      <c r="Z818" s="262"/>
      <c r="AA818" s="262"/>
      <c r="AB818" s="262"/>
    </row>
    <row r="819" spans="1:31" ht="12.75">
      <c r="A819" s="494" t="s">
        <v>14479</v>
      </c>
      <c r="B819" s="495" t="s">
        <v>14476</v>
      </c>
      <c r="C819" s="348">
        <v>37595</v>
      </c>
      <c r="D819" s="296" t="str">
        <f>IFERROR(VLOOKUP($C819,'24.08_ND'!$A:$D,2,0),)</f>
        <v>ARGAMASSA COLANTE TIPO AC III</v>
      </c>
      <c r="E819" s="297" t="str">
        <f>IFERROR(VLOOKUP($C819,'24.08_ND'!$A:$D,3,0),)</f>
        <v>KG</v>
      </c>
      <c r="F819" s="298">
        <f>F812/3</f>
        <v>0.71666666666666667</v>
      </c>
      <c r="G819" s="299">
        <f>IFERROR(VLOOKUP($C819,'24.08_ND'!$A:$D,4,0),)</f>
        <v>3.36</v>
      </c>
      <c r="H819" s="300">
        <f>TRUNC(($F819*$G819),2)</f>
        <v>2.4</v>
      </c>
      <c r="I819" s="262"/>
      <c r="J819" s="262"/>
      <c r="K819" s="262"/>
      <c r="L819" s="262"/>
      <c r="M819" s="262"/>
      <c r="N819" s="262"/>
      <c r="O819" s="262"/>
      <c r="P819" s="262"/>
      <c r="Q819" s="262"/>
      <c r="R819" s="262"/>
      <c r="S819" s="262"/>
      <c r="T819" s="262"/>
      <c r="U819" s="262"/>
      <c r="V819" s="262"/>
      <c r="W819" s="262"/>
      <c r="X819" s="262"/>
      <c r="Y819" s="262"/>
      <c r="Z819" s="262"/>
      <c r="AA819" s="262"/>
      <c r="AB819" s="262"/>
    </row>
    <row r="820" spans="1:31" ht="12.75">
      <c r="A820" s="309"/>
      <c r="B820" s="303"/>
      <c r="C820" s="303"/>
      <c r="D820" s="310"/>
      <c r="E820" s="303"/>
      <c r="F820" s="306"/>
      <c r="G820" s="307"/>
      <c r="H820" s="308"/>
      <c r="I820" s="262"/>
      <c r="J820" s="262"/>
      <c r="K820" s="262"/>
      <c r="L820" s="262"/>
      <c r="M820" s="262"/>
      <c r="N820" s="262"/>
      <c r="O820" s="262"/>
      <c r="P820" s="262"/>
      <c r="Q820" s="262"/>
      <c r="R820" s="262"/>
      <c r="S820" s="262"/>
      <c r="T820" s="262"/>
      <c r="U820" s="262"/>
      <c r="V820" s="262"/>
      <c r="W820" s="262"/>
      <c r="X820" s="262"/>
      <c r="Y820" s="262"/>
      <c r="Z820" s="262"/>
      <c r="AA820" s="262"/>
      <c r="AB820" s="262"/>
    </row>
    <row r="821" spans="1:31" ht="25.5">
      <c r="A821" s="358" t="s">
        <v>14471</v>
      </c>
      <c r="B821" s="359" t="s">
        <v>14472</v>
      </c>
      <c r="C821" s="360" t="s">
        <v>14788</v>
      </c>
      <c r="D821" s="361" t="s">
        <v>14789</v>
      </c>
      <c r="E821" s="359" t="s">
        <v>50</v>
      </c>
      <c r="F821" s="362"/>
      <c r="G821" s="362"/>
      <c r="H821" s="363">
        <f>TRUNC(SUM(H823:H826),2)</f>
        <v>202.97</v>
      </c>
      <c r="I821" s="276">
        <f>COUNTIF($C$8:$C821,C:C)</f>
        <v>1</v>
      </c>
      <c r="J821" s="262"/>
      <c r="K821" s="262"/>
      <c r="L821" s="262"/>
      <c r="M821" s="262"/>
      <c r="N821" s="262"/>
      <c r="O821" s="262"/>
      <c r="P821" s="262"/>
      <c r="Q821" s="262"/>
      <c r="R821" s="262"/>
      <c r="S821" s="262"/>
      <c r="T821" s="262"/>
      <c r="U821" s="262"/>
      <c r="V821" s="262"/>
      <c r="W821" s="262"/>
      <c r="X821" s="262"/>
      <c r="Y821" s="262"/>
      <c r="Z821" s="262"/>
      <c r="AA821" s="262"/>
      <c r="AB821" s="262"/>
    </row>
    <row r="822" spans="1:31" ht="12.75">
      <c r="A822" s="364" t="s">
        <v>14475</v>
      </c>
      <c r="B822" s="403" t="s">
        <v>14476</v>
      </c>
      <c r="C822" s="404">
        <v>101965</v>
      </c>
      <c r="D822" s="367" t="s">
        <v>14477</v>
      </c>
      <c r="E822" s="405"/>
      <c r="F822" s="369"/>
      <c r="G822" s="370"/>
      <c r="H822" s="371"/>
      <c r="I822" s="262"/>
      <c r="J822" s="262"/>
      <c r="K822" s="262"/>
      <c r="L822" s="262"/>
      <c r="M822" s="262"/>
      <c r="N822" s="262"/>
      <c r="O822" s="262"/>
      <c r="P822" s="262"/>
      <c r="Q822" s="262"/>
      <c r="R822" s="262"/>
      <c r="S822" s="262"/>
      <c r="T822" s="262"/>
      <c r="U822" s="262"/>
      <c r="V822" s="262"/>
      <c r="W822" s="262"/>
      <c r="X822" s="262"/>
      <c r="Y822" s="262"/>
      <c r="Z822" s="262"/>
      <c r="AA822" s="262"/>
      <c r="AB822" s="262"/>
    </row>
    <row r="823" spans="1:31" ht="25.5">
      <c r="A823" s="285" t="s">
        <v>14478</v>
      </c>
      <c r="B823" s="407" t="s">
        <v>14476</v>
      </c>
      <c r="C823" s="408">
        <v>88274</v>
      </c>
      <c r="D823" s="288" t="str">
        <f>IFERROR(VLOOKUP($C823,'24.08_ND'!$A:$D,2,0),)</f>
        <v>MARMORISTA/GRANITEIRO COM ENCARGOS COMPLEMENTARES</v>
      </c>
      <c r="E823" s="289" t="str">
        <f>IFERROR(VLOOKUP($C823,'24.08_ND'!$A:$D,3,0),)</f>
        <v>H</v>
      </c>
      <c r="F823" s="290">
        <v>0.91166666699999999</v>
      </c>
      <c r="G823" s="291">
        <f>IFERROR(VLOOKUP($C823,'24.08_ND'!$A:$D,4,0),)</f>
        <v>23.2</v>
      </c>
      <c r="H823" s="292">
        <f>TRUNC(($F823*$G823),2)</f>
        <v>21.15</v>
      </c>
      <c r="I823" s="262"/>
      <c r="J823" s="262"/>
      <c r="K823" s="262"/>
      <c r="L823" s="262"/>
      <c r="M823" s="262"/>
      <c r="N823" s="262"/>
      <c r="O823" s="262"/>
      <c r="P823" s="262"/>
      <c r="Q823" s="262"/>
      <c r="R823" s="262"/>
      <c r="S823" s="262"/>
      <c r="T823" s="262"/>
      <c r="U823" s="262"/>
      <c r="V823" s="262"/>
      <c r="W823" s="262"/>
      <c r="X823" s="262"/>
      <c r="Y823" s="262"/>
      <c r="Z823" s="262"/>
      <c r="AA823" s="262"/>
      <c r="AB823" s="262"/>
      <c r="AD823" s="1791" t="e">
        <f>VLOOKUP(C823,'Medição '!$B$16:$F$1833,6,0)</f>
        <v>#N/A</v>
      </c>
      <c r="AE823" s="1791"/>
    </row>
    <row r="824" spans="1:31" ht="25.5">
      <c r="A824" s="285" t="s">
        <v>14478</v>
      </c>
      <c r="B824" s="407" t="s">
        <v>14476</v>
      </c>
      <c r="C824" s="408">
        <v>88316</v>
      </c>
      <c r="D824" s="288" t="str">
        <f>IFERROR(VLOOKUP($C824,'24.08_ND'!$A:$D,2,0),)</f>
        <v>SERVENTE COM ENCARGOS COMPLEMENTARES</v>
      </c>
      <c r="E824" s="289" t="str">
        <f>IFERROR(VLOOKUP($C824,'24.08_ND'!$A:$D,3,0),)</f>
        <v>H</v>
      </c>
      <c r="F824" s="290">
        <v>0.45500000000000002</v>
      </c>
      <c r="G824" s="291">
        <f>IFERROR(VLOOKUP($C824,'24.08_ND'!$A:$D,4,0),)</f>
        <v>18.510000000000002</v>
      </c>
      <c r="H824" s="292">
        <f>TRUNC(($F824*$G824),2)</f>
        <v>8.42</v>
      </c>
      <c r="I824" s="262"/>
      <c r="J824" s="262"/>
      <c r="K824" s="262"/>
      <c r="L824" s="262"/>
      <c r="M824" s="262"/>
      <c r="N824" s="262"/>
      <c r="O824" s="262"/>
      <c r="P824" s="262"/>
      <c r="Q824" s="262"/>
      <c r="R824" s="262"/>
      <c r="S824" s="262"/>
      <c r="T824" s="262"/>
      <c r="U824" s="262"/>
      <c r="V824" s="262"/>
      <c r="W824" s="262"/>
      <c r="X824" s="262"/>
      <c r="Y824" s="262"/>
      <c r="Z824" s="262"/>
      <c r="AA824" s="262"/>
      <c r="AB824" s="262"/>
      <c r="AD824" s="1791" t="e">
        <f>VLOOKUP(C824,'Medição '!$B$16:$F$1833,6,0)</f>
        <v>#N/A</v>
      </c>
      <c r="AE824" s="1791"/>
    </row>
    <row r="825" spans="1:31" ht="12.75">
      <c r="A825" s="319" t="s">
        <v>14479</v>
      </c>
      <c r="B825" s="320" t="s">
        <v>14491</v>
      </c>
      <c r="C825" s="600" t="s">
        <v>14779</v>
      </c>
      <c r="D825" s="321" t="str">
        <f>VLOOKUP($C825,'09 - MC'!$A:$F,2,0)</f>
        <v>GRANITO BRANCO ITAÚNAS PISO / PEITORIL</v>
      </c>
      <c r="E825" s="322" t="str">
        <f>VLOOKUP($C825,'09 - MC'!$A:$F,3,0)</f>
        <v>M2</v>
      </c>
      <c r="F825" s="323">
        <f>0.25*1.05</f>
        <v>0.26250000000000001</v>
      </c>
      <c r="G825" s="324">
        <f>VLOOKUP($C825,'09 - MC'!$A:$F,6,0)</f>
        <v>628.59</v>
      </c>
      <c r="H825" s="325">
        <f>TRUNC(G825*F825,2)</f>
        <v>165</v>
      </c>
      <c r="I825" s="262"/>
      <c r="J825" s="262"/>
      <c r="K825" s="262"/>
      <c r="L825" s="262"/>
      <c r="M825" s="262"/>
      <c r="N825" s="262"/>
      <c r="O825" s="262"/>
      <c r="P825" s="262"/>
      <c r="Q825" s="262"/>
      <c r="R825" s="262"/>
      <c r="S825" s="262"/>
      <c r="T825" s="262"/>
      <c r="U825" s="262"/>
      <c r="V825" s="262"/>
      <c r="W825" s="262"/>
      <c r="X825" s="262"/>
      <c r="Y825" s="262"/>
      <c r="Z825" s="262"/>
      <c r="AA825" s="262"/>
      <c r="AB825" s="262"/>
    </row>
    <row r="826" spans="1:31" ht="12.75">
      <c r="A826" s="494" t="s">
        <v>14479</v>
      </c>
      <c r="B826" s="495" t="s">
        <v>14476</v>
      </c>
      <c r="C826" s="348">
        <v>37595</v>
      </c>
      <c r="D826" s="296" t="str">
        <f>IFERROR(VLOOKUP($C826,'24.08_ND'!$A:$D,2,0),)</f>
        <v>ARGAMASSA COLANTE TIPO AC III</v>
      </c>
      <c r="E826" s="297" t="str">
        <f>IFERROR(VLOOKUP($C826,'24.08_ND'!$A:$D,3,0),)</f>
        <v>KG</v>
      </c>
      <c r="F826" s="298">
        <v>2.5</v>
      </c>
      <c r="G826" s="299">
        <f>IFERROR(VLOOKUP($C826,'24.08_ND'!$A:$D,4,0),)</f>
        <v>3.36</v>
      </c>
      <c r="H826" s="300">
        <f>TRUNC(($F826*$G826),2)</f>
        <v>8.4</v>
      </c>
      <c r="I826" s="262"/>
      <c r="J826" s="262"/>
      <c r="K826" s="262"/>
      <c r="L826" s="262"/>
      <c r="M826" s="262"/>
      <c r="N826" s="262"/>
      <c r="O826" s="262"/>
      <c r="P826" s="262"/>
      <c r="Q826" s="262"/>
      <c r="R826" s="262"/>
      <c r="S826" s="262"/>
      <c r="T826" s="262"/>
      <c r="U826" s="262"/>
      <c r="V826" s="262"/>
      <c r="W826" s="262"/>
      <c r="X826" s="262"/>
      <c r="Y826" s="262"/>
      <c r="Z826" s="262"/>
      <c r="AA826" s="262"/>
      <c r="AB826" s="262"/>
    </row>
    <row r="827" spans="1:31" ht="12.75">
      <c r="A827" s="309"/>
      <c r="B827" s="303"/>
      <c r="C827" s="303"/>
      <c r="D827" s="310"/>
      <c r="E827" s="303"/>
      <c r="F827" s="306"/>
      <c r="G827" s="307"/>
      <c r="H827" s="308"/>
      <c r="I827" s="262"/>
      <c r="J827" s="262"/>
      <c r="K827" s="262"/>
      <c r="L827" s="262"/>
      <c r="M827" s="262"/>
      <c r="N827" s="262"/>
      <c r="O827" s="262"/>
      <c r="P827" s="262"/>
      <c r="Q827" s="262"/>
      <c r="R827" s="262"/>
      <c r="S827" s="262"/>
      <c r="T827" s="262"/>
      <c r="U827" s="262"/>
      <c r="V827" s="262"/>
      <c r="W827" s="262"/>
      <c r="X827" s="262"/>
      <c r="Y827" s="262"/>
      <c r="Z827" s="262"/>
      <c r="AA827" s="262"/>
      <c r="AB827" s="262"/>
    </row>
    <row r="828" spans="1:31" ht="25.5">
      <c r="A828" s="358" t="s">
        <v>14471</v>
      </c>
      <c r="B828" s="359" t="s">
        <v>14472</v>
      </c>
      <c r="C828" s="360" t="s">
        <v>14790</v>
      </c>
      <c r="D828" s="361" t="s">
        <v>14791</v>
      </c>
      <c r="E828" s="359" t="s">
        <v>409</v>
      </c>
      <c r="F828" s="362"/>
      <c r="G828" s="362"/>
      <c r="H828" s="363">
        <f>TRUNC(SUM(H830:H837),2)</f>
        <v>772.04</v>
      </c>
      <c r="I828" s="276">
        <f>COUNTIF($C$8:$C828,C:C)</f>
        <v>1</v>
      </c>
      <c r="J828" s="262"/>
      <c r="K828" s="262"/>
      <c r="L828" s="262"/>
      <c r="M828" s="262"/>
      <c r="N828" s="262"/>
      <c r="O828" s="262"/>
      <c r="P828" s="262"/>
      <c r="Q828" s="262"/>
      <c r="R828" s="262"/>
      <c r="S828" s="262"/>
      <c r="T828" s="262"/>
      <c r="U828" s="262"/>
      <c r="V828" s="262"/>
      <c r="W828" s="262"/>
      <c r="X828" s="262"/>
      <c r="Y828" s="262"/>
      <c r="Z828" s="262"/>
      <c r="AA828" s="262"/>
      <c r="AB828" s="262"/>
    </row>
    <row r="829" spans="1:31" ht="12.75">
      <c r="A829" s="364" t="s">
        <v>14475</v>
      </c>
      <c r="B829" s="403" t="s">
        <v>14476</v>
      </c>
      <c r="C829" s="404">
        <v>102254</v>
      </c>
      <c r="D829" s="367" t="s">
        <v>14602</v>
      </c>
      <c r="E829" s="405"/>
      <c r="F829" s="369"/>
      <c r="G829" s="370"/>
      <c r="H829" s="371"/>
      <c r="I829" s="262"/>
      <c r="J829" s="262"/>
      <c r="K829" s="262"/>
      <c r="L829" s="262"/>
      <c r="M829" s="262"/>
      <c r="N829" s="262"/>
      <c r="O829" s="262"/>
      <c r="P829" s="262"/>
      <c r="Q829" s="262"/>
      <c r="R829" s="262"/>
      <c r="S829" s="262"/>
      <c r="T829" s="262"/>
      <c r="U829" s="262"/>
      <c r="V829" s="262"/>
      <c r="W829" s="262"/>
      <c r="X829" s="262"/>
      <c r="Y829" s="262"/>
      <c r="Z829" s="262"/>
      <c r="AA829" s="262"/>
      <c r="AB829" s="262"/>
    </row>
    <row r="830" spans="1:31" ht="25.5">
      <c r="A830" s="285" t="s">
        <v>14478</v>
      </c>
      <c r="B830" s="407" t="s">
        <v>14476</v>
      </c>
      <c r="C830" s="408">
        <v>88274</v>
      </c>
      <c r="D830" s="288" t="str">
        <f>IFERROR(VLOOKUP($C830,'24.08_ND'!$A:$D,2,0),)</f>
        <v>MARMORISTA/GRANITEIRO COM ENCARGOS COMPLEMENTARES</v>
      </c>
      <c r="E830" s="289" t="str">
        <f>IFERROR(VLOOKUP($C830,'24.08_ND'!$A:$D,3,0),)</f>
        <v>H</v>
      </c>
      <c r="F830" s="290">
        <v>1.405</v>
      </c>
      <c r="G830" s="291">
        <f>IFERROR(VLOOKUP($C830,'24.08_ND'!$A:$D,4,0),)</f>
        <v>23.2</v>
      </c>
      <c r="H830" s="292">
        <f t="shared" ref="H830:H836" si="32">TRUNC(($F830*$G830),2)</f>
        <v>32.590000000000003</v>
      </c>
      <c r="I830" s="262"/>
      <c r="J830" s="262"/>
      <c r="K830" s="262"/>
      <c r="L830" s="262"/>
      <c r="M830" s="262"/>
      <c r="N830" s="262"/>
      <c r="O830" s="262"/>
      <c r="P830" s="262"/>
      <c r="Q830" s="262"/>
      <c r="R830" s="262"/>
      <c r="S830" s="262"/>
      <c r="T830" s="262"/>
      <c r="U830" s="262"/>
      <c r="V830" s="262"/>
      <c r="W830" s="262"/>
      <c r="X830" s="262"/>
      <c r="Y830" s="262"/>
      <c r="Z830" s="262"/>
      <c r="AA830" s="262"/>
      <c r="AB830" s="262"/>
      <c r="AD830" s="1791" t="e">
        <f>VLOOKUP(C830,'Medição '!$B$16:$F$1833,6,0)</f>
        <v>#N/A</v>
      </c>
      <c r="AE830" s="1791"/>
    </row>
    <row r="831" spans="1:31" ht="25.5">
      <c r="A831" s="285" t="s">
        <v>14478</v>
      </c>
      <c r="B831" s="407" t="s">
        <v>14476</v>
      </c>
      <c r="C831" s="408">
        <v>91693</v>
      </c>
      <c r="D831" s="288" t="str">
        <f>IFERROR(VLOOKUP($C831,'24.08_ND'!$A:$D,2,0),)</f>
        <v>SERRA CIRCULAR DE BANCADA COM MOTOR ELÉTRICO POTÊNCIA DE 5HP, COM COIFA PARA DISCO 10" - CHI DIURNO. AF_08/2015</v>
      </c>
      <c r="E831" s="289" t="str">
        <f>IFERROR(VLOOKUP($C831,'24.08_ND'!$A:$D,3,0),)</f>
        <v>CHI</v>
      </c>
      <c r="F831" s="290">
        <v>1.3160000000000001</v>
      </c>
      <c r="G831" s="291">
        <f>IFERROR(VLOOKUP($C831,'24.08_ND'!$A:$D,4,0),)</f>
        <v>19.899999999999999</v>
      </c>
      <c r="H831" s="292">
        <f t="shared" si="32"/>
        <v>26.18</v>
      </c>
      <c r="I831" s="262"/>
      <c r="J831" s="262"/>
      <c r="K831" s="262"/>
      <c r="L831" s="262"/>
      <c r="M831" s="262"/>
      <c r="N831" s="262"/>
      <c r="O831" s="262"/>
      <c r="P831" s="262"/>
      <c r="Q831" s="262"/>
      <c r="R831" s="262"/>
      <c r="S831" s="262"/>
      <c r="T831" s="262"/>
      <c r="U831" s="262"/>
      <c r="V831" s="262"/>
      <c r="W831" s="262"/>
      <c r="X831" s="262"/>
      <c r="Y831" s="262"/>
      <c r="Z831" s="262"/>
      <c r="AA831" s="262"/>
      <c r="AB831" s="262"/>
      <c r="AD831" s="1791" t="e">
        <f>VLOOKUP(C831,'Medição '!$B$16:$F$1833,6,0)</f>
        <v>#N/A</v>
      </c>
      <c r="AE831" s="1791"/>
    </row>
    <row r="832" spans="1:31" ht="25.5">
      <c r="A832" s="285" t="s">
        <v>14478</v>
      </c>
      <c r="B832" s="407" t="s">
        <v>14476</v>
      </c>
      <c r="C832" s="408">
        <v>91692</v>
      </c>
      <c r="D832" s="288" t="str">
        <f>IFERROR(VLOOKUP($C832,'24.08_ND'!$A:$D,2,0),)</f>
        <v>SERRA CIRCULAR DE BANCADA COM MOTOR ELÉTRICO POTÊNCIA DE 5HP, COM COIFA PARA DISCO 10" - CHP DIURNO. AF_08/2015</v>
      </c>
      <c r="E832" s="289" t="str">
        <f>IFERROR(VLOOKUP($C832,'24.08_ND'!$A:$D,3,0),)</f>
        <v>CHP</v>
      </c>
      <c r="F832" s="290">
        <v>8.8999999999999996E-2</v>
      </c>
      <c r="G832" s="291">
        <f>IFERROR(VLOOKUP($C832,'24.08_ND'!$A:$D,4,0),)</f>
        <v>21.22</v>
      </c>
      <c r="H832" s="292">
        <f t="shared" si="32"/>
        <v>1.88</v>
      </c>
      <c r="I832" s="262"/>
      <c r="J832" s="262"/>
      <c r="K832" s="262"/>
      <c r="L832" s="262"/>
      <c r="M832" s="262"/>
      <c r="N832" s="262"/>
      <c r="O832" s="262"/>
      <c r="P832" s="262"/>
      <c r="Q832" s="262"/>
      <c r="R832" s="262"/>
      <c r="S832" s="262"/>
      <c r="T832" s="262"/>
      <c r="U832" s="262"/>
      <c r="V832" s="262"/>
      <c r="W832" s="262"/>
      <c r="X832" s="262"/>
      <c r="Y832" s="262"/>
      <c r="Z832" s="262"/>
      <c r="AA832" s="262"/>
      <c r="AB832" s="262"/>
      <c r="AD832" s="1791" t="e">
        <f>VLOOKUP(C832,'Medição '!$B$16:$F$1833,6,0)</f>
        <v>#N/A</v>
      </c>
      <c r="AE832" s="1791"/>
    </row>
    <row r="833" spans="1:31" ht="25.5">
      <c r="A833" s="285" t="s">
        <v>14478</v>
      </c>
      <c r="B833" s="407" t="s">
        <v>14476</v>
      </c>
      <c r="C833" s="408">
        <v>88316</v>
      </c>
      <c r="D833" s="288" t="str">
        <f>IFERROR(VLOOKUP($C833,'24.08_ND'!$A:$D,2,0),)</f>
        <v>SERVENTE COM ENCARGOS COMPLEMENTARES</v>
      </c>
      <c r="E833" s="289" t="str">
        <f>IFERROR(VLOOKUP($C833,'24.08_ND'!$A:$D,3,0),)</f>
        <v>H</v>
      </c>
      <c r="F833" s="290">
        <v>0.70199999999999996</v>
      </c>
      <c r="G833" s="291">
        <f>IFERROR(VLOOKUP($C833,'24.08_ND'!$A:$D,4,0),)</f>
        <v>18.510000000000002</v>
      </c>
      <c r="H833" s="292">
        <f t="shared" si="32"/>
        <v>12.99</v>
      </c>
      <c r="I833" s="262"/>
      <c r="J833" s="262"/>
      <c r="K833" s="262"/>
      <c r="L833" s="262"/>
      <c r="M833" s="262"/>
      <c r="N833" s="262"/>
      <c r="O833" s="262"/>
      <c r="P833" s="262"/>
      <c r="Q833" s="262"/>
      <c r="R833" s="262"/>
      <c r="S833" s="262"/>
      <c r="T833" s="262"/>
      <c r="U833" s="262"/>
      <c r="V833" s="262"/>
      <c r="W833" s="262"/>
      <c r="X833" s="262"/>
      <c r="Y833" s="262"/>
      <c r="Z833" s="262"/>
      <c r="AA833" s="262"/>
      <c r="AB833" s="262"/>
      <c r="AD833" s="1791" t="e">
        <f>VLOOKUP(C833,'Medição '!$B$16:$F$1833,6,0)</f>
        <v>#N/A</v>
      </c>
      <c r="AE833" s="1791"/>
    </row>
    <row r="834" spans="1:31" ht="12.75">
      <c r="A834" s="581" t="s">
        <v>14479</v>
      </c>
      <c r="B834" s="582" t="s">
        <v>14476</v>
      </c>
      <c r="C834" s="447">
        <v>43082</v>
      </c>
      <c r="D834" s="596" t="str">
        <f>IFERROR(VLOOKUP($C834,'24.08_ND'!$A:$D,2,0),)</f>
        <v>PERFIL "I" OU "W" EM ACO LAMINADO, QUAISQUER DIMENSOES</v>
      </c>
      <c r="E834" s="597" t="str">
        <f>IFERROR(VLOOKUP($C834,'24.08_ND'!$A:$D,3,0),)</f>
        <v>KG</v>
      </c>
      <c r="F834" s="385">
        <v>1.175</v>
      </c>
      <c r="G834" s="598">
        <f>IFERROR(VLOOKUP($C834,'24.08_ND'!$A:$D,4,0),)</f>
        <v>9.11</v>
      </c>
      <c r="H834" s="449">
        <f t="shared" si="32"/>
        <v>10.7</v>
      </c>
      <c r="I834" s="262"/>
      <c r="J834" s="262"/>
      <c r="K834" s="262"/>
      <c r="L834" s="262"/>
      <c r="M834" s="262"/>
      <c r="N834" s="262"/>
      <c r="O834" s="262"/>
      <c r="P834" s="262"/>
      <c r="Q834" s="262"/>
      <c r="R834" s="262"/>
      <c r="S834" s="262"/>
      <c r="T834" s="262"/>
      <c r="U834" s="262"/>
      <c r="V834" s="262"/>
      <c r="W834" s="262"/>
      <c r="X834" s="262"/>
      <c r="Y834" s="262"/>
      <c r="Z834" s="262"/>
      <c r="AA834" s="262"/>
      <c r="AB834" s="262"/>
    </row>
    <row r="835" spans="1:31" ht="25.5">
      <c r="A835" s="494" t="s">
        <v>14479</v>
      </c>
      <c r="B835" s="495" t="s">
        <v>14476</v>
      </c>
      <c r="C835" s="348">
        <v>131</v>
      </c>
      <c r="D835" s="296" t="str">
        <f>IFERROR(VLOOKUP($C835,'24.08_ND'!$A:$D,2,0),)</f>
        <v>ADESIVO ESTRUTURAL A BASE DE RESINA EPOXI, BICOMPONENTE, PASTOSO (TIXOTROPICO)</v>
      </c>
      <c r="E835" s="297" t="str">
        <f>IFERROR(VLOOKUP($C835,'24.08_ND'!$A:$D,3,0),)</f>
        <v>KG</v>
      </c>
      <c r="F835" s="298">
        <v>0.53</v>
      </c>
      <c r="G835" s="299">
        <f>IFERROR(VLOOKUP($C835,'24.08_ND'!$A:$D,4,0),)</f>
        <v>45.21</v>
      </c>
      <c r="H835" s="300">
        <f t="shared" si="32"/>
        <v>23.96</v>
      </c>
      <c r="I835" s="262"/>
      <c r="J835" s="262"/>
      <c r="K835" s="262"/>
      <c r="L835" s="262"/>
      <c r="M835" s="262"/>
      <c r="N835" s="262"/>
      <c r="O835" s="262"/>
      <c r="P835" s="262"/>
      <c r="Q835" s="262"/>
      <c r="R835" s="262"/>
      <c r="S835" s="262"/>
      <c r="T835" s="262"/>
      <c r="U835" s="262"/>
      <c r="V835" s="262"/>
      <c r="W835" s="262"/>
      <c r="X835" s="262"/>
      <c r="Y835" s="262"/>
      <c r="Z835" s="262"/>
      <c r="AA835" s="262"/>
      <c r="AB835" s="262"/>
    </row>
    <row r="836" spans="1:31" ht="12.75">
      <c r="A836" s="494" t="s">
        <v>14479</v>
      </c>
      <c r="B836" s="495" t="s">
        <v>14476</v>
      </c>
      <c r="C836" s="348">
        <v>37596</v>
      </c>
      <c r="D836" s="296" t="str">
        <f>IFERROR(VLOOKUP($C836,'24.08_ND'!$A:$D,2,0),)</f>
        <v>ARGAMASSA COLANTE TIPO AC III E</v>
      </c>
      <c r="E836" s="297" t="str">
        <f>IFERROR(VLOOKUP($C836,'24.08_ND'!$A:$D,3,0),)</f>
        <v>KG</v>
      </c>
      <c r="F836" s="298">
        <v>0.97</v>
      </c>
      <c r="G836" s="299">
        <f>IFERROR(VLOOKUP($C836,'24.08_ND'!$A:$D,4,0),)</f>
        <v>3.85</v>
      </c>
      <c r="H836" s="300">
        <f t="shared" si="32"/>
        <v>3.73</v>
      </c>
      <c r="I836" s="262"/>
      <c r="J836" s="262"/>
      <c r="K836" s="262"/>
      <c r="L836" s="262"/>
      <c r="M836" s="262"/>
      <c r="N836" s="262"/>
      <c r="O836" s="262"/>
      <c r="P836" s="262"/>
      <c r="Q836" s="262"/>
      <c r="R836" s="262"/>
      <c r="S836" s="262"/>
      <c r="T836" s="262"/>
      <c r="U836" s="262"/>
      <c r="V836" s="262"/>
      <c r="W836" s="262"/>
      <c r="X836" s="262"/>
      <c r="Y836" s="262"/>
      <c r="Z836" s="262"/>
      <c r="AA836" s="262"/>
      <c r="AB836" s="262"/>
    </row>
    <row r="837" spans="1:31" ht="12.75">
      <c r="A837" s="599" t="s">
        <v>14479</v>
      </c>
      <c r="B837" s="600" t="s">
        <v>14491</v>
      </c>
      <c r="C837" s="600" t="s">
        <v>14774</v>
      </c>
      <c r="D837" s="601" t="str">
        <f>VLOOKUP($C837,'09 - MC'!$A:$F,2,0)</f>
        <v>GRANITO BRANCO ITAÚNAS - LEVIGADO</v>
      </c>
      <c r="E837" s="602" t="str">
        <f>VLOOKUP($C837,'09 - MC'!$A:$F,3,0)</f>
        <v>M2</v>
      </c>
      <c r="F837" s="603">
        <v>1.05</v>
      </c>
      <c r="G837" s="604">
        <f>VLOOKUP($C837,'09 - MC'!$A:$F,6,0)</f>
        <v>628.59</v>
      </c>
      <c r="H837" s="605">
        <f>TRUNC(G837*F837,2)</f>
        <v>660.01</v>
      </c>
      <c r="I837" s="262"/>
      <c r="J837" s="262"/>
      <c r="K837" s="262"/>
      <c r="L837" s="262"/>
      <c r="M837" s="262"/>
      <c r="N837" s="262"/>
      <c r="O837" s="262"/>
      <c r="P837" s="262"/>
      <c r="Q837" s="262"/>
      <c r="R837" s="262"/>
      <c r="S837" s="262"/>
      <c r="T837" s="262"/>
      <c r="U837" s="262"/>
      <c r="V837" s="262"/>
      <c r="W837" s="262"/>
      <c r="X837" s="262"/>
      <c r="Y837" s="262"/>
      <c r="Z837" s="262"/>
      <c r="AA837" s="262"/>
      <c r="AB837" s="262"/>
    </row>
    <row r="838" spans="1:31" ht="12.75">
      <c r="A838" s="309"/>
      <c r="B838" s="303"/>
      <c r="C838" s="303"/>
      <c r="D838" s="310"/>
      <c r="E838" s="303"/>
      <c r="F838" s="306"/>
      <c r="G838" s="307"/>
      <c r="H838" s="308"/>
      <c r="I838" s="262"/>
      <c r="J838" s="262"/>
      <c r="K838" s="262"/>
      <c r="L838" s="262"/>
      <c r="M838" s="262"/>
      <c r="N838" s="262"/>
      <c r="O838" s="262"/>
      <c r="P838" s="262"/>
      <c r="Q838" s="262"/>
      <c r="R838" s="262"/>
      <c r="S838" s="262"/>
      <c r="T838" s="262"/>
      <c r="U838" s="262"/>
      <c r="V838" s="262"/>
      <c r="W838" s="262"/>
      <c r="X838" s="262"/>
      <c r="Y838" s="262"/>
      <c r="Z838" s="262"/>
      <c r="AA838" s="262"/>
      <c r="AB838" s="262"/>
    </row>
    <row r="839" spans="1:31" ht="12.75">
      <c r="A839" s="358" t="s">
        <v>14471</v>
      </c>
      <c r="B839" s="359" t="s">
        <v>14472</v>
      </c>
      <c r="C839" s="360" t="s">
        <v>14792</v>
      </c>
      <c r="D839" s="361" t="s">
        <v>14793</v>
      </c>
      <c r="E839" s="359" t="s">
        <v>50</v>
      </c>
      <c r="F839" s="362"/>
      <c r="G839" s="362"/>
      <c r="H839" s="363">
        <f>SUM(H841:H846)</f>
        <v>6.6700000000000008</v>
      </c>
      <c r="I839" s="276">
        <f>COUNTIF($C$8:$C839,C:C)</f>
        <v>1</v>
      </c>
      <c r="J839" s="262"/>
      <c r="K839" s="262"/>
      <c r="L839" s="262"/>
      <c r="M839" s="262"/>
      <c r="N839" s="262"/>
      <c r="O839" s="262"/>
      <c r="P839" s="262"/>
      <c r="Q839" s="262"/>
      <c r="R839" s="262"/>
      <c r="S839" s="262"/>
      <c r="T839" s="262"/>
      <c r="U839" s="262"/>
      <c r="V839" s="262"/>
      <c r="W839" s="262"/>
      <c r="X839" s="262"/>
      <c r="Y839" s="262"/>
      <c r="Z839" s="262"/>
      <c r="AA839" s="262"/>
      <c r="AB839" s="262"/>
    </row>
    <row r="840" spans="1:31" ht="12.75">
      <c r="A840" s="364" t="s">
        <v>14475</v>
      </c>
      <c r="B840" s="403" t="s">
        <v>14476</v>
      </c>
      <c r="C840" s="404">
        <v>99054</v>
      </c>
      <c r="D840" s="367" t="s">
        <v>14794</v>
      </c>
      <c r="E840" s="405"/>
      <c r="F840" s="369"/>
      <c r="G840" s="370"/>
      <c r="H840" s="371"/>
      <c r="I840" s="262"/>
      <c r="J840" s="262"/>
      <c r="K840" s="262"/>
      <c r="L840" s="262"/>
      <c r="M840" s="262"/>
      <c r="N840" s="262"/>
      <c r="O840" s="262"/>
      <c r="P840" s="262"/>
      <c r="Q840" s="262"/>
      <c r="R840" s="262"/>
      <c r="S840" s="262"/>
      <c r="T840" s="262"/>
      <c r="U840" s="262"/>
      <c r="V840" s="262"/>
      <c r="W840" s="262"/>
      <c r="X840" s="262"/>
      <c r="Y840" s="262"/>
      <c r="Z840" s="262"/>
      <c r="AA840" s="262"/>
      <c r="AB840" s="262"/>
    </row>
    <row r="841" spans="1:31" ht="25.5">
      <c r="A841" s="372" t="s">
        <v>14478</v>
      </c>
      <c r="B841" s="421" t="s">
        <v>14476</v>
      </c>
      <c r="C841" s="374">
        <v>88269</v>
      </c>
      <c r="D841" s="593" t="str">
        <f>IFERROR(VLOOKUP($C841,'24.08_ND'!$A:$D,2,0),)</f>
        <v>GESSEIRO COM ENCARGOS COMPLEMENTARES</v>
      </c>
      <c r="E841" s="594" t="str">
        <f>IFERROR(VLOOKUP($C841,'24.08_ND'!$A:$D,3,0),)</f>
        <v>H</v>
      </c>
      <c r="F841" s="607">
        <v>0.12414533333333333</v>
      </c>
      <c r="G841" s="595">
        <f>IFERROR(VLOOKUP($C841,'24.08_ND'!$A:$D,4,0),)</f>
        <v>22.31</v>
      </c>
      <c r="H841" s="440">
        <f t="shared" ref="H841:H846" si="33">TRUNC(($F841*$G841),2)</f>
        <v>2.76</v>
      </c>
      <c r="I841" s="262"/>
      <c r="J841" s="262"/>
      <c r="K841" s="262"/>
      <c r="L841" s="262"/>
      <c r="M841" s="262"/>
      <c r="N841" s="262"/>
      <c r="O841" s="262"/>
      <c r="P841" s="262"/>
      <c r="Q841" s="262"/>
      <c r="R841" s="262"/>
      <c r="S841" s="262"/>
      <c r="T841" s="262"/>
      <c r="U841" s="262"/>
      <c r="V841" s="262"/>
      <c r="W841" s="262"/>
      <c r="X841" s="262"/>
      <c r="Y841" s="262"/>
      <c r="Z841" s="262"/>
      <c r="AA841" s="262"/>
      <c r="AB841" s="262"/>
      <c r="AD841" s="1791" t="e">
        <f>VLOOKUP(C841,'Medição '!$B$16:$F$1833,6,0)</f>
        <v>#N/A</v>
      </c>
      <c r="AE841" s="1791"/>
    </row>
    <row r="842" spans="1:31" ht="25.5">
      <c r="A842" s="372" t="s">
        <v>14478</v>
      </c>
      <c r="B842" s="421" t="s">
        <v>14476</v>
      </c>
      <c r="C842" s="374">
        <v>88316</v>
      </c>
      <c r="D842" s="593" t="str">
        <f>IFERROR(VLOOKUP($C842,'24.08_ND'!$A:$D,2,0),)</f>
        <v>SERVENTE COM ENCARGOS COMPLEMENTARES</v>
      </c>
      <c r="E842" s="594" t="str">
        <f>IFERROR(VLOOKUP($C842,'24.08_ND'!$A:$D,3,0),)</f>
        <v>H</v>
      </c>
      <c r="F842" s="607">
        <v>7.1354666666666663E-2</v>
      </c>
      <c r="G842" s="595">
        <f>IFERROR(VLOOKUP($C842,'24.08_ND'!$A:$D,4,0),)</f>
        <v>18.510000000000002</v>
      </c>
      <c r="H842" s="440">
        <f t="shared" si="33"/>
        <v>1.32</v>
      </c>
      <c r="I842" s="262"/>
      <c r="J842" s="262"/>
      <c r="K842" s="262"/>
      <c r="L842" s="262"/>
      <c r="M842" s="262"/>
      <c r="N842" s="262"/>
      <c r="O842" s="262"/>
      <c r="P842" s="262"/>
      <c r="Q842" s="262"/>
      <c r="R842" s="262"/>
      <c r="S842" s="262"/>
      <c r="T842" s="262"/>
      <c r="U842" s="262"/>
      <c r="V842" s="262"/>
      <c r="W842" s="262"/>
      <c r="X842" s="262"/>
      <c r="Y842" s="262"/>
      <c r="Z842" s="262"/>
      <c r="AA842" s="262"/>
      <c r="AB842" s="262"/>
      <c r="AD842" s="1791" t="e">
        <f>VLOOKUP(C842,'Medição '!$B$16:$F$1833,6,0)</f>
        <v>#N/A</v>
      </c>
      <c r="AE842" s="1791"/>
    </row>
    <row r="843" spans="1:31" ht="12.75">
      <c r="A843" s="581" t="s">
        <v>14479</v>
      </c>
      <c r="B843" s="582" t="s">
        <v>14476</v>
      </c>
      <c r="C843" s="447">
        <v>345</v>
      </c>
      <c r="D843" s="596" t="str">
        <f>IFERROR(VLOOKUP($C843,'24.08_ND'!$A:$D,2,0),)</f>
        <v>ARAME GALVANIZADO 18 BWG, D = 1,24MM (0,009 KG/M)</v>
      </c>
      <c r="E843" s="597" t="str">
        <f>IFERROR(VLOOKUP($C843,'24.08_ND'!$A:$D,3,0),)</f>
        <v>KG</v>
      </c>
      <c r="F843" s="385">
        <v>7.378E-3</v>
      </c>
      <c r="G843" s="598">
        <f>IFERROR(VLOOKUP($C843,'24.08_ND'!$A:$D,4,0),)</f>
        <v>32.42</v>
      </c>
      <c r="H843" s="449">
        <f t="shared" si="33"/>
        <v>0.23</v>
      </c>
      <c r="I843" s="262"/>
      <c r="J843" s="262"/>
      <c r="K843" s="262"/>
      <c r="L843" s="262"/>
      <c r="M843" s="262"/>
      <c r="N843" s="262"/>
      <c r="O843" s="262"/>
      <c r="P843" s="262"/>
      <c r="Q843" s="262"/>
      <c r="R843" s="262"/>
      <c r="S843" s="262"/>
      <c r="T843" s="262"/>
      <c r="U843" s="262"/>
      <c r="V843" s="262"/>
      <c r="W843" s="262"/>
      <c r="X843" s="262"/>
      <c r="Y843" s="262"/>
      <c r="Z843" s="262"/>
      <c r="AA843" s="262"/>
      <c r="AB843" s="262"/>
    </row>
    <row r="844" spans="1:31" ht="12.75">
      <c r="A844" s="581" t="s">
        <v>14479</v>
      </c>
      <c r="B844" s="582" t="s">
        <v>14476</v>
      </c>
      <c r="C844" s="447">
        <v>3315</v>
      </c>
      <c r="D844" s="596" t="str">
        <f>IFERROR(VLOOKUP($C844,'24.08_ND'!$A:$D,2,0),)</f>
        <v>GESSO EM PO PARA REVESTIMENTOS/MOLDURAS/SANCAS E USO GERAL</v>
      </c>
      <c r="E844" s="597" t="str">
        <f>IFERROR(VLOOKUP($C844,'24.08_ND'!$A:$D,3,0),)</f>
        <v>KG</v>
      </c>
      <c r="F844" s="385">
        <v>0.37</v>
      </c>
      <c r="G844" s="598">
        <f>IFERROR(VLOOKUP($C844,'24.08_ND'!$A:$D,4,0),)</f>
        <v>0.9</v>
      </c>
      <c r="H844" s="449">
        <f t="shared" si="33"/>
        <v>0.33</v>
      </c>
      <c r="I844" s="262"/>
      <c r="J844" s="262"/>
      <c r="K844" s="262"/>
      <c r="L844" s="262"/>
      <c r="M844" s="262"/>
      <c r="N844" s="262"/>
      <c r="O844" s="262"/>
      <c r="P844" s="262"/>
      <c r="Q844" s="262"/>
      <c r="R844" s="262"/>
      <c r="S844" s="262"/>
      <c r="T844" s="262"/>
      <c r="U844" s="262"/>
      <c r="V844" s="262"/>
      <c r="W844" s="262"/>
      <c r="X844" s="262"/>
      <c r="Y844" s="262"/>
      <c r="Z844" s="262"/>
      <c r="AA844" s="262"/>
      <c r="AB844" s="262"/>
    </row>
    <row r="845" spans="1:31" ht="12.75">
      <c r="A845" s="581" t="s">
        <v>14479</v>
      </c>
      <c r="B845" s="582" t="s">
        <v>14476</v>
      </c>
      <c r="C845" s="447">
        <v>4812</v>
      </c>
      <c r="D845" s="596" t="str">
        <f>IFERROR(VLOOKUP($C845,'24.08_ND'!$A:$D,2,0),)</f>
        <v>PLACA DE GESSO PARA FORRO, *60 X 60* CM, ESPESSURA DE 12 MM (SEM COLOCACAO)</v>
      </c>
      <c r="E845" s="597" t="str">
        <f>IFERROR(VLOOKUP($C845,'24.08_ND'!$A:$D,3,0),)</f>
        <v>M2</v>
      </c>
      <c r="F845" s="385">
        <f>0.1</f>
        <v>0.1</v>
      </c>
      <c r="G845" s="598">
        <f>IFERROR(VLOOKUP($C845,'24.08_ND'!$A:$D,4,0),)</f>
        <v>12.55</v>
      </c>
      <c r="H845" s="449">
        <f t="shared" si="33"/>
        <v>1.25</v>
      </c>
      <c r="I845" s="262"/>
      <c r="J845" s="262"/>
      <c r="K845" s="262"/>
      <c r="L845" s="262"/>
      <c r="M845" s="262"/>
      <c r="N845" s="262"/>
      <c r="O845" s="262"/>
      <c r="P845" s="262"/>
      <c r="Q845" s="262"/>
      <c r="R845" s="262"/>
      <c r="S845" s="262"/>
      <c r="T845" s="262"/>
      <c r="U845" s="262"/>
      <c r="V845" s="262"/>
      <c r="W845" s="262"/>
      <c r="X845" s="262"/>
      <c r="Y845" s="262"/>
      <c r="Z845" s="262"/>
      <c r="AA845" s="262"/>
      <c r="AB845" s="262"/>
    </row>
    <row r="846" spans="1:31" ht="12.75">
      <c r="A846" s="581" t="s">
        <v>14479</v>
      </c>
      <c r="B846" s="582" t="s">
        <v>14476</v>
      </c>
      <c r="C846" s="447">
        <v>40547</v>
      </c>
      <c r="D846" s="596" t="str">
        <f>IFERROR(VLOOKUP($C846,'24.08_ND'!$A:$D,2,0),)</f>
        <v>PARAFUSO ZINCADO, AUTOBROCANTE, FLANGEADO, 4,2 MM X 19 MM</v>
      </c>
      <c r="E846" s="597" t="str">
        <f>IFERROR(VLOOKUP($C846,'24.08_ND'!$A:$D,3,0),)</f>
        <v>CENTO</v>
      </c>
      <c r="F846" s="385">
        <v>0.03</v>
      </c>
      <c r="G846" s="598">
        <f>IFERROR(VLOOKUP($C846,'24.08_ND'!$A:$D,4,0),)</f>
        <v>26.33</v>
      </c>
      <c r="H846" s="449">
        <f t="shared" si="33"/>
        <v>0.78</v>
      </c>
      <c r="I846" s="262"/>
      <c r="J846" s="262"/>
      <c r="K846" s="262"/>
      <c r="L846" s="262"/>
      <c r="M846" s="262"/>
      <c r="N846" s="262"/>
      <c r="O846" s="262"/>
      <c r="P846" s="262"/>
      <c r="Q846" s="262"/>
      <c r="R846" s="262"/>
      <c r="S846" s="262"/>
      <c r="T846" s="262"/>
      <c r="U846" s="262"/>
      <c r="V846" s="262"/>
      <c r="W846" s="262"/>
      <c r="X846" s="262"/>
      <c r="Y846" s="262"/>
      <c r="Z846" s="262"/>
      <c r="AA846" s="262"/>
      <c r="AB846" s="262"/>
    </row>
    <row r="847" spans="1:31" ht="12.75">
      <c r="A847" s="309"/>
      <c r="B847" s="303"/>
      <c r="C847" s="303"/>
      <c r="D847" s="310"/>
      <c r="E847" s="303"/>
      <c r="F847" s="306"/>
      <c r="G847" s="307"/>
      <c r="H847" s="308"/>
      <c r="I847" s="262"/>
      <c r="J847" s="262"/>
      <c r="K847" s="262"/>
      <c r="L847" s="262"/>
      <c r="M847" s="262"/>
      <c r="N847" s="262"/>
      <c r="O847" s="262"/>
      <c r="P847" s="262"/>
      <c r="Q847" s="262"/>
      <c r="R847" s="262"/>
      <c r="S847" s="262"/>
      <c r="T847" s="262"/>
      <c r="U847" s="262"/>
      <c r="V847" s="262"/>
      <c r="W847" s="262"/>
      <c r="X847" s="262"/>
      <c r="Y847" s="262"/>
      <c r="Z847" s="262"/>
      <c r="AA847" s="262"/>
      <c r="AB847" s="262"/>
    </row>
    <row r="848" spans="1:31" ht="12.75">
      <c r="A848" s="358" t="s">
        <v>14471</v>
      </c>
      <c r="B848" s="359" t="s">
        <v>14472</v>
      </c>
      <c r="C848" s="360" t="s">
        <v>14795</v>
      </c>
      <c r="D848" s="361" t="s">
        <v>14796</v>
      </c>
      <c r="E848" s="359" t="s">
        <v>50</v>
      </c>
      <c r="F848" s="362"/>
      <c r="G848" s="362"/>
      <c r="H848" s="363">
        <f>SUM(H850:H857)</f>
        <v>18.899999999999999</v>
      </c>
      <c r="I848" s="276">
        <f>COUNTIF($C$8:$C848,C:C)</f>
        <v>1</v>
      </c>
      <c r="J848" s="262"/>
      <c r="K848" s="262"/>
      <c r="L848" s="262"/>
      <c r="M848" s="262"/>
      <c r="N848" s="262"/>
      <c r="O848" s="262"/>
      <c r="P848" s="262"/>
      <c r="Q848" s="262"/>
      <c r="R848" s="262"/>
      <c r="S848" s="262"/>
      <c r="T848" s="262"/>
      <c r="U848" s="262"/>
      <c r="V848" s="262"/>
      <c r="W848" s="262"/>
      <c r="X848" s="262"/>
      <c r="Y848" s="262"/>
      <c r="Z848" s="262"/>
      <c r="AA848" s="262"/>
      <c r="AB848" s="262"/>
    </row>
    <row r="849" spans="1:31" ht="12.75">
      <c r="A849" s="364" t="s">
        <v>14475</v>
      </c>
      <c r="B849" s="403" t="s">
        <v>14476</v>
      </c>
      <c r="C849" s="404">
        <v>99054</v>
      </c>
      <c r="D849" s="367" t="s">
        <v>14794</v>
      </c>
      <c r="E849" s="405"/>
      <c r="F849" s="369"/>
      <c r="G849" s="370"/>
      <c r="H849" s="371"/>
      <c r="I849" s="262"/>
      <c r="J849" s="262"/>
      <c r="K849" s="262"/>
      <c r="L849" s="262"/>
      <c r="M849" s="262"/>
      <c r="N849" s="262"/>
      <c r="O849" s="262"/>
      <c r="P849" s="262"/>
      <c r="Q849" s="262"/>
      <c r="R849" s="262"/>
      <c r="S849" s="262"/>
      <c r="T849" s="262"/>
      <c r="U849" s="262"/>
      <c r="V849" s="262"/>
      <c r="W849" s="262"/>
      <c r="X849" s="262"/>
      <c r="Y849" s="262"/>
      <c r="Z849" s="262"/>
      <c r="AA849" s="262"/>
      <c r="AB849" s="262"/>
    </row>
    <row r="850" spans="1:31" ht="25.5">
      <c r="A850" s="372" t="s">
        <v>14478</v>
      </c>
      <c r="B850" s="421" t="s">
        <v>14476</v>
      </c>
      <c r="C850" s="374">
        <v>88269</v>
      </c>
      <c r="D850" s="593" t="str">
        <f>IFERROR(VLOOKUP($C850,'24.08_ND'!$A:$D,2,0),)</f>
        <v>GESSEIRO COM ENCARGOS COMPLEMENTARES</v>
      </c>
      <c r="E850" s="594" t="str">
        <f>IFERROR(VLOOKUP($C850,'24.08_ND'!$A:$D,3,0),)</f>
        <v>H</v>
      </c>
      <c r="F850" s="375">
        <v>0.35174</v>
      </c>
      <c r="G850" s="595">
        <f>IFERROR(VLOOKUP($C850,'24.08_ND'!$A:$D,4,0),)</f>
        <v>22.31</v>
      </c>
      <c r="H850" s="440">
        <f t="shared" ref="H850:H857" si="34">TRUNC(($F850*$G850),2)</f>
        <v>7.84</v>
      </c>
      <c r="I850" s="262"/>
      <c r="J850" s="262"/>
      <c r="K850" s="262"/>
      <c r="L850" s="262"/>
      <c r="M850" s="262"/>
      <c r="N850" s="262"/>
      <c r="O850" s="262"/>
      <c r="P850" s="262"/>
      <c r="Q850" s="262"/>
      <c r="R850" s="262"/>
      <c r="S850" s="262"/>
      <c r="T850" s="262"/>
      <c r="U850" s="262"/>
      <c r="V850" s="262"/>
      <c r="W850" s="262"/>
      <c r="X850" s="262"/>
      <c r="Y850" s="262"/>
      <c r="Z850" s="262"/>
      <c r="AA850" s="262"/>
      <c r="AB850" s="262"/>
      <c r="AD850" s="1791" t="e">
        <f>VLOOKUP(C850,'Medição '!$B$16:$F$1833,6,0)</f>
        <v>#N/A</v>
      </c>
      <c r="AE850" s="1791"/>
    </row>
    <row r="851" spans="1:31" ht="25.5">
      <c r="A851" s="372" t="s">
        <v>14478</v>
      </c>
      <c r="B851" s="421" t="s">
        <v>14476</v>
      </c>
      <c r="C851" s="374">
        <v>88316</v>
      </c>
      <c r="D851" s="593" t="str">
        <f>IFERROR(VLOOKUP($C851,'24.08_ND'!$A:$D,2,0),)</f>
        <v>SERVENTE COM ENCARGOS COMPLEMENTARES</v>
      </c>
      <c r="E851" s="594" t="str">
        <f>IFERROR(VLOOKUP($C851,'24.08_ND'!$A:$D,3,0),)</f>
        <v>H</v>
      </c>
      <c r="F851" s="375">
        <v>0.19417999999999999</v>
      </c>
      <c r="G851" s="595">
        <f>IFERROR(VLOOKUP($C851,'24.08_ND'!$A:$D,4,0),)</f>
        <v>18.510000000000002</v>
      </c>
      <c r="H851" s="440">
        <f t="shared" si="34"/>
        <v>3.59</v>
      </c>
      <c r="I851" s="262"/>
      <c r="J851" s="262"/>
      <c r="K851" s="262"/>
      <c r="L851" s="262"/>
      <c r="M851" s="262"/>
      <c r="N851" s="262"/>
      <c r="O851" s="262"/>
      <c r="P851" s="262"/>
      <c r="Q851" s="262"/>
      <c r="R851" s="262"/>
      <c r="S851" s="262"/>
      <c r="T851" s="262"/>
      <c r="U851" s="262"/>
      <c r="V851" s="262"/>
      <c r="W851" s="262"/>
      <c r="X851" s="262"/>
      <c r="Y851" s="262"/>
      <c r="Z851" s="262"/>
      <c r="AA851" s="262"/>
      <c r="AB851" s="262"/>
      <c r="AD851" s="1791" t="e">
        <f>VLOOKUP(C851,'Medição '!$B$16:$F$1833,6,0)</f>
        <v>#N/A</v>
      </c>
      <c r="AE851" s="1791"/>
    </row>
    <row r="852" spans="1:31" ht="12.75">
      <c r="A852" s="581" t="s">
        <v>14479</v>
      </c>
      <c r="B852" s="582" t="s">
        <v>14476</v>
      </c>
      <c r="C852" s="447">
        <v>345</v>
      </c>
      <c r="D852" s="596" t="str">
        <f>IFERROR(VLOOKUP($C852,'24.08_ND'!$A:$D,2,0),)</f>
        <v>ARAME GALVANIZADO 18 BWG, D = 1,24MM (0,009 KG/M)</v>
      </c>
      <c r="E852" s="597" t="str">
        <f>IFERROR(VLOOKUP($C852,'24.08_ND'!$A:$D,3,0),)</f>
        <v>KG</v>
      </c>
      <c r="F852" s="385">
        <v>7.378E-3</v>
      </c>
      <c r="G852" s="598">
        <f>IFERROR(VLOOKUP($C852,'24.08_ND'!$A:$D,4,0),)</f>
        <v>32.42</v>
      </c>
      <c r="H852" s="449">
        <f t="shared" si="34"/>
        <v>0.23</v>
      </c>
      <c r="I852" s="262"/>
      <c r="J852" s="262"/>
      <c r="K852" s="262"/>
      <c r="L852" s="262"/>
      <c r="M852" s="262"/>
      <c r="N852" s="262"/>
      <c r="O852" s="262"/>
      <c r="P852" s="262"/>
      <c r="Q852" s="262"/>
      <c r="R852" s="262"/>
      <c r="S852" s="262"/>
      <c r="T852" s="262"/>
      <c r="U852" s="262"/>
      <c r="V852" s="262"/>
      <c r="W852" s="262"/>
      <c r="X852" s="262"/>
      <c r="Y852" s="262"/>
      <c r="Z852" s="262"/>
      <c r="AA852" s="262"/>
      <c r="AB852" s="262"/>
    </row>
    <row r="853" spans="1:31" ht="12.75">
      <c r="A853" s="581" t="s">
        <v>14479</v>
      </c>
      <c r="B853" s="582" t="s">
        <v>14476</v>
      </c>
      <c r="C853" s="447">
        <v>3315</v>
      </c>
      <c r="D853" s="596" t="str">
        <f>IFERROR(VLOOKUP($C853,'24.08_ND'!$A:$D,2,0),)</f>
        <v>GESSO EM PO PARA REVESTIMENTOS/MOLDURAS/SANCAS E USO GERAL</v>
      </c>
      <c r="E853" s="597" t="str">
        <f>IFERROR(VLOOKUP($C853,'24.08_ND'!$A:$D,3,0),)</f>
        <v>KG</v>
      </c>
      <c r="F853" s="385">
        <v>1.2</v>
      </c>
      <c r="G853" s="598">
        <f>IFERROR(VLOOKUP($C853,'24.08_ND'!$A:$D,4,0),)</f>
        <v>0.9</v>
      </c>
      <c r="H853" s="449">
        <f t="shared" si="34"/>
        <v>1.08</v>
      </c>
      <c r="I853" s="262"/>
      <c r="J853" s="262"/>
      <c r="K853" s="262"/>
      <c r="L853" s="262"/>
      <c r="M853" s="262"/>
      <c r="N853" s="262"/>
      <c r="O853" s="262"/>
      <c r="P853" s="262"/>
      <c r="Q853" s="262"/>
      <c r="R853" s="262"/>
      <c r="S853" s="262"/>
      <c r="T853" s="262"/>
      <c r="U853" s="262"/>
      <c r="V853" s="262"/>
      <c r="W853" s="262"/>
      <c r="X853" s="262"/>
      <c r="Y853" s="262"/>
      <c r="Z853" s="262"/>
      <c r="AA853" s="262"/>
      <c r="AB853" s="262"/>
    </row>
    <row r="854" spans="1:31" ht="12.75">
      <c r="A854" s="581" t="s">
        <v>14479</v>
      </c>
      <c r="B854" s="582" t="s">
        <v>14476</v>
      </c>
      <c r="C854" s="447">
        <v>4812</v>
      </c>
      <c r="D854" s="596" t="str">
        <f>IFERROR(VLOOKUP($C854,'24.08_ND'!$A:$D,2,0),)</f>
        <v>PLACA DE GESSO PARA FORRO, *60 X 60* CM, ESPESSURA DE 12 MM (SEM COLOCACAO)</v>
      </c>
      <c r="E854" s="597" t="str">
        <f>IFERROR(VLOOKUP($C854,'24.08_ND'!$A:$D,3,0),)</f>
        <v>M2</v>
      </c>
      <c r="F854" s="385">
        <f>0.26+0.16</f>
        <v>0.42000000000000004</v>
      </c>
      <c r="G854" s="598">
        <f>IFERROR(VLOOKUP($C854,'24.08_ND'!$A:$D,4,0),)</f>
        <v>12.55</v>
      </c>
      <c r="H854" s="449">
        <f t="shared" si="34"/>
        <v>5.27</v>
      </c>
      <c r="I854" s="262"/>
      <c r="J854" s="262"/>
      <c r="K854" s="262"/>
      <c r="L854" s="262"/>
      <c r="M854" s="262"/>
      <c r="N854" s="262"/>
      <c r="O854" s="262"/>
      <c r="P854" s="262"/>
      <c r="Q854" s="262"/>
      <c r="R854" s="262"/>
      <c r="S854" s="262"/>
      <c r="T854" s="262"/>
      <c r="U854" s="262"/>
      <c r="V854" s="262"/>
      <c r="W854" s="262"/>
      <c r="X854" s="262"/>
      <c r="Y854" s="262"/>
      <c r="Z854" s="262"/>
      <c r="AA854" s="262"/>
      <c r="AB854" s="262"/>
    </row>
    <row r="855" spans="1:31" ht="12.75">
      <c r="A855" s="581" t="s">
        <v>14479</v>
      </c>
      <c r="B855" s="582" t="s">
        <v>14476</v>
      </c>
      <c r="C855" s="447">
        <v>5066</v>
      </c>
      <c r="D855" s="596" t="str">
        <f>IFERROR(VLOOKUP($C855,'24.08_ND'!$A:$D,2,0),)</f>
        <v>PREGO DE ACO POLIDO COM CABECA 12 X 12</v>
      </c>
      <c r="E855" s="597" t="str">
        <f>IFERROR(VLOOKUP($C855,'24.08_ND'!$A:$D,3,0),)</f>
        <v>KG</v>
      </c>
      <c r="F855" s="385">
        <v>2.0999999999999999E-3</v>
      </c>
      <c r="G855" s="598">
        <f>IFERROR(VLOOKUP($C855,'24.08_ND'!$A:$D,4,0),)</f>
        <v>21.49</v>
      </c>
      <c r="H855" s="449">
        <f t="shared" si="34"/>
        <v>0.04</v>
      </c>
      <c r="I855" s="262"/>
      <c r="J855" s="262"/>
      <c r="K855" s="262"/>
      <c r="L855" s="262"/>
      <c r="M855" s="262"/>
      <c r="N855" s="262"/>
      <c r="O855" s="262"/>
      <c r="P855" s="262"/>
      <c r="Q855" s="262"/>
      <c r="R855" s="262"/>
      <c r="S855" s="262"/>
      <c r="T855" s="262"/>
      <c r="U855" s="262"/>
      <c r="V855" s="262"/>
      <c r="W855" s="262"/>
      <c r="X855" s="262"/>
      <c r="Y855" s="262"/>
      <c r="Z855" s="262"/>
      <c r="AA855" s="262"/>
      <c r="AB855" s="262"/>
    </row>
    <row r="856" spans="1:31" ht="12.75">
      <c r="A856" s="581" t="s">
        <v>14479</v>
      </c>
      <c r="B856" s="582" t="s">
        <v>14476</v>
      </c>
      <c r="C856" s="447">
        <v>20250</v>
      </c>
      <c r="D856" s="596" t="str">
        <f>IFERROR(VLOOKUP($C856,'24.08_ND'!$A:$D,2,0),)</f>
        <v>SISAL EM FIBRA / ESTOPA SISAL PARA GESSO</v>
      </c>
      <c r="E856" s="597" t="str">
        <f>IFERROR(VLOOKUP($C856,'24.08_ND'!$A:$D,3,0),)</f>
        <v>KG</v>
      </c>
      <c r="F856" s="385">
        <v>4.6800000000000001E-3</v>
      </c>
      <c r="G856" s="598">
        <f>IFERROR(VLOOKUP($C856,'24.08_ND'!$A:$D,4,0),)</f>
        <v>16.39</v>
      </c>
      <c r="H856" s="449">
        <f t="shared" si="34"/>
        <v>7.0000000000000007E-2</v>
      </c>
      <c r="I856" s="262"/>
      <c r="J856" s="262"/>
      <c r="K856" s="262"/>
      <c r="L856" s="262"/>
      <c r="M856" s="262"/>
      <c r="N856" s="262"/>
      <c r="O856" s="262"/>
      <c r="P856" s="262"/>
      <c r="Q856" s="262"/>
      <c r="R856" s="262"/>
      <c r="S856" s="262"/>
      <c r="T856" s="262"/>
      <c r="U856" s="262"/>
      <c r="V856" s="262"/>
      <c r="W856" s="262"/>
      <c r="X856" s="262"/>
      <c r="Y856" s="262"/>
      <c r="Z856" s="262"/>
      <c r="AA856" s="262"/>
      <c r="AB856" s="262"/>
    </row>
    <row r="857" spans="1:31" ht="12.75">
      <c r="A857" s="581" t="s">
        <v>14479</v>
      </c>
      <c r="B857" s="582" t="s">
        <v>14476</v>
      </c>
      <c r="C857" s="447">
        <v>40547</v>
      </c>
      <c r="D857" s="596" t="str">
        <f>IFERROR(VLOOKUP($C857,'24.08_ND'!$A:$D,2,0),)</f>
        <v>PARAFUSO ZINCADO, AUTOBROCANTE, FLANGEADO, 4,2 MM X 19 MM</v>
      </c>
      <c r="E857" s="597" t="str">
        <f>IFERROR(VLOOKUP($C857,'24.08_ND'!$A:$D,3,0),)</f>
        <v>CENTO</v>
      </c>
      <c r="F857" s="385">
        <v>0.03</v>
      </c>
      <c r="G857" s="598">
        <f>IFERROR(VLOOKUP($C857,'24.08_ND'!$A:$D,4,0),)</f>
        <v>26.33</v>
      </c>
      <c r="H857" s="449">
        <f t="shared" si="34"/>
        <v>0.78</v>
      </c>
      <c r="I857" s="262"/>
      <c r="J857" s="262"/>
      <c r="K857" s="262"/>
      <c r="L857" s="262"/>
      <c r="M857" s="262"/>
      <c r="N857" s="262"/>
      <c r="O857" s="262"/>
      <c r="P857" s="262"/>
      <c r="Q857" s="262"/>
      <c r="R857" s="262"/>
      <c r="S857" s="262"/>
      <c r="T857" s="262"/>
      <c r="U857" s="262"/>
      <c r="V857" s="262"/>
      <c r="W857" s="262"/>
      <c r="X857" s="262"/>
      <c r="Y857" s="262"/>
      <c r="Z857" s="262"/>
      <c r="AA857" s="262"/>
      <c r="AB857" s="262"/>
    </row>
    <row r="858" spans="1:31" ht="12.75">
      <c r="A858" s="309"/>
      <c r="B858" s="303"/>
      <c r="C858" s="303"/>
      <c r="D858" s="310"/>
      <c r="E858" s="303"/>
      <c r="F858" s="306"/>
      <c r="G858" s="307"/>
      <c r="H858" s="308"/>
      <c r="I858" s="262"/>
      <c r="J858" s="262"/>
      <c r="K858" s="262"/>
      <c r="L858" s="262"/>
      <c r="M858" s="262"/>
      <c r="N858" s="262"/>
      <c r="O858" s="262"/>
      <c r="P858" s="262"/>
      <c r="Q858" s="262"/>
      <c r="R858" s="262"/>
      <c r="S858" s="262"/>
      <c r="T858" s="262"/>
      <c r="U858" s="262"/>
      <c r="V858" s="262"/>
      <c r="W858" s="262"/>
      <c r="X858" s="262"/>
      <c r="Y858" s="262"/>
      <c r="Z858" s="262"/>
      <c r="AA858" s="262"/>
      <c r="AB858" s="262"/>
    </row>
    <row r="859" spans="1:31" ht="12.75">
      <c r="A859" s="358" t="s">
        <v>14471</v>
      </c>
      <c r="B859" s="359" t="s">
        <v>14472</v>
      </c>
      <c r="C859" s="360" t="s">
        <v>14797</v>
      </c>
      <c r="D859" s="361" t="s">
        <v>14798</v>
      </c>
      <c r="E859" s="359" t="s">
        <v>50</v>
      </c>
      <c r="F859" s="362"/>
      <c r="G859" s="362"/>
      <c r="H859" s="363">
        <f>SUM(H861:H868)</f>
        <v>20.700000000000003</v>
      </c>
      <c r="I859" s="262"/>
      <c r="J859" s="262"/>
      <c r="K859" s="262"/>
      <c r="L859" s="262"/>
      <c r="M859" s="262"/>
      <c r="N859" s="262"/>
      <c r="O859" s="262"/>
      <c r="P859" s="262"/>
      <c r="Q859" s="262"/>
      <c r="R859" s="262"/>
      <c r="S859" s="262"/>
      <c r="T859" s="262"/>
      <c r="U859" s="262"/>
      <c r="V859" s="262"/>
      <c r="W859" s="262"/>
      <c r="X859" s="262"/>
      <c r="Y859" s="262"/>
      <c r="Z859" s="262"/>
      <c r="AA859" s="262"/>
      <c r="AB859" s="262"/>
    </row>
    <row r="860" spans="1:31" ht="12.75">
      <c r="A860" s="364" t="s">
        <v>14475</v>
      </c>
      <c r="B860" s="403" t="s">
        <v>14476</v>
      </c>
      <c r="C860" s="404">
        <v>99054</v>
      </c>
      <c r="D860" s="367" t="s">
        <v>14794</v>
      </c>
      <c r="E860" s="405"/>
      <c r="F860" s="369"/>
      <c r="G860" s="370"/>
      <c r="H860" s="371"/>
      <c r="I860" s="262"/>
      <c r="J860" s="262"/>
      <c r="K860" s="262"/>
      <c r="L860" s="262"/>
      <c r="M860" s="262"/>
      <c r="N860" s="262"/>
      <c r="O860" s="262"/>
      <c r="P860" s="262"/>
      <c r="Q860" s="262"/>
      <c r="R860" s="262"/>
      <c r="S860" s="262"/>
      <c r="T860" s="262"/>
      <c r="U860" s="262"/>
      <c r="V860" s="262"/>
      <c r="W860" s="262"/>
      <c r="X860" s="262"/>
      <c r="Y860" s="262"/>
      <c r="Z860" s="262"/>
      <c r="AA860" s="262"/>
      <c r="AB860" s="262"/>
    </row>
    <row r="861" spans="1:31" ht="25.5">
      <c r="A861" s="372" t="s">
        <v>14478</v>
      </c>
      <c r="B861" s="421" t="s">
        <v>14476</v>
      </c>
      <c r="C861" s="374">
        <v>88269</v>
      </c>
      <c r="D861" s="593" t="str">
        <f>IFERROR(VLOOKUP($C861,'24.08_ND'!$A:$D,2,0),)</f>
        <v>GESSEIRO COM ENCARGOS COMPLEMENTARES</v>
      </c>
      <c r="E861" s="594" t="str">
        <f>IFERROR(VLOOKUP($C861,'24.08_ND'!$A:$D,3,0),)</f>
        <v>H</v>
      </c>
      <c r="F861" s="375">
        <v>0.37243599999999999</v>
      </c>
      <c r="G861" s="595">
        <f>IFERROR(VLOOKUP($C861,'24.08_ND'!$A:$D,4,0),)</f>
        <v>22.31</v>
      </c>
      <c r="H861" s="440">
        <f t="shared" ref="H861:H868" si="35">TRUNC(($F861*$G861),2)</f>
        <v>8.3000000000000007</v>
      </c>
      <c r="I861" s="262"/>
      <c r="J861" s="262"/>
      <c r="K861" s="262"/>
      <c r="L861" s="262"/>
      <c r="M861" s="262"/>
      <c r="N861" s="262"/>
      <c r="O861" s="262"/>
      <c r="P861" s="262"/>
      <c r="Q861" s="262"/>
      <c r="R861" s="262"/>
      <c r="S861" s="262"/>
      <c r="T861" s="262"/>
      <c r="U861" s="262"/>
      <c r="V861" s="262"/>
      <c r="W861" s="262"/>
      <c r="X861" s="262"/>
      <c r="Y861" s="262"/>
      <c r="Z861" s="262"/>
      <c r="AA861" s="262"/>
      <c r="AB861" s="262"/>
      <c r="AD861" s="1791" t="e">
        <f>VLOOKUP(C861,'Medição '!$B$16:$F$1833,6,0)</f>
        <v>#N/A</v>
      </c>
      <c r="AE861" s="1791"/>
    </row>
    <row r="862" spans="1:31" ht="25.5">
      <c r="A862" s="372" t="s">
        <v>14478</v>
      </c>
      <c r="B862" s="421" t="s">
        <v>14476</v>
      </c>
      <c r="C862" s="374">
        <v>88316</v>
      </c>
      <c r="D862" s="593" t="str">
        <f>IFERROR(VLOOKUP($C862,'24.08_ND'!$A:$D,2,0),)</f>
        <v>SERVENTE COM ENCARGOS COMPLEMENTARES</v>
      </c>
      <c r="E862" s="594" t="str">
        <f>IFERROR(VLOOKUP($C862,'24.08_ND'!$A:$D,3,0),)</f>
        <v>H</v>
      </c>
      <c r="F862" s="375">
        <v>0.214064</v>
      </c>
      <c r="G862" s="595">
        <f>IFERROR(VLOOKUP($C862,'24.08_ND'!$A:$D,4,0),)</f>
        <v>18.510000000000002</v>
      </c>
      <c r="H862" s="440">
        <f t="shared" si="35"/>
        <v>3.96</v>
      </c>
      <c r="I862" s="262"/>
      <c r="J862" s="262"/>
      <c r="K862" s="262"/>
      <c r="L862" s="262"/>
      <c r="M862" s="262"/>
      <c r="N862" s="262"/>
      <c r="O862" s="262"/>
      <c r="P862" s="262"/>
      <c r="Q862" s="262"/>
      <c r="R862" s="262"/>
      <c r="S862" s="262"/>
      <c r="T862" s="262"/>
      <c r="U862" s="262"/>
      <c r="V862" s="262"/>
      <c r="W862" s="262"/>
      <c r="X862" s="262"/>
      <c r="Y862" s="262"/>
      <c r="Z862" s="262"/>
      <c r="AA862" s="262"/>
      <c r="AB862" s="262"/>
      <c r="AD862" s="1791" t="e">
        <f>VLOOKUP(C862,'Medição '!$B$16:$F$1833,6,0)</f>
        <v>#N/A</v>
      </c>
      <c r="AE862" s="1791"/>
    </row>
    <row r="863" spans="1:31" ht="12.75">
      <c r="A863" s="581" t="s">
        <v>14479</v>
      </c>
      <c r="B863" s="582" t="s">
        <v>14476</v>
      </c>
      <c r="C863" s="447">
        <v>345</v>
      </c>
      <c r="D863" s="596" t="str">
        <f>IFERROR(VLOOKUP($C863,'24.08_ND'!$A:$D,2,0),)</f>
        <v>ARAME GALVANIZADO 18 BWG, D = 1,24MM (0,009 KG/M)</v>
      </c>
      <c r="E863" s="597" t="str">
        <f>IFERROR(VLOOKUP($C863,'24.08_ND'!$A:$D,3,0),)</f>
        <v>KG</v>
      </c>
      <c r="F863" s="385">
        <v>7.378E-3</v>
      </c>
      <c r="G863" s="598">
        <f>IFERROR(VLOOKUP($C863,'24.08_ND'!$A:$D,4,0),)</f>
        <v>32.42</v>
      </c>
      <c r="H863" s="449">
        <f t="shared" si="35"/>
        <v>0.23</v>
      </c>
      <c r="I863" s="262"/>
      <c r="J863" s="262"/>
      <c r="K863" s="262"/>
      <c r="L863" s="262"/>
      <c r="M863" s="262"/>
      <c r="N863" s="262"/>
      <c r="O863" s="262"/>
      <c r="P863" s="262"/>
      <c r="Q863" s="262"/>
      <c r="R863" s="262"/>
      <c r="S863" s="262"/>
      <c r="T863" s="262"/>
      <c r="U863" s="262"/>
      <c r="V863" s="262"/>
      <c r="W863" s="262"/>
      <c r="X863" s="262"/>
      <c r="Y863" s="262"/>
      <c r="Z863" s="262"/>
      <c r="AA863" s="262"/>
      <c r="AB863" s="262"/>
    </row>
    <row r="864" spans="1:31" ht="12.75">
      <c r="A864" s="581" t="s">
        <v>14479</v>
      </c>
      <c r="B864" s="582" t="s">
        <v>14476</v>
      </c>
      <c r="C864" s="447">
        <v>3315</v>
      </c>
      <c r="D864" s="596" t="str">
        <f>IFERROR(VLOOKUP($C864,'24.08_ND'!$A:$D,2,0),)</f>
        <v>GESSO EM PO PARA REVESTIMENTOS/MOLDURAS/SANCAS E USO GERAL</v>
      </c>
      <c r="E864" s="597" t="str">
        <f>IFERROR(VLOOKUP($C864,'24.08_ND'!$A:$D,3,0),)</f>
        <v>KG</v>
      </c>
      <c r="F864" s="385">
        <v>1.32</v>
      </c>
      <c r="G864" s="598">
        <f>IFERROR(VLOOKUP($C864,'24.08_ND'!$A:$D,4,0),)</f>
        <v>0.9</v>
      </c>
      <c r="H864" s="449">
        <f t="shared" si="35"/>
        <v>1.18</v>
      </c>
      <c r="I864" s="262"/>
      <c r="J864" s="262"/>
      <c r="K864" s="262"/>
      <c r="L864" s="262"/>
      <c r="M864" s="262"/>
      <c r="N864" s="262"/>
      <c r="O864" s="262"/>
      <c r="P864" s="262"/>
      <c r="Q864" s="262"/>
      <c r="R864" s="262"/>
      <c r="S864" s="262"/>
      <c r="T864" s="262"/>
      <c r="U864" s="262"/>
      <c r="V864" s="262"/>
      <c r="W864" s="262"/>
      <c r="X864" s="262"/>
      <c r="Y864" s="262"/>
      <c r="Z864" s="262"/>
      <c r="AA864" s="262"/>
      <c r="AB864" s="262"/>
    </row>
    <row r="865" spans="1:31" ht="12.75">
      <c r="A865" s="581" t="s">
        <v>14479</v>
      </c>
      <c r="B865" s="582" t="s">
        <v>14476</v>
      </c>
      <c r="C865" s="447">
        <v>4812</v>
      </c>
      <c r="D865" s="596" t="str">
        <f>IFERROR(VLOOKUP($C865,'24.08_ND'!$A:$D,2,0),)</f>
        <v>PLACA DE GESSO PARA FORRO, *60 X 60* CM, ESPESSURA DE 12 MM (SEM COLOCACAO)</v>
      </c>
      <c r="E865" s="597" t="str">
        <f>IFERROR(VLOOKUP($C865,'24.08_ND'!$A:$D,3,0),)</f>
        <v>M2</v>
      </c>
      <c r="F865" s="385">
        <f>0.49</f>
        <v>0.49</v>
      </c>
      <c r="G865" s="598">
        <f>IFERROR(VLOOKUP($C865,'24.08_ND'!$A:$D,4,0),)</f>
        <v>12.55</v>
      </c>
      <c r="H865" s="449">
        <f t="shared" si="35"/>
        <v>6.14</v>
      </c>
      <c r="I865" s="262"/>
      <c r="J865" s="262"/>
      <c r="K865" s="262"/>
      <c r="L865" s="262"/>
      <c r="M865" s="262"/>
      <c r="N865" s="262"/>
      <c r="O865" s="262"/>
      <c r="P865" s="262"/>
      <c r="Q865" s="262"/>
      <c r="R865" s="262"/>
      <c r="S865" s="262"/>
      <c r="T865" s="262"/>
      <c r="U865" s="262"/>
      <c r="V865" s="262"/>
      <c r="W865" s="262"/>
      <c r="X865" s="262"/>
      <c r="Y865" s="262"/>
      <c r="Z865" s="262"/>
      <c r="AA865" s="262"/>
      <c r="AB865" s="262"/>
    </row>
    <row r="866" spans="1:31" ht="12.75">
      <c r="A866" s="581" t="s">
        <v>14479</v>
      </c>
      <c r="B866" s="582" t="s">
        <v>14476</v>
      </c>
      <c r="C866" s="447">
        <v>5066</v>
      </c>
      <c r="D866" s="596" t="str">
        <f>IFERROR(VLOOKUP($C866,'24.08_ND'!$A:$D,2,0),)</f>
        <v>PREGO DE ACO POLIDO COM CABECA 12 X 12</v>
      </c>
      <c r="E866" s="597" t="str">
        <f>IFERROR(VLOOKUP($C866,'24.08_ND'!$A:$D,3,0),)</f>
        <v>KG</v>
      </c>
      <c r="F866" s="385">
        <v>2.0999999999999999E-3</v>
      </c>
      <c r="G866" s="598">
        <f>IFERROR(VLOOKUP($C866,'24.08_ND'!$A:$D,4,0),)</f>
        <v>21.49</v>
      </c>
      <c r="H866" s="449">
        <f t="shared" si="35"/>
        <v>0.04</v>
      </c>
      <c r="I866" s="262"/>
      <c r="J866" s="262"/>
      <c r="K866" s="262"/>
      <c r="L866" s="262"/>
      <c r="M866" s="262"/>
      <c r="N866" s="262"/>
      <c r="O866" s="262"/>
      <c r="P866" s="262"/>
      <c r="Q866" s="262"/>
      <c r="R866" s="262"/>
      <c r="S866" s="262"/>
      <c r="T866" s="262"/>
      <c r="U866" s="262"/>
      <c r="V866" s="262"/>
      <c r="W866" s="262"/>
      <c r="X866" s="262"/>
      <c r="Y866" s="262"/>
      <c r="Z866" s="262"/>
      <c r="AA866" s="262"/>
      <c r="AB866" s="262"/>
    </row>
    <row r="867" spans="1:31" ht="12.75">
      <c r="A867" s="581" t="s">
        <v>14479</v>
      </c>
      <c r="B867" s="582" t="s">
        <v>14476</v>
      </c>
      <c r="C867" s="447">
        <v>20250</v>
      </c>
      <c r="D867" s="596" t="str">
        <f>IFERROR(VLOOKUP($C867,'24.08_ND'!$A:$D,2,0),)</f>
        <v>SISAL EM FIBRA / ESTOPA SISAL PARA GESSO</v>
      </c>
      <c r="E867" s="597" t="str">
        <f>IFERROR(VLOOKUP($C867,'24.08_ND'!$A:$D,3,0),)</f>
        <v>KG</v>
      </c>
      <c r="F867" s="385">
        <v>4.6800000000000001E-3</v>
      </c>
      <c r="G867" s="598">
        <f>IFERROR(VLOOKUP($C867,'24.08_ND'!$A:$D,4,0),)</f>
        <v>16.39</v>
      </c>
      <c r="H867" s="449">
        <f t="shared" si="35"/>
        <v>7.0000000000000007E-2</v>
      </c>
      <c r="I867" s="262"/>
      <c r="J867" s="262"/>
      <c r="K867" s="262"/>
      <c r="L867" s="262"/>
      <c r="M867" s="262"/>
      <c r="N867" s="262"/>
      <c r="O867" s="262"/>
      <c r="P867" s="262"/>
      <c r="Q867" s="262"/>
      <c r="R867" s="262"/>
      <c r="S867" s="262"/>
      <c r="T867" s="262"/>
      <c r="U867" s="262"/>
      <c r="V867" s="262"/>
      <c r="W867" s="262"/>
      <c r="X867" s="262"/>
      <c r="Y867" s="262"/>
      <c r="Z867" s="262"/>
      <c r="AA867" s="262"/>
      <c r="AB867" s="262"/>
    </row>
    <row r="868" spans="1:31" ht="12.75">
      <c r="A868" s="581" t="s">
        <v>14479</v>
      </c>
      <c r="B868" s="582" t="s">
        <v>14476</v>
      </c>
      <c r="C868" s="447">
        <v>40547</v>
      </c>
      <c r="D868" s="596" t="str">
        <f>IFERROR(VLOOKUP($C868,'24.08_ND'!$A:$D,2,0),)</f>
        <v>PARAFUSO ZINCADO, AUTOBROCANTE, FLANGEADO, 4,2 MM X 19 MM</v>
      </c>
      <c r="E868" s="597" t="str">
        <f>IFERROR(VLOOKUP($C868,'24.08_ND'!$A:$D,3,0),)</f>
        <v>CENTO</v>
      </c>
      <c r="F868" s="385">
        <v>0.03</v>
      </c>
      <c r="G868" s="598">
        <f>IFERROR(VLOOKUP($C868,'24.08_ND'!$A:$D,4,0),)</f>
        <v>26.33</v>
      </c>
      <c r="H868" s="449">
        <f t="shared" si="35"/>
        <v>0.78</v>
      </c>
      <c r="I868" s="262"/>
      <c r="J868" s="262"/>
      <c r="K868" s="262"/>
      <c r="L868" s="262"/>
      <c r="M868" s="262"/>
      <c r="N868" s="262"/>
      <c r="O868" s="262"/>
      <c r="P868" s="262"/>
      <c r="Q868" s="262"/>
      <c r="R868" s="262"/>
      <c r="S868" s="262"/>
      <c r="T868" s="262"/>
      <c r="U868" s="262"/>
      <c r="V868" s="262"/>
      <c r="W868" s="262"/>
      <c r="X868" s="262"/>
      <c r="Y868" s="262"/>
      <c r="Z868" s="262"/>
      <c r="AA868" s="262"/>
      <c r="AB868" s="262"/>
    </row>
    <row r="869" spans="1:31" ht="12.75">
      <c r="A869" s="309"/>
      <c r="B869" s="303"/>
      <c r="C869" s="303"/>
      <c r="D869" s="310"/>
      <c r="E869" s="303"/>
      <c r="F869" s="306"/>
      <c r="G869" s="307"/>
      <c r="H869" s="308"/>
      <c r="I869" s="262"/>
      <c r="J869" s="262"/>
      <c r="K869" s="262"/>
      <c r="L869" s="262"/>
      <c r="M869" s="262"/>
      <c r="N869" s="262"/>
      <c r="O869" s="262"/>
      <c r="P869" s="262"/>
      <c r="Q869" s="262"/>
      <c r="R869" s="262"/>
      <c r="S869" s="262"/>
      <c r="T869" s="262"/>
      <c r="U869" s="262"/>
      <c r="V869" s="262"/>
      <c r="W869" s="262"/>
      <c r="X869" s="262"/>
      <c r="Y869" s="262"/>
      <c r="Z869" s="262"/>
      <c r="AA869" s="262"/>
      <c r="AB869" s="262"/>
    </row>
    <row r="870" spans="1:31" ht="38.25">
      <c r="A870" s="271" t="s">
        <v>14471</v>
      </c>
      <c r="B870" s="272" t="s">
        <v>14472</v>
      </c>
      <c r="C870" s="360" t="s">
        <v>14799</v>
      </c>
      <c r="D870" s="274" t="s">
        <v>14800</v>
      </c>
      <c r="E870" s="272" t="s">
        <v>50</v>
      </c>
      <c r="F870" s="272"/>
      <c r="G870" s="272"/>
      <c r="H870" s="275">
        <f>TRUNC(SUM(H872:H876),2)</f>
        <v>13.86</v>
      </c>
      <c r="I870" s="276">
        <f>COUNTIF($C$8:$C870,C:C)</f>
        <v>1</v>
      </c>
      <c r="J870" s="262"/>
      <c r="K870" s="262"/>
      <c r="L870" s="262"/>
      <c r="M870" s="262"/>
      <c r="N870" s="262"/>
      <c r="O870" s="262"/>
      <c r="P870" s="262"/>
      <c r="Q870" s="262"/>
      <c r="R870" s="262"/>
      <c r="S870" s="262"/>
      <c r="T870" s="262"/>
      <c r="U870" s="262"/>
      <c r="V870" s="262"/>
      <c r="W870" s="262"/>
      <c r="X870" s="262"/>
      <c r="Y870" s="262"/>
      <c r="Z870" s="262"/>
      <c r="AA870" s="262"/>
      <c r="AB870" s="262"/>
    </row>
    <row r="871" spans="1:31" ht="12.75">
      <c r="A871" s="277" t="s">
        <v>14475</v>
      </c>
      <c r="B871" s="488" t="s">
        <v>14801</v>
      </c>
      <c r="C871" s="489" t="s">
        <v>14802</v>
      </c>
      <c r="D871" s="608">
        <v>44927</v>
      </c>
      <c r="E871" s="609"/>
      <c r="F871" s="554"/>
      <c r="G871" s="492"/>
      <c r="H871" s="493"/>
      <c r="I871" s="262"/>
      <c r="J871" s="262"/>
      <c r="K871" s="262"/>
      <c r="L871" s="262"/>
      <c r="M871" s="262"/>
      <c r="N871" s="262"/>
      <c r="O871" s="262"/>
      <c r="P871" s="262"/>
      <c r="Q871" s="262"/>
      <c r="R871" s="262"/>
      <c r="S871" s="262"/>
      <c r="T871" s="262"/>
      <c r="U871" s="262"/>
      <c r="V871" s="262"/>
      <c r="W871" s="262"/>
      <c r="X871" s="262"/>
      <c r="Y871" s="262"/>
      <c r="Z871" s="262"/>
      <c r="AA871" s="262"/>
      <c r="AB871" s="262"/>
    </row>
    <row r="872" spans="1:31" ht="25.5">
      <c r="A872" s="285" t="s">
        <v>14478</v>
      </c>
      <c r="B872" s="286" t="s">
        <v>14476</v>
      </c>
      <c r="C872" s="408">
        <v>88316</v>
      </c>
      <c r="D872" s="288" t="str">
        <f>IFERROR(VLOOKUP($C872,'24.08_ND'!$A:$D,2,0),)</f>
        <v>SERVENTE COM ENCARGOS COMPLEMENTARES</v>
      </c>
      <c r="E872" s="289" t="str">
        <f>IFERROR(VLOOKUP($C872,'24.08_ND'!$A:$D,3,0),)</f>
        <v>H</v>
      </c>
      <c r="F872" s="610">
        <v>0.12</v>
      </c>
      <c r="G872" s="291">
        <f>IFERROR(VLOOKUP($C872,'24.08_ND'!$A:$D,4,0),)</f>
        <v>18.510000000000002</v>
      </c>
      <c r="H872" s="292">
        <f>TRUNC(($F872*$G872),2)</f>
        <v>2.2200000000000002</v>
      </c>
      <c r="I872" s="262"/>
      <c r="J872" s="262"/>
      <c r="K872" s="262"/>
      <c r="L872" s="262"/>
      <c r="M872" s="262"/>
      <c r="N872" s="262"/>
      <c r="O872" s="262"/>
      <c r="P872" s="262"/>
      <c r="Q872" s="262"/>
      <c r="R872" s="262"/>
      <c r="S872" s="262"/>
      <c r="T872" s="262"/>
      <c r="U872" s="262"/>
      <c r="V872" s="262"/>
      <c r="W872" s="262"/>
      <c r="X872" s="262"/>
      <c r="Y872" s="262"/>
      <c r="Z872" s="262"/>
      <c r="AA872" s="262"/>
      <c r="AB872" s="262"/>
      <c r="AD872" s="1791" t="e">
        <f>VLOOKUP(C872,'Medição '!$B$16:$F$1833,6,0)</f>
        <v>#N/A</v>
      </c>
      <c r="AE872" s="1791"/>
    </row>
    <row r="873" spans="1:31" ht="25.5">
      <c r="A873" s="285" t="s">
        <v>14478</v>
      </c>
      <c r="B873" s="286" t="s">
        <v>14476</v>
      </c>
      <c r="C873" s="408">
        <v>88269</v>
      </c>
      <c r="D873" s="288" t="str">
        <f>IFERROR(VLOOKUP($C873,'24.08_ND'!$A:$D,2,0),)</f>
        <v>GESSEIRO COM ENCARGOS COMPLEMENTARES</v>
      </c>
      <c r="E873" s="289" t="str">
        <f>IFERROR(VLOOKUP($C873,'24.08_ND'!$A:$D,3,0),)</f>
        <v>H</v>
      </c>
      <c r="F873" s="610">
        <v>0.24</v>
      </c>
      <c r="G873" s="291">
        <f>IFERROR(VLOOKUP($C873,'24.08_ND'!$A:$D,4,0),)</f>
        <v>22.31</v>
      </c>
      <c r="H873" s="292">
        <f>TRUNC(($F873*$G873),2)</f>
        <v>5.35</v>
      </c>
      <c r="I873" s="262"/>
      <c r="J873" s="262"/>
      <c r="K873" s="262"/>
      <c r="L873" s="262"/>
      <c r="M873" s="262"/>
      <c r="N873" s="262"/>
      <c r="O873" s="262"/>
      <c r="P873" s="262"/>
      <c r="Q873" s="262"/>
      <c r="R873" s="262"/>
      <c r="S873" s="262"/>
      <c r="T873" s="262"/>
      <c r="U873" s="262"/>
      <c r="V873" s="262"/>
      <c r="W873" s="262"/>
      <c r="X873" s="262"/>
      <c r="Y873" s="262"/>
      <c r="Z873" s="262"/>
      <c r="AA873" s="262"/>
      <c r="AB873" s="262"/>
      <c r="AD873" s="1791" t="e">
        <f>VLOOKUP(C873,'Medição '!$B$16:$F$1833,6,0)</f>
        <v>#N/A</v>
      </c>
      <c r="AE873" s="1791"/>
    </row>
    <row r="874" spans="1:31" ht="25.5">
      <c r="A874" s="558" t="s">
        <v>14479</v>
      </c>
      <c r="B874" s="559" t="s">
        <v>14476</v>
      </c>
      <c r="C874" s="559">
        <v>39428</v>
      </c>
      <c r="D874" s="296" t="str">
        <f>IFERROR(VLOOKUP($C874,'24.08_ND'!$A:$D,2,0),)</f>
        <v>PERFIL TABICA FECHADA, LISA, FORMATO Z, EM ACO GALVANIZADO NATURAL, LARGURA TOTAL NA HORIZONTAL *40* MM, PARA ESTRUTURA FORRO DRYWALL</v>
      </c>
      <c r="E874" s="297" t="str">
        <f>IFERROR(VLOOKUP($C874,'24.08_ND'!$A:$D,3,0),)</f>
        <v>M</v>
      </c>
      <c r="F874" s="611">
        <v>1.05</v>
      </c>
      <c r="G874" s="299">
        <f>IFERROR(VLOOKUP($C874,'24.08_ND'!$A:$D,4,0),)</f>
        <v>4.08</v>
      </c>
      <c r="H874" s="300">
        <f>TRUNC(($F874*$G874),2)</f>
        <v>4.28</v>
      </c>
      <c r="I874" s="262"/>
      <c r="J874" s="262"/>
      <c r="K874" s="262"/>
      <c r="L874" s="262"/>
      <c r="M874" s="262"/>
      <c r="N874" s="262"/>
      <c r="O874" s="262"/>
      <c r="P874" s="262"/>
      <c r="Q874" s="262"/>
      <c r="R874" s="262"/>
      <c r="S874" s="262"/>
      <c r="T874" s="262"/>
      <c r="U874" s="262"/>
      <c r="V874" s="262"/>
      <c r="W874" s="262"/>
      <c r="X874" s="262"/>
      <c r="Y874" s="262"/>
      <c r="Z874" s="262"/>
      <c r="AA874" s="262"/>
      <c r="AB874" s="262"/>
    </row>
    <row r="875" spans="1:31" ht="25.5">
      <c r="A875" s="558" t="s">
        <v>14479</v>
      </c>
      <c r="B875" s="559" t="s">
        <v>14476</v>
      </c>
      <c r="C875" s="559">
        <v>39443</v>
      </c>
      <c r="D875" s="296" t="str">
        <f>IFERROR(VLOOKUP($C875,'24.08_ND'!$A:$D,2,0),)</f>
        <v>PARAFUSO DRY WALL, EM ACO ZINCADO, CABECA LENTILHA E PONTA BROCA (LB), LARGURA 4,2 MM, COMPRIMENTO 13 MM</v>
      </c>
      <c r="E875" s="297" t="str">
        <f>IFERROR(VLOOKUP($C875,'24.08_ND'!$A:$D,3,0),)</f>
        <v>UN</v>
      </c>
      <c r="F875" s="611">
        <v>3</v>
      </c>
      <c r="G875" s="299">
        <f>IFERROR(VLOOKUP($C875,'24.08_ND'!$A:$D,4,0),)</f>
        <v>0.22</v>
      </c>
      <c r="H875" s="300">
        <f>TRUNC(($F875*$G875),2)</f>
        <v>0.66</v>
      </c>
      <c r="I875" s="262"/>
      <c r="J875" s="262"/>
      <c r="K875" s="262"/>
      <c r="L875" s="262"/>
      <c r="M875" s="262"/>
      <c r="N875" s="262"/>
      <c r="O875" s="262"/>
      <c r="P875" s="262"/>
      <c r="Q875" s="262"/>
      <c r="R875" s="262"/>
      <c r="S875" s="262"/>
      <c r="T875" s="262"/>
      <c r="U875" s="262"/>
      <c r="V875" s="262"/>
      <c r="W875" s="262"/>
      <c r="X875" s="262"/>
      <c r="Y875" s="262"/>
      <c r="Z875" s="262"/>
      <c r="AA875" s="262"/>
      <c r="AB875" s="262"/>
    </row>
    <row r="876" spans="1:31" ht="25.5">
      <c r="A876" s="558" t="s">
        <v>14479</v>
      </c>
      <c r="B876" s="559" t="s">
        <v>14476</v>
      </c>
      <c r="C876" s="559">
        <v>7583</v>
      </c>
      <c r="D876" s="296" t="str">
        <f>IFERROR(VLOOKUP($C876,'24.08_ND'!$A:$D,2,0),)</f>
        <v>BUCHA DE NYLON SEM ABA S8, COM PARAFUSO DE 4,80 X 50 MM EM ACO ZINCADO COM ROSCA SOBERBA, CABECA CHATA E FENDA PHILLIPS</v>
      </c>
      <c r="E876" s="297" t="str">
        <f>IFERROR(VLOOKUP($C876,'24.08_ND'!$A:$D,3,0),)</f>
        <v>UN</v>
      </c>
      <c r="F876" s="611">
        <v>3</v>
      </c>
      <c r="G876" s="299">
        <f>IFERROR(VLOOKUP($C876,'24.08_ND'!$A:$D,4,0),)</f>
        <v>0.45</v>
      </c>
      <c r="H876" s="300">
        <f>TRUNC(($F876*$G876),2)</f>
        <v>1.35</v>
      </c>
      <c r="I876" s="262"/>
      <c r="J876" s="262"/>
      <c r="K876" s="262"/>
      <c r="L876" s="262"/>
      <c r="M876" s="262"/>
      <c r="N876" s="262"/>
      <c r="O876" s="262"/>
      <c r="P876" s="262"/>
      <c r="Q876" s="262"/>
      <c r="R876" s="262"/>
      <c r="S876" s="262"/>
      <c r="T876" s="262"/>
      <c r="U876" s="262"/>
      <c r="V876" s="262"/>
      <c r="W876" s="262"/>
      <c r="X876" s="262"/>
      <c r="Y876" s="262"/>
      <c r="Z876" s="262"/>
      <c r="AA876" s="262"/>
      <c r="AB876" s="262"/>
    </row>
    <row r="877" spans="1:31" ht="12.75">
      <c r="A877" s="309"/>
      <c r="B877" s="303"/>
      <c r="C877" s="303"/>
      <c r="D877" s="310"/>
      <c r="E877" s="303"/>
      <c r="F877" s="306"/>
      <c r="G877" s="307"/>
      <c r="H877" s="308"/>
      <c r="I877" s="276">
        <f>COUNTIF($C$8:$C877,C:C)</f>
        <v>0</v>
      </c>
      <c r="J877" s="262"/>
      <c r="K877" s="262"/>
      <c r="L877" s="262"/>
      <c r="M877" s="262"/>
      <c r="N877" s="262"/>
      <c r="O877" s="262"/>
      <c r="P877" s="262"/>
      <c r="Q877" s="262"/>
      <c r="R877" s="262"/>
      <c r="S877" s="262"/>
      <c r="T877" s="262"/>
      <c r="U877" s="262"/>
      <c r="V877" s="262"/>
      <c r="W877" s="262"/>
      <c r="X877" s="262"/>
      <c r="Y877" s="262"/>
      <c r="Z877" s="262"/>
      <c r="AA877" s="262"/>
      <c r="AB877" s="262"/>
    </row>
    <row r="878" spans="1:31" ht="12.75">
      <c r="A878" s="271" t="s">
        <v>14471</v>
      </c>
      <c r="B878" s="272" t="s">
        <v>14472</v>
      </c>
      <c r="C878" s="360" t="s">
        <v>14803</v>
      </c>
      <c r="D878" s="274" t="s">
        <v>14804</v>
      </c>
      <c r="E878" s="272" t="s">
        <v>409</v>
      </c>
      <c r="F878" s="272"/>
      <c r="G878" s="272"/>
      <c r="H878" s="275">
        <f>TRUNC(SUM(H880:H883),2)</f>
        <v>110.2</v>
      </c>
      <c r="I878" s="262"/>
      <c r="J878" s="262"/>
      <c r="K878" s="262"/>
      <c r="L878" s="262"/>
      <c r="M878" s="262"/>
      <c r="N878" s="262"/>
      <c r="O878" s="262"/>
      <c r="P878" s="262"/>
      <c r="Q878" s="262"/>
      <c r="R878" s="262"/>
      <c r="S878" s="262"/>
      <c r="T878" s="262"/>
      <c r="U878" s="262"/>
      <c r="V878" s="262"/>
      <c r="W878" s="262"/>
      <c r="X878" s="262"/>
      <c r="Y878" s="262"/>
      <c r="Z878" s="262"/>
      <c r="AA878" s="262"/>
      <c r="AB878" s="262"/>
    </row>
    <row r="879" spans="1:31" ht="12.75">
      <c r="A879" s="277" t="s">
        <v>14475</v>
      </c>
      <c r="B879" s="488" t="s">
        <v>14801</v>
      </c>
      <c r="C879" s="489">
        <v>96112</v>
      </c>
      <c r="D879" s="490" t="s">
        <v>14602</v>
      </c>
      <c r="E879" s="609"/>
      <c r="F879" s="554"/>
      <c r="G879" s="492"/>
      <c r="H879" s="493"/>
      <c r="I879" s="262"/>
      <c r="J879" s="262"/>
      <c r="K879" s="262"/>
      <c r="L879" s="262"/>
      <c r="M879" s="262"/>
      <c r="N879" s="262"/>
      <c r="O879" s="262"/>
      <c r="P879" s="262"/>
      <c r="Q879" s="262"/>
      <c r="R879" s="262"/>
      <c r="S879" s="262"/>
      <c r="T879" s="262"/>
      <c r="U879" s="262"/>
      <c r="V879" s="262"/>
      <c r="W879" s="262"/>
      <c r="X879" s="262"/>
      <c r="Y879" s="262"/>
      <c r="Z879" s="262"/>
      <c r="AA879" s="262"/>
      <c r="AB879" s="262"/>
    </row>
    <row r="880" spans="1:31" ht="25.5">
      <c r="A880" s="285" t="s">
        <v>14478</v>
      </c>
      <c r="B880" s="286" t="s">
        <v>14476</v>
      </c>
      <c r="C880" s="408">
        <v>88239</v>
      </c>
      <c r="D880" s="288" t="str">
        <f>IFERROR(VLOOKUP($C880,'24.08_ND'!$A:$D,2,0),)</f>
        <v>AJUDANTE DE CARPINTEIRO COM ENCARGOS COMPLEMENTARES</v>
      </c>
      <c r="E880" s="289" t="str">
        <f>IFERROR(VLOOKUP($C880,'24.08_ND'!$A:$D,3,0),)</f>
        <v>H</v>
      </c>
      <c r="F880" s="610">
        <v>0.45</v>
      </c>
      <c r="G880" s="291">
        <f>IFERROR(VLOOKUP($C880,'24.08_ND'!$A:$D,4,0),)</f>
        <v>19.510000000000002</v>
      </c>
      <c r="H880" s="292">
        <f>TRUNC(($F880*$G880),2)</f>
        <v>8.77</v>
      </c>
      <c r="I880" s="262"/>
      <c r="J880" s="262"/>
      <c r="K880" s="262"/>
      <c r="L880" s="262"/>
      <c r="M880" s="262"/>
      <c r="N880" s="262"/>
      <c r="O880" s="262"/>
      <c r="P880" s="262"/>
      <c r="Q880" s="262"/>
      <c r="R880" s="262"/>
      <c r="S880" s="262"/>
      <c r="T880" s="262"/>
      <c r="U880" s="262"/>
      <c r="V880" s="262"/>
      <c r="W880" s="262"/>
      <c r="X880" s="262"/>
      <c r="Y880" s="262"/>
      <c r="Z880" s="262"/>
      <c r="AA880" s="262"/>
      <c r="AB880" s="262"/>
      <c r="AD880" s="1791" t="e">
        <f>VLOOKUP(C880,'Medição '!$B$16:$F$1833,6,0)</f>
        <v>#N/A</v>
      </c>
      <c r="AE880" s="1791"/>
    </row>
    <row r="881" spans="1:31" ht="25.5">
      <c r="A881" s="285" t="s">
        <v>14478</v>
      </c>
      <c r="B881" s="286" t="s">
        <v>14476</v>
      </c>
      <c r="C881" s="408">
        <v>88262</v>
      </c>
      <c r="D881" s="288" t="str">
        <f>IFERROR(VLOOKUP($C881,'24.08_ND'!$A:$D,2,0),)</f>
        <v>CARPINTEIRO DE FORMAS COM ENCARGOS COMPLEMENTARES</v>
      </c>
      <c r="E881" s="289" t="str">
        <f>IFERROR(VLOOKUP($C881,'24.08_ND'!$A:$D,3,0),)</f>
        <v>H</v>
      </c>
      <c r="F881" s="610">
        <f>F880*1.5</f>
        <v>0.67500000000000004</v>
      </c>
      <c r="G881" s="291">
        <f>IFERROR(VLOOKUP($C881,'24.08_ND'!$A:$D,4,0),)</f>
        <v>23.01</v>
      </c>
      <c r="H881" s="292">
        <f>TRUNC(($F881*$G881),2)</f>
        <v>15.53</v>
      </c>
      <c r="I881" s="262"/>
      <c r="J881" s="262"/>
      <c r="K881" s="262"/>
      <c r="L881" s="262"/>
      <c r="M881" s="262"/>
      <c r="N881" s="262"/>
      <c r="O881" s="262"/>
      <c r="P881" s="262"/>
      <c r="Q881" s="262"/>
      <c r="R881" s="262"/>
      <c r="S881" s="262"/>
      <c r="T881" s="262"/>
      <c r="U881" s="262"/>
      <c r="V881" s="262"/>
      <c r="W881" s="262"/>
      <c r="X881" s="262"/>
      <c r="Y881" s="262"/>
      <c r="Z881" s="262"/>
      <c r="AA881" s="262"/>
      <c r="AB881" s="262"/>
      <c r="AD881" s="1791" t="e">
        <f>VLOOKUP(C881,'Medição '!$B$16:$F$1833,6,0)</f>
        <v>#N/A</v>
      </c>
      <c r="AE881" s="1791"/>
    </row>
    <row r="882" spans="1:31" ht="12.75">
      <c r="A882" s="558" t="s">
        <v>14479</v>
      </c>
      <c r="B882" s="559" t="s">
        <v>14476</v>
      </c>
      <c r="C882" s="559">
        <v>40547</v>
      </c>
      <c r="D882" s="296" t="str">
        <f>IFERROR(VLOOKUP($C882,'24.08_ND'!$A:$D,2,0),)</f>
        <v>PARAFUSO ZINCADO, AUTOBROCANTE, FLANGEADO, 4,2 MM X 19 MM</v>
      </c>
      <c r="E882" s="297" t="str">
        <f>IFERROR(VLOOKUP($C882,'24.08_ND'!$A:$D,3,0),)</f>
        <v>CENTO</v>
      </c>
      <c r="F882" s="611">
        <f>12/100</f>
        <v>0.12</v>
      </c>
      <c r="G882" s="299">
        <f>IFERROR(VLOOKUP($C882,'24.08_ND'!$A:$D,4,0),)</f>
        <v>26.33</v>
      </c>
      <c r="H882" s="300">
        <f>TRUNC(($F882*$G882),2)</f>
        <v>3.15</v>
      </c>
      <c r="I882" s="262"/>
      <c r="J882" s="262"/>
      <c r="K882" s="262"/>
      <c r="L882" s="262"/>
      <c r="M882" s="262"/>
      <c r="N882" s="262"/>
      <c r="O882" s="262"/>
      <c r="P882" s="262"/>
      <c r="Q882" s="262"/>
      <c r="R882" s="262"/>
      <c r="S882" s="262"/>
      <c r="T882" s="262"/>
      <c r="U882" s="262"/>
      <c r="V882" s="262"/>
      <c r="W882" s="262"/>
      <c r="X882" s="262"/>
      <c r="Y882" s="262"/>
      <c r="Z882" s="262"/>
      <c r="AA882" s="262"/>
      <c r="AB882" s="262"/>
    </row>
    <row r="883" spans="1:31" ht="12.75">
      <c r="A883" s="319" t="s">
        <v>14479</v>
      </c>
      <c r="B883" s="320" t="s">
        <v>14491</v>
      </c>
      <c r="C883" s="600" t="s">
        <v>14805</v>
      </c>
      <c r="D883" s="321" t="str">
        <f>VLOOKUP($C883,'09 - MC'!$A:$F,2,0)</f>
        <v>FORRO SINTÉTICO - PALHA CARNAÚBA</v>
      </c>
      <c r="E883" s="322" t="str">
        <f>VLOOKUP($C883,'09 - MC'!$A:$F,3,0)</f>
        <v>M2</v>
      </c>
      <c r="F883" s="323">
        <v>1.1499999999999999</v>
      </c>
      <c r="G883" s="324">
        <f>VLOOKUP($C883,'09 - MC'!$A:$F,6,0)</f>
        <v>71.959999999999994</v>
      </c>
      <c r="H883" s="325">
        <f>TRUNC(G883*F883,2)</f>
        <v>82.75</v>
      </c>
      <c r="I883" s="262"/>
      <c r="J883" s="262"/>
      <c r="K883" s="262"/>
      <c r="L883" s="262"/>
      <c r="M883" s="262"/>
      <c r="N883" s="262"/>
      <c r="O883" s="262"/>
      <c r="P883" s="262"/>
      <c r="Q883" s="262"/>
      <c r="R883" s="262"/>
      <c r="S883" s="262"/>
      <c r="T883" s="262"/>
      <c r="U883" s="262"/>
      <c r="V883" s="262"/>
      <c r="W883" s="262"/>
      <c r="X883" s="262"/>
      <c r="Y883" s="262"/>
      <c r="Z883" s="262"/>
      <c r="AA883" s="262"/>
      <c r="AB883" s="262"/>
    </row>
    <row r="884" spans="1:31" ht="12.75">
      <c r="A884" s="309"/>
      <c r="B884" s="303"/>
      <c r="C884" s="303"/>
      <c r="D884" s="310"/>
      <c r="E884" s="303"/>
      <c r="F884" s="306"/>
      <c r="G884" s="307"/>
      <c r="H884" s="308"/>
      <c r="I884" s="276">
        <f>COUNTIF($C$8:$C884,C:C)</f>
        <v>0</v>
      </c>
      <c r="J884" s="262"/>
      <c r="K884" s="262"/>
      <c r="L884" s="262"/>
      <c r="M884" s="262"/>
      <c r="N884" s="262"/>
      <c r="O884" s="262"/>
      <c r="P884" s="262"/>
      <c r="Q884" s="262"/>
      <c r="R884" s="262"/>
      <c r="S884" s="262"/>
      <c r="T884" s="262"/>
      <c r="U884" s="262"/>
      <c r="V884" s="262"/>
      <c r="W884" s="262"/>
      <c r="X884" s="262"/>
      <c r="Y884" s="262"/>
      <c r="Z884" s="262"/>
      <c r="AA884" s="262"/>
      <c r="AB884" s="262"/>
    </row>
    <row r="885" spans="1:31" ht="25.5">
      <c r="A885" s="271" t="s">
        <v>14471</v>
      </c>
      <c r="B885" s="272" t="s">
        <v>14472</v>
      </c>
      <c r="C885" s="360" t="s">
        <v>14806</v>
      </c>
      <c r="D885" s="274" t="s">
        <v>14807</v>
      </c>
      <c r="E885" s="272" t="s">
        <v>6</v>
      </c>
      <c r="F885" s="272"/>
      <c r="G885" s="272"/>
      <c r="H885" s="275">
        <f>TRUNC(SUM(H887:H895),2)</f>
        <v>254.33</v>
      </c>
      <c r="I885" s="262"/>
      <c r="J885" s="262"/>
      <c r="K885" s="262"/>
      <c r="L885" s="262"/>
      <c r="M885" s="262"/>
      <c r="N885" s="262"/>
      <c r="O885" s="262"/>
      <c r="P885" s="262"/>
      <c r="Q885" s="262"/>
      <c r="R885" s="262"/>
      <c r="S885" s="262"/>
      <c r="T885" s="262"/>
      <c r="U885" s="262"/>
      <c r="V885" s="262"/>
      <c r="W885" s="262"/>
      <c r="X885" s="262"/>
      <c r="Y885" s="262"/>
      <c r="Z885" s="262"/>
      <c r="AA885" s="262"/>
      <c r="AB885" s="262"/>
    </row>
    <row r="886" spans="1:31" ht="12.75">
      <c r="A886" s="277" t="s">
        <v>14475</v>
      </c>
      <c r="B886" s="488" t="s">
        <v>14476</v>
      </c>
      <c r="C886" s="489">
        <v>86904</v>
      </c>
      <c r="D886" s="490" t="s">
        <v>14602</v>
      </c>
      <c r="E886" s="609"/>
      <c r="F886" s="554"/>
      <c r="G886" s="492"/>
      <c r="H886" s="493"/>
      <c r="I886" s="262"/>
      <c r="J886" s="262"/>
      <c r="K886" s="262"/>
      <c r="L886" s="262"/>
      <c r="M886" s="262"/>
      <c r="N886" s="262"/>
      <c r="O886" s="262"/>
      <c r="P886" s="262"/>
      <c r="Q886" s="262"/>
      <c r="R886" s="262"/>
      <c r="S886" s="262"/>
      <c r="T886" s="262"/>
      <c r="U886" s="262"/>
      <c r="V886" s="262"/>
      <c r="W886" s="262"/>
      <c r="X886" s="262"/>
      <c r="Y886" s="262"/>
      <c r="Z886" s="262"/>
      <c r="AA886" s="262"/>
      <c r="AB886" s="262"/>
    </row>
    <row r="887" spans="1:31" ht="25.5">
      <c r="A887" s="285" t="s">
        <v>14478</v>
      </c>
      <c r="B887" s="286" t="s">
        <v>14476</v>
      </c>
      <c r="C887" s="408">
        <v>88267</v>
      </c>
      <c r="D887" s="288" t="str">
        <f>IFERROR(VLOOKUP($C887,'24.08_ND'!$A:$D,2,0),)</f>
        <v>ENCANADOR OU BOMBEIRO HIDRÁULICO COM ENCARGOS COMPLEMENTARES</v>
      </c>
      <c r="E887" s="289" t="str">
        <f>IFERROR(VLOOKUP($C887,'24.08_ND'!$A:$D,3,0),)</f>
        <v>H</v>
      </c>
      <c r="F887" s="610">
        <v>0.38700000000000001</v>
      </c>
      <c r="G887" s="291">
        <f>IFERROR(VLOOKUP($C887,'24.08_ND'!$A:$D,4,0),)</f>
        <v>23.27</v>
      </c>
      <c r="H887" s="292">
        <f t="shared" ref="H887:H895" si="36">TRUNC(($F887*$G887),2)</f>
        <v>9</v>
      </c>
      <c r="I887" s="262"/>
      <c r="J887" s="262"/>
      <c r="K887" s="262"/>
      <c r="L887" s="262"/>
      <c r="M887" s="262"/>
      <c r="N887" s="262"/>
      <c r="O887" s="262"/>
      <c r="P887" s="262"/>
      <c r="Q887" s="262"/>
      <c r="R887" s="262"/>
      <c r="S887" s="262"/>
      <c r="T887" s="262"/>
      <c r="U887" s="262"/>
      <c r="V887" s="262"/>
      <c r="W887" s="262"/>
      <c r="X887" s="262"/>
      <c r="Y887" s="262"/>
      <c r="Z887" s="262"/>
      <c r="AA887" s="262"/>
      <c r="AB887" s="262"/>
      <c r="AD887" s="1791" t="e">
        <f>VLOOKUP(C887,'Medição '!$B$16:$F$1833,6,0)</f>
        <v>#N/A</v>
      </c>
      <c r="AE887" s="1791"/>
    </row>
    <row r="888" spans="1:31" ht="25.5">
      <c r="A888" s="285" t="s">
        <v>14478</v>
      </c>
      <c r="B888" s="286" t="s">
        <v>14476</v>
      </c>
      <c r="C888" s="408">
        <v>88316</v>
      </c>
      <c r="D888" s="288" t="str">
        <f>IFERROR(VLOOKUP($C888,'24.08_ND'!$A:$D,2,0),)</f>
        <v>SERVENTE COM ENCARGOS COMPLEMENTARES</v>
      </c>
      <c r="E888" s="289" t="str">
        <f>IFERROR(VLOOKUP($C888,'24.08_ND'!$A:$D,3,0),)</f>
        <v>H</v>
      </c>
      <c r="F888" s="610">
        <v>0.18859999999999999</v>
      </c>
      <c r="G888" s="291">
        <f>IFERROR(VLOOKUP($C888,'24.08_ND'!$A:$D,4,0),)</f>
        <v>18.510000000000002</v>
      </c>
      <c r="H888" s="292">
        <f t="shared" si="36"/>
        <v>3.49</v>
      </c>
      <c r="I888" s="262"/>
      <c r="J888" s="262"/>
      <c r="K888" s="262"/>
      <c r="L888" s="262"/>
      <c r="M888" s="262"/>
      <c r="N888" s="262"/>
      <c r="O888" s="262"/>
      <c r="P888" s="262"/>
      <c r="Q888" s="262"/>
      <c r="R888" s="262"/>
      <c r="S888" s="262"/>
      <c r="T888" s="262"/>
      <c r="U888" s="262"/>
      <c r="V888" s="262"/>
      <c r="W888" s="262"/>
      <c r="X888" s="262"/>
      <c r="Y888" s="262"/>
      <c r="Z888" s="262"/>
      <c r="AA888" s="262"/>
      <c r="AB888" s="262"/>
      <c r="AD888" s="1791" t="e">
        <f>VLOOKUP(C888,'Medição '!$B$16:$F$1833,6,0)</f>
        <v>#N/A</v>
      </c>
      <c r="AE888" s="1791"/>
    </row>
    <row r="889" spans="1:31" ht="12.75">
      <c r="A889" s="558" t="s">
        <v>14479</v>
      </c>
      <c r="B889" s="559" t="s">
        <v>14476</v>
      </c>
      <c r="C889" s="559">
        <v>3146</v>
      </c>
      <c r="D889" s="296" t="str">
        <f>IFERROR(VLOOKUP($C889,'24.08_ND'!$A:$D,2,0),)</f>
        <v>FITA VEDA ROSCA EM ROLOS DE 18 MM X 10 M (L X C)</v>
      </c>
      <c r="E889" s="297" t="str">
        <f>IFERROR(VLOOKUP($C889,'24.08_ND'!$A:$D,3,0),)</f>
        <v>UN</v>
      </c>
      <c r="F889" s="611">
        <f>0.2/10</f>
        <v>0.02</v>
      </c>
      <c r="G889" s="299">
        <f>IFERROR(VLOOKUP($C889,'24.08_ND'!$A:$D,4,0),)</f>
        <v>3.59</v>
      </c>
      <c r="H889" s="300">
        <f t="shared" si="36"/>
        <v>7.0000000000000007E-2</v>
      </c>
      <c r="I889" s="262"/>
      <c r="J889" s="262"/>
      <c r="K889" s="262"/>
      <c r="L889" s="262"/>
      <c r="M889" s="262"/>
      <c r="N889" s="262"/>
      <c r="O889" s="262"/>
      <c r="P889" s="262"/>
      <c r="Q889" s="262"/>
      <c r="R889" s="262"/>
      <c r="S889" s="262"/>
      <c r="T889" s="262"/>
      <c r="U889" s="262"/>
      <c r="V889" s="262"/>
      <c r="W889" s="262"/>
      <c r="X889" s="262"/>
      <c r="Y889" s="262"/>
      <c r="Z889" s="262"/>
      <c r="AA889" s="262"/>
      <c r="AB889" s="262"/>
    </row>
    <row r="890" spans="1:31" ht="25.5">
      <c r="A890" s="558" t="s">
        <v>14479</v>
      </c>
      <c r="B890" s="559" t="s">
        <v>14476</v>
      </c>
      <c r="C890" s="559">
        <v>44945</v>
      </c>
      <c r="D890" s="296" t="str">
        <f>IFERROR(VLOOKUP($C890,'24.08_ND'!$A:$D,2,0),)</f>
        <v>SIFAO / TUBO SINFONADO EXTENSIVEL/SANFONADO, UNIVERSAL/ SIMPLES, ENTRE *50 A 70* CM, DE PLASTICO BRANCO</v>
      </c>
      <c r="E890" s="297" t="str">
        <f>IFERROR(VLOOKUP($C890,'24.08_ND'!$A:$D,3,0),)</f>
        <v>UN</v>
      </c>
      <c r="F890" s="611">
        <v>1</v>
      </c>
      <c r="G890" s="299">
        <f>IFERROR(VLOOKUP($C890,'24.08_ND'!$A:$D,4,0),)</f>
        <v>10.47</v>
      </c>
      <c r="H890" s="300">
        <f t="shared" si="36"/>
        <v>10.47</v>
      </c>
      <c r="I890" s="262"/>
      <c r="J890" s="262"/>
      <c r="K890" s="262"/>
      <c r="L890" s="262"/>
      <c r="M890" s="262"/>
      <c r="N890" s="262"/>
      <c r="O890" s="262"/>
      <c r="P890" s="262"/>
      <c r="Q890" s="262"/>
      <c r="R890" s="262"/>
      <c r="S890" s="262"/>
      <c r="T890" s="262"/>
      <c r="U890" s="262"/>
      <c r="V890" s="262"/>
      <c r="W890" s="262"/>
      <c r="X890" s="262"/>
      <c r="Y890" s="262"/>
      <c r="Z890" s="262"/>
      <c r="AA890" s="262"/>
      <c r="AB890" s="262"/>
    </row>
    <row r="891" spans="1:31" ht="12.75">
      <c r="A891" s="558" t="s">
        <v>14479</v>
      </c>
      <c r="B891" s="559" t="s">
        <v>14476</v>
      </c>
      <c r="C891" s="559">
        <v>38643</v>
      </c>
      <c r="D891" s="296" t="str">
        <f>IFERROR(VLOOKUP($C891,'24.08_ND'!$A:$D,2,0),)</f>
        <v>VALVULA EM METAL CROMADO PARA LAVATORIO, 1" SEM LADRAO</v>
      </c>
      <c r="E891" s="297" t="str">
        <f>IFERROR(VLOOKUP($C891,'24.08_ND'!$A:$D,3,0),)</f>
        <v>UN</v>
      </c>
      <c r="F891" s="611">
        <v>1</v>
      </c>
      <c r="G891" s="299">
        <f>IFERROR(VLOOKUP($C891,'24.08_ND'!$A:$D,4,0),)</f>
        <v>49.19</v>
      </c>
      <c r="H891" s="300">
        <f t="shared" si="36"/>
        <v>49.19</v>
      </c>
      <c r="I891" s="262"/>
      <c r="J891" s="262"/>
      <c r="K891" s="262"/>
      <c r="L891" s="262"/>
      <c r="M891" s="262"/>
      <c r="N891" s="262"/>
      <c r="O891" s="262"/>
      <c r="P891" s="262"/>
      <c r="Q891" s="262"/>
      <c r="R891" s="262"/>
      <c r="S891" s="262"/>
      <c r="T891" s="262"/>
      <c r="U891" s="262"/>
      <c r="V891" s="262"/>
      <c r="W891" s="262"/>
      <c r="X891" s="262"/>
      <c r="Y891" s="262"/>
      <c r="Z891" s="262"/>
      <c r="AA891" s="262"/>
      <c r="AB891" s="262"/>
    </row>
    <row r="892" spans="1:31" ht="25.5">
      <c r="A892" s="558" t="s">
        <v>14479</v>
      </c>
      <c r="B892" s="559" t="s">
        <v>14476</v>
      </c>
      <c r="C892" s="559">
        <v>36521</v>
      </c>
      <c r="D892" s="296" t="str">
        <f>IFERROR(VLOOKUP($C892,'24.08_ND'!$A:$D,2,0),)</f>
        <v>LAVATORIO DE CANTO DE LOUCA BRANCA, SUSPENSO (SEM COLUNA), DIMENSOES *40 X 30* CM (L X C)</v>
      </c>
      <c r="E892" s="297" t="str">
        <f>IFERROR(VLOOKUP($C892,'24.08_ND'!$A:$D,3,0),)</f>
        <v>UN</v>
      </c>
      <c r="F892" s="611">
        <v>1</v>
      </c>
      <c r="G892" s="299">
        <f>IFERROR(VLOOKUP($C892,'24.08_ND'!$A:$D,4,0),)</f>
        <v>136.38999999999999</v>
      </c>
      <c r="H892" s="300">
        <f t="shared" si="36"/>
        <v>136.38999999999999</v>
      </c>
      <c r="I892" s="262"/>
      <c r="J892" s="262"/>
      <c r="K892" s="262"/>
      <c r="L892" s="262"/>
      <c r="M892" s="262"/>
      <c r="N892" s="262"/>
      <c r="O892" s="262"/>
      <c r="P892" s="262"/>
      <c r="Q892" s="262"/>
      <c r="R892" s="262"/>
      <c r="S892" s="262"/>
      <c r="T892" s="262"/>
      <c r="U892" s="262"/>
      <c r="V892" s="262"/>
      <c r="W892" s="262"/>
      <c r="X892" s="262"/>
      <c r="Y892" s="262"/>
      <c r="Z892" s="262"/>
      <c r="AA892" s="262"/>
      <c r="AB892" s="262"/>
    </row>
    <row r="893" spans="1:31" ht="25.5">
      <c r="A893" s="558" t="s">
        <v>14479</v>
      </c>
      <c r="B893" s="559" t="s">
        <v>14476</v>
      </c>
      <c r="C893" s="559">
        <v>4351</v>
      </c>
      <c r="D893" s="296" t="str">
        <f>IFERROR(VLOOKUP($C893,'24.08_ND'!$A:$D,2,0),)</f>
        <v>PARAFUSO NIQUELADO 3 1/2" COM ACABAMENTO CROMADO PARA FIXAR PECA SANITARIA, INCLUI PORCA CEGA, ARRUELA E BUCHA DE NYLON TAMANHO S-8</v>
      </c>
      <c r="E893" s="297" t="str">
        <f>IFERROR(VLOOKUP($C893,'24.08_ND'!$A:$D,3,0),)</f>
        <v>UN</v>
      </c>
      <c r="F893" s="611">
        <v>2</v>
      </c>
      <c r="G893" s="299">
        <f>IFERROR(VLOOKUP($C893,'24.08_ND'!$A:$D,4,0),)</f>
        <v>16.07</v>
      </c>
      <c r="H893" s="300">
        <f t="shared" si="36"/>
        <v>32.14</v>
      </c>
      <c r="I893" s="262"/>
      <c r="J893" s="262"/>
      <c r="K893" s="262"/>
      <c r="L893" s="262"/>
      <c r="M893" s="262"/>
      <c r="N893" s="262"/>
      <c r="O893" s="262"/>
      <c r="P893" s="262"/>
      <c r="Q893" s="262"/>
      <c r="R893" s="262"/>
      <c r="S893" s="262"/>
      <c r="T893" s="262"/>
      <c r="U893" s="262"/>
      <c r="V893" s="262"/>
      <c r="W893" s="262"/>
      <c r="X893" s="262"/>
      <c r="Y893" s="262"/>
      <c r="Z893" s="262"/>
      <c r="AA893" s="262"/>
      <c r="AB893" s="262"/>
    </row>
    <row r="894" spans="1:31" ht="12.75">
      <c r="A894" s="558" t="s">
        <v>14479</v>
      </c>
      <c r="B894" s="559" t="s">
        <v>14476</v>
      </c>
      <c r="C894" s="559">
        <v>39961</v>
      </c>
      <c r="D894" s="296" t="str">
        <f>IFERROR(VLOOKUP($C894,'24.08_ND'!$A:$D,2,0),)</f>
        <v>SILICONE ACETICO USO GERAL INCOLOR 280 G</v>
      </c>
      <c r="E894" s="297" t="str">
        <f>IFERROR(VLOOKUP($C894,'24.08_ND'!$A:$D,3,0),)</f>
        <v>UN</v>
      </c>
      <c r="F894" s="611">
        <v>0.35</v>
      </c>
      <c r="G894" s="299">
        <f>IFERROR(VLOOKUP($C894,'24.08_ND'!$A:$D,4,0),)</f>
        <v>22.6</v>
      </c>
      <c r="H894" s="300">
        <f t="shared" si="36"/>
        <v>7.91</v>
      </c>
      <c r="I894" s="262"/>
      <c r="J894" s="262"/>
      <c r="K894" s="262"/>
      <c r="L894" s="262"/>
      <c r="M894" s="262"/>
      <c r="N894" s="262"/>
      <c r="O894" s="262"/>
      <c r="P894" s="262"/>
      <c r="Q894" s="262"/>
      <c r="R894" s="262"/>
      <c r="S894" s="262"/>
      <c r="T894" s="262"/>
      <c r="U894" s="262"/>
      <c r="V894" s="262"/>
      <c r="W894" s="262"/>
      <c r="X894" s="262"/>
      <c r="Y894" s="262"/>
      <c r="Z894" s="262"/>
      <c r="AA894" s="262"/>
      <c r="AB894" s="262"/>
    </row>
    <row r="895" spans="1:31" ht="12.75">
      <c r="A895" s="558" t="s">
        <v>14479</v>
      </c>
      <c r="B895" s="559" t="s">
        <v>14476</v>
      </c>
      <c r="C895" s="559">
        <v>37329</v>
      </c>
      <c r="D895" s="296" t="str">
        <f>IFERROR(VLOOKUP($C895,'24.08_ND'!$A:$D,2,0),)</f>
        <v>REJUNTE EPOXI, QUALQUER COR</v>
      </c>
      <c r="E895" s="297" t="str">
        <f>IFERROR(VLOOKUP($C895,'24.08_ND'!$A:$D,3,0),)</f>
        <v>KG</v>
      </c>
      <c r="F895" s="611">
        <v>4.2000000000000003E-2</v>
      </c>
      <c r="G895" s="299">
        <f>IFERROR(VLOOKUP($C895,'24.08_ND'!$A:$D,4,0),)</f>
        <v>135.19</v>
      </c>
      <c r="H895" s="300">
        <f t="shared" si="36"/>
        <v>5.67</v>
      </c>
      <c r="I895" s="262"/>
      <c r="J895" s="262"/>
      <c r="K895" s="262"/>
      <c r="L895" s="262"/>
      <c r="M895" s="262"/>
      <c r="N895" s="262"/>
      <c r="O895" s="262"/>
      <c r="P895" s="262"/>
      <c r="Q895" s="262"/>
      <c r="R895" s="262"/>
      <c r="S895" s="262"/>
      <c r="T895" s="262"/>
      <c r="U895" s="262"/>
      <c r="V895" s="262"/>
      <c r="W895" s="262"/>
      <c r="X895" s="262"/>
      <c r="Y895" s="262"/>
      <c r="Z895" s="262"/>
      <c r="AA895" s="262"/>
      <c r="AB895" s="262"/>
    </row>
    <row r="896" spans="1:31" ht="12.75">
      <c r="A896" s="309"/>
      <c r="B896" s="303"/>
      <c r="C896" s="303"/>
      <c r="D896" s="310"/>
      <c r="E896" s="303"/>
      <c r="F896" s="306"/>
      <c r="G896" s="307"/>
      <c r="H896" s="308"/>
      <c r="I896" s="276">
        <f>COUNTIF($C$8:$C896,C:C)</f>
        <v>0</v>
      </c>
      <c r="J896" s="262"/>
      <c r="K896" s="262"/>
      <c r="L896" s="262"/>
      <c r="M896" s="262"/>
      <c r="N896" s="262"/>
      <c r="O896" s="262"/>
      <c r="P896" s="262"/>
      <c r="Q896" s="262"/>
      <c r="R896" s="262"/>
      <c r="S896" s="262"/>
      <c r="T896" s="262"/>
      <c r="U896" s="262"/>
      <c r="V896" s="262"/>
      <c r="W896" s="262"/>
      <c r="X896" s="262"/>
      <c r="Y896" s="262"/>
      <c r="Z896" s="262"/>
      <c r="AA896" s="262"/>
      <c r="AB896" s="262"/>
    </row>
    <row r="897" spans="1:31" ht="12.75">
      <c r="A897" s="271" t="s">
        <v>14471</v>
      </c>
      <c r="B897" s="272" t="s">
        <v>14472</v>
      </c>
      <c r="C897" s="360" t="s">
        <v>14808</v>
      </c>
      <c r="D897" s="274" t="s">
        <v>14809</v>
      </c>
      <c r="E897" s="272" t="s">
        <v>6</v>
      </c>
      <c r="F897" s="272"/>
      <c r="G897" s="272"/>
      <c r="H897" s="275">
        <f>TRUNC(SUM(H899:H905),2)</f>
        <v>889.75</v>
      </c>
      <c r="I897" s="262"/>
      <c r="J897" s="262"/>
      <c r="K897" s="262"/>
      <c r="L897" s="262"/>
      <c r="M897" s="262"/>
      <c r="N897" s="262"/>
      <c r="O897" s="262"/>
      <c r="P897" s="262"/>
      <c r="Q897" s="262"/>
      <c r="R897" s="262"/>
      <c r="S897" s="262"/>
      <c r="T897" s="262"/>
      <c r="U897" s="262"/>
      <c r="V897" s="262"/>
      <c r="W897" s="262"/>
      <c r="X897" s="262"/>
      <c r="Y897" s="262"/>
      <c r="Z897" s="262"/>
      <c r="AA897" s="262"/>
      <c r="AB897" s="262"/>
    </row>
    <row r="898" spans="1:31" ht="12.75">
      <c r="A898" s="277" t="s">
        <v>14475</v>
      </c>
      <c r="B898" s="488" t="s">
        <v>14476</v>
      </c>
      <c r="C898" s="489">
        <v>86904</v>
      </c>
      <c r="D898" s="490" t="s">
        <v>14602</v>
      </c>
      <c r="E898" s="609"/>
      <c r="F898" s="554"/>
      <c r="G898" s="492"/>
      <c r="H898" s="493"/>
      <c r="I898" s="262"/>
      <c r="J898" s="262"/>
      <c r="K898" s="262"/>
      <c r="L898" s="262"/>
      <c r="M898" s="262"/>
      <c r="N898" s="262"/>
      <c r="O898" s="262"/>
      <c r="P898" s="262"/>
      <c r="Q898" s="262"/>
      <c r="R898" s="262"/>
      <c r="S898" s="262"/>
      <c r="T898" s="262"/>
      <c r="U898" s="262"/>
      <c r="V898" s="262"/>
      <c r="W898" s="262"/>
      <c r="X898" s="262"/>
      <c r="Y898" s="262"/>
      <c r="Z898" s="262"/>
      <c r="AA898" s="262"/>
      <c r="AB898" s="262"/>
    </row>
    <row r="899" spans="1:31" ht="25.5">
      <c r="A899" s="285" t="s">
        <v>14478</v>
      </c>
      <c r="B899" s="286" t="s">
        <v>14476</v>
      </c>
      <c r="C899" s="408">
        <v>88267</v>
      </c>
      <c r="D899" s="288" t="str">
        <f>IFERROR(VLOOKUP($C899,'24.08_ND'!$A:$D,2,0),)</f>
        <v>ENCANADOR OU BOMBEIRO HIDRÁULICO COM ENCARGOS COMPLEMENTARES</v>
      </c>
      <c r="E899" s="289" t="str">
        <f>IFERROR(VLOOKUP($C899,'24.08_ND'!$A:$D,3,0),)</f>
        <v>H</v>
      </c>
      <c r="F899" s="610">
        <v>0.25700000000000001</v>
      </c>
      <c r="G899" s="291">
        <f>IFERROR(VLOOKUP($C899,'24.08_ND'!$A:$D,4,0),)</f>
        <v>23.27</v>
      </c>
      <c r="H899" s="292">
        <f t="shared" ref="H899:H904" si="37">TRUNC(($F899*$G899),2)</f>
        <v>5.98</v>
      </c>
      <c r="I899" s="262"/>
      <c r="J899" s="262"/>
      <c r="K899" s="262"/>
      <c r="L899" s="262"/>
      <c r="M899" s="262"/>
      <c r="N899" s="262"/>
      <c r="O899" s="262"/>
      <c r="P899" s="262"/>
      <c r="Q899" s="262"/>
      <c r="R899" s="262"/>
      <c r="S899" s="262"/>
      <c r="T899" s="262"/>
      <c r="U899" s="262"/>
      <c r="V899" s="262"/>
      <c r="W899" s="262"/>
      <c r="X899" s="262"/>
      <c r="Y899" s="262"/>
      <c r="Z899" s="262"/>
      <c r="AA899" s="262"/>
      <c r="AB899" s="262"/>
      <c r="AD899" s="1791" t="e">
        <f>VLOOKUP(C899,'Medição '!$B$16:$F$1833,6,0)</f>
        <v>#N/A</v>
      </c>
      <c r="AE899" s="1791"/>
    </row>
    <row r="900" spans="1:31" ht="25.5">
      <c r="A900" s="285" t="s">
        <v>14478</v>
      </c>
      <c r="B900" s="286" t="s">
        <v>14476</v>
      </c>
      <c r="C900" s="408">
        <v>88316</v>
      </c>
      <c r="D900" s="288" t="str">
        <f>IFERROR(VLOOKUP($C900,'24.08_ND'!$A:$D,2,0),)</f>
        <v>SERVENTE COM ENCARGOS COMPLEMENTARES</v>
      </c>
      <c r="E900" s="289" t="str">
        <f>IFERROR(VLOOKUP($C900,'24.08_ND'!$A:$D,3,0),)</f>
        <v>H</v>
      </c>
      <c r="F900" s="610">
        <v>0.11286</v>
      </c>
      <c r="G900" s="291">
        <f>IFERROR(VLOOKUP($C900,'24.08_ND'!$A:$D,4,0),)</f>
        <v>18.510000000000002</v>
      </c>
      <c r="H900" s="292">
        <f t="shared" si="37"/>
        <v>2.08</v>
      </c>
      <c r="I900" s="262"/>
      <c r="J900" s="262"/>
      <c r="K900" s="262"/>
      <c r="L900" s="262"/>
      <c r="M900" s="262"/>
      <c r="N900" s="262"/>
      <c r="O900" s="262"/>
      <c r="P900" s="262"/>
      <c r="Q900" s="262"/>
      <c r="R900" s="262"/>
      <c r="S900" s="262"/>
      <c r="T900" s="262"/>
      <c r="U900" s="262"/>
      <c r="V900" s="262"/>
      <c r="W900" s="262"/>
      <c r="X900" s="262"/>
      <c r="Y900" s="262"/>
      <c r="Z900" s="262"/>
      <c r="AA900" s="262"/>
      <c r="AB900" s="262"/>
      <c r="AD900" s="1791" t="e">
        <f>VLOOKUP(C900,'Medição '!$B$16:$F$1833,6,0)</f>
        <v>#N/A</v>
      </c>
      <c r="AE900" s="1791"/>
    </row>
    <row r="901" spans="1:31" ht="12.75">
      <c r="A901" s="558" t="s">
        <v>14479</v>
      </c>
      <c r="B901" s="559" t="s">
        <v>14476</v>
      </c>
      <c r="C901" s="559">
        <v>3146</v>
      </c>
      <c r="D901" s="296" t="str">
        <f>IFERROR(VLOOKUP($C901,'24.08_ND'!$A:$D,2,0),)</f>
        <v>FITA VEDA ROSCA EM ROLOS DE 18 MM X 10 M (L X C)</v>
      </c>
      <c r="E901" s="297" t="str">
        <f>IFERROR(VLOOKUP($C901,'24.08_ND'!$A:$D,3,0),)</f>
        <v>UN</v>
      </c>
      <c r="F901" s="611">
        <f>0.2/10</f>
        <v>0.02</v>
      </c>
      <c r="G901" s="299">
        <f>IFERROR(VLOOKUP($C901,'24.08_ND'!$A:$D,4,0),)</f>
        <v>3.59</v>
      </c>
      <c r="H901" s="300">
        <f t="shared" si="37"/>
        <v>7.0000000000000007E-2</v>
      </c>
      <c r="I901" s="262"/>
      <c r="J901" s="262"/>
      <c r="K901" s="262"/>
      <c r="L901" s="262"/>
      <c r="M901" s="262"/>
      <c r="N901" s="262"/>
      <c r="O901" s="262"/>
      <c r="P901" s="262"/>
      <c r="Q901" s="262"/>
      <c r="R901" s="262"/>
      <c r="S901" s="262"/>
      <c r="T901" s="262"/>
      <c r="U901" s="262"/>
      <c r="V901" s="262"/>
      <c r="W901" s="262"/>
      <c r="X901" s="262"/>
      <c r="Y901" s="262"/>
      <c r="Z901" s="262"/>
      <c r="AA901" s="262"/>
      <c r="AB901" s="262"/>
    </row>
    <row r="902" spans="1:31" ht="25.5">
      <c r="A902" s="558" t="s">
        <v>14479</v>
      </c>
      <c r="B902" s="559" t="s">
        <v>14476</v>
      </c>
      <c r="C902" s="559">
        <v>44945</v>
      </c>
      <c r="D902" s="296" t="str">
        <f>IFERROR(VLOOKUP($C902,'24.08_ND'!$A:$D,2,0),)</f>
        <v>SIFAO / TUBO SINFONADO EXTENSIVEL/SANFONADO, UNIVERSAL/ SIMPLES, ENTRE *50 A 70* CM, DE PLASTICO BRANCO</v>
      </c>
      <c r="E902" s="297" t="str">
        <f>IFERROR(VLOOKUP($C902,'24.08_ND'!$A:$D,3,0),)</f>
        <v>UN</v>
      </c>
      <c r="F902" s="611">
        <v>1</v>
      </c>
      <c r="G902" s="299">
        <f>IFERROR(VLOOKUP($C902,'24.08_ND'!$A:$D,4,0),)</f>
        <v>10.47</v>
      </c>
      <c r="H902" s="300">
        <f t="shared" si="37"/>
        <v>10.47</v>
      </c>
      <c r="I902" s="262"/>
      <c r="J902" s="262"/>
      <c r="K902" s="262"/>
      <c r="L902" s="262"/>
      <c r="M902" s="262"/>
      <c r="N902" s="262"/>
      <c r="O902" s="262"/>
      <c r="P902" s="262"/>
      <c r="Q902" s="262"/>
      <c r="R902" s="262"/>
      <c r="S902" s="262"/>
      <c r="T902" s="262"/>
      <c r="U902" s="262"/>
      <c r="V902" s="262"/>
      <c r="W902" s="262"/>
      <c r="X902" s="262"/>
      <c r="Y902" s="262"/>
      <c r="Z902" s="262"/>
      <c r="AA902" s="262"/>
      <c r="AB902" s="262"/>
    </row>
    <row r="903" spans="1:31" ht="12.75">
      <c r="A903" s="558" t="s">
        <v>14479</v>
      </c>
      <c r="B903" s="559" t="s">
        <v>14476</v>
      </c>
      <c r="C903" s="559">
        <v>38643</v>
      </c>
      <c r="D903" s="296" t="str">
        <f>IFERROR(VLOOKUP($C903,'24.08_ND'!$A:$D,2,0),)</f>
        <v>VALVULA EM METAL CROMADO PARA LAVATORIO, 1" SEM LADRAO</v>
      </c>
      <c r="E903" s="297" t="str">
        <f>IFERROR(VLOOKUP($C903,'24.08_ND'!$A:$D,3,0),)</f>
        <v>UN</v>
      </c>
      <c r="F903" s="611">
        <v>1</v>
      </c>
      <c r="G903" s="299">
        <f>IFERROR(VLOOKUP($C903,'24.08_ND'!$A:$D,4,0),)</f>
        <v>49.19</v>
      </c>
      <c r="H903" s="300">
        <f t="shared" si="37"/>
        <v>49.19</v>
      </c>
      <c r="I903" s="262"/>
      <c r="J903" s="262"/>
      <c r="K903" s="262"/>
      <c r="L903" s="262"/>
      <c r="M903" s="262"/>
      <c r="N903" s="262"/>
      <c r="O903" s="262"/>
      <c r="P903" s="262"/>
      <c r="Q903" s="262"/>
      <c r="R903" s="262"/>
      <c r="S903" s="262"/>
      <c r="T903" s="262"/>
      <c r="U903" s="262"/>
      <c r="V903" s="262"/>
      <c r="W903" s="262"/>
      <c r="X903" s="262"/>
      <c r="Y903" s="262"/>
      <c r="Z903" s="262"/>
      <c r="AA903" s="262"/>
      <c r="AB903" s="262"/>
    </row>
    <row r="904" spans="1:31" ht="12.75">
      <c r="A904" s="558" t="s">
        <v>14479</v>
      </c>
      <c r="B904" s="559" t="s">
        <v>14476</v>
      </c>
      <c r="C904" s="559">
        <v>39961</v>
      </c>
      <c r="D904" s="296" t="str">
        <f>IFERROR(VLOOKUP($C904,'24.08_ND'!$A:$D,2,0),)</f>
        <v>SILICONE ACETICO USO GERAL INCOLOR 280 G</v>
      </c>
      <c r="E904" s="297" t="str">
        <f>IFERROR(VLOOKUP($C904,'24.08_ND'!$A:$D,3,0),)</f>
        <v>UN</v>
      </c>
      <c r="F904" s="611">
        <v>0.5</v>
      </c>
      <c r="G904" s="299">
        <f>IFERROR(VLOOKUP($C904,'24.08_ND'!$A:$D,4,0),)</f>
        <v>22.6</v>
      </c>
      <c r="H904" s="300">
        <f t="shared" si="37"/>
        <v>11.3</v>
      </c>
      <c r="I904" s="262"/>
      <c r="J904" s="262"/>
      <c r="K904" s="262"/>
      <c r="L904" s="262"/>
      <c r="M904" s="262"/>
      <c r="N904" s="262"/>
      <c r="O904" s="262"/>
      <c r="P904" s="262"/>
      <c r="Q904" s="262"/>
      <c r="R904" s="262"/>
      <c r="S904" s="262"/>
      <c r="T904" s="262"/>
      <c r="U904" s="262"/>
      <c r="V904" s="262"/>
      <c r="W904" s="262"/>
      <c r="X904" s="262"/>
      <c r="Y904" s="262"/>
      <c r="Z904" s="262"/>
      <c r="AA904" s="262"/>
      <c r="AB904" s="262"/>
    </row>
    <row r="905" spans="1:31" ht="12.75">
      <c r="A905" s="319" t="s">
        <v>14479</v>
      </c>
      <c r="B905" s="320" t="s">
        <v>14491</v>
      </c>
      <c r="C905" s="600" t="s">
        <v>14810</v>
      </c>
      <c r="D905" s="321" t="str">
        <f>VLOOKUP($C905,'09 - MC'!$A:$F,2,0)</f>
        <v>CUBA DE SOBREPOR QUADRADA LOUÇA BRANCA, 35x35 CM INCLUSO ACESSÓRIOS</v>
      </c>
      <c r="E905" s="322" t="str">
        <f>VLOOKUP($C905,'09 - MC'!$A:$F,3,0)</f>
        <v>UN</v>
      </c>
      <c r="F905" s="323">
        <v>1</v>
      </c>
      <c r="G905" s="324">
        <f>VLOOKUP($C905,'09 - MC'!$A:$F,6,0)</f>
        <v>810.66</v>
      </c>
      <c r="H905" s="325">
        <f>TRUNC(G905*F905,2)</f>
        <v>810.66</v>
      </c>
      <c r="I905" s="262"/>
      <c r="J905" s="262"/>
      <c r="K905" s="262"/>
      <c r="L905" s="262"/>
      <c r="M905" s="262"/>
      <c r="N905" s="262"/>
      <c r="O905" s="262"/>
      <c r="P905" s="262"/>
      <c r="Q905" s="262"/>
      <c r="R905" s="262"/>
      <c r="S905" s="262"/>
      <c r="T905" s="262"/>
      <c r="U905" s="262"/>
      <c r="V905" s="262"/>
      <c r="W905" s="262"/>
      <c r="X905" s="262"/>
      <c r="Y905" s="262"/>
      <c r="Z905" s="262"/>
      <c r="AA905" s="262"/>
      <c r="AB905" s="262"/>
    </row>
    <row r="906" spans="1:31" ht="12.75">
      <c r="A906" s="309"/>
      <c r="B906" s="303"/>
      <c r="C906" s="303"/>
      <c r="D906" s="310"/>
      <c r="E906" s="303"/>
      <c r="F906" s="306"/>
      <c r="G906" s="307"/>
      <c r="H906" s="308"/>
      <c r="I906" s="276">
        <f>COUNTIF($C$8:$C906,C:C)</f>
        <v>0</v>
      </c>
      <c r="J906" s="262"/>
      <c r="K906" s="262"/>
      <c r="L906" s="262"/>
      <c r="M906" s="262"/>
      <c r="N906" s="262"/>
      <c r="O906" s="262"/>
      <c r="P906" s="262"/>
      <c r="Q906" s="262"/>
      <c r="R906" s="262"/>
      <c r="S906" s="262"/>
      <c r="T906" s="262"/>
      <c r="U906" s="262"/>
      <c r="V906" s="262"/>
      <c r="W906" s="262"/>
      <c r="X906" s="262"/>
      <c r="Y906" s="262"/>
      <c r="Z906" s="262"/>
      <c r="AA906" s="262"/>
      <c r="AB906" s="262"/>
    </row>
    <row r="907" spans="1:31" ht="25.5">
      <c r="A907" s="271" t="s">
        <v>14471</v>
      </c>
      <c r="B907" s="272" t="s">
        <v>14472</v>
      </c>
      <c r="C907" s="360" t="s">
        <v>14811</v>
      </c>
      <c r="D907" s="274" t="s">
        <v>14812</v>
      </c>
      <c r="E907" s="272" t="s">
        <v>6</v>
      </c>
      <c r="F907" s="272"/>
      <c r="G907" s="272"/>
      <c r="H907" s="275">
        <f>TRUNC(SUM(H909:H913),2)</f>
        <v>172.64</v>
      </c>
      <c r="I907" s="262"/>
      <c r="J907" s="262"/>
      <c r="K907" s="262"/>
      <c r="L907" s="262"/>
      <c r="M907" s="262"/>
      <c r="N907" s="262"/>
      <c r="O907" s="262"/>
      <c r="P907" s="262"/>
      <c r="Q907" s="262"/>
      <c r="R907" s="262"/>
      <c r="S907" s="262"/>
      <c r="T907" s="262"/>
      <c r="U907" s="262"/>
      <c r="V907" s="262"/>
      <c r="W907" s="262"/>
      <c r="X907" s="262"/>
      <c r="Y907" s="262"/>
      <c r="Z907" s="262"/>
      <c r="AA907" s="262"/>
      <c r="AB907" s="262"/>
    </row>
    <row r="908" spans="1:31" ht="12.75">
      <c r="A908" s="277" t="s">
        <v>14475</v>
      </c>
      <c r="B908" s="488" t="s">
        <v>14476</v>
      </c>
      <c r="C908" s="489">
        <v>100854</v>
      </c>
      <c r="D908" s="490" t="s">
        <v>14602</v>
      </c>
      <c r="E908" s="609"/>
      <c r="F908" s="554"/>
      <c r="G908" s="492"/>
      <c r="H908" s="493"/>
      <c r="I908" s="262"/>
      <c r="J908" s="262"/>
      <c r="K908" s="262"/>
      <c r="L908" s="262"/>
      <c r="M908" s="262"/>
      <c r="N908" s="262"/>
      <c r="O908" s="262"/>
      <c r="P908" s="262"/>
      <c r="Q908" s="262"/>
      <c r="R908" s="262"/>
      <c r="S908" s="262"/>
      <c r="T908" s="262"/>
      <c r="U908" s="262"/>
      <c r="V908" s="262"/>
      <c r="W908" s="262"/>
      <c r="X908" s="262"/>
      <c r="Y908" s="262"/>
      <c r="Z908" s="262"/>
      <c r="AA908" s="262"/>
      <c r="AB908" s="262"/>
    </row>
    <row r="909" spans="1:31" ht="25.5">
      <c r="A909" s="285" t="s">
        <v>14478</v>
      </c>
      <c r="B909" s="286" t="s">
        <v>14476</v>
      </c>
      <c r="C909" s="408">
        <v>88267</v>
      </c>
      <c r="D909" s="288" t="str">
        <f>IFERROR(VLOOKUP($C909,'24.08_ND'!$A:$D,2,0),)</f>
        <v>ENCANADOR OU BOMBEIRO HIDRÁULICO COM ENCARGOS COMPLEMENTARES</v>
      </c>
      <c r="E909" s="289" t="str">
        <f>IFERROR(VLOOKUP($C909,'24.08_ND'!$A:$D,3,0),)</f>
        <v>H</v>
      </c>
      <c r="F909" s="610">
        <v>0.64529999999999998</v>
      </c>
      <c r="G909" s="291">
        <f>IFERROR(VLOOKUP($C909,'24.08_ND'!$A:$D,4,0),)</f>
        <v>23.27</v>
      </c>
      <c r="H909" s="292">
        <f>TRUNC(($F909*$G909),2)</f>
        <v>15.01</v>
      </c>
      <c r="I909" s="262"/>
      <c r="J909" s="262"/>
      <c r="K909" s="262"/>
      <c r="L909" s="262"/>
      <c r="M909" s="262"/>
      <c r="N909" s="262"/>
      <c r="O909" s="262"/>
      <c r="P909" s="262"/>
      <c r="Q909" s="262"/>
      <c r="R909" s="262"/>
      <c r="S909" s="262"/>
      <c r="T909" s="262"/>
      <c r="U909" s="262"/>
      <c r="V909" s="262"/>
      <c r="W909" s="262"/>
      <c r="X909" s="262"/>
      <c r="Y909" s="262"/>
      <c r="Z909" s="262"/>
      <c r="AA909" s="262"/>
      <c r="AB909" s="262"/>
      <c r="AD909" s="1791" t="e">
        <f>VLOOKUP(C909,'Medição '!$B$16:$F$1833,6,0)</f>
        <v>#N/A</v>
      </c>
      <c r="AE909" s="1791"/>
    </row>
    <row r="910" spans="1:31" ht="25.5">
      <c r="A910" s="285" t="s">
        <v>14478</v>
      </c>
      <c r="B910" s="286" t="s">
        <v>14476</v>
      </c>
      <c r="C910" s="408">
        <v>88316</v>
      </c>
      <c r="D910" s="288" t="str">
        <f>IFERROR(VLOOKUP($C910,'24.08_ND'!$A:$D,2,0),)</f>
        <v>SERVENTE COM ENCARGOS COMPLEMENTARES</v>
      </c>
      <c r="E910" s="289" t="str">
        <f>IFERROR(VLOOKUP($C910,'24.08_ND'!$A:$D,3,0),)</f>
        <v>H</v>
      </c>
      <c r="F910" s="610">
        <v>0.20330000000000001</v>
      </c>
      <c r="G910" s="291">
        <f>IFERROR(VLOOKUP($C910,'24.08_ND'!$A:$D,4,0),)</f>
        <v>18.510000000000002</v>
      </c>
      <c r="H910" s="292">
        <f>TRUNC(($F910*$G910),2)</f>
        <v>3.76</v>
      </c>
      <c r="I910" s="262"/>
      <c r="J910" s="262"/>
      <c r="K910" s="262"/>
      <c r="L910" s="262"/>
      <c r="M910" s="262"/>
      <c r="N910" s="262"/>
      <c r="O910" s="262"/>
      <c r="P910" s="262"/>
      <c r="Q910" s="262"/>
      <c r="R910" s="262"/>
      <c r="S910" s="262"/>
      <c r="T910" s="262"/>
      <c r="U910" s="262"/>
      <c r="V910" s="262"/>
      <c r="W910" s="262"/>
      <c r="X910" s="262"/>
      <c r="Y910" s="262"/>
      <c r="Z910" s="262"/>
      <c r="AA910" s="262"/>
      <c r="AB910" s="262"/>
      <c r="AD910" s="1791" t="e">
        <f>VLOOKUP(C910,'Medição '!$B$16:$F$1833,6,0)</f>
        <v>#N/A</v>
      </c>
      <c r="AE910" s="1791"/>
    </row>
    <row r="911" spans="1:31" ht="12.75">
      <c r="A911" s="558" t="s">
        <v>14479</v>
      </c>
      <c r="B911" s="559" t="s">
        <v>14476</v>
      </c>
      <c r="C911" s="559">
        <v>11681</v>
      </c>
      <c r="D911" s="296" t="str">
        <f>IFERROR(VLOOKUP($C911,'24.08_ND'!$A:$D,2,0),)</f>
        <v>ENGATE/RABICHO FLEXIVEL PLASTICO (PVC OU ABS) BRANCO 1/2" X 40 CM</v>
      </c>
      <c r="E911" s="297" t="str">
        <f>IFERROR(VLOOKUP($C911,'24.08_ND'!$A:$D,3,0),)</f>
        <v>UN</v>
      </c>
      <c r="F911" s="611">
        <v>1</v>
      </c>
      <c r="G911" s="299">
        <f>IFERROR(VLOOKUP($C911,'24.08_ND'!$A:$D,4,0),)</f>
        <v>7.98</v>
      </c>
      <c r="H911" s="300">
        <f>TRUNC(($F911*$G911),2)</f>
        <v>7.98</v>
      </c>
      <c r="I911" s="262"/>
      <c r="J911" s="262"/>
      <c r="K911" s="262"/>
      <c r="L911" s="262"/>
      <c r="M911" s="262"/>
      <c r="N911" s="262"/>
      <c r="O911" s="262"/>
      <c r="P911" s="262"/>
      <c r="Q911" s="262"/>
      <c r="R911" s="262"/>
      <c r="S911" s="262"/>
      <c r="T911" s="262"/>
      <c r="U911" s="262"/>
      <c r="V911" s="262"/>
      <c r="W911" s="262"/>
      <c r="X911" s="262"/>
      <c r="Y911" s="262"/>
      <c r="Z911" s="262"/>
      <c r="AA911" s="262"/>
      <c r="AB911" s="262"/>
    </row>
    <row r="912" spans="1:31" ht="25.5">
      <c r="A912" s="558" t="s">
        <v>14479</v>
      </c>
      <c r="B912" s="559" t="s">
        <v>14476</v>
      </c>
      <c r="C912" s="559">
        <v>36796</v>
      </c>
      <c r="D912" s="296" t="str">
        <f>IFERROR(VLOOKUP($C912,'24.08_ND'!$A:$D,2,0),)</f>
        <v>TORNEIRA METALICA CROMADA DE MESA, PARA LAVATORIO, TEMPORIZADA PRESSAO FECHAMENTO AUTOMATICO, BICA BAIXA</v>
      </c>
      <c r="E912" s="297" t="str">
        <f>IFERROR(VLOOKUP($C912,'24.08_ND'!$A:$D,3,0),)</f>
        <v>UN</v>
      </c>
      <c r="F912" s="611">
        <v>1</v>
      </c>
      <c r="G912" s="299">
        <f>IFERROR(VLOOKUP($C912,'24.08_ND'!$A:$D,4,0),)</f>
        <v>145.82</v>
      </c>
      <c r="H912" s="300">
        <f>TRUNC(($F912*$G912),2)</f>
        <v>145.82</v>
      </c>
      <c r="I912" s="262"/>
      <c r="J912" s="262"/>
      <c r="K912" s="262"/>
      <c r="L912" s="262"/>
      <c r="M912" s="262"/>
      <c r="N912" s="262"/>
      <c r="O912" s="262"/>
      <c r="P912" s="262"/>
      <c r="Q912" s="262"/>
      <c r="R912" s="262"/>
      <c r="S912" s="262"/>
      <c r="T912" s="262"/>
      <c r="U912" s="262"/>
      <c r="V912" s="262"/>
      <c r="W912" s="262"/>
      <c r="X912" s="262"/>
      <c r="Y912" s="262"/>
      <c r="Z912" s="262"/>
      <c r="AA912" s="262"/>
      <c r="AB912" s="262"/>
    </row>
    <row r="913" spans="1:31" ht="12.75">
      <c r="A913" s="558" t="s">
        <v>14479</v>
      </c>
      <c r="B913" s="559" t="s">
        <v>14476</v>
      </c>
      <c r="C913" s="559">
        <v>3146</v>
      </c>
      <c r="D913" s="296" t="str">
        <f>IFERROR(VLOOKUP($C913,'24.08_ND'!$A:$D,2,0),)</f>
        <v>FITA VEDA ROSCA EM ROLOS DE 18 MM X 10 M (L X C)</v>
      </c>
      <c r="E913" s="297" t="str">
        <f>IFERROR(VLOOKUP($C913,'24.08_ND'!$A:$D,3,0),)</f>
        <v>UN</v>
      </c>
      <c r="F913" s="611">
        <f>0.2/10</f>
        <v>0.02</v>
      </c>
      <c r="G913" s="299">
        <f>IFERROR(VLOOKUP($C913,'24.08_ND'!$A:$D,4,0),)</f>
        <v>3.59</v>
      </c>
      <c r="H913" s="300">
        <f>TRUNC(($F913*$G913),2)</f>
        <v>7.0000000000000007E-2</v>
      </c>
      <c r="I913" s="262"/>
      <c r="J913" s="262"/>
      <c r="K913" s="262"/>
      <c r="L913" s="262"/>
      <c r="M913" s="262"/>
      <c r="N913" s="262"/>
      <c r="O913" s="262"/>
      <c r="P913" s="262"/>
      <c r="Q913" s="262"/>
      <c r="R913" s="262"/>
      <c r="S913" s="262"/>
      <c r="T913" s="262"/>
      <c r="U913" s="262"/>
      <c r="V913" s="262"/>
      <c r="W913" s="262"/>
      <c r="X913" s="262"/>
      <c r="Y913" s="262"/>
      <c r="Z913" s="262"/>
      <c r="AA913" s="262"/>
      <c r="AB913" s="262"/>
    </row>
    <row r="914" spans="1:31" ht="12.75">
      <c r="A914" s="309"/>
      <c r="B914" s="303"/>
      <c r="C914" s="303"/>
      <c r="D914" s="310"/>
      <c r="E914" s="303"/>
      <c r="F914" s="306"/>
      <c r="G914" s="307"/>
      <c r="H914" s="308"/>
      <c r="I914" s="276">
        <f>COUNTIF($C$8:$C914,C:C)</f>
        <v>0</v>
      </c>
      <c r="J914" s="262"/>
      <c r="K914" s="262"/>
      <c r="L914" s="262"/>
      <c r="M914" s="262"/>
      <c r="N914" s="262"/>
      <c r="O914" s="262"/>
      <c r="P914" s="262"/>
      <c r="Q914" s="262"/>
      <c r="R914" s="262"/>
      <c r="S914" s="262"/>
      <c r="T914" s="262"/>
      <c r="U914" s="262"/>
      <c r="V914" s="262"/>
      <c r="W914" s="262"/>
      <c r="X914" s="262"/>
      <c r="Y914" s="262"/>
      <c r="Z914" s="262"/>
      <c r="AA914" s="262"/>
      <c r="AB914" s="262"/>
    </row>
    <row r="915" spans="1:31" ht="25.5">
      <c r="A915" s="271" t="s">
        <v>14471</v>
      </c>
      <c r="B915" s="272" t="s">
        <v>14472</v>
      </c>
      <c r="C915" s="273" t="s">
        <v>14813</v>
      </c>
      <c r="D915" s="274" t="s">
        <v>14814</v>
      </c>
      <c r="E915" s="272" t="s">
        <v>6</v>
      </c>
      <c r="F915" s="272"/>
      <c r="G915" s="272"/>
      <c r="H915" s="275">
        <f>TRUNC(SUM(H917:H919),2)</f>
        <v>551.92999999999995</v>
      </c>
      <c r="I915" s="262"/>
      <c r="J915" s="262"/>
      <c r="K915" s="262"/>
      <c r="L915" s="262"/>
      <c r="M915" s="262"/>
      <c r="N915" s="262"/>
      <c r="O915" s="262"/>
      <c r="P915" s="262"/>
      <c r="Q915" s="262"/>
      <c r="R915" s="262"/>
      <c r="S915" s="262"/>
      <c r="T915" s="262"/>
      <c r="U915" s="262"/>
      <c r="V915" s="262"/>
      <c r="W915" s="262"/>
      <c r="X915" s="262"/>
      <c r="Y915" s="262"/>
      <c r="Z915" s="262"/>
      <c r="AA915" s="262"/>
      <c r="AB915" s="262"/>
    </row>
    <row r="916" spans="1:31" ht="12.75">
      <c r="A916" s="277" t="s">
        <v>14475</v>
      </c>
      <c r="B916" s="488" t="s">
        <v>14476</v>
      </c>
      <c r="C916" s="489">
        <v>99635</v>
      </c>
      <c r="D916" s="490" t="s">
        <v>14477</v>
      </c>
      <c r="E916" s="606"/>
      <c r="F916" s="282"/>
      <c r="G916" s="492"/>
      <c r="H916" s="493"/>
      <c r="I916" s="262"/>
      <c r="J916" s="262"/>
      <c r="K916" s="262"/>
      <c r="L916" s="262"/>
      <c r="M916" s="262"/>
      <c r="N916" s="262"/>
      <c r="O916" s="262"/>
      <c r="P916" s="262"/>
      <c r="Q916" s="262"/>
      <c r="R916" s="262"/>
      <c r="S916" s="262"/>
      <c r="T916" s="262"/>
      <c r="U916" s="262"/>
      <c r="V916" s="262"/>
      <c r="W916" s="262"/>
      <c r="X916" s="262"/>
      <c r="Y916" s="262"/>
      <c r="Z916" s="262"/>
      <c r="AA916" s="262"/>
      <c r="AB916" s="262"/>
    </row>
    <row r="917" spans="1:31" ht="25.5">
      <c r="A917" s="285" t="s">
        <v>14478</v>
      </c>
      <c r="B917" s="407" t="s">
        <v>14476</v>
      </c>
      <c r="C917" s="408">
        <v>88248</v>
      </c>
      <c r="D917" s="288" t="str">
        <f>IFERROR(VLOOKUP($C917,'24.08_ND'!$A:$D,2,0),)</f>
        <v>AUXILIAR DE ENCANADOR OU BOMBEIRO HIDRÁULICO COM ENCARGOS COMPLEMENTARES</v>
      </c>
      <c r="E917" s="289" t="str">
        <f>IFERROR(VLOOKUP($C917,'24.08_ND'!$A:$D,3,0),)</f>
        <v>H</v>
      </c>
      <c r="F917" s="290">
        <v>0.33500000000000002</v>
      </c>
      <c r="G917" s="291">
        <f>IFERROR(VLOOKUP($C917,'24.08_ND'!$A:$D,4,0),)</f>
        <v>19.05</v>
      </c>
      <c r="H917" s="292">
        <f>TRUNC(($F917*$G917),2)</f>
        <v>6.38</v>
      </c>
      <c r="I917" s="262"/>
      <c r="J917" s="262"/>
      <c r="K917" s="262"/>
      <c r="L917" s="262"/>
      <c r="M917" s="262"/>
      <c r="N917" s="262"/>
      <c r="O917" s="262"/>
      <c r="P917" s="262"/>
      <c r="Q917" s="262"/>
      <c r="R917" s="262"/>
      <c r="S917" s="262"/>
      <c r="T917" s="262"/>
      <c r="U917" s="262"/>
      <c r="V917" s="262"/>
      <c r="W917" s="262"/>
      <c r="X917" s="262"/>
      <c r="Y917" s="262"/>
      <c r="Z917" s="262"/>
      <c r="AA917" s="262"/>
      <c r="AB917" s="262"/>
      <c r="AD917" s="1791" t="e">
        <f>VLOOKUP(C917,'Medição '!$B$16:$F$1833,6,0)</f>
        <v>#N/A</v>
      </c>
      <c r="AE917" s="1791"/>
    </row>
    <row r="918" spans="1:31" ht="25.5">
      <c r="A918" s="285" t="s">
        <v>14478</v>
      </c>
      <c r="B918" s="407" t="s">
        <v>14476</v>
      </c>
      <c r="C918" s="408">
        <v>88267</v>
      </c>
      <c r="D918" s="288" t="str">
        <f>IFERROR(VLOOKUP($C918,'24.08_ND'!$A:$D,2,0),)</f>
        <v>ENCANADOR OU BOMBEIRO HIDRÁULICO COM ENCARGOS COMPLEMENTARES</v>
      </c>
      <c r="E918" s="289" t="str">
        <f>IFERROR(VLOOKUP($C918,'24.08_ND'!$A:$D,3,0),)</f>
        <v>H</v>
      </c>
      <c r="F918" s="290">
        <v>0.33500000000000002</v>
      </c>
      <c r="G918" s="291">
        <f>IFERROR(VLOOKUP($C918,'24.08_ND'!$A:$D,4,0),)</f>
        <v>23.27</v>
      </c>
      <c r="H918" s="292">
        <f>TRUNC(($F918*$G918),2)</f>
        <v>7.79</v>
      </c>
      <c r="I918" s="262"/>
      <c r="J918" s="262"/>
      <c r="K918" s="262"/>
      <c r="L918" s="262"/>
      <c r="M918" s="262"/>
      <c r="N918" s="262"/>
      <c r="O918" s="262"/>
      <c r="P918" s="262"/>
      <c r="Q918" s="262"/>
      <c r="R918" s="262"/>
      <c r="S918" s="262"/>
      <c r="T918" s="262"/>
      <c r="U918" s="262"/>
      <c r="V918" s="262"/>
      <c r="W918" s="262"/>
      <c r="X918" s="262"/>
      <c r="Y918" s="262"/>
      <c r="Z918" s="262"/>
      <c r="AA918" s="262"/>
      <c r="AB918" s="262"/>
      <c r="AD918" s="1791" t="e">
        <f>VLOOKUP(C918,'Medição '!$B$16:$F$1833,6,0)</f>
        <v>#N/A</v>
      </c>
      <c r="AE918" s="1791"/>
    </row>
    <row r="919" spans="1:31" ht="12.75">
      <c r="A919" s="319" t="s">
        <v>14479</v>
      </c>
      <c r="B919" s="320" t="s">
        <v>14491</v>
      </c>
      <c r="C919" s="320" t="s">
        <v>14815</v>
      </c>
      <c r="D919" s="321" t="str">
        <f>VLOOKUP($C919,'09 - MC'!$A:$F,2,0)</f>
        <v>ACABAMENTO PARA DESCARGA PCD - COM KIT CONVERSOR</v>
      </c>
      <c r="E919" s="322" t="str">
        <f>VLOOKUP($C919,'09 - MC'!$A:$F,3,0)</f>
        <v>UN</v>
      </c>
      <c r="F919" s="323">
        <v>1</v>
      </c>
      <c r="G919" s="324">
        <f>VLOOKUP($C919,'09 - MC'!$A:$F,6,0)</f>
        <v>537.76</v>
      </c>
      <c r="H919" s="325">
        <f>TRUNC(G919*F919,2)</f>
        <v>537.76</v>
      </c>
      <c r="I919" s="262"/>
      <c r="J919" s="262"/>
      <c r="K919" s="262"/>
      <c r="L919" s="262"/>
      <c r="M919" s="262"/>
      <c r="N919" s="262"/>
      <c r="O919" s="262"/>
      <c r="P919" s="262"/>
      <c r="Q919" s="262"/>
      <c r="R919" s="262"/>
      <c r="S919" s="262"/>
      <c r="T919" s="262"/>
      <c r="U919" s="262"/>
      <c r="V919" s="262"/>
      <c r="W919" s="262"/>
      <c r="X919" s="262"/>
      <c r="Y919" s="262"/>
      <c r="Z919" s="262"/>
      <c r="AA919" s="262"/>
      <c r="AB919" s="262"/>
    </row>
    <row r="920" spans="1:31" ht="12.75">
      <c r="A920" s="309"/>
      <c r="B920" s="303"/>
      <c r="C920" s="303"/>
      <c r="D920" s="310"/>
      <c r="E920" s="303"/>
      <c r="F920" s="306"/>
      <c r="G920" s="307"/>
      <c r="H920" s="308"/>
      <c r="I920" s="276">
        <f>COUNTIF($C$8:$C920,C:C)</f>
        <v>0</v>
      </c>
      <c r="J920" s="262"/>
      <c r="K920" s="262"/>
      <c r="L920" s="262"/>
      <c r="M920" s="262"/>
      <c r="N920" s="262"/>
      <c r="O920" s="262"/>
      <c r="P920" s="262"/>
      <c r="Q920" s="262"/>
      <c r="R920" s="262"/>
      <c r="S920" s="262"/>
      <c r="T920" s="262"/>
      <c r="U920" s="262"/>
      <c r="V920" s="262"/>
      <c r="W920" s="262"/>
      <c r="X920" s="262"/>
      <c r="Y920" s="262"/>
      <c r="Z920" s="262"/>
      <c r="AA920" s="262"/>
      <c r="AB920" s="262"/>
    </row>
    <row r="921" spans="1:31" ht="38.25">
      <c r="A921" s="271" t="s">
        <v>14471</v>
      </c>
      <c r="B921" s="272" t="s">
        <v>14472</v>
      </c>
      <c r="C921" s="273" t="s">
        <v>14816</v>
      </c>
      <c r="D921" s="274" t="s">
        <v>14817</v>
      </c>
      <c r="E921" s="272" t="s">
        <v>6</v>
      </c>
      <c r="F921" s="272"/>
      <c r="G921" s="272"/>
      <c r="H921" s="275">
        <f>TRUNC(SUM(H923:H925),2)</f>
        <v>484.74</v>
      </c>
      <c r="I921" s="262"/>
      <c r="J921" s="262"/>
      <c r="K921" s="262"/>
      <c r="L921" s="262"/>
      <c r="M921" s="262"/>
      <c r="N921" s="262"/>
      <c r="O921" s="262"/>
      <c r="P921" s="262"/>
      <c r="Q921" s="262"/>
      <c r="R921" s="262"/>
      <c r="S921" s="262"/>
      <c r="T921" s="262"/>
      <c r="U921" s="262"/>
      <c r="V921" s="262"/>
      <c r="W921" s="262"/>
      <c r="X921" s="262"/>
      <c r="Y921" s="262"/>
      <c r="Z921" s="262"/>
      <c r="AA921" s="262"/>
      <c r="AB921" s="262"/>
    </row>
    <row r="922" spans="1:31" ht="12.75">
      <c r="A922" s="277" t="s">
        <v>14475</v>
      </c>
      <c r="B922" s="488" t="s">
        <v>14476</v>
      </c>
      <c r="C922" s="489">
        <v>86936</v>
      </c>
      <c r="D922" s="612" t="s">
        <v>14818</v>
      </c>
      <c r="E922" s="606"/>
      <c r="F922" s="282"/>
      <c r="G922" s="492"/>
      <c r="H922" s="493"/>
      <c r="I922" s="262"/>
      <c r="J922" s="262"/>
      <c r="K922" s="262"/>
      <c r="L922" s="262"/>
      <c r="M922" s="262"/>
      <c r="N922" s="262"/>
      <c r="O922" s="262"/>
      <c r="P922" s="262"/>
      <c r="Q922" s="262"/>
      <c r="R922" s="262"/>
      <c r="S922" s="262"/>
      <c r="T922" s="262"/>
      <c r="U922" s="262"/>
      <c r="V922" s="262"/>
      <c r="W922" s="262"/>
      <c r="X922" s="262"/>
      <c r="Y922" s="262"/>
      <c r="Z922" s="262"/>
      <c r="AA922" s="262"/>
      <c r="AB922" s="262"/>
    </row>
    <row r="923" spans="1:31" ht="25.5">
      <c r="A923" s="285" t="s">
        <v>14478</v>
      </c>
      <c r="B923" s="407" t="s">
        <v>14476</v>
      </c>
      <c r="C923" s="408">
        <v>100852</v>
      </c>
      <c r="D923" s="288" t="str">
        <f>IFERROR(VLOOKUP($C923,'24.08_ND'!$A:$D,2,0),)</f>
        <v>CUBA DE EMBUTIR RETANGULAR DE AÇO INOXIDÁVEL, 56 X 33 X 12 CM - FORNECIMENTO E INSTALAÇÃO. AF_01/2020</v>
      </c>
      <c r="E923" s="289" t="str">
        <f>IFERROR(VLOOKUP($C923,'24.08_ND'!$A:$D,3,0),)</f>
        <v>UN</v>
      </c>
      <c r="F923" s="290">
        <v>1</v>
      </c>
      <c r="G923" s="291">
        <f>IFERROR(VLOOKUP($C923,'24.08_ND'!$A:$D,4,0),)</f>
        <v>207.48</v>
      </c>
      <c r="H923" s="292">
        <f>TRUNC(($F923*$G923),2)</f>
        <v>207.48</v>
      </c>
      <c r="I923" s="262"/>
      <c r="J923" s="262"/>
      <c r="K923" s="262"/>
      <c r="L923" s="262"/>
      <c r="M923" s="262"/>
      <c r="N923" s="262"/>
      <c r="O923" s="262"/>
      <c r="P923" s="262"/>
      <c r="Q923" s="262"/>
      <c r="R923" s="262"/>
      <c r="S923" s="262"/>
      <c r="T923" s="262"/>
      <c r="U923" s="262"/>
      <c r="V923" s="262"/>
      <c r="W923" s="262"/>
      <c r="X923" s="262"/>
      <c r="Y923" s="262"/>
      <c r="Z923" s="262"/>
      <c r="AA923" s="262"/>
      <c r="AB923" s="262"/>
      <c r="AD923" s="1791" t="e">
        <f>VLOOKUP(C923,'Medição '!$B$16:$F$1833,6,0)</f>
        <v>#REF!</v>
      </c>
      <c r="AE923" s="1791"/>
    </row>
    <row r="924" spans="1:31" ht="25.5">
      <c r="A924" s="285" t="s">
        <v>14478</v>
      </c>
      <c r="B924" s="407" t="s">
        <v>14476</v>
      </c>
      <c r="C924" s="408">
        <v>86881</v>
      </c>
      <c r="D924" s="288" t="str">
        <f>IFERROR(VLOOKUP($C924,'24.08_ND'!$A:$D,2,0),)</f>
        <v>SIFÃO DO TIPO GARRAFA EM METAL CROMADO 1 X 1.1/2" - FORNECIMENTO E INSTALAÇÃO. AF_01/2020</v>
      </c>
      <c r="E924" s="289" t="str">
        <f>IFERROR(VLOOKUP($C924,'24.08_ND'!$A:$D,3,0),)</f>
        <v>UN</v>
      </c>
      <c r="F924" s="290">
        <v>1</v>
      </c>
      <c r="G924" s="291">
        <f>IFERROR(VLOOKUP($C924,'24.08_ND'!$A:$D,4,0),)</f>
        <v>204.84</v>
      </c>
      <c r="H924" s="292">
        <f>TRUNC(($F924*$G924),2)</f>
        <v>204.84</v>
      </c>
      <c r="I924" s="262"/>
      <c r="J924" s="262"/>
      <c r="K924" s="262"/>
      <c r="L924" s="262"/>
      <c r="M924" s="262"/>
      <c r="N924" s="262"/>
      <c r="O924" s="262"/>
      <c r="P924" s="262"/>
      <c r="Q924" s="262"/>
      <c r="R924" s="262"/>
      <c r="S924" s="262"/>
      <c r="T924" s="262"/>
      <c r="U924" s="262"/>
      <c r="V924" s="262"/>
      <c r="W924" s="262"/>
      <c r="X924" s="262"/>
      <c r="Y924" s="262"/>
      <c r="Z924" s="262"/>
      <c r="AA924" s="262"/>
      <c r="AB924" s="262"/>
      <c r="AD924" s="1791" t="e">
        <f>VLOOKUP(C924,'Medição '!$B$16:$F$1833,6,0)</f>
        <v>#REF!</v>
      </c>
      <c r="AE924" s="1791"/>
    </row>
    <row r="925" spans="1:31" ht="25.5">
      <c r="A925" s="285" t="s">
        <v>14478</v>
      </c>
      <c r="B925" s="407" t="s">
        <v>14476</v>
      </c>
      <c r="C925" s="408">
        <v>86878</v>
      </c>
      <c r="D925" s="288" t="str">
        <f>IFERROR(VLOOKUP($C925,'24.08_ND'!$A:$D,2,0),)</f>
        <v>VÁLVULA EM METAL CROMADO TIPO AMERICANA 3.1/2" X 1.1/2" PARA PIA - FORNECIMENTO E INSTALAÇÃO. AF_01/2020</v>
      </c>
      <c r="E925" s="289" t="str">
        <f>IFERROR(VLOOKUP($C925,'24.08_ND'!$A:$D,3,0),)</f>
        <v>UN</v>
      </c>
      <c r="F925" s="290">
        <v>1</v>
      </c>
      <c r="G925" s="291">
        <f>IFERROR(VLOOKUP($C925,'24.08_ND'!$A:$D,4,0),)</f>
        <v>72.42</v>
      </c>
      <c r="H925" s="292">
        <f>TRUNC(($F925*$G925),2)</f>
        <v>72.42</v>
      </c>
      <c r="I925" s="262"/>
      <c r="J925" s="262"/>
      <c r="K925" s="262"/>
      <c r="L925" s="262"/>
      <c r="M925" s="262"/>
      <c r="N925" s="262"/>
      <c r="O925" s="262"/>
      <c r="P925" s="262"/>
      <c r="Q925" s="262"/>
      <c r="R925" s="262"/>
      <c r="S925" s="262"/>
      <c r="T925" s="262"/>
      <c r="U925" s="262"/>
      <c r="V925" s="262"/>
      <c r="W925" s="262"/>
      <c r="X925" s="262"/>
      <c r="Y925" s="262"/>
      <c r="Z925" s="262"/>
      <c r="AA925" s="262"/>
      <c r="AB925" s="262"/>
      <c r="AD925" s="1791" t="e">
        <f>VLOOKUP(C925,'Medição '!$B$16:$F$1833,6,0)</f>
        <v>#N/A</v>
      </c>
      <c r="AE925" s="1791"/>
    </row>
    <row r="926" spans="1:31" ht="12.75">
      <c r="A926" s="309"/>
      <c r="B926" s="303"/>
      <c r="C926" s="303"/>
      <c r="D926" s="310"/>
      <c r="E926" s="303"/>
      <c r="F926" s="306"/>
      <c r="G926" s="307"/>
      <c r="H926" s="308"/>
      <c r="I926" s="276">
        <f>COUNTIF($C$8:$C926,C:C)</f>
        <v>0</v>
      </c>
      <c r="J926" s="262"/>
      <c r="K926" s="262"/>
      <c r="L926" s="262"/>
      <c r="M926" s="262"/>
      <c r="N926" s="262"/>
      <c r="O926" s="262"/>
      <c r="P926" s="262"/>
      <c r="Q926" s="262"/>
      <c r="R926" s="262"/>
      <c r="S926" s="262"/>
      <c r="T926" s="262"/>
      <c r="U926" s="262"/>
      <c r="V926" s="262"/>
      <c r="W926" s="262"/>
      <c r="X926" s="262"/>
      <c r="Y926" s="262"/>
      <c r="Z926" s="262"/>
      <c r="AA926" s="262"/>
      <c r="AB926" s="262"/>
    </row>
    <row r="927" spans="1:31" ht="25.5">
      <c r="A927" s="358" t="s">
        <v>14471</v>
      </c>
      <c r="B927" s="359" t="s">
        <v>14472</v>
      </c>
      <c r="C927" s="273" t="s">
        <v>14819</v>
      </c>
      <c r="D927" s="361" t="s">
        <v>14820</v>
      </c>
      <c r="E927" s="359" t="s">
        <v>409</v>
      </c>
      <c r="F927" s="362"/>
      <c r="G927" s="362"/>
      <c r="H927" s="363">
        <f>SUM(H929:H933)</f>
        <v>2096.64</v>
      </c>
      <c r="I927" s="262"/>
      <c r="J927" s="262"/>
      <c r="K927" s="262"/>
      <c r="L927" s="262"/>
      <c r="M927" s="262"/>
      <c r="N927" s="262"/>
      <c r="O927" s="262"/>
      <c r="P927" s="262"/>
      <c r="Q927" s="262"/>
      <c r="R927" s="262"/>
      <c r="S927" s="262"/>
      <c r="T927" s="262"/>
      <c r="U927" s="262"/>
      <c r="V927" s="262"/>
      <c r="W927" s="262"/>
      <c r="X927" s="262"/>
      <c r="Y927" s="262"/>
      <c r="Z927" s="262"/>
      <c r="AA927" s="262"/>
      <c r="AB927" s="262"/>
    </row>
    <row r="928" spans="1:31" ht="12.75">
      <c r="A928" s="364" t="s">
        <v>14475</v>
      </c>
      <c r="B928" s="365" t="s">
        <v>14600</v>
      </c>
      <c r="C928" s="365">
        <v>11396</v>
      </c>
      <c r="D928" s="367" t="s">
        <v>14773</v>
      </c>
      <c r="E928" s="368"/>
      <c r="F928" s="369"/>
      <c r="G928" s="370"/>
      <c r="H928" s="371"/>
      <c r="I928" s="262"/>
      <c r="J928" s="262"/>
      <c r="K928" s="262"/>
      <c r="L928" s="262"/>
      <c r="M928" s="262"/>
      <c r="N928" s="262"/>
      <c r="O928" s="262"/>
      <c r="P928" s="262"/>
      <c r="Q928" s="262"/>
      <c r="R928" s="262"/>
      <c r="S928" s="262"/>
      <c r="T928" s="262"/>
      <c r="U928" s="262"/>
      <c r="V928" s="262"/>
      <c r="W928" s="262"/>
      <c r="X928" s="262"/>
      <c r="Y928" s="262"/>
      <c r="Z928" s="262"/>
      <c r="AA928" s="262"/>
      <c r="AB928" s="262"/>
    </row>
    <row r="929" spans="1:31" ht="25.5">
      <c r="A929" s="372" t="s">
        <v>14478</v>
      </c>
      <c r="B929" s="373" t="s">
        <v>14476</v>
      </c>
      <c r="C929" s="374">
        <v>87382</v>
      </c>
      <c r="D929" s="288" t="str">
        <f>IFERROR(VLOOKUP($C929,'24.08_ND'!$A:$D,2,0),)</f>
        <v>ARGAMASSA INDUSTRIALIZADA MULTIUSO PARA REVESTIMENTOS E ASSENTAMENTO DA ALVENARIA, PREPARO COM MISTURADOR DE EIXO HORIZONTAL DE 160 KG. AF_08/2019</v>
      </c>
      <c r="E929" s="289" t="str">
        <f>IFERROR(VLOOKUP($C929,'24.08_ND'!$A:$D,3,0),)</f>
        <v>M3</v>
      </c>
      <c r="F929" s="375">
        <f>25*0.08*0.01</f>
        <v>0.02</v>
      </c>
      <c r="G929" s="291">
        <f>IFERROR(VLOOKUP($C929,'24.08_ND'!$A:$D,4,0),)</f>
        <v>2281.67</v>
      </c>
      <c r="H929" s="292">
        <f>TRUNC(($F929*$G929),2)</f>
        <v>45.63</v>
      </c>
      <c r="I929" s="262"/>
      <c r="J929" s="262"/>
      <c r="K929" s="262"/>
      <c r="L929" s="262"/>
      <c r="M929" s="262"/>
      <c r="N929" s="262"/>
      <c r="O929" s="262"/>
      <c r="P929" s="262"/>
      <c r="Q929" s="262"/>
      <c r="R929" s="262"/>
      <c r="S929" s="262"/>
      <c r="T929" s="262"/>
      <c r="U929" s="262"/>
      <c r="V929" s="262"/>
      <c r="W929" s="262"/>
      <c r="X929" s="262"/>
      <c r="Y929" s="262"/>
      <c r="Z929" s="262"/>
      <c r="AA929" s="262"/>
      <c r="AB929" s="262"/>
      <c r="AD929" s="1791" t="e">
        <f>VLOOKUP(C929,'Medição '!$B$16:$F$1833,6,0)</f>
        <v>#N/A</v>
      </c>
      <c r="AE929" s="1791"/>
    </row>
    <row r="930" spans="1:31" ht="25.5">
      <c r="A930" s="372" t="s">
        <v>14478</v>
      </c>
      <c r="B930" s="373" t="s">
        <v>14476</v>
      </c>
      <c r="C930" s="374">
        <v>88309</v>
      </c>
      <c r="D930" s="288" t="str">
        <f>IFERROR(VLOOKUP($C930,'24.08_ND'!$A:$D,2,0),)</f>
        <v>PEDREIRO COM ENCARGOS COMPLEMENTARES</v>
      </c>
      <c r="E930" s="289" t="str">
        <f>IFERROR(VLOOKUP($C930,'24.08_ND'!$A:$D,3,0),)</f>
        <v>H</v>
      </c>
      <c r="F930" s="375">
        <v>2.0550000000000002</v>
      </c>
      <c r="G930" s="291">
        <f>IFERROR(VLOOKUP($C930,'24.08_ND'!$A:$D,4,0),)</f>
        <v>23.33</v>
      </c>
      <c r="H930" s="292">
        <f>TRUNC(($F930*$G930),2)</f>
        <v>47.94</v>
      </c>
      <c r="I930" s="262"/>
      <c r="J930" s="262"/>
      <c r="K930" s="262"/>
      <c r="L930" s="262"/>
      <c r="M930" s="262"/>
      <c r="N930" s="262"/>
      <c r="O930" s="262"/>
      <c r="P930" s="262"/>
      <c r="Q930" s="262"/>
      <c r="R930" s="262"/>
      <c r="S930" s="262"/>
      <c r="T930" s="262"/>
      <c r="U930" s="262"/>
      <c r="V930" s="262"/>
      <c r="W930" s="262"/>
      <c r="X930" s="262"/>
      <c r="Y930" s="262"/>
      <c r="Z930" s="262"/>
      <c r="AA930" s="262"/>
      <c r="AB930" s="262"/>
      <c r="AD930" s="1791" t="e">
        <f>VLOOKUP(C930,'Medição '!$B$16:$F$1833,6,0)</f>
        <v>#N/A</v>
      </c>
      <c r="AE930" s="1791"/>
    </row>
    <row r="931" spans="1:31" ht="25.5">
      <c r="A931" s="372" t="s">
        <v>14478</v>
      </c>
      <c r="B931" s="373" t="s">
        <v>14476</v>
      </c>
      <c r="C931" s="374">
        <v>88316</v>
      </c>
      <c r="D931" s="288" t="str">
        <f>IFERROR(VLOOKUP($C931,'24.08_ND'!$A:$D,2,0),)</f>
        <v>SERVENTE COM ENCARGOS COMPLEMENTARES</v>
      </c>
      <c r="E931" s="289" t="str">
        <f>IFERROR(VLOOKUP($C931,'24.08_ND'!$A:$D,3,0),)</f>
        <v>H</v>
      </c>
      <c r="F931" s="375">
        <v>1.028</v>
      </c>
      <c r="G931" s="291">
        <f>IFERROR(VLOOKUP($C931,'24.08_ND'!$A:$D,4,0),)</f>
        <v>18.510000000000002</v>
      </c>
      <c r="H931" s="292">
        <f>TRUNC(($F931*$G931),2)</f>
        <v>19.02</v>
      </c>
      <c r="I931" s="262"/>
      <c r="J931" s="262"/>
      <c r="K931" s="262"/>
      <c r="L931" s="262"/>
      <c r="M931" s="262"/>
      <c r="N931" s="262"/>
      <c r="O931" s="262"/>
      <c r="P931" s="262"/>
      <c r="Q931" s="262"/>
      <c r="R931" s="262"/>
      <c r="S931" s="262"/>
      <c r="T931" s="262"/>
      <c r="U931" s="262"/>
      <c r="V931" s="262"/>
      <c r="W931" s="262"/>
      <c r="X931" s="262"/>
      <c r="Y931" s="262"/>
      <c r="Z931" s="262"/>
      <c r="AA931" s="262"/>
      <c r="AB931" s="262"/>
      <c r="AD931" s="1791" t="e">
        <f>VLOOKUP(C931,'Medição '!$B$16:$F$1833,6,0)</f>
        <v>#N/A</v>
      </c>
      <c r="AE931" s="1791"/>
    </row>
    <row r="932" spans="1:31" ht="12.75">
      <c r="A932" s="613" t="s">
        <v>14479</v>
      </c>
      <c r="B932" s="312" t="str">
        <f>VLOOKUP($C932,'• CIs EXT'!$A:$E,2,0)</f>
        <v>ORSE</v>
      </c>
      <c r="C932" s="377">
        <v>2874</v>
      </c>
      <c r="D932" s="378" t="str">
        <f>VLOOKUP($C932,'• CIs EXT'!$A:$E,3,0)</f>
        <v>PIGMENTO EM PÓ XADREZ (500 G)</v>
      </c>
      <c r="E932" s="379" t="str">
        <f>VLOOKUP($C932,'• CIs EXT'!$A:$E,4,0)</f>
        <v>KG</v>
      </c>
      <c r="F932" s="380">
        <v>0.21</v>
      </c>
      <c r="G932" s="379">
        <f>VLOOKUP($C932,'• CIs EXT'!$A:$E,5,0)</f>
        <v>16.940000000000001</v>
      </c>
      <c r="H932" s="381">
        <f>TRUNC(($F932*$G932),2)</f>
        <v>3.55</v>
      </c>
      <c r="I932" s="262"/>
      <c r="J932" s="262"/>
      <c r="K932" s="262"/>
      <c r="L932" s="262"/>
      <c r="M932" s="262"/>
      <c r="N932" s="262"/>
      <c r="O932" s="262"/>
      <c r="P932" s="262"/>
      <c r="Q932" s="262"/>
      <c r="R932" s="262"/>
      <c r="S932" s="262"/>
      <c r="T932" s="262"/>
      <c r="U932" s="262"/>
      <c r="V932" s="262"/>
      <c r="W932" s="262"/>
      <c r="X932" s="262"/>
      <c r="Y932" s="262"/>
      <c r="Z932" s="262"/>
      <c r="AA932" s="262"/>
      <c r="AB932" s="262"/>
    </row>
    <row r="933" spans="1:31" ht="12.75">
      <c r="A933" s="599" t="s">
        <v>14479</v>
      </c>
      <c r="B933" s="600" t="s">
        <v>14491</v>
      </c>
      <c r="C933" s="614" t="s">
        <v>14821</v>
      </c>
      <c r="D933" s="601" t="str">
        <f>VLOOKUP($C933,'09 - MC'!$A:$F,2,0)</f>
        <v>COBOGÓ (LUA / RING) - 20X20</v>
      </c>
      <c r="E933" s="602" t="str">
        <f>VLOOKUP($C933,'09 - MC'!$A:$F,3,0)</f>
        <v>UN</v>
      </c>
      <c r="F933" s="603">
        <v>25</v>
      </c>
      <c r="G933" s="604">
        <f>VLOOKUP($C933,'09 - MC'!$A:$F,6,0)</f>
        <v>79.22</v>
      </c>
      <c r="H933" s="605">
        <f>TRUNC(G933*F933,2)</f>
        <v>1980.5</v>
      </c>
      <c r="I933" s="262"/>
      <c r="J933" s="262"/>
      <c r="K933" s="262"/>
      <c r="L933" s="262"/>
      <c r="M933" s="262"/>
      <c r="N933" s="262"/>
      <c r="O933" s="262"/>
      <c r="P933" s="262"/>
      <c r="Q933" s="262"/>
      <c r="R933" s="262"/>
      <c r="S933" s="262"/>
      <c r="T933" s="262"/>
      <c r="U933" s="262"/>
      <c r="V933" s="262"/>
      <c r="W933" s="262"/>
      <c r="X933" s="262"/>
      <c r="Y933" s="262"/>
      <c r="Z933" s="262"/>
      <c r="AA933" s="262"/>
      <c r="AB933" s="262"/>
    </row>
    <row r="934" spans="1:31" ht="12.75">
      <c r="A934" s="309"/>
      <c r="B934" s="303"/>
      <c r="C934" s="303"/>
      <c r="D934" s="310"/>
      <c r="E934" s="303"/>
      <c r="F934" s="306"/>
      <c r="G934" s="307"/>
      <c r="H934" s="308"/>
      <c r="I934" s="276">
        <f>COUNTIF($C$8:$C934,C:C)</f>
        <v>0</v>
      </c>
      <c r="J934" s="262"/>
      <c r="K934" s="262"/>
      <c r="L934" s="262"/>
      <c r="M934" s="262"/>
      <c r="N934" s="262"/>
      <c r="O934" s="262"/>
      <c r="P934" s="262"/>
      <c r="Q934" s="262"/>
      <c r="R934" s="262"/>
      <c r="S934" s="262"/>
      <c r="T934" s="262"/>
      <c r="U934" s="262"/>
      <c r="V934" s="262"/>
      <c r="W934" s="262"/>
      <c r="X934" s="262"/>
      <c r="Y934" s="262"/>
      <c r="Z934" s="262"/>
      <c r="AA934" s="262"/>
      <c r="AB934" s="262"/>
    </row>
    <row r="935" spans="1:31" ht="12.75">
      <c r="A935" s="358" t="s">
        <v>14471</v>
      </c>
      <c r="B935" s="359" t="s">
        <v>14472</v>
      </c>
      <c r="C935" s="273" t="s">
        <v>14822</v>
      </c>
      <c r="D935" s="361" t="s">
        <v>14823</v>
      </c>
      <c r="E935" s="359" t="s">
        <v>409</v>
      </c>
      <c r="F935" s="362"/>
      <c r="G935" s="362"/>
      <c r="H935" s="363">
        <f>TRUNC(SUM(H937:H944),2)</f>
        <v>713.81</v>
      </c>
      <c r="I935" s="262"/>
      <c r="J935" s="262"/>
      <c r="K935" s="262"/>
      <c r="L935" s="262"/>
      <c r="M935" s="262"/>
      <c r="N935" s="262"/>
      <c r="O935" s="262"/>
      <c r="P935" s="262"/>
      <c r="Q935" s="262"/>
      <c r="R935" s="262"/>
      <c r="S935" s="262"/>
      <c r="T935" s="262"/>
      <c r="U935" s="262"/>
      <c r="V935" s="262"/>
      <c r="W935" s="262"/>
      <c r="X935" s="262"/>
      <c r="Y935" s="262"/>
      <c r="Z935" s="262"/>
      <c r="AA935" s="262"/>
      <c r="AB935" s="262"/>
    </row>
    <row r="936" spans="1:31" ht="25.5">
      <c r="A936" s="364" t="s">
        <v>14475</v>
      </c>
      <c r="B936" s="403" t="s">
        <v>14522</v>
      </c>
      <c r="C936" s="615" t="s">
        <v>14824</v>
      </c>
      <c r="D936" s="367" t="s">
        <v>14567</v>
      </c>
      <c r="E936" s="405"/>
      <c r="F936" s="369"/>
      <c r="G936" s="370"/>
      <c r="H936" s="371"/>
      <c r="I936" s="262"/>
      <c r="J936" s="262"/>
      <c r="K936" s="262"/>
      <c r="L936" s="262"/>
      <c r="M936" s="262"/>
      <c r="N936" s="262"/>
      <c r="O936" s="262"/>
      <c r="P936" s="262"/>
      <c r="Q936" s="262"/>
      <c r="R936" s="262"/>
      <c r="S936" s="262"/>
      <c r="T936" s="262"/>
      <c r="U936" s="262"/>
      <c r="V936" s="262"/>
      <c r="W936" s="262"/>
      <c r="X936" s="262"/>
      <c r="Y936" s="262"/>
      <c r="Z936" s="262"/>
      <c r="AA936" s="262"/>
      <c r="AB936" s="262"/>
    </row>
    <row r="937" spans="1:31" ht="25.5">
      <c r="A937" s="372" t="s">
        <v>14478</v>
      </c>
      <c r="B937" s="421" t="s">
        <v>14476</v>
      </c>
      <c r="C937" s="374">
        <v>88240</v>
      </c>
      <c r="D937" s="593" t="str">
        <f>IFERROR(VLOOKUP($C937,'24.08_ND'!$A:$D,2,0),)</f>
        <v>AJUDANTE DE ESTRUTURA METÁLICA COM ENCARGOS COMPLEMENTARES</v>
      </c>
      <c r="E937" s="594" t="str">
        <f>IFERROR(VLOOKUP($C937,'24.08_ND'!$A:$D,3,0),)</f>
        <v>H</v>
      </c>
      <c r="F937" s="375">
        <v>10.0677</v>
      </c>
      <c r="G937" s="595">
        <f>IFERROR(VLOOKUP($C937,'24.08_ND'!$A:$D,4,0),)</f>
        <v>18.5</v>
      </c>
      <c r="H937" s="440">
        <f t="shared" ref="H937:H944" si="38">TRUNC(($F937*$G937),2)</f>
        <v>186.25</v>
      </c>
      <c r="I937" s="262"/>
      <c r="J937" s="262"/>
      <c r="K937" s="262"/>
      <c r="L937" s="262"/>
      <c r="M937" s="262"/>
      <c r="N937" s="262"/>
      <c r="O937" s="262"/>
      <c r="P937" s="262"/>
      <c r="Q937" s="262"/>
      <c r="R937" s="262"/>
      <c r="S937" s="262"/>
      <c r="T937" s="262"/>
      <c r="U937" s="262"/>
      <c r="V937" s="262"/>
      <c r="W937" s="262"/>
      <c r="X937" s="262"/>
      <c r="Y937" s="262"/>
      <c r="Z937" s="262"/>
      <c r="AA937" s="262"/>
      <c r="AB937" s="262"/>
      <c r="AD937" s="1791" t="e">
        <f>VLOOKUP(C937,'Medição '!$B$16:$F$1833,6,0)</f>
        <v>#N/A</v>
      </c>
      <c r="AE937" s="1791"/>
    </row>
    <row r="938" spans="1:31" ht="25.5">
      <c r="A938" s="372" t="s">
        <v>14478</v>
      </c>
      <c r="B938" s="421" t="s">
        <v>14476</v>
      </c>
      <c r="C938" s="374">
        <v>88315</v>
      </c>
      <c r="D938" s="593" t="str">
        <f>IFERROR(VLOOKUP($C938,'24.08_ND'!$A:$D,2,0),)</f>
        <v>SERRALHEIRO COM ENCARGOS COMPLEMENTARES</v>
      </c>
      <c r="E938" s="594" t="str">
        <f>IFERROR(VLOOKUP($C938,'24.08_ND'!$A:$D,3,0),)</f>
        <v>H</v>
      </c>
      <c r="F938" s="375">
        <v>2.5175000000000001</v>
      </c>
      <c r="G938" s="595">
        <f>IFERROR(VLOOKUP($C938,'24.08_ND'!$A:$D,4,0),)</f>
        <v>23.13</v>
      </c>
      <c r="H938" s="440">
        <f t="shared" si="38"/>
        <v>58.22</v>
      </c>
      <c r="I938" s="262"/>
      <c r="J938" s="262"/>
      <c r="K938" s="262"/>
      <c r="L938" s="262"/>
      <c r="M938" s="262"/>
      <c r="N938" s="262"/>
      <c r="O938" s="262"/>
      <c r="P938" s="262"/>
      <c r="Q938" s="262"/>
      <c r="R938" s="262"/>
      <c r="S938" s="262"/>
      <c r="T938" s="262"/>
      <c r="U938" s="262"/>
      <c r="V938" s="262"/>
      <c r="W938" s="262"/>
      <c r="X938" s="262"/>
      <c r="Y938" s="262"/>
      <c r="Z938" s="262"/>
      <c r="AA938" s="262"/>
      <c r="AB938" s="262"/>
      <c r="AD938" s="1791" t="e">
        <f>VLOOKUP(C938,'Medição '!$B$16:$F$1833,6,0)</f>
        <v>#N/A</v>
      </c>
      <c r="AE938" s="1791"/>
    </row>
    <row r="939" spans="1:31" ht="25.5">
      <c r="A939" s="616" t="s">
        <v>14479</v>
      </c>
      <c r="B939" s="582" t="s">
        <v>14476</v>
      </c>
      <c r="C939" s="384">
        <v>5104</v>
      </c>
      <c r="D939" s="596" t="str">
        <f>IFERROR(VLOOKUP($C939,'24.08_ND'!$A:$D,2,0),)</f>
        <v>REBITE DE REPUXO EM ALUMINIO VAZADO, DIAMETRO 3,2 X 8 MM DE COMPRIMENTO (1KG = 1025 UNIDADES)</v>
      </c>
      <c r="E939" s="597" t="str">
        <f>IFERROR(VLOOKUP($C939,'24.08_ND'!$A:$D,3,0),)</f>
        <v>KG</v>
      </c>
      <c r="F939" s="385">
        <v>1.5054000000000001</v>
      </c>
      <c r="G939" s="598">
        <f>IFERROR(VLOOKUP($C939,'24.08_ND'!$A:$D,4,0),)</f>
        <v>61.61</v>
      </c>
      <c r="H939" s="449">
        <f t="shared" si="38"/>
        <v>92.74</v>
      </c>
      <c r="I939" s="262"/>
      <c r="J939" s="262"/>
      <c r="K939" s="262"/>
      <c r="L939" s="262"/>
      <c r="M939" s="262"/>
      <c r="N939" s="262"/>
      <c r="O939" s="262"/>
      <c r="P939" s="262"/>
      <c r="Q939" s="262"/>
      <c r="R939" s="262"/>
      <c r="S939" s="262"/>
      <c r="T939" s="262"/>
      <c r="U939" s="262"/>
      <c r="V939" s="262"/>
      <c r="W939" s="262"/>
      <c r="X939" s="262"/>
      <c r="Y939" s="262"/>
      <c r="Z939" s="262"/>
      <c r="AA939" s="262"/>
      <c r="AB939" s="262"/>
    </row>
    <row r="940" spans="1:31" ht="12.75">
      <c r="A940" s="581" t="s">
        <v>14479</v>
      </c>
      <c r="B940" s="582" t="s">
        <v>14476</v>
      </c>
      <c r="C940" s="447">
        <v>39961</v>
      </c>
      <c r="D940" s="596" t="str">
        <f>IFERROR(VLOOKUP($C940,'24.08_ND'!$A:$D,2,0),)</f>
        <v>SILICONE ACETICO USO GERAL INCOLOR 280 G</v>
      </c>
      <c r="E940" s="597" t="str">
        <f>IFERROR(VLOOKUP($C940,'24.08_ND'!$A:$D,3,0),)</f>
        <v>UN</v>
      </c>
      <c r="F940" s="385">
        <v>2.1249500000000001</v>
      </c>
      <c r="G940" s="598">
        <f>IFERROR(VLOOKUP($C940,'24.08_ND'!$A:$D,4,0),)</f>
        <v>22.6</v>
      </c>
      <c r="H940" s="449">
        <f t="shared" si="38"/>
        <v>48.02</v>
      </c>
      <c r="I940" s="262"/>
      <c r="J940" s="262"/>
      <c r="K940" s="262"/>
      <c r="L940" s="262"/>
      <c r="M940" s="262"/>
      <c r="N940" s="262"/>
      <c r="O940" s="262"/>
      <c r="P940" s="262"/>
      <c r="Q940" s="262"/>
      <c r="R940" s="262"/>
      <c r="S940" s="262"/>
      <c r="T940" s="262"/>
      <c r="U940" s="262"/>
      <c r="V940" s="262"/>
      <c r="W940" s="262"/>
      <c r="X940" s="262"/>
      <c r="Y940" s="262"/>
      <c r="Z940" s="262"/>
      <c r="AA940" s="262"/>
      <c r="AB940" s="262"/>
    </row>
    <row r="941" spans="1:31" ht="25.5">
      <c r="A941" s="581" t="s">
        <v>14479</v>
      </c>
      <c r="B941" s="582" t="s">
        <v>14476</v>
      </c>
      <c r="C941" s="447">
        <v>44073</v>
      </c>
      <c r="D941" s="596" t="str">
        <f>IFERROR(VLOOKUP($C941,'24.08_ND'!$A:$D,2,0),)</f>
        <v>TARUGO DELIMITADOR DE PROFUNDIDADE EM ESPUMA DE POLIETILENO DE BAIXA DENSIDADE 10 MM, CINZA</v>
      </c>
      <c r="E941" s="597" t="str">
        <f>IFERROR(VLOOKUP($C941,'24.08_ND'!$A:$D,3,0),)</f>
        <v>M</v>
      </c>
      <c r="F941" s="385">
        <v>1.2749999999999999</v>
      </c>
      <c r="G941" s="598">
        <f>IFERROR(VLOOKUP($C941,'24.08_ND'!$A:$D,4,0),)</f>
        <v>0.64</v>
      </c>
      <c r="H941" s="449">
        <f t="shared" si="38"/>
        <v>0.81</v>
      </c>
      <c r="I941" s="262"/>
      <c r="J941" s="262"/>
      <c r="K941" s="262"/>
      <c r="L941" s="262"/>
      <c r="M941" s="262"/>
      <c r="N941" s="262"/>
      <c r="O941" s="262"/>
      <c r="P941" s="262"/>
      <c r="Q941" s="262"/>
      <c r="R941" s="262"/>
      <c r="S941" s="262"/>
      <c r="T941" s="262"/>
      <c r="U941" s="262"/>
      <c r="V941" s="262"/>
      <c r="W941" s="262"/>
      <c r="X941" s="262"/>
      <c r="Y941" s="262"/>
      <c r="Z941" s="262"/>
      <c r="AA941" s="262"/>
      <c r="AB941" s="262"/>
    </row>
    <row r="942" spans="1:31" ht="25.5">
      <c r="A942" s="581" t="s">
        <v>14479</v>
      </c>
      <c r="B942" s="582" t="s">
        <v>14476</v>
      </c>
      <c r="C942" s="447">
        <v>589</v>
      </c>
      <c r="D942" s="596" t="str">
        <f>IFERROR(VLOOKUP($C942,'24.08_ND'!$A:$D,2,0),)</f>
        <v>CANTONEIRA EM ALUMINIO, ABAS IGUAIS, LARGURA DE 50,80 MM (2"), ESPESSURA DE 6,35 MM (1/4") E PESO LINEAR DE APROXIMADAMENTE 1,630 KG/M</v>
      </c>
      <c r="E942" s="597" t="str">
        <f>IFERROR(VLOOKUP($C942,'24.08_ND'!$A:$D,3,0),)</f>
        <v>M</v>
      </c>
      <c r="F942" s="385">
        <v>2.4834999999999998</v>
      </c>
      <c r="G942" s="598">
        <f>IFERROR(VLOOKUP($C942,'24.08_ND'!$A:$D,4,0),)</f>
        <v>50.92</v>
      </c>
      <c r="H942" s="449">
        <f t="shared" si="38"/>
        <v>126.45</v>
      </c>
      <c r="I942" s="262"/>
      <c r="J942" s="262"/>
      <c r="K942" s="262"/>
      <c r="L942" s="262"/>
      <c r="M942" s="262"/>
      <c r="N942" s="262"/>
      <c r="O942" s="262"/>
      <c r="P942" s="262"/>
      <c r="Q942" s="262"/>
      <c r="R942" s="262"/>
      <c r="S942" s="262"/>
      <c r="T942" s="262"/>
      <c r="U942" s="262"/>
      <c r="V942" s="262"/>
      <c r="W942" s="262"/>
      <c r="X942" s="262"/>
      <c r="Y942" s="262"/>
      <c r="Z942" s="262"/>
      <c r="AA942" s="262"/>
      <c r="AB942" s="262"/>
    </row>
    <row r="943" spans="1:31" ht="38.25">
      <c r="A943" s="613" t="s">
        <v>14479</v>
      </c>
      <c r="B943" s="312" t="str">
        <f>VLOOKUP($C943,'• CIs EXT'!$A:$E,2,0)</f>
        <v>CPOS/CDHU</v>
      </c>
      <c r="C943" s="377" t="s">
        <v>14825</v>
      </c>
      <c r="D943" s="378" t="str">
        <f>VLOOKUP($C943,'• CIs EXT'!$A:$E,3,0)</f>
        <v>PARAFUSO AUTO-ATARRAXANTE/AUTO-BROCANTE EM AÇO MÉDIO CARBONO, COM ACABAMENTO ZINCADO BRANDO, DE 12 X 38 MM - COM ARRUELA DE VEDAÇÃO</v>
      </c>
      <c r="E943" s="379" t="str">
        <f>VLOOKUP($C943,'• CIs EXT'!$A:$E,4,0)</f>
        <v>UN</v>
      </c>
      <c r="F943" s="380">
        <v>6.2725</v>
      </c>
      <c r="G943" s="379">
        <f>VLOOKUP($C943,'• CIs EXT'!$A:$E,5,0)</f>
        <v>0.31</v>
      </c>
      <c r="H943" s="381">
        <f t="shared" si="38"/>
        <v>1.94</v>
      </c>
      <c r="I943" s="262"/>
      <c r="J943" s="262"/>
      <c r="K943" s="262"/>
      <c r="L943" s="262"/>
      <c r="M943" s="262"/>
      <c r="N943" s="262"/>
      <c r="O943" s="262"/>
      <c r="P943" s="262"/>
      <c r="Q943" s="262"/>
      <c r="R943" s="262"/>
      <c r="S943" s="262"/>
      <c r="T943" s="262"/>
      <c r="U943" s="262"/>
      <c r="V943" s="262"/>
      <c r="W943" s="262"/>
      <c r="X943" s="262"/>
      <c r="Y943" s="262"/>
      <c r="Z943" s="262"/>
      <c r="AA943" s="262"/>
      <c r="AB943" s="262"/>
    </row>
    <row r="944" spans="1:31" ht="38.25">
      <c r="A944" s="613" t="s">
        <v>14479</v>
      </c>
      <c r="B944" s="312" t="str">
        <f>VLOOKUP($C944,'• CIs EXT'!$A:$E,2,0)</f>
        <v>CPOS/CDHU</v>
      </c>
      <c r="C944" s="377" t="s">
        <v>14826</v>
      </c>
      <c r="D944" s="378" t="str">
        <f>VLOOKUP($C944,'• CIs EXT'!$A:$E,3,0)</f>
        <v>PLACA DE ALUMÍNIO COMPOSTO ""ACM"", ESPESSURA DE 4 MM, ACABAMENTO EM PVDF, USO EXTERNO/INTERNO "</v>
      </c>
      <c r="E944" s="379" t="str">
        <f>VLOOKUP($C944,'• CIs EXT'!$A:$E,4,0)</f>
        <v>M2</v>
      </c>
      <c r="F944" s="380">
        <v>1.3</v>
      </c>
      <c r="G944" s="379">
        <f>VLOOKUP($C944,'• CIs EXT'!$A:$E,5,0)</f>
        <v>153.37</v>
      </c>
      <c r="H944" s="381">
        <f t="shared" si="38"/>
        <v>199.38</v>
      </c>
      <c r="I944" s="262"/>
      <c r="J944" s="262"/>
      <c r="K944" s="262"/>
      <c r="L944" s="262"/>
      <c r="M944" s="262"/>
      <c r="N944" s="262"/>
      <c r="O944" s="262"/>
      <c r="P944" s="262"/>
      <c r="Q944" s="262"/>
      <c r="R944" s="262"/>
      <c r="S944" s="262"/>
      <c r="T944" s="262"/>
      <c r="U944" s="262"/>
      <c r="V944" s="262"/>
      <c r="W944" s="262"/>
      <c r="X944" s="262"/>
      <c r="Y944" s="262"/>
      <c r="Z944" s="262"/>
      <c r="AA944" s="262"/>
      <c r="AB944" s="262"/>
    </row>
    <row r="945" spans="1:31" ht="12.75">
      <c r="A945" s="309"/>
      <c r="B945" s="303"/>
      <c r="C945" s="303"/>
      <c r="D945" s="310"/>
      <c r="E945" s="303"/>
      <c r="F945" s="306"/>
      <c r="G945" s="307"/>
      <c r="H945" s="308"/>
      <c r="I945" s="276">
        <f>COUNTIF($C$8:$C945,C:C)</f>
        <v>0</v>
      </c>
      <c r="J945" s="262"/>
      <c r="K945" s="262"/>
      <c r="L945" s="262"/>
      <c r="M945" s="262"/>
      <c r="N945" s="262"/>
      <c r="O945" s="262"/>
      <c r="P945" s="262"/>
      <c r="Q945" s="262"/>
      <c r="R945" s="262"/>
      <c r="S945" s="262"/>
      <c r="T945" s="262"/>
      <c r="U945" s="262"/>
      <c r="V945" s="262"/>
      <c r="W945" s="262"/>
      <c r="X945" s="262"/>
      <c r="Y945" s="262"/>
      <c r="Z945" s="262"/>
      <c r="AA945" s="262"/>
      <c r="AB945" s="262"/>
    </row>
    <row r="946" spans="1:31" ht="25.5">
      <c r="A946" s="358" t="s">
        <v>14471</v>
      </c>
      <c r="B946" s="359" t="s">
        <v>14472</v>
      </c>
      <c r="C946" s="273" t="s">
        <v>14827</v>
      </c>
      <c r="D946" s="361" t="s">
        <v>14828</v>
      </c>
      <c r="E946" s="359" t="s">
        <v>409</v>
      </c>
      <c r="F946" s="362"/>
      <c r="G946" s="362"/>
      <c r="H946" s="363">
        <f>TRUNC(SUM(H948:H951),2)</f>
        <v>87.27</v>
      </c>
      <c r="I946" s="262"/>
      <c r="J946" s="262"/>
      <c r="K946" s="262"/>
      <c r="L946" s="262"/>
      <c r="M946" s="262"/>
      <c r="N946" s="262"/>
      <c r="O946" s="262"/>
      <c r="P946" s="262"/>
      <c r="Q946" s="262"/>
      <c r="R946" s="262"/>
      <c r="S946" s="262"/>
      <c r="T946" s="262"/>
      <c r="U946" s="262"/>
      <c r="V946" s="262"/>
      <c r="W946" s="262"/>
      <c r="X946" s="262"/>
      <c r="Y946" s="262"/>
      <c r="Z946" s="262"/>
      <c r="AA946" s="262"/>
      <c r="AB946" s="262"/>
    </row>
    <row r="947" spans="1:31" ht="25.5">
      <c r="A947" s="364" t="s">
        <v>14475</v>
      </c>
      <c r="B947" s="403" t="s">
        <v>14522</v>
      </c>
      <c r="C947" s="615" t="s">
        <v>14829</v>
      </c>
      <c r="D947" s="367" t="s">
        <v>14567</v>
      </c>
      <c r="E947" s="405"/>
      <c r="F947" s="369"/>
      <c r="G947" s="370"/>
      <c r="H947" s="371"/>
      <c r="I947" s="262"/>
      <c r="J947" s="262"/>
      <c r="K947" s="262"/>
      <c r="L947" s="262"/>
      <c r="M947" s="262"/>
      <c r="N947" s="262"/>
      <c r="O947" s="262"/>
      <c r="P947" s="262"/>
      <c r="Q947" s="262"/>
      <c r="R947" s="262"/>
      <c r="S947" s="262"/>
      <c r="T947" s="262"/>
      <c r="U947" s="262"/>
      <c r="V947" s="262"/>
      <c r="W947" s="262"/>
      <c r="X947" s="262"/>
      <c r="Y947" s="262"/>
      <c r="Z947" s="262"/>
      <c r="AA947" s="262"/>
      <c r="AB947" s="262"/>
    </row>
    <row r="948" spans="1:31" ht="25.5">
      <c r="A948" s="372" t="s">
        <v>14478</v>
      </c>
      <c r="B948" s="421" t="s">
        <v>14476</v>
      </c>
      <c r="C948" s="374">
        <v>88315</v>
      </c>
      <c r="D948" s="593" t="str">
        <f>IFERROR(VLOOKUP($C948,'24.08_ND'!$A:$D,2,0),)</f>
        <v>SERRALHEIRO COM ENCARGOS COMPLEMENTARES</v>
      </c>
      <c r="E948" s="594" t="str">
        <f>IFERROR(VLOOKUP($C948,'24.08_ND'!$A:$D,3,0),)</f>
        <v>H</v>
      </c>
      <c r="F948" s="375">
        <v>0.15</v>
      </c>
      <c r="G948" s="595">
        <f>IFERROR(VLOOKUP($C948,'24.08_ND'!$A:$D,4,0),)</f>
        <v>23.13</v>
      </c>
      <c r="H948" s="440">
        <f>TRUNC(($F948*$G948),2)</f>
        <v>3.46</v>
      </c>
      <c r="I948" s="262"/>
      <c r="J948" s="262"/>
      <c r="K948" s="262"/>
      <c r="L948" s="262"/>
      <c r="M948" s="262"/>
      <c r="N948" s="262"/>
      <c r="O948" s="262"/>
      <c r="P948" s="262"/>
      <c r="Q948" s="262"/>
      <c r="R948" s="262"/>
      <c r="S948" s="262"/>
      <c r="T948" s="262"/>
      <c r="U948" s="262"/>
      <c r="V948" s="262"/>
      <c r="W948" s="262"/>
      <c r="X948" s="262"/>
      <c r="Y948" s="262"/>
      <c r="Z948" s="262"/>
      <c r="AA948" s="262"/>
      <c r="AB948" s="262"/>
      <c r="AD948" s="1791" t="e">
        <f>VLOOKUP(C948,'Medição '!$B$16:$F$1833,6,0)</f>
        <v>#N/A</v>
      </c>
      <c r="AE948" s="1791"/>
    </row>
    <row r="949" spans="1:31" ht="25.5">
      <c r="A949" s="372" t="s">
        <v>14478</v>
      </c>
      <c r="B949" s="421" t="s">
        <v>14476</v>
      </c>
      <c r="C949" s="374">
        <v>88251</v>
      </c>
      <c r="D949" s="593" t="str">
        <f>IFERROR(VLOOKUP($C949,'24.08_ND'!$A:$D,2,0),)</f>
        <v>AUXILIAR DE SERRALHEIRO COM ENCARGOS COMPLEMENTARES</v>
      </c>
      <c r="E949" s="594" t="str">
        <f>IFERROR(VLOOKUP($C949,'24.08_ND'!$A:$D,3,0),)</f>
        <v>H</v>
      </c>
      <c r="F949" s="375">
        <v>0.3</v>
      </c>
      <c r="G949" s="595">
        <f>IFERROR(VLOOKUP($C949,'24.08_ND'!$A:$D,4,0),)</f>
        <v>19.579999999999998</v>
      </c>
      <c r="H949" s="440">
        <f>TRUNC(($F949*$G949),2)</f>
        <v>5.87</v>
      </c>
      <c r="I949" s="262"/>
      <c r="J949" s="262"/>
      <c r="K949" s="262"/>
      <c r="L949" s="262"/>
      <c r="M949" s="262"/>
      <c r="N949" s="262"/>
      <c r="O949" s="262"/>
      <c r="P949" s="262"/>
      <c r="Q949" s="262"/>
      <c r="R949" s="262"/>
      <c r="S949" s="262"/>
      <c r="T949" s="262"/>
      <c r="U949" s="262"/>
      <c r="V949" s="262"/>
      <c r="W949" s="262"/>
      <c r="X949" s="262"/>
      <c r="Y949" s="262"/>
      <c r="Z949" s="262"/>
      <c r="AA949" s="262"/>
      <c r="AB949" s="262"/>
      <c r="AD949" s="1791" t="e">
        <f>VLOOKUP(C949,'Medição '!$B$16:$F$1833,6,0)</f>
        <v>#N/A</v>
      </c>
      <c r="AE949" s="1791"/>
    </row>
    <row r="950" spans="1:31" ht="25.5">
      <c r="A950" s="617" t="s">
        <v>14479</v>
      </c>
      <c r="B950" s="618" t="s">
        <v>14476</v>
      </c>
      <c r="C950" s="619">
        <v>4313</v>
      </c>
      <c r="D950" s="596" t="s">
        <v>14830</v>
      </c>
      <c r="E950" s="620" t="str">
        <f>IFERROR(VLOOKUP($C950,'24.08_ND'!$A:$D,3,0),)</f>
        <v>CJ</v>
      </c>
      <c r="F950" s="621">
        <v>6</v>
      </c>
      <c r="G950" s="622">
        <f>IFERROR(VLOOKUP($C950,'24.08_ND'!$A:$D,4,0),)</f>
        <v>2.58</v>
      </c>
      <c r="H950" s="449">
        <f>TRUNC(($F950*$G950),2)</f>
        <v>15.48</v>
      </c>
      <c r="I950" s="262"/>
      <c r="J950" s="262"/>
      <c r="K950" s="262"/>
      <c r="L950" s="262"/>
      <c r="M950" s="262"/>
      <c r="N950" s="262"/>
      <c r="O950" s="262"/>
      <c r="P950" s="262"/>
      <c r="Q950" s="262"/>
      <c r="R950" s="262"/>
      <c r="S950" s="262"/>
      <c r="T950" s="262"/>
      <c r="U950" s="262"/>
      <c r="V950" s="262"/>
      <c r="W950" s="262"/>
      <c r="X950" s="262"/>
      <c r="Y950" s="262"/>
      <c r="Z950" s="262"/>
      <c r="AA950" s="262"/>
      <c r="AB950" s="262"/>
    </row>
    <row r="951" spans="1:31" ht="38.25">
      <c r="A951" s="613" t="s">
        <v>14479</v>
      </c>
      <c r="B951" s="312" t="str">
        <f>VLOOKUP($C951,'• CIs EXT'!$A:$E,2,0)</f>
        <v>CPOS/CDHU</v>
      </c>
      <c r="C951" s="377" t="s">
        <v>14831</v>
      </c>
      <c r="D951" s="378" t="str">
        <f>VLOOKUP($C951,'• CIs EXT'!$A:$E,3,0)</f>
        <v>TELA TIPO ALAMBRADO, FIO 10 BWG, MALHA 2´</v>
      </c>
      <c r="E951" s="379" t="str">
        <f>VLOOKUP($C951,'• CIs EXT'!$A:$E,4,0)</f>
        <v>M2</v>
      </c>
      <c r="F951" s="380">
        <v>1.1499999999999999</v>
      </c>
      <c r="G951" s="379">
        <f>VLOOKUP($C951,'• CIs EXT'!$A:$E,5,0)</f>
        <v>54.32</v>
      </c>
      <c r="H951" s="381">
        <f>TRUNC(($F951*$G951),2)</f>
        <v>62.46</v>
      </c>
      <c r="I951" s="262"/>
      <c r="J951" s="262"/>
      <c r="K951" s="262"/>
      <c r="L951" s="262"/>
      <c r="M951" s="262"/>
      <c r="N951" s="262"/>
      <c r="O951" s="262"/>
      <c r="P951" s="262"/>
      <c r="Q951" s="262"/>
      <c r="R951" s="262"/>
      <c r="S951" s="262"/>
      <c r="T951" s="262"/>
      <c r="U951" s="262"/>
      <c r="V951" s="262"/>
      <c r="W951" s="262"/>
      <c r="X951" s="262"/>
      <c r="Y951" s="262"/>
      <c r="Z951" s="262"/>
      <c r="AA951" s="262"/>
      <c r="AB951" s="262"/>
    </row>
    <row r="952" spans="1:31" ht="12.75">
      <c r="A952" s="309"/>
      <c r="B952" s="303"/>
      <c r="C952" s="303"/>
      <c r="D952" s="310"/>
      <c r="E952" s="303"/>
      <c r="F952" s="306"/>
      <c r="G952" s="307"/>
      <c r="H952" s="308"/>
      <c r="I952" s="262"/>
      <c r="J952" s="262"/>
      <c r="K952" s="262"/>
      <c r="L952" s="262"/>
      <c r="M952" s="262"/>
      <c r="N952" s="262"/>
      <c r="O952" s="262"/>
      <c r="P952" s="262"/>
      <c r="Q952" s="262"/>
      <c r="R952" s="262"/>
      <c r="S952" s="262"/>
      <c r="T952" s="262"/>
      <c r="U952" s="262"/>
      <c r="V952" s="262"/>
      <c r="W952" s="262"/>
      <c r="X952" s="262"/>
      <c r="Y952" s="262"/>
      <c r="Z952" s="262"/>
      <c r="AA952" s="262"/>
      <c r="AB952" s="262"/>
    </row>
    <row r="953" spans="1:31" ht="38.25">
      <c r="A953" s="358" t="s">
        <v>14471</v>
      </c>
      <c r="B953" s="359" t="s">
        <v>14472</v>
      </c>
      <c r="C953" s="273" t="s">
        <v>14832</v>
      </c>
      <c r="D953" s="361" t="s">
        <v>14833</v>
      </c>
      <c r="E953" s="359" t="s">
        <v>409</v>
      </c>
      <c r="F953" s="362"/>
      <c r="G953" s="362"/>
      <c r="H953" s="363">
        <f>TRUNC(SUM(H955:H963),2)</f>
        <v>278.35000000000002</v>
      </c>
      <c r="I953" s="276">
        <f>COUNTIF($C$8:$C953,C:C)</f>
        <v>1</v>
      </c>
      <c r="J953" s="262"/>
      <c r="K953" s="262"/>
      <c r="L953" s="262"/>
      <c r="M953" s="262"/>
      <c r="N953" s="262"/>
      <c r="O953" s="262"/>
      <c r="P953" s="262"/>
      <c r="Q953" s="262"/>
      <c r="R953" s="262"/>
      <c r="S953" s="262"/>
      <c r="T953" s="262"/>
      <c r="U953" s="262"/>
      <c r="V953" s="262"/>
      <c r="W953" s="262"/>
      <c r="X953" s="262"/>
      <c r="Y953" s="262"/>
      <c r="Z953" s="262"/>
      <c r="AA953" s="262"/>
      <c r="AB953" s="262"/>
    </row>
    <row r="954" spans="1:31" ht="12.75">
      <c r="A954" s="364" t="s">
        <v>14475</v>
      </c>
      <c r="B954" s="403" t="s">
        <v>14476</v>
      </c>
      <c r="C954" s="404">
        <v>94231</v>
      </c>
      <c r="D954" s="367" t="s">
        <v>14602</v>
      </c>
      <c r="E954" s="405"/>
      <c r="F954" s="369"/>
      <c r="G954" s="370"/>
      <c r="H954" s="371"/>
      <c r="I954" s="262"/>
      <c r="J954" s="262"/>
      <c r="K954" s="262"/>
      <c r="L954" s="262"/>
      <c r="M954" s="262"/>
      <c r="N954" s="262"/>
      <c r="O954" s="262"/>
      <c r="P954" s="262"/>
      <c r="Q954" s="262"/>
      <c r="R954" s="262"/>
      <c r="S954" s="262"/>
      <c r="T954" s="262"/>
      <c r="U954" s="262"/>
      <c r="V954" s="262"/>
      <c r="W954" s="262"/>
      <c r="X954" s="262"/>
      <c r="Y954" s="262"/>
      <c r="Z954" s="262"/>
      <c r="AA954" s="262"/>
      <c r="AB954" s="262"/>
    </row>
    <row r="955" spans="1:31" ht="25.5">
      <c r="A955" s="372" t="s">
        <v>14478</v>
      </c>
      <c r="B955" s="421" t="s">
        <v>14476</v>
      </c>
      <c r="C955" s="374">
        <v>88316</v>
      </c>
      <c r="D955" s="593" t="str">
        <f>IFERROR(VLOOKUP($C955,'24.08_ND'!$A:$D,2,0),)</f>
        <v>SERVENTE COM ENCARGOS COMPLEMENTARES</v>
      </c>
      <c r="E955" s="594" t="str">
        <f>IFERROR(VLOOKUP($C955,'24.08_ND'!$A:$D,3,0),)</f>
        <v>H</v>
      </c>
      <c r="F955" s="375">
        <v>0.20699999999999999</v>
      </c>
      <c r="G955" s="595">
        <f>IFERROR(VLOOKUP($C955,'24.08_ND'!$A:$D,4,0),)</f>
        <v>18.510000000000002</v>
      </c>
      <c r="H955" s="440">
        <f t="shared" ref="H955:H963" si="39">TRUNC(($F955*$G955),2)</f>
        <v>3.83</v>
      </c>
      <c r="I955" s="262"/>
      <c r="J955" s="262"/>
      <c r="K955" s="262"/>
      <c r="L955" s="262"/>
      <c r="M955" s="262"/>
      <c r="N955" s="262"/>
      <c r="O955" s="262"/>
      <c r="P955" s="262"/>
      <c r="Q955" s="262"/>
      <c r="R955" s="262"/>
      <c r="S955" s="262"/>
      <c r="T955" s="262"/>
      <c r="U955" s="262"/>
      <c r="V955" s="262"/>
      <c r="W955" s="262"/>
      <c r="X955" s="262"/>
      <c r="Y955" s="262"/>
      <c r="Z955" s="262"/>
      <c r="AA955" s="262"/>
      <c r="AB955" s="262"/>
      <c r="AD955" s="1791" t="e">
        <f>VLOOKUP(C955,'Medição '!$B$16:$F$1833,6,0)</f>
        <v>#N/A</v>
      </c>
      <c r="AE955" s="1791"/>
    </row>
    <row r="956" spans="1:31" ht="25.5">
      <c r="A956" s="372" t="s">
        <v>14478</v>
      </c>
      <c r="B956" s="421" t="s">
        <v>14476</v>
      </c>
      <c r="C956" s="374">
        <v>88323</v>
      </c>
      <c r="D956" s="593" t="str">
        <f>IFERROR(VLOOKUP($C956,'24.08_ND'!$A:$D,2,0),)</f>
        <v>TELHADISTA COM ENCARGOS COMPLEMENTARES</v>
      </c>
      <c r="E956" s="594" t="str">
        <f>IFERROR(VLOOKUP($C956,'24.08_ND'!$A:$D,3,0),)</f>
        <v>H</v>
      </c>
      <c r="F956" s="375">
        <v>0.112</v>
      </c>
      <c r="G956" s="595">
        <f>IFERROR(VLOOKUP($C956,'24.08_ND'!$A:$D,4,0),)</f>
        <v>22.77</v>
      </c>
      <c r="H956" s="440">
        <f t="shared" si="39"/>
        <v>2.5499999999999998</v>
      </c>
      <c r="I956" s="262"/>
      <c r="J956" s="262"/>
      <c r="K956" s="262"/>
      <c r="L956" s="262"/>
      <c r="M956" s="262"/>
      <c r="N956" s="262"/>
      <c r="O956" s="262"/>
      <c r="P956" s="262"/>
      <c r="Q956" s="262"/>
      <c r="R956" s="262"/>
      <c r="S956" s="262"/>
      <c r="T956" s="262"/>
      <c r="U956" s="262"/>
      <c r="V956" s="262"/>
      <c r="W956" s="262"/>
      <c r="X956" s="262"/>
      <c r="Y956" s="262"/>
      <c r="Z956" s="262"/>
      <c r="AA956" s="262"/>
      <c r="AB956" s="262"/>
      <c r="AD956" s="1791" t="e">
        <f>VLOOKUP(C956,'Medição '!$B$16:$F$1833,6,0)</f>
        <v>#N/A</v>
      </c>
      <c r="AE956" s="1791"/>
    </row>
    <row r="957" spans="1:31" ht="38.25">
      <c r="A957" s="285" t="s">
        <v>14478</v>
      </c>
      <c r="B957" s="286" t="s">
        <v>14476</v>
      </c>
      <c r="C957" s="408">
        <v>100721</v>
      </c>
      <c r="D957" s="288" t="str">
        <f>IFERROR(VLOOKUP($C957,'24.08_ND'!$A:$D,2,0),)</f>
        <v>PINTURA COM TINTA ALQUÍDICA DE FUNDO (TIPO ZARCÃO) PULVERIZADA SOBRE SUPERFÍCIES METÁLICAS (EXCETO PERFIL) EXECUTADO EM OBRA (POR DEMÃO). AF_01/2020_PE</v>
      </c>
      <c r="E957" s="289" t="str">
        <f>IFERROR(VLOOKUP($C957,'24.08_ND'!$A:$D,3,0),)</f>
        <v>M2</v>
      </c>
      <c r="F957" s="610">
        <v>1.1000000000000001</v>
      </c>
      <c r="G957" s="291">
        <f>IFERROR(VLOOKUP($C957,'24.08_ND'!$A:$D,4,0),)</f>
        <v>20.97</v>
      </c>
      <c r="H957" s="292">
        <f t="shared" si="39"/>
        <v>23.06</v>
      </c>
      <c r="I957" s="262"/>
      <c r="J957" s="262"/>
      <c r="K957" s="262"/>
      <c r="L957" s="262"/>
      <c r="M957" s="262"/>
      <c r="N957" s="262"/>
      <c r="O957" s="262"/>
      <c r="P957" s="262"/>
      <c r="Q957" s="262"/>
      <c r="R957" s="262"/>
      <c r="S957" s="262"/>
      <c r="T957" s="262"/>
      <c r="U957" s="262"/>
      <c r="V957" s="262"/>
      <c r="W957" s="262"/>
      <c r="X957" s="262"/>
      <c r="Y957" s="262"/>
      <c r="Z957" s="262"/>
      <c r="AA957" s="262"/>
      <c r="AB957" s="262"/>
      <c r="AD957" s="1791" t="e">
        <f>VLOOKUP(C957,'Medição '!$B$16:$F$1833,6,0)</f>
        <v>#REF!</v>
      </c>
      <c r="AE957" s="1791"/>
    </row>
    <row r="958" spans="1:31" ht="38.25">
      <c r="A958" s="285" t="s">
        <v>14478</v>
      </c>
      <c r="B958" s="286" t="s">
        <v>14476</v>
      </c>
      <c r="C958" s="408">
        <v>100761</v>
      </c>
      <c r="D958" s="288" t="str">
        <f>IFERROR(VLOOKUP($C958,'24.08_ND'!$A:$D,2,0),)</f>
        <v>PINTURA COM TINTA ALQUÍDICA DE ACABAMENTO (ESMALTE SINTÉTICO FOSCO) PULVERIZADA SOBRE SUPERFÍCIES METÁLICAS (EXCETO PERFIL) EXECUTADO EM OBRA (02 DEMÃOS). AF_01/2020_PE</v>
      </c>
      <c r="E958" s="289" t="str">
        <f>IFERROR(VLOOKUP($C958,'24.08_ND'!$A:$D,3,0),)</f>
        <v>M2</v>
      </c>
      <c r="F958" s="610">
        <f>F957</f>
        <v>1.1000000000000001</v>
      </c>
      <c r="G958" s="291">
        <f>IFERROR(VLOOKUP($C958,'24.08_ND'!$A:$D,4,0),)</f>
        <v>41.11</v>
      </c>
      <c r="H958" s="292">
        <f t="shared" si="39"/>
        <v>45.22</v>
      </c>
      <c r="I958" s="262"/>
      <c r="J958" s="262"/>
      <c r="K958" s="262"/>
      <c r="L958" s="262"/>
      <c r="M958" s="262"/>
      <c r="N958" s="262"/>
      <c r="O958" s="262"/>
      <c r="P958" s="262"/>
      <c r="Q958" s="262"/>
      <c r="R958" s="262"/>
      <c r="S958" s="262"/>
      <c r="T958" s="262"/>
      <c r="U958" s="262"/>
      <c r="V958" s="262"/>
      <c r="W958" s="262"/>
      <c r="X958" s="262"/>
      <c r="Y958" s="262"/>
      <c r="Z958" s="262"/>
      <c r="AA958" s="262"/>
      <c r="AB958" s="262"/>
      <c r="AD958" s="1791" t="e">
        <f>VLOOKUP(C958,'Medição '!$B$16:$F$1833,6,0)</f>
        <v>#REF!</v>
      </c>
      <c r="AE958" s="1791"/>
    </row>
    <row r="959" spans="1:31" ht="12.75">
      <c r="A959" s="616" t="s">
        <v>14479</v>
      </c>
      <c r="B959" s="582" t="s">
        <v>14476</v>
      </c>
      <c r="C959" s="384">
        <v>1318</v>
      </c>
      <c r="D959" s="596" t="str">
        <f>IFERROR(VLOOKUP($C959,'24.08_ND'!$A:$D,2,0),)</f>
        <v>CHAPA DE ACO FINA A QUENTE BITOLA MSG 14, E = 2,00 MM (16,0 KG/M2)</v>
      </c>
      <c r="E959" s="597" t="str">
        <f>IFERROR(VLOOKUP($C959,'24.08_ND'!$A:$D,3,0),)</f>
        <v>KG</v>
      </c>
      <c r="F959" s="385">
        <f>16*1.1</f>
        <v>17.600000000000001</v>
      </c>
      <c r="G959" s="598">
        <f>IFERROR(VLOOKUP($C959,'24.08_ND'!$A:$D,4,0),)</f>
        <v>11.1</v>
      </c>
      <c r="H959" s="449">
        <f t="shared" si="39"/>
        <v>195.36</v>
      </c>
      <c r="I959" s="262"/>
      <c r="J959" s="262"/>
      <c r="K959" s="262"/>
      <c r="L959" s="262"/>
      <c r="M959" s="262"/>
      <c r="N959" s="262"/>
      <c r="O959" s="262"/>
      <c r="P959" s="262"/>
      <c r="Q959" s="262"/>
      <c r="R959" s="262"/>
      <c r="S959" s="262"/>
      <c r="T959" s="262"/>
      <c r="U959" s="262"/>
      <c r="V959" s="262"/>
      <c r="W959" s="262"/>
      <c r="X959" s="262"/>
      <c r="Y959" s="262"/>
      <c r="Z959" s="262"/>
      <c r="AA959" s="262"/>
      <c r="AB959" s="262"/>
    </row>
    <row r="960" spans="1:31" ht="12.75">
      <c r="A960" s="581" t="s">
        <v>14479</v>
      </c>
      <c r="B960" s="582" t="s">
        <v>14476</v>
      </c>
      <c r="C960" s="447">
        <v>5061</v>
      </c>
      <c r="D960" s="596" t="str">
        <f>IFERROR(VLOOKUP($C960,'24.08_ND'!$A:$D,2,0),)</f>
        <v>PREGO DE ACO POLIDO COM CABECA 18 X 27 (2 1/2 X 10)</v>
      </c>
      <c r="E960" s="597" t="str">
        <f>IFERROR(VLOOKUP($C960,'24.08_ND'!$A:$D,3,0),)</f>
        <v>KG</v>
      </c>
      <c r="F960" s="385">
        <v>6.0000000000000001E-3</v>
      </c>
      <c r="G960" s="598">
        <f>IFERROR(VLOOKUP($C960,'24.08_ND'!$A:$D,4,0),)</f>
        <v>16.04</v>
      </c>
      <c r="H960" s="449">
        <f t="shared" si="39"/>
        <v>0.09</v>
      </c>
      <c r="I960" s="262"/>
      <c r="J960" s="262"/>
      <c r="K960" s="262"/>
      <c r="L960" s="262"/>
      <c r="M960" s="262"/>
      <c r="N960" s="262"/>
      <c r="O960" s="262"/>
      <c r="P960" s="262"/>
      <c r="Q960" s="262"/>
      <c r="R960" s="262"/>
      <c r="S960" s="262"/>
      <c r="T960" s="262"/>
      <c r="U960" s="262"/>
      <c r="V960" s="262"/>
      <c r="W960" s="262"/>
      <c r="X960" s="262"/>
      <c r="Y960" s="262"/>
      <c r="Z960" s="262"/>
      <c r="AA960" s="262"/>
      <c r="AB960" s="262"/>
    </row>
    <row r="961" spans="1:31" ht="25.5">
      <c r="A961" s="581" t="s">
        <v>14479</v>
      </c>
      <c r="B961" s="582" t="s">
        <v>14476</v>
      </c>
      <c r="C961" s="447">
        <v>5104</v>
      </c>
      <c r="D961" s="596" t="str">
        <f>IFERROR(VLOOKUP($C961,'24.08_ND'!$A:$D,2,0),)</f>
        <v>REBITE DE REPUXO EM ALUMINIO VAZADO, DIAMETRO 3,2 X 8 MM DE COMPRIMENTO (1KG = 1025 UNIDADES)</v>
      </c>
      <c r="E961" s="597" t="str">
        <f>IFERROR(VLOOKUP($C961,'24.08_ND'!$A:$D,3,0),)</f>
        <v>KG</v>
      </c>
      <c r="F961" s="385">
        <v>1.1999999999999999E-3</v>
      </c>
      <c r="G961" s="598">
        <f>IFERROR(VLOOKUP($C961,'24.08_ND'!$A:$D,4,0),)</f>
        <v>61.61</v>
      </c>
      <c r="H961" s="449">
        <f t="shared" si="39"/>
        <v>7.0000000000000007E-2</v>
      </c>
      <c r="I961" s="262"/>
      <c r="J961" s="262"/>
      <c r="K961" s="262"/>
      <c r="L961" s="262"/>
      <c r="M961" s="262"/>
      <c r="N961" s="262"/>
      <c r="O961" s="262"/>
      <c r="P961" s="262"/>
      <c r="Q961" s="262"/>
      <c r="R961" s="262"/>
      <c r="S961" s="262"/>
      <c r="T961" s="262"/>
      <c r="U961" s="262"/>
      <c r="V961" s="262"/>
      <c r="W961" s="262"/>
      <c r="X961" s="262"/>
      <c r="Y961" s="262"/>
      <c r="Z961" s="262"/>
      <c r="AA961" s="262"/>
      <c r="AB961" s="262"/>
    </row>
    <row r="962" spans="1:31" ht="25.5">
      <c r="A962" s="581" t="s">
        <v>14479</v>
      </c>
      <c r="B962" s="582" t="s">
        <v>14476</v>
      </c>
      <c r="C962" s="447">
        <v>142</v>
      </c>
      <c r="D962" s="596" t="str">
        <f>IFERROR(VLOOKUP($C962,'24.08_ND'!$A:$D,2,0),)</f>
        <v>SELANTE ELASTICO MONOCOMPONENTE A BASE DE POLIURETANO (PU) PARA JUNTAS DIVERSAS</v>
      </c>
      <c r="E962" s="597" t="str">
        <f>IFERROR(VLOOKUP($C962,'24.08_ND'!$A:$D,3,0),)</f>
        <v>310ML</v>
      </c>
      <c r="F962" s="385">
        <v>0.19800000000000001</v>
      </c>
      <c r="G962" s="598">
        <f>IFERROR(VLOOKUP($C962,'24.08_ND'!$A:$D,4,0),)</f>
        <v>34.200000000000003</v>
      </c>
      <c r="H962" s="449">
        <f t="shared" si="39"/>
        <v>6.77</v>
      </c>
      <c r="I962" s="262"/>
      <c r="J962" s="262"/>
      <c r="K962" s="262"/>
      <c r="L962" s="262"/>
      <c r="M962" s="262"/>
      <c r="N962" s="262"/>
      <c r="O962" s="262"/>
      <c r="P962" s="262"/>
      <c r="Q962" s="262"/>
      <c r="R962" s="262"/>
      <c r="S962" s="262"/>
      <c r="T962" s="262"/>
      <c r="U962" s="262"/>
      <c r="V962" s="262"/>
      <c r="W962" s="262"/>
      <c r="X962" s="262"/>
      <c r="Y962" s="262"/>
      <c r="Z962" s="262"/>
      <c r="AA962" s="262"/>
      <c r="AB962" s="262"/>
    </row>
    <row r="963" spans="1:31" ht="12.75">
      <c r="A963" s="581" t="s">
        <v>14479</v>
      </c>
      <c r="B963" s="582" t="s">
        <v>14476</v>
      </c>
      <c r="C963" s="447">
        <v>11002</v>
      </c>
      <c r="D963" s="596" t="str">
        <f>IFERROR(VLOOKUP($C963,'24.08_ND'!$A:$D,2,0),)</f>
        <v>ELETRODO REVESTIDO AWS - E6013, DIAMETRO IGUAL A 2,50 MM</v>
      </c>
      <c r="E963" s="597" t="str">
        <f>IFERROR(VLOOKUP($C963,'24.08_ND'!$A:$D,3,0),)</f>
        <v>KG</v>
      </c>
      <c r="F963" s="385">
        <v>4.4999999999999998E-2</v>
      </c>
      <c r="G963" s="598">
        <f>IFERROR(VLOOKUP($C963,'24.08_ND'!$A:$D,4,0),)</f>
        <v>31.31</v>
      </c>
      <c r="H963" s="449">
        <f t="shared" si="39"/>
        <v>1.4</v>
      </c>
      <c r="I963" s="262"/>
      <c r="J963" s="262"/>
      <c r="K963" s="262"/>
      <c r="L963" s="262"/>
      <c r="M963" s="262"/>
      <c r="N963" s="262"/>
      <c r="O963" s="262"/>
      <c r="P963" s="262"/>
      <c r="Q963" s="262"/>
      <c r="R963" s="262"/>
      <c r="S963" s="262"/>
      <c r="T963" s="262"/>
      <c r="U963" s="262"/>
      <c r="V963" s="262"/>
      <c r="W963" s="262"/>
      <c r="X963" s="262"/>
      <c r="Y963" s="262"/>
      <c r="Z963" s="262"/>
      <c r="AA963" s="262"/>
      <c r="AB963" s="262"/>
    </row>
    <row r="964" spans="1:31" ht="12.75">
      <c r="A964" s="309"/>
      <c r="B964" s="303"/>
      <c r="C964" s="303"/>
      <c r="D964" s="310"/>
      <c r="E964" s="303"/>
      <c r="F964" s="306"/>
      <c r="G964" s="307"/>
      <c r="H964" s="308"/>
      <c r="I964" s="262"/>
      <c r="J964" s="262"/>
      <c r="K964" s="262"/>
      <c r="L964" s="262"/>
      <c r="M964" s="262"/>
      <c r="N964" s="262"/>
      <c r="O964" s="262"/>
      <c r="P964" s="262"/>
      <c r="Q964" s="262"/>
      <c r="R964" s="262"/>
      <c r="S964" s="262"/>
      <c r="T964" s="262"/>
      <c r="U964" s="262"/>
      <c r="V964" s="262"/>
      <c r="W964" s="262"/>
      <c r="X964" s="262"/>
      <c r="Y964" s="262"/>
      <c r="Z964" s="262"/>
      <c r="AA964" s="262"/>
      <c r="AB964" s="262"/>
    </row>
    <row r="965" spans="1:31" ht="25.5">
      <c r="A965" s="358" t="s">
        <v>14471</v>
      </c>
      <c r="B965" s="359" t="s">
        <v>14472</v>
      </c>
      <c r="C965" s="273" t="s">
        <v>14834</v>
      </c>
      <c r="D965" s="361" t="s">
        <v>14835</v>
      </c>
      <c r="E965" s="359" t="s">
        <v>6</v>
      </c>
      <c r="F965" s="362"/>
      <c r="G965" s="362"/>
      <c r="H965" s="363">
        <f>SUM(H967:H970)</f>
        <v>323.8</v>
      </c>
      <c r="I965" s="276">
        <f>COUNTIF($C$8:$C965,C:C)</f>
        <v>1</v>
      </c>
      <c r="J965" s="262"/>
      <c r="K965" s="262"/>
      <c r="L965" s="262"/>
      <c r="M965" s="262"/>
      <c r="N965" s="262"/>
      <c r="O965" s="262"/>
      <c r="P965" s="262"/>
      <c r="Q965" s="262"/>
      <c r="R965" s="262"/>
      <c r="S965" s="262"/>
      <c r="T965" s="262"/>
      <c r="U965" s="262"/>
      <c r="V965" s="262"/>
      <c r="W965" s="262"/>
      <c r="X965" s="262"/>
      <c r="Y965" s="262"/>
      <c r="Z965" s="262"/>
      <c r="AA965" s="262"/>
      <c r="AB965" s="262"/>
    </row>
    <row r="966" spans="1:31" ht="12.75">
      <c r="A966" s="364" t="s">
        <v>14475</v>
      </c>
      <c r="B966" s="403" t="s">
        <v>14476</v>
      </c>
      <c r="C966" s="615" t="s">
        <v>14836</v>
      </c>
      <c r="D966" s="367" t="s">
        <v>14602</v>
      </c>
      <c r="E966" s="368"/>
      <c r="F966" s="369"/>
      <c r="G966" s="370"/>
      <c r="H966" s="371"/>
      <c r="I966" s="262"/>
      <c r="J966" s="262"/>
      <c r="K966" s="262"/>
      <c r="L966" s="262"/>
      <c r="M966" s="262"/>
      <c r="N966" s="262"/>
      <c r="O966" s="262"/>
      <c r="P966" s="262"/>
      <c r="Q966" s="262"/>
      <c r="R966" s="262"/>
      <c r="S966" s="262"/>
      <c r="T966" s="262"/>
      <c r="U966" s="262"/>
      <c r="V966" s="262"/>
      <c r="W966" s="262"/>
      <c r="X966" s="262"/>
      <c r="Y966" s="262"/>
      <c r="Z966" s="262"/>
      <c r="AA966" s="262"/>
      <c r="AB966" s="262"/>
    </row>
    <row r="967" spans="1:31" ht="25.5">
      <c r="A967" s="372" t="s">
        <v>14478</v>
      </c>
      <c r="B967" s="373" t="s">
        <v>14476</v>
      </c>
      <c r="C967" s="374">
        <v>88267</v>
      </c>
      <c r="D967" s="288" t="str">
        <f>IFERROR(VLOOKUP($C967,'24.08_ND'!$A:$D,2,0),)</f>
        <v>ENCANADOR OU BOMBEIRO HIDRÁULICO COM ENCARGOS COMPLEMENTARES</v>
      </c>
      <c r="E967" s="289" t="str">
        <f>IFERROR(VLOOKUP($C967,'24.08_ND'!$A:$D,3,0),)</f>
        <v>H</v>
      </c>
      <c r="F967" s="375">
        <v>0.1164</v>
      </c>
      <c r="G967" s="291">
        <f>IFERROR(VLOOKUP($C967,'24.08_ND'!$A:$D,4,0),)</f>
        <v>23.27</v>
      </c>
      <c r="H967" s="292">
        <f>TRUNC(($F967*$G967),2)</f>
        <v>2.7</v>
      </c>
      <c r="I967" s="262"/>
      <c r="J967" s="262"/>
      <c r="K967" s="262"/>
      <c r="L967" s="262"/>
      <c r="M967" s="262"/>
      <c r="N967" s="262"/>
      <c r="O967" s="262"/>
      <c r="P967" s="262"/>
      <c r="Q967" s="262"/>
      <c r="R967" s="262"/>
      <c r="S967" s="262"/>
      <c r="T967" s="262"/>
      <c r="U967" s="262"/>
      <c r="V967" s="262"/>
      <c r="W967" s="262"/>
      <c r="X967" s="262"/>
      <c r="Y967" s="262"/>
      <c r="Z967" s="262"/>
      <c r="AA967" s="262"/>
      <c r="AB967" s="262"/>
      <c r="AD967" s="1791" t="e">
        <f>VLOOKUP(C967,'Medição '!$B$16:$F$1833,6,0)</f>
        <v>#N/A</v>
      </c>
      <c r="AE967" s="1791"/>
    </row>
    <row r="968" spans="1:31" ht="25.5">
      <c r="A968" s="372" t="s">
        <v>14478</v>
      </c>
      <c r="B968" s="373" t="s">
        <v>14476</v>
      </c>
      <c r="C968" s="374">
        <v>88316</v>
      </c>
      <c r="D968" s="288" t="str">
        <f>IFERROR(VLOOKUP($C968,'24.08_ND'!$A:$D,2,0),)</f>
        <v>SERVENTE COM ENCARGOS COMPLEMENTARES</v>
      </c>
      <c r="E968" s="289" t="str">
        <f>IFERROR(VLOOKUP($C968,'24.08_ND'!$A:$D,3,0),)</f>
        <v>H</v>
      </c>
      <c r="F968" s="375">
        <v>3.6700000000000003E-2</v>
      </c>
      <c r="G968" s="291">
        <f>IFERROR(VLOOKUP($C968,'24.08_ND'!$A:$D,4,0),)</f>
        <v>18.510000000000002</v>
      </c>
      <c r="H968" s="292">
        <f>TRUNC(($F968*$G968),2)</f>
        <v>0.67</v>
      </c>
      <c r="I968" s="262"/>
      <c r="J968" s="262"/>
      <c r="K968" s="262"/>
      <c r="L968" s="262"/>
      <c r="M968" s="262"/>
      <c r="N968" s="262"/>
      <c r="O968" s="262"/>
      <c r="P968" s="262"/>
      <c r="Q968" s="262"/>
      <c r="R968" s="262"/>
      <c r="S968" s="262"/>
      <c r="T968" s="262"/>
      <c r="U968" s="262"/>
      <c r="V968" s="262"/>
      <c r="W968" s="262"/>
      <c r="X968" s="262"/>
      <c r="Y968" s="262"/>
      <c r="Z968" s="262"/>
      <c r="AA968" s="262"/>
      <c r="AB968" s="262"/>
      <c r="AD968" s="1791" t="e">
        <f>VLOOKUP(C968,'Medição '!$B$16:$F$1833,6,0)</f>
        <v>#N/A</v>
      </c>
      <c r="AE968" s="1791"/>
    </row>
    <row r="969" spans="1:31" ht="12.75">
      <c r="A969" s="581" t="s">
        <v>14479</v>
      </c>
      <c r="B969" s="582" t="s">
        <v>14476</v>
      </c>
      <c r="C969" s="447">
        <v>3146</v>
      </c>
      <c r="D969" s="596" t="str">
        <f>IFERROR(VLOOKUP($C969,'24.08_ND'!$A:$D,2,0),)</f>
        <v>FITA VEDA ROSCA EM ROLOS DE 18 MM X 10 M (L X C)</v>
      </c>
      <c r="E969" s="597" t="str">
        <f>IFERROR(VLOOKUP($C969,'24.08_ND'!$A:$D,3,0),)</f>
        <v>UN</v>
      </c>
      <c r="F969" s="385">
        <v>2.1000000000000001E-2</v>
      </c>
      <c r="G969" s="598">
        <f>IFERROR(VLOOKUP($C969,'24.08_ND'!$A:$D,4,0),)</f>
        <v>3.59</v>
      </c>
      <c r="H969" s="449">
        <f>TRUNC(($F969*$G969),2)</f>
        <v>7.0000000000000007E-2</v>
      </c>
      <c r="I969" s="262"/>
      <c r="J969" s="262"/>
      <c r="K969" s="262"/>
      <c r="L969" s="262"/>
      <c r="M969" s="262"/>
      <c r="N969" s="262"/>
      <c r="O969" s="262"/>
      <c r="P969" s="262"/>
      <c r="Q969" s="262"/>
      <c r="R969" s="262"/>
      <c r="S969" s="262"/>
      <c r="T969" s="262"/>
      <c r="U969" s="262"/>
      <c r="V969" s="262"/>
      <c r="W969" s="262"/>
      <c r="X969" s="262"/>
      <c r="Y969" s="262"/>
      <c r="Z969" s="262"/>
      <c r="AA969" s="262"/>
      <c r="AB969" s="262"/>
    </row>
    <row r="970" spans="1:31" ht="12.75">
      <c r="A970" s="599" t="s">
        <v>14479</v>
      </c>
      <c r="B970" s="600" t="s">
        <v>14491</v>
      </c>
      <c r="C970" s="614" t="s">
        <v>14837</v>
      </c>
      <c r="D970" s="601" t="str">
        <f>VLOOKUP($C970,'09 - MC'!$A:$F,2,0)</f>
        <v>TORNEIRA DE PAREDE SINGLE ONE</v>
      </c>
      <c r="E970" s="602" t="str">
        <f>VLOOKUP($C970,'09 - MC'!$A:$F,3,0)</f>
        <v>UN</v>
      </c>
      <c r="F970" s="603">
        <v>1</v>
      </c>
      <c r="G970" s="604">
        <f>VLOOKUP($C970,'09 - MC'!$A:$F,6,0)</f>
        <v>320.36</v>
      </c>
      <c r="H970" s="605">
        <f>TRUNC(G970*F970,2)</f>
        <v>320.36</v>
      </c>
      <c r="I970" s="262"/>
      <c r="J970" s="262"/>
      <c r="K970" s="262"/>
      <c r="L970" s="262"/>
      <c r="M970" s="262"/>
      <c r="N970" s="262"/>
      <c r="O970" s="262"/>
      <c r="P970" s="262"/>
      <c r="Q970" s="262"/>
      <c r="R970" s="262"/>
      <c r="S970" s="262"/>
      <c r="T970" s="262"/>
      <c r="U970" s="262"/>
      <c r="V970" s="262"/>
      <c r="W970" s="262"/>
      <c r="X970" s="262"/>
      <c r="Y970" s="262"/>
      <c r="Z970" s="262"/>
      <c r="AA970" s="262"/>
      <c r="AB970" s="262"/>
    </row>
    <row r="971" spans="1:31" ht="12.75">
      <c r="A971" s="309"/>
      <c r="B971" s="303"/>
      <c r="C971" s="303"/>
      <c r="D971" s="310"/>
      <c r="E971" s="303"/>
      <c r="F971" s="306"/>
      <c r="G971" s="307"/>
      <c r="H971" s="308"/>
      <c r="I971" s="262"/>
      <c r="J971" s="262"/>
      <c r="K971" s="262"/>
      <c r="L971" s="262"/>
      <c r="M971" s="262"/>
      <c r="N971" s="262"/>
      <c r="O971" s="262"/>
      <c r="P971" s="262"/>
      <c r="Q971" s="262"/>
      <c r="R971" s="262"/>
      <c r="S971" s="262"/>
      <c r="T971" s="262"/>
      <c r="U971" s="262"/>
      <c r="V971" s="262"/>
      <c r="W971" s="262"/>
      <c r="X971" s="262"/>
      <c r="Y971" s="262"/>
      <c r="Z971" s="262"/>
      <c r="AA971" s="262"/>
      <c r="AB971" s="262"/>
    </row>
    <row r="972" spans="1:31" ht="25.5">
      <c r="A972" s="358" t="s">
        <v>14471</v>
      </c>
      <c r="B972" s="359" t="s">
        <v>14472</v>
      </c>
      <c r="C972" s="273" t="s">
        <v>14838</v>
      </c>
      <c r="D972" s="361" t="s">
        <v>14839</v>
      </c>
      <c r="E972" s="359" t="s">
        <v>6</v>
      </c>
      <c r="F972" s="362"/>
      <c r="G972" s="362"/>
      <c r="H972" s="363">
        <f>SUM(H974:H977)</f>
        <v>389.53</v>
      </c>
      <c r="I972" s="276">
        <f>COUNTIF($C$8:$C972,C:C)</f>
        <v>1</v>
      </c>
      <c r="J972" s="262"/>
      <c r="K972" s="262"/>
      <c r="L972" s="262"/>
      <c r="M972" s="262"/>
      <c r="N972" s="262"/>
      <c r="O972" s="262"/>
      <c r="P972" s="262"/>
      <c r="Q972" s="262"/>
      <c r="R972" s="262"/>
      <c r="S972" s="262"/>
      <c r="T972" s="262"/>
      <c r="U972" s="262"/>
      <c r="V972" s="262"/>
      <c r="W972" s="262"/>
      <c r="X972" s="262"/>
      <c r="Y972" s="262"/>
      <c r="Z972" s="262"/>
      <c r="AA972" s="262"/>
      <c r="AB972" s="262"/>
    </row>
    <row r="973" spans="1:31" ht="12.75">
      <c r="A973" s="364" t="s">
        <v>14475</v>
      </c>
      <c r="B973" s="403" t="s">
        <v>14476</v>
      </c>
      <c r="C973" s="615" t="s">
        <v>14836</v>
      </c>
      <c r="D973" s="367" t="s">
        <v>14602</v>
      </c>
      <c r="E973" s="368"/>
      <c r="F973" s="369"/>
      <c r="G973" s="370"/>
      <c r="H973" s="371"/>
      <c r="I973" s="262"/>
      <c r="J973" s="262"/>
      <c r="K973" s="262"/>
      <c r="L973" s="262"/>
      <c r="M973" s="262"/>
      <c r="N973" s="262"/>
      <c r="O973" s="262"/>
      <c r="P973" s="262"/>
      <c r="Q973" s="262"/>
      <c r="R973" s="262"/>
      <c r="S973" s="262"/>
      <c r="T973" s="262"/>
      <c r="U973" s="262"/>
      <c r="V973" s="262"/>
      <c r="W973" s="262"/>
      <c r="X973" s="262"/>
      <c r="Y973" s="262"/>
      <c r="Z973" s="262"/>
      <c r="AA973" s="262"/>
      <c r="AB973" s="262"/>
    </row>
    <row r="974" spans="1:31" ht="25.5">
      <c r="A974" s="372" t="s">
        <v>14478</v>
      </c>
      <c r="B974" s="373" t="s">
        <v>14476</v>
      </c>
      <c r="C974" s="374">
        <v>88267</v>
      </c>
      <c r="D974" s="288" t="str">
        <f>IFERROR(VLOOKUP($C974,'24.08_ND'!$A:$D,2,0),)</f>
        <v>ENCANADOR OU BOMBEIRO HIDRÁULICO COM ENCARGOS COMPLEMENTARES</v>
      </c>
      <c r="E974" s="289" t="str">
        <f>IFERROR(VLOOKUP($C974,'24.08_ND'!$A:$D,3,0),)</f>
        <v>H</v>
      </c>
      <c r="F974" s="375">
        <v>0.1164</v>
      </c>
      <c r="G974" s="291">
        <f>IFERROR(VLOOKUP($C974,'24.08_ND'!$A:$D,4,0),)</f>
        <v>23.27</v>
      </c>
      <c r="H974" s="292">
        <f>TRUNC(($F974*$G974),2)</f>
        <v>2.7</v>
      </c>
      <c r="I974" s="262"/>
      <c r="J974" s="262"/>
      <c r="K974" s="262"/>
      <c r="L974" s="262"/>
      <c r="M974" s="262"/>
      <c r="N974" s="262"/>
      <c r="O974" s="262"/>
      <c r="P974" s="262"/>
      <c r="Q974" s="262"/>
      <c r="R974" s="262"/>
      <c r="S974" s="262"/>
      <c r="T974" s="262"/>
      <c r="U974" s="262"/>
      <c r="V974" s="262"/>
      <c r="W974" s="262"/>
      <c r="X974" s="262"/>
      <c r="Y974" s="262"/>
      <c r="Z974" s="262"/>
      <c r="AA974" s="262"/>
      <c r="AB974" s="262"/>
      <c r="AD974" s="1791" t="e">
        <f>VLOOKUP(C974,'Medição '!$B$16:$F$1833,6,0)</f>
        <v>#N/A</v>
      </c>
      <c r="AE974" s="1791"/>
    </row>
    <row r="975" spans="1:31" ht="25.5">
      <c r="A975" s="372" t="s">
        <v>14478</v>
      </c>
      <c r="B975" s="373" t="s">
        <v>14476</v>
      </c>
      <c r="C975" s="374">
        <v>88316</v>
      </c>
      <c r="D975" s="288" t="str">
        <f>IFERROR(VLOOKUP($C975,'24.08_ND'!$A:$D,2,0),)</f>
        <v>SERVENTE COM ENCARGOS COMPLEMENTARES</v>
      </c>
      <c r="E975" s="289" t="str">
        <f>IFERROR(VLOOKUP($C975,'24.08_ND'!$A:$D,3,0),)</f>
        <v>H</v>
      </c>
      <c r="F975" s="375">
        <v>3.6700000000000003E-2</v>
      </c>
      <c r="G975" s="291">
        <f>IFERROR(VLOOKUP($C975,'24.08_ND'!$A:$D,4,0),)</f>
        <v>18.510000000000002</v>
      </c>
      <c r="H975" s="292">
        <f>TRUNC(($F975*$G975),2)</f>
        <v>0.67</v>
      </c>
      <c r="I975" s="262"/>
      <c r="J975" s="262"/>
      <c r="K975" s="262"/>
      <c r="L975" s="262"/>
      <c r="M975" s="262"/>
      <c r="N975" s="262"/>
      <c r="O975" s="262"/>
      <c r="P975" s="262"/>
      <c r="Q975" s="262"/>
      <c r="R975" s="262"/>
      <c r="S975" s="262"/>
      <c r="T975" s="262"/>
      <c r="U975" s="262"/>
      <c r="V975" s="262"/>
      <c r="W975" s="262"/>
      <c r="X975" s="262"/>
      <c r="Y975" s="262"/>
      <c r="Z975" s="262"/>
      <c r="AA975" s="262"/>
      <c r="AB975" s="262"/>
      <c r="AD975" s="1791" t="e">
        <f>VLOOKUP(C975,'Medição '!$B$16:$F$1833,6,0)</f>
        <v>#N/A</v>
      </c>
      <c r="AE975" s="1791"/>
    </row>
    <row r="976" spans="1:31" ht="12.75">
      <c r="A976" s="581" t="s">
        <v>14479</v>
      </c>
      <c r="B976" s="582" t="s">
        <v>14476</v>
      </c>
      <c r="C976" s="447">
        <v>3146</v>
      </c>
      <c r="D976" s="596" t="str">
        <f>IFERROR(VLOOKUP($C976,'24.08_ND'!$A:$D,2,0),)</f>
        <v>FITA VEDA ROSCA EM ROLOS DE 18 MM X 10 M (L X C)</v>
      </c>
      <c r="E976" s="597" t="str">
        <f>IFERROR(VLOOKUP($C976,'24.08_ND'!$A:$D,3,0),)</f>
        <v>UN</v>
      </c>
      <c r="F976" s="385">
        <v>2.1000000000000001E-2</v>
      </c>
      <c r="G976" s="598">
        <f>IFERROR(VLOOKUP($C976,'24.08_ND'!$A:$D,4,0),)</f>
        <v>3.59</v>
      </c>
      <c r="H976" s="449">
        <f>TRUNC(($F976*$G976),2)</f>
        <v>7.0000000000000007E-2</v>
      </c>
      <c r="I976" s="262"/>
      <c r="J976" s="262"/>
      <c r="K976" s="262"/>
      <c r="L976" s="262"/>
      <c r="M976" s="262"/>
      <c r="N976" s="262"/>
      <c r="O976" s="262"/>
      <c r="P976" s="262"/>
      <c r="Q976" s="262"/>
      <c r="R976" s="262"/>
      <c r="S976" s="262"/>
      <c r="T976" s="262"/>
      <c r="U976" s="262"/>
      <c r="V976" s="262"/>
      <c r="W976" s="262"/>
      <c r="X976" s="262"/>
      <c r="Y976" s="262"/>
      <c r="Z976" s="262"/>
      <c r="AA976" s="262"/>
      <c r="AB976" s="262"/>
    </row>
    <row r="977" spans="1:31" ht="12.75">
      <c r="A977" s="599" t="s">
        <v>14479</v>
      </c>
      <c r="B977" s="600" t="s">
        <v>14491</v>
      </c>
      <c r="C977" s="614" t="s">
        <v>14840</v>
      </c>
      <c r="D977" s="601" t="str">
        <f>VLOOKUP($C977,'09 - MC'!$A:$F,2,0)</f>
        <v>TORNEIRA AUTOMÁTICA PAREDE REDUTOR PRESSÃO ECONÔMICO METAL</v>
      </c>
      <c r="E977" s="602" t="str">
        <f>VLOOKUP($C977,'09 - MC'!$A:$F,3,0)</f>
        <v>UN</v>
      </c>
      <c r="F977" s="603">
        <v>1</v>
      </c>
      <c r="G977" s="604">
        <f>VLOOKUP($C977,'09 - MC'!$A:$F,6,0)</f>
        <v>386.09</v>
      </c>
      <c r="H977" s="605">
        <f>TRUNC(G977*F977,2)</f>
        <v>386.09</v>
      </c>
      <c r="I977" s="262"/>
      <c r="J977" s="262"/>
      <c r="K977" s="262"/>
      <c r="L977" s="262"/>
      <c r="M977" s="262"/>
      <c r="N977" s="262"/>
      <c r="O977" s="262"/>
      <c r="P977" s="262"/>
      <c r="Q977" s="262"/>
      <c r="R977" s="262"/>
      <c r="S977" s="262"/>
      <c r="T977" s="262"/>
      <c r="U977" s="262"/>
      <c r="V977" s="262"/>
      <c r="W977" s="262"/>
      <c r="X977" s="262"/>
      <c r="Y977" s="262"/>
      <c r="Z977" s="262"/>
      <c r="AA977" s="262"/>
      <c r="AB977" s="262"/>
    </row>
    <row r="978" spans="1:31" ht="12.75">
      <c r="A978" s="309"/>
      <c r="B978" s="303"/>
      <c r="C978" s="303"/>
      <c r="D978" s="310"/>
      <c r="E978" s="303"/>
      <c r="F978" s="306"/>
      <c r="G978" s="307"/>
      <c r="H978" s="308"/>
      <c r="I978" s="262"/>
      <c r="J978" s="262"/>
      <c r="K978" s="262"/>
      <c r="L978" s="262"/>
      <c r="M978" s="262"/>
      <c r="N978" s="262"/>
      <c r="O978" s="262"/>
      <c r="P978" s="262"/>
      <c r="Q978" s="262"/>
      <c r="R978" s="262"/>
      <c r="S978" s="262"/>
      <c r="T978" s="262"/>
      <c r="U978" s="262"/>
      <c r="V978" s="262"/>
      <c r="W978" s="262"/>
      <c r="X978" s="262"/>
      <c r="Y978" s="262"/>
      <c r="Z978" s="262"/>
      <c r="AA978" s="262"/>
      <c r="AB978" s="262"/>
    </row>
    <row r="979" spans="1:31" ht="25.5">
      <c r="A979" s="358" t="s">
        <v>14471</v>
      </c>
      <c r="B979" s="359" t="s">
        <v>14472</v>
      </c>
      <c r="C979" s="273" t="s">
        <v>14841</v>
      </c>
      <c r="D979" s="361" t="s">
        <v>14842</v>
      </c>
      <c r="E979" s="359" t="s">
        <v>6</v>
      </c>
      <c r="F979" s="362"/>
      <c r="G979" s="362"/>
      <c r="H979" s="363">
        <f>SUM(H981:H985)</f>
        <v>292.46999999999997</v>
      </c>
      <c r="I979" s="276">
        <f>COUNTIF($C$8:$C979,C:C)</f>
        <v>1</v>
      </c>
      <c r="J979" s="262"/>
      <c r="K979" s="262"/>
      <c r="L979" s="262"/>
      <c r="M979" s="262"/>
      <c r="N979" s="262"/>
      <c r="O979" s="262"/>
      <c r="P979" s="262"/>
      <c r="Q979" s="262"/>
      <c r="R979" s="262"/>
      <c r="S979" s="262"/>
      <c r="T979" s="262"/>
      <c r="U979" s="262"/>
      <c r="V979" s="262"/>
      <c r="W979" s="262"/>
      <c r="X979" s="262"/>
      <c r="Y979" s="262"/>
      <c r="Z979" s="262"/>
      <c r="AA979" s="262"/>
      <c r="AB979" s="262"/>
    </row>
    <row r="980" spans="1:31" ht="12.75">
      <c r="A980" s="364" t="s">
        <v>14475</v>
      </c>
      <c r="B980" s="403" t="s">
        <v>14476</v>
      </c>
      <c r="C980" s="404">
        <v>100860</v>
      </c>
      <c r="D980" s="367" t="s">
        <v>14602</v>
      </c>
      <c r="E980" s="368"/>
      <c r="F980" s="369"/>
      <c r="G980" s="370"/>
      <c r="H980" s="371"/>
      <c r="I980" s="262"/>
      <c r="J980" s="262"/>
      <c r="K980" s="262"/>
      <c r="L980" s="262"/>
      <c r="M980" s="262"/>
      <c r="N980" s="262"/>
      <c r="O980" s="262"/>
      <c r="P980" s="262"/>
      <c r="Q980" s="262"/>
      <c r="R980" s="262"/>
      <c r="S980" s="262"/>
      <c r="T980" s="262"/>
      <c r="U980" s="262"/>
      <c r="V980" s="262"/>
      <c r="W980" s="262"/>
      <c r="X980" s="262"/>
      <c r="Y980" s="262"/>
      <c r="Z980" s="262"/>
      <c r="AA980" s="262"/>
      <c r="AB980" s="262"/>
    </row>
    <row r="981" spans="1:31" ht="25.5">
      <c r="A981" s="372" t="s">
        <v>14478</v>
      </c>
      <c r="B981" s="373" t="s">
        <v>14476</v>
      </c>
      <c r="C981" s="374">
        <v>88267</v>
      </c>
      <c r="D981" s="288" t="str">
        <f>IFERROR(VLOOKUP($C981,'24.08_ND'!$A:$D,2,0),)</f>
        <v>ENCANADOR OU BOMBEIRO HIDRÁULICO COM ENCARGOS COMPLEMENTARES</v>
      </c>
      <c r="E981" s="289" t="str">
        <f>IFERROR(VLOOKUP($C981,'24.08_ND'!$A:$D,3,0),)</f>
        <v>H</v>
      </c>
      <c r="F981" s="375">
        <v>0.25</v>
      </c>
      <c r="G981" s="291">
        <f>IFERROR(VLOOKUP($C981,'24.08_ND'!$A:$D,4,0),)</f>
        <v>23.27</v>
      </c>
      <c r="H981" s="292">
        <f>TRUNC(($F981*$G981),2)</f>
        <v>5.81</v>
      </c>
      <c r="I981" s="262"/>
      <c r="J981" s="262"/>
      <c r="K981" s="262"/>
      <c r="L981" s="262"/>
      <c r="M981" s="262"/>
      <c r="N981" s="262"/>
      <c r="O981" s="262"/>
      <c r="P981" s="262"/>
      <c r="Q981" s="262"/>
      <c r="R981" s="262"/>
      <c r="S981" s="262"/>
      <c r="T981" s="262"/>
      <c r="U981" s="262"/>
      <c r="V981" s="262"/>
      <c r="W981" s="262"/>
      <c r="X981" s="262"/>
      <c r="Y981" s="262"/>
      <c r="Z981" s="262"/>
      <c r="AA981" s="262"/>
      <c r="AB981" s="262"/>
      <c r="AD981" s="1791" t="e">
        <f>VLOOKUP(C981,'Medição '!$B$16:$F$1833,6,0)</f>
        <v>#N/A</v>
      </c>
      <c r="AE981" s="1791"/>
    </row>
    <row r="982" spans="1:31" ht="25.5">
      <c r="A982" s="372" t="s">
        <v>14478</v>
      </c>
      <c r="B982" s="373" t="s">
        <v>14476</v>
      </c>
      <c r="C982" s="374">
        <v>88264</v>
      </c>
      <c r="D982" s="288" t="str">
        <f>IFERROR(VLOOKUP($C982,'24.08_ND'!$A:$D,2,0),)</f>
        <v>ELETRICISTA COM ENCARGOS COMPLEMENTARES</v>
      </c>
      <c r="E982" s="289" t="str">
        <f>IFERROR(VLOOKUP($C982,'24.08_ND'!$A:$D,3,0),)</f>
        <v>H</v>
      </c>
      <c r="F982" s="375">
        <v>0.3</v>
      </c>
      <c r="G982" s="291">
        <f>IFERROR(VLOOKUP($C982,'24.08_ND'!$A:$D,4,0),)</f>
        <v>24.3</v>
      </c>
      <c r="H982" s="292">
        <f>TRUNC(($F982*$G982),2)</f>
        <v>7.29</v>
      </c>
      <c r="I982" s="262"/>
      <c r="J982" s="262"/>
      <c r="K982" s="262"/>
      <c r="L982" s="262"/>
      <c r="M982" s="262"/>
      <c r="N982" s="262"/>
      <c r="O982" s="262"/>
      <c r="P982" s="262"/>
      <c r="Q982" s="262"/>
      <c r="R982" s="262"/>
      <c r="S982" s="262"/>
      <c r="T982" s="262"/>
      <c r="U982" s="262"/>
      <c r="V982" s="262"/>
      <c r="W982" s="262"/>
      <c r="X982" s="262"/>
      <c r="Y982" s="262"/>
      <c r="Z982" s="262"/>
      <c r="AA982" s="262"/>
      <c r="AB982" s="262"/>
      <c r="AD982" s="1791" t="e">
        <f>VLOOKUP(C982,'Medição '!$B$16:$F$1833,6,0)</f>
        <v>#N/A</v>
      </c>
      <c r="AE982" s="1791"/>
    </row>
    <row r="983" spans="1:31" ht="25.5">
      <c r="A983" s="372" t="s">
        <v>14478</v>
      </c>
      <c r="B983" s="373" t="s">
        <v>14476</v>
      </c>
      <c r="C983" s="374">
        <v>88316</v>
      </c>
      <c r="D983" s="288" t="str">
        <f>IFERROR(VLOOKUP($C983,'24.08_ND'!$A:$D,2,0),)</f>
        <v>SERVENTE COM ENCARGOS COMPLEMENTARES</v>
      </c>
      <c r="E983" s="289" t="str">
        <f>IFERROR(VLOOKUP($C983,'24.08_ND'!$A:$D,3,0),)</f>
        <v>H</v>
      </c>
      <c r="F983" s="375">
        <v>0.14069999999999999</v>
      </c>
      <c r="G983" s="291">
        <f>IFERROR(VLOOKUP($C983,'24.08_ND'!$A:$D,4,0),)</f>
        <v>18.510000000000002</v>
      </c>
      <c r="H983" s="292">
        <f>TRUNC(($F983*$G983),2)</f>
        <v>2.6</v>
      </c>
      <c r="I983" s="262"/>
      <c r="J983" s="262"/>
      <c r="K983" s="262"/>
      <c r="L983" s="262"/>
      <c r="M983" s="262"/>
      <c r="N983" s="262"/>
      <c r="O983" s="262"/>
      <c r="P983" s="262"/>
      <c r="Q983" s="262"/>
      <c r="R983" s="262"/>
      <c r="S983" s="262"/>
      <c r="T983" s="262"/>
      <c r="U983" s="262"/>
      <c r="V983" s="262"/>
      <c r="W983" s="262"/>
      <c r="X983" s="262"/>
      <c r="Y983" s="262"/>
      <c r="Z983" s="262"/>
      <c r="AA983" s="262"/>
      <c r="AB983" s="262"/>
      <c r="AD983" s="1791" t="e">
        <f>VLOOKUP(C983,'Medição '!$B$16:$F$1833,6,0)</f>
        <v>#N/A</v>
      </c>
      <c r="AE983" s="1791"/>
    </row>
    <row r="984" spans="1:31" ht="12.75">
      <c r="A984" s="581" t="s">
        <v>14479</v>
      </c>
      <c r="B984" s="582" t="s">
        <v>14476</v>
      </c>
      <c r="C984" s="447">
        <v>3146</v>
      </c>
      <c r="D984" s="596" t="str">
        <f>IFERROR(VLOOKUP($C984,'24.08_ND'!$A:$D,2,0),)</f>
        <v>FITA VEDA ROSCA EM ROLOS DE 18 MM X 10 M (L X C)</v>
      </c>
      <c r="E984" s="597" t="str">
        <f>IFERROR(VLOOKUP($C984,'24.08_ND'!$A:$D,3,0),)</f>
        <v>UN</v>
      </c>
      <c r="F984" s="385">
        <v>2.1000000000000001E-2</v>
      </c>
      <c r="G984" s="598">
        <f>IFERROR(VLOOKUP($C984,'24.08_ND'!$A:$D,4,0),)</f>
        <v>3.59</v>
      </c>
      <c r="H984" s="449">
        <f>TRUNC(($F984*$G984),2)</f>
        <v>7.0000000000000007E-2</v>
      </c>
      <c r="I984" s="262"/>
      <c r="J984" s="262"/>
      <c r="K984" s="262"/>
      <c r="L984" s="262"/>
      <c r="M984" s="262"/>
      <c r="N984" s="262"/>
      <c r="O984" s="262"/>
      <c r="P984" s="262"/>
      <c r="Q984" s="262"/>
      <c r="R984" s="262"/>
      <c r="S984" s="262"/>
      <c r="T984" s="262"/>
      <c r="U984" s="262"/>
      <c r="V984" s="262"/>
      <c r="W984" s="262"/>
      <c r="X984" s="262"/>
      <c r="Y984" s="262"/>
      <c r="Z984" s="262"/>
      <c r="AA984" s="262"/>
      <c r="AB984" s="262"/>
    </row>
    <row r="985" spans="1:31" ht="12.75">
      <c r="A985" s="581" t="s">
        <v>14479</v>
      </c>
      <c r="B985" s="582" t="s">
        <v>14476</v>
      </c>
      <c r="C985" s="447">
        <v>1367</v>
      </c>
      <c r="D985" s="596" t="str">
        <f>IFERROR(VLOOKUP($C985,'24.08_ND'!$A:$D,2,0),)</f>
        <v>CHUVEIRO COMUM EM PLASTICO CROMADO, COM CANO, 4 TEMPERATURAS (110/220 V)</v>
      </c>
      <c r="E985" s="597" t="str">
        <f>IFERROR(VLOOKUP($C985,'24.08_ND'!$A:$D,3,0),)</f>
        <v>UN</v>
      </c>
      <c r="F985" s="385">
        <v>1</v>
      </c>
      <c r="G985" s="598">
        <f>IFERROR(VLOOKUP($C985,'24.08_ND'!$A:$D,4,0),)</f>
        <v>276.7</v>
      </c>
      <c r="H985" s="449">
        <f>TRUNC(($F985*$G985),2)</f>
        <v>276.7</v>
      </c>
      <c r="I985" s="262"/>
      <c r="J985" s="262"/>
      <c r="K985" s="262"/>
      <c r="L985" s="262"/>
      <c r="M985" s="262"/>
      <c r="N985" s="262"/>
      <c r="O985" s="262"/>
      <c r="P985" s="262"/>
      <c r="Q985" s="262"/>
      <c r="R985" s="262"/>
      <c r="S985" s="262"/>
      <c r="T985" s="262"/>
      <c r="U985" s="262"/>
      <c r="V985" s="262"/>
      <c r="W985" s="262"/>
      <c r="X985" s="262"/>
      <c r="Y985" s="262"/>
      <c r="Z985" s="262"/>
      <c r="AA985" s="262"/>
      <c r="AB985" s="262"/>
    </row>
    <row r="986" spans="1:31" ht="12.75">
      <c r="A986" s="309"/>
      <c r="B986" s="303"/>
      <c r="C986" s="303"/>
      <c r="D986" s="310"/>
      <c r="E986" s="303"/>
      <c r="F986" s="306"/>
      <c r="G986" s="307"/>
      <c r="H986" s="308"/>
      <c r="I986" s="262"/>
      <c r="J986" s="262"/>
      <c r="K986" s="262"/>
      <c r="L986" s="262"/>
      <c r="M986" s="262"/>
      <c r="N986" s="262"/>
      <c r="O986" s="262"/>
      <c r="P986" s="262"/>
      <c r="Q986" s="262"/>
      <c r="R986" s="262"/>
      <c r="S986" s="262"/>
      <c r="T986" s="262"/>
      <c r="U986" s="262"/>
      <c r="V986" s="262"/>
      <c r="W986" s="262"/>
      <c r="X986" s="262"/>
      <c r="Y986" s="262"/>
      <c r="Z986" s="262"/>
      <c r="AA986" s="262"/>
      <c r="AB986" s="262"/>
    </row>
    <row r="987" spans="1:31" ht="25.5">
      <c r="A987" s="358" t="s">
        <v>14471</v>
      </c>
      <c r="B987" s="359" t="s">
        <v>14472</v>
      </c>
      <c r="C987" s="273" t="s">
        <v>14843</v>
      </c>
      <c r="D987" s="361" t="s">
        <v>14844</v>
      </c>
      <c r="E987" s="359" t="s">
        <v>6</v>
      </c>
      <c r="F987" s="362"/>
      <c r="G987" s="362"/>
      <c r="H987" s="363">
        <f>SUM(H989:H992)</f>
        <v>374.36</v>
      </c>
      <c r="I987" s="276">
        <f>COUNTIF($C$8:$C987,C:C)</f>
        <v>1</v>
      </c>
      <c r="J987" s="262"/>
      <c r="K987" s="262"/>
      <c r="L987" s="262"/>
      <c r="M987" s="262"/>
      <c r="N987" s="262"/>
      <c r="O987" s="262"/>
      <c r="P987" s="262"/>
      <c r="Q987" s="262"/>
      <c r="R987" s="262"/>
      <c r="S987" s="262"/>
      <c r="T987" s="262"/>
      <c r="U987" s="262"/>
      <c r="V987" s="262"/>
      <c r="W987" s="262"/>
      <c r="X987" s="262"/>
      <c r="Y987" s="262"/>
      <c r="Z987" s="262"/>
      <c r="AA987" s="262"/>
      <c r="AB987" s="262"/>
    </row>
    <row r="988" spans="1:31" ht="12.75">
      <c r="A988" s="364" t="s">
        <v>14475</v>
      </c>
      <c r="B988" s="403" t="s">
        <v>14476</v>
      </c>
      <c r="C988" s="404">
        <v>100860</v>
      </c>
      <c r="D988" s="367" t="s">
        <v>14602</v>
      </c>
      <c r="E988" s="368"/>
      <c r="F988" s="369"/>
      <c r="G988" s="370"/>
      <c r="H988" s="371"/>
      <c r="I988" s="262"/>
      <c r="J988" s="262"/>
      <c r="K988" s="262"/>
      <c r="L988" s="262"/>
      <c r="M988" s="262"/>
      <c r="N988" s="262"/>
      <c r="O988" s="262"/>
      <c r="P988" s="262"/>
      <c r="Q988" s="262"/>
      <c r="R988" s="262"/>
      <c r="S988" s="262"/>
      <c r="T988" s="262"/>
      <c r="U988" s="262"/>
      <c r="V988" s="262"/>
      <c r="W988" s="262"/>
      <c r="X988" s="262"/>
      <c r="Y988" s="262"/>
      <c r="Z988" s="262"/>
      <c r="AA988" s="262"/>
      <c r="AB988" s="262"/>
    </row>
    <row r="989" spans="1:31" ht="25.5">
      <c r="A989" s="372" t="s">
        <v>14478</v>
      </c>
      <c r="B989" s="373" t="s">
        <v>14476</v>
      </c>
      <c r="C989" s="374">
        <v>88267</v>
      </c>
      <c r="D989" s="288" t="str">
        <f>IFERROR(VLOOKUP($C989,'24.08_ND'!$A:$D,2,0),)</f>
        <v>ENCANADOR OU BOMBEIRO HIDRÁULICO COM ENCARGOS COMPLEMENTARES</v>
      </c>
      <c r="E989" s="289" t="str">
        <f>IFERROR(VLOOKUP($C989,'24.08_ND'!$A:$D,3,0),)</f>
        <v>H</v>
      </c>
      <c r="F989" s="375">
        <v>0.45</v>
      </c>
      <c r="G989" s="291">
        <f>IFERROR(VLOOKUP($C989,'24.08_ND'!$A:$D,4,0),)</f>
        <v>23.27</v>
      </c>
      <c r="H989" s="292">
        <f>TRUNC(($F989*$G989),2)</f>
        <v>10.47</v>
      </c>
      <c r="I989" s="262"/>
      <c r="J989" s="262"/>
      <c r="K989" s="262"/>
      <c r="L989" s="262"/>
      <c r="M989" s="262"/>
      <c r="N989" s="262"/>
      <c r="O989" s="262"/>
      <c r="P989" s="262"/>
      <c r="Q989" s="262"/>
      <c r="R989" s="262"/>
      <c r="S989" s="262"/>
      <c r="T989" s="262"/>
      <c r="U989" s="262"/>
      <c r="V989" s="262"/>
      <c r="W989" s="262"/>
      <c r="X989" s="262"/>
      <c r="Y989" s="262"/>
      <c r="Z989" s="262"/>
      <c r="AA989" s="262"/>
      <c r="AB989" s="262"/>
      <c r="AD989" s="1791" t="e">
        <f>VLOOKUP(C989,'Medição '!$B$16:$F$1833,6,0)</f>
        <v>#N/A</v>
      </c>
      <c r="AE989" s="1791"/>
    </row>
    <row r="990" spans="1:31" ht="25.5">
      <c r="A990" s="372" t="s">
        <v>14478</v>
      </c>
      <c r="B990" s="373" t="s">
        <v>14476</v>
      </c>
      <c r="C990" s="374">
        <v>88316</v>
      </c>
      <c r="D990" s="288" t="str">
        <f>IFERROR(VLOOKUP($C990,'24.08_ND'!$A:$D,2,0),)</f>
        <v>SERVENTE COM ENCARGOS COMPLEMENTARES</v>
      </c>
      <c r="E990" s="289" t="str">
        <f>IFERROR(VLOOKUP($C990,'24.08_ND'!$A:$D,3,0),)</f>
        <v>H</v>
      </c>
      <c r="F990" s="375">
        <v>0.14069999999999999</v>
      </c>
      <c r="G990" s="291">
        <f>IFERROR(VLOOKUP($C990,'24.08_ND'!$A:$D,4,0),)</f>
        <v>18.510000000000002</v>
      </c>
      <c r="H990" s="292">
        <f>TRUNC(($F990*$G990),2)</f>
        <v>2.6</v>
      </c>
      <c r="I990" s="262"/>
      <c r="J990" s="262"/>
      <c r="K990" s="262"/>
      <c r="L990" s="262"/>
      <c r="M990" s="262"/>
      <c r="N990" s="262"/>
      <c r="O990" s="262"/>
      <c r="P990" s="262"/>
      <c r="Q990" s="262"/>
      <c r="R990" s="262"/>
      <c r="S990" s="262"/>
      <c r="T990" s="262"/>
      <c r="U990" s="262"/>
      <c r="V990" s="262"/>
      <c r="W990" s="262"/>
      <c r="X990" s="262"/>
      <c r="Y990" s="262"/>
      <c r="Z990" s="262"/>
      <c r="AA990" s="262"/>
      <c r="AB990" s="262"/>
      <c r="AD990" s="1791" t="e">
        <f>VLOOKUP(C990,'Medição '!$B$16:$F$1833,6,0)</f>
        <v>#N/A</v>
      </c>
      <c r="AE990" s="1791"/>
    </row>
    <row r="991" spans="1:31" ht="12.75">
      <c r="A991" s="581" t="s">
        <v>14479</v>
      </c>
      <c r="B991" s="582" t="s">
        <v>14476</v>
      </c>
      <c r="C991" s="447">
        <v>3146</v>
      </c>
      <c r="D991" s="596" t="str">
        <f>IFERROR(VLOOKUP($C991,'24.08_ND'!$A:$D,2,0),)</f>
        <v>FITA VEDA ROSCA EM ROLOS DE 18 MM X 10 M (L X C)</v>
      </c>
      <c r="E991" s="597" t="str">
        <f>IFERROR(VLOOKUP($C991,'24.08_ND'!$A:$D,3,0),)</f>
        <v>UN</v>
      </c>
      <c r="F991" s="385">
        <v>2.1000000000000001E-2</v>
      </c>
      <c r="G991" s="598">
        <f>IFERROR(VLOOKUP($C991,'24.08_ND'!$A:$D,4,0),)</f>
        <v>3.59</v>
      </c>
      <c r="H991" s="449">
        <f>TRUNC(($F991*$G991),2)</f>
        <v>7.0000000000000007E-2</v>
      </c>
      <c r="I991" s="262"/>
      <c r="J991" s="262"/>
      <c r="K991" s="262"/>
      <c r="L991" s="262"/>
      <c r="M991" s="262"/>
      <c r="N991" s="262"/>
      <c r="O991" s="262"/>
      <c r="P991" s="262"/>
      <c r="Q991" s="262"/>
      <c r="R991" s="262"/>
      <c r="S991" s="262"/>
      <c r="T991" s="262"/>
      <c r="U991" s="262"/>
      <c r="V991" s="262"/>
      <c r="W991" s="262"/>
      <c r="X991" s="262"/>
      <c r="Y991" s="262"/>
      <c r="Z991" s="262"/>
      <c r="AA991" s="262"/>
      <c r="AB991" s="262"/>
    </row>
    <row r="992" spans="1:31" ht="25.5">
      <c r="A992" s="581" t="s">
        <v>14479</v>
      </c>
      <c r="B992" s="582" t="s">
        <v>14476</v>
      </c>
      <c r="C992" s="447">
        <v>38190</v>
      </c>
      <c r="D992" s="596" t="str">
        <f>IFERROR(VLOOKUP($C992,'24.08_ND'!$A:$D,2,0),)</f>
        <v>DUCHA / CHUVEIRO METALICO, DE PAREDE, ARTICULAVEL, COM DESVIADOR E DUCHA MANUAL</v>
      </c>
      <c r="E992" s="597" t="str">
        <f>IFERROR(VLOOKUP($C992,'24.08_ND'!$A:$D,3,0),)</f>
        <v>UN</v>
      </c>
      <c r="F992" s="385">
        <v>1</v>
      </c>
      <c r="G992" s="598">
        <f>IFERROR(VLOOKUP($C992,'24.08_ND'!$A:$D,4,0),)</f>
        <v>361.22</v>
      </c>
      <c r="H992" s="449">
        <f>TRUNC(($F992*$G992),2)</f>
        <v>361.22</v>
      </c>
      <c r="I992" s="262"/>
      <c r="J992" s="262"/>
      <c r="K992" s="262"/>
      <c r="L992" s="262"/>
      <c r="M992" s="262"/>
      <c r="N992" s="262"/>
      <c r="O992" s="262"/>
      <c r="P992" s="262"/>
      <c r="Q992" s="262"/>
      <c r="R992" s="262"/>
      <c r="S992" s="262"/>
      <c r="T992" s="262"/>
      <c r="U992" s="262"/>
      <c r="V992" s="262"/>
      <c r="W992" s="262"/>
      <c r="X992" s="262"/>
      <c r="Y992" s="262"/>
      <c r="Z992" s="262"/>
      <c r="AA992" s="262"/>
      <c r="AB992" s="262"/>
    </row>
    <row r="993" spans="1:31" ht="12.75">
      <c r="A993" s="309"/>
      <c r="B993" s="303"/>
      <c r="C993" s="303"/>
      <c r="D993" s="310"/>
      <c r="E993" s="303"/>
      <c r="F993" s="306"/>
      <c r="G993" s="307"/>
      <c r="H993" s="308"/>
      <c r="I993" s="262"/>
      <c r="J993" s="262"/>
      <c r="K993" s="262"/>
      <c r="L993" s="262"/>
      <c r="M993" s="262"/>
      <c r="N993" s="262"/>
      <c r="O993" s="262"/>
      <c r="P993" s="262"/>
      <c r="Q993" s="262"/>
      <c r="R993" s="262"/>
      <c r="S993" s="262"/>
      <c r="T993" s="262"/>
      <c r="U993" s="262"/>
      <c r="V993" s="262"/>
      <c r="W993" s="262"/>
      <c r="X993" s="262"/>
      <c r="Y993" s="262"/>
      <c r="Z993" s="262"/>
      <c r="AA993" s="262"/>
      <c r="AB993" s="262"/>
    </row>
    <row r="994" spans="1:31" ht="25.5">
      <c r="A994" s="358" t="s">
        <v>14471</v>
      </c>
      <c r="B994" s="359" t="s">
        <v>14472</v>
      </c>
      <c r="C994" s="360" t="s">
        <v>14845</v>
      </c>
      <c r="D994" s="361" t="s">
        <v>14846</v>
      </c>
      <c r="E994" s="359" t="s">
        <v>6</v>
      </c>
      <c r="F994" s="362"/>
      <c r="G994" s="362"/>
      <c r="H994" s="363">
        <f>SUM(H996:H999)</f>
        <v>258.14999999999998</v>
      </c>
      <c r="I994" s="276">
        <f>COUNTIF($C$8:$C994,C:C)</f>
        <v>1</v>
      </c>
      <c r="J994" s="262"/>
      <c r="K994" s="262"/>
      <c r="L994" s="262"/>
      <c r="M994" s="262"/>
      <c r="N994" s="262"/>
      <c r="O994" s="262"/>
      <c r="P994" s="262"/>
      <c r="Q994" s="262"/>
      <c r="R994" s="262"/>
      <c r="S994" s="262"/>
      <c r="T994" s="262"/>
      <c r="U994" s="262"/>
      <c r="V994" s="262"/>
      <c r="W994" s="262"/>
      <c r="X994" s="262"/>
      <c r="Y994" s="262"/>
      <c r="Z994" s="262"/>
      <c r="AA994" s="262"/>
      <c r="AB994" s="262"/>
    </row>
    <row r="995" spans="1:31" ht="12.75">
      <c r="A995" s="364" t="s">
        <v>14475</v>
      </c>
      <c r="B995" s="403" t="s">
        <v>14476</v>
      </c>
      <c r="C995" s="404">
        <v>100860</v>
      </c>
      <c r="D995" s="367" t="s">
        <v>14602</v>
      </c>
      <c r="E995" s="368"/>
      <c r="F995" s="369"/>
      <c r="G995" s="370"/>
      <c r="H995" s="371"/>
      <c r="I995" s="262"/>
      <c r="J995" s="262"/>
      <c r="K995" s="262"/>
      <c r="L995" s="262"/>
      <c r="M995" s="262"/>
      <c r="N995" s="262"/>
      <c r="O995" s="262"/>
      <c r="P995" s="262"/>
      <c r="Q995" s="262"/>
      <c r="R995" s="262"/>
      <c r="S995" s="262"/>
      <c r="T995" s="262"/>
      <c r="U995" s="262"/>
      <c r="V995" s="262"/>
      <c r="W995" s="262"/>
      <c r="X995" s="262"/>
      <c r="Y995" s="262"/>
      <c r="Z995" s="262"/>
      <c r="AA995" s="262"/>
      <c r="AB995" s="262"/>
    </row>
    <row r="996" spans="1:31" ht="25.5">
      <c r="A996" s="372" t="s">
        <v>14478</v>
      </c>
      <c r="B996" s="373" t="s">
        <v>14476</v>
      </c>
      <c r="C996" s="374">
        <v>88267</v>
      </c>
      <c r="D996" s="593" t="str">
        <f>IFERROR(VLOOKUP($C996,'24.08_ND'!$A:$D,2,0),)</f>
        <v>ENCANADOR OU BOMBEIRO HIDRÁULICO COM ENCARGOS COMPLEMENTARES</v>
      </c>
      <c r="E996" s="594" t="str">
        <f>IFERROR(VLOOKUP($C996,'24.08_ND'!$A:$D,3,0),)</f>
        <v>H</v>
      </c>
      <c r="F996" s="375">
        <v>0.45</v>
      </c>
      <c r="G996" s="595">
        <f>IFERROR(VLOOKUP($C996,'24.08_ND'!$A:$D,4,0),)</f>
        <v>23.27</v>
      </c>
      <c r="H996" s="440">
        <f>TRUNC(($F996*$G996),2)</f>
        <v>10.47</v>
      </c>
      <c r="I996" s="262"/>
      <c r="J996" s="262"/>
      <c r="K996" s="262"/>
      <c r="L996" s="262"/>
      <c r="M996" s="262"/>
      <c r="N996" s="262"/>
      <c r="O996" s="262"/>
      <c r="P996" s="262"/>
      <c r="Q996" s="262"/>
      <c r="R996" s="262"/>
      <c r="S996" s="262"/>
      <c r="T996" s="262"/>
      <c r="U996" s="262"/>
      <c r="V996" s="262"/>
      <c r="W996" s="262"/>
      <c r="X996" s="262"/>
      <c r="Y996" s="262"/>
      <c r="Z996" s="262"/>
      <c r="AA996" s="262"/>
      <c r="AB996" s="262"/>
      <c r="AD996" s="1791" t="e">
        <f>VLOOKUP(C996,'Medição '!$B$16:$F$1833,6,0)</f>
        <v>#N/A</v>
      </c>
      <c r="AE996" s="1791"/>
    </row>
    <row r="997" spans="1:31" ht="25.5">
      <c r="A997" s="372" t="s">
        <v>14478</v>
      </c>
      <c r="B997" s="373" t="s">
        <v>14476</v>
      </c>
      <c r="C997" s="374">
        <v>88316</v>
      </c>
      <c r="D997" s="593" t="str">
        <f>IFERROR(VLOOKUP($C997,'24.08_ND'!$A:$D,2,0),)</f>
        <v>SERVENTE COM ENCARGOS COMPLEMENTARES</v>
      </c>
      <c r="E997" s="594" t="str">
        <f>IFERROR(VLOOKUP($C997,'24.08_ND'!$A:$D,3,0),)</f>
        <v>H</v>
      </c>
      <c r="F997" s="375">
        <v>0.14069999999999999</v>
      </c>
      <c r="G997" s="595">
        <f>IFERROR(VLOOKUP($C997,'24.08_ND'!$A:$D,4,0),)</f>
        <v>18.510000000000002</v>
      </c>
      <c r="H997" s="440">
        <f>TRUNC(($F997*$G997),2)</f>
        <v>2.6</v>
      </c>
      <c r="I997" s="262"/>
      <c r="J997" s="262"/>
      <c r="K997" s="262"/>
      <c r="L997" s="262"/>
      <c r="M997" s="262"/>
      <c r="N997" s="262"/>
      <c r="O997" s="262"/>
      <c r="P997" s="262"/>
      <c r="Q997" s="262"/>
      <c r="R997" s="262"/>
      <c r="S997" s="262"/>
      <c r="T997" s="262"/>
      <c r="U997" s="262"/>
      <c r="V997" s="262"/>
      <c r="W997" s="262"/>
      <c r="X997" s="262"/>
      <c r="Y997" s="262"/>
      <c r="Z997" s="262"/>
      <c r="AA997" s="262"/>
      <c r="AB997" s="262"/>
      <c r="AD997" s="1791" t="e">
        <f>VLOOKUP(C997,'Medição '!$B$16:$F$1833,6,0)</f>
        <v>#N/A</v>
      </c>
      <c r="AE997" s="1791"/>
    </row>
    <row r="998" spans="1:31" ht="12.75">
      <c r="A998" s="581" t="s">
        <v>14479</v>
      </c>
      <c r="B998" s="582" t="s">
        <v>14476</v>
      </c>
      <c r="C998" s="447">
        <v>3146</v>
      </c>
      <c r="D998" s="596" t="str">
        <f>IFERROR(VLOOKUP($C998,'24.08_ND'!$A:$D,2,0),)</f>
        <v>FITA VEDA ROSCA EM ROLOS DE 18 MM X 10 M (L X C)</v>
      </c>
      <c r="E998" s="597" t="str">
        <f>IFERROR(VLOOKUP($C998,'24.08_ND'!$A:$D,3,0),)</f>
        <v>UN</v>
      </c>
      <c r="F998" s="385">
        <v>2.1000000000000001E-2</v>
      </c>
      <c r="G998" s="598">
        <f>IFERROR(VLOOKUP($C998,'24.08_ND'!$A:$D,4,0),)</f>
        <v>3.59</v>
      </c>
      <c r="H998" s="449">
        <f>TRUNC(($F998*$G998),2)</f>
        <v>7.0000000000000007E-2</v>
      </c>
      <c r="I998" s="262"/>
      <c r="J998" s="262"/>
      <c r="K998" s="262"/>
      <c r="L998" s="262"/>
      <c r="M998" s="262"/>
      <c r="N998" s="262"/>
      <c r="O998" s="262"/>
      <c r="P998" s="262"/>
      <c r="Q998" s="262"/>
      <c r="R998" s="262"/>
      <c r="S998" s="262"/>
      <c r="T998" s="262"/>
      <c r="U998" s="262"/>
      <c r="V998" s="262"/>
      <c r="W998" s="262"/>
      <c r="X998" s="262"/>
      <c r="Y998" s="262"/>
      <c r="Z998" s="262"/>
      <c r="AA998" s="262"/>
      <c r="AB998" s="262"/>
    </row>
    <row r="999" spans="1:31" ht="12.75">
      <c r="A999" s="599" t="s">
        <v>14479</v>
      </c>
      <c r="B999" s="600" t="s">
        <v>14491</v>
      </c>
      <c r="C999" s="614" t="s">
        <v>14847</v>
      </c>
      <c r="D999" s="601" t="str">
        <f>VLOOKUP($C999,'09 - MC'!$A:$F,2,0)</f>
        <v>DUCHA QUADRADA 20X20 CM, CROMADA</v>
      </c>
      <c r="E999" s="602" t="str">
        <f>VLOOKUP($C999,'09 - MC'!$A:$F,3,0)</f>
        <v>UN</v>
      </c>
      <c r="F999" s="603">
        <v>1</v>
      </c>
      <c r="G999" s="604">
        <f>VLOOKUP($C999,'09 - MC'!$A:$F,6,0)</f>
        <v>245.01</v>
      </c>
      <c r="H999" s="605">
        <f>TRUNC(G999*F999,2)</f>
        <v>245.01</v>
      </c>
      <c r="I999" s="262"/>
      <c r="J999" s="262"/>
      <c r="K999" s="262"/>
      <c r="L999" s="262"/>
      <c r="M999" s="262"/>
      <c r="N999" s="262"/>
      <c r="O999" s="262"/>
      <c r="P999" s="262"/>
      <c r="Q999" s="262"/>
      <c r="R999" s="262"/>
      <c r="S999" s="262"/>
      <c r="T999" s="262"/>
      <c r="U999" s="262"/>
      <c r="V999" s="262"/>
      <c r="W999" s="262"/>
      <c r="X999" s="262"/>
      <c r="Y999" s="262"/>
      <c r="Z999" s="262"/>
      <c r="AA999" s="262"/>
      <c r="AB999" s="262"/>
    </row>
    <row r="1000" spans="1:31" ht="12.75">
      <c r="A1000" s="309"/>
      <c r="B1000" s="303"/>
      <c r="C1000" s="303"/>
      <c r="D1000" s="310"/>
      <c r="E1000" s="303"/>
      <c r="F1000" s="306"/>
      <c r="G1000" s="307"/>
      <c r="H1000" s="308"/>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row>
    <row r="1001" spans="1:31" ht="25.5">
      <c r="A1001" s="271" t="s">
        <v>14471</v>
      </c>
      <c r="B1001" s="272" t="s">
        <v>14472</v>
      </c>
      <c r="C1001" s="360" t="s">
        <v>14848</v>
      </c>
      <c r="D1001" s="274" t="s">
        <v>14849</v>
      </c>
      <c r="E1001" s="272" t="s">
        <v>6</v>
      </c>
      <c r="F1001" s="272"/>
      <c r="G1001" s="272"/>
      <c r="H1001" s="275">
        <f>TRUNC(SUM(H1003:H1006),2)</f>
        <v>217.86</v>
      </c>
      <c r="I1001" s="276">
        <f>COUNTIF($C$8:$C1001,C:C)</f>
        <v>1</v>
      </c>
      <c r="J1001" s="262"/>
      <c r="K1001" s="262"/>
      <c r="L1001" s="262"/>
      <c r="M1001" s="262"/>
      <c r="N1001" s="262"/>
      <c r="O1001" s="262"/>
      <c r="P1001" s="262"/>
      <c r="Q1001" s="262"/>
      <c r="R1001" s="262"/>
      <c r="S1001" s="262"/>
      <c r="T1001" s="262"/>
      <c r="U1001" s="262"/>
      <c r="V1001" s="262"/>
      <c r="W1001" s="262"/>
      <c r="X1001" s="262"/>
      <c r="Y1001" s="262"/>
      <c r="Z1001" s="262"/>
      <c r="AA1001" s="262"/>
      <c r="AB1001" s="262"/>
    </row>
    <row r="1002" spans="1:31" ht="12.75">
      <c r="A1002" s="277" t="s">
        <v>14475</v>
      </c>
      <c r="B1002" s="337" t="s">
        <v>14600</v>
      </c>
      <c r="C1002" s="337">
        <v>3679</v>
      </c>
      <c r="D1002" s="490" t="s">
        <v>14477</v>
      </c>
      <c r="E1002" s="609"/>
      <c r="F1002" s="282"/>
      <c r="G1002" s="492"/>
      <c r="H1002" s="493"/>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row>
    <row r="1003" spans="1:31" ht="25.5">
      <c r="A1003" s="285" t="s">
        <v>14478</v>
      </c>
      <c r="B1003" s="407" t="s">
        <v>14476</v>
      </c>
      <c r="C1003" s="344">
        <v>88248</v>
      </c>
      <c r="D1003" s="288" t="str">
        <f>IFERROR(VLOOKUP($C1003,'24.08_ND'!$A:$D,2,0),)</f>
        <v>AUXILIAR DE ENCANADOR OU BOMBEIRO HIDRÁULICO COM ENCARGOS COMPLEMENTARES</v>
      </c>
      <c r="E1003" s="289" t="str">
        <f>IFERROR(VLOOKUP($C1003,'24.08_ND'!$A:$D,3,0),)</f>
        <v>H</v>
      </c>
      <c r="F1003" s="290">
        <v>0.25</v>
      </c>
      <c r="G1003" s="291">
        <f>IFERROR(VLOOKUP($C1003,'24.08_ND'!$A:$D,4,0),)</f>
        <v>19.05</v>
      </c>
      <c r="H1003" s="434">
        <f>TRUNC(($F1003*$G1003),2)</f>
        <v>4.76</v>
      </c>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D1003" s="1791" t="e">
        <f>VLOOKUP(C1003,'Medição '!$B$16:$F$1833,6,0)</f>
        <v>#N/A</v>
      </c>
      <c r="AE1003" s="1791"/>
    </row>
    <row r="1004" spans="1:31" ht="25.5">
      <c r="A1004" s="285" t="s">
        <v>14478</v>
      </c>
      <c r="B1004" s="407" t="s">
        <v>14476</v>
      </c>
      <c r="C1004" s="344">
        <v>88267</v>
      </c>
      <c r="D1004" s="288" t="str">
        <f>IFERROR(VLOOKUP($C1004,'24.08_ND'!$A:$D,2,0),)</f>
        <v>ENCANADOR OU BOMBEIRO HIDRÁULICO COM ENCARGOS COMPLEMENTARES</v>
      </c>
      <c r="E1004" s="289" t="str">
        <f>IFERROR(VLOOKUP($C1004,'24.08_ND'!$A:$D,3,0),)</f>
        <v>H</v>
      </c>
      <c r="F1004" s="290">
        <v>0.25</v>
      </c>
      <c r="G1004" s="291">
        <f>IFERROR(VLOOKUP($C1004,'24.08_ND'!$A:$D,4,0),)</f>
        <v>23.27</v>
      </c>
      <c r="H1004" s="434">
        <f>TRUNC(($F1004*$G1004),2)</f>
        <v>5.81</v>
      </c>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D1004" s="1791" t="e">
        <f>VLOOKUP(C1004,'Medição '!$B$16:$F$1833,6,0)</f>
        <v>#N/A</v>
      </c>
      <c r="AE1004" s="1791"/>
    </row>
    <row r="1005" spans="1:31" ht="12.75">
      <c r="A1005" s="494" t="s">
        <v>14479</v>
      </c>
      <c r="B1005" s="495" t="s">
        <v>14476</v>
      </c>
      <c r="C1005" s="348">
        <v>3148</v>
      </c>
      <c r="D1005" s="296" t="str">
        <f>IFERROR(VLOOKUP($C1005,'24.08_ND'!$A:$D,2,0),)</f>
        <v>FITA VEDA ROSCA EM ROLOS DE 18 MM X 50 M (L X C)</v>
      </c>
      <c r="E1005" s="297" t="str">
        <f>IFERROR(VLOOKUP($C1005,'24.08_ND'!$A:$D,3,0),)</f>
        <v>UN</v>
      </c>
      <c r="F1005" s="298">
        <f>0.2/50</f>
        <v>4.0000000000000001E-3</v>
      </c>
      <c r="G1005" s="299">
        <f>IFERROR(VLOOKUP($C1005,'24.08_ND'!$A:$D,4,0),)</f>
        <v>13.26</v>
      </c>
      <c r="H1005" s="300">
        <f>TRUNC(($F1005*$G1005),2)</f>
        <v>0.05</v>
      </c>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row>
    <row r="1006" spans="1:31" ht="25.5">
      <c r="A1006" s="317" t="s">
        <v>14479</v>
      </c>
      <c r="B1006" s="312" t="str">
        <f>VLOOKUP($C1006,'• CIs EXT'!$A:$E,2,0)</f>
        <v>ORSE</v>
      </c>
      <c r="C1006" s="313">
        <v>14286</v>
      </c>
      <c r="D1006" s="314" t="str">
        <f>VLOOKUP($C1006,'• CIs EXT'!$A:$E,3,0)</f>
        <v>VÁLVULA DE ESCOAMENTO PARA LAVATÓRIO, TIPO CLICK CLACK, ACABAMENTO CROMADO, REF. 00922406, DOCOL OU SIMILAR</v>
      </c>
      <c r="E1006" s="312" t="str">
        <f>VLOOKUP($C1006,'• CIs EXT'!$A:$E,4,0)</f>
        <v>UN</v>
      </c>
      <c r="F1006" s="315">
        <v>1</v>
      </c>
      <c r="G1006" s="312">
        <f>VLOOKUP($C1006,'• CIs EXT'!$A:$E,5,0)</f>
        <v>207.24</v>
      </c>
      <c r="H1006" s="316">
        <f>TRUNC(($F1006*$G1006),2)</f>
        <v>207.24</v>
      </c>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row>
    <row r="1007" spans="1:31" ht="12.75">
      <c r="A1007" s="309"/>
      <c r="B1007" s="303"/>
      <c r="C1007" s="303"/>
      <c r="D1007" s="310"/>
      <c r="E1007" s="303"/>
      <c r="F1007" s="306"/>
      <c r="G1007" s="307"/>
      <c r="H1007" s="308"/>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row>
    <row r="1008" spans="1:31" ht="12.75">
      <c r="A1008" s="271" t="s">
        <v>14471</v>
      </c>
      <c r="B1008" s="272" t="s">
        <v>14472</v>
      </c>
      <c r="C1008" s="360" t="s">
        <v>14850</v>
      </c>
      <c r="D1008" s="274" t="s">
        <v>14851</v>
      </c>
      <c r="E1008" s="272" t="s">
        <v>6</v>
      </c>
      <c r="F1008" s="272"/>
      <c r="G1008" s="272"/>
      <c r="H1008" s="275">
        <f>TRUNC(SUM(H1010:H1013),2)</f>
        <v>39.619999999999997</v>
      </c>
      <c r="I1008" s="276">
        <f>COUNTIF($C$8:$C1008,C:C)</f>
        <v>1</v>
      </c>
      <c r="J1008" s="262"/>
      <c r="K1008" s="262"/>
      <c r="L1008" s="262"/>
      <c r="M1008" s="262"/>
      <c r="N1008" s="262"/>
      <c r="O1008" s="262"/>
      <c r="P1008" s="262"/>
      <c r="Q1008" s="262"/>
      <c r="R1008" s="262"/>
      <c r="S1008" s="262"/>
      <c r="T1008" s="262"/>
      <c r="U1008" s="262"/>
      <c r="V1008" s="262"/>
      <c r="W1008" s="262"/>
      <c r="X1008" s="262"/>
      <c r="Y1008" s="262"/>
      <c r="Z1008" s="262"/>
      <c r="AA1008" s="262"/>
      <c r="AB1008" s="262"/>
    </row>
    <row r="1009" spans="1:31" ht="12.75">
      <c r="A1009" s="277" t="s">
        <v>14475</v>
      </c>
      <c r="B1009" s="337" t="s">
        <v>14600</v>
      </c>
      <c r="C1009" s="337">
        <v>3679</v>
      </c>
      <c r="D1009" s="490" t="s">
        <v>14477</v>
      </c>
      <c r="E1009" s="609"/>
      <c r="F1009" s="282"/>
      <c r="G1009" s="492"/>
      <c r="H1009" s="493"/>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row>
    <row r="1010" spans="1:31" ht="25.5">
      <c r="A1010" s="285" t="s">
        <v>14478</v>
      </c>
      <c r="B1010" s="407" t="s">
        <v>14476</v>
      </c>
      <c r="C1010" s="344">
        <v>88248</v>
      </c>
      <c r="D1010" s="288" t="str">
        <f>IFERROR(VLOOKUP($C1010,'24.08_ND'!$A:$D,2,0),)</f>
        <v>AUXILIAR DE ENCANADOR OU BOMBEIRO HIDRÁULICO COM ENCARGOS COMPLEMENTARES</v>
      </c>
      <c r="E1010" s="289" t="str">
        <f>IFERROR(VLOOKUP($C1010,'24.08_ND'!$A:$D,3,0),)</f>
        <v>H</v>
      </c>
      <c r="F1010" s="290">
        <v>0.25</v>
      </c>
      <c r="G1010" s="291">
        <f>IFERROR(VLOOKUP($C1010,'24.08_ND'!$A:$D,4,0),)</f>
        <v>19.05</v>
      </c>
      <c r="H1010" s="434">
        <f>TRUNC(($F1010*$G1010),2)</f>
        <v>4.76</v>
      </c>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D1010" s="1791" t="e">
        <f>VLOOKUP(C1010,'Medição '!$B$16:$F$1833,6,0)</f>
        <v>#N/A</v>
      </c>
      <c r="AE1010" s="1791"/>
    </row>
    <row r="1011" spans="1:31" ht="25.5">
      <c r="A1011" s="285" t="s">
        <v>14478</v>
      </c>
      <c r="B1011" s="407" t="s">
        <v>14476</v>
      </c>
      <c r="C1011" s="344">
        <v>88267</v>
      </c>
      <c r="D1011" s="288" t="str">
        <f>IFERROR(VLOOKUP($C1011,'24.08_ND'!$A:$D,2,0),)</f>
        <v>ENCANADOR OU BOMBEIRO HIDRÁULICO COM ENCARGOS COMPLEMENTARES</v>
      </c>
      <c r="E1011" s="289" t="str">
        <f>IFERROR(VLOOKUP($C1011,'24.08_ND'!$A:$D,3,0),)</f>
        <v>H</v>
      </c>
      <c r="F1011" s="290">
        <v>0.25</v>
      </c>
      <c r="G1011" s="291">
        <f>IFERROR(VLOOKUP($C1011,'24.08_ND'!$A:$D,4,0),)</f>
        <v>23.27</v>
      </c>
      <c r="H1011" s="434">
        <f>TRUNC(($F1011*$G1011),2)</f>
        <v>5.81</v>
      </c>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D1011" s="1791" t="e">
        <f>VLOOKUP(C1011,'Medição '!$B$16:$F$1833,6,0)</f>
        <v>#N/A</v>
      </c>
      <c r="AE1011" s="1791"/>
    </row>
    <row r="1012" spans="1:31" ht="12.75">
      <c r="A1012" s="494" t="s">
        <v>14479</v>
      </c>
      <c r="B1012" s="495" t="s">
        <v>14476</v>
      </c>
      <c r="C1012" s="348">
        <v>3148</v>
      </c>
      <c r="D1012" s="296" t="str">
        <f>IFERROR(VLOOKUP($C1012,'24.08_ND'!$A:$D,2,0),)</f>
        <v>FITA VEDA ROSCA EM ROLOS DE 18 MM X 50 M (L X C)</v>
      </c>
      <c r="E1012" s="297" t="str">
        <f>IFERROR(VLOOKUP($C1012,'24.08_ND'!$A:$D,3,0),)</f>
        <v>UN</v>
      </c>
      <c r="F1012" s="298">
        <f>0.2/50</f>
        <v>4.0000000000000001E-3</v>
      </c>
      <c r="G1012" s="299">
        <f>IFERROR(VLOOKUP($C1012,'24.08_ND'!$A:$D,4,0),)</f>
        <v>13.26</v>
      </c>
      <c r="H1012" s="300">
        <f>TRUNC(($F1012*$G1012),2)</f>
        <v>0.05</v>
      </c>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row>
    <row r="1013" spans="1:31" ht="25.5">
      <c r="A1013" s="317" t="s">
        <v>14479</v>
      </c>
      <c r="B1013" s="312" t="str">
        <f>VLOOKUP($C1013,'• CIs EXT'!$A:$E,2,0)</f>
        <v>SETOP</v>
      </c>
      <c r="C1013" s="313" t="s">
        <v>14852</v>
      </c>
      <c r="D1013" s="314" t="str">
        <f>VLOOKUP($C1013,'• CIs EXT'!$A:$E,3,0)</f>
        <v>VÁLVULA DE ESCOAMENTO METÁLICA PARA LAVATÓRIO/BIDÊ (MATERIAL: METAL|ACABAMENTO: CROMADO|DIÂMETRO DE ENTRADA: 7/8" OU 1")</v>
      </c>
      <c r="E1013" s="312" t="str">
        <f>VLOOKUP($C1013,'• CIs EXT'!$A:$E,4,0)</f>
        <v>UN</v>
      </c>
      <c r="F1013" s="315">
        <v>1</v>
      </c>
      <c r="G1013" s="312">
        <f>VLOOKUP($C1013,'• CIs EXT'!$A:$E,5,0)</f>
        <v>29</v>
      </c>
      <c r="H1013" s="316">
        <f>TRUNC(($F1013*$G1013),2)</f>
        <v>29</v>
      </c>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row>
    <row r="1014" spans="1:31" ht="12.75">
      <c r="A1014" s="309"/>
      <c r="B1014" s="303"/>
      <c r="C1014" s="303"/>
      <c r="D1014" s="310"/>
      <c r="E1014" s="303"/>
      <c r="F1014" s="306"/>
      <c r="G1014" s="307"/>
      <c r="H1014" s="308"/>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row>
    <row r="1015" spans="1:31" ht="12.75">
      <c r="A1015" s="271" t="s">
        <v>14471</v>
      </c>
      <c r="B1015" s="272" t="s">
        <v>14472</v>
      </c>
      <c r="C1015" s="360" t="s">
        <v>14853</v>
      </c>
      <c r="D1015" s="274" t="s">
        <v>14854</v>
      </c>
      <c r="E1015" s="272" t="s">
        <v>6</v>
      </c>
      <c r="F1015" s="272"/>
      <c r="G1015" s="272"/>
      <c r="H1015" s="275">
        <f>TRUNC(SUM(H1017:H1019),2)</f>
        <v>84.2</v>
      </c>
      <c r="I1015" s="276">
        <f>COUNTIF($C$8:$C1015,C:C)</f>
        <v>1</v>
      </c>
      <c r="J1015" s="262"/>
      <c r="K1015" s="262"/>
      <c r="L1015" s="262"/>
      <c r="M1015" s="262"/>
      <c r="N1015" s="262"/>
      <c r="O1015" s="262"/>
      <c r="P1015" s="262"/>
      <c r="Q1015" s="262"/>
      <c r="R1015" s="262"/>
      <c r="S1015" s="262"/>
      <c r="T1015" s="262"/>
      <c r="U1015" s="262"/>
      <c r="V1015" s="262"/>
      <c r="W1015" s="262"/>
      <c r="X1015" s="262"/>
      <c r="Y1015" s="262"/>
      <c r="Z1015" s="262"/>
      <c r="AA1015" s="262"/>
      <c r="AB1015" s="262"/>
    </row>
    <row r="1016" spans="1:31" ht="12.75">
      <c r="A1016" s="277" t="s">
        <v>14475</v>
      </c>
      <c r="B1016" s="337" t="s">
        <v>14476</v>
      </c>
      <c r="C1016" s="337">
        <v>94792</v>
      </c>
      <c r="D1016" s="490" t="s">
        <v>14587</v>
      </c>
      <c r="E1016" s="609"/>
      <c r="F1016" s="282"/>
      <c r="G1016" s="492"/>
      <c r="H1016" s="493"/>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row>
    <row r="1017" spans="1:31" ht="25.5">
      <c r="A1017" s="285" t="s">
        <v>14478</v>
      </c>
      <c r="B1017" s="407" t="s">
        <v>14476</v>
      </c>
      <c r="C1017" s="344">
        <v>88248</v>
      </c>
      <c r="D1017" s="288" t="str">
        <f>IFERROR(VLOOKUP($C1017,'24.08_ND'!$A:$D,2,0),)</f>
        <v>AUXILIAR DE ENCANADOR OU BOMBEIRO HIDRÁULICO COM ENCARGOS COMPLEMENTARES</v>
      </c>
      <c r="E1017" s="289" t="str">
        <f>IFERROR(VLOOKUP($C1017,'24.08_ND'!$A:$D,3,0),)</f>
        <v>H</v>
      </c>
      <c r="F1017" s="290">
        <v>0.15</v>
      </c>
      <c r="G1017" s="291">
        <f>IFERROR(VLOOKUP($C1017,'24.08_ND'!$A:$D,4,0),)</f>
        <v>19.05</v>
      </c>
      <c r="H1017" s="434">
        <f>TRUNC(($F1017*$G1017),2)</f>
        <v>2.85</v>
      </c>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D1017" s="1791" t="e">
        <f>VLOOKUP(C1017,'Medição '!$B$16:$F$1833,6,0)</f>
        <v>#N/A</v>
      </c>
      <c r="AE1017" s="1791"/>
    </row>
    <row r="1018" spans="1:31" ht="25.5">
      <c r="A1018" s="285" t="s">
        <v>14478</v>
      </c>
      <c r="B1018" s="407" t="s">
        <v>14476</v>
      </c>
      <c r="C1018" s="344">
        <v>88267</v>
      </c>
      <c r="D1018" s="288" t="str">
        <f>IFERROR(VLOOKUP($C1018,'24.08_ND'!$A:$D,2,0),)</f>
        <v>ENCANADOR OU BOMBEIRO HIDRÁULICO COM ENCARGOS COMPLEMENTARES</v>
      </c>
      <c r="E1018" s="289" t="str">
        <f>IFERROR(VLOOKUP($C1018,'24.08_ND'!$A:$D,3,0),)</f>
        <v>H</v>
      </c>
      <c r="F1018" s="290">
        <v>0.15</v>
      </c>
      <c r="G1018" s="291">
        <f>IFERROR(VLOOKUP($C1018,'24.08_ND'!$A:$D,4,0),)</f>
        <v>23.27</v>
      </c>
      <c r="H1018" s="434">
        <f>TRUNC(($F1018*$G1018),2)</f>
        <v>3.49</v>
      </c>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D1018" s="1791" t="e">
        <f>VLOOKUP(C1018,'Medição '!$B$16:$F$1833,6,0)</f>
        <v>#N/A</v>
      </c>
      <c r="AE1018" s="1791"/>
    </row>
    <row r="1019" spans="1:31" ht="12.75">
      <c r="A1019" s="599" t="s">
        <v>14479</v>
      </c>
      <c r="B1019" s="600" t="s">
        <v>14491</v>
      </c>
      <c r="C1019" s="614" t="s">
        <v>14855</v>
      </c>
      <c r="D1019" s="601" t="str">
        <f>VLOOKUP($C1019,'09 - MC'!$A:$F,2,0)</f>
        <v>ACABAMENTO P/ REGISTRO ASPEN</v>
      </c>
      <c r="E1019" s="602" t="str">
        <f>VLOOKUP($C1019,'09 - MC'!$A:$F,3,0)</f>
        <v>UN</v>
      </c>
      <c r="F1019" s="603">
        <v>1</v>
      </c>
      <c r="G1019" s="604">
        <f>VLOOKUP($C1019,'09 - MC'!$A:$F,6,0)</f>
        <v>77.86</v>
      </c>
      <c r="H1019" s="605">
        <f>TRUNC(G1019*F1019,2)</f>
        <v>77.86</v>
      </c>
      <c r="I1019" s="262"/>
      <c r="J1019" s="262"/>
      <c r="K1019" s="262"/>
      <c r="L1019" s="262"/>
      <c r="M1019" s="262"/>
      <c r="N1019" s="262"/>
      <c r="O1019" s="262"/>
      <c r="P1019" s="262"/>
      <c r="Q1019" s="262"/>
      <c r="R1019" s="262"/>
      <c r="S1019" s="262"/>
      <c r="T1019" s="262"/>
      <c r="U1019" s="262"/>
      <c r="V1019" s="262"/>
      <c r="W1019" s="262"/>
      <c r="X1019" s="262"/>
      <c r="Y1019" s="262"/>
      <c r="Z1019" s="262"/>
      <c r="AA1019" s="262"/>
      <c r="AB1019" s="262"/>
    </row>
    <row r="1020" spans="1:31" ht="12.75">
      <c r="A1020" s="309"/>
      <c r="B1020" s="303"/>
      <c r="C1020" s="303"/>
      <c r="D1020" s="310"/>
      <c r="E1020" s="303"/>
      <c r="F1020" s="306"/>
      <c r="G1020" s="307"/>
      <c r="H1020" s="308"/>
      <c r="I1020" s="262"/>
      <c r="J1020" s="262"/>
      <c r="K1020" s="262"/>
      <c r="L1020" s="262"/>
      <c r="M1020" s="262"/>
      <c r="N1020" s="262"/>
      <c r="O1020" s="262"/>
      <c r="P1020" s="262"/>
      <c r="Q1020" s="262"/>
      <c r="R1020" s="262"/>
      <c r="S1020" s="262"/>
      <c r="T1020" s="262"/>
      <c r="U1020" s="262"/>
      <c r="V1020" s="262"/>
      <c r="W1020" s="262"/>
      <c r="X1020" s="262"/>
      <c r="Y1020" s="262"/>
      <c r="Z1020" s="262"/>
      <c r="AA1020" s="262"/>
      <c r="AB1020" s="262"/>
    </row>
    <row r="1021" spans="1:31" ht="12.75">
      <c r="A1021" s="271" t="s">
        <v>14471</v>
      </c>
      <c r="B1021" s="272" t="s">
        <v>14472</v>
      </c>
      <c r="C1021" s="360" t="s">
        <v>14856</v>
      </c>
      <c r="D1021" s="274" t="s">
        <v>14857</v>
      </c>
      <c r="E1021" s="272" t="s">
        <v>6</v>
      </c>
      <c r="F1021" s="272"/>
      <c r="G1021" s="272"/>
      <c r="H1021" s="275">
        <f>TRUNC(SUM(H1023:H1026),2)</f>
        <v>515.13</v>
      </c>
      <c r="I1021" s="276">
        <f>COUNTIF($C$8:$C1021,C:C)</f>
        <v>1</v>
      </c>
      <c r="J1021" s="262"/>
      <c r="K1021" s="262"/>
      <c r="L1021" s="262"/>
      <c r="M1021" s="262"/>
      <c r="N1021" s="262"/>
      <c r="O1021" s="262"/>
      <c r="P1021" s="262"/>
      <c r="Q1021" s="262"/>
      <c r="R1021" s="262"/>
      <c r="S1021" s="262"/>
      <c r="T1021" s="262"/>
      <c r="U1021" s="262"/>
      <c r="V1021" s="262"/>
      <c r="W1021" s="262"/>
      <c r="X1021" s="262"/>
      <c r="Y1021" s="262"/>
      <c r="Z1021" s="262"/>
      <c r="AA1021" s="262"/>
      <c r="AB1021" s="262"/>
    </row>
    <row r="1022" spans="1:31" ht="12.75">
      <c r="A1022" s="277" t="s">
        <v>14475</v>
      </c>
      <c r="B1022" s="337" t="s">
        <v>14522</v>
      </c>
      <c r="C1022" s="337" t="s">
        <v>14858</v>
      </c>
      <c r="D1022" s="490" t="s">
        <v>14567</v>
      </c>
      <c r="E1022" s="609"/>
      <c r="F1022" s="282"/>
      <c r="G1022" s="492"/>
      <c r="H1022" s="493"/>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row>
    <row r="1023" spans="1:31" ht="25.5">
      <c r="A1023" s="285" t="s">
        <v>14478</v>
      </c>
      <c r="B1023" s="407" t="s">
        <v>14476</v>
      </c>
      <c r="C1023" s="344">
        <v>88248</v>
      </c>
      <c r="D1023" s="288" t="str">
        <f>IFERROR(VLOOKUP($C1023,'24.08_ND'!$A:$D,2,0),)</f>
        <v>AUXILIAR DE ENCANADOR OU BOMBEIRO HIDRÁULICO COM ENCARGOS COMPLEMENTARES</v>
      </c>
      <c r="E1023" s="289" t="str">
        <f>IFERROR(VLOOKUP($C1023,'24.08_ND'!$A:$D,3,0),)</f>
        <v>H</v>
      </c>
      <c r="F1023" s="290">
        <v>0.6</v>
      </c>
      <c r="G1023" s="291">
        <f>IFERROR(VLOOKUP($C1023,'24.08_ND'!$A:$D,4,0),)</f>
        <v>19.05</v>
      </c>
      <c r="H1023" s="434">
        <f>TRUNC(($F1023*$G1023),2)</f>
        <v>11.43</v>
      </c>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D1023" s="1791" t="e">
        <f>VLOOKUP(C1023,'Medição '!$B$16:$F$1833,6,0)</f>
        <v>#N/A</v>
      </c>
      <c r="AE1023" s="1791"/>
    </row>
    <row r="1024" spans="1:31" ht="25.5">
      <c r="A1024" s="285" t="s">
        <v>14478</v>
      </c>
      <c r="B1024" s="407" t="s">
        <v>14476</v>
      </c>
      <c r="C1024" s="344">
        <v>88267</v>
      </c>
      <c r="D1024" s="288" t="str">
        <f>IFERROR(VLOOKUP($C1024,'24.08_ND'!$A:$D,2,0),)</f>
        <v>ENCANADOR OU BOMBEIRO HIDRÁULICO COM ENCARGOS COMPLEMENTARES</v>
      </c>
      <c r="E1024" s="289" t="str">
        <f>IFERROR(VLOOKUP($C1024,'24.08_ND'!$A:$D,3,0),)</f>
        <v>H</v>
      </c>
      <c r="F1024" s="290">
        <v>0.6</v>
      </c>
      <c r="G1024" s="291">
        <f>IFERROR(VLOOKUP($C1024,'24.08_ND'!$A:$D,4,0),)</f>
        <v>23.27</v>
      </c>
      <c r="H1024" s="434">
        <f>TRUNC(($F1024*$G1024),2)</f>
        <v>13.96</v>
      </c>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D1024" s="1791" t="e">
        <f>VLOOKUP(C1024,'Medição '!$B$16:$F$1833,6,0)</f>
        <v>#N/A</v>
      </c>
      <c r="AE1024" s="1791"/>
    </row>
    <row r="1025" spans="1:31" ht="38.25">
      <c r="A1025" s="317" t="s">
        <v>14479</v>
      </c>
      <c r="B1025" s="312" t="str">
        <f>VLOOKUP($C1025,'• CIs EXT'!$A:$E,2,0)</f>
        <v>CPOS/CDHU</v>
      </c>
      <c r="C1025" s="313" t="s">
        <v>14859</v>
      </c>
      <c r="D1025" s="314" t="str">
        <f>VLOOKUP($C1025,'• CIs EXT'!$A:$E,3,0)</f>
        <v>FITA TEFLON DE 18 MM</v>
      </c>
      <c r="E1025" s="312" t="str">
        <f>VLOOKUP($C1025,'• CIs EXT'!$A:$E,4,0)</f>
        <v>M</v>
      </c>
      <c r="F1025" s="315">
        <v>0.17</v>
      </c>
      <c r="G1025" s="312">
        <f>VLOOKUP($C1025,'• CIs EXT'!$A:$E,5,0)</f>
        <v>0.16</v>
      </c>
      <c r="H1025" s="316">
        <f>TRUNC(($F1025*$G1025),2)</f>
        <v>0.02</v>
      </c>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row>
    <row r="1026" spans="1:31" ht="38.25">
      <c r="A1026" s="317" t="s">
        <v>14479</v>
      </c>
      <c r="B1026" s="312" t="str">
        <f>VLOOKUP($C1026,'• CIs EXT'!$A:$E,2,0)</f>
        <v>CPOS/CDHU</v>
      </c>
      <c r="C1026" s="313" t="s">
        <v>14860</v>
      </c>
      <c r="D1026" s="314" t="str">
        <f>VLOOKUP($C1026,'• CIs EXT'!$A:$E,3,0)</f>
        <v>VÁLVULA PARA MICTÓRIO ANTIVANDALISMO, SISTEMA HIDROMECÂNICO, DN= 3/4´; REF. LINHA PRESMATIC ANTIVANDALISMO DA DOCOL OU EQUIVALENTE</v>
      </c>
      <c r="E1026" s="312" t="str">
        <f>VLOOKUP($C1026,'• CIs EXT'!$A:$E,4,0)</f>
        <v>UN</v>
      </c>
      <c r="F1026" s="315">
        <v>1</v>
      </c>
      <c r="G1026" s="312">
        <f>VLOOKUP($C1026,'• CIs EXT'!$A:$E,5,0)</f>
        <v>489.72</v>
      </c>
      <c r="H1026" s="316">
        <f>TRUNC(($F1026*$G1026),2)</f>
        <v>489.72</v>
      </c>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row>
    <row r="1027" spans="1:31" ht="12.75">
      <c r="A1027" s="309"/>
      <c r="B1027" s="303"/>
      <c r="C1027" s="303"/>
      <c r="D1027" s="310"/>
      <c r="E1027" s="303"/>
      <c r="F1027" s="306"/>
      <c r="G1027" s="307"/>
      <c r="H1027" s="308"/>
      <c r="I1027" s="262"/>
      <c r="J1027" s="262"/>
      <c r="K1027" s="262"/>
      <c r="L1027" s="262"/>
      <c r="M1027" s="262"/>
      <c r="N1027" s="262"/>
      <c r="O1027" s="262"/>
      <c r="P1027" s="262"/>
      <c r="Q1027" s="262"/>
      <c r="R1027" s="262"/>
      <c r="S1027" s="262"/>
      <c r="T1027" s="262"/>
      <c r="U1027" s="262"/>
      <c r="V1027" s="262"/>
      <c r="W1027" s="262"/>
      <c r="X1027" s="262"/>
      <c r="Y1027" s="262"/>
      <c r="Z1027" s="262"/>
      <c r="AA1027" s="262"/>
      <c r="AB1027" s="262"/>
    </row>
    <row r="1028" spans="1:31" ht="25.5">
      <c r="A1028" s="271" t="s">
        <v>14471</v>
      </c>
      <c r="B1028" s="272" t="s">
        <v>14472</v>
      </c>
      <c r="C1028" s="360" t="s">
        <v>14861</v>
      </c>
      <c r="D1028" s="274" t="s">
        <v>14862</v>
      </c>
      <c r="E1028" s="272" t="s">
        <v>6</v>
      </c>
      <c r="F1028" s="272"/>
      <c r="G1028" s="272"/>
      <c r="H1028" s="275">
        <f>TRUNC(SUM(H1030:H1033),2)</f>
        <v>325.47000000000003</v>
      </c>
      <c r="I1028" s="276">
        <f>COUNTIF($C$8:$C1028,C:C)</f>
        <v>1</v>
      </c>
      <c r="J1028" s="262"/>
      <c r="K1028" s="262"/>
      <c r="L1028" s="262"/>
      <c r="M1028" s="262"/>
      <c r="N1028" s="262"/>
      <c r="O1028" s="262"/>
      <c r="P1028" s="262"/>
      <c r="Q1028" s="262"/>
      <c r="R1028" s="262"/>
      <c r="S1028" s="262"/>
      <c r="T1028" s="262"/>
      <c r="U1028" s="262"/>
      <c r="V1028" s="262"/>
      <c r="W1028" s="262"/>
      <c r="X1028" s="262"/>
      <c r="Y1028" s="262"/>
      <c r="Z1028" s="262"/>
      <c r="AA1028" s="262"/>
      <c r="AB1028" s="262"/>
    </row>
    <row r="1029" spans="1:31" ht="12.75">
      <c r="A1029" s="277" t="s">
        <v>14475</v>
      </c>
      <c r="B1029" s="337" t="s">
        <v>14476</v>
      </c>
      <c r="C1029" s="337">
        <v>103002</v>
      </c>
      <c r="D1029" s="490" t="s">
        <v>14587</v>
      </c>
      <c r="E1029" s="609"/>
      <c r="F1029" s="282"/>
      <c r="G1029" s="492"/>
      <c r="H1029" s="493"/>
      <c r="I1029" s="262"/>
      <c r="J1029" s="262"/>
      <c r="K1029" s="262"/>
      <c r="L1029" s="262"/>
      <c r="M1029" s="262"/>
      <c r="N1029" s="262"/>
      <c r="O1029" s="262"/>
      <c r="P1029" s="262"/>
      <c r="Q1029" s="262"/>
      <c r="R1029" s="262"/>
      <c r="S1029" s="262"/>
      <c r="T1029" s="262"/>
      <c r="U1029" s="262"/>
      <c r="V1029" s="262"/>
      <c r="W1029" s="262"/>
      <c r="X1029" s="262"/>
      <c r="Y1029" s="262"/>
      <c r="Z1029" s="262"/>
      <c r="AA1029" s="262"/>
      <c r="AB1029" s="262"/>
    </row>
    <row r="1030" spans="1:31" ht="25.5">
      <c r="A1030" s="285" t="s">
        <v>14478</v>
      </c>
      <c r="B1030" s="407" t="s">
        <v>14476</v>
      </c>
      <c r="C1030" s="344">
        <v>88629</v>
      </c>
      <c r="D1030" s="288" t="str">
        <f>IFERROR(VLOOKUP($C1030,'24.08_ND'!$A:$D,2,0),)</f>
        <v>ARGAMASSA TRAÇO 1:3 (EM VOLUME DE CIMENTO E AREIA MÉDIA ÚMIDA), PREPARO MANUAL. AF_08/2019</v>
      </c>
      <c r="E1030" s="289" t="str">
        <f>IFERROR(VLOOKUP($C1030,'24.08_ND'!$A:$D,3,0),)</f>
        <v>M3</v>
      </c>
      <c r="F1030" s="290">
        <v>5.5999999999999999E-3</v>
      </c>
      <c r="G1030" s="291">
        <f>IFERROR(VLOOKUP($C1030,'24.08_ND'!$A:$D,4,0),)</f>
        <v>648.55999999999995</v>
      </c>
      <c r="H1030" s="434">
        <f>TRUNC(($F1030*$G1030),2)</f>
        <v>3.63</v>
      </c>
      <c r="I1030" s="262"/>
      <c r="J1030" s="262"/>
      <c r="K1030" s="262"/>
      <c r="L1030" s="262"/>
      <c r="M1030" s="262"/>
      <c r="N1030" s="262"/>
      <c r="O1030" s="262"/>
      <c r="P1030" s="262"/>
      <c r="Q1030" s="262"/>
      <c r="R1030" s="262"/>
      <c r="S1030" s="262"/>
      <c r="T1030" s="262"/>
      <c r="U1030" s="262"/>
      <c r="V1030" s="262"/>
      <c r="W1030" s="262"/>
      <c r="X1030" s="262"/>
      <c r="Y1030" s="262"/>
      <c r="Z1030" s="262"/>
      <c r="AA1030" s="262"/>
      <c r="AB1030" s="262"/>
      <c r="AD1030" s="1791" t="e">
        <f>VLOOKUP(C1030,'Medição '!$B$16:$F$1833,6,0)</f>
        <v>#N/A</v>
      </c>
      <c r="AE1030" s="1791"/>
    </row>
    <row r="1031" spans="1:31" ht="25.5">
      <c r="A1031" s="285" t="s">
        <v>14478</v>
      </c>
      <c r="B1031" s="407" t="s">
        <v>14476</v>
      </c>
      <c r="C1031" s="344">
        <v>88309</v>
      </c>
      <c r="D1031" s="288" t="str">
        <f>IFERROR(VLOOKUP($C1031,'24.08_ND'!$A:$D,2,0),)</f>
        <v>PEDREIRO COM ENCARGOS COMPLEMENTARES</v>
      </c>
      <c r="E1031" s="289" t="str">
        <f>IFERROR(VLOOKUP($C1031,'24.08_ND'!$A:$D,3,0),)</f>
        <v>H</v>
      </c>
      <c r="F1031" s="290">
        <v>0.4723</v>
      </c>
      <c r="G1031" s="291">
        <f>IFERROR(VLOOKUP($C1031,'24.08_ND'!$A:$D,4,0),)</f>
        <v>23.33</v>
      </c>
      <c r="H1031" s="434">
        <f>TRUNC(($F1031*$G1031),2)</f>
        <v>11.01</v>
      </c>
      <c r="I1031" s="262"/>
      <c r="J1031" s="262"/>
      <c r="K1031" s="262"/>
      <c r="L1031" s="262"/>
      <c r="M1031" s="262"/>
      <c r="N1031" s="262"/>
      <c r="O1031" s="262"/>
      <c r="P1031" s="262"/>
      <c r="Q1031" s="262"/>
      <c r="R1031" s="262"/>
      <c r="S1031" s="262"/>
      <c r="T1031" s="262"/>
      <c r="U1031" s="262"/>
      <c r="V1031" s="262"/>
      <c r="W1031" s="262"/>
      <c r="X1031" s="262"/>
      <c r="Y1031" s="262"/>
      <c r="Z1031" s="262"/>
      <c r="AA1031" s="262"/>
      <c r="AB1031" s="262"/>
      <c r="AD1031" s="1791" t="e">
        <f>VLOOKUP(C1031,'Medição '!$B$16:$F$1833,6,0)</f>
        <v>#N/A</v>
      </c>
      <c r="AE1031" s="1791"/>
    </row>
    <row r="1032" spans="1:31" ht="25.5">
      <c r="A1032" s="285" t="s">
        <v>14478</v>
      </c>
      <c r="B1032" s="407" t="s">
        <v>14476</v>
      </c>
      <c r="C1032" s="344">
        <v>88316</v>
      </c>
      <c r="D1032" s="288" t="str">
        <f>IFERROR(VLOOKUP($C1032,'24.08_ND'!$A:$D,2,0),)</f>
        <v>SERVENTE COM ENCARGOS COMPLEMENTARES</v>
      </c>
      <c r="E1032" s="289" t="str">
        <f>IFERROR(VLOOKUP($C1032,'24.08_ND'!$A:$D,3,0),)</f>
        <v>H</v>
      </c>
      <c r="F1032" s="290">
        <v>0.4723</v>
      </c>
      <c r="G1032" s="291">
        <f>IFERROR(VLOOKUP($C1032,'24.08_ND'!$A:$D,4,0),)</f>
        <v>18.510000000000002</v>
      </c>
      <c r="H1032" s="434">
        <f>TRUNC(($F1032*$G1032),2)</f>
        <v>8.74</v>
      </c>
      <c r="I1032" s="262"/>
      <c r="J1032" s="262"/>
      <c r="K1032" s="262"/>
      <c r="L1032" s="262"/>
      <c r="M1032" s="262"/>
      <c r="N1032" s="262"/>
      <c r="O1032" s="262"/>
      <c r="P1032" s="262"/>
      <c r="Q1032" s="262"/>
      <c r="R1032" s="262"/>
      <c r="S1032" s="262"/>
      <c r="T1032" s="262"/>
      <c r="U1032" s="262"/>
      <c r="V1032" s="262"/>
      <c r="W1032" s="262"/>
      <c r="X1032" s="262"/>
      <c r="Y1032" s="262"/>
      <c r="Z1032" s="262"/>
      <c r="AA1032" s="262"/>
      <c r="AB1032" s="262"/>
      <c r="AD1032" s="1791" t="e">
        <f>VLOOKUP(C1032,'Medição '!$B$16:$F$1833,6,0)</f>
        <v>#N/A</v>
      </c>
      <c r="AE1032" s="1791"/>
    </row>
    <row r="1033" spans="1:31" ht="12.75">
      <c r="A1033" s="599" t="s">
        <v>14479</v>
      </c>
      <c r="B1033" s="600" t="s">
        <v>14491</v>
      </c>
      <c r="C1033" s="614" t="s">
        <v>14863</v>
      </c>
      <c r="D1033" s="601" t="str">
        <f>VLOOKUP($C1033,'09 - MC'!$A:$F,2,0)</f>
        <v>GRELHA DE ALUMINÍNO 20X100 CM COM TELA ANTI-INSETO</v>
      </c>
      <c r="E1033" s="602" t="str">
        <f>VLOOKUP($C1033,'09 - MC'!$A:$F,3,0)</f>
        <v>UN</v>
      </c>
      <c r="F1033" s="603">
        <v>1</v>
      </c>
      <c r="G1033" s="604">
        <f>VLOOKUP($C1033,'09 - MC'!$A:$F,6,0)</f>
        <v>302.08999999999997</v>
      </c>
      <c r="H1033" s="605">
        <f>TRUNC(G1033*F1033,2)</f>
        <v>302.08999999999997</v>
      </c>
      <c r="I1033" s="262"/>
      <c r="J1033" s="262"/>
      <c r="K1033" s="262"/>
      <c r="L1033" s="262"/>
      <c r="M1033" s="262"/>
      <c r="N1033" s="262"/>
      <c r="O1033" s="262"/>
      <c r="P1033" s="262"/>
      <c r="Q1033" s="262"/>
      <c r="R1033" s="262"/>
      <c r="S1033" s="262"/>
      <c r="T1033" s="262"/>
      <c r="U1033" s="262"/>
      <c r="V1033" s="262"/>
      <c r="W1033" s="262"/>
      <c r="X1033" s="262"/>
      <c r="Y1033" s="262"/>
      <c r="Z1033" s="262"/>
      <c r="AA1033" s="262"/>
      <c r="AB1033" s="262"/>
    </row>
    <row r="1034" spans="1:31" ht="12.75">
      <c r="A1034" s="309"/>
      <c r="B1034" s="303"/>
      <c r="C1034" s="303"/>
      <c r="D1034" s="310"/>
      <c r="E1034" s="303"/>
      <c r="F1034" s="306"/>
      <c r="G1034" s="307"/>
      <c r="H1034" s="308"/>
      <c r="I1034" s="262"/>
      <c r="J1034" s="262"/>
      <c r="K1034" s="262"/>
      <c r="L1034" s="262"/>
      <c r="M1034" s="262"/>
      <c r="N1034" s="262"/>
      <c r="O1034" s="262"/>
      <c r="P1034" s="262"/>
      <c r="Q1034" s="262"/>
      <c r="R1034" s="262"/>
      <c r="S1034" s="262"/>
      <c r="T1034" s="262"/>
      <c r="U1034" s="262"/>
      <c r="V1034" s="262"/>
      <c r="W1034" s="262"/>
      <c r="X1034" s="262"/>
      <c r="Y1034" s="262"/>
      <c r="Z1034" s="262"/>
      <c r="AA1034" s="262"/>
      <c r="AB1034" s="262"/>
    </row>
    <row r="1035" spans="1:31" ht="12.75">
      <c r="A1035" s="271" t="s">
        <v>14471</v>
      </c>
      <c r="B1035" s="272" t="s">
        <v>14472</v>
      </c>
      <c r="C1035" s="360" t="s">
        <v>14864</v>
      </c>
      <c r="D1035" s="274" t="s">
        <v>14865</v>
      </c>
      <c r="E1035" s="272" t="s">
        <v>6</v>
      </c>
      <c r="F1035" s="272"/>
      <c r="G1035" s="272"/>
      <c r="H1035" s="275">
        <f>TRUNC(SUM(H1037:H1042),2)</f>
        <v>22.88</v>
      </c>
      <c r="I1035" s="276">
        <f>COUNTIF($C$8:$C1035,C:C)</f>
        <v>1</v>
      </c>
      <c r="J1035" s="262"/>
      <c r="K1035" s="262"/>
      <c r="L1035" s="262"/>
      <c r="M1035" s="262"/>
      <c r="N1035" s="262"/>
      <c r="O1035" s="262"/>
      <c r="P1035" s="262"/>
      <c r="Q1035" s="262"/>
      <c r="R1035" s="262"/>
      <c r="S1035" s="262"/>
      <c r="T1035" s="262"/>
      <c r="U1035" s="262"/>
      <c r="V1035" s="262"/>
      <c r="W1035" s="262"/>
      <c r="X1035" s="262"/>
      <c r="Y1035" s="262"/>
      <c r="Z1035" s="262"/>
      <c r="AA1035" s="262"/>
      <c r="AB1035" s="262"/>
    </row>
    <row r="1036" spans="1:31" ht="12.75">
      <c r="A1036" s="277" t="s">
        <v>14475</v>
      </c>
      <c r="B1036" s="337" t="s">
        <v>14476</v>
      </c>
      <c r="C1036" s="337">
        <v>89709</v>
      </c>
      <c r="D1036" s="490" t="s">
        <v>14587</v>
      </c>
      <c r="E1036" s="609"/>
      <c r="F1036" s="282"/>
      <c r="G1036" s="492"/>
      <c r="H1036" s="493"/>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row>
    <row r="1037" spans="1:31" ht="25.5">
      <c r="A1037" s="285" t="s">
        <v>14478</v>
      </c>
      <c r="B1037" s="407" t="s">
        <v>14476</v>
      </c>
      <c r="C1037" s="344">
        <v>88248</v>
      </c>
      <c r="D1037" s="288" t="str">
        <f>IFERROR(VLOOKUP($C1037,'24.08_ND'!$A:$D,2,0),)</f>
        <v>AUXILIAR DE ENCANADOR OU BOMBEIRO HIDRÁULICO COM ENCARGOS COMPLEMENTARES</v>
      </c>
      <c r="E1037" s="289" t="str">
        <f>IFERROR(VLOOKUP($C1037,'24.08_ND'!$A:$D,3,0),)</f>
        <v>H</v>
      </c>
      <c r="F1037" s="290">
        <v>0.16520000000000001</v>
      </c>
      <c r="G1037" s="291">
        <f>IFERROR(VLOOKUP($C1037,'24.08_ND'!$A:$D,4,0),)</f>
        <v>19.05</v>
      </c>
      <c r="H1037" s="434">
        <f>TRUNC(($F1037*$G1037),2)</f>
        <v>3.14</v>
      </c>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D1037" s="1791" t="e">
        <f>VLOOKUP(C1037,'Medição '!$B$16:$F$1833,6,0)</f>
        <v>#N/A</v>
      </c>
      <c r="AE1037" s="1791"/>
    </row>
    <row r="1038" spans="1:31" ht="25.5">
      <c r="A1038" s="285" t="s">
        <v>14478</v>
      </c>
      <c r="B1038" s="407" t="s">
        <v>14476</v>
      </c>
      <c r="C1038" s="344">
        <v>88267</v>
      </c>
      <c r="D1038" s="288" t="str">
        <f>IFERROR(VLOOKUP($C1038,'24.08_ND'!$A:$D,2,0),)</f>
        <v>ENCANADOR OU BOMBEIRO HIDRÁULICO COM ENCARGOS COMPLEMENTARES</v>
      </c>
      <c r="E1038" s="289" t="str">
        <f>IFERROR(VLOOKUP($C1038,'24.08_ND'!$A:$D,3,0),)</f>
        <v>H</v>
      </c>
      <c r="F1038" s="290">
        <v>0.16520000000000001</v>
      </c>
      <c r="G1038" s="291">
        <f>IFERROR(VLOOKUP($C1038,'24.08_ND'!$A:$D,4,0),)</f>
        <v>23.27</v>
      </c>
      <c r="H1038" s="434">
        <f>TRUNC(($F1038*$G1038),2)</f>
        <v>3.84</v>
      </c>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D1038" s="1791" t="e">
        <f>VLOOKUP(C1038,'Medição '!$B$16:$F$1833,6,0)</f>
        <v>#N/A</v>
      </c>
      <c r="AE1038" s="1791"/>
    </row>
    <row r="1039" spans="1:31" ht="12.75">
      <c r="A1039" s="494" t="s">
        <v>14479</v>
      </c>
      <c r="B1039" s="495" t="s">
        <v>14476</v>
      </c>
      <c r="C1039" s="348">
        <v>122</v>
      </c>
      <c r="D1039" s="296" t="str">
        <f>IFERROR(VLOOKUP($C1039,'24.08_ND'!$A:$D,2,0),)</f>
        <v>ADESIVO PLASTICO PARA PVC, FRASCO COM *850* GR</v>
      </c>
      <c r="E1039" s="297" t="str">
        <f>IFERROR(VLOOKUP($C1039,'24.08_ND'!$A:$D,3,0),)</f>
        <v>UN</v>
      </c>
      <c r="F1039" s="298">
        <v>4.8999999999999998E-3</v>
      </c>
      <c r="G1039" s="299">
        <f>IFERROR(VLOOKUP($C1039,'24.08_ND'!$A:$D,4,0),)</f>
        <v>70.09</v>
      </c>
      <c r="H1039" s="300">
        <f>TRUNC(($F1039*$G1039),2)</f>
        <v>0.34</v>
      </c>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row>
    <row r="1040" spans="1:31" ht="12.75">
      <c r="A1040" s="494" t="s">
        <v>14479</v>
      </c>
      <c r="B1040" s="495" t="s">
        <v>14476</v>
      </c>
      <c r="C1040" s="348">
        <v>38383</v>
      </c>
      <c r="D1040" s="296" t="str">
        <f>IFERROR(VLOOKUP($C1040,'24.08_ND'!$A:$D,2,0),)</f>
        <v>LIXA D'AGUA EM FOLHA, GRAO 100</v>
      </c>
      <c r="E1040" s="297" t="str">
        <f>IFERROR(VLOOKUP($C1040,'24.08_ND'!$A:$D,3,0),)</f>
        <v>UN</v>
      </c>
      <c r="F1040" s="298">
        <v>3.5999999999999997E-2</v>
      </c>
      <c r="G1040" s="299">
        <f>IFERROR(VLOOKUP($C1040,'24.08_ND'!$A:$D,4,0),)</f>
        <v>2.5</v>
      </c>
      <c r="H1040" s="300">
        <f>TRUNC(($F1040*$G1040),2)</f>
        <v>0.09</v>
      </c>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row>
    <row r="1041" spans="1:31" ht="12.75">
      <c r="A1041" s="494" t="s">
        <v>14479</v>
      </c>
      <c r="B1041" s="495" t="s">
        <v>14476</v>
      </c>
      <c r="C1041" s="348">
        <v>20083</v>
      </c>
      <c r="D1041" s="296" t="str">
        <f>IFERROR(VLOOKUP($C1041,'24.08_ND'!$A:$D,2,0),)</f>
        <v>SOLUCAO PREPARADORA / LIMPADORA PARA PVC, FRASCO COM 1000 CM3</v>
      </c>
      <c r="E1041" s="297" t="str">
        <f>IFERROR(VLOOKUP($C1041,'24.08_ND'!$A:$D,3,0),)</f>
        <v>UN</v>
      </c>
      <c r="F1041" s="298">
        <v>7.4999999999999997E-3</v>
      </c>
      <c r="G1041" s="299">
        <f>IFERROR(VLOOKUP($C1041,'24.08_ND'!$A:$D,4,0),)</f>
        <v>79.41</v>
      </c>
      <c r="H1041" s="300">
        <f>TRUNC(($F1041*$G1041),2)</f>
        <v>0.59</v>
      </c>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row>
    <row r="1042" spans="1:31" ht="12.75">
      <c r="A1042" s="599" t="s">
        <v>14479</v>
      </c>
      <c r="B1042" s="600" t="s">
        <v>14491</v>
      </c>
      <c r="C1042" s="614" t="s">
        <v>14866</v>
      </c>
      <c r="D1042" s="601" t="str">
        <f>VLOOKUP($C1042,'09 - MC'!$A:$F,2,0)</f>
        <v>RALO OCULTO 10X10</v>
      </c>
      <c r="E1042" s="602" t="str">
        <f>VLOOKUP($C1042,'09 - MC'!$A:$F,3,0)</f>
        <v>UN</v>
      </c>
      <c r="F1042" s="603">
        <v>1</v>
      </c>
      <c r="G1042" s="604">
        <f>VLOOKUP($C1042,'09 - MC'!$A:$F,6,0)</f>
        <v>14.88</v>
      </c>
      <c r="H1042" s="605">
        <f>TRUNC(G1042*F1042,2)</f>
        <v>14.88</v>
      </c>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row>
    <row r="1043" spans="1:31" ht="12.75">
      <c r="A1043" s="309"/>
      <c r="B1043" s="303"/>
      <c r="C1043" s="303"/>
      <c r="D1043" s="310"/>
      <c r="E1043" s="303"/>
      <c r="F1043" s="306"/>
      <c r="G1043" s="307"/>
      <c r="H1043" s="308"/>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row>
    <row r="1044" spans="1:31" ht="12.75">
      <c r="A1044" s="271" t="s">
        <v>14471</v>
      </c>
      <c r="B1044" s="272" t="s">
        <v>14472</v>
      </c>
      <c r="C1044" s="360" t="s">
        <v>14867</v>
      </c>
      <c r="D1044" s="274" t="s">
        <v>14868</v>
      </c>
      <c r="E1044" s="272" t="s">
        <v>6</v>
      </c>
      <c r="F1044" s="272"/>
      <c r="G1044" s="272"/>
      <c r="H1044" s="275">
        <f>TRUNC(SUM(H1046:H1051),2)</f>
        <v>227.57</v>
      </c>
      <c r="I1044" s="276">
        <f>COUNTIF($C$8:$C1044,C:C)</f>
        <v>1</v>
      </c>
      <c r="J1044" s="262"/>
      <c r="K1044" s="262"/>
      <c r="L1044" s="262"/>
      <c r="M1044" s="262"/>
      <c r="N1044" s="262"/>
      <c r="O1044" s="262"/>
      <c r="P1044" s="262"/>
      <c r="Q1044" s="262"/>
      <c r="R1044" s="262"/>
      <c r="S1044" s="262"/>
      <c r="T1044" s="262"/>
      <c r="U1044" s="262"/>
      <c r="V1044" s="262"/>
      <c r="W1044" s="262"/>
      <c r="X1044" s="262"/>
      <c r="Y1044" s="262"/>
      <c r="Z1044" s="262"/>
      <c r="AA1044" s="262"/>
      <c r="AB1044" s="262"/>
    </row>
    <row r="1045" spans="1:31" ht="12.75">
      <c r="A1045" s="277" t="s">
        <v>14475</v>
      </c>
      <c r="B1045" s="337" t="s">
        <v>14476</v>
      </c>
      <c r="C1045" s="337">
        <v>89709</v>
      </c>
      <c r="D1045" s="490" t="s">
        <v>14587</v>
      </c>
      <c r="E1045" s="609"/>
      <c r="F1045" s="282"/>
      <c r="G1045" s="492"/>
      <c r="H1045" s="493"/>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row>
    <row r="1046" spans="1:31" ht="25.5">
      <c r="A1046" s="285" t="s">
        <v>14478</v>
      </c>
      <c r="B1046" s="407" t="s">
        <v>14476</v>
      </c>
      <c r="C1046" s="344">
        <v>88248</v>
      </c>
      <c r="D1046" s="288" t="str">
        <f>IFERROR(VLOOKUP($C1046,'24.08_ND'!$A:$D,2,0),)</f>
        <v>AUXILIAR DE ENCANADOR OU BOMBEIRO HIDRÁULICO COM ENCARGOS COMPLEMENTARES</v>
      </c>
      <c r="E1046" s="289" t="str">
        <f>IFERROR(VLOOKUP($C1046,'24.08_ND'!$A:$D,3,0),)</f>
        <v>H</v>
      </c>
      <c r="F1046" s="290">
        <v>0.19</v>
      </c>
      <c r="G1046" s="291">
        <f>IFERROR(VLOOKUP($C1046,'24.08_ND'!$A:$D,4,0),)</f>
        <v>19.05</v>
      </c>
      <c r="H1046" s="434">
        <f>TRUNC(($F1046*$G1046),2)</f>
        <v>3.61</v>
      </c>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D1046" s="1791" t="e">
        <f>VLOOKUP(C1046,'Medição '!$B$16:$F$1833,6,0)</f>
        <v>#N/A</v>
      </c>
      <c r="AE1046" s="1791"/>
    </row>
    <row r="1047" spans="1:31" ht="25.5">
      <c r="A1047" s="285" t="s">
        <v>14478</v>
      </c>
      <c r="B1047" s="407" t="s">
        <v>14476</v>
      </c>
      <c r="C1047" s="344">
        <v>88267</v>
      </c>
      <c r="D1047" s="288" t="str">
        <f>IFERROR(VLOOKUP($C1047,'24.08_ND'!$A:$D,2,0),)</f>
        <v>ENCANADOR OU BOMBEIRO HIDRÁULICO COM ENCARGOS COMPLEMENTARES</v>
      </c>
      <c r="E1047" s="289" t="str">
        <f>IFERROR(VLOOKUP($C1047,'24.08_ND'!$A:$D,3,0),)</f>
        <v>H</v>
      </c>
      <c r="F1047" s="290">
        <v>0.19</v>
      </c>
      <c r="G1047" s="291">
        <f>IFERROR(VLOOKUP($C1047,'24.08_ND'!$A:$D,4,0),)</f>
        <v>23.27</v>
      </c>
      <c r="H1047" s="434">
        <f>TRUNC(($F1047*$G1047),2)</f>
        <v>4.42</v>
      </c>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D1047" s="1791" t="e">
        <f>VLOOKUP(C1047,'Medição '!$B$16:$F$1833,6,0)</f>
        <v>#N/A</v>
      </c>
      <c r="AE1047" s="1791"/>
    </row>
    <row r="1048" spans="1:31" ht="12.75">
      <c r="A1048" s="494" t="s">
        <v>14479</v>
      </c>
      <c r="B1048" s="495" t="s">
        <v>14476</v>
      </c>
      <c r="C1048" s="348">
        <v>122</v>
      </c>
      <c r="D1048" s="296" t="str">
        <f>IFERROR(VLOOKUP($C1048,'24.08_ND'!$A:$D,2,0),)</f>
        <v>ADESIVO PLASTICO PARA PVC, FRASCO COM *850* GR</v>
      </c>
      <c r="E1048" s="297" t="str">
        <f>IFERROR(VLOOKUP($C1048,'24.08_ND'!$A:$D,3,0),)</f>
        <v>UN</v>
      </c>
      <c r="F1048" s="298">
        <v>6.4999999999999997E-3</v>
      </c>
      <c r="G1048" s="299">
        <f>IFERROR(VLOOKUP($C1048,'24.08_ND'!$A:$D,4,0),)</f>
        <v>70.09</v>
      </c>
      <c r="H1048" s="300">
        <f>TRUNC(($F1048*$G1048),2)</f>
        <v>0.45</v>
      </c>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row>
    <row r="1049" spans="1:31" ht="12.75">
      <c r="A1049" s="494" t="s">
        <v>14479</v>
      </c>
      <c r="B1049" s="495" t="s">
        <v>14476</v>
      </c>
      <c r="C1049" s="348">
        <v>38383</v>
      </c>
      <c r="D1049" s="296" t="str">
        <f>IFERROR(VLOOKUP($C1049,'24.08_ND'!$A:$D,2,0),)</f>
        <v>LIXA D'AGUA EM FOLHA, GRAO 100</v>
      </c>
      <c r="E1049" s="297" t="str">
        <f>IFERROR(VLOOKUP($C1049,'24.08_ND'!$A:$D,3,0),)</f>
        <v>UN</v>
      </c>
      <c r="F1049" s="298">
        <v>5.1999999999999998E-2</v>
      </c>
      <c r="G1049" s="299">
        <f>IFERROR(VLOOKUP($C1049,'24.08_ND'!$A:$D,4,0),)</f>
        <v>2.5</v>
      </c>
      <c r="H1049" s="300">
        <f>TRUNC(($F1049*$G1049),2)</f>
        <v>0.13</v>
      </c>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row>
    <row r="1050" spans="1:31" ht="12.75">
      <c r="A1050" s="494" t="s">
        <v>14479</v>
      </c>
      <c r="B1050" s="495" t="s">
        <v>14476</v>
      </c>
      <c r="C1050" s="348">
        <v>20083</v>
      </c>
      <c r="D1050" s="296" t="str">
        <f>IFERROR(VLOOKUP($C1050,'24.08_ND'!$A:$D,2,0),)</f>
        <v>SOLUCAO PREPARADORA / LIMPADORA PARA PVC, FRASCO COM 1000 CM3</v>
      </c>
      <c r="E1050" s="297" t="str">
        <f>IFERROR(VLOOKUP($C1050,'24.08_ND'!$A:$D,3,0),)</f>
        <v>UN</v>
      </c>
      <c r="F1050" s="298">
        <v>9.4999999999999998E-3</v>
      </c>
      <c r="G1050" s="299">
        <f>IFERROR(VLOOKUP($C1050,'24.08_ND'!$A:$D,4,0),)</f>
        <v>79.41</v>
      </c>
      <c r="H1050" s="300">
        <f>TRUNC(($F1050*$G1050),2)</f>
        <v>0.75</v>
      </c>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row>
    <row r="1051" spans="1:31" ht="12.75">
      <c r="A1051" s="599" t="s">
        <v>14479</v>
      </c>
      <c r="B1051" s="600" t="s">
        <v>14491</v>
      </c>
      <c r="C1051" s="614" t="s">
        <v>14869</v>
      </c>
      <c r="D1051" s="601" t="str">
        <f>VLOOKUP($C1051,'09 - MC'!$A:$F,2,0)</f>
        <v>RALO OCULTO 15x15</v>
      </c>
      <c r="E1051" s="602" t="str">
        <f>VLOOKUP($C1051,'09 - MC'!$A:$F,3,0)</f>
        <v>UN</v>
      </c>
      <c r="F1051" s="603">
        <v>1</v>
      </c>
      <c r="G1051" s="604">
        <f>VLOOKUP($C1051,'09 - MC'!$A:$F,6,0)</f>
        <v>218.21</v>
      </c>
      <c r="H1051" s="605">
        <f>TRUNC(G1051*F1051,2)</f>
        <v>218.21</v>
      </c>
      <c r="I1051" s="262"/>
      <c r="J1051" s="262"/>
      <c r="K1051" s="262"/>
      <c r="L1051" s="262"/>
      <c r="M1051" s="262"/>
      <c r="N1051" s="262"/>
      <c r="O1051" s="262"/>
      <c r="P1051" s="262"/>
      <c r="Q1051" s="262"/>
      <c r="R1051" s="262"/>
      <c r="S1051" s="262"/>
      <c r="T1051" s="262"/>
      <c r="U1051" s="262"/>
      <c r="V1051" s="262"/>
      <c r="W1051" s="262"/>
      <c r="X1051" s="262"/>
      <c r="Y1051" s="262"/>
      <c r="Z1051" s="262"/>
      <c r="AA1051" s="262"/>
      <c r="AB1051" s="262"/>
    </row>
    <row r="1052" spans="1:31" ht="12.75">
      <c r="A1052" s="309"/>
      <c r="B1052" s="303"/>
      <c r="C1052" s="303"/>
      <c r="D1052" s="310"/>
      <c r="E1052" s="303"/>
      <c r="F1052" s="306"/>
      <c r="G1052" s="307"/>
      <c r="H1052" s="308"/>
      <c r="I1052" s="262"/>
      <c r="J1052" s="262"/>
      <c r="K1052" s="262"/>
      <c r="L1052" s="262"/>
      <c r="M1052" s="262"/>
      <c r="N1052" s="262"/>
      <c r="O1052" s="262"/>
      <c r="P1052" s="262"/>
      <c r="Q1052" s="262"/>
      <c r="R1052" s="262"/>
      <c r="S1052" s="262"/>
      <c r="T1052" s="262"/>
      <c r="U1052" s="262"/>
      <c r="V1052" s="262"/>
      <c r="W1052" s="262"/>
      <c r="X1052" s="262"/>
      <c r="Y1052" s="262"/>
      <c r="Z1052" s="262"/>
      <c r="AA1052" s="262"/>
      <c r="AB1052" s="262"/>
    </row>
    <row r="1053" spans="1:31" ht="12.75">
      <c r="A1053" s="271" t="s">
        <v>14471</v>
      </c>
      <c r="B1053" s="272" t="s">
        <v>14472</v>
      </c>
      <c r="C1053" s="360" t="s">
        <v>14870</v>
      </c>
      <c r="D1053" s="274" t="s">
        <v>14871</v>
      </c>
      <c r="E1053" s="272" t="s">
        <v>409</v>
      </c>
      <c r="F1053" s="272"/>
      <c r="G1053" s="272"/>
      <c r="H1053" s="275">
        <f>TRUNC(SUM(H1055:H1058),2)</f>
        <v>152.26</v>
      </c>
      <c r="I1053" s="276">
        <f>COUNTIF($C$8:$C1053,C:C)</f>
        <v>1</v>
      </c>
      <c r="J1053" s="262"/>
      <c r="K1053" s="262"/>
      <c r="L1053" s="262"/>
      <c r="M1053" s="262"/>
      <c r="N1053" s="262"/>
      <c r="O1053" s="262"/>
      <c r="P1053" s="262"/>
      <c r="Q1053" s="262"/>
      <c r="R1053" s="262"/>
      <c r="S1053" s="262"/>
      <c r="T1053" s="262"/>
      <c r="U1053" s="262"/>
      <c r="V1053" s="262"/>
      <c r="W1053" s="262"/>
      <c r="X1053" s="262"/>
      <c r="Y1053" s="262"/>
      <c r="Z1053" s="262"/>
      <c r="AA1053" s="262"/>
      <c r="AB1053" s="262"/>
    </row>
    <row r="1054" spans="1:31" ht="12.75">
      <c r="A1054" s="277" t="s">
        <v>14475</v>
      </c>
      <c r="B1054" s="563" t="s">
        <v>14600</v>
      </c>
      <c r="C1054" s="489">
        <v>13358</v>
      </c>
      <c r="D1054" s="490" t="s">
        <v>14477</v>
      </c>
      <c r="E1054" s="623"/>
      <c r="F1054" s="355"/>
      <c r="G1054" s="624"/>
      <c r="H1054" s="625"/>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row>
    <row r="1055" spans="1:31" ht="25.5">
      <c r="A1055" s="285" t="s">
        <v>14478</v>
      </c>
      <c r="B1055" s="407" t="s">
        <v>14476</v>
      </c>
      <c r="C1055" s="408">
        <v>88240</v>
      </c>
      <c r="D1055" s="288" t="str">
        <f>IFERROR(VLOOKUP($C1055,'24.08_ND'!$A:$D,2,0),)</f>
        <v>AJUDANTE DE ESTRUTURA METÁLICA COM ENCARGOS COMPLEMENTARES</v>
      </c>
      <c r="E1055" s="289" t="str">
        <f>IFERROR(VLOOKUP($C1055,'24.08_ND'!$A:$D,3,0),)</f>
        <v>H</v>
      </c>
      <c r="F1055" s="290">
        <v>1.1000000000000001</v>
      </c>
      <c r="G1055" s="291">
        <f>IFERROR(VLOOKUP($C1055,'24.08_ND'!$A:$D,4,0),)</f>
        <v>18.5</v>
      </c>
      <c r="H1055" s="292">
        <f>TRUNC(($F1055*$G1055),2)</f>
        <v>20.350000000000001</v>
      </c>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D1055" s="1791" t="e">
        <f>VLOOKUP(C1055,'Medição '!$B$16:$F$1833,6,0)</f>
        <v>#N/A</v>
      </c>
      <c r="AE1055" s="1791"/>
    </row>
    <row r="1056" spans="1:31" ht="25.5">
      <c r="A1056" s="285" t="s">
        <v>14478</v>
      </c>
      <c r="B1056" s="407" t="s">
        <v>14476</v>
      </c>
      <c r="C1056" s="408">
        <v>88315</v>
      </c>
      <c r="D1056" s="288" t="str">
        <f>IFERROR(VLOOKUP($C1056,'24.08_ND'!$A:$D,2,0),)</f>
        <v>SERRALHEIRO COM ENCARGOS COMPLEMENTARES</v>
      </c>
      <c r="E1056" s="289" t="str">
        <f>IFERROR(VLOOKUP($C1056,'24.08_ND'!$A:$D,3,0),)</f>
        <v>H</v>
      </c>
      <c r="F1056" s="290">
        <v>1.1000000000000001</v>
      </c>
      <c r="G1056" s="291">
        <f>IFERROR(VLOOKUP($C1056,'24.08_ND'!$A:$D,4,0),)</f>
        <v>23.13</v>
      </c>
      <c r="H1056" s="292">
        <f>TRUNC(($F1056*$G1056),2)</f>
        <v>25.44</v>
      </c>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D1056" s="1791" t="e">
        <f>VLOOKUP(C1056,'Medição '!$B$16:$F$1833,6,0)</f>
        <v>#N/A</v>
      </c>
      <c r="AE1056" s="1791"/>
    </row>
    <row r="1057" spans="1:31" ht="25.5">
      <c r="A1057" s="626" t="s">
        <v>14479</v>
      </c>
      <c r="B1057" s="495" t="s">
        <v>14476</v>
      </c>
      <c r="C1057" s="559">
        <v>142</v>
      </c>
      <c r="D1057" s="296" t="str">
        <f>IFERROR(VLOOKUP($C1057,'24.08_ND'!$A:$D,2,0),)</f>
        <v>SELANTE ELASTICO MONOCOMPONENTE A BASE DE POLIURETANO (PU) PARA JUNTAS DIVERSAS</v>
      </c>
      <c r="E1057" s="297" t="str">
        <f>IFERROR(VLOOKUP($C1057,'24.08_ND'!$A:$D,3,0),)</f>
        <v>310ML</v>
      </c>
      <c r="F1057" s="298">
        <v>1.25</v>
      </c>
      <c r="G1057" s="299">
        <f>IFERROR(VLOOKUP($C1057,'24.08_ND'!$A:$D,4,0),)</f>
        <v>34.200000000000003</v>
      </c>
      <c r="H1057" s="300">
        <f>TRUNC(($F1057*$G1057),2)</f>
        <v>42.75</v>
      </c>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row>
    <row r="1058" spans="1:31" ht="38.25">
      <c r="A1058" s="627" t="s">
        <v>14479</v>
      </c>
      <c r="B1058" s="312" t="str">
        <f>VLOOKUP($C1058,'• CIs EXT'!$A:$E,2,0)</f>
        <v>CPOS/CDHU</v>
      </c>
      <c r="C1058" s="473" t="s">
        <v>14872</v>
      </c>
      <c r="D1058" s="314" t="str">
        <f>VLOOKUP($C1058,'• CIs EXT'!$A:$E,3,0)</f>
        <v>CHAPA EM POLICARBONATO ALVEOLAR , CRISTAL, 10 X 2100 X 6000 MM</v>
      </c>
      <c r="E1058" s="312" t="str">
        <f>VLOOKUP($C1058,'• CIs EXT'!$A:$E,4,0)</f>
        <v>UN</v>
      </c>
      <c r="F1058" s="313">
        <v>8.7300000000000003E-2</v>
      </c>
      <c r="G1058" s="312">
        <f>VLOOKUP($C1058,'• CIs EXT'!$A:$E,5,0)</f>
        <v>729.9</v>
      </c>
      <c r="H1058" s="316">
        <f>TRUNC(($F1058*$G1058),2)</f>
        <v>63.72</v>
      </c>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row>
    <row r="1059" spans="1:31" ht="12.75">
      <c r="A1059" s="309"/>
      <c r="B1059" s="303"/>
      <c r="C1059" s="303"/>
      <c r="D1059" s="310"/>
      <c r="E1059" s="303"/>
      <c r="F1059" s="306"/>
      <c r="G1059" s="307"/>
      <c r="H1059" s="308"/>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row>
    <row r="1060" spans="1:31" ht="25.5">
      <c r="A1060" s="271" t="s">
        <v>14471</v>
      </c>
      <c r="B1060" s="272" t="s">
        <v>14472</v>
      </c>
      <c r="C1060" s="360" t="s">
        <v>14873</v>
      </c>
      <c r="D1060" s="274" t="s">
        <v>14874</v>
      </c>
      <c r="E1060" s="272" t="s">
        <v>50</v>
      </c>
      <c r="F1060" s="272"/>
      <c r="G1060" s="272"/>
      <c r="H1060" s="275">
        <f>TRUNC(SUM(H1061:H1065),2)</f>
        <v>42.15</v>
      </c>
      <c r="I1060" s="276">
        <f>COUNTIF($C$8:$C1060,C:C)</f>
        <v>1</v>
      </c>
      <c r="J1060" s="262"/>
      <c r="K1060" s="262"/>
      <c r="L1060" s="262"/>
      <c r="M1060" s="262"/>
      <c r="N1060" s="262"/>
      <c r="O1060" s="262"/>
      <c r="P1060" s="262"/>
      <c r="Q1060" s="262"/>
      <c r="R1060" s="262"/>
      <c r="S1060" s="262"/>
      <c r="T1060" s="262"/>
      <c r="U1060" s="262"/>
      <c r="V1060" s="262"/>
      <c r="W1060" s="262"/>
      <c r="X1060" s="262"/>
      <c r="Y1060" s="262"/>
      <c r="Z1060" s="262"/>
      <c r="AA1060" s="262"/>
      <c r="AB1060" s="262"/>
    </row>
    <row r="1061" spans="1:31" ht="25.5">
      <c r="A1061" s="285" t="s">
        <v>14478</v>
      </c>
      <c r="B1061" s="407" t="s">
        <v>14476</v>
      </c>
      <c r="C1061" s="408">
        <v>88323</v>
      </c>
      <c r="D1061" s="288" t="str">
        <f>IFERROR(VLOOKUP($C1061,'24.08_ND'!$A:$D,2,0),)</f>
        <v>TELHADISTA COM ENCARGOS COMPLEMENTARES</v>
      </c>
      <c r="E1061" s="289" t="str">
        <f>IFERROR(VLOOKUP($C1061,'24.08_ND'!$A:$D,3,0),)</f>
        <v>H</v>
      </c>
      <c r="F1061" s="290">
        <v>0.17499999999999999</v>
      </c>
      <c r="G1061" s="291">
        <f>IFERROR(VLOOKUP($C1061,'24.08_ND'!$A:$D,4,0),)</f>
        <v>22.77</v>
      </c>
      <c r="H1061" s="292">
        <f>TRUNC(($F1061*$G1061),2)</f>
        <v>3.98</v>
      </c>
      <c r="I1061" s="262"/>
      <c r="J1061" s="262"/>
      <c r="K1061" s="262"/>
      <c r="L1061" s="262"/>
      <c r="M1061" s="262"/>
      <c r="N1061" s="262"/>
      <c r="O1061" s="262"/>
      <c r="P1061" s="262"/>
      <c r="Q1061" s="262"/>
      <c r="R1061" s="262"/>
      <c r="S1061" s="262"/>
      <c r="T1061" s="262"/>
      <c r="U1061" s="262"/>
      <c r="V1061" s="262"/>
      <c r="W1061" s="262"/>
      <c r="X1061" s="262"/>
      <c r="Y1061" s="262"/>
      <c r="Z1061" s="262"/>
      <c r="AA1061" s="262"/>
      <c r="AB1061" s="262"/>
      <c r="AD1061" s="1791" t="e">
        <f>VLOOKUP(C1061,'Medição '!$B$16:$F$1833,6,0)</f>
        <v>#N/A</v>
      </c>
      <c r="AE1061" s="1791"/>
    </row>
    <row r="1062" spans="1:31" ht="25.5">
      <c r="A1062" s="285" t="s">
        <v>14478</v>
      </c>
      <c r="B1062" s="407" t="s">
        <v>14476</v>
      </c>
      <c r="C1062" s="408">
        <v>88240</v>
      </c>
      <c r="D1062" s="288" t="str">
        <f>IFERROR(VLOOKUP($C1062,'24.08_ND'!$A:$D,2,0),)</f>
        <v>AJUDANTE DE ESTRUTURA METÁLICA COM ENCARGOS COMPLEMENTARES</v>
      </c>
      <c r="E1062" s="289" t="str">
        <f>IFERROR(VLOOKUP($C1062,'24.08_ND'!$A:$D,3,0),)</f>
        <v>H</v>
      </c>
      <c r="F1062" s="290">
        <v>5.8333000000000003E-2</v>
      </c>
      <c r="G1062" s="291">
        <f>IFERROR(VLOOKUP($C1062,'24.08_ND'!$A:$D,4,0),)</f>
        <v>18.5</v>
      </c>
      <c r="H1062" s="292">
        <f>TRUNC(($F1062*$G1062),2)</f>
        <v>1.07</v>
      </c>
      <c r="I1062" s="262"/>
      <c r="J1062" s="262"/>
      <c r="K1062" s="262"/>
      <c r="L1062" s="262"/>
      <c r="M1062" s="262"/>
      <c r="N1062" s="262"/>
      <c r="O1062" s="262"/>
      <c r="P1062" s="262"/>
      <c r="Q1062" s="262"/>
      <c r="R1062" s="262"/>
      <c r="S1062" s="262"/>
      <c r="T1062" s="262"/>
      <c r="U1062" s="262"/>
      <c r="V1062" s="262"/>
      <c r="W1062" s="262"/>
      <c r="X1062" s="262"/>
      <c r="Y1062" s="262"/>
      <c r="Z1062" s="262"/>
      <c r="AA1062" s="262"/>
      <c r="AB1062" s="262"/>
      <c r="AD1062" s="1791" t="e">
        <f>VLOOKUP(C1062,'Medição '!$B$16:$F$1833,6,0)</f>
        <v>#N/A</v>
      </c>
      <c r="AE1062" s="1791"/>
    </row>
    <row r="1063" spans="1:31" ht="12.75">
      <c r="A1063" s="293" t="s">
        <v>14479</v>
      </c>
      <c r="B1063" s="297" t="s">
        <v>14476</v>
      </c>
      <c r="C1063" s="295">
        <v>40547</v>
      </c>
      <c r="D1063" s="296" t="str">
        <f>IFERROR(VLOOKUP($C1063,'24.08_ND'!$A:$D,2,0),)</f>
        <v>PARAFUSO ZINCADO, AUTOBROCANTE, FLANGEADO, 4,2 MM X 19 MM</v>
      </c>
      <c r="E1063" s="297" t="str">
        <f>IFERROR(VLOOKUP($C1063,'24.08_ND'!$A:$D,3,0),)</f>
        <v>CENTO</v>
      </c>
      <c r="F1063" s="298">
        <v>0.06</v>
      </c>
      <c r="G1063" s="299">
        <f>IFERROR(VLOOKUP($C1063,'24.08_ND'!$A:$D,4,0),)</f>
        <v>26.33</v>
      </c>
      <c r="H1063" s="300">
        <f>TRUNC(($F1063*$G1063),2)</f>
        <v>1.57</v>
      </c>
      <c r="I1063" s="262"/>
      <c r="J1063" s="262"/>
      <c r="K1063" s="262"/>
      <c r="L1063" s="262"/>
      <c r="M1063" s="262"/>
      <c r="N1063" s="262"/>
      <c r="O1063" s="262"/>
      <c r="P1063" s="262"/>
      <c r="Q1063" s="262"/>
      <c r="R1063" s="262"/>
      <c r="S1063" s="262"/>
      <c r="T1063" s="262"/>
      <c r="U1063" s="262"/>
      <c r="V1063" s="262"/>
      <c r="W1063" s="262"/>
      <c r="X1063" s="262"/>
      <c r="Y1063" s="262"/>
      <c r="Z1063" s="262"/>
      <c r="AA1063" s="262"/>
      <c r="AB1063" s="262"/>
    </row>
    <row r="1064" spans="1:31" ht="25.5">
      <c r="A1064" s="626" t="s">
        <v>14479</v>
      </c>
      <c r="B1064" s="495" t="s">
        <v>14476</v>
      </c>
      <c r="C1064" s="559">
        <v>142</v>
      </c>
      <c r="D1064" s="296" t="str">
        <f>IFERROR(VLOOKUP($C1064,'24.08_ND'!$A:$D,2,0),)</f>
        <v>SELANTE ELASTICO MONOCOMPONENTE A BASE DE POLIURETANO (PU) PARA JUNTAS DIVERSAS</v>
      </c>
      <c r="E1064" s="297" t="str">
        <f>IFERROR(VLOOKUP($C1064,'24.08_ND'!$A:$D,3,0),)</f>
        <v>310ML</v>
      </c>
      <c r="F1064" s="298">
        <v>0.26250000000000001</v>
      </c>
      <c r="G1064" s="299">
        <f>IFERROR(VLOOKUP($C1064,'24.08_ND'!$A:$D,4,0),)</f>
        <v>34.200000000000003</v>
      </c>
      <c r="H1064" s="300">
        <f>TRUNC(($F1064*$G1064),2)</f>
        <v>8.9700000000000006</v>
      </c>
      <c r="I1064" s="262"/>
      <c r="J1064" s="262"/>
      <c r="K1064" s="262"/>
      <c r="L1064" s="262"/>
      <c r="M1064" s="262"/>
      <c r="N1064" s="262"/>
      <c r="O1064" s="262"/>
      <c r="P1064" s="262"/>
      <c r="Q1064" s="262"/>
      <c r="R1064" s="262"/>
      <c r="S1064" s="262"/>
      <c r="T1064" s="262"/>
      <c r="U1064" s="262"/>
      <c r="V1064" s="262"/>
      <c r="W1064" s="262"/>
      <c r="X1064" s="262"/>
      <c r="Y1064" s="262"/>
      <c r="Z1064" s="262"/>
      <c r="AA1064" s="262"/>
      <c r="AB1064" s="262"/>
    </row>
    <row r="1065" spans="1:31" ht="12.75">
      <c r="A1065" s="319" t="s">
        <v>14479</v>
      </c>
      <c r="B1065" s="320" t="s">
        <v>14491</v>
      </c>
      <c r="C1065" s="628" t="s">
        <v>14875</v>
      </c>
      <c r="D1065" s="321" t="str">
        <f>VLOOKUP($C1065,'09 - MC'!$A:$F,2,0)</f>
        <v>PERFIL H PARA POLICARBONATO</v>
      </c>
      <c r="E1065" s="322" t="str">
        <f>VLOOKUP($C1065,'09 - MC'!$A:$F,3,0)</f>
        <v>M</v>
      </c>
      <c r="F1065" s="629">
        <v>1.05</v>
      </c>
      <c r="G1065" s="324">
        <f>VLOOKUP($C1065,'09 - MC'!$A:$F,6,0)</f>
        <v>25.3</v>
      </c>
      <c r="H1065" s="325">
        <f>TRUNC(G1065*F1065,2)</f>
        <v>26.56</v>
      </c>
      <c r="I1065" s="262"/>
      <c r="J1065" s="262"/>
      <c r="K1065" s="262"/>
      <c r="L1065" s="262"/>
      <c r="M1065" s="262"/>
      <c r="N1065" s="262"/>
      <c r="O1065" s="262"/>
      <c r="P1065" s="262"/>
      <c r="Q1065" s="262"/>
      <c r="R1065" s="262"/>
      <c r="S1065" s="262"/>
      <c r="T1065" s="262"/>
      <c r="U1065" s="262"/>
      <c r="V1065" s="262"/>
      <c r="W1065" s="262"/>
      <c r="X1065" s="262"/>
      <c r="Y1065" s="262"/>
      <c r="Z1065" s="262"/>
      <c r="AA1065" s="262"/>
      <c r="AB1065" s="262"/>
    </row>
    <row r="1066" spans="1:31" ht="12.75">
      <c r="A1066" s="309"/>
      <c r="B1066" s="303"/>
      <c r="C1066" s="303"/>
      <c r="D1066" s="310"/>
      <c r="E1066" s="303"/>
      <c r="F1066" s="306"/>
      <c r="G1066" s="307"/>
      <c r="H1066" s="308"/>
      <c r="I1066" s="262"/>
      <c r="J1066" s="262"/>
      <c r="K1066" s="262"/>
      <c r="L1066" s="262"/>
      <c r="M1066" s="262"/>
      <c r="N1066" s="262"/>
      <c r="O1066" s="262"/>
      <c r="P1066" s="262"/>
      <c r="Q1066" s="262"/>
      <c r="R1066" s="262"/>
      <c r="S1066" s="262"/>
      <c r="T1066" s="262"/>
      <c r="U1066" s="262"/>
      <c r="V1066" s="262"/>
      <c r="W1066" s="262"/>
      <c r="X1066" s="262"/>
      <c r="Y1066" s="262"/>
      <c r="Z1066" s="262"/>
      <c r="AA1066" s="262"/>
      <c r="AB1066" s="262"/>
    </row>
    <row r="1067" spans="1:31" ht="25.5">
      <c r="A1067" s="271" t="s">
        <v>14471</v>
      </c>
      <c r="B1067" s="272" t="s">
        <v>14472</v>
      </c>
      <c r="C1067" s="360" t="s">
        <v>14876</v>
      </c>
      <c r="D1067" s="274" t="s">
        <v>14877</v>
      </c>
      <c r="E1067" s="272" t="s">
        <v>50</v>
      </c>
      <c r="F1067" s="272"/>
      <c r="G1067" s="272"/>
      <c r="H1067" s="275">
        <f>TRUNC(SUM(H1068:H1071),2)</f>
        <v>17.079999999999998</v>
      </c>
      <c r="I1067" s="276">
        <f>COUNTIF($C$8:$C1067,C:C)</f>
        <v>1</v>
      </c>
      <c r="J1067" s="262"/>
      <c r="K1067" s="262"/>
      <c r="L1067" s="262"/>
      <c r="M1067" s="262"/>
      <c r="N1067" s="262"/>
      <c r="O1067" s="262"/>
      <c r="P1067" s="262"/>
      <c r="Q1067" s="262"/>
      <c r="R1067" s="262"/>
      <c r="S1067" s="262"/>
      <c r="T1067" s="262"/>
      <c r="U1067" s="262"/>
      <c r="V1067" s="262"/>
      <c r="W1067" s="262"/>
      <c r="X1067" s="262"/>
      <c r="Y1067" s="262"/>
      <c r="Z1067" s="262"/>
      <c r="AA1067" s="262"/>
      <c r="AB1067" s="262"/>
    </row>
    <row r="1068" spans="1:31" ht="25.5">
      <c r="A1068" s="285" t="s">
        <v>14478</v>
      </c>
      <c r="B1068" s="407" t="s">
        <v>14476</v>
      </c>
      <c r="C1068" s="408">
        <v>88323</v>
      </c>
      <c r="D1068" s="288" t="str">
        <f>IFERROR(VLOOKUP($C1068,'24.08_ND'!$A:$D,2,0),)</f>
        <v>TELHADISTA COM ENCARGOS COMPLEMENTARES</v>
      </c>
      <c r="E1068" s="289" t="str">
        <f>IFERROR(VLOOKUP($C1068,'24.08_ND'!$A:$D,3,0),)</f>
        <v>H</v>
      </c>
      <c r="F1068" s="290">
        <v>8.7499999999999994E-2</v>
      </c>
      <c r="G1068" s="291">
        <f>IFERROR(VLOOKUP($C1068,'24.08_ND'!$A:$D,4,0),)</f>
        <v>22.77</v>
      </c>
      <c r="H1068" s="292">
        <f>TRUNC(($F1068*$G1068),2)</f>
        <v>1.99</v>
      </c>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D1068" s="1791" t="e">
        <f>VLOOKUP(C1068,'Medição '!$B$16:$F$1833,6,0)</f>
        <v>#N/A</v>
      </c>
      <c r="AE1068" s="1791"/>
    </row>
    <row r="1069" spans="1:31" ht="25.5">
      <c r="A1069" s="285" t="s">
        <v>14478</v>
      </c>
      <c r="B1069" s="407" t="s">
        <v>14476</v>
      </c>
      <c r="C1069" s="408">
        <v>88240</v>
      </c>
      <c r="D1069" s="288" t="str">
        <f>IFERROR(VLOOKUP($C1069,'24.08_ND'!$A:$D,2,0),)</f>
        <v>AJUDANTE DE ESTRUTURA METÁLICA COM ENCARGOS COMPLEMENTARES</v>
      </c>
      <c r="E1069" s="289" t="str">
        <f>IFERROR(VLOOKUP($C1069,'24.08_ND'!$A:$D,3,0),)</f>
        <v>H</v>
      </c>
      <c r="F1069" s="290">
        <v>4.3749999999999997E-2</v>
      </c>
      <c r="G1069" s="291">
        <f>IFERROR(VLOOKUP($C1069,'24.08_ND'!$A:$D,4,0),)</f>
        <v>18.5</v>
      </c>
      <c r="H1069" s="292">
        <f>TRUNC(($F1069*$G1069),2)</f>
        <v>0.8</v>
      </c>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D1069" s="1791" t="e">
        <f>VLOOKUP(C1069,'Medição '!$B$16:$F$1833,6,0)</f>
        <v>#N/A</v>
      </c>
      <c r="AE1069" s="1791"/>
    </row>
    <row r="1070" spans="1:31" ht="25.5">
      <c r="A1070" s="626" t="s">
        <v>14479</v>
      </c>
      <c r="B1070" s="495" t="s">
        <v>14476</v>
      </c>
      <c r="C1070" s="559">
        <v>142</v>
      </c>
      <c r="D1070" s="296" t="str">
        <f>IFERROR(VLOOKUP($C1070,'24.08_ND'!$A:$D,2,0),)</f>
        <v>SELANTE ELASTICO MONOCOMPONENTE A BASE DE POLIURETANO (PU) PARA JUNTAS DIVERSAS</v>
      </c>
      <c r="E1070" s="297" t="str">
        <f>IFERROR(VLOOKUP($C1070,'24.08_ND'!$A:$D,3,0),)</f>
        <v>310ML</v>
      </c>
      <c r="F1070" s="298">
        <v>0.18124999999999999</v>
      </c>
      <c r="G1070" s="299">
        <f>IFERROR(VLOOKUP($C1070,'24.08_ND'!$A:$D,4,0),)</f>
        <v>34.200000000000003</v>
      </c>
      <c r="H1070" s="300">
        <f>TRUNC(($F1070*$G1070),2)</f>
        <v>6.19</v>
      </c>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row>
    <row r="1071" spans="1:31" ht="25.5">
      <c r="A1071" s="626" t="s">
        <v>14479</v>
      </c>
      <c r="B1071" s="495" t="s">
        <v>14476</v>
      </c>
      <c r="C1071" s="559">
        <v>11552</v>
      </c>
      <c r="D1071" s="296" t="str">
        <f>IFERROR(VLOOKUP($C1071,'24.08_ND'!$A:$D,2,0),)</f>
        <v>PERFIL EM ALUMINIO, FORMATO U, ABAS IGUAIS, LARGURA DE 12,70 MM (1/2 POL), ESPESSURA 1,58 MM (1/16 POL) E PESO LINEAR DE APROXIMADAMENTE 0,149 KG/M</v>
      </c>
      <c r="E1071" s="297" t="str">
        <f>IFERROR(VLOOKUP($C1071,'24.08_ND'!$A:$D,3,0),)</f>
        <v>M</v>
      </c>
      <c r="F1071" s="298">
        <v>1.05</v>
      </c>
      <c r="G1071" s="299">
        <f>IFERROR(VLOOKUP($C1071,'24.08_ND'!$A:$D,4,0),)</f>
        <v>7.72</v>
      </c>
      <c r="H1071" s="300">
        <f>TRUNC(($F1071*$G1071),2)</f>
        <v>8.1</v>
      </c>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row>
    <row r="1072" spans="1:31" ht="12.75">
      <c r="A1072" s="309"/>
      <c r="B1072" s="303"/>
      <c r="C1072" s="303"/>
      <c r="D1072" s="310"/>
      <c r="E1072" s="303"/>
      <c r="F1072" s="306"/>
      <c r="G1072" s="307"/>
      <c r="H1072" s="308"/>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row>
    <row r="1073" spans="1:31" ht="25.5">
      <c r="A1073" s="271" t="s">
        <v>14471</v>
      </c>
      <c r="B1073" s="272" t="s">
        <v>14472</v>
      </c>
      <c r="C1073" s="360" t="s">
        <v>14878</v>
      </c>
      <c r="D1073" s="274" t="s">
        <v>14879</v>
      </c>
      <c r="E1073" s="272" t="s">
        <v>50</v>
      </c>
      <c r="F1073" s="272"/>
      <c r="G1073" s="272"/>
      <c r="H1073" s="275">
        <f>TRUNC(SUM(H1075:H1083),2)</f>
        <v>69.34</v>
      </c>
      <c r="I1073" s="276">
        <f>COUNTIF($C$8:$C1073,C:C)</f>
        <v>1</v>
      </c>
      <c r="J1073" s="262"/>
      <c r="K1073" s="262"/>
      <c r="L1073" s="262"/>
      <c r="M1073" s="262"/>
      <c r="N1073" s="262"/>
      <c r="O1073" s="262"/>
      <c r="P1073" s="262"/>
      <c r="Q1073" s="262"/>
      <c r="R1073" s="262"/>
      <c r="S1073" s="262"/>
      <c r="T1073" s="262"/>
      <c r="U1073" s="262"/>
      <c r="V1073" s="262"/>
      <c r="W1073" s="262"/>
      <c r="X1073" s="262"/>
      <c r="Y1073" s="262"/>
      <c r="Z1073" s="262"/>
      <c r="AA1073" s="262"/>
      <c r="AB1073" s="262"/>
    </row>
    <row r="1074" spans="1:31" ht="12.75">
      <c r="A1074" s="277" t="s">
        <v>14475</v>
      </c>
      <c r="B1074" s="563" t="s">
        <v>14476</v>
      </c>
      <c r="C1074" s="489">
        <v>94228</v>
      </c>
      <c r="D1074" s="490" t="s">
        <v>14587</v>
      </c>
      <c r="E1074" s="623"/>
      <c r="F1074" s="355"/>
      <c r="G1074" s="624"/>
      <c r="H1074" s="625"/>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row>
    <row r="1075" spans="1:31" ht="25.5">
      <c r="A1075" s="285" t="s">
        <v>14478</v>
      </c>
      <c r="B1075" s="407" t="s">
        <v>14476</v>
      </c>
      <c r="C1075" s="408">
        <v>93282</v>
      </c>
      <c r="D1075" s="288" t="str">
        <f>IFERROR(VLOOKUP($C1075,'24.08_ND'!$A:$D,2,0),)</f>
        <v>GUINCHO ELÉTRICO DE COLUNA, CAPACIDADE 400 KG, COM MOTO FREIO, MOTOR TRIFÁSICO DE 1,25 CV - CHI DIURNO. AF_03/2016</v>
      </c>
      <c r="E1075" s="289" t="str">
        <f>IFERROR(VLOOKUP($C1075,'24.08_ND'!$A:$D,3,0),)</f>
        <v>CHI</v>
      </c>
      <c r="F1075" s="290">
        <v>1.83E-2</v>
      </c>
      <c r="G1075" s="291">
        <f>IFERROR(VLOOKUP($C1075,'24.08_ND'!$A:$D,4,0),)</f>
        <v>19.440000000000001</v>
      </c>
      <c r="H1075" s="292">
        <f t="shared" ref="H1075:H1083" si="40">TRUNC(($F1075*$G1075),2)</f>
        <v>0.35</v>
      </c>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D1075" s="1791" t="e">
        <f>VLOOKUP(C1075,'Medição '!$B$16:$F$1833,6,0)</f>
        <v>#N/A</v>
      </c>
      <c r="AE1075" s="1791"/>
    </row>
    <row r="1076" spans="1:31" ht="25.5">
      <c r="A1076" s="285" t="s">
        <v>14478</v>
      </c>
      <c r="B1076" s="407" t="s">
        <v>14476</v>
      </c>
      <c r="C1076" s="408">
        <v>93281</v>
      </c>
      <c r="D1076" s="288" t="str">
        <f>IFERROR(VLOOKUP($C1076,'24.08_ND'!$A:$D,2,0),)</f>
        <v>GUINCHO ELÉTRICO DE COLUNA, CAPACIDADE 400 KG, COM MOTO FREIO, MOTOR TRIFÁSICO DE 1,25 CV - CHP DIURNO. AF_03/2016</v>
      </c>
      <c r="E1076" s="289" t="str">
        <f>IFERROR(VLOOKUP($C1076,'24.08_ND'!$A:$D,3,0),)</f>
        <v>CHP</v>
      </c>
      <c r="F1076" s="290">
        <v>1.32E-2</v>
      </c>
      <c r="G1076" s="291">
        <f>IFERROR(VLOOKUP($C1076,'24.08_ND'!$A:$D,4,0),)</f>
        <v>20.420000000000002</v>
      </c>
      <c r="H1076" s="292">
        <f t="shared" si="40"/>
        <v>0.26</v>
      </c>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D1076" s="1791" t="e">
        <f>VLOOKUP(C1076,'Medição '!$B$16:$F$1833,6,0)</f>
        <v>#N/A</v>
      </c>
      <c r="AE1076" s="1791"/>
    </row>
    <row r="1077" spans="1:31" ht="25.5">
      <c r="A1077" s="285" t="s">
        <v>14478</v>
      </c>
      <c r="B1077" s="407" t="s">
        <v>14476</v>
      </c>
      <c r="C1077" s="408">
        <v>88316</v>
      </c>
      <c r="D1077" s="288" t="str">
        <f>IFERROR(VLOOKUP($C1077,'24.08_ND'!$A:$D,2,0),)</f>
        <v>SERVENTE COM ENCARGOS COMPLEMENTARES</v>
      </c>
      <c r="E1077" s="289" t="str">
        <f>IFERROR(VLOOKUP($C1077,'24.08_ND'!$A:$D,3,0),)</f>
        <v>H</v>
      </c>
      <c r="F1077" s="290">
        <v>0.371</v>
      </c>
      <c r="G1077" s="291">
        <f>IFERROR(VLOOKUP($C1077,'24.08_ND'!$A:$D,4,0),)</f>
        <v>18.510000000000002</v>
      </c>
      <c r="H1077" s="292">
        <f t="shared" si="40"/>
        <v>6.86</v>
      </c>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D1077" s="1791" t="e">
        <f>VLOOKUP(C1077,'Medição '!$B$16:$F$1833,6,0)</f>
        <v>#N/A</v>
      </c>
      <c r="AE1077" s="1791"/>
    </row>
    <row r="1078" spans="1:31" ht="25.5">
      <c r="A1078" s="285" t="s">
        <v>14478</v>
      </c>
      <c r="B1078" s="407" t="s">
        <v>14476</v>
      </c>
      <c r="C1078" s="408">
        <v>88323</v>
      </c>
      <c r="D1078" s="288" t="str">
        <f>IFERROR(VLOOKUP($C1078,'24.08_ND'!$A:$D,2,0),)</f>
        <v>TELHADISTA COM ENCARGOS COMPLEMENTARES</v>
      </c>
      <c r="E1078" s="289" t="str">
        <f>IFERROR(VLOOKUP($C1078,'24.08_ND'!$A:$D,3,0),)</f>
        <v>H</v>
      </c>
      <c r="F1078" s="290">
        <v>0.27700000000000002</v>
      </c>
      <c r="G1078" s="291">
        <f>IFERROR(VLOOKUP($C1078,'24.08_ND'!$A:$D,4,0),)</f>
        <v>22.77</v>
      </c>
      <c r="H1078" s="292">
        <f t="shared" si="40"/>
        <v>6.3</v>
      </c>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D1078" s="1791" t="e">
        <f>VLOOKUP(C1078,'Medição '!$B$16:$F$1833,6,0)</f>
        <v>#N/A</v>
      </c>
      <c r="AE1078" s="1791"/>
    </row>
    <row r="1079" spans="1:31" ht="12.75">
      <c r="A1079" s="293" t="s">
        <v>14479</v>
      </c>
      <c r="B1079" s="297" t="s">
        <v>14476</v>
      </c>
      <c r="C1079" s="295">
        <v>43106</v>
      </c>
      <c r="D1079" s="296" t="str">
        <f>IFERROR(VLOOKUP($C1079,'24.08_ND'!$A:$D,2,0),)</f>
        <v>CHAPA DE ACO GALVANIZADA BITOLA GSG 24, E = 0,64 (5,12 KG/M2)</v>
      </c>
      <c r="E1079" s="297" t="str">
        <f>IFERROR(VLOOKUP($C1079,'24.08_ND'!$A:$D,3,0),)</f>
        <v>KG</v>
      </c>
      <c r="F1079" s="298">
        <v>2.6880000000000002</v>
      </c>
      <c r="G1079" s="299">
        <f>IFERROR(VLOOKUP($C1079,'24.08_ND'!$A:$D,4,0),)</f>
        <v>14.21</v>
      </c>
      <c r="H1079" s="300">
        <f t="shared" si="40"/>
        <v>38.19</v>
      </c>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row>
    <row r="1080" spans="1:31" ht="12.75">
      <c r="A1080" s="293" t="s">
        <v>14479</v>
      </c>
      <c r="B1080" s="297" t="s">
        <v>14476</v>
      </c>
      <c r="C1080" s="295">
        <v>5061</v>
      </c>
      <c r="D1080" s="296" t="str">
        <f>IFERROR(VLOOKUP($C1080,'24.08_ND'!$A:$D,2,0),)</f>
        <v>PREGO DE ACO POLIDO COM CABECA 18 X 27 (2 1/2 X 10)</v>
      </c>
      <c r="E1080" s="297" t="str">
        <f>IFERROR(VLOOKUP($C1080,'24.08_ND'!$A:$D,3,0),)</f>
        <v>KG</v>
      </c>
      <c r="F1080" s="298">
        <v>1.2999999999999999E-2</v>
      </c>
      <c r="G1080" s="299">
        <f>IFERROR(VLOOKUP($C1080,'24.08_ND'!$A:$D,4,0),)</f>
        <v>16.04</v>
      </c>
      <c r="H1080" s="300">
        <f t="shared" si="40"/>
        <v>0.2</v>
      </c>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row>
    <row r="1081" spans="1:31" ht="25.5">
      <c r="A1081" s="293" t="s">
        <v>14479</v>
      </c>
      <c r="B1081" s="297" t="s">
        <v>14476</v>
      </c>
      <c r="C1081" s="295">
        <v>5104</v>
      </c>
      <c r="D1081" s="296" t="str">
        <f>IFERROR(VLOOKUP($C1081,'24.08_ND'!$A:$D,2,0),)</f>
        <v>REBITE DE REPUXO EM ALUMINIO VAZADO, DIAMETRO 3,2 X 8 MM DE COMPRIMENTO (1KG = 1025 UNIDADES)</v>
      </c>
      <c r="E1081" s="297" t="str">
        <f>IFERROR(VLOOKUP($C1081,'24.08_ND'!$A:$D,3,0),)</f>
        <v>KG</v>
      </c>
      <c r="F1081" s="298">
        <v>2.3999999999999998E-3</v>
      </c>
      <c r="G1081" s="299">
        <f>IFERROR(VLOOKUP($C1081,'24.08_ND'!$A:$D,4,0),)</f>
        <v>61.61</v>
      </c>
      <c r="H1081" s="300">
        <f t="shared" si="40"/>
        <v>0.14000000000000001</v>
      </c>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row>
    <row r="1082" spans="1:31" ht="25.5">
      <c r="A1082" s="293" t="s">
        <v>14479</v>
      </c>
      <c r="B1082" s="297" t="s">
        <v>14476</v>
      </c>
      <c r="C1082" s="295">
        <v>142</v>
      </c>
      <c r="D1082" s="296" t="str">
        <f>IFERROR(VLOOKUP($C1082,'24.08_ND'!$A:$D,2,0),)</f>
        <v>SELANTE ELASTICO MONOCOMPONENTE A BASE DE POLIURETANO (PU) PARA JUNTAS DIVERSAS</v>
      </c>
      <c r="E1082" s="297" t="str">
        <f>IFERROR(VLOOKUP($C1082,'24.08_ND'!$A:$D,3,0),)</f>
        <v>310ML</v>
      </c>
      <c r="F1082" s="298">
        <v>8.1000000000000003E-2</v>
      </c>
      <c r="G1082" s="299">
        <f>IFERROR(VLOOKUP($C1082,'24.08_ND'!$A:$D,4,0),)</f>
        <v>34.200000000000003</v>
      </c>
      <c r="H1082" s="300">
        <f t="shared" si="40"/>
        <v>2.77</v>
      </c>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row>
    <row r="1083" spans="1:31" ht="12.75">
      <c r="A1083" s="293" t="s">
        <v>14479</v>
      </c>
      <c r="B1083" s="297" t="s">
        <v>14476</v>
      </c>
      <c r="C1083" s="295">
        <v>13388</v>
      </c>
      <c r="D1083" s="296" t="str">
        <f>IFERROR(VLOOKUP($C1083,'24.08_ND'!$A:$D,2,0),)</f>
        <v>SOLDA EM BARRA DE ESTANHO-CHUMBO 50/50</v>
      </c>
      <c r="E1083" s="297" t="str">
        <f>IFERROR(VLOOKUP($C1083,'24.08_ND'!$A:$D,3,0),)</f>
        <v>KG</v>
      </c>
      <c r="F1083" s="298">
        <v>0.09</v>
      </c>
      <c r="G1083" s="299">
        <f>IFERROR(VLOOKUP($C1083,'24.08_ND'!$A:$D,4,0),)</f>
        <v>158.66</v>
      </c>
      <c r="H1083" s="300">
        <f t="shared" si="40"/>
        <v>14.27</v>
      </c>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row>
    <row r="1084" spans="1:31" ht="12.75">
      <c r="A1084" s="309"/>
      <c r="B1084" s="303"/>
      <c r="C1084" s="303"/>
      <c r="D1084" s="310"/>
      <c r="E1084" s="303"/>
      <c r="F1084" s="306"/>
      <c r="G1084" s="307"/>
      <c r="H1084" s="308"/>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row>
    <row r="1085" spans="1:31" ht="25.5">
      <c r="A1085" s="271" t="s">
        <v>14471</v>
      </c>
      <c r="B1085" s="272" t="s">
        <v>14472</v>
      </c>
      <c r="C1085" s="360" t="s">
        <v>14880</v>
      </c>
      <c r="D1085" s="274" t="s">
        <v>14881</v>
      </c>
      <c r="E1085" s="272" t="s">
        <v>50</v>
      </c>
      <c r="F1085" s="272"/>
      <c r="G1085" s="272"/>
      <c r="H1085" s="275">
        <f>TRUNC(SUM(H1087:H1095),2)</f>
        <v>135.72999999999999</v>
      </c>
      <c r="I1085" s="276">
        <f>COUNTIF($C$8:$C1085,C:C)</f>
        <v>1</v>
      </c>
      <c r="J1085" s="262"/>
      <c r="K1085" s="262"/>
      <c r="L1085" s="262"/>
      <c r="M1085" s="262"/>
      <c r="N1085" s="262"/>
      <c r="O1085" s="262"/>
      <c r="P1085" s="262"/>
      <c r="Q1085" s="262"/>
      <c r="R1085" s="262"/>
      <c r="S1085" s="262"/>
      <c r="T1085" s="262"/>
      <c r="U1085" s="262"/>
      <c r="V1085" s="262"/>
      <c r="W1085" s="262"/>
      <c r="X1085" s="262"/>
      <c r="Y1085" s="262"/>
      <c r="Z1085" s="262"/>
      <c r="AA1085" s="262"/>
      <c r="AB1085" s="262"/>
    </row>
    <row r="1086" spans="1:31" ht="12.75">
      <c r="A1086" s="277" t="s">
        <v>14475</v>
      </c>
      <c r="B1086" s="563" t="s">
        <v>14476</v>
      </c>
      <c r="C1086" s="489">
        <v>94229</v>
      </c>
      <c r="D1086" s="490" t="s">
        <v>14587</v>
      </c>
      <c r="E1086" s="623"/>
      <c r="F1086" s="355"/>
      <c r="G1086" s="624"/>
      <c r="H1086" s="625"/>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row>
    <row r="1087" spans="1:31" ht="25.5">
      <c r="A1087" s="285" t="s">
        <v>14478</v>
      </c>
      <c r="B1087" s="407" t="s">
        <v>14476</v>
      </c>
      <c r="C1087" s="408">
        <v>93282</v>
      </c>
      <c r="D1087" s="288" t="str">
        <f>IFERROR(VLOOKUP($C1087,'24.08_ND'!$A:$D,2,0),)</f>
        <v>GUINCHO ELÉTRICO DE COLUNA, CAPACIDADE 400 KG, COM MOTO FREIO, MOTOR TRIFÁSICO DE 1,25 CV - CHI DIURNO. AF_03/2016</v>
      </c>
      <c r="E1087" s="289" t="str">
        <f>IFERROR(VLOOKUP($C1087,'24.08_ND'!$A:$D,3,0),)</f>
        <v>CHI</v>
      </c>
      <c r="F1087" s="290">
        <v>1.83E-2</v>
      </c>
      <c r="G1087" s="291">
        <f>IFERROR(VLOOKUP($C1087,'24.08_ND'!$A:$D,4,0),)</f>
        <v>19.440000000000001</v>
      </c>
      <c r="H1087" s="292">
        <f t="shared" ref="H1087:H1095" si="41">TRUNC(($F1087*$G1087),2)</f>
        <v>0.35</v>
      </c>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D1087" s="1791" t="e">
        <f>VLOOKUP(C1087,'Medição '!$B$16:$F$1833,6,0)</f>
        <v>#N/A</v>
      </c>
      <c r="AE1087" s="1791"/>
    </row>
    <row r="1088" spans="1:31" ht="25.5">
      <c r="A1088" s="285" t="s">
        <v>14478</v>
      </c>
      <c r="B1088" s="407" t="s">
        <v>14476</v>
      </c>
      <c r="C1088" s="408">
        <v>93281</v>
      </c>
      <c r="D1088" s="288" t="str">
        <f>IFERROR(VLOOKUP($C1088,'24.08_ND'!$A:$D,2,0),)</f>
        <v>GUINCHO ELÉTRICO DE COLUNA, CAPACIDADE 400 KG, COM MOTO FREIO, MOTOR TRIFÁSICO DE 1,25 CV - CHP DIURNO. AF_03/2016</v>
      </c>
      <c r="E1088" s="289" t="str">
        <f>IFERROR(VLOOKUP($C1088,'24.08_ND'!$A:$D,3,0),)</f>
        <v>CHP</v>
      </c>
      <c r="F1088" s="290">
        <v>1.32E-2</v>
      </c>
      <c r="G1088" s="291">
        <f>IFERROR(VLOOKUP($C1088,'24.08_ND'!$A:$D,4,0),)</f>
        <v>20.420000000000002</v>
      </c>
      <c r="H1088" s="292">
        <f t="shared" si="41"/>
        <v>0.26</v>
      </c>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D1088" s="1791" t="e">
        <f>VLOOKUP(C1088,'Medição '!$B$16:$F$1833,6,0)</f>
        <v>#N/A</v>
      </c>
      <c r="AE1088" s="1791"/>
    </row>
    <row r="1089" spans="1:31" ht="25.5">
      <c r="A1089" s="285" t="s">
        <v>14478</v>
      </c>
      <c r="B1089" s="407" t="s">
        <v>14476</v>
      </c>
      <c r="C1089" s="408">
        <v>88316</v>
      </c>
      <c r="D1089" s="288" t="str">
        <f>IFERROR(VLOOKUP($C1089,'24.08_ND'!$A:$D,2,0),)</f>
        <v>SERVENTE COM ENCARGOS COMPLEMENTARES</v>
      </c>
      <c r="E1089" s="289" t="str">
        <f>IFERROR(VLOOKUP($C1089,'24.08_ND'!$A:$D,3,0),)</f>
        <v>H</v>
      </c>
      <c r="F1089" s="290">
        <v>0.63300000000000001</v>
      </c>
      <c r="G1089" s="291">
        <f>IFERROR(VLOOKUP($C1089,'24.08_ND'!$A:$D,4,0),)</f>
        <v>18.510000000000002</v>
      </c>
      <c r="H1089" s="292">
        <f t="shared" si="41"/>
        <v>11.71</v>
      </c>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D1089" s="1791" t="e">
        <f>VLOOKUP(C1089,'Medição '!$B$16:$F$1833,6,0)</f>
        <v>#N/A</v>
      </c>
      <c r="AE1089" s="1791"/>
    </row>
    <row r="1090" spans="1:31" ht="25.5">
      <c r="A1090" s="285" t="s">
        <v>14478</v>
      </c>
      <c r="B1090" s="407" t="s">
        <v>14476</v>
      </c>
      <c r="C1090" s="408">
        <v>88323</v>
      </c>
      <c r="D1090" s="288" t="str">
        <f>IFERROR(VLOOKUP($C1090,'24.08_ND'!$A:$D,2,0),)</f>
        <v>TELHADISTA COM ENCARGOS COMPLEMENTARES</v>
      </c>
      <c r="E1090" s="289" t="str">
        <f>IFERROR(VLOOKUP($C1090,'24.08_ND'!$A:$D,3,0),)</f>
        <v>H</v>
      </c>
      <c r="F1090" s="290">
        <v>0.53900000000000003</v>
      </c>
      <c r="G1090" s="291">
        <f>IFERROR(VLOOKUP($C1090,'24.08_ND'!$A:$D,4,0),)</f>
        <v>22.77</v>
      </c>
      <c r="H1090" s="292">
        <f t="shared" si="41"/>
        <v>12.27</v>
      </c>
      <c r="I1090" s="262"/>
      <c r="J1090" s="262"/>
      <c r="K1090" s="262"/>
      <c r="L1090" s="262"/>
      <c r="M1090" s="262"/>
      <c r="N1090" s="262"/>
      <c r="O1090" s="262"/>
      <c r="P1090" s="262"/>
      <c r="Q1090" s="262"/>
      <c r="R1090" s="262"/>
      <c r="S1090" s="262"/>
      <c r="T1090" s="262"/>
      <c r="U1090" s="262"/>
      <c r="V1090" s="262"/>
      <c r="W1090" s="262"/>
      <c r="X1090" s="262"/>
      <c r="Y1090" s="262"/>
      <c r="Z1090" s="262"/>
      <c r="AA1090" s="262"/>
      <c r="AB1090" s="262"/>
      <c r="AD1090" s="1791" t="e">
        <f>VLOOKUP(C1090,'Medição '!$B$16:$F$1833,6,0)</f>
        <v>#N/A</v>
      </c>
      <c r="AE1090" s="1791"/>
    </row>
    <row r="1091" spans="1:31" ht="12.75">
      <c r="A1091" s="293" t="s">
        <v>14479</v>
      </c>
      <c r="B1091" s="297" t="s">
        <v>14476</v>
      </c>
      <c r="C1091" s="295">
        <v>43106</v>
      </c>
      <c r="D1091" s="296" t="str">
        <f>IFERROR(VLOOKUP($C1091,'24.08_ND'!$A:$D,2,0),)</f>
        <v>CHAPA DE ACO GALVANIZADA BITOLA GSG 24, E = 0,64 (5,12 KG/M2)</v>
      </c>
      <c r="E1091" s="297" t="str">
        <f>IFERROR(VLOOKUP($C1091,'24.08_ND'!$A:$D,3,0),)</f>
        <v>KG</v>
      </c>
      <c r="F1091" s="298">
        <f>1.05*5.12</f>
        <v>5.3760000000000003</v>
      </c>
      <c r="G1091" s="299">
        <f>IFERROR(VLOOKUP($C1091,'24.08_ND'!$A:$D,4,0),)</f>
        <v>14.21</v>
      </c>
      <c r="H1091" s="300">
        <f t="shared" si="41"/>
        <v>76.39</v>
      </c>
      <c r="I1091" s="262"/>
      <c r="J1091" s="262"/>
      <c r="K1091" s="262"/>
      <c r="L1091" s="262"/>
      <c r="M1091" s="262"/>
      <c r="N1091" s="262"/>
      <c r="O1091" s="262"/>
      <c r="P1091" s="262"/>
      <c r="Q1091" s="262"/>
      <c r="R1091" s="262"/>
      <c r="S1091" s="262"/>
      <c r="T1091" s="262"/>
      <c r="U1091" s="262"/>
      <c r="V1091" s="262"/>
      <c r="W1091" s="262"/>
      <c r="X1091" s="262"/>
      <c r="Y1091" s="262"/>
      <c r="Z1091" s="262"/>
      <c r="AA1091" s="262"/>
      <c r="AB1091" s="262"/>
    </row>
    <row r="1092" spans="1:31" ht="12.75">
      <c r="A1092" s="293" t="s">
        <v>14479</v>
      </c>
      <c r="B1092" s="297" t="s">
        <v>14476</v>
      </c>
      <c r="C1092" s="295">
        <v>5061</v>
      </c>
      <c r="D1092" s="296" t="str">
        <f>IFERROR(VLOOKUP($C1092,'24.08_ND'!$A:$D,2,0),)</f>
        <v>PREGO DE ACO POLIDO COM CABECA 18 X 27 (2 1/2 X 10)</v>
      </c>
      <c r="E1092" s="297" t="str">
        <f>IFERROR(VLOOKUP($C1092,'24.08_ND'!$A:$D,3,0),)</f>
        <v>KG</v>
      </c>
      <c r="F1092" s="298">
        <v>2.5000000000000001E-2</v>
      </c>
      <c r="G1092" s="299">
        <f>IFERROR(VLOOKUP($C1092,'24.08_ND'!$A:$D,4,0),)</f>
        <v>16.04</v>
      </c>
      <c r="H1092" s="300">
        <f t="shared" si="41"/>
        <v>0.4</v>
      </c>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row>
    <row r="1093" spans="1:31" ht="25.5">
      <c r="A1093" s="293" t="s">
        <v>14479</v>
      </c>
      <c r="B1093" s="297" t="s">
        <v>14476</v>
      </c>
      <c r="C1093" s="295">
        <v>5104</v>
      </c>
      <c r="D1093" s="296" t="str">
        <f>IFERROR(VLOOKUP($C1093,'24.08_ND'!$A:$D,2,0),)</f>
        <v>REBITE DE REPUXO EM ALUMINIO VAZADO, DIAMETRO 3,2 X 8 MM DE COMPRIMENTO (1KG = 1025 UNIDADES)</v>
      </c>
      <c r="E1093" s="297" t="str">
        <f>IFERROR(VLOOKUP($C1093,'24.08_ND'!$A:$D,3,0),)</f>
        <v>KG</v>
      </c>
      <c r="F1093" s="298">
        <v>4.8999999999999998E-3</v>
      </c>
      <c r="G1093" s="299">
        <f>IFERROR(VLOOKUP($C1093,'24.08_ND'!$A:$D,4,0),)</f>
        <v>61.61</v>
      </c>
      <c r="H1093" s="300">
        <f t="shared" si="41"/>
        <v>0.3</v>
      </c>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row>
    <row r="1094" spans="1:31" ht="25.5">
      <c r="A1094" s="293" t="s">
        <v>14479</v>
      </c>
      <c r="B1094" s="297" t="s">
        <v>14476</v>
      </c>
      <c r="C1094" s="295">
        <v>142</v>
      </c>
      <c r="D1094" s="296" t="str">
        <f>IFERROR(VLOOKUP($C1094,'24.08_ND'!$A:$D,2,0),)</f>
        <v>SELANTE ELASTICO MONOCOMPONENTE A BASE DE POLIURETANO (PU) PARA JUNTAS DIVERSAS</v>
      </c>
      <c r="E1094" s="297" t="str">
        <f>IFERROR(VLOOKUP($C1094,'24.08_ND'!$A:$D,3,0),)</f>
        <v>310ML</v>
      </c>
      <c r="F1094" s="298">
        <v>0.161</v>
      </c>
      <c r="G1094" s="299">
        <f>IFERROR(VLOOKUP($C1094,'24.08_ND'!$A:$D,4,0),)</f>
        <v>34.200000000000003</v>
      </c>
      <c r="H1094" s="300">
        <f t="shared" si="41"/>
        <v>5.5</v>
      </c>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row>
    <row r="1095" spans="1:31" ht="12.75">
      <c r="A1095" s="293" t="s">
        <v>14479</v>
      </c>
      <c r="B1095" s="297" t="s">
        <v>14476</v>
      </c>
      <c r="C1095" s="295">
        <v>13388</v>
      </c>
      <c r="D1095" s="296" t="str">
        <f>IFERROR(VLOOKUP($C1095,'24.08_ND'!$A:$D,2,0),)</f>
        <v>SOLDA EM BARRA DE ESTANHO-CHUMBO 50/50</v>
      </c>
      <c r="E1095" s="297" t="str">
        <f>IFERROR(VLOOKUP($C1095,'24.08_ND'!$A:$D,3,0),)</f>
        <v>KG</v>
      </c>
      <c r="F1095" s="298">
        <v>0.18</v>
      </c>
      <c r="G1095" s="299">
        <f>IFERROR(VLOOKUP($C1095,'24.08_ND'!$A:$D,4,0),)</f>
        <v>158.66</v>
      </c>
      <c r="H1095" s="300">
        <f t="shared" si="41"/>
        <v>28.55</v>
      </c>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row>
    <row r="1096" spans="1:31" ht="12.75">
      <c r="A1096" s="309"/>
      <c r="B1096" s="303"/>
      <c r="C1096" s="303"/>
      <c r="D1096" s="310"/>
      <c r="E1096" s="303"/>
      <c r="F1096" s="306"/>
      <c r="G1096" s="307"/>
      <c r="H1096" s="308"/>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row>
    <row r="1097" spans="1:31" ht="25.5">
      <c r="A1097" s="271" t="s">
        <v>14471</v>
      </c>
      <c r="B1097" s="272" t="s">
        <v>14472</v>
      </c>
      <c r="C1097" s="360" t="s">
        <v>14882</v>
      </c>
      <c r="D1097" s="274" t="s">
        <v>14883</v>
      </c>
      <c r="E1097" s="272" t="s">
        <v>50</v>
      </c>
      <c r="F1097" s="272"/>
      <c r="G1097" s="272"/>
      <c r="H1097" s="275">
        <f>TRUNC(SUM(H1099:H1104),2)</f>
        <v>34.630000000000003</v>
      </c>
      <c r="I1097" s="276">
        <f>COUNTIF($C$8:$C1097,C:C)</f>
        <v>1</v>
      </c>
      <c r="J1097" s="262"/>
      <c r="K1097" s="262"/>
      <c r="L1097" s="262"/>
      <c r="M1097" s="262"/>
      <c r="N1097" s="262"/>
      <c r="O1097" s="262"/>
      <c r="P1097" s="262"/>
      <c r="Q1097" s="262"/>
      <c r="R1097" s="262"/>
      <c r="S1097" s="262"/>
      <c r="T1097" s="262"/>
      <c r="U1097" s="262"/>
      <c r="V1097" s="262"/>
      <c r="W1097" s="262"/>
      <c r="X1097" s="262"/>
      <c r="Y1097" s="262"/>
      <c r="Z1097" s="262"/>
      <c r="AA1097" s="262"/>
      <c r="AB1097" s="262"/>
    </row>
    <row r="1098" spans="1:31" ht="12.75">
      <c r="A1098" s="277" t="s">
        <v>14475</v>
      </c>
      <c r="B1098" s="563" t="s">
        <v>14476</v>
      </c>
      <c r="C1098" s="489"/>
      <c r="D1098" s="612" t="s">
        <v>14884</v>
      </c>
      <c r="E1098" s="623"/>
      <c r="F1098" s="355"/>
      <c r="G1098" s="624"/>
      <c r="H1098" s="625"/>
      <c r="I1098" s="262"/>
      <c r="J1098" s="262"/>
      <c r="K1098" s="262"/>
      <c r="L1098" s="262"/>
      <c r="M1098" s="262"/>
      <c r="N1098" s="262"/>
      <c r="O1098" s="262"/>
      <c r="P1098" s="262"/>
      <c r="Q1098" s="262"/>
      <c r="R1098" s="262"/>
      <c r="S1098" s="262"/>
      <c r="T1098" s="262"/>
      <c r="U1098" s="262"/>
      <c r="V1098" s="262"/>
      <c r="W1098" s="262"/>
      <c r="X1098" s="262"/>
      <c r="Y1098" s="262"/>
      <c r="Z1098" s="262"/>
      <c r="AA1098" s="262"/>
      <c r="AB1098" s="262"/>
    </row>
    <row r="1099" spans="1:31" ht="25.5">
      <c r="A1099" s="285" t="s">
        <v>14478</v>
      </c>
      <c r="B1099" s="407" t="s">
        <v>14476</v>
      </c>
      <c r="C1099" s="408">
        <v>93282</v>
      </c>
      <c r="D1099" s="288" t="str">
        <f>IFERROR(VLOOKUP($C1099,'24.08_ND'!$A:$D,2,0),)</f>
        <v>GUINCHO ELÉTRICO DE COLUNA, CAPACIDADE 400 KG, COM MOTO FREIO, MOTOR TRIFÁSICO DE 1,25 CV - CHI DIURNO. AF_03/2016</v>
      </c>
      <c r="E1099" s="289" t="str">
        <f>IFERROR(VLOOKUP($C1099,'24.08_ND'!$A:$D,3,0),)</f>
        <v>CHI</v>
      </c>
      <c r="F1099" s="290">
        <v>2.7000000000000001E-3</v>
      </c>
      <c r="G1099" s="291">
        <f>IFERROR(VLOOKUP($C1099,'24.08_ND'!$A:$D,4,0),)</f>
        <v>19.440000000000001</v>
      </c>
      <c r="H1099" s="292">
        <f t="shared" ref="H1099:H1104" si="42">TRUNC(($F1099*$G1099),2)</f>
        <v>0.05</v>
      </c>
      <c r="I1099" s="262"/>
      <c r="J1099" s="262"/>
      <c r="K1099" s="262"/>
      <c r="L1099" s="262"/>
      <c r="M1099" s="262"/>
      <c r="N1099" s="262"/>
      <c r="O1099" s="262"/>
      <c r="P1099" s="262"/>
      <c r="Q1099" s="262"/>
      <c r="R1099" s="262"/>
      <c r="S1099" s="262"/>
      <c r="T1099" s="262"/>
      <c r="U1099" s="262"/>
      <c r="V1099" s="262"/>
      <c r="W1099" s="262"/>
      <c r="X1099" s="262"/>
      <c r="Y1099" s="262"/>
      <c r="Z1099" s="262"/>
      <c r="AA1099" s="262"/>
      <c r="AB1099" s="262"/>
      <c r="AD1099" s="1791" t="e">
        <f>VLOOKUP(C1099,'Medição '!$B$16:$F$1833,6,0)</f>
        <v>#N/A</v>
      </c>
      <c r="AE1099" s="1791"/>
    </row>
    <row r="1100" spans="1:31" ht="25.5">
      <c r="A1100" s="285" t="s">
        <v>14478</v>
      </c>
      <c r="B1100" s="407" t="s">
        <v>14476</v>
      </c>
      <c r="C1100" s="408">
        <v>93281</v>
      </c>
      <c r="D1100" s="288" t="str">
        <f>IFERROR(VLOOKUP($C1100,'24.08_ND'!$A:$D,2,0),)</f>
        <v>GUINCHO ELÉTRICO DE COLUNA, CAPACIDADE 400 KG, COM MOTO FREIO, MOTOR TRIFÁSICO DE 1,25 CV - CHP DIURNO. AF_03/2016</v>
      </c>
      <c r="E1100" s="289" t="str">
        <f>IFERROR(VLOOKUP($C1100,'24.08_ND'!$A:$D,3,0),)</f>
        <v>CHP</v>
      </c>
      <c r="F1100" s="290">
        <v>2E-3</v>
      </c>
      <c r="G1100" s="291">
        <f>IFERROR(VLOOKUP($C1100,'24.08_ND'!$A:$D,4,0),)</f>
        <v>20.420000000000002</v>
      </c>
      <c r="H1100" s="292">
        <f t="shared" si="42"/>
        <v>0.04</v>
      </c>
      <c r="I1100" s="262"/>
      <c r="J1100" s="262"/>
      <c r="K1100" s="262"/>
      <c r="L1100" s="262"/>
      <c r="M1100" s="262"/>
      <c r="N1100" s="262"/>
      <c r="O1100" s="262"/>
      <c r="P1100" s="262"/>
      <c r="Q1100" s="262"/>
      <c r="R1100" s="262"/>
      <c r="S1100" s="262"/>
      <c r="T1100" s="262"/>
      <c r="U1100" s="262"/>
      <c r="V1100" s="262"/>
      <c r="W1100" s="262"/>
      <c r="X1100" s="262"/>
      <c r="Y1100" s="262"/>
      <c r="Z1100" s="262"/>
      <c r="AA1100" s="262"/>
      <c r="AB1100" s="262"/>
      <c r="AD1100" s="1791" t="e">
        <f>VLOOKUP(C1100,'Medição '!$B$16:$F$1833,6,0)</f>
        <v>#N/A</v>
      </c>
      <c r="AE1100" s="1791"/>
    </row>
    <row r="1101" spans="1:31" ht="25.5">
      <c r="A1101" s="285" t="s">
        <v>14478</v>
      </c>
      <c r="B1101" s="407" t="s">
        <v>14476</v>
      </c>
      <c r="C1101" s="408">
        <v>88316</v>
      </c>
      <c r="D1101" s="288" t="str">
        <f>IFERROR(VLOOKUP($C1101,'24.08_ND'!$A:$D,2,0),)</f>
        <v>SERVENTE COM ENCARGOS COMPLEMENTARES</v>
      </c>
      <c r="E1101" s="289" t="str">
        <f>IFERROR(VLOOKUP($C1101,'24.08_ND'!$A:$D,3,0),)</f>
        <v>H</v>
      </c>
      <c r="F1101" s="290">
        <v>9.2999999999999999E-2</v>
      </c>
      <c r="G1101" s="291">
        <f>IFERROR(VLOOKUP($C1101,'24.08_ND'!$A:$D,4,0),)</f>
        <v>18.510000000000002</v>
      </c>
      <c r="H1101" s="292">
        <f t="shared" si="42"/>
        <v>1.72</v>
      </c>
      <c r="I1101" s="262"/>
      <c r="J1101" s="262"/>
      <c r="K1101" s="262"/>
      <c r="L1101" s="262"/>
      <c r="M1101" s="262"/>
      <c r="N1101" s="262"/>
      <c r="O1101" s="262"/>
      <c r="P1101" s="262"/>
      <c r="Q1101" s="262"/>
      <c r="R1101" s="262"/>
      <c r="S1101" s="262"/>
      <c r="T1101" s="262"/>
      <c r="U1101" s="262"/>
      <c r="V1101" s="262"/>
      <c r="W1101" s="262"/>
      <c r="X1101" s="262"/>
      <c r="Y1101" s="262"/>
      <c r="Z1101" s="262"/>
      <c r="AA1101" s="262"/>
      <c r="AB1101" s="262"/>
      <c r="AD1101" s="1791" t="e">
        <f>VLOOKUP(C1101,'Medição '!$B$16:$F$1833,6,0)</f>
        <v>#N/A</v>
      </c>
      <c r="AE1101" s="1791"/>
    </row>
    <row r="1102" spans="1:31" ht="25.5">
      <c r="A1102" s="285" t="s">
        <v>14478</v>
      </c>
      <c r="B1102" s="407" t="s">
        <v>14476</v>
      </c>
      <c r="C1102" s="408">
        <v>88323</v>
      </c>
      <c r="D1102" s="288" t="str">
        <f>IFERROR(VLOOKUP($C1102,'24.08_ND'!$A:$D,2,0),)</f>
        <v>TELHADISTA COM ENCARGOS COMPLEMENTARES</v>
      </c>
      <c r="E1102" s="289" t="str">
        <f>IFERROR(VLOOKUP($C1102,'24.08_ND'!$A:$D,3,0),)</f>
        <v>H</v>
      </c>
      <c r="F1102" s="290">
        <v>7.9000000000000001E-2</v>
      </c>
      <c r="G1102" s="291">
        <f>IFERROR(VLOOKUP($C1102,'24.08_ND'!$A:$D,4,0),)</f>
        <v>22.77</v>
      </c>
      <c r="H1102" s="292">
        <f t="shared" si="42"/>
        <v>1.79</v>
      </c>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D1102" s="1791" t="e">
        <f>VLOOKUP(C1102,'Medição '!$B$16:$F$1833,6,0)</f>
        <v>#N/A</v>
      </c>
      <c r="AE1102" s="1791"/>
    </row>
    <row r="1103" spans="1:31" ht="25.5">
      <c r="A1103" s="293" t="s">
        <v>14479</v>
      </c>
      <c r="B1103" s="297" t="s">
        <v>14476</v>
      </c>
      <c r="C1103" s="295">
        <v>11029</v>
      </c>
      <c r="D1103" s="296" t="str">
        <f>IFERROR(VLOOKUP($C1103,'24.08_ND'!$A:$D,2,0),)</f>
        <v>HASTE RETA PARA GANCHO DE FERRO GALVANIZADO, COM ROSCA 1/4" X 30 CM PARA FIXACAO DE TELHA METALICA, INCLUI PORCA E ARRUELAS DE VEDACAO</v>
      </c>
      <c r="E1103" s="297" t="str">
        <f>IFERROR(VLOOKUP($C1103,'24.08_ND'!$A:$D,3,0),)</f>
        <v>CJ</v>
      </c>
      <c r="F1103" s="298">
        <v>6.36</v>
      </c>
      <c r="G1103" s="299">
        <f>IFERROR(VLOOKUP($C1103,'24.08_ND'!$A:$D,4,0),)</f>
        <v>1.78</v>
      </c>
      <c r="H1103" s="300">
        <f t="shared" si="42"/>
        <v>11.32</v>
      </c>
      <c r="I1103" s="262"/>
      <c r="J1103" s="262"/>
      <c r="K1103" s="262"/>
      <c r="L1103" s="262"/>
      <c r="M1103" s="262"/>
      <c r="N1103" s="262"/>
      <c r="O1103" s="262"/>
      <c r="P1103" s="262"/>
      <c r="Q1103" s="262"/>
      <c r="R1103" s="262"/>
      <c r="S1103" s="262"/>
      <c r="T1103" s="262"/>
      <c r="U1103" s="262"/>
      <c r="V1103" s="262"/>
      <c r="W1103" s="262"/>
      <c r="X1103" s="262"/>
      <c r="Y1103" s="262"/>
      <c r="Z1103" s="262"/>
      <c r="AA1103" s="262"/>
      <c r="AB1103" s="262"/>
    </row>
    <row r="1104" spans="1:31" ht="25.5">
      <c r="A1104" s="293" t="s">
        <v>14479</v>
      </c>
      <c r="B1104" s="297" t="s">
        <v>14476</v>
      </c>
      <c r="C1104" s="295">
        <v>7243</v>
      </c>
      <c r="D1104" s="296" t="str">
        <f>IFERROR(VLOOKUP($C1104,'24.08_ND'!$A:$D,2,0),)</f>
        <v>TELHA TRAPEZOIDAL EM ACO ZINCADO, SEM PINTURA, ALTURA DE APROXIMADAMENTE 40 MM, ESPESSURA DE 0,50 MM E LARGURA UTIL DE 980 MM</v>
      </c>
      <c r="E1104" s="297" t="str">
        <f>IFERROR(VLOOKUP($C1104,'24.08_ND'!$A:$D,3,0),)</f>
        <v>M2</v>
      </c>
      <c r="F1104" s="298">
        <v>0.55000000000000004</v>
      </c>
      <c r="G1104" s="299">
        <f>IFERROR(VLOOKUP($C1104,'24.08_ND'!$A:$D,4,0),)</f>
        <v>35.85</v>
      </c>
      <c r="H1104" s="300">
        <f t="shared" si="42"/>
        <v>19.71</v>
      </c>
      <c r="I1104" s="262"/>
      <c r="J1104" s="262"/>
      <c r="K1104" s="262"/>
      <c r="L1104" s="262"/>
      <c r="M1104" s="262"/>
      <c r="N1104" s="262"/>
      <c r="O1104" s="262"/>
      <c r="P1104" s="262"/>
      <c r="Q1104" s="262"/>
      <c r="R1104" s="262"/>
      <c r="S1104" s="262"/>
      <c r="T1104" s="262"/>
      <c r="U1104" s="262"/>
      <c r="V1104" s="262"/>
      <c r="W1104" s="262"/>
      <c r="X1104" s="262"/>
      <c r="Y1104" s="262"/>
      <c r="Z1104" s="262"/>
      <c r="AA1104" s="262"/>
      <c r="AB1104" s="262"/>
    </row>
    <row r="1105" spans="1:31" ht="12.75">
      <c r="A1105" s="309"/>
      <c r="B1105" s="303"/>
      <c r="C1105" s="303"/>
      <c r="D1105" s="310"/>
      <c r="E1105" s="303"/>
      <c r="F1105" s="306"/>
      <c r="G1105" s="307"/>
      <c r="H1105" s="308"/>
      <c r="I1105" s="262"/>
      <c r="J1105" s="262"/>
      <c r="K1105" s="262"/>
      <c r="L1105" s="262"/>
      <c r="M1105" s="262"/>
      <c r="N1105" s="262"/>
      <c r="O1105" s="262"/>
      <c r="P1105" s="262"/>
      <c r="Q1105" s="262"/>
      <c r="R1105" s="262"/>
      <c r="S1105" s="262"/>
      <c r="T1105" s="262"/>
      <c r="U1105" s="262"/>
      <c r="V1105" s="262"/>
      <c r="W1105" s="262"/>
      <c r="X1105" s="262"/>
      <c r="Y1105" s="262"/>
      <c r="Z1105" s="262"/>
      <c r="AA1105" s="262"/>
      <c r="AB1105" s="262"/>
    </row>
    <row r="1106" spans="1:31" ht="25.5">
      <c r="A1106" s="271" t="s">
        <v>14471</v>
      </c>
      <c r="B1106" s="272" t="s">
        <v>14472</v>
      </c>
      <c r="C1106" s="360" t="s">
        <v>14885</v>
      </c>
      <c r="D1106" s="274" t="s">
        <v>14886</v>
      </c>
      <c r="E1106" s="272" t="s">
        <v>409</v>
      </c>
      <c r="F1106" s="272"/>
      <c r="G1106" s="272"/>
      <c r="H1106" s="275">
        <f>TRUNC(SUM(H1108:H1113),2)</f>
        <v>136.06</v>
      </c>
      <c r="I1106" s="276">
        <f>COUNTIF($C$8:$C1106,C:C)</f>
        <v>1</v>
      </c>
      <c r="J1106" s="262"/>
      <c r="K1106" s="262"/>
      <c r="L1106" s="262"/>
      <c r="M1106" s="262"/>
      <c r="N1106" s="262"/>
      <c r="O1106" s="262"/>
      <c r="P1106" s="262"/>
      <c r="Q1106" s="262"/>
      <c r="R1106" s="262"/>
      <c r="S1106" s="262"/>
      <c r="T1106" s="262"/>
      <c r="U1106" s="262"/>
      <c r="V1106" s="262"/>
      <c r="W1106" s="262"/>
      <c r="X1106" s="262"/>
      <c r="Y1106" s="262"/>
      <c r="Z1106" s="262"/>
      <c r="AA1106" s="262"/>
      <c r="AB1106" s="262"/>
    </row>
    <row r="1107" spans="1:31" ht="12.75">
      <c r="A1107" s="277" t="s">
        <v>14475</v>
      </c>
      <c r="B1107" s="563" t="s">
        <v>14476</v>
      </c>
      <c r="C1107" s="489">
        <v>94216</v>
      </c>
      <c r="D1107" s="490" t="s">
        <v>14587</v>
      </c>
      <c r="E1107" s="623"/>
      <c r="F1107" s="355"/>
      <c r="G1107" s="624"/>
      <c r="H1107" s="625"/>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row>
    <row r="1108" spans="1:31" ht="25.5">
      <c r="A1108" s="285" t="s">
        <v>14478</v>
      </c>
      <c r="B1108" s="407" t="s">
        <v>14476</v>
      </c>
      <c r="C1108" s="408">
        <v>93282</v>
      </c>
      <c r="D1108" s="288" t="str">
        <f>IFERROR(VLOOKUP($C1108,'24.08_ND'!$A:$D,2,0),)</f>
        <v>GUINCHO ELÉTRICO DE COLUNA, CAPACIDADE 400 KG, COM MOTO FREIO, MOTOR TRIFÁSICO DE 1,25 CV - CHI DIURNO. AF_03/2016</v>
      </c>
      <c r="E1108" s="289" t="str">
        <f>IFERROR(VLOOKUP($C1108,'24.08_ND'!$A:$D,3,0),)</f>
        <v>CHI</v>
      </c>
      <c r="F1108" s="290">
        <v>1.1999999999999999E-3</v>
      </c>
      <c r="G1108" s="291">
        <f>IFERROR(VLOOKUP($C1108,'24.08_ND'!$A:$D,4,0),)</f>
        <v>19.440000000000001</v>
      </c>
      <c r="H1108" s="292">
        <f t="shared" ref="H1108:H1113" si="43">TRUNC(($F1108*$G1108),2)</f>
        <v>0.02</v>
      </c>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D1108" s="1791" t="e">
        <f>VLOOKUP(C1108,'Medição '!$B$16:$F$1833,6,0)</f>
        <v>#N/A</v>
      </c>
      <c r="AE1108" s="1791"/>
    </row>
    <row r="1109" spans="1:31" ht="25.5">
      <c r="A1109" s="285" t="s">
        <v>14478</v>
      </c>
      <c r="B1109" s="407" t="s">
        <v>14476</v>
      </c>
      <c r="C1109" s="408">
        <v>93281</v>
      </c>
      <c r="D1109" s="288" t="str">
        <f>IFERROR(VLOOKUP($C1109,'24.08_ND'!$A:$D,2,0),)</f>
        <v>GUINCHO ELÉTRICO DE COLUNA, CAPACIDADE 400 KG, COM MOTO FREIO, MOTOR TRIFÁSICO DE 1,25 CV - CHP DIURNO. AF_03/2016</v>
      </c>
      <c r="E1109" s="289" t="str">
        <f>IFERROR(VLOOKUP($C1109,'24.08_ND'!$A:$D,3,0),)</f>
        <v>CHP</v>
      </c>
      <c r="F1109" s="290">
        <v>8.9999999999999998E-4</v>
      </c>
      <c r="G1109" s="291">
        <f>IFERROR(VLOOKUP($C1109,'24.08_ND'!$A:$D,4,0),)</f>
        <v>20.420000000000002</v>
      </c>
      <c r="H1109" s="292">
        <f t="shared" si="43"/>
        <v>0.01</v>
      </c>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D1109" s="1791" t="e">
        <f>VLOOKUP(C1109,'Medição '!$B$16:$F$1833,6,0)</f>
        <v>#N/A</v>
      </c>
      <c r="AE1109" s="1791"/>
    </row>
    <row r="1110" spans="1:31" ht="25.5">
      <c r="A1110" s="285" t="s">
        <v>14478</v>
      </c>
      <c r="B1110" s="407" t="s">
        <v>14476</v>
      </c>
      <c r="C1110" s="408">
        <v>88316</v>
      </c>
      <c r="D1110" s="288" t="str">
        <f>IFERROR(VLOOKUP($C1110,'24.08_ND'!$A:$D,2,0),)</f>
        <v>SERVENTE COM ENCARGOS COMPLEMENTARES</v>
      </c>
      <c r="E1110" s="289" t="str">
        <f>IFERROR(VLOOKUP($C1110,'24.08_ND'!$A:$D,3,0),)</f>
        <v>H</v>
      </c>
      <c r="F1110" s="290">
        <v>6.2E-2</v>
      </c>
      <c r="G1110" s="291">
        <f>IFERROR(VLOOKUP($C1110,'24.08_ND'!$A:$D,4,0),)</f>
        <v>18.510000000000002</v>
      </c>
      <c r="H1110" s="292">
        <f t="shared" si="43"/>
        <v>1.1399999999999999</v>
      </c>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D1110" s="1791" t="e">
        <f>VLOOKUP(C1110,'Medição '!$B$16:$F$1833,6,0)</f>
        <v>#N/A</v>
      </c>
      <c r="AE1110" s="1791"/>
    </row>
    <row r="1111" spans="1:31" ht="25.5">
      <c r="A1111" s="285" t="s">
        <v>14478</v>
      </c>
      <c r="B1111" s="407" t="s">
        <v>14476</v>
      </c>
      <c r="C1111" s="408">
        <v>88323</v>
      </c>
      <c r="D1111" s="288" t="str">
        <f>IFERROR(VLOOKUP($C1111,'24.08_ND'!$A:$D,2,0),)</f>
        <v>TELHADISTA COM ENCARGOS COMPLEMENTARES</v>
      </c>
      <c r="E1111" s="289" t="str">
        <f>IFERROR(VLOOKUP($C1111,'24.08_ND'!$A:$D,3,0),)</f>
        <v>H</v>
      </c>
      <c r="F1111" s="290">
        <v>5.6000000000000001E-2</v>
      </c>
      <c r="G1111" s="291">
        <f>IFERROR(VLOOKUP($C1111,'24.08_ND'!$A:$D,4,0),)</f>
        <v>22.77</v>
      </c>
      <c r="H1111" s="292">
        <f t="shared" si="43"/>
        <v>1.27</v>
      </c>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D1111" s="1791" t="e">
        <f>VLOOKUP(C1111,'Medição '!$B$16:$F$1833,6,0)</f>
        <v>#N/A</v>
      </c>
      <c r="AE1111" s="1791"/>
    </row>
    <row r="1112" spans="1:31" ht="25.5">
      <c r="A1112" s="293" t="s">
        <v>14479</v>
      </c>
      <c r="B1112" s="297" t="s">
        <v>14476</v>
      </c>
      <c r="C1112" s="295">
        <v>11029</v>
      </c>
      <c r="D1112" s="296" t="str">
        <f>IFERROR(VLOOKUP($C1112,'24.08_ND'!$A:$D,2,0),)</f>
        <v>HASTE RETA PARA GANCHO DE FERRO GALVANIZADO, COM ROSCA 1/4" X 30 CM PARA FIXACAO DE TELHA METALICA, INCLUI PORCA E ARRUELAS DE VEDACAO</v>
      </c>
      <c r="E1112" s="297" t="str">
        <f>IFERROR(VLOOKUP($C1112,'24.08_ND'!$A:$D,3,0),)</f>
        <v>CJ</v>
      </c>
      <c r="F1112" s="298">
        <v>4.1500000000000004</v>
      </c>
      <c r="G1112" s="299">
        <f>IFERROR(VLOOKUP($C1112,'24.08_ND'!$A:$D,4,0),)</f>
        <v>1.78</v>
      </c>
      <c r="H1112" s="300">
        <f t="shared" si="43"/>
        <v>7.38</v>
      </c>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row>
    <row r="1113" spans="1:31" ht="51">
      <c r="A1113" s="293" t="s">
        <v>14479</v>
      </c>
      <c r="B1113" s="297" t="s">
        <v>14476</v>
      </c>
      <c r="C1113" s="295">
        <v>39520</v>
      </c>
      <c r="D1113" s="296" t="str">
        <f>IFERROR(VLOOKUP($C1113,'24.08_ND'!$A:$D,2,0),)</f>
        <v>TELHA TERMOISOLANTE REVESTIDA EM ACO GALVANIZADO, FACE SUPERIOR EM TELHA TRAPEZOIDAL E FACE INFERIOR EM CHAPA PLANA (SEM ACESSORIOS DE FIXACAO), REVESTIMENTO COM ESPESSURA DE 0,50 MM COM PRE-PINTURA NAS DUAS FACES, NUCLEO EM POLIESTIRENO (EPS) DE 30 MM</v>
      </c>
      <c r="E1113" s="297" t="str">
        <f>IFERROR(VLOOKUP($C1113,'24.08_ND'!$A:$D,3,0),)</f>
        <v>M2</v>
      </c>
      <c r="F1113" s="298">
        <v>1.1459999999999999</v>
      </c>
      <c r="G1113" s="299">
        <f>IFERROR(VLOOKUP($C1113,'24.08_ND'!$A:$D,4,0),)</f>
        <v>110.16</v>
      </c>
      <c r="H1113" s="300">
        <f t="shared" si="43"/>
        <v>126.24</v>
      </c>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row>
    <row r="1114" spans="1:31" ht="12.75">
      <c r="A1114" s="309"/>
      <c r="B1114" s="303"/>
      <c r="C1114" s="303"/>
      <c r="D1114" s="310"/>
      <c r="E1114" s="303"/>
      <c r="F1114" s="306"/>
      <c r="G1114" s="307"/>
      <c r="H1114" s="308"/>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row>
    <row r="1115" spans="1:31" ht="25.5">
      <c r="A1115" s="271" t="s">
        <v>14471</v>
      </c>
      <c r="B1115" s="272" t="s">
        <v>14472</v>
      </c>
      <c r="C1115" s="360" t="s">
        <v>14887</v>
      </c>
      <c r="D1115" s="274" t="s">
        <v>14888</v>
      </c>
      <c r="E1115" s="272" t="s">
        <v>6</v>
      </c>
      <c r="F1115" s="272"/>
      <c r="G1115" s="272"/>
      <c r="H1115" s="275">
        <f>TRUNC(SUM(H1117:H1120),2)</f>
        <v>224.23</v>
      </c>
      <c r="I1115" s="276">
        <f>COUNTIF($C$8:$C1115,C:C)</f>
        <v>1</v>
      </c>
      <c r="J1115" s="262"/>
      <c r="K1115" s="262"/>
      <c r="L1115" s="262"/>
      <c r="M1115" s="262"/>
      <c r="N1115" s="262"/>
      <c r="O1115" s="262"/>
      <c r="P1115" s="262"/>
      <c r="Q1115" s="262"/>
      <c r="R1115" s="262"/>
      <c r="S1115" s="262"/>
      <c r="T1115" s="262"/>
      <c r="U1115" s="262"/>
      <c r="V1115" s="262"/>
      <c r="W1115" s="262"/>
      <c r="X1115" s="262"/>
      <c r="Y1115" s="262"/>
      <c r="Z1115" s="262"/>
      <c r="AA1115" s="262"/>
      <c r="AB1115" s="262"/>
    </row>
    <row r="1116" spans="1:31" ht="12.75">
      <c r="A1116" s="277" t="s">
        <v>14475</v>
      </c>
      <c r="B1116" s="488" t="s">
        <v>14476</v>
      </c>
      <c r="C1116" s="489">
        <v>100866</v>
      </c>
      <c r="D1116" s="490" t="s">
        <v>14587</v>
      </c>
      <c r="E1116" s="606"/>
      <c r="F1116" s="282"/>
      <c r="G1116" s="492"/>
      <c r="H1116" s="493"/>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row>
    <row r="1117" spans="1:31" ht="25.5">
      <c r="A1117" s="285" t="s">
        <v>14478</v>
      </c>
      <c r="B1117" s="407" t="s">
        <v>14476</v>
      </c>
      <c r="C1117" s="408">
        <v>88267</v>
      </c>
      <c r="D1117" s="288" t="str">
        <f>IFERROR(VLOOKUP($C1117,'24.08_ND'!$A:$D,2,0),)</f>
        <v>ENCANADOR OU BOMBEIRO HIDRÁULICO COM ENCARGOS COMPLEMENTARES</v>
      </c>
      <c r="E1117" s="289" t="str">
        <f>IFERROR(VLOOKUP($C1117,'24.08_ND'!$A:$D,3,0),)</f>
        <v>H</v>
      </c>
      <c r="F1117" s="290">
        <v>0.94850000000000001</v>
      </c>
      <c r="G1117" s="291">
        <f>IFERROR(VLOOKUP($C1117,'24.08_ND'!$A:$D,4,0),)</f>
        <v>23.27</v>
      </c>
      <c r="H1117" s="292">
        <f>TRUNC(($F1117*$G1117),2)</f>
        <v>22.07</v>
      </c>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D1117" s="1791" t="e">
        <f>VLOOKUP(C1117,'Medição '!$B$16:$F$1833,6,0)</f>
        <v>#N/A</v>
      </c>
      <c r="AE1117" s="1791"/>
    </row>
    <row r="1118" spans="1:31" ht="25.5">
      <c r="A1118" s="285" t="s">
        <v>14478</v>
      </c>
      <c r="B1118" s="407" t="s">
        <v>14476</v>
      </c>
      <c r="C1118" s="408">
        <v>88316</v>
      </c>
      <c r="D1118" s="288" t="str">
        <f>IFERROR(VLOOKUP($C1118,'24.08_ND'!$A:$D,2,0),)</f>
        <v>SERVENTE COM ENCARGOS COMPLEMENTARES</v>
      </c>
      <c r="E1118" s="289" t="str">
        <f>IFERROR(VLOOKUP($C1118,'24.08_ND'!$A:$D,3,0),)</f>
        <v>H</v>
      </c>
      <c r="F1118" s="290">
        <v>0.29880000000000001</v>
      </c>
      <c r="G1118" s="291">
        <f>IFERROR(VLOOKUP($C1118,'24.08_ND'!$A:$D,4,0),)</f>
        <v>18.510000000000002</v>
      </c>
      <c r="H1118" s="292">
        <f>TRUNC(($F1118*$G1118),2)</f>
        <v>5.53</v>
      </c>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D1118" s="1791" t="e">
        <f>VLOOKUP(C1118,'Medição '!$B$16:$F$1833,6,0)</f>
        <v>#N/A</v>
      </c>
      <c r="AE1118" s="1791"/>
    </row>
    <row r="1119" spans="1:31" ht="25.5">
      <c r="A1119" s="494" t="s">
        <v>14479</v>
      </c>
      <c r="B1119" s="495" t="s">
        <v>14476</v>
      </c>
      <c r="C1119" s="348">
        <v>4351</v>
      </c>
      <c r="D1119" s="296" t="str">
        <f>IFERROR(VLOOKUP($C1119,'24.08_ND'!$A:$D,2,0),)</f>
        <v>PARAFUSO NIQUELADO 3 1/2" COM ACABAMENTO CROMADO PARA FIXAR PECA SANITARIA, INCLUI PORCA CEGA, ARRUELA E BUCHA DE NYLON TAMANHO S-8</v>
      </c>
      <c r="E1119" s="297" t="str">
        <f>IFERROR(VLOOKUP($C1119,'24.08_ND'!$A:$D,3,0),)</f>
        <v>UN</v>
      </c>
      <c r="F1119" s="298">
        <v>6</v>
      </c>
      <c r="G1119" s="299">
        <f>IFERROR(VLOOKUP($C1119,'24.08_ND'!$A:$D,4,0),)</f>
        <v>16.07</v>
      </c>
      <c r="H1119" s="300">
        <f>TRUNC(($F1119*$G1119),2)</f>
        <v>96.42</v>
      </c>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row>
    <row r="1120" spans="1:31" ht="25.5">
      <c r="A1120" s="494" t="s">
        <v>14479</v>
      </c>
      <c r="B1120" s="495" t="s">
        <v>14476</v>
      </c>
      <c r="C1120" s="348">
        <v>36081</v>
      </c>
      <c r="D1120" s="296" t="str">
        <f>IFERROR(VLOOKUP($C1120,'24.08_ND'!$A:$D,2,0),)</f>
        <v>BARRA DE APOIO RETA, EM ACO INOX POLIDO, COMPRIMENTO 80CM, DIAMETRO MINIMO 3 CM</v>
      </c>
      <c r="E1120" s="297" t="str">
        <f>IFERROR(VLOOKUP($C1120,'24.08_ND'!$A:$D,3,0),)</f>
        <v>UN</v>
      </c>
      <c r="F1120" s="298">
        <v>0.5</v>
      </c>
      <c r="G1120" s="299">
        <f>IFERROR(VLOOKUP($C1120,'24.08_ND'!$A:$D,4,0),)</f>
        <v>200.42</v>
      </c>
      <c r="H1120" s="300">
        <f>TRUNC(($F1120*$G1120),2)</f>
        <v>100.21</v>
      </c>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row>
    <row r="1121" spans="1:31" ht="12.75">
      <c r="A1121" s="309"/>
      <c r="B1121" s="303"/>
      <c r="C1121" s="303"/>
      <c r="D1121" s="310"/>
      <c r="E1121" s="303"/>
      <c r="F1121" s="306"/>
      <c r="G1121" s="307"/>
      <c r="H1121" s="308"/>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row>
    <row r="1122" spans="1:31" ht="25.5">
      <c r="A1122" s="271" t="s">
        <v>14471</v>
      </c>
      <c r="B1122" s="272" t="s">
        <v>14472</v>
      </c>
      <c r="C1122" s="360" t="s">
        <v>14889</v>
      </c>
      <c r="D1122" s="274" t="s">
        <v>14890</v>
      </c>
      <c r="E1122" s="272" t="s">
        <v>6</v>
      </c>
      <c r="F1122" s="272"/>
      <c r="G1122" s="272"/>
      <c r="H1122" s="275">
        <f>TRUNC(SUM(H1124:H1126),2)</f>
        <v>174.49</v>
      </c>
      <c r="I1122" s="276">
        <f>COUNTIF($C$8:$C1122,C:C)</f>
        <v>1</v>
      </c>
      <c r="J1122" s="262"/>
      <c r="K1122" s="262"/>
      <c r="L1122" s="262"/>
      <c r="M1122" s="262"/>
      <c r="N1122" s="262"/>
      <c r="O1122" s="262"/>
      <c r="P1122" s="262"/>
      <c r="Q1122" s="262"/>
      <c r="R1122" s="262"/>
      <c r="S1122" s="262"/>
      <c r="T1122" s="262"/>
      <c r="U1122" s="262"/>
      <c r="V1122" s="262"/>
      <c r="W1122" s="262"/>
      <c r="X1122" s="262"/>
      <c r="Y1122" s="262"/>
      <c r="Z1122" s="262"/>
      <c r="AA1122" s="262"/>
      <c r="AB1122" s="262"/>
    </row>
    <row r="1123" spans="1:31" ht="12.75">
      <c r="A1123" s="277" t="s">
        <v>14475</v>
      </c>
      <c r="B1123" s="488" t="s">
        <v>14476</v>
      </c>
      <c r="C1123" s="489">
        <v>95544</v>
      </c>
      <c r="D1123" s="490" t="s">
        <v>14587</v>
      </c>
      <c r="E1123" s="606"/>
      <c r="F1123" s="282"/>
      <c r="G1123" s="492"/>
      <c r="H1123" s="493"/>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row>
    <row r="1124" spans="1:31" ht="25.5">
      <c r="A1124" s="285" t="s">
        <v>14478</v>
      </c>
      <c r="B1124" s="407" t="s">
        <v>14476</v>
      </c>
      <c r="C1124" s="344">
        <v>88309</v>
      </c>
      <c r="D1124" s="288" t="str">
        <f>IFERROR(VLOOKUP($C1124,'24.08_ND'!$A:$D,2,0),)</f>
        <v>PEDREIRO COM ENCARGOS COMPLEMENTARES</v>
      </c>
      <c r="E1124" s="289" t="str">
        <f>IFERROR(VLOOKUP($C1124,'24.08_ND'!$A:$D,3,0),)</f>
        <v>H</v>
      </c>
      <c r="F1124" s="290">
        <v>0.5</v>
      </c>
      <c r="G1124" s="291">
        <f>IFERROR(VLOOKUP($C1124,'24.08_ND'!$A:$D,4,0),)</f>
        <v>23.33</v>
      </c>
      <c r="H1124" s="292">
        <f>TRUNC(($F1124*$G1124),2)</f>
        <v>11.66</v>
      </c>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D1124" s="1791" t="e">
        <f>VLOOKUP(C1124,'Medição '!$B$16:$F$1833,6,0)</f>
        <v>#N/A</v>
      </c>
      <c r="AE1124" s="1791"/>
    </row>
    <row r="1125" spans="1:31" ht="25.5">
      <c r="A1125" s="494" t="s">
        <v>14479</v>
      </c>
      <c r="B1125" s="495" t="s">
        <v>14476</v>
      </c>
      <c r="C1125" s="348">
        <v>11950</v>
      </c>
      <c r="D1125" s="296" t="str">
        <f>IFERROR(VLOOKUP($C1125,'24.08_ND'!$A:$D,2,0),)</f>
        <v>BUCHA DE NYLON SEM ABA S6, COM PARAFUSO DE 4,20 X 40 MM EM ACO ZINCADO COM ROSCA SOBERBA, CABECA CHATA E FENDA PHILLIPS</v>
      </c>
      <c r="E1125" s="297" t="str">
        <f>IFERROR(VLOOKUP($C1125,'24.08_ND'!$A:$D,3,0),)</f>
        <v>UN</v>
      </c>
      <c r="F1125" s="298">
        <v>4</v>
      </c>
      <c r="G1125" s="299">
        <f>IFERROR(VLOOKUP($C1125,'24.08_ND'!$A:$D,4,0),)</f>
        <v>0.21</v>
      </c>
      <c r="H1125" s="300">
        <f>TRUNC(($F1125*$G1125),2)</f>
        <v>0.84</v>
      </c>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row>
    <row r="1126" spans="1:31" ht="12.75">
      <c r="A1126" s="627" t="s">
        <v>14479</v>
      </c>
      <c r="B1126" s="312" t="str">
        <f>VLOOKUP($C1126,'• CIs EXT'!$A:$E,2,0)</f>
        <v>SETOP</v>
      </c>
      <c r="C1126" s="473" t="s">
        <v>14891</v>
      </c>
      <c r="D1126" s="314" t="str">
        <f>VLOOKUP($C1126,'• CIs EXT'!$A:$E,3,0)</f>
        <v>PORTA PAPEL-TOALHA (MATERIAL: AÇO INOX)</v>
      </c>
      <c r="E1126" s="312" t="str">
        <f>VLOOKUP($C1126,'• CIs EXT'!$A:$E,4,0)</f>
        <v>UN</v>
      </c>
      <c r="F1126" s="313">
        <v>1</v>
      </c>
      <c r="G1126" s="312">
        <f>VLOOKUP($C1126,'• CIs EXT'!$A:$E,5,0)</f>
        <v>161.99</v>
      </c>
      <c r="H1126" s="316">
        <f>TRUNC(($F1126*$G1126),2)</f>
        <v>161.99</v>
      </c>
      <c r="I1126" s="262"/>
      <c r="J1126" s="262"/>
      <c r="K1126" s="262"/>
      <c r="L1126" s="262"/>
      <c r="M1126" s="262"/>
      <c r="N1126" s="262"/>
      <c r="O1126" s="262"/>
      <c r="P1126" s="262"/>
      <c r="Q1126" s="262"/>
      <c r="R1126" s="262"/>
      <c r="S1126" s="262"/>
      <c r="T1126" s="262"/>
      <c r="U1126" s="262"/>
      <c r="V1126" s="262"/>
      <c r="W1126" s="262"/>
      <c r="X1126" s="262"/>
      <c r="Y1126" s="262"/>
      <c r="Z1126" s="262"/>
      <c r="AA1126" s="262"/>
      <c r="AB1126" s="262"/>
    </row>
    <row r="1127" spans="1:31" ht="12.75">
      <c r="A1127" s="309"/>
      <c r="B1127" s="303"/>
      <c r="C1127" s="303"/>
      <c r="D1127" s="310"/>
      <c r="E1127" s="303"/>
      <c r="F1127" s="306"/>
      <c r="G1127" s="307"/>
      <c r="H1127" s="308"/>
      <c r="I1127" s="262"/>
      <c r="J1127" s="262"/>
      <c r="K1127" s="262"/>
      <c r="L1127" s="262"/>
      <c r="M1127" s="262"/>
      <c r="N1127" s="262"/>
      <c r="O1127" s="262"/>
      <c r="P1127" s="262"/>
      <c r="Q1127" s="262"/>
      <c r="R1127" s="262"/>
      <c r="S1127" s="262"/>
      <c r="T1127" s="262"/>
      <c r="U1127" s="262"/>
      <c r="V1127" s="262"/>
      <c r="W1127" s="262"/>
      <c r="X1127" s="262"/>
      <c r="Y1127" s="262"/>
      <c r="Z1127" s="262"/>
      <c r="AA1127" s="262"/>
      <c r="AB1127" s="262"/>
    </row>
    <row r="1128" spans="1:31" ht="12.75">
      <c r="A1128" s="271" t="s">
        <v>14471</v>
      </c>
      <c r="B1128" s="272" t="s">
        <v>14472</v>
      </c>
      <c r="C1128" s="360" t="s">
        <v>14892</v>
      </c>
      <c r="D1128" s="274" t="s">
        <v>14893</v>
      </c>
      <c r="E1128" s="272" t="s">
        <v>6</v>
      </c>
      <c r="F1128" s="272"/>
      <c r="G1128" s="272"/>
      <c r="H1128" s="275">
        <f>TRUNC(SUM(H1130:H1132),2)</f>
        <v>120.63</v>
      </c>
      <c r="I1128" s="276">
        <f>COUNTIF($C$8:$C1128,C:C)</f>
        <v>1</v>
      </c>
      <c r="J1128" s="262"/>
      <c r="K1128" s="262"/>
      <c r="L1128" s="262"/>
      <c r="M1128" s="262"/>
      <c r="N1128" s="262"/>
      <c r="O1128" s="262"/>
      <c r="P1128" s="262"/>
      <c r="Q1128" s="262"/>
      <c r="R1128" s="262"/>
      <c r="S1128" s="262"/>
      <c r="T1128" s="262"/>
      <c r="U1128" s="262"/>
      <c r="V1128" s="262"/>
      <c r="W1128" s="262"/>
      <c r="X1128" s="262"/>
      <c r="Y1128" s="262"/>
      <c r="Z1128" s="262"/>
      <c r="AA1128" s="262"/>
      <c r="AB1128" s="262"/>
    </row>
    <row r="1129" spans="1:31" ht="12.75">
      <c r="A1129" s="277" t="s">
        <v>14475</v>
      </c>
      <c r="B1129" s="488" t="s">
        <v>14562</v>
      </c>
      <c r="C1129" s="489" t="s">
        <v>14894</v>
      </c>
      <c r="D1129" s="490" t="s">
        <v>14794</v>
      </c>
      <c r="E1129" s="606"/>
      <c r="F1129" s="282"/>
      <c r="G1129" s="492"/>
      <c r="H1129" s="493"/>
      <c r="I1129" s="262"/>
      <c r="J1129" s="262"/>
      <c r="K1129" s="262"/>
      <c r="L1129" s="262"/>
      <c r="M1129" s="262"/>
      <c r="N1129" s="262"/>
      <c r="O1129" s="262"/>
      <c r="P1129" s="262"/>
      <c r="Q1129" s="262"/>
      <c r="R1129" s="262"/>
      <c r="S1129" s="262"/>
      <c r="T1129" s="262"/>
      <c r="U1129" s="262"/>
      <c r="V1129" s="262"/>
      <c r="W1129" s="262"/>
      <c r="X1129" s="262"/>
      <c r="Y1129" s="262"/>
      <c r="Z1129" s="262"/>
      <c r="AA1129" s="262"/>
      <c r="AB1129" s="262"/>
    </row>
    <row r="1130" spans="1:31" ht="25.5">
      <c r="A1130" s="285" t="s">
        <v>14478</v>
      </c>
      <c r="B1130" s="407" t="s">
        <v>14476</v>
      </c>
      <c r="C1130" s="344">
        <v>88309</v>
      </c>
      <c r="D1130" s="288" t="str">
        <f>IFERROR(VLOOKUP($C1130,'24.08_ND'!$A:$D,2,0),)</f>
        <v>PEDREIRO COM ENCARGOS COMPLEMENTARES</v>
      </c>
      <c r="E1130" s="289" t="str">
        <f>IFERROR(VLOOKUP($C1130,'24.08_ND'!$A:$D,3,0),)</f>
        <v>H</v>
      </c>
      <c r="F1130" s="290">
        <v>0.25</v>
      </c>
      <c r="G1130" s="291">
        <f>IFERROR(VLOOKUP($C1130,'24.08_ND'!$A:$D,4,0),)</f>
        <v>23.33</v>
      </c>
      <c r="H1130" s="292">
        <f>TRUNC(($F1130*$G1130),2)</f>
        <v>5.83</v>
      </c>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D1130" s="1791" t="e">
        <f>VLOOKUP(C1130,'Medição '!$B$16:$F$1833,6,0)</f>
        <v>#N/A</v>
      </c>
      <c r="AE1130" s="1791"/>
    </row>
    <row r="1131" spans="1:31" ht="25.5">
      <c r="A1131" s="494" t="s">
        <v>14479</v>
      </c>
      <c r="B1131" s="495" t="s">
        <v>14476</v>
      </c>
      <c r="C1131" s="348">
        <v>11950</v>
      </c>
      <c r="D1131" s="296" t="str">
        <f>IFERROR(VLOOKUP($C1131,'24.08_ND'!$A:$D,2,0),)</f>
        <v>BUCHA DE NYLON SEM ABA S6, COM PARAFUSO DE 4,20 X 40 MM EM ACO ZINCADO COM ROSCA SOBERBA, CABECA CHATA E FENDA PHILLIPS</v>
      </c>
      <c r="E1131" s="297" t="str">
        <f>IFERROR(VLOOKUP($C1131,'24.08_ND'!$A:$D,3,0),)</f>
        <v>UN</v>
      </c>
      <c r="F1131" s="298">
        <v>2</v>
      </c>
      <c r="G1131" s="299">
        <f>IFERROR(VLOOKUP($C1131,'24.08_ND'!$A:$D,4,0),)</f>
        <v>0.21</v>
      </c>
      <c r="H1131" s="300">
        <f>TRUNC(($F1131*$G1131),2)</f>
        <v>0.42</v>
      </c>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row>
    <row r="1132" spans="1:31" ht="12.75">
      <c r="A1132" s="627" t="s">
        <v>14479</v>
      </c>
      <c r="B1132" s="312" t="str">
        <f>VLOOKUP($C1132,'• CIs EXT'!$A:$E,2,0)</f>
        <v>ORSE</v>
      </c>
      <c r="C1132" s="473">
        <v>1842</v>
      </c>
      <c r="D1132" s="314" t="str">
        <f>VLOOKUP($C1132,'• CIs EXT'!$A:$E,3,0)</f>
        <v>PORTA TOALHA PAPEL ROLO EM AÇO INOX</v>
      </c>
      <c r="E1132" s="312" t="str">
        <f>VLOOKUP($C1132,'• CIs EXT'!$A:$E,4,0)</f>
        <v>UN</v>
      </c>
      <c r="F1132" s="313">
        <v>1</v>
      </c>
      <c r="G1132" s="312">
        <f>VLOOKUP($C1132,'• CIs EXT'!$A:$E,5,0)</f>
        <v>114.38</v>
      </c>
      <c r="H1132" s="316">
        <f>TRUNC(($F1132*$G1132),2)</f>
        <v>114.38</v>
      </c>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row>
    <row r="1133" spans="1:31" ht="12.75">
      <c r="A1133" s="309"/>
      <c r="B1133" s="303"/>
      <c r="C1133" s="303"/>
      <c r="D1133" s="310"/>
      <c r="E1133" s="303"/>
      <c r="F1133" s="306"/>
      <c r="G1133" s="307"/>
      <c r="H1133" s="308"/>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row>
    <row r="1134" spans="1:31" ht="12.75">
      <c r="A1134" s="271" t="s">
        <v>14471</v>
      </c>
      <c r="B1134" s="272" t="s">
        <v>14472</v>
      </c>
      <c r="C1134" s="360" t="s">
        <v>14895</v>
      </c>
      <c r="D1134" s="274" t="s">
        <v>14896</v>
      </c>
      <c r="E1134" s="272" t="s">
        <v>6</v>
      </c>
      <c r="F1134" s="272"/>
      <c r="G1134" s="272"/>
      <c r="H1134" s="275">
        <f>TRUNC(SUM(H1136:H1138),2)</f>
        <v>186.43</v>
      </c>
      <c r="I1134" s="276">
        <f>COUNTIF($C$8:$C1134,C:C)</f>
        <v>1</v>
      </c>
      <c r="J1134" s="262"/>
      <c r="K1134" s="262"/>
      <c r="L1134" s="262"/>
      <c r="M1134" s="262"/>
      <c r="N1134" s="262"/>
      <c r="O1134" s="262"/>
      <c r="P1134" s="262"/>
      <c r="Q1134" s="262"/>
      <c r="R1134" s="262"/>
      <c r="S1134" s="262"/>
      <c r="T1134" s="262"/>
      <c r="U1134" s="262"/>
      <c r="V1134" s="262"/>
      <c r="W1134" s="262"/>
      <c r="X1134" s="262"/>
      <c r="Y1134" s="262"/>
      <c r="Z1134" s="262"/>
      <c r="AA1134" s="262"/>
      <c r="AB1134" s="262"/>
    </row>
    <row r="1135" spans="1:31" ht="12.75">
      <c r="A1135" s="277" t="s">
        <v>14475</v>
      </c>
      <c r="B1135" s="488" t="s">
        <v>14476</v>
      </c>
      <c r="C1135" s="489">
        <v>95547</v>
      </c>
      <c r="D1135" s="490" t="s">
        <v>14587</v>
      </c>
      <c r="E1135" s="606"/>
      <c r="F1135" s="282"/>
      <c r="G1135" s="492"/>
      <c r="H1135" s="493"/>
      <c r="I1135" s="262"/>
      <c r="J1135" s="262"/>
      <c r="K1135" s="262"/>
      <c r="L1135" s="262"/>
      <c r="M1135" s="262"/>
      <c r="N1135" s="262"/>
      <c r="O1135" s="262"/>
      <c r="P1135" s="262"/>
      <c r="Q1135" s="262"/>
      <c r="R1135" s="262"/>
      <c r="S1135" s="262"/>
      <c r="T1135" s="262"/>
      <c r="U1135" s="262"/>
      <c r="V1135" s="262"/>
      <c r="W1135" s="262"/>
      <c r="X1135" s="262"/>
      <c r="Y1135" s="262"/>
      <c r="Z1135" s="262"/>
      <c r="AA1135" s="262"/>
      <c r="AB1135" s="262"/>
    </row>
    <row r="1136" spans="1:31" ht="25.5">
      <c r="A1136" s="285" t="s">
        <v>14478</v>
      </c>
      <c r="B1136" s="407" t="s">
        <v>14476</v>
      </c>
      <c r="C1136" s="344">
        <v>88309</v>
      </c>
      <c r="D1136" s="288" t="str">
        <f>IFERROR(VLOOKUP($C1136,'24.08_ND'!$A:$D,2,0),)</f>
        <v>PEDREIRO COM ENCARGOS COMPLEMENTARES</v>
      </c>
      <c r="E1136" s="289" t="str">
        <f>IFERROR(VLOOKUP($C1136,'24.08_ND'!$A:$D,3,0),)</f>
        <v>H</v>
      </c>
      <c r="F1136" s="290">
        <f>0.3162+0.0996</f>
        <v>0.41579999999999995</v>
      </c>
      <c r="G1136" s="291">
        <f>IFERROR(VLOOKUP($C1136,'24.08_ND'!$A:$D,4,0),)</f>
        <v>23.33</v>
      </c>
      <c r="H1136" s="292">
        <f>TRUNC(($F1136*$G1136),2)</f>
        <v>9.6999999999999993</v>
      </c>
      <c r="I1136" s="262"/>
      <c r="J1136" s="262"/>
      <c r="K1136" s="262"/>
      <c r="L1136" s="262"/>
      <c r="M1136" s="262"/>
      <c r="N1136" s="262"/>
      <c r="O1136" s="262"/>
      <c r="P1136" s="262"/>
      <c r="Q1136" s="262"/>
      <c r="R1136" s="262"/>
      <c r="S1136" s="262"/>
      <c r="T1136" s="262"/>
      <c r="U1136" s="262"/>
      <c r="V1136" s="262"/>
      <c r="W1136" s="262"/>
      <c r="X1136" s="262"/>
      <c r="Y1136" s="262"/>
      <c r="Z1136" s="262"/>
      <c r="AA1136" s="262"/>
      <c r="AB1136" s="262"/>
      <c r="AD1136" s="1791" t="e">
        <f>VLOOKUP(C1136,'Medição '!$B$16:$F$1833,6,0)</f>
        <v>#N/A</v>
      </c>
      <c r="AE1136" s="1791"/>
    </row>
    <row r="1137" spans="1:31" ht="25.5">
      <c r="A1137" s="494" t="s">
        <v>14479</v>
      </c>
      <c r="B1137" s="495" t="s">
        <v>14476</v>
      </c>
      <c r="C1137" s="348">
        <v>11950</v>
      </c>
      <c r="D1137" s="296" t="str">
        <f>IFERROR(VLOOKUP($C1137,'24.08_ND'!$A:$D,2,0),)</f>
        <v>BUCHA DE NYLON SEM ABA S6, COM PARAFUSO DE 4,20 X 40 MM EM ACO ZINCADO COM ROSCA SOBERBA, CABECA CHATA E FENDA PHILLIPS</v>
      </c>
      <c r="E1137" s="297" t="str">
        <f>IFERROR(VLOOKUP($C1137,'24.08_ND'!$A:$D,3,0),)</f>
        <v>UN</v>
      </c>
      <c r="F1137" s="298">
        <v>2</v>
      </c>
      <c r="G1137" s="299">
        <f>IFERROR(VLOOKUP($C1137,'24.08_ND'!$A:$D,4,0),)</f>
        <v>0.21</v>
      </c>
      <c r="H1137" s="300">
        <f>TRUNC(($F1137*$G1137),2)</f>
        <v>0.42</v>
      </c>
      <c r="I1137" s="262"/>
      <c r="J1137" s="262"/>
      <c r="K1137" s="262"/>
      <c r="L1137" s="262"/>
      <c r="M1137" s="262"/>
      <c r="N1137" s="262"/>
      <c r="O1137" s="262"/>
      <c r="P1137" s="262"/>
      <c r="Q1137" s="262"/>
      <c r="R1137" s="262"/>
      <c r="S1137" s="262"/>
      <c r="T1137" s="262"/>
      <c r="U1137" s="262"/>
      <c r="V1137" s="262"/>
      <c r="W1137" s="262"/>
      <c r="X1137" s="262"/>
      <c r="Y1137" s="262"/>
      <c r="Z1137" s="262"/>
      <c r="AA1137" s="262"/>
      <c r="AB1137" s="262"/>
    </row>
    <row r="1138" spans="1:31" ht="25.5">
      <c r="A1138" s="627" t="s">
        <v>14479</v>
      </c>
      <c r="B1138" s="312" t="str">
        <f>VLOOKUP($C1138,'• CIs EXT'!$A:$E,2,0)</f>
        <v>SETOP</v>
      </c>
      <c r="C1138" s="473" t="s">
        <v>14897</v>
      </c>
      <c r="D1138" s="314" t="str">
        <f>VLOOKUP($C1138,'• CIs EXT'!$A:$E,3,0)</f>
        <v>SABONETEIRA EM AÇO INOX TIPO DISPENSER PARA SABONETE LIQUIDO COM RESERVATORIO 800 ML</v>
      </c>
      <c r="E1138" s="312" t="str">
        <f>VLOOKUP($C1138,'• CIs EXT'!$A:$E,4,0)</f>
        <v>UN</v>
      </c>
      <c r="F1138" s="313">
        <v>1</v>
      </c>
      <c r="G1138" s="312">
        <f>VLOOKUP($C1138,'• CIs EXT'!$A:$E,5,0)</f>
        <v>176.31</v>
      </c>
      <c r="H1138" s="316">
        <f>TRUNC(($F1138*$G1138),2)</f>
        <v>176.31</v>
      </c>
      <c r="I1138" s="262"/>
      <c r="J1138" s="262"/>
      <c r="K1138" s="262"/>
      <c r="L1138" s="262"/>
      <c r="M1138" s="262"/>
      <c r="N1138" s="262"/>
      <c r="O1138" s="262"/>
      <c r="P1138" s="262"/>
      <c r="Q1138" s="262"/>
      <c r="R1138" s="262"/>
      <c r="S1138" s="262"/>
      <c r="T1138" s="262"/>
      <c r="U1138" s="262"/>
      <c r="V1138" s="262"/>
      <c r="W1138" s="262"/>
      <c r="X1138" s="262"/>
      <c r="Y1138" s="262"/>
      <c r="Z1138" s="262"/>
      <c r="AA1138" s="262"/>
      <c r="AB1138" s="262"/>
    </row>
    <row r="1139" spans="1:31" ht="12.75">
      <c r="A1139" s="415"/>
      <c r="B1139" s="416"/>
      <c r="C1139" s="416"/>
      <c r="D1139" s="416"/>
      <c r="E1139" s="416"/>
      <c r="F1139" s="417"/>
      <c r="G1139" s="418"/>
      <c r="H1139" s="419"/>
      <c r="I1139" s="262"/>
      <c r="J1139" s="262"/>
      <c r="K1139" s="262"/>
      <c r="L1139" s="262"/>
      <c r="M1139" s="262"/>
      <c r="N1139" s="262"/>
      <c r="O1139" s="262"/>
      <c r="P1139" s="262"/>
      <c r="Q1139" s="262"/>
      <c r="R1139" s="262"/>
      <c r="S1139" s="262"/>
      <c r="T1139" s="262"/>
      <c r="U1139" s="262"/>
      <c r="V1139" s="262"/>
      <c r="W1139" s="262"/>
      <c r="X1139" s="262"/>
      <c r="Y1139" s="262"/>
      <c r="Z1139" s="262"/>
      <c r="AA1139" s="262"/>
      <c r="AB1139" s="262"/>
    </row>
    <row r="1140" spans="1:31" ht="12.75">
      <c r="A1140" s="358" t="s">
        <v>14471</v>
      </c>
      <c r="B1140" s="359" t="s">
        <v>14472</v>
      </c>
      <c r="C1140" s="360" t="s">
        <v>14898</v>
      </c>
      <c r="D1140" s="361" t="s">
        <v>14899</v>
      </c>
      <c r="E1140" s="359" t="s">
        <v>409</v>
      </c>
      <c r="F1140" s="362"/>
      <c r="G1140" s="362"/>
      <c r="H1140" s="363">
        <f>TRUNC(SUM(H1142:H1145),2)</f>
        <v>592.87</v>
      </c>
      <c r="I1140" s="276">
        <f>COUNTIF($C$8:$C1140,C:C)</f>
        <v>1</v>
      </c>
      <c r="J1140" s="262"/>
      <c r="K1140" s="262"/>
      <c r="L1140" s="262"/>
      <c r="M1140" s="262"/>
      <c r="N1140" s="262"/>
      <c r="O1140" s="262"/>
      <c r="P1140" s="262"/>
      <c r="Q1140" s="262"/>
      <c r="R1140" s="262"/>
      <c r="S1140" s="262"/>
      <c r="T1140" s="262"/>
      <c r="U1140" s="262"/>
      <c r="V1140" s="262"/>
      <c r="W1140" s="262"/>
      <c r="X1140" s="262"/>
      <c r="Y1140" s="262"/>
      <c r="Z1140" s="262"/>
      <c r="AA1140" s="262"/>
      <c r="AB1140" s="262"/>
    </row>
    <row r="1141" spans="1:31" ht="12.75">
      <c r="A1141" s="364" t="s">
        <v>14475</v>
      </c>
      <c r="B1141" s="403" t="s">
        <v>14489</v>
      </c>
      <c r="C1141" s="404" t="s">
        <v>14900</v>
      </c>
      <c r="D1141" s="630">
        <v>45292</v>
      </c>
      <c r="E1141" s="405"/>
      <c r="F1141" s="369"/>
      <c r="G1141" s="370"/>
      <c r="H1141" s="371"/>
      <c r="I1141" s="262"/>
      <c r="J1141" s="262"/>
      <c r="K1141" s="262"/>
      <c r="L1141" s="262"/>
      <c r="M1141" s="262"/>
      <c r="N1141" s="262"/>
      <c r="O1141" s="262"/>
      <c r="P1141" s="262"/>
      <c r="Q1141" s="262"/>
      <c r="R1141" s="262"/>
      <c r="S1141" s="262"/>
      <c r="T1141" s="262"/>
      <c r="U1141" s="262"/>
      <c r="V1141" s="262"/>
      <c r="W1141" s="262"/>
      <c r="X1141" s="262"/>
      <c r="Y1141" s="262"/>
      <c r="Z1141" s="262"/>
      <c r="AA1141" s="262"/>
      <c r="AB1141" s="262"/>
    </row>
    <row r="1142" spans="1:31" ht="25.5">
      <c r="A1142" s="372" t="s">
        <v>14478</v>
      </c>
      <c r="B1142" s="373" t="s">
        <v>14476</v>
      </c>
      <c r="C1142" s="374">
        <v>88325</v>
      </c>
      <c r="D1142" s="593" t="str">
        <f>IFERROR(VLOOKUP($C1142,'24.08_ND'!$A:$D,2,0),)</f>
        <v>VIDRACEIRO COM ENCARGOS COMPLEMENTARES</v>
      </c>
      <c r="E1142" s="594" t="str">
        <f>IFERROR(VLOOKUP($C1142,'24.08_ND'!$A:$D,3,0),)</f>
        <v>H</v>
      </c>
      <c r="F1142" s="375">
        <v>0.66700000000000004</v>
      </c>
      <c r="G1142" s="595">
        <f>IFERROR(VLOOKUP($C1142,'24.08_ND'!$A:$D,4,0),)</f>
        <v>20.67</v>
      </c>
      <c r="H1142" s="440">
        <f>TRUNC(($F1142*$G1142),2)</f>
        <v>13.78</v>
      </c>
      <c r="I1142" s="262"/>
      <c r="J1142" s="262"/>
      <c r="K1142" s="262"/>
      <c r="L1142" s="262"/>
      <c r="M1142" s="262"/>
      <c r="N1142" s="262"/>
      <c r="O1142" s="262"/>
      <c r="P1142" s="262"/>
      <c r="Q1142" s="262"/>
      <c r="R1142" s="262"/>
      <c r="S1142" s="262"/>
      <c r="T1142" s="262"/>
      <c r="U1142" s="262"/>
      <c r="V1142" s="262"/>
      <c r="W1142" s="262"/>
      <c r="X1142" s="262"/>
      <c r="Y1142" s="262"/>
      <c r="Z1142" s="262"/>
      <c r="AA1142" s="262"/>
      <c r="AB1142" s="262"/>
      <c r="AD1142" s="1791" t="e">
        <f>VLOOKUP(C1142,'Medição '!$B$16:$F$1833,6,0)</f>
        <v>#N/A</v>
      </c>
      <c r="AE1142" s="1791"/>
    </row>
    <row r="1143" spans="1:31" ht="12.75">
      <c r="A1143" s="382" t="s">
        <v>14479</v>
      </c>
      <c r="B1143" s="597" t="s">
        <v>14476</v>
      </c>
      <c r="C1143" s="384">
        <v>39961</v>
      </c>
      <c r="D1143" s="596" t="str">
        <f>IFERROR(VLOOKUP($C1143,'24.08_ND'!$A:$D,2,0),)</f>
        <v>SILICONE ACETICO USO GERAL INCOLOR 280 G</v>
      </c>
      <c r="E1143" s="597" t="str">
        <f>IFERROR(VLOOKUP($C1143,'24.08_ND'!$A:$D,3,0),)</f>
        <v>UN</v>
      </c>
      <c r="F1143" s="385">
        <v>0.25874999999999998</v>
      </c>
      <c r="G1143" s="598">
        <f>IFERROR(VLOOKUP($C1143,'24.08_ND'!$A:$D,4,0),)</f>
        <v>22.6</v>
      </c>
      <c r="H1143" s="449">
        <f>TRUNC(($F1143*$G1143),2)</f>
        <v>5.84</v>
      </c>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row>
    <row r="1144" spans="1:31" ht="12.75">
      <c r="A1144" s="382" t="s">
        <v>14479</v>
      </c>
      <c r="B1144" s="597" t="s">
        <v>14476</v>
      </c>
      <c r="C1144" s="384">
        <v>11186</v>
      </c>
      <c r="D1144" s="596" t="str">
        <f>IFERROR(VLOOKUP($C1144,'24.08_ND'!$A:$D,2,0),)</f>
        <v>ESPELHO CRISTAL E = 4 MM</v>
      </c>
      <c r="E1144" s="597" t="str">
        <f>IFERROR(VLOOKUP($C1144,'24.08_ND'!$A:$D,3,0),)</f>
        <v>M2</v>
      </c>
      <c r="F1144" s="385">
        <v>1</v>
      </c>
      <c r="G1144" s="598">
        <f>IFERROR(VLOOKUP($C1144,'24.08_ND'!$A:$D,4,0),)</f>
        <v>470.07</v>
      </c>
      <c r="H1144" s="449">
        <f>TRUNC(($F1144*$G1144),2)</f>
        <v>470.07</v>
      </c>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row>
    <row r="1145" spans="1:31" ht="25.5">
      <c r="A1145" s="376" t="s">
        <v>14478</v>
      </c>
      <c r="B1145" s="312" t="str">
        <f>VLOOKUP($C1145,'• CIs EXT'!$A:$E,2,0)</f>
        <v>ORSE</v>
      </c>
      <c r="C1145" s="377">
        <v>13335</v>
      </c>
      <c r="D1145" s="378" t="str">
        <f>VLOOKUP($C1145,'• CIs EXT'!$A:$E,3,0)</f>
        <v>EXECUÇÃO DE ACABAMENTO CHANFRADO (BISOTADO) EM BORDAS DE ESPELHO</v>
      </c>
      <c r="E1145" s="379" t="str">
        <f>VLOOKUP($C1145,'• CIs EXT'!$A:$E,4,0)</f>
        <v>M</v>
      </c>
      <c r="F1145" s="380">
        <v>3.05</v>
      </c>
      <c r="G1145" s="379">
        <f>VLOOKUP($C1145,'• CIs EXT'!$A:$E,5,0)</f>
        <v>33.83</v>
      </c>
      <c r="H1145" s="381">
        <f>TRUNC(($F1145*$G1145),2)</f>
        <v>103.18</v>
      </c>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row>
    <row r="1146" spans="1:31" ht="12.75">
      <c r="A1146" s="415"/>
      <c r="B1146" s="416"/>
      <c r="C1146" s="416"/>
      <c r="D1146" s="416"/>
      <c r="E1146" s="416"/>
      <c r="F1146" s="417"/>
      <c r="G1146" s="418"/>
      <c r="H1146" s="419"/>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row>
    <row r="1147" spans="1:31" ht="12.75">
      <c r="A1147" s="358" t="s">
        <v>14471</v>
      </c>
      <c r="B1147" s="359" t="s">
        <v>14472</v>
      </c>
      <c r="C1147" s="360" t="s">
        <v>14901</v>
      </c>
      <c r="D1147" s="361" t="s">
        <v>14902</v>
      </c>
      <c r="E1147" s="359" t="s">
        <v>6</v>
      </c>
      <c r="F1147" s="362"/>
      <c r="G1147" s="362"/>
      <c r="H1147" s="363">
        <f>TRUNC(SUM(H1149:H1150),2)</f>
        <v>490.01</v>
      </c>
      <c r="I1147" s="276">
        <f>COUNTIF($C$8:$C1147,C:C)</f>
        <v>1</v>
      </c>
      <c r="J1147" s="262"/>
      <c r="K1147" s="262"/>
      <c r="L1147" s="262"/>
      <c r="M1147" s="262"/>
      <c r="N1147" s="262"/>
      <c r="O1147" s="262"/>
      <c r="P1147" s="262"/>
      <c r="Q1147" s="262"/>
      <c r="R1147" s="262"/>
      <c r="S1147" s="262"/>
      <c r="T1147" s="262"/>
      <c r="U1147" s="262"/>
      <c r="V1147" s="262"/>
      <c r="W1147" s="262"/>
      <c r="X1147" s="262"/>
      <c r="Y1147" s="262"/>
      <c r="Z1147" s="262"/>
      <c r="AA1147" s="262"/>
      <c r="AB1147" s="262"/>
    </row>
    <row r="1148" spans="1:31" ht="12.75">
      <c r="A1148" s="364" t="s">
        <v>14475</v>
      </c>
      <c r="B1148" s="403" t="s">
        <v>14600</v>
      </c>
      <c r="C1148" s="404">
        <v>4375</v>
      </c>
      <c r="D1148" s="630">
        <v>45292</v>
      </c>
      <c r="E1148" s="405"/>
      <c r="F1148" s="369"/>
      <c r="G1148" s="370"/>
      <c r="H1148" s="371"/>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row>
    <row r="1149" spans="1:31" ht="25.5">
      <c r="A1149" s="285" t="s">
        <v>14478</v>
      </c>
      <c r="B1149" s="407" t="s">
        <v>14476</v>
      </c>
      <c r="C1149" s="344">
        <v>88316</v>
      </c>
      <c r="D1149" s="288" t="str">
        <f>IFERROR(VLOOKUP($C1149,'24.08_ND'!$A:$D,2,0),)</f>
        <v>SERVENTE COM ENCARGOS COMPLEMENTARES</v>
      </c>
      <c r="E1149" s="289" t="str">
        <f>IFERROR(VLOOKUP($C1149,'24.08_ND'!$A:$D,3,0),)</f>
        <v>H</v>
      </c>
      <c r="F1149" s="290">
        <v>0.17</v>
      </c>
      <c r="G1149" s="291">
        <f>IFERROR(VLOOKUP($C1149,'24.08_ND'!$A:$D,4,0),)</f>
        <v>18.510000000000002</v>
      </c>
      <c r="H1149" s="292">
        <f>TRUNC(($F1149*$G1149),2)</f>
        <v>3.14</v>
      </c>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D1149" s="1791" t="e">
        <f>VLOOKUP(C1149,'Medição '!$B$16:$F$1833,6,0)</f>
        <v>#N/A</v>
      </c>
      <c r="AE1149" s="1791"/>
    </row>
    <row r="1150" spans="1:31" ht="12.75">
      <c r="A1150" s="319" t="s">
        <v>14479</v>
      </c>
      <c r="B1150" s="320" t="s">
        <v>14491</v>
      </c>
      <c r="C1150" s="628" t="s">
        <v>14903</v>
      </c>
      <c r="D1150" s="321" t="str">
        <f>VLOOKUP($C1150,'09 - MC'!$A:$F,2,0)</f>
        <v>LIXEIRA EM AÇO INOX 50 LITROS</v>
      </c>
      <c r="E1150" s="322" t="str">
        <f>VLOOKUP($C1150,'09 - MC'!$A:$F,3,0)</f>
        <v>UN</v>
      </c>
      <c r="F1150" s="629">
        <v>1</v>
      </c>
      <c r="G1150" s="324">
        <f>VLOOKUP($C1150,'09 - MC'!$A:$F,6,0)</f>
        <v>486.87</v>
      </c>
      <c r="H1150" s="325">
        <f>TRUNC(G1150*F1150,2)</f>
        <v>486.87</v>
      </c>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row>
    <row r="1151" spans="1:31" ht="12.75">
      <c r="A1151" s="415"/>
      <c r="B1151" s="416"/>
      <c r="C1151" s="416"/>
      <c r="D1151" s="416"/>
      <c r="E1151" s="416"/>
      <c r="F1151" s="417"/>
      <c r="G1151" s="418"/>
      <c r="H1151" s="419"/>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row>
    <row r="1152" spans="1:31" ht="12.75">
      <c r="A1152" s="358" t="s">
        <v>14471</v>
      </c>
      <c r="B1152" s="359" t="s">
        <v>14472</v>
      </c>
      <c r="C1152" s="360" t="s">
        <v>14904</v>
      </c>
      <c r="D1152" s="361" t="s">
        <v>14905</v>
      </c>
      <c r="E1152" s="359" t="s">
        <v>6</v>
      </c>
      <c r="F1152" s="362"/>
      <c r="G1152" s="362"/>
      <c r="H1152" s="363">
        <f>TRUNC(SUM(H1154:H1155),2)</f>
        <v>133.12</v>
      </c>
      <c r="I1152" s="276">
        <f>COUNTIF($C$8:$C1152,C:C)</f>
        <v>1</v>
      </c>
      <c r="J1152" s="262"/>
      <c r="K1152" s="262"/>
      <c r="L1152" s="262"/>
      <c r="M1152" s="262"/>
      <c r="N1152" s="262"/>
      <c r="O1152" s="262"/>
      <c r="P1152" s="262"/>
      <c r="Q1152" s="262"/>
      <c r="R1152" s="262"/>
      <c r="S1152" s="262"/>
      <c r="T1152" s="262"/>
      <c r="U1152" s="262"/>
      <c r="V1152" s="262"/>
      <c r="W1152" s="262"/>
      <c r="X1152" s="262"/>
      <c r="Y1152" s="262"/>
      <c r="Z1152" s="262"/>
      <c r="AA1152" s="262"/>
      <c r="AB1152" s="262"/>
    </row>
    <row r="1153" spans="1:31" ht="12.75">
      <c r="A1153" s="364" t="s">
        <v>14475</v>
      </c>
      <c r="B1153" s="403" t="s">
        <v>14600</v>
      </c>
      <c r="C1153" s="404">
        <v>4375</v>
      </c>
      <c r="D1153" s="630">
        <v>45292</v>
      </c>
      <c r="E1153" s="405"/>
      <c r="F1153" s="369"/>
      <c r="G1153" s="370"/>
      <c r="H1153" s="371"/>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row>
    <row r="1154" spans="1:31" ht="25.5">
      <c r="A1154" s="285" t="s">
        <v>14478</v>
      </c>
      <c r="B1154" s="407" t="s">
        <v>14476</v>
      </c>
      <c r="C1154" s="344">
        <v>88316</v>
      </c>
      <c r="D1154" s="288" t="str">
        <f>IFERROR(VLOOKUP($C1154,'24.08_ND'!$A:$D,2,0),)</f>
        <v>SERVENTE COM ENCARGOS COMPLEMENTARES</v>
      </c>
      <c r="E1154" s="289" t="str">
        <f>IFERROR(VLOOKUP($C1154,'24.08_ND'!$A:$D,3,0),)</f>
        <v>H</v>
      </c>
      <c r="F1154" s="290">
        <v>0.17</v>
      </c>
      <c r="G1154" s="291">
        <f>IFERROR(VLOOKUP($C1154,'24.08_ND'!$A:$D,4,0),)</f>
        <v>18.510000000000002</v>
      </c>
      <c r="H1154" s="292">
        <f>TRUNC(($F1154*$G1154),2)</f>
        <v>3.14</v>
      </c>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D1154" s="1791" t="e">
        <f>VLOOKUP(C1154,'Medição '!$B$16:$F$1833,6,0)</f>
        <v>#N/A</v>
      </c>
      <c r="AE1154" s="1791"/>
    </row>
    <row r="1155" spans="1:31" ht="12.75">
      <c r="A1155" s="319" t="s">
        <v>14479</v>
      </c>
      <c r="B1155" s="320" t="s">
        <v>14491</v>
      </c>
      <c r="C1155" s="628" t="s">
        <v>14906</v>
      </c>
      <c r="D1155" s="321" t="str">
        <f>VLOOKUP($C1155,'09 - MC'!$A:$F,2,0)</f>
        <v>LIXEIRA INOX COM TAMPA 5 LITROS</v>
      </c>
      <c r="E1155" s="322" t="str">
        <f>VLOOKUP($C1155,'09 - MC'!$A:$F,3,0)</f>
        <v>UN</v>
      </c>
      <c r="F1155" s="629">
        <v>1</v>
      </c>
      <c r="G1155" s="324">
        <f>VLOOKUP($C1155,'09 - MC'!$A:$F,6,0)</f>
        <v>129.97999999999999</v>
      </c>
      <c r="H1155" s="325">
        <f>TRUNC(G1155*F1155,2)</f>
        <v>129.97999999999999</v>
      </c>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row>
    <row r="1156" spans="1:31" ht="12.75">
      <c r="A1156" s="309"/>
      <c r="B1156" s="303"/>
      <c r="C1156" s="303"/>
      <c r="D1156" s="310"/>
      <c r="E1156" s="303"/>
      <c r="F1156" s="306"/>
      <c r="G1156" s="307"/>
      <c r="H1156" s="308"/>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row>
    <row r="1157" spans="1:31" ht="25.5">
      <c r="A1157" s="271" t="s">
        <v>14471</v>
      </c>
      <c r="B1157" s="272" t="s">
        <v>14472</v>
      </c>
      <c r="C1157" s="360" t="s">
        <v>14907</v>
      </c>
      <c r="D1157" s="274" t="s">
        <v>14908</v>
      </c>
      <c r="E1157" s="272" t="s">
        <v>6</v>
      </c>
      <c r="F1157" s="272"/>
      <c r="G1157" s="272"/>
      <c r="H1157" s="275">
        <f>TRUNC(SUM(H1159:H1160),2)</f>
        <v>51.36</v>
      </c>
      <c r="I1157" s="276">
        <f>COUNTIF($C$8:$C1157,C:C)</f>
        <v>1</v>
      </c>
      <c r="J1157" s="262"/>
      <c r="K1157" s="262"/>
      <c r="L1157" s="262"/>
      <c r="M1157" s="262"/>
      <c r="N1157" s="262"/>
      <c r="O1157" s="262"/>
      <c r="P1157" s="262"/>
      <c r="Q1157" s="262"/>
      <c r="R1157" s="262"/>
      <c r="S1157" s="262"/>
      <c r="T1157" s="262"/>
      <c r="U1157" s="262"/>
      <c r="V1157" s="262"/>
      <c r="W1157" s="262"/>
      <c r="X1157" s="262"/>
      <c r="Y1157" s="262"/>
      <c r="Z1157" s="262"/>
      <c r="AA1157" s="262"/>
      <c r="AB1157" s="262"/>
    </row>
    <row r="1158" spans="1:31" ht="12.75">
      <c r="A1158" s="277" t="s">
        <v>14475</v>
      </c>
      <c r="B1158" s="631" t="s">
        <v>14476</v>
      </c>
      <c r="C1158" s="632">
        <v>84121</v>
      </c>
      <c r="D1158" s="633" t="s">
        <v>14909</v>
      </c>
      <c r="E1158" s="634"/>
      <c r="F1158" s="355"/>
      <c r="G1158" s="624"/>
      <c r="H1158" s="625"/>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row>
    <row r="1159" spans="1:31" ht="25.5">
      <c r="A1159" s="285" t="s">
        <v>14478</v>
      </c>
      <c r="B1159" s="555" t="s">
        <v>14476</v>
      </c>
      <c r="C1159" s="408">
        <v>88316</v>
      </c>
      <c r="D1159" s="288" t="str">
        <f>IFERROR(VLOOKUP($C1159,'24.08_ND'!$A:$D,2,0),)</f>
        <v>SERVENTE COM ENCARGOS COMPLEMENTARES</v>
      </c>
      <c r="E1159" s="289" t="str">
        <f>IFERROR(VLOOKUP($C1159,'24.08_ND'!$A:$D,3,0),)</f>
        <v>H</v>
      </c>
      <c r="F1159" s="290">
        <v>0.2</v>
      </c>
      <c r="G1159" s="291">
        <f>IFERROR(VLOOKUP($C1159,'24.08_ND'!$A:$D,4,0),)</f>
        <v>18.510000000000002</v>
      </c>
      <c r="H1159" s="292">
        <f>TRUNC(($F1159*$G1159),2)</f>
        <v>3.7</v>
      </c>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D1159" s="1791" t="e">
        <f>VLOOKUP(C1159,'Medição '!$B$16:$F$1833,6,0)</f>
        <v>#N/A</v>
      </c>
      <c r="AE1159" s="1791"/>
    </row>
    <row r="1160" spans="1:31" ht="12.75">
      <c r="A1160" s="319" t="s">
        <v>14479</v>
      </c>
      <c r="B1160" s="320" t="s">
        <v>14491</v>
      </c>
      <c r="C1160" s="478" t="s">
        <v>14910</v>
      </c>
      <c r="D1160" s="321" t="str">
        <f>VLOOKUP($C1160,'09 - MC'!$A:$F,2,0)</f>
        <v>PLACA DE SINALIZAÇÃO EM BRAILLE EM AÇO INOX,  DIMENSÕES 20X10 CM</v>
      </c>
      <c r="E1160" s="322" t="str">
        <f>VLOOKUP($C1160,'09 - MC'!$A:$F,3,0)</f>
        <v>UN</v>
      </c>
      <c r="F1160" s="323">
        <v>1</v>
      </c>
      <c r="G1160" s="324">
        <f>VLOOKUP($C1160,'09 - MC'!$A:$F,6,0)</f>
        <v>47.66</v>
      </c>
      <c r="H1160" s="325">
        <f>TRUNC(G1160*F1160,2)</f>
        <v>47.66</v>
      </c>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row>
    <row r="1161" spans="1:31" ht="12.75">
      <c r="A1161" s="309"/>
      <c r="B1161" s="303"/>
      <c r="C1161" s="303"/>
      <c r="D1161" s="310"/>
      <c r="E1161" s="303"/>
      <c r="F1161" s="306"/>
      <c r="G1161" s="307"/>
      <c r="H1161" s="308"/>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row>
    <row r="1162" spans="1:31" ht="25.5">
      <c r="A1162" s="271" t="s">
        <v>14471</v>
      </c>
      <c r="B1162" s="272" t="s">
        <v>14472</v>
      </c>
      <c r="C1162" s="360" t="s">
        <v>14911</v>
      </c>
      <c r="D1162" s="274" t="s">
        <v>14912</v>
      </c>
      <c r="E1162" s="272" t="s">
        <v>409</v>
      </c>
      <c r="F1162" s="272"/>
      <c r="G1162" s="272"/>
      <c r="H1162" s="275">
        <f>TRUNC(SUM(H1164:H1166),2)</f>
        <v>648.64</v>
      </c>
      <c r="I1162" s="276">
        <f>COUNTIF($C$8:$C1162,C:C)</f>
        <v>1</v>
      </c>
      <c r="J1162" s="262"/>
      <c r="K1162" s="262"/>
      <c r="L1162" s="262"/>
      <c r="M1162" s="262"/>
      <c r="N1162" s="262"/>
      <c r="O1162" s="262"/>
      <c r="P1162" s="262"/>
      <c r="Q1162" s="262"/>
      <c r="R1162" s="262"/>
      <c r="S1162" s="262"/>
      <c r="T1162" s="262"/>
      <c r="U1162" s="262"/>
      <c r="V1162" s="262"/>
      <c r="W1162" s="262"/>
      <c r="X1162" s="262"/>
      <c r="Y1162" s="262"/>
      <c r="Z1162" s="262"/>
      <c r="AA1162" s="262"/>
      <c r="AB1162" s="262"/>
    </row>
    <row r="1163" spans="1:31" ht="12.75">
      <c r="A1163" s="277" t="s">
        <v>14475</v>
      </c>
      <c r="B1163" s="631" t="s">
        <v>14600</v>
      </c>
      <c r="C1163" s="632">
        <v>9074</v>
      </c>
      <c r="D1163" s="633" t="s">
        <v>14909</v>
      </c>
      <c r="E1163" s="634"/>
      <c r="F1163" s="355"/>
      <c r="G1163" s="624"/>
      <c r="H1163" s="625"/>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row>
    <row r="1164" spans="1:31" ht="25.5">
      <c r="A1164" s="285" t="s">
        <v>14478</v>
      </c>
      <c r="B1164" s="407" t="s">
        <v>14476</v>
      </c>
      <c r="C1164" s="408">
        <v>88251</v>
      </c>
      <c r="D1164" s="288" t="str">
        <f>IFERROR(VLOOKUP($C1164,'24.08_ND'!$A:$D,2,0),)</f>
        <v>AUXILIAR DE SERRALHEIRO COM ENCARGOS COMPLEMENTARES</v>
      </c>
      <c r="E1164" s="289" t="str">
        <f>IFERROR(VLOOKUP($C1164,'24.08_ND'!$A:$D,3,0),)</f>
        <v>H</v>
      </c>
      <c r="F1164" s="290">
        <v>0.36</v>
      </c>
      <c r="G1164" s="291">
        <f>IFERROR(VLOOKUP($C1164,'24.08_ND'!$A:$D,4,0),)</f>
        <v>19.579999999999998</v>
      </c>
      <c r="H1164" s="292">
        <f>TRUNC(($F1164*$G1164),2)</f>
        <v>7.04</v>
      </c>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D1164" s="1791" t="e">
        <f>VLOOKUP(C1164,'Medição '!$B$16:$F$1833,6,0)</f>
        <v>#N/A</v>
      </c>
      <c r="AE1164" s="1791"/>
    </row>
    <row r="1165" spans="1:31" ht="25.5">
      <c r="A1165" s="285" t="s">
        <v>14478</v>
      </c>
      <c r="B1165" s="407" t="s">
        <v>14476</v>
      </c>
      <c r="C1165" s="408">
        <v>88315</v>
      </c>
      <c r="D1165" s="288" t="str">
        <f>IFERROR(VLOOKUP($C1165,'24.08_ND'!$A:$D,2,0),)</f>
        <v>SERRALHEIRO COM ENCARGOS COMPLEMENTARES</v>
      </c>
      <c r="E1165" s="289" t="str">
        <f>IFERROR(VLOOKUP($C1165,'24.08_ND'!$A:$D,3,0),)</f>
        <v>H</v>
      </c>
      <c r="F1165" s="290">
        <v>0.72</v>
      </c>
      <c r="G1165" s="291">
        <f>IFERROR(VLOOKUP($C1165,'24.08_ND'!$A:$D,4,0),)</f>
        <v>23.13</v>
      </c>
      <c r="H1165" s="292">
        <f>TRUNC(($F1165*$G1165),2)</f>
        <v>16.649999999999999</v>
      </c>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D1165" s="1791" t="e">
        <f>VLOOKUP(C1165,'Medição '!$B$16:$F$1833,6,0)</f>
        <v>#N/A</v>
      </c>
      <c r="AE1165" s="1791"/>
    </row>
    <row r="1166" spans="1:31" ht="25.5">
      <c r="A1166" s="376" t="s">
        <v>14478</v>
      </c>
      <c r="B1166" s="312" t="str">
        <f>VLOOKUP($C1166,'• CIs EXT'!$A:$E,2,0)</f>
        <v>ORSE</v>
      </c>
      <c r="C1166" s="377">
        <v>9360</v>
      </c>
      <c r="D1166" s="378" t="str">
        <f>VLOOKUP($C1166,'• CIs EXT'!$A:$E,3,0)</f>
        <v>BRISE DE ALUMINIO DOBRADO ANODIZADO BRANCO, INCLUSO ACESSÓRIOS</v>
      </c>
      <c r="E1166" s="379" t="str">
        <f>VLOOKUP($C1166,'• CIs EXT'!$A:$E,4,0)</f>
        <v>M2</v>
      </c>
      <c r="F1166" s="380">
        <v>1</v>
      </c>
      <c r="G1166" s="379">
        <f>VLOOKUP($C1166,'• CIs EXT'!$A:$E,5,0)</f>
        <v>624.95000000000005</v>
      </c>
      <c r="H1166" s="381">
        <f>TRUNC(($F1166*$G1166),2)</f>
        <v>624.95000000000005</v>
      </c>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row>
    <row r="1167" spans="1:31" ht="12.75">
      <c r="A1167" s="309"/>
      <c r="B1167" s="303"/>
      <c r="C1167" s="303"/>
      <c r="D1167" s="310"/>
      <c r="E1167" s="303"/>
      <c r="F1167" s="306"/>
      <c r="G1167" s="307"/>
      <c r="H1167" s="308"/>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row>
    <row r="1168" spans="1:31" ht="38.25">
      <c r="A1168" s="271" t="s">
        <v>14471</v>
      </c>
      <c r="B1168" s="272" t="s">
        <v>14472</v>
      </c>
      <c r="C1168" s="360" t="s">
        <v>14913</v>
      </c>
      <c r="D1168" s="274" t="s">
        <v>14914</v>
      </c>
      <c r="E1168" s="272" t="s">
        <v>50</v>
      </c>
      <c r="F1168" s="272"/>
      <c r="G1168" s="272"/>
      <c r="H1168" s="275">
        <f>TRUNC(SUM(H1170:H1179),2)</f>
        <v>560.64</v>
      </c>
      <c r="I1168" s="276">
        <f>COUNTIF($C$8:$C1168,C:C)</f>
        <v>1</v>
      </c>
      <c r="J1168" s="262"/>
      <c r="K1168" s="262"/>
      <c r="L1168" s="262"/>
      <c r="M1168" s="262"/>
      <c r="N1168" s="262"/>
      <c r="O1168" s="262"/>
      <c r="P1168" s="262"/>
      <c r="Q1168" s="262"/>
      <c r="R1168" s="262"/>
      <c r="S1168" s="262"/>
      <c r="T1168" s="262"/>
      <c r="U1168" s="262"/>
      <c r="V1168" s="262"/>
      <c r="W1168" s="262"/>
      <c r="X1168" s="262"/>
      <c r="Y1168" s="262"/>
      <c r="Z1168" s="262"/>
      <c r="AA1168" s="262"/>
      <c r="AB1168" s="262"/>
    </row>
    <row r="1169" spans="1:31" ht="12.75">
      <c r="A1169" s="277" t="s">
        <v>14475</v>
      </c>
      <c r="B1169" s="631" t="s">
        <v>14476</v>
      </c>
      <c r="C1169" s="632">
        <v>102362</v>
      </c>
      <c r="D1169" s="633" t="s">
        <v>14587</v>
      </c>
      <c r="E1169" s="634"/>
      <c r="F1169" s="355"/>
      <c r="G1169" s="624"/>
      <c r="H1169" s="625"/>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row>
    <row r="1170" spans="1:31" ht="25.5">
      <c r="A1170" s="285" t="s">
        <v>14478</v>
      </c>
      <c r="B1170" s="407" t="s">
        <v>14476</v>
      </c>
      <c r="C1170" s="408">
        <v>88251</v>
      </c>
      <c r="D1170" s="288" t="str">
        <f>IFERROR(VLOOKUP($C1170,'24.08_ND'!$A:$D,2,0),)</f>
        <v>AUXILIAR DE SERRALHEIRO COM ENCARGOS COMPLEMENTARES</v>
      </c>
      <c r="E1170" s="289" t="str">
        <f>IFERROR(VLOOKUP($C1170,'24.08_ND'!$A:$D,3,0),)</f>
        <v>H</v>
      </c>
      <c r="F1170" s="290">
        <v>2.4500000000000002</v>
      </c>
      <c r="G1170" s="291">
        <f>IFERROR(VLOOKUP($C1170,'24.08_ND'!$A:$D,4,0),)</f>
        <v>19.579999999999998</v>
      </c>
      <c r="H1170" s="292">
        <f t="shared" ref="H1170:H1179" si="44">TRUNC(($F1170*$G1170),2)</f>
        <v>47.97</v>
      </c>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D1170" s="1791" t="e">
        <f>VLOOKUP(C1170,'Medição '!$B$16:$F$1833,6,0)</f>
        <v>#N/A</v>
      </c>
      <c r="AE1170" s="1791"/>
    </row>
    <row r="1171" spans="1:31" ht="25.5">
      <c r="A1171" s="285" t="s">
        <v>14478</v>
      </c>
      <c r="B1171" s="407" t="s">
        <v>14476</v>
      </c>
      <c r="C1171" s="408">
        <v>88315</v>
      </c>
      <c r="D1171" s="288" t="str">
        <f>IFERROR(VLOOKUP($C1171,'24.08_ND'!$A:$D,2,0),)</f>
        <v>SERRALHEIRO COM ENCARGOS COMPLEMENTARES</v>
      </c>
      <c r="E1171" s="289" t="str">
        <f>IFERROR(VLOOKUP($C1171,'24.08_ND'!$A:$D,3,0),)</f>
        <v>H</v>
      </c>
      <c r="F1171" s="290">
        <f>F1170*1.3</f>
        <v>3.1850000000000005</v>
      </c>
      <c r="G1171" s="291">
        <f>IFERROR(VLOOKUP($C1171,'24.08_ND'!$A:$D,4,0),)</f>
        <v>23.13</v>
      </c>
      <c r="H1171" s="292">
        <f t="shared" si="44"/>
        <v>73.66</v>
      </c>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D1171" s="1791" t="e">
        <f>VLOOKUP(C1171,'Medição '!$B$16:$F$1833,6,0)</f>
        <v>#N/A</v>
      </c>
      <c r="AE1171" s="1791"/>
    </row>
    <row r="1172" spans="1:31" ht="38.25">
      <c r="A1172" s="285" t="s">
        <v>14478</v>
      </c>
      <c r="B1172" s="286" t="s">
        <v>14476</v>
      </c>
      <c r="C1172" s="408">
        <v>100721</v>
      </c>
      <c r="D1172" s="288" t="str">
        <f>IFERROR(VLOOKUP($C1172,'24.08_ND'!$A:$D,2,0),)</f>
        <v>PINTURA COM TINTA ALQUÍDICA DE FUNDO (TIPO ZARCÃO) PULVERIZADA SOBRE SUPERFÍCIES METÁLICAS (EXCETO PERFIL) EXECUTADO EM OBRA (POR DEMÃO). AF_01/2020_PE</v>
      </c>
      <c r="E1172" s="289" t="str">
        <f>IFERROR(VLOOKUP($C1172,'24.08_ND'!$A:$D,3,0),)</f>
        <v>M2</v>
      </c>
      <c r="F1172" s="610">
        <f>(0.1*0.1*2)+(0.2*1.1*4)</f>
        <v>0.90000000000000013</v>
      </c>
      <c r="G1172" s="291">
        <f>IFERROR(VLOOKUP($C1172,'24.08_ND'!$A:$D,4,0),)</f>
        <v>20.97</v>
      </c>
      <c r="H1172" s="292">
        <f t="shared" si="44"/>
        <v>18.87</v>
      </c>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D1172" s="1791" t="e">
        <f>VLOOKUP(C1172,'Medição '!$B$16:$F$1833,6,0)</f>
        <v>#REF!</v>
      </c>
      <c r="AE1172" s="1791"/>
    </row>
    <row r="1173" spans="1:31" ht="38.25">
      <c r="A1173" s="285" t="s">
        <v>14478</v>
      </c>
      <c r="B1173" s="286" t="s">
        <v>14476</v>
      </c>
      <c r="C1173" s="408">
        <v>100761</v>
      </c>
      <c r="D1173" s="288" t="str">
        <f>IFERROR(VLOOKUP($C1173,'24.08_ND'!$A:$D,2,0),)</f>
        <v>PINTURA COM TINTA ALQUÍDICA DE ACABAMENTO (ESMALTE SINTÉTICO FOSCO) PULVERIZADA SOBRE SUPERFÍCIES METÁLICAS (EXCETO PERFIL) EXECUTADO EM OBRA (02 DEMÃOS). AF_01/2020_PE</v>
      </c>
      <c r="E1173" s="289" t="str">
        <f>IFERROR(VLOOKUP($C1173,'24.08_ND'!$A:$D,3,0),)</f>
        <v>M2</v>
      </c>
      <c r="F1173" s="610">
        <f>F1172</f>
        <v>0.90000000000000013</v>
      </c>
      <c r="G1173" s="291">
        <f>IFERROR(VLOOKUP($C1173,'24.08_ND'!$A:$D,4,0),)</f>
        <v>41.11</v>
      </c>
      <c r="H1173" s="292">
        <f t="shared" si="44"/>
        <v>36.99</v>
      </c>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D1173" s="1791" t="e">
        <f>VLOOKUP(C1173,'Medição '!$B$16:$F$1833,6,0)</f>
        <v>#REF!</v>
      </c>
      <c r="AE1173" s="1791"/>
    </row>
    <row r="1174" spans="1:31" ht="12.75">
      <c r="A1174" s="382" t="s">
        <v>14479</v>
      </c>
      <c r="B1174" s="597" t="s">
        <v>14476</v>
      </c>
      <c r="C1174" s="384">
        <v>11002</v>
      </c>
      <c r="D1174" s="596" t="str">
        <f>IFERROR(VLOOKUP($C1174,'24.08_ND'!$A:$D,2,0),)</f>
        <v>ELETRODO REVESTIDO AWS - E6013, DIAMETRO IGUAL A 2,50 MM</v>
      </c>
      <c r="E1174" s="597" t="str">
        <f>IFERROR(VLOOKUP($C1174,'24.08_ND'!$A:$D,3,0),)</f>
        <v>KG</v>
      </c>
      <c r="F1174" s="385">
        <v>1.4E-2</v>
      </c>
      <c r="G1174" s="598">
        <f>IFERROR(VLOOKUP($C1174,'24.08_ND'!$A:$D,4,0),)</f>
        <v>31.31</v>
      </c>
      <c r="H1174" s="449">
        <f t="shared" si="44"/>
        <v>0.43</v>
      </c>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row>
    <row r="1175" spans="1:31" ht="12.75">
      <c r="A1175" s="382" t="s">
        <v>14479</v>
      </c>
      <c r="B1175" s="597" t="s">
        <v>14476</v>
      </c>
      <c r="C1175" s="384">
        <v>1318</v>
      </c>
      <c r="D1175" s="596" t="str">
        <f>IFERROR(VLOOKUP($C1175,'24.08_ND'!$A:$D,2,0),)</f>
        <v>CHAPA DE ACO FINA A QUENTE BITOLA MSG 14, E = 2,00 MM (16,0 KG/M2)</v>
      </c>
      <c r="E1175" s="597" t="str">
        <f>IFERROR(VLOOKUP($C1175,'24.08_ND'!$A:$D,3,0),)</f>
        <v>KG</v>
      </c>
      <c r="F1175" s="385">
        <f>(0.1*0.1*16*1.05*2)</f>
        <v>0.33600000000000008</v>
      </c>
      <c r="G1175" s="598">
        <f>IFERROR(VLOOKUP($C1175,'24.08_ND'!$A:$D,4,0),)</f>
        <v>11.1</v>
      </c>
      <c r="H1175" s="449">
        <f t="shared" si="44"/>
        <v>3.72</v>
      </c>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row>
    <row r="1176" spans="1:31" ht="25.5">
      <c r="A1176" s="617" t="s">
        <v>14479</v>
      </c>
      <c r="B1176" s="618" t="s">
        <v>14476</v>
      </c>
      <c r="C1176" s="619">
        <v>4313</v>
      </c>
      <c r="D1176" s="596" t="s">
        <v>14830</v>
      </c>
      <c r="E1176" s="597" t="str">
        <f>IFERROR(VLOOKUP($C1176,'24.08_ND'!$A:$D,3,0),)</f>
        <v>CJ</v>
      </c>
      <c r="F1176" s="385">
        <v>10</v>
      </c>
      <c r="G1176" s="622">
        <f>IFERROR(VLOOKUP($C1176,'24.08_ND'!$A:$D,4,0),)</f>
        <v>2.58</v>
      </c>
      <c r="H1176" s="449">
        <f t="shared" si="44"/>
        <v>25.8</v>
      </c>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row>
    <row r="1177" spans="1:31" ht="25.5">
      <c r="A1177" s="382" t="s">
        <v>14479</v>
      </c>
      <c r="B1177" s="597" t="s">
        <v>14476</v>
      </c>
      <c r="C1177" s="384">
        <v>11964</v>
      </c>
      <c r="D1177" s="596" t="str">
        <f>IFERROR(VLOOKUP($C1177,'24.08_ND'!$A:$D,2,0),)</f>
        <v>PARAFUSO DE ACO ZINCADO, TIPO CHUMBADOR PARABOLT, DIAMETRO 3/8", COMPRIMENTO 75 MM</v>
      </c>
      <c r="E1177" s="597" t="str">
        <f>IFERROR(VLOOKUP($C1177,'24.08_ND'!$A:$D,3,0),)</f>
        <v>UN</v>
      </c>
      <c r="F1177" s="385">
        <v>4</v>
      </c>
      <c r="G1177" s="598">
        <f>IFERROR(VLOOKUP($C1177,'24.08_ND'!$A:$D,4,0),)</f>
        <v>2.29</v>
      </c>
      <c r="H1177" s="449">
        <f t="shared" si="44"/>
        <v>9.16</v>
      </c>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row>
    <row r="1178" spans="1:31" ht="38.25">
      <c r="A1178" s="613" t="s">
        <v>14479</v>
      </c>
      <c r="B1178" s="312" t="str">
        <f>VLOOKUP($C1178,'• CIs EXT'!$A:$E,2,0)</f>
        <v>CPOS/CDHU</v>
      </c>
      <c r="C1178" s="377" t="s">
        <v>14831</v>
      </c>
      <c r="D1178" s="378" t="str">
        <f>VLOOKUP($C1178,'• CIs EXT'!$A:$E,3,0)</f>
        <v>TELA TIPO ALAMBRADO, FIO 10 BWG, MALHA 2´</v>
      </c>
      <c r="E1178" s="379" t="str">
        <f>VLOOKUP($C1178,'• CIs EXT'!$A:$E,4,0)</f>
        <v>M2</v>
      </c>
      <c r="F1178" s="380">
        <f>(1.1*1*1.05)</f>
        <v>1.1550000000000002</v>
      </c>
      <c r="G1178" s="379">
        <f>VLOOKUP($C1178,'• CIs EXT'!$A:$E,5,0)</f>
        <v>54.32</v>
      </c>
      <c r="H1178" s="381">
        <f t="shared" si="44"/>
        <v>62.73</v>
      </c>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row>
    <row r="1179" spans="1:31" ht="12.75">
      <c r="A1179" s="613" t="s">
        <v>14479</v>
      </c>
      <c r="B1179" s="312" t="str">
        <f>VLOOKUP($C1179,'• CIs EXT'!$A:$E,2,0)</f>
        <v>ORSE</v>
      </c>
      <c r="C1179" s="377">
        <v>8851</v>
      </c>
      <c r="D1179" s="378" t="str">
        <f>VLOOKUP($C1179,'• CIs EXT'!$A:$E,3,0)</f>
        <v>TUBO INDUSTRIAL, QUADRADO, DIM 50 X 50 MM, E=2,00MM, 4,476 KG/M</v>
      </c>
      <c r="E1179" s="379" t="str">
        <f>VLOOKUP($C1179,'• CIs EXT'!$A:$E,4,0)</f>
        <v>M</v>
      </c>
      <c r="F1179" s="380">
        <f>1.1+1.1+1+1</f>
        <v>4.2</v>
      </c>
      <c r="G1179" s="379">
        <f>VLOOKUP($C1179,'• CIs EXT'!$A:$E,5,0)</f>
        <v>66.98</v>
      </c>
      <c r="H1179" s="381">
        <f t="shared" si="44"/>
        <v>281.31</v>
      </c>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row>
    <row r="1180" spans="1:31" ht="12.75">
      <c r="A1180" s="415"/>
      <c r="B1180" s="416"/>
      <c r="C1180" s="416"/>
      <c r="D1180" s="416"/>
      <c r="E1180" s="416"/>
      <c r="F1180" s="417"/>
      <c r="G1180" s="418"/>
      <c r="H1180" s="419"/>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row>
    <row r="1181" spans="1:31" ht="38.25">
      <c r="A1181" s="358" t="s">
        <v>14471</v>
      </c>
      <c r="B1181" s="359" t="s">
        <v>14472</v>
      </c>
      <c r="C1181" s="585" t="s">
        <v>14915</v>
      </c>
      <c r="D1181" s="361" t="s">
        <v>14916</v>
      </c>
      <c r="E1181" s="359" t="s">
        <v>409</v>
      </c>
      <c r="F1181" s="362"/>
      <c r="G1181" s="362"/>
      <c r="H1181" s="363">
        <f>TRUNC(SUM(H1184:H1190),2)</f>
        <v>481.58</v>
      </c>
      <c r="I1181" s="276">
        <f>COUNTIF($C$8:$C1181,C:C)</f>
        <v>1</v>
      </c>
      <c r="J1181" s="262"/>
      <c r="K1181" s="262"/>
      <c r="L1181" s="262"/>
      <c r="M1181" s="262"/>
      <c r="N1181" s="262"/>
      <c r="O1181" s="262"/>
      <c r="P1181" s="262"/>
      <c r="Q1181" s="262"/>
      <c r="R1181" s="262"/>
      <c r="S1181" s="262"/>
      <c r="T1181" s="262"/>
      <c r="U1181" s="262"/>
      <c r="V1181" s="262"/>
      <c r="W1181" s="262"/>
      <c r="X1181" s="262"/>
      <c r="Y1181" s="262"/>
      <c r="Z1181" s="262"/>
      <c r="AA1181" s="262"/>
      <c r="AB1181" s="262"/>
    </row>
    <row r="1182" spans="1:31" ht="12.75">
      <c r="A1182" s="364" t="s">
        <v>14475</v>
      </c>
      <c r="B1182" s="403" t="s">
        <v>14476</v>
      </c>
      <c r="C1182" s="404">
        <v>94231</v>
      </c>
      <c r="D1182" s="367" t="s">
        <v>14530</v>
      </c>
      <c r="E1182" s="405"/>
      <c r="F1182" s="369"/>
      <c r="G1182" s="370"/>
      <c r="H1182" s="371"/>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row>
    <row r="1183" spans="1:31" ht="25.5">
      <c r="A1183" s="635"/>
      <c r="B1183" s="420"/>
      <c r="C1183" s="368"/>
      <c r="D1183" s="636" t="s">
        <v>14917</v>
      </c>
      <c r="E1183" s="405"/>
      <c r="F1183" s="369"/>
      <c r="G1183" s="370"/>
      <c r="H1183" s="371"/>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row>
    <row r="1184" spans="1:31" ht="25.5">
      <c r="A1184" s="372" t="s">
        <v>14478</v>
      </c>
      <c r="B1184" s="373" t="s">
        <v>14476</v>
      </c>
      <c r="C1184" s="408">
        <v>88251</v>
      </c>
      <c r="D1184" s="288" t="str">
        <f>IFERROR(VLOOKUP($C1184,'24.08_ND'!$A:$D,2,0),)</f>
        <v>AUXILIAR DE SERRALHEIRO COM ENCARGOS COMPLEMENTARES</v>
      </c>
      <c r="E1184" s="289" t="str">
        <f>IFERROR(VLOOKUP($C1184,'24.08_ND'!$A:$D,3,0),)</f>
        <v>H</v>
      </c>
      <c r="F1184" s="375">
        <v>0.157</v>
      </c>
      <c r="G1184" s="291">
        <f>IFERROR(VLOOKUP($C1184,'24.08_ND'!$A:$D,4,0),)</f>
        <v>19.579999999999998</v>
      </c>
      <c r="H1184" s="292">
        <f t="shared" ref="H1184:H1190" si="45">TRUNC(($F1184*$G1184),2)</f>
        <v>3.07</v>
      </c>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D1184" s="1791" t="e">
        <f>VLOOKUP(C1184,'Medição '!$B$16:$F$1833,6,0)</f>
        <v>#N/A</v>
      </c>
      <c r="AE1184" s="1791"/>
    </row>
    <row r="1185" spans="1:33" ht="25.5">
      <c r="A1185" s="372" t="s">
        <v>14478</v>
      </c>
      <c r="B1185" s="373" t="s">
        <v>14476</v>
      </c>
      <c r="C1185" s="408">
        <v>88315</v>
      </c>
      <c r="D1185" s="288" t="str">
        <f>IFERROR(VLOOKUP($C1185,'24.08_ND'!$A:$D,2,0),)</f>
        <v>SERRALHEIRO COM ENCARGOS COMPLEMENTARES</v>
      </c>
      <c r="E1185" s="289" t="str">
        <f>IFERROR(VLOOKUP($C1185,'24.08_ND'!$A:$D,3,0),)</f>
        <v>H</v>
      </c>
      <c r="F1185" s="375">
        <v>0.193</v>
      </c>
      <c r="G1185" s="291">
        <f>IFERROR(VLOOKUP($C1185,'24.08_ND'!$A:$D,4,0),)</f>
        <v>23.13</v>
      </c>
      <c r="H1185" s="292">
        <f t="shared" si="45"/>
        <v>4.46</v>
      </c>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D1185" s="1791" t="e">
        <f>VLOOKUP(C1185,'Medição '!$B$16:$F$1833,6,0)</f>
        <v>#N/A</v>
      </c>
      <c r="AE1185" s="1791"/>
    </row>
    <row r="1186" spans="1:33" ht="12.75">
      <c r="A1186" s="382" t="s">
        <v>14479</v>
      </c>
      <c r="B1186" s="597" t="s">
        <v>14476</v>
      </c>
      <c r="C1186" s="384">
        <v>40547</v>
      </c>
      <c r="D1186" s="296" t="str">
        <f>IFERROR(VLOOKUP($C1186,'24.08_ND'!$A:$D,2,0),)</f>
        <v>PARAFUSO ZINCADO, AUTOBROCANTE, FLANGEADO, 4,2 MM X 19 MM</v>
      </c>
      <c r="E1186" s="297" t="str">
        <f>IFERROR(VLOOKUP($C1186,'24.08_ND'!$A:$D,3,0),)</f>
        <v>CENTO</v>
      </c>
      <c r="F1186" s="385">
        <v>0.12</v>
      </c>
      <c r="G1186" s="299">
        <f>IFERROR(VLOOKUP($C1186,'24.08_ND'!$A:$D,4,0),)</f>
        <v>26.33</v>
      </c>
      <c r="H1186" s="300">
        <f t="shared" si="45"/>
        <v>3.15</v>
      </c>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row>
    <row r="1187" spans="1:33" ht="25.5">
      <c r="A1187" s="382" t="s">
        <v>14479</v>
      </c>
      <c r="B1187" s="597" t="s">
        <v>14476</v>
      </c>
      <c r="C1187" s="384">
        <v>43701</v>
      </c>
      <c r="D1187" s="296" t="str">
        <f>IFERROR(VLOOKUP($C1187,'24.08_ND'!$A:$D,2,0),)</f>
        <v>CHAPA/BOBINA LISA EM ALUMINIO, LIGA 1.200 - H14, QUALQUER ESPESSURA, QUALQUER LARGURA</v>
      </c>
      <c r="E1187" s="297" t="str">
        <f>IFERROR(VLOOKUP($C1187,'24.08_ND'!$A:$D,3,0),)</f>
        <v>KG</v>
      </c>
      <c r="F1187" s="385">
        <v>8.6751000000000005</v>
      </c>
      <c r="G1187" s="299">
        <f>IFERROR(VLOOKUP($C1187,'24.08_ND'!$A:$D,4,0),)</f>
        <v>36.090000000000003</v>
      </c>
      <c r="H1187" s="300">
        <f t="shared" si="45"/>
        <v>313.08</v>
      </c>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row>
    <row r="1188" spans="1:33" ht="38.25">
      <c r="A1188" s="285" t="s">
        <v>14478</v>
      </c>
      <c r="B1188" s="286" t="s">
        <v>14476</v>
      </c>
      <c r="C1188" s="408">
        <v>100721</v>
      </c>
      <c r="D1188" s="288" t="str">
        <f>IFERROR(VLOOKUP($C1188,'24.08_ND'!$A:$D,2,0),)</f>
        <v>PINTURA COM TINTA ALQUÍDICA DE FUNDO (TIPO ZARCÃO) PULVERIZADA SOBRE SUPERFÍCIES METÁLICAS (EXCETO PERFIL) EXECUTADO EM OBRA (POR DEMÃO). AF_01/2020_PE</v>
      </c>
      <c r="E1188" s="289" t="str">
        <f>IFERROR(VLOOKUP($C1188,'24.08_ND'!$A:$D,3,0),)</f>
        <v>M2</v>
      </c>
      <c r="F1188" s="610">
        <v>2.14</v>
      </c>
      <c r="G1188" s="291">
        <f>IFERROR(VLOOKUP($C1188,'24.08_ND'!$A:$D,4,0),)</f>
        <v>20.97</v>
      </c>
      <c r="H1188" s="292">
        <f t="shared" si="45"/>
        <v>44.87</v>
      </c>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D1188" s="1791" t="e">
        <f>VLOOKUP(C1188,'Medição '!$B$16:$F$1833,6,0)</f>
        <v>#REF!</v>
      </c>
      <c r="AE1188" s="1791"/>
    </row>
    <row r="1189" spans="1:33" ht="38.25">
      <c r="A1189" s="285" t="s">
        <v>14478</v>
      </c>
      <c r="B1189" s="286" t="s">
        <v>14476</v>
      </c>
      <c r="C1189" s="408">
        <v>100761</v>
      </c>
      <c r="D1189" s="288" t="str">
        <f>IFERROR(VLOOKUP($C1189,'24.08_ND'!$A:$D,2,0),)</f>
        <v>PINTURA COM TINTA ALQUÍDICA DE ACABAMENTO (ESMALTE SINTÉTICO FOSCO) PULVERIZADA SOBRE SUPERFÍCIES METÁLICAS (EXCETO PERFIL) EXECUTADO EM OBRA (02 DEMÃOS). AF_01/2020_PE</v>
      </c>
      <c r="E1189" s="289" t="str">
        <f>IFERROR(VLOOKUP($C1189,'24.08_ND'!$A:$D,3,0),)</f>
        <v>M2</v>
      </c>
      <c r="F1189" s="610">
        <f>F1188</f>
        <v>2.14</v>
      </c>
      <c r="G1189" s="291">
        <f>IFERROR(VLOOKUP($C1189,'24.08_ND'!$A:$D,4,0),)</f>
        <v>41.11</v>
      </c>
      <c r="H1189" s="292">
        <f t="shared" si="45"/>
        <v>87.97</v>
      </c>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D1189" s="1791" t="e">
        <f>VLOOKUP(C1189,'Medição '!$B$16:$F$1833,6,0)</f>
        <v>#REF!</v>
      </c>
      <c r="AE1189" s="1791"/>
    </row>
    <row r="1190" spans="1:33" ht="25.5">
      <c r="A1190" s="376" t="s">
        <v>14478</v>
      </c>
      <c r="B1190" s="312" t="str">
        <f>VLOOKUP($C1190,'• CIs EXT'!$A:$E,2,0)</f>
        <v>SETOP</v>
      </c>
      <c r="C1190" s="377" t="s">
        <v>14619</v>
      </c>
      <c r="D1190" s="378" t="str">
        <f>VLOOKUP($C1190,'• CIs EXT'!$A:$E,3,0)</f>
        <v>SERVIÇO DE CORTE E DOBRA EM CHAPA DE AÇO, EXCLUSIVE FORNECIMENTO</v>
      </c>
      <c r="E1190" s="379" t="str">
        <f>VLOOKUP($C1190,'• CIs EXT'!$A:$E,4,0)</f>
        <v>KG</v>
      </c>
      <c r="F1190" s="380">
        <f>F1187</f>
        <v>8.6751000000000005</v>
      </c>
      <c r="G1190" s="379">
        <f>VLOOKUP($C1190,'• CIs EXT'!$A:$E,5,0)</f>
        <v>2.88</v>
      </c>
      <c r="H1190" s="381">
        <f t="shared" si="45"/>
        <v>24.98</v>
      </c>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row>
    <row r="1191" spans="1:33" ht="12.75">
      <c r="A1191" s="637"/>
      <c r="B1191" s="8"/>
      <c r="C1191" s="110"/>
      <c r="D1191" s="9"/>
      <c r="E1191" s="8"/>
      <c r="F1191" s="638"/>
      <c r="G1191" s="341"/>
      <c r="H1191" s="34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row>
    <row r="1192" spans="1:33" ht="38.25">
      <c r="A1192" s="271" t="s">
        <v>14471</v>
      </c>
      <c r="B1192" s="272" t="s">
        <v>14472</v>
      </c>
      <c r="C1192" s="585" t="s">
        <v>14918</v>
      </c>
      <c r="D1192" s="274" t="s">
        <v>14919</v>
      </c>
      <c r="E1192" s="272" t="s">
        <v>409</v>
      </c>
      <c r="F1192" s="272"/>
      <c r="G1192" s="272"/>
      <c r="H1192" s="275">
        <f>TRUNC(SUM(H1194:H1198),2)</f>
        <v>25.38</v>
      </c>
      <c r="I1192" s="276">
        <f>COUNTIF($C$8:$C1192,C:C)</f>
        <v>1</v>
      </c>
      <c r="J1192" s="262"/>
      <c r="K1192" s="262"/>
      <c r="L1192" s="262"/>
      <c r="M1192" s="262"/>
      <c r="N1192" s="262"/>
      <c r="O1192" s="262"/>
      <c r="P1192" s="262"/>
      <c r="Q1192" s="262"/>
      <c r="R1192" s="262"/>
      <c r="S1192" s="262"/>
      <c r="T1192" s="262"/>
      <c r="U1192" s="262"/>
      <c r="V1192" s="262"/>
      <c r="W1192" s="262"/>
      <c r="X1192" s="262"/>
      <c r="Y1192" s="262"/>
      <c r="Z1192" s="262"/>
      <c r="AA1192" s="262"/>
      <c r="AB1192" s="262"/>
    </row>
    <row r="1193" spans="1:33" ht="12.75">
      <c r="A1193" s="277" t="s">
        <v>14475</v>
      </c>
      <c r="B1193" s="488" t="s">
        <v>14600</v>
      </c>
      <c r="C1193" s="489">
        <v>2188</v>
      </c>
      <c r="D1193" s="639">
        <v>45352</v>
      </c>
      <c r="E1193" s="609"/>
      <c r="F1193" s="554"/>
      <c r="G1193" s="492"/>
      <c r="H1193" s="493"/>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row>
    <row r="1194" spans="1:33" ht="25.5">
      <c r="A1194" s="285" t="s">
        <v>14478</v>
      </c>
      <c r="B1194" s="286" t="s">
        <v>14476</v>
      </c>
      <c r="C1194" s="408">
        <v>88309</v>
      </c>
      <c r="D1194" s="288" t="str">
        <f>IFERROR(VLOOKUP($C1194,'24.08_ND'!$A:$D,2,0),)</f>
        <v>PEDREIRO COM ENCARGOS COMPLEMENTARES</v>
      </c>
      <c r="E1194" s="289" t="str">
        <f>IFERROR(VLOOKUP($C1194,'24.08_ND'!$A:$D,3,0),)</f>
        <v>H</v>
      </c>
      <c r="F1194" s="610">
        <f>(15/60)+(12/60)</f>
        <v>0.45</v>
      </c>
      <c r="G1194" s="291">
        <f>IFERROR(VLOOKUP($C1194,'24.08_ND'!$A:$D,4,0),)</f>
        <v>23.33</v>
      </c>
      <c r="H1194" s="292">
        <f>TRUNC(($F1194*$G1194),2)</f>
        <v>10.49</v>
      </c>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D1194" s="1791" t="e">
        <f>VLOOKUP(C1194,'Medição '!$B$16:$F$1833,6,0)</f>
        <v>#N/A</v>
      </c>
      <c r="AE1194" s="1791"/>
    </row>
    <row r="1195" spans="1:33" ht="25.5">
      <c r="A1195" s="285" t="s">
        <v>14478</v>
      </c>
      <c r="B1195" s="286" t="s">
        <v>14476</v>
      </c>
      <c r="C1195" s="408">
        <v>88316</v>
      </c>
      <c r="D1195" s="288" t="str">
        <f>IFERROR(VLOOKUP($C1195,'24.08_ND'!$A:$D,2,0),)</f>
        <v>SERVENTE COM ENCARGOS COMPLEMENTARES</v>
      </c>
      <c r="E1195" s="289" t="str">
        <f>IFERROR(VLOOKUP($C1195,'24.08_ND'!$A:$D,3,0),)</f>
        <v>H</v>
      </c>
      <c r="F1195" s="610">
        <f>10/60*2</f>
        <v>0.33333333333333331</v>
      </c>
      <c r="G1195" s="291">
        <f>IFERROR(VLOOKUP($C1195,'24.08_ND'!$A:$D,4,0),)</f>
        <v>18.510000000000002</v>
      </c>
      <c r="H1195" s="292">
        <f>TRUNC(($F1195*$G1195),2)</f>
        <v>6.17</v>
      </c>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D1195" s="1791" t="e">
        <f>VLOOKUP(C1195,'Medição '!$B$16:$F$1833,6,0)</f>
        <v>#N/A</v>
      </c>
      <c r="AE1195" s="1791"/>
    </row>
    <row r="1196" spans="1:33" ht="25.5">
      <c r="A1196" s="285" t="s">
        <v>14478</v>
      </c>
      <c r="B1196" s="286" t="s">
        <v>14476</v>
      </c>
      <c r="C1196" s="408">
        <v>99814</v>
      </c>
      <c r="D1196" s="288" t="str">
        <f>IFERROR(VLOOKUP($C1196,'24.08_ND'!$A:$D,2,0),)</f>
        <v>LIMPEZA DE SUPERFÍCIE COM JATO DE ALTA PRESSÃO. AF_04/2019</v>
      </c>
      <c r="E1196" s="289" t="str">
        <f>IFERROR(VLOOKUP($C1196,'24.08_ND'!$A:$D,3,0),)</f>
        <v>M2</v>
      </c>
      <c r="F1196" s="610">
        <v>1</v>
      </c>
      <c r="G1196" s="291">
        <f>IFERROR(VLOOKUP($C1196,'24.08_ND'!$A:$D,4,0),)</f>
        <v>1.66</v>
      </c>
      <c r="H1196" s="292">
        <f>TRUNC(($F1196*$G1196),2)</f>
        <v>1.66</v>
      </c>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D1196" s="1791" t="e">
        <f>VLOOKUP(C1196,'Medição '!$B$16:$F$1833,6,0)</f>
        <v>#REF!</v>
      </c>
      <c r="AE1196" s="1791"/>
    </row>
    <row r="1197" spans="1:33" ht="25.5">
      <c r="A1197" s="285" t="s">
        <v>14478</v>
      </c>
      <c r="B1197" s="286" t="s">
        <v>14476</v>
      </c>
      <c r="C1197" s="408">
        <v>43143</v>
      </c>
      <c r="D1197" s="288" t="str">
        <f>IFERROR(VLOOKUP($C1197,'24.08_ND'!$A:$D,2,0),)</f>
        <v>SELANTE ACRILICO PARA TRATAMENTO / ACABAMENTO SUPERFICIAL DE CONCRETO ESTAMPADO, APARENTE, PEDRAS E OUTROS</v>
      </c>
      <c r="E1197" s="289" t="str">
        <f>IFERROR(VLOOKUP($C1197,'24.08_ND'!$A:$D,3,0),)</f>
        <v>L</v>
      </c>
      <c r="F1197" s="610">
        <f>18/100</f>
        <v>0.18</v>
      </c>
      <c r="G1197" s="291">
        <f>IFERROR(VLOOKUP($C1197,'24.08_ND'!$A:$D,4,0),)</f>
        <v>27.38</v>
      </c>
      <c r="H1197" s="292">
        <f>TRUNC(($F1197*$G1197),2)</f>
        <v>4.92</v>
      </c>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D1197" s="1791" t="e">
        <f>VLOOKUP(C1197,'Medição '!$B$16:$F$1833,6,0)</f>
        <v>#N/A</v>
      </c>
      <c r="AE1197" s="1791"/>
    </row>
    <row r="1198" spans="1:33" ht="12.75">
      <c r="A1198" s="558" t="s">
        <v>14479</v>
      </c>
      <c r="B1198" s="559" t="s">
        <v>14476</v>
      </c>
      <c r="C1198" s="559">
        <v>1379</v>
      </c>
      <c r="D1198" s="296" t="str">
        <f>IFERROR(VLOOKUP($C1198,'24.08_ND'!$A:$D,2,0),)</f>
        <v>CIMENTO PORTLAND COMPOSTO CP II-32</v>
      </c>
      <c r="E1198" s="297" t="str">
        <f>IFERROR(VLOOKUP($C1198,'24.08_ND'!$A:$D,3,0),)</f>
        <v>KG</v>
      </c>
      <c r="F1198" s="611">
        <v>2.9</v>
      </c>
      <c r="G1198" s="299">
        <f>IFERROR(VLOOKUP($C1198,'24.08_ND'!$A:$D,4,0),)</f>
        <v>0.74</v>
      </c>
      <c r="H1198" s="300">
        <f>TRUNC(($F1198*$G1198),2)</f>
        <v>2.14</v>
      </c>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row>
    <row r="1199" spans="1:33" ht="12.75">
      <c r="A1199" s="309"/>
      <c r="B1199" s="303"/>
      <c r="C1199" s="303"/>
      <c r="D1199" s="310"/>
      <c r="E1199" s="303"/>
      <c r="F1199" s="306"/>
      <c r="G1199" s="307"/>
      <c r="H1199" s="308"/>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row>
    <row r="1200" spans="1:33" ht="63.75">
      <c r="A1200" s="271" t="s">
        <v>14471</v>
      </c>
      <c r="B1200" s="272" t="s">
        <v>14472</v>
      </c>
      <c r="C1200" s="585" t="s">
        <v>14920</v>
      </c>
      <c r="D1200" s="1862" t="s">
        <v>14921</v>
      </c>
      <c r="E1200" s="272" t="s">
        <v>50</v>
      </c>
      <c r="F1200" s="272"/>
      <c r="G1200" s="272"/>
      <c r="H1200" s="275">
        <f>TRUNC(SUM(H1202:H1216),2)</f>
        <v>954.66</v>
      </c>
      <c r="I1200" s="276">
        <f>COUNTIF($C$8:$C1200,C:C)</f>
        <v>1</v>
      </c>
      <c r="J1200" s="262"/>
      <c r="K1200" s="262"/>
      <c r="L1200" s="262"/>
      <c r="M1200" s="262"/>
      <c r="N1200" s="262"/>
      <c r="O1200" s="262"/>
      <c r="P1200" s="262"/>
      <c r="Q1200" s="262"/>
      <c r="R1200" s="262"/>
      <c r="S1200" s="262"/>
      <c r="T1200" s="262"/>
      <c r="U1200" s="262"/>
      <c r="V1200" s="262"/>
      <c r="W1200" s="262"/>
      <c r="X1200" s="262"/>
      <c r="Y1200" s="262"/>
      <c r="Z1200" s="262"/>
      <c r="AA1200" s="262"/>
      <c r="AB1200" s="262"/>
      <c r="AG1200" t="s">
        <v>14921</v>
      </c>
    </row>
    <row r="1201" spans="1:31" ht="12.75">
      <c r="A1201" s="277" t="s">
        <v>14475</v>
      </c>
      <c r="B1201" s="488" t="s">
        <v>14476</v>
      </c>
      <c r="C1201" s="489">
        <v>99837</v>
      </c>
      <c r="D1201" s="490" t="s">
        <v>14587</v>
      </c>
      <c r="E1201" s="609"/>
      <c r="F1201" s="554"/>
      <c r="G1201" s="492"/>
      <c r="H1201" s="493"/>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row>
    <row r="1202" spans="1:31" ht="25.5">
      <c r="A1202" s="285" t="s">
        <v>14478</v>
      </c>
      <c r="B1202" s="286" t="s">
        <v>14476</v>
      </c>
      <c r="C1202" s="408">
        <v>88251</v>
      </c>
      <c r="D1202" s="288" t="str">
        <f>IFERROR(VLOOKUP($C1202,'24.08_ND'!$A:$D,2,0),)</f>
        <v>AUXILIAR DE SERRALHEIRO COM ENCARGOS COMPLEMENTARES</v>
      </c>
      <c r="E1202" s="289" t="str">
        <f>IFERROR(VLOOKUP($C1202,'24.08_ND'!$A:$D,3,0),)</f>
        <v>H</v>
      </c>
      <c r="F1202" s="610">
        <v>2.9419</v>
      </c>
      <c r="G1202" s="291">
        <f>IFERROR(VLOOKUP($C1202,'24.08_ND'!$A:$D,4,0),)</f>
        <v>19.579999999999998</v>
      </c>
      <c r="H1202" s="292">
        <f t="shared" ref="H1202:H1215" si="46">TRUNC(($F1202*$G1202),2)</f>
        <v>57.6</v>
      </c>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D1202" s="1791" t="e">
        <f>VLOOKUP(C1202,'Medição '!$B$16:$F$1833,6,0)</f>
        <v>#N/A</v>
      </c>
      <c r="AE1202" s="1791"/>
    </row>
    <row r="1203" spans="1:31" ht="25.5">
      <c r="A1203" s="285" t="s">
        <v>14478</v>
      </c>
      <c r="B1203" s="286" t="s">
        <v>14476</v>
      </c>
      <c r="C1203" s="408">
        <v>88315</v>
      </c>
      <c r="D1203" s="288" t="str">
        <f>IFERROR(VLOOKUP($C1203,'24.08_ND'!$A:$D,2,0),)</f>
        <v>SERRALHEIRO COM ENCARGOS COMPLEMENTARES</v>
      </c>
      <c r="E1203" s="289" t="str">
        <f>IFERROR(VLOOKUP($C1203,'24.08_ND'!$A:$D,3,0),)</f>
        <v>H</v>
      </c>
      <c r="F1203" s="610">
        <v>3.5815000000000001</v>
      </c>
      <c r="G1203" s="291">
        <f>IFERROR(VLOOKUP($C1203,'24.08_ND'!$A:$D,4,0),)</f>
        <v>23.13</v>
      </c>
      <c r="H1203" s="292">
        <f t="shared" si="46"/>
        <v>82.84</v>
      </c>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D1203" s="1791" t="e">
        <f>VLOOKUP(C1203,'Medição '!$B$16:$F$1833,6,0)</f>
        <v>#N/A</v>
      </c>
      <c r="AE1203" s="1791"/>
    </row>
    <row r="1204" spans="1:31" ht="38.25">
      <c r="A1204" s="285" t="s">
        <v>14478</v>
      </c>
      <c r="B1204" s="286" t="s">
        <v>14476</v>
      </c>
      <c r="C1204" s="408">
        <v>100721</v>
      </c>
      <c r="D1204" s="288" t="str">
        <f>IFERROR(VLOOKUP($C1204,'24.08_ND'!$A:$D,2,0),)</f>
        <v>PINTURA COM TINTA ALQUÍDICA DE FUNDO (TIPO ZARCÃO) PULVERIZADA SOBRE SUPERFÍCIES METÁLICAS (EXCETO PERFIL) EXECUTADO EM OBRA (POR DEMÃO). AF_01/2020_PE</v>
      </c>
      <c r="E1204" s="289" t="str">
        <f>IFERROR(VLOOKUP($C1204,'24.08_ND'!$A:$D,3,0),)</f>
        <v>M2</v>
      </c>
      <c r="F1204" s="610">
        <f>(0.12*1.1*2)+(0.00314)+(0.3*1.2)+(0.15*0.15)+(0.1*0.1)+(0.3454)</f>
        <v>1.0050399999999999</v>
      </c>
      <c r="G1204" s="291">
        <f>IFERROR(VLOOKUP($C1204,'24.08_ND'!$A:$D,4,0),)</f>
        <v>20.97</v>
      </c>
      <c r="H1204" s="292">
        <f t="shared" si="46"/>
        <v>21.07</v>
      </c>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D1204" s="1791" t="e">
        <f>VLOOKUP(C1204,'Medição '!$B$16:$F$1833,6,0)</f>
        <v>#REF!</v>
      </c>
      <c r="AE1204" s="1791"/>
    </row>
    <row r="1205" spans="1:31" ht="38.25">
      <c r="A1205" s="285" t="s">
        <v>14478</v>
      </c>
      <c r="B1205" s="286" t="s">
        <v>14476</v>
      </c>
      <c r="C1205" s="408">
        <v>100761</v>
      </c>
      <c r="D1205" s="288" t="str">
        <f>IFERROR(VLOOKUP($C1205,'24.08_ND'!$A:$D,2,0),)</f>
        <v>PINTURA COM TINTA ALQUÍDICA DE ACABAMENTO (ESMALTE SINTÉTICO FOSCO) PULVERIZADA SOBRE SUPERFÍCIES METÁLICAS (EXCETO PERFIL) EXECUTADO EM OBRA (02 DEMÃOS). AF_01/2020_PE</v>
      </c>
      <c r="E1205" s="289" t="str">
        <f>IFERROR(VLOOKUP($C1205,'24.08_ND'!$A:$D,3,0),)</f>
        <v>M2</v>
      </c>
      <c r="F1205" s="610">
        <f>F1204</f>
        <v>1.0050399999999999</v>
      </c>
      <c r="G1205" s="291">
        <f>IFERROR(VLOOKUP($C1205,'24.08_ND'!$A:$D,4,0),)</f>
        <v>41.11</v>
      </c>
      <c r="H1205" s="292">
        <f t="shared" si="46"/>
        <v>41.31</v>
      </c>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D1205" s="1791" t="e">
        <f>VLOOKUP(C1205,'Medição '!$B$16:$F$1833,6,0)</f>
        <v>#REF!</v>
      </c>
      <c r="AE1205" s="1791"/>
    </row>
    <row r="1206" spans="1:31" ht="12.75">
      <c r="A1206" s="558" t="s">
        <v>14479</v>
      </c>
      <c r="B1206" s="559" t="s">
        <v>14476</v>
      </c>
      <c r="C1206" s="559">
        <v>41954</v>
      </c>
      <c r="D1206" s="296" t="str">
        <f>IFERROR(VLOOKUP($C1206,'24.08_ND'!$A:$D,2,0),)</f>
        <v>CABO DE ACO GALVANIZADO, DIAMETRO 9,53 MM (3/8"), COM ALMA DE FIBRA 6 X 25 F</v>
      </c>
      <c r="E1206" s="297" t="str">
        <f>IFERROR(VLOOKUP($C1206,'24.08_ND'!$A:$D,3,0),)</f>
        <v>KG</v>
      </c>
      <c r="F1206" s="611">
        <f>1.2*10*0.35</f>
        <v>4.1999999999999993</v>
      </c>
      <c r="G1206" s="299">
        <f>IFERROR(VLOOKUP($C1206,'24.08_ND'!$A:$D,4,0),)</f>
        <v>71.900000000000006</v>
      </c>
      <c r="H1206" s="300">
        <f t="shared" si="46"/>
        <v>301.98</v>
      </c>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row>
    <row r="1207" spans="1:31" ht="25.5">
      <c r="A1207" s="558" t="s">
        <v>14479</v>
      </c>
      <c r="B1207" s="559" t="s">
        <v>14476</v>
      </c>
      <c r="C1207" s="559">
        <v>142</v>
      </c>
      <c r="D1207" s="296" t="str">
        <f>IFERROR(VLOOKUP($C1207,'24.08_ND'!$A:$D,2,0),)</f>
        <v>SELANTE ELASTICO MONOCOMPONENTE A BASE DE POLIURETANO (PU) PARA JUNTAS DIVERSAS</v>
      </c>
      <c r="E1207" s="297" t="str">
        <f>IFERROR(VLOOKUP($C1207,'24.08_ND'!$A:$D,3,0),)</f>
        <v>310ML</v>
      </c>
      <c r="F1207" s="611">
        <v>0.75</v>
      </c>
      <c r="G1207" s="299">
        <f>IFERROR(VLOOKUP($C1207,'24.08_ND'!$A:$D,4,0),)</f>
        <v>34.200000000000003</v>
      </c>
      <c r="H1207" s="300">
        <f t="shared" si="46"/>
        <v>25.65</v>
      </c>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row>
    <row r="1208" spans="1:31" ht="12.75">
      <c r="A1208" s="445" t="s">
        <v>14479</v>
      </c>
      <c r="B1208" s="446" t="s">
        <v>14476</v>
      </c>
      <c r="C1208" s="447">
        <v>11002</v>
      </c>
      <c r="D1208" s="296" t="str">
        <f>IFERROR(VLOOKUP($C1208,'24.08_ND'!$A:$D,2,0),)</f>
        <v>ELETRODO REVESTIDO AWS - E6013, DIAMETRO IGUAL A 2,50 MM</v>
      </c>
      <c r="E1208" s="297" t="str">
        <f>IFERROR(VLOOKUP($C1208,'24.08_ND'!$A:$D,3,0),)</f>
        <v>KG</v>
      </c>
      <c r="F1208" s="385">
        <f>0.325</f>
        <v>0.32500000000000001</v>
      </c>
      <c r="G1208" s="299">
        <f>IFERROR(VLOOKUP($C1208,'24.08_ND'!$A:$D,4,0),)</f>
        <v>31.31</v>
      </c>
      <c r="H1208" s="300">
        <f t="shared" si="46"/>
        <v>10.17</v>
      </c>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row>
    <row r="1209" spans="1:31" ht="25.5">
      <c r="A1209" s="558" t="s">
        <v>14479</v>
      </c>
      <c r="B1209" s="559" t="s">
        <v>14476</v>
      </c>
      <c r="C1209" s="559">
        <v>11964</v>
      </c>
      <c r="D1209" s="296" t="str">
        <f>IFERROR(VLOOKUP($C1209,'24.08_ND'!$A:$D,2,0),)</f>
        <v>PARAFUSO DE ACO ZINCADO, TIPO CHUMBADOR PARABOLT, DIAMETRO 3/8", COMPRIMENTO 75 MM</v>
      </c>
      <c r="E1209" s="297" t="str">
        <f>IFERROR(VLOOKUP($C1209,'24.08_ND'!$A:$D,3,0),)</f>
        <v>UN</v>
      </c>
      <c r="F1209" s="611">
        <v>4</v>
      </c>
      <c r="G1209" s="299">
        <f>IFERROR(VLOOKUP($C1209,'24.08_ND'!$A:$D,4,0),)</f>
        <v>2.29</v>
      </c>
      <c r="H1209" s="300">
        <f t="shared" si="46"/>
        <v>9.16</v>
      </c>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row>
    <row r="1210" spans="1:31" ht="12.75">
      <c r="A1210" s="558" t="s">
        <v>14479</v>
      </c>
      <c r="B1210" s="559" t="s">
        <v>14476</v>
      </c>
      <c r="C1210" s="559">
        <v>42403</v>
      </c>
      <c r="D1210" s="296" t="str">
        <f>IFERROR(VLOOKUP($C1210,'24.08_ND'!$A:$D,2,0),)</f>
        <v>ACO CA-25, 20,0 MM, BARRA DE TRANSFERENCIA</v>
      </c>
      <c r="E1210" s="297" t="str">
        <f>IFERROR(VLOOKUP($C1210,'24.08_ND'!$A:$D,3,0),)</f>
        <v>KG</v>
      </c>
      <c r="F1210" s="611">
        <f>0.1*2.46</f>
        <v>0.246</v>
      </c>
      <c r="G1210" s="299">
        <f>IFERROR(VLOOKUP($C1210,'24.08_ND'!$A:$D,4,0),)</f>
        <v>11.13</v>
      </c>
      <c r="H1210" s="300">
        <f t="shared" si="46"/>
        <v>2.73</v>
      </c>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row>
    <row r="1211" spans="1:31" ht="12.75">
      <c r="A1211" s="558" t="s">
        <v>14479</v>
      </c>
      <c r="B1211" s="559" t="s">
        <v>14476</v>
      </c>
      <c r="C1211" s="559">
        <v>1319</v>
      </c>
      <c r="D1211" s="296" t="str">
        <f>IFERROR(VLOOKUP($C1211,'24.08_ND'!$A:$D,2,0),)</f>
        <v>CHAPA DE ACO FINA A QUENTE BITOLA MSG 3/16 ", E = 4,75 MM (38,00 KG/M2)</v>
      </c>
      <c r="E1211" s="297" t="str">
        <f>IFERROR(VLOOKUP($C1211,'24.08_ND'!$A:$D,3,0),)</f>
        <v>KG</v>
      </c>
      <c r="F1211" s="611">
        <f>(0.12*38*1.1)+(0.03*0.1*38)+(0.15*0.15*38)+(0.1*0.05*38)</f>
        <v>6.1749999999999998</v>
      </c>
      <c r="G1211" s="299">
        <f>IFERROR(VLOOKUP($C1211,'24.08_ND'!$A:$D,4,0),)</f>
        <v>9.8800000000000008</v>
      </c>
      <c r="H1211" s="300">
        <f t="shared" si="46"/>
        <v>61</v>
      </c>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row>
    <row r="1212" spans="1:31" ht="25.5">
      <c r="A1212" s="376" t="s">
        <v>14478</v>
      </c>
      <c r="B1212" s="312" t="str">
        <f>VLOOKUP($C1212,'• CIs EXT'!$A:$E,2,0)</f>
        <v>SETOP</v>
      </c>
      <c r="C1212" s="377" t="s">
        <v>14619</v>
      </c>
      <c r="D1212" s="378" t="str">
        <f>VLOOKUP($C1212,'• CIs EXT'!$A:$E,3,0)</f>
        <v>SERVIÇO DE CORTE E DOBRA EM CHAPA DE AÇO, EXCLUSIVE FORNECIMENTO</v>
      </c>
      <c r="E1212" s="379" t="str">
        <f>VLOOKUP($C1212,'• CIs EXT'!$A:$E,4,0)</f>
        <v>KG</v>
      </c>
      <c r="F1212" s="380">
        <f>F1211</f>
        <v>6.1749999999999998</v>
      </c>
      <c r="G1212" s="379">
        <f>VLOOKUP($C1212,'• CIs EXT'!$A:$E,5,0)</f>
        <v>2.88</v>
      </c>
      <c r="H1212" s="381">
        <f t="shared" si="46"/>
        <v>17.78</v>
      </c>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row>
    <row r="1213" spans="1:31" ht="12.75">
      <c r="A1213" s="376" t="s">
        <v>14479</v>
      </c>
      <c r="B1213" s="312" t="str">
        <f>VLOOKUP($C1213,'• CIs EXT'!$A:$E,2,0)</f>
        <v>ORSE</v>
      </c>
      <c r="C1213" s="377">
        <v>3567</v>
      </c>
      <c r="D1213" s="378" t="str">
        <f>VLOOKUP($C1213,'• CIs EXT'!$A:$E,3,0)</f>
        <v>CLIPS P/ FIXAÇÃO DE CABO DE AÇO ALMA DE FIBRA DN 10MM - (3/8")</v>
      </c>
      <c r="E1213" s="379" t="str">
        <f>VLOOKUP($C1213,'• CIs EXT'!$A:$E,4,0)</f>
        <v>UN</v>
      </c>
      <c r="F1213" s="380">
        <f>30*2/10</f>
        <v>6</v>
      </c>
      <c r="G1213" s="379">
        <f>VLOOKUP($C1213,'• CIs EXT'!$A:$E,5,0)</f>
        <v>3.18</v>
      </c>
      <c r="H1213" s="381">
        <f t="shared" si="46"/>
        <v>19.079999999999998</v>
      </c>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row>
    <row r="1214" spans="1:31" ht="25.5">
      <c r="A1214" s="376" t="s">
        <v>14479</v>
      </c>
      <c r="B1214" s="312" t="str">
        <f>VLOOKUP($C1214,'• CIs EXT'!$A:$E,2,0)</f>
        <v>ORSE</v>
      </c>
      <c r="C1214" s="377">
        <v>10912</v>
      </c>
      <c r="D1214" s="378" t="str">
        <f>VLOOKUP($C1214,'• CIs EXT'!$A:$E,3,0)</f>
        <v>TUBO INDUSTRIAL, EM AÇO, RETANGULAR, DIM 100 X 50 MM, E=3,17MM(1/8"), 6,825KG/M</v>
      </c>
      <c r="E1214" s="379" t="str">
        <f>VLOOKUP($C1214,'• CIs EXT'!$A:$E,4,0)</f>
        <v>M</v>
      </c>
      <c r="F1214" s="380">
        <v>1.1000000000000001</v>
      </c>
      <c r="G1214" s="379">
        <f>VLOOKUP($C1214,'• CIs EXT'!$A:$E,5,0)</f>
        <v>100.3</v>
      </c>
      <c r="H1214" s="381">
        <f t="shared" si="46"/>
        <v>110.33</v>
      </c>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row>
    <row r="1215" spans="1:31" ht="12.75">
      <c r="A1215" s="376" t="s">
        <v>14479</v>
      </c>
      <c r="B1215" s="312" t="str">
        <f>VLOOKUP($C1215,'• CIs EXT'!$A:$E,2,0)</f>
        <v>ORSE</v>
      </c>
      <c r="C1215" s="377">
        <v>11843</v>
      </c>
      <c r="D1215" s="378" t="str">
        <f>VLOOKUP($C1215,'• CIs EXT'!$A:$E,3,0)</f>
        <v>ESTICADOR</v>
      </c>
      <c r="E1215" s="379" t="str">
        <f>VLOOKUP($C1215,'• CIs EXT'!$A:$E,4,0)</f>
        <v>UN</v>
      </c>
      <c r="F1215" s="380">
        <f>30/10</f>
        <v>3</v>
      </c>
      <c r="G1215" s="379">
        <f>VLOOKUP($C1215,'• CIs EXT'!$A:$E,5,0)</f>
        <v>37.99</v>
      </c>
      <c r="H1215" s="381">
        <f t="shared" si="46"/>
        <v>113.97</v>
      </c>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row>
    <row r="1216" spans="1:31" ht="12.75">
      <c r="A1216" s="599" t="s">
        <v>14479</v>
      </c>
      <c r="B1216" s="600" t="s">
        <v>14491</v>
      </c>
      <c r="C1216" s="614" t="s">
        <v>14922</v>
      </c>
      <c r="D1216" s="601" t="str">
        <f>VLOOKUP($C1216,'09 - MC'!$A:$F,2,0)</f>
        <v>MADEIRA PLASTICA</v>
      </c>
      <c r="E1216" s="602" t="str">
        <f>VLOOKUP($C1216,'09 - MC'!$A:$F,3,0)</f>
        <v>M2</v>
      </c>
      <c r="F1216" s="603">
        <f>(0.2*1.1)</f>
        <v>0.22000000000000003</v>
      </c>
      <c r="G1216" s="604">
        <f>VLOOKUP($C1216,'09 - MC'!$A:$F,6,0)</f>
        <v>363.63</v>
      </c>
      <c r="H1216" s="605">
        <f>TRUNC(G1216*F1216,2)</f>
        <v>79.989999999999995</v>
      </c>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row>
    <row r="1217" spans="1:31" ht="12.75">
      <c r="A1217" s="640"/>
      <c r="B1217" s="641"/>
      <c r="C1217" s="368"/>
      <c r="D1217" s="641"/>
      <c r="E1217" s="641"/>
      <c r="F1217" s="642"/>
      <c r="G1217" s="370"/>
      <c r="H1217" s="371"/>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row>
    <row r="1218" spans="1:31" ht="25.5">
      <c r="A1218" s="358" t="s">
        <v>14471</v>
      </c>
      <c r="B1218" s="359" t="s">
        <v>14472</v>
      </c>
      <c r="C1218" s="585" t="s">
        <v>14923</v>
      </c>
      <c r="D1218" s="361" t="s">
        <v>14924</v>
      </c>
      <c r="E1218" s="359" t="s">
        <v>6</v>
      </c>
      <c r="F1218" s="401"/>
      <c r="G1218" s="402"/>
      <c r="H1218" s="363">
        <f>TRUNC(SUM(H1220:H1221),2)</f>
        <v>17.8</v>
      </c>
      <c r="I1218" s="276">
        <f>COUNTIF($C$8:$C1218,C:C)</f>
        <v>1</v>
      </c>
      <c r="J1218" s="262"/>
      <c r="K1218" s="262"/>
      <c r="L1218" s="262"/>
      <c r="M1218" s="262"/>
      <c r="N1218" s="262"/>
      <c r="O1218" s="262"/>
      <c r="P1218" s="262"/>
      <c r="Q1218" s="262"/>
      <c r="R1218" s="262"/>
      <c r="S1218" s="262"/>
      <c r="T1218" s="262"/>
      <c r="U1218" s="262"/>
      <c r="V1218" s="262"/>
      <c r="W1218" s="262"/>
      <c r="X1218" s="262"/>
      <c r="Y1218" s="262"/>
      <c r="Z1218" s="262"/>
      <c r="AA1218" s="262"/>
      <c r="AB1218" s="262"/>
    </row>
    <row r="1219" spans="1:31" ht="12.75">
      <c r="A1219" s="364" t="s">
        <v>14475</v>
      </c>
      <c r="B1219" s="592" t="s">
        <v>14600</v>
      </c>
      <c r="C1219" s="404">
        <v>12434</v>
      </c>
      <c r="D1219" s="367" t="s">
        <v>14567</v>
      </c>
      <c r="E1219" s="405"/>
      <c r="F1219" s="642"/>
      <c r="G1219" s="370"/>
      <c r="H1219" s="371"/>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row>
    <row r="1220" spans="1:31" ht="25.5">
      <c r="A1220" s="372" t="s">
        <v>14478</v>
      </c>
      <c r="B1220" s="374" t="s">
        <v>14476</v>
      </c>
      <c r="C1220" s="374">
        <v>88316</v>
      </c>
      <c r="D1220" s="288" t="str">
        <f>IFERROR(VLOOKUP($C1220,'24.08_ND'!$A:$D,2,0),)</f>
        <v>SERVENTE COM ENCARGOS COMPLEMENTARES</v>
      </c>
      <c r="E1220" s="289" t="str">
        <f>IFERROR(VLOOKUP($C1220,'24.08_ND'!$A:$D,3,0),)</f>
        <v>H</v>
      </c>
      <c r="F1220" s="375">
        <v>0.15</v>
      </c>
      <c r="G1220" s="291">
        <f>IFERROR(VLOOKUP($C1220,'24.08_ND'!$A:$D,4,0),)</f>
        <v>18.510000000000002</v>
      </c>
      <c r="H1220" s="292">
        <f>TRUNC(($F1220*$G1220),2)</f>
        <v>2.77</v>
      </c>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D1220" s="1791" t="e">
        <f>VLOOKUP(C1220,'Medição '!$B$16:$F$1833,6,0)</f>
        <v>#N/A</v>
      </c>
      <c r="AE1220" s="1791"/>
    </row>
    <row r="1221" spans="1:31" ht="12.75">
      <c r="A1221" s="643" t="s">
        <v>14479</v>
      </c>
      <c r="B1221" s="312" t="str">
        <f>VLOOKUP($C1221,'• CIs EXT'!$A:$E,2,0)</f>
        <v>SUDECAP</v>
      </c>
      <c r="C1221" s="591" t="s">
        <v>14925</v>
      </c>
      <c r="D1221" s="378" t="str">
        <f>VLOOKUP($C1221,'• CIs EXT'!$A:$E,3,0)</f>
        <v>PLACA BRAILLE ALUMÍNIO 10X3 CM CORRIMÃO (INÍCIO/FIM)</v>
      </c>
      <c r="E1221" s="379" t="str">
        <f>VLOOKUP($C1221,'• CIs EXT'!$A:$E,4,0)</f>
        <v>UN</v>
      </c>
      <c r="F1221" s="380">
        <v>1</v>
      </c>
      <c r="G1221" s="379">
        <f>VLOOKUP($C1221,'• CIs EXT'!$A:$E,5,0)</f>
        <v>15.03</v>
      </c>
      <c r="H1221" s="381">
        <f>TRUNC(($F1221*$G1221),2)</f>
        <v>15.03</v>
      </c>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row>
    <row r="1222" spans="1:31" ht="12.75">
      <c r="A1222" s="640"/>
      <c r="B1222" s="641"/>
      <c r="C1222" s="368"/>
      <c r="D1222" s="641"/>
      <c r="E1222" s="641"/>
      <c r="F1222" s="642"/>
      <c r="G1222" s="370"/>
      <c r="H1222" s="371"/>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row>
    <row r="1223" spans="1:31" ht="51">
      <c r="A1223" s="358" t="s">
        <v>14471</v>
      </c>
      <c r="B1223" s="359" t="s">
        <v>14472</v>
      </c>
      <c r="C1223" s="585" t="s">
        <v>14926</v>
      </c>
      <c r="D1223" s="361" t="s">
        <v>14927</v>
      </c>
      <c r="E1223" s="359" t="s">
        <v>50</v>
      </c>
      <c r="F1223" s="401"/>
      <c r="G1223" s="402"/>
      <c r="H1223" s="363">
        <f>TRUNC(SUM(H1225:H1233,2))</f>
        <v>233</v>
      </c>
      <c r="I1223" s="276">
        <f>COUNTIF($C$8:$C1223,C:C)</f>
        <v>1</v>
      </c>
      <c r="J1223" s="262"/>
      <c r="K1223" s="262"/>
      <c r="L1223" s="262"/>
      <c r="M1223" s="262"/>
      <c r="N1223" s="262"/>
      <c r="O1223" s="262"/>
      <c r="P1223" s="262"/>
      <c r="Q1223" s="262"/>
      <c r="R1223" s="262"/>
      <c r="S1223" s="262"/>
      <c r="T1223" s="262"/>
      <c r="U1223" s="262"/>
      <c r="V1223" s="262"/>
      <c r="W1223" s="262"/>
      <c r="X1223" s="262"/>
      <c r="Y1223" s="262"/>
      <c r="Z1223" s="262"/>
      <c r="AA1223" s="262"/>
      <c r="AB1223" s="262"/>
    </row>
    <row r="1224" spans="1:31" ht="25.5">
      <c r="A1224" s="364" t="s">
        <v>14475</v>
      </c>
      <c r="B1224" s="403" t="s">
        <v>14522</v>
      </c>
      <c r="C1224" s="644">
        <v>44067</v>
      </c>
      <c r="D1224" s="367" t="s">
        <v>14567</v>
      </c>
      <c r="E1224" s="405"/>
      <c r="F1224" s="642"/>
      <c r="G1224" s="370"/>
      <c r="H1224" s="371"/>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row>
    <row r="1225" spans="1:31" ht="25.5">
      <c r="A1225" s="372" t="s">
        <v>14478</v>
      </c>
      <c r="B1225" s="421" t="s">
        <v>14476</v>
      </c>
      <c r="C1225" s="374">
        <v>88251</v>
      </c>
      <c r="D1225" s="288" t="str">
        <f>IFERROR(VLOOKUP($C1225,'24.08_ND'!$A:$D,2,0),)</f>
        <v>AUXILIAR DE SERRALHEIRO COM ENCARGOS COMPLEMENTARES</v>
      </c>
      <c r="E1225" s="289" t="str">
        <f>IFERROR(VLOOKUP($C1225,'24.08_ND'!$A:$D,3,0),)</f>
        <v>H</v>
      </c>
      <c r="F1225" s="375">
        <v>1.2</v>
      </c>
      <c r="G1225" s="291">
        <f>IFERROR(VLOOKUP($C1225,'24.08_ND'!$A:$D,4,0),)</f>
        <v>19.579999999999998</v>
      </c>
      <c r="H1225" s="292">
        <f t="shared" ref="H1225:H1233" si="47">TRUNC(($F1225*$G1225),2)</f>
        <v>23.49</v>
      </c>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D1225" s="1791" t="e">
        <f>VLOOKUP(C1225,'Medição '!$B$16:$F$1833,6,0)</f>
        <v>#N/A</v>
      </c>
      <c r="AE1225" s="1791"/>
    </row>
    <row r="1226" spans="1:31" ht="25.5">
      <c r="A1226" s="372" t="s">
        <v>14478</v>
      </c>
      <c r="B1226" s="421" t="s">
        <v>14476</v>
      </c>
      <c r="C1226" s="374">
        <v>88315</v>
      </c>
      <c r="D1226" s="288" t="str">
        <f>IFERROR(VLOOKUP($C1226,'24.08_ND'!$A:$D,2,0),)</f>
        <v>SERRALHEIRO COM ENCARGOS COMPLEMENTARES</v>
      </c>
      <c r="E1226" s="289" t="str">
        <f>IFERROR(VLOOKUP($C1226,'24.08_ND'!$A:$D,3,0),)</f>
        <v>H</v>
      </c>
      <c r="F1226" s="375">
        <v>1.4</v>
      </c>
      <c r="G1226" s="291">
        <f>IFERROR(VLOOKUP($C1226,'24.08_ND'!$A:$D,4,0),)</f>
        <v>23.13</v>
      </c>
      <c r="H1226" s="292">
        <f t="shared" si="47"/>
        <v>32.380000000000003</v>
      </c>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D1226" s="1791" t="e">
        <f>VLOOKUP(C1226,'Medição '!$B$16:$F$1833,6,0)</f>
        <v>#N/A</v>
      </c>
      <c r="AE1226" s="1791"/>
    </row>
    <row r="1227" spans="1:31" ht="38.25">
      <c r="A1227" s="285" t="s">
        <v>14478</v>
      </c>
      <c r="B1227" s="286" t="s">
        <v>14476</v>
      </c>
      <c r="C1227" s="408">
        <v>100721</v>
      </c>
      <c r="D1227" s="288" t="str">
        <f>IFERROR(VLOOKUP($C1227,'24.08_ND'!$A:$D,2,0),)</f>
        <v>PINTURA COM TINTA ALQUÍDICA DE FUNDO (TIPO ZARCÃO) PULVERIZADA SOBRE SUPERFÍCIES METÁLICAS (EXCETO PERFIL) EXECUTADO EM OBRA (POR DEMÃO). AF_01/2020_PE</v>
      </c>
      <c r="E1227" s="289" t="str">
        <f>IFERROR(VLOOKUP($C1227,'24.08_ND'!$A:$D,3,0),)</f>
        <v>M2</v>
      </c>
      <c r="F1227" s="610">
        <f>((0.15*0.15)+(0.2355*1.2)+(0.157*3.3)*1.1)</f>
        <v>0.87501000000000007</v>
      </c>
      <c r="G1227" s="291">
        <f>IFERROR(VLOOKUP($C1227,'24.08_ND'!$A:$D,4,0),)</f>
        <v>20.97</v>
      </c>
      <c r="H1227" s="292">
        <f t="shared" si="47"/>
        <v>18.34</v>
      </c>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D1227" s="1791" t="e">
        <f>VLOOKUP(C1227,'Medição '!$B$16:$F$1833,6,0)</f>
        <v>#REF!</v>
      </c>
      <c r="AE1227" s="1791"/>
    </row>
    <row r="1228" spans="1:31" ht="38.25">
      <c r="A1228" s="285" t="s">
        <v>14478</v>
      </c>
      <c r="B1228" s="286" t="s">
        <v>14476</v>
      </c>
      <c r="C1228" s="408">
        <v>100761</v>
      </c>
      <c r="D1228" s="288" t="str">
        <f>IFERROR(VLOOKUP($C1228,'24.08_ND'!$A:$D,2,0),)</f>
        <v>PINTURA COM TINTA ALQUÍDICA DE ACABAMENTO (ESMALTE SINTÉTICO FOSCO) PULVERIZADA SOBRE SUPERFÍCIES METÁLICAS (EXCETO PERFIL) EXECUTADO EM OBRA (02 DEMÃOS). AF_01/2020_PE</v>
      </c>
      <c r="E1228" s="289" t="str">
        <f>IFERROR(VLOOKUP($C1228,'24.08_ND'!$A:$D,3,0),)</f>
        <v>M2</v>
      </c>
      <c r="F1228" s="610">
        <f>F1227</f>
        <v>0.87501000000000007</v>
      </c>
      <c r="G1228" s="291">
        <f>IFERROR(VLOOKUP($C1228,'24.08_ND'!$A:$D,4,0),)</f>
        <v>41.11</v>
      </c>
      <c r="H1228" s="292">
        <f t="shared" si="47"/>
        <v>35.97</v>
      </c>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D1228" s="1791" t="e">
        <f>VLOOKUP(C1228,'Medição '!$B$16:$F$1833,6,0)</f>
        <v>#REF!</v>
      </c>
      <c r="AE1228" s="1791"/>
    </row>
    <row r="1229" spans="1:31" ht="12.75">
      <c r="A1229" s="558" t="s">
        <v>14479</v>
      </c>
      <c r="B1229" s="559" t="s">
        <v>14476</v>
      </c>
      <c r="C1229" s="559">
        <v>1319</v>
      </c>
      <c r="D1229" s="296" t="str">
        <f>IFERROR(VLOOKUP($C1229,'24.08_ND'!$A:$D,2,0),)</f>
        <v>CHAPA DE ACO FINA A QUENTE BITOLA MSG 3/16 ", E = 4,75 MM (38,00 KG/M2)</v>
      </c>
      <c r="E1229" s="297" t="str">
        <f>IFERROR(VLOOKUP($C1229,'24.08_ND'!$A:$D,3,0),)</f>
        <v>KG</v>
      </c>
      <c r="F1229" s="611">
        <f>0.15*0.15</f>
        <v>2.2499999999999999E-2</v>
      </c>
      <c r="G1229" s="299">
        <f>IFERROR(VLOOKUP($C1229,'24.08_ND'!$A:$D,4,0),)</f>
        <v>9.8800000000000008</v>
      </c>
      <c r="H1229" s="300">
        <f t="shared" si="47"/>
        <v>0.22</v>
      </c>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row>
    <row r="1230" spans="1:31" ht="12.75">
      <c r="A1230" s="445" t="s">
        <v>14479</v>
      </c>
      <c r="B1230" s="446" t="s">
        <v>14476</v>
      </c>
      <c r="C1230" s="447">
        <v>11002</v>
      </c>
      <c r="D1230" s="296" t="str">
        <f>IFERROR(VLOOKUP($C1230,'24.08_ND'!$A:$D,2,0),)</f>
        <v>ELETRODO REVESTIDO AWS - E6013, DIAMETRO IGUAL A 2,50 MM</v>
      </c>
      <c r="E1230" s="297" t="str">
        <f>IFERROR(VLOOKUP($C1230,'24.08_ND'!$A:$D,3,0),)</f>
        <v>KG</v>
      </c>
      <c r="F1230" s="385">
        <v>0.25800000000000001</v>
      </c>
      <c r="G1230" s="299">
        <f>IFERROR(VLOOKUP($C1230,'24.08_ND'!$A:$D,4,0),)</f>
        <v>31.31</v>
      </c>
      <c r="H1230" s="300">
        <f t="shared" si="47"/>
        <v>8.07</v>
      </c>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row>
    <row r="1231" spans="1:31" ht="25.5">
      <c r="A1231" s="445" t="s">
        <v>14479</v>
      </c>
      <c r="B1231" s="446" t="s">
        <v>14476</v>
      </c>
      <c r="C1231" s="447">
        <v>11964</v>
      </c>
      <c r="D1231" s="296" t="str">
        <f>IFERROR(VLOOKUP($C1231,'24.08_ND'!$A:$D,2,0),)</f>
        <v>PARAFUSO DE ACO ZINCADO, TIPO CHUMBADOR PARABOLT, DIAMETRO 3/8", COMPRIMENTO 75 MM</v>
      </c>
      <c r="E1231" s="297" t="str">
        <f>IFERROR(VLOOKUP($C1231,'24.08_ND'!$A:$D,3,0),)</f>
        <v>UN</v>
      </c>
      <c r="F1231" s="385">
        <v>4</v>
      </c>
      <c r="G1231" s="299">
        <f>IFERROR(VLOOKUP($C1231,'24.08_ND'!$A:$D,4,0),)</f>
        <v>2.29</v>
      </c>
      <c r="H1231" s="300">
        <f t="shared" si="47"/>
        <v>9.16</v>
      </c>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row>
    <row r="1232" spans="1:31" ht="25.5">
      <c r="A1232" s="643" t="s">
        <v>14479</v>
      </c>
      <c r="B1232" s="312" t="str">
        <f>VLOOKUP($C1232,'• CIs EXT'!$A:$E,2,0)</f>
        <v>SUDECAP</v>
      </c>
      <c r="C1232" s="591" t="s">
        <v>14928</v>
      </c>
      <c r="D1232" s="378" t="str">
        <f>VLOOKUP($C1232,'• CIs EXT'!$A:$E,3,0)</f>
        <v>TUBO AÇO GALVANIZADO INDUSTRIAL REDONDO DN 3" (76,20 MM) E=2,00MM, NBR 6591</v>
      </c>
      <c r="E1232" s="379" t="str">
        <f>VLOOKUP($C1232,'• CIs EXT'!$A:$E,4,0)</f>
        <v>M</v>
      </c>
      <c r="F1232" s="380">
        <v>1.2</v>
      </c>
      <c r="G1232" s="379">
        <f>VLOOKUP($C1232,'• CIs EXT'!$A:$E,5,0)</f>
        <v>30.75</v>
      </c>
      <c r="H1232" s="381">
        <f t="shared" si="47"/>
        <v>36.9</v>
      </c>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row>
    <row r="1233" spans="1:33" ht="25.5">
      <c r="A1233" s="643" t="s">
        <v>14479</v>
      </c>
      <c r="B1233" s="312" t="str">
        <f>VLOOKUP($C1233,'• CIs EXT'!$A:$E,2,0)</f>
        <v>SUDECAP</v>
      </c>
      <c r="C1233" s="591" t="s">
        <v>14929</v>
      </c>
      <c r="D1233" s="378" t="str">
        <f>VLOOKUP($C1233,'• CIs EXT'!$A:$E,3,0)</f>
        <v>TUBO AÇO GALVANIZADO INDUSTRIAL REDONDO DN 2" (50.80 MM) E=2,00MM, NBR 6591</v>
      </c>
      <c r="E1233" s="379" t="str">
        <f>VLOOKUP($C1233,'• CIs EXT'!$A:$E,4,0)</f>
        <v>M</v>
      </c>
      <c r="F1233" s="380">
        <f>1.1*3</f>
        <v>3.3000000000000003</v>
      </c>
      <c r="G1233" s="379">
        <f>VLOOKUP($C1233,'• CIs EXT'!$A:$E,5,0)</f>
        <v>20.22</v>
      </c>
      <c r="H1233" s="381">
        <f t="shared" si="47"/>
        <v>66.72</v>
      </c>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row>
    <row r="1234" spans="1:33" ht="12.75">
      <c r="A1234" s="309"/>
      <c r="B1234" s="303"/>
      <c r="C1234" s="303"/>
      <c r="D1234" s="310"/>
      <c r="E1234" s="303"/>
      <c r="F1234" s="306"/>
      <c r="G1234" s="307"/>
      <c r="H1234" s="308"/>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row>
    <row r="1235" spans="1:33" ht="25.5">
      <c r="A1235" s="358" t="s">
        <v>14471</v>
      </c>
      <c r="B1235" s="359" t="s">
        <v>14472</v>
      </c>
      <c r="C1235" s="585" t="s">
        <v>14930</v>
      </c>
      <c r="D1235" s="361" t="s">
        <v>14931</v>
      </c>
      <c r="E1235" s="359" t="s">
        <v>409</v>
      </c>
      <c r="F1235" s="362"/>
      <c r="G1235" s="362"/>
      <c r="H1235" s="363">
        <f>TRUNC(SUM(H1237:H1241),2)</f>
        <v>146.4</v>
      </c>
      <c r="I1235" s="276">
        <f>COUNTIF($C$8:$C1235,C:C)</f>
        <v>1</v>
      </c>
      <c r="J1235" s="262"/>
      <c r="K1235" s="262"/>
      <c r="L1235" s="262"/>
      <c r="M1235" s="262"/>
      <c r="N1235" s="262"/>
      <c r="O1235" s="262"/>
      <c r="P1235" s="262"/>
      <c r="Q1235" s="262"/>
      <c r="R1235" s="262"/>
      <c r="S1235" s="262"/>
      <c r="T1235" s="262"/>
      <c r="U1235" s="262"/>
      <c r="V1235" s="262"/>
      <c r="W1235" s="262"/>
      <c r="X1235" s="262"/>
      <c r="Y1235" s="262"/>
      <c r="Z1235" s="262"/>
      <c r="AA1235" s="262"/>
      <c r="AB1235" s="262"/>
    </row>
    <row r="1236" spans="1:33" ht="12.75">
      <c r="A1236" s="364" t="s">
        <v>14475</v>
      </c>
      <c r="B1236" s="403" t="s">
        <v>14476</v>
      </c>
      <c r="C1236" s="404">
        <v>87263</v>
      </c>
      <c r="D1236" s="367" t="s">
        <v>14587</v>
      </c>
      <c r="E1236" s="405"/>
      <c r="F1236" s="642"/>
      <c r="G1236" s="370"/>
      <c r="H1236" s="371"/>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row>
    <row r="1237" spans="1:33" ht="25.5">
      <c r="A1237" s="372" t="s">
        <v>14478</v>
      </c>
      <c r="B1237" s="421" t="s">
        <v>14476</v>
      </c>
      <c r="C1237" s="374">
        <v>88256</v>
      </c>
      <c r="D1237" s="593" t="str">
        <f>IFERROR(VLOOKUP($C1237,'24.08_ND'!$A:$D,2,0),)</f>
        <v>AZULEJISTA OU LADRILHISTA COM ENCARGOS COMPLEMENTARES</v>
      </c>
      <c r="E1237" s="594" t="str">
        <f>IFERROR(VLOOKUP($C1237,'24.08_ND'!$A:$D,3,0),)</f>
        <v>H</v>
      </c>
      <c r="F1237" s="375">
        <v>0.52029999999999998</v>
      </c>
      <c r="G1237" s="595">
        <f>IFERROR(VLOOKUP($C1237,'24.08_ND'!$A:$D,4,0),)</f>
        <v>23.2</v>
      </c>
      <c r="H1237" s="440">
        <f>TRUNC(($F1237*$G1237),2)</f>
        <v>12.07</v>
      </c>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D1237" s="1791" t="e">
        <f>VLOOKUP(C1237,'Medição '!$B$16:$F$1833,6,0)</f>
        <v>#N/A</v>
      </c>
      <c r="AE1237" s="1791"/>
      <c r="AF1237" s="1792"/>
    </row>
    <row r="1238" spans="1:33" ht="25.5">
      <c r="A1238" s="372" t="s">
        <v>14478</v>
      </c>
      <c r="B1238" s="421" t="s">
        <v>14476</v>
      </c>
      <c r="C1238" s="374">
        <v>88316</v>
      </c>
      <c r="D1238" s="593" t="str">
        <f>IFERROR(VLOOKUP($C1238,'24.08_ND'!$A:$D,2,0),)</f>
        <v>SERVENTE COM ENCARGOS COMPLEMENTARES</v>
      </c>
      <c r="E1238" s="594" t="str">
        <f>IFERROR(VLOOKUP($C1238,'24.08_ND'!$A:$D,3,0),)</f>
        <v>H</v>
      </c>
      <c r="F1238" s="375">
        <v>0.16739999999999999</v>
      </c>
      <c r="G1238" s="595">
        <f>IFERROR(VLOOKUP($C1238,'24.08_ND'!$A:$D,4,0),)</f>
        <v>18.510000000000002</v>
      </c>
      <c r="H1238" s="440">
        <f>TRUNC(($F1238*$G1238),2)</f>
        <v>3.09</v>
      </c>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D1238" s="1791" t="e">
        <f>VLOOKUP(C1238,'Medição '!$B$16:$F$1833,6,0)</f>
        <v>#N/A</v>
      </c>
      <c r="AE1238" s="1791"/>
      <c r="AG1238" s="1790"/>
    </row>
    <row r="1239" spans="1:33" ht="12.75">
      <c r="A1239" s="581" t="s">
        <v>14479</v>
      </c>
      <c r="B1239" s="582" t="s">
        <v>14476</v>
      </c>
      <c r="C1239" s="447">
        <v>34357</v>
      </c>
      <c r="D1239" s="596" t="str">
        <f>IFERROR(VLOOKUP($C1239,'24.08_ND'!$A:$D,2,0),)</f>
        <v>REJUNTE CIMENTICIO, QUALQUER COR</v>
      </c>
      <c r="E1239" s="597" t="str">
        <f>IFERROR(VLOOKUP($C1239,'24.08_ND'!$A:$D,3,0),)</f>
        <v>KG</v>
      </c>
      <c r="F1239" s="385">
        <v>0.14099999999999999</v>
      </c>
      <c r="G1239" s="598">
        <f>IFERROR(VLOOKUP($C1239,'24.08_ND'!$A:$D,4,0),)</f>
        <v>6.41</v>
      </c>
      <c r="H1239" s="449">
        <f>TRUNC(($F1239*$G1239),2)</f>
        <v>0.9</v>
      </c>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row>
    <row r="1240" spans="1:33" ht="12.75">
      <c r="A1240" s="581" t="s">
        <v>14479</v>
      </c>
      <c r="B1240" s="582" t="s">
        <v>14476</v>
      </c>
      <c r="C1240" s="447">
        <v>37595</v>
      </c>
      <c r="D1240" s="596" t="str">
        <f>IFERROR(VLOOKUP($C1240,'24.08_ND'!$A:$D,2,0),)</f>
        <v>ARGAMASSA COLANTE TIPO AC III</v>
      </c>
      <c r="E1240" s="597" t="str">
        <f>IFERROR(VLOOKUP($C1240,'24.08_ND'!$A:$D,3,0),)</f>
        <v>KG</v>
      </c>
      <c r="F1240" s="385">
        <v>9.1300000000000008</v>
      </c>
      <c r="G1240" s="598">
        <f>IFERROR(VLOOKUP($C1240,'24.08_ND'!$A:$D,4,0),)</f>
        <v>3.36</v>
      </c>
      <c r="H1240" s="449">
        <f>TRUNC(($F1240*$G1240),2)</f>
        <v>30.67</v>
      </c>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E1240">
        <f>12*20</f>
        <v>240</v>
      </c>
      <c r="AF1240" s="1790">
        <f>AE1240*G1240</f>
        <v>806.4</v>
      </c>
    </row>
    <row r="1241" spans="1:33" ht="25.5">
      <c r="A1241" s="581" t="s">
        <v>14479</v>
      </c>
      <c r="B1241" s="582" t="s">
        <v>14476</v>
      </c>
      <c r="C1241" s="447">
        <v>38195</v>
      </c>
      <c r="D1241" s="596" t="str">
        <f>IFERROR(VLOOKUP($C1241,'24.08_ND'!$A:$D,2,0),)</f>
        <v>PISO EM PORCELANATO, BORDA RETA, LISO, MONOCOLOR, ACETINADO OU POLIDO, FORMATO MAIOR QUE 2025 CM2</v>
      </c>
      <c r="E1241" s="597" t="str">
        <f>IFERROR(VLOOKUP($C1241,'24.08_ND'!$A:$D,3,0),)</f>
        <v>M2</v>
      </c>
      <c r="F1241" s="385">
        <v>1.069</v>
      </c>
      <c r="G1241" s="598">
        <f>IFERROR(VLOOKUP($C1241,'24.08_ND'!$A:$D,4,0),)</f>
        <v>93.24</v>
      </c>
      <c r="H1241" s="449">
        <f>TRUNC(($F1241*$G1241),2)</f>
        <v>99.67</v>
      </c>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E1241">
        <v>50.75</v>
      </c>
      <c r="AF1241" s="1790">
        <f>AE1241*G1241</f>
        <v>4731.9299999999994</v>
      </c>
    </row>
    <row r="1242" spans="1:33" ht="12.75">
      <c r="A1242" s="309"/>
      <c r="B1242" s="303"/>
      <c r="C1242" s="303"/>
      <c r="D1242" s="310"/>
      <c r="E1242" s="303"/>
      <c r="F1242" s="306"/>
      <c r="G1242" s="307"/>
      <c r="H1242" s="308"/>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F1242" s="1790">
        <f>SUM(AF1240:AF1241)</f>
        <v>5538.329999999999</v>
      </c>
    </row>
    <row r="1243" spans="1:33" ht="25.5">
      <c r="A1243" s="358" t="s">
        <v>14471</v>
      </c>
      <c r="B1243" s="359" t="s">
        <v>14472</v>
      </c>
      <c r="C1243" s="585" t="s">
        <v>14932</v>
      </c>
      <c r="D1243" s="361" t="s">
        <v>14933</v>
      </c>
      <c r="E1243" s="359" t="s">
        <v>409</v>
      </c>
      <c r="F1243" s="362"/>
      <c r="G1243" s="362"/>
      <c r="H1243" s="363">
        <f>TRUNC(SUM(H1245:H1249),2)</f>
        <v>133.56</v>
      </c>
      <c r="I1243" s="276">
        <f>COUNTIF($C$8:$C1243,C:C)</f>
        <v>1</v>
      </c>
      <c r="J1243" s="262"/>
      <c r="K1243" s="262"/>
      <c r="L1243" s="262"/>
      <c r="M1243" s="262"/>
      <c r="N1243" s="262"/>
      <c r="O1243" s="262"/>
      <c r="P1243" s="262"/>
      <c r="Q1243" s="262"/>
      <c r="R1243" s="262"/>
      <c r="S1243" s="262"/>
      <c r="T1243" s="262"/>
      <c r="U1243" s="262"/>
      <c r="V1243" s="262"/>
      <c r="W1243" s="262"/>
      <c r="X1243" s="262"/>
      <c r="Y1243" s="262"/>
      <c r="Z1243" s="262"/>
      <c r="AA1243" s="262"/>
      <c r="AB1243" s="262"/>
    </row>
    <row r="1244" spans="1:33" ht="12.75">
      <c r="A1244" s="364" t="s">
        <v>14475</v>
      </c>
      <c r="B1244" s="403" t="s">
        <v>14600</v>
      </c>
      <c r="C1244" s="404">
        <v>12443</v>
      </c>
      <c r="D1244" s="367" t="s">
        <v>14567</v>
      </c>
      <c r="E1244" s="405"/>
      <c r="F1244" s="642"/>
      <c r="G1244" s="370"/>
      <c r="H1244" s="371"/>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row>
    <row r="1245" spans="1:33" ht="25.5">
      <c r="A1245" s="372" t="s">
        <v>14478</v>
      </c>
      <c r="B1245" s="421" t="s">
        <v>14476</v>
      </c>
      <c r="C1245" s="374">
        <v>88256</v>
      </c>
      <c r="D1245" s="593" t="str">
        <f>IFERROR(VLOOKUP($C1245,'24.08_ND'!$A:$D,2,0),)</f>
        <v>AZULEJISTA OU LADRILHISTA COM ENCARGOS COMPLEMENTARES</v>
      </c>
      <c r="E1245" s="594" t="str">
        <f>IFERROR(VLOOKUP($C1245,'24.08_ND'!$A:$D,3,0),)</f>
        <v>H</v>
      </c>
      <c r="F1245" s="375">
        <v>0.4</v>
      </c>
      <c r="G1245" s="595">
        <f>IFERROR(VLOOKUP($C1245,'24.08_ND'!$A:$D,4,0),)</f>
        <v>23.2</v>
      </c>
      <c r="H1245" s="440">
        <f>TRUNC(($F1245*$G1245),2)</f>
        <v>9.2799999999999994</v>
      </c>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D1245" s="1791" t="e">
        <f>VLOOKUP(C1245,'Medição '!$B$16:$F$1833,6,0)</f>
        <v>#N/A</v>
      </c>
      <c r="AE1245" s="1791"/>
    </row>
    <row r="1246" spans="1:33" ht="25.5">
      <c r="A1246" s="372" t="s">
        <v>14478</v>
      </c>
      <c r="B1246" s="421" t="s">
        <v>14476</v>
      </c>
      <c r="C1246" s="374">
        <v>88316</v>
      </c>
      <c r="D1246" s="593" t="str">
        <f>IFERROR(VLOOKUP($C1246,'24.08_ND'!$A:$D,2,0),)</f>
        <v>SERVENTE COM ENCARGOS COMPLEMENTARES</v>
      </c>
      <c r="E1246" s="594" t="str">
        <f>IFERROR(VLOOKUP($C1246,'24.08_ND'!$A:$D,3,0),)</f>
        <v>H</v>
      </c>
      <c r="F1246" s="375">
        <v>0.34</v>
      </c>
      <c r="G1246" s="595">
        <f>IFERROR(VLOOKUP($C1246,'24.08_ND'!$A:$D,4,0),)</f>
        <v>18.510000000000002</v>
      </c>
      <c r="H1246" s="440">
        <f>TRUNC(($F1246*$G1246),2)</f>
        <v>6.29</v>
      </c>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D1246" s="1791" t="e">
        <f>VLOOKUP(C1246,'Medição '!$B$16:$F$1833,6,0)</f>
        <v>#N/A</v>
      </c>
      <c r="AE1246" s="1791"/>
    </row>
    <row r="1247" spans="1:33" ht="12.75">
      <c r="A1247" s="581" t="s">
        <v>14479</v>
      </c>
      <c r="B1247" s="582" t="s">
        <v>14476</v>
      </c>
      <c r="C1247" s="447">
        <v>34357</v>
      </c>
      <c r="D1247" s="596" t="str">
        <f>IFERROR(VLOOKUP($C1247,'24.08_ND'!$A:$D,2,0),)</f>
        <v>REJUNTE CIMENTICIO, QUALQUER COR</v>
      </c>
      <c r="E1247" s="597" t="str">
        <f>IFERROR(VLOOKUP($C1247,'24.08_ND'!$A:$D,3,0),)</f>
        <v>KG</v>
      </c>
      <c r="F1247" s="385">
        <v>0.66</v>
      </c>
      <c r="G1247" s="598">
        <f>IFERROR(VLOOKUP($C1247,'24.08_ND'!$A:$D,4,0),)</f>
        <v>6.41</v>
      </c>
      <c r="H1247" s="449">
        <f>TRUNC(($F1247*$G1247),2)</f>
        <v>4.2300000000000004</v>
      </c>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row>
    <row r="1248" spans="1:33" ht="12.75">
      <c r="A1248" s="581" t="s">
        <v>14479</v>
      </c>
      <c r="B1248" s="582" t="s">
        <v>14476</v>
      </c>
      <c r="C1248" s="447">
        <v>37595</v>
      </c>
      <c r="D1248" s="596" t="str">
        <f>IFERROR(VLOOKUP($C1248,'24.08_ND'!$A:$D,2,0),)</f>
        <v>ARGAMASSA COLANTE TIPO AC III</v>
      </c>
      <c r="E1248" s="597" t="str">
        <f>IFERROR(VLOOKUP($C1248,'24.08_ND'!$A:$D,3,0),)</f>
        <v>KG</v>
      </c>
      <c r="F1248" s="385">
        <v>4</v>
      </c>
      <c r="G1248" s="598">
        <f>IFERROR(VLOOKUP($C1248,'24.08_ND'!$A:$D,4,0),)</f>
        <v>3.36</v>
      </c>
      <c r="H1248" s="449">
        <f>TRUNC(($F1248*$G1248),2)</f>
        <v>13.44</v>
      </c>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row>
    <row r="1249" spans="1:33" ht="12.75">
      <c r="A1249" s="643" t="s">
        <v>14479</v>
      </c>
      <c r="B1249" s="312" t="str">
        <f>VLOOKUP($C1249,'• CIs EXT'!$A:$E,2,0)</f>
        <v>ORSE</v>
      </c>
      <c r="C1249" s="591">
        <v>13254</v>
      </c>
      <c r="D1249" s="378" t="str">
        <f>VLOOKUP($C1249,'• CIs EXT'!$A:$E,3,0)</f>
        <v>CERÂMICA 10 X 20 CM, BRILHANTE, ELIANE, LINHA METRÔ WHITE OU SIMILAR</v>
      </c>
      <c r="E1249" s="379" t="str">
        <f>VLOOKUP($C1249,'• CIs EXT'!$A:$E,4,0)</f>
        <v>M2</v>
      </c>
      <c r="F1249" s="380">
        <v>1.05</v>
      </c>
      <c r="G1249" s="379">
        <f>VLOOKUP($C1249,'• CIs EXT'!$A:$E,5,0)</f>
        <v>95.55</v>
      </c>
      <c r="H1249" s="381">
        <f>TRUNC(($F1249*$G1249),2)</f>
        <v>100.32</v>
      </c>
      <c r="I1249" s="262"/>
      <c r="J1249" s="262"/>
      <c r="K1249" s="262"/>
      <c r="L1249" s="262"/>
      <c r="M1249" s="262"/>
      <c r="N1249" s="262"/>
      <c r="O1249" s="262"/>
      <c r="P1249" s="262"/>
      <c r="Q1249" s="262"/>
      <c r="R1249" s="262"/>
      <c r="S1249" s="262"/>
      <c r="T1249" s="262"/>
      <c r="U1249" s="262"/>
      <c r="V1249" s="262"/>
      <c r="W1249" s="262"/>
      <c r="X1249" s="262"/>
      <c r="Y1249" s="262"/>
      <c r="Z1249" s="262"/>
      <c r="AA1249" s="262"/>
      <c r="AB1249" s="262"/>
      <c r="AE1249" s="1790">
        <f>H1249*3</f>
        <v>300.95999999999998</v>
      </c>
    </row>
    <row r="1250" spans="1:33" ht="12.75">
      <c r="A1250" s="309"/>
      <c r="B1250" s="303"/>
      <c r="C1250" s="303"/>
      <c r="D1250" s="310"/>
      <c r="E1250" s="303"/>
      <c r="F1250" s="306"/>
      <c r="G1250" s="307"/>
      <c r="H1250" s="308"/>
      <c r="I1250" s="262"/>
      <c r="J1250" s="262"/>
      <c r="K1250" s="262"/>
      <c r="L1250" s="262"/>
      <c r="M1250" s="262"/>
      <c r="N1250" s="262"/>
      <c r="O1250" s="262"/>
      <c r="P1250" s="262"/>
      <c r="Q1250" s="262"/>
      <c r="R1250" s="262"/>
      <c r="S1250" s="262"/>
      <c r="T1250" s="262"/>
      <c r="U1250" s="262"/>
      <c r="V1250" s="262"/>
      <c r="W1250" s="262"/>
      <c r="X1250" s="262"/>
      <c r="Y1250" s="262"/>
      <c r="Z1250" s="262"/>
      <c r="AA1250" s="262"/>
      <c r="AB1250" s="262"/>
    </row>
    <row r="1251" spans="1:33" ht="25.5">
      <c r="A1251" s="358" t="s">
        <v>14471</v>
      </c>
      <c r="B1251" s="359" t="s">
        <v>14472</v>
      </c>
      <c r="C1251" s="585" t="s">
        <v>14934</v>
      </c>
      <c r="D1251" s="361" t="s">
        <v>14935</v>
      </c>
      <c r="E1251" s="359" t="s">
        <v>50</v>
      </c>
      <c r="F1251" s="362"/>
      <c r="G1251" s="362"/>
      <c r="H1251" s="363">
        <f>TRUNC(SUM(H1253:H1257),2)</f>
        <v>83.25</v>
      </c>
      <c r="I1251" s="276">
        <f>COUNTIF($C$8:$C1251,C:C)</f>
        <v>1</v>
      </c>
      <c r="J1251" s="262"/>
      <c r="K1251" s="262"/>
      <c r="L1251" s="262"/>
      <c r="M1251" s="262"/>
      <c r="N1251" s="262"/>
      <c r="O1251" s="262"/>
      <c r="P1251" s="262"/>
      <c r="Q1251" s="262"/>
      <c r="R1251" s="262"/>
      <c r="S1251" s="262"/>
      <c r="T1251" s="262"/>
      <c r="U1251" s="262"/>
      <c r="V1251" s="262"/>
      <c r="W1251" s="262"/>
      <c r="X1251" s="262"/>
      <c r="Y1251" s="262"/>
      <c r="Z1251" s="262"/>
      <c r="AA1251" s="262"/>
      <c r="AB1251" s="262"/>
    </row>
    <row r="1252" spans="1:33" ht="12.75">
      <c r="A1252" s="364" t="s">
        <v>14475</v>
      </c>
      <c r="B1252" s="403" t="s">
        <v>14600</v>
      </c>
      <c r="C1252" s="404">
        <v>12443</v>
      </c>
      <c r="D1252" s="367" t="s">
        <v>14567</v>
      </c>
      <c r="E1252" s="405"/>
      <c r="F1252" s="642"/>
      <c r="G1252" s="370"/>
      <c r="H1252" s="371"/>
      <c r="I1252" s="262"/>
      <c r="J1252" s="262"/>
      <c r="K1252" s="262"/>
      <c r="L1252" s="262"/>
      <c r="M1252" s="262"/>
      <c r="N1252" s="262"/>
      <c r="O1252" s="262"/>
      <c r="P1252" s="262"/>
      <c r="Q1252" s="262"/>
      <c r="R1252" s="262"/>
      <c r="S1252" s="262"/>
      <c r="T1252" s="262"/>
      <c r="U1252" s="262"/>
      <c r="V1252" s="262"/>
      <c r="W1252" s="262"/>
      <c r="X1252" s="262"/>
      <c r="Y1252" s="262"/>
      <c r="Z1252" s="262"/>
      <c r="AA1252" s="262"/>
      <c r="AB1252" s="262"/>
    </row>
    <row r="1253" spans="1:33" ht="25.5">
      <c r="A1253" s="372" t="s">
        <v>14478</v>
      </c>
      <c r="B1253" s="421" t="s">
        <v>14476</v>
      </c>
      <c r="C1253" s="374">
        <v>88274</v>
      </c>
      <c r="D1253" s="593" t="str">
        <f>IFERROR(VLOOKUP($C1253,'24.08_ND'!$A:$D,2,0),)</f>
        <v>MARMORISTA/GRANITEIRO COM ENCARGOS COMPLEMENTARES</v>
      </c>
      <c r="E1253" s="594" t="str">
        <f>IFERROR(VLOOKUP($C1253,'24.08_ND'!$A:$D,3,0),)</f>
        <v>H</v>
      </c>
      <c r="F1253" s="375">
        <v>0.44850000000000001</v>
      </c>
      <c r="G1253" s="595">
        <f>IFERROR(VLOOKUP($C1253,'24.08_ND'!$A:$D,4,0),)</f>
        <v>23.2</v>
      </c>
      <c r="H1253" s="440">
        <f>TRUNC(($F1253*$G1253),2)</f>
        <v>10.4</v>
      </c>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D1253" s="1791" t="e">
        <f>VLOOKUP(C1253,'Medição '!$B$16:$F$1833,6,0)</f>
        <v>#N/A</v>
      </c>
      <c r="AE1253" s="1791"/>
    </row>
    <row r="1254" spans="1:33" ht="25.5">
      <c r="A1254" s="372" t="s">
        <v>14478</v>
      </c>
      <c r="B1254" s="421" t="s">
        <v>14476</v>
      </c>
      <c r="C1254" s="374">
        <v>88316</v>
      </c>
      <c r="D1254" s="593" t="str">
        <f>IFERROR(VLOOKUP($C1254,'24.08_ND'!$A:$D,2,0),)</f>
        <v>SERVENTE COM ENCARGOS COMPLEMENTARES</v>
      </c>
      <c r="E1254" s="594" t="str">
        <f>IFERROR(VLOOKUP($C1254,'24.08_ND'!$A:$D,3,0),)</f>
        <v>H</v>
      </c>
      <c r="F1254" s="375">
        <v>0.22500000000000001</v>
      </c>
      <c r="G1254" s="595">
        <f>IFERROR(VLOOKUP($C1254,'24.08_ND'!$A:$D,4,0),)</f>
        <v>18.510000000000002</v>
      </c>
      <c r="H1254" s="440">
        <f>TRUNC(($F1254*$G1254),2)</f>
        <v>4.16</v>
      </c>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D1254" s="1791" t="e">
        <f>VLOOKUP(C1254,'Medição '!$B$16:$F$1833,6,0)</f>
        <v>#N/A</v>
      </c>
      <c r="AE1254" s="1791"/>
    </row>
    <row r="1255" spans="1:33" ht="12.75">
      <c r="A1255" s="581" t="s">
        <v>14479</v>
      </c>
      <c r="B1255" s="582" t="s">
        <v>14476</v>
      </c>
      <c r="C1255" s="447">
        <v>37595</v>
      </c>
      <c r="D1255" s="596" t="str">
        <f>IFERROR(VLOOKUP($C1255,'24.08_ND'!$A:$D,2,0),)</f>
        <v>ARGAMASSA COLANTE TIPO AC III</v>
      </c>
      <c r="E1255" s="597" t="str">
        <f>IFERROR(VLOOKUP($C1255,'24.08_ND'!$A:$D,3,0),)</f>
        <v>KG</v>
      </c>
      <c r="F1255" s="385">
        <v>1.2921</v>
      </c>
      <c r="G1255" s="598">
        <f>IFERROR(VLOOKUP($C1255,'24.08_ND'!$A:$D,4,0),)</f>
        <v>3.36</v>
      </c>
      <c r="H1255" s="449">
        <f>TRUNC(($F1255*$G1255),2)</f>
        <v>4.34</v>
      </c>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row>
    <row r="1256" spans="1:33" ht="12.75">
      <c r="A1256" s="581" t="s">
        <v>14479</v>
      </c>
      <c r="B1256" s="582" t="s">
        <v>14476</v>
      </c>
      <c r="C1256" s="447">
        <v>34357</v>
      </c>
      <c r="D1256" s="596" t="str">
        <f>IFERROR(VLOOKUP($C1256,'24.08_ND'!$A:$D,2,0),)</f>
        <v>REJUNTE CIMENTICIO, QUALQUER COR</v>
      </c>
      <c r="E1256" s="597" t="str">
        <f>IFERROR(VLOOKUP($C1256,'24.08_ND'!$A:$D,3,0),)</f>
        <v>KG</v>
      </c>
      <c r="F1256" s="385">
        <v>0.18</v>
      </c>
      <c r="G1256" s="598">
        <f>IFERROR(VLOOKUP($C1256,'24.08_ND'!$A:$D,4,0),)</f>
        <v>6.41</v>
      </c>
      <c r="H1256" s="449">
        <f>TRUNC(($F1256*$G1256),2)</f>
        <v>1.1499999999999999</v>
      </c>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row>
    <row r="1257" spans="1:33" ht="25.5">
      <c r="A1257" s="581" t="s">
        <v>14479</v>
      </c>
      <c r="B1257" s="582" t="s">
        <v>14476</v>
      </c>
      <c r="C1257" s="447">
        <v>10842</v>
      </c>
      <c r="D1257" s="596" t="str">
        <f>IFERROR(VLOOKUP($C1257,'24.08_ND'!$A:$D,2,0),)</f>
        <v>PISO EM GRANITO, POLIDO, TIPO PRETO SAO GABRIEL/ TIJUCA OU OUTROS EQUIVALENTES DA REGIAO, FORMATO MENOR OU IGUAL A 3025 CM2, E= *2* CM</v>
      </c>
      <c r="E1257" s="597" t="str">
        <f>IFERROR(VLOOKUP($C1257,'24.08_ND'!$A:$D,3,0),)</f>
        <v>M2</v>
      </c>
      <c r="F1257" s="385">
        <f>0.15*1.015</f>
        <v>0.15224999999999997</v>
      </c>
      <c r="G1257" s="598">
        <f>IFERROR(VLOOKUP($C1257,'24.08_ND'!$A:$D,4,0),)</f>
        <v>415.12</v>
      </c>
      <c r="H1257" s="449">
        <f>TRUNC(($F1257*$G1257),2)</f>
        <v>63.2</v>
      </c>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F1257">
        <f>1.57*0.15*3</f>
        <v>0.70649999999999991</v>
      </c>
      <c r="AG1257" s="1790">
        <f>AF1257*H1257</f>
        <v>44.650799999999997</v>
      </c>
    </row>
    <row r="1258" spans="1:33" ht="12.75">
      <c r="A1258" s="415"/>
      <c r="B1258" s="416"/>
      <c r="C1258" s="416"/>
      <c r="D1258" s="416"/>
      <c r="E1258" s="416"/>
      <c r="F1258" s="645"/>
      <c r="G1258" s="418"/>
      <c r="H1258" s="419"/>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row>
    <row r="1259" spans="1:33" ht="12.75">
      <c r="A1259" s="358" t="s">
        <v>14471</v>
      </c>
      <c r="B1259" s="359" t="s">
        <v>14472</v>
      </c>
      <c r="C1259" s="360" t="s">
        <v>14936</v>
      </c>
      <c r="D1259" s="361" t="s">
        <v>14937</v>
      </c>
      <c r="E1259" s="359" t="s">
        <v>409</v>
      </c>
      <c r="F1259" s="362"/>
      <c r="G1259" s="362"/>
      <c r="H1259" s="363">
        <f>TRUNC(SUM(H1261:H1263),2)</f>
        <v>14.5</v>
      </c>
      <c r="I1259" s="276">
        <f>COUNTIF($C$8:$C1259,C:C)</f>
        <v>1</v>
      </c>
      <c r="J1259" s="262"/>
      <c r="K1259" s="262"/>
      <c r="L1259" s="262"/>
      <c r="M1259" s="262"/>
      <c r="N1259" s="262"/>
      <c r="O1259" s="262"/>
      <c r="P1259" s="262"/>
      <c r="Q1259" s="262"/>
      <c r="R1259" s="262"/>
      <c r="S1259" s="262"/>
      <c r="T1259" s="262"/>
      <c r="U1259" s="262"/>
      <c r="V1259" s="262"/>
      <c r="W1259" s="262"/>
      <c r="X1259" s="262"/>
      <c r="Y1259" s="262"/>
      <c r="Z1259" s="262"/>
      <c r="AA1259" s="262"/>
      <c r="AB1259" s="262"/>
    </row>
    <row r="1260" spans="1:33" ht="12.75">
      <c r="A1260" s="646" t="s">
        <v>14475</v>
      </c>
      <c r="B1260" s="403" t="s">
        <v>14476</v>
      </c>
      <c r="C1260" s="404">
        <v>104640</v>
      </c>
      <c r="D1260" s="367" t="s">
        <v>14587</v>
      </c>
      <c r="E1260" s="405"/>
      <c r="F1260" s="642"/>
      <c r="G1260" s="370"/>
      <c r="H1260" s="371"/>
      <c r="I1260" s="262"/>
      <c r="J1260" s="262"/>
      <c r="K1260" s="262"/>
      <c r="L1260" s="262"/>
      <c r="M1260" s="262"/>
      <c r="N1260" s="262"/>
      <c r="O1260" s="262"/>
      <c r="P1260" s="262"/>
      <c r="Q1260" s="262"/>
      <c r="R1260" s="262"/>
      <c r="S1260" s="262"/>
      <c r="T1260" s="262"/>
      <c r="U1260" s="262"/>
      <c r="V1260" s="262"/>
      <c r="W1260" s="262"/>
      <c r="X1260" s="262"/>
      <c r="Y1260" s="262"/>
      <c r="Z1260" s="262"/>
      <c r="AA1260" s="262"/>
      <c r="AB1260" s="262"/>
    </row>
    <row r="1261" spans="1:33" ht="25.5">
      <c r="A1261" s="372" t="s">
        <v>14478</v>
      </c>
      <c r="B1261" s="421" t="s">
        <v>14476</v>
      </c>
      <c r="C1261" s="374">
        <v>88310</v>
      </c>
      <c r="D1261" s="593" t="str">
        <f>IFERROR(VLOOKUP($C1261,'24.08_ND'!$A:$D,2,0),)</f>
        <v>PINTOR COM ENCARGOS COMPLEMENTARES</v>
      </c>
      <c r="E1261" s="647" t="str">
        <f>IFERROR(VLOOKUP($C1261,'24.08_ND'!$A:$D,3,0),)</f>
        <v>H</v>
      </c>
      <c r="F1261" s="375">
        <v>0.22700000000000001</v>
      </c>
      <c r="G1261" s="595">
        <f>IFERROR(VLOOKUP($C1261,'24.08_ND'!$A:$D,4,0),)</f>
        <v>24.69</v>
      </c>
      <c r="H1261" s="440">
        <f>TRUNC(($F1261*$G1261),2)</f>
        <v>5.6</v>
      </c>
      <c r="I1261" s="262"/>
      <c r="J1261" s="262"/>
      <c r="K1261" s="262"/>
      <c r="L1261" s="262"/>
      <c r="M1261" s="262"/>
      <c r="N1261" s="262"/>
      <c r="O1261" s="262"/>
      <c r="P1261" s="262"/>
      <c r="Q1261" s="262"/>
      <c r="R1261" s="262"/>
      <c r="S1261" s="262"/>
      <c r="T1261" s="262"/>
      <c r="U1261" s="262"/>
      <c r="V1261" s="262"/>
      <c r="W1261" s="262"/>
      <c r="X1261" s="262"/>
      <c r="Y1261" s="262"/>
      <c r="Z1261" s="262"/>
      <c r="AA1261" s="262"/>
      <c r="AB1261" s="262"/>
      <c r="AD1261" s="1791" t="e">
        <f>VLOOKUP(C1261,'Medição '!$B$16:$F$1833,6,0)</f>
        <v>#N/A</v>
      </c>
      <c r="AE1261" s="1791"/>
    </row>
    <row r="1262" spans="1:33" ht="25.5">
      <c r="A1262" s="372" t="s">
        <v>14478</v>
      </c>
      <c r="B1262" s="421" t="s">
        <v>14476</v>
      </c>
      <c r="C1262" s="374">
        <v>88316</v>
      </c>
      <c r="D1262" s="593" t="str">
        <f>IFERROR(VLOOKUP($C1262,'24.08_ND'!$A:$D,2,0),)</f>
        <v>SERVENTE COM ENCARGOS COMPLEMENTARES</v>
      </c>
      <c r="E1262" s="594" t="str">
        <f>IFERROR(VLOOKUP($C1262,'24.08_ND'!$A:$D,3,0),)</f>
        <v>H</v>
      </c>
      <c r="F1262" s="375">
        <v>7.5700000000000003E-2</v>
      </c>
      <c r="G1262" s="595">
        <f>IFERROR(VLOOKUP($C1262,'24.08_ND'!$A:$D,4,0),)</f>
        <v>18.510000000000002</v>
      </c>
      <c r="H1262" s="440">
        <f>TRUNC(($F1262*$G1262),2)</f>
        <v>1.4</v>
      </c>
      <c r="I1262" s="262"/>
      <c r="J1262" s="262"/>
      <c r="K1262" s="262"/>
      <c r="L1262" s="262"/>
      <c r="M1262" s="262"/>
      <c r="N1262" s="262"/>
      <c r="O1262" s="262"/>
      <c r="P1262" s="262"/>
      <c r="Q1262" s="262"/>
      <c r="R1262" s="262"/>
      <c r="S1262" s="262"/>
      <c r="T1262" s="262"/>
      <c r="U1262" s="262"/>
      <c r="V1262" s="262"/>
      <c r="W1262" s="262"/>
      <c r="X1262" s="262"/>
      <c r="Y1262" s="262"/>
      <c r="Z1262" s="262"/>
      <c r="AA1262" s="262"/>
      <c r="AB1262" s="262"/>
      <c r="AD1262" s="1791" t="e">
        <f>VLOOKUP(C1262,'Medição '!$B$16:$F$1833,6,0)</f>
        <v>#N/A</v>
      </c>
      <c r="AE1262" s="1791"/>
    </row>
    <row r="1263" spans="1:33" ht="12.75">
      <c r="A1263" s="445" t="s">
        <v>14479</v>
      </c>
      <c r="B1263" s="446" t="s">
        <v>14476</v>
      </c>
      <c r="C1263" s="447">
        <v>43624</v>
      </c>
      <c r="D1263" s="596" t="str">
        <f>IFERROR(VLOOKUP($C1263,'24.08_ND'!$A:$D,2,0),)</f>
        <v>TINTA LATEX ACRILICA SUPER PREMIUM, COR BRANCO FOSCO</v>
      </c>
      <c r="E1263" s="597" t="str">
        <f>IFERROR(VLOOKUP($C1263,'24.08_ND'!$A:$D,3,0),)</f>
        <v>L</v>
      </c>
      <c r="F1263" s="385">
        <v>0.23669999999999999</v>
      </c>
      <c r="G1263" s="598">
        <f>IFERROR(VLOOKUP($C1263,'24.08_ND'!$A:$D,4,0),)</f>
        <v>31.71</v>
      </c>
      <c r="H1263" s="449">
        <f>TRUNC(($F1263*$G1263),2)</f>
        <v>7.5</v>
      </c>
      <c r="I1263" s="262"/>
      <c r="J1263" s="262"/>
      <c r="K1263" s="262"/>
      <c r="L1263" s="262"/>
      <c r="M1263" s="262"/>
      <c r="N1263" s="262"/>
      <c r="O1263" s="262"/>
      <c r="P1263" s="262"/>
      <c r="Q1263" s="262"/>
      <c r="R1263" s="262"/>
      <c r="S1263" s="262"/>
      <c r="T1263" s="262"/>
      <c r="U1263" s="262"/>
      <c r="V1263" s="262"/>
      <c r="W1263" s="262"/>
      <c r="X1263" s="262"/>
      <c r="Y1263" s="262"/>
      <c r="Z1263" s="262"/>
      <c r="AA1263" s="262"/>
      <c r="AB1263" s="262"/>
    </row>
    <row r="1264" spans="1:33" ht="12.75">
      <c r="A1264" s="415"/>
      <c r="B1264" s="416"/>
      <c r="C1264" s="416"/>
      <c r="D1264" s="416"/>
      <c r="E1264" s="416"/>
      <c r="F1264" s="645"/>
      <c r="G1264" s="418"/>
      <c r="H1264" s="419"/>
      <c r="I1264" s="262"/>
      <c r="J1264" s="262"/>
      <c r="K1264" s="262"/>
      <c r="L1264" s="262"/>
      <c r="M1264" s="262"/>
      <c r="N1264" s="262"/>
      <c r="O1264" s="262"/>
      <c r="P1264" s="262"/>
      <c r="Q1264" s="262"/>
      <c r="R1264" s="262"/>
      <c r="S1264" s="262"/>
      <c r="T1264" s="262"/>
      <c r="U1264" s="262"/>
      <c r="V1264" s="262"/>
      <c r="W1264" s="262"/>
      <c r="X1264" s="262"/>
      <c r="Y1264" s="262"/>
      <c r="Z1264" s="262"/>
      <c r="AA1264" s="262"/>
      <c r="AB1264" s="262"/>
    </row>
    <row r="1265" spans="1:31" ht="25.5">
      <c r="A1265" s="358" t="s">
        <v>14471</v>
      </c>
      <c r="B1265" s="359" t="s">
        <v>14472</v>
      </c>
      <c r="C1265" s="360" t="s">
        <v>14938</v>
      </c>
      <c r="D1265" s="361" t="s">
        <v>14939</v>
      </c>
      <c r="E1265" s="359" t="s">
        <v>409</v>
      </c>
      <c r="F1265" s="362"/>
      <c r="G1265" s="362"/>
      <c r="H1265" s="363">
        <f>TRUNC(SUM(H1267:H1270),2)</f>
        <v>29.39</v>
      </c>
      <c r="I1265" s="276">
        <f>COUNTIF($C$8:$C1265,C:C)</f>
        <v>1</v>
      </c>
      <c r="J1265" s="262"/>
      <c r="K1265" s="262"/>
      <c r="L1265" s="262"/>
      <c r="M1265" s="262"/>
      <c r="N1265" s="262"/>
      <c r="O1265" s="262"/>
      <c r="P1265" s="262"/>
      <c r="Q1265" s="262"/>
      <c r="R1265" s="262"/>
      <c r="S1265" s="262"/>
      <c r="T1265" s="262"/>
      <c r="U1265" s="262"/>
      <c r="V1265" s="262"/>
      <c r="W1265" s="262"/>
      <c r="X1265" s="262"/>
      <c r="Y1265" s="262"/>
      <c r="Z1265" s="262"/>
      <c r="AA1265" s="262"/>
      <c r="AB1265" s="262"/>
    </row>
    <row r="1266" spans="1:31" ht="12.75">
      <c r="A1266" s="646" t="s">
        <v>14475</v>
      </c>
      <c r="B1266" s="403" t="s">
        <v>14562</v>
      </c>
      <c r="C1266" s="404" t="s">
        <v>14940</v>
      </c>
      <c r="D1266" s="367" t="s">
        <v>14794</v>
      </c>
      <c r="E1266" s="405"/>
      <c r="F1266" s="642"/>
      <c r="G1266" s="370"/>
      <c r="H1266" s="371"/>
      <c r="I1266" s="262"/>
      <c r="J1266" s="262"/>
      <c r="K1266" s="262"/>
      <c r="L1266" s="262"/>
      <c r="M1266" s="262"/>
      <c r="N1266" s="262"/>
      <c r="O1266" s="262"/>
      <c r="P1266" s="262"/>
      <c r="Q1266" s="262"/>
      <c r="R1266" s="262"/>
      <c r="S1266" s="262"/>
      <c r="T1266" s="262"/>
      <c r="U1266" s="262"/>
      <c r="V1266" s="262"/>
      <c r="W1266" s="262"/>
      <c r="X1266" s="262"/>
      <c r="Y1266" s="262"/>
      <c r="Z1266" s="262"/>
      <c r="AA1266" s="262"/>
      <c r="AB1266" s="262"/>
    </row>
    <row r="1267" spans="1:31" ht="25.5">
      <c r="A1267" s="372" t="s">
        <v>14478</v>
      </c>
      <c r="B1267" s="421" t="s">
        <v>14476</v>
      </c>
      <c r="C1267" s="374">
        <v>88310</v>
      </c>
      <c r="D1267" s="593" t="str">
        <f>IFERROR(VLOOKUP($C1267,'24.08_ND'!$A:$D,2,0),)</f>
        <v>PINTOR COM ENCARGOS COMPLEMENTARES</v>
      </c>
      <c r="E1267" s="647" t="str">
        <f>IFERROR(VLOOKUP($C1267,'24.08_ND'!$A:$D,3,0),)</f>
        <v>H</v>
      </c>
      <c r="F1267" s="375">
        <v>0.65185190000000004</v>
      </c>
      <c r="G1267" s="595">
        <f>IFERROR(VLOOKUP($C1267,'24.08_ND'!$A:$D,4,0),)</f>
        <v>24.69</v>
      </c>
      <c r="H1267" s="440">
        <f>TRUNC(($F1267*$G1267),2)</f>
        <v>16.09</v>
      </c>
      <c r="I1267" s="262"/>
      <c r="J1267" s="262"/>
      <c r="K1267" s="262"/>
      <c r="L1267" s="262"/>
      <c r="M1267" s="262"/>
      <c r="N1267" s="262"/>
      <c r="O1267" s="262"/>
      <c r="P1267" s="262"/>
      <c r="Q1267" s="262"/>
      <c r="R1267" s="262"/>
      <c r="S1267" s="262"/>
      <c r="T1267" s="262"/>
      <c r="U1267" s="262"/>
      <c r="V1267" s="262"/>
      <c r="W1267" s="262"/>
      <c r="X1267" s="262"/>
      <c r="Y1267" s="262"/>
      <c r="Z1267" s="262"/>
      <c r="AA1267" s="262"/>
      <c r="AB1267" s="262"/>
      <c r="AD1267" s="1791" t="e">
        <f>VLOOKUP(C1267,'Medição '!$B$16:$F$1833,6,0)</f>
        <v>#N/A</v>
      </c>
      <c r="AE1267" s="1791"/>
    </row>
    <row r="1268" spans="1:31" ht="25.5">
      <c r="A1268" s="372" t="s">
        <v>14478</v>
      </c>
      <c r="B1268" s="421" t="s">
        <v>14476</v>
      </c>
      <c r="C1268" s="374">
        <v>88316</v>
      </c>
      <c r="D1268" s="593" t="str">
        <f>IFERROR(VLOOKUP($C1268,'24.08_ND'!$A:$D,2,0),)</f>
        <v>SERVENTE COM ENCARGOS COMPLEMENTARES</v>
      </c>
      <c r="E1268" s="594" t="str">
        <f>IFERROR(VLOOKUP($C1268,'24.08_ND'!$A:$D,3,0),)</f>
        <v>H</v>
      </c>
      <c r="F1268" s="375">
        <v>0.32592589999999999</v>
      </c>
      <c r="G1268" s="595">
        <f>IFERROR(VLOOKUP($C1268,'24.08_ND'!$A:$D,4,0),)</f>
        <v>18.510000000000002</v>
      </c>
      <c r="H1268" s="440">
        <f>TRUNC(($F1268*$G1268),2)</f>
        <v>6.03</v>
      </c>
      <c r="I1268" s="262"/>
      <c r="J1268" s="262"/>
      <c r="K1268" s="262"/>
      <c r="L1268" s="262"/>
      <c r="M1268" s="262"/>
      <c r="N1268" s="262"/>
      <c r="O1268" s="262"/>
      <c r="P1268" s="262"/>
      <c r="Q1268" s="262"/>
      <c r="R1268" s="262"/>
      <c r="S1268" s="262"/>
      <c r="T1268" s="262"/>
      <c r="U1268" s="262"/>
      <c r="V1268" s="262"/>
      <c r="W1268" s="262"/>
      <c r="X1268" s="262"/>
      <c r="Y1268" s="262"/>
      <c r="Z1268" s="262"/>
      <c r="AA1268" s="262"/>
      <c r="AB1268" s="262"/>
      <c r="AD1268" s="1791" t="e">
        <f>VLOOKUP(C1268,'Medição '!$B$16:$F$1833,6,0)</f>
        <v>#N/A</v>
      </c>
      <c r="AE1268" s="1791"/>
    </row>
    <row r="1269" spans="1:31" ht="12.75">
      <c r="A1269" s="445" t="s">
        <v>14479</v>
      </c>
      <c r="B1269" s="446" t="s">
        <v>14476</v>
      </c>
      <c r="C1269" s="447">
        <v>38383</v>
      </c>
      <c r="D1269" s="596" t="str">
        <f>IFERROR(VLOOKUP($C1269,'24.08_ND'!$A:$D,2,0),)</f>
        <v>LIXA D'AGUA EM FOLHA, GRAO 100</v>
      </c>
      <c r="E1269" s="597" t="str">
        <f>IFERROR(VLOOKUP($C1269,'24.08_ND'!$A:$D,3,0),)</f>
        <v>UN</v>
      </c>
      <c r="F1269" s="385">
        <v>0.1</v>
      </c>
      <c r="G1269" s="598">
        <f>IFERROR(VLOOKUP($C1269,'24.08_ND'!$A:$D,4,0),)</f>
        <v>2.5</v>
      </c>
      <c r="H1269" s="449">
        <f>TRUNC(($F1269*$G1269),2)</f>
        <v>0.25</v>
      </c>
      <c r="I1269" s="262"/>
      <c r="J1269" s="262"/>
      <c r="K1269" s="262"/>
      <c r="L1269" s="262"/>
      <c r="M1269" s="262"/>
      <c r="N1269" s="262"/>
      <c r="O1269" s="262"/>
      <c r="P1269" s="262"/>
      <c r="Q1269" s="262"/>
      <c r="R1269" s="262"/>
      <c r="S1269" s="262"/>
      <c r="T1269" s="262"/>
      <c r="U1269" s="262"/>
      <c r="V1269" s="262"/>
      <c r="W1269" s="262"/>
      <c r="X1269" s="262"/>
      <c r="Y1269" s="262"/>
      <c r="Z1269" s="262"/>
      <c r="AA1269" s="262"/>
      <c r="AB1269" s="262"/>
    </row>
    <row r="1270" spans="1:31" ht="12.75">
      <c r="A1270" s="445" t="s">
        <v>14479</v>
      </c>
      <c r="B1270" s="446" t="s">
        <v>14476</v>
      </c>
      <c r="C1270" s="447">
        <v>38877</v>
      </c>
      <c r="D1270" s="596" t="str">
        <f>IFERROR(VLOOKUP($C1270,'24.08_ND'!$A:$D,2,0),)</f>
        <v>MASSA PREMIUM PARA TEXTURA LISA DE BASE ACRILICA, USO INTERNO E EXTERNO</v>
      </c>
      <c r="E1270" s="597" t="str">
        <f>IFERROR(VLOOKUP($C1270,'24.08_ND'!$A:$D,3,0),)</f>
        <v>KG</v>
      </c>
      <c r="F1270" s="385">
        <v>1.1335198</v>
      </c>
      <c r="G1270" s="598">
        <f>IFERROR(VLOOKUP($C1270,'24.08_ND'!$A:$D,4,0),)</f>
        <v>6.2</v>
      </c>
      <c r="H1270" s="449">
        <f>TRUNC(($F1270*$G1270),2)</f>
        <v>7.02</v>
      </c>
      <c r="I1270" s="262"/>
      <c r="J1270" s="262"/>
      <c r="K1270" s="262"/>
      <c r="L1270" s="262"/>
      <c r="M1270" s="262"/>
      <c r="N1270" s="262"/>
      <c r="O1270" s="262"/>
      <c r="P1270" s="262"/>
      <c r="Q1270" s="262"/>
      <c r="R1270" s="262"/>
      <c r="S1270" s="262"/>
      <c r="T1270" s="262"/>
      <c r="U1270" s="262"/>
      <c r="V1270" s="262"/>
      <c r="W1270" s="262"/>
      <c r="X1270" s="262"/>
      <c r="Y1270" s="262"/>
      <c r="Z1270" s="262"/>
      <c r="AA1270" s="262"/>
      <c r="AB1270" s="262"/>
    </row>
    <row r="1271" spans="1:31" ht="12.75">
      <c r="A1271" s="415"/>
      <c r="B1271" s="416"/>
      <c r="C1271" s="416"/>
      <c r="D1271" s="416"/>
      <c r="E1271" s="416"/>
      <c r="F1271" s="645"/>
      <c r="G1271" s="418"/>
      <c r="H1271" s="419"/>
      <c r="I1271" s="262"/>
      <c r="J1271" s="262"/>
      <c r="K1271" s="262"/>
      <c r="L1271" s="262"/>
      <c r="M1271" s="262"/>
      <c r="N1271" s="262"/>
      <c r="O1271" s="262"/>
      <c r="P1271" s="262"/>
      <c r="Q1271" s="262"/>
      <c r="R1271" s="262"/>
      <c r="S1271" s="262"/>
      <c r="T1271" s="262"/>
      <c r="U1271" s="262"/>
      <c r="V1271" s="262"/>
      <c r="W1271" s="262"/>
      <c r="X1271" s="262"/>
      <c r="Y1271" s="262"/>
      <c r="Z1271" s="262"/>
      <c r="AA1271" s="262"/>
      <c r="AB1271" s="262"/>
    </row>
    <row r="1272" spans="1:31" ht="38.25">
      <c r="A1272" s="358" t="s">
        <v>14471</v>
      </c>
      <c r="B1272" s="359" t="s">
        <v>14472</v>
      </c>
      <c r="C1272" s="360" t="s">
        <v>14941</v>
      </c>
      <c r="D1272" s="648" t="s">
        <v>14942</v>
      </c>
      <c r="E1272" s="359" t="s">
        <v>409</v>
      </c>
      <c r="F1272" s="401"/>
      <c r="G1272" s="402"/>
      <c r="H1272" s="363">
        <f>TRUNC(SUM(H1274:H1277),2)</f>
        <v>132.99</v>
      </c>
      <c r="I1272" s="276">
        <f>COUNTIF($C$8:$C1272,C:C)</f>
        <v>1</v>
      </c>
      <c r="J1272" s="262"/>
      <c r="K1272" s="262"/>
      <c r="L1272" s="262"/>
      <c r="M1272" s="262"/>
      <c r="N1272" s="262"/>
      <c r="O1272" s="262"/>
      <c r="P1272" s="262"/>
      <c r="Q1272" s="262"/>
      <c r="R1272" s="262"/>
      <c r="S1272" s="262"/>
      <c r="T1272" s="262"/>
      <c r="U1272" s="262"/>
      <c r="V1272" s="262"/>
      <c r="W1272" s="262"/>
      <c r="X1272" s="262"/>
      <c r="Y1272" s="262"/>
      <c r="Z1272" s="262"/>
      <c r="AA1272" s="262"/>
      <c r="AB1272" s="262"/>
    </row>
    <row r="1273" spans="1:31" ht="12.75">
      <c r="A1273" s="364" t="s">
        <v>14475</v>
      </c>
      <c r="B1273" s="403" t="s">
        <v>14476</v>
      </c>
      <c r="C1273" s="404">
        <v>100721</v>
      </c>
      <c r="D1273" s="367" t="s">
        <v>14602</v>
      </c>
      <c r="E1273" s="405"/>
      <c r="F1273" s="369"/>
      <c r="G1273" s="370"/>
      <c r="H1273" s="371"/>
      <c r="I1273" s="262"/>
      <c r="J1273" s="262"/>
      <c r="K1273" s="262"/>
      <c r="L1273" s="262"/>
      <c r="M1273" s="262"/>
      <c r="N1273" s="262"/>
      <c r="O1273" s="262"/>
      <c r="P1273" s="262"/>
      <c r="Q1273" s="262"/>
      <c r="R1273" s="262"/>
      <c r="S1273" s="262"/>
      <c r="T1273" s="262"/>
      <c r="U1273" s="262"/>
      <c r="V1273" s="262"/>
      <c r="W1273" s="262"/>
      <c r="X1273" s="262"/>
      <c r="Y1273" s="262"/>
      <c r="Z1273" s="262"/>
      <c r="AA1273" s="262"/>
      <c r="AB1273" s="262"/>
    </row>
    <row r="1274" spans="1:31" ht="25.5">
      <c r="A1274" s="372" t="s">
        <v>14478</v>
      </c>
      <c r="B1274" s="421" t="s">
        <v>14476</v>
      </c>
      <c r="C1274" s="374">
        <v>88310</v>
      </c>
      <c r="D1274" s="288" t="str">
        <f>IFERROR(VLOOKUP($C1274,'24.08_ND'!$A:$D,2,0),)</f>
        <v>PINTOR COM ENCARGOS COMPLEMENTARES</v>
      </c>
      <c r="E1274" s="289" t="str">
        <f>IFERROR(VLOOKUP($C1274,'24.08_ND'!$A:$D,3,0),)</f>
        <v>H</v>
      </c>
      <c r="F1274" s="375">
        <v>0.52659999999999996</v>
      </c>
      <c r="G1274" s="291">
        <f>IFERROR(VLOOKUP($C1274,'24.08_ND'!$A:$D,4,0),)</f>
        <v>24.69</v>
      </c>
      <c r="H1274" s="292">
        <f>TRUNC(($F1274*$G1274),2)</f>
        <v>13</v>
      </c>
      <c r="I1274" s="262"/>
      <c r="J1274" s="262"/>
      <c r="K1274" s="262"/>
      <c r="L1274" s="262"/>
      <c r="M1274" s="262"/>
      <c r="N1274" s="262"/>
      <c r="O1274" s="262"/>
      <c r="P1274" s="262"/>
      <c r="Q1274" s="262"/>
      <c r="R1274" s="262"/>
      <c r="S1274" s="262"/>
      <c r="T1274" s="262"/>
      <c r="U1274" s="262"/>
      <c r="V1274" s="262"/>
      <c r="W1274" s="262"/>
      <c r="X1274" s="262"/>
      <c r="Y1274" s="262"/>
      <c r="Z1274" s="262"/>
      <c r="AA1274" s="262"/>
      <c r="AB1274" s="262"/>
      <c r="AD1274" s="1791" t="e">
        <f>VLOOKUP(C1274,'Medição '!$B$16:$F$1833,6,0)</f>
        <v>#N/A</v>
      </c>
      <c r="AE1274" s="1791"/>
    </row>
    <row r="1275" spans="1:31" ht="38.25">
      <c r="A1275" s="372" t="s">
        <v>14478</v>
      </c>
      <c r="B1275" s="421" t="s">
        <v>14476</v>
      </c>
      <c r="C1275" s="374">
        <v>100761</v>
      </c>
      <c r="D1275" s="288" t="str">
        <f>IFERROR(VLOOKUP($C1275,'24.08_ND'!$A:$D,2,0),)</f>
        <v>PINTURA COM TINTA ALQUÍDICA DE ACABAMENTO (ESMALTE SINTÉTICO FOSCO) PULVERIZADA SOBRE SUPERFÍCIES METÁLICAS (EXCETO PERFIL) EXECUTADO EM OBRA (02 DEMÃOS). AF_01/2020_PE</v>
      </c>
      <c r="E1275" s="289" t="str">
        <f>IFERROR(VLOOKUP($C1275,'24.08_ND'!$A:$D,3,0),)</f>
        <v>M2</v>
      </c>
      <c r="F1275" s="375">
        <f>1*2*1.05</f>
        <v>2.1</v>
      </c>
      <c r="G1275" s="291">
        <f>IFERROR(VLOOKUP($C1275,'24.08_ND'!$A:$D,4,0),)</f>
        <v>41.11</v>
      </c>
      <c r="H1275" s="292">
        <f>TRUNC(($F1275*$G1275),2)</f>
        <v>86.33</v>
      </c>
      <c r="I1275" s="262"/>
      <c r="J1275" s="262"/>
      <c r="K1275" s="262"/>
      <c r="L1275" s="262"/>
      <c r="M1275" s="262"/>
      <c r="N1275" s="262"/>
      <c r="O1275" s="262"/>
      <c r="P1275" s="262"/>
      <c r="Q1275" s="262"/>
      <c r="R1275" s="262"/>
      <c r="S1275" s="262"/>
      <c r="T1275" s="262"/>
      <c r="U1275" s="262"/>
      <c r="V1275" s="262"/>
      <c r="W1275" s="262"/>
      <c r="X1275" s="262"/>
      <c r="Y1275" s="262"/>
      <c r="Z1275" s="262"/>
      <c r="AA1275" s="262"/>
      <c r="AB1275" s="262"/>
      <c r="AD1275" s="1791" t="e">
        <f>VLOOKUP(C1275,'Medição '!$B$16:$F$1833,6,0)</f>
        <v>#REF!</v>
      </c>
      <c r="AE1275" s="1791"/>
    </row>
    <row r="1276" spans="1:31" ht="12.75">
      <c r="A1276" s="445" t="s">
        <v>14479</v>
      </c>
      <c r="B1276" s="446" t="s">
        <v>14476</v>
      </c>
      <c r="C1276" s="447">
        <v>5318</v>
      </c>
      <c r="D1276" s="596" t="str">
        <f>IFERROR(VLOOKUP($C1276,'24.08_ND'!$A:$D,2,0),)</f>
        <v>DILUENTE AGUARRAS</v>
      </c>
      <c r="E1276" s="597" t="str">
        <f>IFERROR(VLOOKUP($C1276,'24.08_ND'!$A:$D,3,0),)</f>
        <v>L</v>
      </c>
      <c r="F1276" s="385">
        <v>6.1899999999999997E-2</v>
      </c>
      <c r="G1276" s="598">
        <f>IFERROR(VLOOKUP($C1276,'24.08_ND'!$A:$D,4,0),)</f>
        <v>18.45</v>
      </c>
      <c r="H1276" s="449">
        <f>TRUNC(($F1276*$G1276),2)</f>
        <v>1.1399999999999999</v>
      </c>
      <c r="I1276" s="262"/>
      <c r="J1276" s="262"/>
      <c r="K1276" s="262"/>
      <c r="L1276" s="262"/>
      <c r="M1276" s="262"/>
      <c r="N1276" s="262"/>
      <c r="O1276" s="262"/>
      <c r="P1276" s="262"/>
      <c r="Q1276" s="262"/>
      <c r="R1276" s="262"/>
      <c r="S1276" s="262"/>
      <c r="T1276" s="262"/>
      <c r="U1276" s="262"/>
      <c r="V1276" s="262"/>
      <c r="W1276" s="262"/>
      <c r="X1276" s="262"/>
      <c r="Y1276" s="262"/>
      <c r="Z1276" s="262"/>
      <c r="AA1276" s="262"/>
      <c r="AB1276" s="262"/>
    </row>
    <row r="1277" spans="1:31" ht="12.75">
      <c r="A1277" s="590" t="s">
        <v>14479</v>
      </c>
      <c r="B1277" s="312" t="str">
        <f>VLOOKUP($C1277,'• CIs EXT'!$A:$E,2,0)</f>
        <v>ORSE</v>
      </c>
      <c r="C1277" s="377">
        <v>1031</v>
      </c>
      <c r="D1277" s="378" t="str">
        <f>VLOOKUP($C1277,'• CIs EXT'!$A:$E,3,0)</f>
        <v>FUNDO FOSFATIZANTE (P/GALVANIZADO)</v>
      </c>
      <c r="E1277" s="379" t="str">
        <f>VLOOKUP($C1277,'• CIs EXT'!$A:$E,4,0)</f>
        <v>L</v>
      </c>
      <c r="F1277" s="380">
        <f>(0.35*1*2)*1.05</f>
        <v>0.73499999999999999</v>
      </c>
      <c r="G1277" s="379">
        <f>VLOOKUP($C1277,'• CIs EXT'!$A:$E,5,0)</f>
        <v>44.25</v>
      </c>
      <c r="H1277" s="381">
        <f>TRUNC(($F1277*$G1277),2)</f>
        <v>32.520000000000003</v>
      </c>
      <c r="I1277" s="262"/>
      <c r="J1277" s="262"/>
      <c r="K1277" s="262"/>
      <c r="L1277" s="262"/>
      <c r="M1277" s="262"/>
      <c r="N1277" s="262"/>
      <c r="O1277" s="262"/>
      <c r="P1277" s="262"/>
      <c r="Q1277" s="262"/>
      <c r="R1277" s="262"/>
      <c r="S1277" s="262"/>
      <c r="T1277" s="262"/>
      <c r="U1277" s="262"/>
      <c r="V1277" s="262"/>
      <c r="W1277" s="262"/>
      <c r="X1277" s="262"/>
      <c r="Y1277" s="262"/>
      <c r="Z1277" s="262"/>
      <c r="AA1277" s="262"/>
      <c r="AB1277" s="262"/>
    </row>
    <row r="1278" spans="1:31" ht="12.75">
      <c r="A1278" s="309"/>
      <c r="B1278" s="303"/>
      <c r="C1278" s="303"/>
      <c r="D1278" s="310"/>
      <c r="E1278" s="303"/>
      <c r="F1278" s="306"/>
      <c r="G1278" s="307"/>
      <c r="H1278" s="308"/>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row>
    <row r="1279" spans="1:31" ht="12.75">
      <c r="A1279" s="358" t="s">
        <v>14471</v>
      </c>
      <c r="B1279" s="359" t="s">
        <v>14472</v>
      </c>
      <c r="C1279" s="360" t="s">
        <v>14943</v>
      </c>
      <c r="D1279" s="361" t="s">
        <v>14944</v>
      </c>
      <c r="E1279" s="359" t="s">
        <v>6</v>
      </c>
      <c r="F1279" s="362"/>
      <c r="G1279" s="362"/>
      <c r="H1279" s="363">
        <f>SUM(H1281:H1287)</f>
        <v>42.62</v>
      </c>
      <c r="I1279" s="276">
        <f>COUNTIF($C$8:$C1279,C:C)</f>
        <v>1</v>
      </c>
      <c r="J1279" s="262"/>
      <c r="K1279" s="262"/>
      <c r="L1279" s="262"/>
      <c r="M1279" s="262"/>
      <c r="N1279" s="262"/>
      <c r="O1279" s="262"/>
      <c r="P1279" s="262"/>
      <c r="Q1279" s="262"/>
      <c r="R1279" s="262"/>
      <c r="S1279" s="262"/>
      <c r="T1279" s="262"/>
      <c r="U1279" s="262"/>
      <c r="V1279" s="262"/>
      <c r="W1279" s="262"/>
      <c r="X1279" s="262"/>
      <c r="Y1279" s="262"/>
      <c r="Z1279" s="262"/>
      <c r="AA1279" s="262"/>
      <c r="AB1279" s="262"/>
    </row>
    <row r="1280" spans="1:31" ht="12.75">
      <c r="A1280" s="364" t="s">
        <v>14475</v>
      </c>
      <c r="B1280" s="403" t="s">
        <v>14513</v>
      </c>
      <c r="C1280" s="404">
        <v>110698</v>
      </c>
      <c r="D1280" s="367" t="s">
        <v>14945</v>
      </c>
      <c r="E1280" s="405"/>
      <c r="F1280" s="369"/>
      <c r="G1280" s="370"/>
      <c r="H1280" s="371"/>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row>
    <row r="1281" spans="1:31" ht="25.5">
      <c r="A1281" s="372" t="s">
        <v>14478</v>
      </c>
      <c r="B1281" s="421" t="s">
        <v>14476</v>
      </c>
      <c r="C1281" s="374">
        <v>88269</v>
      </c>
      <c r="D1281" s="593" t="str">
        <f>IFERROR(VLOOKUP($C1281,'24.08_ND'!$A:$D,2,0),)</f>
        <v>GESSEIRO COM ENCARGOS COMPLEMENTARES</v>
      </c>
      <c r="E1281" s="594" t="str">
        <f>IFERROR(VLOOKUP($C1281,'24.08_ND'!$A:$D,3,0),)</f>
        <v>H</v>
      </c>
      <c r="F1281" s="607">
        <v>0.21000000000000002</v>
      </c>
      <c r="G1281" s="595">
        <f>IFERROR(VLOOKUP($C1281,'24.08_ND'!$A:$D,4,0),)</f>
        <v>22.31</v>
      </c>
      <c r="H1281" s="440">
        <f t="shared" ref="H1281:H1287" si="48">TRUNC(($F1281*$G1281),2)</f>
        <v>4.68</v>
      </c>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D1281" s="1791" t="e">
        <f>VLOOKUP(C1281,'Medição '!$B$16:$F$1833,6,0)</f>
        <v>#N/A</v>
      </c>
      <c r="AE1281" s="1791"/>
    </row>
    <row r="1282" spans="1:31" ht="25.5">
      <c r="A1282" s="372" t="s">
        <v>14478</v>
      </c>
      <c r="B1282" s="421" t="s">
        <v>14476</v>
      </c>
      <c r="C1282" s="374">
        <v>88316</v>
      </c>
      <c r="D1282" s="593" t="str">
        <f>IFERROR(VLOOKUP($C1282,'24.08_ND'!$A:$D,2,0),)</f>
        <v>SERVENTE COM ENCARGOS COMPLEMENTARES</v>
      </c>
      <c r="E1282" s="594" t="str">
        <f>IFERROR(VLOOKUP($C1282,'24.08_ND'!$A:$D,3,0),)</f>
        <v>H</v>
      </c>
      <c r="F1282" s="607">
        <v>0.15750000000000003</v>
      </c>
      <c r="G1282" s="595">
        <f>IFERROR(VLOOKUP($C1282,'24.08_ND'!$A:$D,4,0),)</f>
        <v>18.510000000000002</v>
      </c>
      <c r="H1282" s="440">
        <f t="shared" si="48"/>
        <v>2.91</v>
      </c>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D1282" s="1791" t="e">
        <f>VLOOKUP(C1282,'Medição '!$B$16:$F$1833,6,0)</f>
        <v>#N/A</v>
      </c>
      <c r="AE1282" s="1791"/>
    </row>
    <row r="1283" spans="1:31" ht="12.75">
      <c r="A1283" s="581" t="s">
        <v>14479</v>
      </c>
      <c r="B1283" s="582" t="s">
        <v>14476</v>
      </c>
      <c r="C1283" s="447">
        <v>567</v>
      </c>
      <c r="D1283" s="596" t="str">
        <f>IFERROR(VLOOKUP($C1283,'24.08_ND'!$A:$D,2,0),)</f>
        <v>CANTONEIRA (ABAS IGUAIS) EM ACO CARBONO, 25,4 MM X 3,17 MM (L X E), 1,27KG/M</v>
      </c>
      <c r="E1283" s="597" t="str">
        <f>IFERROR(VLOOKUP($C1283,'24.08_ND'!$A:$D,3,0),)</f>
        <v>M</v>
      </c>
      <c r="F1283" s="385">
        <f>0.6*4</f>
        <v>2.4</v>
      </c>
      <c r="G1283" s="598">
        <f>IFERROR(VLOOKUP($C1283,'24.08_ND'!$A:$D,4,0),)</f>
        <v>10.37</v>
      </c>
      <c r="H1283" s="449">
        <f t="shared" si="48"/>
        <v>24.88</v>
      </c>
      <c r="I1283" s="262"/>
      <c r="J1283" s="262"/>
      <c r="K1283" s="262"/>
      <c r="L1283" s="262"/>
      <c r="M1283" s="262"/>
      <c r="N1283" s="262"/>
      <c r="O1283" s="262"/>
      <c r="P1283" s="262"/>
      <c r="Q1283" s="262"/>
      <c r="R1283" s="262"/>
      <c r="S1283" s="262"/>
      <c r="T1283" s="262"/>
      <c r="U1283" s="262"/>
      <c r="V1283" s="262"/>
      <c r="W1283" s="262"/>
      <c r="X1283" s="262"/>
      <c r="Y1283" s="262"/>
      <c r="Z1283" s="262"/>
      <c r="AA1283" s="262"/>
      <c r="AB1283" s="262"/>
    </row>
    <row r="1284" spans="1:31" ht="12.75">
      <c r="A1284" s="581" t="s">
        <v>14479</v>
      </c>
      <c r="B1284" s="582" t="s">
        <v>14476</v>
      </c>
      <c r="C1284" s="447">
        <v>39961</v>
      </c>
      <c r="D1284" s="596" t="str">
        <f>IFERROR(VLOOKUP($C1284,'24.08_ND'!$A:$D,2,0),)</f>
        <v>SILICONE ACETICO USO GERAL INCOLOR 280 G</v>
      </c>
      <c r="E1284" s="597" t="str">
        <f>IFERROR(VLOOKUP($C1284,'24.08_ND'!$A:$D,3,0),)</f>
        <v>UN</v>
      </c>
      <c r="F1284" s="385">
        <v>0.15</v>
      </c>
      <c r="G1284" s="598">
        <f>IFERROR(VLOOKUP($C1284,'24.08_ND'!$A:$D,4,0),)</f>
        <v>22.6</v>
      </c>
      <c r="H1284" s="449">
        <f t="shared" si="48"/>
        <v>3.39</v>
      </c>
      <c r="I1284" s="262"/>
      <c r="J1284" s="262"/>
      <c r="K1284" s="262"/>
      <c r="L1284" s="262"/>
      <c r="M1284" s="262"/>
      <c r="N1284" s="262"/>
      <c r="O1284" s="262"/>
      <c r="P1284" s="262"/>
      <c r="Q1284" s="262"/>
      <c r="R1284" s="262"/>
      <c r="S1284" s="262"/>
      <c r="T1284" s="262"/>
      <c r="U1284" s="262"/>
      <c r="V1284" s="262"/>
      <c r="W1284" s="262"/>
      <c r="X1284" s="262"/>
      <c r="Y1284" s="262"/>
      <c r="Z1284" s="262"/>
      <c r="AA1284" s="262"/>
      <c r="AB1284" s="262"/>
    </row>
    <row r="1285" spans="1:31" ht="12.75">
      <c r="A1285" s="581" t="s">
        <v>14479</v>
      </c>
      <c r="B1285" s="582" t="s">
        <v>14476</v>
      </c>
      <c r="C1285" s="447">
        <v>3315</v>
      </c>
      <c r="D1285" s="596" t="str">
        <f>IFERROR(VLOOKUP($C1285,'24.08_ND'!$A:$D,2,0),)</f>
        <v>GESSO EM PO PARA REVESTIMENTOS/MOLDURAS/SANCAS E USO GERAL</v>
      </c>
      <c r="E1285" s="597" t="str">
        <f>IFERROR(VLOOKUP($C1285,'24.08_ND'!$A:$D,3,0),)</f>
        <v>KG</v>
      </c>
      <c r="F1285" s="385">
        <v>0.17499999999999999</v>
      </c>
      <c r="G1285" s="598">
        <f>IFERROR(VLOOKUP($C1285,'24.08_ND'!$A:$D,4,0),)</f>
        <v>0.9</v>
      </c>
      <c r="H1285" s="449">
        <f t="shared" si="48"/>
        <v>0.15</v>
      </c>
      <c r="I1285" s="262"/>
      <c r="J1285" s="262"/>
      <c r="K1285" s="262"/>
      <c r="L1285" s="262"/>
      <c r="M1285" s="262"/>
      <c r="N1285" s="262"/>
      <c r="O1285" s="262"/>
      <c r="P1285" s="262"/>
      <c r="Q1285" s="262"/>
      <c r="R1285" s="262"/>
      <c r="S1285" s="262"/>
      <c r="T1285" s="262"/>
      <c r="U1285" s="262"/>
      <c r="V1285" s="262"/>
      <c r="W1285" s="262"/>
      <c r="X1285" s="262"/>
      <c r="Y1285" s="262"/>
      <c r="Z1285" s="262"/>
      <c r="AA1285" s="262"/>
      <c r="AB1285" s="262"/>
    </row>
    <row r="1286" spans="1:31" ht="12.75">
      <c r="A1286" s="581" t="s">
        <v>14479</v>
      </c>
      <c r="B1286" s="582" t="s">
        <v>14476</v>
      </c>
      <c r="C1286" s="447">
        <v>4812</v>
      </c>
      <c r="D1286" s="596" t="str">
        <f>IFERROR(VLOOKUP($C1286,'24.08_ND'!$A:$D,2,0),)</f>
        <v>PLACA DE GESSO PARA FORRO, *60 X 60* CM, ESPESSURA DE 12 MM (SEM COLOCACAO)</v>
      </c>
      <c r="E1286" s="597" t="str">
        <f>IFERROR(VLOOKUP($C1286,'24.08_ND'!$A:$D,3,0),)</f>
        <v>M2</v>
      </c>
      <c r="F1286" s="385">
        <f>0.6*0.6</f>
        <v>0.36</v>
      </c>
      <c r="G1286" s="598">
        <f>IFERROR(VLOOKUP($C1286,'24.08_ND'!$A:$D,4,0),)</f>
        <v>12.55</v>
      </c>
      <c r="H1286" s="449">
        <f t="shared" si="48"/>
        <v>4.51</v>
      </c>
      <c r="I1286" s="262"/>
      <c r="J1286" s="262"/>
      <c r="K1286" s="262"/>
      <c r="L1286" s="262"/>
      <c r="M1286" s="262"/>
      <c r="N1286" s="262"/>
      <c r="O1286" s="262"/>
      <c r="P1286" s="262"/>
      <c r="Q1286" s="262"/>
      <c r="R1286" s="262"/>
      <c r="S1286" s="262"/>
      <c r="T1286" s="262"/>
      <c r="U1286" s="262"/>
      <c r="V1286" s="262"/>
      <c r="W1286" s="262"/>
      <c r="X1286" s="262"/>
      <c r="Y1286" s="262"/>
      <c r="Z1286" s="262"/>
      <c r="AA1286" s="262"/>
      <c r="AB1286" s="262"/>
    </row>
    <row r="1287" spans="1:31" ht="12.75">
      <c r="A1287" s="581" t="s">
        <v>14479</v>
      </c>
      <c r="B1287" s="582" t="s">
        <v>14476</v>
      </c>
      <c r="C1287" s="447">
        <v>40547</v>
      </c>
      <c r="D1287" s="596" t="str">
        <f>IFERROR(VLOOKUP($C1287,'24.08_ND'!$A:$D,2,0),)</f>
        <v>PARAFUSO ZINCADO, AUTOBROCANTE, FLANGEADO, 4,2 MM X 19 MM</v>
      </c>
      <c r="E1287" s="597" t="str">
        <f>IFERROR(VLOOKUP($C1287,'24.08_ND'!$A:$D,3,0),)</f>
        <v>CENTO</v>
      </c>
      <c r="F1287" s="385">
        <f>8/100</f>
        <v>0.08</v>
      </c>
      <c r="G1287" s="598">
        <f>IFERROR(VLOOKUP($C1287,'24.08_ND'!$A:$D,4,0),)</f>
        <v>26.33</v>
      </c>
      <c r="H1287" s="449">
        <f t="shared" si="48"/>
        <v>2.1</v>
      </c>
      <c r="I1287" s="262"/>
      <c r="J1287" s="262"/>
      <c r="K1287" s="262"/>
      <c r="L1287" s="262"/>
      <c r="M1287" s="262"/>
      <c r="N1287" s="262"/>
      <c r="O1287" s="262"/>
      <c r="P1287" s="262"/>
      <c r="Q1287" s="262"/>
      <c r="R1287" s="262"/>
      <c r="S1287" s="262"/>
      <c r="T1287" s="262"/>
      <c r="U1287" s="262"/>
      <c r="V1287" s="262"/>
      <c r="W1287" s="262"/>
      <c r="X1287" s="262"/>
      <c r="Y1287" s="262"/>
      <c r="Z1287" s="262"/>
      <c r="AA1287" s="262"/>
      <c r="AB1287" s="262"/>
    </row>
    <row r="1288" spans="1:31" ht="12.75">
      <c r="A1288" s="309"/>
      <c r="B1288" s="303"/>
      <c r="C1288" s="303"/>
      <c r="D1288" s="310"/>
      <c r="E1288" s="303"/>
      <c r="F1288" s="306"/>
      <c r="G1288" s="307"/>
      <c r="H1288" s="308"/>
      <c r="I1288" s="262"/>
      <c r="J1288" s="262"/>
      <c r="K1288" s="262"/>
      <c r="L1288" s="262"/>
      <c r="M1288" s="262"/>
      <c r="N1288" s="262"/>
      <c r="O1288" s="262"/>
      <c r="P1288" s="262"/>
      <c r="Q1288" s="262"/>
      <c r="R1288" s="262"/>
      <c r="S1288" s="262"/>
      <c r="T1288" s="262"/>
      <c r="U1288" s="262"/>
      <c r="V1288" s="262"/>
      <c r="W1288" s="262"/>
      <c r="X1288" s="262"/>
      <c r="Y1288" s="262"/>
      <c r="Z1288" s="262"/>
      <c r="AA1288" s="262"/>
      <c r="AB1288" s="262"/>
    </row>
    <row r="1289" spans="1:31" ht="25.5">
      <c r="A1289" s="271" t="s">
        <v>14471</v>
      </c>
      <c r="B1289" s="272" t="s">
        <v>14472</v>
      </c>
      <c r="C1289" s="360" t="s">
        <v>14946</v>
      </c>
      <c r="D1289" s="274" t="s">
        <v>14947</v>
      </c>
      <c r="E1289" s="272" t="s">
        <v>6</v>
      </c>
      <c r="F1289" s="272"/>
      <c r="G1289" s="272"/>
      <c r="H1289" s="275">
        <f>TRUNC(SUM(H1291:H1297),2)</f>
        <v>358.9</v>
      </c>
      <c r="I1289" s="276">
        <f>COUNTIF($C$8:$C1289,C:C)</f>
        <v>1</v>
      </c>
      <c r="J1289" s="262"/>
      <c r="K1289" s="262"/>
      <c r="L1289" s="262"/>
      <c r="M1289" s="262"/>
      <c r="N1289" s="262"/>
      <c r="O1289" s="262"/>
      <c r="P1289" s="262"/>
      <c r="Q1289" s="262"/>
      <c r="R1289" s="262"/>
      <c r="S1289" s="262"/>
      <c r="T1289" s="262"/>
      <c r="U1289" s="262"/>
      <c r="V1289" s="262"/>
      <c r="W1289" s="262"/>
      <c r="X1289" s="262"/>
      <c r="Y1289" s="262"/>
      <c r="Z1289" s="262"/>
      <c r="AA1289" s="262"/>
      <c r="AB1289" s="262"/>
    </row>
    <row r="1290" spans="1:31" ht="12.75">
      <c r="A1290" s="277" t="s">
        <v>14475</v>
      </c>
      <c r="B1290" s="488" t="s">
        <v>14476</v>
      </c>
      <c r="C1290" s="489">
        <v>86904</v>
      </c>
      <c r="D1290" s="490" t="s">
        <v>14602</v>
      </c>
      <c r="E1290" s="609"/>
      <c r="F1290" s="554"/>
      <c r="G1290" s="492"/>
      <c r="H1290" s="493"/>
      <c r="I1290" s="262"/>
      <c r="J1290" s="262"/>
      <c r="K1290" s="262"/>
      <c r="L1290" s="262"/>
      <c r="M1290" s="262"/>
      <c r="N1290" s="262"/>
      <c r="O1290" s="262"/>
      <c r="P1290" s="262"/>
      <c r="Q1290" s="262"/>
      <c r="R1290" s="262"/>
      <c r="S1290" s="262"/>
      <c r="T1290" s="262"/>
      <c r="U1290" s="262"/>
      <c r="V1290" s="262"/>
      <c r="W1290" s="262"/>
      <c r="X1290" s="262"/>
      <c r="Y1290" s="262"/>
      <c r="Z1290" s="262"/>
      <c r="AA1290" s="262"/>
      <c r="AB1290" s="262"/>
    </row>
    <row r="1291" spans="1:31" ht="25.5">
      <c r="A1291" s="285" t="s">
        <v>14478</v>
      </c>
      <c r="B1291" s="286" t="s">
        <v>14476</v>
      </c>
      <c r="C1291" s="408">
        <v>88267</v>
      </c>
      <c r="D1291" s="288" t="str">
        <f>IFERROR(VLOOKUP($C1291,'24.08_ND'!$A:$D,2,0),)</f>
        <v>ENCANADOR OU BOMBEIRO HIDRÁULICO COM ENCARGOS COMPLEMENTARES</v>
      </c>
      <c r="E1291" s="289" t="str">
        <f>IFERROR(VLOOKUP($C1291,'24.08_ND'!$A:$D,3,0),)</f>
        <v>H</v>
      </c>
      <c r="F1291" s="610">
        <v>0.25700000000000001</v>
      </c>
      <c r="G1291" s="291">
        <f>IFERROR(VLOOKUP($C1291,'24.08_ND'!$A:$D,4,0),)</f>
        <v>23.27</v>
      </c>
      <c r="H1291" s="292">
        <f t="shared" ref="H1291:H1297" si="49">TRUNC(($F1291*$G1291),2)</f>
        <v>5.98</v>
      </c>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D1291" s="1791" t="e">
        <f>VLOOKUP(C1291,'Medição '!$B$16:$F$1833,6,0)</f>
        <v>#N/A</v>
      </c>
      <c r="AE1291" s="1791"/>
    </row>
    <row r="1292" spans="1:31" ht="25.5">
      <c r="A1292" s="285" t="s">
        <v>14478</v>
      </c>
      <c r="B1292" s="286" t="s">
        <v>14476</v>
      </c>
      <c r="C1292" s="408">
        <v>88316</v>
      </c>
      <c r="D1292" s="288" t="str">
        <f>IFERROR(VLOOKUP($C1292,'24.08_ND'!$A:$D,2,0),)</f>
        <v>SERVENTE COM ENCARGOS COMPLEMENTARES</v>
      </c>
      <c r="E1292" s="289" t="str">
        <f>IFERROR(VLOOKUP($C1292,'24.08_ND'!$A:$D,3,0),)</f>
        <v>H</v>
      </c>
      <c r="F1292" s="610">
        <v>0.11286</v>
      </c>
      <c r="G1292" s="291">
        <f>IFERROR(VLOOKUP($C1292,'24.08_ND'!$A:$D,4,0),)</f>
        <v>18.510000000000002</v>
      </c>
      <c r="H1292" s="292">
        <f t="shared" si="49"/>
        <v>2.08</v>
      </c>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D1292" s="1791" t="e">
        <f>VLOOKUP(C1292,'Medição '!$B$16:$F$1833,6,0)</f>
        <v>#N/A</v>
      </c>
      <c r="AE1292" s="1791"/>
    </row>
    <row r="1293" spans="1:31" ht="12.75">
      <c r="A1293" s="558" t="s">
        <v>14479</v>
      </c>
      <c r="B1293" s="559" t="s">
        <v>14476</v>
      </c>
      <c r="C1293" s="559">
        <v>3146</v>
      </c>
      <c r="D1293" s="296" t="str">
        <f>IFERROR(VLOOKUP($C1293,'24.08_ND'!$A:$D,2,0),)</f>
        <v>FITA VEDA ROSCA EM ROLOS DE 18 MM X 10 M (L X C)</v>
      </c>
      <c r="E1293" s="297" t="str">
        <f>IFERROR(VLOOKUP($C1293,'24.08_ND'!$A:$D,3,0),)</f>
        <v>UN</v>
      </c>
      <c r="F1293" s="611">
        <f>0.2/10</f>
        <v>0.02</v>
      </c>
      <c r="G1293" s="299">
        <f>IFERROR(VLOOKUP($C1293,'24.08_ND'!$A:$D,4,0),)</f>
        <v>3.59</v>
      </c>
      <c r="H1293" s="300">
        <f t="shared" si="49"/>
        <v>7.0000000000000007E-2</v>
      </c>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row>
    <row r="1294" spans="1:31" ht="12.75">
      <c r="A1294" s="558" t="s">
        <v>14479</v>
      </c>
      <c r="B1294" s="559" t="s">
        <v>14476</v>
      </c>
      <c r="C1294" s="559">
        <v>6136</v>
      </c>
      <c r="D1294" s="296" t="str">
        <f>IFERROR(VLOOKUP($C1294,'24.08_ND'!$A:$D,2,0),)</f>
        <v>SIFAO EM METAL CROMADO PARA PIA OU LAVATORIO, 1 X 1.1/2"</v>
      </c>
      <c r="E1294" s="297" t="str">
        <f>IFERROR(VLOOKUP($C1294,'24.08_ND'!$A:$D,3,0),)</f>
        <v>UN</v>
      </c>
      <c r="F1294" s="611">
        <v>1</v>
      </c>
      <c r="G1294" s="299">
        <f>IFERROR(VLOOKUP($C1294,'24.08_ND'!$A:$D,4,0),)</f>
        <v>196.77</v>
      </c>
      <c r="H1294" s="300">
        <f t="shared" si="49"/>
        <v>196.77</v>
      </c>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row>
    <row r="1295" spans="1:31" ht="12.75">
      <c r="A1295" s="558" t="s">
        <v>14479</v>
      </c>
      <c r="B1295" s="559" t="s">
        <v>14476</v>
      </c>
      <c r="C1295" s="559">
        <v>38643</v>
      </c>
      <c r="D1295" s="296" t="str">
        <f>IFERROR(VLOOKUP($C1295,'24.08_ND'!$A:$D,2,0),)</f>
        <v>VALVULA EM METAL CROMADO PARA LAVATORIO, 1" SEM LADRAO</v>
      </c>
      <c r="E1295" s="297" t="str">
        <f>IFERROR(VLOOKUP($C1295,'24.08_ND'!$A:$D,3,0),)</f>
        <v>UN</v>
      </c>
      <c r="F1295" s="611">
        <v>1</v>
      </c>
      <c r="G1295" s="299">
        <f>IFERROR(VLOOKUP($C1295,'24.08_ND'!$A:$D,4,0),)</f>
        <v>49.19</v>
      </c>
      <c r="H1295" s="300">
        <f t="shared" si="49"/>
        <v>49.19</v>
      </c>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row>
    <row r="1296" spans="1:31" ht="12.75">
      <c r="A1296" s="558" t="s">
        <v>14479</v>
      </c>
      <c r="B1296" s="559" t="s">
        <v>14476</v>
      </c>
      <c r="C1296" s="559">
        <v>39961</v>
      </c>
      <c r="D1296" s="296" t="str">
        <f>IFERROR(VLOOKUP($C1296,'24.08_ND'!$A:$D,2,0),)</f>
        <v>SILICONE ACETICO USO GERAL INCOLOR 280 G</v>
      </c>
      <c r="E1296" s="297" t="str">
        <f>IFERROR(VLOOKUP($C1296,'24.08_ND'!$A:$D,3,0),)</f>
        <v>UN</v>
      </c>
      <c r="F1296" s="611">
        <v>0.5</v>
      </c>
      <c r="G1296" s="299">
        <f>IFERROR(VLOOKUP($C1296,'24.08_ND'!$A:$D,4,0),)</f>
        <v>22.6</v>
      </c>
      <c r="H1296" s="300">
        <f t="shared" si="49"/>
        <v>11.3</v>
      </c>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row>
    <row r="1297" spans="1:31" ht="12.75">
      <c r="A1297" s="590" t="s">
        <v>14479</v>
      </c>
      <c r="B1297" s="312" t="str">
        <f>VLOOKUP($C1297,'• CIs EXT'!$A:$E,2,0)</f>
        <v>IOPES</v>
      </c>
      <c r="C1297" s="377">
        <v>65670</v>
      </c>
      <c r="D1297" s="378" t="str">
        <f>VLOOKUP($C1297,'• CIs EXT'!$A:$E,3,0)</f>
        <v>CUBA LOUCA BRANCA OVAL DE EMBUTIR REF. L37</v>
      </c>
      <c r="E1297" s="379" t="str">
        <f>VLOOKUP($C1297,'• CIs EXT'!$A:$E,4,0)</f>
        <v>UN</v>
      </c>
      <c r="F1297" s="380">
        <v>1</v>
      </c>
      <c r="G1297" s="379">
        <f>VLOOKUP($C1297,'• CIs EXT'!$A:$E,5,0)</f>
        <v>93.51</v>
      </c>
      <c r="H1297" s="381">
        <f t="shared" si="49"/>
        <v>93.51</v>
      </c>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row>
    <row r="1298" spans="1:31" ht="12.75">
      <c r="A1298" s="309"/>
      <c r="B1298" s="303"/>
      <c r="C1298" s="303"/>
      <c r="D1298" s="310"/>
      <c r="E1298" s="303"/>
      <c r="F1298" s="306"/>
      <c r="G1298" s="307"/>
      <c r="H1298" s="308"/>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row>
    <row r="1299" spans="1:31" ht="25.5">
      <c r="A1299" s="271" t="s">
        <v>14471</v>
      </c>
      <c r="B1299" s="272" t="s">
        <v>14472</v>
      </c>
      <c r="C1299" s="360" t="s">
        <v>14948</v>
      </c>
      <c r="D1299" s="274" t="s">
        <v>14949</v>
      </c>
      <c r="E1299" s="272" t="s">
        <v>6</v>
      </c>
      <c r="F1299" s="272"/>
      <c r="G1299" s="272"/>
      <c r="H1299" s="275">
        <f>TRUNC(SUM(H1301:H1305),2)</f>
        <v>165.61</v>
      </c>
      <c r="I1299" s="276">
        <f>COUNTIF($C$8:$C1299,C:C)</f>
        <v>1</v>
      </c>
      <c r="J1299" s="262"/>
      <c r="K1299" s="262"/>
      <c r="L1299" s="262"/>
      <c r="M1299" s="262"/>
      <c r="N1299" s="262"/>
      <c r="O1299" s="262"/>
      <c r="P1299" s="262"/>
      <c r="Q1299" s="262"/>
      <c r="R1299" s="262"/>
      <c r="S1299" s="262"/>
      <c r="T1299" s="262"/>
      <c r="U1299" s="262"/>
      <c r="V1299" s="262"/>
      <c r="W1299" s="262"/>
      <c r="X1299" s="262"/>
      <c r="Y1299" s="262"/>
      <c r="Z1299" s="262"/>
      <c r="AA1299" s="262"/>
      <c r="AB1299" s="262"/>
    </row>
    <row r="1300" spans="1:31" ht="12.75">
      <c r="A1300" s="277" t="s">
        <v>14475</v>
      </c>
      <c r="B1300" s="488" t="s">
        <v>14476</v>
      </c>
      <c r="C1300" s="489">
        <v>100854</v>
      </c>
      <c r="D1300" s="490" t="s">
        <v>14602</v>
      </c>
      <c r="E1300" s="609"/>
      <c r="F1300" s="554"/>
      <c r="G1300" s="492"/>
      <c r="H1300" s="493"/>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row>
    <row r="1301" spans="1:31" ht="25.5">
      <c r="A1301" s="285" t="s">
        <v>14478</v>
      </c>
      <c r="B1301" s="286" t="s">
        <v>14476</v>
      </c>
      <c r="C1301" s="408">
        <v>88267</v>
      </c>
      <c r="D1301" s="288" t="str">
        <f>IFERROR(VLOOKUP($C1301,'24.08_ND'!$A:$D,2,0),)</f>
        <v>ENCANADOR OU BOMBEIRO HIDRÁULICO COM ENCARGOS COMPLEMENTARES</v>
      </c>
      <c r="E1301" s="289" t="str">
        <f>IFERROR(VLOOKUP($C1301,'24.08_ND'!$A:$D,3,0),)</f>
        <v>H</v>
      </c>
      <c r="F1301" s="610">
        <v>0.64529999999999998</v>
      </c>
      <c r="G1301" s="291">
        <f>IFERROR(VLOOKUP($C1301,'24.08_ND'!$A:$D,4,0),)</f>
        <v>23.27</v>
      </c>
      <c r="H1301" s="292">
        <f>TRUNC(($F1301*$G1301),2)</f>
        <v>15.01</v>
      </c>
      <c r="I1301" s="262"/>
      <c r="J1301" s="262"/>
      <c r="K1301" s="262"/>
      <c r="L1301" s="262"/>
      <c r="M1301" s="262"/>
      <c r="N1301" s="262"/>
      <c r="O1301" s="262"/>
      <c r="P1301" s="262"/>
      <c r="Q1301" s="262"/>
      <c r="R1301" s="262"/>
      <c r="S1301" s="262"/>
      <c r="T1301" s="262"/>
      <c r="U1301" s="262"/>
      <c r="V1301" s="262"/>
      <c r="W1301" s="262"/>
      <c r="X1301" s="262"/>
      <c r="Y1301" s="262"/>
      <c r="Z1301" s="262"/>
      <c r="AA1301" s="262"/>
      <c r="AB1301" s="262"/>
      <c r="AD1301" s="1791" t="e">
        <f>VLOOKUP(C1301,'Medição '!$B$16:$F$1833,6,0)</f>
        <v>#N/A</v>
      </c>
      <c r="AE1301" s="1791"/>
    </row>
    <row r="1302" spans="1:31" ht="25.5">
      <c r="A1302" s="285" t="s">
        <v>14478</v>
      </c>
      <c r="B1302" s="286" t="s">
        <v>14476</v>
      </c>
      <c r="C1302" s="408">
        <v>88316</v>
      </c>
      <c r="D1302" s="288" t="str">
        <f>IFERROR(VLOOKUP($C1302,'24.08_ND'!$A:$D,2,0),)</f>
        <v>SERVENTE COM ENCARGOS COMPLEMENTARES</v>
      </c>
      <c r="E1302" s="289" t="str">
        <f>IFERROR(VLOOKUP($C1302,'24.08_ND'!$A:$D,3,0),)</f>
        <v>H</v>
      </c>
      <c r="F1302" s="610">
        <v>0.20330000000000001</v>
      </c>
      <c r="G1302" s="291">
        <f>IFERROR(VLOOKUP($C1302,'24.08_ND'!$A:$D,4,0),)</f>
        <v>18.510000000000002</v>
      </c>
      <c r="H1302" s="292">
        <f>TRUNC(($F1302*$G1302),2)</f>
        <v>3.76</v>
      </c>
      <c r="I1302" s="262"/>
      <c r="J1302" s="262"/>
      <c r="K1302" s="262"/>
      <c r="L1302" s="262"/>
      <c r="M1302" s="262"/>
      <c r="N1302" s="262"/>
      <c r="O1302" s="262"/>
      <c r="P1302" s="262"/>
      <c r="Q1302" s="262"/>
      <c r="R1302" s="262"/>
      <c r="S1302" s="262"/>
      <c r="T1302" s="262"/>
      <c r="U1302" s="262"/>
      <c r="V1302" s="262"/>
      <c r="W1302" s="262"/>
      <c r="X1302" s="262"/>
      <c r="Y1302" s="262"/>
      <c r="Z1302" s="262"/>
      <c r="AA1302" s="262"/>
      <c r="AB1302" s="262"/>
      <c r="AD1302" s="1791" t="e">
        <f>VLOOKUP(C1302,'Medição '!$B$16:$F$1833,6,0)</f>
        <v>#N/A</v>
      </c>
      <c r="AE1302" s="1791"/>
    </row>
    <row r="1303" spans="1:31" ht="12.75">
      <c r="A1303" s="558" t="s">
        <v>14479</v>
      </c>
      <c r="B1303" s="559" t="s">
        <v>14476</v>
      </c>
      <c r="C1303" s="559">
        <v>11681</v>
      </c>
      <c r="D1303" s="296" t="str">
        <f>IFERROR(VLOOKUP($C1303,'24.08_ND'!$A:$D,2,0),)</f>
        <v>ENGATE/RABICHO FLEXIVEL PLASTICO (PVC OU ABS) BRANCO 1/2" X 40 CM</v>
      </c>
      <c r="E1303" s="297" t="str">
        <f>IFERROR(VLOOKUP($C1303,'24.08_ND'!$A:$D,3,0),)</f>
        <v>UN</v>
      </c>
      <c r="F1303" s="611">
        <v>1</v>
      </c>
      <c r="G1303" s="299">
        <f>IFERROR(VLOOKUP($C1303,'24.08_ND'!$A:$D,4,0),)</f>
        <v>7.98</v>
      </c>
      <c r="H1303" s="300">
        <f>TRUNC(($F1303*$G1303),2)</f>
        <v>7.98</v>
      </c>
      <c r="I1303" s="262"/>
      <c r="J1303" s="262"/>
      <c r="K1303" s="262"/>
      <c r="L1303" s="262"/>
      <c r="M1303" s="262"/>
      <c r="N1303" s="262"/>
      <c r="O1303" s="262"/>
      <c r="P1303" s="262"/>
      <c r="Q1303" s="262"/>
      <c r="R1303" s="262"/>
      <c r="S1303" s="262"/>
      <c r="T1303" s="262"/>
      <c r="U1303" s="262"/>
      <c r="V1303" s="262"/>
      <c r="W1303" s="262"/>
      <c r="X1303" s="262"/>
      <c r="Y1303" s="262"/>
      <c r="Z1303" s="262"/>
      <c r="AA1303" s="262"/>
      <c r="AB1303" s="262"/>
    </row>
    <row r="1304" spans="1:31" ht="25.5">
      <c r="A1304" s="558" t="s">
        <v>14479</v>
      </c>
      <c r="B1304" s="559" t="s">
        <v>14476</v>
      </c>
      <c r="C1304" s="559">
        <v>36791</v>
      </c>
      <c r="D1304" s="296" t="str">
        <f>IFERROR(VLOOKUP($C1304,'24.08_ND'!$A:$D,2,0),)</f>
        <v>TORNEIRA METALICA CROMADA DE MESA PARA LAVATORIO, BICA ALTA, COM AREJADOR (REF 1195)</v>
      </c>
      <c r="E1304" s="297" t="str">
        <f>IFERROR(VLOOKUP($C1304,'24.08_ND'!$A:$D,3,0),)</f>
        <v>UN</v>
      </c>
      <c r="F1304" s="611">
        <v>1</v>
      </c>
      <c r="G1304" s="299">
        <f>IFERROR(VLOOKUP($C1304,'24.08_ND'!$A:$D,4,0),)</f>
        <v>138.79</v>
      </c>
      <c r="H1304" s="300">
        <f>TRUNC(($F1304*$G1304),2)</f>
        <v>138.79</v>
      </c>
      <c r="I1304" s="262"/>
      <c r="J1304" s="262"/>
      <c r="K1304" s="262"/>
      <c r="L1304" s="262"/>
      <c r="M1304" s="262"/>
      <c r="N1304" s="262"/>
      <c r="O1304" s="262"/>
      <c r="P1304" s="262"/>
      <c r="Q1304" s="262"/>
      <c r="R1304" s="262"/>
      <c r="S1304" s="262"/>
      <c r="T1304" s="262"/>
      <c r="U1304" s="262"/>
      <c r="V1304" s="262"/>
      <c r="W1304" s="262"/>
      <c r="X1304" s="262"/>
      <c r="Y1304" s="262"/>
      <c r="Z1304" s="262"/>
      <c r="AA1304" s="262"/>
      <c r="AB1304" s="262"/>
    </row>
    <row r="1305" spans="1:31" ht="12.75">
      <c r="A1305" s="558" t="s">
        <v>14479</v>
      </c>
      <c r="B1305" s="559" t="s">
        <v>14476</v>
      </c>
      <c r="C1305" s="559">
        <v>3146</v>
      </c>
      <c r="D1305" s="296" t="str">
        <f>IFERROR(VLOOKUP($C1305,'24.08_ND'!$A:$D,2,0),)</f>
        <v>FITA VEDA ROSCA EM ROLOS DE 18 MM X 10 M (L X C)</v>
      </c>
      <c r="E1305" s="297" t="str">
        <f>IFERROR(VLOOKUP($C1305,'24.08_ND'!$A:$D,3,0),)</f>
        <v>UN</v>
      </c>
      <c r="F1305" s="611">
        <f>0.2/10</f>
        <v>0.02</v>
      </c>
      <c r="G1305" s="299">
        <f>IFERROR(VLOOKUP($C1305,'24.08_ND'!$A:$D,4,0),)</f>
        <v>3.59</v>
      </c>
      <c r="H1305" s="300">
        <f>TRUNC(($F1305*$G1305),2)</f>
        <v>7.0000000000000007E-2</v>
      </c>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row>
    <row r="1306" spans="1:31" ht="12.75">
      <c r="A1306" s="415"/>
      <c r="B1306" s="416"/>
      <c r="C1306" s="416"/>
      <c r="D1306" s="416"/>
      <c r="E1306" s="416"/>
      <c r="F1306" s="417"/>
      <c r="G1306" s="418"/>
      <c r="H1306" s="419"/>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row>
    <row r="1307" spans="1:31" ht="25.5">
      <c r="A1307" s="358" t="s">
        <v>14471</v>
      </c>
      <c r="B1307" s="359" t="s">
        <v>14472</v>
      </c>
      <c r="C1307" s="360" t="s">
        <v>14950</v>
      </c>
      <c r="D1307" s="361" t="s">
        <v>14951</v>
      </c>
      <c r="E1307" s="359" t="s">
        <v>409</v>
      </c>
      <c r="F1307" s="362"/>
      <c r="G1307" s="362"/>
      <c r="H1307" s="363">
        <f>TRUNC(SUM(H1309:H1312),2)</f>
        <v>520.57000000000005</v>
      </c>
      <c r="I1307" s="276">
        <f>COUNTIF($C$8:$C1307,C:C)</f>
        <v>1</v>
      </c>
      <c r="J1307" s="262"/>
      <c r="K1307" s="262"/>
      <c r="L1307" s="262"/>
      <c r="M1307" s="262"/>
      <c r="N1307" s="262"/>
      <c r="O1307" s="262"/>
      <c r="P1307" s="262"/>
      <c r="Q1307" s="262"/>
      <c r="R1307" s="262"/>
      <c r="S1307" s="262"/>
      <c r="T1307" s="262"/>
      <c r="U1307" s="262"/>
      <c r="V1307" s="262"/>
      <c r="W1307" s="262"/>
      <c r="X1307" s="262"/>
      <c r="Y1307" s="262"/>
      <c r="Z1307" s="262"/>
      <c r="AA1307" s="262"/>
      <c r="AB1307" s="262"/>
    </row>
    <row r="1308" spans="1:31" ht="12.75">
      <c r="A1308" s="364" t="s">
        <v>14475</v>
      </c>
      <c r="B1308" s="403" t="s">
        <v>14489</v>
      </c>
      <c r="C1308" s="404" t="s">
        <v>14900</v>
      </c>
      <c r="D1308" s="630">
        <v>45292</v>
      </c>
      <c r="E1308" s="405"/>
      <c r="F1308" s="369"/>
      <c r="G1308" s="370"/>
      <c r="H1308" s="371"/>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row>
    <row r="1309" spans="1:31" ht="25.5">
      <c r="A1309" s="372" t="s">
        <v>14478</v>
      </c>
      <c r="B1309" s="373" t="s">
        <v>14476</v>
      </c>
      <c r="C1309" s="374">
        <v>88325</v>
      </c>
      <c r="D1309" s="593" t="str">
        <f>IFERROR(VLOOKUP($C1309,'24.08_ND'!$A:$D,2,0),)</f>
        <v>VIDRACEIRO COM ENCARGOS COMPLEMENTARES</v>
      </c>
      <c r="E1309" s="594" t="str">
        <f>IFERROR(VLOOKUP($C1309,'24.08_ND'!$A:$D,3,0),)</f>
        <v>H</v>
      </c>
      <c r="F1309" s="375">
        <v>0.66700000000000004</v>
      </c>
      <c r="G1309" s="595">
        <f>IFERROR(VLOOKUP($C1309,'24.08_ND'!$A:$D,4,0),)</f>
        <v>20.67</v>
      </c>
      <c r="H1309" s="440">
        <f>TRUNC(($F1309*$G1309),2)</f>
        <v>13.78</v>
      </c>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D1309" s="1791" t="e">
        <f>VLOOKUP(C1309,'Medição '!$B$16:$F$1833,6,0)</f>
        <v>#N/A</v>
      </c>
      <c r="AE1309" s="1791"/>
    </row>
    <row r="1310" spans="1:31" ht="12.75">
      <c r="A1310" s="382" t="s">
        <v>14479</v>
      </c>
      <c r="B1310" s="597" t="s">
        <v>14476</v>
      </c>
      <c r="C1310" s="384">
        <v>39961</v>
      </c>
      <c r="D1310" s="596" t="str">
        <f>IFERROR(VLOOKUP($C1310,'24.08_ND'!$A:$D,2,0),)</f>
        <v>SILICONE ACETICO USO GERAL INCOLOR 280 G</v>
      </c>
      <c r="E1310" s="597" t="str">
        <f>IFERROR(VLOOKUP($C1310,'24.08_ND'!$A:$D,3,0),)</f>
        <v>UN</v>
      </c>
      <c r="F1310" s="385">
        <v>0.25874999999999998</v>
      </c>
      <c r="G1310" s="598">
        <f>IFERROR(VLOOKUP($C1310,'24.08_ND'!$A:$D,4,0),)</f>
        <v>22.6</v>
      </c>
      <c r="H1310" s="449">
        <f>TRUNC(($F1310*$G1310),2)</f>
        <v>5.84</v>
      </c>
      <c r="I1310" s="262"/>
      <c r="J1310" s="262"/>
      <c r="K1310" s="262"/>
      <c r="L1310" s="262"/>
      <c r="M1310" s="262"/>
      <c r="N1310" s="262"/>
      <c r="O1310" s="262"/>
      <c r="P1310" s="262"/>
      <c r="Q1310" s="262"/>
      <c r="R1310" s="262"/>
      <c r="S1310" s="262"/>
      <c r="T1310" s="262"/>
      <c r="U1310" s="262"/>
      <c r="V1310" s="262"/>
      <c r="W1310" s="262"/>
      <c r="X1310" s="262"/>
      <c r="Y1310" s="262"/>
      <c r="Z1310" s="262"/>
      <c r="AA1310" s="262"/>
      <c r="AB1310" s="262"/>
    </row>
    <row r="1311" spans="1:31" ht="12.75">
      <c r="A1311" s="382" t="s">
        <v>14479</v>
      </c>
      <c r="B1311" s="597" t="s">
        <v>14476</v>
      </c>
      <c r="C1311" s="384">
        <v>11186</v>
      </c>
      <c r="D1311" s="596" t="str">
        <f>IFERROR(VLOOKUP($C1311,'24.08_ND'!$A:$D,2,0),)</f>
        <v>ESPELHO CRISTAL E = 4 MM</v>
      </c>
      <c r="E1311" s="597" t="str">
        <f>IFERROR(VLOOKUP($C1311,'24.08_ND'!$A:$D,3,0),)</f>
        <v>M2</v>
      </c>
      <c r="F1311" s="385">
        <v>1</v>
      </c>
      <c r="G1311" s="598">
        <f>IFERROR(VLOOKUP($C1311,'24.08_ND'!$A:$D,4,0),)</f>
        <v>470.07</v>
      </c>
      <c r="H1311" s="449">
        <f>TRUNC(($F1311*$G1311),2)</f>
        <v>470.07</v>
      </c>
      <c r="I1311" s="262"/>
      <c r="J1311" s="262"/>
      <c r="K1311" s="262"/>
      <c r="L1311" s="262"/>
      <c r="M1311" s="262"/>
      <c r="N1311" s="262"/>
      <c r="O1311" s="262"/>
      <c r="P1311" s="262"/>
      <c r="Q1311" s="262"/>
      <c r="R1311" s="262"/>
      <c r="S1311" s="262"/>
      <c r="T1311" s="262"/>
      <c r="U1311" s="262"/>
      <c r="V1311" s="262"/>
      <c r="W1311" s="262"/>
      <c r="X1311" s="262"/>
      <c r="Y1311" s="262"/>
      <c r="Z1311" s="262"/>
      <c r="AA1311" s="262"/>
      <c r="AB1311" s="262"/>
    </row>
    <row r="1312" spans="1:31" ht="25.5">
      <c r="A1312" s="382" t="s">
        <v>14479</v>
      </c>
      <c r="B1312" s="597" t="s">
        <v>14476</v>
      </c>
      <c r="C1312" s="384">
        <v>11552</v>
      </c>
      <c r="D1312" s="596" t="str">
        <f>IFERROR(VLOOKUP($C1312,'24.08_ND'!$A:$D,2,0),)</f>
        <v>PERFIL EM ALUMINIO, FORMATO U, ABAS IGUAIS, LARGURA DE 12,70 MM (1/2 POL), ESPESSURA 1,58 MM (1/16 POL) E PESO LINEAR DE APROXIMADAMENTE 0,149 KG/M</v>
      </c>
      <c r="E1312" s="597" t="str">
        <f>IFERROR(VLOOKUP($C1312,'24.08_ND'!$A:$D,3,0),)</f>
        <v>M</v>
      </c>
      <c r="F1312" s="385">
        <v>4</v>
      </c>
      <c r="G1312" s="598">
        <f>IFERROR(VLOOKUP($C1312,'24.08_ND'!$A:$D,4,0),)</f>
        <v>7.72</v>
      </c>
      <c r="H1312" s="449">
        <f>TRUNC(($F1312*$G1312),2)</f>
        <v>30.88</v>
      </c>
      <c r="I1312" s="262"/>
      <c r="J1312" s="262"/>
      <c r="K1312" s="262"/>
      <c r="L1312" s="262"/>
      <c r="M1312" s="262"/>
      <c r="N1312" s="262"/>
      <c r="O1312" s="262"/>
      <c r="P1312" s="262"/>
      <c r="Q1312" s="262"/>
      <c r="R1312" s="262"/>
      <c r="S1312" s="262"/>
      <c r="T1312" s="262"/>
      <c r="U1312" s="262"/>
      <c r="V1312" s="262"/>
      <c r="W1312" s="262"/>
      <c r="X1312" s="262"/>
      <c r="Y1312" s="262"/>
      <c r="Z1312" s="262"/>
      <c r="AA1312" s="262"/>
      <c r="AB1312" s="262"/>
    </row>
    <row r="1313" spans="1:31" ht="12.75">
      <c r="A1313" s="415"/>
      <c r="B1313" s="416"/>
      <c r="C1313" s="416"/>
      <c r="D1313" s="416"/>
      <c r="E1313" s="416"/>
      <c r="F1313" s="417"/>
      <c r="G1313" s="418"/>
      <c r="H1313" s="419"/>
      <c r="I1313" s="262"/>
      <c r="J1313" s="262"/>
      <c r="K1313" s="262"/>
      <c r="L1313" s="262"/>
      <c r="M1313" s="262"/>
      <c r="N1313" s="262"/>
      <c r="O1313" s="262"/>
      <c r="P1313" s="262"/>
      <c r="Q1313" s="262"/>
      <c r="R1313" s="262"/>
      <c r="S1313" s="262"/>
      <c r="T1313" s="262"/>
      <c r="U1313" s="262"/>
      <c r="V1313" s="262"/>
      <c r="W1313" s="262"/>
      <c r="X1313" s="262"/>
      <c r="Y1313" s="262"/>
      <c r="Z1313" s="262"/>
      <c r="AA1313" s="262"/>
      <c r="AB1313" s="262"/>
    </row>
    <row r="1314" spans="1:31" ht="12.75">
      <c r="A1314" s="271" t="s">
        <v>14471</v>
      </c>
      <c r="B1314" s="272" t="s">
        <v>14472</v>
      </c>
      <c r="C1314" s="360" t="s">
        <v>14952</v>
      </c>
      <c r="D1314" s="274" t="s">
        <v>14953</v>
      </c>
      <c r="E1314" s="272" t="s">
        <v>6</v>
      </c>
      <c r="F1314" s="272"/>
      <c r="G1314" s="272"/>
      <c r="H1314" s="275">
        <f>TRUNC(SUM(H1316:H1317),2)</f>
        <v>130.21</v>
      </c>
      <c r="I1314" s="276">
        <f>COUNTIF($C$8:$C1314,C:C)</f>
        <v>1</v>
      </c>
      <c r="J1314" s="262"/>
      <c r="K1314" s="262"/>
      <c r="L1314" s="262"/>
      <c r="M1314" s="262"/>
      <c r="N1314" s="262"/>
      <c r="O1314" s="262"/>
      <c r="P1314" s="262"/>
      <c r="Q1314" s="262"/>
      <c r="R1314" s="262"/>
      <c r="S1314" s="262"/>
      <c r="T1314" s="262"/>
      <c r="U1314" s="262"/>
      <c r="V1314" s="262"/>
      <c r="W1314" s="262"/>
      <c r="X1314" s="262"/>
      <c r="Y1314" s="262"/>
      <c r="Z1314" s="262"/>
      <c r="AA1314" s="262"/>
      <c r="AB1314" s="262"/>
    </row>
    <row r="1315" spans="1:31" ht="12.75">
      <c r="A1315" s="277" t="s">
        <v>14475</v>
      </c>
      <c r="B1315" s="488" t="s">
        <v>14600</v>
      </c>
      <c r="C1315" s="489">
        <v>4375</v>
      </c>
      <c r="D1315" s="496">
        <v>44652</v>
      </c>
      <c r="E1315" s="606"/>
      <c r="F1315" s="282"/>
      <c r="G1315" s="492"/>
      <c r="H1315" s="493"/>
      <c r="I1315" s="262"/>
      <c r="J1315" s="262"/>
      <c r="K1315" s="262"/>
      <c r="L1315" s="262"/>
      <c r="M1315" s="262"/>
      <c r="N1315" s="262"/>
      <c r="O1315" s="262"/>
      <c r="P1315" s="262"/>
      <c r="Q1315" s="262"/>
      <c r="R1315" s="262"/>
      <c r="S1315" s="262"/>
      <c r="T1315" s="262"/>
      <c r="U1315" s="262"/>
      <c r="V1315" s="262"/>
      <c r="W1315" s="262"/>
      <c r="X1315" s="262"/>
      <c r="Y1315" s="262"/>
      <c r="Z1315" s="262"/>
      <c r="AA1315" s="262"/>
      <c r="AB1315" s="262"/>
    </row>
    <row r="1316" spans="1:31" ht="25.5">
      <c r="A1316" s="649" t="s">
        <v>14479</v>
      </c>
      <c r="B1316" s="312" t="str">
        <f>VLOOKUP($C1316,'• CIs EXT'!$A:$E,2,0)</f>
        <v>ORSE</v>
      </c>
      <c r="C1316" s="473">
        <v>3585</v>
      </c>
      <c r="D1316" s="314" t="str">
        <f>VLOOKUP($C1316,'• CIs EXT'!$A:$E,3,0)</f>
        <v>LIXEIRA EM AÇO INOX COM PEDAL, BRINOX, REF 3040/203, D=25CM, H=41CM, CAPCIDADE=12 L, OU SIMILAR</v>
      </c>
      <c r="E1316" s="312" t="str">
        <f>VLOOKUP($C1316,'• CIs EXT'!$A:$E,4,0)</f>
        <v>UN</v>
      </c>
      <c r="F1316" s="315">
        <v>1</v>
      </c>
      <c r="G1316" s="312">
        <f>VLOOKUP($C1316,'• CIs EXT'!$A:$E,5,0)</f>
        <v>127.44</v>
      </c>
      <c r="H1316" s="316">
        <f>TRUNC(($F1316*$G1316),2)</f>
        <v>127.44</v>
      </c>
      <c r="I1316" s="262"/>
      <c r="J1316" s="262"/>
      <c r="K1316" s="262"/>
      <c r="L1316" s="262"/>
      <c r="M1316" s="262"/>
      <c r="N1316" s="262"/>
      <c r="O1316" s="262"/>
      <c r="P1316" s="262"/>
      <c r="Q1316" s="262"/>
      <c r="R1316" s="262"/>
      <c r="S1316" s="262"/>
      <c r="T1316" s="262"/>
      <c r="U1316" s="262"/>
      <c r="V1316" s="262"/>
      <c r="W1316" s="262"/>
      <c r="X1316" s="262"/>
      <c r="Y1316" s="262"/>
      <c r="Z1316" s="262"/>
      <c r="AA1316" s="262"/>
      <c r="AB1316" s="262"/>
    </row>
    <row r="1317" spans="1:31" ht="25.5">
      <c r="A1317" s="285" t="s">
        <v>14478</v>
      </c>
      <c r="B1317" s="407" t="s">
        <v>14476</v>
      </c>
      <c r="C1317" s="408">
        <v>88316</v>
      </c>
      <c r="D1317" s="288" t="str">
        <f>IFERROR(VLOOKUP($C1317,'24.08_ND'!$A:$D,2,0),)</f>
        <v>SERVENTE COM ENCARGOS COMPLEMENTARES</v>
      </c>
      <c r="E1317" s="289" t="str">
        <f>IFERROR(VLOOKUP($C1317,'24.08_ND'!$A:$D,3,0),)</f>
        <v>H</v>
      </c>
      <c r="F1317" s="290">
        <v>0.15</v>
      </c>
      <c r="G1317" s="291">
        <f>IFERROR(VLOOKUP($C1317,'24.08_ND'!$A:$D,4,0),)</f>
        <v>18.510000000000002</v>
      </c>
      <c r="H1317" s="292">
        <f>TRUNC(($F1317*$G1317),2)</f>
        <v>2.77</v>
      </c>
      <c r="I1317" s="262"/>
      <c r="J1317" s="262"/>
      <c r="K1317" s="262"/>
      <c r="L1317" s="262"/>
      <c r="M1317" s="262"/>
      <c r="N1317" s="262"/>
      <c r="O1317" s="262"/>
      <c r="P1317" s="262"/>
      <c r="Q1317" s="262"/>
      <c r="R1317" s="262"/>
      <c r="S1317" s="262"/>
      <c r="T1317" s="262"/>
      <c r="U1317" s="262"/>
      <c r="V1317" s="262"/>
      <c r="W1317" s="262"/>
      <c r="X1317" s="262"/>
      <c r="Y1317" s="262"/>
      <c r="Z1317" s="262"/>
      <c r="AA1317" s="262"/>
      <c r="AB1317" s="262"/>
      <c r="AD1317" s="1791" t="e">
        <f>VLOOKUP(C1317,'Medição '!$B$16:$F$1833,6,0)</f>
        <v>#N/A</v>
      </c>
      <c r="AE1317" s="1791"/>
    </row>
    <row r="1318" spans="1:31" ht="12.75">
      <c r="A1318" s="309"/>
      <c r="B1318" s="303"/>
      <c r="C1318" s="303"/>
      <c r="D1318" s="310"/>
      <c r="E1318" s="303"/>
      <c r="F1318" s="306"/>
      <c r="G1318" s="307"/>
      <c r="H1318" s="308"/>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row>
    <row r="1319" spans="1:31" ht="38.25">
      <c r="A1319" s="271" t="s">
        <v>14471</v>
      </c>
      <c r="B1319" s="272" t="s">
        <v>14472</v>
      </c>
      <c r="C1319" s="360" t="s">
        <v>14954</v>
      </c>
      <c r="D1319" s="274" t="s">
        <v>14955</v>
      </c>
      <c r="E1319" s="272" t="s">
        <v>409</v>
      </c>
      <c r="F1319" s="272"/>
      <c r="G1319" s="272"/>
      <c r="H1319" s="275">
        <f>TRUNC(SUM(H1321:H1325),2)</f>
        <v>25.38</v>
      </c>
      <c r="I1319" s="276">
        <f>COUNTIF($C$8:$C1319,C:C)</f>
        <v>1</v>
      </c>
      <c r="J1319" s="262"/>
      <c r="K1319" s="262"/>
      <c r="L1319" s="262"/>
      <c r="M1319" s="262"/>
      <c r="N1319" s="262"/>
      <c r="O1319" s="262"/>
      <c r="P1319" s="262"/>
      <c r="Q1319" s="262"/>
      <c r="R1319" s="262"/>
      <c r="S1319" s="262"/>
      <c r="T1319" s="262"/>
      <c r="U1319" s="262"/>
      <c r="V1319" s="262"/>
      <c r="W1319" s="262"/>
      <c r="X1319" s="262"/>
      <c r="Y1319" s="262"/>
      <c r="Z1319" s="262"/>
      <c r="AA1319" s="262"/>
      <c r="AB1319" s="262"/>
    </row>
    <row r="1320" spans="1:31" ht="12.75">
      <c r="A1320" s="277" t="s">
        <v>14475</v>
      </c>
      <c r="B1320" s="488" t="s">
        <v>14600</v>
      </c>
      <c r="C1320" s="489">
        <v>2188</v>
      </c>
      <c r="D1320" s="490" t="s">
        <v>14477</v>
      </c>
      <c r="E1320" s="609"/>
      <c r="F1320" s="554"/>
      <c r="G1320" s="492"/>
      <c r="H1320" s="493"/>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row>
    <row r="1321" spans="1:31" ht="25.5">
      <c r="A1321" s="285" t="s">
        <v>14478</v>
      </c>
      <c r="B1321" s="286" t="s">
        <v>14476</v>
      </c>
      <c r="C1321" s="408">
        <v>88309</v>
      </c>
      <c r="D1321" s="288" t="str">
        <f>IFERROR(VLOOKUP($C1321,'24.08_ND'!$A:$D,2,0),)</f>
        <v>PEDREIRO COM ENCARGOS COMPLEMENTARES</v>
      </c>
      <c r="E1321" s="289" t="str">
        <f>IFERROR(VLOOKUP($C1321,'24.08_ND'!$A:$D,3,0),)</f>
        <v>H</v>
      </c>
      <c r="F1321" s="610">
        <f>(15/60)+(12/60)</f>
        <v>0.45</v>
      </c>
      <c r="G1321" s="291">
        <f>IFERROR(VLOOKUP($C1321,'24.08_ND'!$A:$D,4,0),)</f>
        <v>23.33</v>
      </c>
      <c r="H1321" s="292">
        <f>TRUNC(($F1321*$G1321),2)</f>
        <v>10.49</v>
      </c>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D1321" s="1791" t="e">
        <f>VLOOKUP(C1321,'Medição '!$B$16:$F$1833,6,0)</f>
        <v>#N/A</v>
      </c>
      <c r="AE1321" s="1791"/>
    </row>
    <row r="1322" spans="1:31" ht="25.5">
      <c r="A1322" s="285" t="s">
        <v>14478</v>
      </c>
      <c r="B1322" s="286" t="s">
        <v>14476</v>
      </c>
      <c r="C1322" s="408">
        <v>88316</v>
      </c>
      <c r="D1322" s="288" t="str">
        <f>IFERROR(VLOOKUP($C1322,'24.08_ND'!$A:$D,2,0),)</f>
        <v>SERVENTE COM ENCARGOS COMPLEMENTARES</v>
      </c>
      <c r="E1322" s="289" t="str">
        <f>IFERROR(VLOOKUP($C1322,'24.08_ND'!$A:$D,3,0),)</f>
        <v>H</v>
      </c>
      <c r="F1322" s="610">
        <f>10/60*2</f>
        <v>0.33333333333333331</v>
      </c>
      <c r="G1322" s="291">
        <f>IFERROR(VLOOKUP($C1322,'24.08_ND'!$A:$D,4,0),)</f>
        <v>18.510000000000002</v>
      </c>
      <c r="H1322" s="292">
        <f>TRUNC(($F1322*$G1322),2)</f>
        <v>6.17</v>
      </c>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D1322" s="1791" t="e">
        <f>VLOOKUP(C1322,'Medição '!$B$16:$F$1833,6,0)</f>
        <v>#N/A</v>
      </c>
      <c r="AE1322" s="1791"/>
    </row>
    <row r="1323" spans="1:31" ht="25.5">
      <c r="A1323" s="285" t="s">
        <v>14478</v>
      </c>
      <c r="B1323" s="286" t="s">
        <v>14476</v>
      </c>
      <c r="C1323" s="408">
        <v>99814</v>
      </c>
      <c r="D1323" s="288" t="str">
        <f>IFERROR(VLOOKUP($C1323,'24.08_ND'!$A:$D,2,0),)</f>
        <v>LIMPEZA DE SUPERFÍCIE COM JATO DE ALTA PRESSÃO. AF_04/2019</v>
      </c>
      <c r="E1323" s="289" t="str">
        <f>IFERROR(VLOOKUP($C1323,'24.08_ND'!$A:$D,3,0),)</f>
        <v>M2</v>
      </c>
      <c r="F1323" s="610">
        <v>1</v>
      </c>
      <c r="G1323" s="291">
        <f>IFERROR(VLOOKUP($C1323,'24.08_ND'!$A:$D,4,0),)</f>
        <v>1.66</v>
      </c>
      <c r="H1323" s="292">
        <f>TRUNC(($F1323*$G1323),2)</f>
        <v>1.66</v>
      </c>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D1323" s="1791" t="e">
        <f>VLOOKUP(C1323,'Medição '!$B$16:$F$1833,6,0)</f>
        <v>#REF!</v>
      </c>
      <c r="AE1323" s="1791"/>
    </row>
    <row r="1324" spans="1:31" ht="25.5">
      <c r="A1324" s="285" t="s">
        <v>14478</v>
      </c>
      <c r="B1324" s="286" t="s">
        <v>14476</v>
      </c>
      <c r="C1324" s="408">
        <v>43143</v>
      </c>
      <c r="D1324" s="288" t="str">
        <f>IFERROR(VLOOKUP($C1324,'24.08_ND'!$A:$D,2,0),)</f>
        <v>SELANTE ACRILICO PARA TRATAMENTO / ACABAMENTO SUPERFICIAL DE CONCRETO ESTAMPADO, APARENTE, PEDRAS E OUTROS</v>
      </c>
      <c r="E1324" s="289" t="str">
        <f>IFERROR(VLOOKUP($C1324,'24.08_ND'!$A:$D,3,0),)</f>
        <v>L</v>
      </c>
      <c r="F1324" s="610">
        <f>18/100</f>
        <v>0.18</v>
      </c>
      <c r="G1324" s="291">
        <f>IFERROR(VLOOKUP($C1324,'24.08_ND'!$A:$D,4,0),)</f>
        <v>27.38</v>
      </c>
      <c r="H1324" s="292">
        <f>TRUNC(($F1324*$G1324),2)</f>
        <v>4.92</v>
      </c>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D1324" s="1791" t="e">
        <f>VLOOKUP(C1324,'Medição '!$B$16:$F$1833,6,0)</f>
        <v>#N/A</v>
      </c>
      <c r="AE1324" s="1791"/>
    </row>
    <row r="1325" spans="1:31" ht="12.75">
      <c r="A1325" s="558" t="s">
        <v>14479</v>
      </c>
      <c r="B1325" s="559" t="s">
        <v>14476</v>
      </c>
      <c r="C1325" s="559">
        <v>1379</v>
      </c>
      <c r="D1325" s="296" t="str">
        <f>IFERROR(VLOOKUP($C1325,'24.08_ND'!$A:$D,2,0),)</f>
        <v>CIMENTO PORTLAND COMPOSTO CP II-32</v>
      </c>
      <c r="E1325" s="297" t="str">
        <f>IFERROR(VLOOKUP($C1325,'24.08_ND'!$A:$D,3,0),)</f>
        <v>KG</v>
      </c>
      <c r="F1325" s="611">
        <v>2.9</v>
      </c>
      <c r="G1325" s="299">
        <f>IFERROR(VLOOKUP($C1325,'24.08_ND'!$A:$D,4,0),)</f>
        <v>0.74</v>
      </c>
      <c r="H1325" s="300">
        <f>TRUNC(($F1325*$G1325),2)</f>
        <v>2.14</v>
      </c>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row>
    <row r="1326" spans="1:31" ht="12.75">
      <c r="A1326" s="309"/>
      <c r="B1326" s="303"/>
      <c r="C1326" s="303"/>
      <c r="D1326" s="310"/>
      <c r="E1326" s="303"/>
      <c r="F1326" s="306"/>
      <c r="G1326" s="307"/>
      <c r="H1326" s="308"/>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row>
    <row r="1327" spans="1:31" ht="25.5">
      <c r="A1327" s="271" t="s">
        <v>14471</v>
      </c>
      <c r="B1327" s="272" t="s">
        <v>14472</v>
      </c>
      <c r="C1327" s="360" t="s">
        <v>14956</v>
      </c>
      <c r="D1327" s="274" t="s">
        <v>14957</v>
      </c>
      <c r="E1327" s="272" t="s">
        <v>409</v>
      </c>
      <c r="F1327" s="272"/>
      <c r="G1327" s="272"/>
      <c r="H1327" s="275">
        <f>TRUNC(SUM(H1329:H1337),2)</f>
        <v>172.58</v>
      </c>
      <c r="I1327" s="276">
        <f>COUNTIF($C$8:$C1327,C:C)</f>
        <v>1</v>
      </c>
      <c r="J1327" s="262"/>
      <c r="K1327" s="262"/>
      <c r="L1327" s="262"/>
      <c r="M1327" s="262"/>
      <c r="N1327" s="262"/>
      <c r="O1327" s="262"/>
      <c r="P1327" s="262"/>
      <c r="Q1327" s="262"/>
      <c r="R1327" s="262"/>
      <c r="S1327" s="262"/>
      <c r="T1327" s="262"/>
      <c r="U1327" s="262"/>
      <c r="V1327" s="262"/>
      <c r="W1327" s="262"/>
      <c r="X1327" s="262"/>
      <c r="Y1327" s="262"/>
      <c r="Z1327" s="262"/>
      <c r="AA1327" s="262"/>
      <c r="AB1327" s="262"/>
    </row>
    <row r="1328" spans="1:31" ht="12.75">
      <c r="A1328" s="277" t="s">
        <v>14475</v>
      </c>
      <c r="B1328" s="563" t="s">
        <v>14476</v>
      </c>
      <c r="C1328" s="489">
        <v>94229</v>
      </c>
      <c r="D1328" s="490" t="s">
        <v>14587</v>
      </c>
      <c r="E1328" s="623"/>
      <c r="F1328" s="355"/>
      <c r="G1328" s="624"/>
      <c r="H1328" s="625"/>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row>
    <row r="1329" spans="1:31" ht="25.5">
      <c r="A1329" s="285" t="s">
        <v>14478</v>
      </c>
      <c r="B1329" s="407" t="s">
        <v>14476</v>
      </c>
      <c r="C1329" s="408">
        <v>93282</v>
      </c>
      <c r="D1329" s="288" t="str">
        <f>IFERROR(VLOOKUP($C1329,'24.08_ND'!$A:$D,2,0),)</f>
        <v>GUINCHO ELÉTRICO DE COLUNA, CAPACIDADE 400 KG, COM MOTO FREIO, MOTOR TRIFÁSICO DE 1,25 CV - CHI DIURNO. AF_03/2016</v>
      </c>
      <c r="E1329" s="289" t="str">
        <f>IFERROR(VLOOKUP($C1329,'24.08_ND'!$A:$D,3,0),)</f>
        <v>CHI</v>
      </c>
      <c r="F1329" s="290">
        <v>1.83E-2</v>
      </c>
      <c r="G1329" s="291">
        <f>IFERROR(VLOOKUP($C1329,'24.08_ND'!$A:$D,4,0),)</f>
        <v>19.440000000000001</v>
      </c>
      <c r="H1329" s="292">
        <f t="shared" ref="H1329:H1337" si="50">TRUNC(($F1329*$G1329),2)</f>
        <v>0.35</v>
      </c>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D1329" s="1791" t="e">
        <f>VLOOKUP(C1329,'Medição '!$B$16:$F$1833,6,0)</f>
        <v>#N/A</v>
      </c>
      <c r="AE1329" s="1791"/>
    </row>
    <row r="1330" spans="1:31" ht="25.5">
      <c r="A1330" s="285" t="s">
        <v>14478</v>
      </c>
      <c r="B1330" s="407" t="s">
        <v>14476</v>
      </c>
      <c r="C1330" s="408">
        <v>93281</v>
      </c>
      <c r="D1330" s="288" t="str">
        <f>IFERROR(VLOOKUP($C1330,'24.08_ND'!$A:$D,2,0),)</f>
        <v>GUINCHO ELÉTRICO DE COLUNA, CAPACIDADE 400 KG, COM MOTO FREIO, MOTOR TRIFÁSICO DE 1,25 CV - CHP DIURNO. AF_03/2016</v>
      </c>
      <c r="E1330" s="289" t="str">
        <f>IFERROR(VLOOKUP($C1330,'24.08_ND'!$A:$D,3,0),)</f>
        <v>CHP</v>
      </c>
      <c r="F1330" s="290">
        <v>1.32E-2</v>
      </c>
      <c r="G1330" s="291">
        <f>IFERROR(VLOOKUP($C1330,'24.08_ND'!$A:$D,4,0),)</f>
        <v>20.420000000000002</v>
      </c>
      <c r="H1330" s="292">
        <f t="shared" si="50"/>
        <v>0.26</v>
      </c>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D1330" s="1791" t="e">
        <f>VLOOKUP(C1330,'Medição '!$B$16:$F$1833,6,0)</f>
        <v>#N/A</v>
      </c>
      <c r="AE1330" s="1791"/>
    </row>
    <row r="1331" spans="1:31" ht="25.5">
      <c r="A1331" s="285" t="s">
        <v>14478</v>
      </c>
      <c r="B1331" s="407" t="s">
        <v>14476</v>
      </c>
      <c r="C1331" s="408">
        <v>88316</v>
      </c>
      <c r="D1331" s="288" t="str">
        <f>IFERROR(VLOOKUP($C1331,'24.08_ND'!$A:$D,2,0),)</f>
        <v>SERVENTE COM ENCARGOS COMPLEMENTARES</v>
      </c>
      <c r="E1331" s="289" t="str">
        <f>IFERROR(VLOOKUP($C1331,'24.08_ND'!$A:$D,3,0),)</f>
        <v>H</v>
      </c>
      <c r="F1331" s="290">
        <v>0.63300000000000001</v>
      </c>
      <c r="G1331" s="291">
        <f>IFERROR(VLOOKUP($C1331,'24.08_ND'!$A:$D,4,0),)</f>
        <v>18.510000000000002</v>
      </c>
      <c r="H1331" s="292">
        <f t="shared" si="50"/>
        <v>11.71</v>
      </c>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D1331" s="1791" t="e">
        <f>VLOOKUP(C1331,'Medição '!$B$16:$F$1833,6,0)</f>
        <v>#N/A</v>
      </c>
      <c r="AE1331" s="1791"/>
    </row>
    <row r="1332" spans="1:31" ht="25.5">
      <c r="A1332" s="285" t="s">
        <v>14478</v>
      </c>
      <c r="B1332" s="407" t="s">
        <v>14476</v>
      </c>
      <c r="C1332" s="408">
        <v>88323</v>
      </c>
      <c r="D1332" s="288" t="str">
        <f>IFERROR(VLOOKUP($C1332,'24.08_ND'!$A:$D,2,0),)</f>
        <v>TELHADISTA COM ENCARGOS COMPLEMENTARES</v>
      </c>
      <c r="E1332" s="289" t="str">
        <f>IFERROR(VLOOKUP($C1332,'24.08_ND'!$A:$D,3,0),)</f>
        <v>H</v>
      </c>
      <c r="F1332" s="290">
        <v>0.53900000000000003</v>
      </c>
      <c r="G1332" s="291">
        <f>IFERROR(VLOOKUP($C1332,'24.08_ND'!$A:$D,4,0),)</f>
        <v>22.77</v>
      </c>
      <c r="H1332" s="292">
        <f t="shared" si="50"/>
        <v>12.27</v>
      </c>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D1332" s="1791" t="e">
        <f>VLOOKUP(C1332,'Medição '!$B$16:$F$1833,6,0)</f>
        <v>#N/A</v>
      </c>
      <c r="AE1332" s="1791"/>
    </row>
    <row r="1333" spans="1:31" ht="12.75">
      <c r="A1333" s="293" t="s">
        <v>14479</v>
      </c>
      <c r="B1333" s="297" t="s">
        <v>14476</v>
      </c>
      <c r="C1333" s="295">
        <v>43106</v>
      </c>
      <c r="D1333" s="296" t="str">
        <f>IFERROR(VLOOKUP($C1333,'24.08_ND'!$A:$D,2,0),)</f>
        <v>CHAPA DE ACO GALVANIZADA BITOLA GSG 24, E = 0,64 (5,12 KG/M2)</v>
      </c>
      <c r="E1333" s="297" t="str">
        <f>IFERROR(VLOOKUP($C1333,'24.08_ND'!$A:$D,3,0),)</f>
        <v>KG</v>
      </c>
      <c r="F1333" s="298">
        <f>1.05*5.12</f>
        <v>5.3760000000000003</v>
      </c>
      <c r="G1333" s="299">
        <f>IFERROR(VLOOKUP($C1333,'24.08_ND'!$A:$D,4,0),)</f>
        <v>14.21</v>
      </c>
      <c r="H1333" s="300">
        <f t="shared" si="50"/>
        <v>76.39</v>
      </c>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row>
    <row r="1334" spans="1:31" ht="12.75">
      <c r="A1334" s="293" t="s">
        <v>14479</v>
      </c>
      <c r="B1334" s="297" t="s">
        <v>14476</v>
      </c>
      <c r="C1334" s="295">
        <v>5061</v>
      </c>
      <c r="D1334" s="296" t="str">
        <f>IFERROR(VLOOKUP($C1334,'24.08_ND'!$A:$D,2,0),)</f>
        <v>PREGO DE ACO POLIDO COM CABECA 18 X 27 (2 1/2 X 10)</v>
      </c>
      <c r="E1334" s="297" t="str">
        <f>IFERROR(VLOOKUP($C1334,'24.08_ND'!$A:$D,3,0),)</f>
        <v>KG</v>
      </c>
      <c r="F1334" s="298">
        <v>2.5000000000000001E-2</v>
      </c>
      <c r="G1334" s="299">
        <f>IFERROR(VLOOKUP($C1334,'24.08_ND'!$A:$D,4,0),)</f>
        <v>16.04</v>
      </c>
      <c r="H1334" s="300">
        <f t="shared" si="50"/>
        <v>0.4</v>
      </c>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row>
    <row r="1335" spans="1:31" ht="25.5">
      <c r="A1335" s="293" t="s">
        <v>14479</v>
      </c>
      <c r="B1335" s="297" t="s">
        <v>14476</v>
      </c>
      <c r="C1335" s="295">
        <v>5104</v>
      </c>
      <c r="D1335" s="296" t="str">
        <f>IFERROR(VLOOKUP($C1335,'24.08_ND'!$A:$D,2,0),)</f>
        <v>REBITE DE REPUXO EM ALUMINIO VAZADO, DIAMETRO 3,2 X 8 MM DE COMPRIMENTO (1KG = 1025 UNIDADES)</v>
      </c>
      <c r="E1335" s="297" t="str">
        <f>IFERROR(VLOOKUP($C1335,'24.08_ND'!$A:$D,3,0),)</f>
        <v>KG</v>
      </c>
      <c r="F1335" s="298">
        <v>0.05</v>
      </c>
      <c r="G1335" s="299">
        <f>IFERROR(VLOOKUP($C1335,'24.08_ND'!$A:$D,4,0),)</f>
        <v>61.61</v>
      </c>
      <c r="H1335" s="300">
        <f t="shared" si="50"/>
        <v>3.08</v>
      </c>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row>
    <row r="1336" spans="1:31" ht="25.5">
      <c r="A1336" s="293" t="s">
        <v>14479</v>
      </c>
      <c r="B1336" s="297" t="s">
        <v>14476</v>
      </c>
      <c r="C1336" s="295">
        <v>142</v>
      </c>
      <c r="D1336" s="296" t="str">
        <f>IFERROR(VLOOKUP($C1336,'24.08_ND'!$A:$D,2,0),)</f>
        <v>SELANTE ELASTICO MONOCOMPONENTE A BASE DE POLIURETANO (PU) PARA JUNTAS DIVERSAS</v>
      </c>
      <c r="E1336" s="297" t="str">
        <f>IFERROR(VLOOKUP($C1336,'24.08_ND'!$A:$D,3,0),)</f>
        <v>310ML</v>
      </c>
      <c r="F1336" s="298">
        <v>0.32200000000000001</v>
      </c>
      <c r="G1336" s="299">
        <f>IFERROR(VLOOKUP($C1336,'24.08_ND'!$A:$D,4,0),)</f>
        <v>34.200000000000003</v>
      </c>
      <c r="H1336" s="300">
        <f t="shared" si="50"/>
        <v>11.01</v>
      </c>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row>
    <row r="1337" spans="1:31" ht="12.75">
      <c r="A1337" s="293" t="s">
        <v>14479</v>
      </c>
      <c r="B1337" s="297" t="s">
        <v>14476</v>
      </c>
      <c r="C1337" s="295">
        <v>13388</v>
      </c>
      <c r="D1337" s="296" t="str">
        <f>IFERROR(VLOOKUP($C1337,'24.08_ND'!$A:$D,2,0),)</f>
        <v>SOLDA EM BARRA DE ESTANHO-CHUMBO 50/50</v>
      </c>
      <c r="E1337" s="297" t="str">
        <f>IFERROR(VLOOKUP($C1337,'24.08_ND'!$A:$D,3,0),)</f>
        <v>KG</v>
      </c>
      <c r="F1337" s="298">
        <f>0.18*2</f>
        <v>0.36</v>
      </c>
      <c r="G1337" s="299">
        <f>IFERROR(VLOOKUP($C1337,'24.08_ND'!$A:$D,4,0),)</f>
        <v>158.66</v>
      </c>
      <c r="H1337" s="300">
        <f t="shared" si="50"/>
        <v>57.11</v>
      </c>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row>
    <row r="1338" spans="1:31" ht="12.75">
      <c r="A1338" s="309"/>
      <c r="B1338" s="303"/>
      <c r="C1338" s="303"/>
      <c r="D1338" s="310"/>
      <c r="E1338" s="303"/>
      <c r="F1338" s="306"/>
      <c r="G1338" s="307"/>
      <c r="H1338" s="308"/>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row>
    <row r="1339" spans="1:31" ht="12.75">
      <c r="A1339" s="271" t="s">
        <v>14471</v>
      </c>
      <c r="B1339" s="272" t="s">
        <v>14472</v>
      </c>
      <c r="C1339" s="360" t="s">
        <v>14958</v>
      </c>
      <c r="D1339" s="274" t="s">
        <v>14959</v>
      </c>
      <c r="E1339" s="272" t="s">
        <v>409</v>
      </c>
      <c r="F1339" s="272"/>
      <c r="G1339" s="272"/>
      <c r="H1339" s="275">
        <f>TRUNC(SUM(H1341:H1344),2)</f>
        <v>625.01</v>
      </c>
      <c r="I1339" s="276">
        <f>COUNTIF($C$8:$C1339,C:C)</f>
        <v>1</v>
      </c>
      <c r="J1339" s="262"/>
      <c r="K1339" s="262"/>
      <c r="L1339" s="262"/>
      <c r="M1339" s="262"/>
      <c r="N1339" s="262"/>
      <c r="O1339" s="262"/>
      <c r="P1339" s="262"/>
      <c r="Q1339" s="262"/>
      <c r="R1339" s="262"/>
      <c r="S1339" s="262"/>
      <c r="T1339" s="262"/>
      <c r="U1339" s="262"/>
      <c r="V1339" s="262"/>
      <c r="W1339" s="262"/>
      <c r="X1339" s="262"/>
      <c r="Y1339" s="262"/>
      <c r="Z1339" s="262"/>
      <c r="AA1339" s="262"/>
      <c r="AB1339" s="262"/>
    </row>
    <row r="1340" spans="1:31" ht="12.75">
      <c r="A1340" s="277" t="s">
        <v>14475</v>
      </c>
      <c r="B1340" s="278" t="s">
        <v>14489</v>
      </c>
      <c r="C1340" s="279" t="s">
        <v>14900</v>
      </c>
      <c r="D1340" s="332">
        <v>45292</v>
      </c>
      <c r="E1340" s="281"/>
      <c r="F1340" s="282"/>
      <c r="G1340" s="283"/>
      <c r="H1340" s="284"/>
      <c r="I1340" s="262"/>
      <c r="J1340" s="262"/>
      <c r="K1340" s="262"/>
      <c r="L1340" s="262"/>
      <c r="M1340" s="262"/>
      <c r="N1340" s="262"/>
      <c r="O1340" s="262"/>
      <c r="P1340" s="262"/>
      <c r="Q1340" s="262"/>
      <c r="R1340" s="262"/>
      <c r="S1340" s="262"/>
      <c r="T1340" s="262"/>
      <c r="U1340" s="262"/>
      <c r="V1340" s="262"/>
      <c r="W1340" s="262"/>
      <c r="X1340" s="262"/>
      <c r="Y1340" s="262"/>
      <c r="Z1340" s="262"/>
      <c r="AA1340" s="262"/>
      <c r="AB1340" s="262"/>
    </row>
    <row r="1341" spans="1:31" ht="25.5">
      <c r="A1341" s="285" t="s">
        <v>14478</v>
      </c>
      <c r="B1341" s="286" t="s">
        <v>14476</v>
      </c>
      <c r="C1341" s="287">
        <v>88325</v>
      </c>
      <c r="D1341" s="288" t="str">
        <f>IFERROR(VLOOKUP($C1341,'24.08_ND'!$A:$D,2,0),)</f>
        <v>VIDRACEIRO COM ENCARGOS COMPLEMENTARES</v>
      </c>
      <c r="E1341" s="289" t="str">
        <f>IFERROR(VLOOKUP($C1341,'24.08_ND'!$A:$D,3,0),)</f>
        <v>H</v>
      </c>
      <c r="F1341" s="290">
        <v>0.66700000000000004</v>
      </c>
      <c r="G1341" s="291">
        <f>IFERROR(VLOOKUP($C1341,'24.08_ND'!$A:$D,4,0),)</f>
        <v>20.67</v>
      </c>
      <c r="H1341" s="292">
        <f>TRUNC(($F1341*$G1341),2)</f>
        <v>13.78</v>
      </c>
      <c r="I1341" s="262"/>
      <c r="J1341" s="262"/>
      <c r="K1341" s="262"/>
      <c r="L1341" s="262"/>
      <c r="M1341" s="262"/>
      <c r="N1341" s="262"/>
      <c r="O1341" s="262"/>
      <c r="P1341" s="262"/>
      <c r="Q1341" s="262"/>
      <c r="R1341" s="262"/>
      <c r="S1341" s="262"/>
      <c r="T1341" s="262"/>
      <c r="U1341" s="262"/>
      <c r="V1341" s="262"/>
      <c r="W1341" s="262"/>
      <c r="X1341" s="262"/>
      <c r="Y1341" s="262"/>
      <c r="Z1341" s="262"/>
      <c r="AA1341" s="262"/>
      <c r="AB1341" s="262"/>
      <c r="AD1341" s="1791" t="e">
        <f>VLOOKUP(C1341,'Medição '!$B$16:$F$1833,6,0)</f>
        <v>#N/A</v>
      </c>
      <c r="AE1341" s="1791"/>
    </row>
    <row r="1342" spans="1:31" ht="12.75">
      <c r="A1342" s="293" t="s">
        <v>14479</v>
      </c>
      <c r="B1342" s="297" t="s">
        <v>14476</v>
      </c>
      <c r="C1342" s="295">
        <v>39961</v>
      </c>
      <c r="D1342" s="296" t="str">
        <f>IFERROR(VLOOKUP($C1342,'24.08_ND'!$A:$D,2,0),)</f>
        <v>SILICONE ACETICO USO GERAL INCOLOR 280 G</v>
      </c>
      <c r="E1342" s="297" t="str">
        <f>IFERROR(VLOOKUP($C1342,'24.08_ND'!$A:$D,3,0),)</f>
        <v>UN</v>
      </c>
      <c r="F1342" s="298">
        <v>0.25874999999999998</v>
      </c>
      <c r="G1342" s="299">
        <f>IFERROR(VLOOKUP($C1342,'24.08_ND'!$A:$D,4,0),)</f>
        <v>22.6</v>
      </c>
      <c r="H1342" s="300">
        <f>TRUNC(($F1342*$G1342),2)</f>
        <v>5.84</v>
      </c>
      <c r="I1342" s="262"/>
      <c r="J1342" s="262"/>
      <c r="K1342" s="262"/>
      <c r="L1342" s="262"/>
      <c r="M1342" s="262"/>
      <c r="N1342" s="262"/>
      <c r="O1342" s="262"/>
      <c r="P1342" s="262"/>
      <c r="Q1342" s="262"/>
      <c r="R1342" s="262"/>
      <c r="S1342" s="262"/>
      <c r="T1342" s="262"/>
      <c r="U1342" s="262"/>
      <c r="V1342" s="262"/>
      <c r="W1342" s="262"/>
      <c r="X1342" s="262"/>
      <c r="Y1342" s="262"/>
      <c r="Z1342" s="262"/>
      <c r="AA1342" s="262"/>
      <c r="AB1342" s="262"/>
    </row>
    <row r="1343" spans="1:31" ht="12.75">
      <c r="A1343" s="293" t="s">
        <v>14479</v>
      </c>
      <c r="B1343" s="297" t="s">
        <v>14476</v>
      </c>
      <c r="C1343" s="295">
        <v>11186</v>
      </c>
      <c r="D1343" s="296" t="str">
        <f>IFERROR(VLOOKUP($C1343,'24.08_ND'!$A:$D,2,0),)</f>
        <v>ESPELHO CRISTAL E = 4 MM</v>
      </c>
      <c r="E1343" s="297" t="str">
        <f>IFERROR(VLOOKUP($C1343,'24.08_ND'!$A:$D,3,0),)</f>
        <v>M2</v>
      </c>
      <c r="F1343" s="298">
        <v>1</v>
      </c>
      <c r="G1343" s="299">
        <f>IFERROR(VLOOKUP($C1343,'24.08_ND'!$A:$D,4,0),)</f>
        <v>470.07</v>
      </c>
      <c r="H1343" s="300">
        <f>TRUNC(($F1343*$G1343),2)</f>
        <v>470.07</v>
      </c>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row>
    <row r="1344" spans="1:31" ht="25.5">
      <c r="A1344" s="317" t="s">
        <v>14478</v>
      </c>
      <c r="B1344" s="312" t="str">
        <f>VLOOKUP($C1344,'• CIs EXT'!$A:$E,2,0)</f>
        <v>ORSE</v>
      </c>
      <c r="C1344" s="313">
        <v>13335</v>
      </c>
      <c r="D1344" s="314" t="str">
        <f>VLOOKUP($C1344,'• CIs EXT'!$A:$E,3,0)</f>
        <v>EXECUÇÃO DE ACABAMENTO CHANFRADO (BISOTADO) EM BORDAS DE ESPELHO</v>
      </c>
      <c r="E1344" s="312" t="str">
        <f>VLOOKUP($C1344,'• CIs EXT'!$A:$E,4,0)</f>
        <v>M</v>
      </c>
      <c r="F1344" s="315">
        <v>4</v>
      </c>
      <c r="G1344" s="312">
        <f>VLOOKUP($C1344,'• CIs EXT'!$A:$E,5,0)</f>
        <v>33.83</v>
      </c>
      <c r="H1344" s="316">
        <f>TRUNC(($F1344*$G1344),2)</f>
        <v>135.32</v>
      </c>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row>
    <row r="1345" spans="1:31" ht="12.75">
      <c r="A1345" s="309"/>
      <c r="B1345" s="303"/>
      <c r="C1345" s="303"/>
      <c r="D1345" s="310"/>
      <c r="E1345" s="303"/>
      <c r="F1345" s="306"/>
      <c r="G1345" s="307"/>
      <c r="H1345" s="308"/>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row>
    <row r="1346" spans="1:31" ht="38.25">
      <c r="A1346" s="358" t="s">
        <v>14471</v>
      </c>
      <c r="B1346" s="359" t="s">
        <v>14472</v>
      </c>
      <c r="C1346" s="273" t="s">
        <v>14960</v>
      </c>
      <c r="D1346" s="361" t="s">
        <v>14961</v>
      </c>
      <c r="E1346" s="359" t="s">
        <v>409</v>
      </c>
      <c r="F1346" s="362"/>
      <c r="G1346" s="362"/>
      <c r="H1346" s="363">
        <f>TRUNC(SUM(H1348:H1352),2)</f>
        <v>261</v>
      </c>
      <c r="I1346" s="276">
        <f>COUNTIF($C$8:$C1346,C:C)</f>
        <v>1</v>
      </c>
      <c r="J1346" s="262"/>
      <c r="K1346" s="262"/>
      <c r="L1346" s="262"/>
      <c r="M1346" s="262"/>
      <c r="N1346" s="262"/>
      <c r="O1346" s="262"/>
      <c r="P1346" s="262"/>
      <c r="Q1346" s="262"/>
      <c r="R1346" s="262"/>
      <c r="S1346" s="262"/>
      <c r="T1346" s="262"/>
      <c r="U1346" s="262"/>
      <c r="V1346" s="262"/>
      <c r="W1346" s="262"/>
      <c r="X1346" s="262"/>
      <c r="Y1346" s="262"/>
      <c r="Z1346" s="262"/>
      <c r="AA1346" s="262"/>
      <c r="AB1346" s="262"/>
    </row>
    <row r="1347" spans="1:31" ht="12.75">
      <c r="A1347" s="364" t="s">
        <v>14475</v>
      </c>
      <c r="B1347" s="403" t="s">
        <v>14476</v>
      </c>
      <c r="C1347" s="404">
        <v>104598</v>
      </c>
      <c r="D1347" s="367" t="s">
        <v>14477</v>
      </c>
      <c r="E1347" s="405"/>
      <c r="F1347" s="369"/>
      <c r="G1347" s="370"/>
      <c r="H1347" s="371"/>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row>
    <row r="1348" spans="1:31" ht="25.5">
      <c r="A1348" s="372" t="s">
        <v>14478</v>
      </c>
      <c r="B1348" s="421" t="s">
        <v>14476</v>
      </c>
      <c r="C1348" s="374">
        <v>88256</v>
      </c>
      <c r="D1348" s="288" t="str">
        <f>IFERROR(VLOOKUP($C1348,'24.08_ND'!$A:$D,2,0),)</f>
        <v>AZULEJISTA OU LADRILHISTA COM ENCARGOS COMPLEMENTARES</v>
      </c>
      <c r="E1348" s="289" t="str">
        <f>IFERROR(VLOOKUP($C1348,'24.08_ND'!$A:$D,3,0),)</f>
        <v>H</v>
      </c>
      <c r="F1348" s="375">
        <v>0.67685625000000005</v>
      </c>
      <c r="G1348" s="291">
        <f>IFERROR(VLOOKUP($C1348,'24.08_ND'!$A:$D,4,0),)</f>
        <v>23.2</v>
      </c>
      <c r="H1348" s="292">
        <f>TRUNC(($F1348*$G1348),2)</f>
        <v>15.7</v>
      </c>
      <c r="I1348" s="262"/>
      <c r="J1348" s="262"/>
      <c r="K1348" s="262"/>
      <c r="L1348" s="262"/>
      <c r="M1348" s="262"/>
      <c r="N1348" s="262"/>
      <c r="O1348" s="262"/>
      <c r="P1348" s="262"/>
      <c r="Q1348" s="262"/>
      <c r="R1348" s="262"/>
      <c r="S1348" s="262"/>
      <c r="T1348" s="262"/>
      <c r="U1348" s="262"/>
      <c r="V1348" s="262"/>
      <c r="W1348" s="262"/>
      <c r="X1348" s="262"/>
      <c r="Y1348" s="262"/>
      <c r="Z1348" s="262"/>
      <c r="AA1348" s="262"/>
      <c r="AB1348" s="262"/>
      <c r="AD1348" s="1791" t="e">
        <f>VLOOKUP(C1348,'Medição '!$B$16:$F$1833,6,0)</f>
        <v>#N/A</v>
      </c>
      <c r="AE1348" s="1791"/>
    </row>
    <row r="1349" spans="1:31" ht="25.5">
      <c r="A1349" s="372" t="s">
        <v>14478</v>
      </c>
      <c r="B1349" s="421" t="s">
        <v>14476</v>
      </c>
      <c r="C1349" s="374">
        <v>88316</v>
      </c>
      <c r="D1349" s="288" t="str">
        <f>IFERROR(VLOOKUP($C1349,'24.08_ND'!$A:$D,2,0),)</f>
        <v>SERVENTE COM ENCARGOS COMPLEMENTARES</v>
      </c>
      <c r="E1349" s="289" t="str">
        <f>IFERROR(VLOOKUP($C1349,'24.08_ND'!$A:$D,3,0),)</f>
        <v>H</v>
      </c>
      <c r="F1349" s="375">
        <v>0.21439687499999999</v>
      </c>
      <c r="G1349" s="291">
        <f>IFERROR(VLOOKUP($C1349,'24.08_ND'!$A:$D,4,0),)</f>
        <v>18.510000000000002</v>
      </c>
      <c r="H1349" s="292">
        <f>TRUNC(($F1349*$G1349),2)</f>
        <v>3.96</v>
      </c>
      <c r="I1349" s="262"/>
      <c r="J1349" s="262"/>
      <c r="K1349" s="262"/>
      <c r="L1349" s="262"/>
      <c r="M1349" s="262"/>
      <c r="N1349" s="262"/>
      <c r="O1349" s="262"/>
      <c r="P1349" s="262"/>
      <c r="Q1349" s="262"/>
      <c r="R1349" s="262"/>
      <c r="S1349" s="262"/>
      <c r="T1349" s="262"/>
      <c r="U1349" s="262"/>
      <c r="V1349" s="262"/>
      <c r="W1349" s="262"/>
      <c r="X1349" s="262"/>
      <c r="Y1349" s="262"/>
      <c r="Z1349" s="262"/>
      <c r="AA1349" s="262"/>
      <c r="AB1349" s="262"/>
      <c r="AD1349" s="1791" t="e">
        <f>VLOOKUP(C1349,'Medição '!$B$16:$F$1833,6,0)</f>
        <v>#N/A</v>
      </c>
      <c r="AE1349" s="1791"/>
    </row>
    <row r="1350" spans="1:31" ht="12.75">
      <c r="A1350" s="581" t="s">
        <v>14479</v>
      </c>
      <c r="B1350" s="582" t="s">
        <v>14476</v>
      </c>
      <c r="C1350" s="447">
        <v>34357</v>
      </c>
      <c r="D1350" s="296" t="str">
        <f>IFERROR(VLOOKUP($C1350,'24.08_ND'!$A:$D,2,0),)</f>
        <v>REJUNTE CIMENTICIO, QUALQUER COR</v>
      </c>
      <c r="E1350" s="297" t="str">
        <f>IFERROR(VLOOKUP($C1350,'24.08_ND'!$A:$D,3,0),)</f>
        <v>KG</v>
      </c>
      <c r="F1350" s="385">
        <v>0.13415625</v>
      </c>
      <c r="G1350" s="299">
        <f>IFERROR(VLOOKUP($C1350,'24.08_ND'!$A:$D,4,0),)</f>
        <v>6.41</v>
      </c>
      <c r="H1350" s="300">
        <f>TRUNC(($F1350*$G1350),2)</f>
        <v>0.85</v>
      </c>
      <c r="I1350" s="262"/>
      <c r="J1350" s="262"/>
      <c r="K1350" s="262"/>
      <c r="L1350" s="262"/>
      <c r="M1350" s="262"/>
      <c r="N1350" s="262"/>
      <c r="O1350" s="262"/>
      <c r="P1350" s="262"/>
      <c r="Q1350" s="262"/>
      <c r="R1350" s="262"/>
      <c r="S1350" s="262"/>
      <c r="T1350" s="262"/>
      <c r="U1350" s="262"/>
      <c r="V1350" s="262"/>
      <c r="W1350" s="262"/>
      <c r="X1350" s="262"/>
      <c r="Y1350" s="262"/>
      <c r="Z1350" s="262"/>
      <c r="AA1350" s="262"/>
      <c r="AB1350" s="262"/>
    </row>
    <row r="1351" spans="1:31" ht="12.75">
      <c r="A1351" s="581" t="s">
        <v>14479</v>
      </c>
      <c r="B1351" s="582" t="s">
        <v>14476</v>
      </c>
      <c r="C1351" s="447">
        <v>37595</v>
      </c>
      <c r="D1351" s="296" t="str">
        <f>IFERROR(VLOOKUP($C1351,'24.08_ND'!$A:$D,2,0),)</f>
        <v>ARGAMASSA COLANTE TIPO AC III</v>
      </c>
      <c r="E1351" s="297" t="str">
        <f>IFERROR(VLOOKUP($C1351,'24.08_ND'!$A:$D,3,0),)</f>
        <v>KG</v>
      </c>
      <c r="F1351" s="385">
        <v>11.55515625</v>
      </c>
      <c r="G1351" s="299">
        <f>IFERROR(VLOOKUP($C1351,'24.08_ND'!$A:$D,4,0),)</f>
        <v>3.36</v>
      </c>
      <c r="H1351" s="300">
        <f>TRUNC(($F1351*$G1351),2)</f>
        <v>38.82</v>
      </c>
      <c r="I1351" s="262"/>
      <c r="J1351" s="262"/>
      <c r="K1351" s="262"/>
      <c r="L1351" s="262"/>
      <c r="M1351" s="262"/>
      <c r="N1351" s="262"/>
      <c r="O1351" s="262"/>
      <c r="P1351" s="262"/>
      <c r="Q1351" s="262"/>
      <c r="R1351" s="262"/>
      <c r="S1351" s="262"/>
      <c r="T1351" s="262"/>
      <c r="U1351" s="262"/>
      <c r="V1351" s="262"/>
      <c r="W1351" s="262"/>
      <c r="X1351" s="262"/>
      <c r="Y1351" s="262"/>
      <c r="Z1351" s="262"/>
      <c r="AA1351" s="262"/>
      <c r="AB1351" s="262"/>
    </row>
    <row r="1352" spans="1:31" ht="12.75">
      <c r="A1352" s="317" t="s">
        <v>14479</v>
      </c>
      <c r="B1352" s="312" t="str">
        <f>VLOOKUP($C1352,'• CIs EXT'!$A:$E,2,0)</f>
        <v>SEDOP</v>
      </c>
      <c r="C1352" s="313" t="s">
        <v>14731</v>
      </c>
      <c r="D1352" s="314" t="str">
        <f>VLOOKUP($C1352,'• CIs EXT'!$A:$E,3,0)</f>
        <v>PORCELANATO - PADRÃO ALTO</v>
      </c>
      <c r="E1352" s="312" t="str">
        <f>VLOOKUP($C1352,'• CIs EXT'!$A:$E,4,0)</f>
        <v>M2</v>
      </c>
      <c r="F1352" s="315">
        <v>1.1000000000000001</v>
      </c>
      <c r="G1352" s="312">
        <f>VLOOKUP($C1352,'• CIs EXT'!$A:$E,5,0)</f>
        <v>183.34</v>
      </c>
      <c r="H1352" s="316">
        <f>TRUNC(($F1352*$G1352),2)</f>
        <v>201.67</v>
      </c>
      <c r="I1352" s="262"/>
      <c r="J1352" s="262"/>
      <c r="K1352" s="262"/>
      <c r="L1352" s="262"/>
      <c r="M1352" s="262"/>
      <c r="N1352" s="262"/>
      <c r="O1352" s="262"/>
      <c r="P1352" s="262"/>
      <c r="Q1352" s="262"/>
      <c r="R1352" s="262"/>
      <c r="S1352" s="262"/>
      <c r="T1352" s="262"/>
      <c r="U1352" s="262"/>
      <c r="V1352" s="262"/>
      <c r="W1352" s="262"/>
      <c r="X1352" s="262"/>
      <c r="Y1352" s="262"/>
      <c r="Z1352" s="262"/>
      <c r="AA1352" s="262"/>
      <c r="AB1352" s="262"/>
    </row>
    <row r="1353" spans="1:31" ht="12.75">
      <c r="A1353" s="309"/>
      <c r="B1353" s="303"/>
      <c r="C1353" s="303"/>
      <c r="D1353" s="310"/>
      <c r="E1353" s="303"/>
      <c r="F1353" s="306"/>
      <c r="G1353" s="307"/>
      <c r="H1353" s="308"/>
      <c r="I1353" s="262"/>
      <c r="J1353" s="262"/>
      <c r="K1353" s="262"/>
      <c r="L1353" s="262"/>
      <c r="M1353" s="262"/>
      <c r="N1353" s="262"/>
      <c r="O1353" s="262"/>
      <c r="P1353" s="262"/>
      <c r="Q1353" s="262"/>
      <c r="R1353" s="262"/>
      <c r="S1353" s="262"/>
      <c r="T1353" s="262"/>
      <c r="U1353" s="262"/>
      <c r="V1353" s="262"/>
      <c r="W1353" s="262"/>
      <c r="X1353" s="262"/>
      <c r="Y1353" s="262"/>
      <c r="Z1353" s="262"/>
      <c r="AA1353" s="262"/>
      <c r="AB1353" s="262"/>
    </row>
    <row r="1354" spans="1:31" ht="25.5">
      <c r="A1354" s="358" t="s">
        <v>14471</v>
      </c>
      <c r="B1354" s="359" t="s">
        <v>14472</v>
      </c>
      <c r="C1354" s="273" t="s">
        <v>14962</v>
      </c>
      <c r="D1354" s="361" t="s">
        <v>14963</v>
      </c>
      <c r="E1354" s="359" t="s">
        <v>409</v>
      </c>
      <c r="F1354" s="362"/>
      <c r="G1354" s="362"/>
      <c r="H1354" s="363">
        <f>TRUNC(SUM(H1356:H1365),2)</f>
        <v>227.56</v>
      </c>
      <c r="I1354" s="276">
        <f>COUNTIF($C$8:$C1354,C:C)</f>
        <v>1</v>
      </c>
      <c r="J1354" s="262"/>
      <c r="K1354" s="262"/>
      <c r="L1354" s="262"/>
      <c r="M1354" s="262"/>
      <c r="N1354" s="262"/>
      <c r="O1354" s="262"/>
      <c r="P1354" s="262"/>
      <c r="Q1354" s="262"/>
      <c r="R1354" s="262"/>
      <c r="S1354" s="262"/>
      <c r="T1354" s="262"/>
      <c r="U1354" s="262"/>
      <c r="V1354" s="262"/>
      <c r="W1354" s="262"/>
      <c r="X1354" s="262"/>
      <c r="Y1354" s="262"/>
      <c r="Z1354" s="262"/>
      <c r="AA1354" s="262"/>
      <c r="AB1354" s="262"/>
    </row>
    <row r="1355" spans="1:31" ht="12.75">
      <c r="A1355" s="364" t="s">
        <v>14475</v>
      </c>
      <c r="B1355" s="403" t="s">
        <v>14476</v>
      </c>
      <c r="C1355" s="404">
        <v>104598</v>
      </c>
      <c r="D1355" s="367" t="s">
        <v>14477</v>
      </c>
      <c r="E1355" s="405"/>
      <c r="F1355" s="369"/>
      <c r="G1355" s="370"/>
      <c r="H1355" s="371"/>
      <c r="I1355" s="262"/>
      <c r="J1355" s="262"/>
      <c r="K1355" s="262"/>
      <c r="L1355" s="262"/>
      <c r="M1355" s="262"/>
      <c r="N1355" s="262"/>
      <c r="O1355" s="262"/>
      <c r="P1355" s="262"/>
      <c r="Q1355" s="262"/>
      <c r="R1355" s="262"/>
      <c r="S1355" s="262"/>
      <c r="T1355" s="262"/>
      <c r="U1355" s="262"/>
      <c r="V1355" s="262"/>
      <c r="W1355" s="262"/>
      <c r="X1355" s="262"/>
      <c r="Y1355" s="262"/>
      <c r="Z1355" s="262"/>
      <c r="AA1355" s="262"/>
      <c r="AB1355" s="262"/>
    </row>
    <row r="1356" spans="1:31" ht="25.5">
      <c r="A1356" s="650" t="s">
        <v>14478</v>
      </c>
      <c r="B1356" s="651" t="s">
        <v>14476</v>
      </c>
      <c r="C1356" s="652">
        <v>88256</v>
      </c>
      <c r="D1356" s="653" t="str">
        <f>IFERROR(VLOOKUP($C1356,'24.08_ND'!$A:$D,2,0),)</f>
        <v>AZULEJISTA OU LADRILHISTA COM ENCARGOS COMPLEMENTARES</v>
      </c>
      <c r="E1356" s="654" t="str">
        <f>IFERROR(VLOOKUP($C1356,'24.08_ND'!$A:$D,3,0),)</f>
        <v>H</v>
      </c>
      <c r="F1356" s="655">
        <v>0.67685625000000005</v>
      </c>
      <c r="G1356" s="656">
        <f>IFERROR(VLOOKUP($C1356,'24.08_ND'!$A:$D,4,0),)</f>
        <v>23.2</v>
      </c>
      <c r="H1356" s="657">
        <f t="shared" ref="H1356:H1365" si="51">TRUNC(($F1356*$G1356),2)</f>
        <v>15.7</v>
      </c>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D1356" s="1791" t="e">
        <f>VLOOKUP(C1356,'Medição '!$B$16:$F$1833,6,0)</f>
        <v>#N/A</v>
      </c>
      <c r="AE1356" s="1791"/>
    </row>
    <row r="1357" spans="1:31" ht="25.5">
      <c r="A1357" s="650" t="s">
        <v>14478</v>
      </c>
      <c r="B1357" s="651" t="s">
        <v>14476</v>
      </c>
      <c r="C1357" s="652">
        <v>88316</v>
      </c>
      <c r="D1357" s="653" t="str">
        <f>IFERROR(VLOOKUP($C1357,'24.08_ND'!$A:$D,2,0),)</f>
        <v>SERVENTE COM ENCARGOS COMPLEMENTARES</v>
      </c>
      <c r="E1357" s="654" t="str">
        <f>IFERROR(VLOOKUP($C1357,'24.08_ND'!$A:$D,3,0),)</f>
        <v>H</v>
      </c>
      <c r="F1357" s="655">
        <f>0.214396875+0.0067</f>
        <v>0.221096875</v>
      </c>
      <c r="G1357" s="656">
        <f>IFERROR(VLOOKUP($C1357,'24.08_ND'!$A:$D,4,0),)</f>
        <v>18.510000000000002</v>
      </c>
      <c r="H1357" s="657">
        <f t="shared" si="51"/>
        <v>4.09</v>
      </c>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D1357" s="1791" t="e">
        <f>VLOOKUP(C1357,'Medição '!$B$16:$F$1833,6,0)</f>
        <v>#N/A</v>
      </c>
      <c r="AE1357" s="1791"/>
    </row>
    <row r="1358" spans="1:31" ht="25.5">
      <c r="A1358" s="650" t="s">
        <v>14478</v>
      </c>
      <c r="B1358" s="651" t="s">
        <v>14476</v>
      </c>
      <c r="C1358" s="652">
        <v>96624</v>
      </c>
      <c r="D1358" s="653" t="str">
        <f>IFERROR(VLOOKUP($C1358,'24.08_ND'!$A:$D,2,0),)</f>
        <v>LASTRO COM MATERIAL GRANULAR (PEDRA BRITADA N.2), APLICADO EM PISOS OU LAJES SOBRE SOLO, ESPESSURA DE *10 CM*. AF_01/2024</v>
      </c>
      <c r="E1358" s="654" t="str">
        <f>IFERROR(VLOOKUP($C1358,'24.08_ND'!$A:$D,3,0),)</f>
        <v>M3</v>
      </c>
      <c r="F1358" s="655">
        <f>0.15</f>
        <v>0.15</v>
      </c>
      <c r="G1358" s="656">
        <f>IFERROR(VLOOKUP($C1358,'24.08_ND'!$A:$D,4,0),)</f>
        <v>211.5</v>
      </c>
      <c r="H1358" s="657">
        <f t="shared" si="51"/>
        <v>31.72</v>
      </c>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D1358" s="1791" t="e">
        <f>VLOOKUP(C1358,'Medição '!$B$16:$F$1833,6,0)</f>
        <v>#REF!</v>
      </c>
      <c r="AE1358" s="1791"/>
    </row>
    <row r="1359" spans="1:31" ht="25.5">
      <c r="A1359" s="650" t="s">
        <v>14478</v>
      </c>
      <c r="B1359" s="651" t="s">
        <v>14476</v>
      </c>
      <c r="C1359" s="652">
        <v>88309</v>
      </c>
      <c r="D1359" s="653" t="str">
        <f>IFERROR(VLOOKUP($C1359,'24.08_ND'!$A:$D,2,0),)</f>
        <v>PEDREIRO COM ENCARGOS COMPLEMENTARES</v>
      </c>
      <c r="E1359" s="654" t="str">
        <f>IFERROR(VLOOKUP($C1359,'24.08_ND'!$A:$D,3,0),)</f>
        <v>H</v>
      </c>
      <c r="F1359" s="655">
        <f>0.7895+0.01</f>
        <v>0.79949999999999999</v>
      </c>
      <c r="G1359" s="656">
        <f>IFERROR(VLOOKUP($C1359,'24.08_ND'!$A:$D,4,0),)</f>
        <v>23.33</v>
      </c>
      <c r="H1359" s="657">
        <f t="shared" si="51"/>
        <v>18.649999999999999</v>
      </c>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D1359" s="1791" t="e">
        <f>VLOOKUP(C1359,'Medição '!$B$16:$F$1833,6,0)</f>
        <v>#N/A</v>
      </c>
      <c r="AE1359" s="1791"/>
    </row>
    <row r="1360" spans="1:31" ht="25.5">
      <c r="A1360" s="650" t="s">
        <v>14478</v>
      </c>
      <c r="B1360" s="651" t="s">
        <v>14476</v>
      </c>
      <c r="C1360" s="652">
        <v>91278</v>
      </c>
      <c r="D1360" s="653" t="str">
        <f>IFERROR(VLOOKUP($C1360,'24.08_ND'!$A:$D,2,0),)</f>
        <v>PLACA VIBRATÓRIA REVERSÍVEL COM MOTOR 4 TEMPOS A GASOLINA, FORÇA CENTRÍFUGA DE 25 KN (2500 KGF), POTÊNCIA 5,5 CV - CHI DIURNO. AF_08/2015</v>
      </c>
      <c r="E1360" s="654" t="str">
        <f>IFERROR(VLOOKUP($C1360,'24.08_ND'!$A:$D,3,0),)</f>
        <v>CHI</v>
      </c>
      <c r="F1360" s="655">
        <v>1.4999999999999999E-2</v>
      </c>
      <c r="G1360" s="656">
        <f>IFERROR(VLOOKUP($C1360,'24.08_ND'!$A:$D,4,0),)</f>
        <v>0.64</v>
      </c>
      <c r="H1360" s="657">
        <f t="shared" si="51"/>
        <v>0</v>
      </c>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D1360" s="1791" t="e">
        <f>VLOOKUP(C1360,'Medição '!$B$16:$F$1833,6,0)</f>
        <v>#N/A</v>
      </c>
      <c r="AE1360" s="1791"/>
    </row>
    <row r="1361" spans="1:31" ht="25.5">
      <c r="A1361" s="650" t="s">
        <v>14478</v>
      </c>
      <c r="B1361" s="651" t="s">
        <v>14476</v>
      </c>
      <c r="C1361" s="652">
        <v>91277</v>
      </c>
      <c r="D1361" s="653" t="str">
        <f>IFERROR(VLOOKUP($C1361,'24.08_ND'!$A:$D,2,0),)</f>
        <v>PLACA VIBRATÓRIA REVERSÍVEL COM MOTOR 4 TEMPOS A GASOLINA, FORÇA CENTRÍFUGA DE 25 KN (2500 KGF), POTÊNCIA 5,5 CV - CHP DIURNO. AF_08/2015</v>
      </c>
      <c r="E1361" s="654" t="str">
        <f>IFERROR(VLOOKUP($C1361,'24.08_ND'!$A:$D,3,0),)</f>
        <v>CHP</v>
      </c>
      <c r="F1361" s="655">
        <v>1.6E-2</v>
      </c>
      <c r="G1361" s="656">
        <f>IFERROR(VLOOKUP($C1361,'24.08_ND'!$A:$D,4,0),)</f>
        <v>9.15</v>
      </c>
      <c r="H1361" s="657">
        <f t="shared" si="51"/>
        <v>0.14000000000000001</v>
      </c>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D1361" s="1791" t="e">
        <f>VLOOKUP(C1361,'Medição '!$B$16:$F$1833,6,0)</f>
        <v>#N/A</v>
      </c>
      <c r="AE1361" s="1791"/>
    </row>
    <row r="1362" spans="1:31" ht="25.5">
      <c r="A1362" s="650" t="s">
        <v>14478</v>
      </c>
      <c r="B1362" s="651" t="s">
        <v>14476</v>
      </c>
      <c r="C1362" s="652">
        <v>88316</v>
      </c>
      <c r="D1362" s="653" t="str">
        <f>IFERROR(VLOOKUP($C1362,'24.08_ND'!$A:$D,2,0),)</f>
        <v>SERVENTE COM ENCARGOS COMPLEMENTARES</v>
      </c>
      <c r="E1362" s="654" t="str">
        <f>IFERROR(VLOOKUP($C1362,'24.08_ND'!$A:$D,3,0),)</f>
        <v>H</v>
      </c>
      <c r="F1362" s="655">
        <v>0.317</v>
      </c>
      <c r="G1362" s="656">
        <f>IFERROR(VLOOKUP($C1362,'24.08_ND'!$A:$D,4,0),)</f>
        <v>18.510000000000002</v>
      </c>
      <c r="H1362" s="657">
        <f t="shared" si="51"/>
        <v>5.86</v>
      </c>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D1362" s="1791" t="e">
        <f>VLOOKUP(C1362,'Medição '!$B$16:$F$1833,6,0)</f>
        <v>#N/A</v>
      </c>
      <c r="AE1362" s="1791"/>
    </row>
    <row r="1363" spans="1:31" ht="12.75">
      <c r="A1363" s="617" t="s">
        <v>14479</v>
      </c>
      <c r="B1363" s="618" t="s">
        <v>14476</v>
      </c>
      <c r="C1363" s="619">
        <v>367</v>
      </c>
      <c r="D1363" s="658" t="str">
        <f>IFERROR(VLOOKUP($C1363,'24.08_ND'!$A:$D,2,0),)</f>
        <v>AREIA GROSSA - POSTO JAZIDA/FORNECEDOR (RETIRADO NA JAZIDA, SEM TRANSPORTE)</v>
      </c>
      <c r="E1363" s="659" t="str">
        <f>IFERROR(VLOOKUP($C1363,'24.08_ND'!$A:$D,3,0),)</f>
        <v>M3</v>
      </c>
      <c r="F1363" s="621">
        <v>0.05</v>
      </c>
      <c r="G1363" s="660">
        <f>IFERROR(VLOOKUP($C1363,'24.08_ND'!$A:$D,4,0),)</f>
        <v>122.28</v>
      </c>
      <c r="H1363" s="661">
        <f t="shared" si="51"/>
        <v>6.11</v>
      </c>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row>
    <row r="1364" spans="1:31" ht="25.5">
      <c r="A1364" s="617" t="s">
        <v>14479</v>
      </c>
      <c r="B1364" s="618" t="s">
        <v>14476</v>
      </c>
      <c r="C1364" s="619">
        <v>4011</v>
      </c>
      <c r="D1364" s="658" t="str">
        <f>IFERROR(VLOOKUP($C1364,'24.08_ND'!$A:$D,2,0),)</f>
        <v>GEOTEXTIL NAO TECIDO AGULHADO DE FILAMENTOS CONTINUOS 100% POLIESTER, RESITENCIA A TRACAO = 10 KN/M</v>
      </c>
      <c r="E1364" s="659" t="str">
        <f>IFERROR(VLOOKUP($C1364,'24.08_ND'!$A:$D,3,0),)</f>
        <v>M2</v>
      </c>
      <c r="F1364" s="621">
        <v>1.1000000000000001</v>
      </c>
      <c r="G1364" s="660">
        <f>IFERROR(VLOOKUP($C1364,'24.08_ND'!$A:$D,4,0),)</f>
        <v>7.91</v>
      </c>
      <c r="H1364" s="661">
        <f t="shared" si="51"/>
        <v>8.6999999999999993</v>
      </c>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row>
    <row r="1365" spans="1:31" ht="25.5">
      <c r="A1365" s="617" t="s">
        <v>14479</v>
      </c>
      <c r="B1365" s="618" t="s">
        <v>14476</v>
      </c>
      <c r="C1365" s="619">
        <v>40671</v>
      </c>
      <c r="D1365" s="658" t="str">
        <f>IFERROR(VLOOKUP($C1365,'24.08_ND'!$A:$D,2,0),)</f>
        <v>PLACA/PISO DE CONCRETO POROSO/ PAVIMENTO PERMEAVEL/BLOCO DRENANTE DE CONCRETO</v>
      </c>
      <c r="E1365" s="659" t="str">
        <f>IFERROR(VLOOKUP($C1365,'24.08_ND'!$A:$D,3,0),)</f>
        <v>M2</v>
      </c>
      <c r="F1365" s="621">
        <v>1.1499999999999999</v>
      </c>
      <c r="G1365" s="660">
        <f>IFERROR(VLOOKUP($C1365,'24.08_ND'!$A:$D,4,0),)</f>
        <v>118.78</v>
      </c>
      <c r="H1365" s="661">
        <f t="shared" si="51"/>
        <v>136.59</v>
      </c>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row>
    <row r="1366" spans="1:31" ht="12.75">
      <c r="A1366" s="309"/>
      <c r="B1366" s="303"/>
      <c r="C1366" s="303"/>
      <c r="D1366" s="310"/>
      <c r="E1366" s="303"/>
      <c r="F1366" s="306"/>
      <c r="G1366" s="307"/>
      <c r="H1366" s="308"/>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row>
    <row r="1367" spans="1:31" ht="12.75">
      <c r="A1367" s="358" t="s">
        <v>14471</v>
      </c>
      <c r="B1367" s="359" t="s">
        <v>14472</v>
      </c>
      <c r="C1367" s="273" t="s">
        <v>14964</v>
      </c>
      <c r="D1367" s="361" t="s">
        <v>14965</v>
      </c>
      <c r="E1367" s="359" t="s">
        <v>50</v>
      </c>
      <c r="F1367" s="362"/>
      <c r="G1367" s="362"/>
      <c r="H1367" s="363">
        <f>SUM(H1369:H1376)</f>
        <v>22.36</v>
      </c>
      <c r="I1367" s="276">
        <f>COUNTIF($C$8:$C1367,C:C)</f>
        <v>1</v>
      </c>
      <c r="J1367" s="262"/>
      <c r="K1367" s="262"/>
      <c r="L1367" s="262"/>
      <c r="M1367" s="262"/>
      <c r="N1367" s="262"/>
      <c r="O1367" s="262"/>
      <c r="P1367" s="262"/>
      <c r="Q1367" s="262"/>
      <c r="R1367" s="262"/>
      <c r="S1367" s="262"/>
      <c r="T1367" s="262"/>
      <c r="U1367" s="262"/>
      <c r="V1367" s="262"/>
      <c r="W1367" s="262"/>
      <c r="X1367" s="262"/>
      <c r="Y1367" s="262"/>
      <c r="Z1367" s="262"/>
      <c r="AA1367" s="262"/>
      <c r="AB1367" s="262"/>
    </row>
    <row r="1368" spans="1:31" ht="12.75">
      <c r="A1368" s="364" t="s">
        <v>14475</v>
      </c>
      <c r="B1368" s="403" t="s">
        <v>14476</v>
      </c>
      <c r="C1368" s="404">
        <v>99054</v>
      </c>
      <c r="D1368" s="367" t="s">
        <v>14794</v>
      </c>
      <c r="E1368" s="405"/>
      <c r="F1368" s="369"/>
      <c r="G1368" s="370"/>
      <c r="H1368" s="371"/>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row>
    <row r="1369" spans="1:31" ht="25.5">
      <c r="A1369" s="372" t="s">
        <v>14478</v>
      </c>
      <c r="B1369" s="421" t="s">
        <v>14476</v>
      </c>
      <c r="C1369" s="374">
        <v>88269</v>
      </c>
      <c r="D1369" s="593" t="str">
        <f>IFERROR(VLOOKUP($C1369,'24.08_ND'!$A:$D,2,0),)</f>
        <v>GESSEIRO COM ENCARGOS COMPLEMENTARES</v>
      </c>
      <c r="E1369" s="594" t="str">
        <f>IFERROR(VLOOKUP($C1369,'24.08_ND'!$A:$D,3,0),)</f>
        <v>H</v>
      </c>
      <c r="F1369" s="375">
        <v>0.35174</v>
      </c>
      <c r="G1369" s="595">
        <f>IFERROR(VLOOKUP($C1369,'24.08_ND'!$A:$D,4,0),)</f>
        <v>22.31</v>
      </c>
      <c r="H1369" s="440">
        <f t="shared" ref="H1369:H1376" si="52">TRUNC(($F1369*$G1369),2)</f>
        <v>7.84</v>
      </c>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D1369" s="1791" t="e">
        <f>VLOOKUP(C1369,'Medição '!$B$16:$F$1833,6,0)</f>
        <v>#N/A</v>
      </c>
      <c r="AE1369" s="1791"/>
    </row>
    <row r="1370" spans="1:31" ht="25.5">
      <c r="A1370" s="372" t="s">
        <v>14478</v>
      </c>
      <c r="B1370" s="421" t="s">
        <v>14476</v>
      </c>
      <c r="C1370" s="374">
        <v>88316</v>
      </c>
      <c r="D1370" s="593" t="str">
        <f>IFERROR(VLOOKUP($C1370,'24.08_ND'!$A:$D,2,0),)</f>
        <v>SERVENTE COM ENCARGOS COMPLEMENTARES</v>
      </c>
      <c r="E1370" s="594" t="str">
        <f>IFERROR(VLOOKUP($C1370,'24.08_ND'!$A:$D,3,0),)</f>
        <v>H</v>
      </c>
      <c r="F1370" s="375">
        <v>0.19417999999999999</v>
      </c>
      <c r="G1370" s="595">
        <f>IFERROR(VLOOKUP($C1370,'24.08_ND'!$A:$D,4,0),)</f>
        <v>18.510000000000002</v>
      </c>
      <c r="H1370" s="440">
        <f t="shared" si="52"/>
        <v>3.59</v>
      </c>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D1370" s="1791" t="e">
        <f>VLOOKUP(C1370,'Medição '!$B$16:$F$1833,6,0)</f>
        <v>#N/A</v>
      </c>
      <c r="AE1370" s="1791"/>
    </row>
    <row r="1371" spans="1:31" ht="12.75">
      <c r="A1371" s="581" t="s">
        <v>14479</v>
      </c>
      <c r="B1371" s="582" t="s">
        <v>14476</v>
      </c>
      <c r="C1371" s="447">
        <v>345</v>
      </c>
      <c r="D1371" s="596" t="str">
        <f>IFERROR(VLOOKUP($C1371,'24.08_ND'!$A:$D,2,0),)</f>
        <v>ARAME GALVANIZADO 18 BWG, D = 1,24MM (0,009 KG/M)</v>
      </c>
      <c r="E1371" s="597" t="str">
        <f>IFERROR(VLOOKUP($C1371,'24.08_ND'!$A:$D,3,0),)</f>
        <v>KG</v>
      </c>
      <c r="F1371" s="385">
        <v>7.378E-3</v>
      </c>
      <c r="G1371" s="598">
        <f>IFERROR(VLOOKUP($C1371,'24.08_ND'!$A:$D,4,0),)</f>
        <v>32.42</v>
      </c>
      <c r="H1371" s="449">
        <f t="shared" si="52"/>
        <v>0.23</v>
      </c>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row>
    <row r="1372" spans="1:31" ht="12.75">
      <c r="A1372" s="581" t="s">
        <v>14479</v>
      </c>
      <c r="B1372" s="582" t="s">
        <v>14476</v>
      </c>
      <c r="C1372" s="447">
        <v>3315</v>
      </c>
      <c r="D1372" s="596" t="str">
        <f>IFERROR(VLOOKUP($C1372,'24.08_ND'!$A:$D,2,0),)</f>
        <v>GESSO EM PO PARA REVESTIMENTOS/MOLDURAS/SANCAS E USO GERAL</v>
      </c>
      <c r="E1372" s="597" t="str">
        <f>IFERROR(VLOOKUP($C1372,'24.08_ND'!$A:$D,3,0),)</f>
        <v>KG</v>
      </c>
      <c r="F1372" s="385">
        <v>1.85</v>
      </c>
      <c r="G1372" s="598">
        <f>IFERROR(VLOOKUP($C1372,'24.08_ND'!$A:$D,4,0),)</f>
        <v>0.9</v>
      </c>
      <c r="H1372" s="449">
        <f t="shared" si="52"/>
        <v>1.66</v>
      </c>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row>
    <row r="1373" spans="1:31" ht="12.75">
      <c r="A1373" s="581" t="s">
        <v>14479</v>
      </c>
      <c r="B1373" s="582" t="s">
        <v>14476</v>
      </c>
      <c r="C1373" s="447">
        <v>4812</v>
      </c>
      <c r="D1373" s="596" t="str">
        <f>IFERROR(VLOOKUP($C1373,'24.08_ND'!$A:$D,2,0),)</f>
        <v>PLACA DE GESSO PARA FORRO, *60 X 60* CM, ESPESSURA DE 12 MM (SEM COLOCACAO)</v>
      </c>
      <c r="E1373" s="597" t="str">
        <f>IFERROR(VLOOKUP($C1373,'24.08_ND'!$A:$D,3,0),)</f>
        <v>M2</v>
      </c>
      <c r="F1373" s="385">
        <f>(0.3+0.15+0.13+0.07)*1</f>
        <v>0.64999999999999991</v>
      </c>
      <c r="G1373" s="598">
        <f>IFERROR(VLOOKUP($C1373,'24.08_ND'!$A:$D,4,0),)</f>
        <v>12.55</v>
      </c>
      <c r="H1373" s="449">
        <f t="shared" si="52"/>
        <v>8.15</v>
      </c>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row>
    <row r="1374" spans="1:31" ht="12.75">
      <c r="A1374" s="581" t="s">
        <v>14479</v>
      </c>
      <c r="B1374" s="582" t="s">
        <v>14476</v>
      </c>
      <c r="C1374" s="447">
        <v>5066</v>
      </c>
      <c r="D1374" s="596" t="str">
        <f>IFERROR(VLOOKUP($C1374,'24.08_ND'!$A:$D,2,0),)</f>
        <v>PREGO DE ACO POLIDO COM CABECA 12 X 12</v>
      </c>
      <c r="E1374" s="597" t="str">
        <f>IFERROR(VLOOKUP($C1374,'24.08_ND'!$A:$D,3,0),)</f>
        <v>KG</v>
      </c>
      <c r="F1374" s="385">
        <v>2.0999999999999999E-3</v>
      </c>
      <c r="G1374" s="598">
        <f>IFERROR(VLOOKUP($C1374,'24.08_ND'!$A:$D,4,0),)</f>
        <v>21.49</v>
      </c>
      <c r="H1374" s="449">
        <f t="shared" si="52"/>
        <v>0.04</v>
      </c>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row>
    <row r="1375" spans="1:31" ht="12.75">
      <c r="A1375" s="581" t="s">
        <v>14479</v>
      </c>
      <c r="B1375" s="582" t="s">
        <v>14476</v>
      </c>
      <c r="C1375" s="447">
        <v>20250</v>
      </c>
      <c r="D1375" s="596" t="str">
        <f>IFERROR(VLOOKUP($C1375,'24.08_ND'!$A:$D,2,0),)</f>
        <v>SISAL EM FIBRA / ESTOPA SISAL PARA GESSO</v>
      </c>
      <c r="E1375" s="597" t="str">
        <f>IFERROR(VLOOKUP($C1375,'24.08_ND'!$A:$D,3,0),)</f>
        <v>KG</v>
      </c>
      <c r="F1375" s="385">
        <v>4.6800000000000001E-3</v>
      </c>
      <c r="G1375" s="598">
        <f>IFERROR(VLOOKUP($C1375,'24.08_ND'!$A:$D,4,0),)</f>
        <v>16.39</v>
      </c>
      <c r="H1375" s="449">
        <f t="shared" si="52"/>
        <v>7.0000000000000007E-2</v>
      </c>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row>
    <row r="1376" spans="1:31" ht="12.75">
      <c r="A1376" s="581" t="s">
        <v>14479</v>
      </c>
      <c r="B1376" s="582" t="s">
        <v>14476</v>
      </c>
      <c r="C1376" s="447">
        <v>40547</v>
      </c>
      <c r="D1376" s="596" t="str">
        <f>IFERROR(VLOOKUP($C1376,'24.08_ND'!$A:$D,2,0),)</f>
        <v>PARAFUSO ZINCADO, AUTOBROCANTE, FLANGEADO, 4,2 MM X 19 MM</v>
      </c>
      <c r="E1376" s="597" t="str">
        <f>IFERROR(VLOOKUP($C1376,'24.08_ND'!$A:$D,3,0),)</f>
        <v>CENTO</v>
      </c>
      <c r="F1376" s="385">
        <v>0.03</v>
      </c>
      <c r="G1376" s="598">
        <f>IFERROR(VLOOKUP($C1376,'24.08_ND'!$A:$D,4,0),)</f>
        <v>26.33</v>
      </c>
      <c r="H1376" s="449">
        <f t="shared" si="52"/>
        <v>0.78</v>
      </c>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row>
    <row r="1377" spans="1:31" ht="12.75">
      <c r="A1377" s="309"/>
      <c r="B1377" s="303"/>
      <c r="C1377" s="303"/>
      <c r="D1377" s="310"/>
      <c r="E1377" s="303"/>
      <c r="F1377" s="306"/>
      <c r="G1377" s="307"/>
      <c r="H1377" s="308"/>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row>
    <row r="1378" spans="1:31" ht="12.75">
      <c r="A1378" s="358" t="s">
        <v>14471</v>
      </c>
      <c r="B1378" s="359" t="s">
        <v>14472</v>
      </c>
      <c r="C1378" s="360" t="s">
        <v>14966</v>
      </c>
      <c r="D1378" s="361" t="s">
        <v>14967</v>
      </c>
      <c r="E1378" s="359" t="s">
        <v>50</v>
      </c>
      <c r="F1378" s="362"/>
      <c r="G1378" s="362"/>
      <c r="H1378" s="363">
        <f>SUM(H1380:H1383)</f>
        <v>20.97</v>
      </c>
      <c r="I1378" s="276">
        <f>COUNTIF($C$8:$C1378,C:C)</f>
        <v>1</v>
      </c>
      <c r="J1378" s="262"/>
      <c r="K1378" s="262"/>
      <c r="L1378" s="262"/>
      <c r="M1378" s="262"/>
      <c r="N1378" s="262"/>
      <c r="O1378" s="262"/>
      <c r="P1378" s="262"/>
      <c r="Q1378" s="262"/>
      <c r="R1378" s="262"/>
      <c r="S1378" s="262"/>
      <c r="T1378" s="262"/>
      <c r="U1378" s="262"/>
      <c r="V1378" s="262"/>
      <c r="W1378" s="262"/>
      <c r="X1378" s="262"/>
      <c r="Y1378" s="262"/>
      <c r="Z1378" s="262"/>
      <c r="AA1378" s="262"/>
      <c r="AB1378" s="262"/>
    </row>
    <row r="1379" spans="1:31" ht="12.75">
      <c r="A1379" s="364" t="s">
        <v>14475</v>
      </c>
      <c r="B1379" s="403" t="s">
        <v>14513</v>
      </c>
      <c r="C1379" s="404">
        <v>110698</v>
      </c>
      <c r="D1379" s="367" t="s">
        <v>14945</v>
      </c>
      <c r="E1379" s="405"/>
      <c r="F1379" s="369"/>
      <c r="G1379" s="370"/>
      <c r="H1379" s="371"/>
      <c r="I1379" s="262"/>
      <c r="J1379" s="262"/>
      <c r="K1379" s="262"/>
      <c r="L1379" s="262"/>
      <c r="M1379" s="262"/>
      <c r="N1379" s="262"/>
      <c r="O1379" s="262"/>
      <c r="P1379" s="262"/>
      <c r="Q1379" s="262"/>
      <c r="R1379" s="262"/>
      <c r="S1379" s="262"/>
      <c r="T1379" s="262"/>
      <c r="U1379" s="262"/>
      <c r="V1379" s="262"/>
      <c r="W1379" s="262"/>
      <c r="X1379" s="262"/>
      <c r="Y1379" s="262"/>
      <c r="Z1379" s="262"/>
      <c r="AA1379" s="262"/>
      <c r="AB1379" s="262"/>
    </row>
    <row r="1380" spans="1:31" ht="25.5">
      <c r="A1380" s="372" t="s">
        <v>14478</v>
      </c>
      <c r="B1380" s="421" t="s">
        <v>14476</v>
      </c>
      <c r="C1380" s="374">
        <v>88269</v>
      </c>
      <c r="D1380" s="593" t="str">
        <f>IFERROR(VLOOKUP($C1380,'24.08_ND'!$A:$D,2,0),)</f>
        <v>GESSEIRO COM ENCARGOS COMPLEMENTARES</v>
      </c>
      <c r="E1380" s="594" t="str">
        <f>IFERROR(VLOOKUP($C1380,'24.08_ND'!$A:$D,3,0),)</f>
        <v>H</v>
      </c>
      <c r="F1380" s="607">
        <v>0.21000000000000002</v>
      </c>
      <c r="G1380" s="595">
        <f>IFERROR(VLOOKUP($C1380,'24.08_ND'!$A:$D,4,0),)</f>
        <v>22.31</v>
      </c>
      <c r="H1380" s="440">
        <f>TRUNC(($F1380*$G1380),2)</f>
        <v>4.68</v>
      </c>
      <c r="I1380" s="262"/>
      <c r="J1380" s="262"/>
      <c r="K1380" s="262"/>
      <c r="L1380" s="262"/>
      <c r="M1380" s="262"/>
      <c r="N1380" s="262"/>
      <c r="O1380" s="262"/>
      <c r="P1380" s="262"/>
      <c r="Q1380" s="262"/>
      <c r="R1380" s="262"/>
      <c r="S1380" s="262"/>
      <c r="T1380" s="262"/>
      <c r="U1380" s="262"/>
      <c r="V1380" s="262"/>
      <c r="W1380" s="262"/>
      <c r="X1380" s="262"/>
      <c r="Y1380" s="262"/>
      <c r="Z1380" s="262"/>
      <c r="AA1380" s="262"/>
      <c r="AB1380" s="262"/>
      <c r="AD1380" s="1791" t="e">
        <f>VLOOKUP(C1380,'Medição '!$B$16:$F$1833,6,0)</f>
        <v>#N/A</v>
      </c>
      <c r="AE1380" s="1791"/>
    </row>
    <row r="1381" spans="1:31" ht="25.5">
      <c r="A1381" s="372" t="s">
        <v>14478</v>
      </c>
      <c r="B1381" s="421" t="s">
        <v>14476</v>
      </c>
      <c r="C1381" s="374">
        <v>88316</v>
      </c>
      <c r="D1381" s="593" t="str">
        <f>IFERROR(VLOOKUP($C1381,'24.08_ND'!$A:$D,2,0),)</f>
        <v>SERVENTE COM ENCARGOS COMPLEMENTARES</v>
      </c>
      <c r="E1381" s="594" t="str">
        <f>IFERROR(VLOOKUP($C1381,'24.08_ND'!$A:$D,3,0),)</f>
        <v>H</v>
      </c>
      <c r="F1381" s="607">
        <v>0.15750000000000003</v>
      </c>
      <c r="G1381" s="595">
        <f>IFERROR(VLOOKUP($C1381,'24.08_ND'!$A:$D,4,0),)</f>
        <v>18.510000000000002</v>
      </c>
      <c r="H1381" s="440">
        <f>TRUNC(($F1381*$G1381),2)</f>
        <v>2.91</v>
      </c>
      <c r="I1381" s="262"/>
      <c r="J1381" s="262"/>
      <c r="K1381" s="262"/>
      <c r="L1381" s="262"/>
      <c r="M1381" s="262"/>
      <c r="N1381" s="262"/>
      <c r="O1381" s="262"/>
      <c r="P1381" s="262"/>
      <c r="Q1381" s="262"/>
      <c r="R1381" s="262"/>
      <c r="S1381" s="262"/>
      <c r="T1381" s="262"/>
      <c r="U1381" s="262"/>
      <c r="V1381" s="262"/>
      <c r="W1381" s="262"/>
      <c r="X1381" s="262"/>
      <c r="Y1381" s="262"/>
      <c r="Z1381" s="262"/>
      <c r="AA1381" s="262"/>
      <c r="AB1381" s="262"/>
      <c r="AD1381" s="1791" t="e">
        <f>VLOOKUP(C1381,'Medição '!$B$16:$F$1833,6,0)</f>
        <v>#N/A</v>
      </c>
      <c r="AE1381" s="1791"/>
    </row>
    <row r="1382" spans="1:31" ht="12.75">
      <c r="A1382" s="581" t="s">
        <v>14479</v>
      </c>
      <c r="B1382" s="582" t="s">
        <v>14476</v>
      </c>
      <c r="C1382" s="447">
        <v>567</v>
      </c>
      <c r="D1382" s="596" t="str">
        <f>IFERROR(VLOOKUP($C1382,'24.08_ND'!$A:$D,2,0),)</f>
        <v>CANTONEIRA (ABAS IGUAIS) EM ACO CARBONO, 25,4 MM X 3,17 MM (L X E), 1,27KG/M</v>
      </c>
      <c r="E1382" s="597" t="str">
        <f>IFERROR(VLOOKUP($C1382,'24.08_ND'!$A:$D,3,0),)</f>
        <v>M</v>
      </c>
      <c r="F1382" s="385">
        <v>1</v>
      </c>
      <c r="G1382" s="598">
        <f>IFERROR(VLOOKUP($C1382,'24.08_ND'!$A:$D,4,0),)</f>
        <v>10.37</v>
      </c>
      <c r="H1382" s="449">
        <f>TRUNC(($F1382*$G1382),2)</f>
        <v>10.37</v>
      </c>
      <c r="I1382" s="262"/>
      <c r="J1382" s="262"/>
      <c r="K1382" s="262"/>
      <c r="L1382" s="262"/>
      <c r="M1382" s="262"/>
      <c r="N1382" s="262"/>
      <c r="O1382" s="262"/>
      <c r="P1382" s="262"/>
      <c r="Q1382" s="262"/>
      <c r="R1382" s="262"/>
      <c r="S1382" s="262"/>
      <c r="T1382" s="262"/>
      <c r="U1382" s="262"/>
      <c r="V1382" s="262"/>
      <c r="W1382" s="262"/>
      <c r="X1382" s="262"/>
      <c r="Y1382" s="262"/>
      <c r="Z1382" s="262"/>
      <c r="AA1382" s="262"/>
      <c r="AB1382" s="262"/>
    </row>
    <row r="1383" spans="1:31" ht="12.75">
      <c r="A1383" s="581" t="s">
        <v>14479</v>
      </c>
      <c r="B1383" s="582" t="s">
        <v>14476</v>
      </c>
      <c r="C1383" s="447">
        <v>39961</v>
      </c>
      <c r="D1383" s="596" t="str">
        <f>IFERROR(VLOOKUP($C1383,'24.08_ND'!$A:$D,2,0),)</f>
        <v>SILICONE ACETICO USO GERAL INCOLOR 280 G</v>
      </c>
      <c r="E1383" s="597" t="str">
        <f>IFERROR(VLOOKUP($C1383,'24.08_ND'!$A:$D,3,0),)</f>
        <v>UN</v>
      </c>
      <c r="F1383" s="385">
        <f>2/15</f>
        <v>0.13333333333333333</v>
      </c>
      <c r="G1383" s="598">
        <f>IFERROR(VLOOKUP($C1383,'24.08_ND'!$A:$D,4,0),)</f>
        <v>22.6</v>
      </c>
      <c r="H1383" s="449">
        <f>TRUNC(($F1383*$G1383),2)</f>
        <v>3.01</v>
      </c>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row>
    <row r="1384" spans="1:31" ht="12.75">
      <c r="A1384" s="309"/>
      <c r="B1384" s="303"/>
      <c r="C1384" s="303"/>
      <c r="D1384" s="310"/>
      <c r="E1384" s="303"/>
      <c r="F1384" s="306"/>
      <c r="G1384" s="307"/>
      <c r="H1384" s="308"/>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row>
    <row r="1385" spans="1:31" ht="51">
      <c r="A1385" s="358" t="s">
        <v>14471</v>
      </c>
      <c r="B1385" s="359" t="s">
        <v>14472</v>
      </c>
      <c r="C1385" s="585" t="s">
        <v>14968</v>
      </c>
      <c r="D1385" s="361" t="s">
        <v>14969</v>
      </c>
      <c r="E1385" s="359" t="s">
        <v>50</v>
      </c>
      <c r="F1385" s="401"/>
      <c r="G1385" s="402"/>
      <c r="H1385" s="363">
        <f>TRUNC(SUM(H1387:H1395,2))</f>
        <v>324</v>
      </c>
      <c r="I1385" s="276">
        <f>COUNTIF($C$8:$C1385,C:C)</f>
        <v>1</v>
      </c>
      <c r="J1385" s="262"/>
      <c r="K1385" s="262"/>
      <c r="L1385" s="262"/>
      <c r="M1385" s="262"/>
      <c r="N1385" s="262"/>
      <c r="O1385" s="262"/>
      <c r="P1385" s="262"/>
      <c r="Q1385" s="262"/>
      <c r="R1385" s="262"/>
      <c r="S1385" s="262"/>
      <c r="T1385" s="262"/>
      <c r="U1385" s="262"/>
      <c r="V1385" s="262"/>
      <c r="W1385" s="262"/>
      <c r="X1385" s="262"/>
      <c r="Y1385" s="262"/>
      <c r="Z1385" s="262"/>
      <c r="AA1385" s="262"/>
      <c r="AB1385" s="262"/>
    </row>
    <row r="1386" spans="1:31" ht="25.5">
      <c r="A1386" s="364" t="s">
        <v>14475</v>
      </c>
      <c r="B1386" s="403" t="s">
        <v>14522</v>
      </c>
      <c r="C1386" s="644">
        <v>44067</v>
      </c>
      <c r="D1386" s="367" t="s">
        <v>14567</v>
      </c>
      <c r="E1386" s="405"/>
      <c r="F1386" s="642"/>
      <c r="G1386" s="370"/>
      <c r="H1386" s="371"/>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row>
    <row r="1387" spans="1:31" ht="25.5">
      <c r="A1387" s="372" t="s">
        <v>14478</v>
      </c>
      <c r="B1387" s="421" t="s">
        <v>14476</v>
      </c>
      <c r="C1387" s="374">
        <v>88251</v>
      </c>
      <c r="D1387" s="288" t="str">
        <f>IFERROR(VLOOKUP($C1387,'24.08_ND'!$A:$D,2,0),)</f>
        <v>AUXILIAR DE SERRALHEIRO COM ENCARGOS COMPLEMENTARES</v>
      </c>
      <c r="E1387" s="289" t="str">
        <f>IFERROR(VLOOKUP($C1387,'24.08_ND'!$A:$D,3,0),)</f>
        <v>H</v>
      </c>
      <c r="F1387" s="375">
        <v>4.2</v>
      </c>
      <c r="G1387" s="291">
        <f>IFERROR(VLOOKUP($C1387,'24.08_ND'!$A:$D,4,0),)</f>
        <v>19.579999999999998</v>
      </c>
      <c r="H1387" s="292">
        <f t="shared" ref="H1387:H1395" si="53">TRUNC(($F1387*$G1387),2)</f>
        <v>82.23</v>
      </c>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D1387" s="1791" t="e">
        <f>VLOOKUP(C1387,'Medição '!$B$16:$F$1833,6,0)</f>
        <v>#N/A</v>
      </c>
      <c r="AE1387" s="1791"/>
    </row>
    <row r="1388" spans="1:31" ht="25.5">
      <c r="A1388" s="372" t="s">
        <v>14478</v>
      </c>
      <c r="B1388" s="421" t="s">
        <v>14476</v>
      </c>
      <c r="C1388" s="374">
        <v>88315</v>
      </c>
      <c r="D1388" s="288" t="str">
        <f>IFERROR(VLOOKUP($C1388,'24.08_ND'!$A:$D,2,0),)</f>
        <v>SERRALHEIRO COM ENCARGOS COMPLEMENTARES</v>
      </c>
      <c r="E1388" s="289" t="str">
        <f>IFERROR(VLOOKUP($C1388,'24.08_ND'!$A:$D,3,0),)</f>
        <v>H</v>
      </c>
      <c r="F1388" s="375">
        <v>5.22</v>
      </c>
      <c r="G1388" s="291">
        <f>IFERROR(VLOOKUP($C1388,'24.08_ND'!$A:$D,4,0),)</f>
        <v>23.13</v>
      </c>
      <c r="H1388" s="292">
        <f t="shared" si="53"/>
        <v>120.73</v>
      </c>
      <c r="I1388" s="262"/>
      <c r="J1388" s="262"/>
      <c r="K1388" s="262"/>
      <c r="L1388" s="262"/>
      <c r="M1388" s="262"/>
      <c r="N1388" s="262"/>
      <c r="O1388" s="262"/>
      <c r="P1388" s="262"/>
      <c r="Q1388" s="262"/>
      <c r="R1388" s="262"/>
      <c r="S1388" s="262"/>
      <c r="T1388" s="262"/>
      <c r="U1388" s="262"/>
      <c r="V1388" s="262"/>
      <c r="W1388" s="262"/>
      <c r="X1388" s="262"/>
      <c r="Y1388" s="262"/>
      <c r="Z1388" s="262"/>
      <c r="AA1388" s="262"/>
      <c r="AB1388" s="262"/>
      <c r="AD1388" s="1791" t="e">
        <f>VLOOKUP(C1388,'Medição '!$B$16:$F$1833,6,0)</f>
        <v>#N/A</v>
      </c>
      <c r="AE1388" s="1791"/>
    </row>
    <row r="1389" spans="1:31" ht="38.25">
      <c r="A1389" s="285" t="s">
        <v>14478</v>
      </c>
      <c r="B1389" s="286" t="s">
        <v>14476</v>
      </c>
      <c r="C1389" s="408">
        <v>100721</v>
      </c>
      <c r="D1389" s="288" t="str">
        <f>IFERROR(VLOOKUP($C1389,'24.08_ND'!$A:$D,2,0),)</f>
        <v>PINTURA COM TINTA ALQUÍDICA DE FUNDO (TIPO ZARCÃO) PULVERIZADA SOBRE SUPERFÍCIES METÁLICAS (EXCETO PERFIL) EXECUTADO EM OBRA (POR DEMÃO). AF_01/2020_PE</v>
      </c>
      <c r="E1389" s="289" t="str">
        <f>IFERROR(VLOOKUP($C1389,'24.08_ND'!$A:$D,3,0),)</f>
        <v>M2</v>
      </c>
      <c r="F1389" s="610">
        <f>((0.15*0.15)+(0.2355*1.2)+(0.1256*2.2)*1.1)</f>
        <v>0.60905200000000004</v>
      </c>
      <c r="G1389" s="291">
        <f>IFERROR(VLOOKUP($C1389,'24.08_ND'!$A:$D,4,0),)</f>
        <v>20.97</v>
      </c>
      <c r="H1389" s="292">
        <f t="shared" si="53"/>
        <v>12.77</v>
      </c>
      <c r="I1389" s="262"/>
      <c r="J1389" s="262"/>
      <c r="K1389" s="262"/>
      <c r="L1389" s="262"/>
      <c r="M1389" s="262"/>
      <c r="N1389" s="262"/>
      <c r="O1389" s="262"/>
      <c r="P1389" s="262"/>
      <c r="Q1389" s="262"/>
      <c r="R1389" s="262"/>
      <c r="S1389" s="262"/>
      <c r="T1389" s="262"/>
      <c r="U1389" s="262"/>
      <c r="V1389" s="262"/>
      <c r="W1389" s="262"/>
      <c r="X1389" s="262"/>
      <c r="Y1389" s="262"/>
      <c r="Z1389" s="262"/>
      <c r="AA1389" s="262"/>
      <c r="AB1389" s="262"/>
      <c r="AD1389" s="1791" t="e">
        <f>VLOOKUP(C1389,'Medição '!$B$16:$F$1833,6,0)</f>
        <v>#REF!</v>
      </c>
      <c r="AE1389" s="1791"/>
    </row>
    <row r="1390" spans="1:31" ht="38.25">
      <c r="A1390" s="285" t="s">
        <v>14478</v>
      </c>
      <c r="B1390" s="286" t="s">
        <v>14476</v>
      </c>
      <c r="C1390" s="408">
        <v>100761</v>
      </c>
      <c r="D1390" s="288" t="str">
        <f>IFERROR(VLOOKUP($C1390,'24.08_ND'!$A:$D,2,0),)</f>
        <v>PINTURA COM TINTA ALQUÍDICA DE ACABAMENTO (ESMALTE SINTÉTICO FOSCO) PULVERIZADA SOBRE SUPERFÍCIES METÁLICAS (EXCETO PERFIL) EXECUTADO EM OBRA (02 DEMÃOS). AF_01/2020_PE</v>
      </c>
      <c r="E1390" s="289" t="str">
        <f>IFERROR(VLOOKUP($C1390,'24.08_ND'!$A:$D,3,0),)</f>
        <v>M2</v>
      </c>
      <c r="F1390" s="610">
        <f>F1389</f>
        <v>0.60905200000000004</v>
      </c>
      <c r="G1390" s="291">
        <f>IFERROR(VLOOKUP($C1390,'24.08_ND'!$A:$D,4,0),)</f>
        <v>41.11</v>
      </c>
      <c r="H1390" s="292">
        <f t="shared" si="53"/>
        <v>25.03</v>
      </c>
      <c r="I1390" s="262"/>
      <c r="J1390" s="262"/>
      <c r="K1390" s="262"/>
      <c r="L1390" s="262"/>
      <c r="M1390" s="262"/>
      <c r="N1390" s="262"/>
      <c r="O1390" s="262"/>
      <c r="P1390" s="262"/>
      <c r="Q1390" s="262"/>
      <c r="R1390" s="262"/>
      <c r="S1390" s="262"/>
      <c r="T1390" s="262"/>
      <c r="U1390" s="262"/>
      <c r="V1390" s="262"/>
      <c r="W1390" s="262"/>
      <c r="X1390" s="262"/>
      <c r="Y1390" s="262"/>
      <c r="Z1390" s="262"/>
      <c r="AA1390" s="262"/>
      <c r="AB1390" s="262"/>
      <c r="AD1390" s="1791" t="e">
        <f>VLOOKUP(C1390,'Medição '!$B$16:$F$1833,6,0)</f>
        <v>#REF!</v>
      </c>
      <c r="AE1390" s="1791"/>
    </row>
    <row r="1391" spans="1:31" ht="12.75">
      <c r="A1391" s="558" t="s">
        <v>14479</v>
      </c>
      <c r="B1391" s="559" t="s">
        <v>14476</v>
      </c>
      <c r="C1391" s="559">
        <v>1319</v>
      </c>
      <c r="D1391" s="296" t="str">
        <f>IFERROR(VLOOKUP($C1391,'24.08_ND'!$A:$D,2,0),)</f>
        <v>CHAPA DE ACO FINA A QUENTE BITOLA MSG 3/16 ", E = 4,75 MM (38,00 KG/M2)</v>
      </c>
      <c r="E1391" s="297" t="str">
        <f>IFERROR(VLOOKUP($C1391,'24.08_ND'!$A:$D,3,0),)</f>
        <v>KG</v>
      </c>
      <c r="F1391" s="611">
        <f>0.15*0.15</f>
        <v>2.2499999999999999E-2</v>
      </c>
      <c r="G1391" s="299">
        <f>IFERROR(VLOOKUP($C1391,'24.08_ND'!$A:$D,4,0),)</f>
        <v>9.8800000000000008</v>
      </c>
      <c r="H1391" s="300">
        <f t="shared" si="53"/>
        <v>0.22</v>
      </c>
      <c r="I1391" s="262"/>
      <c r="J1391" s="262"/>
      <c r="K1391" s="262"/>
      <c r="L1391" s="262"/>
      <c r="M1391" s="262"/>
      <c r="N1391" s="262"/>
      <c r="O1391" s="262"/>
      <c r="P1391" s="262"/>
      <c r="Q1391" s="262"/>
      <c r="R1391" s="262"/>
      <c r="S1391" s="262"/>
      <c r="T1391" s="262"/>
      <c r="U1391" s="262"/>
      <c r="V1391" s="262"/>
      <c r="W1391" s="262"/>
      <c r="X1391" s="262"/>
      <c r="Y1391" s="262"/>
      <c r="Z1391" s="262"/>
      <c r="AA1391" s="262"/>
      <c r="AB1391" s="262"/>
    </row>
    <row r="1392" spans="1:31" ht="12.75">
      <c r="A1392" s="445" t="s">
        <v>14479</v>
      </c>
      <c r="B1392" s="446" t="s">
        <v>14476</v>
      </c>
      <c r="C1392" s="447">
        <v>11002</v>
      </c>
      <c r="D1392" s="296" t="str">
        <f>IFERROR(VLOOKUP($C1392,'24.08_ND'!$A:$D,2,0),)</f>
        <v>ELETRODO REVESTIDO AWS - E6013, DIAMETRO IGUAL A 2,50 MM</v>
      </c>
      <c r="E1392" s="297" t="str">
        <f>IFERROR(VLOOKUP($C1392,'24.08_ND'!$A:$D,3,0),)</f>
        <v>KG</v>
      </c>
      <c r="F1392" s="385">
        <v>0.25800000000000001</v>
      </c>
      <c r="G1392" s="299">
        <f>IFERROR(VLOOKUP($C1392,'24.08_ND'!$A:$D,4,0),)</f>
        <v>31.31</v>
      </c>
      <c r="H1392" s="300">
        <f t="shared" si="53"/>
        <v>8.07</v>
      </c>
      <c r="I1392" s="262"/>
      <c r="J1392" s="262"/>
      <c r="K1392" s="262"/>
      <c r="L1392" s="262"/>
      <c r="M1392" s="262"/>
      <c r="N1392" s="262"/>
      <c r="O1392" s="262"/>
      <c r="P1392" s="262"/>
      <c r="Q1392" s="262"/>
      <c r="R1392" s="262"/>
      <c r="S1392" s="262"/>
      <c r="T1392" s="262"/>
      <c r="U1392" s="262"/>
      <c r="V1392" s="262"/>
      <c r="W1392" s="262"/>
      <c r="X1392" s="262"/>
      <c r="Y1392" s="262"/>
      <c r="Z1392" s="262"/>
      <c r="AA1392" s="262"/>
      <c r="AB1392" s="262"/>
    </row>
    <row r="1393" spans="1:31" ht="25.5">
      <c r="A1393" s="445" t="s">
        <v>14479</v>
      </c>
      <c r="B1393" s="446" t="s">
        <v>14476</v>
      </c>
      <c r="C1393" s="447">
        <v>11964</v>
      </c>
      <c r="D1393" s="296" t="str">
        <f>IFERROR(VLOOKUP($C1393,'24.08_ND'!$A:$D,2,0),)</f>
        <v>PARAFUSO DE ACO ZINCADO, TIPO CHUMBADOR PARABOLT, DIAMETRO 3/8", COMPRIMENTO 75 MM</v>
      </c>
      <c r="E1393" s="297" t="str">
        <f>IFERROR(VLOOKUP($C1393,'24.08_ND'!$A:$D,3,0),)</f>
        <v>UN</v>
      </c>
      <c r="F1393" s="385">
        <v>4</v>
      </c>
      <c r="G1393" s="299">
        <f>IFERROR(VLOOKUP($C1393,'24.08_ND'!$A:$D,4,0),)</f>
        <v>2.29</v>
      </c>
      <c r="H1393" s="300">
        <f t="shared" si="53"/>
        <v>9.16</v>
      </c>
      <c r="I1393" s="262"/>
      <c r="J1393" s="262"/>
      <c r="K1393" s="262"/>
      <c r="L1393" s="262"/>
      <c r="M1393" s="262"/>
      <c r="N1393" s="262"/>
      <c r="O1393" s="262"/>
      <c r="P1393" s="262"/>
      <c r="Q1393" s="262"/>
      <c r="R1393" s="262"/>
      <c r="S1393" s="262"/>
      <c r="T1393" s="262"/>
      <c r="U1393" s="262"/>
      <c r="V1393" s="262"/>
      <c r="W1393" s="262"/>
      <c r="X1393" s="262"/>
      <c r="Y1393" s="262"/>
      <c r="Z1393" s="262"/>
      <c r="AA1393" s="262"/>
      <c r="AB1393" s="262"/>
    </row>
    <row r="1394" spans="1:31" ht="25.5">
      <c r="A1394" s="643" t="s">
        <v>14479</v>
      </c>
      <c r="B1394" s="312" t="str">
        <f>VLOOKUP($C1394,'• CIs EXT'!$A:$E,2,0)</f>
        <v>SUDECAP</v>
      </c>
      <c r="C1394" s="591" t="s">
        <v>14928</v>
      </c>
      <c r="D1394" s="378" t="str">
        <f>VLOOKUP($C1394,'• CIs EXT'!$A:$E,3,0)</f>
        <v>TUBO AÇO GALVANIZADO INDUSTRIAL REDONDO DN 3" (76,20 MM) E=2,00MM, NBR 6591</v>
      </c>
      <c r="E1394" s="379" t="str">
        <f>VLOOKUP($C1394,'• CIs EXT'!$A:$E,4,0)</f>
        <v>M</v>
      </c>
      <c r="F1394" s="380">
        <v>1.2</v>
      </c>
      <c r="G1394" s="379">
        <f>VLOOKUP($C1394,'• CIs EXT'!$A:$E,5,0)</f>
        <v>30.75</v>
      </c>
      <c r="H1394" s="381">
        <f t="shared" si="53"/>
        <v>36.9</v>
      </c>
      <c r="I1394" s="262"/>
      <c r="J1394" s="262"/>
      <c r="K1394" s="262"/>
      <c r="L1394" s="262"/>
      <c r="M1394" s="262"/>
      <c r="N1394" s="262"/>
      <c r="O1394" s="262"/>
      <c r="P1394" s="262"/>
      <c r="Q1394" s="262"/>
      <c r="R1394" s="262"/>
      <c r="S1394" s="262"/>
      <c r="T1394" s="262"/>
      <c r="U1394" s="262"/>
      <c r="V1394" s="262"/>
      <c r="W1394" s="262"/>
      <c r="X1394" s="262"/>
      <c r="Y1394" s="262"/>
      <c r="Z1394" s="262"/>
      <c r="AA1394" s="262"/>
      <c r="AB1394" s="262"/>
    </row>
    <row r="1395" spans="1:31" ht="25.5">
      <c r="A1395" s="643" t="s">
        <v>14479</v>
      </c>
      <c r="B1395" s="312" t="str">
        <f>VLOOKUP($C1395,'• CIs EXT'!$A:$E,2,0)</f>
        <v>SUDECAP</v>
      </c>
      <c r="C1395" s="591" t="s">
        <v>14970</v>
      </c>
      <c r="D1395" s="378" t="str">
        <f>VLOOKUP($C1395,'• CIs EXT'!$A:$E,3,0)</f>
        <v>TUBO AÇO GALVANIZADO INDUSTRIAL REDONDO DN 1 1/2" (38 MM) E=1,50MM, NBR 6591</v>
      </c>
      <c r="E1395" s="379" t="str">
        <f>VLOOKUP($C1395,'• CIs EXT'!$A:$E,4,0)</f>
        <v>M</v>
      </c>
      <c r="F1395" s="380">
        <v>2.2000000000000002</v>
      </c>
      <c r="G1395" s="379">
        <f>VLOOKUP($C1395,'• CIs EXT'!$A:$E,5,0)</f>
        <v>12.63</v>
      </c>
      <c r="H1395" s="381">
        <f t="shared" si="53"/>
        <v>27.78</v>
      </c>
      <c r="I1395" s="262"/>
      <c r="J1395" s="262"/>
      <c r="K1395" s="262"/>
      <c r="L1395" s="262"/>
      <c r="M1395" s="262"/>
      <c r="N1395" s="262"/>
      <c r="O1395" s="262"/>
      <c r="P1395" s="262"/>
      <c r="Q1395" s="262"/>
      <c r="R1395" s="262"/>
      <c r="S1395" s="262"/>
      <c r="T1395" s="262"/>
      <c r="U1395" s="262"/>
      <c r="V1395" s="262"/>
      <c r="W1395" s="262"/>
      <c r="X1395" s="262"/>
      <c r="Y1395" s="262"/>
      <c r="Z1395" s="262"/>
      <c r="AA1395" s="262"/>
      <c r="AB1395" s="262"/>
    </row>
    <row r="1396" spans="1:31" ht="12.75">
      <c r="A1396" s="309"/>
      <c r="B1396" s="303"/>
      <c r="C1396" s="303"/>
      <c r="D1396" s="310"/>
      <c r="E1396" s="303"/>
      <c r="F1396" s="306"/>
      <c r="G1396" s="307"/>
      <c r="H1396" s="308"/>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row>
    <row r="1397" spans="1:31" ht="51">
      <c r="A1397" s="358" t="s">
        <v>14471</v>
      </c>
      <c r="B1397" s="359" t="s">
        <v>14472</v>
      </c>
      <c r="C1397" s="585" t="s">
        <v>14971</v>
      </c>
      <c r="D1397" s="361" t="s">
        <v>14972</v>
      </c>
      <c r="E1397" s="359" t="s">
        <v>6</v>
      </c>
      <c r="F1397" s="401"/>
      <c r="G1397" s="402"/>
      <c r="H1397" s="363">
        <f>TRUNC(SUM(H1399:H1408,2))</f>
        <v>1859</v>
      </c>
      <c r="I1397" s="276">
        <f>COUNTIF($C$8:$C1397,C:C)</f>
        <v>1</v>
      </c>
      <c r="J1397" s="262"/>
      <c r="K1397" s="262"/>
      <c r="L1397" s="262"/>
      <c r="M1397" s="262"/>
      <c r="N1397" s="262"/>
      <c r="O1397" s="262"/>
      <c r="P1397" s="262"/>
      <c r="Q1397" s="262"/>
      <c r="R1397" s="262"/>
      <c r="S1397" s="262"/>
      <c r="T1397" s="262"/>
      <c r="U1397" s="262"/>
      <c r="V1397" s="262"/>
      <c r="W1397" s="262"/>
      <c r="X1397" s="262"/>
      <c r="Y1397" s="262"/>
      <c r="Z1397" s="262"/>
      <c r="AA1397" s="262"/>
      <c r="AB1397" s="262"/>
    </row>
    <row r="1398" spans="1:31" ht="12.75">
      <c r="A1398" s="364" t="s">
        <v>14475</v>
      </c>
      <c r="B1398" s="403" t="s">
        <v>14476</v>
      </c>
      <c r="C1398" s="404">
        <v>90843</v>
      </c>
      <c r="D1398" s="367" t="s">
        <v>14587</v>
      </c>
      <c r="E1398" s="405"/>
      <c r="F1398" s="642"/>
      <c r="G1398" s="370"/>
      <c r="H1398" s="371"/>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row>
    <row r="1399" spans="1:31" ht="25.5">
      <c r="A1399" s="372" t="s">
        <v>14478</v>
      </c>
      <c r="B1399" s="421" t="s">
        <v>14476</v>
      </c>
      <c r="C1399" s="374">
        <v>100659</v>
      </c>
      <c r="D1399" s="288" t="str">
        <f>IFERROR(VLOOKUP($C1399,'24.08_ND'!$A:$D,2,0),)</f>
        <v>ALIZAR DE 5X1,5CM PARA PORTA FIXADO COM PREGOS, PADRÃO MÉDIO - FORNECIMENTO E INSTALAÇÃO. AF_12/2019</v>
      </c>
      <c r="E1399" s="289" t="str">
        <f>IFERROR(VLOOKUP($C1399,'24.08_ND'!$A:$D,3,0),)</f>
        <v>M</v>
      </c>
      <c r="F1399" s="375">
        <v>10</v>
      </c>
      <c r="G1399" s="291">
        <f>IFERROR(VLOOKUP($C1399,'24.08_ND'!$A:$D,4,0),)</f>
        <v>11.79</v>
      </c>
      <c r="H1399" s="292">
        <f t="shared" ref="H1399:H1408" si="54">TRUNC(($F1399*$G1399),2)</f>
        <v>117.9</v>
      </c>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D1399" s="1791" t="e">
        <f>VLOOKUP(C1399,'Medição '!$B$16:$F$1833,6,0)</f>
        <v>#N/A</v>
      </c>
      <c r="AE1399" s="1791"/>
    </row>
    <row r="1400" spans="1:31" ht="25.5">
      <c r="A1400" s="372" t="s">
        <v>14478</v>
      </c>
      <c r="B1400" s="421" t="s">
        <v>14476</v>
      </c>
      <c r="C1400" s="374">
        <v>90806</v>
      </c>
      <c r="D1400" s="288" t="str">
        <f>IFERROR(VLOOKUP($C1400,'24.08_ND'!$A:$D,2,0),)</f>
        <v>BATENTE PARA PORTA DE MADEIRA, FIXAÇÃO COM ARGAMASSA, PADRÃO MÉDIO - FORNECIMENTO E INSTALAÇÃO. AF_12/2019</v>
      </c>
      <c r="E1400" s="289" t="str">
        <f>IFERROR(VLOOKUP($C1400,'24.08_ND'!$A:$D,3,0),)</f>
        <v>UN</v>
      </c>
      <c r="F1400" s="375">
        <v>1</v>
      </c>
      <c r="G1400" s="291">
        <f>IFERROR(VLOOKUP($C1400,'24.08_ND'!$A:$D,4,0),)</f>
        <v>393.62</v>
      </c>
      <c r="H1400" s="292">
        <f t="shared" si="54"/>
        <v>393.62</v>
      </c>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D1400" s="1791" t="e">
        <f>VLOOKUP(C1400,'Medição '!$B$16:$F$1833,6,0)</f>
        <v>#N/A</v>
      </c>
      <c r="AE1400" s="1791"/>
    </row>
    <row r="1401" spans="1:31" ht="25.5">
      <c r="A1401" s="285" t="s">
        <v>14478</v>
      </c>
      <c r="B1401" s="286" t="s">
        <v>14476</v>
      </c>
      <c r="C1401" s="408">
        <v>90830</v>
      </c>
      <c r="D1401" s="288" t="str">
        <f>IFERROR(VLOOKUP($C1401,'24.08_ND'!$A:$D,2,0),)</f>
        <v>FECHADURA DE EMBUTIR COM CILINDRO, EXTERNA, COMPLETA, ACABAMENTO PADRÃO MÉDIO, INCLUSO EXECUÇÃO DE FURO - FORNECIMENTO E INSTALAÇÃO. AF_12/2019</v>
      </c>
      <c r="E1401" s="289" t="str">
        <f>IFERROR(VLOOKUP($C1401,'24.08_ND'!$A:$D,3,0),)</f>
        <v>UN</v>
      </c>
      <c r="F1401" s="610">
        <v>1</v>
      </c>
      <c r="G1401" s="291">
        <f>IFERROR(VLOOKUP($C1401,'24.08_ND'!$A:$D,4,0),)</f>
        <v>144.62</v>
      </c>
      <c r="H1401" s="292">
        <f t="shared" si="54"/>
        <v>144.62</v>
      </c>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D1401" s="1791" t="e">
        <f>VLOOKUP(C1401,'Medição '!$B$16:$F$1833,6,0)</f>
        <v>#N/A</v>
      </c>
      <c r="AE1401" s="1791"/>
    </row>
    <row r="1402" spans="1:31" ht="25.5">
      <c r="A1402" s="285" t="s">
        <v>14478</v>
      </c>
      <c r="B1402" s="286" t="s">
        <v>14476</v>
      </c>
      <c r="C1402" s="408">
        <v>102213</v>
      </c>
      <c r="D1402" s="288" t="str">
        <f>IFERROR(VLOOKUP($C1402,'24.08_ND'!$A:$D,2,0),)</f>
        <v>PINTURA VERNIZ (INCOLOR) ALQUÍDICO EM MADEIRA, USO INTERNO E EXTERNO, 2 DEMÃOS. AF_01/2021</v>
      </c>
      <c r="E1402" s="289" t="str">
        <f>IFERROR(VLOOKUP($C1402,'24.08_ND'!$A:$D,3,0),)</f>
        <v>M2</v>
      </c>
      <c r="F1402" s="610">
        <v>4.8100000000000005</v>
      </c>
      <c r="G1402" s="291">
        <f>IFERROR(VLOOKUP($C1402,'24.08_ND'!$A:$D,4,0),)</f>
        <v>18.059999999999999</v>
      </c>
      <c r="H1402" s="292">
        <f t="shared" si="54"/>
        <v>86.86</v>
      </c>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D1402" s="1791" t="e">
        <f>VLOOKUP(C1402,'Medição '!$B$16:$F$1833,6,0)</f>
        <v>#N/A</v>
      </c>
      <c r="AE1402" s="1791"/>
    </row>
    <row r="1403" spans="1:31" ht="25.5">
      <c r="A1403" s="285" t="s">
        <v>14478</v>
      </c>
      <c r="B1403" s="286" t="s">
        <v>14476</v>
      </c>
      <c r="C1403" s="408">
        <v>88261</v>
      </c>
      <c r="D1403" s="288" t="str">
        <f>IFERROR(VLOOKUP($C1403,'24.08_ND'!$A:$D,2,0),)</f>
        <v>CARPINTEIRO DE ESQUADRIA COM ENCARGOS COMPLEMENTARES</v>
      </c>
      <c r="E1403" s="289" t="str">
        <f>IFERROR(VLOOKUP($C1403,'24.08_ND'!$A:$D,3,0),)</f>
        <v>H</v>
      </c>
      <c r="F1403" s="610">
        <v>1.546</v>
      </c>
      <c r="G1403" s="291">
        <f>IFERROR(VLOOKUP($C1403,'24.08_ND'!$A:$D,4,0),)</f>
        <v>22</v>
      </c>
      <c r="H1403" s="292">
        <f t="shared" si="54"/>
        <v>34.01</v>
      </c>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D1403" s="1791" t="e">
        <f>VLOOKUP(C1403,'Medição '!$B$16:$F$1833,6,0)</f>
        <v>#N/A</v>
      </c>
      <c r="AE1403" s="1791"/>
    </row>
    <row r="1404" spans="1:31" ht="25.5">
      <c r="A1404" s="285" t="s">
        <v>14478</v>
      </c>
      <c r="B1404" s="286" t="s">
        <v>14476</v>
      </c>
      <c r="C1404" s="408">
        <v>88316</v>
      </c>
      <c r="D1404" s="288" t="str">
        <f>IFERROR(VLOOKUP($C1404,'24.08_ND'!$A:$D,2,0),)</f>
        <v>SERVENTE COM ENCARGOS COMPLEMENTARES</v>
      </c>
      <c r="E1404" s="289" t="str">
        <f>IFERROR(VLOOKUP($C1404,'24.08_ND'!$A:$D,3,0),)</f>
        <v>H</v>
      </c>
      <c r="F1404" s="610">
        <v>0.77300000000000002</v>
      </c>
      <c r="G1404" s="291">
        <f>IFERROR(VLOOKUP($C1404,'24.08_ND'!$A:$D,4,0),)</f>
        <v>18.510000000000002</v>
      </c>
      <c r="H1404" s="292">
        <f t="shared" si="54"/>
        <v>14.3</v>
      </c>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D1404" s="1791" t="e">
        <f>VLOOKUP(C1404,'Medição '!$B$16:$F$1833,6,0)</f>
        <v>#N/A</v>
      </c>
      <c r="AE1404" s="1791"/>
    </row>
    <row r="1405" spans="1:31" ht="12.75">
      <c r="A1405" s="558" t="s">
        <v>14479</v>
      </c>
      <c r="B1405" s="559" t="s">
        <v>14476</v>
      </c>
      <c r="C1405" s="559">
        <v>41967</v>
      </c>
      <c r="D1405" s="296" t="str">
        <f>IFERROR(VLOOKUP($C1405,'24.08_ND'!$A:$D,2,0),)</f>
        <v>CERA LIQUIDA INCOLOR MULTIPISO</v>
      </c>
      <c r="E1405" s="297" t="str">
        <f>IFERROR(VLOOKUP($C1405,'24.08_ND'!$A:$D,3,0),)</f>
        <v>L</v>
      </c>
      <c r="F1405" s="611">
        <f>0.32</f>
        <v>0.32</v>
      </c>
      <c r="G1405" s="299">
        <f>IFERROR(VLOOKUP($C1405,'24.08_ND'!$A:$D,4,0),)</f>
        <v>19.25</v>
      </c>
      <c r="H1405" s="300">
        <f t="shared" si="54"/>
        <v>6.16</v>
      </c>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row>
    <row r="1406" spans="1:31" ht="25.5">
      <c r="A1406" s="558" t="s">
        <v>14479</v>
      </c>
      <c r="B1406" s="559" t="s">
        <v>14476</v>
      </c>
      <c r="C1406" s="559">
        <v>2432</v>
      </c>
      <c r="D1406" s="296" t="str">
        <f>IFERROR(VLOOKUP($C1406,'24.08_ND'!$A:$D,2,0),)</f>
        <v>DOBRADICA EM ACO/FERRO, 3 1/2" X 3", E= 1,9 A 2 MM, COM ANEL, CROMADO OU ZINCADO, TAMPA BOLA, COM PARAFUSOS</v>
      </c>
      <c r="E1406" s="297" t="str">
        <f>IFERROR(VLOOKUP($C1406,'24.08_ND'!$A:$D,3,0),)</f>
        <v>UN</v>
      </c>
      <c r="F1406" s="611">
        <v>3</v>
      </c>
      <c r="G1406" s="299">
        <f>IFERROR(VLOOKUP($C1406,'24.08_ND'!$A:$D,4,0),)</f>
        <v>18.649999999999999</v>
      </c>
      <c r="H1406" s="300">
        <f t="shared" si="54"/>
        <v>55.95</v>
      </c>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row>
    <row r="1407" spans="1:31" ht="12.75">
      <c r="A1407" s="445" t="s">
        <v>14479</v>
      </c>
      <c r="B1407" s="446" t="s">
        <v>14476</v>
      </c>
      <c r="C1407" s="447">
        <v>11055</v>
      </c>
      <c r="D1407" s="296" t="str">
        <f>IFERROR(VLOOKUP($C1407,'24.08_ND'!$A:$D,2,0),)</f>
        <v>PARAFUSO ROSCA SOBERBA ZINCADO CABECA CHATA FENDA SIMPLES 3,5 X 25 MM (1 ")</v>
      </c>
      <c r="E1407" s="297" t="str">
        <f>IFERROR(VLOOKUP($C1407,'24.08_ND'!$A:$D,3,0),)</f>
        <v>UN</v>
      </c>
      <c r="F1407" s="385">
        <v>20</v>
      </c>
      <c r="G1407" s="299">
        <f>IFERROR(VLOOKUP($C1407,'24.08_ND'!$A:$D,4,0),)</f>
        <v>7.0000000000000007E-2</v>
      </c>
      <c r="H1407" s="300">
        <f t="shared" si="54"/>
        <v>1.4</v>
      </c>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row>
    <row r="1408" spans="1:31" ht="38.25">
      <c r="A1408" s="445" t="s">
        <v>14479</v>
      </c>
      <c r="B1408" s="446" t="s">
        <v>14476</v>
      </c>
      <c r="C1408" s="447">
        <v>4998</v>
      </c>
      <c r="D1408" s="296" t="str">
        <f>IFERROR(VLOOKUP($C1408,'24.08_ND'!$A:$D,2,0),)</f>
        <v>PORTA DE ABRIR / GIRO, EM MADEIRA MACICA (ANGELIM OU EQUIVALENTE REGIONAL), QUALQUER DESENHO (VERTICAL/DIAGONAL/HORIZ.), E = *3,5* CM, DIMENSOES 2,10 X 0,70 (SOMENTE FOLHA DE PORTA, ACABAMENTO NATURAL)</v>
      </c>
      <c r="E1408" s="297" t="str">
        <f>IFERROR(VLOOKUP($C1408,'24.08_ND'!$A:$D,3,0),)</f>
        <v>M2</v>
      </c>
      <c r="F1408" s="385">
        <f>0.8*2.1</f>
        <v>1.6800000000000002</v>
      </c>
      <c r="G1408" s="299">
        <f>IFERROR(VLOOKUP($C1408,'24.08_ND'!$A:$D,4,0),)</f>
        <v>596.63</v>
      </c>
      <c r="H1408" s="300">
        <f t="shared" si="54"/>
        <v>1002.33</v>
      </c>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row>
    <row r="1409" spans="1:31" ht="12.75">
      <c r="A1409" s="309"/>
      <c r="B1409" s="303"/>
      <c r="C1409" s="303"/>
      <c r="D1409" s="310"/>
      <c r="E1409" s="303"/>
      <c r="F1409" s="306"/>
      <c r="G1409" s="307"/>
      <c r="H1409" s="308"/>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row>
    <row r="1410" spans="1:31" ht="51">
      <c r="A1410" s="358" t="s">
        <v>14471</v>
      </c>
      <c r="B1410" s="359" t="s">
        <v>14472</v>
      </c>
      <c r="C1410" s="585" t="s">
        <v>14973</v>
      </c>
      <c r="D1410" s="361" t="s">
        <v>14974</v>
      </c>
      <c r="E1410" s="359" t="s">
        <v>6</v>
      </c>
      <c r="F1410" s="401"/>
      <c r="G1410" s="402"/>
      <c r="H1410" s="363">
        <f>TRUNC(SUM(H1412:H1421,2))</f>
        <v>2000</v>
      </c>
      <c r="I1410" s="276">
        <f>COUNTIF($C$8:$C1410,C:C)</f>
        <v>1</v>
      </c>
      <c r="J1410" s="262"/>
      <c r="K1410" s="262"/>
      <c r="L1410" s="262"/>
      <c r="M1410" s="262"/>
      <c r="N1410" s="262"/>
      <c r="O1410" s="262"/>
      <c r="P1410" s="262"/>
      <c r="Q1410" s="262"/>
      <c r="R1410" s="262"/>
      <c r="S1410" s="262"/>
      <c r="T1410" s="262"/>
      <c r="U1410" s="262"/>
      <c r="V1410" s="262"/>
      <c r="W1410" s="262"/>
      <c r="X1410" s="262"/>
      <c r="Y1410" s="262"/>
      <c r="Z1410" s="262"/>
      <c r="AA1410" s="262"/>
      <c r="AB1410" s="262"/>
    </row>
    <row r="1411" spans="1:31" ht="12.75">
      <c r="A1411" s="364" t="s">
        <v>14475</v>
      </c>
      <c r="B1411" s="403" t="s">
        <v>14476</v>
      </c>
      <c r="C1411" s="404">
        <v>90844</v>
      </c>
      <c r="D1411" s="367" t="s">
        <v>14587</v>
      </c>
      <c r="E1411" s="405"/>
      <c r="F1411" s="642"/>
      <c r="G1411" s="370"/>
      <c r="H1411" s="371"/>
      <c r="I1411" s="262"/>
      <c r="J1411" s="262"/>
      <c r="K1411" s="262"/>
      <c r="L1411" s="262"/>
      <c r="M1411" s="262"/>
      <c r="N1411" s="262"/>
      <c r="O1411" s="262"/>
      <c r="P1411" s="262"/>
      <c r="Q1411" s="262"/>
      <c r="R1411" s="262"/>
      <c r="S1411" s="262"/>
      <c r="T1411" s="262"/>
      <c r="U1411" s="262"/>
      <c r="V1411" s="262"/>
      <c r="W1411" s="262"/>
      <c r="X1411" s="262"/>
      <c r="Y1411" s="262"/>
      <c r="Z1411" s="262"/>
      <c r="AA1411" s="262"/>
      <c r="AB1411" s="262"/>
    </row>
    <row r="1412" spans="1:31" ht="25.5">
      <c r="A1412" s="372" t="s">
        <v>14478</v>
      </c>
      <c r="B1412" s="421" t="s">
        <v>14476</v>
      </c>
      <c r="C1412" s="374">
        <v>100659</v>
      </c>
      <c r="D1412" s="288" t="str">
        <f>IFERROR(VLOOKUP($C1412,'24.08_ND'!$A:$D,2,0),)</f>
        <v>ALIZAR DE 5X1,5CM PARA PORTA FIXADO COM PREGOS, PADRÃO MÉDIO - FORNECIMENTO E INSTALAÇÃO. AF_12/2019</v>
      </c>
      <c r="E1412" s="289" t="str">
        <f>IFERROR(VLOOKUP($C1412,'24.08_ND'!$A:$D,3,0),)</f>
        <v>M</v>
      </c>
      <c r="F1412" s="375">
        <v>10.199999999999999</v>
      </c>
      <c r="G1412" s="291">
        <f>IFERROR(VLOOKUP($C1412,'24.08_ND'!$A:$D,4,0),)</f>
        <v>11.79</v>
      </c>
      <c r="H1412" s="292">
        <f t="shared" ref="H1412:H1421" si="55">TRUNC(($F1412*$G1412),2)</f>
        <v>120.25</v>
      </c>
      <c r="I1412" s="262"/>
      <c r="J1412" s="262"/>
      <c r="K1412" s="262"/>
      <c r="L1412" s="262"/>
      <c r="M1412" s="262"/>
      <c r="N1412" s="262"/>
      <c r="O1412" s="262"/>
      <c r="P1412" s="262"/>
      <c r="Q1412" s="262"/>
      <c r="R1412" s="262"/>
      <c r="S1412" s="262"/>
      <c r="T1412" s="262"/>
      <c r="U1412" s="262"/>
      <c r="V1412" s="262"/>
      <c r="W1412" s="262"/>
      <c r="X1412" s="262"/>
      <c r="Y1412" s="262"/>
      <c r="Z1412" s="262"/>
      <c r="AA1412" s="262"/>
      <c r="AB1412" s="262"/>
      <c r="AD1412" s="1791" t="e">
        <f>VLOOKUP(C1412,'Medição '!$B$16:$F$1833,6,0)</f>
        <v>#N/A</v>
      </c>
      <c r="AE1412" s="1791"/>
    </row>
    <row r="1413" spans="1:31" ht="25.5">
      <c r="A1413" s="372" t="s">
        <v>14478</v>
      </c>
      <c r="B1413" s="421" t="s">
        <v>14476</v>
      </c>
      <c r="C1413" s="374">
        <v>90806</v>
      </c>
      <c r="D1413" s="288" t="str">
        <f>IFERROR(VLOOKUP($C1413,'24.08_ND'!$A:$D,2,0),)</f>
        <v>BATENTE PARA PORTA DE MADEIRA, FIXAÇÃO COM ARGAMASSA, PADRÃO MÉDIO - FORNECIMENTO E INSTALAÇÃO. AF_12/2019</v>
      </c>
      <c r="E1413" s="289" t="str">
        <f>IFERROR(VLOOKUP($C1413,'24.08_ND'!$A:$D,3,0),)</f>
        <v>UN</v>
      </c>
      <c r="F1413" s="375">
        <v>1</v>
      </c>
      <c r="G1413" s="291">
        <f>IFERROR(VLOOKUP($C1413,'24.08_ND'!$A:$D,4,0),)</f>
        <v>393.62</v>
      </c>
      <c r="H1413" s="292">
        <f t="shared" si="55"/>
        <v>393.62</v>
      </c>
      <c r="I1413" s="262"/>
      <c r="J1413" s="262"/>
      <c r="K1413" s="262"/>
      <c r="L1413" s="262"/>
      <c r="M1413" s="262"/>
      <c r="N1413" s="262"/>
      <c r="O1413" s="262"/>
      <c r="P1413" s="262"/>
      <c r="Q1413" s="262"/>
      <c r="R1413" s="262"/>
      <c r="S1413" s="262"/>
      <c r="T1413" s="262"/>
      <c r="U1413" s="262"/>
      <c r="V1413" s="262"/>
      <c r="W1413" s="262"/>
      <c r="X1413" s="262"/>
      <c r="Y1413" s="262"/>
      <c r="Z1413" s="262"/>
      <c r="AA1413" s="262"/>
      <c r="AB1413" s="262"/>
      <c r="AD1413" s="1791" t="e">
        <f>VLOOKUP(C1413,'Medição '!$B$16:$F$1833,6,0)</f>
        <v>#N/A</v>
      </c>
      <c r="AE1413" s="1791"/>
    </row>
    <row r="1414" spans="1:31" ht="25.5">
      <c r="A1414" s="285" t="s">
        <v>14478</v>
      </c>
      <c r="B1414" s="286" t="s">
        <v>14476</v>
      </c>
      <c r="C1414" s="408">
        <v>90830</v>
      </c>
      <c r="D1414" s="288" t="str">
        <f>IFERROR(VLOOKUP($C1414,'24.08_ND'!$A:$D,2,0),)</f>
        <v>FECHADURA DE EMBUTIR COM CILINDRO, EXTERNA, COMPLETA, ACABAMENTO PADRÃO MÉDIO, INCLUSO EXECUÇÃO DE FURO - FORNECIMENTO E INSTALAÇÃO. AF_12/2019</v>
      </c>
      <c r="E1414" s="289" t="str">
        <f>IFERROR(VLOOKUP($C1414,'24.08_ND'!$A:$D,3,0),)</f>
        <v>UN</v>
      </c>
      <c r="F1414" s="610">
        <v>1</v>
      </c>
      <c r="G1414" s="291">
        <f>IFERROR(VLOOKUP($C1414,'24.08_ND'!$A:$D,4,0),)</f>
        <v>144.62</v>
      </c>
      <c r="H1414" s="292">
        <f t="shared" si="55"/>
        <v>144.62</v>
      </c>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D1414" s="1791" t="e">
        <f>VLOOKUP(C1414,'Medição '!$B$16:$F$1833,6,0)</f>
        <v>#N/A</v>
      </c>
      <c r="AE1414" s="1791"/>
    </row>
    <row r="1415" spans="1:31" ht="25.5">
      <c r="A1415" s="285" t="s">
        <v>14478</v>
      </c>
      <c r="B1415" s="286" t="s">
        <v>14476</v>
      </c>
      <c r="C1415" s="408">
        <v>102213</v>
      </c>
      <c r="D1415" s="288" t="str">
        <f>IFERROR(VLOOKUP($C1415,'24.08_ND'!$A:$D,2,0),)</f>
        <v>PINTURA VERNIZ (INCOLOR) ALQUÍDICO EM MADEIRA, USO INTERNO E EXTERNO, 2 DEMÃOS. AF_01/2021</v>
      </c>
      <c r="E1415" s="289" t="str">
        <f>IFERROR(VLOOKUP($C1415,'24.08_ND'!$A:$D,3,0),)</f>
        <v>M2</v>
      </c>
      <c r="F1415" s="610">
        <v>5.28</v>
      </c>
      <c r="G1415" s="291">
        <f>IFERROR(VLOOKUP($C1415,'24.08_ND'!$A:$D,4,0),)</f>
        <v>18.059999999999999</v>
      </c>
      <c r="H1415" s="292">
        <f t="shared" si="55"/>
        <v>95.35</v>
      </c>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D1415" s="1791" t="e">
        <f>VLOOKUP(C1415,'Medição '!$B$16:$F$1833,6,0)</f>
        <v>#N/A</v>
      </c>
      <c r="AE1415" s="1791"/>
    </row>
    <row r="1416" spans="1:31" ht="25.5">
      <c r="A1416" s="285" t="s">
        <v>14478</v>
      </c>
      <c r="B1416" s="286" t="s">
        <v>14476</v>
      </c>
      <c r="C1416" s="408">
        <v>88261</v>
      </c>
      <c r="D1416" s="288" t="str">
        <f>IFERROR(VLOOKUP($C1416,'24.08_ND'!$A:$D,2,0),)</f>
        <v>CARPINTEIRO DE ESQUADRIA COM ENCARGOS COMPLEMENTARES</v>
      </c>
      <c r="E1416" s="289" t="str">
        <f>IFERROR(VLOOKUP($C1416,'24.08_ND'!$A:$D,3,0),)</f>
        <v>H</v>
      </c>
      <c r="F1416" s="610">
        <v>1.6779999999999999</v>
      </c>
      <c r="G1416" s="291">
        <f>IFERROR(VLOOKUP($C1416,'24.08_ND'!$A:$D,4,0),)</f>
        <v>22</v>
      </c>
      <c r="H1416" s="292">
        <f t="shared" si="55"/>
        <v>36.909999999999997</v>
      </c>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D1416" s="1791" t="e">
        <f>VLOOKUP(C1416,'Medição '!$B$16:$F$1833,6,0)</f>
        <v>#N/A</v>
      </c>
      <c r="AE1416" s="1791"/>
    </row>
    <row r="1417" spans="1:31" ht="25.5">
      <c r="A1417" s="285" t="s">
        <v>14478</v>
      </c>
      <c r="B1417" s="286" t="s">
        <v>14476</v>
      </c>
      <c r="C1417" s="408">
        <v>88316</v>
      </c>
      <c r="D1417" s="288" t="str">
        <f>IFERROR(VLOOKUP($C1417,'24.08_ND'!$A:$D,2,0),)</f>
        <v>SERVENTE COM ENCARGOS COMPLEMENTARES</v>
      </c>
      <c r="E1417" s="289" t="str">
        <f>IFERROR(VLOOKUP($C1417,'24.08_ND'!$A:$D,3,0),)</f>
        <v>H</v>
      </c>
      <c r="F1417" s="610">
        <v>0.83899999999999997</v>
      </c>
      <c r="G1417" s="291">
        <f>IFERROR(VLOOKUP($C1417,'24.08_ND'!$A:$D,4,0),)</f>
        <v>18.510000000000002</v>
      </c>
      <c r="H1417" s="292">
        <f t="shared" si="55"/>
        <v>15.52</v>
      </c>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D1417" s="1791" t="e">
        <f>VLOOKUP(C1417,'Medição '!$B$16:$F$1833,6,0)</f>
        <v>#N/A</v>
      </c>
      <c r="AE1417" s="1791"/>
    </row>
    <row r="1418" spans="1:31" ht="12.75">
      <c r="A1418" s="558" t="s">
        <v>14479</v>
      </c>
      <c r="B1418" s="559" t="s">
        <v>14476</v>
      </c>
      <c r="C1418" s="559">
        <v>41967</v>
      </c>
      <c r="D1418" s="296" t="str">
        <f>IFERROR(VLOOKUP($C1418,'24.08_ND'!$A:$D,2,0),)</f>
        <v>CERA LIQUIDA INCOLOR MULTIPISO</v>
      </c>
      <c r="E1418" s="297" t="str">
        <f>IFERROR(VLOOKUP($C1418,'24.08_ND'!$A:$D,3,0),)</f>
        <v>L</v>
      </c>
      <c r="F1418" s="611">
        <v>0.39</v>
      </c>
      <c r="G1418" s="299">
        <f>IFERROR(VLOOKUP($C1418,'24.08_ND'!$A:$D,4,0),)</f>
        <v>19.25</v>
      </c>
      <c r="H1418" s="300">
        <f t="shared" si="55"/>
        <v>7.5</v>
      </c>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row>
    <row r="1419" spans="1:31" ht="25.5">
      <c r="A1419" s="558" t="s">
        <v>14479</v>
      </c>
      <c r="B1419" s="559" t="s">
        <v>14476</v>
      </c>
      <c r="C1419" s="559">
        <v>2432</v>
      </c>
      <c r="D1419" s="296" t="str">
        <f>IFERROR(VLOOKUP($C1419,'24.08_ND'!$A:$D,2,0),)</f>
        <v>DOBRADICA EM ACO/FERRO, 3 1/2" X 3", E= 1,9 A 2 MM, COM ANEL, CROMADO OU ZINCADO, TAMPA BOLA, COM PARAFUSOS</v>
      </c>
      <c r="E1419" s="297" t="str">
        <f>IFERROR(VLOOKUP($C1419,'24.08_ND'!$A:$D,3,0),)</f>
        <v>UN</v>
      </c>
      <c r="F1419" s="611">
        <v>3</v>
      </c>
      <c r="G1419" s="299">
        <f>IFERROR(VLOOKUP($C1419,'24.08_ND'!$A:$D,4,0),)</f>
        <v>18.649999999999999</v>
      </c>
      <c r="H1419" s="300">
        <f t="shared" si="55"/>
        <v>55.95</v>
      </c>
      <c r="I1419" s="262"/>
      <c r="J1419" s="262"/>
      <c r="K1419" s="262"/>
      <c r="L1419" s="262"/>
      <c r="M1419" s="262"/>
      <c r="N1419" s="262"/>
      <c r="O1419" s="262"/>
      <c r="P1419" s="262"/>
      <c r="Q1419" s="262"/>
      <c r="R1419" s="262"/>
      <c r="S1419" s="262"/>
      <c r="T1419" s="262"/>
      <c r="U1419" s="262"/>
      <c r="V1419" s="262"/>
      <c r="W1419" s="262"/>
      <c r="X1419" s="262"/>
      <c r="Y1419" s="262"/>
      <c r="Z1419" s="262"/>
      <c r="AA1419" s="262"/>
      <c r="AB1419" s="262"/>
    </row>
    <row r="1420" spans="1:31" ht="12.75">
      <c r="A1420" s="445" t="s">
        <v>14479</v>
      </c>
      <c r="B1420" s="446" t="s">
        <v>14476</v>
      </c>
      <c r="C1420" s="447">
        <v>11055</v>
      </c>
      <c r="D1420" s="296" t="str">
        <f>IFERROR(VLOOKUP($C1420,'24.08_ND'!$A:$D,2,0),)</f>
        <v>PARAFUSO ROSCA SOBERBA ZINCADO CABECA CHATA FENDA SIMPLES 3,5 X 25 MM (1 ")</v>
      </c>
      <c r="E1420" s="297" t="str">
        <f>IFERROR(VLOOKUP($C1420,'24.08_ND'!$A:$D,3,0),)</f>
        <v>UN</v>
      </c>
      <c r="F1420" s="385">
        <v>20</v>
      </c>
      <c r="G1420" s="299">
        <f>IFERROR(VLOOKUP($C1420,'24.08_ND'!$A:$D,4,0),)</f>
        <v>7.0000000000000007E-2</v>
      </c>
      <c r="H1420" s="300">
        <f t="shared" si="55"/>
        <v>1.4</v>
      </c>
      <c r="I1420" s="262"/>
      <c r="J1420" s="262"/>
      <c r="K1420" s="262"/>
      <c r="L1420" s="262"/>
      <c r="M1420" s="262"/>
      <c r="N1420" s="262"/>
      <c r="O1420" s="262"/>
      <c r="P1420" s="262"/>
      <c r="Q1420" s="262"/>
      <c r="R1420" s="262"/>
      <c r="S1420" s="262"/>
      <c r="T1420" s="262"/>
      <c r="U1420" s="262"/>
      <c r="V1420" s="262"/>
      <c r="W1420" s="262"/>
      <c r="X1420" s="262"/>
      <c r="Y1420" s="262"/>
      <c r="Z1420" s="262"/>
      <c r="AA1420" s="262"/>
      <c r="AB1420" s="262"/>
    </row>
    <row r="1421" spans="1:31" ht="38.25">
      <c r="A1421" s="445" t="s">
        <v>14479</v>
      </c>
      <c r="B1421" s="446" t="s">
        <v>14476</v>
      </c>
      <c r="C1421" s="447">
        <v>4998</v>
      </c>
      <c r="D1421" s="296" t="str">
        <f>IFERROR(VLOOKUP($C1421,'24.08_ND'!$A:$D,2,0),)</f>
        <v>PORTA DE ABRIR / GIRO, EM MADEIRA MACICA (ANGELIM OU EQUIVALENTE REGIONAL), QUALQUER DESENHO (VERTICAL/DIAGONAL/HORIZ.), E = *3,5* CM, DIMENSOES 2,10 X 0,70 (SOMENTE FOLHA DE PORTA, ACABAMENTO NATURAL)</v>
      </c>
      <c r="E1421" s="297" t="str">
        <f>IFERROR(VLOOKUP($C1421,'24.08_ND'!$A:$D,3,0),)</f>
        <v>M2</v>
      </c>
      <c r="F1421" s="385">
        <f>0.9*2.1</f>
        <v>1.8900000000000001</v>
      </c>
      <c r="G1421" s="299">
        <f>IFERROR(VLOOKUP($C1421,'24.08_ND'!$A:$D,4,0),)</f>
        <v>596.63</v>
      </c>
      <c r="H1421" s="300">
        <f t="shared" si="55"/>
        <v>1127.6300000000001</v>
      </c>
      <c r="I1421" s="262"/>
      <c r="J1421" s="262"/>
      <c r="K1421" s="262"/>
      <c r="L1421" s="262"/>
      <c r="M1421" s="262"/>
      <c r="N1421" s="262"/>
      <c r="O1421" s="262"/>
      <c r="P1421" s="262"/>
      <c r="Q1421" s="262"/>
      <c r="R1421" s="262"/>
      <c r="S1421" s="262"/>
      <c r="T1421" s="262"/>
      <c r="U1421" s="262"/>
      <c r="V1421" s="262"/>
      <c r="W1421" s="262"/>
      <c r="X1421" s="262"/>
      <c r="Y1421" s="262"/>
      <c r="Z1421" s="262"/>
      <c r="AA1421" s="262"/>
      <c r="AB1421" s="262"/>
    </row>
    <row r="1422" spans="1:31" ht="12.75">
      <c r="A1422" s="309"/>
      <c r="B1422" s="303"/>
      <c r="C1422" s="303"/>
      <c r="D1422" s="310"/>
      <c r="E1422" s="303"/>
      <c r="F1422" s="306"/>
      <c r="G1422" s="307"/>
      <c r="H1422" s="308"/>
      <c r="I1422" s="262"/>
      <c r="J1422" s="262"/>
      <c r="K1422" s="262"/>
      <c r="L1422" s="262"/>
      <c r="M1422" s="262"/>
      <c r="N1422" s="262"/>
      <c r="O1422" s="262"/>
      <c r="P1422" s="262"/>
      <c r="Q1422" s="262"/>
      <c r="R1422" s="262"/>
      <c r="S1422" s="262"/>
      <c r="T1422" s="262"/>
      <c r="U1422" s="262"/>
      <c r="V1422" s="262"/>
      <c r="W1422" s="262"/>
      <c r="X1422" s="262"/>
      <c r="Y1422" s="262"/>
      <c r="Z1422" s="262"/>
      <c r="AA1422" s="262"/>
      <c r="AB1422" s="262"/>
    </row>
    <row r="1423" spans="1:31" ht="25.5">
      <c r="A1423" s="358" t="s">
        <v>14471</v>
      </c>
      <c r="B1423" s="359" t="s">
        <v>14472</v>
      </c>
      <c r="C1423" s="360" t="s">
        <v>12600</v>
      </c>
      <c r="D1423" s="361" t="s">
        <v>14975</v>
      </c>
      <c r="E1423" s="359" t="s">
        <v>409</v>
      </c>
      <c r="F1423" s="401"/>
      <c r="G1423" s="402"/>
      <c r="H1423" s="363">
        <f>TRUNC(SUM(H1425:H1429),2)</f>
        <v>442.13</v>
      </c>
      <c r="I1423" s="276">
        <f>COUNTIF($C$8:$C1423,C:C)</f>
        <v>1</v>
      </c>
      <c r="J1423" s="262"/>
      <c r="K1423" s="262"/>
      <c r="L1423" s="262"/>
      <c r="M1423" s="262"/>
      <c r="N1423" s="262"/>
      <c r="O1423" s="262"/>
      <c r="P1423" s="262"/>
      <c r="Q1423" s="262"/>
      <c r="R1423" s="262"/>
      <c r="S1423" s="262"/>
      <c r="T1423" s="262"/>
      <c r="U1423" s="262"/>
      <c r="V1423" s="262"/>
      <c r="W1423" s="262"/>
      <c r="X1423" s="262"/>
      <c r="Y1423" s="262"/>
      <c r="Z1423" s="262"/>
      <c r="AA1423" s="262"/>
      <c r="AB1423" s="262"/>
    </row>
    <row r="1424" spans="1:31" ht="12.75">
      <c r="A1424" s="364" t="s">
        <v>14475</v>
      </c>
      <c r="B1424" s="403" t="s">
        <v>14476</v>
      </c>
      <c r="C1424" s="404">
        <v>101092</v>
      </c>
      <c r="D1424" s="367" t="s">
        <v>14602</v>
      </c>
      <c r="E1424" s="405"/>
      <c r="F1424" s="369"/>
      <c r="G1424" s="370"/>
      <c r="H1424" s="371"/>
      <c r="I1424" s="262"/>
      <c r="J1424" s="262"/>
      <c r="K1424" s="262"/>
      <c r="L1424" s="262"/>
      <c r="M1424" s="262"/>
      <c r="N1424" s="262"/>
      <c r="O1424" s="262"/>
      <c r="P1424" s="262"/>
      <c r="Q1424" s="262"/>
      <c r="R1424" s="262"/>
      <c r="S1424" s="262"/>
      <c r="T1424" s="262"/>
      <c r="U1424" s="262"/>
      <c r="V1424" s="262"/>
      <c r="W1424" s="262"/>
      <c r="X1424" s="262"/>
      <c r="Y1424" s="262"/>
      <c r="Z1424" s="262"/>
      <c r="AA1424" s="262"/>
      <c r="AB1424" s="262"/>
    </row>
    <row r="1425" spans="1:31" ht="25.5">
      <c r="A1425" s="372" t="s">
        <v>14478</v>
      </c>
      <c r="B1425" s="421" t="s">
        <v>14476</v>
      </c>
      <c r="C1425" s="374">
        <v>88274</v>
      </c>
      <c r="D1425" s="288" t="str">
        <f>IFERROR(VLOOKUP($C1425,'24.08_ND'!$A:$D,2,0),)</f>
        <v>MARMORISTA/GRANITEIRO COM ENCARGOS COMPLEMENTARES</v>
      </c>
      <c r="E1425" s="289" t="str">
        <f>IFERROR(VLOOKUP($C1425,'24.08_ND'!$A:$D,3,0),)</f>
        <v>H</v>
      </c>
      <c r="F1425" s="375">
        <v>1.4750000000000001</v>
      </c>
      <c r="G1425" s="291">
        <f>IFERROR(VLOOKUP($C1425,'24.08_ND'!$A:$D,4,0),)</f>
        <v>23.2</v>
      </c>
      <c r="H1425" s="292">
        <f>TRUNC(($F1425*$G1425),2)</f>
        <v>34.22</v>
      </c>
      <c r="I1425" s="262"/>
      <c r="J1425" s="262"/>
      <c r="K1425" s="262"/>
      <c r="L1425" s="262"/>
      <c r="M1425" s="262"/>
      <c r="N1425" s="262"/>
      <c r="O1425" s="262"/>
      <c r="P1425" s="262"/>
      <c r="Q1425" s="262"/>
      <c r="R1425" s="262"/>
      <c r="S1425" s="262"/>
      <c r="T1425" s="262"/>
      <c r="U1425" s="262"/>
      <c r="V1425" s="262"/>
      <c r="W1425" s="262"/>
      <c r="X1425" s="262"/>
      <c r="Y1425" s="262"/>
      <c r="Z1425" s="262"/>
      <c r="AA1425" s="262"/>
      <c r="AB1425" s="262"/>
      <c r="AD1425" s="1791" t="e">
        <f>VLOOKUP(C1425,'Medição '!$B$16:$F$1833,6,0)</f>
        <v>#N/A</v>
      </c>
      <c r="AE1425" s="1791"/>
    </row>
    <row r="1426" spans="1:31" ht="25.5">
      <c r="A1426" s="372" t="s">
        <v>14478</v>
      </c>
      <c r="B1426" s="421" t="s">
        <v>14476</v>
      </c>
      <c r="C1426" s="374">
        <v>88316</v>
      </c>
      <c r="D1426" s="288" t="str">
        <f>IFERROR(VLOOKUP($C1426,'24.08_ND'!$A:$D,2,0),)</f>
        <v>SERVENTE COM ENCARGOS COMPLEMENTARES</v>
      </c>
      <c r="E1426" s="289" t="str">
        <f>IFERROR(VLOOKUP($C1426,'24.08_ND'!$A:$D,3,0),)</f>
        <v>H</v>
      </c>
      <c r="F1426" s="375">
        <v>0.73799999999999999</v>
      </c>
      <c r="G1426" s="291">
        <f>IFERROR(VLOOKUP($C1426,'24.08_ND'!$A:$D,4,0),)</f>
        <v>18.510000000000002</v>
      </c>
      <c r="H1426" s="292">
        <f>TRUNC(($F1426*$G1426),2)</f>
        <v>13.66</v>
      </c>
      <c r="I1426" s="262"/>
      <c r="J1426" s="262"/>
      <c r="K1426" s="262"/>
      <c r="L1426" s="262"/>
      <c r="M1426" s="262"/>
      <c r="N1426" s="262"/>
      <c r="O1426" s="262"/>
      <c r="P1426" s="262"/>
      <c r="Q1426" s="262"/>
      <c r="R1426" s="262"/>
      <c r="S1426" s="262"/>
      <c r="T1426" s="262"/>
      <c r="U1426" s="262"/>
      <c r="V1426" s="262"/>
      <c r="W1426" s="262"/>
      <c r="X1426" s="262"/>
      <c r="Y1426" s="262"/>
      <c r="Z1426" s="262"/>
      <c r="AA1426" s="262"/>
      <c r="AB1426" s="262"/>
      <c r="AD1426" s="1791" t="e">
        <f>VLOOKUP(C1426,'Medição '!$B$16:$F$1833,6,0)</f>
        <v>#N/A</v>
      </c>
      <c r="AE1426" s="1791"/>
    </row>
    <row r="1427" spans="1:31" ht="12.75">
      <c r="A1427" s="445" t="s">
        <v>14479</v>
      </c>
      <c r="B1427" s="446" t="s">
        <v>14476</v>
      </c>
      <c r="C1427" s="447">
        <v>34357</v>
      </c>
      <c r="D1427" s="296" t="str">
        <f>IFERROR(VLOOKUP($C1427,'24.08_ND'!$A:$D,2,0),)</f>
        <v>REJUNTE CIMENTICIO, QUALQUER COR</v>
      </c>
      <c r="E1427" s="297" t="str">
        <f>IFERROR(VLOOKUP($C1427,'24.08_ND'!$A:$D,3,0),)</f>
        <v>KG</v>
      </c>
      <c r="F1427" s="385">
        <v>0.14000000000000001</v>
      </c>
      <c r="G1427" s="299">
        <f>IFERROR(VLOOKUP($C1427,'24.08_ND'!$A:$D,4,0),)</f>
        <v>6.41</v>
      </c>
      <c r="H1427" s="300">
        <f>TRUNC(($F1427*$G1427),2)</f>
        <v>0.89</v>
      </c>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row>
    <row r="1428" spans="1:31" ht="12.75">
      <c r="A1428" s="445" t="s">
        <v>14479</v>
      </c>
      <c r="B1428" s="446" t="s">
        <v>14476</v>
      </c>
      <c r="C1428" s="447">
        <v>37595</v>
      </c>
      <c r="D1428" s="296" t="str">
        <f>IFERROR(VLOOKUP($C1428,'24.08_ND'!$A:$D,2,0),)</f>
        <v>ARGAMASSA COLANTE TIPO AC III</v>
      </c>
      <c r="E1428" s="297" t="str">
        <f>IFERROR(VLOOKUP($C1428,'24.08_ND'!$A:$D,3,0),)</f>
        <v>KG</v>
      </c>
      <c r="F1428" s="385">
        <v>8.6199999999999992</v>
      </c>
      <c r="G1428" s="299">
        <f>IFERROR(VLOOKUP($C1428,'24.08_ND'!$A:$D,4,0),)</f>
        <v>3.36</v>
      </c>
      <c r="H1428" s="300">
        <f>TRUNC(($F1428*$G1428),2)</f>
        <v>28.96</v>
      </c>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row>
    <row r="1429" spans="1:31" ht="12.75">
      <c r="A1429" s="599" t="s">
        <v>14479</v>
      </c>
      <c r="B1429" s="600" t="s">
        <v>14491</v>
      </c>
      <c r="C1429" s="600" t="s">
        <v>14782</v>
      </c>
      <c r="D1429" s="601" t="str">
        <f>VLOOKUP($C1429,'09 - MC'!$A:$F,2,0)</f>
        <v>GRANITO CINZA ANDORINHA LEVIGADO</v>
      </c>
      <c r="E1429" s="602" t="str">
        <f>VLOOKUP($C1429,'09 - MC'!$A:$F,3,0)</f>
        <v>M2</v>
      </c>
      <c r="F1429" s="603">
        <v>1</v>
      </c>
      <c r="G1429" s="604">
        <f>VLOOKUP($C1429,'09 - MC'!$A:$F,6,0)</f>
        <v>364.4</v>
      </c>
      <c r="H1429" s="605">
        <f>TRUNC(G1429*F1429,2)</f>
        <v>364.4</v>
      </c>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row>
    <row r="1430" spans="1:31" ht="12.75">
      <c r="A1430" s="640"/>
      <c r="B1430" s="641"/>
      <c r="C1430" s="368"/>
      <c r="D1430" s="641"/>
      <c r="E1430" s="641"/>
      <c r="F1430" s="369"/>
      <c r="G1430" s="370"/>
      <c r="H1430" s="371"/>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row>
    <row r="1431" spans="1:31" ht="25.5">
      <c r="A1431" s="358" t="s">
        <v>14471</v>
      </c>
      <c r="B1431" s="359" t="s">
        <v>14472</v>
      </c>
      <c r="C1431" s="360" t="s">
        <v>14976</v>
      </c>
      <c r="D1431" s="361" t="s">
        <v>14977</v>
      </c>
      <c r="E1431" s="359" t="s">
        <v>409</v>
      </c>
      <c r="F1431" s="401"/>
      <c r="G1431" s="402"/>
      <c r="H1431" s="363">
        <f>TRUNC(SUM(H1433:H1437),2)</f>
        <v>563.02</v>
      </c>
      <c r="I1431" s="276">
        <f>COUNTIF($C$8:$C1431,C:C)</f>
        <v>1</v>
      </c>
      <c r="J1431" s="262"/>
      <c r="K1431" s="262"/>
      <c r="L1431" s="262"/>
      <c r="M1431" s="262"/>
      <c r="N1431" s="262"/>
      <c r="O1431" s="262"/>
      <c r="P1431" s="262"/>
      <c r="Q1431" s="262"/>
      <c r="R1431" s="262"/>
      <c r="S1431" s="262"/>
      <c r="T1431" s="262"/>
      <c r="U1431" s="262"/>
      <c r="V1431" s="262"/>
      <c r="W1431" s="262"/>
      <c r="X1431" s="262"/>
      <c r="Y1431" s="262"/>
      <c r="Z1431" s="262"/>
      <c r="AA1431" s="262"/>
      <c r="AB1431" s="262"/>
    </row>
    <row r="1432" spans="1:31" ht="12.75">
      <c r="A1432" s="364" t="s">
        <v>14475</v>
      </c>
      <c r="B1432" s="403" t="s">
        <v>14476</v>
      </c>
      <c r="C1432" s="404">
        <v>101092</v>
      </c>
      <c r="D1432" s="367" t="s">
        <v>14602</v>
      </c>
      <c r="E1432" s="405"/>
      <c r="F1432" s="369"/>
      <c r="G1432" s="370"/>
      <c r="H1432" s="371"/>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row>
    <row r="1433" spans="1:31" ht="25.5">
      <c r="A1433" s="372" t="s">
        <v>14478</v>
      </c>
      <c r="B1433" s="421" t="s">
        <v>14476</v>
      </c>
      <c r="C1433" s="374">
        <v>88274</v>
      </c>
      <c r="D1433" s="288" t="str">
        <f>IFERROR(VLOOKUP($C1433,'24.08_ND'!$A:$D,2,0),)</f>
        <v>MARMORISTA/GRANITEIRO COM ENCARGOS COMPLEMENTARES</v>
      </c>
      <c r="E1433" s="289" t="str">
        <f>IFERROR(VLOOKUP($C1433,'24.08_ND'!$A:$D,3,0),)</f>
        <v>H</v>
      </c>
      <c r="F1433" s="375">
        <v>1.4750000000000001</v>
      </c>
      <c r="G1433" s="291">
        <f>IFERROR(VLOOKUP($C1433,'24.08_ND'!$A:$D,4,0),)</f>
        <v>23.2</v>
      </c>
      <c r="H1433" s="292">
        <f>TRUNC(($F1433*$G1433),2)</f>
        <v>34.22</v>
      </c>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D1433" s="1791" t="e">
        <f>VLOOKUP(C1433,'Medição '!$B$16:$F$1833,6,0)</f>
        <v>#N/A</v>
      </c>
      <c r="AE1433" s="1791"/>
    </row>
    <row r="1434" spans="1:31" ht="25.5">
      <c r="A1434" s="372" t="s">
        <v>14478</v>
      </c>
      <c r="B1434" s="421" t="s">
        <v>14476</v>
      </c>
      <c r="C1434" s="374">
        <v>88316</v>
      </c>
      <c r="D1434" s="288" t="str">
        <f>IFERROR(VLOOKUP($C1434,'24.08_ND'!$A:$D,2,0),)</f>
        <v>SERVENTE COM ENCARGOS COMPLEMENTARES</v>
      </c>
      <c r="E1434" s="289" t="str">
        <f>IFERROR(VLOOKUP($C1434,'24.08_ND'!$A:$D,3,0),)</f>
        <v>H</v>
      </c>
      <c r="F1434" s="375">
        <v>0.73799999999999999</v>
      </c>
      <c r="G1434" s="291">
        <f>IFERROR(VLOOKUP($C1434,'24.08_ND'!$A:$D,4,0),)</f>
        <v>18.510000000000002</v>
      </c>
      <c r="H1434" s="292">
        <f>TRUNC(($F1434*$G1434),2)</f>
        <v>13.66</v>
      </c>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D1434" s="1791" t="e">
        <f>VLOOKUP(C1434,'Medição '!$B$16:$F$1833,6,0)</f>
        <v>#N/A</v>
      </c>
      <c r="AE1434" s="1791"/>
    </row>
    <row r="1435" spans="1:31" ht="12.75">
      <c r="A1435" s="445" t="s">
        <v>14479</v>
      </c>
      <c r="B1435" s="446" t="s">
        <v>14476</v>
      </c>
      <c r="C1435" s="447">
        <v>34357</v>
      </c>
      <c r="D1435" s="296" t="str">
        <f>IFERROR(VLOOKUP($C1435,'24.08_ND'!$A:$D,2,0),)</f>
        <v>REJUNTE CIMENTICIO, QUALQUER COR</v>
      </c>
      <c r="E1435" s="297" t="str">
        <f>IFERROR(VLOOKUP($C1435,'24.08_ND'!$A:$D,3,0),)</f>
        <v>KG</v>
      </c>
      <c r="F1435" s="385">
        <v>0.14000000000000001</v>
      </c>
      <c r="G1435" s="299">
        <f>IFERROR(VLOOKUP($C1435,'24.08_ND'!$A:$D,4,0),)</f>
        <v>6.41</v>
      </c>
      <c r="H1435" s="300">
        <f>TRUNC(($F1435*$G1435),2)</f>
        <v>0.89</v>
      </c>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row>
    <row r="1436" spans="1:31" ht="12.75">
      <c r="A1436" s="445" t="s">
        <v>14479</v>
      </c>
      <c r="B1436" s="446" t="s">
        <v>14476</v>
      </c>
      <c r="C1436" s="447">
        <v>37595</v>
      </c>
      <c r="D1436" s="296" t="str">
        <f>IFERROR(VLOOKUP($C1436,'24.08_ND'!$A:$D,2,0),)</f>
        <v>ARGAMASSA COLANTE TIPO AC III</v>
      </c>
      <c r="E1436" s="297" t="str">
        <f>IFERROR(VLOOKUP($C1436,'24.08_ND'!$A:$D,3,0),)</f>
        <v>KG</v>
      </c>
      <c r="F1436" s="385">
        <v>8.6199999999999992</v>
      </c>
      <c r="G1436" s="299">
        <f>IFERROR(VLOOKUP($C1436,'24.08_ND'!$A:$D,4,0),)</f>
        <v>3.36</v>
      </c>
      <c r="H1436" s="300">
        <f>TRUNC(($F1436*$G1436),2)</f>
        <v>28.96</v>
      </c>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row>
    <row r="1437" spans="1:31" ht="12.75">
      <c r="A1437" s="599" t="s">
        <v>14479</v>
      </c>
      <c r="B1437" s="600" t="s">
        <v>14491</v>
      </c>
      <c r="C1437" s="600" t="s">
        <v>14978</v>
      </c>
      <c r="D1437" s="601" t="str">
        <f>VLOOKUP($C1437,'09 - MC'!$A:$F,2,0)</f>
        <v>GRANITO CINZA CORUMBÁ - LEVIGADO</v>
      </c>
      <c r="E1437" s="602" t="str">
        <f>VLOOKUP($C1437,'09 - MC'!$A:$F,3,0)</f>
        <v>M2</v>
      </c>
      <c r="F1437" s="603">
        <v>1</v>
      </c>
      <c r="G1437" s="604">
        <f>VLOOKUP($C1437,'09 - MC'!$A:$F,6,0)</f>
        <v>485.29</v>
      </c>
      <c r="H1437" s="605">
        <f>TRUNC(G1437*F1437,2)</f>
        <v>485.29</v>
      </c>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row>
    <row r="1438" spans="1:31" ht="12.75">
      <c r="A1438" s="640"/>
      <c r="B1438" s="641"/>
      <c r="C1438" s="368"/>
      <c r="D1438" s="641"/>
      <c r="E1438" s="641"/>
      <c r="F1438" s="369"/>
      <c r="G1438" s="370"/>
      <c r="H1438" s="371"/>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row>
    <row r="1439" spans="1:31" ht="25.5">
      <c r="A1439" s="358" t="s">
        <v>14471</v>
      </c>
      <c r="B1439" s="359" t="s">
        <v>14472</v>
      </c>
      <c r="C1439" s="360" t="s">
        <v>12601</v>
      </c>
      <c r="D1439" s="361" t="s">
        <v>14979</v>
      </c>
      <c r="E1439" s="359" t="s">
        <v>409</v>
      </c>
      <c r="F1439" s="401"/>
      <c r="G1439" s="402"/>
      <c r="H1439" s="363">
        <f>TRUNC(SUM(H1441:H1445),2)</f>
        <v>569.66999999999996</v>
      </c>
      <c r="I1439" s="276">
        <f>COUNTIF($C$8:$C1439,C:C)</f>
        <v>1</v>
      </c>
      <c r="J1439" s="262"/>
      <c r="K1439" s="262"/>
      <c r="L1439" s="262"/>
      <c r="M1439" s="262"/>
      <c r="N1439" s="262"/>
      <c r="O1439" s="262"/>
      <c r="P1439" s="262"/>
      <c r="Q1439" s="262"/>
      <c r="R1439" s="262"/>
      <c r="S1439" s="262"/>
      <c r="T1439" s="262"/>
      <c r="U1439" s="262"/>
      <c r="V1439" s="262"/>
      <c r="W1439" s="262"/>
      <c r="X1439" s="262"/>
      <c r="Y1439" s="262"/>
      <c r="Z1439" s="262"/>
      <c r="AA1439" s="262"/>
      <c r="AB1439" s="262"/>
    </row>
    <row r="1440" spans="1:31" ht="12.75">
      <c r="A1440" s="364" t="s">
        <v>14475</v>
      </c>
      <c r="B1440" s="403" t="s">
        <v>14476</v>
      </c>
      <c r="C1440" s="404">
        <v>101092</v>
      </c>
      <c r="D1440" s="367" t="s">
        <v>14602</v>
      </c>
      <c r="E1440" s="405"/>
      <c r="F1440" s="369"/>
      <c r="G1440" s="370"/>
      <c r="H1440" s="371"/>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row>
    <row r="1441" spans="1:31" ht="25.5">
      <c r="A1441" s="372" t="s">
        <v>14478</v>
      </c>
      <c r="B1441" s="421" t="s">
        <v>14476</v>
      </c>
      <c r="C1441" s="374">
        <v>88274</v>
      </c>
      <c r="D1441" s="288" t="str">
        <f>IFERROR(VLOOKUP($C1441,'24.08_ND'!$A:$D,2,0),)</f>
        <v>MARMORISTA/GRANITEIRO COM ENCARGOS COMPLEMENTARES</v>
      </c>
      <c r="E1441" s="289" t="str">
        <f>IFERROR(VLOOKUP($C1441,'24.08_ND'!$A:$D,3,0),)</f>
        <v>H</v>
      </c>
      <c r="F1441" s="375">
        <v>1.4750000000000001</v>
      </c>
      <c r="G1441" s="291">
        <f>IFERROR(VLOOKUP($C1441,'24.08_ND'!$A:$D,4,0),)</f>
        <v>23.2</v>
      </c>
      <c r="H1441" s="292">
        <f>TRUNC(($F1441*$G1441),2)</f>
        <v>34.22</v>
      </c>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D1441" s="1791" t="e">
        <f>VLOOKUP(C1441,'Medição '!$B$16:$F$1833,6,0)</f>
        <v>#N/A</v>
      </c>
      <c r="AE1441" s="1791"/>
    </row>
    <row r="1442" spans="1:31" ht="25.5">
      <c r="A1442" s="372" t="s">
        <v>14478</v>
      </c>
      <c r="B1442" s="421" t="s">
        <v>14476</v>
      </c>
      <c r="C1442" s="374">
        <v>88316</v>
      </c>
      <c r="D1442" s="288" t="str">
        <f>IFERROR(VLOOKUP($C1442,'24.08_ND'!$A:$D,2,0),)</f>
        <v>SERVENTE COM ENCARGOS COMPLEMENTARES</v>
      </c>
      <c r="E1442" s="289" t="str">
        <f>IFERROR(VLOOKUP($C1442,'24.08_ND'!$A:$D,3,0),)</f>
        <v>H</v>
      </c>
      <c r="F1442" s="375">
        <v>0.73799999999999999</v>
      </c>
      <c r="G1442" s="291">
        <f>IFERROR(VLOOKUP($C1442,'24.08_ND'!$A:$D,4,0),)</f>
        <v>18.510000000000002</v>
      </c>
      <c r="H1442" s="292">
        <f>TRUNC(($F1442*$G1442),2)</f>
        <v>13.66</v>
      </c>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D1442" s="1791" t="e">
        <f>VLOOKUP(C1442,'Medição '!$B$16:$F$1833,6,0)</f>
        <v>#N/A</v>
      </c>
      <c r="AE1442" s="1791"/>
    </row>
    <row r="1443" spans="1:31" ht="12.75">
      <c r="A1443" s="445" t="s">
        <v>14479</v>
      </c>
      <c r="B1443" s="446" t="s">
        <v>14476</v>
      </c>
      <c r="C1443" s="447">
        <v>34357</v>
      </c>
      <c r="D1443" s="296" t="str">
        <f>IFERROR(VLOOKUP($C1443,'24.08_ND'!$A:$D,2,0),)</f>
        <v>REJUNTE CIMENTICIO, QUALQUER COR</v>
      </c>
      <c r="E1443" s="297" t="str">
        <f>IFERROR(VLOOKUP($C1443,'24.08_ND'!$A:$D,3,0),)</f>
        <v>KG</v>
      </c>
      <c r="F1443" s="385">
        <v>0.14000000000000001</v>
      </c>
      <c r="G1443" s="299">
        <f>IFERROR(VLOOKUP($C1443,'24.08_ND'!$A:$D,4,0),)</f>
        <v>6.41</v>
      </c>
      <c r="H1443" s="300">
        <f>TRUNC(($F1443*$G1443),2)</f>
        <v>0.89</v>
      </c>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row>
    <row r="1444" spans="1:31" ht="12.75">
      <c r="A1444" s="445" t="s">
        <v>14479</v>
      </c>
      <c r="B1444" s="446" t="s">
        <v>14476</v>
      </c>
      <c r="C1444" s="447">
        <v>37595</v>
      </c>
      <c r="D1444" s="296" t="str">
        <f>IFERROR(VLOOKUP($C1444,'24.08_ND'!$A:$D,2,0),)</f>
        <v>ARGAMASSA COLANTE TIPO AC III</v>
      </c>
      <c r="E1444" s="297" t="str">
        <f>IFERROR(VLOOKUP($C1444,'24.08_ND'!$A:$D,3,0),)</f>
        <v>KG</v>
      </c>
      <c r="F1444" s="385">
        <v>8.6199999999999992</v>
      </c>
      <c r="G1444" s="299">
        <f>IFERROR(VLOOKUP($C1444,'24.08_ND'!$A:$D,4,0),)</f>
        <v>3.36</v>
      </c>
      <c r="H1444" s="300">
        <f>TRUNC(($F1444*$G1444),2)</f>
        <v>28.96</v>
      </c>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row>
    <row r="1445" spans="1:31" ht="12.75">
      <c r="A1445" s="599" t="s">
        <v>14479</v>
      </c>
      <c r="B1445" s="600" t="s">
        <v>14491</v>
      </c>
      <c r="C1445" s="600" t="s">
        <v>14980</v>
      </c>
      <c r="D1445" s="601" t="str">
        <f>VLOOKUP($C1445,'09 - MC'!$A:$F,2,0)</f>
        <v>GRANITO BRANCO MARFIM LEVIGADO</v>
      </c>
      <c r="E1445" s="602" t="str">
        <f>VLOOKUP($C1445,'09 - MC'!$A:$F,3,0)</f>
        <v>M2</v>
      </c>
      <c r="F1445" s="603">
        <v>1</v>
      </c>
      <c r="G1445" s="604">
        <f>VLOOKUP($C1445,'09 - MC'!$A:$F,6,0)</f>
        <v>491.94</v>
      </c>
      <c r="H1445" s="605">
        <f>TRUNC(G1445*F1445,2)</f>
        <v>491.94</v>
      </c>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row>
    <row r="1446" spans="1:31" ht="12.75">
      <c r="A1446" s="640"/>
      <c r="B1446" s="641"/>
      <c r="C1446" s="368"/>
      <c r="D1446" s="641"/>
      <c r="E1446" s="641"/>
      <c r="F1446" s="369"/>
      <c r="G1446" s="370"/>
      <c r="H1446" s="371"/>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row>
    <row r="1447" spans="1:31" ht="25.5">
      <c r="A1447" s="358" t="s">
        <v>14471</v>
      </c>
      <c r="B1447" s="359" t="s">
        <v>14472</v>
      </c>
      <c r="C1447" s="360" t="s">
        <v>12602</v>
      </c>
      <c r="D1447" s="361" t="s">
        <v>14981</v>
      </c>
      <c r="E1447" s="359" t="s">
        <v>409</v>
      </c>
      <c r="F1447" s="401"/>
      <c r="G1447" s="402"/>
      <c r="H1447" s="363">
        <f>TRUNC(SUM(H1449:H1453),2)</f>
        <v>688.92</v>
      </c>
      <c r="I1447" s="276">
        <f>COUNTIF($C$8:$C1447,C:C)</f>
        <v>1</v>
      </c>
      <c r="J1447" s="262"/>
      <c r="K1447" s="262"/>
      <c r="L1447" s="262"/>
      <c r="M1447" s="262"/>
      <c r="N1447" s="262"/>
      <c r="O1447" s="262"/>
      <c r="P1447" s="262"/>
      <c r="Q1447" s="262"/>
      <c r="R1447" s="262"/>
      <c r="S1447" s="262"/>
      <c r="T1447" s="262"/>
      <c r="U1447" s="262"/>
      <c r="V1447" s="262"/>
      <c r="W1447" s="262"/>
      <c r="X1447" s="262"/>
      <c r="Y1447" s="262"/>
      <c r="Z1447" s="262"/>
      <c r="AA1447" s="262"/>
      <c r="AB1447" s="262"/>
    </row>
    <row r="1448" spans="1:31" ht="12.75">
      <c r="A1448" s="364" t="s">
        <v>14475</v>
      </c>
      <c r="B1448" s="403" t="s">
        <v>14476</v>
      </c>
      <c r="C1448" s="404">
        <v>101092</v>
      </c>
      <c r="D1448" s="367" t="s">
        <v>14602</v>
      </c>
      <c r="E1448" s="405"/>
      <c r="F1448" s="369"/>
      <c r="G1448" s="370"/>
      <c r="H1448" s="371"/>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row>
    <row r="1449" spans="1:31" ht="25.5">
      <c r="A1449" s="372" t="s">
        <v>14478</v>
      </c>
      <c r="B1449" s="421" t="s">
        <v>14476</v>
      </c>
      <c r="C1449" s="374">
        <v>88274</v>
      </c>
      <c r="D1449" s="288" t="str">
        <f>IFERROR(VLOOKUP($C1449,'24.08_ND'!$A:$D,2,0),)</f>
        <v>MARMORISTA/GRANITEIRO COM ENCARGOS COMPLEMENTARES</v>
      </c>
      <c r="E1449" s="289" t="str">
        <f>IFERROR(VLOOKUP($C1449,'24.08_ND'!$A:$D,3,0),)</f>
        <v>H</v>
      </c>
      <c r="F1449" s="375">
        <v>1.4750000000000001</v>
      </c>
      <c r="G1449" s="291">
        <f>IFERROR(VLOOKUP($C1449,'24.08_ND'!$A:$D,4,0),)</f>
        <v>23.2</v>
      </c>
      <c r="H1449" s="292">
        <f>TRUNC(($F1449*$G1449),2)</f>
        <v>34.22</v>
      </c>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D1449" s="1791" t="e">
        <f>VLOOKUP(C1449,'Medição '!$B$16:$F$1833,6,0)</f>
        <v>#N/A</v>
      </c>
      <c r="AE1449" s="1791"/>
    </row>
    <row r="1450" spans="1:31" ht="25.5">
      <c r="A1450" s="372" t="s">
        <v>14478</v>
      </c>
      <c r="B1450" s="421" t="s">
        <v>14476</v>
      </c>
      <c r="C1450" s="374">
        <v>88316</v>
      </c>
      <c r="D1450" s="288" t="str">
        <f>IFERROR(VLOOKUP($C1450,'24.08_ND'!$A:$D,2,0),)</f>
        <v>SERVENTE COM ENCARGOS COMPLEMENTARES</v>
      </c>
      <c r="E1450" s="289" t="str">
        <f>IFERROR(VLOOKUP($C1450,'24.08_ND'!$A:$D,3,0),)</f>
        <v>H</v>
      </c>
      <c r="F1450" s="375">
        <v>0.73799999999999999</v>
      </c>
      <c r="G1450" s="291">
        <f>IFERROR(VLOOKUP($C1450,'24.08_ND'!$A:$D,4,0),)</f>
        <v>18.510000000000002</v>
      </c>
      <c r="H1450" s="292">
        <f>TRUNC(($F1450*$G1450),2)</f>
        <v>13.66</v>
      </c>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D1450" s="1791" t="e">
        <f>VLOOKUP(C1450,'Medição '!$B$16:$F$1833,6,0)</f>
        <v>#N/A</v>
      </c>
      <c r="AE1450" s="1791"/>
    </row>
    <row r="1451" spans="1:31" ht="12.75">
      <c r="A1451" s="445" t="s">
        <v>14479</v>
      </c>
      <c r="B1451" s="446" t="s">
        <v>14476</v>
      </c>
      <c r="C1451" s="447">
        <v>34357</v>
      </c>
      <c r="D1451" s="296" t="str">
        <f>IFERROR(VLOOKUP($C1451,'24.08_ND'!$A:$D,2,0),)</f>
        <v>REJUNTE CIMENTICIO, QUALQUER COR</v>
      </c>
      <c r="E1451" s="297" t="str">
        <f>IFERROR(VLOOKUP($C1451,'24.08_ND'!$A:$D,3,0),)</f>
        <v>KG</v>
      </c>
      <c r="F1451" s="385">
        <v>0.23849999999999999</v>
      </c>
      <c r="G1451" s="299">
        <f>IFERROR(VLOOKUP($C1451,'24.08_ND'!$A:$D,4,0),)</f>
        <v>6.41</v>
      </c>
      <c r="H1451" s="300">
        <f>TRUNC(($F1451*$G1451),2)</f>
        <v>1.52</v>
      </c>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row>
    <row r="1452" spans="1:31" ht="12.75">
      <c r="A1452" s="445" t="s">
        <v>14479</v>
      </c>
      <c r="B1452" s="446" t="s">
        <v>14476</v>
      </c>
      <c r="C1452" s="447">
        <v>37595</v>
      </c>
      <c r="D1452" s="296" t="str">
        <f>IFERROR(VLOOKUP($C1452,'24.08_ND'!$A:$D,2,0),)</f>
        <v>ARGAMASSA COLANTE TIPO AC III</v>
      </c>
      <c r="E1452" s="297" t="str">
        <f>IFERROR(VLOOKUP($C1452,'24.08_ND'!$A:$D,3,0),)</f>
        <v>KG</v>
      </c>
      <c r="F1452" s="385">
        <v>8.6199999999999992</v>
      </c>
      <c r="G1452" s="299">
        <f>IFERROR(VLOOKUP($C1452,'24.08_ND'!$A:$D,4,0),)</f>
        <v>3.36</v>
      </c>
      <c r="H1452" s="300">
        <f>TRUNC(($F1452*$G1452),2)</f>
        <v>28.96</v>
      </c>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row>
    <row r="1453" spans="1:31" ht="12.75">
      <c r="A1453" s="599" t="s">
        <v>14479</v>
      </c>
      <c r="B1453" s="600" t="s">
        <v>14491</v>
      </c>
      <c r="C1453" s="600" t="s">
        <v>14982</v>
      </c>
      <c r="D1453" s="601" t="str">
        <f>VLOOKUP($C1453,'09 - MC'!$A:$F,2,0)</f>
        <v>GRANITO SÃO GABRIEL LEVIGADO/ ESCOVADO</v>
      </c>
      <c r="E1453" s="602" t="str">
        <f>VLOOKUP($C1453,'09 - MC'!$A:$F,3,0)</f>
        <v>M2</v>
      </c>
      <c r="F1453" s="603">
        <v>1</v>
      </c>
      <c r="G1453" s="604">
        <f>VLOOKUP($C1453,'09 - MC'!$A:$F,6,0)</f>
        <v>610.55999999999995</v>
      </c>
      <c r="H1453" s="605">
        <f>TRUNC(G1453*F1453,2)</f>
        <v>610.55999999999995</v>
      </c>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row>
    <row r="1454" spans="1:31" ht="12.75">
      <c r="A1454" s="309"/>
      <c r="B1454" s="303"/>
      <c r="C1454" s="303"/>
      <c r="D1454" s="310"/>
      <c r="E1454" s="303"/>
      <c r="F1454" s="306"/>
      <c r="G1454" s="307"/>
      <c r="H1454" s="308"/>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row>
    <row r="1455" spans="1:31" ht="25.5">
      <c r="A1455" s="358" t="s">
        <v>14471</v>
      </c>
      <c r="B1455" s="359" t="s">
        <v>14472</v>
      </c>
      <c r="C1455" s="360" t="s">
        <v>14983</v>
      </c>
      <c r="D1455" s="361" t="s">
        <v>14984</v>
      </c>
      <c r="E1455" s="359" t="s">
        <v>6</v>
      </c>
      <c r="F1455" s="401"/>
      <c r="G1455" s="402"/>
      <c r="H1455" s="363">
        <f>TRUNC(SUM(H1457:H1462),2)</f>
        <v>2343.9299999999998</v>
      </c>
      <c r="I1455" s="276">
        <f>COUNTIF($C$8:$C1455,C:C)</f>
        <v>1</v>
      </c>
      <c r="J1455" s="262"/>
      <c r="K1455" s="262"/>
      <c r="L1455" s="262"/>
      <c r="M1455" s="262"/>
      <c r="N1455" s="262"/>
      <c r="O1455" s="262"/>
      <c r="P1455" s="262"/>
      <c r="Q1455" s="262"/>
      <c r="R1455" s="262"/>
      <c r="S1455" s="262"/>
      <c r="T1455" s="262"/>
      <c r="U1455" s="262"/>
      <c r="V1455" s="262"/>
      <c r="W1455" s="262"/>
      <c r="X1455" s="262"/>
      <c r="Y1455" s="262"/>
      <c r="Z1455" s="262"/>
      <c r="AA1455" s="262"/>
      <c r="AB1455" s="262"/>
    </row>
    <row r="1456" spans="1:31" ht="12.75">
      <c r="A1456" s="364" t="s">
        <v>14475</v>
      </c>
      <c r="B1456" s="403" t="s">
        <v>14476</v>
      </c>
      <c r="C1456" s="404">
        <v>103003</v>
      </c>
      <c r="D1456" s="367" t="s">
        <v>14602</v>
      </c>
      <c r="E1456" s="405"/>
      <c r="F1456" s="369"/>
      <c r="G1456" s="370"/>
      <c r="H1456" s="371"/>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row>
    <row r="1457" spans="1:31" ht="25.5">
      <c r="A1457" s="372" t="s">
        <v>14478</v>
      </c>
      <c r="B1457" s="421" t="s">
        <v>14476</v>
      </c>
      <c r="C1457" s="374">
        <v>88316</v>
      </c>
      <c r="D1457" s="288" t="str">
        <f>IFERROR(VLOOKUP($C1457,'24.08_ND'!$A:$D,2,0),)</f>
        <v>SERVENTE COM ENCARGOS COMPLEMENTARES</v>
      </c>
      <c r="E1457" s="289" t="str">
        <f>IFERROR(VLOOKUP($C1457,'24.08_ND'!$A:$D,3,0),)</f>
        <v>H</v>
      </c>
      <c r="F1457" s="375">
        <v>0.5</v>
      </c>
      <c r="G1457" s="291">
        <f>IFERROR(VLOOKUP($C1457,'24.08_ND'!$A:$D,4,0),)</f>
        <v>18.510000000000002</v>
      </c>
      <c r="H1457" s="292">
        <f t="shared" ref="H1457:H1462" si="56">TRUNC(($F1457*$G1457),2)</f>
        <v>9.25</v>
      </c>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D1457" s="1791" t="e">
        <f>VLOOKUP(C1457,'Medição '!$B$16:$F$1833,6,0)</f>
        <v>#N/A</v>
      </c>
      <c r="AE1457" s="1791"/>
    </row>
    <row r="1458" spans="1:31" ht="25.5">
      <c r="A1458" s="372" t="s">
        <v>14478</v>
      </c>
      <c r="B1458" s="421" t="s">
        <v>14476</v>
      </c>
      <c r="C1458" s="374">
        <v>88309</v>
      </c>
      <c r="D1458" s="288" t="str">
        <f>IFERROR(VLOOKUP($C1458,'24.08_ND'!$A:$D,2,0),)</f>
        <v>PEDREIRO COM ENCARGOS COMPLEMENTARES</v>
      </c>
      <c r="E1458" s="289" t="str">
        <f>IFERROR(VLOOKUP($C1458,'24.08_ND'!$A:$D,3,0),)</f>
        <v>H</v>
      </c>
      <c r="F1458" s="375">
        <v>0.5</v>
      </c>
      <c r="G1458" s="291">
        <f>IFERROR(VLOOKUP($C1458,'24.08_ND'!$A:$D,4,0),)</f>
        <v>23.33</v>
      </c>
      <c r="H1458" s="292">
        <f t="shared" si="56"/>
        <v>11.66</v>
      </c>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D1458" s="1791" t="e">
        <f>VLOOKUP(C1458,'Medição '!$B$16:$F$1833,6,0)</f>
        <v>#N/A</v>
      </c>
      <c r="AE1458" s="1791"/>
    </row>
    <row r="1459" spans="1:31" ht="25.5">
      <c r="A1459" s="372" t="s">
        <v>14478</v>
      </c>
      <c r="B1459" s="421" t="s">
        <v>14476</v>
      </c>
      <c r="C1459" s="374">
        <v>88310</v>
      </c>
      <c r="D1459" s="288" t="str">
        <f>IFERROR(VLOOKUP($C1459,'24.08_ND'!$A:$D,2,0),)</f>
        <v>PINTOR COM ENCARGOS COMPLEMENTARES</v>
      </c>
      <c r="E1459" s="289" t="str">
        <f>IFERROR(VLOOKUP($C1459,'24.08_ND'!$A:$D,3,0),)</f>
        <v>H</v>
      </c>
      <c r="F1459" s="375">
        <f>0.5266+1.0531</f>
        <v>1.5796999999999999</v>
      </c>
      <c r="G1459" s="291">
        <f>IFERROR(VLOOKUP($C1459,'24.08_ND'!$A:$D,4,0),)</f>
        <v>24.69</v>
      </c>
      <c r="H1459" s="292">
        <f t="shared" si="56"/>
        <v>39</v>
      </c>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D1459" s="1791" t="e">
        <f>VLOOKUP(C1459,'Medição '!$B$16:$F$1833,6,0)</f>
        <v>#N/A</v>
      </c>
      <c r="AE1459" s="1791"/>
    </row>
    <row r="1460" spans="1:31" ht="38.25">
      <c r="A1460" s="372" t="s">
        <v>14478</v>
      </c>
      <c r="B1460" s="421" t="s">
        <v>14476</v>
      </c>
      <c r="C1460" s="374">
        <v>100761</v>
      </c>
      <c r="D1460" s="288" t="str">
        <f>IFERROR(VLOOKUP($C1460,'24.08_ND'!$A:$D,2,0),)</f>
        <v>PINTURA COM TINTA ALQUÍDICA DE ACABAMENTO (ESMALTE SINTÉTICO FOSCO) PULVERIZADA SOBRE SUPERFÍCIES METÁLICAS (EXCETO PERFIL) EXECUTADO EM OBRA (02 DEMÃOS). AF_01/2020_PE</v>
      </c>
      <c r="E1460" s="289" t="str">
        <f>IFERROR(VLOOKUP($C1460,'24.08_ND'!$A:$D,3,0),)</f>
        <v>M2</v>
      </c>
      <c r="F1460" s="375">
        <f>F1462*1.75</f>
        <v>3.0925052683774528</v>
      </c>
      <c r="G1460" s="291">
        <f>IFERROR(VLOOKUP($C1460,'24.08_ND'!$A:$D,4,0),)</f>
        <v>41.11</v>
      </c>
      <c r="H1460" s="292">
        <f t="shared" si="56"/>
        <v>127.13</v>
      </c>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D1460" s="1791" t="e">
        <f>VLOOKUP(C1460,'Medição '!$B$16:$F$1833,6,0)</f>
        <v>#REF!</v>
      </c>
      <c r="AE1460" s="1791"/>
    </row>
    <row r="1461" spans="1:31" ht="12.75">
      <c r="A1461" s="590" t="s">
        <v>14479</v>
      </c>
      <c r="B1461" s="312" t="str">
        <f>VLOOKUP($C1461,'• CIs EXT'!$A:$E,2,0)</f>
        <v>ORSE</v>
      </c>
      <c r="C1461" s="377">
        <v>1031</v>
      </c>
      <c r="D1461" s="378" t="str">
        <f>VLOOKUP($C1461,'• CIs EXT'!$A:$E,3,0)</f>
        <v>FUNDO FOSFATIZANTE (P/GALVANIZADO)</v>
      </c>
      <c r="E1461" s="379" t="str">
        <f>VLOOKUP($C1461,'• CIs EXT'!$A:$E,4,0)</f>
        <v>L</v>
      </c>
      <c r="F1461" s="380">
        <f>(0.35*F1462*2)*1.05</f>
        <v>1.29885221271853</v>
      </c>
      <c r="G1461" s="379">
        <f>VLOOKUP($C1461,'• CIs EXT'!$A:$E,5,0)</f>
        <v>44.25</v>
      </c>
      <c r="H1461" s="381">
        <f t="shared" si="56"/>
        <v>57.47</v>
      </c>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row>
    <row r="1462" spans="1:31" ht="38.25">
      <c r="A1462" s="590" t="s">
        <v>14479</v>
      </c>
      <c r="B1462" s="312" t="str">
        <f>VLOOKUP($C1462,'• CIs EXT'!$A:$E,2,0)</f>
        <v>CPOS/CDHU</v>
      </c>
      <c r="C1462" s="377" t="s">
        <v>14985</v>
      </c>
      <c r="D1462" s="378" t="str">
        <f>VLOOKUP($C1462,'• CIs EXT'!$A:$E,3,0)</f>
        <v>GRELHA ARVOREIRA EM FERRO FUNDIDO NODULAR</v>
      </c>
      <c r="E1462" s="379" t="str">
        <f>VLOOKUP($C1462,'• CIs EXT'!$A:$E,4,0)</f>
        <v>M2</v>
      </c>
      <c r="F1462" s="662">
        <f>PI()*(0.75^2)</f>
        <v>1.7671458676442586</v>
      </c>
      <c r="G1462" s="379">
        <f>VLOOKUP($C1462,'• CIs EXT'!$A:$E,5,0)</f>
        <v>1188.03</v>
      </c>
      <c r="H1462" s="381">
        <f t="shared" si="56"/>
        <v>2099.42</v>
      </c>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row>
    <row r="1463" spans="1:31" ht="12.75">
      <c r="A1463" s="309"/>
      <c r="B1463" s="303"/>
      <c r="C1463" s="303"/>
      <c r="D1463" s="310"/>
      <c r="E1463" s="303"/>
      <c r="F1463" s="306"/>
      <c r="G1463" s="307"/>
      <c r="H1463" s="308"/>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row>
    <row r="1464" spans="1:31" ht="51">
      <c r="A1464" s="358" t="s">
        <v>14471</v>
      </c>
      <c r="B1464" s="359" t="s">
        <v>14472</v>
      </c>
      <c r="C1464" s="360" t="s">
        <v>14986</v>
      </c>
      <c r="D1464" s="361" t="s">
        <v>14987</v>
      </c>
      <c r="E1464" s="359" t="s">
        <v>6</v>
      </c>
      <c r="F1464" s="401"/>
      <c r="G1464" s="402"/>
      <c r="H1464" s="363">
        <f>TRUNC(SUM(H1466:H1475),2)</f>
        <v>620.65</v>
      </c>
      <c r="I1464" s="276">
        <f>COUNTIF($C$8:$C1464,C:C)</f>
        <v>1</v>
      </c>
      <c r="J1464" s="262"/>
      <c r="K1464" s="262"/>
      <c r="L1464" s="262"/>
      <c r="M1464" s="262"/>
      <c r="N1464" s="262"/>
      <c r="O1464" s="262"/>
      <c r="P1464" s="262"/>
      <c r="Q1464" s="262"/>
      <c r="R1464" s="262"/>
      <c r="S1464" s="262"/>
      <c r="T1464" s="262"/>
      <c r="U1464" s="262"/>
      <c r="V1464" s="262"/>
      <c r="W1464" s="262"/>
      <c r="X1464" s="262"/>
      <c r="Y1464" s="262"/>
      <c r="Z1464" s="262"/>
      <c r="AA1464" s="262"/>
      <c r="AB1464" s="262"/>
    </row>
    <row r="1465" spans="1:31" ht="12.75">
      <c r="A1465" s="364" t="s">
        <v>14475</v>
      </c>
      <c r="B1465" s="403" t="s">
        <v>14476</v>
      </c>
      <c r="C1465" s="404">
        <v>103003</v>
      </c>
      <c r="D1465" s="367" t="s">
        <v>14602</v>
      </c>
      <c r="E1465" s="405"/>
      <c r="F1465" s="369"/>
      <c r="G1465" s="370"/>
      <c r="H1465" s="371"/>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row>
    <row r="1466" spans="1:31" ht="25.5">
      <c r="A1466" s="372" t="s">
        <v>14478</v>
      </c>
      <c r="B1466" s="421" t="s">
        <v>14476</v>
      </c>
      <c r="C1466" s="374">
        <v>88629</v>
      </c>
      <c r="D1466" s="288" t="str">
        <f>IFERROR(VLOOKUP($C1466,'24.08_ND'!$A:$D,2,0),)</f>
        <v>ARGAMASSA TRAÇO 1:3 (EM VOLUME DE CIMENTO E AREIA MÉDIA ÚMIDA), PREPARO MANUAL. AF_08/2019</v>
      </c>
      <c r="E1466" s="289" t="str">
        <f>IFERROR(VLOOKUP($C1466,'24.08_ND'!$A:$D,3,0),)</f>
        <v>M3</v>
      </c>
      <c r="F1466" s="375">
        <v>2.6000000000000006E-2</v>
      </c>
      <c r="G1466" s="291">
        <f>IFERROR(VLOOKUP($C1466,'24.08_ND'!$A:$D,4,0),)</f>
        <v>648.55999999999995</v>
      </c>
      <c r="H1466" s="292">
        <f t="shared" ref="H1466:H1475" si="57">TRUNC(($F1466*$G1466),2)</f>
        <v>16.86</v>
      </c>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D1466" s="1791" t="e">
        <f>VLOOKUP(C1466,'Medição '!$B$16:$F$1833,6,0)</f>
        <v>#N/A</v>
      </c>
      <c r="AE1466" s="1791"/>
    </row>
    <row r="1467" spans="1:31" ht="25.5">
      <c r="A1467" s="372" t="s">
        <v>14478</v>
      </c>
      <c r="B1467" s="421" t="s">
        <v>14476</v>
      </c>
      <c r="C1467" s="374">
        <v>88309</v>
      </c>
      <c r="D1467" s="288" t="str">
        <f>IFERROR(VLOOKUP($C1467,'24.08_ND'!$A:$D,2,0),)</f>
        <v>PEDREIRO COM ENCARGOS COMPLEMENTARES</v>
      </c>
      <c r="E1467" s="289" t="str">
        <f>IFERROR(VLOOKUP($C1467,'24.08_ND'!$A:$D,3,0),)</f>
        <v>H</v>
      </c>
      <c r="F1467" s="375">
        <v>1.371</v>
      </c>
      <c r="G1467" s="291">
        <f>IFERROR(VLOOKUP($C1467,'24.08_ND'!$A:$D,4,0),)</f>
        <v>23.33</v>
      </c>
      <c r="H1467" s="292">
        <f t="shared" si="57"/>
        <v>31.98</v>
      </c>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D1467" s="1791" t="e">
        <f>VLOOKUP(C1467,'Medição '!$B$16:$F$1833,6,0)</f>
        <v>#N/A</v>
      </c>
      <c r="AE1467" s="1791"/>
    </row>
    <row r="1468" spans="1:31" ht="25.5">
      <c r="A1468" s="372" t="s">
        <v>14478</v>
      </c>
      <c r="B1468" s="421" t="s">
        <v>14476</v>
      </c>
      <c r="C1468" s="374">
        <v>88316</v>
      </c>
      <c r="D1468" s="288" t="str">
        <f>IFERROR(VLOOKUP($C1468,'24.08_ND'!$A:$D,2,0),)</f>
        <v>SERVENTE COM ENCARGOS COMPLEMENTARES</v>
      </c>
      <c r="E1468" s="289" t="str">
        <f>IFERROR(VLOOKUP($C1468,'24.08_ND'!$A:$D,3,0),)</f>
        <v>H</v>
      </c>
      <c r="F1468" s="375">
        <v>1.371</v>
      </c>
      <c r="G1468" s="291">
        <f>IFERROR(VLOOKUP($C1468,'24.08_ND'!$A:$D,4,0),)</f>
        <v>18.510000000000002</v>
      </c>
      <c r="H1468" s="292">
        <f t="shared" si="57"/>
        <v>25.37</v>
      </c>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D1468" s="1791" t="e">
        <f>VLOOKUP(C1468,'Medição '!$B$16:$F$1833,6,0)</f>
        <v>#N/A</v>
      </c>
      <c r="AE1468" s="1791"/>
    </row>
    <row r="1469" spans="1:31" ht="25.5">
      <c r="A1469" s="372" t="s">
        <v>14478</v>
      </c>
      <c r="B1469" s="421" t="s">
        <v>14476</v>
      </c>
      <c r="C1469" s="374">
        <v>88315</v>
      </c>
      <c r="D1469" s="288" t="str">
        <f>IFERROR(VLOOKUP($C1469,'24.08_ND'!$A:$D,2,0),)</f>
        <v>SERRALHEIRO COM ENCARGOS COMPLEMENTARES</v>
      </c>
      <c r="E1469" s="289" t="str">
        <f>IFERROR(VLOOKUP($C1469,'24.08_ND'!$A:$D,3,0),)</f>
        <v>H</v>
      </c>
      <c r="F1469" s="375">
        <v>0.89999999999999991</v>
      </c>
      <c r="G1469" s="291">
        <f>IFERROR(VLOOKUP($C1469,'24.08_ND'!$A:$D,4,0),)</f>
        <v>23.13</v>
      </c>
      <c r="H1469" s="292">
        <f t="shared" si="57"/>
        <v>20.81</v>
      </c>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D1469" s="1791" t="e">
        <f>VLOOKUP(C1469,'Medição '!$B$16:$F$1833,6,0)</f>
        <v>#N/A</v>
      </c>
      <c r="AE1469" s="1791"/>
    </row>
    <row r="1470" spans="1:31" ht="25.5">
      <c r="A1470" s="372" t="s">
        <v>14478</v>
      </c>
      <c r="B1470" s="421" t="s">
        <v>14476</v>
      </c>
      <c r="C1470" s="374">
        <v>88251</v>
      </c>
      <c r="D1470" s="288" t="str">
        <f>IFERROR(VLOOKUP($C1470,'24.08_ND'!$A:$D,2,0),)</f>
        <v>AUXILIAR DE SERRALHEIRO COM ENCARGOS COMPLEMENTARES</v>
      </c>
      <c r="E1470" s="289" t="str">
        <f>IFERROR(VLOOKUP($C1470,'24.08_ND'!$A:$D,3,0),)</f>
        <v>H</v>
      </c>
      <c r="F1470" s="375">
        <v>0.75</v>
      </c>
      <c r="G1470" s="291">
        <f>IFERROR(VLOOKUP($C1470,'24.08_ND'!$A:$D,4,0),)</f>
        <v>19.579999999999998</v>
      </c>
      <c r="H1470" s="292">
        <f t="shared" si="57"/>
        <v>14.68</v>
      </c>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D1470" s="1791" t="e">
        <f>VLOOKUP(C1470,'Medição '!$B$16:$F$1833,6,0)</f>
        <v>#N/A</v>
      </c>
      <c r="AE1470" s="1791"/>
    </row>
    <row r="1471" spans="1:31" ht="25.5">
      <c r="A1471" s="372" t="s">
        <v>14478</v>
      </c>
      <c r="B1471" s="421" t="s">
        <v>14476</v>
      </c>
      <c r="C1471" s="374">
        <v>88310</v>
      </c>
      <c r="D1471" s="288" t="str">
        <f>IFERROR(VLOOKUP($C1471,'24.08_ND'!$A:$D,2,0),)</f>
        <v>PINTOR COM ENCARGOS COMPLEMENTARES</v>
      </c>
      <c r="E1471" s="289" t="str">
        <f>IFERROR(VLOOKUP($C1471,'24.08_ND'!$A:$D,3,0),)</f>
        <v>H</v>
      </c>
      <c r="F1471" s="375">
        <v>0.47390999999999994</v>
      </c>
      <c r="G1471" s="291">
        <f>IFERROR(VLOOKUP($C1471,'24.08_ND'!$A:$D,4,0),)</f>
        <v>24.69</v>
      </c>
      <c r="H1471" s="292">
        <f t="shared" si="57"/>
        <v>11.7</v>
      </c>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D1471" s="1791" t="e">
        <f>VLOOKUP(C1471,'Medição '!$B$16:$F$1833,6,0)</f>
        <v>#N/A</v>
      </c>
      <c r="AE1471" s="1791"/>
    </row>
    <row r="1472" spans="1:31" ht="38.25">
      <c r="A1472" s="372" t="s">
        <v>14478</v>
      </c>
      <c r="B1472" s="421" t="s">
        <v>14476</v>
      </c>
      <c r="C1472" s="374">
        <v>100761</v>
      </c>
      <c r="D1472" s="288" t="str">
        <f>IFERROR(VLOOKUP($C1472,'24.08_ND'!$A:$D,2,0),)</f>
        <v>PINTURA COM TINTA ALQUÍDICA DE ACABAMENTO (ESMALTE SINTÉTICO FOSCO) PULVERIZADA SOBRE SUPERFÍCIES METÁLICAS (EXCETO PERFIL) EXECUTADO EM OBRA (02 DEMÃOS). AF_01/2020_PE</v>
      </c>
      <c r="E1472" s="289" t="str">
        <f>IFERROR(VLOOKUP($C1472,'24.08_ND'!$A:$D,3,0),)</f>
        <v>M2</v>
      </c>
      <c r="F1472" s="375">
        <f>(0.65*2.05*1.5)+(0.05*2.6*1.05)</f>
        <v>2.1352500000000001</v>
      </c>
      <c r="G1472" s="291">
        <f>IFERROR(VLOOKUP($C1472,'24.08_ND'!$A:$D,4,0),)</f>
        <v>41.11</v>
      </c>
      <c r="H1472" s="292">
        <f t="shared" si="57"/>
        <v>87.78</v>
      </c>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D1472" s="1791" t="e">
        <f>VLOOKUP(C1472,'Medição '!$B$16:$F$1833,6,0)</f>
        <v>#REF!</v>
      </c>
      <c r="AE1472" s="1791"/>
    </row>
    <row r="1473" spans="1:32" ht="12.75">
      <c r="A1473" s="445" t="s">
        <v>14479</v>
      </c>
      <c r="B1473" s="446" t="s">
        <v>14476</v>
      </c>
      <c r="C1473" s="447">
        <v>11002</v>
      </c>
      <c r="D1473" s="296" t="str">
        <f>IFERROR(VLOOKUP($C1473,'24.08_ND'!$A:$D,2,0),)</f>
        <v>ELETRODO REVESTIDO AWS - E6013, DIAMETRO IGUAL A 2,50 MM</v>
      </c>
      <c r="E1473" s="297" t="str">
        <f>IFERROR(VLOOKUP($C1473,'24.08_ND'!$A:$D,3,0),)</f>
        <v>KG</v>
      </c>
      <c r="F1473" s="385">
        <f>0.325</f>
        <v>0.32500000000000001</v>
      </c>
      <c r="G1473" s="299">
        <f>IFERROR(VLOOKUP($C1473,'24.08_ND'!$A:$D,4,0),)</f>
        <v>31.31</v>
      </c>
      <c r="H1473" s="300">
        <f t="shared" si="57"/>
        <v>10.17</v>
      </c>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row>
    <row r="1474" spans="1:32" ht="38.25">
      <c r="A1474" s="590" t="s">
        <v>14479</v>
      </c>
      <c r="B1474" s="312" t="str">
        <f>VLOOKUP($C1474,'• CIs EXT'!$A:$E,2,0)</f>
        <v>CPOS/CDHU</v>
      </c>
      <c r="C1474" s="377" t="s">
        <v>14988</v>
      </c>
      <c r="D1474" s="378" t="str">
        <f>VLOOKUP($C1474,'• CIs EXT'!$A:$E,3,0)</f>
        <v>GRELHA COM MALHA QUADRICULADA E REQUADRO, EM FERRO FUNDIDO NODULAR CLASSE 250/300; REF. FUMINAS, AFER INDUSTRIAL OU EQUIVALENTE</v>
      </c>
      <c r="E1474" s="379" t="str">
        <f>VLOOKUP($C1474,'• CIs EXT'!$A:$E,4,0)</f>
        <v>M2</v>
      </c>
      <c r="F1474" s="380">
        <f>0.3*1</f>
        <v>0.3</v>
      </c>
      <c r="G1474" s="379">
        <f>VLOOKUP($C1474,'• CIs EXT'!$A:$E,5,0)</f>
        <v>1167.3499999999999</v>
      </c>
      <c r="H1474" s="381">
        <f t="shared" si="57"/>
        <v>350.2</v>
      </c>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row>
    <row r="1475" spans="1:32" ht="12.75">
      <c r="A1475" s="590" t="s">
        <v>14479</v>
      </c>
      <c r="B1475" s="312" t="str">
        <f>VLOOKUP($C1475,'• CIs EXT'!$A:$E,2,0)</f>
        <v>ORSE</v>
      </c>
      <c r="C1475" s="377">
        <v>1031</v>
      </c>
      <c r="D1475" s="378" t="str">
        <f>VLOOKUP($C1475,'• CIs EXT'!$A:$E,3,0)</f>
        <v>FUNDO FOSFATIZANTE (P/GALVANIZADO)</v>
      </c>
      <c r="E1475" s="379" t="str">
        <f>VLOOKUP($C1475,'• CIs EXT'!$A:$E,4,0)</f>
        <v>L</v>
      </c>
      <c r="F1475" s="380">
        <f>(0.35*1.1*2*1.5)</f>
        <v>1.155</v>
      </c>
      <c r="G1475" s="379">
        <f>VLOOKUP($C1475,'• CIs EXT'!$A:$E,5,0)</f>
        <v>44.25</v>
      </c>
      <c r="H1475" s="381">
        <f t="shared" si="57"/>
        <v>51.1</v>
      </c>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row>
    <row r="1476" spans="1:32" ht="12.75">
      <c r="A1476" s="309"/>
      <c r="B1476" s="303"/>
      <c r="C1476" s="303"/>
      <c r="D1476" s="310"/>
      <c r="E1476" s="303"/>
      <c r="F1476" s="306"/>
      <c r="G1476" s="307"/>
      <c r="H1476" s="308"/>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row>
    <row r="1477" spans="1:32" ht="38.25">
      <c r="A1477" s="358" t="s">
        <v>14471</v>
      </c>
      <c r="B1477" s="359" t="s">
        <v>14472</v>
      </c>
      <c r="C1477" s="360" t="s">
        <v>14989</v>
      </c>
      <c r="D1477" s="361" t="s">
        <v>14990</v>
      </c>
      <c r="E1477" s="359" t="s">
        <v>409</v>
      </c>
      <c r="F1477" s="401"/>
      <c r="G1477" s="402"/>
      <c r="H1477" s="363">
        <f>TRUNC(SUM(H1479:H1484),2)</f>
        <v>342.48</v>
      </c>
      <c r="I1477" s="276">
        <f>COUNTIF($C$8:$C1477,C:C)</f>
        <v>1</v>
      </c>
      <c r="J1477" s="262"/>
      <c r="K1477" s="262"/>
      <c r="L1477" s="262"/>
      <c r="M1477" s="262"/>
      <c r="N1477" s="262"/>
      <c r="O1477" s="262"/>
      <c r="P1477" s="262"/>
      <c r="Q1477" s="262"/>
      <c r="R1477" s="262"/>
      <c r="S1477" s="262"/>
      <c r="T1477" s="262"/>
      <c r="U1477" s="262"/>
      <c r="V1477" s="262"/>
      <c r="W1477" s="262"/>
      <c r="X1477" s="262"/>
      <c r="Y1477" s="262"/>
      <c r="Z1477" s="262"/>
      <c r="AA1477" s="262"/>
      <c r="AB1477" s="262"/>
    </row>
    <row r="1478" spans="1:32" ht="12.75">
      <c r="A1478" s="364" t="s">
        <v>14475</v>
      </c>
      <c r="B1478" s="403" t="s">
        <v>14476</v>
      </c>
      <c r="C1478" s="404">
        <v>101092</v>
      </c>
      <c r="D1478" s="367" t="s">
        <v>14602</v>
      </c>
      <c r="E1478" s="405"/>
      <c r="F1478" s="642"/>
      <c r="G1478" s="370"/>
      <c r="H1478" s="371"/>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row>
    <row r="1479" spans="1:32" ht="25.5">
      <c r="A1479" s="372" t="s">
        <v>14478</v>
      </c>
      <c r="B1479" s="421" t="s">
        <v>14476</v>
      </c>
      <c r="C1479" s="374">
        <v>88256</v>
      </c>
      <c r="D1479" s="288" t="str">
        <f>IFERROR(VLOOKUP($C1479,'24.08_ND'!$A:$D,2,0),)</f>
        <v>AZULEJISTA OU LADRILHISTA COM ENCARGOS COMPLEMENTARES</v>
      </c>
      <c r="E1479" s="289" t="str">
        <f>IFERROR(VLOOKUP($C1479,'24.08_ND'!$A:$D,3,0),)</f>
        <v>H</v>
      </c>
      <c r="F1479" s="375">
        <v>1.236</v>
      </c>
      <c r="G1479" s="291">
        <f>IFERROR(VLOOKUP($C1479,'24.08_ND'!$A:$D,4,0),)</f>
        <v>23.2</v>
      </c>
      <c r="H1479" s="292">
        <f>TRUNC(($F1479*$G1479),2)</f>
        <v>28.67</v>
      </c>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D1479" s="1791" t="e">
        <f>VLOOKUP(C1479,'Medição '!$B$16:$F$1833,6,0)</f>
        <v>#N/A</v>
      </c>
      <c r="AE1479" s="1791"/>
    </row>
    <row r="1480" spans="1:32" ht="25.5">
      <c r="A1480" s="372" t="s">
        <v>14478</v>
      </c>
      <c r="B1480" s="421" t="s">
        <v>14476</v>
      </c>
      <c r="C1480" s="374">
        <v>88316</v>
      </c>
      <c r="D1480" s="288" t="str">
        <f>IFERROR(VLOOKUP($C1480,'24.08_ND'!$A:$D,2,0),)</f>
        <v>SERVENTE COM ENCARGOS COMPLEMENTARES</v>
      </c>
      <c r="E1480" s="289" t="str">
        <f>IFERROR(VLOOKUP($C1480,'24.08_ND'!$A:$D,3,0),)</f>
        <v>H</v>
      </c>
      <c r="F1480" s="375">
        <v>0.61799999999999999</v>
      </c>
      <c r="G1480" s="291">
        <f>IFERROR(VLOOKUP($C1480,'24.08_ND'!$A:$D,4,0),)</f>
        <v>18.510000000000002</v>
      </c>
      <c r="H1480" s="292">
        <f>TRUNC(($F1480*$G1480),2)</f>
        <v>11.43</v>
      </c>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D1480" s="1791" t="e">
        <f>VLOOKUP(C1480,'Medição '!$B$16:$F$1833,6,0)</f>
        <v>#N/A</v>
      </c>
      <c r="AE1480" s="1791"/>
    </row>
    <row r="1481" spans="1:32" ht="12.75">
      <c r="A1481" s="445" t="s">
        <v>14479</v>
      </c>
      <c r="B1481" s="446" t="s">
        <v>14476</v>
      </c>
      <c r="C1481" s="447">
        <v>34357</v>
      </c>
      <c r="D1481" s="296" t="str">
        <f>IFERROR(VLOOKUP($C1481,'24.08_ND'!$A:$D,2,0),)</f>
        <v>REJUNTE CIMENTICIO, QUALQUER COR</v>
      </c>
      <c r="E1481" s="297" t="str">
        <f>IFERROR(VLOOKUP($C1481,'24.08_ND'!$A:$D,3,0),)</f>
        <v>KG</v>
      </c>
      <c r="F1481" s="385">
        <v>1.04</v>
      </c>
      <c r="G1481" s="299">
        <f>IFERROR(VLOOKUP($C1481,'24.08_ND'!$A:$D,4,0),)</f>
        <v>6.41</v>
      </c>
      <c r="H1481" s="300">
        <f>TRUNC(($F1481*$G1481),2)</f>
        <v>6.66</v>
      </c>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row>
    <row r="1482" spans="1:32" ht="12.75">
      <c r="A1482" s="445" t="s">
        <v>14479</v>
      </c>
      <c r="B1482" s="446" t="s">
        <v>14476</v>
      </c>
      <c r="C1482" s="447">
        <v>37595</v>
      </c>
      <c r="D1482" s="296" t="str">
        <f>IFERROR(VLOOKUP($C1482,'24.08_ND'!$A:$D,2,0),)</f>
        <v>ARGAMASSA COLANTE TIPO AC III</v>
      </c>
      <c r="E1482" s="297" t="str">
        <f>IFERROR(VLOOKUP($C1482,'24.08_ND'!$A:$D,3,0),)</f>
        <v>KG</v>
      </c>
      <c r="F1482" s="385">
        <v>8.6199999999999992</v>
      </c>
      <c r="G1482" s="299">
        <f>IFERROR(VLOOKUP($C1482,'24.08_ND'!$A:$D,4,0),)</f>
        <v>3.36</v>
      </c>
      <c r="H1482" s="300">
        <f>TRUNC(($F1482*$G1482),2)</f>
        <v>28.96</v>
      </c>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row>
    <row r="1483" spans="1:32" ht="12.75">
      <c r="A1483" s="599" t="s">
        <v>14479</v>
      </c>
      <c r="B1483" s="600" t="s">
        <v>14491</v>
      </c>
      <c r="C1483" s="600" t="s">
        <v>14991</v>
      </c>
      <c r="D1483" s="601" t="str">
        <f>VLOOKUP($C1483,'09 - MC'!$A:$F,2,0)</f>
        <v xml:space="preserve">REVESTIMENTO ATÉRMICO </v>
      </c>
      <c r="E1483" s="602" t="str">
        <f>VLOOKUP($C1483,'09 - MC'!$A:$F,3,0)</f>
        <v>M2</v>
      </c>
      <c r="F1483" s="603">
        <v>1.0149999999999999</v>
      </c>
      <c r="G1483" s="663">
        <f>VLOOKUP(C1483,'09 - MC'!$A:$F,6,0)</f>
        <v>249.43</v>
      </c>
      <c r="H1483" s="605">
        <f>TRUNC(G1483*F1483,2)</f>
        <v>253.17</v>
      </c>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row>
    <row r="1484" spans="1:32" ht="12.75">
      <c r="A1484" s="599" t="s">
        <v>14479</v>
      </c>
      <c r="B1484" s="600" t="s">
        <v>14491</v>
      </c>
      <c r="C1484" s="600" t="s">
        <v>14992</v>
      </c>
      <c r="D1484" s="601" t="str">
        <f>VLOOKUP($C1484,'09 - MC'!$A:$F,2,0)</f>
        <v>IMPERMEABILIZANTE PARA HIDROFUGAÇÃO / OLEOFUGAÇÃO</v>
      </c>
      <c r="E1484" s="602" t="str">
        <f>VLOOKUP($C1484,'09 - MC'!$A:$F,3,0)</f>
        <v>L</v>
      </c>
      <c r="F1484" s="603">
        <v>0.17</v>
      </c>
      <c r="G1484" s="663">
        <f>VLOOKUP($C1484,'09 - MC'!$A:$F,6,0)</f>
        <v>79.959999999999994</v>
      </c>
      <c r="H1484" s="605">
        <f>TRUNC(G1484*F1484,2)</f>
        <v>13.59</v>
      </c>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row>
    <row r="1485" spans="1:32" ht="12.75">
      <c r="A1485" s="450"/>
      <c r="H1485" s="453"/>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row>
    <row r="1486" spans="1:32" ht="51">
      <c r="A1486" s="358" t="s">
        <v>14471</v>
      </c>
      <c r="B1486" s="359" t="s">
        <v>14472</v>
      </c>
      <c r="C1486" s="360" t="s">
        <v>14993</v>
      </c>
      <c r="D1486" s="1862" t="s">
        <v>14994</v>
      </c>
      <c r="E1486" s="359" t="s">
        <v>50</v>
      </c>
      <c r="F1486" s="401"/>
      <c r="G1486" s="402"/>
      <c r="H1486" s="363">
        <f>TRUNC(SUM(H1487:H1497),2)</f>
        <v>669.42</v>
      </c>
      <c r="I1486" s="276">
        <f>COUNTIF($C$8:$C1486,C:C)</f>
        <v>1</v>
      </c>
      <c r="J1486" s="262"/>
      <c r="K1486" s="262"/>
      <c r="L1486" s="262"/>
      <c r="M1486" s="262"/>
      <c r="N1486" s="262"/>
      <c r="O1486" s="262"/>
      <c r="P1486" s="262"/>
      <c r="Q1486" s="262"/>
      <c r="R1486" s="262"/>
      <c r="S1486" s="262"/>
      <c r="T1486" s="262"/>
      <c r="U1486" s="262"/>
      <c r="V1486" s="262"/>
      <c r="W1486" s="262"/>
      <c r="X1486" s="262"/>
      <c r="Y1486" s="262"/>
      <c r="Z1486" s="262"/>
      <c r="AA1486" s="262"/>
      <c r="AB1486" s="262"/>
      <c r="AF1486" t="s">
        <v>14994</v>
      </c>
    </row>
    <row r="1487" spans="1:32" ht="25.5">
      <c r="A1487" s="372" t="s">
        <v>14478</v>
      </c>
      <c r="B1487" s="421" t="s">
        <v>14476</v>
      </c>
      <c r="C1487" s="374">
        <v>88315</v>
      </c>
      <c r="D1487" s="288" t="str">
        <f>IFERROR(VLOOKUP($C1487,'24.08_ND'!$A:$D,2,0),)</f>
        <v>SERRALHEIRO COM ENCARGOS COMPLEMENTARES</v>
      </c>
      <c r="E1487" s="289" t="str">
        <f>IFERROR(VLOOKUP($C1487,'24.08_ND'!$A:$D,3,0),)</f>
        <v>H</v>
      </c>
      <c r="F1487" s="375">
        <v>0.75</v>
      </c>
      <c r="G1487" s="291">
        <f>IFERROR(VLOOKUP($C1487,'24.08_ND'!$A:$D,4,0),)</f>
        <v>23.13</v>
      </c>
      <c r="H1487" s="292">
        <f t="shared" ref="H1487:H1495" si="58">TRUNC(($F1487*$G1487),2)</f>
        <v>17.34</v>
      </c>
      <c r="I1487" s="262"/>
      <c r="J1487" s="262"/>
      <c r="K1487" s="262"/>
      <c r="L1487" s="262"/>
      <c r="M1487" s="262"/>
      <c r="N1487" s="262"/>
      <c r="O1487" s="262"/>
      <c r="P1487" s="262"/>
      <c r="Q1487" s="262"/>
      <c r="R1487" s="262"/>
      <c r="S1487" s="262"/>
      <c r="T1487" s="262"/>
      <c r="U1487" s="262"/>
      <c r="V1487" s="262"/>
      <c r="W1487" s="262"/>
      <c r="X1487" s="262"/>
      <c r="Y1487" s="262"/>
      <c r="Z1487" s="262"/>
      <c r="AA1487" s="262"/>
      <c r="AB1487" s="262"/>
      <c r="AD1487" s="1791" t="e">
        <f>VLOOKUP(C1487,'Medição '!$B$16:$F$1833,6,0)</f>
        <v>#N/A</v>
      </c>
      <c r="AE1487" s="1791"/>
    </row>
    <row r="1488" spans="1:32" ht="25.5">
      <c r="A1488" s="372" t="s">
        <v>14478</v>
      </c>
      <c r="B1488" s="421" t="s">
        <v>14476</v>
      </c>
      <c r="C1488" s="374">
        <v>88251</v>
      </c>
      <c r="D1488" s="288" t="str">
        <f>IFERROR(VLOOKUP($C1488,'24.08_ND'!$A:$D,2,0),)</f>
        <v>AUXILIAR DE SERRALHEIRO COM ENCARGOS COMPLEMENTARES</v>
      </c>
      <c r="E1488" s="289" t="str">
        <f>IFERROR(VLOOKUP($C1488,'24.08_ND'!$A:$D,3,0),)</f>
        <v>H</v>
      </c>
      <c r="F1488" s="375">
        <v>0.6</v>
      </c>
      <c r="G1488" s="291">
        <f>IFERROR(VLOOKUP($C1488,'24.08_ND'!$A:$D,4,0),)</f>
        <v>19.579999999999998</v>
      </c>
      <c r="H1488" s="292">
        <f t="shared" si="58"/>
        <v>11.74</v>
      </c>
      <c r="I1488" s="262"/>
      <c r="J1488" s="262"/>
      <c r="K1488" s="262"/>
      <c r="L1488" s="262"/>
      <c r="M1488" s="262"/>
      <c r="N1488" s="262"/>
      <c r="O1488" s="262"/>
      <c r="P1488" s="262"/>
      <c r="Q1488" s="262"/>
      <c r="R1488" s="262"/>
      <c r="S1488" s="262"/>
      <c r="T1488" s="262"/>
      <c r="U1488" s="262"/>
      <c r="V1488" s="262"/>
      <c r="W1488" s="262"/>
      <c r="X1488" s="262"/>
      <c r="Y1488" s="262"/>
      <c r="Z1488" s="262"/>
      <c r="AA1488" s="262"/>
      <c r="AB1488" s="262"/>
      <c r="AD1488" s="1791" t="e">
        <f>VLOOKUP(C1488,'Medição '!$B$16:$F$1833,6,0)</f>
        <v>#N/A</v>
      </c>
      <c r="AE1488" s="1791"/>
    </row>
    <row r="1489" spans="1:31" ht="38.25">
      <c r="A1489" s="372" t="s">
        <v>14478</v>
      </c>
      <c r="B1489" s="421" t="s">
        <v>14476</v>
      </c>
      <c r="C1489" s="408">
        <v>100721</v>
      </c>
      <c r="D1489" s="288" t="str">
        <f>IFERROR(VLOOKUP($C1489,'24.08_ND'!$A:$D,2,0),)</f>
        <v>PINTURA COM TINTA ALQUÍDICA DE FUNDO (TIPO ZARCÃO) PULVERIZADA SOBRE SUPERFÍCIES METÁLICAS (EXCETO PERFIL) EXECUTADO EM OBRA (POR DEMÃO). AF_01/2020_PE</v>
      </c>
      <c r="E1489" s="289" t="str">
        <f>IFERROR(VLOOKUP($C1489,'24.08_ND'!$A:$D,3,0),)</f>
        <v>M2</v>
      </c>
      <c r="F1489" s="333">
        <v>0.62370000000000003</v>
      </c>
      <c r="G1489" s="291">
        <f>IFERROR(VLOOKUP($C1489,'24.08_ND'!$A:$D,4,0),)</f>
        <v>20.97</v>
      </c>
      <c r="H1489" s="292">
        <f t="shared" si="58"/>
        <v>13.07</v>
      </c>
      <c r="I1489" s="262"/>
      <c r="J1489" s="262"/>
      <c r="K1489" s="262"/>
      <c r="L1489" s="262"/>
      <c r="M1489" s="262"/>
      <c r="N1489" s="262"/>
      <c r="O1489" s="262"/>
      <c r="P1489" s="262"/>
      <c r="Q1489" s="262"/>
      <c r="R1489" s="262"/>
      <c r="S1489" s="262"/>
      <c r="T1489" s="262"/>
      <c r="U1489" s="262"/>
      <c r="V1489" s="262"/>
      <c r="W1489" s="262"/>
      <c r="X1489" s="262"/>
      <c r="Y1489" s="262"/>
      <c r="Z1489" s="262"/>
      <c r="AA1489" s="262"/>
      <c r="AB1489" s="262"/>
      <c r="AD1489" s="1791" t="e">
        <f>VLOOKUP(C1489,'Medição '!$B$16:$F$1833,6,0)</f>
        <v>#REF!</v>
      </c>
      <c r="AE1489" s="1791"/>
    </row>
    <row r="1490" spans="1:31" ht="38.25">
      <c r="A1490" s="372" t="s">
        <v>14478</v>
      </c>
      <c r="B1490" s="421" t="s">
        <v>14476</v>
      </c>
      <c r="C1490" s="408">
        <v>100761</v>
      </c>
      <c r="D1490" s="288" t="str">
        <f>IFERROR(VLOOKUP($C1490,'24.08_ND'!$A:$D,2,0),)</f>
        <v>PINTURA COM TINTA ALQUÍDICA DE ACABAMENTO (ESMALTE SINTÉTICO FOSCO) PULVERIZADA SOBRE SUPERFÍCIES METÁLICAS (EXCETO PERFIL) EXECUTADO EM OBRA (02 DEMÃOS). AF_01/2020_PE</v>
      </c>
      <c r="E1490" s="289" t="str">
        <f>IFERROR(VLOOKUP($C1490,'24.08_ND'!$A:$D,3,0),)</f>
        <v>M2</v>
      </c>
      <c r="F1490" s="333">
        <f>F1489</f>
        <v>0.62370000000000003</v>
      </c>
      <c r="G1490" s="291">
        <f>IFERROR(VLOOKUP($C1490,'24.08_ND'!$A:$D,4,0),)</f>
        <v>41.11</v>
      </c>
      <c r="H1490" s="292">
        <f t="shared" si="58"/>
        <v>25.64</v>
      </c>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D1490" s="1791" t="e">
        <f>VLOOKUP(C1490,'Medição '!$B$16:$F$1833,6,0)</f>
        <v>#REF!</v>
      </c>
      <c r="AE1490" s="1791"/>
    </row>
    <row r="1491" spans="1:31" ht="12.75">
      <c r="A1491" s="558" t="s">
        <v>14479</v>
      </c>
      <c r="B1491" s="559" t="s">
        <v>14476</v>
      </c>
      <c r="C1491" s="559">
        <v>1321</v>
      </c>
      <c r="D1491" s="296" t="str">
        <f>IFERROR(VLOOKUP($C1491,'24.08_ND'!$A:$D,2,0),)</f>
        <v>CHAPA DE ACO FINA A QUENTE BITOLA MSG 13, E = 2,25 MM (18,00 KG/M2)</v>
      </c>
      <c r="E1491" s="297" t="str">
        <f>IFERROR(VLOOKUP($C1491,'24.08_ND'!$A:$D,3,0),)</f>
        <v>KG</v>
      </c>
      <c r="F1491" s="611">
        <f>10.692*1.05</f>
        <v>11.226600000000001</v>
      </c>
      <c r="G1491" s="299">
        <f>IFERROR(VLOOKUP($C1491,'24.08_ND'!$A:$D,4,0),)</f>
        <v>11.09</v>
      </c>
      <c r="H1491" s="300">
        <f t="shared" si="58"/>
        <v>124.5</v>
      </c>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row>
    <row r="1492" spans="1:31" ht="12.75">
      <c r="A1492" s="558" t="s">
        <v>14479</v>
      </c>
      <c r="B1492" s="559" t="s">
        <v>14476</v>
      </c>
      <c r="C1492" s="559">
        <v>11002</v>
      </c>
      <c r="D1492" s="296" t="str">
        <f>IFERROR(VLOOKUP($C1492,'24.08_ND'!$A:$D,2,0),)</f>
        <v>ELETRODO REVESTIDO AWS - E6013, DIAMETRO IGUAL A 2,50 MM</v>
      </c>
      <c r="E1492" s="297" t="str">
        <f>IFERROR(VLOOKUP($C1492,'24.08_ND'!$A:$D,3,0),)</f>
        <v>KG</v>
      </c>
      <c r="F1492" s="611">
        <v>0.17560000000000001</v>
      </c>
      <c r="G1492" s="299">
        <f>IFERROR(VLOOKUP($C1492,'24.08_ND'!$A:$D,4,0),)</f>
        <v>31.31</v>
      </c>
      <c r="H1492" s="300">
        <f t="shared" si="58"/>
        <v>5.49</v>
      </c>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row>
    <row r="1493" spans="1:31" ht="25.5">
      <c r="A1493" s="558" t="s">
        <v>14479</v>
      </c>
      <c r="B1493" s="559" t="s">
        <v>14476</v>
      </c>
      <c r="C1493" s="559">
        <v>11964</v>
      </c>
      <c r="D1493" s="296" t="str">
        <f>IFERROR(VLOOKUP($C1493,'24.08_ND'!$A:$D,2,0),)</f>
        <v>PARAFUSO DE ACO ZINCADO, TIPO CHUMBADOR PARABOLT, DIAMETRO 3/8", COMPRIMENTO 75 MM</v>
      </c>
      <c r="E1493" s="297" t="str">
        <f>IFERROR(VLOOKUP($C1493,'24.08_ND'!$A:$D,3,0),)</f>
        <v>UN</v>
      </c>
      <c r="F1493" s="611">
        <f>3*3</f>
        <v>9</v>
      </c>
      <c r="G1493" s="299">
        <f>IFERROR(VLOOKUP($C1493,'24.08_ND'!$A:$D,4,0),)</f>
        <v>2.29</v>
      </c>
      <c r="H1493" s="300">
        <f t="shared" si="58"/>
        <v>20.61</v>
      </c>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row>
    <row r="1494" spans="1:31" ht="25.5">
      <c r="A1494" s="558" t="s">
        <v>14479</v>
      </c>
      <c r="B1494" s="559" t="s">
        <v>14476</v>
      </c>
      <c r="C1494" s="559">
        <v>4343</v>
      </c>
      <c r="D1494" s="296" t="str">
        <f>IFERROR(VLOOKUP($C1494,'24.08_ND'!$A:$D,2,0),)</f>
        <v>PARAFUSO FRANCES ZINCADO, DIAMETRO 1/2", COMPRIMENTO 4", COM PORCA E ARRUELA</v>
      </c>
      <c r="E1494" s="297" t="str">
        <f>IFERROR(VLOOKUP($C1494,'24.08_ND'!$A:$D,3,0),)</f>
        <v>UN</v>
      </c>
      <c r="F1494" s="611">
        <f>8*3</f>
        <v>24</v>
      </c>
      <c r="G1494" s="299">
        <f>IFERROR(VLOOKUP($C1494,'24.08_ND'!$A:$D,4,0),)</f>
        <v>4.47</v>
      </c>
      <c r="H1494" s="300">
        <f t="shared" si="58"/>
        <v>107.28</v>
      </c>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row>
    <row r="1495" spans="1:31" ht="25.5">
      <c r="A1495" s="558" t="s">
        <v>14479</v>
      </c>
      <c r="B1495" s="559" t="s">
        <v>14476</v>
      </c>
      <c r="C1495" s="559">
        <v>142</v>
      </c>
      <c r="D1495" s="296" t="str">
        <f>IFERROR(VLOOKUP($C1495,'24.08_ND'!$A:$D,2,0),)</f>
        <v>SELANTE ELASTICO MONOCOMPONENTE A BASE DE POLIURETANO (PU) PARA JUNTAS DIVERSAS</v>
      </c>
      <c r="E1495" s="297" t="str">
        <f>IFERROR(VLOOKUP($C1495,'24.08_ND'!$A:$D,3,0),)</f>
        <v>310ML</v>
      </c>
      <c r="F1495" s="611">
        <v>0.6</v>
      </c>
      <c r="G1495" s="299">
        <f>IFERROR(VLOOKUP($C1495,'24.08_ND'!$A:$D,4,0),)</f>
        <v>34.200000000000003</v>
      </c>
      <c r="H1495" s="300">
        <f t="shared" si="58"/>
        <v>20.52</v>
      </c>
      <c r="I1495" s="262"/>
      <c r="J1495" s="262"/>
      <c r="K1495" s="262"/>
      <c r="L1495" s="262"/>
      <c r="M1495" s="262"/>
      <c r="N1495" s="262"/>
      <c r="O1495" s="262"/>
      <c r="P1495" s="262"/>
      <c r="Q1495" s="262"/>
      <c r="R1495" s="262"/>
      <c r="S1495" s="262"/>
      <c r="T1495" s="262"/>
      <c r="U1495" s="262"/>
      <c r="V1495" s="262"/>
      <c r="W1495" s="262"/>
      <c r="X1495" s="262"/>
      <c r="Y1495" s="262"/>
      <c r="Z1495" s="262"/>
      <c r="AA1495" s="262"/>
      <c r="AB1495" s="262"/>
    </row>
    <row r="1496" spans="1:31" ht="12.75">
      <c r="A1496" s="599" t="s">
        <v>14479</v>
      </c>
      <c r="B1496" s="600" t="s">
        <v>14491</v>
      </c>
      <c r="C1496" s="614" t="s">
        <v>14922</v>
      </c>
      <c r="D1496" s="601" t="str">
        <f>VLOOKUP($C1496,'09 - MC'!$A:$F,2,0)</f>
        <v>MADEIRA PLASTICA</v>
      </c>
      <c r="E1496" s="602" t="str">
        <f>VLOOKUP($C1496,'09 - MC'!$A:$F,3,0)</f>
        <v>M2</v>
      </c>
      <c r="F1496" s="603">
        <f>0.8</f>
        <v>0.8</v>
      </c>
      <c r="G1496" s="604">
        <f>VLOOKUP($C1496,'09 - MC'!$A:$F,6,0)</f>
        <v>363.63</v>
      </c>
      <c r="H1496" s="605">
        <f>TRUNC(G1496*F1496,2)</f>
        <v>290.89999999999998</v>
      </c>
      <c r="I1496" s="262"/>
      <c r="J1496" s="262"/>
      <c r="K1496" s="262"/>
      <c r="L1496" s="262"/>
      <c r="M1496" s="262"/>
      <c r="N1496" s="262"/>
      <c r="O1496" s="262"/>
      <c r="P1496" s="262"/>
      <c r="Q1496" s="262"/>
      <c r="R1496" s="262"/>
      <c r="S1496" s="262"/>
      <c r="T1496" s="262"/>
      <c r="U1496" s="262"/>
      <c r="V1496" s="262"/>
      <c r="W1496" s="262"/>
      <c r="X1496" s="262"/>
      <c r="Y1496" s="262"/>
      <c r="Z1496" s="262"/>
      <c r="AA1496" s="262"/>
      <c r="AB1496" s="262"/>
    </row>
    <row r="1497" spans="1:31" ht="12.75">
      <c r="A1497" s="643" t="s">
        <v>14479</v>
      </c>
      <c r="B1497" s="312" t="str">
        <f>VLOOKUP($C1497,'• CIs EXT'!$A:$E,2,0)</f>
        <v>SETOP</v>
      </c>
      <c r="C1497" s="591" t="s">
        <v>14619</v>
      </c>
      <c r="D1497" s="378" t="str">
        <f>VLOOKUP($C1497,'• CIs EXT'!$A:$E,3,0)</f>
        <v>SERVIÇO DE CORTE E DOBRA EM CHAPA DE AÇO, EXCLUSIVE FORNECIMENTO</v>
      </c>
      <c r="E1497" s="379" t="str">
        <f>VLOOKUP($C1497,'• CIs EXT'!$A:$E,4,0)</f>
        <v>KG</v>
      </c>
      <c r="F1497" s="380">
        <f>F1491</f>
        <v>11.226600000000001</v>
      </c>
      <c r="G1497" s="379">
        <f>VLOOKUP($C1497,'• CIs EXT'!$A:$E,5,0)</f>
        <v>2.88</v>
      </c>
      <c r="H1497" s="381">
        <f>TRUNC(($F1497*$G1497),2)</f>
        <v>32.33</v>
      </c>
      <c r="I1497" s="262"/>
      <c r="J1497" s="262"/>
      <c r="K1497" s="262"/>
      <c r="L1497" s="262"/>
      <c r="M1497" s="262"/>
      <c r="N1497" s="262"/>
      <c r="O1497" s="262"/>
      <c r="P1497" s="262"/>
      <c r="Q1497" s="262"/>
      <c r="R1497" s="262"/>
      <c r="S1497" s="262"/>
      <c r="T1497" s="262"/>
      <c r="U1497" s="262"/>
      <c r="V1497" s="262"/>
      <c r="W1497" s="262"/>
      <c r="X1497" s="262"/>
      <c r="Y1497" s="262"/>
      <c r="Z1497" s="262"/>
      <c r="AA1497" s="262"/>
      <c r="AB1497" s="262"/>
    </row>
    <row r="1498" spans="1:31" ht="12.75">
      <c r="A1498" s="309"/>
      <c r="B1498" s="303"/>
      <c r="C1498" s="303"/>
      <c r="D1498" s="310"/>
      <c r="E1498" s="303"/>
      <c r="F1498" s="306"/>
      <c r="G1498" s="307"/>
      <c r="H1498" s="308"/>
      <c r="I1498" s="262"/>
      <c r="J1498" s="262"/>
      <c r="K1498" s="262"/>
      <c r="L1498" s="262"/>
      <c r="M1498" s="262"/>
      <c r="N1498" s="262"/>
      <c r="O1498" s="262"/>
      <c r="P1498" s="262"/>
      <c r="Q1498" s="262"/>
      <c r="R1498" s="262"/>
      <c r="S1498" s="262"/>
      <c r="T1498" s="262"/>
      <c r="U1498" s="262"/>
      <c r="V1498" s="262"/>
      <c r="W1498" s="262"/>
      <c r="X1498" s="262"/>
      <c r="Y1498" s="262"/>
      <c r="Z1498" s="262"/>
      <c r="AA1498" s="262"/>
      <c r="AB1498" s="262"/>
    </row>
    <row r="1499" spans="1:31" ht="12.75">
      <c r="A1499" s="358" t="s">
        <v>14471</v>
      </c>
      <c r="B1499" s="359" t="s">
        <v>14472</v>
      </c>
      <c r="C1499" s="360" t="s">
        <v>14995</v>
      </c>
      <c r="D1499" s="361" t="s">
        <v>14996</v>
      </c>
      <c r="E1499" s="359" t="s">
        <v>409</v>
      </c>
      <c r="F1499" s="401"/>
      <c r="G1499" s="402"/>
      <c r="H1499" s="363">
        <f>TRUNC(SUM(H1500:H1504),2)</f>
        <v>514.05999999999995</v>
      </c>
      <c r="I1499" s="276">
        <f>COUNTIF($C$8:$C1499,C:C)</f>
        <v>1</v>
      </c>
      <c r="J1499" s="262"/>
      <c r="K1499" s="262"/>
      <c r="L1499" s="262"/>
      <c r="M1499" s="262"/>
      <c r="N1499" s="262"/>
      <c r="O1499" s="262"/>
      <c r="P1499" s="262"/>
      <c r="Q1499" s="262"/>
      <c r="R1499" s="262"/>
      <c r="S1499" s="262"/>
      <c r="T1499" s="262"/>
      <c r="U1499" s="262"/>
      <c r="V1499" s="262"/>
      <c r="W1499" s="262"/>
      <c r="X1499" s="262"/>
      <c r="Y1499" s="262"/>
      <c r="Z1499" s="262"/>
      <c r="AA1499" s="262"/>
      <c r="AB1499" s="262"/>
    </row>
    <row r="1500" spans="1:31" ht="25.5">
      <c r="A1500" s="285" t="s">
        <v>14478</v>
      </c>
      <c r="B1500" s="286" t="s">
        <v>14476</v>
      </c>
      <c r="C1500" s="374">
        <v>88309</v>
      </c>
      <c r="D1500" s="288" t="str">
        <f>IFERROR(VLOOKUP($C1500,'24.08_ND'!$A:$D,2,0),)</f>
        <v>PEDREIRO COM ENCARGOS COMPLEMENTARES</v>
      </c>
      <c r="E1500" s="289" t="str">
        <f>IFERROR(VLOOKUP($C1500,'24.08_ND'!$A:$D,3,0),)</f>
        <v>H</v>
      </c>
      <c r="F1500" s="610">
        <v>0.85</v>
      </c>
      <c r="G1500" s="291">
        <f>IFERROR(VLOOKUP($C1500,'24.08_ND'!$A:$D,4,0),)</f>
        <v>23.33</v>
      </c>
      <c r="H1500" s="292">
        <f>TRUNC(($F1500*$G1500),2)</f>
        <v>19.829999999999998</v>
      </c>
      <c r="I1500" s="262"/>
      <c r="J1500" s="262"/>
      <c r="K1500" s="262"/>
      <c r="L1500" s="262"/>
      <c r="M1500" s="262"/>
      <c r="N1500" s="262"/>
      <c r="O1500" s="262"/>
      <c r="P1500" s="262"/>
      <c r="Q1500" s="262"/>
      <c r="R1500" s="262"/>
      <c r="S1500" s="262"/>
      <c r="T1500" s="262"/>
      <c r="U1500" s="262"/>
      <c r="V1500" s="262"/>
      <c r="W1500" s="262"/>
      <c r="X1500" s="262"/>
      <c r="Y1500" s="262"/>
      <c r="Z1500" s="262"/>
      <c r="AA1500" s="262"/>
      <c r="AB1500" s="262"/>
      <c r="AD1500" s="1791" t="e">
        <f>VLOOKUP(C1500,'Medição '!$B$16:$F$1833,6,0)</f>
        <v>#N/A</v>
      </c>
      <c r="AE1500" s="1791"/>
    </row>
    <row r="1501" spans="1:31" ht="25.5">
      <c r="A1501" s="285" t="s">
        <v>14478</v>
      </c>
      <c r="B1501" s="286" t="s">
        <v>14476</v>
      </c>
      <c r="C1501" s="374">
        <v>88316</v>
      </c>
      <c r="D1501" s="288" t="str">
        <f>IFERROR(VLOOKUP($C1501,'24.08_ND'!$A:$D,2,0),)</f>
        <v>SERVENTE COM ENCARGOS COMPLEMENTARES</v>
      </c>
      <c r="E1501" s="289" t="str">
        <f>IFERROR(VLOOKUP($C1501,'24.08_ND'!$A:$D,3,0),)</f>
        <v>H</v>
      </c>
      <c r="F1501" s="610">
        <v>0.6</v>
      </c>
      <c r="G1501" s="291">
        <f>IFERROR(VLOOKUP($C1501,'24.08_ND'!$A:$D,4,0),)</f>
        <v>18.510000000000002</v>
      </c>
      <c r="H1501" s="292">
        <f>TRUNC(($F1501*$G1501),2)</f>
        <v>11.1</v>
      </c>
      <c r="I1501" s="262"/>
      <c r="J1501" s="262"/>
      <c r="K1501" s="262"/>
      <c r="L1501" s="262"/>
      <c r="M1501" s="262"/>
      <c r="N1501" s="262"/>
      <c r="O1501" s="262"/>
      <c r="P1501" s="262"/>
      <c r="Q1501" s="262"/>
      <c r="R1501" s="262"/>
      <c r="S1501" s="262"/>
      <c r="T1501" s="262"/>
      <c r="U1501" s="262"/>
      <c r="V1501" s="262"/>
      <c r="W1501" s="262"/>
      <c r="X1501" s="262"/>
      <c r="Y1501" s="262"/>
      <c r="Z1501" s="262"/>
      <c r="AA1501" s="262"/>
      <c r="AB1501" s="262"/>
      <c r="AD1501" s="1791" t="e">
        <f>VLOOKUP(C1501,'Medição '!$B$16:$F$1833,6,0)</f>
        <v>#N/A</v>
      </c>
      <c r="AE1501" s="1791"/>
    </row>
    <row r="1502" spans="1:31" ht="25.5">
      <c r="A1502" s="558" t="s">
        <v>14479</v>
      </c>
      <c r="B1502" s="559" t="s">
        <v>14476</v>
      </c>
      <c r="C1502" s="559">
        <v>436</v>
      </c>
      <c r="D1502" s="296" t="str">
        <f>IFERROR(VLOOKUP($C1502,'24.08_ND'!$A:$D,2,0),)</f>
        <v>PARAFUSO FRANCES M16 EM ACO GALVANIZADO, COMPRIMENTO = 150 MM, DIAMETRO = 16 MM, CABECA ABAULADA</v>
      </c>
      <c r="E1502" s="297" t="str">
        <f>IFERROR(VLOOKUP($C1502,'24.08_ND'!$A:$D,3,0),)</f>
        <v>UN</v>
      </c>
      <c r="F1502" s="611">
        <v>8</v>
      </c>
      <c r="G1502" s="299">
        <f>IFERROR(VLOOKUP($C1502,'24.08_ND'!$A:$D,4,0),)</f>
        <v>11.05</v>
      </c>
      <c r="H1502" s="300">
        <f>TRUNC(($F1502*$G1502),2)</f>
        <v>88.4</v>
      </c>
      <c r="I1502" s="262"/>
      <c r="J1502" s="262"/>
      <c r="K1502" s="262"/>
      <c r="L1502" s="262"/>
      <c r="M1502" s="262"/>
      <c r="N1502" s="262"/>
      <c r="O1502" s="262"/>
      <c r="P1502" s="262"/>
      <c r="Q1502" s="262"/>
      <c r="R1502" s="262"/>
      <c r="S1502" s="262"/>
      <c r="T1502" s="262"/>
      <c r="U1502" s="262"/>
      <c r="V1502" s="262"/>
      <c r="W1502" s="262"/>
      <c r="X1502" s="262"/>
      <c r="Y1502" s="262"/>
      <c r="Z1502" s="262"/>
      <c r="AA1502" s="262"/>
      <c r="AB1502" s="262"/>
    </row>
    <row r="1503" spans="1:31" ht="25.5">
      <c r="A1503" s="558" t="s">
        <v>14479</v>
      </c>
      <c r="B1503" s="559" t="s">
        <v>14476</v>
      </c>
      <c r="C1503" s="559">
        <v>142</v>
      </c>
      <c r="D1503" s="296" t="str">
        <f>IFERROR(VLOOKUP($C1503,'24.08_ND'!$A:$D,2,0),)</f>
        <v>SELANTE ELASTICO MONOCOMPONENTE A BASE DE POLIURETANO (PU) PARA JUNTAS DIVERSAS</v>
      </c>
      <c r="E1503" s="297" t="str">
        <f>IFERROR(VLOOKUP($C1503,'24.08_ND'!$A:$D,3,0),)</f>
        <v>310ML</v>
      </c>
      <c r="F1503" s="611">
        <v>0.75</v>
      </c>
      <c r="G1503" s="299">
        <f>IFERROR(VLOOKUP($C1503,'24.08_ND'!$A:$D,4,0),)</f>
        <v>34.200000000000003</v>
      </c>
      <c r="H1503" s="300">
        <f>TRUNC(($F1503*$G1503),2)</f>
        <v>25.65</v>
      </c>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row>
    <row r="1504" spans="1:31" ht="12.75">
      <c r="A1504" s="599" t="s">
        <v>14479</v>
      </c>
      <c r="B1504" s="600" t="s">
        <v>14491</v>
      </c>
      <c r="C1504" s="614" t="s">
        <v>14922</v>
      </c>
      <c r="D1504" s="601" t="str">
        <f>VLOOKUP($C1504,'09 - MC'!$A:$F,2,0)</f>
        <v>MADEIRA PLASTICA</v>
      </c>
      <c r="E1504" s="602" t="str">
        <f>VLOOKUP($C1504,'09 - MC'!$A:$F,3,0)</f>
        <v>M2</v>
      </c>
      <c r="F1504" s="603">
        <v>1.0149999999999999</v>
      </c>
      <c r="G1504" s="604">
        <f>VLOOKUP($C1504,'09 - MC'!$A:$F,6,0)</f>
        <v>363.63</v>
      </c>
      <c r="H1504" s="605">
        <f>TRUNC(G1504*F1504,2)</f>
        <v>369.08</v>
      </c>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row>
    <row r="1505" spans="1:31" ht="12.75">
      <c r="A1505" s="309"/>
      <c r="B1505" s="303"/>
      <c r="C1505" s="303"/>
      <c r="D1505" s="310"/>
      <c r="E1505" s="303"/>
      <c r="F1505" s="306"/>
      <c r="G1505" s="307"/>
      <c r="H1505" s="308"/>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row>
    <row r="1506" spans="1:31" ht="25.5">
      <c r="A1506" s="358" t="s">
        <v>14471</v>
      </c>
      <c r="B1506" s="359" t="s">
        <v>14472</v>
      </c>
      <c r="C1506" s="360" t="s">
        <v>14997</v>
      </c>
      <c r="D1506" s="361" t="s">
        <v>14998</v>
      </c>
      <c r="E1506" s="359" t="s">
        <v>409</v>
      </c>
      <c r="F1506" s="362"/>
      <c r="G1506" s="362"/>
      <c r="H1506" s="363">
        <f>SUM(H1508:H1517)</f>
        <v>960.92</v>
      </c>
      <c r="I1506" s="276">
        <f>COUNTIF($C$8:$C1506,C:C)</f>
        <v>1</v>
      </c>
      <c r="J1506" s="262"/>
      <c r="K1506" s="262"/>
      <c r="L1506" s="262"/>
      <c r="M1506" s="262"/>
      <c r="N1506" s="262"/>
      <c r="O1506" s="262"/>
      <c r="P1506" s="262"/>
      <c r="Q1506" s="262"/>
      <c r="R1506" s="262"/>
      <c r="S1506" s="262"/>
      <c r="T1506" s="262"/>
      <c r="U1506" s="262"/>
      <c r="V1506" s="262"/>
      <c r="W1506" s="262"/>
      <c r="X1506" s="262"/>
      <c r="Y1506" s="262"/>
      <c r="Z1506" s="262"/>
      <c r="AA1506" s="262"/>
      <c r="AB1506" s="262"/>
    </row>
    <row r="1507" spans="1:31" ht="12.75">
      <c r="A1507" s="364" t="s">
        <v>14475</v>
      </c>
      <c r="B1507" s="592" t="s">
        <v>14476</v>
      </c>
      <c r="C1507" s="404">
        <v>86889</v>
      </c>
      <c r="D1507" s="367" t="s">
        <v>14773</v>
      </c>
      <c r="E1507" s="405"/>
      <c r="F1507" s="642"/>
      <c r="G1507" s="370"/>
      <c r="H1507" s="371"/>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row>
    <row r="1508" spans="1:31" ht="25.5">
      <c r="A1508" s="372" t="s">
        <v>14478</v>
      </c>
      <c r="B1508" s="421" t="s">
        <v>14476</v>
      </c>
      <c r="C1508" s="374">
        <v>88274</v>
      </c>
      <c r="D1508" s="593" t="str">
        <f>IFERROR(VLOOKUP($C1508,'24.08_ND'!$A:$D,2,0),)</f>
        <v>MARMORISTA/GRANITEIRO COM ENCARGOS COMPLEMENTARES</v>
      </c>
      <c r="E1508" s="594" t="str">
        <f>IFERROR(VLOOKUP($C1508,'24.08_ND'!$A:$D,3,0),)</f>
        <v>H</v>
      </c>
      <c r="F1508" s="375">
        <v>0.37</v>
      </c>
      <c r="G1508" s="595">
        <f>IFERROR(VLOOKUP($C1508,'24.08_ND'!$A:$D,4,0),)</f>
        <v>23.2</v>
      </c>
      <c r="H1508" s="440">
        <f t="shared" ref="H1508:H1517" si="59">TRUNC(($F1508*$G1508),2)</f>
        <v>8.58</v>
      </c>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D1508" s="1791" t="e">
        <f>VLOOKUP(C1508,'Medição '!$B$16:$F$1833,6,0)</f>
        <v>#N/A</v>
      </c>
      <c r="AE1508" s="1791"/>
    </row>
    <row r="1509" spans="1:31" ht="25.5">
      <c r="A1509" s="372" t="s">
        <v>14478</v>
      </c>
      <c r="B1509" s="421" t="s">
        <v>14476</v>
      </c>
      <c r="C1509" s="374">
        <v>88316</v>
      </c>
      <c r="D1509" s="593" t="str">
        <f>IFERROR(VLOOKUP($C1509,'24.08_ND'!$A:$D,2,0),)</f>
        <v>SERVENTE COM ENCARGOS COMPLEMENTARES</v>
      </c>
      <c r="E1509" s="594" t="str">
        <f>IFERROR(VLOOKUP($C1509,'24.08_ND'!$A:$D,3,0),)</f>
        <v>H</v>
      </c>
      <c r="F1509" s="375">
        <v>0.74</v>
      </c>
      <c r="G1509" s="595">
        <f>IFERROR(VLOOKUP($C1509,'24.08_ND'!$A:$D,4,0),)</f>
        <v>18.510000000000002</v>
      </c>
      <c r="H1509" s="440">
        <f t="shared" si="59"/>
        <v>13.69</v>
      </c>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D1509" s="1791" t="e">
        <f>VLOOKUP(C1509,'Medição '!$B$16:$F$1833,6,0)</f>
        <v>#N/A</v>
      </c>
      <c r="AE1509" s="1791"/>
    </row>
    <row r="1510" spans="1:31" ht="25.5">
      <c r="A1510" s="372" t="s">
        <v>14478</v>
      </c>
      <c r="B1510" s="421" t="s">
        <v>14476</v>
      </c>
      <c r="C1510" s="374">
        <v>91692</v>
      </c>
      <c r="D1510" s="593" t="str">
        <f>IFERROR(VLOOKUP($C1510,'24.08_ND'!$A:$D,2,0),)</f>
        <v>SERRA CIRCULAR DE BANCADA COM MOTOR ELÉTRICO POTÊNCIA DE 5HP, COM COIFA PARA DISCO 10" - CHP DIURNO. AF_08/2015</v>
      </c>
      <c r="E1510" s="594" t="str">
        <f>IFERROR(VLOOKUP($C1510,'24.08_ND'!$A:$D,3,0),)</f>
        <v>CHP</v>
      </c>
      <c r="F1510" s="375">
        <v>0.83340000000000003</v>
      </c>
      <c r="G1510" s="595">
        <f>IFERROR(VLOOKUP($C1510,'24.08_ND'!$A:$D,4,0),)</f>
        <v>21.22</v>
      </c>
      <c r="H1510" s="440">
        <f t="shared" si="59"/>
        <v>17.68</v>
      </c>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D1510" s="1791" t="e">
        <f>VLOOKUP(C1510,'Medição '!$B$16:$F$1833,6,0)</f>
        <v>#N/A</v>
      </c>
      <c r="AE1510" s="1791"/>
    </row>
    <row r="1511" spans="1:31" ht="25.5">
      <c r="A1511" s="372" t="s">
        <v>14478</v>
      </c>
      <c r="B1511" s="421" t="s">
        <v>14476</v>
      </c>
      <c r="C1511" s="374">
        <v>91693</v>
      </c>
      <c r="D1511" s="593" t="str">
        <f>IFERROR(VLOOKUP($C1511,'24.08_ND'!$A:$D,2,0),)</f>
        <v>SERRA CIRCULAR DE BANCADA COM MOTOR ELÉTRICO POTÊNCIA DE 5HP, COM COIFA PARA DISCO 10" - CHI DIURNO. AF_08/2015</v>
      </c>
      <c r="E1511" s="594" t="str">
        <f>IFERROR(VLOOKUP($C1511,'24.08_ND'!$A:$D,3,0),)</f>
        <v>CHI</v>
      </c>
      <c r="F1511" s="375">
        <v>5.6426999999999998E-2</v>
      </c>
      <c r="G1511" s="595">
        <f>IFERROR(VLOOKUP($C1511,'24.08_ND'!$A:$D,4,0),)</f>
        <v>19.899999999999999</v>
      </c>
      <c r="H1511" s="440">
        <f t="shared" si="59"/>
        <v>1.1200000000000001</v>
      </c>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D1511" s="1791" t="e">
        <f>VLOOKUP(C1511,'Medição '!$B$16:$F$1833,6,0)</f>
        <v>#N/A</v>
      </c>
      <c r="AE1511" s="1791"/>
    </row>
    <row r="1512" spans="1:31" ht="12.75">
      <c r="A1512" s="581" t="s">
        <v>14479</v>
      </c>
      <c r="B1512" s="582" t="s">
        <v>14476</v>
      </c>
      <c r="C1512" s="447">
        <v>37596</v>
      </c>
      <c r="D1512" s="596" t="str">
        <f>IFERROR(VLOOKUP($C1512,'24.08_ND'!$A:$D,2,0),)</f>
        <v>ARGAMASSA COLANTE TIPO AC III E</v>
      </c>
      <c r="E1512" s="597" t="str">
        <f>IFERROR(VLOOKUP($C1512,'24.08_ND'!$A:$D,3,0),)</f>
        <v>KG</v>
      </c>
      <c r="F1512" s="385">
        <v>5.4</v>
      </c>
      <c r="G1512" s="598">
        <f>IFERROR(VLOOKUP($C1512,'24.08_ND'!$A:$D,4,0),)</f>
        <v>3.85</v>
      </c>
      <c r="H1512" s="449">
        <f t="shared" si="59"/>
        <v>20.79</v>
      </c>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row>
    <row r="1513" spans="1:31" ht="25.5">
      <c r="A1513" s="581" t="s">
        <v>14479</v>
      </c>
      <c r="B1513" s="582" t="s">
        <v>14476</v>
      </c>
      <c r="C1513" s="447">
        <v>131</v>
      </c>
      <c r="D1513" s="596" t="str">
        <f>IFERROR(VLOOKUP($C1513,'24.08_ND'!$A:$D,2,0),)</f>
        <v>ADESIVO ESTRUTURAL A BASE DE RESINA EPOXI, BICOMPONENTE, PASTOSO (TIXOTROPICO)</v>
      </c>
      <c r="E1513" s="597" t="str">
        <f>IFERROR(VLOOKUP($C1513,'24.08_ND'!$A:$D,3,0),)</f>
        <v>KG</v>
      </c>
      <c r="F1513" s="385">
        <v>1.05</v>
      </c>
      <c r="G1513" s="598">
        <f>IFERROR(VLOOKUP($C1513,'24.08_ND'!$A:$D,4,0),)</f>
        <v>45.21</v>
      </c>
      <c r="H1513" s="449">
        <f t="shared" si="59"/>
        <v>47.47</v>
      </c>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row>
    <row r="1514" spans="1:31" ht="12.75">
      <c r="A1514" s="581" t="s">
        <v>14479</v>
      </c>
      <c r="B1514" s="582" t="s">
        <v>14476</v>
      </c>
      <c r="C1514" s="447">
        <v>39961</v>
      </c>
      <c r="D1514" s="596" t="str">
        <f>IFERROR(VLOOKUP($C1514,'24.08_ND'!$A:$D,2,0),)</f>
        <v>SILICONE ACETICO USO GERAL INCOLOR 280 G</v>
      </c>
      <c r="E1514" s="597" t="str">
        <f>IFERROR(VLOOKUP($C1514,'24.08_ND'!$A:$D,3,0),)</f>
        <v>UN</v>
      </c>
      <c r="F1514" s="385">
        <v>1.673</v>
      </c>
      <c r="G1514" s="598">
        <f>IFERROR(VLOOKUP($C1514,'24.08_ND'!$A:$D,4,0),)</f>
        <v>22.6</v>
      </c>
      <c r="H1514" s="449">
        <f t="shared" si="59"/>
        <v>37.799999999999997</v>
      </c>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row>
    <row r="1515" spans="1:31" ht="25.5">
      <c r="A1515" s="581" t="s">
        <v>14479</v>
      </c>
      <c r="B1515" s="582" t="s">
        <v>14476</v>
      </c>
      <c r="C1515" s="447">
        <v>142</v>
      </c>
      <c r="D1515" s="596" t="str">
        <f>IFERROR(VLOOKUP($C1515,'24.08_ND'!$A:$D,2,0),)</f>
        <v>SELANTE ELASTICO MONOCOMPONENTE A BASE DE POLIURETANO (PU) PARA JUNTAS DIVERSAS</v>
      </c>
      <c r="E1515" s="597" t="str">
        <f>IFERROR(VLOOKUP($C1515,'24.08_ND'!$A:$D,3,0),)</f>
        <v>310ML</v>
      </c>
      <c r="F1515" s="385">
        <v>1.1499999999999999</v>
      </c>
      <c r="G1515" s="598">
        <f>IFERROR(VLOOKUP($C1515,'24.08_ND'!$A:$D,4,0),)</f>
        <v>34.200000000000003</v>
      </c>
      <c r="H1515" s="449">
        <f t="shared" si="59"/>
        <v>39.33</v>
      </c>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row>
    <row r="1516" spans="1:31" ht="12.75">
      <c r="A1516" s="581" t="s">
        <v>14479</v>
      </c>
      <c r="B1516" s="582" t="s">
        <v>14476</v>
      </c>
      <c r="C1516" s="447">
        <v>43082</v>
      </c>
      <c r="D1516" s="596" t="str">
        <f>IFERROR(VLOOKUP($C1516,'24.08_ND'!$A:$D,2,0),)</f>
        <v>PERFIL "I" OU "W" EM ACO LAMINADO, QUAISQUER DIMENSOES</v>
      </c>
      <c r="E1516" s="597" t="str">
        <f>IFERROR(VLOOKUP($C1516,'24.08_ND'!$A:$D,3,0),)</f>
        <v>KG</v>
      </c>
      <c r="F1516" s="385">
        <v>5.6879999999999997</v>
      </c>
      <c r="G1516" s="598">
        <f>IFERROR(VLOOKUP($C1516,'24.08_ND'!$A:$D,4,0),)</f>
        <v>9.11</v>
      </c>
      <c r="H1516" s="449">
        <f t="shared" si="59"/>
        <v>51.81</v>
      </c>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row>
    <row r="1517" spans="1:31" ht="25.5">
      <c r="A1517" s="643" t="s">
        <v>14479</v>
      </c>
      <c r="B1517" s="312" t="str">
        <f>VLOOKUP($C1517,'• CIs EXT'!$A:$E,2,0)</f>
        <v>SIURB</v>
      </c>
      <c r="C1517" s="591">
        <v>77624</v>
      </c>
      <c r="D1517" s="378" t="str">
        <f>VLOOKUP($C1517,'• CIs EXT'!$A:$E,3,0)</f>
        <v>TAMPO PARA BANCADA ÚMIDA - GRANITO PRETO SÃO GABRIEL - POLIDO - ESPESSURA 2CM</v>
      </c>
      <c r="E1517" s="379" t="str">
        <f>VLOOKUP($C1517,'• CIs EXT'!$A:$E,4,0)</f>
        <v>M2</v>
      </c>
      <c r="F1517" s="380">
        <v>1.0149999999999999</v>
      </c>
      <c r="G1517" s="379">
        <f>VLOOKUP($C1517,'• CIs EXT'!$A:$E,5,0)</f>
        <v>711.98</v>
      </c>
      <c r="H1517" s="381">
        <f t="shared" si="59"/>
        <v>722.65</v>
      </c>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row>
    <row r="1518" spans="1:31" ht="12.75">
      <c r="A1518" s="309"/>
      <c r="B1518" s="303"/>
      <c r="C1518" s="303"/>
      <c r="D1518" s="310"/>
      <c r="E1518" s="303"/>
      <c r="F1518" s="306"/>
      <c r="G1518" s="307"/>
      <c r="H1518" s="308"/>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row>
    <row r="1519" spans="1:31" ht="25.5">
      <c r="A1519" s="271" t="s">
        <v>14471</v>
      </c>
      <c r="B1519" s="272" t="s">
        <v>14472</v>
      </c>
      <c r="C1519" s="360" t="s">
        <v>14999</v>
      </c>
      <c r="D1519" s="274" t="s">
        <v>15000</v>
      </c>
      <c r="E1519" s="272" t="s">
        <v>50</v>
      </c>
      <c r="F1519" s="272"/>
      <c r="G1519" s="272"/>
      <c r="H1519" s="275">
        <f>TRUNC(SUM(H1521:H1526),2)</f>
        <v>153.94</v>
      </c>
      <c r="I1519" s="276">
        <f>COUNTIF($C$8:$C1519,C:C)</f>
        <v>1</v>
      </c>
      <c r="J1519" s="262"/>
      <c r="K1519" s="262"/>
      <c r="L1519" s="262"/>
      <c r="M1519" s="262"/>
      <c r="N1519" s="262"/>
      <c r="O1519" s="262"/>
      <c r="P1519" s="262"/>
      <c r="Q1519" s="262"/>
      <c r="R1519" s="262"/>
      <c r="S1519" s="262"/>
      <c r="T1519" s="262"/>
      <c r="U1519" s="262"/>
      <c r="V1519" s="262"/>
      <c r="W1519" s="262"/>
      <c r="X1519" s="262"/>
      <c r="Y1519" s="262"/>
      <c r="Z1519" s="262"/>
      <c r="AA1519" s="262"/>
      <c r="AB1519" s="262"/>
    </row>
    <row r="1520" spans="1:31" ht="12.75">
      <c r="A1520" s="277" t="s">
        <v>14475</v>
      </c>
      <c r="B1520" s="488" t="s">
        <v>14476</v>
      </c>
      <c r="C1520" s="489">
        <v>101965</v>
      </c>
      <c r="D1520" s="490" t="s">
        <v>14477</v>
      </c>
      <c r="E1520" s="606"/>
      <c r="F1520" s="282"/>
      <c r="G1520" s="492"/>
      <c r="H1520" s="493"/>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row>
    <row r="1521" spans="1:31" ht="25.5">
      <c r="A1521" s="285" t="s">
        <v>14478</v>
      </c>
      <c r="B1521" s="407" t="s">
        <v>14476</v>
      </c>
      <c r="C1521" s="408">
        <v>88274</v>
      </c>
      <c r="D1521" s="288" t="str">
        <f>IFERROR(VLOOKUP($C1521,'24.08_ND'!$A:$D,2,0),)</f>
        <v>MARMORISTA/GRANITEIRO COM ENCARGOS COMPLEMENTARES</v>
      </c>
      <c r="E1521" s="289" t="str">
        <f>IFERROR(VLOOKUP($C1521,'24.08_ND'!$A:$D,3,0),)</f>
        <v>H</v>
      </c>
      <c r="F1521" s="290">
        <v>0.698333333</v>
      </c>
      <c r="G1521" s="291">
        <f>IFERROR(VLOOKUP($C1521,'24.08_ND'!$A:$D,4,0),)</f>
        <v>23.2</v>
      </c>
      <c r="H1521" s="292">
        <f t="shared" ref="H1521:H1526" si="60">TRUNC(($F1521*$G1521),2)</f>
        <v>16.2</v>
      </c>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D1521" s="1791" t="e">
        <f>VLOOKUP(C1521,'Medição '!$B$16:$F$1833,6,0)</f>
        <v>#N/A</v>
      </c>
      <c r="AE1521" s="1791"/>
    </row>
    <row r="1522" spans="1:31" ht="25.5">
      <c r="A1522" s="285" t="s">
        <v>14478</v>
      </c>
      <c r="B1522" s="407" t="s">
        <v>14476</v>
      </c>
      <c r="C1522" s="408">
        <v>88316</v>
      </c>
      <c r="D1522" s="288" t="str">
        <f>IFERROR(VLOOKUP($C1522,'24.08_ND'!$A:$D,2,0),)</f>
        <v>SERVENTE COM ENCARGOS COMPLEMENTARES</v>
      </c>
      <c r="E1522" s="289" t="str">
        <f>IFERROR(VLOOKUP($C1522,'24.08_ND'!$A:$D,3,0),)</f>
        <v>H</v>
      </c>
      <c r="F1522" s="290">
        <v>0.34833333300000002</v>
      </c>
      <c r="G1522" s="291">
        <f>IFERROR(VLOOKUP($C1522,'24.08_ND'!$A:$D,4,0),)</f>
        <v>18.510000000000002</v>
      </c>
      <c r="H1522" s="292">
        <f t="shared" si="60"/>
        <v>6.44</v>
      </c>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D1522" s="1791" t="e">
        <f>VLOOKUP(C1522,'Medição '!$B$16:$F$1833,6,0)</f>
        <v>#N/A</v>
      </c>
      <c r="AE1522" s="1791"/>
    </row>
    <row r="1523" spans="1:31" ht="25.5">
      <c r="A1523" s="285" t="s">
        <v>14478</v>
      </c>
      <c r="B1523" s="407" t="s">
        <v>14476</v>
      </c>
      <c r="C1523" s="408">
        <v>91692</v>
      </c>
      <c r="D1523" s="288" t="str">
        <f>IFERROR(VLOOKUP($C1523,'24.08_ND'!$A:$D,2,0),)</f>
        <v>SERRA CIRCULAR DE BANCADA COM MOTOR ELÉTRICO POTÊNCIA DE 5HP, COM COIFA PARA DISCO 10" - CHP DIURNO. AF_08/2015</v>
      </c>
      <c r="E1523" s="289" t="str">
        <f>IFERROR(VLOOKUP($C1523,'24.08_ND'!$A:$D,3,0),)</f>
        <v>CHP</v>
      </c>
      <c r="F1523" s="290">
        <v>3.5000000000000003E-2</v>
      </c>
      <c r="G1523" s="291">
        <f>IFERROR(VLOOKUP($C1523,'24.08_ND'!$A:$D,4,0),)</f>
        <v>21.22</v>
      </c>
      <c r="H1523" s="292">
        <f t="shared" si="60"/>
        <v>0.74</v>
      </c>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D1523" s="1791" t="e">
        <f>VLOOKUP(C1523,'Medição '!$B$16:$F$1833,6,0)</f>
        <v>#N/A</v>
      </c>
      <c r="AE1523" s="1791"/>
    </row>
    <row r="1524" spans="1:31" ht="25.5">
      <c r="A1524" s="285" t="s">
        <v>14478</v>
      </c>
      <c r="B1524" s="407" t="s">
        <v>14476</v>
      </c>
      <c r="C1524" s="408">
        <v>91693</v>
      </c>
      <c r="D1524" s="288" t="str">
        <f>IFERROR(VLOOKUP($C1524,'24.08_ND'!$A:$D,2,0),)</f>
        <v>SERRA CIRCULAR DE BANCADA COM MOTOR ELÉTRICO POTÊNCIA DE 5HP, COM COIFA PARA DISCO 10" - CHI DIURNO. AF_08/2015</v>
      </c>
      <c r="E1524" s="289" t="str">
        <f>IFERROR(VLOOKUP($C1524,'24.08_ND'!$A:$D,3,0),)</f>
        <v>CHI</v>
      </c>
      <c r="F1524" s="290">
        <v>0.66333333299999997</v>
      </c>
      <c r="G1524" s="291">
        <f>IFERROR(VLOOKUP($C1524,'24.08_ND'!$A:$D,4,0),)</f>
        <v>19.899999999999999</v>
      </c>
      <c r="H1524" s="292">
        <f t="shared" si="60"/>
        <v>13.2</v>
      </c>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D1524" s="1791" t="e">
        <f>VLOOKUP(C1524,'Medição '!$B$16:$F$1833,6,0)</f>
        <v>#N/A</v>
      </c>
      <c r="AE1524" s="1791"/>
    </row>
    <row r="1525" spans="1:31" ht="12.75">
      <c r="A1525" s="494" t="s">
        <v>14479</v>
      </c>
      <c r="B1525" s="495" t="s">
        <v>14476</v>
      </c>
      <c r="C1525" s="348">
        <v>37595</v>
      </c>
      <c r="D1525" s="296" t="str">
        <f>IFERROR(VLOOKUP($C1525,'24.08_ND'!$A:$D,2,0),)</f>
        <v>ARGAMASSA COLANTE TIPO AC III</v>
      </c>
      <c r="E1525" s="297" t="str">
        <f>IFERROR(VLOOKUP($C1525,'24.08_ND'!$A:$D,3,0),)</f>
        <v>KG</v>
      </c>
      <c r="F1525" s="298">
        <v>2.5</v>
      </c>
      <c r="G1525" s="299">
        <f>IFERROR(VLOOKUP($C1525,'24.08_ND'!$A:$D,4,0),)</f>
        <v>3.36</v>
      </c>
      <c r="H1525" s="300">
        <f t="shared" si="60"/>
        <v>8.4</v>
      </c>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row>
    <row r="1526" spans="1:31" ht="25.5">
      <c r="A1526" s="494" t="s">
        <v>14479</v>
      </c>
      <c r="B1526" s="495" t="s">
        <v>14476</v>
      </c>
      <c r="C1526" s="348">
        <v>10842</v>
      </c>
      <c r="D1526" s="296" t="str">
        <f>IFERROR(VLOOKUP($C1526,'24.08_ND'!$A:$D,2,0),)</f>
        <v>PISO EM GRANITO, POLIDO, TIPO PRETO SAO GABRIEL/ TIJUCA OU OUTROS EQUIVALENTES DA REGIAO, FORMATO MENOR OU IGUAL A 3025 CM2, E= *2* CM</v>
      </c>
      <c r="E1526" s="297" t="str">
        <f>IFERROR(VLOOKUP($C1526,'24.08_ND'!$A:$D,3,0),)</f>
        <v>M2</v>
      </c>
      <c r="F1526" s="298">
        <f>0.25*1.05</f>
        <v>0.26250000000000001</v>
      </c>
      <c r="G1526" s="299">
        <f>IFERROR(VLOOKUP($C1526,'24.08_ND'!$A:$D,4,0),)</f>
        <v>415.12</v>
      </c>
      <c r="H1526" s="300">
        <f t="shared" si="60"/>
        <v>108.96</v>
      </c>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row>
    <row r="1527" spans="1:31" ht="12.75">
      <c r="A1527" s="309"/>
      <c r="B1527" s="303"/>
      <c r="C1527" s="303"/>
      <c r="D1527" s="310"/>
      <c r="E1527" s="303"/>
      <c r="F1527" s="306"/>
      <c r="G1527" s="307"/>
      <c r="H1527" s="308"/>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row>
    <row r="1528" spans="1:31" ht="25.5">
      <c r="A1528" s="271" t="s">
        <v>14471</v>
      </c>
      <c r="B1528" s="272" t="s">
        <v>14472</v>
      </c>
      <c r="C1528" s="360" t="s">
        <v>15001</v>
      </c>
      <c r="D1528" s="274" t="s">
        <v>15002</v>
      </c>
      <c r="E1528" s="272" t="s">
        <v>50</v>
      </c>
      <c r="F1528" s="272"/>
      <c r="G1528" s="272"/>
      <c r="H1528" s="275">
        <f>TRUNC(SUM(H1529:H1533),2)</f>
        <v>116.59</v>
      </c>
      <c r="I1528" s="276">
        <f>COUNTIF($C$8:$C1528,C:C)</f>
        <v>1</v>
      </c>
      <c r="J1528" s="262"/>
      <c r="K1528" s="262"/>
      <c r="L1528" s="262"/>
      <c r="M1528" s="262"/>
      <c r="N1528" s="262"/>
      <c r="O1528" s="262"/>
      <c r="P1528" s="262"/>
      <c r="Q1528" s="262"/>
      <c r="R1528" s="262"/>
      <c r="S1528" s="262"/>
      <c r="T1528" s="262"/>
      <c r="U1528" s="262"/>
      <c r="V1528" s="262"/>
      <c r="W1528" s="262"/>
      <c r="X1528" s="262"/>
      <c r="Y1528" s="262"/>
      <c r="Z1528" s="262"/>
      <c r="AA1528" s="262"/>
      <c r="AB1528" s="262"/>
    </row>
    <row r="1529" spans="1:31" ht="12.75">
      <c r="A1529" s="277" t="s">
        <v>14475</v>
      </c>
      <c r="B1529" s="488" t="s">
        <v>14476</v>
      </c>
      <c r="C1529" s="489">
        <v>98689</v>
      </c>
      <c r="D1529" s="490" t="s">
        <v>14477</v>
      </c>
      <c r="E1529" s="606"/>
      <c r="F1529" s="282"/>
      <c r="G1529" s="492"/>
      <c r="H1529" s="493"/>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row>
    <row r="1530" spans="1:31" ht="25.5">
      <c r="A1530" s="285" t="s">
        <v>14478</v>
      </c>
      <c r="B1530" s="407" t="s">
        <v>14476</v>
      </c>
      <c r="C1530" s="408">
        <v>88274</v>
      </c>
      <c r="D1530" s="288" t="str">
        <f>IFERROR(VLOOKUP($C1530,'24.08_ND'!$A:$D,2,0),)</f>
        <v>MARMORISTA/GRANITEIRO COM ENCARGOS COMPLEMENTARES</v>
      </c>
      <c r="E1530" s="289" t="str">
        <f>IFERROR(VLOOKUP($C1530,'24.08_ND'!$A:$D,3,0),)</f>
        <v>H</v>
      </c>
      <c r="F1530" s="290">
        <v>0.72933333300000003</v>
      </c>
      <c r="G1530" s="291">
        <f>IFERROR(VLOOKUP($C1530,'24.08_ND'!$A:$D,4,0),)</f>
        <v>23.2</v>
      </c>
      <c r="H1530" s="292">
        <f>TRUNC(($F1530*$G1530),2)</f>
        <v>16.920000000000002</v>
      </c>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D1530" s="1791" t="e">
        <f>VLOOKUP(C1530,'Medição '!$B$16:$F$1833,6,0)</f>
        <v>#N/A</v>
      </c>
      <c r="AE1530" s="1791"/>
    </row>
    <row r="1531" spans="1:31" ht="25.5">
      <c r="A1531" s="285" t="s">
        <v>14478</v>
      </c>
      <c r="B1531" s="407" t="s">
        <v>14476</v>
      </c>
      <c r="C1531" s="408">
        <v>88316</v>
      </c>
      <c r="D1531" s="288" t="str">
        <f>IFERROR(VLOOKUP($C1531,'24.08_ND'!$A:$D,2,0),)</f>
        <v>SERVENTE COM ENCARGOS COMPLEMENTARES</v>
      </c>
      <c r="E1531" s="289" t="str">
        <f>IFERROR(VLOOKUP($C1531,'24.08_ND'!$A:$D,3,0),)</f>
        <v>H</v>
      </c>
      <c r="F1531" s="290">
        <v>0.36399999999999999</v>
      </c>
      <c r="G1531" s="291">
        <f>IFERROR(VLOOKUP($C1531,'24.08_ND'!$A:$D,4,0),)</f>
        <v>18.510000000000002</v>
      </c>
      <c r="H1531" s="292">
        <f>TRUNC(($F1531*$G1531),2)</f>
        <v>6.73</v>
      </c>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D1531" s="1791" t="e">
        <f>VLOOKUP(C1531,'Medição '!$B$16:$F$1833,6,0)</f>
        <v>#N/A</v>
      </c>
      <c r="AE1531" s="1791"/>
    </row>
    <row r="1532" spans="1:31" ht="12.75">
      <c r="A1532" s="494" t="s">
        <v>14479</v>
      </c>
      <c r="B1532" s="495" t="s">
        <v>14476</v>
      </c>
      <c r="C1532" s="348">
        <v>37595</v>
      </c>
      <c r="D1532" s="296" t="str">
        <f>IFERROR(VLOOKUP($C1532,'24.08_ND'!$A:$D,2,0),)</f>
        <v>ARGAMASSA COLANTE TIPO AC III</v>
      </c>
      <c r="E1532" s="297" t="str">
        <f>IFERROR(VLOOKUP($C1532,'24.08_ND'!$A:$D,3,0),)</f>
        <v>KG</v>
      </c>
      <c r="F1532" s="298">
        <v>1.72</v>
      </c>
      <c r="G1532" s="299">
        <f>IFERROR(VLOOKUP($C1532,'24.08_ND'!$A:$D,4,0),)</f>
        <v>3.36</v>
      </c>
      <c r="H1532" s="300">
        <f>TRUNC(($F1532*$G1532),2)</f>
        <v>5.77</v>
      </c>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row>
    <row r="1533" spans="1:31" ht="25.5">
      <c r="A1533" s="494" t="s">
        <v>14479</v>
      </c>
      <c r="B1533" s="495" t="s">
        <v>14476</v>
      </c>
      <c r="C1533" s="348">
        <v>10842</v>
      </c>
      <c r="D1533" s="296" t="str">
        <f>IFERROR(VLOOKUP($C1533,'24.08_ND'!$A:$D,2,0),)</f>
        <v>PISO EM GRANITO, POLIDO, TIPO PRETO SAO GABRIEL/ TIJUCA OU OUTROS EQUIVALENTES DA REGIAO, FORMATO MENOR OU IGUAL A 3025 CM2, E= *2* CM</v>
      </c>
      <c r="E1533" s="297" t="str">
        <f>IFERROR(VLOOKUP($C1533,'24.08_ND'!$A:$D,3,0),)</f>
        <v>M2</v>
      </c>
      <c r="F1533" s="298">
        <f>0.2*1.05</f>
        <v>0.21000000000000002</v>
      </c>
      <c r="G1533" s="299">
        <f>IFERROR(VLOOKUP($C1533,'24.08_ND'!$A:$D,4,0),)</f>
        <v>415.12</v>
      </c>
      <c r="H1533" s="300">
        <f>TRUNC(($F1533*$G1533),2)</f>
        <v>87.17</v>
      </c>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row>
    <row r="1534" spans="1:31" ht="12.75">
      <c r="A1534" s="640"/>
      <c r="B1534" s="641"/>
      <c r="C1534" s="368"/>
      <c r="D1534" s="641"/>
      <c r="E1534" s="641"/>
      <c r="F1534" s="642"/>
      <c r="G1534" s="370"/>
      <c r="H1534" s="371"/>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row>
    <row r="1535" spans="1:31" ht="38.25">
      <c r="A1535" s="358" t="s">
        <v>14471</v>
      </c>
      <c r="B1535" s="359" t="s">
        <v>14472</v>
      </c>
      <c r="C1535" s="360" t="s">
        <v>15003</v>
      </c>
      <c r="D1535" s="361" t="s">
        <v>15004</v>
      </c>
      <c r="E1535" s="359" t="s">
        <v>6</v>
      </c>
      <c r="F1535" s="401"/>
      <c r="G1535" s="402"/>
      <c r="H1535" s="363">
        <f>TRUNC(SUM(H1537:H1546),2)</f>
        <v>259</v>
      </c>
      <c r="I1535" s="276">
        <f>COUNTIF($C$8:$C1535,C:C)</f>
        <v>1</v>
      </c>
      <c r="J1535" s="262"/>
      <c r="K1535" s="262"/>
      <c r="L1535" s="262"/>
      <c r="M1535" s="262"/>
      <c r="N1535" s="262"/>
      <c r="O1535" s="262"/>
      <c r="P1535" s="262"/>
      <c r="Q1535" s="262"/>
      <c r="R1535" s="262"/>
      <c r="S1535" s="262"/>
      <c r="T1535" s="262"/>
      <c r="U1535" s="262"/>
      <c r="V1535" s="262"/>
      <c r="W1535" s="262"/>
      <c r="X1535" s="262"/>
      <c r="Y1535" s="262"/>
      <c r="Z1535" s="262"/>
      <c r="AA1535" s="262"/>
      <c r="AB1535" s="262"/>
    </row>
    <row r="1536" spans="1:31" ht="12.75">
      <c r="A1536" s="664"/>
      <c r="B1536" s="420"/>
      <c r="C1536" s="368"/>
      <c r="D1536" s="665" t="s">
        <v>15005</v>
      </c>
      <c r="E1536" s="405"/>
      <c r="F1536" s="642"/>
      <c r="G1536" s="370"/>
      <c r="H1536" s="371"/>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row>
    <row r="1537" spans="1:31" ht="25.5">
      <c r="A1537" s="372" t="s">
        <v>14478</v>
      </c>
      <c r="B1537" s="421" t="s">
        <v>14476</v>
      </c>
      <c r="C1537" s="374">
        <v>88267</v>
      </c>
      <c r="D1537" s="288" t="str">
        <f>IFERROR(VLOOKUP($C1537,'24.08_ND'!$A:$D,2,0),)</f>
        <v>ENCANADOR OU BOMBEIRO HIDRÁULICO COM ENCARGOS COMPLEMENTARES</v>
      </c>
      <c r="E1537" s="289" t="str">
        <f>IFERROR(VLOOKUP($C1537,'24.08_ND'!$A:$D,3,0),)</f>
        <v>H</v>
      </c>
      <c r="F1537" s="375">
        <v>0.4</v>
      </c>
      <c r="G1537" s="291">
        <f>IFERROR(VLOOKUP($C1537,'24.08_ND'!$A:$D,4,0),)</f>
        <v>23.27</v>
      </c>
      <c r="H1537" s="292">
        <f t="shared" ref="H1537:H1546" si="61">TRUNC(($F1537*$G1537),2)</f>
        <v>9.3000000000000007</v>
      </c>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D1537" s="1791" t="e">
        <f>VLOOKUP(C1537,'Medição '!$B$16:$F$1833,6,0)</f>
        <v>#N/A</v>
      </c>
      <c r="AE1537" s="1791"/>
    </row>
    <row r="1538" spans="1:31" ht="25.5">
      <c r="A1538" s="372" t="s">
        <v>14478</v>
      </c>
      <c r="B1538" s="421" t="s">
        <v>14476</v>
      </c>
      <c r="C1538" s="374">
        <v>88248</v>
      </c>
      <c r="D1538" s="288" t="str">
        <f>IFERROR(VLOOKUP($C1538,'24.08_ND'!$A:$D,2,0),)</f>
        <v>AUXILIAR DE ENCANADOR OU BOMBEIRO HIDRÁULICO COM ENCARGOS COMPLEMENTARES</v>
      </c>
      <c r="E1538" s="289" t="str">
        <f>IFERROR(VLOOKUP($C1538,'24.08_ND'!$A:$D,3,0),)</f>
        <v>H</v>
      </c>
      <c r="F1538" s="375">
        <v>0.55000000000000004</v>
      </c>
      <c r="G1538" s="291">
        <f>IFERROR(VLOOKUP($C1538,'24.08_ND'!$A:$D,4,0),)</f>
        <v>19.05</v>
      </c>
      <c r="H1538" s="292">
        <f t="shared" si="61"/>
        <v>10.47</v>
      </c>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D1538" s="1791" t="e">
        <f>VLOOKUP(C1538,'Medição '!$B$16:$F$1833,6,0)</f>
        <v>#N/A</v>
      </c>
      <c r="AE1538" s="1791"/>
    </row>
    <row r="1539" spans="1:31" ht="12.75">
      <c r="A1539" s="445" t="s">
        <v>14479</v>
      </c>
      <c r="B1539" s="446" t="s">
        <v>14476</v>
      </c>
      <c r="C1539" s="447">
        <v>3146</v>
      </c>
      <c r="D1539" s="296" t="str">
        <f>IFERROR(VLOOKUP($C1539,'24.08_ND'!$A:$D,2,0),)</f>
        <v>FITA VEDA ROSCA EM ROLOS DE 18 MM X 10 M (L X C)</v>
      </c>
      <c r="E1539" s="297" t="str">
        <f>IFERROR(VLOOKUP($C1539,'24.08_ND'!$A:$D,3,0),)</f>
        <v>UN</v>
      </c>
      <c r="F1539" s="385">
        <v>5.2499999999999998E-2</v>
      </c>
      <c r="G1539" s="299">
        <f>IFERROR(VLOOKUP($C1539,'24.08_ND'!$A:$D,4,0),)</f>
        <v>3.59</v>
      </c>
      <c r="H1539" s="300">
        <f t="shared" si="61"/>
        <v>0.18</v>
      </c>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row>
    <row r="1540" spans="1:31" ht="12.75">
      <c r="A1540" s="445" t="s">
        <v>14479</v>
      </c>
      <c r="B1540" s="446" t="s">
        <v>14476</v>
      </c>
      <c r="C1540" s="447">
        <v>3529</v>
      </c>
      <c r="D1540" s="296" t="str">
        <f>IFERROR(VLOOKUP($C1540,'24.08_ND'!$A:$D,2,0),)</f>
        <v>JOELHO PVC, SOLDAVEL, 90 GRAUS, 25 MM, COR MARROM, PARA AGUA FRIA PREDIAL</v>
      </c>
      <c r="E1540" s="297" t="str">
        <f>IFERROR(VLOOKUP($C1540,'24.08_ND'!$A:$D,3,0),)</f>
        <v>UN</v>
      </c>
      <c r="F1540" s="385">
        <v>1</v>
      </c>
      <c r="G1540" s="299">
        <f>IFERROR(VLOOKUP($C1540,'24.08_ND'!$A:$D,4,0),)</f>
        <v>0.56000000000000005</v>
      </c>
      <c r="H1540" s="300">
        <f t="shared" si="61"/>
        <v>0.56000000000000005</v>
      </c>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row>
    <row r="1541" spans="1:31" ht="25.5">
      <c r="A1541" s="445" t="s">
        <v>14479</v>
      </c>
      <c r="B1541" s="446" t="s">
        <v>14476</v>
      </c>
      <c r="C1541" s="447">
        <v>3524</v>
      </c>
      <c r="D1541" s="296" t="str">
        <f>IFERROR(VLOOKUP($C1541,'24.08_ND'!$A:$D,2,0),)</f>
        <v>JOELHO PVC, SOLDAVEL, COM BUCHA DE LATAO, 90 GRAUS, 25 MM X 3/4", PARA AGUA FRIA PREDIAL</v>
      </c>
      <c r="E1541" s="297" t="str">
        <f>IFERROR(VLOOKUP($C1541,'24.08_ND'!$A:$D,3,0),)</f>
        <v>UN</v>
      </c>
      <c r="F1541" s="385">
        <v>1</v>
      </c>
      <c r="G1541" s="299">
        <f>IFERROR(VLOOKUP($C1541,'24.08_ND'!$A:$D,4,0),)</f>
        <v>6.31</v>
      </c>
      <c r="H1541" s="300">
        <f t="shared" si="61"/>
        <v>6.31</v>
      </c>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row>
    <row r="1542" spans="1:31" ht="25.5">
      <c r="A1542" s="445" t="s">
        <v>14479</v>
      </c>
      <c r="B1542" s="446" t="s">
        <v>14476</v>
      </c>
      <c r="C1542" s="447">
        <v>11762</v>
      </c>
      <c r="D1542" s="296" t="str">
        <f>IFERROR(VLOOKUP($C1542,'24.08_ND'!$A:$D,2,0),)</f>
        <v>TORNEIRA METALICA CROMADA PARA JARDIM / TANQUE, COM BICO PLASTICO, CANO LONGO, DE PAREDE, PADRAO POPULAR / USO GERAL, 1/2" OU 3/4" (REF 1153 / 1130)</v>
      </c>
      <c r="E1542" s="297" t="str">
        <f>IFERROR(VLOOKUP($C1542,'24.08_ND'!$A:$D,3,0),)</f>
        <v>UN</v>
      </c>
      <c r="F1542" s="385">
        <v>1</v>
      </c>
      <c r="G1542" s="299">
        <f>IFERROR(VLOOKUP($C1542,'24.08_ND'!$A:$D,4,0),)</f>
        <v>58.32</v>
      </c>
      <c r="H1542" s="300">
        <f t="shared" si="61"/>
        <v>58.32</v>
      </c>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row>
    <row r="1543" spans="1:31" ht="12.75">
      <c r="A1543" s="445" t="s">
        <v>14479</v>
      </c>
      <c r="B1543" s="446" t="s">
        <v>14476</v>
      </c>
      <c r="C1543" s="447">
        <v>9868</v>
      </c>
      <c r="D1543" s="296" t="str">
        <f>IFERROR(VLOOKUP($C1543,'24.08_ND'!$A:$D,2,0),)</f>
        <v>TUBO PVC, SOLDAVEL, DE 25 MM, AGUA FRIA (NBR-5648)</v>
      </c>
      <c r="E1543" s="297" t="str">
        <f>IFERROR(VLOOKUP($C1543,'24.08_ND'!$A:$D,3,0),)</f>
        <v>M</v>
      </c>
      <c r="F1543" s="385">
        <v>1</v>
      </c>
      <c r="G1543" s="299">
        <f>IFERROR(VLOOKUP($C1543,'24.08_ND'!$A:$D,4,0),)</f>
        <v>3.25</v>
      </c>
      <c r="H1543" s="300">
        <f t="shared" si="61"/>
        <v>3.25</v>
      </c>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row>
    <row r="1544" spans="1:31" ht="12.75">
      <c r="A1544" s="445" t="s">
        <v>14479</v>
      </c>
      <c r="B1544" s="446" t="s">
        <v>14476</v>
      </c>
      <c r="C1544" s="447">
        <v>11002</v>
      </c>
      <c r="D1544" s="296" t="str">
        <f>IFERROR(VLOOKUP($C1544,'24.08_ND'!$A:$D,2,0),)</f>
        <v>ELETRODO REVESTIDO AWS - E6013, DIAMETRO IGUAL A 2,50 MM</v>
      </c>
      <c r="E1544" s="297" t="str">
        <f>IFERROR(VLOOKUP($C1544,'24.08_ND'!$A:$D,3,0),)</f>
        <v>KG</v>
      </c>
      <c r="F1544" s="385">
        <v>3.5000000000000001E-3</v>
      </c>
      <c r="G1544" s="299">
        <f>IFERROR(VLOOKUP($C1544,'24.08_ND'!$A:$D,4,0),)</f>
        <v>31.31</v>
      </c>
      <c r="H1544" s="300">
        <f t="shared" si="61"/>
        <v>0.1</v>
      </c>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row>
    <row r="1545" spans="1:31" ht="25.5">
      <c r="A1545" s="445" t="s">
        <v>14479</v>
      </c>
      <c r="B1545" s="446" t="s">
        <v>14476</v>
      </c>
      <c r="C1545" s="447">
        <v>12760</v>
      </c>
      <c r="D1545" s="296" t="str">
        <f>IFERROR(VLOOKUP($C1545,'24.08_ND'!$A:$D,2,0),)</f>
        <v>CHAPA ACO INOX AISI 304 NUMERO 4 (E = 6 MM), ACABAMENTO NUMERO 1 (LAMINADO A QUENTE, FOSCO)</v>
      </c>
      <c r="E1545" s="297" t="str">
        <f>IFERROR(VLOOKUP($C1545,'24.08_ND'!$A:$D,3,0),)</f>
        <v>M2</v>
      </c>
      <c r="F1545" s="385">
        <f>0.3*0.3</f>
        <v>0.09</v>
      </c>
      <c r="G1545" s="299">
        <f>IFERROR(VLOOKUP($C1545,'24.08_ND'!$A:$D,4,0),)</f>
        <v>1323.82</v>
      </c>
      <c r="H1545" s="300">
        <f t="shared" si="61"/>
        <v>119.14</v>
      </c>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row>
    <row r="1546" spans="1:31" ht="12.75">
      <c r="A1546" s="590" t="s">
        <v>14479</v>
      </c>
      <c r="B1546" s="312" t="str">
        <f>VLOOKUP($C1546,'• CIs EXT'!$A:$E,2,0)</f>
        <v>ORSE</v>
      </c>
      <c r="C1546" s="377">
        <v>8957</v>
      </c>
      <c r="D1546" s="378" t="str">
        <f>VLOOKUP($C1546,'• CIs EXT'!$A:$E,3,0)</f>
        <v>TUBO DE AÇO INOX 3" ESP.1,5MM</v>
      </c>
      <c r="E1546" s="379" t="str">
        <f>VLOOKUP($C1546,'• CIs EXT'!$A:$E,4,0)</f>
        <v>M</v>
      </c>
      <c r="F1546" s="380">
        <v>0.7</v>
      </c>
      <c r="G1546" s="379">
        <f>VLOOKUP($C1546,'• CIs EXT'!$A:$E,5,0)</f>
        <v>73.39</v>
      </c>
      <c r="H1546" s="381">
        <f t="shared" si="61"/>
        <v>51.37</v>
      </c>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row>
    <row r="1547" spans="1:31" ht="12.75">
      <c r="A1547" s="309"/>
      <c r="B1547" s="303"/>
      <c r="C1547" s="303"/>
      <c r="D1547" s="310"/>
      <c r="E1547" s="303"/>
      <c r="F1547" s="306"/>
      <c r="G1547" s="307"/>
      <c r="H1547" s="308"/>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row>
    <row r="1548" spans="1:31" ht="25.5">
      <c r="A1548" s="271" t="s">
        <v>14471</v>
      </c>
      <c r="B1548" s="272" t="s">
        <v>14472</v>
      </c>
      <c r="C1548" s="360" t="s">
        <v>15006</v>
      </c>
      <c r="D1548" s="274" t="s">
        <v>15007</v>
      </c>
      <c r="E1548" s="272" t="s">
        <v>6</v>
      </c>
      <c r="F1548" s="272"/>
      <c r="G1548" s="272"/>
      <c r="H1548" s="275">
        <f>TRUNC(SUM(H1550:H1554),2)</f>
        <v>231.16</v>
      </c>
      <c r="I1548" s="276">
        <f>COUNTIF($C$8:$C1548,C:C)</f>
        <v>1</v>
      </c>
      <c r="J1548" s="262"/>
      <c r="K1548" s="262"/>
      <c r="L1548" s="262"/>
      <c r="M1548" s="262"/>
      <c r="N1548" s="262"/>
      <c r="O1548" s="262"/>
      <c r="P1548" s="262"/>
      <c r="Q1548" s="262"/>
      <c r="R1548" s="262"/>
      <c r="S1548" s="262"/>
      <c r="T1548" s="262"/>
      <c r="U1548" s="262"/>
      <c r="V1548" s="262"/>
      <c r="W1548" s="262"/>
      <c r="X1548" s="262"/>
      <c r="Y1548" s="262"/>
      <c r="Z1548" s="262"/>
      <c r="AA1548" s="262"/>
      <c r="AB1548" s="262"/>
    </row>
    <row r="1549" spans="1:31" ht="12.75">
      <c r="A1549" s="277" t="s">
        <v>14475</v>
      </c>
      <c r="B1549" s="488" t="s">
        <v>14476</v>
      </c>
      <c r="C1549" s="489">
        <v>86915</v>
      </c>
      <c r="D1549" s="490" t="s">
        <v>14477</v>
      </c>
      <c r="E1549" s="186"/>
      <c r="F1549" s="638"/>
      <c r="G1549" s="341"/>
      <c r="H1549" s="34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row>
    <row r="1550" spans="1:31" ht="25.5">
      <c r="A1550" s="285" t="s">
        <v>14478</v>
      </c>
      <c r="B1550" s="407" t="s">
        <v>14476</v>
      </c>
      <c r="C1550" s="408">
        <v>88248</v>
      </c>
      <c r="D1550" s="666" t="str">
        <f>IFERROR(VLOOKUP($C1550,'24.08_ND'!$A:$D,2,0),)</f>
        <v>AUXILIAR DE ENCANADOR OU BOMBEIRO HIDRÁULICO COM ENCARGOS COMPLEMENTARES</v>
      </c>
      <c r="E1550" s="556" t="str">
        <f>IFERROR(VLOOKUP($C1550,'24.08_ND'!$A:$D,3,0),)</f>
        <v>H</v>
      </c>
      <c r="F1550" s="667">
        <v>9.6000000000000002E-2</v>
      </c>
      <c r="G1550" s="439">
        <f>IFERROR(VLOOKUP($C1550,'24.08_ND'!$A:$D,4,0),)</f>
        <v>19.05</v>
      </c>
      <c r="H1550" s="410">
        <f>TRUNC(($F1550*$G1550),2)</f>
        <v>1.82</v>
      </c>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D1550" s="1791" t="e">
        <f>VLOOKUP(C1550,'Medição '!$B$16:$F$1833,6,0)</f>
        <v>#N/A</v>
      </c>
      <c r="AE1550" s="1791"/>
    </row>
    <row r="1551" spans="1:31" ht="25.5">
      <c r="A1551" s="285" t="s">
        <v>14478</v>
      </c>
      <c r="B1551" s="407" t="s">
        <v>14476</v>
      </c>
      <c r="C1551" s="408">
        <v>88267</v>
      </c>
      <c r="D1551" s="666" t="str">
        <f>IFERROR(VLOOKUP($C1551,'24.08_ND'!$A:$D,2,0),)</f>
        <v>ENCANADOR OU BOMBEIRO HIDRÁULICO COM ENCARGOS COMPLEMENTARES</v>
      </c>
      <c r="E1551" s="556" t="str">
        <f>IFERROR(VLOOKUP($C1551,'24.08_ND'!$A:$D,3,0),)</f>
        <v>H</v>
      </c>
      <c r="F1551" s="667">
        <v>3.0300000000000001E-2</v>
      </c>
      <c r="G1551" s="439">
        <f>IFERROR(VLOOKUP($C1551,'24.08_ND'!$A:$D,4,0),)</f>
        <v>23.27</v>
      </c>
      <c r="H1551" s="410">
        <f>TRUNC(($F1551*$G1551),2)</f>
        <v>0.7</v>
      </c>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D1551" s="1791" t="e">
        <f>VLOOKUP(C1551,'Medição '!$B$16:$F$1833,6,0)</f>
        <v>#N/A</v>
      </c>
      <c r="AE1551" s="1791"/>
    </row>
    <row r="1552" spans="1:31" ht="12.75">
      <c r="A1552" s="494" t="s">
        <v>14479</v>
      </c>
      <c r="B1552" s="495" t="s">
        <v>14476</v>
      </c>
      <c r="C1552" s="348">
        <v>11681</v>
      </c>
      <c r="D1552" s="668" t="str">
        <f>IFERROR(VLOOKUP($C1552,'24.08_ND'!$A:$D,2,0),)</f>
        <v>ENGATE/RABICHO FLEXIVEL PLASTICO (PVC OU ABS) BRANCO 1/2" X 40 CM</v>
      </c>
      <c r="E1552" s="560" t="str">
        <f>IFERROR(VLOOKUP($C1552,'24.08_ND'!$A:$D,3,0),)</f>
        <v>UN</v>
      </c>
      <c r="F1552" s="669">
        <v>1</v>
      </c>
      <c r="G1552" s="562">
        <f>IFERROR(VLOOKUP($C1552,'24.08_ND'!$A:$D,4,0),)</f>
        <v>7.98</v>
      </c>
      <c r="H1552" s="414">
        <f>TRUNC(($F1552*$G1552),2)</f>
        <v>7.98</v>
      </c>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row>
    <row r="1553" spans="1:32" ht="12.75">
      <c r="A1553" s="494" t="s">
        <v>14479</v>
      </c>
      <c r="B1553" s="495" t="s">
        <v>14476</v>
      </c>
      <c r="C1553" s="348">
        <v>3146</v>
      </c>
      <c r="D1553" s="668" t="str">
        <f>IFERROR(VLOOKUP($C1553,'24.08_ND'!$A:$D,2,0),)</f>
        <v>FITA VEDA ROSCA EM ROLOS DE 18 MM X 10 M (L X C)</v>
      </c>
      <c r="E1553" s="560" t="str">
        <f>IFERROR(VLOOKUP($C1553,'24.08_ND'!$A:$D,3,0),)</f>
        <v>UN</v>
      </c>
      <c r="F1553" s="669">
        <v>2.1000000000000001E-2</v>
      </c>
      <c r="G1553" s="562">
        <f>IFERROR(VLOOKUP($C1553,'24.08_ND'!$A:$D,4,0),)</f>
        <v>3.59</v>
      </c>
      <c r="H1553" s="414">
        <f>TRUNC(($F1553*$G1553),2)</f>
        <v>7.0000000000000007E-2</v>
      </c>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row>
    <row r="1554" spans="1:32" ht="25.5">
      <c r="A1554" s="319" t="s">
        <v>14479</v>
      </c>
      <c r="B1554" s="320" t="s">
        <v>14491</v>
      </c>
      <c r="C1554" s="478" t="s">
        <v>15008</v>
      </c>
      <c r="D1554" s="321" t="str">
        <f>VLOOKUP($C1554,'09 - MC'!$A:$F,2,0)</f>
        <v>TORNEIRA PARA PIA DE COZINHA GALI METAL BICA ALTA DOCOL, ACABAMENTO CROMADO BINÍQUEL , AREJADOR ARTICULÁVEL</v>
      </c>
      <c r="E1554" s="322" t="str">
        <f>VLOOKUP($C1554,'09 - MC'!$A:$F,3,0)</f>
        <v>UN</v>
      </c>
      <c r="F1554" s="670">
        <v>1</v>
      </c>
      <c r="G1554" s="324">
        <f>VLOOKUP($C1554,'09 - MC'!$A:$F,6,0)</f>
        <v>220.59</v>
      </c>
      <c r="H1554" s="325">
        <f>TRUNC(G1554*F1554,2)</f>
        <v>220.59</v>
      </c>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row>
    <row r="1555" spans="1:32" ht="12.75">
      <c r="A1555" s="309"/>
      <c r="B1555" s="303"/>
      <c r="C1555" s="303"/>
      <c r="D1555" s="310"/>
      <c r="E1555" s="303"/>
      <c r="F1555" s="306"/>
      <c r="G1555" s="307"/>
      <c r="H1555" s="308"/>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row>
    <row r="1556" spans="1:32" ht="25.5">
      <c r="A1556" s="358" t="s">
        <v>14471</v>
      </c>
      <c r="B1556" s="359" t="s">
        <v>14472</v>
      </c>
      <c r="C1556" s="360" t="s">
        <v>15009</v>
      </c>
      <c r="D1556" s="274" t="s">
        <v>15010</v>
      </c>
      <c r="E1556" s="272" t="s">
        <v>409</v>
      </c>
      <c r="F1556" s="272"/>
      <c r="G1556" s="272"/>
      <c r="H1556" s="275">
        <f>TRUNC(SUM(H1558:H1563),2)</f>
        <v>944.12</v>
      </c>
      <c r="I1556" s="276">
        <f>COUNTIF($C$8:$C1556,C:C)</f>
        <v>1</v>
      </c>
      <c r="J1556" s="262"/>
      <c r="K1556" s="262"/>
      <c r="L1556" s="262"/>
      <c r="M1556" s="262"/>
      <c r="N1556" s="262"/>
      <c r="O1556" s="262"/>
      <c r="P1556" s="262"/>
      <c r="Q1556" s="262"/>
      <c r="R1556" s="262"/>
      <c r="S1556" s="262"/>
      <c r="T1556" s="262"/>
      <c r="U1556" s="262"/>
      <c r="V1556" s="262"/>
      <c r="W1556" s="262"/>
      <c r="X1556" s="262"/>
      <c r="Y1556" s="262"/>
      <c r="Z1556" s="262"/>
      <c r="AA1556" s="262"/>
      <c r="AB1556" s="262"/>
    </row>
    <row r="1557" spans="1:32" ht="12.75">
      <c r="A1557" s="277" t="s">
        <v>14475</v>
      </c>
      <c r="B1557" s="488" t="s">
        <v>14476</v>
      </c>
      <c r="C1557" s="489">
        <v>91341</v>
      </c>
      <c r="D1557" s="490" t="s">
        <v>14587</v>
      </c>
      <c r="E1557" s="606"/>
      <c r="F1557" s="282"/>
      <c r="G1557" s="492"/>
      <c r="H1557" s="493"/>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row>
    <row r="1558" spans="1:32" ht="25.5">
      <c r="A1558" s="372" t="s">
        <v>14478</v>
      </c>
      <c r="B1558" s="421" t="s">
        <v>14476</v>
      </c>
      <c r="C1558" s="408">
        <v>88309</v>
      </c>
      <c r="D1558" s="288" t="str">
        <f>IFERROR(VLOOKUP($C1558,'24.08_ND'!$A:$D,2,0),)</f>
        <v>PEDREIRO COM ENCARGOS COMPLEMENTARES</v>
      </c>
      <c r="E1558" s="289" t="str">
        <f>IFERROR(VLOOKUP($C1558,'24.08_ND'!$A:$D,3,0),)</f>
        <v>H</v>
      </c>
      <c r="F1558" s="333">
        <v>0.3826</v>
      </c>
      <c r="G1558" s="291">
        <f>IFERROR(VLOOKUP($C1558,'24.08_ND'!$A:$D,4,0),)</f>
        <v>23.33</v>
      </c>
      <c r="H1558" s="292">
        <f t="shared" ref="H1558:H1563" si="62">TRUNC(($F1558*$G1558),2)</f>
        <v>8.92</v>
      </c>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D1558" s="1791" t="e">
        <f>VLOOKUP(C1558,'Medição '!$B$16:$F$1833,6,0)</f>
        <v>#N/A</v>
      </c>
      <c r="AE1558" s="1791"/>
    </row>
    <row r="1559" spans="1:32" ht="25.5">
      <c r="A1559" s="372" t="s">
        <v>14478</v>
      </c>
      <c r="B1559" s="421" t="s">
        <v>14476</v>
      </c>
      <c r="C1559" s="408">
        <v>88316</v>
      </c>
      <c r="D1559" s="288" t="str">
        <f>IFERROR(VLOOKUP($C1559,'24.08_ND'!$A:$D,2,0),)</f>
        <v>SERVENTE COM ENCARGOS COMPLEMENTARES</v>
      </c>
      <c r="E1559" s="289" t="str">
        <f>IFERROR(VLOOKUP($C1559,'24.08_ND'!$A:$D,3,0),)</f>
        <v>H</v>
      </c>
      <c r="F1559" s="333">
        <v>0.191</v>
      </c>
      <c r="G1559" s="291">
        <f>IFERROR(VLOOKUP($C1559,'24.08_ND'!$A:$D,4,0),)</f>
        <v>18.510000000000002</v>
      </c>
      <c r="H1559" s="292">
        <f t="shared" si="62"/>
        <v>3.53</v>
      </c>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D1559" s="1791" t="e">
        <f>VLOOKUP(C1559,'Medição '!$B$16:$F$1833,6,0)</f>
        <v>#N/A</v>
      </c>
      <c r="AE1559" s="1791"/>
    </row>
    <row r="1560" spans="1:32" ht="25.5">
      <c r="A1560" s="445" t="s">
        <v>14479</v>
      </c>
      <c r="B1560" s="446" t="s">
        <v>14476</v>
      </c>
      <c r="C1560" s="348">
        <v>7568</v>
      </c>
      <c r="D1560" s="296" t="str">
        <f>IFERROR(VLOOKUP($C1560,'24.08_ND'!$A:$D,2,0),)</f>
        <v>BUCHA DE NYLON SEM ABA S10, COM PARAFUSO DE 6,10 X 65 MM EM ACO ZINCADO COM ROSCA SOBERBA, CABECA CHATA E FENDA PHILLIPS</v>
      </c>
      <c r="E1560" s="297" t="str">
        <f>IFERROR(VLOOKUP($C1560,'24.08_ND'!$A:$D,3,0),)</f>
        <v>UN</v>
      </c>
      <c r="F1560" s="334">
        <v>6</v>
      </c>
      <c r="G1560" s="299">
        <f>IFERROR(VLOOKUP($C1560,'24.08_ND'!$A:$D,4,0),)</f>
        <v>0.66</v>
      </c>
      <c r="H1560" s="300">
        <f t="shared" si="62"/>
        <v>3.96</v>
      </c>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row>
    <row r="1561" spans="1:32" ht="25.5">
      <c r="A1561" s="445" t="s">
        <v>14479</v>
      </c>
      <c r="B1561" s="446" t="s">
        <v>14476</v>
      </c>
      <c r="C1561" s="348">
        <v>142</v>
      </c>
      <c r="D1561" s="296" t="str">
        <f>IFERROR(VLOOKUP($C1561,'24.08_ND'!$A:$D,2,0),)</f>
        <v>SELANTE ELASTICO MONOCOMPONENTE A BASE DE POLIURETANO (PU) PARA JUNTAS DIVERSAS</v>
      </c>
      <c r="E1561" s="297" t="str">
        <f>IFERROR(VLOOKUP($C1561,'24.08_ND'!$A:$D,3,0),)</f>
        <v>310ML</v>
      </c>
      <c r="F1561" s="334">
        <v>0.88290000000000002</v>
      </c>
      <c r="G1561" s="299">
        <f>IFERROR(VLOOKUP($C1561,'24.08_ND'!$A:$D,4,0),)</f>
        <v>34.200000000000003</v>
      </c>
      <c r="H1561" s="300">
        <f t="shared" si="62"/>
        <v>30.19</v>
      </c>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row>
    <row r="1562" spans="1:32" ht="25.5">
      <c r="A1562" s="445" t="s">
        <v>14479</v>
      </c>
      <c r="B1562" s="446" t="s">
        <v>14476</v>
      </c>
      <c r="C1562" s="348">
        <v>36888</v>
      </c>
      <c r="D1562" s="296" t="str">
        <f>IFERROR(VLOOKUP($C1562,'24.08_ND'!$A:$D,2,0),)</f>
        <v>GUARNICAO / MOLDURA / ARREMATE DE ACABAMENTO PARA ESQUADRIA, EM ALUMINIO PERFIL 25, ACABAMENTO ANODIZADO BRANCO OU BRILHANTE, PARA 1 FACE</v>
      </c>
      <c r="E1562" s="297" t="str">
        <f>IFERROR(VLOOKUP($C1562,'24.08_ND'!$A:$D,3,0),)</f>
        <v>M</v>
      </c>
      <c r="F1562" s="334">
        <v>4</v>
      </c>
      <c r="G1562" s="299">
        <f>IFERROR(VLOOKUP($C1562,'24.08_ND'!$A:$D,4,0),)</f>
        <v>22.7</v>
      </c>
      <c r="H1562" s="300">
        <f t="shared" si="62"/>
        <v>90.8</v>
      </c>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row>
    <row r="1563" spans="1:32" ht="38.25">
      <c r="A1563" s="590" t="s">
        <v>14479</v>
      </c>
      <c r="B1563" s="312" t="str">
        <f>VLOOKUP($C1563,'• CIs EXT'!$A:$E,2,0)</f>
        <v>CPOS/CDHU</v>
      </c>
      <c r="C1563" s="377" t="s">
        <v>15011</v>
      </c>
      <c r="D1563" s="378" t="str">
        <f>VLOOKUP($C1563,'• CIs EXT'!$A:$E,3,0)</f>
        <v>PORTA DE ABRIR EM ALUMÍNIO ANODIZADO, NAS CORES BRONZE/PRETO</v>
      </c>
      <c r="E1563" s="379" t="str">
        <f>VLOOKUP($C1563,'• CIs EXT'!$A:$E,4,0)</f>
        <v>M2</v>
      </c>
      <c r="F1563" s="380">
        <v>1</v>
      </c>
      <c r="G1563" s="379">
        <f>VLOOKUP($C1563,'• CIs EXT'!$A:$E,5,0)</f>
        <v>806.72</v>
      </c>
      <c r="H1563" s="381">
        <f t="shared" si="62"/>
        <v>806.72</v>
      </c>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E1563">
        <f>(0.8*2.1*2)+(0.7*2.1)</f>
        <v>4.83</v>
      </c>
      <c r="AF1563" s="1790">
        <f>AE1563*H1563</f>
        <v>3896.4576000000002</v>
      </c>
    </row>
    <row r="1564" spans="1:32" ht="12.75">
      <c r="A1564" s="664"/>
      <c r="B1564" s="420"/>
      <c r="C1564" s="303"/>
      <c r="D1564" s="310"/>
      <c r="E1564" s="303"/>
      <c r="F1564" s="306"/>
      <c r="G1564" s="307"/>
      <c r="H1564" s="308"/>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row>
    <row r="1565" spans="1:32" ht="25.5">
      <c r="A1565" s="358" t="s">
        <v>14471</v>
      </c>
      <c r="B1565" s="359" t="s">
        <v>14472</v>
      </c>
      <c r="C1565" s="360" t="s">
        <v>15012</v>
      </c>
      <c r="D1565" s="274" t="s">
        <v>15013</v>
      </c>
      <c r="E1565" s="272" t="s">
        <v>409</v>
      </c>
      <c r="F1565" s="272"/>
      <c r="G1565" s="272"/>
      <c r="H1565" s="275">
        <f>TRUNC(SUM(H1567:H1572),2)</f>
        <v>518.91999999999996</v>
      </c>
      <c r="I1565" s="276">
        <f>COUNTIF($C$8:$C1565,C:C)</f>
        <v>1</v>
      </c>
      <c r="J1565" s="262"/>
      <c r="K1565" s="262"/>
      <c r="L1565" s="262"/>
      <c r="M1565" s="262"/>
      <c r="N1565" s="262"/>
      <c r="O1565" s="262"/>
      <c r="P1565" s="262"/>
      <c r="Q1565" s="262"/>
      <c r="R1565" s="262"/>
      <c r="S1565" s="262"/>
      <c r="T1565" s="262"/>
      <c r="U1565" s="262"/>
      <c r="V1565" s="262"/>
      <c r="W1565" s="262"/>
      <c r="X1565" s="262"/>
      <c r="Y1565" s="262"/>
      <c r="Z1565" s="262"/>
      <c r="AA1565" s="262"/>
      <c r="AB1565" s="262"/>
    </row>
    <row r="1566" spans="1:32" ht="12.75">
      <c r="A1566" s="277" t="s">
        <v>14475</v>
      </c>
      <c r="B1566" s="488" t="s">
        <v>14600</v>
      </c>
      <c r="C1566" s="489">
        <v>12710</v>
      </c>
      <c r="D1566" s="490" t="s">
        <v>14567</v>
      </c>
      <c r="E1566" s="606"/>
      <c r="F1566" s="282"/>
      <c r="G1566" s="492"/>
      <c r="H1566" s="493"/>
      <c r="I1566" s="262"/>
      <c r="J1566" s="262"/>
      <c r="K1566" s="262"/>
      <c r="L1566" s="262"/>
      <c r="M1566" s="262"/>
      <c r="N1566" s="262"/>
      <c r="O1566" s="262"/>
      <c r="P1566" s="262"/>
      <c r="Q1566" s="262"/>
      <c r="R1566" s="262"/>
      <c r="S1566" s="262"/>
      <c r="T1566" s="262"/>
      <c r="U1566" s="262"/>
      <c r="V1566" s="262"/>
      <c r="W1566" s="262"/>
      <c r="X1566" s="262"/>
      <c r="Y1566" s="262"/>
      <c r="Z1566" s="262"/>
      <c r="AA1566" s="262"/>
      <c r="AB1566" s="262"/>
    </row>
    <row r="1567" spans="1:32" ht="25.5">
      <c r="A1567" s="372" t="s">
        <v>14478</v>
      </c>
      <c r="B1567" s="421" t="s">
        <v>14476</v>
      </c>
      <c r="C1567" s="408">
        <v>88309</v>
      </c>
      <c r="D1567" s="288" t="str">
        <f>IFERROR(VLOOKUP($C1567,'24.08_ND'!$A:$D,2,0),)</f>
        <v>PEDREIRO COM ENCARGOS COMPLEMENTARES</v>
      </c>
      <c r="E1567" s="289" t="str">
        <f>IFERROR(VLOOKUP($C1567,'24.08_ND'!$A:$D,3,0),)</f>
        <v>H</v>
      </c>
      <c r="F1567" s="333">
        <v>0.8</v>
      </c>
      <c r="G1567" s="291">
        <f>IFERROR(VLOOKUP($C1567,'24.08_ND'!$A:$D,4,0),)</f>
        <v>23.33</v>
      </c>
      <c r="H1567" s="292">
        <f t="shared" ref="H1567:H1572" si="63">TRUNC(($F1567*$G1567),2)</f>
        <v>18.66</v>
      </c>
      <c r="I1567" s="262"/>
      <c r="J1567" s="262"/>
      <c r="K1567" s="262"/>
      <c r="L1567" s="262"/>
      <c r="M1567" s="262"/>
      <c r="N1567" s="262"/>
      <c r="O1567" s="262"/>
      <c r="P1567" s="262"/>
      <c r="Q1567" s="262"/>
      <c r="R1567" s="262"/>
      <c r="S1567" s="262"/>
      <c r="T1567" s="262"/>
      <c r="U1567" s="262"/>
      <c r="V1567" s="262"/>
      <c r="W1567" s="262"/>
      <c r="X1567" s="262"/>
      <c r="Y1567" s="262"/>
      <c r="Z1567" s="262"/>
      <c r="AA1567" s="262"/>
      <c r="AB1567" s="262"/>
      <c r="AD1567" s="1791" t="e">
        <f>VLOOKUP(C1567,'Medição '!$B$16:$F$1833,6,0)</f>
        <v>#N/A</v>
      </c>
      <c r="AE1567" s="1791"/>
    </row>
    <row r="1568" spans="1:32" ht="25.5">
      <c r="A1568" s="372" t="s">
        <v>14478</v>
      </c>
      <c r="B1568" s="421" t="s">
        <v>14476</v>
      </c>
      <c r="C1568" s="408">
        <v>88316</v>
      </c>
      <c r="D1568" s="288" t="str">
        <f>IFERROR(VLOOKUP($C1568,'24.08_ND'!$A:$D,2,0),)</f>
        <v>SERVENTE COM ENCARGOS COMPLEMENTARES</v>
      </c>
      <c r="E1568" s="289" t="str">
        <f>IFERROR(VLOOKUP($C1568,'24.08_ND'!$A:$D,3,0),)</f>
        <v>H</v>
      </c>
      <c r="F1568" s="333">
        <v>0.8</v>
      </c>
      <c r="G1568" s="291">
        <f>IFERROR(VLOOKUP($C1568,'24.08_ND'!$A:$D,4,0),)</f>
        <v>18.510000000000002</v>
      </c>
      <c r="H1568" s="292">
        <f t="shared" si="63"/>
        <v>14.8</v>
      </c>
      <c r="I1568" s="262"/>
      <c r="J1568" s="262"/>
      <c r="K1568" s="262"/>
      <c r="L1568" s="262"/>
      <c r="M1568" s="262"/>
      <c r="N1568" s="262"/>
      <c r="O1568" s="262"/>
      <c r="P1568" s="262"/>
      <c r="Q1568" s="262"/>
      <c r="R1568" s="262"/>
      <c r="S1568" s="262"/>
      <c r="T1568" s="262"/>
      <c r="U1568" s="262"/>
      <c r="V1568" s="262"/>
      <c r="W1568" s="262"/>
      <c r="X1568" s="262"/>
      <c r="Y1568" s="262"/>
      <c r="Z1568" s="262"/>
      <c r="AA1568" s="262"/>
      <c r="AB1568" s="262"/>
      <c r="AD1568" s="1791" t="e">
        <f>VLOOKUP(C1568,'Medição '!$B$16:$F$1833,6,0)</f>
        <v>#N/A</v>
      </c>
      <c r="AE1568" s="1791"/>
    </row>
    <row r="1569" spans="1:32" ht="25.5">
      <c r="A1569" s="372" t="s">
        <v>14478</v>
      </c>
      <c r="B1569" s="421" t="s">
        <v>14476</v>
      </c>
      <c r="C1569" s="408">
        <v>88629</v>
      </c>
      <c r="D1569" s="288" t="str">
        <f>IFERROR(VLOOKUP($C1569,'24.08_ND'!$A:$D,2,0),)</f>
        <v>ARGAMASSA TRAÇO 1:3 (EM VOLUME DE CIMENTO E AREIA MÉDIA ÚMIDA), PREPARO MANUAL. AF_08/2019</v>
      </c>
      <c r="E1569" s="289" t="str">
        <f>IFERROR(VLOOKUP($C1569,'24.08_ND'!$A:$D,3,0),)</f>
        <v>M3</v>
      </c>
      <c r="F1569" s="333">
        <v>1.6E-2</v>
      </c>
      <c r="G1569" s="291">
        <f>IFERROR(VLOOKUP($C1569,'24.08_ND'!$A:$D,4,0),)</f>
        <v>648.55999999999995</v>
      </c>
      <c r="H1569" s="292">
        <f t="shared" si="63"/>
        <v>10.37</v>
      </c>
      <c r="I1569" s="262"/>
      <c r="J1569" s="262"/>
      <c r="K1569" s="262"/>
      <c r="L1569" s="262"/>
      <c r="M1569" s="262"/>
      <c r="N1569" s="262"/>
      <c r="O1569" s="262"/>
      <c r="P1569" s="262"/>
      <c r="Q1569" s="262"/>
      <c r="R1569" s="262"/>
      <c r="S1569" s="262"/>
      <c r="T1569" s="262"/>
      <c r="U1569" s="262"/>
      <c r="V1569" s="262"/>
      <c r="W1569" s="262"/>
      <c r="X1569" s="262"/>
      <c r="Y1569" s="262"/>
      <c r="Z1569" s="262"/>
      <c r="AA1569" s="262"/>
      <c r="AB1569" s="262"/>
      <c r="AD1569" s="1791" t="e">
        <f>VLOOKUP(C1569,'Medição '!$B$16:$F$1833,6,0)</f>
        <v>#N/A</v>
      </c>
      <c r="AE1569" s="1791"/>
    </row>
    <row r="1570" spans="1:32" ht="38.25">
      <c r="A1570" s="372" t="s">
        <v>14478</v>
      </c>
      <c r="B1570" s="421" t="s">
        <v>14476</v>
      </c>
      <c r="C1570" s="408">
        <v>100721</v>
      </c>
      <c r="D1570" s="288" t="str">
        <f>IFERROR(VLOOKUP($C1570,'24.08_ND'!$A:$D,2,0),)</f>
        <v>PINTURA COM TINTA ALQUÍDICA DE FUNDO (TIPO ZARCÃO) PULVERIZADA SOBRE SUPERFÍCIES METÁLICAS (EXCETO PERFIL) EXECUTADO EM OBRA (POR DEMÃO). AF_01/2020_PE</v>
      </c>
      <c r="E1570" s="289" t="str">
        <f>IFERROR(VLOOKUP($C1570,'24.08_ND'!$A:$D,3,0),)</f>
        <v>M2</v>
      </c>
      <c r="F1570" s="333">
        <f>((1*2)+((1+1+1+1)*0.05)+((1+1+1)*0.2))*1</f>
        <v>2.8000000000000003</v>
      </c>
      <c r="G1570" s="291">
        <f>IFERROR(VLOOKUP($C1570,'24.08_ND'!$A:$D,4,0),)</f>
        <v>20.97</v>
      </c>
      <c r="H1570" s="292">
        <f t="shared" si="63"/>
        <v>58.71</v>
      </c>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D1570" s="1791" t="e">
        <f>VLOOKUP(C1570,'Medição '!$B$16:$F$1833,6,0)</f>
        <v>#REF!</v>
      </c>
      <c r="AE1570" s="1791"/>
    </row>
    <row r="1571" spans="1:32" ht="38.25">
      <c r="A1571" s="372" t="s">
        <v>14478</v>
      </c>
      <c r="B1571" s="421" t="s">
        <v>14476</v>
      </c>
      <c r="C1571" s="408">
        <v>100761</v>
      </c>
      <c r="D1571" s="288" t="str">
        <f>IFERROR(VLOOKUP($C1571,'24.08_ND'!$A:$D,2,0),)</f>
        <v>PINTURA COM TINTA ALQUÍDICA DE ACABAMENTO (ESMALTE SINTÉTICO FOSCO) PULVERIZADA SOBRE SUPERFÍCIES METÁLICAS (EXCETO PERFIL) EXECUTADO EM OBRA (02 DEMÃOS). AF_01/2020_PE</v>
      </c>
      <c r="E1571" s="289" t="str">
        <f>IFERROR(VLOOKUP($C1571,'24.08_ND'!$A:$D,3,0),)</f>
        <v>M2</v>
      </c>
      <c r="F1571" s="333">
        <f>F1570</f>
        <v>2.8000000000000003</v>
      </c>
      <c r="G1571" s="291">
        <f>IFERROR(VLOOKUP($C1571,'24.08_ND'!$A:$D,4,0),)</f>
        <v>41.11</v>
      </c>
      <c r="H1571" s="292">
        <f t="shared" si="63"/>
        <v>115.1</v>
      </c>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D1571" s="1791" t="e">
        <f>VLOOKUP(C1571,'Medição '!$B$16:$F$1833,6,0)</f>
        <v>#REF!</v>
      </c>
      <c r="AE1571" s="1791"/>
    </row>
    <row r="1572" spans="1:32" ht="25.5">
      <c r="A1572" s="590" t="s">
        <v>14479</v>
      </c>
      <c r="B1572" s="312" t="str">
        <f>VLOOKUP($C1572,'• CIs EXT'!$A:$E,2,0)</f>
        <v>ORSE</v>
      </c>
      <c r="C1572" s="377">
        <v>13470</v>
      </c>
      <c r="D1572" s="378" t="str">
        <f>VLOOKUP($C1572,'• CIs EXT'!$A:$E,3,0)</f>
        <v>PORTA DE ENROLAR, EM PERFIL MEIA CANA FECHADO EM CHAPA DE AÇO GALVANIZADO N°22</v>
      </c>
      <c r="E1572" s="379" t="str">
        <f>VLOOKUP($C1572,'• CIs EXT'!$A:$E,4,0)</f>
        <v>M2</v>
      </c>
      <c r="F1572" s="380">
        <v>1.05</v>
      </c>
      <c r="G1572" s="379">
        <f>VLOOKUP($C1572,'• CIs EXT'!$A:$E,5,0)</f>
        <v>286.94</v>
      </c>
      <c r="H1572" s="381">
        <f t="shared" si="63"/>
        <v>301.27999999999997</v>
      </c>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row>
    <row r="1573" spans="1:32" ht="12.75">
      <c r="A1573" s="309"/>
      <c r="B1573" s="303"/>
      <c r="C1573" s="303"/>
      <c r="D1573" s="310"/>
      <c r="E1573" s="303"/>
      <c r="F1573" s="306"/>
      <c r="G1573" s="307"/>
      <c r="H1573" s="308"/>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row>
    <row r="1574" spans="1:32" ht="25.5">
      <c r="A1574" s="358" t="s">
        <v>14471</v>
      </c>
      <c r="B1574" s="359" t="s">
        <v>14472</v>
      </c>
      <c r="C1574" s="360" t="s">
        <v>15014</v>
      </c>
      <c r="D1574" s="274" t="s">
        <v>15015</v>
      </c>
      <c r="E1574" s="272" t="s">
        <v>409</v>
      </c>
      <c r="F1574" s="272"/>
      <c r="G1574" s="272"/>
      <c r="H1574" s="275">
        <f>TRUNC(SUM(H1576:H1581),2)</f>
        <v>1416.63</v>
      </c>
      <c r="I1574" s="276">
        <f>COUNTIF($C$8:$C1574,C:C)</f>
        <v>1</v>
      </c>
      <c r="J1574" s="262"/>
      <c r="K1574" s="262"/>
      <c r="L1574" s="262"/>
      <c r="M1574" s="262"/>
      <c r="N1574" s="262"/>
      <c r="O1574" s="262"/>
      <c r="P1574" s="262"/>
      <c r="Q1574" s="262"/>
      <c r="R1574" s="262"/>
      <c r="S1574" s="262"/>
      <c r="T1574" s="262"/>
      <c r="U1574" s="262"/>
      <c r="V1574" s="262"/>
      <c r="W1574" s="262"/>
      <c r="X1574" s="262"/>
      <c r="Y1574" s="262"/>
      <c r="Z1574" s="262"/>
      <c r="AA1574" s="262"/>
      <c r="AB1574" s="262"/>
    </row>
    <row r="1575" spans="1:32" ht="12.75">
      <c r="A1575" s="277" t="s">
        <v>14475</v>
      </c>
      <c r="B1575" s="488" t="s">
        <v>14600</v>
      </c>
      <c r="C1575" s="489">
        <v>94559</v>
      </c>
      <c r="D1575" s="490" t="s">
        <v>14567</v>
      </c>
      <c r="E1575" s="606"/>
      <c r="F1575" s="282"/>
      <c r="G1575" s="492"/>
      <c r="H1575" s="493"/>
      <c r="I1575" s="262"/>
      <c r="J1575" s="262"/>
      <c r="K1575" s="262"/>
      <c r="L1575" s="262"/>
      <c r="M1575" s="262"/>
      <c r="N1575" s="262"/>
      <c r="O1575" s="262"/>
      <c r="P1575" s="262"/>
      <c r="Q1575" s="262"/>
      <c r="R1575" s="262"/>
      <c r="S1575" s="262"/>
      <c r="T1575" s="262"/>
      <c r="U1575" s="262"/>
      <c r="V1575" s="262"/>
      <c r="W1575" s="262"/>
      <c r="X1575" s="262"/>
      <c r="Y1575" s="262"/>
      <c r="Z1575" s="262"/>
      <c r="AA1575" s="262"/>
      <c r="AB1575" s="262"/>
    </row>
    <row r="1576" spans="1:32" ht="25.5">
      <c r="A1576" s="372" t="s">
        <v>14478</v>
      </c>
      <c r="B1576" s="421" t="s">
        <v>14476</v>
      </c>
      <c r="C1576" s="408">
        <v>88325</v>
      </c>
      <c r="D1576" s="288" t="str">
        <f>IFERROR(VLOOKUP($C1576,'24.08_ND'!$A:$D,2,0),)</f>
        <v>VIDRACEIRO COM ENCARGOS COMPLEMENTARES</v>
      </c>
      <c r="E1576" s="289" t="str">
        <f>IFERROR(VLOOKUP($C1576,'24.08_ND'!$A:$D,3,0),)</f>
        <v>H</v>
      </c>
      <c r="F1576" s="333">
        <v>2</v>
      </c>
      <c r="G1576" s="291">
        <f>IFERROR(VLOOKUP($C1576,'24.08_ND'!$A:$D,4,0),)</f>
        <v>20.67</v>
      </c>
      <c r="H1576" s="292">
        <f t="shared" ref="H1576:H1581" si="64">TRUNC(($F1576*$G1576),2)</f>
        <v>41.34</v>
      </c>
      <c r="I1576" s="262"/>
      <c r="J1576" s="262"/>
      <c r="K1576" s="262"/>
      <c r="L1576" s="262"/>
      <c r="M1576" s="262"/>
      <c r="N1576" s="262"/>
      <c r="O1576" s="262"/>
      <c r="P1576" s="262"/>
      <c r="Q1576" s="262"/>
      <c r="R1576" s="262"/>
      <c r="S1576" s="262"/>
      <c r="T1576" s="262"/>
      <c r="U1576" s="262"/>
      <c r="V1576" s="262"/>
      <c r="W1576" s="262"/>
      <c r="X1576" s="262"/>
      <c r="Y1576" s="262"/>
      <c r="Z1576" s="262"/>
      <c r="AA1576" s="262"/>
      <c r="AB1576" s="262"/>
      <c r="AD1576" s="1791" t="e">
        <f>VLOOKUP(C1576,'Medição '!$B$16:$F$1833,6,0)</f>
        <v>#N/A</v>
      </c>
      <c r="AE1576" s="1791"/>
    </row>
    <row r="1577" spans="1:32" ht="25.5">
      <c r="A1577" s="372" t="s">
        <v>14478</v>
      </c>
      <c r="B1577" s="421" t="s">
        <v>14476</v>
      </c>
      <c r="C1577" s="408">
        <v>88316</v>
      </c>
      <c r="D1577" s="288" t="str">
        <f>IFERROR(VLOOKUP($C1577,'24.08_ND'!$A:$D,2,0),)</f>
        <v>SERVENTE COM ENCARGOS COMPLEMENTARES</v>
      </c>
      <c r="E1577" s="289" t="str">
        <f>IFERROR(VLOOKUP($C1577,'24.08_ND'!$A:$D,3,0),)</f>
        <v>H</v>
      </c>
      <c r="F1577" s="333">
        <v>1.5</v>
      </c>
      <c r="G1577" s="291">
        <f>IFERROR(VLOOKUP($C1577,'24.08_ND'!$A:$D,4,0),)</f>
        <v>18.510000000000002</v>
      </c>
      <c r="H1577" s="292">
        <f t="shared" si="64"/>
        <v>27.76</v>
      </c>
      <c r="I1577" s="262"/>
      <c r="J1577" s="262"/>
      <c r="K1577" s="262"/>
      <c r="L1577" s="262"/>
      <c r="M1577" s="262"/>
      <c r="N1577" s="262"/>
      <c r="O1577" s="262"/>
      <c r="P1577" s="262"/>
      <c r="Q1577" s="262"/>
      <c r="R1577" s="262"/>
      <c r="S1577" s="262"/>
      <c r="T1577" s="262"/>
      <c r="U1577" s="262"/>
      <c r="V1577" s="262"/>
      <c r="W1577" s="262"/>
      <c r="X1577" s="262"/>
      <c r="Y1577" s="262"/>
      <c r="Z1577" s="262"/>
      <c r="AA1577" s="262"/>
      <c r="AB1577" s="262"/>
      <c r="AD1577" s="1791" t="e">
        <f>VLOOKUP(C1577,'Medição '!$B$16:$F$1833,6,0)</f>
        <v>#N/A</v>
      </c>
      <c r="AE1577" s="1791"/>
    </row>
    <row r="1578" spans="1:32" ht="25.5">
      <c r="A1578" s="372" t="s">
        <v>14478</v>
      </c>
      <c r="B1578" s="421" t="s">
        <v>14476</v>
      </c>
      <c r="C1578" s="408">
        <v>102162</v>
      </c>
      <c r="D1578" s="288" t="str">
        <f>IFERROR(VLOOKUP($C1578,'24.08_ND'!$A:$D,2,0),)</f>
        <v>INSTALAÇÃO DE VIDRO LISO INCOLOR, E = 4 MM, EM ESQUADRIA DE ALUMÍNIO OU PVC, FIXADO COM BAGUETE. AF_01/2021_PS</v>
      </c>
      <c r="E1578" s="289" t="str">
        <f>IFERROR(VLOOKUP($C1578,'24.08_ND'!$A:$D,3,0),)</f>
        <v>M2</v>
      </c>
      <c r="F1578" s="333">
        <v>1</v>
      </c>
      <c r="G1578" s="291">
        <f>IFERROR(VLOOKUP($C1578,'24.08_ND'!$A:$D,4,0),)</f>
        <v>299.87</v>
      </c>
      <c r="H1578" s="292">
        <f t="shared" si="64"/>
        <v>299.87</v>
      </c>
      <c r="I1578" s="262"/>
      <c r="J1578" s="262"/>
      <c r="K1578" s="262"/>
      <c r="L1578" s="262"/>
      <c r="M1578" s="262"/>
      <c r="N1578" s="262"/>
      <c r="O1578" s="262"/>
      <c r="P1578" s="262"/>
      <c r="Q1578" s="262"/>
      <c r="R1578" s="262"/>
      <c r="S1578" s="262"/>
      <c r="T1578" s="262"/>
      <c r="U1578" s="262"/>
      <c r="V1578" s="262"/>
      <c r="W1578" s="262"/>
      <c r="X1578" s="262"/>
      <c r="Y1578" s="262"/>
      <c r="Z1578" s="262"/>
      <c r="AA1578" s="262"/>
      <c r="AB1578" s="262"/>
      <c r="AD1578" s="1791" t="e">
        <f>VLOOKUP(C1578,'Medição '!$B$16:$F$1833,6,0)</f>
        <v>#N/A</v>
      </c>
      <c r="AE1578" s="1791"/>
    </row>
    <row r="1579" spans="1:32" ht="25.5">
      <c r="A1579" s="445" t="s">
        <v>14479</v>
      </c>
      <c r="B1579" s="446" t="s">
        <v>14476</v>
      </c>
      <c r="C1579" s="348">
        <v>142</v>
      </c>
      <c r="D1579" s="296" t="str">
        <f>IFERROR(VLOOKUP($C1579,'24.08_ND'!$A:$D,2,0),)</f>
        <v>SELANTE ELASTICO MONOCOMPONENTE A BASE DE POLIURETANO (PU) PARA JUNTAS DIVERSAS</v>
      </c>
      <c r="E1579" s="297" t="str">
        <f>IFERROR(VLOOKUP($C1579,'24.08_ND'!$A:$D,3,0),)</f>
        <v>310ML</v>
      </c>
      <c r="F1579" s="334">
        <v>0.88290000000000002</v>
      </c>
      <c r="G1579" s="299">
        <f>IFERROR(VLOOKUP($C1579,'24.08_ND'!$A:$D,4,0),)</f>
        <v>34.200000000000003</v>
      </c>
      <c r="H1579" s="300">
        <f t="shared" si="64"/>
        <v>30.19</v>
      </c>
      <c r="I1579" s="262"/>
      <c r="J1579" s="262"/>
      <c r="K1579" s="262"/>
      <c r="L1579" s="262"/>
      <c r="M1579" s="262"/>
      <c r="N1579" s="262"/>
      <c r="O1579" s="262"/>
      <c r="P1579" s="262"/>
      <c r="Q1579" s="262"/>
      <c r="R1579" s="262"/>
      <c r="S1579" s="262"/>
      <c r="T1579" s="262"/>
      <c r="U1579" s="262"/>
      <c r="V1579" s="262"/>
      <c r="W1579" s="262"/>
      <c r="X1579" s="262"/>
      <c r="Y1579" s="262"/>
      <c r="Z1579" s="262"/>
      <c r="AA1579" s="262"/>
      <c r="AB1579" s="262"/>
    </row>
    <row r="1580" spans="1:32" ht="25.5">
      <c r="A1580" s="445" t="s">
        <v>14479</v>
      </c>
      <c r="B1580" s="446" t="s">
        <v>14476</v>
      </c>
      <c r="C1580" s="348">
        <v>7583</v>
      </c>
      <c r="D1580" s="296" t="str">
        <f>IFERROR(VLOOKUP($C1580,'24.08_ND'!$A:$D,2,0),)</f>
        <v>BUCHA DE NYLON SEM ABA S8, COM PARAFUSO DE 4,80 X 50 MM EM ACO ZINCADO COM ROSCA SOBERBA, CABECA CHATA E FENDA PHILLIPS</v>
      </c>
      <c r="E1580" s="297" t="str">
        <f>IFERROR(VLOOKUP($C1580,'24.08_ND'!$A:$D,3,0),)</f>
        <v>UN</v>
      </c>
      <c r="F1580" s="334">
        <v>3</v>
      </c>
      <c r="G1580" s="299">
        <f>IFERROR(VLOOKUP($C1580,'24.08_ND'!$A:$D,4,0),)</f>
        <v>0.45</v>
      </c>
      <c r="H1580" s="300">
        <f t="shared" si="64"/>
        <v>1.35</v>
      </c>
      <c r="I1580" s="262"/>
      <c r="J1580" s="262"/>
      <c r="K1580" s="262"/>
      <c r="L1580" s="262"/>
      <c r="M1580" s="262"/>
      <c r="N1580" s="262"/>
      <c r="O1580" s="262"/>
      <c r="P1580" s="262"/>
      <c r="Q1580" s="262"/>
      <c r="R1580" s="262"/>
      <c r="S1580" s="262"/>
      <c r="T1580" s="262"/>
      <c r="U1580" s="262"/>
      <c r="V1580" s="262"/>
      <c r="W1580" s="262"/>
      <c r="X1580" s="262"/>
      <c r="Y1580" s="262"/>
      <c r="Z1580" s="262"/>
      <c r="AA1580" s="262"/>
      <c r="AB1580" s="262"/>
    </row>
    <row r="1581" spans="1:32" ht="38.25">
      <c r="A1581" s="590" t="s">
        <v>14479</v>
      </c>
      <c r="B1581" s="312" t="str">
        <f>VLOOKUP($C1581,'• CIs EXT'!$A:$E,2,0)</f>
        <v>CPOS/CDHU</v>
      </c>
      <c r="C1581" s="377" t="s">
        <v>15016</v>
      </c>
      <c r="D1581" s="378" t="str">
        <f>VLOOKUP($C1581,'• CIs EXT'!$A:$E,3,0)</f>
        <v>CAIXILHO MAXIM-AR EM ALUMÍNIO ANODIZADO, NAS CORES BRONZE/PRETO, LINHA 30 - SEM VIDRO</v>
      </c>
      <c r="E1581" s="379" t="str">
        <f>VLOOKUP($C1581,'• CIs EXT'!$A:$E,4,0)</f>
        <v>M2</v>
      </c>
      <c r="F1581" s="380">
        <v>1</v>
      </c>
      <c r="G1581" s="379">
        <f>VLOOKUP($C1581,'• CIs EXT'!$A:$E,5,0)</f>
        <v>1016.12</v>
      </c>
      <c r="H1581" s="381">
        <f t="shared" si="64"/>
        <v>1016.12</v>
      </c>
      <c r="I1581" s="262"/>
      <c r="J1581" s="262"/>
      <c r="K1581" s="262"/>
      <c r="L1581" s="262"/>
      <c r="M1581" s="262"/>
      <c r="N1581" s="262"/>
      <c r="O1581" s="262"/>
      <c r="P1581" s="262"/>
      <c r="Q1581" s="262"/>
      <c r="R1581" s="262"/>
      <c r="S1581" s="262"/>
      <c r="T1581" s="262"/>
      <c r="U1581" s="262"/>
      <c r="V1581" s="262"/>
      <c r="W1581" s="262"/>
      <c r="X1581" s="262"/>
      <c r="Y1581" s="262"/>
      <c r="Z1581" s="262"/>
      <c r="AA1581" s="262"/>
      <c r="AB1581" s="262"/>
      <c r="AE1581">
        <v>0.48</v>
      </c>
      <c r="AF1581" s="1790">
        <f>H1581*AE1581</f>
        <v>487.73759999999999</v>
      </c>
    </row>
    <row r="1582" spans="1:32" ht="12.75">
      <c r="A1582" s="309"/>
      <c r="B1582" s="303"/>
      <c r="C1582" s="303"/>
      <c r="D1582" s="310"/>
      <c r="E1582" s="303"/>
      <c r="F1582" s="306"/>
      <c r="G1582" s="307"/>
      <c r="H1582" s="308"/>
      <c r="I1582" s="262"/>
      <c r="J1582" s="262"/>
      <c r="K1582" s="262"/>
      <c r="L1582" s="262"/>
      <c r="M1582" s="262"/>
      <c r="N1582" s="262"/>
      <c r="O1582" s="262"/>
      <c r="P1582" s="262"/>
      <c r="Q1582" s="262"/>
      <c r="R1582" s="262"/>
      <c r="S1582" s="262"/>
      <c r="T1582" s="262"/>
      <c r="U1582" s="262"/>
      <c r="V1582" s="262"/>
      <c r="W1582" s="262"/>
      <c r="X1582" s="262"/>
      <c r="Y1582" s="262"/>
      <c r="Z1582" s="262"/>
      <c r="AA1582" s="262"/>
      <c r="AB1582" s="262"/>
    </row>
    <row r="1583" spans="1:32" ht="12.75">
      <c r="A1583" s="358" t="s">
        <v>14471</v>
      </c>
      <c r="B1583" s="359" t="s">
        <v>14472</v>
      </c>
      <c r="C1583" s="360" t="s">
        <v>15017</v>
      </c>
      <c r="D1583" s="274" t="s">
        <v>15018</v>
      </c>
      <c r="E1583" s="272" t="s">
        <v>409</v>
      </c>
      <c r="F1583" s="272"/>
      <c r="G1583" s="272"/>
      <c r="H1583" s="275">
        <f>TRUNC(SUM(H1584:H1586),2)</f>
        <v>583.52</v>
      </c>
      <c r="I1583" s="276">
        <f>COUNTIF($C$8:$C1583,C:C)</f>
        <v>1</v>
      </c>
      <c r="J1583" s="262"/>
      <c r="K1583" s="262"/>
      <c r="L1583" s="262"/>
      <c r="M1583" s="262"/>
      <c r="N1583" s="262"/>
      <c r="O1583" s="262"/>
      <c r="P1583" s="262"/>
      <c r="Q1583" s="262"/>
      <c r="R1583" s="262"/>
      <c r="S1583" s="262"/>
      <c r="T1583" s="262"/>
      <c r="U1583" s="262"/>
      <c r="V1583" s="262"/>
      <c r="W1583" s="262"/>
      <c r="X1583" s="262"/>
      <c r="Y1583" s="262"/>
      <c r="Z1583" s="262"/>
      <c r="AA1583" s="262"/>
      <c r="AB1583" s="262"/>
    </row>
    <row r="1584" spans="1:32" ht="25.5">
      <c r="A1584" s="285" t="s">
        <v>14478</v>
      </c>
      <c r="B1584" s="407" t="s">
        <v>14476</v>
      </c>
      <c r="C1584" s="408">
        <v>88251</v>
      </c>
      <c r="D1584" s="288" t="str">
        <f>IFERROR(VLOOKUP($C1584,'24.08_ND'!$A:$D,2,0),)</f>
        <v>AUXILIAR DE SERRALHEIRO COM ENCARGOS COMPLEMENTARES</v>
      </c>
      <c r="E1584" s="289" t="str">
        <f>IFERROR(VLOOKUP($C1584,'24.08_ND'!$A:$D,3,0),)</f>
        <v>H</v>
      </c>
      <c r="F1584" s="290">
        <v>1</v>
      </c>
      <c r="G1584" s="291">
        <f>IFERROR(VLOOKUP($C1584,'24.08_ND'!$A:$D,4,0),)</f>
        <v>19.579999999999998</v>
      </c>
      <c r="H1584" s="292">
        <f>TRUNC(($F1584*$G1584),2)</f>
        <v>19.579999999999998</v>
      </c>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D1584" s="1791" t="e">
        <f>VLOOKUP(C1584,'Medição '!$B$16:$F$1833,6,0)</f>
        <v>#N/A</v>
      </c>
      <c r="AE1584" s="1791"/>
    </row>
    <row r="1585" spans="1:31" ht="25.5">
      <c r="A1585" s="285" t="s">
        <v>14478</v>
      </c>
      <c r="B1585" s="407" t="s">
        <v>14476</v>
      </c>
      <c r="C1585" s="408">
        <v>88315</v>
      </c>
      <c r="D1585" s="288" t="str">
        <f>IFERROR(VLOOKUP($C1585,'24.08_ND'!$A:$D,2,0),)</f>
        <v>SERRALHEIRO COM ENCARGOS COMPLEMENTARES</v>
      </c>
      <c r="E1585" s="289" t="str">
        <f>IFERROR(VLOOKUP($C1585,'24.08_ND'!$A:$D,3,0),)</f>
        <v>H</v>
      </c>
      <c r="F1585" s="290">
        <v>0.4</v>
      </c>
      <c r="G1585" s="291">
        <f>IFERROR(VLOOKUP($C1585,'24.08_ND'!$A:$D,4,0),)</f>
        <v>23.13</v>
      </c>
      <c r="H1585" s="292">
        <f>TRUNC(($F1585*$G1585),2)</f>
        <v>9.25</v>
      </c>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D1585" s="1791" t="e">
        <f>VLOOKUP(C1585,'Medição '!$B$16:$F$1833,6,0)</f>
        <v>#N/A</v>
      </c>
      <c r="AE1585" s="1791"/>
    </row>
    <row r="1586" spans="1:31" ht="12.75">
      <c r="A1586" s="319" t="s">
        <v>14479</v>
      </c>
      <c r="B1586" s="320" t="s">
        <v>14491</v>
      </c>
      <c r="C1586" s="478" t="s">
        <v>15019</v>
      </c>
      <c r="D1586" s="321" t="str">
        <f>VLOOKUP($C1586,'09 - MC'!$A:$F,2,0)</f>
        <v>TOLDO BRAÇO ARTICULADO</v>
      </c>
      <c r="E1586" s="322" t="str">
        <f>VLOOKUP($C1586,'09 - MC'!$A:$F,3,0)</f>
        <v>M2</v>
      </c>
      <c r="F1586" s="670">
        <v>1</v>
      </c>
      <c r="G1586" s="324">
        <f>VLOOKUP($C1586,'09 - MC'!$A:$F,6,0)</f>
        <v>554.69000000000005</v>
      </c>
      <c r="H1586" s="325">
        <f>TRUNC(G1586*F1586,2)</f>
        <v>554.69000000000005</v>
      </c>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row>
    <row r="1587" spans="1:31" ht="12.75">
      <c r="A1587" s="309"/>
      <c r="B1587" s="303"/>
      <c r="C1587" s="303"/>
      <c r="D1587" s="310"/>
      <c r="E1587" s="303"/>
      <c r="F1587" s="306"/>
      <c r="G1587" s="307"/>
      <c r="H1587" s="308"/>
      <c r="I1587" s="262"/>
      <c r="J1587" s="262"/>
      <c r="K1587" s="262"/>
      <c r="L1587" s="262"/>
      <c r="M1587" s="262"/>
      <c r="N1587" s="262"/>
      <c r="O1587" s="262"/>
      <c r="P1587" s="262"/>
      <c r="Q1587" s="262"/>
      <c r="R1587" s="262"/>
      <c r="S1587" s="262"/>
      <c r="T1587" s="262"/>
      <c r="U1587" s="262"/>
      <c r="V1587" s="262"/>
      <c r="W1587" s="262"/>
      <c r="X1587" s="262"/>
      <c r="Y1587" s="262"/>
      <c r="Z1587" s="262"/>
      <c r="AA1587" s="262"/>
      <c r="AB1587" s="262"/>
    </row>
    <row r="1588" spans="1:31" ht="38.25">
      <c r="A1588" s="671" t="s">
        <v>14471</v>
      </c>
      <c r="B1588" s="672" t="s">
        <v>14472</v>
      </c>
      <c r="C1588" s="360" t="s">
        <v>15020</v>
      </c>
      <c r="D1588" s="673" t="s">
        <v>15021</v>
      </c>
      <c r="E1588" s="672" t="s">
        <v>409</v>
      </c>
      <c r="F1588" s="672"/>
      <c r="G1588" s="672"/>
      <c r="H1588" s="674">
        <f>TRUNC(SUM(H1590:H1597),2)</f>
        <v>748.16</v>
      </c>
      <c r="I1588" s="276">
        <f>COUNTIF($C$8:$C1588,C:C)</f>
        <v>1</v>
      </c>
      <c r="J1588" s="262"/>
      <c r="K1588" s="262"/>
      <c r="L1588" s="262"/>
      <c r="M1588" s="262"/>
      <c r="N1588" s="262"/>
      <c r="O1588" s="262"/>
      <c r="P1588" s="262"/>
      <c r="Q1588" s="262"/>
      <c r="R1588" s="262"/>
      <c r="S1588" s="262"/>
      <c r="T1588" s="262"/>
      <c r="U1588" s="262"/>
      <c r="V1588" s="262"/>
      <c r="W1588" s="262"/>
      <c r="X1588" s="262"/>
      <c r="Y1588" s="262"/>
      <c r="Z1588" s="262"/>
      <c r="AA1588" s="262"/>
      <c r="AB1588" s="262"/>
    </row>
    <row r="1589" spans="1:31" ht="12.75">
      <c r="A1589" s="277" t="s">
        <v>14475</v>
      </c>
      <c r="B1589" s="563" t="s">
        <v>14476</v>
      </c>
      <c r="C1589" s="489">
        <v>94229</v>
      </c>
      <c r="D1589" s="490" t="s">
        <v>14587</v>
      </c>
      <c r="E1589" s="567"/>
      <c r="F1589" s="306"/>
      <c r="G1589" s="570"/>
      <c r="H1589" s="571"/>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row>
    <row r="1590" spans="1:31" ht="25.5">
      <c r="A1590" s="285" t="s">
        <v>14478</v>
      </c>
      <c r="B1590" s="407" t="s">
        <v>14476</v>
      </c>
      <c r="C1590" s="408">
        <v>93282</v>
      </c>
      <c r="D1590" s="288" t="str">
        <f>IFERROR(VLOOKUP($C1590,'24.08_ND'!$A:$D,2,0),)</f>
        <v>GUINCHO ELÉTRICO DE COLUNA, CAPACIDADE 400 KG, COM MOTO FREIO, MOTOR TRIFÁSICO DE 1,25 CV - CHI DIURNO. AF_03/2016</v>
      </c>
      <c r="E1590" s="289" t="str">
        <f>IFERROR(VLOOKUP($C1590,'24.08_ND'!$A:$D,3,0),)</f>
        <v>CHI</v>
      </c>
      <c r="F1590" s="290">
        <v>3.4299999999999997E-2</v>
      </c>
      <c r="G1590" s="291">
        <f>IFERROR(VLOOKUP($C1590,'24.08_ND'!$A:$D,4,0),)</f>
        <v>19.440000000000001</v>
      </c>
      <c r="H1590" s="292">
        <f t="shared" ref="H1590:H1597" si="65">TRUNC(($F1590*$G1590),2)</f>
        <v>0.66</v>
      </c>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D1590" s="1791" t="e">
        <f>VLOOKUP(C1590,'Medição '!$B$16:$F$1833,6,0)</f>
        <v>#N/A</v>
      </c>
      <c r="AE1590" s="1791"/>
    </row>
    <row r="1591" spans="1:31" ht="25.5">
      <c r="A1591" s="285" t="s">
        <v>14478</v>
      </c>
      <c r="B1591" s="407" t="s">
        <v>14476</v>
      </c>
      <c r="C1591" s="408">
        <v>93281</v>
      </c>
      <c r="D1591" s="288" t="str">
        <f>IFERROR(VLOOKUP($C1591,'24.08_ND'!$A:$D,2,0),)</f>
        <v>GUINCHO ELÉTRICO DE COLUNA, CAPACIDADE 400 KG, COM MOTO FREIO, MOTOR TRIFÁSICO DE 1,25 CV - CHP DIURNO. AF_03/2016</v>
      </c>
      <c r="E1591" s="289" t="str">
        <f>IFERROR(VLOOKUP($C1591,'24.08_ND'!$A:$D,3,0),)</f>
        <v>CHP</v>
      </c>
      <c r="F1591" s="290">
        <v>2.4199999999999999E-2</v>
      </c>
      <c r="G1591" s="291">
        <f>IFERROR(VLOOKUP($C1591,'24.08_ND'!$A:$D,4,0),)</f>
        <v>20.420000000000002</v>
      </c>
      <c r="H1591" s="292">
        <f t="shared" si="65"/>
        <v>0.49</v>
      </c>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D1591" s="1791" t="e">
        <f>VLOOKUP(C1591,'Medição '!$B$16:$F$1833,6,0)</f>
        <v>#N/A</v>
      </c>
      <c r="AE1591" s="1791"/>
    </row>
    <row r="1592" spans="1:31" ht="38.25">
      <c r="A1592" s="372" t="s">
        <v>14478</v>
      </c>
      <c r="B1592" s="421" t="s">
        <v>14476</v>
      </c>
      <c r="C1592" s="408">
        <v>100721</v>
      </c>
      <c r="D1592" s="288" t="str">
        <f>IFERROR(VLOOKUP($C1592,'24.08_ND'!$A:$D,2,0),)</f>
        <v>PINTURA COM TINTA ALQUÍDICA DE FUNDO (TIPO ZARCÃO) PULVERIZADA SOBRE SUPERFÍCIES METÁLICAS (EXCETO PERFIL) EXECUTADO EM OBRA (POR DEMÃO). AF_01/2020_PE</v>
      </c>
      <c r="E1592" s="289" t="str">
        <f>IFERROR(VLOOKUP($C1592,'24.08_ND'!$A:$D,3,0),)</f>
        <v>M2</v>
      </c>
      <c r="F1592" s="333">
        <v>2</v>
      </c>
      <c r="G1592" s="291">
        <f>IFERROR(VLOOKUP($C1592,'24.08_ND'!$A:$D,4,0),)</f>
        <v>20.97</v>
      </c>
      <c r="H1592" s="292">
        <f t="shared" si="65"/>
        <v>41.94</v>
      </c>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D1592" s="1791" t="e">
        <f>VLOOKUP(C1592,'Medição '!$B$16:$F$1833,6,0)</f>
        <v>#REF!</v>
      </c>
      <c r="AE1592" s="1791"/>
    </row>
    <row r="1593" spans="1:31" ht="38.25">
      <c r="A1593" s="372" t="s">
        <v>14478</v>
      </c>
      <c r="B1593" s="421" t="s">
        <v>14476</v>
      </c>
      <c r="C1593" s="408">
        <v>100761</v>
      </c>
      <c r="D1593" s="288" t="str">
        <f>IFERROR(VLOOKUP($C1593,'24.08_ND'!$A:$D,2,0),)</f>
        <v>PINTURA COM TINTA ALQUÍDICA DE ACABAMENTO (ESMALTE SINTÉTICO FOSCO) PULVERIZADA SOBRE SUPERFÍCIES METÁLICAS (EXCETO PERFIL) EXECUTADO EM OBRA (02 DEMÃOS). AF_01/2020_PE</v>
      </c>
      <c r="E1593" s="289" t="str">
        <f>IFERROR(VLOOKUP($C1593,'24.08_ND'!$A:$D,3,0),)</f>
        <v>M2</v>
      </c>
      <c r="F1593" s="333">
        <v>2</v>
      </c>
      <c r="G1593" s="291">
        <f>IFERROR(VLOOKUP($C1593,'24.08_ND'!$A:$D,4,0),)</f>
        <v>41.11</v>
      </c>
      <c r="H1593" s="292">
        <f t="shared" si="65"/>
        <v>82.22</v>
      </c>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D1593" s="1791" t="e">
        <f>VLOOKUP(C1593,'Medição '!$B$16:$F$1833,6,0)</f>
        <v>#REF!</v>
      </c>
      <c r="AE1593" s="1791"/>
    </row>
    <row r="1594" spans="1:31" ht="25.5">
      <c r="A1594" s="285" t="s">
        <v>14478</v>
      </c>
      <c r="B1594" s="407" t="s">
        <v>14476</v>
      </c>
      <c r="C1594" s="408">
        <v>88251</v>
      </c>
      <c r="D1594" s="288" t="str">
        <f>IFERROR(VLOOKUP($C1594,'24.08_ND'!$A:$D,2,0),)</f>
        <v>AUXILIAR DE SERRALHEIRO COM ENCARGOS COMPLEMENTARES</v>
      </c>
      <c r="E1594" s="289" t="str">
        <f>IFERROR(VLOOKUP($C1594,'24.08_ND'!$A:$D,3,0),)</f>
        <v>H</v>
      </c>
      <c r="F1594" s="290">
        <v>8.5723000000000003</v>
      </c>
      <c r="G1594" s="291">
        <f>IFERROR(VLOOKUP($C1594,'24.08_ND'!$A:$D,4,0),)</f>
        <v>19.579999999999998</v>
      </c>
      <c r="H1594" s="292">
        <f t="shared" si="65"/>
        <v>167.84</v>
      </c>
      <c r="I1594" s="262"/>
      <c r="J1594" s="262"/>
      <c r="K1594" s="262"/>
      <c r="L1594" s="262"/>
      <c r="M1594" s="262"/>
      <c r="N1594" s="262"/>
      <c r="O1594" s="262"/>
      <c r="P1594" s="262"/>
      <c r="Q1594" s="262"/>
      <c r="R1594" s="262"/>
      <c r="S1594" s="262"/>
      <c r="T1594" s="262"/>
      <c r="U1594" s="262"/>
      <c r="V1594" s="262"/>
      <c r="W1594" s="262"/>
      <c r="X1594" s="262"/>
      <c r="Y1594" s="262"/>
      <c r="Z1594" s="262"/>
      <c r="AA1594" s="262"/>
      <c r="AB1594" s="262"/>
      <c r="AD1594" s="1791" t="e">
        <f>VLOOKUP(C1594,'Medição '!$B$16:$F$1833,6,0)</f>
        <v>#N/A</v>
      </c>
      <c r="AE1594" s="1791"/>
    </row>
    <row r="1595" spans="1:31" ht="25.5">
      <c r="A1595" s="285" t="s">
        <v>14478</v>
      </c>
      <c r="B1595" s="407" t="s">
        <v>14476</v>
      </c>
      <c r="C1595" s="408">
        <v>88315</v>
      </c>
      <c r="D1595" s="288" t="str">
        <f>IFERROR(VLOOKUP($C1595,'24.08_ND'!$A:$D,2,0),)</f>
        <v>SERRALHEIRO COM ENCARGOS COMPLEMENTARES</v>
      </c>
      <c r="E1595" s="289" t="str">
        <f>IFERROR(VLOOKUP($C1595,'24.08_ND'!$A:$D,3,0),)</f>
        <v>H</v>
      </c>
      <c r="F1595" s="290">
        <v>10.885</v>
      </c>
      <c r="G1595" s="291">
        <f>IFERROR(VLOOKUP($C1595,'24.08_ND'!$A:$D,4,0),)</f>
        <v>23.13</v>
      </c>
      <c r="H1595" s="292">
        <f t="shared" si="65"/>
        <v>251.77</v>
      </c>
      <c r="I1595" s="262"/>
      <c r="J1595" s="262"/>
      <c r="K1595" s="262"/>
      <c r="L1595" s="262"/>
      <c r="M1595" s="262"/>
      <c r="N1595" s="262"/>
      <c r="O1595" s="262"/>
      <c r="P1595" s="262"/>
      <c r="Q1595" s="262"/>
      <c r="R1595" s="262"/>
      <c r="S1595" s="262"/>
      <c r="T1595" s="262"/>
      <c r="U1595" s="262"/>
      <c r="V1595" s="262"/>
      <c r="W1595" s="262"/>
      <c r="X1595" s="262"/>
      <c r="Y1595" s="262"/>
      <c r="Z1595" s="262"/>
      <c r="AA1595" s="262"/>
      <c r="AB1595" s="262"/>
      <c r="AD1595" s="1791" t="e">
        <f>VLOOKUP(C1595,'Medição '!$B$16:$F$1833,6,0)</f>
        <v>#N/A</v>
      </c>
      <c r="AE1595" s="1791"/>
    </row>
    <row r="1596" spans="1:31" ht="12.75">
      <c r="A1596" s="558" t="s">
        <v>14479</v>
      </c>
      <c r="B1596" s="559" t="s">
        <v>14476</v>
      </c>
      <c r="C1596" s="559">
        <v>1321</v>
      </c>
      <c r="D1596" s="296" t="str">
        <f>IFERROR(VLOOKUP($C1596,'24.08_ND'!$A:$D,2,0),)</f>
        <v>CHAPA DE ACO FINA A QUENTE BITOLA MSG 13, E = 2,25 MM (18,00 KG/M2)</v>
      </c>
      <c r="E1596" s="297" t="str">
        <f>IFERROR(VLOOKUP($C1596,'24.08_ND'!$A:$D,3,0),)</f>
        <v>KG</v>
      </c>
      <c r="F1596" s="611">
        <v>18</v>
      </c>
      <c r="G1596" s="299">
        <f>IFERROR(VLOOKUP($C1596,'24.08_ND'!$A:$D,4,0),)</f>
        <v>11.09</v>
      </c>
      <c r="H1596" s="300">
        <f t="shared" si="65"/>
        <v>199.62</v>
      </c>
      <c r="I1596" s="262"/>
      <c r="J1596" s="262"/>
      <c r="K1596" s="262"/>
      <c r="L1596" s="262"/>
      <c r="M1596" s="262"/>
      <c r="N1596" s="262"/>
      <c r="O1596" s="262"/>
      <c r="P1596" s="262"/>
      <c r="Q1596" s="262"/>
      <c r="R1596" s="262"/>
      <c r="S1596" s="262"/>
      <c r="T1596" s="262"/>
      <c r="U1596" s="262"/>
      <c r="V1596" s="262"/>
      <c r="W1596" s="262"/>
      <c r="X1596" s="262"/>
      <c r="Y1596" s="262"/>
      <c r="Z1596" s="262"/>
      <c r="AA1596" s="262"/>
      <c r="AB1596" s="262"/>
    </row>
    <row r="1597" spans="1:31" ht="12.75">
      <c r="A1597" s="494" t="s">
        <v>14479</v>
      </c>
      <c r="B1597" s="495" t="s">
        <v>14476</v>
      </c>
      <c r="C1597" s="348">
        <v>11002</v>
      </c>
      <c r="D1597" s="296" t="str">
        <f>IFERROR(VLOOKUP($C1597,'24.08_ND'!$A:$D,2,0),)</f>
        <v>ELETRODO REVESTIDO AWS - E6013, DIAMETRO IGUAL A 2,50 MM</v>
      </c>
      <c r="E1597" s="297" t="str">
        <f>IFERROR(VLOOKUP($C1597,'24.08_ND'!$A:$D,3,0),)</f>
        <v>KG</v>
      </c>
      <c r="F1597" s="298">
        <f>0.03477+0.081</f>
        <v>0.11577000000000001</v>
      </c>
      <c r="G1597" s="299">
        <f>IFERROR(VLOOKUP($C1597,'24.08_ND'!$A:$D,4,0),)</f>
        <v>31.31</v>
      </c>
      <c r="H1597" s="300">
        <f t="shared" si="65"/>
        <v>3.62</v>
      </c>
      <c r="I1597" s="262"/>
      <c r="J1597" s="262"/>
      <c r="K1597" s="262"/>
      <c r="L1597" s="262"/>
      <c r="M1597" s="262"/>
      <c r="N1597" s="262"/>
      <c r="O1597" s="262"/>
      <c r="P1597" s="262"/>
      <c r="Q1597" s="262"/>
      <c r="R1597" s="262"/>
      <c r="S1597" s="262"/>
      <c r="T1597" s="262"/>
      <c r="U1597" s="262"/>
      <c r="V1597" s="262"/>
      <c r="W1597" s="262"/>
      <c r="X1597" s="262"/>
      <c r="Y1597" s="262"/>
      <c r="Z1597" s="262"/>
      <c r="AA1597" s="262"/>
      <c r="AB1597" s="262"/>
    </row>
    <row r="1598" spans="1:31" ht="12.75">
      <c r="A1598" s="309"/>
      <c r="B1598" s="303"/>
      <c r="C1598" s="303"/>
      <c r="D1598" s="310"/>
      <c r="E1598" s="303"/>
      <c r="F1598" s="306"/>
      <c r="G1598" s="307"/>
      <c r="H1598" s="308"/>
      <c r="I1598" s="262"/>
      <c r="J1598" s="262"/>
      <c r="K1598" s="262"/>
      <c r="L1598" s="262"/>
      <c r="M1598" s="262"/>
      <c r="N1598" s="262"/>
      <c r="O1598" s="262"/>
      <c r="P1598" s="262"/>
      <c r="Q1598" s="262"/>
      <c r="R1598" s="262"/>
      <c r="S1598" s="262"/>
      <c r="T1598" s="262"/>
      <c r="U1598" s="262"/>
      <c r="V1598" s="262"/>
      <c r="W1598" s="262"/>
      <c r="X1598" s="262"/>
      <c r="Y1598" s="262"/>
      <c r="Z1598" s="262"/>
      <c r="AA1598" s="262"/>
      <c r="AB1598" s="262"/>
    </row>
    <row r="1599" spans="1:31" ht="25.5">
      <c r="A1599" s="271" t="s">
        <v>14471</v>
      </c>
      <c r="B1599" s="272" t="s">
        <v>14472</v>
      </c>
      <c r="C1599" s="273" t="s">
        <v>15022</v>
      </c>
      <c r="D1599" s="274" t="s">
        <v>15023</v>
      </c>
      <c r="E1599" s="272" t="s">
        <v>409</v>
      </c>
      <c r="F1599" s="272"/>
      <c r="G1599" s="272"/>
      <c r="H1599" s="275">
        <f>SUM(H1601:H1610)</f>
        <v>848.82999999999993</v>
      </c>
      <c r="I1599" s="276">
        <f>COUNTIF($C$8:$C1599,C:C)</f>
        <v>1</v>
      </c>
      <c r="J1599" s="262"/>
      <c r="K1599" s="262"/>
      <c r="L1599" s="262"/>
      <c r="M1599" s="262"/>
      <c r="N1599" s="262"/>
      <c r="O1599" s="262"/>
      <c r="P1599" s="262"/>
      <c r="Q1599" s="262"/>
      <c r="R1599" s="262"/>
      <c r="S1599" s="262"/>
      <c r="T1599" s="262"/>
      <c r="U1599" s="262"/>
      <c r="V1599" s="262"/>
      <c r="W1599" s="262"/>
      <c r="X1599" s="262"/>
      <c r="Y1599" s="262"/>
      <c r="Z1599" s="262"/>
      <c r="AA1599" s="262"/>
      <c r="AB1599" s="262"/>
    </row>
    <row r="1600" spans="1:31" ht="12.75">
      <c r="A1600" s="277" t="s">
        <v>14475</v>
      </c>
      <c r="B1600" s="675" t="s">
        <v>14476</v>
      </c>
      <c r="C1600" s="489">
        <v>86889</v>
      </c>
      <c r="D1600" s="490" t="s">
        <v>14773</v>
      </c>
      <c r="E1600" s="676"/>
      <c r="F1600" s="638"/>
      <c r="G1600" s="341"/>
      <c r="H1600" s="34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row>
    <row r="1601" spans="1:31" ht="25.5">
      <c r="A1601" s="285" t="s">
        <v>14478</v>
      </c>
      <c r="B1601" s="407" t="s">
        <v>14476</v>
      </c>
      <c r="C1601" s="408">
        <v>88274</v>
      </c>
      <c r="D1601" s="288" t="str">
        <f>IFERROR(VLOOKUP($C1601,'24.08_ND'!$A:$D,2,0),)</f>
        <v>MARMORISTA/GRANITEIRO COM ENCARGOS COMPLEMENTARES</v>
      </c>
      <c r="E1601" s="289" t="str">
        <f>IFERROR(VLOOKUP($C1601,'24.08_ND'!$A:$D,3,0),)</f>
        <v>H</v>
      </c>
      <c r="F1601" s="290">
        <v>0.37</v>
      </c>
      <c r="G1601" s="291">
        <f>IFERROR(VLOOKUP($C1601,'24.08_ND'!$A:$D,4,0),)</f>
        <v>23.2</v>
      </c>
      <c r="H1601" s="292">
        <f t="shared" ref="H1601:H1609" si="66">TRUNC(($F1601*$G1601),2)</f>
        <v>8.58</v>
      </c>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D1601" s="1791" t="e">
        <f>VLOOKUP(C1601,'Medição '!$B$16:$F$1833,6,0)</f>
        <v>#N/A</v>
      </c>
      <c r="AE1601" s="1791"/>
    </row>
    <row r="1602" spans="1:31" ht="25.5">
      <c r="A1602" s="285" t="s">
        <v>14478</v>
      </c>
      <c r="B1602" s="407" t="s">
        <v>14476</v>
      </c>
      <c r="C1602" s="408">
        <v>88316</v>
      </c>
      <c r="D1602" s="288" t="str">
        <f>IFERROR(VLOOKUP($C1602,'24.08_ND'!$A:$D,2,0),)</f>
        <v>SERVENTE COM ENCARGOS COMPLEMENTARES</v>
      </c>
      <c r="E1602" s="289" t="str">
        <f>IFERROR(VLOOKUP($C1602,'24.08_ND'!$A:$D,3,0),)</f>
        <v>H</v>
      </c>
      <c r="F1602" s="290">
        <v>0.74</v>
      </c>
      <c r="G1602" s="291">
        <f>IFERROR(VLOOKUP($C1602,'24.08_ND'!$A:$D,4,0),)</f>
        <v>18.510000000000002</v>
      </c>
      <c r="H1602" s="292">
        <f t="shared" si="66"/>
        <v>13.69</v>
      </c>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D1602" s="1791" t="e">
        <f>VLOOKUP(C1602,'Medição '!$B$16:$F$1833,6,0)</f>
        <v>#N/A</v>
      </c>
      <c r="AE1602" s="1791"/>
    </row>
    <row r="1603" spans="1:31" ht="25.5">
      <c r="A1603" s="285" t="s">
        <v>14478</v>
      </c>
      <c r="B1603" s="407" t="s">
        <v>14476</v>
      </c>
      <c r="C1603" s="408">
        <v>91692</v>
      </c>
      <c r="D1603" s="288" t="str">
        <f>IFERROR(VLOOKUP($C1603,'24.08_ND'!$A:$D,2,0),)</f>
        <v>SERRA CIRCULAR DE BANCADA COM MOTOR ELÉTRICO POTÊNCIA DE 5HP, COM COIFA PARA DISCO 10" - CHP DIURNO. AF_08/2015</v>
      </c>
      <c r="E1603" s="289" t="str">
        <f>IFERROR(VLOOKUP($C1603,'24.08_ND'!$A:$D,3,0),)</f>
        <v>CHP</v>
      </c>
      <c r="F1603" s="290">
        <v>0.83340000000000003</v>
      </c>
      <c r="G1603" s="291">
        <f>IFERROR(VLOOKUP($C1603,'24.08_ND'!$A:$D,4,0),)</f>
        <v>21.22</v>
      </c>
      <c r="H1603" s="292">
        <f t="shared" si="66"/>
        <v>17.68</v>
      </c>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D1603" s="1791" t="e">
        <f>VLOOKUP(C1603,'Medição '!$B$16:$F$1833,6,0)</f>
        <v>#N/A</v>
      </c>
      <c r="AE1603" s="1791"/>
    </row>
    <row r="1604" spans="1:31" ht="25.5">
      <c r="A1604" s="285" t="s">
        <v>14478</v>
      </c>
      <c r="B1604" s="407" t="s">
        <v>14476</v>
      </c>
      <c r="C1604" s="408">
        <v>91693</v>
      </c>
      <c r="D1604" s="288" t="str">
        <f>IFERROR(VLOOKUP($C1604,'24.08_ND'!$A:$D,2,0),)</f>
        <v>SERRA CIRCULAR DE BANCADA COM MOTOR ELÉTRICO POTÊNCIA DE 5HP, COM COIFA PARA DISCO 10" - CHI DIURNO. AF_08/2015</v>
      </c>
      <c r="E1604" s="289" t="str">
        <f>IFERROR(VLOOKUP($C1604,'24.08_ND'!$A:$D,3,0),)</f>
        <v>CHI</v>
      </c>
      <c r="F1604" s="290">
        <v>5.6426999999999998E-2</v>
      </c>
      <c r="G1604" s="291">
        <f>IFERROR(VLOOKUP($C1604,'24.08_ND'!$A:$D,4,0),)</f>
        <v>19.899999999999999</v>
      </c>
      <c r="H1604" s="292">
        <f t="shared" si="66"/>
        <v>1.1200000000000001</v>
      </c>
      <c r="I1604" s="262"/>
      <c r="J1604" s="262"/>
      <c r="K1604" s="262"/>
      <c r="L1604" s="262"/>
      <c r="M1604" s="262"/>
      <c r="N1604" s="262"/>
      <c r="O1604" s="262"/>
      <c r="P1604" s="262"/>
      <c r="Q1604" s="262"/>
      <c r="R1604" s="262"/>
      <c r="S1604" s="262"/>
      <c r="T1604" s="262"/>
      <c r="U1604" s="262"/>
      <c r="V1604" s="262"/>
      <c r="W1604" s="262"/>
      <c r="X1604" s="262"/>
      <c r="Y1604" s="262"/>
      <c r="Z1604" s="262"/>
      <c r="AA1604" s="262"/>
      <c r="AB1604" s="262"/>
      <c r="AD1604" s="1791" t="e">
        <f>VLOOKUP(C1604,'Medição '!$B$16:$F$1833,6,0)</f>
        <v>#N/A</v>
      </c>
      <c r="AE1604" s="1791"/>
    </row>
    <row r="1605" spans="1:31" ht="12.75">
      <c r="A1605" s="494" t="s">
        <v>14479</v>
      </c>
      <c r="B1605" s="495" t="s">
        <v>14476</v>
      </c>
      <c r="C1605" s="348">
        <v>37596</v>
      </c>
      <c r="D1605" s="668" t="str">
        <f>IFERROR(VLOOKUP($C1605,'24.08_ND'!$A:$D,2,0),)</f>
        <v>ARGAMASSA COLANTE TIPO AC III E</v>
      </c>
      <c r="E1605" s="560" t="str">
        <f>IFERROR(VLOOKUP($C1605,'24.08_ND'!$A:$D,3,0),)</f>
        <v>KG</v>
      </c>
      <c r="F1605" s="669">
        <v>5.4</v>
      </c>
      <c r="G1605" s="562">
        <f>IFERROR(VLOOKUP($C1605,'24.08_ND'!$A:$D,4,0),)</f>
        <v>3.85</v>
      </c>
      <c r="H1605" s="414">
        <f t="shared" si="66"/>
        <v>20.79</v>
      </c>
      <c r="I1605" s="262"/>
      <c r="J1605" s="262"/>
      <c r="K1605" s="262"/>
      <c r="L1605" s="262"/>
      <c r="M1605" s="262"/>
      <c r="N1605" s="262"/>
      <c r="O1605" s="262"/>
      <c r="P1605" s="262"/>
      <c r="Q1605" s="262"/>
      <c r="R1605" s="262"/>
      <c r="S1605" s="262"/>
      <c r="T1605" s="262"/>
      <c r="U1605" s="262"/>
      <c r="V1605" s="262"/>
      <c r="W1605" s="262"/>
      <c r="X1605" s="262"/>
      <c r="Y1605" s="262"/>
      <c r="Z1605" s="262"/>
      <c r="AA1605" s="262"/>
      <c r="AB1605" s="262"/>
    </row>
    <row r="1606" spans="1:31" ht="25.5">
      <c r="A1606" s="494" t="s">
        <v>14479</v>
      </c>
      <c r="B1606" s="495" t="s">
        <v>14476</v>
      </c>
      <c r="C1606" s="348">
        <v>131</v>
      </c>
      <c r="D1606" s="668" t="str">
        <f>IFERROR(VLOOKUP($C1606,'24.08_ND'!$A:$D,2,0),)</f>
        <v>ADESIVO ESTRUTURAL A BASE DE RESINA EPOXI, BICOMPONENTE, PASTOSO (TIXOTROPICO)</v>
      </c>
      <c r="E1606" s="560" t="str">
        <f>IFERROR(VLOOKUP($C1606,'24.08_ND'!$A:$D,3,0),)</f>
        <v>KG</v>
      </c>
      <c r="F1606" s="669">
        <v>1.05</v>
      </c>
      <c r="G1606" s="562">
        <f>IFERROR(VLOOKUP($C1606,'24.08_ND'!$A:$D,4,0),)</f>
        <v>45.21</v>
      </c>
      <c r="H1606" s="414">
        <f t="shared" si="66"/>
        <v>47.47</v>
      </c>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row>
    <row r="1607" spans="1:31" ht="12.75">
      <c r="A1607" s="494" t="s">
        <v>14479</v>
      </c>
      <c r="B1607" s="495" t="s">
        <v>14476</v>
      </c>
      <c r="C1607" s="348">
        <v>39961</v>
      </c>
      <c r="D1607" s="668" t="str">
        <f>IFERROR(VLOOKUP($C1607,'24.08_ND'!$A:$D,2,0),)</f>
        <v>SILICONE ACETICO USO GERAL INCOLOR 280 G</v>
      </c>
      <c r="E1607" s="560" t="str">
        <f>IFERROR(VLOOKUP($C1607,'24.08_ND'!$A:$D,3,0),)</f>
        <v>UN</v>
      </c>
      <c r="F1607" s="669">
        <v>1.673</v>
      </c>
      <c r="G1607" s="562">
        <f>IFERROR(VLOOKUP($C1607,'24.08_ND'!$A:$D,4,0),)</f>
        <v>22.6</v>
      </c>
      <c r="H1607" s="414">
        <f t="shared" si="66"/>
        <v>37.799999999999997</v>
      </c>
      <c r="I1607" s="262"/>
      <c r="J1607" s="262"/>
      <c r="K1607" s="262"/>
      <c r="L1607" s="262"/>
      <c r="M1607" s="262"/>
      <c r="N1607" s="262"/>
      <c r="O1607" s="262"/>
      <c r="P1607" s="262"/>
      <c r="Q1607" s="262"/>
      <c r="R1607" s="262"/>
      <c r="S1607" s="262"/>
      <c r="T1607" s="262"/>
      <c r="U1607" s="262"/>
      <c r="V1607" s="262"/>
      <c r="W1607" s="262"/>
      <c r="X1607" s="262"/>
      <c r="Y1607" s="262"/>
      <c r="Z1607" s="262"/>
      <c r="AA1607" s="262"/>
      <c r="AB1607" s="262"/>
    </row>
    <row r="1608" spans="1:31" ht="25.5">
      <c r="A1608" s="494" t="s">
        <v>14479</v>
      </c>
      <c r="B1608" s="495" t="s">
        <v>14476</v>
      </c>
      <c r="C1608" s="348">
        <v>142</v>
      </c>
      <c r="D1608" s="668" t="str">
        <f>IFERROR(VLOOKUP($C1608,'24.08_ND'!$A:$D,2,0),)</f>
        <v>SELANTE ELASTICO MONOCOMPONENTE A BASE DE POLIURETANO (PU) PARA JUNTAS DIVERSAS</v>
      </c>
      <c r="E1608" s="560" t="str">
        <f>IFERROR(VLOOKUP($C1608,'24.08_ND'!$A:$D,3,0),)</f>
        <v>310ML</v>
      </c>
      <c r="F1608" s="669">
        <v>1.1499999999999999</v>
      </c>
      <c r="G1608" s="562">
        <f>IFERROR(VLOOKUP($C1608,'24.08_ND'!$A:$D,4,0),)</f>
        <v>34.200000000000003</v>
      </c>
      <c r="H1608" s="414">
        <f t="shared" si="66"/>
        <v>39.33</v>
      </c>
      <c r="I1608" s="262"/>
      <c r="J1608" s="262"/>
      <c r="K1608" s="262"/>
      <c r="L1608" s="262"/>
      <c r="M1608" s="262"/>
      <c r="N1608" s="262"/>
      <c r="O1608" s="262"/>
      <c r="P1608" s="262"/>
      <c r="Q1608" s="262"/>
      <c r="R1608" s="262"/>
      <c r="S1608" s="262"/>
      <c r="T1608" s="262"/>
      <c r="U1608" s="262"/>
      <c r="V1608" s="262"/>
      <c r="W1608" s="262"/>
      <c r="X1608" s="262"/>
      <c r="Y1608" s="262"/>
      <c r="Z1608" s="262"/>
      <c r="AA1608" s="262"/>
      <c r="AB1608" s="262"/>
    </row>
    <row r="1609" spans="1:31" ht="12.75">
      <c r="A1609" s="494" t="s">
        <v>14479</v>
      </c>
      <c r="B1609" s="495" t="s">
        <v>14476</v>
      </c>
      <c r="C1609" s="348">
        <v>43082</v>
      </c>
      <c r="D1609" s="668" t="str">
        <f>IFERROR(VLOOKUP($C1609,'24.08_ND'!$A:$D,2,0),)</f>
        <v>PERFIL "I" OU "W" EM ACO LAMINADO, QUAISQUER DIMENSOES</v>
      </c>
      <c r="E1609" s="560" t="str">
        <f>IFERROR(VLOOKUP($C1609,'24.08_ND'!$A:$D,3,0),)</f>
        <v>KG</v>
      </c>
      <c r="F1609" s="669">
        <v>5.6879999999999997</v>
      </c>
      <c r="G1609" s="562">
        <f>IFERROR(VLOOKUP($C1609,'24.08_ND'!$A:$D,4,0),)</f>
        <v>9.11</v>
      </c>
      <c r="H1609" s="414">
        <f t="shared" si="66"/>
        <v>51.81</v>
      </c>
      <c r="I1609" s="262"/>
      <c r="J1609" s="262"/>
      <c r="K1609" s="262"/>
      <c r="L1609" s="262"/>
      <c r="M1609" s="262"/>
      <c r="N1609" s="262"/>
      <c r="O1609" s="262"/>
      <c r="P1609" s="262"/>
      <c r="Q1609" s="262"/>
      <c r="R1609" s="262"/>
      <c r="S1609" s="262"/>
      <c r="T1609" s="262"/>
      <c r="U1609" s="262"/>
      <c r="V1609" s="262"/>
      <c r="W1609" s="262"/>
      <c r="X1609" s="262"/>
      <c r="Y1609" s="262"/>
      <c r="Z1609" s="262"/>
      <c r="AA1609" s="262"/>
      <c r="AB1609" s="262"/>
    </row>
    <row r="1610" spans="1:31" ht="12.75">
      <c r="A1610" s="319" t="s">
        <v>14479</v>
      </c>
      <c r="B1610" s="320" t="s">
        <v>14491</v>
      </c>
      <c r="C1610" s="320" t="s">
        <v>14982</v>
      </c>
      <c r="D1610" s="321" t="str">
        <f>VLOOKUP($C1610,'09 - MC'!$A:$F,2,0)</f>
        <v>GRANITO SÃO GABRIEL LEVIGADO/ ESCOVADO</v>
      </c>
      <c r="E1610" s="322" t="str">
        <f>VLOOKUP($C1610,'09 - MC'!$A:$F,3,0)</f>
        <v>M2</v>
      </c>
      <c r="F1610" s="323">
        <v>1</v>
      </c>
      <c r="G1610" s="324">
        <f>VLOOKUP($C1610,'09 - MC'!$A:$F,6,0)</f>
        <v>610.55999999999995</v>
      </c>
      <c r="H1610" s="325">
        <f>TRUNC(G1610*F1610,2)</f>
        <v>610.55999999999995</v>
      </c>
      <c r="I1610" s="262"/>
      <c r="J1610" s="262"/>
      <c r="K1610" s="262"/>
      <c r="L1610" s="262"/>
      <c r="M1610" s="262"/>
      <c r="N1610" s="262"/>
      <c r="O1610" s="262"/>
      <c r="P1610" s="262"/>
      <c r="Q1610" s="262"/>
      <c r="R1610" s="262"/>
      <c r="S1610" s="262"/>
      <c r="T1610" s="262"/>
      <c r="U1610" s="262"/>
      <c r="V1610" s="262"/>
      <c r="W1610" s="262"/>
      <c r="X1610" s="262"/>
      <c r="Y1610" s="262"/>
      <c r="Z1610" s="262"/>
      <c r="AA1610" s="262"/>
      <c r="AB1610" s="262"/>
    </row>
    <row r="1611" spans="1:31" ht="12.75">
      <c r="A1611" s="664"/>
      <c r="B1611" s="416"/>
      <c r="C1611" s="416"/>
      <c r="D1611" s="416"/>
      <c r="E1611" s="416"/>
      <c r="F1611" s="645"/>
      <c r="G1611" s="418"/>
      <c r="H1611" s="419"/>
      <c r="I1611" s="262"/>
      <c r="J1611" s="262"/>
      <c r="K1611" s="262"/>
      <c r="L1611" s="262"/>
      <c r="M1611" s="262"/>
      <c r="N1611" s="262"/>
      <c r="O1611" s="262"/>
      <c r="P1611" s="262"/>
      <c r="Q1611" s="262"/>
      <c r="R1611" s="262"/>
      <c r="S1611" s="262"/>
      <c r="T1611" s="262"/>
      <c r="U1611" s="262"/>
      <c r="V1611" s="262"/>
      <c r="W1611" s="262"/>
      <c r="X1611" s="262"/>
      <c r="Y1611" s="262"/>
      <c r="Z1611" s="262"/>
      <c r="AA1611" s="262"/>
      <c r="AB1611" s="262"/>
    </row>
    <row r="1612" spans="1:31" ht="25.5">
      <c r="A1612" s="358" t="s">
        <v>14471</v>
      </c>
      <c r="B1612" s="359" t="s">
        <v>14472</v>
      </c>
      <c r="C1612" s="273" t="s">
        <v>15024</v>
      </c>
      <c r="D1612" s="361" t="s">
        <v>15025</v>
      </c>
      <c r="E1612" s="359" t="s">
        <v>409</v>
      </c>
      <c r="F1612" s="362"/>
      <c r="G1612" s="362"/>
      <c r="H1612" s="363">
        <f>TRUNC(SUM(H1614:H1620),2)</f>
        <v>712.07</v>
      </c>
      <c r="I1612" s="276">
        <f>COUNTIF($C$8:$C1612,C:C)</f>
        <v>1</v>
      </c>
      <c r="J1612" s="262"/>
      <c r="K1612" s="262"/>
      <c r="L1612" s="262"/>
      <c r="M1612" s="262"/>
      <c r="N1612" s="262"/>
      <c r="O1612" s="262"/>
      <c r="P1612" s="262"/>
      <c r="Q1612" s="262"/>
      <c r="R1612" s="262"/>
      <c r="S1612" s="262"/>
      <c r="T1612" s="262"/>
      <c r="U1612" s="262"/>
      <c r="V1612" s="262"/>
      <c r="W1612" s="262"/>
      <c r="X1612" s="262"/>
      <c r="Y1612" s="262"/>
      <c r="Z1612" s="262"/>
      <c r="AA1612" s="262"/>
      <c r="AB1612" s="262"/>
    </row>
    <row r="1613" spans="1:31" ht="12.75">
      <c r="A1613" s="364" t="s">
        <v>14475</v>
      </c>
      <c r="B1613" s="403" t="s">
        <v>14476</v>
      </c>
      <c r="C1613" s="404">
        <v>102253</v>
      </c>
      <c r="D1613" s="367" t="s">
        <v>14587</v>
      </c>
      <c r="E1613" s="405"/>
      <c r="F1613" s="642"/>
      <c r="G1613" s="370"/>
      <c r="H1613" s="371"/>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row>
    <row r="1614" spans="1:31" ht="25.5">
      <c r="A1614" s="372" t="s">
        <v>14478</v>
      </c>
      <c r="B1614" s="421" t="s">
        <v>14476</v>
      </c>
      <c r="C1614" s="374">
        <v>88274</v>
      </c>
      <c r="D1614" s="593" t="str">
        <f>IFERROR(VLOOKUP($C1614,'24.08_ND'!$A:$D,2,0),)</f>
        <v>MARMORISTA/GRANITEIRO COM ENCARGOS COMPLEMENTARES</v>
      </c>
      <c r="E1614" s="594" t="str">
        <f>IFERROR(VLOOKUP($C1614,'24.08_ND'!$A:$D,3,0),)</f>
        <v>H</v>
      </c>
      <c r="F1614" s="375">
        <v>1.41</v>
      </c>
      <c r="G1614" s="595">
        <f>IFERROR(VLOOKUP($C1614,'24.08_ND'!$A:$D,4,0),)</f>
        <v>23.2</v>
      </c>
      <c r="H1614" s="440">
        <f t="shared" ref="H1614:H1619" si="67">TRUNC(($F1614*$G1614),2)</f>
        <v>32.71</v>
      </c>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D1614" s="1791" t="e">
        <f>VLOOKUP(C1614,'Medição '!$B$16:$F$1833,6,0)</f>
        <v>#N/A</v>
      </c>
      <c r="AE1614" s="1791"/>
    </row>
    <row r="1615" spans="1:31" ht="25.5">
      <c r="A1615" s="372" t="s">
        <v>14478</v>
      </c>
      <c r="B1615" s="421" t="s">
        <v>14476</v>
      </c>
      <c r="C1615" s="374">
        <v>88316</v>
      </c>
      <c r="D1615" s="593" t="str">
        <f>IFERROR(VLOOKUP($C1615,'24.08_ND'!$A:$D,2,0),)</f>
        <v>SERVENTE COM ENCARGOS COMPLEMENTARES</v>
      </c>
      <c r="E1615" s="594" t="str">
        <f>IFERROR(VLOOKUP($C1615,'24.08_ND'!$A:$D,3,0),)</f>
        <v>H</v>
      </c>
      <c r="F1615" s="375">
        <v>0.7</v>
      </c>
      <c r="G1615" s="595">
        <f>IFERROR(VLOOKUP($C1615,'24.08_ND'!$A:$D,4,0),)</f>
        <v>18.510000000000002</v>
      </c>
      <c r="H1615" s="440">
        <f t="shared" si="67"/>
        <v>12.95</v>
      </c>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D1615" s="1791" t="e">
        <f>VLOOKUP(C1615,'Medição '!$B$16:$F$1833,6,0)</f>
        <v>#N/A</v>
      </c>
      <c r="AE1615" s="1791"/>
    </row>
    <row r="1616" spans="1:31" ht="25.5">
      <c r="A1616" s="372" t="s">
        <v>14478</v>
      </c>
      <c r="B1616" s="677" t="s">
        <v>14476</v>
      </c>
      <c r="C1616" s="422">
        <v>91692</v>
      </c>
      <c r="D1616" s="593" t="str">
        <f>IFERROR(VLOOKUP($C1616,'24.08_ND'!$A:$D,2,0),)</f>
        <v>SERRA CIRCULAR DE BANCADA COM MOTOR ELÉTRICO POTÊNCIA DE 5HP, COM COIFA PARA DISCO 10" - CHP DIURNO. AF_08/2015</v>
      </c>
      <c r="E1616" s="594" t="str">
        <f>IFERROR(VLOOKUP($C1616,'24.08_ND'!$A:$D,3,0),)</f>
        <v>CHP</v>
      </c>
      <c r="F1616" s="375">
        <v>0.09</v>
      </c>
      <c r="G1616" s="595">
        <f>IFERROR(VLOOKUP($C1616,'24.08_ND'!$A:$D,4,0),)</f>
        <v>21.22</v>
      </c>
      <c r="H1616" s="440">
        <f t="shared" si="67"/>
        <v>1.9</v>
      </c>
      <c r="I1616" s="262"/>
      <c r="J1616" s="262"/>
      <c r="K1616" s="262"/>
      <c r="L1616" s="262"/>
      <c r="M1616" s="262"/>
      <c r="N1616" s="262"/>
      <c r="O1616" s="262"/>
      <c r="P1616" s="262"/>
      <c r="Q1616" s="262"/>
      <c r="R1616" s="262"/>
      <c r="S1616" s="262"/>
      <c r="T1616" s="262"/>
      <c r="U1616" s="262"/>
      <c r="V1616" s="262"/>
      <c r="W1616" s="262"/>
      <c r="X1616" s="262"/>
      <c r="Y1616" s="262"/>
      <c r="Z1616" s="262"/>
      <c r="AA1616" s="262"/>
      <c r="AB1616" s="262"/>
      <c r="AD1616" s="1791" t="e">
        <f>VLOOKUP(C1616,'Medição '!$B$16:$F$1833,6,0)</f>
        <v>#N/A</v>
      </c>
      <c r="AE1616" s="1791"/>
    </row>
    <row r="1617" spans="1:31" ht="25.5">
      <c r="A1617" s="372" t="s">
        <v>14478</v>
      </c>
      <c r="B1617" s="677" t="s">
        <v>14476</v>
      </c>
      <c r="C1617" s="422">
        <v>91693</v>
      </c>
      <c r="D1617" s="593" t="str">
        <f>IFERROR(VLOOKUP($C1617,'24.08_ND'!$A:$D,2,0),)</f>
        <v>SERRA CIRCULAR DE BANCADA COM MOTOR ELÉTRICO POTÊNCIA DE 5HP, COM COIFA PARA DISCO 10" - CHI DIURNO. AF_08/2015</v>
      </c>
      <c r="E1617" s="594" t="str">
        <f>IFERROR(VLOOKUP($C1617,'24.08_ND'!$A:$D,3,0),)</f>
        <v>CHI</v>
      </c>
      <c r="F1617" s="375">
        <v>1.32</v>
      </c>
      <c r="G1617" s="595">
        <f>IFERROR(VLOOKUP($C1617,'24.08_ND'!$A:$D,4,0),)</f>
        <v>19.899999999999999</v>
      </c>
      <c r="H1617" s="440">
        <f t="shared" si="67"/>
        <v>26.26</v>
      </c>
      <c r="I1617" s="262"/>
      <c r="J1617" s="262"/>
      <c r="K1617" s="262"/>
      <c r="L1617" s="262"/>
      <c r="M1617" s="262"/>
      <c r="N1617" s="262"/>
      <c r="O1617" s="262"/>
      <c r="P1617" s="262"/>
      <c r="Q1617" s="262"/>
      <c r="R1617" s="262"/>
      <c r="S1617" s="262"/>
      <c r="T1617" s="262"/>
      <c r="U1617" s="262"/>
      <c r="V1617" s="262"/>
      <c r="W1617" s="262"/>
      <c r="X1617" s="262"/>
      <c r="Y1617" s="262"/>
      <c r="Z1617" s="262"/>
      <c r="AA1617" s="262"/>
      <c r="AB1617" s="262"/>
      <c r="AD1617" s="1791" t="e">
        <f>VLOOKUP(C1617,'Medição '!$B$16:$F$1833,6,0)</f>
        <v>#N/A</v>
      </c>
      <c r="AE1617" s="1791"/>
    </row>
    <row r="1618" spans="1:31" ht="25.5">
      <c r="A1618" s="581" t="s">
        <v>14479</v>
      </c>
      <c r="B1618" s="582" t="s">
        <v>14476</v>
      </c>
      <c r="C1618" s="447">
        <v>131</v>
      </c>
      <c r="D1618" s="596" t="str">
        <f>IFERROR(VLOOKUP($C1618,'24.08_ND'!$A:$D,2,0),)</f>
        <v>ADESIVO ESTRUTURAL A BASE DE RESINA EPOXI, BICOMPONENTE, PASTOSO (TIXOTROPICO)</v>
      </c>
      <c r="E1618" s="597" t="str">
        <f>IFERROR(VLOOKUP($C1618,'24.08_ND'!$A:$D,3,0),)</f>
        <v>KG</v>
      </c>
      <c r="F1618" s="385">
        <v>0.53</v>
      </c>
      <c r="G1618" s="598">
        <f>IFERROR(VLOOKUP($C1618,'24.08_ND'!$A:$D,4,0),)</f>
        <v>45.21</v>
      </c>
      <c r="H1618" s="449">
        <f t="shared" si="67"/>
        <v>23.96</v>
      </c>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row>
    <row r="1619" spans="1:31" ht="12.75">
      <c r="A1619" s="581" t="s">
        <v>14479</v>
      </c>
      <c r="B1619" s="582" t="s">
        <v>14476</v>
      </c>
      <c r="C1619" s="447">
        <v>37596</v>
      </c>
      <c r="D1619" s="596" t="str">
        <f>IFERROR(VLOOKUP($C1619,'24.08_ND'!$A:$D,2,0),)</f>
        <v>ARGAMASSA COLANTE TIPO AC III E</v>
      </c>
      <c r="E1619" s="597" t="str">
        <f>IFERROR(VLOOKUP($C1619,'24.08_ND'!$A:$D,3,0),)</f>
        <v>KG</v>
      </c>
      <c r="F1619" s="385">
        <v>0.97</v>
      </c>
      <c r="G1619" s="598">
        <f>IFERROR(VLOOKUP($C1619,'24.08_ND'!$A:$D,4,0),)</f>
        <v>3.85</v>
      </c>
      <c r="H1619" s="449">
        <f t="shared" si="67"/>
        <v>3.73</v>
      </c>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row>
    <row r="1620" spans="1:31" ht="12.75">
      <c r="A1620" s="319" t="s">
        <v>14479</v>
      </c>
      <c r="B1620" s="320" t="s">
        <v>14491</v>
      </c>
      <c r="C1620" s="320" t="s">
        <v>14982</v>
      </c>
      <c r="D1620" s="321" t="str">
        <f>VLOOKUP($C1620,'09 - MC'!$A:$F,2,0)</f>
        <v>GRANITO SÃO GABRIEL LEVIGADO/ ESCOVADO</v>
      </c>
      <c r="E1620" s="322" t="str">
        <f>VLOOKUP($C1620,'09 - MC'!$A:$F,3,0)</f>
        <v>M2</v>
      </c>
      <c r="F1620" s="323">
        <v>1</v>
      </c>
      <c r="G1620" s="324">
        <f>VLOOKUP($C1620,'09 - MC'!$A:$F,6,0)</f>
        <v>610.55999999999995</v>
      </c>
      <c r="H1620" s="325">
        <f>TRUNC(G1620*F1620,2)</f>
        <v>610.55999999999995</v>
      </c>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row>
    <row r="1621" spans="1:31" ht="12.75">
      <c r="A1621" s="415"/>
      <c r="B1621" s="416"/>
      <c r="C1621" s="416"/>
      <c r="D1621" s="416"/>
      <c r="E1621" s="416"/>
      <c r="F1621" s="645"/>
      <c r="G1621" s="418"/>
      <c r="H1621" s="419"/>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row>
    <row r="1622" spans="1:31" ht="25.5">
      <c r="A1622" s="358" t="s">
        <v>14471</v>
      </c>
      <c r="B1622" s="359" t="s">
        <v>14472</v>
      </c>
      <c r="C1622" s="273" t="s">
        <v>15026</v>
      </c>
      <c r="D1622" s="361" t="s">
        <v>15027</v>
      </c>
      <c r="E1622" s="359" t="s">
        <v>409</v>
      </c>
      <c r="F1622" s="362"/>
      <c r="G1622" s="362"/>
      <c r="H1622" s="363">
        <f>TRUNC(SUM(H1624:H1629),2)</f>
        <v>756.65</v>
      </c>
      <c r="I1622" s="276">
        <f>COUNTIF($C$8:$C1622,C:C)</f>
        <v>1</v>
      </c>
      <c r="J1622" s="262"/>
      <c r="K1622" s="262"/>
      <c r="L1622" s="262"/>
      <c r="M1622" s="262"/>
      <c r="N1622" s="262"/>
      <c r="O1622" s="262"/>
      <c r="P1622" s="262"/>
      <c r="Q1622" s="262"/>
      <c r="R1622" s="262"/>
      <c r="S1622" s="262"/>
      <c r="T1622" s="262"/>
      <c r="U1622" s="262"/>
      <c r="V1622" s="262"/>
      <c r="W1622" s="262"/>
      <c r="X1622" s="262"/>
      <c r="Y1622" s="262"/>
      <c r="Z1622" s="262"/>
      <c r="AA1622" s="262"/>
      <c r="AB1622" s="262"/>
    </row>
    <row r="1623" spans="1:31" ht="12.75">
      <c r="A1623" s="646" t="s">
        <v>14475</v>
      </c>
      <c r="B1623" s="403" t="s">
        <v>14476</v>
      </c>
      <c r="C1623" s="404">
        <v>102255</v>
      </c>
      <c r="D1623" s="678">
        <v>45047</v>
      </c>
      <c r="E1623" s="405"/>
      <c r="F1623" s="642"/>
      <c r="G1623" s="370"/>
      <c r="H1623" s="371"/>
      <c r="I1623" s="262"/>
      <c r="J1623" s="262"/>
      <c r="K1623" s="262"/>
      <c r="L1623" s="262"/>
      <c r="M1623" s="262"/>
      <c r="N1623" s="262"/>
      <c r="O1623" s="262"/>
      <c r="P1623" s="262"/>
      <c r="Q1623" s="262"/>
      <c r="R1623" s="262"/>
      <c r="S1623" s="262"/>
      <c r="T1623" s="262"/>
      <c r="U1623" s="262"/>
      <c r="V1623" s="262"/>
      <c r="W1623" s="262"/>
      <c r="X1623" s="262"/>
      <c r="Y1623" s="262"/>
      <c r="Z1623" s="262"/>
      <c r="AA1623" s="262"/>
      <c r="AB1623" s="262"/>
    </row>
    <row r="1624" spans="1:31" ht="25.5">
      <c r="A1624" s="372" t="s">
        <v>14478</v>
      </c>
      <c r="B1624" s="421" t="s">
        <v>14476</v>
      </c>
      <c r="C1624" s="374">
        <v>88274</v>
      </c>
      <c r="D1624" s="679" t="str">
        <f>IFERROR(VLOOKUP($C1624,'24.08_ND'!$A:$D,2,0),)</f>
        <v>MARMORISTA/GRANITEIRO COM ENCARGOS COMPLEMENTARES</v>
      </c>
      <c r="E1624" s="647" t="str">
        <f>IFERROR(VLOOKUP($C1624,'24.08_ND'!$A:$D,3,0),)</f>
        <v>H</v>
      </c>
      <c r="F1624" s="375">
        <v>2.71</v>
      </c>
      <c r="G1624" s="595">
        <f>IFERROR(VLOOKUP($C1624,'24.08_ND'!$A:$D,4,0),)</f>
        <v>23.2</v>
      </c>
      <c r="H1624" s="440">
        <f>TRUNC(($F1624*$G1624),2)</f>
        <v>62.87</v>
      </c>
      <c r="I1624" s="262"/>
      <c r="J1624" s="262"/>
      <c r="K1624" s="262"/>
      <c r="L1624" s="262"/>
      <c r="M1624" s="262"/>
      <c r="N1624" s="262"/>
      <c r="O1624" s="262"/>
      <c r="P1624" s="262"/>
      <c r="Q1624" s="262"/>
      <c r="R1624" s="262"/>
      <c r="S1624" s="262"/>
      <c r="T1624" s="262"/>
      <c r="U1624" s="262"/>
      <c r="V1624" s="262"/>
      <c r="W1624" s="262"/>
      <c r="X1624" s="262"/>
      <c r="Y1624" s="262"/>
      <c r="Z1624" s="262"/>
      <c r="AA1624" s="262"/>
      <c r="AB1624" s="262"/>
      <c r="AD1624" s="1791" t="e">
        <f>VLOOKUP(C1624,'Medição '!$B$16:$F$1833,6,0)</f>
        <v>#N/A</v>
      </c>
      <c r="AE1624" s="1791"/>
    </row>
    <row r="1625" spans="1:31" ht="25.5">
      <c r="A1625" s="372" t="s">
        <v>14478</v>
      </c>
      <c r="B1625" s="421" t="s">
        <v>14476</v>
      </c>
      <c r="C1625" s="374">
        <v>88316</v>
      </c>
      <c r="D1625" s="593" t="str">
        <f>IFERROR(VLOOKUP($C1625,'24.08_ND'!$A:$D,2,0),)</f>
        <v>SERVENTE COM ENCARGOS COMPLEMENTARES</v>
      </c>
      <c r="E1625" s="594" t="str">
        <f>IFERROR(VLOOKUP($C1625,'24.08_ND'!$A:$D,3,0),)</f>
        <v>H</v>
      </c>
      <c r="F1625" s="375">
        <v>1.36</v>
      </c>
      <c r="G1625" s="595">
        <f>IFERROR(VLOOKUP($C1625,'24.08_ND'!$A:$D,4,0),)</f>
        <v>18.510000000000002</v>
      </c>
      <c r="H1625" s="440">
        <f>TRUNC(($F1625*$G1625),2)</f>
        <v>25.17</v>
      </c>
      <c r="I1625" s="262"/>
      <c r="J1625" s="262"/>
      <c r="K1625" s="262"/>
      <c r="L1625" s="262"/>
      <c r="M1625" s="262"/>
      <c r="N1625" s="262"/>
      <c r="O1625" s="262"/>
      <c r="P1625" s="262"/>
      <c r="Q1625" s="262"/>
      <c r="R1625" s="262"/>
      <c r="S1625" s="262"/>
      <c r="T1625" s="262"/>
      <c r="U1625" s="262"/>
      <c r="V1625" s="262"/>
      <c r="W1625" s="262"/>
      <c r="X1625" s="262"/>
      <c r="Y1625" s="262"/>
      <c r="Z1625" s="262"/>
      <c r="AA1625" s="262"/>
      <c r="AB1625" s="262"/>
      <c r="AD1625" s="1791" t="e">
        <f>VLOOKUP(C1625,'Medição '!$B$16:$F$1833,6,0)</f>
        <v>#N/A</v>
      </c>
      <c r="AE1625" s="1791"/>
    </row>
    <row r="1626" spans="1:31" ht="25.5">
      <c r="A1626" s="581" t="s">
        <v>14479</v>
      </c>
      <c r="B1626" s="446" t="s">
        <v>14476</v>
      </c>
      <c r="C1626" s="447">
        <v>91692</v>
      </c>
      <c r="D1626" s="596" t="str">
        <f>IFERROR(VLOOKUP($C1626,'24.08_ND'!$A:$D,2,0),)</f>
        <v>SERRA CIRCULAR DE BANCADA COM MOTOR ELÉTRICO POTÊNCIA DE 5HP, COM COIFA PARA DISCO 10" - CHP DIURNO. AF_08/2015</v>
      </c>
      <c r="E1626" s="597" t="str">
        <f>IFERROR(VLOOKUP($C1626,'24.08_ND'!$A:$D,3,0),)</f>
        <v>CHP</v>
      </c>
      <c r="F1626" s="385">
        <v>0.15</v>
      </c>
      <c r="G1626" s="598">
        <f>IFERROR(VLOOKUP($C1626,'24.08_ND'!$A:$D,4,0),)</f>
        <v>21.22</v>
      </c>
      <c r="H1626" s="449">
        <f>TRUNC(($F1626*$G1626),2)</f>
        <v>3.18</v>
      </c>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row>
    <row r="1627" spans="1:31" ht="25.5">
      <c r="A1627" s="581" t="s">
        <v>14479</v>
      </c>
      <c r="B1627" s="582" t="s">
        <v>14476</v>
      </c>
      <c r="C1627" s="447">
        <v>91693</v>
      </c>
      <c r="D1627" s="596" t="str">
        <f>IFERROR(VLOOKUP($C1627,'24.08_ND'!$A:$D,2,0),)</f>
        <v>SERRA CIRCULAR DE BANCADA COM MOTOR ELÉTRICO POTÊNCIA DE 5HP, COM COIFA PARA DISCO 10" - CHI DIURNO. AF_08/2015</v>
      </c>
      <c r="E1627" s="597" t="str">
        <f>IFERROR(VLOOKUP($C1627,'24.08_ND'!$A:$D,3,0),)</f>
        <v>CHI</v>
      </c>
      <c r="F1627" s="385">
        <v>2.57</v>
      </c>
      <c r="G1627" s="598">
        <f>IFERROR(VLOOKUP($C1627,'24.08_ND'!$A:$D,4,0),)</f>
        <v>19.899999999999999</v>
      </c>
      <c r="H1627" s="449">
        <f>TRUNC(($F1627*$G1627),2)</f>
        <v>51.14</v>
      </c>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row>
    <row r="1628" spans="1:31" ht="12.75">
      <c r="A1628" s="581" t="s">
        <v>14479</v>
      </c>
      <c r="B1628" s="582" t="s">
        <v>14476</v>
      </c>
      <c r="C1628" s="447">
        <v>37596</v>
      </c>
      <c r="D1628" s="596" t="str">
        <f>IFERROR(VLOOKUP($C1628,'24.08_ND'!$A:$D,2,0),)</f>
        <v>ARGAMASSA COLANTE TIPO AC III E</v>
      </c>
      <c r="E1628" s="597" t="str">
        <f>IFERROR(VLOOKUP($C1628,'24.08_ND'!$A:$D,3,0),)</f>
        <v>KG</v>
      </c>
      <c r="F1628" s="385">
        <v>0.97</v>
      </c>
      <c r="G1628" s="598">
        <f>IFERROR(VLOOKUP($C1628,'24.08_ND'!$A:$D,4,0),)</f>
        <v>3.85</v>
      </c>
      <c r="H1628" s="449">
        <f>TRUNC(($F1628*$G1628),2)</f>
        <v>3.73</v>
      </c>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row>
    <row r="1629" spans="1:31" ht="12.75">
      <c r="A1629" s="319" t="s">
        <v>14479</v>
      </c>
      <c r="B1629" s="320" t="s">
        <v>14491</v>
      </c>
      <c r="C1629" s="320" t="s">
        <v>14982</v>
      </c>
      <c r="D1629" s="321" t="str">
        <f>VLOOKUP($C1629,'09 - MC'!$A:$F,2,0)</f>
        <v>GRANITO SÃO GABRIEL LEVIGADO/ ESCOVADO</v>
      </c>
      <c r="E1629" s="322" t="str">
        <f>VLOOKUP($C1629,'09 - MC'!$A:$F,3,0)</f>
        <v>M2</v>
      </c>
      <c r="F1629" s="323">
        <v>1</v>
      </c>
      <c r="G1629" s="324">
        <f>VLOOKUP($C1629,'09 - MC'!$A:$F,6,0)</f>
        <v>610.55999999999995</v>
      </c>
      <c r="H1629" s="325">
        <f>TRUNC(G1629*F1629,2)</f>
        <v>610.55999999999995</v>
      </c>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row>
    <row r="1630" spans="1:31" ht="12.75">
      <c r="A1630" s="415"/>
      <c r="B1630" s="416"/>
      <c r="C1630" s="416"/>
      <c r="D1630" s="416"/>
      <c r="E1630" s="416"/>
      <c r="F1630" s="645"/>
      <c r="G1630" s="418"/>
      <c r="H1630" s="419"/>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row>
    <row r="1631" spans="1:31" ht="25.5">
      <c r="A1631" s="358" t="s">
        <v>14471</v>
      </c>
      <c r="B1631" s="359" t="s">
        <v>14472</v>
      </c>
      <c r="C1631" s="273" t="s">
        <v>15028</v>
      </c>
      <c r="D1631" s="361" t="s">
        <v>15029</v>
      </c>
      <c r="E1631" s="359" t="s">
        <v>50</v>
      </c>
      <c r="F1631" s="362"/>
      <c r="G1631" s="362"/>
      <c r="H1631" s="363">
        <f>TRUNC(SUM(H1633:H1638),2)</f>
        <v>139.44999999999999</v>
      </c>
      <c r="I1631" s="276">
        <f>COUNTIF($C$8:$C1631,C:C)</f>
        <v>1</v>
      </c>
      <c r="J1631" s="262"/>
      <c r="K1631" s="262"/>
      <c r="L1631" s="262"/>
      <c r="M1631" s="262"/>
      <c r="N1631" s="262"/>
      <c r="O1631" s="262"/>
      <c r="P1631" s="262"/>
      <c r="Q1631" s="262"/>
      <c r="R1631" s="262"/>
      <c r="S1631" s="262"/>
      <c r="T1631" s="262"/>
      <c r="U1631" s="262"/>
      <c r="V1631" s="262"/>
      <c r="W1631" s="262"/>
      <c r="X1631" s="262"/>
      <c r="Y1631" s="262"/>
      <c r="Z1631" s="262"/>
      <c r="AA1631" s="262"/>
      <c r="AB1631" s="262"/>
    </row>
    <row r="1632" spans="1:31" ht="12.75">
      <c r="A1632" s="364" t="s">
        <v>14475</v>
      </c>
      <c r="B1632" s="403" t="s">
        <v>14476</v>
      </c>
      <c r="C1632" s="404">
        <v>101965</v>
      </c>
      <c r="D1632" s="367" t="s">
        <v>14477</v>
      </c>
      <c r="E1632" s="405"/>
      <c r="F1632" s="642"/>
      <c r="G1632" s="370"/>
      <c r="H1632" s="371"/>
      <c r="I1632" s="262"/>
      <c r="J1632" s="262"/>
      <c r="K1632" s="262"/>
      <c r="L1632" s="262"/>
      <c r="M1632" s="262"/>
      <c r="N1632" s="262"/>
      <c r="O1632" s="262"/>
      <c r="P1632" s="262"/>
      <c r="Q1632" s="262"/>
      <c r="R1632" s="262"/>
      <c r="S1632" s="262"/>
      <c r="T1632" s="262"/>
      <c r="U1632" s="262"/>
      <c r="V1632" s="262"/>
      <c r="W1632" s="262"/>
      <c r="X1632" s="262"/>
      <c r="Y1632" s="262"/>
      <c r="Z1632" s="262"/>
      <c r="AA1632" s="262"/>
      <c r="AB1632" s="262"/>
    </row>
    <row r="1633" spans="1:31" ht="25.5">
      <c r="A1633" s="372" t="s">
        <v>14478</v>
      </c>
      <c r="B1633" s="421" t="s">
        <v>14476</v>
      </c>
      <c r="C1633" s="374">
        <v>88274</v>
      </c>
      <c r="D1633" s="593" t="str">
        <f>IFERROR(VLOOKUP($C1633,'24.08_ND'!$A:$D,2,0),)</f>
        <v>MARMORISTA/GRANITEIRO COM ENCARGOS COMPLEMENTARES</v>
      </c>
      <c r="E1633" s="594" t="str">
        <f>IFERROR(VLOOKUP($C1633,'24.08_ND'!$A:$D,3,0),)</f>
        <v>H</v>
      </c>
      <c r="F1633" s="375">
        <v>0.698333333</v>
      </c>
      <c r="G1633" s="595">
        <f>IFERROR(VLOOKUP($C1633,'24.08_ND'!$A:$D,4,0),)</f>
        <v>23.2</v>
      </c>
      <c r="H1633" s="440">
        <f>TRUNC(($F1633*$G1633),2)</f>
        <v>16.2</v>
      </c>
      <c r="I1633" s="262"/>
      <c r="J1633" s="262"/>
      <c r="K1633" s="262"/>
      <c r="L1633" s="262"/>
      <c r="M1633" s="262"/>
      <c r="N1633" s="262"/>
      <c r="O1633" s="262"/>
      <c r="P1633" s="262"/>
      <c r="Q1633" s="262"/>
      <c r="R1633" s="262"/>
      <c r="S1633" s="262"/>
      <c r="T1633" s="262"/>
      <c r="U1633" s="262"/>
      <c r="V1633" s="262"/>
      <c r="W1633" s="262"/>
      <c r="X1633" s="262"/>
      <c r="Y1633" s="262"/>
      <c r="Z1633" s="262"/>
      <c r="AA1633" s="262"/>
      <c r="AB1633" s="262"/>
      <c r="AD1633" s="1791" t="e">
        <f>VLOOKUP(C1633,'Medição '!$B$16:$F$1833,6,0)</f>
        <v>#N/A</v>
      </c>
      <c r="AE1633" s="1791"/>
    </row>
    <row r="1634" spans="1:31" ht="25.5">
      <c r="A1634" s="372" t="s">
        <v>14478</v>
      </c>
      <c r="B1634" s="421" t="s">
        <v>14476</v>
      </c>
      <c r="C1634" s="374">
        <v>88316</v>
      </c>
      <c r="D1634" s="593" t="str">
        <f>IFERROR(VLOOKUP($C1634,'24.08_ND'!$A:$D,2,0),)</f>
        <v>SERVENTE COM ENCARGOS COMPLEMENTARES</v>
      </c>
      <c r="E1634" s="594" t="str">
        <f>IFERROR(VLOOKUP($C1634,'24.08_ND'!$A:$D,3,0),)</f>
        <v>H</v>
      </c>
      <c r="F1634" s="375">
        <v>0.34833333300000002</v>
      </c>
      <c r="G1634" s="595">
        <f>IFERROR(VLOOKUP($C1634,'24.08_ND'!$A:$D,4,0),)</f>
        <v>18.510000000000002</v>
      </c>
      <c r="H1634" s="440">
        <f>TRUNC(($F1634*$G1634),2)</f>
        <v>6.44</v>
      </c>
      <c r="I1634" s="262"/>
      <c r="J1634" s="262"/>
      <c r="K1634" s="262"/>
      <c r="L1634" s="262"/>
      <c r="M1634" s="262"/>
      <c r="N1634" s="262"/>
      <c r="O1634" s="262"/>
      <c r="P1634" s="262"/>
      <c r="Q1634" s="262"/>
      <c r="R1634" s="262"/>
      <c r="S1634" s="262"/>
      <c r="T1634" s="262"/>
      <c r="U1634" s="262"/>
      <c r="V1634" s="262"/>
      <c r="W1634" s="262"/>
      <c r="X1634" s="262"/>
      <c r="Y1634" s="262"/>
      <c r="Z1634" s="262"/>
      <c r="AA1634" s="262"/>
      <c r="AB1634" s="262"/>
      <c r="AD1634" s="1791" t="e">
        <f>VLOOKUP(C1634,'Medição '!$B$16:$F$1833,6,0)</f>
        <v>#N/A</v>
      </c>
      <c r="AE1634" s="1791"/>
    </row>
    <row r="1635" spans="1:31" ht="25.5">
      <c r="A1635" s="372" t="s">
        <v>14478</v>
      </c>
      <c r="B1635" s="421" t="s">
        <v>14476</v>
      </c>
      <c r="C1635" s="374">
        <v>91692</v>
      </c>
      <c r="D1635" s="593" t="str">
        <f>IFERROR(VLOOKUP($C1635,'24.08_ND'!$A:$D,2,0),)</f>
        <v>SERRA CIRCULAR DE BANCADA COM MOTOR ELÉTRICO POTÊNCIA DE 5HP, COM COIFA PARA DISCO 10" - CHP DIURNO. AF_08/2015</v>
      </c>
      <c r="E1635" s="594" t="str">
        <f>IFERROR(VLOOKUP($C1635,'24.08_ND'!$A:$D,3,0),)</f>
        <v>CHP</v>
      </c>
      <c r="F1635" s="375">
        <v>3.5000000000000003E-2</v>
      </c>
      <c r="G1635" s="595">
        <f>IFERROR(VLOOKUP($C1635,'24.08_ND'!$A:$D,4,0),)</f>
        <v>21.22</v>
      </c>
      <c r="H1635" s="440">
        <f>TRUNC(($F1635*$G1635),2)</f>
        <v>0.74</v>
      </c>
      <c r="I1635" s="262"/>
      <c r="J1635" s="262"/>
      <c r="K1635" s="262"/>
      <c r="L1635" s="262"/>
      <c r="M1635" s="262"/>
      <c r="N1635" s="262"/>
      <c r="O1635" s="262"/>
      <c r="P1635" s="262"/>
      <c r="Q1635" s="262"/>
      <c r="R1635" s="262"/>
      <c r="S1635" s="262"/>
      <c r="T1635" s="262"/>
      <c r="U1635" s="262"/>
      <c r="V1635" s="262"/>
      <c r="W1635" s="262"/>
      <c r="X1635" s="262"/>
      <c r="Y1635" s="262"/>
      <c r="Z1635" s="262"/>
      <c r="AA1635" s="262"/>
      <c r="AB1635" s="262"/>
      <c r="AD1635" s="1791" t="e">
        <f>VLOOKUP(C1635,'Medição '!$B$16:$F$1833,6,0)</f>
        <v>#N/A</v>
      </c>
      <c r="AE1635" s="1791"/>
    </row>
    <row r="1636" spans="1:31" ht="25.5">
      <c r="A1636" s="372" t="s">
        <v>14478</v>
      </c>
      <c r="B1636" s="421" t="s">
        <v>14476</v>
      </c>
      <c r="C1636" s="374">
        <v>91693</v>
      </c>
      <c r="D1636" s="593" t="str">
        <f>IFERROR(VLOOKUP($C1636,'24.08_ND'!$A:$D,2,0),)</f>
        <v>SERRA CIRCULAR DE BANCADA COM MOTOR ELÉTRICO POTÊNCIA DE 5HP, COM COIFA PARA DISCO 10" - CHI DIURNO. AF_08/2015</v>
      </c>
      <c r="E1636" s="594" t="str">
        <f>IFERROR(VLOOKUP($C1636,'24.08_ND'!$A:$D,3,0),)</f>
        <v>CHI</v>
      </c>
      <c r="F1636" s="375">
        <v>0.66333333299999997</v>
      </c>
      <c r="G1636" s="595">
        <f>IFERROR(VLOOKUP($C1636,'24.08_ND'!$A:$D,4,0),)</f>
        <v>19.899999999999999</v>
      </c>
      <c r="H1636" s="440">
        <f>TRUNC(($F1636*$G1636),2)</f>
        <v>13.2</v>
      </c>
      <c r="I1636" s="262"/>
      <c r="J1636" s="262"/>
      <c r="K1636" s="262"/>
      <c r="L1636" s="262"/>
      <c r="M1636" s="262"/>
      <c r="N1636" s="262"/>
      <c r="O1636" s="262"/>
      <c r="P1636" s="262"/>
      <c r="Q1636" s="262"/>
      <c r="R1636" s="262"/>
      <c r="S1636" s="262"/>
      <c r="T1636" s="262"/>
      <c r="U1636" s="262"/>
      <c r="V1636" s="262"/>
      <c r="W1636" s="262"/>
      <c r="X1636" s="262"/>
      <c r="Y1636" s="262"/>
      <c r="Z1636" s="262"/>
      <c r="AA1636" s="262"/>
      <c r="AB1636" s="262"/>
      <c r="AD1636" s="1791" t="e">
        <f>VLOOKUP(C1636,'Medição '!$B$16:$F$1833,6,0)</f>
        <v>#N/A</v>
      </c>
      <c r="AE1636" s="1791"/>
    </row>
    <row r="1637" spans="1:31" ht="12.75">
      <c r="A1637" s="581" t="s">
        <v>14479</v>
      </c>
      <c r="B1637" s="582" t="s">
        <v>14476</v>
      </c>
      <c r="C1637" s="447">
        <v>37595</v>
      </c>
      <c r="D1637" s="596" t="str">
        <f>IFERROR(VLOOKUP($C1637,'24.08_ND'!$A:$D,2,0),)</f>
        <v>ARGAMASSA COLANTE TIPO AC III</v>
      </c>
      <c r="E1637" s="597" t="str">
        <f>IFERROR(VLOOKUP($C1637,'24.08_ND'!$A:$D,3,0),)</f>
        <v>KG</v>
      </c>
      <c r="F1637" s="385">
        <v>2.15</v>
      </c>
      <c r="G1637" s="598">
        <f>IFERROR(VLOOKUP($C1637,'24.08_ND'!$A:$D,4,0),)</f>
        <v>3.36</v>
      </c>
      <c r="H1637" s="449">
        <f>TRUNC(($F1637*$G1637),2)</f>
        <v>7.22</v>
      </c>
      <c r="I1637" s="262"/>
      <c r="J1637" s="262"/>
      <c r="K1637" s="262"/>
      <c r="L1637" s="262"/>
      <c r="M1637" s="262"/>
      <c r="N1637" s="262"/>
      <c r="O1637" s="262"/>
      <c r="P1637" s="262"/>
      <c r="Q1637" s="262"/>
      <c r="R1637" s="262"/>
      <c r="S1637" s="262"/>
      <c r="T1637" s="262"/>
      <c r="U1637" s="262"/>
      <c r="V1637" s="262"/>
      <c r="W1637" s="262"/>
      <c r="X1637" s="262"/>
      <c r="Y1637" s="262"/>
      <c r="Z1637" s="262"/>
      <c r="AA1637" s="262"/>
      <c r="AB1637" s="262"/>
    </row>
    <row r="1638" spans="1:31" ht="12.75">
      <c r="A1638" s="599" t="s">
        <v>14479</v>
      </c>
      <c r="B1638" s="600" t="s">
        <v>14491</v>
      </c>
      <c r="C1638" s="600" t="s">
        <v>14782</v>
      </c>
      <c r="D1638" s="601" t="str">
        <f>VLOOKUP($C1638,'09 - MC'!$A:$F,2,0)</f>
        <v>GRANITO CINZA ANDORINHA LEVIGADO</v>
      </c>
      <c r="E1638" s="602" t="str">
        <f>VLOOKUP($C1638,'09 - MC'!$A:$F,3,0)</f>
        <v>M2</v>
      </c>
      <c r="F1638" s="603">
        <f>0.25*1.05</f>
        <v>0.26250000000000001</v>
      </c>
      <c r="G1638" s="604">
        <f>VLOOKUP($C1638,'09 - MC'!$A:$F,6,0)</f>
        <v>364.4</v>
      </c>
      <c r="H1638" s="605">
        <f>TRUNC(G1638*F1638,2)</f>
        <v>95.65</v>
      </c>
      <c r="I1638" s="262"/>
      <c r="J1638" s="262"/>
      <c r="K1638" s="262"/>
      <c r="L1638" s="262"/>
      <c r="M1638" s="262"/>
      <c r="N1638" s="262"/>
      <c r="O1638" s="262"/>
      <c r="P1638" s="262"/>
      <c r="Q1638" s="262"/>
      <c r="R1638" s="262"/>
      <c r="S1638" s="262"/>
      <c r="T1638" s="262"/>
      <c r="U1638" s="262"/>
      <c r="V1638" s="262"/>
      <c r="W1638" s="262"/>
      <c r="X1638" s="262"/>
      <c r="Y1638" s="262"/>
      <c r="Z1638" s="262"/>
      <c r="AA1638" s="262"/>
      <c r="AB1638" s="262"/>
    </row>
    <row r="1639" spans="1:31" ht="12.75">
      <c r="A1639" s="415"/>
      <c r="B1639" s="416"/>
      <c r="C1639" s="416"/>
      <c r="D1639" s="416"/>
      <c r="E1639" s="416"/>
      <c r="F1639" s="645"/>
      <c r="G1639" s="418"/>
      <c r="H1639" s="419"/>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row>
    <row r="1640" spans="1:31" ht="25.5">
      <c r="A1640" s="358" t="s">
        <v>14471</v>
      </c>
      <c r="B1640" s="359" t="s">
        <v>14472</v>
      </c>
      <c r="C1640" s="273" t="s">
        <v>15030</v>
      </c>
      <c r="D1640" s="361" t="s">
        <v>15031</v>
      </c>
      <c r="E1640" s="359" t="s">
        <v>50</v>
      </c>
      <c r="F1640" s="362"/>
      <c r="G1640" s="362"/>
      <c r="H1640" s="363">
        <f>TRUNC(SUM(H1642:H1645),2)</f>
        <v>132.44</v>
      </c>
      <c r="I1640" s="276">
        <f>COUNTIF($C$8:$C1640,C:C)</f>
        <v>1</v>
      </c>
      <c r="J1640" s="262"/>
      <c r="K1640" s="262"/>
      <c r="L1640" s="262"/>
      <c r="M1640" s="262"/>
      <c r="N1640" s="262"/>
      <c r="O1640" s="262"/>
      <c r="P1640" s="262"/>
      <c r="Q1640" s="262"/>
      <c r="R1640" s="262"/>
      <c r="S1640" s="262"/>
      <c r="T1640" s="262"/>
      <c r="U1640" s="262"/>
      <c r="V1640" s="262"/>
      <c r="W1640" s="262"/>
      <c r="X1640" s="262"/>
      <c r="Y1640" s="262"/>
      <c r="Z1640" s="262"/>
      <c r="AA1640" s="262"/>
      <c r="AB1640" s="262"/>
    </row>
    <row r="1641" spans="1:31" ht="12.75">
      <c r="A1641" s="364" t="s">
        <v>14475</v>
      </c>
      <c r="B1641" s="403" t="s">
        <v>14476</v>
      </c>
      <c r="C1641" s="404">
        <v>98689</v>
      </c>
      <c r="D1641" s="367" t="s">
        <v>14477</v>
      </c>
      <c r="E1641" s="405"/>
      <c r="F1641" s="642"/>
      <c r="G1641" s="370"/>
      <c r="H1641" s="371"/>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row>
    <row r="1642" spans="1:31" ht="25.5">
      <c r="A1642" s="372" t="s">
        <v>14478</v>
      </c>
      <c r="B1642" s="421" t="s">
        <v>14476</v>
      </c>
      <c r="C1642" s="374">
        <v>88274</v>
      </c>
      <c r="D1642" s="593" t="str">
        <f>IFERROR(VLOOKUP($C1642,'24.08_ND'!$A:$D,2,0),)</f>
        <v>MARMORISTA/GRANITEIRO COM ENCARGOS COMPLEMENTARES</v>
      </c>
      <c r="E1642" s="594" t="str">
        <f>IFERROR(VLOOKUP($C1642,'24.08_ND'!$A:$D,3,0),)</f>
        <v>H</v>
      </c>
      <c r="F1642" s="375">
        <v>0.91166666699999999</v>
      </c>
      <c r="G1642" s="595">
        <f>IFERROR(VLOOKUP($C1642,'24.08_ND'!$A:$D,4,0),)</f>
        <v>23.2</v>
      </c>
      <c r="H1642" s="440">
        <f>TRUNC(($F1642*$G1642),2)</f>
        <v>21.15</v>
      </c>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D1642" s="1791" t="e">
        <f>VLOOKUP(C1642,'Medição '!$B$16:$F$1833,6,0)</f>
        <v>#N/A</v>
      </c>
      <c r="AE1642" s="1791"/>
    </row>
    <row r="1643" spans="1:31" ht="25.5">
      <c r="A1643" s="372" t="s">
        <v>14478</v>
      </c>
      <c r="B1643" s="421" t="s">
        <v>14476</v>
      </c>
      <c r="C1643" s="374">
        <v>88316</v>
      </c>
      <c r="D1643" s="593" t="str">
        <f>IFERROR(VLOOKUP($C1643,'24.08_ND'!$A:$D,2,0),)</f>
        <v>SERVENTE COM ENCARGOS COMPLEMENTARES</v>
      </c>
      <c r="E1643" s="594" t="str">
        <f>IFERROR(VLOOKUP($C1643,'24.08_ND'!$A:$D,3,0),)</f>
        <v>H</v>
      </c>
      <c r="F1643" s="375">
        <v>0.45500000000000002</v>
      </c>
      <c r="G1643" s="595">
        <f>IFERROR(VLOOKUP($C1643,'24.08_ND'!$A:$D,4,0),)</f>
        <v>18.510000000000002</v>
      </c>
      <c r="H1643" s="440">
        <f>TRUNC(($F1643*$G1643),2)</f>
        <v>8.42</v>
      </c>
      <c r="I1643" s="262"/>
      <c r="J1643" s="262"/>
      <c r="K1643" s="262"/>
      <c r="L1643" s="262"/>
      <c r="M1643" s="262"/>
      <c r="N1643" s="262"/>
      <c r="O1643" s="262"/>
      <c r="P1643" s="262"/>
      <c r="Q1643" s="262"/>
      <c r="R1643" s="262"/>
      <c r="S1643" s="262"/>
      <c r="T1643" s="262"/>
      <c r="U1643" s="262"/>
      <c r="V1643" s="262"/>
      <c r="W1643" s="262"/>
      <c r="X1643" s="262"/>
      <c r="Y1643" s="262"/>
      <c r="Z1643" s="262"/>
      <c r="AA1643" s="262"/>
      <c r="AB1643" s="262"/>
      <c r="AD1643" s="1791" t="e">
        <f>VLOOKUP(C1643,'Medição '!$B$16:$F$1833,6,0)</f>
        <v>#N/A</v>
      </c>
      <c r="AE1643" s="1791"/>
    </row>
    <row r="1644" spans="1:31" ht="12.75">
      <c r="A1644" s="581" t="s">
        <v>14479</v>
      </c>
      <c r="B1644" s="582" t="s">
        <v>14476</v>
      </c>
      <c r="C1644" s="447">
        <v>37595</v>
      </c>
      <c r="D1644" s="596" t="str">
        <f>IFERROR(VLOOKUP($C1644,'24.08_ND'!$A:$D,2,0),)</f>
        <v>ARGAMASSA COLANTE TIPO AC III</v>
      </c>
      <c r="E1644" s="597" t="str">
        <f>IFERROR(VLOOKUP($C1644,'24.08_ND'!$A:$D,3,0),)</f>
        <v>KG</v>
      </c>
      <c r="F1644" s="385">
        <v>2.15</v>
      </c>
      <c r="G1644" s="598">
        <f>IFERROR(VLOOKUP($C1644,'24.08_ND'!$A:$D,4,0),)</f>
        <v>3.36</v>
      </c>
      <c r="H1644" s="449">
        <f>TRUNC(($F1644*$G1644),2)</f>
        <v>7.22</v>
      </c>
      <c r="I1644" s="262"/>
      <c r="J1644" s="262"/>
      <c r="K1644" s="262"/>
      <c r="L1644" s="262"/>
      <c r="M1644" s="262"/>
      <c r="N1644" s="262"/>
      <c r="O1644" s="262"/>
      <c r="P1644" s="262"/>
      <c r="Q1644" s="262"/>
      <c r="R1644" s="262"/>
      <c r="S1644" s="262"/>
      <c r="T1644" s="262"/>
      <c r="U1644" s="262"/>
      <c r="V1644" s="262"/>
      <c r="W1644" s="262"/>
      <c r="X1644" s="262"/>
      <c r="Y1644" s="262"/>
      <c r="Z1644" s="262"/>
      <c r="AA1644" s="262"/>
      <c r="AB1644" s="262"/>
    </row>
    <row r="1645" spans="1:31" ht="12.75">
      <c r="A1645" s="599" t="s">
        <v>14479</v>
      </c>
      <c r="B1645" s="600" t="s">
        <v>14491</v>
      </c>
      <c r="C1645" s="600" t="s">
        <v>14782</v>
      </c>
      <c r="D1645" s="601" t="str">
        <f>VLOOKUP($C1645,'09 - MC'!$A:$F,2,0)</f>
        <v>GRANITO CINZA ANDORINHA LEVIGADO</v>
      </c>
      <c r="E1645" s="602" t="str">
        <f>VLOOKUP($C1645,'09 - MC'!$A:$F,3,0)</f>
        <v>M2</v>
      </c>
      <c r="F1645" s="603">
        <f>0.25*1.05</f>
        <v>0.26250000000000001</v>
      </c>
      <c r="G1645" s="604">
        <f>VLOOKUP($C1645,'09 - MC'!$A:$F,6,0)</f>
        <v>364.4</v>
      </c>
      <c r="H1645" s="605">
        <f>TRUNC(G1645*F1645,2)</f>
        <v>95.65</v>
      </c>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row>
    <row r="1646" spans="1:31" ht="12.75">
      <c r="A1646" s="637"/>
      <c r="B1646" s="303"/>
      <c r="C1646" s="303"/>
      <c r="D1646" s="310"/>
      <c r="E1646" s="303"/>
      <c r="F1646" s="306"/>
      <c r="G1646" s="307"/>
      <c r="H1646" s="308"/>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row>
    <row r="1647" spans="1:31" ht="25.5">
      <c r="A1647" s="271" t="s">
        <v>14471</v>
      </c>
      <c r="B1647" s="272" t="s">
        <v>14472</v>
      </c>
      <c r="C1647" s="273" t="s">
        <v>15032</v>
      </c>
      <c r="D1647" s="274" t="s">
        <v>15033</v>
      </c>
      <c r="E1647" s="272" t="s">
        <v>409</v>
      </c>
      <c r="F1647" s="272"/>
      <c r="G1647" s="272"/>
      <c r="H1647" s="275">
        <f>TRUNC(SUM(H1649:H1656),2)</f>
        <v>158.38999999999999</v>
      </c>
      <c r="I1647" s="276">
        <f>COUNTIF($C$8:$C1647,C:C)</f>
        <v>1</v>
      </c>
      <c r="J1647" s="262"/>
      <c r="K1647" s="262"/>
      <c r="L1647" s="262"/>
      <c r="M1647" s="262"/>
      <c r="N1647" s="262"/>
      <c r="O1647" s="262"/>
      <c r="P1647" s="262"/>
      <c r="Q1647" s="262"/>
      <c r="R1647" s="262"/>
      <c r="S1647" s="262"/>
      <c r="T1647" s="262"/>
      <c r="U1647" s="262"/>
      <c r="V1647" s="262"/>
      <c r="W1647" s="262"/>
      <c r="X1647" s="262"/>
      <c r="Y1647" s="262"/>
      <c r="Z1647" s="262"/>
      <c r="AA1647" s="262"/>
      <c r="AB1647" s="262"/>
    </row>
    <row r="1648" spans="1:31" ht="12.75">
      <c r="A1648" s="277" t="s">
        <v>14475</v>
      </c>
      <c r="B1648" s="488" t="s">
        <v>14476</v>
      </c>
      <c r="C1648" s="489">
        <v>96116</v>
      </c>
      <c r="D1648" s="490" t="s">
        <v>14773</v>
      </c>
      <c r="E1648" s="186"/>
      <c r="F1648" s="638"/>
      <c r="G1648" s="341"/>
      <c r="H1648" s="34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row>
    <row r="1649" spans="1:31" ht="25.5">
      <c r="A1649" s="285" t="s">
        <v>14478</v>
      </c>
      <c r="B1649" s="407" t="s">
        <v>14476</v>
      </c>
      <c r="C1649" s="408">
        <v>88278</v>
      </c>
      <c r="D1649" s="288" t="str">
        <f>IFERROR(VLOOKUP($C1649,'24.08_ND'!$A:$D,2,0),)</f>
        <v>MONTADOR DE ESTRUTURA METÁLICA COM ENCARGOS COMPLEMENTARES</v>
      </c>
      <c r="E1649" s="289" t="str">
        <f>IFERROR(VLOOKUP($C1649,'24.08_ND'!$A:$D,3,0),)</f>
        <v>H</v>
      </c>
      <c r="F1649" s="680">
        <v>0.6</v>
      </c>
      <c r="G1649" s="291">
        <f>IFERROR(VLOOKUP($C1649,'24.08_ND'!$A:$D,4,0),)</f>
        <v>20.440000000000001</v>
      </c>
      <c r="H1649" s="292">
        <f t="shared" ref="H1649:H1655" si="68">TRUNC(($F1649*$G1649),2)</f>
        <v>12.26</v>
      </c>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D1649" s="1791" t="e">
        <f>VLOOKUP(C1649,'Medição '!$B$16:$F$1833,6,0)</f>
        <v>#N/A</v>
      </c>
      <c r="AE1649" s="1791"/>
    </row>
    <row r="1650" spans="1:31" ht="25.5">
      <c r="A1650" s="494" t="s">
        <v>14479</v>
      </c>
      <c r="B1650" s="495" t="s">
        <v>14476</v>
      </c>
      <c r="C1650" s="559">
        <v>39427</v>
      </c>
      <c r="D1650" s="296" t="str">
        <f>IFERROR(VLOOKUP($C1650,'24.08_ND'!$A:$D,2,0),)</f>
        <v>PERFIL CANALETA, FORMATO C, EM ACO ZINCADO, PARA ESTRUTURA FORRO DRYWALL, E = 0,5 MM, *46 X 18* (L X H), COMPRIMENTO 3 M</v>
      </c>
      <c r="E1650" s="297" t="str">
        <f>IFERROR(VLOOKUP($C1650,'24.08_ND'!$A:$D,3,0),)</f>
        <v>M</v>
      </c>
      <c r="F1650" s="669">
        <v>3.5470000000000002</v>
      </c>
      <c r="G1650" s="299">
        <f>IFERROR(VLOOKUP($C1650,'24.08_ND'!$A:$D,4,0),)</f>
        <v>4.2</v>
      </c>
      <c r="H1650" s="681">
        <f t="shared" si="68"/>
        <v>14.89</v>
      </c>
      <c r="I1650" s="262"/>
      <c r="J1650" s="262"/>
      <c r="K1650" s="262"/>
      <c r="L1650" s="262"/>
      <c r="M1650" s="262"/>
      <c r="N1650" s="262"/>
      <c r="O1650" s="262"/>
      <c r="P1650" s="262"/>
      <c r="Q1650" s="262"/>
      <c r="R1650" s="262"/>
      <c r="S1650" s="262"/>
      <c r="T1650" s="262"/>
      <c r="U1650" s="262"/>
      <c r="V1650" s="262"/>
      <c r="W1650" s="262"/>
      <c r="X1650" s="262"/>
      <c r="Y1650" s="262"/>
      <c r="Z1650" s="262"/>
      <c r="AA1650" s="262"/>
      <c r="AB1650" s="262"/>
    </row>
    <row r="1651" spans="1:31" ht="25.5">
      <c r="A1651" s="494" t="s">
        <v>14479</v>
      </c>
      <c r="B1651" s="495" t="s">
        <v>14476</v>
      </c>
      <c r="C1651" s="559">
        <v>39430</v>
      </c>
      <c r="D1651" s="296" t="str">
        <f>IFERROR(VLOOKUP($C1651,'24.08_ND'!$A:$D,2,0),)</f>
        <v>PENDURAL OU PRESILHA REGULADORA, EM ACO GALVANIZADO, COM CORPO, MOLA E REBITE, PARA PERFIL TIPO CANALETA DE ESTRUTURA EM FORROS DRYWALL</v>
      </c>
      <c r="E1651" s="297" t="str">
        <f>IFERROR(VLOOKUP($C1651,'24.08_ND'!$A:$D,3,0),)</f>
        <v>UN</v>
      </c>
      <c r="F1651" s="669">
        <v>1.2266999999999999</v>
      </c>
      <c r="G1651" s="299">
        <f>IFERROR(VLOOKUP($C1651,'24.08_ND'!$A:$D,4,0),)</f>
        <v>1.58</v>
      </c>
      <c r="H1651" s="681">
        <f t="shared" si="68"/>
        <v>1.93</v>
      </c>
      <c r="I1651" s="262"/>
      <c r="J1651" s="262"/>
      <c r="K1651" s="262"/>
      <c r="L1651" s="262"/>
      <c r="M1651" s="262"/>
      <c r="N1651" s="262"/>
      <c r="O1651" s="262"/>
      <c r="P1651" s="262"/>
      <c r="Q1651" s="262"/>
      <c r="R1651" s="262"/>
      <c r="S1651" s="262"/>
      <c r="T1651" s="262"/>
      <c r="U1651" s="262"/>
      <c r="V1651" s="262"/>
      <c r="W1651" s="262"/>
      <c r="X1651" s="262"/>
      <c r="Y1651" s="262"/>
      <c r="Z1651" s="262"/>
      <c r="AA1651" s="262"/>
      <c r="AB1651" s="262"/>
    </row>
    <row r="1652" spans="1:31" ht="25.5">
      <c r="A1652" s="494" t="s">
        <v>14479</v>
      </c>
      <c r="B1652" s="495" t="s">
        <v>14476</v>
      </c>
      <c r="C1652" s="559">
        <v>39443</v>
      </c>
      <c r="D1652" s="296" t="str">
        <f>IFERROR(VLOOKUP($C1652,'24.08_ND'!$A:$D,2,0),)</f>
        <v>PARAFUSO DRY WALL, EM ACO ZINCADO, CABECA LENTILHA E PONTA BROCA (LB), LARGURA 4,2 MM, COMPRIMENTO 13 MM</v>
      </c>
      <c r="E1652" s="297" t="str">
        <f>IFERROR(VLOOKUP($C1652,'24.08_ND'!$A:$D,3,0),)</f>
        <v>UN</v>
      </c>
      <c r="F1652" s="669">
        <v>2.2134</v>
      </c>
      <c r="G1652" s="299">
        <f>IFERROR(VLOOKUP($C1652,'24.08_ND'!$A:$D,4,0),)</f>
        <v>0.22</v>
      </c>
      <c r="H1652" s="681">
        <f t="shared" si="68"/>
        <v>0.48</v>
      </c>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row>
    <row r="1653" spans="1:31" ht="12.75">
      <c r="A1653" s="494" t="s">
        <v>14479</v>
      </c>
      <c r="B1653" s="495" t="s">
        <v>14476</v>
      </c>
      <c r="C1653" s="559">
        <v>40547</v>
      </c>
      <c r="D1653" s="296" t="str">
        <f>IFERROR(VLOOKUP($C1653,'24.08_ND'!$A:$D,2,0),)</f>
        <v>PARAFUSO ZINCADO, AUTOBROCANTE, FLANGEADO, 4,2 MM X 19 MM</v>
      </c>
      <c r="E1653" s="297" t="str">
        <f>IFERROR(VLOOKUP($C1653,'24.08_ND'!$A:$D,3,0),)</f>
        <v>CENTO</v>
      </c>
      <c r="F1653" s="669">
        <v>2.35E-2</v>
      </c>
      <c r="G1653" s="299">
        <f>IFERROR(VLOOKUP($C1653,'24.08_ND'!$A:$D,4,0),)</f>
        <v>26.33</v>
      </c>
      <c r="H1653" s="681">
        <f t="shared" si="68"/>
        <v>0.61</v>
      </c>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row>
    <row r="1654" spans="1:31" ht="25.5">
      <c r="A1654" s="494" t="s">
        <v>14479</v>
      </c>
      <c r="B1654" s="495" t="s">
        <v>14476</v>
      </c>
      <c r="C1654" s="559">
        <v>40552</v>
      </c>
      <c r="D1654" s="296" t="str">
        <f>IFERROR(VLOOKUP($C1654,'24.08_ND'!$A:$D,2,0),)</f>
        <v>PARAFUSO, AUTOATARRAXANTE, CABECA CHATA, FENDA SIMPLES, EM ACO ZINCADO, 1/4" (6,35 MM) X 25 MM</v>
      </c>
      <c r="E1654" s="297" t="str">
        <f>IFERROR(VLOOKUP($C1654,'24.08_ND'!$A:$D,3,0),)</f>
        <v>CENTO</v>
      </c>
      <c r="F1654" s="669">
        <v>4.5699999999999998E-2</v>
      </c>
      <c r="G1654" s="299">
        <f>IFERROR(VLOOKUP($C1654,'24.08_ND'!$A:$D,4,0),)</f>
        <v>45.14</v>
      </c>
      <c r="H1654" s="681">
        <f t="shared" si="68"/>
        <v>2.06</v>
      </c>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row>
    <row r="1655" spans="1:31" ht="25.5">
      <c r="A1655" s="494" t="s">
        <v>14479</v>
      </c>
      <c r="B1655" s="495" t="s">
        <v>14476</v>
      </c>
      <c r="C1655" s="559">
        <v>43131</v>
      </c>
      <c r="D1655" s="296" t="str">
        <f>IFERROR(VLOOKUP($C1655,'24.08_ND'!$A:$D,2,0),)</f>
        <v>ARAME GALVANIZADO 6 BWG, D = 5,16 MM (0,157 KG/M), OU 8 BWG, D = 4,19 MM (0,101 KG/M), OU 10 BWG, D = 3,40 MM (0,0713 KG/M)</v>
      </c>
      <c r="E1655" s="297" t="str">
        <f>IFERROR(VLOOKUP($C1655,'24.08_ND'!$A:$D,3,0),)</f>
        <v>KG</v>
      </c>
      <c r="F1655" s="669">
        <v>4.8000000000000001E-2</v>
      </c>
      <c r="G1655" s="299">
        <f>IFERROR(VLOOKUP($C1655,'24.08_ND'!$A:$D,4,0),)</f>
        <v>26.4</v>
      </c>
      <c r="H1655" s="681">
        <f t="shared" si="68"/>
        <v>1.26</v>
      </c>
      <c r="I1655" s="262"/>
      <c r="J1655" s="262"/>
      <c r="K1655" s="262"/>
      <c r="L1655" s="262"/>
      <c r="M1655" s="262"/>
      <c r="N1655" s="262"/>
      <c r="O1655" s="262"/>
      <c r="P1655" s="262"/>
      <c r="Q1655" s="262"/>
      <c r="R1655" s="262"/>
      <c r="S1655" s="262"/>
      <c r="T1655" s="262"/>
      <c r="U1655" s="262"/>
      <c r="V1655" s="262"/>
      <c r="W1655" s="262"/>
      <c r="X1655" s="262"/>
      <c r="Y1655" s="262"/>
      <c r="Z1655" s="262"/>
      <c r="AA1655" s="262"/>
      <c r="AB1655" s="262"/>
    </row>
    <row r="1656" spans="1:31" ht="12.75">
      <c r="A1656" s="319" t="s">
        <v>14479</v>
      </c>
      <c r="B1656" s="320" t="s">
        <v>14491</v>
      </c>
      <c r="C1656" s="628" t="s">
        <v>15034</v>
      </c>
      <c r="D1656" s="321" t="str">
        <f>VLOOKUP($C1656,'09 - MC'!$A:$F,2,0)</f>
        <v>FORRO VINÍLICO</v>
      </c>
      <c r="E1656" s="322" t="str">
        <f>VLOOKUP($C1656,'09 - MC'!$A:$F,3,0)</f>
        <v>M2</v>
      </c>
      <c r="F1656" s="629">
        <v>1.05</v>
      </c>
      <c r="G1656" s="324">
        <f>VLOOKUP($C1656,'09 - MC'!$A:$F,6,0)</f>
        <v>118.96</v>
      </c>
      <c r="H1656" s="325">
        <f>TRUNC(G1656*F1656,2)</f>
        <v>124.9</v>
      </c>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row>
    <row r="1657" spans="1:31" ht="12.75">
      <c r="A1657" s="682"/>
      <c r="B1657" s="683"/>
      <c r="C1657" s="683"/>
      <c r="D1657" s="683"/>
      <c r="E1657" s="416"/>
      <c r="F1657" s="645"/>
      <c r="G1657" s="418"/>
      <c r="H1657" s="419"/>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row>
    <row r="1658" spans="1:31" ht="12.75">
      <c r="A1658" s="358" t="s">
        <v>14471</v>
      </c>
      <c r="B1658" s="359" t="s">
        <v>14472</v>
      </c>
      <c r="C1658" s="273" t="s">
        <v>15035</v>
      </c>
      <c r="D1658" s="361" t="s">
        <v>15036</v>
      </c>
      <c r="E1658" s="359" t="s">
        <v>6</v>
      </c>
      <c r="F1658" s="362"/>
      <c r="G1658" s="362"/>
      <c r="H1658" s="363">
        <f>TRUNC(SUM(H1660:H1665),2)</f>
        <v>2276.9699999999998</v>
      </c>
      <c r="I1658" s="276">
        <f>COUNTIF($C$8:$C1658,C:C)</f>
        <v>1</v>
      </c>
      <c r="J1658" s="262"/>
      <c r="K1658" s="262"/>
      <c r="L1658" s="262"/>
      <c r="M1658" s="262"/>
      <c r="N1658" s="262"/>
      <c r="O1658" s="262"/>
      <c r="P1658" s="262"/>
      <c r="Q1658" s="262"/>
      <c r="R1658" s="262"/>
      <c r="S1658" s="262"/>
      <c r="T1658" s="262"/>
      <c r="U1658" s="262"/>
      <c r="V1658" s="262"/>
      <c r="W1658" s="262"/>
      <c r="X1658" s="262"/>
      <c r="Y1658" s="262"/>
      <c r="Z1658" s="262"/>
      <c r="AA1658" s="262"/>
      <c r="AB1658" s="262"/>
    </row>
    <row r="1659" spans="1:31" ht="12.75">
      <c r="A1659" s="364" t="s">
        <v>14475</v>
      </c>
      <c r="B1659" s="365" t="s">
        <v>14513</v>
      </c>
      <c r="C1659" s="365">
        <v>190662</v>
      </c>
      <c r="D1659" s="367" t="s">
        <v>14773</v>
      </c>
      <c r="E1659" s="368"/>
      <c r="F1659" s="642"/>
      <c r="G1659" s="370"/>
      <c r="H1659" s="371"/>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row>
    <row r="1660" spans="1:31" ht="25.5">
      <c r="A1660" s="372" t="s">
        <v>14478</v>
      </c>
      <c r="B1660" s="421" t="s">
        <v>14476</v>
      </c>
      <c r="C1660" s="374">
        <v>88248</v>
      </c>
      <c r="D1660" s="288" t="str">
        <f>IFERROR(VLOOKUP($C1660,'24.08_ND'!$A:$D,2,0),)</f>
        <v>AUXILIAR DE ENCANADOR OU BOMBEIRO HIDRÁULICO COM ENCARGOS COMPLEMENTARES</v>
      </c>
      <c r="E1660" s="289" t="str">
        <f>IFERROR(VLOOKUP($C1660,'24.08_ND'!$A:$D,3,0),)</f>
        <v>H</v>
      </c>
      <c r="F1660" s="375">
        <v>0.2114</v>
      </c>
      <c r="G1660" s="291">
        <f>IFERROR(VLOOKUP($C1660,'24.08_ND'!$A:$D,4,0),)</f>
        <v>19.05</v>
      </c>
      <c r="H1660" s="292">
        <f>TRUNC(($F1660*$G1660),2)</f>
        <v>4.0199999999999996</v>
      </c>
      <c r="I1660" s="262"/>
      <c r="J1660" s="262"/>
      <c r="K1660" s="262"/>
      <c r="L1660" s="262"/>
      <c r="M1660" s="262"/>
      <c r="N1660" s="262"/>
      <c r="O1660" s="262"/>
      <c r="P1660" s="262"/>
      <c r="Q1660" s="262"/>
      <c r="R1660" s="262"/>
      <c r="S1660" s="262"/>
      <c r="T1660" s="262"/>
      <c r="U1660" s="262"/>
      <c r="V1660" s="262"/>
      <c r="W1660" s="262"/>
      <c r="X1660" s="262"/>
      <c r="Y1660" s="262"/>
      <c r="Z1660" s="262"/>
      <c r="AA1660" s="262"/>
      <c r="AB1660" s="262"/>
      <c r="AD1660" s="1791" t="e">
        <f>VLOOKUP(C1660,'Medição '!$B$16:$F$1833,6,0)</f>
        <v>#N/A</v>
      </c>
      <c r="AE1660" s="1791"/>
    </row>
    <row r="1661" spans="1:31" ht="25.5">
      <c r="A1661" s="372" t="s">
        <v>14478</v>
      </c>
      <c r="B1661" s="421" t="s">
        <v>14476</v>
      </c>
      <c r="C1661" s="374">
        <v>88267</v>
      </c>
      <c r="D1661" s="288" t="str">
        <f>IFERROR(VLOOKUP($C1661,'24.08_ND'!$A:$D,2,0),)</f>
        <v>ENCANADOR OU BOMBEIRO HIDRÁULICO COM ENCARGOS COMPLEMENTARES</v>
      </c>
      <c r="E1661" s="289" t="str">
        <f>IFERROR(VLOOKUP($C1661,'24.08_ND'!$A:$D,3,0),)</f>
        <v>H</v>
      </c>
      <c r="F1661" s="375">
        <v>0.2114</v>
      </c>
      <c r="G1661" s="291">
        <f>IFERROR(VLOOKUP($C1661,'24.08_ND'!$A:$D,4,0),)</f>
        <v>23.27</v>
      </c>
      <c r="H1661" s="292">
        <f>TRUNC(($F1661*$G1661),2)</f>
        <v>4.91</v>
      </c>
      <c r="I1661" s="262"/>
      <c r="J1661" s="262"/>
      <c r="K1661" s="262"/>
      <c r="L1661" s="262"/>
      <c r="M1661" s="262"/>
      <c r="N1661" s="262"/>
      <c r="O1661" s="262"/>
      <c r="P1661" s="262"/>
      <c r="Q1661" s="262"/>
      <c r="R1661" s="262"/>
      <c r="S1661" s="262"/>
      <c r="T1661" s="262"/>
      <c r="U1661" s="262"/>
      <c r="V1661" s="262"/>
      <c r="W1661" s="262"/>
      <c r="X1661" s="262"/>
      <c r="Y1661" s="262"/>
      <c r="Z1661" s="262"/>
      <c r="AA1661" s="262"/>
      <c r="AB1661" s="262"/>
      <c r="AD1661" s="1791" t="e">
        <f>VLOOKUP(C1661,'Medição '!$B$16:$F$1833,6,0)</f>
        <v>#N/A</v>
      </c>
      <c r="AE1661" s="1791"/>
    </row>
    <row r="1662" spans="1:31" ht="25.5">
      <c r="A1662" s="372" t="s">
        <v>14478</v>
      </c>
      <c r="B1662" s="421" t="s">
        <v>14476</v>
      </c>
      <c r="C1662" s="374">
        <v>88264</v>
      </c>
      <c r="D1662" s="288" t="str">
        <f>IFERROR(VLOOKUP($C1662,'24.08_ND'!$A:$D,2,0),)</f>
        <v>ELETRICISTA COM ENCARGOS COMPLEMENTARES</v>
      </c>
      <c r="E1662" s="289" t="str">
        <f>IFERROR(VLOOKUP($C1662,'24.08_ND'!$A:$D,3,0),)</f>
        <v>H</v>
      </c>
      <c r="F1662" s="375">
        <v>1.1512</v>
      </c>
      <c r="G1662" s="291">
        <f>IFERROR(VLOOKUP($C1662,'24.08_ND'!$A:$D,4,0),)</f>
        <v>24.3</v>
      </c>
      <c r="H1662" s="292">
        <f>TRUNC(($F1662*$G1662),2)</f>
        <v>27.97</v>
      </c>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D1662" s="1791" t="e">
        <f>VLOOKUP(C1662,'Medição '!$B$16:$F$1833,6,0)</f>
        <v>#N/A</v>
      </c>
      <c r="AE1662" s="1791"/>
    </row>
    <row r="1663" spans="1:31" ht="12.75">
      <c r="A1663" s="599" t="s">
        <v>14479</v>
      </c>
      <c r="B1663" s="600" t="s">
        <v>14491</v>
      </c>
      <c r="C1663" s="684" t="s">
        <v>15037</v>
      </c>
      <c r="D1663" s="601" t="str">
        <f>VLOOKUP($C1663,'09 - MC'!$A:$F,2,0)</f>
        <v>VÁLVULA DE DESCARGA ELETRÔNICA - SENSOR</v>
      </c>
      <c r="E1663" s="602" t="str">
        <f>VLOOKUP($C1663,'09 - MC'!$A:$F,3,0)</f>
        <v>UN</v>
      </c>
      <c r="F1663" s="685">
        <v>1</v>
      </c>
      <c r="G1663" s="604">
        <f>VLOOKUP($C1663,'09 - MC'!$A:$F,6,0)</f>
        <v>2239.83</v>
      </c>
      <c r="H1663" s="605">
        <f>TRUNC(G1663*F1663,2)</f>
        <v>2239.83</v>
      </c>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row>
    <row r="1664" spans="1:31" ht="12.75">
      <c r="A1664" s="581" t="s">
        <v>14479</v>
      </c>
      <c r="B1664" s="582" t="s">
        <v>14476</v>
      </c>
      <c r="C1664" s="447">
        <v>3146</v>
      </c>
      <c r="D1664" s="296" t="str">
        <f>IFERROR(VLOOKUP($C1664,'24.08_ND'!$A:$D,2,0),)</f>
        <v>FITA VEDA ROSCA EM ROLOS DE 18 MM X 10 M (L X C)</v>
      </c>
      <c r="E1664" s="297" t="str">
        <f>IFERROR(VLOOKUP($C1664,'24.08_ND'!$A:$D,3,0),)</f>
        <v>UN</v>
      </c>
      <c r="F1664" s="385">
        <v>3.1800000000000002E-2</v>
      </c>
      <c r="G1664" s="299">
        <f>IFERROR(VLOOKUP($C1664,'24.08_ND'!$A:$D,4,0),)</f>
        <v>3.59</v>
      </c>
      <c r="H1664" s="681">
        <f>TRUNC(($F1664*$G1664),2)</f>
        <v>0.11</v>
      </c>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row>
    <row r="1665" spans="1:31" ht="12.75">
      <c r="A1665" s="581" t="s">
        <v>14479</v>
      </c>
      <c r="B1665" s="582" t="s">
        <v>14476</v>
      </c>
      <c r="C1665" s="447">
        <v>21127</v>
      </c>
      <c r="D1665" s="296" t="str">
        <f>IFERROR(VLOOKUP($C1665,'24.08_ND'!$A:$D,2,0),)</f>
        <v>FITA ISOLANTE ADESIVA ANTICHAMA, USO ATE 750 V, EM ROLO DE 19 MM X 5 M</v>
      </c>
      <c r="E1665" s="297" t="str">
        <f>IFERROR(VLOOKUP($C1665,'24.08_ND'!$A:$D,3,0),)</f>
        <v>UN</v>
      </c>
      <c r="F1665" s="385">
        <v>3.1800000000000002E-2</v>
      </c>
      <c r="G1665" s="299">
        <f>IFERROR(VLOOKUP($C1665,'24.08_ND'!$A:$D,4,0),)</f>
        <v>4.2</v>
      </c>
      <c r="H1665" s="681">
        <f>TRUNC(($F1665*$G1665),2)</f>
        <v>0.13</v>
      </c>
      <c r="I1665" s="262"/>
      <c r="J1665" s="262"/>
      <c r="K1665" s="262"/>
      <c r="L1665" s="262"/>
      <c r="M1665" s="262"/>
      <c r="N1665" s="262"/>
      <c r="O1665" s="262"/>
      <c r="P1665" s="262"/>
      <c r="Q1665" s="262"/>
      <c r="R1665" s="262"/>
      <c r="S1665" s="262"/>
      <c r="T1665" s="262"/>
      <c r="U1665" s="262"/>
      <c r="V1665" s="262"/>
      <c r="W1665" s="262"/>
      <c r="X1665" s="262"/>
      <c r="Y1665" s="262"/>
      <c r="Z1665" s="262"/>
      <c r="AA1665" s="262"/>
      <c r="AB1665" s="262"/>
    </row>
    <row r="1666" spans="1:31" ht="12.75">
      <c r="A1666" s="686"/>
      <c r="B1666" s="687"/>
      <c r="C1666" s="688"/>
      <c r="D1666" s="689"/>
      <c r="E1666" s="690"/>
      <c r="F1666" s="691"/>
      <c r="G1666" s="690"/>
      <c r="H1666" s="692"/>
      <c r="I1666" s="262"/>
      <c r="J1666" s="262"/>
      <c r="K1666" s="262"/>
      <c r="L1666" s="262"/>
      <c r="M1666" s="262"/>
      <c r="N1666" s="262"/>
      <c r="O1666" s="262"/>
      <c r="P1666" s="262"/>
      <c r="Q1666" s="262"/>
      <c r="R1666" s="262"/>
      <c r="S1666" s="262"/>
      <c r="T1666" s="262"/>
      <c r="U1666" s="262"/>
      <c r="V1666" s="262"/>
      <c r="W1666" s="262"/>
      <c r="X1666" s="262"/>
      <c r="Y1666" s="262"/>
      <c r="Z1666" s="262"/>
      <c r="AA1666" s="262"/>
      <c r="AB1666" s="262"/>
    </row>
    <row r="1667" spans="1:31" ht="12.75">
      <c r="A1667" s="358" t="s">
        <v>14471</v>
      </c>
      <c r="B1667" s="359" t="s">
        <v>14472</v>
      </c>
      <c r="C1667" s="273" t="s">
        <v>15038</v>
      </c>
      <c r="D1667" s="361" t="s">
        <v>15039</v>
      </c>
      <c r="E1667" s="359" t="s">
        <v>6</v>
      </c>
      <c r="F1667" s="693"/>
      <c r="G1667" s="362"/>
      <c r="H1667" s="363">
        <f>TRUNC(SUM(H1669:H1671),2)</f>
        <v>269.64999999999998</v>
      </c>
      <c r="I1667" s="276">
        <f>COUNTIF($C$8:$C1667,C:C)</f>
        <v>1</v>
      </c>
      <c r="J1667" s="262"/>
      <c r="K1667" s="262"/>
      <c r="L1667" s="262"/>
      <c r="M1667" s="262"/>
      <c r="N1667" s="262"/>
      <c r="O1667" s="262"/>
      <c r="P1667" s="262"/>
      <c r="Q1667" s="262"/>
      <c r="R1667" s="262"/>
      <c r="S1667" s="262"/>
      <c r="T1667" s="262"/>
      <c r="U1667" s="262"/>
      <c r="V1667" s="262"/>
      <c r="W1667" s="262"/>
      <c r="X1667" s="262"/>
      <c r="Y1667" s="262"/>
      <c r="Z1667" s="262"/>
      <c r="AA1667" s="262"/>
      <c r="AB1667" s="262"/>
    </row>
    <row r="1668" spans="1:31" ht="12.75">
      <c r="A1668" s="646" t="s">
        <v>14475</v>
      </c>
      <c r="B1668" s="694" t="s">
        <v>14513</v>
      </c>
      <c r="C1668" s="365">
        <v>53039</v>
      </c>
      <c r="D1668" s="695">
        <v>45536</v>
      </c>
      <c r="E1668" s="370"/>
      <c r="F1668" s="696"/>
      <c r="G1668" s="370"/>
      <c r="H1668" s="371"/>
      <c r="I1668" s="262"/>
      <c r="J1668" s="262"/>
      <c r="K1668" s="262"/>
      <c r="L1668" s="262"/>
      <c r="M1668" s="262"/>
      <c r="N1668" s="262"/>
      <c r="O1668" s="262"/>
      <c r="P1668" s="262"/>
      <c r="Q1668" s="262"/>
      <c r="R1668" s="262"/>
      <c r="S1668" s="262"/>
      <c r="T1668" s="262"/>
      <c r="U1668" s="262"/>
      <c r="V1668" s="262"/>
      <c r="W1668" s="262"/>
      <c r="X1668" s="262"/>
      <c r="Y1668" s="262"/>
      <c r="Z1668" s="262"/>
      <c r="AA1668" s="262"/>
      <c r="AB1668" s="262"/>
    </row>
    <row r="1669" spans="1:31" ht="25.5">
      <c r="A1669" s="586" t="s">
        <v>14478</v>
      </c>
      <c r="B1669" s="421" t="s">
        <v>14476</v>
      </c>
      <c r="C1669" s="422">
        <v>88248</v>
      </c>
      <c r="D1669" s="288" t="str">
        <f>IFERROR(VLOOKUP($C1669,'24.08_ND'!$A:$D,2,0),)</f>
        <v>AUXILIAR DE ENCANADOR OU BOMBEIRO HIDRÁULICO COM ENCARGOS COMPLEMENTARES</v>
      </c>
      <c r="E1669" s="289" t="str">
        <f>IFERROR(VLOOKUP($C1669,'24.08_ND'!$A:$D,3,0),)</f>
        <v>H</v>
      </c>
      <c r="F1669" s="697">
        <v>0.82499999999999996</v>
      </c>
      <c r="G1669" s="291">
        <f>IFERROR(VLOOKUP($C1669,'24.08_ND'!$A:$D,4,0),)</f>
        <v>19.05</v>
      </c>
      <c r="H1669" s="423">
        <f>TRUNC(($F1669*$G1669),2)</f>
        <v>15.71</v>
      </c>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D1669" s="1791" t="e">
        <f>VLOOKUP(C1669,'Medição '!$B$16:$F$1833,6,0)</f>
        <v>#N/A</v>
      </c>
      <c r="AE1669" s="1791"/>
    </row>
    <row r="1670" spans="1:31" ht="25.5">
      <c r="A1670" s="586" t="s">
        <v>14478</v>
      </c>
      <c r="B1670" s="421" t="s">
        <v>14476</v>
      </c>
      <c r="C1670" s="422">
        <v>88267</v>
      </c>
      <c r="D1670" s="288" t="str">
        <f>IFERROR(VLOOKUP($C1670,'24.08_ND'!$A:$D,2,0),)</f>
        <v>ENCANADOR OU BOMBEIRO HIDRÁULICO COM ENCARGOS COMPLEMENTARES</v>
      </c>
      <c r="E1670" s="289" t="str">
        <f>IFERROR(VLOOKUP($C1670,'24.08_ND'!$A:$D,3,0),)</f>
        <v>H</v>
      </c>
      <c r="F1670" s="697">
        <v>1.2370000000000001</v>
      </c>
      <c r="G1670" s="291">
        <f>IFERROR(VLOOKUP($C1670,'24.08_ND'!$A:$D,4,0),)</f>
        <v>23.27</v>
      </c>
      <c r="H1670" s="423">
        <f>TRUNC(($F1670*$G1670),2)</f>
        <v>28.78</v>
      </c>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D1670" s="1791" t="e">
        <f>VLOOKUP(C1670,'Medição '!$B$16:$F$1833,6,0)</f>
        <v>#N/A</v>
      </c>
      <c r="AE1670" s="1791"/>
    </row>
    <row r="1671" spans="1:31" ht="12.75">
      <c r="A1671" s="590" t="s">
        <v>14479</v>
      </c>
      <c r="B1671" s="312" t="str">
        <f>VLOOKUP($C1671,'• CIs EXT'!$A:$E,2,0)</f>
        <v>FDE</v>
      </c>
      <c r="C1671" s="377" t="s">
        <v>15040</v>
      </c>
      <c r="D1671" s="378" t="str">
        <f>VLOOKUP($C1671,'• CIs EXT'!$A:$E,3,0)</f>
        <v>ACABAMENTO P/ VALVULA DE DESCARGA ANTIVANDALISMO</v>
      </c>
      <c r="E1671" s="379" t="str">
        <f>VLOOKUP($C1671,'• CIs EXT'!$A:$E,4,0)</f>
        <v>UN</v>
      </c>
      <c r="F1671" s="698">
        <v>1</v>
      </c>
      <c r="G1671" s="379">
        <f>VLOOKUP($C1671,'• CIs EXT'!$A:$E,5,0)</f>
        <v>225.16</v>
      </c>
      <c r="H1671" s="381">
        <f>TRUNC(($F1671*$G1671),2)</f>
        <v>225.16</v>
      </c>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row>
    <row r="1672" spans="1:31" ht="12.75">
      <c r="A1672" s="699"/>
      <c r="B1672" s="700"/>
      <c r="C1672" s="700"/>
      <c r="D1672" s="701"/>
      <c r="E1672" s="303"/>
      <c r="F1672" s="306"/>
      <c r="G1672" s="307"/>
      <c r="H1672" s="308"/>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row>
    <row r="1673" spans="1:31" ht="12.75">
      <c r="A1673" s="271" t="s">
        <v>14471</v>
      </c>
      <c r="B1673" s="272" t="s">
        <v>14472</v>
      </c>
      <c r="C1673" s="273" t="s">
        <v>15041</v>
      </c>
      <c r="D1673" s="274" t="s">
        <v>15042</v>
      </c>
      <c r="E1673" s="272" t="s">
        <v>6</v>
      </c>
      <c r="F1673" s="272"/>
      <c r="G1673" s="272"/>
      <c r="H1673" s="275">
        <f>TRUNC(SUM(H1675:H1681),2)</f>
        <v>260.89999999999998</v>
      </c>
      <c r="I1673" s="276">
        <f>COUNTIF($C$8:$C1673,C:C)</f>
        <v>1</v>
      </c>
      <c r="J1673" s="262"/>
      <c r="K1673" s="262"/>
      <c r="L1673" s="262"/>
      <c r="M1673" s="262"/>
      <c r="N1673" s="262"/>
      <c r="O1673" s="262"/>
      <c r="P1673" s="262"/>
      <c r="Q1673" s="262"/>
      <c r="R1673" s="262"/>
      <c r="S1673" s="262"/>
      <c r="T1673" s="262"/>
      <c r="U1673" s="262"/>
      <c r="V1673" s="262"/>
      <c r="W1673" s="262"/>
      <c r="X1673" s="262"/>
      <c r="Y1673" s="262"/>
      <c r="Z1673" s="262"/>
      <c r="AA1673" s="262"/>
      <c r="AB1673" s="262"/>
    </row>
    <row r="1674" spans="1:31" ht="12.75">
      <c r="A1674" s="277" t="s">
        <v>14475</v>
      </c>
      <c r="B1674" s="488" t="s">
        <v>14476</v>
      </c>
      <c r="C1674" s="489">
        <v>86904</v>
      </c>
      <c r="D1674" s="490" t="s">
        <v>14602</v>
      </c>
      <c r="E1674" s="609"/>
      <c r="F1674" s="554"/>
      <c r="G1674" s="492"/>
      <c r="H1674" s="493"/>
      <c r="I1674" s="262"/>
      <c r="J1674" s="262"/>
      <c r="K1674" s="262"/>
      <c r="L1674" s="262"/>
      <c r="M1674" s="262"/>
      <c r="N1674" s="262"/>
      <c r="O1674" s="262"/>
      <c r="P1674" s="262"/>
      <c r="Q1674" s="262"/>
      <c r="R1674" s="262"/>
      <c r="S1674" s="262"/>
      <c r="T1674" s="262"/>
      <c r="U1674" s="262"/>
      <c r="V1674" s="262"/>
      <c r="W1674" s="262"/>
      <c r="X1674" s="262"/>
      <c r="Y1674" s="262"/>
      <c r="Z1674" s="262"/>
      <c r="AA1674" s="262"/>
      <c r="AB1674" s="262"/>
    </row>
    <row r="1675" spans="1:31" ht="25.5">
      <c r="A1675" s="285" t="s">
        <v>14478</v>
      </c>
      <c r="B1675" s="286" t="s">
        <v>14476</v>
      </c>
      <c r="C1675" s="408">
        <v>88267</v>
      </c>
      <c r="D1675" s="288" t="str">
        <f>IFERROR(VLOOKUP($C1675,'24.08_ND'!$A:$D,2,0),)</f>
        <v>ENCANADOR OU BOMBEIRO HIDRÁULICO COM ENCARGOS COMPLEMENTARES</v>
      </c>
      <c r="E1675" s="289" t="str">
        <f>IFERROR(VLOOKUP($C1675,'24.08_ND'!$A:$D,3,0),)</f>
        <v>H</v>
      </c>
      <c r="F1675" s="610">
        <v>0.25700000000000001</v>
      </c>
      <c r="G1675" s="291">
        <f>IFERROR(VLOOKUP($C1675,'24.08_ND'!$A:$D,4,0),)</f>
        <v>23.27</v>
      </c>
      <c r="H1675" s="292">
        <f t="shared" ref="H1675:H1681" si="69">TRUNC(($F1675*$G1675),2)</f>
        <v>5.98</v>
      </c>
      <c r="I1675" s="262"/>
      <c r="J1675" s="262"/>
      <c r="K1675" s="262"/>
      <c r="L1675" s="262"/>
      <c r="M1675" s="262"/>
      <c r="N1675" s="262"/>
      <c r="O1675" s="262"/>
      <c r="P1675" s="262"/>
      <c r="Q1675" s="262"/>
      <c r="R1675" s="262"/>
      <c r="S1675" s="262"/>
      <c r="T1675" s="262"/>
      <c r="U1675" s="262"/>
      <c r="V1675" s="262"/>
      <c r="W1675" s="262"/>
      <c r="X1675" s="262"/>
      <c r="Y1675" s="262"/>
      <c r="Z1675" s="262"/>
      <c r="AA1675" s="262"/>
      <c r="AB1675" s="262"/>
      <c r="AD1675" s="1791" t="e">
        <f>VLOOKUP(C1675,'Medição '!$B$16:$F$1833,6,0)</f>
        <v>#N/A</v>
      </c>
      <c r="AE1675" s="1791"/>
    </row>
    <row r="1676" spans="1:31" ht="25.5">
      <c r="A1676" s="285" t="s">
        <v>14478</v>
      </c>
      <c r="B1676" s="286" t="s">
        <v>14476</v>
      </c>
      <c r="C1676" s="408">
        <v>88316</v>
      </c>
      <c r="D1676" s="288" t="str">
        <f>IFERROR(VLOOKUP($C1676,'24.08_ND'!$A:$D,2,0),)</f>
        <v>SERVENTE COM ENCARGOS COMPLEMENTARES</v>
      </c>
      <c r="E1676" s="289" t="str">
        <f>IFERROR(VLOOKUP($C1676,'24.08_ND'!$A:$D,3,0),)</f>
        <v>H</v>
      </c>
      <c r="F1676" s="610">
        <v>0.11286</v>
      </c>
      <c r="G1676" s="291">
        <f>IFERROR(VLOOKUP($C1676,'24.08_ND'!$A:$D,4,0),)</f>
        <v>18.510000000000002</v>
      </c>
      <c r="H1676" s="292">
        <f t="shared" si="69"/>
        <v>2.08</v>
      </c>
      <c r="I1676" s="262"/>
      <c r="J1676" s="262"/>
      <c r="K1676" s="262"/>
      <c r="L1676" s="262"/>
      <c r="M1676" s="262"/>
      <c r="N1676" s="262"/>
      <c r="O1676" s="262"/>
      <c r="P1676" s="262"/>
      <c r="Q1676" s="262"/>
      <c r="R1676" s="262"/>
      <c r="S1676" s="262"/>
      <c r="T1676" s="262"/>
      <c r="U1676" s="262"/>
      <c r="V1676" s="262"/>
      <c r="W1676" s="262"/>
      <c r="X1676" s="262"/>
      <c r="Y1676" s="262"/>
      <c r="Z1676" s="262"/>
      <c r="AA1676" s="262"/>
      <c r="AB1676" s="262"/>
      <c r="AD1676" s="1791" t="e">
        <f>VLOOKUP(C1676,'Medição '!$B$16:$F$1833,6,0)</f>
        <v>#N/A</v>
      </c>
      <c r="AE1676" s="1791"/>
    </row>
    <row r="1677" spans="1:31" ht="12.75">
      <c r="A1677" s="558" t="s">
        <v>14479</v>
      </c>
      <c r="B1677" s="559" t="s">
        <v>14476</v>
      </c>
      <c r="C1677" s="559">
        <v>3146</v>
      </c>
      <c r="D1677" s="296" t="str">
        <f>IFERROR(VLOOKUP($C1677,'24.08_ND'!$A:$D,2,0),)</f>
        <v>FITA VEDA ROSCA EM ROLOS DE 18 MM X 10 M (L X C)</v>
      </c>
      <c r="E1677" s="297" t="str">
        <f>IFERROR(VLOOKUP($C1677,'24.08_ND'!$A:$D,3,0),)</f>
        <v>UN</v>
      </c>
      <c r="F1677" s="611">
        <f>0.2/10</f>
        <v>0.02</v>
      </c>
      <c r="G1677" s="299">
        <f>IFERROR(VLOOKUP($C1677,'24.08_ND'!$A:$D,4,0),)</f>
        <v>3.59</v>
      </c>
      <c r="H1677" s="300">
        <f t="shared" si="69"/>
        <v>7.0000000000000007E-2</v>
      </c>
      <c r="I1677" s="262"/>
      <c r="J1677" s="262"/>
      <c r="K1677" s="262"/>
      <c r="L1677" s="262"/>
      <c r="M1677" s="262"/>
      <c r="N1677" s="262"/>
      <c r="O1677" s="262"/>
      <c r="P1677" s="262"/>
      <c r="Q1677" s="262"/>
      <c r="R1677" s="262"/>
      <c r="S1677" s="262"/>
      <c r="T1677" s="262"/>
      <c r="U1677" s="262"/>
      <c r="V1677" s="262"/>
      <c r="W1677" s="262"/>
      <c r="X1677" s="262"/>
      <c r="Y1677" s="262"/>
      <c r="Z1677" s="262"/>
      <c r="AA1677" s="262"/>
      <c r="AB1677" s="262"/>
    </row>
    <row r="1678" spans="1:31" ht="25.5">
      <c r="A1678" s="558" t="s">
        <v>14479</v>
      </c>
      <c r="B1678" s="559" t="s">
        <v>14476</v>
      </c>
      <c r="C1678" s="559">
        <v>44945</v>
      </c>
      <c r="D1678" s="296" t="str">
        <f>IFERROR(VLOOKUP($C1678,'24.08_ND'!$A:$D,2,0),)</f>
        <v>SIFAO / TUBO SINFONADO EXTENSIVEL/SANFONADO, UNIVERSAL/ SIMPLES, ENTRE *50 A 70* CM, DE PLASTICO BRANCO</v>
      </c>
      <c r="E1678" s="297" t="str">
        <f>IFERROR(VLOOKUP($C1678,'24.08_ND'!$A:$D,3,0),)</f>
        <v>UN</v>
      </c>
      <c r="F1678" s="611">
        <v>1</v>
      </c>
      <c r="G1678" s="299">
        <f>IFERROR(VLOOKUP($C1678,'24.08_ND'!$A:$D,4,0),)</f>
        <v>10.47</v>
      </c>
      <c r="H1678" s="300">
        <f t="shared" si="69"/>
        <v>10.47</v>
      </c>
      <c r="I1678" s="262"/>
      <c r="J1678" s="262"/>
      <c r="K1678" s="262"/>
      <c r="L1678" s="262"/>
      <c r="M1678" s="262"/>
      <c r="N1678" s="262"/>
      <c r="O1678" s="262"/>
      <c r="P1678" s="262"/>
      <c r="Q1678" s="262"/>
      <c r="R1678" s="262"/>
      <c r="S1678" s="262"/>
      <c r="T1678" s="262"/>
      <c r="U1678" s="262"/>
      <c r="V1678" s="262"/>
      <c r="W1678" s="262"/>
      <c r="X1678" s="262"/>
      <c r="Y1678" s="262"/>
      <c r="Z1678" s="262"/>
      <c r="AA1678" s="262"/>
      <c r="AB1678" s="262"/>
    </row>
    <row r="1679" spans="1:31" ht="12.75">
      <c r="A1679" s="558" t="s">
        <v>14479</v>
      </c>
      <c r="B1679" s="559" t="s">
        <v>14476</v>
      </c>
      <c r="C1679" s="559">
        <v>38643</v>
      </c>
      <c r="D1679" s="296" t="str">
        <f>IFERROR(VLOOKUP($C1679,'24.08_ND'!$A:$D,2,0),)</f>
        <v>VALVULA EM METAL CROMADO PARA LAVATORIO, 1" SEM LADRAO</v>
      </c>
      <c r="E1679" s="297" t="str">
        <f>IFERROR(VLOOKUP($C1679,'24.08_ND'!$A:$D,3,0),)</f>
        <v>UN</v>
      </c>
      <c r="F1679" s="611">
        <v>1</v>
      </c>
      <c r="G1679" s="299">
        <f>IFERROR(VLOOKUP($C1679,'24.08_ND'!$A:$D,4,0),)</f>
        <v>49.19</v>
      </c>
      <c r="H1679" s="300">
        <f t="shared" si="69"/>
        <v>49.19</v>
      </c>
      <c r="I1679" s="262"/>
      <c r="J1679" s="262"/>
      <c r="K1679" s="262"/>
      <c r="L1679" s="262"/>
      <c r="M1679" s="262"/>
      <c r="N1679" s="262"/>
      <c r="O1679" s="262"/>
      <c r="P1679" s="262"/>
      <c r="Q1679" s="262"/>
      <c r="R1679" s="262"/>
      <c r="S1679" s="262"/>
      <c r="T1679" s="262"/>
      <c r="U1679" s="262"/>
      <c r="V1679" s="262"/>
      <c r="W1679" s="262"/>
      <c r="X1679" s="262"/>
      <c r="Y1679" s="262"/>
      <c r="Z1679" s="262"/>
      <c r="AA1679" s="262"/>
      <c r="AB1679" s="262"/>
    </row>
    <row r="1680" spans="1:31" ht="12.75">
      <c r="A1680" s="558" t="s">
        <v>14479</v>
      </c>
      <c r="B1680" s="559" t="s">
        <v>14476</v>
      </c>
      <c r="C1680" s="559">
        <v>39961</v>
      </c>
      <c r="D1680" s="296" t="str">
        <f>IFERROR(VLOOKUP($C1680,'24.08_ND'!$A:$D,2,0),)</f>
        <v>SILICONE ACETICO USO GERAL INCOLOR 280 G</v>
      </c>
      <c r="E1680" s="297" t="str">
        <f>IFERROR(VLOOKUP($C1680,'24.08_ND'!$A:$D,3,0),)</f>
        <v>UN</v>
      </c>
      <c r="F1680" s="611">
        <v>0.5</v>
      </c>
      <c r="G1680" s="299">
        <f>IFERROR(VLOOKUP($C1680,'24.08_ND'!$A:$D,4,0),)</f>
        <v>22.6</v>
      </c>
      <c r="H1680" s="300">
        <f t="shared" si="69"/>
        <v>11.3</v>
      </c>
      <c r="I1680" s="262"/>
      <c r="J1680" s="262"/>
      <c r="K1680" s="262"/>
      <c r="L1680" s="262"/>
      <c r="M1680" s="262"/>
      <c r="N1680" s="262"/>
      <c r="O1680" s="262"/>
      <c r="P1680" s="262"/>
      <c r="Q1680" s="262"/>
      <c r="R1680" s="262"/>
      <c r="S1680" s="262"/>
      <c r="T1680" s="262"/>
      <c r="U1680" s="262"/>
      <c r="V1680" s="262"/>
      <c r="W1680" s="262"/>
      <c r="X1680" s="262"/>
      <c r="Y1680" s="262"/>
      <c r="Z1680" s="262"/>
      <c r="AA1680" s="262"/>
      <c r="AB1680" s="262"/>
    </row>
    <row r="1681" spans="1:31" ht="25.5">
      <c r="A1681" s="590" t="s">
        <v>14479</v>
      </c>
      <c r="B1681" s="312" t="str">
        <f>VLOOKUP($C1681,'• CIs EXT'!$A:$E,2,0)</f>
        <v>ORSE</v>
      </c>
      <c r="C1681" s="377">
        <v>14464</v>
      </c>
      <c r="D1681" s="378" t="str">
        <f>VLOOKUP($C1681,'• CIs EXT'!$A:$E,3,0)</f>
        <v>LAVATÓRIO LOUÇA SUSPENSO 39,5 X 29,5 CM , LINHA IZY, REF. L.15.17, DECA OU SIMILAR</v>
      </c>
      <c r="E1681" s="379" t="str">
        <f>VLOOKUP($C1681,'• CIs EXT'!$A:$E,4,0)</f>
        <v>UN</v>
      </c>
      <c r="F1681" s="698">
        <v>1</v>
      </c>
      <c r="G1681" s="379">
        <f>VLOOKUP($C1681,'• CIs EXT'!$A:$E,5,0)</f>
        <v>181.81</v>
      </c>
      <c r="H1681" s="381">
        <f t="shared" si="69"/>
        <v>181.81</v>
      </c>
      <c r="I1681" s="262"/>
      <c r="J1681" s="262"/>
      <c r="K1681" s="262"/>
      <c r="L1681" s="262"/>
      <c r="M1681" s="262"/>
      <c r="N1681" s="262"/>
      <c r="O1681" s="262"/>
      <c r="P1681" s="262"/>
      <c r="Q1681" s="262"/>
      <c r="R1681" s="262"/>
      <c r="S1681" s="262"/>
      <c r="T1681" s="262"/>
      <c r="U1681" s="262"/>
      <c r="V1681" s="262"/>
      <c r="W1681" s="262"/>
      <c r="X1681" s="262"/>
      <c r="Y1681" s="262"/>
      <c r="Z1681" s="262"/>
      <c r="AA1681" s="262"/>
      <c r="AB1681" s="262"/>
    </row>
    <row r="1682" spans="1:31" ht="12.75">
      <c r="A1682" s="699"/>
      <c r="B1682" s="700"/>
      <c r="C1682" s="700"/>
      <c r="D1682" s="701"/>
      <c r="E1682" s="303"/>
      <c r="F1682" s="306"/>
      <c r="G1682" s="307"/>
      <c r="H1682" s="308"/>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row>
    <row r="1683" spans="1:31" ht="12.75">
      <c r="A1683" s="271" t="s">
        <v>14471</v>
      </c>
      <c r="B1683" s="272" t="s">
        <v>14472</v>
      </c>
      <c r="C1683" s="273" t="s">
        <v>15043</v>
      </c>
      <c r="D1683" s="274" t="s">
        <v>15044</v>
      </c>
      <c r="E1683" s="272" t="s">
        <v>6</v>
      </c>
      <c r="F1683" s="272"/>
      <c r="G1683" s="272"/>
      <c r="H1683" s="275">
        <f>TRUNC(SUM(H1685:H1688),2)</f>
        <v>74.47</v>
      </c>
      <c r="I1683" s="276">
        <f>COUNTIF($C$8:$C1683,C:C)</f>
        <v>1</v>
      </c>
      <c r="J1683" s="262"/>
      <c r="K1683" s="262"/>
      <c r="L1683" s="262"/>
      <c r="M1683" s="262"/>
      <c r="N1683" s="262"/>
      <c r="O1683" s="262"/>
      <c r="P1683" s="262"/>
      <c r="Q1683" s="262"/>
      <c r="R1683" s="262"/>
      <c r="S1683" s="262"/>
      <c r="T1683" s="262"/>
      <c r="U1683" s="262"/>
      <c r="V1683" s="262"/>
      <c r="W1683" s="262"/>
      <c r="X1683" s="262"/>
      <c r="Y1683" s="262"/>
      <c r="Z1683" s="262"/>
      <c r="AA1683" s="262"/>
      <c r="AB1683" s="262"/>
    </row>
    <row r="1684" spans="1:31" ht="12.75">
      <c r="A1684" s="277" t="s">
        <v>14475</v>
      </c>
      <c r="B1684" s="337" t="s">
        <v>14476</v>
      </c>
      <c r="C1684" s="337">
        <v>89987</v>
      </c>
      <c r="D1684" s="490" t="s">
        <v>14587</v>
      </c>
      <c r="E1684" s="609"/>
      <c r="F1684" s="282"/>
      <c r="G1684" s="492"/>
      <c r="H1684" s="493"/>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row>
    <row r="1685" spans="1:31" ht="25.5">
      <c r="A1685" s="285" t="s">
        <v>14478</v>
      </c>
      <c r="B1685" s="407" t="s">
        <v>14476</v>
      </c>
      <c r="C1685" s="344">
        <v>88248</v>
      </c>
      <c r="D1685" s="288" t="str">
        <f>IFERROR(VLOOKUP($C1685,'24.08_ND'!$A:$D,2,0),)</f>
        <v>AUXILIAR DE ENCANADOR OU BOMBEIRO HIDRÁULICO COM ENCARGOS COMPLEMENTARES</v>
      </c>
      <c r="E1685" s="289" t="str">
        <f>IFERROR(VLOOKUP($C1685,'24.08_ND'!$A:$D,3,0),)</f>
        <v>H</v>
      </c>
      <c r="F1685" s="290">
        <v>0.22120000000000001</v>
      </c>
      <c r="G1685" s="291">
        <f>IFERROR(VLOOKUP($C1685,'24.08_ND'!$A:$D,4,0),)</f>
        <v>19.05</v>
      </c>
      <c r="H1685" s="434">
        <f>TRUNC(($F1685*$G1685),2)</f>
        <v>4.21</v>
      </c>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D1685" s="1791" t="e">
        <f>VLOOKUP(C1685,'Medição '!$B$16:$F$1833,6,0)</f>
        <v>#N/A</v>
      </c>
      <c r="AE1685" s="1791"/>
    </row>
    <row r="1686" spans="1:31" ht="25.5">
      <c r="A1686" s="285" t="s">
        <v>14478</v>
      </c>
      <c r="B1686" s="407" t="s">
        <v>14476</v>
      </c>
      <c r="C1686" s="344">
        <v>88267</v>
      </c>
      <c r="D1686" s="288" t="str">
        <f>IFERROR(VLOOKUP($C1686,'24.08_ND'!$A:$D,2,0),)</f>
        <v>ENCANADOR OU BOMBEIRO HIDRÁULICO COM ENCARGOS COMPLEMENTARES</v>
      </c>
      <c r="E1686" s="289" t="str">
        <f>IFERROR(VLOOKUP($C1686,'24.08_ND'!$A:$D,3,0),)</f>
        <v>H</v>
      </c>
      <c r="F1686" s="290">
        <v>0.22120000000000001</v>
      </c>
      <c r="G1686" s="291">
        <f>IFERROR(VLOOKUP($C1686,'24.08_ND'!$A:$D,4,0),)</f>
        <v>23.27</v>
      </c>
      <c r="H1686" s="434">
        <f>TRUNC(($F1686*$G1686),2)</f>
        <v>5.14</v>
      </c>
      <c r="I1686" s="262"/>
      <c r="J1686" s="262"/>
      <c r="K1686" s="262"/>
      <c r="L1686" s="262"/>
      <c r="M1686" s="262"/>
      <c r="N1686" s="262"/>
      <c r="O1686" s="262"/>
      <c r="P1686" s="262"/>
      <c r="Q1686" s="262"/>
      <c r="R1686" s="262"/>
      <c r="S1686" s="262"/>
      <c r="T1686" s="262"/>
      <c r="U1686" s="262"/>
      <c r="V1686" s="262"/>
      <c r="W1686" s="262"/>
      <c r="X1686" s="262"/>
      <c r="Y1686" s="262"/>
      <c r="Z1686" s="262"/>
      <c r="AA1686" s="262"/>
      <c r="AB1686" s="262"/>
      <c r="AD1686" s="1791" t="e">
        <f>VLOOKUP(C1686,'Medição '!$B$16:$F$1833,6,0)</f>
        <v>#N/A</v>
      </c>
      <c r="AE1686" s="1791"/>
    </row>
    <row r="1687" spans="1:31" ht="12.75">
      <c r="A1687" s="558" t="s">
        <v>14479</v>
      </c>
      <c r="B1687" s="559" t="s">
        <v>14476</v>
      </c>
      <c r="C1687" s="559">
        <v>3146</v>
      </c>
      <c r="D1687" s="296" t="str">
        <f>IFERROR(VLOOKUP($C1687,'24.08_ND'!$A:$D,2,0),)</f>
        <v>FITA VEDA ROSCA EM ROLOS DE 18 MM X 10 M (L X C)</v>
      </c>
      <c r="E1687" s="297" t="str">
        <f>IFERROR(VLOOKUP($C1687,'24.08_ND'!$A:$D,3,0),)</f>
        <v>UN</v>
      </c>
      <c r="F1687" s="611">
        <v>1.06E-2</v>
      </c>
      <c r="G1687" s="299">
        <f>IFERROR(VLOOKUP($C1687,'24.08_ND'!$A:$D,4,0),)</f>
        <v>3.59</v>
      </c>
      <c r="H1687" s="300">
        <f>TRUNC(($F1687*$G1687),2)</f>
        <v>0.03</v>
      </c>
      <c r="I1687" s="262"/>
      <c r="J1687" s="262"/>
      <c r="K1687" s="262"/>
      <c r="L1687" s="262"/>
      <c r="M1687" s="262"/>
      <c r="N1687" s="262"/>
      <c r="O1687" s="262"/>
      <c r="P1687" s="262"/>
      <c r="Q1687" s="262"/>
      <c r="R1687" s="262"/>
      <c r="S1687" s="262"/>
      <c r="T1687" s="262"/>
      <c r="U1687" s="262"/>
      <c r="V1687" s="262"/>
      <c r="W1687" s="262"/>
      <c r="X1687" s="262"/>
      <c r="Y1687" s="262"/>
      <c r="Z1687" s="262"/>
      <c r="AA1687" s="262"/>
      <c r="AB1687" s="262"/>
    </row>
    <row r="1688" spans="1:31" ht="25.5">
      <c r="A1688" s="590" t="s">
        <v>14479</v>
      </c>
      <c r="B1688" s="312" t="str">
        <f>VLOOKUP($C1688,'• CIs EXT'!$A:$E,2,0)</f>
        <v>AGESUL</v>
      </c>
      <c r="C1688" s="377">
        <v>2662</v>
      </c>
      <c r="D1688" s="378" t="str">
        <f>VLOOKUP($C1688,'• CIs EXT'!$A:$E,3,0)</f>
        <v>REGISTRO DE PRESSAO CROMADO 3/4", REF. 00271706, LINHA PERTUTTI DA DOCOL OU SIMILAR</v>
      </c>
      <c r="E1688" s="379" t="str">
        <f>VLOOKUP($C1688,'• CIs EXT'!$A:$E,4,0)</f>
        <v>UN</v>
      </c>
      <c r="F1688" s="698">
        <v>1</v>
      </c>
      <c r="G1688" s="379">
        <f>VLOOKUP($C1688,'• CIs EXT'!$A:$E,5,0)</f>
        <v>65.09</v>
      </c>
      <c r="H1688" s="381">
        <f>TRUNC(($F1688*$G1688),2)</f>
        <v>65.09</v>
      </c>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row>
    <row r="1689" spans="1:31" ht="12.75">
      <c r="A1689" s="699"/>
      <c r="B1689" s="700"/>
      <c r="C1689" s="700"/>
      <c r="D1689" s="701"/>
      <c r="E1689" s="303"/>
      <c r="F1689" s="306"/>
      <c r="G1689" s="307"/>
      <c r="H1689" s="308"/>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row>
    <row r="1690" spans="1:31" ht="12.75">
      <c r="A1690" s="271" t="s">
        <v>14471</v>
      </c>
      <c r="B1690" s="272" t="s">
        <v>14472</v>
      </c>
      <c r="C1690" s="273" t="s">
        <v>15045</v>
      </c>
      <c r="D1690" s="274" t="s">
        <v>15046</v>
      </c>
      <c r="E1690" s="272" t="s">
        <v>6</v>
      </c>
      <c r="F1690" s="272"/>
      <c r="G1690" s="272"/>
      <c r="H1690" s="275">
        <f>TRUNC(SUM(H1692:H1694),2)</f>
        <v>619.13</v>
      </c>
      <c r="I1690" s="276">
        <f>COUNTIF($C$8:$C1690,C:C)</f>
        <v>1</v>
      </c>
      <c r="J1690" s="262"/>
      <c r="K1690" s="262"/>
      <c r="L1690" s="262"/>
      <c r="M1690" s="262"/>
      <c r="N1690" s="262"/>
      <c r="O1690" s="262"/>
      <c r="P1690" s="262"/>
      <c r="Q1690" s="262"/>
      <c r="R1690" s="262"/>
      <c r="S1690" s="262"/>
      <c r="T1690" s="262"/>
      <c r="U1690" s="262"/>
      <c r="V1690" s="262"/>
      <c r="W1690" s="262"/>
      <c r="X1690" s="262"/>
      <c r="Y1690" s="262"/>
      <c r="Z1690" s="262"/>
      <c r="AA1690" s="262"/>
      <c r="AB1690" s="262"/>
    </row>
    <row r="1691" spans="1:31" ht="12.75">
      <c r="A1691" s="277" t="s">
        <v>14475</v>
      </c>
      <c r="B1691" s="337" t="s">
        <v>14476</v>
      </c>
      <c r="C1691" s="337">
        <v>95547</v>
      </c>
      <c r="D1691" s="490" t="s">
        <v>14587</v>
      </c>
      <c r="E1691" s="609"/>
      <c r="F1691" s="282"/>
      <c r="G1691" s="492"/>
      <c r="H1691" s="493"/>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row>
    <row r="1692" spans="1:31" ht="25.5">
      <c r="A1692" s="285" t="s">
        <v>14478</v>
      </c>
      <c r="B1692" s="407" t="s">
        <v>14476</v>
      </c>
      <c r="C1692" s="344">
        <v>88248</v>
      </c>
      <c r="D1692" s="288" t="str">
        <f>IFERROR(VLOOKUP($C1692,'24.08_ND'!$A:$D,2,0),)</f>
        <v>AUXILIAR DE ENCANADOR OU BOMBEIRO HIDRÁULICO COM ENCARGOS COMPLEMENTARES</v>
      </c>
      <c r="E1692" s="289" t="str">
        <f>IFERROR(VLOOKUP($C1692,'24.08_ND'!$A:$D,3,0),)</f>
        <v>H</v>
      </c>
      <c r="F1692" s="290">
        <v>0.22120000000000001</v>
      </c>
      <c r="G1692" s="291">
        <f>IFERROR(VLOOKUP($C1692,'24.08_ND'!$A:$D,4,0),)</f>
        <v>19.05</v>
      </c>
      <c r="H1692" s="434">
        <f>TRUNC(($F1692*$G1692),2)</f>
        <v>4.21</v>
      </c>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D1692" s="1791" t="e">
        <f>VLOOKUP(C1692,'Medição '!$B$16:$F$1833,6,0)</f>
        <v>#N/A</v>
      </c>
      <c r="AE1692" s="1791"/>
    </row>
    <row r="1693" spans="1:31" ht="25.5">
      <c r="A1693" s="285" t="s">
        <v>14478</v>
      </c>
      <c r="B1693" s="407" t="s">
        <v>14476</v>
      </c>
      <c r="C1693" s="344">
        <v>88267</v>
      </c>
      <c r="D1693" s="288" t="str">
        <f>IFERROR(VLOOKUP($C1693,'24.08_ND'!$A:$D,2,0),)</f>
        <v>ENCANADOR OU BOMBEIRO HIDRÁULICO COM ENCARGOS COMPLEMENTARES</v>
      </c>
      <c r="E1693" s="289" t="str">
        <f>IFERROR(VLOOKUP($C1693,'24.08_ND'!$A:$D,3,0),)</f>
        <v>H</v>
      </c>
      <c r="F1693" s="290">
        <v>0.22120000000000001</v>
      </c>
      <c r="G1693" s="291">
        <f>IFERROR(VLOOKUP($C1693,'24.08_ND'!$A:$D,4,0),)</f>
        <v>23.27</v>
      </c>
      <c r="H1693" s="434">
        <f>TRUNC(($F1693*$G1693),2)</f>
        <v>5.14</v>
      </c>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D1693" s="1791" t="e">
        <f>VLOOKUP(C1693,'Medição '!$B$16:$F$1833,6,0)</f>
        <v>#N/A</v>
      </c>
      <c r="AE1693" s="1791"/>
    </row>
    <row r="1694" spans="1:31" ht="12.75">
      <c r="A1694" s="599" t="s">
        <v>14479</v>
      </c>
      <c r="B1694" s="600" t="s">
        <v>14491</v>
      </c>
      <c r="C1694" s="684" t="s">
        <v>15047</v>
      </c>
      <c r="D1694" s="601" t="str">
        <f>VLOOKUP($C1694,'09 - MC'!$A:$F,2,0)</f>
        <v>DISPENSER DE SABONETE/ DETERGENTE PRESSMATIC</v>
      </c>
      <c r="E1694" s="602" t="str">
        <f>VLOOKUP($C1694,'09 - MC'!$A:$F,3,0)</f>
        <v>UN</v>
      </c>
      <c r="F1694" s="685">
        <v>1</v>
      </c>
      <c r="G1694" s="604">
        <f>VLOOKUP($C1694,'09 - MC'!$A:$F,6,0)</f>
        <v>609.78</v>
      </c>
      <c r="H1694" s="605">
        <f>TRUNC(G1694*F1694,2)</f>
        <v>609.78</v>
      </c>
      <c r="I1694" s="262"/>
      <c r="J1694" s="262"/>
      <c r="K1694" s="262"/>
      <c r="L1694" s="262"/>
      <c r="M1694" s="262"/>
      <c r="N1694" s="262"/>
      <c r="O1694" s="262"/>
      <c r="P1694" s="262"/>
      <c r="Q1694" s="262"/>
      <c r="R1694" s="262"/>
      <c r="S1694" s="262"/>
      <c r="T1694" s="262"/>
      <c r="U1694" s="262"/>
      <c r="V1694" s="262"/>
      <c r="W1694" s="262"/>
      <c r="X1694" s="262"/>
      <c r="Y1694" s="262"/>
      <c r="Z1694" s="262"/>
      <c r="AA1694" s="262"/>
      <c r="AB1694" s="262"/>
    </row>
    <row r="1695" spans="1:31" ht="12.75">
      <c r="A1695" s="682"/>
      <c r="B1695" s="683"/>
      <c r="C1695" s="683"/>
      <c r="D1695" s="683"/>
      <c r="E1695" s="416"/>
      <c r="F1695" s="645"/>
      <c r="G1695" s="418"/>
      <c r="H1695" s="419"/>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row>
    <row r="1696" spans="1:31" ht="25.5">
      <c r="A1696" s="358" t="s">
        <v>14471</v>
      </c>
      <c r="B1696" s="359" t="s">
        <v>14472</v>
      </c>
      <c r="C1696" s="273" t="s">
        <v>15048</v>
      </c>
      <c r="D1696" s="361" t="s">
        <v>15049</v>
      </c>
      <c r="E1696" s="359" t="s">
        <v>6</v>
      </c>
      <c r="F1696" s="362"/>
      <c r="G1696" s="362"/>
      <c r="H1696" s="363">
        <f>TRUNC(SUM(H1698:H1701),2)</f>
        <v>229</v>
      </c>
      <c r="I1696" s="276">
        <f>COUNTIF($C$8:$C1696,C:C)</f>
        <v>1</v>
      </c>
      <c r="J1696" s="262"/>
      <c r="K1696" s="262"/>
      <c r="L1696" s="262"/>
      <c r="M1696" s="262"/>
      <c r="N1696" s="262"/>
      <c r="O1696" s="262"/>
      <c r="P1696" s="262"/>
      <c r="Q1696" s="262"/>
      <c r="R1696" s="262"/>
      <c r="S1696" s="262"/>
      <c r="T1696" s="262"/>
      <c r="U1696" s="262"/>
      <c r="V1696" s="262"/>
      <c r="W1696" s="262"/>
      <c r="X1696" s="262"/>
      <c r="Y1696" s="262"/>
      <c r="Z1696" s="262"/>
      <c r="AA1696" s="262"/>
      <c r="AB1696" s="262"/>
    </row>
    <row r="1697" spans="1:31" ht="12.75">
      <c r="A1697" s="364" t="s">
        <v>14475</v>
      </c>
      <c r="B1697" s="403" t="s">
        <v>14476</v>
      </c>
      <c r="C1697" s="404">
        <v>100869</v>
      </c>
      <c r="D1697" s="367" t="s">
        <v>14530</v>
      </c>
      <c r="E1697" s="405"/>
      <c r="F1697" s="642"/>
      <c r="G1697" s="370"/>
      <c r="H1697" s="371"/>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row>
    <row r="1698" spans="1:31" ht="25.5">
      <c r="A1698" s="372" t="s">
        <v>14478</v>
      </c>
      <c r="B1698" s="421" t="s">
        <v>14476</v>
      </c>
      <c r="C1698" s="374">
        <v>88267</v>
      </c>
      <c r="D1698" s="593" t="str">
        <f>IFERROR(VLOOKUP($C1698,'24.08_ND'!$A:$D,2,0),)</f>
        <v>ENCANADOR OU BOMBEIRO HIDRÁULICO COM ENCARGOS COMPLEMENTARES</v>
      </c>
      <c r="E1698" s="594" t="str">
        <f>IFERROR(VLOOKUP($C1698,'24.08_ND'!$A:$D,3,0),)</f>
        <v>H</v>
      </c>
      <c r="F1698" s="375">
        <v>0.94850000000000001</v>
      </c>
      <c r="G1698" s="595">
        <f>IFERROR(VLOOKUP($C1698,'24.08_ND'!$A:$D,4,0),)</f>
        <v>23.27</v>
      </c>
      <c r="H1698" s="440">
        <f>TRUNC(($F1698*$G1698),2)</f>
        <v>22.07</v>
      </c>
      <c r="I1698" s="262"/>
      <c r="J1698" s="262"/>
      <c r="K1698" s="262"/>
      <c r="L1698" s="262"/>
      <c r="M1698" s="262"/>
      <c r="N1698" s="262"/>
      <c r="O1698" s="262"/>
      <c r="P1698" s="262"/>
      <c r="Q1698" s="262"/>
      <c r="R1698" s="262"/>
      <c r="S1698" s="262"/>
      <c r="T1698" s="262"/>
      <c r="U1698" s="262"/>
      <c r="V1698" s="262"/>
      <c r="W1698" s="262"/>
      <c r="X1698" s="262"/>
      <c r="Y1698" s="262"/>
      <c r="Z1698" s="262"/>
      <c r="AA1698" s="262"/>
      <c r="AB1698" s="262"/>
      <c r="AD1698" s="1791" t="e">
        <f>VLOOKUP(C1698,'Medição '!$B$16:$F$1833,6,0)</f>
        <v>#N/A</v>
      </c>
      <c r="AE1698" s="1791"/>
    </row>
    <row r="1699" spans="1:31" ht="25.5">
      <c r="A1699" s="372" t="s">
        <v>14478</v>
      </c>
      <c r="B1699" s="421" t="s">
        <v>14476</v>
      </c>
      <c r="C1699" s="374">
        <v>88316</v>
      </c>
      <c r="D1699" s="593" t="str">
        <f>IFERROR(VLOOKUP($C1699,'24.08_ND'!$A:$D,2,0),)</f>
        <v>SERVENTE COM ENCARGOS COMPLEMENTARES</v>
      </c>
      <c r="E1699" s="594" t="str">
        <f>IFERROR(VLOOKUP($C1699,'24.08_ND'!$A:$D,3,0),)</f>
        <v>H</v>
      </c>
      <c r="F1699" s="375">
        <v>0.29880000000000001</v>
      </c>
      <c r="G1699" s="595">
        <f>IFERROR(VLOOKUP($C1699,'24.08_ND'!$A:$D,4,0),)</f>
        <v>18.510000000000002</v>
      </c>
      <c r="H1699" s="440">
        <f>TRUNC(($F1699*$G1699),2)</f>
        <v>5.53</v>
      </c>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D1699" s="1791" t="e">
        <f>VLOOKUP(C1699,'Medição '!$B$16:$F$1833,6,0)</f>
        <v>#N/A</v>
      </c>
      <c r="AE1699" s="1791"/>
    </row>
    <row r="1700" spans="1:31" ht="25.5">
      <c r="A1700" s="581" t="s">
        <v>14479</v>
      </c>
      <c r="B1700" s="582" t="s">
        <v>14476</v>
      </c>
      <c r="C1700" s="447">
        <v>4351</v>
      </c>
      <c r="D1700" s="596" t="str">
        <f>IFERROR(VLOOKUP($C1700,'24.08_ND'!$A:$D,2,0),)</f>
        <v>PARAFUSO NIQUELADO 3 1/2" COM ACABAMENTO CROMADO PARA FIXAR PECA SANITARIA, INCLUI PORCA CEGA, ARRUELA E BUCHA DE NYLON TAMANHO S-8</v>
      </c>
      <c r="E1700" s="597" t="str">
        <f>IFERROR(VLOOKUP($C1700,'24.08_ND'!$A:$D,3,0),)</f>
        <v>UN</v>
      </c>
      <c r="F1700" s="385">
        <v>6</v>
      </c>
      <c r="G1700" s="598">
        <f>IFERROR(VLOOKUP($C1700,'24.08_ND'!$A:$D,4,0),)</f>
        <v>16.07</v>
      </c>
      <c r="H1700" s="449">
        <f>TRUNC(($F1700*$G1700),2)</f>
        <v>96.42</v>
      </c>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row>
    <row r="1701" spans="1:31" ht="25.5">
      <c r="A1701" s="581" t="s">
        <v>14479</v>
      </c>
      <c r="B1701" s="582" t="s">
        <v>14476</v>
      </c>
      <c r="C1701" s="447">
        <v>36206</v>
      </c>
      <c r="D1701" s="596" t="str">
        <f>IFERROR(VLOOKUP($C1701,'24.08_ND'!$A:$D,2,0),)</f>
        <v>BARRA DE APOIO RETA, EM ACO INOX POLIDO, COMPRIMENTO 90 CM, DIAMETRO MINIMO 3 CM</v>
      </c>
      <c r="E1701" s="597" t="str">
        <f>IFERROR(VLOOKUP($C1701,'24.08_ND'!$A:$D,3,0),)</f>
        <v>UN</v>
      </c>
      <c r="F1701" s="385">
        <v>0.5</v>
      </c>
      <c r="G1701" s="598">
        <f>IFERROR(VLOOKUP($C1701,'24.08_ND'!$A:$D,4,0),)</f>
        <v>209.97</v>
      </c>
      <c r="H1701" s="449">
        <f>TRUNC(($F1701*$G1701),2)</f>
        <v>104.98</v>
      </c>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row>
    <row r="1702" spans="1:31" ht="12.75">
      <c r="A1702" s="699"/>
      <c r="B1702" s="700"/>
      <c r="C1702" s="700"/>
      <c r="D1702" s="701"/>
      <c r="E1702" s="303"/>
      <c r="F1702" s="306"/>
      <c r="G1702" s="307"/>
      <c r="H1702" s="308"/>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row>
    <row r="1703" spans="1:31" ht="25.5">
      <c r="A1703" s="271" t="s">
        <v>14471</v>
      </c>
      <c r="B1703" s="272" t="s">
        <v>14472</v>
      </c>
      <c r="C1703" s="273" t="s">
        <v>15050</v>
      </c>
      <c r="D1703" s="274" t="s">
        <v>15051</v>
      </c>
      <c r="E1703" s="272" t="s">
        <v>6</v>
      </c>
      <c r="F1703" s="272"/>
      <c r="G1703" s="272"/>
      <c r="H1703" s="275">
        <f>TRUNC(SUM(H1705:H1707),2)</f>
        <v>52.7</v>
      </c>
      <c r="I1703" s="276">
        <f>COUNTIF($C$8:$C1703,C:C)</f>
        <v>1</v>
      </c>
      <c r="J1703" s="262"/>
      <c r="K1703" s="262"/>
      <c r="L1703" s="262"/>
      <c r="M1703" s="262"/>
      <c r="N1703" s="262"/>
      <c r="O1703" s="262"/>
      <c r="P1703" s="262"/>
      <c r="Q1703" s="262"/>
      <c r="R1703" s="262"/>
      <c r="S1703" s="262"/>
      <c r="T1703" s="262"/>
      <c r="U1703" s="262"/>
      <c r="V1703" s="262"/>
      <c r="W1703" s="262"/>
      <c r="X1703" s="262"/>
      <c r="Y1703" s="262"/>
      <c r="Z1703" s="262"/>
      <c r="AA1703" s="262"/>
      <c r="AB1703" s="262"/>
    </row>
    <row r="1704" spans="1:31" ht="12.75">
      <c r="A1704" s="277" t="s">
        <v>14475</v>
      </c>
      <c r="B1704" s="631" t="s">
        <v>14600</v>
      </c>
      <c r="C1704" s="632">
        <v>12511</v>
      </c>
      <c r="D1704" s="702">
        <v>45047</v>
      </c>
      <c r="E1704" s="606"/>
      <c r="F1704" s="282"/>
      <c r="G1704" s="492"/>
      <c r="H1704" s="493"/>
      <c r="I1704" s="262"/>
      <c r="J1704" s="262"/>
      <c r="K1704" s="262"/>
      <c r="L1704" s="262"/>
      <c r="M1704" s="262"/>
      <c r="N1704" s="262"/>
      <c r="O1704" s="262"/>
      <c r="P1704" s="262"/>
      <c r="Q1704" s="262"/>
      <c r="R1704" s="262"/>
      <c r="S1704" s="262"/>
      <c r="T1704" s="262"/>
      <c r="U1704" s="262"/>
      <c r="V1704" s="262"/>
      <c r="W1704" s="262"/>
      <c r="X1704" s="262"/>
      <c r="Y1704" s="262"/>
      <c r="Z1704" s="262"/>
      <c r="AA1704" s="262"/>
      <c r="AB1704" s="262"/>
    </row>
    <row r="1705" spans="1:31" ht="25.5">
      <c r="A1705" s="285" t="s">
        <v>14478</v>
      </c>
      <c r="B1705" s="407" t="s">
        <v>14476</v>
      </c>
      <c r="C1705" s="408">
        <v>88267</v>
      </c>
      <c r="D1705" s="288" t="str">
        <f>IFERROR(VLOOKUP($C1705,'24.08_ND'!$A:$D,2,0),)</f>
        <v>ENCANADOR OU BOMBEIRO HIDRÁULICO COM ENCARGOS COMPLEMENTARES</v>
      </c>
      <c r="E1705" s="289" t="str">
        <f>IFERROR(VLOOKUP($C1705,'24.08_ND'!$A:$D,3,0),)</f>
        <v>H</v>
      </c>
      <c r="F1705" s="290">
        <v>0.15</v>
      </c>
      <c r="G1705" s="291">
        <f>IFERROR(VLOOKUP($C1705,'24.08_ND'!$A:$D,4,0),)</f>
        <v>23.27</v>
      </c>
      <c r="H1705" s="292">
        <f>TRUNC(($F1705*$G1705),2)</f>
        <v>3.49</v>
      </c>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D1705" s="1791" t="e">
        <f>VLOOKUP(C1705,'Medição '!$B$16:$F$1833,6,0)</f>
        <v>#N/A</v>
      </c>
      <c r="AE1705" s="1791"/>
    </row>
    <row r="1706" spans="1:31" ht="25.5">
      <c r="A1706" s="372" t="s">
        <v>14478</v>
      </c>
      <c r="B1706" s="421" t="s">
        <v>14476</v>
      </c>
      <c r="C1706" s="374">
        <v>88316</v>
      </c>
      <c r="D1706" s="593" t="str">
        <f>IFERROR(VLOOKUP($C1706,'24.08_ND'!$A:$D,2,0),)</f>
        <v>SERVENTE COM ENCARGOS COMPLEMENTARES</v>
      </c>
      <c r="E1706" s="594" t="str">
        <f>IFERROR(VLOOKUP($C1706,'24.08_ND'!$A:$D,3,0),)</f>
        <v>H</v>
      </c>
      <c r="F1706" s="375">
        <v>0.2</v>
      </c>
      <c r="G1706" s="595">
        <f>IFERROR(VLOOKUP($C1706,'24.08_ND'!$A:$D,4,0),)</f>
        <v>18.510000000000002</v>
      </c>
      <c r="H1706" s="440">
        <f>TRUNC(($F1706*$G1706),2)</f>
        <v>3.7</v>
      </c>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D1706" s="1791" t="e">
        <f>VLOOKUP(C1706,'Medição '!$B$16:$F$1833,6,0)</f>
        <v>#N/A</v>
      </c>
      <c r="AE1706" s="1791"/>
    </row>
    <row r="1707" spans="1:31" ht="12.75">
      <c r="A1707" s="494" t="s">
        <v>14479</v>
      </c>
      <c r="B1707" s="495" t="s">
        <v>14476</v>
      </c>
      <c r="C1707" s="348">
        <v>37401</v>
      </c>
      <c r="D1707" s="296" t="str">
        <f>IFERROR(VLOOKUP($C1707,'24.08_ND'!$A:$D,2,0),)</f>
        <v>TOALHEIRO PLASTICO TIPO DISPENSER PARA PAPEL TOALHA INTERFOLHADO</v>
      </c>
      <c r="E1707" s="297" t="str">
        <f>IFERROR(VLOOKUP($C1707,'24.08_ND'!$A:$D,3,0),)</f>
        <v>UN</v>
      </c>
      <c r="F1707" s="298">
        <v>1</v>
      </c>
      <c r="G1707" s="299">
        <f>IFERROR(VLOOKUP($C1707,'24.08_ND'!$A:$D,4,0),)</f>
        <v>45.51</v>
      </c>
      <c r="H1707" s="300">
        <f>TRUNC(($F1707*$G1707),2)</f>
        <v>45.51</v>
      </c>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row>
    <row r="1708" spans="1:31" ht="12.75">
      <c r="A1708" s="699"/>
      <c r="B1708" s="700"/>
      <c r="C1708" s="700"/>
      <c r="D1708" s="701"/>
      <c r="E1708" s="303"/>
      <c r="F1708" s="306"/>
      <c r="G1708" s="307"/>
      <c r="H1708" s="308"/>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row>
    <row r="1709" spans="1:31" ht="12.75">
      <c r="A1709" s="271" t="s">
        <v>14471</v>
      </c>
      <c r="B1709" s="272" t="s">
        <v>14472</v>
      </c>
      <c r="C1709" s="273" t="s">
        <v>15052</v>
      </c>
      <c r="D1709" s="274" t="s">
        <v>15053</v>
      </c>
      <c r="E1709" s="272" t="s">
        <v>6</v>
      </c>
      <c r="F1709" s="272">
        <v>1</v>
      </c>
      <c r="G1709" s="272"/>
      <c r="H1709" s="275">
        <f>TRUNC(SUM(H1711:H1712),2)</f>
        <v>564.46</v>
      </c>
      <c r="I1709" s="276">
        <f>COUNTIF($C$8:$C1709,C:C)</f>
        <v>1</v>
      </c>
      <c r="J1709" s="262"/>
      <c r="K1709" s="262"/>
      <c r="L1709" s="262"/>
      <c r="M1709" s="262"/>
      <c r="N1709" s="262"/>
      <c r="O1709" s="262"/>
      <c r="P1709" s="262"/>
      <c r="Q1709" s="262"/>
      <c r="R1709" s="262"/>
      <c r="S1709" s="262"/>
      <c r="T1709" s="262"/>
      <c r="U1709" s="262"/>
      <c r="V1709" s="262"/>
      <c r="W1709" s="262"/>
      <c r="X1709" s="262"/>
      <c r="Y1709" s="262"/>
      <c r="Z1709" s="262"/>
      <c r="AA1709" s="262"/>
      <c r="AB1709" s="262"/>
    </row>
    <row r="1710" spans="1:31" ht="12.75">
      <c r="A1710" s="277" t="s">
        <v>14475</v>
      </c>
      <c r="B1710" s="631" t="s">
        <v>14600</v>
      </c>
      <c r="C1710" s="632">
        <v>4375</v>
      </c>
      <c r="D1710" s="703">
        <v>44652</v>
      </c>
      <c r="E1710" s="634"/>
      <c r="F1710" s="355"/>
      <c r="G1710" s="624"/>
      <c r="H1710" s="625"/>
      <c r="I1710" s="262"/>
      <c r="J1710" s="262"/>
      <c r="K1710" s="262"/>
      <c r="L1710" s="262"/>
      <c r="M1710" s="262"/>
      <c r="N1710" s="262"/>
      <c r="O1710" s="262"/>
      <c r="P1710" s="262"/>
      <c r="Q1710" s="262"/>
      <c r="R1710" s="262"/>
      <c r="S1710" s="262"/>
      <c r="T1710" s="262"/>
      <c r="U1710" s="262"/>
      <c r="V1710" s="262"/>
      <c r="W1710" s="262"/>
      <c r="X1710" s="262"/>
      <c r="Y1710" s="262"/>
      <c r="Z1710" s="262"/>
      <c r="AA1710" s="262"/>
      <c r="AB1710" s="262"/>
    </row>
    <row r="1711" spans="1:31" ht="25.5">
      <c r="A1711" s="285" t="s">
        <v>14478</v>
      </c>
      <c r="B1711" s="407" t="s">
        <v>14476</v>
      </c>
      <c r="C1711" s="408">
        <v>88316</v>
      </c>
      <c r="D1711" s="288" t="str">
        <f>IFERROR(VLOOKUP($C1711,'24.08_ND'!$A:$D,2,0),)</f>
        <v>SERVENTE COM ENCARGOS COMPLEMENTARES</v>
      </c>
      <c r="E1711" s="289" t="str">
        <f>IFERROR(VLOOKUP($C1711,'24.08_ND'!$A:$D,3,0),)</f>
        <v>H</v>
      </c>
      <c r="F1711" s="290">
        <v>0.25</v>
      </c>
      <c r="G1711" s="291">
        <f>IFERROR(VLOOKUP($C1711,'24.08_ND'!$A:$D,4,0),)</f>
        <v>18.510000000000002</v>
      </c>
      <c r="H1711" s="292">
        <f>TRUNC(($F1711*$G1711),2)</f>
        <v>4.62</v>
      </c>
      <c r="I1711" s="262"/>
      <c r="J1711" s="262"/>
      <c r="K1711" s="262"/>
      <c r="L1711" s="262"/>
      <c r="M1711" s="262"/>
      <c r="N1711" s="262"/>
      <c r="O1711" s="262"/>
      <c r="P1711" s="262"/>
      <c r="Q1711" s="262"/>
      <c r="R1711" s="262"/>
      <c r="S1711" s="262"/>
      <c r="T1711" s="262"/>
      <c r="U1711" s="262"/>
      <c r="V1711" s="262"/>
      <c r="W1711" s="262"/>
      <c r="X1711" s="262"/>
      <c r="Y1711" s="262"/>
      <c r="Z1711" s="262"/>
      <c r="AA1711" s="262"/>
      <c r="AB1711" s="262"/>
      <c r="AD1711" s="1791" t="e">
        <f>VLOOKUP(C1711,'Medição '!$B$16:$F$1833,6,0)</f>
        <v>#N/A</v>
      </c>
      <c r="AE1711" s="1791"/>
    </row>
    <row r="1712" spans="1:31" ht="12.75">
      <c r="A1712" s="319" t="s">
        <v>14479</v>
      </c>
      <c r="B1712" s="320" t="s">
        <v>14491</v>
      </c>
      <c r="C1712" s="478" t="s">
        <v>15054</v>
      </c>
      <c r="D1712" s="321" t="str">
        <f>VLOOKUP($C1712,'09 - MC'!$A:$F,2,0)</f>
        <v>LIXEIRA EM AÇO INOX CROMADO - 80 LITROS</v>
      </c>
      <c r="E1712" s="322" t="str">
        <f>VLOOKUP($C1712,'09 - MC'!$A:$F,3,0)</f>
        <v>UN</v>
      </c>
      <c r="F1712" s="323">
        <v>1</v>
      </c>
      <c r="G1712" s="324">
        <f>VLOOKUP($C1712,'09 - MC'!$A:$F,6,0)</f>
        <v>559.84</v>
      </c>
      <c r="H1712" s="325">
        <f>TRUNC(G1712*F1712,2)</f>
        <v>559.84</v>
      </c>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row>
    <row r="1713" spans="1:31" ht="12.75">
      <c r="A1713" s="309"/>
      <c r="B1713" s="303"/>
      <c r="C1713" s="303"/>
      <c r="D1713" s="310"/>
      <c r="E1713" s="303"/>
      <c r="F1713" s="306"/>
      <c r="G1713" s="307"/>
      <c r="H1713" s="308"/>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row>
    <row r="1714" spans="1:31" ht="25.5">
      <c r="A1714" s="271" t="s">
        <v>14471</v>
      </c>
      <c r="B1714" s="272" t="s">
        <v>14472</v>
      </c>
      <c r="C1714" s="273" t="s">
        <v>15055</v>
      </c>
      <c r="D1714" s="274" t="s">
        <v>15056</v>
      </c>
      <c r="E1714" s="272" t="s">
        <v>6</v>
      </c>
      <c r="F1714" s="272"/>
      <c r="G1714" s="272"/>
      <c r="H1714" s="275">
        <f>TRUNC(SUM(H1716:H1717),2)</f>
        <v>49</v>
      </c>
      <c r="I1714" s="276">
        <f>COUNTIF($C$8:$C1714,C:C)</f>
        <v>1</v>
      </c>
      <c r="J1714" s="262"/>
      <c r="K1714" s="262"/>
      <c r="L1714" s="262"/>
      <c r="M1714" s="262"/>
      <c r="N1714" s="262"/>
      <c r="O1714" s="262"/>
      <c r="P1714" s="262"/>
      <c r="Q1714" s="262"/>
      <c r="R1714" s="262"/>
      <c r="S1714" s="262"/>
      <c r="T1714" s="262"/>
      <c r="U1714" s="262"/>
      <c r="V1714" s="262"/>
      <c r="W1714" s="262"/>
      <c r="X1714" s="262"/>
      <c r="Y1714" s="262"/>
      <c r="Z1714" s="262"/>
      <c r="AA1714" s="262"/>
      <c r="AB1714" s="262"/>
    </row>
    <row r="1715" spans="1:31" ht="12.75">
      <c r="A1715" s="277" t="s">
        <v>14475</v>
      </c>
      <c r="B1715" s="631" t="s">
        <v>14600</v>
      </c>
      <c r="C1715" s="632">
        <v>12511</v>
      </c>
      <c r="D1715" s="633" t="s">
        <v>14773</v>
      </c>
      <c r="E1715" s="606"/>
      <c r="F1715" s="282"/>
      <c r="G1715" s="492"/>
      <c r="H1715" s="493"/>
      <c r="I1715" s="262"/>
      <c r="J1715" s="262"/>
      <c r="K1715" s="262"/>
      <c r="L1715" s="262"/>
      <c r="M1715" s="262"/>
      <c r="N1715" s="262"/>
      <c r="O1715" s="262"/>
      <c r="P1715" s="262"/>
      <c r="Q1715" s="262"/>
      <c r="R1715" s="262"/>
      <c r="S1715" s="262"/>
      <c r="T1715" s="262"/>
      <c r="U1715" s="262"/>
      <c r="V1715" s="262"/>
      <c r="W1715" s="262"/>
      <c r="X1715" s="262"/>
      <c r="Y1715" s="262"/>
      <c r="Z1715" s="262"/>
      <c r="AA1715" s="262"/>
      <c r="AB1715" s="262"/>
    </row>
    <row r="1716" spans="1:31" ht="25.5">
      <c r="A1716" s="285" t="s">
        <v>14478</v>
      </c>
      <c r="B1716" s="407" t="s">
        <v>14476</v>
      </c>
      <c r="C1716" s="408">
        <v>88267</v>
      </c>
      <c r="D1716" s="288" t="str">
        <f>IFERROR(VLOOKUP($C1716,'24.08_ND'!$A:$D,2,0),)</f>
        <v>ENCANADOR OU BOMBEIRO HIDRÁULICO COM ENCARGOS COMPLEMENTARES</v>
      </c>
      <c r="E1716" s="289" t="str">
        <f>IFERROR(VLOOKUP($C1716,'24.08_ND'!$A:$D,3,0),)</f>
        <v>H</v>
      </c>
      <c r="F1716" s="290">
        <v>0.15</v>
      </c>
      <c r="G1716" s="291">
        <f>IFERROR(VLOOKUP($C1716,'24.08_ND'!$A:$D,4,0),)</f>
        <v>23.27</v>
      </c>
      <c r="H1716" s="292">
        <f>TRUNC(($F1716*$G1716),2)</f>
        <v>3.49</v>
      </c>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D1716" s="1791" t="e">
        <f>VLOOKUP(C1716,'Medição '!$B$16:$F$1833,6,0)</f>
        <v>#N/A</v>
      </c>
      <c r="AE1716" s="1791"/>
    </row>
    <row r="1717" spans="1:31" ht="12.75">
      <c r="A1717" s="494" t="s">
        <v>14479</v>
      </c>
      <c r="B1717" s="495" t="s">
        <v>14476</v>
      </c>
      <c r="C1717" s="348">
        <v>37400</v>
      </c>
      <c r="D1717" s="296" t="str">
        <f>IFERROR(VLOOKUP($C1717,'24.08_ND'!$A:$D,2,0),)</f>
        <v>PAPELEIRA PLASTICA TIPO DISPENSER PARA PAPEL HIGIENICO ROLAO</v>
      </c>
      <c r="E1717" s="297" t="str">
        <f>IFERROR(VLOOKUP($C1717,'24.08_ND'!$A:$D,3,0),)</f>
        <v>UN</v>
      </c>
      <c r="F1717" s="298">
        <v>1</v>
      </c>
      <c r="G1717" s="299">
        <f>IFERROR(VLOOKUP($C1717,'24.08_ND'!$A:$D,4,0),)</f>
        <v>45.51</v>
      </c>
      <c r="H1717" s="300">
        <f>TRUNC(($F1717*$G1717),2)</f>
        <v>45.51</v>
      </c>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row>
    <row r="1718" spans="1:31" ht="12.75">
      <c r="A1718" s="309"/>
      <c r="B1718" s="303"/>
      <c r="C1718" s="303"/>
      <c r="D1718" s="310"/>
      <c r="E1718" s="303"/>
      <c r="F1718" s="306"/>
      <c r="G1718" s="307"/>
      <c r="H1718" s="308"/>
      <c r="I1718" s="262"/>
      <c r="J1718" s="262"/>
      <c r="K1718" s="262"/>
      <c r="L1718" s="262"/>
      <c r="M1718" s="262"/>
      <c r="N1718" s="262"/>
      <c r="O1718" s="262"/>
      <c r="P1718" s="262"/>
      <c r="Q1718" s="262"/>
      <c r="R1718" s="262"/>
      <c r="S1718" s="262"/>
      <c r="T1718" s="262"/>
      <c r="U1718" s="262"/>
      <c r="V1718" s="262"/>
      <c r="W1718" s="262"/>
      <c r="X1718" s="262"/>
      <c r="Y1718" s="262"/>
      <c r="Z1718" s="262"/>
      <c r="AA1718" s="262"/>
      <c r="AB1718" s="262"/>
    </row>
    <row r="1719" spans="1:31" ht="12.75">
      <c r="A1719" s="271" t="s">
        <v>14471</v>
      </c>
      <c r="B1719" s="272" t="s">
        <v>14472</v>
      </c>
      <c r="C1719" s="273" t="s">
        <v>15057</v>
      </c>
      <c r="D1719" s="274" t="s">
        <v>15058</v>
      </c>
      <c r="E1719" s="272" t="s">
        <v>6</v>
      </c>
      <c r="F1719" s="272"/>
      <c r="G1719" s="272"/>
      <c r="H1719" s="275">
        <f>TRUNC(SUM(H1721:H1722),2)</f>
        <v>33.99</v>
      </c>
      <c r="I1719" s="276">
        <f>COUNTIF($C$8:$C1719,C:C)</f>
        <v>1</v>
      </c>
      <c r="J1719" s="262"/>
      <c r="K1719" s="262"/>
      <c r="L1719" s="262"/>
      <c r="M1719" s="262"/>
      <c r="N1719" s="262"/>
      <c r="O1719" s="262"/>
      <c r="P1719" s="262"/>
      <c r="Q1719" s="262"/>
      <c r="R1719" s="262"/>
      <c r="S1719" s="262"/>
      <c r="T1719" s="262"/>
      <c r="U1719" s="262"/>
      <c r="V1719" s="262"/>
      <c r="W1719" s="262"/>
      <c r="X1719" s="262"/>
      <c r="Y1719" s="262"/>
      <c r="Z1719" s="262"/>
      <c r="AA1719" s="262"/>
      <c r="AB1719" s="262"/>
    </row>
    <row r="1720" spans="1:31" ht="12.75">
      <c r="A1720" s="277" t="s">
        <v>14475</v>
      </c>
      <c r="B1720" s="337" t="s">
        <v>14476</v>
      </c>
      <c r="C1720" s="337">
        <v>104328</v>
      </c>
      <c r="D1720" s="490" t="s">
        <v>14587</v>
      </c>
      <c r="E1720" s="609"/>
      <c r="F1720" s="282"/>
      <c r="G1720" s="492"/>
      <c r="H1720" s="493"/>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row>
    <row r="1721" spans="1:31" ht="25.5">
      <c r="A1721" s="285" t="s">
        <v>14478</v>
      </c>
      <c r="B1721" s="407" t="s">
        <v>14476</v>
      </c>
      <c r="C1721" s="344">
        <v>88248</v>
      </c>
      <c r="D1721" s="288" t="str">
        <f>IFERROR(VLOOKUP($C1721,'24.08_ND'!$A:$D,2,0),)</f>
        <v>AUXILIAR DE ENCANADOR OU BOMBEIRO HIDRÁULICO COM ENCARGOS COMPLEMENTARES</v>
      </c>
      <c r="E1721" s="289" t="str">
        <f>IFERROR(VLOOKUP($C1721,'24.08_ND'!$A:$D,3,0),)</f>
        <v>H</v>
      </c>
      <c r="F1721" s="290">
        <v>0.19</v>
      </c>
      <c r="G1721" s="291">
        <f>IFERROR(VLOOKUP($C1721,'24.08_ND'!$A:$D,4,0),)</f>
        <v>19.05</v>
      </c>
      <c r="H1721" s="434">
        <f>TRUNC(($F1721*$G1721),2)</f>
        <v>3.61</v>
      </c>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D1721" s="1791" t="e">
        <f>VLOOKUP(C1721,'Medição '!$B$16:$F$1833,6,0)</f>
        <v>#N/A</v>
      </c>
      <c r="AE1721" s="1791"/>
    </row>
    <row r="1722" spans="1:31" ht="25.5">
      <c r="A1722" s="590" t="s">
        <v>14479</v>
      </c>
      <c r="B1722" s="312" t="str">
        <f>VLOOKUP($C1722,'• CIs EXT'!$A:$E,2,0)</f>
        <v>AGETOP CIVIL</v>
      </c>
      <c r="C1722" s="377" t="s">
        <v>15059</v>
      </c>
      <c r="D1722" s="378" t="str">
        <f>VLOOKUP($C1722,'• CIs EXT'!$A:$E,3,0)</f>
        <v>GRELHA QUADRADA CROMADA 150 MM - (ESGOTO)</v>
      </c>
      <c r="E1722" s="379" t="str">
        <f>VLOOKUP($C1722,'• CIs EXT'!$A:$E,4,0)</f>
        <v>UN</v>
      </c>
      <c r="F1722" s="698">
        <v>1</v>
      </c>
      <c r="G1722" s="379">
        <f>VLOOKUP($C1722,'• CIs EXT'!$A:$E,5,0)</f>
        <v>30.38</v>
      </c>
      <c r="H1722" s="381">
        <f>TRUNC(($F1722*$G1722),2)</f>
        <v>30.38</v>
      </c>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row>
    <row r="1723" spans="1:31" ht="12.75">
      <c r="A1723" s="309"/>
      <c r="B1723" s="303"/>
      <c r="C1723" s="303"/>
      <c r="D1723" s="310"/>
      <c r="E1723" s="303"/>
      <c r="F1723" s="306"/>
      <c r="G1723" s="307"/>
      <c r="H1723" s="308"/>
      <c r="I1723" s="262"/>
      <c r="J1723" s="262"/>
      <c r="K1723" s="262"/>
      <c r="L1723" s="262"/>
      <c r="M1723" s="262"/>
      <c r="N1723" s="262"/>
      <c r="O1723" s="262"/>
      <c r="P1723" s="262"/>
      <c r="Q1723" s="262"/>
      <c r="R1723" s="262"/>
      <c r="S1723" s="262"/>
      <c r="T1723" s="262"/>
      <c r="U1723" s="262"/>
      <c r="V1723" s="262"/>
      <c r="W1723" s="262"/>
      <c r="X1723" s="262"/>
      <c r="Y1723" s="262"/>
      <c r="Z1723" s="262"/>
      <c r="AA1723" s="262"/>
      <c r="AB1723" s="262"/>
    </row>
    <row r="1724" spans="1:31" ht="38.25">
      <c r="A1724" s="271" t="s">
        <v>14471</v>
      </c>
      <c r="B1724" s="272" t="s">
        <v>14472</v>
      </c>
      <c r="C1724" s="273" t="s">
        <v>15060</v>
      </c>
      <c r="D1724" s="274" t="s">
        <v>14916</v>
      </c>
      <c r="E1724" s="272" t="s">
        <v>409</v>
      </c>
      <c r="F1724" s="272"/>
      <c r="G1724" s="272"/>
      <c r="H1724" s="275">
        <f>TRUNC(SUM(H1727:H1732),2)</f>
        <v>451.19</v>
      </c>
      <c r="I1724" s="276">
        <f>COUNTIF($C$8:$C1724,C:C)</f>
        <v>1</v>
      </c>
      <c r="J1724" s="262"/>
      <c r="K1724" s="262"/>
      <c r="L1724" s="262"/>
      <c r="M1724" s="262"/>
      <c r="N1724" s="262"/>
      <c r="O1724" s="262"/>
      <c r="P1724" s="262"/>
      <c r="Q1724" s="262"/>
      <c r="R1724" s="262"/>
      <c r="S1724" s="262"/>
      <c r="T1724" s="262"/>
      <c r="U1724" s="262"/>
      <c r="V1724" s="262"/>
      <c r="W1724" s="262"/>
      <c r="X1724" s="262"/>
      <c r="Y1724" s="262"/>
      <c r="Z1724" s="262"/>
      <c r="AA1724" s="262"/>
      <c r="AB1724" s="262"/>
    </row>
    <row r="1725" spans="1:31" ht="12.75">
      <c r="A1725" s="277" t="s">
        <v>14475</v>
      </c>
      <c r="B1725" s="278" t="s">
        <v>14476</v>
      </c>
      <c r="C1725" s="279">
        <v>94231</v>
      </c>
      <c r="D1725" s="280" t="s">
        <v>14530</v>
      </c>
      <c r="E1725" s="281"/>
      <c r="F1725" s="282"/>
      <c r="G1725" s="283"/>
      <c r="H1725" s="284"/>
      <c r="I1725" s="262"/>
      <c r="J1725" s="262"/>
      <c r="K1725" s="262"/>
      <c r="L1725" s="262"/>
      <c r="M1725" s="262"/>
      <c r="N1725" s="262"/>
      <c r="O1725" s="262"/>
      <c r="P1725" s="262"/>
      <c r="Q1725" s="262"/>
      <c r="R1725" s="262"/>
      <c r="S1725" s="262"/>
      <c r="T1725" s="262"/>
      <c r="U1725" s="262"/>
      <c r="V1725" s="262"/>
      <c r="W1725" s="262"/>
      <c r="X1725" s="262"/>
      <c r="Y1725" s="262"/>
      <c r="Z1725" s="262"/>
      <c r="AA1725" s="262"/>
      <c r="AB1725" s="262"/>
    </row>
    <row r="1726" spans="1:31" ht="25.5">
      <c r="A1726" s="704"/>
      <c r="B1726" s="705"/>
      <c r="C1726" s="706"/>
      <c r="D1726" s="707" t="s">
        <v>15061</v>
      </c>
      <c r="E1726" s="388"/>
      <c r="F1726" s="389"/>
      <c r="G1726" s="390"/>
      <c r="H1726" s="391"/>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row>
    <row r="1727" spans="1:31" ht="25.5">
      <c r="A1727" s="285" t="s">
        <v>14478</v>
      </c>
      <c r="B1727" s="286" t="s">
        <v>14476</v>
      </c>
      <c r="C1727" s="287">
        <v>88273</v>
      </c>
      <c r="D1727" s="288" t="str">
        <f>IFERROR(VLOOKUP($C1727,'24.08_ND'!$A:$D,2,0),)</f>
        <v>MARCENEIRO COM ENCARGOS COMPLEMENTARES</v>
      </c>
      <c r="E1727" s="289" t="str">
        <f>IFERROR(VLOOKUP($C1727,'24.08_ND'!$A:$D,3,0),)</f>
        <v>H</v>
      </c>
      <c r="F1727" s="290">
        <v>0.157</v>
      </c>
      <c r="G1727" s="291">
        <f>IFERROR(VLOOKUP($C1727,'24.08_ND'!$A:$D,4,0),)</f>
        <v>21.71</v>
      </c>
      <c r="H1727" s="292">
        <f t="shared" ref="H1727:H1732" si="70">TRUNC(($F1727*$G1727),2)</f>
        <v>3.4</v>
      </c>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D1727" s="1791" t="e">
        <f>VLOOKUP(C1727,'Medição '!$B$16:$F$1833,6,0)</f>
        <v>#N/A</v>
      </c>
      <c r="AE1727" s="1791"/>
    </row>
    <row r="1728" spans="1:31" ht="25.5">
      <c r="A1728" s="285" t="s">
        <v>14478</v>
      </c>
      <c r="B1728" s="286" t="s">
        <v>14476</v>
      </c>
      <c r="C1728" s="287">
        <v>88239</v>
      </c>
      <c r="D1728" s="288" t="str">
        <f>IFERROR(VLOOKUP($C1728,'24.08_ND'!$A:$D,2,0),)</f>
        <v>AJUDANTE DE CARPINTEIRO COM ENCARGOS COMPLEMENTARES</v>
      </c>
      <c r="E1728" s="289" t="str">
        <f>IFERROR(VLOOKUP($C1728,'24.08_ND'!$A:$D,3,0),)</f>
        <v>H</v>
      </c>
      <c r="F1728" s="290">
        <v>0.193</v>
      </c>
      <c r="G1728" s="291">
        <f>IFERROR(VLOOKUP($C1728,'24.08_ND'!$A:$D,4,0),)</f>
        <v>19.510000000000002</v>
      </c>
      <c r="H1728" s="292">
        <f t="shared" si="70"/>
        <v>3.76</v>
      </c>
      <c r="I1728" s="262"/>
      <c r="J1728" s="262"/>
      <c r="K1728" s="262"/>
      <c r="L1728" s="262"/>
      <c r="M1728" s="262"/>
      <c r="N1728" s="262"/>
      <c r="O1728" s="262"/>
      <c r="P1728" s="262"/>
      <c r="Q1728" s="262"/>
      <c r="R1728" s="262"/>
      <c r="S1728" s="262"/>
      <c r="T1728" s="262"/>
      <c r="U1728" s="262"/>
      <c r="V1728" s="262"/>
      <c r="W1728" s="262"/>
      <c r="X1728" s="262"/>
      <c r="Y1728" s="262"/>
      <c r="Z1728" s="262"/>
      <c r="AA1728" s="262"/>
      <c r="AB1728" s="262"/>
      <c r="AD1728" s="1791" t="e">
        <f>VLOOKUP(C1728,'Medição '!$B$16:$F$1833,6,0)</f>
        <v>#N/A</v>
      </c>
      <c r="AE1728" s="1791"/>
    </row>
    <row r="1729" spans="1:31" ht="12.75">
      <c r="A1729" s="293" t="s">
        <v>14479</v>
      </c>
      <c r="B1729" s="297" t="s">
        <v>14476</v>
      </c>
      <c r="C1729" s="295">
        <v>40547</v>
      </c>
      <c r="D1729" s="296" t="str">
        <f>IFERROR(VLOOKUP($C1729,'24.08_ND'!$A:$D,2,0),)</f>
        <v>PARAFUSO ZINCADO, AUTOBROCANTE, FLANGEADO, 4,2 MM X 19 MM</v>
      </c>
      <c r="E1729" s="297" t="str">
        <f>IFERROR(VLOOKUP($C1729,'24.08_ND'!$A:$D,3,0),)</f>
        <v>CENTO</v>
      </c>
      <c r="F1729" s="298">
        <v>0.08</v>
      </c>
      <c r="G1729" s="299">
        <f>IFERROR(VLOOKUP($C1729,'24.08_ND'!$A:$D,4,0),)</f>
        <v>26.33</v>
      </c>
      <c r="H1729" s="300">
        <f t="shared" si="70"/>
        <v>2.1</v>
      </c>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row>
    <row r="1730" spans="1:31" ht="25.5">
      <c r="A1730" s="293" t="s">
        <v>14479</v>
      </c>
      <c r="B1730" s="297" t="s">
        <v>14476</v>
      </c>
      <c r="C1730" s="295">
        <v>43701</v>
      </c>
      <c r="D1730" s="296" t="str">
        <f>IFERROR(VLOOKUP($C1730,'24.08_ND'!$A:$D,2,0),)</f>
        <v>CHAPA/BOBINA LISA EM ALUMINIO, LIGA 1.200 - H14, QUALQUER ESPESSURA, QUALQUER LARGURA</v>
      </c>
      <c r="E1730" s="297" t="str">
        <f>IFERROR(VLOOKUP($C1730,'24.08_ND'!$A:$D,3,0),)</f>
        <v>KG</v>
      </c>
      <c r="F1730" s="298">
        <v>8.91</v>
      </c>
      <c r="G1730" s="299">
        <f>IFERROR(VLOOKUP($C1730,'24.08_ND'!$A:$D,4,0),)</f>
        <v>36.090000000000003</v>
      </c>
      <c r="H1730" s="300">
        <f t="shared" si="70"/>
        <v>321.56</v>
      </c>
      <c r="I1730" s="262"/>
      <c r="J1730" s="262"/>
      <c r="K1730" s="262"/>
      <c r="L1730" s="262"/>
      <c r="M1730" s="262"/>
      <c r="N1730" s="262"/>
      <c r="O1730" s="262"/>
      <c r="P1730" s="262"/>
      <c r="Q1730" s="262"/>
      <c r="R1730" s="262"/>
      <c r="S1730" s="262"/>
      <c r="T1730" s="262"/>
      <c r="U1730" s="262"/>
      <c r="V1730" s="262"/>
      <c r="W1730" s="262"/>
      <c r="X1730" s="262"/>
      <c r="Y1730" s="262"/>
      <c r="Z1730" s="262"/>
      <c r="AA1730" s="262"/>
      <c r="AB1730" s="262"/>
    </row>
    <row r="1731" spans="1:31" ht="25.5">
      <c r="A1731" s="317" t="s">
        <v>14478</v>
      </c>
      <c r="B1731" s="312" t="str">
        <f>VLOOKUP($C1731,'• CIs EXT'!$A:$E,2,0)</f>
        <v>SICRO</v>
      </c>
      <c r="C1731" s="313">
        <v>5605942</v>
      </c>
      <c r="D1731" s="314" t="str">
        <f>VLOOKUP($C1731,'• CIs EXT'!$A:$E,3,0)</f>
        <v>PINTURA ELETROSTÁTICA COM TINTA EM PÓ À BASE DE RESINA EPÓXI - E = 200 ?M</v>
      </c>
      <c r="E1731" s="312" t="str">
        <f>VLOOKUP($C1731,'• CIs EXT'!$A:$E,4,0)</f>
        <v>M2</v>
      </c>
      <c r="F1731" s="315">
        <v>2.1</v>
      </c>
      <c r="G1731" s="312">
        <f>VLOOKUP($C1731,'• CIs EXT'!$A:$E,5,0)</f>
        <v>45.1</v>
      </c>
      <c r="H1731" s="316">
        <f t="shared" si="70"/>
        <v>94.71</v>
      </c>
      <c r="I1731" s="262"/>
      <c r="J1731" s="262"/>
      <c r="K1731" s="262"/>
      <c r="L1731" s="262"/>
      <c r="M1731" s="262"/>
      <c r="N1731" s="262"/>
      <c r="O1731" s="262"/>
      <c r="P1731" s="262"/>
      <c r="Q1731" s="262"/>
      <c r="R1731" s="262"/>
      <c r="S1731" s="262"/>
      <c r="T1731" s="262"/>
      <c r="U1731" s="262"/>
      <c r="V1731" s="262"/>
      <c r="W1731" s="262"/>
      <c r="X1731" s="262"/>
      <c r="Y1731" s="262"/>
      <c r="Z1731" s="262"/>
      <c r="AA1731" s="262"/>
      <c r="AB1731" s="262"/>
    </row>
    <row r="1732" spans="1:31" ht="25.5">
      <c r="A1732" s="317" t="s">
        <v>14478</v>
      </c>
      <c r="B1732" s="312" t="str">
        <f>VLOOKUP($C1732,'• CIs EXT'!$A:$E,2,0)</f>
        <v>SETOP</v>
      </c>
      <c r="C1732" s="313" t="s">
        <v>14619</v>
      </c>
      <c r="D1732" s="314" t="str">
        <f>VLOOKUP($C1732,'• CIs EXT'!$A:$E,3,0)</f>
        <v>SERVIÇO DE CORTE E DOBRA EM CHAPA DE AÇO, EXCLUSIVE FORNECIMENTO</v>
      </c>
      <c r="E1732" s="312" t="str">
        <f>VLOOKUP($C1732,'• CIs EXT'!$A:$E,4,0)</f>
        <v>KG</v>
      </c>
      <c r="F1732" s="315">
        <f>F1730</f>
        <v>8.91</v>
      </c>
      <c r="G1732" s="312">
        <f>VLOOKUP($C1732,'• CIs EXT'!$A:$E,5,0)</f>
        <v>2.88</v>
      </c>
      <c r="H1732" s="316">
        <f t="shared" si="70"/>
        <v>25.66</v>
      </c>
      <c r="I1732" s="262"/>
      <c r="J1732" s="262"/>
      <c r="K1732" s="262"/>
      <c r="L1732" s="262"/>
      <c r="M1732" s="262"/>
      <c r="N1732" s="262"/>
      <c r="O1732" s="262"/>
      <c r="P1732" s="262"/>
      <c r="Q1732" s="262"/>
      <c r="R1732" s="262"/>
      <c r="S1732" s="262"/>
      <c r="T1732" s="262"/>
      <c r="U1732" s="262"/>
      <c r="V1732" s="262"/>
      <c r="W1732" s="262"/>
      <c r="X1732" s="262"/>
      <c r="Y1732" s="262"/>
      <c r="Z1732" s="262"/>
      <c r="AA1732" s="262"/>
      <c r="AB1732" s="262"/>
    </row>
    <row r="1733" spans="1:31" ht="12.75">
      <c r="A1733" s="309"/>
      <c r="B1733" s="303"/>
      <c r="C1733" s="303"/>
      <c r="D1733" s="310"/>
      <c r="E1733" s="303"/>
      <c r="F1733" s="306"/>
      <c r="G1733" s="307"/>
      <c r="H1733" s="308"/>
      <c r="I1733" s="262"/>
      <c r="J1733" s="262"/>
      <c r="K1733" s="262"/>
      <c r="L1733" s="262"/>
      <c r="M1733" s="262"/>
      <c r="N1733" s="262"/>
      <c r="O1733" s="262"/>
      <c r="P1733" s="262"/>
      <c r="Q1733" s="262"/>
      <c r="R1733" s="262"/>
      <c r="S1733" s="262"/>
      <c r="T1733" s="262"/>
      <c r="U1733" s="262"/>
      <c r="V1733" s="262"/>
      <c r="W1733" s="262"/>
      <c r="X1733" s="262"/>
      <c r="Y1733" s="262"/>
      <c r="Z1733" s="262"/>
      <c r="AA1733" s="262"/>
      <c r="AB1733" s="262"/>
    </row>
    <row r="1734" spans="1:31" ht="25.5">
      <c r="A1734" s="271" t="s">
        <v>14471</v>
      </c>
      <c r="B1734" s="272" t="s">
        <v>14472</v>
      </c>
      <c r="C1734" s="273" t="s">
        <v>15062</v>
      </c>
      <c r="D1734" s="274" t="s">
        <v>15063</v>
      </c>
      <c r="E1734" s="272" t="s">
        <v>409</v>
      </c>
      <c r="F1734" s="272"/>
      <c r="G1734" s="272"/>
      <c r="H1734" s="275">
        <f>SUM(H1736:H1742)</f>
        <v>1298.9000000000001</v>
      </c>
      <c r="I1734" s="276">
        <f>COUNTIF($C$8:$C1734,C:C)</f>
        <v>1</v>
      </c>
      <c r="J1734" s="262"/>
      <c r="K1734" s="262"/>
      <c r="L1734" s="262"/>
      <c r="M1734" s="262"/>
      <c r="N1734" s="262"/>
      <c r="O1734" s="262"/>
      <c r="P1734" s="262"/>
      <c r="Q1734" s="262"/>
      <c r="R1734" s="262"/>
      <c r="S1734" s="262"/>
      <c r="T1734" s="262"/>
      <c r="U1734" s="262"/>
      <c r="V1734" s="262"/>
      <c r="W1734" s="262"/>
      <c r="X1734" s="262"/>
      <c r="Y1734" s="262"/>
      <c r="Z1734" s="262"/>
      <c r="AA1734" s="262"/>
      <c r="AB1734" s="262"/>
    </row>
    <row r="1735" spans="1:31" ht="12.75">
      <c r="A1735" s="277" t="s">
        <v>14475</v>
      </c>
      <c r="B1735" s="327" t="s">
        <v>14476</v>
      </c>
      <c r="C1735" s="327">
        <v>91341</v>
      </c>
      <c r="D1735" s="280" t="s">
        <v>14567</v>
      </c>
      <c r="E1735" s="329"/>
      <c r="F1735" s="282"/>
      <c r="G1735" s="283"/>
      <c r="H1735" s="284"/>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row>
    <row r="1736" spans="1:31" ht="25.5">
      <c r="A1736" s="285" t="s">
        <v>14478</v>
      </c>
      <c r="B1736" s="286" t="s">
        <v>14476</v>
      </c>
      <c r="C1736" s="287">
        <v>88309</v>
      </c>
      <c r="D1736" s="288" t="str">
        <f>IFERROR(VLOOKUP($C1736,'24.08_ND'!$A:$D,2,0),)</f>
        <v>PEDREIRO COM ENCARGOS COMPLEMENTARES</v>
      </c>
      <c r="E1736" s="289" t="str">
        <f>IFERROR(VLOOKUP($C1736,'24.08_ND'!$A:$D,3,0),)</f>
        <v>H</v>
      </c>
      <c r="F1736" s="583">
        <v>0.3826</v>
      </c>
      <c r="G1736" s="291">
        <f>IFERROR(VLOOKUP($C1736,'24.08_ND'!$A:$D,4,0),)</f>
        <v>23.33</v>
      </c>
      <c r="H1736" s="292">
        <f t="shared" ref="H1736:H1742" si="71">TRUNC(($F1736*$G1736),2)</f>
        <v>8.92</v>
      </c>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D1736" s="1791" t="e">
        <f>VLOOKUP(C1736,'Medição '!$B$16:$F$1833,6,0)</f>
        <v>#N/A</v>
      </c>
      <c r="AE1736" s="1791"/>
    </row>
    <row r="1737" spans="1:31" ht="25.5">
      <c r="A1737" s="285" t="s">
        <v>14478</v>
      </c>
      <c r="B1737" s="286" t="s">
        <v>14476</v>
      </c>
      <c r="C1737" s="287">
        <v>88316</v>
      </c>
      <c r="D1737" s="288" t="str">
        <f>IFERROR(VLOOKUP($C1737,'24.08_ND'!$A:$D,2,0),)</f>
        <v>SERVENTE COM ENCARGOS COMPLEMENTARES</v>
      </c>
      <c r="E1737" s="289" t="str">
        <f>IFERROR(VLOOKUP($C1737,'24.08_ND'!$A:$D,3,0),)</f>
        <v>H</v>
      </c>
      <c r="F1737" s="583">
        <v>0.64800000000000002</v>
      </c>
      <c r="G1737" s="291">
        <f>IFERROR(VLOOKUP($C1737,'24.08_ND'!$A:$D,4,0),)</f>
        <v>18.510000000000002</v>
      </c>
      <c r="H1737" s="292">
        <f t="shared" si="71"/>
        <v>11.99</v>
      </c>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D1737" s="1791" t="e">
        <f>VLOOKUP(C1737,'Medição '!$B$16:$F$1833,6,0)</f>
        <v>#N/A</v>
      </c>
      <c r="AE1737" s="1791"/>
    </row>
    <row r="1738" spans="1:31" ht="25.5">
      <c r="A1738" s="293" t="s">
        <v>14479</v>
      </c>
      <c r="B1738" s="294" t="s">
        <v>14476</v>
      </c>
      <c r="C1738" s="295">
        <v>7568</v>
      </c>
      <c r="D1738" s="296" t="str">
        <f>IFERROR(VLOOKUP($C1738,'24.08_ND'!$A:$D,2,0),)</f>
        <v>BUCHA DE NYLON SEM ABA S10, COM PARAFUSO DE 6,10 X 65 MM EM ACO ZINCADO COM ROSCA SOBERBA, CABECA CHATA E FENDA PHILLIPS</v>
      </c>
      <c r="E1738" s="297" t="str">
        <f>IFERROR(VLOOKUP($C1738,'24.08_ND'!$A:$D,3,0),)</f>
        <v>UN</v>
      </c>
      <c r="F1738" s="584">
        <v>6</v>
      </c>
      <c r="G1738" s="299">
        <f>IFERROR(VLOOKUP($C1738,'24.08_ND'!$A:$D,4,0),)</f>
        <v>0.66</v>
      </c>
      <c r="H1738" s="300">
        <f t="shared" si="71"/>
        <v>3.96</v>
      </c>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row>
    <row r="1739" spans="1:31" ht="25.5">
      <c r="A1739" s="293" t="s">
        <v>14479</v>
      </c>
      <c r="B1739" s="294" t="s">
        <v>14476</v>
      </c>
      <c r="C1739" s="295">
        <v>36888</v>
      </c>
      <c r="D1739" s="296" t="str">
        <f>IFERROR(VLOOKUP($C1739,'24.08_ND'!$A:$D,2,0),)</f>
        <v>GUARNICAO / MOLDURA / ARREMATE DE ACABAMENTO PARA ESQUADRIA, EM ALUMINIO PERFIL 25, ACABAMENTO ANODIZADO BRANCO OU BRILHANTE, PARA 1 FACE</v>
      </c>
      <c r="E1739" s="297" t="str">
        <f>IFERROR(VLOOKUP($C1739,'24.08_ND'!$A:$D,3,0),)</f>
        <v>M</v>
      </c>
      <c r="F1739" s="584">
        <v>6.8503999999999996</v>
      </c>
      <c r="G1739" s="299">
        <f>IFERROR(VLOOKUP($C1739,'24.08_ND'!$A:$D,4,0),)</f>
        <v>22.7</v>
      </c>
      <c r="H1739" s="300">
        <f t="shared" si="71"/>
        <v>155.5</v>
      </c>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row>
    <row r="1740" spans="1:31" ht="25.5">
      <c r="A1740" s="293" t="s">
        <v>14479</v>
      </c>
      <c r="B1740" s="294" t="s">
        <v>14476</v>
      </c>
      <c r="C1740" s="295">
        <v>11457</v>
      </c>
      <c r="D1740" s="296" t="str">
        <f>IFERROR(VLOOKUP($C1740,'24.08_ND'!$A:$D,2,0),)</f>
        <v>TARJETA LIVRE / OCUPADO PARA PORTA DE BANHEIRO, CORPO EM ZAMAC E ESPELHO EM LATAO</v>
      </c>
      <c r="E1740" s="297" t="str">
        <f>IFERROR(VLOOKUP($C1740,'24.08_ND'!$A:$D,3,0),)</f>
        <v>UN</v>
      </c>
      <c r="F1740" s="584">
        <v>1</v>
      </c>
      <c r="G1740" s="299">
        <f>IFERROR(VLOOKUP($C1740,'24.08_ND'!$A:$D,4,0),)</f>
        <v>49.41</v>
      </c>
      <c r="H1740" s="300">
        <f t="shared" si="71"/>
        <v>49.41</v>
      </c>
      <c r="I1740" s="262"/>
      <c r="J1740" s="262"/>
      <c r="K1740" s="262"/>
      <c r="L1740" s="262"/>
      <c r="M1740" s="262"/>
      <c r="N1740" s="262"/>
      <c r="O1740" s="262"/>
      <c r="P1740" s="262"/>
      <c r="Q1740" s="262"/>
      <c r="R1740" s="262"/>
      <c r="S1740" s="262"/>
      <c r="T1740" s="262"/>
      <c r="U1740" s="262"/>
      <c r="V1740" s="262"/>
      <c r="W1740" s="262"/>
      <c r="X1740" s="262"/>
      <c r="Y1740" s="262"/>
      <c r="Z1740" s="262"/>
      <c r="AA1740" s="262"/>
      <c r="AB1740" s="262"/>
    </row>
    <row r="1741" spans="1:31" ht="25.5">
      <c r="A1741" s="293" t="s">
        <v>14479</v>
      </c>
      <c r="B1741" s="294" t="s">
        <v>14476</v>
      </c>
      <c r="C1741" s="295">
        <v>142</v>
      </c>
      <c r="D1741" s="296" t="str">
        <f>IFERROR(VLOOKUP($C1741,'24.08_ND'!$A:$D,2,0),)</f>
        <v>SELANTE ELASTICO MONOCOMPONENTE A BASE DE POLIURETANO (PU) PARA JUNTAS DIVERSAS</v>
      </c>
      <c r="E1741" s="297" t="str">
        <f>IFERROR(VLOOKUP($C1741,'24.08_ND'!$A:$D,3,0),)</f>
        <v>310ML</v>
      </c>
      <c r="F1741" s="584">
        <v>0.88290000000000002</v>
      </c>
      <c r="G1741" s="299">
        <f>IFERROR(VLOOKUP($C1741,'24.08_ND'!$A:$D,4,0),)</f>
        <v>34.200000000000003</v>
      </c>
      <c r="H1741" s="300">
        <f t="shared" si="71"/>
        <v>30.19</v>
      </c>
      <c r="I1741" s="262"/>
      <c r="J1741" s="262"/>
      <c r="K1741" s="262"/>
      <c r="L1741" s="262"/>
      <c r="M1741" s="262"/>
      <c r="N1741" s="262"/>
      <c r="O1741" s="262"/>
      <c r="P1741" s="262"/>
      <c r="Q1741" s="262"/>
      <c r="R1741" s="262"/>
      <c r="S1741" s="262"/>
      <c r="T1741" s="262"/>
      <c r="U1741" s="262"/>
      <c r="V1741" s="262"/>
      <c r="W1741" s="262"/>
      <c r="X1741" s="262"/>
      <c r="Y1741" s="262"/>
      <c r="Z1741" s="262"/>
      <c r="AA1741" s="262"/>
      <c r="AB1741" s="262"/>
    </row>
    <row r="1742" spans="1:31" ht="25.5">
      <c r="A1742" s="317" t="s">
        <v>14479</v>
      </c>
      <c r="B1742" s="312" t="str">
        <f>VLOOKUP($C1742,'• CIs EXT'!$A:$E,2,0)</f>
        <v>AGESUL</v>
      </c>
      <c r="C1742" s="377">
        <v>1719</v>
      </c>
      <c r="D1742" s="314" t="str">
        <f>VLOOKUP($C1742,'• CIs EXT'!$A:$E,3,0)</f>
        <v>PORTA DE ABRIR EM ALUMINIO TIPO VENEZIANA COM ACABAMENTO ANODIZADO FOSCO NA COR PRETA/BRANCA COM CONTRAMARCO</v>
      </c>
      <c r="E1742" s="312" t="str">
        <f>VLOOKUP($C1742,'• CIs EXT'!$A:$E,4,0)</f>
        <v>M2</v>
      </c>
      <c r="F1742" s="315">
        <v>1</v>
      </c>
      <c r="G1742" s="312">
        <f>VLOOKUP($C1742,'• CIs EXT'!$A:$E,5,0)</f>
        <v>1038.93</v>
      </c>
      <c r="H1742" s="316">
        <f t="shared" si="71"/>
        <v>1038.93</v>
      </c>
      <c r="I1742" s="262"/>
      <c r="J1742" s="262"/>
      <c r="K1742" s="262"/>
      <c r="L1742" s="262"/>
      <c r="M1742" s="262"/>
      <c r="N1742" s="262"/>
      <c r="O1742" s="262"/>
      <c r="P1742" s="262"/>
      <c r="Q1742" s="262"/>
      <c r="R1742" s="262"/>
      <c r="S1742" s="262"/>
      <c r="T1742" s="262"/>
      <c r="U1742" s="262"/>
      <c r="V1742" s="262"/>
      <c r="W1742" s="262"/>
      <c r="X1742" s="262"/>
      <c r="Y1742" s="262"/>
      <c r="Z1742" s="262"/>
      <c r="AA1742" s="262"/>
      <c r="AB1742" s="262"/>
    </row>
    <row r="1743" spans="1:31" ht="12.75">
      <c r="A1743" s="309"/>
      <c r="B1743" s="303"/>
      <c r="C1743" s="303"/>
      <c r="D1743" s="310"/>
      <c r="E1743" s="303"/>
      <c r="F1743" s="306"/>
      <c r="G1743" s="307"/>
      <c r="H1743" s="308"/>
      <c r="I1743" s="262"/>
      <c r="J1743" s="262"/>
      <c r="K1743" s="262"/>
      <c r="L1743" s="262"/>
      <c r="M1743" s="262"/>
      <c r="N1743" s="262"/>
      <c r="O1743" s="262"/>
      <c r="P1743" s="262"/>
      <c r="Q1743" s="262"/>
      <c r="R1743" s="262"/>
      <c r="S1743" s="262"/>
      <c r="T1743" s="262"/>
      <c r="U1743" s="262"/>
      <c r="V1743" s="262"/>
      <c r="W1743" s="262"/>
      <c r="X1743" s="262"/>
      <c r="Y1743" s="262"/>
      <c r="Z1743" s="262"/>
      <c r="AA1743" s="262"/>
      <c r="AB1743" s="262"/>
    </row>
    <row r="1744" spans="1:31" ht="12.75">
      <c r="A1744" s="271" t="s">
        <v>14471</v>
      </c>
      <c r="B1744" s="272" t="s">
        <v>14472</v>
      </c>
      <c r="C1744" s="273" t="s">
        <v>15064</v>
      </c>
      <c r="D1744" s="274" t="s">
        <v>15065</v>
      </c>
      <c r="E1744" s="272" t="s">
        <v>409</v>
      </c>
      <c r="F1744" s="272"/>
      <c r="G1744" s="272"/>
      <c r="H1744" s="275">
        <f>SUM(H1746:H1751)</f>
        <v>1007.1800000000001</v>
      </c>
      <c r="I1744" s="276">
        <f>COUNTIF($C$8:$C1744,C:C)</f>
        <v>1</v>
      </c>
      <c r="J1744" s="262"/>
      <c r="K1744" s="262"/>
      <c r="L1744" s="262"/>
      <c r="M1744" s="262"/>
      <c r="N1744" s="262"/>
      <c r="O1744" s="262"/>
      <c r="P1744" s="262"/>
      <c r="Q1744" s="262"/>
      <c r="R1744" s="262"/>
      <c r="S1744" s="262"/>
      <c r="T1744" s="262"/>
      <c r="U1744" s="262"/>
      <c r="V1744" s="262"/>
      <c r="W1744" s="262"/>
      <c r="X1744" s="262"/>
      <c r="Y1744" s="262"/>
      <c r="Z1744" s="262"/>
      <c r="AA1744" s="262"/>
      <c r="AB1744" s="262"/>
    </row>
    <row r="1745" spans="1:31" ht="12.75">
      <c r="A1745" s="277" t="s">
        <v>14475</v>
      </c>
      <c r="B1745" s="327" t="s">
        <v>14476</v>
      </c>
      <c r="C1745" s="327">
        <v>91338</v>
      </c>
      <c r="D1745" s="280" t="s">
        <v>14587</v>
      </c>
      <c r="E1745" s="329"/>
      <c r="F1745" s="282"/>
      <c r="G1745" s="283"/>
      <c r="H1745" s="284"/>
      <c r="I1745" s="262"/>
      <c r="J1745" s="262"/>
      <c r="K1745" s="262"/>
      <c r="L1745" s="262"/>
      <c r="M1745" s="262"/>
      <c r="N1745" s="262"/>
      <c r="O1745" s="262"/>
      <c r="P1745" s="262"/>
      <c r="Q1745" s="262"/>
      <c r="R1745" s="262"/>
      <c r="S1745" s="262"/>
      <c r="T1745" s="262"/>
      <c r="U1745" s="262"/>
      <c r="V1745" s="262"/>
      <c r="W1745" s="262"/>
      <c r="X1745" s="262"/>
      <c r="Y1745" s="262"/>
      <c r="Z1745" s="262"/>
      <c r="AA1745" s="262"/>
      <c r="AB1745" s="262"/>
    </row>
    <row r="1746" spans="1:31" ht="25.5">
      <c r="A1746" s="285" t="s">
        <v>14478</v>
      </c>
      <c r="B1746" s="286" t="s">
        <v>14476</v>
      </c>
      <c r="C1746" s="287">
        <v>88309</v>
      </c>
      <c r="D1746" s="288" t="str">
        <f>IFERROR(VLOOKUP($C1746,'24.08_ND'!$A:$D,2,0),)</f>
        <v>PEDREIRO COM ENCARGOS COMPLEMENTARES</v>
      </c>
      <c r="E1746" s="289" t="str">
        <f>IFERROR(VLOOKUP($C1746,'24.08_ND'!$A:$D,3,0),)</f>
        <v>H</v>
      </c>
      <c r="F1746" s="583">
        <v>0.35630000000000001</v>
      </c>
      <c r="G1746" s="291">
        <f>IFERROR(VLOOKUP($C1746,'24.08_ND'!$A:$D,4,0),)</f>
        <v>23.33</v>
      </c>
      <c r="H1746" s="292">
        <f t="shared" ref="H1746:H1751" si="72">TRUNC(($F1746*$G1746),2)</f>
        <v>8.31</v>
      </c>
      <c r="I1746" s="262"/>
      <c r="J1746" s="262"/>
      <c r="K1746" s="262"/>
      <c r="L1746" s="262"/>
      <c r="M1746" s="262"/>
      <c r="N1746" s="262"/>
      <c r="O1746" s="262"/>
      <c r="P1746" s="262"/>
      <c r="Q1746" s="262"/>
      <c r="R1746" s="262"/>
      <c r="S1746" s="262"/>
      <c r="T1746" s="262"/>
      <c r="U1746" s="262"/>
      <c r="V1746" s="262"/>
      <c r="W1746" s="262"/>
      <c r="X1746" s="262"/>
      <c r="Y1746" s="262"/>
      <c r="Z1746" s="262"/>
      <c r="AA1746" s="262"/>
      <c r="AB1746" s="262"/>
      <c r="AD1746" s="1791" t="e">
        <f>VLOOKUP(C1746,'Medição '!$B$16:$F$1833,6,0)</f>
        <v>#N/A</v>
      </c>
      <c r="AE1746" s="1791"/>
    </row>
    <row r="1747" spans="1:31" ht="25.5">
      <c r="A1747" s="285" t="s">
        <v>14478</v>
      </c>
      <c r="B1747" s="286" t="s">
        <v>14476</v>
      </c>
      <c r="C1747" s="287">
        <v>88316</v>
      </c>
      <c r="D1747" s="288" t="str">
        <f>IFERROR(VLOOKUP($C1747,'24.08_ND'!$A:$D,2,0),)</f>
        <v>SERVENTE COM ENCARGOS COMPLEMENTARES</v>
      </c>
      <c r="E1747" s="289" t="str">
        <f>IFERROR(VLOOKUP($C1747,'24.08_ND'!$A:$D,3,0),)</f>
        <v>H</v>
      </c>
      <c r="F1747" s="583">
        <v>0.1779</v>
      </c>
      <c r="G1747" s="291">
        <f>IFERROR(VLOOKUP($C1747,'24.08_ND'!$A:$D,4,0),)</f>
        <v>18.510000000000002</v>
      </c>
      <c r="H1747" s="292">
        <f t="shared" si="72"/>
        <v>3.29</v>
      </c>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D1747" s="1791" t="e">
        <f>VLOOKUP(C1747,'Medição '!$B$16:$F$1833,6,0)</f>
        <v>#N/A</v>
      </c>
      <c r="AE1747" s="1791"/>
    </row>
    <row r="1748" spans="1:31" ht="25.5">
      <c r="A1748" s="293" t="s">
        <v>14479</v>
      </c>
      <c r="B1748" s="294" t="s">
        <v>14476</v>
      </c>
      <c r="C1748" s="295">
        <v>7568</v>
      </c>
      <c r="D1748" s="296" t="str">
        <f>IFERROR(VLOOKUP($C1748,'24.08_ND'!$A:$D,2,0),)</f>
        <v>BUCHA DE NYLON SEM ABA S10, COM PARAFUSO DE 6,10 X 65 MM EM ACO ZINCADO COM ROSCA SOBERBA, CABECA CHATA E FENDA PHILLIPS</v>
      </c>
      <c r="E1748" s="297" t="str">
        <f>IFERROR(VLOOKUP($C1748,'24.08_ND'!$A:$D,3,0),)</f>
        <v>UN</v>
      </c>
      <c r="F1748" s="584">
        <v>4.8166000000000002</v>
      </c>
      <c r="G1748" s="299">
        <f>IFERROR(VLOOKUP($C1748,'24.08_ND'!$A:$D,4,0),)</f>
        <v>0.66</v>
      </c>
      <c r="H1748" s="300">
        <f t="shared" si="72"/>
        <v>3.17</v>
      </c>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row>
    <row r="1749" spans="1:31" ht="25.5">
      <c r="A1749" s="293" t="s">
        <v>14479</v>
      </c>
      <c r="B1749" s="294" t="s">
        <v>14476</v>
      </c>
      <c r="C1749" s="295">
        <v>36888</v>
      </c>
      <c r="D1749" s="296" t="str">
        <f>IFERROR(VLOOKUP($C1749,'24.08_ND'!$A:$D,2,0),)</f>
        <v>GUARNICAO / MOLDURA / ARREMATE DE ACABAMENTO PARA ESQUADRIA, EM ALUMINIO PERFIL 25, ACABAMENTO ANODIZADO BRANCO OU BRILHANTE, PARA 1 FACE</v>
      </c>
      <c r="E1749" s="297" t="str">
        <f>IFERROR(VLOOKUP($C1749,'24.08_ND'!$A:$D,3,0),)</f>
        <v>M</v>
      </c>
      <c r="F1749" s="584">
        <v>6.8503999999999996</v>
      </c>
      <c r="G1749" s="299">
        <f>IFERROR(VLOOKUP($C1749,'24.08_ND'!$A:$D,4,0),)</f>
        <v>22.7</v>
      </c>
      <c r="H1749" s="300">
        <f t="shared" si="72"/>
        <v>155.5</v>
      </c>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row>
    <row r="1750" spans="1:31" ht="25.5">
      <c r="A1750" s="293" t="s">
        <v>14479</v>
      </c>
      <c r="B1750" s="294" t="s">
        <v>14476</v>
      </c>
      <c r="C1750" s="295">
        <v>142</v>
      </c>
      <c r="D1750" s="296" t="str">
        <f>IFERROR(VLOOKUP($C1750,'24.08_ND'!$A:$D,2,0),)</f>
        <v>SELANTE ELASTICO MONOCOMPONENTE A BASE DE POLIURETANO (PU) PARA JUNTAS DIVERSAS</v>
      </c>
      <c r="E1750" s="297" t="str">
        <f>IFERROR(VLOOKUP($C1750,'24.08_ND'!$A:$D,3,0),)</f>
        <v>310ML</v>
      </c>
      <c r="F1750" s="584">
        <v>0.88290000000000002</v>
      </c>
      <c r="G1750" s="299">
        <f>IFERROR(VLOOKUP($C1750,'24.08_ND'!$A:$D,4,0),)</f>
        <v>34.200000000000003</v>
      </c>
      <c r="H1750" s="300">
        <f t="shared" si="72"/>
        <v>30.19</v>
      </c>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row>
    <row r="1751" spans="1:31" ht="38.25">
      <c r="A1751" s="317" t="s">
        <v>14479</v>
      </c>
      <c r="B1751" s="312" t="str">
        <f>VLOOKUP($C1751,'• CIs EXT'!$A:$E,2,0)</f>
        <v>CPOS/CDHU</v>
      </c>
      <c r="C1751" s="377" t="s">
        <v>15011</v>
      </c>
      <c r="D1751" s="314" t="str">
        <f>VLOOKUP($C1751,'• CIs EXT'!$A:$E,3,0)</f>
        <v>PORTA DE ABRIR EM ALUMÍNIO ANODIZADO, NAS CORES BRONZE/PRETO</v>
      </c>
      <c r="E1751" s="312" t="str">
        <f>VLOOKUP($C1751,'• CIs EXT'!$A:$E,4,0)</f>
        <v>M2</v>
      </c>
      <c r="F1751" s="315">
        <v>1</v>
      </c>
      <c r="G1751" s="312">
        <f>VLOOKUP($C1751,'• CIs EXT'!$A:$E,5,0)</f>
        <v>806.72</v>
      </c>
      <c r="H1751" s="316">
        <f t="shared" si="72"/>
        <v>806.72</v>
      </c>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row>
    <row r="1752" spans="1:31" ht="12.75">
      <c r="A1752" s="699"/>
      <c r="B1752" s="700"/>
      <c r="C1752" s="700"/>
      <c r="D1752" s="701"/>
      <c r="E1752" s="303"/>
      <c r="F1752" s="306"/>
      <c r="G1752" s="307"/>
      <c r="H1752" s="308"/>
      <c r="I1752" s="262"/>
      <c r="J1752" s="262"/>
      <c r="K1752" s="262"/>
      <c r="L1752" s="262"/>
      <c r="M1752" s="262"/>
      <c r="N1752" s="262"/>
      <c r="O1752" s="262"/>
      <c r="P1752" s="262"/>
      <c r="Q1752" s="262"/>
      <c r="R1752" s="262"/>
      <c r="S1752" s="262"/>
      <c r="T1752" s="262"/>
      <c r="U1752" s="262"/>
      <c r="V1752" s="262"/>
      <c r="W1752" s="262"/>
      <c r="X1752" s="262"/>
      <c r="Y1752" s="262"/>
      <c r="Z1752" s="262"/>
      <c r="AA1752" s="262"/>
      <c r="AB1752" s="262"/>
    </row>
    <row r="1753" spans="1:31" ht="51">
      <c r="A1753" s="358" t="s">
        <v>14471</v>
      </c>
      <c r="B1753" s="359" t="s">
        <v>14472</v>
      </c>
      <c r="C1753" s="273" t="s">
        <v>15066</v>
      </c>
      <c r="D1753" s="361" t="s">
        <v>15067</v>
      </c>
      <c r="E1753" s="359" t="s">
        <v>409</v>
      </c>
      <c r="F1753" s="362"/>
      <c r="G1753" s="362"/>
      <c r="H1753" s="363">
        <f>TRUNC(SUM(H1755:H1763),2)</f>
        <v>648.36</v>
      </c>
      <c r="I1753" s="276">
        <f>COUNTIF($C$8:$C1753,C:C)</f>
        <v>1</v>
      </c>
      <c r="J1753" s="262"/>
      <c r="K1753" s="262"/>
      <c r="L1753" s="262"/>
      <c r="M1753" s="262"/>
      <c r="N1753" s="262"/>
      <c r="O1753" s="262"/>
      <c r="P1753" s="262"/>
      <c r="Q1753" s="262"/>
      <c r="R1753" s="262"/>
      <c r="S1753" s="262"/>
      <c r="T1753" s="262"/>
      <c r="U1753" s="262"/>
      <c r="V1753" s="262"/>
      <c r="W1753" s="262"/>
      <c r="X1753" s="262"/>
      <c r="Y1753" s="262"/>
      <c r="Z1753" s="262"/>
      <c r="AA1753" s="262"/>
      <c r="AB1753" s="262"/>
    </row>
    <row r="1754" spans="1:31" ht="12.75">
      <c r="A1754" s="364" t="s">
        <v>14475</v>
      </c>
      <c r="B1754" s="403" t="s">
        <v>14489</v>
      </c>
      <c r="C1754" s="404" t="s">
        <v>14900</v>
      </c>
      <c r="D1754" s="630">
        <v>45292</v>
      </c>
      <c r="E1754" s="405"/>
      <c r="F1754" s="369"/>
      <c r="G1754" s="370"/>
      <c r="H1754" s="371"/>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row>
    <row r="1755" spans="1:31" ht="25.5">
      <c r="A1755" s="372" t="s">
        <v>14478</v>
      </c>
      <c r="B1755" s="373" t="s">
        <v>14476</v>
      </c>
      <c r="C1755" s="374">
        <v>88325</v>
      </c>
      <c r="D1755" s="593" t="str">
        <f>IFERROR(VLOOKUP($C1755,'24.08_ND'!$A:$D,2,0),)</f>
        <v>VIDRACEIRO COM ENCARGOS COMPLEMENTARES</v>
      </c>
      <c r="E1755" s="594" t="str">
        <f>IFERROR(VLOOKUP($C1755,'24.08_ND'!$A:$D,3,0),)</f>
        <v>H</v>
      </c>
      <c r="F1755" s="375">
        <f>30/60</f>
        <v>0.5</v>
      </c>
      <c r="G1755" s="595">
        <f>IFERROR(VLOOKUP($C1755,'24.08_ND'!$A:$D,4,0),)</f>
        <v>20.67</v>
      </c>
      <c r="H1755" s="440">
        <f t="shared" ref="H1755:H1763" si="73">TRUNC(($F1755*$G1755),2)</f>
        <v>10.33</v>
      </c>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D1755" s="1791" t="e">
        <f>VLOOKUP(C1755,'Medição '!$B$16:$F$1833,6,0)</f>
        <v>#N/A</v>
      </c>
      <c r="AE1755" s="1791"/>
    </row>
    <row r="1756" spans="1:31" ht="25.5">
      <c r="A1756" s="372" t="s">
        <v>14478</v>
      </c>
      <c r="B1756" s="373" t="s">
        <v>14476</v>
      </c>
      <c r="C1756" s="374">
        <v>88315</v>
      </c>
      <c r="D1756" s="593" t="str">
        <f>IFERROR(VLOOKUP($C1756,'24.08_ND'!$A:$D,2,0),)</f>
        <v>SERRALHEIRO COM ENCARGOS COMPLEMENTARES</v>
      </c>
      <c r="E1756" s="594" t="str">
        <f>IFERROR(VLOOKUP($C1756,'24.08_ND'!$A:$D,3,0),)</f>
        <v>H</v>
      </c>
      <c r="F1756" s="375">
        <v>0.66666666666666663</v>
      </c>
      <c r="G1756" s="595">
        <f>IFERROR(VLOOKUP($C1756,'24.08_ND'!$A:$D,4,0),)</f>
        <v>23.13</v>
      </c>
      <c r="H1756" s="440">
        <f t="shared" si="73"/>
        <v>15.42</v>
      </c>
      <c r="I1756" s="262"/>
      <c r="J1756" s="262"/>
      <c r="K1756" s="262"/>
      <c r="L1756" s="262"/>
      <c r="M1756" s="262"/>
      <c r="N1756" s="262"/>
      <c r="O1756" s="262"/>
      <c r="P1756" s="262"/>
      <c r="Q1756" s="262"/>
      <c r="R1756" s="262"/>
      <c r="S1756" s="262"/>
      <c r="T1756" s="262"/>
      <c r="U1756" s="262"/>
      <c r="V1756" s="262"/>
      <c r="W1756" s="262"/>
      <c r="X1756" s="262"/>
      <c r="Y1756" s="262"/>
      <c r="Z1756" s="262"/>
      <c r="AA1756" s="262"/>
      <c r="AB1756" s="262"/>
      <c r="AD1756" s="1791" t="e">
        <f>VLOOKUP(C1756,'Medição '!$B$16:$F$1833,6,0)</f>
        <v>#N/A</v>
      </c>
      <c r="AE1756" s="1791"/>
    </row>
    <row r="1757" spans="1:31" ht="25.5">
      <c r="A1757" s="372" t="s">
        <v>14478</v>
      </c>
      <c r="B1757" s="373" t="s">
        <v>14476</v>
      </c>
      <c r="C1757" s="374">
        <v>88251</v>
      </c>
      <c r="D1757" s="593" t="str">
        <f>IFERROR(VLOOKUP($C1757,'24.08_ND'!$A:$D,2,0),)</f>
        <v>AUXILIAR DE SERRALHEIRO COM ENCARGOS COMPLEMENTARES</v>
      </c>
      <c r="E1757" s="594" t="str">
        <f>IFERROR(VLOOKUP($C1757,'24.08_ND'!$A:$D,3,0),)</f>
        <v>H</v>
      </c>
      <c r="F1757" s="375">
        <v>0.79999999999999993</v>
      </c>
      <c r="G1757" s="595">
        <f>IFERROR(VLOOKUP($C1757,'24.08_ND'!$A:$D,4,0),)</f>
        <v>19.579999999999998</v>
      </c>
      <c r="H1757" s="440">
        <f t="shared" si="73"/>
        <v>15.66</v>
      </c>
      <c r="I1757" s="262"/>
      <c r="J1757" s="262"/>
      <c r="K1757" s="262"/>
      <c r="L1757" s="262"/>
      <c r="M1757" s="262"/>
      <c r="N1757" s="262"/>
      <c r="O1757" s="262"/>
      <c r="P1757" s="262"/>
      <c r="Q1757" s="262"/>
      <c r="R1757" s="262"/>
      <c r="S1757" s="262"/>
      <c r="T1757" s="262"/>
      <c r="U1757" s="262"/>
      <c r="V1757" s="262"/>
      <c r="W1757" s="262"/>
      <c r="X1757" s="262"/>
      <c r="Y1757" s="262"/>
      <c r="Z1757" s="262"/>
      <c r="AA1757" s="262"/>
      <c r="AB1757" s="262"/>
      <c r="AD1757" s="1791" t="e">
        <f>VLOOKUP(C1757,'Medição '!$B$16:$F$1833,6,0)</f>
        <v>#N/A</v>
      </c>
      <c r="AE1757" s="1791"/>
    </row>
    <row r="1758" spans="1:31" ht="38.25">
      <c r="A1758" s="285" t="s">
        <v>14478</v>
      </c>
      <c r="B1758" s="286" t="s">
        <v>14476</v>
      </c>
      <c r="C1758" s="408">
        <v>100721</v>
      </c>
      <c r="D1758" s="288" t="str">
        <f>IFERROR(VLOOKUP($C1758,'24.08_ND'!$A:$D,2,0),)</f>
        <v>PINTURA COM TINTA ALQUÍDICA DE FUNDO (TIPO ZARCÃO) PULVERIZADA SOBRE SUPERFÍCIES METÁLICAS (EXCETO PERFIL) EXECUTADO EM OBRA (POR DEMÃO). AF_01/2020_PE</v>
      </c>
      <c r="E1758" s="289" t="str">
        <f>IFERROR(VLOOKUP($C1758,'24.08_ND'!$A:$D,3,0),)</f>
        <v>M2</v>
      </c>
      <c r="F1758" s="610">
        <f>4*0.05*2*1.05</f>
        <v>0.42000000000000004</v>
      </c>
      <c r="G1758" s="291">
        <f>IFERROR(VLOOKUP($C1758,'24.08_ND'!$A:$D,4,0),)</f>
        <v>20.97</v>
      </c>
      <c r="H1758" s="292">
        <f t="shared" si="73"/>
        <v>8.8000000000000007</v>
      </c>
      <c r="I1758" s="262"/>
      <c r="J1758" s="262"/>
      <c r="K1758" s="262"/>
      <c r="L1758" s="262"/>
      <c r="M1758" s="262"/>
      <c r="N1758" s="262"/>
      <c r="O1758" s="262"/>
      <c r="P1758" s="262"/>
      <c r="Q1758" s="262"/>
      <c r="R1758" s="262"/>
      <c r="S1758" s="262"/>
      <c r="T1758" s="262"/>
      <c r="U1758" s="262"/>
      <c r="V1758" s="262"/>
      <c r="W1758" s="262"/>
      <c r="X1758" s="262"/>
      <c r="Y1758" s="262"/>
      <c r="Z1758" s="262"/>
      <c r="AA1758" s="262"/>
      <c r="AB1758" s="262"/>
      <c r="AD1758" s="1791" t="e">
        <f>VLOOKUP(C1758,'Medição '!$B$16:$F$1833,6,0)</f>
        <v>#REF!</v>
      </c>
      <c r="AE1758" s="1791"/>
    </row>
    <row r="1759" spans="1:31" ht="38.25">
      <c r="A1759" s="285" t="s">
        <v>14478</v>
      </c>
      <c r="B1759" s="286" t="s">
        <v>14476</v>
      </c>
      <c r="C1759" s="408">
        <v>100761</v>
      </c>
      <c r="D1759" s="288" t="str">
        <f>IFERROR(VLOOKUP($C1759,'24.08_ND'!$A:$D,2,0),)</f>
        <v>PINTURA COM TINTA ALQUÍDICA DE ACABAMENTO (ESMALTE SINTÉTICO FOSCO) PULVERIZADA SOBRE SUPERFÍCIES METÁLICAS (EXCETO PERFIL) EXECUTADO EM OBRA (02 DEMÃOS). AF_01/2020_PE</v>
      </c>
      <c r="E1759" s="289" t="str">
        <f>IFERROR(VLOOKUP($C1759,'24.08_ND'!$A:$D,3,0),)</f>
        <v>M2</v>
      </c>
      <c r="F1759" s="610">
        <f>F1758</f>
        <v>0.42000000000000004</v>
      </c>
      <c r="G1759" s="291">
        <f>IFERROR(VLOOKUP($C1759,'24.08_ND'!$A:$D,4,0),)</f>
        <v>41.11</v>
      </c>
      <c r="H1759" s="292">
        <f t="shared" si="73"/>
        <v>17.260000000000002</v>
      </c>
      <c r="I1759" s="262"/>
      <c r="J1759" s="262"/>
      <c r="K1759" s="262"/>
      <c r="L1759" s="262"/>
      <c r="M1759" s="262"/>
      <c r="N1759" s="262"/>
      <c r="O1759" s="262"/>
      <c r="P1759" s="262"/>
      <c r="Q1759" s="262"/>
      <c r="R1759" s="262"/>
      <c r="S1759" s="262"/>
      <c r="T1759" s="262"/>
      <c r="U1759" s="262"/>
      <c r="V1759" s="262"/>
      <c r="W1759" s="262"/>
      <c r="X1759" s="262"/>
      <c r="Y1759" s="262"/>
      <c r="Z1759" s="262"/>
      <c r="AA1759" s="262"/>
      <c r="AB1759" s="262"/>
      <c r="AD1759" s="1791" t="e">
        <f>VLOOKUP(C1759,'Medição '!$B$16:$F$1833,6,0)</f>
        <v>#REF!</v>
      </c>
      <c r="AE1759" s="1791"/>
    </row>
    <row r="1760" spans="1:31" ht="12.75">
      <c r="A1760" s="382" t="s">
        <v>14479</v>
      </c>
      <c r="B1760" s="597" t="s">
        <v>14476</v>
      </c>
      <c r="C1760" s="384">
        <v>39961</v>
      </c>
      <c r="D1760" s="596" t="str">
        <f>IFERROR(VLOOKUP($C1760,'24.08_ND'!$A:$D,2,0),)</f>
        <v>SILICONE ACETICO USO GERAL INCOLOR 280 G</v>
      </c>
      <c r="E1760" s="597" t="str">
        <f>IFERROR(VLOOKUP($C1760,'24.08_ND'!$A:$D,3,0),)</f>
        <v>UN</v>
      </c>
      <c r="F1760" s="385">
        <v>0.6</v>
      </c>
      <c r="G1760" s="598">
        <f>IFERROR(VLOOKUP($C1760,'24.08_ND'!$A:$D,4,0),)</f>
        <v>22.6</v>
      </c>
      <c r="H1760" s="449">
        <f t="shared" si="73"/>
        <v>13.56</v>
      </c>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row>
    <row r="1761" spans="1:31" ht="12.75">
      <c r="A1761" s="382" t="s">
        <v>14479</v>
      </c>
      <c r="B1761" s="597" t="s">
        <v>14476</v>
      </c>
      <c r="C1761" s="384">
        <v>34675</v>
      </c>
      <c r="D1761" s="596" t="str">
        <f>IFERROR(VLOOKUP($C1761,'24.08_ND'!$A:$D,2,0),)</f>
        <v>CHAPA DE MDF CRU, E = 25 MM, DE *2,75 X 1,85* M</v>
      </c>
      <c r="E1761" s="597" t="str">
        <f>IFERROR(VLOOKUP($C1761,'24.08_ND'!$A:$D,3,0),)</f>
        <v>M2</v>
      </c>
      <c r="F1761" s="385">
        <v>1</v>
      </c>
      <c r="G1761" s="598">
        <f>IFERROR(VLOOKUP($C1761,'24.08_ND'!$A:$D,4,0),)</f>
        <v>61.74</v>
      </c>
      <c r="H1761" s="449">
        <f t="shared" si="73"/>
        <v>61.74</v>
      </c>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row>
    <row r="1762" spans="1:31" ht="12.75">
      <c r="A1762" s="382" t="s">
        <v>14479</v>
      </c>
      <c r="B1762" s="597" t="s">
        <v>14476</v>
      </c>
      <c r="C1762" s="384">
        <v>11186</v>
      </c>
      <c r="D1762" s="596" t="str">
        <f>IFERROR(VLOOKUP($C1762,'24.08_ND'!$A:$D,2,0),)</f>
        <v>ESPELHO CRISTAL E = 4 MM</v>
      </c>
      <c r="E1762" s="597" t="str">
        <f>IFERROR(VLOOKUP($C1762,'24.08_ND'!$A:$D,3,0),)</f>
        <v>M2</v>
      </c>
      <c r="F1762" s="385">
        <v>1</v>
      </c>
      <c r="G1762" s="598">
        <f>IFERROR(VLOOKUP($C1762,'24.08_ND'!$A:$D,4,0),)</f>
        <v>470.07</v>
      </c>
      <c r="H1762" s="449">
        <f t="shared" si="73"/>
        <v>470.07</v>
      </c>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row>
    <row r="1763" spans="1:31" ht="12.75">
      <c r="A1763" s="382" t="s">
        <v>14479</v>
      </c>
      <c r="B1763" s="597" t="s">
        <v>14476</v>
      </c>
      <c r="C1763" s="384">
        <v>1318</v>
      </c>
      <c r="D1763" s="596" t="str">
        <f>IFERROR(VLOOKUP($C1763,'24.08_ND'!$A:$D,2,0),)</f>
        <v>CHAPA DE ACO FINA A QUENTE BITOLA MSG 14, E = 2,00 MM (16,0 KG/M2)</v>
      </c>
      <c r="E1763" s="597" t="str">
        <f>IFERROR(VLOOKUP($C1763,'24.08_ND'!$A:$D,3,0),)</f>
        <v>KG</v>
      </c>
      <c r="F1763" s="385">
        <f>4*0.05*16</f>
        <v>3.2</v>
      </c>
      <c r="G1763" s="598">
        <f>IFERROR(VLOOKUP($C1763,'24.08_ND'!$A:$D,4,0),)</f>
        <v>11.1</v>
      </c>
      <c r="H1763" s="449">
        <f t="shared" si="73"/>
        <v>35.520000000000003</v>
      </c>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row>
    <row r="1764" spans="1:31" ht="12.75">
      <c r="A1764" s="699"/>
      <c r="B1764" s="700"/>
      <c r="C1764" s="700"/>
      <c r="D1764" s="701"/>
      <c r="E1764" s="303"/>
      <c r="F1764" s="306"/>
      <c r="G1764" s="307"/>
      <c r="H1764" s="308"/>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row>
    <row r="1765" spans="1:31" ht="25.5">
      <c r="A1765" s="271" t="s">
        <v>14471</v>
      </c>
      <c r="B1765" s="272" t="s">
        <v>14472</v>
      </c>
      <c r="C1765" s="273" t="s">
        <v>15068</v>
      </c>
      <c r="D1765" s="274" t="s">
        <v>15069</v>
      </c>
      <c r="E1765" s="272" t="s">
        <v>50</v>
      </c>
      <c r="F1765" s="272"/>
      <c r="G1765" s="272"/>
      <c r="H1765" s="275">
        <f>TRUNC(SUM(H1767:H1771),2)</f>
        <v>12.98</v>
      </c>
      <c r="I1765" s="276">
        <f>COUNTIF($C$8:$C1765,C:C)</f>
        <v>1</v>
      </c>
      <c r="J1765" s="262"/>
      <c r="K1765" s="262"/>
      <c r="L1765" s="262"/>
      <c r="M1765" s="262"/>
      <c r="N1765" s="262"/>
      <c r="O1765" s="262"/>
      <c r="P1765" s="262"/>
      <c r="Q1765" s="262"/>
      <c r="R1765" s="262"/>
      <c r="S1765" s="262"/>
      <c r="T1765" s="262"/>
      <c r="U1765" s="262"/>
      <c r="V1765" s="262"/>
      <c r="W1765" s="262"/>
      <c r="X1765" s="262"/>
      <c r="Y1765" s="262"/>
      <c r="Z1765" s="262"/>
      <c r="AA1765" s="262"/>
      <c r="AB1765" s="262"/>
    </row>
    <row r="1766" spans="1:31" ht="12.75">
      <c r="A1766" s="277" t="s">
        <v>14475</v>
      </c>
      <c r="B1766" s="488" t="s">
        <v>14801</v>
      </c>
      <c r="C1766" s="489" t="s">
        <v>14802</v>
      </c>
      <c r="D1766" s="608">
        <v>44927</v>
      </c>
      <c r="E1766" s="609"/>
      <c r="F1766" s="554"/>
      <c r="G1766" s="492"/>
      <c r="H1766" s="493"/>
      <c r="I1766" s="262"/>
      <c r="J1766" s="262"/>
      <c r="K1766" s="262"/>
      <c r="L1766" s="262"/>
      <c r="M1766" s="262"/>
      <c r="N1766" s="262"/>
      <c r="O1766" s="262"/>
      <c r="P1766" s="262"/>
      <c r="Q1766" s="262"/>
      <c r="R1766" s="262"/>
      <c r="S1766" s="262"/>
      <c r="T1766" s="262"/>
      <c r="U1766" s="262"/>
      <c r="V1766" s="262"/>
      <c r="W1766" s="262"/>
      <c r="X1766" s="262"/>
      <c r="Y1766" s="262"/>
      <c r="Z1766" s="262"/>
      <c r="AA1766" s="262"/>
      <c r="AB1766" s="262"/>
    </row>
    <row r="1767" spans="1:31" ht="25.5">
      <c r="A1767" s="285" t="s">
        <v>14478</v>
      </c>
      <c r="B1767" s="286" t="s">
        <v>14476</v>
      </c>
      <c r="C1767" s="408">
        <v>88316</v>
      </c>
      <c r="D1767" s="288" t="str">
        <f>IFERROR(VLOOKUP($C1767,'24.08_ND'!$A:$D,2,0),)</f>
        <v>SERVENTE COM ENCARGOS COMPLEMENTARES</v>
      </c>
      <c r="E1767" s="289" t="str">
        <f>IFERROR(VLOOKUP($C1767,'24.08_ND'!$A:$D,3,0),)</f>
        <v>H</v>
      </c>
      <c r="F1767" s="610">
        <v>0.12</v>
      </c>
      <c r="G1767" s="291">
        <f>IFERROR(VLOOKUP($C1767,'24.08_ND'!$A:$D,4,0),)</f>
        <v>18.510000000000002</v>
      </c>
      <c r="H1767" s="292">
        <f>TRUNC(($F1767*$G1767),2)</f>
        <v>2.2200000000000002</v>
      </c>
      <c r="I1767" s="262"/>
      <c r="J1767" s="262"/>
      <c r="K1767" s="262"/>
      <c r="L1767" s="262"/>
      <c r="M1767" s="262"/>
      <c r="N1767" s="262"/>
      <c r="O1767" s="262"/>
      <c r="P1767" s="262"/>
      <c r="Q1767" s="262"/>
      <c r="R1767" s="262"/>
      <c r="S1767" s="262"/>
      <c r="T1767" s="262"/>
      <c r="U1767" s="262"/>
      <c r="V1767" s="262"/>
      <c r="W1767" s="262"/>
      <c r="X1767" s="262"/>
      <c r="Y1767" s="262"/>
      <c r="Z1767" s="262"/>
      <c r="AA1767" s="262"/>
      <c r="AB1767" s="262"/>
      <c r="AD1767" s="1791" t="e">
        <f>VLOOKUP(C1767,'Medição '!$B$16:$F$1833,6,0)</f>
        <v>#N/A</v>
      </c>
      <c r="AE1767" s="1791"/>
    </row>
    <row r="1768" spans="1:31" ht="25.5">
      <c r="A1768" s="285" t="s">
        <v>14478</v>
      </c>
      <c r="B1768" s="286" t="s">
        <v>14476</v>
      </c>
      <c r="C1768" s="408">
        <v>88269</v>
      </c>
      <c r="D1768" s="288" t="str">
        <f>IFERROR(VLOOKUP($C1768,'24.08_ND'!$A:$D,2,0),)</f>
        <v>GESSEIRO COM ENCARGOS COMPLEMENTARES</v>
      </c>
      <c r="E1768" s="289" t="str">
        <f>IFERROR(VLOOKUP($C1768,'24.08_ND'!$A:$D,3,0),)</f>
        <v>H</v>
      </c>
      <c r="F1768" s="610">
        <v>0.24</v>
      </c>
      <c r="G1768" s="291">
        <f>IFERROR(VLOOKUP($C1768,'24.08_ND'!$A:$D,4,0),)</f>
        <v>22.31</v>
      </c>
      <c r="H1768" s="292">
        <f>TRUNC(($F1768*$G1768),2)</f>
        <v>5.35</v>
      </c>
      <c r="I1768" s="262"/>
      <c r="J1768" s="262"/>
      <c r="K1768" s="262"/>
      <c r="L1768" s="262"/>
      <c r="M1768" s="262"/>
      <c r="N1768" s="262"/>
      <c r="O1768" s="262"/>
      <c r="P1768" s="262"/>
      <c r="Q1768" s="262"/>
      <c r="R1768" s="262"/>
      <c r="S1768" s="262"/>
      <c r="T1768" s="262"/>
      <c r="U1768" s="262"/>
      <c r="V1768" s="262"/>
      <c r="W1768" s="262"/>
      <c r="X1768" s="262"/>
      <c r="Y1768" s="262"/>
      <c r="Z1768" s="262"/>
      <c r="AA1768" s="262"/>
      <c r="AB1768" s="262"/>
      <c r="AD1768" s="1791" t="e">
        <f>VLOOKUP(C1768,'Medição '!$B$16:$F$1833,6,0)</f>
        <v>#N/A</v>
      </c>
      <c r="AE1768" s="1791"/>
    </row>
    <row r="1769" spans="1:31" ht="25.5">
      <c r="A1769" s="558" t="s">
        <v>14479</v>
      </c>
      <c r="B1769" s="559" t="s">
        <v>14476</v>
      </c>
      <c r="C1769" s="559">
        <v>39428</v>
      </c>
      <c r="D1769" s="296" t="str">
        <f>IFERROR(VLOOKUP($C1769,'24.08_ND'!$A:$D,2,0),)</f>
        <v>PERFIL TABICA FECHADA, LISA, FORMATO Z, EM ACO GALVANIZADO NATURAL, LARGURA TOTAL NA HORIZONTAL *40* MM, PARA ESTRUTURA FORRO DRYWALL</v>
      </c>
      <c r="E1769" s="297" t="str">
        <f>IFERROR(VLOOKUP($C1769,'24.08_ND'!$A:$D,3,0),)</f>
        <v>M</v>
      </c>
      <c r="F1769" s="611">
        <v>1.05</v>
      </c>
      <c r="G1769" s="299">
        <f>IFERROR(VLOOKUP($C1769,'24.08_ND'!$A:$D,4,0),)</f>
        <v>4.08</v>
      </c>
      <c r="H1769" s="300">
        <f>TRUNC(($F1769*$G1769),2)</f>
        <v>4.28</v>
      </c>
      <c r="I1769" s="262"/>
      <c r="J1769" s="262"/>
      <c r="K1769" s="262"/>
      <c r="L1769" s="262"/>
      <c r="M1769" s="262"/>
      <c r="N1769" s="262"/>
      <c r="O1769" s="262"/>
      <c r="P1769" s="262"/>
      <c r="Q1769" s="262"/>
      <c r="R1769" s="262"/>
      <c r="S1769" s="262"/>
      <c r="T1769" s="262"/>
      <c r="U1769" s="262"/>
      <c r="V1769" s="262"/>
      <c r="W1769" s="262"/>
      <c r="X1769" s="262"/>
      <c r="Y1769" s="262"/>
      <c r="Z1769" s="262"/>
      <c r="AA1769" s="262"/>
      <c r="AB1769" s="262"/>
    </row>
    <row r="1770" spans="1:31" ht="25.5">
      <c r="A1770" s="558" t="s">
        <v>14479</v>
      </c>
      <c r="B1770" s="559" t="s">
        <v>14476</v>
      </c>
      <c r="C1770" s="559">
        <v>39443</v>
      </c>
      <c r="D1770" s="296" t="str">
        <f>IFERROR(VLOOKUP($C1770,'24.08_ND'!$A:$D,2,0),)</f>
        <v>PARAFUSO DRY WALL, EM ACO ZINCADO, CABECA LENTILHA E PONTA BROCA (LB), LARGURA 4,2 MM, COMPRIMENTO 13 MM</v>
      </c>
      <c r="E1770" s="297" t="str">
        <f>IFERROR(VLOOKUP($C1770,'24.08_ND'!$A:$D,3,0),)</f>
        <v>UN</v>
      </c>
      <c r="F1770" s="611">
        <v>1.7</v>
      </c>
      <c r="G1770" s="299">
        <f>IFERROR(VLOOKUP($C1770,'24.08_ND'!$A:$D,4,0),)</f>
        <v>0.22</v>
      </c>
      <c r="H1770" s="300">
        <f>TRUNC(($F1770*$G1770),2)</f>
        <v>0.37</v>
      </c>
      <c r="I1770" s="262"/>
      <c r="J1770" s="262"/>
      <c r="K1770" s="262"/>
      <c r="L1770" s="262"/>
      <c r="M1770" s="262"/>
      <c r="N1770" s="262"/>
      <c r="O1770" s="262"/>
      <c r="P1770" s="262"/>
      <c r="Q1770" s="262"/>
      <c r="R1770" s="262"/>
      <c r="S1770" s="262"/>
      <c r="T1770" s="262"/>
      <c r="U1770" s="262"/>
      <c r="V1770" s="262"/>
      <c r="W1770" s="262"/>
      <c r="X1770" s="262"/>
      <c r="Y1770" s="262"/>
      <c r="Z1770" s="262"/>
      <c r="AA1770" s="262"/>
      <c r="AB1770" s="262"/>
    </row>
    <row r="1771" spans="1:31" ht="25.5">
      <c r="A1771" s="558" t="s">
        <v>14479</v>
      </c>
      <c r="B1771" s="559" t="s">
        <v>14476</v>
      </c>
      <c r="C1771" s="559">
        <v>7583</v>
      </c>
      <c r="D1771" s="296" t="str">
        <f>IFERROR(VLOOKUP($C1771,'24.08_ND'!$A:$D,2,0),)</f>
        <v>BUCHA DE NYLON SEM ABA S8, COM PARAFUSO DE 4,80 X 50 MM EM ACO ZINCADO COM ROSCA SOBERBA, CABECA CHATA E FENDA PHILLIPS</v>
      </c>
      <c r="E1771" s="297" t="str">
        <f>IFERROR(VLOOKUP($C1771,'24.08_ND'!$A:$D,3,0),)</f>
        <v>UN</v>
      </c>
      <c r="F1771" s="611">
        <v>1.7</v>
      </c>
      <c r="G1771" s="299">
        <f>IFERROR(VLOOKUP($C1771,'24.08_ND'!$A:$D,4,0),)</f>
        <v>0.45</v>
      </c>
      <c r="H1771" s="300">
        <f>TRUNC(($F1771*$G1771),2)</f>
        <v>0.76</v>
      </c>
      <c r="I1771" s="262"/>
      <c r="J1771" s="262"/>
      <c r="K1771" s="262"/>
      <c r="L1771" s="262"/>
      <c r="M1771" s="262"/>
      <c r="N1771" s="262"/>
      <c r="O1771" s="262"/>
      <c r="P1771" s="262"/>
      <c r="Q1771" s="262"/>
      <c r="R1771" s="262"/>
      <c r="S1771" s="262"/>
      <c r="T1771" s="262"/>
      <c r="U1771" s="262"/>
      <c r="V1771" s="262"/>
      <c r="W1771" s="262"/>
      <c r="X1771" s="262"/>
      <c r="Y1771" s="262"/>
      <c r="Z1771" s="262"/>
      <c r="AA1771" s="262"/>
      <c r="AB1771" s="262"/>
    </row>
    <row r="1772" spans="1:31" ht="12.75">
      <c r="A1772" s="686"/>
      <c r="B1772" s="687"/>
      <c r="C1772" s="688"/>
      <c r="D1772" s="689"/>
      <c r="E1772" s="690"/>
      <c r="F1772" s="708"/>
      <c r="G1772" s="690"/>
      <c r="H1772" s="692"/>
      <c r="I1772" s="262"/>
      <c r="J1772" s="262"/>
      <c r="K1772" s="262"/>
      <c r="L1772" s="262"/>
      <c r="M1772" s="262"/>
      <c r="N1772" s="262"/>
      <c r="O1772" s="262"/>
      <c r="P1772" s="262"/>
      <c r="Q1772" s="262"/>
      <c r="R1772" s="262"/>
      <c r="S1772" s="262"/>
      <c r="T1772" s="262"/>
      <c r="U1772" s="262"/>
      <c r="V1772" s="262"/>
      <c r="W1772" s="262"/>
      <c r="X1772" s="262"/>
      <c r="Y1772" s="262"/>
      <c r="Z1772" s="262"/>
      <c r="AA1772" s="262"/>
      <c r="AB1772" s="262"/>
    </row>
    <row r="1773" spans="1:31" ht="25.5">
      <c r="A1773" s="271" t="s">
        <v>14471</v>
      </c>
      <c r="B1773" s="272" t="s">
        <v>14472</v>
      </c>
      <c r="C1773" s="273" t="s">
        <v>15070</v>
      </c>
      <c r="D1773" s="274" t="s">
        <v>14908</v>
      </c>
      <c r="E1773" s="272" t="s">
        <v>6</v>
      </c>
      <c r="F1773" s="272"/>
      <c r="G1773" s="272"/>
      <c r="H1773" s="275">
        <f>TRUNC(SUM(H1775:H1776),2)</f>
        <v>51.36</v>
      </c>
      <c r="I1773" s="276">
        <f>COUNTIF($C$8:$C1773,C:C)</f>
        <v>1</v>
      </c>
      <c r="J1773" s="262"/>
      <c r="K1773" s="262"/>
      <c r="L1773" s="262"/>
      <c r="M1773" s="262"/>
      <c r="N1773" s="262"/>
      <c r="O1773" s="262"/>
      <c r="P1773" s="262"/>
      <c r="Q1773" s="262"/>
      <c r="R1773" s="262"/>
      <c r="S1773" s="262"/>
      <c r="T1773" s="262"/>
      <c r="U1773" s="262"/>
      <c r="V1773" s="262"/>
      <c r="W1773" s="262"/>
      <c r="X1773" s="262"/>
      <c r="Y1773" s="262"/>
      <c r="Z1773" s="262"/>
      <c r="AA1773" s="262"/>
      <c r="AB1773" s="262"/>
    </row>
    <row r="1774" spans="1:31" ht="12.75">
      <c r="A1774" s="277" t="s">
        <v>14475</v>
      </c>
      <c r="B1774" s="631" t="s">
        <v>14476</v>
      </c>
      <c r="C1774" s="632">
        <v>84121</v>
      </c>
      <c r="D1774" s="633" t="s">
        <v>14909</v>
      </c>
      <c r="E1774" s="634"/>
      <c r="F1774" s="355"/>
      <c r="G1774" s="624"/>
      <c r="H1774" s="625"/>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row>
    <row r="1775" spans="1:31" ht="25.5">
      <c r="A1775" s="285" t="s">
        <v>14478</v>
      </c>
      <c r="B1775" s="555" t="s">
        <v>14476</v>
      </c>
      <c r="C1775" s="408">
        <v>88316</v>
      </c>
      <c r="D1775" s="288" t="str">
        <f>IFERROR(VLOOKUP($C1775,'24.08_ND'!$A:$D,2,0),)</f>
        <v>SERVENTE COM ENCARGOS COMPLEMENTARES</v>
      </c>
      <c r="E1775" s="289" t="str">
        <f>IFERROR(VLOOKUP($C1775,'24.08_ND'!$A:$D,3,0),)</f>
        <v>H</v>
      </c>
      <c r="F1775" s="290">
        <v>0.2</v>
      </c>
      <c r="G1775" s="291">
        <f>IFERROR(VLOOKUP($C1775,'24.08_ND'!$A:$D,4,0),)</f>
        <v>18.510000000000002</v>
      </c>
      <c r="H1775" s="292">
        <f>TRUNC(($F1775*$G1775),2)</f>
        <v>3.7</v>
      </c>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D1775" s="1791" t="e">
        <f>VLOOKUP(C1775,'Medição '!$B$16:$F$1833,6,0)</f>
        <v>#N/A</v>
      </c>
      <c r="AE1775" s="1791"/>
    </row>
    <row r="1776" spans="1:31" ht="12.75">
      <c r="A1776" s="319" t="s">
        <v>14479</v>
      </c>
      <c r="B1776" s="320" t="s">
        <v>14491</v>
      </c>
      <c r="C1776" s="478" t="s">
        <v>14910</v>
      </c>
      <c r="D1776" s="321" t="str">
        <f>VLOOKUP($C1776,'09 - MC'!$A:$F,2,0)</f>
        <v>PLACA DE SINALIZAÇÃO EM BRAILLE EM AÇO INOX,  DIMENSÕES 20X10 CM</v>
      </c>
      <c r="E1776" s="322" t="str">
        <f>VLOOKUP($C1776,'09 - MC'!$A:$F,3,0)</f>
        <v>UN</v>
      </c>
      <c r="F1776" s="323">
        <v>1</v>
      </c>
      <c r="G1776" s="324">
        <f>VLOOKUP($C1776,'09 - MC'!$A:$F,6,0)</f>
        <v>47.66</v>
      </c>
      <c r="H1776" s="325">
        <f>TRUNC(G1776*F1776,2)</f>
        <v>47.66</v>
      </c>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row>
    <row r="1777" spans="1:31" ht="12.75">
      <c r="A1777" s="709"/>
      <c r="B1777" s="710"/>
      <c r="C1777" s="710"/>
      <c r="D1777" s="710"/>
      <c r="E1777" s="711"/>
      <c r="F1777" s="712"/>
      <c r="G1777" s="713"/>
      <c r="H1777" s="714"/>
      <c r="I1777" s="262"/>
      <c r="J1777" s="262"/>
      <c r="K1777" s="262"/>
      <c r="L1777" s="262"/>
      <c r="M1777" s="262"/>
      <c r="N1777" s="262"/>
      <c r="O1777" s="262"/>
      <c r="P1777" s="262"/>
      <c r="Q1777" s="262"/>
      <c r="R1777" s="262"/>
      <c r="S1777" s="262"/>
      <c r="T1777" s="262"/>
      <c r="U1777" s="262"/>
      <c r="V1777" s="262"/>
      <c r="W1777" s="262"/>
      <c r="X1777" s="262"/>
      <c r="Y1777" s="262"/>
      <c r="Z1777" s="262"/>
      <c r="AA1777" s="262"/>
      <c r="AB1777" s="262"/>
    </row>
    <row r="1778" spans="1:31" ht="12.75">
      <c r="A1778" s="715" t="s">
        <v>15071</v>
      </c>
      <c r="B1778" s="360" t="s">
        <v>14472</v>
      </c>
      <c r="C1778" s="273" t="s">
        <v>15072</v>
      </c>
      <c r="D1778" s="648" t="s">
        <v>15073</v>
      </c>
      <c r="E1778" s="360" t="s">
        <v>50</v>
      </c>
      <c r="F1778" s="401"/>
      <c r="G1778" s="402"/>
      <c r="H1778" s="363">
        <f>TRUNC(SUM(H1780:H1783),2)</f>
        <v>142.32</v>
      </c>
      <c r="I1778" s="276">
        <f>COUNTIF($C$8:$C1778,C:C)</f>
        <v>1</v>
      </c>
      <c r="J1778" s="262"/>
      <c r="K1778" s="262"/>
      <c r="L1778" s="262"/>
      <c r="M1778" s="262"/>
      <c r="N1778" s="262"/>
      <c r="O1778" s="262"/>
      <c r="P1778" s="262"/>
      <c r="Q1778" s="262"/>
      <c r="R1778" s="262"/>
      <c r="S1778" s="262"/>
      <c r="T1778" s="262"/>
      <c r="U1778" s="262"/>
      <c r="V1778" s="262"/>
      <c r="W1778" s="262"/>
      <c r="X1778" s="262"/>
      <c r="Y1778" s="262"/>
      <c r="Z1778" s="262"/>
      <c r="AA1778" s="262"/>
      <c r="AB1778" s="262"/>
    </row>
    <row r="1779" spans="1:31" ht="12.75">
      <c r="A1779" s="716" t="s">
        <v>15074</v>
      </c>
      <c r="B1779" s="717" t="s">
        <v>14600</v>
      </c>
      <c r="C1779" s="717">
        <v>11902</v>
      </c>
      <c r="D1779" s="718" t="s">
        <v>14567</v>
      </c>
      <c r="E1779" s="719"/>
      <c r="F1779" s="720"/>
      <c r="G1779" s="719"/>
      <c r="H1779" s="721"/>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row>
    <row r="1780" spans="1:31" ht="12.75">
      <c r="A1780" s="722" t="s">
        <v>15075</v>
      </c>
      <c r="B1780" s="723" t="s">
        <v>14476</v>
      </c>
      <c r="C1780" s="724">
        <v>88309</v>
      </c>
      <c r="D1780" s="288" t="str">
        <f>IFERROR(VLOOKUP($C1780,'24.08_ND'!$A:$D,2,0),)</f>
        <v>PEDREIRO COM ENCARGOS COMPLEMENTARES</v>
      </c>
      <c r="E1780" s="289" t="str">
        <f>IFERROR(VLOOKUP($C1780,'24.08_ND'!$A:$D,3,0),)</f>
        <v>H</v>
      </c>
      <c r="F1780" s="725">
        <v>0.5</v>
      </c>
      <c r="G1780" s="291">
        <f>IFERROR(VLOOKUP($C1780,'24.08_ND'!$A:$D,4,0),)</f>
        <v>23.33</v>
      </c>
      <c r="H1780" s="292">
        <f>TRUNC(($F1780*$G1780),2)</f>
        <v>11.66</v>
      </c>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D1780" s="1791" t="e">
        <f>VLOOKUP(C1780,'Medição '!$B$16:$F$1833,6,0)</f>
        <v>#N/A</v>
      </c>
      <c r="AE1780" s="1791"/>
    </row>
    <row r="1781" spans="1:31" ht="12.75">
      <c r="A1781" s="722" t="s">
        <v>15075</v>
      </c>
      <c r="B1781" s="723" t="s">
        <v>14476</v>
      </c>
      <c r="C1781" s="724">
        <v>88316</v>
      </c>
      <c r="D1781" s="288" t="str">
        <f>IFERROR(VLOOKUP($C1781,'24.08_ND'!$A:$D,2,0),)</f>
        <v>SERVENTE COM ENCARGOS COMPLEMENTARES</v>
      </c>
      <c r="E1781" s="289" t="str">
        <f>IFERROR(VLOOKUP($C1781,'24.08_ND'!$A:$D,3,0),)</f>
        <v>H</v>
      </c>
      <c r="F1781" s="725">
        <v>0.6</v>
      </c>
      <c r="G1781" s="291">
        <f>IFERROR(VLOOKUP($C1781,'24.08_ND'!$A:$D,4,0),)</f>
        <v>18.510000000000002</v>
      </c>
      <c r="H1781" s="292">
        <f>TRUNC(($F1781*$G1781),2)</f>
        <v>11.1</v>
      </c>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D1781" s="1791" t="e">
        <f>VLOOKUP(C1781,'Medição '!$B$16:$F$1833,6,0)</f>
        <v>#N/A</v>
      </c>
      <c r="AE1781" s="1791"/>
    </row>
    <row r="1782" spans="1:31" ht="12.75">
      <c r="A1782" s="726" t="s">
        <v>14479</v>
      </c>
      <c r="B1782" s="312" t="str">
        <f>VLOOKUP($C1782,'• CIs EXT'!$A:$E,2,0)</f>
        <v>ORSE</v>
      </c>
      <c r="C1782" s="727">
        <v>12729</v>
      </c>
      <c r="D1782" s="728" t="str">
        <f>IFERROR(VLOOKUP($C1782,'• CIs EXT'!$A:$E,3,0),)</f>
        <v>PISO TÁTIL ALERTA PINADO- ELEMENTOS EM EM ABS REVESTIDO DE INOX (100 PEÇAS/M)</v>
      </c>
      <c r="E1782" s="729" t="str">
        <f>IFERROR(VLOOKUP($C1782,'• CIs EXT'!$A:$E,4,0),)</f>
        <v>M</v>
      </c>
      <c r="F1782" s="730">
        <v>1</v>
      </c>
      <c r="G1782" s="731">
        <f>IFERROR(VLOOKUP($C1782,'• CIs EXT'!$A:$E,5,0),)</f>
        <v>110</v>
      </c>
      <c r="H1782" s="732">
        <f>TRUNC(($F1782*$G1782),2)</f>
        <v>110</v>
      </c>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row>
    <row r="1783" spans="1:31" ht="12.75">
      <c r="A1783" s="726" t="s">
        <v>14479</v>
      </c>
      <c r="B1783" s="312" t="str">
        <f>VLOOKUP($C1783,'• CIs EXT'!$A:$E,2,0)</f>
        <v>ORSE</v>
      </c>
      <c r="C1783" s="727">
        <v>12743</v>
      </c>
      <c r="D1783" s="728" t="str">
        <f>IFERROR(VLOOKUP($C1783,'• CIs EXT'!$A:$E,3,0),)</f>
        <v>COLA ESPECIAL PARA PISO TÁTIL INOX</v>
      </c>
      <c r="E1783" s="729" t="str">
        <f>IFERROR(VLOOKUP($C1783,'• CIs EXT'!$A:$E,4,0),)</f>
        <v>KG</v>
      </c>
      <c r="F1783" s="733">
        <v>0.13</v>
      </c>
      <c r="G1783" s="731">
        <f>IFERROR(VLOOKUP($C1783,'• CIs EXT'!$A:$E,5,0),)</f>
        <v>73.59</v>
      </c>
      <c r="H1783" s="732">
        <f>TRUNC(($F1783*$G1783),2)</f>
        <v>9.56</v>
      </c>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row>
    <row r="1784" spans="1:31" ht="12.75">
      <c r="A1784" s="734"/>
      <c r="B1784" s="735"/>
      <c r="C1784" s="279"/>
      <c r="D1784" s="736"/>
      <c r="E1784" s="737"/>
      <c r="F1784" s="737"/>
      <c r="G1784" s="737"/>
      <c r="H1784" s="738"/>
      <c r="I1784" s="262"/>
      <c r="J1784" s="262"/>
      <c r="K1784" s="262"/>
      <c r="L1784" s="262"/>
      <c r="M1784" s="262"/>
      <c r="N1784" s="262"/>
      <c r="O1784" s="262"/>
      <c r="P1784" s="262"/>
      <c r="Q1784" s="262"/>
      <c r="R1784" s="262"/>
      <c r="S1784" s="262"/>
      <c r="T1784" s="262"/>
      <c r="U1784" s="262"/>
      <c r="V1784" s="262"/>
      <c r="W1784" s="262"/>
      <c r="X1784" s="262"/>
      <c r="Y1784" s="262"/>
      <c r="Z1784" s="262"/>
      <c r="AA1784" s="262"/>
      <c r="AB1784" s="262"/>
    </row>
    <row r="1785" spans="1:31" ht="12.75">
      <c r="A1785" s="715" t="s">
        <v>15071</v>
      </c>
      <c r="B1785" s="360" t="s">
        <v>14472</v>
      </c>
      <c r="C1785" s="273" t="s">
        <v>15076</v>
      </c>
      <c r="D1785" s="648" t="s">
        <v>15077</v>
      </c>
      <c r="E1785" s="360" t="s">
        <v>50</v>
      </c>
      <c r="F1785" s="401"/>
      <c r="G1785" s="402"/>
      <c r="H1785" s="363">
        <f>TRUNC(SUM(H1787:H1790),2)</f>
        <v>154.09</v>
      </c>
      <c r="I1785" s="276">
        <f>COUNTIF($C$8:$C1785,C:C)</f>
        <v>1</v>
      </c>
      <c r="J1785" s="262"/>
      <c r="K1785" s="262"/>
      <c r="L1785" s="262"/>
      <c r="M1785" s="262"/>
      <c r="N1785" s="262"/>
      <c r="O1785" s="262"/>
      <c r="P1785" s="262"/>
      <c r="Q1785" s="262"/>
      <c r="R1785" s="262"/>
      <c r="S1785" s="262"/>
      <c r="T1785" s="262"/>
      <c r="U1785" s="262"/>
      <c r="V1785" s="262"/>
      <c r="W1785" s="262"/>
      <c r="X1785" s="262"/>
      <c r="Y1785" s="262"/>
      <c r="Z1785" s="262"/>
      <c r="AA1785" s="262"/>
      <c r="AB1785" s="262"/>
    </row>
    <row r="1786" spans="1:31" ht="12.75">
      <c r="A1786" s="739" t="s">
        <v>14475</v>
      </c>
      <c r="B1786" s="740" t="s">
        <v>14600</v>
      </c>
      <c r="C1786" s="741">
        <v>11903</v>
      </c>
      <c r="D1786" s="742">
        <v>45261</v>
      </c>
      <c r="E1786" s="743"/>
      <c r="F1786" s="744"/>
      <c r="G1786" s="745"/>
      <c r="H1786" s="746"/>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row>
    <row r="1787" spans="1:31" ht="12.75">
      <c r="A1787" s="747" t="s">
        <v>15075</v>
      </c>
      <c r="B1787" s="748" t="s">
        <v>14476</v>
      </c>
      <c r="C1787" s="749">
        <v>88309</v>
      </c>
      <c r="D1787" s="288" t="str">
        <f>IFERROR(VLOOKUP($C1787,'24.08_ND'!$A:$D,2,0),)</f>
        <v>PEDREIRO COM ENCARGOS COMPLEMENTARES</v>
      </c>
      <c r="E1787" s="289" t="str">
        <f>IFERROR(VLOOKUP($C1787,'24.08_ND'!$A:$D,3,0),)</f>
        <v>H</v>
      </c>
      <c r="F1787" s="725">
        <v>0.5</v>
      </c>
      <c r="G1787" s="291">
        <f>IFERROR(VLOOKUP($C1787,'24.08_ND'!$A:$D,4,0),)</f>
        <v>23.33</v>
      </c>
      <c r="H1787" s="292">
        <f>TRUNC(($F1787*$G1787),2)</f>
        <v>11.66</v>
      </c>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D1787" s="1791" t="e">
        <f>VLOOKUP(C1787,'Medição '!$B$16:$F$1833,6,0)</f>
        <v>#N/A</v>
      </c>
      <c r="AE1787" s="1791"/>
    </row>
    <row r="1788" spans="1:31" ht="12.75">
      <c r="A1788" s="747" t="s">
        <v>15075</v>
      </c>
      <c r="B1788" s="748" t="s">
        <v>14476</v>
      </c>
      <c r="C1788" s="749">
        <v>88316</v>
      </c>
      <c r="D1788" s="288" t="str">
        <f>IFERROR(VLOOKUP($C1788,'24.08_ND'!$A:$D,2,0),)</f>
        <v>SERVENTE COM ENCARGOS COMPLEMENTARES</v>
      </c>
      <c r="E1788" s="289" t="str">
        <f>IFERROR(VLOOKUP($C1788,'24.08_ND'!$A:$D,3,0),)</f>
        <v>H</v>
      </c>
      <c r="F1788" s="725">
        <v>0.6</v>
      </c>
      <c r="G1788" s="291">
        <f>IFERROR(VLOOKUP($C1788,'24.08_ND'!$A:$D,4,0),)</f>
        <v>18.510000000000002</v>
      </c>
      <c r="H1788" s="292">
        <f>TRUNC(($F1788*$G1788),2)</f>
        <v>11.1</v>
      </c>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D1788" s="1791" t="e">
        <f>VLOOKUP(C1788,'Medição '!$B$16:$F$1833,6,0)</f>
        <v>#N/A</v>
      </c>
      <c r="AE1788" s="1791"/>
    </row>
    <row r="1789" spans="1:31" ht="12.75">
      <c r="A1789" s="750" t="s">
        <v>14479</v>
      </c>
      <c r="B1789" s="312" t="str">
        <f>VLOOKUP($C1789,'• CIs EXT'!$A:$E,2,0)</f>
        <v>ORSE</v>
      </c>
      <c r="C1789" s="751">
        <v>12728</v>
      </c>
      <c r="D1789" s="728" t="str">
        <f>IFERROR(VLOOKUP($C1789,'• CIs EXT'!$A:$E,3,0),)</f>
        <v>PISO TÁTIL DIRECIONAL PINADO - ELEMENTOS EM ABS REVESTIDO DE INOX (12 PEÇAS/M) "</v>
      </c>
      <c r="E1789" s="729" t="str">
        <f>IFERROR(VLOOKUP($C1789,'• CIs EXT'!$A:$E,4,0),)</f>
        <v>M</v>
      </c>
      <c r="F1789" s="752">
        <v>1</v>
      </c>
      <c r="G1789" s="731">
        <f>IFERROR(VLOOKUP($C1789,'• CIs EXT'!$A:$E,5,0),)</f>
        <v>121.77</v>
      </c>
      <c r="H1789" s="732">
        <f>TRUNC(($F1789*$G1789),2)</f>
        <v>121.77</v>
      </c>
      <c r="I1789" s="262"/>
      <c r="J1789" s="262"/>
      <c r="K1789" s="262"/>
      <c r="L1789" s="262"/>
      <c r="M1789" s="262"/>
      <c r="N1789" s="262"/>
      <c r="O1789" s="262"/>
      <c r="P1789" s="262"/>
      <c r="Q1789" s="262"/>
      <c r="R1789" s="262"/>
      <c r="S1789" s="262"/>
      <c r="T1789" s="262"/>
      <c r="U1789" s="262"/>
      <c r="V1789" s="262"/>
      <c r="W1789" s="262"/>
      <c r="X1789" s="262"/>
      <c r="Y1789" s="262"/>
      <c r="Z1789" s="262"/>
      <c r="AA1789" s="262"/>
      <c r="AB1789" s="262"/>
    </row>
    <row r="1790" spans="1:31" ht="12.75">
      <c r="A1790" s="750" t="s">
        <v>14479</v>
      </c>
      <c r="B1790" s="312" t="str">
        <f>VLOOKUP($C1790,'• CIs EXT'!$A:$E,2,0)</f>
        <v>ORSE</v>
      </c>
      <c r="C1790" s="751">
        <v>12743</v>
      </c>
      <c r="D1790" s="728" t="str">
        <f>IFERROR(VLOOKUP($C1790,'• CIs EXT'!$A:$E,3,0),)</f>
        <v>COLA ESPECIAL PARA PISO TÁTIL INOX</v>
      </c>
      <c r="E1790" s="729" t="str">
        <f>IFERROR(VLOOKUP($C1790,'• CIs EXT'!$A:$E,4,0),)</f>
        <v>KG</v>
      </c>
      <c r="F1790" s="752">
        <v>0.13</v>
      </c>
      <c r="G1790" s="731">
        <f>IFERROR(VLOOKUP($C1790,'• CIs EXT'!$A:$E,5,0),)</f>
        <v>73.59</v>
      </c>
      <c r="H1790" s="732">
        <f>TRUNC(($F1790*$G1790),2)</f>
        <v>9.56</v>
      </c>
      <c r="I1790" s="262"/>
      <c r="J1790" s="262"/>
      <c r="K1790" s="262"/>
      <c r="L1790" s="262"/>
      <c r="M1790" s="262"/>
      <c r="N1790" s="262"/>
      <c r="O1790" s="262"/>
      <c r="P1790" s="262"/>
      <c r="Q1790" s="262"/>
      <c r="R1790" s="262"/>
      <c r="S1790" s="262"/>
      <c r="T1790" s="262"/>
      <c r="U1790" s="262"/>
      <c r="V1790" s="262"/>
      <c r="W1790" s="262"/>
      <c r="X1790" s="262"/>
      <c r="Y1790" s="262"/>
      <c r="Z1790" s="262"/>
      <c r="AA1790" s="262"/>
      <c r="AB1790" s="262"/>
    </row>
    <row r="1791" spans="1:31" ht="12.75">
      <c r="A1791" s="699"/>
      <c r="B1791" s="700"/>
      <c r="C1791" s="700"/>
      <c r="D1791" s="701"/>
      <c r="E1791" s="303"/>
      <c r="F1791" s="306"/>
      <c r="G1791" s="307"/>
      <c r="H1791" s="308"/>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row>
    <row r="1792" spans="1:31" ht="30" customHeight="1">
      <c r="A1792" s="270" t="s">
        <v>15078</v>
      </c>
      <c r="B1792" s="397"/>
      <c r="C1792" s="398"/>
      <c r="D1792" s="397"/>
      <c r="E1792" s="397"/>
      <c r="F1792" s="399"/>
      <c r="G1792" s="397"/>
      <c r="H1792" s="400"/>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row>
    <row r="1793" spans="1:31" ht="12.75">
      <c r="A1793" s="358" t="s">
        <v>14471</v>
      </c>
      <c r="B1793" s="359" t="s">
        <v>14472</v>
      </c>
      <c r="C1793" s="360" t="s">
        <v>15079</v>
      </c>
      <c r="D1793" s="361" t="s">
        <v>15080</v>
      </c>
      <c r="E1793" s="359" t="s">
        <v>50</v>
      </c>
      <c r="F1793" s="401"/>
      <c r="G1793" s="402"/>
      <c r="H1793" s="363">
        <f>TRUNC(SUM(H1795:H1796),2)</f>
        <v>15.01</v>
      </c>
      <c r="I1793" s="276">
        <f>COUNTIF($C$8:$C1793,C:C)</f>
        <v>1</v>
      </c>
      <c r="J1793" s="262"/>
      <c r="K1793" s="262"/>
      <c r="L1793" s="262"/>
      <c r="M1793" s="262"/>
      <c r="N1793" s="262"/>
      <c r="O1793" s="262"/>
      <c r="P1793" s="262"/>
      <c r="Q1793" s="262"/>
      <c r="R1793" s="262"/>
      <c r="S1793" s="262"/>
      <c r="T1793" s="262"/>
      <c r="U1793" s="262"/>
      <c r="V1793" s="262"/>
      <c r="W1793" s="262"/>
      <c r="X1793" s="262"/>
      <c r="Y1793" s="262"/>
      <c r="Z1793" s="262"/>
      <c r="AA1793" s="262"/>
      <c r="AB1793" s="262"/>
    </row>
    <row r="1794" spans="1:31" ht="12.75">
      <c r="A1794" s="646" t="s">
        <v>14475</v>
      </c>
      <c r="B1794" s="403" t="s">
        <v>14476</v>
      </c>
      <c r="C1794" s="404">
        <v>7657</v>
      </c>
      <c r="D1794" s="753">
        <v>45017</v>
      </c>
      <c r="E1794" s="641"/>
      <c r="F1794" s="369"/>
      <c r="G1794" s="370"/>
      <c r="H1794" s="371"/>
      <c r="I1794" s="262"/>
      <c r="J1794" s="262"/>
      <c r="K1794" s="262"/>
      <c r="L1794" s="262"/>
      <c r="M1794" s="262"/>
      <c r="N1794" s="262"/>
      <c r="O1794" s="262"/>
      <c r="P1794" s="262"/>
      <c r="Q1794" s="262"/>
      <c r="R1794" s="262"/>
      <c r="S1794" s="262"/>
      <c r="T1794" s="262"/>
      <c r="U1794" s="262"/>
      <c r="V1794" s="262"/>
      <c r="W1794" s="262"/>
      <c r="X1794" s="262"/>
      <c r="Y1794" s="262"/>
      <c r="Z1794" s="262"/>
      <c r="AA1794" s="262"/>
      <c r="AB1794" s="262"/>
    </row>
    <row r="1795" spans="1:31" ht="25.5">
      <c r="A1795" s="586" t="s">
        <v>14478</v>
      </c>
      <c r="B1795" s="373" t="s">
        <v>14476</v>
      </c>
      <c r="C1795" s="374">
        <v>88441</v>
      </c>
      <c r="D1795" s="288" t="str">
        <f>IFERROR(VLOOKUP($C1795,'24.08_ND'!$A:$D,2,0),)</f>
        <v>JARDINEIRO COM ENCARGOS COMPLEMENTARES</v>
      </c>
      <c r="E1795" s="289" t="str">
        <f>IFERROR(VLOOKUP($C1795,'24.08_ND'!$A:$D,3,0),)</f>
        <v>H</v>
      </c>
      <c r="F1795" s="441">
        <v>0.35</v>
      </c>
      <c r="G1795" s="291">
        <f>IFERROR(VLOOKUP($C1795,'24.08_ND'!$A:$D,4,0),)</f>
        <v>19.23</v>
      </c>
      <c r="H1795" s="292">
        <f>TRUNC(($F1795*$G1795),2)</f>
        <v>6.73</v>
      </c>
      <c r="I1795" s="262"/>
      <c r="J1795" s="262"/>
      <c r="K1795" s="262"/>
      <c r="L1795" s="262"/>
      <c r="M1795" s="262"/>
      <c r="N1795" s="262"/>
      <c r="O1795" s="262"/>
      <c r="P1795" s="262"/>
      <c r="Q1795" s="262"/>
      <c r="R1795" s="262"/>
      <c r="S1795" s="262"/>
      <c r="T1795" s="262"/>
      <c r="U1795" s="262"/>
      <c r="V1795" s="262"/>
      <c r="W1795" s="262"/>
      <c r="X1795" s="262"/>
      <c r="Y1795" s="262"/>
      <c r="Z1795" s="262"/>
      <c r="AA1795" s="262"/>
      <c r="AB1795" s="262"/>
      <c r="AD1795" s="1791" t="e">
        <f>VLOOKUP(C1795,'Medição '!$B$16:$F$1833,6,0)</f>
        <v>#N/A</v>
      </c>
      <c r="AE1795" s="1791"/>
    </row>
    <row r="1796" spans="1:31" ht="12.75">
      <c r="A1796" s="754" t="s">
        <v>14479</v>
      </c>
      <c r="B1796" s="312" t="str">
        <f>VLOOKUP($C1796,'• CIs EXT'!$A:$E,2,0)</f>
        <v>ORSE</v>
      </c>
      <c r="C1796" s="591">
        <v>7144</v>
      </c>
      <c r="D1796" s="378" t="str">
        <f>VLOOKUP($C1796,'• CIs EXT'!$A:$E,3,0)</f>
        <v>LIMITADOR DE GRAMA COM BORDA FINA, L=12,5CM</v>
      </c>
      <c r="E1796" s="379" t="str">
        <f>VLOOKUP($C1796,'• CIs EXT'!$A:$E,4,0)</f>
        <v>M</v>
      </c>
      <c r="F1796" s="380">
        <v>1</v>
      </c>
      <c r="G1796" s="379">
        <f>VLOOKUP($C1796,'• CIs EXT'!$A:$E,5,0)</f>
        <v>8.2799999999999994</v>
      </c>
      <c r="H1796" s="381">
        <f>TRUNC(($F1796*$G1796),2)</f>
        <v>8.2799999999999994</v>
      </c>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row>
    <row r="1797" spans="1:31" ht="12.75">
      <c r="A1797" s="755"/>
      <c r="B1797" s="756"/>
      <c r="C1797" s="416"/>
      <c r="D1797" s="756"/>
      <c r="E1797" s="756"/>
      <c r="F1797" s="417"/>
      <c r="G1797" s="418"/>
      <c r="H1797" s="419"/>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row>
    <row r="1798" spans="1:31" ht="25.5">
      <c r="A1798" s="358" t="s">
        <v>14471</v>
      </c>
      <c r="B1798" s="359" t="s">
        <v>14472</v>
      </c>
      <c r="C1798" s="360" t="s">
        <v>15081</v>
      </c>
      <c r="D1798" s="361" t="s">
        <v>15082</v>
      </c>
      <c r="E1798" s="359" t="s">
        <v>152</v>
      </c>
      <c r="F1798" s="401"/>
      <c r="G1798" s="402"/>
      <c r="H1798" s="363">
        <f>TRUNC(SUM(H1800:H1802),2)</f>
        <v>599.1</v>
      </c>
      <c r="I1798" s="276">
        <f>COUNTIF($C$8:$C1798,C:C)</f>
        <v>1</v>
      </c>
      <c r="J1798" s="262"/>
      <c r="K1798" s="262"/>
      <c r="L1798" s="262"/>
      <c r="M1798" s="262"/>
      <c r="N1798" s="262"/>
      <c r="O1798" s="262"/>
      <c r="P1798" s="262"/>
      <c r="Q1798" s="262"/>
      <c r="R1798" s="262"/>
      <c r="S1798" s="262"/>
      <c r="T1798" s="262"/>
      <c r="U1798" s="262"/>
      <c r="V1798" s="262"/>
      <c r="W1798" s="262"/>
      <c r="X1798" s="262"/>
      <c r="Y1798" s="262"/>
      <c r="Z1798" s="262"/>
      <c r="AA1798" s="262"/>
      <c r="AB1798" s="262"/>
    </row>
    <row r="1799" spans="1:31" ht="12.75">
      <c r="A1799" s="646" t="s">
        <v>14475</v>
      </c>
      <c r="B1799" s="403" t="s">
        <v>14476</v>
      </c>
      <c r="C1799" s="404">
        <v>96622</v>
      </c>
      <c r="D1799" s="757" t="s">
        <v>14602</v>
      </c>
      <c r="E1799" s="641"/>
      <c r="F1799" s="369"/>
      <c r="G1799" s="370"/>
      <c r="H1799" s="371"/>
      <c r="I1799" s="262"/>
      <c r="J1799" s="262"/>
      <c r="K1799" s="262"/>
      <c r="L1799" s="262"/>
      <c r="M1799" s="262"/>
      <c r="N1799" s="262"/>
      <c r="O1799" s="262"/>
      <c r="P1799" s="262"/>
      <c r="Q1799" s="262"/>
      <c r="R1799" s="262"/>
      <c r="S1799" s="262"/>
      <c r="T1799" s="262"/>
      <c r="U1799" s="262"/>
      <c r="V1799" s="262"/>
      <c r="W1799" s="262"/>
      <c r="X1799" s="262"/>
      <c r="Y1799" s="262"/>
      <c r="Z1799" s="262"/>
      <c r="AA1799" s="262"/>
      <c r="AB1799" s="262"/>
    </row>
    <row r="1800" spans="1:31" ht="25.5">
      <c r="A1800" s="586" t="s">
        <v>14478</v>
      </c>
      <c r="B1800" s="373" t="s">
        <v>14476</v>
      </c>
      <c r="C1800" s="374">
        <v>88441</v>
      </c>
      <c r="D1800" s="288" t="str">
        <f>IFERROR(VLOOKUP($C1800,'24.08_ND'!$A:$D,2,0),)</f>
        <v>JARDINEIRO COM ENCARGOS COMPLEMENTARES</v>
      </c>
      <c r="E1800" s="289" t="str">
        <f>IFERROR(VLOOKUP($C1800,'24.08_ND'!$A:$D,3,0),)</f>
        <v>H</v>
      </c>
      <c r="F1800" s="441">
        <v>0.97</v>
      </c>
      <c r="G1800" s="291">
        <f>IFERROR(VLOOKUP($C1800,'24.08_ND'!$A:$D,4,0),)</f>
        <v>19.23</v>
      </c>
      <c r="H1800" s="292">
        <f>TRUNC(($F1800*$G1800),2)</f>
        <v>18.649999999999999</v>
      </c>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D1800" s="1791" t="e">
        <f>VLOOKUP(C1800,'Medição '!$B$16:$F$1833,6,0)</f>
        <v>#N/A</v>
      </c>
      <c r="AE1800" s="1791"/>
    </row>
    <row r="1801" spans="1:31" ht="25.5">
      <c r="A1801" s="586" t="s">
        <v>14478</v>
      </c>
      <c r="B1801" s="373" t="s">
        <v>14476</v>
      </c>
      <c r="C1801" s="374">
        <v>88316</v>
      </c>
      <c r="D1801" s="288" t="str">
        <f>IFERROR(VLOOKUP($C1801,'24.08_ND'!$A:$D,2,0),)</f>
        <v>SERVENTE COM ENCARGOS COMPLEMENTARES</v>
      </c>
      <c r="E1801" s="289" t="str">
        <f>IFERROR(VLOOKUP($C1801,'24.08_ND'!$A:$D,3,0),)</f>
        <v>H</v>
      </c>
      <c r="F1801" s="441">
        <v>0.35249999999999998</v>
      </c>
      <c r="G1801" s="291">
        <f>IFERROR(VLOOKUP($C1801,'24.08_ND'!$A:$D,4,0),)</f>
        <v>18.510000000000002</v>
      </c>
      <c r="H1801" s="292">
        <f>TRUNC(($F1801*$G1801),2)</f>
        <v>6.52</v>
      </c>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D1801" s="1791" t="e">
        <f>VLOOKUP(C1801,'Medição '!$B$16:$F$1833,6,0)</f>
        <v>#N/A</v>
      </c>
      <c r="AE1801" s="1791"/>
    </row>
    <row r="1802" spans="1:31" ht="25.5">
      <c r="A1802" s="754" t="s">
        <v>14479</v>
      </c>
      <c r="B1802" s="312" t="str">
        <f>VLOOKUP($C1802,'• CIs EXT'!$A:$E,2,0)</f>
        <v>AGETOP CIVIL</v>
      </c>
      <c r="C1802" s="377">
        <v>1974</v>
      </c>
      <c r="D1802" s="378" t="str">
        <f>VLOOKUP($C1802,'• CIs EXT'!$A:$E,3,0)</f>
        <v>SEIXO ROLADO</v>
      </c>
      <c r="E1802" s="379" t="str">
        <f>VLOOKUP($C1802,'• CIs EXT'!$A:$E,4,0)</f>
        <v>M3</v>
      </c>
      <c r="F1802" s="380">
        <v>1.05</v>
      </c>
      <c r="G1802" s="379">
        <f>VLOOKUP($C1802,'• CIs EXT'!$A:$E,5,0)</f>
        <v>546.6</v>
      </c>
      <c r="H1802" s="381">
        <f>TRUNC(($F1802*$G1802),2)</f>
        <v>573.92999999999995</v>
      </c>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row>
    <row r="1803" spans="1:31" ht="12.75">
      <c r="A1803" s="755"/>
      <c r="B1803" s="756"/>
      <c r="C1803" s="416"/>
      <c r="D1803" s="756"/>
      <c r="E1803" s="756"/>
      <c r="F1803" s="417"/>
      <c r="G1803" s="418"/>
      <c r="H1803" s="419"/>
      <c r="I1803" s="262"/>
      <c r="J1803" s="262"/>
      <c r="K1803" s="262"/>
      <c r="L1803" s="262"/>
      <c r="M1803" s="262"/>
      <c r="N1803" s="262"/>
      <c r="O1803" s="262"/>
      <c r="P1803" s="262"/>
      <c r="Q1803" s="262"/>
      <c r="R1803" s="262"/>
      <c r="S1803" s="262"/>
      <c r="T1803" s="262"/>
      <c r="U1803" s="262"/>
      <c r="V1803" s="262"/>
      <c r="W1803" s="262"/>
      <c r="X1803" s="262"/>
      <c r="Y1803" s="262"/>
      <c r="Z1803" s="262"/>
      <c r="AA1803" s="262"/>
      <c r="AB1803" s="262"/>
    </row>
    <row r="1804" spans="1:31" ht="12.75">
      <c r="A1804" s="358" t="s">
        <v>14471</v>
      </c>
      <c r="B1804" s="359" t="s">
        <v>14472</v>
      </c>
      <c r="C1804" s="360" t="s">
        <v>15083</v>
      </c>
      <c r="D1804" s="361" t="s">
        <v>15084</v>
      </c>
      <c r="E1804" s="359" t="s">
        <v>409</v>
      </c>
      <c r="F1804" s="401"/>
      <c r="G1804" s="402"/>
      <c r="H1804" s="363">
        <f>TRUNC(SUM(H1806:H1809),2)</f>
        <v>61.21</v>
      </c>
      <c r="I1804" s="276">
        <f>COUNTIF($C$8:$C1804,C:C)</f>
        <v>1</v>
      </c>
      <c r="J1804" s="262"/>
      <c r="K1804" s="262"/>
      <c r="L1804" s="262"/>
      <c r="M1804" s="262"/>
      <c r="N1804" s="262"/>
      <c r="O1804" s="262"/>
      <c r="P1804" s="262"/>
      <c r="Q1804" s="262"/>
      <c r="R1804" s="262"/>
      <c r="S1804" s="262"/>
      <c r="T1804" s="262"/>
      <c r="U1804" s="262"/>
      <c r="V1804" s="262"/>
      <c r="W1804" s="262"/>
      <c r="X1804" s="262"/>
      <c r="Y1804" s="262"/>
      <c r="Z1804" s="262"/>
      <c r="AA1804" s="262"/>
      <c r="AB1804" s="262"/>
    </row>
    <row r="1805" spans="1:31" ht="12.75">
      <c r="A1805" s="646" t="s">
        <v>14475</v>
      </c>
      <c r="B1805" s="403" t="s">
        <v>14489</v>
      </c>
      <c r="C1805" s="404">
        <v>40984</v>
      </c>
      <c r="D1805" s="757" t="s">
        <v>14794</v>
      </c>
      <c r="E1805" s="641"/>
      <c r="F1805" s="369"/>
      <c r="G1805" s="370"/>
      <c r="H1805" s="371"/>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row>
    <row r="1806" spans="1:31" ht="25.5">
      <c r="A1806" s="586" t="s">
        <v>14478</v>
      </c>
      <c r="B1806" s="373" t="s">
        <v>14476</v>
      </c>
      <c r="C1806" s="374">
        <v>88441</v>
      </c>
      <c r="D1806" s="288" t="str">
        <f>IFERROR(VLOOKUP($C1806,'24.08_ND'!$A:$D,2,0),)</f>
        <v>JARDINEIRO COM ENCARGOS COMPLEMENTARES</v>
      </c>
      <c r="E1806" s="289" t="str">
        <f>IFERROR(VLOOKUP($C1806,'24.08_ND'!$A:$D,3,0),)</f>
        <v>H</v>
      </c>
      <c r="F1806" s="441">
        <v>0.08</v>
      </c>
      <c r="G1806" s="291">
        <f>IFERROR(VLOOKUP($C1806,'24.08_ND'!$A:$D,4,0),)</f>
        <v>19.23</v>
      </c>
      <c r="H1806" s="292">
        <f>TRUNC(($F1806*$G1806),2)</f>
        <v>1.53</v>
      </c>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D1806" s="1791" t="e">
        <f>VLOOKUP(C1806,'Medição '!$B$16:$F$1833,6,0)</f>
        <v>#N/A</v>
      </c>
      <c r="AE1806" s="1791"/>
    </row>
    <row r="1807" spans="1:31" ht="25.5">
      <c r="A1807" s="586" t="s">
        <v>14478</v>
      </c>
      <c r="B1807" s="373" t="s">
        <v>14476</v>
      </c>
      <c r="C1807" s="374">
        <v>88316</v>
      </c>
      <c r="D1807" s="288" t="str">
        <f>IFERROR(VLOOKUP($C1807,'24.08_ND'!$A:$D,2,0),)</f>
        <v>SERVENTE COM ENCARGOS COMPLEMENTARES</v>
      </c>
      <c r="E1807" s="289" t="str">
        <f>IFERROR(VLOOKUP($C1807,'24.08_ND'!$A:$D,3,0),)</f>
        <v>H</v>
      </c>
      <c r="F1807" s="441">
        <v>0.18</v>
      </c>
      <c r="G1807" s="291">
        <f>IFERROR(VLOOKUP($C1807,'24.08_ND'!$A:$D,4,0),)</f>
        <v>18.510000000000002</v>
      </c>
      <c r="H1807" s="292">
        <f>TRUNC(($F1807*$G1807),2)</f>
        <v>3.33</v>
      </c>
      <c r="I1807" s="262"/>
      <c r="J1807" s="262"/>
      <c r="K1807" s="262"/>
      <c r="L1807" s="262"/>
      <c r="M1807" s="262"/>
      <c r="N1807" s="262"/>
      <c r="O1807" s="262"/>
      <c r="P1807" s="262"/>
      <c r="Q1807" s="262"/>
      <c r="R1807" s="262"/>
      <c r="S1807" s="262"/>
      <c r="T1807" s="262"/>
      <c r="U1807" s="262"/>
      <c r="V1807" s="262"/>
      <c r="W1807" s="262"/>
      <c r="X1807" s="262"/>
      <c r="Y1807" s="262"/>
      <c r="Z1807" s="262"/>
      <c r="AA1807" s="262"/>
      <c r="AB1807" s="262"/>
      <c r="AD1807" s="1791" t="e">
        <f>VLOOKUP(C1807,'Medição '!$B$16:$F$1833,6,0)</f>
        <v>#N/A</v>
      </c>
      <c r="AE1807" s="1791"/>
    </row>
    <row r="1808" spans="1:31" ht="12.75">
      <c r="A1808" s="758" t="s">
        <v>14479</v>
      </c>
      <c r="B1808" s="383" t="s">
        <v>14476</v>
      </c>
      <c r="C1808" s="384">
        <v>44539</v>
      </c>
      <c r="D1808" s="296" t="str">
        <f>IFERROR(VLOOKUP($C1808,'24.08_ND'!$A:$D,2,0),)</f>
        <v>FERTILIZANTE NPK -  10:10:10</v>
      </c>
      <c r="E1808" s="297" t="str">
        <f>IFERROR(VLOOKUP($C1808,'24.08_ND'!$A:$D,3,0),)</f>
        <v>KG</v>
      </c>
      <c r="F1808" s="759">
        <v>0.1</v>
      </c>
      <c r="G1808" s="299">
        <f>IFERROR(VLOOKUP($C1808,'24.08_ND'!$A:$D,4,0),)</f>
        <v>3.03</v>
      </c>
      <c r="H1808" s="300">
        <f>TRUNC(($F1808*$G1808),2)</f>
        <v>0.3</v>
      </c>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row>
    <row r="1809" spans="1:31" ht="12.75">
      <c r="A1809" s="754" t="s">
        <v>14479</v>
      </c>
      <c r="B1809" s="312" t="str">
        <f>VLOOKUP($C1809,'• CIs EXT'!$A:$E,2,0)</f>
        <v>FDE</v>
      </c>
      <c r="C1809" s="591" t="s">
        <v>15085</v>
      </c>
      <c r="D1809" s="378" t="str">
        <f>VLOOKUP($C1809,'• CIs EXT'!$A:$E,3,0)</f>
        <v>FORRACAO GRAMA TIPO PRETA</v>
      </c>
      <c r="E1809" s="379" t="str">
        <f>VLOOKUP($C1809,'• CIs EXT'!$A:$E,4,0)</f>
        <v>M2</v>
      </c>
      <c r="F1809" s="380">
        <v>1</v>
      </c>
      <c r="G1809" s="379">
        <f>VLOOKUP($C1809,'• CIs EXT'!$A:$E,5,0)</f>
        <v>56.05</v>
      </c>
      <c r="H1809" s="381">
        <f>TRUNC(($F1809*$G1809),2)</f>
        <v>56.05</v>
      </c>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row>
    <row r="1810" spans="1:31" ht="12.75">
      <c r="A1810" s="755"/>
      <c r="B1810" s="756"/>
      <c r="C1810" s="416"/>
      <c r="D1810" s="756"/>
      <c r="E1810" s="756"/>
      <c r="F1810" s="417"/>
      <c r="G1810" s="418"/>
      <c r="H1810" s="419"/>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row>
    <row r="1811" spans="1:31" ht="12.75">
      <c r="A1811" s="358" t="s">
        <v>14471</v>
      </c>
      <c r="B1811" s="359" t="s">
        <v>14472</v>
      </c>
      <c r="C1811" s="360" t="s">
        <v>15086</v>
      </c>
      <c r="D1811" s="361" t="s">
        <v>15087</v>
      </c>
      <c r="E1811" s="359" t="s">
        <v>6</v>
      </c>
      <c r="F1811" s="401"/>
      <c r="G1811" s="402"/>
      <c r="H1811" s="363">
        <f>TRUNC(SUM(H1813:H1817),2)</f>
        <v>86.94</v>
      </c>
      <c r="I1811" s="276">
        <f>COUNTIF($C$8:$C1811,C:C)</f>
        <v>1</v>
      </c>
      <c r="J1811" s="262"/>
      <c r="K1811" s="262"/>
      <c r="L1811" s="262"/>
      <c r="M1811" s="262"/>
      <c r="N1811" s="262"/>
      <c r="O1811" s="262"/>
      <c r="P1811" s="262"/>
      <c r="Q1811" s="262"/>
      <c r="R1811" s="262"/>
      <c r="S1811" s="262"/>
      <c r="T1811" s="262"/>
      <c r="U1811" s="262"/>
      <c r="V1811" s="262"/>
      <c r="W1811" s="262"/>
      <c r="X1811" s="262"/>
      <c r="Y1811" s="262"/>
      <c r="Z1811" s="262"/>
      <c r="AA1811" s="262"/>
      <c r="AB1811" s="262"/>
    </row>
    <row r="1812" spans="1:31" ht="12.75">
      <c r="A1812" s="646" t="s">
        <v>14475</v>
      </c>
      <c r="B1812" s="403" t="s">
        <v>14476</v>
      </c>
      <c r="C1812" s="404">
        <v>98509</v>
      </c>
      <c r="D1812" s="757" t="s">
        <v>14794</v>
      </c>
      <c r="E1812" s="641"/>
      <c r="F1812" s="369"/>
      <c r="G1812" s="370"/>
      <c r="H1812" s="371"/>
      <c r="I1812" s="262"/>
      <c r="J1812" s="262"/>
      <c r="K1812" s="262"/>
      <c r="L1812" s="262"/>
      <c r="M1812" s="262"/>
      <c r="N1812" s="262"/>
      <c r="O1812" s="262"/>
      <c r="P1812" s="262"/>
      <c r="Q1812" s="262"/>
      <c r="R1812" s="262"/>
      <c r="S1812" s="262"/>
      <c r="T1812" s="262"/>
      <c r="U1812" s="262"/>
      <c r="V1812" s="262"/>
      <c r="W1812" s="262"/>
      <c r="X1812" s="262"/>
      <c r="Y1812" s="262"/>
      <c r="Z1812" s="262"/>
      <c r="AA1812" s="262"/>
      <c r="AB1812" s="262"/>
    </row>
    <row r="1813" spans="1:31" ht="25.5">
      <c r="A1813" s="586" t="s">
        <v>14478</v>
      </c>
      <c r="B1813" s="373" t="s">
        <v>14476</v>
      </c>
      <c r="C1813" s="374">
        <v>88441</v>
      </c>
      <c r="D1813" s="288" t="str">
        <f>IFERROR(VLOOKUP($C1813,'24.08_ND'!$A:$D,2,0),)</f>
        <v>JARDINEIRO COM ENCARGOS COMPLEMENTARES</v>
      </c>
      <c r="E1813" s="289" t="str">
        <f>IFERROR(VLOOKUP($C1813,'24.08_ND'!$A:$D,3,0),)</f>
        <v>H</v>
      </c>
      <c r="F1813" s="441">
        <v>0.09</v>
      </c>
      <c r="G1813" s="291">
        <f>IFERROR(VLOOKUP($C1813,'24.08_ND'!$A:$D,4,0),)</f>
        <v>19.23</v>
      </c>
      <c r="H1813" s="292">
        <f>TRUNC(($F1813*$G1813),2)</f>
        <v>1.73</v>
      </c>
      <c r="I1813" s="262"/>
      <c r="J1813" s="262"/>
      <c r="K1813" s="262"/>
      <c r="L1813" s="262"/>
      <c r="M1813" s="262"/>
      <c r="N1813" s="262"/>
      <c r="O1813" s="262"/>
      <c r="P1813" s="262"/>
      <c r="Q1813" s="262"/>
      <c r="R1813" s="262"/>
      <c r="S1813" s="262"/>
      <c r="T1813" s="262"/>
      <c r="U1813" s="262"/>
      <c r="V1813" s="262"/>
      <c r="W1813" s="262"/>
      <c r="X1813" s="262"/>
      <c r="Y1813" s="262"/>
      <c r="Z1813" s="262"/>
      <c r="AA1813" s="262"/>
      <c r="AB1813" s="262"/>
      <c r="AD1813" s="1791" t="e">
        <f>VLOOKUP(C1813,'Medição '!$B$16:$F$1833,6,0)</f>
        <v>#N/A</v>
      </c>
      <c r="AE1813" s="1791"/>
    </row>
    <row r="1814" spans="1:31" ht="25.5">
      <c r="A1814" s="586" t="s">
        <v>14478</v>
      </c>
      <c r="B1814" s="373" t="s">
        <v>14476</v>
      </c>
      <c r="C1814" s="374">
        <v>88316</v>
      </c>
      <c r="D1814" s="288" t="str">
        <f>IFERROR(VLOOKUP($C1814,'24.08_ND'!$A:$D,2,0),)</f>
        <v>SERVENTE COM ENCARGOS COMPLEMENTARES</v>
      </c>
      <c r="E1814" s="289" t="str">
        <f>IFERROR(VLOOKUP($C1814,'24.08_ND'!$A:$D,3,0),)</f>
        <v>H</v>
      </c>
      <c r="F1814" s="441">
        <v>0.1018</v>
      </c>
      <c r="G1814" s="291">
        <f>IFERROR(VLOOKUP($C1814,'24.08_ND'!$A:$D,4,0),)</f>
        <v>18.510000000000002</v>
      </c>
      <c r="H1814" s="292">
        <f>TRUNC(($F1814*$G1814),2)</f>
        <v>1.88</v>
      </c>
      <c r="I1814" s="262"/>
      <c r="J1814" s="262"/>
      <c r="K1814" s="262"/>
      <c r="L1814" s="262"/>
      <c r="M1814" s="262"/>
      <c r="N1814" s="262"/>
      <c r="O1814" s="262"/>
      <c r="P1814" s="262"/>
      <c r="Q1814" s="262"/>
      <c r="R1814" s="262"/>
      <c r="S1814" s="262"/>
      <c r="T1814" s="262"/>
      <c r="U1814" s="262"/>
      <c r="V1814" s="262"/>
      <c r="W1814" s="262"/>
      <c r="X1814" s="262"/>
      <c r="Y1814" s="262"/>
      <c r="Z1814" s="262"/>
      <c r="AA1814" s="262"/>
      <c r="AB1814" s="262"/>
      <c r="AD1814" s="1791" t="e">
        <f>VLOOKUP(C1814,'Medição '!$B$16:$F$1833,6,0)</f>
        <v>#N/A</v>
      </c>
      <c r="AE1814" s="1791"/>
    </row>
    <row r="1815" spans="1:31" ht="12.75">
      <c r="A1815" s="758" t="s">
        <v>14479</v>
      </c>
      <c r="B1815" s="383" t="s">
        <v>14476</v>
      </c>
      <c r="C1815" s="384">
        <v>7253</v>
      </c>
      <c r="D1815" s="296" t="str">
        <f>IFERROR(VLOOKUP($C1815,'24.08_ND'!$A:$D,2,0),)</f>
        <v>TERRA VEGETAL (GRANEL)</v>
      </c>
      <c r="E1815" s="297" t="str">
        <f>IFERROR(VLOOKUP($C1815,'24.08_ND'!$A:$D,3,0),)</f>
        <v>M3</v>
      </c>
      <c r="F1815" s="759">
        <v>8.0000000000000002E-3</v>
      </c>
      <c r="G1815" s="299">
        <f>IFERROR(VLOOKUP($C1815,'24.08_ND'!$A:$D,4,0),)</f>
        <v>130.79</v>
      </c>
      <c r="H1815" s="300">
        <f>TRUNC(($F1815*$G1815),2)</f>
        <v>1.04</v>
      </c>
      <c r="I1815" s="262"/>
      <c r="J1815" s="262"/>
      <c r="K1815" s="262"/>
      <c r="L1815" s="262"/>
      <c r="M1815" s="262"/>
      <c r="N1815" s="262"/>
      <c r="O1815" s="262"/>
      <c r="P1815" s="262"/>
      <c r="Q1815" s="262"/>
      <c r="R1815" s="262"/>
      <c r="S1815" s="262"/>
      <c r="T1815" s="262"/>
      <c r="U1815" s="262"/>
      <c r="V1815" s="262"/>
      <c r="W1815" s="262"/>
      <c r="X1815" s="262"/>
      <c r="Y1815" s="262"/>
      <c r="Z1815" s="262"/>
      <c r="AA1815" s="262"/>
      <c r="AB1815" s="262"/>
    </row>
    <row r="1816" spans="1:31" ht="12.75">
      <c r="A1816" s="758" t="s">
        <v>14479</v>
      </c>
      <c r="B1816" s="383" t="s">
        <v>14476</v>
      </c>
      <c r="C1816" s="384">
        <v>44539</v>
      </c>
      <c r="D1816" s="296" t="str">
        <f>IFERROR(VLOOKUP($C1816,'24.08_ND'!$A:$D,2,0),)</f>
        <v>FERTILIZANTE NPK -  10:10:10</v>
      </c>
      <c r="E1816" s="297" t="str">
        <f>IFERROR(VLOOKUP($C1816,'24.08_ND'!$A:$D,3,0),)</f>
        <v>KG</v>
      </c>
      <c r="F1816" s="759">
        <v>0.1</v>
      </c>
      <c r="G1816" s="299">
        <f>IFERROR(VLOOKUP($C1816,'24.08_ND'!$A:$D,4,0),)</f>
        <v>3.03</v>
      </c>
      <c r="H1816" s="300">
        <f>TRUNC(($F1816*$G1816),2)</f>
        <v>0.3</v>
      </c>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row>
    <row r="1817" spans="1:31" ht="12.75">
      <c r="A1817" s="760" t="s">
        <v>14479</v>
      </c>
      <c r="B1817" s="761" t="s">
        <v>14491</v>
      </c>
      <c r="C1817" s="762" t="s">
        <v>15088</v>
      </c>
      <c r="D1817" s="601" t="str">
        <f>VLOOKUP($C1817,'09 - MC'!$A:$F,2,0)</f>
        <v>FILODENDRO XANADU - Philodendron bipinnatifidum</v>
      </c>
      <c r="E1817" s="602" t="str">
        <f>VLOOKUP($C1817,'09 - MC'!$A:$F,3,0)</f>
        <v>UN</v>
      </c>
      <c r="F1817" s="603">
        <v>1</v>
      </c>
      <c r="G1817" s="604">
        <f>VLOOKUP($C1817,'09 - MC'!$A:$F,6,0)</f>
        <v>81.99</v>
      </c>
      <c r="H1817" s="605">
        <f>TRUNC(G1817*F1817,2)</f>
        <v>81.99</v>
      </c>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row>
    <row r="1818" spans="1:31" ht="12.75">
      <c r="A1818" s="755"/>
      <c r="B1818" s="756"/>
      <c r="C1818" s="416"/>
      <c r="D1818" s="756"/>
      <c r="E1818" s="756"/>
      <c r="F1818" s="417"/>
      <c r="G1818" s="418"/>
      <c r="H1818" s="419"/>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row>
    <row r="1819" spans="1:31" ht="12.75">
      <c r="A1819" s="358" t="s">
        <v>14471</v>
      </c>
      <c r="B1819" s="359" t="s">
        <v>14472</v>
      </c>
      <c r="C1819" s="360" t="s">
        <v>15089</v>
      </c>
      <c r="D1819" s="361" t="s">
        <v>15090</v>
      </c>
      <c r="E1819" s="359" t="s">
        <v>6</v>
      </c>
      <c r="F1819" s="401"/>
      <c r="G1819" s="402"/>
      <c r="H1819" s="363">
        <f>TRUNC(SUM(H1821:H1825),2)</f>
        <v>14.46</v>
      </c>
      <c r="I1819" s="276">
        <f>COUNTIF($C$8:$C1819,C:C)</f>
        <v>1</v>
      </c>
      <c r="J1819" s="262"/>
      <c r="K1819" s="262"/>
      <c r="L1819" s="262"/>
      <c r="M1819" s="262"/>
      <c r="N1819" s="262"/>
      <c r="O1819" s="262"/>
      <c r="P1819" s="262"/>
      <c r="Q1819" s="262"/>
      <c r="R1819" s="262"/>
      <c r="S1819" s="262"/>
      <c r="T1819" s="262"/>
      <c r="U1819" s="262"/>
      <c r="V1819" s="262"/>
      <c r="W1819" s="262"/>
      <c r="X1819" s="262"/>
      <c r="Y1819" s="262"/>
      <c r="Z1819" s="262"/>
      <c r="AA1819" s="262"/>
      <c r="AB1819" s="262"/>
    </row>
    <row r="1820" spans="1:31" ht="12.75">
      <c r="A1820" s="646" t="s">
        <v>14475</v>
      </c>
      <c r="B1820" s="403" t="s">
        <v>14600</v>
      </c>
      <c r="C1820" s="404">
        <v>7663</v>
      </c>
      <c r="D1820" s="757" t="s">
        <v>14567</v>
      </c>
      <c r="E1820" s="641"/>
      <c r="F1820" s="369"/>
      <c r="G1820" s="370"/>
      <c r="H1820" s="371"/>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row>
    <row r="1821" spans="1:31" ht="25.5">
      <c r="A1821" s="586" t="s">
        <v>14478</v>
      </c>
      <c r="B1821" s="373" t="s">
        <v>14476</v>
      </c>
      <c r="C1821" s="374">
        <v>88441</v>
      </c>
      <c r="D1821" s="288" t="str">
        <f>IFERROR(VLOOKUP($C1821,'24.08_ND'!$A:$D,2,0),)</f>
        <v>JARDINEIRO COM ENCARGOS COMPLEMENTARES</v>
      </c>
      <c r="E1821" s="289" t="str">
        <f>IFERROR(VLOOKUP($C1821,'24.08_ND'!$A:$D,3,0),)</f>
        <v>H</v>
      </c>
      <c r="F1821" s="441">
        <v>0.05</v>
      </c>
      <c r="G1821" s="291">
        <f>IFERROR(VLOOKUP($C1821,'24.08_ND'!$A:$D,4,0),)</f>
        <v>19.23</v>
      </c>
      <c r="H1821" s="292">
        <f>TRUNC(($F1821*$G1821),2)</f>
        <v>0.96</v>
      </c>
      <c r="I1821" s="262"/>
      <c r="J1821" s="262"/>
      <c r="K1821" s="262"/>
      <c r="L1821" s="262"/>
      <c r="M1821" s="262"/>
      <c r="N1821" s="262"/>
      <c r="O1821" s="262"/>
      <c r="P1821" s="262"/>
      <c r="Q1821" s="262"/>
      <c r="R1821" s="262"/>
      <c r="S1821" s="262"/>
      <c r="T1821" s="262"/>
      <c r="U1821" s="262"/>
      <c r="V1821" s="262"/>
      <c r="W1821" s="262"/>
      <c r="X1821" s="262"/>
      <c r="Y1821" s="262"/>
      <c r="Z1821" s="262"/>
      <c r="AA1821" s="262"/>
      <c r="AB1821" s="262"/>
      <c r="AD1821" s="1791" t="e">
        <f>VLOOKUP(C1821,'Medição '!$B$16:$F$1833,6,0)</f>
        <v>#N/A</v>
      </c>
      <c r="AE1821" s="1791"/>
    </row>
    <row r="1822" spans="1:31" ht="25.5">
      <c r="A1822" s="586" t="s">
        <v>14478</v>
      </c>
      <c r="B1822" s="373" t="s">
        <v>14476</v>
      </c>
      <c r="C1822" s="374">
        <v>88316</v>
      </c>
      <c r="D1822" s="288" t="str">
        <f>IFERROR(VLOOKUP($C1822,'24.08_ND'!$A:$D,2,0),)</f>
        <v>SERVENTE COM ENCARGOS COMPLEMENTARES</v>
      </c>
      <c r="E1822" s="289" t="str">
        <f>IFERROR(VLOOKUP($C1822,'24.08_ND'!$A:$D,3,0),)</f>
        <v>H</v>
      </c>
      <c r="F1822" s="441">
        <v>0.09</v>
      </c>
      <c r="G1822" s="291">
        <f>IFERROR(VLOOKUP($C1822,'24.08_ND'!$A:$D,4,0),)</f>
        <v>18.510000000000002</v>
      </c>
      <c r="H1822" s="292">
        <f>TRUNC(($F1822*$G1822),2)</f>
        <v>1.66</v>
      </c>
      <c r="I1822" s="262"/>
      <c r="J1822" s="262"/>
      <c r="K1822" s="262"/>
      <c r="L1822" s="262"/>
      <c r="M1822" s="262"/>
      <c r="N1822" s="262"/>
      <c r="O1822" s="262"/>
      <c r="P1822" s="262"/>
      <c r="Q1822" s="262"/>
      <c r="R1822" s="262"/>
      <c r="S1822" s="262"/>
      <c r="T1822" s="262"/>
      <c r="U1822" s="262"/>
      <c r="V1822" s="262"/>
      <c r="W1822" s="262"/>
      <c r="X1822" s="262"/>
      <c r="Y1822" s="262"/>
      <c r="Z1822" s="262"/>
      <c r="AA1822" s="262"/>
      <c r="AB1822" s="262"/>
      <c r="AD1822" s="1791" t="e">
        <f>VLOOKUP(C1822,'Medição '!$B$16:$F$1833,6,0)</f>
        <v>#N/A</v>
      </c>
      <c r="AE1822" s="1791"/>
    </row>
    <row r="1823" spans="1:31" ht="12.75">
      <c r="A1823" s="758" t="s">
        <v>14479</v>
      </c>
      <c r="B1823" s="383" t="s">
        <v>14476</v>
      </c>
      <c r="C1823" s="384">
        <v>7253</v>
      </c>
      <c r="D1823" s="296" t="str">
        <f>IFERROR(VLOOKUP($C1823,'24.08_ND'!$A:$D,2,0),)</f>
        <v>TERRA VEGETAL (GRANEL)</v>
      </c>
      <c r="E1823" s="297" t="str">
        <f>IFERROR(VLOOKUP($C1823,'24.08_ND'!$A:$D,3,0),)</f>
        <v>M3</v>
      </c>
      <c r="F1823" s="759">
        <v>3.2000000000000001E-2</v>
      </c>
      <c r="G1823" s="299">
        <f>IFERROR(VLOOKUP($C1823,'24.08_ND'!$A:$D,4,0),)</f>
        <v>130.79</v>
      </c>
      <c r="H1823" s="300">
        <f>TRUNC(($F1823*$G1823),2)</f>
        <v>4.18</v>
      </c>
      <c r="I1823" s="262"/>
      <c r="J1823" s="262"/>
      <c r="K1823" s="262"/>
      <c r="L1823" s="262"/>
      <c r="M1823" s="262"/>
      <c r="N1823" s="262"/>
      <c r="O1823" s="262"/>
      <c r="P1823" s="262"/>
      <c r="Q1823" s="262"/>
      <c r="R1823" s="262"/>
      <c r="S1823" s="262"/>
      <c r="T1823" s="262"/>
      <c r="U1823" s="262"/>
      <c r="V1823" s="262"/>
      <c r="W1823" s="262"/>
      <c r="X1823" s="262"/>
      <c r="Y1823" s="262"/>
      <c r="Z1823" s="262"/>
      <c r="AA1823" s="262"/>
      <c r="AB1823" s="262"/>
    </row>
    <row r="1824" spans="1:31" ht="12.75">
      <c r="A1824" s="758" t="s">
        <v>14479</v>
      </c>
      <c r="B1824" s="383" t="s">
        <v>14476</v>
      </c>
      <c r="C1824" s="384">
        <v>44539</v>
      </c>
      <c r="D1824" s="296" t="str">
        <f>IFERROR(VLOOKUP($C1824,'24.08_ND'!$A:$D,2,0),)</f>
        <v>FERTILIZANTE NPK -  10:10:10</v>
      </c>
      <c r="E1824" s="297" t="str">
        <f>IFERROR(VLOOKUP($C1824,'24.08_ND'!$A:$D,3,0),)</f>
        <v>KG</v>
      </c>
      <c r="F1824" s="759">
        <v>7.3999999999999996E-2</v>
      </c>
      <c r="G1824" s="299">
        <f>IFERROR(VLOOKUP($C1824,'24.08_ND'!$A:$D,4,0),)</f>
        <v>3.03</v>
      </c>
      <c r="H1824" s="300">
        <f>TRUNC(($F1824*$G1824),2)</f>
        <v>0.22</v>
      </c>
      <c r="I1824" s="262"/>
      <c r="J1824" s="262"/>
      <c r="K1824" s="262"/>
      <c r="L1824" s="262"/>
      <c r="M1824" s="262"/>
      <c r="N1824" s="262"/>
      <c r="O1824" s="262"/>
      <c r="P1824" s="262"/>
      <c r="Q1824" s="262"/>
      <c r="R1824" s="262"/>
      <c r="S1824" s="262"/>
      <c r="T1824" s="262"/>
      <c r="U1824" s="262"/>
      <c r="V1824" s="262"/>
      <c r="W1824" s="262"/>
      <c r="X1824" s="262"/>
      <c r="Y1824" s="262"/>
      <c r="Z1824" s="262"/>
      <c r="AA1824" s="262"/>
      <c r="AB1824" s="262"/>
    </row>
    <row r="1825" spans="1:31" ht="12.75">
      <c r="A1825" s="754" t="s">
        <v>14479</v>
      </c>
      <c r="B1825" s="312" t="str">
        <f>VLOOKUP($C1825,'• CIs EXT'!$A:$E,2,0)</f>
        <v>ORSE</v>
      </c>
      <c r="C1825" s="591">
        <v>7150</v>
      </c>
      <c r="D1825" s="378" t="str">
        <f>VLOOKUP($C1825,'• CIs EXT'!$A:$E,3,0)</f>
        <v>PLANTA - RUSSÉLIA (RUSSELIA EQUISETIFORMIS)</v>
      </c>
      <c r="E1825" s="379" t="str">
        <f>VLOOKUP($C1825,'• CIs EXT'!$A:$E,4,0)</f>
        <v>UN</v>
      </c>
      <c r="F1825" s="380">
        <v>1</v>
      </c>
      <c r="G1825" s="379">
        <f>VLOOKUP($C1825,'• CIs EXT'!$A:$E,5,0)</f>
        <v>7.44</v>
      </c>
      <c r="H1825" s="381">
        <f>TRUNC(($F1825*$G1825),2)</f>
        <v>7.44</v>
      </c>
      <c r="I1825" s="262"/>
      <c r="J1825" s="262"/>
      <c r="K1825" s="262"/>
      <c r="L1825" s="262"/>
      <c r="M1825" s="262"/>
      <c r="N1825" s="262"/>
      <c r="O1825" s="262"/>
      <c r="P1825" s="262"/>
      <c r="Q1825" s="262"/>
      <c r="R1825" s="262"/>
      <c r="S1825" s="262"/>
      <c r="T1825" s="262"/>
      <c r="U1825" s="262"/>
      <c r="V1825" s="262"/>
      <c r="W1825" s="262"/>
      <c r="X1825" s="262"/>
      <c r="Y1825" s="262"/>
      <c r="Z1825" s="262"/>
      <c r="AA1825" s="262"/>
      <c r="AB1825" s="262"/>
    </row>
    <row r="1826" spans="1:31" ht="12.75">
      <c r="A1826" s="755"/>
      <c r="B1826" s="756"/>
      <c r="C1826" s="416"/>
      <c r="D1826" s="756"/>
      <c r="E1826" s="756"/>
      <c r="F1826" s="417"/>
      <c r="G1826" s="418"/>
      <c r="H1826" s="419"/>
      <c r="I1826" s="262"/>
      <c r="J1826" s="262"/>
      <c r="K1826" s="262"/>
      <c r="L1826" s="262"/>
      <c r="M1826" s="262"/>
      <c r="N1826" s="262"/>
      <c r="O1826" s="262"/>
      <c r="P1826" s="262"/>
      <c r="Q1826" s="262"/>
      <c r="R1826" s="262"/>
      <c r="S1826" s="262"/>
      <c r="T1826" s="262"/>
      <c r="U1826" s="262"/>
      <c r="V1826" s="262"/>
      <c r="W1826" s="262"/>
      <c r="X1826" s="262"/>
      <c r="Y1826" s="262"/>
      <c r="Z1826" s="262"/>
      <c r="AA1826" s="262"/>
      <c r="AB1826" s="262"/>
    </row>
    <row r="1827" spans="1:31" ht="12.75">
      <c r="A1827" s="358" t="s">
        <v>14471</v>
      </c>
      <c r="B1827" s="359" t="s">
        <v>14472</v>
      </c>
      <c r="C1827" s="360" t="s">
        <v>15091</v>
      </c>
      <c r="D1827" s="361" t="s">
        <v>15092</v>
      </c>
      <c r="E1827" s="359" t="s">
        <v>6</v>
      </c>
      <c r="F1827" s="401"/>
      <c r="G1827" s="402"/>
      <c r="H1827" s="363">
        <f>TRUNC(SUM(H1829:H1833),2)</f>
        <v>34.049999999999997</v>
      </c>
      <c r="I1827" s="276">
        <f>COUNTIF($C$8:$C1827,C:C)</f>
        <v>1</v>
      </c>
      <c r="J1827" s="262"/>
      <c r="K1827" s="262"/>
      <c r="L1827" s="262"/>
      <c r="M1827" s="262"/>
      <c r="N1827" s="262"/>
      <c r="O1827" s="262"/>
      <c r="P1827" s="262"/>
      <c r="Q1827" s="262"/>
      <c r="R1827" s="262"/>
      <c r="S1827" s="262"/>
      <c r="T1827" s="262"/>
      <c r="U1827" s="262"/>
      <c r="V1827" s="262"/>
      <c r="W1827" s="262"/>
      <c r="X1827" s="262"/>
      <c r="Y1827" s="262"/>
      <c r="Z1827" s="262"/>
      <c r="AA1827" s="262"/>
      <c r="AB1827" s="262"/>
    </row>
    <row r="1828" spans="1:31" ht="12.75">
      <c r="A1828" s="646" t="s">
        <v>14475</v>
      </c>
      <c r="B1828" s="403" t="s">
        <v>14489</v>
      </c>
      <c r="C1828" s="644" t="s">
        <v>15093</v>
      </c>
      <c r="D1828" s="757" t="s">
        <v>14794</v>
      </c>
      <c r="E1828" s="641"/>
      <c r="F1828" s="369"/>
      <c r="G1828" s="370"/>
      <c r="H1828" s="371"/>
      <c r="I1828" s="262"/>
      <c r="J1828" s="262"/>
      <c r="K1828" s="262"/>
      <c r="L1828" s="262"/>
      <c r="M1828" s="262"/>
      <c r="N1828" s="262"/>
      <c r="O1828" s="262"/>
      <c r="P1828" s="262"/>
      <c r="Q1828" s="262"/>
      <c r="R1828" s="262"/>
      <c r="S1828" s="262"/>
      <c r="T1828" s="262"/>
      <c r="U1828" s="262"/>
      <c r="V1828" s="262"/>
      <c r="W1828" s="262"/>
      <c r="X1828" s="262"/>
      <c r="Y1828" s="262"/>
      <c r="Z1828" s="262"/>
      <c r="AA1828" s="262"/>
      <c r="AB1828" s="262"/>
    </row>
    <row r="1829" spans="1:31" ht="25.5">
      <c r="A1829" s="586" t="s">
        <v>14478</v>
      </c>
      <c r="B1829" s="373" t="s">
        <v>14476</v>
      </c>
      <c r="C1829" s="374">
        <v>88441</v>
      </c>
      <c r="D1829" s="288" t="str">
        <f>IFERROR(VLOOKUP($C1829,'24.08_ND'!$A:$D,2,0),)</f>
        <v>JARDINEIRO COM ENCARGOS COMPLEMENTARES</v>
      </c>
      <c r="E1829" s="289" t="str">
        <f>IFERROR(VLOOKUP($C1829,'24.08_ND'!$A:$D,3,0),)</f>
        <v>H</v>
      </c>
      <c r="F1829" s="441">
        <v>7.0000000000000007E-2</v>
      </c>
      <c r="G1829" s="291">
        <f>IFERROR(VLOOKUP($C1829,'24.08_ND'!$A:$D,4,0),)</f>
        <v>19.23</v>
      </c>
      <c r="H1829" s="292">
        <f>TRUNC(($F1829*$G1829),2)</f>
        <v>1.34</v>
      </c>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D1829" s="1791" t="e">
        <f>VLOOKUP(C1829,'Medição '!$B$16:$F$1833,6,0)</f>
        <v>#N/A</v>
      </c>
      <c r="AE1829" s="1791"/>
    </row>
    <row r="1830" spans="1:31" ht="25.5">
      <c r="A1830" s="586" t="s">
        <v>14478</v>
      </c>
      <c r="B1830" s="373" t="s">
        <v>14476</v>
      </c>
      <c r="C1830" s="374">
        <v>88316</v>
      </c>
      <c r="D1830" s="288" t="str">
        <f>IFERROR(VLOOKUP($C1830,'24.08_ND'!$A:$D,2,0),)</f>
        <v>SERVENTE COM ENCARGOS COMPLEMENTARES</v>
      </c>
      <c r="E1830" s="289" t="str">
        <f>IFERROR(VLOOKUP($C1830,'24.08_ND'!$A:$D,3,0),)</f>
        <v>H</v>
      </c>
      <c r="F1830" s="441">
        <v>0.1</v>
      </c>
      <c r="G1830" s="291">
        <f>IFERROR(VLOOKUP($C1830,'24.08_ND'!$A:$D,4,0),)</f>
        <v>18.510000000000002</v>
      </c>
      <c r="H1830" s="292">
        <f>TRUNC(($F1830*$G1830),2)</f>
        <v>1.85</v>
      </c>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D1830" s="1791" t="e">
        <f>VLOOKUP(C1830,'Medição '!$B$16:$F$1833,6,0)</f>
        <v>#N/A</v>
      </c>
      <c r="AE1830" s="1791"/>
    </row>
    <row r="1831" spans="1:31" ht="12.75">
      <c r="A1831" s="758" t="s">
        <v>14479</v>
      </c>
      <c r="B1831" s="383" t="s">
        <v>14476</v>
      </c>
      <c r="C1831" s="384">
        <v>7253</v>
      </c>
      <c r="D1831" s="296" t="str">
        <f>IFERROR(VLOOKUP($C1831,'24.08_ND'!$A:$D,2,0),)</f>
        <v>TERRA VEGETAL (GRANEL)</v>
      </c>
      <c r="E1831" s="297" t="str">
        <f>IFERROR(VLOOKUP($C1831,'24.08_ND'!$A:$D,3,0),)</f>
        <v>M3</v>
      </c>
      <c r="F1831" s="759">
        <v>3.2000000000000001E-2</v>
      </c>
      <c r="G1831" s="299">
        <f>IFERROR(VLOOKUP($C1831,'24.08_ND'!$A:$D,4,0),)</f>
        <v>130.79</v>
      </c>
      <c r="H1831" s="300">
        <f>TRUNC(($F1831*$G1831),2)</f>
        <v>4.18</v>
      </c>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row>
    <row r="1832" spans="1:31" ht="12.75">
      <c r="A1832" s="758" t="s">
        <v>14479</v>
      </c>
      <c r="B1832" s="383" t="s">
        <v>14476</v>
      </c>
      <c r="C1832" s="384">
        <v>44539</v>
      </c>
      <c r="D1832" s="296" t="str">
        <f>IFERROR(VLOOKUP($C1832,'24.08_ND'!$A:$D,2,0),)</f>
        <v>FERTILIZANTE NPK -  10:10:10</v>
      </c>
      <c r="E1832" s="297" t="str">
        <f>IFERROR(VLOOKUP($C1832,'24.08_ND'!$A:$D,3,0),)</f>
        <v>KG</v>
      </c>
      <c r="F1832" s="759">
        <v>7.3999999999999996E-2</v>
      </c>
      <c r="G1832" s="299">
        <f>IFERROR(VLOOKUP($C1832,'24.08_ND'!$A:$D,4,0),)</f>
        <v>3.03</v>
      </c>
      <c r="H1832" s="300">
        <f>TRUNC(($F1832*$G1832),2)</f>
        <v>0.22</v>
      </c>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row>
    <row r="1833" spans="1:31" ht="12.75">
      <c r="A1833" s="754" t="s">
        <v>14479</v>
      </c>
      <c r="B1833" s="312" t="str">
        <f>VLOOKUP($C1833,'• CIs EXT'!$A:$E,2,0)</f>
        <v>FDE</v>
      </c>
      <c r="C1833" s="591" t="s">
        <v>15094</v>
      </c>
      <c r="D1833" s="378" t="str">
        <f>VLOOKUP($C1833,'• CIs EXT'!$A:$E,3,0)</f>
        <v>ARBUSTO CLÚSIA H=0,50 A 0,70M</v>
      </c>
      <c r="E1833" s="379" t="str">
        <f>VLOOKUP($C1833,'• CIs EXT'!$A:$E,4,0)</f>
        <v>UN</v>
      </c>
      <c r="F1833" s="380">
        <v>1</v>
      </c>
      <c r="G1833" s="379">
        <f>VLOOKUP($C1833,'• CIs EXT'!$A:$E,5,0)</f>
        <v>26.46</v>
      </c>
      <c r="H1833" s="381">
        <f>TRUNC(($F1833*$G1833),2)</f>
        <v>26.46</v>
      </c>
      <c r="I1833" s="262"/>
      <c r="J1833" s="262"/>
      <c r="K1833" s="262"/>
      <c r="L1833" s="262"/>
      <c r="M1833" s="262"/>
      <c r="N1833" s="262"/>
      <c r="O1833" s="262"/>
      <c r="P1833" s="262"/>
      <c r="Q1833" s="262"/>
      <c r="R1833" s="262"/>
      <c r="S1833" s="262"/>
      <c r="T1833" s="262"/>
      <c r="U1833" s="262"/>
      <c r="V1833" s="262"/>
      <c r="W1833" s="262"/>
      <c r="X1833" s="262"/>
      <c r="Y1833" s="262"/>
      <c r="Z1833" s="262"/>
      <c r="AA1833" s="262"/>
      <c r="AB1833" s="262"/>
    </row>
    <row r="1834" spans="1:31" ht="12.75">
      <c r="A1834" s="755"/>
      <c r="B1834" s="756"/>
      <c r="C1834" s="416"/>
      <c r="D1834" s="756"/>
      <c r="E1834" s="756"/>
      <c r="F1834" s="417"/>
      <c r="G1834" s="418"/>
      <c r="H1834" s="419"/>
      <c r="I1834" s="262"/>
      <c r="J1834" s="262"/>
      <c r="K1834" s="262"/>
      <c r="L1834" s="262"/>
      <c r="M1834" s="262"/>
      <c r="N1834" s="262"/>
      <c r="O1834" s="262"/>
      <c r="P1834" s="262"/>
      <c r="Q1834" s="262"/>
      <c r="R1834" s="262"/>
      <c r="S1834" s="262"/>
      <c r="T1834" s="262"/>
      <c r="U1834" s="262"/>
      <c r="V1834" s="262"/>
      <c r="W1834" s="262"/>
      <c r="X1834" s="262"/>
      <c r="Y1834" s="262"/>
      <c r="Z1834" s="262"/>
      <c r="AA1834" s="262"/>
      <c r="AB1834" s="262"/>
    </row>
    <row r="1835" spans="1:31" ht="12.75">
      <c r="A1835" s="358" t="s">
        <v>14471</v>
      </c>
      <c r="B1835" s="359" t="s">
        <v>14472</v>
      </c>
      <c r="C1835" s="360" t="s">
        <v>15095</v>
      </c>
      <c r="D1835" s="361" t="s">
        <v>15096</v>
      </c>
      <c r="E1835" s="359" t="s">
        <v>6</v>
      </c>
      <c r="F1835" s="401"/>
      <c r="G1835" s="402"/>
      <c r="H1835" s="363">
        <f>TRUNC(SUM(H1837:H1841),2)</f>
        <v>22.16</v>
      </c>
      <c r="I1835" s="276">
        <f>COUNTIF($C$8:$C1835,C:C)</f>
        <v>1</v>
      </c>
      <c r="J1835" s="262"/>
      <c r="K1835" s="262"/>
      <c r="L1835" s="262"/>
      <c r="M1835" s="262"/>
      <c r="N1835" s="262"/>
      <c r="O1835" s="262"/>
      <c r="P1835" s="262"/>
      <c r="Q1835" s="262"/>
      <c r="R1835" s="262"/>
      <c r="S1835" s="262"/>
      <c r="T1835" s="262"/>
      <c r="U1835" s="262"/>
      <c r="V1835" s="262"/>
      <c r="W1835" s="262"/>
      <c r="X1835" s="262"/>
      <c r="Y1835" s="262"/>
      <c r="Z1835" s="262"/>
      <c r="AA1835" s="262"/>
      <c r="AB1835" s="262"/>
    </row>
    <row r="1836" spans="1:31" ht="12.75">
      <c r="A1836" s="646" t="s">
        <v>14475</v>
      </c>
      <c r="B1836" s="403" t="s">
        <v>14489</v>
      </c>
      <c r="C1836" s="644" t="s">
        <v>15093</v>
      </c>
      <c r="D1836" s="757" t="s">
        <v>14794</v>
      </c>
      <c r="E1836" s="641"/>
      <c r="F1836" s="369"/>
      <c r="G1836" s="370"/>
      <c r="H1836" s="371"/>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row>
    <row r="1837" spans="1:31" ht="25.5">
      <c r="A1837" s="586" t="s">
        <v>14478</v>
      </c>
      <c r="B1837" s="373" t="s">
        <v>14476</v>
      </c>
      <c r="C1837" s="374">
        <v>88441</v>
      </c>
      <c r="D1837" s="288" t="str">
        <f>IFERROR(VLOOKUP($C1837,'24.08_ND'!$A:$D,2,0),)</f>
        <v>JARDINEIRO COM ENCARGOS COMPLEMENTARES</v>
      </c>
      <c r="E1837" s="289" t="str">
        <f>IFERROR(VLOOKUP($C1837,'24.08_ND'!$A:$D,3,0),)</f>
        <v>H</v>
      </c>
      <c r="F1837" s="441">
        <v>7.0000000000000007E-2</v>
      </c>
      <c r="G1837" s="291">
        <f>IFERROR(VLOOKUP($C1837,'24.08_ND'!$A:$D,4,0),)</f>
        <v>19.23</v>
      </c>
      <c r="H1837" s="292">
        <f>TRUNC(($F1837*$G1837),2)</f>
        <v>1.34</v>
      </c>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D1837" s="1791" t="e">
        <f>VLOOKUP(C1837,'Medição '!$B$16:$F$1833,6,0)</f>
        <v>#N/A</v>
      </c>
      <c r="AE1837" s="1791"/>
    </row>
    <row r="1838" spans="1:31" ht="25.5">
      <c r="A1838" s="586" t="s">
        <v>14478</v>
      </c>
      <c r="B1838" s="373" t="s">
        <v>14476</v>
      </c>
      <c r="C1838" s="374">
        <v>88316</v>
      </c>
      <c r="D1838" s="288" t="str">
        <f>IFERROR(VLOOKUP($C1838,'24.08_ND'!$A:$D,2,0),)</f>
        <v>SERVENTE COM ENCARGOS COMPLEMENTARES</v>
      </c>
      <c r="E1838" s="289" t="str">
        <f>IFERROR(VLOOKUP($C1838,'24.08_ND'!$A:$D,3,0),)</f>
        <v>H</v>
      </c>
      <c r="F1838" s="441">
        <v>0.1</v>
      </c>
      <c r="G1838" s="291">
        <f>IFERROR(VLOOKUP($C1838,'24.08_ND'!$A:$D,4,0),)</f>
        <v>18.510000000000002</v>
      </c>
      <c r="H1838" s="292">
        <f>TRUNC(($F1838*$G1838),2)</f>
        <v>1.85</v>
      </c>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D1838" s="1791" t="e">
        <f>VLOOKUP(C1838,'Medição '!$B$16:$F$1833,6,0)</f>
        <v>#N/A</v>
      </c>
      <c r="AE1838" s="1791"/>
    </row>
    <row r="1839" spans="1:31" ht="12.75">
      <c r="A1839" s="758" t="s">
        <v>14479</v>
      </c>
      <c r="B1839" s="383" t="s">
        <v>14476</v>
      </c>
      <c r="C1839" s="384">
        <v>7253</v>
      </c>
      <c r="D1839" s="296" t="str">
        <f>IFERROR(VLOOKUP($C1839,'24.08_ND'!$A:$D,2,0),)</f>
        <v>TERRA VEGETAL (GRANEL)</v>
      </c>
      <c r="E1839" s="297" t="str">
        <f>IFERROR(VLOOKUP($C1839,'24.08_ND'!$A:$D,3,0),)</f>
        <v>M3</v>
      </c>
      <c r="F1839" s="759">
        <v>3.2000000000000001E-2</v>
      </c>
      <c r="G1839" s="299">
        <f>IFERROR(VLOOKUP($C1839,'24.08_ND'!$A:$D,4,0),)</f>
        <v>130.79</v>
      </c>
      <c r="H1839" s="300">
        <f>TRUNC(($F1839*$G1839),2)</f>
        <v>4.18</v>
      </c>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row>
    <row r="1840" spans="1:31" ht="12.75">
      <c r="A1840" s="758" t="s">
        <v>14479</v>
      </c>
      <c r="B1840" s="383" t="s">
        <v>14476</v>
      </c>
      <c r="C1840" s="384">
        <v>44539</v>
      </c>
      <c r="D1840" s="296" t="str">
        <f>IFERROR(VLOOKUP($C1840,'24.08_ND'!$A:$D,2,0),)</f>
        <v>FERTILIZANTE NPK -  10:10:10</v>
      </c>
      <c r="E1840" s="297" t="str">
        <f>IFERROR(VLOOKUP($C1840,'24.08_ND'!$A:$D,3,0),)</f>
        <v>KG</v>
      </c>
      <c r="F1840" s="759">
        <v>7.3999999999999996E-2</v>
      </c>
      <c r="G1840" s="299">
        <f>IFERROR(VLOOKUP($C1840,'24.08_ND'!$A:$D,4,0),)</f>
        <v>3.03</v>
      </c>
      <c r="H1840" s="300">
        <f>TRUNC(($F1840*$G1840),2)</f>
        <v>0.22</v>
      </c>
      <c r="I1840" s="262"/>
      <c r="J1840" s="262"/>
      <c r="K1840" s="262"/>
      <c r="L1840" s="262"/>
      <c r="M1840" s="262"/>
      <c r="N1840" s="262"/>
      <c r="O1840" s="262"/>
      <c r="P1840" s="262"/>
      <c r="Q1840" s="262"/>
      <c r="R1840" s="262"/>
      <c r="S1840" s="262"/>
      <c r="T1840" s="262"/>
      <c r="U1840" s="262"/>
      <c r="V1840" s="262"/>
      <c r="W1840" s="262"/>
      <c r="X1840" s="262"/>
      <c r="Y1840" s="262"/>
      <c r="Z1840" s="262"/>
      <c r="AA1840" s="262"/>
      <c r="AB1840" s="262"/>
    </row>
    <row r="1841" spans="1:31" ht="12.75">
      <c r="A1841" s="754" t="s">
        <v>14479</v>
      </c>
      <c r="B1841" s="312" t="str">
        <f>VLOOKUP($C1841,'• CIs EXT'!$A:$E,2,0)</f>
        <v>ORSE</v>
      </c>
      <c r="C1841" s="591">
        <v>14483</v>
      </c>
      <c r="D1841" s="378" t="str">
        <f>VLOOKUP($C1841,'• CIs EXT'!$A:$E,3,0)</f>
        <v>PLANTA - DIONELLA (DIANELLA TASMANICA)</v>
      </c>
      <c r="E1841" s="379" t="str">
        <f>VLOOKUP($C1841,'• CIs EXT'!$A:$E,4,0)</f>
        <v>UN</v>
      </c>
      <c r="F1841" s="380">
        <v>1</v>
      </c>
      <c r="G1841" s="379">
        <f>VLOOKUP($C1841,'• CIs EXT'!$A:$E,5,0)</f>
        <v>14.57</v>
      </c>
      <c r="H1841" s="381">
        <f>TRUNC(($F1841*$G1841),2)</f>
        <v>14.57</v>
      </c>
      <c r="I1841" s="262"/>
      <c r="J1841" s="262"/>
      <c r="K1841" s="262"/>
      <c r="L1841" s="262"/>
      <c r="M1841" s="262"/>
      <c r="N1841" s="262"/>
      <c r="O1841" s="262"/>
      <c r="P1841" s="262"/>
      <c r="Q1841" s="262"/>
      <c r="R1841" s="262"/>
      <c r="S1841" s="262"/>
      <c r="T1841" s="262"/>
      <c r="U1841" s="262"/>
      <c r="V1841" s="262"/>
      <c r="W1841" s="262"/>
      <c r="X1841" s="262"/>
      <c r="Y1841" s="262"/>
      <c r="Z1841" s="262"/>
      <c r="AA1841" s="262"/>
      <c r="AB1841" s="262"/>
    </row>
    <row r="1842" spans="1:31" ht="12.75">
      <c r="A1842" s="755"/>
      <c r="B1842" s="756"/>
      <c r="C1842" s="416"/>
      <c r="D1842" s="756"/>
      <c r="E1842" s="756"/>
      <c r="F1842" s="417"/>
      <c r="G1842" s="418"/>
      <c r="H1842" s="419"/>
      <c r="I1842" s="262"/>
      <c r="J1842" s="262"/>
      <c r="K1842" s="262"/>
      <c r="L1842" s="262"/>
      <c r="M1842" s="262"/>
      <c r="N1842" s="262"/>
      <c r="O1842" s="262"/>
      <c r="P1842" s="262"/>
      <c r="Q1842" s="262"/>
      <c r="R1842" s="262"/>
      <c r="S1842" s="262"/>
      <c r="T1842" s="262"/>
      <c r="U1842" s="262"/>
      <c r="V1842" s="262"/>
      <c r="W1842" s="262"/>
      <c r="X1842" s="262"/>
      <c r="Y1842" s="262"/>
      <c r="Z1842" s="262"/>
      <c r="AA1842" s="262"/>
      <c r="AB1842" s="262"/>
    </row>
    <row r="1843" spans="1:31" ht="12.75">
      <c r="A1843" s="358" t="s">
        <v>14471</v>
      </c>
      <c r="B1843" s="359" t="s">
        <v>14472</v>
      </c>
      <c r="C1843" s="360" t="s">
        <v>15097</v>
      </c>
      <c r="D1843" s="361" t="s">
        <v>15098</v>
      </c>
      <c r="E1843" s="359" t="s">
        <v>152</v>
      </c>
      <c r="F1843" s="401"/>
      <c r="G1843" s="402"/>
      <c r="H1843" s="363">
        <f>TRUNC(SUM(H1845:H1846),2)</f>
        <v>160.4</v>
      </c>
      <c r="I1843" s="276">
        <f>COUNTIF($C$8:$C1843,C:C)</f>
        <v>1</v>
      </c>
      <c r="J1843" s="262"/>
      <c r="K1843" s="262"/>
      <c r="L1843" s="262"/>
      <c r="M1843" s="262"/>
      <c r="N1843" s="262"/>
      <c r="O1843" s="262"/>
      <c r="P1843" s="262"/>
      <c r="Q1843" s="262"/>
      <c r="R1843" s="262"/>
      <c r="S1843" s="262"/>
      <c r="T1843" s="262"/>
      <c r="U1843" s="262"/>
      <c r="V1843" s="262"/>
      <c r="W1843" s="262"/>
      <c r="X1843" s="262"/>
      <c r="Y1843" s="262"/>
      <c r="Z1843" s="262"/>
      <c r="AA1843" s="262"/>
      <c r="AB1843" s="262"/>
    </row>
    <row r="1844" spans="1:31" ht="12.75">
      <c r="A1844" s="646" t="s">
        <v>14475</v>
      </c>
      <c r="B1844" s="403" t="s">
        <v>14600</v>
      </c>
      <c r="C1844" s="404">
        <v>2394</v>
      </c>
      <c r="D1844" s="757" t="s">
        <v>14477</v>
      </c>
      <c r="E1844" s="641"/>
      <c r="F1844" s="369"/>
      <c r="G1844" s="370"/>
      <c r="H1844" s="371"/>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row>
    <row r="1845" spans="1:31" ht="25.5">
      <c r="A1845" s="586" t="s">
        <v>14478</v>
      </c>
      <c r="B1845" s="373" t="s">
        <v>14476</v>
      </c>
      <c r="C1845" s="374">
        <v>88316</v>
      </c>
      <c r="D1845" s="288" t="str">
        <f>IFERROR(VLOOKUP($C1845,'24.08_ND'!$A:$D,2,0),)</f>
        <v>SERVENTE COM ENCARGOS COMPLEMENTARES</v>
      </c>
      <c r="E1845" s="289" t="str">
        <f>IFERROR(VLOOKUP($C1845,'24.08_ND'!$A:$D,3,0),)</f>
        <v>H</v>
      </c>
      <c r="F1845" s="441">
        <v>1.6</v>
      </c>
      <c r="G1845" s="291">
        <f>IFERROR(VLOOKUP($C1845,'24.08_ND'!$A:$D,4,0),)</f>
        <v>18.510000000000002</v>
      </c>
      <c r="H1845" s="292">
        <f>TRUNC(($F1845*$G1845),2)</f>
        <v>29.61</v>
      </c>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D1845" s="1791" t="e">
        <f>VLOOKUP(C1845,'Medição '!$B$16:$F$1833,6,0)</f>
        <v>#N/A</v>
      </c>
      <c r="AE1845" s="1791"/>
    </row>
    <row r="1846" spans="1:31" ht="12.75">
      <c r="A1846" s="758" t="s">
        <v>14479</v>
      </c>
      <c r="B1846" s="383" t="s">
        <v>14476</v>
      </c>
      <c r="C1846" s="384">
        <v>7253</v>
      </c>
      <c r="D1846" s="296" t="str">
        <f>IFERROR(VLOOKUP($C1846,'24.08_ND'!$A:$D,2,0),)</f>
        <v>TERRA VEGETAL (GRANEL)</v>
      </c>
      <c r="E1846" s="297" t="str">
        <f>IFERROR(VLOOKUP($C1846,'24.08_ND'!$A:$D,3,0),)</f>
        <v>M3</v>
      </c>
      <c r="F1846" s="759">
        <v>1</v>
      </c>
      <c r="G1846" s="299">
        <f>IFERROR(VLOOKUP($C1846,'24.08_ND'!$A:$D,4,0),)</f>
        <v>130.79</v>
      </c>
      <c r="H1846" s="300">
        <f>TRUNC(($F1846*$G1846),2)</f>
        <v>130.79</v>
      </c>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row>
    <row r="1847" spans="1:31" ht="12.75">
      <c r="A1847" s="755"/>
      <c r="B1847" s="756"/>
      <c r="C1847" s="416"/>
      <c r="D1847" s="756"/>
      <c r="E1847" s="756"/>
      <c r="F1847" s="417"/>
      <c r="G1847" s="418"/>
      <c r="H1847" s="419"/>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row>
    <row r="1848" spans="1:31" ht="12.75">
      <c r="A1848" s="358" t="s">
        <v>14471</v>
      </c>
      <c r="B1848" s="359" t="s">
        <v>14472</v>
      </c>
      <c r="C1848" s="360" t="s">
        <v>15099</v>
      </c>
      <c r="D1848" s="361" t="s">
        <v>15100</v>
      </c>
      <c r="E1848" s="359" t="s">
        <v>6</v>
      </c>
      <c r="F1848" s="401"/>
      <c r="G1848" s="402"/>
      <c r="H1848" s="363">
        <f>TRUNC(SUM(H1850:H1854),2)</f>
        <v>1438.67</v>
      </c>
      <c r="I1848" s="276">
        <f>COUNTIF($C$8:$C1848,C:C)</f>
        <v>1</v>
      </c>
      <c r="J1848" s="262"/>
      <c r="K1848" s="262"/>
      <c r="L1848" s="262"/>
      <c r="M1848" s="262"/>
      <c r="N1848" s="262"/>
      <c r="O1848" s="262"/>
      <c r="P1848" s="262"/>
      <c r="Q1848" s="262"/>
      <c r="R1848" s="262"/>
      <c r="S1848" s="262"/>
      <c r="T1848" s="262"/>
      <c r="U1848" s="262"/>
      <c r="V1848" s="262"/>
      <c r="W1848" s="262"/>
      <c r="X1848" s="262"/>
      <c r="Y1848" s="262"/>
      <c r="Z1848" s="262"/>
      <c r="AA1848" s="262"/>
      <c r="AB1848" s="262"/>
    </row>
    <row r="1849" spans="1:31" ht="12.75">
      <c r="A1849" s="646" t="s">
        <v>14475</v>
      </c>
      <c r="B1849" s="403" t="s">
        <v>14476</v>
      </c>
      <c r="C1849" s="404">
        <v>98516</v>
      </c>
      <c r="D1849" s="367" t="s">
        <v>14587</v>
      </c>
      <c r="E1849" s="641"/>
      <c r="F1849" s="369"/>
      <c r="G1849" s="370"/>
      <c r="H1849" s="371"/>
      <c r="I1849" s="262"/>
      <c r="J1849" s="262"/>
      <c r="K1849" s="262"/>
      <c r="L1849" s="262"/>
      <c r="M1849" s="262"/>
      <c r="N1849" s="262"/>
      <c r="O1849" s="262"/>
      <c r="P1849" s="262"/>
      <c r="Q1849" s="262"/>
      <c r="R1849" s="262"/>
      <c r="S1849" s="262"/>
      <c r="T1849" s="262"/>
      <c r="U1849" s="262"/>
      <c r="V1849" s="262"/>
      <c r="W1849" s="262"/>
      <c r="X1849" s="262"/>
      <c r="Y1849" s="262"/>
      <c r="Z1849" s="262"/>
      <c r="AA1849" s="262"/>
      <c r="AB1849" s="262"/>
    </row>
    <row r="1850" spans="1:31" ht="25.5">
      <c r="A1850" s="586" t="s">
        <v>14478</v>
      </c>
      <c r="B1850" s="373" t="s">
        <v>14476</v>
      </c>
      <c r="C1850" s="374">
        <v>88441</v>
      </c>
      <c r="D1850" s="288" t="str">
        <f>IFERROR(VLOOKUP($C1850,'24.08_ND'!$A:$D,2,0),)</f>
        <v>JARDINEIRO COM ENCARGOS COMPLEMENTARES</v>
      </c>
      <c r="E1850" s="289" t="str">
        <f>IFERROR(VLOOKUP($C1850,'24.08_ND'!$A:$D,3,0),)</f>
        <v>H</v>
      </c>
      <c r="F1850" s="441">
        <v>0.48799999999999999</v>
      </c>
      <c r="G1850" s="291">
        <f>IFERROR(VLOOKUP($C1850,'24.08_ND'!$A:$D,4,0),)</f>
        <v>19.23</v>
      </c>
      <c r="H1850" s="292">
        <f>TRUNC(($F1850*$G1850),2)</f>
        <v>9.3800000000000008</v>
      </c>
      <c r="I1850" s="262"/>
      <c r="J1850" s="262"/>
      <c r="K1850" s="262"/>
      <c r="L1850" s="262"/>
      <c r="M1850" s="262"/>
      <c r="N1850" s="262"/>
      <c r="O1850" s="262"/>
      <c r="P1850" s="262"/>
      <c r="Q1850" s="262"/>
      <c r="R1850" s="262"/>
      <c r="S1850" s="262"/>
      <c r="T1850" s="262"/>
      <c r="U1850" s="262"/>
      <c r="V1850" s="262"/>
      <c r="W1850" s="262"/>
      <c r="X1850" s="262"/>
      <c r="Y1850" s="262"/>
      <c r="Z1850" s="262"/>
      <c r="AA1850" s="262"/>
      <c r="AB1850" s="262"/>
      <c r="AD1850" s="1791" t="e">
        <f>VLOOKUP(C1850,'Medição '!$B$16:$F$1833,6,0)</f>
        <v>#N/A</v>
      </c>
      <c r="AE1850" s="1791"/>
    </row>
    <row r="1851" spans="1:31" ht="25.5">
      <c r="A1851" s="586" t="s">
        <v>14478</v>
      </c>
      <c r="B1851" s="373" t="s">
        <v>14476</v>
      </c>
      <c r="C1851" s="374">
        <v>88316</v>
      </c>
      <c r="D1851" s="288" t="str">
        <f>IFERROR(VLOOKUP($C1851,'24.08_ND'!$A:$D,2,0),)</f>
        <v>SERVENTE COM ENCARGOS COMPLEMENTARES</v>
      </c>
      <c r="E1851" s="289" t="str">
        <f>IFERROR(VLOOKUP($C1851,'24.08_ND'!$A:$D,3,0),)</f>
        <v>H</v>
      </c>
      <c r="F1851" s="441">
        <v>1.8338999999999999</v>
      </c>
      <c r="G1851" s="291">
        <f>IFERROR(VLOOKUP($C1851,'24.08_ND'!$A:$D,4,0),)</f>
        <v>18.510000000000002</v>
      </c>
      <c r="H1851" s="292">
        <f>TRUNC(($F1851*$G1851),2)</f>
        <v>33.94</v>
      </c>
      <c r="I1851" s="262"/>
      <c r="J1851" s="262"/>
      <c r="K1851" s="262"/>
      <c r="L1851" s="262"/>
      <c r="M1851" s="262"/>
      <c r="N1851" s="262"/>
      <c r="O1851" s="262"/>
      <c r="P1851" s="262"/>
      <c r="Q1851" s="262"/>
      <c r="R1851" s="262"/>
      <c r="S1851" s="262"/>
      <c r="T1851" s="262"/>
      <c r="U1851" s="262"/>
      <c r="V1851" s="262"/>
      <c r="W1851" s="262"/>
      <c r="X1851" s="262"/>
      <c r="Y1851" s="262"/>
      <c r="Z1851" s="262"/>
      <c r="AA1851" s="262"/>
      <c r="AB1851" s="262"/>
      <c r="AD1851" s="1791" t="e">
        <f>VLOOKUP(C1851,'Medição '!$B$16:$F$1833,6,0)</f>
        <v>#N/A</v>
      </c>
      <c r="AE1851" s="1791"/>
    </row>
    <row r="1852" spans="1:31" ht="12.75">
      <c r="A1852" s="758" t="s">
        <v>14479</v>
      </c>
      <c r="B1852" s="383" t="s">
        <v>14476</v>
      </c>
      <c r="C1852" s="384">
        <v>7253</v>
      </c>
      <c r="D1852" s="296" t="str">
        <f>IFERROR(VLOOKUP($C1852,'24.08_ND'!$A:$D,2,0),)</f>
        <v>TERRA VEGETAL (GRANEL)</v>
      </c>
      <c r="E1852" s="297" t="str">
        <f>IFERROR(VLOOKUP($C1852,'24.08_ND'!$A:$D,3,0),)</f>
        <v>M3</v>
      </c>
      <c r="F1852" s="759">
        <f>0.6*0.6*0.6</f>
        <v>0.216</v>
      </c>
      <c r="G1852" s="299">
        <f>IFERROR(VLOOKUP($C1852,'24.08_ND'!$A:$D,4,0),)</f>
        <v>130.79</v>
      </c>
      <c r="H1852" s="300">
        <f>TRUNC(($F1852*$G1852),2)</f>
        <v>28.25</v>
      </c>
      <c r="I1852" s="262"/>
      <c r="J1852" s="262"/>
      <c r="K1852" s="262"/>
      <c r="L1852" s="262"/>
      <c r="M1852" s="262"/>
      <c r="N1852" s="262"/>
      <c r="O1852" s="262"/>
      <c r="P1852" s="262"/>
      <c r="Q1852" s="262"/>
      <c r="R1852" s="262"/>
      <c r="S1852" s="262"/>
      <c r="T1852" s="262"/>
      <c r="U1852" s="262"/>
      <c r="V1852" s="262"/>
      <c r="W1852" s="262"/>
      <c r="X1852" s="262"/>
      <c r="Y1852" s="262"/>
      <c r="Z1852" s="262"/>
      <c r="AA1852" s="262"/>
      <c r="AB1852" s="262"/>
    </row>
    <row r="1853" spans="1:31" ht="12.75">
      <c r="A1853" s="758" t="s">
        <v>14479</v>
      </c>
      <c r="B1853" s="383" t="s">
        <v>14476</v>
      </c>
      <c r="C1853" s="384">
        <v>44539</v>
      </c>
      <c r="D1853" s="296" t="str">
        <f>IFERROR(VLOOKUP($C1853,'24.08_ND'!$A:$D,2,0),)</f>
        <v>FERTILIZANTE NPK -  10:10:10</v>
      </c>
      <c r="E1853" s="297" t="str">
        <f>IFERROR(VLOOKUP($C1853,'24.08_ND'!$A:$D,3,0),)</f>
        <v>KG</v>
      </c>
      <c r="F1853" s="759">
        <f>200/1000</f>
        <v>0.2</v>
      </c>
      <c r="G1853" s="299">
        <f>IFERROR(VLOOKUP($C1853,'24.08_ND'!$A:$D,4,0),)</f>
        <v>3.03</v>
      </c>
      <c r="H1853" s="300">
        <f>TRUNC(($F1853*$G1853),2)</f>
        <v>0.6</v>
      </c>
      <c r="I1853" s="262"/>
      <c r="J1853" s="262"/>
      <c r="K1853" s="262"/>
      <c r="L1853" s="262"/>
      <c r="M1853" s="262"/>
      <c r="N1853" s="262"/>
      <c r="O1853" s="262"/>
      <c r="P1853" s="262"/>
      <c r="Q1853" s="262"/>
      <c r="R1853" s="262"/>
      <c r="S1853" s="262"/>
      <c r="T1853" s="262"/>
      <c r="U1853" s="262"/>
      <c r="V1853" s="262"/>
      <c r="W1853" s="262"/>
      <c r="X1853" s="262"/>
      <c r="Y1853" s="262"/>
      <c r="Z1853" s="262"/>
      <c r="AA1853" s="262"/>
      <c r="AB1853" s="262"/>
    </row>
    <row r="1854" spans="1:31" ht="12.75">
      <c r="A1854" s="760" t="s">
        <v>14479</v>
      </c>
      <c r="B1854" s="761" t="s">
        <v>14491</v>
      </c>
      <c r="C1854" s="762" t="s">
        <v>15101</v>
      </c>
      <c r="D1854" s="601" t="str">
        <f>VLOOKUP($C1854,'09 - MC'!$A:$F,2,0)</f>
        <v>PALMEIRA FÊNIX DUPLA ATÉ 1,5 M</v>
      </c>
      <c r="E1854" s="602" t="str">
        <f>VLOOKUP($C1854,'09 - MC'!$A:$F,3,0)</f>
        <v>UN</v>
      </c>
      <c r="F1854" s="603">
        <v>1</v>
      </c>
      <c r="G1854" s="604">
        <f>VLOOKUP($C1854,'09 - MC'!$A:$F,6,0)</f>
        <v>1366.5</v>
      </c>
      <c r="H1854" s="605">
        <f>TRUNC(G1854*F1854,2)</f>
        <v>1366.5</v>
      </c>
      <c r="I1854" s="262"/>
      <c r="J1854" s="262"/>
      <c r="K1854" s="262"/>
      <c r="L1854" s="262"/>
      <c r="M1854" s="262"/>
      <c r="N1854" s="262"/>
      <c r="O1854" s="262"/>
      <c r="P1854" s="262"/>
      <c r="Q1854" s="262"/>
      <c r="R1854" s="262"/>
      <c r="S1854" s="262"/>
      <c r="T1854" s="262"/>
      <c r="U1854" s="262"/>
      <c r="V1854" s="262"/>
      <c r="W1854" s="262"/>
      <c r="X1854" s="262"/>
      <c r="Y1854" s="262"/>
      <c r="Z1854" s="262"/>
      <c r="AA1854" s="262"/>
      <c r="AB1854" s="262"/>
    </row>
    <row r="1855" spans="1:31" ht="12.75">
      <c r="A1855" s="755"/>
      <c r="B1855" s="756"/>
      <c r="C1855" s="416"/>
      <c r="D1855" s="756"/>
      <c r="E1855" s="756"/>
      <c r="F1855" s="417"/>
      <c r="G1855" s="418"/>
      <c r="H1855" s="419"/>
      <c r="I1855" s="262"/>
      <c r="J1855" s="262"/>
      <c r="K1855" s="262"/>
      <c r="L1855" s="262"/>
      <c r="M1855" s="262"/>
      <c r="N1855" s="262"/>
      <c r="O1855" s="262"/>
      <c r="P1855" s="262"/>
      <c r="Q1855" s="262"/>
      <c r="R1855" s="262"/>
      <c r="S1855" s="262"/>
      <c r="T1855" s="262"/>
      <c r="U1855" s="262"/>
      <c r="V1855" s="262"/>
      <c r="W1855" s="262"/>
      <c r="X1855" s="262"/>
      <c r="Y1855" s="262"/>
      <c r="Z1855" s="262"/>
      <c r="AA1855" s="262"/>
      <c r="AB1855" s="262"/>
    </row>
    <row r="1856" spans="1:31" ht="12.75">
      <c r="A1856" s="358" t="s">
        <v>14471</v>
      </c>
      <c r="B1856" s="359" t="s">
        <v>14472</v>
      </c>
      <c r="C1856" s="360" t="s">
        <v>15102</v>
      </c>
      <c r="D1856" s="361" t="s">
        <v>15103</v>
      </c>
      <c r="E1856" s="359" t="s">
        <v>6</v>
      </c>
      <c r="F1856" s="401"/>
      <c r="G1856" s="402"/>
      <c r="H1856" s="363">
        <f>TRUNC(SUM(H1858:H1862),2)</f>
        <v>438.29</v>
      </c>
      <c r="I1856" s="276">
        <f>COUNTIF($C$8:$C1856,C:C)</f>
        <v>1</v>
      </c>
      <c r="J1856" s="262"/>
      <c r="K1856" s="262"/>
      <c r="L1856" s="262"/>
      <c r="M1856" s="262"/>
      <c r="N1856" s="262"/>
      <c r="O1856" s="262"/>
      <c r="P1856" s="262"/>
      <c r="Q1856" s="262"/>
      <c r="R1856" s="262"/>
      <c r="S1856" s="262"/>
      <c r="T1856" s="262"/>
      <c r="U1856" s="262"/>
      <c r="V1856" s="262"/>
      <c r="W1856" s="262"/>
      <c r="X1856" s="262"/>
      <c r="Y1856" s="262"/>
      <c r="Z1856" s="262"/>
      <c r="AA1856" s="262"/>
      <c r="AB1856" s="262"/>
    </row>
    <row r="1857" spans="1:31" ht="12.75">
      <c r="A1857" s="646" t="s">
        <v>14475</v>
      </c>
      <c r="B1857" s="403" t="s">
        <v>14476</v>
      </c>
      <c r="C1857" s="404">
        <v>98516</v>
      </c>
      <c r="D1857" s="367" t="s">
        <v>14587</v>
      </c>
      <c r="E1857" s="641"/>
      <c r="F1857" s="369"/>
      <c r="G1857" s="370"/>
      <c r="H1857" s="371"/>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row>
    <row r="1858" spans="1:31" ht="25.5">
      <c r="A1858" s="586" t="s">
        <v>14478</v>
      </c>
      <c r="B1858" s="373" t="s">
        <v>14476</v>
      </c>
      <c r="C1858" s="374">
        <v>88441</v>
      </c>
      <c r="D1858" s="288" t="str">
        <f>IFERROR(VLOOKUP($C1858,'24.08_ND'!$A:$D,2,0),)</f>
        <v>JARDINEIRO COM ENCARGOS COMPLEMENTARES</v>
      </c>
      <c r="E1858" s="289" t="str">
        <f>IFERROR(VLOOKUP($C1858,'24.08_ND'!$A:$D,3,0),)</f>
        <v>H</v>
      </c>
      <c r="F1858" s="441">
        <v>0.61129999999999995</v>
      </c>
      <c r="G1858" s="291">
        <f>IFERROR(VLOOKUP($C1858,'24.08_ND'!$A:$D,4,0),)</f>
        <v>19.23</v>
      </c>
      <c r="H1858" s="292">
        <f>TRUNC(($F1858*$G1858),2)</f>
        <v>11.75</v>
      </c>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D1858" s="1791" t="e">
        <f>VLOOKUP(C1858,'Medição '!$B$16:$F$1833,6,0)</f>
        <v>#N/A</v>
      </c>
      <c r="AE1858" s="1791"/>
    </row>
    <row r="1859" spans="1:31" ht="25.5">
      <c r="A1859" s="586" t="s">
        <v>14478</v>
      </c>
      <c r="B1859" s="373" t="s">
        <v>14476</v>
      </c>
      <c r="C1859" s="374">
        <v>88316</v>
      </c>
      <c r="D1859" s="288" t="str">
        <f>IFERROR(VLOOKUP($C1859,'24.08_ND'!$A:$D,2,0),)</f>
        <v>SERVENTE COM ENCARGOS COMPLEMENTARES</v>
      </c>
      <c r="E1859" s="289" t="str">
        <f>IFERROR(VLOOKUP($C1859,'24.08_ND'!$A:$D,3,0),)</f>
        <v>H</v>
      </c>
      <c r="F1859" s="441">
        <v>2.16</v>
      </c>
      <c r="G1859" s="291">
        <f>IFERROR(VLOOKUP($C1859,'24.08_ND'!$A:$D,4,0),)</f>
        <v>18.510000000000002</v>
      </c>
      <c r="H1859" s="292">
        <f>TRUNC(($F1859*$G1859),2)</f>
        <v>39.979999999999997</v>
      </c>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D1859" s="1791" t="e">
        <f>VLOOKUP(C1859,'Medição '!$B$16:$F$1833,6,0)</f>
        <v>#N/A</v>
      </c>
      <c r="AE1859" s="1791"/>
    </row>
    <row r="1860" spans="1:31" ht="12.75">
      <c r="A1860" s="758" t="s">
        <v>14479</v>
      </c>
      <c r="B1860" s="383" t="s">
        <v>14476</v>
      </c>
      <c r="C1860" s="384">
        <v>7253</v>
      </c>
      <c r="D1860" s="296" t="str">
        <f>IFERROR(VLOOKUP($C1860,'24.08_ND'!$A:$D,2,0),)</f>
        <v>TERRA VEGETAL (GRANEL)</v>
      </c>
      <c r="E1860" s="297" t="str">
        <f>IFERROR(VLOOKUP($C1860,'24.08_ND'!$A:$D,3,0),)</f>
        <v>M3</v>
      </c>
      <c r="F1860" s="759">
        <f>0.8*0.8*0.8</f>
        <v>0.51200000000000012</v>
      </c>
      <c r="G1860" s="299">
        <f>IFERROR(VLOOKUP($C1860,'24.08_ND'!$A:$D,4,0),)</f>
        <v>130.79</v>
      </c>
      <c r="H1860" s="300">
        <f>TRUNC(($F1860*$G1860),2)</f>
        <v>66.959999999999994</v>
      </c>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row>
    <row r="1861" spans="1:31" ht="12.75">
      <c r="A1861" s="758" t="s">
        <v>14479</v>
      </c>
      <c r="B1861" s="383" t="s">
        <v>14476</v>
      </c>
      <c r="C1861" s="384">
        <v>44539</v>
      </c>
      <c r="D1861" s="296" t="str">
        <f>IFERROR(VLOOKUP($C1861,'24.08_ND'!$A:$D,2,0),)</f>
        <v>FERTILIZANTE NPK -  10:10:10</v>
      </c>
      <c r="E1861" s="297" t="str">
        <f>IFERROR(VLOOKUP($C1861,'24.08_ND'!$A:$D,3,0),)</f>
        <v>KG</v>
      </c>
      <c r="F1861" s="759">
        <f>250/1000</f>
        <v>0.25</v>
      </c>
      <c r="G1861" s="299">
        <f>IFERROR(VLOOKUP($C1861,'24.08_ND'!$A:$D,4,0),)</f>
        <v>3.03</v>
      </c>
      <c r="H1861" s="300">
        <f>TRUNC(($F1861*$G1861),2)</f>
        <v>0.75</v>
      </c>
      <c r="I1861" s="262"/>
      <c r="J1861" s="262"/>
      <c r="K1861" s="262"/>
      <c r="L1861" s="262"/>
      <c r="M1861" s="262"/>
      <c r="N1861" s="262"/>
      <c r="O1861" s="262"/>
      <c r="P1861" s="262"/>
      <c r="Q1861" s="262"/>
      <c r="R1861" s="262"/>
      <c r="S1861" s="262"/>
      <c r="T1861" s="262"/>
      <c r="U1861" s="262"/>
      <c r="V1861" s="262"/>
      <c r="W1861" s="262"/>
      <c r="X1861" s="262"/>
      <c r="Y1861" s="262"/>
      <c r="Z1861" s="262"/>
      <c r="AA1861" s="262"/>
      <c r="AB1861" s="262"/>
    </row>
    <row r="1862" spans="1:31" ht="12.75">
      <c r="A1862" s="760" t="s">
        <v>14479</v>
      </c>
      <c r="B1862" s="761" t="s">
        <v>14491</v>
      </c>
      <c r="C1862" s="762" t="s">
        <v>15104</v>
      </c>
      <c r="D1862" s="601" t="str">
        <f>VLOOKUP($C1862,'09 - MC'!$A:$F,2,0)</f>
        <v>PALMEIRA CARPENTÁRIA 1,5 A 2,5 M</v>
      </c>
      <c r="E1862" s="602" t="str">
        <f>VLOOKUP($C1862,'09 - MC'!$A:$F,3,0)</f>
        <v>UN</v>
      </c>
      <c r="F1862" s="603">
        <v>1</v>
      </c>
      <c r="G1862" s="604">
        <f>VLOOKUP($C1862,'09 - MC'!$A:$F,6,0)</f>
        <v>318.85000000000002</v>
      </c>
      <c r="H1862" s="605">
        <f>TRUNC(G1862*F1862,2)</f>
        <v>318.85000000000002</v>
      </c>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row>
    <row r="1863" spans="1:31" ht="12.75">
      <c r="A1863" s="755"/>
      <c r="B1863" s="756"/>
      <c r="C1863" s="416"/>
      <c r="D1863" s="756"/>
      <c r="E1863" s="756"/>
      <c r="F1863" s="417"/>
      <c r="G1863" s="418"/>
      <c r="H1863" s="419"/>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row>
    <row r="1864" spans="1:31" ht="12.75">
      <c r="A1864" s="358" t="s">
        <v>14471</v>
      </c>
      <c r="B1864" s="359" t="s">
        <v>14472</v>
      </c>
      <c r="C1864" s="360" t="s">
        <v>15105</v>
      </c>
      <c r="D1864" s="361" t="s">
        <v>15106</v>
      </c>
      <c r="E1864" s="359" t="s">
        <v>6</v>
      </c>
      <c r="F1864" s="401"/>
      <c r="G1864" s="402"/>
      <c r="H1864" s="363">
        <f>TRUNC(SUM(H1866:H1872),2)</f>
        <v>6729.87</v>
      </c>
      <c r="I1864" s="276">
        <f>COUNTIF($C$8:$C1864,C:C)</f>
        <v>1</v>
      </c>
      <c r="J1864" s="262"/>
      <c r="K1864" s="262"/>
      <c r="L1864" s="262"/>
      <c r="M1864" s="262"/>
      <c r="N1864" s="262"/>
      <c r="O1864" s="262"/>
      <c r="P1864" s="262"/>
      <c r="Q1864" s="262"/>
      <c r="R1864" s="262"/>
      <c r="S1864" s="262"/>
      <c r="T1864" s="262"/>
      <c r="U1864" s="262"/>
      <c r="V1864" s="262"/>
      <c r="W1864" s="262"/>
      <c r="X1864" s="262"/>
      <c r="Y1864" s="262"/>
      <c r="Z1864" s="262"/>
      <c r="AA1864" s="262"/>
      <c r="AB1864" s="262"/>
    </row>
    <row r="1865" spans="1:31" ht="12.75">
      <c r="A1865" s="646" t="s">
        <v>14475</v>
      </c>
      <c r="B1865" s="403" t="s">
        <v>14476</v>
      </c>
      <c r="C1865" s="404">
        <v>98516</v>
      </c>
      <c r="D1865" s="367" t="s">
        <v>14587</v>
      </c>
      <c r="E1865" s="641"/>
      <c r="F1865" s="369"/>
      <c r="G1865" s="370"/>
      <c r="H1865" s="371"/>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row>
    <row r="1866" spans="1:31" ht="25.5">
      <c r="A1866" s="586" t="s">
        <v>14478</v>
      </c>
      <c r="B1866" s="373" t="s">
        <v>14476</v>
      </c>
      <c r="C1866" s="374">
        <v>88441</v>
      </c>
      <c r="D1866" s="288" t="str">
        <f>IFERROR(VLOOKUP($C1866,'24.08_ND'!$A:$D,2,0),)</f>
        <v>JARDINEIRO COM ENCARGOS COMPLEMENTARES</v>
      </c>
      <c r="E1866" s="289" t="str">
        <f>IFERROR(VLOOKUP($C1866,'24.08_ND'!$A:$D,3,0),)</f>
        <v>H</v>
      </c>
      <c r="F1866" s="441">
        <v>0.72</v>
      </c>
      <c r="G1866" s="291">
        <f>IFERROR(VLOOKUP($C1866,'24.08_ND'!$A:$D,4,0),)</f>
        <v>19.23</v>
      </c>
      <c r="H1866" s="292">
        <f t="shared" ref="H1866:H1871" si="74">TRUNC(($F1866*$G1866),2)</f>
        <v>13.84</v>
      </c>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D1866" s="1791" t="e">
        <f>VLOOKUP(C1866,'Medição '!$B$16:$F$1833,6,0)</f>
        <v>#N/A</v>
      </c>
      <c r="AE1866" s="1791"/>
    </row>
    <row r="1867" spans="1:31" ht="25.5">
      <c r="A1867" s="586" t="s">
        <v>14478</v>
      </c>
      <c r="B1867" s="373" t="s">
        <v>14476</v>
      </c>
      <c r="C1867" s="374">
        <v>88316</v>
      </c>
      <c r="D1867" s="288" t="str">
        <f>IFERROR(VLOOKUP($C1867,'24.08_ND'!$A:$D,2,0),)</f>
        <v>SERVENTE COM ENCARGOS COMPLEMENTARES</v>
      </c>
      <c r="E1867" s="289" t="str">
        <f>IFERROR(VLOOKUP($C1867,'24.08_ND'!$A:$D,3,0),)</f>
        <v>H</v>
      </c>
      <c r="F1867" s="441">
        <v>3.0567000000000002</v>
      </c>
      <c r="G1867" s="291">
        <f>IFERROR(VLOOKUP($C1867,'24.08_ND'!$A:$D,4,0),)</f>
        <v>18.510000000000002</v>
      </c>
      <c r="H1867" s="292">
        <f t="shared" si="74"/>
        <v>56.57</v>
      </c>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D1867" s="1791" t="e">
        <f>VLOOKUP(C1867,'Medição '!$B$16:$F$1833,6,0)</f>
        <v>#N/A</v>
      </c>
      <c r="AE1867" s="1791"/>
    </row>
    <row r="1868" spans="1:31" ht="38.25">
      <c r="A1868" s="586" t="s">
        <v>14478</v>
      </c>
      <c r="B1868" s="373" t="s">
        <v>14476</v>
      </c>
      <c r="C1868" s="374">
        <v>91635</v>
      </c>
      <c r="D1868" s="288" t="str">
        <f>IFERROR(VLOOKUP($C1868,'24.08_ND'!$A:$D,2,0),)</f>
        <v>GUINDAUTO HIDRÁULICO, CAPACIDADE MÁXIMA DE CARGA 6500 KG, MOMENTO MÁXIMO DE CARGA 5,8 TM, ALCANCE MÁXIMO HORIZONTAL 7,60 M, INCLUSIVE CAMINHÃO TOCO PBT 9.700 KG, POTÊNCIA DE 160 CV - CHI DIURNO. AF_08/2015</v>
      </c>
      <c r="E1868" s="289" t="str">
        <f>IFERROR(VLOOKUP($C1868,'24.08_ND'!$A:$D,3,0),)</f>
        <v>CHI</v>
      </c>
      <c r="F1868" s="441">
        <v>0.87809999999999999</v>
      </c>
      <c r="G1868" s="291">
        <f>IFERROR(VLOOKUP($C1868,'24.08_ND'!$A:$D,4,0),)</f>
        <v>61.02</v>
      </c>
      <c r="H1868" s="292">
        <f t="shared" si="74"/>
        <v>53.58</v>
      </c>
      <c r="I1868" s="262"/>
      <c r="J1868" s="262"/>
      <c r="K1868" s="262"/>
      <c r="L1868" s="262"/>
      <c r="M1868" s="262"/>
      <c r="N1868" s="262"/>
      <c r="O1868" s="262"/>
      <c r="P1868" s="262"/>
      <c r="Q1868" s="262"/>
      <c r="R1868" s="262"/>
      <c r="S1868" s="262"/>
      <c r="T1868" s="262"/>
      <c r="U1868" s="262"/>
      <c r="V1868" s="262"/>
      <c r="W1868" s="262"/>
      <c r="X1868" s="262"/>
      <c r="Y1868" s="262"/>
      <c r="Z1868" s="262"/>
      <c r="AA1868" s="262"/>
      <c r="AB1868" s="262"/>
      <c r="AD1868" s="1791" t="e">
        <f>VLOOKUP(C1868,'Medição '!$B$16:$F$1833,6,0)</f>
        <v>#N/A</v>
      </c>
      <c r="AE1868" s="1791"/>
    </row>
    <row r="1869" spans="1:31" ht="38.25">
      <c r="A1869" s="586" t="s">
        <v>14478</v>
      </c>
      <c r="B1869" s="373" t="s">
        <v>14476</v>
      </c>
      <c r="C1869" s="374">
        <v>91634</v>
      </c>
      <c r="D1869" s="288" t="str">
        <f>IFERROR(VLOOKUP($C1869,'24.08_ND'!$A:$D,2,0),)</f>
        <v>GUINDAUTO HIDRÁULICO, CAPACIDADE MÁXIMA DE CARGA 6500 KG, MOMENTO MÁXIMO DE CARGA 5,8 TM, ALCANCE MÁXIMO HORIZONTAL 7,60 M, INCLUSIVE CAMINHÃO TOCO PBT 9.700 KG, POTÊNCIA DE 160 CV - CHP DIURNO. AF_08/2015</v>
      </c>
      <c r="E1869" s="289" t="str">
        <f>IFERROR(VLOOKUP($C1869,'24.08_ND'!$A:$D,3,0),)</f>
        <v>CHP</v>
      </c>
      <c r="F1869" s="441">
        <v>0.24740000000000001</v>
      </c>
      <c r="G1869" s="291">
        <f>IFERROR(VLOOKUP($C1869,'24.08_ND'!$A:$D,4,0),)</f>
        <v>217.22</v>
      </c>
      <c r="H1869" s="292">
        <f t="shared" si="74"/>
        <v>53.74</v>
      </c>
      <c r="I1869" s="262"/>
      <c r="J1869" s="262"/>
      <c r="K1869" s="262"/>
      <c r="L1869" s="262"/>
      <c r="M1869" s="262"/>
      <c r="N1869" s="262"/>
      <c r="O1869" s="262"/>
      <c r="P1869" s="262"/>
      <c r="Q1869" s="262"/>
      <c r="R1869" s="262"/>
      <c r="S1869" s="262"/>
      <c r="T1869" s="262"/>
      <c r="U1869" s="262"/>
      <c r="V1869" s="262"/>
      <c r="W1869" s="262"/>
      <c r="X1869" s="262"/>
      <c r="Y1869" s="262"/>
      <c r="Z1869" s="262"/>
      <c r="AA1869" s="262"/>
      <c r="AB1869" s="262"/>
      <c r="AD1869" s="1791" t="e">
        <f>VLOOKUP(C1869,'Medição '!$B$16:$F$1833,6,0)</f>
        <v>#N/A</v>
      </c>
      <c r="AE1869" s="1791"/>
    </row>
    <row r="1870" spans="1:31" ht="12.75">
      <c r="A1870" s="758" t="s">
        <v>14479</v>
      </c>
      <c r="B1870" s="383" t="s">
        <v>14476</v>
      </c>
      <c r="C1870" s="384">
        <v>7253</v>
      </c>
      <c r="D1870" s="296" t="str">
        <f>IFERROR(VLOOKUP($C1870,'24.08_ND'!$A:$D,2,0),)</f>
        <v>TERRA VEGETAL (GRANEL)</v>
      </c>
      <c r="E1870" s="297" t="str">
        <f>IFERROR(VLOOKUP($C1870,'24.08_ND'!$A:$D,3,0),)</f>
        <v>M3</v>
      </c>
      <c r="F1870" s="759">
        <f>1.1*1.1*1.1</f>
        <v>1.3310000000000004</v>
      </c>
      <c r="G1870" s="299">
        <f>IFERROR(VLOOKUP($C1870,'24.08_ND'!$A:$D,4,0),)</f>
        <v>130.79</v>
      </c>
      <c r="H1870" s="300">
        <f t="shared" si="74"/>
        <v>174.08</v>
      </c>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row>
    <row r="1871" spans="1:31" ht="12.75">
      <c r="A1871" s="758" t="s">
        <v>14479</v>
      </c>
      <c r="B1871" s="383" t="s">
        <v>14476</v>
      </c>
      <c r="C1871" s="384">
        <v>44539</v>
      </c>
      <c r="D1871" s="296" t="str">
        <f>IFERROR(VLOOKUP($C1871,'24.08_ND'!$A:$D,2,0),)</f>
        <v>FERTILIZANTE NPK -  10:10:10</v>
      </c>
      <c r="E1871" s="297" t="str">
        <f>IFERROR(VLOOKUP($C1871,'24.08_ND'!$A:$D,3,0),)</f>
        <v>KG</v>
      </c>
      <c r="F1871" s="759">
        <f>350/1000</f>
        <v>0.35</v>
      </c>
      <c r="G1871" s="299">
        <f>IFERROR(VLOOKUP($C1871,'24.08_ND'!$A:$D,4,0),)</f>
        <v>3.03</v>
      </c>
      <c r="H1871" s="300">
        <f t="shared" si="74"/>
        <v>1.06</v>
      </c>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row>
    <row r="1872" spans="1:31" ht="12.75">
      <c r="A1872" s="760" t="s">
        <v>14479</v>
      </c>
      <c r="B1872" s="761" t="s">
        <v>14491</v>
      </c>
      <c r="C1872" s="762" t="s">
        <v>15107</v>
      </c>
      <c r="D1872" s="601" t="str">
        <f>VLOOKUP($C1872,'09 - MC'!$A:$F,2,0)</f>
        <v>PALMEIRA TAMAREIRA 2,5 a 3,5 M</v>
      </c>
      <c r="E1872" s="602" t="str">
        <f>VLOOKUP($C1872,'09 - MC'!$A:$F,3,0)</f>
        <v>UN</v>
      </c>
      <c r="F1872" s="603">
        <v>1</v>
      </c>
      <c r="G1872" s="604">
        <f>VLOOKUP($C1872,'09 - MC'!$A:$F,6,0)</f>
        <v>6377</v>
      </c>
      <c r="H1872" s="605">
        <f>TRUNC(G1872*F1872,2)</f>
        <v>6377</v>
      </c>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row>
    <row r="1873" spans="1:31" ht="12.75">
      <c r="A1873" s="755"/>
      <c r="B1873" s="756"/>
      <c r="C1873" s="416"/>
      <c r="D1873" s="756"/>
      <c r="E1873" s="756"/>
      <c r="F1873" s="417"/>
      <c r="G1873" s="418"/>
      <c r="H1873" s="419"/>
      <c r="I1873" s="262"/>
      <c r="J1873" s="262"/>
      <c r="K1873" s="262"/>
      <c r="L1873" s="262"/>
      <c r="M1873" s="262"/>
      <c r="N1873" s="262"/>
      <c r="O1873" s="262"/>
      <c r="P1873" s="262"/>
      <c r="Q1873" s="262"/>
      <c r="R1873" s="262"/>
      <c r="S1873" s="262"/>
      <c r="T1873" s="262"/>
      <c r="U1873" s="262"/>
      <c r="V1873" s="262"/>
      <c r="W1873" s="262"/>
      <c r="X1873" s="262"/>
      <c r="Y1873" s="262"/>
      <c r="Z1873" s="262"/>
      <c r="AA1873" s="262"/>
      <c r="AB1873" s="262"/>
    </row>
    <row r="1874" spans="1:31" ht="12.75">
      <c r="A1874" s="358" t="s">
        <v>14471</v>
      </c>
      <c r="B1874" s="359" t="s">
        <v>14472</v>
      </c>
      <c r="C1874" s="360" t="s">
        <v>15108</v>
      </c>
      <c r="D1874" s="361" t="s">
        <v>15109</v>
      </c>
      <c r="E1874" s="359" t="s">
        <v>6</v>
      </c>
      <c r="F1874" s="401"/>
      <c r="G1874" s="402"/>
      <c r="H1874" s="363">
        <f>TRUNC(SUM(H1876:H1880),2)</f>
        <v>413.61</v>
      </c>
      <c r="I1874" s="276">
        <f>COUNTIF($C$8:$C1874,C:C)</f>
        <v>1</v>
      </c>
      <c r="J1874" s="262"/>
      <c r="K1874" s="262"/>
      <c r="L1874" s="262"/>
      <c r="M1874" s="262"/>
      <c r="N1874" s="262"/>
      <c r="O1874" s="262"/>
      <c r="P1874" s="262"/>
      <c r="Q1874" s="262"/>
      <c r="R1874" s="262"/>
      <c r="S1874" s="262"/>
      <c r="T1874" s="262"/>
      <c r="U1874" s="262"/>
      <c r="V1874" s="262"/>
      <c r="W1874" s="262"/>
      <c r="X1874" s="262"/>
      <c r="Y1874" s="262"/>
      <c r="Z1874" s="262"/>
      <c r="AA1874" s="262"/>
      <c r="AB1874" s="262"/>
    </row>
    <row r="1875" spans="1:31" ht="12.75">
      <c r="A1875" s="646" t="s">
        <v>14475</v>
      </c>
      <c r="B1875" s="403" t="s">
        <v>14476</v>
      </c>
      <c r="C1875" s="404">
        <v>98516</v>
      </c>
      <c r="D1875" s="367" t="s">
        <v>14587</v>
      </c>
      <c r="E1875" s="641"/>
      <c r="F1875" s="369"/>
      <c r="G1875" s="370"/>
      <c r="H1875" s="371"/>
      <c r="I1875" s="262"/>
      <c r="J1875" s="262"/>
      <c r="K1875" s="262"/>
      <c r="L1875" s="262"/>
      <c r="M1875" s="262"/>
      <c r="N1875" s="262"/>
      <c r="O1875" s="262"/>
      <c r="P1875" s="262"/>
      <c r="Q1875" s="262"/>
      <c r="R1875" s="262"/>
      <c r="S1875" s="262"/>
      <c r="T1875" s="262"/>
      <c r="U1875" s="262"/>
      <c r="V1875" s="262"/>
      <c r="W1875" s="262"/>
      <c r="X1875" s="262"/>
      <c r="Y1875" s="262"/>
      <c r="Z1875" s="262"/>
      <c r="AA1875" s="262"/>
      <c r="AB1875" s="262"/>
    </row>
    <row r="1876" spans="1:31" ht="25.5">
      <c r="A1876" s="586" t="s">
        <v>14478</v>
      </c>
      <c r="B1876" s="373" t="s">
        <v>14476</v>
      </c>
      <c r="C1876" s="374">
        <v>88441</v>
      </c>
      <c r="D1876" s="288" t="str">
        <f>IFERROR(VLOOKUP($C1876,'24.08_ND'!$A:$D,2,0),)</f>
        <v>JARDINEIRO COM ENCARGOS COMPLEMENTARES</v>
      </c>
      <c r="E1876" s="289" t="str">
        <f>IFERROR(VLOOKUP($C1876,'24.08_ND'!$A:$D,3,0),)</f>
        <v>H</v>
      </c>
      <c r="F1876" s="441">
        <v>0.24210000000000001</v>
      </c>
      <c r="G1876" s="291">
        <f>IFERROR(VLOOKUP($C1876,'24.08_ND'!$A:$D,4,0),)</f>
        <v>19.23</v>
      </c>
      <c r="H1876" s="292">
        <f>TRUNC(($F1876*$G1876),2)</f>
        <v>4.6500000000000004</v>
      </c>
      <c r="I1876" s="262"/>
      <c r="J1876" s="262"/>
      <c r="K1876" s="262"/>
      <c r="L1876" s="262"/>
      <c r="M1876" s="262"/>
      <c r="N1876" s="262"/>
      <c r="O1876" s="262"/>
      <c r="P1876" s="262"/>
      <c r="Q1876" s="262"/>
      <c r="R1876" s="262"/>
      <c r="S1876" s="262"/>
      <c r="T1876" s="262"/>
      <c r="U1876" s="262"/>
      <c r="V1876" s="262"/>
      <c r="W1876" s="262"/>
      <c r="X1876" s="262"/>
      <c r="Y1876" s="262"/>
      <c r="Z1876" s="262"/>
      <c r="AA1876" s="262"/>
      <c r="AB1876" s="262"/>
      <c r="AD1876" s="1791" t="e">
        <f>VLOOKUP(C1876,'Medição '!$B$16:$F$1833,6,0)</f>
        <v>#N/A</v>
      </c>
      <c r="AE1876" s="1791"/>
    </row>
    <row r="1877" spans="1:31" ht="25.5">
      <c r="A1877" s="586" t="s">
        <v>14478</v>
      </c>
      <c r="B1877" s="373" t="s">
        <v>14476</v>
      </c>
      <c r="C1877" s="374">
        <v>88316</v>
      </c>
      <c r="D1877" s="288" t="str">
        <f>IFERROR(VLOOKUP($C1877,'24.08_ND'!$A:$D,2,0),)</f>
        <v>SERVENTE COM ENCARGOS COMPLEMENTARES</v>
      </c>
      <c r="E1877" s="289" t="str">
        <f>IFERROR(VLOOKUP($C1877,'24.08_ND'!$A:$D,3,0),)</f>
        <v>H</v>
      </c>
      <c r="F1877" s="441">
        <v>1.2102999999999999</v>
      </c>
      <c r="G1877" s="291">
        <f>IFERROR(VLOOKUP($C1877,'24.08_ND'!$A:$D,4,0),)</f>
        <v>18.510000000000002</v>
      </c>
      <c r="H1877" s="292">
        <f>TRUNC(($F1877*$G1877),2)</f>
        <v>22.4</v>
      </c>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D1877" s="1791" t="e">
        <f>VLOOKUP(C1877,'Medição '!$B$16:$F$1833,6,0)</f>
        <v>#N/A</v>
      </c>
      <c r="AE1877" s="1791"/>
    </row>
    <row r="1878" spans="1:31" ht="12.75">
      <c r="A1878" s="758" t="s">
        <v>14479</v>
      </c>
      <c r="B1878" s="383" t="s">
        <v>14476</v>
      </c>
      <c r="C1878" s="384">
        <v>7253</v>
      </c>
      <c r="D1878" s="296" t="str">
        <f>IFERROR(VLOOKUP($C1878,'24.08_ND'!$A:$D,2,0),)</f>
        <v>TERRA VEGETAL (GRANEL)</v>
      </c>
      <c r="E1878" s="297" t="str">
        <f>IFERROR(VLOOKUP($C1878,'24.08_ND'!$A:$D,3,0),)</f>
        <v>M3</v>
      </c>
      <c r="F1878" s="759">
        <f>0.8*0.8*0.8</f>
        <v>0.51200000000000012</v>
      </c>
      <c r="G1878" s="299">
        <f>IFERROR(VLOOKUP($C1878,'24.08_ND'!$A:$D,4,0),)</f>
        <v>130.79</v>
      </c>
      <c r="H1878" s="300">
        <f>TRUNC(($F1878*$G1878),2)</f>
        <v>66.959999999999994</v>
      </c>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row>
    <row r="1879" spans="1:31" ht="12.75">
      <c r="A1879" s="758" t="s">
        <v>14479</v>
      </c>
      <c r="B1879" s="383" t="s">
        <v>14476</v>
      </c>
      <c r="C1879" s="384">
        <v>44539</v>
      </c>
      <c r="D1879" s="296" t="str">
        <f>IFERROR(VLOOKUP($C1879,'24.08_ND'!$A:$D,2,0),)</f>
        <v>FERTILIZANTE NPK -  10:10:10</v>
      </c>
      <c r="E1879" s="297" t="str">
        <f>IFERROR(VLOOKUP($C1879,'24.08_ND'!$A:$D,3,0),)</f>
        <v>KG</v>
      </c>
      <c r="F1879" s="759">
        <f>250/1000</f>
        <v>0.25</v>
      </c>
      <c r="G1879" s="299">
        <f>IFERROR(VLOOKUP($C1879,'24.08_ND'!$A:$D,4,0),)</f>
        <v>3.03</v>
      </c>
      <c r="H1879" s="300">
        <f>TRUNC(($F1879*$G1879),2)</f>
        <v>0.75</v>
      </c>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row>
    <row r="1880" spans="1:31" ht="12.75">
      <c r="A1880" s="760" t="s">
        <v>14479</v>
      </c>
      <c r="B1880" s="761" t="s">
        <v>14491</v>
      </c>
      <c r="C1880" s="762" t="s">
        <v>15110</v>
      </c>
      <c r="D1880" s="601" t="str">
        <f>VLOOKUP($C1880,'09 - MC'!$A:$F,2,0)</f>
        <v>FARINHA SECA 3,0 a 3,5 M</v>
      </c>
      <c r="E1880" s="602" t="str">
        <f>VLOOKUP($C1880,'09 - MC'!$A:$F,3,0)</f>
        <v>UN</v>
      </c>
      <c r="F1880" s="603">
        <v>1</v>
      </c>
      <c r="G1880" s="604">
        <f>VLOOKUP($C1880,'09 - MC'!$A:$F,6,0)</f>
        <v>318.85000000000002</v>
      </c>
      <c r="H1880" s="605">
        <f>TRUNC(G1880*F1880,2)</f>
        <v>318.85000000000002</v>
      </c>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row>
    <row r="1881" spans="1:31" ht="12.75">
      <c r="A1881" s="309"/>
      <c r="B1881" s="303"/>
      <c r="C1881" s="303"/>
      <c r="D1881" s="310"/>
      <c r="E1881" s="303"/>
      <c r="F1881" s="306"/>
      <c r="G1881" s="307"/>
      <c r="H1881" s="308"/>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row>
    <row r="1882" spans="1:31" ht="30" customHeight="1">
      <c r="A1882" s="270" t="s">
        <v>15111</v>
      </c>
      <c r="B1882" s="397"/>
      <c r="C1882" s="398"/>
      <c r="D1882" s="397"/>
      <c r="E1882" s="397"/>
      <c r="F1882" s="399"/>
      <c r="G1882" s="397"/>
      <c r="H1882" s="400"/>
      <c r="I1882" s="262"/>
      <c r="J1882" s="262"/>
      <c r="K1882" s="262"/>
      <c r="L1882" s="262"/>
      <c r="M1882" s="262"/>
      <c r="N1882" s="262"/>
      <c r="O1882" s="262"/>
      <c r="P1882" s="262"/>
      <c r="Q1882" s="262"/>
      <c r="R1882" s="262"/>
      <c r="S1882" s="262"/>
      <c r="T1882" s="262"/>
      <c r="U1882" s="262"/>
      <c r="V1882" s="262"/>
      <c r="W1882" s="262"/>
      <c r="X1882" s="262"/>
      <c r="Y1882" s="262"/>
      <c r="Z1882" s="262"/>
      <c r="AA1882" s="262"/>
      <c r="AB1882" s="262"/>
    </row>
    <row r="1883" spans="1:31" ht="12.75">
      <c r="A1883" s="309"/>
      <c r="B1883" s="303"/>
      <c r="C1883" s="303"/>
      <c r="D1883" s="310"/>
      <c r="E1883" s="303"/>
      <c r="F1883" s="306"/>
      <c r="G1883" s="307"/>
      <c r="H1883" s="308"/>
      <c r="I1883" s="262"/>
      <c r="J1883" s="262"/>
      <c r="K1883" s="262"/>
      <c r="L1883" s="262"/>
      <c r="M1883" s="262"/>
      <c r="N1883" s="262"/>
      <c r="O1883" s="262"/>
      <c r="P1883" s="262"/>
      <c r="Q1883" s="262"/>
      <c r="R1883" s="262"/>
      <c r="S1883" s="262"/>
      <c r="T1883" s="262"/>
      <c r="U1883" s="262"/>
      <c r="V1883" s="262"/>
      <c r="W1883" s="262"/>
      <c r="X1883" s="262"/>
      <c r="Y1883" s="262"/>
      <c r="Z1883" s="262"/>
      <c r="AA1883" s="262"/>
      <c r="AB1883" s="262"/>
    </row>
    <row r="1884" spans="1:31" ht="25.5">
      <c r="A1884" s="358" t="s">
        <v>14471</v>
      </c>
      <c r="B1884" s="359" t="s">
        <v>14472</v>
      </c>
      <c r="C1884" s="360" t="s">
        <v>15112</v>
      </c>
      <c r="D1884" s="361" t="s">
        <v>15113</v>
      </c>
      <c r="E1884" s="359" t="s">
        <v>6</v>
      </c>
      <c r="F1884" s="362"/>
      <c r="G1884" s="362"/>
      <c r="H1884" s="363">
        <f>SUM(H1886:H1889)</f>
        <v>7.8199999999999994</v>
      </c>
      <c r="I1884" s="276">
        <f>COUNTIF($C$8:$C1884,C:C)</f>
        <v>1</v>
      </c>
      <c r="J1884" s="262"/>
      <c r="K1884" s="262"/>
      <c r="L1884" s="262"/>
      <c r="M1884" s="262"/>
      <c r="N1884" s="262"/>
      <c r="O1884" s="262"/>
      <c r="P1884" s="262"/>
      <c r="Q1884" s="262"/>
      <c r="R1884" s="262"/>
      <c r="S1884" s="262"/>
      <c r="T1884" s="262"/>
      <c r="U1884" s="262"/>
      <c r="V1884" s="262"/>
      <c r="W1884" s="262"/>
      <c r="X1884" s="262"/>
      <c r="Y1884" s="262"/>
      <c r="Z1884" s="262"/>
      <c r="AA1884" s="262"/>
      <c r="AB1884" s="262"/>
    </row>
    <row r="1885" spans="1:31" ht="12.75">
      <c r="A1885" s="646" t="s">
        <v>14475</v>
      </c>
      <c r="B1885" s="763" t="s">
        <v>14600</v>
      </c>
      <c r="C1885" s="404">
        <v>12140</v>
      </c>
      <c r="D1885" s="367" t="s">
        <v>14567</v>
      </c>
      <c r="E1885" s="641"/>
      <c r="F1885" s="369"/>
      <c r="G1885" s="370"/>
      <c r="H1885" s="371"/>
      <c r="I1885" s="262"/>
      <c r="J1885" s="262"/>
      <c r="K1885" s="262"/>
      <c r="L1885" s="262"/>
      <c r="M1885" s="262"/>
      <c r="N1885" s="262"/>
      <c r="O1885" s="262"/>
      <c r="P1885" s="262"/>
      <c r="Q1885" s="262"/>
      <c r="R1885" s="262"/>
      <c r="S1885" s="262"/>
      <c r="T1885" s="262"/>
      <c r="U1885" s="262"/>
      <c r="V1885" s="262"/>
      <c r="W1885" s="262"/>
      <c r="X1885" s="262"/>
      <c r="Y1885" s="262"/>
      <c r="Z1885" s="262"/>
      <c r="AA1885" s="262"/>
      <c r="AB1885" s="262"/>
    </row>
    <row r="1886" spans="1:31" ht="25.5">
      <c r="A1886" s="586" t="s">
        <v>14478</v>
      </c>
      <c r="B1886" s="421" t="s">
        <v>14476</v>
      </c>
      <c r="C1886" s="677">
        <v>88247</v>
      </c>
      <c r="D1886" s="288" t="str">
        <f>IFERROR(VLOOKUP($C1886,'24.08_ND'!$A:$D,2,0),)</f>
        <v>AUXILIAR DE ELETRICISTA COM ENCARGOS COMPLEMENTARES</v>
      </c>
      <c r="E1886" s="289" t="str">
        <f>IFERROR(VLOOKUP($C1886,'24.08_ND'!$A:$D,3,0),)</f>
        <v>H</v>
      </c>
      <c r="F1886" s="441">
        <v>0.125</v>
      </c>
      <c r="G1886" s="291">
        <f>IFERROR(VLOOKUP($C1886,'24.08_ND'!$A:$D,4,0),)</f>
        <v>20</v>
      </c>
      <c r="H1886" s="423">
        <f>TRUNC(($F1886*$G1886),2)</f>
        <v>2.5</v>
      </c>
      <c r="I1886" s="262"/>
      <c r="J1886" s="262"/>
      <c r="K1886" s="262"/>
      <c r="L1886" s="262"/>
      <c r="M1886" s="262"/>
      <c r="N1886" s="262"/>
      <c r="O1886" s="262"/>
      <c r="P1886" s="262"/>
      <c r="Q1886" s="262"/>
      <c r="R1886" s="262"/>
      <c r="S1886" s="262"/>
      <c r="T1886" s="262"/>
      <c r="U1886" s="262"/>
      <c r="V1886" s="262"/>
      <c r="W1886" s="262"/>
      <c r="X1886" s="262"/>
      <c r="Y1886" s="262"/>
      <c r="Z1886" s="262"/>
      <c r="AA1886" s="262"/>
      <c r="AB1886" s="262"/>
      <c r="AD1886" s="1791" t="e">
        <f>VLOOKUP(C1886,'Medição '!$B$16:$F$1833,6,0)</f>
        <v>#N/A</v>
      </c>
      <c r="AE1886" s="1791"/>
    </row>
    <row r="1887" spans="1:31" ht="25.5">
      <c r="A1887" s="586" t="s">
        <v>14478</v>
      </c>
      <c r="B1887" s="421" t="s">
        <v>14476</v>
      </c>
      <c r="C1887" s="677">
        <v>88264</v>
      </c>
      <c r="D1887" s="288" t="str">
        <f>IFERROR(VLOOKUP($C1887,'24.08_ND'!$A:$D,2,0),)</f>
        <v>ELETRICISTA COM ENCARGOS COMPLEMENTARES</v>
      </c>
      <c r="E1887" s="289" t="str">
        <f>IFERROR(VLOOKUP($C1887,'24.08_ND'!$A:$D,3,0),)</f>
        <v>H</v>
      </c>
      <c r="F1887" s="441">
        <v>0.125</v>
      </c>
      <c r="G1887" s="291">
        <f>IFERROR(VLOOKUP($C1887,'24.08_ND'!$A:$D,4,0),)</f>
        <v>24.3</v>
      </c>
      <c r="H1887" s="423">
        <f>TRUNC(($F1887*$G1887),2)</f>
        <v>3.03</v>
      </c>
      <c r="I1887" s="262"/>
      <c r="J1887" s="262"/>
      <c r="K1887" s="262"/>
      <c r="L1887" s="262"/>
      <c r="M1887" s="262"/>
      <c r="N1887" s="262"/>
      <c r="O1887" s="262"/>
      <c r="P1887" s="262"/>
      <c r="Q1887" s="262"/>
      <c r="R1887" s="262"/>
      <c r="S1887" s="262"/>
      <c r="T1887" s="262"/>
      <c r="U1887" s="262"/>
      <c r="V1887" s="262"/>
      <c r="W1887" s="262"/>
      <c r="X1887" s="262"/>
      <c r="Y1887" s="262"/>
      <c r="Z1887" s="262"/>
      <c r="AA1887" s="262"/>
      <c r="AB1887" s="262"/>
      <c r="AD1887" s="1791" t="e">
        <f>VLOOKUP(C1887,'Medição '!$B$16:$F$1833,6,0)</f>
        <v>#N/A</v>
      </c>
      <c r="AE1887" s="1791"/>
    </row>
    <row r="1888" spans="1:31" ht="25.5">
      <c r="A1888" s="588" t="s">
        <v>14479</v>
      </c>
      <c r="B1888" s="446" t="s">
        <v>14476</v>
      </c>
      <c r="C1888" s="582">
        <v>39129</v>
      </c>
      <c r="D1888" s="296" t="str">
        <f>IFERROR(VLOOKUP($C1888,'24.08_ND'!$A:$D,2,0),)</f>
        <v>ABRACADEIRA EM ACO PARA AMARRACAO DE ELETRODUTOS, TIPO D, COM 1" E CUNHA DE FIXACAO</v>
      </c>
      <c r="E1888" s="297" t="str">
        <f>IFERROR(VLOOKUP($C1888,'24.08_ND'!$A:$D,3,0),)</f>
        <v>UN</v>
      </c>
      <c r="F1888" s="385">
        <v>1</v>
      </c>
      <c r="G1888" s="299">
        <f>IFERROR(VLOOKUP($C1888,'24.08_ND'!$A:$D,4,0),)</f>
        <v>2.08</v>
      </c>
      <c r="H1888" s="449">
        <f>TRUNC(($F1888*$G1888),2)</f>
        <v>2.08</v>
      </c>
      <c r="I1888" s="262"/>
      <c r="J1888" s="262"/>
      <c r="K1888" s="262"/>
      <c r="L1888" s="262"/>
      <c r="M1888" s="262"/>
      <c r="N1888" s="262"/>
      <c r="O1888" s="262"/>
      <c r="P1888" s="262"/>
      <c r="Q1888" s="262"/>
      <c r="R1888" s="262"/>
      <c r="S1888" s="262"/>
      <c r="T1888" s="262"/>
      <c r="U1888" s="262"/>
      <c r="V1888" s="262"/>
      <c r="W1888" s="262"/>
      <c r="X1888" s="262"/>
      <c r="Y1888" s="262"/>
      <c r="Z1888" s="262"/>
      <c r="AA1888" s="262"/>
      <c r="AB1888" s="262"/>
    </row>
    <row r="1889" spans="1:31" ht="25.5">
      <c r="A1889" s="588" t="s">
        <v>14479</v>
      </c>
      <c r="B1889" s="446" t="s">
        <v>14476</v>
      </c>
      <c r="C1889" s="582">
        <v>11950</v>
      </c>
      <c r="D1889" s="296" t="str">
        <f>IFERROR(VLOOKUP($C1889,'24.08_ND'!$A:$D,2,0),)</f>
        <v>BUCHA DE NYLON SEM ABA S6, COM PARAFUSO DE 4,20 X 40 MM EM ACO ZINCADO COM ROSCA SOBERBA, CABECA CHATA E FENDA PHILLIPS</v>
      </c>
      <c r="E1889" s="297" t="str">
        <f>IFERROR(VLOOKUP($C1889,'24.08_ND'!$A:$D,3,0),)</f>
        <v>UN</v>
      </c>
      <c r="F1889" s="385">
        <v>1</v>
      </c>
      <c r="G1889" s="299">
        <f>IFERROR(VLOOKUP($C1889,'24.08_ND'!$A:$D,4,0),)</f>
        <v>0.21</v>
      </c>
      <c r="H1889" s="449">
        <f>TRUNC(($F1889*$G1889),2)</f>
        <v>0.21</v>
      </c>
      <c r="I1889" s="262"/>
      <c r="J1889" s="262"/>
      <c r="K1889" s="262"/>
      <c r="L1889" s="262"/>
      <c r="M1889" s="262"/>
      <c r="N1889" s="262"/>
      <c r="O1889" s="262"/>
      <c r="P1889" s="262"/>
      <c r="Q1889" s="262"/>
      <c r="R1889" s="262"/>
      <c r="S1889" s="262"/>
      <c r="T1889" s="262"/>
      <c r="U1889" s="262"/>
      <c r="V1889" s="262"/>
      <c r="W1889" s="262"/>
      <c r="X1889" s="262"/>
      <c r="Y1889" s="262"/>
      <c r="Z1889" s="262"/>
      <c r="AA1889" s="262"/>
      <c r="AB1889" s="262"/>
    </row>
    <row r="1890" spans="1:31" ht="12.75">
      <c r="A1890" s="309"/>
      <c r="B1890" s="303"/>
      <c r="C1890" s="303"/>
      <c r="D1890" s="310"/>
      <c r="E1890" s="303"/>
      <c r="F1890" s="306"/>
      <c r="G1890" s="307"/>
      <c r="H1890" s="308"/>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row>
    <row r="1891" spans="1:31" ht="25.5">
      <c r="A1891" s="358" t="s">
        <v>14471</v>
      </c>
      <c r="B1891" s="359" t="s">
        <v>14472</v>
      </c>
      <c r="C1891" s="360" t="s">
        <v>15114</v>
      </c>
      <c r="D1891" s="361" t="s">
        <v>15115</v>
      </c>
      <c r="E1891" s="359" t="s">
        <v>50</v>
      </c>
      <c r="F1891" s="362"/>
      <c r="G1891" s="362"/>
      <c r="H1891" s="363">
        <f>TRUNC(SUM(H1893:H1895),2)</f>
        <v>21.05</v>
      </c>
      <c r="I1891" s="276">
        <f>COUNTIF($C$8:$C1891,C:C)</f>
        <v>1</v>
      </c>
      <c r="J1891" s="262"/>
      <c r="K1891" s="262"/>
      <c r="L1891" s="262"/>
      <c r="M1891" s="262"/>
      <c r="N1891" s="262"/>
      <c r="O1891" s="262"/>
      <c r="P1891" s="262"/>
      <c r="Q1891" s="262"/>
      <c r="R1891" s="262"/>
      <c r="S1891" s="262"/>
      <c r="T1891" s="262"/>
      <c r="U1891" s="262"/>
      <c r="V1891" s="262"/>
      <c r="W1891" s="262"/>
      <c r="X1891" s="262"/>
      <c r="Y1891" s="262"/>
      <c r="Z1891" s="262"/>
      <c r="AA1891" s="262"/>
      <c r="AB1891" s="262"/>
    </row>
    <row r="1892" spans="1:31" ht="12.75">
      <c r="A1892" s="646" t="s">
        <v>14475</v>
      </c>
      <c r="B1892" s="763" t="s">
        <v>14600</v>
      </c>
      <c r="C1892" s="365">
        <v>13612</v>
      </c>
      <c r="D1892" s="367" t="s">
        <v>14567</v>
      </c>
      <c r="E1892" s="641"/>
      <c r="F1892" s="369"/>
      <c r="G1892" s="370"/>
      <c r="H1892" s="371"/>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row>
    <row r="1893" spans="1:31" ht="25.5">
      <c r="A1893" s="586" t="s">
        <v>14478</v>
      </c>
      <c r="B1893" s="421" t="s">
        <v>14476</v>
      </c>
      <c r="C1893" s="422">
        <v>88247</v>
      </c>
      <c r="D1893" s="288" t="str">
        <f>IFERROR(VLOOKUP($C1893,'24.08_ND'!$A:$D,2,0),)</f>
        <v>AUXILIAR DE ELETRICISTA COM ENCARGOS COMPLEMENTARES</v>
      </c>
      <c r="E1893" s="289" t="str">
        <f>IFERROR(VLOOKUP($C1893,'24.08_ND'!$A:$D,3,0),)</f>
        <v>H</v>
      </c>
      <c r="F1893" s="375">
        <v>0.21629999999999999</v>
      </c>
      <c r="G1893" s="291">
        <f>IFERROR(VLOOKUP($C1893,'24.08_ND'!$A:$D,4,0),)</f>
        <v>20</v>
      </c>
      <c r="H1893" s="423">
        <f>TRUNC(($F1893*$G1893),2)</f>
        <v>4.32</v>
      </c>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D1893" s="1791" t="e">
        <f>VLOOKUP(C1893,'Medição '!$B$16:$F$1833,6,0)</f>
        <v>#N/A</v>
      </c>
      <c r="AE1893" s="1791"/>
    </row>
    <row r="1894" spans="1:31" ht="25.5">
      <c r="A1894" s="586" t="s">
        <v>14478</v>
      </c>
      <c r="B1894" s="421" t="s">
        <v>14476</v>
      </c>
      <c r="C1894" s="422">
        <v>88264</v>
      </c>
      <c r="D1894" s="288" t="str">
        <f>IFERROR(VLOOKUP($C1894,'24.08_ND'!$A:$D,2,0),)</f>
        <v>ELETRICISTA COM ENCARGOS COMPLEMENTARES</v>
      </c>
      <c r="E1894" s="289" t="str">
        <f>IFERROR(VLOOKUP($C1894,'24.08_ND'!$A:$D,3,0),)</f>
        <v>H</v>
      </c>
      <c r="F1894" s="375">
        <v>0.21629999999999999</v>
      </c>
      <c r="G1894" s="291">
        <f>IFERROR(VLOOKUP($C1894,'24.08_ND'!$A:$D,4,0),)</f>
        <v>24.3</v>
      </c>
      <c r="H1894" s="423">
        <f>TRUNC(($F1894*$G1894),2)</f>
        <v>5.25</v>
      </c>
      <c r="I1894" s="262"/>
      <c r="J1894" s="262"/>
      <c r="K1894" s="262"/>
      <c r="L1894" s="262"/>
      <c r="M1894" s="262"/>
      <c r="N1894" s="262"/>
      <c r="O1894" s="262"/>
      <c r="P1894" s="262"/>
      <c r="Q1894" s="262"/>
      <c r="R1894" s="262"/>
      <c r="S1894" s="262"/>
      <c r="T1894" s="262"/>
      <c r="U1894" s="262"/>
      <c r="V1894" s="262"/>
      <c r="W1894" s="262"/>
      <c r="X1894" s="262"/>
      <c r="Y1894" s="262"/>
      <c r="Z1894" s="262"/>
      <c r="AA1894" s="262"/>
      <c r="AB1894" s="262"/>
      <c r="AD1894" s="1791" t="e">
        <f>VLOOKUP(C1894,'Medição '!$B$16:$F$1833,6,0)</f>
        <v>#N/A</v>
      </c>
      <c r="AE1894" s="1791"/>
    </row>
    <row r="1895" spans="1:31" ht="25.5">
      <c r="A1895" s="588" t="s">
        <v>14479</v>
      </c>
      <c r="B1895" s="446" t="s">
        <v>14476</v>
      </c>
      <c r="C1895" s="384">
        <v>21128</v>
      </c>
      <c r="D1895" s="296" t="str">
        <f>IFERROR(VLOOKUP($C1895,'24.08_ND'!$A:$D,2,0),)</f>
        <v>ELETRODUTO EM ACO GALVANIZADO ELETROLITICO, LEVE, DIAMETRO 3/4", PAREDE DE 0,90 MM</v>
      </c>
      <c r="E1895" s="297" t="str">
        <f>IFERROR(VLOOKUP($C1895,'24.08_ND'!$A:$D,3,0),)</f>
        <v>M</v>
      </c>
      <c r="F1895" s="385">
        <v>1.05</v>
      </c>
      <c r="G1895" s="299">
        <f>IFERROR(VLOOKUP($C1895,'24.08_ND'!$A:$D,4,0),)</f>
        <v>10.94</v>
      </c>
      <c r="H1895" s="449">
        <f>TRUNC(($F1895*$G1895),2)</f>
        <v>11.48</v>
      </c>
      <c r="I1895" s="262"/>
      <c r="J1895" s="262"/>
      <c r="K1895" s="262"/>
      <c r="L1895" s="262"/>
      <c r="M1895" s="262"/>
      <c r="N1895" s="262"/>
      <c r="O1895" s="262"/>
      <c r="P1895" s="262"/>
      <c r="Q1895" s="262"/>
      <c r="R1895" s="262"/>
      <c r="S1895" s="262"/>
      <c r="T1895" s="262"/>
      <c r="U1895" s="262"/>
      <c r="V1895" s="262"/>
      <c r="W1895" s="262"/>
      <c r="X1895" s="262"/>
      <c r="Y1895" s="262"/>
      <c r="Z1895" s="262"/>
      <c r="AA1895" s="262"/>
      <c r="AB1895" s="262"/>
    </row>
    <row r="1896" spans="1:31" ht="12.75">
      <c r="A1896" s="309"/>
      <c r="B1896" s="303"/>
      <c r="C1896" s="303"/>
      <c r="D1896" s="310"/>
      <c r="E1896" s="303"/>
      <c r="F1896" s="306"/>
      <c r="G1896" s="307"/>
      <c r="H1896" s="308"/>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row>
    <row r="1897" spans="1:31" ht="12.75">
      <c r="A1897" s="358" t="s">
        <v>14471</v>
      </c>
      <c r="B1897" s="359" t="s">
        <v>14472</v>
      </c>
      <c r="C1897" s="360" t="s">
        <v>15116</v>
      </c>
      <c r="D1897" s="361" t="s">
        <v>15117</v>
      </c>
      <c r="E1897" s="359" t="s">
        <v>6</v>
      </c>
      <c r="F1897" s="362"/>
      <c r="G1897" s="362"/>
      <c r="H1897" s="363">
        <f>TRUNC(SUM(H1899:H1902),2)</f>
        <v>4.9400000000000004</v>
      </c>
      <c r="I1897" s="276">
        <f>COUNTIF($C$8:$C1897,C:C)</f>
        <v>1</v>
      </c>
      <c r="J1897" s="262"/>
      <c r="K1897" s="262"/>
      <c r="L1897" s="262"/>
      <c r="M1897" s="262"/>
      <c r="N1897" s="262"/>
      <c r="O1897" s="262"/>
      <c r="P1897" s="262"/>
      <c r="Q1897" s="262"/>
      <c r="R1897" s="262"/>
      <c r="S1897" s="262"/>
      <c r="T1897" s="262"/>
      <c r="U1897" s="262"/>
      <c r="V1897" s="262"/>
      <c r="W1897" s="262"/>
      <c r="X1897" s="262"/>
      <c r="Y1897" s="262"/>
      <c r="Z1897" s="262"/>
      <c r="AA1897" s="262"/>
      <c r="AB1897" s="262"/>
    </row>
    <row r="1898" spans="1:31" ht="12.75">
      <c r="A1898" s="646" t="s">
        <v>14475</v>
      </c>
      <c r="B1898" s="694" t="s">
        <v>14476</v>
      </c>
      <c r="C1898" s="404">
        <v>95541</v>
      </c>
      <c r="D1898" s="367" t="s">
        <v>14567</v>
      </c>
      <c r="E1898" s="641"/>
      <c r="F1898" s="369"/>
      <c r="G1898" s="370"/>
      <c r="H1898" s="371"/>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row>
    <row r="1899" spans="1:31" ht="25.5">
      <c r="A1899" s="586" t="s">
        <v>14478</v>
      </c>
      <c r="B1899" s="373" t="s">
        <v>14476</v>
      </c>
      <c r="C1899" s="374">
        <v>88247</v>
      </c>
      <c r="D1899" s="288" t="str">
        <f>IFERROR(VLOOKUP($C1899,'24.08_ND'!$A:$D,2,0),)</f>
        <v>AUXILIAR DE ELETRICISTA COM ENCARGOS COMPLEMENTARES</v>
      </c>
      <c r="E1899" s="289" t="str">
        <f>IFERROR(VLOOKUP($C1899,'24.08_ND'!$A:$D,3,0),)</f>
        <v>H</v>
      </c>
      <c r="F1899" s="441">
        <v>0.08</v>
      </c>
      <c r="G1899" s="291">
        <f>IFERROR(VLOOKUP($C1899,'24.08_ND'!$A:$D,4,0),)</f>
        <v>20</v>
      </c>
      <c r="H1899" s="764">
        <f>TRUNC(($F1899*$G1899),2)</f>
        <v>1.6</v>
      </c>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D1899" s="1791" t="e">
        <f>VLOOKUP(C1899,'Medição '!$B$16:$F$1833,6,0)</f>
        <v>#N/A</v>
      </c>
      <c r="AE1899" s="1791"/>
    </row>
    <row r="1900" spans="1:31" ht="25.5">
      <c r="A1900" s="586" t="s">
        <v>14478</v>
      </c>
      <c r="B1900" s="373" t="s">
        <v>14476</v>
      </c>
      <c r="C1900" s="374">
        <v>88264</v>
      </c>
      <c r="D1900" s="288" t="str">
        <f>IFERROR(VLOOKUP($C1900,'24.08_ND'!$A:$D,2,0),)</f>
        <v>ELETRICISTA COM ENCARGOS COMPLEMENTARES</v>
      </c>
      <c r="E1900" s="289" t="str">
        <f>IFERROR(VLOOKUP($C1900,'24.08_ND'!$A:$D,3,0),)</f>
        <v>H</v>
      </c>
      <c r="F1900" s="441">
        <v>0.08</v>
      </c>
      <c r="G1900" s="291">
        <f>IFERROR(VLOOKUP($C1900,'24.08_ND'!$A:$D,4,0),)</f>
        <v>24.3</v>
      </c>
      <c r="H1900" s="764">
        <f>TRUNC(($F1900*$G1900),2)</f>
        <v>1.94</v>
      </c>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D1900" s="1791" t="e">
        <f>VLOOKUP(C1900,'Medição '!$B$16:$F$1833,6,0)</f>
        <v>#N/A</v>
      </c>
      <c r="AE1900" s="1791"/>
    </row>
    <row r="1901" spans="1:31" ht="25.5">
      <c r="A1901" s="588" t="s">
        <v>14479</v>
      </c>
      <c r="B1901" s="383" t="s">
        <v>14476</v>
      </c>
      <c r="C1901" s="384">
        <v>7583</v>
      </c>
      <c r="D1901" s="296" t="str">
        <f>IFERROR(VLOOKUP($C1901,'24.08_ND'!$A:$D,2,0),)</f>
        <v>BUCHA DE NYLON SEM ABA S8, COM PARAFUSO DE 4,80 X 50 MM EM ACO ZINCADO COM ROSCA SOBERBA, CABECA CHATA E FENDA PHILLIPS</v>
      </c>
      <c r="E1901" s="297" t="str">
        <f>IFERROR(VLOOKUP($C1901,'24.08_ND'!$A:$D,3,0),)</f>
        <v>UN</v>
      </c>
      <c r="F1901" s="759">
        <v>2</v>
      </c>
      <c r="G1901" s="299">
        <f>IFERROR(VLOOKUP($C1901,'24.08_ND'!$A:$D,4,0),)</f>
        <v>0.45</v>
      </c>
      <c r="H1901" s="449">
        <f>TRUNC(($F1901*$G1901),2)</f>
        <v>0.9</v>
      </c>
      <c r="I1901" s="262"/>
      <c r="J1901" s="262"/>
      <c r="K1901" s="262"/>
      <c r="L1901" s="262"/>
      <c r="M1901" s="262"/>
      <c r="N1901" s="262"/>
      <c r="O1901" s="262"/>
      <c r="P1901" s="262"/>
      <c r="Q1901" s="262"/>
      <c r="R1901" s="262"/>
      <c r="S1901" s="262"/>
      <c r="T1901" s="262"/>
      <c r="U1901" s="262"/>
      <c r="V1901" s="262"/>
      <c r="W1901" s="262"/>
      <c r="X1901" s="262"/>
      <c r="Y1901" s="262"/>
      <c r="Z1901" s="262"/>
      <c r="AA1901" s="262"/>
      <c r="AB1901" s="262"/>
    </row>
    <row r="1902" spans="1:31" ht="12.75">
      <c r="A1902" s="590" t="s">
        <v>14479</v>
      </c>
      <c r="B1902" s="312" t="str">
        <f>VLOOKUP($C1902,'• CIs EXT'!$A:$E,2,0)</f>
        <v>ORSE</v>
      </c>
      <c r="C1902" s="377">
        <v>295</v>
      </c>
      <c r="D1902" s="378" t="str">
        <f>VLOOKUP($C1902,'• CIs EXT'!$A:$E,3,0)</f>
        <v>ABRAÇADEIRA TIPO U, D=26MM (3/4")</v>
      </c>
      <c r="E1902" s="379" t="str">
        <f>VLOOKUP($C1902,'• CIs EXT'!$A:$E,4,0)</f>
        <v>UN</v>
      </c>
      <c r="F1902" s="442">
        <v>1</v>
      </c>
      <c r="G1902" s="379">
        <f>VLOOKUP($C1902,'• CIs EXT'!$A:$E,5,0)</f>
        <v>0.5</v>
      </c>
      <c r="H1902" s="381">
        <f>TRUNC(($F1902*$G1902),2)</f>
        <v>0.5</v>
      </c>
      <c r="I1902" s="262"/>
      <c r="J1902" s="262"/>
      <c r="K1902" s="262"/>
      <c r="L1902" s="262"/>
      <c r="M1902" s="262"/>
      <c r="N1902" s="262"/>
      <c r="O1902" s="262"/>
      <c r="P1902" s="262"/>
      <c r="Q1902" s="262"/>
      <c r="R1902" s="262"/>
      <c r="S1902" s="262"/>
      <c r="T1902" s="262"/>
      <c r="U1902" s="262"/>
      <c r="V1902" s="262"/>
      <c r="W1902" s="262"/>
      <c r="X1902" s="262"/>
      <c r="Y1902" s="262"/>
      <c r="Z1902" s="262"/>
      <c r="AA1902" s="262"/>
      <c r="AB1902" s="262"/>
    </row>
    <row r="1903" spans="1:31" ht="12.75">
      <c r="A1903" s="309"/>
      <c r="B1903" s="303"/>
      <c r="C1903" s="303"/>
      <c r="D1903" s="310"/>
      <c r="E1903" s="303"/>
      <c r="F1903" s="306"/>
      <c r="G1903" s="307"/>
      <c r="H1903" s="308"/>
      <c r="I1903" s="262"/>
      <c r="J1903" s="262"/>
      <c r="K1903" s="262"/>
      <c r="L1903" s="262"/>
      <c r="M1903" s="262"/>
      <c r="N1903" s="262"/>
      <c r="O1903" s="262"/>
      <c r="P1903" s="262"/>
      <c r="Q1903" s="262"/>
      <c r="R1903" s="262"/>
      <c r="S1903" s="262"/>
      <c r="T1903" s="262"/>
      <c r="U1903" s="262"/>
      <c r="V1903" s="262"/>
      <c r="W1903" s="262"/>
      <c r="X1903" s="262"/>
      <c r="Y1903" s="262"/>
      <c r="Z1903" s="262"/>
      <c r="AA1903" s="262"/>
      <c r="AB1903" s="262"/>
    </row>
    <row r="1904" spans="1:31" ht="25.5">
      <c r="A1904" s="358" t="s">
        <v>14471</v>
      </c>
      <c r="B1904" s="359" t="s">
        <v>14472</v>
      </c>
      <c r="C1904" s="360" t="s">
        <v>15118</v>
      </c>
      <c r="D1904" s="361" t="s">
        <v>15119</v>
      </c>
      <c r="E1904" s="359" t="s">
        <v>6</v>
      </c>
      <c r="F1904" s="362"/>
      <c r="G1904" s="362"/>
      <c r="H1904" s="363">
        <f>TRUNC(SUM(H1906:H1908),2)</f>
        <v>10.73</v>
      </c>
      <c r="I1904" s="276">
        <f>COUNTIF($C$8:$C1904,C:C)</f>
        <v>1</v>
      </c>
      <c r="J1904" s="262"/>
      <c r="K1904" s="262"/>
      <c r="L1904" s="262"/>
      <c r="M1904" s="262"/>
      <c r="N1904" s="262"/>
      <c r="O1904" s="262"/>
      <c r="P1904" s="262"/>
      <c r="Q1904" s="262"/>
      <c r="R1904" s="262"/>
      <c r="S1904" s="262"/>
      <c r="T1904" s="262"/>
      <c r="U1904" s="262"/>
      <c r="V1904" s="262"/>
      <c r="W1904" s="262"/>
      <c r="X1904" s="262"/>
      <c r="Y1904" s="262"/>
      <c r="Z1904" s="262"/>
      <c r="AA1904" s="262"/>
      <c r="AB1904" s="262"/>
    </row>
    <row r="1905" spans="1:31" ht="12.75">
      <c r="A1905" s="646" t="s">
        <v>14475</v>
      </c>
      <c r="B1905" s="694" t="s">
        <v>14476</v>
      </c>
      <c r="C1905" s="365">
        <v>91884</v>
      </c>
      <c r="D1905" s="367" t="s">
        <v>14567</v>
      </c>
      <c r="E1905" s="641"/>
      <c r="F1905" s="369"/>
      <c r="G1905" s="370"/>
      <c r="H1905" s="371"/>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row>
    <row r="1906" spans="1:31" ht="25.5">
      <c r="A1906" s="586" t="s">
        <v>14478</v>
      </c>
      <c r="B1906" s="421" t="s">
        <v>14476</v>
      </c>
      <c r="C1906" s="422">
        <v>88247</v>
      </c>
      <c r="D1906" s="288" t="str">
        <f>IFERROR(VLOOKUP($C1906,'24.08_ND'!$A:$D,2,0),)</f>
        <v>AUXILIAR DE ELETRICISTA COM ENCARGOS COMPLEMENTARES</v>
      </c>
      <c r="E1906" s="289" t="str">
        <f>IFERROR(VLOOKUP($C1906,'24.08_ND'!$A:$D,3,0),)</f>
        <v>H</v>
      </c>
      <c r="F1906" s="375">
        <v>0.19700000000000001</v>
      </c>
      <c r="G1906" s="291">
        <f>IFERROR(VLOOKUP($C1906,'24.08_ND'!$A:$D,4,0),)</f>
        <v>20</v>
      </c>
      <c r="H1906" s="423">
        <f>TRUNC(($F1906*$G1906),2)</f>
        <v>3.94</v>
      </c>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D1906" s="1791" t="e">
        <f>VLOOKUP(C1906,'Medição '!$B$16:$F$1833,6,0)</f>
        <v>#N/A</v>
      </c>
      <c r="AE1906" s="1791"/>
    </row>
    <row r="1907" spans="1:31" ht="25.5">
      <c r="A1907" s="586" t="s">
        <v>14478</v>
      </c>
      <c r="B1907" s="421" t="s">
        <v>14476</v>
      </c>
      <c r="C1907" s="422">
        <v>88264</v>
      </c>
      <c r="D1907" s="288" t="str">
        <f>IFERROR(VLOOKUP($C1907,'24.08_ND'!$A:$D,2,0),)</f>
        <v>ELETRICISTA COM ENCARGOS COMPLEMENTARES</v>
      </c>
      <c r="E1907" s="289" t="str">
        <f>IFERROR(VLOOKUP($C1907,'24.08_ND'!$A:$D,3,0),)</f>
        <v>H</v>
      </c>
      <c r="F1907" s="375">
        <v>0.19700000000000001</v>
      </c>
      <c r="G1907" s="291">
        <f>IFERROR(VLOOKUP($C1907,'24.08_ND'!$A:$D,4,0),)</f>
        <v>24.3</v>
      </c>
      <c r="H1907" s="423">
        <f>TRUNC(($F1907*$G1907),2)</f>
        <v>4.78</v>
      </c>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D1907" s="1791" t="e">
        <f>VLOOKUP(C1907,'Medição '!$B$16:$F$1833,6,0)</f>
        <v>#N/A</v>
      </c>
      <c r="AE1907" s="1791"/>
    </row>
    <row r="1908" spans="1:31" ht="25.5">
      <c r="A1908" s="588" t="s">
        <v>14479</v>
      </c>
      <c r="B1908" s="446" t="s">
        <v>14476</v>
      </c>
      <c r="C1908" s="384">
        <v>2637</v>
      </c>
      <c r="D1908" s="296" t="str">
        <f>IFERROR(VLOOKUP($C1908,'24.08_ND'!$A:$D,2,0),)</f>
        <v>LUVA PARA ELETRODUTO, EM ACO GALVANIZADO ELETROLITICO, COM ROSCA, DIAMETRO DE 20 MM (3/4")</v>
      </c>
      <c r="E1908" s="297" t="str">
        <f>IFERROR(VLOOKUP($C1908,'24.08_ND'!$A:$D,3,0),)</f>
        <v>UN</v>
      </c>
      <c r="F1908" s="759">
        <v>1</v>
      </c>
      <c r="G1908" s="299">
        <f>IFERROR(VLOOKUP($C1908,'24.08_ND'!$A:$D,4,0),)</f>
        <v>2.0099999999999998</v>
      </c>
      <c r="H1908" s="449">
        <f>TRUNC(($F1908*$G1908),2)</f>
        <v>2.0099999999999998</v>
      </c>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row>
    <row r="1909" spans="1:31" ht="12.75">
      <c r="A1909" s="309"/>
      <c r="B1909" s="303"/>
      <c r="C1909" s="303"/>
      <c r="D1909" s="310"/>
      <c r="E1909" s="303"/>
      <c r="F1909" s="306"/>
      <c r="G1909" s="307"/>
      <c r="H1909" s="308"/>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row>
    <row r="1910" spans="1:31" ht="25.5">
      <c r="A1910" s="358" t="s">
        <v>14471</v>
      </c>
      <c r="B1910" s="359" t="s">
        <v>14472</v>
      </c>
      <c r="C1910" s="360" t="s">
        <v>15120</v>
      </c>
      <c r="D1910" s="361" t="s">
        <v>15121</v>
      </c>
      <c r="E1910" s="359" t="s">
        <v>6</v>
      </c>
      <c r="F1910" s="362"/>
      <c r="G1910" s="362"/>
      <c r="H1910" s="363">
        <f>TRUNC(SUM(H1912:H1914),2)</f>
        <v>14.2</v>
      </c>
      <c r="I1910" s="276">
        <f>COUNTIF($C$8:$C1910,C:C)</f>
        <v>1</v>
      </c>
      <c r="J1910" s="262"/>
      <c r="K1910" s="262"/>
      <c r="L1910" s="262"/>
      <c r="M1910" s="262"/>
      <c r="N1910" s="262"/>
      <c r="O1910" s="262"/>
      <c r="P1910" s="262"/>
      <c r="Q1910" s="262"/>
      <c r="R1910" s="262"/>
      <c r="S1910" s="262"/>
      <c r="T1910" s="262"/>
      <c r="U1910" s="262"/>
      <c r="V1910" s="262"/>
      <c r="W1910" s="262"/>
      <c r="X1910" s="262"/>
      <c r="Y1910" s="262"/>
      <c r="Z1910" s="262"/>
      <c r="AA1910" s="262"/>
      <c r="AB1910" s="262"/>
    </row>
    <row r="1911" spans="1:31" ht="12.75">
      <c r="A1911" s="646" t="s">
        <v>14475</v>
      </c>
      <c r="B1911" s="694" t="s">
        <v>14476</v>
      </c>
      <c r="C1911" s="365">
        <v>91914</v>
      </c>
      <c r="D1911" s="367" t="s">
        <v>14567</v>
      </c>
      <c r="E1911" s="641"/>
      <c r="F1911" s="369"/>
      <c r="G1911" s="370"/>
      <c r="H1911" s="371"/>
      <c r="I1911" s="262"/>
      <c r="J1911" s="262"/>
      <c r="K1911" s="262"/>
      <c r="L1911" s="262"/>
      <c r="M1911" s="262"/>
      <c r="N1911" s="262"/>
      <c r="O1911" s="262"/>
      <c r="P1911" s="262"/>
      <c r="Q1911" s="262"/>
      <c r="R1911" s="262"/>
      <c r="S1911" s="262"/>
      <c r="T1911" s="262"/>
      <c r="U1911" s="262"/>
      <c r="V1911" s="262"/>
      <c r="W1911" s="262"/>
      <c r="X1911" s="262"/>
      <c r="Y1911" s="262"/>
      <c r="Z1911" s="262"/>
      <c r="AA1911" s="262"/>
      <c r="AB1911" s="262"/>
    </row>
    <row r="1912" spans="1:31" ht="25.5">
      <c r="A1912" s="586" t="s">
        <v>14478</v>
      </c>
      <c r="B1912" s="421" t="s">
        <v>14476</v>
      </c>
      <c r="C1912" s="422">
        <v>88247</v>
      </c>
      <c r="D1912" s="288" t="str">
        <f>IFERROR(VLOOKUP($C1912,'24.08_ND'!$A:$D,2,0),)</f>
        <v>AUXILIAR DE ELETRICISTA COM ENCARGOS COMPLEMENTARES</v>
      </c>
      <c r="E1912" s="289" t="str">
        <f>IFERROR(VLOOKUP($C1912,'24.08_ND'!$A:$D,3,0),)</f>
        <v>H</v>
      </c>
      <c r="F1912" s="375">
        <v>0.2</v>
      </c>
      <c r="G1912" s="291">
        <f>IFERROR(VLOOKUP($C1912,'24.08_ND'!$A:$D,4,0),)</f>
        <v>20</v>
      </c>
      <c r="H1912" s="423">
        <f>TRUNC(($F1912*$G1912),2)</f>
        <v>4</v>
      </c>
      <c r="I1912" s="262"/>
      <c r="J1912" s="262"/>
      <c r="K1912" s="262"/>
      <c r="L1912" s="262"/>
      <c r="M1912" s="262"/>
      <c r="N1912" s="262"/>
      <c r="O1912" s="262"/>
      <c r="P1912" s="262"/>
      <c r="Q1912" s="262"/>
      <c r="R1912" s="262"/>
      <c r="S1912" s="262"/>
      <c r="T1912" s="262"/>
      <c r="U1912" s="262"/>
      <c r="V1912" s="262"/>
      <c r="W1912" s="262"/>
      <c r="X1912" s="262"/>
      <c r="Y1912" s="262"/>
      <c r="Z1912" s="262"/>
      <c r="AA1912" s="262"/>
      <c r="AB1912" s="262"/>
      <c r="AD1912" s="1791" t="e">
        <f>VLOOKUP(C1912,'Medição '!$B$16:$F$1833,6,0)</f>
        <v>#N/A</v>
      </c>
      <c r="AE1912" s="1791"/>
    </row>
    <row r="1913" spans="1:31" ht="25.5">
      <c r="A1913" s="586" t="s">
        <v>14478</v>
      </c>
      <c r="B1913" s="421" t="s">
        <v>14476</v>
      </c>
      <c r="C1913" s="422">
        <v>88264</v>
      </c>
      <c r="D1913" s="288" t="str">
        <f>IFERROR(VLOOKUP($C1913,'24.08_ND'!$A:$D,2,0),)</f>
        <v>ELETRICISTA COM ENCARGOS COMPLEMENTARES</v>
      </c>
      <c r="E1913" s="289" t="str">
        <f>IFERROR(VLOOKUP($C1913,'24.08_ND'!$A:$D,3,0),)</f>
        <v>H</v>
      </c>
      <c r="F1913" s="375">
        <v>0.2</v>
      </c>
      <c r="G1913" s="291">
        <f>IFERROR(VLOOKUP($C1913,'24.08_ND'!$A:$D,4,0),)</f>
        <v>24.3</v>
      </c>
      <c r="H1913" s="423">
        <f>TRUNC(($F1913*$G1913),2)</f>
        <v>4.8600000000000003</v>
      </c>
      <c r="I1913" s="262"/>
      <c r="J1913" s="262"/>
      <c r="K1913" s="262"/>
      <c r="L1913" s="262"/>
      <c r="M1913" s="262"/>
      <c r="N1913" s="262"/>
      <c r="O1913" s="262"/>
      <c r="P1913" s="262"/>
      <c r="Q1913" s="262"/>
      <c r="R1913" s="262"/>
      <c r="S1913" s="262"/>
      <c r="T1913" s="262"/>
      <c r="U1913" s="262"/>
      <c r="V1913" s="262"/>
      <c r="W1913" s="262"/>
      <c r="X1913" s="262"/>
      <c r="Y1913" s="262"/>
      <c r="Z1913" s="262"/>
      <c r="AA1913" s="262"/>
      <c r="AB1913" s="262"/>
      <c r="AD1913" s="1791" t="e">
        <f>VLOOKUP(C1913,'Medição '!$B$16:$F$1833,6,0)</f>
        <v>#N/A</v>
      </c>
      <c r="AE1913" s="1791"/>
    </row>
    <row r="1914" spans="1:31" ht="25.5">
      <c r="A1914" s="588" t="s">
        <v>14479</v>
      </c>
      <c r="B1914" s="446" t="s">
        <v>14476</v>
      </c>
      <c r="C1914" s="384">
        <v>2633</v>
      </c>
      <c r="D1914" s="296" t="str">
        <f>IFERROR(VLOOKUP($C1914,'24.08_ND'!$A:$D,2,0),)</f>
        <v>CURVA 90 GRAUS PARA ELETRODUTO, EM ACO GALVANIZADO ELETROLITICO, COM ROSCA, DIAMETRO DE 20 MM (3/4"), ESPESSURA DE 1,50 MM</v>
      </c>
      <c r="E1914" s="297" t="str">
        <f>IFERROR(VLOOKUP($C1914,'24.08_ND'!$A:$D,3,0),)</f>
        <v>UN</v>
      </c>
      <c r="F1914" s="385">
        <v>1</v>
      </c>
      <c r="G1914" s="299">
        <f>IFERROR(VLOOKUP($C1914,'24.08_ND'!$A:$D,4,0),)</f>
        <v>5.34</v>
      </c>
      <c r="H1914" s="449">
        <f>TRUNC(($F1914*$G1914),2)</f>
        <v>5.34</v>
      </c>
      <c r="I1914" s="262"/>
      <c r="J1914" s="262"/>
      <c r="K1914" s="262"/>
      <c r="L1914" s="262"/>
      <c r="M1914" s="262"/>
      <c r="N1914" s="262"/>
      <c r="O1914" s="262"/>
      <c r="P1914" s="262"/>
      <c r="Q1914" s="262"/>
      <c r="R1914" s="262"/>
      <c r="S1914" s="262"/>
      <c r="T1914" s="262"/>
      <c r="U1914" s="262"/>
      <c r="V1914" s="262"/>
      <c r="W1914" s="262"/>
      <c r="X1914" s="262"/>
      <c r="Y1914" s="262"/>
      <c r="Z1914" s="262"/>
      <c r="AA1914" s="262"/>
      <c r="AB1914" s="262"/>
    </row>
    <row r="1915" spans="1:31" ht="12.75">
      <c r="A1915" s="309"/>
      <c r="B1915" s="303"/>
      <c r="C1915" s="303"/>
      <c r="D1915" s="310"/>
      <c r="E1915" s="303"/>
      <c r="F1915" s="306"/>
      <c r="G1915" s="307"/>
      <c r="H1915" s="308"/>
      <c r="I1915" s="262"/>
      <c r="J1915" s="262"/>
      <c r="K1915" s="262"/>
      <c r="L1915" s="262"/>
      <c r="M1915" s="262"/>
      <c r="N1915" s="262"/>
      <c r="O1915" s="262"/>
      <c r="P1915" s="262"/>
      <c r="Q1915" s="262"/>
      <c r="R1915" s="262"/>
      <c r="S1915" s="262"/>
      <c r="T1915" s="262"/>
      <c r="U1915" s="262"/>
      <c r="V1915" s="262"/>
      <c r="W1915" s="262"/>
      <c r="X1915" s="262"/>
      <c r="Y1915" s="262"/>
      <c r="Z1915" s="262"/>
      <c r="AA1915" s="262"/>
      <c r="AB1915" s="262"/>
    </row>
    <row r="1916" spans="1:31" ht="12.75">
      <c r="A1916" s="358" t="s">
        <v>14471</v>
      </c>
      <c r="B1916" s="359" t="s">
        <v>14472</v>
      </c>
      <c r="C1916" s="360" t="s">
        <v>15122</v>
      </c>
      <c r="D1916" s="361" t="s">
        <v>15123</v>
      </c>
      <c r="E1916" s="359" t="s">
        <v>50</v>
      </c>
      <c r="F1916" s="362"/>
      <c r="G1916" s="362"/>
      <c r="H1916" s="363">
        <f>TRUNC(SUM(H1918:H1920),2)</f>
        <v>29.11</v>
      </c>
      <c r="I1916" s="276">
        <f>COUNTIF($C$8:$C1916,C:C)</f>
        <v>1</v>
      </c>
      <c r="J1916" s="262"/>
      <c r="K1916" s="262"/>
      <c r="L1916" s="262"/>
      <c r="M1916" s="262"/>
      <c r="N1916" s="262"/>
      <c r="O1916" s="262"/>
      <c r="P1916" s="262"/>
      <c r="Q1916" s="262"/>
      <c r="R1916" s="262"/>
      <c r="S1916" s="262"/>
      <c r="T1916" s="262"/>
      <c r="U1916" s="262"/>
      <c r="V1916" s="262"/>
      <c r="W1916" s="262"/>
      <c r="X1916" s="262"/>
      <c r="Y1916" s="262"/>
      <c r="Z1916" s="262"/>
      <c r="AA1916" s="262"/>
      <c r="AB1916" s="262"/>
    </row>
    <row r="1917" spans="1:31" ht="12.75">
      <c r="A1917" s="646" t="s">
        <v>14475</v>
      </c>
      <c r="B1917" s="403" t="s">
        <v>14600</v>
      </c>
      <c r="C1917" s="404">
        <v>13606</v>
      </c>
      <c r="D1917" s="367" t="s">
        <v>14567</v>
      </c>
      <c r="E1917" s="641"/>
      <c r="F1917" s="369"/>
      <c r="G1917" s="370"/>
      <c r="H1917" s="371"/>
      <c r="I1917" s="262"/>
      <c r="J1917" s="262"/>
      <c r="K1917" s="262"/>
      <c r="L1917" s="262"/>
      <c r="M1917" s="262"/>
      <c r="N1917" s="262"/>
      <c r="O1917" s="262"/>
      <c r="P1917" s="262"/>
      <c r="Q1917" s="262"/>
      <c r="R1917" s="262"/>
      <c r="S1917" s="262"/>
      <c r="T1917" s="262"/>
      <c r="U1917" s="262"/>
      <c r="V1917" s="262"/>
      <c r="W1917" s="262"/>
      <c r="X1917" s="262"/>
      <c r="Y1917" s="262"/>
      <c r="Z1917" s="262"/>
      <c r="AA1917" s="262"/>
      <c r="AB1917" s="262"/>
    </row>
    <row r="1918" spans="1:31" ht="25.5">
      <c r="A1918" s="586" t="s">
        <v>14478</v>
      </c>
      <c r="B1918" s="373" t="s">
        <v>14476</v>
      </c>
      <c r="C1918" s="374">
        <v>88247</v>
      </c>
      <c r="D1918" s="288" t="str">
        <f>IFERROR(VLOOKUP($C1918,'24.08_ND'!$A:$D,2,0),)</f>
        <v>AUXILIAR DE ELETRICISTA COM ENCARGOS COMPLEMENTARES</v>
      </c>
      <c r="E1918" s="289" t="str">
        <f>IFERROR(VLOOKUP($C1918,'24.08_ND'!$A:$D,3,0),)</f>
        <v>H</v>
      </c>
      <c r="F1918" s="441">
        <v>0.5</v>
      </c>
      <c r="G1918" s="291">
        <f>IFERROR(VLOOKUP($C1918,'24.08_ND'!$A:$D,4,0),)</f>
        <v>20</v>
      </c>
      <c r="H1918" s="764">
        <f>TRUNC(($F1918*$G1918),2)</f>
        <v>10</v>
      </c>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D1918" s="1791" t="e">
        <f>VLOOKUP(C1918,'Medição '!$B$16:$F$1833,6,0)</f>
        <v>#N/A</v>
      </c>
      <c r="AE1918" s="1791"/>
    </row>
    <row r="1919" spans="1:31" ht="25.5">
      <c r="A1919" s="586" t="s">
        <v>14478</v>
      </c>
      <c r="B1919" s="373" t="s">
        <v>14476</v>
      </c>
      <c r="C1919" s="374">
        <v>88264</v>
      </c>
      <c r="D1919" s="288" t="str">
        <f>IFERROR(VLOOKUP($C1919,'24.08_ND'!$A:$D,2,0),)</f>
        <v>ELETRICISTA COM ENCARGOS COMPLEMENTARES</v>
      </c>
      <c r="E1919" s="289" t="str">
        <f>IFERROR(VLOOKUP($C1919,'24.08_ND'!$A:$D,3,0),)</f>
        <v>H</v>
      </c>
      <c r="F1919" s="441">
        <v>0.5</v>
      </c>
      <c r="G1919" s="291">
        <f>IFERROR(VLOOKUP($C1919,'24.08_ND'!$A:$D,4,0),)</f>
        <v>24.3</v>
      </c>
      <c r="H1919" s="764">
        <f>TRUNC(($F1919*$G1919),2)</f>
        <v>12.15</v>
      </c>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D1919" s="1791" t="e">
        <f>VLOOKUP(C1919,'Medição '!$B$16:$F$1833,6,0)</f>
        <v>#N/A</v>
      </c>
      <c r="AE1919" s="1791"/>
    </row>
    <row r="1920" spans="1:31" ht="12.75">
      <c r="A1920" s="588" t="s">
        <v>14479</v>
      </c>
      <c r="B1920" s="383" t="s">
        <v>14476</v>
      </c>
      <c r="C1920" s="384">
        <v>39028</v>
      </c>
      <c r="D1920" s="296" t="str">
        <f>IFERROR(VLOOKUP($C1920,'24.08_ND'!$A:$D,2,0),)</f>
        <v>PERFILADO PERFURADO SIMPLES 38 X 38 MM, CHAPA 22</v>
      </c>
      <c r="E1920" s="297" t="str">
        <f>IFERROR(VLOOKUP($C1920,'24.08_ND'!$A:$D,3,0),)</f>
        <v>M</v>
      </c>
      <c r="F1920" s="759">
        <v>1</v>
      </c>
      <c r="G1920" s="299">
        <f>IFERROR(VLOOKUP($C1920,'24.08_ND'!$A:$D,4,0),)</f>
        <v>6.96</v>
      </c>
      <c r="H1920" s="449">
        <f>TRUNC(($F1920*$G1920),2)</f>
        <v>6.96</v>
      </c>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row>
    <row r="1921" spans="1:31" ht="12.75">
      <c r="A1921" s="309"/>
      <c r="B1921" s="303"/>
      <c r="C1921" s="303"/>
      <c r="D1921" s="310"/>
      <c r="E1921" s="303"/>
      <c r="F1921" s="306"/>
      <c r="G1921" s="307"/>
      <c r="H1921" s="308"/>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row>
    <row r="1922" spans="1:31" ht="25.5">
      <c r="A1922" s="358" t="s">
        <v>14471</v>
      </c>
      <c r="B1922" s="359" t="s">
        <v>14472</v>
      </c>
      <c r="C1922" s="360" t="s">
        <v>15124</v>
      </c>
      <c r="D1922" s="361" t="s">
        <v>15125</v>
      </c>
      <c r="E1922" s="359" t="s">
        <v>6</v>
      </c>
      <c r="F1922" s="362"/>
      <c r="G1922" s="362"/>
      <c r="H1922" s="363">
        <f>TRUNC(SUM(H1924:H1926),2)</f>
        <v>11</v>
      </c>
      <c r="I1922" s="276">
        <f>COUNTIF($C$8:$C1922,C:C)</f>
        <v>1</v>
      </c>
      <c r="J1922" s="262"/>
      <c r="K1922" s="262"/>
      <c r="L1922" s="262"/>
      <c r="M1922" s="262"/>
      <c r="N1922" s="262"/>
      <c r="O1922" s="262"/>
      <c r="P1922" s="262"/>
      <c r="Q1922" s="262"/>
      <c r="R1922" s="262"/>
      <c r="S1922" s="262"/>
      <c r="T1922" s="262"/>
      <c r="U1922" s="262"/>
      <c r="V1922" s="262"/>
      <c r="W1922" s="262"/>
      <c r="X1922" s="262"/>
      <c r="Y1922" s="262"/>
      <c r="Z1922" s="262"/>
      <c r="AA1922" s="262"/>
      <c r="AB1922" s="262"/>
    </row>
    <row r="1923" spans="1:31" ht="12.75">
      <c r="A1923" s="646" t="s">
        <v>14475</v>
      </c>
      <c r="B1923" s="694" t="s">
        <v>14600</v>
      </c>
      <c r="C1923" s="365">
        <v>9666</v>
      </c>
      <c r="D1923" s="367" t="s">
        <v>14567</v>
      </c>
      <c r="E1923" s="641"/>
      <c r="F1923" s="369"/>
      <c r="G1923" s="370"/>
      <c r="H1923" s="371"/>
      <c r="I1923" s="262"/>
      <c r="J1923" s="262"/>
      <c r="K1923" s="262"/>
      <c r="L1923" s="262"/>
      <c r="M1923" s="262"/>
      <c r="N1923" s="262"/>
      <c r="O1923" s="262"/>
      <c r="P1923" s="262"/>
      <c r="Q1923" s="262"/>
      <c r="R1923" s="262"/>
      <c r="S1923" s="262"/>
      <c r="T1923" s="262"/>
      <c r="U1923" s="262"/>
      <c r="V1923" s="262"/>
      <c r="W1923" s="262"/>
      <c r="X1923" s="262"/>
      <c r="Y1923" s="262"/>
      <c r="Z1923" s="262"/>
      <c r="AA1923" s="262"/>
      <c r="AB1923" s="262"/>
    </row>
    <row r="1924" spans="1:31" ht="25.5">
      <c r="A1924" s="586" t="s">
        <v>14478</v>
      </c>
      <c r="B1924" s="421" t="s">
        <v>14476</v>
      </c>
      <c r="C1924" s="422">
        <v>88247</v>
      </c>
      <c r="D1924" s="288" t="str">
        <f>IFERROR(VLOOKUP($C1924,'24.08_ND'!$A:$D,2,0),)</f>
        <v>AUXILIAR DE ELETRICISTA COM ENCARGOS COMPLEMENTARES</v>
      </c>
      <c r="E1924" s="289" t="str">
        <f>IFERROR(VLOOKUP($C1924,'24.08_ND'!$A:$D,3,0),)</f>
        <v>H</v>
      </c>
      <c r="F1924" s="375">
        <v>0.2</v>
      </c>
      <c r="G1924" s="291">
        <f>IFERROR(VLOOKUP($C1924,'24.08_ND'!$A:$D,4,0),)</f>
        <v>20</v>
      </c>
      <c r="H1924" s="423">
        <f>TRUNC(($F1924*$G1924),2)</f>
        <v>4</v>
      </c>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D1924" s="1791" t="e">
        <f>VLOOKUP(C1924,'Medição '!$B$16:$F$1833,6,0)</f>
        <v>#N/A</v>
      </c>
      <c r="AE1924" s="1791"/>
    </row>
    <row r="1925" spans="1:31" ht="25.5">
      <c r="A1925" s="586" t="s">
        <v>14478</v>
      </c>
      <c r="B1925" s="421" t="s">
        <v>14476</v>
      </c>
      <c r="C1925" s="422">
        <v>88264</v>
      </c>
      <c r="D1925" s="288" t="str">
        <f>IFERROR(VLOOKUP($C1925,'24.08_ND'!$A:$D,2,0),)</f>
        <v>ELETRICISTA COM ENCARGOS COMPLEMENTARES</v>
      </c>
      <c r="E1925" s="289" t="str">
        <f>IFERROR(VLOOKUP($C1925,'24.08_ND'!$A:$D,3,0),)</f>
        <v>H</v>
      </c>
      <c r="F1925" s="375">
        <v>0.2</v>
      </c>
      <c r="G1925" s="291">
        <f>IFERROR(VLOOKUP($C1925,'24.08_ND'!$A:$D,4,0),)</f>
        <v>24.3</v>
      </c>
      <c r="H1925" s="423">
        <f>TRUNC(($F1925*$G1925),2)</f>
        <v>4.8600000000000003</v>
      </c>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D1925" s="1791" t="e">
        <f>VLOOKUP(C1925,'Medição '!$B$16:$F$1833,6,0)</f>
        <v>#N/A</v>
      </c>
      <c r="AE1925" s="1791"/>
    </row>
    <row r="1926" spans="1:31" ht="12.75">
      <c r="A1926" s="590" t="s">
        <v>14479</v>
      </c>
      <c r="B1926" s="312" t="str">
        <f>VLOOKUP($C1926,'• CIs EXT'!$A:$E,2,0)</f>
        <v>ORSE</v>
      </c>
      <c r="C1926" s="377">
        <v>10044</v>
      </c>
      <c r="D1926" s="378" t="str">
        <f>VLOOKUP($C1926,'• CIs EXT'!$A:$E,3,0)</f>
        <v>EMENDA EXTERNA, PARA PERFILADO TIPO "I", 38 X 38 MM,</v>
      </c>
      <c r="E1926" s="379" t="str">
        <f>VLOOKUP($C1926,'• CIs EXT'!$A:$E,4,0)</f>
        <v>UN</v>
      </c>
      <c r="F1926" s="442">
        <v>1</v>
      </c>
      <c r="G1926" s="379">
        <f>VLOOKUP($C1926,'• CIs EXT'!$A:$E,5,0)</f>
        <v>2.14</v>
      </c>
      <c r="H1926" s="381">
        <f>TRUNC(($F1926*$G1926),2)</f>
        <v>2.14</v>
      </c>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row>
    <row r="1927" spans="1:31" ht="12.75">
      <c r="A1927" s="309"/>
      <c r="B1927" s="303"/>
      <c r="C1927" s="303"/>
      <c r="D1927" s="310"/>
      <c r="E1927" s="303"/>
      <c r="F1927" s="306"/>
      <c r="G1927" s="307"/>
      <c r="H1927" s="308"/>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row>
    <row r="1928" spans="1:31" ht="12.75">
      <c r="A1928" s="358" t="s">
        <v>14471</v>
      </c>
      <c r="B1928" s="359" t="s">
        <v>14472</v>
      </c>
      <c r="C1928" s="360" t="s">
        <v>15126</v>
      </c>
      <c r="D1928" s="361" t="s">
        <v>15127</v>
      </c>
      <c r="E1928" s="359" t="s">
        <v>6</v>
      </c>
      <c r="F1928" s="362"/>
      <c r="G1928" s="362"/>
      <c r="H1928" s="363">
        <f>TRUNC(SUM(H1930:H1932),2)</f>
        <v>14.32</v>
      </c>
      <c r="I1928" s="276">
        <f>COUNTIF($C$8:$C1928,C:C)</f>
        <v>1</v>
      </c>
      <c r="J1928" s="262"/>
      <c r="K1928" s="262"/>
      <c r="L1928" s="262"/>
      <c r="M1928" s="262"/>
      <c r="N1928" s="262"/>
      <c r="O1928" s="262"/>
      <c r="P1928" s="262"/>
      <c r="Q1928" s="262"/>
      <c r="R1928" s="262"/>
      <c r="S1928" s="262"/>
      <c r="T1928" s="262"/>
      <c r="U1928" s="262"/>
      <c r="V1928" s="262"/>
      <c r="W1928" s="262"/>
      <c r="X1928" s="262"/>
      <c r="Y1928" s="262"/>
      <c r="Z1928" s="262"/>
      <c r="AA1928" s="262"/>
      <c r="AB1928" s="262"/>
    </row>
    <row r="1929" spans="1:31" ht="12.75">
      <c r="A1929" s="646" t="s">
        <v>14475</v>
      </c>
      <c r="B1929" s="694" t="s">
        <v>14600</v>
      </c>
      <c r="C1929" s="365">
        <v>12578</v>
      </c>
      <c r="D1929" s="757" t="s">
        <v>14477</v>
      </c>
      <c r="E1929" s="641"/>
      <c r="F1929" s="369"/>
      <c r="G1929" s="370"/>
      <c r="H1929" s="371"/>
      <c r="I1929" s="262"/>
      <c r="J1929" s="262"/>
      <c r="K1929" s="262"/>
      <c r="L1929" s="262"/>
      <c r="M1929" s="262"/>
      <c r="N1929" s="262"/>
      <c r="O1929" s="262"/>
      <c r="P1929" s="262"/>
      <c r="Q1929" s="262"/>
      <c r="R1929" s="262"/>
      <c r="S1929" s="262"/>
      <c r="T1929" s="262"/>
      <c r="U1929" s="262"/>
      <c r="V1929" s="262"/>
      <c r="W1929" s="262"/>
      <c r="X1929" s="262"/>
      <c r="Y1929" s="262"/>
      <c r="Z1929" s="262"/>
      <c r="AA1929" s="262"/>
      <c r="AB1929" s="262"/>
    </row>
    <row r="1930" spans="1:31" ht="25.5">
      <c r="A1930" s="586" t="s">
        <v>14478</v>
      </c>
      <c r="B1930" s="421" t="s">
        <v>14476</v>
      </c>
      <c r="C1930" s="422">
        <v>88247</v>
      </c>
      <c r="D1930" s="288" t="str">
        <f>IFERROR(VLOOKUP($C1930,'24.08_ND'!$A:$D,2,0),)</f>
        <v>AUXILIAR DE ELETRICISTA COM ENCARGOS COMPLEMENTARES</v>
      </c>
      <c r="E1930" s="289" t="str">
        <f>IFERROR(VLOOKUP($C1930,'24.08_ND'!$A:$D,3,0),)</f>
        <v>H</v>
      </c>
      <c r="F1930" s="375">
        <v>0.2</v>
      </c>
      <c r="G1930" s="291">
        <f>IFERROR(VLOOKUP($C1930,'24.08_ND'!$A:$D,4,0),)</f>
        <v>20</v>
      </c>
      <c r="H1930" s="423">
        <f>TRUNC(($F1930*$G1930),2)</f>
        <v>4</v>
      </c>
      <c r="I1930" s="262"/>
      <c r="J1930" s="262"/>
      <c r="K1930" s="262"/>
      <c r="L1930" s="262"/>
      <c r="M1930" s="262"/>
      <c r="N1930" s="262"/>
      <c r="O1930" s="262"/>
      <c r="P1930" s="262"/>
      <c r="Q1930" s="262"/>
      <c r="R1930" s="262"/>
      <c r="S1930" s="262"/>
      <c r="T1930" s="262"/>
      <c r="U1930" s="262"/>
      <c r="V1930" s="262"/>
      <c r="W1930" s="262"/>
      <c r="X1930" s="262"/>
      <c r="Y1930" s="262"/>
      <c r="Z1930" s="262"/>
      <c r="AA1930" s="262"/>
      <c r="AB1930" s="262"/>
      <c r="AD1930" s="1791" t="e">
        <f>VLOOKUP(C1930,'Medição '!$B$16:$F$1833,6,0)</f>
        <v>#N/A</v>
      </c>
      <c r="AE1930" s="1791"/>
    </row>
    <row r="1931" spans="1:31" ht="25.5">
      <c r="A1931" s="586" t="s">
        <v>14478</v>
      </c>
      <c r="B1931" s="421" t="s">
        <v>14476</v>
      </c>
      <c r="C1931" s="422">
        <v>88264</v>
      </c>
      <c r="D1931" s="288" t="str">
        <f>IFERROR(VLOOKUP($C1931,'24.08_ND'!$A:$D,2,0),)</f>
        <v>ELETRICISTA COM ENCARGOS COMPLEMENTARES</v>
      </c>
      <c r="E1931" s="289" t="str">
        <f>IFERROR(VLOOKUP($C1931,'24.08_ND'!$A:$D,3,0),)</f>
        <v>H</v>
      </c>
      <c r="F1931" s="375">
        <v>0.2</v>
      </c>
      <c r="G1931" s="291">
        <f>IFERROR(VLOOKUP($C1931,'24.08_ND'!$A:$D,4,0),)</f>
        <v>24.3</v>
      </c>
      <c r="H1931" s="423">
        <f>TRUNC(($F1931*$G1931),2)</f>
        <v>4.8600000000000003</v>
      </c>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D1931" s="1791" t="e">
        <f>VLOOKUP(C1931,'Medição '!$B$16:$F$1833,6,0)</f>
        <v>#N/A</v>
      </c>
      <c r="AE1931" s="1791"/>
    </row>
    <row r="1932" spans="1:31" ht="12.75">
      <c r="A1932" s="590" t="s">
        <v>14479</v>
      </c>
      <c r="B1932" s="312" t="str">
        <f>VLOOKUP($C1932,'• CIs EXT'!$A:$E,2,0)</f>
        <v>ORSE</v>
      </c>
      <c r="C1932" s="377">
        <v>13378</v>
      </c>
      <c r="D1932" s="378" t="str">
        <f>VLOOKUP($C1932,'• CIs EXT'!$A:$E,3,0)</f>
        <v>SAÍDA PARA PERFILADO 38X38 MM</v>
      </c>
      <c r="E1932" s="379" t="str">
        <f>VLOOKUP($C1932,'• CIs EXT'!$A:$E,4,0)</f>
        <v>UN</v>
      </c>
      <c r="F1932" s="442">
        <v>1</v>
      </c>
      <c r="G1932" s="379">
        <f>VLOOKUP($C1932,'• CIs EXT'!$A:$E,5,0)</f>
        <v>5.46</v>
      </c>
      <c r="H1932" s="381">
        <f>TRUNC(($F1932*$G1932),2)</f>
        <v>5.46</v>
      </c>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row>
    <row r="1933" spans="1:31" ht="12.75">
      <c r="A1933" s="309"/>
      <c r="B1933" s="303"/>
      <c r="C1933" s="303"/>
      <c r="D1933" s="310"/>
      <c r="E1933" s="303"/>
      <c r="F1933" s="306"/>
      <c r="G1933" s="307"/>
      <c r="H1933" s="308"/>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row>
    <row r="1934" spans="1:31" ht="12.75">
      <c r="A1934" s="358" t="s">
        <v>14471</v>
      </c>
      <c r="B1934" s="359" t="s">
        <v>14472</v>
      </c>
      <c r="C1934" s="360" t="s">
        <v>15128</v>
      </c>
      <c r="D1934" s="361" t="s">
        <v>15129</v>
      </c>
      <c r="E1934" s="359" t="s">
        <v>6</v>
      </c>
      <c r="F1934" s="362"/>
      <c r="G1934" s="362"/>
      <c r="H1934" s="363">
        <f>TRUNC(SUM(H1936:H1938),2)</f>
        <v>13.79</v>
      </c>
      <c r="I1934" s="276">
        <f>COUNTIF($C$8:$C1934,C:C)</f>
        <v>1</v>
      </c>
      <c r="J1934" s="262"/>
      <c r="K1934" s="262"/>
      <c r="L1934" s="262"/>
      <c r="M1934" s="262"/>
      <c r="N1934" s="262"/>
      <c r="O1934" s="262"/>
      <c r="P1934" s="262"/>
      <c r="Q1934" s="262"/>
      <c r="R1934" s="262"/>
      <c r="S1934" s="262"/>
      <c r="T1934" s="262"/>
      <c r="U1934" s="262"/>
      <c r="V1934" s="262"/>
      <c r="W1934" s="262"/>
      <c r="X1934" s="262"/>
      <c r="Y1934" s="262"/>
      <c r="Z1934" s="262"/>
      <c r="AA1934" s="262"/>
      <c r="AB1934" s="262"/>
    </row>
    <row r="1935" spans="1:31" ht="12.75">
      <c r="A1935" s="646" t="s">
        <v>14475</v>
      </c>
      <c r="B1935" s="694" t="s">
        <v>14600</v>
      </c>
      <c r="C1935" s="365">
        <v>12556</v>
      </c>
      <c r="D1935" s="757" t="s">
        <v>14477</v>
      </c>
      <c r="E1935" s="641"/>
      <c r="F1935" s="369"/>
      <c r="G1935" s="370"/>
      <c r="H1935" s="371"/>
      <c r="I1935" s="262"/>
      <c r="J1935" s="262"/>
      <c r="K1935" s="262"/>
      <c r="L1935" s="262"/>
      <c r="M1935" s="262"/>
      <c r="N1935" s="262"/>
      <c r="O1935" s="262"/>
      <c r="P1935" s="262"/>
      <c r="Q1935" s="262"/>
      <c r="R1935" s="262"/>
      <c r="S1935" s="262"/>
      <c r="T1935" s="262"/>
      <c r="U1935" s="262"/>
      <c r="V1935" s="262"/>
      <c r="W1935" s="262"/>
      <c r="X1935" s="262"/>
      <c r="Y1935" s="262"/>
      <c r="Z1935" s="262"/>
      <c r="AA1935" s="262"/>
      <c r="AB1935" s="262"/>
    </row>
    <row r="1936" spans="1:31" ht="25.5">
      <c r="A1936" s="586" t="s">
        <v>14478</v>
      </c>
      <c r="B1936" s="421" t="s">
        <v>14476</v>
      </c>
      <c r="C1936" s="422">
        <v>88247</v>
      </c>
      <c r="D1936" s="288" t="str">
        <f>IFERROR(VLOOKUP($C1936,'24.08_ND'!$A:$D,2,0),)</f>
        <v>AUXILIAR DE ELETRICISTA COM ENCARGOS COMPLEMENTARES</v>
      </c>
      <c r="E1936" s="289" t="str">
        <f>IFERROR(VLOOKUP($C1936,'24.08_ND'!$A:$D,3,0),)</f>
        <v>H</v>
      </c>
      <c r="F1936" s="375">
        <v>0.19700000000000001</v>
      </c>
      <c r="G1936" s="291">
        <f>IFERROR(VLOOKUP($C1936,'24.08_ND'!$A:$D,4,0),)</f>
        <v>20</v>
      </c>
      <c r="H1936" s="423">
        <f>TRUNC(($F1936*$G1936),2)</f>
        <v>3.94</v>
      </c>
      <c r="I1936" s="262"/>
      <c r="J1936" s="262"/>
      <c r="K1936" s="262"/>
      <c r="L1936" s="262"/>
      <c r="M1936" s="262"/>
      <c r="N1936" s="262"/>
      <c r="O1936" s="262"/>
      <c r="P1936" s="262"/>
      <c r="Q1936" s="262"/>
      <c r="R1936" s="262"/>
      <c r="S1936" s="262"/>
      <c r="T1936" s="262"/>
      <c r="U1936" s="262"/>
      <c r="V1936" s="262"/>
      <c r="W1936" s="262"/>
      <c r="X1936" s="262"/>
      <c r="Y1936" s="262"/>
      <c r="Z1936" s="262"/>
      <c r="AA1936" s="262"/>
      <c r="AB1936" s="262"/>
      <c r="AD1936" s="1791" t="e">
        <f>VLOOKUP(C1936,'Medição '!$B$16:$F$1833,6,0)</f>
        <v>#N/A</v>
      </c>
      <c r="AE1936" s="1791"/>
    </row>
    <row r="1937" spans="1:31" ht="25.5">
      <c r="A1937" s="586" t="s">
        <v>14478</v>
      </c>
      <c r="B1937" s="421" t="s">
        <v>14476</v>
      </c>
      <c r="C1937" s="422">
        <v>88264</v>
      </c>
      <c r="D1937" s="288" t="str">
        <f>IFERROR(VLOOKUP($C1937,'24.08_ND'!$A:$D,2,0),)</f>
        <v>ELETRICISTA COM ENCARGOS COMPLEMENTARES</v>
      </c>
      <c r="E1937" s="289" t="str">
        <f>IFERROR(VLOOKUP($C1937,'24.08_ND'!$A:$D,3,0),)</f>
        <v>H</v>
      </c>
      <c r="F1937" s="375">
        <v>0.19700000000000001</v>
      </c>
      <c r="G1937" s="291">
        <f>IFERROR(VLOOKUP($C1937,'24.08_ND'!$A:$D,4,0),)</f>
        <v>24.3</v>
      </c>
      <c r="H1937" s="423">
        <f>TRUNC(($F1937*$G1937),2)</f>
        <v>4.78</v>
      </c>
      <c r="I1937" s="262"/>
      <c r="J1937" s="262"/>
      <c r="K1937" s="262"/>
      <c r="L1937" s="262"/>
      <c r="M1937" s="262"/>
      <c r="N1937" s="262"/>
      <c r="O1937" s="262"/>
      <c r="P1937" s="262"/>
      <c r="Q1937" s="262"/>
      <c r="R1937" s="262"/>
      <c r="S1937" s="262"/>
      <c r="T1937" s="262"/>
      <c r="U1937" s="262"/>
      <c r="V1937" s="262"/>
      <c r="W1937" s="262"/>
      <c r="X1937" s="262"/>
      <c r="Y1937" s="262"/>
      <c r="Z1937" s="262"/>
      <c r="AA1937" s="262"/>
      <c r="AB1937" s="262"/>
      <c r="AD1937" s="1791" t="e">
        <f>VLOOKUP(C1937,'Medição '!$B$16:$F$1833,6,0)</f>
        <v>#N/A</v>
      </c>
      <c r="AE1937" s="1791"/>
    </row>
    <row r="1938" spans="1:31" ht="12.75">
      <c r="A1938" s="590" t="s">
        <v>14479</v>
      </c>
      <c r="B1938" s="312" t="str">
        <f>VLOOKUP($C1938,'• CIs EXT'!$A:$E,2,0)</f>
        <v>ORSE</v>
      </c>
      <c r="C1938" s="377">
        <v>3630</v>
      </c>
      <c r="D1938" s="378" t="str">
        <f>VLOOKUP($C1938,'• CIs EXT'!$A:$E,3,0)</f>
        <v>JUNÇÃO INTERNA TIPO ”L” PARA PERFILADO, ( REF.: MOPA OU SIMILAR)</v>
      </c>
      <c r="E1938" s="379" t="str">
        <f>VLOOKUP($C1938,'• CIs EXT'!$A:$E,4,0)</f>
        <v>UN</v>
      </c>
      <c r="F1938" s="442">
        <v>1</v>
      </c>
      <c r="G1938" s="379">
        <f>VLOOKUP($C1938,'• CIs EXT'!$A:$E,5,0)</f>
        <v>5.07</v>
      </c>
      <c r="H1938" s="381">
        <f>TRUNC(($F1938*$G1938),2)</f>
        <v>5.07</v>
      </c>
      <c r="I1938" s="262"/>
      <c r="J1938" s="262"/>
      <c r="K1938" s="262"/>
      <c r="L1938" s="262"/>
      <c r="M1938" s="262"/>
      <c r="N1938" s="262"/>
      <c r="O1938" s="262"/>
      <c r="P1938" s="262"/>
      <c r="Q1938" s="262"/>
      <c r="R1938" s="262"/>
      <c r="S1938" s="262"/>
      <c r="T1938" s="262"/>
      <c r="U1938" s="262"/>
      <c r="V1938" s="262"/>
      <c r="W1938" s="262"/>
      <c r="X1938" s="262"/>
      <c r="Y1938" s="262"/>
      <c r="Z1938" s="262"/>
      <c r="AA1938" s="262"/>
      <c r="AB1938" s="262"/>
    </row>
    <row r="1939" spans="1:31" ht="12.75">
      <c r="A1939" s="309"/>
      <c r="B1939" s="303"/>
      <c r="C1939" s="303"/>
      <c r="D1939" s="310"/>
      <c r="E1939" s="303"/>
      <c r="F1939" s="306"/>
      <c r="G1939" s="307"/>
      <c r="H1939" s="308"/>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row>
    <row r="1940" spans="1:31" ht="25.5">
      <c r="A1940" s="358" t="s">
        <v>14471</v>
      </c>
      <c r="B1940" s="359" t="s">
        <v>14472</v>
      </c>
      <c r="C1940" s="360" t="s">
        <v>15130</v>
      </c>
      <c r="D1940" s="361" t="s">
        <v>15131</v>
      </c>
      <c r="E1940" s="359" t="s">
        <v>6</v>
      </c>
      <c r="F1940" s="362"/>
      <c r="G1940" s="362"/>
      <c r="H1940" s="363">
        <f>TRUNC(SUM(H1942:H1944),2)</f>
        <v>21.73</v>
      </c>
      <c r="I1940" s="276">
        <f>COUNTIF($C$8:$C1940,C:C)</f>
        <v>1</v>
      </c>
      <c r="J1940" s="262"/>
      <c r="K1940" s="262"/>
      <c r="L1940" s="262"/>
      <c r="M1940" s="262"/>
      <c r="N1940" s="262"/>
      <c r="O1940" s="262"/>
      <c r="P1940" s="262"/>
      <c r="Q1940" s="262"/>
      <c r="R1940" s="262"/>
      <c r="S1940" s="262"/>
      <c r="T1940" s="262"/>
      <c r="U1940" s="262"/>
      <c r="V1940" s="262"/>
      <c r="W1940" s="262"/>
      <c r="X1940" s="262"/>
      <c r="Y1940" s="262"/>
      <c r="Z1940" s="262"/>
      <c r="AA1940" s="262"/>
      <c r="AB1940" s="262"/>
    </row>
    <row r="1941" spans="1:31" ht="12.75">
      <c r="A1941" s="646" t="s">
        <v>14475</v>
      </c>
      <c r="B1941" s="403" t="s">
        <v>14600</v>
      </c>
      <c r="C1941" s="404">
        <v>8689</v>
      </c>
      <c r="D1941" s="367" t="s">
        <v>15132</v>
      </c>
      <c r="E1941" s="641"/>
      <c r="F1941" s="369"/>
      <c r="G1941" s="370"/>
      <c r="H1941" s="371"/>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row>
    <row r="1942" spans="1:31" ht="25.5">
      <c r="A1942" s="586" t="s">
        <v>14478</v>
      </c>
      <c r="B1942" s="373" t="s">
        <v>14476</v>
      </c>
      <c r="C1942" s="374">
        <v>88247</v>
      </c>
      <c r="D1942" s="288" t="str">
        <f>IFERROR(VLOOKUP($C1942,'24.08_ND'!$A:$D,2,0),)</f>
        <v>AUXILIAR DE ELETRICISTA COM ENCARGOS COMPLEMENTARES</v>
      </c>
      <c r="E1942" s="289" t="str">
        <f>IFERROR(VLOOKUP($C1942,'24.08_ND'!$A:$D,3,0),)</f>
        <v>H</v>
      </c>
      <c r="F1942" s="441">
        <v>0.2</v>
      </c>
      <c r="G1942" s="291">
        <f>IFERROR(VLOOKUP($C1942,'24.08_ND'!$A:$D,4,0),)</f>
        <v>20</v>
      </c>
      <c r="H1942" s="423">
        <f>TRUNC(($F1942*$G1942),2)</f>
        <v>4</v>
      </c>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D1942" s="1791" t="e">
        <f>VLOOKUP(C1942,'Medição '!$B$16:$F$1833,6,0)</f>
        <v>#N/A</v>
      </c>
      <c r="AE1942" s="1791"/>
    </row>
    <row r="1943" spans="1:31" ht="25.5">
      <c r="A1943" s="586" t="s">
        <v>14478</v>
      </c>
      <c r="B1943" s="373" t="s">
        <v>14476</v>
      </c>
      <c r="C1943" s="374">
        <v>88264</v>
      </c>
      <c r="D1943" s="288" t="str">
        <f>IFERROR(VLOOKUP($C1943,'24.08_ND'!$A:$D,2,0),)</f>
        <v>ELETRICISTA COM ENCARGOS COMPLEMENTARES</v>
      </c>
      <c r="E1943" s="289" t="str">
        <f>IFERROR(VLOOKUP($C1943,'24.08_ND'!$A:$D,3,0),)</f>
        <v>H</v>
      </c>
      <c r="F1943" s="441">
        <v>0.2</v>
      </c>
      <c r="G1943" s="291">
        <f>IFERROR(VLOOKUP($C1943,'24.08_ND'!$A:$D,4,0),)</f>
        <v>24.3</v>
      </c>
      <c r="H1943" s="440">
        <f>TRUNC(($F1943*$G1943),2)</f>
        <v>4.8600000000000003</v>
      </c>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D1943" s="1791" t="e">
        <f>VLOOKUP(C1943,'Medição '!$B$16:$F$1833,6,0)</f>
        <v>#N/A</v>
      </c>
      <c r="AE1943" s="1791"/>
    </row>
    <row r="1944" spans="1:31" ht="12.75">
      <c r="A1944" s="590" t="s">
        <v>14479</v>
      </c>
      <c r="B1944" s="312" t="str">
        <f>VLOOKUP($C1944,'• CIs EXT'!$A:$E,2,0)</f>
        <v>ORSE</v>
      </c>
      <c r="C1944" s="377">
        <v>12153</v>
      </c>
      <c r="D1944" s="378" t="str">
        <f>VLOOKUP($C1944,'• CIs EXT'!$A:$E,3,0)</f>
        <v>CURVA 90 VERTICAL EXTERNA 50x50mm CHAPA 20</v>
      </c>
      <c r="E1944" s="379" t="str">
        <f>VLOOKUP($C1944,'• CIs EXT'!$A:$E,4,0)</f>
        <v>UN</v>
      </c>
      <c r="F1944" s="442">
        <v>1</v>
      </c>
      <c r="G1944" s="379">
        <f>VLOOKUP($C1944,'• CIs EXT'!$A:$E,5,0)</f>
        <v>12.87</v>
      </c>
      <c r="H1944" s="381">
        <f>TRUNC(($F1944*$G1944),2)</f>
        <v>12.87</v>
      </c>
      <c r="I1944" s="262"/>
      <c r="J1944" s="262"/>
      <c r="K1944" s="262"/>
      <c r="L1944" s="262"/>
      <c r="M1944" s="262"/>
      <c r="N1944" s="262"/>
      <c r="O1944" s="262"/>
      <c r="P1944" s="262"/>
      <c r="Q1944" s="262"/>
      <c r="R1944" s="262"/>
      <c r="S1944" s="262"/>
      <c r="T1944" s="262"/>
      <c r="U1944" s="262"/>
      <c r="V1944" s="262"/>
      <c r="W1944" s="262"/>
      <c r="X1944" s="262"/>
      <c r="Y1944" s="262"/>
      <c r="Z1944" s="262"/>
      <c r="AA1944" s="262"/>
      <c r="AB1944" s="262"/>
    </row>
    <row r="1945" spans="1:31" ht="12.75">
      <c r="A1945" s="309"/>
      <c r="B1945" s="303"/>
      <c r="C1945" s="303"/>
      <c r="D1945" s="310"/>
      <c r="E1945" s="303"/>
      <c r="F1945" s="306"/>
      <c r="G1945" s="307"/>
      <c r="H1945" s="308"/>
      <c r="I1945" s="262"/>
      <c r="J1945" s="262"/>
      <c r="K1945" s="262"/>
      <c r="L1945" s="262"/>
      <c r="M1945" s="262"/>
      <c r="N1945" s="262"/>
      <c r="O1945" s="262"/>
      <c r="P1945" s="262"/>
      <c r="Q1945" s="262"/>
      <c r="R1945" s="262"/>
      <c r="S1945" s="262"/>
      <c r="T1945" s="262"/>
      <c r="U1945" s="262"/>
      <c r="V1945" s="262"/>
      <c r="W1945" s="262"/>
      <c r="X1945" s="262"/>
      <c r="Y1945" s="262"/>
      <c r="Z1945" s="262"/>
      <c r="AA1945" s="262"/>
      <c r="AB1945" s="262"/>
    </row>
    <row r="1946" spans="1:31" ht="25.5">
      <c r="A1946" s="358" t="s">
        <v>14471</v>
      </c>
      <c r="B1946" s="359" t="s">
        <v>14472</v>
      </c>
      <c r="C1946" s="360" t="s">
        <v>15133</v>
      </c>
      <c r="D1946" s="361" t="s">
        <v>15134</v>
      </c>
      <c r="E1946" s="359" t="s">
        <v>50</v>
      </c>
      <c r="F1946" s="362"/>
      <c r="G1946" s="362"/>
      <c r="H1946" s="363">
        <f>TRUNC(SUM(H1948:H1954),2)</f>
        <v>11.25</v>
      </c>
      <c r="I1946" s="276">
        <f>COUNTIF($C$8:$C1946,C:C)</f>
        <v>1</v>
      </c>
      <c r="J1946" s="262"/>
      <c r="K1946" s="262"/>
      <c r="L1946" s="262"/>
      <c r="M1946" s="262"/>
      <c r="N1946" s="262"/>
      <c r="O1946" s="262"/>
      <c r="P1946" s="262"/>
      <c r="Q1946" s="262"/>
      <c r="R1946" s="262"/>
      <c r="S1946" s="262"/>
      <c r="T1946" s="262"/>
      <c r="U1946" s="262"/>
      <c r="V1946" s="262"/>
      <c r="W1946" s="262"/>
      <c r="X1946" s="262"/>
      <c r="Y1946" s="262"/>
      <c r="Z1946" s="262"/>
      <c r="AA1946" s="262"/>
      <c r="AB1946" s="262"/>
    </row>
    <row r="1947" spans="1:31" ht="12.75">
      <c r="A1947" s="646" t="s">
        <v>14475</v>
      </c>
      <c r="B1947" s="403" t="s">
        <v>14600</v>
      </c>
      <c r="C1947" s="404">
        <v>8697</v>
      </c>
      <c r="D1947" s="367" t="s">
        <v>14567</v>
      </c>
      <c r="E1947" s="641"/>
      <c r="F1947" s="369"/>
      <c r="G1947" s="370"/>
      <c r="H1947" s="371"/>
      <c r="I1947" s="262"/>
      <c r="J1947" s="262"/>
      <c r="K1947" s="262"/>
      <c r="L1947" s="262"/>
      <c r="M1947" s="262"/>
      <c r="N1947" s="262"/>
      <c r="O1947" s="262"/>
      <c r="P1947" s="262"/>
      <c r="Q1947" s="262"/>
      <c r="R1947" s="262"/>
      <c r="S1947" s="262"/>
      <c r="T1947" s="262"/>
      <c r="U1947" s="262"/>
      <c r="V1947" s="262"/>
      <c r="W1947" s="262"/>
      <c r="X1947" s="262"/>
      <c r="Y1947" s="262"/>
      <c r="Z1947" s="262"/>
      <c r="AA1947" s="262"/>
      <c r="AB1947" s="262"/>
    </row>
    <row r="1948" spans="1:31" ht="25.5">
      <c r="A1948" s="586" t="s">
        <v>14478</v>
      </c>
      <c r="B1948" s="373" t="s">
        <v>14476</v>
      </c>
      <c r="C1948" s="374">
        <v>88309</v>
      </c>
      <c r="D1948" s="288" t="str">
        <f>IFERROR(VLOOKUP($C1948,'24.08_ND'!$A:$D,2,0),)</f>
        <v>PEDREIRO COM ENCARGOS COMPLEMENTARES</v>
      </c>
      <c r="E1948" s="289" t="str">
        <f>IFERROR(VLOOKUP($C1948,'24.08_ND'!$A:$D,3,0),)</f>
        <v>H</v>
      </c>
      <c r="F1948" s="441">
        <v>0.2</v>
      </c>
      <c r="G1948" s="291">
        <f>IFERROR(VLOOKUP($C1948,'24.08_ND'!$A:$D,4,0),)</f>
        <v>23.33</v>
      </c>
      <c r="H1948" s="764">
        <f t="shared" ref="H1948:H1954" si="75">TRUNC(($F1948*$G1948),2)</f>
        <v>4.66</v>
      </c>
      <c r="I1948" s="262"/>
      <c r="J1948" s="262"/>
      <c r="K1948" s="262"/>
      <c r="L1948" s="262"/>
      <c r="M1948" s="262"/>
      <c r="N1948" s="262"/>
      <c r="O1948" s="262"/>
      <c r="P1948" s="262"/>
      <c r="Q1948" s="262"/>
      <c r="R1948" s="262"/>
      <c r="S1948" s="262"/>
      <c r="T1948" s="262"/>
      <c r="U1948" s="262"/>
      <c r="V1948" s="262"/>
      <c r="W1948" s="262"/>
      <c r="X1948" s="262"/>
      <c r="Y1948" s="262"/>
      <c r="Z1948" s="262"/>
      <c r="AA1948" s="262"/>
      <c r="AB1948" s="262"/>
      <c r="AD1948" s="1791" t="e">
        <f>VLOOKUP(C1948,'Medição '!$B$16:$F$1833,6,0)</f>
        <v>#N/A</v>
      </c>
      <c r="AE1948" s="1791"/>
    </row>
    <row r="1949" spans="1:31" ht="25.5">
      <c r="A1949" s="586" t="s">
        <v>14478</v>
      </c>
      <c r="B1949" s="373" t="s">
        <v>14476</v>
      </c>
      <c r="C1949" s="374">
        <v>88316</v>
      </c>
      <c r="D1949" s="288" t="str">
        <f>IFERROR(VLOOKUP($C1949,'24.08_ND'!$A:$D,2,0),)</f>
        <v>SERVENTE COM ENCARGOS COMPLEMENTARES</v>
      </c>
      <c r="E1949" s="289" t="str">
        <f>IFERROR(VLOOKUP($C1949,'24.08_ND'!$A:$D,3,0),)</f>
        <v>H</v>
      </c>
      <c r="F1949" s="441">
        <v>0.2</v>
      </c>
      <c r="G1949" s="291">
        <f>IFERROR(VLOOKUP($C1949,'24.08_ND'!$A:$D,4,0),)</f>
        <v>18.510000000000002</v>
      </c>
      <c r="H1949" s="764">
        <f t="shared" si="75"/>
        <v>3.7</v>
      </c>
      <c r="I1949" s="262"/>
      <c r="J1949" s="262"/>
      <c r="K1949" s="262"/>
      <c r="L1949" s="262"/>
      <c r="M1949" s="262"/>
      <c r="N1949" s="262"/>
      <c r="O1949" s="262"/>
      <c r="P1949" s="262"/>
      <c r="Q1949" s="262"/>
      <c r="R1949" s="262"/>
      <c r="S1949" s="262"/>
      <c r="T1949" s="262"/>
      <c r="U1949" s="262"/>
      <c r="V1949" s="262"/>
      <c r="W1949" s="262"/>
      <c r="X1949" s="262"/>
      <c r="Y1949" s="262"/>
      <c r="Z1949" s="262"/>
      <c r="AA1949" s="262"/>
      <c r="AB1949" s="262"/>
      <c r="AD1949" s="1791" t="e">
        <f>VLOOKUP(C1949,'Medição '!$B$16:$F$1833,6,0)</f>
        <v>#N/A</v>
      </c>
      <c r="AE1949" s="1791"/>
    </row>
    <row r="1950" spans="1:31" ht="25.5">
      <c r="A1950" s="588" t="s">
        <v>14479</v>
      </c>
      <c r="B1950" s="383" t="s">
        <v>14476</v>
      </c>
      <c r="C1950" s="384">
        <v>11962</v>
      </c>
      <c r="D1950" s="296" t="str">
        <f>IFERROR(VLOOKUP($C1950,'24.08_ND'!$A:$D,2,0),)</f>
        <v>PARAFUSO ZINCADO, SEXTAVADO, COM ROSCA INTEIRA, DIAMETRO 1/4", COMPRIMENTO 1/2"</v>
      </c>
      <c r="E1950" s="297" t="str">
        <f>IFERROR(VLOOKUP($C1950,'24.08_ND'!$A:$D,3,0),)</f>
        <v>UN</v>
      </c>
      <c r="F1950" s="759">
        <v>1</v>
      </c>
      <c r="G1950" s="299">
        <f>IFERROR(VLOOKUP($C1950,'24.08_ND'!$A:$D,4,0),)</f>
        <v>0.2</v>
      </c>
      <c r="H1950" s="449">
        <f t="shared" si="75"/>
        <v>0.2</v>
      </c>
      <c r="I1950" s="262"/>
      <c r="J1950" s="262"/>
      <c r="K1950" s="262"/>
      <c r="L1950" s="262"/>
      <c r="M1950" s="262"/>
      <c r="N1950" s="262"/>
      <c r="O1950" s="262"/>
      <c r="P1950" s="262"/>
      <c r="Q1950" s="262"/>
      <c r="R1950" s="262"/>
      <c r="S1950" s="262"/>
      <c r="T1950" s="262"/>
      <c r="U1950" s="262"/>
      <c r="V1950" s="262"/>
      <c r="W1950" s="262"/>
      <c r="X1950" s="262"/>
      <c r="Y1950" s="262"/>
      <c r="Z1950" s="262"/>
      <c r="AA1950" s="262"/>
      <c r="AB1950" s="262"/>
    </row>
    <row r="1951" spans="1:31" ht="12.75">
      <c r="A1951" s="590" t="s">
        <v>14479</v>
      </c>
      <c r="B1951" s="312" t="str">
        <f>VLOOKUP($C1951,'• CIs EXT'!$A:$E,2,0)</f>
        <v>ORSE</v>
      </c>
      <c r="C1951" s="377">
        <v>3625</v>
      </c>
      <c r="D1951" s="378" t="str">
        <f>VLOOKUP($C1951,'• CIs EXT'!$A:$E,3,0)</f>
        <v>GANCHO CURTO PARA PERFILADO, REF. MOPA OU SIMILAR</v>
      </c>
      <c r="E1951" s="379" t="str">
        <f>VLOOKUP($C1951,'• CIs EXT'!$A:$E,4,0)</f>
        <v>UN</v>
      </c>
      <c r="F1951" s="442">
        <v>1</v>
      </c>
      <c r="G1951" s="379">
        <f>VLOOKUP($C1951,'• CIs EXT'!$A:$E,5,0)</f>
        <v>2.1</v>
      </c>
      <c r="H1951" s="381">
        <f t="shared" si="75"/>
        <v>2.1</v>
      </c>
      <c r="I1951" s="262"/>
      <c r="J1951" s="262"/>
      <c r="K1951" s="262"/>
      <c r="L1951" s="262"/>
      <c r="M1951" s="262"/>
      <c r="N1951" s="262"/>
      <c r="O1951" s="262"/>
      <c r="P1951" s="262"/>
      <c r="Q1951" s="262"/>
      <c r="R1951" s="262"/>
      <c r="S1951" s="262"/>
      <c r="T1951" s="262"/>
      <c r="U1951" s="262"/>
      <c r="V1951" s="262"/>
      <c r="W1951" s="262"/>
      <c r="X1951" s="262"/>
      <c r="Y1951" s="262"/>
      <c r="Z1951" s="262"/>
      <c r="AA1951" s="262"/>
      <c r="AB1951" s="262"/>
    </row>
    <row r="1952" spans="1:31" ht="12.75">
      <c r="A1952" s="590" t="s">
        <v>14479</v>
      </c>
      <c r="B1952" s="312" t="str">
        <f>VLOOKUP($C1952,'• CIs EXT'!$A:$E,2,0)</f>
        <v>ORSE</v>
      </c>
      <c r="C1952" s="377">
        <v>13531</v>
      </c>
      <c r="D1952" s="378" t="str">
        <f>VLOOKUP($C1952,'• CIs EXT'!$A:$E,3,0)</f>
        <v>PARAFUSO 4,2 X 32MM, AUTO-BROCANTE COM ASA</v>
      </c>
      <c r="E1952" s="379" t="str">
        <f>VLOOKUP($C1952,'• CIs EXT'!$A:$E,4,0)</f>
        <v>UN</v>
      </c>
      <c r="F1952" s="442">
        <v>1</v>
      </c>
      <c r="G1952" s="379">
        <f>VLOOKUP($C1952,'• CIs EXT'!$A:$E,5,0)</f>
        <v>0.26</v>
      </c>
      <c r="H1952" s="381">
        <f t="shared" si="75"/>
        <v>0.26</v>
      </c>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row>
    <row r="1953" spans="1:31" ht="12.75">
      <c r="A1953" s="590" t="s">
        <v>14479</v>
      </c>
      <c r="B1953" s="312" t="str">
        <f>VLOOKUP($C1953,'• CIs EXT'!$A:$E,2,0)</f>
        <v>ORSE</v>
      </c>
      <c r="C1953" s="377">
        <v>13355</v>
      </c>
      <c r="D1953" s="378" t="str">
        <f>VLOOKUP($C1953,'• CIs EXT'!$A:$E,3,0)</f>
        <v>ARRUELA DE PRESSÃO 1/4"</v>
      </c>
      <c r="E1953" s="379" t="str">
        <f>VLOOKUP($C1953,'• CIs EXT'!$A:$E,4,0)</f>
        <v>UN</v>
      </c>
      <c r="F1953" s="442">
        <v>1</v>
      </c>
      <c r="G1953" s="379">
        <f>VLOOKUP($C1953,'• CIs EXT'!$A:$E,5,0)</f>
        <v>0.04</v>
      </c>
      <c r="H1953" s="381">
        <f t="shared" si="75"/>
        <v>0.04</v>
      </c>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row>
    <row r="1954" spans="1:31" ht="12.75">
      <c r="A1954" s="590" t="s">
        <v>14479</v>
      </c>
      <c r="B1954" s="312" t="str">
        <f>VLOOKUP($C1954,'• CIs EXT'!$A:$E,2,0)</f>
        <v>ORSE</v>
      </c>
      <c r="C1954" s="377">
        <v>6555</v>
      </c>
      <c r="D1954" s="378" t="str">
        <f>VLOOKUP($C1954,'• CIs EXT'!$A:$E,3,0)</f>
        <v>PORCA SEXTAVADA 1/4"</v>
      </c>
      <c r="E1954" s="379" t="str">
        <f>VLOOKUP($C1954,'• CIs EXT'!$A:$E,4,0)</f>
        <v>UN</v>
      </c>
      <c r="F1954" s="442">
        <v>1</v>
      </c>
      <c r="G1954" s="379">
        <f>VLOOKUP($C1954,'• CIs EXT'!$A:$E,5,0)</f>
        <v>0.28999999999999998</v>
      </c>
      <c r="H1954" s="381">
        <f t="shared" si="75"/>
        <v>0.28999999999999998</v>
      </c>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row>
    <row r="1955" spans="1:31" ht="12.75">
      <c r="A1955" s="309"/>
      <c r="B1955" s="303"/>
      <c r="C1955" s="303"/>
      <c r="D1955" s="310"/>
      <c r="E1955" s="303"/>
      <c r="F1955" s="306"/>
      <c r="G1955" s="307"/>
      <c r="H1955" s="308"/>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row>
    <row r="1956" spans="1:31" ht="25.5">
      <c r="A1956" s="358" t="s">
        <v>14471</v>
      </c>
      <c r="B1956" s="359" t="s">
        <v>14472</v>
      </c>
      <c r="C1956" s="360" t="s">
        <v>15135</v>
      </c>
      <c r="D1956" s="361" t="s">
        <v>15136</v>
      </c>
      <c r="E1956" s="359" t="s">
        <v>50</v>
      </c>
      <c r="F1956" s="362"/>
      <c r="G1956" s="362"/>
      <c r="H1956" s="363">
        <f>TRUNC(SUM(H1958:H1960),2)</f>
        <v>23.81</v>
      </c>
      <c r="I1956" s="276">
        <f>COUNTIF($C$8:$C1956,C:C)</f>
        <v>1</v>
      </c>
      <c r="J1956" s="262"/>
      <c r="K1956" s="262"/>
      <c r="L1956" s="262"/>
      <c r="M1956" s="262"/>
      <c r="N1956" s="262"/>
      <c r="O1956" s="262"/>
      <c r="P1956" s="262"/>
      <c r="Q1956" s="262"/>
      <c r="R1956" s="262"/>
      <c r="S1956" s="262"/>
      <c r="T1956" s="262"/>
      <c r="U1956" s="262"/>
      <c r="V1956" s="262"/>
      <c r="W1956" s="262"/>
      <c r="X1956" s="262"/>
      <c r="Y1956" s="262"/>
      <c r="Z1956" s="262"/>
      <c r="AA1956" s="262"/>
      <c r="AB1956" s="262"/>
    </row>
    <row r="1957" spans="1:31" ht="12.75">
      <c r="A1957" s="646" t="s">
        <v>14475</v>
      </c>
      <c r="B1957" s="403" t="s">
        <v>14513</v>
      </c>
      <c r="C1957" s="404">
        <v>63036</v>
      </c>
      <c r="D1957" s="367" t="s">
        <v>14567</v>
      </c>
      <c r="E1957" s="641"/>
      <c r="F1957" s="369"/>
      <c r="G1957" s="370"/>
      <c r="H1957" s="371"/>
      <c r="I1957" s="262"/>
      <c r="J1957" s="262"/>
      <c r="K1957" s="262"/>
      <c r="L1957" s="262"/>
      <c r="M1957" s="262"/>
      <c r="N1957" s="262"/>
      <c r="O1957" s="262"/>
      <c r="P1957" s="262"/>
      <c r="Q1957" s="262"/>
      <c r="R1957" s="262"/>
      <c r="S1957" s="262"/>
      <c r="T1957" s="262"/>
      <c r="U1957" s="262"/>
      <c r="V1957" s="262"/>
      <c r="W1957" s="262"/>
      <c r="X1957" s="262"/>
      <c r="Y1957" s="262"/>
      <c r="Z1957" s="262"/>
      <c r="AA1957" s="262"/>
      <c r="AB1957" s="262"/>
    </row>
    <row r="1958" spans="1:31" ht="25.5">
      <c r="A1958" s="586" t="s">
        <v>14478</v>
      </c>
      <c r="B1958" s="373" t="s">
        <v>14476</v>
      </c>
      <c r="C1958" s="374">
        <v>88247</v>
      </c>
      <c r="D1958" s="288" t="str">
        <f>IFERROR(VLOOKUP($C1958,'24.08_ND'!$A:$D,2,0),)</f>
        <v>AUXILIAR DE ELETRICISTA COM ENCARGOS COMPLEMENTARES</v>
      </c>
      <c r="E1958" s="289" t="str">
        <f>IFERROR(VLOOKUP($C1958,'24.08_ND'!$A:$D,3,0),)</f>
        <v>H</v>
      </c>
      <c r="F1958" s="441">
        <v>0.25</v>
      </c>
      <c r="G1958" s="291">
        <f>IFERROR(VLOOKUP($C1958,'24.08_ND'!$A:$D,4,0),)</f>
        <v>20</v>
      </c>
      <c r="H1958" s="440">
        <f>TRUNC(($F1958*$G1958),2)</f>
        <v>5</v>
      </c>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D1958" s="1791" t="e">
        <f>VLOOKUP(C1958,'Medição '!$B$16:$F$1833,6,0)</f>
        <v>#N/A</v>
      </c>
      <c r="AE1958" s="1791"/>
    </row>
    <row r="1959" spans="1:31" ht="25.5">
      <c r="A1959" s="586" t="s">
        <v>14478</v>
      </c>
      <c r="B1959" s="373" t="s">
        <v>14476</v>
      </c>
      <c r="C1959" s="374">
        <v>88264</v>
      </c>
      <c r="D1959" s="288" t="str">
        <f>IFERROR(VLOOKUP($C1959,'24.08_ND'!$A:$D,2,0),)</f>
        <v>ELETRICISTA COM ENCARGOS COMPLEMENTARES</v>
      </c>
      <c r="E1959" s="289" t="str">
        <f>IFERROR(VLOOKUP($C1959,'24.08_ND'!$A:$D,3,0),)</f>
        <v>H</v>
      </c>
      <c r="F1959" s="441">
        <v>0.25</v>
      </c>
      <c r="G1959" s="291">
        <f>IFERROR(VLOOKUP($C1959,'24.08_ND'!$A:$D,4,0),)</f>
        <v>24.3</v>
      </c>
      <c r="H1959" s="440">
        <f>TRUNC(($F1959*$G1959),2)</f>
        <v>6.07</v>
      </c>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D1959" s="1791" t="e">
        <f>VLOOKUP(C1959,'Medição '!$B$16:$F$1833,6,0)</f>
        <v>#N/A</v>
      </c>
      <c r="AE1959" s="1791"/>
    </row>
    <row r="1960" spans="1:31" ht="12.75">
      <c r="A1960" s="590" t="s">
        <v>14479</v>
      </c>
      <c r="B1960" s="312" t="str">
        <f>VLOOKUP($C1960,'• CIs EXT'!$A:$E,2,0)</f>
        <v>EMOP</v>
      </c>
      <c r="C1960" s="377">
        <v>13846</v>
      </c>
      <c r="D1960" s="378" t="str">
        <f>VLOOKUP($C1960,'• CIs EXT'!$A:$E,3,0)</f>
        <v>ELETROCALHA LISA, SEM VIROLA, MED.(50X50 X3000)MM, PRE-ZINCADA, SEM TAMPA</v>
      </c>
      <c r="E1960" s="379" t="str">
        <f>VLOOKUP($C1960,'• CIs EXT'!$A:$E,4,0)</f>
        <v>UN</v>
      </c>
      <c r="F1960" s="442">
        <v>0.34</v>
      </c>
      <c r="G1960" s="379">
        <f>VLOOKUP($C1960,'• CIs EXT'!$A:$E,5,0)</f>
        <v>37.479999999999997</v>
      </c>
      <c r="H1960" s="381">
        <f>TRUNC(($F1960*$G1960),2)</f>
        <v>12.74</v>
      </c>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row>
    <row r="1961" spans="1:31" ht="12.75">
      <c r="A1961" s="309"/>
      <c r="B1961" s="303"/>
      <c r="C1961" s="303"/>
      <c r="D1961" s="310"/>
      <c r="E1961" s="303"/>
      <c r="F1961" s="306"/>
      <c r="G1961" s="307"/>
      <c r="H1961" s="308"/>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row>
    <row r="1962" spans="1:31" ht="25.5">
      <c r="A1962" s="358" t="s">
        <v>14471</v>
      </c>
      <c r="B1962" s="359" t="s">
        <v>14472</v>
      </c>
      <c r="C1962" s="360" t="s">
        <v>15137</v>
      </c>
      <c r="D1962" s="361" t="s">
        <v>15138</v>
      </c>
      <c r="E1962" s="359" t="s">
        <v>15139</v>
      </c>
      <c r="F1962" s="362"/>
      <c r="G1962" s="362"/>
      <c r="H1962" s="363">
        <f>TRUNC(SUM(H1964:H1966),2)</f>
        <v>13.19</v>
      </c>
      <c r="I1962" s="276">
        <f>COUNTIF($C$8:$C1962,C:C)</f>
        <v>1</v>
      </c>
      <c r="J1962" s="262"/>
      <c r="K1962" s="262"/>
      <c r="L1962" s="262"/>
      <c r="M1962" s="262"/>
      <c r="N1962" s="262"/>
      <c r="O1962" s="262"/>
      <c r="P1962" s="262"/>
      <c r="Q1962" s="262"/>
      <c r="R1962" s="262"/>
      <c r="S1962" s="262"/>
      <c r="T1962" s="262"/>
      <c r="U1962" s="262"/>
      <c r="V1962" s="262"/>
      <c r="W1962" s="262"/>
      <c r="X1962" s="262"/>
      <c r="Y1962" s="262"/>
      <c r="Z1962" s="262"/>
      <c r="AA1962" s="262"/>
      <c r="AB1962" s="262"/>
    </row>
    <row r="1963" spans="1:31" ht="12.75">
      <c r="A1963" s="646" t="s">
        <v>14475</v>
      </c>
      <c r="B1963" s="403" t="s">
        <v>14600</v>
      </c>
      <c r="C1963" s="404">
        <v>10850</v>
      </c>
      <c r="D1963" s="765" t="s">
        <v>15140</v>
      </c>
      <c r="E1963" s="641"/>
      <c r="F1963" s="369"/>
      <c r="G1963" s="370"/>
      <c r="H1963" s="371"/>
      <c r="I1963" s="262"/>
      <c r="J1963" s="262"/>
      <c r="K1963" s="262"/>
      <c r="L1963" s="262"/>
      <c r="M1963" s="262"/>
      <c r="N1963" s="262"/>
      <c r="O1963" s="262"/>
      <c r="P1963" s="262"/>
      <c r="Q1963" s="262"/>
      <c r="R1963" s="262"/>
      <c r="S1963" s="262"/>
      <c r="T1963" s="262"/>
      <c r="U1963" s="262"/>
      <c r="V1963" s="262"/>
      <c r="W1963" s="262"/>
      <c r="X1963" s="262"/>
      <c r="Y1963" s="262"/>
      <c r="Z1963" s="262"/>
      <c r="AA1963" s="262"/>
      <c r="AB1963" s="262"/>
    </row>
    <row r="1964" spans="1:31" ht="25.5">
      <c r="A1964" s="586" t="s">
        <v>14478</v>
      </c>
      <c r="B1964" s="373" t="s">
        <v>14476</v>
      </c>
      <c r="C1964" s="374">
        <v>88247</v>
      </c>
      <c r="D1964" s="288" t="str">
        <f>IFERROR(VLOOKUP($C1964,'24.08_ND'!$A:$D,2,0),)</f>
        <v>AUXILIAR DE ELETRICISTA COM ENCARGOS COMPLEMENTARES</v>
      </c>
      <c r="E1964" s="289" t="str">
        <f>IFERROR(VLOOKUP($C1964,'24.08_ND'!$A:$D,3,0),)</f>
        <v>H</v>
      </c>
      <c r="F1964" s="441">
        <v>0.2</v>
      </c>
      <c r="G1964" s="291">
        <f>IFERROR(VLOOKUP($C1964,'24.08_ND'!$A:$D,4,0),)</f>
        <v>20</v>
      </c>
      <c r="H1964" s="440">
        <f>TRUNC(($F1964*$G1964),2)</f>
        <v>4</v>
      </c>
      <c r="I1964" s="262"/>
      <c r="J1964" s="262"/>
      <c r="K1964" s="262"/>
      <c r="L1964" s="262"/>
      <c r="M1964" s="262"/>
      <c r="N1964" s="262"/>
      <c r="O1964" s="262"/>
      <c r="P1964" s="262"/>
      <c r="Q1964" s="262"/>
      <c r="R1964" s="262"/>
      <c r="S1964" s="262"/>
      <c r="T1964" s="262"/>
      <c r="U1964" s="262"/>
      <c r="V1964" s="262"/>
      <c r="W1964" s="262"/>
      <c r="X1964" s="262"/>
      <c r="Y1964" s="262"/>
      <c r="Z1964" s="262"/>
      <c r="AA1964" s="262"/>
      <c r="AB1964" s="262"/>
      <c r="AD1964" s="1791" t="e">
        <f>VLOOKUP(C1964,'Medição '!$B$16:$F$1833,6,0)</f>
        <v>#N/A</v>
      </c>
      <c r="AE1964" s="1791"/>
    </row>
    <row r="1965" spans="1:31" ht="25.5">
      <c r="A1965" s="586" t="s">
        <v>14478</v>
      </c>
      <c r="B1965" s="373" t="s">
        <v>14476</v>
      </c>
      <c r="C1965" s="374">
        <v>88264</v>
      </c>
      <c r="D1965" s="288" t="str">
        <f>IFERROR(VLOOKUP($C1965,'24.08_ND'!$A:$D,2,0),)</f>
        <v>ELETRICISTA COM ENCARGOS COMPLEMENTARES</v>
      </c>
      <c r="E1965" s="289" t="str">
        <f>IFERROR(VLOOKUP($C1965,'24.08_ND'!$A:$D,3,0),)</f>
        <v>H</v>
      </c>
      <c r="F1965" s="441">
        <v>0.2</v>
      </c>
      <c r="G1965" s="291">
        <f>IFERROR(VLOOKUP($C1965,'24.08_ND'!$A:$D,4,0),)</f>
        <v>24.3</v>
      </c>
      <c r="H1965" s="440">
        <f>TRUNC(($F1965*$G1965),2)</f>
        <v>4.8600000000000003</v>
      </c>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D1965" s="1791" t="e">
        <f>VLOOKUP(C1965,'Medição '!$B$16:$F$1833,6,0)</f>
        <v>#N/A</v>
      </c>
      <c r="AE1965" s="1791"/>
    </row>
    <row r="1966" spans="1:31" ht="12.75">
      <c r="A1966" s="590" t="s">
        <v>14479</v>
      </c>
      <c r="B1966" s="312" t="str">
        <f>VLOOKUP($C1966,'• CIs EXT'!$A:$E,2,0)</f>
        <v>ORSE</v>
      </c>
      <c r="C1966" s="377">
        <v>11798</v>
      </c>
      <c r="D1966" s="378" t="str">
        <f>VLOOKUP($C1966,'• CIs EXT'!$A:$E,3,0)</f>
        <v>ACOPLAMENTO PARA ELETROCALHA METÁLICA 38 X 38MM</v>
      </c>
      <c r="E1966" s="379" t="str">
        <f>VLOOKUP($C1966,'• CIs EXT'!$A:$E,4,0)</f>
        <v>UN</v>
      </c>
      <c r="F1966" s="442">
        <v>1</v>
      </c>
      <c r="G1966" s="379">
        <f>VLOOKUP($C1966,'• CIs EXT'!$A:$E,5,0)</f>
        <v>4.33</v>
      </c>
      <c r="H1966" s="381">
        <f>TRUNC(($F1966*$G1966),2)</f>
        <v>4.33</v>
      </c>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row>
    <row r="1967" spans="1:31" ht="12.75">
      <c r="A1967" s="309"/>
      <c r="B1967" s="303"/>
      <c r="C1967" s="303"/>
      <c r="D1967" s="310"/>
      <c r="E1967" s="303"/>
      <c r="F1967" s="306"/>
      <c r="G1967" s="307"/>
      <c r="H1967" s="308"/>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row>
    <row r="1968" spans="1:31" ht="12.75">
      <c r="A1968" s="358" t="s">
        <v>14471</v>
      </c>
      <c r="B1968" s="359" t="s">
        <v>14472</v>
      </c>
      <c r="C1968" s="360" t="s">
        <v>15141</v>
      </c>
      <c r="D1968" s="361" t="s">
        <v>15142</v>
      </c>
      <c r="E1968" s="359" t="s">
        <v>6</v>
      </c>
      <c r="F1968" s="362"/>
      <c r="G1968" s="362"/>
      <c r="H1968" s="363">
        <f>TRUNC(SUM(H1970:H1974),2)</f>
        <v>12.27</v>
      </c>
      <c r="I1968" s="276">
        <f>COUNTIF($C$8:$C1968,C:C)</f>
        <v>1</v>
      </c>
      <c r="J1968" s="262"/>
      <c r="K1968" s="262"/>
      <c r="L1968" s="262"/>
      <c r="M1968" s="262"/>
      <c r="N1968" s="262"/>
      <c r="O1968" s="262"/>
      <c r="P1968" s="262"/>
      <c r="Q1968" s="262"/>
      <c r="R1968" s="262"/>
      <c r="S1968" s="262"/>
      <c r="T1968" s="262"/>
      <c r="U1968" s="262"/>
      <c r="V1968" s="262"/>
      <c r="W1968" s="262"/>
      <c r="X1968" s="262"/>
      <c r="Y1968" s="262"/>
      <c r="Z1968" s="262"/>
      <c r="AA1968" s="262"/>
      <c r="AB1968" s="262"/>
    </row>
    <row r="1969" spans="1:31" ht="12.75">
      <c r="A1969" s="364" t="s">
        <v>14475</v>
      </c>
      <c r="B1969" s="403" t="s">
        <v>14513</v>
      </c>
      <c r="C1969" s="404">
        <v>63756</v>
      </c>
      <c r="D1969" s="765" t="s">
        <v>15140</v>
      </c>
      <c r="E1969" s="368"/>
      <c r="F1969" s="369"/>
      <c r="G1969" s="370"/>
      <c r="H1969" s="371"/>
      <c r="I1969" s="262"/>
      <c r="J1969" s="262"/>
      <c r="K1969" s="262"/>
      <c r="L1969" s="262"/>
      <c r="M1969" s="262"/>
      <c r="N1969" s="262"/>
      <c r="O1969" s="262"/>
      <c r="P1969" s="262"/>
      <c r="Q1969" s="262"/>
      <c r="R1969" s="262"/>
      <c r="S1969" s="262"/>
      <c r="T1969" s="262"/>
      <c r="U1969" s="262"/>
      <c r="V1969" s="262"/>
      <c r="W1969" s="262"/>
      <c r="X1969" s="262"/>
      <c r="Y1969" s="262"/>
      <c r="Z1969" s="262"/>
      <c r="AA1969" s="262"/>
      <c r="AB1969" s="262"/>
    </row>
    <row r="1970" spans="1:31" ht="25.5">
      <c r="A1970" s="586" t="s">
        <v>14478</v>
      </c>
      <c r="B1970" s="373" t="s">
        <v>14476</v>
      </c>
      <c r="C1970" s="374">
        <v>88247</v>
      </c>
      <c r="D1970" s="288" t="str">
        <f>IFERROR(VLOOKUP($C1970,'24.08_ND'!$A:$D,2,0),)</f>
        <v>AUXILIAR DE ELETRICISTA COM ENCARGOS COMPLEMENTARES</v>
      </c>
      <c r="E1970" s="289" t="str">
        <f>IFERROR(VLOOKUP($C1970,'24.08_ND'!$A:$D,3,0),)</f>
        <v>H</v>
      </c>
      <c r="F1970" s="441">
        <v>0.15</v>
      </c>
      <c r="G1970" s="291">
        <f>IFERROR(VLOOKUP($C1970,'24.08_ND'!$A:$D,4,0),)</f>
        <v>20</v>
      </c>
      <c r="H1970" s="440">
        <f>TRUNC(($F1970*$G1970),2)</f>
        <v>3</v>
      </c>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D1970" s="1791" t="e">
        <f>VLOOKUP(C1970,'Medição '!$B$16:$F$1833,6,0)</f>
        <v>#N/A</v>
      </c>
      <c r="AE1970" s="1791"/>
    </row>
    <row r="1971" spans="1:31" ht="25.5">
      <c r="A1971" s="586" t="s">
        <v>14478</v>
      </c>
      <c r="B1971" s="373" t="s">
        <v>14476</v>
      </c>
      <c r="C1971" s="374">
        <v>88264</v>
      </c>
      <c r="D1971" s="288" t="str">
        <f>IFERROR(VLOOKUP($C1971,'24.08_ND'!$A:$D,2,0),)</f>
        <v>ELETRICISTA COM ENCARGOS COMPLEMENTARES</v>
      </c>
      <c r="E1971" s="289" t="str">
        <f>IFERROR(VLOOKUP($C1971,'24.08_ND'!$A:$D,3,0),)</f>
        <v>H</v>
      </c>
      <c r="F1971" s="441">
        <v>0.15</v>
      </c>
      <c r="G1971" s="291">
        <f>IFERROR(VLOOKUP($C1971,'24.08_ND'!$A:$D,4,0),)</f>
        <v>24.3</v>
      </c>
      <c r="H1971" s="440">
        <f>TRUNC(($F1971*$G1971),2)</f>
        <v>3.64</v>
      </c>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D1971" s="1791" t="e">
        <f>VLOOKUP(C1971,'Medição '!$B$16:$F$1833,6,0)</f>
        <v>#N/A</v>
      </c>
      <c r="AE1971" s="1791"/>
    </row>
    <row r="1972" spans="1:31" ht="12.75">
      <c r="A1972" s="588" t="s">
        <v>14479</v>
      </c>
      <c r="B1972" s="384" t="s">
        <v>14476</v>
      </c>
      <c r="C1972" s="384">
        <v>39209</v>
      </c>
      <c r="D1972" s="296" t="str">
        <f>IFERROR(VLOOKUP($C1972,'24.08_ND'!$A:$D,2,0),)</f>
        <v>ARRUELA EM ALUMINIO, COM ROSCA, DE 3/4", PARA ELETRODUTO</v>
      </c>
      <c r="E1972" s="297" t="str">
        <f>IFERROR(VLOOKUP($C1972,'24.08_ND'!$A:$D,3,0),)</f>
        <v>UN</v>
      </c>
      <c r="F1972" s="759">
        <v>1</v>
      </c>
      <c r="G1972" s="299">
        <f>IFERROR(VLOOKUP($C1972,'24.08_ND'!$A:$D,4,0),)</f>
        <v>0.52</v>
      </c>
      <c r="H1972" s="449">
        <f>TRUNC(($F1972*$G1972),2)</f>
        <v>0.52</v>
      </c>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row>
    <row r="1973" spans="1:31" ht="12.75">
      <c r="A1973" s="588" t="s">
        <v>14479</v>
      </c>
      <c r="B1973" s="383" t="s">
        <v>14476</v>
      </c>
      <c r="C1973" s="384">
        <v>39175</v>
      </c>
      <c r="D1973" s="296" t="str">
        <f>IFERROR(VLOOKUP($C1973,'24.08_ND'!$A:$D,2,0),)</f>
        <v>BUCHA EM ALUMINIO, COM ROSCA, DE 3/4", PARA ELETRODUTO</v>
      </c>
      <c r="E1973" s="297" t="str">
        <f>IFERROR(VLOOKUP($C1973,'24.08_ND'!$A:$D,3,0),)</f>
        <v>UN</v>
      </c>
      <c r="F1973" s="759">
        <v>1</v>
      </c>
      <c r="G1973" s="299">
        <f>IFERROR(VLOOKUP($C1973,'24.08_ND'!$A:$D,4,0),)</f>
        <v>1.02</v>
      </c>
      <c r="H1973" s="449">
        <f>TRUNC(($F1973*$G1973),2)</f>
        <v>1.02</v>
      </c>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row>
    <row r="1974" spans="1:31" ht="12.75">
      <c r="A1974" s="590" t="s">
        <v>14479</v>
      </c>
      <c r="B1974" s="312" t="str">
        <f>VLOOKUP($C1974,'• CIs EXT'!$A:$E,2,0)</f>
        <v>ORSE</v>
      </c>
      <c r="C1974" s="377">
        <v>2003</v>
      </c>
      <c r="D1974" s="378" t="str">
        <f>VLOOKUP($C1974,'• CIs EXT'!$A:$E,3,0)</f>
        <v>SAÍDA HORIZONTAL PARA ELETRODUTO 3/4" (REF. VL 33 GE VALEMAM OU SIMILAR)</v>
      </c>
      <c r="E1974" s="379" t="str">
        <f>VLOOKUP($C1974,'• CIs EXT'!$A:$E,4,0)</f>
        <v>UN</v>
      </c>
      <c r="F1974" s="442">
        <v>1</v>
      </c>
      <c r="G1974" s="379">
        <f>VLOOKUP($C1974,'• CIs EXT'!$A:$E,5,0)</f>
        <v>4.09</v>
      </c>
      <c r="H1974" s="381">
        <f>TRUNC(($F1974*$G1974),2)</f>
        <v>4.09</v>
      </c>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row>
    <row r="1975" spans="1:31" ht="12.75">
      <c r="A1975" s="766"/>
      <c r="B1975" s="767"/>
      <c r="C1975" s="3"/>
      <c r="D1975" s="768"/>
      <c r="E1975" s="690"/>
      <c r="F1975" s="691"/>
      <c r="G1975" s="690"/>
      <c r="H1975" s="692"/>
      <c r="I1975" s="262"/>
      <c r="J1975" s="262"/>
      <c r="K1975" s="262"/>
      <c r="L1975" s="262"/>
      <c r="M1975" s="262"/>
      <c r="N1975" s="262"/>
      <c r="O1975" s="262"/>
      <c r="P1975" s="262"/>
      <c r="Q1975" s="262"/>
      <c r="R1975" s="262"/>
      <c r="S1975" s="262"/>
      <c r="T1975" s="262"/>
      <c r="U1975" s="262"/>
      <c r="V1975" s="262"/>
      <c r="W1975" s="262"/>
      <c r="X1975" s="262"/>
      <c r="Y1975" s="262"/>
      <c r="Z1975" s="262"/>
      <c r="AA1975" s="262"/>
      <c r="AB1975" s="262"/>
    </row>
    <row r="1976" spans="1:31" ht="12.75">
      <c r="A1976" s="358" t="s">
        <v>14471</v>
      </c>
      <c r="B1976" s="359" t="s">
        <v>14472</v>
      </c>
      <c r="C1976" s="360" t="s">
        <v>15143</v>
      </c>
      <c r="D1976" s="361" t="s">
        <v>15144</v>
      </c>
      <c r="E1976" s="359" t="s">
        <v>6</v>
      </c>
      <c r="F1976" s="362"/>
      <c r="G1976" s="362"/>
      <c r="H1976" s="363">
        <f>TRUNC(SUM(H1978:H1984),2)</f>
        <v>17.399999999999999</v>
      </c>
      <c r="I1976" s="276">
        <f>COUNTIF($C$8:$C1976,C:C)</f>
        <v>1</v>
      </c>
      <c r="J1976" s="262"/>
      <c r="K1976" s="262"/>
      <c r="L1976" s="262"/>
      <c r="M1976" s="262"/>
      <c r="N1976" s="262"/>
      <c r="O1976" s="262"/>
      <c r="P1976" s="262"/>
      <c r="Q1976" s="262"/>
      <c r="R1976" s="262"/>
      <c r="S1976" s="262"/>
      <c r="T1976" s="262"/>
      <c r="U1976" s="262"/>
      <c r="V1976" s="262"/>
      <c r="W1976" s="262"/>
      <c r="X1976" s="262"/>
      <c r="Y1976" s="262"/>
      <c r="Z1976" s="262"/>
      <c r="AA1976" s="262"/>
      <c r="AB1976" s="262"/>
    </row>
    <row r="1977" spans="1:31" ht="12.75">
      <c r="A1977" s="646" t="s">
        <v>14475</v>
      </c>
      <c r="B1977" s="403" t="s">
        <v>14600</v>
      </c>
      <c r="C1977" s="404">
        <v>3400</v>
      </c>
      <c r="D1977" s="769" t="s">
        <v>14567</v>
      </c>
      <c r="E1977" s="641"/>
      <c r="F1977" s="369"/>
      <c r="G1977" s="370"/>
      <c r="H1977" s="371"/>
      <c r="I1977" s="262"/>
      <c r="J1977" s="262"/>
      <c r="K1977" s="262"/>
      <c r="L1977" s="262"/>
      <c r="M1977" s="262"/>
      <c r="N1977" s="262"/>
      <c r="O1977" s="262"/>
      <c r="P1977" s="262"/>
      <c r="Q1977" s="262"/>
      <c r="R1977" s="262"/>
      <c r="S1977" s="262"/>
      <c r="T1977" s="262"/>
      <c r="U1977" s="262"/>
      <c r="V1977" s="262"/>
      <c r="W1977" s="262"/>
      <c r="X1977" s="262"/>
      <c r="Y1977" s="262"/>
      <c r="Z1977" s="262"/>
      <c r="AA1977" s="262"/>
      <c r="AB1977" s="262"/>
    </row>
    <row r="1978" spans="1:31" ht="25.5">
      <c r="A1978" s="586" t="s">
        <v>14478</v>
      </c>
      <c r="B1978" s="373" t="s">
        <v>14476</v>
      </c>
      <c r="C1978" s="374">
        <v>88247</v>
      </c>
      <c r="D1978" s="288" t="str">
        <f>IFERROR(VLOOKUP($C1978,'24.08_ND'!$A:$D,2,0),)</f>
        <v>AUXILIAR DE ELETRICISTA COM ENCARGOS COMPLEMENTARES</v>
      </c>
      <c r="E1978" s="289" t="str">
        <f>IFERROR(VLOOKUP($C1978,'24.08_ND'!$A:$D,3,0),)</f>
        <v>H</v>
      </c>
      <c r="F1978" s="441">
        <v>0.2</v>
      </c>
      <c r="G1978" s="291">
        <f>IFERROR(VLOOKUP($C1978,'24.08_ND'!$A:$D,4,0),)</f>
        <v>20</v>
      </c>
      <c r="H1978" s="440">
        <f t="shared" ref="H1978:H1984" si="76">TRUNC(($F1978*$G1978),2)</f>
        <v>4</v>
      </c>
      <c r="I1978" s="262"/>
      <c r="J1978" s="262"/>
      <c r="K1978" s="262"/>
      <c r="L1978" s="262"/>
      <c r="M1978" s="262"/>
      <c r="N1978" s="262"/>
      <c r="O1978" s="262"/>
      <c r="P1978" s="262"/>
      <c r="Q1978" s="262"/>
      <c r="R1978" s="262"/>
      <c r="S1978" s="262"/>
      <c r="T1978" s="262"/>
      <c r="U1978" s="262"/>
      <c r="V1978" s="262"/>
      <c r="W1978" s="262"/>
      <c r="X1978" s="262"/>
      <c r="Y1978" s="262"/>
      <c r="Z1978" s="262"/>
      <c r="AA1978" s="262"/>
      <c r="AB1978" s="262"/>
      <c r="AD1978" s="1791" t="e">
        <f>VLOOKUP(C1978,'Medição '!$B$16:$F$1833,6,0)</f>
        <v>#N/A</v>
      </c>
      <c r="AE1978" s="1791"/>
    </row>
    <row r="1979" spans="1:31" ht="25.5">
      <c r="A1979" s="586" t="s">
        <v>14478</v>
      </c>
      <c r="B1979" s="373" t="s">
        <v>14476</v>
      </c>
      <c r="C1979" s="374">
        <v>88264</v>
      </c>
      <c r="D1979" s="288" t="str">
        <f>IFERROR(VLOOKUP($C1979,'24.08_ND'!$A:$D,2,0),)</f>
        <v>ELETRICISTA COM ENCARGOS COMPLEMENTARES</v>
      </c>
      <c r="E1979" s="289" t="str">
        <f>IFERROR(VLOOKUP($C1979,'24.08_ND'!$A:$D,3,0),)</f>
        <v>H</v>
      </c>
      <c r="F1979" s="441">
        <v>0.2</v>
      </c>
      <c r="G1979" s="291">
        <f>IFERROR(VLOOKUP($C1979,'24.08_ND'!$A:$D,4,0),)</f>
        <v>24.3</v>
      </c>
      <c r="H1979" s="440">
        <f t="shared" si="76"/>
        <v>4.8600000000000003</v>
      </c>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D1979" s="1791" t="e">
        <f>VLOOKUP(C1979,'Medição '!$B$16:$F$1833,6,0)</f>
        <v>#N/A</v>
      </c>
      <c r="AE1979" s="1791"/>
    </row>
    <row r="1980" spans="1:31" ht="25.5">
      <c r="A1980" s="770" t="s">
        <v>14479</v>
      </c>
      <c r="B1980" s="383" t="s">
        <v>14476</v>
      </c>
      <c r="C1980" s="384">
        <v>11962</v>
      </c>
      <c r="D1980" s="296" t="str">
        <f>IFERROR(VLOOKUP($C1980,'24.08_ND'!$A:$D,2,0),)</f>
        <v>PARAFUSO ZINCADO, SEXTAVADO, COM ROSCA INTEIRA, DIAMETRO 1/4", COMPRIMENTO 1/2"</v>
      </c>
      <c r="E1980" s="297" t="str">
        <f>IFERROR(VLOOKUP($C1980,'24.08_ND'!$A:$D,3,0),)</f>
        <v>UN</v>
      </c>
      <c r="F1980" s="759">
        <v>2</v>
      </c>
      <c r="G1980" s="299">
        <f>IFERROR(VLOOKUP($C1980,'24.08_ND'!$A:$D,4,0),)</f>
        <v>0.2</v>
      </c>
      <c r="H1980" s="449">
        <f t="shared" si="76"/>
        <v>0.4</v>
      </c>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row>
    <row r="1981" spans="1:31" ht="25.5">
      <c r="A1981" s="770" t="s">
        <v>14479</v>
      </c>
      <c r="B1981" s="383" t="s">
        <v>14476</v>
      </c>
      <c r="C1981" s="384">
        <v>7583</v>
      </c>
      <c r="D1981" s="296" t="str">
        <f>IFERROR(VLOOKUP($C1981,'24.08_ND'!$A:$D,2,0),)</f>
        <v>BUCHA DE NYLON SEM ABA S8, COM PARAFUSO DE 4,80 X 50 MM EM ACO ZINCADO COM ROSCA SOBERBA, CABECA CHATA E FENDA PHILLIPS</v>
      </c>
      <c r="E1981" s="297" t="str">
        <f>IFERROR(VLOOKUP($C1981,'24.08_ND'!$A:$D,3,0),)</f>
        <v>UN</v>
      </c>
      <c r="F1981" s="759">
        <v>2</v>
      </c>
      <c r="G1981" s="299">
        <f>IFERROR(VLOOKUP($C1981,'24.08_ND'!$A:$D,4,0),)</f>
        <v>0.45</v>
      </c>
      <c r="H1981" s="449">
        <f t="shared" si="76"/>
        <v>0.9</v>
      </c>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row>
    <row r="1982" spans="1:31" ht="12.75">
      <c r="A1982" s="590" t="s">
        <v>14479</v>
      </c>
      <c r="B1982" s="312" t="str">
        <f>VLOOKUP($C1982,'• CIs EXT'!$A:$E,2,0)</f>
        <v>ORSE</v>
      </c>
      <c r="C1982" s="377">
        <v>13355</v>
      </c>
      <c r="D1982" s="378" t="str">
        <f>VLOOKUP($C1982,'• CIs EXT'!$A:$E,3,0)</f>
        <v>ARRUELA DE PRESSÃO 1/4"</v>
      </c>
      <c r="E1982" s="379" t="str">
        <f>VLOOKUP($C1982,'• CIs EXT'!$A:$E,4,0)</f>
        <v>UN</v>
      </c>
      <c r="F1982" s="442">
        <v>2</v>
      </c>
      <c r="G1982" s="379">
        <f>VLOOKUP($C1982,'• CIs EXT'!$A:$E,5,0)</f>
        <v>0.04</v>
      </c>
      <c r="H1982" s="381">
        <f t="shared" si="76"/>
        <v>0.08</v>
      </c>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row>
    <row r="1983" spans="1:31" ht="12.75">
      <c r="A1983" s="590" t="s">
        <v>14479</v>
      </c>
      <c r="B1983" s="312" t="str">
        <f>VLOOKUP($C1983,'• CIs EXT'!$A:$E,2,0)</f>
        <v>ORSE</v>
      </c>
      <c r="C1983" s="377">
        <v>6555</v>
      </c>
      <c r="D1983" s="378" t="str">
        <f>VLOOKUP($C1983,'• CIs EXT'!$A:$E,3,0)</f>
        <v>PORCA SEXTAVADA 1/4"</v>
      </c>
      <c r="E1983" s="379" t="str">
        <f>VLOOKUP($C1983,'• CIs EXT'!$A:$E,4,0)</f>
        <v>UN</v>
      </c>
      <c r="F1983" s="442">
        <v>2</v>
      </c>
      <c r="G1983" s="379">
        <f>VLOOKUP($C1983,'• CIs EXT'!$A:$E,5,0)</f>
        <v>0.28999999999999998</v>
      </c>
      <c r="H1983" s="381">
        <f t="shared" si="76"/>
        <v>0.57999999999999996</v>
      </c>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row>
    <row r="1984" spans="1:31" ht="12.75">
      <c r="A1984" s="590" t="s">
        <v>14479</v>
      </c>
      <c r="B1984" s="312" t="str">
        <f>VLOOKUP($C1984,'• CIs EXT'!$A:$E,2,0)</f>
        <v>ORSE</v>
      </c>
      <c r="C1984" s="377">
        <v>12161</v>
      </c>
      <c r="D1984" s="378" t="str">
        <f>VLOOKUP($C1984,'• CIs EXT'!$A:$E,3,0)</f>
        <v>MÃO FRANCESA SIMPLES 75 MM</v>
      </c>
      <c r="E1984" s="379" t="str">
        <f>VLOOKUP($C1984,'• CIs EXT'!$A:$E,4,0)</f>
        <v>UN</v>
      </c>
      <c r="F1984" s="442">
        <v>1</v>
      </c>
      <c r="G1984" s="379">
        <f>VLOOKUP($C1984,'• CIs EXT'!$A:$E,5,0)</f>
        <v>6.58</v>
      </c>
      <c r="H1984" s="381">
        <f t="shared" si="76"/>
        <v>6.58</v>
      </c>
      <c r="I1984" s="262"/>
      <c r="J1984" s="262"/>
      <c r="K1984" s="262"/>
      <c r="L1984" s="262"/>
      <c r="M1984" s="262"/>
      <c r="N1984" s="262"/>
      <c r="O1984" s="262"/>
      <c r="P1984" s="262"/>
      <c r="Q1984" s="262"/>
      <c r="R1984" s="262"/>
      <c r="S1984" s="262"/>
      <c r="T1984" s="262"/>
      <c r="U1984" s="262"/>
      <c r="V1984" s="262"/>
      <c r="W1984" s="262"/>
      <c r="X1984" s="262"/>
      <c r="Y1984" s="262"/>
      <c r="Z1984" s="262"/>
      <c r="AA1984" s="262"/>
      <c r="AB1984" s="262"/>
    </row>
    <row r="1985" spans="1:31" ht="12.75">
      <c r="A1985" s="766"/>
      <c r="B1985" s="767"/>
      <c r="C1985" s="3"/>
      <c r="D1985" s="768"/>
      <c r="E1985" s="690"/>
      <c r="F1985" s="691"/>
      <c r="G1985" s="690"/>
      <c r="H1985" s="692"/>
      <c r="I1985" s="262"/>
      <c r="J1985" s="262"/>
      <c r="K1985" s="262"/>
      <c r="L1985" s="262"/>
      <c r="M1985" s="262"/>
      <c r="N1985" s="262"/>
      <c r="O1985" s="262"/>
      <c r="P1985" s="262"/>
      <c r="Q1985" s="262"/>
      <c r="R1985" s="262"/>
      <c r="S1985" s="262"/>
      <c r="T1985" s="262"/>
      <c r="U1985" s="262"/>
      <c r="V1985" s="262"/>
      <c r="W1985" s="262"/>
      <c r="X1985" s="262"/>
      <c r="Y1985" s="262"/>
      <c r="Z1985" s="262"/>
      <c r="AA1985" s="262"/>
      <c r="AB1985" s="262"/>
    </row>
    <row r="1986" spans="1:31" ht="12.75">
      <c r="A1986" s="358" t="s">
        <v>14471</v>
      </c>
      <c r="B1986" s="359" t="s">
        <v>14472</v>
      </c>
      <c r="C1986" s="360" t="s">
        <v>15145</v>
      </c>
      <c r="D1986" s="361" t="s">
        <v>15146</v>
      </c>
      <c r="E1986" s="359" t="s">
        <v>6</v>
      </c>
      <c r="F1986" s="362"/>
      <c r="G1986" s="362"/>
      <c r="H1986" s="363">
        <f>TRUNC(SUM(H1988:H1991),2)</f>
        <v>8.51</v>
      </c>
      <c r="I1986" s="276">
        <f>COUNTIF($C$8:$C1986,C:C)</f>
        <v>1</v>
      </c>
      <c r="J1986" s="262"/>
      <c r="K1986" s="262"/>
      <c r="L1986" s="262"/>
      <c r="M1986" s="262"/>
      <c r="N1986" s="262"/>
      <c r="O1986" s="262"/>
      <c r="P1986" s="262"/>
      <c r="Q1986" s="262"/>
      <c r="R1986" s="262"/>
      <c r="S1986" s="262"/>
      <c r="T1986" s="262"/>
      <c r="U1986" s="262"/>
      <c r="V1986" s="262"/>
      <c r="W1986" s="262"/>
      <c r="X1986" s="262"/>
      <c r="Y1986" s="262"/>
      <c r="Z1986" s="262"/>
      <c r="AA1986" s="262"/>
      <c r="AB1986" s="262"/>
    </row>
    <row r="1987" spans="1:31" ht="12.75">
      <c r="A1987" s="646" t="s">
        <v>14475</v>
      </c>
      <c r="B1987" s="694" t="s">
        <v>14476</v>
      </c>
      <c r="C1987" s="365">
        <v>91957</v>
      </c>
      <c r="D1987" s="769" t="s">
        <v>14567</v>
      </c>
      <c r="E1987" s="641"/>
      <c r="F1987" s="369"/>
      <c r="G1987" s="370"/>
      <c r="H1987" s="371"/>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row>
    <row r="1988" spans="1:31" ht="25.5">
      <c r="A1988" s="586" t="s">
        <v>14478</v>
      </c>
      <c r="B1988" s="421" t="s">
        <v>14476</v>
      </c>
      <c r="C1988" s="422">
        <v>88247</v>
      </c>
      <c r="D1988" s="288" t="str">
        <f>IFERROR(VLOOKUP($C1988,'24.08_ND'!$A:$D,2,0),)</f>
        <v>AUXILIAR DE ELETRICISTA COM ENCARGOS COMPLEMENTARES</v>
      </c>
      <c r="E1988" s="289" t="str">
        <f>IFERROR(VLOOKUP($C1988,'24.08_ND'!$A:$D,3,0),)</f>
        <v>H</v>
      </c>
      <c r="F1988" s="375">
        <v>0.128</v>
      </c>
      <c r="G1988" s="291">
        <f>IFERROR(VLOOKUP($C1988,'24.08_ND'!$A:$D,4,0),)</f>
        <v>20</v>
      </c>
      <c r="H1988" s="423">
        <f>TRUNC(($F1988*$G1988),2)</f>
        <v>2.56</v>
      </c>
      <c r="I1988" s="262"/>
      <c r="J1988" s="262"/>
      <c r="K1988" s="262"/>
      <c r="L1988" s="262"/>
      <c r="M1988" s="262"/>
      <c r="N1988" s="262"/>
      <c r="O1988" s="262"/>
      <c r="P1988" s="262"/>
      <c r="Q1988" s="262"/>
      <c r="R1988" s="262"/>
      <c r="S1988" s="262"/>
      <c r="T1988" s="262"/>
      <c r="U1988" s="262"/>
      <c r="V1988" s="262"/>
      <c r="W1988" s="262"/>
      <c r="X1988" s="262"/>
      <c r="Y1988" s="262"/>
      <c r="Z1988" s="262"/>
      <c r="AA1988" s="262"/>
      <c r="AB1988" s="262"/>
      <c r="AD1988" s="1791" t="e">
        <f>VLOOKUP(C1988,'Medição '!$B$16:$F$1833,6,0)</f>
        <v>#N/A</v>
      </c>
      <c r="AE1988" s="1791"/>
    </row>
    <row r="1989" spans="1:31" ht="25.5">
      <c r="A1989" s="586" t="s">
        <v>14478</v>
      </c>
      <c r="B1989" s="421" t="s">
        <v>14476</v>
      </c>
      <c r="C1989" s="422">
        <v>88247</v>
      </c>
      <c r="D1989" s="288" t="str">
        <f>IFERROR(VLOOKUP($C1989,'24.08_ND'!$A:$D,2,0),)</f>
        <v>AUXILIAR DE ELETRICISTA COM ENCARGOS COMPLEMENTARES</v>
      </c>
      <c r="E1989" s="289" t="str">
        <f>IFERROR(VLOOKUP($C1989,'24.08_ND'!$A:$D,3,0),)</f>
        <v>H</v>
      </c>
      <c r="F1989" s="375">
        <v>0.128</v>
      </c>
      <c r="G1989" s="291">
        <f>IFERROR(VLOOKUP($C1989,'24.08_ND'!$A:$D,4,0),)</f>
        <v>20</v>
      </c>
      <c r="H1989" s="423">
        <f>TRUNC(($F1989*$G1989),2)</f>
        <v>2.56</v>
      </c>
      <c r="I1989" s="262"/>
      <c r="J1989" s="262"/>
      <c r="K1989" s="262"/>
      <c r="L1989" s="262"/>
      <c r="M1989" s="262"/>
      <c r="N1989" s="262"/>
      <c r="O1989" s="262"/>
      <c r="P1989" s="262"/>
      <c r="Q1989" s="262"/>
      <c r="R1989" s="262"/>
      <c r="S1989" s="262"/>
      <c r="T1989" s="262"/>
      <c r="U1989" s="262"/>
      <c r="V1989" s="262"/>
      <c r="W1989" s="262"/>
      <c r="X1989" s="262"/>
      <c r="Y1989" s="262"/>
      <c r="Z1989" s="262"/>
      <c r="AA1989" s="262"/>
      <c r="AB1989" s="262"/>
      <c r="AD1989" s="1791" t="e">
        <f>VLOOKUP(C1989,'Medição '!$B$16:$F$1833,6,0)</f>
        <v>#N/A</v>
      </c>
      <c r="AE1989" s="1791"/>
    </row>
    <row r="1990" spans="1:31" ht="25.5">
      <c r="A1990" s="770" t="s">
        <v>14479</v>
      </c>
      <c r="B1990" s="446" t="s">
        <v>14476</v>
      </c>
      <c r="C1990" s="384">
        <v>38099</v>
      </c>
      <c r="D1990" s="296" t="str">
        <f>IFERROR(VLOOKUP($C1990,'24.08_ND'!$A:$D,2,0),)</f>
        <v>SUPORTE DE FIXACAO PARA ESPELHO / PLACA 4" X 2", PARA 3 MODULOS, PARA INSTALACAO DE TOMADAS E INTERRUPTORES (SOMENTE SUPORTE)</v>
      </c>
      <c r="E1990" s="297" t="str">
        <f>IFERROR(VLOOKUP($C1990,'24.08_ND'!$A:$D,3,0),)</f>
        <v>UN</v>
      </c>
      <c r="F1990" s="385">
        <v>1</v>
      </c>
      <c r="G1990" s="299">
        <f>IFERROR(VLOOKUP($C1990,'24.08_ND'!$A:$D,4,0),)</f>
        <v>1.3</v>
      </c>
      <c r="H1990" s="449">
        <f>TRUNC(($F1990*$G1990),2)</f>
        <v>1.3</v>
      </c>
      <c r="I1990" s="262"/>
      <c r="J1990" s="262"/>
      <c r="K1990" s="262"/>
      <c r="L1990" s="262"/>
      <c r="M1990" s="262"/>
      <c r="N1990" s="262"/>
      <c r="O1990" s="262"/>
      <c r="P1990" s="262"/>
      <c r="Q1990" s="262"/>
      <c r="R1990" s="262"/>
      <c r="S1990" s="262"/>
      <c r="T1990" s="262"/>
      <c r="U1990" s="262"/>
      <c r="V1990" s="262"/>
      <c r="W1990" s="262"/>
      <c r="X1990" s="262"/>
      <c r="Y1990" s="262"/>
      <c r="Z1990" s="262"/>
      <c r="AA1990" s="262"/>
      <c r="AB1990" s="262"/>
    </row>
    <row r="1991" spans="1:31" ht="12.75">
      <c r="A1991" s="770" t="s">
        <v>14479</v>
      </c>
      <c r="B1991" s="446" t="s">
        <v>14476</v>
      </c>
      <c r="C1991" s="384">
        <v>38091</v>
      </c>
      <c r="D1991" s="296" t="str">
        <f>IFERROR(VLOOKUP($C1991,'24.08_ND'!$A:$D,2,0),)</f>
        <v>ESPELHO / PLACA CEGA 4" X 2", PARA INSTALACAO DE TOMADAS E INTERRUPTORES</v>
      </c>
      <c r="E1991" s="297" t="str">
        <f>IFERROR(VLOOKUP($C1991,'24.08_ND'!$A:$D,3,0),)</f>
        <v>UN</v>
      </c>
      <c r="F1991" s="385">
        <v>1</v>
      </c>
      <c r="G1991" s="299">
        <f>IFERROR(VLOOKUP($C1991,'24.08_ND'!$A:$D,4,0),)</f>
        <v>2.09</v>
      </c>
      <c r="H1991" s="449">
        <f>TRUNC(($F1991*$G1991),2)</f>
        <v>2.09</v>
      </c>
      <c r="I1991" s="262"/>
      <c r="J1991" s="262"/>
      <c r="K1991" s="262"/>
      <c r="L1991" s="262"/>
      <c r="M1991" s="262"/>
      <c r="N1991" s="262"/>
      <c r="O1991" s="262"/>
      <c r="P1991" s="262"/>
      <c r="Q1991" s="262"/>
      <c r="R1991" s="262"/>
      <c r="S1991" s="262"/>
      <c r="T1991" s="262"/>
      <c r="U1991" s="262"/>
      <c r="V1991" s="262"/>
      <c r="W1991" s="262"/>
      <c r="X1991" s="262"/>
      <c r="Y1991" s="262"/>
      <c r="Z1991" s="262"/>
      <c r="AA1991" s="262"/>
      <c r="AB1991" s="262"/>
    </row>
    <row r="1992" spans="1:31" ht="12.75">
      <c r="A1992" s="766"/>
      <c r="B1992" s="767"/>
      <c r="C1992" s="3"/>
      <c r="D1992" s="768"/>
      <c r="E1992" s="690"/>
      <c r="F1992" s="691"/>
      <c r="G1992" s="690"/>
      <c r="H1992" s="69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row>
    <row r="1993" spans="1:31" ht="25.5">
      <c r="A1993" s="358" t="s">
        <v>14471</v>
      </c>
      <c r="B1993" s="359" t="s">
        <v>14472</v>
      </c>
      <c r="C1993" s="360" t="s">
        <v>15147</v>
      </c>
      <c r="D1993" s="361" t="s">
        <v>15148</v>
      </c>
      <c r="E1993" s="359" t="s">
        <v>6</v>
      </c>
      <c r="F1993" s="362"/>
      <c r="G1993" s="362"/>
      <c r="H1993" s="363">
        <f>TRUNC(SUM(H1995:H1999),2)</f>
        <v>51.3</v>
      </c>
      <c r="I1993" s="276">
        <f>COUNTIF($C$8:$C1993,C:C)</f>
        <v>1</v>
      </c>
      <c r="J1993" s="262"/>
      <c r="K1993" s="262"/>
      <c r="L1993" s="262"/>
      <c r="M1993" s="262"/>
      <c r="N1993" s="262"/>
      <c r="O1993" s="262"/>
      <c r="P1993" s="262"/>
      <c r="Q1993" s="262"/>
      <c r="R1993" s="262"/>
      <c r="S1993" s="262"/>
      <c r="T1993" s="262"/>
      <c r="U1993" s="262"/>
      <c r="V1993" s="262"/>
      <c r="W1993" s="262"/>
      <c r="X1993" s="262"/>
      <c r="Y1993" s="262"/>
      <c r="Z1993" s="262"/>
      <c r="AA1993" s="262"/>
      <c r="AB1993" s="262"/>
    </row>
    <row r="1994" spans="1:31" ht="12.75">
      <c r="A1994" s="646" t="s">
        <v>14475</v>
      </c>
      <c r="B1994" s="403" t="s">
        <v>14476</v>
      </c>
      <c r="C1994" s="404">
        <v>95802</v>
      </c>
      <c r="D1994" s="765" t="s">
        <v>15149</v>
      </c>
      <c r="E1994" s="641"/>
      <c r="F1994" s="369"/>
      <c r="G1994" s="370"/>
      <c r="H1994" s="371"/>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row>
    <row r="1995" spans="1:31" ht="25.5">
      <c r="A1995" s="586" t="s">
        <v>14478</v>
      </c>
      <c r="B1995" s="373" t="s">
        <v>14476</v>
      </c>
      <c r="C1995" s="374">
        <v>88247</v>
      </c>
      <c r="D1995" s="288" t="str">
        <f>IFERROR(VLOOKUP($C1995,'24.08_ND'!$A:$D,2,0),)</f>
        <v>AUXILIAR DE ELETRICISTA COM ENCARGOS COMPLEMENTARES</v>
      </c>
      <c r="E1995" s="289" t="str">
        <f>IFERROR(VLOOKUP($C1995,'24.08_ND'!$A:$D,3,0),)</f>
        <v>H</v>
      </c>
      <c r="F1995" s="441">
        <v>0.54</v>
      </c>
      <c r="G1995" s="291">
        <f>IFERROR(VLOOKUP($C1995,'24.08_ND'!$A:$D,4,0),)</f>
        <v>20</v>
      </c>
      <c r="H1995" s="440">
        <f>TRUNC(($F1995*$G1995),2)</f>
        <v>10.8</v>
      </c>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D1995" s="1791" t="e">
        <f>VLOOKUP(C1995,'Medição '!$B$16:$F$1833,6,0)</f>
        <v>#N/A</v>
      </c>
      <c r="AE1995" s="1791"/>
    </row>
    <row r="1996" spans="1:31" ht="25.5">
      <c r="A1996" s="586" t="s">
        <v>14478</v>
      </c>
      <c r="B1996" s="373" t="s">
        <v>14476</v>
      </c>
      <c r="C1996" s="374">
        <v>88264</v>
      </c>
      <c r="D1996" s="288" t="str">
        <f>IFERROR(VLOOKUP($C1996,'24.08_ND'!$A:$D,2,0),)</f>
        <v>ELETRICISTA COM ENCARGOS COMPLEMENTARES</v>
      </c>
      <c r="E1996" s="289" t="str">
        <f>IFERROR(VLOOKUP($C1996,'24.08_ND'!$A:$D,3,0),)</f>
        <v>H</v>
      </c>
      <c r="F1996" s="441">
        <v>0.54</v>
      </c>
      <c r="G1996" s="291">
        <f>IFERROR(VLOOKUP($C1996,'24.08_ND'!$A:$D,4,0),)</f>
        <v>24.3</v>
      </c>
      <c r="H1996" s="440">
        <f>TRUNC(($F1996*$G1996),2)</f>
        <v>13.12</v>
      </c>
      <c r="I1996" s="262"/>
      <c r="J1996" s="262"/>
      <c r="K1996" s="262"/>
      <c r="L1996" s="262"/>
      <c r="M1996" s="262"/>
      <c r="N1996" s="262"/>
      <c r="O1996" s="262"/>
      <c r="P1996" s="262"/>
      <c r="Q1996" s="262"/>
      <c r="R1996" s="262"/>
      <c r="S1996" s="262"/>
      <c r="T1996" s="262"/>
      <c r="U1996" s="262"/>
      <c r="V1996" s="262"/>
      <c r="W1996" s="262"/>
      <c r="X1996" s="262"/>
      <c r="Y1996" s="262"/>
      <c r="Z1996" s="262"/>
      <c r="AA1996" s="262"/>
      <c r="AB1996" s="262"/>
      <c r="AD1996" s="1791" t="e">
        <f>VLOOKUP(C1996,'Medição '!$B$16:$F$1833,6,0)</f>
        <v>#N/A</v>
      </c>
      <c r="AE1996" s="1791"/>
    </row>
    <row r="1997" spans="1:31" ht="12.75">
      <c r="A1997" s="770" t="s">
        <v>14479</v>
      </c>
      <c r="B1997" s="383" t="s">
        <v>14476</v>
      </c>
      <c r="C1997" s="384">
        <v>38101</v>
      </c>
      <c r="D1997" s="296" t="str">
        <f>IFERROR(VLOOKUP($C1997,'24.08_ND'!$A:$D,2,0),)</f>
        <v>TOMADA 2P+T 10A, 250V (APENAS MODULO)</v>
      </c>
      <c r="E1997" s="297" t="str">
        <f>IFERROR(VLOOKUP($C1997,'24.08_ND'!$A:$D,3,0),)</f>
        <v>UN</v>
      </c>
      <c r="F1997" s="759">
        <v>1</v>
      </c>
      <c r="G1997" s="299">
        <f>IFERROR(VLOOKUP($C1997,'24.08_ND'!$A:$D,4,0),)</f>
        <v>6.75</v>
      </c>
      <c r="H1997" s="449">
        <f>TRUNC(($F1997*$G1997),2)</f>
        <v>6.75</v>
      </c>
      <c r="I1997" s="262"/>
      <c r="J1997" s="262"/>
      <c r="K1997" s="262"/>
      <c r="L1997" s="262"/>
      <c r="M1997" s="262"/>
      <c r="N1997" s="262"/>
      <c r="O1997" s="262"/>
      <c r="P1997" s="262"/>
      <c r="Q1997" s="262"/>
      <c r="R1997" s="262"/>
      <c r="S1997" s="262"/>
      <c r="T1997" s="262"/>
      <c r="U1997" s="262"/>
      <c r="V1997" s="262"/>
      <c r="W1997" s="262"/>
      <c r="X1997" s="262"/>
      <c r="Y1997" s="262"/>
      <c r="Z1997" s="262"/>
      <c r="AA1997" s="262"/>
      <c r="AB1997" s="262"/>
    </row>
    <row r="1998" spans="1:31" ht="12.75">
      <c r="A1998" s="770" t="s">
        <v>14479</v>
      </c>
      <c r="B1998" s="383" t="s">
        <v>14476</v>
      </c>
      <c r="C1998" s="384">
        <v>2590</v>
      </c>
      <c r="D1998" s="296" t="str">
        <f>IFERROR(VLOOKUP($C1998,'24.08_ND'!$A:$D,2,0),)</f>
        <v>CONDULETE DE ALUMINIO TIPO E, PARA ELETRODUTO ROSCAVEL DE 1", COM TAMPA CEGA</v>
      </c>
      <c r="E1998" s="297" t="str">
        <f>IFERROR(VLOOKUP($C1998,'24.08_ND'!$A:$D,3,0),)</f>
        <v>UN</v>
      </c>
      <c r="F1998" s="759">
        <v>1</v>
      </c>
      <c r="G1998" s="299">
        <f>IFERROR(VLOOKUP($C1998,'24.08_ND'!$A:$D,4,0),)</f>
        <v>16.170000000000002</v>
      </c>
      <c r="H1998" s="449">
        <f>TRUNC(($F1998*$G1998),2)</f>
        <v>16.170000000000002</v>
      </c>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row>
    <row r="1999" spans="1:31" ht="12.75">
      <c r="A1999" s="590" t="s">
        <v>14479</v>
      </c>
      <c r="B1999" s="312" t="str">
        <f>VLOOKUP($C1999,'• CIs EXT'!$A:$E,2,0)</f>
        <v>SBC</v>
      </c>
      <c r="C1999" s="377">
        <v>18029</v>
      </c>
      <c r="D1999" s="378" t="str">
        <f>VLOOKUP($C1999,'• CIs EXT'!$A:$E,3,0)</f>
        <v>TAMPA 1 MODULO CONDULETE TOP 1/2" E 3/4"</v>
      </c>
      <c r="E1999" s="379" t="str">
        <f>VLOOKUP($C1999,'• CIs EXT'!$A:$E,4,0)</f>
        <v>UN</v>
      </c>
      <c r="F1999" s="442">
        <v>1</v>
      </c>
      <c r="G1999" s="379">
        <f>VLOOKUP($C1999,'• CIs EXT'!$A:$E,5,0)</f>
        <v>4.46</v>
      </c>
      <c r="H1999" s="381">
        <f>TRUNC(($F1999*$G1999),2)</f>
        <v>4.46</v>
      </c>
      <c r="I1999" s="262"/>
      <c r="J1999" s="262"/>
      <c r="K1999" s="262"/>
      <c r="L1999" s="262"/>
      <c r="M1999" s="262"/>
      <c r="N1999" s="262"/>
      <c r="O1999" s="262"/>
      <c r="P1999" s="262"/>
      <c r="Q1999" s="262"/>
      <c r="R1999" s="262"/>
      <c r="S1999" s="262"/>
      <c r="T1999" s="262"/>
      <c r="U1999" s="262"/>
      <c r="V1999" s="262"/>
      <c r="W1999" s="262"/>
      <c r="X1999" s="262"/>
      <c r="Y1999" s="262"/>
      <c r="Z1999" s="262"/>
      <c r="AA1999" s="262"/>
      <c r="AB1999" s="262"/>
    </row>
    <row r="2000" spans="1:31" ht="12.75">
      <c r="A2000" s="766"/>
      <c r="B2000" s="767"/>
      <c r="C2000" s="3"/>
      <c r="D2000" s="768"/>
      <c r="E2000" s="690"/>
      <c r="F2000" s="691"/>
      <c r="G2000" s="690"/>
      <c r="H2000" s="692"/>
      <c r="I2000" s="262"/>
      <c r="J2000" s="262"/>
      <c r="K2000" s="262"/>
      <c r="L2000" s="262"/>
      <c r="M2000" s="262"/>
      <c r="N2000" s="262"/>
      <c r="O2000" s="262"/>
      <c r="P2000" s="262"/>
      <c r="Q2000" s="262"/>
      <c r="R2000" s="262"/>
      <c r="S2000" s="262"/>
      <c r="T2000" s="262"/>
      <c r="U2000" s="262"/>
      <c r="V2000" s="262"/>
      <c r="W2000" s="262"/>
      <c r="X2000" s="262"/>
      <c r="Y2000" s="262"/>
      <c r="Z2000" s="262"/>
      <c r="AA2000" s="262"/>
      <c r="AB2000" s="262"/>
    </row>
    <row r="2001" spans="1:31" ht="12.75">
      <c r="A2001" s="358" t="s">
        <v>14471</v>
      </c>
      <c r="B2001" s="359" t="s">
        <v>14472</v>
      </c>
      <c r="C2001" s="360" t="s">
        <v>15150</v>
      </c>
      <c r="D2001" s="361" t="s">
        <v>15151</v>
      </c>
      <c r="E2001" s="359" t="s">
        <v>50</v>
      </c>
      <c r="F2001" s="362"/>
      <c r="G2001" s="362"/>
      <c r="H2001" s="363">
        <f>TRUNC(SUM(H2003:H2005),2)</f>
        <v>10.68</v>
      </c>
      <c r="I2001" s="276">
        <f>COUNTIF($C$8:$C2001,C:C)</f>
        <v>1</v>
      </c>
      <c r="J2001" s="262"/>
      <c r="K2001" s="262"/>
      <c r="L2001" s="262"/>
      <c r="M2001" s="262"/>
      <c r="N2001" s="262"/>
      <c r="O2001" s="262"/>
      <c r="P2001" s="262"/>
      <c r="Q2001" s="262"/>
      <c r="R2001" s="262"/>
      <c r="S2001" s="262"/>
      <c r="T2001" s="262"/>
      <c r="U2001" s="262"/>
      <c r="V2001" s="262"/>
      <c r="W2001" s="262"/>
      <c r="X2001" s="262"/>
      <c r="Y2001" s="262"/>
      <c r="Z2001" s="262"/>
      <c r="AA2001" s="262"/>
      <c r="AB2001" s="262"/>
    </row>
    <row r="2002" spans="1:31" ht="12.75">
      <c r="A2002" s="646" t="s">
        <v>14475</v>
      </c>
      <c r="B2002" s="403" t="s">
        <v>14600</v>
      </c>
      <c r="C2002" s="404">
        <v>5023</v>
      </c>
      <c r="D2002" s="769" t="s">
        <v>14567</v>
      </c>
      <c r="E2002" s="405"/>
      <c r="F2002" s="369"/>
      <c r="G2002" s="370"/>
      <c r="H2002" s="371"/>
      <c r="I2002" s="262"/>
      <c r="J2002" s="262"/>
      <c r="K2002" s="262"/>
      <c r="L2002" s="262"/>
      <c r="M2002" s="262"/>
      <c r="N2002" s="262"/>
      <c r="O2002" s="262"/>
      <c r="P2002" s="262"/>
      <c r="Q2002" s="262"/>
      <c r="R2002" s="262"/>
      <c r="S2002" s="262"/>
      <c r="T2002" s="262"/>
      <c r="U2002" s="262"/>
      <c r="V2002" s="262"/>
      <c r="W2002" s="262"/>
      <c r="X2002" s="262"/>
      <c r="Y2002" s="262"/>
      <c r="Z2002" s="262"/>
      <c r="AA2002" s="262"/>
      <c r="AB2002" s="262"/>
    </row>
    <row r="2003" spans="1:31" ht="25.5">
      <c r="A2003" s="586" t="s">
        <v>14478</v>
      </c>
      <c r="B2003" s="373" t="s">
        <v>14476</v>
      </c>
      <c r="C2003" s="374">
        <v>88264</v>
      </c>
      <c r="D2003" s="288" t="str">
        <f>IFERROR(VLOOKUP($C2003,'24.08_ND'!$A:$D,2,0),)</f>
        <v>ELETRICISTA COM ENCARGOS COMPLEMENTARES</v>
      </c>
      <c r="E2003" s="289" t="str">
        <f>IFERROR(VLOOKUP($C2003,'24.08_ND'!$A:$D,3,0),)</f>
        <v>H</v>
      </c>
      <c r="F2003" s="441">
        <v>0.12</v>
      </c>
      <c r="G2003" s="291">
        <f>IFERROR(VLOOKUP($C2003,'24.08_ND'!$A:$D,4,0),)</f>
        <v>24.3</v>
      </c>
      <c r="H2003" s="440">
        <f>TRUNC(($F2003*$G2003),2)</f>
        <v>2.91</v>
      </c>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D2003" s="1791" t="e">
        <f>VLOOKUP(C2003,'Medição '!$B$16:$F$1833,6,0)</f>
        <v>#N/A</v>
      </c>
      <c r="AE2003" s="1791"/>
    </row>
    <row r="2004" spans="1:31" ht="25.5">
      <c r="A2004" s="586" t="s">
        <v>14478</v>
      </c>
      <c r="B2004" s="373" t="s">
        <v>14476</v>
      </c>
      <c r="C2004" s="374">
        <v>88247</v>
      </c>
      <c r="D2004" s="288" t="str">
        <f>IFERROR(VLOOKUP($C2004,'24.08_ND'!$A:$D,2,0),)</f>
        <v>AUXILIAR DE ELETRICISTA COM ENCARGOS COMPLEMENTARES</v>
      </c>
      <c r="E2004" s="289" t="str">
        <f>IFERROR(VLOOKUP($C2004,'24.08_ND'!$A:$D,3,0),)</f>
        <v>H</v>
      </c>
      <c r="F2004" s="441">
        <v>0.12</v>
      </c>
      <c r="G2004" s="291">
        <f>IFERROR(VLOOKUP($C2004,'24.08_ND'!$A:$D,4,0),)</f>
        <v>20</v>
      </c>
      <c r="H2004" s="440">
        <f>TRUNC(($F2004*$G2004),2)</f>
        <v>2.4</v>
      </c>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D2004" s="1791" t="e">
        <f>VLOOKUP(C2004,'Medição '!$B$16:$F$1833,6,0)</f>
        <v>#N/A</v>
      </c>
      <c r="AE2004" s="1791"/>
    </row>
    <row r="2005" spans="1:31" ht="12.75">
      <c r="A2005" s="754" t="s">
        <v>14479</v>
      </c>
      <c r="B2005" s="312" t="str">
        <f>VLOOKUP($C2005,'• CIs EXT'!$A:$E,2,0)</f>
        <v>ORSE</v>
      </c>
      <c r="C2005" s="591">
        <v>3804</v>
      </c>
      <c r="D2005" s="378" t="str">
        <f>VLOOKUP($C2005,'• CIs EXT'!$A:$E,3,0)</f>
        <v>CABO DE COBRE PP CORDPLAST 2 X 2,5 MM2, 450/750V</v>
      </c>
      <c r="E2005" s="379" t="str">
        <f>VLOOKUP($C2005,'• CIs EXT'!$A:$E,4,0)</f>
        <v>M</v>
      </c>
      <c r="F2005" s="380">
        <v>1</v>
      </c>
      <c r="G2005" s="379">
        <f>VLOOKUP($C2005,'• CIs EXT'!$A:$E,5,0)</f>
        <v>5.37</v>
      </c>
      <c r="H2005" s="381">
        <f>TRUNC(($F2005*$G2005),2)</f>
        <v>5.37</v>
      </c>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row>
    <row r="2006" spans="1:31" ht="12.75">
      <c r="A2006" s="766"/>
      <c r="B2006" s="767"/>
      <c r="C2006" s="3"/>
      <c r="D2006" s="768"/>
      <c r="E2006" s="690"/>
      <c r="F2006" s="691"/>
      <c r="G2006" s="690"/>
      <c r="H2006" s="69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row>
    <row r="2007" spans="1:31" ht="25.5">
      <c r="A2007" s="358" t="s">
        <v>14471</v>
      </c>
      <c r="B2007" s="359" t="s">
        <v>14472</v>
      </c>
      <c r="C2007" s="360" t="s">
        <v>15152</v>
      </c>
      <c r="D2007" s="361" t="s">
        <v>15153</v>
      </c>
      <c r="E2007" s="359" t="s">
        <v>6</v>
      </c>
      <c r="F2007" s="362"/>
      <c r="G2007" s="362"/>
      <c r="H2007" s="363">
        <f>SUM(H2009:H2011)</f>
        <v>11.33</v>
      </c>
      <c r="I2007" s="276">
        <f>COUNTIF($C$8:$C2007,C:C)</f>
        <v>1</v>
      </c>
      <c r="J2007" s="262"/>
      <c r="K2007" s="262"/>
      <c r="L2007" s="262"/>
      <c r="M2007" s="262"/>
      <c r="N2007" s="262"/>
      <c r="O2007" s="262"/>
      <c r="P2007" s="262"/>
      <c r="Q2007" s="262"/>
      <c r="R2007" s="262"/>
      <c r="S2007" s="262"/>
      <c r="T2007" s="262"/>
      <c r="U2007" s="262"/>
      <c r="V2007" s="262"/>
      <c r="W2007" s="262"/>
      <c r="X2007" s="262"/>
      <c r="Y2007" s="262"/>
      <c r="Z2007" s="262"/>
      <c r="AA2007" s="262"/>
      <c r="AB2007" s="262"/>
    </row>
    <row r="2008" spans="1:31" ht="12.75">
      <c r="A2008" s="646" t="s">
        <v>14475</v>
      </c>
      <c r="B2008" s="763" t="s">
        <v>14600</v>
      </c>
      <c r="C2008" s="404">
        <v>11008</v>
      </c>
      <c r="D2008" s="769" t="s">
        <v>15154</v>
      </c>
      <c r="E2008" s="641"/>
      <c r="F2008" s="369"/>
      <c r="G2008" s="370"/>
      <c r="H2008" s="371"/>
      <c r="I2008" s="262"/>
      <c r="J2008" s="262"/>
      <c r="K2008" s="262"/>
      <c r="L2008" s="262"/>
      <c r="M2008" s="262"/>
      <c r="N2008" s="262"/>
      <c r="O2008" s="262"/>
      <c r="P2008" s="262"/>
      <c r="Q2008" s="262"/>
      <c r="R2008" s="262"/>
      <c r="S2008" s="262"/>
      <c r="T2008" s="262"/>
      <c r="U2008" s="262"/>
      <c r="V2008" s="262"/>
      <c r="W2008" s="262"/>
      <c r="X2008" s="262"/>
      <c r="Y2008" s="262"/>
      <c r="Z2008" s="262"/>
      <c r="AA2008" s="262"/>
      <c r="AB2008" s="262"/>
    </row>
    <row r="2009" spans="1:31" ht="25.5">
      <c r="A2009" s="586" t="s">
        <v>14478</v>
      </c>
      <c r="B2009" s="421" t="s">
        <v>14476</v>
      </c>
      <c r="C2009" s="677">
        <v>88264</v>
      </c>
      <c r="D2009" s="288" t="str">
        <f>IFERROR(VLOOKUP($C2009,'24.08_ND'!$A:$D,2,0),)</f>
        <v>ELETRICISTA COM ENCARGOS COMPLEMENTARES</v>
      </c>
      <c r="E2009" s="289" t="str">
        <f>IFERROR(VLOOKUP($C2009,'24.08_ND'!$A:$D,3,0),)</f>
        <v>H</v>
      </c>
      <c r="F2009" s="441">
        <v>0.01</v>
      </c>
      <c r="G2009" s="291">
        <f>IFERROR(VLOOKUP($C2009,'24.08_ND'!$A:$D,4,0),)</f>
        <v>24.3</v>
      </c>
      <c r="H2009" s="423">
        <f>TRUNC(($F2009*$G2009),2)</f>
        <v>0.24</v>
      </c>
      <c r="I2009" s="262"/>
      <c r="J2009" s="262"/>
      <c r="K2009" s="262"/>
      <c r="L2009" s="262"/>
      <c r="M2009" s="262"/>
      <c r="N2009" s="262"/>
      <c r="O2009" s="262"/>
      <c r="P2009" s="262"/>
      <c r="Q2009" s="262"/>
      <c r="R2009" s="262"/>
      <c r="S2009" s="262"/>
      <c r="T2009" s="262"/>
      <c r="U2009" s="262"/>
      <c r="V2009" s="262"/>
      <c r="W2009" s="262"/>
      <c r="X2009" s="262"/>
      <c r="Y2009" s="262"/>
      <c r="Z2009" s="262"/>
      <c r="AA2009" s="262"/>
      <c r="AB2009" s="262"/>
      <c r="AD2009" s="1791" t="e">
        <f>VLOOKUP(C2009,'Medição '!$B$16:$F$1833,6,0)</f>
        <v>#N/A</v>
      </c>
      <c r="AE2009" s="1791"/>
    </row>
    <row r="2010" spans="1:31" ht="25.5">
      <c r="A2010" s="586" t="s">
        <v>14478</v>
      </c>
      <c r="B2010" s="421" t="s">
        <v>14476</v>
      </c>
      <c r="C2010" s="677">
        <v>88247</v>
      </c>
      <c r="D2010" s="288" t="str">
        <f>IFERROR(VLOOKUP($C2010,'24.08_ND'!$A:$D,2,0),)</f>
        <v>AUXILIAR DE ELETRICISTA COM ENCARGOS COMPLEMENTARES</v>
      </c>
      <c r="E2010" s="289" t="str">
        <f>IFERROR(VLOOKUP($C2010,'24.08_ND'!$A:$D,3,0),)</f>
        <v>H</v>
      </c>
      <c r="F2010" s="441">
        <v>0.01</v>
      </c>
      <c r="G2010" s="291">
        <f>IFERROR(VLOOKUP($C2010,'24.08_ND'!$A:$D,4,0),)</f>
        <v>20</v>
      </c>
      <c r="H2010" s="423">
        <f>TRUNC(($F2010*$G2010),2)</f>
        <v>0.2</v>
      </c>
      <c r="I2010" s="262"/>
      <c r="J2010" s="262"/>
      <c r="K2010" s="262"/>
      <c r="L2010" s="262"/>
      <c r="M2010" s="262"/>
      <c r="N2010" s="262"/>
      <c r="O2010" s="262"/>
      <c r="P2010" s="262"/>
      <c r="Q2010" s="262"/>
      <c r="R2010" s="262"/>
      <c r="S2010" s="262"/>
      <c r="T2010" s="262"/>
      <c r="U2010" s="262"/>
      <c r="V2010" s="262"/>
      <c r="W2010" s="262"/>
      <c r="X2010" s="262"/>
      <c r="Y2010" s="262"/>
      <c r="Z2010" s="262"/>
      <c r="AA2010" s="262"/>
      <c r="AB2010" s="262"/>
      <c r="AD2010" s="1791" t="e">
        <f>VLOOKUP(C2010,'Medição '!$B$16:$F$1833,6,0)</f>
        <v>#N/A</v>
      </c>
      <c r="AE2010" s="1791"/>
    </row>
    <row r="2011" spans="1:31" ht="12.75">
      <c r="A2011" s="770" t="s">
        <v>14479</v>
      </c>
      <c r="B2011" s="446" t="s">
        <v>14476</v>
      </c>
      <c r="C2011" s="582">
        <v>1589</v>
      </c>
      <c r="D2011" s="296" t="str">
        <f>IFERROR(VLOOKUP($C2011,'24.08_ND'!$A:$D,2,0),)</f>
        <v>TERMINAL METALICO A PRESSAO PARA 1 CABO DE 70 MM2, COM 1 FURO DE FIXACAO</v>
      </c>
      <c r="E2011" s="297" t="str">
        <f>IFERROR(VLOOKUP($C2011,'24.08_ND'!$A:$D,3,0),)</f>
        <v>UN</v>
      </c>
      <c r="F2011" s="385">
        <v>1</v>
      </c>
      <c r="G2011" s="299">
        <f>IFERROR(VLOOKUP($C2011,'24.08_ND'!$A:$D,4,0),)</f>
        <v>10.89</v>
      </c>
      <c r="H2011" s="449">
        <f>TRUNC(($F2011*$G2011),2)</f>
        <v>10.89</v>
      </c>
      <c r="I2011" s="262"/>
      <c r="J2011" s="262"/>
      <c r="K2011" s="262"/>
      <c r="L2011" s="262"/>
      <c r="M2011" s="262"/>
      <c r="N2011" s="262"/>
      <c r="O2011" s="262"/>
      <c r="P2011" s="262"/>
      <c r="Q2011" s="262"/>
      <c r="R2011" s="262"/>
      <c r="S2011" s="262"/>
      <c r="T2011" s="262"/>
      <c r="U2011" s="262"/>
      <c r="V2011" s="262"/>
      <c r="W2011" s="262"/>
      <c r="X2011" s="262"/>
      <c r="Y2011" s="262"/>
      <c r="Z2011" s="262"/>
      <c r="AA2011" s="262"/>
      <c r="AB2011" s="262"/>
    </row>
    <row r="2012" spans="1:31" ht="12.75">
      <c r="A2012" s="766"/>
      <c r="B2012" s="767"/>
      <c r="C2012" s="3"/>
      <c r="D2012" s="768"/>
      <c r="E2012" s="690"/>
      <c r="F2012" s="691"/>
      <c r="G2012" s="690"/>
      <c r="H2012" s="692"/>
      <c r="I2012" s="262"/>
      <c r="J2012" s="262"/>
      <c r="K2012" s="262"/>
      <c r="L2012" s="262"/>
      <c r="M2012" s="262"/>
      <c r="N2012" s="262"/>
      <c r="O2012" s="262"/>
      <c r="P2012" s="262"/>
      <c r="Q2012" s="262"/>
      <c r="R2012" s="262"/>
      <c r="S2012" s="262"/>
      <c r="T2012" s="262"/>
      <c r="U2012" s="262"/>
      <c r="V2012" s="262"/>
      <c r="W2012" s="262"/>
      <c r="X2012" s="262"/>
      <c r="Y2012" s="262"/>
      <c r="Z2012" s="262"/>
      <c r="AA2012" s="262"/>
      <c r="AB2012" s="262"/>
    </row>
    <row r="2013" spans="1:31" ht="25.5">
      <c r="A2013" s="358" t="s">
        <v>14471</v>
      </c>
      <c r="B2013" s="359" t="s">
        <v>14472</v>
      </c>
      <c r="C2013" s="360" t="s">
        <v>15155</v>
      </c>
      <c r="D2013" s="361" t="s">
        <v>15156</v>
      </c>
      <c r="E2013" s="359" t="s">
        <v>6</v>
      </c>
      <c r="F2013" s="362"/>
      <c r="G2013" s="362"/>
      <c r="H2013" s="363">
        <f>TRUNC(SUM(H2015:H2017),2)</f>
        <v>81.88</v>
      </c>
      <c r="I2013" s="276">
        <f>COUNTIF($C$8:$C2013,C:C)</f>
        <v>1</v>
      </c>
      <c r="J2013" s="262"/>
      <c r="K2013" s="262"/>
      <c r="L2013" s="262"/>
      <c r="M2013" s="262"/>
      <c r="N2013" s="262"/>
      <c r="O2013" s="262"/>
      <c r="P2013" s="262"/>
      <c r="Q2013" s="262"/>
      <c r="R2013" s="262"/>
      <c r="S2013" s="262"/>
      <c r="T2013" s="262"/>
      <c r="U2013" s="262"/>
      <c r="V2013" s="262"/>
      <c r="W2013" s="262"/>
      <c r="X2013" s="262"/>
      <c r="Y2013" s="262"/>
      <c r="Z2013" s="262"/>
      <c r="AA2013" s="262"/>
      <c r="AB2013" s="262"/>
    </row>
    <row r="2014" spans="1:31" ht="12.75">
      <c r="A2014" s="646" t="s">
        <v>14475</v>
      </c>
      <c r="B2014" s="694" t="s">
        <v>14502</v>
      </c>
      <c r="C2014" s="365">
        <v>1201005141</v>
      </c>
      <c r="D2014" s="769" t="s">
        <v>14567</v>
      </c>
      <c r="E2014" s="641"/>
      <c r="F2014" s="369"/>
      <c r="G2014" s="370"/>
      <c r="H2014" s="371"/>
      <c r="I2014" s="262"/>
      <c r="J2014" s="262"/>
      <c r="K2014" s="262"/>
      <c r="L2014" s="262"/>
      <c r="M2014" s="262"/>
      <c r="N2014" s="262"/>
      <c r="O2014" s="262"/>
      <c r="P2014" s="262"/>
      <c r="Q2014" s="262"/>
      <c r="R2014" s="262"/>
      <c r="S2014" s="262"/>
      <c r="T2014" s="262"/>
      <c r="U2014" s="262"/>
      <c r="V2014" s="262"/>
      <c r="W2014" s="262"/>
      <c r="X2014" s="262"/>
      <c r="Y2014" s="262"/>
      <c r="Z2014" s="262"/>
      <c r="AA2014" s="262"/>
      <c r="AB2014" s="262"/>
    </row>
    <row r="2015" spans="1:31" ht="25.5">
      <c r="A2015" s="586" t="s">
        <v>14478</v>
      </c>
      <c r="B2015" s="421" t="s">
        <v>14476</v>
      </c>
      <c r="C2015" s="422">
        <v>88247</v>
      </c>
      <c r="D2015" s="288" t="str">
        <f>IFERROR(VLOOKUP($C2015,'24.08_ND'!$A:$D,2,0),)</f>
        <v>AUXILIAR DE ELETRICISTA COM ENCARGOS COMPLEMENTARES</v>
      </c>
      <c r="E2015" s="289" t="str">
        <f>IFERROR(VLOOKUP($C2015,'24.08_ND'!$A:$D,3,0),)</f>
        <v>H</v>
      </c>
      <c r="F2015" s="375">
        <v>0.4</v>
      </c>
      <c r="G2015" s="291">
        <f>IFERROR(VLOOKUP($C2015,'24.08_ND'!$A:$D,4,0),)</f>
        <v>20</v>
      </c>
      <c r="H2015" s="423">
        <f>TRUNC(($F2015*$G2015),2)</f>
        <v>8</v>
      </c>
      <c r="I2015" s="262"/>
      <c r="J2015" s="262"/>
      <c r="K2015" s="262"/>
      <c r="L2015" s="262"/>
      <c r="M2015" s="262"/>
      <c r="N2015" s="262"/>
      <c r="O2015" s="262"/>
      <c r="P2015" s="262"/>
      <c r="Q2015" s="262"/>
      <c r="R2015" s="262"/>
      <c r="S2015" s="262"/>
      <c r="T2015" s="262"/>
      <c r="U2015" s="262"/>
      <c r="V2015" s="262"/>
      <c r="W2015" s="262"/>
      <c r="X2015" s="262"/>
      <c r="Y2015" s="262"/>
      <c r="Z2015" s="262"/>
      <c r="AA2015" s="262"/>
      <c r="AB2015" s="262"/>
      <c r="AD2015" s="1791" t="e">
        <f>VLOOKUP(C2015,'Medição '!$B$16:$F$1833,6,0)</f>
        <v>#N/A</v>
      </c>
      <c r="AE2015" s="1791"/>
    </row>
    <row r="2016" spans="1:31" ht="25.5">
      <c r="A2016" s="586" t="s">
        <v>14478</v>
      </c>
      <c r="B2016" s="421" t="s">
        <v>14476</v>
      </c>
      <c r="C2016" s="422">
        <v>88264</v>
      </c>
      <c r="D2016" s="288" t="str">
        <f>IFERROR(VLOOKUP($C2016,'24.08_ND'!$A:$D,2,0),)</f>
        <v>ELETRICISTA COM ENCARGOS COMPLEMENTARES</v>
      </c>
      <c r="E2016" s="289" t="str">
        <f>IFERROR(VLOOKUP($C2016,'24.08_ND'!$A:$D,3,0),)</f>
        <v>H</v>
      </c>
      <c r="F2016" s="375">
        <v>0.4</v>
      </c>
      <c r="G2016" s="291">
        <f>IFERROR(VLOOKUP($C2016,'24.08_ND'!$A:$D,4,0),)</f>
        <v>24.3</v>
      </c>
      <c r="H2016" s="423">
        <f>TRUNC(($F2016*$G2016),2)</f>
        <v>9.7200000000000006</v>
      </c>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D2016" s="1791" t="e">
        <f>VLOOKUP(C2016,'Medição '!$B$16:$F$1833,6,0)</f>
        <v>#N/A</v>
      </c>
      <c r="AE2016" s="1791"/>
    </row>
    <row r="2017" spans="1:32" ht="25.5">
      <c r="A2017" s="770" t="s">
        <v>14479</v>
      </c>
      <c r="B2017" s="446" t="s">
        <v>14476</v>
      </c>
      <c r="C2017" s="384">
        <v>39469</v>
      </c>
      <c r="D2017" s="296" t="str">
        <f>IFERROR(VLOOKUP($C2017,'24.08_ND'!$A:$D,2,0),)</f>
        <v>DISPOSITIVO DPS CLASSE II, 1 POLO, TENSAO MAXIMA DE 275 V, CORRENTE MAXIMA DE *20* KA (TIPO AC)</v>
      </c>
      <c r="E2017" s="297" t="str">
        <f>IFERROR(VLOOKUP($C2017,'24.08_ND'!$A:$D,3,0),)</f>
        <v>UN</v>
      </c>
      <c r="F2017" s="385">
        <v>1</v>
      </c>
      <c r="G2017" s="299">
        <f>IFERROR(VLOOKUP($C2017,'24.08_ND'!$A:$D,4,0),)</f>
        <v>64.16</v>
      </c>
      <c r="H2017" s="449">
        <f>TRUNC(($F2017*$G2017),2)</f>
        <v>64.16</v>
      </c>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row>
    <row r="2018" spans="1:32" ht="12.75">
      <c r="A2018" s="766"/>
      <c r="B2018" s="767"/>
      <c r="C2018" s="3"/>
      <c r="D2018" s="768"/>
      <c r="E2018" s="690"/>
      <c r="F2018" s="691"/>
      <c r="G2018" s="690"/>
      <c r="H2018" s="69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row>
    <row r="2019" spans="1:32" ht="25.5">
      <c r="A2019" s="771" t="s">
        <v>15071</v>
      </c>
      <c r="B2019" s="772" t="s">
        <v>14472</v>
      </c>
      <c r="C2019" s="360" t="s">
        <v>15157</v>
      </c>
      <c r="D2019" s="773" t="s">
        <v>15158</v>
      </c>
      <c r="E2019" s="774" t="s">
        <v>6</v>
      </c>
      <c r="F2019" s="775"/>
      <c r="G2019" s="776"/>
      <c r="H2019" s="777">
        <f>SUM(H2020:H2023)</f>
        <v>153.30000000000001</v>
      </c>
      <c r="I2019" s="276">
        <f>COUNTIF($C$8:$C2019,C:C)</f>
        <v>1</v>
      </c>
      <c r="J2019" s="262"/>
      <c r="K2019" s="262"/>
      <c r="L2019" s="262"/>
      <c r="M2019" s="262"/>
      <c r="N2019" s="262"/>
      <c r="O2019" s="262"/>
      <c r="P2019" s="262"/>
      <c r="Q2019" s="262"/>
      <c r="R2019" s="262"/>
      <c r="S2019" s="262"/>
      <c r="T2019" s="262"/>
      <c r="U2019" s="262"/>
      <c r="V2019" s="262"/>
      <c r="W2019" s="262"/>
      <c r="X2019" s="262"/>
      <c r="Y2019" s="262"/>
      <c r="Z2019" s="262"/>
      <c r="AA2019" s="262"/>
      <c r="AB2019" s="262"/>
    </row>
    <row r="2020" spans="1:32" ht="12.75">
      <c r="A2020" s="646" t="s">
        <v>14475</v>
      </c>
      <c r="B2020" s="694" t="s">
        <v>14600</v>
      </c>
      <c r="C2020" s="365">
        <v>7996</v>
      </c>
      <c r="D2020" s="769" t="s">
        <v>14567</v>
      </c>
      <c r="E2020" s="370"/>
      <c r="F2020" s="369"/>
      <c r="G2020" s="370"/>
      <c r="H2020" s="371"/>
      <c r="I2020" s="262"/>
      <c r="J2020" s="262"/>
      <c r="K2020" s="262"/>
      <c r="L2020" s="262"/>
      <c r="M2020" s="262"/>
      <c r="N2020" s="262"/>
      <c r="O2020" s="262"/>
      <c r="P2020" s="262"/>
      <c r="Q2020" s="262"/>
      <c r="R2020" s="262"/>
      <c r="S2020" s="262"/>
      <c r="T2020" s="262"/>
      <c r="U2020" s="262"/>
      <c r="V2020" s="262"/>
      <c r="W2020" s="262"/>
      <c r="X2020" s="262"/>
      <c r="Y2020" s="262"/>
      <c r="Z2020" s="262"/>
      <c r="AA2020" s="262"/>
      <c r="AB2020" s="262"/>
    </row>
    <row r="2021" spans="1:32" ht="25.5">
      <c r="A2021" s="586" t="s">
        <v>14478</v>
      </c>
      <c r="B2021" s="421" t="s">
        <v>14476</v>
      </c>
      <c r="C2021" s="422">
        <v>88247</v>
      </c>
      <c r="D2021" s="288" t="str">
        <f>IFERROR(VLOOKUP($C2021,'24.08_ND'!$A:$D,2,0),)</f>
        <v>AUXILIAR DE ELETRICISTA COM ENCARGOS COMPLEMENTARES</v>
      </c>
      <c r="E2021" s="289" t="str">
        <f>IFERROR(VLOOKUP($C2021,'24.08_ND'!$A:$D,3,0),)</f>
        <v>H</v>
      </c>
      <c r="F2021" s="375">
        <v>0.6</v>
      </c>
      <c r="G2021" s="291">
        <f>IFERROR(VLOOKUP($C2021,'24.08_ND'!$A:$D,4,0),)</f>
        <v>20</v>
      </c>
      <c r="H2021" s="440">
        <f>TRUNC(($F2021*$G2021),2)</f>
        <v>12</v>
      </c>
      <c r="I2021" s="262"/>
      <c r="J2021" s="262"/>
      <c r="K2021" s="262"/>
      <c r="L2021" s="262"/>
      <c r="M2021" s="262"/>
      <c r="N2021" s="262"/>
      <c r="O2021" s="262"/>
      <c r="P2021" s="262"/>
      <c r="Q2021" s="262"/>
      <c r="R2021" s="262"/>
      <c r="S2021" s="262"/>
      <c r="T2021" s="262"/>
      <c r="U2021" s="262"/>
      <c r="V2021" s="262"/>
      <c r="W2021" s="262"/>
      <c r="X2021" s="262"/>
      <c r="Y2021" s="262"/>
      <c r="Z2021" s="262"/>
      <c r="AA2021" s="262"/>
      <c r="AB2021" s="262"/>
      <c r="AD2021" s="1791" t="e">
        <f>VLOOKUP(C2021,'Medição '!$B$16:$F$1833,6,0)</f>
        <v>#N/A</v>
      </c>
      <c r="AE2021" s="1791"/>
    </row>
    <row r="2022" spans="1:32" ht="25.5">
      <c r="A2022" s="586" t="s">
        <v>14478</v>
      </c>
      <c r="B2022" s="421" t="s">
        <v>14476</v>
      </c>
      <c r="C2022" s="422">
        <v>88264</v>
      </c>
      <c r="D2022" s="288" t="str">
        <f>IFERROR(VLOOKUP($C2022,'24.08_ND'!$A:$D,2,0),)</f>
        <v>ELETRICISTA COM ENCARGOS COMPLEMENTARES</v>
      </c>
      <c r="E2022" s="289" t="str">
        <f>IFERROR(VLOOKUP($C2022,'24.08_ND'!$A:$D,3,0),)</f>
        <v>H</v>
      </c>
      <c r="F2022" s="375">
        <v>0.6</v>
      </c>
      <c r="G2022" s="291">
        <f>IFERROR(VLOOKUP($C2022,'24.08_ND'!$A:$D,4,0),)</f>
        <v>24.3</v>
      </c>
      <c r="H2022" s="440">
        <f>TRUNC(($F2022*$G2022),2)</f>
        <v>14.58</v>
      </c>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D2022" s="1791" t="e">
        <f>VLOOKUP(C2022,'Medição '!$B$16:$F$1833,6,0)</f>
        <v>#N/A</v>
      </c>
      <c r="AE2022" s="1791"/>
    </row>
    <row r="2023" spans="1:32" ht="12.75">
      <c r="A2023" s="770" t="s">
        <v>14479</v>
      </c>
      <c r="B2023" s="446" t="s">
        <v>14476</v>
      </c>
      <c r="C2023" s="384">
        <v>39445</v>
      </c>
      <c r="D2023" s="296" t="str">
        <f>IFERROR(VLOOKUP($C2023,'24.08_ND'!$A:$D,2,0),)</f>
        <v>DISPOSITIVO DR, 2 POLOS, SENSIBILIDADE DE 30 MA, CORRENTE DE 25 A, TIPO AC</v>
      </c>
      <c r="E2023" s="297" t="str">
        <f>IFERROR(VLOOKUP($C2023,'24.08_ND'!$A:$D,3,0),)</f>
        <v>UN</v>
      </c>
      <c r="F2023" s="385">
        <v>1</v>
      </c>
      <c r="G2023" s="299">
        <f>IFERROR(VLOOKUP($C2023,'24.08_ND'!$A:$D,4,0),)</f>
        <v>126.72</v>
      </c>
      <c r="H2023" s="449">
        <f>TRUNC(($F2023*$G2023),2)</f>
        <v>126.72</v>
      </c>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row>
    <row r="2024" spans="1:32" ht="12.75">
      <c r="A2024" s="766"/>
      <c r="B2024" s="767"/>
      <c r="C2024" s="3"/>
      <c r="D2024" s="768"/>
      <c r="E2024" s="690"/>
      <c r="F2024" s="691"/>
      <c r="G2024" s="690"/>
      <c r="H2024" s="69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row>
    <row r="2025" spans="1:32" ht="25.5">
      <c r="A2025" s="358" t="s">
        <v>14471</v>
      </c>
      <c r="B2025" s="359" t="s">
        <v>14472</v>
      </c>
      <c r="C2025" s="360" t="s">
        <v>15159</v>
      </c>
      <c r="D2025" s="361" t="s">
        <v>15160</v>
      </c>
      <c r="E2025" s="359" t="s">
        <v>6</v>
      </c>
      <c r="F2025" s="362"/>
      <c r="G2025" s="362"/>
      <c r="H2025" s="363">
        <f>TRUNC(SUM(H2027:H2028),2)</f>
        <v>16.86</v>
      </c>
      <c r="I2025" s="276">
        <f>COUNTIF($C$8:$C2025,C:C)</f>
        <v>1</v>
      </c>
      <c r="J2025" s="262"/>
      <c r="K2025" s="262"/>
      <c r="L2025" s="262"/>
      <c r="M2025" s="262"/>
      <c r="N2025" s="262"/>
      <c r="O2025" s="262"/>
      <c r="P2025" s="262"/>
      <c r="Q2025" s="262"/>
      <c r="R2025" s="262"/>
      <c r="S2025" s="262"/>
      <c r="T2025" s="262"/>
      <c r="U2025" s="262"/>
      <c r="V2025" s="262"/>
      <c r="W2025" s="262"/>
      <c r="X2025" s="262"/>
      <c r="Y2025" s="262"/>
      <c r="Z2025" s="262"/>
      <c r="AA2025" s="262"/>
      <c r="AB2025" s="262"/>
    </row>
    <row r="2026" spans="1:32" ht="12.75">
      <c r="A2026" s="646" t="s">
        <v>14475</v>
      </c>
      <c r="B2026" s="403" t="s">
        <v>14600</v>
      </c>
      <c r="C2026" s="778">
        <v>12889</v>
      </c>
      <c r="D2026" s="769" t="s">
        <v>14567</v>
      </c>
      <c r="E2026" s="779"/>
      <c r="F2026" s="417"/>
      <c r="G2026" s="418"/>
      <c r="H2026" s="419"/>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row>
    <row r="2027" spans="1:32" ht="25.5">
      <c r="A2027" s="586" t="s">
        <v>14478</v>
      </c>
      <c r="B2027" s="455" t="s">
        <v>14476</v>
      </c>
      <c r="C2027" s="374">
        <v>88316</v>
      </c>
      <c r="D2027" s="288" t="str">
        <f>IFERROR(VLOOKUP($C2027,'24.08_ND'!$A:$D,2,0),)</f>
        <v>SERVENTE COM ENCARGOS COMPLEMENTARES</v>
      </c>
      <c r="E2027" s="289" t="str">
        <f>IFERROR(VLOOKUP($C2027,'24.08_ND'!$A:$D,3,0),)</f>
        <v>H</v>
      </c>
      <c r="F2027" s="375">
        <v>0.2</v>
      </c>
      <c r="G2027" s="291">
        <f>IFERROR(VLOOKUP($C2027,'24.08_ND'!$A:$D,4,0),)</f>
        <v>18.510000000000002</v>
      </c>
      <c r="H2027" s="440">
        <f>TRUNC(($F2027*$G2027),2)</f>
        <v>3.7</v>
      </c>
      <c r="I2027" s="262"/>
      <c r="J2027" s="262"/>
      <c r="K2027" s="262"/>
      <c r="L2027" s="262"/>
      <c r="M2027" s="262"/>
      <c r="N2027" s="262"/>
      <c r="O2027" s="262"/>
      <c r="P2027" s="262"/>
      <c r="Q2027" s="262"/>
      <c r="R2027" s="262"/>
      <c r="S2027" s="262"/>
      <c r="T2027" s="262"/>
      <c r="U2027" s="262"/>
      <c r="V2027" s="262"/>
      <c r="W2027" s="262"/>
      <c r="X2027" s="262"/>
      <c r="Y2027" s="262"/>
      <c r="Z2027" s="262"/>
      <c r="AA2027" s="262"/>
      <c r="AB2027" s="262"/>
      <c r="AD2027" s="1791" t="e">
        <f>VLOOKUP(C2027,'Medição '!$B$16:$F$1833,6,0)</f>
        <v>#N/A</v>
      </c>
      <c r="AE2027" s="1791"/>
    </row>
    <row r="2028" spans="1:32" ht="25.5">
      <c r="A2028" s="590" t="s">
        <v>14479</v>
      </c>
      <c r="B2028" s="312" t="str">
        <f>VLOOKUP($C2028,'• CIs EXT'!$A:$E,2,0)</f>
        <v>ORSE</v>
      </c>
      <c r="C2028" s="377">
        <v>13656</v>
      </c>
      <c r="D2028" s="378" t="str">
        <f>VLOOKUP($C2028,'• CIs EXT'!$A:$E,3,0)</f>
        <v>PLACA DE SINALIZACAO, FOTOLUMINESCENTE, EM PVC , COM LOGOTIPO "CUIDADO RISCO DE CHOQUE ELÉTRICO"- PLACA E5</v>
      </c>
      <c r="E2028" s="379" t="str">
        <f>VLOOKUP($C2028,'• CIs EXT'!$A:$E,4,0)</f>
        <v>UN</v>
      </c>
      <c r="F2028" s="380">
        <v>1</v>
      </c>
      <c r="G2028" s="379">
        <f>VLOOKUP($C2028,'• CIs EXT'!$A:$E,5,0)</f>
        <v>13.16</v>
      </c>
      <c r="H2028" s="381">
        <f>TRUNC(($F2028*$G2028),2)</f>
        <v>13.16</v>
      </c>
      <c r="I2028" s="262"/>
      <c r="J2028" s="262"/>
      <c r="K2028" s="262"/>
      <c r="L2028" s="262"/>
      <c r="M2028" s="262"/>
      <c r="N2028" s="262"/>
      <c r="O2028" s="262"/>
      <c r="P2028" s="262"/>
      <c r="Q2028" s="262"/>
      <c r="R2028" s="262"/>
      <c r="S2028" s="262"/>
      <c r="T2028" s="262"/>
      <c r="U2028" s="262"/>
      <c r="V2028" s="262"/>
      <c r="W2028" s="262"/>
      <c r="X2028" s="262"/>
      <c r="Y2028" s="262"/>
      <c r="Z2028" s="262"/>
      <c r="AA2028" s="262"/>
      <c r="AB2028" s="262"/>
      <c r="AF2028" s="1790"/>
    </row>
    <row r="2029" spans="1:32" ht="12.75">
      <c r="A2029" s="766"/>
      <c r="B2029" s="767"/>
      <c r="C2029" s="3"/>
      <c r="D2029" s="768"/>
      <c r="E2029" s="690"/>
      <c r="F2029" s="691"/>
      <c r="G2029" s="690"/>
      <c r="H2029" s="69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row>
    <row r="2030" spans="1:32" ht="12.75">
      <c r="A2030" s="771" t="s">
        <v>15071</v>
      </c>
      <c r="B2030" s="772" t="s">
        <v>14472</v>
      </c>
      <c r="C2030" s="360" t="s">
        <v>15161</v>
      </c>
      <c r="D2030" s="773" t="s">
        <v>15162</v>
      </c>
      <c r="E2030" s="774" t="s">
        <v>6</v>
      </c>
      <c r="F2030" s="775"/>
      <c r="G2030" s="776"/>
      <c r="H2030" s="777">
        <f>SUM(H2032:H2033)</f>
        <v>21.76</v>
      </c>
      <c r="I2030" s="276">
        <f>COUNTIF($C$8:$C2030,C:C)</f>
        <v>1</v>
      </c>
      <c r="J2030" s="262"/>
      <c r="K2030" s="262"/>
      <c r="L2030" s="262"/>
      <c r="M2030" s="262"/>
      <c r="N2030" s="262"/>
      <c r="O2030" s="262"/>
      <c r="P2030" s="262"/>
      <c r="Q2030" s="262"/>
      <c r="R2030" s="262"/>
      <c r="S2030" s="262"/>
      <c r="T2030" s="262"/>
      <c r="U2030" s="262"/>
      <c r="V2030" s="262"/>
      <c r="W2030" s="262"/>
      <c r="X2030" s="262"/>
      <c r="Y2030" s="262"/>
      <c r="Z2030" s="262"/>
      <c r="AA2030" s="262"/>
      <c r="AB2030" s="262"/>
    </row>
    <row r="2031" spans="1:32" ht="12.75">
      <c r="A2031" s="646" t="s">
        <v>14475</v>
      </c>
      <c r="B2031" s="403" t="s">
        <v>14600</v>
      </c>
      <c r="C2031" s="778">
        <v>241468</v>
      </c>
      <c r="D2031" s="367" t="s">
        <v>14773</v>
      </c>
      <c r="E2031" s="370"/>
      <c r="F2031" s="369"/>
      <c r="G2031" s="370"/>
      <c r="H2031" s="371"/>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row>
    <row r="2032" spans="1:32" ht="25.5">
      <c r="A2032" s="586" t="s">
        <v>14478</v>
      </c>
      <c r="B2032" s="421" t="s">
        <v>14476</v>
      </c>
      <c r="C2032" s="422">
        <v>88247</v>
      </c>
      <c r="D2032" s="288" t="str">
        <f>IFERROR(VLOOKUP($C2032,'24.08_ND'!$A:$D,2,0),)</f>
        <v>AUXILIAR DE ELETRICISTA COM ENCARGOS COMPLEMENTARES</v>
      </c>
      <c r="E2032" s="289" t="str">
        <f>IFERROR(VLOOKUP($C2032,'24.08_ND'!$A:$D,3,0),)</f>
        <v>H</v>
      </c>
      <c r="F2032" s="375">
        <v>0.2</v>
      </c>
      <c r="G2032" s="291">
        <f>IFERROR(VLOOKUP($C2032,'24.08_ND'!$A:$D,4,0),)</f>
        <v>20</v>
      </c>
      <c r="H2032" s="440">
        <f>TRUNC(($F2032*$G2032),2)</f>
        <v>4</v>
      </c>
      <c r="I2032" s="262"/>
      <c r="J2032" s="262"/>
      <c r="K2032" s="262"/>
      <c r="L2032" s="262"/>
      <c r="M2032" s="262"/>
      <c r="N2032" s="262"/>
      <c r="O2032" s="262"/>
      <c r="P2032" s="262"/>
      <c r="Q2032" s="262"/>
      <c r="R2032" s="262"/>
      <c r="S2032" s="262"/>
      <c r="T2032" s="262"/>
      <c r="U2032" s="262"/>
      <c r="V2032" s="262"/>
      <c r="W2032" s="262"/>
      <c r="X2032" s="262"/>
      <c r="Y2032" s="262"/>
      <c r="Z2032" s="262"/>
      <c r="AA2032" s="262"/>
      <c r="AB2032" s="262"/>
      <c r="AD2032" s="1791" t="e">
        <f>VLOOKUP(C2032,'Medição '!$B$16:$F$1833,6,0)</f>
        <v>#N/A</v>
      </c>
      <c r="AE2032" s="1791"/>
    </row>
    <row r="2033" spans="1:31" ht="12.75">
      <c r="A2033" s="760" t="s">
        <v>14479</v>
      </c>
      <c r="B2033" s="761" t="s">
        <v>14491</v>
      </c>
      <c r="C2033" s="600" t="s">
        <v>15163</v>
      </c>
      <c r="D2033" s="601" t="str">
        <f>VLOOKUP($C2033,'09 - MC'!$A:$F,2,0)</f>
        <v>PORTA FOLHA A4 DE PAREDE EM ACRÍLICO</v>
      </c>
      <c r="E2033" s="602" t="str">
        <f>VLOOKUP($C2033,'09 - MC'!$A:$F,3,0)</f>
        <v>UN</v>
      </c>
      <c r="F2033" s="603">
        <v>1</v>
      </c>
      <c r="G2033" s="604">
        <f>VLOOKUP($C2033,'09 - MC'!$A:$F,6,0)</f>
        <v>17.760000000000002</v>
      </c>
      <c r="H2033" s="605">
        <f>TRUNC(G2033*F2033,2)</f>
        <v>17.760000000000002</v>
      </c>
      <c r="I2033" s="262"/>
      <c r="J2033" s="262"/>
      <c r="K2033" s="262"/>
      <c r="L2033" s="262"/>
      <c r="M2033" s="262"/>
      <c r="N2033" s="262"/>
      <c r="O2033" s="262"/>
      <c r="P2033" s="262"/>
      <c r="Q2033" s="262"/>
      <c r="R2033" s="262"/>
      <c r="S2033" s="262"/>
      <c r="T2033" s="262"/>
      <c r="U2033" s="262"/>
      <c r="V2033" s="262"/>
      <c r="W2033" s="262"/>
      <c r="X2033" s="262"/>
      <c r="Y2033" s="262"/>
      <c r="Z2033" s="262"/>
      <c r="AA2033" s="262"/>
      <c r="AB2033" s="262"/>
    </row>
    <row r="2034" spans="1:31" ht="12.75">
      <c r="A2034" s="766"/>
      <c r="B2034" s="767"/>
      <c r="C2034" s="3"/>
      <c r="D2034" s="768"/>
      <c r="E2034" s="690"/>
      <c r="F2034" s="691"/>
      <c r="G2034" s="690"/>
      <c r="H2034" s="692"/>
      <c r="I2034" s="262"/>
      <c r="J2034" s="262"/>
      <c r="K2034" s="262"/>
      <c r="L2034" s="262"/>
      <c r="M2034" s="262"/>
      <c r="N2034" s="262"/>
      <c r="O2034" s="262"/>
      <c r="P2034" s="262"/>
      <c r="Q2034" s="262"/>
      <c r="R2034" s="262"/>
      <c r="S2034" s="262"/>
      <c r="T2034" s="262"/>
      <c r="U2034" s="262"/>
      <c r="V2034" s="262"/>
      <c r="W2034" s="262"/>
      <c r="X2034" s="262"/>
      <c r="Y2034" s="262"/>
      <c r="Z2034" s="262"/>
      <c r="AA2034" s="262"/>
      <c r="AB2034" s="262"/>
    </row>
    <row r="2035" spans="1:31" ht="25.5">
      <c r="A2035" s="358" t="s">
        <v>14471</v>
      </c>
      <c r="B2035" s="359" t="s">
        <v>14472</v>
      </c>
      <c r="C2035" s="360" t="s">
        <v>15164</v>
      </c>
      <c r="D2035" s="361" t="s">
        <v>15165</v>
      </c>
      <c r="E2035" s="359" t="s">
        <v>6</v>
      </c>
      <c r="F2035" s="362"/>
      <c r="G2035" s="362"/>
      <c r="H2035" s="363">
        <f>TRUNC(SUM(H2037:H2039),2)</f>
        <v>119.3</v>
      </c>
      <c r="I2035" s="276">
        <f>COUNTIF($C$8:$C2035,C:C)</f>
        <v>1</v>
      </c>
      <c r="J2035" s="262"/>
      <c r="K2035" s="262"/>
      <c r="L2035" s="262"/>
      <c r="M2035" s="262"/>
      <c r="N2035" s="262"/>
      <c r="O2035" s="262"/>
      <c r="P2035" s="262"/>
      <c r="Q2035" s="262"/>
      <c r="R2035" s="262"/>
      <c r="S2035" s="262"/>
      <c r="T2035" s="262"/>
      <c r="U2035" s="262"/>
      <c r="V2035" s="262"/>
      <c r="W2035" s="262"/>
      <c r="X2035" s="262"/>
      <c r="Y2035" s="262"/>
      <c r="Z2035" s="262"/>
      <c r="AA2035" s="262"/>
      <c r="AB2035" s="262"/>
    </row>
    <row r="2036" spans="1:31" ht="25.5">
      <c r="A2036" s="646" t="s">
        <v>14475</v>
      </c>
      <c r="B2036" s="403" t="s">
        <v>15166</v>
      </c>
      <c r="C2036" s="404">
        <v>70647</v>
      </c>
      <c r="D2036" s="769" t="s">
        <v>14567</v>
      </c>
      <c r="E2036" s="641"/>
      <c r="F2036" s="369"/>
      <c r="G2036" s="370"/>
      <c r="H2036" s="371"/>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row>
    <row r="2037" spans="1:31" ht="25.5">
      <c r="A2037" s="586" t="s">
        <v>14478</v>
      </c>
      <c r="B2037" s="373" t="s">
        <v>14476</v>
      </c>
      <c r="C2037" s="374">
        <v>88247</v>
      </c>
      <c r="D2037" s="288" t="str">
        <f>IFERROR(VLOOKUP($C2037,'24.08_ND'!$A:$D,2,0),)</f>
        <v>AUXILIAR DE ELETRICISTA COM ENCARGOS COMPLEMENTARES</v>
      </c>
      <c r="E2037" s="289" t="str">
        <f>IFERROR(VLOOKUP($C2037,'24.08_ND'!$A:$D,3,0),)</f>
        <v>H</v>
      </c>
      <c r="F2037" s="441">
        <v>1.5</v>
      </c>
      <c r="G2037" s="291">
        <f>IFERROR(VLOOKUP($C2037,'24.08_ND'!$A:$D,4,0),)</f>
        <v>20</v>
      </c>
      <c r="H2037" s="440">
        <f>TRUNC(($F2037*$G2037),2)</f>
        <v>30</v>
      </c>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D2037" s="1791" t="e">
        <f>VLOOKUP(C2037,'Medição '!$B$16:$F$1833,6,0)</f>
        <v>#N/A</v>
      </c>
      <c r="AE2037" s="1791"/>
    </row>
    <row r="2038" spans="1:31" ht="25.5">
      <c r="A2038" s="586" t="s">
        <v>14478</v>
      </c>
      <c r="B2038" s="373" t="s">
        <v>14476</v>
      </c>
      <c r="C2038" s="374">
        <v>88264</v>
      </c>
      <c r="D2038" s="288" t="str">
        <f>IFERROR(VLOOKUP($C2038,'24.08_ND'!$A:$D,2,0),)</f>
        <v>ELETRICISTA COM ENCARGOS COMPLEMENTARES</v>
      </c>
      <c r="E2038" s="289" t="str">
        <f>IFERROR(VLOOKUP($C2038,'24.08_ND'!$A:$D,3,0),)</f>
        <v>H</v>
      </c>
      <c r="F2038" s="441">
        <v>1.5</v>
      </c>
      <c r="G2038" s="291">
        <f>IFERROR(VLOOKUP($C2038,'24.08_ND'!$A:$D,4,0),)</f>
        <v>24.3</v>
      </c>
      <c r="H2038" s="440">
        <f>TRUNC(($F2038*$G2038),2)</f>
        <v>36.450000000000003</v>
      </c>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D2038" s="1791" t="e">
        <f>VLOOKUP(C2038,'Medição '!$B$16:$F$1833,6,0)</f>
        <v>#N/A</v>
      </c>
      <c r="AE2038" s="1791"/>
    </row>
    <row r="2039" spans="1:31" ht="25.5">
      <c r="A2039" s="590" t="s">
        <v>14479</v>
      </c>
      <c r="B2039" s="312" t="str">
        <f>VLOOKUP($C2039,'• CIs EXT'!$A:$E,2,0)</f>
        <v>AGETOP CIVIL</v>
      </c>
      <c r="C2039" s="377">
        <v>3130</v>
      </c>
      <c r="D2039" s="378" t="str">
        <f>VLOOKUP($C2039,'• CIs EXT'!$A:$E,3,0)</f>
        <v>CAIXA DE PASSAGEM METALICA DE EMBUTIR 30X30X12 CM</v>
      </c>
      <c r="E2039" s="379" t="str">
        <f>VLOOKUP($C2039,'• CIs EXT'!$A:$E,4,0)</f>
        <v>UN</v>
      </c>
      <c r="F2039" s="442">
        <v>1</v>
      </c>
      <c r="G2039" s="379">
        <f>VLOOKUP($C2039,'• CIs EXT'!$A:$E,5,0)</f>
        <v>52.85</v>
      </c>
      <c r="H2039" s="381">
        <f>TRUNC(($F2039*$G2039),2)</f>
        <v>52.85</v>
      </c>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row>
    <row r="2040" spans="1:31" ht="12.75">
      <c r="A2040" s="766"/>
      <c r="B2040" s="767"/>
      <c r="C2040" s="3"/>
      <c r="D2040" s="768"/>
      <c r="E2040" s="690"/>
      <c r="F2040" s="691"/>
      <c r="G2040" s="690"/>
      <c r="H2040" s="69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row>
    <row r="2041" spans="1:31" ht="25.5">
      <c r="A2041" s="358" t="s">
        <v>14471</v>
      </c>
      <c r="B2041" s="359" t="s">
        <v>14472</v>
      </c>
      <c r="C2041" s="360" t="s">
        <v>15167</v>
      </c>
      <c r="D2041" s="361" t="s">
        <v>15168</v>
      </c>
      <c r="E2041" s="359" t="s">
        <v>6</v>
      </c>
      <c r="F2041" s="362"/>
      <c r="G2041" s="362"/>
      <c r="H2041" s="363">
        <f>TRUNC(SUM(H2043:H2046),2)</f>
        <v>86</v>
      </c>
      <c r="I2041" s="276">
        <f>COUNTIF($C$8:$C2041,C:C)</f>
        <v>1</v>
      </c>
      <c r="J2041" s="262"/>
      <c r="K2041" s="262"/>
      <c r="L2041" s="262"/>
      <c r="M2041" s="262"/>
      <c r="N2041" s="262"/>
      <c r="O2041" s="262"/>
      <c r="P2041" s="262"/>
      <c r="Q2041" s="262"/>
      <c r="R2041" s="262"/>
      <c r="S2041" s="262"/>
      <c r="T2041" s="262"/>
      <c r="U2041" s="262"/>
      <c r="V2041" s="262"/>
      <c r="W2041" s="262"/>
      <c r="X2041" s="262"/>
      <c r="Y2041" s="262"/>
      <c r="Z2041" s="262"/>
      <c r="AA2041" s="262"/>
      <c r="AB2041" s="262"/>
    </row>
    <row r="2042" spans="1:31" ht="12.75">
      <c r="A2042" s="646" t="s">
        <v>14475</v>
      </c>
      <c r="B2042" s="403" t="s">
        <v>14600</v>
      </c>
      <c r="C2042" s="404">
        <v>13672</v>
      </c>
      <c r="D2042" s="769" t="s">
        <v>14567</v>
      </c>
      <c r="E2042" s="641"/>
      <c r="F2042" s="369"/>
      <c r="G2042" s="370"/>
      <c r="H2042" s="371"/>
      <c r="I2042" s="262"/>
      <c r="J2042" s="262"/>
      <c r="K2042" s="262"/>
      <c r="L2042" s="262"/>
      <c r="M2042" s="262"/>
      <c r="N2042" s="262"/>
      <c r="O2042" s="262"/>
      <c r="P2042" s="262"/>
      <c r="Q2042" s="262"/>
      <c r="R2042" s="262"/>
      <c r="S2042" s="262"/>
      <c r="T2042" s="262"/>
      <c r="U2042" s="262"/>
      <c r="V2042" s="262"/>
      <c r="W2042" s="262"/>
      <c r="X2042" s="262"/>
      <c r="Y2042" s="262"/>
      <c r="Z2042" s="262"/>
      <c r="AA2042" s="262"/>
      <c r="AB2042" s="262"/>
    </row>
    <row r="2043" spans="1:31" ht="25.5">
      <c r="A2043" s="586" t="s">
        <v>14478</v>
      </c>
      <c r="B2043" s="373" t="s">
        <v>14476</v>
      </c>
      <c r="C2043" s="594">
        <v>88264</v>
      </c>
      <c r="D2043" s="288" t="str">
        <f>IFERROR(VLOOKUP($C2043,'24.08_ND'!$A:$D,2,0),)</f>
        <v>ELETRICISTA COM ENCARGOS COMPLEMENTARES</v>
      </c>
      <c r="E2043" s="289" t="str">
        <f>IFERROR(VLOOKUP($C2043,'24.08_ND'!$A:$D,3,0),)</f>
        <v>H</v>
      </c>
      <c r="F2043" s="441">
        <v>0.5</v>
      </c>
      <c r="G2043" s="291">
        <f>IFERROR(VLOOKUP($C2043,'24.08_ND'!$A:$D,4,0),)</f>
        <v>24.3</v>
      </c>
      <c r="H2043" s="440">
        <f>TRUNC(($F2043*$G2043),2)</f>
        <v>12.15</v>
      </c>
      <c r="I2043" s="262"/>
      <c r="J2043" s="262"/>
      <c r="K2043" s="262"/>
      <c r="L2043" s="262"/>
      <c r="M2043" s="262"/>
      <c r="N2043" s="262"/>
      <c r="O2043" s="262"/>
      <c r="P2043" s="262"/>
      <c r="Q2043" s="262"/>
      <c r="R2043" s="262"/>
      <c r="S2043" s="262"/>
      <c r="T2043" s="262"/>
      <c r="U2043" s="262"/>
      <c r="V2043" s="262"/>
      <c r="W2043" s="262"/>
      <c r="X2043" s="262"/>
      <c r="Y2043" s="262"/>
      <c r="Z2043" s="262"/>
      <c r="AA2043" s="262"/>
      <c r="AB2043" s="262"/>
      <c r="AD2043" s="1791" t="e">
        <f>VLOOKUP(C2043,'Medição '!$B$16:$F$1833,6,0)</f>
        <v>#N/A</v>
      </c>
      <c r="AE2043" s="1791"/>
    </row>
    <row r="2044" spans="1:31" ht="25.5">
      <c r="A2044" s="586" t="s">
        <v>14478</v>
      </c>
      <c r="B2044" s="373" t="s">
        <v>14476</v>
      </c>
      <c r="C2044" s="374">
        <v>88247</v>
      </c>
      <c r="D2044" s="288" t="str">
        <f>IFERROR(VLOOKUP($C2044,'24.08_ND'!$A:$D,2,0),)</f>
        <v>AUXILIAR DE ELETRICISTA COM ENCARGOS COMPLEMENTARES</v>
      </c>
      <c r="E2044" s="289" t="str">
        <f>IFERROR(VLOOKUP($C2044,'24.08_ND'!$A:$D,3,0),)</f>
        <v>H</v>
      </c>
      <c r="F2044" s="441">
        <v>0.5</v>
      </c>
      <c r="G2044" s="291">
        <f>IFERROR(VLOOKUP($C2044,'24.08_ND'!$A:$D,4,0),)</f>
        <v>20</v>
      </c>
      <c r="H2044" s="440">
        <f>TRUNC(($F2044*$G2044),2)</f>
        <v>10</v>
      </c>
      <c r="I2044" s="262"/>
      <c r="J2044" s="262"/>
      <c r="K2044" s="262"/>
      <c r="L2044" s="262"/>
      <c r="M2044" s="262"/>
      <c r="N2044" s="262"/>
      <c r="O2044" s="262"/>
      <c r="P2044" s="262"/>
      <c r="Q2044" s="262"/>
      <c r="R2044" s="262"/>
      <c r="S2044" s="262"/>
      <c r="T2044" s="262"/>
      <c r="U2044" s="262"/>
      <c r="V2044" s="262"/>
      <c r="W2044" s="262"/>
      <c r="X2044" s="262"/>
      <c r="Y2044" s="262"/>
      <c r="Z2044" s="262"/>
      <c r="AA2044" s="262"/>
      <c r="AB2044" s="262"/>
      <c r="AD2044" s="1791" t="e">
        <f>VLOOKUP(C2044,'Medição '!$B$16:$F$1833,6,0)</f>
        <v>#N/A</v>
      </c>
      <c r="AE2044" s="1791"/>
    </row>
    <row r="2045" spans="1:31" ht="12.75">
      <c r="A2045" s="445" t="s">
        <v>14479</v>
      </c>
      <c r="B2045" s="446" t="s">
        <v>14476</v>
      </c>
      <c r="C2045" s="597">
        <v>404</v>
      </c>
      <c r="D2045" s="296" t="str">
        <f>IFERROR(VLOOKUP($C2045,'24.08_ND'!$A:$D,2,0),)</f>
        <v>FITA ISOLANTE DE BORRACHA AUTOFUSAO, USO ATE 69 KV (ALTA TENSAO)</v>
      </c>
      <c r="E2045" s="297" t="str">
        <f>IFERROR(VLOOKUP($C2045,'24.08_ND'!$A:$D,3,0),)</f>
        <v>M</v>
      </c>
      <c r="F2045" s="780">
        <v>0.12</v>
      </c>
      <c r="G2045" s="299">
        <f>IFERROR(VLOOKUP($C2045,'24.08_ND'!$A:$D,4,0),)</f>
        <v>1.51</v>
      </c>
      <c r="H2045" s="781">
        <f>TRUNC(($F2045*$G2045),2)</f>
        <v>0.18</v>
      </c>
      <c r="I2045" s="262"/>
      <c r="J2045" s="262"/>
      <c r="K2045" s="262"/>
      <c r="L2045" s="262"/>
      <c r="M2045" s="262"/>
      <c r="N2045" s="262"/>
      <c r="O2045" s="262"/>
      <c r="P2045" s="262"/>
      <c r="Q2045" s="262"/>
      <c r="R2045" s="262"/>
      <c r="S2045" s="262"/>
      <c r="T2045" s="262"/>
      <c r="U2045" s="262"/>
      <c r="V2045" s="262"/>
      <c r="W2045" s="262"/>
      <c r="X2045" s="262"/>
      <c r="Y2045" s="262"/>
      <c r="Z2045" s="262"/>
      <c r="AA2045" s="262"/>
      <c r="AB2045" s="262"/>
    </row>
    <row r="2046" spans="1:31" ht="12.75">
      <c r="A2046" s="590" t="s">
        <v>14479</v>
      </c>
      <c r="B2046" s="312" t="str">
        <f>VLOOKUP($C2046,'• CIs EXT'!$A:$E,2,0)</f>
        <v>ORSE</v>
      </c>
      <c r="C2046" s="377">
        <v>14478</v>
      </c>
      <c r="D2046" s="378" t="str">
        <f>VLOOKUP($C2046,'• CIs EXT'!$A:$E,3,0)</f>
        <v>Luminária plafon de sobrepor em LED 29.5x29.5 cm, 24w 4000K bivolt, Avant ou similar</v>
      </c>
      <c r="E2046" s="379" t="str">
        <f>VLOOKUP($C2046,'• CIs EXT'!$A:$E,4,0)</f>
        <v>UN</v>
      </c>
      <c r="F2046" s="442">
        <v>1</v>
      </c>
      <c r="G2046" s="379">
        <f>VLOOKUP($C2046,'• CIs EXT'!$A:$E,5,0)</f>
        <v>63.67</v>
      </c>
      <c r="H2046" s="381">
        <f>TRUNC(($F2046*$G2046),2)</f>
        <v>63.67</v>
      </c>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row>
    <row r="2047" spans="1:31" ht="12.75">
      <c r="A2047" s="766"/>
      <c r="B2047" s="767"/>
      <c r="C2047" s="3"/>
      <c r="D2047" s="768"/>
      <c r="E2047" s="690"/>
      <c r="F2047" s="691"/>
      <c r="G2047" s="690"/>
      <c r="H2047" s="692"/>
      <c r="I2047" s="262"/>
      <c r="J2047" s="262"/>
      <c r="K2047" s="262"/>
      <c r="L2047" s="262"/>
      <c r="M2047" s="262"/>
      <c r="N2047" s="262"/>
      <c r="O2047" s="262"/>
      <c r="P2047" s="262"/>
      <c r="Q2047" s="262"/>
      <c r="R2047" s="262"/>
      <c r="S2047" s="262"/>
      <c r="T2047" s="262"/>
      <c r="U2047" s="262"/>
      <c r="V2047" s="262"/>
      <c r="W2047" s="262"/>
      <c r="X2047" s="262"/>
      <c r="Y2047" s="262"/>
      <c r="Z2047" s="262"/>
      <c r="AA2047" s="262"/>
      <c r="AB2047" s="262"/>
    </row>
    <row r="2048" spans="1:31" ht="25.5">
      <c r="A2048" s="358" t="s">
        <v>14471</v>
      </c>
      <c r="B2048" s="359" t="s">
        <v>14472</v>
      </c>
      <c r="C2048" s="360" t="s">
        <v>15169</v>
      </c>
      <c r="D2048" s="361" t="s">
        <v>15170</v>
      </c>
      <c r="E2048" s="359" t="s">
        <v>6</v>
      </c>
      <c r="F2048" s="362"/>
      <c r="G2048" s="362"/>
      <c r="H2048" s="363">
        <f>TRUNC(SUM(H2050:H2052),2)</f>
        <v>310.93</v>
      </c>
      <c r="I2048" s="276">
        <f>COUNTIF($C$8:$C2048,C:C)</f>
        <v>1</v>
      </c>
      <c r="J2048" s="262"/>
      <c r="K2048" s="262"/>
      <c r="L2048" s="262"/>
      <c r="M2048" s="262"/>
      <c r="N2048" s="262"/>
      <c r="O2048" s="262"/>
      <c r="P2048" s="262"/>
      <c r="Q2048" s="262"/>
      <c r="R2048" s="262"/>
      <c r="S2048" s="262"/>
      <c r="T2048" s="262"/>
      <c r="U2048" s="262"/>
      <c r="V2048" s="262"/>
      <c r="W2048" s="262"/>
      <c r="X2048" s="262"/>
      <c r="Y2048" s="262"/>
      <c r="Z2048" s="262"/>
      <c r="AA2048" s="262"/>
      <c r="AB2048" s="262"/>
    </row>
    <row r="2049" spans="1:31" ht="12.75">
      <c r="A2049" s="646" t="s">
        <v>14475</v>
      </c>
      <c r="B2049" s="403" t="s">
        <v>14600</v>
      </c>
      <c r="C2049" s="404">
        <v>13672</v>
      </c>
      <c r="D2049" s="769" t="s">
        <v>14567</v>
      </c>
      <c r="E2049" s="641"/>
      <c r="F2049" s="369"/>
      <c r="G2049" s="370"/>
      <c r="H2049" s="371"/>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row>
    <row r="2050" spans="1:31" ht="25.5">
      <c r="A2050" s="586" t="s">
        <v>14478</v>
      </c>
      <c r="B2050" s="373" t="s">
        <v>14476</v>
      </c>
      <c r="C2050" s="594">
        <v>88264</v>
      </c>
      <c r="D2050" s="288" t="str">
        <f>IFERROR(VLOOKUP($C2050,'24.08_ND'!$A:$D,2,0),)</f>
        <v>ELETRICISTA COM ENCARGOS COMPLEMENTARES</v>
      </c>
      <c r="E2050" s="289" t="str">
        <f>IFERROR(VLOOKUP($C2050,'24.08_ND'!$A:$D,3,0),)</f>
        <v>H</v>
      </c>
      <c r="F2050" s="441">
        <v>0.5</v>
      </c>
      <c r="G2050" s="291">
        <f>IFERROR(VLOOKUP($C2050,'24.08_ND'!$A:$D,4,0),)</f>
        <v>24.3</v>
      </c>
      <c r="H2050" s="440">
        <f>TRUNC(($F2050*$G2050),2)</f>
        <v>12.15</v>
      </c>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D2050" s="1791" t="e">
        <f>VLOOKUP(C2050,'Medição '!$B$16:$F$1833,6,0)</f>
        <v>#N/A</v>
      </c>
      <c r="AE2050" s="1791"/>
    </row>
    <row r="2051" spans="1:31" ht="25.5">
      <c r="A2051" s="586" t="s">
        <v>14478</v>
      </c>
      <c r="B2051" s="373" t="s">
        <v>14476</v>
      </c>
      <c r="C2051" s="374">
        <v>88247</v>
      </c>
      <c r="D2051" s="288" t="str">
        <f>IFERROR(VLOOKUP($C2051,'24.08_ND'!$A:$D,2,0),)</f>
        <v>AUXILIAR DE ELETRICISTA COM ENCARGOS COMPLEMENTARES</v>
      </c>
      <c r="E2051" s="289" t="str">
        <f>IFERROR(VLOOKUP($C2051,'24.08_ND'!$A:$D,3,0),)</f>
        <v>H</v>
      </c>
      <c r="F2051" s="441">
        <v>0.5</v>
      </c>
      <c r="G2051" s="291">
        <f>IFERROR(VLOOKUP($C2051,'24.08_ND'!$A:$D,4,0),)</f>
        <v>20</v>
      </c>
      <c r="H2051" s="440">
        <f>TRUNC(($F2051*$G2051),2)</f>
        <v>10</v>
      </c>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D2051" s="1791" t="e">
        <f>VLOOKUP(C2051,'Medição '!$B$16:$F$1833,6,0)</f>
        <v>#N/A</v>
      </c>
      <c r="AE2051" s="1791"/>
    </row>
    <row r="2052" spans="1:31" ht="25.5">
      <c r="A2052" s="590" t="s">
        <v>14479</v>
      </c>
      <c r="B2052" s="312" t="str">
        <f>VLOOKUP($C2052,'• CIs EXT'!$A:$E,2,0)</f>
        <v>ORSE</v>
      </c>
      <c r="C2052" s="377">
        <v>13964</v>
      </c>
      <c r="D2052" s="378" t="str">
        <f>VLOOKUP($C2052,'• CIs EXT'!$A:$E,3,0)</f>
        <v>PAINEL SLIM LED PROJETO QUADRADO SOBREPOR 40W 6000K Ângulo 120 AUTOVOLT - G_x0002_LIGHT Código 676.17.0187</v>
      </c>
      <c r="E2052" s="379" t="str">
        <f>VLOOKUP($C2052,'• CIs EXT'!$A:$E,4,0)</f>
        <v>UN</v>
      </c>
      <c r="F2052" s="442">
        <v>1</v>
      </c>
      <c r="G2052" s="379">
        <f>VLOOKUP($C2052,'• CIs EXT'!$A:$E,5,0)</f>
        <v>288.77999999999997</v>
      </c>
      <c r="H2052" s="381">
        <f>TRUNC(($F2052*$G2052),2)</f>
        <v>288.77999999999997</v>
      </c>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row>
    <row r="2053" spans="1:31" ht="12.75">
      <c r="A2053" s="766"/>
      <c r="B2053" s="767"/>
      <c r="C2053" s="3"/>
      <c r="D2053" s="768"/>
      <c r="E2053" s="690"/>
      <c r="F2053" s="691"/>
      <c r="G2053" s="690"/>
      <c r="H2053" s="692"/>
      <c r="I2053" s="262"/>
      <c r="J2053" s="262"/>
      <c r="K2053" s="262"/>
      <c r="L2053" s="262"/>
      <c r="M2053" s="262"/>
      <c r="N2053" s="262"/>
      <c r="O2053" s="262"/>
      <c r="P2053" s="262"/>
      <c r="Q2053" s="262"/>
      <c r="R2053" s="262"/>
      <c r="S2053" s="262"/>
      <c r="T2053" s="262"/>
      <c r="U2053" s="262"/>
      <c r="V2053" s="262"/>
      <c r="W2053" s="262"/>
      <c r="X2053" s="262"/>
      <c r="Y2053" s="262"/>
      <c r="Z2053" s="262"/>
      <c r="AA2053" s="262"/>
      <c r="AB2053" s="262"/>
    </row>
    <row r="2054" spans="1:31" ht="25.5">
      <c r="A2054" s="358" t="s">
        <v>14471</v>
      </c>
      <c r="B2054" s="359" t="s">
        <v>14472</v>
      </c>
      <c r="C2054" s="360" t="s">
        <v>15171</v>
      </c>
      <c r="D2054" s="361" t="s">
        <v>15172</v>
      </c>
      <c r="E2054" s="359" t="s">
        <v>6</v>
      </c>
      <c r="F2054" s="362"/>
      <c r="G2054" s="362"/>
      <c r="H2054" s="363">
        <f>TRUNC(SUM(H2056:H2059),2)</f>
        <v>539.28</v>
      </c>
      <c r="I2054" s="276">
        <f>COUNTIF($C$8:$C2054,C:C)</f>
        <v>1</v>
      </c>
      <c r="J2054" s="262"/>
      <c r="K2054" s="262"/>
      <c r="L2054" s="262"/>
      <c r="M2054" s="262"/>
      <c r="N2054" s="262"/>
      <c r="O2054" s="262"/>
      <c r="P2054" s="262"/>
      <c r="Q2054" s="262"/>
      <c r="R2054" s="262"/>
      <c r="S2054" s="262"/>
      <c r="T2054" s="262"/>
      <c r="U2054" s="262"/>
      <c r="V2054" s="262"/>
      <c r="W2054" s="262"/>
      <c r="X2054" s="262"/>
      <c r="Y2054" s="262"/>
      <c r="Z2054" s="262"/>
      <c r="AA2054" s="262"/>
      <c r="AB2054" s="262"/>
    </row>
    <row r="2055" spans="1:31" ht="12.75">
      <c r="A2055" s="646" t="s">
        <v>14475</v>
      </c>
      <c r="B2055" s="403" t="s">
        <v>14600</v>
      </c>
      <c r="C2055" s="404">
        <v>11952</v>
      </c>
      <c r="D2055" s="769" t="s">
        <v>14567</v>
      </c>
      <c r="E2055" s="641"/>
      <c r="F2055" s="369"/>
      <c r="G2055" s="370"/>
      <c r="H2055" s="371"/>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row>
    <row r="2056" spans="1:31" ht="25.5">
      <c r="A2056" s="586" t="s">
        <v>14478</v>
      </c>
      <c r="B2056" s="373" t="s">
        <v>14476</v>
      </c>
      <c r="C2056" s="594">
        <v>88264</v>
      </c>
      <c r="D2056" s="288" t="str">
        <f>IFERROR(VLOOKUP($C2056,'24.08_ND'!$A:$D,2,0),)</f>
        <v>ELETRICISTA COM ENCARGOS COMPLEMENTARES</v>
      </c>
      <c r="E2056" s="289" t="str">
        <f>IFERROR(VLOOKUP($C2056,'24.08_ND'!$A:$D,3,0),)</f>
        <v>H</v>
      </c>
      <c r="F2056" s="441">
        <v>1</v>
      </c>
      <c r="G2056" s="291">
        <f>IFERROR(VLOOKUP($C2056,'24.08_ND'!$A:$D,4,0),)</f>
        <v>24.3</v>
      </c>
      <c r="H2056" s="440">
        <f>TRUNC(($F2056*$G2056),2)</f>
        <v>24.3</v>
      </c>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D2056" s="1791" t="e">
        <f>VLOOKUP(C2056,'Medição '!$B$16:$F$1833,6,0)</f>
        <v>#N/A</v>
      </c>
      <c r="AE2056" s="1791"/>
    </row>
    <row r="2057" spans="1:31" ht="25.5">
      <c r="A2057" s="586" t="s">
        <v>14478</v>
      </c>
      <c r="B2057" s="373" t="s">
        <v>14476</v>
      </c>
      <c r="C2057" s="374">
        <v>88247</v>
      </c>
      <c r="D2057" s="288" t="str">
        <f>IFERROR(VLOOKUP($C2057,'24.08_ND'!$A:$D,2,0),)</f>
        <v>AUXILIAR DE ELETRICISTA COM ENCARGOS COMPLEMENTARES</v>
      </c>
      <c r="E2057" s="289" t="str">
        <f>IFERROR(VLOOKUP($C2057,'24.08_ND'!$A:$D,3,0),)</f>
        <v>H</v>
      </c>
      <c r="F2057" s="441">
        <v>1</v>
      </c>
      <c r="G2057" s="291">
        <f>IFERROR(VLOOKUP($C2057,'24.08_ND'!$A:$D,4,0),)</f>
        <v>20</v>
      </c>
      <c r="H2057" s="440">
        <f>TRUNC(($F2057*$G2057),2)</f>
        <v>20</v>
      </c>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D2057" s="1791" t="e">
        <f>VLOOKUP(C2057,'Medição '!$B$16:$F$1833,6,0)</f>
        <v>#N/A</v>
      </c>
      <c r="AE2057" s="1791"/>
    </row>
    <row r="2058" spans="1:31" ht="12.75">
      <c r="A2058" s="445" t="s">
        <v>14479</v>
      </c>
      <c r="B2058" s="446" t="s">
        <v>14476</v>
      </c>
      <c r="C2058" s="597">
        <v>404</v>
      </c>
      <c r="D2058" s="296" t="str">
        <f>IFERROR(VLOOKUP($C2058,'24.08_ND'!$A:$D,2,0),)</f>
        <v>FITA ISOLANTE DE BORRACHA AUTOFUSAO, USO ATE 69 KV (ALTA TENSAO)</v>
      </c>
      <c r="E2058" s="297" t="str">
        <f>IFERROR(VLOOKUP($C2058,'24.08_ND'!$A:$D,3,0),)</f>
        <v>M</v>
      </c>
      <c r="F2058" s="780">
        <v>0.12</v>
      </c>
      <c r="G2058" s="299">
        <f>IFERROR(VLOOKUP($C2058,'24.08_ND'!$A:$D,4,0),)</f>
        <v>1.51</v>
      </c>
      <c r="H2058" s="781">
        <f>TRUNC(($F2058*$G2058),2)</f>
        <v>0.18</v>
      </c>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row>
    <row r="2059" spans="1:31" ht="12.75">
      <c r="A2059" s="760" t="s">
        <v>14479</v>
      </c>
      <c r="B2059" s="761" t="s">
        <v>14491</v>
      </c>
      <c r="C2059" s="600" t="s">
        <v>15173</v>
      </c>
      <c r="D2059" s="601" t="str">
        <f>VLOOKUP($C2059,'09 - MC'!$A:$F,2,0)</f>
        <v>LUMINÁRIA LLS FLEX II EMBUTIR BRANCO 2M, 50W, 120°, 2600lm 4000K</v>
      </c>
      <c r="E2059" s="602" t="str">
        <f>VLOOKUP($C2059,'09 - MC'!$A:$F,3,0)</f>
        <v>UN</v>
      </c>
      <c r="F2059" s="603">
        <v>1</v>
      </c>
      <c r="G2059" s="604">
        <f>VLOOKUP($C2059,'09 - MC'!$A:$F,6,0)</f>
        <v>494.8</v>
      </c>
      <c r="H2059" s="605">
        <f>TRUNC(G2059*F2059,2)</f>
        <v>494.8</v>
      </c>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row>
    <row r="2060" spans="1:31" ht="12.75">
      <c r="A2060" s="766"/>
      <c r="B2060" s="767"/>
      <c r="C2060" s="3"/>
      <c r="D2060" s="768"/>
      <c r="E2060" s="690"/>
      <c r="F2060" s="691"/>
      <c r="G2060" s="690"/>
      <c r="H2060" s="692"/>
      <c r="I2060" s="262"/>
      <c r="J2060" s="262"/>
      <c r="K2060" s="262"/>
      <c r="L2060" s="262"/>
      <c r="M2060" s="262"/>
      <c r="N2060" s="262"/>
      <c r="O2060" s="262"/>
      <c r="P2060" s="262"/>
      <c r="Q2060" s="262"/>
      <c r="R2060" s="262"/>
      <c r="S2060" s="262"/>
      <c r="T2060" s="262"/>
      <c r="U2060" s="262"/>
      <c r="V2060" s="262"/>
      <c r="W2060" s="262"/>
      <c r="X2060" s="262"/>
      <c r="Y2060" s="262"/>
      <c r="Z2060" s="262"/>
      <c r="AA2060" s="262"/>
      <c r="AB2060" s="262"/>
    </row>
    <row r="2061" spans="1:31" ht="25.5">
      <c r="A2061" s="358" t="s">
        <v>14471</v>
      </c>
      <c r="B2061" s="359" t="s">
        <v>14472</v>
      </c>
      <c r="C2061" s="360" t="s">
        <v>15174</v>
      </c>
      <c r="D2061" s="361" t="s">
        <v>15175</v>
      </c>
      <c r="E2061" s="359" t="s">
        <v>6</v>
      </c>
      <c r="F2061" s="362"/>
      <c r="G2061" s="362"/>
      <c r="H2061" s="363">
        <f>TRUNC(SUM(H2063:H2067),2)</f>
        <v>118.37</v>
      </c>
      <c r="I2061" s="276">
        <f>COUNTIF($C$8:$C2061,C:C)</f>
        <v>1</v>
      </c>
      <c r="J2061" s="262"/>
      <c r="K2061" s="262"/>
      <c r="L2061" s="262"/>
      <c r="M2061" s="262"/>
      <c r="N2061" s="262"/>
      <c r="O2061" s="262"/>
      <c r="P2061" s="262"/>
      <c r="Q2061" s="262"/>
      <c r="R2061" s="262"/>
      <c r="S2061" s="262"/>
      <c r="T2061" s="262"/>
      <c r="U2061" s="262"/>
      <c r="V2061" s="262"/>
      <c r="W2061" s="262"/>
      <c r="X2061" s="262"/>
      <c r="Y2061" s="262"/>
      <c r="Z2061" s="262"/>
      <c r="AA2061" s="262"/>
      <c r="AB2061" s="262"/>
    </row>
    <row r="2062" spans="1:31" ht="12.75">
      <c r="A2062" s="646" t="s">
        <v>14475</v>
      </c>
      <c r="B2062" s="403" t="s">
        <v>14600</v>
      </c>
      <c r="C2062" s="404">
        <v>7715</v>
      </c>
      <c r="D2062" s="769" t="s">
        <v>14567</v>
      </c>
      <c r="E2062" s="641"/>
      <c r="F2062" s="369"/>
      <c r="G2062" s="370"/>
      <c r="H2062" s="371"/>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row>
    <row r="2063" spans="1:31" ht="25.5">
      <c r="A2063" s="586" t="s">
        <v>14478</v>
      </c>
      <c r="B2063" s="373" t="s">
        <v>14476</v>
      </c>
      <c r="C2063" s="594">
        <v>88264</v>
      </c>
      <c r="D2063" s="288" t="str">
        <f>IFERROR(VLOOKUP($C2063,'24.08_ND'!$A:$D,2,0),)</f>
        <v>ELETRICISTA COM ENCARGOS COMPLEMENTARES</v>
      </c>
      <c r="E2063" s="289" t="str">
        <f>IFERROR(VLOOKUP($C2063,'24.08_ND'!$A:$D,3,0),)</f>
        <v>H</v>
      </c>
      <c r="F2063" s="441">
        <v>0.8</v>
      </c>
      <c r="G2063" s="291">
        <f>IFERROR(VLOOKUP($C2063,'24.08_ND'!$A:$D,4,0),)</f>
        <v>24.3</v>
      </c>
      <c r="H2063" s="440">
        <f>TRUNC(($F2063*$G2063),2)</f>
        <v>19.440000000000001</v>
      </c>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D2063" s="1791" t="e">
        <f>VLOOKUP(C2063,'Medição '!$B$16:$F$1833,6,0)</f>
        <v>#N/A</v>
      </c>
      <c r="AE2063" s="1791"/>
    </row>
    <row r="2064" spans="1:31" ht="25.5">
      <c r="A2064" s="586" t="s">
        <v>14478</v>
      </c>
      <c r="B2064" s="373" t="s">
        <v>14476</v>
      </c>
      <c r="C2064" s="374">
        <v>88247</v>
      </c>
      <c r="D2064" s="288" t="str">
        <f>IFERROR(VLOOKUP($C2064,'24.08_ND'!$A:$D,2,0),)</f>
        <v>AUXILIAR DE ELETRICISTA COM ENCARGOS COMPLEMENTARES</v>
      </c>
      <c r="E2064" s="289" t="str">
        <f>IFERROR(VLOOKUP($C2064,'24.08_ND'!$A:$D,3,0),)</f>
        <v>H</v>
      </c>
      <c r="F2064" s="441">
        <v>0.8</v>
      </c>
      <c r="G2064" s="291">
        <f>IFERROR(VLOOKUP($C2064,'24.08_ND'!$A:$D,4,0),)</f>
        <v>20</v>
      </c>
      <c r="H2064" s="440">
        <f>TRUNC(($F2064*$G2064),2)</f>
        <v>16</v>
      </c>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D2064" s="1791" t="e">
        <f>VLOOKUP(C2064,'Medição '!$B$16:$F$1833,6,0)</f>
        <v>#N/A</v>
      </c>
      <c r="AE2064" s="1791"/>
    </row>
    <row r="2065" spans="1:31" ht="12.75">
      <c r="A2065" s="445" t="s">
        <v>14479</v>
      </c>
      <c r="B2065" s="446" t="s">
        <v>14476</v>
      </c>
      <c r="C2065" s="597">
        <v>38194</v>
      </c>
      <c r="D2065" s="296" t="str">
        <f>IFERROR(VLOOKUP($C2065,'24.08_ND'!$A:$D,2,0),)</f>
        <v>LAMPADA LED 10 W BIVOLT BRANCA, FORMATO TRADICIONAL (BASE E27)</v>
      </c>
      <c r="E2065" s="297" t="str">
        <f>IFERROR(VLOOKUP($C2065,'24.08_ND'!$A:$D,3,0),)</f>
        <v>UN</v>
      </c>
      <c r="F2065" s="780">
        <v>1</v>
      </c>
      <c r="G2065" s="299">
        <f>IFERROR(VLOOKUP($C2065,'24.08_ND'!$A:$D,4,0),)</f>
        <v>3.63</v>
      </c>
      <c r="H2065" s="781">
        <f>TRUNC(($F2065*$G2065),2)</f>
        <v>3.63</v>
      </c>
      <c r="I2065" s="262"/>
      <c r="J2065" s="262"/>
      <c r="K2065" s="262"/>
      <c r="L2065" s="262"/>
      <c r="M2065" s="262"/>
      <c r="N2065" s="262"/>
      <c r="O2065" s="262"/>
      <c r="P2065" s="262"/>
      <c r="Q2065" s="262"/>
      <c r="R2065" s="262"/>
      <c r="S2065" s="262"/>
      <c r="T2065" s="262"/>
      <c r="U2065" s="262"/>
      <c r="V2065" s="262"/>
      <c r="W2065" s="262"/>
      <c r="X2065" s="262"/>
      <c r="Y2065" s="262"/>
      <c r="Z2065" s="262"/>
      <c r="AA2065" s="262"/>
      <c r="AB2065" s="262"/>
    </row>
    <row r="2066" spans="1:31" ht="12.75">
      <c r="A2066" s="445" t="s">
        <v>14479</v>
      </c>
      <c r="B2066" s="446" t="s">
        <v>14476</v>
      </c>
      <c r="C2066" s="597">
        <v>404</v>
      </c>
      <c r="D2066" s="296" t="str">
        <f>IFERROR(VLOOKUP($C2066,'24.08_ND'!$A:$D,2,0),)</f>
        <v>FITA ISOLANTE DE BORRACHA AUTOFUSAO, USO ATE 69 KV (ALTA TENSAO)</v>
      </c>
      <c r="E2066" s="297" t="str">
        <f>IFERROR(VLOOKUP($C2066,'24.08_ND'!$A:$D,3,0),)</f>
        <v>M</v>
      </c>
      <c r="F2066" s="780">
        <v>0.12</v>
      </c>
      <c r="G2066" s="299">
        <f>IFERROR(VLOOKUP($C2066,'24.08_ND'!$A:$D,4,0),)</f>
        <v>1.51</v>
      </c>
      <c r="H2066" s="781">
        <f>TRUNC(($F2066*$G2066),2)</f>
        <v>0.18</v>
      </c>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row>
    <row r="2067" spans="1:31" ht="12.75">
      <c r="A2067" s="760" t="s">
        <v>14479</v>
      </c>
      <c r="B2067" s="761" t="s">
        <v>14491</v>
      </c>
      <c r="C2067" s="600" t="s">
        <v>15176</v>
      </c>
      <c r="D2067" s="601" t="str">
        <f>VLOOKUP($C2067,'09 - MC'!$A:$F,2,0)</f>
        <v>PENDENTE SAFIRA Ø27X16CM METAL BRANCO E COBRE</v>
      </c>
      <c r="E2067" s="602" t="str">
        <f>VLOOKUP($C2067,'09 - MC'!$A:$F,3,0)</f>
        <v>UN</v>
      </c>
      <c r="F2067" s="603">
        <v>1</v>
      </c>
      <c r="G2067" s="604">
        <f>VLOOKUP($C2067,'09 - MC'!$A:$F,6,0)</f>
        <v>79.12</v>
      </c>
      <c r="H2067" s="605">
        <f>TRUNC(G2067*F2067,2)</f>
        <v>79.12</v>
      </c>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row>
    <row r="2068" spans="1:31" ht="12.75">
      <c r="A2068" s="766"/>
      <c r="B2068" s="767"/>
      <c r="C2068" s="3"/>
      <c r="D2068" s="768"/>
      <c r="E2068" s="690"/>
      <c r="F2068" s="691"/>
      <c r="G2068" s="690"/>
      <c r="H2068" s="692"/>
      <c r="I2068" s="262"/>
      <c r="J2068" s="262"/>
      <c r="K2068" s="262"/>
      <c r="L2068" s="262"/>
      <c r="M2068" s="262"/>
      <c r="N2068" s="262"/>
      <c r="O2068" s="262"/>
      <c r="P2068" s="262"/>
      <c r="Q2068" s="262"/>
      <c r="R2068" s="262"/>
      <c r="S2068" s="262"/>
      <c r="T2068" s="262"/>
      <c r="U2068" s="262"/>
      <c r="V2068" s="262"/>
      <c r="W2068" s="262"/>
      <c r="X2068" s="262"/>
      <c r="Y2068" s="262"/>
      <c r="Z2068" s="262"/>
      <c r="AA2068" s="262"/>
      <c r="AB2068" s="262"/>
    </row>
    <row r="2069" spans="1:31" ht="12.75">
      <c r="A2069" s="358" t="s">
        <v>14471</v>
      </c>
      <c r="B2069" s="359" t="s">
        <v>14472</v>
      </c>
      <c r="C2069" s="360" t="s">
        <v>15177</v>
      </c>
      <c r="D2069" s="361" t="s">
        <v>15178</v>
      </c>
      <c r="E2069" s="359" t="s">
        <v>50</v>
      </c>
      <c r="F2069" s="362"/>
      <c r="G2069" s="362"/>
      <c r="H2069" s="363">
        <f>TRUNC(SUM(H2071:H2073),2)</f>
        <v>64.64</v>
      </c>
      <c r="I2069" s="276">
        <f>COUNTIF($C$8:$C2069,C:C)</f>
        <v>1</v>
      </c>
      <c r="J2069" s="262"/>
      <c r="K2069" s="262"/>
      <c r="L2069" s="262"/>
      <c r="M2069" s="262"/>
      <c r="N2069" s="262"/>
      <c r="O2069" s="262"/>
      <c r="P2069" s="262"/>
      <c r="Q2069" s="262"/>
      <c r="R2069" s="262"/>
      <c r="S2069" s="262"/>
      <c r="T2069" s="262"/>
      <c r="U2069" s="262"/>
      <c r="V2069" s="262"/>
      <c r="W2069" s="262"/>
      <c r="X2069" s="262"/>
      <c r="Y2069" s="262"/>
      <c r="Z2069" s="262"/>
      <c r="AA2069" s="262"/>
      <c r="AB2069" s="262"/>
    </row>
    <row r="2070" spans="1:31" ht="12.75">
      <c r="A2070" s="646" t="s">
        <v>14475</v>
      </c>
      <c r="B2070" s="403" t="s">
        <v>14513</v>
      </c>
      <c r="C2070" s="615" t="s">
        <v>15179</v>
      </c>
      <c r="D2070" s="769" t="s">
        <v>14567</v>
      </c>
      <c r="E2070" s="405"/>
      <c r="F2070" s="369"/>
      <c r="G2070" s="370"/>
      <c r="H2070" s="371"/>
      <c r="I2070" s="262"/>
      <c r="J2070" s="262"/>
      <c r="K2070" s="262"/>
      <c r="L2070" s="262"/>
      <c r="M2070" s="262"/>
      <c r="N2070" s="262"/>
      <c r="O2070" s="262"/>
      <c r="P2070" s="262"/>
      <c r="Q2070" s="262"/>
      <c r="R2070" s="262"/>
      <c r="S2070" s="262"/>
      <c r="T2070" s="262"/>
      <c r="U2070" s="262"/>
      <c r="V2070" s="262"/>
      <c r="W2070" s="262"/>
      <c r="X2070" s="262"/>
      <c r="Y2070" s="262"/>
      <c r="Z2070" s="262"/>
      <c r="AA2070" s="262"/>
      <c r="AB2070" s="262"/>
    </row>
    <row r="2071" spans="1:31" ht="25.5">
      <c r="A2071" s="586" t="s">
        <v>14478</v>
      </c>
      <c r="B2071" s="421" t="s">
        <v>14476</v>
      </c>
      <c r="C2071" s="374">
        <v>88247</v>
      </c>
      <c r="D2071" s="288" t="str">
        <f>IFERROR(VLOOKUP($C2071,'24.08_ND'!$A:$D,2,0),)</f>
        <v>AUXILIAR DE ELETRICISTA COM ENCARGOS COMPLEMENTARES</v>
      </c>
      <c r="E2071" s="289" t="str">
        <f>IFERROR(VLOOKUP($C2071,'24.08_ND'!$A:$D,3,0),)</f>
        <v>H</v>
      </c>
      <c r="F2071" s="375">
        <v>0.3</v>
      </c>
      <c r="G2071" s="291">
        <f>IFERROR(VLOOKUP($C2071,'24.08_ND'!$A:$D,4,0),)</f>
        <v>20</v>
      </c>
      <c r="H2071" s="440">
        <f>TRUNC(($F2071*$G2071),2)</f>
        <v>6</v>
      </c>
      <c r="I2071" s="262"/>
      <c r="J2071" s="262"/>
      <c r="K2071" s="262"/>
      <c r="L2071" s="262"/>
      <c r="M2071" s="262"/>
      <c r="N2071" s="262"/>
      <c r="O2071" s="262"/>
      <c r="P2071" s="262"/>
      <c r="Q2071" s="262"/>
      <c r="R2071" s="262"/>
      <c r="S2071" s="262"/>
      <c r="T2071" s="262"/>
      <c r="U2071" s="262"/>
      <c r="V2071" s="262"/>
      <c r="W2071" s="262"/>
      <c r="X2071" s="262"/>
      <c r="Y2071" s="262"/>
      <c r="Z2071" s="262"/>
      <c r="AA2071" s="262"/>
      <c r="AB2071" s="262"/>
      <c r="AD2071" s="1791" t="e">
        <f>VLOOKUP(C2071,'Medição '!$B$16:$F$1833,6,0)</f>
        <v>#N/A</v>
      </c>
      <c r="AE2071" s="1791"/>
    </row>
    <row r="2072" spans="1:31" ht="25.5">
      <c r="A2072" s="586" t="s">
        <v>14478</v>
      </c>
      <c r="B2072" s="421" t="s">
        <v>14476</v>
      </c>
      <c r="C2072" s="374">
        <v>88264</v>
      </c>
      <c r="D2072" s="288" t="str">
        <f>IFERROR(VLOOKUP($C2072,'24.08_ND'!$A:$D,2,0),)</f>
        <v>ELETRICISTA COM ENCARGOS COMPLEMENTARES</v>
      </c>
      <c r="E2072" s="289" t="str">
        <f>IFERROR(VLOOKUP($C2072,'24.08_ND'!$A:$D,3,0),)</f>
        <v>H</v>
      </c>
      <c r="F2072" s="375">
        <v>0.3</v>
      </c>
      <c r="G2072" s="291">
        <f>IFERROR(VLOOKUP($C2072,'24.08_ND'!$A:$D,4,0),)</f>
        <v>24.3</v>
      </c>
      <c r="H2072" s="440">
        <f>TRUNC(($F2072*$G2072),2)</f>
        <v>7.29</v>
      </c>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D2072" s="1791" t="e">
        <f>VLOOKUP(C2072,'Medição '!$B$16:$F$1833,6,0)</f>
        <v>#N/A</v>
      </c>
      <c r="AE2072" s="1791"/>
    </row>
    <row r="2073" spans="1:31" ht="12.75">
      <c r="A2073" s="760" t="s">
        <v>14479</v>
      </c>
      <c r="B2073" s="761" t="s">
        <v>14491</v>
      </c>
      <c r="C2073" s="600" t="s">
        <v>15180</v>
      </c>
      <c r="D2073" s="601" t="str">
        <f>VLOOKUP($C2073,'09 - MC'!$A:$F,2,0)</f>
        <v xml:space="preserve"> FITA ALL LIGHT 24V PRO 8W/m 4000K  RL 5M</v>
      </c>
      <c r="E2073" s="602" t="str">
        <f>VLOOKUP($C2073,'09 - MC'!$A:$F,3,0)</f>
        <v>UN</v>
      </c>
      <c r="F2073" s="603">
        <v>0.2</v>
      </c>
      <c r="G2073" s="604">
        <f>VLOOKUP($C2073,'09 - MC'!$A:$F,6,0)</f>
        <v>256.77</v>
      </c>
      <c r="H2073" s="605">
        <f>TRUNC(G2073*F2073,2)</f>
        <v>51.35</v>
      </c>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row>
    <row r="2074" spans="1:31" ht="12.75">
      <c r="A2074" s="766"/>
      <c r="B2074" s="767"/>
      <c r="C2074" s="3"/>
      <c r="D2074" s="768"/>
      <c r="E2074" s="690"/>
      <c r="F2074" s="691"/>
      <c r="G2074" s="690"/>
      <c r="H2074" s="69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row>
    <row r="2075" spans="1:31" ht="25.5">
      <c r="A2075" s="358" t="s">
        <v>14471</v>
      </c>
      <c r="B2075" s="359" t="s">
        <v>14472</v>
      </c>
      <c r="C2075" s="360" t="s">
        <v>15181</v>
      </c>
      <c r="D2075" s="361" t="s">
        <v>15182</v>
      </c>
      <c r="E2075" s="359" t="s">
        <v>6</v>
      </c>
      <c r="F2075" s="362"/>
      <c r="G2075" s="362"/>
      <c r="H2075" s="363">
        <f>TRUNC(SUM(H2077:H2079),2)</f>
        <v>208.27</v>
      </c>
      <c r="I2075" s="276">
        <f>COUNTIF($C$8:$C2075,C:C)</f>
        <v>1</v>
      </c>
      <c r="J2075" s="262"/>
      <c r="K2075" s="262"/>
      <c r="L2075" s="262"/>
      <c r="M2075" s="262"/>
      <c r="N2075" s="262"/>
      <c r="O2075" s="262"/>
      <c r="P2075" s="262"/>
      <c r="Q2075" s="262"/>
      <c r="R2075" s="262"/>
      <c r="S2075" s="262"/>
      <c r="T2075" s="262"/>
      <c r="U2075" s="262"/>
      <c r="V2075" s="262"/>
      <c r="W2075" s="262"/>
      <c r="X2075" s="262"/>
      <c r="Y2075" s="262"/>
      <c r="Z2075" s="262"/>
      <c r="AA2075" s="262"/>
      <c r="AB2075" s="262"/>
    </row>
    <row r="2076" spans="1:31" ht="12.75">
      <c r="A2076" s="646" t="s">
        <v>14475</v>
      </c>
      <c r="B2076" s="403" t="s">
        <v>14600</v>
      </c>
      <c r="C2076" s="404">
        <v>13156</v>
      </c>
      <c r="D2076" s="769" t="s">
        <v>14567</v>
      </c>
      <c r="E2076" s="641"/>
      <c r="F2076" s="369"/>
      <c r="G2076" s="370"/>
      <c r="H2076" s="371"/>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row>
    <row r="2077" spans="1:31" ht="25.5">
      <c r="A2077" s="586" t="s">
        <v>14478</v>
      </c>
      <c r="B2077" s="373" t="s">
        <v>14476</v>
      </c>
      <c r="C2077" s="374">
        <v>88247</v>
      </c>
      <c r="D2077" s="288" t="str">
        <f>IFERROR(VLOOKUP($C2077,'24.08_ND'!$A:$D,2,0),)</f>
        <v>AUXILIAR DE ELETRICISTA COM ENCARGOS COMPLEMENTARES</v>
      </c>
      <c r="E2077" s="289" t="str">
        <f>IFERROR(VLOOKUP($C2077,'24.08_ND'!$A:$D,3,0),)</f>
        <v>H</v>
      </c>
      <c r="F2077" s="441">
        <v>1</v>
      </c>
      <c r="G2077" s="291">
        <f>IFERROR(VLOOKUP($C2077,'24.08_ND'!$A:$D,4,0),)</f>
        <v>20</v>
      </c>
      <c r="H2077" s="423">
        <f>TRUNC(($F2077*$G2077),2)</f>
        <v>20</v>
      </c>
      <c r="I2077" s="262"/>
      <c r="J2077" s="262"/>
      <c r="K2077" s="262"/>
      <c r="L2077" s="262"/>
      <c r="M2077" s="262"/>
      <c r="N2077" s="262"/>
      <c r="O2077" s="262"/>
      <c r="P2077" s="262"/>
      <c r="Q2077" s="262"/>
      <c r="R2077" s="262"/>
      <c r="S2077" s="262"/>
      <c r="T2077" s="262"/>
      <c r="U2077" s="262"/>
      <c r="V2077" s="262"/>
      <c r="W2077" s="262"/>
      <c r="X2077" s="262"/>
      <c r="Y2077" s="262"/>
      <c r="Z2077" s="262"/>
      <c r="AA2077" s="262"/>
      <c r="AB2077" s="262"/>
      <c r="AD2077" s="1791" t="e">
        <f>VLOOKUP(C2077,'Medição '!$B$16:$F$1833,6,0)</f>
        <v>#N/A</v>
      </c>
      <c r="AE2077" s="1791"/>
    </row>
    <row r="2078" spans="1:31" ht="25.5">
      <c r="A2078" s="586" t="s">
        <v>14478</v>
      </c>
      <c r="B2078" s="373" t="s">
        <v>14476</v>
      </c>
      <c r="C2078" s="374">
        <v>88264</v>
      </c>
      <c r="D2078" s="288" t="str">
        <f>IFERROR(VLOOKUP($C2078,'24.08_ND'!$A:$D,2,0),)</f>
        <v>ELETRICISTA COM ENCARGOS COMPLEMENTARES</v>
      </c>
      <c r="E2078" s="289" t="str">
        <f>IFERROR(VLOOKUP($C2078,'24.08_ND'!$A:$D,3,0),)</f>
        <v>H</v>
      </c>
      <c r="F2078" s="441">
        <v>1</v>
      </c>
      <c r="G2078" s="291">
        <f>IFERROR(VLOOKUP($C2078,'24.08_ND'!$A:$D,4,0),)</f>
        <v>24.3</v>
      </c>
      <c r="H2078" s="423">
        <f>TRUNC(($F2078*$G2078),2)</f>
        <v>24.3</v>
      </c>
      <c r="I2078" s="262"/>
      <c r="J2078" s="262"/>
      <c r="K2078" s="262"/>
      <c r="L2078" s="262"/>
      <c r="M2078" s="262"/>
      <c r="N2078" s="262"/>
      <c r="O2078" s="262"/>
      <c r="P2078" s="262"/>
      <c r="Q2078" s="262"/>
      <c r="R2078" s="262"/>
      <c r="S2078" s="262"/>
      <c r="T2078" s="262"/>
      <c r="U2078" s="262"/>
      <c r="V2078" s="262"/>
      <c r="W2078" s="262"/>
      <c r="X2078" s="262"/>
      <c r="Y2078" s="262"/>
      <c r="Z2078" s="262"/>
      <c r="AA2078" s="262"/>
      <c r="AB2078" s="262"/>
      <c r="AD2078" s="1791" t="e">
        <f>VLOOKUP(C2078,'Medição '!$B$16:$F$1833,6,0)</f>
        <v>#N/A</v>
      </c>
      <c r="AE2078" s="1791"/>
    </row>
    <row r="2079" spans="1:31" ht="12.75">
      <c r="A2079" s="760" t="s">
        <v>14479</v>
      </c>
      <c r="B2079" s="761" t="s">
        <v>14491</v>
      </c>
      <c r="C2079" s="600" t="s">
        <v>15183</v>
      </c>
      <c r="D2079" s="601" t="str">
        <f>VLOOKUP($C2079,'09 - MC'!$A:$F,2,0)</f>
        <v>FONTE DRIVER PARA FITA LED 100W 100 277V 24V IP20</v>
      </c>
      <c r="E2079" s="602" t="str">
        <f>VLOOKUP($C2079,'09 - MC'!$A:$F,3,0)</f>
        <v>UN</v>
      </c>
      <c r="F2079" s="603">
        <v>1</v>
      </c>
      <c r="G2079" s="604">
        <f>VLOOKUP($C2079,'09 - MC'!$A:$F,6,0)</f>
        <v>163.97</v>
      </c>
      <c r="H2079" s="605">
        <f>TRUNC(G2079*F2079,2)</f>
        <v>163.97</v>
      </c>
      <c r="I2079" s="262"/>
      <c r="J2079" s="262"/>
      <c r="K2079" s="262"/>
      <c r="L2079" s="262"/>
      <c r="M2079" s="262"/>
      <c r="N2079" s="262"/>
      <c r="O2079" s="262"/>
      <c r="P2079" s="262"/>
      <c r="Q2079" s="262"/>
      <c r="R2079" s="262"/>
      <c r="S2079" s="262"/>
      <c r="T2079" s="262"/>
      <c r="U2079" s="262"/>
      <c r="V2079" s="262"/>
      <c r="W2079" s="262"/>
      <c r="X2079" s="262"/>
      <c r="Y2079" s="262"/>
      <c r="Z2079" s="262"/>
      <c r="AA2079" s="262"/>
      <c r="AB2079" s="262"/>
    </row>
    <row r="2080" spans="1:31" ht="12.75">
      <c r="A2080" s="766"/>
      <c r="B2080" s="767"/>
      <c r="C2080" s="3"/>
      <c r="D2080" s="768"/>
      <c r="E2080" s="690"/>
      <c r="F2080" s="691"/>
      <c r="G2080" s="690"/>
      <c r="H2080" s="692"/>
      <c r="I2080" s="262"/>
      <c r="J2080" s="262"/>
      <c r="K2080" s="262"/>
      <c r="L2080" s="262"/>
      <c r="M2080" s="262"/>
      <c r="N2080" s="262"/>
      <c r="O2080" s="262"/>
      <c r="P2080" s="262"/>
      <c r="Q2080" s="262"/>
      <c r="R2080" s="262"/>
      <c r="S2080" s="262"/>
      <c r="T2080" s="262"/>
      <c r="U2080" s="262"/>
      <c r="V2080" s="262"/>
      <c r="W2080" s="262"/>
      <c r="X2080" s="262"/>
      <c r="Y2080" s="262"/>
      <c r="Z2080" s="262"/>
      <c r="AA2080" s="262"/>
      <c r="AB2080" s="262"/>
    </row>
    <row r="2081" spans="1:31" ht="12.75">
      <c r="A2081" s="358" t="s">
        <v>14471</v>
      </c>
      <c r="B2081" s="359" t="s">
        <v>14472</v>
      </c>
      <c r="C2081" s="360" t="s">
        <v>15184</v>
      </c>
      <c r="D2081" s="361" t="s">
        <v>15185</v>
      </c>
      <c r="E2081" s="359" t="s">
        <v>6</v>
      </c>
      <c r="F2081" s="362"/>
      <c r="G2081" s="362"/>
      <c r="H2081" s="363">
        <f>TRUNC(SUM(H2083:H2085),2)</f>
        <v>140.83000000000001</v>
      </c>
      <c r="I2081" s="276">
        <f>COUNTIF($C$8:$C2081,C:C)</f>
        <v>1</v>
      </c>
      <c r="J2081" s="262"/>
      <c r="K2081" s="262"/>
      <c r="L2081" s="262"/>
      <c r="M2081" s="262"/>
      <c r="N2081" s="262"/>
      <c r="O2081" s="262"/>
      <c r="P2081" s="262"/>
      <c r="Q2081" s="262"/>
      <c r="R2081" s="262"/>
      <c r="S2081" s="262"/>
      <c r="T2081" s="262"/>
      <c r="U2081" s="262"/>
      <c r="V2081" s="262"/>
      <c r="W2081" s="262"/>
      <c r="X2081" s="262"/>
      <c r="Y2081" s="262"/>
      <c r="Z2081" s="262"/>
      <c r="AA2081" s="262"/>
      <c r="AB2081" s="262"/>
    </row>
    <row r="2082" spans="1:31" ht="12.75">
      <c r="A2082" s="646" t="s">
        <v>14475</v>
      </c>
      <c r="B2082" s="403" t="s">
        <v>14600</v>
      </c>
      <c r="C2082" s="404">
        <v>13156</v>
      </c>
      <c r="D2082" s="769" t="s">
        <v>14567</v>
      </c>
      <c r="E2082" s="641"/>
      <c r="F2082" s="369"/>
      <c r="G2082" s="370"/>
      <c r="H2082" s="371"/>
      <c r="I2082" s="262"/>
      <c r="J2082" s="262"/>
      <c r="K2082" s="262"/>
      <c r="L2082" s="262"/>
      <c r="M2082" s="262"/>
      <c r="N2082" s="262"/>
      <c r="O2082" s="262"/>
      <c r="P2082" s="262"/>
      <c r="Q2082" s="262"/>
      <c r="R2082" s="262"/>
      <c r="S2082" s="262"/>
      <c r="T2082" s="262"/>
      <c r="U2082" s="262"/>
      <c r="V2082" s="262"/>
      <c r="W2082" s="262"/>
      <c r="X2082" s="262"/>
      <c r="Y2082" s="262"/>
      <c r="Z2082" s="262"/>
      <c r="AA2082" s="262"/>
      <c r="AB2082" s="262"/>
    </row>
    <row r="2083" spans="1:31" ht="25.5">
      <c r="A2083" s="586" t="s">
        <v>14478</v>
      </c>
      <c r="B2083" s="373" t="s">
        <v>14476</v>
      </c>
      <c r="C2083" s="374">
        <v>88247</v>
      </c>
      <c r="D2083" s="288" t="str">
        <f>IFERROR(VLOOKUP($C2083,'24.08_ND'!$A:$D,2,0),)</f>
        <v>AUXILIAR DE ELETRICISTA COM ENCARGOS COMPLEMENTARES</v>
      </c>
      <c r="E2083" s="289" t="str">
        <f>IFERROR(VLOOKUP($C2083,'24.08_ND'!$A:$D,3,0),)</f>
        <v>H</v>
      </c>
      <c r="F2083" s="441">
        <v>1</v>
      </c>
      <c r="G2083" s="291">
        <f>IFERROR(VLOOKUP($C2083,'24.08_ND'!$A:$D,4,0),)</f>
        <v>20</v>
      </c>
      <c r="H2083" s="423">
        <f>TRUNC(($F2083*$G2083),2)</f>
        <v>20</v>
      </c>
      <c r="I2083" s="262"/>
      <c r="J2083" s="262"/>
      <c r="K2083" s="262"/>
      <c r="L2083" s="262"/>
      <c r="M2083" s="262"/>
      <c r="N2083" s="262"/>
      <c r="O2083" s="262"/>
      <c r="P2083" s="262"/>
      <c r="Q2083" s="262"/>
      <c r="R2083" s="262"/>
      <c r="S2083" s="262"/>
      <c r="T2083" s="262"/>
      <c r="U2083" s="262"/>
      <c r="V2083" s="262"/>
      <c r="W2083" s="262"/>
      <c r="X2083" s="262"/>
      <c r="Y2083" s="262"/>
      <c r="Z2083" s="262"/>
      <c r="AA2083" s="262"/>
      <c r="AB2083" s="262"/>
      <c r="AD2083" s="1791" t="e">
        <f>VLOOKUP(C2083,'Medição '!$B$16:$F$1833,6,0)</f>
        <v>#N/A</v>
      </c>
      <c r="AE2083" s="1791"/>
    </row>
    <row r="2084" spans="1:31" ht="25.5">
      <c r="A2084" s="586" t="s">
        <v>14478</v>
      </c>
      <c r="B2084" s="373" t="s">
        <v>14476</v>
      </c>
      <c r="C2084" s="374">
        <v>88264</v>
      </c>
      <c r="D2084" s="288" t="str">
        <f>IFERROR(VLOOKUP($C2084,'24.08_ND'!$A:$D,2,0),)</f>
        <v>ELETRICISTA COM ENCARGOS COMPLEMENTARES</v>
      </c>
      <c r="E2084" s="289" t="str">
        <f>IFERROR(VLOOKUP($C2084,'24.08_ND'!$A:$D,3,0),)</f>
        <v>H</v>
      </c>
      <c r="F2084" s="441">
        <v>1</v>
      </c>
      <c r="G2084" s="291">
        <f>IFERROR(VLOOKUP($C2084,'24.08_ND'!$A:$D,4,0),)</f>
        <v>24.3</v>
      </c>
      <c r="H2084" s="423">
        <f>TRUNC(($F2084*$G2084),2)</f>
        <v>24.3</v>
      </c>
      <c r="I2084" s="262"/>
      <c r="J2084" s="262"/>
      <c r="K2084" s="262"/>
      <c r="L2084" s="262"/>
      <c r="M2084" s="262"/>
      <c r="N2084" s="262"/>
      <c r="O2084" s="262"/>
      <c r="P2084" s="262"/>
      <c r="Q2084" s="262"/>
      <c r="R2084" s="262"/>
      <c r="S2084" s="262"/>
      <c r="T2084" s="262"/>
      <c r="U2084" s="262"/>
      <c r="V2084" s="262"/>
      <c r="W2084" s="262"/>
      <c r="X2084" s="262"/>
      <c r="Y2084" s="262"/>
      <c r="Z2084" s="262"/>
      <c r="AA2084" s="262"/>
      <c r="AB2084" s="262"/>
      <c r="AD2084" s="1791" t="e">
        <f>VLOOKUP(C2084,'Medição '!$B$16:$F$1833,6,0)</f>
        <v>#N/A</v>
      </c>
      <c r="AE2084" s="1791"/>
    </row>
    <row r="2085" spans="1:31" ht="12.75">
      <c r="A2085" s="760" t="s">
        <v>14479</v>
      </c>
      <c r="B2085" s="761" t="s">
        <v>14491</v>
      </c>
      <c r="C2085" s="600" t="s">
        <v>15186</v>
      </c>
      <c r="D2085" s="601" t="str">
        <f>VLOOKUP($C2085,'09 - MC'!$A:$F,2,0)</f>
        <v>FONTE PARA FITA LED 24V 25W</v>
      </c>
      <c r="E2085" s="602" t="str">
        <f>VLOOKUP($C2085,'09 - MC'!$A:$F,3,0)</f>
        <v>UN</v>
      </c>
      <c r="F2085" s="603">
        <v>1</v>
      </c>
      <c r="G2085" s="604">
        <f>VLOOKUP($C2085,'09 - MC'!$A:$F,6,0)</f>
        <v>96.53</v>
      </c>
      <c r="H2085" s="605">
        <f>TRUNC(G2085*F2085,2)</f>
        <v>96.53</v>
      </c>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row>
    <row r="2086" spans="1:31" ht="12.75">
      <c r="A2086" s="766"/>
      <c r="B2086" s="767"/>
      <c r="C2086" s="3"/>
      <c r="D2086" s="768"/>
      <c r="E2086" s="690"/>
      <c r="F2086" s="691"/>
      <c r="G2086" s="690"/>
      <c r="H2086" s="69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row>
    <row r="2087" spans="1:31" ht="25.5">
      <c r="A2087" s="358" t="s">
        <v>14471</v>
      </c>
      <c r="B2087" s="359" t="s">
        <v>14472</v>
      </c>
      <c r="C2087" s="360" t="s">
        <v>15187</v>
      </c>
      <c r="D2087" s="361" t="s">
        <v>15188</v>
      </c>
      <c r="E2087" s="359" t="s">
        <v>6</v>
      </c>
      <c r="F2087" s="362"/>
      <c r="G2087" s="362"/>
      <c r="H2087" s="363">
        <f>TRUNC(SUM(H2089:H2093),2)</f>
        <v>130.36000000000001</v>
      </c>
      <c r="I2087" s="276">
        <f>COUNTIF($C$8:$C2087,C:C)</f>
        <v>1</v>
      </c>
      <c r="J2087" s="262"/>
      <c r="K2087" s="262"/>
      <c r="L2087" s="262"/>
      <c r="M2087" s="262"/>
      <c r="N2087" s="262"/>
      <c r="O2087" s="262"/>
      <c r="P2087" s="262"/>
      <c r="Q2087" s="262"/>
      <c r="R2087" s="262"/>
      <c r="S2087" s="262"/>
      <c r="T2087" s="262"/>
      <c r="U2087" s="262"/>
      <c r="V2087" s="262"/>
      <c r="W2087" s="262"/>
      <c r="X2087" s="262"/>
      <c r="Y2087" s="262"/>
      <c r="Z2087" s="262"/>
      <c r="AA2087" s="262"/>
      <c r="AB2087" s="262"/>
    </row>
    <row r="2088" spans="1:31" ht="12.75">
      <c r="A2088" s="646" t="s">
        <v>14475</v>
      </c>
      <c r="B2088" s="403" t="s">
        <v>14600</v>
      </c>
      <c r="C2088" s="404">
        <v>13672</v>
      </c>
      <c r="D2088" s="769" t="s">
        <v>14567</v>
      </c>
      <c r="E2088" s="641"/>
      <c r="F2088" s="369"/>
      <c r="G2088" s="370"/>
      <c r="H2088" s="371"/>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row>
    <row r="2089" spans="1:31" ht="25.5">
      <c r="A2089" s="586" t="s">
        <v>14478</v>
      </c>
      <c r="B2089" s="373" t="s">
        <v>14476</v>
      </c>
      <c r="C2089" s="594">
        <v>88264</v>
      </c>
      <c r="D2089" s="288" t="str">
        <f>IFERROR(VLOOKUP($C2089,'24.08_ND'!$A:$D,2,0),)</f>
        <v>ELETRICISTA COM ENCARGOS COMPLEMENTARES</v>
      </c>
      <c r="E2089" s="289" t="str">
        <f>IFERROR(VLOOKUP($C2089,'24.08_ND'!$A:$D,3,0),)</f>
        <v>H</v>
      </c>
      <c r="F2089" s="441">
        <v>0.5</v>
      </c>
      <c r="G2089" s="291">
        <f>IFERROR(VLOOKUP($C2089,'24.08_ND'!$A:$D,4,0),)</f>
        <v>24.3</v>
      </c>
      <c r="H2089" s="440">
        <f>TRUNC(($F2089*$G2089),2)</f>
        <v>12.15</v>
      </c>
      <c r="I2089" s="262"/>
      <c r="J2089" s="262"/>
      <c r="K2089" s="262"/>
      <c r="L2089" s="262"/>
      <c r="M2089" s="262"/>
      <c r="N2089" s="262"/>
      <c r="O2089" s="262"/>
      <c r="P2089" s="262"/>
      <c r="Q2089" s="262"/>
      <c r="R2089" s="262"/>
      <c r="S2089" s="262"/>
      <c r="T2089" s="262"/>
      <c r="U2089" s="262"/>
      <c r="V2089" s="262"/>
      <c r="W2089" s="262"/>
      <c r="X2089" s="262"/>
      <c r="Y2089" s="262"/>
      <c r="Z2089" s="262"/>
      <c r="AA2089" s="262"/>
      <c r="AB2089" s="262"/>
      <c r="AD2089" s="1791" t="e">
        <f>VLOOKUP(C2089,'Medição '!$B$16:$F$1833,6,0)</f>
        <v>#N/A</v>
      </c>
      <c r="AE2089" s="1791"/>
    </row>
    <row r="2090" spans="1:31" ht="25.5">
      <c r="A2090" s="586" t="s">
        <v>14478</v>
      </c>
      <c r="B2090" s="373" t="s">
        <v>14476</v>
      </c>
      <c r="C2090" s="374">
        <v>88247</v>
      </c>
      <c r="D2090" s="288" t="str">
        <f>IFERROR(VLOOKUP($C2090,'24.08_ND'!$A:$D,2,0),)</f>
        <v>AUXILIAR DE ELETRICISTA COM ENCARGOS COMPLEMENTARES</v>
      </c>
      <c r="E2090" s="289" t="str">
        <f>IFERROR(VLOOKUP($C2090,'24.08_ND'!$A:$D,3,0),)</f>
        <v>H</v>
      </c>
      <c r="F2090" s="441">
        <v>0.5</v>
      </c>
      <c r="G2090" s="291">
        <f>IFERROR(VLOOKUP($C2090,'24.08_ND'!$A:$D,4,0),)</f>
        <v>20</v>
      </c>
      <c r="H2090" s="440">
        <f>TRUNC(($F2090*$G2090),2)</f>
        <v>10</v>
      </c>
      <c r="I2090" s="262"/>
      <c r="J2090" s="262"/>
      <c r="K2090" s="262"/>
      <c r="L2090" s="262"/>
      <c r="M2090" s="262"/>
      <c r="N2090" s="262"/>
      <c r="O2090" s="262"/>
      <c r="P2090" s="262"/>
      <c r="Q2090" s="262"/>
      <c r="R2090" s="262"/>
      <c r="S2090" s="262"/>
      <c r="T2090" s="262"/>
      <c r="U2090" s="262"/>
      <c r="V2090" s="262"/>
      <c r="W2090" s="262"/>
      <c r="X2090" s="262"/>
      <c r="Y2090" s="262"/>
      <c r="Z2090" s="262"/>
      <c r="AA2090" s="262"/>
      <c r="AB2090" s="262"/>
      <c r="AD2090" s="1791" t="e">
        <f>VLOOKUP(C2090,'Medição '!$B$16:$F$1833,6,0)</f>
        <v>#N/A</v>
      </c>
      <c r="AE2090" s="1791"/>
    </row>
    <row r="2091" spans="1:31" ht="12.75">
      <c r="A2091" s="445" t="s">
        <v>14479</v>
      </c>
      <c r="B2091" s="446" t="s">
        <v>14476</v>
      </c>
      <c r="C2091" s="597">
        <v>404</v>
      </c>
      <c r="D2091" s="296" t="str">
        <f>IFERROR(VLOOKUP($C2091,'24.08_ND'!$A:$D,2,0),)</f>
        <v>FITA ISOLANTE DE BORRACHA AUTOFUSAO, USO ATE 69 KV (ALTA TENSAO)</v>
      </c>
      <c r="E2091" s="297" t="str">
        <f>IFERROR(VLOOKUP($C2091,'24.08_ND'!$A:$D,3,0),)</f>
        <v>M</v>
      </c>
      <c r="F2091" s="780">
        <v>0.12</v>
      </c>
      <c r="G2091" s="299">
        <f>IFERROR(VLOOKUP($C2091,'24.08_ND'!$A:$D,4,0),)</f>
        <v>1.51</v>
      </c>
      <c r="H2091" s="781">
        <f>TRUNC(($F2091*$G2091),2)</f>
        <v>0.18</v>
      </c>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row>
    <row r="2092" spans="1:31" ht="12.75">
      <c r="A2092" s="760" t="s">
        <v>14479</v>
      </c>
      <c r="B2092" s="761" t="s">
        <v>14491</v>
      </c>
      <c r="C2092" s="600" t="s">
        <v>15189</v>
      </c>
      <c r="D2092" s="601" t="str">
        <f>VLOOKUP($C2092,'09 - MC'!$A:$F,2,0)</f>
        <v>LUMINÁRIA SPOT SOBREPOR P/ LAMPADA PAR30</v>
      </c>
      <c r="E2092" s="602" t="str">
        <f>VLOOKUP($C2092,'09 - MC'!$A:$F,3,0)</f>
        <v>UN</v>
      </c>
      <c r="F2092" s="603">
        <v>1</v>
      </c>
      <c r="G2092" s="604">
        <f>VLOOKUP($C2092,'09 - MC'!$A:$F,6,0)</f>
        <v>77.37</v>
      </c>
      <c r="H2092" s="605">
        <f>TRUNC(G2092*F2092,2)</f>
        <v>77.37</v>
      </c>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row>
    <row r="2093" spans="1:31" ht="12.75">
      <c r="A2093" s="760" t="s">
        <v>14479</v>
      </c>
      <c r="B2093" s="761" t="s">
        <v>14491</v>
      </c>
      <c r="C2093" s="600" t="s">
        <v>15190</v>
      </c>
      <c r="D2093" s="601" t="str">
        <f>VLOOKUP($C2093,'09 - MC'!$A:$F,2,0)</f>
        <v xml:space="preserve"> LED-PAR30-IN-NE4000K-38-11W-BIVOLT</v>
      </c>
      <c r="E2093" s="602" t="str">
        <f>VLOOKUP($C2093,'09 - MC'!$A:$F,3,0)</f>
        <v>UN</v>
      </c>
      <c r="F2093" s="603">
        <v>1</v>
      </c>
      <c r="G2093" s="604">
        <f>VLOOKUP($C2093,'09 - MC'!$A:$F,6,0)</f>
        <v>30.66</v>
      </c>
      <c r="H2093" s="605">
        <f>TRUNC(G2093*F2093,2)</f>
        <v>30.66</v>
      </c>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row>
    <row r="2094" spans="1:31" ht="12.75">
      <c r="A2094" s="640"/>
      <c r="B2094" s="641"/>
      <c r="C2094" s="368"/>
      <c r="D2094" s="370"/>
      <c r="E2094" s="370"/>
      <c r="F2094" s="782"/>
      <c r="G2094" s="370"/>
      <c r="H2094" s="371"/>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row>
    <row r="2095" spans="1:31" ht="25.5">
      <c r="A2095" s="358" t="s">
        <v>14471</v>
      </c>
      <c r="B2095" s="359" t="s">
        <v>14472</v>
      </c>
      <c r="C2095" s="360" t="s">
        <v>15191</v>
      </c>
      <c r="D2095" s="361" t="s">
        <v>15192</v>
      </c>
      <c r="E2095" s="359" t="s">
        <v>6</v>
      </c>
      <c r="F2095" s="362"/>
      <c r="G2095" s="362"/>
      <c r="H2095" s="363">
        <f>TRUNC(SUM(H2097:H2101),2)</f>
        <v>73.12</v>
      </c>
      <c r="I2095" s="276">
        <f>COUNTIF($C$8:$C2095,C:C)</f>
        <v>1</v>
      </c>
      <c r="J2095" s="262"/>
      <c r="K2095" s="262"/>
      <c r="L2095" s="262"/>
      <c r="M2095" s="262"/>
      <c r="N2095" s="262"/>
      <c r="O2095" s="262"/>
      <c r="P2095" s="262"/>
      <c r="Q2095" s="262"/>
      <c r="R2095" s="262"/>
      <c r="S2095" s="262"/>
      <c r="T2095" s="262"/>
      <c r="U2095" s="262"/>
      <c r="V2095" s="262"/>
      <c r="W2095" s="262"/>
      <c r="X2095" s="262"/>
      <c r="Y2095" s="262"/>
      <c r="Z2095" s="262"/>
      <c r="AA2095" s="262"/>
      <c r="AB2095" s="262"/>
    </row>
    <row r="2096" spans="1:31" ht="12.75">
      <c r="A2096" s="646" t="s">
        <v>14475</v>
      </c>
      <c r="B2096" s="403" t="s">
        <v>14600</v>
      </c>
      <c r="C2096" s="404">
        <v>13672</v>
      </c>
      <c r="D2096" s="769" t="s">
        <v>14567</v>
      </c>
      <c r="E2096" s="641"/>
      <c r="F2096" s="369"/>
      <c r="G2096" s="370"/>
      <c r="H2096" s="371"/>
      <c r="I2096" s="262"/>
      <c r="J2096" s="262"/>
      <c r="K2096" s="262"/>
      <c r="L2096" s="262"/>
      <c r="M2096" s="262"/>
      <c r="N2096" s="262"/>
      <c r="O2096" s="262"/>
      <c r="P2096" s="262"/>
      <c r="Q2096" s="262"/>
      <c r="R2096" s="262"/>
      <c r="S2096" s="262"/>
      <c r="T2096" s="262"/>
      <c r="U2096" s="262"/>
      <c r="V2096" s="262"/>
      <c r="W2096" s="262"/>
      <c r="X2096" s="262"/>
      <c r="Y2096" s="262"/>
      <c r="Z2096" s="262"/>
      <c r="AA2096" s="262"/>
      <c r="AB2096" s="262"/>
    </row>
    <row r="2097" spans="1:31" ht="25.5">
      <c r="A2097" s="586" t="s">
        <v>14478</v>
      </c>
      <c r="B2097" s="373" t="s">
        <v>14476</v>
      </c>
      <c r="C2097" s="594">
        <v>88264</v>
      </c>
      <c r="D2097" s="288" t="str">
        <f>IFERROR(VLOOKUP($C2097,'24.08_ND'!$A:$D,2,0),)</f>
        <v>ELETRICISTA COM ENCARGOS COMPLEMENTARES</v>
      </c>
      <c r="E2097" s="289" t="str">
        <f>IFERROR(VLOOKUP($C2097,'24.08_ND'!$A:$D,3,0),)</f>
        <v>H</v>
      </c>
      <c r="F2097" s="441">
        <v>0.5</v>
      </c>
      <c r="G2097" s="291">
        <f>IFERROR(VLOOKUP($C2097,'24.08_ND'!$A:$D,4,0),)</f>
        <v>24.3</v>
      </c>
      <c r="H2097" s="440">
        <f>TRUNC(($F2097*$G2097),2)</f>
        <v>12.15</v>
      </c>
      <c r="I2097" s="262"/>
      <c r="J2097" s="262"/>
      <c r="K2097" s="262"/>
      <c r="L2097" s="262"/>
      <c r="M2097" s="262"/>
      <c r="N2097" s="262"/>
      <c r="O2097" s="262"/>
      <c r="P2097" s="262"/>
      <c r="Q2097" s="262"/>
      <c r="R2097" s="262"/>
      <c r="S2097" s="262"/>
      <c r="T2097" s="262"/>
      <c r="U2097" s="262"/>
      <c r="V2097" s="262"/>
      <c r="W2097" s="262"/>
      <c r="X2097" s="262"/>
      <c r="Y2097" s="262"/>
      <c r="Z2097" s="262"/>
      <c r="AA2097" s="262"/>
      <c r="AB2097" s="262"/>
      <c r="AD2097" s="1791" t="e">
        <f>VLOOKUP(C2097,'Medição '!$B$16:$F$1833,6,0)</f>
        <v>#N/A</v>
      </c>
      <c r="AE2097" s="1791"/>
    </row>
    <row r="2098" spans="1:31" ht="25.5">
      <c r="A2098" s="586" t="s">
        <v>14478</v>
      </c>
      <c r="B2098" s="373" t="s">
        <v>14476</v>
      </c>
      <c r="C2098" s="374">
        <v>88247</v>
      </c>
      <c r="D2098" s="288" t="str">
        <f>IFERROR(VLOOKUP($C2098,'24.08_ND'!$A:$D,2,0),)</f>
        <v>AUXILIAR DE ELETRICISTA COM ENCARGOS COMPLEMENTARES</v>
      </c>
      <c r="E2098" s="289" t="str">
        <f>IFERROR(VLOOKUP($C2098,'24.08_ND'!$A:$D,3,0),)</f>
        <v>H</v>
      </c>
      <c r="F2098" s="441">
        <v>0.5</v>
      </c>
      <c r="G2098" s="291">
        <f>IFERROR(VLOOKUP($C2098,'24.08_ND'!$A:$D,4,0),)</f>
        <v>20</v>
      </c>
      <c r="H2098" s="440">
        <f>TRUNC(($F2098*$G2098),2)</f>
        <v>10</v>
      </c>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D2098" s="1791" t="e">
        <f>VLOOKUP(C2098,'Medição '!$B$16:$F$1833,6,0)</f>
        <v>#N/A</v>
      </c>
      <c r="AE2098" s="1791"/>
    </row>
    <row r="2099" spans="1:31" ht="12.75">
      <c r="A2099" s="445" t="s">
        <v>14479</v>
      </c>
      <c r="B2099" s="446" t="s">
        <v>14476</v>
      </c>
      <c r="C2099" s="597">
        <v>404</v>
      </c>
      <c r="D2099" s="296" t="str">
        <f>IFERROR(VLOOKUP($C2099,'24.08_ND'!$A:$D,2,0),)</f>
        <v>FITA ISOLANTE DE BORRACHA AUTOFUSAO, USO ATE 69 KV (ALTA TENSAO)</v>
      </c>
      <c r="E2099" s="297" t="str">
        <f>IFERROR(VLOOKUP($C2099,'24.08_ND'!$A:$D,3,0),)</f>
        <v>M</v>
      </c>
      <c r="F2099" s="780">
        <v>0.12</v>
      </c>
      <c r="G2099" s="299">
        <f>IFERROR(VLOOKUP($C2099,'24.08_ND'!$A:$D,4,0),)</f>
        <v>1.51</v>
      </c>
      <c r="H2099" s="781">
        <f>TRUNC(($F2099*$G2099),2)</f>
        <v>0.18</v>
      </c>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row>
    <row r="2100" spans="1:31" ht="25.5">
      <c r="A2100" s="760" t="s">
        <v>14479</v>
      </c>
      <c r="B2100" s="761" t="s">
        <v>14491</v>
      </c>
      <c r="C2100" s="600" t="s">
        <v>15193</v>
      </c>
      <c r="D2100" s="601" t="str">
        <f>VLOOKUP($C2100,'09 - MC'!$A:$F,2,0)</f>
        <v>SPOT DE SOBREPOR LOCH LAMP REDONDO DICROICA PAR16 Ø8X14CM POLICARBONATO BRANCO</v>
      </c>
      <c r="E2100" s="602" t="str">
        <f>VLOOKUP($C2100,'09 - MC'!$A:$F,3,0)</f>
        <v>UN</v>
      </c>
      <c r="F2100" s="603">
        <v>1</v>
      </c>
      <c r="G2100" s="604">
        <f>VLOOKUP($C2100,'09 - MC'!$A:$F,6,0)</f>
        <v>38.72</v>
      </c>
      <c r="H2100" s="605">
        <f>TRUNC(G2100*F2100,2)</f>
        <v>38.72</v>
      </c>
      <c r="I2100" s="262"/>
      <c r="J2100" s="262"/>
      <c r="K2100" s="262"/>
      <c r="L2100" s="262"/>
      <c r="M2100" s="262"/>
      <c r="N2100" s="262"/>
      <c r="O2100" s="262"/>
      <c r="P2100" s="262"/>
      <c r="Q2100" s="262"/>
      <c r="R2100" s="262"/>
      <c r="S2100" s="262"/>
      <c r="T2100" s="262"/>
      <c r="U2100" s="262"/>
      <c r="V2100" s="262"/>
      <c r="W2100" s="262"/>
      <c r="X2100" s="262"/>
      <c r="Y2100" s="262"/>
      <c r="Z2100" s="262"/>
      <c r="AA2100" s="262"/>
      <c r="AB2100" s="262"/>
    </row>
    <row r="2101" spans="1:31" ht="12.75">
      <c r="A2101" s="760" t="s">
        <v>14479</v>
      </c>
      <c r="B2101" s="761" t="s">
        <v>14491</v>
      </c>
      <c r="C2101" s="600" t="s">
        <v>15194</v>
      </c>
      <c r="D2101" s="601" t="str">
        <f>VLOOKUP($C2101,'09 - MC'!$A:$F,2,0)</f>
        <v>LÂMPADA LED DICROICA 4,8W AVANT 4000K</v>
      </c>
      <c r="E2101" s="602" t="str">
        <f>VLOOKUP($C2101,'09 - MC'!$A:$F,3,0)</f>
        <v>UN</v>
      </c>
      <c r="F2101" s="603">
        <v>1</v>
      </c>
      <c r="G2101" s="604">
        <f>VLOOKUP($C2101,'09 - MC'!$A:$F,6,0)</f>
        <v>12.07</v>
      </c>
      <c r="H2101" s="605">
        <f>TRUNC(G2101*F2101,2)</f>
        <v>12.07</v>
      </c>
      <c r="I2101" s="262"/>
      <c r="J2101" s="262"/>
      <c r="K2101" s="262"/>
      <c r="L2101" s="262"/>
      <c r="M2101" s="262"/>
      <c r="N2101" s="262"/>
      <c r="O2101" s="262"/>
      <c r="P2101" s="262"/>
      <c r="Q2101" s="262"/>
      <c r="R2101" s="262"/>
      <c r="S2101" s="262"/>
      <c r="T2101" s="262"/>
      <c r="U2101" s="262"/>
      <c r="V2101" s="262"/>
      <c r="W2101" s="262"/>
      <c r="X2101" s="262"/>
      <c r="Y2101" s="262"/>
      <c r="Z2101" s="262"/>
      <c r="AA2101" s="262"/>
      <c r="AB2101" s="262"/>
    </row>
    <row r="2102" spans="1:31" ht="12.75">
      <c r="A2102" s="766"/>
      <c r="B2102" s="767"/>
      <c r="C2102" s="3"/>
      <c r="D2102" s="768"/>
      <c r="E2102" s="690"/>
      <c r="F2102" s="691"/>
      <c r="G2102" s="690"/>
      <c r="H2102" s="692"/>
      <c r="I2102" s="262"/>
      <c r="J2102" s="262"/>
      <c r="K2102" s="262"/>
      <c r="L2102" s="262"/>
      <c r="M2102" s="262"/>
      <c r="N2102" s="262"/>
      <c r="O2102" s="262"/>
      <c r="P2102" s="262"/>
      <c r="Q2102" s="262"/>
      <c r="R2102" s="262"/>
      <c r="S2102" s="262"/>
      <c r="T2102" s="262"/>
      <c r="U2102" s="262"/>
      <c r="V2102" s="262"/>
      <c r="W2102" s="262"/>
      <c r="X2102" s="262"/>
      <c r="Y2102" s="262"/>
      <c r="Z2102" s="262"/>
      <c r="AA2102" s="262"/>
      <c r="AB2102" s="262"/>
    </row>
    <row r="2103" spans="1:31" ht="25.5">
      <c r="A2103" s="358" t="s">
        <v>14471</v>
      </c>
      <c r="B2103" s="359" t="s">
        <v>14472</v>
      </c>
      <c r="C2103" s="360" t="s">
        <v>15195</v>
      </c>
      <c r="D2103" s="361" t="s">
        <v>15196</v>
      </c>
      <c r="E2103" s="359" t="s">
        <v>6</v>
      </c>
      <c r="F2103" s="362"/>
      <c r="G2103" s="362"/>
      <c r="H2103" s="363">
        <f>TRUNC(SUM(H2105:H2108),2)</f>
        <v>528.23</v>
      </c>
      <c r="I2103" s="276">
        <f>COUNTIF($C$8:$C2103,C:C)</f>
        <v>1</v>
      </c>
      <c r="J2103" s="262"/>
      <c r="K2103" s="262"/>
      <c r="L2103" s="262"/>
      <c r="M2103" s="262"/>
      <c r="N2103" s="262"/>
      <c r="O2103" s="262"/>
      <c r="P2103" s="262"/>
      <c r="Q2103" s="262"/>
      <c r="R2103" s="262"/>
      <c r="S2103" s="262"/>
      <c r="T2103" s="262"/>
      <c r="U2103" s="262"/>
      <c r="V2103" s="262"/>
      <c r="W2103" s="262"/>
      <c r="X2103" s="262"/>
      <c r="Y2103" s="262"/>
      <c r="Z2103" s="262"/>
      <c r="AA2103" s="262"/>
      <c r="AB2103" s="262"/>
    </row>
    <row r="2104" spans="1:31" ht="12.75">
      <c r="A2104" s="646" t="s">
        <v>14475</v>
      </c>
      <c r="B2104" s="403" t="s">
        <v>14600</v>
      </c>
      <c r="C2104" s="404">
        <v>7708</v>
      </c>
      <c r="D2104" s="769" t="s">
        <v>14567</v>
      </c>
      <c r="E2104" s="370"/>
      <c r="F2104" s="369"/>
      <c r="G2104" s="370"/>
      <c r="H2104" s="371"/>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row>
    <row r="2105" spans="1:31" ht="25.5">
      <c r="A2105" s="586" t="s">
        <v>14478</v>
      </c>
      <c r="B2105" s="373" t="s">
        <v>14476</v>
      </c>
      <c r="C2105" s="374">
        <v>88247</v>
      </c>
      <c r="D2105" s="288" t="str">
        <f>IFERROR(VLOOKUP($C2105,'24.08_ND'!$A:$D,2,0),)</f>
        <v>AUXILIAR DE ELETRICISTA COM ENCARGOS COMPLEMENTARES</v>
      </c>
      <c r="E2105" s="289" t="str">
        <f>IFERROR(VLOOKUP($C2105,'24.08_ND'!$A:$D,3,0),)</f>
        <v>H</v>
      </c>
      <c r="F2105" s="441">
        <v>0.5</v>
      </c>
      <c r="G2105" s="291">
        <f>IFERROR(VLOOKUP($C2105,'24.08_ND'!$A:$D,4,0),)</f>
        <v>20</v>
      </c>
      <c r="H2105" s="440">
        <f>TRUNC(($F2105*$G2105),2)</f>
        <v>10</v>
      </c>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D2105" s="1791" t="e">
        <f>VLOOKUP(C2105,'Medição '!$B$16:$F$1833,6,0)</f>
        <v>#N/A</v>
      </c>
      <c r="AE2105" s="1791"/>
    </row>
    <row r="2106" spans="1:31" ht="25.5">
      <c r="A2106" s="586" t="s">
        <v>14478</v>
      </c>
      <c r="B2106" s="373" t="s">
        <v>14476</v>
      </c>
      <c r="C2106" s="374">
        <v>88264</v>
      </c>
      <c r="D2106" s="288" t="str">
        <f>IFERROR(VLOOKUP($C2106,'24.08_ND'!$A:$D,2,0),)</f>
        <v>ELETRICISTA COM ENCARGOS COMPLEMENTARES</v>
      </c>
      <c r="E2106" s="289" t="str">
        <f>IFERROR(VLOOKUP($C2106,'24.08_ND'!$A:$D,3,0),)</f>
        <v>H</v>
      </c>
      <c r="F2106" s="441">
        <v>0.5</v>
      </c>
      <c r="G2106" s="291">
        <f>IFERROR(VLOOKUP($C2106,'24.08_ND'!$A:$D,4,0),)</f>
        <v>24.3</v>
      </c>
      <c r="H2106" s="440">
        <f>TRUNC(($F2106*$G2106),2)</f>
        <v>12.15</v>
      </c>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D2106" s="1791" t="e">
        <f>VLOOKUP(C2106,'Medição '!$B$16:$F$1833,6,0)</f>
        <v>#N/A</v>
      </c>
      <c r="AE2106" s="1791"/>
    </row>
    <row r="2107" spans="1:31" ht="12.75">
      <c r="A2107" s="758" t="s">
        <v>14479</v>
      </c>
      <c r="B2107" s="383" t="s">
        <v>14476</v>
      </c>
      <c r="C2107" s="384">
        <v>20111</v>
      </c>
      <c r="D2107" s="296" t="str">
        <f>IFERROR(VLOOKUP($C2107,'24.08_ND'!$A:$D,2,0),)</f>
        <v>FITA ISOLANTE ADESIVA ANTICHAMA, USO ATE 750 V, EM ROLO DE 19 MM X 20 M</v>
      </c>
      <c r="E2107" s="297" t="str">
        <f>IFERROR(VLOOKUP($C2107,'24.08_ND'!$A:$D,3,0),)</f>
        <v>UN</v>
      </c>
      <c r="F2107" s="759">
        <v>0.12</v>
      </c>
      <c r="G2107" s="299">
        <f>IFERROR(VLOOKUP($C2107,'24.08_ND'!$A:$D,4,0),)</f>
        <v>11.15</v>
      </c>
      <c r="H2107" s="449">
        <f>TRUNC(($F2107*$G2107),2)</f>
        <v>1.33</v>
      </c>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row>
    <row r="2108" spans="1:31" ht="25.5">
      <c r="A2108" s="760" t="s">
        <v>14479</v>
      </c>
      <c r="B2108" s="761" t="s">
        <v>14491</v>
      </c>
      <c r="C2108" s="600" t="s">
        <v>15197</v>
      </c>
      <c r="D2108" s="601" t="str">
        <f>VLOOKUP($C2108,'09 - MC'!$A:$F,2,0)</f>
        <v>ARANDELA DE LUZ INDIRETA, PAREDE, COR BRANCA, 42CM, 12W, ACABAMENTO ALUMINIO COR BRANCA</v>
      </c>
      <c r="E2108" s="602" t="str">
        <f>VLOOKUP($C2108,'09 - MC'!$A:$F,3,0)</f>
        <v>UN</v>
      </c>
      <c r="F2108" s="603">
        <v>1</v>
      </c>
      <c r="G2108" s="783">
        <f>VLOOKUP($C2108,'09 - MC'!$A:$F,6,0)</f>
        <v>504.75</v>
      </c>
      <c r="H2108" s="605">
        <f>TRUNC(G2108*F2108,2)</f>
        <v>504.75</v>
      </c>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row>
    <row r="2109" spans="1:31" ht="12.75">
      <c r="A2109" s="766"/>
      <c r="B2109" s="767"/>
      <c r="C2109" s="3"/>
      <c r="D2109" s="768"/>
      <c r="E2109" s="690"/>
      <c r="F2109" s="691"/>
      <c r="G2109" s="690"/>
      <c r="H2109" s="692"/>
      <c r="I2109" s="262"/>
      <c r="J2109" s="262"/>
      <c r="K2109" s="262"/>
      <c r="L2109" s="262"/>
      <c r="M2109" s="262"/>
      <c r="N2109" s="262"/>
      <c r="O2109" s="262"/>
      <c r="P2109" s="262"/>
      <c r="Q2109" s="262"/>
      <c r="R2109" s="262"/>
      <c r="S2109" s="262"/>
      <c r="T2109" s="262"/>
      <c r="U2109" s="262"/>
      <c r="V2109" s="262"/>
      <c r="W2109" s="262"/>
      <c r="X2109" s="262"/>
      <c r="Y2109" s="262"/>
      <c r="Z2109" s="262"/>
      <c r="AA2109" s="262"/>
      <c r="AB2109" s="262"/>
    </row>
    <row r="2110" spans="1:31" ht="25.5">
      <c r="A2110" s="358" t="s">
        <v>14471</v>
      </c>
      <c r="B2110" s="359" t="s">
        <v>14472</v>
      </c>
      <c r="C2110" s="360" t="s">
        <v>15198</v>
      </c>
      <c r="D2110" s="361" t="s">
        <v>15199</v>
      </c>
      <c r="E2110" s="359" t="s">
        <v>6</v>
      </c>
      <c r="F2110" s="362"/>
      <c r="G2110" s="362"/>
      <c r="H2110" s="363">
        <f>TRUNC(SUM(H2112:H2115),2)</f>
        <v>623.35</v>
      </c>
      <c r="I2110" s="276">
        <f>COUNTIF($C$8:$C2110,C:C)</f>
        <v>1</v>
      </c>
      <c r="J2110" s="262"/>
      <c r="K2110" s="262"/>
      <c r="L2110" s="262"/>
      <c r="M2110" s="262"/>
      <c r="N2110" s="262"/>
      <c r="O2110" s="262"/>
      <c r="P2110" s="262"/>
      <c r="Q2110" s="262"/>
      <c r="R2110" s="262"/>
      <c r="S2110" s="262"/>
      <c r="T2110" s="262"/>
      <c r="U2110" s="262"/>
      <c r="V2110" s="262"/>
      <c r="W2110" s="262"/>
      <c r="X2110" s="262"/>
      <c r="Y2110" s="262"/>
      <c r="Z2110" s="262"/>
      <c r="AA2110" s="262"/>
      <c r="AB2110" s="262"/>
    </row>
    <row r="2111" spans="1:31" ht="12.75">
      <c r="A2111" s="646" t="s">
        <v>14475</v>
      </c>
      <c r="B2111" s="403" t="s">
        <v>14600</v>
      </c>
      <c r="C2111" s="404">
        <v>7708</v>
      </c>
      <c r="D2111" s="769" t="s">
        <v>14567</v>
      </c>
      <c r="E2111" s="370"/>
      <c r="F2111" s="369"/>
      <c r="G2111" s="370"/>
      <c r="H2111" s="371"/>
      <c r="I2111" s="262"/>
      <c r="J2111" s="262"/>
      <c r="K2111" s="262"/>
      <c r="L2111" s="262"/>
      <c r="M2111" s="262"/>
      <c r="N2111" s="262"/>
      <c r="O2111" s="262"/>
      <c r="P2111" s="262"/>
      <c r="Q2111" s="262"/>
      <c r="R2111" s="262"/>
      <c r="S2111" s="262"/>
      <c r="T2111" s="262"/>
      <c r="U2111" s="262"/>
      <c r="V2111" s="262"/>
      <c r="W2111" s="262"/>
      <c r="X2111" s="262"/>
      <c r="Y2111" s="262"/>
      <c r="Z2111" s="262"/>
      <c r="AA2111" s="262"/>
      <c r="AB2111" s="262"/>
    </row>
    <row r="2112" spans="1:31" ht="25.5">
      <c r="A2112" s="586" t="s">
        <v>14478</v>
      </c>
      <c r="B2112" s="373" t="s">
        <v>14476</v>
      </c>
      <c r="C2112" s="374">
        <v>88247</v>
      </c>
      <c r="D2112" s="288" t="str">
        <f>IFERROR(VLOOKUP($C2112,'24.08_ND'!$A:$D,2,0),)</f>
        <v>AUXILIAR DE ELETRICISTA COM ENCARGOS COMPLEMENTARES</v>
      </c>
      <c r="E2112" s="289" t="str">
        <f>IFERROR(VLOOKUP($C2112,'24.08_ND'!$A:$D,3,0),)</f>
        <v>H</v>
      </c>
      <c r="F2112" s="441">
        <v>0.5</v>
      </c>
      <c r="G2112" s="291">
        <f>IFERROR(VLOOKUP($C2112,'24.08_ND'!$A:$D,4,0),)</f>
        <v>20</v>
      </c>
      <c r="H2112" s="440">
        <f>TRUNC(($F2112*$G2112),2)</f>
        <v>10</v>
      </c>
      <c r="I2112" s="262"/>
      <c r="J2112" s="262"/>
      <c r="K2112" s="262"/>
      <c r="L2112" s="262"/>
      <c r="M2112" s="262"/>
      <c r="N2112" s="262"/>
      <c r="O2112" s="262"/>
      <c r="P2112" s="262"/>
      <c r="Q2112" s="262"/>
      <c r="R2112" s="262"/>
      <c r="S2112" s="262"/>
      <c r="T2112" s="262"/>
      <c r="U2112" s="262"/>
      <c r="V2112" s="262"/>
      <c r="W2112" s="262"/>
      <c r="X2112" s="262"/>
      <c r="Y2112" s="262"/>
      <c r="Z2112" s="262"/>
      <c r="AA2112" s="262"/>
      <c r="AB2112" s="262"/>
      <c r="AD2112" s="1791" t="e">
        <f>VLOOKUP(C2112,'Medição '!$B$16:$F$1833,6,0)</f>
        <v>#N/A</v>
      </c>
      <c r="AE2112" s="1791"/>
    </row>
    <row r="2113" spans="1:31" ht="25.5">
      <c r="A2113" s="586" t="s">
        <v>14478</v>
      </c>
      <c r="B2113" s="373" t="s">
        <v>14476</v>
      </c>
      <c r="C2113" s="374">
        <v>88264</v>
      </c>
      <c r="D2113" s="288" t="str">
        <f>IFERROR(VLOOKUP($C2113,'24.08_ND'!$A:$D,2,0),)</f>
        <v>ELETRICISTA COM ENCARGOS COMPLEMENTARES</v>
      </c>
      <c r="E2113" s="289" t="str">
        <f>IFERROR(VLOOKUP($C2113,'24.08_ND'!$A:$D,3,0),)</f>
        <v>H</v>
      </c>
      <c r="F2113" s="441">
        <v>0.5</v>
      </c>
      <c r="G2113" s="291">
        <f>IFERROR(VLOOKUP($C2113,'24.08_ND'!$A:$D,4,0),)</f>
        <v>24.3</v>
      </c>
      <c r="H2113" s="440">
        <f>TRUNC(($F2113*$G2113),2)</f>
        <v>12.15</v>
      </c>
      <c r="I2113" s="262"/>
      <c r="J2113" s="262"/>
      <c r="K2113" s="262"/>
      <c r="L2113" s="262"/>
      <c r="M2113" s="262"/>
      <c r="N2113" s="262"/>
      <c r="O2113" s="262"/>
      <c r="P2113" s="262"/>
      <c r="Q2113" s="262"/>
      <c r="R2113" s="262"/>
      <c r="S2113" s="262"/>
      <c r="T2113" s="262"/>
      <c r="U2113" s="262"/>
      <c r="V2113" s="262"/>
      <c r="W2113" s="262"/>
      <c r="X2113" s="262"/>
      <c r="Y2113" s="262"/>
      <c r="Z2113" s="262"/>
      <c r="AA2113" s="262"/>
      <c r="AB2113" s="262"/>
      <c r="AD2113" s="1791" t="e">
        <f>VLOOKUP(C2113,'Medição '!$B$16:$F$1833,6,0)</f>
        <v>#N/A</v>
      </c>
      <c r="AE2113" s="1791"/>
    </row>
    <row r="2114" spans="1:31" ht="12.75">
      <c r="A2114" s="758" t="s">
        <v>14479</v>
      </c>
      <c r="B2114" s="383" t="s">
        <v>14476</v>
      </c>
      <c r="C2114" s="384">
        <v>20111</v>
      </c>
      <c r="D2114" s="296" t="str">
        <f>IFERROR(VLOOKUP($C2114,'24.08_ND'!$A:$D,2,0),)</f>
        <v>FITA ISOLANTE ADESIVA ANTICHAMA, USO ATE 750 V, EM ROLO DE 19 MM X 20 M</v>
      </c>
      <c r="E2114" s="297" t="str">
        <f>IFERROR(VLOOKUP($C2114,'24.08_ND'!$A:$D,3,0),)</f>
        <v>UN</v>
      </c>
      <c r="F2114" s="759">
        <v>0.12</v>
      </c>
      <c r="G2114" s="299">
        <f>IFERROR(VLOOKUP($C2114,'24.08_ND'!$A:$D,4,0),)</f>
        <v>11.15</v>
      </c>
      <c r="H2114" s="449">
        <f>TRUNC(($F2114*$G2114),2)</f>
        <v>1.33</v>
      </c>
      <c r="I2114" s="262"/>
      <c r="J2114" s="262"/>
      <c r="K2114" s="262"/>
      <c r="L2114" s="262"/>
      <c r="M2114" s="262"/>
      <c r="N2114" s="262"/>
      <c r="O2114" s="262"/>
      <c r="P2114" s="262"/>
      <c r="Q2114" s="262"/>
      <c r="R2114" s="262"/>
      <c r="S2114" s="262"/>
      <c r="T2114" s="262"/>
      <c r="U2114" s="262"/>
      <c r="V2114" s="262"/>
      <c r="W2114" s="262"/>
      <c r="X2114" s="262"/>
      <c r="Y2114" s="262"/>
      <c r="Z2114" s="262"/>
      <c r="AA2114" s="262"/>
      <c r="AB2114" s="262"/>
    </row>
    <row r="2115" spans="1:31" ht="12.75">
      <c r="A2115" s="760" t="s">
        <v>14479</v>
      </c>
      <c r="B2115" s="761" t="s">
        <v>14491</v>
      </c>
      <c r="C2115" s="600" t="s">
        <v>15200</v>
      </c>
      <c r="D2115" s="601" t="str">
        <f>VLOOKUP($C2115,'09 - MC'!$A:$F,2,0)</f>
        <v xml:space="preserve">ARANDELA DE LUZ INDIRETA 72cm, Fluxo Luminoso STH9741BR/30: 1900lm </v>
      </c>
      <c r="E2115" s="602" t="str">
        <f>VLOOKUP($C2115,'09 - MC'!$A:$F,3,0)</f>
        <v>UN</v>
      </c>
      <c r="F2115" s="603">
        <v>1</v>
      </c>
      <c r="G2115" s="783">
        <f>VLOOKUP($C2115,'09 - MC'!$A:$F,6,0)</f>
        <v>599.87</v>
      </c>
      <c r="H2115" s="605">
        <f>TRUNC(G2115*F2115,2)</f>
        <v>599.87</v>
      </c>
      <c r="I2115" s="262"/>
      <c r="J2115" s="262"/>
      <c r="K2115" s="262"/>
      <c r="L2115" s="262"/>
      <c r="M2115" s="262"/>
      <c r="N2115" s="262"/>
      <c r="O2115" s="262"/>
      <c r="P2115" s="262"/>
      <c r="Q2115" s="262"/>
      <c r="R2115" s="262"/>
      <c r="S2115" s="262"/>
      <c r="T2115" s="262"/>
      <c r="U2115" s="262"/>
      <c r="V2115" s="262"/>
      <c r="W2115" s="262"/>
      <c r="X2115" s="262"/>
      <c r="Y2115" s="262"/>
      <c r="Z2115" s="262"/>
      <c r="AA2115" s="262"/>
      <c r="AB2115" s="262"/>
    </row>
    <row r="2116" spans="1:31" ht="12.75">
      <c r="A2116" s="686"/>
      <c r="B2116" s="687"/>
      <c r="C2116" s="688"/>
      <c r="D2116" s="689"/>
      <c r="E2116" s="690"/>
      <c r="F2116" s="691"/>
      <c r="G2116" s="690"/>
      <c r="H2116" s="692"/>
      <c r="I2116" s="262"/>
      <c r="J2116" s="262"/>
      <c r="K2116" s="262"/>
      <c r="L2116" s="262"/>
      <c r="M2116" s="262"/>
      <c r="N2116" s="262"/>
      <c r="O2116" s="262"/>
      <c r="P2116" s="262"/>
      <c r="Q2116" s="262"/>
      <c r="R2116" s="262"/>
      <c r="S2116" s="262"/>
      <c r="T2116" s="262"/>
      <c r="U2116" s="262"/>
      <c r="V2116" s="262"/>
      <c r="W2116" s="262"/>
      <c r="X2116" s="262"/>
      <c r="Y2116" s="262"/>
      <c r="Z2116" s="262"/>
      <c r="AA2116" s="262"/>
      <c r="AB2116" s="262"/>
    </row>
    <row r="2117" spans="1:31" ht="12.75">
      <c r="A2117" s="358" t="s">
        <v>14471</v>
      </c>
      <c r="B2117" s="359" t="s">
        <v>14472</v>
      </c>
      <c r="C2117" s="360" t="s">
        <v>15201</v>
      </c>
      <c r="D2117" s="361" t="s">
        <v>15202</v>
      </c>
      <c r="E2117" s="359" t="s">
        <v>6</v>
      </c>
      <c r="F2117" s="362"/>
      <c r="G2117" s="362"/>
      <c r="H2117" s="363">
        <f>TRUNC(SUM(H2119:H2122),2)</f>
        <v>167.89</v>
      </c>
      <c r="I2117" s="276">
        <f>COUNTIF($C$8:$C2117,C:C)</f>
        <v>1</v>
      </c>
      <c r="J2117" s="262"/>
      <c r="K2117" s="262"/>
      <c r="L2117" s="262"/>
      <c r="M2117" s="262"/>
      <c r="N2117" s="262"/>
      <c r="O2117" s="262"/>
      <c r="P2117" s="262"/>
      <c r="Q2117" s="262"/>
      <c r="R2117" s="262"/>
      <c r="S2117" s="262"/>
      <c r="T2117" s="262"/>
      <c r="U2117" s="262"/>
      <c r="V2117" s="262"/>
      <c r="W2117" s="262"/>
      <c r="X2117" s="262"/>
      <c r="Y2117" s="262"/>
      <c r="Z2117" s="262"/>
      <c r="AA2117" s="262"/>
      <c r="AB2117" s="262"/>
    </row>
    <row r="2118" spans="1:31" ht="12.75">
      <c r="A2118" s="646" t="s">
        <v>14475</v>
      </c>
      <c r="B2118" s="403" t="s">
        <v>14600</v>
      </c>
      <c r="C2118" s="404">
        <v>10351</v>
      </c>
      <c r="D2118" s="769" t="s">
        <v>14567</v>
      </c>
      <c r="E2118" s="405"/>
      <c r="F2118" s="369"/>
      <c r="G2118" s="370"/>
      <c r="H2118" s="371"/>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row>
    <row r="2119" spans="1:31" ht="25.5">
      <c r="A2119" s="586" t="s">
        <v>14478</v>
      </c>
      <c r="B2119" s="373" t="s">
        <v>14476</v>
      </c>
      <c r="C2119" s="374">
        <v>88247</v>
      </c>
      <c r="D2119" s="288" t="str">
        <f>IFERROR(VLOOKUP($C2119,'24.08_ND'!$A:$D,2,0),)</f>
        <v>AUXILIAR DE ELETRICISTA COM ENCARGOS COMPLEMENTARES</v>
      </c>
      <c r="E2119" s="289" t="str">
        <f>IFERROR(VLOOKUP($C2119,'24.08_ND'!$A:$D,3,0),)</f>
        <v>H</v>
      </c>
      <c r="F2119" s="441">
        <v>0.8</v>
      </c>
      <c r="G2119" s="291">
        <f>IFERROR(VLOOKUP($C2119,'24.08_ND'!$A:$D,4,0),)</f>
        <v>20</v>
      </c>
      <c r="H2119" s="423">
        <f>TRUNC(($F2119*$G2119),2)</f>
        <v>16</v>
      </c>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D2119" s="1791" t="e">
        <f>VLOOKUP(C2119,'Medição '!$B$16:$F$1833,6,0)</f>
        <v>#N/A</v>
      </c>
      <c r="AE2119" s="1791"/>
    </row>
    <row r="2120" spans="1:31" ht="25.5">
      <c r="A2120" s="586" t="s">
        <v>14478</v>
      </c>
      <c r="B2120" s="373" t="s">
        <v>14476</v>
      </c>
      <c r="C2120" s="374">
        <v>88264</v>
      </c>
      <c r="D2120" s="288" t="str">
        <f>IFERROR(VLOOKUP($C2120,'24.08_ND'!$A:$D,2,0),)</f>
        <v>ELETRICISTA COM ENCARGOS COMPLEMENTARES</v>
      </c>
      <c r="E2120" s="289" t="str">
        <f>IFERROR(VLOOKUP($C2120,'24.08_ND'!$A:$D,3,0),)</f>
        <v>H</v>
      </c>
      <c r="F2120" s="441">
        <v>0.8</v>
      </c>
      <c r="G2120" s="291">
        <f>IFERROR(VLOOKUP($C2120,'24.08_ND'!$A:$D,4,0),)</f>
        <v>24.3</v>
      </c>
      <c r="H2120" s="423">
        <f>TRUNC(($F2120*$G2120),2)</f>
        <v>19.440000000000001</v>
      </c>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D2120" s="1791" t="e">
        <f>VLOOKUP(C2120,'Medição '!$B$16:$F$1833,6,0)</f>
        <v>#N/A</v>
      </c>
      <c r="AE2120" s="1791"/>
    </row>
    <row r="2121" spans="1:31" ht="12.75">
      <c r="A2121" s="445" t="s">
        <v>14479</v>
      </c>
      <c r="B2121" s="446" t="s">
        <v>14476</v>
      </c>
      <c r="C2121" s="597">
        <v>404</v>
      </c>
      <c r="D2121" s="296" t="str">
        <f>IFERROR(VLOOKUP($C2121,'24.08_ND'!$A:$D,2,0),)</f>
        <v>FITA ISOLANTE DE BORRACHA AUTOFUSAO, USO ATE 69 KV (ALTA TENSAO)</v>
      </c>
      <c r="E2121" s="297" t="str">
        <f>IFERROR(VLOOKUP($C2121,'24.08_ND'!$A:$D,3,0),)</f>
        <v>M</v>
      </c>
      <c r="F2121" s="780">
        <v>0.12</v>
      </c>
      <c r="G2121" s="299">
        <f>IFERROR(VLOOKUP($C2121,'24.08_ND'!$A:$D,4,0),)</f>
        <v>1.51</v>
      </c>
      <c r="H2121" s="781">
        <f>TRUNC(($F2121*$G2121),2)</f>
        <v>0.18</v>
      </c>
      <c r="I2121" s="262"/>
      <c r="J2121" s="262"/>
      <c r="K2121" s="262"/>
      <c r="L2121" s="262"/>
      <c r="M2121" s="262"/>
      <c r="N2121" s="262"/>
      <c r="O2121" s="262"/>
      <c r="P2121" s="262"/>
      <c r="Q2121" s="262"/>
      <c r="R2121" s="262"/>
      <c r="S2121" s="262"/>
      <c r="T2121" s="262"/>
      <c r="U2121" s="262"/>
      <c r="V2121" s="262"/>
      <c r="W2121" s="262"/>
      <c r="X2121" s="262"/>
      <c r="Y2121" s="262"/>
      <c r="Z2121" s="262"/>
      <c r="AA2121" s="262"/>
      <c r="AB2121" s="262"/>
    </row>
    <row r="2122" spans="1:31" ht="12.75">
      <c r="A2122" s="760" t="s">
        <v>14479</v>
      </c>
      <c r="B2122" s="761" t="s">
        <v>14491</v>
      </c>
      <c r="C2122" s="600" t="s">
        <v>15203</v>
      </c>
      <c r="D2122" s="601" t="str">
        <f>VLOOKUP($C2122,'09 - MC'!$A:$F,2,0)</f>
        <v>ESPETO DE JARDIM LED 7W IP65 2700K BIVOLT BRILIA</v>
      </c>
      <c r="E2122" s="602" t="str">
        <f>VLOOKUP($C2122,'09 - MC'!$A:$F,3,0)</f>
        <v>UN</v>
      </c>
      <c r="F2122" s="603">
        <v>1</v>
      </c>
      <c r="G2122" s="604">
        <f>VLOOKUP($C2122,'09 - MC'!$A:$F,6,0)</f>
        <v>132.27000000000001</v>
      </c>
      <c r="H2122" s="605">
        <f>TRUNC(G2122*F2122,2)</f>
        <v>132.27000000000001</v>
      </c>
      <c r="I2122" s="262"/>
      <c r="J2122" s="262"/>
      <c r="K2122" s="262"/>
      <c r="L2122" s="262"/>
      <c r="M2122" s="262"/>
      <c r="N2122" s="262"/>
      <c r="O2122" s="262"/>
      <c r="P2122" s="262"/>
      <c r="Q2122" s="262"/>
      <c r="R2122" s="262"/>
      <c r="S2122" s="262"/>
      <c r="T2122" s="262"/>
      <c r="U2122" s="262"/>
      <c r="V2122" s="262"/>
      <c r="W2122" s="262"/>
      <c r="X2122" s="262"/>
      <c r="Y2122" s="262"/>
      <c r="Z2122" s="262"/>
      <c r="AA2122" s="262"/>
      <c r="AB2122" s="262"/>
    </row>
    <row r="2123" spans="1:31" ht="12.75">
      <c r="A2123" s="686"/>
      <c r="B2123" s="687"/>
      <c r="C2123" s="688"/>
      <c r="D2123" s="689"/>
      <c r="E2123" s="690"/>
      <c r="F2123" s="691"/>
      <c r="G2123" s="690"/>
      <c r="H2123" s="69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row>
    <row r="2124" spans="1:31" ht="25.5">
      <c r="A2124" s="358" t="s">
        <v>14471</v>
      </c>
      <c r="B2124" s="359" t="s">
        <v>14472</v>
      </c>
      <c r="C2124" s="360" t="s">
        <v>15204</v>
      </c>
      <c r="D2124" s="361" t="s">
        <v>15205</v>
      </c>
      <c r="E2124" s="359" t="s">
        <v>6</v>
      </c>
      <c r="F2124" s="784"/>
      <c r="G2124" s="402"/>
      <c r="H2124" s="363">
        <f>SUM(H2126:H2129)</f>
        <v>128.81</v>
      </c>
      <c r="I2124" s="276">
        <f>COUNTIF($C$8:$C2124,C:C)</f>
        <v>1</v>
      </c>
      <c r="J2124" s="262"/>
      <c r="K2124" s="262"/>
      <c r="L2124" s="262"/>
      <c r="M2124" s="262"/>
      <c r="N2124" s="262"/>
      <c r="O2124" s="262"/>
      <c r="P2124" s="262"/>
      <c r="Q2124" s="262"/>
      <c r="R2124" s="262"/>
      <c r="S2124" s="262"/>
      <c r="T2124" s="262"/>
      <c r="U2124" s="262"/>
      <c r="V2124" s="262"/>
      <c r="W2124" s="262"/>
      <c r="X2124" s="262"/>
      <c r="Y2124" s="262"/>
      <c r="Z2124" s="262"/>
      <c r="AA2124" s="262"/>
      <c r="AB2124" s="262"/>
    </row>
    <row r="2125" spans="1:31" ht="25.5">
      <c r="A2125" s="646" t="s">
        <v>14475</v>
      </c>
      <c r="B2125" s="403" t="s">
        <v>14522</v>
      </c>
      <c r="C2125" s="615" t="s">
        <v>15206</v>
      </c>
      <c r="D2125" s="769" t="s">
        <v>14567</v>
      </c>
      <c r="E2125" s="405"/>
      <c r="F2125" s="369"/>
      <c r="G2125" s="370"/>
      <c r="H2125" s="371"/>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row>
    <row r="2126" spans="1:31">
      <c r="A2126" s="785" t="s">
        <v>14478</v>
      </c>
      <c r="B2126" s="786" t="s">
        <v>14476</v>
      </c>
      <c r="C2126" s="594">
        <v>88264</v>
      </c>
      <c r="D2126" s="288" t="str">
        <f>IFERROR(VLOOKUP($C2126,'24.08_ND'!$A:$D,2,0),)</f>
        <v>ELETRICISTA COM ENCARGOS COMPLEMENTARES</v>
      </c>
      <c r="E2126" s="289" t="str">
        <f>IFERROR(VLOOKUP($C2126,'24.08_ND'!$A:$D,3,0),)</f>
        <v>H</v>
      </c>
      <c r="F2126" s="787">
        <v>0.8</v>
      </c>
      <c r="G2126" s="291">
        <f>IFERROR(VLOOKUP($C2126,'24.08_ND'!$A:$D,4,0),)</f>
        <v>24.3</v>
      </c>
      <c r="H2126" s="423">
        <f>TRUNC(($F2126*$G2126),2)</f>
        <v>19.440000000000001</v>
      </c>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D2126" s="1791" t="e">
        <f>VLOOKUP(C2126,'Medição '!$B$16:$F$1833,6,0)</f>
        <v>#N/A</v>
      </c>
      <c r="AE2126" s="1791"/>
    </row>
    <row r="2127" spans="1:31">
      <c r="A2127" s="785" t="s">
        <v>14478</v>
      </c>
      <c r="B2127" s="786" t="s">
        <v>14476</v>
      </c>
      <c r="C2127" s="374">
        <v>88247</v>
      </c>
      <c r="D2127" s="288" t="str">
        <f>IFERROR(VLOOKUP($C2127,'24.08_ND'!$A:$D,2,0),)</f>
        <v>AUXILIAR DE ELETRICISTA COM ENCARGOS COMPLEMENTARES</v>
      </c>
      <c r="E2127" s="289" t="str">
        <f>IFERROR(VLOOKUP($C2127,'24.08_ND'!$A:$D,3,0),)</f>
        <v>H</v>
      </c>
      <c r="F2127" s="787">
        <v>0.8</v>
      </c>
      <c r="G2127" s="291">
        <f>IFERROR(VLOOKUP($C2127,'24.08_ND'!$A:$D,4,0),)</f>
        <v>20</v>
      </c>
      <c r="H2127" s="423">
        <f>TRUNC(($F2127*$G2127),2)</f>
        <v>16</v>
      </c>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D2127" s="1791" t="e">
        <f>VLOOKUP(C2127,'Medição '!$B$16:$F$1833,6,0)</f>
        <v>#N/A</v>
      </c>
      <c r="AE2127" s="1791"/>
    </row>
    <row r="2128" spans="1:31" ht="12.75">
      <c r="A2128" s="445" t="s">
        <v>14479</v>
      </c>
      <c r="B2128" s="446" t="s">
        <v>14476</v>
      </c>
      <c r="C2128" s="597">
        <v>404</v>
      </c>
      <c r="D2128" s="296" t="str">
        <f>IFERROR(VLOOKUP($C2128,'24.08_ND'!$A:$D,2,0),)</f>
        <v>FITA ISOLANTE DE BORRACHA AUTOFUSAO, USO ATE 69 KV (ALTA TENSAO)</v>
      </c>
      <c r="E2128" s="297" t="str">
        <f>IFERROR(VLOOKUP($C2128,'24.08_ND'!$A:$D,3,0),)</f>
        <v>M</v>
      </c>
      <c r="F2128" s="780">
        <v>0.12</v>
      </c>
      <c r="G2128" s="299">
        <f>IFERROR(VLOOKUP($C2128,'24.08_ND'!$A:$D,4,0),)</f>
        <v>1.51</v>
      </c>
      <c r="H2128" s="781">
        <f>TRUNC(($F2128*$G2128),2)</f>
        <v>0.18</v>
      </c>
      <c r="I2128" s="262"/>
      <c r="J2128" s="262"/>
      <c r="K2128" s="262"/>
      <c r="L2128" s="262"/>
      <c r="M2128" s="262"/>
      <c r="N2128" s="262"/>
      <c r="O2128" s="262"/>
      <c r="P2128" s="262"/>
      <c r="Q2128" s="262"/>
      <c r="R2128" s="262"/>
      <c r="S2128" s="262"/>
      <c r="T2128" s="262"/>
      <c r="U2128" s="262"/>
      <c r="V2128" s="262"/>
      <c r="W2128" s="262"/>
      <c r="X2128" s="262"/>
      <c r="Y2128" s="262"/>
      <c r="Z2128" s="262"/>
      <c r="AA2128" s="262"/>
      <c r="AB2128" s="262"/>
    </row>
    <row r="2129" spans="1:31" ht="12.75">
      <c r="A2129" s="788" t="s">
        <v>14479</v>
      </c>
      <c r="B2129" s="761" t="s">
        <v>14491</v>
      </c>
      <c r="C2129" s="614" t="s">
        <v>15207</v>
      </c>
      <c r="D2129" s="789" t="str">
        <f>VLOOKUP($C2129,'09 - MC'!$A:$F,2,0)</f>
        <v>SPOT LED BALIZADOR CHÃO PISO 5W EMBUTIR BRANCO QUENTE 3000K</v>
      </c>
      <c r="E2129" s="604" t="str">
        <f>VLOOKUP($C2129,'09 - MC'!$A:$F,3,0)</f>
        <v>UN</v>
      </c>
      <c r="F2129" s="603">
        <v>1</v>
      </c>
      <c r="G2129" s="604">
        <f>VLOOKUP(C2129,'09 - MC'!$A:$F,6,FALSE)</f>
        <v>93.19</v>
      </c>
      <c r="H2129" s="605">
        <f>TRUNC(G2129*F2129,2)</f>
        <v>93.19</v>
      </c>
      <c r="I2129" s="262"/>
      <c r="J2129" s="262"/>
      <c r="K2129" s="262"/>
      <c r="L2129" s="262"/>
      <c r="M2129" s="262"/>
      <c r="N2129" s="262"/>
      <c r="O2129" s="262"/>
      <c r="P2129" s="262"/>
      <c r="Q2129" s="262"/>
      <c r="R2129" s="262"/>
      <c r="S2129" s="262"/>
      <c r="T2129" s="262"/>
      <c r="U2129" s="262"/>
      <c r="V2129" s="262"/>
      <c r="W2129" s="262"/>
      <c r="X2129" s="262"/>
      <c r="Y2129" s="262"/>
      <c r="Z2129" s="262"/>
      <c r="AA2129" s="262"/>
      <c r="AB2129" s="262"/>
    </row>
    <row r="2130" spans="1:31" ht="12.75">
      <c r="A2130" s="686"/>
      <c r="B2130" s="687"/>
      <c r="C2130" s="688"/>
      <c r="D2130" s="689"/>
      <c r="E2130" s="690"/>
      <c r="F2130" s="691"/>
      <c r="G2130" s="690"/>
      <c r="H2130" s="69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row>
    <row r="2131" spans="1:31" ht="25.5">
      <c r="A2131" s="358" t="s">
        <v>14471</v>
      </c>
      <c r="B2131" s="359" t="s">
        <v>14472</v>
      </c>
      <c r="C2131" s="360" t="s">
        <v>15208</v>
      </c>
      <c r="D2131" s="361" t="s">
        <v>15209</v>
      </c>
      <c r="E2131" s="359" t="s">
        <v>6</v>
      </c>
      <c r="F2131" s="784"/>
      <c r="G2131" s="402"/>
      <c r="H2131" s="363">
        <f>SUM(H2133:H2136)</f>
        <v>110.80000000000001</v>
      </c>
      <c r="I2131" s="276">
        <f>COUNTIF($C$8:$C2131,C:C)</f>
        <v>1</v>
      </c>
      <c r="J2131" s="262"/>
      <c r="K2131" s="262"/>
      <c r="L2131" s="262"/>
      <c r="M2131" s="262"/>
      <c r="N2131" s="262"/>
      <c r="O2131" s="262"/>
      <c r="P2131" s="262"/>
      <c r="Q2131" s="262"/>
      <c r="R2131" s="262"/>
      <c r="S2131" s="262"/>
      <c r="T2131" s="262"/>
      <c r="U2131" s="262"/>
      <c r="V2131" s="262"/>
      <c r="W2131" s="262"/>
      <c r="X2131" s="262"/>
      <c r="Y2131" s="262"/>
      <c r="Z2131" s="262"/>
      <c r="AA2131" s="262"/>
      <c r="AB2131" s="262"/>
    </row>
    <row r="2132" spans="1:31" ht="25.5">
      <c r="A2132" s="646" t="s">
        <v>14475</v>
      </c>
      <c r="B2132" s="403" t="s">
        <v>14522</v>
      </c>
      <c r="C2132" s="615" t="s">
        <v>15206</v>
      </c>
      <c r="D2132" s="769" t="s">
        <v>14567</v>
      </c>
      <c r="E2132" s="405"/>
      <c r="F2132" s="369"/>
      <c r="G2132" s="370"/>
      <c r="H2132" s="371"/>
      <c r="I2132" s="262"/>
      <c r="J2132" s="262"/>
      <c r="K2132" s="262"/>
      <c r="L2132" s="262"/>
      <c r="M2132" s="262"/>
      <c r="N2132" s="262"/>
      <c r="O2132" s="262"/>
      <c r="P2132" s="262"/>
      <c r="Q2132" s="262"/>
      <c r="R2132" s="262"/>
      <c r="S2132" s="262"/>
      <c r="T2132" s="262"/>
      <c r="U2132" s="262"/>
      <c r="V2132" s="262"/>
      <c r="W2132" s="262"/>
      <c r="X2132" s="262"/>
      <c r="Y2132" s="262"/>
      <c r="Z2132" s="262"/>
      <c r="AA2132" s="262"/>
      <c r="AB2132" s="262"/>
    </row>
    <row r="2133" spans="1:31">
      <c r="A2133" s="785" t="s">
        <v>14478</v>
      </c>
      <c r="B2133" s="786" t="s">
        <v>14476</v>
      </c>
      <c r="C2133" s="594">
        <v>88264</v>
      </c>
      <c r="D2133" s="288" t="str">
        <f>IFERROR(VLOOKUP($C2133,'24.08_ND'!$A:$D,2,0),)</f>
        <v>ELETRICISTA COM ENCARGOS COMPLEMENTARES</v>
      </c>
      <c r="E2133" s="289" t="str">
        <f>IFERROR(VLOOKUP($C2133,'24.08_ND'!$A:$D,3,0),)</f>
        <v>H</v>
      </c>
      <c r="F2133" s="787">
        <v>0.8</v>
      </c>
      <c r="G2133" s="291">
        <f>IFERROR(VLOOKUP($C2133,'24.08_ND'!$A:$D,4,0),)</f>
        <v>24.3</v>
      </c>
      <c r="H2133" s="423">
        <f>TRUNC(($F2133*$G2133),2)</f>
        <v>19.440000000000001</v>
      </c>
      <c r="I2133" s="262"/>
      <c r="J2133" s="262"/>
      <c r="K2133" s="262"/>
      <c r="L2133" s="262"/>
      <c r="M2133" s="262"/>
      <c r="N2133" s="262"/>
      <c r="O2133" s="262"/>
      <c r="P2133" s="262"/>
      <c r="Q2133" s="262"/>
      <c r="R2133" s="262"/>
      <c r="S2133" s="262"/>
      <c r="T2133" s="262"/>
      <c r="U2133" s="262"/>
      <c r="V2133" s="262"/>
      <c r="W2133" s="262"/>
      <c r="X2133" s="262"/>
      <c r="Y2133" s="262"/>
      <c r="Z2133" s="262"/>
      <c r="AA2133" s="262"/>
      <c r="AB2133" s="262"/>
      <c r="AD2133" s="1791" t="e">
        <f>VLOOKUP(C2133,'Medição '!$B$16:$F$1833,6,0)</f>
        <v>#N/A</v>
      </c>
      <c r="AE2133" s="1791"/>
    </row>
    <row r="2134" spans="1:31">
      <c r="A2134" s="785" t="s">
        <v>14478</v>
      </c>
      <c r="B2134" s="786" t="s">
        <v>14476</v>
      </c>
      <c r="C2134" s="374">
        <v>88247</v>
      </c>
      <c r="D2134" s="288" t="str">
        <f>IFERROR(VLOOKUP($C2134,'24.08_ND'!$A:$D,2,0),)</f>
        <v>AUXILIAR DE ELETRICISTA COM ENCARGOS COMPLEMENTARES</v>
      </c>
      <c r="E2134" s="289" t="str">
        <f>IFERROR(VLOOKUP($C2134,'24.08_ND'!$A:$D,3,0),)</f>
        <v>H</v>
      </c>
      <c r="F2134" s="787">
        <v>0.8</v>
      </c>
      <c r="G2134" s="291">
        <f>IFERROR(VLOOKUP($C2134,'24.08_ND'!$A:$D,4,0),)</f>
        <v>20</v>
      </c>
      <c r="H2134" s="423">
        <f>TRUNC(($F2134*$G2134),2)</f>
        <v>16</v>
      </c>
      <c r="I2134" s="262"/>
      <c r="J2134" s="262"/>
      <c r="K2134" s="262"/>
      <c r="L2134" s="262"/>
      <c r="M2134" s="262"/>
      <c r="N2134" s="262"/>
      <c r="O2134" s="262"/>
      <c r="P2134" s="262"/>
      <c r="Q2134" s="262"/>
      <c r="R2134" s="262"/>
      <c r="S2134" s="262"/>
      <c r="T2134" s="262"/>
      <c r="U2134" s="262"/>
      <c r="V2134" s="262"/>
      <c r="W2134" s="262"/>
      <c r="X2134" s="262"/>
      <c r="Y2134" s="262"/>
      <c r="Z2134" s="262"/>
      <c r="AA2134" s="262"/>
      <c r="AB2134" s="262"/>
      <c r="AD2134" s="1791" t="e">
        <f>VLOOKUP(C2134,'Medição '!$B$16:$F$1833,6,0)</f>
        <v>#N/A</v>
      </c>
      <c r="AE2134" s="1791"/>
    </row>
    <row r="2135" spans="1:31" ht="12.75">
      <c r="A2135" s="445" t="s">
        <v>14479</v>
      </c>
      <c r="B2135" s="446" t="s">
        <v>14476</v>
      </c>
      <c r="C2135" s="597">
        <v>404</v>
      </c>
      <c r="D2135" s="296" t="str">
        <f>IFERROR(VLOOKUP($C2135,'24.08_ND'!$A:$D,2,0),)</f>
        <v>FITA ISOLANTE DE BORRACHA AUTOFUSAO, USO ATE 69 KV (ALTA TENSAO)</v>
      </c>
      <c r="E2135" s="297" t="str">
        <f>IFERROR(VLOOKUP($C2135,'24.08_ND'!$A:$D,3,0),)</f>
        <v>M</v>
      </c>
      <c r="F2135" s="780">
        <v>0.12</v>
      </c>
      <c r="G2135" s="299">
        <f>IFERROR(VLOOKUP($C2135,'24.08_ND'!$A:$D,4,0),)</f>
        <v>1.51</v>
      </c>
      <c r="H2135" s="781">
        <f>TRUNC(($F2135*$G2135),2)</f>
        <v>0.18</v>
      </c>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row>
    <row r="2136" spans="1:31" ht="12.75">
      <c r="A2136" s="788" t="s">
        <v>14479</v>
      </c>
      <c r="B2136" s="761" t="s">
        <v>14491</v>
      </c>
      <c r="C2136" s="614" t="s">
        <v>15210</v>
      </c>
      <c r="D2136" s="789" t="str">
        <f>VLOOKUP($C2136,'09 - MC'!$A:$F,2,0)</f>
        <v>BALIZADOR PAREDE EXTERNO EMBUTIDO QUADRADO LED LUP51</v>
      </c>
      <c r="E2136" s="604" t="str">
        <f>VLOOKUP($C2136,'09 - MC'!$A:$F,3,0)</f>
        <v>UN</v>
      </c>
      <c r="F2136" s="603">
        <v>1</v>
      </c>
      <c r="G2136" s="604">
        <f>VLOOKUP(C2136,'09 - MC'!$A:$F,6,FALSE)</f>
        <v>75.180000000000007</v>
      </c>
      <c r="H2136" s="605">
        <f>TRUNC(G2136*F2136,2)</f>
        <v>75.180000000000007</v>
      </c>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row>
    <row r="2137" spans="1:31" ht="12.75">
      <c r="A2137" s="686"/>
      <c r="B2137" s="687"/>
      <c r="C2137" s="688"/>
      <c r="D2137" s="689"/>
      <c r="E2137" s="690"/>
      <c r="F2137" s="691"/>
      <c r="G2137" s="690"/>
      <c r="H2137" s="69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row>
    <row r="2138" spans="1:31" ht="25.5">
      <c r="A2138" s="358" t="s">
        <v>14471</v>
      </c>
      <c r="B2138" s="359" t="s">
        <v>14472</v>
      </c>
      <c r="C2138" s="360" t="s">
        <v>15211</v>
      </c>
      <c r="D2138" s="361" t="s">
        <v>15212</v>
      </c>
      <c r="E2138" s="359" t="s">
        <v>6</v>
      </c>
      <c r="F2138" s="362"/>
      <c r="G2138" s="362"/>
      <c r="H2138" s="363">
        <f>TRUNC(SUM(H2140:H2143),2)</f>
        <v>75.319999999999993</v>
      </c>
      <c r="I2138" s="276">
        <f>COUNTIF($C$8:$C2138,C:C)</f>
        <v>1</v>
      </c>
      <c r="J2138" s="262"/>
      <c r="K2138" s="262"/>
      <c r="L2138" s="262"/>
      <c r="M2138" s="262"/>
      <c r="N2138" s="262"/>
      <c r="O2138" s="262"/>
      <c r="P2138" s="262"/>
      <c r="Q2138" s="262"/>
      <c r="R2138" s="262"/>
      <c r="S2138" s="262"/>
      <c r="T2138" s="262"/>
      <c r="U2138" s="262"/>
      <c r="V2138" s="262"/>
      <c r="W2138" s="262"/>
      <c r="X2138" s="262"/>
      <c r="Y2138" s="262"/>
      <c r="Z2138" s="262"/>
      <c r="AA2138" s="262"/>
      <c r="AB2138" s="262"/>
    </row>
    <row r="2139" spans="1:31" ht="12.75">
      <c r="A2139" s="646" t="s">
        <v>14475</v>
      </c>
      <c r="B2139" s="403" t="s">
        <v>14600</v>
      </c>
      <c r="C2139" s="404">
        <v>10352</v>
      </c>
      <c r="D2139" s="769" t="s">
        <v>14567</v>
      </c>
      <c r="E2139" s="641"/>
      <c r="F2139" s="369"/>
      <c r="G2139" s="370"/>
      <c r="H2139" s="371"/>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row>
    <row r="2140" spans="1:31" ht="25.5">
      <c r="A2140" s="586" t="s">
        <v>14478</v>
      </c>
      <c r="B2140" s="373" t="s">
        <v>14476</v>
      </c>
      <c r="C2140" s="594">
        <v>88264</v>
      </c>
      <c r="D2140" s="288" t="str">
        <f>IFERROR(VLOOKUP($C2140,'24.08_ND'!$A:$D,2,0),)</f>
        <v>ELETRICISTA COM ENCARGOS COMPLEMENTARES</v>
      </c>
      <c r="E2140" s="289" t="str">
        <f>IFERROR(VLOOKUP($C2140,'24.08_ND'!$A:$D,3,0),)</f>
        <v>H</v>
      </c>
      <c r="F2140" s="441">
        <v>0.6</v>
      </c>
      <c r="G2140" s="291">
        <f>IFERROR(VLOOKUP($C2140,'24.08_ND'!$A:$D,4,0),)</f>
        <v>24.3</v>
      </c>
      <c r="H2140" s="440">
        <f>TRUNC(($F2140*$G2140),2)</f>
        <v>14.58</v>
      </c>
      <c r="I2140" s="262"/>
      <c r="J2140" s="262"/>
      <c r="K2140" s="262"/>
      <c r="L2140" s="262"/>
      <c r="M2140" s="262"/>
      <c r="N2140" s="262"/>
      <c r="O2140" s="262"/>
      <c r="P2140" s="262"/>
      <c r="Q2140" s="262"/>
      <c r="R2140" s="262"/>
      <c r="S2140" s="262"/>
      <c r="T2140" s="262"/>
      <c r="U2140" s="262"/>
      <c r="V2140" s="262"/>
      <c r="W2140" s="262"/>
      <c r="X2140" s="262"/>
      <c r="Y2140" s="262"/>
      <c r="Z2140" s="262"/>
      <c r="AA2140" s="262"/>
      <c r="AB2140" s="262"/>
      <c r="AD2140" s="1791" t="e">
        <f>VLOOKUP(C2140,'Medição '!$B$16:$F$1833,6,0)</f>
        <v>#N/A</v>
      </c>
      <c r="AE2140" s="1791"/>
    </row>
    <row r="2141" spans="1:31" ht="25.5">
      <c r="A2141" s="586" t="s">
        <v>14478</v>
      </c>
      <c r="B2141" s="373" t="s">
        <v>14476</v>
      </c>
      <c r="C2141" s="374">
        <v>88247</v>
      </c>
      <c r="D2141" s="288" t="str">
        <f>IFERROR(VLOOKUP($C2141,'24.08_ND'!$A:$D,2,0),)</f>
        <v>AUXILIAR DE ELETRICISTA COM ENCARGOS COMPLEMENTARES</v>
      </c>
      <c r="E2141" s="289" t="str">
        <f>IFERROR(VLOOKUP($C2141,'24.08_ND'!$A:$D,3,0),)</f>
        <v>H</v>
      </c>
      <c r="F2141" s="441">
        <v>0.6</v>
      </c>
      <c r="G2141" s="291">
        <f>IFERROR(VLOOKUP($C2141,'24.08_ND'!$A:$D,4,0),)</f>
        <v>20</v>
      </c>
      <c r="H2141" s="440">
        <f>TRUNC(($F2141*$G2141),2)</f>
        <v>12</v>
      </c>
      <c r="I2141" s="262"/>
      <c r="J2141" s="262"/>
      <c r="K2141" s="262"/>
      <c r="L2141" s="262"/>
      <c r="M2141" s="262"/>
      <c r="N2141" s="262"/>
      <c r="O2141" s="262"/>
      <c r="P2141" s="262"/>
      <c r="Q2141" s="262"/>
      <c r="R2141" s="262"/>
      <c r="S2141" s="262"/>
      <c r="T2141" s="262"/>
      <c r="U2141" s="262"/>
      <c r="V2141" s="262"/>
      <c r="W2141" s="262"/>
      <c r="X2141" s="262"/>
      <c r="Y2141" s="262"/>
      <c r="Z2141" s="262"/>
      <c r="AA2141" s="262"/>
      <c r="AB2141" s="262"/>
      <c r="AD2141" s="1791" t="e">
        <f>VLOOKUP(C2141,'Medição '!$B$16:$F$1833,6,0)</f>
        <v>#N/A</v>
      </c>
      <c r="AE2141" s="1791"/>
    </row>
    <row r="2142" spans="1:31" ht="12.75">
      <c r="A2142" s="445" t="s">
        <v>14479</v>
      </c>
      <c r="B2142" s="446" t="s">
        <v>14476</v>
      </c>
      <c r="C2142" s="597">
        <v>404</v>
      </c>
      <c r="D2142" s="296" t="str">
        <f>IFERROR(VLOOKUP($C2142,'24.08_ND'!$A:$D,2,0),)</f>
        <v>FITA ISOLANTE DE BORRACHA AUTOFUSAO, USO ATE 69 KV (ALTA TENSAO)</v>
      </c>
      <c r="E2142" s="297" t="str">
        <f>IFERROR(VLOOKUP($C2142,'24.08_ND'!$A:$D,3,0),)</f>
        <v>M</v>
      </c>
      <c r="F2142" s="780">
        <v>0.12</v>
      </c>
      <c r="G2142" s="299">
        <f>IFERROR(VLOOKUP($C2142,'24.08_ND'!$A:$D,4,0),)</f>
        <v>1.51</v>
      </c>
      <c r="H2142" s="781">
        <f>TRUNC(($F2142*$G2142),2)</f>
        <v>0.18</v>
      </c>
      <c r="I2142" s="262"/>
      <c r="J2142" s="262"/>
      <c r="K2142" s="262"/>
      <c r="L2142" s="262"/>
      <c r="M2142" s="262"/>
      <c r="N2142" s="262"/>
      <c r="O2142" s="262"/>
      <c r="P2142" s="262"/>
      <c r="Q2142" s="262"/>
      <c r="R2142" s="262"/>
      <c r="S2142" s="262"/>
      <c r="T2142" s="262"/>
      <c r="U2142" s="262"/>
      <c r="V2142" s="262"/>
      <c r="W2142" s="262"/>
      <c r="X2142" s="262"/>
      <c r="Y2142" s="262"/>
      <c r="Z2142" s="262"/>
      <c r="AA2142" s="262"/>
      <c r="AB2142" s="262"/>
    </row>
    <row r="2143" spans="1:31" ht="12.75">
      <c r="A2143" s="788" t="s">
        <v>14479</v>
      </c>
      <c r="B2143" s="761" t="s">
        <v>14491</v>
      </c>
      <c r="C2143" s="614" t="s">
        <v>15213</v>
      </c>
      <c r="D2143" s="789" t="str">
        <f>VLOOKUP($C2143,'09 - MC'!$A:$F,2,0)</f>
        <v>LUMINÁRIA TIPO SPOT LED PAR20, EMBUTIR, 6W OU 9W, 4000K A 4500K</v>
      </c>
      <c r="E2143" s="604" t="str">
        <f>VLOOKUP($C2143,'09 - MC'!$A:$F,3,0)</f>
        <v>UN</v>
      </c>
      <c r="F2143" s="603">
        <v>1</v>
      </c>
      <c r="G2143" s="604">
        <f>VLOOKUP(C2143,'09 - MC'!$A:$F,6,FALSE)</f>
        <v>48.56</v>
      </c>
      <c r="H2143" s="605">
        <f>TRUNC(G2143*F2143,2)</f>
        <v>48.56</v>
      </c>
      <c r="I2143" s="262"/>
      <c r="J2143" s="262"/>
      <c r="K2143" s="262"/>
      <c r="L2143" s="262"/>
      <c r="M2143" s="262"/>
      <c r="N2143" s="262"/>
      <c r="O2143" s="262"/>
      <c r="P2143" s="262"/>
      <c r="Q2143" s="262"/>
      <c r="R2143" s="262"/>
      <c r="S2143" s="262"/>
      <c r="T2143" s="262"/>
      <c r="U2143" s="262"/>
      <c r="V2143" s="262"/>
      <c r="W2143" s="262"/>
      <c r="X2143" s="262"/>
      <c r="Y2143" s="262"/>
      <c r="Z2143" s="262"/>
      <c r="AA2143" s="262"/>
      <c r="AB2143" s="262"/>
    </row>
    <row r="2144" spans="1:31" ht="12.75">
      <c r="A2144" s="686"/>
      <c r="B2144" s="687"/>
      <c r="C2144" s="688"/>
      <c r="D2144" s="689"/>
      <c r="E2144" s="690"/>
      <c r="F2144" s="691"/>
      <c r="G2144" s="690"/>
      <c r="H2144" s="692"/>
      <c r="I2144" s="262"/>
      <c r="J2144" s="262"/>
      <c r="K2144" s="262"/>
      <c r="L2144" s="262"/>
      <c r="M2144" s="262"/>
      <c r="N2144" s="262"/>
      <c r="O2144" s="262"/>
      <c r="P2144" s="262"/>
      <c r="Q2144" s="262"/>
      <c r="R2144" s="262"/>
      <c r="S2144" s="262"/>
      <c r="T2144" s="262"/>
      <c r="U2144" s="262"/>
      <c r="V2144" s="262"/>
      <c r="W2144" s="262"/>
      <c r="X2144" s="262"/>
      <c r="Y2144" s="262"/>
      <c r="Z2144" s="262"/>
      <c r="AA2144" s="262"/>
      <c r="AB2144" s="262"/>
    </row>
    <row r="2145" spans="1:31" ht="12.75">
      <c r="A2145" s="358" t="s">
        <v>14471</v>
      </c>
      <c r="B2145" s="359" t="s">
        <v>14472</v>
      </c>
      <c r="C2145" s="360" t="s">
        <v>15214</v>
      </c>
      <c r="D2145" s="361" t="s">
        <v>15215</v>
      </c>
      <c r="E2145" s="359" t="s">
        <v>6</v>
      </c>
      <c r="F2145" s="362"/>
      <c r="G2145" s="362"/>
      <c r="H2145" s="363">
        <f>TRUNC(SUM(H2147:H2150),2)</f>
        <v>212.21</v>
      </c>
      <c r="I2145" s="276">
        <f>COUNTIF($C$8:$C2145,C:C)</f>
        <v>1</v>
      </c>
      <c r="J2145" s="262"/>
      <c r="K2145" s="262"/>
      <c r="L2145" s="262"/>
      <c r="M2145" s="262"/>
      <c r="N2145" s="262"/>
      <c r="O2145" s="262"/>
      <c r="P2145" s="262"/>
      <c r="Q2145" s="262"/>
      <c r="R2145" s="262"/>
      <c r="S2145" s="262"/>
      <c r="T2145" s="262"/>
      <c r="U2145" s="262"/>
      <c r="V2145" s="262"/>
      <c r="W2145" s="262"/>
      <c r="X2145" s="262"/>
      <c r="Y2145" s="262"/>
      <c r="Z2145" s="262"/>
      <c r="AA2145" s="262"/>
      <c r="AB2145" s="262"/>
    </row>
    <row r="2146" spans="1:31" ht="12.75">
      <c r="A2146" s="646" t="s">
        <v>14475</v>
      </c>
      <c r="B2146" s="403" t="s">
        <v>14600</v>
      </c>
      <c r="C2146" s="404">
        <v>13672</v>
      </c>
      <c r="D2146" s="769" t="s">
        <v>14567</v>
      </c>
      <c r="E2146" s="641"/>
      <c r="F2146" s="369"/>
      <c r="G2146" s="370"/>
      <c r="H2146" s="371"/>
      <c r="I2146" s="262"/>
      <c r="J2146" s="262"/>
      <c r="K2146" s="262"/>
      <c r="L2146" s="262"/>
      <c r="M2146" s="262"/>
      <c r="N2146" s="262"/>
      <c r="O2146" s="262"/>
      <c r="P2146" s="262"/>
      <c r="Q2146" s="262"/>
      <c r="R2146" s="262"/>
      <c r="S2146" s="262"/>
      <c r="T2146" s="262"/>
      <c r="U2146" s="262"/>
      <c r="V2146" s="262"/>
      <c r="W2146" s="262"/>
      <c r="X2146" s="262"/>
      <c r="Y2146" s="262"/>
      <c r="Z2146" s="262"/>
      <c r="AA2146" s="262"/>
      <c r="AB2146" s="262"/>
    </row>
    <row r="2147" spans="1:31" ht="25.5">
      <c r="A2147" s="586" t="s">
        <v>14478</v>
      </c>
      <c r="B2147" s="373" t="s">
        <v>14476</v>
      </c>
      <c r="C2147" s="594">
        <v>88264</v>
      </c>
      <c r="D2147" s="288" t="str">
        <f>IFERROR(VLOOKUP($C2147,'24.08_ND'!$A:$D,2,0),)</f>
        <v>ELETRICISTA COM ENCARGOS COMPLEMENTARES</v>
      </c>
      <c r="E2147" s="289" t="str">
        <f>IFERROR(VLOOKUP($C2147,'24.08_ND'!$A:$D,3,0),)</f>
        <v>H</v>
      </c>
      <c r="F2147" s="441">
        <v>0.5</v>
      </c>
      <c r="G2147" s="291">
        <f>IFERROR(VLOOKUP($C2147,'24.08_ND'!$A:$D,4,0),)</f>
        <v>24.3</v>
      </c>
      <c r="H2147" s="440">
        <f>TRUNC(($F2147*$G2147),2)</f>
        <v>12.15</v>
      </c>
      <c r="I2147" s="262"/>
      <c r="J2147" s="262"/>
      <c r="K2147" s="262"/>
      <c r="L2147" s="262"/>
      <c r="M2147" s="262"/>
      <c r="N2147" s="262"/>
      <c r="O2147" s="262"/>
      <c r="P2147" s="262"/>
      <c r="Q2147" s="262"/>
      <c r="R2147" s="262"/>
      <c r="S2147" s="262"/>
      <c r="T2147" s="262"/>
      <c r="U2147" s="262"/>
      <c r="V2147" s="262"/>
      <c r="W2147" s="262"/>
      <c r="X2147" s="262"/>
      <c r="Y2147" s="262"/>
      <c r="Z2147" s="262"/>
      <c r="AA2147" s="262"/>
      <c r="AB2147" s="262"/>
      <c r="AD2147" s="1791" t="e">
        <f>VLOOKUP(C2147,'Medição '!$B$16:$F$1833,6,0)</f>
        <v>#N/A</v>
      </c>
      <c r="AE2147" s="1791"/>
    </row>
    <row r="2148" spans="1:31" ht="25.5">
      <c r="A2148" s="586" t="s">
        <v>14478</v>
      </c>
      <c r="B2148" s="373" t="s">
        <v>14476</v>
      </c>
      <c r="C2148" s="374">
        <v>88247</v>
      </c>
      <c r="D2148" s="288" t="str">
        <f>IFERROR(VLOOKUP($C2148,'24.08_ND'!$A:$D,2,0),)</f>
        <v>AUXILIAR DE ELETRICISTA COM ENCARGOS COMPLEMENTARES</v>
      </c>
      <c r="E2148" s="289" t="str">
        <f>IFERROR(VLOOKUP($C2148,'24.08_ND'!$A:$D,3,0),)</f>
        <v>H</v>
      </c>
      <c r="F2148" s="441">
        <v>0.5</v>
      </c>
      <c r="G2148" s="291">
        <f>IFERROR(VLOOKUP($C2148,'24.08_ND'!$A:$D,4,0),)</f>
        <v>20</v>
      </c>
      <c r="H2148" s="440">
        <f>TRUNC(($F2148*$G2148),2)</f>
        <v>10</v>
      </c>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D2148" s="1791" t="e">
        <f>VLOOKUP(C2148,'Medição '!$B$16:$F$1833,6,0)</f>
        <v>#N/A</v>
      </c>
      <c r="AE2148" s="1791"/>
    </row>
    <row r="2149" spans="1:31" ht="12.75">
      <c r="A2149" s="445" t="s">
        <v>14479</v>
      </c>
      <c r="B2149" s="446" t="s">
        <v>14476</v>
      </c>
      <c r="C2149" s="597">
        <v>404</v>
      </c>
      <c r="D2149" s="296" t="str">
        <f>IFERROR(VLOOKUP($C2149,'24.08_ND'!$A:$D,2,0),)</f>
        <v>FITA ISOLANTE DE BORRACHA AUTOFUSAO, USO ATE 69 KV (ALTA TENSAO)</v>
      </c>
      <c r="E2149" s="297" t="str">
        <f>IFERROR(VLOOKUP($C2149,'24.08_ND'!$A:$D,3,0),)</f>
        <v>M</v>
      </c>
      <c r="F2149" s="780">
        <v>0.12</v>
      </c>
      <c r="G2149" s="299">
        <f>IFERROR(VLOOKUP($C2149,'24.08_ND'!$A:$D,4,0),)</f>
        <v>1.51</v>
      </c>
      <c r="H2149" s="781">
        <f>TRUNC(($F2149*$G2149),2)</f>
        <v>0.18</v>
      </c>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row>
    <row r="2150" spans="1:31" ht="12.75">
      <c r="A2150" s="788" t="s">
        <v>14479</v>
      </c>
      <c r="B2150" s="761" t="s">
        <v>14491</v>
      </c>
      <c r="C2150" s="614" t="s">
        <v>15216</v>
      </c>
      <c r="D2150" s="789" t="str">
        <f>VLOOKUP($C2150,'09 - MC'!$A:$F,2,0)</f>
        <v>LUMINÁRIA 32W LED LINEAR 4000K</v>
      </c>
      <c r="E2150" s="604" t="str">
        <f>VLOOKUP($C2150,'09 - MC'!$A:$F,3,0)</f>
        <v>UN</v>
      </c>
      <c r="F2150" s="603">
        <v>1</v>
      </c>
      <c r="G2150" s="604">
        <f>VLOOKUP(C2150,'09 - MC'!$A:$F,6,FALSE)</f>
        <v>189.88</v>
      </c>
      <c r="H2150" s="605">
        <f>TRUNC(G2150*F2150,2)</f>
        <v>189.88</v>
      </c>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row>
    <row r="2151" spans="1:31" ht="12.75">
      <c r="A2151" s="686"/>
      <c r="B2151" s="687"/>
      <c r="C2151" s="688"/>
      <c r="D2151" s="689"/>
      <c r="E2151" s="690"/>
      <c r="F2151" s="691"/>
      <c r="G2151" s="690"/>
      <c r="H2151" s="69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row>
    <row r="2152" spans="1:31" ht="25.5">
      <c r="A2152" s="358" t="s">
        <v>14471</v>
      </c>
      <c r="B2152" s="359" t="s">
        <v>14472</v>
      </c>
      <c r="C2152" s="359" t="s">
        <v>15217</v>
      </c>
      <c r="D2152" s="361" t="s">
        <v>15218</v>
      </c>
      <c r="E2152" s="359" t="s">
        <v>50</v>
      </c>
      <c r="F2152" s="362"/>
      <c r="G2152" s="362"/>
      <c r="H2152" s="363">
        <f>TRUNC(SUM(H2154:H2156),2)</f>
        <v>6.63</v>
      </c>
      <c r="I2152" s="276">
        <f>COUNTIF($C$8:$C2152,C:C)</f>
        <v>1</v>
      </c>
      <c r="J2152" s="262"/>
      <c r="K2152" s="262"/>
      <c r="L2152" s="262"/>
      <c r="M2152" s="262"/>
      <c r="N2152" s="262"/>
      <c r="O2152" s="262"/>
      <c r="P2152" s="262"/>
      <c r="Q2152" s="262"/>
      <c r="R2152" s="262"/>
      <c r="S2152" s="262"/>
      <c r="T2152" s="262"/>
      <c r="U2152" s="262"/>
      <c r="V2152" s="262"/>
      <c r="W2152" s="262"/>
      <c r="X2152" s="262"/>
      <c r="Y2152" s="262"/>
      <c r="Z2152" s="262"/>
      <c r="AA2152" s="262"/>
      <c r="AB2152" s="262"/>
    </row>
    <row r="2153" spans="1:31" ht="12.75">
      <c r="A2153" s="646" t="s">
        <v>14475</v>
      </c>
      <c r="B2153" s="403" t="s">
        <v>15219</v>
      </c>
      <c r="C2153" s="790">
        <v>97667</v>
      </c>
      <c r="D2153" s="769" t="s">
        <v>14567</v>
      </c>
      <c r="E2153" s="641"/>
      <c r="F2153" s="369"/>
      <c r="G2153" s="370"/>
      <c r="H2153" s="371"/>
      <c r="I2153" s="262"/>
      <c r="J2153" s="262"/>
      <c r="K2153" s="262"/>
      <c r="L2153" s="262"/>
      <c r="M2153" s="262"/>
      <c r="N2153" s="262"/>
      <c r="O2153" s="262"/>
      <c r="P2153" s="262"/>
      <c r="Q2153" s="262"/>
      <c r="R2153" s="262"/>
      <c r="S2153" s="262"/>
      <c r="T2153" s="262"/>
      <c r="U2153" s="262"/>
      <c r="V2153" s="262"/>
      <c r="W2153" s="262"/>
      <c r="X2153" s="262"/>
      <c r="Y2153" s="262"/>
      <c r="Z2153" s="262"/>
      <c r="AA2153" s="262"/>
      <c r="AB2153" s="262"/>
    </row>
    <row r="2154" spans="1:31" ht="25.5">
      <c r="A2154" s="586" t="s">
        <v>14478</v>
      </c>
      <c r="B2154" s="373" t="s">
        <v>14476</v>
      </c>
      <c r="C2154" s="791">
        <v>88247</v>
      </c>
      <c r="D2154" s="288" t="str">
        <f>IFERROR(VLOOKUP($C2154,'24.08_ND'!$A:$D,2,0),)</f>
        <v>AUXILIAR DE ELETRICISTA COM ENCARGOS COMPLEMENTARES</v>
      </c>
      <c r="E2154" s="289" t="str">
        <f>IFERROR(VLOOKUP($C2154,'24.08_ND'!$A:$D,3,0),)</f>
        <v>H</v>
      </c>
      <c r="F2154" s="441">
        <v>6.7199999999999996E-2</v>
      </c>
      <c r="G2154" s="291">
        <f>IFERROR(VLOOKUP($C2154,'24.08_ND'!$A:$D,4,0),)</f>
        <v>20</v>
      </c>
      <c r="H2154" s="440">
        <f>TRUNC(($F2154*$G2154),2)</f>
        <v>1.34</v>
      </c>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D2154" s="1791" t="e">
        <f>VLOOKUP(C2154,'Medição '!$B$16:$F$1833,6,0)</f>
        <v>#N/A</v>
      </c>
      <c r="AE2154" s="1791"/>
    </row>
    <row r="2155" spans="1:31" ht="25.5">
      <c r="A2155" s="586" t="s">
        <v>14478</v>
      </c>
      <c r="B2155" s="373" t="s">
        <v>14476</v>
      </c>
      <c r="C2155" s="791">
        <v>88264</v>
      </c>
      <c r="D2155" s="288" t="str">
        <f>IFERROR(VLOOKUP($C2155,'24.08_ND'!$A:$D,2,0),)</f>
        <v>ELETRICISTA COM ENCARGOS COMPLEMENTARES</v>
      </c>
      <c r="E2155" s="289" t="str">
        <f>IFERROR(VLOOKUP($C2155,'24.08_ND'!$A:$D,3,0),)</f>
        <v>H</v>
      </c>
      <c r="F2155" s="441">
        <v>6.7199999999999996E-2</v>
      </c>
      <c r="G2155" s="291">
        <f>IFERROR(VLOOKUP($C2155,'24.08_ND'!$A:$D,4,0),)</f>
        <v>24.3</v>
      </c>
      <c r="H2155" s="440">
        <f>TRUNC(($F2155*$G2155),2)</f>
        <v>1.63</v>
      </c>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D2155" s="1791" t="e">
        <f>VLOOKUP(C2155,'Medição '!$B$16:$F$1833,6,0)</f>
        <v>#N/A</v>
      </c>
      <c r="AE2155" s="1791"/>
    </row>
    <row r="2156" spans="1:31" ht="38.25">
      <c r="A2156" s="770" t="s">
        <v>14479</v>
      </c>
      <c r="B2156" s="446" t="s">
        <v>14476</v>
      </c>
      <c r="C2156" s="792">
        <v>39247</v>
      </c>
      <c r="D2156" s="296" t="str">
        <f>IFERROR(VLOOKUP($C2156,'24.08_ND'!$A:$D,2,0),)</f>
        <v>ELETRODUTO/DUTO PEAD FLEXIVEL PAREDE SIMPLES, CORRUGACAO HELICOIDAL, COR PRETA, SEM ROSCA, DE 1 1/4", CRC 680 N, PARA CABEAMENTO SUBTERRANEO (NBR 15715)</v>
      </c>
      <c r="E2156" s="297" t="str">
        <f>IFERROR(VLOOKUP($C2156,'24.08_ND'!$A:$D,3,0),)</f>
        <v>M</v>
      </c>
      <c r="F2156" s="385">
        <v>1.1000000000000001</v>
      </c>
      <c r="G2156" s="299">
        <v>3.33</v>
      </c>
      <c r="H2156" s="449">
        <f>TRUNC(($F2156*$G2156),2)</f>
        <v>3.66</v>
      </c>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row>
    <row r="2157" spans="1:31" ht="12.75">
      <c r="A2157" s="686"/>
      <c r="B2157" s="687"/>
      <c r="C2157" s="688"/>
      <c r="D2157" s="689"/>
      <c r="E2157" s="690"/>
      <c r="F2157" s="691"/>
      <c r="G2157" s="690"/>
      <c r="H2157" s="69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row>
    <row r="2158" spans="1:31" ht="12.75">
      <c r="A2158" s="358" t="s">
        <v>14471</v>
      </c>
      <c r="B2158" s="359" t="s">
        <v>14472</v>
      </c>
      <c r="C2158" s="359" t="s">
        <v>15220</v>
      </c>
      <c r="D2158" s="361" t="s">
        <v>15221</v>
      </c>
      <c r="E2158" s="359" t="s">
        <v>50</v>
      </c>
      <c r="F2158" s="362"/>
      <c r="G2158" s="362"/>
      <c r="H2158" s="363">
        <f>TRUNC(SUM(H2160:H2162),2)</f>
        <v>13.14</v>
      </c>
      <c r="I2158" s="276">
        <f>COUNTIF($C$8:$C2158,C:C)</f>
        <v>1</v>
      </c>
      <c r="J2158" s="262"/>
      <c r="K2158" s="262"/>
      <c r="L2158" s="262"/>
      <c r="M2158" s="262"/>
      <c r="N2158" s="262"/>
      <c r="O2158" s="262"/>
      <c r="P2158" s="262"/>
      <c r="Q2158" s="262"/>
      <c r="R2158" s="262"/>
      <c r="S2158" s="262"/>
      <c r="T2158" s="262"/>
      <c r="U2158" s="262"/>
      <c r="V2158" s="262"/>
      <c r="W2158" s="262"/>
      <c r="X2158" s="262"/>
      <c r="Y2158" s="262"/>
      <c r="Z2158" s="262"/>
      <c r="AA2158" s="262"/>
      <c r="AB2158" s="262"/>
    </row>
    <row r="2159" spans="1:31" ht="12.75">
      <c r="A2159" s="646" t="s">
        <v>14475</v>
      </c>
      <c r="B2159" s="403" t="s">
        <v>14600</v>
      </c>
      <c r="C2159" s="404">
        <v>5023</v>
      </c>
      <c r="D2159" s="769" t="s">
        <v>14567</v>
      </c>
      <c r="E2159" s="405"/>
      <c r="F2159" s="369"/>
      <c r="G2159" s="370"/>
      <c r="H2159" s="371"/>
      <c r="I2159" s="262"/>
      <c r="J2159" s="262"/>
      <c r="K2159" s="262"/>
      <c r="L2159" s="262"/>
      <c r="M2159" s="262"/>
      <c r="N2159" s="262"/>
      <c r="O2159" s="262"/>
      <c r="P2159" s="262"/>
      <c r="Q2159" s="262"/>
      <c r="R2159" s="262"/>
      <c r="S2159" s="262"/>
      <c r="T2159" s="262"/>
      <c r="U2159" s="262"/>
      <c r="V2159" s="262"/>
      <c r="W2159" s="262"/>
      <c r="X2159" s="262"/>
      <c r="Y2159" s="262"/>
      <c r="Z2159" s="262"/>
      <c r="AA2159" s="262"/>
      <c r="AB2159" s="262"/>
    </row>
    <row r="2160" spans="1:31" ht="25.5">
      <c r="A2160" s="586" t="s">
        <v>14478</v>
      </c>
      <c r="B2160" s="373" t="s">
        <v>14476</v>
      </c>
      <c r="C2160" s="374">
        <v>88264</v>
      </c>
      <c r="D2160" s="288" t="str">
        <f>IFERROR(VLOOKUP($C2160,'24.08_ND'!$A:$D,2,0),)</f>
        <v>ELETRICISTA COM ENCARGOS COMPLEMENTARES</v>
      </c>
      <c r="E2160" s="289" t="str">
        <f>IFERROR(VLOOKUP($C2160,'24.08_ND'!$A:$D,3,0),)</f>
        <v>H</v>
      </c>
      <c r="F2160" s="441">
        <v>0.12</v>
      </c>
      <c r="G2160" s="291">
        <f>IFERROR(VLOOKUP($C2160,'24.08_ND'!$A:$D,4,0),)</f>
        <v>24.3</v>
      </c>
      <c r="H2160" s="440">
        <f>TRUNC(($F2160*$G2160),2)</f>
        <v>2.91</v>
      </c>
      <c r="I2160" s="262"/>
      <c r="J2160" s="262"/>
      <c r="K2160" s="262"/>
      <c r="L2160" s="262"/>
      <c r="M2160" s="262"/>
      <c r="N2160" s="262"/>
      <c r="O2160" s="262"/>
      <c r="P2160" s="262"/>
      <c r="Q2160" s="262"/>
      <c r="R2160" s="262"/>
      <c r="S2160" s="262"/>
      <c r="T2160" s="262"/>
      <c r="U2160" s="262"/>
      <c r="V2160" s="262"/>
      <c r="W2160" s="262"/>
      <c r="X2160" s="262"/>
      <c r="Y2160" s="262"/>
      <c r="Z2160" s="262"/>
      <c r="AA2160" s="262"/>
      <c r="AB2160" s="262"/>
      <c r="AD2160" s="1791" t="e">
        <f>VLOOKUP(C2160,'Medição '!$B$16:$F$1833,6,0)</f>
        <v>#N/A</v>
      </c>
      <c r="AE2160" s="1791"/>
    </row>
    <row r="2161" spans="1:31" ht="25.5">
      <c r="A2161" s="586" t="s">
        <v>14478</v>
      </c>
      <c r="B2161" s="373" t="s">
        <v>14476</v>
      </c>
      <c r="C2161" s="374">
        <v>88247</v>
      </c>
      <c r="D2161" s="288" t="str">
        <f>IFERROR(VLOOKUP($C2161,'24.08_ND'!$A:$D,2,0),)</f>
        <v>AUXILIAR DE ELETRICISTA COM ENCARGOS COMPLEMENTARES</v>
      </c>
      <c r="E2161" s="289" t="str">
        <f>IFERROR(VLOOKUP($C2161,'24.08_ND'!$A:$D,3,0),)</f>
        <v>H</v>
      </c>
      <c r="F2161" s="441">
        <v>0.12</v>
      </c>
      <c r="G2161" s="291">
        <f>IFERROR(VLOOKUP($C2161,'24.08_ND'!$A:$D,4,0),)</f>
        <v>20</v>
      </c>
      <c r="H2161" s="440">
        <f>TRUNC(($F2161*$G2161),2)</f>
        <v>2.4</v>
      </c>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D2161" s="1791" t="e">
        <f>VLOOKUP(C2161,'Medição '!$B$16:$F$1833,6,0)</f>
        <v>#N/A</v>
      </c>
      <c r="AE2161" s="1791"/>
    </row>
    <row r="2162" spans="1:31" ht="12.75">
      <c r="A2162" s="754" t="s">
        <v>14479</v>
      </c>
      <c r="B2162" s="312" t="str">
        <f>VLOOKUP($C2162,'• CIs EXT'!$A:$E,2,0)</f>
        <v>ORSE</v>
      </c>
      <c r="C2162" s="591">
        <v>4179</v>
      </c>
      <c r="D2162" s="378" t="str">
        <f>VLOOKUP($C2162,'• CIs EXT'!$A:$E,3,0)</f>
        <v>CABO DE COBRE PP CORDPLAST 3 X 2,5 MM2, 450/750V</v>
      </c>
      <c r="E2162" s="379" t="str">
        <f>VLOOKUP($C2162,'• CIs EXT'!$A:$E,4,0)</f>
        <v>M</v>
      </c>
      <c r="F2162" s="380">
        <v>1</v>
      </c>
      <c r="G2162" s="379">
        <f>VLOOKUP($C2162,'• CIs EXT'!$A:$E,5,0)</f>
        <v>7.83</v>
      </c>
      <c r="H2162" s="381">
        <f>TRUNC(($F2162*$G2162),2)</f>
        <v>7.83</v>
      </c>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row>
    <row r="2163" spans="1:31" ht="12.75">
      <c r="A2163" s="793"/>
      <c r="B2163" s="794"/>
      <c r="C2163" s="795"/>
      <c r="D2163" s="796"/>
      <c r="E2163" s="370"/>
      <c r="F2163" s="369"/>
      <c r="G2163" s="370"/>
      <c r="H2163" s="371"/>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row>
    <row r="2164" spans="1:31" ht="12.75">
      <c r="A2164" s="358" t="s">
        <v>14471</v>
      </c>
      <c r="B2164" s="359" t="s">
        <v>14472</v>
      </c>
      <c r="C2164" s="359" t="s">
        <v>15222</v>
      </c>
      <c r="D2164" s="361" t="s">
        <v>15223</v>
      </c>
      <c r="E2164" s="359" t="s">
        <v>50</v>
      </c>
      <c r="F2164" s="362"/>
      <c r="G2164" s="362"/>
      <c r="H2164" s="363">
        <f>TRUNC(SUM(H2166:H2168),2)</f>
        <v>16.690000000000001</v>
      </c>
      <c r="I2164" s="276">
        <f>COUNTIF($C$8:$C2164,C:C)</f>
        <v>1</v>
      </c>
      <c r="J2164" s="262"/>
      <c r="K2164" s="262"/>
      <c r="L2164" s="262"/>
      <c r="M2164" s="262"/>
      <c r="N2164" s="262"/>
      <c r="O2164" s="262"/>
      <c r="P2164" s="262"/>
      <c r="Q2164" s="262"/>
      <c r="R2164" s="262"/>
      <c r="S2164" s="262"/>
      <c r="T2164" s="262"/>
      <c r="U2164" s="262"/>
      <c r="V2164" s="262"/>
      <c r="W2164" s="262"/>
      <c r="X2164" s="262"/>
      <c r="Y2164" s="262"/>
      <c r="Z2164" s="262"/>
      <c r="AA2164" s="262"/>
      <c r="AB2164" s="262"/>
    </row>
    <row r="2165" spans="1:31" ht="12.75">
      <c r="A2165" s="646" t="s">
        <v>14475</v>
      </c>
      <c r="B2165" s="403" t="s">
        <v>14600</v>
      </c>
      <c r="C2165" s="404">
        <v>5023</v>
      </c>
      <c r="D2165" s="769" t="s">
        <v>14567</v>
      </c>
      <c r="E2165" s="405"/>
      <c r="F2165" s="369"/>
      <c r="G2165" s="370"/>
      <c r="H2165" s="371"/>
      <c r="I2165" s="262"/>
      <c r="J2165" s="262"/>
      <c r="K2165" s="262"/>
      <c r="L2165" s="262"/>
      <c r="M2165" s="262"/>
      <c r="N2165" s="262"/>
      <c r="O2165" s="262"/>
      <c r="P2165" s="262"/>
      <c r="Q2165" s="262"/>
      <c r="R2165" s="262"/>
      <c r="S2165" s="262"/>
      <c r="T2165" s="262"/>
      <c r="U2165" s="262"/>
      <c r="V2165" s="262"/>
      <c r="W2165" s="262"/>
      <c r="X2165" s="262"/>
      <c r="Y2165" s="262"/>
      <c r="Z2165" s="262"/>
      <c r="AA2165" s="262"/>
      <c r="AB2165" s="262"/>
    </row>
    <row r="2166" spans="1:31" ht="25.5">
      <c r="A2166" s="586" t="s">
        <v>14478</v>
      </c>
      <c r="B2166" s="373" t="s">
        <v>14476</v>
      </c>
      <c r="C2166" s="374">
        <v>88264</v>
      </c>
      <c r="D2166" s="288" t="str">
        <f>IFERROR(VLOOKUP($C2166,'24.08_ND'!$A:$D,2,0),)</f>
        <v>ELETRICISTA COM ENCARGOS COMPLEMENTARES</v>
      </c>
      <c r="E2166" s="289" t="str">
        <f>IFERROR(VLOOKUP($C2166,'24.08_ND'!$A:$D,3,0),)</f>
        <v>H</v>
      </c>
      <c r="F2166" s="441">
        <v>0.12</v>
      </c>
      <c r="G2166" s="291">
        <f>IFERROR(VLOOKUP($C2166,'24.08_ND'!$A:$D,4,0),)</f>
        <v>24.3</v>
      </c>
      <c r="H2166" s="440">
        <f>TRUNC(($F2166*$G2166),2)</f>
        <v>2.91</v>
      </c>
      <c r="I2166" s="262"/>
      <c r="J2166" s="262"/>
      <c r="K2166" s="262"/>
      <c r="L2166" s="262"/>
      <c r="M2166" s="262"/>
      <c r="N2166" s="262"/>
      <c r="O2166" s="262"/>
      <c r="P2166" s="262"/>
      <c r="Q2166" s="262"/>
      <c r="R2166" s="262"/>
      <c r="S2166" s="262"/>
      <c r="T2166" s="262"/>
      <c r="U2166" s="262"/>
      <c r="V2166" s="262"/>
      <c r="W2166" s="262"/>
      <c r="X2166" s="262"/>
      <c r="Y2166" s="262"/>
      <c r="Z2166" s="262"/>
      <c r="AA2166" s="262"/>
      <c r="AB2166" s="262"/>
      <c r="AD2166" s="1791" t="e">
        <f>VLOOKUP(C2166,'Medição '!$B$16:$F$1833,6,0)</f>
        <v>#N/A</v>
      </c>
      <c r="AE2166" s="1791"/>
    </row>
    <row r="2167" spans="1:31" ht="25.5">
      <c r="A2167" s="586" t="s">
        <v>14478</v>
      </c>
      <c r="B2167" s="373" t="s">
        <v>14476</v>
      </c>
      <c r="C2167" s="374">
        <v>88247</v>
      </c>
      <c r="D2167" s="288" t="str">
        <f>IFERROR(VLOOKUP($C2167,'24.08_ND'!$A:$D,2,0),)</f>
        <v>AUXILIAR DE ELETRICISTA COM ENCARGOS COMPLEMENTARES</v>
      </c>
      <c r="E2167" s="289" t="str">
        <f>IFERROR(VLOOKUP($C2167,'24.08_ND'!$A:$D,3,0),)</f>
        <v>H</v>
      </c>
      <c r="F2167" s="441">
        <v>0.12</v>
      </c>
      <c r="G2167" s="291">
        <f>IFERROR(VLOOKUP($C2167,'24.08_ND'!$A:$D,4,0),)</f>
        <v>20</v>
      </c>
      <c r="H2167" s="440">
        <f>TRUNC(($F2167*$G2167),2)</f>
        <v>2.4</v>
      </c>
      <c r="I2167" s="262"/>
      <c r="J2167" s="262"/>
      <c r="K2167" s="262"/>
      <c r="L2167" s="262"/>
      <c r="M2167" s="262"/>
      <c r="N2167" s="262"/>
      <c r="O2167" s="262"/>
      <c r="P2167" s="262"/>
      <c r="Q2167" s="262"/>
      <c r="R2167" s="262"/>
      <c r="S2167" s="262"/>
      <c r="T2167" s="262"/>
      <c r="U2167" s="262"/>
      <c r="V2167" s="262"/>
      <c r="W2167" s="262"/>
      <c r="X2167" s="262"/>
      <c r="Y2167" s="262"/>
      <c r="Z2167" s="262"/>
      <c r="AA2167" s="262"/>
      <c r="AB2167" s="262"/>
      <c r="AD2167" s="1791" t="e">
        <f>VLOOKUP(C2167,'Medição '!$B$16:$F$1833,6,0)</f>
        <v>#N/A</v>
      </c>
      <c r="AE2167" s="1791"/>
    </row>
    <row r="2168" spans="1:31" ht="12.75">
      <c r="A2168" s="754" t="s">
        <v>14479</v>
      </c>
      <c r="B2168" s="312" t="str">
        <f>VLOOKUP($C2168,'• CIs EXT'!$A:$E,2,0)</f>
        <v>ORSE</v>
      </c>
      <c r="C2168" s="591">
        <v>3284</v>
      </c>
      <c r="D2168" s="378" t="str">
        <f>VLOOKUP($C2168,'• CIs EXT'!$A:$E,3,0)</f>
        <v>CABO DE COBRE PP CORDPLAST 3 X 4,00 MM2, 450/750V</v>
      </c>
      <c r="E2168" s="379" t="str">
        <f>VLOOKUP($C2168,'• CIs EXT'!$A:$E,4,0)</f>
        <v>M</v>
      </c>
      <c r="F2168" s="380">
        <v>1</v>
      </c>
      <c r="G2168" s="379">
        <f>VLOOKUP($C2168,'• CIs EXT'!$A:$E,5,0)</f>
        <v>11.38</v>
      </c>
      <c r="H2168" s="381">
        <f>TRUNC(($F2168*$G2168),2)</f>
        <v>11.38</v>
      </c>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row>
    <row r="2169" spans="1:31" ht="12.75">
      <c r="A2169" s="686"/>
      <c r="B2169" s="687"/>
      <c r="C2169" s="688"/>
      <c r="D2169" s="689"/>
      <c r="E2169" s="690"/>
      <c r="F2169" s="691"/>
      <c r="G2169" s="690"/>
      <c r="H2169" s="69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row>
    <row r="2170" spans="1:31" ht="25.5">
      <c r="A2170" s="358" t="s">
        <v>14471</v>
      </c>
      <c r="B2170" s="359" t="s">
        <v>14472</v>
      </c>
      <c r="C2170" s="359" t="s">
        <v>15224</v>
      </c>
      <c r="D2170" s="361" t="s">
        <v>15225</v>
      </c>
      <c r="E2170" s="359" t="s">
        <v>6</v>
      </c>
      <c r="F2170" s="362"/>
      <c r="G2170" s="362"/>
      <c r="H2170" s="363">
        <f>TRUNC(SUM(H2172:H2174),2)</f>
        <v>23.53</v>
      </c>
      <c r="I2170" s="276">
        <f>COUNTIF($C$8:$C2170,C:C)</f>
        <v>1</v>
      </c>
      <c r="J2170" s="262"/>
      <c r="K2170" s="262"/>
      <c r="L2170" s="262"/>
      <c r="M2170" s="262"/>
      <c r="N2170" s="262"/>
      <c r="O2170" s="262"/>
      <c r="P2170" s="262"/>
      <c r="Q2170" s="262"/>
      <c r="R2170" s="262"/>
      <c r="S2170" s="262"/>
      <c r="T2170" s="262"/>
      <c r="U2170" s="262"/>
      <c r="V2170" s="262"/>
      <c r="W2170" s="262"/>
      <c r="X2170" s="262"/>
      <c r="Y2170" s="262"/>
      <c r="Z2170" s="262"/>
      <c r="AA2170" s="262"/>
      <c r="AB2170" s="262"/>
    </row>
    <row r="2171" spans="1:31" ht="12.75">
      <c r="A2171" s="646" t="s">
        <v>14475</v>
      </c>
      <c r="B2171" s="694" t="s">
        <v>15226</v>
      </c>
      <c r="C2171" s="365" t="s">
        <v>15227</v>
      </c>
      <c r="D2171" s="769" t="s">
        <v>14567</v>
      </c>
      <c r="E2171" s="641"/>
      <c r="F2171" s="369"/>
      <c r="G2171" s="370"/>
      <c r="H2171" s="371"/>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row>
    <row r="2172" spans="1:31" ht="25.5">
      <c r="A2172" s="586" t="s">
        <v>14478</v>
      </c>
      <c r="B2172" s="421" t="s">
        <v>14476</v>
      </c>
      <c r="C2172" s="422">
        <v>88247</v>
      </c>
      <c r="D2172" s="288" t="str">
        <f>IFERROR(VLOOKUP($C2172,'24.08_ND'!$A:$D,2,0),)</f>
        <v>AUXILIAR DE ELETRICISTA COM ENCARGOS COMPLEMENTARES</v>
      </c>
      <c r="E2172" s="289" t="str">
        <f>IFERROR(VLOOKUP($C2172,'24.08_ND'!$A:$D,3,0),)</f>
        <v>H</v>
      </c>
      <c r="F2172" s="375">
        <v>0.34</v>
      </c>
      <c r="G2172" s="291">
        <f>IFERROR(VLOOKUP($C2172,'24.08_ND'!$A:$D,4,0),)</f>
        <v>20</v>
      </c>
      <c r="H2172" s="423">
        <f>TRUNC(($F2172*$G2172),2)</f>
        <v>6.8</v>
      </c>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D2172" s="1791" t="e">
        <f>VLOOKUP(C2172,'Medição '!$B$16:$F$1833,6,0)</f>
        <v>#N/A</v>
      </c>
      <c r="AE2172" s="1791"/>
    </row>
    <row r="2173" spans="1:31" ht="25.5">
      <c r="A2173" s="586" t="s">
        <v>14478</v>
      </c>
      <c r="B2173" s="421" t="s">
        <v>14476</v>
      </c>
      <c r="C2173" s="422">
        <v>88264</v>
      </c>
      <c r="D2173" s="288" t="str">
        <f>IFERROR(VLOOKUP($C2173,'24.08_ND'!$A:$D,2,0),)</f>
        <v>ELETRICISTA COM ENCARGOS COMPLEMENTARES</v>
      </c>
      <c r="E2173" s="289" t="str">
        <f>IFERROR(VLOOKUP($C2173,'24.08_ND'!$A:$D,3,0),)</f>
        <v>H</v>
      </c>
      <c r="F2173" s="375">
        <v>0.34</v>
      </c>
      <c r="G2173" s="291">
        <f>IFERROR(VLOOKUP($C2173,'24.08_ND'!$A:$D,4,0),)</f>
        <v>24.3</v>
      </c>
      <c r="H2173" s="423">
        <f>TRUNC(($F2173*$G2173),2)</f>
        <v>8.26</v>
      </c>
      <c r="I2173" s="262"/>
      <c r="J2173" s="262"/>
      <c r="K2173" s="262"/>
      <c r="L2173" s="262"/>
      <c r="M2173" s="262"/>
      <c r="N2173" s="262"/>
      <c r="O2173" s="262"/>
      <c r="P2173" s="262"/>
      <c r="Q2173" s="262"/>
      <c r="R2173" s="262"/>
      <c r="S2173" s="262"/>
      <c r="T2173" s="262"/>
      <c r="U2173" s="262"/>
      <c r="V2173" s="262"/>
      <c r="W2173" s="262"/>
      <c r="X2173" s="262"/>
      <c r="Y2173" s="262"/>
      <c r="Z2173" s="262"/>
      <c r="AA2173" s="262"/>
      <c r="AB2173" s="262"/>
      <c r="AD2173" s="1791" t="e">
        <f>VLOOKUP(C2173,'Medição '!$B$16:$F$1833,6,0)</f>
        <v>#N/A</v>
      </c>
      <c r="AE2173" s="1791"/>
    </row>
    <row r="2174" spans="1:31" ht="12.75">
      <c r="A2174" s="590" t="s">
        <v>14479</v>
      </c>
      <c r="B2174" s="312" t="str">
        <f>VLOOKUP($C2174,'• CIs EXT'!$A:$E,2,0)</f>
        <v>ORSE</v>
      </c>
      <c r="C2174" s="377">
        <v>13277</v>
      </c>
      <c r="D2174" s="378" t="str">
        <f>VLOOKUP($C2174,'• CIs EXT'!$A:$E,3,0)</f>
        <v>TERMINAL DE COMPRESSÃO 2 FUROS PARA CABO DE 50 MM2</v>
      </c>
      <c r="E2174" s="379" t="str">
        <f>VLOOKUP($C2174,'• CIs EXT'!$A:$E,4,0)</f>
        <v>UN</v>
      </c>
      <c r="F2174" s="442">
        <v>1</v>
      </c>
      <c r="G2174" s="379">
        <f>VLOOKUP($C2174,'• CIs EXT'!$A:$E,5,0)</f>
        <v>8.4700000000000006</v>
      </c>
      <c r="H2174" s="381">
        <f>TRUNC(($F2174*$G2174),2)</f>
        <v>8.4700000000000006</v>
      </c>
      <c r="I2174" s="262"/>
      <c r="J2174" s="262"/>
      <c r="K2174" s="262"/>
      <c r="L2174" s="262"/>
      <c r="M2174" s="262"/>
      <c r="N2174" s="262"/>
      <c r="O2174" s="262"/>
      <c r="P2174" s="262"/>
      <c r="Q2174" s="262"/>
      <c r="R2174" s="262"/>
      <c r="S2174" s="262"/>
      <c r="T2174" s="262"/>
      <c r="U2174" s="262"/>
      <c r="V2174" s="262"/>
      <c r="W2174" s="262"/>
      <c r="X2174" s="262"/>
      <c r="Y2174" s="262"/>
      <c r="Z2174" s="262"/>
      <c r="AA2174" s="262"/>
      <c r="AB2174" s="262"/>
    </row>
    <row r="2175" spans="1:31" ht="12.75">
      <c r="A2175" s="686"/>
      <c r="B2175" s="687"/>
      <c r="C2175" s="688"/>
      <c r="D2175" s="689"/>
      <c r="E2175" s="690"/>
      <c r="F2175" s="691"/>
      <c r="G2175" s="690"/>
      <c r="H2175" s="692"/>
      <c r="I2175" s="262"/>
      <c r="J2175" s="262"/>
      <c r="K2175" s="262"/>
      <c r="L2175" s="262"/>
      <c r="M2175" s="262"/>
      <c r="N2175" s="262"/>
      <c r="O2175" s="262"/>
      <c r="P2175" s="262"/>
      <c r="Q2175" s="262"/>
      <c r="R2175" s="262"/>
      <c r="S2175" s="262"/>
      <c r="T2175" s="262"/>
      <c r="U2175" s="262"/>
      <c r="V2175" s="262"/>
      <c r="W2175" s="262"/>
      <c r="X2175" s="262"/>
      <c r="Y2175" s="262"/>
      <c r="Z2175" s="262"/>
      <c r="AA2175" s="262"/>
      <c r="AB2175" s="262"/>
    </row>
    <row r="2176" spans="1:31" ht="25.5">
      <c r="A2176" s="358" t="s">
        <v>14471</v>
      </c>
      <c r="B2176" s="359" t="s">
        <v>14472</v>
      </c>
      <c r="C2176" s="359" t="s">
        <v>15228</v>
      </c>
      <c r="D2176" s="361" t="s">
        <v>15229</v>
      </c>
      <c r="E2176" s="359" t="s">
        <v>50</v>
      </c>
      <c r="F2176" s="362"/>
      <c r="G2176" s="362"/>
      <c r="H2176" s="363">
        <f>TRUNC(SUM(H2178:H2180),2)</f>
        <v>58.86</v>
      </c>
      <c r="I2176" s="276">
        <f>COUNTIF($C$8:$C2176,C:C)</f>
        <v>1</v>
      </c>
      <c r="J2176" s="262"/>
      <c r="K2176" s="262"/>
      <c r="L2176" s="262"/>
      <c r="M2176" s="262"/>
      <c r="N2176" s="262"/>
      <c r="O2176" s="262"/>
      <c r="P2176" s="262"/>
      <c r="Q2176" s="262"/>
      <c r="R2176" s="262"/>
      <c r="S2176" s="262"/>
      <c r="T2176" s="262"/>
      <c r="U2176" s="262"/>
      <c r="V2176" s="262"/>
      <c r="W2176" s="262"/>
      <c r="X2176" s="262"/>
      <c r="Y2176" s="262"/>
      <c r="Z2176" s="262"/>
      <c r="AA2176" s="262"/>
      <c r="AB2176" s="262"/>
    </row>
    <row r="2177" spans="1:31" ht="12.75">
      <c r="A2177" s="646" t="s">
        <v>14475</v>
      </c>
      <c r="B2177" s="403" t="s">
        <v>14600</v>
      </c>
      <c r="C2177" s="404">
        <v>8082</v>
      </c>
      <c r="D2177" s="769" t="s">
        <v>15132</v>
      </c>
      <c r="E2177" s="641"/>
      <c r="F2177" s="369"/>
      <c r="G2177" s="370"/>
      <c r="H2177" s="371"/>
      <c r="I2177" s="262"/>
      <c r="J2177" s="262"/>
      <c r="K2177" s="262"/>
      <c r="L2177" s="262"/>
      <c r="M2177" s="262"/>
      <c r="N2177" s="262"/>
      <c r="O2177" s="262"/>
      <c r="P2177" s="262"/>
      <c r="Q2177" s="262"/>
      <c r="R2177" s="262"/>
      <c r="S2177" s="262"/>
      <c r="T2177" s="262"/>
      <c r="U2177" s="262"/>
      <c r="V2177" s="262"/>
      <c r="W2177" s="262"/>
      <c r="X2177" s="262"/>
      <c r="Y2177" s="262"/>
      <c r="Z2177" s="262"/>
      <c r="AA2177" s="262"/>
      <c r="AB2177" s="262"/>
    </row>
    <row r="2178" spans="1:31" ht="25.5">
      <c r="A2178" s="586" t="s">
        <v>14478</v>
      </c>
      <c r="B2178" s="373" t="s">
        <v>14476</v>
      </c>
      <c r="C2178" s="374">
        <v>88264</v>
      </c>
      <c r="D2178" s="288" t="str">
        <f>IFERROR(VLOOKUP($C2178,'24.08_ND'!$A:$D,2,0),)</f>
        <v>ELETRICISTA COM ENCARGOS COMPLEMENTARES</v>
      </c>
      <c r="E2178" s="289" t="str">
        <f>IFERROR(VLOOKUP($C2178,'24.08_ND'!$A:$D,3,0),)</f>
        <v>H</v>
      </c>
      <c r="F2178" s="441">
        <v>0.16</v>
      </c>
      <c r="G2178" s="291">
        <f>IFERROR(VLOOKUP($C2178,'24.08_ND'!$A:$D,4,0),)</f>
        <v>24.3</v>
      </c>
      <c r="H2178" s="764">
        <f>TRUNC(($F2178*$G2178),2)</f>
        <v>3.88</v>
      </c>
      <c r="I2178" s="262"/>
      <c r="J2178" s="262"/>
      <c r="K2178" s="262"/>
      <c r="L2178" s="262"/>
      <c r="M2178" s="262"/>
      <c r="N2178" s="262"/>
      <c r="O2178" s="262"/>
      <c r="P2178" s="262"/>
      <c r="Q2178" s="262"/>
      <c r="R2178" s="262"/>
      <c r="S2178" s="262"/>
      <c r="T2178" s="262"/>
      <c r="U2178" s="262"/>
      <c r="V2178" s="262"/>
      <c r="W2178" s="262"/>
      <c r="X2178" s="262"/>
      <c r="Y2178" s="262"/>
      <c r="Z2178" s="262"/>
      <c r="AA2178" s="262"/>
      <c r="AB2178" s="262"/>
      <c r="AD2178" s="1791" t="e">
        <f>VLOOKUP(C2178,'Medição '!$B$16:$F$1833,6,0)</f>
        <v>#N/A</v>
      </c>
      <c r="AE2178" s="1791"/>
    </row>
    <row r="2179" spans="1:31" ht="25.5">
      <c r="A2179" s="586" t="s">
        <v>14478</v>
      </c>
      <c r="B2179" s="373" t="s">
        <v>14476</v>
      </c>
      <c r="C2179" s="374">
        <v>88247</v>
      </c>
      <c r="D2179" s="288" t="str">
        <f>IFERROR(VLOOKUP($C2179,'24.08_ND'!$A:$D,2,0),)</f>
        <v>AUXILIAR DE ELETRICISTA COM ENCARGOS COMPLEMENTARES</v>
      </c>
      <c r="E2179" s="289" t="str">
        <f>IFERROR(VLOOKUP($C2179,'24.08_ND'!$A:$D,3,0),)</f>
        <v>H</v>
      </c>
      <c r="F2179" s="441">
        <v>0.16</v>
      </c>
      <c r="G2179" s="291">
        <f>IFERROR(VLOOKUP($C2179,'24.08_ND'!$A:$D,4,0),)</f>
        <v>20</v>
      </c>
      <c r="H2179" s="764">
        <f>TRUNC(($F2179*$G2179),2)</f>
        <v>3.2</v>
      </c>
      <c r="I2179" s="262"/>
      <c r="J2179" s="262"/>
      <c r="K2179" s="262"/>
      <c r="L2179" s="262"/>
      <c r="M2179" s="262"/>
      <c r="N2179" s="262"/>
      <c r="O2179" s="262"/>
      <c r="P2179" s="262"/>
      <c r="Q2179" s="262"/>
      <c r="R2179" s="262"/>
      <c r="S2179" s="262"/>
      <c r="T2179" s="262"/>
      <c r="U2179" s="262"/>
      <c r="V2179" s="262"/>
      <c r="W2179" s="262"/>
      <c r="X2179" s="262"/>
      <c r="Y2179" s="262"/>
      <c r="Z2179" s="262"/>
      <c r="AA2179" s="262"/>
      <c r="AB2179" s="262"/>
      <c r="AD2179" s="1791" t="e">
        <f>VLOOKUP(C2179,'Medição '!$B$16:$F$1833,6,0)</f>
        <v>#N/A</v>
      </c>
      <c r="AE2179" s="1791"/>
    </row>
    <row r="2180" spans="1:31" ht="12.75">
      <c r="A2180" s="770" t="s">
        <v>14479</v>
      </c>
      <c r="B2180" s="383" t="s">
        <v>14476</v>
      </c>
      <c r="C2180" s="384">
        <v>867</v>
      </c>
      <c r="D2180" s="296" t="str">
        <f>IFERROR(VLOOKUP($C2180,'24.08_ND'!$A:$D,2,0),)</f>
        <v>CABO DE COBRE NU 50 MM2 MEIO-DURO</v>
      </c>
      <c r="E2180" s="297" t="str">
        <f>IFERROR(VLOOKUP($C2180,'24.08_ND'!$A:$D,3,0),)</f>
        <v>M</v>
      </c>
      <c r="F2180" s="759">
        <v>1</v>
      </c>
      <c r="G2180" s="299">
        <f>IFERROR(VLOOKUP($C2180,'24.08_ND'!$A:$D,4,0),)</f>
        <v>51.78</v>
      </c>
      <c r="H2180" s="449">
        <f>TRUNC(($F2180*$G2180),2)</f>
        <v>51.78</v>
      </c>
      <c r="I2180" s="262"/>
      <c r="J2180" s="262"/>
      <c r="K2180" s="262"/>
      <c r="L2180" s="262"/>
      <c r="M2180" s="262"/>
      <c r="N2180" s="262"/>
      <c r="O2180" s="262"/>
      <c r="P2180" s="262"/>
      <c r="Q2180" s="262"/>
      <c r="R2180" s="262"/>
      <c r="S2180" s="262"/>
      <c r="T2180" s="262"/>
      <c r="U2180" s="262"/>
      <c r="V2180" s="262"/>
      <c r="W2180" s="262"/>
      <c r="X2180" s="262"/>
      <c r="Y2180" s="262"/>
      <c r="Z2180" s="262"/>
      <c r="AA2180" s="262"/>
      <c r="AB2180" s="262"/>
    </row>
    <row r="2181" spans="1:31" ht="12.75">
      <c r="A2181" s="766"/>
      <c r="B2181" s="767"/>
      <c r="C2181" s="3"/>
      <c r="D2181" s="768"/>
      <c r="E2181" s="690"/>
      <c r="F2181" s="691"/>
      <c r="G2181" s="690"/>
      <c r="H2181" s="692"/>
      <c r="I2181" s="262"/>
      <c r="J2181" s="262"/>
      <c r="K2181" s="262"/>
      <c r="L2181" s="262"/>
      <c r="M2181" s="262"/>
      <c r="N2181" s="262"/>
      <c r="O2181" s="262"/>
      <c r="P2181" s="262"/>
      <c r="Q2181" s="262"/>
      <c r="R2181" s="262"/>
      <c r="S2181" s="262"/>
      <c r="T2181" s="262"/>
      <c r="U2181" s="262"/>
      <c r="V2181" s="262"/>
      <c r="W2181" s="262"/>
      <c r="X2181" s="262"/>
      <c r="Y2181" s="262"/>
      <c r="Z2181" s="262"/>
      <c r="AA2181" s="262"/>
      <c r="AB2181" s="262"/>
    </row>
    <row r="2182" spans="1:31" ht="12.75">
      <c r="A2182" s="358" t="s">
        <v>14471</v>
      </c>
      <c r="B2182" s="359" t="s">
        <v>14472</v>
      </c>
      <c r="C2182" s="359" t="s">
        <v>15230</v>
      </c>
      <c r="D2182" s="361" t="s">
        <v>15231</v>
      </c>
      <c r="E2182" s="359" t="s">
        <v>6</v>
      </c>
      <c r="F2182" s="362"/>
      <c r="G2182" s="362"/>
      <c r="H2182" s="363">
        <f>TRUNC(SUM(H2184:H2187),2)</f>
        <v>177.9</v>
      </c>
      <c r="I2182" s="276">
        <f>COUNTIF($C$8:$C2182,C:C)</f>
        <v>1</v>
      </c>
      <c r="J2182" s="262"/>
      <c r="K2182" s="262"/>
      <c r="L2182" s="262"/>
      <c r="M2182" s="262"/>
      <c r="N2182" s="262"/>
      <c r="O2182" s="262"/>
      <c r="P2182" s="262"/>
      <c r="Q2182" s="262"/>
      <c r="R2182" s="262"/>
      <c r="S2182" s="262"/>
      <c r="T2182" s="262"/>
      <c r="U2182" s="262"/>
      <c r="V2182" s="262"/>
      <c r="W2182" s="262"/>
      <c r="X2182" s="262"/>
      <c r="Y2182" s="262"/>
      <c r="Z2182" s="262"/>
      <c r="AA2182" s="262"/>
      <c r="AB2182" s="262"/>
    </row>
    <row r="2183" spans="1:31" ht="12.75">
      <c r="A2183" s="646" t="s">
        <v>14475</v>
      </c>
      <c r="B2183" s="403" t="s">
        <v>14562</v>
      </c>
      <c r="C2183" s="404" t="s">
        <v>15232</v>
      </c>
      <c r="D2183" s="769" t="s">
        <v>14794</v>
      </c>
      <c r="E2183" s="405"/>
      <c r="F2183" s="369"/>
      <c r="G2183" s="370"/>
      <c r="H2183" s="371"/>
      <c r="I2183" s="262"/>
      <c r="J2183" s="262"/>
      <c r="K2183" s="262"/>
      <c r="L2183" s="262"/>
      <c r="M2183" s="262"/>
      <c r="N2183" s="262"/>
      <c r="O2183" s="262"/>
      <c r="P2183" s="262"/>
      <c r="Q2183" s="262"/>
      <c r="R2183" s="262"/>
      <c r="S2183" s="262"/>
      <c r="T2183" s="262"/>
      <c r="U2183" s="262"/>
      <c r="V2183" s="262"/>
      <c r="W2183" s="262"/>
      <c r="X2183" s="262"/>
      <c r="Y2183" s="262"/>
      <c r="Z2183" s="262"/>
      <c r="AA2183" s="262"/>
      <c r="AB2183" s="262"/>
    </row>
    <row r="2184" spans="1:31" ht="25.5">
      <c r="A2184" s="586" t="s">
        <v>14478</v>
      </c>
      <c r="B2184" s="373" t="s">
        <v>14476</v>
      </c>
      <c r="C2184" s="374">
        <v>88264</v>
      </c>
      <c r="D2184" s="288" t="str">
        <f>IFERROR(VLOOKUP($C2184,'24.08_ND'!$A:$D,2,0),)</f>
        <v>ELETRICISTA COM ENCARGOS COMPLEMENTARES</v>
      </c>
      <c r="E2184" s="289" t="str">
        <f>IFERROR(VLOOKUP($C2184,'24.08_ND'!$A:$D,3,0),)</f>
        <v>H</v>
      </c>
      <c r="F2184" s="441">
        <v>0.22</v>
      </c>
      <c r="G2184" s="291">
        <f>IFERROR(VLOOKUP($C2184,'24.08_ND'!$A:$D,4,0),)</f>
        <v>24.3</v>
      </c>
      <c r="H2184" s="440">
        <f>TRUNC(($F2184*$G2184),2)</f>
        <v>5.34</v>
      </c>
      <c r="I2184" s="262"/>
      <c r="J2184" s="262"/>
      <c r="K2184" s="262"/>
      <c r="L2184" s="262"/>
      <c r="M2184" s="262"/>
      <c r="N2184" s="262"/>
      <c r="O2184" s="262"/>
      <c r="P2184" s="262"/>
      <c r="Q2184" s="262"/>
      <c r="R2184" s="262"/>
      <c r="S2184" s="262"/>
      <c r="T2184" s="262"/>
      <c r="U2184" s="262"/>
      <c r="V2184" s="262"/>
      <c r="W2184" s="262"/>
      <c r="X2184" s="262"/>
      <c r="Y2184" s="262"/>
      <c r="Z2184" s="262"/>
      <c r="AA2184" s="262"/>
      <c r="AB2184" s="262"/>
      <c r="AD2184" s="1791" t="e">
        <f>VLOOKUP(C2184,'Medição '!$B$16:$F$1833,6,0)</f>
        <v>#N/A</v>
      </c>
      <c r="AE2184" s="1791"/>
    </row>
    <row r="2185" spans="1:31" ht="25.5">
      <c r="A2185" s="586" t="s">
        <v>14478</v>
      </c>
      <c r="B2185" s="373" t="s">
        <v>14476</v>
      </c>
      <c r="C2185" s="374">
        <v>88247</v>
      </c>
      <c r="D2185" s="288" t="str">
        <f>IFERROR(VLOOKUP($C2185,'24.08_ND'!$A:$D,2,0),)</f>
        <v>AUXILIAR DE ELETRICISTA COM ENCARGOS COMPLEMENTARES</v>
      </c>
      <c r="E2185" s="289" t="str">
        <f>IFERROR(VLOOKUP($C2185,'24.08_ND'!$A:$D,3,0),)</f>
        <v>H</v>
      </c>
      <c r="F2185" s="441">
        <v>0.11</v>
      </c>
      <c r="G2185" s="291">
        <f>IFERROR(VLOOKUP($C2185,'24.08_ND'!$A:$D,4,0),)</f>
        <v>20</v>
      </c>
      <c r="H2185" s="440">
        <f>TRUNC(($F2185*$G2185),2)</f>
        <v>2.2000000000000002</v>
      </c>
      <c r="I2185" s="262"/>
      <c r="J2185" s="262"/>
      <c r="K2185" s="262"/>
      <c r="L2185" s="262"/>
      <c r="M2185" s="262"/>
      <c r="N2185" s="262"/>
      <c r="O2185" s="262"/>
      <c r="P2185" s="262"/>
      <c r="Q2185" s="262"/>
      <c r="R2185" s="262"/>
      <c r="S2185" s="262"/>
      <c r="T2185" s="262"/>
      <c r="U2185" s="262"/>
      <c r="V2185" s="262"/>
      <c r="W2185" s="262"/>
      <c r="X2185" s="262"/>
      <c r="Y2185" s="262"/>
      <c r="Z2185" s="262"/>
      <c r="AA2185" s="262"/>
      <c r="AB2185" s="262"/>
      <c r="AD2185" s="1791" t="e">
        <f>VLOOKUP(C2185,'Medição '!$B$16:$F$1833,6,0)</f>
        <v>#N/A</v>
      </c>
      <c r="AE2185" s="1791"/>
    </row>
    <row r="2186" spans="1:31" ht="25.5">
      <c r="A2186" s="758" t="s">
        <v>14479</v>
      </c>
      <c r="B2186" s="797" t="s">
        <v>14476</v>
      </c>
      <c r="C2186" s="384">
        <v>1578</v>
      </c>
      <c r="D2186" s="296" t="str">
        <f>IFERROR(VLOOKUP($C2186,'24.08_ND'!$A:$D,2,0),)</f>
        <v>TERMINAL A COMPRESSAO EM COBRE ESTANHADO PARA CABO 50 MM2, 1 FURO E 1 COMPRESSAO, PARA PARAFUSO DE FIXACAO M8</v>
      </c>
      <c r="E2186" s="297" t="str">
        <f>IFERROR(VLOOKUP($C2186,'24.08_ND'!$A:$D,3,0),)</f>
        <v>UN</v>
      </c>
      <c r="F2186" s="385">
        <v>2</v>
      </c>
      <c r="G2186" s="299">
        <f>IFERROR(VLOOKUP($C2186,'24.08_ND'!$A:$D,4,0),)</f>
        <v>5.97</v>
      </c>
      <c r="H2186" s="449">
        <f>TRUNC(($F2186*$G2186),2)</f>
        <v>11.94</v>
      </c>
      <c r="I2186" s="262"/>
      <c r="J2186" s="262"/>
      <c r="K2186" s="262"/>
      <c r="L2186" s="262"/>
      <c r="M2186" s="262"/>
      <c r="N2186" s="262"/>
      <c r="O2186" s="262"/>
      <c r="P2186" s="262"/>
      <c r="Q2186" s="262"/>
      <c r="R2186" s="262"/>
      <c r="S2186" s="262"/>
      <c r="T2186" s="262"/>
      <c r="U2186" s="262"/>
      <c r="V2186" s="262"/>
      <c r="W2186" s="262"/>
      <c r="X2186" s="262"/>
      <c r="Y2186" s="262"/>
      <c r="Z2186" s="262"/>
      <c r="AA2186" s="262"/>
      <c r="AB2186" s="262"/>
    </row>
    <row r="2187" spans="1:31" ht="12.75">
      <c r="A2187" s="754" t="s">
        <v>14479</v>
      </c>
      <c r="B2187" s="312" t="str">
        <f>VLOOKUP($C2187,'• CIs EXT'!$A:$E,2,0)</f>
        <v>SETOP</v>
      </c>
      <c r="C2187" s="591" t="s">
        <v>15233</v>
      </c>
      <c r="D2187" s="378" t="str">
        <f>VLOOKUP($C2187,'• CIs EXT'!$A:$E,3,0)</f>
        <v>DISJUNTOR (TIPO: BIPOLAR|CURVA:C|CORRENTE: 125A|I MÁX: 10KA)</v>
      </c>
      <c r="E2187" s="379" t="str">
        <f>VLOOKUP($C2187,'• CIs EXT'!$A:$E,4,0)</f>
        <v>UN</v>
      </c>
      <c r="F2187" s="380">
        <v>1</v>
      </c>
      <c r="G2187" s="379">
        <f>VLOOKUP($C2187,'• CIs EXT'!$A:$E,5,0)</f>
        <v>158.41999999999999</v>
      </c>
      <c r="H2187" s="381">
        <f>TRUNC(($F2187*$G2187),2)</f>
        <v>158.41999999999999</v>
      </c>
      <c r="I2187" s="262"/>
      <c r="J2187" s="262"/>
      <c r="K2187" s="262"/>
      <c r="L2187" s="262"/>
      <c r="M2187" s="262"/>
      <c r="N2187" s="262"/>
      <c r="O2187" s="262"/>
      <c r="P2187" s="262"/>
      <c r="Q2187" s="262"/>
      <c r="R2187" s="262"/>
      <c r="S2187" s="262"/>
      <c r="T2187" s="262"/>
      <c r="U2187" s="262"/>
      <c r="V2187" s="262"/>
      <c r="W2187" s="262"/>
      <c r="X2187" s="262"/>
      <c r="Y2187" s="262"/>
      <c r="Z2187" s="262"/>
      <c r="AA2187" s="262"/>
      <c r="AB2187" s="262"/>
    </row>
    <row r="2188" spans="1:31" ht="12.75">
      <c r="A2188" s="766"/>
      <c r="B2188" s="767"/>
      <c r="C2188" s="3"/>
      <c r="D2188" s="768"/>
      <c r="E2188" s="690"/>
      <c r="F2188" s="691"/>
      <c r="G2188" s="690"/>
      <c r="H2188" s="692"/>
      <c r="I2188" s="262"/>
      <c r="J2188" s="262"/>
      <c r="K2188" s="262"/>
      <c r="L2188" s="262"/>
      <c r="M2188" s="262"/>
      <c r="N2188" s="262"/>
      <c r="O2188" s="262"/>
      <c r="P2188" s="262"/>
      <c r="Q2188" s="262"/>
      <c r="R2188" s="262"/>
      <c r="S2188" s="262"/>
      <c r="T2188" s="262"/>
      <c r="U2188" s="262"/>
      <c r="V2188" s="262"/>
      <c r="W2188" s="262"/>
      <c r="X2188" s="262"/>
      <c r="Y2188" s="262"/>
      <c r="Z2188" s="262"/>
      <c r="AA2188" s="262"/>
      <c r="AB2188" s="262"/>
    </row>
    <row r="2189" spans="1:31" ht="12.75">
      <c r="A2189" s="640"/>
      <c r="B2189" s="641"/>
      <c r="C2189" s="368"/>
      <c r="D2189" s="370"/>
      <c r="E2189" s="370"/>
      <c r="F2189" s="369"/>
      <c r="G2189" s="370"/>
      <c r="H2189" s="371"/>
      <c r="I2189" s="262"/>
      <c r="J2189" s="262"/>
      <c r="K2189" s="262"/>
      <c r="L2189" s="262"/>
      <c r="M2189" s="262"/>
      <c r="N2189" s="262"/>
      <c r="O2189" s="262"/>
      <c r="P2189" s="262"/>
      <c r="Q2189" s="262"/>
      <c r="R2189" s="262"/>
      <c r="S2189" s="262"/>
      <c r="T2189" s="262"/>
      <c r="U2189" s="262"/>
      <c r="V2189" s="262"/>
      <c r="W2189" s="262"/>
      <c r="X2189" s="262"/>
      <c r="Y2189" s="262"/>
      <c r="Z2189" s="262"/>
      <c r="AA2189" s="262"/>
      <c r="AB2189" s="262"/>
    </row>
    <row r="2190" spans="1:31" ht="12.75">
      <c r="A2190" s="358" t="s">
        <v>14471</v>
      </c>
      <c r="B2190" s="359" t="s">
        <v>14472</v>
      </c>
      <c r="C2190" s="359" t="s">
        <v>15234</v>
      </c>
      <c r="D2190" s="361" t="s">
        <v>15235</v>
      </c>
      <c r="E2190" s="359" t="s">
        <v>6</v>
      </c>
      <c r="F2190" s="362"/>
      <c r="G2190" s="362"/>
      <c r="H2190" s="363">
        <f>TRUNC(SUM(H2192:H2195),2)</f>
        <v>256.58999999999997</v>
      </c>
      <c r="I2190" s="276">
        <f>COUNTIF($C$8:$C2190,C:C)</f>
        <v>1</v>
      </c>
      <c r="J2190" s="262"/>
      <c r="K2190" s="262"/>
      <c r="L2190" s="262"/>
      <c r="M2190" s="262"/>
      <c r="N2190" s="262"/>
      <c r="O2190" s="262"/>
      <c r="P2190" s="262"/>
      <c r="Q2190" s="262"/>
      <c r="R2190" s="262"/>
      <c r="S2190" s="262"/>
      <c r="T2190" s="262"/>
      <c r="U2190" s="262"/>
      <c r="V2190" s="262"/>
      <c r="W2190" s="262"/>
      <c r="X2190" s="262"/>
      <c r="Y2190" s="262"/>
      <c r="Z2190" s="262"/>
      <c r="AA2190" s="262"/>
      <c r="AB2190" s="262"/>
    </row>
    <row r="2191" spans="1:31" ht="12.75">
      <c r="A2191" s="646" t="s">
        <v>14475</v>
      </c>
      <c r="B2191" s="403" t="s">
        <v>15219</v>
      </c>
      <c r="C2191" s="404">
        <v>101902</v>
      </c>
      <c r="D2191" s="769" t="s">
        <v>14587</v>
      </c>
      <c r="E2191" s="641"/>
      <c r="F2191" s="369"/>
      <c r="G2191" s="370"/>
      <c r="H2191" s="371"/>
      <c r="I2191" s="262"/>
      <c r="J2191" s="262"/>
      <c r="K2191" s="262"/>
      <c r="L2191" s="262"/>
      <c r="M2191" s="262"/>
      <c r="N2191" s="262"/>
      <c r="O2191" s="262"/>
      <c r="P2191" s="262"/>
      <c r="Q2191" s="262"/>
      <c r="R2191" s="262"/>
      <c r="S2191" s="262"/>
      <c r="T2191" s="262"/>
      <c r="U2191" s="262"/>
      <c r="V2191" s="262"/>
      <c r="W2191" s="262"/>
      <c r="X2191" s="262"/>
      <c r="Y2191" s="262"/>
      <c r="Z2191" s="262"/>
      <c r="AA2191" s="262"/>
      <c r="AB2191" s="262"/>
    </row>
    <row r="2192" spans="1:31" ht="25.5">
      <c r="A2192" s="586" t="s">
        <v>14478</v>
      </c>
      <c r="B2192" s="373" t="s">
        <v>14476</v>
      </c>
      <c r="C2192" s="374">
        <v>88247</v>
      </c>
      <c r="D2192" s="288" t="str">
        <f>IFERROR(VLOOKUP($C2192,'24.08_ND'!$A:$D,2,0),)</f>
        <v>AUXILIAR DE ELETRICISTA COM ENCARGOS COMPLEMENTARES</v>
      </c>
      <c r="E2192" s="289" t="str">
        <f>IFERROR(VLOOKUP($C2192,'24.08_ND'!$A:$D,3,0),)</f>
        <v>H</v>
      </c>
      <c r="F2192" s="441">
        <v>0.1988</v>
      </c>
      <c r="G2192" s="291">
        <f>IFERROR(VLOOKUP($C2192,'24.08_ND'!$A:$D,4,0),)</f>
        <v>20</v>
      </c>
      <c r="H2192" s="440">
        <f>TRUNC(($F2192*$G2192),2)</f>
        <v>3.97</v>
      </c>
      <c r="I2192" s="262"/>
      <c r="J2192" s="262"/>
      <c r="K2192" s="262"/>
      <c r="L2192" s="262"/>
      <c r="M2192" s="262"/>
      <c r="N2192" s="262"/>
      <c r="O2192" s="262"/>
      <c r="P2192" s="262"/>
      <c r="Q2192" s="262"/>
      <c r="R2192" s="262"/>
      <c r="S2192" s="262"/>
      <c r="T2192" s="262"/>
      <c r="U2192" s="262"/>
      <c r="V2192" s="262"/>
      <c r="W2192" s="262"/>
      <c r="X2192" s="262"/>
      <c r="Y2192" s="262"/>
      <c r="Z2192" s="262"/>
      <c r="AA2192" s="262"/>
      <c r="AB2192" s="262"/>
      <c r="AD2192" s="1791" t="e">
        <f>VLOOKUP(C2192,'Medição '!$B$16:$F$1833,6,0)</f>
        <v>#N/A</v>
      </c>
      <c r="AE2192" s="1791"/>
    </row>
    <row r="2193" spans="1:31" ht="25.5">
      <c r="A2193" s="586" t="s">
        <v>14478</v>
      </c>
      <c r="B2193" s="373" t="s">
        <v>14476</v>
      </c>
      <c r="C2193" s="374">
        <v>88264</v>
      </c>
      <c r="D2193" s="288" t="str">
        <f>IFERROR(VLOOKUP($C2193,'24.08_ND'!$A:$D,2,0),)</f>
        <v>ELETRICISTA COM ENCARGOS COMPLEMENTARES</v>
      </c>
      <c r="E2193" s="289" t="str">
        <f>IFERROR(VLOOKUP($C2193,'24.08_ND'!$A:$D,3,0),)</f>
        <v>H</v>
      </c>
      <c r="F2193" s="441">
        <v>0.1988</v>
      </c>
      <c r="G2193" s="291">
        <f>IFERROR(VLOOKUP($C2193,'24.08_ND'!$A:$D,4,0),)</f>
        <v>24.3</v>
      </c>
      <c r="H2193" s="440">
        <f>TRUNC(($F2193*$G2193),2)</f>
        <v>4.83</v>
      </c>
      <c r="I2193" s="262"/>
      <c r="J2193" s="262"/>
      <c r="K2193" s="262"/>
      <c r="L2193" s="262"/>
      <c r="M2193" s="262"/>
      <c r="N2193" s="262"/>
      <c r="O2193" s="262"/>
      <c r="P2193" s="262"/>
      <c r="Q2193" s="262"/>
      <c r="R2193" s="262"/>
      <c r="S2193" s="262"/>
      <c r="T2193" s="262"/>
      <c r="U2193" s="262"/>
      <c r="V2193" s="262"/>
      <c r="W2193" s="262"/>
      <c r="X2193" s="262"/>
      <c r="Y2193" s="262"/>
      <c r="Z2193" s="262"/>
      <c r="AA2193" s="262"/>
      <c r="AB2193" s="262"/>
      <c r="AD2193" s="1791" t="e">
        <f>VLOOKUP(C2193,'Medição '!$B$16:$F$1833,6,0)</f>
        <v>#N/A</v>
      </c>
      <c r="AE2193" s="1791"/>
    </row>
    <row r="2194" spans="1:31" ht="25.5">
      <c r="A2194" s="758" t="s">
        <v>14479</v>
      </c>
      <c r="B2194" s="797" t="s">
        <v>14476</v>
      </c>
      <c r="C2194" s="384">
        <v>1571</v>
      </c>
      <c r="D2194" s="296" t="str">
        <f>IFERROR(VLOOKUP($C2194,'24.08_ND'!$A:$D,2,0),)</f>
        <v>TERMINAL A COMPRESSAO EM COBRE ESTANHADO PARA CABO 4 MM2, 1 FURO E 1 COMPRESSAO, PARA PARAFUSO DE FIXACAO M5</v>
      </c>
      <c r="E2194" s="297" t="str">
        <f>IFERROR(VLOOKUP($C2194,'24.08_ND'!$A:$D,3,0),)</f>
        <v>UN</v>
      </c>
      <c r="F2194" s="385">
        <v>2</v>
      </c>
      <c r="G2194" s="299">
        <f>IFERROR(VLOOKUP($C2194,'24.08_ND'!$A:$D,4,0),)</f>
        <v>1.43</v>
      </c>
      <c r="H2194" s="449">
        <f>TRUNC(($F2194*$G2194),2)</f>
        <v>2.86</v>
      </c>
      <c r="I2194" s="262"/>
      <c r="J2194" s="262"/>
      <c r="K2194" s="262"/>
      <c r="L2194" s="262"/>
      <c r="M2194" s="262"/>
      <c r="N2194" s="262"/>
      <c r="O2194" s="262"/>
      <c r="P2194" s="262"/>
      <c r="Q2194" s="262"/>
      <c r="R2194" s="262"/>
      <c r="S2194" s="262"/>
      <c r="T2194" s="262"/>
      <c r="U2194" s="262"/>
      <c r="V2194" s="262"/>
      <c r="W2194" s="262"/>
      <c r="X2194" s="262"/>
      <c r="Y2194" s="262"/>
      <c r="Z2194" s="262"/>
      <c r="AA2194" s="262"/>
      <c r="AB2194" s="262"/>
    </row>
    <row r="2195" spans="1:31" ht="12.75">
      <c r="A2195" s="798" t="s">
        <v>14479</v>
      </c>
      <c r="B2195" s="799" t="s">
        <v>14491</v>
      </c>
      <c r="C2195" s="800" t="s">
        <v>15236</v>
      </c>
      <c r="D2195" s="801" t="str">
        <f>VLOOKUP($C2195,'09 - MC'!$A:$F,2,0)</f>
        <v>CONTATOR MODULAR MONO 220V 20A 2NA</v>
      </c>
      <c r="E2195" s="802" t="str">
        <f>VLOOKUP($C2195,'09 - MC'!$A:$F,3,0)</f>
        <v>UN</v>
      </c>
      <c r="F2195" s="803">
        <v>1</v>
      </c>
      <c r="G2195" s="804">
        <f>VLOOKUP($C2195,'09 - MC'!$A:$F,6,0)</f>
        <v>244.93</v>
      </c>
      <c r="H2195" s="805">
        <f>TRUNC(G2195*F2195,2)</f>
        <v>244.93</v>
      </c>
      <c r="I2195" s="262"/>
      <c r="J2195" s="262"/>
      <c r="K2195" s="262"/>
      <c r="L2195" s="262"/>
      <c r="M2195" s="262"/>
      <c r="N2195" s="262"/>
      <c r="O2195" s="262"/>
      <c r="P2195" s="262"/>
      <c r="Q2195" s="262"/>
      <c r="R2195" s="262"/>
      <c r="S2195" s="262"/>
      <c r="T2195" s="262"/>
      <c r="U2195" s="262"/>
      <c r="V2195" s="262"/>
      <c r="W2195" s="262"/>
      <c r="X2195" s="262"/>
      <c r="Y2195" s="262"/>
      <c r="Z2195" s="262"/>
      <c r="AA2195" s="262"/>
      <c r="AB2195" s="262"/>
    </row>
    <row r="2196" spans="1:31" ht="12.75">
      <c r="A2196" s="766"/>
      <c r="B2196" s="767"/>
      <c r="C2196" s="3"/>
      <c r="D2196" s="768"/>
      <c r="E2196" s="690"/>
      <c r="F2196" s="691"/>
      <c r="G2196" s="690"/>
      <c r="H2196" s="692"/>
      <c r="I2196" s="262"/>
      <c r="J2196" s="262"/>
      <c r="K2196" s="262"/>
      <c r="L2196" s="262"/>
      <c r="M2196" s="262"/>
      <c r="N2196" s="262"/>
      <c r="O2196" s="262"/>
      <c r="P2196" s="262"/>
      <c r="Q2196" s="262"/>
      <c r="R2196" s="262"/>
      <c r="S2196" s="262"/>
      <c r="T2196" s="262"/>
      <c r="U2196" s="262"/>
      <c r="V2196" s="262"/>
      <c r="W2196" s="262"/>
      <c r="X2196" s="262"/>
      <c r="Y2196" s="262"/>
      <c r="Z2196" s="262"/>
      <c r="AA2196" s="262"/>
      <c r="AB2196" s="262"/>
    </row>
    <row r="2197" spans="1:31" ht="25.5">
      <c r="A2197" s="358" t="s">
        <v>14471</v>
      </c>
      <c r="B2197" s="359" t="s">
        <v>14472</v>
      </c>
      <c r="C2197" s="359" t="s">
        <v>15237</v>
      </c>
      <c r="D2197" s="361" t="s">
        <v>15238</v>
      </c>
      <c r="E2197" s="359" t="s">
        <v>6</v>
      </c>
      <c r="F2197" s="362"/>
      <c r="G2197" s="362"/>
      <c r="H2197" s="363">
        <f>TRUNC(SUM(H2199:H2206),2)</f>
        <v>566.30999999999995</v>
      </c>
      <c r="I2197" s="276">
        <f>COUNTIF($C$8:$C2197,C:C)</f>
        <v>1</v>
      </c>
      <c r="J2197" s="262"/>
      <c r="K2197" s="262"/>
      <c r="L2197" s="262"/>
      <c r="M2197" s="262"/>
      <c r="N2197" s="262"/>
      <c r="O2197" s="262"/>
      <c r="P2197" s="262"/>
      <c r="Q2197" s="262"/>
      <c r="R2197" s="262"/>
      <c r="S2197" s="262"/>
      <c r="T2197" s="262"/>
      <c r="U2197" s="262"/>
      <c r="V2197" s="262"/>
      <c r="W2197" s="262"/>
      <c r="X2197" s="262"/>
      <c r="Y2197" s="262"/>
      <c r="Z2197" s="262"/>
      <c r="AA2197" s="262"/>
      <c r="AB2197" s="262"/>
    </row>
    <row r="2198" spans="1:31" ht="12.75">
      <c r="A2198" s="646" t="s">
        <v>14475</v>
      </c>
      <c r="B2198" s="403" t="s">
        <v>14600</v>
      </c>
      <c r="C2198" s="404">
        <v>13321</v>
      </c>
      <c r="D2198" s="769" t="s">
        <v>14567</v>
      </c>
      <c r="E2198" s="405"/>
      <c r="F2198" s="369"/>
      <c r="G2198" s="370"/>
      <c r="H2198" s="371"/>
      <c r="I2198" s="262"/>
      <c r="J2198" s="262"/>
      <c r="K2198" s="262"/>
      <c r="L2198" s="262"/>
      <c r="M2198" s="262"/>
      <c r="N2198" s="262"/>
      <c r="O2198" s="262"/>
      <c r="P2198" s="262"/>
      <c r="Q2198" s="262"/>
      <c r="R2198" s="262"/>
      <c r="S2198" s="262"/>
      <c r="T2198" s="262"/>
      <c r="U2198" s="262"/>
      <c r="V2198" s="262"/>
      <c r="W2198" s="262"/>
      <c r="X2198" s="262"/>
      <c r="Y2198" s="262"/>
      <c r="Z2198" s="262"/>
      <c r="AA2198" s="262"/>
      <c r="AB2198" s="262"/>
    </row>
    <row r="2199" spans="1:31" ht="25.5">
      <c r="A2199" s="586" t="s">
        <v>14478</v>
      </c>
      <c r="B2199" s="373" t="s">
        <v>14476</v>
      </c>
      <c r="C2199" s="374">
        <v>88264</v>
      </c>
      <c r="D2199" s="288" t="str">
        <f>IFERROR(VLOOKUP($C2199,'24.08_ND'!$A:$D,2,0),)</f>
        <v>ELETRICISTA COM ENCARGOS COMPLEMENTARES</v>
      </c>
      <c r="E2199" s="289" t="str">
        <f>IFERROR(VLOOKUP($C2199,'24.08_ND'!$A:$D,3,0),)</f>
        <v>H</v>
      </c>
      <c r="F2199" s="441">
        <v>2</v>
      </c>
      <c r="G2199" s="291">
        <f>IFERROR(VLOOKUP($C2199,'24.08_ND'!$A:$D,4,0),)</f>
        <v>24.3</v>
      </c>
      <c r="H2199" s="440">
        <f>TRUNC(($F2199*$G2199),2)</f>
        <v>48.6</v>
      </c>
      <c r="I2199" s="262"/>
      <c r="J2199" s="262"/>
      <c r="K2199" s="262"/>
      <c r="L2199" s="262"/>
      <c r="M2199" s="262"/>
      <c r="N2199" s="262"/>
      <c r="O2199" s="262"/>
      <c r="P2199" s="262"/>
      <c r="Q2199" s="262"/>
      <c r="R2199" s="262"/>
      <c r="S2199" s="262"/>
      <c r="T2199" s="262"/>
      <c r="U2199" s="262"/>
      <c r="V2199" s="262"/>
      <c r="W2199" s="262"/>
      <c r="X2199" s="262"/>
      <c r="Y2199" s="262"/>
      <c r="Z2199" s="262"/>
      <c r="AA2199" s="262"/>
      <c r="AB2199" s="262"/>
      <c r="AD2199" s="1791" t="e">
        <f>VLOOKUP(C2199,'Medição '!$B$16:$F$1833,6,0)</f>
        <v>#N/A</v>
      </c>
      <c r="AE2199" s="1791"/>
    </row>
    <row r="2200" spans="1:31" ht="25.5">
      <c r="A2200" s="586" t="s">
        <v>14478</v>
      </c>
      <c r="B2200" s="373" t="s">
        <v>14476</v>
      </c>
      <c r="C2200" s="374">
        <v>88247</v>
      </c>
      <c r="D2200" s="288" t="str">
        <f>IFERROR(VLOOKUP($C2200,'24.08_ND'!$A:$D,2,0),)</f>
        <v>AUXILIAR DE ELETRICISTA COM ENCARGOS COMPLEMENTARES</v>
      </c>
      <c r="E2200" s="289" t="str">
        <f>IFERROR(VLOOKUP($C2200,'24.08_ND'!$A:$D,3,0),)</f>
        <v>H</v>
      </c>
      <c r="F2200" s="441">
        <v>2</v>
      </c>
      <c r="G2200" s="291">
        <f>IFERROR(VLOOKUP($C2200,'24.08_ND'!$A:$D,4,0),)</f>
        <v>20</v>
      </c>
      <c r="H2200" s="440">
        <f>TRUNC(($F2200*$G2200),2)</f>
        <v>40</v>
      </c>
      <c r="I2200" s="262"/>
      <c r="J2200" s="262"/>
      <c r="K2200" s="262"/>
      <c r="L2200" s="262"/>
      <c r="M2200" s="262"/>
      <c r="N2200" s="262"/>
      <c r="O2200" s="262"/>
      <c r="P2200" s="262"/>
      <c r="Q2200" s="262"/>
      <c r="R2200" s="262"/>
      <c r="S2200" s="262"/>
      <c r="T2200" s="262"/>
      <c r="U2200" s="262"/>
      <c r="V2200" s="262"/>
      <c r="W2200" s="262"/>
      <c r="X2200" s="262"/>
      <c r="Y2200" s="262"/>
      <c r="Z2200" s="262"/>
      <c r="AA2200" s="262"/>
      <c r="AB2200" s="262"/>
      <c r="AD2200" s="1791" t="e">
        <f>VLOOKUP(C2200,'Medição '!$B$16:$F$1833,6,0)</f>
        <v>#N/A</v>
      </c>
      <c r="AE2200" s="1791"/>
    </row>
    <row r="2201" spans="1:31" ht="12.75">
      <c r="A2201" s="798" t="s">
        <v>14479</v>
      </c>
      <c r="B2201" s="799" t="s">
        <v>14491</v>
      </c>
      <c r="C2201" s="800" t="s">
        <v>15239</v>
      </c>
      <c r="D2201" s="801" t="str">
        <f>VLOOKUP($C2201,'09 - MC'!$A:$F,2,0)</f>
        <v>BLOCO DISTRIBUIÇÃO 2 BARRAMENTOS 2X11 125A</v>
      </c>
      <c r="E2201" s="802" t="str">
        <f>VLOOKUP($C2201,'09 - MC'!$A:$F,3,0)</f>
        <v>UN</v>
      </c>
      <c r="F2201" s="803">
        <v>1</v>
      </c>
      <c r="G2201" s="804">
        <f>VLOOKUP($C2201,'09 - MC'!$A:$F,6,0)</f>
        <v>84.85</v>
      </c>
      <c r="H2201" s="805">
        <f>TRUNC(G2201*F2201,2)</f>
        <v>84.85</v>
      </c>
      <c r="I2201" s="262"/>
      <c r="J2201" s="262"/>
      <c r="K2201" s="262"/>
      <c r="L2201" s="262"/>
      <c r="M2201" s="262"/>
      <c r="N2201" s="262"/>
      <c r="O2201" s="262"/>
      <c r="P2201" s="262"/>
      <c r="Q2201" s="262"/>
      <c r="R2201" s="262"/>
      <c r="S2201" s="262"/>
      <c r="T2201" s="262"/>
      <c r="U2201" s="262"/>
      <c r="V2201" s="262"/>
      <c r="W2201" s="262"/>
      <c r="X2201" s="262"/>
      <c r="Y2201" s="262"/>
      <c r="Z2201" s="262"/>
      <c r="AA2201" s="262"/>
      <c r="AB2201" s="262"/>
    </row>
    <row r="2202" spans="1:31" ht="12.75">
      <c r="A2202" s="754" t="s">
        <v>14479</v>
      </c>
      <c r="B2202" s="312" t="str">
        <f>VLOOKUP($C2202,'• CIs EXT'!$A:$E,2,0)</f>
        <v>ORSE</v>
      </c>
      <c r="C2202" s="591">
        <v>3032</v>
      </c>
      <c r="D2202" s="378" t="str">
        <f>VLOOKUP($C2202,'• CIs EXT'!$A:$E,3,0)</f>
        <v>CAIXA P/QUADRO ELETRICO EM CHAPA METALICA D=60 X 50 X 20CM</v>
      </c>
      <c r="E2202" s="379" t="str">
        <f>VLOOKUP($C2202,'• CIs EXT'!$A:$E,4,0)</f>
        <v>UN</v>
      </c>
      <c r="F2202" s="380">
        <v>1</v>
      </c>
      <c r="G2202" s="379">
        <f>VLOOKUP($C2202,'• CIs EXT'!$A:$E,5,0)</f>
        <v>337.07</v>
      </c>
      <c r="H2202" s="381">
        <f>TRUNC(($F2202*$G2202),2)</f>
        <v>337.07</v>
      </c>
      <c r="I2202" s="262"/>
      <c r="J2202" s="262"/>
      <c r="K2202" s="262"/>
      <c r="L2202" s="262"/>
      <c r="M2202" s="262"/>
      <c r="N2202" s="262"/>
      <c r="O2202" s="262"/>
      <c r="P2202" s="262"/>
      <c r="Q2202" s="262"/>
      <c r="R2202" s="262"/>
      <c r="S2202" s="262"/>
      <c r="T2202" s="262"/>
      <c r="U2202" s="262"/>
      <c r="V2202" s="262"/>
      <c r="W2202" s="262"/>
      <c r="X2202" s="262"/>
      <c r="Y2202" s="262"/>
      <c r="Z2202" s="262"/>
      <c r="AA2202" s="262"/>
      <c r="AB2202" s="262"/>
    </row>
    <row r="2203" spans="1:31" ht="12.75">
      <c r="A2203" s="754" t="s">
        <v>14479</v>
      </c>
      <c r="B2203" s="312" t="str">
        <f>VLOOKUP($C2203,'• CIs EXT'!$A:$E,2,0)</f>
        <v>ORSE</v>
      </c>
      <c r="C2203" s="591">
        <v>3010</v>
      </c>
      <c r="D2203" s="378" t="str">
        <f>VLOOKUP($C2203,'• CIs EXT'!$A:$E,3,0)</f>
        <v>CANALETA PLÁSTICA 25 X 25MM, LINHA DEXSON, SCHNEIDER OU SIMILAR</v>
      </c>
      <c r="E2203" s="379" t="str">
        <f>VLOOKUP($C2203,'• CIs EXT'!$A:$E,4,0)</f>
        <v>M</v>
      </c>
      <c r="F2203" s="380">
        <v>1</v>
      </c>
      <c r="G2203" s="379">
        <f>VLOOKUP($C2203,'• CIs EXT'!$A:$E,5,0)</f>
        <v>8.65</v>
      </c>
      <c r="H2203" s="381">
        <f>TRUNC(($F2203*$G2203),2)</f>
        <v>8.65</v>
      </c>
      <c r="I2203" s="262"/>
      <c r="J2203" s="262"/>
      <c r="K2203" s="262"/>
      <c r="L2203" s="262"/>
      <c r="M2203" s="262"/>
      <c r="N2203" s="262"/>
      <c r="O2203" s="262"/>
      <c r="P2203" s="262"/>
      <c r="Q2203" s="262"/>
      <c r="R2203" s="262"/>
      <c r="S2203" s="262"/>
      <c r="T2203" s="262"/>
      <c r="U2203" s="262"/>
      <c r="V2203" s="262"/>
      <c r="W2203" s="262"/>
      <c r="X2203" s="262"/>
      <c r="Y2203" s="262"/>
      <c r="Z2203" s="262"/>
      <c r="AA2203" s="262"/>
      <c r="AB2203" s="262"/>
    </row>
    <row r="2204" spans="1:31" ht="12.75">
      <c r="A2204" s="754" t="s">
        <v>14479</v>
      </c>
      <c r="B2204" s="312" t="str">
        <f>VLOOKUP($C2204,'• CIs EXT'!$A:$E,2,0)</f>
        <v>ORSE</v>
      </c>
      <c r="C2204" s="591">
        <v>11471</v>
      </c>
      <c r="D2204" s="378" t="str">
        <f>VLOOKUP($C2204,'• CIs EXT'!$A:$E,3,0)</f>
        <v>CANALETA PLÁSTICA 30 X 50MM, CINZA, HELLERMAN OU SIMILAR</v>
      </c>
      <c r="E2204" s="379" t="str">
        <f>VLOOKUP($C2204,'• CIs EXT'!$A:$E,4,0)</f>
        <v>M</v>
      </c>
      <c r="F2204" s="380">
        <v>2</v>
      </c>
      <c r="G2204" s="379">
        <f>VLOOKUP($C2204,'• CIs EXT'!$A:$E,5,0)</f>
        <v>14.37</v>
      </c>
      <c r="H2204" s="381">
        <f>TRUNC(($F2204*$G2204),2)</f>
        <v>28.74</v>
      </c>
      <c r="I2204" s="262"/>
      <c r="J2204" s="262"/>
      <c r="K2204" s="262"/>
      <c r="L2204" s="262"/>
      <c r="M2204" s="262"/>
      <c r="N2204" s="262"/>
      <c r="O2204" s="262"/>
      <c r="P2204" s="262"/>
      <c r="Q2204" s="262"/>
      <c r="R2204" s="262"/>
      <c r="S2204" s="262"/>
      <c r="T2204" s="262"/>
      <c r="U2204" s="262"/>
      <c r="V2204" s="262"/>
      <c r="W2204" s="262"/>
      <c r="X2204" s="262"/>
      <c r="Y2204" s="262"/>
      <c r="Z2204" s="262"/>
      <c r="AA2204" s="262"/>
      <c r="AB2204" s="262"/>
    </row>
    <row r="2205" spans="1:31" ht="25.5">
      <c r="A2205" s="754" t="s">
        <v>14479</v>
      </c>
      <c r="B2205" s="312" t="str">
        <f>VLOOKUP($C2205,'• CIs EXT'!$A:$E,2,0)</f>
        <v>SETOP</v>
      </c>
      <c r="C2205" s="377" t="s">
        <v>15240</v>
      </c>
      <c r="D2205" s="378" t="str">
        <f>VLOOKUP($C2205,'• CIs EXT'!$A:$E,3,0)</f>
        <v>TRILHO PARA FIXAÇÃO DE DISJUNTORES (MATERIAL: AÇO|MEDIDAS: 35X7,5MM|TIPO: PERFURADO|PADRÃO: DIN)</v>
      </c>
      <c r="E2205" s="379" t="str">
        <f>VLOOKUP($C2205,'• CIs EXT'!$A:$E,4,0)</f>
        <v>M</v>
      </c>
      <c r="F2205" s="380">
        <v>2</v>
      </c>
      <c r="G2205" s="379">
        <f>VLOOKUP($C2205,'• CIs EXT'!$A:$E,5,0)</f>
        <v>8.9</v>
      </c>
      <c r="H2205" s="381">
        <f>TRUNC(($F2205*$G2205),2)</f>
        <v>17.8</v>
      </c>
      <c r="I2205" s="262"/>
      <c r="J2205" s="262"/>
      <c r="K2205" s="262"/>
      <c r="L2205" s="262"/>
      <c r="M2205" s="262"/>
      <c r="N2205" s="262"/>
      <c r="O2205" s="262"/>
      <c r="P2205" s="262"/>
      <c r="Q2205" s="262"/>
      <c r="R2205" s="262"/>
      <c r="S2205" s="262"/>
      <c r="T2205" s="262"/>
      <c r="U2205" s="262"/>
      <c r="V2205" s="262"/>
      <c r="W2205" s="262"/>
      <c r="X2205" s="262"/>
      <c r="Y2205" s="262"/>
      <c r="Z2205" s="262"/>
      <c r="AA2205" s="262"/>
      <c r="AB2205" s="262"/>
    </row>
    <row r="2206" spans="1:31" ht="25.5">
      <c r="A2206" s="754" t="s">
        <v>14479</v>
      </c>
      <c r="B2206" s="312" t="str">
        <f>VLOOKUP($C2206,'• CIs EXT'!$A:$E,2,0)</f>
        <v>SETOP</v>
      </c>
      <c r="C2206" s="377" t="s">
        <v>15241</v>
      </c>
      <c r="D2206" s="378" t="str">
        <f>VLOOKUP($C2206,'• CIs EXT'!$A:$E,3,0)</f>
        <v>REBITE DE REPUXO (DIÂMETRO: 3,2MM|COMPRIMENTO: 10MM|MATERIAL: ALUMÍNIO|ACABAMENTO: NATURAL)</v>
      </c>
      <c r="E2206" s="379" t="str">
        <f>VLOOKUP($C2206,'• CIs EXT'!$A:$E,4,0)</f>
        <v>UN</v>
      </c>
      <c r="F2206" s="380">
        <v>12</v>
      </c>
      <c r="G2206" s="379">
        <f>VLOOKUP($C2206,'• CIs EXT'!$A:$E,5,0)</f>
        <v>0.05</v>
      </c>
      <c r="H2206" s="381">
        <f>TRUNC(($F2206*$G2206),2)</f>
        <v>0.6</v>
      </c>
      <c r="I2206" s="262"/>
      <c r="J2206" s="262"/>
      <c r="K2206" s="262"/>
      <c r="L2206" s="262"/>
      <c r="M2206" s="262"/>
      <c r="N2206" s="262"/>
      <c r="O2206" s="262"/>
      <c r="P2206" s="262"/>
      <c r="Q2206" s="262"/>
      <c r="R2206" s="262"/>
      <c r="S2206" s="262"/>
      <c r="T2206" s="262"/>
      <c r="U2206" s="262"/>
      <c r="V2206" s="262"/>
      <c r="W2206" s="262"/>
      <c r="X2206" s="262"/>
      <c r="Y2206" s="262"/>
      <c r="Z2206" s="262"/>
      <c r="AA2206" s="262"/>
      <c r="AB2206" s="262"/>
    </row>
    <row r="2207" spans="1:31" ht="12.75">
      <c r="A2207" s="766"/>
      <c r="B2207" s="767"/>
      <c r="C2207" s="3"/>
      <c r="D2207" s="768"/>
      <c r="E2207" s="690"/>
      <c r="F2207" s="691"/>
      <c r="G2207" s="690"/>
      <c r="H2207" s="692"/>
      <c r="I2207" s="262"/>
      <c r="J2207" s="262"/>
      <c r="K2207" s="262"/>
      <c r="L2207" s="262"/>
      <c r="M2207" s="262"/>
      <c r="N2207" s="262"/>
      <c r="O2207" s="262"/>
      <c r="P2207" s="262"/>
      <c r="Q2207" s="262"/>
      <c r="R2207" s="262"/>
      <c r="S2207" s="262"/>
      <c r="T2207" s="262"/>
      <c r="U2207" s="262"/>
      <c r="V2207" s="262"/>
      <c r="W2207" s="262"/>
      <c r="X2207" s="262"/>
      <c r="Y2207" s="262"/>
      <c r="Z2207" s="262"/>
      <c r="AA2207" s="262"/>
      <c r="AB2207" s="262"/>
    </row>
    <row r="2208" spans="1:31" ht="25.5">
      <c r="A2208" s="358" t="s">
        <v>14471</v>
      </c>
      <c r="B2208" s="359" t="s">
        <v>14472</v>
      </c>
      <c r="C2208" s="360" t="s">
        <v>15242</v>
      </c>
      <c r="D2208" s="361" t="s">
        <v>15243</v>
      </c>
      <c r="E2208" s="359" t="s">
        <v>6</v>
      </c>
      <c r="F2208" s="362"/>
      <c r="G2208" s="362"/>
      <c r="H2208" s="363">
        <f>TRUNC(SUM(H2210:H2215),2)</f>
        <v>241.87</v>
      </c>
      <c r="I2208" s="276">
        <f>COUNTIF($C$8:$C2208,C:C)</f>
        <v>1</v>
      </c>
      <c r="J2208" s="262"/>
      <c r="K2208" s="262"/>
      <c r="L2208" s="262"/>
      <c r="M2208" s="262"/>
      <c r="N2208" s="262"/>
      <c r="O2208" s="262"/>
      <c r="P2208" s="262"/>
      <c r="Q2208" s="262"/>
      <c r="R2208" s="262"/>
      <c r="S2208" s="262"/>
      <c r="T2208" s="262"/>
      <c r="U2208" s="262"/>
      <c r="V2208" s="262"/>
      <c r="W2208" s="262"/>
      <c r="X2208" s="262"/>
      <c r="Y2208" s="262"/>
      <c r="Z2208" s="262"/>
      <c r="AA2208" s="262"/>
      <c r="AB2208" s="262"/>
    </row>
    <row r="2209" spans="1:31" ht="12.75">
      <c r="A2209" s="646" t="s">
        <v>14475</v>
      </c>
      <c r="B2209" s="403" t="s">
        <v>15226</v>
      </c>
      <c r="C2209" s="404" t="s">
        <v>15244</v>
      </c>
      <c r="D2209" s="769" t="s">
        <v>14567</v>
      </c>
      <c r="E2209" s="405"/>
      <c r="F2209" s="369"/>
      <c r="G2209" s="370"/>
      <c r="H2209" s="371"/>
      <c r="I2209" s="262"/>
      <c r="J2209" s="262"/>
      <c r="K2209" s="262"/>
      <c r="L2209" s="262"/>
      <c r="M2209" s="262"/>
      <c r="N2209" s="262"/>
      <c r="O2209" s="262"/>
      <c r="P2209" s="262"/>
      <c r="Q2209" s="262"/>
      <c r="R2209" s="262"/>
      <c r="S2209" s="262"/>
      <c r="T2209" s="262"/>
      <c r="U2209" s="262"/>
      <c r="V2209" s="262"/>
      <c r="W2209" s="262"/>
      <c r="X2209" s="262"/>
      <c r="Y2209" s="262"/>
      <c r="Z2209" s="262"/>
      <c r="AA2209" s="262"/>
      <c r="AB2209" s="262"/>
    </row>
    <row r="2210" spans="1:31" ht="25.5">
      <c r="A2210" s="586" t="s">
        <v>14478</v>
      </c>
      <c r="B2210" s="373" t="s">
        <v>14476</v>
      </c>
      <c r="C2210" s="374">
        <v>88247</v>
      </c>
      <c r="D2210" s="288" t="str">
        <f>IFERROR(VLOOKUP($C2210,'24.08_ND'!$A:$D,2,0),)</f>
        <v>AUXILIAR DE ELETRICISTA COM ENCARGOS COMPLEMENTARES</v>
      </c>
      <c r="E2210" s="289" t="str">
        <f>IFERROR(VLOOKUP($C2210,'24.08_ND'!$A:$D,3,0),)</f>
        <v>H</v>
      </c>
      <c r="F2210" s="441">
        <v>0.8</v>
      </c>
      <c r="G2210" s="291">
        <f>IFERROR(VLOOKUP($C2210,'24.08_ND'!$A:$D,4,0),)</f>
        <v>20</v>
      </c>
      <c r="H2210" s="423">
        <f>TRUNC(($F2210*$G2210),2)</f>
        <v>16</v>
      </c>
      <c r="I2210" s="262"/>
      <c r="J2210" s="262"/>
      <c r="K2210" s="262"/>
      <c r="L2210" s="262"/>
      <c r="M2210" s="262"/>
      <c r="N2210" s="262"/>
      <c r="O2210" s="262"/>
      <c r="P2210" s="262"/>
      <c r="Q2210" s="262"/>
      <c r="R2210" s="262"/>
      <c r="S2210" s="262"/>
      <c r="T2210" s="262"/>
      <c r="U2210" s="262"/>
      <c r="V2210" s="262"/>
      <c r="W2210" s="262"/>
      <c r="X2210" s="262"/>
      <c r="Y2210" s="262"/>
      <c r="Z2210" s="262"/>
      <c r="AA2210" s="262"/>
      <c r="AB2210" s="262"/>
      <c r="AD2210" s="1791" t="e">
        <f>VLOOKUP(C2210,'Medição '!$B$16:$F$1833,6,0)</f>
        <v>#N/A</v>
      </c>
      <c r="AE2210" s="1791"/>
    </row>
    <row r="2211" spans="1:31" ht="25.5">
      <c r="A2211" s="586" t="s">
        <v>14478</v>
      </c>
      <c r="B2211" s="373" t="s">
        <v>14476</v>
      </c>
      <c r="C2211" s="374">
        <v>88264</v>
      </c>
      <c r="D2211" s="288" t="str">
        <f>IFERROR(VLOOKUP($C2211,'24.08_ND'!$A:$D,2,0),)</f>
        <v>ELETRICISTA COM ENCARGOS COMPLEMENTARES</v>
      </c>
      <c r="E2211" s="289" t="str">
        <f>IFERROR(VLOOKUP($C2211,'24.08_ND'!$A:$D,3,0),)</f>
        <v>H</v>
      </c>
      <c r="F2211" s="441">
        <v>0.8</v>
      </c>
      <c r="G2211" s="291">
        <f>IFERROR(VLOOKUP($C2211,'24.08_ND'!$A:$D,4,0),)</f>
        <v>24.3</v>
      </c>
      <c r="H2211" s="423">
        <f>TRUNC(($F2211*$G2211),2)</f>
        <v>19.440000000000001</v>
      </c>
      <c r="I2211" s="262"/>
      <c r="J2211" s="262"/>
      <c r="K2211" s="262"/>
      <c r="L2211" s="262"/>
      <c r="M2211" s="262"/>
      <c r="N2211" s="262"/>
      <c r="O2211" s="262"/>
      <c r="P2211" s="262"/>
      <c r="Q2211" s="262"/>
      <c r="R2211" s="262"/>
      <c r="S2211" s="262"/>
      <c r="T2211" s="262"/>
      <c r="U2211" s="262"/>
      <c r="V2211" s="262"/>
      <c r="W2211" s="262"/>
      <c r="X2211" s="262"/>
      <c r="Y2211" s="262"/>
      <c r="Z2211" s="262"/>
      <c r="AA2211" s="262"/>
      <c r="AB2211" s="262"/>
      <c r="AD2211" s="1791" t="e">
        <f>VLOOKUP(C2211,'Medição '!$B$16:$F$1833,6,0)</f>
        <v>#N/A</v>
      </c>
      <c r="AE2211" s="1791"/>
    </row>
    <row r="2212" spans="1:31" ht="25.5">
      <c r="A2212" s="445" t="s">
        <v>14479</v>
      </c>
      <c r="B2212" s="446" t="s">
        <v>14476</v>
      </c>
      <c r="C2212" s="597">
        <v>11950</v>
      </c>
      <c r="D2212" s="296" t="str">
        <f>IFERROR(VLOOKUP($C2212,'24.08_ND'!$A:$D,2,0),)</f>
        <v>BUCHA DE NYLON SEM ABA S6, COM PARAFUSO DE 4,20 X 40 MM EM ACO ZINCADO COM ROSCA SOBERBA, CABECA CHATA E FENDA PHILLIPS</v>
      </c>
      <c r="E2212" s="297" t="str">
        <f>IFERROR(VLOOKUP($C2212,'24.08_ND'!$A:$D,3,0),)</f>
        <v>UN</v>
      </c>
      <c r="F2212" s="780">
        <v>4</v>
      </c>
      <c r="G2212" s="299">
        <f>IFERROR(VLOOKUP($C2212,'24.08_ND'!$A:$D,4,0),)</f>
        <v>0.21</v>
      </c>
      <c r="H2212" s="781">
        <f>TRUNC(($F2212*$G2212),2)</f>
        <v>0.84</v>
      </c>
      <c r="I2212" s="262"/>
      <c r="J2212" s="262"/>
      <c r="K2212" s="262"/>
      <c r="L2212" s="262"/>
      <c r="M2212" s="262"/>
      <c r="N2212" s="262"/>
      <c r="O2212" s="262"/>
      <c r="P2212" s="262"/>
      <c r="Q2212" s="262"/>
      <c r="R2212" s="262"/>
      <c r="S2212" s="262"/>
      <c r="T2212" s="262"/>
      <c r="U2212" s="262"/>
      <c r="V2212" s="262"/>
      <c r="W2212" s="262"/>
      <c r="X2212" s="262"/>
      <c r="Y2212" s="262"/>
      <c r="Z2212" s="262"/>
      <c r="AA2212" s="262"/>
      <c r="AB2212" s="262"/>
    </row>
    <row r="2213" spans="1:31" ht="12.75">
      <c r="A2213" s="445" t="s">
        <v>14479</v>
      </c>
      <c r="B2213" s="446" t="s">
        <v>14476</v>
      </c>
      <c r="C2213" s="597">
        <v>38194</v>
      </c>
      <c r="D2213" s="296" t="str">
        <f>IFERROR(VLOOKUP($C2213,'24.08_ND'!$A:$D,2,0),)</f>
        <v>LAMPADA LED 10 W BIVOLT BRANCA, FORMATO TRADICIONAL (BASE E27)</v>
      </c>
      <c r="E2213" s="297" t="str">
        <f>IFERROR(VLOOKUP($C2213,'24.08_ND'!$A:$D,3,0),)</f>
        <v>UN</v>
      </c>
      <c r="F2213" s="780">
        <v>1</v>
      </c>
      <c r="G2213" s="299">
        <f>IFERROR(VLOOKUP($C2213,'24.08_ND'!$A:$D,4,0),)</f>
        <v>3.63</v>
      </c>
      <c r="H2213" s="781">
        <f>TRUNC(($F2213*$G2213),2)</f>
        <v>3.63</v>
      </c>
      <c r="I2213" s="262"/>
      <c r="J2213" s="262"/>
      <c r="K2213" s="262"/>
      <c r="L2213" s="262"/>
      <c r="M2213" s="262"/>
      <c r="N2213" s="262"/>
      <c r="O2213" s="262"/>
      <c r="P2213" s="262"/>
      <c r="Q2213" s="262"/>
      <c r="R2213" s="262"/>
      <c r="S2213" s="262"/>
      <c r="T2213" s="262"/>
      <c r="U2213" s="262"/>
      <c r="V2213" s="262"/>
      <c r="W2213" s="262"/>
      <c r="X2213" s="262"/>
      <c r="Y2213" s="262"/>
      <c r="Z2213" s="262"/>
      <c r="AA2213" s="262"/>
      <c r="AB2213" s="262"/>
    </row>
    <row r="2214" spans="1:31" ht="12.75">
      <c r="A2214" s="445" t="s">
        <v>14479</v>
      </c>
      <c r="B2214" s="446" t="s">
        <v>14476</v>
      </c>
      <c r="C2214" s="597">
        <v>404</v>
      </c>
      <c r="D2214" s="296" t="str">
        <f>IFERROR(VLOOKUP($C2214,'24.08_ND'!$A:$D,2,0),)</f>
        <v>FITA ISOLANTE DE BORRACHA AUTOFUSAO, USO ATE 69 KV (ALTA TENSAO)</v>
      </c>
      <c r="E2214" s="297" t="str">
        <f>IFERROR(VLOOKUP($C2214,'24.08_ND'!$A:$D,3,0),)</f>
        <v>M</v>
      </c>
      <c r="F2214" s="780">
        <v>0.12</v>
      </c>
      <c r="G2214" s="299">
        <f>IFERROR(VLOOKUP($C2214,'24.08_ND'!$A:$D,4,0),)</f>
        <v>1.51</v>
      </c>
      <c r="H2214" s="781">
        <f>TRUNC(($F2214*$G2214),2)</f>
        <v>0.18</v>
      </c>
      <c r="I2214" s="262"/>
      <c r="J2214" s="262"/>
      <c r="K2214" s="262"/>
      <c r="L2214" s="262"/>
      <c r="M2214" s="262"/>
      <c r="N2214" s="262"/>
      <c r="O2214" s="262"/>
      <c r="P2214" s="262"/>
      <c r="Q2214" s="262"/>
      <c r="R2214" s="262"/>
      <c r="S2214" s="262"/>
      <c r="T2214" s="262"/>
      <c r="U2214" s="262"/>
      <c r="V2214" s="262"/>
      <c r="W2214" s="262"/>
      <c r="X2214" s="262"/>
      <c r="Y2214" s="262"/>
      <c r="Z2214" s="262"/>
      <c r="AA2214" s="262"/>
      <c r="AB2214" s="262"/>
    </row>
    <row r="2215" spans="1:31" ht="25.5">
      <c r="A2215" s="760" t="s">
        <v>14479</v>
      </c>
      <c r="B2215" s="761" t="s">
        <v>14491</v>
      </c>
      <c r="C2215" s="600" t="s">
        <v>15245</v>
      </c>
      <c r="D2215" s="601" t="str">
        <f>VLOOKUP($C2215,'09 - MC'!$A:$F,2,0)</f>
        <v>POSTE BALIZADOR CARRÉ RETANGULAR EXTERNO 50X7,5X7,5CM ALUMÍNIO COM LÂMPADA LED BULBO E27</v>
      </c>
      <c r="E2215" s="602" t="str">
        <f>VLOOKUP($C2215,'09 - MC'!$A:$F,3,0)</f>
        <v>UN</v>
      </c>
      <c r="F2215" s="603">
        <v>1</v>
      </c>
      <c r="G2215" s="604">
        <f>VLOOKUP($C2215,'09 - MC'!$A:$F,6,0)</f>
        <v>201.78</v>
      </c>
      <c r="H2215" s="605">
        <f>TRUNC(G2215*F2215,2)</f>
        <v>201.78</v>
      </c>
      <c r="I2215" s="262"/>
      <c r="J2215" s="262"/>
      <c r="K2215" s="262"/>
      <c r="L2215" s="262"/>
      <c r="M2215" s="262"/>
      <c r="N2215" s="262"/>
      <c r="O2215" s="262"/>
      <c r="P2215" s="262"/>
      <c r="Q2215" s="262"/>
      <c r="R2215" s="262"/>
      <c r="S2215" s="262"/>
      <c r="T2215" s="262"/>
      <c r="U2215" s="262"/>
      <c r="V2215" s="262"/>
      <c r="W2215" s="262"/>
      <c r="X2215" s="262"/>
      <c r="Y2215" s="262"/>
      <c r="Z2215" s="262"/>
      <c r="AA2215" s="262"/>
      <c r="AB2215" s="262"/>
    </row>
    <row r="2216" spans="1:31" ht="12.75">
      <c r="A2216" s="640"/>
      <c r="B2216" s="641"/>
      <c r="C2216" s="368"/>
      <c r="D2216" s="370"/>
      <c r="E2216" s="370"/>
      <c r="F2216" s="369"/>
      <c r="G2216" s="370"/>
      <c r="H2216" s="371"/>
      <c r="I2216" s="262"/>
      <c r="J2216" s="262"/>
      <c r="K2216" s="262"/>
      <c r="L2216" s="262"/>
      <c r="M2216" s="262"/>
      <c r="N2216" s="262"/>
      <c r="O2216" s="262"/>
      <c r="P2216" s="262"/>
      <c r="Q2216" s="262"/>
      <c r="R2216" s="262"/>
      <c r="S2216" s="262"/>
      <c r="T2216" s="262"/>
      <c r="U2216" s="262"/>
      <c r="V2216" s="262"/>
      <c r="W2216" s="262"/>
      <c r="X2216" s="262"/>
      <c r="Y2216" s="262"/>
      <c r="Z2216" s="262"/>
      <c r="AA2216" s="262"/>
      <c r="AB2216" s="262"/>
    </row>
    <row r="2217" spans="1:31" ht="12.75">
      <c r="A2217" s="358" t="s">
        <v>14471</v>
      </c>
      <c r="B2217" s="359" t="s">
        <v>14472</v>
      </c>
      <c r="C2217" s="360" t="s">
        <v>15246</v>
      </c>
      <c r="D2217" s="361" t="s">
        <v>15247</v>
      </c>
      <c r="E2217" s="359" t="s">
        <v>6</v>
      </c>
      <c r="F2217" s="362"/>
      <c r="G2217" s="362"/>
      <c r="H2217" s="363">
        <f>TRUNC(SUM(H2219:H2222),2)</f>
        <v>284.14</v>
      </c>
      <c r="I2217" s="276">
        <f>COUNTIF($C$8:$C2217,C:C)</f>
        <v>1</v>
      </c>
      <c r="J2217" s="262"/>
      <c r="K2217" s="262"/>
      <c r="L2217" s="262"/>
      <c r="M2217" s="262"/>
      <c r="N2217" s="262"/>
      <c r="O2217" s="262"/>
      <c r="P2217" s="262"/>
      <c r="Q2217" s="262"/>
      <c r="R2217" s="262"/>
      <c r="S2217" s="262"/>
      <c r="T2217" s="262"/>
      <c r="U2217" s="262"/>
      <c r="V2217" s="262"/>
      <c r="W2217" s="262"/>
      <c r="X2217" s="262"/>
      <c r="Y2217" s="262"/>
      <c r="Z2217" s="262"/>
      <c r="AA2217" s="262"/>
      <c r="AB2217" s="262"/>
    </row>
    <row r="2218" spans="1:31" ht="12.75">
      <c r="A2218" s="646" t="s">
        <v>14475</v>
      </c>
      <c r="B2218" s="403" t="s">
        <v>14600</v>
      </c>
      <c r="C2218" s="404">
        <v>10351</v>
      </c>
      <c r="D2218" s="769" t="s">
        <v>14567</v>
      </c>
      <c r="E2218" s="405"/>
      <c r="F2218" s="369"/>
      <c r="G2218" s="370"/>
      <c r="H2218" s="371"/>
      <c r="I2218" s="262"/>
      <c r="J2218" s="262"/>
      <c r="K2218" s="262"/>
      <c r="L2218" s="262"/>
      <c r="M2218" s="262"/>
      <c r="N2218" s="262"/>
      <c r="O2218" s="262"/>
      <c r="P2218" s="262"/>
      <c r="Q2218" s="262"/>
      <c r="R2218" s="262"/>
      <c r="S2218" s="262"/>
      <c r="T2218" s="262"/>
      <c r="U2218" s="262"/>
      <c r="V2218" s="262"/>
      <c r="W2218" s="262"/>
      <c r="X2218" s="262"/>
      <c r="Y2218" s="262"/>
      <c r="Z2218" s="262"/>
      <c r="AA2218" s="262"/>
      <c r="AB2218" s="262"/>
    </row>
    <row r="2219" spans="1:31" ht="25.5">
      <c r="A2219" s="586" t="s">
        <v>14478</v>
      </c>
      <c r="B2219" s="373" t="s">
        <v>14476</v>
      </c>
      <c r="C2219" s="374">
        <v>88247</v>
      </c>
      <c r="D2219" s="288" t="str">
        <f>IFERROR(VLOOKUP($C2219,'24.08_ND'!$A:$D,2,0),)</f>
        <v>AUXILIAR DE ELETRICISTA COM ENCARGOS COMPLEMENTARES</v>
      </c>
      <c r="E2219" s="289" t="str">
        <f>IFERROR(VLOOKUP($C2219,'24.08_ND'!$A:$D,3,0),)</f>
        <v>H</v>
      </c>
      <c r="F2219" s="787">
        <v>0.8</v>
      </c>
      <c r="G2219" s="291">
        <f>IFERROR(VLOOKUP($C2219,'24.08_ND'!$A:$D,4,0),)</f>
        <v>20</v>
      </c>
      <c r="H2219" s="423">
        <f>TRUNC(($F2219*$G2219),2)</f>
        <v>16</v>
      </c>
      <c r="I2219" s="262"/>
      <c r="J2219" s="262"/>
      <c r="K2219" s="262"/>
      <c r="L2219" s="262"/>
      <c r="M2219" s="262"/>
      <c r="N2219" s="262"/>
      <c r="O2219" s="262"/>
      <c r="P2219" s="262"/>
      <c r="Q2219" s="262"/>
      <c r="R2219" s="262"/>
      <c r="S2219" s="262"/>
      <c r="T2219" s="262"/>
      <c r="U2219" s="262"/>
      <c r="V2219" s="262"/>
      <c r="W2219" s="262"/>
      <c r="X2219" s="262"/>
      <c r="Y2219" s="262"/>
      <c r="Z2219" s="262"/>
      <c r="AA2219" s="262"/>
      <c r="AB2219" s="262"/>
      <c r="AD2219" s="1791" t="e">
        <f>VLOOKUP(C2219,'Medição '!$B$16:$F$1833,6,0)</f>
        <v>#N/A</v>
      </c>
      <c r="AE2219" s="1791"/>
    </row>
    <row r="2220" spans="1:31" ht="25.5">
      <c r="A2220" s="586" t="s">
        <v>14478</v>
      </c>
      <c r="B2220" s="373" t="s">
        <v>14476</v>
      </c>
      <c r="C2220" s="374">
        <v>88264</v>
      </c>
      <c r="D2220" s="288" t="str">
        <f>IFERROR(VLOOKUP($C2220,'24.08_ND'!$A:$D,2,0),)</f>
        <v>ELETRICISTA COM ENCARGOS COMPLEMENTARES</v>
      </c>
      <c r="E2220" s="289" t="str">
        <f>IFERROR(VLOOKUP($C2220,'24.08_ND'!$A:$D,3,0),)</f>
        <v>H</v>
      </c>
      <c r="F2220" s="787">
        <v>0.8</v>
      </c>
      <c r="G2220" s="291">
        <f>IFERROR(VLOOKUP($C2220,'24.08_ND'!$A:$D,4,0),)</f>
        <v>24.3</v>
      </c>
      <c r="H2220" s="423">
        <f>TRUNC(($F2220*$G2220),2)</f>
        <v>19.440000000000001</v>
      </c>
      <c r="I2220" s="262"/>
      <c r="J2220" s="262"/>
      <c r="K2220" s="262"/>
      <c r="L2220" s="262"/>
      <c r="M2220" s="262"/>
      <c r="N2220" s="262"/>
      <c r="O2220" s="262"/>
      <c r="P2220" s="262"/>
      <c r="Q2220" s="262"/>
      <c r="R2220" s="262"/>
      <c r="S2220" s="262"/>
      <c r="T2220" s="262"/>
      <c r="U2220" s="262"/>
      <c r="V2220" s="262"/>
      <c r="W2220" s="262"/>
      <c r="X2220" s="262"/>
      <c r="Y2220" s="262"/>
      <c r="Z2220" s="262"/>
      <c r="AA2220" s="262"/>
      <c r="AB2220" s="262"/>
      <c r="AD2220" s="1791" t="e">
        <f>VLOOKUP(C2220,'Medição '!$B$16:$F$1833,6,0)</f>
        <v>#N/A</v>
      </c>
      <c r="AE2220" s="1791"/>
    </row>
    <row r="2221" spans="1:31" ht="12.75">
      <c r="A2221" s="445" t="s">
        <v>14479</v>
      </c>
      <c r="B2221" s="446" t="s">
        <v>14476</v>
      </c>
      <c r="C2221" s="597">
        <v>404</v>
      </c>
      <c r="D2221" s="296" t="str">
        <f>IFERROR(VLOOKUP($C2221,'24.08_ND'!$A:$D,2,0),)</f>
        <v>FITA ISOLANTE DE BORRACHA AUTOFUSAO, USO ATE 69 KV (ALTA TENSAO)</v>
      </c>
      <c r="E2221" s="297" t="str">
        <f>IFERROR(VLOOKUP($C2221,'24.08_ND'!$A:$D,3,0),)</f>
        <v>M</v>
      </c>
      <c r="F2221" s="780">
        <v>0.12</v>
      </c>
      <c r="G2221" s="299">
        <f>IFERROR(VLOOKUP($C2221,'24.08_ND'!$A:$D,4,0),)</f>
        <v>1.51</v>
      </c>
      <c r="H2221" s="781">
        <f>TRUNC(($F2221*$G2221),2)</f>
        <v>0.18</v>
      </c>
      <c r="I2221" s="262"/>
      <c r="J2221" s="262"/>
      <c r="K2221" s="262"/>
      <c r="L2221" s="262"/>
      <c r="M2221" s="262"/>
      <c r="N2221" s="262"/>
      <c r="O2221" s="262"/>
      <c r="P2221" s="262"/>
      <c r="Q2221" s="262"/>
      <c r="R2221" s="262"/>
      <c r="S2221" s="262"/>
      <c r="T2221" s="262"/>
      <c r="U2221" s="262"/>
      <c r="V2221" s="262"/>
      <c r="W2221" s="262"/>
      <c r="X2221" s="262"/>
      <c r="Y2221" s="262"/>
      <c r="Z2221" s="262"/>
      <c r="AA2221" s="262"/>
      <c r="AB2221" s="262"/>
    </row>
    <row r="2222" spans="1:31" ht="12.75">
      <c r="A2222" s="760" t="s">
        <v>14479</v>
      </c>
      <c r="B2222" s="761" t="s">
        <v>14491</v>
      </c>
      <c r="C2222" s="600" t="s">
        <v>15248</v>
      </c>
      <c r="D2222" s="601" t="str">
        <f>VLOOKUP($C2222,'09 - MC'!$A:$F,2,0)</f>
        <v>ESPETO DE JARDIM LED FOCCO 7W 3000K BIVOLT</v>
      </c>
      <c r="E2222" s="602" t="str">
        <f>VLOOKUP($C2222,'09 - MC'!$A:$F,3,0)</f>
        <v>UN</v>
      </c>
      <c r="F2222" s="603">
        <v>1</v>
      </c>
      <c r="G2222" s="604">
        <f>VLOOKUP($C2222,'09 - MC'!$A:$F,6,0)</f>
        <v>248.52</v>
      </c>
      <c r="H2222" s="605">
        <f>TRUNC(G2222*F2222,2)</f>
        <v>248.52</v>
      </c>
      <c r="I2222" s="262"/>
      <c r="J2222" s="262"/>
      <c r="K2222" s="262"/>
      <c r="L2222" s="262"/>
      <c r="M2222" s="262"/>
      <c r="N2222" s="262"/>
      <c r="O2222" s="262"/>
      <c r="P2222" s="262"/>
      <c r="Q2222" s="262"/>
      <c r="R2222" s="262"/>
      <c r="S2222" s="262"/>
      <c r="T2222" s="262"/>
      <c r="U2222" s="262"/>
      <c r="V2222" s="262"/>
      <c r="W2222" s="262"/>
      <c r="X2222" s="262"/>
      <c r="Y2222" s="262"/>
      <c r="Z2222" s="262"/>
      <c r="AA2222" s="262"/>
      <c r="AB2222" s="262"/>
    </row>
    <row r="2223" spans="1:31" ht="12.75">
      <c r="A2223" s="793"/>
      <c r="B2223" s="794"/>
      <c r="C2223" s="795"/>
      <c r="D2223" s="796"/>
      <c r="E2223" s="370"/>
      <c r="F2223" s="369"/>
      <c r="G2223" s="370"/>
      <c r="H2223" s="371"/>
      <c r="I2223" s="262"/>
      <c r="J2223" s="262"/>
      <c r="K2223" s="262"/>
      <c r="L2223" s="262"/>
      <c r="M2223" s="262"/>
      <c r="N2223" s="262"/>
      <c r="O2223" s="262"/>
      <c r="P2223" s="262"/>
      <c r="Q2223" s="262"/>
      <c r="R2223" s="262"/>
      <c r="S2223" s="262"/>
      <c r="T2223" s="262"/>
      <c r="U2223" s="262"/>
      <c r="V2223" s="262"/>
      <c r="W2223" s="262"/>
      <c r="X2223" s="262"/>
      <c r="Y2223" s="262"/>
      <c r="Z2223" s="262"/>
      <c r="AA2223" s="262"/>
      <c r="AB2223" s="262"/>
    </row>
    <row r="2224" spans="1:31" ht="25.5">
      <c r="A2224" s="358" t="s">
        <v>14471</v>
      </c>
      <c r="B2224" s="359" t="s">
        <v>14472</v>
      </c>
      <c r="C2224" s="360" t="s">
        <v>15249</v>
      </c>
      <c r="D2224" s="361" t="s">
        <v>15250</v>
      </c>
      <c r="E2224" s="359" t="s">
        <v>6</v>
      </c>
      <c r="F2224" s="784"/>
      <c r="G2224" s="402"/>
      <c r="H2224" s="363">
        <f>SUM(H2226:H2229)</f>
        <v>516</v>
      </c>
      <c r="I2224" s="276">
        <f>COUNTIF($C$8:$C2224,C:C)</f>
        <v>1</v>
      </c>
      <c r="J2224" s="262"/>
      <c r="K2224" s="262"/>
      <c r="L2224" s="262"/>
      <c r="M2224" s="262"/>
      <c r="N2224" s="262"/>
      <c r="O2224" s="262"/>
      <c r="P2224" s="262"/>
      <c r="Q2224" s="262"/>
      <c r="R2224" s="262"/>
      <c r="S2224" s="262"/>
      <c r="T2224" s="262"/>
      <c r="U2224" s="262"/>
      <c r="V2224" s="262"/>
      <c r="W2224" s="262"/>
      <c r="X2224" s="262"/>
      <c r="Y2224" s="262"/>
      <c r="Z2224" s="262"/>
      <c r="AA2224" s="262"/>
      <c r="AB2224" s="262"/>
    </row>
    <row r="2225" spans="1:31" ht="12.75">
      <c r="A2225" s="646" t="s">
        <v>14475</v>
      </c>
      <c r="B2225" s="403" t="s">
        <v>14600</v>
      </c>
      <c r="C2225" s="404">
        <v>10351</v>
      </c>
      <c r="D2225" s="769" t="s">
        <v>14567</v>
      </c>
      <c r="E2225" s="405"/>
      <c r="F2225" s="369"/>
      <c r="G2225" s="370"/>
      <c r="H2225" s="371"/>
      <c r="I2225" s="262"/>
      <c r="J2225" s="262"/>
      <c r="K2225" s="262"/>
      <c r="L2225" s="262"/>
      <c r="M2225" s="262"/>
      <c r="N2225" s="262"/>
      <c r="O2225" s="262"/>
      <c r="P2225" s="262"/>
      <c r="Q2225" s="262"/>
      <c r="R2225" s="262"/>
      <c r="S2225" s="262"/>
      <c r="T2225" s="262"/>
      <c r="U2225" s="262"/>
      <c r="V2225" s="262"/>
      <c r="W2225" s="262"/>
      <c r="X2225" s="262"/>
      <c r="Y2225" s="262"/>
      <c r="Z2225" s="262"/>
      <c r="AA2225" s="262"/>
      <c r="AB2225" s="262"/>
    </row>
    <row r="2226" spans="1:31">
      <c r="A2226" s="785" t="s">
        <v>14478</v>
      </c>
      <c r="B2226" s="786" t="s">
        <v>14476</v>
      </c>
      <c r="C2226" s="594">
        <v>88264</v>
      </c>
      <c r="D2226" s="288" t="str">
        <f>IFERROR(VLOOKUP($C2226,'24.08_ND'!$A:$D,2,0),)</f>
        <v>ELETRICISTA COM ENCARGOS COMPLEMENTARES</v>
      </c>
      <c r="E2226" s="289" t="str">
        <f>IFERROR(VLOOKUP($C2226,'24.08_ND'!$A:$D,3,0),)</f>
        <v>H</v>
      </c>
      <c r="F2226" s="787">
        <v>0.8</v>
      </c>
      <c r="G2226" s="291">
        <f>IFERROR(VLOOKUP($C2226,'24.08_ND'!$A:$D,4,0),)</f>
        <v>24.3</v>
      </c>
      <c r="H2226" s="423">
        <f>TRUNC(($F2226*$G2226),2)</f>
        <v>19.440000000000001</v>
      </c>
      <c r="I2226" s="262"/>
      <c r="J2226" s="262"/>
      <c r="K2226" s="262"/>
      <c r="L2226" s="262"/>
      <c r="M2226" s="262"/>
      <c r="N2226" s="262"/>
      <c r="O2226" s="262"/>
      <c r="P2226" s="262"/>
      <c r="Q2226" s="262"/>
      <c r="R2226" s="262"/>
      <c r="S2226" s="262"/>
      <c r="T2226" s="262"/>
      <c r="U2226" s="262"/>
      <c r="V2226" s="262"/>
      <c r="W2226" s="262"/>
      <c r="X2226" s="262"/>
      <c r="Y2226" s="262"/>
      <c r="Z2226" s="262"/>
      <c r="AA2226" s="262"/>
      <c r="AB2226" s="262"/>
      <c r="AD2226" s="1791" t="e">
        <f>VLOOKUP(C2226,'Medição '!$B$16:$F$1833,6,0)</f>
        <v>#N/A</v>
      </c>
      <c r="AE2226" s="1791"/>
    </row>
    <row r="2227" spans="1:31">
      <c r="A2227" s="785" t="s">
        <v>14478</v>
      </c>
      <c r="B2227" s="786" t="s">
        <v>14476</v>
      </c>
      <c r="C2227" s="374">
        <v>88247</v>
      </c>
      <c r="D2227" s="288" t="str">
        <f>IFERROR(VLOOKUP($C2227,'24.08_ND'!$A:$D,2,0),)</f>
        <v>AUXILIAR DE ELETRICISTA COM ENCARGOS COMPLEMENTARES</v>
      </c>
      <c r="E2227" s="289" t="str">
        <f>IFERROR(VLOOKUP($C2227,'24.08_ND'!$A:$D,3,0),)</f>
        <v>H</v>
      </c>
      <c r="F2227" s="787">
        <v>0.8</v>
      </c>
      <c r="G2227" s="291">
        <f>IFERROR(VLOOKUP($C2227,'24.08_ND'!$A:$D,4,0),)</f>
        <v>20</v>
      </c>
      <c r="H2227" s="423">
        <f>TRUNC(($F2227*$G2227),2)</f>
        <v>16</v>
      </c>
      <c r="I2227" s="262"/>
      <c r="J2227" s="262"/>
      <c r="K2227" s="262"/>
      <c r="L2227" s="262"/>
      <c r="M2227" s="262"/>
      <c r="N2227" s="262"/>
      <c r="O2227" s="262"/>
      <c r="P2227" s="262"/>
      <c r="Q2227" s="262"/>
      <c r="R2227" s="262"/>
      <c r="S2227" s="262"/>
      <c r="T2227" s="262"/>
      <c r="U2227" s="262"/>
      <c r="V2227" s="262"/>
      <c r="W2227" s="262"/>
      <c r="X2227" s="262"/>
      <c r="Y2227" s="262"/>
      <c r="Z2227" s="262"/>
      <c r="AA2227" s="262"/>
      <c r="AB2227" s="262"/>
      <c r="AD2227" s="1791" t="e">
        <f>VLOOKUP(C2227,'Medição '!$B$16:$F$1833,6,0)</f>
        <v>#N/A</v>
      </c>
      <c r="AE2227" s="1791"/>
    </row>
    <row r="2228" spans="1:31" ht="12.75">
      <c r="A2228" s="445" t="s">
        <v>14479</v>
      </c>
      <c r="B2228" s="446" t="s">
        <v>14476</v>
      </c>
      <c r="C2228" s="597">
        <v>404</v>
      </c>
      <c r="D2228" s="296" t="str">
        <f>IFERROR(VLOOKUP($C2228,'24.08_ND'!$A:$D,2,0),)</f>
        <v>FITA ISOLANTE DE BORRACHA AUTOFUSAO, USO ATE 69 KV (ALTA TENSAO)</v>
      </c>
      <c r="E2228" s="297" t="str">
        <f>IFERROR(VLOOKUP($C2228,'24.08_ND'!$A:$D,3,0),)</f>
        <v>M</v>
      </c>
      <c r="F2228" s="780">
        <v>0.12</v>
      </c>
      <c r="G2228" s="299">
        <f>IFERROR(VLOOKUP($C2228,'24.08_ND'!$A:$D,4,0),)</f>
        <v>1.51</v>
      </c>
      <c r="H2228" s="781">
        <f>TRUNC(($F2228*$G2228),2)</f>
        <v>0.18</v>
      </c>
      <c r="I2228" s="262"/>
      <c r="J2228" s="262"/>
      <c r="K2228" s="262"/>
      <c r="L2228" s="262"/>
      <c r="M2228" s="262"/>
      <c r="N2228" s="262"/>
      <c r="O2228" s="262"/>
      <c r="P2228" s="262"/>
      <c r="Q2228" s="262"/>
      <c r="R2228" s="262"/>
      <c r="S2228" s="262"/>
      <c r="T2228" s="262"/>
      <c r="U2228" s="262"/>
      <c r="V2228" s="262"/>
      <c r="W2228" s="262"/>
      <c r="X2228" s="262"/>
      <c r="Y2228" s="262"/>
      <c r="Z2228" s="262"/>
      <c r="AA2228" s="262"/>
      <c r="AB2228" s="262"/>
    </row>
    <row r="2229" spans="1:31" ht="12.75">
      <c r="A2229" s="788" t="s">
        <v>14479</v>
      </c>
      <c r="B2229" s="761" t="s">
        <v>14491</v>
      </c>
      <c r="C2229" s="614" t="s">
        <v>15251</v>
      </c>
      <c r="D2229" s="789" t="str">
        <f>VLOOKUP($C2229,'09 - MC'!$A:$F,2,0)</f>
        <v>ESPETO LED ALUMINIO PRETO 11,5W 950LM IP67 3000K</v>
      </c>
      <c r="E2229" s="604" t="str">
        <f>VLOOKUP($C2229,'09 - MC'!$A:$F,3,0)</f>
        <v>UN</v>
      </c>
      <c r="F2229" s="603">
        <v>1</v>
      </c>
      <c r="G2229" s="604">
        <f>VLOOKUP(C2229,'09 - MC'!$A:$F,6,FALSE)</f>
        <v>480.38</v>
      </c>
      <c r="H2229" s="605">
        <f>TRUNC(G2229*F2229,2)</f>
        <v>480.38</v>
      </c>
      <c r="I2229" s="262"/>
      <c r="J2229" s="262"/>
      <c r="K2229" s="262"/>
      <c r="L2229" s="262"/>
      <c r="M2229" s="262"/>
      <c r="N2229" s="262"/>
      <c r="O2229" s="262"/>
      <c r="P2229" s="262"/>
      <c r="Q2229" s="262"/>
      <c r="R2229" s="262"/>
      <c r="S2229" s="262"/>
      <c r="T2229" s="262"/>
      <c r="U2229" s="262"/>
      <c r="V2229" s="262"/>
      <c r="W2229" s="262"/>
      <c r="X2229" s="262"/>
      <c r="Y2229" s="262"/>
      <c r="Z2229" s="262"/>
      <c r="AA2229" s="262"/>
      <c r="AB2229" s="262"/>
    </row>
    <row r="2230" spans="1:31" ht="12.75">
      <c r="A2230" s="793"/>
      <c r="B2230" s="794"/>
      <c r="C2230" s="795"/>
      <c r="D2230" s="796"/>
      <c r="E2230" s="370"/>
      <c r="F2230" s="782"/>
      <c r="G2230" s="370"/>
      <c r="H2230" s="371"/>
      <c r="I2230" s="262"/>
      <c r="J2230" s="262"/>
      <c r="K2230" s="262"/>
      <c r="L2230" s="262"/>
      <c r="M2230" s="262"/>
      <c r="N2230" s="262"/>
      <c r="O2230" s="262"/>
      <c r="P2230" s="262"/>
      <c r="Q2230" s="262"/>
      <c r="R2230" s="262"/>
      <c r="S2230" s="262"/>
      <c r="T2230" s="262"/>
      <c r="U2230" s="262"/>
      <c r="V2230" s="262"/>
      <c r="W2230" s="262"/>
      <c r="X2230" s="262"/>
      <c r="Y2230" s="262"/>
      <c r="Z2230" s="262"/>
      <c r="AA2230" s="262"/>
      <c r="AB2230" s="262"/>
    </row>
    <row r="2231" spans="1:31" ht="25.5">
      <c r="A2231" s="358" t="s">
        <v>14471</v>
      </c>
      <c r="B2231" s="359" t="s">
        <v>14472</v>
      </c>
      <c r="C2231" s="360" t="s">
        <v>15252</v>
      </c>
      <c r="D2231" s="361" t="s">
        <v>15253</v>
      </c>
      <c r="E2231" s="359" t="s">
        <v>6</v>
      </c>
      <c r="F2231" s="362"/>
      <c r="G2231" s="362"/>
      <c r="H2231" s="363">
        <f>TRUNC(SUM(H2233:H2236),2)</f>
        <v>170.1</v>
      </c>
      <c r="I2231" s="276">
        <f>COUNTIF($C$8:$C2231,C:C)</f>
        <v>1</v>
      </c>
      <c r="J2231" s="262"/>
      <c r="K2231" s="262"/>
      <c r="L2231" s="262"/>
      <c r="M2231" s="262"/>
      <c r="N2231" s="262"/>
      <c r="O2231" s="262"/>
      <c r="P2231" s="262"/>
      <c r="Q2231" s="262"/>
      <c r="R2231" s="262"/>
      <c r="S2231" s="262"/>
      <c r="T2231" s="262"/>
      <c r="U2231" s="262"/>
      <c r="V2231" s="262"/>
      <c r="W2231" s="262"/>
      <c r="X2231" s="262"/>
      <c r="Y2231" s="262"/>
      <c r="Z2231" s="262"/>
      <c r="AA2231" s="262"/>
      <c r="AB2231" s="262"/>
    </row>
    <row r="2232" spans="1:31" ht="12.75">
      <c r="A2232" s="646" t="s">
        <v>14475</v>
      </c>
      <c r="B2232" s="403" t="s">
        <v>14600</v>
      </c>
      <c r="C2232" s="404">
        <v>7708</v>
      </c>
      <c r="D2232" s="769" t="s">
        <v>14567</v>
      </c>
      <c r="E2232" s="370"/>
      <c r="F2232" s="369"/>
      <c r="G2232" s="370"/>
      <c r="H2232" s="371"/>
      <c r="I2232" s="262"/>
      <c r="J2232" s="262"/>
      <c r="K2232" s="262"/>
      <c r="L2232" s="262"/>
      <c r="M2232" s="262"/>
      <c r="N2232" s="262"/>
      <c r="O2232" s="262"/>
      <c r="P2232" s="262"/>
      <c r="Q2232" s="262"/>
      <c r="R2232" s="262"/>
      <c r="S2232" s="262"/>
      <c r="T2232" s="262"/>
      <c r="U2232" s="262"/>
      <c r="V2232" s="262"/>
      <c r="W2232" s="262"/>
      <c r="X2232" s="262"/>
      <c r="Y2232" s="262"/>
      <c r="Z2232" s="262"/>
      <c r="AA2232" s="262"/>
      <c r="AB2232" s="262"/>
    </row>
    <row r="2233" spans="1:31" ht="25.5">
      <c r="A2233" s="586" t="s">
        <v>14478</v>
      </c>
      <c r="B2233" s="373" t="s">
        <v>14476</v>
      </c>
      <c r="C2233" s="374">
        <v>88247</v>
      </c>
      <c r="D2233" s="288" t="str">
        <f>IFERROR(VLOOKUP($C2233,'24.08_ND'!$A:$D,2,0),)</f>
        <v>AUXILIAR DE ELETRICISTA COM ENCARGOS COMPLEMENTARES</v>
      </c>
      <c r="E2233" s="289" t="str">
        <f>IFERROR(VLOOKUP($C2233,'24.08_ND'!$A:$D,3,0),)</f>
        <v>H</v>
      </c>
      <c r="F2233" s="441">
        <v>0.5</v>
      </c>
      <c r="G2233" s="291">
        <f>IFERROR(VLOOKUP($C2233,'24.08_ND'!$A:$D,4,0),)</f>
        <v>20</v>
      </c>
      <c r="H2233" s="440">
        <f>TRUNC(($F2233*$G2233),2)</f>
        <v>10</v>
      </c>
      <c r="I2233" s="262"/>
      <c r="J2233" s="262"/>
      <c r="K2233" s="262"/>
      <c r="L2233" s="262"/>
      <c r="M2233" s="262"/>
      <c r="N2233" s="262"/>
      <c r="O2233" s="262"/>
      <c r="P2233" s="262"/>
      <c r="Q2233" s="262"/>
      <c r="R2233" s="262"/>
      <c r="S2233" s="262"/>
      <c r="T2233" s="262"/>
      <c r="U2233" s="262"/>
      <c r="V2233" s="262"/>
      <c r="W2233" s="262"/>
      <c r="X2233" s="262"/>
      <c r="Y2233" s="262"/>
      <c r="Z2233" s="262"/>
      <c r="AA2233" s="262"/>
      <c r="AB2233" s="262"/>
      <c r="AD2233" s="1791" t="e">
        <f>VLOOKUP(C2233,'Medição '!$B$16:$F$1833,6,0)</f>
        <v>#N/A</v>
      </c>
      <c r="AE2233" s="1791"/>
    </row>
    <row r="2234" spans="1:31" ht="25.5">
      <c r="A2234" s="586" t="s">
        <v>14478</v>
      </c>
      <c r="B2234" s="373" t="s">
        <v>14476</v>
      </c>
      <c r="C2234" s="374">
        <v>88264</v>
      </c>
      <c r="D2234" s="288" t="str">
        <f>IFERROR(VLOOKUP($C2234,'24.08_ND'!$A:$D,2,0),)</f>
        <v>ELETRICISTA COM ENCARGOS COMPLEMENTARES</v>
      </c>
      <c r="E2234" s="289" t="str">
        <f>IFERROR(VLOOKUP($C2234,'24.08_ND'!$A:$D,3,0),)</f>
        <v>H</v>
      </c>
      <c r="F2234" s="441">
        <v>0.5</v>
      </c>
      <c r="G2234" s="291">
        <f>IFERROR(VLOOKUP($C2234,'24.08_ND'!$A:$D,4,0),)</f>
        <v>24.3</v>
      </c>
      <c r="H2234" s="440">
        <f>TRUNC(($F2234*$G2234),2)</f>
        <v>12.15</v>
      </c>
      <c r="I2234" s="262"/>
      <c r="J2234" s="262"/>
      <c r="K2234" s="262"/>
      <c r="L2234" s="262"/>
      <c r="M2234" s="262"/>
      <c r="N2234" s="262"/>
      <c r="O2234" s="262"/>
      <c r="P2234" s="262"/>
      <c r="Q2234" s="262"/>
      <c r="R2234" s="262"/>
      <c r="S2234" s="262"/>
      <c r="T2234" s="262"/>
      <c r="U2234" s="262"/>
      <c r="V2234" s="262"/>
      <c r="W2234" s="262"/>
      <c r="X2234" s="262"/>
      <c r="Y2234" s="262"/>
      <c r="Z2234" s="262"/>
      <c r="AA2234" s="262"/>
      <c r="AB2234" s="262"/>
      <c r="AD2234" s="1791" t="e">
        <f>VLOOKUP(C2234,'Medição '!$B$16:$F$1833,6,0)</f>
        <v>#N/A</v>
      </c>
      <c r="AE2234" s="1791"/>
    </row>
    <row r="2235" spans="1:31" ht="12.75">
      <c r="A2235" s="758" t="s">
        <v>14479</v>
      </c>
      <c r="B2235" s="383" t="s">
        <v>14476</v>
      </c>
      <c r="C2235" s="384">
        <v>20111</v>
      </c>
      <c r="D2235" s="296" t="str">
        <f>IFERROR(VLOOKUP($C2235,'24.08_ND'!$A:$D,2,0),)</f>
        <v>FITA ISOLANTE ADESIVA ANTICHAMA, USO ATE 750 V, EM ROLO DE 19 MM X 20 M</v>
      </c>
      <c r="E2235" s="297" t="str">
        <f>IFERROR(VLOOKUP($C2235,'24.08_ND'!$A:$D,3,0),)</f>
        <v>UN</v>
      </c>
      <c r="F2235" s="759">
        <v>0.12</v>
      </c>
      <c r="G2235" s="299">
        <f>IFERROR(VLOOKUP($C2235,'24.08_ND'!$A:$D,4,0),)</f>
        <v>11.15</v>
      </c>
      <c r="H2235" s="449">
        <f>TRUNC(($F2235*$G2235),2)</f>
        <v>1.33</v>
      </c>
      <c r="I2235" s="262"/>
      <c r="J2235" s="262"/>
      <c r="K2235" s="262"/>
      <c r="L2235" s="262"/>
      <c r="M2235" s="262"/>
      <c r="N2235" s="262"/>
      <c r="O2235" s="262"/>
      <c r="P2235" s="262"/>
      <c r="Q2235" s="262"/>
      <c r="R2235" s="262"/>
      <c r="S2235" s="262"/>
      <c r="T2235" s="262"/>
      <c r="U2235" s="262"/>
      <c r="V2235" s="262"/>
      <c r="W2235" s="262"/>
      <c r="X2235" s="262"/>
      <c r="Y2235" s="262"/>
      <c r="Z2235" s="262"/>
      <c r="AA2235" s="262"/>
      <c r="AB2235" s="262"/>
    </row>
    <row r="2236" spans="1:31" ht="25.5">
      <c r="A2236" s="760" t="s">
        <v>14479</v>
      </c>
      <c r="B2236" s="761" t="s">
        <v>14491</v>
      </c>
      <c r="C2236" s="762" t="s">
        <v>15254</v>
      </c>
      <c r="D2236" s="601" t="str">
        <f>VLOOKUP($C2236,'09 - MC'!$A:$F,2,0)</f>
        <v>ARANDELA DE PAREDE LED ICE RETANGULAR EXTERNO 3000K 5W BIVOLT 20X8,2X4,2CM POLICARBONATO BRANCO</v>
      </c>
      <c r="E2236" s="602" t="str">
        <f>VLOOKUP($C2236,'09 - MC'!$A:$F,3,0)</f>
        <v>UN</v>
      </c>
      <c r="F2236" s="603">
        <v>1</v>
      </c>
      <c r="G2236" s="603">
        <f>VLOOKUP($C2236,'09 - MC'!$A:$F,6,0)</f>
        <v>146.62</v>
      </c>
      <c r="H2236" s="605">
        <f>TRUNC(G2236*F2236,2)</f>
        <v>146.62</v>
      </c>
      <c r="I2236" s="262"/>
      <c r="J2236" s="262"/>
      <c r="K2236" s="262"/>
      <c r="L2236" s="262"/>
      <c r="M2236" s="262"/>
      <c r="N2236" s="262"/>
      <c r="O2236" s="262"/>
      <c r="P2236" s="262"/>
      <c r="Q2236" s="262"/>
      <c r="R2236" s="262"/>
      <c r="S2236" s="262"/>
      <c r="T2236" s="262"/>
      <c r="U2236" s="262"/>
      <c r="V2236" s="262"/>
      <c r="W2236" s="262"/>
      <c r="X2236" s="262"/>
      <c r="Y2236" s="262"/>
      <c r="Z2236" s="262"/>
      <c r="AA2236" s="262"/>
      <c r="AB2236" s="262"/>
    </row>
    <row r="2237" spans="1:31" ht="12.75">
      <c r="A2237" s="793"/>
      <c r="B2237" s="794"/>
      <c r="C2237" s="795"/>
      <c r="D2237" s="796"/>
      <c r="E2237" s="370"/>
      <c r="F2237" s="782"/>
      <c r="G2237" s="370"/>
      <c r="H2237" s="371"/>
      <c r="I2237" s="262"/>
      <c r="J2237" s="262"/>
      <c r="K2237" s="262"/>
      <c r="L2237" s="262"/>
      <c r="M2237" s="262"/>
      <c r="N2237" s="262"/>
      <c r="O2237" s="262"/>
      <c r="P2237" s="262"/>
      <c r="Q2237" s="262"/>
      <c r="R2237" s="262"/>
      <c r="S2237" s="262"/>
      <c r="T2237" s="262"/>
      <c r="U2237" s="262"/>
      <c r="V2237" s="262"/>
      <c r="W2237" s="262"/>
      <c r="X2237" s="262"/>
      <c r="Y2237" s="262"/>
      <c r="Z2237" s="262"/>
      <c r="AA2237" s="262"/>
      <c r="AB2237" s="262"/>
    </row>
    <row r="2238" spans="1:31" ht="12.75">
      <c r="A2238" s="358" t="s">
        <v>14471</v>
      </c>
      <c r="B2238" s="359" t="s">
        <v>14472</v>
      </c>
      <c r="C2238" s="360" t="s">
        <v>15255</v>
      </c>
      <c r="D2238" s="361" t="s">
        <v>15256</v>
      </c>
      <c r="E2238" s="359" t="s">
        <v>6</v>
      </c>
      <c r="F2238" s="784"/>
      <c r="G2238" s="402"/>
      <c r="H2238" s="363">
        <f>SUM(H2240:H2244)</f>
        <v>155.1</v>
      </c>
      <c r="I2238" s="276">
        <f>COUNTIF($C$8:$C2238,C:C)</f>
        <v>1</v>
      </c>
      <c r="J2238" s="262"/>
      <c r="K2238" s="262"/>
      <c r="L2238" s="262"/>
      <c r="M2238" s="262"/>
      <c r="N2238" s="262"/>
      <c r="O2238" s="262"/>
      <c r="P2238" s="262"/>
      <c r="Q2238" s="262"/>
      <c r="R2238" s="262"/>
      <c r="S2238" s="262"/>
      <c r="T2238" s="262"/>
      <c r="U2238" s="262"/>
      <c r="V2238" s="262"/>
      <c r="W2238" s="262"/>
      <c r="X2238" s="262"/>
      <c r="Y2238" s="262"/>
      <c r="Z2238" s="262"/>
      <c r="AA2238" s="262"/>
      <c r="AB2238" s="262"/>
    </row>
    <row r="2239" spans="1:31" ht="25.5">
      <c r="A2239" s="646" t="s">
        <v>14475</v>
      </c>
      <c r="B2239" s="403" t="s">
        <v>14522</v>
      </c>
      <c r="C2239" s="615" t="s">
        <v>15206</v>
      </c>
      <c r="D2239" s="769" t="s">
        <v>14567</v>
      </c>
      <c r="E2239" s="405"/>
      <c r="F2239" s="369"/>
      <c r="G2239" s="370"/>
      <c r="H2239" s="371"/>
      <c r="I2239" s="262"/>
      <c r="J2239" s="262"/>
      <c r="K2239" s="262"/>
      <c r="L2239" s="262"/>
      <c r="M2239" s="262"/>
      <c r="N2239" s="262"/>
      <c r="O2239" s="262"/>
      <c r="P2239" s="262"/>
      <c r="Q2239" s="262"/>
      <c r="R2239" s="262"/>
      <c r="S2239" s="262"/>
      <c r="T2239" s="262"/>
      <c r="U2239" s="262"/>
      <c r="V2239" s="262"/>
      <c r="W2239" s="262"/>
      <c r="X2239" s="262"/>
      <c r="Y2239" s="262"/>
      <c r="Z2239" s="262"/>
      <c r="AA2239" s="262"/>
      <c r="AB2239" s="262"/>
    </row>
    <row r="2240" spans="1:31">
      <c r="A2240" s="785" t="s">
        <v>14478</v>
      </c>
      <c r="B2240" s="786" t="s">
        <v>14476</v>
      </c>
      <c r="C2240" s="594">
        <v>88264</v>
      </c>
      <c r="D2240" s="288" t="str">
        <f>IFERROR(VLOOKUP($C2240,'24.08_ND'!$A:$D,2,0),)</f>
        <v>ELETRICISTA COM ENCARGOS COMPLEMENTARES</v>
      </c>
      <c r="E2240" s="289" t="str">
        <f>IFERROR(VLOOKUP($C2240,'24.08_ND'!$A:$D,3,0),)</f>
        <v>H</v>
      </c>
      <c r="F2240" s="787">
        <v>0.8</v>
      </c>
      <c r="G2240" s="291">
        <f>IFERROR(VLOOKUP($C2240,'24.08_ND'!$A:$D,4,0),)</f>
        <v>24.3</v>
      </c>
      <c r="H2240" s="423">
        <f>TRUNC(($F2240*$G2240),2)</f>
        <v>19.440000000000001</v>
      </c>
      <c r="I2240" s="262"/>
      <c r="J2240" s="262"/>
      <c r="K2240" s="262"/>
      <c r="L2240" s="262"/>
      <c r="M2240" s="262"/>
      <c r="N2240" s="262"/>
      <c r="O2240" s="262"/>
      <c r="P2240" s="262"/>
      <c r="Q2240" s="262"/>
      <c r="R2240" s="262"/>
      <c r="S2240" s="262"/>
      <c r="T2240" s="262"/>
      <c r="U2240" s="262"/>
      <c r="V2240" s="262"/>
      <c r="W2240" s="262"/>
      <c r="X2240" s="262"/>
      <c r="Y2240" s="262"/>
      <c r="Z2240" s="262"/>
      <c r="AA2240" s="262"/>
      <c r="AB2240" s="262"/>
      <c r="AD2240" s="1791" t="e">
        <f>VLOOKUP(C2240,'Medição '!$B$16:$F$1833,6,0)</f>
        <v>#N/A</v>
      </c>
      <c r="AE2240" s="1791"/>
    </row>
    <row r="2241" spans="1:31">
      <c r="A2241" s="785" t="s">
        <v>14478</v>
      </c>
      <c r="B2241" s="786" t="s">
        <v>14476</v>
      </c>
      <c r="C2241" s="374">
        <v>88247</v>
      </c>
      <c r="D2241" s="288" t="str">
        <f>IFERROR(VLOOKUP($C2241,'24.08_ND'!$A:$D,2,0),)</f>
        <v>AUXILIAR DE ELETRICISTA COM ENCARGOS COMPLEMENTARES</v>
      </c>
      <c r="E2241" s="289" t="str">
        <f>IFERROR(VLOOKUP($C2241,'24.08_ND'!$A:$D,3,0),)</f>
        <v>H</v>
      </c>
      <c r="F2241" s="787">
        <v>0.8</v>
      </c>
      <c r="G2241" s="291">
        <f>IFERROR(VLOOKUP($C2241,'24.08_ND'!$A:$D,4,0),)</f>
        <v>20</v>
      </c>
      <c r="H2241" s="423">
        <f>TRUNC(($F2241*$G2241),2)</f>
        <v>16</v>
      </c>
      <c r="I2241" s="262"/>
      <c r="J2241" s="262"/>
      <c r="K2241" s="262"/>
      <c r="L2241" s="262"/>
      <c r="M2241" s="262"/>
      <c r="N2241" s="262"/>
      <c r="O2241" s="262"/>
      <c r="P2241" s="262"/>
      <c r="Q2241" s="262"/>
      <c r="R2241" s="262"/>
      <c r="S2241" s="262"/>
      <c r="T2241" s="262"/>
      <c r="U2241" s="262"/>
      <c r="V2241" s="262"/>
      <c r="W2241" s="262"/>
      <c r="X2241" s="262"/>
      <c r="Y2241" s="262"/>
      <c r="Z2241" s="262"/>
      <c r="AA2241" s="262"/>
      <c r="AB2241" s="262"/>
      <c r="AD2241" s="1791" t="e">
        <f>VLOOKUP(C2241,'Medição '!$B$16:$F$1833,6,0)</f>
        <v>#N/A</v>
      </c>
      <c r="AE2241" s="1791"/>
    </row>
    <row r="2242" spans="1:31" ht="12.75">
      <c r="A2242" s="445" t="s">
        <v>14479</v>
      </c>
      <c r="B2242" s="446" t="s">
        <v>14476</v>
      </c>
      <c r="C2242" s="597">
        <v>404</v>
      </c>
      <c r="D2242" s="296" t="str">
        <f>IFERROR(VLOOKUP($C2242,'24.08_ND'!$A:$D,2,0),)</f>
        <v>FITA ISOLANTE DE BORRACHA AUTOFUSAO, USO ATE 69 KV (ALTA TENSAO)</v>
      </c>
      <c r="E2242" s="297" t="str">
        <f>IFERROR(VLOOKUP($C2242,'24.08_ND'!$A:$D,3,0),)</f>
        <v>M</v>
      </c>
      <c r="F2242" s="780">
        <v>0.12</v>
      </c>
      <c r="G2242" s="299">
        <f>IFERROR(VLOOKUP($C2242,'24.08_ND'!$A:$D,4,0),)</f>
        <v>1.51</v>
      </c>
      <c r="H2242" s="781">
        <f>TRUNC(($F2242*$G2242),2)</f>
        <v>0.18</v>
      </c>
      <c r="I2242" s="262"/>
      <c r="J2242" s="262"/>
      <c r="K2242" s="262"/>
      <c r="L2242" s="262"/>
      <c r="M2242" s="262"/>
      <c r="N2242" s="262"/>
      <c r="O2242" s="262"/>
      <c r="P2242" s="262"/>
      <c r="Q2242" s="262"/>
      <c r="R2242" s="262"/>
      <c r="S2242" s="262"/>
      <c r="T2242" s="262"/>
      <c r="U2242" s="262"/>
      <c r="V2242" s="262"/>
      <c r="W2242" s="262"/>
      <c r="X2242" s="262"/>
      <c r="Y2242" s="262"/>
      <c r="Z2242" s="262"/>
      <c r="AA2242" s="262"/>
      <c r="AB2242" s="262"/>
    </row>
    <row r="2243" spans="1:31" ht="12.75">
      <c r="A2243" s="788" t="s">
        <v>14479</v>
      </c>
      <c r="B2243" s="761" t="s">
        <v>14491</v>
      </c>
      <c r="C2243" s="614" t="s">
        <v>15257</v>
      </c>
      <c r="D2243" s="789" t="str">
        <f>VLOOKUP($C2243,'09 - MC'!$A:$F,2,0)</f>
        <v>LAMPADA PAR 20 - COM SOQUETE E27 E LED ATÉ 7W - ATÉ 4500 K</v>
      </c>
      <c r="E2243" s="604" t="str">
        <f>VLOOKUP($C2243,'09 - MC'!$A:$F,3,0)</f>
        <v>UN</v>
      </c>
      <c r="F2243" s="603">
        <v>1</v>
      </c>
      <c r="G2243" s="604">
        <f>VLOOKUP(C2243,'09 - MC'!$A:$F,6,FALSE)</f>
        <v>17</v>
      </c>
      <c r="H2243" s="605">
        <f>TRUNC(G2243*F2243,2)</f>
        <v>17</v>
      </c>
      <c r="I2243" s="262"/>
      <c r="J2243" s="262"/>
      <c r="K2243" s="262"/>
      <c r="L2243" s="262"/>
      <c r="M2243" s="262"/>
      <c r="N2243" s="262"/>
      <c r="O2243" s="262"/>
      <c r="P2243" s="262"/>
      <c r="Q2243" s="262"/>
      <c r="R2243" s="262"/>
      <c r="S2243" s="262"/>
      <c r="T2243" s="262"/>
      <c r="U2243" s="262"/>
      <c r="V2243" s="262"/>
      <c r="W2243" s="262"/>
      <c r="X2243" s="262"/>
      <c r="Y2243" s="262"/>
      <c r="Z2243" s="262"/>
      <c r="AA2243" s="262"/>
      <c r="AB2243" s="262"/>
    </row>
    <row r="2244" spans="1:31" ht="12.75">
      <c r="A2244" s="788" t="s">
        <v>14479</v>
      </c>
      <c r="B2244" s="761" t="s">
        <v>14491</v>
      </c>
      <c r="C2244" s="614" t="s">
        <v>15258</v>
      </c>
      <c r="D2244" s="789" t="str">
        <f>VLOOKUP($C2244,'09 - MC'!$A:$F,2,0)</f>
        <v>EMBUTIDO SOLO PISO BOCAL E27 PARA LÂMPADA PAR20</v>
      </c>
      <c r="E2244" s="604" t="str">
        <f>VLOOKUP($C2244,'09 - MC'!$A:$F,3,0)</f>
        <v>UN</v>
      </c>
      <c r="F2244" s="603">
        <v>1</v>
      </c>
      <c r="G2244" s="604">
        <f>VLOOKUP(C2244,'09 - MC'!$A:$F,6,FALSE)</f>
        <v>102.48</v>
      </c>
      <c r="H2244" s="605">
        <f>TRUNC(G2244*F2244,2)</f>
        <v>102.48</v>
      </c>
      <c r="I2244" s="262"/>
      <c r="J2244" s="262"/>
      <c r="K2244" s="262"/>
      <c r="L2244" s="262"/>
      <c r="M2244" s="262"/>
      <c r="N2244" s="262"/>
      <c r="O2244" s="262"/>
      <c r="P2244" s="262"/>
      <c r="Q2244" s="262"/>
      <c r="R2244" s="262"/>
      <c r="S2244" s="262"/>
      <c r="T2244" s="262"/>
      <c r="U2244" s="262"/>
      <c r="V2244" s="262"/>
      <c r="W2244" s="262"/>
      <c r="X2244" s="262"/>
      <c r="Y2244" s="262"/>
      <c r="Z2244" s="262"/>
      <c r="AA2244" s="262"/>
      <c r="AB2244" s="262"/>
    </row>
    <row r="2245" spans="1:31" ht="12.75">
      <c r="A2245" s="686"/>
      <c r="B2245" s="687"/>
      <c r="C2245" s="688"/>
      <c r="D2245" s="689"/>
      <c r="E2245" s="690"/>
      <c r="F2245" s="691"/>
      <c r="G2245" s="690"/>
      <c r="H2245" s="692"/>
      <c r="I2245" s="262"/>
      <c r="J2245" s="262"/>
      <c r="K2245" s="262"/>
      <c r="L2245" s="262"/>
      <c r="M2245" s="262"/>
      <c r="N2245" s="262"/>
      <c r="O2245" s="262"/>
      <c r="P2245" s="262"/>
      <c r="Q2245" s="262"/>
      <c r="R2245" s="262"/>
      <c r="S2245" s="262"/>
      <c r="T2245" s="262"/>
      <c r="U2245" s="262"/>
      <c r="V2245" s="262"/>
      <c r="W2245" s="262"/>
      <c r="X2245" s="262"/>
      <c r="Y2245" s="262"/>
      <c r="Z2245" s="262"/>
      <c r="AA2245" s="262"/>
      <c r="AB2245" s="262"/>
    </row>
    <row r="2246" spans="1:31" ht="25.5">
      <c r="A2246" s="358" t="s">
        <v>14471</v>
      </c>
      <c r="B2246" s="359" t="s">
        <v>14472</v>
      </c>
      <c r="C2246" s="360" t="s">
        <v>15259</v>
      </c>
      <c r="D2246" s="361" t="s">
        <v>15260</v>
      </c>
      <c r="E2246" s="359" t="s">
        <v>6</v>
      </c>
      <c r="F2246" s="362"/>
      <c r="G2246" s="362"/>
      <c r="H2246" s="363">
        <f>TRUNC(SUM(H2248:H2252),2)</f>
        <v>1628.02</v>
      </c>
      <c r="I2246" s="276">
        <f>COUNTIF($C$8:$C2246,C:C)</f>
        <v>1</v>
      </c>
      <c r="J2246" s="262"/>
      <c r="K2246" s="262"/>
      <c r="L2246" s="262"/>
      <c r="M2246" s="262"/>
      <c r="N2246" s="262"/>
      <c r="O2246" s="262"/>
      <c r="P2246" s="262"/>
      <c r="Q2246" s="262"/>
      <c r="R2246" s="262"/>
      <c r="S2246" s="262"/>
      <c r="T2246" s="262"/>
      <c r="U2246" s="262"/>
      <c r="V2246" s="262"/>
      <c r="W2246" s="262"/>
      <c r="X2246" s="262"/>
      <c r="Y2246" s="262"/>
      <c r="Z2246" s="262"/>
      <c r="AA2246" s="262"/>
      <c r="AB2246" s="262"/>
    </row>
    <row r="2247" spans="1:31" ht="12.75">
      <c r="A2247" s="646" t="s">
        <v>14475</v>
      </c>
      <c r="B2247" s="403" t="s">
        <v>14476</v>
      </c>
      <c r="C2247" s="404">
        <v>100619</v>
      </c>
      <c r="D2247" s="769" t="s">
        <v>14567</v>
      </c>
      <c r="E2247" s="641"/>
      <c r="F2247" s="369"/>
      <c r="G2247" s="370"/>
      <c r="H2247" s="371"/>
      <c r="I2247" s="262"/>
      <c r="J2247" s="262"/>
      <c r="K2247" s="262"/>
      <c r="L2247" s="262"/>
      <c r="M2247" s="262"/>
      <c r="N2247" s="262"/>
      <c r="O2247" s="262"/>
      <c r="P2247" s="262"/>
      <c r="Q2247" s="262"/>
      <c r="R2247" s="262"/>
      <c r="S2247" s="262"/>
      <c r="T2247" s="262"/>
      <c r="U2247" s="262"/>
      <c r="V2247" s="262"/>
      <c r="W2247" s="262"/>
      <c r="X2247" s="262"/>
      <c r="Y2247" s="262"/>
      <c r="Z2247" s="262"/>
      <c r="AA2247" s="262"/>
      <c r="AB2247" s="262"/>
    </row>
    <row r="2248" spans="1:31" ht="25.5">
      <c r="A2248" s="586" t="s">
        <v>14478</v>
      </c>
      <c r="B2248" s="373" t="s">
        <v>14476</v>
      </c>
      <c r="C2248" s="594">
        <v>88264</v>
      </c>
      <c r="D2248" s="288" t="str">
        <f>IFERROR(VLOOKUP($C2248,'24.08_ND'!$A:$D,2,0),)</f>
        <v>ELETRICISTA COM ENCARGOS COMPLEMENTARES</v>
      </c>
      <c r="E2248" s="289" t="str">
        <f>IFERROR(VLOOKUP($C2248,'24.08_ND'!$A:$D,3,0),)</f>
        <v>H</v>
      </c>
      <c r="F2248" s="441">
        <v>3.4369999999999998</v>
      </c>
      <c r="G2248" s="291">
        <f>IFERROR(VLOOKUP($C2248,'24.08_ND'!$A:$D,4,0),)</f>
        <v>24.3</v>
      </c>
      <c r="H2248" s="440">
        <f>TRUNC(($F2248*$G2248),2)</f>
        <v>83.51</v>
      </c>
      <c r="I2248" s="262"/>
      <c r="J2248" s="262"/>
      <c r="K2248" s="262"/>
      <c r="L2248" s="262"/>
      <c r="M2248" s="262"/>
      <c r="N2248" s="262"/>
      <c r="O2248" s="262"/>
      <c r="P2248" s="262"/>
      <c r="Q2248" s="262"/>
      <c r="R2248" s="262"/>
      <c r="S2248" s="262"/>
      <c r="T2248" s="262"/>
      <c r="U2248" s="262"/>
      <c r="V2248" s="262"/>
      <c r="W2248" s="262"/>
      <c r="X2248" s="262"/>
      <c r="Y2248" s="262"/>
      <c r="Z2248" s="262"/>
      <c r="AA2248" s="262"/>
      <c r="AB2248" s="262"/>
      <c r="AD2248" s="1791" t="e">
        <f>VLOOKUP(C2248,'Medição '!$B$16:$F$1833,6,0)</f>
        <v>#N/A</v>
      </c>
      <c r="AE2248" s="1791"/>
    </row>
    <row r="2249" spans="1:31" ht="25.5">
      <c r="A2249" s="586" t="s">
        <v>14478</v>
      </c>
      <c r="B2249" s="373" t="s">
        <v>14476</v>
      </c>
      <c r="C2249" s="374">
        <v>88247</v>
      </c>
      <c r="D2249" s="288" t="str">
        <f>IFERROR(VLOOKUP($C2249,'24.08_ND'!$A:$D,2,0),)</f>
        <v>AUXILIAR DE ELETRICISTA COM ENCARGOS COMPLEMENTARES</v>
      </c>
      <c r="E2249" s="289" t="str">
        <f>IFERROR(VLOOKUP($C2249,'24.08_ND'!$A:$D,3,0),)</f>
        <v>H</v>
      </c>
      <c r="F2249" s="441">
        <v>1.0580000000000001</v>
      </c>
      <c r="G2249" s="291">
        <f>IFERROR(VLOOKUP($C2249,'24.08_ND'!$A:$D,4,0),)</f>
        <v>20</v>
      </c>
      <c r="H2249" s="440">
        <f>TRUNC(($F2249*$G2249),2)</f>
        <v>21.16</v>
      </c>
      <c r="I2249" s="262"/>
      <c r="J2249" s="262"/>
      <c r="K2249" s="262"/>
      <c r="L2249" s="262"/>
      <c r="M2249" s="262"/>
      <c r="N2249" s="262"/>
      <c r="O2249" s="262"/>
      <c r="P2249" s="262"/>
      <c r="Q2249" s="262"/>
      <c r="R2249" s="262"/>
      <c r="S2249" s="262"/>
      <c r="T2249" s="262"/>
      <c r="U2249" s="262"/>
      <c r="V2249" s="262"/>
      <c r="W2249" s="262"/>
      <c r="X2249" s="262"/>
      <c r="Y2249" s="262"/>
      <c r="Z2249" s="262"/>
      <c r="AA2249" s="262"/>
      <c r="AB2249" s="262"/>
      <c r="AD2249" s="1791" t="e">
        <f>VLOOKUP(C2249,'Medição '!$B$16:$F$1833,6,0)</f>
        <v>#N/A</v>
      </c>
      <c r="AE2249" s="1791"/>
    </row>
    <row r="2250" spans="1:31" ht="12.75">
      <c r="A2250" s="445" t="s">
        <v>14479</v>
      </c>
      <c r="B2250" s="446" t="s">
        <v>14476</v>
      </c>
      <c r="C2250" s="597">
        <v>404</v>
      </c>
      <c r="D2250" s="296" t="str">
        <f>IFERROR(VLOOKUP($C2250,'24.08_ND'!$A:$D,2,0),)</f>
        <v>FITA ISOLANTE DE BORRACHA AUTOFUSAO, USO ATE 69 KV (ALTA TENSAO)</v>
      </c>
      <c r="E2250" s="297" t="str">
        <f>IFERROR(VLOOKUP($C2250,'24.08_ND'!$A:$D,3,0),)</f>
        <v>M</v>
      </c>
      <c r="F2250" s="780">
        <v>0.12</v>
      </c>
      <c r="G2250" s="299">
        <f>IFERROR(VLOOKUP($C2250,'24.08_ND'!$A:$D,4,0),)</f>
        <v>1.51</v>
      </c>
      <c r="H2250" s="781">
        <f>TRUNC(($F2250*$G2250),2)</f>
        <v>0.18</v>
      </c>
      <c r="I2250" s="262"/>
      <c r="J2250" s="262"/>
      <c r="K2250" s="262"/>
      <c r="L2250" s="262"/>
      <c r="M2250" s="262"/>
      <c r="N2250" s="262"/>
      <c r="O2250" s="262"/>
      <c r="P2250" s="262"/>
      <c r="Q2250" s="262"/>
      <c r="R2250" s="262"/>
      <c r="S2250" s="262"/>
      <c r="T2250" s="262"/>
      <c r="U2250" s="262"/>
      <c r="V2250" s="262"/>
      <c r="W2250" s="262"/>
      <c r="X2250" s="262"/>
      <c r="Y2250" s="262"/>
      <c r="Z2250" s="262"/>
      <c r="AA2250" s="262"/>
      <c r="AB2250" s="262"/>
    </row>
    <row r="2251" spans="1:31" ht="12.75">
      <c r="A2251" s="445" t="s">
        <v>14479</v>
      </c>
      <c r="B2251" s="446" t="s">
        <v>14476</v>
      </c>
      <c r="C2251" s="597">
        <v>11975</v>
      </c>
      <c r="D2251" s="296" t="str">
        <f>IFERROR(VLOOKUP($C2251,'24.08_ND'!$A:$D,2,0),)</f>
        <v>CHUMBADOR DE ACO ZINCADO, DIAMETRO 5/8", COMPRIMENTO 6", COM PORCA</v>
      </c>
      <c r="E2251" s="297" t="str">
        <f>IFERROR(VLOOKUP($C2251,'24.08_ND'!$A:$D,3,0),)</f>
        <v>UN</v>
      </c>
      <c r="F2251" s="780">
        <v>4</v>
      </c>
      <c r="G2251" s="299">
        <f>IFERROR(VLOOKUP($C2251,'24.08_ND'!$A:$D,4,0),)</f>
        <v>22.65</v>
      </c>
      <c r="H2251" s="781">
        <f>TRUNC(($F2251*$G2251),2)</f>
        <v>90.6</v>
      </c>
      <c r="I2251" s="262"/>
      <c r="J2251" s="262"/>
      <c r="K2251" s="262"/>
      <c r="L2251" s="262"/>
      <c r="M2251" s="262"/>
      <c r="N2251" s="262"/>
      <c r="O2251" s="262"/>
      <c r="P2251" s="262"/>
      <c r="Q2251" s="262"/>
      <c r="R2251" s="262"/>
      <c r="S2251" s="262"/>
      <c r="T2251" s="262"/>
      <c r="U2251" s="262"/>
      <c r="V2251" s="262"/>
      <c r="W2251" s="262"/>
      <c r="X2251" s="262"/>
      <c r="Y2251" s="262"/>
      <c r="Z2251" s="262"/>
      <c r="AA2251" s="262"/>
      <c r="AB2251" s="262"/>
    </row>
    <row r="2252" spans="1:31" ht="12.75">
      <c r="A2252" s="760" t="s">
        <v>14479</v>
      </c>
      <c r="B2252" s="761" t="s">
        <v>14491</v>
      </c>
      <c r="C2252" s="600" t="s">
        <v>15261</v>
      </c>
      <c r="D2252" s="601" t="str">
        <f>VLOOKUP($C2252,'09 - MC'!$A:$F,2,0)</f>
        <v>POSTE GIRAFA RETO LED AÇO GALVANIZADO À FOGO PINTURA ELETROSTÁTICA 50W 4M</v>
      </c>
      <c r="E2252" s="602" t="str">
        <f>VLOOKUP($C2252,'09 - MC'!$A:$F,3,0)</f>
        <v>UN</v>
      </c>
      <c r="F2252" s="603">
        <v>1</v>
      </c>
      <c r="G2252" s="604">
        <f>VLOOKUP($C2252,'09 - MC'!$A:$F,6,0)</f>
        <v>1432.57</v>
      </c>
      <c r="H2252" s="605">
        <f>TRUNC(G2252*F2252,2)</f>
        <v>1432.57</v>
      </c>
      <c r="I2252" s="262"/>
      <c r="J2252" s="262"/>
      <c r="K2252" s="262"/>
      <c r="L2252" s="262"/>
      <c r="M2252" s="262"/>
      <c r="N2252" s="262"/>
      <c r="O2252" s="262"/>
      <c r="P2252" s="262"/>
      <c r="Q2252" s="262"/>
      <c r="R2252" s="262"/>
      <c r="S2252" s="262"/>
      <c r="T2252" s="262"/>
      <c r="U2252" s="262"/>
      <c r="V2252" s="262"/>
      <c r="W2252" s="262"/>
      <c r="X2252" s="262"/>
      <c r="Y2252" s="262"/>
      <c r="Z2252" s="262"/>
      <c r="AA2252" s="262"/>
      <c r="AB2252" s="262"/>
    </row>
    <row r="2253" spans="1:31" ht="12.75">
      <c r="A2253" s="686"/>
      <c r="B2253" s="687"/>
      <c r="C2253" s="688"/>
      <c r="D2253" s="689"/>
      <c r="E2253" s="690"/>
      <c r="F2253" s="691"/>
      <c r="G2253" s="690"/>
      <c r="H2253" s="692"/>
      <c r="I2253" s="262"/>
      <c r="J2253" s="262"/>
      <c r="K2253" s="262"/>
      <c r="L2253" s="262"/>
      <c r="M2253" s="262"/>
      <c r="N2253" s="262"/>
      <c r="O2253" s="262"/>
      <c r="P2253" s="262"/>
      <c r="Q2253" s="262"/>
      <c r="R2253" s="262"/>
      <c r="S2253" s="262"/>
      <c r="T2253" s="262"/>
      <c r="U2253" s="262"/>
      <c r="V2253" s="262"/>
      <c r="W2253" s="262"/>
      <c r="X2253" s="262"/>
      <c r="Y2253" s="262"/>
      <c r="Z2253" s="262"/>
      <c r="AA2253" s="262"/>
      <c r="AB2253" s="262"/>
    </row>
    <row r="2254" spans="1:31" ht="25.5">
      <c r="A2254" s="358" t="s">
        <v>14471</v>
      </c>
      <c r="B2254" s="359" t="s">
        <v>14472</v>
      </c>
      <c r="C2254" s="360" t="s">
        <v>15262</v>
      </c>
      <c r="D2254" s="361" t="s">
        <v>15263</v>
      </c>
      <c r="E2254" s="359" t="s">
        <v>6</v>
      </c>
      <c r="F2254" s="362"/>
      <c r="G2254" s="362"/>
      <c r="H2254" s="363">
        <f>TRUNC(SUM(H2256:H2260),2)</f>
        <v>2031.11</v>
      </c>
      <c r="I2254" s="276">
        <f>COUNTIF($C$8:$C2254,C:C)</f>
        <v>1</v>
      </c>
      <c r="J2254" s="262"/>
      <c r="K2254" s="262"/>
      <c r="L2254" s="262"/>
      <c r="M2254" s="262"/>
      <c r="N2254" s="262"/>
      <c r="O2254" s="262"/>
      <c r="P2254" s="262"/>
      <c r="Q2254" s="262"/>
      <c r="R2254" s="262"/>
      <c r="S2254" s="262"/>
      <c r="T2254" s="262"/>
      <c r="U2254" s="262"/>
      <c r="V2254" s="262"/>
      <c r="W2254" s="262"/>
      <c r="X2254" s="262"/>
      <c r="Y2254" s="262"/>
      <c r="Z2254" s="262"/>
      <c r="AA2254" s="262"/>
      <c r="AB2254" s="262"/>
    </row>
    <row r="2255" spans="1:31" ht="12.75">
      <c r="A2255" s="646" t="s">
        <v>14475</v>
      </c>
      <c r="B2255" s="403" t="s">
        <v>14476</v>
      </c>
      <c r="C2255" s="404">
        <v>100619</v>
      </c>
      <c r="D2255" s="769" t="s">
        <v>14567</v>
      </c>
      <c r="E2255" s="641"/>
      <c r="F2255" s="369"/>
      <c r="G2255" s="370"/>
      <c r="H2255" s="371"/>
      <c r="I2255" s="262"/>
      <c r="J2255" s="262"/>
      <c r="K2255" s="262"/>
      <c r="L2255" s="262"/>
      <c r="M2255" s="262"/>
      <c r="N2255" s="262"/>
      <c r="O2255" s="262"/>
      <c r="P2255" s="262"/>
      <c r="Q2255" s="262"/>
      <c r="R2255" s="262"/>
      <c r="S2255" s="262"/>
      <c r="T2255" s="262"/>
      <c r="U2255" s="262"/>
      <c r="V2255" s="262"/>
      <c r="W2255" s="262"/>
      <c r="X2255" s="262"/>
      <c r="Y2255" s="262"/>
      <c r="Z2255" s="262"/>
      <c r="AA2255" s="262"/>
      <c r="AB2255" s="262"/>
    </row>
    <row r="2256" spans="1:31" ht="25.5">
      <c r="A2256" s="586" t="s">
        <v>14478</v>
      </c>
      <c r="B2256" s="373" t="s">
        <v>14476</v>
      </c>
      <c r="C2256" s="594">
        <v>88264</v>
      </c>
      <c r="D2256" s="288" t="str">
        <f>IFERROR(VLOOKUP($C2256,'24.08_ND'!$A:$D,2,0),)</f>
        <v>ELETRICISTA COM ENCARGOS COMPLEMENTARES</v>
      </c>
      <c r="E2256" s="289" t="str">
        <f>IFERROR(VLOOKUP($C2256,'24.08_ND'!$A:$D,3,0),)</f>
        <v>H</v>
      </c>
      <c r="F2256" s="441">
        <v>3.4369999999999998</v>
      </c>
      <c r="G2256" s="291">
        <f>IFERROR(VLOOKUP($C2256,'24.08_ND'!$A:$D,4,0),)</f>
        <v>24.3</v>
      </c>
      <c r="H2256" s="440">
        <f>TRUNC(($F2256*$G2256),2)</f>
        <v>83.51</v>
      </c>
      <c r="I2256" s="262"/>
      <c r="J2256" s="262"/>
      <c r="K2256" s="262"/>
      <c r="L2256" s="262"/>
      <c r="M2256" s="262"/>
      <c r="N2256" s="262"/>
      <c r="O2256" s="262"/>
      <c r="P2256" s="262"/>
      <c r="Q2256" s="262"/>
      <c r="R2256" s="262"/>
      <c r="S2256" s="262"/>
      <c r="T2256" s="262"/>
      <c r="U2256" s="262"/>
      <c r="V2256" s="262"/>
      <c r="W2256" s="262"/>
      <c r="X2256" s="262"/>
      <c r="Y2256" s="262"/>
      <c r="Z2256" s="262"/>
      <c r="AA2256" s="262"/>
      <c r="AB2256" s="262"/>
      <c r="AD2256" s="1791" t="e">
        <f>VLOOKUP(C2256,'Medição '!$B$16:$F$1833,6,0)</f>
        <v>#N/A</v>
      </c>
      <c r="AE2256" s="1791"/>
    </row>
    <row r="2257" spans="1:31" ht="25.5">
      <c r="A2257" s="586" t="s">
        <v>14478</v>
      </c>
      <c r="B2257" s="373" t="s">
        <v>14476</v>
      </c>
      <c r="C2257" s="374">
        <v>88247</v>
      </c>
      <c r="D2257" s="288" t="str">
        <f>IFERROR(VLOOKUP($C2257,'24.08_ND'!$A:$D,2,0),)</f>
        <v>AUXILIAR DE ELETRICISTA COM ENCARGOS COMPLEMENTARES</v>
      </c>
      <c r="E2257" s="289" t="str">
        <f>IFERROR(VLOOKUP($C2257,'24.08_ND'!$A:$D,3,0),)</f>
        <v>H</v>
      </c>
      <c r="F2257" s="441">
        <v>1.0580000000000001</v>
      </c>
      <c r="G2257" s="291">
        <f>IFERROR(VLOOKUP($C2257,'24.08_ND'!$A:$D,4,0),)</f>
        <v>20</v>
      </c>
      <c r="H2257" s="440">
        <f>TRUNC(($F2257*$G2257),2)</f>
        <v>21.16</v>
      </c>
      <c r="I2257" s="262"/>
      <c r="J2257" s="262"/>
      <c r="K2257" s="262"/>
      <c r="L2257" s="262"/>
      <c r="M2257" s="262"/>
      <c r="N2257" s="262"/>
      <c r="O2257" s="262"/>
      <c r="P2257" s="262"/>
      <c r="Q2257" s="262"/>
      <c r="R2257" s="262"/>
      <c r="S2257" s="262"/>
      <c r="T2257" s="262"/>
      <c r="U2257" s="262"/>
      <c r="V2257" s="262"/>
      <c r="W2257" s="262"/>
      <c r="X2257" s="262"/>
      <c r="Y2257" s="262"/>
      <c r="Z2257" s="262"/>
      <c r="AA2257" s="262"/>
      <c r="AB2257" s="262"/>
      <c r="AD2257" s="1791" t="e">
        <f>VLOOKUP(C2257,'Medição '!$B$16:$F$1833,6,0)</f>
        <v>#N/A</v>
      </c>
      <c r="AE2257" s="1791"/>
    </row>
    <row r="2258" spans="1:31" ht="12.75">
      <c r="A2258" s="445" t="s">
        <v>14479</v>
      </c>
      <c r="B2258" s="446" t="s">
        <v>14476</v>
      </c>
      <c r="C2258" s="597">
        <v>404</v>
      </c>
      <c r="D2258" s="296" t="str">
        <f>IFERROR(VLOOKUP($C2258,'24.08_ND'!$A:$D,2,0),)</f>
        <v>FITA ISOLANTE DE BORRACHA AUTOFUSAO, USO ATE 69 KV (ALTA TENSAO)</v>
      </c>
      <c r="E2258" s="297" t="str">
        <f>IFERROR(VLOOKUP($C2258,'24.08_ND'!$A:$D,3,0),)</f>
        <v>M</v>
      </c>
      <c r="F2258" s="780">
        <v>0.12</v>
      </c>
      <c r="G2258" s="299">
        <f>IFERROR(VLOOKUP($C2258,'24.08_ND'!$A:$D,4,0),)</f>
        <v>1.51</v>
      </c>
      <c r="H2258" s="781">
        <f>TRUNC(($F2258*$G2258),2)</f>
        <v>0.18</v>
      </c>
      <c r="I2258" s="262"/>
      <c r="J2258" s="262"/>
      <c r="K2258" s="262"/>
      <c r="L2258" s="262"/>
      <c r="M2258" s="262"/>
      <c r="N2258" s="262"/>
      <c r="O2258" s="262"/>
      <c r="P2258" s="262"/>
      <c r="Q2258" s="262"/>
      <c r="R2258" s="262"/>
      <c r="S2258" s="262"/>
      <c r="T2258" s="262"/>
      <c r="U2258" s="262"/>
      <c r="V2258" s="262"/>
      <c r="W2258" s="262"/>
      <c r="X2258" s="262"/>
      <c r="Y2258" s="262"/>
      <c r="Z2258" s="262"/>
      <c r="AA2258" s="262"/>
      <c r="AB2258" s="262"/>
    </row>
    <row r="2259" spans="1:31" ht="12.75">
      <c r="A2259" s="445" t="s">
        <v>14479</v>
      </c>
      <c r="B2259" s="446" t="s">
        <v>14476</v>
      </c>
      <c r="C2259" s="597">
        <v>11975</v>
      </c>
      <c r="D2259" s="296" t="str">
        <f>IFERROR(VLOOKUP($C2259,'24.08_ND'!$A:$D,2,0),)</f>
        <v>CHUMBADOR DE ACO ZINCADO, DIAMETRO 5/8", COMPRIMENTO 6", COM PORCA</v>
      </c>
      <c r="E2259" s="297" t="str">
        <f>IFERROR(VLOOKUP($C2259,'24.08_ND'!$A:$D,3,0),)</f>
        <v>UN</v>
      </c>
      <c r="F2259" s="780">
        <v>4</v>
      </c>
      <c r="G2259" s="299">
        <f>IFERROR(VLOOKUP($C2259,'24.08_ND'!$A:$D,4,0),)</f>
        <v>22.65</v>
      </c>
      <c r="H2259" s="781">
        <f>TRUNC(($F2259*$G2259),2)</f>
        <v>90.6</v>
      </c>
      <c r="I2259" s="262"/>
      <c r="J2259" s="262"/>
      <c r="K2259" s="262"/>
      <c r="L2259" s="262"/>
      <c r="M2259" s="262"/>
      <c r="N2259" s="262"/>
      <c r="O2259" s="262"/>
      <c r="P2259" s="262"/>
      <c r="Q2259" s="262"/>
      <c r="R2259" s="262"/>
      <c r="S2259" s="262"/>
      <c r="T2259" s="262"/>
      <c r="U2259" s="262"/>
      <c r="V2259" s="262"/>
      <c r="W2259" s="262"/>
      <c r="X2259" s="262"/>
      <c r="Y2259" s="262"/>
      <c r="Z2259" s="262"/>
      <c r="AA2259" s="262"/>
      <c r="AB2259" s="262"/>
    </row>
    <row r="2260" spans="1:31" ht="25.5">
      <c r="A2260" s="760" t="s">
        <v>14479</v>
      </c>
      <c r="B2260" s="761" t="s">
        <v>14491</v>
      </c>
      <c r="C2260" s="600" t="s">
        <v>15264</v>
      </c>
      <c r="D2260" s="601" t="str">
        <f>VLOOKUP($C2260,'09 - MC'!$A:$F,2,0)</f>
        <v>POSTE GIRAFA DUPLO RETO LED AÇO GALVANIZADO À FOGO PINTURA ELETROSTÁTICA 100W 4M</v>
      </c>
      <c r="E2260" s="602" t="str">
        <f>VLOOKUP($C2260,'09 - MC'!$A:$F,3,0)</f>
        <v>UN</v>
      </c>
      <c r="F2260" s="603">
        <v>1</v>
      </c>
      <c r="G2260" s="604">
        <f>VLOOKUP($C2260,'09 - MC'!$A:$F,6,0)</f>
        <v>1835.66</v>
      </c>
      <c r="H2260" s="605">
        <f>TRUNC(G2260*F2260,2)</f>
        <v>1835.66</v>
      </c>
      <c r="I2260" s="262"/>
      <c r="J2260" s="262"/>
      <c r="K2260" s="262"/>
      <c r="L2260" s="262"/>
      <c r="M2260" s="262"/>
      <c r="N2260" s="262"/>
      <c r="O2260" s="262"/>
      <c r="P2260" s="262"/>
      <c r="Q2260" s="262"/>
      <c r="R2260" s="262"/>
      <c r="S2260" s="262"/>
      <c r="T2260" s="262"/>
      <c r="U2260" s="262"/>
      <c r="V2260" s="262"/>
      <c r="W2260" s="262"/>
      <c r="X2260" s="262"/>
      <c r="Y2260" s="262"/>
      <c r="Z2260" s="262"/>
      <c r="AA2260" s="262"/>
      <c r="AB2260" s="262"/>
    </row>
    <row r="2261" spans="1:31" ht="12.75">
      <c r="A2261" s="686"/>
      <c r="B2261" s="687"/>
      <c r="C2261" s="688"/>
      <c r="D2261" s="689"/>
      <c r="E2261" s="690"/>
      <c r="F2261" s="691"/>
      <c r="G2261" s="690"/>
      <c r="H2261" s="692"/>
      <c r="I2261" s="262"/>
      <c r="J2261" s="262"/>
      <c r="K2261" s="262"/>
      <c r="L2261" s="262"/>
      <c r="M2261" s="262"/>
      <c r="N2261" s="262"/>
      <c r="O2261" s="262"/>
      <c r="P2261" s="262"/>
      <c r="Q2261" s="262"/>
      <c r="R2261" s="262"/>
      <c r="S2261" s="262"/>
      <c r="T2261" s="262"/>
      <c r="U2261" s="262"/>
      <c r="V2261" s="262"/>
      <c r="W2261" s="262"/>
      <c r="X2261" s="262"/>
      <c r="Y2261" s="262"/>
      <c r="Z2261" s="262"/>
      <c r="AA2261" s="262"/>
      <c r="AB2261" s="262"/>
    </row>
    <row r="2262" spans="1:31" ht="25.5">
      <c r="A2262" s="358" t="s">
        <v>14471</v>
      </c>
      <c r="B2262" s="359" t="s">
        <v>14472</v>
      </c>
      <c r="C2262" s="359" t="s">
        <v>15265</v>
      </c>
      <c r="D2262" s="361" t="s">
        <v>15266</v>
      </c>
      <c r="E2262" s="359" t="s">
        <v>6</v>
      </c>
      <c r="F2262" s="362"/>
      <c r="G2262" s="362"/>
      <c r="H2262" s="363">
        <f>TRUNC(SUM(H2264:H2270),2)</f>
        <v>619.13</v>
      </c>
      <c r="I2262" s="276">
        <f>COUNTIF($C$8:$C2262,C:C)</f>
        <v>1</v>
      </c>
      <c r="J2262" s="262"/>
      <c r="K2262" s="262"/>
      <c r="L2262" s="262"/>
      <c r="M2262" s="262"/>
      <c r="N2262" s="262"/>
      <c r="O2262" s="262"/>
      <c r="P2262" s="262"/>
      <c r="Q2262" s="262"/>
      <c r="R2262" s="262"/>
      <c r="S2262" s="262"/>
      <c r="T2262" s="262"/>
      <c r="U2262" s="262"/>
      <c r="V2262" s="262"/>
      <c r="W2262" s="262"/>
      <c r="X2262" s="262"/>
      <c r="Y2262" s="262"/>
      <c r="Z2262" s="262"/>
      <c r="AA2262" s="262"/>
      <c r="AB2262" s="262"/>
    </row>
    <row r="2263" spans="1:31" ht="12.75">
      <c r="A2263" s="646" t="s">
        <v>14475</v>
      </c>
      <c r="B2263" s="403" t="s">
        <v>14600</v>
      </c>
      <c r="C2263" s="404">
        <v>13321</v>
      </c>
      <c r="D2263" s="769" t="s">
        <v>14567</v>
      </c>
      <c r="E2263" s="405"/>
      <c r="F2263" s="369"/>
      <c r="G2263" s="370"/>
      <c r="H2263" s="371"/>
      <c r="I2263" s="262"/>
      <c r="J2263" s="262"/>
      <c r="K2263" s="262"/>
      <c r="L2263" s="262"/>
      <c r="M2263" s="262"/>
      <c r="N2263" s="262"/>
      <c r="O2263" s="262"/>
      <c r="P2263" s="262"/>
      <c r="Q2263" s="262"/>
      <c r="R2263" s="262"/>
      <c r="S2263" s="262"/>
      <c r="T2263" s="262"/>
      <c r="U2263" s="262"/>
      <c r="V2263" s="262"/>
      <c r="W2263" s="262"/>
      <c r="X2263" s="262"/>
      <c r="Y2263" s="262"/>
      <c r="Z2263" s="262"/>
      <c r="AA2263" s="262"/>
      <c r="AB2263" s="262"/>
    </row>
    <row r="2264" spans="1:31" ht="25.5">
      <c r="A2264" s="586" t="s">
        <v>14478</v>
      </c>
      <c r="B2264" s="373" t="s">
        <v>14476</v>
      </c>
      <c r="C2264" s="374">
        <v>88264</v>
      </c>
      <c r="D2264" s="288" t="str">
        <f>IFERROR(VLOOKUP($C2264,'24.08_ND'!$A:$D,2,0),)</f>
        <v>ELETRICISTA COM ENCARGOS COMPLEMENTARES</v>
      </c>
      <c r="E2264" s="289" t="str">
        <f>IFERROR(VLOOKUP($C2264,'24.08_ND'!$A:$D,3,0),)</f>
        <v>H</v>
      </c>
      <c r="F2264" s="441">
        <v>2</v>
      </c>
      <c r="G2264" s="291">
        <f>IFERROR(VLOOKUP($C2264,'24.08_ND'!$A:$D,4,0),)</f>
        <v>24.3</v>
      </c>
      <c r="H2264" s="440">
        <f>TRUNC(($F2264*$G2264),2)</f>
        <v>48.6</v>
      </c>
      <c r="I2264" s="262"/>
      <c r="J2264" s="262"/>
      <c r="K2264" s="262"/>
      <c r="L2264" s="262"/>
      <c r="M2264" s="262"/>
      <c r="N2264" s="262"/>
      <c r="O2264" s="262"/>
      <c r="P2264" s="262"/>
      <c r="Q2264" s="262"/>
      <c r="R2264" s="262"/>
      <c r="S2264" s="262"/>
      <c r="T2264" s="262"/>
      <c r="U2264" s="262"/>
      <c r="V2264" s="262"/>
      <c r="W2264" s="262"/>
      <c r="X2264" s="262"/>
      <c r="Y2264" s="262"/>
      <c r="Z2264" s="262"/>
      <c r="AA2264" s="262"/>
      <c r="AB2264" s="262"/>
      <c r="AD2264" s="1791" t="e">
        <f>VLOOKUP(C2264,'Medição '!$B$16:$F$1833,6,0)</f>
        <v>#N/A</v>
      </c>
      <c r="AE2264" s="1791"/>
    </row>
    <row r="2265" spans="1:31" ht="25.5">
      <c r="A2265" s="586" t="s">
        <v>14478</v>
      </c>
      <c r="B2265" s="373" t="s">
        <v>14476</v>
      </c>
      <c r="C2265" s="374">
        <v>88247</v>
      </c>
      <c r="D2265" s="288" t="str">
        <f>IFERROR(VLOOKUP($C2265,'24.08_ND'!$A:$D,2,0),)</f>
        <v>AUXILIAR DE ELETRICISTA COM ENCARGOS COMPLEMENTARES</v>
      </c>
      <c r="E2265" s="289" t="str">
        <f>IFERROR(VLOOKUP($C2265,'24.08_ND'!$A:$D,3,0),)</f>
        <v>H</v>
      </c>
      <c r="F2265" s="441">
        <v>2</v>
      </c>
      <c r="G2265" s="291">
        <f>IFERROR(VLOOKUP($C2265,'24.08_ND'!$A:$D,4,0),)</f>
        <v>20</v>
      </c>
      <c r="H2265" s="440">
        <f>TRUNC(($F2265*$G2265),2)</f>
        <v>40</v>
      </c>
      <c r="I2265" s="262"/>
      <c r="J2265" s="262"/>
      <c r="K2265" s="262"/>
      <c r="L2265" s="262"/>
      <c r="M2265" s="262"/>
      <c r="N2265" s="262"/>
      <c r="O2265" s="262"/>
      <c r="P2265" s="262"/>
      <c r="Q2265" s="262"/>
      <c r="R2265" s="262"/>
      <c r="S2265" s="262"/>
      <c r="T2265" s="262"/>
      <c r="U2265" s="262"/>
      <c r="V2265" s="262"/>
      <c r="W2265" s="262"/>
      <c r="X2265" s="262"/>
      <c r="Y2265" s="262"/>
      <c r="Z2265" s="262"/>
      <c r="AA2265" s="262"/>
      <c r="AB2265" s="262"/>
      <c r="AD2265" s="1791" t="e">
        <f>VLOOKUP(C2265,'Medição '!$B$16:$F$1833,6,0)</f>
        <v>#N/A</v>
      </c>
      <c r="AE2265" s="1791"/>
    </row>
    <row r="2266" spans="1:31" ht="12.75">
      <c r="A2266" s="798" t="s">
        <v>14479</v>
      </c>
      <c r="B2266" s="799" t="s">
        <v>14491</v>
      </c>
      <c r="C2266" s="800" t="s">
        <v>15239</v>
      </c>
      <c r="D2266" s="801" t="str">
        <f>VLOOKUP($C2266,'09 - MC'!$A:$F,2,0)</f>
        <v>BLOCO DISTRIBUIÇÃO 2 BARRAMENTOS 2X11 125A</v>
      </c>
      <c r="E2266" s="802" t="str">
        <f>VLOOKUP($C2266,'09 - MC'!$A:$F,3,0)</f>
        <v>UN</v>
      </c>
      <c r="F2266" s="803">
        <v>1</v>
      </c>
      <c r="G2266" s="804">
        <f>VLOOKUP($C2266,'09 - MC'!$A:$F,6,0)</f>
        <v>84.85</v>
      </c>
      <c r="H2266" s="805">
        <f>TRUNC(G2266*F2266,2)</f>
        <v>84.85</v>
      </c>
      <c r="I2266" s="262"/>
      <c r="J2266" s="262"/>
      <c r="K2266" s="262"/>
      <c r="L2266" s="262"/>
      <c r="M2266" s="262"/>
      <c r="N2266" s="262"/>
      <c r="O2266" s="262"/>
      <c r="P2266" s="262"/>
      <c r="Q2266" s="262"/>
      <c r="R2266" s="262"/>
      <c r="S2266" s="262"/>
      <c r="T2266" s="262"/>
      <c r="U2266" s="262"/>
      <c r="V2266" s="262"/>
      <c r="W2266" s="262"/>
      <c r="X2266" s="262"/>
      <c r="Y2266" s="262"/>
      <c r="Z2266" s="262"/>
      <c r="AA2266" s="262"/>
      <c r="AB2266" s="262"/>
    </row>
    <row r="2267" spans="1:31" ht="25.5">
      <c r="A2267" s="798" t="s">
        <v>14479</v>
      </c>
      <c r="B2267" s="799" t="s">
        <v>14491</v>
      </c>
      <c r="C2267" s="800" t="s">
        <v>15267</v>
      </c>
      <c r="D2267" s="801" t="str">
        <f>VLOOKUP($C2267,'09 - MC'!$A:$F,2,0)</f>
        <v>QUADRO DE COMANDO DE EMBUTIR EM AÇO CARBONO COM PLACA DE MONTAGEM 600X400X120MM</v>
      </c>
      <c r="E2267" s="802" t="str">
        <f>VLOOKUP($C2267,'09 - MC'!$A:$F,3,0)</f>
        <v>UN</v>
      </c>
      <c r="F2267" s="803">
        <v>1</v>
      </c>
      <c r="G2267" s="804">
        <f>VLOOKUP($C2267,'09 - MC'!$A:$F,6,0)</f>
        <v>414.9</v>
      </c>
      <c r="H2267" s="805">
        <f>TRUNC(G2267*F2267,2)</f>
        <v>414.9</v>
      </c>
      <c r="I2267" s="262"/>
      <c r="J2267" s="262"/>
      <c r="K2267" s="262"/>
      <c r="L2267" s="262"/>
      <c r="M2267" s="262"/>
      <c r="N2267" s="262"/>
      <c r="O2267" s="262"/>
      <c r="P2267" s="262"/>
      <c r="Q2267" s="262"/>
      <c r="R2267" s="262"/>
      <c r="S2267" s="262"/>
      <c r="T2267" s="262"/>
      <c r="U2267" s="262"/>
      <c r="V2267" s="262"/>
      <c r="W2267" s="262"/>
      <c r="X2267" s="262"/>
      <c r="Y2267" s="262"/>
      <c r="Z2267" s="262"/>
      <c r="AA2267" s="262"/>
      <c r="AB2267" s="262"/>
    </row>
    <row r="2268" spans="1:31" ht="12.75">
      <c r="A2268" s="754" t="s">
        <v>14479</v>
      </c>
      <c r="B2268" s="312" t="str">
        <f>VLOOKUP($C2268,'• CIs EXT'!$A:$E,2,0)</f>
        <v>ORSE</v>
      </c>
      <c r="C2268" s="591">
        <v>6907</v>
      </c>
      <c r="D2268" s="378" t="str">
        <f>VLOOKUP($C2268,'• CIs EXT'!$A:$E,3,0)</f>
        <v>CANALETA PLÁSTICA 30 X 30MM, CINZA, HELLERMAN OU SIMILAR</v>
      </c>
      <c r="E2268" s="379" t="str">
        <f>VLOOKUP($C2268,'• CIs EXT'!$A:$E,4,0)</f>
        <v>M</v>
      </c>
      <c r="F2268" s="380">
        <v>2</v>
      </c>
      <c r="G2268" s="379">
        <f>VLOOKUP($C2268,'• CIs EXT'!$A:$E,5,0)</f>
        <v>10.79</v>
      </c>
      <c r="H2268" s="381">
        <f>TRUNC(($F2268*$G2268),2)</f>
        <v>21.58</v>
      </c>
      <c r="I2268" s="262"/>
      <c r="J2268" s="262"/>
      <c r="K2268" s="262"/>
      <c r="L2268" s="262"/>
      <c r="M2268" s="262"/>
      <c r="N2268" s="262"/>
      <c r="O2268" s="262"/>
      <c r="P2268" s="262"/>
      <c r="Q2268" s="262"/>
      <c r="R2268" s="262"/>
      <c r="S2268" s="262"/>
      <c r="T2268" s="262"/>
      <c r="U2268" s="262"/>
      <c r="V2268" s="262"/>
      <c r="W2268" s="262"/>
      <c r="X2268" s="262"/>
      <c r="Y2268" s="262"/>
      <c r="Z2268" s="262"/>
      <c r="AA2268" s="262"/>
      <c r="AB2268" s="262"/>
    </row>
    <row r="2269" spans="1:31" ht="25.5">
      <c r="A2269" s="754" t="s">
        <v>14479</v>
      </c>
      <c r="B2269" s="312" t="str">
        <f>VLOOKUP($C2269,'• CIs EXT'!$A:$E,2,0)</f>
        <v>SETOP</v>
      </c>
      <c r="C2269" s="377" t="s">
        <v>15240</v>
      </c>
      <c r="D2269" s="378" t="str">
        <f>VLOOKUP($C2269,'• CIs EXT'!$A:$E,3,0)</f>
        <v>TRILHO PARA FIXAÇÃO DE DISJUNTORES (MATERIAL: AÇO|MEDIDAS: 35X7,5MM|TIPO: PERFURADO|PADRÃO: DIN)</v>
      </c>
      <c r="E2269" s="379" t="str">
        <f>VLOOKUP($C2269,'• CIs EXT'!$A:$E,4,0)</f>
        <v>M</v>
      </c>
      <c r="F2269" s="380">
        <v>1</v>
      </c>
      <c r="G2269" s="379">
        <f>VLOOKUP($C2269,'• CIs EXT'!$A:$E,5,0)</f>
        <v>8.9</v>
      </c>
      <c r="H2269" s="381">
        <f>TRUNC(($F2269*$G2269),2)</f>
        <v>8.9</v>
      </c>
      <c r="I2269" s="262"/>
      <c r="J2269" s="262"/>
      <c r="K2269" s="262"/>
      <c r="L2269" s="262"/>
      <c r="M2269" s="262"/>
      <c r="N2269" s="262"/>
      <c r="O2269" s="262"/>
      <c r="P2269" s="262"/>
      <c r="Q2269" s="262"/>
      <c r="R2269" s="262"/>
      <c r="S2269" s="262"/>
      <c r="T2269" s="262"/>
      <c r="U2269" s="262"/>
      <c r="V2269" s="262"/>
      <c r="W2269" s="262"/>
      <c r="X2269" s="262"/>
      <c r="Y2269" s="262"/>
      <c r="Z2269" s="262"/>
      <c r="AA2269" s="262"/>
      <c r="AB2269" s="262"/>
    </row>
    <row r="2270" spans="1:31" ht="25.5">
      <c r="A2270" s="754" t="s">
        <v>14479</v>
      </c>
      <c r="B2270" s="312" t="str">
        <f>VLOOKUP($C2270,'• CIs EXT'!$A:$E,2,0)</f>
        <v>SETOP</v>
      </c>
      <c r="C2270" s="377" t="s">
        <v>15241</v>
      </c>
      <c r="D2270" s="378" t="str">
        <f>VLOOKUP($C2270,'• CIs EXT'!$A:$E,3,0)</f>
        <v>REBITE DE REPUXO (DIÂMETRO: 3,2MM|COMPRIMENTO: 10MM|MATERIAL: ALUMÍNIO|ACABAMENTO: NATURAL)</v>
      </c>
      <c r="E2270" s="379" t="str">
        <f>VLOOKUP($C2270,'• CIs EXT'!$A:$E,4,0)</f>
        <v>UN</v>
      </c>
      <c r="F2270" s="380">
        <v>6</v>
      </c>
      <c r="G2270" s="379">
        <f>VLOOKUP($C2270,'• CIs EXT'!$A:$E,5,0)</f>
        <v>0.05</v>
      </c>
      <c r="H2270" s="381">
        <f>TRUNC(($F2270*$G2270),2)</f>
        <v>0.3</v>
      </c>
      <c r="I2270" s="262"/>
      <c r="J2270" s="262"/>
      <c r="K2270" s="262"/>
      <c r="L2270" s="262"/>
      <c r="M2270" s="262"/>
      <c r="N2270" s="262"/>
      <c r="O2270" s="262"/>
      <c r="P2270" s="262"/>
      <c r="Q2270" s="262"/>
      <c r="R2270" s="262"/>
      <c r="S2270" s="262"/>
      <c r="T2270" s="262"/>
      <c r="U2270" s="262"/>
      <c r="V2270" s="262"/>
      <c r="W2270" s="262"/>
      <c r="X2270" s="262"/>
      <c r="Y2270" s="262"/>
      <c r="Z2270" s="262"/>
      <c r="AA2270" s="262"/>
      <c r="AB2270" s="262"/>
    </row>
    <row r="2271" spans="1:31" ht="12.75">
      <c r="A2271" s="686"/>
      <c r="B2271" s="687"/>
      <c r="C2271" s="688"/>
      <c r="D2271" s="689"/>
      <c r="E2271" s="690"/>
      <c r="F2271" s="691"/>
      <c r="G2271" s="690"/>
      <c r="H2271" s="692"/>
      <c r="I2271" s="262"/>
      <c r="J2271" s="262"/>
      <c r="K2271" s="262"/>
      <c r="L2271" s="262"/>
      <c r="M2271" s="262"/>
      <c r="N2271" s="262"/>
      <c r="O2271" s="262"/>
      <c r="P2271" s="262"/>
      <c r="Q2271" s="262"/>
      <c r="R2271" s="262"/>
      <c r="S2271" s="262"/>
      <c r="T2271" s="262"/>
      <c r="U2271" s="262"/>
      <c r="V2271" s="262"/>
      <c r="W2271" s="262"/>
      <c r="X2271" s="262"/>
      <c r="Y2271" s="262"/>
      <c r="Z2271" s="262"/>
      <c r="AA2271" s="262"/>
      <c r="AB2271" s="262"/>
    </row>
    <row r="2272" spans="1:31" ht="25.5">
      <c r="A2272" s="358" t="s">
        <v>14471</v>
      </c>
      <c r="B2272" s="359" t="s">
        <v>14472</v>
      </c>
      <c r="C2272" s="359" t="s">
        <v>15268</v>
      </c>
      <c r="D2272" s="361" t="s">
        <v>15269</v>
      </c>
      <c r="E2272" s="359" t="s">
        <v>6</v>
      </c>
      <c r="F2272" s="362"/>
      <c r="G2272" s="362"/>
      <c r="H2272" s="363">
        <f>TRUNC(SUM(H2274:H2277),2)</f>
        <v>207.41</v>
      </c>
      <c r="I2272" s="276">
        <f>COUNTIF($C$8:$C2272,C:C)</f>
        <v>1</v>
      </c>
      <c r="J2272" s="262"/>
      <c r="K2272" s="262"/>
      <c r="L2272" s="262"/>
      <c r="M2272" s="262"/>
      <c r="N2272" s="262"/>
      <c r="O2272" s="262"/>
      <c r="P2272" s="262"/>
      <c r="Q2272" s="262"/>
      <c r="R2272" s="262"/>
      <c r="S2272" s="262"/>
      <c r="T2272" s="262"/>
      <c r="U2272" s="262"/>
      <c r="V2272" s="262"/>
      <c r="W2272" s="262"/>
      <c r="X2272" s="262"/>
      <c r="Y2272" s="262"/>
      <c r="Z2272" s="262"/>
      <c r="AA2272" s="262"/>
      <c r="AB2272" s="262"/>
    </row>
    <row r="2273" spans="1:31" ht="12.75">
      <c r="A2273" s="646" t="s">
        <v>14475</v>
      </c>
      <c r="B2273" s="403" t="s">
        <v>14502</v>
      </c>
      <c r="C2273" s="404">
        <v>1201005190</v>
      </c>
      <c r="D2273" s="769" t="s">
        <v>14567</v>
      </c>
      <c r="E2273" s="405"/>
      <c r="F2273" s="369"/>
      <c r="G2273" s="370"/>
      <c r="H2273" s="371"/>
      <c r="I2273" s="262"/>
      <c r="J2273" s="262"/>
      <c r="K2273" s="262"/>
      <c r="L2273" s="262"/>
      <c r="M2273" s="262"/>
      <c r="N2273" s="262"/>
      <c r="O2273" s="262"/>
      <c r="P2273" s="262"/>
      <c r="Q2273" s="262"/>
      <c r="R2273" s="262"/>
      <c r="S2273" s="262"/>
      <c r="T2273" s="262"/>
      <c r="U2273" s="262"/>
      <c r="V2273" s="262"/>
      <c r="W2273" s="262"/>
      <c r="X2273" s="262"/>
      <c r="Y2273" s="262"/>
      <c r="Z2273" s="262"/>
      <c r="AA2273" s="262"/>
      <c r="AB2273" s="262"/>
    </row>
    <row r="2274" spans="1:31" ht="25.5">
      <c r="A2274" s="586" t="s">
        <v>14478</v>
      </c>
      <c r="B2274" s="373" t="s">
        <v>14476</v>
      </c>
      <c r="C2274" s="374">
        <v>88264</v>
      </c>
      <c r="D2274" s="288" t="str">
        <f>IFERROR(VLOOKUP($C2274,'24.08_ND'!$A:$D,2,0),)</f>
        <v>ELETRICISTA COM ENCARGOS COMPLEMENTARES</v>
      </c>
      <c r="E2274" s="289" t="str">
        <f>IFERROR(VLOOKUP($C2274,'24.08_ND'!$A:$D,3,0),)</f>
        <v>H</v>
      </c>
      <c r="F2274" s="441">
        <v>0.23</v>
      </c>
      <c r="G2274" s="291">
        <f>IFERROR(VLOOKUP($C2274,'24.08_ND'!$A:$D,4,0),)</f>
        <v>24.3</v>
      </c>
      <c r="H2274" s="440">
        <f>TRUNC(($F2274*$G2274),2)</f>
        <v>5.58</v>
      </c>
      <c r="I2274" s="262"/>
      <c r="J2274" s="262"/>
      <c r="K2274" s="262"/>
      <c r="L2274" s="262"/>
      <c r="M2274" s="262"/>
      <c r="N2274" s="262"/>
      <c r="O2274" s="262"/>
      <c r="P2274" s="262"/>
      <c r="Q2274" s="262"/>
      <c r="R2274" s="262"/>
      <c r="S2274" s="262"/>
      <c r="T2274" s="262"/>
      <c r="U2274" s="262"/>
      <c r="V2274" s="262"/>
      <c r="W2274" s="262"/>
      <c r="X2274" s="262"/>
      <c r="Y2274" s="262"/>
      <c r="Z2274" s="262"/>
      <c r="AA2274" s="262"/>
      <c r="AB2274" s="262"/>
      <c r="AD2274" s="1791" t="e">
        <f>VLOOKUP(C2274,'Medição '!$B$16:$F$1833,6,0)</f>
        <v>#N/A</v>
      </c>
      <c r="AE2274" s="1791"/>
    </row>
    <row r="2275" spans="1:31" ht="25.5">
      <c r="A2275" s="586" t="s">
        <v>14478</v>
      </c>
      <c r="B2275" s="373" t="s">
        <v>14476</v>
      </c>
      <c r="C2275" s="374">
        <v>88247</v>
      </c>
      <c r="D2275" s="288" t="str">
        <f>IFERROR(VLOOKUP($C2275,'24.08_ND'!$A:$D,2,0),)</f>
        <v>AUXILIAR DE ELETRICISTA COM ENCARGOS COMPLEMENTARES</v>
      </c>
      <c r="E2275" s="289" t="str">
        <f>IFERROR(VLOOKUP($C2275,'24.08_ND'!$A:$D,3,0),)</f>
        <v>H</v>
      </c>
      <c r="F2275" s="441">
        <v>0.23</v>
      </c>
      <c r="G2275" s="291">
        <f>IFERROR(VLOOKUP($C2275,'24.08_ND'!$A:$D,4,0),)</f>
        <v>20</v>
      </c>
      <c r="H2275" s="440">
        <f>TRUNC(($F2275*$G2275),2)</f>
        <v>4.5999999999999996</v>
      </c>
      <c r="I2275" s="262"/>
      <c r="J2275" s="262"/>
      <c r="K2275" s="262"/>
      <c r="L2275" s="262"/>
      <c r="M2275" s="262"/>
      <c r="N2275" s="262"/>
      <c r="O2275" s="262"/>
      <c r="P2275" s="262"/>
      <c r="Q2275" s="262"/>
      <c r="R2275" s="262"/>
      <c r="S2275" s="262"/>
      <c r="T2275" s="262"/>
      <c r="U2275" s="262"/>
      <c r="V2275" s="262"/>
      <c r="W2275" s="262"/>
      <c r="X2275" s="262"/>
      <c r="Y2275" s="262"/>
      <c r="Z2275" s="262"/>
      <c r="AA2275" s="262"/>
      <c r="AB2275" s="262"/>
      <c r="AD2275" s="1791" t="e">
        <f>VLOOKUP(C2275,'Medição '!$B$16:$F$1833,6,0)</f>
        <v>#N/A</v>
      </c>
      <c r="AE2275" s="1791"/>
    </row>
    <row r="2276" spans="1:31" ht="25.5">
      <c r="A2276" s="758" t="s">
        <v>14479</v>
      </c>
      <c r="B2276" s="797" t="s">
        <v>14476</v>
      </c>
      <c r="C2276" s="384">
        <v>1619</v>
      </c>
      <c r="D2276" s="296" t="str">
        <f>IFERROR(VLOOKUP($C2276,'24.08_ND'!$A:$D,2,0),)</f>
        <v>CONTATOR TRIPOLAR, CORRENTE DE 25 A, TENSAO NOMINAL DE *500* V, CATEGORIA AC-2 E AC-3</v>
      </c>
      <c r="E2276" s="297" t="str">
        <f>IFERROR(VLOOKUP($C2276,'24.08_ND'!$A:$D,3,0),)</f>
        <v>UN</v>
      </c>
      <c r="F2276" s="385">
        <v>1</v>
      </c>
      <c r="G2276" s="299">
        <f>IFERROR(VLOOKUP($C2276,'24.08_ND'!$A:$D,4,0),)</f>
        <v>192.94</v>
      </c>
      <c r="H2276" s="449">
        <f>TRUNC(($F2276*$G2276),2)</f>
        <v>192.94</v>
      </c>
      <c r="I2276" s="262"/>
      <c r="J2276" s="262"/>
      <c r="K2276" s="262"/>
      <c r="L2276" s="262"/>
      <c r="M2276" s="262"/>
      <c r="N2276" s="262"/>
      <c r="O2276" s="262"/>
      <c r="P2276" s="262"/>
      <c r="Q2276" s="262"/>
      <c r="R2276" s="262"/>
      <c r="S2276" s="262"/>
      <c r="T2276" s="262"/>
      <c r="U2276" s="262"/>
      <c r="V2276" s="262"/>
      <c r="W2276" s="262"/>
      <c r="X2276" s="262"/>
      <c r="Y2276" s="262"/>
      <c r="Z2276" s="262"/>
      <c r="AA2276" s="262"/>
      <c r="AB2276" s="262"/>
    </row>
    <row r="2277" spans="1:31" ht="25.5">
      <c r="A2277" s="758" t="s">
        <v>14479</v>
      </c>
      <c r="B2277" s="797" t="s">
        <v>14476</v>
      </c>
      <c r="C2277" s="384">
        <v>1571</v>
      </c>
      <c r="D2277" s="296" t="str">
        <f>IFERROR(VLOOKUP($C2277,'24.08_ND'!$A:$D,2,0),)</f>
        <v>TERMINAL A COMPRESSAO EM COBRE ESTANHADO PARA CABO 4 MM2, 1 FURO E 1 COMPRESSAO, PARA PARAFUSO DE FIXACAO M5</v>
      </c>
      <c r="E2277" s="297" t="str">
        <f>IFERROR(VLOOKUP($C2277,'24.08_ND'!$A:$D,3,0),)</f>
        <v>UN</v>
      </c>
      <c r="F2277" s="385">
        <v>3</v>
      </c>
      <c r="G2277" s="299">
        <f>IFERROR(VLOOKUP($C2277,'24.08_ND'!$A:$D,4,0),)</f>
        <v>1.43</v>
      </c>
      <c r="H2277" s="449">
        <f>TRUNC(($F2277*$G2277),2)</f>
        <v>4.29</v>
      </c>
      <c r="I2277" s="262"/>
      <c r="J2277" s="262"/>
      <c r="K2277" s="262"/>
      <c r="L2277" s="262"/>
      <c r="M2277" s="262"/>
      <c r="N2277" s="262"/>
      <c r="O2277" s="262"/>
      <c r="P2277" s="262"/>
      <c r="Q2277" s="262"/>
      <c r="R2277" s="262"/>
      <c r="S2277" s="262"/>
      <c r="T2277" s="262"/>
      <c r="U2277" s="262"/>
      <c r="V2277" s="262"/>
      <c r="W2277" s="262"/>
      <c r="X2277" s="262"/>
      <c r="Y2277" s="262"/>
      <c r="Z2277" s="262"/>
      <c r="AA2277" s="262"/>
      <c r="AB2277" s="262"/>
    </row>
    <row r="2278" spans="1:31" ht="12.75">
      <c r="A2278" s="686"/>
      <c r="B2278" s="687"/>
      <c r="C2278" s="688"/>
      <c r="D2278" s="689"/>
      <c r="E2278" s="690"/>
      <c r="F2278" s="691"/>
      <c r="G2278" s="690"/>
      <c r="H2278" s="692"/>
      <c r="I2278" s="262"/>
      <c r="J2278" s="262"/>
      <c r="K2278" s="262"/>
      <c r="L2278" s="262"/>
      <c r="M2278" s="262"/>
      <c r="N2278" s="262"/>
      <c r="O2278" s="262"/>
      <c r="P2278" s="262"/>
      <c r="Q2278" s="262"/>
      <c r="R2278" s="262"/>
      <c r="S2278" s="262"/>
      <c r="T2278" s="262"/>
      <c r="U2278" s="262"/>
      <c r="V2278" s="262"/>
      <c r="W2278" s="262"/>
      <c r="X2278" s="262"/>
      <c r="Y2278" s="262"/>
      <c r="Z2278" s="262"/>
      <c r="AA2278" s="262"/>
      <c r="AB2278" s="262"/>
    </row>
    <row r="2279" spans="1:31" ht="25.5">
      <c r="A2279" s="358" t="s">
        <v>14471</v>
      </c>
      <c r="B2279" s="359" t="s">
        <v>14472</v>
      </c>
      <c r="C2279" s="359" t="s">
        <v>15270</v>
      </c>
      <c r="D2279" s="361" t="s">
        <v>15271</v>
      </c>
      <c r="E2279" s="359" t="s">
        <v>6</v>
      </c>
      <c r="F2279" s="362"/>
      <c r="G2279" s="362"/>
      <c r="H2279" s="363">
        <f>TRUNC(SUM(H2281:H2284),2)</f>
        <v>25.52</v>
      </c>
      <c r="I2279" s="276">
        <f>COUNTIF($C$8:$C2279,C:C)</f>
        <v>1</v>
      </c>
      <c r="J2279" s="262"/>
      <c r="K2279" s="262"/>
      <c r="L2279" s="262"/>
      <c r="M2279" s="262"/>
      <c r="N2279" s="262"/>
      <c r="O2279" s="262"/>
      <c r="P2279" s="262"/>
      <c r="Q2279" s="262"/>
      <c r="R2279" s="262"/>
      <c r="S2279" s="262"/>
      <c r="T2279" s="262"/>
      <c r="U2279" s="262"/>
      <c r="V2279" s="262"/>
      <c r="W2279" s="262"/>
      <c r="X2279" s="262"/>
      <c r="Y2279" s="262"/>
      <c r="Z2279" s="262"/>
      <c r="AA2279" s="262"/>
      <c r="AB2279" s="262"/>
    </row>
    <row r="2280" spans="1:31" ht="12.75">
      <c r="A2280" s="646" t="s">
        <v>14475</v>
      </c>
      <c r="B2280" s="403" t="s">
        <v>14476</v>
      </c>
      <c r="C2280" s="404">
        <v>93659</v>
      </c>
      <c r="D2280" s="769" t="s">
        <v>14587</v>
      </c>
      <c r="E2280" s="405"/>
      <c r="F2280" s="369"/>
      <c r="G2280" s="370"/>
      <c r="H2280" s="371"/>
      <c r="I2280" s="262"/>
      <c r="J2280" s="262"/>
      <c r="K2280" s="262"/>
      <c r="L2280" s="262"/>
      <c r="M2280" s="262"/>
      <c r="N2280" s="262"/>
      <c r="O2280" s="262"/>
      <c r="P2280" s="262"/>
      <c r="Q2280" s="262"/>
      <c r="R2280" s="262"/>
      <c r="S2280" s="262"/>
      <c r="T2280" s="262"/>
      <c r="U2280" s="262"/>
      <c r="V2280" s="262"/>
      <c r="W2280" s="262"/>
      <c r="X2280" s="262"/>
      <c r="Y2280" s="262"/>
      <c r="Z2280" s="262"/>
      <c r="AA2280" s="262"/>
      <c r="AB2280" s="262"/>
    </row>
    <row r="2281" spans="1:31" ht="25.5">
      <c r="A2281" s="586" t="s">
        <v>14478</v>
      </c>
      <c r="B2281" s="373" t="s">
        <v>14476</v>
      </c>
      <c r="C2281" s="374">
        <v>88264</v>
      </c>
      <c r="D2281" s="288" t="str">
        <f>IFERROR(VLOOKUP($C2281,'24.08_ND'!$A:$D,2,0),)</f>
        <v>ELETRICISTA COM ENCARGOS COMPLEMENTARES</v>
      </c>
      <c r="E2281" s="289" t="str">
        <f>IFERROR(VLOOKUP($C2281,'24.08_ND'!$A:$D,3,0),)</f>
        <v>H</v>
      </c>
      <c r="F2281" s="441">
        <v>0.19</v>
      </c>
      <c r="G2281" s="291">
        <f>IFERROR(VLOOKUP($C2281,'24.08_ND'!$A:$D,4,0),)</f>
        <v>24.3</v>
      </c>
      <c r="H2281" s="440">
        <f>TRUNC(($F2281*$G2281),2)</f>
        <v>4.6100000000000003</v>
      </c>
      <c r="I2281" s="262"/>
      <c r="J2281" s="262"/>
      <c r="K2281" s="262"/>
      <c r="L2281" s="262"/>
      <c r="M2281" s="262"/>
      <c r="N2281" s="262"/>
      <c r="O2281" s="262"/>
      <c r="P2281" s="262"/>
      <c r="Q2281" s="262"/>
      <c r="R2281" s="262"/>
      <c r="S2281" s="262"/>
      <c r="T2281" s="262"/>
      <c r="U2281" s="262"/>
      <c r="V2281" s="262"/>
      <c r="W2281" s="262"/>
      <c r="X2281" s="262"/>
      <c r="Y2281" s="262"/>
      <c r="Z2281" s="262"/>
      <c r="AA2281" s="262"/>
      <c r="AB2281" s="262"/>
      <c r="AD2281" s="1791" t="e">
        <f>VLOOKUP(C2281,'Medição '!$B$16:$F$1833,6,0)</f>
        <v>#N/A</v>
      </c>
      <c r="AE2281" s="1791"/>
    </row>
    <row r="2282" spans="1:31" ht="25.5">
      <c r="A2282" s="586" t="s">
        <v>14478</v>
      </c>
      <c r="B2282" s="373" t="s">
        <v>14476</v>
      </c>
      <c r="C2282" s="374">
        <v>88247</v>
      </c>
      <c r="D2282" s="288" t="str">
        <f>IFERROR(VLOOKUP($C2282,'24.08_ND'!$A:$D,2,0),)</f>
        <v>AUXILIAR DE ELETRICISTA COM ENCARGOS COMPLEMENTARES</v>
      </c>
      <c r="E2282" s="289" t="str">
        <f>IFERROR(VLOOKUP($C2282,'24.08_ND'!$A:$D,3,0),)</f>
        <v>H</v>
      </c>
      <c r="F2282" s="441">
        <v>0.19</v>
      </c>
      <c r="G2282" s="291">
        <f>IFERROR(VLOOKUP($C2282,'24.08_ND'!$A:$D,4,0),)</f>
        <v>20</v>
      </c>
      <c r="H2282" s="440">
        <f>TRUNC(($F2282*$G2282),2)</f>
        <v>3.8</v>
      </c>
      <c r="I2282" s="262"/>
      <c r="J2282" s="262"/>
      <c r="K2282" s="262"/>
      <c r="L2282" s="262"/>
      <c r="M2282" s="262"/>
      <c r="N2282" s="262"/>
      <c r="O2282" s="262"/>
      <c r="P2282" s="262"/>
      <c r="Q2282" s="262"/>
      <c r="R2282" s="262"/>
      <c r="S2282" s="262"/>
      <c r="T2282" s="262"/>
      <c r="U2282" s="262"/>
      <c r="V2282" s="262"/>
      <c r="W2282" s="262"/>
      <c r="X2282" s="262"/>
      <c r="Y2282" s="262"/>
      <c r="Z2282" s="262"/>
      <c r="AA2282" s="262"/>
      <c r="AB2282" s="262"/>
      <c r="AD2282" s="1791" t="e">
        <f>VLOOKUP(C2282,'Medição '!$B$16:$F$1833,6,0)</f>
        <v>#N/A</v>
      </c>
      <c r="AE2282" s="1791"/>
    </row>
    <row r="2283" spans="1:31" ht="12.75">
      <c r="A2283" s="758" t="s">
        <v>14479</v>
      </c>
      <c r="B2283" s="797" t="s">
        <v>14476</v>
      </c>
      <c r="C2283" s="384">
        <v>34688</v>
      </c>
      <c r="D2283" s="296" t="str">
        <f>IFERROR(VLOOKUP($C2283,'24.08_ND'!$A:$D,2,0),)</f>
        <v>DISJUNTOR TERMOMAGNETICO PARA TRILHO DIN (IEC), MONOPOLAR, 63 A</v>
      </c>
      <c r="E2283" s="297" t="str">
        <f>IFERROR(VLOOKUP($C2283,'24.08_ND'!$A:$D,3,0),)</f>
        <v>UN</v>
      </c>
      <c r="F2283" s="385">
        <v>1</v>
      </c>
      <c r="G2283" s="299">
        <f>IFERROR(VLOOKUP($C2283,'24.08_ND'!$A:$D,4,0),)</f>
        <v>14.91</v>
      </c>
      <c r="H2283" s="449">
        <f>TRUNC(($F2283*$G2283),2)</f>
        <v>14.91</v>
      </c>
      <c r="I2283" s="262"/>
      <c r="J2283" s="262"/>
      <c r="K2283" s="262"/>
      <c r="L2283" s="262"/>
      <c r="M2283" s="262"/>
      <c r="N2283" s="262"/>
      <c r="O2283" s="262"/>
      <c r="P2283" s="262"/>
      <c r="Q2283" s="262"/>
      <c r="R2283" s="262"/>
      <c r="S2283" s="262"/>
      <c r="T2283" s="262"/>
      <c r="U2283" s="262"/>
      <c r="V2283" s="262"/>
      <c r="W2283" s="262"/>
      <c r="X2283" s="262"/>
      <c r="Y2283" s="262"/>
      <c r="Z2283" s="262"/>
      <c r="AA2283" s="262"/>
      <c r="AB2283" s="262"/>
    </row>
    <row r="2284" spans="1:31" ht="25.5">
      <c r="A2284" s="758" t="s">
        <v>14479</v>
      </c>
      <c r="B2284" s="797" t="s">
        <v>14476</v>
      </c>
      <c r="C2284" s="384">
        <v>1575</v>
      </c>
      <c r="D2284" s="296" t="str">
        <f>IFERROR(VLOOKUP($C2284,'24.08_ND'!$A:$D,2,0),)</f>
        <v>TERMINAL A COMPRESSAO EM COBRE ESTANHADO PARA CABO 16 MM2, 1 FURO E 1 COMPRESSAO, PARA PARAFUSO DE FIXACAO M6</v>
      </c>
      <c r="E2284" s="297" t="str">
        <f>IFERROR(VLOOKUP($C2284,'24.08_ND'!$A:$D,3,0),)</f>
        <v>UN</v>
      </c>
      <c r="F2284" s="385">
        <v>1</v>
      </c>
      <c r="G2284" s="299">
        <f>IFERROR(VLOOKUP($C2284,'24.08_ND'!$A:$D,4,0),)</f>
        <v>2.2000000000000002</v>
      </c>
      <c r="H2284" s="449">
        <f>TRUNC(($F2284*$G2284),2)</f>
        <v>2.2000000000000002</v>
      </c>
      <c r="I2284" s="262"/>
      <c r="J2284" s="262"/>
      <c r="K2284" s="262"/>
      <c r="L2284" s="262"/>
      <c r="M2284" s="262"/>
      <c r="N2284" s="262"/>
      <c r="O2284" s="262"/>
      <c r="P2284" s="262"/>
      <c r="Q2284" s="262"/>
      <c r="R2284" s="262"/>
      <c r="S2284" s="262"/>
      <c r="T2284" s="262"/>
      <c r="U2284" s="262"/>
      <c r="V2284" s="262"/>
      <c r="W2284" s="262"/>
      <c r="X2284" s="262"/>
      <c r="Y2284" s="262"/>
      <c r="Z2284" s="262"/>
      <c r="AA2284" s="262"/>
      <c r="AB2284" s="262"/>
    </row>
    <row r="2285" spans="1:31" ht="12.75">
      <c r="A2285" s="686"/>
      <c r="B2285" s="687"/>
      <c r="C2285" s="688"/>
      <c r="D2285" s="689"/>
      <c r="E2285" s="690"/>
      <c r="F2285" s="691"/>
      <c r="G2285" s="690"/>
      <c r="H2285" s="692"/>
      <c r="I2285" s="262"/>
      <c r="J2285" s="262"/>
      <c r="K2285" s="262"/>
      <c r="L2285" s="262"/>
      <c r="M2285" s="262"/>
      <c r="N2285" s="262"/>
      <c r="O2285" s="262"/>
      <c r="P2285" s="262"/>
      <c r="Q2285" s="262"/>
      <c r="R2285" s="262"/>
      <c r="S2285" s="262"/>
      <c r="T2285" s="262"/>
      <c r="U2285" s="262"/>
      <c r="V2285" s="262"/>
      <c r="W2285" s="262"/>
      <c r="X2285" s="262"/>
      <c r="Y2285" s="262"/>
      <c r="Z2285" s="262"/>
      <c r="AA2285" s="262"/>
      <c r="AB2285" s="262"/>
    </row>
    <row r="2286" spans="1:31" ht="25.5">
      <c r="A2286" s="358" t="s">
        <v>14471</v>
      </c>
      <c r="B2286" s="359" t="s">
        <v>14472</v>
      </c>
      <c r="C2286" s="359" t="s">
        <v>15272</v>
      </c>
      <c r="D2286" s="361" t="s">
        <v>15273</v>
      </c>
      <c r="E2286" s="359" t="s">
        <v>6</v>
      </c>
      <c r="F2286" s="362"/>
      <c r="G2286" s="362"/>
      <c r="H2286" s="363">
        <f>TRUNC(SUM(H2288:H2290),2)</f>
        <v>82.35</v>
      </c>
      <c r="I2286" s="276">
        <f>COUNTIF($C$8:$C2286,C:C)</f>
        <v>1</v>
      </c>
      <c r="J2286" s="262"/>
      <c r="K2286" s="262"/>
      <c r="L2286" s="262"/>
      <c r="M2286" s="262"/>
      <c r="N2286" s="262"/>
      <c r="O2286" s="262"/>
      <c r="P2286" s="262"/>
      <c r="Q2286" s="262"/>
      <c r="R2286" s="262"/>
      <c r="S2286" s="262"/>
      <c r="T2286" s="262"/>
      <c r="U2286" s="262"/>
      <c r="V2286" s="262"/>
      <c r="W2286" s="262"/>
      <c r="X2286" s="262"/>
      <c r="Y2286" s="262"/>
      <c r="Z2286" s="262"/>
      <c r="AA2286" s="262"/>
      <c r="AB2286" s="262"/>
    </row>
    <row r="2287" spans="1:31" ht="25.5">
      <c r="A2287" s="646" t="s">
        <v>14475</v>
      </c>
      <c r="B2287" s="403" t="s">
        <v>15274</v>
      </c>
      <c r="C2287" s="404">
        <v>71184</v>
      </c>
      <c r="D2287" s="769" t="s">
        <v>14567</v>
      </c>
      <c r="E2287" s="405"/>
      <c r="F2287" s="369"/>
      <c r="G2287" s="370"/>
      <c r="H2287" s="371"/>
      <c r="I2287" s="262"/>
      <c r="J2287" s="262"/>
      <c r="K2287" s="262"/>
      <c r="L2287" s="262"/>
      <c r="M2287" s="262"/>
      <c r="N2287" s="262"/>
      <c r="O2287" s="262"/>
      <c r="P2287" s="262"/>
      <c r="Q2287" s="262"/>
      <c r="R2287" s="262"/>
      <c r="S2287" s="262"/>
      <c r="T2287" s="262"/>
      <c r="U2287" s="262"/>
      <c r="V2287" s="262"/>
      <c r="W2287" s="262"/>
      <c r="X2287" s="262"/>
      <c r="Y2287" s="262"/>
      <c r="Z2287" s="262"/>
      <c r="AA2287" s="262"/>
      <c r="AB2287" s="262"/>
    </row>
    <row r="2288" spans="1:31" ht="25.5">
      <c r="A2288" s="586" t="s">
        <v>14478</v>
      </c>
      <c r="B2288" s="373" t="s">
        <v>14476</v>
      </c>
      <c r="C2288" s="374">
        <v>88264</v>
      </c>
      <c r="D2288" s="288" t="str">
        <f>IFERROR(VLOOKUP($C2288,'24.08_ND'!$A:$D,2,0),)</f>
        <v>ELETRICISTA COM ENCARGOS COMPLEMENTARES</v>
      </c>
      <c r="E2288" s="289" t="str">
        <f>IFERROR(VLOOKUP($C2288,'24.08_ND'!$A:$D,3,0),)</f>
        <v>H</v>
      </c>
      <c r="F2288" s="441">
        <v>0.5</v>
      </c>
      <c r="G2288" s="291">
        <f>IFERROR(VLOOKUP($C2288,'24.08_ND'!$A:$D,4,0),)</f>
        <v>24.3</v>
      </c>
      <c r="H2288" s="440">
        <f>TRUNC(($F2288*$G2288),2)</f>
        <v>12.15</v>
      </c>
      <c r="I2288" s="262"/>
      <c r="J2288" s="262"/>
      <c r="K2288" s="262"/>
      <c r="L2288" s="262"/>
      <c r="M2288" s="262"/>
      <c r="N2288" s="262"/>
      <c r="O2288" s="262"/>
      <c r="P2288" s="262"/>
      <c r="Q2288" s="262"/>
      <c r="R2288" s="262"/>
      <c r="S2288" s="262"/>
      <c r="T2288" s="262"/>
      <c r="U2288" s="262"/>
      <c r="V2288" s="262"/>
      <c r="W2288" s="262"/>
      <c r="X2288" s="262"/>
      <c r="Y2288" s="262"/>
      <c r="Z2288" s="262"/>
      <c r="AA2288" s="262"/>
      <c r="AB2288" s="262"/>
      <c r="AD2288" s="1791" t="e">
        <f>VLOOKUP(C2288,'Medição '!$B$16:$F$1833,6,0)</f>
        <v>#N/A</v>
      </c>
      <c r="AE2288" s="1791"/>
    </row>
    <row r="2289" spans="1:32" ht="25.5">
      <c r="A2289" s="586" t="s">
        <v>14478</v>
      </c>
      <c r="B2289" s="373" t="s">
        <v>14476</v>
      </c>
      <c r="C2289" s="374">
        <v>88247</v>
      </c>
      <c r="D2289" s="288" t="str">
        <f>IFERROR(VLOOKUP($C2289,'24.08_ND'!$A:$D,2,0),)</f>
        <v>AUXILIAR DE ELETRICISTA COM ENCARGOS COMPLEMENTARES</v>
      </c>
      <c r="E2289" s="289" t="str">
        <f>IFERROR(VLOOKUP($C2289,'24.08_ND'!$A:$D,3,0),)</f>
        <v>H</v>
      </c>
      <c r="F2289" s="441">
        <v>0.5</v>
      </c>
      <c r="G2289" s="291">
        <f>IFERROR(VLOOKUP($C2289,'24.08_ND'!$A:$D,4,0),)</f>
        <v>20</v>
      </c>
      <c r="H2289" s="440">
        <f>TRUNC(($F2289*$G2289),2)</f>
        <v>10</v>
      </c>
      <c r="I2289" s="262"/>
      <c r="J2289" s="262"/>
      <c r="K2289" s="262"/>
      <c r="L2289" s="262"/>
      <c r="M2289" s="262"/>
      <c r="N2289" s="262"/>
      <c r="O2289" s="262"/>
      <c r="P2289" s="262"/>
      <c r="Q2289" s="262"/>
      <c r="R2289" s="262"/>
      <c r="S2289" s="262"/>
      <c r="T2289" s="262"/>
      <c r="U2289" s="262"/>
      <c r="V2289" s="262"/>
      <c r="W2289" s="262"/>
      <c r="X2289" s="262"/>
      <c r="Y2289" s="262"/>
      <c r="Z2289" s="262"/>
      <c r="AA2289" s="262"/>
      <c r="AB2289" s="262"/>
      <c r="AD2289" s="1791" t="e">
        <f>VLOOKUP(C2289,'Medição '!$B$16:$F$1833,6,0)</f>
        <v>#N/A</v>
      </c>
      <c r="AE2289" s="1791"/>
    </row>
    <row r="2290" spans="1:32" ht="25.5">
      <c r="A2290" s="754" t="s">
        <v>14479</v>
      </c>
      <c r="B2290" s="312" t="str">
        <f>VLOOKUP($C2290,'• CIs EXT'!$A:$E,2,0)</f>
        <v>AGETOP CIVIL</v>
      </c>
      <c r="C2290" s="591">
        <v>3939</v>
      </c>
      <c r="D2290" s="378" t="str">
        <f>VLOOKUP($C2290,'• CIs EXT'!$A:$E,3,0)</f>
        <v>DISPOSITIVO DE PROTEÇÃO CONTRA SURTOS(DPS) 275V DE 8 A 40KA</v>
      </c>
      <c r="E2290" s="379" t="str">
        <f>VLOOKUP($C2290,'• CIs EXT'!$A:$E,4,0)</f>
        <v>UN</v>
      </c>
      <c r="F2290" s="380">
        <v>1</v>
      </c>
      <c r="G2290" s="379">
        <v>60.2</v>
      </c>
      <c r="H2290" s="381">
        <f>TRUNC(($F2290*$G2290),2)</f>
        <v>60.2</v>
      </c>
      <c r="I2290" s="262"/>
      <c r="J2290" s="262"/>
      <c r="K2290" s="262"/>
      <c r="L2290" s="262"/>
      <c r="M2290" s="262"/>
      <c r="N2290" s="262"/>
      <c r="O2290" s="262"/>
      <c r="P2290" s="262"/>
      <c r="Q2290" s="262"/>
      <c r="R2290" s="262"/>
      <c r="S2290" s="262"/>
      <c r="T2290" s="262"/>
      <c r="U2290" s="262"/>
      <c r="V2290" s="262"/>
      <c r="W2290" s="262"/>
      <c r="X2290" s="262"/>
      <c r="Y2290" s="262"/>
      <c r="Z2290" s="262"/>
      <c r="AA2290" s="262"/>
      <c r="AB2290" s="262"/>
      <c r="AF2290" s="1790">
        <f>'Medição '!G1842</f>
        <v>0</v>
      </c>
    </row>
    <row r="2291" spans="1:32" ht="12.75">
      <c r="A2291" s="686"/>
      <c r="B2291" s="687"/>
      <c r="C2291" s="688"/>
      <c r="D2291" s="689"/>
      <c r="E2291" s="690"/>
      <c r="F2291" s="691"/>
      <c r="G2291" s="690"/>
      <c r="H2291" s="692"/>
      <c r="I2291" s="262"/>
      <c r="J2291" s="262"/>
      <c r="K2291" s="262"/>
      <c r="L2291" s="262"/>
      <c r="M2291" s="262"/>
      <c r="N2291" s="262"/>
      <c r="O2291" s="262"/>
      <c r="P2291" s="262"/>
      <c r="Q2291" s="262"/>
      <c r="R2291" s="262"/>
      <c r="S2291" s="262"/>
      <c r="T2291" s="262"/>
      <c r="U2291" s="262"/>
      <c r="V2291" s="262"/>
      <c r="W2291" s="262"/>
      <c r="X2291" s="262"/>
      <c r="Y2291" s="262"/>
      <c r="Z2291" s="262"/>
      <c r="AA2291" s="262"/>
      <c r="AB2291" s="262"/>
    </row>
    <row r="2292" spans="1:32" ht="25.5">
      <c r="A2292" s="358" t="s">
        <v>14471</v>
      </c>
      <c r="B2292" s="359" t="s">
        <v>14472</v>
      </c>
      <c r="C2292" s="359" t="s">
        <v>15275</v>
      </c>
      <c r="D2292" s="361" t="s">
        <v>15276</v>
      </c>
      <c r="E2292" s="359" t="s">
        <v>6</v>
      </c>
      <c r="F2292" s="362"/>
      <c r="G2292" s="362"/>
      <c r="H2292" s="363">
        <f>TRUNC(SUM(H2294:H2296),2)</f>
        <v>219.11</v>
      </c>
      <c r="I2292" s="276">
        <f>COUNTIF($C$8:$C2292,C:C)</f>
        <v>1</v>
      </c>
      <c r="J2292" s="262"/>
      <c r="K2292" s="262"/>
      <c r="L2292" s="262"/>
      <c r="M2292" s="262"/>
      <c r="N2292" s="262"/>
      <c r="O2292" s="262"/>
      <c r="P2292" s="262"/>
      <c r="Q2292" s="262"/>
      <c r="R2292" s="262"/>
      <c r="S2292" s="262"/>
      <c r="T2292" s="262"/>
      <c r="U2292" s="262"/>
      <c r="V2292" s="262"/>
      <c r="W2292" s="262"/>
      <c r="X2292" s="262"/>
      <c r="Y2292" s="262"/>
      <c r="Z2292" s="262"/>
      <c r="AA2292" s="262"/>
      <c r="AB2292" s="262"/>
    </row>
    <row r="2293" spans="1:32" ht="12.75">
      <c r="A2293" s="646" t="s">
        <v>14475</v>
      </c>
      <c r="B2293" s="403" t="s">
        <v>14600</v>
      </c>
      <c r="C2293" s="404">
        <v>13102</v>
      </c>
      <c r="D2293" s="769" t="s">
        <v>14567</v>
      </c>
      <c r="E2293" s="405"/>
      <c r="F2293" s="369"/>
      <c r="G2293" s="370"/>
      <c r="H2293" s="371"/>
      <c r="I2293" s="262"/>
      <c r="J2293" s="262"/>
      <c r="K2293" s="262"/>
      <c r="L2293" s="262"/>
      <c r="M2293" s="262"/>
      <c r="N2293" s="262"/>
      <c r="O2293" s="262"/>
      <c r="P2293" s="262"/>
      <c r="Q2293" s="262"/>
      <c r="R2293" s="262"/>
      <c r="S2293" s="262"/>
      <c r="T2293" s="262"/>
      <c r="U2293" s="262"/>
      <c r="V2293" s="262"/>
      <c r="W2293" s="262"/>
      <c r="X2293" s="262"/>
      <c r="Y2293" s="262"/>
      <c r="Z2293" s="262"/>
      <c r="AA2293" s="262"/>
      <c r="AB2293" s="262"/>
    </row>
    <row r="2294" spans="1:32" ht="25.5">
      <c r="A2294" s="586" t="s">
        <v>14478</v>
      </c>
      <c r="B2294" s="373" t="s">
        <v>14476</v>
      </c>
      <c r="C2294" s="374">
        <v>88264</v>
      </c>
      <c r="D2294" s="288" t="str">
        <f>IFERROR(VLOOKUP($C2294,'24.08_ND'!$A:$D,2,0),)</f>
        <v>ELETRICISTA COM ENCARGOS COMPLEMENTARES</v>
      </c>
      <c r="E2294" s="289" t="str">
        <f>IFERROR(VLOOKUP($C2294,'24.08_ND'!$A:$D,3,0),)</f>
        <v>H</v>
      </c>
      <c r="F2294" s="441">
        <v>0.2</v>
      </c>
      <c r="G2294" s="291">
        <f>IFERROR(VLOOKUP($C2294,'24.08_ND'!$A:$D,4,0),)</f>
        <v>24.3</v>
      </c>
      <c r="H2294" s="440">
        <f>TRUNC(($F2294*$G2294),2)</f>
        <v>4.8600000000000003</v>
      </c>
      <c r="I2294" s="262"/>
      <c r="J2294" s="262"/>
      <c r="K2294" s="262"/>
      <c r="L2294" s="262"/>
      <c r="M2294" s="262"/>
      <c r="N2294" s="262"/>
      <c r="O2294" s="262"/>
      <c r="P2294" s="262"/>
      <c r="Q2294" s="262"/>
      <c r="R2294" s="262"/>
      <c r="S2294" s="262"/>
      <c r="T2294" s="262"/>
      <c r="U2294" s="262"/>
      <c r="V2294" s="262"/>
      <c r="W2294" s="262"/>
      <c r="X2294" s="262"/>
      <c r="Y2294" s="262"/>
      <c r="Z2294" s="262"/>
      <c r="AA2294" s="262"/>
      <c r="AB2294" s="262"/>
      <c r="AD2294" s="1791" t="e">
        <f>VLOOKUP(C2294,'Medição '!$B$16:$F$1833,6,0)</f>
        <v>#N/A</v>
      </c>
      <c r="AE2294" s="1791"/>
    </row>
    <row r="2295" spans="1:32" ht="25.5">
      <c r="A2295" s="586" t="s">
        <v>14478</v>
      </c>
      <c r="B2295" s="373" t="s">
        <v>14476</v>
      </c>
      <c r="C2295" s="374">
        <v>88247</v>
      </c>
      <c r="D2295" s="288" t="str">
        <f>IFERROR(VLOOKUP($C2295,'24.08_ND'!$A:$D,2,0),)</f>
        <v>AUXILIAR DE ELETRICISTA COM ENCARGOS COMPLEMENTARES</v>
      </c>
      <c r="E2295" s="289" t="str">
        <f>IFERROR(VLOOKUP($C2295,'24.08_ND'!$A:$D,3,0),)</f>
        <v>H</v>
      </c>
      <c r="F2295" s="441">
        <v>0.2</v>
      </c>
      <c r="G2295" s="291">
        <f>IFERROR(VLOOKUP($C2295,'24.08_ND'!$A:$D,4,0),)</f>
        <v>20</v>
      </c>
      <c r="H2295" s="440">
        <f>TRUNC(($F2295*$G2295),2)</f>
        <v>4</v>
      </c>
      <c r="I2295" s="262"/>
      <c r="J2295" s="262"/>
      <c r="K2295" s="262"/>
      <c r="L2295" s="262"/>
      <c r="M2295" s="262"/>
      <c r="N2295" s="262"/>
      <c r="O2295" s="262"/>
      <c r="P2295" s="262"/>
      <c r="Q2295" s="262"/>
      <c r="R2295" s="262"/>
      <c r="S2295" s="262"/>
      <c r="T2295" s="262"/>
      <c r="U2295" s="262"/>
      <c r="V2295" s="262"/>
      <c r="W2295" s="262"/>
      <c r="X2295" s="262"/>
      <c r="Y2295" s="262"/>
      <c r="Z2295" s="262"/>
      <c r="AA2295" s="262"/>
      <c r="AB2295" s="262"/>
      <c r="AD2295" s="1791" t="e">
        <f>VLOOKUP(C2295,'Medição '!$B$16:$F$1833,6,0)</f>
        <v>#N/A</v>
      </c>
      <c r="AE2295" s="1791"/>
    </row>
    <row r="2296" spans="1:32" ht="12.75">
      <c r="A2296" s="754" t="s">
        <v>14479</v>
      </c>
      <c r="B2296" s="312" t="str">
        <f>VLOOKUP($C2296,'• CIs EXT'!$A:$E,2,0)</f>
        <v>ORSE</v>
      </c>
      <c r="C2296" s="591">
        <v>13863</v>
      </c>
      <c r="D2296" s="378" t="str">
        <f>VLOOKUP($C2296,'• CIs EXT'!$A:$E,3,0)</f>
        <v>PROGRAMADOR HORÁRIO ALIMENTAÇÃO DE 100ª 240VAC</v>
      </c>
      <c r="E2296" s="379" t="str">
        <f>VLOOKUP($C2296,'• CIs EXT'!$A:$E,4,0)</f>
        <v>UN</v>
      </c>
      <c r="F2296" s="380">
        <v>1</v>
      </c>
      <c r="G2296" s="379">
        <f>VLOOKUP($C2296,'• CIs EXT'!$A:$E,5,0)</f>
        <v>210.25</v>
      </c>
      <c r="H2296" s="381">
        <f>TRUNC(($F2296*$G2296),2)</f>
        <v>210.25</v>
      </c>
      <c r="I2296" s="262"/>
      <c r="J2296" s="262"/>
      <c r="K2296" s="262"/>
      <c r="L2296" s="262"/>
      <c r="M2296" s="262"/>
      <c r="N2296" s="262"/>
      <c r="O2296" s="262"/>
      <c r="P2296" s="262"/>
      <c r="Q2296" s="262"/>
      <c r="R2296" s="262"/>
      <c r="S2296" s="262"/>
      <c r="T2296" s="262"/>
      <c r="U2296" s="262"/>
      <c r="V2296" s="262"/>
      <c r="W2296" s="262"/>
      <c r="X2296" s="262"/>
      <c r="Y2296" s="262"/>
      <c r="Z2296" s="262"/>
      <c r="AA2296" s="262"/>
      <c r="AB2296" s="262"/>
    </row>
    <row r="2297" spans="1:32" ht="12.75">
      <c r="A2297" s="686"/>
      <c r="B2297" s="687"/>
      <c r="C2297" s="688"/>
      <c r="D2297" s="689"/>
      <c r="E2297" s="690"/>
      <c r="F2297" s="691"/>
      <c r="G2297" s="690"/>
      <c r="H2297" s="692"/>
      <c r="I2297" s="262"/>
      <c r="J2297" s="262"/>
      <c r="K2297" s="262"/>
      <c r="L2297" s="262"/>
      <c r="M2297" s="262"/>
      <c r="N2297" s="262"/>
      <c r="O2297" s="262"/>
      <c r="P2297" s="262"/>
      <c r="Q2297" s="262"/>
      <c r="R2297" s="262"/>
      <c r="S2297" s="262"/>
      <c r="T2297" s="262"/>
      <c r="U2297" s="262"/>
      <c r="V2297" s="262"/>
      <c r="W2297" s="262"/>
      <c r="X2297" s="262"/>
      <c r="Y2297" s="262"/>
      <c r="Z2297" s="262"/>
      <c r="AA2297" s="262"/>
      <c r="AB2297" s="262"/>
    </row>
    <row r="2298" spans="1:32" ht="25.5">
      <c r="A2298" s="358" t="s">
        <v>14471</v>
      </c>
      <c r="B2298" s="359" t="s">
        <v>14472</v>
      </c>
      <c r="C2298" s="360" t="s">
        <v>15277</v>
      </c>
      <c r="D2298" s="361" t="s">
        <v>15278</v>
      </c>
      <c r="E2298" s="359" t="s">
        <v>6</v>
      </c>
      <c r="F2298" s="784"/>
      <c r="G2298" s="402"/>
      <c r="H2298" s="363">
        <f>SUM(H2300:H2303)</f>
        <v>224.09</v>
      </c>
      <c r="I2298" s="276">
        <f>COUNTIF($C$8:$C2298,C:C)</f>
        <v>1</v>
      </c>
      <c r="J2298" s="262"/>
      <c r="K2298" s="262"/>
      <c r="L2298" s="262"/>
      <c r="M2298" s="262"/>
      <c r="N2298" s="262"/>
      <c r="O2298" s="262"/>
      <c r="P2298" s="262"/>
      <c r="Q2298" s="262"/>
      <c r="R2298" s="262"/>
      <c r="S2298" s="262"/>
      <c r="T2298" s="262"/>
      <c r="U2298" s="262"/>
      <c r="V2298" s="262"/>
      <c r="W2298" s="262"/>
      <c r="X2298" s="262"/>
      <c r="Y2298" s="262"/>
      <c r="Z2298" s="262"/>
      <c r="AA2298" s="262"/>
      <c r="AB2298" s="262"/>
    </row>
    <row r="2299" spans="1:32" ht="25.5">
      <c r="A2299" s="646" t="s">
        <v>14475</v>
      </c>
      <c r="B2299" s="403" t="s">
        <v>14522</v>
      </c>
      <c r="C2299" s="615" t="s">
        <v>15206</v>
      </c>
      <c r="D2299" s="769" t="s">
        <v>14567</v>
      </c>
      <c r="E2299" s="405"/>
      <c r="F2299" s="369"/>
      <c r="G2299" s="370"/>
      <c r="H2299" s="371"/>
      <c r="I2299" s="262"/>
      <c r="J2299" s="262"/>
      <c r="K2299" s="262"/>
      <c r="L2299" s="262"/>
      <c r="M2299" s="262"/>
      <c r="N2299" s="262"/>
      <c r="O2299" s="262"/>
      <c r="P2299" s="262"/>
      <c r="Q2299" s="262"/>
      <c r="R2299" s="262"/>
      <c r="S2299" s="262"/>
      <c r="T2299" s="262"/>
      <c r="U2299" s="262"/>
      <c r="V2299" s="262"/>
      <c r="W2299" s="262"/>
      <c r="X2299" s="262"/>
      <c r="Y2299" s="262"/>
      <c r="Z2299" s="262"/>
      <c r="AA2299" s="262"/>
      <c r="AB2299" s="262"/>
    </row>
    <row r="2300" spans="1:32">
      <c r="A2300" s="785" t="s">
        <v>14478</v>
      </c>
      <c r="B2300" s="786" t="s">
        <v>14476</v>
      </c>
      <c r="C2300" s="594">
        <v>88264</v>
      </c>
      <c r="D2300" s="288" t="str">
        <f>IFERROR(VLOOKUP($C2300,'24.08_ND'!$A:$D,2,0),)</f>
        <v>ELETRICISTA COM ENCARGOS COMPLEMENTARES</v>
      </c>
      <c r="E2300" s="289" t="str">
        <f>IFERROR(VLOOKUP($C2300,'24.08_ND'!$A:$D,3,0),)</f>
        <v>H</v>
      </c>
      <c r="F2300" s="787">
        <v>0.8</v>
      </c>
      <c r="G2300" s="291">
        <f>IFERROR(VLOOKUP($C2300,'24.08_ND'!$A:$D,4,0),)</f>
        <v>24.3</v>
      </c>
      <c r="H2300" s="423">
        <f>TRUNC(($F2300*$G2300),2)</f>
        <v>19.440000000000001</v>
      </c>
      <c r="I2300" s="262"/>
      <c r="J2300" s="262"/>
      <c r="K2300" s="262"/>
      <c r="L2300" s="262"/>
      <c r="M2300" s="262"/>
      <c r="N2300" s="262"/>
      <c r="O2300" s="262"/>
      <c r="P2300" s="262"/>
      <c r="Q2300" s="262"/>
      <c r="R2300" s="262"/>
      <c r="S2300" s="262"/>
      <c r="T2300" s="262"/>
      <c r="U2300" s="262"/>
      <c r="V2300" s="262"/>
      <c r="W2300" s="262"/>
      <c r="X2300" s="262"/>
      <c r="Y2300" s="262"/>
      <c r="Z2300" s="262"/>
      <c r="AA2300" s="262"/>
      <c r="AB2300" s="262"/>
      <c r="AD2300" s="1791" t="e">
        <f>VLOOKUP(C2300,'Medição '!$B$16:$F$1833,6,0)</f>
        <v>#N/A</v>
      </c>
      <c r="AE2300" s="1791"/>
    </row>
    <row r="2301" spans="1:32">
      <c r="A2301" s="785" t="s">
        <v>14478</v>
      </c>
      <c r="B2301" s="786" t="s">
        <v>14476</v>
      </c>
      <c r="C2301" s="374">
        <v>88247</v>
      </c>
      <c r="D2301" s="288" t="str">
        <f>IFERROR(VLOOKUP($C2301,'24.08_ND'!$A:$D,2,0),)</f>
        <v>AUXILIAR DE ELETRICISTA COM ENCARGOS COMPLEMENTARES</v>
      </c>
      <c r="E2301" s="289" t="str">
        <f>IFERROR(VLOOKUP($C2301,'24.08_ND'!$A:$D,3,0),)</f>
        <v>H</v>
      </c>
      <c r="F2301" s="787">
        <v>0.8</v>
      </c>
      <c r="G2301" s="291">
        <f>IFERROR(VLOOKUP($C2301,'24.08_ND'!$A:$D,4,0),)</f>
        <v>20</v>
      </c>
      <c r="H2301" s="423">
        <f>TRUNC(($F2301*$G2301),2)</f>
        <v>16</v>
      </c>
      <c r="I2301" s="262"/>
      <c r="J2301" s="262"/>
      <c r="K2301" s="262"/>
      <c r="L2301" s="262"/>
      <c r="M2301" s="262"/>
      <c r="N2301" s="262"/>
      <c r="O2301" s="262"/>
      <c r="P2301" s="262"/>
      <c r="Q2301" s="262"/>
      <c r="R2301" s="262"/>
      <c r="S2301" s="262"/>
      <c r="T2301" s="262"/>
      <c r="U2301" s="262"/>
      <c r="V2301" s="262"/>
      <c r="W2301" s="262"/>
      <c r="X2301" s="262"/>
      <c r="Y2301" s="262"/>
      <c r="Z2301" s="262"/>
      <c r="AA2301" s="262"/>
      <c r="AB2301" s="262"/>
      <c r="AD2301" s="1791" t="e">
        <f>VLOOKUP(C2301,'Medição '!$B$16:$F$1833,6,0)</f>
        <v>#N/A</v>
      </c>
      <c r="AE2301" s="1791"/>
    </row>
    <row r="2302" spans="1:32" ht="12.75">
      <c r="A2302" s="445" t="s">
        <v>14479</v>
      </c>
      <c r="B2302" s="446" t="s">
        <v>14476</v>
      </c>
      <c r="C2302" s="597">
        <v>404</v>
      </c>
      <c r="D2302" s="296" t="str">
        <f>IFERROR(VLOOKUP($C2302,'24.08_ND'!$A:$D,2,0),)</f>
        <v>FITA ISOLANTE DE BORRACHA AUTOFUSAO, USO ATE 69 KV (ALTA TENSAO)</v>
      </c>
      <c r="E2302" s="297" t="str">
        <f>IFERROR(VLOOKUP($C2302,'24.08_ND'!$A:$D,3,0),)</f>
        <v>M</v>
      </c>
      <c r="F2302" s="780">
        <v>0.12</v>
      </c>
      <c r="G2302" s="299">
        <f>IFERROR(VLOOKUP($C2302,'24.08_ND'!$A:$D,4,0),)</f>
        <v>1.51</v>
      </c>
      <c r="H2302" s="781">
        <f>TRUNC(($F2302*$G2302),2)</f>
        <v>0.18</v>
      </c>
      <c r="I2302" s="262"/>
      <c r="J2302" s="262"/>
      <c r="K2302" s="262"/>
      <c r="L2302" s="262"/>
      <c r="M2302" s="262"/>
      <c r="N2302" s="262"/>
      <c r="O2302" s="262"/>
      <c r="P2302" s="262"/>
      <c r="Q2302" s="262"/>
      <c r="R2302" s="262"/>
      <c r="S2302" s="262"/>
      <c r="T2302" s="262"/>
      <c r="U2302" s="262"/>
      <c r="V2302" s="262"/>
      <c r="W2302" s="262"/>
      <c r="X2302" s="262"/>
      <c r="Y2302" s="262"/>
      <c r="Z2302" s="262"/>
      <c r="AA2302" s="262"/>
      <c r="AB2302" s="262"/>
    </row>
    <row r="2303" spans="1:32" ht="12.75">
      <c r="A2303" s="788" t="s">
        <v>14479</v>
      </c>
      <c r="B2303" s="761" t="s">
        <v>14491</v>
      </c>
      <c r="C2303" s="614" t="s">
        <v>15279</v>
      </c>
      <c r="D2303" s="789" t="str">
        <f>VLOOKUP($C2303,'09 - MC'!$A:$F,2,0)</f>
        <v>EMBUTIDO DE SOLO LED FOCCO INOX 10W 640 LÚMENS 3000K 30° IP67 REDONDO</v>
      </c>
      <c r="E2303" s="604" t="str">
        <f>VLOOKUP($C2303,'09 - MC'!$A:$F,3,0)</f>
        <v>UN</v>
      </c>
      <c r="F2303" s="603">
        <v>1</v>
      </c>
      <c r="G2303" s="604">
        <f>VLOOKUP(C2303,'09 - MC'!$A:$F,6,FALSE)</f>
        <v>188.47</v>
      </c>
      <c r="H2303" s="605">
        <f>TRUNC(G2303*F2303,2)</f>
        <v>188.47</v>
      </c>
      <c r="I2303" s="262"/>
      <c r="J2303" s="262"/>
      <c r="K2303" s="262"/>
      <c r="L2303" s="262"/>
      <c r="M2303" s="262"/>
      <c r="N2303" s="262"/>
      <c r="O2303" s="262"/>
      <c r="P2303" s="262"/>
      <c r="Q2303" s="262"/>
      <c r="R2303" s="262"/>
      <c r="S2303" s="262"/>
      <c r="T2303" s="262"/>
      <c r="U2303" s="262"/>
      <c r="V2303" s="262"/>
      <c r="W2303" s="262"/>
      <c r="X2303" s="262"/>
      <c r="Y2303" s="262"/>
      <c r="Z2303" s="262"/>
      <c r="AA2303" s="262"/>
      <c r="AB2303" s="262"/>
    </row>
    <row r="2304" spans="1:32" ht="12.75">
      <c r="A2304" s="686"/>
      <c r="B2304" s="687"/>
      <c r="C2304" s="688"/>
      <c r="D2304" s="689"/>
      <c r="E2304" s="690"/>
      <c r="F2304" s="691"/>
      <c r="G2304" s="690"/>
      <c r="H2304" s="692"/>
      <c r="I2304" s="262"/>
      <c r="J2304" s="262"/>
      <c r="K2304" s="262"/>
      <c r="L2304" s="262"/>
      <c r="M2304" s="262"/>
      <c r="N2304" s="262"/>
      <c r="O2304" s="262"/>
      <c r="P2304" s="262"/>
      <c r="Q2304" s="262"/>
      <c r="R2304" s="262"/>
      <c r="S2304" s="262"/>
      <c r="T2304" s="262"/>
      <c r="U2304" s="262"/>
      <c r="V2304" s="262"/>
      <c r="W2304" s="262"/>
      <c r="X2304" s="262"/>
      <c r="Y2304" s="262"/>
      <c r="Z2304" s="262"/>
      <c r="AA2304" s="262"/>
      <c r="AB2304" s="262"/>
    </row>
    <row r="2305" spans="1:31" ht="25.5">
      <c r="A2305" s="358" t="s">
        <v>14471</v>
      </c>
      <c r="B2305" s="359" t="s">
        <v>14472</v>
      </c>
      <c r="C2305" s="360" t="s">
        <v>15280</v>
      </c>
      <c r="D2305" s="361" t="s">
        <v>15281</v>
      </c>
      <c r="E2305" s="359" t="s">
        <v>6</v>
      </c>
      <c r="F2305" s="362"/>
      <c r="G2305" s="362"/>
      <c r="H2305" s="363">
        <f>TRUNC(SUM(H2307:H2310),2)</f>
        <v>66.959999999999994</v>
      </c>
      <c r="I2305" s="276">
        <f>COUNTIF($C$8:$C2305,C:C)</f>
        <v>1</v>
      </c>
      <c r="J2305" s="262"/>
      <c r="K2305" s="262"/>
      <c r="L2305" s="262"/>
      <c r="M2305" s="262"/>
      <c r="N2305" s="262"/>
      <c r="O2305" s="262"/>
      <c r="P2305" s="262"/>
      <c r="Q2305" s="262"/>
      <c r="R2305" s="262"/>
      <c r="S2305" s="262"/>
      <c r="T2305" s="262"/>
      <c r="U2305" s="262"/>
      <c r="V2305" s="262"/>
      <c r="W2305" s="262"/>
      <c r="X2305" s="262"/>
      <c r="Y2305" s="262"/>
      <c r="Z2305" s="262"/>
      <c r="AA2305" s="262"/>
      <c r="AB2305" s="262"/>
    </row>
    <row r="2306" spans="1:31" ht="12.75">
      <c r="A2306" s="646" t="s">
        <v>14475</v>
      </c>
      <c r="B2306" s="403" t="s">
        <v>14600</v>
      </c>
      <c r="C2306" s="404">
        <v>13682</v>
      </c>
      <c r="D2306" s="769" t="s">
        <v>14567</v>
      </c>
      <c r="E2306" s="641"/>
      <c r="F2306" s="369"/>
      <c r="G2306" s="370"/>
      <c r="H2306" s="371"/>
      <c r="I2306" s="262"/>
      <c r="J2306" s="262"/>
      <c r="K2306" s="262"/>
      <c r="L2306" s="262"/>
      <c r="M2306" s="262"/>
      <c r="N2306" s="262"/>
      <c r="O2306" s="262"/>
      <c r="P2306" s="262"/>
      <c r="Q2306" s="262"/>
      <c r="R2306" s="262"/>
      <c r="S2306" s="262"/>
      <c r="T2306" s="262"/>
      <c r="U2306" s="262"/>
      <c r="V2306" s="262"/>
      <c r="W2306" s="262"/>
      <c r="X2306" s="262"/>
      <c r="Y2306" s="262"/>
      <c r="Z2306" s="262"/>
      <c r="AA2306" s="262"/>
      <c r="AB2306" s="262"/>
    </row>
    <row r="2307" spans="1:31" ht="25.5">
      <c r="A2307" s="586" t="s">
        <v>14478</v>
      </c>
      <c r="B2307" s="373" t="s">
        <v>14476</v>
      </c>
      <c r="C2307" s="594">
        <v>88264</v>
      </c>
      <c r="D2307" s="288" t="str">
        <f>IFERROR(VLOOKUP($C2307,'24.08_ND'!$A:$D,2,0),)</f>
        <v>ELETRICISTA COM ENCARGOS COMPLEMENTARES</v>
      </c>
      <c r="E2307" s="289" t="str">
        <f>IFERROR(VLOOKUP($C2307,'24.08_ND'!$A:$D,3,0),)</f>
        <v>H</v>
      </c>
      <c r="F2307" s="441">
        <v>0.5</v>
      </c>
      <c r="G2307" s="291">
        <f>IFERROR(VLOOKUP($C2307,'24.08_ND'!$A:$D,4,0),)</f>
        <v>24.3</v>
      </c>
      <c r="H2307" s="440">
        <f>TRUNC(($F2307*$G2307),2)</f>
        <v>12.15</v>
      </c>
      <c r="I2307" s="262"/>
      <c r="J2307" s="262"/>
      <c r="K2307" s="262"/>
      <c r="L2307" s="262"/>
      <c r="M2307" s="262"/>
      <c r="N2307" s="262"/>
      <c r="O2307" s="262"/>
      <c r="P2307" s="262"/>
      <c r="Q2307" s="262"/>
      <c r="R2307" s="262"/>
      <c r="S2307" s="262"/>
      <c r="T2307" s="262"/>
      <c r="U2307" s="262"/>
      <c r="V2307" s="262"/>
      <c r="W2307" s="262"/>
      <c r="X2307" s="262"/>
      <c r="Y2307" s="262"/>
      <c r="Z2307" s="262"/>
      <c r="AA2307" s="262"/>
      <c r="AB2307" s="262"/>
      <c r="AD2307" s="1791" t="e">
        <f>VLOOKUP(C2307,'Medição '!$B$16:$F$1833,6,0)</f>
        <v>#N/A</v>
      </c>
      <c r="AE2307" s="1791"/>
    </row>
    <row r="2308" spans="1:31" ht="25.5">
      <c r="A2308" s="586" t="s">
        <v>14478</v>
      </c>
      <c r="B2308" s="373" t="s">
        <v>14476</v>
      </c>
      <c r="C2308" s="374">
        <v>88247</v>
      </c>
      <c r="D2308" s="288" t="str">
        <f>IFERROR(VLOOKUP($C2308,'24.08_ND'!$A:$D,2,0),)</f>
        <v>AUXILIAR DE ELETRICISTA COM ENCARGOS COMPLEMENTARES</v>
      </c>
      <c r="E2308" s="289" t="str">
        <f>IFERROR(VLOOKUP($C2308,'24.08_ND'!$A:$D,3,0),)</f>
        <v>H</v>
      </c>
      <c r="F2308" s="441">
        <v>0.5</v>
      </c>
      <c r="G2308" s="291">
        <f>IFERROR(VLOOKUP($C2308,'24.08_ND'!$A:$D,4,0),)</f>
        <v>20</v>
      </c>
      <c r="H2308" s="440">
        <f>TRUNC(($F2308*$G2308),2)</f>
        <v>10</v>
      </c>
      <c r="I2308" s="262"/>
      <c r="J2308" s="262"/>
      <c r="K2308" s="262"/>
      <c r="L2308" s="262"/>
      <c r="M2308" s="262"/>
      <c r="N2308" s="262"/>
      <c r="O2308" s="262"/>
      <c r="P2308" s="262"/>
      <c r="Q2308" s="262"/>
      <c r="R2308" s="262"/>
      <c r="S2308" s="262"/>
      <c r="T2308" s="262"/>
      <c r="U2308" s="262"/>
      <c r="V2308" s="262"/>
      <c r="W2308" s="262"/>
      <c r="X2308" s="262"/>
      <c r="Y2308" s="262"/>
      <c r="Z2308" s="262"/>
      <c r="AA2308" s="262"/>
      <c r="AB2308" s="262"/>
      <c r="AD2308" s="1791" t="e">
        <f>VLOOKUP(C2308,'Medição '!$B$16:$F$1833,6,0)</f>
        <v>#N/A</v>
      </c>
      <c r="AE2308" s="1791"/>
    </row>
    <row r="2309" spans="1:31" ht="12.75">
      <c r="A2309" s="445" t="s">
        <v>14479</v>
      </c>
      <c r="B2309" s="446" t="s">
        <v>14476</v>
      </c>
      <c r="C2309" s="597">
        <v>404</v>
      </c>
      <c r="D2309" s="296" t="str">
        <f>IFERROR(VLOOKUP($C2309,'24.08_ND'!$A:$D,2,0),)</f>
        <v>FITA ISOLANTE DE BORRACHA AUTOFUSAO, USO ATE 69 KV (ALTA TENSAO)</v>
      </c>
      <c r="E2309" s="297" t="str">
        <f>IFERROR(VLOOKUP($C2309,'24.08_ND'!$A:$D,3,0),)</f>
        <v>M</v>
      </c>
      <c r="F2309" s="780">
        <v>0.12</v>
      </c>
      <c r="G2309" s="299">
        <f>IFERROR(VLOOKUP($C2309,'24.08_ND'!$A:$D,4,0),)</f>
        <v>1.51</v>
      </c>
      <c r="H2309" s="781">
        <f>TRUNC(($F2309*$G2309),2)</f>
        <v>0.18</v>
      </c>
      <c r="I2309" s="262"/>
      <c r="J2309" s="262"/>
      <c r="K2309" s="262"/>
      <c r="L2309" s="262"/>
      <c r="M2309" s="262"/>
      <c r="N2309" s="262"/>
      <c r="O2309" s="262"/>
      <c r="P2309" s="262"/>
      <c r="Q2309" s="262"/>
      <c r="R2309" s="262"/>
      <c r="S2309" s="262"/>
      <c r="T2309" s="262"/>
      <c r="U2309" s="262"/>
      <c r="V2309" s="262"/>
      <c r="W2309" s="262"/>
      <c r="X2309" s="262"/>
      <c r="Y2309" s="262"/>
      <c r="Z2309" s="262"/>
      <c r="AA2309" s="262"/>
      <c r="AB2309" s="262"/>
    </row>
    <row r="2310" spans="1:31" ht="25.5">
      <c r="A2310" s="590" t="s">
        <v>14479</v>
      </c>
      <c r="B2310" s="312" t="str">
        <f>VLOOKUP($C2310,'• CIs EXT'!$A:$E,2,0)</f>
        <v>ORSE</v>
      </c>
      <c r="C2310" s="377">
        <v>4072</v>
      </c>
      <c r="D2310" s="378" t="str">
        <f>VLOOKUP($C2310,'• CIs EXT'!$A:$E,3,0)</f>
        <v>REDUÇÃO CONCÊNTRICA 200 X 150 X 100MM PARA ELETROCALHA METÁLICA (REF. MOPA OUSIMILAR)</v>
      </c>
      <c r="E2310" s="379" t="str">
        <f>VLOOKUP($C2310,'• CIs EXT'!$A:$E,4,0)</f>
        <v>UN</v>
      </c>
      <c r="F2310" s="442">
        <v>1</v>
      </c>
      <c r="G2310" s="379">
        <f>VLOOKUP($C2310,'• CIs EXT'!$A:$E,5,0)</f>
        <v>44.63</v>
      </c>
      <c r="H2310" s="381">
        <f>TRUNC(($F2310*$G2310),2)</f>
        <v>44.63</v>
      </c>
      <c r="I2310" s="262"/>
      <c r="J2310" s="262"/>
      <c r="K2310" s="262"/>
      <c r="L2310" s="262"/>
      <c r="M2310" s="262"/>
      <c r="N2310" s="262"/>
      <c r="O2310" s="262"/>
      <c r="P2310" s="262"/>
      <c r="Q2310" s="262"/>
      <c r="R2310" s="262"/>
      <c r="S2310" s="262"/>
      <c r="T2310" s="262"/>
      <c r="U2310" s="262"/>
      <c r="V2310" s="262"/>
      <c r="W2310" s="262"/>
      <c r="X2310" s="262"/>
      <c r="Y2310" s="262"/>
      <c r="Z2310" s="262"/>
      <c r="AA2310" s="262"/>
      <c r="AB2310" s="262"/>
      <c r="AE2310" s="1790">
        <f>H2310*4</f>
        <v>178.52</v>
      </c>
    </row>
    <row r="2311" spans="1:31" ht="12.75">
      <c r="A2311" s="686"/>
      <c r="B2311" s="687"/>
      <c r="C2311" s="688"/>
      <c r="D2311" s="689"/>
      <c r="E2311" s="690"/>
      <c r="F2311" s="691"/>
      <c r="G2311" s="690"/>
      <c r="H2311" s="692"/>
      <c r="I2311" s="262"/>
      <c r="J2311" s="262"/>
      <c r="K2311" s="262"/>
      <c r="L2311" s="262"/>
      <c r="M2311" s="262"/>
      <c r="N2311" s="262"/>
      <c r="O2311" s="262"/>
      <c r="P2311" s="262"/>
      <c r="Q2311" s="262"/>
      <c r="R2311" s="262"/>
      <c r="S2311" s="262"/>
      <c r="T2311" s="262"/>
      <c r="U2311" s="262"/>
      <c r="V2311" s="262"/>
      <c r="W2311" s="262"/>
      <c r="X2311" s="262"/>
      <c r="Y2311" s="262"/>
      <c r="Z2311" s="262"/>
      <c r="AA2311" s="262"/>
      <c r="AB2311" s="262"/>
    </row>
    <row r="2312" spans="1:31" ht="25.5">
      <c r="A2312" s="358" t="s">
        <v>14471</v>
      </c>
      <c r="B2312" s="359" t="s">
        <v>14472</v>
      </c>
      <c r="C2312" s="360" t="s">
        <v>15282</v>
      </c>
      <c r="D2312" s="361" t="s">
        <v>15283</v>
      </c>
      <c r="E2312" s="359" t="s">
        <v>6</v>
      </c>
      <c r="F2312" s="362"/>
      <c r="G2312" s="362"/>
      <c r="H2312" s="363">
        <f>TRUNC(SUM(H2314:H2318),2)</f>
        <v>131.52000000000001</v>
      </c>
      <c r="I2312" s="276">
        <f>COUNTIF($C$8:$C2312,C:C)</f>
        <v>1</v>
      </c>
      <c r="J2312" s="262"/>
      <c r="K2312" s="262"/>
      <c r="L2312" s="262"/>
      <c r="M2312" s="262"/>
      <c r="N2312" s="262"/>
      <c r="O2312" s="262"/>
      <c r="P2312" s="262"/>
      <c r="Q2312" s="262"/>
      <c r="R2312" s="262"/>
      <c r="S2312" s="262"/>
      <c r="T2312" s="262"/>
      <c r="U2312" s="262"/>
      <c r="V2312" s="262"/>
      <c r="W2312" s="262"/>
      <c r="X2312" s="262"/>
      <c r="Y2312" s="262"/>
      <c r="Z2312" s="262"/>
      <c r="AA2312" s="262"/>
      <c r="AB2312" s="262"/>
    </row>
    <row r="2313" spans="1:31" ht="12.75">
      <c r="A2313" s="646" t="s">
        <v>14475</v>
      </c>
      <c r="B2313" s="403" t="s">
        <v>14600</v>
      </c>
      <c r="C2313" s="404">
        <v>10352</v>
      </c>
      <c r="D2313" s="769" t="s">
        <v>14567</v>
      </c>
      <c r="E2313" s="641"/>
      <c r="F2313" s="369"/>
      <c r="G2313" s="370"/>
      <c r="H2313" s="371"/>
      <c r="I2313" s="262"/>
      <c r="J2313" s="262"/>
      <c r="K2313" s="262"/>
      <c r="L2313" s="262"/>
      <c r="M2313" s="262"/>
      <c r="N2313" s="262"/>
      <c r="O2313" s="262"/>
      <c r="P2313" s="262"/>
      <c r="Q2313" s="262"/>
      <c r="R2313" s="262"/>
      <c r="S2313" s="262"/>
      <c r="T2313" s="262"/>
      <c r="U2313" s="262"/>
      <c r="V2313" s="262"/>
      <c r="W2313" s="262"/>
      <c r="X2313" s="262"/>
      <c r="Y2313" s="262"/>
      <c r="Z2313" s="262"/>
      <c r="AA2313" s="262"/>
      <c r="AB2313" s="262"/>
    </row>
    <row r="2314" spans="1:31" ht="25.5">
      <c r="A2314" s="586" t="s">
        <v>14478</v>
      </c>
      <c r="B2314" s="373" t="s">
        <v>14476</v>
      </c>
      <c r="C2314" s="594">
        <v>88264</v>
      </c>
      <c r="D2314" s="288" t="str">
        <f>IFERROR(VLOOKUP($C2314,'24.08_ND'!$A:$D,2,0),)</f>
        <v>ELETRICISTA COM ENCARGOS COMPLEMENTARES</v>
      </c>
      <c r="E2314" s="289" t="str">
        <f>IFERROR(VLOOKUP($C2314,'24.08_ND'!$A:$D,3,0),)</f>
        <v>H</v>
      </c>
      <c r="F2314" s="441">
        <v>0.6</v>
      </c>
      <c r="G2314" s="291">
        <f>IFERROR(VLOOKUP($C2314,'24.08_ND'!$A:$D,4,0),)</f>
        <v>24.3</v>
      </c>
      <c r="H2314" s="440">
        <f>TRUNC(($F2314*$G2314),2)</f>
        <v>14.58</v>
      </c>
      <c r="I2314" s="262"/>
      <c r="J2314" s="262"/>
      <c r="K2314" s="262"/>
      <c r="L2314" s="262"/>
      <c r="M2314" s="262"/>
      <c r="N2314" s="262"/>
      <c r="O2314" s="262"/>
      <c r="P2314" s="262"/>
      <c r="Q2314" s="262"/>
      <c r="R2314" s="262"/>
      <c r="S2314" s="262"/>
      <c r="T2314" s="262"/>
      <c r="U2314" s="262"/>
      <c r="V2314" s="262"/>
      <c r="W2314" s="262"/>
      <c r="X2314" s="262"/>
      <c r="Y2314" s="262"/>
      <c r="Z2314" s="262"/>
      <c r="AA2314" s="262"/>
      <c r="AB2314" s="262"/>
      <c r="AD2314" s="1791" t="e">
        <f>VLOOKUP(C2314,'Medição '!$B$16:$F$1833,6,0)</f>
        <v>#N/A</v>
      </c>
      <c r="AE2314" s="1791"/>
    </row>
    <row r="2315" spans="1:31" ht="25.5">
      <c r="A2315" s="586" t="s">
        <v>14478</v>
      </c>
      <c r="B2315" s="373" t="s">
        <v>14476</v>
      </c>
      <c r="C2315" s="374">
        <v>88247</v>
      </c>
      <c r="D2315" s="288" t="str">
        <f>IFERROR(VLOOKUP($C2315,'24.08_ND'!$A:$D,2,0),)</f>
        <v>AUXILIAR DE ELETRICISTA COM ENCARGOS COMPLEMENTARES</v>
      </c>
      <c r="E2315" s="289" t="str">
        <f>IFERROR(VLOOKUP($C2315,'24.08_ND'!$A:$D,3,0),)</f>
        <v>H</v>
      </c>
      <c r="F2315" s="441">
        <v>0.6</v>
      </c>
      <c r="G2315" s="291">
        <f>IFERROR(VLOOKUP($C2315,'24.08_ND'!$A:$D,4,0),)</f>
        <v>20</v>
      </c>
      <c r="H2315" s="440">
        <f>TRUNC(($F2315*$G2315),2)</f>
        <v>12</v>
      </c>
      <c r="I2315" s="262"/>
      <c r="J2315" s="262"/>
      <c r="K2315" s="262"/>
      <c r="L2315" s="262"/>
      <c r="M2315" s="262"/>
      <c r="N2315" s="262"/>
      <c r="O2315" s="262"/>
      <c r="P2315" s="262"/>
      <c r="Q2315" s="262"/>
      <c r="R2315" s="262"/>
      <c r="S2315" s="262"/>
      <c r="T2315" s="262"/>
      <c r="U2315" s="262"/>
      <c r="V2315" s="262"/>
      <c r="W2315" s="262"/>
      <c r="X2315" s="262"/>
      <c r="Y2315" s="262"/>
      <c r="Z2315" s="262"/>
      <c r="AA2315" s="262"/>
      <c r="AB2315" s="262"/>
      <c r="AD2315" s="1791" t="e">
        <f>VLOOKUP(C2315,'Medição '!$B$16:$F$1833,6,0)</f>
        <v>#N/A</v>
      </c>
      <c r="AE2315" s="1791"/>
    </row>
    <row r="2316" spans="1:31" ht="12.75">
      <c r="A2316" s="445" t="s">
        <v>14479</v>
      </c>
      <c r="B2316" s="446" t="s">
        <v>14476</v>
      </c>
      <c r="C2316" s="597">
        <v>404</v>
      </c>
      <c r="D2316" s="296" t="str">
        <f>IFERROR(VLOOKUP($C2316,'24.08_ND'!$A:$D,2,0),)</f>
        <v>FITA ISOLANTE DE BORRACHA AUTOFUSAO, USO ATE 69 KV (ALTA TENSAO)</v>
      </c>
      <c r="E2316" s="297" t="str">
        <f>IFERROR(VLOOKUP($C2316,'24.08_ND'!$A:$D,3,0),)</f>
        <v>M</v>
      </c>
      <c r="F2316" s="780">
        <v>0.24</v>
      </c>
      <c r="G2316" s="299">
        <f>IFERROR(VLOOKUP($C2316,'24.08_ND'!$A:$D,4,0),)</f>
        <v>1.51</v>
      </c>
      <c r="H2316" s="781">
        <f>TRUNC(($F2316*$G2316),2)</f>
        <v>0.36</v>
      </c>
      <c r="I2316" s="262"/>
      <c r="J2316" s="262"/>
      <c r="K2316" s="262"/>
      <c r="L2316" s="262"/>
      <c r="M2316" s="262"/>
      <c r="N2316" s="262"/>
      <c r="O2316" s="262"/>
      <c r="P2316" s="262"/>
      <c r="Q2316" s="262"/>
      <c r="R2316" s="262"/>
      <c r="S2316" s="262"/>
      <c r="T2316" s="262"/>
      <c r="U2316" s="262"/>
      <c r="V2316" s="262"/>
      <c r="W2316" s="262"/>
      <c r="X2316" s="262"/>
      <c r="Y2316" s="262"/>
      <c r="Z2316" s="262"/>
      <c r="AA2316" s="262"/>
      <c r="AB2316" s="262"/>
    </row>
    <row r="2317" spans="1:31" ht="12.75">
      <c r="A2317" s="788" t="s">
        <v>14479</v>
      </c>
      <c r="B2317" s="761" t="s">
        <v>14491</v>
      </c>
      <c r="C2317" s="614" t="s">
        <v>15284</v>
      </c>
      <c r="D2317" s="789" t="str">
        <f>VLOOKUP($C2317,'09 - MC'!$A:$F,2,0)</f>
        <v>LAMPADA LED MR16 7W 4000K</v>
      </c>
      <c r="E2317" s="604" t="str">
        <f>VLOOKUP($C2317,'09 - MC'!$A:$F,3,0)</f>
        <v>UN</v>
      </c>
      <c r="F2317" s="603">
        <v>2</v>
      </c>
      <c r="G2317" s="783">
        <f>VLOOKUP(C2317,'09 - MC'!$A:$F,6,FALSE)</f>
        <v>23.34</v>
      </c>
      <c r="H2317" s="605">
        <f>TRUNC(G2317*F2317,2)</f>
        <v>46.68</v>
      </c>
      <c r="I2317" s="262"/>
      <c r="J2317" s="262"/>
      <c r="K2317" s="262"/>
      <c r="L2317" s="262"/>
      <c r="M2317" s="262"/>
      <c r="N2317" s="262"/>
      <c r="O2317" s="262"/>
      <c r="P2317" s="262"/>
      <c r="Q2317" s="262"/>
      <c r="R2317" s="262"/>
      <c r="S2317" s="262"/>
      <c r="T2317" s="262"/>
      <c r="U2317" s="262"/>
      <c r="V2317" s="262"/>
      <c r="W2317" s="262"/>
      <c r="X2317" s="262"/>
      <c r="Y2317" s="262"/>
      <c r="Z2317" s="262"/>
      <c r="AA2317" s="262"/>
      <c r="AB2317" s="262"/>
    </row>
    <row r="2318" spans="1:31" ht="12.75">
      <c r="A2318" s="788" t="s">
        <v>14479</v>
      </c>
      <c r="B2318" s="761" t="s">
        <v>14491</v>
      </c>
      <c r="C2318" s="614" t="s">
        <v>15285</v>
      </c>
      <c r="D2318" s="789" t="str">
        <f>VLOOKUP($C2318,'09 - MC'!$A:$F,2,0)</f>
        <v>SPOT EMBUTIR DUPLO RECUADO MR16 SISTEMA CLICK</v>
      </c>
      <c r="E2318" s="604" t="str">
        <f>VLOOKUP($C2318,'09 - MC'!$A:$F,3,0)</f>
        <v>UN</v>
      </c>
      <c r="F2318" s="603">
        <v>1</v>
      </c>
      <c r="G2318" s="783">
        <f>VLOOKUP(C2318,'09 - MC'!$A:$F,6,FALSE)</f>
        <v>57.9</v>
      </c>
      <c r="H2318" s="605">
        <f>TRUNC(G2318*F2318,2)</f>
        <v>57.9</v>
      </c>
      <c r="I2318" s="262"/>
      <c r="J2318" s="262"/>
      <c r="K2318" s="262"/>
      <c r="L2318" s="262"/>
      <c r="M2318" s="262"/>
      <c r="N2318" s="262"/>
      <c r="O2318" s="262"/>
      <c r="P2318" s="262"/>
      <c r="Q2318" s="262"/>
      <c r="R2318" s="262"/>
      <c r="S2318" s="262"/>
      <c r="T2318" s="262"/>
      <c r="U2318" s="262"/>
      <c r="V2318" s="262"/>
      <c r="W2318" s="262"/>
      <c r="X2318" s="262"/>
      <c r="Y2318" s="262"/>
      <c r="Z2318" s="262"/>
      <c r="AA2318" s="262"/>
      <c r="AB2318" s="262"/>
    </row>
    <row r="2319" spans="1:31" ht="12.75">
      <c r="A2319" s="793"/>
      <c r="B2319" s="794"/>
      <c r="C2319" s="795"/>
      <c r="D2319" s="796"/>
      <c r="E2319" s="370"/>
      <c r="F2319" s="782"/>
      <c r="G2319" s="370"/>
      <c r="H2319" s="371"/>
      <c r="I2319" s="262"/>
      <c r="J2319" s="262"/>
      <c r="K2319" s="262"/>
      <c r="L2319" s="262"/>
      <c r="M2319" s="262"/>
      <c r="N2319" s="262"/>
      <c r="O2319" s="262"/>
      <c r="P2319" s="262"/>
      <c r="Q2319" s="262"/>
      <c r="R2319" s="262"/>
      <c r="S2319" s="262"/>
      <c r="T2319" s="262"/>
      <c r="U2319" s="262"/>
      <c r="V2319" s="262"/>
      <c r="W2319" s="262"/>
      <c r="X2319" s="262"/>
      <c r="Y2319" s="262"/>
      <c r="Z2319" s="262"/>
      <c r="AA2319" s="262"/>
      <c r="AB2319" s="262"/>
    </row>
    <row r="2320" spans="1:31" ht="25.5">
      <c r="A2320" s="358" t="s">
        <v>14471</v>
      </c>
      <c r="B2320" s="359" t="s">
        <v>14472</v>
      </c>
      <c r="C2320" s="360" t="s">
        <v>15286</v>
      </c>
      <c r="D2320" s="361" t="s">
        <v>15287</v>
      </c>
      <c r="E2320" s="359" t="s">
        <v>6</v>
      </c>
      <c r="F2320" s="362"/>
      <c r="G2320" s="362"/>
      <c r="H2320" s="363">
        <f>TRUNC(SUM(H2322:H2326),2)</f>
        <v>63.46</v>
      </c>
      <c r="I2320" s="276">
        <f>COUNTIF($C$8:$C2320,C:C)</f>
        <v>1</v>
      </c>
      <c r="J2320" s="262"/>
      <c r="K2320" s="262"/>
      <c r="L2320" s="262"/>
      <c r="M2320" s="262"/>
      <c r="N2320" s="262"/>
      <c r="O2320" s="262"/>
      <c r="P2320" s="262"/>
      <c r="Q2320" s="262"/>
      <c r="R2320" s="262"/>
      <c r="S2320" s="262"/>
      <c r="T2320" s="262"/>
      <c r="U2320" s="262"/>
      <c r="V2320" s="262"/>
      <c r="W2320" s="262"/>
      <c r="X2320" s="262"/>
      <c r="Y2320" s="262"/>
      <c r="Z2320" s="262"/>
      <c r="AA2320" s="262"/>
      <c r="AB2320" s="262"/>
    </row>
    <row r="2321" spans="1:31" ht="12.75">
      <c r="A2321" s="646" t="s">
        <v>14475</v>
      </c>
      <c r="B2321" s="403" t="s">
        <v>14600</v>
      </c>
      <c r="C2321" s="404">
        <v>10352</v>
      </c>
      <c r="D2321" s="769" t="s">
        <v>14567</v>
      </c>
      <c r="E2321" s="641"/>
      <c r="F2321" s="369"/>
      <c r="G2321" s="370"/>
      <c r="H2321" s="371"/>
      <c r="I2321" s="262"/>
      <c r="J2321" s="262"/>
      <c r="K2321" s="262"/>
      <c r="L2321" s="262"/>
      <c r="M2321" s="262"/>
      <c r="N2321" s="262"/>
      <c r="O2321" s="262"/>
      <c r="P2321" s="262"/>
      <c r="Q2321" s="262"/>
      <c r="R2321" s="262"/>
      <c r="S2321" s="262"/>
      <c r="T2321" s="262"/>
      <c r="U2321" s="262"/>
      <c r="V2321" s="262"/>
      <c r="W2321" s="262"/>
      <c r="X2321" s="262"/>
      <c r="Y2321" s="262"/>
      <c r="Z2321" s="262"/>
      <c r="AA2321" s="262"/>
      <c r="AB2321" s="262"/>
    </row>
    <row r="2322" spans="1:31" ht="25.5">
      <c r="A2322" s="586" t="s">
        <v>14478</v>
      </c>
      <c r="B2322" s="373" t="s">
        <v>14476</v>
      </c>
      <c r="C2322" s="594">
        <v>88264</v>
      </c>
      <c r="D2322" s="288" t="str">
        <f>IFERROR(VLOOKUP($C2322,'24.08_ND'!$A:$D,2,0),)</f>
        <v>ELETRICISTA COM ENCARGOS COMPLEMENTARES</v>
      </c>
      <c r="E2322" s="289" t="str">
        <f>IFERROR(VLOOKUP($C2322,'24.08_ND'!$A:$D,3,0),)</f>
        <v>H</v>
      </c>
      <c r="F2322" s="441">
        <v>0.6</v>
      </c>
      <c r="G2322" s="291">
        <f>IFERROR(VLOOKUP($C2322,'24.08_ND'!$A:$D,4,0),)</f>
        <v>24.3</v>
      </c>
      <c r="H2322" s="440">
        <f>TRUNC(($F2322*$G2322),2)</f>
        <v>14.58</v>
      </c>
      <c r="I2322" s="262"/>
      <c r="J2322" s="262"/>
      <c r="K2322" s="262"/>
      <c r="L2322" s="262"/>
      <c r="M2322" s="262"/>
      <c r="N2322" s="262"/>
      <c r="O2322" s="262"/>
      <c r="P2322" s="262"/>
      <c r="Q2322" s="262"/>
      <c r="R2322" s="262"/>
      <c r="S2322" s="262"/>
      <c r="T2322" s="262"/>
      <c r="U2322" s="262"/>
      <c r="V2322" s="262"/>
      <c r="W2322" s="262"/>
      <c r="X2322" s="262"/>
      <c r="Y2322" s="262"/>
      <c r="Z2322" s="262"/>
      <c r="AA2322" s="262"/>
      <c r="AB2322" s="262"/>
      <c r="AD2322" s="1791" t="e">
        <f>VLOOKUP(C2322,'Medição '!$B$16:$F$1833,6,0)</f>
        <v>#N/A</v>
      </c>
      <c r="AE2322" s="1791"/>
    </row>
    <row r="2323" spans="1:31" ht="25.5">
      <c r="A2323" s="586" t="s">
        <v>14478</v>
      </c>
      <c r="B2323" s="373" t="s">
        <v>14476</v>
      </c>
      <c r="C2323" s="374">
        <v>88247</v>
      </c>
      <c r="D2323" s="288" t="str">
        <f>IFERROR(VLOOKUP($C2323,'24.08_ND'!$A:$D,2,0),)</f>
        <v>AUXILIAR DE ELETRICISTA COM ENCARGOS COMPLEMENTARES</v>
      </c>
      <c r="E2323" s="289" t="str">
        <f>IFERROR(VLOOKUP($C2323,'24.08_ND'!$A:$D,3,0),)</f>
        <v>H</v>
      </c>
      <c r="F2323" s="441">
        <v>0.6</v>
      </c>
      <c r="G2323" s="291">
        <f>IFERROR(VLOOKUP($C2323,'24.08_ND'!$A:$D,4,0),)</f>
        <v>20</v>
      </c>
      <c r="H2323" s="440">
        <f>TRUNC(($F2323*$G2323),2)</f>
        <v>12</v>
      </c>
      <c r="I2323" s="262"/>
      <c r="J2323" s="262"/>
      <c r="K2323" s="262"/>
      <c r="L2323" s="262"/>
      <c r="M2323" s="262"/>
      <c r="N2323" s="262"/>
      <c r="O2323" s="262"/>
      <c r="P2323" s="262"/>
      <c r="Q2323" s="262"/>
      <c r="R2323" s="262"/>
      <c r="S2323" s="262"/>
      <c r="T2323" s="262"/>
      <c r="U2323" s="262"/>
      <c r="V2323" s="262"/>
      <c r="W2323" s="262"/>
      <c r="X2323" s="262"/>
      <c r="Y2323" s="262"/>
      <c r="Z2323" s="262"/>
      <c r="AA2323" s="262"/>
      <c r="AB2323" s="262"/>
      <c r="AD2323" s="1791" t="e">
        <f>VLOOKUP(C2323,'Medição '!$B$16:$F$1833,6,0)</f>
        <v>#N/A</v>
      </c>
      <c r="AE2323" s="1791"/>
    </row>
    <row r="2324" spans="1:31" ht="12.75">
      <c r="A2324" s="445" t="s">
        <v>14479</v>
      </c>
      <c r="B2324" s="446" t="s">
        <v>14476</v>
      </c>
      <c r="C2324" s="597">
        <v>404</v>
      </c>
      <c r="D2324" s="296" t="str">
        <f>IFERROR(VLOOKUP($C2324,'24.08_ND'!$A:$D,2,0),)</f>
        <v>FITA ISOLANTE DE BORRACHA AUTOFUSAO, USO ATE 69 KV (ALTA TENSAO)</v>
      </c>
      <c r="E2324" s="297" t="str">
        <f>IFERROR(VLOOKUP($C2324,'24.08_ND'!$A:$D,3,0),)</f>
        <v>M</v>
      </c>
      <c r="F2324" s="780">
        <v>0.12</v>
      </c>
      <c r="G2324" s="299">
        <f>IFERROR(VLOOKUP($C2324,'24.08_ND'!$A:$D,4,0),)</f>
        <v>1.51</v>
      </c>
      <c r="H2324" s="781">
        <f>TRUNC(($F2324*$G2324),2)</f>
        <v>0.18</v>
      </c>
      <c r="I2324" s="262"/>
      <c r="J2324" s="262"/>
      <c r="K2324" s="262"/>
      <c r="L2324" s="262"/>
      <c r="M2324" s="262"/>
      <c r="N2324" s="262"/>
      <c r="O2324" s="262"/>
      <c r="P2324" s="262"/>
      <c r="Q2324" s="262"/>
      <c r="R2324" s="262"/>
      <c r="S2324" s="262"/>
      <c r="T2324" s="262"/>
      <c r="U2324" s="262"/>
      <c r="V2324" s="262"/>
      <c r="W2324" s="262"/>
      <c r="X2324" s="262"/>
      <c r="Y2324" s="262"/>
      <c r="Z2324" s="262"/>
      <c r="AA2324" s="262"/>
      <c r="AB2324" s="262"/>
    </row>
    <row r="2325" spans="1:31" ht="12.75">
      <c r="A2325" s="788" t="s">
        <v>14479</v>
      </c>
      <c r="B2325" s="761" t="s">
        <v>14491</v>
      </c>
      <c r="C2325" s="614" t="s">
        <v>15257</v>
      </c>
      <c r="D2325" s="789" t="str">
        <f>VLOOKUP($C2325,'09 - MC'!$A:$F,2,0)</f>
        <v>LAMPADA PAR 20 - COM SOQUETE E27 E LED ATÉ 7W - ATÉ 4500 K</v>
      </c>
      <c r="E2325" s="604" t="str">
        <f>VLOOKUP($C2325,'09 - MC'!$A:$F,3,0)</f>
        <v>UN</v>
      </c>
      <c r="F2325" s="603">
        <v>1</v>
      </c>
      <c r="G2325" s="783">
        <f>VLOOKUP(C2325,'09 - MC'!$A:$F,6,FALSE)</f>
        <v>17</v>
      </c>
      <c r="H2325" s="605">
        <f>TRUNC(G2325*F2325,2)</f>
        <v>17</v>
      </c>
      <c r="I2325" s="262"/>
      <c r="J2325" s="262"/>
      <c r="K2325" s="262"/>
      <c r="L2325" s="262"/>
      <c r="M2325" s="262"/>
      <c r="N2325" s="262"/>
      <c r="O2325" s="262"/>
      <c r="P2325" s="262"/>
      <c r="Q2325" s="262"/>
      <c r="R2325" s="262"/>
      <c r="S2325" s="262"/>
      <c r="T2325" s="262"/>
      <c r="U2325" s="262"/>
      <c r="V2325" s="262"/>
      <c r="W2325" s="262"/>
      <c r="X2325" s="262"/>
      <c r="Y2325" s="262"/>
      <c r="Z2325" s="262"/>
      <c r="AA2325" s="262"/>
      <c r="AB2325" s="262"/>
    </row>
    <row r="2326" spans="1:31" ht="12.75">
      <c r="A2326" s="788" t="s">
        <v>14479</v>
      </c>
      <c r="B2326" s="761" t="s">
        <v>14491</v>
      </c>
      <c r="C2326" s="614" t="s">
        <v>15288</v>
      </c>
      <c r="D2326" s="789" t="str">
        <f>VLOOKUP($C2326,'09 - MC'!$A:$F,2,0)</f>
        <v>EMBUTIDO PARA PAR 20 REDONDO, FACE RECUADA, 115X125MM</v>
      </c>
      <c r="E2326" s="604" t="str">
        <f>VLOOKUP($C2326,'09 - MC'!$A:$F,3,0)</f>
        <v>UN</v>
      </c>
      <c r="F2326" s="603">
        <v>1</v>
      </c>
      <c r="G2326" s="604">
        <f>VLOOKUP(C2326,'09 - MC'!$A:$F,6,FALSE)</f>
        <v>19.7</v>
      </c>
      <c r="H2326" s="605">
        <f>TRUNC(G2326*F2326,2)</f>
        <v>19.7</v>
      </c>
      <c r="I2326" s="262"/>
      <c r="J2326" s="262"/>
      <c r="K2326" s="262"/>
      <c r="L2326" s="262"/>
      <c r="M2326" s="262"/>
      <c r="N2326" s="262"/>
      <c r="O2326" s="262"/>
      <c r="P2326" s="262"/>
      <c r="Q2326" s="262"/>
      <c r="R2326" s="262"/>
      <c r="S2326" s="262"/>
      <c r="T2326" s="262"/>
      <c r="U2326" s="262"/>
      <c r="V2326" s="262"/>
      <c r="W2326" s="262"/>
      <c r="X2326" s="262"/>
      <c r="Y2326" s="262"/>
      <c r="Z2326" s="262"/>
      <c r="AA2326" s="262"/>
      <c r="AB2326" s="262"/>
    </row>
    <row r="2327" spans="1:31" ht="12.75">
      <c r="A2327" s="686"/>
      <c r="B2327" s="687"/>
      <c r="C2327" s="688"/>
      <c r="D2327" s="689"/>
      <c r="E2327" s="690"/>
      <c r="F2327" s="691"/>
      <c r="G2327" s="690"/>
      <c r="H2327" s="692"/>
      <c r="I2327" s="262"/>
      <c r="J2327" s="262"/>
      <c r="K2327" s="262"/>
      <c r="L2327" s="262"/>
      <c r="M2327" s="262"/>
      <c r="N2327" s="262"/>
      <c r="O2327" s="262"/>
      <c r="P2327" s="262"/>
      <c r="Q2327" s="262"/>
      <c r="R2327" s="262"/>
      <c r="S2327" s="262"/>
      <c r="T2327" s="262"/>
      <c r="U2327" s="262"/>
      <c r="V2327" s="262"/>
      <c r="W2327" s="262"/>
      <c r="X2327" s="262"/>
      <c r="Y2327" s="262"/>
      <c r="Z2327" s="262"/>
      <c r="AA2327" s="262"/>
      <c r="AB2327" s="262"/>
    </row>
    <row r="2328" spans="1:31" ht="12.75">
      <c r="A2328" s="358" t="s">
        <v>14471</v>
      </c>
      <c r="B2328" s="359" t="s">
        <v>14472</v>
      </c>
      <c r="C2328" s="360" t="s">
        <v>15289</v>
      </c>
      <c r="D2328" s="361" t="s">
        <v>15290</v>
      </c>
      <c r="E2328" s="359" t="s">
        <v>50</v>
      </c>
      <c r="F2328" s="362"/>
      <c r="G2328" s="362"/>
      <c r="H2328" s="363">
        <f>TRUNC(SUM(H2330:H2332),2)</f>
        <v>78.599999999999994</v>
      </c>
      <c r="I2328" s="276">
        <f>COUNTIF($C$8:$C2328,C:C)</f>
        <v>1</v>
      </c>
      <c r="J2328" s="262"/>
      <c r="K2328" s="262"/>
      <c r="L2328" s="262"/>
      <c r="M2328" s="262"/>
      <c r="N2328" s="262"/>
      <c r="O2328" s="262"/>
      <c r="P2328" s="262"/>
      <c r="Q2328" s="262"/>
      <c r="R2328" s="262"/>
      <c r="S2328" s="262"/>
      <c r="T2328" s="262"/>
      <c r="U2328" s="262"/>
      <c r="V2328" s="262"/>
      <c r="W2328" s="262"/>
      <c r="X2328" s="262"/>
      <c r="Y2328" s="262"/>
      <c r="Z2328" s="262"/>
      <c r="AA2328" s="262"/>
      <c r="AB2328" s="262"/>
    </row>
    <row r="2329" spans="1:31" ht="12.75">
      <c r="A2329" s="646" t="s">
        <v>14475</v>
      </c>
      <c r="B2329" s="403" t="s">
        <v>14513</v>
      </c>
      <c r="C2329" s="615" t="s">
        <v>15179</v>
      </c>
      <c r="D2329" s="757" t="s">
        <v>14530</v>
      </c>
      <c r="E2329" s="405"/>
      <c r="F2329" s="369"/>
      <c r="G2329" s="370"/>
      <c r="H2329" s="371"/>
      <c r="I2329" s="262"/>
      <c r="J2329" s="262"/>
      <c r="K2329" s="262"/>
      <c r="L2329" s="262"/>
      <c r="M2329" s="262"/>
      <c r="N2329" s="262"/>
      <c r="O2329" s="262"/>
      <c r="P2329" s="262"/>
      <c r="Q2329" s="262"/>
      <c r="R2329" s="262"/>
      <c r="S2329" s="262"/>
      <c r="T2329" s="262"/>
      <c r="U2329" s="262"/>
      <c r="V2329" s="262"/>
      <c r="W2329" s="262"/>
      <c r="X2329" s="262"/>
      <c r="Y2329" s="262"/>
      <c r="Z2329" s="262"/>
      <c r="AA2329" s="262"/>
      <c r="AB2329" s="262"/>
    </row>
    <row r="2330" spans="1:31" ht="25.5">
      <c r="A2330" s="586" t="s">
        <v>14478</v>
      </c>
      <c r="B2330" s="421" t="s">
        <v>14476</v>
      </c>
      <c r="C2330" s="374">
        <v>88247</v>
      </c>
      <c r="D2330" s="288" t="str">
        <f>IFERROR(VLOOKUP($C2330,'24.08_ND'!$A:$D,2,0),)</f>
        <v>AUXILIAR DE ELETRICISTA COM ENCARGOS COMPLEMENTARES</v>
      </c>
      <c r="E2330" s="289" t="str">
        <f>IFERROR(VLOOKUP($C2330,'24.08_ND'!$A:$D,3,0),)</f>
        <v>H</v>
      </c>
      <c r="F2330" s="375">
        <v>0.3</v>
      </c>
      <c r="G2330" s="291">
        <f>IFERROR(VLOOKUP($C2330,'24.08_ND'!$A:$D,4,0),)</f>
        <v>20</v>
      </c>
      <c r="H2330" s="440">
        <f>TRUNC(($F2330*$G2330),2)</f>
        <v>6</v>
      </c>
      <c r="I2330" s="262"/>
      <c r="J2330" s="262"/>
      <c r="K2330" s="262"/>
      <c r="L2330" s="262"/>
      <c r="M2330" s="262"/>
      <c r="N2330" s="262"/>
      <c r="O2330" s="262"/>
      <c r="P2330" s="262"/>
      <c r="Q2330" s="262"/>
      <c r="R2330" s="262"/>
      <c r="S2330" s="262"/>
      <c r="T2330" s="262"/>
      <c r="U2330" s="262"/>
      <c r="V2330" s="262"/>
      <c r="W2330" s="262"/>
      <c r="X2330" s="262"/>
      <c r="Y2330" s="262"/>
      <c r="Z2330" s="262"/>
      <c r="AA2330" s="262"/>
      <c r="AB2330" s="262"/>
      <c r="AD2330" s="1791" t="e">
        <f>VLOOKUP(C2330,'Medição '!$B$16:$F$1833,6,0)</f>
        <v>#N/A</v>
      </c>
      <c r="AE2330" s="1791"/>
    </row>
    <row r="2331" spans="1:31" ht="25.5">
      <c r="A2331" s="586" t="s">
        <v>14478</v>
      </c>
      <c r="B2331" s="421" t="s">
        <v>14476</v>
      </c>
      <c r="C2331" s="374">
        <v>88264</v>
      </c>
      <c r="D2331" s="288" t="str">
        <f>IFERROR(VLOOKUP($C2331,'24.08_ND'!$A:$D,2,0),)</f>
        <v>ELETRICISTA COM ENCARGOS COMPLEMENTARES</v>
      </c>
      <c r="E2331" s="289" t="str">
        <f>IFERROR(VLOOKUP($C2331,'24.08_ND'!$A:$D,3,0),)</f>
        <v>H</v>
      </c>
      <c r="F2331" s="375">
        <v>0.3</v>
      </c>
      <c r="G2331" s="291">
        <f>IFERROR(VLOOKUP($C2331,'24.08_ND'!$A:$D,4,0),)</f>
        <v>24.3</v>
      </c>
      <c r="H2331" s="440">
        <f>TRUNC(($F2331*$G2331),2)</f>
        <v>7.29</v>
      </c>
      <c r="I2331" s="262"/>
      <c r="J2331" s="262"/>
      <c r="K2331" s="262"/>
      <c r="L2331" s="262"/>
      <c r="M2331" s="262"/>
      <c r="N2331" s="262"/>
      <c r="O2331" s="262"/>
      <c r="P2331" s="262"/>
      <c r="Q2331" s="262"/>
      <c r="R2331" s="262"/>
      <c r="S2331" s="262"/>
      <c r="T2331" s="262"/>
      <c r="U2331" s="262"/>
      <c r="V2331" s="262"/>
      <c r="W2331" s="262"/>
      <c r="X2331" s="262"/>
      <c r="Y2331" s="262"/>
      <c r="Z2331" s="262"/>
      <c r="AA2331" s="262"/>
      <c r="AB2331" s="262"/>
      <c r="AD2331" s="1791" t="e">
        <f>VLOOKUP(C2331,'Medição '!$B$16:$F$1833,6,0)</f>
        <v>#N/A</v>
      </c>
      <c r="AE2331" s="1791"/>
    </row>
    <row r="2332" spans="1:31" ht="12.75">
      <c r="A2332" s="760" t="s">
        <v>14479</v>
      </c>
      <c r="B2332" s="761" t="s">
        <v>14491</v>
      </c>
      <c r="C2332" s="600" t="s">
        <v>15291</v>
      </c>
      <c r="D2332" s="601" t="str">
        <f>VLOOKUP($C2332,'09 - MC'!$A:$F,2,0)</f>
        <v>FITA LED ALL LIGHT 16W/M 24V IP20</v>
      </c>
      <c r="E2332" s="602" t="str">
        <f>VLOOKUP($C2332,'09 - MC'!$A:$F,3,0)</f>
        <v>M</v>
      </c>
      <c r="F2332" s="603">
        <v>1</v>
      </c>
      <c r="G2332" s="604">
        <f>VLOOKUP($C2332,'09 - MC'!$A:$F,6,0)</f>
        <v>65.31</v>
      </c>
      <c r="H2332" s="605">
        <f>TRUNC(G2332*F2332,2)</f>
        <v>65.31</v>
      </c>
      <c r="I2332" s="262"/>
      <c r="J2332" s="262"/>
      <c r="K2332" s="262"/>
      <c r="L2332" s="262"/>
      <c r="M2332" s="262"/>
      <c r="N2332" s="262"/>
      <c r="O2332" s="262"/>
      <c r="P2332" s="262"/>
      <c r="Q2332" s="262"/>
      <c r="R2332" s="262"/>
      <c r="S2332" s="262"/>
      <c r="T2332" s="262"/>
      <c r="U2332" s="262"/>
      <c r="V2332" s="262"/>
      <c r="W2332" s="262"/>
      <c r="X2332" s="262"/>
      <c r="Y2332" s="262"/>
      <c r="Z2332" s="262"/>
      <c r="AA2332" s="262"/>
      <c r="AB2332" s="262"/>
    </row>
    <row r="2333" spans="1:31" ht="12.75">
      <c r="A2333" s="793"/>
      <c r="B2333" s="794"/>
      <c r="C2333" s="795"/>
      <c r="D2333" s="796"/>
      <c r="E2333" s="370"/>
      <c r="F2333" s="782"/>
      <c r="G2333" s="370"/>
      <c r="H2333" s="371"/>
      <c r="I2333" s="262"/>
      <c r="J2333" s="262"/>
      <c r="K2333" s="262"/>
      <c r="L2333" s="262"/>
      <c r="M2333" s="262"/>
      <c r="N2333" s="262"/>
      <c r="O2333" s="262"/>
      <c r="P2333" s="262"/>
      <c r="Q2333" s="262"/>
      <c r="R2333" s="262"/>
      <c r="S2333" s="262"/>
      <c r="T2333" s="262"/>
      <c r="U2333" s="262"/>
      <c r="V2333" s="262"/>
      <c r="W2333" s="262"/>
      <c r="X2333" s="262"/>
      <c r="Y2333" s="262"/>
      <c r="Z2333" s="262"/>
      <c r="AA2333" s="262"/>
      <c r="AB2333" s="262"/>
    </row>
    <row r="2334" spans="1:31" ht="12.75">
      <c r="A2334" s="358" t="s">
        <v>14471</v>
      </c>
      <c r="B2334" s="359" t="s">
        <v>14472</v>
      </c>
      <c r="C2334" s="360" t="s">
        <v>15292</v>
      </c>
      <c r="D2334" s="361" t="s">
        <v>15293</v>
      </c>
      <c r="E2334" s="359" t="s">
        <v>50</v>
      </c>
      <c r="F2334" s="362"/>
      <c r="G2334" s="362"/>
      <c r="H2334" s="363">
        <f>TRUNC(SUM(H2336:H2338),2)</f>
        <v>59.76</v>
      </c>
      <c r="I2334" s="276">
        <f>COUNTIF($C$8:$C2334,C:C)</f>
        <v>1</v>
      </c>
      <c r="J2334" s="262"/>
      <c r="K2334" s="262"/>
      <c r="L2334" s="262"/>
      <c r="M2334" s="262"/>
      <c r="N2334" s="262"/>
      <c r="O2334" s="262"/>
      <c r="P2334" s="262"/>
      <c r="Q2334" s="262"/>
      <c r="R2334" s="262"/>
      <c r="S2334" s="262"/>
      <c r="T2334" s="262"/>
      <c r="U2334" s="262"/>
      <c r="V2334" s="262"/>
      <c r="W2334" s="262"/>
      <c r="X2334" s="262"/>
      <c r="Y2334" s="262"/>
      <c r="Z2334" s="262"/>
      <c r="AA2334" s="262"/>
      <c r="AB2334" s="262"/>
    </row>
    <row r="2335" spans="1:31" ht="12.75">
      <c r="A2335" s="646" t="s">
        <v>14475</v>
      </c>
      <c r="B2335" s="403" t="s">
        <v>14513</v>
      </c>
      <c r="C2335" s="615" t="s">
        <v>15179</v>
      </c>
      <c r="D2335" s="757" t="s">
        <v>14530</v>
      </c>
      <c r="E2335" s="405"/>
      <c r="F2335" s="369"/>
      <c r="G2335" s="370"/>
      <c r="H2335" s="371"/>
      <c r="I2335" s="262"/>
      <c r="J2335" s="262"/>
      <c r="K2335" s="262"/>
      <c r="L2335" s="262"/>
      <c r="M2335" s="262"/>
      <c r="N2335" s="262"/>
      <c r="O2335" s="262"/>
      <c r="P2335" s="262"/>
      <c r="Q2335" s="262"/>
      <c r="R2335" s="262"/>
      <c r="S2335" s="262"/>
      <c r="T2335" s="262"/>
      <c r="U2335" s="262"/>
      <c r="V2335" s="262"/>
      <c r="W2335" s="262"/>
      <c r="X2335" s="262"/>
      <c r="Y2335" s="262"/>
      <c r="Z2335" s="262"/>
      <c r="AA2335" s="262"/>
      <c r="AB2335" s="262"/>
    </row>
    <row r="2336" spans="1:31" ht="25.5">
      <c r="A2336" s="586" t="s">
        <v>14478</v>
      </c>
      <c r="B2336" s="421" t="s">
        <v>14476</v>
      </c>
      <c r="C2336" s="374">
        <v>88247</v>
      </c>
      <c r="D2336" s="288" t="str">
        <f>IFERROR(VLOOKUP($C2336,'24.08_ND'!$A:$D,2,0),)</f>
        <v>AUXILIAR DE ELETRICISTA COM ENCARGOS COMPLEMENTARES</v>
      </c>
      <c r="E2336" s="289" t="str">
        <f>IFERROR(VLOOKUP($C2336,'24.08_ND'!$A:$D,3,0),)</f>
        <v>H</v>
      </c>
      <c r="F2336" s="375">
        <v>0.3</v>
      </c>
      <c r="G2336" s="291">
        <f>IFERROR(VLOOKUP($C2336,'24.08_ND'!$A:$D,4,0),)</f>
        <v>20</v>
      </c>
      <c r="H2336" s="440">
        <f>TRUNC(($F2336*$G2336),2)</f>
        <v>6</v>
      </c>
      <c r="I2336" s="262"/>
      <c r="J2336" s="262"/>
      <c r="K2336" s="262"/>
      <c r="L2336" s="262"/>
      <c r="M2336" s="262"/>
      <c r="N2336" s="262"/>
      <c r="O2336" s="262"/>
      <c r="P2336" s="262"/>
      <c r="Q2336" s="262"/>
      <c r="R2336" s="262"/>
      <c r="S2336" s="262"/>
      <c r="T2336" s="262"/>
      <c r="U2336" s="262"/>
      <c r="V2336" s="262"/>
      <c r="W2336" s="262"/>
      <c r="X2336" s="262"/>
      <c r="Y2336" s="262"/>
      <c r="Z2336" s="262"/>
      <c r="AA2336" s="262"/>
      <c r="AB2336" s="262"/>
      <c r="AD2336" s="1791" t="e">
        <f>VLOOKUP(C2336,'Medição '!$B$16:$F$1833,6,0)</f>
        <v>#N/A</v>
      </c>
      <c r="AE2336" s="1791"/>
    </row>
    <row r="2337" spans="1:31" ht="25.5">
      <c r="A2337" s="586" t="s">
        <v>14478</v>
      </c>
      <c r="B2337" s="421" t="s">
        <v>14476</v>
      </c>
      <c r="C2337" s="374">
        <v>88264</v>
      </c>
      <c r="D2337" s="288" t="str">
        <f>IFERROR(VLOOKUP($C2337,'24.08_ND'!$A:$D,2,0),)</f>
        <v>ELETRICISTA COM ENCARGOS COMPLEMENTARES</v>
      </c>
      <c r="E2337" s="289" t="str">
        <f>IFERROR(VLOOKUP($C2337,'24.08_ND'!$A:$D,3,0),)</f>
        <v>H</v>
      </c>
      <c r="F2337" s="375">
        <v>0.3</v>
      </c>
      <c r="G2337" s="291">
        <f>IFERROR(VLOOKUP($C2337,'24.08_ND'!$A:$D,4,0),)</f>
        <v>24.3</v>
      </c>
      <c r="H2337" s="440">
        <f>TRUNC(($F2337*$G2337),2)</f>
        <v>7.29</v>
      </c>
      <c r="I2337" s="262"/>
      <c r="J2337" s="262"/>
      <c r="K2337" s="262"/>
      <c r="L2337" s="262"/>
      <c r="M2337" s="262"/>
      <c r="N2337" s="262"/>
      <c r="O2337" s="262"/>
      <c r="P2337" s="262"/>
      <c r="Q2337" s="262"/>
      <c r="R2337" s="262"/>
      <c r="S2337" s="262"/>
      <c r="T2337" s="262"/>
      <c r="U2337" s="262"/>
      <c r="V2337" s="262"/>
      <c r="W2337" s="262"/>
      <c r="X2337" s="262"/>
      <c r="Y2337" s="262"/>
      <c r="Z2337" s="262"/>
      <c r="AA2337" s="262"/>
      <c r="AB2337" s="262"/>
      <c r="AD2337" s="1791" t="e">
        <f>VLOOKUP(C2337,'Medição '!$B$16:$F$1833,6,0)</f>
        <v>#N/A</v>
      </c>
      <c r="AE2337" s="1791"/>
    </row>
    <row r="2338" spans="1:31" ht="12.75">
      <c r="A2338" s="760" t="s">
        <v>14479</v>
      </c>
      <c r="B2338" s="761" t="s">
        <v>14491</v>
      </c>
      <c r="C2338" s="600" t="s">
        <v>15294</v>
      </c>
      <c r="D2338" s="601" t="str">
        <f>VLOOKUP($C2338,'09 - MC'!$A:$F,2,0)</f>
        <v>FITA LED 12W/M 12V</v>
      </c>
      <c r="E2338" s="602" t="str">
        <f>VLOOKUP($C2338,'09 - MC'!$A:$F,3,0)</f>
        <v>M</v>
      </c>
      <c r="F2338" s="603">
        <v>1</v>
      </c>
      <c r="G2338" s="604">
        <f>VLOOKUP($C2338,'09 - MC'!$A:$F,6,0)</f>
        <v>46.47</v>
      </c>
      <c r="H2338" s="605">
        <f>TRUNC(G2338*F2338,2)</f>
        <v>46.47</v>
      </c>
      <c r="I2338" s="262"/>
      <c r="J2338" s="262"/>
      <c r="K2338" s="262"/>
      <c r="L2338" s="262"/>
      <c r="M2338" s="262"/>
      <c r="N2338" s="262"/>
      <c r="O2338" s="262"/>
      <c r="P2338" s="262"/>
      <c r="Q2338" s="262"/>
      <c r="R2338" s="262"/>
      <c r="S2338" s="262"/>
      <c r="T2338" s="262"/>
      <c r="U2338" s="262"/>
      <c r="V2338" s="262"/>
      <c r="W2338" s="262"/>
      <c r="X2338" s="262"/>
      <c r="Y2338" s="262"/>
      <c r="Z2338" s="262"/>
      <c r="AA2338" s="262"/>
      <c r="AB2338" s="262"/>
    </row>
    <row r="2339" spans="1:31" ht="12.75">
      <c r="A2339" s="686"/>
      <c r="B2339" s="687"/>
      <c r="C2339" s="688"/>
      <c r="D2339" s="689"/>
      <c r="E2339" s="690"/>
      <c r="F2339" s="691"/>
      <c r="G2339" s="690"/>
      <c r="H2339" s="692"/>
      <c r="I2339" s="262"/>
      <c r="J2339" s="262"/>
      <c r="K2339" s="262"/>
      <c r="L2339" s="262"/>
      <c r="M2339" s="262"/>
      <c r="N2339" s="262"/>
      <c r="O2339" s="262"/>
      <c r="P2339" s="262"/>
      <c r="Q2339" s="262"/>
      <c r="R2339" s="262"/>
      <c r="S2339" s="262"/>
      <c r="T2339" s="262"/>
      <c r="U2339" s="262"/>
      <c r="V2339" s="262"/>
      <c r="W2339" s="262"/>
      <c r="X2339" s="262"/>
      <c r="Y2339" s="262"/>
      <c r="Z2339" s="262"/>
      <c r="AA2339" s="262"/>
      <c r="AB2339" s="262"/>
    </row>
    <row r="2340" spans="1:31" ht="12.75">
      <c r="A2340" s="358" t="s">
        <v>14471</v>
      </c>
      <c r="B2340" s="359" t="s">
        <v>14472</v>
      </c>
      <c r="C2340" s="360" t="s">
        <v>15295</v>
      </c>
      <c r="D2340" s="361" t="s">
        <v>15296</v>
      </c>
      <c r="E2340" s="359" t="s">
        <v>6</v>
      </c>
      <c r="F2340" s="362"/>
      <c r="G2340" s="362"/>
      <c r="H2340" s="363">
        <f>TRUNC(SUM(H2342:H2344),2)</f>
        <v>178.23</v>
      </c>
      <c r="I2340" s="276">
        <f>COUNTIF($C$8:$C2340,C:C)</f>
        <v>1</v>
      </c>
      <c r="J2340" s="262"/>
      <c r="K2340" s="262"/>
      <c r="L2340" s="262"/>
      <c r="M2340" s="262"/>
      <c r="N2340" s="262"/>
      <c r="O2340" s="262"/>
      <c r="P2340" s="262"/>
      <c r="Q2340" s="262"/>
      <c r="R2340" s="262"/>
      <c r="S2340" s="262"/>
      <c r="T2340" s="262"/>
      <c r="U2340" s="262"/>
      <c r="V2340" s="262"/>
      <c r="W2340" s="262"/>
      <c r="X2340" s="262"/>
      <c r="Y2340" s="262"/>
      <c r="Z2340" s="262"/>
      <c r="AA2340" s="262"/>
      <c r="AB2340" s="262"/>
    </row>
    <row r="2341" spans="1:31" ht="12.75">
      <c r="A2341" s="646" t="s">
        <v>14475</v>
      </c>
      <c r="B2341" s="403" t="s">
        <v>14600</v>
      </c>
      <c r="C2341" s="404">
        <v>13156</v>
      </c>
      <c r="D2341" s="769" t="s">
        <v>14567</v>
      </c>
      <c r="E2341" s="641"/>
      <c r="F2341" s="369"/>
      <c r="G2341" s="370"/>
      <c r="H2341" s="371"/>
      <c r="I2341" s="262"/>
      <c r="J2341" s="262"/>
      <c r="K2341" s="262"/>
      <c r="L2341" s="262"/>
      <c r="M2341" s="262"/>
      <c r="N2341" s="262"/>
      <c r="O2341" s="262"/>
      <c r="P2341" s="262"/>
      <c r="Q2341" s="262"/>
      <c r="R2341" s="262"/>
      <c r="S2341" s="262"/>
      <c r="T2341" s="262"/>
      <c r="U2341" s="262"/>
      <c r="V2341" s="262"/>
      <c r="W2341" s="262"/>
      <c r="X2341" s="262"/>
      <c r="Y2341" s="262"/>
      <c r="Z2341" s="262"/>
      <c r="AA2341" s="262"/>
      <c r="AB2341" s="262"/>
    </row>
    <row r="2342" spans="1:31" ht="25.5">
      <c r="A2342" s="586" t="s">
        <v>14478</v>
      </c>
      <c r="B2342" s="373" t="s">
        <v>14476</v>
      </c>
      <c r="C2342" s="374">
        <v>88247</v>
      </c>
      <c r="D2342" s="288" t="str">
        <f>IFERROR(VLOOKUP($C2342,'24.08_ND'!$A:$D,2,0),)</f>
        <v>AUXILIAR DE ELETRICISTA COM ENCARGOS COMPLEMENTARES</v>
      </c>
      <c r="E2342" s="289" t="str">
        <f>IFERROR(VLOOKUP($C2342,'24.08_ND'!$A:$D,3,0),)</f>
        <v>H</v>
      </c>
      <c r="F2342" s="441">
        <v>1</v>
      </c>
      <c r="G2342" s="291">
        <f>IFERROR(VLOOKUP($C2342,'24.08_ND'!$A:$D,4,0),)</f>
        <v>20</v>
      </c>
      <c r="H2342" s="423">
        <f>TRUNC(($F2342*$G2342),2)</f>
        <v>20</v>
      </c>
      <c r="I2342" s="262"/>
      <c r="J2342" s="262"/>
      <c r="K2342" s="262"/>
      <c r="L2342" s="262"/>
      <c r="M2342" s="262"/>
      <c r="N2342" s="262"/>
      <c r="O2342" s="262"/>
      <c r="P2342" s="262"/>
      <c r="Q2342" s="262"/>
      <c r="R2342" s="262"/>
      <c r="S2342" s="262"/>
      <c r="T2342" s="262"/>
      <c r="U2342" s="262"/>
      <c r="V2342" s="262"/>
      <c r="W2342" s="262"/>
      <c r="X2342" s="262"/>
      <c r="Y2342" s="262"/>
      <c r="Z2342" s="262"/>
      <c r="AA2342" s="262"/>
      <c r="AB2342" s="262"/>
      <c r="AD2342" s="1791" t="e">
        <f>VLOOKUP(C2342,'Medição '!$B$16:$F$1833,6,0)</f>
        <v>#N/A</v>
      </c>
      <c r="AE2342" s="1791"/>
    </row>
    <row r="2343" spans="1:31" ht="25.5">
      <c r="A2343" s="586" t="s">
        <v>14478</v>
      </c>
      <c r="B2343" s="373" t="s">
        <v>14476</v>
      </c>
      <c r="C2343" s="374">
        <v>88264</v>
      </c>
      <c r="D2343" s="288" t="str">
        <f>IFERROR(VLOOKUP($C2343,'24.08_ND'!$A:$D,2,0),)</f>
        <v>ELETRICISTA COM ENCARGOS COMPLEMENTARES</v>
      </c>
      <c r="E2343" s="289" t="str">
        <f>IFERROR(VLOOKUP($C2343,'24.08_ND'!$A:$D,3,0),)</f>
        <v>H</v>
      </c>
      <c r="F2343" s="441">
        <v>1</v>
      </c>
      <c r="G2343" s="291">
        <f>IFERROR(VLOOKUP($C2343,'24.08_ND'!$A:$D,4,0),)</f>
        <v>24.3</v>
      </c>
      <c r="H2343" s="423">
        <f>TRUNC(($F2343*$G2343),2)</f>
        <v>24.3</v>
      </c>
      <c r="I2343" s="262"/>
      <c r="J2343" s="262"/>
      <c r="K2343" s="262"/>
      <c r="L2343" s="262"/>
      <c r="M2343" s="262"/>
      <c r="N2343" s="262"/>
      <c r="O2343" s="262"/>
      <c r="P2343" s="262"/>
      <c r="Q2343" s="262"/>
      <c r="R2343" s="262"/>
      <c r="S2343" s="262"/>
      <c r="T2343" s="262"/>
      <c r="U2343" s="262"/>
      <c r="V2343" s="262"/>
      <c r="W2343" s="262"/>
      <c r="X2343" s="262"/>
      <c r="Y2343" s="262"/>
      <c r="Z2343" s="262"/>
      <c r="AA2343" s="262"/>
      <c r="AB2343" s="262"/>
      <c r="AD2343" s="1791" t="e">
        <f>VLOOKUP(C2343,'Medição '!$B$16:$F$1833,6,0)</f>
        <v>#N/A</v>
      </c>
      <c r="AE2343" s="1791"/>
    </row>
    <row r="2344" spans="1:31" ht="12.75">
      <c r="A2344" s="760" t="s">
        <v>14479</v>
      </c>
      <c r="B2344" s="761" t="s">
        <v>14491</v>
      </c>
      <c r="C2344" s="600" t="s">
        <v>15297</v>
      </c>
      <c r="D2344" s="601" t="str">
        <f>VLOOKUP($C2344,'09 - MC'!$A:$F,2,0)</f>
        <v xml:space="preserve">FONTE CHAVEADA 12VCC IP20 200W </v>
      </c>
      <c r="E2344" s="602" t="str">
        <f>VLOOKUP($C2344,'09 - MC'!$A:$F,3,0)</f>
        <v>UN</v>
      </c>
      <c r="F2344" s="603">
        <v>1</v>
      </c>
      <c r="G2344" s="604">
        <f>VLOOKUP($C2344,'09 - MC'!$A:$F,6,0)</f>
        <v>133.93</v>
      </c>
      <c r="H2344" s="605">
        <f>TRUNC(G2344*F2344,2)</f>
        <v>133.93</v>
      </c>
      <c r="I2344" s="262"/>
      <c r="J2344" s="262"/>
      <c r="K2344" s="262"/>
      <c r="L2344" s="262"/>
      <c r="M2344" s="262"/>
      <c r="N2344" s="262"/>
      <c r="O2344" s="262"/>
      <c r="P2344" s="262"/>
      <c r="Q2344" s="262"/>
      <c r="R2344" s="262"/>
      <c r="S2344" s="262"/>
      <c r="T2344" s="262"/>
      <c r="U2344" s="262"/>
      <c r="V2344" s="262"/>
      <c r="W2344" s="262"/>
      <c r="X2344" s="262"/>
      <c r="Y2344" s="262"/>
      <c r="Z2344" s="262"/>
      <c r="AA2344" s="262"/>
      <c r="AB2344" s="262"/>
    </row>
    <row r="2345" spans="1:31" ht="12.75">
      <c r="A2345" s="793"/>
      <c r="B2345" s="794"/>
      <c r="C2345" s="795"/>
      <c r="D2345" s="796"/>
      <c r="E2345" s="370"/>
      <c r="F2345" s="782"/>
      <c r="G2345" s="370"/>
      <c r="H2345" s="371"/>
      <c r="I2345" s="262"/>
      <c r="J2345" s="262"/>
      <c r="K2345" s="262"/>
      <c r="L2345" s="262"/>
      <c r="M2345" s="262"/>
      <c r="N2345" s="262"/>
      <c r="O2345" s="262"/>
      <c r="P2345" s="262"/>
      <c r="Q2345" s="262"/>
      <c r="R2345" s="262"/>
      <c r="S2345" s="262"/>
      <c r="T2345" s="262"/>
      <c r="U2345" s="262"/>
      <c r="V2345" s="262"/>
      <c r="W2345" s="262"/>
      <c r="X2345" s="262"/>
      <c r="Y2345" s="262"/>
      <c r="Z2345" s="262"/>
      <c r="AA2345" s="262"/>
      <c r="AB2345" s="262"/>
    </row>
    <row r="2346" spans="1:31" ht="12.75">
      <c r="A2346" s="358" t="s">
        <v>14471</v>
      </c>
      <c r="B2346" s="359" t="s">
        <v>14472</v>
      </c>
      <c r="C2346" s="360" t="s">
        <v>15298</v>
      </c>
      <c r="D2346" s="361" t="s">
        <v>15299</v>
      </c>
      <c r="E2346" s="359" t="s">
        <v>6</v>
      </c>
      <c r="F2346" s="362"/>
      <c r="G2346" s="362"/>
      <c r="H2346" s="363">
        <f>TRUNC(SUM(H2348:H2350),2)</f>
        <v>249.51</v>
      </c>
      <c r="I2346" s="276">
        <f>COUNTIF($C$8:$C2346,C:C)</f>
        <v>1</v>
      </c>
      <c r="J2346" s="262"/>
      <c r="K2346" s="262"/>
      <c r="L2346" s="262"/>
      <c r="M2346" s="262"/>
      <c r="N2346" s="262"/>
      <c r="O2346" s="262"/>
      <c r="P2346" s="262"/>
      <c r="Q2346" s="262"/>
      <c r="R2346" s="262"/>
      <c r="S2346" s="262"/>
      <c r="T2346" s="262"/>
      <c r="U2346" s="262"/>
      <c r="V2346" s="262"/>
      <c r="W2346" s="262"/>
      <c r="X2346" s="262"/>
      <c r="Y2346" s="262"/>
      <c r="Z2346" s="262"/>
      <c r="AA2346" s="262"/>
      <c r="AB2346" s="262"/>
    </row>
    <row r="2347" spans="1:31" ht="12.75">
      <c r="A2347" s="646" t="s">
        <v>14475</v>
      </c>
      <c r="B2347" s="403" t="s">
        <v>14600</v>
      </c>
      <c r="C2347" s="404">
        <v>13156</v>
      </c>
      <c r="D2347" s="769" t="s">
        <v>14567</v>
      </c>
      <c r="E2347" s="641"/>
      <c r="F2347" s="369"/>
      <c r="G2347" s="370"/>
      <c r="H2347" s="371"/>
      <c r="I2347" s="262"/>
      <c r="J2347" s="262"/>
      <c r="K2347" s="262"/>
      <c r="L2347" s="262"/>
      <c r="M2347" s="262"/>
      <c r="N2347" s="262"/>
      <c r="O2347" s="262"/>
      <c r="P2347" s="262"/>
      <c r="Q2347" s="262"/>
      <c r="R2347" s="262"/>
      <c r="S2347" s="262"/>
      <c r="T2347" s="262"/>
      <c r="U2347" s="262"/>
      <c r="V2347" s="262"/>
      <c r="W2347" s="262"/>
      <c r="X2347" s="262"/>
      <c r="Y2347" s="262"/>
      <c r="Z2347" s="262"/>
      <c r="AA2347" s="262"/>
      <c r="AB2347" s="262"/>
    </row>
    <row r="2348" spans="1:31" ht="25.5">
      <c r="A2348" s="586" t="s">
        <v>14478</v>
      </c>
      <c r="B2348" s="373" t="s">
        <v>14476</v>
      </c>
      <c r="C2348" s="374">
        <v>88247</v>
      </c>
      <c r="D2348" s="288" t="str">
        <f>IFERROR(VLOOKUP($C2348,'24.08_ND'!$A:$D,2,0),)</f>
        <v>AUXILIAR DE ELETRICISTA COM ENCARGOS COMPLEMENTARES</v>
      </c>
      <c r="E2348" s="289" t="str">
        <f>IFERROR(VLOOKUP($C2348,'24.08_ND'!$A:$D,3,0),)</f>
        <v>H</v>
      </c>
      <c r="F2348" s="441">
        <v>1</v>
      </c>
      <c r="G2348" s="291">
        <f>IFERROR(VLOOKUP($C2348,'24.08_ND'!$A:$D,4,0),)</f>
        <v>20</v>
      </c>
      <c r="H2348" s="423">
        <f>TRUNC(($F2348*$G2348),2)</f>
        <v>20</v>
      </c>
      <c r="I2348" s="262"/>
      <c r="J2348" s="262"/>
      <c r="K2348" s="262"/>
      <c r="L2348" s="262"/>
      <c r="M2348" s="262"/>
      <c r="N2348" s="262"/>
      <c r="O2348" s="262"/>
      <c r="P2348" s="262"/>
      <c r="Q2348" s="262"/>
      <c r="R2348" s="262"/>
      <c r="S2348" s="262"/>
      <c r="T2348" s="262"/>
      <c r="U2348" s="262"/>
      <c r="V2348" s="262"/>
      <c r="W2348" s="262"/>
      <c r="X2348" s="262"/>
      <c r="Y2348" s="262"/>
      <c r="Z2348" s="262"/>
      <c r="AA2348" s="262"/>
      <c r="AB2348" s="262"/>
      <c r="AD2348" s="1791" t="e">
        <f>VLOOKUP(C2348,'Medição '!$B$16:$F$1833,6,0)</f>
        <v>#N/A</v>
      </c>
      <c r="AE2348" s="1791"/>
    </row>
    <row r="2349" spans="1:31" ht="25.5">
      <c r="A2349" s="586" t="s">
        <v>14478</v>
      </c>
      <c r="B2349" s="373" t="s">
        <v>14476</v>
      </c>
      <c r="C2349" s="374">
        <v>88264</v>
      </c>
      <c r="D2349" s="288" t="str">
        <f>IFERROR(VLOOKUP($C2349,'24.08_ND'!$A:$D,2,0),)</f>
        <v>ELETRICISTA COM ENCARGOS COMPLEMENTARES</v>
      </c>
      <c r="E2349" s="289" t="str">
        <f>IFERROR(VLOOKUP($C2349,'24.08_ND'!$A:$D,3,0),)</f>
        <v>H</v>
      </c>
      <c r="F2349" s="441">
        <v>1</v>
      </c>
      <c r="G2349" s="291">
        <f>IFERROR(VLOOKUP($C2349,'24.08_ND'!$A:$D,4,0),)</f>
        <v>24.3</v>
      </c>
      <c r="H2349" s="423">
        <f>TRUNC(($F2349*$G2349),2)</f>
        <v>24.3</v>
      </c>
      <c r="I2349" s="262"/>
      <c r="J2349" s="262"/>
      <c r="K2349" s="262"/>
      <c r="L2349" s="262"/>
      <c r="M2349" s="262"/>
      <c r="N2349" s="262"/>
      <c r="O2349" s="262"/>
      <c r="P2349" s="262"/>
      <c r="Q2349" s="262"/>
      <c r="R2349" s="262"/>
      <c r="S2349" s="262"/>
      <c r="T2349" s="262"/>
      <c r="U2349" s="262"/>
      <c r="V2349" s="262"/>
      <c r="W2349" s="262"/>
      <c r="X2349" s="262"/>
      <c r="Y2349" s="262"/>
      <c r="Z2349" s="262"/>
      <c r="AA2349" s="262"/>
      <c r="AB2349" s="262"/>
      <c r="AD2349" s="1791" t="e">
        <f>VLOOKUP(C2349,'Medição '!$B$16:$F$1833,6,0)</f>
        <v>#N/A</v>
      </c>
      <c r="AE2349" s="1791"/>
    </row>
    <row r="2350" spans="1:31" ht="12.75">
      <c r="A2350" s="760" t="s">
        <v>14479</v>
      </c>
      <c r="B2350" s="761" t="s">
        <v>14491</v>
      </c>
      <c r="C2350" s="600" t="s">
        <v>15300</v>
      </c>
      <c r="D2350" s="601" t="str">
        <f>VLOOKUP($C2350,'09 - MC'!$A:$F,2,0)</f>
        <v xml:space="preserve">FONTE CHAVEADA 24VCC IP20 100W </v>
      </c>
      <c r="E2350" s="602" t="str">
        <f>VLOOKUP($C2350,'09 - MC'!$A:$F,3,0)</f>
        <v>UN</v>
      </c>
      <c r="F2350" s="603">
        <v>1</v>
      </c>
      <c r="G2350" s="604">
        <f>VLOOKUP($C2350,'09 - MC'!$A:$F,6,0)</f>
        <v>205.21</v>
      </c>
      <c r="H2350" s="605">
        <f>TRUNC(G2350*F2350,2)</f>
        <v>205.21</v>
      </c>
      <c r="I2350" s="262"/>
      <c r="J2350" s="262"/>
      <c r="K2350" s="262"/>
      <c r="L2350" s="262"/>
      <c r="M2350" s="262"/>
      <c r="N2350" s="262"/>
      <c r="O2350" s="262"/>
      <c r="P2350" s="262"/>
      <c r="Q2350" s="262"/>
      <c r="R2350" s="262"/>
      <c r="S2350" s="262"/>
      <c r="T2350" s="262"/>
      <c r="U2350" s="262"/>
      <c r="V2350" s="262"/>
      <c r="W2350" s="262"/>
      <c r="X2350" s="262"/>
      <c r="Y2350" s="262"/>
      <c r="Z2350" s="262"/>
      <c r="AA2350" s="262"/>
      <c r="AB2350" s="262"/>
    </row>
    <row r="2351" spans="1:31" ht="12.75">
      <c r="A2351" s="686"/>
      <c r="B2351" s="687"/>
      <c r="C2351" s="688"/>
      <c r="D2351" s="689"/>
      <c r="E2351" s="690"/>
      <c r="F2351" s="691"/>
      <c r="G2351" s="690"/>
      <c r="H2351" s="692"/>
      <c r="I2351" s="262"/>
      <c r="J2351" s="262"/>
      <c r="K2351" s="262"/>
      <c r="L2351" s="262"/>
      <c r="M2351" s="262"/>
      <c r="N2351" s="262"/>
      <c r="O2351" s="262"/>
      <c r="P2351" s="262"/>
      <c r="Q2351" s="262"/>
      <c r="R2351" s="262"/>
      <c r="S2351" s="262"/>
      <c r="T2351" s="262"/>
      <c r="U2351" s="262"/>
      <c r="V2351" s="262"/>
      <c r="W2351" s="262"/>
      <c r="X2351" s="262"/>
      <c r="Y2351" s="262"/>
      <c r="Z2351" s="262"/>
      <c r="AA2351" s="262"/>
      <c r="AB2351" s="262"/>
    </row>
    <row r="2352" spans="1:31" ht="12.75">
      <c r="A2352" s="358" t="s">
        <v>14471</v>
      </c>
      <c r="B2352" s="359" t="s">
        <v>14472</v>
      </c>
      <c r="C2352" s="359" t="s">
        <v>15301</v>
      </c>
      <c r="D2352" s="361" t="s">
        <v>15302</v>
      </c>
      <c r="E2352" s="359" t="s">
        <v>6</v>
      </c>
      <c r="F2352" s="362"/>
      <c r="G2352" s="362"/>
      <c r="H2352" s="363">
        <f>TRUNC(SUM(H2354:H2356),2)</f>
        <v>1.73</v>
      </c>
      <c r="I2352" s="276">
        <f>COUNTIF($C$8:$C2352,C:C)</f>
        <v>1</v>
      </c>
      <c r="J2352" s="262"/>
      <c r="K2352" s="262"/>
      <c r="L2352" s="262"/>
      <c r="M2352" s="262"/>
      <c r="N2352" s="262"/>
      <c r="O2352" s="262"/>
      <c r="P2352" s="262"/>
      <c r="Q2352" s="262"/>
      <c r="R2352" s="262"/>
      <c r="S2352" s="262"/>
      <c r="T2352" s="262"/>
      <c r="U2352" s="262"/>
      <c r="V2352" s="262"/>
      <c r="W2352" s="262"/>
      <c r="X2352" s="262"/>
      <c r="Y2352" s="262"/>
      <c r="Z2352" s="262"/>
      <c r="AA2352" s="262"/>
      <c r="AB2352" s="262"/>
    </row>
    <row r="2353" spans="1:31" ht="12.75">
      <c r="A2353" s="646" t="s">
        <v>14475</v>
      </c>
      <c r="B2353" s="403" t="s">
        <v>14562</v>
      </c>
      <c r="C2353" s="404" t="s">
        <v>15303</v>
      </c>
      <c r="D2353" s="769" t="s">
        <v>14567</v>
      </c>
      <c r="E2353" s="405"/>
      <c r="F2353" s="369"/>
      <c r="G2353" s="370"/>
      <c r="H2353" s="371"/>
      <c r="I2353" s="262"/>
      <c r="J2353" s="262"/>
      <c r="K2353" s="262"/>
      <c r="L2353" s="262"/>
      <c r="M2353" s="262"/>
      <c r="N2353" s="262"/>
      <c r="O2353" s="262"/>
      <c r="P2353" s="262"/>
      <c r="Q2353" s="262"/>
      <c r="R2353" s="262"/>
      <c r="S2353" s="262"/>
      <c r="T2353" s="262"/>
      <c r="U2353" s="262"/>
      <c r="V2353" s="262"/>
      <c r="W2353" s="262"/>
      <c r="X2353" s="262"/>
      <c r="Y2353" s="262"/>
      <c r="Z2353" s="262"/>
      <c r="AA2353" s="262"/>
      <c r="AB2353" s="262"/>
    </row>
    <row r="2354" spans="1:31" ht="25.5">
      <c r="A2354" s="586" t="s">
        <v>14478</v>
      </c>
      <c r="B2354" s="373" t="s">
        <v>14476</v>
      </c>
      <c r="C2354" s="374">
        <v>88264</v>
      </c>
      <c r="D2354" s="288" t="str">
        <f>IFERROR(VLOOKUP($C2354,'24.08_ND'!$A:$D,2,0),)</f>
        <v>ELETRICISTA COM ENCARGOS COMPLEMENTARES</v>
      </c>
      <c r="E2354" s="289" t="str">
        <f>IFERROR(VLOOKUP($C2354,'24.08_ND'!$A:$D,3,0),)</f>
        <v>H</v>
      </c>
      <c r="F2354" s="441">
        <v>3.3333300000000003E-2</v>
      </c>
      <c r="G2354" s="291">
        <f>IFERROR(VLOOKUP($C2354,'24.08_ND'!$A:$D,4,0),)</f>
        <v>24.3</v>
      </c>
      <c r="H2354" s="440">
        <f>TRUNC(($F2354*$G2354),2)</f>
        <v>0.8</v>
      </c>
      <c r="I2354" s="262"/>
      <c r="J2354" s="262"/>
      <c r="K2354" s="262"/>
      <c r="L2354" s="262"/>
      <c r="M2354" s="262"/>
      <c r="N2354" s="262"/>
      <c r="O2354" s="262"/>
      <c r="P2354" s="262"/>
      <c r="Q2354" s="262"/>
      <c r="R2354" s="262"/>
      <c r="S2354" s="262"/>
      <c r="T2354" s="262"/>
      <c r="U2354" s="262"/>
      <c r="V2354" s="262"/>
      <c r="W2354" s="262"/>
      <c r="X2354" s="262"/>
      <c r="Y2354" s="262"/>
      <c r="Z2354" s="262"/>
      <c r="AA2354" s="262"/>
      <c r="AB2354" s="262"/>
      <c r="AD2354" s="1791" t="e">
        <f>VLOOKUP(C2354,'Medição '!$B$16:$F$1833,6,0)</f>
        <v>#N/A</v>
      </c>
      <c r="AE2354" s="1791"/>
    </row>
    <row r="2355" spans="1:31" ht="25.5">
      <c r="A2355" s="586" t="s">
        <v>14478</v>
      </c>
      <c r="B2355" s="373" t="s">
        <v>14476</v>
      </c>
      <c r="C2355" s="374">
        <v>88247</v>
      </c>
      <c r="D2355" s="288" t="str">
        <f>IFERROR(VLOOKUP($C2355,'24.08_ND'!$A:$D,2,0),)</f>
        <v>AUXILIAR DE ELETRICISTA COM ENCARGOS COMPLEMENTARES</v>
      </c>
      <c r="E2355" s="289" t="str">
        <f>IFERROR(VLOOKUP($C2355,'24.08_ND'!$A:$D,3,0),)</f>
        <v>H</v>
      </c>
      <c r="F2355" s="441">
        <v>3.3333300000000003E-2</v>
      </c>
      <c r="G2355" s="291">
        <f>IFERROR(VLOOKUP($C2355,'24.08_ND'!$A:$D,4,0),)</f>
        <v>20</v>
      </c>
      <c r="H2355" s="440">
        <f>TRUNC(($F2355*$G2355),2)</f>
        <v>0.66</v>
      </c>
      <c r="I2355" s="262"/>
      <c r="J2355" s="262"/>
      <c r="K2355" s="262"/>
      <c r="L2355" s="262"/>
      <c r="M2355" s="262"/>
      <c r="N2355" s="262"/>
      <c r="O2355" s="262"/>
      <c r="P2355" s="262"/>
      <c r="Q2355" s="262"/>
      <c r="R2355" s="262"/>
      <c r="S2355" s="262"/>
      <c r="T2355" s="262"/>
      <c r="U2355" s="262"/>
      <c r="V2355" s="262"/>
      <c r="W2355" s="262"/>
      <c r="X2355" s="262"/>
      <c r="Y2355" s="262"/>
      <c r="Z2355" s="262"/>
      <c r="AA2355" s="262"/>
      <c r="AB2355" s="262"/>
      <c r="AD2355" s="1791" t="e">
        <f>VLOOKUP(C2355,'Medição '!$B$16:$F$1833,6,0)</f>
        <v>#N/A</v>
      </c>
      <c r="AE2355" s="1791"/>
    </row>
    <row r="2356" spans="1:31" ht="12.75">
      <c r="A2356" s="754" t="s">
        <v>14479</v>
      </c>
      <c r="B2356" s="312" t="str">
        <f>VLOOKUP($C2356,'• CIs EXT'!$A:$E,2,0)</f>
        <v>SETOP</v>
      </c>
      <c r="C2356" s="377" t="s">
        <v>15304</v>
      </c>
      <c r="D2356" s="378" t="str">
        <f>VLOOKUP($C2356,'• CIs EXT'!$A:$E,3,0)</f>
        <v>TERMINAL ELÉTRICO (TIPO: ILHÓS|MATERIAL: COBRE ESTANHADO|BITOLA: 6MM2)</v>
      </c>
      <c r="E2356" s="379" t="str">
        <f>VLOOKUP($C2356,'• CIs EXT'!$A:$E,4,0)</f>
        <v>UN</v>
      </c>
      <c r="F2356" s="380">
        <v>1</v>
      </c>
      <c r="G2356" s="379">
        <f>VLOOKUP($C2356,'• CIs EXT'!$A:$E,5,0)</f>
        <v>0.27</v>
      </c>
      <c r="H2356" s="381">
        <f>TRUNC(($F2356*$G2356),2)</f>
        <v>0.27</v>
      </c>
      <c r="I2356" s="262"/>
      <c r="J2356" s="262"/>
      <c r="K2356" s="262"/>
      <c r="L2356" s="262"/>
      <c r="M2356" s="262"/>
      <c r="N2356" s="262"/>
      <c r="O2356" s="262"/>
      <c r="P2356" s="262"/>
      <c r="Q2356" s="262"/>
      <c r="R2356" s="262"/>
      <c r="S2356" s="262"/>
      <c r="T2356" s="262"/>
      <c r="U2356" s="262"/>
      <c r="V2356" s="262"/>
      <c r="W2356" s="262"/>
      <c r="X2356" s="262"/>
      <c r="Y2356" s="262"/>
      <c r="Z2356" s="262"/>
      <c r="AA2356" s="262"/>
      <c r="AB2356" s="262"/>
    </row>
    <row r="2357" spans="1:31" ht="12.75">
      <c r="A2357" s="793"/>
      <c r="B2357" s="794"/>
      <c r="C2357" s="795"/>
      <c r="D2357" s="796"/>
      <c r="E2357" s="370"/>
      <c r="F2357" s="369"/>
      <c r="G2357" s="370"/>
      <c r="H2357" s="371"/>
      <c r="I2357" s="262"/>
      <c r="J2357" s="262"/>
      <c r="K2357" s="262"/>
      <c r="L2357" s="262"/>
      <c r="M2357" s="262"/>
      <c r="N2357" s="262"/>
      <c r="O2357" s="262"/>
      <c r="P2357" s="262"/>
      <c r="Q2357" s="262"/>
      <c r="R2357" s="262"/>
      <c r="S2357" s="262"/>
      <c r="T2357" s="262"/>
      <c r="U2357" s="262"/>
      <c r="V2357" s="262"/>
      <c r="W2357" s="262"/>
      <c r="X2357" s="262"/>
      <c r="Y2357" s="262"/>
      <c r="Z2357" s="262"/>
      <c r="AA2357" s="262"/>
      <c r="AB2357" s="262"/>
    </row>
    <row r="2358" spans="1:31" ht="12.75">
      <c r="A2358" s="358" t="s">
        <v>14471</v>
      </c>
      <c r="B2358" s="359" t="s">
        <v>14472</v>
      </c>
      <c r="C2358" s="359" t="s">
        <v>15305</v>
      </c>
      <c r="D2358" s="361" t="s">
        <v>15306</v>
      </c>
      <c r="E2358" s="359" t="s">
        <v>6</v>
      </c>
      <c r="F2358" s="362"/>
      <c r="G2358" s="362"/>
      <c r="H2358" s="363">
        <f>TRUNC(SUM(H2360:H2362),2)</f>
        <v>2.16</v>
      </c>
      <c r="I2358" s="276">
        <f>COUNTIF($C$8:$C2358,C:C)</f>
        <v>1</v>
      </c>
      <c r="J2358" s="262"/>
      <c r="K2358" s="262"/>
      <c r="L2358" s="262"/>
      <c r="M2358" s="262"/>
      <c r="N2358" s="262"/>
      <c r="O2358" s="262"/>
      <c r="P2358" s="262"/>
      <c r="Q2358" s="262"/>
      <c r="R2358" s="262"/>
      <c r="S2358" s="262"/>
      <c r="T2358" s="262"/>
      <c r="U2358" s="262"/>
      <c r="V2358" s="262"/>
      <c r="W2358" s="262"/>
      <c r="X2358" s="262"/>
      <c r="Y2358" s="262"/>
      <c r="Z2358" s="262"/>
      <c r="AA2358" s="262"/>
      <c r="AB2358" s="262"/>
    </row>
    <row r="2359" spans="1:31" ht="12.75">
      <c r="A2359" s="646" t="s">
        <v>14475</v>
      </c>
      <c r="B2359" s="403" t="s">
        <v>14562</v>
      </c>
      <c r="C2359" s="404" t="s">
        <v>15307</v>
      </c>
      <c r="D2359" s="769" t="s">
        <v>14567</v>
      </c>
      <c r="E2359" s="405"/>
      <c r="F2359" s="369"/>
      <c r="G2359" s="370"/>
      <c r="H2359" s="371"/>
      <c r="I2359" s="262"/>
      <c r="J2359" s="262"/>
      <c r="K2359" s="262"/>
      <c r="L2359" s="262"/>
      <c r="M2359" s="262"/>
      <c r="N2359" s="262"/>
      <c r="O2359" s="262"/>
      <c r="P2359" s="262"/>
      <c r="Q2359" s="262"/>
      <c r="R2359" s="262"/>
      <c r="S2359" s="262"/>
      <c r="T2359" s="262"/>
      <c r="U2359" s="262"/>
      <c r="V2359" s="262"/>
      <c r="W2359" s="262"/>
      <c r="X2359" s="262"/>
      <c r="Y2359" s="262"/>
      <c r="Z2359" s="262"/>
      <c r="AA2359" s="262"/>
      <c r="AB2359" s="262"/>
    </row>
    <row r="2360" spans="1:31" ht="25.5">
      <c r="A2360" s="586" t="s">
        <v>14478</v>
      </c>
      <c r="B2360" s="373" t="s">
        <v>14476</v>
      </c>
      <c r="C2360" s="374">
        <v>88264</v>
      </c>
      <c r="D2360" s="288" t="str">
        <f>IFERROR(VLOOKUP($C2360,'24.08_ND'!$A:$D,2,0),)</f>
        <v>ELETRICISTA COM ENCARGOS COMPLEMENTARES</v>
      </c>
      <c r="E2360" s="289" t="str">
        <f>IFERROR(VLOOKUP($C2360,'24.08_ND'!$A:$D,3,0),)</f>
        <v>H</v>
      </c>
      <c r="F2360" s="441">
        <v>3.3333300000000003E-2</v>
      </c>
      <c r="G2360" s="291">
        <f>IFERROR(VLOOKUP($C2360,'24.08_ND'!$A:$D,4,0),)</f>
        <v>24.3</v>
      </c>
      <c r="H2360" s="440">
        <f>TRUNC(($F2360*$G2360),2)</f>
        <v>0.8</v>
      </c>
      <c r="I2360" s="262"/>
      <c r="J2360" s="262"/>
      <c r="K2360" s="262"/>
      <c r="L2360" s="262"/>
      <c r="M2360" s="262"/>
      <c r="N2360" s="262"/>
      <c r="O2360" s="262"/>
      <c r="P2360" s="262"/>
      <c r="Q2360" s="262"/>
      <c r="R2360" s="262"/>
      <c r="S2360" s="262"/>
      <c r="T2360" s="262"/>
      <c r="U2360" s="262"/>
      <c r="V2360" s="262"/>
      <c r="W2360" s="262"/>
      <c r="X2360" s="262"/>
      <c r="Y2360" s="262"/>
      <c r="Z2360" s="262"/>
      <c r="AA2360" s="262"/>
      <c r="AB2360" s="262"/>
      <c r="AD2360" s="1791" t="e">
        <f>VLOOKUP(C2360,'Medição '!$B$16:$F$1833,6,0)</f>
        <v>#N/A</v>
      </c>
      <c r="AE2360" s="1791"/>
    </row>
    <row r="2361" spans="1:31" ht="25.5">
      <c r="A2361" s="586" t="s">
        <v>14478</v>
      </c>
      <c r="B2361" s="373" t="s">
        <v>14476</v>
      </c>
      <c r="C2361" s="374">
        <v>88247</v>
      </c>
      <c r="D2361" s="288" t="str">
        <f>IFERROR(VLOOKUP($C2361,'24.08_ND'!$A:$D,2,0),)</f>
        <v>AUXILIAR DE ELETRICISTA COM ENCARGOS COMPLEMENTARES</v>
      </c>
      <c r="E2361" s="289" t="str">
        <f>IFERROR(VLOOKUP($C2361,'24.08_ND'!$A:$D,3,0),)</f>
        <v>H</v>
      </c>
      <c r="F2361" s="441">
        <v>3.3333300000000003E-2</v>
      </c>
      <c r="G2361" s="291">
        <f>IFERROR(VLOOKUP($C2361,'24.08_ND'!$A:$D,4,0),)</f>
        <v>20</v>
      </c>
      <c r="H2361" s="440">
        <f>TRUNC(($F2361*$G2361),2)</f>
        <v>0.66</v>
      </c>
      <c r="I2361" s="262"/>
      <c r="J2361" s="262"/>
      <c r="K2361" s="262"/>
      <c r="L2361" s="262"/>
      <c r="M2361" s="262"/>
      <c r="N2361" s="262"/>
      <c r="O2361" s="262"/>
      <c r="P2361" s="262"/>
      <c r="Q2361" s="262"/>
      <c r="R2361" s="262"/>
      <c r="S2361" s="262"/>
      <c r="T2361" s="262"/>
      <c r="U2361" s="262"/>
      <c r="V2361" s="262"/>
      <c r="W2361" s="262"/>
      <c r="X2361" s="262"/>
      <c r="Y2361" s="262"/>
      <c r="Z2361" s="262"/>
      <c r="AA2361" s="262"/>
      <c r="AB2361" s="262"/>
      <c r="AD2361" s="1791" t="e">
        <f>VLOOKUP(C2361,'Medição '!$B$16:$F$1833,6,0)</f>
        <v>#N/A</v>
      </c>
      <c r="AE2361" s="1791"/>
    </row>
    <row r="2362" spans="1:31" ht="12.75">
      <c r="A2362" s="754" t="s">
        <v>14479</v>
      </c>
      <c r="B2362" s="312" t="str">
        <f>VLOOKUP($C2362,'• CIs EXT'!$A:$E,2,0)</f>
        <v>SETOP</v>
      </c>
      <c r="C2362" s="377" t="s">
        <v>15308</v>
      </c>
      <c r="D2362" s="378" t="str">
        <f>VLOOKUP($C2362,'• CIs EXT'!$A:$E,3,0)</f>
        <v>TERMINAL ELÉTRICO (TIPO: ILHÓS|MATERIAL: COBRE ESTANHADO|BITOLA: 16MM2)</v>
      </c>
      <c r="E2362" s="379" t="str">
        <f>VLOOKUP($C2362,'• CIs EXT'!$A:$E,4,0)</f>
        <v>UN</v>
      </c>
      <c r="F2362" s="380">
        <v>1</v>
      </c>
      <c r="G2362" s="379">
        <f>VLOOKUP($C2362,'• CIs EXT'!$A:$E,5,0)</f>
        <v>0.7</v>
      </c>
      <c r="H2362" s="381">
        <f>TRUNC(($F2362*$G2362),2)</f>
        <v>0.7</v>
      </c>
      <c r="I2362" s="262"/>
      <c r="J2362" s="262"/>
      <c r="K2362" s="262"/>
      <c r="L2362" s="262"/>
      <c r="M2362" s="262"/>
      <c r="N2362" s="262"/>
      <c r="O2362" s="262"/>
      <c r="P2362" s="262"/>
      <c r="Q2362" s="262"/>
      <c r="R2362" s="262"/>
      <c r="S2362" s="262"/>
      <c r="T2362" s="262"/>
      <c r="U2362" s="262"/>
      <c r="V2362" s="262"/>
      <c r="W2362" s="262"/>
      <c r="X2362" s="262"/>
      <c r="Y2362" s="262"/>
      <c r="Z2362" s="262"/>
      <c r="AA2362" s="262"/>
      <c r="AB2362" s="262"/>
    </row>
    <row r="2363" spans="1:31" ht="12.75">
      <c r="A2363" s="686"/>
      <c r="B2363" s="687"/>
      <c r="C2363" s="688"/>
      <c r="D2363" s="689"/>
      <c r="E2363" s="690"/>
      <c r="F2363" s="691"/>
      <c r="G2363" s="690"/>
      <c r="H2363" s="692"/>
      <c r="I2363" s="262"/>
      <c r="J2363" s="262"/>
      <c r="K2363" s="262"/>
      <c r="L2363" s="262"/>
      <c r="M2363" s="262"/>
      <c r="N2363" s="262"/>
      <c r="O2363" s="262"/>
      <c r="P2363" s="262"/>
      <c r="Q2363" s="262"/>
      <c r="R2363" s="262"/>
      <c r="S2363" s="262"/>
      <c r="T2363" s="262"/>
      <c r="U2363" s="262"/>
      <c r="V2363" s="262"/>
      <c r="W2363" s="262"/>
      <c r="X2363" s="262"/>
      <c r="Y2363" s="262"/>
      <c r="Z2363" s="262"/>
      <c r="AA2363" s="262"/>
      <c r="AB2363" s="262"/>
    </row>
    <row r="2364" spans="1:31" ht="12.75">
      <c r="A2364" s="358" t="s">
        <v>14471</v>
      </c>
      <c r="B2364" s="359" t="s">
        <v>14472</v>
      </c>
      <c r="C2364" s="359" t="s">
        <v>15309</v>
      </c>
      <c r="D2364" s="361" t="s">
        <v>15310</v>
      </c>
      <c r="E2364" s="359" t="s">
        <v>6</v>
      </c>
      <c r="F2364" s="362"/>
      <c r="G2364" s="362"/>
      <c r="H2364" s="363">
        <f>TRUNC(SUM(H2366:H2368),2)</f>
        <v>1.55</v>
      </c>
      <c r="I2364" s="276">
        <f>COUNTIF($C$8:$C2364,C:C)</f>
        <v>1</v>
      </c>
      <c r="J2364" s="262"/>
      <c r="K2364" s="262"/>
      <c r="L2364" s="262"/>
      <c r="M2364" s="262"/>
      <c r="N2364" s="262"/>
      <c r="O2364" s="262"/>
      <c r="P2364" s="262"/>
      <c r="Q2364" s="262"/>
      <c r="R2364" s="262"/>
      <c r="S2364" s="262"/>
      <c r="T2364" s="262"/>
      <c r="U2364" s="262"/>
      <c r="V2364" s="262"/>
      <c r="W2364" s="262"/>
      <c r="X2364" s="262"/>
      <c r="Y2364" s="262"/>
      <c r="Z2364" s="262"/>
      <c r="AA2364" s="262"/>
      <c r="AB2364" s="262"/>
    </row>
    <row r="2365" spans="1:31" ht="12.75">
      <c r="A2365" s="646" t="s">
        <v>14475</v>
      </c>
      <c r="B2365" s="403" t="s">
        <v>14600</v>
      </c>
      <c r="C2365" s="404">
        <v>698</v>
      </c>
      <c r="D2365" s="769" t="s">
        <v>14567</v>
      </c>
      <c r="E2365" s="405"/>
      <c r="F2365" s="369"/>
      <c r="G2365" s="370"/>
      <c r="H2365" s="371"/>
      <c r="I2365" s="262"/>
      <c r="J2365" s="262"/>
      <c r="K2365" s="262"/>
      <c r="L2365" s="262"/>
      <c r="M2365" s="262"/>
      <c r="N2365" s="262"/>
      <c r="O2365" s="262"/>
      <c r="P2365" s="262"/>
      <c r="Q2365" s="262"/>
      <c r="R2365" s="262"/>
      <c r="S2365" s="262"/>
      <c r="T2365" s="262"/>
      <c r="U2365" s="262"/>
      <c r="V2365" s="262"/>
      <c r="W2365" s="262"/>
      <c r="X2365" s="262"/>
      <c r="Y2365" s="262"/>
      <c r="Z2365" s="262"/>
      <c r="AA2365" s="262"/>
      <c r="AB2365" s="262"/>
    </row>
    <row r="2366" spans="1:31" ht="25.5">
      <c r="A2366" s="586" t="s">
        <v>14478</v>
      </c>
      <c r="B2366" s="373" t="s">
        <v>14476</v>
      </c>
      <c r="C2366" s="374">
        <v>88264</v>
      </c>
      <c r="D2366" s="288" t="str">
        <f>IFERROR(VLOOKUP($C2366,'24.08_ND'!$A:$D,2,0),)</f>
        <v>ELETRICISTA COM ENCARGOS COMPLEMENTARES</v>
      </c>
      <c r="E2366" s="289" t="str">
        <f>IFERROR(VLOOKUP($C2366,'24.08_ND'!$A:$D,3,0),)</f>
        <v>H</v>
      </c>
      <c r="F2366" s="441">
        <v>3.3333300000000003E-2</v>
      </c>
      <c r="G2366" s="291">
        <f>IFERROR(VLOOKUP($C2366,'24.08_ND'!$A:$D,4,0),)</f>
        <v>24.3</v>
      </c>
      <c r="H2366" s="440">
        <f>TRUNC(($F2366*$G2366),2)</f>
        <v>0.8</v>
      </c>
      <c r="I2366" s="262"/>
      <c r="J2366" s="262"/>
      <c r="K2366" s="262"/>
      <c r="L2366" s="262"/>
      <c r="M2366" s="262"/>
      <c r="N2366" s="262"/>
      <c r="O2366" s="262"/>
      <c r="P2366" s="262"/>
      <c r="Q2366" s="262"/>
      <c r="R2366" s="262"/>
      <c r="S2366" s="262"/>
      <c r="T2366" s="262"/>
      <c r="U2366" s="262"/>
      <c r="V2366" s="262"/>
      <c r="W2366" s="262"/>
      <c r="X2366" s="262"/>
      <c r="Y2366" s="262"/>
      <c r="Z2366" s="262"/>
      <c r="AA2366" s="262"/>
      <c r="AB2366" s="262"/>
      <c r="AD2366" s="1791" t="e">
        <f>VLOOKUP(C2366,'Medição '!$B$16:$F$1833,6,0)</f>
        <v>#N/A</v>
      </c>
      <c r="AE2366" s="1791"/>
    </row>
    <row r="2367" spans="1:31" ht="25.5">
      <c r="A2367" s="586" t="s">
        <v>14478</v>
      </c>
      <c r="B2367" s="373" t="s">
        <v>14476</v>
      </c>
      <c r="C2367" s="374">
        <v>88247</v>
      </c>
      <c r="D2367" s="288" t="str">
        <f>IFERROR(VLOOKUP($C2367,'24.08_ND'!$A:$D,2,0),)</f>
        <v>AUXILIAR DE ELETRICISTA COM ENCARGOS COMPLEMENTARES</v>
      </c>
      <c r="E2367" s="289" t="str">
        <f>IFERROR(VLOOKUP($C2367,'24.08_ND'!$A:$D,3,0),)</f>
        <v>H</v>
      </c>
      <c r="F2367" s="441">
        <v>3.3333300000000003E-2</v>
      </c>
      <c r="G2367" s="291">
        <f>IFERROR(VLOOKUP($C2367,'24.08_ND'!$A:$D,4,0),)</f>
        <v>20</v>
      </c>
      <c r="H2367" s="440">
        <f>TRUNC(($F2367*$G2367),2)</f>
        <v>0.66</v>
      </c>
      <c r="I2367" s="262"/>
      <c r="J2367" s="262"/>
      <c r="K2367" s="262"/>
      <c r="L2367" s="262"/>
      <c r="M2367" s="262"/>
      <c r="N2367" s="262"/>
      <c r="O2367" s="262"/>
      <c r="P2367" s="262"/>
      <c r="Q2367" s="262"/>
      <c r="R2367" s="262"/>
      <c r="S2367" s="262"/>
      <c r="T2367" s="262"/>
      <c r="U2367" s="262"/>
      <c r="V2367" s="262"/>
      <c r="W2367" s="262"/>
      <c r="X2367" s="262"/>
      <c r="Y2367" s="262"/>
      <c r="Z2367" s="262"/>
      <c r="AA2367" s="262"/>
      <c r="AB2367" s="262"/>
      <c r="AD2367" s="1791" t="e">
        <f>VLOOKUP(C2367,'Medição '!$B$16:$F$1833,6,0)</f>
        <v>#N/A</v>
      </c>
      <c r="AE2367" s="1791"/>
    </row>
    <row r="2368" spans="1:31" ht="12.75">
      <c r="A2368" s="754" t="s">
        <v>14479</v>
      </c>
      <c r="B2368" s="312" t="str">
        <f>VLOOKUP($C2368,'• CIs EXT'!$A:$E,2,0)</f>
        <v>ORSE</v>
      </c>
      <c r="C2368" s="377">
        <v>3875</v>
      </c>
      <c r="D2368" s="378" t="str">
        <f>VLOOKUP($C2368,'• CIs EXT'!$A:$E,3,0)</f>
        <v>ANILHAS PARA IDENTIFICACAO DE CABOS</v>
      </c>
      <c r="E2368" s="379" t="str">
        <f>VLOOKUP($C2368,'• CIs EXT'!$A:$E,4,0)</f>
        <v>UN</v>
      </c>
      <c r="F2368" s="380">
        <v>1</v>
      </c>
      <c r="G2368" s="379">
        <f>VLOOKUP($C2368,'• CIs EXT'!$A:$E,5,0)</f>
        <v>0.09</v>
      </c>
      <c r="H2368" s="381">
        <f>TRUNC(($F2368*$G2368),2)</f>
        <v>0.09</v>
      </c>
      <c r="I2368" s="262"/>
      <c r="J2368" s="262"/>
      <c r="K2368" s="262"/>
      <c r="L2368" s="262"/>
      <c r="M2368" s="262"/>
      <c r="N2368" s="262"/>
      <c r="O2368" s="262"/>
      <c r="P2368" s="262"/>
      <c r="Q2368" s="262"/>
      <c r="R2368" s="262"/>
      <c r="S2368" s="262"/>
      <c r="T2368" s="262"/>
      <c r="U2368" s="262"/>
      <c r="V2368" s="262"/>
      <c r="W2368" s="262"/>
      <c r="X2368" s="262"/>
      <c r="Y2368" s="262"/>
      <c r="Z2368" s="262"/>
      <c r="AA2368" s="262"/>
      <c r="AB2368" s="262"/>
    </row>
    <row r="2369" spans="1:31" ht="12.75">
      <c r="A2369" s="686"/>
      <c r="B2369" s="687"/>
      <c r="C2369" s="688"/>
      <c r="D2369" s="689"/>
      <c r="E2369" s="690"/>
      <c r="F2369" s="691"/>
      <c r="G2369" s="690"/>
      <c r="H2369" s="692"/>
      <c r="I2369" s="262"/>
      <c r="J2369" s="262"/>
      <c r="K2369" s="262"/>
      <c r="L2369" s="262"/>
      <c r="M2369" s="262"/>
      <c r="N2369" s="262"/>
      <c r="O2369" s="262"/>
      <c r="P2369" s="262"/>
      <c r="Q2369" s="262"/>
      <c r="R2369" s="262"/>
      <c r="S2369" s="262"/>
      <c r="T2369" s="262"/>
      <c r="U2369" s="262"/>
      <c r="V2369" s="262"/>
      <c r="W2369" s="262"/>
      <c r="X2369" s="262"/>
      <c r="Y2369" s="262"/>
      <c r="Z2369" s="262"/>
      <c r="AA2369" s="262"/>
      <c r="AB2369" s="262"/>
    </row>
    <row r="2370" spans="1:31" ht="25.5">
      <c r="A2370" s="358" t="s">
        <v>14471</v>
      </c>
      <c r="B2370" s="359" t="s">
        <v>14472</v>
      </c>
      <c r="C2370" s="360" t="s">
        <v>15311</v>
      </c>
      <c r="D2370" s="361" t="s">
        <v>15312</v>
      </c>
      <c r="E2370" s="359" t="s">
        <v>6</v>
      </c>
      <c r="F2370" s="784"/>
      <c r="G2370" s="402"/>
      <c r="H2370" s="363">
        <f>SUM(H2372:H2378)</f>
        <v>2575.2599999999998</v>
      </c>
      <c r="I2370" s="276">
        <f>COUNTIF($C$8:$C2370,C:C)</f>
        <v>1</v>
      </c>
      <c r="J2370" s="262"/>
      <c r="K2370" s="262"/>
      <c r="L2370" s="262"/>
      <c r="M2370" s="262"/>
      <c r="N2370" s="262"/>
      <c r="O2370" s="262"/>
      <c r="P2370" s="262"/>
      <c r="Q2370" s="262"/>
      <c r="R2370" s="262"/>
      <c r="S2370" s="262"/>
      <c r="T2370" s="262"/>
      <c r="U2370" s="262"/>
      <c r="V2370" s="262"/>
      <c r="W2370" s="262"/>
      <c r="X2370" s="262"/>
      <c r="Y2370" s="262"/>
      <c r="Z2370" s="262"/>
      <c r="AA2370" s="262"/>
      <c r="AB2370" s="262"/>
    </row>
    <row r="2371" spans="1:31" ht="12.75">
      <c r="A2371" s="646" t="s">
        <v>14475</v>
      </c>
      <c r="B2371" s="403" t="s">
        <v>14562</v>
      </c>
      <c r="C2371" s="790" t="s">
        <v>15313</v>
      </c>
      <c r="D2371" s="769" t="s">
        <v>14794</v>
      </c>
      <c r="E2371" s="405"/>
      <c r="F2371" s="369"/>
      <c r="G2371" s="370"/>
      <c r="H2371" s="371"/>
      <c r="I2371" s="262"/>
      <c r="J2371" s="262"/>
      <c r="K2371" s="262"/>
      <c r="L2371" s="262"/>
      <c r="M2371" s="262"/>
      <c r="N2371" s="262"/>
      <c r="O2371" s="262"/>
      <c r="P2371" s="262"/>
      <c r="Q2371" s="262"/>
      <c r="R2371" s="262"/>
      <c r="S2371" s="262"/>
      <c r="T2371" s="262"/>
      <c r="U2371" s="262"/>
      <c r="V2371" s="262"/>
      <c r="W2371" s="262"/>
      <c r="X2371" s="262"/>
      <c r="Y2371" s="262"/>
      <c r="Z2371" s="262"/>
      <c r="AA2371" s="262"/>
      <c r="AB2371" s="262"/>
    </row>
    <row r="2372" spans="1:31">
      <c r="A2372" s="785" t="s">
        <v>14478</v>
      </c>
      <c r="B2372" s="786" t="s">
        <v>14476</v>
      </c>
      <c r="C2372" s="806">
        <v>88247</v>
      </c>
      <c r="D2372" s="288" t="str">
        <f>IFERROR(VLOOKUP($C2372,'24.08_ND'!$A:$D,2,0),)</f>
        <v>AUXILIAR DE ELETRICISTA COM ENCARGOS COMPLEMENTARES</v>
      </c>
      <c r="E2372" s="289" t="str">
        <f>IFERROR(VLOOKUP($C2372,'24.08_ND'!$A:$D,3,0),)</f>
        <v>H</v>
      </c>
      <c r="F2372" s="787">
        <v>7</v>
      </c>
      <c r="G2372" s="291">
        <f>IFERROR(VLOOKUP($C2372,'24.08_ND'!$A:$D,4,0),)</f>
        <v>20</v>
      </c>
      <c r="H2372" s="440">
        <f t="shared" ref="H2372:H2378" si="77">TRUNC(($F2372*$G2372),2)</f>
        <v>140</v>
      </c>
      <c r="I2372" s="262"/>
      <c r="J2372" s="262"/>
      <c r="K2372" s="262"/>
      <c r="L2372" s="262"/>
      <c r="M2372" s="262"/>
      <c r="N2372" s="262"/>
      <c r="O2372" s="262"/>
      <c r="P2372" s="262"/>
      <c r="Q2372" s="262"/>
      <c r="R2372" s="262"/>
      <c r="S2372" s="262"/>
      <c r="T2372" s="262"/>
      <c r="U2372" s="262"/>
      <c r="V2372" s="262"/>
      <c r="W2372" s="262"/>
      <c r="X2372" s="262"/>
      <c r="Y2372" s="262"/>
      <c r="Z2372" s="262"/>
      <c r="AA2372" s="262"/>
      <c r="AB2372" s="262"/>
      <c r="AD2372" s="1791" t="e">
        <f>VLOOKUP(C2372,'Medição '!$B$16:$F$1833,6,0)</f>
        <v>#N/A</v>
      </c>
      <c r="AE2372" s="1791"/>
    </row>
    <row r="2373" spans="1:31">
      <c r="A2373" s="785" t="s">
        <v>14478</v>
      </c>
      <c r="B2373" s="786" t="s">
        <v>14476</v>
      </c>
      <c r="C2373" s="806">
        <v>88264</v>
      </c>
      <c r="D2373" s="288" t="str">
        <f>IFERROR(VLOOKUP($C2373,'24.08_ND'!$A:$D,2,0),)</f>
        <v>ELETRICISTA COM ENCARGOS COMPLEMENTARES</v>
      </c>
      <c r="E2373" s="289" t="str">
        <f>IFERROR(VLOOKUP($C2373,'24.08_ND'!$A:$D,3,0),)</f>
        <v>H</v>
      </c>
      <c r="F2373" s="787">
        <v>7</v>
      </c>
      <c r="G2373" s="291">
        <f>IFERROR(VLOOKUP($C2373,'24.08_ND'!$A:$D,4,0),)</f>
        <v>24.3</v>
      </c>
      <c r="H2373" s="440">
        <f t="shared" si="77"/>
        <v>170.1</v>
      </c>
      <c r="I2373" s="262"/>
      <c r="J2373" s="262"/>
      <c r="K2373" s="262"/>
      <c r="L2373" s="262"/>
      <c r="M2373" s="262"/>
      <c r="N2373" s="262"/>
      <c r="O2373" s="262"/>
      <c r="P2373" s="262"/>
      <c r="Q2373" s="262"/>
      <c r="R2373" s="262"/>
      <c r="S2373" s="262"/>
      <c r="T2373" s="262"/>
      <c r="U2373" s="262"/>
      <c r="V2373" s="262"/>
      <c r="W2373" s="262"/>
      <c r="X2373" s="262"/>
      <c r="Y2373" s="262"/>
      <c r="Z2373" s="262"/>
      <c r="AA2373" s="262"/>
      <c r="AB2373" s="262"/>
      <c r="AD2373" s="1791" t="e">
        <f>VLOOKUP(C2373,'Medição '!$B$16:$F$1833,6,0)</f>
        <v>#N/A</v>
      </c>
      <c r="AE2373" s="1791"/>
    </row>
    <row r="2374" spans="1:31" ht="38.25">
      <c r="A2374" s="785" t="s">
        <v>14478</v>
      </c>
      <c r="B2374" s="786" t="s">
        <v>14476</v>
      </c>
      <c r="C2374" s="806">
        <v>5928</v>
      </c>
      <c r="D2374" s="288" t="str">
        <f>IFERROR(VLOOKUP($C2374,'24.08_ND'!$A:$D,2,0),)</f>
        <v>GUINDAUTO HIDRÁULICO, CAPACIDADE MÁXIMA DE CARGA 6200 KG, MOMENTO MÁXIMO DE CARGA 11,7 TM, ALCANCE MÁXIMO HORIZONTAL 9,70 M, INCLUSIVE CAMINHÃO TOCO PBT 16.000 KG, POTÊNCIA DE 189 CV - CHP DIURNO. AF_06/2014</v>
      </c>
      <c r="E2374" s="289" t="str">
        <f>IFERROR(VLOOKUP($C2374,'24.08_ND'!$A:$D,3,0),)</f>
        <v>CHP</v>
      </c>
      <c r="F2374" s="787">
        <v>1.08</v>
      </c>
      <c r="G2374" s="291">
        <f>IFERROR(VLOOKUP($C2374,'24.08_ND'!$A:$D,4,0),)</f>
        <v>255.59</v>
      </c>
      <c r="H2374" s="440">
        <f t="shared" si="77"/>
        <v>276.02999999999997</v>
      </c>
      <c r="I2374" s="262"/>
      <c r="J2374" s="262"/>
      <c r="K2374" s="262"/>
      <c r="L2374" s="262"/>
      <c r="M2374" s="262"/>
      <c r="N2374" s="262"/>
      <c r="O2374" s="262"/>
      <c r="P2374" s="262"/>
      <c r="Q2374" s="262"/>
      <c r="R2374" s="262"/>
      <c r="S2374" s="262"/>
      <c r="T2374" s="262"/>
      <c r="U2374" s="262"/>
      <c r="V2374" s="262"/>
      <c r="W2374" s="262"/>
      <c r="X2374" s="262"/>
      <c r="Y2374" s="262"/>
      <c r="Z2374" s="262"/>
      <c r="AA2374" s="262"/>
      <c r="AB2374" s="262"/>
      <c r="AD2374" s="1791" t="e">
        <f>VLOOKUP(C2374,'Medição '!$B$16:$F$1833,6,0)</f>
        <v>#REF!</v>
      </c>
      <c r="AE2374" s="1791"/>
    </row>
    <row r="2375" spans="1:31" ht="25.5">
      <c r="A2375" s="785" t="s">
        <v>14478</v>
      </c>
      <c r="B2375" s="786" t="s">
        <v>14476</v>
      </c>
      <c r="C2375" s="806">
        <v>100719</v>
      </c>
      <c r="D2375" s="288" t="str">
        <f>IFERROR(VLOOKUP($C2375,'24.08_ND'!$A:$D,2,0),)</f>
        <v>PINTURA COM TINTA ALQUÍDICA DE FUNDO (TIPO ZARCÃO) PULVERIZADA SOBRE PERFIL METÁLICO EXECUTADO EM FÁBRICA (POR DEMÃO). AF_01/2020_PE</v>
      </c>
      <c r="E2375" s="289" t="str">
        <f>IFERROR(VLOOKUP($C2375,'24.08_ND'!$A:$D,3,0),)</f>
        <v>M2</v>
      </c>
      <c r="F2375" s="787">
        <v>6.2</v>
      </c>
      <c r="G2375" s="291">
        <f>IFERROR(VLOOKUP($C2375,'24.08_ND'!$A:$D,4,0),)</f>
        <v>8.91</v>
      </c>
      <c r="H2375" s="440">
        <f t="shared" si="77"/>
        <v>55.24</v>
      </c>
      <c r="I2375" s="262"/>
      <c r="J2375" s="262"/>
      <c r="K2375" s="262"/>
      <c r="L2375" s="262"/>
      <c r="M2375" s="262"/>
      <c r="N2375" s="262"/>
      <c r="O2375" s="262"/>
      <c r="P2375" s="262"/>
      <c r="Q2375" s="262"/>
      <c r="R2375" s="262"/>
      <c r="S2375" s="262"/>
      <c r="T2375" s="262"/>
      <c r="U2375" s="262"/>
      <c r="V2375" s="262"/>
      <c r="W2375" s="262"/>
      <c r="X2375" s="262"/>
      <c r="Y2375" s="262"/>
      <c r="Z2375" s="262"/>
      <c r="AA2375" s="262"/>
      <c r="AB2375" s="262"/>
      <c r="AD2375" s="1791" t="e">
        <f>VLOOKUP(C2375,'Medição '!$B$16:$F$1833,6,0)</f>
        <v>#N/A</v>
      </c>
      <c r="AE2375" s="1791"/>
    </row>
    <row r="2376" spans="1:31" ht="38.25">
      <c r="A2376" s="785" t="s">
        <v>14478</v>
      </c>
      <c r="B2376" s="786" t="s">
        <v>14476</v>
      </c>
      <c r="C2376" s="677">
        <v>100761</v>
      </c>
      <c r="D2376" s="288" t="str">
        <f>IFERROR(VLOOKUP($C2376,'24.08_ND'!$A:$D,2,0),)</f>
        <v>PINTURA COM TINTA ALQUÍDICA DE ACABAMENTO (ESMALTE SINTÉTICO FOSCO) PULVERIZADA SOBRE SUPERFÍCIES METÁLICAS (EXCETO PERFIL) EXECUTADO EM OBRA (02 DEMÃOS). AF_01/2020_PE</v>
      </c>
      <c r="E2376" s="289" t="str">
        <f>IFERROR(VLOOKUP($C2376,'24.08_ND'!$A:$D,3,0),)</f>
        <v>M2</v>
      </c>
      <c r="F2376" s="787">
        <v>3.1</v>
      </c>
      <c r="G2376" s="291">
        <f>IFERROR(VLOOKUP($C2376,'24.08_ND'!$A:$D,4,0),)</f>
        <v>41.11</v>
      </c>
      <c r="H2376" s="440">
        <f t="shared" si="77"/>
        <v>127.44</v>
      </c>
      <c r="I2376" s="262"/>
      <c r="J2376" s="262"/>
      <c r="K2376" s="262"/>
      <c r="L2376" s="262"/>
      <c r="M2376" s="262"/>
      <c r="N2376" s="262"/>
      <c r="O2376" s="262"/>
      <c r="P2376" s="262"/>
      <c r="Q2376" s="262"/>
      <c r="R2376" s="262"/>
      <c r="S2376" s="262"/>
      <c r="T2376" s="262"/>
      <c r="U2376" s="262"/>
      <c r="V2376" s="262"/>
      <c r="W2376" s="262"/>
      <c r="X2376" s="262"/>
      <c r="Y2376" s="262"/>
      <c r="Z2376" s="262"/>
      <c r="AA2376" s="262"/>
      <c r="AB2376" s="262"/>
      <c r="AD2376" s="1791" t="e">
        <f>VLOOKUP(C2376,'Medição '!$B$16:$F$1833,6,0)</f>
        <v>#REF!</v>
      </c>
      <c r="AE2376" s="1791"/>
    </row>
    <row r="2377" spans="1:31" ht="25.5">
      <c r="A2377" s="758" t="s">
        <v>14479</v>
      </c>
      <c r="B2377" s="797" t="s">
        <v>14476</v>
      </c>
      <c r="C2377" s="384">
        <v>41457</v>
      </c>
      <c r="D2377" s="296" t="str">
        <f>IFERROR(VLOOKUP($C2377,'24.08_ND'!$A:$D,2,0),)</f>
        <v>POSTES METALICOS AUTOPORTANTES, CONICO OU TELESCOPICO, PARA SPDA, ALTURA 10 METROS LIVRES</v>
      </c>
      <c r="E2377" s="297" t="str">
        <f>IFERROR(VLOOKUP($C2377,'24.08_ND'!$A:$D,3,0),)</f>
        <v>UN</v>
      </c>
      <c r="F2377" s="385">
        <v>1</v>
      </c>
      <c r="G2377" s="299">
        <f>IFERROR(VLOOKUP($C2377,'24.08_ND'!$A:$D,4,0),)</f>
        <v>1661.73</v>
      </c>
      <c r="H2377" s="449">
        <f t="shared" si="77"/>
        <v>1661.73</v>
      </c>
      <c r="I2377" s="262"/>
      <c r="J2377" s="262"/>
      <c r="K2377" s="262"/>
      <c r="L2377" s="262"/>
      <c r="M2377" s="262"/>
      <c r="N2377" s="262"/>
      <c r="O2377" s="262"/>
      <c r="P2377" s="262"/>
      <c r="Q2377" s="262"/>
      <c r="R2377" s="262"/>
      <c r="S2377" s="262"/>
      <c r="T2377" s="262"/>
      <c r="U2377" s="262"/>
      <c r="V2377" s="262"/>
      <c r="W2377" s="262"/>
      <c r="X2377" s="262"/>
      <c r="Y2377" s="262"/>
      <c r="Z2377" s="262"/>
      <c r="AA2377" s="262"/>
      <c r="AB2377" s="262"/>
    </row>
    <row r="2378" spans="1:31" ht="25.5">
      <c r="A2378" s="754" t="s">
        <v>14479</v>
      </c>
      <c r="B2378" s="312" t="str">
        <f>VLOOKUP($C2378,'• CIs EXT'!$A:$E,2,0)</f>
        <v>ORSE</v>
      </c>
      <c r="C2378" s="377">
        <v>9478</v>
      </c>
      <c r="D2378" s="378" t="str">
        <f>VLOOKUP($C2378,'• CIs EXT'!$A:$E,3,0)</f>
        <v>SUPORTE (BRAÇO) P/LUMINÁRIA DE 1 PÉTALA PARA INSTALAÇÃO NO TOPO DO POSTE, REF:TECNOWATT OU SIMILAR</v>
      </c>
      <c r="E2378" s="379" t="str">
        <f>VLOOKUP($C2378,'• CIs EXT'!$A:$E,4,0)</f>
        <v>UN</v>
      </c>
      <c r="F2378" s="380">
        <v>1</v>
      </c>
      <c r="G2378" s="379">
        <f>VLOOKUP($C2378,'• CIs EXT'!$A:$E,5,0)</f>
        <v>144.72</v>
      </c>
      <c r="H2378" s="381">
        <f t="shared" si="77"/>
        <v>144.72</v>
      </c>
      <c r="I2378" s="262"/>
      <c r="J2378" s="262"/>
      <c r="K2378" s="262"/>
      <c r="L2378" s="262"/>
      <c r="M2378" s="262"/>
      <c r="N2378" s="262"/>
      <c r="O2378" s="262"/>
      <c r="P2378" s="262"/>
      <c r="Q2378" s="262"/>
      <c r="R2378" s="262"/>
      <c r="S2378" s="262"/>
      <c r="T2378" s="262"/>
      <c r="U2378" s="262"/>
      <c r="V2378" s="262"/>
      <c r="W2378" s="262"/>
      <c r="X2378" s="262"/>
      <c r="Y2378" s="262"/>
      <c r="Z2378" s="262"/>
      <c r="AA2378" s="262"/>
      <c r="AB2378" s="262"/>
    </row>
    <row r="2379" spans="1:31" ht="12.75">
      <c r="A2379" s="686"/>
      <c r="B2379" s="687"/>
      <c r="C2379" s="688"/>
      <c r="D2379" s="689"/>
      <c r="E2379" s="690"/>
      <c r="F2379" s="691"/>
      <c r="G2379" s="690"/>
      <c r="H2379" s="692"/>
      <c r="I2379" s="262"/>
      <c r="J2379" s="262"/>
      <c r="K2379" s="262"/>
      <c r="L2379" s="262"/>
      <c r="M2379" s="262"/>
      <c r="N2379" s="262"/>
      <c r="O2379" s="262"/>
      <c r="P2379" s="262"/>
      <c r="Q2379" s="262"/>
      <c r="R2379" s="262"/>
      <c r="S2379" s="262"/>
      <c r="T2379" s="262"/>
      <c r="U2379" s="262"/>
      <c r="V2379" s="262"/>
      <c r="W2379" s="262"/>
      <c r="X2379" s="262"/>
      <c r="Y2379" s="262"/>
      <c r="Z2379" s="262"/>
      <c r="AA2379" s="262"/>
      <c r="AB2379" s="262"/>
    </row>
    <row r="2380" spans="1:31" ht="25.5">
      <c r="A2380" s="358" t="s">
        <v>14471</v>
      </c>
      <c r="B2380" s="359" t="s">
        <v>14472</v>
      </c>
      <c r="C2380" s="807" t="s">
        <v>15314</v>
      </c>
      <c r="D2380" s="361" t="s">
        <v>15315</v>
      </c>
      <c r="E2380" s="359" t="s">
        <v>6</v>
      </c>
      <c r="F2380" s="784"/>
      <c r="G2380" s="402"/>
      <c r="H2380" s="363">
        <f>SUM(H2382:H2386)</f>
        <v>729.77</v>
      </c>
      <c r="I2380" s="276">
        <f>COUNTIF($C$8:$C2380,C:C)</f>
        <v>1</v>
      </c>
      <c r="J2380" s="262"/>
      <c r="K2380" s="262"/>
      <c r="L2380" s="262"/>
      <c r="M2380" s="262"/>
      <c r="N2380" s="262"/>
      <c r="O2380" s="262"/>
      <c r="P2380" s="262"/>
      <c r="Q2380" s="262"/>
      <c r="R2380" s="262"/>
      <c r="S2380" s="262"/>
      <c r="T2380" s="262"/>
      <c r="U2380" s="262"/>
      <c r="V2380" s="262"/>
      <c r="W2380" s="262"/>
      <c r="X2380" s="262"/>
      <c r="Y2380" s="262"/>
      <c r="Z2380" s="262"/>
      <c r="AA2380" s="262"/>
      <c r="AB2380" s="262"/>
    </row>
    <row r="2381" spans="1:31" ht="12.75">
      <c r="A2381" s="646" t="s">
        <v>14475</v>
      </c>
      <c r="B2381" s="403" t="s">
        <v>14476</v>
      </c>
      <c r="C2381" s="790" t="s">
        <v>15316</v>
      </c>
      <c r="D2381" s="769" t="s">
        <v>14587</v>
      </c>
      <c r="E2381" s="405"/>
      <c r="F2381" s="369"/>
      <c r="G2381" s="370"/>
      <c r="H2381" s="371"/>
      <c r="I2381" s="262"/>
      <c r="J2381" s="262"/>
      <c r="K2381" s="262"/>
      <c r="L2381" s="262"/>
      <c r="M2381" s="262"/>
      <c r="N2381" s="262"/>
      <c r="O2381" s="262"/>
      <c r="P2381" s="262"/>
      <c r="Q2381" s="262"/>
      <c r="R2381" s="262"/>
      <c r="S2381" s="262"/>
      <c r="T2381" s="262"/>
      <c r="U2381" s="262"/>
      <c r="V2381" s="262"/>
      <c r="W2381" s="262"/>
      <c r="X2381" s="262"/>
      <c r="Y2381" s="262"/>
      <c r="Z2381" s="262"/>
      <c r="AA2381" s="262"/>
      <c r="AB2381" s="262"/>
    </row>
    <row r="2382" spans="1:31">
      <c r="A2382" s="785" t="s">
        <v>14478</v>
      </c>
      <c r="B2382" s="786" t="s">
        <v>14476</v>
      </c>
      <c r="C2382" s="808">
        <v>88264</v>
      </c>
      <c r="D2382" s="288" t="str">
        <f>IFERROR(VLOOKUP($C2382,'24.08_ND'!$A:$D,2,0),)</f>
        <v>ELETRICISTA COM ENCARGOS COMPLEMENTARES</v>
      </c>
      <c r="E2382" s="289" t="str">
        <f>IFERROR(VLOOKUP($C2382,'24.08_ND'!$A:$D,3,0),)</f>
        <v>H</v>
      </c>
      <c r="F2382" s="787">
        <v>0.53200000000000003</v>
      </c>
      <c r="G2382" s="291">
        <f>IFERROR(VLOOKUP($C2382,'24.08_ND'!$A:$D,4,0),)</f>
        <v>24.3</v>
      </c>
      <c r="H2382" s="440">
        <f>TRUNC(($F2382*$G2382),2)</f>
        <v>12.92</v>
      </c>
      <c r="I2382" s="262"/>
      <c r="J2382" s="262"/>
      <c r="K2382" s="262"/>
      <c r="L2382" s="262"/>
      <c r="M2382" s="262"/>
      <c r="N2382" s="262"/>
      <c r="O2382" s="262"/>
      <c r="P2382" s="262"/>
      <c r="Q2382" s="262"/>
      <c r="R2382" s="262"/>
      <c r="S2382" s="262"/>
      <c r="T2382" s="262"/>
      <c r="U2382" s="262"/>
      <c r="V2382" s="262"/>
      <c r="W2382" s="262"/>
      <c r="X2382" s="262"/>
      <c r="Y2382" s="262"/>
      <c r="Z2382" s="262"/>
      <c r="AA2382" s="262"/>
      <c r="AB2382" s="262"/>
      <c r="AD2382" s="1791" t="e">
        <f>VLOOKUP(C2382,'Medição '!$B$16:$F$1833,6,0)</f>
        <v>#N/A</v>
      </c>
      <c r="AE2382" s="1791"/>
    </row>
    <row r="2383" spans="1:31">
      <c r="A2383" s="785" t="s">
        <v>14478</v>
      </c>
      <c r="B2383" s="786" t="s">
        <v>14476</v>
      </c>
      <c r="C2383" s="791">
        <v>88247</v>
      </c>
      <c r="D2383" s="288" t="str">
        <f>IFERROR(VLOOKUP($C2383,'24.08_ND'!$A:$D,2,0),)</f>
        <v>AUXILIAR DE ELETRICISTA COM ENCARGOS COMPLEMENTARES</v>
      </c>
      <c r="E2383" s="289" t="str">
        <f>IFERROR(VLOOKUP($C2383,'24.08_ND'!$A:$D,3,0),)</f>
        <v>H</v>
      </c>
      <c r="F2383" s="787">
        <v>0.53200000000000003</v>
      </c>
      <c r="G2383" s="291">
        <f>IFERROR(VLOOKUP($C2383,'24.08_ND'!$A:$D,4,0),)</f>
        <v>20</v>
      </c>
      <c r="H2383" s="440">
        <f>TRUNC(($F2383*$G2383),2)</f>
        <v>10.64</v>
      </c>
      <c r="I2383" s="262"/>
      <c r="J2383" s="262"/>
      <c r="K2383" s="262"/>
      <c r="L2383" s="262"/>
      <c r="M2383" s="262"/>
      <c r="N2383" s="262"/>
      <c r="O2383" s="262"/>
      <c r="P2383" s="262"/>
      <c r="Q2383" s="262"/>
      <c r="R2383" s="262"/>
      <c r="S2383" s="262"/>
      <c r="T2383" s="262"/>
      <c r="U2383" s="262"/>
      <c r="V2383" s="262"/>
      <c r="W2383" s="262"/>
      <c r="X2383" s="262"/>
      <c r="Y2383" s="262"/>
      <c r="Z2383" s="262"/>
      <c r="AA2383" s="262"/>
      <c r="AB2383" s="262"/>
      <c r="AD2383" s="1791" t="e">
        <f>VLOOKUP(C2383,'Medição '!$B$16:$F$1833,6,0)</f>
        <v>#N/A</v>
      </c>
      <c r="AE2383" s="1791"/>
    </row>
    <row r="2384" spans="1:31" ht="38.25">
      <c r="A2384" s="785" t="s">
        <v>14478</v>
      </c>
      <c r="B2384" s="786" t="s">
        <v>14476</v>
      </c>
      <c r="C2384" s="374">
        <v>5928</v>
      </c>
      <c r="D2384" s="288" t="str">
        <f>IFERROR(VLOOKUP($C2384,'24.08_ND'!$A:$D,2,0),)</f>
        <v>GUINDAUTO HIDRÁULICO, CAPACIDADE MÁXIMA DE CARGA 6200 KG, MOMENTO MÁXIMO DE CARGA 11,7 TM, ALCANCE MÁXIMO HORIZONTAL 9,70 M, INCLUSIVE CAMINHÃO TOCO PBT 16.000 KG, POTÊNCIA DE 189 CV - CHP DIURNO. AF_06/2014</v>
      </c>
      <c r="E2384" s="289" t="str">
        <f>IFERROR(VLOOKUP($C2384,'24.08_ND'!$A:$D,3,0),)</f>
        <v>CHP</v>
      </c>
      <c r="F2384" s="787">
        <v>0.53200000000000003</v>
      </c>
      <c r="G2384" s="291">
        <f>IFERROR(VLOOKUP($C2384,'24.08_ND'!$A:$D,4,0),)</f>
        <v>255.59</v>
      </c>
      <c r="H2384" s="440">
        <f>TRUNC(($F2384*$G2384),2)</f>
        <v>135.97</v>
      </c>
      <c r="I2384" s="262"/>
      <c r="J2384" s="262"/>
      <c r="K2384" s="262"/>
      <c r="L2384" s="262"/>
      <c r="M2384" s="262"/>
      <c r="N2384" s="262"/>
      <c r="O2384" s="262"/>
      <c r="P2384" s="262"/>
      <c r="Q2384" s="262"/>
      <c r="R2384" s="262"/>
      <c r="S2384" s="262"/>
      <c r="T2384" s="262"/>
      <c r="U2384" s="262"/>
      <c r="V2384" s="262"/>
      <c r="W2384" s="262"/>
      <c r="X2384" s="262"/>
      <c r="Y2384" s="262"/>
      <c r="Z2384" s="262"/>
      <c r="AA2384" s="262"/>
      <c r="AB2384" s="262"/>
      <c r="AD2384" s="1791" t="e">
        <f>VLOOKUP(C2384,'Medição '!$B$16:$F$1833,6,0)</f>
        <v>#REF!</v>
      </c>
      <c r="AE2384" s="1791"/>
    </row>
    <row r="2385" spans="1:31" ht="12.75">
      <c r="A2385" s="445" t="s">
        <v>14479</v>
      </c>
      <c r="B2385" s="446" t="s">
        <v>14476</v>
      </c>
      <c r="C2385" s="809">
        <v>404</v>
      </c>
      <c r="D2385" s="296" t="str">
        <f>IFERROR(VLOOKUP($C2385,'24.08_ND'!$A:$D,2,0),)</f>
        <v>FITA ISOLANTE DE BORRACHA AUTOFUSAO, USO ATE 69 KV (ALTA TENSAO)</v>
      </c>
      <c r="E2385" s="297" t="str">
        <f>IFERROR(VLOOKUP($C2385,'24.08_ND'!$A:$D,3,0),)</f>
        <v>M</v>
      </c>
      <c r="F2385" s="780">
        <v>0.12</v>
      </c>
      <c r="G2385" s="299">
        <f>IFERROR(VLOOKUP($C2385,'24.08_ND'!$A:$D,4,0),)</f>
        <v>1.51</v>
      </c>
      <c r="H2385" s="781">
        <f>TRUNC(($F2385*$G2385),2)</f>
        <v>0.18</v>
      </c>
      <c r="I2385" s="262"/>
      <c r="J2385" s="262"/>
      <c r="K2385" s="262"/>
      <c r="L2385" s="262"/>
      <c r="M2385" s="262"/>
      <c r="N2385" s="262"/>
      <c r="O2385" s="262"/>
      <c r="P2385" s="262"/>
      <c r="Q2385" s="262"/>
      <c r="R2385" s="262"/>
      <c r="S2385" s="262"/>
      <c r="T2385" s="262"/>
      <c r="U2385" s="262"/>
      <c r="V2385" s="262"/>
      <c r="W2385" s="262"/>
      <c r="X2385" s="262"/>
      <c r="Y2385" s="262"/>
      <c r="Z2385" s="262"/>
      <c r="AA2385" s="262"/>
      <c r="AB2385" s="262"/>
    </row>
    <row r="2386" spans="1:31" ht="12.75">
      <c r="A2386" s="788" t="s">
        <v>14479</v>
      </c>
      <c r="B2386" s="761" t="s">
        <v>14491</v>
      </c>
      <c r="C2386" s="810" t="s">
        <v>15317</v>
      </c>
      <c r="D2386" s="789" t="str">
        <f>VLOOKUP($C2386,'09 - MC'!$A:$F,2,0)</f>
        <v>LUMINÁRIA PÚBLICA LED 150W 4000K, PROTEÇÃO CONTRA SURTO 10 KV / 12 KA, IP66</v>
      </c>
      <c r="E2386" s="604" t="str">
        <f>VLOOKUP($C2386,'09 - MC'!$A:$F,3,0)</f>
        <v>UN</v>
      </c>
      <c r="F2386" s="603">
        <v>1</v>
      </c>
      <c r="G2386" s="604">
        <f>VLOOKUP(C2386,'09 - MC'!$A:$F,6,FALSE)</f>
        <v>570.05999999999995</v>
      </c>
      <c r="H2386" s="605">
        <f>TRUNC(G2386*F2386,2)</f>
        <v>570.05999999999995</v>
      </c>
      <c r="I2386" s="262"/>
      <c r="J2386" s="262"/>
      <c r="K2386" s="262"/>
      <c r="L2386" s="262"/>
      <c r="M2386" s="262"/>
      <c r="N2386" s="262"/>
      <c r="O2386" s="262"/>
      <c r="P2386" s="262"/>
      <c r="Q2386" s="262"/>
      <c r="R2386" s="262"/>
      <c r="S2386" s="262"/>
      <c r="T2386" s="262"/>
      <c r="U2386" s="262"/>
      <c r="V2386" s="262"/>
      <c r="W2386" s="262"/>
      <c r="X2386" s="262"/>
      <c r="Y2386" s="262"/>
      <c r="Z2386" s="262"/>
      <c r="AA2386" s="262"/>
      <c r="AB2386" s="262"/>
    </row>
    <row r="2387" spans="1:31" ht="12.75">
      <c r="A2387" s="686"/>
      <c r="B2387" s="687"/>
      <c r="C2387" s="688"/>
      <c r="D2387" s="689"/>
      <c r="E2387" s="690"/>
      <c r="F2387" s="691"/>
      <c r="G2387" s="690"/>
      <c r="H2387" s="692"/>
      <c r="I2387" s="262"/>
      <c r="J2387" s="262"/>
      <c r="K2387" s="262"/>
      <c r="L2387" s="262"/>
      <c r="M2387" s="262"/>
      <c r="N2387" s="262"/>
      <c r="O2387" s="262"/>
      <c r="P2387" s="262"/>
      <c r="Q2387" s="262"/>
      <c r="R2387" s="262"/>
      <c r="S2387" s="262"/>
      <c r="T2387" s="262"/>
      <c r="U2387" s="262"/>
      <c r="V2387" s="262"/>
      <c r="W2387" s="262"/>
      <c r="X2387" s="262"/>
      <c r="Y2387" s="262"/>
      <c r="Z2387" s="262"/>
      <c r="AA2387" s="262"/>
      <c r="AB2387" s="262"/>
    </row>
    <row r="2388" spans="1:31" ht="25.5">
      <c r="A2388" s="358" t="s">
        <v>14471</v>
      </c>
      <c r="B2388" s="359" t="s">
        <v>14472</v>
      </c>
      <c r="C2388" s="359" t="s">
        <v>15318</v>
      </c>
      <c r="D2388" s="361" t="s">
        <v>15319</v>
      </c>
      <c r="E2388" s="359" t="s">
        <v>6</v>
      </c>
      <c r="F2388" s="362"/>
      <c r="G2388" s="362"/>
      <c r="H2388" s="363">
        <f>TRUNC(SUM(H2390:H2392),2)</f>
        <v>247.98</v>
      </c>
      <c r="I2388" s="276">
        <f>COUNTIF($C$8:$C2388,C:C)</f>
        <v>1</v>
      </c>
      <c r="J2388" s="262"/>
      <c r="K2388" s="262"/>
      <c r="L2388" s="262"/>
      <c r="M2388" s="262"/>
      <c r="N2388" s="262"/>
      <c r="O2388" s="262"/>
      <c r="P2388" s="262"/>
      <c r="Q2388" s="262"/>
      <c r="R2388" s="262"/>
      <c r="S2388" s="262"/>
      <c r="T2388" s="262"/>
      <c r="U2388" s="262"/>
      <c r="V2388" s="262"/>
      <c r="W2388" s="262"/>
      <c r="X2388" s="262"/>
      <c r="Y2388" s="262"/>
      <c r="Z2388" s="262"/>
      <c r="AA2388" s="262"/>
      <c r="AB2388" s="262"/>
    </row>
    <row r="2389" spans="1:31" ht="12.75">
      <c r="A2389" s="646" t="s">
        <v>14475</v>
      </c>
      <c r="B2389" s="403" t="s">
        <v>14600</v>
      </c>
      <c r="C2389" s="404">
        <v>7996</v>
      </c>
      <c r="D2389" s="769" t="s">
        <v>15132</v>
      </c>
      <c r="E2389" s="641"/>
      <c r="F2389" s="642"/>
      <c r="G2389" s="370"/>
      <c r="H2389" s="371"/>
      <c r="I2389" s="262"/>
      <c r="J2389" s="262"/>
      <c r="K2389" s="262"/>
      <c r="L2389" s="262"/>
      <c r="M2389" s="262"/>
      <c r="N2389" s="262"/>
      <c r="O2389" s="262"/>
      <c r="P2389" s="262"/>
      <c r="Q2389" s="262"/>
      <c r="R2389" s="262"/>
      <c r="S2389" s="262"/>
      <c r="T2389" s="262"/>
      <c r="U2389" s="262"/>
      <c r="V2389" s="262"/>
      <c r="W2389" s="262"/>
      <c r="X2389" s="262"/>
      <c r="Y2389" s="262"/>
      <c r="Z2389" s="262"/>
      <c r="AA2389" s="262"/>
      <c r="AB2389" s="262"/>
    </row>
    <row r="2390" spans="1:31" ht="25.5">
      <c r="A2390" s="586" t="s">
        <v>14478</v>
      </c>
      <c r="B2390" s="373" t="s">
        <v>14476</v>
      </c>
      <c r="C2390" s="374">
        <v>88247</v>
      </c>
      <c r="D2390" s="288" t="str">
        <f>IFERROR(VLOOKUP($C2390,'24.08_ND'!$A:$D,2,0),)</f>
        <v>AUXILIAR DE ELETRICISTA COM ENCARGOS COMPLEMENTARES</v>
      </c>
      <c r="E2390" s="289" t="str">
        <f>IFERROR(VLOOKUP($C2390,'24.08_ND'!$A:$D,3,0),)</f>
        <v>H</v>
      </c>
      <c r="F2390" s="441">
        <v>0.6</v>
      </c>
      <c r="G2390" s="291">
        <f>IFERROR(VLOOKUP($C2390,'24.08_ND'!$A:$D,4,0),)</f>
        <v>20</v>
      </c>
      <c r="H2390" s="423">
        <f>TRUNC(($F2390*$G2390),2)</f>
        <v>12</v>
      </c>
      <c r="I2390" s="262"/>
      <c r="J2390" s="262"/>
      <c r="K2390" s="262"/>
      <c r="L2390" s="262"/>
      <c r="M2390" s="262"/>
      <c r="N2390" s="262"/>
      <c r="O2390" s="262"/>
      <c r="P2390" s="262"/>
      <c r="Q2390" s="262"/>
      <c r="R2390" s="262"/>
      <c r="S2390" s="262"/>
      <c r="T2390" s="262"/>
      <c r="U2390" s="262"/>
      <c r="V2390" s="262"/>
      <c r="W2390" s="262"/>
      <c r="X2390" s="262"/>
      <c r="Y2390" s="262"/>
      <c r="Z2390" s="262"/>
      <c r="AA2390" s="262"/>
      <c r="AB2390" s="262"/>
      <c r="AD2390" s="1791" t="e">
        <f>VLOOKUP(C2390,'Medição '!$B$16:$F$1833,6,0)</f>
        <v>#N/A</v>
      </c>
      <c r="AE2390" s="1791"/>
    </row>
    <row r="2391" spans="1:31" ht="25.5">
      <c r="A2391" s="586" t="s">
        <v>14478</v>
      </c>
      <c r="B2391" s="373" t="s">
        <v>14476</v>
      </c>
      <c r="C2391" s="374">
        <v>88264</v>
      </c>
      <c r="D2391" s="288" t="str">
        <f>IFERROR(VLOOKUP($C2391,'24.08_ND'!$A:$D,2,0),)</f>
        <v>ELETRICISTA COM ENCARGOS COMPLEMENTARES</v>
      </c>
      <c r="E2391" s="289" t="str">
        <f>IFERROR(VLOOKUP($C2391,'24.08_ND'!$A:$D,3,0),)</f>
        <v>H</v>
      </c>
      <c r="F2391" s="441">
        <v>0.6</v>
      </c>
      <c r="G2391" s="291">
        <f>IFERROR(VLOOKUP($C2391,'24.08_ND'!$A:$D,4,0),)</f>
        <v>24.3</v>
      </c>
      <c r="H2391" s="423">
        <f>TRUNC(($F2391*$G2391),2)</f>
        <v>14.58</v>
      </c>
      <c r="I2391" s="262"/>
      <c r="J2391" s="262"/>
      <c r="K2391" s="262"/>
      <c r="L2391" s="262"/>
      <c r="M2391" s="262"/>
      <c r="N2391" s="262"/>
      <c r="O2391" s="262"/>
      <c r="P2391" s="262"/>
      <c r="Q2391" s="262"/>
      <c r="R2391" s="262"/>
      <c r="S2391" s="262"/>
      <c r="T2391" s="262"/>
      <c r="U2391" s="262"/>
      <c r="V2391" s="262"/>
      <c r="W2391" s="262"/>
      <c r="X2391" s="262"/>
      <c r="Y2391" s="262"/>
      <c r="Z2391" s="262"/>
      <c r="AA2391" s="262"/>
      <c r="AB2391" s="262"/>
      <c r="AD2391" s="1791" t="e">
        <f>VLOOKUP(C2391,'Medição '!$B$16:$F$1833,6,0)</f>
        <v>#N/A</v>
      </c>
      <c r="AE2391" s="1791"/>
    </row>
    <row r="2392" spans="1:31" ht="38.25">
      <c r="A2392" s="590" t="s">
        <v>14479</v>
      </c>
      <c r="B2392" s="312" t="str">
        <f>VLOOKUP($C2392,'• CIs EXT'!$A:$E,2,0)</f>
        <v>CPOS/CDHU</v>
      </c>
      <c r="C2392" s="377" t="s">
        <v>15320</v>
      </c>
      <c r="D2392" s="378" t="str">
        <f>VLOOKUP($C2392,'• CIs EXT'!$A:$E,3,0)</f>
        <v>DISPOSITIVO DIFERENCIAL RESIDUAL DE 40 A X 30 MA, 2 POLOS, REF. 5SM1 314-0 MB SIEMENS OU EQUIVALENTE</v>
      </c>
      <c r="E2392" s="379" t="str">
        <f>VLOOKUP($C2392,'• CIs EXT'!$A:$E,4,0)</f>
        <v>UN</v>
      </c>
      <c r="F2392" s="442">
        <v>1</v>
      </c>
      <c r="G2392" s="379">
        <f>VLOOKUP($C2392,'• CIs EXT'!$A:$E,5,0)</f>
        <v>221.4</v>
      </c>
      <c r="H2392" s="381">
        <f>TRUNC(($F2392*$G2392),2)</f>
        <v>221.4</v>
      </c>
      <c r="I2392" s="262"/>
      <c r="J2392" s="262"/>
      <c r="K2392" s="262"/>
      <c r="L2392" s="262"/>
      <c r="M2392" s="262"/>
      <c r="N2392" s="262"/>
      <c r="O2392" s="262"/>
      <c r="P2392" s="262"/>
      <c r="Q2392" s="262"/>
      <c r="R2392" s="262"/>
      <c r="S2392" s="262"/>
      <c r="T2392" s="262"/>
      <c r="U2392" s="262"/>
      <c r="V2392" s="262"/>
      <c r="W2392" s="262"/>
      <c r="X2392" s="262"/>
      <c r="Y2392" s="262"/>
      <c r="Z2392" s="262"/>
      <c r="AA2392" s="262"/>
      <c r="AB2392" s="262"/>
    </row>
    <row r="2393" spans="1:31" ht="12.75">
      <c r="A2393" s="686"/>
      <c r="B2393" s="687"/>
      <c r="C2393" s="688"/>
      <c r="D2393" s="689"/>
      <c r="E2393" s="690"/>
      <c r="F2393" s="691"/>
      <c r="G2393" s="690"/>
      <c r="H2393" s="692"/>
      <c r="I2393" s="262"/>
      <c r="J2393" s="262"/>
      <c r="K2393" s="262"/>
      <c r="L2393" s="262"/>
      <c r="M2393" s="262"/>
      <c r="N2393" s="262"/>
      <c r="O2393" s="262"/>
      <c r="P2393" s="262"/>
      <c r="Q2393" s="262"/>
      <c r="R2393" s="262"/>
      <c r="S2393" s="262"/>
      <c r="T2393" s="262"/>
      <c r="U2393" s="262"/>
      <c r="V2393" s="262"/>
      <c r="W2393" s="262"/>
      <c r="X2393" s="262"/>
      <c r="Y2393" s="262"/>
      <c r="Z2393" s="262"/>
      <c r="AA2393" s="262"/>
      <c r="AB2393" s="262"/>
    </row>
    <row r="2394" spans="1:31" ht="25.5">
      <c r="A2394" s="358" t="s">
        <v>14471</v>
      </c>
      <c r="B2394" s="359" t="s">
        <v>14472</v>
      </c>
      <c r="C2394" s="359" t="s">
        <v>15321</v>
      </c>
      <c r="D2394" s="361" t="s">
        <v>15322</v>
      </c>
      <c r="E2394" s="359" t="s">
        <v>6</v>
      </c>
      <c r="F2394" s="362"/>
      <c r="G2394" s="362"/>
      <c r="H2394" s="363">
        <f>TRUNC(SUM(H2396:H2398),2)</f>
        <v>187.06</v>
      </c>
      <c r="I2394" s="276">
        <f>COUNTIF($C$8:$C2394,C:C)</f>
        <v>1</v>
      </c>
      <c r="J2394" s="262"/>
      <c r="K2394" s="262"/>
      <c r="L2394" s="262"/>
      <c r="M2394" s="262"/>
      <c r="N2394" s="262"/>
      <c r="O2394" s="262"/>
      <c r="P2394" s="262"/>
      <c r="Q2394" s="262"/>
      <c r="R2394" s="262"/>
      <c r="S2394" s="262"/>
      <c r="T2394" s="262"/>
      <c r="U2394" s="262"/>
      <c r="V2394" s="262"/>
      <c r="W2394" s="262"/>
      <c r="X2394" s="262"/>
      <c r="Y2394" s="262"/>
      <c r="Z2394" s="262"/>
      <c r="AA2394" s="262"/>
      <c r="AB2394" s="262"/>
    </row>
    <row r="2395" spans="1:31" ht="12.75">
      <c r="A2395" s="646" t="s">
        <v>14475</v>
      </c>
      <c r="B2395" s="403" t="s">
        <v>14600</v>
      </c>
      <c r="C2395" s="404">
        <v>7996</v>
      </c>
      <c r="D2395" s="769" t="s">
        <v>15132</v>
      </c>
      <c r="E2395" s="641"/>
      <c r="F2395" s="642"/>
      <c r="G2395" s="370"/>
      <c r="H2395" s="371"/>
      <c r="I2395" s="262"/>
      <c r="J2395" s="262"/>
      <c r="K2395" s="262"/>
      <c r="L2395" s="262"/>
      <c r="M2395" s="262"/>
      <c r="N2395" s="262"/>
      <c r="O2395" s="262"/>
      <c r="P2395" s="262"/>
      <c r="Q2395" s="262"/>
      <c r="R2395" s="262"/>
      <c r="S2395" s="262"/>
      <c r="T2395" s="262"/>
      <c r="U2395" s="262"/>
      <c r="V2395" s="262"/>
      <c r="W2395" s="262"/>
      <c r="X2395" s="262"/>
      <c r="Y2395" s="262"/>
      <c r="Z2395" s="262"/>
      <c r="AA2395" s="262"/>
      <c r="AB2395" s="262"/>
    </row>
    <row r="2396" spans="1:31" ht="25.5">
      <c r="A2396" s="586" t="s">
        <v>14478</v>
      </c>
      <c r="B2396" s="373" t="s">
        <v>14476</v>
      </c>
      <c r="C2396" s="374">
        <v>88247</v>
      </c>
      <c r="D2396" s="288" t="str">
        <f>IFERROR(VLOOKUP($C2396,'24.08_ND'!$A:$D,2,0),)</f>
        <v>AUXILIAR DE ELETRICISTA COM ENCARGOS COMPLEMENTARES</v>
      </c>
      <c r="E2396" s="289" t="str">
        <f>IFERROR(VLOOKUP($C2396,'24.08_ND'!$A:$D,3,0),)</f>
        <v>H</v>
      </c>
      <c r="F2396" s="441">
        <v>0.6</v>
      </c>
      <c r="G2396" s="291">
        <f>IFERROR(VLOOKUP($C2396,'24.08_ND'!$A:$D,4,0),)</f>
        <v>20</v>
      </c>
      <c r="H2396" s="423">
        <f>TRUNC(($F2396*$G2396),2)</f>
        <v>12</v>
      </c>
      <c r="I2396" s="262"/>
      <c r="J2396" s="262"/>
      <c r="K2396" s="262"/>
      <c r="L2396" s="262"/>
      <c r="M2396" s="262"/>
      <c r="N2396" s="262"/>
      <c r="O2396" s="262"/>
      <c r="P2396" s="262"/>
      <c r="Q2396" s="262"/>
      <c r="R2396" s="262"/>
      <c r="S2396" s="262"/>
      <c r="T2396" s="262"/>
      <c r="U2396" s="262"/>
      <c r="V2396" s="262"/>
      <c r="W2396" s="262"/>
      <c r="X2396" s="262"/>
      <c r="Y2396" s="262"/>
      <c r="Z2396" s="262"/>
      <c r="AA2396" s="262"/>
      <c r="AB2396" s="262"/>
      <c r="AD2396" s="1791" t="e">
        <f>VLOOKUP(C2396,'Medição '!$B$16:$F$1833,6,0)</f>
        <v>#N/A</v>
      </c>
      <c r="AE2396" s="1791"/>
    </row>
    <row r="2397" spans="1:31" ht="25.5">
      <c r="A2397" s="586" t="s">
        <v>14478</v>
      </c>
      <c r="B2397" s="373" t="s">
        <v>14476</v>
      </c>
      <c r="C2397" s="374">
        <v>88264</v>
      </c>
      <c r="D2397" s="288" t="str">
        <f>IFERROR(VLOOKUP($C2397,'24.08_ND'!$A:$D,2,0),)</f>
        <v>ELETRICISTA COM ENCARGOS COMPLEMENTARES</v>
      </c>
      <c r="E2397" s="289" t="str">
        <f>IFERROR(VLOOKUP($C2397,'24.08_ND'!$A:$D,3,0),)</f>
        <v>H</v>
      </c>
      <c r="F2397" s="441">
        <v>0.6</v>
      </c>
      <c r="G2397" s="291">
        <f>IFERROR(VLOOKUP($C2397,'24.08_ND'!$A:$D,4,0),)</f>
        <v>24.3</v>
      </c>
      <c r="H2397" s="423">
        <f>TRUNC(($F2397*$G2397),2)</f>
        <v>14.58</v>
      </c>
      <c r="I2397" s="262"/>
      <c r="J2397" s="262"/>
      <c r="K2397" s="262"/>
      <c r="L2397" s="262"/>
      <c r="M2397" s="262"/>
      <c r="N2397" s="262"/>
      <c r="O2397" s="262"/>
      <c r="P2397" s="262"/>
      <c r="Q2397" s="262"/>
      <c r="R2397" s="262"/>
      <c r="S2397" s="262"/>
      <c r="T2397" s="262"/>
      <c r="U2397" s="262"/>
      <c r="V2397" s="262"/>
      <c r="W2397" s="262"/>
      <c r="X2397" s="262"/>
      <c r="Y2397" s="262"/>
      <c r="Z2397" s="262"/>
      <c r="AA2397" s="262"/>
      <c r="AB2397" s="262"/>
      <c r="AD2397" s="1791" t="e">
        <f>VLOOKUP(C2397,'Medição '!$B$16:$F$1833,6,0)</f>
        <v>#N/A</v>
      </c>
      <c r="AE2397" s="1791"/>
    </row>
    <row r="2398" spans="1:31" ht="25.5">
      <c r="A2398" s="590" t="s">
        <v>14479</v>
      </c>
      <c r="B2398" s="312" t="str">
        <f>VLOOKUP($C2398,'• CIs EXT'!$A:$E,2,0)</f>
        <v>AGETOP CIVIL</v>
      </c>
      <c r="C2398" s="377">
        <v>3942</v>
      </c>
      <c r="D2398" s="378" t="str">
        <f>VLOOKUP($C2398,'• CIs EXT'!$A:$E,3,0)</f>
        <v>INTERRUPTOR DIFERENCIAL RESIDUAL (DR) TETRAPOLAR DE 40A-30mA</v>
      </c>
      <c r="E2398" s="379" t="str">
        <f>VLOOKUP($C2398,'• CIs EXT'!$A:$E,4,0)</f>
        <v>UN</v>
      </c>
      <c r="F2398" s="442">
        <v>1</v>
      </c>
      <c r="G2398" s="379">
        <f>VLOOKUP($C2398,'• CIs EXT'!$A:$E,5,0)</f>
        <v>160.47999999999999</v>
      </c>
      <c r="H2398" s="381">
        <f>TRUNC(($F2398*$G2398),2)</f>
        <v>160.47999999999999</v>
      </c>
      <c r="I2398" s="262"/>
      <c r="J2398" s="262"/>
      <c r="K2398" s="262"/>
      <c r="L2398" s="262"/>
      <c r="M2398" s="262"/>
      <c r="N2398" s="262"/>
      <c r="O2398" s="262"/>
      <c r="P2398" s="262"/>
      <c r="Q2398" s="262"/>
      <c r="R2398" s="262"/>
      <c r="S2398" s="262"/>
      <c r="T2398" s="262"/>
      <c r="U2398" s="262"/>
      <c r="V2398" s="262"/>
      <c r="W2398" s="262"/>
      <c r="X2398" s="262"/>
      <c r="Y2398" s="262"/>
      <c r="Z2398" s="262"/>
      <c r="AA2398" s="262"/>
      <c r="AB2398" s="262"/>
    </row>
    <row r="2399" spans="1:31" ht="12.75">
      <c r="A2399" s="686"/>
      <c r="B2399" s="687"/>
      <c r="C2399" s="688"/>
      <c r="D2399" s="689"/>
      <c r="E2399" s="690"/>
      <c r="F2399" s="691"/>
      <c r="G2399" s="690"/>
      <c r="H2399" s="692"/>
      <c r="I2399" s="262"/>
      <c r="J2399" s="262"/>
      <c r="K2399" s="262"/>
      <c r="L2399" s="262"/>
      <c r="M2399" s="262"/>
      <c r="N2399" s="262"/>
      <c r="O2399" s="262"/>
      <c r="P2399" s="262"/>
      <c r="Q2399" s="262"/>
      <c r="R2399" s="262"/>
      <c r="S2399" s="262"/>
      <c r="T2399" s="262"/>
      <c r="U2399" s="262"/>
      <c r="V2399" s="262"/>
      <c r="W2399" s="262"/>
      <c r="X2399" s="262"/>
      <c r="Y2399" s="262"/>
      <c r="Z2399" s="262"/>
      <c r="AA2399" s="262"/>
      <c r="AB2399" s="262"/>
    </row>
    <row r="2400" spans="1:31" ht="25.5">
      <c r="A2400" s="358" t="s">
        <v>14471</v>
      </c>
      <c r="B2400" s="359" t="s">
        <v>14472</v>
      </c>
      <c r="C2400" s="359" t="s">
        <v>15323</v>
      </c>
      <c r="D2400" s="361" t="s">
        <v>15324</v>
      </c>
      <c r="E2400" s="359" t="s">
        <v>6</v>
      </c>
      <c r="F2400" s="362"/>
      <c r="G2400" s="362"/>
      <c r="H2400" s="363">
        <f>TRUNC(SUM(H2402:H2406),2)</f>
        <v>574.4</v>
      </c>
      <c r="I2400" s="276">
        <f>COUNTIF($C$8:$C2400,C:C)</f>
        <v>1</v>
      </c>
      <c r="J2400" s="262"/>
      <c r="K2400" s="262"/>
      <c r="L2400" s="262"/>
      <c r="M2400" s="262"/>
      <c r="N2400" s="262"/>
      <c r="O2400" s="262"/>
      <c r="P2400" s="262"/>
      <c r="Q2400" s="262"/>
      <c r="R2400" s="262"/>
      <c r="S2400" s="262"/>
      <c r="T2400" s="262"/>
      <c r="U2400" s="262"/>
      <c r="V2400" s="262"/>
      <c r="W2400" s="262"/>
      <c r="X2400" s="262"/>
      <c r="Y2400" s="262"/>
      <c r="Z2400" s="262"/>
      <c r="AA2400" s="262"/>
      <c r="AB2400" s="262"/>
    </row>
    <row r="2401" spans="1:32" ht="12.75">
      <c r="A2401" s="646" t="s">
        <v>14475</v>
      </c>
      <c r="B2401" s="403" t="s">
        <v>14600</v>
      </c>
      <c r="C2401" s="404">
        <v>13321</v>
      </c>
      <c r="D2401" s="769" t="s">
        <v>14567</v>
      </c>
      <c r="E2401" s="405"/>
      <c r="F2401" s="642"/>
      <c r="G2401" s="370"/>
      <c r="H2401" s="371"/>
      <c r="I2401" s="262"/>
      <c r="J2401" s="262"/>
      <c r="K2401" s="262"/>
      <c r="L2401" s="262"/>
      <c r="M2401" s="262"/>
      <c r="N2401" s="262"/>
      <c r="O2401" s="262"/>
      <c r="P2401" s="262"/>
      <c r="Q2401" s="262"/>
      <c r="R2401" s="262"/>
      <c r="S2401" s="262"/>
      <c r="T2401" s="262"/>
      <c r="U2401" s="262"/>
      <c r="V2401" s="262"/>
      <c r="W2401" s="262"/>
      <c r="X2401" s="262"/>
      <c r="Y2401" s="262"/>
      <c r="Z2401" s="262"/>
      <c r="AA2401" s="262"/>
      <c r="AB2401" s="262"/>
    </row>
    <row r="2402" spans="1:32" ht="25.5">
      <c r="A2402" s="586" t="s">
        <v>14478</v>
      </c>
      <c r="B2402" s="373" t="s">
        <v>14476</v>
      </c>
      <c r="C2402" s="374">
        <v>88264</v>
      </c>
      <c r="D2402" s="288" t="str">
        <f>IFERROR(VLOOKUP($C2402,'24.08_ND'!$A:$D,2,0),)</f>
        <v>ELETRICISTA COM ENCARGOS COMPLEMENTARES</v>
      </c>
      <c r="E2402" s="289" t="str">
        <f>IFERROR(VLOOKUP($C2402,'24.08_ND'!$A:$D,3,0),)</f>
        <v>H</v>
      </c>
      <c r="F2402" s="441">
        <v>1</v>
      </c>
      <c r="G2402" s="291">
        <f>IFERROR(VLOOKUP($C2402,'24.08_ND'!$A:$D,4,0),)</f>
        <v>24.3</v>
      </c>
      <c r="H2402" s="440">
        <f>TRUNC(($F2402*$G2402),2)</f>
        <v>24.3</v>
      </c>
      <c r="I2402" s="262"/>
      <c r="J2402" s="262"/>
      <c r="K2402" s="262"/>
      <c r="L2402" s="262"/>
      <c r="M2402" s="262"/>
      <c r="N2402" s="262"/>
      <c r="O2402" s="262"/>
      <c r="P2402" s="262"/>
      <c r="Q2402" s="262"/>
      <c r="R2402" s="262"/>
      <c r="S2402" s="262"/>
      <c r="T2402" s="262"/>
      <c r="U2402" s="262"/>
      <c r="V2402" s="262"/>
      <c r="W2402" s="262"/>
      <c r="X2402" s="262"/>
      <c r="Y2402" s="262"/>
      <c r="Z2402" s="262"/>
      <c r="AA2402" s="262"/>
      <c r="AB2402" s="262"/>
      <c r="AD2402" s="1791" t="e">
        <f>VLOOKUP(C2402,'Medição '!$B$16:$F$1833,6,0)</f>
        <v>#N/A</v>
      </c>
      <c r="AE2402" s="1791"/>
    </row>
    <row r="2403" spans="1:32" ht="25.5">
      <c r="A2403" s="586" t="s">
        <v>14478</v>
      </c>
      <c r="B2403" s="373" t="s">
        <v>14476</v>
      </c>
      <c r="C2403" s="374">
        <v>88247</v>
      </c>
      <c r="D2403" s="288" t="str">
        <f>IFERROR(VLOOKUP($C2403,'24.08_ND'!$A:$D,2,0),)</f>
        <v>AUXILIAR DE ELETRICISTA COM ENCARGOS COMPLEMENTARES</v>
      </c>
      <c r="E2403" s="289" t="str">
        <f>IFERROR(VLOOKUP($C2403,'24.08_ND'!$A:$D,3,0),)</f>
        <v>H</v>
      </c>
      <c r="F2403" s="441">
        <v>1</v>
      </c>
      <c r="G2403" s="291">
        <f>IFERROR(VLOOKUP($C2403,'24.08_ND'!$A:$D,4,0),)</f>
        <v>20</v>
      </c>
      <c r="H2403" s="440">
        <f>TRUNC(($F2403*$G2403),2)</f>
        <v>20</v>
      </c>
      <c r="I2403" s="262"/>
      <c r="J2403" s="262"/>
      <c r="K2403" s="262"/>
      <c r="L2403" s="262"/>
      <c r="M2403" s="262"/>
      <c r="N2403" s="262"/>
      <c r="O2403" s="262"/>
      <c r="P2403" s="262"/>
      <c r="Q2403" s="262"/>
      <c r="R2403" s="262"/>
      <c r="S2403" s="262"/>
      <c r="T2403" s="262"/>
      <c r="U2403" s="262"/>
      <c r="V2403" s="262"/>
      <c r="W2403" s="262"/>
      <c r="X2403" s="262"/>
      <c r="Y2403" s="262"/>
      <c r="Z2403" s="262"/>
      <c r="AA2403" s="262"/>
      <c r="AB2403" s="262"/>
      <c r="AD2403" s="1791" t="e">
        <f>VLOOKUP(C2403,'Medição '!$B$16:$F$1833,6,0)</f>
        <v>#N/A</v>
      </c>
      <c r="AE2403" s="1791"/>
    </row>
    <row r="2404" spans="1:32" ht="25.5">
      <c r="A2404" s="788" t="s">
        <v>14479</v>
      </c>
      <c r="B2404" s="761" t="s">
        <v>14491</v>
      </c>
      <c r="C2404" s="810" t="s">
        <v>15325</v>
      </c>
      <c r="D2404" s="789" t="str">
        <f>VLOOKUP($C2404,'09 - MC'!$A:$F,2,0)</f>
        <v>QUADRO DE COMANDO EM AÇO CARBONO COM PLACA DE MONTAGEM 600X500X300MM</v>
      </c>
      <c r="E2404" s="604" t="str">
        <f>VLOOKUP($C2404,'09 - MC'!$A:$F,3,0)</f>
        <v>UN</v>
      </c>
      <c r="F2404" s="603">
        <v>1</v>
      </c>
      <c r="G2404" s="604">
        <f>VLOOKUP(C2404,'09 - MC'!$A:$F,6,FALSE)</f>
        <v>520.9</v>
      </c>
      <c r="H2404" s="605">
        <f>TRUNC(G2404*F2404,2)</f>
        <v>520.9</v>
      </c>
      <c r="I2404" s="262"/>
      <c r="J2404" s="262"/>
      <c r="K2404" s="262"/>
      <c r="L2404" s="262"/>
      <c r="M2404" s="262"/>
      <c r="N2404" s="262"/>
      <c r="O2404" s="262"/>
      <c r="P2404" s="262"/>
      <c r="Q2404" s="262"/>
      <c r="R2404" s="262"/>
      <c r="S2404" s="262"/>
      <c r="T2404" s="262"/>
      <c r="U2404" s="262"/>
      <c r="V2404" s="262"/>
      <c r="W2404" s="262"/>
      <c r="X2404" s="262"/>
      <c r="Y2404" s="262"/>
      <c r="Z2404" s="262"/>
      <c r="AA2404" s="262"/>
      <c r="AB2404" s="262"/>
    </row>
    <row r="2405" spans="1:32" ht="25.5">
      <c r="A2405" s="754" t="s">
        <v>14479</v>
      </c>
      <c r="B2405" s="312" t="str">
        <f>VLOOKUP($C2405,'• CIs EXT'!$A:$E,2,0)</f>
        <v>SETOP</v>
      </c>
      <c r="C2405" s="377" t="s">
        <v>15240</v>
      </c>
      <c r="D2405" s="378" t="str">
        <f>VLOOKUP($C2405,'• CIs EXT'!$A:$E,3,0)</f>
        <v>TRILHO PARA FIXAÇÃO DE DISJUNTORES (MATERIAL: AÇO|MEDIDAS: 35X7,5MM|TIPO: PERFURADO|PADRÃO: DIN)</v>
      </c>
      <c r="E2405" s="379" t="str">
        <f>VLOOKUP($C2405,'• CIs EXT'!$A:$E,4,0)</f>
        <v>M</v>
      </c>
      <c r="F2405" s="380">
        <v>1</v>
      </c>
      <c r="G2405" s="379">
        <f>VLOOKUP($C2405,'• CIs EXT'!$A:$E,5,0)</f>
        <v>8.9</v>
      </c>
      <c r="H2405" s="381">
        <f>TRUNC(($F2405*$G2405),2)</f>
        <v>8.9</v>
      </c>
      <c r="I2405" s="262"/>
      <c r="J2405" s="262"/>
      <c r="K2405" s="262"/>
      <c r="L2405" s="262"/>
      <c r="M2405" s="262"/>
      <c r="N2405" s="262"/>
      <c r="O2405" s="262"/>
      <c r="P2405" s="262"/>
      <c r="Q2405" s="262"/>
      <c r="R2405" s="262"/>
      <c r="S2405" s="262"/>
      <c r="T2405" s="262"/>
      <c r="U2405" s="262"/>
      <c r="V2405" s="262"/>
      <c r="W2405" s="262"/>
      <c r="X2405" s="262"/>
      <c r="Y2405" s="262"/>
      <c r="Z2405" s="262"/>
      <c r="AA2405" s="262"/>
      <c r="AB2405" s="262"/>
    </row>
    <row r="2406" spans="1:32" ht="25.5">
      <c r="A2406" s="754" t="s">
        <v>14479</v>
      </c>
      <c r="B2406" s="312" t="str">
        <f>VLOOKUP($C2406,'• CIs EXT'!$A:$E,2,0)</f>
        <v>SETOP</v>
      </c>
      <c r="C2406" s="377" t="s">
        <v>15241</v>
      </c>
      <c r="D2406" s="378" t="str">
        <f>VLOOKUP($C2406,'• CIs EXT'!$A:$E,3,0)</f>
        <v>REBITE DE REPUXO (DIÂMETRO: 3,2MM|COMPRIMENTO: 10MM|MATERIAL: ALUMÍNIO|ACABAMENTO: NATURAL)</v>
      </c>
      <c r="E2406" s="379" t="str">
        <f>VLOOKUP($C2406,'• CIs EXT'!$A:$E,4,0)</f>
        <v>UN</v>
      </c>
      <c r="F2406" s="380">
        <v>6</v>
      </c>
      <c r="G2406" s="379">
        <f>VLOOKUP($C2406,'• CIs EXT'!$A:$E,5,0)</f>
        <v>0.05</v>
      </c>
      <c r="H2406" s="381">
        <f>TRUNC(($F2406*$G2406),2)</f>
        <v>0.3</v>
      </c>
      <c r="I2406" s="262"/>
      <c r="J2406" s="262"/>
      <c r="K2406" s="262"/>
      <c r="L2406" s="262"/>
      <c r="M2406" s="262"/>
      <c r="N2406" s="262"/>
      <c r="O2406" s="262"/>
      <c r="P2406" s="262"/>
      <c r="Q2406" s="262"/>
      <c r="R2406" s="262"/>
      <c r="S2406" s="262"/>
      <c r="T2406" s="262"/>
      <c r="U2406" s="262"/>
      <c r="V2406" s="262"/>
      <c r="W2406" s="262"/>
      <c r="X2406" s="262"/>
      <c r="Y2406" s="262"/>
      <c r="Z2406" s="262"/>
      <c r="AA2406" s="262"/>
      <c r="AB2406" s="262"/>
    </row>
    <row r="2407" spans="1:32" ht="12.75">
      <c r="A2407" s="686"/>
      <c r="B2407" s="687"/>
      <c r="C2407" s="688"/>
      <c r="D2407" s="689"/>
      <c r="E2407" s="690"/>
      <c r="F2407" s="691"/>
      <c r="G2407" s="690"/>
      <c r="H2407" s="692"/>
      <c r="I2407" s="262"/>
      <c r="J2407" s="262"/>
      <c r="K2407" s="262"/>
      <c r="L2407" s="262"/>
      <c r="M2407" s="262"/>
      <c r="N2407" s="262"/>
      <c r="O2407" s="262"/>
      <c r="P2407" s="262"/>
      <c r="Q2407" s="262"/>
      <c r="R2407" s="262"/>
      <c r="S2407" s="262"/>
      <c r="T2407" s="262"/>
      <c r="U2407" s="262"/>
      <c r="V2407" s="262"/>
      <c r="W2407" s="262"/>
      <c r="X2407" s="262"/>
      <c r="Y2407" s="262"/>
      <c r="Z2407" s="262"/>
      <c r="AA2407" s="262"/>
      <c r="AB2407" s="262"/>
    </row>
    <row r="2408" spans="1:32" ht="76.5">
      <c r="A2408" s="358" t="s">
        <v>14471</v>
      </c>
      <c r="B2408" s="359" t="s">
        <v>14472</v>
      </c>
      <c r="C2408" s="359" t="s">
        <v>15326</v>
      </c>
      <c r="D2408" s="1862" t="s">
        <v>15327</v>
      </c>
      <c r="E2408" s="359" t="s">
        <v>15328</v>
      </c>
      <c r="F2408" s="362"/>
      <c r="G2408" s="362"/>
      <c r="H2408" s="363">
        <f>TRUNC(SUM(H2410:H2422),2)</f>
        <v>566.62</v>
      </c>
      <c r="I2408" s="276">
        <f>COUNTIF($C$8:$C2408,C:C)</f>
        <v>1</v>
      </c>
      <c r="J2408" s="262"/>
      <c r="K2408" s="262"/>
      <c r="L2408" s="262"/>
      <c r="M2408" s="262"/>
      <c r="N2408" s="262"/>
      <c r="O2408" s="262"/>
      <c r="P2408" s="262"/>
      <c r="Q2408" s="262"/>
      <c r="R2408" s="262"/>
      <c r="S2408" s="262"/>
      <c r="T2408" s="262"/>
      <c r="U2408" s="262"/>
      <c r="V2408" s="262"/>
      <c r="W2408" s="262"/>
      <c r="X2408" s="262"/>
      <c r="Y2408" s="262"/>
      <c r="Z2408" s="262"/>
      <c r="AA2408" s="262"/>
      <c r="AB2408" s="262"/>
      <c r="AF2408" t="s">
        <v>15327</v>
      </c>
    </row>
    <row r="2409" spans="1:32" ht="12.75">
      <c r="A2409" s="646" t="s">
        <v>14475</v>
      </c>
      <c r="B2409" s="403" t="s">
        <v>14600</v>
      </c>
      <c r="C2409" s="790">
        <v>11774</v>
      </c>
      <c r="D2409" s="769" t="s">
        <v>14567</v>
      </c>
      <c r="E2409" s="641"/>
      <c r="F2409" s="642"/>
      <c r="G2409" s="370"/>
      <c r="H2409" s="371"/>
      <c r="I2409" s="262"/>
      <c r="J2409" s="262"/>
      <c r="K2409" s="262"/>
      <c r="L2409" s="262"/>
      <c r="M2409" s="262"/>
      <c r="N2409" s="262"/>
      <c r="O2409" s="262"/>
      <c r="P2409" s="262"/>
      <c r="Q2409" s="262"/>
      <c r="R2409" s="262"/>
      <c r="S2409" s="262"/>
      <c r="T2409" s="262"/>
      <c r="U2409" s="262"/>
      <c r="V2409" s="262"/>
      <c r="W2409" s="262"/>
      <c r="X2409" s="262"/>
      <c r="Y2409" s="262"/>
      <c r="Z2409" s="262"/>
      <c r="AA2409" s="262"/>
      <c r="AB2409" s="262"/>
    </row>
    <row r="2410" spans="1:32" ht="38.25">
      <c r="A2410" s="586" t="s">
        <v>14478</v>
      </c>
      <c r="B2410" s="373" t="s">
        <v>14476</v>
      </c>
      <c r="C2410" s="811">
        <v>103321</v>
      </c>
      <c r="D2410" s="812" t="str">
        <f>IFERROR(VLOOKUP($C2410,'24.08_ND'!$A:$D,2,0),)</f>
        <v>ALVENARIA DE VEDAÇÃO DE BLOCOS VAZADOS DE CONCRETO DE 19X19X39 CM (ESPESSURA 19 CM) E ARGAMASSA DE ASSENTAMENTO COM PREPARO MANUAL. AF_12/2021</v>
      </c>
      <c r="E2410" s="595" t="str">
        <f>IFERROR(VLOOKUP($C2410,'24.08_ND'!$A:$D,3,0),)</f>
        <v>M2</v>
      </c>
      <c r="F2410" s="441">
        <v>1</v>
      </c>
      <c r="G2410" s="595">
        <f>IFERROR(VLOOKUP($C2410,'24.08_ND'!$A:$D,4,0),)</f>
        <v>113.4</v>
      </c>
      <c r="H2410" s="440">
        <f t="shared" ref="H2410:H2422" si="78">TRUNC(($F2410*$G2410),2)</f>
        <v>113.4</v>
      </c>
      <c r="I2410" s="262"/>
      <c r="J2410" s="262"/>
      <c r="K2410" s="262"/>
      <c r="L2410" s="262"/>
      <c r="M2410" s="262"/>
      <c r="N2410" s="262"/>
      <c r="O2410" s="262"/>
      <c r="P2410" s="262"/>
      <c r="Q2410" s="262"/>
      <c r="R2410" s="262"/>
      <c r="S2410" s="262"/>
      <c r="T2410" s="262"/>
      <c r="U2410" s="262"/>
      <c r="V2410" s="262"/>
      <c r="W2410" s="262"/>
      <c r="X2410" s="262"/>
      <c r="Y2410" s="262"/>
      <c r="Z2410" s="262"/>
      <c r="AA2410" s="262"/>
      <c r="AB2410" s="262"/>
      <c r="AD2410" s="1791" t="e">
        <f>VLOOKUP(C2410,'Medição '!$B$16:$F$1833,6,0)</f>
        <v>#N/A</v>
      </c>
      <c r="AE2410" s="1791"/>
    </row>
    <row r="2411" spans="1:32" ht="25.5">
      <c r="A2411" s="586" t="s">
        <v>14478</v>
      </c>
      <c r="B2411" s="373" t="s">
        <v>14476</v>
      </c>
      <c r="C2411" s="791">
        <v>88485</v>
      </c>
      <c r="D2411" s="812" t="str">
        <f>IFERROR(VLOOKUP($C2411,'24.08_ND'!$A:$D,2,0),)</f>
        <v>FUNDO SELADOR ACRÍLICO, APLICAÇÃO MANUAL EM PAREDE, UMA DEMÃO. AF_04/2023</v>
      </c>
      <c r="E2411" s="595" t="str">
        <f>IFERROR(VLOOKUP($C2411,'24.08_ND'!$A:$D,3,0),)</f>
        <v>M2</v>
      </c>
      <c r="F2411" s="441">
        <v>3.1</v>
      </c>
      <c r="G2411" s="595">
        <f>IFERROR(VLOOKUP($C2411,'24.08_ND'!$A:$D,4,0),)</f>
        <v>2.94</v>
      </c>
      <c r="H2411" s="440">
        <f t="shared" si="78"/>
        <v>9.11</v>
      </c>
      <c r="I2411" s="262"/>
      <c r="J2411" s="262"/>
      <c r="K2411" s="262"/>
      <c r="L2411" s="262"/>
      <c r="M2411" s="262"/>
      <c r="N2411" s="262"/>
      <c r="O2411" s="262"/>
      <c r="P2411" s="262"/>
      <c r="Q2411" s="262"/>
      <c r="R2411" s="262"/>
      <c r="S2411" s="262"/>
      <c r="T2411" s="262"/>
      <c r="U2411" s="262"/>
      <c r="V2411" s="262"/>
      <c r="W2411" s="262"/>
      <c r="X2411" s="262"/>
      <c r="Y2411" s="262"/>
      <c r="Z2411" s="262"/>
      <c r="AA2411" s="262"/>
      <c r="AB2411" s="262"/>
      <c r="AD2411" s="1791" t="e">
        <f>VLOOKUP(C2411,'Medição '!$B$16:$F$1833,6,0)</f>
        <v>#REF!</v>
      </c>
      <c r="AE2411" s="1791"/>
    </row>
    <row r="2412" spans="1:32" ht="25.5">
      <c r="A2412" s="586" t="s">
        <v>14478</v>
      </c>
      <c r="B2412" s="373" t="s">
        <v>14476</v>
      </c>
      <c r="C2412" s="811">
        <v>96135</v>
      </c>
      <c r="D2412" s="812" t="str">
        <f>IFERROR(VLOOKUP($C2412,'24.08_ND'!$A:$D,2,0),)</f>
        <v>APLICAÇÃO MANUAL DE MASSA ACRÍLICA EM PAREDES EXTERNAS DE CASAS, DUAS DEMÃOS. AF_03/2024</v>
      </c>
      <c r="E2412" s="595" t="str">
        <f>IFERROR(VLOOKUP($C2412,'24.08_ND'!$A:$D,3,0),)</f>
        <v>M2</v>
      </c>
      <c r="F2412" s="441">
        <v>3.1</v>
      </c>
      <c r="G2412" s="595">
        <f>IFERROR(VLOOKUP($C2412,'24.08_ND'!$A:$D,4,0),)</f>
        <v>25.44</v>
      </c>
      <c r="H2412" s="440">
        <f t="shared" si="78"/>
        <v>78.86</v>
      </c>
      <c r="I2412" s="262"/>
      <c r="J2412" s="262"/>
      <c r="K2412" s="262"/>
      <c r="L2412" s="262"/>
      <c r="M2412" s="262"/>
      <c r="N2412" s="262"/>
      <c r="O2412" s="262"/>
      <c r="P2412" s="262"/>
      <c r="Q2412" s="262"/>
      <c r="R2412" s="262"/>
      <c r="S2412" s="262"/>
      <c r="T2412" s="262"/>
      <c r="U2412" s="262"/>
      <c r="V2412" s="262"/>
      <c r="W2412" s="262"/>
      <c r="X2412" s="262"/>
      <c r="Y2412" s="262"/>
      <c r="Z2412" s="262"/>
      <c r="AA2412" s="262"/>
      <c r="AB2412" s="262"/>
      <c r="AD2412" s="1791" t="e">
        <f>VLOOKUP(C2412,'Medição '!$B$16:$F$1833,6,0)</f>
        <v>#REF!</v>
      </c>
      <c r="AE2412" s="1791"/>
    </row>
    <row r="2413" spans="1:32" ht="25.5">
      <c r="A2413" s="586" t="s">
        <v>14478</v>
      </c>
      <c r="B2413" s="373" t="s">
        <v>14476</v>
      </c>
      <c r="C2413" s="791">
        <v>88489</v>
      </c>
      <c r="D2413" s="812" t="str">
        <f>IFERROR(VLOOKUP($C2413,'24.08_ND'!$A:$D,2,0),)</f>
        <v>PINTURA LÁTEX ACRÍLICA PREMIUM, APLICAÇÃO MANUAL EM PAREDES, DUAS DEMÃOS. AF_04/2023</v>
      </c>
      <c r="E2413" s="595" t="str">
        <f>IFERROR(VLOOKUP($C2413,'24.08_ND'!$A:$D,3,0),)</f>
        <v>M2</v>
      </c>
      <c r="F2413" s="441">
        <v>3.1</v>
      </c>
      <c r="G2413" s="595">
        <f>IFERROR(VLOOKUP($C2413,'24.08_ND'!$A:$D,4,0),)</f>
        <v>10.96</v>
      </c>
      <c r="H2413" s="440">
        <f t="shared" si="78"/>
        <v>33.97</v>
      </c>
      <c r="I2413" s="262"/>
      <c r="J2413" s="262"/>
      <c r="K2413" s="262"/>
      <c r="L2413" s="262"/>
      <c r="M2413" s="262"/>
      <c r="N2413" s="262"/>
      <c r="O2413" s="262"/>
      <c r="P2413" s="262"/>
      <c r="Q2413" s="262"/>
      <c r="R2413" s="262"/>
      <c r="S2413" s="262"/>
      <c r="T2413" s="262"/>
      <c r="U2413" s="262"/>
      <c r="V2413" s="262"/>
      <c r="W2413" s="262"/>
      <c r="X2413" s="262"/>
      <c r="Y2413" s="262"/>
      <c r="Z2413" s="262"/>
      <c r="AA2413" s="262"/>
      <c r="AB2413" s="262"/>
      <c r="AD2413" s="1791" t="e">
        <f>VLOOKUP(C2413,'Medição '!$B$16:$F$1833,6,0)</f>
        <v>#N/A</v>
      </c>
      <c r="AE2413" s="1791"/>
    </row>
    <row r="2414" spans="1:32" ht="25.5">
      <c r="A2414" s="586" t="s">
        <v>14478</v>
      </c>
      <c r="B2414" s="373" t="s">
        <v>14476</v>
      </c>
      <c r="C2414" s="811">
        <v>92917</v>
      </c>
      <c r="D2414" s="812" t="str">
        <f>IFERROR(VLOOKUP($C2414,'24.08_ND'!$A:$D,2,0),)</f>
        <v>ARMAÇÃO DE ESTRUTURAS DIVERSAS DE CONCRETO ARMADO, EXCETO VIGAS, PILARES, LAJES E FUNDAÇÕES, UTILIZANDO AÇO CA-50 DE 8,0 MM - MONTAGEM. AF_06/2022</v>
      </c>
      <c r="E2414" s="595" t="str">
        <f>IFERROR(VLOOKUP($C2414,'24.08_ND'!$A:$D,3,0),)</f>
        <v>KG</v>
      </c>
      <c r="F2414" s="441">
        <v>4.5030000000000001</v>
      </c>
      <c r="G2414" s="595">
        <f>IFERROR(VLOOKUP($C2414,'24.08_ND'!$A:$D,4,0),)</f>
        <v>13.74</v>
      </c>
      <c r="H2414" s="440">
        <f t="shared" si="78"/>
        <v>61.87</v>
      </c>
      <c r="I2414" s="262"/>
      <c r="J2414" s="262"/>
      <c r="K2414" s="262"/>
      <c r="L2414" s="262"/>
      <c r="M2414" s="262"/>
      <c r="N2414" s="262"/>
      <c r="O2414" s="262"/>
      <c r="P2414" s="262"/>
      <c r="Q2414" s="262"/>
      <c r="R2414" s="262"/>
      <c r="S2414" s="262"/>
      <c r="T2414" s="262"/>
      <c r="U2414" s="262"/>
      <c r="V2414" s="262"/>
      <c r="W2414" s="262"/>
      <c r="X2414" s="262"/>
      <c r="Y2414" s="262"/>
      <c r="Z2414" s="262"/>
      <c r="AA2414" s="262"/>
      <c r="AB2414" s="262"/>
      <c r="AD2414" s="1791" t="e">
        <f>VLOOKUP(C2414,'Medição '!$B$16:$F$1833,6,0)</f>
        <v>#REF!</v>
      </c>
      <c r="AE2414" s="1791"/>
    </row>
    <row r="2415" spans="1:32" ht="38.25">
      <c r="A2415" s="586" t="s">
        <v>14478</v>
      </c>
      <c r="B2415" s="373" t="s">
        <v>14476</v>
      </c>
      <c r="C2415" s="791">
        <v>87893</v>
      </c>
      <c r="D2415" s="812" t="str">
        <f>IFERROR(VLOOKUP($C2415,'24.08_ND'!$A:$D,2,0),)</f>
        <v>CHAPISCO APLICADO EM ALVENARIA (SEM PRESENÇA DE VÃOS) E ESTRUTURAS DE CONCRETO DE FACHADA, COM COLHER DE PEDREIRO.  ARGAMASSA TRAÇO 1:3 COM PREPARO MANUAL. AF_10/2022</v>
      </c>
      <c r="E2415" s="595" t="str">
        <f>IFERROR(VLOOKUP($C2415,'24.08_ND'!$A:$D,3,0),)</f>
        <v>M2</v>
      </c>
      <c r="F2415" s="441">
        <v>3.1</v>
      </c>
      <c r="G2415" s="595">
        <f>IFERROR(VLOOKUP($C2415,'24.08_ND'!$A:$D,4,0),)</f>
        <v>6.44</v>
      </c>
      <c r="H2415" s="440">
        <f t="shared" si="78"/>
        <v>19.96</v>
      </c>
      <c r="I2415" s="262"/>
      <c r="J2415" s="262"/>
      <c r="K2415" s="262"/>
      <c r="L2415" s="262"/>
      <c r="M2415" s="262"/>
      <c r="N2415" s="262"/>
      <c r="O2415" s="262"/>
      <c r="P2415" s="262"/>
      <c r="Q2415" s="262"/>
      <c r="R2415" s="262"/>
      <c r="S2415" s="262"/>
      <c r="T2415" s="262"/>
      <c r="U2415" s="262"/>
      <c r="V2415" s="262"/>
      <c r="W2415" s="262"/>
      <c r="X2415" s="262"/>
      <c r="Y2415" s="262"/>
      <c r="Z2415" s="262"/>
      <c r="AA2415" s="262"/>
      <c r="AB2415" s="262"/>
      <c r="AD2415" s="1791" t="e">
        <f>VLOOKUP(C2415,'Medição '!$B$16:$F$1833,6,0)</f>
        <v>#N/A</v>
      </c>
      <c r="AE2415" s="1791"/>
    </row>
    <row r="2416" spans="1:32" ht="25.5">
      <c r="A2416" s="586" t="s">
        <v>14478</v>
      </c>
      <c r="B2416" s="373" t="s">
        <v>14476</v>
      </c>
      <c r="C2416" s="811">
        <v>105033</v>
      </c>
      <c r="D2416" s="812" t="str">
        <f>IFERROR(VLOOKUP($C2416,'24.08_ND'!$A:$D,2,0),)</f>
        <v>CINTA DE AMARRAÇÃO DE ALVENARIA MOLDADA IN LOCO COM UTILIZAÇÃO DE BLOCOS CANALETA, ESPESSURA DE *15* CM. AF_03/2024</v>
      </c>
      <c r="E2416" s="595" t="str">
        <f>IFERROR(VLOOKUP($C2416,'24.08_ND'!$A:$D,3,0),)</f>
        <v>M</v>
      </c>
      <c r="F2416" s="441">
        <v>2</v>
      </c>
      <c r="G2416" s="595">
        <f>IFERROR(VLOOKUP($C2416,'24.08_ND'!$A:$D,4,0),)</f>
        <v>54.62</v>
      </c>
      <c r="H2416" s="440">
        <f t="shared" si="78"/>
        <v>109.24</v>
      </c>
      <c r="I2416" s="262"/>
      <c r="J2416" s="262"/>
      <c r="K2416" s="262"/>
      <c r="L2416" s="262"/>
      <c r="M2416" s="262"/>
      <c r="N2416" s="262"/>
      <c r="O2416" s="262"/>
      <c r="P2416" s="262"/>
      <c r="Q2416" s="262"/>
      <c r="R2416" s="262"/>
      <c r="S2416" s="262"/>
      <c r="T2416" s="262"/>
      <c r="U2416" s="262"/>
      <c r="V2416" s="262"/>
      <c r="W2416" s="262"/>
      <c r="X2416" s="262"/>
      <c r="Y2416" s="262"/>
      <c r="Z2416" s="262"/>
      <c r="AA2416" s="262"/>
      <c r="AB2416" s="262"/>
      <c r="AD2416" s="1791" t="e">
        <f>VLOOKUP(C2416,'Medição '!$B$16:$F$1833,6,0)</f>
        <v>#N/A</v>
      </c>
      <c r="AE2416" s="1791"/>
    </row>
    <row r="2417" spans="1:31" ht="25.5">
      <c r="A2417" s="586" t="s">
        <v>14478</v>
      </c>
      <c r="B2417" s="373" t="s">
        <v>14476</v>
      </c>
      <c r="C2417" s="791">
        <v>94975</v>
      </c>
      <c r="D2417" s="812" t="str">
        <f>IFERROR(VLOOKUP($C2417,'24.08_ND'!$A:$D,2,0),)</f>
        <v>CONCRETO FCK = 15MPA, TRAÇO 1:3,4:3,5 (EM MASSA SECA DE CIMENTO/ AREIA MÉDIA/ BRITA 1) - PREPARO MANUAL. AF_05/2021</v>
      </c>
      <c r="E2417" s="595" t="str">
        <f>IFERROR(VLOOKUP($C2417,'24.08_ND'!$A:$D,3,0),)</f>
        <v>M3</v>
      </c>
      <c r="F2417" s="441">
        <v>4.0500000000000001E-2</v>
      </c>
      <c r="G2417" s="595">
        <f>IFERROR(VLOOKUP($C2417,'24.08_ND'!$A:$D,4,0),)</f>
        <v>501.37</v>
      </c>
      <c r="H2417" s="440">
        <f t="shared" si="78"/>
        <v>20.3</v>
      </c>
      <c r="I2417" s="262"/>
      <c r="J2417" s="262"/>
      <c r="K2417" s="262"/>
      <c r="L2417" s="262"/>
      <c r="M2417" s="262"/>
      <c r="N2417" s="262"/>
      <c r="O2417" s="262"/>
      <c r="P2417" s="262"/>
      <c r="Q2417" s="262"/>
      <c r="R2417" s="262"/>
      <c r="S2417" s="262"/>
      <c r="T2417" s="262"/>
      <c r="U2417" s="262"/>
      <c r="V2417" s="262"/>
      <c r="W2417" s="262"/>
      <c r="X2417" s="262"/>
      <c r="Y2417" s="262"/>
      <c r="Z2417" s="262"/>
      <c r="AA2417" s="262"/>
      <c r="AB2417" s="262"/>
      <c r="AD2417" s="1791" t="e">
        <f>VLOOKUP(C2417,'Medição '!$B$16:$F$1833,6,0)</f>
        <v>#N/A</v>
      </c>
      <c r="AE2417" s="1791"/>
    </row>
    <row r="2418" spans="1:31" ht="25.5">
      <c r="A2418" s="586" t="s">
        <v>14478</v>
      </c>
      <c r="B2418" s="373" t="s">
        <v>14476</v>
      </c>
      <c r="C2418" s="811">
        <v>94974</v>
      </c>
      <c r="D2418" s="812" t="str">
        <f>IFERROR(VLOOKUP($C2418,'24.08_ND'!$A:$D,2,0),)</f>
        <v>CONCRETO MAGRO PARA LASTRO, TRAÇO 1:4,5:4,5 (EM MASSA SECA DE CIMENTO/ AREIA MÉDIA/ BRITA 1) - PREPARO MANUAL. AF_05/2021</v>
      </c>
      <c r="E2418" s="595" t="str">
        <f>IFERROR(VLOOKUP($C2418,'24.08_ND'!$A:$D,3,0),)</f>
        <v>M3</v>
      </c>
      <c r="F2418" s="441">
        <v>5.2019999999999997E-2</v>
      </c>
      <c r="G2418" s="595">
        <f>IFERROR(VLOOKUP($C2418,'24.08_ND'!$A:$D,4,0),)</f>
        <v>464.1</v>
      </c>
      <c r="H2418" s="440">
        <f t="shared" si="78"/>
        <v>24.14</v>
      </c>
      <c r="I2418" s="262"/>
      <c r="J2418" s="262"/>
      <c r="K2418" s="262"/>
      <c r="L2418" s="262"/>
      <c r="M2418" s="262"/>
      <c r="N2418" s="262"/>
      <c r="O2418" s="262"/>
      <c r="P2418" s="262"/>
      <c r="Q2418" s="262"/>
      <c r="R2418" s="262"/>
      <c r="S2418" s="262"/>
      <c r="T2418" s="262"/>
      <c r="U2418" s="262"/>
      <c r="V2418" s="262"/>
      <c r="W2418" s="262"/>
      <c r="X2418" s="262"/>
      <c r="Y2418" s="262"/>
      <c r="Z2418" s="262"/>
      <c r="AA2418" s="262"/>
      <c r="AB2418" s="262"/>
      <c r="AD2418" s="1791" t="e">
        <f>VLOOKUP(C2418,'Medição '!$B$16:$F$1833,6,0)</f>
        <v>#N/A</v>
      </c>
      <c r="AE2418" s="1791"/>
    </row>
    <row r="2419" spans="1:31" ht="25.5">
      <c r="A2419" s="586" t="s">
        <v>14478</v>
      </c>
      <c r="B2419" s="373" t="s">
        <v>14476</v>
      </c>
      <c r="C2419" s="791">
        <v>93358</v>
      </c>
      <c r="D2419" s="812" t="str">
        <f>IFERROR(VLOOKUP($C2419,'24.08_ND'!$A:$D,2,0),)</f>
        <v>ESCAVAÇÃO MANUAL DE VALA COM PROFUNDIDADE MENOR OU IGUAL A 1,30 M. AF_02/2021</v>
      </c>
      <c r="E2419" s="595" t="str">
        <f>IFERROR(VLOOKUP($C2419,'24.08_ND'!$A:$D,3,0),)</f>
        <v>M3</v>
      </c>
      <c r="F2419" s="441">
        <v>0.2</v>
      </c>
      <c r="G2419" s="595">
        <f>IFERROR(VLOOKUP($C2419,'24.08_ND'!$A:$D,4,0),)</f>
        <v>73.22</v>
      </c>
      <c r="H2419" s="440">
        <f t="shared" si="78"/>
        <v>14.64</v>
      </c>
      <c r="I2419" s="262"/>
      <c r="J2419" s="262"/>
      <c r="K2419" s="262"/>
      <c r="L2419" s="262"/>
      <c r="M2419" s="262"/>
      <c r="N2419" s="262"/>
      <c r="O2419" s="262"/>
      <c r="P2419" s="262"/>
      <c r="Q2419" s="262"/>
      <c r="R2419" s="262"/>
      <c r="S2419" s="262"/>
      <c r="T2419" s="262"/>
      <c r="U2419" s="262"/>
      <c r="V2419" s="262"/>
      <c r="W2419" s="262"/>
      <c r="X2419" s="262"/>
      <c r="Y2419" s="262"/>
      <c r="Z2419" s="262"/>
      <c r="AA2419" s="262"/>
      <c r="AB2419" s="262"/>
      <c r="AD2419" s="1791" t="e">
        <f>VLOOKUP(C2419,'Medição '!$B$16:$F$1833,6,0)</f>
        <v>#REF!</v>
      </c>
      <c r="AE2419" s="1791"/>
    </row>
    <row r="2420" spans="1:31" ht="38.25">
      <c r="A2420" s="586" t="s">
        <v>14478</v>
      </c>
      <c r="B2420" s="373" t="s">
        <v>14476</v>
      </c>
      <c r="C2420" s="811">
        <v>87548</v>
      </c>
      <c r="D2420" s="812" t="str">
        <f>IFERROR(VLOOKUP($C2420,'24.08_ND'!$A:$D,2,0),)</f>
        <v>MASSA ÚNICA, EM ARGAMASSA TRAÇO 1:2:8, PREPARO MANUAL, APLICADA MANUALMENTE EM PAREDES INTERNAS DE AMBIENTES COM ÁREA ENTRE 5M² E 10M², E = 10MM, COM TALISCAS. AF_03/2024</v>
      </c>
      <c r="E2420" s="595" t="str">
        <f>IFERROR(VLOOKUP($C2420,'24.08_ND'!$A:$D,3,0),)</f>
        <v>M2</v>
      </c>
      <c r="F2420" s="441">
        <v>3.1</v>
      </c>
      <c r="G2420" s="595">
        <f>IFERROR(VLOOKUP($C2420,'24.08_ND'!$A:$D,4,0),)</f>
        <v>24.79</v>
      </c>
      <c r="H2420" s="440">
        <f t="shared" si="78"/>
        <v>76.84</v>
      </c>
      <c r="I2420" s="262"/>
      <c r="J2420" s="262"/>
      <c r="K2420" s="262"/>
      <c r="L2420" s="262"/>
      <c r="M2420" s="262"/>
      <c r="N2420" s="262"/>
      <c r="O2420" s="262"/>
      <c r="P2420" s="262"/>
      <c r="Q2420" s="262"/>
      <c r="R2420" s="262"/>
      <c r="S2420" s="262"/>
      <c r="T2420" s="262"/>
      <c r="U2420" s="262"/>
      <c r="V2420" s="262"/>
      <c r="W2420" s="262"/>
      <c r="X2420" s="262"/>
      <c r="Y2420" s="262"/>
      <c r="Z2420" s="262"/>
      <c r="AA2420" s="262"/>
      <c r="AB2420" s="262"/>
      <c r="AD2420" s="1791" t="e">
        <f>VLOOKUP(C2420,'Medição '!$B$16:$F$1833,6,0)</f>
        <v>#N/A</v>
      </c>
      <c r="AE2420" s="1791"/>
    </row>
    <row r="2421" spans="1:31" ht="25.5">
      <c r="A2421" s="586" t="s">
        <v>14478</v>
      </c>
      <c r="B2421" s="373" t="s">
        <v>14476</v>
      </c>
      <c r="C2421" s="791">
        <v>101616</v>
      </c>
      <c r="D2421" s="812" t="str">
        <f>IFERROR(VLOOKUP($C2421,'24.08_ND'!$A:$D,2,0),)</f>
        <v>PREPARO DE FUNDO DE VALA COM LARGURA MENOR QUE 1,5 M (ACERTO DO SOLO NATURAL). AF_08/2020</v>
      </c>
      <c r="E2421" s="595" t="str">
        <f>IFERROR(VLOOKUP($C2421,'24.08_ND'!$A:$D,3,0),)</f>
        <v>M2</v>
      </c>
      <c r="F2421" s="441">
        <v>0.4</v>
      </c>
      <c r="G2421" s="595">
        <f>IFERROR(VLOOKUP($C2421,'24.08_ND'!$A:$D,4,0),)</f>
        <v>5.37</v>
      </c>
      <c r="H2421" s="440">
        <f t="shared" si="78"/>
        <v>2.14</v>
      </c>
      <c r="I2421" s="262"/>
      <c r="J2421" s="262"/>
      <c r="K2421" s="262"/>
      <c r="L2421" s="262"/>
      <c r="M2421" s="262"/>
      <c r="N2421" s="262"/>
      <c r="O2421" s="262"/>
      <c r="P2421" s="262"/>
      <c r="Q2421" s="262"/>
      <c r="R2421" s="262"/>
      <c r="S2421" s="262"/>
      <c r="T2421" s="262"/>
      <c r="U2421" s="262"/>
      <c r="V2421" s="262"/>
      <c r="W2421" s="262"/>
      <c r="X2421" s="262"/>
      <c r="Y2421" s="262"/>
      <c r="Z2421" s="262"/>
      <c r="AA2421" s="262"/>
      <c r="AB2421" s="262"/>
      <c r="AD2421" s="1791" t="e">
        <f>VLOOKUP(C2421,'Medição '!$B$16:$F$1833,6,0)</f>
        <v>#REF!</v>
      </c>
      <c r="AE2421" s="1791"/>
    </row>
    <row r="2422" spans="1:31" ht="25.5">
      <c r="A2422" s="586" t="s">
        <v>14478</v>
      </c>
      <c r="B2422" s="373" t="s">
        <v>14476</v>
      </c>
      <c r="C2422" s="811">
        <v>93382</v>
      </c>
      <c r="D2422" s="812" t="str">
        <f>IFERROR(VLOOKUP($C2422,'24.08_ND'!$A:$D,2,0),)</f>
        <v>REATERRO MANUAL DE VALAS, COM COMPACTADOR DE SOLOS DE PERCUSSÃO. AF_08/2023</v>
      </c>
      <c r="E2422" s="595" t="str">
        <f>IFERROR(VLOOKUP($C2422,'24.08_ND'!$A:$D,3,0),)</f>
        <v>M3</v>
      </c>
      <c r="F2422" s="441">
        <v>0.1</v>
      </c>
      <c r="G2422" s="595">
        <f>IFERROR(VLOOKUP($C2422,'24.08_ND'!$A:$D,4,0),)</f>
        <v>21.51</v>
      </c>
      <c r="H2422" s="440">
        <f t="shared" si="78"/>
        <v>2.15</v>
      </c>
      <c r="I2422" s="262"/>
      <c r="J2422" s="262"/>
      <c r="K2422" s="262"/>
      <c r="L2422" s="262"/>
      <c r="M2422" s="262"/>
      <c r="N2422" s="262"/>
      <c r="O2422" s="262"/>
      <c r="P2422" s="262"/>
      <c r="Q2422" s="262"/>
      <c r="R2422" s="262"/>
      <c r="S2422" s="262"/>
      <c r="T2422" s="262"/>
      <c r="U2422" s="262"/>
      <c r="V2422" s="262"/>
      <c r="W2422" s="262"/>
      <c r="X2422" s="262"/>
      <c r="Y2422" s="262"/>
      <c r="Z2422" s="262"/>
      <c r="AA2422" s="262"/>
      <c r="AB2422" s="262"/>
      <c r="AD2422" s="1791" t="e">
        <f>VLOOKUP(C2422,'Medição '!$B$16:$F$1833,6,0)</f>
        <v>#REF!</v>
      </c>
      <c r="AE2422" s="1791"/>
    </row>
    <row r="2423" spans="1:31" ht="12.75">
      <c r="A2423" s="686"/>
      <c r="B2423" s="687"/>
      <c r="C2423" s="688"/>
      <c r="D2423" s="689"/>
      <c r="E2423" s="690"/>
      <c r="F2423" s="691"/>
      <c r="G2423" s="690"/>
      <c r="H2423" s="692"/>
      <c r="I2423" s="262"/>
      <c r="J2423" s="262"/>
      <c r="K2423" s="262"/>
      <c r="L2423" s="262"/>
      <c r="M2423" s="262"/>
      <c r="N2423" s="262"/>
      <c r="O2423" s="262"/>
      <c r="P2423" s="262"/>
      <c r="Q2423" s="262"/>
      <c r="R2423" s="262"/>
      <c r="S2423" s="262"/>
      <c r="T2423" s="262"/>
      <c r="U2423" s="262"/>
      <c r="V2423" s="262"/>
      <c r="W2423" s="262"/>
      <c r="X2423" s="262"/>
      <c r="Y2423" s="262"/>
      <c r="Z2423" s="262"/>
      <c r="AA2423" s="262"/>
      <c r="AB2423" s="262"/>
    </row>
    <row r="2424" spans="1:31" ht="12.75">
      <c r="A2424" s="358" t="s">
        <v>14471</v>
      </c>
      <c r="B2424" s="359" t="s">
        <v>14472</v>
      </c>
      <c r="C2424" s="359" t="s">
        <v>15329</v>
      </c>
      <c r="D2424" s="813" t="s">
        <v>15306</v>
      </c>
      <c r="E2424" s="359" t="s">
        <v>6</v>
      </c>
      <c r="F2424" s="814"/>
      <c r="G2424" s="814"/>
      <c r="H2424" s="363">
        <f>TRUNC(SUM(H2426:H2428),2)</f>
        <v>8.4600000000000009</v>
      </c>
      <c r="I2424" s="276">
        <f>COUNTIF($C$8:$C2424,C:C)</f>
        <v>1</v>
      </c>
      <c r="J2424" s="262"/>
      <c r="K2424" s="262"/>
      <c r="L2424" s="262"/>
      <c r="M2424" s="262"/>
      <c r="N2424" s="262"/>
      <c r="O2424" s="262"/>
      <c r="P2424" s="262"/>
      <c r="Q2424" s="262"/>
      <c r="R2424" s="262"/>
      <c r="S2424" s="262"/>
      <c r="T2424" s="262"/>
      <c r="U2424" s="262"/>
      <c r="V2424" s="262"/>
      <c r="W2424" s="262"/>
      <c r="X2424" s="262"/>
      <c r="Y2424" s="262"/>
      <c r="Z2424" s="262"/>
      <c r="AA2424" s="262"/>
      <c r="AB2424" s="262"/>
    </row>
    <row r="2425" spans="1:31" ht="12.75">
      <c r="A2425" s="646" t="s">
        <v>14475</v>
      </c>
      <c r="B2425" s="403" t="s">
        <v>14562</v>
      </c>
      <c r="C2425" s="404" t="s">
        <v>15330</v>
      </c>
      <c r="D2425" s="769" t="s">
        <v>14567</v>
      </c>
      <c r="E2425" s="405"/>
      <c r="F2425" s="642"/>
      <c r="G2425" s="370"/>
      <c r="H2425" s="371"/>
      <c r="I2425" s="262"/>
      <c r="J2425" s="262"/>
      <c r="K2425" s="262"/>
      <c r="L2425" s="262"/>
      <c r="M2425" s="262"/>
      <c r="N2425" s="262"/>
      <c r="O2425" s="262"/>
      <c r="P2425" s="262"/>
      <c r="Q2425" s="262"/>
      <c r="R2425" s="262"/>
      <c r="S2425" s="262"/>
      <c r="T2425" s="262"/>
      <c r="U2425" s="262"/>
      <c r="V2425" s="262"/>
      <c r="W2425" s="262"/>
      <c r="X2425" s="262"/>
      <c r="Y2425" s="262"/>
      <c r="Z2425" s="262"/>
      <c r="AA2425" s="262"/>
      <c r="AB2425" s="262"/>
    </row>
    <row r="2426" spans="1:31" ht="25.5">
      <c r="A2426" s="586" t="s">
        <v>14478</v>
      </c>
      <c r="B2426" s="373" t="s">
        <v>14476</v>
      </c>
      <c r="C2426" s="374">
        <v>88264</v>
      </c>
      <c r="D2426" s="812" t="str">
        <f>IFERROR(VLOOKUP($C2426,'24.08_ND'!$A:$D,2,0),)</f>
        <v>ELETRICISTA COM ENCARGOS COMPLEMENTARES</v>
      </c>
      <c r="E2426" s="595" t="str">
        <f>IFERROR(VLOOKUP($C2426,'24.08_ND'!$A:$D,3,0),)</f>
        <v>H</v>
      </c>
      <c r="F2426" s="441">
        <v>3.3333300000000003E-2</v>
      </c>
      <c r="G2426" s="595">
        <f>IFERROR(VLOOKUP($C2426,'24.08_ND'!$A:$D,4,0),)</f>
        <v>24.3</v>
      </c>
      <c r="H2426" s="440">
        <f>TRUNC(($F2426*$G2426),2)</f>
        <v>0.8</v>
      </c>
      <c r="I2426" s="262"/>
      <c r="J2426" s="262"/>
      <c r="K2426" s="262"/>
      <c r="L2426" s="262"/>
      <c r="M2426" s="262"/>
      <c r="N2426" s="262"/>
      <c r="O2426" s="262"/>
      <c r="P2426" s="262"/>
      <c r="Q2426" s="262"/>
      <c r="R2426" s="262"/>
      <c r="S2426" s="262"/>
      <c r="T2426" s="262"/>
      <c r="U2426" s="262"/>
      <c r="V2426" s="262"/>
      <c r="W2426" s="262"/>
      <c r="X2426" s="262"/>
      <c r="Y2426" s="262"/>
      <c r="Z2426" s="262"/>
      <c r="AA2426" s="262"/>
      <c r="AB2426" s="262"/>
      <c r="AD2426" s="1791" t="e">
        <f>VLOOKUP(C2426,'Medição '!$B$16:$F$1833,6,0)</f>
        <v>#N/A</v>
      </c>
      <c r="AE2426" s="1791"/>
    </row>
    <row r="2427" spans="1:31" ht="25.5">
      <c r="A2427" s="586" t="s">
        <v>14478</v>
      </c>
      <c r="B2427" s="373" t="s">
        <v>14476</v>
      </c>
      <c r="C2427" s="374">
        <v>88247</v>
      </c>
      <c r="D2427" s="812" t="str">
        <f>IFERROR(VLOOKUP($C2427,'24.08_ND'!$A:$D,2,0),)</f>
        <v>AUXILIAR DE ELETRICISTA COM ENCARGOS COMPLEMENTARES</v>
      </c>
      <c r="E2427" s="595" t="str">
        <f>IFERROR(VLOOKUP($C2427,'24.08_ND'!$A:$D,3,0),)</f>
        <v>H</v>
      </c>
      <c r="F2427" s="441">
        <v>3.3333300000000003E-2</v>
      </c>
      <c r="G2427" s="595">
        <f>IFERROR(VLOOKUP($C2427,'24.08_ND'!$A:$D,4,0),)</f>
        <v>20</v>
      </c>
      <c r="H2427" s="440">
        <f>TRUNC(($F2427*$G2427),2)</f>
        <v>0.66</v>
      </c>
      <c r="I2427" s="262"/>
      <c r="J2427" s="262"/>
      <c r="K2427" s="262"/>
      <c r="L2427" s="262"/>
      <c r="M2427" s="262"/>
      <c r="N2427" s="262"/>
      <c r="O2427" s="262"/>
      <c r="P2427" s="262"/>
      <c r="Q2427" s="262"/>
      <c r="R2427" s="262"/>
      <c r="S2427" s="262"/>
      <c r="T2427" s="262"/>
      <c r="U2427" s="262"/>
      <c r="V2427" s="262"/>
      <c r="W2427" s="262"/>
      <c r="X2427" s="262"/>
      <c r="Y2427" s="262"/>
      <c r="Z2427" s="262"/>
      <c r="AA2427" s="262"/>
      <c r="AB2427" s="262"/>
      <c r="AD2427" s="1791" t="e">
        <f>VLOOKUP(C2427,'Medição '!$B$16:$F$1833,6,0)</f>
        <v>#N/A</v>
      </c>
      <c r="AE2427" s="1791"/>
    </row>
    <row r="2428" spans="1:31" ht="25.5">
      <c r="A2428" s="815" t="s">
        <v>14479</v>
      </c>
      <c r="B2428" s="312" t="str">
        <f>VLOOKUP($C2428,'• CIs EXT'!$A:$E,2,0)</f>
        <v>SETOP</v>
      </c>
      <c r="C2428" s="816" t="s">
        <v>15331</v>
      </c>
      <c r="D2428" s="817" t="str">
        <f>VLOOKUP($C2428,'• CIs EXT'!$A:$E,3,0)</f>
        <v>TERMINAL À COMPRESSÃO (MATERIAL: COBRE ESTANHADO|QUANTIDADE DE FUROS: 2|DIÂMETRO DO CABO: 25MM2</v>
      </c>
      <c r="E2428" s="818" t="str">
        <f>VLOOKUP($C2428,'• CIs EXT'!$A:$E,4,0)</f>
        <v>UN</v>
      </c>
      <c r="F2428" s="819">
        <v>1</v>
      </c>
      <c r="G2428" s="818">
        <f>VLOOKUP($C2428,'• CIs EXT'!$A:$E,5,0)</f>
        <v>7</v>
      </c>
      <c r="H2428" s="820">
        <f>TRUNC(($F2428*$G2428),2)</f>
        <v>7</v>
      </c>
      <c r="I2428" s="262"/>
      <c r="J2428" s="262"/>
      <c r="K2428" s="262"/>
      <c r="L2428" s="262"/>
      <c r="M2428" s="262"/>
      <c r="N2428" s="262"/>
      <c r="O2428" s="262"/>
      <c r="P2428" s="262"/>
      <c r="Q2428" s="262"/>
      <c r="R2428" s="262"/>
      <c r="S2428" s="262"/>
      <c r="T2428" s="262"/>
      <c r="U2428" s="262"/>
      <c r="V2428" s="262"/>
      <c r="W2428" s="262"/>
      <c r="X2428" s="262"/>
      <c r="Y2428" s="262"/>
      <c r="Z2428" s="262"/>
      <c r="AA2428" s="262"/>
      <c r="AB2428" s="262"/>
    </row>
    <row r="2429" spans="1:31" ht="12.75">
      <c r="A2429" s="686"/>
      <c r="B2429" s="687"/>
      <c r="C2429" s="688"/>
      <c r="D2429" s="689"/>
      <c r="E2429" s="690"/>
      <c r="F2429" s="691"/>
      <c r="G2429" s="690"/>
      <c r="H2429" s="692"/>
      <c r="I2429" s="262"/>
      <c r="J2429" s="262"/>
      <c r="K2429" s="262"/>
      <c r="L2429" s="262"/>
      <c r="M2429" s="262"/>
      <c r="N2429" s="262"/>
      <c r="O2429" s="262"/>
      <c r="P2429" s="262"/>
      <c r="Q2429" s="262"/>
      <c r="R2429" s="262"/>
      <c r="S2429" s="262"/>
      <c r="T2429" s="262"/>
      <c r="U2429" s="262"/>
      <c r="V2429" s="262"/>
      <c r="W2429" s="262"/>
      <c r="X2429" s="262"/>
      <c r="Y2429" s="262"/>
      <c r="Z2429" s="262"/>
      <c r="AA2429" s="262"/>
      <c r="AB2429" s="262"/>
    </row>
    <row r="2430" spans="1:31" ht="12.75">
      <c r="A2430" s="358" t="s">
        <v>14471</v>
      </c>
      <c r="B2430" s="359" t="s">
        <v>14472</v>
      </c>
      <c r="C2430" s="360" t="s">
        <v>15332</v>
      </c>
      <c r="D2430" s="813" t="s">
        <v>15333</v>
      </c>
      <c r="E2430" s="359" t="s">
        <v>6</v>
      </c>
      <c r="F2430" s="814"/>
      <c r="G2430" s="814"/>
      <c r="H2430" s="363">
        <f>TRUNC(SUM(H2432:H2434),2)</f>
        <v>630.75</v>
      </c>
      <c r="I2430" s="276">
        <f>COUNTIF($C$8:$C2430,C:C)</f>
        <v>1</v>
      </c>
      <c r="J2430" s="262"/>
      <c r="K2430" s="262"/>
      <c r="L2430" s="262"/>
      <c r="M2430" s="262"/>
      <c r="N2430" s="262"/>
      <c r="O2430" s="262"/>
      <c r="P2430" s="262"/>
      <c r="Q2430" s="262"/>
      <c r="R2430" s="262"/>
      <c r="S2430" s="262"/>
      <c r="T2430" s="262"/>
      <c r="U2430" s="262"/>
      <c r="V2430" s="262"/>
      <c r="W2430" s="262"/>
      <c r="X2430" s="262"/>
      <c r="Y2430" s="262"/>
      <c r="Z2430" s="262"/>
      <c r="AA2430" s="262"/>
      <c r="AB2430" s="262"/>
    </row>
    <row r="2431" spans="1:31" ht="12.75">
      <c r="A2431" s="646" t="s">
        <v>14475</v>
      </c>
      <c r="B2431" s="403" t="s">
        <v>14600</v>
      </c>
      <c r="C2431" s="404">
        <v>13156</v>
      </c>
      <c r="D2431" s="769" t="s">
        <v>14567</v>
      </c>
      <c r="E2431" s="641"/>
      <c r="F2431" s="642"/>
      <c r="G2431" s="370"/>
      <c r="H2431" s="371"/>
      <c r="I2431" s="262"/>
      <c r="J2431" s="262"/>
      <c r="K2431" s="262"/>
      <c r="L2431" s="262"/>
      <c r="M2431" s="262"/>
      <c r="N2431" s="262"/>
      <c r="O2431" s="262"/>
      <c r="P2431" s="262"/>
      <c r="Q2431" s="262"/>
      <c r="R2431" s="262"/>
      <c r="S2431" s="262"/>
      <c r="T2431" s="262"/>
      <c r="U2431" s="262"/>
      <c r="V2431" s="262"/>
      <c r="W2431" s="262"/>
      <c r="X2431" s="262"/>
      <c r="Y2431" s="262"/>
      <c r="Z2431" s="262"/>
      <c r="AA2431" s="262"/>
      <c r="AB2431" s="262"/>
    </row>
    <row r="2432" spans="1:31" ht="25.5">
      <c r="A2432" s="586" t="s">
        <v>14478</v>
      </c>
      <c r="B2432" s="373" t="s">
        <v>14476</v>
      </c>
      <c r="C2432" s="374">
        <v>88247</v>
      </c>
      <c r="D2432" s="812" t="str">
        <f>IFERROR(VLOOKUP($C2432,'24.08_ND'!$A:$D,2,0),)</f>
        <v>AUXILIAR DE ELETRICISTA COM ENCARGOS COMPLEMENTARES</v>
      </c>
      <c r="E2432" s="595" t="str">
        <f>IFERROR(VLOOKUP($C2432,'24.08_ND'!$A:$D,3,0),)</f>
        <v>H</v>
      </c>
      <c r="F2432" s="441">
        <v>1</v>
      </c>
      <c r="G2432" s="595">
        <f>IFERROR(VLOOKUP($C2432,'24.08_ND'!$A:$D,4,0),)</f>
        <v>20</v>
      </c>
      <c r="H2432" s="423">
        <f>TRUNC(($F2432*$G2432),2)</f>
        <v>20</v>
      </c>
      <c r="I2432" s="262"/>
      <c r="J2432" s="262"/>
      <c r="K2432" s="262"/>
      <c r="L2432" s="262"/>
      <c r="M2432" s="262"/>
      <c r="N2432" s="262"/>
      <c r="O2432" s="262"/>
      <c r="P2432" s="262"/>
      <c r="Q2432" s="262"/>
      <c r="R2432" s="262"/>
      <c r="S2432" s="262"/>
      <c r="T2432" s="262"/>
      <c r="U2432" s="262"/>
      <c r="V2432" s="262"/>
      <c r="W2432" s="262"/>
      <c r="X2432" s="262"/>
      <c r="Y2432" s="262"/>
      <c r="Z2432" s="262"/>
      <c r="AA2432" s="262"/>
      <c r="AB2432" s="262"/>
      <c r="AD2432" s="1791" t="e">
        <f>VLOOKUP(C2432,'Medição '!$B$16:$F$1833,6,0)</f>
        <v>#N/A</v>
      </c>
      <c r="AE2432" s="1791"/>
    </row>
    <row r="2433" spans="1:31" ht="25.5">
      <c r="A2433" s="586" t="s">
        <v>14478</v>
      </c>
      <c r="B2433" s="373" t="s">
        <v>14476</v>
      </c>
      <c r="C2433" s="374">
        <v>88264</v>
      </c>
      <c r="D2433" s="812" t="str">
        <f>IFERROR(VLOOKUP($C2433,'24.08_ND'!$A:$D,2,0),)</f>
        <v>ELETRICISTA COM ENCARGOS COMPLEMENTARES</v>
      </c>
      <c r="E2433" s="595" t="str">
        <f>IFERROR(VLOOKUP($C2433,'24.08_ND'!$A:$D,3,0),)</f>
        <v>H</v>
      </c>
      <c r="F2433" s="441">
        <v>1</v>
      </c>
      <c r="G2433" s="595">
        <f>IFERROR(VLOOKUP($C2433,'24.08_ND'!$A:$D,4,0),)</f>
        <v>24.3</v>
      </c>
      <c r="H2433" s="423">
        <f>TRUNC(($F2433*$G2433),2)</f>
        <v>24.3</v>
      </c>
      <c r="I2433" s="262"/>
      <c r="J2433" s="262"/>
      <c r="K2433" s="262"/>
      <c r="L2433" s="262"/>
      <c r="M2433" s="262"/>
      <c r="N2433" s="262"/>
      <c r="O2433" s="262"/>
      <c r="P2433" s="262"/>
      <c r="Q2433" s="262"/>
      <c r="R2433" s="262"/>
      <c r="S2433" s="262"/>
      <c r="T2433" s="262"/>
      <c r="U2433" s="262"/>
      <c r="V2433" s="262"/>
      <c r="W2433" s="262"/>
      <c r="X2433" s="262"/>
      <c r="Y2433" s="262"/>
      <c r="Z2433" s="262"/>
      <c r="AA2433" s="262"/>
      <c r="AB2433" s="262"/>
      <c r="AD2433" s="1791" t="e">
        <f>VLOOKUP(C2433,'Medição '!$B$16:$F$1833,6,0)</f>
        <v>#N/A</v>
      </c>
      <c r="AE2433" s="1791"/>
    </row>
    <row r="2434" spans="1:31" ht="12.75">
      <c r="A2434" s="821" t="s">
        <v>14479</v>
      </c>
      <c r="B2434" s="822" t="s">
        <v>14491</v>
      </c>
      <c r="C2434" s="823" t="s">
        <v>15334</v>
      </c>
      <c r="D2434" s="824" t="str">
        <f>VLOOKUP($C2434,'09 - MC'!$A:$F,2,0)</f>
        <v>FONTE CHAVEADA  24VCC BIVOLT 240W</v>
      </c>
      <c r="E2434" s="825" t="str">
        <f>VLOOKUP($C2434,'09 - MC'!$A:$F,3,0)</f>
        <v>UN</v>
      </c>
      <c r="F2434" s="826">
        <v>1</v>
      </c>
      <c r="G2434" s="827">
        <f>VLOOKUP($C2434,'09 - MC'!$A:$F,6,0)</f>
        <v>586.45000000000005</v>
      </c>
      <c r="H2434" s="828">
        <f>TRUNC(G2434*F2434,2)</f>
        <v>586.45000000000005</v>
      </c>
      <c r="I2434" s="262"/>
      <c r="J2434" s="262"/>
      <c r="K2434" s="262"/>
      <c r="L2434" s="262"/>
      <c r="M2434" s="262"/>
      <c r="N2434" s="262"/>
      <c r="O2434" s="262"/>
      <c r="P2434" s="262"/>
      <c r="Q2434" s="262"/>
      <c r="R2434" s="262"/>
      <c r="S2434" s="262"/>
      <c r="T2434" s="262"/>
      <c r="U2434" s="262"/>
      <c r="V2434" s="262"/>
      <c r="W2434" s="262"/>
      <c r="X2434" s="262"/>
      <c r="Y2434" s="262"/>
      <c r="Z2434" s="262"/>
      <c r="AA2434" s="262"/>
      <c r="AB2434" s="262"/>
    </row>
    <row r="2435" spans="1:31" ht="12.75">
      <c r="A2435" s="686"/>
      <c r="B2435" s="687"/>
      <c r="C2435" s="688"/>
      <c r="D2435" s="689"/>
      <c r="E2435" s="690"/>
      <c r="F2435" s="691"/>
      <c r="G2435" s="690"/>
      <c r="H2435" s="692"/>
      <c r="I2435" s="262"/>
      <c r="J2435" s="262"/>
      <c r="K2435" s="262"/>
      <c r="L2435" s="262"/>
      <c r="M2435" s="262"/>
      <c r="N2435" s="262"/>
      <c r="O2435" s="262"/>
      <c r="P2435" s="262"/>
      <c r="Q2435" s="262"/>
      <c r="R2435" s="262"/>
      <c r="S2435" s="262"/>
      <c r="T2435" s="262"/>
      <c r="U2435" s="262"/>
      <c r="V2435" s="262"/>
      <c r="W2435" s="262"/>
      <c r="X2435" s="262"/>
      <c r="Y2435" s="262"/>
      <c r="Z2435" s="262"/>
      <c r="AA2435" s="262"/>
      <c r="AB2435" s="262"/>
    </row>
    <row r="2436" spans="1:31" ht="12.75">
      <c r="A2436" s="766"/>
      <c r="B2436" s="767"/>
      <c r="C2436" s="3"/>
      <c r="D2436" s="768"/>
      <c r="E2436" s="690"/>
      <c r="F2436" s="691"/>
      <c r="G2436" s="690"/>
      <c r="H2436" s="692"/>
      <c r="I2436" s="262"/>
      <c r="J2436" s="262"/>
      <c r="K2436" s="262"/>
      <c r="L2436" s="262"/>
      <c r="M2436" s="262"/>
      <c r="N2436" s="262"/>
      <c r="O2436" s="262"/>
      <c r="P2436" s="262"/>
      <c r="Q2436" s="262"/>
      <c r="R2436" s="262"/>
      <c r="S2436" s="262"/>
      <c r="T2436" s="262"/>
      <c r="U2436" s="262"/>
      <c r="V2436" s="262"/>
      <c r="W2436" s="262"/>
      <c r="X2436" s="262"/>
      <c r="Y2436" s="262"/>
      <c r="Z2436" s="262"/>
      <c r="AA2436" s="262"/>
      <c r="AB2436" s="262"/>
    </row>
    <row r="2437" spans="1:31" ht="12.75">
      <c r="A2437" s="766"/>
      <c r="B2437" s="767"/>
      <c r="C2437" s="3"/>
      <c r="D2437" s="768"/>
      <c r="E2437" s="690"/>
      <c r="F2437" s="691"/>
      <c r="G2437" s="690"/>
      <c r="H2437" s="692"/>
      <c r="I2437" s="262"/>
      <c r="J2437" s="262"/>
      <c r="K2437" s="262"/>
      <c r="L2437" s="262"/>
      <c r="M2437" s="262"/>
      <c r="N2437" s="262"/>
      <c r="O2437" s="262"/>
      <c r="P2437" s="262"/>
      <c r="Q2437" s="262"/>
      <c r="R2437" s="262"/>
      <c r="S2437" s="262"/>
      <c r="T2437" s="262"/>
      <c r="U2437" s="262"/>
      <c r="V2437" s="262"/>
      <c r="W2437" s="262"/>
      <c r="X2437" s="262"/>
      <c r="Y2437" s="262"/>
      <c r="Z2437" s="262"/>
      <c r="AA2437" s="262"/>
      <c r="AB2437" s="262"/>
    </row>
    <row r="2438" spans="1:31" ht="12.75">
      <c r="A2438" s="766"/>
      <c r="B2438" s="767"/>
      <c r="C2438" s="3"/>
      <c r="D2438" s="768"/>
      <c r="E2438" s="690"/>
      <c r="F2438" s="691"/>
      <c r="G2438" s="690"/>
      <c r="H2438" s="692"/>
      <c r="I2438" s="262"/>
      <c r="J2438" s="262"/>
      <c r="K2438" s="262"/>
      <c r="L2438" s="262"/>
      <c r="M2438" s="262"/>
      <c r="N2438" s="262"/>
      <c r="O2438" s="262"/>
      <c r="P2438" s="262"/>
      <c r="Q2438" s="262"/>
      <c r="R2438" s="262"/>
      <c r="S2438" s="262"/>
      <c r="T2438" s="262"/>
      <c r="U2438" s="262"/>
      <c r="V2438" s="262"/>
      <c r="W2438" s="262"/>
      <c r="X2438" s="262"/>
      <c r="Y2438" s="262"/>
      <c r="Z2438" s="262"/>
      <c r="AA2438" s="262"/>
      <c r="AB2438" s="262"/>
    </row>
    <row r="2439" spans="1:31" ht="30" customHeight="1">
      <c r="A2439" s="270" t="s">
        <v>15335</v>
      </c>
      <c r="B2439" s="397"/>
      <c r="C2439" s="398"/>
      <c r="D2439" s="397"/>
      <c r="E2439" s="397"/>
      <c r="F2439" s="399"/>
      <c r="G2439" s="397"/>
      <c r="H2439" s="400"/>
      <c r="I2439" s="262"/>
      <c r="J2439" s="262"/>
      <c r="K2439" s="262"/>
      <c r="L2439" s="262"/>
      <c r="M2439" s="262"/>
      <c r="N2439" s="262"/>
      <c r="O2439" s="262"/>
      <c r="P2439" s="262"/>
      <c r="Q2439" s="262"/>
      <c r="R2439" s="262"/>
      <c r="S2439" s="262"/>
      <c r="T2439" s="262"/>
      <c r="U2439" s="262"/>
      <c r="V2439" s="262"/>
      <c r="W2439" s="262"/>
      <c r="X2439" s="262"/>
      <c r="Y2439" s="262"/>
      <c r="Z2439" s="262"/>
      <c r="AA2439" s="262"/>
      <c r="AB2439" s="262"/>
    </row>
    <row r="2440" spans="1:31" ht="38.25">
      <c r="A2440" s="358" t="s">
        <v>14471</v>
      </c>
      <c r="B2440" s="359" t="s">
        <v>14472</v>
      </c>
      <c r="C2440" s="360" t="s">
        <v>15336</v>
      </c>
      <c r="D2440" s="361" t="s">
        <v>15337</v>
      </c>
      <c r="E2440" s="359" t="s">
        <v>6</v>
      </c>
      <c r="F2440" s="362"/>
      <c r="G2440" s="362"/>
      <c r="H2440" s="363">
        <f>SUM(H2442:H2445)</f>
        <v>436.33</v>
      </c>
      <c r="I2440" s="276">
        <f>COUNTIF($C$8:$C2440,C:C)</f>
        <v>1</v>
      </c>
      <c r="J2440" s="262"/>
      <c r="K2440" s="262"/>
      <c r="L2440" s="262"/>
      <c r="M2440" s="262"/>
      <c r="N2440" s="262"/>
      <c r="O2440" s="262"/>
      <c r="P2440" s="262"/>
      <c r="Q2440" s="262"/>
      <c r="R2440" s="262"/>
      <c r="S2440" s="262"/>
      <c r="T2440" s="262"/>
      <c r="U2440" s="262"/>
      <c r="V2440" s="262"/>
      <c r="W2440" s="262"/>
      <c r="X2440" s="262"/>
      <c r="Y2440" s="262"/>
      <c r="Z2440" s="262"/>
      <c r="AA2440" s="262"/>
      <c r="AB2440" s="262"/>
    </row>
    <row r="2441" spans="1:31" ht="12.75">
      <c r="A2441" s="646" t="s">
        <v>14475</v>
      </c>
      <c r="B2441" s="763" t="s">
        <v>14600</v>
      </c>
      <c r="C2441" s="404">
        <v>8681</v>
      </c>
      <c r="D2441" s="769" t="s">
        <v>14567</v>
      </c>
      <c r="E2441" s="641"/>
      <c r="F2441" s="369"/>
      <c r="G2441" s="370"/>
      <c r="H2441" s="371"/>
      <c r="I2441" s="262"/>
      <c r="J2441" s="262"/>
      <c r="K2441" s="262"/>
      <c r="L2441" s="262"/>
      <c r="M2441" s="262"/>
      <c r="N2441" s="262"/>
      <c r="O2441" s="262"/>
      <c r="P2441" s="262"/>
      <c r="Q2441" s="262"/>
      <c r="R2441" s="262"/>
      <c r="S2441" s="262"/>
      <c r="T2441" s="262"/>
      <c r="U2441" s="262"/>
      <c r="V2441" s="262"/>
      <c r="W2441" s="262"/>
      <c r="X2441" s="262"/>
      <c r="Y2441" s="262"/>
      <c r="Z2441" s="262"/>
      <c r="AA2441" s="262"/>
      <c r="AB2441" s="262"/>
    </row>
    <row r="2442" spans="1:31" ht="25.5">
      <c r="A2442" s="586" t="s">
        <v>14478</v>
      </c>
      <c r="B2442" s="421" t="s">
        <v>14476</v>
      </c>
      <c r="C2442" s="422">
        <v>88266</v>
      </c>
      <c r="D2442" s="288" t="str">
        <f>IFERROR(VLOOKUP($C2442,'24.08_ND'!$A:$D,2,0),)</f>
        <v>ELETROTÉCNICO COM ENCARGOS COMPLEMENTARES</v>
      </c>
      <c r="E2442" s="289" t="str">
        <f>IFERROR(VLOOKUP($C2442,'24.08_ND'!$A:$D,3,0),)</f>
        <v>H</v>
      </c>
      <c r="F2442" s="441">
        <v>2</v>
      </c>
      <c r="G2442" s="291">
        <f>IFERROR(VLOOKUP($C2442,'24.08_ND'!$A:$D,4,0),)</f>
        <v>29.92</v>
      </c>
      <c r="H2442" s="423">
        <f>TRUNC(($F2442*$G2442),2)</f>
        <v>59.84</v>
      </c>
      <c r="I2442" s="262"/>
      <c r="J2442" s="262"/>
      <c r="K2442" s="262"/>
      <c r="L2442" s="262"/>
      <c r="M2442" s="262"/>
      <c r="N2442" s="262"/>
      <c r="O2442" s="262"/>
      <c r="P2442" s="262"/>
      <c r="Q2442" s="262"/>
      <c r="R2442" s="262"/>
      <c r="S2442" s="262"/>
      <c r="T2442" s="262"/>
      <c r="U2442" s="262"/>
      <c r="V2442" s="262"/>
      <c r="W2442" s="262"/>
      <c r="X2442" s="262"/>
      <c r="Y2442" s="262"/>
      <c r="Z2442" s="262"/>
      <c r="AA2442" s="262"/>
      <c r="AB2442" s="262"/>
      <c r="AD2442" s="1791" t="e">
        <f>VLOOKUP(C2442,'Medição '!$B$16:$F$1833,6,0)</f>
        <v>#N/A</v>
      </c>
      <c r="AE2442" s="1791"/>
    </row>
    <row r="2443" spans="1:31" ht="25.5">
      <c r="A2443" s="586" t="s">
        <v>14478</v>
      </c>
      <c r="B2443" s="421" t="s">
        <v>14476</v>
      </c>
      <c r="C2443" s="422">
        <v>88243</v>
      </c>
      <c r="D2443" s="288" t="str">
        <f>IFERROR(VLOOKUP($C2443,'24.08_ND'!$A:$D,2,0),)</f>
        <v>AJUDANTE ESPECIALIZADO COM ENCARGOS COMPLEMENTARES</v>
      </c>
      <c r="E2443" s="289" t="str">
        <f>IFERROR(VLOOKUP($C2443,'24.08_ND'!$A:$D,3,0),)</f>
        <v>H</v>
      </c>
      <c r="F2443" s="441">
        <v>2</v>
      </c>
      <c r="G2443" s="291">
        <f>IFERROR(VLOOKUP($C2443,'24.08_ND'!$A:$D,4,0),)</f>
        <v>19.32</v>
      </c>
      <c r="H2443" s="423">
        <f>TRUNC(($F2443*$G2443),2)</f>
        <v>38.64</v>
      </c>
      <c r="I2443" s="262"/>
      <c r="J2443" s="262"/>
      <c r="K2443" s="262"/>
      <c r="L2443" s="262"/>
      <c r="M2443" s="262"/>
      <c r="N2443" s="262"/>
      <c r="O2443" s="262"/>
      <c r="P2443" s="262"/>
      <c r="Q2443" s="262"/>
      <c r="R2443" s="262"/>
      <c r="S2443" s="262"/>
      <c r="T2443" s="262"/>
      <c r="U2443" s="262"/>
      <c r="V2443" s="262"/>
      <c r="W2443" s="262"/>
      <c r="X2443" s="262"/>
      <c r="Y2443" s="262"/>
      <c r="Z2443" s="262"/>
      <c r="AA2443" s="262"/>
      <c r="AB2443" s="262"/>
      <c r="AD2443" s="1791" t="e">
        <f>VLOOKUP(C2443,'Medição '!$B$16:$F$1833,6,0)</f>
        <v>#N/A</v>
      </c>
      <c r="AE2443" s="1791"/>
    </row>
    <row r="2444" spans="1:31" ht="25.5">
      <c r="A2444" s="770" t="s">
        <v>14479</v>
      </c>
      <c r="B2444" s="446" t="s">
        <v>14476</v>
      </c>
      <c r="C2444" s="384">
        <v>7583</v>
      </c>
      <c r="D2444" s="296" t="str">
        <f>IFERROR(VLOOKUP($C2444,'24.08_ND'!$A:$D,2,0),)</f>
        <v>BUCHA DE NYLON SEM ABA S8, COM PARAFUSO DE 4,80 X 50 MM EM ACO ZINCADO COM ROSCA SOBERBA, CABECA CHATA E FENDA PHILLIPS</v>
      </c>
      <c r="E2444" s="297" t="str">
        <f>IFERROR(VLOOKUP($C2444,'24.08_ND'!$A:$D,3,0),)</f>
        <v>UN</v>
      </c>
      <c r="F2444" s="385">
        <v>6</v>
      </c>
      <c r="G2444" s="299">
        <f>IFERROR(VLOOKUP($C2444,'24.08_ND'!$A:$D,4,0),)</f>
        <v>0.45</v>
      </c>
      <c r="H2444" s="449">
        <f>TRUNC(($F2444*$G2444),2)</f>
        <v>2.7</v>
      </c>
      <c r="I2444" s="262"/>
      <c r="J2444" s="262"/>
      <c r="K2444" s="262"/>
      <c r="L2444" s="262"/>
      <c r="M2444" s="262"/>
      <c r="N2444" s="262"/>
      <c r="O2444" s="262"/>
      <c r="P2444" s="262"/>
      <c r="Q2444" s="262"/>
      <c r="R2444" s="262"/>
      <c r="S2444" s="262"/>
      <c r="T2444" s="262"/>
      <c r="U2444" s="262"/>
      <c r="V2444" s="262"/>
      <c r="W2444" s="262"/>
      <c r="X2444" s="262"/>
      <c r="Y2444" s="262"/>
      <c r="Z2444" s="262"/>
      <c r="AA2444" s="262"/>
      <c r="AB2444" s="262"/>
    </row>
    <row r="2445" spans="1:31" ht="12.75">
      <c r="A2445" s="590" t="s">
        <v>14479</v>
      </c>
      <c r="B2445" s="312" t="str">
        <f>VLOOKUP($C2445,'• CIs EXT'!$A:$E,2,0)</f>
        <v>ORSE</v>
      </c>
      <c r="C2445" s="377">
        <v>8943</v>
      </c>
      <c r="D2445" s="378" t="str">
        <f>VLOOKUP($C2445,'• CIs EXT'!$A:$E,3,0)</f>
        <v>MINI RACK DE PAREDE 19" X 5U X 350MM (PORTA DE ACRÍLICO)</v>
      </c>
      <c r="E2445" s="379" t="str">
        <f>VLOOKUP($C2445,'• CIs EXT'!$A:$E,4,0)</f>
        <v>UN</v>
      </c>
      <c r="F2445" s="442">
        <v>1</v>
      </c>
      <c r="G2445" s="379">
        <f>VLOOKUP($C2445,'• CIs EXT'!$A:$E,5,0)</f>
        <v>335.15</v>
      </c>
      <c r="H2445" s="381">
        <f>TRUNC(($F2445*$G2445),2)</f>
        <v>335.15</v>
      </c>
      <c r="I2445" s="262"/>
      <c r="J2445" s="262"/>
      <c r="K2445" s="262"/>
      <c r="L2445" s="262"/>
      <c r="M2445" s="262"/>
      <c r="N2445" s="262"/>
      <c r="O2445" s="262"/>
      <c r="P2445" s="262"/>
      <c r="Q2445" s="262"/>
      <c r="R2445" s="262"/>
      <c r="S2445" s="262"/>
      <c r="T2445" s="262"/>
      <c r="U2445" s="262"/>
      <c r="V2445" s="262"/>
      <c r="W2445" s="262"/>
      <c r="X2445" s="262"/>
      <c r="Y2445" s="262"/>
      <c r="Z2445" s="262"/>
      <c r="AA2445" s="262"/>
      <c r="AB2445" s="262"/>
    </row>
    <row r="2446" spans="1:31" ht="12.75">
      <c r="A2446" s="766"/>
      <c r="B2446" s="767"/>
      <c r="C2446" s="3"/>
      <c r="D2446" s="768"/>
      <c r="E2446" s="690"/>
      <c r="F2446" s="691"/>
      <c r="G2446" s="690"/>
      <c r="H2446" s="692"/>
      <c r="I2446" s="262"/>
      <c r="J2446" s="262"/>
      <c r="K2446" s="262"/>
      <c r="L2446" s="262"/>
      <c r="M2446" s="262"/>
      <c r="N2446" s="262"/>
      <c r="O2446" s="262"/>
      <c r="P2446" s="262"/>
      <c r="Q2446" s="262"/>
      <c r="R2446" s="262"/>
      <c r="S2446" s="262"/>
      <c r="T2446" s="262"/>
      <c r="U2446" s="262"/>
      <c r="V2446" s="262"/>
      <c r="W2446" s="262"/>
      <c r="X2446" s="262"/>
      <c r="Y2446" s="262"/>
      <c r="Z2446" s="262"/>
      <c r="AA2446" s="262"/>
      <c r="AB2446" s="262"/>
    </row>
    <row r="2447" spans="1:31" ht="25.5">
      <c r="A2447" s="358" t="s">
        <v>14471</v>
      </c>
      <c r="B2447" s="359" t="s">
        <v>14472</v>
      </c>
      <c r="C2447" s="360" t="s">
        <v>15338</v>
      </c>
      <c r="D2447" s="361" t="s">
        <v>15339</v>
      </c>
      <c r="E2447" s="359" t="s">
        <v>6</v>
      </c>
      <c r="F2447" s="362"/>
      <c r="G2447" s="362"/>
      <c r="H2447" s="363">
        <f>SUM(H2449:H2450)</f>
        <v>22.92</v>
      </c>
      <c r="I2447" s="276">
        <f>COUNTIF($C$8:$C2447,C:C)</f>
        <v>1</v>
      </c>
      <c r="J2447" s="262"/>
      <c r="K2447" s="262"/>
      <c r="L2447" s="262"/>
      <c r="M2447" s="262"/>
      <c r="N2447" s="262"/>
      <c r="O2447" s="262"/>
      <c r="P2447" s="262"/>
      <c r="Q2447" s="262"/>
      <c r="R2447" s="262"/>
      <c r="S2447" s="262"/>
      <c r="T2447" s="262"/>
      <c r="U2447" s="262"/>
      <c r="V2447" s="262"/>
      <c r="W2447" s="262"/>
      <c r="X2447" s="262"/>
      <c r="Y2447" s="262"/>
      <c r="Z2447" s="262"/>
      <c r="AA2447" s="262"/>
      <c r="AB2447" s="262"/>
    </row>
    <row r="2448" spans="1:31" ht="12.75">
      <c r="A2448" s="646" t="s">
        <v>14475</v>
      </c>
      <c r="B2448" s="829" t="s">
        <v>14600</v>
      </c>
      <c r="C2448" s="830">
        <v>8362</v>
      </c>
      <c r="D2448" s="831" t="s">
        <v>15340</v>
      </c>
      <c r="E2448" s="756"/>
      <c r="F2448" s="417"/>
      <c r="G2448" s="418"/>
      <c r="H2448" s="419"/>
      <c r="I2448" s="262"/>
      <c r="J2448" s="262"/>
      <c r="K2448" s="262"/>
      <c r="L2448" s="262"/>
      <c r="M2448" s="262"/>
      <c r="N2448" s="262"/>
      <c r="O2448" s="262"/>
      <c r="P2448" s="262"/>
      <c r="Q2448" s="262"/>
      <c r="R2448" s="262"/>
      <c r="S2448" s="262"/>
      <c r="T2448" s="262"/>
      <c r="U2448" s="262"/>
      <c r="V2448" s="262"/>
      <c r="W2448" s="262"/>
      <c r="X2448" s="262"/>
      <c r="Y2448" s="262"/>
      <c r="Z2448" s="262"/>
      <c r="AA2448" s="262"/>
      <c r="AB2448" s="262"/>
    </row>
    <row r="2449" spans="1:31" ht="25.5">
      <c r="A2449" s="586" t="s">
        <v>14478</v>
      </c>
      <c r="B2449" s="421" t="s">
        <v>14476</v>
      </c>
      <c r="C2449" s="422">
        <v>88266</v>
      </c>
      <c r="D2449" s="288" t="str">
        <f>IFERROR(VLOOKUP($C2449,'24.08_ND'!$A:$D,2,0),)</f>
        <v>ELETROTÉCNICO COM ENCARGOS COMPLEMENTARES</v>
      </c>
      <c r="E2449" s="289" t="str">
        <f>IFERROR(VLOOKUP($C2449,'24.08_ND'!$A:$D,3,0),)</f>
        <v>H</v>
      </c>
      <c r="F2449" s="375">
        <v>0.2</v>
      </c>
      <c r="G2449" s="291">
        <f>IFERROR(VLOOKUP($C2449,'24.08_ND'!$A:$D,4,0),)</f>
        <v>29.92</v>
      </c>
      <c r="H2449" s="423">
        <f>TRUNC(($F2449*$G2449),2)</f>
        <v>5.98</v>
      </c>
      <c r="I2449" s="262"/>
      <c r="J2449" s="262"/>
      <c r="K2449" s="262"/>
      <c r="L2449" s="262"/>
      <c r="M2449" s="262"/>
      <c r="N2449" s="262"/>
      <c r="O2449" s="262"/>
      <c r="P2449" s="262"/>
      <c r="Q2449" s="262"/>
      <c r="R2449" s="262"/>
      <c r="S2449" s="262"/>
      <c r="T2449" s="262"/>
      <c r="U2449" s="262"/>
      <c r="V2449" s="262"/>
      <c r="W2449" s="262"/>
      <c r="X2449" s="262"/>
      <c r="Y2449" s="262"/>
      <c r="Z2449" s="262"/>
      <c r="AA2449" s="262"/>
      <c r="AB2449" s="262"/>
      <c r="AD2449" s="1791" t="e">
        <f>VLOOKUP(C2449,'Medição '!$B$16:$F$1833,6,0)</f>
        <v>#N/A</v>
      </c>
      <c r="AE2449" s="1791"/>
    </row>
    <row r="2450" spans="1:31" ht="12.75">
      <c r="A2450" s="590" t="s">
        <v>14479</v>
      </c>
      <c r="B2450" s="312" t="str">
        <f>VLOOKUP($C2450,'• CIs EXT'!$A:$E,2,0)</f>
        <v>ORSE</v>
      </c>
      <c r="C2450" s="591">
        <v>1089</v>
      </c>
      <c r="D2450" s="378" t="str">
        <f>VLOOKUP($C2450,'• CIs EXT'!$A:$E,3,0)</f>
        <v>GUIA DE CABOS FECHADO 19" 1U</v>
      </c>
      <c r="E2450" s="379" t="str">
        <f>VLOOKUP($C2450,'• CIs EXT'!$A:$E,4,0)</f>
        <v>UN</v>
      </c>
      <c r="F2450" s="380">
        <v>1</v>
      </c>
      <c r="G2450" s="379">
        <f>VLOOKUP($C2450,'• CIs EXT'!$A:$E,5,0)</f>
        <v>16.940000000000001</v>
      </c>
      <c r="H2450" s="381">
        <f>TRUNC(($F2450*$G2450),2)</f>
        <v>16.940000000000001</v>
      </c>
      <c r="I2450" s="262"/>
      <c r="J2450" s="262"/>
      <c r="K2450" s="262"/>
      <c r="L2450" s="262"/>
      <c r="M2450" s="262"/>
      <c r="N2450" s="262"/>
      <c r="O2450" s="262"/>
      <c r="P2450" s="262"/>
      <c r="Q2450" s="262"/>
      <c r="R2450" s="262"/>
      <c r="S2450" s="262"/>
      <c r="T2450" s="262"/>
      <c r="U2450" s="262"/>
      <c r="V2450" s="262"/>
      <c r="W2450" s="262"/>
      <c r="X2450" s="262"/>
      <c r="Y2450" s="262"/>
      <c r="Z2450" s="262"/>
      <c r="AA2450" s="262"/>
      <c r="AB2450" s="262"/>
    </row>
    <row r="2451" spans="1:31" ht="12.75">
      <c r="A2451" s="766"/>
      <c r="B2451" s="767"/>
      <c r="C2451" s="3"/>
      <c r="D2451" s="768"/>
      <c r="E2451" s="690"/>
      <c r="F2451" s="691"/>
      <c r="G2451" s="690"/>
      <c r="H2451" s="692"/>
      <c r="I2451" s="262"/>
      <c r="J2451" s="262"/>
      <c r="K2451" s="262"/>
      <c r="L2451" s="262"/>
      <c r="M2451" s="262"/>
      <c r="N2451" s="262"/>
      <c r="O2451" s="262"/>
      <c r="P2451" s="262"/>
      <c r="Q2451" s="262"/>
      <c r="R2451" s="262"/>
      <c r="S2451" s="262"/>
      <c r="T2451" s="262"/>
      <c r="U2451" s="262"/>
      <c r="V2451" s="262"/>
      <c r="W2451" s="262"/>
      <c r="X2451" s="262"/>
      <c r="Y2451" s="262"/>
      <c r="Z2451" s="262"/>
      <c r="AA2451" s="262"/>
      <c r="AB2451" s="262"/>
    </row>
    <row r="2452" spans="1:31" ht="25.5">
      <c r="A2452" s="358" t="s">
        <v>14471</v>
      </c>
      <c r="B2452" s="359" t="s">
        <v>14472</v>
      </c>
      <c r="C2452" s="360" t="s">
        <v>15341</v>
      </c>
      <c r="D2452" s="361" t="s">
        <v>15342</v>
      </c>
      <c r="E2452" s="359" t="s">
        <v>6</v>
      </c>
      <c r="F2452" s="362"/>
      <c r="G2452" s="362"/>
      <c r="H2452" s="363">
        <f>TRUNC(SUM(H2454:H2457),2)</f>
        <v>515.73</v>
      </c>
      <c r="I2452" s="276">
        <f>COUNTIF($C$8:$C2452,C:C)</f>
        <v>1</v>
      </c>
      <c r="J2452" s="262"/>
      <c r="K2452" s="262"/>
      <c r="L2452" s="262"/>
      <c r="M2452" s="262"/>
      <c r="N2452" s="262"/>
      <c r="O2452" s="262"/>
      <c r="P2452" s="262"/>
      <c r="Q2452" s="262"/>
      <c r="R2452" s="262"/>
      <c r="S2452" s="262"/>
      <c r="T2452" s="262"/>
      <c r="U2452" s="262"/>
      <c r="V2452" s="262"/>
      <c r="W2452" s="262"/>
      <c r="X2452" s="262"/>
      <c r="Y2452" s="262"/>
      <c r="Z2452" s="262"/>
      <c r="AA2452" s="262"/>
      <c r="AB2452" s="262"/>
    </row>
    <row r="2453" spans="1:31" ht="12.75">
      <c r="A2453" s="646" t="s">
        <v>14475</v>
      </c>
      <c r="B2453" s="832" t="s">
        <v>14600</v>
      </c>
      <c r="C2453" s="778">
        <v>11307</v>
      </c>
      <c r="D2453" s="769" t="s">
        <v>15132</v>
      </c>
      <c r="E2453" s="779"/>
      <c r="F2453" s="417"/>
      <c r="G2453" s="418"/>
      <c r="H2453" s="419"/>
      <c r="I2453" s="262"/>
      <c r="J2453" s="262"/>
      <c r="K2453" s="262"/>
      <c r="L2453" s="262"/>
      <c r="M2453" s="262"/>
      <c r="N2453" s="262"/>
      <c r="O2453" s="262"/>
      <c r="P2453" s="262"/>
      <c r="Q2453" s="262"/>
      <c r="R2453" s="262"/>
      <c r="S2453" s="262"/>
      <c r="T2453" s="262"/>
      <c r="U2453" s="262"/>
      <c r="V2453" s="262"/>
      <c r="W2453" s="262"/>
      <c r="X2453" s="262"/>
      <c r="Y2453" s="262"/>
      <c r="Z2453" s="262"/>
      <c r="AA2453" s="262"/>
      <c r="AB2453" s="262"/>
    </row>
    <row r="2454" spans="1:31" ht="25.5">
      <c r="A2454" s="586" t="s">
        <v>14478</v>
      </c>
      <c r="B2454" s="421" t="s">
        <v>14476</v>
      </c>
      <c r="C2454" s="422">
        <v>88266</v>
      </c>
      <c r="D2454" s="288" t="str">
        <f>IFERROR(VLOOKUP($C2454,'24.08_ND'!$A:$D,2,0),)</f>
        <v>ELETROTÉCNICO COM ENCARGOS COMPLEMENTARES</v>
      </c>
      <c r="E2454" s="289" t="str">
        <f>IFERROR(VLOOKUP($C2454,'24.08_ND'!$A:$D,3,0),)</f>
        <v>H</v>
      </c>
      <c r="F2454" s="587">
        <v>0.5</v>
      </c>
      <c r="G2454" s="291">
        <f>IFERROR(VLOOKUP($C2454,'24.08_ND'!$A:$D,4,0),)</f>
        <v>29.92</v>
      </c>
      <c r="H2454" s="423">
        <f>TRUNC(($F2454*$G2454),2)</f>
        <v>14.96</v>
      </c>
      <c r="I2454" s="262"/>
      <c r="J2454" s="262"/>
      <c r="K2454" s="262"/>
      <c r="L2454" s="262"/>
      <c r="M2454" s="262"/>
      <c r="N2454" s="262"/>
      <c r="O2454" s="262"/>
      <c r="P2454" s="262"/>
      <c r="Q2454" s="262"/>
      <c r="R2454" s="262"/>
      <c r="S2454" s="262"/>
      <c r="T2454" s="262"/>
      <c r="U2454" s="262"/>
      <c r="V2454" s="262"/>
      <c r="W2454" s="262"/>
      <c r="X2454" s="262"/>
      <c r="Y2454" s="262"/>
      <c r="Z2454" s="262"/>
      <c r="AA2454" s="262"/>
      <c r="AB2454" s="262"/>
      <c r="AD2454" s="1791" t="e">
        <f>VLOOKUP(C2454,'Medição '!$B$16:$F$1833,6,0)</f>
        <v>#N/A</v>
      </c>
      <c r="AE2454" s="1791"/>
    </row>
    <row r="2455" spans="1:31" ht="25.5">
      <c r="A2455" s="586" t="s">
        <v>14478</v>
      </c>
      <c r="B2455" s="421" t="s">
        <v>14476</v>
      </c>
      <c r="C2455" s="422">
        <v>88243</v>
      </c>
      <c r="D2455" s="288" t="str">
        <f>IFERROR(VLOOKUP($C2455,'24.08_ND'!$A:$D,2,0),)</f>
        <v>AJUDANTE ESPECIALIZADO COM ENCARGOS COMPLEMENTARES</v>
      </c>
      <c r="E2455" s="289" t="str">
        <f>IFERROR(VLOOKUP($C2455,'24.08_ND'!$A:$D,3,0),)</f>
        <v>H</v>
      </c>
      <c r="F2455" s="587">
        <v>0.5</v>
      </c>
      <c r="G2455" s="291">
        <f>IFERROR(VLOOKUP($C2455,'24.08_ND'!$A:$D,4,0),)</f>
        <v>19.32</v>
      </c>
      <c r="H2455" s="423">
        <f>TRUNC(($F2455*$G2455),2)</f>
        <v>9.66</v>
      </c>
      <c r="I2455" s="262"/>
      <c r="J2455" s="262"/>
      <c r="K2455" s="262"/>
      <c r="L2455" s="262"/>
      <c r="M2455" s="262"/>
      <c r="N2455" s="262"/>
      <c r="O2455" s="262"/>
      <c r="P2455" s="262"/>
      <c r="Q2455" s="262"/>
      <c r="R2455" s="262"/>
      <c r="S2455" s="262"/>
      <c r="T2455" s="262"/>
      <c r="U2455" s="262"/>
      <c r="V2455" s="262"/>
      <c r="W2455" s="262"/>
      <c r="X2455" s="262"/>
      <c r="Y2455" s="262"/>
      <c r="Z2455" s="262"/>
      <c r="AA2455" s="262"/>
      <c r="AB2455" s="262"/>
      <c r="AD2455" s="1791" t="e">
        <f>VLOOKUP(C2455,'Medição '!$B$16:$F$1833,6,0)</f>
        <v>#N/A</v>
      </c>
      <c r="AE2455" s="1791"/>
    </row>
    <row r="2456" spans="1:31" ht="12.75">
      <c r="A2456" s="590" t="s">
        <v>14479</v>
      </c>
      <c r="B2456" s="312" t="str">
        <f>VLOOKUP($C2456,'• CIs EXT'!$A:$E,2,0)</f>
        <v>SBC</v>
      </c>
      <c r="C2456" s="591">
        <v>213</v>
      </c>
      <c r="D2456" s="378" t="str">
        <f>VLOOKUP($C2456,'• CIs EXT'!$A:$E,3,0)</f>
        <v>FIBRA OPTICA - CSS - CORDAO OPTICO SIMPLEX SM SC-UPC/SC-APC (9/125) - 3m</v>
      </c>
      <c r="E2456" s="379" t="str">
        <f>VLOOKUP($C2456,'• CIs EXT'!$A:$E,4,0)</f>
        <v>UN</v>
      </c>
      <c r="F2456" s="833">
        <v>1</v>
      </c>
      <c r="G2456" s="379">
        <f>VLOOKUP($C2456,'• CIs EXT'!$A:$E,5,0)</f>
        <v>13.2</v>
      </c>
      <c r="H2456" s="381">
        <f>TRUNC(($F2456*$G2456),2)</f>
        <v>13.2</v>
      </c>
      <c r="I2456" s="262"/>
      <c r="J2456" s="262"/>
      <c r="K2456" s="262"/>
      <c r="L2456" s="262"/>
      <c r="M2456" s="262"/>
      <c r="N2456" s="262"/>
      <c r="O2456" s="262"/>
      <c r="P2456" s="262"/>
      <c r="Q2456" s="262"/>
      <c r="R2456" s="262"/>
      <c r="S2456" s="262"/>
      <c r="T2456" s="262"/>
      <c r="U2456" s="262"/>
      <c r="V2456" s="262"/>
      <c r="W2456" s="262"/>
      <c r="X2456" s="262"/>
      <c r="Y2456" s="262"/>
      <c r="Z2456" s="262"/>
      <c r="AA2456" s="262"/>
      <c r="AB2456" s="262"/>
    </row>
    <row r="2457" spans="1:31" ht="12.75">
      <c r="A2457" s="760" t="s">
        <v>14479</v>
      </c>
      <c r="B2457" s="761" t="s">
        <v>14491</v>
      </c>
      <c r="C2457" s="600" t="s">
        <v>15343</v>
      </c>
      <c r="D2457" s="601" t="str">
        <f>VLOOKUP($C2457,'09 - MC'!$A:$F,2,0)</f>
        <v>DISTRIBUIDOR INTERNO ÓPTICO (DIO) 1U 12F SC/APC</v>
      </c>
      <c r="E2457" s="602" t="str">
        <f>VLOOKUP($C2457,'09 - MC'!$A:$F,3,0)</f>
        <v>UN</v>
      </c>
      <c r="F2457" s="603">
        <v>1</v>
      </c>
      <c r="G2457" s="783">
        <f>VLOOKUP($C2457,'09 - MC'!$A:$F,6,0)</f>
        <v>477.91</v>
      </c>
      <c r="H2457" s="605">
        <f>TRUNC(G2457*F2457,2)</f>
        <v>477.91</v>
      </c>
      <c r="I2457" s="262"/>
      <c r="J2457" s="262"/>
      <c r="K2457" s="262"/>
      <c r="L2457" s="262"/>
      <c r="M2457" s="262"/>
      <c r="N2457" s="262"/>
      <c r="O2457" s="262"/>
      <c r="P2457" s="262"/>
      <c r="Q2457" s="262"/>
      <c r="R2457" s="262"/>
      <c r="S2457" s="262"/>
      <c r="T2457" s="262"/>
      <c r="U2457" s="262"/>
      <c r="V2457" s="262"/>
      <c r="W2457" s="262"/>
      <c r="X2457" s="262"/>
      <c r="Y2457" s="262"/>
      <c r="Z2457" s="262"/>
      <c r="AA2457" s="262"/>
      <c r="AB2457" s="262"/>
    </row>
    <row r="2458" spans="1:31" ht="12.75">
      <c r="A2458" s="766"/>
      <c r="B2458" s="767"/>
      <c r="C2458" s="3"/>
      <c r="D2458" s="768"/>
      <c r="E2458" s="690"/>
      <c r="F2458" s="691"/>
      <c r="G2458" s="690"/>
      <c r="H2458" s="692"/>
      <c r="I2458" s="262"/>
      <c r="J2458" s="262"/>
      <c r="K2458" s="262"/>
      <c r="L2458" s="262"/>
      <c r="M2458" s="262"/>
      <c r="N2458" s="262"/>
      <c r="O2458" s="262"/>
      <c r="P2458" s="262"/>
      <c r="Q2458" s="262"/>
      <c r="R2458" s="262"/>
      <c r="S2458" s="262"/>
      <c r="T2458" s="262"/>
      <c r="U2458" s="262"/>
      <c r="V2458" s="262"/>
      <c r="W2458" s="262"/>
      <c r="X2458" s="262"/>
      <c r="Y2458" s="262"/>
      <c r="Z2458" s="262"/>
      <c r="AA2458" s="262"/>
      <c r="AB2458" s="262"/>
    </row>
    <row r="2459" spans="1:31" ht="25.5">
      <c r="A2459" s="358" t="s">
        <v>14471</v>
      </c>
      <c r="B2459" s="359" t="s">
        <v>14472</v>
      </c>
      <c r="C2459" s="360" t="s">
        <v>15344</v>
      </c>
      <c r="D2459" s="361" t="s">
        <v>15345</v>
      </c>
      <c r="E2459" s="359" t="s">
        <v>6</v>
      </c>
      <c r="F2459" s="362"/>
      <c r="G2459" s="362"/>
      <c r="H2459" s="363">
        <f>SUM(H2461:H2465)</f>
        <v>97.24</v>
      </c>
      <c r="I2459" s="276">
        <f>COUNTIF($C$8:$C2459,C:C)</f>
        <v>1</v>
      </c>
      <c r="J2459" s="262"/>
      <c r="K2459" s="262"/>
      <c r="L2459" s="262"/>
      <c r="M2459" s="262"/>
      <c r="N2459" s="262"/>
      <c r="O2459" s="262"/>
      <c r="P2459" s="262"/>
      <c r="Q2459" s="262"/>
      <c r="R2459" s="262"/>
      <c r="S2459" s="262"/>
      <c r="T2459" s="262"/>
      <c r="U2459" s="262"/>
      <c r="V2459" s="262"/>
      <c r="W2459" s="262"/>
      <c r="X2459" s="262"/>
      <c r="Y2459" s="262"/>
      <c r="Z2459" s="262"/>
      <c r="AA2459" s="262"/>
      <c r="AB2459" s="262"/>
    </row>
    <row r="2460" spans="1:31" ht="12.75">
      <c r="A2460" s="646" t="s">
        <v>14475</v>
      </c>
      <c r="B2460" s="763" t="s">
        <v>14476</v>
      </c>
      <c r="C2460" s="404">
        <v>98307</v>
      </c>
      <c r="D2460" s="769" t="s">
        <v>14567</v>
      </c>
      <c r="E2460" s="641"/>
      <c r="F2460" s="369"/>
      <c r="G2460" s="370"/>
      <c r="H2460" s="371"/>
      <c r="I2460" s="262"/>
      <c r="J2460" s="262"/>
      <c r="K2460" s="262"/>
      <c r="L2460" s="262"/>
      <c r="M2460" s="262"/>
      <c r="N2460" s="262"/>
      <c r="O2460" s="262"/>
      <c r="P2460" s="262"/>
      <c r="Q2460" s="262"/>
      <c r="R2460" s="262"/>
      <c r="S2460" s="262"/>
      <c r="T2460" s="262"/>
      <c r="U2460" s="262"/>
      <c r="V2460" s="262"/>
      <c r="W2460" s="262"/>
      <c r="X2460" s="262"/>
      <c r="Y2460" s="262"/>
      <c r="Z2460" s="262"/>
      <c r="AA2460" s="262"/>
      <c r="AB2460" s="262"/>
    </row>
    <row r="2461" spans="1:31" ht="25.5">
      <c r="A2461" s="586" t="s">
        <v>14478</v>
      </c>
      <c r="B2461" s="421" t="s">
        <v>14476</v>
      </c>
      <c r="C2461" s="422">
        <v>88266</v>
      </c>
      <c r="D2461" s="288" t="str">
        <f>IFERROR(VLOOKUP($C2461,'24.08_ND'!$A:$D,2,0),)</f>
        <v>ELETROTÉCNICO COM ENCARGOS COMPLEMENTARES</v>
      </c>
      <c r="E2461" s="289" t="str">
        <f>IFERROR(VLOOKUP($C2461,'24.08_ND'!$A:$D,3,0),)</f>
        <v>H</v>
      </c>
      <c r="F2461" s="441">
        <v>0.20619999999999999</v>
      </c>
      <c r="G2461" s="291">
        <f>IFERROR(VLOOKUP($C2461,'24.08_ND'!$A:$D,4,0),)</f>
        <v>29.92</v>
      </c>
      <c r="H2461" s="423">
        <f>TRUNC(($F2461*$G2461),2)</f>
        <v>6.16</v>
      </c>
      <c r="I2461" s="262"/>
      <c r="J2461" s="262"/>
      <c r="K2461" s="262"/>
      <c r="L2461" s="262"/>
      <c r="M2461" s="262"/>
      <c r="N2461" s="262"/>
      <c r="O2461" s="262"/>
      <c r="P2461" s="262"/>
      <c r="Q2461" s="262"/>
      <c r="R2461" s="262"/>
      <c r="S2461" s="262"/>
      <c r="T2461" s="262"/>
      <c r="U2461" s="262"/>
      <c r="V2461" s="262"/>
      <c r="W2461" s="262"/>
      <c r="X2461" s="262"/>
      <c r="Y2461" s="262"/>
      <c r="Z2461" s="262"/>
      <c r="AA2461" s="262"/>
      <c r="AB2461" s="262"/>
      <c r="AD2461" s="1791" t="e">
        <f>VLOOKUP(C2461,'Medição '!$B$16:$F$1833,6,0)</f>
        <v>#N/A</v>
      </c>
      <c r="AE2461" s="1791"/>
    </row>
    <row r="2462" spans="1:31" ht="25.5">
      <c r="A2462" s="586" t="s">
        <v>14478</v>
      </c>
      <c r="B2462" s="421" t="s">
        <v>14476</v>
      </c>
      <c r="C2462" s="422">
        <v>88243</v>
      </c>
      <c r="D2462" s="288" t="str">
        <f>IFERROR(VLOOKUP($C2462,'24.08_ND'!$A:$D,2,0),)</f>
        <v>AJUDANTE ESPECIALIZADO COM ENCARGOS COMPLEMENTARES</v>
      </c>
      <c r="E2462" s="289" t="str">
        <f>IFERROR(VLOOKUP($C2462,'24.08_ND'!$A:$D,3,0),)</f>
        <v>H</v>
      </c>
      <c r="F2462" s="441">
        <v>0.20619999999999999</v>
      </c>
      <c r="G2462" s="291">
        <f>IFERROR(VLOOKUP($C2462,'24.08_ND'!$A:$D,4,0),)</f>
        <v>19.32</v>
      </c>
      <c r="H2462" s="423">
        <f>TRUNC(($F2462*$G2462),2)</f>
        <v>3.98</v>
      </c>
      <c r="I2462" s="262"/>
      <c r="J2462" s="262"/>
      <c r="K2462" s="262"/>
      <c r="L2462" s="262"/>
      <c r="M2462" s="262"/>
      <c r="N2462" s="262"/>
      <c r="O2462" s="262"/>
      <c r="P2462" s="262"/>
      <c r="Q2462" s="262"/>
      <c r="R2462" s="262"/>
      <c r="S2462" s="262"/>
      <c r="T2462" s="262"/>
      <c r="U2462" s="262"/>
      <c r="V2462" s="262"/>
      <c r="W2462" s="262"/>
      <c r="X2462" s="262"/>
      <c r="Y2462" s="262"/>
      <c r="Z2462" s="262"/>
      <c r="AA2462" s="262"/>
      <c r="AB2462" s="262"/>
      <c r="AD2462" s="1791" t="e">
        <f>VLOOKUP(C2462,'Medição '!$B$16:$F$1833,6,0)</f>
        <v>#N/A</v>
      </c>
      <c r="AE2462" s="1791"/>
    </row>
    <row r="2463" spans="1:31" ht="12.75">
      <c r="A2463" s="770" t="s">
        <v>14479</v>
      </c>
      <c r="B2463" s="446" t="s">
        <v>14476</v>
      </c>
      <c r="C2463" s="582">
        <v>39601</v>
      </c>
      <c r="D2463" s="296" t="str">
        <f>IFERROR(VLOOKUP($C2463,'24.08_ND'!$A:$D,2,0),)</f>
        <v>CONECTOR / TOMADA FEMEA RJ 45, CATEGORIA 6 (CAT 6) PARA CABOS</v>
      </c>
      <c r="E2463" s="297" t="str">
        <f>IFERROR(VLOOKUP($C2463,'24.08_ND'!$A:$D,3,0),)</f>
        <v>UN</v>
      </c>
      <c r="F2463" s="385">
        <v>2</v>
      </c>
      <c r="G2463" s="299">
        <f>IFERROR(VLOOKUP($C2463,'24.08_ND'!$A:$D,4,0),)</f>
        <v>40.729999999999997</v>
      </c>
      <c r="H2463" s="449">
        <f>TRUNC(($F2463*$G2463),2)</f>
        <v>81.459999999999994</v>
      </c>
      <c r="I2463" s="262"/>
      <c r="J2463" s="262"/>
      <c r="K2463" s="262"/>
      <c r="L2463" s="262"/>
      <c r="M2463" s="262"/>
      <c r="N2463" s="262"/>
      <c r="O2463" s="262"/>
      <c r="P2463" s="262"/>
      <c r="Q2463" s="262"/>
      <c r="R2463" s="262"/>
      <c r="S2463" s="262"/>
      <c r="T2463" s="262"/>
      <c r="U2463" s="262"/>
      <c r="V2463" s="262"/>
      <c r="W2463" s="262"/>
      <c r="X2463" s="262"/>
      <c r="Y2463" s="262"/>
      <c r="Z2463" s="262"/>
      <c r="AA2463" s="262"/>
      <c r="AB2463" s="262"/>
    </row>
    <row r="2464" spans="1:31" ht="25.5">
      <c r="A2464" s="770" t="s">
        <v>14479</v>
      </c>
      <c r="B2464" s="446" t="s">
        <v>14476</v>
      </c>
      <c r="C2464" s="582">
        <v>38099</v>
      </c>
      <c r="D2464" s="296" t="str">
        <f>IFERROR(VLOOKUP($C2464,'24.08_ND'!$A:$D,2,0),)</f>
        <v>SUPORTE DE FIXACAO PARA ESPELHO / PLACA 4" X 2", PARA 3 MODULOS, PARA INSTALACAO DE TOMADAS E INTERRUPTORES (SOMENTE SUPORTE)</v>
      </c>
      <c r="E2464" s="297" t="str">
        <f>IFERROR(VLOOKUP($C2464,'24.08_ND'!$A:$D,3,0),)</f>
        <v>UN</v>
      </c>
      <c r="F2464" s="385">
        <v>1</v>
      </c>
      <c r="G2464" s="299">
        <f>IFERROR(VLOOKUP($C2464,'24.08_ND'!$A:$D,4,0),)</f>
        <v>1.3</v>
      </c>
      <c r="H2464" s="449">
        <f>TRUNC(($F2464*$G2464),2)</f>
        <v>1.3</v>
      </c>
      <c r="I2464" s="262"/>
      <c r="J2464" s="262"/>
      <c r="K2464" s="262"/>
      <c r="L2464" s="262"/>
      <c r="M2464" s="262"/>
      <c r="N2464" s="262"/>
      <c r="O2464" s="262"/>
      <c r="P2464" s="262"/>
      <c r="Q2464" s="262"/>
      <c r="R2464" s="262"/>
      <c r="S2464" s="262"/>
      <c r="T2464" s="262"/>
      <c r="U2464" s="262"/>
      <c r="V2464" s="262"/>
      <c r="W2464" s="262"/>
      <c r="X2464" s="262"/>
      <c r="Y2464" s="262"/>
      <c r="Z2464" s="262"/>
      <c r="AA2464" s="262"/>
      <c r="AB2464" s="262"/>
    </row>
    <row r="2465" spans="1:31" ht="12.75">
      <c r="A2465" s="770" t="s">
        <v>14479</v>
      </c>
      <c r="B2465" s="446" t="s">
        <v>14476</v>
      </c>
      <c r="C2465" s="582">
        <v>39351</v>
      </c>
      <c r="D2465" s="296" t="str">
        <f>IFERROR(VLOOKUP($C2465,'24.08_ND'!$A:$D,2,0),)</f>
        <v>TAMPA PARA CONDULETE, EM PVC, PARA 2 MODULOS RJ</v>
      </c>
      <c r="E2465" s="297" t="str">
        <f>IFERROR(VLOOKUP($C2465,'24.08_ND'!$A:$D,3,0),)</f>
        <v>UN</v>
      </c>
      <c r="F2465" s="385">
        <v>1</v>
      </c>
      <c r="G2465" s="299">
        <f>IFERROR(VLOOKUP($C2465,'24.08_ND'!$A:$D,4,0),)</f>
        <v>4.34</v>
      </c>
      <c r="H2465" s="449">
        <f>TRUNC(($F2465*$G2465),2)</f>
        <v>4.34</v>
      </c>
      <c r="I2465" s="262"/>
      <c r="J2465" s="262"/>
      <c r="K2465" s="262"/>
      <c r="L2465" s="262"/>
      <c r="M2465" s="262"/>
      <c r="N2465" s="262"/>
      <c r="O2465" s="262"/>
      <c r="P2465" s="262"/>
      <c r="Q2465" s="262"/>
      <c r="R2465" s="262"/>
      <c r="S2465" s="262"/>
      <c r="T2465" s="262"/>
      <c r="U2465" s="262"/>
      <c r="V2465" s="262"/>
      <c r="W2465" s="262"/>
      <c r="X2465" s="262"/>
      <c r="Y2465" s="262"/>
      <c r="Z2465" s="262"/>
      <c r="AA2465" s="262"/>
      <c r="AB2465" s="262"/>
    </row>
    <row r="2466" spans="1:31" ht="12.75">
      <c r="A2466" s="766"/>
      <c r="B2466" s="767"/>
      <c r="C2466" s="3"/>
      <c r="D2466" s="768"/>
      <c r="E2466" s="690"/>
      <c r="F2466" s="691"/>
      <c r="G2466" s="690"/>
      <c r="H2466" s="692"/>
      <c r="I2466" s="262"/>
      <c r="J2466" s="262"/>
      <c r="K2466" s="262"/>
      <c r="L2466" s="262"/>
      <c r="M2466" s="262"/>
      <c r="N2466" s="262"/>
      <c r="O2466" s="262"/>
      <c r="P2466" s="262"/>
      <c r="Q2466" s="262"/>
      <c r="R2466" s="262"/>
      <c r="S2466" s="262"/>
      <c r="T2466" s="262"/>
      <c r="U2466" s="262"/>
      <c r="V2466" s="262"/>
      <c r="W2466" s="262"/>
      <c r="X2466" s="262"/>
      <c r="Y2466" s="262"/>
      <c r="Z2466" s="262"/>
      <c r="AA2466" s="262"/>
      <c r="AB2466" s="262"/>
    </row>
    <row r="2467" spans="1:31" ht="12.75">
      <c r="A2467" s="358" t="s">
        <v>14471</v>
      </c>
      <c r="B2467" s="359" t="s">
        <v>14472</v>
      </c>
      <c r="C2467" s="360" t="s">
        <v>15346</v>
      </c>
      <c r="D2467" s="361" t="s">
        <v>15347</v>
      </c>
      <c r="E2467" s="359" t="s">
        <v>6</v>
      </c>
      <c r="F2467" s="362"/>
      <c r="G2467" s="362"/>
      <c r="H2467" s="363">
        <f>SUM(H2469:H2471)</f>
        <v>14.17</v>
      </c>
      <c r="I2467" s="276">
        <f>COUNTIF($C$8:$C2467,C:C)</f>
        <v>1</v>
      </c>
      <c r="J2467" s="262"/>
      <c r="K2467" s="262"/>
      <c r="L2467" s="262"/>
      <c r="M2467" s="262"/>
      <c r="N2467" s="262"/>
      <c r="O2467" s="262"/>
      <c r="P2467" s="262"/>
      <c r="Q2467" s="262"/>
      <c r="R2467" s="262"/>
      <c r="S2467" s="262"/>
      <c r="T2467" s="262"/>
      <c r="U2467" s="262"/>
      <c r="V2467" s="262"/>
      <c r="W2467" s="262"/>
      <c r="X2467" s="262"/>
      <c r="Y2467" s="262"/>
      <c r="Z2467" s="262"/>
      <c r="AA2467" s="262"/>
      <c r="AB2467" s="262"/>
    </row>
    <row r="2468" spans="1:31" ht="12.75">
      <c r="A2468" s="646" t="s">
        <v>14475</v>
      </c>
      <c r="B2468" s="403" t="s">
        <v>14513</v>
      </c>
      <c r="C2468" s="404">
        <v>59435</v>
      </c>
      <c r="D2468" s="769" t="s">
        <v>14567</v>
      </c>
      <c r="E2468" s="641"/>
      <c r="F2468" s="369"/>
      <c r="G2468" s="370"/>
      <c r="H2468" s="371"/>
      <c r="I2468" s="262"/>
      <c r="J2468" s="262"/>
      <c r="K2468" s="262"/>
      <c r="L2468" s="262"/>
      <c r="M2468" s="262"/>
      <c r="N2468" s="262"/>
      <c r="O2468" s="262"/>
      <c r="P2468" s="262"/>
      <c r="Q2468" s="262"/>
      <c r="R2468" s="262"/>
      <c r="S2468" s="262"/>
      <c r="T2468" s="262"/>
      <c r="U2468" s="262"/>
      <c r="V2468" s="262"/>
      <c r="W2468" s="262"/>
      <c r="X2468" s="262"/>
      <c r="Y2468" s="262"/>
      <c r="Z2468" s="262"/>
      <c r="AA2468" s="262"/>
      <c r="AB2468" s="262"/>
    </row>
    <row r="2469" spans="1:31" ht="25.5">
      <c r="A2469" s="586" t="s">
        <v>14478</v>
      </c>
      <c r="B2469" s="373" t="s">
        <v>14476</v>
      </c>
      <c r="C2469" s="422">
        <v>88266</v>
      </c>
      <c r="D2469" s="288" t="str">
        <f>IFERROR(VLOOKUP($C2469,'24.08_ND'!$A:$D,2,0),)</f>
        <v>ELETROTÉCNICO COM ENCARGOS COMPLEMENTARES</v>
      </c>
      <c r="E2469" s="289" t="str">
        <f>IFERROR(VLOOKUP($C2469,'24.08_ND'!$A:$D,3,0),)</f>
        <v>H</v>
      </c>
      <c r="F2469" s="441">
        <v>0.2</v>
      </c>
      <c r="G2469" s="291">
        <f>IFERROR(VLOOKUP($C2469,'24.08_ND'!$A:$D,4,0),)</f>
        <v>29.92</v>
      </c>
      <c r="H2469" s="423">
        <f>TRUNC(($F2469*$G2469),2)</f>
        <v>5.98</v>
      </c>
      <c r="I2469" s="262"/>
      <c r="J2469" s="262"/>
      <c r="K2469" s="262"/>
      <c r="L2469" s="262"/>
      <c r="M2469" s="262"/>
      <c r="N2469" s="262"/>
      <c r="O2469" s="262"/>
      <c r="P2469" s="262"/>
      <c r="Q2469" s="262"/>
      <c r="R2469" s="262"/>
      <c r="S2469" s="262"/>
      <c r="T2469" s="262"/>
      <c r="U2469" s="262"/>
      <c r="V2469" s="262"/>
      <c r="W2469" s="262"/>
      <c r="X2469" s="262"/>
      <c r="Y2469" s="262"/>
      <c r="Z2469" s="262"/>
      <c r="AA2469" s="262"/>
      <c r="AB2469" s="262"/>
      <c r="AD2469" s="1791" t="e">
        <f>VLOOKUP(C2469,'Medição '!$B$16:$F$1833,6,0)</f>
        <v>#N/A</v>
      </c>
      <c r="AE2469" s="1791"/>
    </row>
    <row r="2470" spans="1:31" ht="25.5">
      <c r="A2470" s="586" t="s">
        <v>14478</v>
      </c>
      <c r="B2470" s="373" t="s">
        <v>14476</v>
      </c>
      <c r="C2470" s="422">
        <v>88243</v>
      </c>
      <c r="D2470" s="288" t="str">
        <f>IFERROR(VLOOKUP($C2470,'24.08_ND'!$A:$D,2,0),)</f>
        <v>AJUDANTE ESPECIALIZADO COM ENCARGOS COMPLEMENTARES</v>
      </c>
      <c r="E2470" s="289" t="str">
        <f>IFERROR(VLOOKUP($C2470,'24.08_ND'!$A:$D,3,0),)</f>
        <v>H</v>
      </c>
      <c r="F2470" s="441">
        <v>0.2</v>
      </c>
      <c r="G2470" s="291">
        <f>IFERROR(VLOOKUP($C2470,'24.08_ND'!$A:$D,4,0),)</f>
        <v>19.32</v>
      </c>
      <c r="H2470" s="423">
        <f>TRUNC(($F2470*$G2470),2)</f>
        <v>3.86</v>
      </c>
      <c r="I2470" s="262"/>
      <c r="J2470" s="262"/>
      <c r="K2470" s="262"/>
      <c r="L2470" s="262"/>
      <c r="M2470" s="262"/>
      <c r="N2470" s="262"/>
      <c r="O2470" s="262"/>
      <c r="P2470" s="262"/>
      <c r="Q2470" s="262"/>
      <c r="R2470" s="262"/>
      <c r="S2470" s="262"/>
      <c r="T2470" s="262"/>
      <c r="U2470" s="262"/>
      <c r="V2470" s="262"/>
      <c r="W2470" s="262"/>
      <c r="X2470" s="262"/>
      <c r="Y2470" s="262"/>
      <c r="Z2470" s="262"/>
      <c r="AA2470" s="262"/>
      <c r="AB2470" s="262"/>
      <c r="AD2470" s="1791" t="e">
        <f>VLOOKUP(C2470,'Medição '!$B$16:$F$1833,6,0)</f>
        <v>#N/A</v>
      </c>
      <c r="AE2470" s="1791"/>
    </row>
    <row r="2471" spans="1:31" ht="12.75">
      <c r="A2471" s="770" t="s">
        <v>14479</v>
      </c>
      <c r="B2471" s="446" t="s">
        <v>14476</v>
      </c>
      <c r="C2471" s="582">
        <v>39603</v>
      </c>
      <c r="D2471" s="296" t="str">
        <f>IFERROR(VLOOKUP($C2471,'24.08_ND'!$A:$D,2,0),)</f>
        <v>CONECTOR MACHO RJ 45, CATEGORIA 6 (CAT 6) PARA CABOS</v>
      </c>
      <c r="E2471" s="297" t="str">
        <f>IFERROR(VLOOKUP($C2471,'24.08_ND'!$A:$D,3,0),)</f>
        <v>UN</v>
      </c>
      <c r="F2471" s="385">
        <v>1</v>
      </c>
      <c r="G2471" s="299">
        <f>IFERROR(VLOOKUP($C2471,'24.08_ND'!$A:$D,4,0),)</f>
        <v>4.33</v>
      </c>
      <c r="H2471" s="449">
        <f>TRUNC(($F2471*$G2471),2)</f>
        <v>4.33</v>
      </c>
      <c r="I2471" s="262"/>
      <c r="J2471" s="262"/>
      <c r="K2471" s="262"/>
      <c r="L2471" s="262"/>
      <c r="M2471" s="262"/>
      <c r="N2471" s="262"/>
      <c r="O2471" s="262"/>
      <c r="P2471" s="262"/>
      <c r="Q2471" s="262"/>
      <c r="R2471" s="262"/>
      <c r="S2471" s="262"/>
      <c r="T2471" s="262"/>
      <c r="U2471" s="262"/>
      <c r="V2471" s="262"/>
      <c r="W2471" s="262"/>
      <c r="X2471" s="262"/>
      <c r="Y2471" s="262"/>
      <c r="Z2471" s="262"/>
      <c r="AA2471" s="262"/>
      <c r="AB2471" s="262"/>
    </row>
    <row r="2472" spans="1:31" ht="12.75">
      <c r="A2472" s="766"/>
      <c r="B2472" s="767"/>
      <c r="C2472" s="3"/>
      <c r="D2472" s="768"/>
      <c r="E2472" s="690"/>
      <c r="F2472" s="691"/>
      <c r="G2472" s="690"/>
      <c r="H2472" s="692"/>
      <c r="I2472" s="262"/>
      <c r="J2472" s="262"/>
      <c r="K2472" s="262"/>
      <c r="L2472" s="262"/>
      <c r="M2472" s="262"/>
      <c r="N2472" s="262"/>
      <c r="O2472" s="262"/>
      <c r="P2472" s="262"/>
      <c r="Q2472" s="262"/>
      <c r="R2472" s="262"/>
      <c r="S2472" s="262"/>
      <c r="T2472" s="262"/>
      <c r="U2472" s="262"/>
      <c r="V2472" s="262"/>
      <c r="W2472" s="262"/>
      <c r="X2472" s="262"/>
      <c r="Y2472" s="262"/>
      <c r="Z2472" s="262"/>
      <c r="AA2472" s="262"/>
      <c r="AB2472" s="262"/>
    </row>
    <row r="2473" spans="1:31" ht="25.5">
      <c r="A2473" s="358" t="s">
        <v>14471</v>
      </c>
      <c r="B2473" s="359" t="s">
        <v>14472</v>
      </c>
      <c r="C2473" s="360" t="s">
        <v>15348</v>
      </c>
      <c r="D2473" s="361" t="s">
        <v>15349</v>
      </c>
      <c r="E2473" s="359" t="s">
        <v>6</v>
      </c>
      <c r="F2473" s="362"/>
      <c r="G2473" s="362"/>
      <c r="H2473" s="363">
        <f>SUM(H2475:H2477)</f>
        <v>35.79</v>
      </c>
      <c r="I2473" s="276">
        <f>COUNTIF($C$8:$C2473,C:C)</f>
        <v>1</v>
      </c>
      <c r="J2473" s="262"/>
      <c r="K2473" s="262"/>
      <c r="L2473" s="262"/>
      <c r="M2473" s="262"/>
      <c r="N2473" s="262"/>
      <c r="O2473" s="262"/>
      <c r="P2473" s="262"/>
      <c r="Q2473" s="262"/>
      <c r="R2473" s="262"/>
      <c r="S2473" s="262"/>
      <c r="T2473" s="262"/>
      <c r="U2473" s="262"/>
      <c r="V2473" s="262"/>
      <c r="W2473" s="262"/>
      <c r="X2473" s="262"/>
      <c r="Y2473" s="262"/>
      <c r="Z2473" s="262"/>
      <c r="AA2473" s="262"/>
      <c r="AB2473" s="262"/>
    </row>
    <row r="2474" spans="1:31" ht="12.75">
      <c r="A2474" s="646" t="s">
        <v>14475</v>
      </c>
      <c r="B2474" s="763" t="s">
        <v>15350</v>
      </c>
      <c r="C2474" s="404" t="s">
        <v>15351</v>
      </c>
      <c r="D2474" s="769" t="s">
        <v>14567</v>
      </c>
      <c r="E2474" s="641"/>
      <c r="F2474" s="369"/>
      <c r="G2474" s="370"/>
      <c r="H2474" s="371"/>
      <c r="I2474" s="262"/>
      <c r="J2474" s="262"/>
      <c r="K2474" s="262"/>
      <c r="L2474" s="262"/>
      <c r="M2474" s="262"/>
      <c r="N2474" s="262"/>
      <c r="O2474" s="262"/>
      <c r="P2474" s="262"/>
      <c r="Q2474" s="262"/>
      <c r="R2474" s="262"/>
      <c r="S2474" s="262"/>
      <c r="T2474" s="262"/>
      <c r="U2474" s="262"/>
      <c r="V2474" s="262"/>
      <c r="W2474" s="262"/>
      <c r="X2474" s="262"/>
      <c r="Y2474" s="262"/>
      <c r="Z2474" s="262"/>
      <c r="AA2474" s="262"/>
      <c r="AB2474" s="262"/>
    </row>
    <row r="2475" spans="1:31" ht="25.5">
      <c r="A2475" s="586" t="s">
        <v>14478</v>
      </c>
      <c r="B2475" s="421" t="s">
        <v>14476</v>
      </c>
      <c r="C2475" s="422">
        <v>88266</v>
      </c>
      <c r="D2475" s="288" t="str">
        <f>IFERROR(VLOOKUP($C2475,'24.08_ND'!$A:$D,2,0),)</f>
        <v>ELETROTÉCNICO COM ENCARGOS COMPLEMENTARES</v>
      </c>
      <c r="E2475" s="289" t="str">
        <f>IFERROR(VLOOKUP($C2475,'24.08_ND'!$A:$D,3,0),)</f>
        <v>H</v>
      </c>
      <c r="F2475" s="441">
        <v>0.1</v>
      </c>
      <c r="G2475" s="291">
        <f>IFERROR(VLOOKUP($C2475,'24.08_ND'!$A:$D,4,0),)</f>
        <v>29.92</v>
      </c>
      <c r="H2475" s="423">
        <f>TRUNC(($F2475*$G2475),2)</f>
        <v>2.99</v>
      </c>
      <c r="I2475" s="262"/>
      <c r="J2475" s="262"/>
      <c r="K2475" s="262"/>
      <c r="L2475" s="262"/>
      <c r="M2475" s="262"/>
      <c r="N2475" s="262"/>
      <c r="O2475" s="262"/>
      <c r="P2475" s="262"/>
      <c r="Q2475" s="262"/>
      <c r="R2475" s="262"/>
      <c r="S2475" s="262"/>
      <c r="T2475" s="262"/>
      <c r="U2475" s="262"/>
      <c r="V2475" s="262"/>
      <c r="W2475" s="262"/>
      <c r="X2475" s="262"/>
      <c r="Y2475" s="262"/>
      <c r="Z2475" s="262"/>
      <c r="AA2475" s="262"/>
      <c r="AB2475" s="262"/>
      <c r="AD2475" s="1791" t="e">
        <f>VLOOKUP(C2475,'Medição '!$B$16:$F$1833,6,0)</f>
        <v>#N/A</v>
      </c>
      <c r="AE2475" s="1791"/>
    </row>
    <row r="2476" spans="1:31" ht="25.5">
      <c r="A2476" s="586" t="s">
        <v>14478</v>
      </c>
      <c r="B2476" s="421" t="s">
        <v>14476</v>
      </c>
      <c r="C2476" s="422">
        <v>88243</v>
      </c>
      <c r="D2476" s="288" t="str">
        <f>IFERROR(VLOOKUP($C2476,'24.08_ND'!$A:$D,2,0),)</f>
        <v>AJUDANTE ESPECIALIZADO COM ENCARGOS COMPLEMENTARES</v>
      </c>
      <c r="E2476" s="289" t="str">
        <f>IFERROR(VLOOKUP($C2476,'24.08_ND'!$A:$D,3,0),)</f>
        <v>H</v>
      </c>
      <c r="F2476" s="441">
        <v>0.1</v>
      </c>
      <c r="G2476" s="291">
        <f>IFERROR(VLOOKUP($C2476,'24.08_ND'!$A:$D,4,0),)</f>
        <v>19.32</v>
      </c>
      <c r="H2476" s="423">
        <f>TRUNC(($F2476*$G2476),2)</f>
        <v>1.93</v>
      </c>
      <c r="I2476" s="262"/>
      <c r="J2476" s="262"/>
      <c r="K2476" s="262"/>
      <c r="L2476" s="262"/>
      <c r="M2476" s="262"/>
      <c r="N2476" s="262"/>
      <c r="O2476" s="262"/>
      <c r="P2476" s="262"/>
      <c r="Q2476" s="262"/>
      <c r="R2476" s="262"/>
      <c r="S2476" s="262"/>
      <c r="T2476" s="262"/>
      <c r="U2476" s="262"/>
      <c r="V2476" s="262"/>
      <c r="W2476" s="262"/>
      <c r="X2476" s="262"/>
      <c r="Y2476" s="262"/>
      <c r="Z2476" s="262"/>
      <c r="AA2476" s="262"/>
      <c r="AB2476" s="262"/>
      <c r="AD2476" s="1791" t="e">
        <f>VLOOKUP(C2476,'Medição '!$B$16:$F$1833,6,0)</f>
        <v>#N/A</v>
      </c>
      <c r="AE2476" s="1791"/>
    </row>
    <row r="2477" spans="1:31" ht="25.5">
      <c r="A2477" s="770" t="s">
        <v>14479</v>
      </c>
      <c r="B2477" s="446" t="s">
        <v>14476</v>
      </c>
      <c r="C2477" s="384">
        <v>39606</v>
      </c>
      <c r="D2477" s="296" t="str">
        <f>IFERROR(VLOOKUP($C2477,'24.08_ND'!$A:$D,2,0),)</f>
        <v>PATCH CORD (CABO DE REDE), CATEGORIA 6 (CAT 6) UTP, 23 AWG, 4 PARES, EXTENSAO DE 1,50 M</v>
      </c>
      <c r="E2477" s="297" t="str">
        <f>IFERROR(VLOOKUP($C2477,'24.08_ND'!$A:$D,3,0),)</f>
        <v>UN</v>
      </c>
      <c r="F2477" s="385">
        <v>1</v>
      </c>
      <c r="G2477" s="299">
        <f>IFERROR(VLOOKUP($C2477,'24.08_ND'!$A:$D,4,0),)</f>
        <v>30.87</v>
      </c>
      <c r="H2477" s="449">
        <f>TRUNC(($F2477*$G2477),2)</f>
        <v>30.87</v>
      </c>
      <c r="I2477" s="262"/>
      <c r="J2477" s="262"/>
      <c r="K2477" s="262"/>
      <c r="L2477" s="262"/>
      <c r="M2477" s="262"/>
      <c r="N2477" s="262"/>
      <c r="O2477" s="262"/>
      <c r="P2477" s="262"/>
      <c r="Q2477" s="262"/>
      <c r="R2477" s="262"/>
      <c r="S2477" s="262"/>
      <c r="T2477" s="262"/>
      <c r="U2477" s="262"/>
      <c r="V2477" s="262"/>
      <c r="W2477" s="262"/>
      <c r="X2477" s="262"/>
      <c r="Y2477" s="262"/>
      <c r="Z2477" s="262"/>
      <c r="AA2477" s="262"/>
      <c r="AB2477" s="262"/>
    </row>
    <row r="2478" spans="1:31" ht="12.75">
      <c r="A2478" s="766"/>
      <c r="B2478" s="767"/>
      <c r="C2478" s="3"/>
      <c r="D2478" s="768"/>
      <c r="E2478" s="690"/>
      <c r="F2478" s="691"/>
      <c r="G2478" s="690"/>
      <c r="H2478" s="692"/>
      <c r="I2478" s="262"/>
      <c r="J2478" s="262"/>
      <c r="K2478" s="262"/>
      <c r="L2478" s="262"/>
      <c r="M2478" s="262"/>
      <c r="N2478" s="262"/>
      <c r="O2478" s="262"/>
      <c r="P2478" s="262"/>
      <c r="Q2478" s="262"/>
      <c r="R2478" s="262"/>
      <c r="S2478" s="262"/>
      <c r="T2478" s="262"/>
      <c r="U2478" s="262"/>
      <c r="V2478" s="262"/>
      <c r="W2478" s="262"/>
      <c r="X2478" s="262"/>
      <c r="Y2478" s="262"/>
      <c r="Z2478" s="262"/>
      <c r="AA2478" s="262"/>
      <c r="AB2478" s="262"/>
    </row>
    <row r="2479" spans="1:31" ht="25.5">
      <c r="A2479" s="771" t="s">
        <v>15071</v>
      </c>
      <c r="B2479" s="772" t="s">
        <v>14472</v>
      </c>
      <c r="C2479" s="360" t="s">
        <v>15352</v>
      </c>
      <c r="D2479" s="773" t="s">
        <v>15353</v>
      </c>
      <c r="E2479" s="774" t="s">
        <v>6</v>
      </c>
      <c r="F2479" s="834"/>
      <c r="G2479" s="776"/>
      <c r="H2479" s="777">
        <f>SUM(H2481:H2483)</f>
        <v>113.55000000000001</v>
      </c>
      <c r="I2479" s="276">
        <f>COUNTIF($C$8:$C2479,C:C)</f>
        <v>1</v>
      </c>
      <c r="J2479" s="262"/>
      <c r="K2479" s="262"/>
      <c r="L2479" s="262"/>
      <c r="M2479" s="262"/>
      <c r="N2479" s="262"/>
      <c r="O2479" s="262"/>
      <c r="P2479" s="262"/>
      <c r="Q2479" s="262"/>
      <c r="R2479" s="262"/>
      <c r="S2479" s="262"/>
      <c r="T2479" s="262"/>
      <c r="U2479" s="262"/>
      <c r="V2479" s="262"/>
      <c r="W2479" s="262"/>
      <c r="X2479" s="262"/>
      <c r="Y2479" s="262"/>
      <c r="Z2479" s="262"/>
      <c r="AA2479" s="262"/>
      <c r="AB2479" s="262"/>
    </row>
    <row r="2480" spans="1:31" ht="12.75">
      <c r="A2480" s="646" t="s">
        <v>14475</v>
      </c>
      <c r="B2480" s="763" t="s">
        <v>15354</v>
      </c>
      <c r="C2480" s="404">
        <v>2501000180</v>
      </c>
      <c r="D2480" s="367" t="s">
        <v>14567</v>
      </c>
      <c r="E2480" s="641"/>
      <c r="F2480" s="642"/>
      <c r="G2480" s="370"/>
      <c r="H2480" s="371"/>
      <c r="I2480" s="262"/>
      <c r="J2480" s="262"/>
      <c r="K2480" s="262"/>
      <c r="L2480" s="262"/>
      <c r="M2480" s="262"/>
      <c r="N2480" s="262"/>
      <c r="O2480" s="262"/>
      <c r="P2480" s="262"/>
      <c r="Q2480" s="262"/>
      <c r="R2480" s="262"/>
      <c r="S2480" s="262"/>
      <c r="T2480" s="262"/>
      <c r="U2480" s="262"/>
      <c r="V2480" s="262"/>
      <c r="W2480" s="262"/>
      <c r="X2480" s="262"/>
      <c r="Y2480" s="262"/>
      <c r="Z2480" s="262"/>
      <c r="AA2480" s="262"/>
      <c r="AB2480" s="262"/>
    </row>
    <row r="2481" spans="1:31" ht="25.5">
      <c r="A2481" s="586" t="s">
        <v>14478</v>
      </c>
      <c r="B2481" s="421" t="s">
        <v>14476</v>
      </c>
      <c r="C2481" s="422">
        <v>88266</v>
      </c>
      <c r="D2481" s="288" t="str">
        <f>IFERROR(VLOOKUP($C2481,'24.08_ND'!$A:$D,2,0),)</f>
        <v>ELETROTÉCNICO COM ENCARGOS COMPLEMENTARES</v>
      </c>
      <c r="E2481" s="289" t="str">
        <f>IFERROR(VLOOKUP($C2481,'24.08_ND'!$A:$D,3,0),)</f>
        <v>H</v>
      </c>
      <c r="F2481" s="421">
        <v>8.3000000000000001E-3</v>
      </c>
      <c r="G2481" s="291">
        <f>IFERROR(VLOOKUP($C2481,'24.08_ND'!$A:$D,4,0),)</f>
        <v>29.92</v>
      </c>
      <c r="H2481" s="440">
        <f>TRUNC(($F2481*$G2481),2)</f>
        <v>0.24</v>
      </c>
      <c r="I2481" s="262"/>
      <c r="J2481" s="262"/>
      <c r="K2481" s="262"/>
      <c r="L2481" s="262"/>
      <c r="M2481" s="262"/>
      <c r="N2481" s="262"/>
      <c r="O2481" s="262"/>
      <c r="P2481" s="262"/>
      <c r="Q2481" s="262"/>
      <c r="R2481" s="262"/>
      <c r="S2481" s="262"/>
      <c r="T2481" s="262"/>
      <c r="U2481" s="262"/>
      <c r="V2481" s="262"/>
      <c r="W2481" s="262"/>
      <c r="X2481" s="262"/>
      <c r="Y2481" s="262"/>
      <c r="Z2481" s="262"/>
      <c r="AA2481" s="262"/>
      <c r="AB2481" s="262"/>
      <c r="AD2481" s="1791" t="e">
        <f>VLOOKUP(C2481,'Medição '!$B$16:$F$1833,6,0)</f>
        <v>#N/A</v>
      </c>
      <c r="AE2481" s="1791"/>
    </row>
    <row r="2482" spans="1:31" ht="25.5">
      <c r="A2482" s="586" t="s">
        <v>14478</v>
      </c>
      <c r="B2482" s="421" t="s">
        <v>14476</v>
      </c>
      <c r="C2482" s="422">
        <v>88243</v>
      </c>
      <c r="D2482" s="288" t="str">
        <f>IFERROR(VLOOKUP($C2482,'24.08_ND'!$A:$D,2,0),)</f>
        <v>AJUDANTE ESPECIALIZADO COM ENCARGOS COMPLEMENTARES</v>
      </c>
      <c r="E2482" s="289" t="str">
        <f>IFERROR(VLOOKUP($C2482,'24.08_ND'!$A:$D,3,0),)</f>
        <v>H</v>
      </c>
      <c r="F2482" s="421">
        <v>8.3000000000000001E-3</v>
      </c>
      <c r="G2482" s="291">
        <f>IFERROR(VLOOKUP($C2482,'24.08_ND'!$A:$D,4,0),)</f>
        <v>19.32</v>
      </c>
      <c r="H2482" s="440">
        <f>TRUNC(($F2482*$G2482),2)</f>
        <v>0.16</v>
      </c>
      <c r="I2482" s="262"/>
      <c r="J2482" s="262"/>
      <c r="K2482" s="262"/>
      <c r="L2482" s="262"/>
      <c r="M2482" s="262"/>
      <c r="N2482" s="262"/>
      <c r="O2482" s="262"/>
      <c r="P2482" s="262"/>
      <c r="Q2482" s="262"/>
      <c r="R2482" s="262"/>
      <c r="S2482" s="262"/>
      <c r="T2482" s="262"/>
      <c r="U2482" s="262"/>
      <c r="V2482" s="262"/>
      <c r="W2482" s="262"/>
      <c r="X2482" s="262"/>
      <c r="Y2482" s="262"/>
      <c r="Z2482" s="262"/>
      <c r="AA2482" s="262"/>
      <c r="AB2482" s="262"/>
      <c r="AD2482" s="1791" t="e">
        <f>VLOOKUP(C2482,'Medição '!$B$16:$F$1833,6,0)</f>
        <v>#N/A</v>
      </c>
      <c r="AE2482" s="1791"/>
    </row>
    <row r="2483" spans="1:31" ht="12.75">
      <c r="A2483" s="590" t="s">
        <v>14479</v>
      </c>
      <c r="B2483" s="312" t="str">
        <f>VLOOKUP($C2483,'• CIs EXT'!$A:$E,2,0)</f>
        <v>AGESUL</v>
      </c>
      <c r="C2483" s="591">
        <v>1704</v>
      </c>
      <c r="D2483" s="378" t="str">
        <f>VLOOKUP($C2483,'• CIs EXT'!$A:$E,3,0)</f>
        <v>REGUA COM 12 TOMADAS 2P+T 250V., COM CABO TIPO FILTRO DE LINHA PARA RACK</v>
      </c>
      <c r="E2483" s="379" t="str">
        <f>VLOOKUP($C2483,'• CIs EXT'!$A:$E,4,0)</f>
        <v>UN</v>
      </c>
      <c r="F2483" s="833">
        <v>1</v>
      </c>
      <c r="G2483" s="379">
        <f>VLOOKUP($C2483,'• CIs EXT'!$A:$E,5,0)</f>
        <v>113.15</v>
      </c>
      <c r="H2483" s="381">
        <f>TRUNC(($F2483*$G2483),2)</f>
        <v>113.15</v>
      </c>
      <c r="I2483" s="262"/>
      <c r="J2483" s="262"/>
      <c r="K2483" s="262"/>
      <c r="L2483" s="262"/>
      <c r="M2483" s="262"/>
      <c r="N2483" s="262"/>
      <c r="O2483" s="262"/>
      <c r="P2483" s="262"/>
      <c r="Q2483" s="262"/>
      <c r="R2483" s="262"/>
      <c r="S2483" s="262"/>
      <c r="T2483" s="262"/>
      <c r="U2483" s="262"/>
      <c r="V2483" s="262"/>
      <c r="W2483" s="262"/>
      <c r="X2483" s="262"/>
      <c r="Y2483" s="262"/>
      <c r="Z2483" s="262"/>
      <c r="AA2483" s="262"/>
      <c r="AB2483" s="262"/>
    </row>
    <row r="2484" spans="1:31" ht="12.75">
      <c r="A2484" s="450"/>
      <c r="H2484" s="453"/>
      <c r="I2484" s="262"/>
      <c r="J2484" s="262"/>
      <c r="K2484" s="262"/>
      <c r="L2484" s="262"/>
      <c r="M2484" s="262"/>
      <c r="N2484" s="262"/>
      <c r="O2484" s="262"/>
      <c r="P2484" s="262"/>
      <c r="Q2484" s="262"/>
      <c r="R2484" s="262"/>
      <c r="S2484" s="262"/>
      <c r="T2484" s="262"/>
      <c r="U2484" s="262"/>
      <c r="V2484" s="262"/>
      <c r="W2484" s="262"/>
      <c r="X2484" s="262"/>
      <c r="Y2484" s="262"/>
      <c r="Z2484" s="262"/>
      <c r="AA2484" s="262"/>
      <c r="AB2484" s="262"/>
    </row>
    <row r="2485" spans="1:31" ht="25.5">
      <c r="A2485" s="358" t="s">
        <v>14471</v>
      </c>
      <c r="B2485" s="359" t="s">
        <v>14472</v>
      </c>
      <c r="C2485" s="360" t="s">
        <v>15355</v>
      </c>
      <c r="D2485" s="361" t="s">
        <v>15356</v>
      </c>
      <c r="E2485" s="359" t="s">
        <v>6</v>
      </c>
      <c r="F2485" s="362"/>
      <c r="G2485" s="362"/>
      <c r="H2485" s="363">
        <f>TRUNC(SUM(H2487:H2490),2)</f>
        <v>129.16999999999999</v>
      </c>
      <c r="I2485" s="276">
        <f>COUNTIF($C$8:$C2485,C:C)</f>
        <v>1</v>
      </c>
      <c r="J2485" s="262"/>
      <c r="K2485" s="262"/>
      <c r="L2485" s="262"/>
      <c r="M2485" s="262"/>
      <c r="N2485" s="262"/>
      <c r="O2485" s="262"/>
      <c r="P2485" s="262"/>
      <c r="Q2485" s="262"/>
      <c r="R2485" s="262"/>
      <c r="S2485" s="262"/>
      <c r="T2485" s="262"/>
      <c r="U2485" s="262"/>
      <c r="V2485" s="262"/>
      <c r="W2485" s="262"/>
      <c r="X2485" s="262"/>
      <c r="Y2485" s="262"/>
      <c r="Z2485" s="262"/>
      <c r="AA2485" s="262"/>
      <c r="AB2485" s="262"/>
    </row>
    <row r="2486" spans="1:31" ht="12.75">
      <c r="A2486" s="646" t="s">
        <v>14475</v>
      </c>
      <c r="B2486" s="832" t="s">
        <v>14600</v>
      </c>
      <c r="C2486" s="778">
        <v>11307</v>
      </c>
      <c r="D2486" s="769" t="s">
        <v>15132</v>
      </c>
      <c r="E2486" s="779"/>
      <c r="F2486" s="645"/>
      <c r="G2486" s="418"/>
      <c r="H2486" s="419"/>
      <c r="I2486" s="262"/>
      <c r="J2486" s="262"/>
      <c r="K2486" s="262"/>
      <c r="L2486" s="262"/>
      <c r="M2486" s="262"/>
      <c r="N2486" s="262"/>
      <c r="O2486" s="262"/>
      <c r="P2486" s="262"/>
      <c r="Q2486" s="262"/>
      <c r="R2486" s="262"/>
      <c r="S2486" s="262"/>
      <c r="T2486" s="262"/>
      <c r="U2486" s="262"/>
      <c r="V2486" s="262"/>
      <c r="W2486" s="262"/>
      <c r="X2486" s="262"/>
      <c r="Y2486" s="262"/>
      <c r="Z2486" s="262"/>
      <c r="AA2486" s="262"/>
      <c r="AB2486" s="262"/>
    </row>
    <row r="2487" spans="1:31" ht="25.5">
      <c r="A2487" s="586" t="s">
        <v>14478</v>
      </c>
      <c r="B2487" s="421" t="s">
        <v>14476</v>
      </c>
      <c r="C2487" s="422">
        <v>88266</v>
      </c>
      <c r="D2487" s="288" t="str">
        <f>IFERROR(VLOOKUP($C2487,'24.08_ND'!$A:$D,2,0),)</f>
        <v>ELETROTÉCNICO COM ENCARGOS COMPLEMENTARES</v>
      </c>
      <c r="E2487" s="289" t="str">
        <f>IFERROR(VLOOKUP($C2487,'24.08_ND'!$A:$D,3,0),)</f>
        <v>H</v>
      </c>
      <c r="F2487" s="587">
        <v>0.5</v>
      </c>
      <c r="G2487" s="291">
        <f>IFERROR(VLOOKUP($C2487,'24.08_ND'!$A:$D,4,0),)</f>
        <v>29.92</v>
      </c>
      <c r="H2487" s="423">
        <f>TRUNC(($F2487*$G2487),2)</f>
        <v>14.96</v>
      </c>
      <c r="I2487" s="262"/>
      <c r="J2487" s="262"/>
      <c r="K2487" s="262"/>
      <c r="L2487" s="262"/>
      <c r="M2487" s="262"/>
      <c r="N2487" s="262"/>
      <c r="O2487" s="262"/>
      <c r="P2487" s="262"/>
      <c r="Q2487" s="262"/>
      <c r="R2487" s="262"/>
      <c r="S2487" s="262"/>
      <c r="T2487" s="262"/>
      <c r="U2487" s="262"/>
      <c r="V2487" s="262"/>
      <c r="W2487" s="262"/>
      <c r="X2487" s="262"/>
      <c r="Y2487" s="262"/>
      <c r="Z2487" s="262"/>
      <c r="AA2487" s="262"/>
      <c r="AB2487" s="262"/>
      <c r="AD2487" s="1791" t="e">
        <f>VLOOKUP(C2487,'Medição '!$B$16:$F$1833,6,0)</f>
        <v>#N/A</v>
      </c>
      <c r="AE2487" s="1791"/>
    </row>
    <row r="2488" spans="1:31" ht="25.5">
      <c r="A2488" s="586" t="s">
        <v>14478</v>
      </c>
      <c r="B2488" s="421" t="s">
        <v>14476</v>
      </c>
      <c r="C2488" s="422">
        <v>88243</v>
      </c>
      <c r="D2488" s="288" t="str">
        <f>IFERROR(VLOOKUP($C2488,'24.08_ND'!$A:$D,2,0),)</f>
        <v>AJUDANTE ESPECIALIZADO COM ENCARGOS COMPLEMENTARES</v>
      </c>
      <c r="E2488" s="289" t="str">
        <f>IFERROR(VLOOKUP($C2488,'24.08_ND'!$A:$D,3,0),)</f>
        <v>H</v>
      </c>
      <c r="F2488" s="587">
        <v>0.5</v>
      </c>
      <c r="G2488" s="291">
        <f>IFERROR(VLOOKUP($C2488,'24.08_ND'!$A:$D,4,0),)</f>
        <v>19.32</v>
      </c>
      <c r="H2488" s="423">
        <f>TRUNC(($F2488*$G2488),2)</f>
        <v>9.66</v>
      </c>
      <c r="I2488" s="262"/>
      <c r="J2488" s="262"/>
      <c r="K2488" s="262"/>
      <c r="L2488" s="262"/>
      <c r="M2488" s="262"/>
      <c r="N2488" s="262"/>
      <c r="O2488" s="262"/>
      <c r="P2488" s="262"/>
      <c r="Q2488" s="262"/>
      <c r="R2488" s="262"/>
      <c r="S2488" s="262"/>
      <c r="T2488" s="262"/>
      <c r="U2488" s="262"/>
      <c r="V2488" s="262"/>
      <c r="W2488" s="262"/>
      <c r="X2488" s="262"/>
      <c r="Y2488" s="262"/>
      <c r="Z2488" s="262"/>
      <c r="AA2488" s="262"/>
      <c r="AB2488" s="262"/>
      <c r="AD2488" s="1791" t="e">
        <f>VLOOKUP(C2488,'Medição '!$B$16:$F$1833,6,0)</f>
        <v>#N/A</v>
      </c>
      <c r="AE2488" s="1791"/>
    </row>
    <row r="2489" spans="1:31" ht="12.75">
      <c r="A2489" s="590" t="s">
        <v>14479</v>
      </c>
      <c r="B2489" s="312" t="str">
        <f>VLOOKUP($C2489,'• CIs EXT'!$A:$E,2,0)</f>
        <v>SBC</v>
      </c>
      <c r="C2489" s="591">
        <v>213</v>
      </c>
      <c r="D2489" s="378" t="str">
        <f>VLOOKUP($C2489,'• CIs EXT'!$A:$E,3,0)</f>
        <v>FIBRA OPTICA - CSS - CORDAO OPTICO SIMPLEX SM SC-UPC/SC-APC (9/125) - 3m</v>
      </c>
      <c r="E2489" s="379" t="str">
        <f>VLOOKUP($C2489,'• CIs EXT'!$A:$E,4,0)</f>
        <v>UN</v>
      </c>
      <c r="F2489" s="833">
        <v>1</v>
      </c>
      <c r="G2489" s="379">
        <f>VLOOKUP($C2489,'• CIs EXT'!$A:$E,5,0)</f>
        <v>13.2</v>
      </c>
      <c r="H2489" s="381">
        <f>TRUNC(($F2489*$G2489),2)</f>
        <v>13.2</v>
      </c>
      <c r="I2489" s="262"/>
      <c r="J2489" s="262"/>
      <c r="K2489" s="262"/>
      <c r="L2489" s="262"/>
      <c r="M2489" s="262"/>
      <c r="N2489" s="262"/>
      <c r="O2489" s="262"/>
      <c r="P2489" s="262"/>
      <c r="Q2489" s="262"/>
      <c r="R2489" s="262"/>
      <c r="S2489" s="262"/>
      <c r="T2489" s="262"/>
      <c r="U2489" s="262"/>
      <c r="V2489" s="262"/>
      <c r="W2489" s="262"/>
      <c r="X2489" s="262"/>
      <c r="Y2489" s="262"/>
      <c r="Z2489" s="262"/>
      <c r="AA2489" s="262"/>
      <c r="AB2489" s="262"/>
    </row>
    <row r="2490" spans="1:31" ht="12.75">
      <c r="A2490" s="760" t="s">
        <v>14479</v>
      </c>
      <c r="B2490" s="761" t="s">
        <v>14491</v>
      </c>
      <c r="C2490" s="762" t="s">
        <v>15357</v>
      </c>
      <c r="D2490" s="601" t="str">
        <f>VLOOKUP($C2490,'09 - MC'!$A:$F,2,0)</f>
        <v>DISTRIBUIDOR INTERNO ÓPTICO 6 FIBRAS</v>
      </c>
      <c r="E2490" s="602" t="str">
        <f>VLOOKUP($C2490,'09 - MC'!$A:$F,3,0)</f>
        <v>UN</v>
      </c>
      <c r="F2490" s="603">
        <v>1</v>
      </c>
      <c r="G2490" s="783">
        <f>VLOOKUP($C2490,'09 - MC'!$A:$F,6,0)</f>
        <v>91.35</v>
      </c>
      <c r="H2490" s="605">
        <f>TRUNC(G2490*F2490,2)</f>
        <v>91.35</v>
      </c>
      <c r="I2490" s="262"/>
      <c r="J2490" s="262"/>
      <c r="K2490" s="262"/>
      <c r="L2490" s="262"/>
      <c r="M2490" s="262"/>
      <c r="N2490" s="262"/>
      <c r="O2490" s="262"/>
      <c r="P2490" s="262"/>
      <c r="Q2490" s="262"/>
      <c r="R2490" s="262"/>
      <c r="S2490" s="262"/>
      <c r="T2490" s="262"/>
      <c r="U2490" s="262"/>
      <c r="V2490" s="262"/>
      <c r="W2490" s="262"/>
      <c r="X2490" s="262"/>
      <c r="Y2490" s="262"/>
      <c r="Z2490" s="262"/>
      <c r="AA2490" s="262"/>
      <c r="AB2490" s="262"/>
    </row>
    <row r="2491" spans="1:31" ht="12.75">
      <c r="A2491" s="766"/>
      <c r="B2491" s="767"/>
      <c r="C2491" s="3"/>
      <c r="D2491" s="768"/>
      <c r="E2491" s="690"/>
      <c r="F2491" s="691"/>
      <c r="G2491" s="690"/>
      <c r="H2491" s="692"/>
      <c r="I2491" s="262"/>
      <c r="J2491" s="262"/>
      <c r="K2491" s="262"/>
      <c r="L2491" s="262"/>
      <c r="M2491" s="262"/>
      <c r="N2491" s="262"/>
      <c r="O2491" s="262"/>
      <c r="P2491" s="262"/>
      <c r="Q2491" s="262"/>
      <c r="R2491" s="262"/>
      <c r="S2491" s="262"/>
      <c r="T2491" s="262"/>
      <c r="U2491" s="262"/>
      <c r="V2491" s="262"/>
      <c r="W2491" s="262"/>
      <c r="X2491" s="262"/>
      <c r="Y2491" s="262"/>
      <c r="Z2491" s="262"/>
      <c r="AA2491" s="262"/>
      <c r="AB2491" s="262"/>
    </row>
    <row r="2492" spans="1:31" ht="12.75">
      <c r="A2492" s="766"/>
      <c r="B2492" s="767"/>
      <c r="C2492" s="3"/>
      <c r="D2492" s="768"/>
      <c r="E2492" s="690"/>
      <c r="F2492" s="691"/>
      <c r="G2492" s="690"/>
      <c r="H2492" s="692"/>
      <c r="I2492" s="262"/>
      <c r="J2492" s="262"/>
      <c r="K2492" s="262"/>
      <c r="L2492" s="262"/>
      <c r="M2492" s="262"/>
      <c r="N2492" s="262"/>
      <c r="O2492" s="262"/>
      <c r="P2492" s="262"/>
      <c r="Q2492" s="262"/>
      <c r="R2492" s="262"/>
      <c r="S2492" s="262"/>
      <c r="T2492" s="262"/>
      <c r="U2492" s="262"/>
      <c r="V2492" s="262"/>
      <c r="W2492" s="262"/>
      <c r="X2492" s="262"/>
      <c r="Y2492" s="262"/>
      <c r="Z2492" s="262"/>
      <c r="AA2492" s="262"/>
      <c r="AB2492" s="262"/>
    </row>
    <row r="2493" spans="1:31" ht="12.75">
      <c r="A2493" s="766"/>
      <c r="B2493" s="767"/>
      <c r="C2493" s="3"/>
      <c r="D2493" s="768"/>
      <c r="E2493" s="690"/>
      <c r="F2493" s="691"/>
      <c r="G2493" s="690"/>
      <c r="H2493" s="692"/>
      <c r="I2493" s="262"/>
      <c r="J2493" s="262"/>
      <c r="K2493" s="262"/>
      <c r="L2493" s="262"/>
      <c r="M2493" s="262"/>
      <c r="N2493" s="262"/>
      <c r="O2493" s="262"/>
      <c r="P2493" s="262"/>
      <c r="Q2493" s="262"/>
      <c r="R2493" s="262"/>
      <c r="S2493" s="262"/>
      <c r="T2493" s="262"/>
      <c r="U2493" s="262"/>
      <c r="V2493" s="262"/>
      <c r="W2493" s="262"/>
      <c r="X2493" s="262"/>
      <c r="Y2493" s="262"/>
      <c r="Z2493" s="262"/>
      <c r="AA2493" s="262"/>
      <c r="AB2493" s="262"/>
    </row>
    <row r="2494" spans="1:31" ht="12.75">
      <c r="A2494" s="766"/>
      <c r="B2494" s="767"/>
      <c r="C2494" s="3"/>
      <c r="D2494" s="768"/>
      <c r="E2494" s="690"/>
      <c r="F2494" s="691"/>
      <c r="G2494" s="690"/>
      <c r="H2494" s="692"/>
      <c r="I2494" s="262"/>
      <c r="J2494" s="262"/>
      <c r="K2494" s="262"/>
      <c r="L2494" s="262"/>
      <c r="M2494" s="262"/>
      <c r="N2494" s="262"/>
      <c r="O2494" s="262"/>
      <c r="P2494" s="262"/>
      <c r="Q2494" s="262"/>
      <c r="R2494" s="262"/>
      <c r="S2494" s="262"/>
      <c r="T2494" s="262"/>
      <c r="U2494" s="262"/>
      <c r="V2494" s="262"/>
      <c r="W2494" s="262"/>
      <c r="X2494" s="262"/>
      <c r="Y2494" s="262"/>
      <c r="Z2494" s="262"/>
      <c r="AA2494" s="262"/>
      <c r="AB2494" s="262"/>
    </row>
    <row r="2495" spans="1:31" ht="12.75">
      <c r="A2495" s="766"/>
      <c r="B2495" s="767"/>
      <c r="C2495" s="3"/>
      <c r="D2495" s="768"/>
      <c r="E2495" s="690"/>
      <c r="F2495" s="691"/>
      <c r="G2495" s="690"/>
      <c r="H2495" s="692"/>
      <c r="I2495" s="262"/>
      <c r="J2495" s="262"/>
      <c r="K2495" s="262"/>
      <c r="L2495" s="262"/>
      <c r="M2495" s="262"/>
      <c r="N2495" s="262"/>
      <c r="O2495" s="262"/>
      <c r="P2495" s="262"/>
      <c r="Q2495" s="262"/>
      <c r="R2495" s="262"/>
      <c r="S2495" s="262"/>
      <c r="T2495" s="262"/>
      <c r="U2495" s="262"/>
      <c r="V2495" s="262"/>
      <c r="W2495" s="262"/>
      <c r="X2495" s="262"/>
      <c r="Y2495" s="262"/>
      <c r="Z2495" s="262"/>
      <c r="AA2495" s="262"/>
      <c r="AB2495" s="262"/>
    </row>
    <row r="2496" spans="1:31" ht="12.75">
      <c r="A2496" s="766"/>
      <c r="B2496" s="767"/>
      <c r="C2496" s="3"/>
      <c r="D2496" s="768"/>
      <c r="E2496" s="690"/>
      <c r="F2496" s="691"/>
      <c r="G2496" s="690"/>
      <c r="H2496" s="692"/>
      <c r="I2496" s="262"/>
      <c r="J2496" s="262"/>
      <c r="K2496" s="262"/>
      <c r="L2496" s="262"/>
      <c r="M2496" s="262"/>
      <c r="N2496" s="262"/>
      <c r="O2496" s="262"/>
      <c r="P2496" s="262"/>
      <c r="Q2496" s="262"/>
      <c r="R2496" s="262"/>
      <c r="S2496" s="262"/>
      <c r="T2496" s="262"/>
      <c r="U2496" s="262"/>
      <c r="V2496" s="262"/>
      <c r="W2496" s="262"/>
      <c r="X2496" s="262"/>
      <c r="Y2496" s="262"/>
      <c r="Z2496" s="262"/>
      <c r="AA2496" s="262"/>
      <c r="AB2496" s="262"/>
    </row>
    <row r="2497" spans="1:31" ht="30" customHeight="1">
      <c r="A2497" s="270" t="s">
        <v>15358</v>
      </c>
      <c r="B2497" s="397"/>
      <c r="C2497" s="398"/>
      <c r="D2497" s="397"/>
      <c r="E2497" s="397"/>
      <c r="F2497" s="399"/>
      <c r="G2497" s="397"/>
      <c r="H2497" s="400"/>
      <c r="I2497" s="262"/>
      <c r="J2497" s="262"/>
      <c r="K2497" s="262"/>
      <c r="L2497" s="262"/>
      <c r="M2497" s="262"/>
      <c r="N2497" s="262"/>
      <c r="O2497" s="262"/>
      <c r="P2497" s="262"/>
      <c r="Q2497" s="262"/>
      <c r="R2497" s="262"/>
      <c r="S2497" s="262"/>
      <c r="T2497" s="262"/>
      <c r="U2497" s="262"/>
      <c r="V2497" s="262"/>
      <c r="W2497" s="262"/>
      <c r="X2497" s="262"/>
      <c r="Y2497" s="262"/>
      <c r="Z2497" s="262"/>
      <c r="AA2497" s="262"/>
      <c r="AB2497" s="262"/>
    </row>
    <row r="2498" spans="1:31" ht="25.5">
      <c r="A2498" s="358" t="s">
        <v>14471</v>
      </c>
      <c r="B2498" s="359" t="s">
        <v>14472</v>
      </c>
      <c r="C2498" s="359" t="s">
        <v>15359</v>
      </c>
      <c r="D2498" s="361" t="s">
        <v>15360</v>
      </c>
      <c r="E2498" s="359" t="s">
        <v>6</v>
      </c>
      <c r="F2498" s="362"/>
      <c r="G2498" s="362"/>
      <c r="H2498" s="363">
        <f>SUM(H2500:H2501)</f>
        <v>18.650000000000002</v>
      </c>
      <c r="I2498" s="276">
        <f>COUNTIF($C$8:$C2498,C:C)</f>
        <v>1</v>
      </c>
      <c r="J2498" s="262"/>
      <c r="K2498" s="262"/>
      <c r="L2498" s="262"/>
      <c r="M2498" s="262"/>
      <c r="N2498" s="262"/>
      <c r="O2498" s="262"/>
      <c r="P2498" s="262"/>
      <c r="Q2498" s="262"/>
      <c r="R2498" s="262"/>
      <c r="S2498" s="262"/>
      <c r="T2498" s="262"/>
      <c r="U2498" s="262"/>
      <c r="V2498" s="262"/>
      <c r="W2498" s="262"/>
      <c r="X2498" s="262"/>
      <c r="Y2498" s="262"/>
      <c r="Z2498" s="262"/>
      <c r="AA2498" s="262"/>
      <c r="AB2498" s="262"/>
    </row>
    <row r="2499" spans="1:31" ht="12.75">
      <c r="A2499" s="835" t="s">
        <v>15074</v>
      </c>
      <c r="B2499" s="403" t="s">
        <v>14600</v>
      </c>
      <c r="C2499" s="403">
        <v>12887</v>
      </c>
      <c r="D2499" s="769" t="s">
        <v>14567</v>
      </c>
      <c r="E2499" s="641"/>
      <c r="F2499" s="369"/>
      <c r="G2499" s="370"/>
      <c r="H2499" s="371"/>
      <c r="I2499" s="262"/>
      <c r="J2499" s="262"/>
      <c r="K2499" s="262"/>
      <c r="L2499" s="262"/>
      <c r="M2499" s="262"/>
      <c r="N2499" s="262"/>
      <c r="O2499" s="262"/>
      <c r="P2499" s="262"/>
      <c r="Q2499" s="262"/>
      <c r="R2499" s="262"/>
      <c r="S2499" s="262"/>
      <c r="T2499" s="262"/>
      <c r="U2499" s="262"/>
      <c r="V2499" s="262"/>
      <c r="W2499" s="262"/>
      <c r="X2499" s="262"/>
      <c r="Y2499" s="262"/>
      <c r="Z2499" s="262"/>
      <c r="AA2499" s="262"/>
      <c r="AB2499" s="262"/>
    </row>
    <row r="2500" spans="1:31" ht="25.5">
      <c r="A2500" s="586" t="s">
        <v>14478</v>
      </c>
      <c r="B2500" s="421" t="s">
        <v>14476</v>
      </c>
      <c r="C2500" s="677">
        <v>88316</v>
      </c>
      <c r="D2500" s="288" t="str">
        <f>IFERROR(VLOOKUP($C2500,'24.08_ND'!$A:$D,2,0),)</f>
        <v>SERVENTE COM ENCARGOS COMPLEMENTARES</v>
      </c>
      <c r="E2500" s="289" t="str">
        <f>IFERROR(VLOOKUP($C2500,'24.08_ND'!$A:$D,3,0),)</f>
        <v>H</v>
      </c>
      <c r="F2500" s="441">
        <v>0.1</v>
      </c>
      <c r="G2500" s="291">
        <f>IFERROR(VLOOKUP($C2500,'24.08_ND'!$A:$D,4,0),)</f>
        <v>18.510000000000002</v>
      </c>
      <c r="H2500" s="423">
        <f>TRUNC(($F2500*$G2500),2)</f>
        <v>1.85</v>
      </c>
      <c r="I2500" s="262"/>
      <c r="J2500" s="262"/>
      <c r="K2500" s="262"/>
      <c r="L2500" s="262"/>
      <c r="M2500" s="262"/>
      <c r="N2500" s="262"/>
      <c r="O2500" s="262"/>
      <c r="P2500" s="262"/>
      <c r="Q2500" s="262"/>
      <c r="R2500" s="262"/>
      <c r="S2500" s="262"/>
      <c r="T2500" s="262"/>
      <c r="U2500" s="262"/>
      <c r="V2500" s="262"/>
      <c r="W2500" s="262"/>
      <c r="X2500" s="262"/>
      <c r="Y2500" s="262"/>
      <c r="Z2500" s="262"/>
      <c r="AA2500" s="262"/>
      <c r="AB2500" s="262"/>
      <c r="AD2500" s="1791" t="e">
        <f>VLOOKUP(C2500,'Medição '!$B$16:$F$1833,6,0)</f>
        <v>#N/A</v>
      </c>
      <c r="AE2500" s="1791"/>
    </row>
    <row r="2501" spans="1:31" ht="38.25">
      <c r="A2501" s="770" t="s">
        <v>14479</v>
      </c>
      <c r="B2501" s="446" t="s">
        <v>14476</v>
      </c>
      <c r="C2501" s="384">
        <v>37558</v>
      </c>
      <c r="D2501" s="296" t="str">
        <f>IFERROR(VLOOKUP($C2501,'24.08_ND'!$A:$D,2,0),)</f>
        <v>PLACA DE SINALIZACAO DE SEGURANCA CONTRA INCENDIO, FOTOLUMINESCENTE, RETANGULAR, *20 X 40* CM, EM PVC *2* MM ANTI-CHAMAS (SIMBOLOS, CORES E PICTOGRAMAS CONFORME NBR 16820)</v>
      </c>
      <c r="E2501" s="297" t="str">
        <f>IFERROR(VLOOKUP($C2501,'24.08_ND'!$A:$D,3,0),)</f>
        <v>UN</v>
      </c>
      <c r="F2501" s="385">
        <v>1</v>
      </c>
      <c r="G2501" s="299">
        <f>IFERROR(VLOOKUP($C2501,'24.08_ND'!$A:$D,4,0),)</f>
        <v>16.8</v>
      </c>
      <c r="H2501" s="449">
        <f>TRUNC(($F2501*$G2501),2)</f>
        <v>16.8</v>
      </c>
      <c r="I2501" s="262"/>
      <c r="J2501" s="262"/>
      <c r="K2501" s="262"/>
      <c r="L2501" s="262"/>
      <c r="M2501" s="262"/>
      <c r="N2501" s="262"/>
      <c r="O2501" s="262"/>
      <c r="P2501" s="262"/>
      <c r="Q2501" s="262"/>
      <c r="R2501" s="262"/>
      <c r="S2501" s="262"/>
      <c r="T2501" s="262"/>
      <c r="U2501" s="262"/>
      <c r="V2501" s="262"/>
      <c r="W2501" s="262"/>
      <c r="X2501" s="262"/>
      <c r="Y2501" s="262"/>
      <c r="Z2501" s="262"/>
      <c r="AA2501" s="262"/>
      <c r="AB2501" s="262"/>
    </row>
    <row r="2502" spans="1:31" ht="12.75">
      <c r="A2502" s="766"/>
      <c r="B2502" s="767"/>
      <c r="C2502" s="3"/>
      <c r="D2502" s="768"/>
      <c r="E2502" s="690"/>
      <c r="F2502" s="691"/>
      <c r="G2502" s="690"/>
      <c r="H2502" s="692"/>
      <c r="I2502" s="262"/>
      <c r="J2502" s="262"/>
      <c r="K2502" s="262"/>
      <c r="L2502" s="262"/>
      <c r="M2502" s="262"/>
      <c r="N2502" s="262"/>
      <c r="O2502" s="262"/>
      <c r="P2502" s="262"/>
      <c r="Q2502" s="262"/>
      <c r="R2502" s="262"/>
      <c r="S2502" s="262"/>
      <c r="T2502" s="262"/>
      <c r="U2502" s="262"/>
      <c r="V2502" s="262"/>
      <c r="W2502" s="262"/>
      <c r="X2502" s="262"/>
      <c r="Y2502" s="262"/>
      <c r="Z2502" s="262"/>
      <c r="AA2502" s="262"/>
      <c r="AB2502" s="262"/>
    </row>
    <row r="2503" spans="1:31" ht="12.75">
      <c r="A2503" s="686"/>
      <c r="B2503" s="687"/>
      <c r="C2503" s="688"/>
      <c r="D2503" s="689"/>
      <c r="E2503" s="690"/>
      <c r="F2503" s="691"/>
      <c r="G2503" s="690"/>
      <c r="H2503" s="692"/>
      <c r="I2503" s="262"/>
      <c r="J2503" s="262"/>
      <c r="K2503" s="262"/>
      <c r="L2503" s="262"/>
      <c r="M2503" s="262"/>
      <c r="N2503" s="262"/>
      <c r="O2503" s="262"/>
      <c r="P2503" s="262"/>
      <c r="Q2503" s="262"/>
      <c r="R2503" s="262"/>
      <c r="S2503" s="262"/>
      <c r="T2503" s="262"/>
      <c r="U2503" s="262"/>
      <c r="V2503" s="262"/>
      <c r="W2503" s="262"/>
      <c r="X2503" s="262"/>
      <c r="Y2503" s="262"/>
      <c r="Z2503" s="262"/>
      <c r="AA2503" s="262"/>
      <c r="AB2503" s="262"/>
    </row>
    <row r="2504" spans="1:31" ht="12.75">
      <c r="A2504" s="686"/>
      <c r="B2504" s="687"/>
      <c r="C2504" s="688"/>
      <c r="D2504" s="689"/>
      <c r="E2504" s="690"/>
      <c r="F2504" s="691"/>
      <c r="G2504" s="690"/>
      <c r="H2504" s="692"/>
      <c r="I2504" s="262"/>
      <c r="J2504" s="262"/>
      <c r="K2504" s="262"/>
      <c r="L2504" s="262"/>
      <c r="M2504" s="262"/>
      <c r="N2504" s="262"/>
      <c r="O2504" s="262"/>
      <c r="P2504" s="262"/>
      <c r="Q2504" s="262"/>
      <c r="R2504" s="262"/>
      <c r="S2504" s="262"/>
      <c r="T2504" s="262"/>
      <c r="U2504" s="262"/>
      <c r="V2504" s="262"/>
      <c r="W2504" s="262"/>
      <c r="X2504" s="262"/>
      <c r="Y2504" s="262"/>
      <c r="Z2504" s="262"/>
      <c r="AA2504" s="262"/>
      <c r="AB2504" s="262"/>
    </row>
    <row r="2505" spans="1:31" ht="30" customHeight="1">
      <c r="A2505" s="2992" t="s">
        <v>15361</v>
      </c>
      <c r="B2505" s="2588"/>
      <c r="C2505" s="2588"/>
      <c r="D2505" s="2588"/>
      <c r="E2505" s="2588"/>
      <c r="F2505" s="2588"/>
      <c r="G2505" s="2588"/>
      <c r="H2505" s="2621"/>
      <c r="I2505" s="262"/>
      <c r="J2505" s="262"/>
      <c r="K2505" s="262"/>
      <c r="L2505" s="262"/>
      <c r="M2505" s="262"/>
      <c r="N2505" s="262"/>
      <c r="O2505" s="262"/>
      <c r="P2505" s="262"/>
      <c r="Q2505" s="262"/>
      <c r="R2505" s="262"/>
      <c r="S2505" s="262"/>
      <c r="T2505" s="262"/>
      <c r="U2505" s="262"/>
      <c r="V2505" s="262"/>
      <c r="W2505" s="262"/>
      <c r="X2505" s="262"/>
      <c r="Y2505" s="262"/>
      <c r="Z2505" s="262"/>
      <c r="AA2505" s="262"/>
      <c r="AB2505" s="262"/>
    </row>
    <row r="2506" spans="1:31" ht="12.75">
      <c r="A2506" s="686"/>
      <c r="B2506" s="687"/>
      <c r="C2506" s="688"/>
      <c r="D2506" s="689"/>
      <c r="E2506" s="690"/>
      <c r="F2506" s="691"/>
      <c r="G2506" s="690"/>
      <c r="H2506" s="692"/>
      <c r="I2506" s="262"/>
      <c r="J2506" s="262"/>
      <c r="K2506" s="262"/>
      <c r="L2506" s="262"/>
      <c r="M2506" s="262"/>
      <c r="N2506" s="262"/>
      <c r="O2506" s="262"/>
      <c r="P2506" s="262"/>
      <c r="Q2506" s="262"/>
      <c r="R2506" s="262"/>
      <c r="S2506" s="262"/>
      <c r="T2506" s="262"/>
      <c r="U2506" s="262"/>
      <c r="V2506" s="262"/>
      <c r="W2506" s="262"/>
      <c r="X2506" s="262"/>
      <c r="Y2506" s="262"/>
      <c r="Z2506" s="262"/>
      <c r="AA2506" s="262"/>
      <c r="AB2506" s="262"/>
    </row>
    <row r="2507" spans="1:31" ht="25.5">
      <c r="A2507" s="271" t="s">
        <v>14471</v>
      </c>
      <c r="B2507" s="272" t="s">
        <v>14472</v>
      </c>
      <c r="C2507" s="273" t="s">
        <v>15362</v>
      </c>
      <c r="D2507" s="274" t="s">
        <v>15363</v>
      </c>
      <c r="E2507" s="272" t="s">
        <v>6</v>
      </c>
      <c r="F2507" s="272"/>
      <c r="G2507" s="272"/>
      <c r="H2507" s="275">
        <f>TRUNC(SUM(H2509:H2514),2)</f>
        <v>17.23</v>
      </c>
      <c r="I2507" s="276">
        <f>COUNTIF($C$8:$C2507,C:C)</f>
        <v>1</v>
      </c>
      <c r="J2507" s="262"/>
      <c r="K2507" s="262"/>
      <c r="L2507" s="262"/>
      <c r="M2507" s="262"/>
      <c r="N2507" s="262"/>
      <c r="O2507" s="262"/>
      <c r="P2507" s="262"/>
      <c r="Q2507" s="262"/>
      <c r="R2507" s="262"/>
      <c r="S2507" s="262"/>
      <c r="T2507" s="262"/>
      <c r="U2507" s="262"/>
      <c r="V2507" s="262"/>
      <c r="W2507" s="262"/>
      <c r="X2507" s="262"/>
      <c r="Y2507" s="262"/>
      <c r="Z2507" s="262"/>
      <c r="AA2507" s="262"/>
      <c r="AB2507" s="262"/>
    </row>
    <row r="2508" spans="1:31" ht="12.75">
      <c r="A2508" s="277" t="s">
        <v>14475</v>
      </c>
      <c r="B2508" s="337" t="s">
        <v>14476</v>
      </c>
      <c r="C2508" s="337">
        <v>89549</v>
      </c>
      <c r="D2508" s="490" t="s">
        <v>14477</v>
      </c>
      <c r="E2508" s="609"/>
      <c r="F2508" s="282"/>
      <c r="G2508" s="492"/>
      <c r="H2508" s="493"/>
      <c r="I2508" s="262"/>
      <c r="J2508" s="262"/>
      <c r="K2508" s="262"/>
      <c r="L2508" s="262"/>
      <c r="M2508" s="262"/>
      <c r="N2508" s="262"/>
      <c r="O2508" s="262"/>
      <c r="P2508" s="262"/>
      <c r="Q2508" s="262"/>
      <c r="R2508" s="262"/>
      <c r="S2508" s="262"/>
      <c r="T2508" s="262"/>
      <c r="U2508" s="262"/>
      <c r="V2508" s="262"/>
      <c r="W2508" s="262"/>
      <c r="X2508" s="262"/>
      <c r="Y2508" s="262"/>
      <c r="Z2508" s="262"/>
      <c r="AA2508" s="262"/>
      <c r="AB2508" s="262"/>
    </row>
    <row r="2509" spans="1:31" ht="25.5">
      <c r="A2509" s="285" t="s">
        <v>14478</v>
      </c>
      <c r="B2509" s="407" t="s">
        <v>14476</v>
      </c>
      <c r="C2509" s="344">
        <v>88248</v>
      </c>
      <c r="D2509" s="288" t="str">
        <f>IFERROR(VLOOKUP($C2509,'24.08_ND'!$A:$D,2,0),)</f>
        <v>AUXILIAR DE ENCANADOR OU BOMBEIRO HIDRÁULICO COM ENCARGOS COMPLEMENTARES</v>
      </c>
      <c r="E2509" s="289" t="str">
        <f>IFERROR(VLOOKUP($C2509,'24.08_ND'!$A:$D,3,0),)</f>
        <v>H</v>
      </c>
      <c r="F2509" s="290">
        <v>5.16E-2</v>
      </c>
      <c r="G2509" s="291">
        <f>IFERROR(VLOOKUP($C2509,'24.08_ND'!$A:$D,4,0),)</f>
        <v>19.05</v>
      </c>
      <c r="H2509" s="434">
        <f t="shared" ref="H2509:H2514" si="79">TRUNC(($F2509*$G2509),2)</f>
        <v>0.98</v>
      </c>
      <c r="I2509" s="262"/>
      <c r="J2509" s="262"/>
      <c r="K2509" s="262"/>
      <c r="L2509" s="262"/>
      <c r="M2509" s="262"/>
      <c r="N2509" s="262"/>
      <c r="O2509" s="262"/>
      <c r="P2509" s="262"/>
      <c r="Q2509" s="262"/>
      <c r="R2509" s="262"/>
      <c r="S2509" s="262"/>
      <c r="T2509" s="262"/>
      <c r="U2509" s="262"/>
      <c r="V2509" s="262"/>
      <c r="W2509" s="262"/>
      <c r="X2509" s="262"/>
      <c r="Y2509" s="262"/>
      <c r="Z2509" s="262"/>
      <c r="AA2509" s="262"/>
      <c r="AB2509" s="262"/>
      <c r="AD2509" s="1791" t="e">
        <f>VLOOKUP(C2509,'Medição '!$B$16:$F$1833,6,0)</f>
        <v>#N/A</v>
      </c>
      <c r="AE2509" s="1791"/>
    </row>
    <row r="2510" spans="1:31" ht="25.5">
      <c r="A2510" s="285" t="s">
        <v>14478</v>
      </c>
      <c r="B2510" s="407" t="s">
        <v>14476</v>
      </c>
      <c r="C2510" s="344">
        <v>88267</v>
      </c>
      <c r="D2510" s="288" t="str">
        <f>IFERROR(VLOOKUP($C2510,'24.08_ND'!$A:$D,2,0),)</f>
        <v>ENCANADOR OU BOMBEIRO HIDRÁULICO COM ENCARGOS COMPLEMENTARES</v>
      </c>
      <c r="E2510" s="289" t="str">
        <f>IFERROR(VLOOKUP($C2510,'24.08_ND'!$A:$D,3,0),)</f>
        <v>H</v>
      </c>
      <c r="F2510" s="290">
        <v>5.16E-2</v>
      </c>
      <c r="G2510" s="291">
        <f>IFERROR(VLOOKUP($C2510,'24.08_ND'!$A:$D,4,0),)</f>
        <v>23.27</v>
      </c>
      <c r="H2510" s="434">
        <f t="shared" si="79"/>
        <v>1.2</v>
      </c>
      <c r="I2510" s="262"/>
      <c r="J2510" s="262"/>
      <c r="K2510" s="262"/>
      <c r="L2510" s="262"/>
      <c r="M2510" s="262"/>
      <c r="N2510" s="262"/>
      <c r="O2510" s="262"/>
      <c r="P2510" s="262"/>
      <c r="Q2510" s="262"/>
      <c r="R2510" s="262"/>
      <c r="S2510" s="262"/>
      <c r="T2510" s="262"/>
      <c r="U2510" s="262"/>
      <c r="V2510" s="262"/>
      <c r="W2510" s="262"/>
      <c r="X2510" s="262"/>
      <c r="Y2510" s="262"/>
      <c r="Z2510" s="262"/>
      <c r="AA2510" s="262"/>
      <c r="AB2510" s="262"/>
      <c r="AD2510" s="1791" t="e">
        <f>VLOOKUP(C2510,'Medição '!$B$16:$F$1833,6,0)</f>
        <v>#N/A</v>
      </c>
      <c r="AE2510" s="1791"/>
    </row>
    <row r="2511" spans="1:31" ht="25.5">
      <c r="A2511" s="494" t="s">
        <v>14479</v>
      </c>
      <c r="B2511" s="495" t="s">
        <v>14476</v>
      </c>
      <c r="C2511" s="348">
        <v>20078</v>
      </c>
      <c r="D2511" s="296" t="str">
        <f>IFERROR(VLOOKUP($C2511,'24.08_ND'!$A:$D,2,0),)</f>
        <v>PASTA LUBRIFICANTE PARA TUBOS E CONEXOES COM JUNTA ELASTICA, EMBALAGEM DE *400* GR (USO EM PVC, ACO, POLIETILENO E OUTROS)</v>
      </c>
      <c r="E2511" s="297" t="str">
        <f>IFERROR(VLOOKUP($C2511,'24.08_ND'!$A:$D,3,0),)</f>
        <v>UN</v>
      </c>
      <c r="F2511" s="298">
        <v>6.25E-2</v>
      </c>
      <c r="G2511" s="299">
        <f>IFERROR(VLOOKUP($C2511,'24.08_ND'!$A:$D,4,0),)</f>
        <v>28.92</v>
      </c>
      <c r="H2511" s="300">
        <f t="shared" si="79"/>
        <v>1.8</v>
      </c>
      <c r="I2511" s="262"/>
      <c r="J2511" s="262"/>
      <c r="K2511" s="262"/>
      <c r="L2511" s="262"/>
      <c r="M2511" s="262"/>
      <c r="N2511" s="262"/>
      <c r="O2511" s="262"/>
      <c r="P2511" s="262"/>
      <c r="Q2511" s="262"/>
      <c r="R2511" s="262"/>
      <c r="S2511" s="262"/>
      <c r="T2511" s="262"/>
      <c r="U2511" s="262"/>
      <c r="V2511" s="262"/>
      <c r="W2511" s="262"/>
      <c r="X2511" s="262"/>
      <c r="Y2511" s="262"/>
      <c r="Z2511" s="262"/>
      <c r="AA2511" s="262"/>
      <c r="AB2511" s="262"/>
    </row>
    <row r="2512" spans="1:31" ht="12.75">
      <c r="A2512" s="494" t="s">
        <v>14479</v>
      </c>
      <c r="B2512" s="495" t="s">
        <v>14476</v>
      </c>
      <c r="C2512" s="348">
        <v>20085</v>
      </c>
      <c r="D2512" s="296" t="str">
        <f>IFERROR(VLOOKUP($C2512,'24.08_ND'!$A:$D,2,0),)</f>
        <v>ANEL BORRACHA, DN 50 MM, PARA TUBO SERIE REFORCADA ESGOTO PREDIAL</v>
      </c>
      <c r="E2512" s="297" t="str">
        <f>IFERROR(VLOOKUP($C2512,'24.08_ND'!$A:$D,3,0),)</f>
        <v>UN</v>
      </c>
      <c r="F2512" s="298">
        <v>1</v>
      </c>
      <c r="G2512" s="299">
        <f>IFERROR(VLOOKUP($C2512,'24.08_ND'!$A:$D,4,0),)</f>
        <v>2.19</v>
      </c>
      <c r="H2512" s="300">
        <f t="shared" si="79"/>
        <v>2.19</v>
      </c>
      <c r="I2512" s="262"/>
      <c r="J2512" s="262"/>
      <c r="K2512" s="262"/>
      <c r="L2512" s="262"/>
      <c r="M2512" s="262"/>
      <c r="N2512" s="262"/>
      <c r="O2512" s="262"/>
      <c r="P2512" s="262"/>
      <c r="Q2512" s="262"/>
      <c r="R2512" s="262"/>
      <c r="S2512" s="262"/>
      <c r="T2512" s="262"/>
      <c r="U2512" s="262"/>
      <c r="V2512" s="262"/>
      <c r="W2512" s="262"/>
      <c r="X2512" s="262"/>
      <c r="Y2512" s="262"/>
      <c r="Z2512" s="262"/>
      <c r="AA2512" s="262"/>
      <c r="AB2512" s="262"/>
    </row>
    <row r="2513" spans="1:31" ht="12.75">
      <c r="A2513" s="494" t="s">
        <v>14479</v>
      </c>
      <c r="B2513" s="495" t="s">
        <v>14476</v>
      </c>
      <c r="C2513" s="348">
        <v>299</v>
      </c>
      <c r="D2513" s="296" t="str">
        <f>IFERROR(VLOOKUP($C2513,'24.08_ND'!$A:$D,2,0),)</f>
        <v>ANEL BORRACHA, DN 100 MM, PARA TUBO SERIE REFORCADA ESGOTO PREDIAL</v>
      </c>
      <c r="E2513" s="297" t="str">
        <f>IFERROR(VLOOKUP($C2513,'24.08_ND'!$A:$D,3,0),)</f>
        <v>UN</v>
      </c>
      <c r="F2513" s="298">
        <v>1</v>
      </c>
      <c r="G2513" s="299">
        <f>IFERROR(VLOOKUP($C2513,'24.08_ND'!$A:$D,4,0),)</f>
        <v>3.47</v>
      </c>
      <c r="H2513" s="300">
        <f t="shared" si="79"/>
        <v>3.47</v>
      </c>
      <c r="I2513" s="262"/>
      <c r="J2513" s="262"/>
      <c r="K2513" s="262"/>
      <c r="L2513" s="262"/>
      <c r="M2513" s="262"/>
      <c r="N2513" s="262"/>
      <c r="O2513" s="262"/>
      <c r="P2513" s="262"/>
      <c r="Q2513" s="262"/>
      <c r="R2513" s="262"/>
      <c r="S2513" s="262"/>
      <c r="T2513" s="262"/>
      <c r="U2513" s="262"/>
      <c r="V2513" s="262"/>
      <c r="W2513" s="262"/>
      <c r="X2513" s="262"/>
      <c r="Y2513" s="262"/>
      <c r="Z2513" s="262"/>
      <c r="AA2513" s="262"/>
      <c r="AB2513" s="262"/>
    </row>
    <row r="2514" spans="1:31" ht="12.75">
      <c r="A2514" s="494" t="s">
        <v>14479</v>
      </c>
      <c r="B2514" s="495" t="s">
        <v>14476</v>
      </c>
      <c r="C2514" s="348">
        <v>20043</v>
      </c>
      <c r="D2514" s="296" t="str">
        <f>IFERROR(VLOOKUP($C2514,'24.08_ND'!$A:$D,2,0),)</f>
        <v>REDUCAO EXCENTRICA PVC, DN 100 X 50 MM, PARA ESGOTO PREDIAL</v>
      </c>
      <c r="E2514" s="297" t="str">
        <f>IFERROR(VLOOKUP($C2514,'24.08_ND'!$A:$D,3,0),)</f>
        <v>UN</v>
      </c>
      <c r="F2514" s="298">
        <v>1</v>
      </c>
      <c r="G2514" s="299">
        <f>IFERROR(VLOOKUP($C2514,'24.08_ND'!$A:$D,4,0),)</f>
        <v>7.59</v>
      </c>
      <c r="H2514" s="300">
        <f t="shared" si="79"/>
        <v>7.59</v>
      </c>
      <c r="I2514" s="262"/>
      <c r="J2514" s="262"/>
      <c r="K2514" s="262"/>
      <c r="L2514" s="262"/>
      <c r="M2514" s="262"/>
      <c r="N2514" s="262"/>
      <c r="O2514" s="262"/>
      <c r="P2514" s="262"/>
      <c r="Q2514" s="262"/>
      <c r="R2514" s="262"/>
      <c r="S2514" s="262"/>
      <c r="T2514" s="262"/>
      <c r="U2514" s="262"/>
      <c r="V2514" s="262"/>
      <c r="W2514" s="262"/>
      <c r="X2514" s="262"/>
      <c r="Y2514" s="262"/>
      <c r="Z2514" s="262"/>
      <c r="AA2514" s="262"/>
      <c r="AB2514" s="262"/>
    </row>
    <row r="2515" spans="1:31" ht="12.75">
      <c r="A2515" s="686"/>
      <c r="B2515" s="687"/>
      <c r="C2515" s="688"/>
      <c r="D2515" s="689"/>
      <c r="E2515" s="690"/>
      <c r="F2515" s="691"/>
      <c r="G2515" s="690"/>
      <c r="H2515" s="692"/>
      <c r="I2515" s="262"/>
      <c r="J2515" s="262"/>
      <c r="K2515" s="262"/>
      <c r="L2515" s="262"/>
      <c r="M2515" s="262"/>
      <c r="N2515" s="262"/>
      <c r="O2515" s="262"/>
      <c r="P2515" s="262"/>
      <c r="Q2515" s="262"/>
      <c r="R2515" s="262"/>
      <c r="S2515" s="262"/>
      <c r="T2515" s="262"/>
      <c r="U2515" s="262"/>
      <c r="V2515" s="262"/>
      <c r="W2515" s="262"/>
      <c r="X2515" s="262"/>
      <c r="Y2515" s="262"/>
      <c r="Z2515" s="262"/>
      <c r="AA2515" s="262"/>
      <c r="AB2515" s="262"/>
    </row>
    <row r="2516" spans="1:31" ht="25.5">
      <c r="A2516" s="271" t="s">
        <v>15071</v>
      </c>
      <c r="B2516" s="272" t="s">
        <v>14472</v>
      </c>
      <c r="C2516" s="273" t="s">
        <v>15364</v>
      </c>
      <c r="D2516" s="274" t="s">
        <v>15365</v>
      </c>
      <c r="E2516" s="272" t="s">
        <v>6</v>
      </c>
      <c r="F2516" s="272"/>
      <c r="G2516" s="272"/>
      <c r="H2516" s="275">
        <f>SUM(H2517:H2522)</f>
        <v>45.74</v>
      </c>
      <c r="I2516" s="276">
        <f>COUNTIF($C$8:$C2516,C:C)</f>
        <v>1</v>
      </c>
      <c r="J2516" s="737"/>
      <c r="K2516" s="737"/>
      <c r="L2516" s="836"/>
      <c r="M2516" s="837"/>
      <c r="N2516" s="737"/>
      <c r="O2516" s="737"/>
      <c r="P2516" s="737"/>
      <c r="Q2516" s="838"/>
      <c r="R2516" s="839"/>
      <c r="S2516" s="737"/>
      <c r="T2516" s="737"/>
      <c r="U2516" s="836"/>
      <c r="V2516" s="837"/>
      <c r="W2516" s="737"/>
      <c r="X2516" s="737"/>
      <c r="Y2516" s="737"/>
      <c r="Z2516" s="838"/>
      <c r="AA2516" s="839"/>
      <c r="AB2516" s="262"/>
    </row>
    <row r="2517" spans="1:31" ht="12.75">
      <c r="A2517" s="646" t="s">
        <v>14475</v>
      </c>
      <c r="B2517" s="763" t="s">
        <v>14476</v>
      </c>
      <c r="C2517" s="404">
        <v>95694</v>
      </c>
      <c r="D2517" s="490" t="s">
        <v>14587</v>
      </c>
      <c r="E2517" s="370"/>
      <c r="F2517" s="369"/>
      <c r="G2517" s="370"/>
      <c r="H2517" s="371"/>
      <c r="I2517" s="262"/>
      <c r="J2517" s="262"/>
      <c r="K2517" s="262"/>
      <c r="L2517" s="262"/>
      <c r="M2517" s="262"/>
      <c r="N2517" s="262"/>
      <c r="O2517" s="262"/>
      <c r="P2517" s="262"/>
      <c r="Q2517" s="262"/>
      <c r="R2517" s="262"/>
      <c r="S2517" s="262"/>
      <c r="T2517" s="262"/>
      <c r="U2517" s="262"/>
      <c r="V2517" s="262"/>
      <c r="W2517" s="262"/>
      <c r="X2517" s="262"/>
      <c r="Y2517" s="262"/>
      <c r="Z2517" s="262"/>
      <c r="AA2517" s="262"/>
      <c r="AB2517" s="262"/>
    </row>
    <row r="2518" spans="1:31" ht="25.5">
      <c r="A2518" s="586" t="s">
        <v>14478</v>
      </c>
      <c r="B2518" s="421" t="s">
        <v>14476</v>
      </c>
      <c r="C2518" s="422">
        <v>88248</v>
      </c>
      <c r="D2518" s="288" t="str">
        <f>IFERROR(VLOOKUP($C2518,'24.08_ND'!$A:$D,2,0),)</f>
        <v>AUXILIAR DE ENCANADOR OU BOMBEIRO HIDRÁULICO COM ENCARGOS COMPLEMENTARES</v>
      </c>
      <c r="E2518" s="289" t="str">
        <f>IFERROR(VLOOKUP($C2518,'24.08_ND'!$A:$D,3,0),)</f>
        <v>H</v>
      </c>
      <c r="F2518" s="697">
        <v>0.1288</v>
      </c>
      <c r="G2518" s="291">
        <f>IFERROR(VLOOKUP($C2518,'24.08_ND'!$A:$D,4,0),)</f>
        <v>19.05</v>
      </c>
      <c r="H2518" s="423">
        <f>TRUNC(($F2518*$G2518),2)</f>
        <v>2.4500000000000002</v>
      </c>
      <c r="I2518" s="262"/>
      <c r="J2518" s="262"/>
      <c r="K2518" s="262"/>
      <c r="L2518" s="262"/>
      <c r="M2518" s="262"/>
      <c r="N2518" s="262"/>
      <c r="O2518" s="262"/>
      <c r="P2518" s="262"/>
      <c r="Q2518" s="262"/>
      <c r="R2518" s="262"/>
      <c r="S2518" s="262"/>
      <c r="T2518" s="262"/>
      <c r="U2518" s="262"/>
      <c r="V2518" s="262"/>
      <c r="W2518" s="262"/>
      <c r="X2518" s="262"/>
      <c r="Y2518" s="262"/>
      <c r="Z2518" s="262"/>
      <c r="AA2518" s="262"/>
      <c r="AB2518" s="262"/>
      <c r="AD2518" s="1791" t="e">
        <f>VLOOKUP(C2518,'Medição '!$B$16:$F$1833,6,0)</f>
        <v>#N/A</v>
      </c>
      <c r="AE2518" s="1791"/>
    </row>
    <row r="2519" spans="1:31" ht="25.5">
      <c r="A2519" s="586" t="s">
        <v>14478</v>
      </c>
      <c r="B2519" s="421" t="s">
        <v>14476</v>
      </c>
      <c r="C2519" s="422">
        <v>88267</v>
      </c>
      <c r="D2519" s="288" t="str">
        <f>IFERROR(VLOOKUP($C2519,'24.08_ND'!$A:$D,2,0),)</f>
        <v>ENCANADOR OU BOMBEIRO HIDRÁULICO COM ENCARGOS COMPLEMENTARES</v>
      </c>
      <c r="E2519" s="289" t="str">
        <f>IFERROR(VLOOKUP($C2519,'24.08_ND'!$A:$D,3,0),)</f>
        <v>H</v>
      </c>
      <c r="F2519" s="697">
        <v>0.1288</v>
      </c>
      <c r="G2519" s="291">
        <f>IFERROR(VLOOKUP($C2519,'24.08_ND'!$A:$D,4,0),)</f>
        <v>23.27</v>
      </c>
      <c r="H2519" s="423">
        <f>TRUNC(($F2519*$G2519),2)</f>
        <v>2.99</v>
      </c>
      <c r="I2519" s="262"/>
      <c r="J2519" s="262"/>
      <c r="K2519" s="262"/>
      <c r="L2519" s="262"/>
      <c r="M2519" s="262"/>
      <c r="N2519" s="262"/>
      <c r="O2519" s="262"/>
      <c r="P2519" s="262"/>
      <c r="Q2519" s="262"/>
      <c r="R2519" s="262"/>
      <c r="S2519" s="262"/>
      <c r="T2519" s="262"/>
      <c r="U2519" s="262"/>
      <c r="V2519" s="262"/>
      <c r="W2519" s="262"/>
      <c r="X2519" s="262"/>
      <c r="Y2519" s="262"/>
      <c r="Z2519" s="262"/>
      <c r="AA2519" s="262"/>
      <c r="AB2519" s="262"/>
      <c r="AD2519" s="1791" t="e">
        <f>VLOOKUP(C2519,'Medição '!$B$16:$F$1833,6,0)</f>
        <v>#N/A</v>
      </c>
      <c r="AE2519" s="1791"/>
    </row>
    <row r="2520" spans="1:31" ht="12.75">
      <c r="A2520" s="445" t="s">
        <v>14479</v>
      </c>
      <c r="B2520" s="446" t="s">
        <v>14476</v>
      </c>
      <c r="C2520" s="447">
        <v>299</v>
      </c>
      <c r="D2520" s="296" t="str">
        <f>IFERROR(VLOOKUP($C2520,'24.08_ND'!$A:$D,2,0),)</f>
        <v>ANEL BORRACHA, DN 100 MM, PARA TUBO SERIE REFORCADA ESGOTO PREDIAL</v>
      </c>
      <c r="E2520" s="297" t="str">
        <f>IFERROR(VLOOKUP($C2520,'24.08_ND'!$A:$D,3,0),)</f>
        <v>UN</v>
      </c>
      <c r="F2520" s="840">
        <v>2</v>
      </c>
      <c r="G2520" s="299">
        <f>IFERROR(VLOOKUP($C2520,'24.08_ND'!$A:$D,4,0),)</f>
        <v>3.47</v>
      </c>
      <c r="H2520" s="449">
        <f>TRUNC(($F2520*$G2520),2)</f>
        <v>6.94</v>
      </c>
      <c r="I2520" s="262"/>
      <c r="J2520" s="262"/>
      <c r="K2520" s="262"/>
      <c r="L2520" s="262"/>
      <c r="M2520" s="262"/>
      <c r="N2520" s="262"/>
      <c r="O2520" s="262"/>
      <c r="P2520" s="262"/>
      <c r="Q2520" s="262"/>
      <c r="R2520" s="262"/>
      <c r="S2520" s="262"/>
      <c r="T2520" s="262"/>
      <c r="U2520" s="262"/>
      <c r="V2520" s="262"/>
      <c r="W2520" s="262"/>
      <c r="X2520" s="262"/>
      <c r="Y2520" s="262"/>
      <c r="Z2520" s="262"/>
      <c r="AA2520" s="262"/>
      <c r="AB2520" s="262"/>
    </row>
    <row r="2521" spans="1:31" ht="12.75">
      <c r="A2521" s="445" t="s">
        <v>14479</v>
      </c>
      <c r="B2521" s="446" t="s">
        <v>14476</v>
      </c>
      <c r="C2521" s="447">
        <v>38423</v>
      </c>
      <c r="D2521" s="296" t="str">
        <f>IFERROR(VLOOKUP($C2521,'24.08_ND'!$A:$D,2,0),)</f>
        <v>CURVA DE PVC, 90 GRAUS, SERIE R, DN 100 MM, PARA ESGOTO PREDIAL</v>
      </c>
      <c r="E2521" s="297" t="str">
        <f>IFERROR(VLOOKUP($C2521,'24.08_ND'!$A:$D,3,0),)</f>
        <v>UN</v>
      </c>
      <c r="F2521" s="840">
        <v>1</v>
      </c>
      <c r="G2521" s="299">
        <f>IFERROR(VLOOKUP($C2521,'24.08_ND'!$A:$D,4,0),)</f>
        <v>30.04</v>
      </c>
      <c r="H2521" s="449">
        <f>TRUNC(($F2521*$G2521),2)</f>
        <v>30.04</v>
      </c>
      <c r="I2521" s="262"/>
      <c r="J2521" s="262"/>
      <c r="K2521" s="262"/>
      <c r="L2521" s="262"/>
      <c r="M2521" s="262"/>
      <c r="N2521" s="262"/>
      <c r="O2521" s="262"/>
      <c r="P2521" s="262"/>
      <c r="Q2521" s="262"/>
      <c r="R2521" s="262"/>
      <c r="S2521" s="262"/>
      <c r="T2521" s="262"/>
      <c r="U2521" s="262"/>
      <c r="V2521" s="262"/>
      <c r="W2521" s="262"/>
      <c r="X2521" s="262"/>
      <c r="Y2521" s="262"/>
      <c r="Z2521" s="262"/>
      <c r="AA2521" s="262"/>
      <c r="AB2521" s="262"/>
    </row>
    <row r="2522" spans="1:31" ht="25.5">
      <c r="A2522" s="445" t="s">
        <v>14479</v>
      </c>
      <c r="B2522" s="446" t="s">
        <v>14476</v>
      </c>
      <c r="C2522" s="447">
        <v>20078</v>
      </c>
      <c r="D2522" s="296" t="str">
        <f>IFERROR(VLOOKUP($C2522,'24.08_ND'!$A:$D,2,0),)</f>
        <v>PASTA LUBRIFICANTE PARA TUBOS E CONEXOES COM JUNTA ELASTICA, EMBALAGEM DE *400* GR (USO EM PVC, ACO, POLIETILENO E OUTROS)</v>
      </c>
      <c r="E2522" s="297" t="str">
        <f>IFERROR(VLOOKUP($C2522,'24.08_ND'!$A:$D,3,0),)</f>
        <v>UN</v>
      </c>
      <c r="F2522" s="840">
        <v>0.115</v>
      </c>
      <c r="G2522" s="299">
        <f>IFERROR(VLOOKUP($C2522,'24.08_ND'!$A:$D,4,0),)</f>
        <v>28.92</v>
      </c>
      <c r="H2522" s="449">
        <f>TRUNC(($F2522*$G2522),2)</f>
        <v>3.32</v>
      </c>
      <c r="I2522" s="262"/>
      <c r="J2522" s="262"/>
      <c r="K2522" s="262"/>
      <c r="L2522" s="262"/>
      <c r="M2522" s="262"/>
      <c r="N2522" s="262"/>
      <c r="O2522" s="262"/>
      <c r="P2522" s="262"/>
      <c r="Q2522" s="262"/>
      <c r="R2522" s="262"/>
      <c r="S2522" s="262"/>
      <c r="T2522" s="262"/>
      <c r="U2522" s="262"/>
      <c r="V2522" s="262"/>
      <c r="W2522" s="262"/>
      <c r="X2522" s="262"/>
      <c r="Y2522" s="262"/>
      <c r="Z2522" s="262"/>
      <c r="AA2522" s="262"/>
      <c r="AB2522" s="262"/>
    </row>
    <row r="2523" spans="1:31" ht="12.75">
      <c r="A2523" s="686"/>
      <c r="B2523" s="687"/>
      <c r="C2523" s="688"/>
      <c r="D2523" s="689"/>
      <c r="E2523" s="690"/>
      <c r="F2523" s="691"/>
      <c r="G2523" s="690"/>
      <c r="H2523" s="692"/>
      <c r="I2523" s="262"/>
      <c r="J2523" s="262"/>
      <c r="K2523" s="262"/>
      <c r="L2523" s="262"/>
      <c r="M2523" s="262"/>
      <c r="N2523" s="262"/>
      <c r="O2523" s="262"/>
      <c r="P2523" s="262"/>
      <c r="Q2523" s="262"/>
      <c r="R2523" s="262"/>
      <c r="S2523" s="262"/>
      <c r="T2523" s="262"/>
      <c r="U2523" s="262"/>
      <c r="V2523" s="262"/>
      <c r="W2523" s="262"/>
      <c r="X2523" s="262"/>
      <c r="Y2523" s="262"/>
      <c r="Z2523" s="262"/>
      <c r="AA2523" s="262"/>
      <c r="AB2523" s="262"/>
    </row>
    <row r="2524" spans="1:31" ht="25.5">
      <c r="A2524" s="271" t="s">
        <v>15071</v>
      </c>
      <c r="B2524" s="272" t="s">
        <v>14472</v>
      </c>
      <c r="C2524" s="273" t="s">
        <v>15366</v>
      </c>
      <c r="D2524" s="274" t="s">
        <v>15367</v>
      </c>
      <c r="E2524" s="272" t="s">
        <v>6</v>
      </c>
      <c r="F2524" s="272"/>
      <c r="G2524" s="272"/>
      <c r="H2524" s="275">
        <f>SUM(H2525:H2530)</f>
        <v>33</v>
      </c>
      <c r="I2524" s="276">
        <f>COUNTIF($C$8:$C2524,C:C)</f>
        <v>1</v>
      </c>
      <c r="J2524" s="262"/>
      <c r="K2524" s="262"/>
      <c r="L2524" s="262"/>
      <c r="M2524" s="262"/>
      <c r="N2524" s="262"/>
      <c r="O2524" s="262"/>
      <c r="P2524" s="262"/>
      <c r="Q2524" s="262"/>
      <c r="R2524" s="262"/>
      <c r="S2524" s="262"/>
      <c r="T2524" s="262"/>
      <c r="U2524" s="262"/>
      <c r="V2524" s="262"/>
      <c r="W2524" s="262"/>
      <c r="X2524" s="262"/>
      <c r="Y2524" s="262"/>
      <c r="Z2524" s="262"/>
      <c r="AA2524" s="262"/>
      <c r="AB2524" s="262"/>
    </row>
    <row r="2525" spans="1:31" ht="12.75">
      <c r="A2525" s="646" t="s">
        <v>14475</v>
      </c>
      <c r="B2525" s="763" t="s">
        <v>14476</v>
      </c>
      <c r="C2525" s="404">
        <v>89531</v>
      </c>
      <c r="D2525" s="490" t="s">
        <v>14587</v>
      </c>
      <c r="E2525" s="370"/>
      <c r="F2525" s="369"/>
      <c r="G2525" s="370"/>
      <c r="H2525" s="371"/>
      <c r="I2525" s="368"/>
      <c r="J2525" s="368"/>
      <c r="K2525" s="368"/>
      <c r="L2525" s="368"/>
      <c r="M2525" s="368"/>
      <c r="N2525" s="368"/>
      <c r="O2525" s="368"/>
      <c r="P2525" s="368"/>
      <c r="Q2525" s="368"/>
      <c r="R2525" s="368"/>
      <c r="S2525" s="368"/>
      <c r="T2525" s="368"/>
      <c r="U2525" s="368"/>
      <c r="V2525" s="368"/>
      <c r="W2525" s="368"/>
      <c r="X2525" s="368"/>
      <c r="Y2525" s="368"/>
      <c r="Z2525" s="368"/>
      <c r="AA2525" s="368"/>
      <c r="AB2525" s="368"/>
    </row>
    <row r="2526" spans="1:31" ht="25.5">
      <c r="A2526" s="586" t="s">
        <v>14478</v>
      </c>
      <c r="B2526" s="421" t="s">
        <v>14476</v>
      </c>
      <c r="C2526" s="422">
        <v>88248</v>
      </c>
      <c r="D2526" s="288" t="str">
        <f>IFERROR(VLOOKUP($C2526,'24.08_ND'!$A:$D,2,0),)</f>
        <v>AUXILIAR DE ENCANADOR OU BOMBEIRO HIDRÁULICO COM ENCARGOS COMPLEMENTARES</v>
      </c>
      <c r="E2526" s="289" t="str">
        <f>IFERROR(VLOOKUP($C2526,'24.08_ND'!$A:$D,3,0),)</f>
        <v>H</v>
      </c>
      <c r="F2526" s="697">
        <v>0.1288</v>
      </c>
      <c r="G2526" s="291">
        <f>IFERROR(VLOOKUP($C2526,'24.08_ND'!$A:$D,4,0),)</f>
        <v>19.05</v>
      </c>
      <c r="H2526" s="423">
        <f>TRUNC(($F2526*$G2526),2)</f>
        <v>2.4500000000000002</v>
      </c>
      <c r="I2526" s="262"/>
      <c r="J2526" s="262"/>
      <c r="K2526" s="262"/>
      <c r="L2526" s="262"/>
      <c r="M2526" s="262"/>
      <c r="N2526" s="262"/>
      <c r="O2526" s="262"/>
      <c r="P2526" s="262"/>
      <c r="Q2526" s="262"/>
      <c r="R2526" s="262"/>
      <c r="S2526" s="262"/>
      <c r="T2526" s="262"/>
      <c r="U2526" s="262"/>
      <c r="V2526" s="262"/>
      <c r="W2526" s="262"/>
      <c r="X2526" s="262"/>
      <c r="Y2526" s="262"/>
      <c r="Z2526" s="262"/>
      <c r="AA2526" s="262"/>
      <c r="AB2526" s="262"/>
      <c r="AD2526" s="1791" t="e">
        <f>VLOOKUP(C2526,'Medição '!$B$16:$F$1833,6,0)</f>
        <v>#N/A</v>
      </c>
      <c r="AE2526" s="1791"/>
    </row>
    <row r="2527" spans="1:31" ht="25.5">
      <c r="A2527" s="586" t="s">
        <v>14478</v>
      </c>
      <c r="B2527" s="421" t="s">
        <v>14476</v>
      </c>
      <c r="C2527" s="422">
        <v>88267</v>
      </c>
      <c r="D2527" s="288" t="str">
        <f>IFERROR(VLOOKUP($C2527,'24.08_ND'!$A:$D,2,0),)</f>
        <v>ENCANADOR OU BOMBEIRO HIDRÁULICO COM ENCARGOS COMPLEMENTARES</v>
      </c>
      <c r="E2527" s="289" t="str">
        <f>IFERROR(VLOOKUP($C2527,'24.08_ND'!$A:$D,3,0),)</f>
        <v>H</v>
      </c>
      <c r="F2527" s="697">
        <v>0.1288</v>
      </c>
      <c r="G2527" s="291">
        <f>IFERROR(VLOOKUP($C2527,'24.08_ND'!$A:$D,4,0),)</f>
        <v>23.27</v>
      </c>
      <c r="H2527" s="423">
        <f>TRUNC(($F2527*$G2527),2)</f>
        <v>2.99</v>
      </c>
      <c r="I2527" s="262"/>
      <c r="J2527" s="262"/>
      <c r="K2527" s="262"/>
      <c r="L2527" s="262"/>
      <c r="M2527" s="262"/>
      <c r="N2527" s="262"/>
      <c r="O2527" s="262"/>
      <c r="P2527" s="262"/>
      <c r="Q2527" s="262"/>
      <c r="R2527" s="262"/>
      <c r="S2527" s="262"/>
      <c r="T2527" s="262"/>
      <c r="U2527" s="262"/>
      <c r="V2527" s="262"/>
      <c r="W2527" s="262"/>
      <c r="X2527" s="262"/>
      <c r="Y2527" s="262"/>
      <c r="Z2527" s="262"/>
      <c r="AA2527" s="262"/>
      <c r="AB2527" s="262"/>
      <c r="AD2527" s="1791" t="e">
        <f>VLOOKUP(C2527,'Medição '!$B$16:$F$1833,6,0)</f>
        <v>#N/A</v>
      </c>
      <c r="AE2527" s="1791"/>
    </row>
    <row r="2528" spans="1:31" ht="12.75">
      <c r="A2528" s="445" t="s">
        <v>14479</v>
      </c>
      <c r="B2528" s="446" t="s">
        <v>14476</v>
      </c>
      <c r="C2528" s="447">
        <v>299</v>
      </c>
      <c r="D2528" s="296" t="str">
        <f>IFERROR(VLOOKUP($C2528,'24.08_ND'!$A:$D,2,0),)</f>
        <v>ANEL BORRACHA, DN 100 MM, PARA TUBO SERIE REFORCADA ESGOTO PREDIAL</v>
      </c>
      <c r="E2528" s="297" t="str">
        <f>IFERROR(VLOOKUP($C2528,'24.08_ND'!$A:$D,3,0),)</f>
        <v>UN</v>
      </c>
      <c r="F2528" s="840">
        <v>2</v>
      </c>
      <c r="G2528" s="299">
        <f>IFERROR(VLOOKUP($C2528,'24.08_ND'!$A:$D,4,0),)</f>
        <v>3.47</v>
      </c>
      <c r="H2528" s="449">
        <f>TRUNC(($F2528*$G2528),2)</f>
        <v>6.94</v>
      </c>
      <c r="I2528" s="262"/>
      <c r="J2528" s="262"/>
      <c r="K2528" s="262"/>
      <c r="L2528" s="262"/>
      <c r="M2528" s="262"/>
      <c r="N2528" s="262"/>
      <c r="O2528" s="262"/>
      <c r="P2528" s="262"/>
      <c r="Q2528" s="262"/>
      <c r="R2528" s="262"/>
      <c r="S2528" s="262"/>
      <c r="T2528" s="262"/>
      <c r="U2528" s="262"/>
      <c r="V2528" s="262"/>
      <c r="W2528" s="262"/>
      <c r="X2528" s="262"/>
      <c r="Y2528" s="262"/>
      <c r="Z2528" s="262"/>
      <c r="AA2528" s="262"/>
      <c r="AB2528" s="262"/>
    </row>
    <row r="2529" spans="1:31" ht="12.75">
      <c r="A2529" s="445" t="s">
        <v>14479</v>
      </c>
      <c r="B2529" s="446" t="s">
        <v>14476</v>
      </c>
      <c r="C2529" s="447">
        <v>20151</v>
      </c>
      <c r="D2529" s="296" t="str">
        <f>IFERROR(VLOOKUP($C2529,'24.08_ND'!$A:$D,2,0),)</f>
        <v>JOELHO, PVC SERIE R, 45 GRAUS, DN 100 MM, PARA ESGOTO PREDIAL</v>
      </c>
      <c r="E2529" s="297" t="str">
        <f>IFERROR(VLOOKUP($C2529,'24.08_ND'!$A:$D,3,0),)</f>
        <v>UN</v>
      </c>
      <c r="F2529" s="840">
        <v>1</v>
      </c>
      <c r="G2529" s="299">
        <f>IFERROR(VLOOKUP($C2529,'24.08_ND'!$A:$D,4,0),)</f>
        <v>17.3</v>
      </c>
      <c r="H2529" s="449">
        <f>TRUNC(($F2529*$G2529),2)</f>
        <v>17.3</v>
      </c>
      <c r="I2529" s="262"/>
      <c r="J2529" s="262"/>
      <c r="K2529" s="262"/>
      <c r="L2529" s="262"/>
      <c r="M2529" s="262"/>
      <c r="N2529" s="262"/>
      <c r="O2529" s="262"/>
      <c r="P2529" s="262"/>
      <c r="Q2529" s="262"/>
      <c r="R2529" s="262"/>
      <c r="S2529" s="262"/>
      <c r="T2529" s="262"/>
      <c r="U2529" s="262"/>
      <c r="V2529" s="262"/>
      <c r="W2529" s="262"/>
      <c r="X2529" s="262"/>
      <c r="Y2529" s="262"/>
      <c r="Z2529" s="262"/>
      <c r="AA2529" s="262"/>
      <c r="AB2529" s="262"/>
    </row>
    <row r="2530" spans="1:31" ht="25.5">
      <c r="A2530" s="445" t="s">
        <v>14479</v>
      </c>
      <c r="B2530" s="446" t="s">
        <v>14476</v>
      </c>
      <c r="C2530" s="447">
        <v>20078</v>
      </c>
      <c r="D2530" s="296" t="str">
        <f>IFERROR(VLOOKUP($C2530,'24.08_ND'!$A:$D,2,0),)</f>
        <v>PASTA LUBRIFICANTE PARA TUBOS E CONEXOES COM JUNTA ELASTICA, EMBALAGEM DE *400* GR (USO EM PVC, ACO, POLIETILENO E OUTROS)</v>
      </c>
      <c r="E2530" s="297" t="str">
        <f>IFERROR(VLOOKUP($C2530,'24.08_ND'!$A:$D,3,0),)</f>
        <v>UN</v>
      </c>
      <c r="F2530" s="840">
        <v>0.115</v>
      </c>
      <c r="G2530" s="299">
        <f>IFERROR(VLOOKUP($C2530,'24.08_ND'!$A:$D,4,0),)</f>
        <v>28.92</v>
      </c>
      <c r="H2530" s="449">
        <f>TRUNC(($F2530*$G2530),2)</f>
        <v>3.32</v>
      </c>
      <c r="I2530" s="262"/>
      <c r="J2530" s="262"/>
      <c r="K2530" s="262"/>
      <c r="L2530" s="262"/>
      <c r="M2530" s="262"/>
      <c r="N2530" s="262"/>
      <c r="O2530" s="262"/>
      <c r="P2530" s="262"/>
      <c r="Q2530" s="262"/>
      <c r="R2530" s="262"/>
      <c r="S2530" s="262"/>
      <c r="T2530" s="262"/>
      <c r="U2530" s="262"/>
      <c r="V2530" s="262"/>
      <c r="W2530" s="262"/>
      <c r="X2530" s="262"/>
      <c r="Y2530" s="262"/>
      <c r="Z2530" s="262"/>
      <c r="AA2530" s="262"/>
      <c r="AB2530" s="262"/>
    </row>
    <row r="2531" spans="1:31" ht="12.75">
      <c r="A2531" s="686"/>
      <c r="B2531" s="687"/>
      <c r="C2531" s="688"/>
      <c r="D2531" s="689"/>
      <c r="E2531" s="690"/>
      <c r="F2531" s="691"/>
      <c r="G2531" s="690"/>
      <c r="H2531" s="692"/>
      <c r="I2531" s="262"/>
      <c r="J2531" s="262"/>
      <c r="K2531" s="262"/>
      <c r="L2531" s="262"/>
      <c r="M2531" s="262"/>
      <c r="N2531" s="262"/>
      <c r="O2531" s="262"/>
      <c r="P2531" s="262"/>
      <c r="Q2531" s="262"/>
      <c r="R2531" s="262"/>
      <c r="S2531" s="262"/>
      <c r="T2531" s="262"/>
      <c r="U2531" s="262"/>
      <c r="V2531" s="262"/>
      <c r="W2531" s="262"/>
      <c r="X2531" s="262"/>
      <c r="Y2531" s="262"/>
      <c r="Z2531" s="262"/>
      <c r="AA2531" s="262"/>
      <c r="AB2531" s="262"/>
    </row>
    <row r="2532" spans="1:31" ht="25.5">
      <c r="A2532" s="841" t="s">
        <v>15071</v>
      </c>
      <c r="B2532" s="842" t="s">
        <v>14472</v>
      </c>
      <c r="C2532" s="843" t="s">
        <v>15368</v>
      </c>
      <c r="D2532" s="844" t="s">
        <v>15369</v>
      </c>
      <c r="E2532" s="845" t="s">
        <v>6</v>
      </c>
      <c r="F2532" s="846"/>
      <c r="G2532" s="847"/>
      <c r="H2532" s="848">
        <f>SUM(H2533:H2538)</f>
        <v>13.45</v>
      </c>
      <c r="I2532" s="276">
        <f>COUNTIF($C$8:$C2532,C:C)</f>
        <v>1</v>
      </c>
      <c r="J2532" s="262"/>
      <c r="K2532" s="262"/>
      <c r="L2532" s="262"/>
      <c r="M2532" s="262"/>
      <c r="N2532" s="262"/>
      <c r="O2532" s="262"/>
      <c r="P2532" s="262"/>
      <c r="Q2532" s="262"/>
      <c r="R2532" s="262"/>
      <c r="S2532" s="262"/>
      <c r="T2532" s="262"/>
      <c r="U2532" s="262"/>
      <c r="V2532" s="262"/>
      <c r="W2532" s="262"/>
      <c r="X2532" s="262"/>
      <c r="Y2532" s="262"/>
      <c r="Z2532" s="262"/>
      <c r="AA2532" s="262"/>
      <c r="AB2532" s="262"/>
    </row>
    <row r="2533" spans="1:31" ht="14.25" customHeight="1">
      <c r="A2533" s="646" t="s">
        <v>14475</v>
      </c>
      <c r="B2533" s="763" t="s">
        <v>14476</v>
      </c>
      <c r="C2533" s="404">
        <v>89518</v>
      </c>
      <c r="D2533" s="490" t="s">
        <v>14587</v>
      </c>
      <c r="E2533" s="370"/>
      <c r="F2533" s="369"/>
      <c r="G2533" s="370"/>
      <c r="H2533" s="371"/>
      <c r="I2533" s="262"/>
      <c r="J2533" s="262"/>
      <c r="K2533" s="262"/>
      <c r="L2533" s="262"/>
      <c r="M2533" s="262"/>
      <c r="N2533" s="262"/>
      <c r="O2533" s="262"/>
      <c r="P2533" s="262"/>
      <c r="Q2533" s="262"/>
      <c r="R2533" s="262"/>
      <c r="S2533" s="262"/>
      <c r="T2533" s="262"/>
      <c r="U2533" s="262"/>
      <c r="V2533" s="262"/>
      <c r="W2533" s="262"/>
      <c r="X2533" s="262"/>
      <c r="Y2533" s="262"/>
      <c r="Z2533" s="262"/>
      <c r="AA2533" s="262"/>
      <c r="AB2533" s="262"/>
    </row>
    <row r="2534" spans="1:31" ht="25.5">
      <c r="A2534" s="586" t="s">
        <v>14478</v>
      </c>
      <c r="B2534" s="421" t="s">
        <v>14476</v>
      </c>
      <c r="C2534" s="422">
        <v>88248</v>
      </c>
      <c r="D2534" s="288" t="str">
        <f>IFERROR(VLOOKUP($C2534,'24.08_ND'!$A:$D,2,0),)</f>
        <v>AUXILIAR DE ENCANADOR OU BOMBEIRO HIDRÁULICO COM ENCARGOS COMPLEMENTARES</v>
      </c>
      <c r="E2534" s="289" t="str">
        <f>IFERROR(VLOOKUP($C2534,'24.08_ND'!$A:$D,3,0),)</f>
        <v>H</v>
      </c>
      <c r="F2534" s="697">
        <v>6.0699999999999997E-2</v>
      </c>
      <c r="G2534" s="291">
        <f>IFERROR(VLOOKUP($C2534,'24.08_ND'!$A:$D,4,0),)</f>
        <v>19.05</v>
      </c>
      <c r="H2534" s="423">
        <f>TRUNC(($F2534*$G2534),2)</f>
        <v>1.1499999999999999</v>
      </c>
      <c r="I2534" s="262"/>
      <c r="J2534" s="262"/>
      <c r="K2534" s="262"/>
      <c r="L2534" s="262"/>
      <c r="M2534" s="262"/>
      <c r="N2534" s="262"/>
      <c r="O2534" s="262"/>
      <c r="P2534" s="262"/>
      <c r="Q2534" s="262"/>
      <c r="R2534" s="262"/>
      <c r="S2534" s="262"/>
      <c r="T2534" s="262"/>
      <c r="U2534" s="262"/>
      <c r="V2534" s="262"/>
      <c r="W2534" s="262"/>
      <c r="X2534" s="262"/>
      <c r="Y2534" s="262"/>
      <c r="Z2534" s="262"/>
      <c r="AA2534" s="262"/>
      <c r="AB2534" s="262"/>
      <c r="AD2534" s="1791" t="e">
        <f>VLOOKUP(C2534,'Medição '!$B$16:$F$1833,6,0)</f>
        <v>#N/A</v>
      </c>
      <c r="AE2534" s="1791"/>
    </row>
    <row r="2535" spans="1:31" ht="25.5">
      <c r="A2535" s="586" t="s">
        <v>14478</v>
      </c>
      <c r="B2535" s="421" t="s">
        <v>14476</v>
      </c>
      <c r="C2535" s="422">
        <v>88267</v>
      </c>
      <c r="D2535" s="288" t="str">
        <f>IFERROR(VLOOKUP($C2535,'24.08_ND'!$A:$D,2,0),)</f>
        <v>ENCANADOR OU BOMBEIRO HIDRÁULICO COM ENCARGOS COMPLEMENTARES</v>
      </c>
      <c r="E2535" s="289" t="str">
        <f>IFERROR(VLOOKUP($C2535,'24.08_ND'!$A:$D,3,0),)</f>
        <v>H</v>
      </c>
      <c r="F2535" s="697">
        <v>6.0699999999999997E-2</v>
      </c>
      <c r="G2535" s="291">
        <f>IFERROR(VLOOKUP($C2535,'24.08_ND'!$A:$D,4,0),)</f>
        <v>23.27</v>
      </c>
      <c r="H2535" s="423">
        <f>TRUNC(($F2535*$G2535),2)</f>
        <v>1.41</v>
      </c>
      <c r="I2535" s="262"/>
      <c r="J2535" s="262"/>
      <c r="K2535" s="262"/>
      <c r="L2535" s="262"/>
      <c r="M2535" s="262"/>
      <c r="N2535" s="262"/>
      <c r="O2535" s="262"/>
      <c r="P2535" s="262"/>
      <c r="Q2535" s="262"/>
      <c r="R2535" s="262"/>
      <c r="S2535" s="262"/>
      <c r="T2535" s="262"/>
      <c r="U2535" s="262"/>
      <c r="V2535" s="262"/>
      <c r="W2535" s="262"/>
      <c r="X2535" s="262"/>
      <c r="Y2535" s="262"/>
      <c r="Z2535" s="262"/>
      <c r="AA2535" s="262"/>
      <c r="AB2535" s="262"/>
      <c r="AD2535" s="1791" t="e">
        <f>VLOOKUP(C2535,'Medição '!$B$16:$F$1833,6,0)</f>
        <v>#N/A</v>
      </c>
      <c r="AE2535" s="1791"/>
    </row>
    <row r="2536" spans="1:31" ht="12.75">
      <c r="A2536" s="445" t="s">
        <v>14479</v>
      </c>
      <c r="B2536" s="446" t="s">
        <v>14476</v>
      </c>
      <c r="C2536" s="447">
        <v>20085</v>
      </c>
      <c r="D2536" s="296" t="str">
        <f>IFERROR(VLOOKUP($C2536,'24.08_ND'!$A:$D,2,0),)</f>
        <v>ANEL BORRACHA, DN 50 MM, PARA TUBO SERIE REFORCADA ESGOTO PREDIAL</v>
      </c>
      <c r="E2536" s="297" t="str">
        <f>IFERROR(VLOOKUP($C2536,'24.08_ND'!$A:$D,3,0),)</f>
        <v>UN</v>
      </c>
      <c r="F2536" s="840">
        <v>2</v>
      </c>
      <c r="G2536" s="299">
        <f>IFERROR(VLOOKUP($C2536,'24.08_ND'!$A:$D,4,0),)</f>
        <v>2.19</v>
      </c>
      <c r="H2536" s="449">
        <f>TRUNC(($F2536*$G2536),2)</f>
        <v>4.38</v>
      </c>
      <c r="I2536" s="262"/>
      <c r="J2536" s="262"/>
      <c r="K2536" s="262"/>
      <c r="L2536" s="262"/>
      <c r="M2536" s="262"/>
      <c r="N2536" s="262"/>
      <c r="O2536" s="262"/>
      <c r="P2536" s="262"/>
      <c r="Q2536" s="262"/>
      <c r="R2536" s="262"/>
      <c r="S2536" s="262"/>
      <c r="T2536" s="262"/>
      <c r="U2536" s="262"/>
      <c r="V2536" s="262"/>
      <c r="W2536" s="262"/>
      <c r="X2536" s="262"/>
      <c r="Y2536" s="262"/>
      <c r="Z2536" s="262"/>
      <c r="AA2536" s="262"/>
      <c r="AB2536" s="262"/>
    </row>
    <row r="2537" spans="1:31" ht="12.75">
      <c r="A2537" s="445" t="s">
        <v>14479</v>
      </c>
      <c r="B2537" s="446" t="s">
        <v>14476</v>
      </c>
      <c r="C2537" s="447">
        <v>20155</v>
      </c>
      <c r="D2537" s="296" t="str">
        <f>IFERROR(VLOOKUP($C2537,'24.08_ND'!$A:$D,2,0),)</f>
        <v>JOELHO, PVC SERIE R, 90 GRAUS, DN 50 MM, PARA ESGOTO PREDIAL</v>
      </c>
      <c r="E2537" s="297" t="str">
        <f>IFERROR(VLOOKUP($C2537,'24.08_ND'!$A:$D,3,0),)</f>
        <v>UN</v>
      </c>
      <c r="F2537" s="840">
        <v>1</v>
      </c>
      <c r="G2537" s="299">
        <f>IFERROR(VLOOKUP($C2537,'24.08_ND'!$A:$D,4,0),)</f>
        <v>5.07</v>
      </c>
      <c r="H2537" s="449">
        <f>TRUNC(($F2537*$G2537),2)</f>
        <v>5.07</v>
      </c>
      <c r="I2537" s="262"/>
      <c r="J2537" s="262"/>
      <c r="K2537" s="262"/>
      <c r="L2537" s="262"/>
      <c r="M2537" s="262"/>
      <c r="N2537" s="262"/>
      <c r="O2537" s="262"/>
      <c r="P2537" s="262"/>
      <c r="Q2537" s="262"/>
      <c r="R2537" s="262"/>
      <c r="S2537" s="262"/>
      <c r="T2537" s="262"/>
      <c r="U2537" s="262"/>
      <c r="V2537" s="262"/>
      <c r="W2537" s="262"/>
      <c r="X2537" s="262"/>
      <c r="Y2537" s="262"/>
      <c r="Z2537" s="262"/>
      <c r="AA2537" s="262"/>
      <c r="AB2537" s="262"/>
    </row>
    <row r="2538" spans="1:31" ht="25.5">
      <c r="A2538" s="445" t="s">
        <v>14479</v>
      </c>
      <c r="B2538" s="446" t="s">
        <v>14476</v>
      </c>
      <c r="C2538" s="447">
        <v>20078</v>
      </c>
      <c r="D2538" s="296" t="str">
        <f>IFERROR(VLOOKUP($C2538,'24.08_ND'!$A:$D,2,0),)</f>
        <v>PASTA LUBRIFICANTE PARA TUBOS E CONEXOES COM JUNTA ELASTICA, EMBALAGEM DE *400* GR (USO EM PVC, ACO, POLIETILENO E OUTROS)</v>
      </c>
      <c r="E2538" s="297" t="str">
        <f>IFERROR(VLOOKUP($C2538,'24.08_ND'!$A:$D,3,0),)</f>
        <v>UN</v>
      </c>
      <c r="F2538" s="840">
        <v>0.05</v>
      </c>
      <c r="G2538" s="299">
        <f>IFERROR(VLOOKUP($C2538,'24.08_ND'!$A:$D,4,0),)</f>
        <v>28.92</v>
      </c>
      <c r="H2538" s="449">
        <f>TRUNC(($F2538*$G2538),2)</f>
        <v>1.44</v>
      </c>
      <c r="I2538" s="262"/>
      <c r="J2538" s="262"/>
      <c r="K2538" s="262"/>
      <c r="L2538" s="262"/>
      <c r="M2538" s="262"/>
      <c r="N2538" s="262"/>
      <c r="O2538" s="262"/>
      <c r="P2538" s="262"/>
      <c r="Q2538" s="262"/>
      <c r="R2538" s="262"/>
      <c r="S2538" s="262"/>
      <c r="T2538" s="262"/>
      <c r="U2538" s="262"/>
      <c r="V2538" s="262"/>
      <c r="W2538" s="262"/>
      <c r="X2538" s="262"/>
      <c r="Y2538" s="262"/>
      <c r="Z2538" s="262"/>
      <c r="AA2538" s="262"/>
      <c r="AB2538" s="262"/>
    </row>
    <row r="2539" spans="1:31" ht="12.75">
      <c r="A2539" s="686"/>
      <c r="B2539" s="687"/>
      <c r="C2539" s="688"/>
      <c r="D2539" s="689"/>
      <c r="E2539" s="690"/>
      <c r="F2539" s="691"/>
      <c r="G2539" s="690"/>
      <c r="H2539" s="692"/>
      <c r="I2539" s="262"/>
      <c r="J2539" s="262"/>
      <c r="K2539" s="262"/>
      <c r="L2539" s="262"/>
      <c r="M2539" s="262"/>
      <c r="N2539" s="262"/>
      <c r="O2539" s="262"/>
      <c r="P2539" s="262"/>
      <c r="Q2539" s="262"/>
      <c r="R2539" s="262"/>
      <c r="S2539" s="262"/>
      <c r="T2539" s="262"/>
      <c r="U2539" s="262"/>
      <c r="V2539" s="262"/>
      <c r="W2539" s="262"/>
      <c r="X2539" s="262"/>
      <c r="Y2539" s="262"/>
      <c r="Z2539" s="262"/>
      <c r="AA2539" s="262"/>
      <c r="AB2539" s="262"/>
    </row>
    <row r="2540" spans="1:31" ht="38.25">
      <c r="A2540" s="271" t="s">
        <v>14471</v>
      </c>
      <c r="B2540" s="272" t="s">
        <v>14472</v>
      </c>
      <c r="C2540" s="273" t="s">
        <v>15370</v>
      </c>
      <c r="D2540" s="274" t="s">
        <v>15371</v>
      </c>
      <c r="E2540" s="272" t="s">
        <v>6</v>
      </c>
      <c r="F2540" s="272"/>
      <c r="G2540" s="272"/>
      <c r="H2540" s="275">
        <f>TRUNC(SUM(H2542:H2547),2)</f>
        <v>39.299999999999997</v>
      </c>
      <c r="I2540" s="276">
        <f>COUNTIF($C$8:$C2540,C:C)</f>
        <v>1</v>
      </c>
      <c r="J2540" s="262"/>
      <c r="K2540" s="262"/>
      <c r="L2540" s="262"/>
      <c r="M2540" s="262"/>
      <c r="N2540" s="262"/>
      <c r="O2540" s="262"/>
      <c r="P2540" s="262"/>
      <c r="Q2540" s="262"/>
      <c r="R2540" s="262"/>
      <c r="S2540" s="262"/>
      <c r="T2540" s="262"/>
      <c r="U2540" s="262"/>
      <c r="V2540" s="262"/>
      <c r="W2540" s="262"/>
      <c r="X2540" s="262"/>
      <c r="Y2540" s="262"/>
      <c r="Z2540" s="262"/>
      <c r="AA2540" s="262"/>
      <c r="AB2540" s="262"/>
    </row>
    <row r="2541" spans="1:31" ht="14.25" customHeight="1">
      <c r="A2541" s="646" t="s">
        <v>14475</v>
      </c>
      <c r="B2541" s="763" t="s">
        <v>14476</v>
      </c>
      <c r="C2541" s="404">
        <v>89797</v>
      </c>
      <c r="D2541" s="490" t="s">
        <v>14587</v>
      </c>
      <c r="E2541" s="370"/>
      <c r="F2541" s="369"/>
      <c r="G2541" s="370"/>
      <c r="H2541" s="371"/>
      <c r="I2541" s="262"/>
      <c r="J2541" s="262"/>
      <c r="K2541" s="262"/>
      <c r="L2541" s="262"/>
      <c r="M2541" s="262"/>
      <c r="N2541" s="262"/>
      <c r="O2541" s="262"/>
      <c r="P2541" s="262"/>
      <c r="Q2541" s="262"/>
      <c r="R2541" s="262"/>
      <c r="S2541" s="262"/>
      <c r="T2541" s="262"/>
      <c r="U2541" s="262"/>
      <c r="V2541" s="262"/>
      <c r="W2541" s="262"/>
      <c r="X2541" s="262"/>
      <c r="Y2541" s="262"/>
      <c r="Z2541" s="262"/>
      <c r="AA2541" s="262"/>
      <c r="AB2541" s="262"/>
    </row>
    <row r="2542" spans="1:31" ht="25.5">
      <c r="A2542" s="285" t="s">
        <v>14478</v>
      </c>
      <c r="B2542" s="407" t="s">
        <v>14476</v>
      </c>
      <c r="C2542" s="344">
        <v>88248</v>
      </c>
      <c r="D2542" s="288" t="str">
        <f>IFERROR(VLOOKUP($C2542,'24.08_ND'!$A:$D,2,0),)</f>
        <v>AUXILIAR DE ENCANADOR OU BOMBEIRO HIDRÁULICO COM ENCARGOS COMPLEMENTARES</v>
      </c>
      <c r="E2542" s="289" t="str">
        <f>IFERROR(VLOOKUP($C2542,'24.08_ND'!$A:$D,3,0),)</f>
        <v>H</v>
      </c>
      <c r="F2542" s="290">
        <v>0.25679999999999997</v>
      </c>
      <c r="G2542" s="291">
        <f>IFERROR(VLOOKUP($C2542,'24.08_ND'!$A:$D,4,0),)</f>
        <v>19.05</v>
      </c>
      <c r="H2542" s="434">
        <f t="shared" ref="H2542:H2547" si="80">TRUNC(($F2542*$G2542),2)</f>
        <v>4.8899999999999997</v>
      </c>
      <c r="I2542" s="262"/>
      <c r="J2542" s="262"/>
      <c r="K2542" s="262"/>
      <c r="L2542" s="262"/>
      <c r="M2542" s="262"/>
      <c r="N2542" s="262"/>
      <c r="O2542" s="262"/>
      <c r="P2542" s="262"/>
      <c r="Q2542" s="262"/>
      <c r="R2542" s="262"/>
      <c r="S2542" s="262"/>
      <c r="T2542" s="262"/>
      <c r="U2542" s="262"/>
      <c r="V2542" s="262"/>
      <c r="W2542" s="262"/>
      <c r="X2542" s="262"/>
      <c r="Y2542" s="262"/>
      <c r="Z2542" s="262"/>
      <c r="AA2542" s="262"/>
      <c r="AB2542" s="262"/>
      <c r="AD2542" s="1791" t="e">
        <f>VLOOKUP(C2542,'Medição '!$B$16:$F$1833,6,0)</f>
        <v>#N/A</v>
      </c>
      <c r="AE2542" s="1791"/>
    </row>
    <row r="2543" spans="1:31" ht="25.5">
      <c r="A2543" s="285" t="s">
        <v>14478</v>
      </c>
      <c r="B2543" s="407" t="s">
        <v>14476</v>
      </c>
      <c r="C2543" s="344">
        <v>88267</v>
      </c>
      <c r="D2543" s="288" t="str">
        <f>IFERROR(VLOOKUP($C2543,'24.08_ND'!$A:$D,2,0),)</f>
        <v>ENCANADOR OU BOMBEIRO HIDRÁULICO COM ENCARGOS COMPLEMENTARES</v>
      </c>
      <c r="E2543" s="289" t="str">
        <f>IFERROR(VLOOKUP($C2543,'24.08_ND'!$A:$D,3,0),)</f>
        <v>H</v>
      </c>
      <c r="F2543" s="290">
        <v>0.25679999999999997</v>
      </c>
      <c r="G2543" s="291">
        <f>IFERROR(VLOOKUP($C2543,'24.08_ND'!$A:$D,4,0),)</f>
        <v>23.27</v>
      </c>
      <c r="H2543" s="434">
        <f t="shared" si="80"/>
        <v>5.97</v>
      </c>
      <c r="I2543" s="262"/>
      <c r="J2543" s="262"/>
      <c r="K2543" s="262"/>
      <c r="L2543" s="262"/>
      <c r="M2543" s="262"/>
      <c r="N2543" s="262"/>
      <c r="O2543" s="262"/>
      <c r="P2543" s="262"/>
      <c r="Q2543" s="262"/>
      <c r="R2543" s="262"/>
      <c r="S2543" s="262"/>
      <c r="T2543" s="262"/>
      <c r="U2543" s="262"/>
      <c r="V2543" s="262"/>
      <c r="W2543" s="262"/>
      <c r="X2543" s="262"/>
      <c r="Y2543" s="262"/>
      <c r="Z2543" s="262"/>
      <c r="AA2543" s="262"/>
      <c r="AB2543" s="262"/>
      <c r="AD2543" s="1791" t="e">
        <f>VLOOKUP(C2543,'Medição '!$B$16:$F$1833,6,0)</f>
        <v>#N/A</v>
      </c>
      <c r="AE2543" s="1791"/>
    </row>
    <row r="2544" spans="1:31" ht="12.75">
      <c r="A2544" s="494" t="s">
        <v>14479</v>
      </c>
      <c r="B2544" s="495" t="s">
        <v>14476</v>
      </c>
      <c r="C2544" s="348">
        <v>301</v>
      </c>
      <c r="D2544" s="296" t="str">
        <f>IFERROR(VLOOKUP($C2544,'24.08_ND'!$A:$D,2,0),)</f>
        <v>ANEL BORRACHA PARA TUBO ESGOTO PREDIAL, DN 100 MM (NBR 5688)</v>
      </c>
      <c r="E2544" s="297" t="str">
        <f>IFERROR(VLOOKUP($C2544,'24.08_ND'!$A:$D,3,0),)</f>
        <v>UN</v>
      </c>
      <c r="F2544" s="298">
        <v>2</v>
      </c>
      <c r="G2544" s="299">
        <f>IFERROR(VLOOKUP($C2544,'24.08_ND'!$A:$D,4,0),)</f>
        <v>2.96</v>
      </c>
      <c r="H2544" s="300">
        <f t="shared" si="80"/>
        <v>5.92</v>
      </c>
      <c r="I2544" s="262"/>
      <c r="J2544" s="262"/>
      <c r="K2544" s="262"/>
      <c r="L2544" s="262"/>
      <c r="M2544" s="262"/>
      <c r="N2544" s="262"/>
      <c r="O2544" s="262"/>
      <c r="P2544" s="262"/>
      <c r="Q2544" s="262"/>
      <c r="R2544" s="262"/>
      <c r="S2544" s="262"/>
      <c r="T2544" s="262"/>
      <c r="U2544" s="262"/>
      <c r="V2544" s="262"/>
      <c r="W2544" s="262"/>
      <c r="X2544" s="262"/>
      <c r="Y2544" s="262"/>
      <c r="Z2544" s="262"/>
      <c r="AA2544" s="262"/>
      <c r="AB2544" s="262"/>
    </row>
    <row r="2545" spans="1:31" ht="25.5">
      <c r="A2545" s="494" t="s">
        <v>14479</v>
      </c>
      <c r="B2545" s="495" t="s">
        <v>14476</v>
      </c>
      <c r="C2545" s="348">
        <v>20078</v>
      </c>
      <c r="D2545" s="296" t="str">
        <f>IFERROR(VLOOKUP($C2545,'24.08_ND'!$A:$D,2,0),)</f>
        <v>PASTA LUBRIFICANTE PARA TUBOS E CONEXOES COM JUNTA ELASTICA, EMBALAGEM DE *400* GR (USO EM PVC, ACO, POLIETILENO E OUTROS)</v>
      </c>
      <c r="E2545" s="297" t="str">
        <f>IFERROR(VLOOKUP($C2545,'24.08_ND'!$A:$D,3,0),)</f>
        <v>UN</v>
      </c>
      <c r="F2545" s="298">
        <v>0.17349999999999999</v>
      </c>
      <c r="G2545" s="299">
        <f>IFERROR(VLOOKUP($C2545,'24.08_ND'!$A:$D,4,0),)</f>
        <v>28.92</v>
      </c>
      <c r="H2545" s="300">
        <f t="shared" si="80"/>
        <v>5.01</v>
      </c>
      <c r="I2545" s="262"/>
      <c r="J2545" s="262"/>
      <c r="K2545" s="262"/>
      <c r="L2545" s="262"/>
      <c r="M2545" s="262"/>
      <c r="N2545" s="262"/>
      <c r="O2545" s="262"/>
      <c r="P2545" s="262"/>
      <c r="Q2545" s="262"/>
      <c r="R2545" s="262"/>
      <c r="S2545" s="262"/>
      <c r="T2545" s="262"/>
      <c r="U2545" s="262"/>
      <c r="V2545" s="262"/>
      <c r="W2545" s="262"/>
      <c r="X2545" s="262"/>
      <c r="Y2545" s="262"/>
      <c r="Z2545" s="262"/>
      <c r="AA2545" s="262"/>
      <c r="AB2545" s="262"/>
    </row>
    <row r="2546" spans="1:31" ht="25.5">
      <c r="A2546" s="494" t="s">
        <v>14479</v>
      </c>
      <c r="B2546" s="495" t="s">
        <v>14476</v>
      </c>
      <c r="C2546" s="348">
        <v>3659</v>
      </c>
      <c r="D2546" s="296" t="str">
        <f>IFERROR(VLOOKUP($C2546,'24.08_ND'!$A:$D,2,0),)</f>
        <v>JUNCAO SIMPLES DE REDUCAO, PVC, DN 100 X 50 MM, SERIE NORMAL PARA ESGOTO PREDIAL</v>
      </c>
      <c r="E2546" s="297" t="str">
        <f>IFERROR(VLOOKUP($C2546,'24.08_ND'!$A:$D,3,0),)</f>
        <v>UN</v>
      </c>
      <c r="F2546" s="298">
        <v>1</v>
      </c>
      <c r="G2546" s="299">
        <f>IFERROR(VLOOKUP($C2546,'24.08_ND'!$A:$D,4,0),)</f>
        <v>15.85</v>
      </c>
      <c r="H2546" s="300">
        <f t="shared" si="80"/>
        <v>15.85</v>
      </c>
      <c r="I2546" s="262"/>
      <c r="J2546" s="262"/>
      <c r="K2546" s="262"/>
      <c r="L2546" s="262"/>
      <c r="M2546" s="262"/>
      <c r="N2546" s="262"/>
      <c r="O2546" s="262"/>
      <c r="P2546" s="262"/>
      <c r="Q2546" s="262"/>
      <c r="R2546" s="262"/>
      <c r="S2546" s="262"/>
      <c r="T2546" s="262"/>
      <c r="U2546" s="262"/>
      <c r="V2546" s="262"/>
      <c r="W2546" s="262"/>
      <c r="X2546" s="262"/>
      <c r="Y2546" s="262"/>
      <c r="Z2546" s="262"/>
      <c r="AA2546" s="262"/>
      <c r="AB2546" s="262"/>
    </row>
    <row r="2547" spans="1:31" ht="12.75">
      <c r="A2547" s="494" t="s">
        <v>14479</v>
      </c>
      <c r="B2547" s="495" t="s">
        <v>14476</v>
      </c>
      <c r="C2547" s="348">
        <v>296</v>
      </c>
      <c r="D2547" s="296" t="str">
        <f>IFERROR(VLOOKUP($C2547,'24.08_ND'!$A:$D,2,0),)</f>
        <v>ANEL BORRACHA PARA TUBO ESGOTO PREDIAL, DN 50 MM (NBR 5688)</v>
      </c>
      <c r="E2547" s="297" t="str">
        <f>IFERROR(VLOOKUP($C2547,'24.08_ND'!$A:$D,3,0),)</f>
        <v>UN</v>
      </c>
      <c r="F2547" s="298">
        <v>1</v>
      </c>
      <c r="G2547" s="299">
        <f>IFERROR(VLOOKUP($C2547,'24.08_ND'!$A:$D,4,0),)</f>
        <v>1.66</v>
      </c>
      <c r="H2547" s="300">
        <f t="shared" si="80"/>
        <v>1.66</v>
      </c>
      <c r="I2547" s="262"/>
      <c r="J2547" s="262"/>
      <c r="K2547" s="262"/>
      <c r="L2547" s="262"/>
      <c r="M2547" s="262"/>
      <c r="N2547" s="262"/>
      <c r="O2547" s="262"/>
      <c r="P2547" s="262"/>
      <c r="Q2547" s="262"/>
      <c r="R2547" s="262"/>
      <c r="S2547" s="262"/>
      <c r="T2547" s="262"/>
      <c r="U2547" s="262"/>
      <c r="V2547" s="262"/>
      <c r="W2547" s="262"/>
      <c r="X2547" s="262"/>
      <c r="Y2547" s="262"/>
      <c r="Z2547" s="262"/>
      <c r="AA2547" s="262"/>
      <c r="AB2547" s="262"/>
    </row>
    <row r="2548" spans="1:31" ht="12.75">
      <c r="A2548" s="686"/>
      <c r="B2548" s="687"/>
      <c r="C2548" s="688"/>
      <c r="D2548" s="689"/>
      <c r="E2548" s="690"/>
      <c r="F2548" s="691"/>
      <c r="G2548" s="690"/>
      <c r="H2548" s="692"/>
      <c r="I2548" s="262"/>
      <c r="J2548" s="262"/>
      <c r="K2548" s="262"/>
      <c r="L2548" s="262"/>
      <c r="M2548" s="262"/>
      <c r="N2548" s="262"/>
      <c r="O2548" s="262"/>
      <c r="P2548" s="262"/>
      <c r="Q2548" s="262"/>
      <c r="R2548" s="262"/>
      <c r="S2548" s="262"/>
      <c r="T2548" s="262"/>
      <c r="U2548" s="262"/>
      <c r="V2548" s="262"/>
      <c r="W2548" s="262"/>
      <c r="X2548" s="262"/>
      <c r="Y2548" s="262"/>
      <c r="Z2548" s="262"/>
      <c r="AA2548" s="262"/>
      <c r="AB2548" s="262"/>
    </row>
    <row r="2549" spans="1:31" ht="25.5">
      <c r="A2549" s="358" t="s">
        <v>14471</v>
      </c>
      <c r="B2549" s="359" t="s">
        <v>14472</v>
      </c>
      <c r="C2549" s="360" t="s">
        <v>15372</v>
      </c>
      <c r="D2549" s="361" t="s">
        <v>15373</v>
      </c>
      <c r="E2549" s="359" t="s">
        <v>6</v>
      </c>
      <c r="F2549" s="693"/>
      <c r="G2549" s="362"/>
      <c r="H2549" s="363">
        <f>TRUNC(SUM(H2551:H2555),2)</f>
        <v>16.71</v>
      </c>
      <c r="I2549" s="276">
        <f>COUNTIF($C$8:$C2549,C:C)</f>
        <v>1</v>
      </c>
      <c r="J2549" s="368"/>
      <c r="K2549" s="368"/>
      <c r="L2549" s="368"/>
      <c r="M2549" s="368"/>
      <c r="N2549" s="368"/>
      <c r="O2549" s="368"/>
      <c r="P2549" s="368"/>
      <c r="Q2549" s="368"/>
      <c r="R2549" s="368"/>
      <c r="S2549" s="368"/>
      <c r="T2549" s="368"/>
      <c r="U2549" s="368"/>
      <c r="V2549" s="368"/>
      <c r="W2549" s="368"/>
      <c r="X2549" s="368"/>
      <c r="Y2549" s="368"/>
      <c r="Z2549" s="368"/>
      <c r="AA2549" s="368"/>
      <c r="AB2549" s="368"/>
    </row>
    <row r="2550" spans="1:31" ht="12.75">
      <c r="A2550" s="646" t="s">
        <v>14475</v>
      </c>
      <c r="B2550" s="694" t="s">
        <v>14476</v>
      </c>
      <c r="C2550" s="365">
        <v>104357</v>
      </c>
      <c r="D2550" s="490" t="s">
        <v>14587</v>
      </c>
      <c r="E2550" s="370"/>
      <c r="F2550" s="696"/>
      <c r="G2550" s="370"/>
      <c r="H2550" s="371"/>
      <c r="I2550" s="368"/>
      <c r="J2550" s="368"/>
      <c r="K2550" s="368"/>
      <c r="L2550" s="368"/>
      <c r="M2550" s="368"/>
      <c r="N2550" s="368"/>
      <c r="O2550" s="368"/>
      <c r="P2550" s="368"/>
      <c r="Q2550" s="368"/>
      <c r="R2550" s="368"/>
      <c r="S2550" s="368"/>
      <c r="T2550" s="368"/>
      <c r="U2550" s="368"/>
      <c r="V2550" s="368"/>
      <c r="W2550" s="368"/>
      <c r="X2550" s="368"/>
      <c r="Y2550" s="368"/>
      <c r="Z2550" s="368"/>
      <c r="AA2550" s="368"/>
      <c r="AB2550" s="368"/>
    </row>
    <row r="2551" spans="1:31" ht="25.5">
      <c r="A2551" s="586" t="s">
        <v>14478</v>
      </c>
      <c r="B2551" s="421" t="s">
        <v>14476</v>
      </c>
      <c r="C2551" s="422">
        <v>88248</v>
      </c>
      <c r="D2551" s="288" t="str">
        <f>IFERROR(VLOOKUP($C2551,'24.08_ND'!$A:$D,2,0),)</f>
        <v>AUXILIAR DE ENCANADOR OU BOMBEIRO HIDRÁULICO COM ENCARGOS COMPLEMENTARES</v>
      </c>
      <c r="E2551" s="289" t="str">
        <f>IFERROR(VLOOKUP($C2551,'24.08_ND'!$A:$D,3,0),)</f>
        <v>H</v>
      </c>
      <c r="F2551" s="697">
        <v>9.2499999999999999E-2</v>
      </c>
      <c r="G2551" s="291">
        <f>IFERROR(VLOOKUP($C2551,'24.08_ND'!$A:$D,4,0),)</f>
        <v>19.05</v>
      </c>
      <c r="H2551" s="423">
        <f>TRUNC(($F2551*$G2551),2)</f>
        <v>1.76</v>
      </c>
      <c r="I2551" s="368"/>
      <c r="J2551" s="368"/>
      <c r="K2551" s="368"/>
      <c r="L2551" s="368"/>
      <c r="M2551" s="368"/>
      <c r="N2551" s="368"/>
      <c r="O2551" s="368"/>
      <c r="P2551" s="368"/>
      <c r="Q2551" s="368"/>
      <c r="R2551" s="368"/>
      <c r="S2551" s="368"/>
      <c r="T2551" s="368"/>
      <c r="U2551" s="368"/>
      <c r="V2551" s="368"/>
      <c r="W2551" s="368"/>
      <c r="X2551" s="368"/>
      <c r="Y2551" s="368"/>
      <c r="Z2551" s="368"/>
      <c r="AA2551" s="368"/>
      <c r="AB2551" s="368"/>
      <c r="AD2551" s="1791" t="e">
        <f>VLOOKUP(C2551,'Medição '!$B$16:$F$1833,6,0)</f>
        <v>#N/A</v>
      </c>
      <c r="AE2551" s="1791"/>
    </row>
    <row r="2552" spans="1:31" ht="25.5">
      <c r="A2552" s="586" t="s">
        <v>14478</v>
      </c>
      <c r="B2552" s="421" t="s">
        <v>14476</v>
      </c>
      <c r="C2552" s="422">
        <v>88267</v>
      </c>
      <c r="D2552" s="288" t="str">
        <f>IFERROR(VLOOKUP($C2552,'24.08_ND'!$A:$D,2,0),)</f>
        <v>ENCANADOR OU BOMBEIRO HIDRÁULICO COM ENCARGOS COMPLEMENTARES</v>
      </c>
      <c r="E2552" s="289" t="str">
        <f>IFERROR(VLOOKUP($C2552,'24.08_ND'!$A:$D,3,0),)</f>
        <v>H</v>
      </c>
      <c r="F2552" s="697">
        <v>9.2499999999999999E-2</v>
      </c>
      <c r="G2552" s="291">
        <f>IFERROR(VLOOKUP($C2552,'24.08_ND'!$A:$D,4,0),)</f>
        <v>23.27</v>
      </c>
      <c r="H2552" s="423">
        <f>TRUNC(($F2552*$G2552),2)</f>
        <v>2.15</v>
      </c>
      <c r="I2552" s="368"/>
      <c r="J2552" s="368"/>
      <c r="K2552" s="368"/>
      <c r="L2552" s="368"/>
      <c r="M2552" s="368"/>
      <c r="N2552" s="368"/>
      <c r="O2552" s="368"/>
      <c r="P2552" s="368"/>
      <c r="Q2552" s="368"/>
      <c r="R2552" s="368"/>
      <c r="S2552" s="368"/>
      <c r="T2552" s="368"/>
      <c r="U2552" s="368"/>
      <c r="V2552" s="368"/>
      <c r="W2552" s="368"/>
      <c r="X2552" s="368"/>
      <c r="Y2552" s="368"/>
      <c r="Z2552" s="368"/>
      <c r="AA2552" s="368"/>
      <c r="AB2552" s="368"/>
      <c r="AD2552" s="1791" t="e">
        <f>VLOOKUP(C2552,'Medição '!$B$16:$F$1833,6,0)</f>
        <v>#N/A</v>
      </c>
      <c r="AE2552" s="1791"/>
    </row>
    <row r="2553" spans="1:31" ht="12.75">
      <c r="A2553" s="445" t="s">
        <v>14479</v>
      </c>
      <c r="B2553" s="446" t="s">
        <v>14476</v>
      </c>
      <c r="C2553" s="447">
        <v>301</v>
      </c>
      <c r="D2553" s="296" t="str">
        <f>IFERROR(VLOOKUP($C2553,'24.08_ND'!$A:$D,2,0),)</f>
        <v>ANEL BORRACHA PARA TUBO ESGOTO PREDIAL, DN 100 MM (NBR 5688)</v>
      </c>
      <c r="E2553" s="297" t="str">
        <f>IFERROR(VLOOKUP($C2553,'24.08_ND'!$A:$D,3,0),)</f>
        <v>UN</v>
      </c>
      <c r="F2553" s="840">
        <v>1</v>
      </c>
      <c r="G2553" s="299">
        <f>IFERROR(VLOOKUP($C2553,'24.08_ND'!$A:$D,4,0),)</f>
        <v>2.96</v>
      </c>
      <c r="H2553" s="449">
        <f>TRUNC(($F2553*$G2553),2)</f>
        <v>2.96</v>
      </c>
      <c r="I2553" s="368"/>
      <c r="J2553" s="368"/>
      <c r="K2553" s="368"/>
      <c r="L2553" s="368"/>
      <c r="M2553" s="368"/>
      <c r="N2553" s="368"/>
      <c r="O2553" s="368"/>
      <c r="P2553" s="368"/>
      <c r="Q2553" s="368"/>
      <c r="R2553" s="368"/>
      <c r="S2553" s="368"/>
      <c r="T2553" s="368"/>
      <c r="U2553" s="368"/>
      <c r="V2553" s="368"/>
      <c r="W2553" s="368"/>
      <c r="X2553" s="368"/>
      <c r="Y2553" s="368"/>
      <c r="Z2553" s="368"/>
      <c r="AA2553" s="368"/>
      <c r="AB2553" s="368"/>
    </row>
    <row r="2554" spans="1:31" ht="12.75">
      <c r="A2554" s="445" t="s">
        <v>14479</v>
      </c>
      <c r="B2554" s="446" t="s">
        <v>14476</v>
      </c>
      <c r="C2554" s="447">
        <v>1200</v>
      </c>
      <c r="D2554" s="296" t="str">
        <f>IFERROR(VLOOKUP($C2554,'24.08_ND'!$A:$D,2,0),)</f>
        <v>CAP PVC, SOLDAVEL, DN 100 MM, SERIE NORMAL, PARA ESGOTO PREDIAL</v>
      </c>
      <c r="E2554" s="297" t="str">
        <f>IFERROR(VLOOKUP($C2554,'24.08_ND'!$A:$D,3,0),)</f>
        <v>UN</v>
      </c>
      <c r="F2554" s="840">
        <v>1</v>
      </c>
      <c r="G2554" s="299">
        <f>IFERROR(VLOOKUP($C2554,'24.08_ND'!$A:$D,4,0),)</f>
        <v>8.18</v>
      </c>
      <c r="H2554" s="449">
        <f>TRUNC(($F2554*$G2554),2)</f>
        <v>8.18</v>
      </c>
      <c r="I2554" s="368"/>
      <c r="J2554" s="368"/>
      <c r="K2554" s="368"/>
      <c r="L2554" s="368"/>
      <c r="M2554" s="368"/>
      <c r="N2554" s="368"/>
      <c r="O2554" s="368"/>
      <c r="P2554" s="368"/>
      <c r="Q2554" s="368"/>
      <c r="R2554" s="368"/>
      <c r="S2554" s="368"/>
      <c r="T2554" s="368"/>
      <c r="U2554" s="368"/>
      <c r="V2554" s="368"/>
      <c r="W2554" s="368"/>
      <c r="X2554" s="368"/>
      <c r="Y2554" s="368"/>
      <c r="Z2554" s="368"/>
      <c r="AA2554" s="368"/>
      <c r="AB2554" s="368"/>
    </row>
    <row r="2555" spans="1:31" ht="25.5">
      <c r="A2555" s="445" t="s">
        <v>14479</v>
      </c>
      <c r="B2555" s="446" t="s">
        <v>14476</v>
      </c>
      <c r="C2555" s="447">
        <v>20078</v>
      </c>
      <c r="D2555" s="296" t="str">
        <f>IFERROR(VLOOKUP($C2555,'24.08_ND'!$A:$D,2,0),)</f>
        <v>PASTA LUBRIFICANTE PARA TUBOS E CONEXOES COM JUNTA ELASTICA, EMBALAGEM DE *400* GR (USO EM PVC, ACO, POLIETILENO E OUTROS)</v>
      </c>
      <c r="E2555" s="297" t="str">
        <f>IFERROR(VLOOKUP($C2555,'24.08_ND'!$A:$D,3,0),)</f>
        <v>UN</v>
      </c>
      <c r="F2555" s="840">
        <v>5.7500000000000002E-2</v>
      </c>
      <c r="G2555" s="299">
        <f>IFERROR(VLOOKUP($C2555,'24.08_ND'!$A:$D,4,0),)</f>
        <v>28.92</v>
      </c>
      <c r="H2555" s="449">
        <f>TRUNC(($F2555*$G2555),2)</f>
        <v>1.66</v>
      </c>
      <c r="I2555" s="368"/>
      <c r="J2555" s="368"/>
      <c r="K2555" s="368"/>
      <c r="L2555" s="368"/>
      <c r="M2555" s="368"/>
      <c r="N2555" s="368"/>
      <c r="O2555" s="368"/>
      <c r="P2555" s="368"/>
      <c r="Q2555" s="368"/>
      <c r="R2555" s="368"/>
      <c r="S2555" s="368"/>
      <c r="T2555" s="368"/>
      <c r="U2555" s="368"/>
      <c r="V2555" s="368"/>
      <c r="W2555" s="368"/>
      <c r="X2555" s="368"/>
      <c r="Y2555" s="368"/>
      <c r="Z2555" s="368"/>
      <c r="AA2555" s="368"/>
      <c r="AB2555" s="368"/>
    </row>
    <row r="2556" spans="1:31" ht="12.75">
      <c r="A2556" s="686"/>
      <c r="B2556" s="687"/>
      <c r="C2556" s="688"/>
      <c r="D2556" s="689"/>
      <c r="E2556" s="690"/>
      <c r="F2556" s="691"/>
      <c r="G2556" s="690"/>
      <c r="H2556" s="692"/>
      <c r="I2556" s="262"/>
      <c r="J2556" s="262"/>
      <c r="K2556" s="262"/>
      <c r="L2556" s="262"/>
      <c r="M2556" s="262"/>
      <c r="N2556" s="262"/>
      <c r="O2556" s="262"/>
      <c r="P2556" s="262"/>
      <c r="Q2556" s="262"/>
      <c r="R2556" s="262"/>
      <c r="S2556" s="262"/>
      <c r="T2556" s="262"/>
      <c r="U2556" s="262"/>
      <c r="V2556" s="262"/>
      <c r="W2556" s="262"/>
      <c r="X2556" s="262"/>
      <c r="Y2556" s="262"/>
      <c r="Z2556" s="262"/>
      <c r="AA2556" s="262"/>
      <c r="AB2556" s="262"/>
    </row>
    <row r="2557" spans="1:31" ht="12.75">
      <c r="A2557" s="358" t="s">
        <v>14471</v>
      </c>
      <c r="B2557" s="359" t="s">
        <v>14472</v>
      </c>
      <c r="C2557" s="360" t="s">
        <v>15374</v>
      </c>
      <c r="D2557" s="361" t="s">
        <v>15375</v>
      </c>
      <c r="E2557" s="359" t="s">
        <v>6</v>
      </c>
      <c r="F2557" s="362"/>
      <c r="G2557" s="362"/>
      <c r="H2557" s="363">
        <f>TRUNC(SUM(H2559:H2563),2)</f>
        <v>10.9</v>
      </c>
      <c r="I2557" s="276">
        <f>COUNTIF($C$8:$C2557,C:C)</f>
        <v>1</v>
      </c>
      <c r="J2557" s="368"/>
      <c r="K2557" s="368"/>
      <c r="L2557" s="368"/>
      <c r="M2557" s="368"/>
      <c r="N2557" s="368"/>
      <c r="O2557" s="368"/>
      <c r="P2557" s="368"/>
      <c r="Q2557" s="368"/>
      <c r="R2557" s="368"/>
      <c r="S2557" s="368"/>
      <c r="T2557" s="368"/>
      <c r="U2557" s="368"/>
      <c r="V2557" s="368"/>
      <c r="W2557" s="368"/>
      <c r="X2557" s="368"/>
      <c r="Y2557" s="368"/>
      <c r="Z2557" s="368"/>
      <c r="AA2557" s="368"/>
      <c r="AB2557" s="368"/>
    </row>
    <row r="2558" spans="1:31" ht="12.75">
      <c r="A2558" s="646" t="s">
        <v>14475</v>
      </c>
      <c r="B2558" s="694" t="s">
        <v>14476</v>
      </c>
      <c r="C2558" s="365">
        <v>104357</v>
      </c>
      <c r="D2558" s="490" t="s">
        <v>14587</v>
      </c>
      <c r="E2558" s="370"/>
      <c r="F2558" s="369"/>
      <c r="G2558" s="370"/>
      <c r="H2558" s="371"/>
      <c r="I2558" s="368"/>
      <c r="J2558" s="368"/>
      <c r="K2558" s="368"/>
      <c r="L2558" s="368"/>
      <c r="M2558" s="368"/>
      <c r="N2558" s="368"/>
      <c r="O2558" s="368"/>
      <c r="P2558" s="368"/>
      <c r="Q2558" s="368"/>
      <c r="R2558" s="368"/>
      <c r="S2558" s="368"/>
      <c r="T2558" s="368"/>
      <c r="U2558" s="368"/>
      <c r="V2558" s="368"/>
      <c r="W2558" s="368"/>
      <c r="X2558" s="368"/>
      <c r="Y2558" s="368"/>
      <c r="Z2558" s="368"/>
      <c r="AA2558" s="368"/>
      <c r="AB2558" s="368"/>
    </row>
    <row r="2559" spans="1:31" ht="25.5">
      <c r="A2559" s="586" t="s">
        <v>14478</v>
      </c>
      <c r="B2559" s="421" t="s">
        <v>14476</v>
      </c>
      <c r="C2559" s="422">
        <v>88248</v>
      </c>
      <c r="D2559" s="812" t="str">
        <f>IFERROR(VLOOKUP($C2559,'24.08_ND'!$A:$D,2,0),)</f>
        <v>AUXILIAR DE ENCANADOR OU BOMBEIRO HIDRÁULICO COM ENCARGOS COMPLEMENTARES</v>
      </c>
      <c r="E2559" s="595" t="str">
        <f>IFERROR(VLOOKUP($C2559,'24.08_ND'!$A:$D,3,0),)</f>
        <v>H</v>
      </c>
      <c r="F2559" s="375">
        <v>0.09</v>
      </c>
      <c r="G2559" s="595">
        <f>IFERROR(VLOOKUP($C2559,'24.08_ND'!$A:$D,4,0),)</f>
        <v>19.05</v>
      </c>
      <c r="H2559" s="423">
        <f>TRUNC(($F2559*$G2559),2)</f>
        <v>1.71</v>
      </c>
      <c r="I2559" s="368"/>
      <c r="J2559" s="368"/>
      <c r="K2559" s="368"/>
      <c r="L2559" s="368"/>
      <c r="M2559" s="368"/>
      <c r="N2559" s="368"/>
      <c r="O2559" s="368"/>
      <c r="P2559" s="368"/>
      <c r="Q2559" s="368"/>
      <c r="R2559" s="368"/>
      <c r="S2559" s="368"/>
      <c r="T2559" s="368"/>
      <c r="U2559" s="368"/>
      <c r="V2559" s="368"/>
      <c r="W2559" s="368"/>
      <c r="X2559" s="368"/>
      <c r="Y2559" s="368"/>
      <c r="Z2559" s="368"/>
      <c r="AA2559" s="368"/>
      <c r="AB2559" s="368"/>
      <c r="AD2559" s="1791" t="e">
        <f>VLOOKUP(C2559,'Medição '!$B$16:$F$1833,6,0)</f>
        <v>#N/A</v>
      </c>
      <c r="AE2559" s="1791"/>
    </row>
    <row r="2560" spans="1:31" ht="25.5">
      <c r="A2560" s="586" t="s">
        <v>14478</v>
      </c>
      <c r="B2560" s="421" t="s">
        <v>14476</v>
      </c>
      <c r="C2560" s="422">
        <v>88267</v>
      </c>
      <c r="D2560" s="812" t="str">
        <f>IFERROR(VLOOKUP($C2560,'24.08_ND'!$A:$D,2,0),)</f>
        <v>ENCANADOR OU BOMBEIRO HIDRÁULICO COM ENCARGOS COMPLEMENTARES</v>
      </c>
      <c r="E2560" s="595" t="str">
        <f>IFERROR(VLOOKUP($C2560,'24.08_ND'!$A:$D,3,0),)</f>
        <v>H</v>
      </c>
      <c r="F2560" s="375">
        <v>0.09</v>
      </c>
      <c r="G2560" s="595">
        <f>IFERROR(VLOOKUP($C2560,'24.08_ND'!$A:$D,4,0),)</f>
        <v>23.27</v>
      </c>
      <c r="H2560" s="423">
        <f>TRUNC(($F2560*$G2560),2)</f>
        <v>2.09</v>
      </c>
      <c r="I2560" s="368"/>
      <c r="J2560" s="368"/>
      <c r="K2560" s="368"/>
      <c r="L2560" s="368"/>
      <c r="M2560" s="368"/>
      <c r="N2560" s="368"/>
      <c r="O2560" s="368"/>
      <c r="P2560" s="368"/>
      <c r="Q2560" s="368"/>
      <c r="R2560" s="368"/>
      <c r="S2560" s="368"/>
      <c r="T2560" s="368"/>
      <c r="U2560" s="368"/>
      <c r="V2560" s="368"/>
      <c r="W2560" s="368"/>
      <c r="X2560" s="368"/>
      <c r="Y2560" s="368"/>
      <c r="Z2560" s="368"/>
      <c r="AA2560" s="368"/>
      <c r="AB2560" s="368"/>
      <c r="AD2560" s="1791" t="e">
        <f>VLOOKUP(C2560,'Medição '!$B$16:$F$1833,6,0)</f>
        <v>#N/A</v>
      </c>
      <c r="AE2560" s="1791"/>
    </row>
    <row r="2561" spans="1:31" ht="12.75">
      <c r="A2561" s="445" t="s">
        <v>14479</v>
      </c>
      <c r="B2561" s="446" t="s">
        <v>14476</v>
      </c>
      <c r="C2561" s="447">
        <v>296</v>
      </c>
      <c r="D2561" s="849" t="str">
        <f>IFERROR(VLOOKUP($C2561,'24.08_ND'!$A:$D,2,0),)</f>
        <v>ANEL BORRACHA PARA TUBO ESGOTO PREDIAL, DN 50 MM (NBR 5688)</v>
      </c>
      <c r="E2561" s="598" t="str">
        <f>IFERROR(VLOOKUP($C2561,'24.08_ND'!$A:$D,3,0),)</f>
        <v>UN</v>
      </c>
      <c r="F2561" s="597">
        <v>1</v>
      </c>
      <c r="G2561" s="598">
        <f>IFERROR(VLOOKUP($C2561,'24.08_ND'!$A:$D,4,0),)</f>
        <v>1.66</v>
      </c>
      <c r="H2561" s="850">
        <f>TRUNC(($F2561*$G2561),2)</f>
        <v>1.66</v>
      </c>
      <c r="I2561" s="368"/>
      <c r="J2561" s="368"/>
      <c r="K2561" s="368"/>
      <c r="L2561" s="368"/>
      <c r="M2561" s="368"/>
      <c r="N2561" s="368"/>
      <c r="O2561" s="368"/>
      <c r="P2561" s="368"/>
      <c r="Q2561" s="368"/>
      <c r="R2561" s="368"/>
      <c r="S2561" s="368"/>
      <c r="T2561" s="368"/>
      <c r="U2561" s="368"/>
      <c r="V2561" s="368"/>
      <c r="W2561" s="368"/>
      <c r="X2561" s="368"/>
      <c r="Y2561" s="368"/>
      <c r="Z2561" s="368"/>
      <c r="AA2561" s="368"/>
      <c r="AB2561" s="368"/>
    </row>
    <row r="2562" spans="1:31" ht="25.5">
      <c r="A2562" s="445" t="s">
        <v>14479</v>
      </c>
      <c r="B2562" s="446" t="s">
        <v>14476</v>
      </c>
      <c r="C2562" s="447">
        <v>20078</v>
      </c>
      <c r="D2562" s="849" t="str">
        <f>IFERROR(VLOOKUP($C2562,'24.08_ND'!$A:$D,2,0),)</f>
        <v>PASTA LUBRIFICANTE PARA TUBOS E CONEXOES COM JUNTA ELASTICA, EMBALAGEM DE *400* GR (USO EM PVC, ACO, POLIETILENO E OUTROS)</v>
      </c>
      <c r="E2562" s="598" t="str">
        <f>IFERROR(VLOOKUP($C2562,'24.08_ND'!$A:$D,3,0),)</f>
        <v>UN</v>
      </c>
      <c r="F2562" s="597">
        <v>5.7500000000000002E-2</v>
      </c>
      <c r="G2562" s="598">
        <f>IFERROR(VLOOKUP($C2562,'24.08_ND'!$A:$D,4,0),)</f>
        <v>28.92</v>
      </c>
      <c r="H2562" s="850">
        <f>TRUNC(($F2562*$G2562),2)</f>
        <v>1.66</v>
      </c>
      <c r="I2562" s="368"/>
      <c r="J2562" s="368"/>
      <c r="K2562" s="368"/>
      <c r="L2562" s="368"/>
      <c r="M2562" s="368"/>
      <c r="N2562" s="368"/>
      <c r="O2562" s="368"/>
      <c r="P2562" s="368"/>
      <c r="Q2562" s="368"/>
      <c r="R2562" s="368"/>
      <c r="S2562" s="368"/>
      <c r="T2562" s="368"/>
      <c r="U2562" s="368"/>
      <c r="V2562" s="368"/>
      <c r="W2562" s="368"/>
      <c r="X2562" s="368"/>
      <c r="Y2562" s="368"/>
      <c r="Z2562" s="368"/>
      <c r="AA2562" s="368"/>
      <c r="AB2562" s="368"/>
    </row>
    <row r="2563" spans="1:31" ht="12.75">
      <c r="A2563" s="445" t="s">
        <v>14479</v>
      </c>
      <c r="B2563" s="446" t="s">
        <v>14476</v>
      </c>
      <c r="C2563" s="447">
        <v>12909</v>
      </c>
      <c r="D2563" s="849" t="str">
        <f>IFERROR(VLOOKUP($C2563,'24.08_ND'!$A:$D,2,0),)</f>
        <v>CAP PVC, SOLDAVEL, DN 50 MM, SERIE NORMAL, PARA ESGOTO PREDIAL</v>
      </c>
      <c r="E2563" s="598" t="str">
        <f>IFERROR(VLOOKUP($C2563,'24.08_ND'!$A:$D,3,0),)</f>
        <v>UN</v>
      </c>
      <c r="F2563" s="385">
        <v>1</v>
      </c>
      <c r="G2563" s="598">
        <f>IFERROR(VLOOKUP($C2563,'24.08_ND'!$A:$D,4,0),)</f>
        <v>3.78</v>
      </c>
      <c r="H2563" s="449">
        <f>TRUNC(($F2563*$G2563),2)</f>
        <v>3.78</v>
      </c>
      <c r="I2563" s="368"/>
      <c r="J2563" s="368"/>
      <c r="K2563" s="368"/>
      <c r="L2563" s="368"/>
      <c r="M2563" s="368"/>
      <c r="N2563" s="368"/>
      <c r="O2563" s="368"/>
      <c r="P2563" s="368"/>
      <c r="Q2563" s="368"/>
      <c r="R2563" s="368"/>
      <c r="S2563" s="368"/>
      <c r="T2563" s="368"/>
      <c r="U2563" s="368"/>
      <c r="V2563" s="368"/>
      <c r="W2563" s="368"/>
      <c r="X2563" s="368"/>
      <c r="Y2563" s="368"/>
      <c r="Z2563" s="368"/>
      <c r="AA2563" s="368"/>
      <c r="AB2563" s="368"/>
    </row>
    <row r="2564" spans="1:31" ht="12.75">
      <c r="A2564" s="686"/>
      <c r="B2564" s="687"/>
      <c r="C2564" s="688"/>
      <c r="D2564" s="689"/>
      <c r="E2564" s="690"/>
      <c r="F2564" s="691"/>
      <c r="G2564" s="690"/>
      <c r="H2564" s="692"/>
      <c r="I2564" s="262"/>
      <c r="J2564" s="262"/>
      <c r="K2564" s="262"/>
      <c r="L2564" s="262"/>
      <c r="M2564" s="262"/>
      <c r="N2564" s="262"/>
      <c r="O2564" s="262"/>
      <c r="P2564" s="262"/>
      <c r="Q2564" s="262"/>
      <c r="R2564" s="262"/>
      <c r="S2564" s="262"/>
      <c r="T2564" s="262"/>
      <c r="U2564" s="262"/>
      <c r="V2564" s="262"/>
      <c r="W2564" s="262"/>
      <c r="X2564" s="262"/>
      <c r="Y2564" s="262"/>
      <c r="Z2564" s="262"/>
      <c r="AA2564" s="262"/>
      <c r="AB2564" s="262"/>
    </row>
    <row r="2565" spans="1:31" ht="12.75">
      <c r="A2565" s="271" t="s">
        <v>14471</v>
      </c>
      <c r="B2565" s="272" t="s">
        <v>14472</v>
      </c>
      <c r="C2565" s="273" t="s">
        <v>15376</v>
      </c>
      <c r="D2565" s="274" t="s">
        <v>15377</v>
      </c>
      <c r="E2565" s="272" t="s">
        <v>6</v>
      </c>
      <c r="F2565" s="272"/>
      <c r="G2565" s="272"/>
      <c r="H2565" s="275">
        <f>TRUNC(SUM(H2567:H2571),2)</f>
        <v>9.1300000000000008</v>
      </c>
      <c r="I2565" s="276">
        <f>COUNTIF($C$8:$C2565,C:C)</f>
        <v>1</v>
      </c>
      <c r="J2565" s="262"/>
      <c r="K2565" s="262"/>
      <c r="L2565" s="262"/>
      <c r="M2565" s="262"/>
      <c r="N2565" s="262"/>
      <c r="O2565" s="262"/>
      <c r="P2565" s="262"/>
      <c r="Q2565" s="262"/>
      <c r="R2565" s="262"/>
      <c r="S2565" s="262"/>
      <c r="T2565" s="262"/>
      <c r="U2565" s="262"/>
      <c r="V2565" s="262"/>
      <c r="W2565" s="262"/>
      <c r="X2565" s="262"/>
      <c r="Y2565" s="262"/>
      <c r="Z2565" s="262"/>
      <c r="AA2565" s="262"/>
      <c r="AB2565" s="262"/>
    </row>
    <row r="2566" spans="1:31" ht="12.75">
      <c r="A2566" s="277" t="s">
        <v>14475</v>
      </c>
      <c r="B2566" s="337" t="s">
        <v>14476</v>
      </c>
      <c r="C2566" s="337">
        <v>104357</v>
      </c>
      <c r="D2566" s="490" t="s">
        <v>14587</v>
      </c>
      <c r="E2566" s="609"/>
      <c r="F2566" s="282"/>
      <c r="G2566" s="492"/>
      <c r="H2566" s="493"/>
      <c r="I2566" s="262"/>
      <c r="J2566" s="262"/>
      <c r="K2566" s="262"/>
      <c r="L2566" s="262"/>
      <c r="M2566" s="262"/>
      <c r="N2566" s="262"/>
      <c r="O2566" s="262"/>
      <c r="P2566" s="262"/>
      <c r="Q2566" s="262"/>
      <c r="R2566" s="262"/>
      <c r="S2566" s="262"/>
      <c r="T2566" s="262"/>
      <c r="U2566" s="262"/>
      <c r="V2566" s="262"/>
      <c r="W2566" s="262"/>
      <c r="X2566" s="262"/>
      <c r="Y2566" s="262"/>
      <c r="Z2566" s="262"/>
      <c r="AA2566" s="262"/>
      <c r="AB2566" s="262"/>
    </row>
    <row r="2567" spans="1:31" ht="25.5">
      <c r="A2567" s="285" t="s">
        <v>14478</v>
      </c>
      <c r="B2567" s="407" t="s">
        <v>14476</v>
      </c>
      <c r="C2567" s="344">
        <v>88248</v>
      </c>
      <c r="D2567" s="666" t="str">
        <f>IFERROR(VLOOKUP($C2567,'24.08_ND'!$A:$D,2,0),)</f>
        <v>AUXILIAR DE ENCANADOR OU BOMBEIRO HIDRÁULICO COM ENCARGOS COMPLEMENTARES</v>
      </c>
      <c r="E2567" s="556" t="str">
        <f>IFERROR(VLOOKUP($C2567,'24.08_ND'!$A:$D,3,0),)</f>
        <v>H</v>
      </c>
      <c r="F2567" s="290">
        <v>8.5000000000000006E-2</v>
      </c>
      <c r="G2567" s="439">
        <f>IFERROR(VLOOKUP($C2567,'24.08_ND'!$A:$D,4,0),)</f>
        <v>19.05</v>
      </c>
      <c r="H2567" s="434">
        <f>TRUNC(($F2567*$G2567),2)</f>
        <v>1.61</v>
      </c>
      <c r="I2567" s="262"/>
      <c r="J2567" s="262"/>
      <c r="K2567" s="262"/>
      <c r="L2567" s="262"/>
      <c r="M2567" s="262"/>
      <c r="N2567" s="262"/>
      <c r="O2567" s="262"/>
      <c r="P2567" s="262"/>
      <c r="Q2567" s="262"/>
      <c r="R2567" s="262"/>
      <c r="S2567" s="262"/>
      <c r="T2567" s="262"/>
      <c r="U2567" s="262"/>
      <c r="V2567" s="262"/>
      <c r="W2567" s="262"/>
      <c r="X2567" s="262"/>
      <c r="Y2567" s="262"/>
      <c r="Z2567" s="262"/>
      <c r="AA2567" s="262"/>
      <c r="AB2567" s="262"/>
      <c r="AD2567" s="1791" t="e">
        <f>VLOOKUP(C2567,'Medição '!$B$16:$F$1833,6,0)</f>
        <v>#N/A</v>
      </c>
      <c r="AE2567" s="1791"/>
    </row>
    <row r="2568" spans="1:31" ht="25.5">
      <c r="A2568" s="285" t="s">
        <v>14478</v>
      </c>
      <c r="B2568" s="407" t="s">
        <v>14476</v>
      </c>
      <c r="C2568" s="344">
        <v>88267</v>
      </c>
      <c r="D2568" s="666" t="str">
        <f>IFERROR(VLOOKUP($C2568,'24.08_ND'!$A:$D,2,0),)</f>
        <v>ENCANADOR OU BOMBEIRO HIDRÁULICO COM ENCARGOS COMPLEMENTARES</v>
      </c>
      <c r="E2568" s="556" t="str">
        <f>IFERROR(VLOOKUP($C2568,'24.08_ND'!$A:$D,3,0),)</f>
        <v>H</v>
      </c>
      <c r="F2568" s="290">
        <v>8.5000000000000006E-2</v>
      </c>
      <c r="G2568" s="439">
        <f>IFERROR(VLOOKUP($C2568,'24.08_ND'!$A:$D,4,0),)</f>
        <v>23.27</v>
      </c>
      <c r="H2568" s="434">
        <f>TRUNC(($F2568*$G2568),2)</f>
        <v>1.97</v>
      </c>
      <c r="I2568" s="262"/>
      <c r="J2568" s="262"/>
      <c r="K2568" s="262"/>
      <c r="L2568" s="262"/>
      <c r="M2568" s="262"/>
      <c r="N2568" s="262"/>
      <c r="O2568" s="262"/>
      <c r="P2568" s="262"/>
      <c r="Q2568" s="262"/>
      <c r="R2568" s="262"/>
      <c r="S2568" s="262"/>
      <c r="T2568" s="262"/>
      <c r="U2568" s="262"/>
      <c r="V2568" s="262"/>
      <c r="W2568" s="262"/>
      <c r="X2568" s="262"/>
      <c r="Y2568" s="262"/>
      <c r="Z2568" s="262"/>
      <c r="AA2568" s="262"/>
      <c r="AB2568" s="262"/>
      <c r="AD2568" s="1791" t="e">
        <f>VLOOKUP(C2568,'Medição '!$B$16:$F$1833,6,0)</f>
        <v>#N/A</v>
      </c>
      <c r="AE2568" s="1791"/>
    </row>
    <row r="2569" spans="1:31" ht="25.5">
      <c r="A2569" s="494" t="s">
        <v>14479</v>
      </c>
      <c r="B2569" s="495" t="s">
        <v>14476</v>
      </c>
      <c r="C2569" s="348">
        <v>20078</v>
      </c>
      <c r="D2569" s="296" t="str">
        <f>IFERROR(VLOOKUP($C2569,'24.08_ND'!$A:$D,2,0),)</f>
        <v>PASTA LUBRIFICANTE PARA TUBOS E CONEXOES COM JUNTA ELASTICA, EMBALAGEM DE *400* GR (USO EM PVC, ACO, POLIETILENO E OUTROS)</v>
      </c>
      <c r="E2569" s="297" t="str">
        <f>IFERROR(VLOOKUP($C2569,'24.08_ND'!$A:$D,3,0),)</f>
        <v>UN</v>
      </c>
      <c r="F2569" s="298">
        <v>5.5E-2</v>
      </c>
      <c r="G2569" s="299">
        <f>IFERROR(VLOOKUP($C2569,'24.08_ND'!$A:$D,4,0),)</f>
        <v>28.92</v>
      </c>
      <c r="H2569" s="300">
        <f>TRUNC(($F2569*$G2569),2)</f>
        <v>1.59</v>
      </c>
      <c r="I2569" s="262"/>
      <c r="J2569" s="262"/>
      <c r="K2569" s="262"/>
      <c r="L2569" s="262"/>
      <c r="M2569" s="262"/>
      <c r="N2569" s="262"/>
      <c r="O2569" s="262"/>
      <c r="P2569" s="262"/>
      <c r="Q2569" s="262"/>
      <c r="R2569" s="262"/>
      <c r="S2569" s="262"/>
      <c r="T2569" s="262"/>
      <c r="U2569" s="262"/>
      <c r="V2569" s="262"/>
      <c r="W2569" s="262"/>
      <c r="X2569" s="262"/>
      <c r="Y2569" s="262"/>
      <c r="Z2569" s="262"/>
      <c r="AA2569" s="262"/>
      <c r="AB2569" s="262"/>
    </row>
    <row r="2570" spans="1:31" ht="12.75">
      <c r="A2570" s="445" t="s">
        <v>14479</v>
      </c>
      <c r="B2570" s="446" t="s">
        <v>14476</v>
      </c>
      <c r="C2570" s="447">
        <v>1193</v>
      </c>
      <c r="D2570" s="849" t="str">
        <f>IFERROR(VLOOKUP($C2570,'24.08_ND'!$A:$D,2,0),)</f>
        <v>CAP PVC, SOLDAVEL, 40 MM, PARA AGUA FRIA PREDIAL</v>
      </c>
      <c r="E2570" s="598" t="str">
        <f>IFERROR(VLOOKUP($C2570,'24.08_ND'!$A:$D,3,0),)</f>
        <v>UN</v>
      </c>
      <c r="F2570" s="597">
        <v>1</v>
      </c>
      <c r="G2570" s="598">
        <f>IFERROR(VLOOKUP($C2570,'24.08_ND'!$A:$D,4,0),)</f>
        <v>3.07</v>
      </c>
      <c r="H2570" s="850">
        <f>TRUNC(($F2570*$G2570),2)</f>
        <v>3.07</v>
      </c>
      <c r="I2570" s="262"/>
      <c r="J2570" s="262"/>
      <c r="K2570" s="262"/>
      <c r="L2570" s="262"/>
      <c r="M2570" s="262"/>
      <c r="N2570" s="262"/>
      <c r="O2570" s="262"/>
      <c r="P2570" s="262"/>
      <c r="Q2570" s="262"/>
      <c r="R2570" s="262"/>
      <c r="S2570" s="262"/>
      <c r="T2570" s="262"/>
      <c r="U2570" s="262"/>
      <c r="V2570" s="262"/>
      <c r="W2570" s="262"/>
      <c r="X2570" s="262"/>
      <c r="Y2570" s="262"/>
      <c r="Z2570" s="262"/>
      <c r="AA2570" s="262"/>
      <c r="AB2570" s="262"/>
    </row>
    <row r="2571" spans="1:31" ht="12.75">
      <c r="A2571" s="317" t="s">
        <v>14479</v>
      </c>
      <c r="B2571" s="312" t="str">
        <f>VLOOKUP($C2571,'• CIs EXT'!$A:$E,2,0)</f>
        <v>ORSE</v>
      </c>
      <c r="C2571" s="377">
        <v>162</v>
      </c>
      <c r="D2571" s="378" t="str">
        <f>VLOOKUP($C2571,'• CIs EXT'!$A:$E,3,0)</f>
        <v>ANEL BORRACHA P/ TUBO PVC SANITÁRIO PREDIAL, D= 40MM</v>
      </c>
      <c r="E2571" s="379" t="str">
        <f>VLOOKUP($C2571,'• CIs EXT'!$A:$E,4,0)</f>
        <v>UN</v>
      </c>
      <c r="F2571" s="851">
        <v>1</v>
      </c>
      <c r="G2571" s="379">
        <f>VLOOKUP($C2571,'• CIs EXT'!$A:$E,5,0)</f>
        <v>0.89</v>
      </c>
      <c r="H2571" s="381">
        <f>TRUNC(($F2571*$G2571),2)</f>
        <v>0.89</v>
      </c>
      <c r="I2571" s="262"/>
      <c r="J2571" s="262"/>
      <c r="K2571" s="262"/>
      <c r="L2571" s="262"/>
      <c r="M2571" s="262"/>
      <c r="N2571" s="262"/>
      <c r="O2571" s="262"/>
      <c r="P2571" s="262"/>
      <c r="Q2571" s="262"/>
      <c r="R2571" s="262"/>
      <c r="S2571" s="262"/>
      <c r="T2571" s="262"/>
      <c r="U2571" s="262"/>
      <c r="V2571" s="262"/>
      <c r="W2571" s="262"/>
      <c r="X2571" s="262"/>
      <c r="Y2571" s="262"/>
      <c r="Z2571" s="262"/>
      <c r="AA2571" s="262"/>
      <c r="AB2571" s="262"/>
    </row>
    <row r="2572" spans="1:31" ht="12.75">
      <c r="A2572" s="686"/>
      <c r="B2572" s="687"/>
      <c r="C2572" s="688"/>
      <c r="D2572" s="689"/>
      <c r="E2572" s="690"/>
      <c r="F2572" s="691"/>
      <c r="G2572" s="690"/>
      <c r="H2572" s="692"/>
      <c r="I2572" s="262"/>
      <c r="J2572" s="262"/>
      <c r="K2572" s="262"/>
      <c r="L2572" s="262"/>
      <c r="M2572" s="262"/>
      <c r="N2572" s="262"/>
      <c r="O2572" s="262"/>
      <c r="P2572" s="262"/>
      <c r="Q2572" s="262"/>
      <c r="R2572" s="262"/>
      <c r="S2572" s="262"/>
      <c r="T2572" s="262"/>
      <c r="U2572" s="262"/>
      <c r="V2572" s="262"/>
      <c r="W2572" s="262"/>
      <c r="X2572" s="262"/>
      <c r="Y2572" s="262"/>
      <c r="Z2572" s="262"/>
      <c r="AA2572" s="262"/>
      <c r="AB2572" s="262"/>
    </row>
    <row r="2573" spans="1:31" ht="25.5">
      <c r="A2573" s="271" t="s">
        <v>14471</v>
      </c>
      <c r="B2573" s="272" t="s">
        <v>14472</v>
      </c>
      <c r="C2573" s="273" t="s">
        <v>15378</v>
      </c>
      <c r="D2573" s="274" t="s">
        <v>15379</v>
      </c>
      <c r="E2573" s="272" t="s">
        <v>6</v>
      </c>
      <c r="F2573" s="272"/>
      <c r="G2573" s="272"/>
      <c r="H2573" s="275">
        <f>TRUNC(SUM(H2575:H2580),2)</f>
        <v>16.72</v>
      </c>
      <c r="I2573" s="276">
        <f>COUNTIF($C$8:$C2573,C:C)</f>
        <v>1</v>
      </c>
      <c r="J2573" s="262"/>
      <c r="K2573" s="262"/>
      <c r="L2573" s="262"/>
      <c r="M2573" s="262"/>
      <c r="N2573" s="262"/>
      <c r="O2573" s="262"/>
      <c r="P2573" s="262"/>
      <c r="Q2573" s="262"/>
      <c r="R2573" s="262"/>
      <c r="S2573" s="262"/>
      <c r="T2573" s="262"/>
      <c r="U2573" s="262"/>
      <c r="V2573" s="262"/>
      <c r="W2573" s="262"/>
      <c r="X2573" s="262"/>
      <c r="Y2573" s="262"/>
      <c r="Z2573" s="262"/>
      <c r="AA2573" s="262"/>
      <c r="AB2573" s="262"/>
    </row>
    <row r="2574" spans="1:31" ht="12.75">
      <c r="A2574" s="277" t="s">
        <v>14475</v>
      </c>
      <c r="B2574" s="337" t="s">
        <v>14476</v>
      </c>
      <c r="C2574" s="337">
        <v>89549</v>
      </c>
      <c r="D2574" s="490" t="s">
        <v>14587</v>
      </c>
      <c r="E2574" s="609"/>
      <c r="F2574" s="282"/>
      <c r="G2574" s="492"/>
      <c r="H2574" s="493"/>
      <c r="I2574" s="262"/>
      <c r="J2574" s="262"/>
      <c r="K2574" s="262"/>
      <c r="L2574" s="262"/>
      <c r="M2574" s="262"/>
      <c r="N2574" s="262"/>
      <c r="O2574" s="262"/>
      <c r="P2574" s="262"/>
      <c r="Q2574" s="262"/>
      <c r="R2574" s="262"/>
      <c r="S2574" s="262"/>
      <c r="T2574" s="262"/>
      <c r="U2574" s="262"/>
      <c r="V2574" s="262"/>
      <c r="W2574" s="262"/>
      <c r="X2574" s="262"/>
      <c r="Y2574" s="262"/>
      <c r="Z2574" s="262"/>
      <c r="AA2574" s="262"/>
      <c r="AB2574" s="262"/>
    </row>
    <row r="2575" spans="1:31" ht="25.5">
      <c r="A2575" s="285" t="s">
        <v>14478</v>
      </c>
      <c r="B2575" s="407" t="s">
        <v>14476</v>
      </c>
      <c r="C2575" s="344">
        <v>88248</v>
      </c>
      <c r="D2575" s="288" t="str">
        <f>IFERROR(VLOOKUP($C2575,'24.08_ND'!$A:$D,2,0),)</f>
        <v>AUXILIAR DE ENCANADOR OU BOMBEIRO HIDRÁULICO COM ENCARGOS COMPLEMENTARES</v>
      </c>
      <c r="E2575" s="289" t="str">
        <f>IFERROR(VLOOKUP($C2575,'24.08_ND'!$A:$D,3,0),)</f>
        <v>H</v>
      </c>
      <c r="F2575" s="290">
        <v>5.16E-2</v>
      </c>
      <c r="G2575" s="291">
        <f>IFERROR(VLOOKUP($C2575,'24.08_ND'!$A:$D,4,0),)</f>
        <v>19.05</v>
      </c>
      <c r="H2575" s="434">
        <f t="shared" ref="H2575:H2580" si="81">TRUNC(($F2575*$G2575),2)</f>
        <v>0.98</v>
      </c>
      <c r="I2575" s="262"/>
      <c r="J2575" s="262"/>
      <c r="K2575" s="262"/>
      <c r="L2575" s="262"/>
      <c r="M2575" s="262"/>
      <c r="N2575" s="262"/>
      <c r="O2575" s="262"/>
      <c r="P2575" s="262"/>
      <c r="Q2575" s="262"/>
      <c r="R2575" s="262"/>
      <c r="S2575" s="262"/>
      <c r="T2575" s="262"/>
      <c r="U2575" s="262"/>
      <c r="V2575" s="262"/>
      <c r="W2575" s="262"/>
      <c r="X2575" s="262"/>
      <c r="Y2575" s="262"/>
      <c r="Z2575" s="262"/>
      <c r="AA2575" s="262"/>
      <c r="AB2575" s="262"/>
      <c r="AD2575" s="1791" t="e">
        <f>VLOOKUP(C2575,'Medição '!$B$16:$F$1833,6,0)</f>
        <v>#N/A</v>
      </c>
      <c r="AE2575" s="1791"/>
    </row>
    <row r="2576" spans="1:31" ht="25.5">
      <c r="A2576" s="285" t="s">
        <v>14478</v>
      </c>
      <c r="B2576" s="407" t="s">
        <v>14476</v>
      </c>
      <c r="C2576" s="344">
        <v>88267</v>
      </c>
      <c r="D2576" s="288" t="str">
        <f>IFERROR(VLOOKUP($C2576,'24.08_ND'!$A:$D,2,0),)</f>
        <v>ENCANADOR OU BOMBEIRO HIDRÁULICO COM ENCARGOS COMPLEMENTARES</v>
      </c>
      <c r="E2576" s="289" t="str">
        <f>IFERROR(VLOOKUP($C2576,'24.08_ND'!$A:$D,3,0),)</f>
        <v>H</v>
      </c>
      <c r="F2576" s="290">
        <v>5.16E-2</v>
      </c>
      <c r="G2576" s="291">
        <f>IFERROR(VLOOKUP($C2576,'24.08_ND'!$A:$D,4,0),)</f>
        <v>23.27</v>
      </c>
      <c r="H2576" s="434">
        <f t="shared" si="81"/>
        <v>1.2</v>
      </c>
      <c r="I2576" s="262"/>
      <c r="J2576" s="262"/>
      <c r="K2576" s="262"/>
      <c r="L2576" s="262"/>
      <c r="M2576" s="262"/>
      <c r="N2576" s="262"/>
      <c r="O2576" s="262"/>
      <c r="P2576" s="262"/>
      <c r="Q2576" s="262"/>
      <c r="R2576" s="262"/>
      <c r="S2576" s="262"/>
      <c r="T2576" s="262"/>
      <c r="U2576" s="262"/>
      <c r="V2576" s="262"/>
      <c r="W2576" s="262"/>
      <c r="X2576" s="262"/>
      <c r="Y2576" s="262"/>
      <c r="Z2576" s="262"/>
      <c r="AA2576" s="262"/>
      <c r="AB2576" s="262"/>
      <c r="AD2576" s="1791" t="e">
        <f>VLOOKUP(C2576,'Medição '!$B$16:$F$1833,6,0)</f>
        <v>#N/A</v>
      </c>
      <c r="AE2576" s="1791"/>
    </row>
    <row r="2577" spans="1:31" ht="12.75">
      <c r="A2577" s="494" t="s">
        <v>14479</v>
      </c>
      <c r="B2577" s="495" t="s">
        <v>14476</v>
      </c>
      <c r="C2577" s="348">
        <v>298</v>
      </c>
      <c r="D2577" s="296" t="str">
        <f>IFERROR(VLOOKUP($C2577,'24.08_ND'!$A:$D,2,0),)</f>
        <v>ANEL BORRACHA, DN 75 MM, PARA TUBO SERIE REFORCADA ESGOTO PREDIAL</v>
      </c>
      <c r="E2577" s="297" t="str">
        <f>IFERROR(VLOOKUP($C2577,'24.08_ND'!$A:$D,3,0),)</f>
        <v>UN</v>
      </c>
      <c r="F2577" s="298">
        <v>1</v>
      </c>
      <c r="G2577" s="299">
        <f>IFERROR(VLOOKUP($C2577,'24.08_ND'!$A:$D,4,0),)</f>
        <v>2.66</v>
      </c>
      <c r="H2577" s="300">
        <f t="shared" si="81"/>
        <v>2.66</v>
      </c>
      <c r="I2577" s="262"/>
      <c r="J2577" s="262"/>
      <c r="K2577" s="262"/>
      <c r="L2577" s="262"/>
      <c r="M2577" s="262"/>
      <c r="N2577" s="262"/>
      <c r="O2577" s="262"/>
      <c r="P2577" s="262"/>
      <c r="Q2577" s="262"/>
      <c r="R2577" s="262"/>
      <c r="S2577" s="262"/>
      <c r="T2577" s="262"/>
      <c r="U2577" s="262"/>
      <c r="V2577" s="262"/>
      <c r="W2577" s="262"/>
      <c r="X2577" s="262"/>
      <c r="Y2577" s="262"/>
      <c r="Z2577" s="262"/>
      <c r="AA2577" s="262"/>
      <c r="AB2577" s="262"/>
    </row>
    <row r="2578" spans="1:31" ht="12.75">
      <c r="A2578" s="494" t="s">
        <v>14479</v>
      </c>
      <c r="B2578" s="495" t="s">
        <v>14476</v>
      </c>
      <c r="C2578" s="348">
        <v>20045</v>
      </c>
      <c r="D2578" s="296" t="str">
        <f>IFERROR(VLOOKUP($C2578,'24.08_ND'!$A:$D,2,0),)</f>
        <v>REDUCAO EXCENTRICA PVC, SERIE R, DN 75 X 50 MM, PARA ESGOTO PREDIAL</v>
      </c>
      <c r="E2578" s="297" t="str">
        <f>IFERROR(VLOOKUP($C2578,'24.08_ND'!$A:$D,3,0),)</f>
        <v>UN</v>
      </c>
      <c r="F2578" s="298">
        <v>1</v>
      </c>
      <c r="G2578" s="299">
        <f>IFERROR(VLOOKUP($C2578,'24.08_ND'!$A:$D,4,0),)</f>
        <v>7.89</v>
      </c>
      <c r="H2578" s="300">
        <f t="shared" si="81"/>
        <v>7.89</v>
      </c>
      <c r="I2578" s="262"/>
      <c r="J2578" s="262"/>
      <c r="K2578" s="262"/>
      <c r="L2578" s="262"/>
      <c r="M2578" s="262"/>
      <c r="N2578" s="262"/>
      <c r="O2578" s="262"/>
      <c r="P2578" s="262"/>
      <c r="Q2578" s="262"/>
      <c r="R2578" s="262"/>
      <c r="S2578" s="262"/>
      <c r="T2578" s="262"/>
      <c r="U2578" s="262"/>
      <c r="V2578" s="262"/>
      <c r="W2578" s="262"/>
      <c r="X2578" s="262"/>
      <c r="Y2578" s="262"/>
      <c r="Z2578" s="262"/>
      <c r="AA2578" s="262"/>
      <c r="AB2578" s="262"/>
    </row>
    <row r="2579" spans="1:31" ht="25.5">
      <c r="A2579" s="494" t="s">
        <v>14479</v>
      </c>
      <c r="B2579" s="495" t="s">
        <v>14476</v>
      </c>
      <c r="C2579" s="348">
        <v>20078</v>
      </c>
      <c r="D2579" s="296" t="str">
        <f>IFERROR(VLOOKUP($C2579,'24.08_ND'!$A:$D,2,0),)</f>
        <v>PASTA LUBRIFICANTE PARA TUBOS E CONEXOES COM JUNTA ELASTICA, EMBALAGEM DE *400* GR (USO EM PVC, ACO, POLIETILENO E OUTROS)</v>
      </c>
      <c r="E2579" s="297" t="str">
        <f>IFERROR(VLOOKUP($C2579,'24.08_ND'!$A:$D,3,0),)</f>
        <v>UN</v>
      </c>
      <c r="F2579" s="298">
        <v>6.25E-2</v>
      </c>
      <c r="G2579" s="299">
        <f>IFERROR(VLOOKUP($C2579,'24.08_ND'!$A:$D,4,0),)</f>
        <v>28.92</v>
      </c>
      <c r="H2579" s="300">
        <f t="shared" si="81"/>
        <v>1.8</v>
      </c>
      <c r="I2579" s="262"/>
      <c r="J2579" s="262"/>
      <c r="K2579" s="262"/>
      <c r="L2579" s="262"/>
      <c r="M2579" s="262"/>
      <c r="N2579" s="262"/>
      <c r="O2579" s="262"/>
      <c r="P2579" s="262"/>
      <c r="Q2579" s="262"/>
      <c r="R2579" s="262"/>
      <c r="S2579" s="262"/>
      <c r="T2579" s="262"/>
      <c r="U2579" s="262"/>
      <c r="V2579" s="262"/>
      <c r="W2579" s="262"/>
      <c r="X2579" s="262"/>
      <c r="Y2579" s="262"/>
      <c r="Z2579" s="262"/>
      <c r="AA2579" s="262"/>
      <c r="AB2579" s="262"/>
    </row>
    <row r="2580" spans="1:31" ht="12.75">
      <c r="A2580" s="494" t="s">
        <v>14479</v>
      </c>
      <c r="B2580" s="495" t="s">
        <v>14476</v>
      </c>
      <c r="C2580" s="348">
        <v>20085</v>
      </c>
      <c r="D2580" s="296" t="str">
        <f>IFERROR(VLOOKUP($C2580,'24.08_ND'!$A:$D,2,0),)</f>
        <v>ANEL BORRACHA, DN 50 MM, PARA TUBO SERIE REFORCADA ESGOTO PREDIAL</v>
      </c>
      <c r="E2580" s="297" t="str">
        <f>IFERROR(VLOOKUP($C2580,'24.08_ND'!$A:$D,3,0),)</f>
        <v>UN</v>
      </c>
      <c r="F2580" s="298">
        <v>1</v>
      </c>
      <c r="G2580" s="299">
        <f>IFERROR(VLOOKUP($C2580,'24.08_ND'!$A:$D,4,0),)</f>
        <v>2.19</v>
      </c>
      <c r="H2580" s="300">
        <f t="shared" si="81"/>
        <v>2.19</v>
      </c>
      <c r="I2580" s="262"/>
      <c r="J2580" s="262"/>
      <c r="K2580" s="262"/>
      <c r="L2580" s="262"/>
      <c r="M2580" s="262"/>
      <c r="N2580" s="262"/>
      <c r="O2580" s="262"/>
      <c r="P2580" s="262"/>
      <c r="Q2580" s="262"/>
      <c r="R2580" s="262"/>
      <c r="S2580" s="262"/>
      <c r="T2580" s="262"/>
      <c r="U2580" s="262"/>
      <c r="V2580" s="262"/>
      <c r="W2580" s="262"/>
      <c r="X2580" s="262"/>
      <c r="Y2580" s="262"/>
      <c r="Z2580" s="262"/>
      <c r="AA2580" s="262"/>
      <c r="AB2580" s="262"/>
    </row>
    <row r="2581" spans="1:31" ht="12.75">
      <c r="A2581" s="686"/>
      <c r="B2581" s="687"/>
      <c r="C2581" s="688"/>
      <c r="D2581" s="689"/>
      <c r="E2581" s="690"/>
      <c r="F2581" s="691"/>
      <c r="G2581" s="690"/>
      <c r="H2581" s="692"/>
      <c r="I2581" s="262"/>
      <c r="J2581" s="262"/>
      <c r="K2581" s="262"/>
      <c r="L2581" s="262"/>
      <c r="M2581" s="262"/>
      <c r="N2581" s="262"/>
      <c r="O2581" s="262"/>
      <c r="P2581" s="262"/>
      <c r="Q2581" s="262"/>
      <c r="R2581" s="262"/>
      <c r="S2581" s="262"/>
      <c r="T2581" s="262"/>
      <c r="U2581" s="262"/>
      <c r="V2581" s="262"/>
      <c r="W2581" s="262"/>
      <c r="X2581" s="262"/>
      <c r="Y2581" s="262"/>
      <c r="Z2581" s="262"/>
      <c r="AA2581" s="262"/>
      <c r="AB2581" s="262"/>
    </row>
    <row r="2582" spans="1:31" ht="25.5">
      <c r="A2582" s="358" t="s">
        <v>14471</v>
      </c>
      <c r="B2582" s="359" t="s">
        <v>14472</v>
      </c>
      <c r="C2582" s="360" t="s">
        <v>15380</v>
      </c>
      <c r="D2582" s="361" t="s">
        <v>15381</v>
      </c>
      <c r="E2582" s="359" t="s">
        <v>6</v>
      </c>
      <c r="F2582" s="362"/>
      <c r="G2582" s="362"/>
      <c r="H2582" s="363">
        <f>TRUNC(SUM(H2584:H2589),2)</f>
        <v>26.66</v>
      </c>
      <c r="I2582" s="276">
        <f>COUNTIF($C$8:$C2582,C:C)</f>
        <v>1</v>
      </c>
      <c r="J2582" s="368"/>
      <c r="K2582" s="368"/>
      <c r="L2582" s="368"/>
      <c r="M2582" s="368"/>
      <c r="N2582" s="368"/>
      <c r="O2582" s="368"/>
      <c r="P2582" s="368"/>
      <c r="Q2582" s="368"/>
      <c r="R2582" s="368"/>
      <c r="S2582" s="368"/>
      <c r="T2582" s="368"/>
      <c r="U2582" s="368"/>
      <c r="V2582" s="368"/>
      <c r="W2582" s="368"/>
      <c r="X2582" s="368"/>
      <c r="Y2582" s="368"/>
      <c r="Z2582" s="368"/>
      <c r="AA2582" s="368"/>
      <c r="AB2582" s="368"/>
    </row>
    <row r="2583" spans="1:31" ht="12.75">
      <c r="A2583" s="646" t="s">
        <v>14475</v>
      </c>
      <c r="B2583" s="694" t="s">
        <v>14476</v>
      </c>
      <c r="C2583" s="365">
        <v>89557</v>
      </c>
      <c r="D2583" s="490" t="s">
        <v>14587</v>
      </c>
      <c r="E2583" s="370"/>
      <c r="F2583" s="696"/>
      <c r="G2583" s="370"/>
      <c r="H2583" s="371"/>
      <c r="I2583" s="368"/>
      <c r="J2583" s="368"/>
      <c r="K2583" s="368"/>
      <c r="L2583" s="368"/>
      <c r="M2583" s="368"/>
      <c r="N2583" s="368"/>
      <c r="O2583" s="368"/>
      <c r="P2583" s="368"/>
      <c r="Q2583" s="368"/>
      <c r="R2583" s="368"/>
      <c r="S2583" s="368"/>
      <c r="T2583" s="368"/>
      <c r="U2583" s="368"/>
      <c r="V2583" s="368"/>
      <c r="W2583" s="368"/>
      <c r="X2583" s="368"/>
      <c r="Y2583" s="368"/>
      <c r="Z2583" s="368"/>
      <c r="AA2583" s="368"/>
      <c r="AB2583" s="368"/>
    </row>
    <row r="2584" spans="1:31" ht="25.5">
      <c r="A2584" s="586" t="s">
        <v>14478</v>
      </c>
      <c r="B2584" s="421" t="s">
        <v>14476</v>
      </c>
      <c r="C2584" s="422">
        <v>88248</v>
      </c>
      <c r="D2584" s="288" t="str">
        <f>IFERROR(VLOOKUP($C2584,'24.08_ND'!$A:$D,2,0),)</f>
        <v>AUXILIAR DE ENCANADOR OU BOMBEIRO HIDRÁULICO COM ENCARGOS COMPLEMENTARES</v>
      </c>
      <c r="E2584" s="289" t="str">
        <f>IFERROR(VLOOKUP($C2584,'24.08_ND'!$A:$D,3,0),)</f>
        <v>H</v>
      </c>
      <c r="F2584" s="697">
        <v>7.4300000000000005E-2</v>
      </c>
      <c r="G2584" s="291">
        <f>IFERROR(VLOOKUP($C2584,'24.08_ND'!$A:$D,4,0),)</f>
        <v>19.05</v>
      </c>
      <c r="H2584" s="423">
        <f t="shared" ref="H2584:H2589" si="82">TRUNC(($F2584*$G2584),2)</f>
        <v>1.41</v>
      </c>
      <c r="I2584" s="368"/>
      <c r="J2584" s="368"/>
      <c r="K2584" s="368"/>
      <c r="L2584" s="368"/>
      <c r="M2584" s="368"/>
      <c r="N2584" s="368"/>
      <c r="O2584" s="368"/>
      <c r="P2584" s="368"/>
      <c r="Q2584" s="368"/>
      <c r="R2584" s="368"/>
      <c r="S2584" s="368"/>
      <c r="T2584" s="368"/>
      <c r="U2584" s="368"/>
      <c r="V2584" s="368"/>
      <c r="W2584" s="368"/>
      <c r="X2584" s="368"/>
      <c r="Y2584" s="368"/>
      <c r="Z2584" s="368"/>
      <c r="AA2584" s="368"/>
      <c r="AB2584" s="368"/>
      <c r="AD2584" s="1791" t="e">
        <f>VLOOKUP(C2584,'Medição '!$B$16:$F$1833,6,0)</f>
        <v>#N/A</v>
      </c>
      <c r="AE2584" s="1791"/>
    </row>
    <row r="2585" spans="1:31" ht="25.5">
      <c r="A2585" s="586" t="s">
        <v>14478</v>
      </c>
      <c r="B2585" s="421" t="s">
        <v>14476</v>
      </c>
      <c r="C2585" s="422">
        <v>88267</v>
      </c>
      <c r="D2585" s="288" t="str">
        <f>IFERROR(VLOOKUP($C2585,'24.08_ND'!$A:$D,2,0),)</f>
        <v>ENCANADOR OU BOMBEIRO HIDRÁULICO COM ENCARGOS COMPLEMENTARES</v>
      </c>
      <c r="E2585" s="289" t="str">
        <f>IFERROR(VLOOKUP($C2585,'24.08_ND'!$A:$D,3,0),)</f>
        <v>H</v>
      </c>
      <c r="F2585" s="697">
        <v>7.4300000000000005E-2</v>
      </c>
      <c r="G2585" s="291">
        <f>IFERROR(VLOOKUP($C2585,'24.08_ND'!$A:$D,4,0),)</f>
        <v>23.27</v>
      </c>
      <c r="H2585" s="423">
        <f t="shared" si="82"/>
        <v>1.72</v>
      </c>
      <c r="I2585" s="368"/>
      <c r="J2585" s="368"/>
      <c r="K2585" s="368"/>
      <c r="L2585" s="368"/>
      <c r="M2585" s="368"/>
      <c r="N2585" s="368"/>
      <c r="O2585" s="368"/>
      <c r="P2585" s="368"/>
      <c r="Q2585" s="368"/>
      <c r="R2585" s="368"/>
      <c r="S2585" s="368"/>
      <c r="T2585" s="368"/>
      <c r="U2585" s="368"/>
      <c r="V2585" s="368"/>
      <c r="W2585" s="368"/>
      <c r="X2585" s="368"/>
      <c r="Y2585" s="368"/>
      <c r="Z2585" s="368"/>
      <c r="AA2585" s="368"/>
      <c r="AB2585" s="368"/>
      <c r="AD2585" s="1791" t="e">
        <f>VLOOKUP(C2585,'Medição '!$B$16:$F$1833,6,0)</f>
        <v>#N/A</v>
      </c>
      <c r="AE2585" s="1791"/>
    </row>
    <row r="2586" spans="1:31" ht="12.75">
      <c r="A2586" s="445" t="s">
        <v>14479</v>
      </c>
      <c r="B2586" s="446" t="s">
        <v>14476</v>
      </c>
      <c r="C2586" s="447">
        <v>299</v>
      </c>
      <c r="D2586" s="296" t="str">
        <f>IFERROR(VLOOKUP($C2586,'24.08_ND'!$A:$D,2,0),)</f>
        <v>ANEL BORRACHA, DN 100 MM, PARA TUBO SERIE REFORCADA ESGOTO PREDIAL</v>
      </c>
      <c r="E2586" s="297" t="str">
        <f>IFERROR(VLOOKUP($C2586,'24.08_ND'!$A:$D,3,0),)</f>
        <v>UN</v>
      </c>
      <c r="F2586" s="298">
        <v>1</v>
      </c>
      <c r="G2586" s="299">
        <f>IFERROR(VLOOKUP($C2586,'24.08_ND'!$A:$D,4,0),)</f>
        <v>3.47</v>
      </c>
      <c r="H2586" s="449">
        <f t="shared" si="82"/>
        <v>3.47</v>
      </c>
      <c r="I2586" s="368"/>
      <c r="J2586" s="368"/>
      <c r="K2586" s="368"/>
      <c r="L2586" s="368"/>
      <c r="M2586" s="368"/>
      <c r="N2586" s="368"/>
      <c r="O2586" s="368"/>
      <c r="P2586" s="368"/>
      <c r="Q2586" s="368"/>
      <c r="R2586" s="368"/>
      <c r="S2586" s="368"/>
      <c r="T2586" s="368"/>
      <c r="U2586" s="368"/>
      <c r="V2586" s="368"/>
      <c r="W2586" s="368"/>
      <c r="X2586" s="368"/>
      <c r="Y2586" s="368"/>
      <c r="Z2586" s="368"/>
      <c r="AA2586" s="368"/>
      <c r="AB2586" s="368"/>
    </row>
    <row r="2587" spans="1:31" ht="12.75">
      <c r="A2587" s="445" t="s">
        <v>14479</v>
      </c>
      <c r="B2587" s="446" t="s">
        <v>14476</v>
      </c>
      <c r="C2587" s="447">
        <v>298</v>
      </c>
      <c r="D2587" s="296" t="str">
        <f>IFERROR(VLOOKUP($C2587,'24.08_ND'!$A:$D,2,0),)</f>
        <v>ANEL BORRACHA, DN 75 MM, PARA TUBO SERIE REFORCADA ESGOTO PREDIAL</v>
      </c>
      <c r="E2587" s="297" t="str">
        <f>IFERROR(VLOOKUP($C2587,'24.08_ND'!$A:$D,3,0),)</f>
        <v>UN</v>
      </c>
      <c r="F2587" s="298">
        <v>1</v>
      </c>
      <c r="G2587" s="299">
        <f>IFERROR(VLOOKUP($C2587,'24.08_ND'!$A:$D,4,0),)</f>
        <v>2.66</v>
      </c>
      <c r="H2587" s="449">
        <f t="shared" si="82"/>
        <v>2.66</v>
      </c>
      <c r="I2587" s="368"/>
      <c r="J2587" s="368"/>
      <c r="K2587" s="368"/>
      <c r="L2587" s="368"/>
      <c r="M2587" s="368"/>
      <c r="N2587" s="368"/>
      <c r="O2587" s="368"/>
      <c r="P2587" s="368"/>
      <c r="Q2587" s="368"/>
      <c r="R2587" s="368"/>
      <c r="S2587" s="368"/>
      <c r="T2587" s="368"/>
      <c r="U2587" s="368"/>
      <c r="V2587" s="368"/>
      <c r="W2587" s="368"/>
      <c r="X2587" s="368"/>
      <c r="Y2587" s="368"/>
      <c r="Z2587" s="368"/>
      <c r="AA2587" s="368"/>
      <c r="AB2587" s="368"/>
    </row>
    <row r="2588" spans="1:31" ht="25.5">
      <c r="A2588" s="445" t="s">
        <v>14479</v>
      </c>
      <c r="B2588" s="446" t="s">
        <v>14476</v>
      </c>
      <c r="C2588" s="447">
        <v>20078</v>
      </c>
      <c r="D2588" s="296" t="str">
        <f>IFERROR(VLOOKUP($C2588,'24.08_ND'!$A:$D,2,0),)</f>
        <v>PASTA LUBRIFICANTE PARA TUBOS E CONEXOES COM JUNTA ELASTICA, EMBALAGEM DE *400* GR (USO EM PVC, ACO, POLIETILENO E OUTROS)</v>
      </c>
      <c r="E2588" s="297" t="str">
        <f>IFERROR(VLOOKUP($C2588,'24.08_ND'!$A:$D,3,0),)</f>
        <v>UN</v>
      </c>
      <c r="F2588" s="298">
        <v>6.25E-2</v>
      </c>
      <c r="G2588" s="299">
        <f>IFERROR(VLOOKUP($C2588,'24.08_ND'!$A:$D,4,0),)</f>
        <v>28.92</v>
      </c>
      <c r="H2588" s="449">
        <f t="shared" si="82"/>
        <v>1.8</v>
      </c>
      <c r="I2588" s="368"/>
      <c r="J2588" s="368"/>
      <c r="K2588" s="368"/>
      <c r="L2588" s="368"/>
      <c r="M2588" s="368"/>
      <c r="N2588" s="368"/>
      <c r="O2588" s="368"/>
      <c r="P2588" s="368"/>
      <c r="Q2588" s="368"/>
      <c r="R2588" s="368"/>
      <c r="S2588" s="368"/>
      <c r="T2588" s="368"/>
      <c r="U2588" s="368"/>
      <c r="V2588" s="368"/>
      <c r="W2588" s="368"/>
      <c r="X2588" s="368"/>
      <c r="Y2588" s="368"/>
      <c r="Z2588" s="368"/>
      <c r="AA2588" s="368"/>
      <c r="AB2588" s="368"/>
    </row>
    <row r="2589" spans="1:31" ht="12.75">
      <c r="A2589" s="445" t="s">
        <v>14479</v>
      </c>
      <c r="B2589" s="446" t="s">
        <v>14476</v>
      </c>
      <c r="C2589" s="447">
        <v>20046</v>
      </c>
      <c r="D2589" s="296" t="str">
        <f>IFERROR(VLOOKUP($C2589,'24.08_ND'!$A:$D,2,0),)</f>
        <v>REDUCAO EXCENTRICA PVC, SERIE R, DN 100 X 75 MM, PARA ESGOTO PREDIAL</v>
      </c>
      <c r="E2589" s="297" t="str">
        <f>IFERROR(VLOOKUP($C2589,'24.08_ND'!$A:$D,3,0),)</f>
        <v>UN</v>
      </c>
      <c r="F2589" s="298">
        <v>1</v>
      </c>
      <c r="G2589" s="299">
        <f>IFERROR(VLOOKUP($C2589,'24.08_ND'!$A:$D,4,0),)</f>
        <v>15.6</v>
      </c>
      <c r="H2589" s="449">
        <f t="shared" si="82"/>
        <v>15.6</v>
      </c>
      <c r="I2589" s="368"/>
      <c r="J2589" s="368"/>
      <c r="K2589" s="368"/>
      <c r="L2589" s="368"/>
      <c r="M2589" s="368"/>
      <c r="N2589" s="368"/>
      <c r="O2589" s="368"/>
      <c r="P2589" s="368"/>
      <c r="Q2589" s="368"/>
      <c r="R2589" s="368"/>
      <c r="S2589" s="368"/>
      <c r="T2589" s="368"/>
      <c r="U2589" s="368"/>
      <c r="V2589" s="368"/>
      <c r="W2589" s="368"/>
      <c r="X2589" s="368"/>
      <c r="Y2589" s="368"/>
      <c r="Z2589" s="368"/>
      <c r="AA2589" s="368"/>
      <c r="AB2589" s="368"/>
    </row>
    <row r="2590" spans="1:31" ht="12.75">
      <c r="A2590" s="686"/>
      <c r="B2590" s="687"/>
      <c r="C2590" s="688"/>
      <c r="D2590" s="689"/>
      <c r="E2590" s="690"/>
      <c r="F2590" s="691"/>
      <c r="G2590" s="690"/>
      <c r="H2590" s="692"/>
      <c r="I2590" s="262"/>
      <c r="J2590" s="262"/>
      <c r="K2590" s="262"/>
      <c r="L2590" s="262"/>
      <c r="M2590" s="262"/>
      <c r="N2590" s="262"/>
      <c r="O2590" s="262"/>
      <c r="P2590" s="262"/>
      <c r="Q2590" s="262"/>
      <c r="R2590" s="262"/>
      <c r="S2590" s="262"/>
      <c r="T2590" s="262"/>
      <c r="U2590" s="262"/>
      <c r="V2590" s="262"/>
      <c r="W2590" s="262"/>
      <c r="X2590" s="262"/>
      <c r="Y2590" s="262"/>
      <c r="Z2590" s="262"/>
      <c r="AA2590" s="262"/>
      <c r="AB2590" s="262"/>
    </row>
    <row r="2591" spans="1:31" ht="25.5">
      <c r="A2591" s="358" t="s">
        <v>14471</v>
      </c>
      <c r="B2591" s="359" t="s">
        <v>14472</v>
      </c>
      <c r="C2591" s="360" t="s">
        <v>15382</v>
      </c>
      <c r="D2591" s="361" t="s">
        <v>15383</v>
      </c>
      <c r="E2591" s="359" t="s">
        <v>6</v>
      </c>
      <c r="F2591" s="362"/>
      <c r="G2591" s="362"/>
      <c r="H2591" s="363">
        <f>TRUNC(SUM(H2593:H2600),2)</f>
        <v>25.21</v>
      </c>
      <c r="I2591" s="276">
        <f>COUNTIF($C$8:$C2591,C:C)</f>
        <v>1</v>
      </c>
      <c r="J2591" s="262"/>
      <c r="K2591" s="262"/>
      <c r="L2591" s="262"/>
      <c r="M2591" s="262"/>
      <c r="N2591" s="262"/>
      <c r="O2591" s="262"/>
      <c r="P2591" s="262"/>
      <c r="Q2591" s="262"/>
      <c r="R2591" s="262"/>
      <c r="S2591" s="262"/>
      <c r="T2591" s="262"/>
      <c r="U2591" s="262"/>
      <c r="V2591" s="262"/>
      <c r="W2591" s="262"/>
      <c r="X2591" s="262"/>
      <c r="Y2591" s="262"/>
      <c r="Z2591" s="262"/>
      <c r="AA2591" s="262"/>
      <c r="AB2591" s="262"/>
    </row>
    <row r="2592" spans="1:31" ht="12.75">
      <c r="A2592" s="646" t="s">
        <v>14475</v>
      </c>
      <c r="B2592" s="694" t="s">
        <v>14476</v>
      </c>
      <c r="C2592" s="365">
        <v>89554</v>
      </c>
      <c r="D2592" s="490" t="s">
        <v>14587</v>
      </c>
      <c r="E2592" s="370"/>
      <c r="F2592" s="696"/>
      <c r="G2592" s="370"/>
      <c r="H2592" s="371"/>
      <c r="I2592" s="262"/>
      <c r="J2592" s="262"/>
      <c r="K2592" s="262"/>
      <c r="L2592" s="262"/>
      <c r="M2592" s="262"/>
      <c r="N2592" s="262"/>
      <c r="O2592" s="262"/>
      <c r="P2592" s="262"/>
      <c r="Q2592" s="262"/>
      <c r="R2592" s="262"/>
      <c r="S2592" s="262"/>
      <c r="T2592" s="262"/>
      <c r="U2592" s="262"/>
      <c r="V2592" s="262"/>
      <c r="W2592" s="262"/>
      <c r="X2592" s="262"/>
      <c r="Y2592" s="262"/>
      <c r="Z2592" s="262"/>
      <c r="AA2592" s="262"/>
      <c r="AB2592" s="262"/>
    </row>
    <row r="2593" spans="1:31" ht="25.5">
      <c r="A2593" s="586" t="s">
        <v>14478</v>
      </c>
      <c r="B2593" s="421" t="s">
        <v>14476</v>
      </c>
      <c r="C2593" s="422">
        <v>88248</v>
      </c>
      <c r="D2593" s="288" t="str">
        <f>IFERROR(VLOOKUP($C2593,'24.08_ND'!$A:$D,2,0),)</f>
        <v>AUXILIAR DE ENCANADOR OU BOMBEIRO HIDRÁULICO COM ENCARGOS COMPLEMENTARES</v>
      </c>
      <c r="E2593" s="289" t="str">
        <f>IFERROR(VLOOKUP($C2593,'24.08_ND'!$A:$D,3,0),)</f>
        <v>H</v>
      </c>
      <c r="F2593" s="697">
        <v>8.5800000000000001E-2</v>
      </c>
      <c r="G2593" s="291">
        <f>IFERROR(VLOOKUP($C2593,'24.08_ND'!$A:$D,4,0),)</f>
        <v>19.05</v>
      </c>
      <c r="H2593" s="423">
        <f t="shared" ref="H2593:H2600" si="83">TRUNC(($F2593*$G2593),2)</f>
        <v>1.63</v>
      </c>
      <c r="I2593" s="262"/>
      <c r="J2593" s="262"/>
      <c r="K2593" s="262"/>
      <c r="L2593" s="262"/>
      <c r="M2593" s="262"/>
      <c r="N2593" s="262"/>
      <c r="O2593" s="262"/>
      <c r="P2593" s="262"/>
      <c r="Q2593" s="262"/>
      <c r="R2593" s="262"/>
      <c r="S2593" s="262"/>
      <c r="T2593" s="262"/>
      <c r="U2593" s="262"/>
      <c r="V2593" s="262"/>
      <c r="W2593" s="262"/>
      <c r="X2593" s="262"/>
      <c r="Y2593" s="262"/>
      <c r="Z2593" s="262"/>
      <c r="AA2593" s="262"/>
      <c r="AB2593" s="262"/>
      <c r="AD2593" s="1791" t="e">
        <f>VLOOKUP(C2593,'Medição '!$B$16:$F$1833,6,0)</f>
        <v>#N/A</v>
      </c>
      <c r="AE2593" s="1791"/>
    </row>
    <row r="2594" spans="1:31" ht="25.5">
      <c r="A2594" s="586" t="s">
        <v>14478</v>
      </c>
      <c r="B2594" s="421" t="s">
        <v>14476</v>
      </c>
      <c r="C2594" s="422">
        <v>88267</v>
      </c>
      <c r="D2594" s="288" t="str">
        <f>IFERROR(VLOOKUP($C2594,'24.08_ND'!$A:$D,2,0),)</f>
        <v>ENCANADOR OU BOMBEIRO HIDRÁULICO COM ENCARGOS COMPLEMENTARES</v>
      </c>
      <c r="E2594" s="289" t="str">
        <f>IFERROR(VLOOKUP($C2594,'24.08_ND'!$A:$D,3,0),)</f>
        <v>H</v>
      </c>
      <c r="F2594" s="697">
        <v>8.5800000000000001E-2</v>
      </c>
      <c r="G2594" s="291">
        <f>IFERROR(VLOOKUP($C2594,'24.08_ND'!$A:$D,4,0),)</f>
        <v>23.27</v>
      </c>
      <c r="H2594" s="423">
        <f t="shared" si="83"/>
        <v>1.99</v>
      </c>
      <c r="I2594" s="262"/>
      <c r="J2594" s="262"/>
      <c r="K2594" s="262"/>
      <c r="L2594" s="262"/>
      <c r="M2594" s="262"/>
      <c r="N2594" s="262"/>
      <c r="O2594" s="262"/>
      <c r="P2594" s="262"/>
      <c r="Q2594" s="262"/>
      <c r="R2594" s="262"/>
      <c r="S2594" s="262"/>
      <c r="T2594" s="262"/>
      <c r="U2594" s="262"/>
      <c r="V2594" s="262"/>
      <c r="W2594" s="262"/>
      <c r="X2594" s="262"/>
      <c r="Y2594" s="262"/>
      <c r="Z2594" s="262"/>
      <c r="AA2594" s="262"/>
      <c r="AB2594" s="262"/>
      <c r="AD2594" s="1791" t="e">
        <f>VLOOKUP(C2594,'Medição '!$B$16:$F$1833,6,0)</f>
        <v>#N/A</v>
      </c>
      <c r="AE2594" s="1791"/>
    </row>
    <row r="2595" spans="1:31" ht="12.75">
      <c r="A2595" s="445" t="s">
        <v>14479</v>
      </c>
      <c r="B2595" s="446" t="s">
        <v>14476</v>
      </c>
      <c r="C2595" s="447">
        <v>122</v>
      </c>
      <c r="D2595" s="296" t="str">
        <f>IFERROR(VLOOKUP($C2595,'24.08_ND'!$A:$D,2,0),)</f>
        <v>ADESIVO PLASTICO PARA PVC, FRASCO COM *850* GR</v>
      </c>
      <c r="E2595" s="297" t="str">
        <f>IFERROR(VLOOKUP($C2595,'24.08_ND'!$A:$D,3,0),)</f>
        <v>UN</v>
      </c>
      <c r="F2595" s="840">
        <v>2.4500000000000001E-2</v>
      </c>
      <c r="G2595" s="299">
        <f>IFERROR(VLOOKUP($C2595,'24.08_ND'!$A:$D,4,0),)</f>
        <v>70.09</v>
      </c>
      <c r="H2595" s="449">
        <f t="shared" si="83"/>
        <v>1.71</v>
      </c>
      <c r="I2595" s="262"/>
      <c r="J2595" s="262"/>
      <c r="K2595" s="262"/>
      <c r="L2595" s="262"/>
      <c r="M2595" s="262"/>
      <c r="N2595" s="262"/>
      <c r="O2595" s="262"/>
      <c r="P2595" s="262"/>
      <c r="Q2595" s="262"/>
      <c r="R2595" s="262"/>
      <c r="S2595" s="262"/>
      <c r="T2595" s="262"/>
      <c r="U2595" s="262"/>
      <c r="V2595" s="262"/>
      <c r="W2595" s="262"/>
      <c r="X2595" s="262"/>
      <c r="Y2595" s="262"/>
      <c r="Z2595" s="262"/>
      <c r="AA2595" s="262"/>
      <c r="AB2595" s="262"/>
    </row>
    <row r="2596" spans="1:31" ht="12.75">
      <c r="A2596" s="445" t="s">
        <v>14479</v>
      </c>
      <c r="B2596" s="446" t="s">
        <v>14476</v>
      </c>
      <c r="C2596" s="447">
        <v>299</v>
      </c>
      <c r="D2596" s="296" t="str">
        <f>IFERROR(VLOOKUP($C2596,'24.08_ND'!$A:$D,2,0),)</f>
        <v>ANEL BORRACHA, DN 100 MM, PARA TUBO SERIE REFORCADA ESGOTO PREDIAL</v>
      </c>
      <c r="E2596" s="297" t="str">
        <f>IFERROR(VLOOKUP($C2596,'24.08_ND'!$A:$D,3,0),)</f>
        <v>UN</v>
      </c>
      <c r="F2596" s="840">
        <v>1</v>
      </c>
      <c r="G2596" s="299">
        <f>IFERROR(VLOOKUP($C2596,'24.08_ND'!$A:$D,4,0),)</f>
        <v>3.47</v>
      </c>
      <c r="H2596" s="449">
        <f t="shared" si="83"/>
        <v>3.47</v>
      </c>
      <c r="I2596" s="262"/>
      <c r="J2596" s="262"/>
      <c r="K2596" s="262"/>
      <c r="L2596" s="262"/>
      <c r="M2596" s="262"/>
      <c r="N2596" s="262"/>
      <c r="O2596" s="262"/>
      <c r="P2596" s="262"/>
      <c r="Q2596" s="262"/>
      <c r="R2596" s="262"/>
      <c r="S2596" s="262"/>
      <c r="T2596" s="262"/>
      <c r="U2596" s="262"/>
      <c r="V2596" s="262"/>
      <c r="W2596" s="262"/>
      <c r="X2596" s="262"/>
      <c r="Y2596" s="262"/>
      <c r="Z2596" s="262"/>
      <c r="AA2596" s="262"/>
      <c r="AB2596" s="262"/>
    </row>
    <row r="2597" spans="1:31" ht="12.75">
      <c r="A2597" s="445" t="s">
        <v>14479</v>
      </c>
      <c r="B2597" s="446" t="s">
        <v>14476</v>
      </c>
      <c r="C2597" s="447">
        <v>38383</v>
      </c>
      <c r="D2597" s="296" t="str">
        <f>IFERROR(VLOOKUP($C2597,'24.08_ND'!$A:$D,2,0),)</f>
        <v>LIXA D'AGUA EM FOLHA, GRAO 100</v>
      </c>
      <c r="E2597" s="297" t="str">
        <f>IFERROR(VLOOKUP($C2597,'24.08_ND'!$A:$D,3,0),)</f>
        <v>UN</v>
      </c>
      <c r="F2597" s="840">
        <v>3.5999999999999997E-2</v>
      </c>
      <c r="G2597" s="299">
        <f>IFERROR(VLOOKUP($C2597,'24.08_ND'!$A:$D,4,0),)</f>
        <v>2.5</v>
      </c>
      <c r="H2597" s="449">
        <f t="shared" si="83"/>
        <v>0.09</v>
      </c>
      <c r="I2597" s="262"/>
      <c r="J2597" s="262"/>
      <c r="K2597" s="262"/>
      <c r="L2597" s="262"/>
      <c r="M2597" s="262"/>
      <c r="N2597" s="262"/>
      <c r="O2597" s="262"/>
      <c r="P2597" s="262"/>
      <c r="Q2597" s="262"/>
      <c r="R2597" s="262"/>
      <c r="S2597" s="262"/>
      <c r="T2597" s="262"/>
      <c r="U2597" s="262"/>
      <c r="V2597" s="262"/>
      <c r="W2597" s="262"/>
      <c r="X2597" s="262"/>
      <c r="Y2597" s="262"/>
      <c r="Z2597" s="262"/>
      <c r="AA2597" s="262"/>
      <c r="AB2597" s="262"/>
    </row>
    <row r="2598" spans="1:31" ht="12.75">
      <c r="A2598" s="445" t="s">
        <v>14479</v>
      </c>
      <c r="B2598" s="446" t="s">
        <v>14476</v>
      </c>
      <c r="C2598" s="447">
        <v>20170</v>
      </c>
      <c r="D2598" s="296" t="str">
        <f>IFERROR(VLOOKUP($C2598,'24.08_ND'!$A:$D,2,0),)</f>
        <v>LUVA SIMPLES, PVC SERIE R, 100 MM, PARA ESGOTO PREDIAL</v>
      </c>
      <c r="E2598" s="297" t="str">
        <f>IFERROR(VLOOKUP($C2598,'24.08_ND'!$A:$D,3,0),)</f>
        <v>UN</v>
      </c>
      <c r="F2598" s="840">
        <v>1</v>
      </c>
      <c r="G2598" s="299">
        <f>IFERROR(VLOOKUP($C2598,'24.08_ND'!$A:$D,4,0),)</f>
        <v>11.49</v>
      </c>
      <c r="H2598" s="449">
        <f t="shared" si="83"/>
        <v>11.49</v>
      </c>
      <c r="I2598" s="262"/>
      <c r="J2598" s="262"/>
      <c r="K2598" s="262"/>
      <c r="L2598" s="262"/>
      <c r="M2598" s="262"/>
      <c r="N2598" s="262"/>
      <c r="O2598" s="262"/>
      <c r="P2598" s="262"/>
      <c r="Q2598" s="262"/>
      <c r="R2598" s="262"/>
      <c r="S2598" s="262"/>
      <c r="T2598" s="262"/>
      <c r="U2598" s="262"/>
      <c r="V2598" s="262"/>
      <c r="W2598" s="262"/>
      <c r="X2598" s="262"/>
      <c r="Y2598" s="262"/>
      <c r="Z2598" s="262"/>
      <c r="AA2598" s="262"/>
      <c r="AB2598" s="262"/>
    </row>
    <row r="2599" spans="1:31" ht="25.5">
      <c r="A2599" s="445" t="s">
        <v>14479</v>
      </c>
      <c r="B2599" s="446" t="s">
        <v>14476</v>
      </c>
      <c r="C2599" s="447">
        <v>20078</v>
      </c>
      <c r="D2599" s="296" t="str">
        <f>IFERROR(VLOOKUP($C2599,'24.08_ND'!$A:$D,2,0),)</f>
        <v>PASTA LUBRIFICANTE PARA TUBOS E CONEXOES COM JUNTA ELASTICA, EMBALAGEM DE *400* GR (USO EM PVC, ACO, POLIETILENO E OUTROS)</v>
      </c>
      <c r="E2599" s="297" t="str">
        <f>IFERROR(VLOOKUP($C2599,'24.08_ND'!$A:$D,3,0),)</f>
        <v>UN</v>
      </c>
      <c r="F2599" s="840">
        <v>5.7500000000000002E-2</v>
      </c>
      <c r="G2599" s="299">
        <f>IFERROR(VLOOKUP($C2599,'24.08_ND'!$A:$D,4,0),)</f>
        <v>28.92</v>
      </c>
      <c r="H2599" s="449">
        <f t="shared" si="83"/>
        <v>1.66</v>
      </c>
      <c r="I2599" s="262"/>
      <c r="J2599" s="262"/>
      <c r="K2599" s="262"/>
      <c r="L2599" s="262"/>
      <c r="M2599" s="262"/>
      <c r="N2599" s="262"/>
      <c r="O2599" s="262"/>
      <c r="P2599" s="262"/>
      <c r="Q2599" s="262"/>
      <c r="R2599" s="262"/>
      <c r="S2599" s="262"/>
      <c r="T2599" s="262"/>
      <c r="U2599" s="262"/>
      <c r="V2599" s="262"/>
      <c r="W2599" s="262"/>
      <c r="X2599" s="262"/>
      <c r="Y2599" s="262"/>
      <c r="Z2599" s="262"/>
      <c r="AA2599" s="262"/>
      <c r="AB2599" s="262"/>
    </row>
    <row r="2600" spans="1:31" ht="12.75">
      <c r="A2600" s="445" t="s">
        <v>14479</v>
      </c>
      <c r="B2600" s="446" t="s">
        <v>14476</v>
      </c>
      <c r="C2600" s="447">
        <v>20083</v>
      </c>
      <c r="D2600" s="296" t="str">
        <f>IFERROR(VLOOKUP($C2600,'24.08_ND'!$A:$D,2,0),)</f>
        <v>SOLUCAO PREPARADORA / LIMPADORA PARA PVC, FRASCO COM 1000 CM3</v>
      </c>
      <c r="E2600" s="297" t="str">
        <f>IFERROR(VLOOKUP($C2600,'24.08_ND'!$A:$D,3,0),)</f>
        <v>UN</v>
      </c>
      <c r="F2600" s="840">
        <v>0.04</v>
      </c>
      <c r="G2600" s="299">
        <f>IFERROR(VLOOKUP($C2600,'24.08_ND'!$A:$D,4,0),)</f>
        <v>79.41</v>
      </c>
      <c r="H2600" s="449">
        <f t="shared" si="83"/>
        <v>3.17</v>
      </c>
      <c r="I2600" s="262"/>
      <c r="J2600" s="262"/>
      <c r="K2600" s="262"/>
      <c r="L2600" s="262"/>
      <c r="M2600" s="262"/>
      <c r="N2600" s="262"/>
      <c r="O2600" s="262"/>
      <c r="P2600" s="262"/>
      <c r="Q2600" s="262"/>
      <c r="R2600" s="262"/>
      <c r="S2600" s="262"/>
      <c r="T2600" s="262"/>
      <c r="U2600" s="262"/>
      <c r="V2600" s="262"/>
      <c r="W2600" s="262"/>
      <c r="X2600" s="262"/>
      <c r="Y2600" s="262"/>
      <c r="Z2600" s="262"/>
      <c r="AA2600" s="262"/>
      <c r="AB2600" s="262"/>
    </row>
    <row r="2601" spans="1:31" ht="12.75">
      <c r="A2601" s="686"/>
      <c r="B2601" s="687"/>
      <c r="C2601" s="688"/>
      <c r="D2601" s="689"/>
      <c r="E2601" s="690"/>
      <c r="F2601" s="691"/>
      <c r="G2601" s="690"/>
      <c r="H2601" s="692"/>
      <c r="I2601" s="262"/>
      <c r="J2601" s="262"/>
      <c r="K2601" s="262"/>
      <c r="L2601" s="262"/>
      <c r="M2601" s="262"/>
      <c r="N2601" s="262"/>
      <c r="O2601" s="262"/>
      <c r="P2601" s="262"/>
      <c r="Q2601" s="262"/>
      <c r="R2601" s="262"/>
      <c r="S2601" s="262"/>
      <c r="T2601" s="262"/>
      <c r="U2601" s="262"/>
      <c r="V2601" s="262"/>
      <c r="W2601" s="262"/>
      <c r="X2601" s="262"/>
      <c r="Y2601" s="262"/>
      <c r="Z2601" s="262"/>
      <c r="AA2601" s="262"/>
      <c r="AB2601" s="262"/>
    </row>
    <row r="2602" spans="1:31" ht="25.5">
      <c r="A2602" s="358" t="s">
        <v>14471</v>
      </c>
      <c r="B2602" s="359" t="s">
        <v>14472</v>
      </c>
      <c r="C2602" s="360" t="s">
        <v>15384</v>
      </c>
      <c r="D2602" s="361" t="s">
        <v>15385</v>
      </c>
      <c r="E2602" s="359" t="s">
        <v>50</v>
      </c>
      <c r="F2602" s="362"/>
      <c r="G2602" s="362"/>
      <c r="H2602" s="363">
        <f>TRUNC(SUM(H2604:H2607),2)</f>
        <v>41.67</v>
      </c>
      <c r="I2602" s="276">
        <f>COUNTIF($C$8:$C2602,C:C)</f>
        <v>1</v>
      </c>
      <c r="J2602" s="368"/>
      <c r="K2602" s="368"/>
      <c r="L2602" s="368"/>
      <c r="M2602" s="368"/>
      <c r="N2602" s="368"/>
      <c r="O2602" s="368"/>
      <c r="P2602" s="368"/>
      <c r="Q2602" s="368"/>
      <c r="R2602" s="368"/>
      <c r="S2602" s="368"/>
      <c r="T2602" s="368"/>
      <c r="U2602" s="368"/>
      <c r="V2602" s="368"/>
      <c r="W2602" s="368"/>
      <c r="X2602" s="368"/>
      <c r="Y2602" s="368"/>
      <c r="Z2602" s="368"/>
      <c r="AA2602" s="368"/>
      <c r="AB2602" s="368"/>
    </row>
    <row r="2603" spans="1:31" ht="12.75">
      <c r="A2603" s="646" t="s">
        <v>14475</v>
      </c>
      <c r="B2603" s="694" t="s">
        <v>14476</v>
      </c>
      <c r="C2603" s="365">
        <v>89512</v>
      </c>
      <c r="D2603" s="490" t="s">
        <v>14587</v>
      </c>
      <c r="E2603" s="370"/>
      <c r="F2603" s="696"/>
      <c r="G2603" s="370"/>
      <c r="H2603" s="371"/>
      <c r="I2603" s="368"/>
      <c r="J2603" s="368"/>
      <c r="K2603" s="368"/>
      <c r="L2603" s="368"/>
      <c r="M2603" s="368"/>
      <c r="N2603" s="368"/>
      <c r="O2603" s="368"/>
      <c r="P2603" s="368"/>
      <c r="Q2603" s="368"/>
      <c r="R2603" s="368"/>
      <c r="S2603" s="368"/>
      <c r="T2603" s="368"/>
      <c r="U2603" s="368"/>
      <c r="V2603" s="368"/>
      <c r="W2603" s="368"/>
      <c r="X2603" s="368"/>
      <c r="Y2603" s="368"/>
      <c r="Z2603" s="368"/>
      <c r="AA2603" s="368"/>
      <c r="AB2603" s="368"/>
    </row>
    <row r="2604" spans="1:31" ht="25.5">
      <c r="A2604" s="586" t="s">
        <v>14478</v>
      </c>
      <c r="B2604" s="421" t="s">
        <v>14476</v>
      </c>
      <c r="C2604" s="422">
        <v>88248</v>
      </c>
      <c r="D2604" s="288" t="str">
        <f>IFERROR(VLOOKUP($C2604,'24.08_ND'!$A:$D,2,0),)</f>
        <v>AUXILIAR DE ENCANADOR OU BOMBEIRO HIDRÁULICO COM ENCARGOS COMPLEMENTARES</v>
      </c>
      <c r="E2604" s="289" t="str">
        <f>IFERROR(VLOOKUP($C2604,'24.08_ND'!$A:$D,3,0),)</f>
        <v>H</v>
      </c>
      <c r="F2604" s="697">
        <v>0.40239999999999998</v>
      </c>
      <c r="G2604" s="291">
        <f>IFERROR(VLOOKUP($C2604,'24.08_ND'!$A:$D,4,0),)</f>
        <v>19.05</v>
      </c>
      <c r="H2604" s="423">
        <f>TRUNC(($F2604*$G2604),2)</f>
        <v>7.66</v>
      </c>
      <c r="I2604" s="368"/>
      <c r="J2604" s="368"/>
      <c r="K2604" s="368"/>
      <c r="L2604" s="368"/>
      <c r="M2604" s="368"/>
      <c r="N2604" s="368"/>
      <c r="O2604" s="368"/>
      <c r="P2604" s="368"/>
      <c r="Q2604" s="368"/>
      <c r="R2604" s="368"/>
      <c r="S2604" s="368"/>
      <c r="T2604" s="368"/>
      <c r="U2604" s="368"/>
      <c r="V2604" s="368"/>
      <c r="W2604" s="368"/>
      <c r="X2604" s="368"/>
      <c r="Y2604" s="368"/>
      <c r="Z2604" s="368"/>
      <c r="AA2604" s="368"/>
      <c r="AB2604" s="368"/>
      <c r="AD2604" s="1791" t="e">
        <f>VLOOKUP(C2604,'Medição '!$B$16:$F$1833,6,0)</f>
        <v>#N/A</v>
      </c>
      <c r="AE2604" s="1791"/>
    </row>
    <row r="2605" spans="1:31" ht="25.5">
      <c r="A2605" s="586" t="s">
        <v>14478</v>
      </c>
      <c r="B2605" s="421" t="s">
        <v>14476</v>
      </c>
      <c r="C2605" s="422">
        <v>88267</v>
      </c>
      <c r="D2605" s="288" t="str">
        <f>IFERROR(VLOOKUP($C2605,'24.08_ND'!$A:$D,2,0),)</f>
        <v>ENCANADOR OU BOMBEIRO HIDRÁULICO COM ENCARGOS COMPLEMENTARES</v>
      </c>
      <c r="E2605" s="289" t="str">
        <f>IFERROR(VLOOKUP($C2605,'24.08_ND'!$A:$D,3,0),)</f>
        <v>H</v>
      </c>
      <c r="F2605" s="697">
        <v>0.40239999999999998</v>
      </c>
      <c r="G2605" s="291">
        <f>IFERROR(VLOOKUP($C2605,'24.08_ND'!$A:$D,4,0),)</f>
        <v>23.27</v>
      </c>
      <c r="H2605" s="423">
        <f>TRUNC(($F2605*$G2605),2)</f>
        <v>9.36</v>
      </c>
      <c r="I2605" s="368"/>
      <c r="J2605" s="368"/>
      <c r="K2605" s="368"/>
      <c r="L2605" s="368"/>
      <c r="M2605" s="368"/>
      <c r="N2605" s="368"/>
      <c r="O2605" s="368"/>
      <c r="P2605" s="368"/>
      <c r="Q2605" s="368"/>
      <c r="R2605" s="368"/>
      <c r="S2605" s="368"/>
      <c r="T2605" s="368"/>
      <c r="U2605" s="368"/>
      <c r="V2605" s="368"/>
      <c r="W2605" s="368"/>
      <c r="X2605" s="368"/>
      <c r="Y2605" s="368"/>
      <c r="Z2605" s="368"/>
      <c r="AA2605" s="368"/>
      <c r="AB2605" s="368"/>
      <c r="AD2605" s="1791" t="e">
        <f>VLOOKUP(C2605,'Medição '!$B$16:$F$1833,6,0)</f>
        <v>#N/A</v>
      </c>
      <c r="AE2605" s="1791"/>
    </row>
    <row r="2606" spans="1:31" ht="12.75">
      <c r="A2606" s="445" t="s">
        <v>14479</v>
      </c>
      <c r="B2606" s="446" t="s">
        <v>14476</v>
      </c>
      <c r="C2606" s="447">
        <v>38383</v>
      </c>
      <c r="D2606" s="296" t="str">
        <f>IFERROR(VLOOKUP($C2606,'24.08_ND'!$A:$D,2,0),)</f>
        <v>LIXA D'AGUA EM FOLHA, GRAO 100</v>
      </c>
      <c r="E2606" s="297" t="str">
        <f>IFERROR(VLOOKUP($C2606,'24.08_ND'!$A:$D,3,0),)</f>
        <v>UN</v>
      </c>
      <c r="F2606" s="840">
        <v>2.24E-2</v>
      </c>
      <c r="G2606" s="299">
        <f>IFERROR(VLOOKUP($C2606,'24.08_ND'!$A:$D,4,0),)</f>
        <v>2.5</v>
      </c>
      <c r="H2606" s="449">
        <f>TRUNC(($F2606*$G2606),2)</f>
        <v>0.05</v>
      </c>
      <c r="I2606" s="368"/>
      <c r="J2606" s="368"/>
      <c r="K2606" s="368"/>
      <c r="L2606" s="368"/>
      <c r="M2606" s="368"/>
      <c r="N2606" s="368"/>
      <c r="O2606" s="368"/>
      <c r="P2606" s="368"/>
      <c r="Q2606" s="368"/>
      <c r="R2606" s="368"/>
      <c r="S2606" s="368"/>
      <c r="T2606" s="368"/>
      <c r="U2606" s="368"/>
      <c r="V2606" s="368"/>
      <c r="W2606" s="368"/>
      <c r="X2606" s="368"/>
      <c r="Y2606" s="368"/>
      <c r="Z2606" s="368"/>
      <c r="AA2606" s="368"/>
      <c r="AB2606" s="368"/>
    </row>
    <row r="2607" spans="1:31" ht="12.75">
      <c r="A2607" s="445" t="s">
        <v>14479</v>
      </c>
      <c r="B2607" s="446" t="s">
        <v>14476</v>
      </c>
      <c r="C2607" s="447">
        <v>9841</v>
      </c>
      <c r="D2607" s="296" t="str">
        <f>IFERROR(VLOOKUP($C2607,'24.08_ND'!$A:$D,2,0),)</f>
        <v>TUBO PVC, SERIE R, DN 100 MM, PARA ESGOTO OU AGUAS PLUVIAIS PREDIAL (NBR 5688)</v>
      </c>
      <c r="E2607" s="297" t="str">
        <f>IFERROR(VLOOKUP($C2607,'24.08_ND'!$A:$D,3,0),)</f>
        <v>M</v>
      </c>
      <c r="F2607" s="840">
        <v>1.0353000000000001</v>
      </c>
      <c r="G2607" s="299">
        <f>IFERROR(VLOOKUP($C2607,'24.08_ND'!$A:$D,4,0),)</f>
        <v>23.77</v>
      </c>
      <c r="H2607" s="449">
        <f>TRUNC(($F2607*$G2607),2)</f>
        <v>24.6</v>
      </c>
      <c r="I2607" s="368"/>
      <c r="J2607" s="368"/>
      <c r="K2607" s="368"/>
      <c r="L2607" s="368"/>
      <c r="M2607" s="368"/>
      <c r="N2607" s="368"/>
      <c r="O2607" s="368"/>
      <c r="P2607" s="368"/>
      <c r="Q2607" s="368"/>
      <c r="R2607" s="368"/>
      <c r="S2607" s="368"/>
      <c r="T2607" s="368"/>
      <c r="U2607" s="368"/>
      <c r="V2607" s="368"/>
      <c r="W2607" s="368"/>
      <c r="X2607" s="368"/>
      <c r="Y2607" s="368"/>
      <c r="Z2607" s="368"/>
      <c r="AA2607" s="368"/>
      <c r="AB2607" s="368"/>
    </row>
    <row r="2608" spans="1:31" ht="12.75">
      <c r="A2608" s="686"/>
      <c r="B2608" s="687"/>
      <c r="C2608" s="688"/>
      <c r="D2608" s="689"/>
      <c r="E2608" s="690"/>
      <c r="F2608" s="691"/>
      <c r="G2608" s="690"/>
      <c r="H2608" s="692"/>
      <c r="I2608" s="262"/>
      <c r="J2608" s="262"/>
      <c r="K2608" s="262"/>
      <c r="L2608" s="262"/>
      <c r="M2608" s="262"/>
      <c r="N2608" s="262"/>
      <c r="O2608" s="262"/>
      <c r="P2608" s="262"/>
      <c r="Q2608" s="262"/>
      <c r="R2608" s="262"/>
      <c r="S2608" s="262"/>
      <c r="T2608" s="262"/>
      <c r="U2608" s="262"/>
      <c r="V2608" s="262"/>
      <c r="W2608" s="262"/>
      <c r="X2608" s="262"/>
      <c r="Y2608" s="262"/>
      <c r="Z2608" s="262"/>
      <c r="AA2608" s="262"/>
      <c r="AB2608" s="262"/>
    </row>
    <row r="2609" spans="1:31" ht="25.5">
      <c r="A2609" s="358" t="s">
        <v>14471</v>
      </c>
      <c r="B2609" s="359" t="s">
        <v>14472</v>
      </c>
      <c r="C2609" s="360" t="s">
        <v>15386</v>
      </c>
      <c r="D2609" s="361" t="s">
        <v>15387</v>
      </c>
      <c r="E2609" s="359" t="s">
        <v>50</v>
      </c>
      <c r="F2609" s="362"/>
      <c r="G2609" s="362"/>
      <c r="H2609" s="363">
        <f>TRUNC(SUM(H2611:H2614),2)</f>
        <v>19.27</v>
      </c>
      <c r="I2609" s="276">
        <f>COUNTIF($C$8:$C2609,C:C)</f>
        <v>1</v>
      </c>
      <c r="J2609" s="262"/>
      <c r="K2609" s="262"/>
      <c r="L2609" s="262"/>
      <c r="M2609" s="262"/>
      <c r="N2609" s="262"/>
      <c r="O2609" s="262"/>
      <c r="P2609" s="262"/>
      <c r="Q2609" s="262"/>
      <c r="R2609" s="262"/>
      <c r="S2609" s="262"/>
      <c r="T2609" s="262"/>
      <c r="U2609" s="262"/>
      <c r="V2609" s="262"/>
      <c r="W2609" s="262"/>
      <c r="X2609" s="262"/>
      <c r="Y2609" s="262"/>
      <c r="Z2609" s="262"/>
      <c r="AA2609" s="262"/>
      <c r="AB2609" s="262"/>
    </row>
    <row r="2610" spans="1:31" ht="12.75">
      <c r="A2610" s="646" t="s">
        <v>14475</v>
      </c>
      <c r="B2610" s="694" t="s">
        <v>14476</v>
      </c>
      <c r="C2610" s="365">
        <v>89509</v>
      </c>
      <c r="D2610" s="490" t="s">
        <v>14587</v>
      </c>
      <c r="E2610" s="370"/>
      <c r="F2610" s="696"/>
      <c r="G2610" s="370"/>
      <c r="H2610" s="371"/>
      <c r="I2610" s="262"/>
      <c r="J2610" s="262"/>
      <c r="K2610" s="262"/>
      <c r="L2610" s="262"/>
      <c r="M2610" s="262"/>
      <c r="N2610" s="262"/>
      <c r="O2610" s="262"/>
      <c r="P2610" s="262"/>
      <c r="Q2610" s="262"/>
      <c r="R2610" s="262"/>
      <c r="S2610" s="262"/>
      <c r="T2610" s="262"/>
      <c r="U2610" s="262"/>
      <c r="V2610" s="262"/>
      <c r="W2610" s="262"/>
      <c r="X2610" s="262"/>
      <c r="Y2610" s="262"/>
      <c r="Z2610" s="262"/>
      <c r="AA2610" s="262"/>
      <c r="AB2610" s="262"/>
    </row>
    <row r="2611" spans="1:31" ht="25.5">
      <c r="A2611" s="586" t="s">
        <v>14478</v>
      </c>
      <c r="B2611" s="421" t="s">
        <v>14476</v>
      </c>
      <c r="C2611" s="422">
        <v>88248</v>
      </c>
      <c r="D2611" s="288" t="str">
        <f>IFERROR(VLOOKUP($C2611,'24.08_ND'!$A:$D,2,0),)</f>
        <v>AUXILIAR DE ENCANADOR OU BOMBEIRO HIDRÁULICO COM ENCARGOS COMPLEMENTARES</v>
      </c>
      <c r="E2611" s="289" t="str">
        <f>IFERROR(VLOOKUP($C2611,'24.08_ND'!$A:$D,3,0),)</f>
        <v>H</v>
      </c>
      <c r="F2611" s="697">
        <v>0.18970000000000001</v>
      </c>
      <c r="G2611" s="291">
        <f>IFERROR(VLOOKUP($C2611,'24.08_ND'!$A:$D,4,0),)</f>
        <v>19.05</v>
      </c>
      <c r="H2611" s="423">
        <f>TRUNC(($F2611*$G2611),2)</f>
        <v>3.61</v>
      </c>
      <c r="I2611" s="262"/>
      <c r="J2611" s="262"/>
      <c r="K2611" s="262"/>
      <c r="L2611" s="262"/>
      <c r="M2611" s="262"/>
      <c r="N2611" s="262"/>
      <c r="O2611" s="262"/>
      <c r="P2611" s="262"/>
      <c r="Q2611" s="262"/>
      <c r="R2611" s="262"/>
      <c r="S2611" s="262"/>
      <c r="T2611" s="262"/>
      <c r="U2611" s="262"/>
      <c r="V2611" s="262"/>
      <c r="W2611" s="262"/>
      <c r="X2611" s="262"/>
      <c r="Y2611" s="262"/>
      <c r="Z2611" s="262"/>
      <c r="AA2611" s="262"/>
      <c r="AB2611" s="262"/>
      <c r="AD2611" s="1791" t="e">
        <f>VLOOKUP(C2611,'Medição '!$B$16:$F$1833,6,0)</f>
        <v>#N/A</v>
      </c>
      <c r="AE2611" s="1791"/>
    </row>
    <row r="2612" spans="1:31" ht="25.5">
      <c r="A2612" s="586" t="s">
        <v>14478</v>
      </c>
      <c r="B2612" s="421" t="s">
        <v>14476</v>
      </c>
      <c r="C2612" s="422">
        <v>88267</v>
      </c>
      <c r="D2612" s="288" t="str">
        <f>IFERROR(VLOOKUP($C2612,'24.08_ND'!$A:$D,2,0),)</f>
        <v>ENCANADOR OU BOMBEIRO HIDRÁULICO COM ENCARGOS COMPLEMENTARES</v>
      </c>
      <c r="E2612" s="289" t="str">
        <f>IFERROR(VLOOKUP($C2612,'24.08_ND'!$A:$D,3,0),)</f>
        <v>H</v>
      </c>
      <c r="F2612" s="697">
        <v>0.18970000000000001</v>
      </c>
      <c r="G2612" s="291">
        <f>IFERROR(VLOOKUP($C2612,'24.08_ND'!$A:$D,4,0),)</f>
        <v>23.27</v>
      </c>
      <c r="H2612" s="423">
        <f>TRUNC(($F2612*$G2612),2)</f>
        <v>4.41</v>
      </c>
      <c r="I2612" s="262"/>
      <c r="J2612" s="262"/>
      <c r="K2612" s="262"/>
      <c r="L2612" s="262"/>
      <c r="M2612" s="262"/>
      <c r="N2612" s="262"/>
      <c r="O2612" s="262"/>
      <c r="P2612" s="262"/>
      <c r="Q2612" s="262"/>
      <c r="R2612" s="262"/>
      <c r="S2612" s="262"/>
      <c r="T2612" s="262"/>
      <c r="U2612" s="262"/>
      <c r="V2612" s="262"/>
      <c r="W2612" s="262"/>
      <c r="X2612" s="262"/>
      <c r="Y2612" s="262"/>
      <c r="Z2612" s="262"/>
      <c r="AA2612" s="262"/>
      <c r="AB2612" s="262"/>
      <c r="AD2612" s="1791" t="e">
        <f>VLOOKUP(C2612,'Medição '!$B$16:$F$1833,6,0)</f>
        <v>#N/A</v>
      </c>
      <c r="AE2612" s="1791"/>
    </row>
    <row r="2613" spans="1:31" ht="12.75">
      <c r="A2613" s="445" t="s">
        <v>14479</v>
      </c>
      <c r="B2613" s="446" t="s">
        <v>14476</v>
      </c>
      <c r="C2613" s="447">
        <v>38383</v>
      </c>
      <c r="D2613" s="296" t="str">
        <f>IFERROR(VLOOKUP($C2613,'24.08_ND'!$A:$D,2,0),)</f>
        <v>LIXA D'AGUA EM FOLHA, GRAO 100</v>
      </c>
      <c r="E2613" s="297" t="str">
        <f>IFERROR(VLOOKUP($C2613,'24.08_ND'!$A:$D,3,0),)</f>
        <v>UN</v>
      </c>
      <c r="F2613" s="840">
        <v>1.0500000000000001E-2</v>
      </c>
      <c r="G2613" s="299">
        <f>IFERROR(VLOOKUP($C2613,'24.08_ND'!$A:$D,4,0),)</f>
        <v>2.5</v>
      </c>
      <c r="H2613" s="449">
        <f>TRUNC(($F2613*$G2613),2)</f>
        <v>0.02</v>
      </c>
      <c r="I2613" s="262"/>
      <c r="J2613" s="262"/>
      <c r="K2613" s="262"/>
      <c r="L2613" s="262"/>
      <c r="M2613" s="262"/>
      <c r="N2613" s="262"/>
      <c r="O2613" s="262"/>
      <c r="P2613" s="262"/>
      <c r="Q2613" s="262"/>
      <c r="R2613" s="262"/>
      <c r="S2613" s="262"/>
      <c r="T2613" s="262"/>
      <c r="U2613" s="262"/>
      <c r="V2613" s="262"/>
      <c r="W2613" s="262"/>
      <c r="X2613" s="262"/>
      <c r="Y2613" s="262"/>
      <c r="Z2613" s="262"/>
      <c r="AA2613" s="262"/>
      <c r="AB2613" s="262"/>
    </row>
    <row r="2614" spans="1:31" ht="12.75">
      <c r="A2614" s="445" t="s">
        <v>14479</v>
      </c>
      <c r="B2614" s="446" t="s">
        <v>14476</v>
      </c>
      <c r="C2614" s="447">
        <v>20068</v>
      </c>
      <c r="D2614" s="296" t="str">
        <f>IFERROR(VLOOKUP($C2614,'24.08_ND'!$A:$D,2,0),)</f>
        <v>TUBO PVC, SERIE R, DN 50 MM, PARA ESGOTO OU AGUAS PLUVIAIS PREDIAL (NBR 5688)</v>
      </c>
      <c r="E2614" s="297" t="str">
        <f>IFERROR(VLOOKUP($C2614,'24.08_ND'!$A:$D,3,0),)</f>
        <v>M</v>
      </c>
      <c r="F2614" s="840">
        <v>1.0353000000000001</v>
      </c>
      <c r="G2614" s="299">
        <f>IFERROR(VLOOKUP($C2614,'24.08_ND'!$A:$D,4,0),)</f>
        <v>10.85</v>
      </c>
      <c r="H2614" s="449">
        <f>TRUNC(($F2614*$G2614),2)</f>
        <v>11.23</v>
      </c>
      <c r="I2614" s="262"/>
      <c r="J2614" s="262"/>
      <c r="K2614" s="262"/>
      <c r="L2614" s="262"/>
      <c r="M2614" s="262"/>
      <c r="N2614" s="262"/>
      <c r="O2614" s="262"/>
      <c r="P2614" s="262"/>
      <c r="Q2614" s="262"/>
      <c r="R2614" s="262"/>
      <c r="S2614" s="262"/>
      <c r="T2614" s="262"/>
      <c r="U2614" s="262"/>
      <c r="V2614" s="262"/>
      <c r="W2614" s="262"/>
      <c r="X2614" s="262"/>
      <c r="Y2614" s="262"/>
      <c r="Z2614" s="262"/>
      <c r="AA2614" s="262"/>
      <c r="AB2614" s="262"/>
    </row>
    <row r="2615" spans="1:31" ht="12.75">
      <c r="A2615" s="686"/>
      <c r="B2615" s="687"/>
      <c r="C2615" s="688"/>
      <c r="D2615" s="689"/>
      <c r="E2615" s="690"/>
      <c r="F2615" s="691"/>
      <c r="G2615" s="690"/>
      <c r="H2615" s="692"/>
      <c r="I2615" s="262"/>
      <c r="J2615" s="262"/>
      <c r="K2615" s="262"/>
      <c r="L2615" s="262"/>
      <c r="M2615" s="262"/>
      <c r="N2615" s="262"/>
      <c r="O2615" s="262"/>
      <c r="P2615" s="262"/>
      <c r="Q2615" s="262"/>
      <c r="R2615" s="262"/>
      <c r="S2615" s="262"/>
      <c r="T2615" s="262"/>
      <c r="U2615" s="262"/>
      <c r="V2615" s="262"/>
      <c r="W2615" s="262"/>
      <c r="X2615" s="262"/>
      <c r="Y2615" s="262"/>
      <c r="Z2615" s="262"/>
      <c r="AA2615" s="262"/>
      <c r="AB2615" s="262"/>
    </row>
    <row r="2616" spans="1:31" ht="38.25">
      <c r="A2616" s="358" t="s">
        <v>14471</v>
      </c>
      <c r="B2616" s="359" t="s">
        <v>14472</v>
      </c>
      <c r="C2616" s="360" t="s">
        <v>15388</v>
      </c>
      <c r="D2616" s="361" t="s">
        <v>15389</v>
      </c>
      <c r="E2616" s="359" t="s">
        <v>6</v>
      </c>
      <c r="F2616" s="362"/>
      <c r="G2616" s="362"/>
      <c r="H2616" s="363">
        <f>TRUNC(SUM(H2618:H2633),2)</f>
        <v>603.38</v>
      </c>
      <c r="I2616" s="276">
        <f>COUNTIF($C$8:$C2616,C:C)</f>
        <v>1</v>
      </c>
      <c r="J2616" s="368"/>
      <c r="K2616" s="368"/>
      <c r="L2616" s="368"/>
      <c r="M2616" s="368"/>
      <c r="N2616" s="368"/>
      <c r="O2616" s="368"/>
      <c r="P2616" s="368"/>
      <c r="Q2616" s="368"/>
      <c r="R2616" s="368"/>
      <c r="S2616" s="368"/>
      <c r="T2616" s="368"/>
      <c r="U2616" s="368"/>
      <c r="V2616" s="368"/>
      <c r="W2616" s="368"/>
      <c r="X2616" s="368"/>
      <c r="Y2616" s="368"/>
      <c r="Z2616" s="368"/>
      <c r="AA2616" s="368"/>
      <c r="AB2616" s="368"/>
    </row>
    <row r="2617" spans="1:31" ht="12.75">
      <c r="A2617" s="646" t="s">
        <v>14475</v>
      </c>
      <c r="B2617" s="694" t="s">
        <v>14476</v>
      </c>
      <c r="C2617" s="365">
        <v>89509</v>
      </c>
      <c r="D2617" s="490" t="s">
        <v>14587</v>
      </c>
      <c r="E2617" s="370"/>
      <c r="F2617" s="696"/>
      <c r="G2617" s="370"/>
      <c r="H2617" s="371"/>
      <c r="I2617" s="368"/>
      <c r="J2617" s="368"/>
      <c r="K2617" s="368"/>
      <c r="L2617" s="368"/>
      <c r="M2617" s="368"/>
      <c r="N2617" s="368"/>
      <c r="O2617" s="368"/>
      <c r="P2617" s="368"/>
      <c r="Q2617" s="368"/>
      <c r="R2617" s="368"/>
      <c r="S2617" s="368"/>
      <c r="T2617" s="368"/>
      <c r="U2617" s="368"/>
      <c r="V2617" s="368"/>
      <c r="W2617" s="368"/>
      <c r="X2617" s="368"/>
      <c r="Y2617" s="368"/>
      <c r="Z2617" s="368"/>
      <c r="AA2617" s="368"/>
      <c r="AB2617" s="368"/>
    </row>
    <row r="2618" spans="1:31" ht="25.5">
      <c r="A2618" s="586" t="s">
        <v>14478</v>
      </c>
      <c r="B2618" s="421" t="s">
        <v>14476</v>
      </c>
      <c r="C2618" s="422">
        <v>88628</v>
      </c>
      <c r="D2618" s="288" t="str">
        <f>IFERROR(VLOOKUP($C2618,'24.08_ND'!$A:$D,2,0),)</f>
        <v>ARGAMASSA TRAÇO 1:3 (EM VOLUME DE CIMENTO E AREIA MÉDIA ÚMIDA), PREPARO MECÂNICO COM BETONEIRA 400 L. AF_08/2019</v>
      </c>
      <c r="E2618" s="289" t="str">
        <f>IFERROR(VLOOKUP($C2618,'24.08_ND'!$A:$D,3,0),)</f>
        <v>M3</v>
      </c>
      <c r="F2618" s="697">
        <v>7.2800000000000004E-2</v>
      </c>
      <c r="G2618" s="291">
        <f>IFERROR(VLOOKUP($C2618,'24.08_ND'!$A:$D,4,0),)</f>
        <v>553.9</v>
      </c>
      <c r="H2618" s="423">
        <f t="shared" ref="H2618:H2633" si="84">TRUNC(($F2618*$G2618),2)</f>
        <v>40.32</v>
      </c>
      <c r="I2618" s="368"/>
      <c r="J2618" s="368"/>
      <c r="K2618" s="368"/>
      <c r="L2618" s="368"/>
      <c r="M2618" s="368"/>
      <c r="N2618" s="368"/>
      <c r="O2618" s="368"/>
      <c r="P2618" s="368"/>
      <c r="Q2618" s="368"/>
      <c r="R2618" s="368"/>
      <c r="S2618" s="368"/>
      <c r="T2618" s="368"/>
      <c r="U2618" s="368"/>
      <c r="V2618" s="368"/>
      <c r="W2618" s="368"/>
      <c r="X2618" s="368"/>
      <c r="Y2618" s="368"/>
      <c r="Z2618" s="368"/>
      <c r="AA2618" s="368"/>
      <c r="AB2618" s="368"/>
      <c r="AD2618" s="1791" t="e">
        <f>VLOOKUP(C2618,'Medição '!$B$16:$F$1833,6,0)</f>
        <v>#N/A</v>
      </c>
      <c r="AE2618" s="1791"/>
    </row>
    <row r="2619" spans="1:31" ht="25.5">
      <c r="A2619" s="586" t="s">
        <v>14478</v>
      </c>
      <c r="B2619" s="421" t="s">
        <v>14476</v>
      </c>
      <c r="C2619" s="422">
        <v>87316</v>
      </c>
      <c r="D2619" s="288" t="str">
        <f>IFERROR(VLOOKUP($C2619,'24.08_ND'!$A:$D,2,0),)</f>
        <v>ARGAMASSA TRAÇO 1:4 (EM VOLUME DE CIMENTO E AREIA GROSSA ÚMIDA) PARA CHAPISCO CONVENCIONAL, PREPARO MECÂNICO COM BETONEIRA 400 L. AF_08/2019</v>
      </c>
      <c r="E2619" s="289" t="str">
        <f>IFERROR(VLOOKUP($C2619,'24.08_ND'!$A:$D,3,0),)</f>
        <v>M3</v>
      </c>
      <c r="F2619" s="697">
        <v>1.4800000000000001E-2</v>
      </c>
      <c r="G2619" s="291">
        <f>IFERROR(VLOOKUP($C2619,'24.08_ND'!$A:$D,4,0),)</f>
        <v>467.38</v>
      </c>
      <c r="H2619" s="423">
        <f t="shared" si="84"/>
        <v>6.91</v>
      </c>
      <c r="I2619" s="368"/>
      <c r="J2619" s="368"/>
      <c r="K2619" s="368"/>
      <c r="L2619" s="368"/>
      <c r="M2619" s="368"/>
      <c r="N2619" s="368"/>
      <c r="O2619" s="368"/>
      <c r="P2619" s="368"/>
      <c r="Q2619" s="368"/>
      <c r="R2619" s="368"/>
      <c r="S2619" s="368"/>
      <c r="T2619" s="368"/>
      <c r="U2619" s="368"/>
      <c r="V2619" s="368"/>
      <c r="W2619" s="368"/>
      <c r="X2619" s="368"/>
      <c r="Y2619" s="368"/>
      <c r="Z2619" s="368"/>
      <c r="AA2619" s="368"/>
      <c r="AB2619" s="368"/>
      <c r="AD2619" s="1791" t="e">
        <f>VLOOKUP(C2619,'Medição '!$B$16:$F$1833,6,0)</f>
        <v>#N/A</v>
      </c>
      <c r="AE2619" s="1791"/>
    </row>
    <row r="2620" spans="1:31" ht="25.5">
      <c r="A2620" s="586" t="s">
        <v>14478</v>
      </c>
      <c r="B2620" s="421" t="s">
        <v>14476</v>
      </c>
      <c r="C2620" s="422">
        <v>94970</v>
      </c>
      <c r="D2620" s="288" t="str">
        <f>IFERROR(VLOOKUP($C2620,'24.08_ND'!$A:$D,2,0),)</f>
        <v>CONCRETO FCK = 20MPA, TRAÇO 1:2,7:3 (EM MASSA SECA DE CIMENTO/ AREIA MÉDIA/ BRITA 1) - PREPARO MECÂNICO COM BETONEIRA 600 L. AF_05/2021</v>
      </c>
      <c r="E2620" s="289" t="str">
        <f>IFERROR(VLOOKUP($C2620,'24.08_ND'!$A:$D,3,0),)</f>
        <v>M3</v>
      </c>
      <c r="F2620" s="697">
        <v>7.4399999999999994E-2</v>
      </c>
      <c r="G2620" s="291">
        <f>IFERROR(VLOOKUP($C2620,'24.08_ND'!$A:$D,4,0),)</f>
        <v>479.63</v>
      </c>
      <c r="H2620" s="423">
        <f t="shared" si="84"/>
        <v>35.68</v>
      </c>
      <c r="I2620" s="368"/>
      <c r="J2620" s="368"/>
      <c r="K2620" s="368"/>
      <c r="L2620" s="368"/>
      <c r="M2620" s="368"/>
      <c r="N2620" s="368"/>
      <c r="O2620" s="368"/>
      <c r="P2620" s="368"/>
      <c r="Q2620" s="368"/>
      <c r="R2620" s="368"/>
      <c r="S2620" s="368"/>
      <c r="T2620" s="368"/>
      <c r="U2620" s="368"/>
      <c r="V2620" s="368"/>
      <c r="W2620" s="368"/>
      <c r="X2620" s="368"/>
      <c r="Y2620" s="368"/>
      <c r="Z2620" s="368"/>
      <c r="AA2620" s="368"/>
      <c r="AB2620" s="368"/>
      <c r="AD2620" s="1791" t="e">
        <f>VLOOKUP(C2620,'Medição '!$B$16:$F$1833,6,0)</f>
        <v>#N/A</v>
      </c>
      <c r="AE2620" s="1791"/>
    </row>
    <row r="2621" spans="1:31" ht="25.5">
      <c r="A2621" s="586" t="s">
        <v>14478</v>
      </c>
      <c r="B2621" s="421" t="s">
        <v>14476</v>
      </c>
      <c r="C2621" s="422">
        <v>88309</v>
      </c>
      <c r="D2621" s="288" t="str">
        <f>IFERROR(VLOOKUP($C2621,'24.08_ND'!$A:$D,2,0),)</f>
        <v>PEDREIRO COM ENCARGOS COMPLEMENTARES</v>
      </c>
      <c r="E2621" s="289" t="str">
        <f>IFERROR(VLOOKUP($C2621,'24.08_ND'!$A:$D,3,0),)</f>
        <v>H</v>
      </c>
      <c r="F2621" s="697">
        <v>3.5684</v>
      </c>
      <c r="G2621" s="291">
        <f>IFERROR(VLOOKUP($C2621,'24.08_ND'!$A:$D,4,0),)</f>
        <v>23.33</v>
      </c>
      <c r="H2621" s="423">
        <f t="shared" si="84"/>
        <v>83.25</v>
      </c>
      <c r="I2621" s="368"/>
      <c r="J2621" s="368"/>
      <c r="K2621" s="368"/>
      <c r="L2621" s="368"/>
      <c r="M2621" s="368"/>
      <c r="N2621" s="368"/>
      <c r="O2621" s="368"/>
      <c r="P2621" s="368"/>
      <c r="Q2621" s="368"/>
      <c r="R2621" s="368"/>
      <c r="S2621" s="368"/>
      <c r="T2621" s="368"/>
      <c r="U2621" s="368"/>
      <c r="V2621" s="368"/>
      <c r="W2621" s="368"/>
      <c r="X2621" s="368"/>
      <c r="Y2621" s="368"/>
      <c r="Z2621" s="368"/>
      <c r="AA2621" s="368"/>
      <c r="AB2621" s="368"/>
      <c r="AD2621" s="1791" t="e">
        <f>VLOOKUP(C2621,'Medição '!$B$16:$F$1833,6,0)</f>
        <v>#N/A</v>
      </c>
      <c r="AE2621" s="1791"/>
    </row>
    <row r="2622" spans="1:31" ht="25.5">
      <c r="A2622" s="586" t="s">
        <v>14478</v>
      </c>
      <c r="B2622" s="421" t="s">
        <v>14476</v>
      </c>
      <c r="C2622" s="422">
        <v>97735</v>
      </c>
      <c r="D2622" s="288" t="str">
        <f>IFERROR(VLOOKUP($C2622,'24.08_ND'!$A:$D,2,0),)</f>
        <v>PEÇA RETANGULAR PRÉ-MOLDADA, VOLUME DE CONCRETO DE 30 A 100 LITROS, TAXA DE AÇO APROXIMADA DE 30KG/M³. AF_03/2024</v>
      </c>
      <c r="E2622" s="289" t="str">
        <f>IFERROR(VLOOKUP($C2622,'24.08_ND'!$A:$D,3,0),)</f>
        <v>M3</v>
      </c>
      <c r="F2622" s="697">
        <v>4.48E-2</v>
      </c>
      <c r="G2622" s="291">
        <f>IFERROR(VLOOKUP($C2622,'24.08_ND'!$A:$D,4,0),)</f>
        <v>2226.92</v>
      </c>
      <c r="H2622" s="423">
        <f t="shared" si="84"/>
        <v>99.76</v>
      </c>
      <c r="I2622" s="368"/>
      <c r="J2622" s="368"/>
      <c r="K2622" s="368"/>
      <c r="L2622" s="368"/>
      <c r="M2622" s="368"/>
      <c r="N2622" s="368"/>
      <c r="O2622" s="368"/>
      <c r="P2622" s="368"/>
      <c r="Q2622" s="368"/>
      <c r="R2622" s="368"/>
      <c r="S2622" s="368"/>
      <c r="T2622" s="368"/>
      <c r="U2622" s="368"/>
      <c r="V2622" s="368"/>
      <c r="W2622" s="368"/>
      <c r="X2622" s="368"/>
      <c r="Y2622" s="368"/>
      <c r="Z2622" s="368"/>
      <c r="AA2622" s="368"/>
      <c r="AB2622" s="368"/>
      <c r="AD2622" s="1791" t="e">
        <f>VLOOKUP(C2622,'Medição '!$B$16:$F$1833,6,0)</f>
        <v>#N/A</v>
      </c>
      <c r="AE2622" s="1791"/>
    </row>
    <row r="2623" spans="1:31" ht="25.5">
      <c r="A2623" s="586" t="s">
        <v>14478</v>
      </c>
      <c r="B2623" s="421" t="s">
        <v>14476</v>
      </c>
      <c r="C2623" s="422">
        <v>101616</v>
      </c>
      <c r="D2623" s="288" t="str">
        <f>IFERROR(VLOOKUP($C2623,'24.08_ND'!$A:$D,2,0),)</f>
        <v>PREPARO DE FUNDO DE VALA COM LARGURA MENOR QUE 1,5 M (ACERTO DO SOLO NATURAL). AF_08/2020</v>
      </c>
      <c r="E2623" s="289" t="str">
        <f>IFERROR(VLOOKUP($C2623,'24.08_ND'!$A:$D,3,0),)</f>
        <v>M2</v>
      </c>
      <c r="F2623" s="697">
        <v>0.81</v>
      </c>
      <c r="G2623" s="291">
        <f>IFERROR(VLOOKUP($C2623,'24.08_ND'!$A:$D,4,0),)</f>
        <v>5.37</v>
      </c>
      <c r="H2623" s="423">
        <f t="shared" si="84"/>
        <v>4.34</v>
      </c>
      <c r="I2623" s="368"/>
      <c r="J2623" s="368"/>
      <c r="K2623" s="368"/>
      <c r="L2623" s="368"/>
      <c r="M2623" s="368"/>
      <c r="N2623" s="368"/>
      <c r="O2623" s="368"/>
      <c r="P2623" s="368"/>
      <c r="Q2623" s="368"/>
      <c r="R2623" s="368"/>
      <c r="S2623" s="368"/>
      <c r="T2623" s="368"/>
      <c r="U2623" s="368"/>
      <c r="V2623" s="368"/>
      <c r="W2623" s="368"/>
      <c r="X2623" s="368"/>
      <c r="Y2623" s="368"/>
      <c r="Z2623" s="368"/>
      <c r="AA2623" s="368"/>
      <c r="AB2623" s="368"/>
      <c r="AD2623" s="1791" t="e">
        <f>VLOOKUP(C2623,'Medição '!$B$16:$F$1833,6,0)</f>
        <v>#REF!</v>
      </c>
      <c r="AE2623" s="1791"/>
    </row>
    <row r="2624" spans="1:31" ht="51">
      <c r="A2624" s="586" t="s">
        <v>14478</v>
      </c>
      <c r="B2624" s="421" t="s">
        <v>14476</v>
      </c>
      <c r="C2624" s="422">
        <v>5679</v>
      </c>
      <c r="D2624" s="288" t="str">
        <f>IFERROR(VLOOKUP($C2624,'24.08_ND'!$A:$D,2,0),)</f>
        <v>RETROESCAVADEIRA SOBRE RODAS COM CARREGADEIRA, TRAÇÃO 4X4, POTÊNCIA LÍQ. 88 HP, CAÇAMBA CARREG. CAP. MÍN. 1 M3, CAÇAMBA RETRO CAP. 0,26 M3, PESO OPERACIONAL MÍN. 6.674 KG, PROFUNDIDADE ESCAVAÇÃO MÁX. 4,37 M - CHI DIURNO. AF_06/2014</v>
      </c>
      <c r="E2624" s="289" t="str">
        <f>IFERROR(VLOOKUP($C2624,'24.08_ND'!$A:$D,3,0),)</f>
        <v>CHI</v>
      </c>
      <c r="F2624" s="697">
        <v>1.78E-2</v>
      </c>
      <c r="G2624" s="291">
        <f>IFERROR(VLOOKUP($C2624,'24.08_ND'!$A:$D,4,0),)</f>
        <v>50.18</v>
      </c>
      <c r="H2624" s="423">
        <f t="shared" si="84"/>
        <v>0.89</v>
      </c>
      <c r="I2624" s="368"/>
      <c r="J2624" s="368"/>
      <c r="K2624" s="368"/>
      <c r="L2624" s="368"/>
      <c r="M2624" s="368"/>
      <c r="N2624" s="368"/>
      <c r="O2624" s="368"/>
      <c r="P2624" s="368"/>
      <c r="Q2624" s="368"/>
      <c r="R2624" s="368"/>
      <c r="S2624" s="368"/>
      <c r="T2624" s="368"/>
      <c r="U2624" s="368"/>
      <c r="V2624" s="368"/>
      <c r="W2624" s="368"/>
      <c r="X2624" s="368"/>
      <c r="Y2624" s="368"/>
      <c r="Z2624" s="368"/>
      <c r="AA2624" s="368"/>
      <c r="AB2624" s="368"/>
      <c r="AD2624" s="1791" t="e">
        <f>VLOOKUP(C2624,'Medição '!$B$16:$F$1833,6,0)</f>
        <v>#N/A</v>
      </c>
      <c r="AE2624" s="1791"/>
    </row>
    <row r="2625" spans="1:31" ht="51">
      <c r="A2625" s="586" t="s">
        <v>14478</v>
      </c>
      <c r="B2625" s="421" t="s">
        <v>14476</v>
      </c>
      <c r="C2625" s="422">
        <v>5678</v>
      </c>
      <c r="D2625" s="288" t="str">
        <f>IFERROR(VLOOKUP($C2625,'24.08_ND'!$A:$D,2,0),)</f>
        <v>RETROESCAVADEIRA SOBRE RODAS COM CARREGADEIRA, TRAÇÃO 4X4, POTÊNCIA LÍQ. 88 HP, CAÇAMBA CARREG. CAP. MÍN. 1 M3, CAÇAMBA RETRO CAP. 0,26 M3, PESO OPERACIONAL MÍN. 6.674 KG, PROFUNDIDADE ESCAVAÇÃO MÁX. 4,37 M - CHP DIURNO. AF_06/2014</v>
      </c>
      <c r="E2625" s="289" t="str">
        <f>IFERROR(VLOOKUP($C2625,'24.08_ND'!$A:$D,3,0),)</f>
        <v>CHP</v>
      </c>
      <c r="F2625" s="697">
        <v>8.6999999999999994E-3</v>
      </c>
      <c r="G2625" s="291">
        <f>IFERROR(VLOOKUP($C2625,'24.08_ND'!$A:$D,4,0),)</f>
        <v>124.7</v>
      </c>
      <c r="H2625" s="423">
        <f t="shared" si="84"/>
        <v>1.08</v>
      </c>
      <c r="I2625" s="368"/>
      <c r="J2625" s="368"/>
      <c r="K2625" s="368"/>
      <c r="L2625" s="368"/>
      <c r="M2625" s="368"/>
      <c r="N2625" s="368"/>
      <c r="O2625" s="368"/>
      <c r="P2625" s="368"/>
      <c r="Q2625" s="368"/>
      <c r="R2625" s="368"/>
      <c r="S2625" s="368"/>
      <c r="T2625" s="368"/>
      <c r="U2625" s="368"/>
      <c r="V2625" s="368"/>
      <c r="W2625" s="368"/>
      <c r="X2625" s="368"/>
      <c r="Y2625" s="368"/>
      <c r="Z2625" s="368"/>
      <c r="AA2625" s="368"/>
      <c r="AB2625" s="368"/>
      <c r="AD2625" s="1791" t="e">
        <f>VLOOKUP(C2625,'Medição '!$B$16:$F$1833,6,0)</f>
        <v>#N/A</v>
      </c>
      <c r="AE2625" s="1791"/>
    </row>
    <row r="2626" spans="1:31" ht="25.5">
      <c r="A2626" s="586" t="s">
        <v>14478</v>
      </c>
      <c r="B2626" s="421" t="s">
        <v>14476</v>
      </c>
      <c r="C2626" s="422">
        <v>88316</v>
      </c>
      <c r="D2626" s="288" t="str">
        <f>IFERROR(VLOOKUP($C2626,'24.08_ND'!$A:$D,2,0),)</f>
        <v>SERVENTE COM ENCARGOS COMPLEMENTARES</v>
      </c>
      <c r="E2626" s="289" t="str">
        <f>IFERROR(VLOOKUP($C2626,'24.08_ND'!$A:$D,3,0),)</f>
        <v>H</v>
      </c>
      <c r="F2626" s="697">
        <v>2.8037999999999998</v>
      </c>
      <c r="G2626" s="291">
        <f>IFERROR(VLOOKUP($C2626,'24.08_ND'!$A:$D,4,0),)</f>
        <v>18.510000000000002</v>
      </c>
      <c r="H2626" s="423">
        <f t="shared" si="84"/>
        <v>51.89</v>
      </c>
      <c r="I2626" s="368"/>
      <c r="J2626" s="368"/>
      <c r="K2626" s="368"/>
      <c r="L2626" s="368"/>
      <c r="M2626" s="368"/>
      <c r="N2626" s="368"/>
      <c r="O2626" s="368"/>
      <c r="P2626" s="368"/>
      <c r="Q2626" s="368"/>
      <c r="R2626" s="368"/>
      <c r="S2626" s="368"/>
      <c r="T2626" s="368"/>
      <c r="U2626" s="368"/>
      <c r="V2626" s="368"/>
      <c r="W2626" s="368"/>
      <c r="X2626" s="368"/>
      <c r="Y2626" s="368"/>
      <c r="Z2626" s="368"/>
      <c r="AA2626" s="368"/>
      <c r="AB2626" s="368"/>
      <c r="AD2626" s="1791" t="e">
        <f>VLOOKUP(C2626,'Medição '!$B$16:$F$1833,6,0)</f>
        <v>#N/A</v>
      </c>
      <c r="AE2626" s="1791"/>
    </row>
    <row r="2627" spans="1:31" ht="12.75">
      <c r="A2627" s="445" t="s">
        <v>14479</v>
      </c>
      <c r="B2627" s="446" t="s">
        <v>14476</v>
      </c>
      <c r="C2627" s="447">
        <v>650</v>
      </c>
      <c r="D2627" s="296" t="str">
        <f>IFERROR(VLOOKUP($C2627,'24.08_ND'!$A:$D,2,0),)</f>
        <v>BLOCO DE VEDACAO DE CONCRETO, 9 X 19 X 39 CM (CLASSE C - NBR 6136)</v>
      </c>
      <c r="E2627" s="297" t="str">
        <f>IFERROR(VLOOKUP($C2627,'24.08_ND'!$A:$D,3,0),)</f>
        <v>UN</v>
      </c>
      <c r="F2627" s="840">
        <v>20.761500000000002</v>
      </c>
      <c r="G2627" s="299">
        <f>IFERROR(VLOOKUP($C2627,'24.08_ND'!$A:$D,4,0),)</f>
        <v>3.09</v>
      </c>
      <c r="H2627" s="449">
        <f t="shared" si="84"/>
        <v>64.150000000000006</v>
      </c>
      <c r="I2627" s="368"/>
      <c r="J2627" s="368"/>
      <c r="K2627" s="368"/>
      <c r="L2627" s="368"/>
      <c r="M2627" s="368"/>
      <c r="N2627" s="368"/>
      <c r="O2627" s="368"/>
      <c r="P2627" s="368"/>
      <c r="Q2627" s="368"/>
      <c r="R2627" s="368"/>
      <c r="S2627" s="368"/>
      <c r="T2627" s="368"/>
      <c r="U2627" s="368"/>
      <c r="V2627" s="368"/>
      <c r="W2627" s="368"/>
      <c r="X2627" s="368"/>
      <c r="Y2627" s="368"/>
      <c r="Z2627" s="368"/>
      <c r="AA2627" s="368"/>
      <c r="AB2627" s="368"/>
    </row>
    <row r="2628" spans="1:31" ht="25.5">
      <c r="A2628" s="445" t="s">
        <v>14479</v>
      </c>
      <c r="B2628" s="446" t="s">
        <v>14476</v>
      </c>
      <c r="C2628" s="447">
        <v>2692</v>
      </c>
      <c r="D2628" s="296" t="str">
        <f>IFERROR(VLOOKUP($C2628,'24.08_ND'!$A:$D,2,0),)</f>
        <v>DESMOLDANTE PROTETOR PARA FORMAS DE MADEIRA, DE BASE OLEOSA EMULSIONADA EM AGUA</v>
      </c>
      <c r="E2628" s="297" t="str">
        <f>IFERROR(VLOOKUP($C2628,'24.08_ND'!$A:$D,3,0),)</f>
        <v>L</v>
      </c>
      <c r="F2628" s="840">
        <v>5.4000000000000003E-3</v>
      </c>
      <c r="G2628" s="299">
        <f>IFERROR(VLOOKUP($C2628,'24.08_ND'!$A:$D,4,0),)</f>
        <v>6.85</v>
      </c>
      <c r="H2628" s="449">
        <f t="shared" si="84"/>
        <v>0.03</v>
      </c>
      <c r="I2628" s="368"/>
      <c r="J2628" s="368"/>
      <c r="K2628" s="368"/>
      <c r="L2628" s="368"/>
      <c r="M2628" s="368"/>
      <c r="N2628" s="368"/>
      <c r="O2628" s="368"/>
      <c r="P2628" s="368"/>
      <c r="Q2628" s="368"/>
      <c r="R2628" s="368"/>
      <c r="S2628" s="368"/>
      <c r="T2628" s="368"/>
      <c r="U2628" s="368"/>
      <c r="V2628" s="368"/>
      <c r="W2628" s="368"/>
      <c r="X2628" s="368"/>
      <c r="Y2628" s="368"/>
      <c r="Z2628" s="368"/>
      <c r="AA2628" s="368"/>
      <c r="AB2628" s="368"/>
    </row>
    <row r="2629" spans="1:31" ht="12.75">
      <c r="A2629" s="445" t="s">
        <v>14479</v>
      </c>
      <c r="B2629" s="446" t="s">
        <v>14476</v>
      </c>
      <c r="C2629" s="447">
        <v>4491</v>
      </c>
      <c r="D2629" s="296" t="str">
        <f>IFERROR(VLOOKUP($C2629,'24.08_ND'!$A:$D,2,0),)</f>
        <v>PONTALETE *7,5 X 7,5* CM EM PINUS, MISTA OU EQUIVALENTE DA REGIAO - BRUTA</v>
      </c>
      <c r="E2629" s="297" t="str">
        <f>IFERROR(VLOOKUP($C2629,'24.08_ND'!$A:$D,3,0),)</f>
        <v>M</v>
      </c>
      <c r="F2629" s="840">
        <v>0.11840000000000001</v>
      </c>
      <c r="G2629" s="299">
        <f>IFERROR(VLOOKUP($C2629,'24.08_ND'!$A:$D,4,0),)</f>
        <v>10.5</v>
      </c>
      <c r="H2629" s="449">
        <f t="shared" si="84"/>
        <v>1.24</v>
      </c>
      <c r="I2629" s="368"/>
      <c r="J2629" s="368"/>
      <c r="K2629" s="368"/>
      <c r="L2629" s="368"/>
      <c r="M2629" s="368"/>
      <c r="N2629" s="368"/>
      <c r="O2629" s="368"/>
      <c r="P2629" s="368"/>
      <c r="Q2629" s="368"/>
      <c r="R2629" s="368"/>
      <c r="S2629" s="368"/>
      <c r="T2629" s="368"/>
      <c r="U2629" s="368"/>
      <c r="V2629" s="368"/>
      <c r="W2629" s="368"/>
      <c r="X2629" s="368"/>
      <c r="Y2629" s="368"/>
      <c r="Z2629" s="368"/>
      <c r="AA2629" s="368"/>
      <c r="AB2629" s="368"/>
    </row>
    <row r="2630" spans="1:31" ht="12.75">
      <c r="A2630" s="445" t="s">
        <v>14479</v>
      </c>
      <c r="B2630" s="446" t="s">
        <v>14476</v>
      </c>
      <c r="C2630" s="447">
        <v>5069</v>
      </c>
      <c r="D2630" s="296" t="str">
        <f>IFERROR(VLOOKUP($C2630,'24.08_ND'!$A:$D,2,0),)</f>
        <v>PREGO DE ACO POLIDO COM CABECA 17 X 27 (2 1/2 X 11)</v>
      </c>
      <c r="E2630" s="297" t="str">
        <f>IFERROR(VLOOKUP($C2630,'24.08_ND'!$A:$D,3,0),)</f>
        <v>KG</v>
      </c>
      <c r="F2630" s="840">
        <v>1.2500000000000001E-2</v>
      </c>
      <c r="G2630" s="299">
        <f>IFERROR(VLOOKUP($C2630,'24.08_ND'!$A:$D,4,0),)</f>
        <v>16.63</v>
      </c>
      <c r="H2630" s="449">
        <f t="shared" si="84"/>
        <v>0.2</v>
      </c>
      <c r="I2630" s="368"/>
      <c r="J2630" s="368"/>
      <c r="K2630" s="368"/>
      <c r="L2630" s="368"/>
      <c r="M2630" s="368"/>
      <c r="N2630" s="368"/>
      <c r="O2630" s="368"/>
      <c r="P2630" s="368"/>
      <c r="Q2630" s="368"/>
      <c r="R2630" s="368"/>
      <c r="S2630" s="368"/>
      <c r="T2630" s="368"/>
      <c r="U2630" s="368"/>
      <c r="V2630" s="368"/>
      <c r="W2630" s="368"/>
      <c r="X2630" s="368"/>
      <c r="Y2630" s="368"/>
      <c r="Z2630" s="368"/>
      <c r="AA2630" s="368"/>
      <c r="AB2630" s="368"/>
    </row>
    <row r="2631" spans="1:31" ht="12.75">
      <c r="A2631" s="445" t="s">
        <v>14479</v>
      </c>
      <c r="B2631" s="446" t="s">
        <v>14476</v>
      </c>
      <c r="C2631" s="447">
        <v>21062</v>
      </c>
      <c r="D2631" s="296" t="str">
        <f>IFERROR(VLOOKUP($C2631,'24.08_ND'!$A:$D,2,0),)</f>
        <v>RALO FOFO COM REQUADRO, QUADRADO 400 X 400 MM</v>
      </c>
      <c r="E2631" s="297" t="str">
        <f>IFERROR(VLOOKUP($C2631,'24.08_ND'!$A:$D,3,0),)</f>
        <v>UN</v>
      </c>
      <c r="F2631" s="840">
        <v>1</v>
      </c>
      <c r="G2631" s="299">
        <f>IFERROR(VLOOKUP($C2631,'24.08_ND'!$A:$D,4,0),)</f>
        <v>206.43</v>
      </c>
      <c r="H2631" s="449">
        <f t="shared" si="84"/>
        <v>206.43</v>
      </c>
      <c r="I2631" s="368"/>
      <c r="J2631" s="368"/>
      <c r="K2631" s="368"/>
      <c r="L2631" s="368"/>
      <c r="M2631" s="368"/>
      <c r="N2631" s="368"/>
      <c r="O2631" s="368"/>
      <c r="P2631" s="368"/>
      <c r="Q2631" s="368"/>
      <c r="R2631" s="368"/>
      <c r="S2631" s="368"/>
      <c r="T2631" s="368"/>
      <c r="U2631" s="368"/>
      <c r="V2631" s="368"/>
      <c r="W2631" s="368"/>
      <c r="X2631" s="368"/>
      <c r="Y2631" s="368"/>
      <c r="Z2631" s="368"/>
      <c r="AA2631" s="368"/>
      <c r="AB2631" s="368"/>
    </row>
    <row r="2632" spans="1:31" ht="12.75">
      <c r="A2632" s="445" t="s">
        <v>14479</v>
      </c>
      <c r="B2632" s="446" t="s">
        <v>14476</v>
      </c>
      <c r="C2632" s="447">
        <v>4517</v>
      </c>
      <c r="D2632" s="296" t="str">
        <f>IFERROR(VLOOKUP($C2632,'24.08_ND'!$A:$D,2,0),)</f>
        <v>SARRAFO *2,5 X 7,5* CM EM PINUS, MISTA OU EQUIVALENTE DA REGIAO - BRUTA</v>
      </c>
      <c r="E2632" s="297" t="str">
        <f>IFERROR(VLOOKUP($C2632,'24.08_ND'!$A:$D,3,0),)</f>
        <v>M</v>
      </c>
      <c r="F2632" s="840">
        <v>0.14080000000000001</v>
      </c>
      <c r="G2632" s="299">
        <f>IFERROR(VLOOKUP($C2632,'24.08_ND'!$A:$D,4,0),)</f>
        <v>3.67</v>
      </c>
      <c r="H2632" s="449">
        <f t="shared" si="84"/>
        <v>0.51</v>
      </c>
      <c r="I2632" s="368"/>
      <c r="J2632" s="368"/>
      <c r="K2632" s="368"/>
      <c r="L2632" s="368"/>
      <c r="M2632" s="368"/>
      <c r="N2632" s="368"/>
      <c r="O2632" s="368"/>
      <c r="P2632" s="368"/>
      <c r="Q2632" s="368"/>
      <c r="R2632" s="368"/>
      <c r="S2632" s="368"/>
      <c r="T2632" s="368"/>
      <c r="U2632" s="368"/>
      <c r="V2632" s="368"/>
      <c r="W2632" s="368"/>
      <c r="X2632" s="368"/>
      <c r="Y2632" s="368"/>
      <c r="Z2632" s="368"/>
      <c r="AA2632" s="368"/>
      <c r="AB2632" s="368"/>
    </row>
    <row r="2633" spans="1:31" ht="25.5">
      <c r="A2633" s="445" t="s">
        <v>14479</v>
      </c>
      <c r="B2633" s="446" t="s">
        <v>14476</v>
      </c>
      <c r="C2633" s="447">
        <v>6193</v>
      </c>
      <c r="D2633" s="296" t="str">
        <f>IFERROR(VLOOKUP($C2633,'24.08_ND'!$A:$D,2,0),)</f>
        <v>TABUA NAO APARELHADA *2,5 X 20* CM, EM MACARANDUBA/MASSARANDUBA, ANGELIM OU EQUIVALENTE DA REGIAO - BRUTA</v>
      </c>
      <c r="E2633" s="297" t="str">
        <f>IFERROR(VLOOKUP($C2633,'24.08_ND'!$A:$D,3,0),)</f>
        <v>M</v>
      </c>
      <c r="F2633" s="840">
        <v>0.44159999999999999</v>
      </c>
      <c r="G2633" s="299">
        <f>IFERROR(VLOOKUP($C2633,'24.08_ND'!$A:$D,4,0),)</f>
        <v>15.18</v>
      </c>
      <c r="H2633" s="449">
        <f t="shared" si="84"/>
        <v>6.7</v>
      </c>
      <c r="I2633" s="368"/>
      <c r="J2633" s="368"/>
      <c r="K2633" s="368"/>
      <c r="L2633" s="368"/>
      <c r="M2633" s="368"/>
      <c r="N2633" s="368"/>
      <c r="O2633" s="368"/>
      <c r="P2633" s="368"/>
      <c r="Q2633" s="368"/>
      <c r="R2633" s="368"/>
      <c r="S2633" s="368"/>
      <c r="T2633" s="368"/>
      <c r="U2633" s="368"/>
      <c r="V2633" s="368"/>
      <c r="W2633" s="368"/>
      <c r="X2633" s="368"/>
      <c r="Y2633" s="368"/>
      <c r="Z2633" s="368"/>
      <c r="AA2633" s="368"/>
      <c r="AB2633" s="368"/>
    </row>
    <row r="2634" spans="1:31" ht="12.75">
      <c r="A2634" s="686"/>
      <c r="B2634" s="687"/>
      <c r="C2634" s="688"/>
      <c r="D2634" s="689"/>
      <c r="E2634" s="690"/>
      <c r="F2634" s="691"/>
      <c r="G2634" s="690"/>
      <c r="H2634" s="692"/>
      <c r="I2634" s="262"/>
      <c r="J2634" s="262"/>
      <c r="K2634" s="262"/>
      <c r="L2634" s="262"/>
      <c r="M2634" s="262"/>
      <c r="N2634" s="262"/>
      <c r="O2634" s="262"/>
      <c r="P2634" s="262"/>
      <c r="Q2634" s="262"/>
      <c r="R2634" s="262"/>
      <c r="S2634" s="262"/>
      <c r="T2634" s="262"/>
      <c r="U2634" s="262"/>
      <c r="V2634" s="262"/>
      <c r="W2634" s="262"/>
      <c r="X2634" s="262"/>
      <c r="Y2634" s="262"/>
      <c r="Z2634" s="262"/>
      <c r="AA2634" s="262"/>
      <c r="AB2634" s="262"/>
    </row>
    <row r="2635" spans="1:31" ht="12.75">
      <c r="A2635" s="358" t="s">
        <v>15071</v>
      </c>
      <c r="B2635" s="359" t="s">
        <v>14472</v>
      </c>
      <c r="C2635" s="360" t="s">
        <v>15390</v>
      </c>
      <c r="D2635" s="852" t="s">
        <v>15391</v>
      </c>
      <c r="E2635" s="853" t="s">
        <v>50</v>
      </c>
      <c r="F2635" s="401"/>
      <c r="G2635" s="402"/>
      <c r="H2635" s="363">
        <f>SUM(H2636:H2648)</f>
        <v>794.03000000000009</v>
      </c>
      <c r="I2635" s="276">
        <f>COUNTIF($C$8:$C2635,C:C)</f>
        <v>1</v>
      </c>
      <c r="J2635" s="262"/>
      <c r="K2635" s="262"/>
      <c r="L2635" s="262"/>
      <c r="M2635" s="262"/>
      <c r="N2635" s="262"/>
      <c r="O2635" s="262"/>
      <c r="P2635" s="262"/>
      <c r="Q2635" s="262"/>
      <c r="R2635" s="262"/>
      <c r="S2635" s="262"/>
      <c r="T2635" s="262"/>
      <c r="U2635" s="262"/>
      <c r="V2635" s="262"/>
      <c r="W2635" s="262"/>
      <c r="X2635" s="262"/>
      <c r="Y2635" s="262"/>
      <c r="Z2635" s="262"/>
      <c r="AA2635" s="262"/>
      <c r="AB2635" s="262"/>
    </row>
    <row r="2636" spans="1:31" ht="30">
      <c r="A2636" s="854" t="s">
        <v>14478</v>
      </c>
      <c r="B2636" s="786" t="s">
        <v>14476</v>
      </c>
      <c r="C2636" s="374">
        <v>88309</v>
      </c>
      <c r="D2636" s="288" t="str">
        <f>IFERROR(VLOOKUP($C2636,'24.08_ND'!$A:$D,2,0),)</f>
        <v>PEDREIRO COM ENCARGOS COMPLEMENTARES</v>
      </c>
      <c r="E2636" s="289" t="str">
        <f>IFERROR(VLOOKUP($C2636,'24.08_ND'!$A:$D,3,0),)</f>
        <v>H</v>
      </c>
      <c r="F2636" s="375">
        <v>0.5</v>
      </c>
      <c r="G2636" s="291">
        <f>IFERROR(VLOOKUP($C2636,'24.08_ND'!$A:$D,4,0),)</f>
        <v>23.33</v>
      </c>
      <c r="H2636" s="440">
        <f t="shared" ref="H2636:H2648" si="85">TRUNC(($F2636*$G2636),2)</f>
        <v>11.66</v>
      </c>
      <c r="I2636" s="262"/>
      <c r="J2636" s="262"/>
      <c r="K2636" s="262"/>
      <c r="L2636" s="262"/>
      <c r="M2636" s="262"/>
      <c r="N2636" s="262"/>
      <c r="O2636" s="262"/>
      <c r="P2636" s="262"/>
      <c r="Q2636" s="262"/>
      <c r="R2636" s="262"/>
      <c r="S2636" s="262"/>
      <c r="T2636" s="262"/>
      <c r="U2636" s="262"/>
      <c r="V2636" s="262"/>
      <c r="W2636" s="262"/>
      <c r="X2636" s="262"/>
      <c r="Y2636" s="262"/>
      <c r="Z2636" s="262"/>
      <c r="AA2636" s="262"/>
      <c r="AB2636" s="262"/>
      <c r="AD2636" s="1791" t="e">
        <f>VLOOKUP(C2636,'Medição '!$B$16:$F$1833,6,0)</f>
        <v>#N/A</v>
      </c>
      <c r="AE2636" s="1791"/>
    </row>
    <row r="2637" spans="1:31" ht="30">
      <c r="A2637" s="854" t="s">
        <v>14478</v>
      </c>
      <c r="B2637" s="786" t="s">
        <v>14476</v>
      </c>
      <c r="C2637" s="374">
        <v>88316</v>
      </c>
      <c r="D2637" s="288" t="str">
        <f>IFERROR(VLOOKUP($C2637,'24.08_ND'!$A:$D,2,0),)</f>
        <v>SERVENTE COM ENCARGOS COMPLEMENTARES</v>
      </c>
      <c r="E2637" s="289" t="str">
        <f>IFERROR(VLOOKUP($C2637,'24.08_ND'!$A:$D,3,0),)</f>
        <v>H</v>
      </c>
      <c r="F2637" s="375">
        <v>0.5</v>
      </c>
      <c r="G2637" s="291">
        <f>IFERROR(VLOOKUP($C2637,'24.08_ND'!$A:$D,4,0),)</f>
        <v>18.510000000000002</v>
      </c>
      <c r="H2637" s="440">
        <f t="shared" si="85"/>
        <v>9.25</v>
      </c>
      <c r="I2637" s="262"/>
      <c r="J2637" s="262"/>
      <c r="K2637" s="262"/>
      <c r="L2637" s="262"/>
      <c r="M2637" s="262"/>
      <c r="N2637" s="262"/>
      <c r="O2637" s="262"/>
      <c r="P2637" s="262"/>
      <c r="Q2637" s="262"/>
      <c r="R2637" s="262"/>
      <c r="S2637" s="262"/>
      <c r="T2637" s="262"/>
      <c r="U2637" s="262"/>
      <c r="V2637" s="262"/>
      <c r="W2637" s="262"/>
      <c r="X2637" s="262"/>
      <c r="Y2637" s="262"/>
      <c r="Z2637" s="262"/>
      <c r="AA2637" s="262"/>
      <c r="AB2637" s="262"/>
      <c r="AD2637" s="1791" t="e">
        <f>VLOOKUP(C2637,'Medição '!$B$16:$F$1833,6,0)</f>
        <v>#N/A</v>
      </c>
      <c r="AE2637" s="1791"/>
    </row>
    <row r="2638" spans="1:31" ht="51">
      <c r="A2638" s="854" t="s">
        <v>14478</v>
      </c>
      <c r="B2638" s="786" t="s">
        <v>14476</v>
      </c>
      <c r="C2638" s="677">
        <v>90091</v>
      </c>
      <c r="D2638" s="288" t="str">
        <f>IFERROR(VLOOKUP($C2638,'24.08_ND'!$A:$D,2,0),)</f>
        <v>ESCAVAÇÃO MECANIZADA DE VALA COM PROF. ATÉ 1,5 M (MÉDIA MONTANTE E JUSANTE/UMA COMPOSIÇÃO POR TRECHO), ESCAVADEIRA (0,8 M3), LARG. DE 1,5 M A 2,5 M, EM SOLO DE 1A CATEGORIA, LOCAIS COM BAIXO NÍVEL DE INTERFERÊNCIA. AF_02/2021</v>
      </c>
      <c r="E2638" s="289" t="str">
        <f>IFERROR(VLOOKUP($C2638,'24.08_ND'!$A:$D,3,0),)</f>
        <v>M3</v>
      </c>
      <c r="F2638" s="375">
        <v>0.96879999999999999</v>
      </c>
      <c r="G2638" s="291">
        <f>IFERROR(VLOOKUP($C2638,'24.08_ND'!$A:$D,4,0),)</f>
        <v>5.29</v>
      </c>
      <c r="H2638" s="440">
        <f t="shared" si="85"/>
        <v>5.12</v>
      </c>
      <c r="I2638" s="262"/>
      <c r="J2638" s="262"/>
      <c r="K2638" s="262"/>
      <c r="L2638" s="262"/>
      <c r="M2638" s="262"/>
      <c r="N2638" s="262"/>
      <c r="O2638" s="262"/>
      <c r="P2638" s="262"/>
      <c r="Q2638" s="262"/>
      <c r="R2638" s="262"/>
      <c r="S2638" s="262"/>
      <c r="T2638" s="262"/>
      <c r="U2638" s="262"/>
      <c r="V2638" s="262"/>
      <c r="W2638" s="262"/>
      <c r="X2638" s="262"/>
      <c r="Y2638" s="262"/>
      <c r="Z2638" s="262"/>
      <c r="AA2638" s="262"/>
      <c r="AB2638" s="262"/>
      <c r="AD2638" s="1791" t="e">
        <f>VLOOKUP(C2638,'Medição '!$B$16:$F$1833,6,0)</f>
        <v>#N/A</v>
      </c>
      <c r="AE2638" s="1791"/>
    </row>
    <row r="2639" spans="1:31" ht="30">
      <c r="A2639" s="854" t="s">
        <v>14478</v>
      </c>
      <c r="B2639" s="786" t="s">
        <v>14476</v>
      </c>
      <c r="C2639" s="677">
        <v>101616</v>
      </c>
      <c r="D2639" s="288" t="str">
        <f>IFERROR(VLOOKUP($C2639,'24.08_ND'!$A:$D,2,0),)</f>
        <v>PREPARO DE FUNDO DE VALA COM LARGURA MENOR QUE 1,5 M (ACERTO DO SOLO NATURAL). AF_08/2020</v>
      </c>
      <c r="E2639" s="289" t="str">
        <f>IFERROR(VLOOKUP($C2639,'24.08_ND'!$A:$D,3,0),)</f>
        <v>M2</v>
      </c>
      <c r="F2639" s="375">
        <v>0.6</v>
      </c>
      <c r="G2639" s="291">
        <f>IFERROR(VLOOKUP($C2639,'24.08_ND'!$A:$D,4,0),)</f>
        <v>5.37</v>
      </c>
      <c r="H2639" s="440">
        <f t="shared" si="85"/>
        <v>3.22</v>
      </c>
      <c r="I2639" s="262"/>
      <c r="J2639" s="262"/>
      <c r="K2639" s="262"/>
      <c r="L2639" s="262"/>
      <c r="M2639" s="262"/>
      <c r="N2639" s="262"/>
      <c r="O2639" s="262"/>
      <c r="P2639" s="262"/>
      <c r="Q2639" s="262"/>
      <c r="R2639" s="262"/>
      <c r="S2639" s="262"/>
      <c r="T2639" s="262"/>
      <c r="U2639" s="262"/>
      <c r="V2639" s="262"/>
      <c r="W2639" s="262"/>
      <c r="X2639" s="262"/>
      <c r="Y2639" s="262"/>
      <c r="Z2639" s="262"/>
      <c r="AA2639" s="262"/>
      <c r="AB2639" s="262"/>
      <c r="AD2639" s="1791" t="e">
        <f>VLOOKUP(C2639,'Medição '!$B$16:$F$1833,6,0)</f>
        <v>#REF!</v>
      </c>
      <c r="AE2639" s="1791"/>
    </row>
    <row r="2640" spans="1:31" ht="30">
      <c r="A2640" s="854" t="s">
        <v>14478</v>
      </c>
      <c r="B2640" s="786" t="s">
        <v>14476</v>
      </c>
      <c r="C2640" s="677">
        <v>96622</v>
      </c>
      <c r="D2640" s="288" t="str">
        <f>IFERROR(VLOOKUP($C2640,'24.08_ND'!$A:$D,2,0),)</f>
        <v>LASTRO COM MATERIAL GRANULAR, APLICADO EM PISOS OU LAJES SOBRE SOLO, ESPESSURA DE *5 CM*. AF_01/2024</v>
      </c>
      <c r="E2640" s="289" t="str">
        <f>IFERROR(VLOOKUP($C2640,'24.08_ND'!$A:$D,3,0),)</f>
        <v>M3</v>
      </c>
      <c r="F2640" s="375">
        <v>0.03</v>
      </c>
      <c r="G2640" s="291">
        <f>IFERROR(VLOOKUP($C2640,'24.08_ND'!$A:$D,4,0),)</f>
        <v>248.36</v>
      </c>
      <c r="H2640" s="440">
        <f t="shared" si="85"/>
        <v>7.45</v>
      </c>
      <c r="I2640" s="262"/>
      <c r="J2640" s="262"/>
      <c r="K2640" s="262"/>
      <c r="L2640" s="262"/>
      <c r="M2640" s="262"/>
      <c r="N2640" s="262"/>
      <c r="O2640" s="262"/>
      <c r="P2640" s="262"/>
      <c r="Q2640" s="262"/>
      <c r="R2640" s="262"/>
      <c r="S2640" s="262"/>
      <c r="T2640" s="262"/>
      <c r="U2640" s="262"/>
      <c r="V2640" s="262"/>
      <c r="W2640" s="262"/>
      <c r="X2640" s="262"/>
      <c r="Y2640" s="262"/>
      <c r="Z2640" s="262"/>
      <c r="AA2640" s="262"/>
      <c r="AB2640" s="262"/>
      <c r="AD2640" s="1791" t="e">
        <f>VLOOKUP(C2640,'Medição '!$B$16:$F$1833,6,0)</f>
        <v>#REF!</v>
      </c>
      <c r="AE2640" s="1791"/>
    </row>
    <row r="2641" spans="1:31" ht="30">
      <c r="A2641" s="854" t="s">
        <v>14478</v>
      </c>
      <c r="B2641" s="786" t="s">
        <v>14476</v>
      </c>
      <c r="C2641" s="677">
        <v>97087</v>
      </c>
      <c r="D2641" s="288" t="str">
        <f>IFERROR(VLOOKUP($C2641,'24.08_ND'!$A:$D,2,0),)</f>
        <v>CAMADA SEPARADORA PARA EXECUÇÃO DE RADIER, PISO DE CONCRETO OU LAJE SOBRE SOLO, EM LONA PLÁSTICA. AF_09/2021</v>
      </c>
      <c r="E2641" s="289" t="str">
        <f>IFERROR(VLOOKUP($C2641,'24.08_ND'!$A:$D,3,0),)</f>
        <v>M2</v>
      </c>
      <c r="F2641" s="375">
        <v>0.69</v>
      </c>
      <c r="G2641" s="291">
        <f>IFERROR(VLOOKUP($C2641,'24.08_ND'!$A:$D,4,0),)</f>
        <v>3.03</v>
      </c>
      <c r="H2641" s="440">
        <f t="shared" si="85"/>
        <v>2.09</v>
      </c>
      <c r="I2641" s="262"/>
      <c r="J2641" s="262"/>
      <c r="K2641" s="262"/>
      <c r="L2641" s="262"/>
      <c r="M2641" s="262"/>
      <c r="N2641" s="262"/>
      <c r="O2641" s="262"/>
      <c r="P2641" s="262"/>
      <c r="Q2641" s="262"/>
      <c r="R2641" s="262"/>
      <c r="S2641" s="262"/>
      <c r="T2641" s="262"/>
      <c r="U2641" s="262"/>
      <c r="V2641" s="262"/>
      <c r="W2641" s="262"/>
      <c r="X2641" s="262"/>
      <c r="Y2641" s="262"/>
      <c r="Z2641" s="262"/>
      <c r="AA2641" s="262"/>
      <c r="AB2641" s="262"/>
      <c r="AD2641" s="1791" t="e">
        <f>VLOOKUP(C2641,'Medição '!$B$16:$F$1833,6,0)</f>
        <v>#REF!</v>
      </c>
      <c r="AE2641" s="1791"/>
    </row>
    <row r="2642" spans="1:31" ht="30">
      <c r="A2642" s="854" t="s">
        <v>14478</v>
      </c>
      <c r="B2642" s="786" t="s">
        <v>14476</v>
      </c>
      <c r="C2642" s="677">
        <v>96534</v>
      </c>
      <c r="D2642" s="288" t="str">
        <f>IFERROR(VLOOKUP($C2642,'24.08_ND'!$A:$D,2,0),)</f>
        <v>FABRICAÇÃO, MONTAGEM E DESMONTAGEM DE FÔRMA PARA BLOCO DE COROAMENTO, EM MADEIRA SERRADA, E=25 MM, 4 UTILIZAÇÕES. AF_01/2024</v>
      </c>
      <c r="E2642" s="289" t="str">
        <f>IFERROR(VLOOKUP($C2642,'24.08_ND'!$A:$D,3,0),)</f>
        <v>M2</v>
      </c>
      <c r="F2642" s="375">
        <v>4.08</v>
      </c>
      <c r="G2642" s="291">
        <f>IFERROR(VLOOKUP($C2642,'24.08_ND'!$A:$D,4,0),)</f>
        <v>74.739999999999995</v>
      </c>
      <c r="H2642" s="440">
        <f t="shared" si="85"/>
        <v>304.93</v>
      </c>
      <c r="I2642" s="262"/>
      <c r="J2642" s="262"/>
      <c r="K2642" s="262"/>
      <c r="L2642" s="262"/>
      <c r="M2642" s="262"/>
      <c r="N2642" s="262"/>
      <c r="O2642" s="262"/>
      <c r="P2642" s="262"/>
      <c r="Q2642" s="262"/>
      <c r="R2642" s="262"/>
      <c r="S2642" s="262"/>
      <c r="T2642" s="262"/>
      <c r="U2642" s="262"/>
      <c r="V2642" s="262"/>
      <c r="W2642" s="262"/>
      <c r="X2642" s="262"/>
      <c r="Y2642" s="262"/>
      <c r="Z2642" s="262"/>
      <c r="AA2642" s="262"/>
      <c r="AB2642" s="262"/>
      <c r="AD2642" s="1791" t="e">
        <f>VLOOKUP(C2642,'Medição '!$B$16:$F$1833,6,0)</f>
        <v>#N/A</v>
      </c>
      <c r="AE2642" s="1791"/>
    </row>
    <row r="2643" spans="1:31" ht="30">
      <c r="A2643" s="854" t="s">
        <v>14478</v>
      </c>
      <c r="B2643" s="786" t="s">
        <v>14476</v>
      </c>
      <c r="C2643" s="677">
        <v>92801</v>
      </c>
      <c r="D2643" s="288" t="str">
        <f>IFERROR(VLOOKUP($C2643,'24.08_ND'!$A:$D,2,0),)</f>
        <v>CORTE E DOBRA DE AÇO CA-50, DIÂMETRO DE 6,3 MM. AF_06/2022</v>
      </c>
      <c r="E2643" s="289" t="str">
        <f>IFERROR(VLOOKUP($C2643,'24.08_ND'!$A:$D,3,0),)</f>
        <v>KG</v>
      </c>
      <c r="F2643" s="375">
        <v>19.740600000000001</v>
      </c>
      <c r="G2643" s="291">
        <f>IFERROR(VLOOKUP($C2643,'24.08_ND'!$A:$D,4,0),)</f>
        <v>10.33</v>
      </c>
      <c r="H2643" s="440">
        <f t="shared" si="85"/>
        <v>203.92</v>
      </c>
      <c r="I2643" s="262"/>
      <c r="J2643" s="262"/>
      <c r="K2643" s="262"/>
      <c r="L2643" s="262"/>
      <c r="M2643" s="262"/>
      <c r="N2643" s="262"/>
      <c r="O2643" s="262"/>
      <c r="P2643" s="262"/>
      <c r="Q2643" s="262"/>
      <c r="R2643" s="262"/>
      <c r="S2643" s="262"/>
      <c r="T2643" s="262"/>
      <c r="U2643" s="262"/>
      <c r="V2643" s="262"/>
      <c r="W2643" s="262"/>
      <c r="X2643" s="262"/>
      <c r="Y2643" s="262"/>
      <c r="Z2643" s="262"/>
      <c r="AA2643" s="262"/>
      <c r="AB2643" s="262"/>
      <c r="AD2643" s="1791" t="e">
        <f>VLOOKUP(C2643,'Medição '!$B$16:$F$1833,6,0)</f>
        <v>#N/A</v>
      </c>
      <c r="AE2643" s="1791"/>
    </row>
    <row r="2644" spans="1:31" ht="30">
      <c r="A2644" s="854" t="s">
        <v>14478</v>
      </c>
      <c r="B2644" s="786" t="s">
        <v>14476</v>
      </c>
      <c r="C2644" s="677">
        <v>93382</v>
      </c>
      <c r="D2644" s="288" t="str">
        <f>IFERROR(VLOOKUP($C2644,'24.08_ND'!$A:$D,2,0),)</f>
        <v>REATERRO MANUAL DE VALAS, COM COMPACTADOR DE SOLOS DE PERCUSSÃO. AF_08/2023</v>
      </c>
      <c r="E2644" s="289" t="str">
        <f>IFERROR(VLOOKUP($C2644,'24.08_ND'!$A:$D,3,0),)</f>
        <v>M3</v>
      </c>
      <c r="F2644" s="375">
        <v>6.88E-2</v>
      </c>
      <c r="G2644" s="291">
        <f>IFERROR(VLOOKUP($C2644,'24.08_ND'!$A:$D,4,0),)</f>
        <v>21.51</v>
      </c>
      <c r="H2644" s="440">
        <f t="shared" si="85"/>
        <v>1.47</v>
      </c>
      <c r="I2644" s="262"/>
      <c r="J2644" s="262"/>
      <c r="K2644" s="262"/>
      <c r="L2644" s="262"/>
      <c r="M2644" s="262"/>
      <c r="N2644" s="262"/>
      <c r="O2644" s="262"/>
      <c r="P2644" s="262"/>
      <c r="Q2644" s="262"/>
      <c r="R2644" s="262"/>
      <c r="S2644" s="262"/>
      <c r="T2644" s="262"/>
      <c r="U2644" s="262"/>
      <c r="V2644" s="262"/>
      <c r="W2644" s="262"/>
      <c r="X2644" s="262"/>
      <c r="Y2644" s="262"/>
      <c r="Z2644" s="262"/>
      <c r="AA2644" s="262"/>
      <c r="AB2644" s="262"/>
      <c r="AD2644" s="1791" t="e">
        <f>VLOOKUP(C2644,'Medição '!$B$16:$F$1833,6,0)</f>
        <v>#REF!</v>
      </c>
      <c r="AE2644" s="1791"/>
    </row>
    <row r="2645" spans="1:31" ht="38.25">
      <c r="A2645" s="854" t="s">
        <v>14478</v>
      </c>
      <c r="B2645" s="786" t="s">
        <v>14476</v>
      </c>
      <c r="C2645" s="677">
        <v>100978</v>
      </c>
      <c r="D2645" s="288" t="str">
        <f>IFERROR(VLOOKUP($C2645,'24.08_ND'!$A:$D,2,0),)</f>
        <v>CARGA, MANOBRA E DESCARGA DE SOLOS E MATERIAIS GRANULARES EM CAMINHÃO BASCULANTE 10 M³ - CARGA COM ESCAVADEIRA HIDRÁULICA (CAÇAMBA DE 1,20 M³ / 155 HP) E DESCARGA LIVRE (UNIDADE: M3). AF_07/2020</v>
      </c>
      <c r="E2645" s="289" t="str">
        <f>IFERROR(VLOOKUP($C2645,'24.08_ND'!$A:$D,3,0),)</f>
        <v>M3</v>
      </c>
      <c r="F2645" s="375">
        <v>0.61199999999999999</v>
      </c>
      <c r="G2645" s="291">
        <f>IFERROR(VLOOKUP($C2645,'24.08_ND'!$A:$D,4,0),)</f>
        <v>6.31</v>
      </c>
      <c r="H2645" s="440">
        <f t="shared" si="85"/>
        <v>3.86</v>
      </c>
      <c r="I2645" s="262"/>
      <c r="J2645" s="262"/>
      <c r="K2645" s="262"/>
      <c r="L2645" s="262"/>
      <c r="M2645" s="262"/>
      <c r="N2645" s="262"/>
      <c r="O2645" s="262"/>
      <c r="P2645" s="262"/>
      <c r="Q2645" s="262"/>
      <c r="R2645" s="262"/>
      <c r="S2645" s="262"/>
      <c r="T2645" s="262"/>
      <c r="U2645" s="262"/>
      <c r="V2645" s="262"/>
      <c r="W2645" s="262"/>
      <c r="X2645" s="262"/>
      <c r="Y2645" s="262"/>
      <c r="Z2645" s="262"/>
      <c r="AA2645" s="262"/>
      <c r="AB2645" s="262"/>
      <c r="AD2645" s="1791" t="e">
        <f>VLOOKUP(C2645,'Medição '!$B$16:$F$1833,6,0)</f>
        <v>#REF!</v>
      </c>
      <c r="AE2645" s="1791"/>
    </row>
    <row r="2646" spans="1:31" ht="30">
      <c r="A2646" s="854" t="s">
        <v>14478</v>
      </c>
      <c r="B2646" s="786" t="s">
        <v>14476</v>
      </c>
      <c r="C2646" s="677">
        <v>100938</v>
      </c>
      <c r="D2646" s="288" t="str">
        <f>IFERROR(VLOOKUP($C2646,'24.08_ND'!$A:$D,2,0),)</f>
        <v>TRANSPORTE COM CAMINHÃO BASCULANTE DE 10 M³, EM VIA INTERNA (DENTRO DO CANTEIRO - UNIDADE: M3XKM). AF_07/2020</v>
      </c>
      <c r="E2646" s="289" t="str">
        <f>IFERROR(VLOOKUP($C2646,'24.08_ND'!$A:$D,3,0),)</f>
        <v>M3XKM</v>
      </c>
      <c r="F2646" s="855">
        <v>0.20399999999999999</v>
      </c>
      <c r="G2646" s="291">
        <f>IFERROR(VLOOKUP($C2646,'24.08_ND'!$A:$D,4,0),)</f>
        <v>6.9</v>
      </c>
      <c r="H2646" s="440">
        <f t="shared" si="85"/>
        <v>1.4</v>
      </c>
      <c r="I2646" s="262"/>
      <c r="J2646" s="262"/>
      <c r="K2646" s="262"/>
      <c r="L2646" s="262"/>
      <c r="M2646" s="262"/>
      <c r="N2646" s="262"/>
      <c r="O2646" s="262"/>
      <c r="P2646" s="262"/>
      <c r="Q2646" s="262"/>
      <c r="R2646" s="262"/>
      <c r="S2646" s="262"/>
      <c r="T2646" s="262"/>
      <c r="U2646" s="262"/>
      <c r="V2646" s="262"/>
      <c r="W2646" s="262"/>
      <c r="X2646" s="262"/>
      <c r="Y2646" s="262"/>
      <c r="Z2646" s="262"/>
      <c r="AA2646" s="262"/>
      <c r="AB2646" s="262"/>
      <c r="AD2646" s="1791" t="e">
        <f>VLOOKUP(C2646,'Medição '!$B$16:$F$1833,6,0)</f>
        <v>#REF!</v>
      </c>
      <c r="AE2646" s="1791"/>
    </row>
    <row r="2647" spans="1:31" ht="30">
      <c r="A2647" s="854" t="s">
        <v>14478</v>
      </c>
      <c r="B2647" s="786" t="s">
        <v>14476</v>
      </c>
      <c r="C2647" s="677">
        <v>98555</v>
      </c>
      <c r="D2647" s="288" t="str">
        <f>IFERROR(VLOOKUP($C2647,'24.08_ND'!$A:$D,2,0),)</f>
        <v>IMPERMEABILIZAÇÃO DE SUPERFÍCIE COM ARGAMASSA POLIMÉRICA / MEMBRANA ACRÍLICA, 3 DEMÃOS. AF_09/2023</v>
      </c>
      <c r="E2647" s="289" t="str">
        <f>IFERROR(VLOOKUP($C2647,'24.08_ND'!$A:$D,3,0),)</f>
        <v>M2</v>
      </c>
      <c r="F2647" s="375">
        <v>2.16</v>
      </c>
      <c r="G2647" s="291">
        <f>IFERROR(VLOOKUP($C2647,'24.08_ND'!$A:$D,4,0),)</f>
        <v>26.66</v>
      </c>
      <c r="H2647" s="440">
        <f t="shared" si="85"/>
        <v>57.58</v>
      </c>
      <c r="I2647" s="262"/>
      <c r="J2647" s="262"/>
      <c r="K2647" s="262"/>
      <c r="L2647" s="262"/>
      <c r="M2647" s="262"/>
      <c r="N2647" s="262"/>
      <c r="O2647" s="262"/>
      <c r="P2647" s="262"/>
      <c r="Q2647" s="262"/>
      <c r="R2647" s="262"/>
      <c r="S2647" s="262"/>
      <c r="T2647" s="262"/>
      <c r="U2647" s="262"/>
      <c r="V2647" s="262"/>
      <c r="W2647" s="262"/>
      <c r="X2647" s="262"/>
      <c r="Y2647" s="262"/>
      <c r="Z2647" s="262"/>
      <c r="AA2647" s="262"/>
      <c r="AB2647" s="262"/>
      <c r="AD2647" s="1791" t="e">
        <f>VLOOKUP(C2647,'Medição '!$B$16:$F$1833,6,0)</f>
        <v>#REF!</v>
      </c>
      <c r="AE2647" s="1791"/>
    </row>
    <row r="2648" spans="1:31" ht="25.5">
      <c r="A2648" s="445" t="s">
        <v>14479</v>
      </c>
      <c r="B2648" s="446" t="s">
        <v>14476</v>
      </c>
      <c r="C2648" s="447">
        <v>34493</v>
      </c>
      <c r="D2648" s="296" t="str">
        <f>IFERROR(VLOOKUP($C2648,'24.08_ND'!$A:$D,2,0),)</f>
        <v>CONCRETO USINADO BOMBEAVEL, CLASSE DE RESISTENCIA C25, COM BRITA 0 E 1, SLUMP = 100 +/- 20 MM, EXCLUI SERVICO DE BOMBEAMENTO (NBR 8953)</v>
      </c>
      <c r="E2648" s="297" t="str">
        <f>IFERROR(VLOOKUP($C2648,'24.08_ND'!$A:$D,3,0),)</f>
        <v>M3</v>
      </c>
      <c r="F2648" s="385">
        <v>0.28800000000000003</v>
      </c>
      <c r="G2648" s="299">
        <f>IFERROR(VLOOKUP($C2648,'24.08_ND'!$A:$D,4,0),)</f>
        <v>632.25</v>
      </c>
      <c r="H2648" s="449">
        <f t="shared" si="85"/>
        <v>182.08</v>
      </c>
      <c r="I2648" s="262"/>
      <c r="J2648" s="262"/>
      <c r="K2648" s="262"/>
      <c r="L2648" s="262"/>
      <c r="M2648" s="262"/>
      <c r="N2648" s="262"/>
      <c r="O2648" s="262"/>
      <c r="P2648" s="262"/>
      <c r="Q2648" s="262"/>
      <c r="R2648" s="262"/>
      <c r="S2648" s="262"/>
      <c r="T2648" s="262"/>
      <c r="U2648" s="262"/>
      <c r="V2648" s="262"/>
      <c r="W2648" s="262"/>
      <c r="X2648" s="262"/>
      <c r="Y2648" s="262"/>
      <c r="Z2648" s="262"/>
      <c r="AA2648" s="262"/>
      <c r="AB2648" s="262"/>
    </row>
    <row r="2649" spans="1:31" ht="12.75">
      <c r="A2649" s="793"/>
      <c r="B2649" s="794"/>
      <c r="C2649" s="795"/>
      <c r="D2649" s="796"/>
      <c r="E2649" s="370"/>
      <c r="F2649" s="369"/>
      <c r="G2649" s="370"/>
      <c r="H2649" s="371"/>
      <c r="I2649" s="262"/>
      <c r="J2649" s="262"/>
      <c r="K2649" s="262"/>
      <c r="L2649" s="262"/>
      <c r="M2649" s="262"/>
      <c r="N2649" s="262"/>
      <c r="O2649" s="262"/>
      <c r="P2649" s="262"/>
      <c r="Q2649" s="262"/>
      <c r="R2649" s="262"/>
      <c r="S2649" s="262"/>
      <c r="T2649" s="262"/>
      <c r="U2649" s="262"/>
      <c r="V2649" s="262"/>
      <c r="W2649" s="262"/>
      <c r="X2649" s="262"/>
      <c r="Y2649" s="262"/>
      <c r="Z2649" s="262"/>
      <c r="AA2649" s="262"/>
      <c r="AB2649" s="262"/>
    </row>
    <row r="2650" spans="1:31" ht="38.25">
      <c r="A2650" s="358" t="s">
        <v>14471</v>
      </c>
      <c r="B2650" s="359" t="s">
        <v>14472</v>
      </c>
      <c r="C2650" s="360" t="s">
        <v>15392</v>
      </c>
      <c r="D2650" s="361" t="s">
        <v>15393</v>
      </c>
      <c r="E2650" s="359" t="s">
        <v>6</v>
      </c>
      <c r="F2650" s="362"/>
      <c r="G2650" s="362"/>
      <c r="H2650" s="363">
        <f>TRUNC(SUM(H2652:H2658),2)</f>
        <v>65.599999999999994</v>
      </c>
      <c r="I2650" s="276">
        <f>COUNTIF($C$8:$C2650,C:C)</f>
        <v>1</v>
      </c>
      <c r="J2650" s="368"/>
      <c r="K2650" s="368"/>
      <c r="L2650" s="368"/>
      <c r="M2650" s="368"/>
      <c r="N2650" s="368"/>
      <c r="O2650" s="368"/>
      <c r="P2650" s="368"/>
      <c r="Q2650" s="368"/>
      <c r="R2650" s="368"/>
      <c r="S2650" s="368"/>
      <c r="T2650" s="368"/>
      <c r="U2650" s="368"/>
      <c r="V2650" s="368"/>
      <c r="W2650" s="368"/>
      <c r="X2650" s="368"/>
      <c r="Y2650" s="368"/>
      <c r="Z2650" s="368"/>
      <c r="AA2650" s="368"/>
      <c r="AB2650" s="368"/>
    </row>
    <row r="2651" spans="1:31" ht="12.75">
      <c r="A2651" s="646" t="s">
        <v>14475</v>
      </c>
      <c r="B2651" s="694" t="s">
        <v>14476</v>
      </c>
      <c r="C2651" s="365">
        <v>104328</v>
      </c>
      <c r="D2651" s="490" t="s">
        <v>14587</v>
      </c>
      <c r="E2651" s="370"/>
      <c r="F2651" s="369"/>
      <c r="G2651" s="370"/>
      <c r="H2651" s="371"/>
      <c r="I2651" s="368"/>
      <c r="J2651" s="368"/>
      <c r="K2651" s="368"/>
      <c r="L2651" s="368"/>
      <c r="M2651" s="368"/>
      <c r="N2651" s="368"/>
      <c r="O2651" s="368"/>
      <c r="P2651" s="368"/>
      <c r="Q2651" s="368"/>
      <c r="R2651" s="368"/>
      <c r="S2651" s="368"/>
      <c r="T2651" s="368"/>
      <c r="U2651" s="368"/>
      <c r="V2651" s="368"/>
      <c r="W2651" s="368"/>
      <c r="X2651" s="368"/>
      <c r="Y2651" s="368"/>
      <c r="Z2651" s="368"/>
      <c r="AA2651" s="368"/>
      <c r="AB2651" s="368"/>
    </row>
    <row r="2652" spans="1:31" ht="25.5">
      <c r="A2652" s="586" t="s">
        <v>14478</v>
      </c>
      <c r="B2652" s="421" t="s">
        <v>14476</v>
      </c>
      <c r="C2652" s="422">
        <v>88248</v>
      </c>
      <c r="D2652" s="288" t="str">
        <f>IFERROR(VLOOKUP($C2652,'24.08_ND'!$A:$D,2,0),)</f>
        <v>AUXILIAR DE ENCANADOR OU BOMBEIRO HIDRÁULICO COM ENCARGOS COMPLEMENTARES</v>
      </c>
      <c r="E2652" s="289" t="str">
        <f>IFERROR(VLOOKUP($C2652,'24.08_ND'!$A:$D,3,0),)</f>
        <v>H</v>
      </c>
      <c r="F2652" s="375">
        <v>0.42309999999999998</v>
      </c>
      <c r="G2652" s="291">
        <f>IFERROR(VLOOKUP($C2652,'24.08_ND'!$A:$D,4,0),)</f>
        <v>19.05</v>
      </c>
      <c r="H2652" s="423">
        <f t="shared" ref="H2652:H2658" si="86">TRUNC(($F2652*$G2652),2)</f>
        <v>8.06</v>
      </c>
      <c r="I2652" s="368"/>
      <c r="J2652" s="368"/>
      <c r="K2652" s="368"/>
      <c r="L2652" s="368"/>
      <c r="M2652" s="368"/>
      <c r="N2652" s="368"/>
      <c r="O2652" s="368"/>
      <c r="P2652" s="368"/>
      <c r="Q2652" s="368"/>
      <c r="R2652" s="368"/>
      <c r="S2652" s="368"/>
      <c r="T2652" s="368"/>
      <c r="U2652" s="368"/>
      <c r="V2652" s="368"/>
      <c r="W2652" s="368"/>
      <c r="X2652" s="368"/>
      <c r="Y2652" s="368"/>
      <c r="Z2652" s="368"/>
      <c r="AA2652" s="368"/>
      <c r="AB2652" s="368"/>
      <c r="AD2652" s="1791" t="e">
        <f>VLOOKUP(C2652,'Medição '!$B$16:$F$1833,6,0)</f>
        <v>#N/A</v>
      </c>
      <c r="AE2652" s="1791"/>
    </row>
    <row r="2653" spans="1:31" ht="25.5">
      <c r="A2653" s="586" t="s">
        <v>14478</v>
      </c>
      <c r="B2653" s="421" t="s">
        <v>14476</v>
      </c>
      <c r="C2653" s="422">
        <v>88267</v>
      </c>
      <c r="D2653" s="288" t="str">
        <f>IFERROR(VLOOKUP($C2653,'24.08_ND'!$A:$D,2,0),)</f>
        <v>ENCANADOR OU BOMBEIRO HIDRÁULICO COM ENCARGOS COMPLEMENTARES</v>
      </c>
      <c r="E2653" s="289" t="str">
        <f>IFERROR(VLOOKUP($C2653,'24.08_ND'!$A:$D,3,0),)</f>
        <v>H</v>
      </c>
      <c r="F2653" s="375">
        <v>0.42309999999999998</v>
      </c>
      <c r="G2653" s="291">
        <f>IFERROR(VLOOKUP($C2653,'24.08_ND'!$A:$D,4,0),)</f>
        <v>23.27</v>
      </c>
      <c r="H2653" s="423">
        <f t="shared" si="86"/>
        <v>9.84</v>
      </c>
      <c r="I2653" s="368"/>
      <c r="J2653" s="368"/>
      <c r="K2653" s="368"/>
      <c r="L2653" s="368"/>
      <c r="M2653" s="368"/>
      <c r="N2653" s="368"/>
      <c r="O2653" s="368"/>
      <c r="P2653" s="368"/>
      <c r="Q2653" s="368"/>
      <c r="R2653" s="368"/>
      <c r="S2653" s="368"/>
      <c r="T2653" s="368"/>
      <c r="U2653" s="368"/>
      <c r="V2653" s="368"/>
      <c r="W2653" s="368"/>
      <c r="X2653" s="368"/>
      <c r="Y2653" s="368"/>
      <c r="Z2653" s="368"/>
      <c r="AA2653" s="368"/>
      <c r="AB2653" s="368"/>
      <c r="AD2653" s="1791" t="e">
        <f>VLOOKUP(C2653,'Medição '!$B$16:$F$1833,6,0)</f>
        <v>#N/A</v>
      </c>
      <c r="AE2653" s="1791"/>
    </row>
    <row r="2654" spans="1:31" ht="12.75">
      <c r="A2654" s="445" t="s">
        <v>14479</v>
      </c>
      <c r="B2654" s="446" t="s">
        <v>14476</v>
      </c>
      <c r="C2654" s="447">
        <v>122</v>
      </c>
      <c r="D2654" s="296" t="str">
        <f>IFERROR(VLOOKUP($C2654,'24.08_ND'!$A:$D,2,0),)</f>
        <v>ADESIVO PLASTICO PARA PVC, FRASCO COM *850* GR</v>
      </c>
      <c r="E2654" s="297" t="str">
        <f>IFERROR(VLOOKUP($C2654,'24.08_ND'!$A:$D,3,0),)</f>
        <v>UN</v>
      </c>
      <c r="F2654" s="385">
        <v>2.92E-2</v>
      </c>
      <c r="G2654" s="299">
        <f>IFERROR(VLOOKUP($C2654,'24.08_ND'!$A:$D,4,0),)</f>
        <v>70.09</v>
      </c>
      <c r="H2654" s="449">
        <f t="shared" si="86"/>
        <v>2.04</v>
      </c>
      <c r="I2654" s="368"/>
      <c r="J2654" s="368"/>
      <c r="K2654" s="368"/>
      <c r="L2654" s="368"/>
      <c r="M2654" s="368"/>
      <c r="N2654" s="368"/>
      <c r="O2654" s="368"/>
      <c r="P2654" s="368"/>
      <c r="Q2654" s="368"/>
      <c r="R2654" s="368"/>
      <c r="S2654" s="368"/>
      <c r="T2654" s="368"/>
      <c r="U2654" s="368"/>
      <c r="V2654" s="368"/>
      <c r="W2654" s="368"/>
      <c r="X2654" s="368"/>
      <c r="Y2654" s="368"/>
      <c r="Z2654" s="368"/>
      <c r="AA2654" s="368"/>
      <c r="AB2654" s="368"/>
    </row>
    <row r="2655" spans="1:31" ht="12.75">
      <c r="A2655" s="445" t="s">
        <v>14479</v>
      </c>
      <c r="B2655" s="446" t="s">
        <v>14476</v>
      </c>
      <c r="C2655" s="447">
        <v>20083</v>
      </c>
      <c r="D2655" s="296" t="str">
        <f>IFERROR(VLOOKUP($C2655,'24.08_ND'!$A:$D,2,0),)</f>
        <v>SOLUCAO PREPARADORA / LIMPADORA PARA PVC, FRASCO COM 1000 CM3</v>
      </c>
      <c r="E2655" s="297" t="str">
        <f>IFERROR(VLOOKUP($C2655,'24.08_ND'!$A:$D,3,0),)</f>
        <v>UN</v>
      </c>
      <c r="F2655" s="385">
        <v>4.3999999999999997E-2</v>
      </c>
      <c r="G2655" s="299">
        <f>IFERROR(VLOOKUP($C2655,'24.08_ND'!$A:$D,4,0),)</f>
        <v>79.41</v>
      </c>
      <c r="H2655" s="449">
        <f t="shared" si="86"/>
        <v>3.49</v>
      </c>
      <c r="I2655" s="368"/>
      <c r="J2655" s="368"/>
      <c r="K2655" s="368"/>
      <c r="L2655" s="368"/>
      <c r="M2655" s="368"/>
      <c r="N2655" s="368"/>
      <c r="O2655" s="368"/>
      <c r="P2655" s="368"/>
      <c r="Q2655" s="368"/>
      <c r="R2655" s="368"/>
      <c r="S2655" s="368"/>
      <c r="T2655" s="368"/>
      <c r="U2655" s="368"/>
      <c r="V2655" s="368"/>
      <c r="W2655" s="368"/>
      <c r="X2655" s="368"/>
      <c r="Y2655" s="368"/>
      <c r="Z2655" s="368"/>
      <c r="AA2655" s="368"/>
      <c r="AB2655" s="368"/>
    </row>
    <row r="2656" spans="1:31" ht="12.75">
      <c r="A2656" s="445" t="s">
        <v>14479</v>
      </c>
      <c r="B2656" s="446" t="s">
        <v>14476</v>
      </c>
      <c r="C2656" s="447">
        <v>38383</v>
      </c>
      <c r="D2656" s="296" t="str">
        <f>IFERROR(VLOOKUP($C2656,'24.08_ND'!$A:$D,2,0),)</f>
        <v>LIXA D'AGUA EM FOLHA, GRAO 100</v>
      </c>
      <c r="E2656" s="297" t="str">
        <f>IFERROR(VLOOKUP($C2656,'24.08_ND'!$A:$D,3,0),)</f>
        <v>UN</v>
      </c>
      <c r="F2656" s="385">
        <v>1.54E-2</v>
      </c>
      <c r="G2656" s="299">
        <f>IFERROR(VLOOKUP($C2656,'24.08_ND'!$A:$D,4,0),)</f>
        <v>2.5</v>
      </c>
      <c r="H2656" s="449">
        <f t="shared" si="86"/>
        <v>0.03</v>
      </c>
      <c r="I2656" s="368"/>
      <c r="J2656" s="368"/>
      <c r="K2656" s="368"/>
      <c r="L2656" s="368"/>
      <c r="M2656" s="368"/>
      <c r="N2656" s="368"/>
      <c r="O2656" s="368"/>
      <c r="P2656" s="368"/>
      <c r="Q2656" s="368"/>
      <c r="R2656" s="368"/>
      <c r="S2656" s="368"/>
      <c r="T2656" s="368"/>
      <c r="U2656" s="368"/>
      <c r="V2656" s="368"/>
      <c r="W2656" s="368"/>
      <c r="X2656" s="368"/>
      <c r="Y2656" s="368"/>
      <c r="Z2656" s="368"/>
      <c r="AA2656" s="368"/>
      <c r="AB2656" s="368"/>
    </row>
    <row r="2657" spans="1:31" ht="38.25">
      <c r="A2657" s="590" t="s">
        <v>14479</v>
      </c>
      <c r="B2657" s="312" t="str">
        <f>VLOOKUP($C2657,'• CIs EXT'!$A:$E,2,0)</f>
        <v>CPOS/CDHU</v>
      </c>
      <c r="C2657" s="377" t="s">
        <v>15394</v>
      </c>
      <c r="D2657" s="378" t="str">
        <f>VLOOKUP($C2657,'• CIs EXT'!$A:$E,3,0)</f>
        <v>GRELHA METÁLICA DE 100 X 100 MM, PARA CAIXA SIFONADA OU RALO, REF. METAL VILA OU EQUIVALENTE</v>
      </c>
      <c r="E2657" s="379" t="str">
        <f>VLOOKUP($C2657,'• CIs EXT'!$A:$E,4,0)</f>
        <v>UN</v>
      </c>
      <c r="F2657" s="380">
        <v>1</v>
      </c>
      <c r="G2657" s="379">
        <f>VLOOKUP($C2657,'• CIs EXT'!$A:$E,5,0)</f>
        <v>20.25</v>
      </c>
      <c r="H2657" s="381">
        <f t="shared" si="86"/>
        <v>20.25</v>
      </c>
      <c r="I2657" s="368"/>
      <c r="J2657" s="368"/>
      <c r="K2657" s="368"/>
      <c r="L2657" s="368"/>
      <c r="M2657" s="368"/>
      <c r="N2657" s="368"/>
      <c r="O2657" s="368"/>
      <c r="P2657" s="368"/>
      <c r="Q2657" s="368"/>
      <c r="R2657" s="368"/>
      <c r="S2657" s="368"/>
      <c r="T2657" s="368"/>
      <c r="U2657" s="368"/>
      <c r="V2657" s="368"/>
      <c r="W2657" s="368"/>
      <c r="X2657" s="368"/>
      <c r="Y2657" s="368"/>
      <c r="Z2657" s="368"/>
      <c r="AA2657" s="368"/>
      <c r="AB2657" s="368"/>
    </row>
    <row r="2658" spans="1:31" ht="38.25">
      <c r="A2658" s="590" t="s">
        <v>14479</v>
      </c>
      <c r="B2658" s="312" t="str">
        <f>VLOOKUP($C2658,'• CIs EXT'!$A:$E,2,0)</f>
        <v>CPOS/CDHU</v>
      </c>
      <c r="C2658" s="377" t="s">
        <v>15395</v>
      </c>
      <c r="D2658" s="378" t="str">
        <f>VLOOKUP($C2658,'• CIs EXT'!$A:$E,3,0)</f>
        <v>CAIXA SIFONADA EM PVC RÍGIDO DE 100 X 150 X 50 MM</v>
      </c>
      <c r="E2658" s="379" t="str">
        <f>VLOOKUP($C2658,'• CIs EXT'!$A:$E,4,0)</f>
        <v>UN</v>
      </c>
      <c r="F2658" s="380">
        <v>1</v>
      </c>
      <c r="G2658" s="379">
        <f>VLOOKUP($C2658,'• CIs EXT'!$A:$E,5,0)</f>
        <v>21.89</v>
      </c>
      <c r="H2658" s="381">
        <f t="shared" si="86"/>
        <v>21.89</v>
      </c>
      <c r="I2658" s="368"/>
      <c r="J2658" s="368"/>
      <c r="K2658" s="368"/>
      <c r="L2658" s="368"/>
      <c r="M2658" s="368"/>
      <c r="N2658" s="368"/>
      <c r="O2658" s="368"/>
      <c r="P2658" s="368"/>
      <c r="Q2658" s="368"/>
      <c r="R2658" s="368"/>
      <c r="S2658" s="368"/>
      <c r="T2658" s="368"/>
      <c r="U2658" s="368"/>
      <c r="V2658" s="368"/>
      <c r="W2658" s="368"/>
      <c r="X2658" s="368"/>
      <c r="Y2658" s="368"/>
      <c r="Z2658" s="368"/>
      <c r="AA2658" s="368"/>
      <c r="AB2658" s="368"/>
    </row>
    <row r="2659" spans="1:31" ht="12.75">
      <c r="A2659" s="793"/>
      <c r="B2659" s="794"/>
      <c r="C2659" s="795"/>
      <c r="D2659" s="796"/>
      <c r="E2659" s="370"/>
      <c r="F2659" s="369"/>
      <c r="G2659" s="370"/>
      <c r="H2659" s="371"/>
      <c r="I2659" s="262"/>
      <c r="J2659" s="262"/>
      <c r="K2659" s="262"/>
      <c r="L2659" s="262"/>
      <c r="M2659" s="262"/>
      <c r="N2659" s="262"/>
      <c r="O2659" s="262"/>
      <c r="P2659" s="262"/>
      <c r="Q2659" s="262"/>
      <c r="R2659" s="262"/>
      <c r="S2659" s="262"/>
      <c r="T2659" s="262"/>
      <c r="U2659" s="262"/>
      <c r="V2659" s="262"/>
      <c r="W2659" s="262"/>
      <c r="X2659" s="262"/>
      <c r="Y2659" s="262"/>
      <c r="Z2659" s="262"/>
      <c r="AA2659" s="262"/>
      <c r="AB2659" s="262"/>
    </row>
    <row r="2660" spans="1:31" ht="25.5">
      <c r="A2660" s="358" t="s">
        <v>14471</v>
      </c>
      <c r="B2660" s="359" t="s">
        <v>14472</v>
      </c>
      <c r="C2660" s="360" t="s">
        <v>15396</v>
      </c>
      <c r="D2660" s="361" t="s">
        <v>15397</v>
      </c>
      <c r="E2660" s="359" t="s">
        <v>6</v>
      </c>
      <c r="F2660" s="362"/>
      <c r="G2660" s="362"/>
      <c r="H2660" s="363">
        <f>TRUNC(SUM(H2662:H2665),2)</f>
        <v>33.31</v>
      </c>
      <c r="I2660" s="276">
        <f>COUNTIF($C$8:$C2660,C:C)</f>
        <v>1</v>
      </c>
      <c r="J2660" s="368"/>
      <c r="K2660" s="368"/>
      <c r="L2660" s="368"/>
      <c r="M2660" s="368"/>
      <c r="N2660" s="368"/>
      <c r="O2660" s="368"/>
      <c r="P2660" s="368"/>
      <c r="Q2660" s="368"/>
      <c r="R2660" s="368"/>
      <c r="S2660" s="368"/>
      <c r="T2660" s="368"/>
      <c r="U2660" s="368"/>
      <c r="V2660" s="368"/>
      <c r="W2660" s="368"/>
      <c r="X2660" s="368"/>
      <c r="Y2660" s="368"/>
      <c r="Z2660" s="368"/>
      <c r="AA2660" s="368"/>
      <c r="AB2660" s="368"/>
    </row>
    <row r="2661" spans="1:31" ht="12.75">
      <c r="A2661" s="646" t="s">
        <v>14475</v>
      </c>
      <c r="B2661" s="694" t="s">
        <v>14600</v>
      </c>
      <c r="C2661" s="365">
        <v>13549</v>
      </c>
      <c r="D2661" s="367" t="s">
        <v>14567</v>
      </c>
      <c r="E2661" s="370"/>
      <c r="F2661" s="369"/>
      <c r="G2661" s="370"/>
      <c r="H2661" s="371"/>
      <c r="I2661" s="368"/>
      <c r="J2661" s="368"/>
      <c r="K2661" s="368"/>
      <c r="L2661" s="368"/>
      <c r="M2661" s="368"/>
      <c r="N2661" s="368"/>
      <c r="O2661" s="368"/>
      <c r="P2661" s="368"/>
      <c r="Q2661" s="368"/>
      <c r="R2661" s="368"/>
      <c r="S2661" s="368"/>
      <c r="T2661" s="368"/>
      <c r="U2661" s="368"/>
      <c r="V2661" s="368"/>
      <c r="W2661" s="368"/>
      <c r="X2661" s="368"/>
      <c r="Y2661" s="368"/>
      <c r="Z2661" s="368"/>
      <c r="AA2661" s="368"/>
      <c r="AB2661" s="368"/>
    </row>
    <row r="2662" spans="1:31" ht="25.5">
      <c r="A2662" s="586" t="s">
        <v>14478</v>
      </c>
      <c r="B2662" s="421" t="s">
        <v>14476</v>
      </c>
      <c r="C2662" s="422">
        <v>88248</v>
      </c>
      <c r="D2662" s="288" t="str">
        <f>IFERROR(VLOOKUP($C2662,'24.08_ND'!$A:$D,2,0),)</f>
        <v>AUXILIAR DE ENCANADOR OU BOMBEIRO HIDRÁULICO COM ENCARGOS COMPLEMENTARES</v>
      </c>
      <c r="E2662" s="289" t="str">
        <f>IFERROR(VLOOKUP($C2662,'24.08_ND'!$A:$D,3,0),)</f>
        <v>H</v>
      </c>
      <c r="F2662" s="375">
        <v>0.13500000000000001</v>
      </c>
      <c r="G2662" s="291">
        <f>IFERROR(VLOOKUP($C2662,'24.08_ND'!$A:$D,4,0),)</f>
        <v>19.05</v>
      </c>
      <c r="H2662" s="423">
        <f>TRUNC(($F2662*$G2662),2)</f>
        <v>2.57</v>
      </c>
      <c r="I2662" s="368"/>
      <c r="J2662" s="368"/>
      <c r="K2662" s="368"/>
      <c r="L2662" s="368"/>
      <c r="M2662" s="368"/>
      <c r="N2662" s="368"/>
      <c r="O2662" s="368"/>
      <c r="P2662" s="368"/>
      <c r="Q2662" s="368"/>
      <c r="R2662" s="368"/>
      <c r="S2662" s="368"/>
      <c r="T2662" s="368"/>
      <c r="U2662" s="368"/>
      <c r="V2662" s="368"/>
      <c r="W2662" s="368"/>
      <c r="X2662" s="368"/>
      <c r="Y2662" s="368"/>
      <c r="Z2662" s="368"/>
      <c r="AA2662" s="368"/>
      <c r="AB2662" s="368"/>
      <c r="AD2662" s="1791" t="e">
        <f>VLOOKUP(C2662,'Medição '!$B$16:$F$1833,6,0)</f>
        <v>#N/A</v>
      </c>
      <c r="AE2662" s="1791"/>
    </row>
    <row r="2663" spans="1:31" ht="25.5">
      <c r="A2663" s="586" t="s">
        <v>14478</v>
      </c>
      <c r="B2663" s="421" t="s">
        <v>14476</v>
      </c>
      <c r="C2663" s="422">
        <v>88267</v>
      </c>
      <c r="D2663" s="288" t="str">
        <f>IFERROR(VLOOKUP($C2663,'24.08_ND'!$A:$D,2,0),)</f>
        <v>ENCANADOR OU BOMBEIRO HIDRÁULICO COM ENCARGOS COMPLEMENTARES</v>
      </c>
      <c r="E2663" s="289" t="str">
        <f>IFERROR(VLOOKUP($C2663,'24.08_ND'!$A:$D,3,0),)</f>
        <v>H</v>
      </c>
      <c r="F2663" s="375">
        <v>0.13500000000000001</v>
      </c>
      <c r="G2663" s="291">
        <f>IFERROR(VLOOKUP($C2663,'24.08_ND'!$A:$D,4,0),)</f>
        <v>23.27</v>
      </c>
      <c r="H2663" s="423">
        <f>TRUNC(($F2663*$G2663),2)</f>
        <v>3.14</v>
      </c>
      <c r="I2663" s="368"/>
      <c r="J2663" s="368"/>
      <c r="K2663" s="368"/>
      <c r="L2663" s="368"/>
      <c r="M2663" s="368"/>
      <c r="N2663" s="368"/>
      <c r="O2663" s="368"/>
      <c r="P2663" s="368"/>
      <c r="Q2663" s="368"/>
      <c r="R2663" s="368"/>
      <c r="S2663" s="368"/>
      <c r="T2663" s="368"/>
      <c r="U2663" s="368"/>
      <c r="V2663" s="368"/>
      <c r="W2663" s="368"/>
      <c r="X2663" s="368"/>
      <c r="Y2663" s="368"/>
      <c r="Z2663" s="368"/>
      <c r="AA2663" s="368"/>
      <c r="AB2663" s="368"/>
      <c r="AD2663" s="1791" t="e">
        <f>VLOOKUP(C2663,'Medição '!$B$16:$F$1833,6,0)</f>
        <v>#N/A</v>
      </c>
      <c r="AE2663" s="1791"/>
    </row>
    <row r="2664" spans="1:31" ht="12.75">
      <c r="A2664" s="590" t="s">
        <v>14479</v>
      </c>
      <c r="B2664" s="312" t="str">
        <f>VLOOKUP($C2664,'• CIs EXT'!$A:$E,2,0)</f>
        <v>ORSE</v>
      </c>
      <c r="C2664" s="377">
        <v>14295</v>
      </c>
      <c r="D2664" s="378" t="str">
        <f>VLOOKUP($C2664,'• CIs EXT'!$A:$E,3,0)</f>
        <v>PORTA GRELHA PVC REDONDA, CROMADO, P/CAIXA E RALOS, D= 100MM</v>
      </c>
      <c r="E2664" s="379" t="str">
        <f>VLOOKUP($C2664,'• CIs EXT'!$A:$E,4,0)</f>
        <v>UN</v>
      </c>
      <c r="F2664" s="380">
        <v>1</v>
      </c>
      <c r="G2664" s="379">
        <f>VLOOKUP($C2664,'• CIs EXT'!$A:$E,5,0)</f>
        <v>4.9000000000000004</v>
      </c>
      <c r="H2664" s="381">
        <f>TRUNC(($F2664*$G2664),2)</f>
        <v>4.9000000000000004</v>
      </c>
      <c r="I2664" s="368"/>
      <c r="J2664" s="368"/>
      <c r="K2664" s="368"/>
      <c r="L2664" s="368"/>
      <c r="M2664" s="368"/>
      <c r="N2664" s="368"/>
      <c r="O2664" s="368"/>
      <c r="P2664" s="368"/>
      <c r="Q2664" s="368"/>
      <c r="R2664" s="368"/>
      <c r="S2664" s="368"/>
      <c r="T2664" s="368"/>
      <c r="U2664" s="368"/>
      <c r="V2664" s="368"/>
      <c r="W2664" s="368"/>
      <c r="X2664" s="368"/>
      <c r="Y2664" s="368"/>
      <c r="Z2664" s="368"/>
      <c r="AA2664" s="368"/>
      <c r="AB2664" s="368"/>
    </row>
    <row r="2665" spans="1:31" ht="12.75">
      <c r="A2665" s="590" t="s">
        <v>14479</v>
      </c>
      <c r="B2665" s="312" t="str">
        <f>VLOOKUP($C2665,'• CIs EXT'!$A:$E,2,0)</f>
        <v>SUDECAP</v>
      </c>
      <c r="C2665" s="377" t="s">
        <v>15398</v>
      </c>
      <c r="D2665" s="378" t="str">
        <f>VLOOKUP($C2665,'• CIs EXT'!$A:$E,3,0)</f>
        <v>TAMPA CEGA EM INOX PARA CAIXA SIFONADA 150X150MM</v>
      </c>
      <c r="E2665" s="379" t="str">
        <f>VLOOKUP($C2665,'• CIs EXT'!$A:$E,4,0)</f>
        <v>UN</v>
      </c>
      <c r="F2665" s="380">
        <v>1</v>
      </c>
      <c r="G2665" s="379">
        <f>VLOOKUP($C2665,'• CIs EXT'!$A:$E,5,0)</f>
        <v>22.7</v>
      </c>
      <c r="H2665" s="381">
        <f>TRUNC(($F2665*$G2665),2)</f>
        <v>22.7</v>
      </c>
      <c r="I2665" s="368"/>
      <c r="J2665" s="368"/>
      <c r="K2665" s="368"/>
      <c r="L2665" s="368"/>
      <c r="M2665" s="368"/>
      <c r="N2665" s="368"/>
      <c r="O2665" s="368"/>
      <c r="P2665" s="368"/>
      <c r="Q2665" s="368"/>
      <c r="R2665" s="368"/>
      <c r="S2665" s="368"/>
      <c r="T2665" s="368"/>
      <c r="U2665" s="368"/>
      <c r="V2665" s="368"/>
      <c r="W2665" s="368"/>
      <c r="X2665" s="368"/>
      <c r="Y2665" s="368"/>
      <c r="Z2665" s="368"/>
      <c r="AA2665" s="368"/>
      <c r="AB2665" s="368"/>
    </row>
    <row r="2666" spans="1:31" ht="12.75">
      <c r="A2666" s="686"/>
      <c r="B2666" s="687"/>
      <c r="C2666" s="688"/>
      <c r="D2666" s="689"/>
      <c r="E2666" s="690"/>
      <c r="F2666" s="691"/>
      <c r="G2666" s="690"/>
      <c r="H2666" s="692"/>
      <c r="I2666" s="262"/>
      <c r="J2666" s="262"/>
      <c r="K2666" s="262"/>
      <c r="L2666" s="262"/>
      <c r="M2666" s="262"/>
      <c r="N2666" s="262"/>
      <c r="O2666" s="262"/>
      <c r="P2666" s="262"/>
      <c r="Q2666" s="262"/>
      <c r="R2666" s="262"/>
      <c r="S2666" s="262"/>
      <c r="T2666" s="262"/>
      <c r="U2666" s="262"/>
      <c r="V2666" s="262"/>
      <c r="W2666" s="262"/>
      <c r="X2666" s="262"/>
      <c r="Y2666" s="262"/>
      <c r="Z2666" s="262"/>
      <c r="AA2666" s="262"/>
      <c r="AB2666" s="262"/>
    </row>
    <row r="2667" spans="1:31" ht="38.25">
      <c r="A2667" s="358" t="s">
        <v>14471</v>
      </c>
      <c r="B2667" s="359" t="s">
        <v>14472</v>
      </c>
      <c r="C2667" s="360" t="s">
        <v>15399</v>
      </c>
      <c r="D2667" s="361" t="s">
        <v>15400</v>
      </c>
      <c r="E2667" s="359" t="s">
        <v>6</v>
      </c>
      <c r="F2667" s="362"/>
      <c r="G2667" s="362"/>
      <c r="H2667" s="363">
        <f>TRUNC(SUM(H2669:H2682),2)</f>
        <v>2779.81</v>
      </c>
      <c r="I2667" s="276">
        <f>COUNTIF($C$8:$C2667,C:C)</f>
        <v>1</v>
      </c>
      <c r="J2667" s="368"/>
      <c r="K2667" s="368"/>
      <c r="L2667" s="368"/>
      <c r="M2667" s="368"/>
      <c r="N2667" s="368"/>
      <c r="O2667" s="368"/>
      <c r="P2667" s="368"/>
      <c r="Q2667" s="368"/>
      <c r="R2667" s="368"/>
      <c r="S2667" s="368"/>
      <c r="T2667" s="368"/>
      <c r="U2667" s="368"/>
      <c r="V2667" s="368"/>
      <c r="W2667" s="368"/>
      <c r="X2667" s="368"/>
      <c r="Y2667" s="368"/>
      <c r="Z2667" s="368"/>
      <c r="AA2667" s="368"/>
      <c r="AB2667" s="368"/>
    </row>
    <row r="2668" spans="1:31" ht="12.75">
      <c r="A2668" s="646" t="s">
        <v>14475</v>
      </c>
      <c r="B2668" s="694" t="s">
        <v>15401</v>
      </c>
      <c r="C2668" s="365">
        <v>140103</v>
      </c>
      <c r="D2668" s="367" t="s">
        <v>14567</v>
      </c>
      <c r="E2668" s="370"/>
      <c r="F2668" s="369"/>
      <c r="G2668" s="370"/>
      <c r="H2668" s="371"/>
      <c r="I2668" s="368"/>
      <c r="J2668" s="368"/>
      <c r="K2668" s="368"/>
      <c r="L2668" s="368"/>
      <c r="M2668" s="368"/>
      <c r="N2668" s="368"/>
      <c r="O2668" s="368"/>
      <c r="P2668" s="368"/>
      <c r="Q2668" s="368"/>
      <c r="R2668" s="368"/>
      <c r="S2668" s="368"/>
      <c r="T2668" s="368"/>
      <c r="U2668" s="368"/>
      <c r="V2668" s="368"/>
      <c r="W2668" s="368"/>
      <c r="X2668" s="368"/>
      <c r="Y2668" s="368"/>
      <c r="Z2668" s="368"/>
      <c r="AA2668" s="368"/>
      <c r="AB2668" s="368"/>
    </row>
    <row r="2669" spans="1:31" ht="25.5">
      <c r="A2669" s="586" t="s">
        <v>14478</v>
      </c>
      <c r="B2669" s="421" t="s">
        <v>14476</v>
      </c>
      <c r="C2669" s="422">
        <v>88309</v>
      </c>
      <c r="D2669" s="288" t="str">
        <f>IFERROR(VLOOKUP($C2669,'24.08_ND'!$A:$D,2,0),)</f>
        <v>PEDREIRO COM ENCARGOS COMPLEMENTARES</v>
      </c>
      <c r="E2669" s="289" t="str">
        <f>IFERROR(VLOOKUP($C2669,'24.08_ND'!$A:$D,3,0),)</f>
        <v>H</v>
      </c>
      <c r="F2669" s="697">
        <v>5.83</v>
      </c>
      <c r="G2669" s="291">
        <f>IFERROR(VLOOKUP($C2669,'24.08_ND'!$A:$D,4,0),)</f>
        <v>23.33</v>
      </c>
      <c r="H2669" s="423">
        <f t="shared" ref="H2669:H2682" si="87">TRUNC(($F2669*$G2669),2)</f>
        <v>136.01</v>
      </c>
      <c r="I2669" s="368"/>
      <c r="J2669" s="368"/>
      <c r="K2669" s="368"/>
      <c r="L2669" s="368"/>
      <c r="M2669" s="368"/>
      <c r="N2669" s="368"/>
      <c r="O2669" s="368"/>
      <c r="P2669" s="368"/>
      <c r="Q2669" s="368"/>
      <c r="R2669" s="368"/>
      <c r="S2669" s="368"/>
      <c r="T2669" s="368"/>
      <c r="U2669" s="368"/>
      <c r="V2669" s="368"/>
      <c r="W2669" s="368"/>
      <c r="X2669" s="368"/>
      <c r="Y2669" s="368"/>
      <c r="Z2669" s="368"/>
      <c r="AA2669" s="368"/>
      <c r="AB2669" s="368"/>
      <c r="AD2669" s="1791" t="e">
        <f>VLOOKUP(C2669,'Medição '!$B$16:$F$1833,6,0)</f>
        <v>#N/A</v>
      </c>
      <c r="AE2669" s="1791"/>
    </row>
    <row r="2670" spans="1:31" ht="25.5">
      <c r="A2670" s="586" t="s">
        <v>14478</v>
      </c>
      <c r="B2670" s="421" t="s">
        <v>14476</v>
      </c>
      <c r="C2670" s="422">
        <v>88316</v>
      </c>
      <c r="D2670" s="288" t="str">
        <f>IFERROR(VLOOKUP($C2670,'24.08_ND'!$A:$D,2,0),)</f>
        <v>SERVENTE COM ENCARGOS COMPLEMENTARES</v>
      </c>
      <c r="E2670" s="289" t="str">
        <f>IFERROR(VLOOKUP($C2670,'24.08_ND'!$A:$D,3,0),)</f>
        <v>H</v>
      </c>
      <c r="F2670" s="697">
        <v>9.65</v>
      </c>
      <c r="G2670" s="291">
        <f>IFERROR(VLOOKUP($C2670,'24.08_ND'!$A:$D,4,0),)</f>
        <v>18.510000000000002</v>
      </c>
      <c r="H2670" s="423">
        <f t="shared" si="87"/>
        <v>178.62</v>
      </c>
      <c r="I2670" s="368"/>
      <c r="J2670" s="368"/>
      <c r="K2670" s="368"/>
      <c r="L2670" s="368"/>
      <c r="M2670" s="368"/>
      <c r="N2670" s="368"/>
      <c r="O2670" s="368"/>
      <c r="P2670" s="368"/>
      <c r="Q2670" s="368"/>
      <c r="R2670" s="368"/>
      <c r="S2670" s="368"/>
      <c r="T2670" s="368"/>
      <c r="U2670" s="368"/>
      <c r="V2670" s="368"/>
      <c r="W2670" s="368"/>
      <c r="X2670" s="368"/>
      <c r="Y2670" s="368"/>
      <c r="Z2670" s="368"/>
      <c r="AA2670" s="368"/>
      <c r="AB2670" s="368"/>
      <c r="AD2670" s="1791" t="e">
        <f>VLOOKUP(C2670,'Medição '!$B$16:$F$1833,6,0)</f>
        <v>#N/A</v>
      </c>
      <c r="AE2670" s="1791"/>
    </row>
    <row r="2671" spans="1:31" ht="25.5">
      <c r="A2671" s="586" t="s">
        <v>14478</v>
      </c>
      <c r="B2671" s="421" t="s">
        <v>14476</v>
      </c>
      <c r="C2671" s="422">
        <v>88267</v>
      </c>
      <c r="D2671" s="288" t="str">
        <f>IFERROR(VLOOKUP($C2671,'24.08_ND'!$A:$D,2,0),)</f>
        <v>ENCANADOR OU BOMBEIRO HIDRÁULICO COM ENCARGOS COMPLEMENTARES</v>
      </c>
      <c r="E2671" s="289" t="str">
        <f>IFERROR(VLOOKUP($C2671,'24.08_ND'!$A:$D,3,0),)</f>
        <v>H</v>
      </c>
      <c r="F2671" s="697">
        <v>3.25</v>
      </c>
      <c r="G2671" s="291">
        <f>IFERROR(VLOOKUP($C2671,'24.08_ND'!$A:$D,4,0),)</f>
        <v>23.27</v>
      </c>
      <c r="H2671" s="423">
        <f t="shared" si="87"/>
        <v>75.62</v>
      </c>
      <c r="I2671" s="368"/>
      <c r="J2671" s="368"/>
      <c r="K2671" s="368"/>
      <c r="L2671" s="368"/>
      <c r="M2671" s="368"/>
      <c r="N2671" s="368"/>
      <c r="O2671" s="368"/>
      <c r="P2671" s="368"/>
      <c r="Q2671" s="368"/>
      <c r="R2671" s="368"/>
      <c r="S2671" s="368"/>
      <c r="T2671" s="368"/>
      <c r="U2671" s="368"/>
      <c r="V2671" s="368"/>
      <c r="W2671" s="368"/>
      <c r="X2671" s="368"/>
      <c r="Y2671" s="368"/>
      <c r="Z2671" s="368"/>
      <c r="AA2671" s="368"/>
      <c r="AB2671" s="368"/>
      <c r="AD2671" s="1791" t="e">
        <f>VLOOKUP(C2671,'Medição '!$B$16:$F$1833,6,0)</f>
        <v>#N/A</v>
      </c>
      <c r="AE2671" s="1791"/>
    </row>
    <row r="2672" spans="1:31" ht="25.5">
      <c r="A2672" s="586" t="s">
        <v>14478</v>
      </c>
      <c r="B2672" s="421" t="s">
        <v>14476</v>
      </c>
      <c r="C2672" s="422">
        <v>98562</v>
      </c>
      <c r="D2672" s="288" t="str">
        <f>IFERROR(VLOOKUP($C2672,'24.08_ND'!$A:$D,2,0),)</f>
        <v>IMPERMEABILIZAÇÃO DE SUPERFÍCIE COM ARGAMASSA DE CIMENTO E AREIA, COM ADITIVO IMPERMEABILIZANTE, E = 1,5CM. AF_09/2023</v>
      </c>
      <c r="E2672" s="289" t="str">
        <f>IFERROR(VLOOKUP($C2672,'24.08_ND'!$A:$D,3,0),)</f>
        <v>M2</v>
      </c>
      <c r="F2672" s="697">
        <f>2*PI()*0.6*1.8</f>
        <v>6.785840131753953</v>
      </c>
      <c r="G2672" s="291">
        <f>IFERROR(VLOOKUP($C2672,'24.08_ND'!$A:$D,4,0),)</f>
        <v>43.62</v>
      </c>
      <c r="H2672" s="423">
        <f t="shared" si="87"/>
        <v>295.99</v>
      </c>
      <c r="I2672" s="368"/>
      <c r="J2672" s="368"/>
      <c r="K2672" s="368"/>
      <c r="L2672" s="368"/>
      <c r="M2672" s="368"/>
      <c r="N2672" s="368"/>
      <c r="O2672" s="368"/>
      <c r="P2672" s="368"/>
      <c r="Q2672" s="368"/>
      <c r="R2672" s="368"/>
      <c r="S2672" s="368"/>
      <c r="T2672" s="368"/>
      <c r="U2672" s="368"/>
      <c r="V2672" s="368"/>
      <c r="W2672" s="368"/>
      <c r="X2672" s="368"/>
      <c r="Y2672" s="368"/>
      <c r="Z2672" s="368"/>
      <c r="AA2672" s="368"/>
      <c r="AB2672" s="368"/>
      <c r="AD2672" s="1791" t="e">
        <f>VLOOKUP(C2672,'Medição '!$B$16:$F$1833,6,0)</f>
        <v>#REF!</v>
      </c>
      <c r="AE2672" s="1791"/>
    </row>
    <row r="2673" spans="1:31" ht="25.5">
      <c r="A2673" s="586" t="s">
        <v>14478</v>
      </c>
      <c r="B2673" s="421" t="s">
        <v>14476</v>
      </c>
      <c r="C2673" s="422">
        <v>94962</v>
      </c>
      <c r="D2673" s="288" t="str">
        <f>IFERROR(VLOOKUP($C2673,'24.08_ND'!$A:$D,2,0),)</f>
        <v>CONCRETO MAGRO PARA LASTRO, TRAÇO 1:4,5:4,5 (EM MASSA SECA DE CIMENTO/ AREIA MÉDIA/ BRITA 1) - PREPARO MECÂNICO COM BETONEIRA 400 L. AF_05/2021</v>
      </c>
      <c r="E2673" s="289" t="str">
        <f>IFERROR(VLOOKUP($C2673,'24.08_ND'!$A:$D,3,0),)</f>
        <v>M3</v>
      </c>
      <c r="F2673" s="697">
        <f>PI()*0.6^2*0.1</f>
        <v>0.11309733552923257</v>
      </c>
      <c r="G2673" s="291">
        <f>IFERROR(VLOOKUP($C2673,'24.08_ND'!$A:$D,4,0),)</f>
        <v>408.22</v>
      </c>
      <c r="H2673" s="423">
        <f t="shared" si="87"/>
        <v>46.16</v>
      </c>
      <c r="I2673" s="368"/>
      <c r="J2673" s="368"/>
      <c r="K2673" s="368"/>
      <c r="L2673" s="368"/>
      <c r="M2673" s="368"/>
      <c r="N2673" s="368"/>
      <c r="O2673" s="368"/>
      <c r="P2673" s="368"/>
      <c r="Q2673" s="368"/>
      <c r="R2673" s="368"/>
      <c r="S2673" s="368"/>
      <c r="T2673" s="368"/>
      <c r="U2673" s="368"/>
      <c r="V2673" s="368"/>
      <c r="W2673" s="368"/>
      <c r="X2673" s="368"/>
      <c r="Y2673" s="368"/>
      <c r="Z2673" s="368"/>
      <c r="AA2673" s="368"/>
      <c r="AB2673" s="368"/>
      <c r="AD2673" s="1791" t="e">
        <f>VLOOKUP(C2673,'Medição '!$B$16:$F$1833,6,0)</f>
        <v>#N/A</v>
      </c>
      <c r="AE2673" s="1791"/>
    </row>
    <row r="2674" spans="1:31" ht="51">
      <c r="A2674" s="586" t="s">
        <v>14478</v>
      </c>
      <c r="B2674" s="421" t="s">
        <v>14476</v>
      </c>
      <c r="C2674" s="677">
        <v>90091</v>
      </c>
      <c r="D2674" s="288" t="str">
        <f>IFERROR(VLOOKUP($C2674,'24.08_ND'!$A:$D,2,0),)</f>
        <v>ESCAVAÇÃO MECANIZADA DE VALA COM PROF. ATÉ 1,5 M (MÉDIA MONTANTE E JUSANTE/UMA COMPOSIÇÃO POR TRECHO), ESCAVADEIRA (0,8 M3), LARG. DE 1,5 M A 2,5 M, EM SOLO DE 1A CATEGORIA, LOCAIS COM BAIXO NÍVEL DE INTERFERÊNCIA. AF_02/2021</v>
      </c>
      <c r="E2674" s="289" t="str">
        <f>IFERROR(VLOOKUP($C2674,'24.08_ND'!$A:$D,3,0),)</f>
        <v>M3</v>
      </c>
      <c r="F2674" s="697">
        <f>PI()*0.6^2*1.8</f>
        <v>2.0357520395261859</v>
      </c>
      <c r="G2674" s="291">
        <f>IFERROR(VLOOKUP($C2674,'24.08_ND'!$A:$D,4,0),)</f>
        <v>5.29</v>
      </c>
      <c r="H2674" s="423">
        <f t="shared" si="87"/>
        <v>10.76</v>
      </c>
      <c r="I2674" s="368"/>
      <c r="J2674" s="368"/>
      <c r="K2674" s="368"/>
      <c r="L2674" s="368"/>
      <c r="M2674" s="368"/>
      <c r="N2674" s="368"/>
      <c r="O2674" s="368"/>
      <c r="P2674" s="368"/>
      <c r="Q2674" s="368"/>
      <c r="R2674" s="368"/>
      <c r="S2674" s="368"/>
      <c r="T2674" s="368"/>
      <c r="U2674" s="368"/>
      <c r="V2674" s="368"/>
      <c r="W2674" s="368"/>
      <c r="X2674" s="368"/>
      <c r="Y2674" s="368"/>
      <c r="Z2674" s="368"/>
      <c r="AA2674" s="368"/>
      <c r="AB2674" s="368"/>
      <c r="AD2674" s="1791" t="e">
        <f>VLOOKUP(C2674,'Medição '!$B$16:$F$1833,6,0)</f>
        <v>#N/A</v>
      </c>
      <c r="AE2674" s="1791"/>
    </row>
    <row r="2675" spans="1:31" ht="38.25">
      <c r="A2675" s="586" t="s">
        <v>14478</v>
      </c>
      <c r="B2675" s="421" t="s">
        <v>14476</v>
      </c>
      <c r="C2675" s="677">
        <v>100978</v>
      </c>
      <c r="D2675" s="288" t="str">
        <f>IFERROR(VLOOKUP($C2675,'24.08_ND'!$A:$D,2,0),)</f>
        <v>CARGA, MANOBRA E DESCARGA DE SOLOS E MATERIAIS GRANULARES EM CAMINHÃO BASCULANTE 10 M³ - CARGA COM ESCAVADEIRA HIDRÁULICA (CAÇAMBA DE 1,20 M³ / 155 HP) E DESCARGA LIVRE (UNIDADE: M3). AF_07/2020</v>
      </c>
      <c r="E2675" s="289" t="str">
        <f>IFERROR(VLOOKUP($C2675,'24.08_ND'!$A:$D,3,0),)</f>
        <v>M3</v>
      </c>
      <c r="F2675" s="697">
        <f>PI()*0.6^2*1.8</f>
        <v>2.0357520395261859</v>
      </c>
      <c r="G2675" s="291">
        <f>IFERROR(VLOOKUP($C2675,'24.08_ND'!$A:$D,4,0),)</f>
        <v>6.31</v>
      </c>
      <c r="H2675" s="423">
        <f t="shared" si="87"/>
        <v>12.84</v>
      </c>
      <c r="I2675" s="368"/>
      <c r="J2675" s="368"/>
      <c r="K2675" s="368"/>
      <c r="L2675" s="368"/>
      <c r="M2675" s="368"/>
      <c r="N2675" s="368"/>
      <c r="O2675" s="368"/>
      <c r="P2675" s="368"/>
      <c r="Q2675" s="368"/>
      <c r="R2675" s="368"/>
      <c r="S2675" s="368"/>
      <c r="T2675" s="368"/>
      <c r="U2675" s="368"/>
      <c r="V2675" s="368"/>
      <c r="W2675" s="368"/>
      <c r="X2675" s="368"/>
      <c r="Y2675" s="368"/>
      <c r="Z2675" s="368"/>
      <c r="AA2675" s="368"/>
      <c r="AB2675" s="368"/>
      <c r="AD2675" s="1791" t="e">
        <f>VLOOKUP(C2675,'Medição '!$B$16:$F$1833,6,0)</f>
        <v>#REF!</v>
      </c>
      <c r="AE2675" s="1791"/>
    </row>
    <row r="2676" spans="1:31" ht="25.5">
      <c r="A2676" s="586" t="s">
        <v>14478</v>
      </c>
      <c r="B2676" s="421" t="s">
        <v>14476</v>
      </c>
      <c r="C2676" s="677">
        <v>100938</v>
      </c>
      <c r="D2676" s="288" t="str">
        <f>IFERROR(VLOOKUP($C2676,'24.08_ND'!$A:$D,2,0),)</f>
        <v>TRANSPORTE COM CAMINHÃO BASCULANTE DE 10 M³, EM VIA INTERNA (DENTRO DO CANTEIRO - UNIDADE: M3XKM). AF_07/2020</v>
      </c>
      <c r="E2676" s="289" t="str">
        <f>IFERROR(VLOOKUP($C2676,'24.08_ND'!$A:$D,3,0),)</f>
        <v>M3XKM</v>
      </c>
      <c r="F2676" s="697">
        <f>F2675/3</f>
        <v>0.6785840131753953</v>
      </c>
      <c r="G2676" s="291">
        <f>IFERROR(VLOOKUP($C2676,'24.08_ND'!$A:$D,4,0),)</f>
        <v>6.9</v>
      </c>
      <c r="H2676" s="423">
        <f t="shared" si="87"/>
        <v>4.68</v>
      </c>
      <c r="I2676" s="368"/>
      <c r="J2676" s="368"/>
      <c r="K2676" s="368"/>
      <c r="L2676" s="368"/>
      <c r="M2676" s="368"/>
      <c r="N2676" s="368"/>
      <c r="O2676" s="368"/>
      <c r="P2676" s="368"/>
      <c r="Q2676" s="368"/>
      <c r="R2676" s="368"/>
      <c r="S2676" s="368"/>
      <c r="T2676" s="368"/>
      <c r="U2676" s="368"/>
      <c r="V2676" s="368"/>
      <c r="W2676" s="368"/>
      <c r="X2676" s="368"/>
      <c r="Y2676" s="368"/>
      <c r="Z2676" s="368"/>
      <c r="AA2676" s="368"/>
      <c r="AB2676" s="368"/>
      <c r="AD2676" s="1791" t="e">
        <f>VLOOKUP(C2676,'Medição '!$B$16:$F$1833,6,0)</f>
        <v>#REF!</v>
      </c>
      <c r="AE2676" s="1791"/>
    </row>
    <row r="2677" spans="1:31" ht="12.75">
      <c r="A2677" s="445" t="s">
        <v>14479</v>
      </c>
      <c r="B2677" s="446" t="s">
        <v>14476</v>
      </c>
      <c r="C2677" s="447">
        <v>122</v>
      </c>
      <c r="D2677" s="296" t="str">
        <f>IFERROR(VLOOKUP($C2677,'24.08_ND'!$A:$D,2,0),)</f>
        <v>ADESIVO PLASTICO PARA PVC, FRASCO COM *850* GR</v>
      </c>
      <c r="E2677" s="297" t="str">
        <f>IFERROR(VLOOKUP($C2677,'24.08_ND'!$A:$D,3,0),)</f>
        <v>UN</v>
      </c>
      <c r="F2677" s="840">
        <f>41.3/850</f>
        <v>4.858823529411764E-2</v>
      </c>
      <c r="G2677" s="299">
        <f>IFERROR(VLOOKUP($C2677,'24.08_ND'!$A:$D,4,0),)</f>
        <v>70.09</v>
      </c>
      <c r="H2677" s="449">
        <f t="shared" si="87"/>
        <v>3.4</v>
      </c>
      <c r="I2677" s="368"/>
      <c r="J2677" s="368"/>
      <c r="K2677" s="368"/>
      <c r="L2677" s="368"/>
      <c r="M2677" s="368"/>
      <c r="N2677" s="368"/>
      <c r="O2677" s="368"/>
      <c r="P2677" s="368"/>
      <c r="Q2677" s="368"/>
      <c r="R2677" s="368"/>
      <c r="S2677" s="368"/>
      <c r="T2677" s="368"/>
      <c r="U2677" s="368"/>
      <c r="V2677" s="368"/>
      <c r="W2677" s="368"/>
      <c r="X2677" s="368"/>
      <c r="Y2677" s="368"/>
      <c r="Z2677" s="368"/>
      <c r="AA2677" s="368"/>
      <c r="AB2677" s="368"/>
    </row>
    <row r="2678" spans="1:31" ht="12.75">
      <c r="A2678" s="445" t="s">
        <v>14479</v>
      </c>
      <c r="B2678" s="446" t="s">
        <v>14476</v>
      </c>
      <c r="C2678" s="447">
        <v>1970</v>
      </c>
      <c r="D2678" s="296" t="str">
        <f>IFERROR(VLOOKUP($C2678,'24.08_ND'!$A:$D,2,0),)</f>
        <v>CURVA PVC LONGA 90 GRAUS, DN 100 MM, PARA ESGOTO PREDIAL</v>
      </c>
      <c r="E2678" s="297" t="str">
        <f>IFERROR(VLOOKUP($C2678,'24.08_ND'!$A:$D,3,0),)</f>
        <v>UN</v>
      </c>
      <c r="F2678" s="840">
        <v>1</v>
      </c>
      <c r="G2678" s="299">
        <f>IFERROR(VLOOKUP($C2678,'24.08_ND'!$A:$D,4,0),)</f>
        <v>49.38</v>
      </c>
      <c r="H2678" s="449">
        <f t="shared" si="87"/>
        <v>49.38</v>
      </c>
      <c r="I2678" s="368"/>
      <c r="J2678" s="368"/>
      <c r="K2678" s="368"/>
      <c r="L2678" s="368"/>
      <c r="M2678" s="368"/>
      <c r="N2678" s="368"/>
      <c r="O2678" s="368"/>
      <c r="P2678" s="368"/>
      <c r="Q2678" s="368"/>
      <c r="R2678" s="368"/>
      <c r="S2678" s="368"/>
      <c r="T2678" s="368"/>
      <c r="U2678" s="368"/>
      <c r="V2678" s="368"/>
      <c r="W2678" s="368"/>
      <c r="X2678" s="368"/>
      <c r="Y2678" s="368"/>
      <c r="Z2678" s="368"/>
      <c r="AA2678" s="368"/>
      <c r="AB2678" s="368"/>
    </row>
    <row r="2679" spans="1:31" ht="12.75">
      <c r="A2679" s="445" t="s">
        <v>14479</v>
      </c>
      <c r="B2679" s="446" t="s">
        <v>14476</v>
      </c>
      <c r="C2679" s="447">
        <v>20083</v>
      </c>
      <c r="D2679" s="296" t="str">
        <f>IFERROR(VLOOKUP($C2679,'24.08_ND'!$A:$D,2,0),)</f>
        <v>SOLUCAO PREPARADORA / LIMPADORA PARA PVC, FRASCO COM 1000 CM3</v>
      </c>
      <c r="E2679" s="297" t="str">
        <f>IFERROR(VLOOKUP($C2679,'24.08_ND'!$A:$D,3,0),)</f>
        <v>UN</v>
      </c>
      <c r="F2679" s="840">
        <v>1.9400000000000001E-2</v>
      </c>
      <c r="G2679" s="299">
        <f>IFERROR(VLOOKUP($C2679,'24.08_ND'!$A:$D,4,0),)</f>
        <v>79.41</v>
      </c>
      <c r="H2679" s="449">
        <f t="shared" si="87"/>
        <v>1.54</v>
      </c>
      <c r="I2679" s="368"/>
      <c r="J2679" s="368"/>
      <c r="K2679" s="368"/>
      <c r="L2679" s="368"/>
      <c r="M2679" s="368"/>
      <c r="N2679" s="368"/>
      <c r="O2679" s="368"/>
      <c r="P2679" s="368"/>
      <c r="Q2679" s="368"/>
      <c r="R2679" s="368"/>
      <c r="S2679" s="368"/>
      <c r="T2679" s="368"/>
      <c r="U2679" s="368"/>
      <c r="V2679" s="368"/>
      <c r="W2679" s="368"/>
      <c r="X2679" s="368"/>
      <c r="Y2679" s="368"/>
      <c r="Z2679" s="368"/>
      <c r="AA2679" s="368"/>
      <c r="AB2679" s="368"/>
    </row>
    <row r="2680" spans="1:31" ht="12.75">
      <c r="A2680" s="445" t="s">
        <v>14479</v>
      </c>
      <c r="B2680" s="446" t="s">
        <v>14476</v>
      </c>
      <c r="C2680" s="447">
        <v>7091</v>
      </c>
      <c r="D2680" s="296" t="str">
        <f>IFERROR(VLOOKUP($C2680,'24.08_ND'!$A:$D,2,0),)</f>
        <v>TE SANITARIO, PVC, DN 100 X 100 MM, SERIE NORMAL, PARA ESGOTO PREDIAL</v>
      </c>
      <c r="E2680" s="297" t="str">
        <f>IFERROR(VLOOKUP($C2680,'24.08_ND'!$A:$D,3,0),)</f>
        <v>UN</v>
      </c>
      <c r="F2680" s="840">
        <v>1</v>
      </c>
      <c r="G2680" s="299">
        <f>IFERROR(VLOOKUP($C2680,'24.08_ND'!$A:$D,4,0),)</f>
        <v>13.54</v>
      </c>
      <c r="H2680" s="449">
        <f t="shared" si="87"/>
        <v>13.54</v>
      </c>
      <c r="I2680" s="368"/>
      <c r="J2680" s="368"/>
      <c r="K2680" s="368"/>
      <c r="L2680" s="368"/>
      <c r="M2680" s="368"/>
      <c r="N2680" s="368"/>
      <c r="O2680" s="368"/>
      <c r="P2680" s="368"/>
      <c r="Q2680" s="368"/>
      <c r="R2680" s="368"/>
      <c r="S2680" s="368"/>
      <c r="T2680" s="368"/>
      <c r="U2680" s="368"/>
      <c r="V2680" s="368"/>
      <c r="W2680" s="368"/>
      <c r="X2680" s="368"/>
      <c r="Y2680" s="368"/>
      <c r="Z2680" s="368"/>
      <c r="AA2680" s="368"/>
      <c r="AB2680" s="368"/>
    </row>
    <row r="2681" spans="1:31" ht="12.75">
      <c r="A2681" s="445" t="s">
        <v>14479</v>
      </c>
      <c r="B2681" s="446" t="s">
        <v>14476</v>
      </c>
      <c r="C2681" s="447">
        <v>9836</v>
      </c>
      <c r="D2681" s="296" t="str">
        <f>IFERROR(VLOOKUP($C2681,'24.08_ND'!$A:$D,2,0),)</f>
        <v>TUBO PVC SERIE NORMAL, DN 100 MM, PARA ESGOTO PREDIAL (NBR 5688)</v>
      </c>
      <c r="E2681" s="297" t="str">
        <f>IFERROR(VLOOKUP($C2681,'24.08_ND'!$A:$D,3,0),)</f>
        <v>M</v>
      </c>
      <c r="F2681" s="840">
        <v>4.5449999999999999</v>
      </c>
      <c r="G2681" s="299">
        <f>IFERROR(VLOOKUP($C2681,'24.08_ND'!$A:$D,4,0),)</f>
        <v>12.62</v>
      </c>
      <c r="H2681" s="449">
        <f t="shared" si="87"/>
        <v>57.35</v>
      </c>
      <c r="I2681" s="368"/>
      <c r="J2681" s="368"/>
      <c r="K2681" s="368"/>
      <c r="L2681" s="368"/>
      <c r="M2681" s="368"/>
      <c r="N2681" s="368"/>
      <c r="O2681" s="368"/>
      <c r="P2681" s="368"/>
      <c r="Q2681" s="368"/>
      <c r="R2681" s="368"/>
      <c r="S2681" s="368"/>
      <c r="T2681" s="368"/>
      <c r="U2681" s="368"/>
      <c r="V2681" s="368"/>
      <c r="W2681" s="368"/>
      <c r="X2681" s="368"/>
      <c r="Y2681" s="368"/>
      <c r="Z2681" s="368"/>
      <c r="AA2681" s="368"/>
      <c r="AB2681" s="368"/>
    </row>
    <row r="2682" spans="1:31" ht="12.75">
      <c r="A2682" s="590" t="s">
        <v>14479</v>
      </c>
      <c r="B2682" s="312" t="str">
        <f>VLOOKUP($C2682,'• CIs EXT'!$A:$E,2,0)</f>
        <v>IOPES</v>
      </c>
      <c r="C2682" s="377">
        <v>69525</v>
      </c>
      <c r="D2682" s="378" t="str">
        <f>VLOOKUP($C2682,'• CIs EXT'!$A:$E,3,0)</f>
        <v>FILTRO ANAEROBIO ANEIS CONCR. DIAM.1.20M, H=2.00M</v>
      </c>
      <c r="E2682" s="379" t="str">
        <f>VLOOKUP($C2682,'• CIs EXT'!$A:$E,4,0)</f>
        <v>UN</v>
      </c>
      <c r="F2682" s="698">
        <v>1</v>
      </c>
      <c r="G2682" s="379">
        <f>VLOOKUP($C2682,'• CIs EXT'!$A:$E,5,0)</f>
        <v>1893.92</v>
      </c>
      <c r="H2682" s="381">
        <f t="shared" si="87"/>
        <v>1893.92</v>
      </c>
      <c r="I2682" s="368"/>
      <c r="J2682" s="368"/>
      <c r="K2682" s="368"/>
      <c r="L2682" s="368"/>
      <c r="M2682" s="368"/>
      <c r="N2682" s="368"/>
      <c r="O2682" s="368"/>
      <c r="P2682" s="368"/>
      <c r="Q2682" s="368"/>
      <c r="R2682" s="368"/>
      <c r="S2682" s="368"/>
      <c r="T2682" s="368"/>
      <c r="U2682" s="368"/>
      <c r="V2682" s="368"/>
      <c r="W2682" s="368"/>
      <c r="X2682" s="368"/>
      <c r="Y2682" s="368"/>
      <c r="Z2682" s="368"/>
      <c r="AA2682" s="368"/>
      <c r="AB2682" s="368"/>
    </row>
    <row r="2683" spans="1:31" ht="12.75">
      <c r="A2683" s="686"/>
      <c r="B2683" s="687"/>
      <c r="C2683" s="688"/>
      <c r="D2683" s="689"/>
      <c r="E2683" s="690"/>
      <c r="F2683" s="691"/>
      <c r="G2683" s="690"/>
      <c r="H2683" s="692"/>
      <c r="I2683" s="262"/>
      <c r="J2683" s="262"/>
      <c r="K2683" s="262"/>
      <c r="L2683" s="262"/>
      <c r="M2683" s="262"/>
      <c r="N2683" s="262"/>
      <c r="O2683" s="262"/>
      <c r="P2683" s="262"/>
      <c r="Q2683" s="262"/>
      <c r="R2683" s="262"/>
      <c r="S2683" s="262"/>
      <c r="T2683" s="262"/>
      <c r="U2683" s="262"/>
      <c r="V2683" s="262"/>
      <c r="W2683" s="262"/>
      <c r="X2683" s="262"/>
      <c r="Y2683" s="262"/>
      <c r="Z2683" s="262"/>
      <c r="AA2683" s="262"/>
      <c r="AB2683" s="262"/>
    </row>
    <row r="2684" spans="1:31" ht="25.5">
      <c r="A2684" s="358" t="s">
        <v>14471</v>
      </c>
      <c r="B2684" s="359" t="s">
        <v>14472</v>
      </c>
      <c r="C2684" s="360" t="s">
        <v>15402</v>
      </c>
      <c r="D2684" s="361" t="s">
        <v>15403</v>
      </c>
      <c r="E2684" s="359" t="s">
        <v>6</v>
      </c>
      <c r="F2684" s="362"/>
      <c r="G2684" s="362"/>
      <c r="H2684" s="363">
        <f>TRUNC(SUM(H2686:H2692),2)</f>
        <v>5825.49</v>
      </c>
      <c r="I2684" s="276">
        <f>COUNTIF($C$8:$C2684,C:C)</f>
        <v>1</v>
      </c>
      <c r="J2684" s="368"/>
      <c r="K2684" s="368"/>
      <c r="L2684" s="368"/>
      <c r="M2684" s="368"/>
      <c r="N2684" s="368"/>
      <c r="O2684" s="368"/>
      <c r="P2684" s="368"/>
      <c r="Q2684" s="368"/>
      <c r="R2684" s="368"/>
      <c r="S2684" s="368"/>
      <c r="T2684" s="368"/>
      <c r="U2684" s="368"/>
      <c r="V2684" s="368"/>
      <c r="W2684" s="368"/>
      <c r="X2684" s="368"/>
      <c r="Y2684" s="368"/>
      <c r="Z2684" s="368"/>
      <c r="AA2684" s="368"/>
      <c r="AB2684" s="368"/>
    </row>
    <row r="2685" spans="1:31" ht="12.75">
      <c r="A2685" s="646" t="s">
        <v>14475</v>
      </c>
      <c r="B2685" s="694" t="s">
        <v>15226</v>
      </c>
      <c r="C2685" s="365" t="s">
        <v>15404</v>
      </c>
      <c r="D2685" s="367" t="s">
        <v>14567</v>
      </c>
      <c r="E2685" s="370"/>
      <c r="F2685" s="369"/>
      <c r="G2685" s="370"/>
      <c r="H2685" s="371"/>
      <c r="I2685" s="368"/>
      <c r="J2685" s="368"/>
      <c r="K2685" s="368"/>
      <c r="L2685" s="368"/>
      <c r="M2685" s="368"/>
      <c r="N2685" s="368"/>
      <c r="O2685" s="368"/>
      <c r="P2685" s="368"/>
      <c r="Q2685" s="368"/>
      <c r="R2685" s="368"/>
      <c r="S2685" s="368"/>
      <c r="T2685" s="368"/>
      <c r="U2685" s="368"/>
      <c r="V2685" s="368"/>
      <c r="W2685" s="368"/>
      <c r="X2685" s="368"/>
      <c r="Y2685" s="368"/>
      <c r="Z2685" s="368"/>
      <c r="AA2685" s="368"/>
      <c r="AB2685" s="368"/>
    </row>
    <row r="2686" spans="1:31" ht="25.5">
      <c r="A2686" s="586" t="s">
        <v>14478</v>
      </c>
      <c r="B2686" s="421" t="s">
        <v>14476</v>
      </c>
      <c r="C2686" s="422">
        <v>88309</v>
      </c>
      <c r="D2686" s="288" t="str">
        <f>IFERROR(VLOOKUP($C2686,'24.08_ND'!$A:$D,2,0),)</f>
        <v>PEDREIRO COM ENCARGOS COMPLEMENTARES</v>
      </c>
      <c r="E2686" s="289" t="str">
        <f>IFERROR(VLOOKUP($C2686,'24.08_ND'!$A:$D,3,0),)</f>
        <v>H</v>
      </c>
      <c r="F2686" s="697">
        <v>9.24</v>
      </c>
      <c r="G2686" s="291">
        <f>IFERROR(VLOOKUP($C2686,'24.08_ND'!$A:$D,4,0),)</f>
        <v>23.33</v>
      </c>
      <c r="H2686" s="423">
        <f t="shared" ref="H2686:H2692" si="88">TRUNC(($F2686*$G2686),2)</f>
        <v>215.56</v>
      </c>
      <c r="I2686" s="368"/>
      <c r="J2686" s="368"/>
      <c r="K2686" s="368"/>
      <c r="L2686" s="368"/>
      <c r="M2686" s="368"/>
      <c r="N2686" s="368"/>
      <c r="O2686" s="368"/>
      <c r="P2686" s="368"/>
      <c r="Q2686" s="368"/>
      <c r="R2686" s="368"/>
      <c r="S2686" s="368"/>
      <c r="T2686" s="368"/>
      <c r="U2686" s="368"/>
      <c r="V2686" s="368"/>
      <c r="W2686" s="368"/>
      <c r="X2686" s="368"/>
      <c r="Y2686" s="368"/>
      <c r="Z2686" s="368"/>
      <c r="AA2686" s="368"/>
      <c r="AB2686" s="368"/>
      <c r="AD2686" s="1791" t="e">
        <f>VLOOKUP(C2686,'Medição '!$B$16:$F$1833,6,0)</f>
        <v>#N/A</v>
      </c>
      <c r="AE2686" s="1791"/>
    </row>
    <row r="2687" spans="1:31" ht="25.5">
      <c r="A2687" s="586" t="s">
        <v>14478</v>
      </c>
      <c r="B2687" s="421" t="s">
        <v>14476</v>
      </c>
      <c r="C2687" s="422">
        <v>88316</v>
      </c>
      <c r="D2687" s="288" t="str">
        <f>IFERROR(VLOOKUP($C2687,'24.08_ND'!$A:$D,2,0),)</f>
        <v>SERVENTE COM ENCARGOS COMPLEMENTARES</v>
      </c>
      <c r="E2687" s="289" t="str">
        <f>IFERROR(VLOOKUP($C2687,'24.08_ND'!$A:$D,3,0),)</f>
        <v>H</v>
      </c>
      <c r="F2687" s="697">
        <v>16.75</v>
      </c>
      <c r="G2687" s="291">
        <f>IFERROR(VLOOKUP($C2687,'24.08_ND'!$A:$D,4,0),)</f>
        <v>18.510000000000002</v>
      </c>
      <c r="H2687" s="423">
        <f t="shared" si="88"/>
        <v>310.04000000000002</v>
      </c>
      <c r="I2687" s="368"/>
      <c r="J2687" s="368"/>
      <c r="K2687" s="368"/>
      <c r="L2687" s="368"/>
      <c r="M2687" s="368"/>
      <c r="N2687" s="368"/>
      <c r="O2687" s="368"/>
      <c r="P2687" s="368"/>
      <c r="Q2687" s="368"/>
      <c r="R2687" s="368"/>
      <c r="S2687" s="368"/>
      <c r="T2687" s="368"/>
      <c r="U2687" s="368"/>
      <c r="V2687" s="368"/>
      <c r="W2687" s="368"/>
      <c r="X2687" s="368"/>
      <c r="Y2687" s="368"/>
      <c r="Z2687" s="368"/>
      <c r="AA2687" s="368"/>
      <c r="AB2687" s="368"/>
      <c r="AD2687" s="1791" t="e">
        <f>VLOOKUP(C2687,'Medição '!$B$16:$F$1833,6,0)</f>
        <v>#N/A</v>
      </c>
      <c r="AE2687" s="1791"/>
    </row>
    <row r="2688" spans="1:31" ht="25.5">
      <c r="A2688" s="586" t="s">
        <v>14478</v>
      </c>
      <c r="B2688" s="421" t="s">
        <v>14476</v>
      </c>
      <c r="C2688" s="422">
        <v>94962</v>
      </c>
      <c r="D2688" s="288" t="str">
        <f>IFERROR(VLOOKUP($C2688,'24.08_ND'!$A:$D,2,0),)</f>
        <v>CONCRETO MAGRO PARA LASTRO, TRAÇO 1:4,5:4,5 (EM MASSA SECA DE CIMENTO/ AREIA MÉDIA/ BRITA 1) - PREPARO MECÂNICO COM BETONEIRA 400 L. AF_05/2021</v>
      </c>
      <c r="E2688" s="289" t="str">
        <f>IFERROR(VLOOKUP($C2688,'24.08_ND'!$A:$D,3,0),)</f>
        <v>M3</v>
      </c>
      <c r="F2688" s="697">
        <f>PI()*0.75^2*0.1</f>
        <v>0.17671458676442586</v>
      </c>
      <c r="G2688" s="291">
        <f>IFERROR(VLOOKUP($C2688,'24.08_ND'!$A:$D,4,0),)</f>
        <v>408.22</v>
      </c>
      <c r="H2688" s="423">
        <f t="shared" si="88"/>
        <v>72.13</v>
      </c>
      <c r="I2688" s="368"/>
      <c r="J2688" s="368"/>
      <c r="K2688" s="368"/>
      <c r="L2688" s="368"/>
      <c r="M2688" s="368"/>
      <c r="N2688" s="368"/>
      <c r="O2688" s="368"/>
      <c r="P2688" s="368"/>
      <c r="Q2688" s="368"/>
      <c r="R2688" s="368"/>
      <c r="S2688" s="368"/>
      <c r="T2688" s="368"/>
      <c r="U2688" s="368"/>
      <c r="V2688" s="368"/>
      <c r="W2688" s="368"/>
      <c r="X2688" s="368"/>
      <c r="Y2688" s="368"/>
      <c r="Z2688" s="368"/>
      <c r="AA2688" s="368"/>
      <c r="AB2688" s="368"/>
      <c r="AD2688" s="1791" t="e">
        <f>VLOOKUP(C2688,'Medição '!$B$16:$F$1833,6,0)</f>
        <v>#N/A</v>
      </c>
      <c r="AE2688" s="1791"/>
    </row>
    <row r="2689" spans="1:31" ht="51">
      <c r="A2689" s="586" t="s">
        <v>14478</v>
      </c>
      <c r="B2689" s="421" t="s">
        <v>14476</v>
      </c>
      <c r="C2689" s="677">
        <v>90091</v>
      </c>
      <c r="D2689" s="288" t="str">
        <f>IFERROR(VLOOKUP($C2689,'24.08_ND'!$A:$D,2,0),)</f>
        <v>ESCAVAÇÃO MECANIZADA DE VALA COM PROF. ATÉ 1,5 M (MÉDIA MONTANTE E JUSANTE/UMA COMPOSIÇÃO POR TRECHO), ESCAVADEIRA (0,8 M3), LARG. DE 1,5 M A 2,5 M, EM SOLO DE 1A CATEGORIA, LOCAIS COM BAIXO NÍVEL DE INTERFERÊNCIA. AF_02/2021</v>
      </c>
      <c r="E2689" s="289" t="str">
        <f>IFERROR(VLOOKUP($C2689,'24.08_ND'!$A:$D,3,0),)</f>
        <v>M3</v>
      </c>
      <c r="F2689" s="697">
        <f>PI()*0.75^2*2.8</f>
        <v>4.9480084294039237</v>
      </c>
      <c r="G2689" s="291">
        <f>IFERROR(VLOOKUP($C2689,'24.08_ND'!$A:$D,4,0),)</f>
        <v>5.29</v>
      </c>
      <c r="H2689" s="423">
        <f t="shared" si="88"/>
        <v>26.17</v>
      </c>
      <c r="I2689" s="368"/>
      <c r="J2689" s="368"/>
      <c r="K2689" s="368"/>
      <c r="L2689" s="368"/>
      <c r="M2689" s="368"/>
      <c r="N2689" s="368"/>
      <c r="O2689" s="368"/>
      <c r="P2689" s="368"/>
      <c r="Q2689" s="368"/>
      <c r="R2689" s="368"/>
      <c r="S2689" s="368"/>
      <c r="T2689" s="368"/>
      <c r="U2689" s="368"/>
      <c r="V2689" s="368"/>
      <c r="W2689" s="368"/>
      <c r="X2689" s="368"/>
      <c r="Y2689" s="368"/>
      <c r="Z2689" s="368"/>
      <c r="AA2689" s="368"/>
      <c r="AB2689" s="368"/>
      <c r="AD2689" s="1791" t="e">
        <f>VLOOKUP(C2689,'Medição '!$B$16:$F$1833,6,0)</f>
        <v>#N/A</v>
      </c>
      <c r="AE2689" s="1791"/>
    </row>
    <row r="2690" spans="1:31" ht="38.25">
      <c r="A2690" s="586" t="s">
        <v>14478</v>
      </c>
      <c r="B2690" s="421" t="s">
        <v>14476</v>
      </c>
      <c r="C2690" s="677">
        <v>100978</v>
      </c>
      <c r="D2690" s="288" t="str">
        <f>IFERROR(VLOOKUP($C2690,'24.08_ND'!$A:$D,2,0),)</f>
        <v>CARGA, MANOBRA E DESCARGA DE SOLOS E MATERIAIS GRANULARES EM CAMINHÃO BASCULANTE 10 M³ - CARGA COM ESCAVADEIRA HIDRÁULICA (CAÇAMBA DE 1,20 M³ / 155 HP) E DESCARGA LIVRE (UNIDADE: M3). AF_07/2020</v>
      </c>
      <c r="E2690" s="289" t="str">
        <f>IFERROR(VLOOKUP($C2690,'24.08_ND'!$A:$D,3,0),)</f>
        <v>M3</v>
      </c>
      <c r="F2690" s="697">
        <f>PI()*0.75^2*2.8</f>
        <v>4.9480084294039237</v>
      </c>
      <c r="G2690" s="291">
        <f>IFERROR(VLOOKUP($C2690,'24.08_ND'!$A:$D,4,0),)</f>
        <v>6.31</v>
      </c>
      <c r="H2690" s="423">
        <f t="shared" si="88"/>
        <v>31.22</v>
      </c>
      <c r="I2690" s="368"/>
      <c r="J2690" s="368"/>
      <c r="K2690" s="368"/>
      <c r="L2690" s="368"/>
      <c r="M2690" s="368"/>
      <c r="N2690" s="368"/>
      <c r="O2690" s="368"/>
      <c r="P2690" s="368"/>
      <c r="Q2690" s="368"/>
      <c r="R2690" s="368"/>
      <c r="S2690" s="368"/>
      <c r="T2690" s="368"/>
      <c r="U2690" s="368"/>
      <c r="V2690" s="368"/>
      <c r="W2690" s="368"/>
      <c r="X2690" s="368"/>
      <c r="Y2690" s="368"/>
      <c r="Z2690" s="368"/>
      <c r="AA2690" s="368"/>
      <c r="AB2690" s="368"/>
      <c r="AD2690" s="1791" t="e">
        <f>VLOOKUP(C2690,'Medição '!$B$16:$F$1833,6,0)</f>
        <v>#REF!</v>
      </c>
      <c r="AE2690" s="1791"/>
    </row>
    <row r="2691" spans="1:31" ht="25.5">
      <c r="A2691" s="586" t="s">
        <v>14478</v>
      </c>
      <c r="B2691" s="421" t="s">
        <v>14476</v>
      </c>
      <c r="C2691" s="677">
        <v>100938</v>
      </c>
      <c r="D2691" s="288" t="str">
        <f>IFERROR(VLOOKUP($C2691,'24.08_ND'!$A:$D,2,0),)</f>
        <v>TRANSPORTE COM CAMINHÃO BASCULANTE DE 10 M³, EM VIA INTERNA (DENTRO DO CANTEIRO - UNIDADE: M3XKM). AF_07/2020</v>
      </c>
      <c r="E2691" s="289" t="str">
        <f>IFERROR(VLOOKUP($C2691,'24.08_ND'!$A:$D,3,0),)</f>
        <v>M3XKM</v>
      </c>
      <c r="F2691" s="697">
        <f>F2690/3</f>
        <v>1.6493361431346412</v>
      </c>
      <c r="G2691" s="291">
        <f>IFERROR(VLOOKUP($C2691,'24.08_ND'!$A:$D,4,0),)</f>
        <v>6.9</v>
      </c>
      <c r="H2691" s="423">
        <f t="shared" si="88"/>
        <v>11.38</v>
      </c>
      <c r="I2691" s="368"/>
      <c r="J2691" s="368"/>
      <c r="K2691" s="368"/>
      <c r="L2691" s="368"/>
      <c r="M2691" s="368"/>
      <c r="N2691" s="368"/>
      <c r="O2691" s="368"/>
      <c r="P2691" s="368"/>
      <c r="Q2691" s="368"/>
      <c r="R2691" s="368"/>
      <c r="S2691" s="368"/>
      <c r="T2691" s="368"/>
      <c r="U2691" s="368"/>
      <c r="V2691" s="368"/>
      <c r="W2691" s="368"/>
      <c r="X2691" s="368"/>
      <c r="Y2691" s="368"/>
      <c r="Z2691" s="368"/>
      <c r="AA2691" s="368"/>
      <c r="AB2691" s="368"/>
      <c r="AD2691" s="1791" t="e">
        <f>VLOOKUP(C2691,'Medição '!$B$16:$F$1833,6,0)</f>
        <v>#REF!</v>
      </c>
      <c r="AE2691" s="1791"/>
    </row>
    <row r="2692" spans="1:31" ht="25.5">
      <c r="A2692" s="590" t="s">
        <v>14479</v>
      </c>
      <c r="B2692" s="312" t="str">
        <f>VLOOKUP($C2692,'• CIs EXT'!$A:$E,2,0)</f>
        <v>EMOP</v>
      </c>
      <c r="C2692" s="377">
        <v>14424</v>
      </c>
      <c r="D2692" s="378" t="str">
        <f>VLOOKUP($C2692,'• CIs EXT'!$A:$E,3,0)</f>
        <v>SUMIDOURO CILINDRICO, MEDINDO 1500 X 240 0MM, EM ANEIS DE CONCRETO PRE-MOLDADO</v>
      </c>
      <c r="E2692" s="379" t="str">
        <f>VLOOKUP($C2692,'• CIs EXT'!$A:$E,4,0)</f>
        <v>UN</v>
      </c>
      <c r="F2692" s="698">
        <v>1</v>
      </c>
      <c r="G2692" s="379">
        <f>VLOOKUP($C2692,'• CIs EXT'!$A:$E,5,0)</f>
        <v>5158.99</v>
      </c>
      <c r="H2692" s="381">
        <f t="shared" si="88"/>
        <v>5158.99</v>
      </c>
      <c r="I2692" s="368"/>
      <c r="J2692" s="368"/>
      <c r="K2692" s="368"/>
      <c r="L2692" s="368"/>
      <c r="M2692" s="368"/>
      <c r="N2692" s="368"/>
      <c r="O2692" s="368"/>
      <c r="P2692" s="368"/>
      <c r="Q2692" s="368"/>
      <c r="R2692" s="368"/>
      <c r="S2692" s="368"/>
      <c r="T2692" s="368"/>
      <c r="U2692" s="368"/>
      <c r="V2692" s="368"/>
      <c r="W2692" s="368"/>
      <c r="X2692" s="368"/>
      <c r="Y2692" s="368"/>
      <c r="Z2692" s="368"/>
      <c r="AA2692" s="368"/>
      <c r="AB2692" s="368"/>
    </row>
    <row r="2693" spans="1:31" ht="12.75">
      <c r="A2693" s="686"/>
      <c r="B2693" s="687"/>
      <c r="C2693" s="688"/>
      <c r="D2693" s="689"/>
      <c r="E2693" s="690"/>
      <c r="F2693" s="691"/>
      <c r="G2693" s="690"/>
      <c r="H2693" s="692"/>
      <c r="I2693" s="262"/>
      <c r="J2693" s="262"/>
      <c r="K2693" s="262"/>
      <c r="L2693" s="262"/>
      <c r="M2693" s="262"/>
      <c r="N2693" s="262"/>
      <c r="O2693" s="262"/>
      <c r="P2693" s="262"/>
      <c r="Q2693" s="262"/>
      <c r="R2693" s="262"/>
      <c r="S2693" s="262"/>
      <c r="T2693" s="262"/>
      <c r="U2693" s="262"/>
      <c r="V2693" s="262"/>
      <c r="W2693" s="262"/>
      <c r="X2693" s="262"/>
      <c r="Y2693" s="262"/>
      <c r="Z2693" s="262"/>
      <c r="AA2693" s="262"/>
      <c r="AB2693" s="262"/>
    </row>
    <row r="2694" spans="1:31" ht="25.5">
      <c r="A2694" s="358" t="s">
        <v>14471</v>
      </c>
      <c r="B2694" s="359" t="s">
        <v>14472</v>
      </c>
      <c r="C2694" s="360" t="s">
        <v>15405</v>
      </c>
      <c r="D2694" s="361" t="s">
        <v>15406</v>
      </c>
      <c r="E2694" s="359" t="s">
        <v>6</v>
      </c>
      <c r="F2694" s="362"/>
      <c r="G2694" s="362"/>
      <c r="H2694" s="363">
        <f>TRUNC(SUM(H2696:H2699),2)</f>
        <v>15.72</v>
      </c>
      <c r="I2694" s="276">
        <f>COUNTIF($C$8:$C2694,C:C)</f>
        <v>1</v>
      </c>
      <c r="J2694" s="368"/>
      <c r="K2694" s="368"/>
      <c r="L2694" s="368"/>
      <c r="M2694" s="368"/>
      <c r="N2694" s="368"/>
      <c r="O2694" s="368"/>
      <c r="P2694" s="368"/>
      <c r="Q2694" s="368"/>
      <c r="R2694" s="368"/>
      <c r="S2694" s="368"/>
      <c r="T2694" s="368"/>
      <c r="U2694" s="368"/>
      <c r="V2694" s="368"/>
      <c r="W2694" s="368"/>
      <c r="X2694" s="368"/>
      <c r="Y2694" s="368"/>
      <c r="Z2694" s="368"/>
      <c r="AA2694" s="368"/>
      <c r="AB2694" s="368"/>
    </row>
    <row r="2695" spans="1:31" ht="12.75">
      <c r="A2695" s="646" t="s">
        <v>14475</v>
      </c>
      <c r="B2695" s="694" t="s">
        <v>14600</v>
      </c>
      <c r="C2695" s="365">
        <v>13549</v>
      </c>
      <c r="D2695" s="367" t="s">
        <v>14567</v>
      </c>
      <c r="E2695" s="370"/>
      <c r="F2695" s="696"/>
      <c r="G2695" s="370"/>
      <c r="H2695" s="371"/>
      <c r="I2695" s="368"/>
      <c r="J2695" s="368"/>
      <c r="K2695" s="368"/>
      <c r="L2695" s="368"/>
      <c r="M2695" s="368"/>
      <c r="N2695" s="368"/>
      <c r="O2695" s="368"/>
      <c r="P2695" s="368"/>
      <c r="Q2695" s="368"/>
      <c r="R2695" s="368"/>
      <c r="S2695" s="368"/>
      <c r="T2695" s="368"/>
      <c r="U2695" s="368"/>
      <c r="V2695" s="368"/>
      <c r="W2695" s="368"/>
      <c r="X2695" s="368"/>
      <c r="Y2695" s="368"/>
      <c r="Z2695" s="368"/>
      <c r="AA2695" s="368"/>
      <c r="AB2695" s="368"/>
    </row>
    <row r="2696" spans="1:31" ht="25.5">
      <c r="A2696" s="586" t="s">
        <v>14478</v>
      </c>
      <c r="B2696" s="421" t="s">
        <v>14476</v>
      </c>
      <c r="C2696" s="422">
        <v>88248</v>
      </c>
      <c r="D2696" s="288" t="str">
        <f>IFERROR(VLOOKUP($C2696,'24.08_ND'!$A:$D,2,0),)</f>
        <v>AUXILIAR DE ENCANADOR OU BOMBEIRO HIDRÁULICO COM ENCARGOS COMPLEMENTARES</v>
      </c>
      <c r="E2696" s="289" t="str">
        <f>IFERROR(VLOOKUP($C2696,'24.08_ND'!$A:$D,3,0),)</f>
        <v>H</v>
      </c>
      <c r="F2696" s="375">
        <v>0.13500000000000001</v>
      </c>
      <c r="G2696" s="291">
        <f>IFERROR(VLOOKUP($C2696,'24.08_ND'!$A:$D,4,0),)</f>
        <v>19.05</v>
      </c>
      <c r="H2696" s="423">
        <f>TRUNC(($F2696*$G2696),2)</f>
        <v>2.57</v>
      </c>
      <c r="I2696" s="368"/>
      <c r="J2696" s="368"/>
      <c r="K2696" s="368"/>
      <c r="L2696" s="368"/>
      <c r="M2696" s="368"/>
      <c r="N2696" s="368"/>
      <c r="O2696" s="368"/>
      <c r="P2696" s="368"/>
      <c r="Q2696" s="368"/>
      <c r="R2696" s="368"/>
      <c r="S2696" s="368"/>
      <c r="T2696" s="368"/>
      <c r="U2696" s="368"/>
      <c r="V2696" s="368"/>
      <c r="W2696" s="368"/>
      <c r="X2696" s="368"/>
      <c r="Y2696" s="368"/>
      <c r="Z2696" s="368"/>
      <c r="AA2696" s="368"/>
      <c r="AB2696" s="368"/>
      <c r="AD2696" s="1791" t="e">
        <f>VLOOKUP(C2696,'Medição '!$B$16:$F$1833,6,0)</f>
        <v>#N/A</v>
      </c>
      <c r="AE2696" s="1791"/>
    </row>
    <row r="2697" spans="1:31" ht="25.5">
      <c r="A2697" s="586" t="s">
        <v>14478</v>
      </c>
      <c r="B2697" s="421" t="s">
        <v>14476</v>
      </c>
      <c r="C2697" s="422">
        <v>88267</v>
      </c>
      <c r="D2697" s="288" t="str">
        <f>IFERROR(VLOOKUP($C2697,'24.08_ND'!$A:$D,2,0),)</f>
        <v>ENCANADOR OU BOMBEIRO HIDRÁULICO COM ENCARGOS COMPLEMENTARES</v>
      </c>
      <c r="E2697" s="289" t="str">
        <f>IFERROR(VLOOKUP($C2697,'24.08_ND'!$A:$D,3,0),)</f>
        <v>H</v>
      </c>
      <c r="F2697" s="375">
        <v>0.13500000000000001</v>
      </c>
      <c r="G2697" s="291">
        <f>IFERROR(VLOOKUP($C2697,'24.08_ND'!$A:$D,4,0),)</f>
        <v>23.27</v>
      </c>
      <c r="H2697" s="423">
        <f>TRUNC(($F2697*$G2697),2)</f>
        <v>3.14</v>
      </c>
      <c r="I2697" s="368"/>
      <c r="J2697" s="368"/>
      <c r="K2697" s="368"/>
      <c r="L2697" s="368"/>
      <c r="M2697" s="368"/>
      <c r="N2697" s="368"/>
      <c r="O2697" s="368"/>
      <c r="P2697" s="368"/>
      <c r="Q2697" s="368"/>
      <c r="R2697" s="368"/>
      <c r="S2697" s="368"/>
      <c r="T2697" s="368"/>
      <c r="U2697" s="368"/>
      <c r="V2697" s="368"/>
      <c r="W2697" s="368"/>
      <c r="X2697" s="368"/>
      <c r="Y2697" s="368"/>
      <c r="Z2697" s="368"/>
      <c r="AA2697" s="368"/>
      <c r="AB2697" s="368"/>
      <c r="AD2697" s="1791" t="e">
        <f>VLOOKUP(C2697,'Medição '!$B$16:$F$1833,6,0)</f>
        <v>#N/A</v>
      </c>
      <c r="AE2697" s="1791"/>
    </row>
    <row r="2698" spans="1:31" ht="12.75">
      <c r="A2698" s="590" t="s">
        <v>14479</v>
      </c>
      <c r="B2698" s="312" t="str">
        <f>VLOOKUP($C2698,'• CIs EXT'!$A:$E,2,0)</f>
        <v>ORSE</v>
      </c>
      <c r="C2698" s="377">
        <v>14295</v>
      </c>
      <c r="D2698" s="378" t="str">
        <f>VLOOKUP($C2698,'• CIs EXT'!$A:$E,3,0)</f>
        <v>PORTA GRELHA PVC REDONDA, CROMADO, P/CAIXA E RALOS, D= 100MM</v>
      </c>
      <c r="E2698" s="379" t="str">
        <f>VLOOKUP($C2698,'• CIs EXT'!$A:$E,4,0)</f>
        <v>UN</v>
      </c>
      <c r="F2698" s="380">
        <v>1</v>
      </c>
      <c r="G2698" s="379">
        <f>VLOOKUP($C2698,'• CIs EXT'!$A:$E,5,0)</f>
        <v>4.9000000000000004</v>
      </c>
      <c r="H2698" s="381">
        <f>TRUNC(($F2698*$G2698),2)</f>
        <v>4.9000000000000004</v>
      </c>
      <c r="I2698" s="368"/>
      <c r="J2698" s="368"/>
      <c r="K2698" s="368"/>
      <c r="L2698" s="368"/>
      <c r="M2698" s="368"/>
      <c r="N2698" s="368"/>
      <c r="O2698" s="368"/>
      <c r="P2698" s="368"/>
      <c r="Q2698" s="368"/>
      <c r="R2698" s="368"/>
      <c r="S2698" s="368"/>
      <c r="T2698" s="368"/>
      <c r="U2698" s="368"/>
      <c r="V2698" s="368"/>
      <c r="W2698" s="368"/>
      <c r="X2698" s="368"/>
      <c r="Y2698" s="368"/>
      <c r="Z2698" s="368"/>
      <c r="AA2698" s="368"/>
      <c r="AB2698" s="368"/>
    </row>
    <row r="2699" spans="1:31" ht="25.5">
      <c r="A2699" s="590" t="s">
        <v>14479</v>
      </c>
      <c r="B2699" s="312" t="str">
        <f>VLOOKUP($C2699,'• CIs EXT'!$A:$E,2,0)</f>
        <v>AGETOP CIVIL</v>
      </c>
      <c r="C2699" s="377" t="s">
        <v>15407</v>
      </c>
      <c r="D2699" s="378" t="str">
        <f>VLOOKUP($C2699,'• CIs EXT'!$A:$E,3,0)</f>
        <v>GRELHA QUADRADA BRANCA 100 MM (ESGOTO)</v>
      </c>
      <c r="E2699" s="379" t="str">
        <f>VLOOKUP($C2699,'• CIs EXT'!$A:$E,4,0)</f>
        <v>UN</v>
      </c>
      <c r="F2699" s="380">
        <v>1</v>
      </c>
      <c r="G2699" s="379">
        <f>VLOOKUP($C2699,'• CIs EXT'!$A:$E,5,0)</f>
        <v>5.1100000000000003</v>
      </c>
      <c r="H2699" s="381">
        <f>TRUNC(($F2699*$G2699),2)</f>
        <v>5.1100000000000003</v>
      </c>
      <c r="I2699" s="368"/>
      <c r="J2699" s="368"/>
      <c r="K2699" s="368"/>
      <c r="L2699" s="368"/>
      <c r="M2699" s="368"/>
      <c r="N2699" s="368"/>
      <c r="O2699" s="368"/>
      <c r="P2699" s="368"/>
      <c r="Q2699" s="368"/>
      <c r="R2699" s="368"/>
      <c r="S2699" s="368"/>
      <c r="T2699" s="368"/>
      <c r="U2699" s="368"/>
      <c r="V2699" s="368"/>
      <c r="W2699" s="368"/>
      <c r="X2699" s="368"/>
      <c r="Y2699" s="368"/>
      <c r="Z2699" s="368"/>
      <c r="AA2699" s="368"/>
      <c r="AB2699" s="368"/>
    </row>
    <row r="2700" spans="1:31" ht="12.75">
      <c r="A2700" s="686"/>
      <c r="B2700" s="687"/>
      <c r="C2700" s="688"/>
      <c r="D2700" s="689"/>
      <c r="E2700" s="690"/>
      <c r="F2700" s="691"/>
      <c r="G2700" s="690"/>
      <c r="H2700" s="692"/>
      <c r="I2700" s="262"/>
      <c r="J2700" s="262"/>
      <c r="K2700" s="262"/>
      <c r="L2700" s="262"/>
      <c r="M2700" s="262"/>
      <c r="N2700" s="262"/>
      <c r="O2700" s="262"/>
      <c r="P2700" s="262"/>
      <c r="Q2700" s="262"/>
      <c r="R2700" s="262"/>
      <c r="S2700" s="262"/>
      <c r="T2700" s="262"/>
      <c r="U2700" s="262"/>
      <c r="V2700" s="262"/>
      <c r="W2700" s="262"/>
      <c r="X2700" s="262"/>
      <c r="Y2700" s="262"/>
      <c r="Z2700" s="262"/>
      <c r="AA2700" s="262"/>
      <c r="AB2700" s="262"/>
    </row>
    <row r="2701" spans="1:31" ht="12.75">
      <c r="A2701" s="358" t="s">
        <v>14471</v>
      </c>
      <c r="B2701" s="359" t="s">
        <v>14472</v>
      </c>
      <c r="C2701" s="360" t="s">
        <v>15408</v>
      </c>
      <c r="D2701" s="361" t="s">
        <v>15409</v>
      </c>
      <c r="E2701" s="359" t="s">
        <v>6</v>
      </c>
      <c r="F2701" s="693"/>
      <c r="G2701" s="362"/>
      <c r="H2701" s="363">
        <f>TRUNC(SUM(H2703:H2705),2)</f>
        <v>63.91</v>
      </c>
      <c r="I2701" s="276">
        <f>COUNTIF($C$8:$C2701,C:C)</f>
        <v>1</v>
      </c>
      <c r="J2701" s="368"/>
      <c r="K2701" s="368"/>
      <c r="L2701" s="368"/>
      <c r="M2701" s="368"/>
      <c r="N2701" s="368"/>
      <c r="O2701" s="368"/>
      <c r="P2701" s="368"/>
      <c r="Q2701" s="368"/>
      <c r="R2701" s="368"/>
      <c r="S2701" s="368"/>
      <c r="T2701" s="368"/>
      <c r="U2701" s="368"/>
      <c r="V2701" s="368"/>
      <c r="W2701" s="368"/>
      <c r="X2701" s="368"/>
      <c r="Y2701" s="368"/>
      <c r="Z2701" s="368"/>
      <c r="AA2701" s="368"/>
      <c r="AB2701" s="368"/>
    </row>
    <row r="2702" spans="1:31" ht="12.75">
      <c r="A2702" s="646" t="s">
        <v>14475</v>
      </c>
      <c r="B2702" s="694" t="s">
        <v>14513</v>
      </c>
      <c r="C2702" s="365">
        <v>53039</v>
      </c>
      <c r="D2702" s="367" t="s">
        <v>14945</v>
      </c>
      <c r="E2702" s="370"/>
      <c r="F2702" s="696"/>
      <c r="G2702" s="370"/>
      <c r="H2702" s="371"/>
      <c r="I2702" s="368"/>
      <c r="J2702" s="368"/>
      <c r="K2702" s="368"/>
      <c r="L2702" s="368"/>
      <c r="M2702" s="368"/>
      <c r="N2702" s="368"/>
      <c r="O2702" s="368"/>
      <c r="P2702" s="368"/>
      <c r="Q2702" s="368"/>
      <c r="R2702" s="368"/>
      <c r="S2702" s="368"/>
      <c r="T2702" s="368"/>
      <c r="U2702" s="368"/>
      <c r="V2702" s="368"/>
      <c r="W2702" s="368"/>
      <c r="X2702" s="368"/>
      <c r="Y2702" s="368"/>
      <c r="Z2702" s="368"/>
      <c r="AA2702" s="368"/>
      <c r="AB2702" s="368"/>
    </row>
    <row r="2703" spans="1:31" ht="25.5">
      <c r="A2703" s="586" t="s">
        <v>14478</v>
      </c>
      <c r="B2703" s="421" t="s">
        <v>14476</v>
      </c>
      <c r="C2703" s="422">
        <v>88248</v>
      </c>
      <c r="D2703" s="288" t="str">
        <f>IFERROR(VLOOKUP($C2703,'24.08_ND'!$A:$D,2,0),)</f>
        <v>AUXILIAR DE ENCANADOR OU BOMBEIRO HIDRÁULICO COM ENCARGOS COMPLEMENTARES</v>
      </c>
      <c r="E2703" s="289" t="str">
        <f>IFERROR(VLOOKUP($C2703,'24.08_ND'!$A:$D,3,0),)</f>
        <v>H</v>
      </c>
      <c r="F2703" s="697">
        <v>0.82499999999999996</v>
      </c>
      <c r="G2703" s="291">
        <f>IFERROR(VLOOKUP($C2703,'24.08_ND'!$A:$D,4,0),)</f>
        <v>19.05</v>
      </c>
      <c r="H2703" s="423">
        <f>TRUNC(($F2703*$G2703),2)</f>
        <v>15.71</v>
      </c>
      <c r="I2703" s="368"/>
      <c r="J2703" s="368"/>
      <c r="K2703" s="368"/>
      <c r="L2703" s="368"/>
      <c r="M2703" s="368"/>
      <c r="N2703" s="368"/>
      <c r="O2703" s="368"/>
      <c r="P2703" s="368"/>
      <c r="Q2703" s="368"/>
      <c r="R2703" s="368"/>
      <c r="S2703" s="368"/>
      <c r="T2703" s="368"/>
      <c r="U2703" s="368"/>
      <c r="V2703" s="368"/>
      <c r="W2703" s="368"/>
      <c r="X2703" s="368"/>
      <c r="Y2703" s="368"/>
      <c r="Z2703" s="368"/>
      <c r="AA2703" s="368"/>
      <c r="AB2703" s="368"/>
      <c r="AD2703" s="1791" t="e">
        <f>VLOOKUP(C2703,'Medição '!$B$16:$F$1833,6,0)</f>
        <v>#N/A</v>
      </c>
      <c r="AE2703" s="1791"/>
    </row>
    <row r="2704" spans="1:31" ht="25.5">
      <c r="A2704" s="586" t="s">
        <v>14478</v>
      </c>
      <c r="B2704" s="421" t="s">
        <v>14476</v>
      </c>
      <c r="C2704" s="422">
        <v>88267</v>
      </c>
      <c r="D2704" s="288" t="str">
        <f>IFERROR(VLOOKUP($C2704,'24.08_ND'!$A:$D,2,0),)</f>
        <v>ENCANADOR OU BOMBEIRO HIDRÁULICO COM ENCARGOS COMPLEMENTARES</v>
      </c>
      <c r="E2704" s="289" t="str">
        <f>IFERROR(VLOOKUP($C2704,'24.08_ND'!$A:$D,3,0),)</f>
        <v>H</v>
      </c>
      <c r="F2704" s="697">
        <v>1.2370000000000001</v>
      </c>
      <c r="G2704" s="291">
        <f>IFERROR(VLOOKUP($C2704,'24.08_ND'!$A:$D,4,0),)</f>
        <v>23.27</v>
      </c>
      <c r="H2704" s="423">
        <f>TRUNC(($F2704*$G2704),2)</f>
        <v>28.78</v>
      </c>
      <c r="I2704" s="368"/>
      <c r="J2704" s="368"/>
      <c r="K2704" s="368"/>
      <c r="L2704" s="368"/>
      <c r="M2704" s="368"/>
      <c r="N2704" s="368"/>
      <c r="O2704" s="368"/>
      <c r="P2704" s="368"/>
      <c r="Q2704" s="368"/>
      <c r="R2704" s="368"/>
      <c r="S2704" s="368"/>
      <c r="T2704" s="368"/>
      <c r="U2704" s="368"/>
      <c r="V2704" s="368"/>
      <c r="W2704" s="368"/>
      <c r="X2704" s="368"/>
      <c r="Y2704" s="368"/>
      <c r="Z2704" s="368"/>
      <c r="AA2704" s="368"/>
      <c r="AB2704" s="368"/>
      <c r="AD2704" s="1791" t="e">
        <f>VLOOKUP(C2704,'Medição '!$B$16:$F$1833,6,0)</f>
        <v>#N/A</v>
      </c>
      <c r="AE2704" s="1791"/>
    </row>
    <row r="2705" spans="1:32" ht="12.75">
      <c r="A2705" s="590" t="s">
        <v>14479</v>
      </c>
      <c r="B2705" s="312" t="str">
        <f>VLOOKUP($C2705,'• CIs EXT'!$A:$E,2,0)</f>
        <v>SBC</v>
      </c>
      <c r="C2705" s="377">
        <v>3694</v>
      </c>
      <c r="D2705" s="378" t="str">
        <f>VLOOKUP($C2705,'• CIs EXT'!$A:$E,3,0)</f>
        <v>RALO GRELHA ABACAXI FERRO FUNDIDO SEMI ESFERICO 100mm</v>
      </c>
      <c r="E2705" s="379" t="str">
        <f>VLOOKUP($C2705,'• CIs EXT'!$A:$E,4,0)</f>
        <v>UN</v>
      </c>
      <c r="F2705" s="698">
        <v>1</v>
      </c>
      <c r="G2705" s="379">
        <f>VLOOKUP($C2705,'• CIs EXT'!$A:$E,5,0)</f>
        <v>19.420000000000002</v>
      </c>
      <c r="H2705" s="381">
        <f>TRUNC(($F2705*$G2705),2)</f>
        <v>19.420000000000002</v>
      </c>
      <c r="I2705" s="368"/>
      <c r="J2705" s="368"/>
      <c r="K2705" s="368"/>
      <c r="L2705" s="368"/>
      <c r="M2705" s="368"/>
      <c r="N2705" s="368"/>
      <c r="O2705" s="368"/>
      <c r="P2705" s="368"/>
      <c r="Q2705" s="368"/>
      <c r="R2705" s="368"/>
      <c r="S2705" s="368"/>
      <c r="T2705" s="368"/>
      <c r="U2705" s="368"/>
      <c r="V2705" s="368"/>
      <c r="W2705" s="368"/>
      <c r="X2705" s="368"/>
      <c r="Y2705" s="368"/>
      <c r="Z2705" s="368"/>
      <c r="AA2705" s="368"/>
      <c r="AB2705" s="368"/>
    </row>
    <row r="2706" spans="1:32" ht="12.75">
      <c r="A2706" s="686"/>
      <c r="B2706" s="687"/>
      <c r="C2706" s="688"/>
      <c r="D2706" s="689"/>
      <c r="E2706" s="690"/>
      <c r="F2706" s="691"/>
      <c r="G2706" s="690"/>
      <c r="H2706" s="692"/>
      <c r="I2706" s="262"/>
      <c r="J2706" s="262"/>
      <c r="K2706" s="262"/>
      <c r="L2706" s="262"/>
      <c r="M2706" s="262"/>
      <c r="N2706" s="262"/>
      <c r="O2706" s="262"/>
      <c r="P2706" s="262"/>
      <c r="Q2706" s="262"/>
      <c r="R2706" s="262"/>
      <c r="S2706" s="262"/>
      <c r="T2706" s="262"/>
      <c r="U2706" s="262"/>
      <c r="V2706" s="262"/>
      <c r="W2706" s="262"/>
      <c r="X2706" s="262"/>
      <c r="Y2706" s="262"/>
      <c r="Z2706" s="262"/>
      <c r="AA2706" s="262"/>
      <c r="AB2706" s="262"/>
    </row>
    <row r="2707" spans="1:32" ht="12.75">
      <c r="A2707" s="358" t="s">
        <v>14471</v>
      </c>
      <c r="B2707" s="359" t="s">
        <v>14472</v>
      </c>
      <c r="C2707" s="360" t="s">
        <v>15410</v>
      </c>
      <c r="D2707" s="361" t="s">
        <v>15411</v>
      </c>
      <c r="E2707" s="359" t="s">
        <v>6</v>
      </c>
      <c r="F2707" s="693"/>
      <c r="G2707" s="362"/>
      <c r="H2707" s="363">
        <f>TRUNC(SUM(H2709:H2711),2)</f>
        <v>759.27</v>
      </c>
      <c r="I2707" s="276">
        <f>COUNTIF($C$8:$C2707,C:C)</f>
        <v>1</v>
      </c>
      <c r="J2707" s="368"/>
      <c r="K2707" s="368"/>
      <c r="L2707" s="368"/>
      <c r="M2707" s="368"/>
      <c r="N2707" s="368"/>
      <c r="O2707" s="368"/>
      <c r="P2707" s="368"/>
      <c r="Q2707" s="368"/>
      <c r="R2707" s="368"/>
      <c r="S2707" s="368"/>
      <c r="T2707" s="368"/>
      <c r="U2707" s="368"/>
      <c r="V2707" s="368"/>
      <c r="W2707" s="368"/>
      <c r="X2707" s="368"/>
      <c r="Y2707" s="368"/>
      <c r="Z2707" s="368"/>
      <c r="AA2707" s="368"/>
      <c r="AB2707" s="368"/>
    </row>
    <row r="2708" spans="1:32" ht="12.75">
      <c r="A2708" s="646" t="s">
        <v>14475</v>
      </c>
      <c r="B2708" s="694" t="s">
        <v>14513</v>
      </c>
      <c r="C2708" s="365">
        <v>53039</v>
      </c>
      <c r="D2708" s="367" t="s">
        <v>14945</v>
      </c>
      <c r="E2708" s="370"/>
      <c r="F2708" s="696"/>
      <c r="G2708" s="370"/>
      <c r="H2708" s="371"/>
      <c r="I2708" s="368"/>
      <c r="J2708" s="368"/>
      <c r="K2708" s="368"/>
      <c r="L2708" s="368"/>
      <c r="M2708" s="368"/>
      <c r="N2708" s="368"/>
      <c r="O2708" s="368"/>
      <c r="P2708" s="368"/>
      <c r="Q2708" s="368"/>
      <c r="R2708" s="368"/>
      <c r="S2708" s="368"/>
      <c r="T2708" s="368"/>
      <c r="U2708" s="368"/>
      <c r="V2708" s="368"/>
      <c r="W2708" s="368"/>
      <c r="X2708" s="368"/>
      <c r="Y2708" s="368"/>
      <c r="Z2708" s="368"/>
      <c r="AA2708" s="368"/>
      <c r="AB2708" s="368"/>
    </row>
    <row r="2709" spans="1:32" ht="25.5">
      <c r="A2709" s="586" t="s">
        <v>14478</v>
      </c>
      <c r="B2709" s="421" t="s">
        <v>14476</v>
      </c>
      <c r="C2709" s="422">
        <v>88248</v>
      </c>
      <c r="D2709" s="288" t="str">
        <f>IFERROR(VLOOKUP($C2709,'24.08_ND'!$A:$D,2,0),)</f>
        <v>AUXILIAR DE ENCANADOR OU BOMBEIRO HIDRÁULICO COM ENCARGOS COMPLEMENTARES</v>
      </c>
      <c r="E2709" s="289" t="str">
        <f>IFERROR(VLOOKUP($C2709,'24.08_ND'!$A:$D,3,0),)</f>
        <v>H</v>
      </c>
      <c r="F2709" s="697">
        <v>0.82499999999999996</v>
      </c>
      <c r="G2709" s="291">
        <f>IFERROR(VLOOKUP($C2709,'24.08_ND'!$A:$D,4,0),)</f>
        <v>19.05</v>
      </c>
      <c r="H2709" s="423">
        <f>TRUNC(($F2709*$G2709),2)</f>
        <v>15.71</v>
      </c>
      <c r="I2709" s="368"/>
      <c r="J2709" s="368"/>
      <c r="K2709" s="368"/>
      <c r="L2709" s="368"/>
      <c r="M2709" s="368"/>
      <c r="N2709" s="368"/>
      <c r="O2709" s="368"/>
      <c r="P2709" s="368"/>
      <c r="Q2709" s="368"/>
      <c r="R2709" s="368"/>
      <c r="S2709" s="368"/>
      <c r="T2709" s="368"/>
      <c r="U2709" s="368"/>
      <c r="V2709" s="368"/>
      <c r="W2709" s="368"/>
      <c r="X2709" s="368"/>
      <c r="Y2709" s="368"/>
      <c r="Z2709" s="368"/>
      <c r="AA2709" s="368"/>
      <c r="AB2709" s="368"/>
      <c r="AD2709" s="1791" t="e">
        <f>VLOOKUP(C2709,'Medição '!$B$16:$F$1833,6,0)</f>
        <v>#N/A</v>
      </c>
      <c r="AE2709" s="1791"/>
    </row>
    <row r="2710" spans="1:32" ht="25.5">
      <c r="A2710" s="586" t="s">
        <v>14478</v>
      </c>
      <c r="B2710" s="421" t="s">
        <v>14476</v>
      </c>
      <c r="C2710" s="422">
        <v>88267</v>
      </c>
      <c r="D2710" s="288" t="str">
        <f>IFERROR(VLOOKUP($C2710,'24.08_ND'!$A:$D,2,0),)</f>
        <v>ENCANADOR OU BOMBEIRO HIDRÁULICO COM ENCARGOS COMPLEMENTARES</v>
      </c>
      <c r="E2710" s="289" t="str">
        <f>IFERROR(VLOOKUP($C2710,'24.08_ND'!$A:$D,3,0),)</f>
        <v>H</v>
      </c>
      <c r="F2710" s="697">
        <v>1.2370000000000001</v>
      </c>
      <c r="G2710" s="291">
        <f>IFERROR(VLOOKUP($C2710,'24.08_ND'!$A:$D,4,0),)</f>
        <v>23.27</v>
      </c>
      <c r="H2710" s="423">
        <f>TRUNC(($F2710*$G2710),2)</f>
        <v>28.78</v>
      </c>
      <c r="I2710" s="368"/>
      <c r="J2710" s="368"/>
      <c r="K2710" s="368"/>
      <c r="L2710" s="368"/>
      <c r="M2710" s="368"/>
      <c r="N2710" s="368"/>
      <c r="O2710" s="368"/>
      <c r="P2710" s="368"/>
      <c r="Q2710" s="368"/>
      <c r="R2710" s="368"/>
      <c r="S2710" s="368"/>
      <c r="T2710" s="368"/>
      <c r="U2710" s="368"/>
      <c r="V2710" s="368"/>
      <c r="W2710" s="368"/>
      <c r="X2710" s="368"/>
      <c r="Y2710" s="368"/>
      <c r="Z2710" s="368"/>
      <c r="AA2710" s="368"/>
      <c r="AB2710" s="368"/>
      <c r="AD2710" s="1791" t="e">
        <f>VLOOKUP(C2710,'Medição '!$B$16:$F$1833,6,0)</f>
        <v>#N/A</v>
      </c>
      <c r="AE2710" s="1791"/>
    </row>
    <row r="2711" spans="1:32" ht="12.75">
      <c r="A2711" s="590" t="s">
        <v>14479</v>
      </c>
      <c r="B2711" s="312" t="str">
        <f>VLOOKUP($C2711,'• CIs EXT'!$A:$E,2,0)</f>
        <v>SBC</v>
      </c>
      <c r="C2711" s="377">
        <v>3823</v>
      </c>
      <c r="D2711" s="378" t="str">
        <f>VLOOKUP($C2711,'• CIs EXT'!$A:$E,3,0)</f>
        <v>VALVULA PRESSMATIC ANTIVANDALISMO ALTA PRESSAO</v>
      </c>
      <c r="E2711" s="379" t="str">
        <f>VLOOKUP($C2711,'• CIs EXT'!$A:$E,4,0)</f>
        <v>UN</v>
      </c>
      <c r="F2711" s="698">
        <v>1</v>
      </c>
      <c r="G2711" s="379">
        <f>VLOOKUP($C2711,'• CIs EXT'!$A:$E,5,0)</f>
        <v>714.78</v>
      </c>
      <c r="H2711" s="381">
        <f>TRUNC(($F2711*$G2711),2)</f>
        <v>714.78</v>
      </c>
      <c r="I2711" s="368"/>
      <c r="J2711" s="368"/>
      <c r="K2711" s="368"/>
      <c r="L2711" s="368"/>
      <c r="M2711" s="368"/>
      <c r="N2711" s="368"/>
      <c r="O2711" s="368"/>
      <c r="P2711" s="368"/>
      <c r="Q2711" s="368"/>
      <c r="R2711" s="368"/>
      <c r="S2711" s="368"/>
      <c r="T2711" s="368"/>
      <c r="U2711" s="368"/>
      <c r="V2711" s="368"/>
      <c r="W2711" s="368"/>
      <c r="X2711" s="368"/>
      <c r="Y2711" s="368"/>
      <c r="Z2711" s="368"/>
      <c r="AA2711" s="368"/>
      <c r="AB2711" s="368"/>
    </row>
    <row r="2712" spans="1:32" ht="12.75">
      <c r="A2712" s="686"/>
      <c r="B2712" s="687"/>
      <c r="C2712" s="688"/>
      <c r="D2712" s="689"/>
      <c r="E2712" s="690"/>
      <c r="F2712" s="691"/>
      <c r="G2712" s="690"/>
      <c r="H2712" s="692"/>
      <c r="I2712" s="262"/>
      <c r="J2712" s="262"/>
      <c r="K2712" s="262"/>
      <c r="L2712" s="262"/>
      <c r="M2712" s="262"/>
      <c r="N2712" s="262"/>
      <c r="O2712" s="262"/>
      <c r="P2712" s="262"/>
      <c r="Q2712" s="262"/>
      <c r="R2712" s="262"/>
      <c r="S2712" s="262"/>
      <c r="T2712" s="262"/>
      <c r="U2712" s="262"/>
      <c r="V2712" s="262"/>
      <c r="W2712" s="262"/>
      <c r="X2712" s="262"/>
      <c r="Y2712" s="262"/>
      <c r="Z2712" s="262"/>
      <c r="AA2712" s="262"/>
      <c r="AB2712" s="262"/>
    </row>
    <row r="2713" spans="1:32" ht="12.75">
      <c r="A2713" s="841" t="s">
        <v>15071</v>
      </c>
      <c r="B2713" s="842" t="s">
        <v>14472</v>
      </c>
      <c r="C2713" s="843" t="s">
        <v>15412</v>
      </c>
      <c r="D2713" s="844" t="s">
        <v>15413</v>
      </c>
      <c r="E2713" s="845" t="s">
        <v>6</v>
      </c>
      <c r="F2713" s="846"/>
      <c r="G2713" s="847"/>
      <c r="H2713" s="848">
        <f>SUM(H2714:H2718)</f>
        <v>273.07000000000005</v>
      </c>
      <c r="I2713" s="276">
        <f>COUNTIF($C$8:$C2713,C:C)</f>
        <v>1</v>
      </c>
      <c r="J2713" s="368"/>
      <c r="K2713" s="368"/>
      <c r="L2713" s="368"/>
      <c r="M2713" s="368"/>
      <c r="N2713" s="368"/>
      <c r="O2713" s="368"/>
      <c r="P2713" s="368"/>
      <c r="Q2713" s="368"/>
      <c r="R2713" s="368"/>
      <c r="S2713" s="368"/>
      <c r="T2713" s="368"/>
      <c r="U2713" s="368"/>
      <c r="V2713" s="368"/>
      <c r="W2713" s="368"/>
      <c r="X2713" s="368"/>
      <c r="Y2713" s="368"/>
      <c r="Z2713" s="368"/>
      <c r="AA2713" s="368"/>
      <c r="AB2713" s="368"/>
    </row>
    <row r="2714" spans="1:32" ht="12.75">
      <c r="A2714" s="646" t="s">
        <v>14475</v>
      </c>
      <c r="B2714" s="763" t="s">
        <v>14513</v>
      </c>
      <c r="C2714" s="404">
        <v>56016</v>
      </c>
      <c r="D2714" s="367" t="s">
        <v>14945</v>
      </c>
      <c r="E2714" s="370"/>
      <c r="F2714" s="369"/>
      <c r="G2714" s="370"/>
      <c r="H2714" s="371"/>
      <c r="I2714" s="368"/>
      <c r="J2714" s="368"/>
      <c r="K2714" s="368"/>
      <c r="L2714" s="368"/>
      <c r="M2714" s="368"/>
      <c r="N2714" s="368"/>
      <c r="O2714" s="368"/>
      <c r="P2714" s="368"/>
      <c r="Q2714" s="368"/>
      <c r="R2714" s="368"/>
      <c r="S2714" s="368"/>
      <c r="T2714" s="368"/>
      <c r="U2714" s="368"/>
      <c r="V2714" s="368"/>
      <c r="W2714" s="368"/>
      <c r="X2714" s="368"/>
      <c r="Y2714" s="368"/>
      <c r="Z2714" s="368"/>
      <c r="AA2714" s="368"/>
      <c r="AB2714" s="368"/>
    </row>
    <row r="2715" spans="1:32" ht="30">
      <c r="A2715" s="854" t="s">
        <v>14478</v>
      </c>
      <c r="B2715" s="786" t="s">
        <v>14476</v>
      </c>
      <c r="C2715" s="677">
        <v>88267</v>
      </c>
      <c r="D2715" s="288" t="str">
        <f>IFERROR(VLOOKUP($C2715,'24.08_ND'!$A:$D,2,0),)</f>
        <v>ENCANADOR OU BOMBEIRO HIDRÁULICO COM ENCARGOS COMPLEMENTARES</v>
      </c>
      <c r="E2715" s="289" t="str">
        <f>IFERROR(VLOOKUP($C2715,'24.08_ND'!$A:$D,3,0),)</f>
        <v>H</v>
      </c>
      <c r="F2715" s="787">
        <v>0.753</v>
      </c>
      <c r="G2715" s="291">
        <f>IFERROR(VLOOKUP($C2715,'24.08_ND'!$A:$D,4,0),)</f>
        <v>23.27</v>
      </c>
      <c r="H2715" s="423">
        <f>TRUNC(($F2715*$G2715),2)</f>
        <v>17.52</v>
      </c>
      <c r="I2715" s="368"/>
      <c r="J2715" s="368"/>
      <c r="K2715" s="368"/>
      <c r="L2715" s="368"/>
      <c r="M2715" s="368"/>
      <c r="N2715" s="368"/>
      <c r="O2715" s="368"/>
      <c r="P2715" s="368"/>
      <c r="Q2715" s="368"/>
      <c r="R2715" s="368"/>
      <c r="S2715" s="368"/>
      <c r="T2715" s="368"/>
      <c r="U2715" s="368"/>
      <c r="V2715" s="368"/>
      <c r="W2715" s="368"/>
      <c r="X2715" s="368"/>
      <c r="Y2715" s="368"/>
      <c r="Z2715" s="368"/>
      <c r="AA2715" s="368"/>
      <c r="AB2715" s="368"/>
      <c r="AD2715" s="1791" t="e">
        <f>VLOOKUP(C2715,'Medição '!$B$16:$F$1833,6,0)</f>
        <v>#N/A</v>
      </c>
      <c r="AE2715" s="1791"/>
    </row>
    <row r="2716" spans="1:32" ht="30">
      <c r="A2716" s="854" t="s">
        <v>14478</v>
      </c>
      <c r="B2716" s="786" t="s">
        <v>14476</v>
      </c>
      <c r="C2716" s="677">
        <v>88248</v>
      </c>
      <c r="D2716" s="288" t="str">
        <f>IFERROR(VLOOKUP($C2716,'24.08_ND'!$A:$D,2,0),)</f>
        <v>AUXILIAR DE ENCANADOR OU BOMBEIRO HIDRÁULICO COM ENCARGOS COMPLEMENTARES</v>
      </c>
      <c r="E2716" s="289" t="str">
        <f>IFERROR(VLOOKUP($C2716,'24.08_ND'!$A:$D,3,0),)</f>
        <v>H</v>
      </c>
      <c r="F2716" s="787">
        <v>0.82499999999999996</v>
      </c>
      <c r="G2716" s="291">
        <f>IFERROR(VLOOKUP($C2716,'24.08_ND'!$A:$D,4,0),)</f>
        <v>19.05</v>
      </c>
      <c r="H2716" s="423">
        <f>TRUNC(($F2716*$G2716),2)</f>
        <v>15.71</v>
      </c>
      <c r="I2716" s="368"/>
      <c r="J2716" s="368"/>
      <c r="K2716" s="368"/>
      <c r="L2716" s="368"/>
      <c r="M2716" s="368"/>
      <c r="N2716" s="368"/>
      <c r="O2716" s="368"/>
      <c r="P2716" s="368"/>
      <c r="Q2716" s="368"/>
      <c r="R2716" s="368"/>
      <c r="S2716" s="368"/>
      <c r="T2716" s="368"/>
      <c r="U2716" s="368"/>
      <c r="V2716" s="368"/>
      <c r="W2716" s="368"/>
      <c r="X2716" s="368"/>
      <c r="Y2716" s="368"/>
      <c r="Z2716" s="368"/>
      <c r="AA2716" s="368"/>
      <c r="AB2716" s="368"/>
      <c r="AD2716" s="1791" t="e">
        <f>VLOOKUP(C2716,'Medição '!$B$16:$F$1833,6,0)</f>
        <v>#N/A</v>
      </c>
      <c r="AE2716" s="1791"/>
    </row>
    <row r="2717" spans="1:32" ht="12.75">
      <c r="A2717" s="445" t="s">
        <v>14479</v>
      </c>
      <c r="B2717" s="446" t="s">
        <v>14476</v>
      </c>
      <c r="C2717" s="582">
        <v>3143</v>
      </c>
      <c r="D2717" s="296" t="str">
        <f>IFERROR(VLOOKUP($C2717,'24.08_ND'!$A:$D,2,0),)</f>
        <v>FITA VEDA ROSCA EM ROLOS DE 18 MM X 25 M (L X C)</v>
      </c>
      <c r="E2717" s="297" t="str">
        <f>IFERROR(VLOOKUP($C2717,'24.08_ND'!$A:$D,3,0),)</f>
        <v>UN</v>
      </c>
      <c r="F2717" s="780">
        <v>0.64</v>
      </c>
      <c r="G2717" s="299">
        <f>IFERROR(VLOOKUP($C2717,'24.08_ND'!$A:$D,4,0),)</f>
        <v>8.18</v>
      </c>
      <c r="H2717" s="781">
        <f>TRUNC(($F2717*$G2717),2)</f>
        <v>5.23</v>
      </c>
      <c r="I2717" s="368"/>
      <c r="J2717" s="368"/>
      <c r="K2717" s="368"/>
      <c r="L2717" s="368"/>
      <c r="M2717" s="368"/>
      <c r="N2717" s="368"/>
      <c r="O2717" s="368"/>
      <c r="P2717" s="368"/>
      <c r="Q2717" s="368"/>
      <c r="R2717" s="368"/>
      <c r="S2717" s="368"/>
      <c r="T2717" s="368"/>
      <c r="U2717" s="368"/>
      <c r="V2717" s="368"/>
      <c r="W2717" s="368"/>
      <c r="X2717" s="368"/>
      <c r="Y2717" s="368"/>
      <c r="Z2717" s="368"/>
      <c r="AA2717" s="368"/>
      <c r="AB2717" s="368"/>
    </row>
    <row r="2718" spans="1:32" ht="25.5">
      <c r="A2718" s="590" t="s">
        <v>14479</v>
      </c>
      <c r="B2718" s="312" t="str">
        <f>VLOOKUP($C2718,'• CIs EXT'!$A:$E,2,0)</f>
        <v>SBC</v>
      </c>
      <c r="C2718" s="377">
        <v>5791</v>
      </c>
      <c r="D2718" s="378" t="str">
        <f>VLOOKUP($C2718,'• CIs EXT'!$A:$E,3,0)</f>
        <v>VALVULA REDUTORA REGULADORA DE PRESSAO 3/4" - DN20 COM MANOMETRO INTEGRADO</v>
      </c>
      <c r="E2718" s="379" t="str">
        <f>VLOOKUP($C2718,'• CIs EXT'!$A:$E,4,0)</f>
        <v>UN</v>
      </c>
      <c r="F2718" s="442">
        <v>1</v>
      </c>
      <c r="G2718" s="379">
        <f>VLOOKUP($C2718,'• CIs EXT'!$A:$E,5,0)</f>
        <v>234.61</v>
      </c>
      <c r="H2718" s="381">
        <f>TRUNC(($F2718*$G2718),2)</f>
        <v>234.61</v>
      </c>
      <c r="I2718" s="368"/>
      <c r="J2718" s="368"/>
      <c r="K2718" s="368"/>
      <c r="L2718" s="368"/>
      <c r="M2718" s="368"/>
      <c r="N2718" s="368"/>
      <c r="O2718" s="368"/>
      <c r="P2718" s="368"/>
      <c r="Q2718" s="368"/>
      <c r="R2718" s="368"/>
      <c r="S2718" s="368"/>
      <c r="T2718" s="368"/>
      <c r="U2718" s="368"/>
      <c r="V2718" s="368"/>
      <c r="W2718" s="368"/>
      <c r="X2718" s="368"/>
      <c r="Y2718" s="368"/>
      <c r="Z2718" s="368"/>
      <c r="AA2718" s="368"/>
      <c r="AB2718" s="368"/>
    </row>
    <row r="2719" spans="1:32" ht="12.75">
      <c r="A2719" s="793"/>
      <c r="B2719" s="794"/>
      <c r="C2719" s="795"/>
      <c r="D2719" s="796"/>
      <c r="E2719" s="370"/>
      <c r="F2719" s="369"/>
      <c r="G2719" s="370"/>
      <c r="H2719" s="371"/>
      <c r="I2719" s="368"/>
      <c r="J2719" s="368"/>
      <c r="K2719" s="368"/>
      <c r="L2719" s="368"/>
      <c r="M2719" s="368"/>
      <c r="N2719" s="368"/>
      <c r="O2719" s="368"/>
      <c r="P2719" s="368"/>
      <c r="Q2719" s="368"/>
      <c r="R2719" s="368"/>
      <c r="S2719" s="368"/>
      <c r="T2719" s="368"/>
      <c r="U2719" s="368"/>
      <c r="V2719" s="368"/>
      <c r="W2719" s="368"/>
      <c r="X2719" s="368"/>
      <c r="Y2719" s="368"/>
      <c r="Z2719" s="368"/>
      <c r="AA2719" s="368"/>
      <c r="AB2719" s="368"/>
    </row>
    <row r="2720" spans="1:32" ht="63.75">
      <c r="A2720" s="358" t="s">
        <v>14471</v>
      </c>
      <c r="B2720" s="359" t="s">
        <v>14472</v>
      </c>
      <c r="C2720" s="360" t="s">
        <v>15414</v>
      </c>
      <c r="D2720" s="1863" t="s">
        <v>15415</v>
      </c>
      <c r="E2720" s="359" t="s">
        <v>50</v>
      </c>
      <c r="F2720" s="362"/>
      <c r="G2720" s="362"/>
      <c r="H2720" s="363">
        <f>TRUNC(SUM(H2722:H2734),2)</f>
        <v>328.93</v>
      </c>
      <c r="I2720" s="276">
        <f>COUNTIF($C$8:$C2720,C:C)</f>
        <v>1</v>
      </c>
      <c r="J2720" s="368"/>
      <c r="K2720" s="368"/>
      <c r="L2720" s="368"/>
      <c r="M2720" s="368"/>
      <c r="N2720" s="368"/>
      <c r="O2720" s="368"/>
      <c r="P2720" s="368"/>
      <c r="Q2720" s="368"/>
      <c r="R2720" s="368"/>
      <c r="S2720" s="368"/>
      <c r="T2720" s="368"/>
      <c r="U2720" s="368"/>
      <c r="V2720" s="368"/>
      <c r="W2720" s="368"/>
      <c r="X2720" s="368"/>
      <c r="Y2720" s="368"/>
      <c r="Z2720" s="368"/>
      <c r="AA2720" s="368"/>
      <c r="AB2720" s="368"/>
      <c r="AF2720" t="s">
        <v>15415</v>
      </c>
    </row>
    <row r="2721" spans="1:31" ht="12.75">
      <c r="A2721" s="646" t="s">
        <v>14475</v>
      </c>
      <c r="B2721" s="694" t="s">
        <v>15416</v>
      </c>
      <c r="C2721" s="404">
        <v>180513</v>
      </c>
      <c r="D2721" s="367" t="s">
        <v>14773</v>
      </c>
      <c r="E2721" s="370"/>
      <c r="F2721" s="642"/>
      <c r="G2721" s="370"/>
      <c r="H2721" s="371"/>
      <c r="I2721" s="368"/>
      <c r="J2721" s="368"/>
      <c r="K2721" s="368"/>
      <c r="L2721" s="368"/>
      <c r="M2721" s="368"/>
      <c r="N2721" s="368"/>
      <c r="O2721" s="368"/>
      <c r="P2721" s="368"/>
      <c r="Q2721" s="368"/>
      <c r="R2721" s="368"/>
      <c r="S2721" s="368"/>
      <c r="T2721" s="368"/>
      <c r="U2721" s="368"/>
      <c r="V2721" s="368"/>
      <c r="W2721" s="368"/>
      <c r="X2721" s="368"/>
      <c r="Y2721" s="368"/>
      <c r="Z2721" s="368"/>
      <c r="AA2721" s="368"/>
      <c r="AB2721" s="368"/>
    </row>
    <row r="2722" spans="1:31" ht="25.5">
      <c r="A2722" s="586" t="s">
        <v>14478</v>
      </c>
      <c r="B2722" s="421" t="s">
        <v>14476</v>
      </c>
      <c r="C2722" s="422">
        <v>88309</v>
      </c>
      <c r="D2722" s="288" t="str">
        <f>IFERROR(VLOOKUP($C2722,'24.08_ND'!$A:$D,2,0),)</f>
        <v>PEDREIRO COM ENCARGOS COMPLEMENTARES</v>
      </c>
      <c r="E2722" s="289" t="str">
        <f>IFERROR(VLOOKUP($C2722,'24.08_ND'!$A:$D,3,0),)</f>
        <v>H</v>
      </c>
      <c r="F2722" s="375">
        <v>3.9096669999999998</v>
      </c>
      <c r="G2722" s="291">
        <f>IFERROR(VLOOKUP($C2722,'24.08_ND'!$A:$D,4,0),)</f>
        <v>23.33</v>
      </c>
      <c r="H2722" s="423">
        <f t="shared" ref="H2722:H2734" si="89">TRUNC(($F2722*$G2722),2)</f>
        <v>91.21</v>
      </c>
      <c r="I2722" s="368"/>
      <c r="J2722" s="368"/>
      <c r="K2722" s="368"/>
      <c r="L2722" s="368"/>
      <c r="M2722" s="368"/>
      <c r="N2722" s="368"/>
      <c r="O2722" s="368"/>
      <c r="P2722" s="368"/>
      <c r="Q2722" s="368"/>
      <c r="R2722" s="368"/>
      <c r="S2722" s="368"/>
      <c r="T2722" s="368"/>
      <c r="U2722" s="368"/>
      <c r="V2722" s="368"/>
      <c r="W2722" s="368"/>
      <c r="X2722" s="368"/>
      <c r="Y2722" s="368"/>
      <c r="Z2722" s="368"/>
      <c r="AA2722" s="368"/>
      <c r="AB2722" s="368"/>
      <c r="AD2722" s="1791" t="e">
        <f>VLOOKUP(C2722,'Medição '!$B$16:$F$1833,6,0)</f>
        <v>#N/A</v>
      </c>
      <c r="AE2722" s="1791"/>
    </row>
    <row r="2723" spans="1:31" ht="25.5">
      <c r="A2723" s="586" t="s">
        <v>14478</v>
      </c>
      <c r="B2723" s="421" t="s">
        <v>14476</v>
      </c>
      <c r="C2723" s="422">
        <v>88316</v>
      </c>
      <c r="D2723" s="288" t="str">
        <f>IFERROR(VLOOKUP($C2723,'24.08_ND'!$A:$D,2,0),)</f>
        <v>SERVENTE COM ENCARGOS COMPLEMENTARES</v>
      </c>
      <c r="E2723" s="289" t="str">
        <f>IFERROR(VLOOKUP($C2723,'24.08_ND'!$A:$D,3,0),)</f>
        <v>H</v>
      </c>
      <c r="F2723" s="375">
        <v>3.4929999999999999</v>
      </c>
      <c r="G2723" s="291">
        <f>IFERROR(VLOOKUP($C2723,'24.08_ND'!$A:$D,4,0),)</f>
        <v>18.510000000000002</v>
      </c>
      <c r="H2723" s="423">
        <f t="shared" si="89"/>
        <v>64.650000000000006</v>
      </c>
      <c r="I2723" s="368"/>
      <c r="J2723" s="368"/>
      <c r="K2723" s="368"/>
      <c r="L2723" s="368"/>
      <c r="M2723" s="368"/>
      <c r="N2723" s="368"/>
      <c r="O2723" s="368"/>
      <c r="P2723" s="368"/>
      <c r="Q2723" s="368"/>
      <c r="R2723" s="368"/>
      <c r="S2723" s="368"/>
      <c r="T2723" s="368"/>
      <c r="U2723" s="368"/>
      <c r="V2723" s="368"/>
      <c r="W2723" s="368"/>
      <c r="X2723" s="368"/>
      <c r="Y2723" s="368"/>
      <c r="Z2723" s="368"/>
      <c r="AA2723" s="368"/>
      <c r="AB2723" s="368"/>
      <c r="AD2723" s="1791" t="e">
        <f>VLOOKUP(C2723,'Medição '!$B$16:$F$1833,6,0)</f>
        <v>#N/A</v>
      </c>
      <c r="AE2723" s="1791"/>
    </row>
    <row r="2724" spans="1:31" ht="25.5">
      <c r="A2724" s="586" t="s">
        <v>14478</v>
      </c>
      <c r="B2724" s="421" t="s">
        <v>14476</v>
      </c>
      <c r="C2724" s="422">
        <v>93358</v>
      </c>
      <c r="D2724" s="288" t="str">
        <f>IFERROR(VLOOKUP($C2724,'24.08_ND'!$A:$D,2,0),)</f>
        <v>ESCAVAÇÃO MANUAL DE VALA COM PROFUNDIDADE MENOR OU IGUAL A 1,30 M. AF_02/2021</v>
      </c>
      <c r="E2724" s="289" t="str">
        <f>IFERROR(VLOOKUP($C2724,'24.08_ND'!$A:$D,3,0),)</f>
        <v>M3</v>
      </c>
      <c r="F2724" s="375">
        <v>0.315</v>
      </c>
      <c r="G2724" s="291">
        <f>IFERROR(VLOOKUP($C2724,'24.08_ND'!$A:$D,4,0),)</f>
        <v>73.22</v>
      </c>
      <c r="H2724" s="423">
        <f t="shared" si="89"/>
        <v>23.06</v>
      </c>
      <c r="I2724" s="368"/>
      <c r="J2724" s="368"/>
      <c r="K2724" s="368"/>
      <c r="L2724" s="368"/>
      <c r="M2724" s="368"/>
      <c r="N2724" s="368"/>
      <c r="O2724" s="368"/>
      <c r="P2724" s="368"/>
      <c r="Q2724" s="368"/>
      <c r="R2724" s="368"/>
      <c r="S2724" s="368"/>
      <c r="T2724" s="368"/>
      <c r="U2724" s="368"/>
      <c r="V2724" s="368"/>
      <c r="W2724" s="368"/>
      <c r="X2724" s="368"/>
      <c r="Y2724" s="368"/>
      <c r="Z2724" s="368"/>
      <c r="AA2724" s="368"/>
      <c r="AB2724" s="368"/>
      <c r="AD2724" s="1791" t="e">
        <f>VLOOKUP(C2724,'Medição '!$B$16:$F$1833,6,0)</f>
        <v>#REF!</v>
      </c>
      <c r="AE2724" s="1791"/>
    </row>
    <row r="2725" spans="1:31" ht="25.5">
      <c r="A2725" s="586" t="s">
        <v>14478</v>
      </c>
      <c r="B2725" s="421" t="s">
        <v>14476</v>
      </c>
      <c r="C2725" s="422">
        <v>101616</v>
      </c>
      <c r="D2725" s="288" t="str">
        <f>IFERROR(VLOOKUP($C2725,'24.08_ND'!$A:$D,2,0),)</f>
        <v>PREPARO DE FUNDO DE VALA COM LARGURA MENOR QUE 1,5 M (ACERTO DO SOLO NATURAL). AF_08/2020</v>
      </c>
      <c r="E2725" s="289" t="str">
        <f>IFERROR(VLOOKUP($C2725,'24.08_ND'!$A:$D,3,0),)</f>
        <v>M2</v>
      </c>
      <c r="F2725" s="375">
        <v>0.7</v>
      </c>
      <c r="G2725" s="291">
        <f>IFERROR(VLOOKUP($C2725,'24.08_ND'!$A:$D,4,0),)</f>
        <v>5.37</v>
      </c>
      <c r="H2725" s="423">
        <f t="shared" si="89"/>
        <v>3.75</v>
      </c>
      <c r="I2725" s="368"/>
      <c r="J2725" s="368"/>
      <c r="K2725" s="368"/>
      <c r="L2725" s="368"/>
      <c r="M2725" s="368"/>
      <c r="N2725" s="368"/>
      <c r="O2725" s="368"/>
      <c r="P2725" s="368"/>
      <c r="Q2725" s="368"/>
      <c r="R2725" s="368"/>
      <c r="S2725" s="368"/>
      <c r="T2725" s="368"/>
      <c r="U2725" s="368"/>
      <c r="V2725" s="368"/>
      <c r="W2725" s="368"/>
      <c r="X2725" s="368"/>
      <c r="Y2725" s="368"/>
      <c r="Z2725" s="368"/>
      <c r="AA2725" s="368"/>
      <c r="AB2725" s="368"/>
      <c r="AD2725" s="1791" t="e">
        <f>VLOOKUP(C2725,'Medição '!$B$16:$F$1833,6,0)</f>
        <v>#REF!</v>
      </c>
      <c r="AE2725" s="1791"/>
    </row>
    <row r="2726" spans="1:31" ht="25.5">
      <c r="A2726" s="586" t="s">
        <v>14478</v>
      </c>
      <c r="B2726" s="421" t="s">
        <v>14476</v>
      </c>
      <c r="C2726" s="422">
        <v>93382</v>
      </c>
      <c r="D2726" s="288" t="str">
        <f>IFERROR(VLOOKUP($C2726,'24.08_ND'!$A:$D,2,0),)</f>
        <v>REATERRO MANUAL DE VALAS, COM COMPACTADOR DE SOLOS DE PERCUSSÃO. AF_08/2023</v>
      </c>
      <c r="E2726" s="289" t="str">
        <f>IFERROR(VLOOKUP($C2726,'24.08_ND'!$A:$D,3,0),)</f>
        <v>M3</v>
      </c>
      <c r="F2726" s="375">
        <v>0.08</v>
      </c>
      <c r="G2726" s="291">
        <f>IFERROR(VLOOKUP($C2726,'24.08_ND'!$A:$D,4,0),)</f>
        <v>21.51</v>
      </c>
      <c r="H2726" s="423">
        <f t="shared" si="89"/>
        <v>1.72</v>
      </c>
      <c r="I2726" s="368"/>
      <c r="J2726" s="368"/>
      <c r="K2726" s="368"/>
      <c r="L2726" s="368"/>
      <c r="M2726" s="368"/>
      <c r="N2726" s="368"/>
      <c r="O2726" s="368"/>
      <c r="P2726" s="368"/>
      <c r="Q2726" s="368"/>
      <c r="R2726" s="368"/>
      <c r="S2726" s="368"/>
      <c r="T2726" s="368"/>
      <c r="U2726" s="368"/>
      <c r="V2726" s="368"/>
      <c r="W2726" s="368"/>
      <c r="X2726" s="368"/>
      <c r="Y2726" s="368"/>
      <c r="Z2726" s="368"/>
      <c r="AA2726" s="368"/>
      <c r="AB2726" s="368"/>
      <c r="AD2726" s="1791" t="e">
        <f>VLOOKUP(C2726,'Medição '!$B$16:$F$1833,6,0)</f>
        <v>#REF!</v>
      </c>
      <c r="AE2726" s="1791"/>
    </row>
    <row r="2727" spans="1:31" ht="38.25">
      <c r="A2727" s="586" t="s">
        <v>14478</v>
      </c>
      <c r="B2727" s="421" t="s">
        <v>14476</v>
      </c>
      <c r="C2727" s="422">
        <v>87335</v>
      </c>
      <c r="D2727" s="288" t="str">
        <f>IFERROR(VLOOKUP($C2727,'24.08_ND'!$A:$D,2,0),)</f>
        <v>ARGAMASSA TRAÇO 1:2:8 (EM VOLUME DE CIMENTO, CAL E AREIA MÉDIA ÚMIDA) PARA EMBOÇO/MASSA ÚNICA/ASSENTAMENTO DE ALVENARIA DE VEDAÇÃO, PREPARO MECÂNICO COM MISTURADOR DE EIXO HORIZONTAL DE 300 KG. AF_08/2019</v>
      </c>
      <c r="E2727" s="289" t="str">
        <f>IFERROR(VLOOKUP($C2727,'24.08_ND'!$A:$D,3,0),)</f>
        <v>M3</v>
      </c>
      <c r="F2727" s="375">
        <v>1.7999999999999999E-2</v>
      </c>
      <c r="G2727" s="291">
        <f>IFERROR(VLOOKUP($C2727,'24.08_ND'!$A:$D,4,0),)</f>
        <v>515.9</v>
      </c>
      <c r="H2727" s="423">
        <f t="shared" si="89"/>
        <v>9.2799999999999994</v>
      </c>
      <c r="I2727" s="368"/>
      <c r="J2727" s="368"/>
      <c r="K2727" s="368"/>
      <c r="L2727" s="368"/>
      <c r="M2727" s="368"/>
      <c r="N2727" s="368"/>
      <c r="O2727" s="368"/>
      <c r="P2727" s="368"/>
      <c r="Q2727" s="368"/>
      <c r="R2727" s="368"/>
      <c r="S2727" s="368"/>
      <c r="T2727" s="368"/>
      <c r="U2727" s="368"/>
      <c r="V2727" s="368"/>
      <c r="W2727" s="368"/>
      <c r="X2727" s="368"/>
      <c r="Y2727" s="368"/>
      <c r="Z2727" s="368"/>
      <c r="AA2727" s="368"/>
      <c r="AB2727" s="368"/>
      <c r="AD2727" s="1791" t="e">
        <f>VLOOKUP(C2727,'Medição '!$B$16:$F$1833,6,0)</f>
        <v>#N/A</v>
      </c>
      <c r="AE2727" s="1791"/>
    </row>
    <row r="2728" spans="1:31" ht="38.25">
      <c r="A2728" s="586" t="s">
        <v>14478</v>
      </c>
      <c r="B2728" s="421" t="s">
        <v>14476</v>
      </c>
      <c r="C2728" s="422">
        <v>87905</v>
      </c>
      <c r="D2728" s="288" t="str">
        <f>IFERROR(VLOOKUP($C2728,'24.08_ND'!$A:$D,2,0),)</f>
        <v>CHAPISCO APLICADO EM ALVENARIA (COM PRESENÇA DE VÃOS) E ESTRUTURAS DE CONCRETO DE FACHADA, COM COLHER DE PEDREIRO.  ARGAMASSA TRAÇO 1:3 COM PREPARO EM BETONEIRA 400L. AF_10/2022</v>
      </c>
      <c r="E2728" s="289" t="str">
        <f>IFERROR(VLOOKUP($C2728,'24.08_ND'!$A:$D,3,0),)</f>
        <v>M2</v>
      </c>
      <c r="F2728" s="375">
        <v>1.155</v>
      </c>
      <c r="G2728" s="291">
        <f>IFERROR(VLOOKUP($C2728,'24.08_ND'!$A:$D,4,0),)</f>
        <v>6.97</v>
      </c>
      <c r="H2728" s="423">
        <f t="shared" si="89"/>
        <v>8.0500000000000007</v>
      </c>
      <c r="I2728" s="368"/>
      <c r="J2728" s="368"/>
      <c r="K2728" s="368"/>
      <c r="L2728" s="368"/>
      <c r="M2728" s="368"/>
      <c r="N2728" s="368"/>
      <c r="O2728" s="368"/>
      <c r="P2728" s="368"/>
      <c r="Q2728" s="368"/>
      <c r="R2728" s="368"/>
      <c r="S2728" s="368"/>
      <c r="T2728" s="368"/>
      <c r="U2728" s="368"/>
      <c r="V2728" s="368"/>
      <c r="W2728" s="368"/>
      <c r="X2728" s="368"/>
      <c r="Y2728" s="368"/>
      <c r="Z2728" s="368"/>
      <c r="AA2728" s="368"/>
      <c r="AB2728" s="368"/>
      <c r="AD2728" s="1791" t="e">
        <f>VLOOKUP(C2728,'Medição '!$B$16:$F$1833,6,0)</f>
        <v>#N/A</v>
      </c>
      <c r="AE2728" s="1791"/>
    </row>
    <row r="2729" spans="1:31" ht="25.5">
      <c r="A2729" s="586" t="s">
        <v>14478</v>
      </c>
      <c r="B2729" s="421" t="s">
        <v>14476</v>
      </c>
      <c r="C2729" s="422">
        <v>100481</v>
      </c>
      <c r="D2729" s="288" t="str">
        <f>IFERROR(VLOOKUP($C2729,'24.08_ND'!$A:$D,2,0),)</f>
        <v>ARGAMASSA TRAÇO 1:4 (EM VOLUME DE CIMENTO E AREIA MÉDIA ÚMIDA) COM ADIÇÃO DE IMPERMEABILIZANTE, PREPARO MECÂNICO COM BETONEIRA 400 L. AF_08/2019</v>
      </c>
      <c r="E2729" s="289" t="str">
        <f>IFERROR(VLOOKUP($C2729,'24.08_ND'!$A:$D,3,0),)</f>
        <v>M3</v>
      </c>
      <c r="F2729" s="375">
        <v>2.3099999999999999E-2</v>
      </c>
      <c r="G2729" s="291">
        <f>IFERROR(VLOOKUP($C2729,'24.08_ND'!$A:$D,4,0),)</f>
        <v>608.23</v>
      </c>
      <c r="H2729" s="423">
        <f t="shared" si="89"/>
        <v>14.05</v>
      </c>
      <c r="I2729" s="368"/>
      <c r="J2729" s="368"/>
      <c r="K2729" s="368"/>
      <c r="L2729" s="368"/>
      <c r="M2729" s="368"/>
      <c r="N2729" s="368"/>
      <c r="O2729" s="368"/>
      <c r="P2729" s="368"/>
      <c r="Q2729" s="368"/>
      <c r="R2729" s="368"/>
      <c r="S2729" s="368"/>
      <c r="T2729" s="368"/>
      <c r="U2729" s="368"/>
      <c r="V2729" s="368"/>
      <c r="W2729" s="368"/>
      <c r="X2729" s="368"/>
      <c r="Y2729" s="368"/>
      <c r="Z2729" s="368"/>
      <c r="AA2729" s="368"/>
      <c r="AB2729" s="368"/>
      <c r="AD2729" s="1791" t="e">
        <f>VLOOKUP(C2729,'Medição '!$B$16:$F$1833,6,0)</f>
        <v>#N/A</v>
      </c>
      <c r="AE2729" s="1791"/>
    </row>
    <row r="2730" spans="1:31" ht="25.5">
      <c r="A2730" s="586" t="s">
        <v>14478</v>
      </c>
      <c r="B2730" s="421" t="s">
        <v>14476</v>
      </c>
      <c r="C2730" s="422">
        <v>98557</v>
      </c>
      <c r="D2730" s="288" t="str">
        <f>IFERROR(VLOOKUP($C2730,'24.08_ND'!$A:$D,2,0),)</f>
        <v>IMPERMEABILIZAÇÃO DE SUPERFÍCIE COM EMULSÃO ASFÁLTICA, 2 DEMÃOS. AF_09/2023</v>
      </c>
      <c r="E2730" s="289" t="str">
        <f>IFERROR(VLOOKUP($C2730,'24.08_ND'!$A:$D,3,0),)</f>
        <v>M2</v>
      </c>
      <c r="F2730" s="375">
        <v>0.8</v>
      </c>
      <c r="G2730" s="291">
        <f>IFERROR(VLOOKUP($C2730,'24.08_ND'!$A:$D,4,0),)</f>
        <v>38.9</v>
      </c>
      <c r="H2730" s="423">
        <f t="shared" si="89"/>
        <v>31.12</v>
      </c>
      <c r="I2730" s="368"/>
      <c r="J2730" s="368"/>
      <c r="K2730" s="368"/>
      <c r="L2730" s="368"/>
      <c r="M2730" s="368"/>
      <c r="N2730" s="368"/>
      <c r="O2730" s="368"/>
      <c r="P2730" s="368"/>
      <c r="Q2730" s="368"/>
      <c r="R2730" s="368"/>
      <c r="S2730" s="368"/>
      <c r="T2730" s="368"/>
      <c r="U2730" s="368"/>
      <c r="V2730" s="368"/>
      <c r="W2730" s="368"/>
      <c r="X2730" s="368"/>
      <c r="Y2730" s="368"/>
      <c r="Z2730" s="368"/>
      <c r="AA2730" s="368"/>
      <c r="AB2730" s="368"/>
      <c r="AD2730" s="1791" t="e">
        <f>VLOOKUP(C2730,'Medição '!$B$16:$F$1833,6,0)</f>
        <v>#REF!</v>
      </c>
      <c r="AE2730" s="1791"/>
    </row>
    <row r="2731" spans="1:31" ht="25.5">
      <c r="A2731" s="586" t="s">
        <v>14478</v>
      </c>
      <c r="B2731" s="421" t="s">
        <v>14476</v>
      </c>
      <c r="C2731" s="422">
        <v>95241</v>
      </c>
      <c r="D2731" s="288" t="str">
        <f>IFERROR(VLOOKUP($C2731,'24.08_ND'!$A:$D,2,0),)</f>
        <v>LASTRO DE CONCRETO MAGRO, APLICADO EM PISOS, LAJES SOBRE SOLO OU RADIERS, ESPESSURA DE 5 CM. AF_01/2024</v>
      </c>
      <c r="E2731" s="289" t="str">
        <f>IFERROR(VLOOKUP($C2731,'24.08_ND'!$A:$D,3,0),)</f>
        <v>M2</v>
      </c>
      <c r="F2731" s="375">
        <v>0.7</v>
      </c>
      <c r="G2731" s="291">
        <f>IFERROR(VLOOKUP($C2731,'24.08_ND'!$A:$D,4,0),)</f>
        <v>35.64</v>
      </c>
      <c r="H2731" s="423">
        <f t="shared" si="89"/>
        <v>24.94</v>
      </c>
      <c r="I2731" s="368"/>
      <c r="J2731" s="368"/>
      <c r="K2731" s="368"/>
      <c r="L2731" s="368"/>
      <c r="M2731" s="368"/>
      <c r="N2731" s="368"/>
      <c r="O2731" s="368"/>
      <c r="P2731" s="368"/>
      <c r="Q2731" s="368"/>
      <c r="R2731" s="368"/>
      <c r="S2731" s="368"/>
      <c r="T2731" s="368"/>
      <c r="U2731" s="368"/>
      <c r="V2731" s="368"/>
      <c r="W2731" s="368"/>
      <c r="X2731" s="368"/>
      <c r="Y2731" s="368"/>
      <c r="Z2731" s="368"/>
      <c r="AA2731" s="368"/>
      <c r="AB2731" s="368"/>
      <c r="AD2731" s="1791" t="e">
        <f>VLOOKUP(C2731,'Medição '!$B$16:$F$1833,6,0)</f>
        <v>#N/A</v>
      </c>
      <c r="AE2731" s="1791"/>
    </row>
    <row r="2732" spans="1:31" ht="25.5">
      <c r="A2732" s="586" t="s">
        <v>14478</v>
      </c>
      <c r="B2732" s="421" t="s">
        <v>14476</v>
      </c>
      <c r="C2732" s="422">
        <v>97919</v>
      </c>
      <c r="D2732" s="288" t="str">
        <f>IFERROR(VLOOKUP($C2732,'24.08_ND'!$A:$D,2,0),)</f>
        <v>TRANSPORTE COM CAMINHÃO BASCULANTE DE 6 M³, EM VIA URBANA PAVIMENTADA, ADICIONAL PARA DMT EXCEDENTE A 30 KM (UNIDADE: TXKM). AF_07/2020</v>
      </c>
      <c r="E2732" s="289" t="str">
        <f>IFERROR(VLOOKUP($C2732,'24.08_ND'!$A:$D,3,0),)</f>
        <v>TXKM</v>
      </c>
      <c r="F2732" s="375">
        <f>F2733*2</f>
        <v>0.47</v>
      </c>
      <c r="G2732" s="291">
        <f>IFERROR(VLOOKUP($C2732,'24.08_ND'!$A:$D,4,0),)</f>
        <v>0.72</v>
      </c>
      <c r="H2732" s="423">
        <f t="shared" si="89"/>
        <v>0.33</v>
      </c>
      <c r="I2732" s="368"/>
      <c r="J2732" s="368"/>
      <c r="K2732" s="368"/>
      <c r="L2732" s="368"/>
      <c r="M2732" s="368"/>
      <c r="N2732" s="368"/>
      <c r="O2732" s="368"/>
      <c r="P2732" s="368"/>
      <c r="Q2732" s="368"/>
      <c r="R2732" s="368"/>
      <c r="S2732" s="368"/>
      <c r="T2732" s="368"/>
      <c r="U2732" s="368"/>
      <c r="V2732" s="368"/>
      <c r="W2732" s="368"/>
      <c r="X2732" s="368"/>
      <c r="Y2732" s="368"/>
      <c r="Z2732" s="368"/>
      <c r="AA2732" s="368"/>
      <c r="AB2732" s="368"/>
      <c r="AD2732" s="1791" t="e">
        <f>VLOOKUP(C2732,'Medição '!$B$16:$F$1833,6,0)</f>
        <v>#N/A</v>
      </c>
      <c r="AE2732" s="1791"/>
    </row>
    <row r="2733" spans="1:31" ht="38.25">
      <c r="A2733" s="586" t="s">
        <v>14478</v>
      </c>
      <c r="B2733" s="421" t="s">
        <v>14476</v>
      </c>
      <c r="C2733" s="422">
        <v>100981</v>
      </c>
      <c r="D2733" s="288" t="str">
        <f>IFERROR(VLOOKUP($C2733,'24.08_ND'!$A:$D,2,0),)</f>
        <v>CARGA, MANOBRA E DESCARGA DE ENTULHO EM CAMINHÃO BASCULANTE 6 M³ - CARGA COM ESCAVADEIRA HIDRÁULICA  (CAÇAMBA DE 0,80 M³ / 111 HP) E DESCARGA LIVRE (UNIDADE: M3). AF_07/2020</v>
      </c>
      <c r="E2733" s="289" t="str">
        <f>IFERROR(VLOOKUP($C2733,'24.08_ND'!$A:$D,3,0),)</f>
        <v>M3</v>
      </c>
      <c r="F2733" s="375">
        <v>0.23499999999999999</v>
      </c>
      <c r="G2733" s="291">
        <f>IFERROR(VLOOKUP($C2733,'24.08_ND'!$A:$D,4,0),)</f>
        <v>8.49</v>
      </c>
      <c r="H2733" s="423">
        <f t="shared" si="89"/>
        <v>1.99</v>
      </c>
      <c r="I2733" s="368"/>
      <c r="J2733" s="368"/>
      <c r="K2733" s="368"/>
      <c r="L2733" s="368"/>
      <c r="M2733" s="368"/>
      <c r="N2733" s="368"/>
      <c r="O2733" s="368"/>
      <c r="P2733" s="368"/>
      <c r="Q2733" s="368"/>
      <c r="R2733" s="368"/>
      <c r="S2733" s="368"/>
      <c r="T2733" s="368"/>
      <c r="U2733" s="368"/>
      <c r="V2733" s="368"/>
      <c r="W2733" s="368"/>
      <c r="X2733" s="368"/>
      <c r="Y2733" s="368"/>
      <c r="Z2733" s="368"/>
      <c r="AA2733" s="368"/>
      <c r="AB2733" s="368"/>
      <c r="AD2733" s="1791" t="e">
        <f>VLOOKUP(C2733,'Medição '!$B$16:$F$1833,6,0)</f>
        <v>#N/A</v>
      </c>
      <c r="AE2733" s="1791"/>
    </row>
    <row r="2734" spans="1:31" ht="12.75">
      <c r="A2734" s="445" t="s">
        <v>14479</v>
      </c>
      <c r="B2734" s="446" t="s">
        <v>14476</v>
      </c>
      <c r="C2734" s="447">
        <v>7258</v>
      </c>
      <c r="D2734" s="296" t="str">
        <f>IFERROR(VLOOKUP($C2734,'24.08_ND'!$A:$D,2,0),)</f>
        <v>TIJOLO CERAMICO MACICO COMUM DE *5 X 10 X 20* CM (L X A X C)</v>
      </c>
      <c r="E2734" s="297" t="str">
        <f>IFERROR(VLOOKUP($C2734,'24.08_ND'!$A:$D,3,0),)</f>
        <v>UN</v>
      </c>
      <c r="F2734" s="385">
        <v>66</v>
      </c>
      <c r="G2734" s="299">
        <f>IFERROR(VLOOKUP($C2734,'24.08_ND'!$A:$D,4,0),)</f>
        <v>0.83</v>
      </c>
      <c r="H2734" s="449">
        <f t="shared" si="89"/>
        <v>54.78</v>
      </c>
      <c r="I2734" s="368"/>
      <c r="J2734" s="368"/>
      <c r="K2734" s="368"/>
      <c r="L2734" s="368"/>
      <c r="M2734" s="368"/>
      <c r="N2734" s="368"/>
      <c r="O2734" s="368"/>
      <c r="P2734" s="368"/>
      <c r="Q2734" s="368"/>
      <c r="R2734" s="368"/>
      <c r="S2734" s="368"/>
      <c r="T2734" s="368"/>
      <c r="U2734" s="368"/>
      <c r="V2734" s="368"/>
      <c r="W2734" s="368"/>
      <c r="X2734" s="368"/>
      <c r="Y2734" s="368"/>
      <c r="Z2734" s="368"/>
      <c r="AA2734" s="368"/>
      <c r="AB2734" s="368"/>
    </row>
    <row r="2735" spans="1:31" ht="12.75">
      <c r="A2735" s="793"/>
      <c r="B2735" s="794"/>
      <c r="C2735" s="795"/>
      <c r="D2735" s="796"/>
      <c r="E2735" s="370"/>
      <c r="F2735" s="369"/>
      <c r="G2735" s="370"/>
      <c r="H2735" s="371"/>
      <c r="I2735" s="368"/>
      <c r="J2735" s="368"/>
      <c r="K2735" s="368"/>
      <c r="L2735" s="368"/>
      <c r="M2735" s="368"/>
      <c r="N2735" s="368"/>
      <c r="O2735" s="368"/>
      <c r="P2735" s="368"/>
      <c r="Q2735" s="368"/>
      <c r="R2735" s="368"/>
      <c r="S2735" s="368"/>
      <c r="T2735" s="368"/>
      <c r="U2735" s="368"/>
      <c r="V2735" s="368"/>
      <c r="W2735" s="368"/>
      <c r="X2735" s="368"/>
      <c r="Y2735" s="368"/>
      <c r="Z2735" s="368"/>
      <c r="AA2735" s="368"/>
      <c r="AB2735" s="368"/>
    </row>
    <row r="2736" spans="1:31" ht="12.75">
      <c r="A2736" s="793"/>
      <c r="B2736" s="794"/>
      <c r="C2736" s="795"/>
      <c r="D2736" s="796"/>
      <c r="E2736" s="370"/>
      <c r="F2736" s="369"/>
      <c r="G2736" s="370"/>
      <c r="H2736" s="371"/>
      <c r="I2736" s="368"/>
      <c r="J2736" s="368"/>
      <c r="K2736" s="368"/>
      <c r="L2736" s="368"/>
      <c r="M2736" s="368"/>
      <c r="N2736" s="368"/>
      <c r="O2736" s="368"/>
      <c r="P2736" s="368"/>
      <c r="Q2736" s="368"/>
      <c r="R2736" s="368"/>
      <c r="S2736" s="368"/>
      <c r="T2736" s="368"/>
      <c r="U2736" s="368"/>
      <c r="V2736" s="368"/>
      <c r="W2736" s="368"/>
      <c r="X2736" s="368"/>
      <c r="Y2736" s="368"/>
      <c r="Z2736" s="368"/>
      <c r="AA2736" s="368"/>
      <c r="AB2736" s="368"/>
    </row>
    <row r="2737" spans="1:31" ht="25.5">
      <c r="A2737" s="358" t="s">
        <v>14471</v>
      </c>
      <c r="B2737" s="359" t="s">
        <v>14472</v>
      </c>
      <c r="C2737" s="360" t="s">
        <v>15417</v>
      </c>
      <c r="D2737" s="361" t="s">
        <v>15418</v>
      </c>
      <c r="E2737" s="359" t="s">
        <v>6</v>
      </c>
      <c r="F2737" s="362"/>
      <c r="G2737" s="362"/>
      <c r="H2737" s="363">
        <f>TRUNC(SUM(H2739:H2742),2)</f>
        <v>61.93</v>
      </c>
      <c r="I2737" s="276">
        <f>COUNTIF($C$8:$C2737,C:C)</f>
        <v>1</v>
      </c>
      <c r="J2737" s="368"/>
      <c r="K2737" s="368"/>
      <c r="L2737" s="368"/>
      <c r="M2737" s="368"/>
      <c r="N2737" s="368"/>
      <c r="O2737" s="368"/>
      <c r="P2737" s="368"/>
      <c r="Q2737" s="368"/>
      <c r="R2737" s="368"/>
      <c r="S2737" s="368"/>
      <c r="T2737" s="368"/>
      <c r="U2737" s="368"/>
      <c r="V2737" s="368"/>
      <c r="W2737" s="368"/>
      <c r="X2737" s="368"/>
      <c r="Y2737" s="368"/>
      <c r="Z2737" s="368"/>
      <c r="AA2737" s="368"/>
      <c r="AB2737" s="368"/>
    </row>
    <row r="2738" spans="1:31" ht="12.75">
      <c r="A2738" s="646" t="s">
        <v>14475</v>
      </c>
      <c r="B2738" s="694" t="s">
        <v>14600</v>
      </c>
      <c r="C2738" s="365">
        <v>13549</v>
      </c>
      <c r="D2738" s="367" t="s">
        <v>14567</v>
      </c>
      <c r="E2738" s="370"/>
      <c r="F2738" s="856"/>
      <c r="G2738" s="370"/>
      <c r="H2738" s="371"/>
      <c r="I2738" s="368"/>
      <c r="J2738" s="368"/>
      <c r="K2738" s="368"/>
      <c r="L2738" s="368"/>
      <c r="M2738" s="368"/>
      <c r="N2738" s="368"/>
      <c r="O2738" s="368"/>
      <c r="P2738" s="368"/>
      <c r="Q2738" s="368"/>
      <c r="R2738" s="368"/>
      <c r="S2738" s="368"/>
      <c r="T2738" s="368"/>
      <c r="U2738" s="368"/>
      <c r="V2738" s="368"/>
      <c r="W2738" s="368"/>
      <c r="X2738" s="368"/>
      <c r="Y2738" s="368"/>
      <c r="Z2738" s="368"/>
      <c r="AA2738" s="368"/>
      <c r="AB2738" s="368"/>
    </row>
    <row r="2739" spans="1:31" ht="25.5">
      <c r="A2739" s="586" t="s">
        <v>14478</v>
      </c>
      <c r="B2739" s="421" t="s">
        <v>14476</v>
      </c>
      <c r="C2739" s="422">
        <v>88248</v>
      </c>
      <c r="D2739" s="288" t="str">
        <f>IFERROR(VLOOKUP($C2739,'24.08_ND'!$A:$D,2,0),)</f>
        <v>AUXILIAR DE ENCANADOR OU BOMBEIRO HIDRÁULICO COM ENCARGOS COMPLEMENTARES</v>
      </c>
      <c r="E2739" s="289" t="str">
        <f>IFERROR(VLOOKUP($C2739,'24.08_ND'!$A:$D,3,0),)</f>
        <v>H</v>
      </c>
      <c r="F2739" s="375">
        <v>0.13500000000000001</v>
      </c>
      <c r="G2739" s="291">
        <f>IFERROR(VLOOKUP($C2739,'24.08_ND'!$A:$D,4,0),)</f>
        <v>19.05</v>
      </c>
      <c r="H2739" s="423">
        <f>TRUNC(($F2739*$G2739),2)</f>
        <v>2.57</v>
      </c>
      <c r="I2739" s="368"/>
      <c r="J2739" s="368"/>
      <c r="K2739" s="368"/>
      <c r="L2739" s="368"/>
      <c r="M2739" s="368"/>
      <c r="N2739" s="368"/>
      <c r="O2739" s="368"/>
      <c r="P2739" s="368"/>
      <c r="Q2739" s="368"/>
      <c r="R2739" s="368"/>
      <c r="S2739" s="368"/>
      <c r="T2739" s="368"/>
      <c r="U2739" s="368"/>
      <c r="V2739" s="368"/>
      <c r="W2739" s="368"/>
      <c r="X2739" s="368"/>
      <c r="Y2739" s="368"/>
      <c r="Z2739" s="368"/>
      <c r="AA2739" s="368"/>
      <c r="AB2739" s="368"/>
      <c r="AD2739" s="1791" t="e">
        <f>VLOOKUP(C2739,'Medição '!$B$16:$F$1833,6,0)</f>
        <v>#N/A</v>
      </c>
      <c r="AE2739" s="1791"/>
    </row>
    <row r="2740" spans="1:31" ht="25.5">
      <c r="A2740" s="586" t="s">
        <v>14478</v>
      </c>
      <c r="B2740" s="421" t="s">
        <v>14476</v>
      </c>
      <c r="C2740" s="422">
        <v>88267</v>
      </c>
      <c r="D2740" s="288" t="str">
        <f>IFERROR(VLOOKUP($C2740,'24.08_ND'!$A:$D,2,0),)</f>
        <v>ENCANADOR OU BOMBEIRO HIDRÁULICO COM ENCARGOS COMPLEMENTARES</v>
      </c>
      <c r="E2740" s="289" t="str">
        <f>IFERROR(VLOOKUP($C2740,'24.08_ND'!$A:$D,3,0),)</f>
        <v>H</v>
      </c>
      <c r="F2740" s="375">
        <v>0.13500000000000001</v>
      </c>
      <c r="G2740" s="291">
        <f>IFERROR(VLOOKUP($C2740,'24.08_ND'!$A:$D,4,0),)</f>
        <v>23.27</v>
      </c>
      <c r="H2740" s="423">
        <f>TRUNC(($F2740*$G2740),2)</f>
        <v>3.14</v>
      </c>
      <c r="I2740" s="368"/>
      <c r="J2740" s="368"/>
      <c r="K2740" s="368"/>
      <c r="L2740" s="368"/>
      <c r="M2740" s="368"/>
      <c r="N2740" s="368"/>
      <c r="O2740" s="368"/>
      <c r="P2740" s="368"/>
      <c r="Q2740" s="368"/>
      <c r="R2740" s="368"/>
      <c r="S2740" s="368"/>
      <c r="T2740" s="368"/>
      <c r="U2740" s="368"/>
      <c r="V2740" s="368"/>
      <c r="W2740" s="368"/>
      <c r="X2740" s="368"/>
      <c r="Y2740" s="368"/>
      <c r="Z2740" s="368"/>
      <c r="AA2740" s="368"/>
      <c r="AB2740" s="368"/>
      <c r="AD2740" s="1791" t="e">
        <f>VLOOKUP(C2740,'Medição '!$B$16:$F$1833,6,0)</f>
        <v>#N/A</v>
      </c>
      <c r="AE2740" s="1791"/>
    </row>
    <row r="2741" spans="1:31" ht="12.75">
      <c r="A2741" s="590" t="s">
        <v>14479</v>
      </c>
      <c r="B2741" s="312" t="str">
        <f>VLOOKUP($C2741,'• CIs EXT'!$A:$E,2,0)</f>
        <v>AGESUL</v>
      </c>
      <c r="C2741" s="377">
        <v>8376</v>
      </c>
      <c r="D2741" s="378" t="str">
        <f>VLOOKUP($C2741,'• CIs EXT'!$A:$E,3,0)</f>
        <v>PORTA GRELHA E GRELHA DE PVC CROMADOS 150MM REDONDO</v>
      </c>
      <c r="E2741" s="379" t="str">
        <f>VLOOKUP($C2741,'• CIs EXT'!$A:$E,4,0)</f>
        <v>UN</v>
      </c>
      <c r="F2741" s="380">
        <v>1</v>
      </c>
      <c r="G2741" s="379">
        <f>VLOOKUP($C2741,'• CIs EXT'!$A:$E,5,0)</f>
        <v>33.520000000000003</v>
      </c>
      <c r="H2741" s="381">
        <f>TRUNC(($F2741*$G2741),2)</f>
        <v>33.520000000000003</v>
      </c>
      <c r="I2741" s="368"/>
      <c r="J2741" s="368"/>
      <c r="K2741" s="368"/>
      <c r="L2741" s="368"/>
      <c r="M2741" s="368"/>
      <c r="N2741" s="368"/>
      <c r="O2741" s="368"/>
      <c r="P2741" s="368"/>
      <c r="Q2741" s="368"/>
      <c r="R2741" s="368"/>
      <c r="S2741" s="368"/>
      <c r="T2741" s="368"/>
      <c r="U2741" s="368"/>
      <c r="V2741" s="368"/>
      <c r="W2741" s="368"/>
      <c r="X2741" s="368"/>
      <c r="Y2741" s="368"/>
      <c r="Z2741" s="368"/>
      <c r="AA2741" s="368"/>
      <c r="AB2741" s="368"/>
    </row>
    <row r="2742" spans="1:31" ht="12.75">
      <c r="A2742" s="590" t="s">
        <v>14479</v>
      </c>
      <c r="B2742" s="312" t="str">
        <f>VLOOKUP($C2742,'• CIs EXT'!$A:$E,2,0)</f>
        <v>SUDECAP</v>
      </c>
      <c r="C2742" s="377" t="s">
        <v>15398</v>
      </c>
      <c r="D2742" s="378" t="str">
        <f>VLOOKUP($C2742,'• CIs EXT'!$A:$E,3,0)</f>
        <v>TAMPA CEGA EM INOX PARA CAIXA SIFONADA 150X150MM</v>
      </c>
      <c r="E2742" s="379" t="str">
        <f>VLOOKUP($C2742,'• CIs EXT'!$A:$E,4,0)</f>
        <v>UN</v>
      </c>
      <c r="F2742" s="380">
        <v>1</v>
      </c>
      <c r="G2742" s="379">
        <f>VLOOKUP($C2742,'• CIs EXT'!$A:$E,5,0)</f>
        <v>22.7</v>
      </c>
      <c r="H2742" s="381">
        <f>TRUNC(($F2742*$G2742),2)</f>
        <v>22.7</v>
      </c>
      <c r="I2742" s="368"/>
      <c r="J2742" s="368"/>
      <c r="K2742" s="368"/>
      <c r="L2742" s="368"/>
      <c r="M2742" s="368"/>
      <c r="N2742" s="368"/>
      <c r="O2742" s="368"/>
      <c r="P2742" s="368"/>
      <c r="Q2742" s="368"/>
      <c r="R2742" s="368"/>
      <c r="S2742" s="368"/>
      <c r="T2742" s="368"/>
      <c r="U2742" s="368"/>
      <c r="V2742" s="368"/>
      <c r="W2742" s="368"/>
      <c r="X2742" s="368"/>
      <c r="Y2742" s="368"/>
      <c r="Z2742" s="368"/>
      <c r="AA2742" s="368"/>
      <c r="AB2742" s="368"/>
    </row>
    <row r="2743" spans="1:31" ht="12.75">
      <c r="A2743" s="793"/>
      <c r="B2743" s="794"/>
      <c r="C2743" s="795"/>
      <c r="D2743" s="796"/>
      <c r="E2743" s="370"/>
      <c r="F2743" s="369"/>
      <c r="G2743" s="370"/>
      <c r="H2743" s="371"/>
      <c r="I2743" s="368"/>
      <c r="J2743" s="368"/>
      <c r="K2743" s="368"/>
      <c r="L2743" s="368"/>
      <c r="M2743" s="368"/>
      <c r="N2743" s="368"/>
      <c r="O2743" s="368"/>
      <c r="P2743" s="368"/>
      <c r="Q2743" s="368"/>
      <c r="R2743" s="368"/>
      <c r="S2743" s="368"/>
      <c r="T2743" s="368"/>
      <c r="U2743" s="368"/>
      <c r="V2743" s="368"/>
      <c r="W2743" s="368"/>
      <c r="X2743" s="368"/>
      <c r="Y2743" s="368"/>
      <c r="Z2743" s="368"/>
      <c r="AA2743" s="368"/>
      <c r="AB2743" s="368"/>
    </row>
    <row r="2744" spans="1:31" ht="12.75">
      <c r="A2744" s="358" t="s">
        <v>14471</v>
      </c>
      <c r="B2744" s="359" t="s">
        <v>14472</v>
      </c>
      <c r="C2744" s="360" t="s">
        <v>15419</v>
      </c>
      <c r="D2744" s="361" t="s">
        <v>15420</v>
      </c>
      <c r="E2744" s="359" t="s">
        <v>6</v>
      </c>
      <c r="F2744" s="693"/>
      <c r="G2744" s="362"/>
      <c r="H2744" s="363">
        <f>TRUNC(SUM(H2746:H2751),2)</f>
        <v>59.96</v>
      </c>
      <c r="I2744" s="276">
        <f>COUNTIF($C$8:$C2744,C:C)</f>
        <v>1</v>
      </c>
      <c r="J2744" s="368"/>
      <c r="K2744" s="368"/>
      <c r="L2744" s="368"/>
      <c r="M2744" s="368"/>
      <c r="N2744" s="368"/>
      <c r="O2744" s="368"/>
      <c r="P2744" s="368"/>
      <c r="Q2744" s="368"/>
      <c r="R2744" s="368"/>
      <c r="S2744" s="368"/>
      <c r="T2744" s="368"/>
      <c r="U2744" s="368"/>
      <c r="V2744" s="368"/>
      <c r="W2744" s="368"/>
      <c r="X2744" s="368"/>
      <c r="Y2744" s="368"/>
      <c r="Z2744" s="368"/>
      <c r="AA2744" s="368"/>
      <c r="AB2744" s="368"/>
    </row>
    <row r="2745" spans="1:31" ht="12.75">
      <c r="A2745" s="646" t="s">
        <v>14475</v>
      </c>
      <c r="B2745" s="694" t="s">
        <v>14476</v>
      </c>
      <c r="C2745" s="365">
        <v>89495</v>
      </c>
      <c r="D2745" s="367" t="s">
        <v>14587</v>
      </c>
      <c r="E2745" s="370"/>
      <c r="F2745" s="856"/>
      <c r="G2745" s="370"/>
      <c r="H2745" s="371"/>
      <c r="I2745" s="368"/>
      <c r="J2745" s="368"/>
      <c r="K2745" s="368"/>
      <c r="L2745" s="368"/>
      <c r="M2745" s="368"/>
      <c r="N2745" s="368"/>
      <c r="O2745" s="368"/>
      <c r="P2745" s="368"/>
      <c r="Q2745" s="368"/>
      <c r="R2745" s="368"/>
      <c r="S2745" s="368"/>
      <c r="T2745" s="368"/>
      <c r="U2745" s="368"/>
      <c r="V2745" s="368"/>
      <c r="W2745" s="368"/>
      <c r="X2745" s="368"/>
      <c r="Y2745" s="368"/>
      <c r="Z2745" s="368"/>
      <c r="AA2745" s="368"/>
      <c r="AB2745" s="368"/>
    </row>
    <row r="2746" spans="1:31" ht="25.5">
      <c r="A2746" s="586" t="s">
        <v>14478</v>
      </c>
      <c r="B2746" s="421" t="s">
        <v>14476</v>
      </c>
      <c r="C2746" s="422">
        <v>88248</v>
      </c>
      <c r="D2746" s="288" t="str">
        <f>IFERROR(VLOOKUP($C2746,'24.08_ND'!$A:$D,2,0),)</f>
        <v>AUXILIAR DE ENCANADOR OU BOMBEIRO HIDRÁULICO COM ENCARGOS COMPLEMENTARES</v>
      </c>
      <c r="E2746" s="289" t="str">
        <f>IFERROR(VLOOKUP($C2746,'24.08_ND'!$A:$D,3,0),)</f>
        <v>H</v>
      </c>
      <c r="F2746" s="697">
        <v>0.1119</v>
      </c>
      <c r="G2746" s="291">
        <f>IFERROR(VLOOKUP($C2746,'24.08_ND'!$A:$D,4,0),)</f>
        <v>19.05</v>
      </c>
      <c r="H2746" s="423">
        <f t="shared" ref="H2746:H2751" si="90">TRUNC(($F2746*$G2746),2)</f>
        <v>2.13</v>
      </c>
      <c r="I2746" s="368"/>
      <c r="J2746" s="368"/>
      <c r="K2746" s="368"/>
      <c r="L2746" s="368"/>
      <c r="M2746" s="368"/>
      <c r="N2746" s="368"/>
      <c r="O2746" s="368"/>
      <c r="P2746" s="368"/>
      <c r="Q2746" s="368"/>
      <c r="R2746" s="368"/>
      <c r="S2746" s="368"/>
      <c r="T2746" s="368"/>
      <c r="U2746" s="368"/>
      <c r="V2746" s="368"/>
      <c r="W2746" s="368"/>
      <c r="X2746" s="368"/>
      <c r="Y2746" s="368"/>
      <c r="Z2746" s="368"/>
      <c r="AA2746" s="368"/>
      <c r="AB2746" s="368"/>
      <c r="AD2746" s="1791" t="e">
        <f>VLOOKUP(C2746,'Medição '!$B$16:$F$1833,6,0)</f>
        <v>#N/A</v>
      </c>
      <c r="AE2746" s="1791"/>
    </row>
    <row r="2747" spans="1:31" ht="25.5">
      <c r="A2747" s="586" t="s">
        <v>14478</v>
      </c>
      <c r="B2747" s="421" t="s">
        <v>14476</v>
      </c>
      <c r="C2747" s="422">
        <v>88267</v>
      </c>
      <c r="D2747" s="288" t="str">
        <f>IFERROR(VLOOKUP($C2747,'24.08_ND'!$A:$D,2,0),)</f>
        <v>ENCANADOR OU BOMBEIRO HIDRÁULICO COM ENCARGOS COMPLEMENTARES</v>
      </c>
      <c r="E2747" s="289" t="str">
        <f>IFERROR(VLOOKUP($C2747,'24.08_ND'!$A:$D,3,0),)</f>
        <v>H</v>
      </c>
      <c r="F2747" s="697">
        <v>0.11899999999999999</v>
      </c>
      <c r="G2747" s="291">
        <f>IFERROR(VLOOKUP($C2747,'24.08_ND'!$A:$D,4,0),)</f>
        <v>23.27</v>
      </c>
      <c r="H2747" s="423">
        <f t="shared" si="90"/>
        <v>2.76</v>
      </c>
      <c r="I2747" s="368"/>
      <c r="J2747" s="368"/>
      <c r="K2747" s="368"/>
      <c r="L2747" s="368"/>
      <c r="M2747" s="368"/>
      <c r="N2747" s="368"/>
      <c r="O2747" s="368"/>
      <c r="P2747" s="368"/>
      <c r="Q2747" s="368"/>
      <c r="R2747" s="368"/>
      <c r="S2747" s="368"/>
      <c r="T2747" s="368"/>
      <c r="U2747" s="368"/>
      <c r="V2747" s="368"/>
      <c r="W2747" s="368"/>
      <c r="X2747" s="368"/>
      <c r="Y2747" s="368"/>
      <c r="Z2747" s="368"/>
      <c r="AA2747" s="368"/>
      <c r="AB2747" s="368"/>
      <c r="AD2747" s="1791" t="e">
        <f>VLOOKUP(C2747,'Medição '!$B$16:$F$1833,6,0)</f>
        <v>#N/A</v>
      </c>
      <c r="AE2747" s="1791"/>
    </row>
    <row r="2748" spans="1:31" ht="12.75">
      <c r="A2748" s="445" t="s">
        <v>14479</v>
      </c>
      <c r="B2748" s="446" t="s">
        <v>14476</v>
      </c>
      <c r="C2748" s="447">
        <v>122</v>
      </c>
      <c r="D2748" s="296" t="str">
        <f>IFERROR(VLOOKUP($C2748,'24.08_ND'!$A:$D,2,0),)</f>
        <v>ADESIVO PLASTICO PARA PVC, FRASCO COM *850* GR</v>
      </c>
      <c r="E2748" s="297" t="str">
        <f>IFERROR(VLOOKUP($C2748,'24.08_ND'!$A:$D,3,0),)</f>
        <v>UN</v>
      </c>
      <c r="F2748" s="840">
        <v>4.8999999999999998E-3</v>
      </c>
      <c r="G2748" s="299">
        <f>IFERROR(VLOOKUP($C2748,'24.08_ND'!$A:$D,4,0),)</f>
        <v>70.09</v>
      </c>
      <c r="H2748" s="449">
        <f t="shared" si="90"/>
        <v>0.34</v>
      </c>
      <c r="I2748" s="368"/>
      <c r="J2748" s="368"/>
      <c r="K2748" s="368"/>
      <c r="L2748" s="368"/>
      <c r="M2748" s="368"/>
      <c r="N2748" s="368"/>
      <c r="O2748" s="368"/>
      <c r="P2748" s="368"/>
      <c r="Q2748" s="368"/>
      <c r="R2748" s="368"/>
      <c r="S2748" s="368"/>
      <c r="T2748" s="368"/>
      <c r="U2748" s="368"/>
      <c r="V2748" s="368"/>
      <c r="W2748" s="368"/>
      <c r="X2748" s="368"/>
      <c r="Y2748" s="368"/>
      <c r="Z2748" s="368"/>
      <c r="AA2748" s="368"/>
      <c r="AB2748" s="368"/>
    </row>
    <row r="2749" spans="1:31" ht="12.75">
      <c r="A2749" s="445" t="s">
        <v>14479</v>
      </c>
      <c r="B2749" s="446" t="s">
        <v>14476</v>
      </c>
      <c r="C2749" s="447">
        <v>38383</v>
      </c>
      <c r="D2749" s="296" t="str">
        <f>IFERROR(VLOOKUP($C2749,'24.08_ND'!$A:$D,2,0),)</f>
        <v>LIXA D'AGUA EM FOLHA, GRAO 100</v>
      </c>
      <c r="E2749" s="297" t="str">
        <f>IFERROR(VLOOKUP($C2749,'24.08_ND'!$A:$D,3,0),)</f>
        <v>UN</v>
      </c>
      <c r="F2749" s="840">
        <v>1.2999999999999999E-2</v>
      </c>
      <c r="G2749" s="299">
        <f>IFERROR(VLOOKUP($C2749,'24.08_ND'!$A:$D,4,0),)</f>
        <v>2.5</v>
      </c>
      <c r="H2749" s="449">
        <f t="shared" si="90"/>
        <v>0.03</v>
      </c>
      <c r="I2749" s="368"/>
      <c r="J2749" s="368"/>
      <c r="K2749" s="368"/>
      <c r="L2749" s="368"/>
      <c r="M2749" s="368"/>
      <c r="N2749" s="368"/>
      <c r="O2749" s="368"/>
      <c r="P2749" s="368"/>
      <c r="Q2749" s="368"/>
      <c r="R2749" s="368"/>
      <c r="S2749" s="368"/>
      <c r="T2749" s="368"/>
      <c r="U2749" s="368"/>
      <c r="V2749" s="368"/>
      <c r="W2749" s="368"/>
      <c r="X2749" s="368"/>
      <c r="Y2749" s="368"/>
      <c r="Z2749" s="368"/>
      <c r="AA2749" s="368"/>
      <c r="AB2749" s="368"/>
    </row>
    <row r="2750" spans="1:31" ht="25.5">
      <c r="A2750" s="590" t="s">
        <v>14479</v>
      </c>
      <c r="B2750" s="312" t="str">
        <f>VLOOKUP($C2750,'• CIs EXT'!$A:$E,2,0)</f>
        <v>ORSE</v>
      </c>
      <c r="C2750" s="377">
        <v>1907</v>
      </c>
      <c r="D2750" s="378" t="str">
        <f>VLOOKUP($C2750,'• CIs EXT'!$A:$E,3,0)</f>
        <v>RALO SIFONADO, PVC, QUADRADO D=100X53 MM, SAÍDA 40 MM ACABAMENTO EM ALUMINIO</v>
      </c>
      <c r="E2750" s="379">
        <f>IFERROR(VLOOKUP($C2750,'[4]24'!$A:$D,3,0),)</f>
        <v>0</v>
      </c>
      <c r="F2750" s="698">
        <v>1</v>
      </c>
      <c r="G2750" s="379">
        <f>VLOOKUP($C2750,'• CIs EXT'!$A:$E,5,0)</f>
        <v>54.11</v>
      </c>
      <c r="H2750" s="381">
        <f t="shared" si="90"/>
        <v>54.11</v>
      </c>
      <c r="I2750" s="368"/>
      <c r="J2750" s="368"/>
      <c r="K2750" s="368"/>
      <c r="L2750" s="368"/>
      <c r="M2750" s="368"/>
      <c r="N2750" s="368"/>
      <c r="O2750" s="368"/>
      <c r="P2750" s="368"/>
      <c r="Q2750" s="368"/>
      <c r="R2750" s="368"/>
      <c r="S2750" s="368"/>
      <c r="T2750" s="368"/>
      <c r="U2750" s="368"/>
      <c r="V2750" s="368"/>
      <c r="W2750" s="368"/>
      <c r="X2750" s="368"/>
      <c r="Y2750" s="368"/>
      <c r="Z2750" s="368"/>
      <c r="AA2750" s="368"/>
      <c r="AB2750" s="368"/>
    </row>
    <row r="2751" spans="1:31" ht="12.75">
      <c r="A2751" s="445" t="s">
        <v>14479</v>
      </c>
      <c r="B2751" s="446" t="s">
        <v>14476</v>
      </c>
      <c r="C2751" s="447">
        <v>20083</v>
      </c>
      <c r="D2751" s="296" t="str">
        <f>IFERROR(VLOOKUP($C2751,'24.08_ND'!$A:$D,2,0),)</f>
        <v>SOLUCAO PREPARADORA / LIMPADORA PARA PVC, FRASCO COM 1000 CM3</v>
      </c>
      <c r="E2751" s="297" t="str">
        <f>IFERROR(VLOOKUP($C2751,'24.08_ND'!$A:$D,3,0),)</f>
        <v>UN</v>
      </c>
      <c r="F2751" s="840">
        <v>7.4999999999999997E-3</v>
      </c>
      <c r="G2751" s="299">
        <f>IFERROR(VLOOKUP($C2751,'24.08_ND'!$A:$D,4,0),)</f>
        <v>79.41</v>
      </c>
      <c r="H2751" s="449">
        <f t="shared" si="90"/>
        <v>0.59</v>
      </c>
      <c r="I2751" s="368"/>
      <c r="J2751" s="368"/>
      <c r="K2751" s="368"/>
      <c r="L2751" s="368"/>
      <c r="M2751" s="368"/>
      <c r="N2751" s="368"/>
      <c r="O2751" s="368"/>
      <c r="P2751" s="368"/>
      <c r="Q2751" s="368"/>
      <c r="R2751" s="368"/>
      <c r="S2751" s="368"/>
      <c r="T2751" s="368"/>
      <c r="U2751" s="368"/>
      <c r="V2751" s="368"/>
      <c r="W2751" s="368"/>
      <c r="X2751" s="368"/>
      <c r="Y2751" s="368"/>
      <c r="Z2751" s="368"/>
      <c r="AA2751" s="368"/>
      <c r="AB2751" s="368"/>
    </row>
    <row r="2752" spans="1:31" ht="12.75">
      <c r="A2752" s="686"/>
      <c r="B2752" s="687"/>
      <c r="C2752" s="688"/>
      <c r="D2752" s="689"/>
      <c r="E2752" s="690"/>
      <c r="F2752" s="691"/>
      <c r="G2752" s="690"/>
      <c r="H2752" s="692"/>
      <c r="I2752" s="262"/>
      <c r="J2752" s="262"/>
      <c r="K2752" s="262"/>
      <c r="L2752" s="262"/>
      <c r="M2752" s="262"/>
      <c r="N2752" s="262"/>
      <c r="O2752" s="262"/>
      <c r="P2752" s="262"/>
      <c r="Q2752" s="262"/>
      <c r="R2752" s="262"/>
      <c r="S2752" s="262"/>
      <c r="T2752" s="262"/>
      <c r="U2752" s="262"/>
      <c r="V2752" s="262"/>
      <c r="W2752" s="262"/>
      <c r="X2752" s="262"/>
      <c r="Y2752" s="262"/>
      <c r="Z2752" s="262"/>
      <c r="AA2752" s="262"/>
      <c r="AB2752" s="262"/>
    </row>
    <row r="2753" spans="1:31" ht="12.75">
      <c r="A2753" s="358" t="s">
        <v>14471</v>
      </c>
      <c r="B2753" s="359" t="s">
        <v>14472</v>
      </c>
      <c r="C2753" s="360" t="s">
        <v>15421</v>
      </c>
      <c r="D2753" s="361" t="s">
        <v>15422</v>
      </c>
      <c r="E2753" s="359" t="s">
        <v>6</v>
      </c>
      <c r="F2753" s="693"/>
      <c r="G2753" s="362"/>
      <c r="H2753" s="363">
        <f>TRUNC(SUM(H2755:H2757),2)</f>
        <v>3188.83</v>
      </c>
      <c r="I2753" s="276">
        <f>COUNTIF($C$8:$C2753,C:C)</f>
        <v>1</v>
      </c>
      <c r="J2753" s="368"/>
      <c r="K2753" s="368"/>
      <c r="L2753" s="368"/>
      <c r="M2753" s="368"/>
      <c r="N2753" s="368"/>
      <c r="O2753" s="368"/>
      <c r="P2753" s="368"/>
      <c r="Q2753" s="368"/>
      <c r="R2753" s="368"/>
      <c r="S2753" s="368"/>
      <c r="T2753" s="368"/>
      <c r="U2753" s="368"/>
      <c r="V2753" s="368"/>
      <c r="W2753" s="368"/>
      <c r="X2753" s="368"/>
      <c r="Y2753" s="368"/>
      <c r="Z2753" s="368"/>
      <c r="AA2753" s="368"/>
      <c r="AB2753" s="368"/>
    </row>
    <row r="2754" spans="1:31" ht="12.75">
      <c r="A2754" s="646" t="s">
        <v>14475</v>
      </c>
      <c r="B2754" s="694" t="s">
        <v>14513</v>
      </c>
      <c r="C2754" s="365">
        <v>53021</v>
      </c>
      <c r="D2754" s="367" t="s">
        <v>14945</v>
      </c>
      <c r="E2754" s="370"/>
      <c r="F2754" s="856"/>
      <c r="G2754" s="370"/>
      <c r="H2754" s="371"/>
      <c r="I2754" s="368"/>
      <c r="J2754" s="368"/>
      <c r="K2754" s="368"/>
      <c r="L2754" s="368"/>
      <c r="M2754" s="368"/>
      <c r="N2754" s="368"/>
      <c r="O2754" s="368"/>
      <c r="P2754" s="368"/>
      <c r="Q2754" s="368"/>
      <c r="R2754" s="368"/>
      <c r="S2754" s="368"/>
      <c r="T2754" s="368"/>
      <c r="U2754" s="368"/>
      <c r="V2754" s="368"/>
      <c r="W2754" s="368"/>
      <c r="X2754" s="368"/>
      <c r="Y2754" s="368"/>
      <c r="Z2754" s="368"/>
      <c r="AA2754" s="368"/>
      <c r="AB2754" s="368"/>
    </row>
    <row r="2755" spans="1:31" ht="25.5">
      <c r="A2755" s="586" t="s">
        <v>14478</v>
      </c>
      <c r="B2755" s="421" t="s">
        <v>14476</v>
      </c>
      <c r="C2755" s="422">
        <v>88248</v>
      </c>
      <c r="D2755" s="288" t="str">
        <f>IFERROR(VLOOKUP($C2755,'24.08_ND'!$A:$D,2,0),)</f>
        <v>AUXILIAR DE ENCANADOR OU BOMBEIRO HIDRÁULICO COM ENCARGOS COMPLEMENTARES</v>
      </c>
      <c r="E2755" s="289" t="str">
        <f>IFERROR(VLOOKUP($C2755,'24.08_ND'!$A:$D,3,0),)</f>
        <v>H</v>
      </c>
      <c r="F2755" s="697">
        <v>14</v>
      </c>
      <c r="G2755" s="291">
        <f>IFERROR(VLOOKUP($C2755,'24.08_ND'!$A:$D,4,0),)</f>
        <v>19.05</v>
      </c>
      <c r="H2755" s="423">
        <f>TRUNC(($F2755*$G2755),2)</f>
        <v>266.7</v>
      </c>
      <c r="I2755" s="368"/>
      <c r="J2755" s="368"/>
      <c r="K2755" s="368"/>
      <c r="L2755" s="368"/>
      <c r="M2755" s="368"/>
      <c r="N2755" s="368"/>
      <c r="O2755" s="368"/>
      <c r="P2755" s="368"/>
      <c r="Q2755" s="368"/>
      <c r="R2755" s="368"/>
      <c r="S2755" s="368"/>
      <c r="T2755" s="368"/>
      <c r="U2755" s="368"/>
      <c r="V2755" s="368"/>
      <c r="W2755" s="368"/>
      <c r="X2755" s="368"/>
      <c r="Y2755" s="368"/>
      <c r="Z2755" s="368"/>
      <c r="AA2755" s="368"/>
      <c r="AB2755" s="368"/>
      <c r="AD2755" s="1791" t="e">
        <f>VLOOKUP(C2755,'Medição '!$B$16:$F$1833,6,0)</f>
        <v>#N/A</v>
      </c>
      <c r="AE2755" s="1791"/>
    </row>
    <row r="2756" spans="1:31" ht="25.5">
      <c r="A2756" s="586" t="s">
        <v>14478</v>
      </c>
      <c r="B2756" s="421" t="s">
        <v>14476</v>
      </c>
      <c r="C2756" s="422">
        <v>88267</v>
      </c>
      <c r="D2756" s="288" t="str">
        <f>IFERROR(VLOOKUP($C2756,'24.08_ND'!$A:$D,2,0),)</f>
        <v>ENCANADOR OU BOMBEIRO HIDRÁULICO COM ENCARGOS COMPLEMENTARES</v>
      </c>
      <c r="E2756" s="289" t="str">
        <f>IFERROR(VLOOKUP($C2756,'24.08_ND'!$A:$D,3,0),)</f>
        <v>H</v>
      </c>
      <c r="F2756" s="697">
        <v>14</v>
      </c>
      <c r="G2756" s="291">
        <f>IFERROR(VLOOKUP($C2756,'24.08_ND'!$A:$D,4,0),)</f>
        <v>23.27</v>
      </c>
      <c r="H2756" s="423">
        <f>TRUNC(($F2756*$G2756),2)</f>
        <v>325.77999999999997</v>
      </c>
      <c r="I2756" s="368"/>
      <c r="J2756" s="368"/>
      <c r="K2756" s="368"/>
      <c r="L2756" s="368"/>
      <c r="M2756" s="368"/>
      <c r="N2756" s="368"/>
      <c r="O2756" s="368"/>
      <c r="P2756" s="368"/>
      <c r="Q2756" s="368"/>
      <c r="R2756" s="368"/>
      <c r="S2756" s="368"/>
      <c r="T2756" s="368"/>
      <c r="U2756" s="368"/>
      <c r="V2756" s="368"/>
      <c r="W2756" s="368"/>
      <c r="X2756" s="368"/>
      <c r="Y2756" s="368"/>
      <c r="Z2756" s="368"/>
      <c r="AA2756" s="368"/>
      <c r="AB2756" s="368"/>
      <c r="AD2756" s="1791" t="e">
        <f>VLOOKUP(C2756,'Medição '!$B$16:$F$1833,6,0)</f>
        <v>#N/A</v>
      </c>
      <c r="AE2756" s="1791"/>
    </row>
    <row r="2757" spans="1:31" ht="12.75">
      <c r="A2757" s="821" t="s">
        <v>14479</v>
      </c>
      <c r="B2757" s="822" t="s">
        <v>14491</v>
      </c>
      <c r="C2757" s="823" t="s">
        <v>15423</v>
      </c>
      <c r="D2757" s="824" t="str">
        <f>VLOOKUP($C2757,'09 - MC'!$A:$F,2,0)</f>
        <v>FOSSA FILTRO DE 1000 LITROS ACOPLADA E CAIXA DE GRADEAMENTO</v>
      </c>
      <c r="E2757" s="825" t="str">
        <f>VLOOKUP($C2757,'09 - MC'!$A:$F,3,0)</f>
        <v>UN</v>
      </c>
      <c r="F2757" s="826">
        <v>1</v>
      </c>
      <c r="G2757" s="827">
        <f>VLOOKUP($C2757,'09 - MC'!$A:$F,6,0)</f>
        <v>2596.35</v>
      </c>
      <c r="H2757" s="828">
        <f>TRUNC(G2757*F2757,2)</f>
        <v>2596.35</v>
      </c>
      <c r="I2757" s="368"/>
      <c r="J2757" s="368"/>
      <c r="K2757" s="368"/>
      <c r="L2757" s="368"/>
      <c r="M2757" s="368"/>
      <c r="N2757" s="368"/>
      <c r="O2757" s="368"/>
      <c r="P2757" s="368"/>
      <c r="Q2757" s="368"/>
      <c r="R2757" s="368"/>
      <c r="S2757" s="368"/>
      <c r="T2757" s="368"/>
      <c r="U2757" s="368"/>
      <c r="V2757" s="368"/>
      <c r="W2757" s="368"/>
      <c r="X2757" s="368"/>
      <c r="Y2757" s="368"/>
      <c r="Z2757" s="368"/>
      <c r="AA2757" s="368"/>
      <c r="AB2757" s="368"/>
    </row>
    <row r="2758" spans="1:31" ht="12.75">
      <c r="A2758" s="686"/>
      <c r="B2758" s="687"/>
      <c r="C2758" s="688"/>
      <c r="D2758" s="689"/>
      <c r="E2758" s="690"/>
      <c r="F2758" s="691"/>
      <c r="G2758" s="690"/>
      <c r="H2758" s="692"/>
      <c r="I2758" s="262"/>
      <c r="J2758" s="262"/>
      <c r="K2758" s="262"/>
      <c r="L2758" s="262"/>
      <c r="M2758" s="262"/>
      <c r="N2758" s="262"/>
      <c r="O2758" s="262"/>
      <c r="P2758" s="262"/>
      <c r="Q2758" s="262"/>
      <c r="R2758" s="262"/>
      <c r="S2758" s="262"/>
      <c r="T2758" s="262"/>
      <c r="U2758" s="262"/>
      <c r="V2758" s="262"/>
      <c r="W2758" s="262"/>
      <c r="X2758" s="262"/>
      <c r="Y2758" s="262"/>
      <c r="Z2758" s="262"/>
      <c r="AA2758" s="262"/>
      <c r="AB2758" s="262"/>
    </row>
    <row r="2759" spans="1:31" ht="25.5">
      <c r="A2759" s="358" t="s">
        <v>14471</v>
      </c>
      <c r="B2759" s="359" t="s">
        <v>14472</v>
      </c>
      <c r="C2759" s="360" t="s">
        <v>15424</v>
      </c>
      <c r="D2759" s="361" t="s">
        <v>15425</v>
      </c>
      <c r="E2759" s="359" t="s">
        <v>6</v>
      </c>
      <c r="F2759" s="362"/>
      <c r="G2759" s="362"/>
      <c r="H2759" s="363">
        <f>TRUNC(SUM(H2761:H2765),2)</f>
        <v>940.65</v>
      </c>
      <c r="I2759" s="276">
        <f>COUNTIF($C$8:$C2759,C:C)</f>
        <v>1</v>
      </c>
      <c r="J2759" s="368"/>
      <c r="K2759" s="368"/>
      <c r="L2759" s="368"/>
      <c r="M2759" s="368"/>
      <c r="N2759" s="368"/>
      <c r="O2759" s="368"/>
      <c r="P2759" s="368"/>
      <c r="Q2759" s="368"/>
      <c r="R2759" s="368"/>
      <c r="S2759" s="368"/>
      <c r="T2759" s="368"/>
      <c r="U2759" s="368"/>
      <c r="V2759" s="368"/>
      <c r="W2759" s="368"/>
      <c r="X2759" s="368"/>
      <c r="Y2759" s="368"/>
      <c r="Z2759" s="368"/>
      <c r="AA2759" s="368"/>
      <c r="AB2759" s="368"/>
    </row>
    <row r="2760" spans="1:31" ht="12.75">
      <c r="A2760" s="646" t="s">
        <v>14475</v>
      </c>
      <c r="B2760" s="694" t="s">
        <v>14540</v>
      </c>
      <c r="C2760" s="365" t="s">
        <v>15426</v>
      </c>
      <c r="D2760" s="367" t="s">
        <v>14773</v>
      </c>
      <c r="E2760" s="370"/>
      <c r="F2760" s="856"/>
      <c r="G2760" s="370"/>
      <c r="H2760" s="371"/>
      <c r="I2760" s="368"/>
      <c r="J2760" s="368"/>
      <c r="K2760" s="368"/>
      <c r="L2760" s="368"/>
      <c r="M2760" s="368"/>
      <c r="N2760" s="368"/>
      <c r="O2760" s="368"/>
      <c r="P2760" s="368"/>
      <c r="Q2760" s="368"/>
      <c r="R2760" s="368"/>
      <c r="S2760" s="368"/>
      <c r="T2760" s="368"/>
      <c r="U2760" s="368"/>
      <c r="V2760" s="368"/>
      <c r="W2760" s="368"/>
      <c r="X2760" s="368"/>
      <c r="Y2760" s="368"/>
      <c r="Z2760" s="368"/>
      <c r="AA2760" s="368"/>
      <c r="AB2760" s="368"/>
    </row>
    <row r="2761" spans="1:31" ht="25.5">
      <c r="A2761" s="586" t="s">
        <v>14478</v>
      </c>
      <c r="B2761" s="421" t="s">
        <v>14476</v>
      </c>
      <c r="C2761" s="422">
        <v>88631</v>
      </c>
      <c r="D2761" s="288" t="str">
        <f>IFERROR(VLOOKUP($C2761,'24.08_ND'!$A:$D,2,0),)</f>
        <v>ARGAMASSA TRAÇO 1:4 (EM VOLUME DE CIMENTO E AREIA MÉDIA ÚMIDA), PREPARO MANUAL. AF_08/2019</v>
      </c>
      <c r="E2761" s="289" t="str">
        <f>IFERROR(VLOOKUP($C2761,'24.08_ND'!$A:$D,3,0),)</f>
        <v>M3</v>
      </c>
      <c r="F2761" s="697">
        <v>1.2E-2</v>
      </c>
      <c r="G2761" s="291">
        <f>IFERROR(VLOOKUP($C2761,'24.08_ND'!$A:$D,4,0),)</f>
        <v>583.25</v>
      </c>
      <c r="H2761" s="423">
        <f>TRUNC(($F2761*$G2761),2)</f>
        <v>6.99</v>
      </c>
      <c r="I2761" s="368"/>
      <c r="J2761" s="368"/>
      <c r="K2761" s="368"/>
      <c r="L2761" s="368"/>
      <c r="M2761" s="368"/>
      <c r="N2761" s="368"/>
      <c r="O2761" s="368"/>
      <c r="P2761" s="368"/>
      <c r="Q2761" s="368"/>
      <c r="R2761" s="368"/>
      <c r="S2761" s="368"/>
      <c r="T2761" s="368"/>
      <c r="U2761" s="368"/>
      <c r="V2761" s="368"/>
      <c r="W2761" s="368"/>
      <c r="X2761" s="368"/>
      <c r="Y2761" s="368"/>
      <c r="Z2761" s="368"/>
      <c r="AA2761" s="368"/>
      <c r="AB2761" s="368"/>
      <c r="AD2761" s="1791" t="e">
        <f>VLOOKUP(C2761,'Medição '!$B$16:$F$1833,6,0)</f>
        <v>#REF!</v>
      </c>
      <c r="AE2761" s="1791"/>
    </row>
    <row r="2762" spans="1:31" ht="51">
      <c r="A2762" s="586" t="s">
        <v>14478</v>
      </c>
      <c r="B2762" s="421" t="s">
        <v>14476</v>
      </c>
      <c r="C2762" s="677">
        <v>90091</v>
      </c>
      <c r="D2762" s="288" t="str">
        <f>IFERROR(VLOOKUP($C2762,'24.08_ND'!$A:$D,2,0),)</f>
        <v>ESCAVAÇÃO MECANIZADA DE VALA COM PROF. ATÉ 1,5 M (MÉDIA MONTANTE E JUSANTE/UMA COMPOSIÇÃO POR TRECHO), ESCAVADEIRA (0,8 M3), LARG. DE 1,5 M A 2,5 M, EM SOLO DE 1A CATEGORIA, LOCAIS COM BAIXO NÍVEL DE INTERFERÊNCIA. AF_02/2021</v>
      </c>
      <c r="E2762" s="289" t="str">
        <f>IFERROR(VLOOKUP($C2762,'24.08_ND'!$A:$D,3,0),)</f>
        <v>M3</v>
      </c>
      <c r="F2762" s="697">
        <v>1.3753</v>
      </c>
      <c r="G2762" s="291">
        <f>IFERROR(VLOOKUP($C2762,'24.08_ND'!$A:$D,4,0),)</f>
        <v>5.29</v>
      </c>
      <c r="H2762" s="423">
        <f>TRUNC(($F2762*$G2762),2)</f>
        <v>7.27</v>
      </c>
      <c r="I2762" s="368"/>
      <c r="J2762" s="368"/>
      <c r="K2762" s="368"/>
      <c r="L2762" s="368"/>
      <c r="M2762" s="368"/>
      <c r="N2762" s="368"/>
      <c r="O2762" s="368"/>
      <c r="P2762" s="368"/>
      <c r="Q2762" s="368"/>
      <c r="R2762" s="368"/>
      <c r="S2762" s="368"/>
      <c r="T2762" s="368"/>
      <c r="U2762" s="368"/>
      <c r="V2762" s="368"/>
      <c r="W2762" s="368"/>
      <c r="X2762" s="368"/>
      <c r="Y2762" s="368"/>
      <c r="Z2762" s="368"/>
      <c r="AA2762" s="368"/>
      <c r="AB2762" s="368"/>
      <c r="AD2762" s="1791" t="e">
        <f>VLOOKUP(C2762,'Medição '!$B$16:$F$1833,6,0)</f>
        <v>#N/A</v>
      </c>
      <c r="AE2762" s="1791"/>
    </row>
    <row r="2763" spans="1:31" ht="38.25">
      <c r="A2763" s="586" t="s">
        <v>14478</v>
      </c>
      <c r="B2763" s="421" t="s">
        <v>14476</v>
      </c>
      <c r="C2763" s="677">
        <v>100978</v>
      </c>
      <c r="D2763" s="288" t="str">
        <f>IFERROR(VLOOKUP($C2763,'24.08_ND'!$A:$D,2,0),)</f>
        <v>CARGA, MANOBRA E DESCARGA DE SOLOS E MATERIAIS GRANULARES EM CAMINHÃO BASCULANTE 10 M³ - CARGA COM ESCAVADEIRA HIDRÁULICA (CAÇAMBA DE 1,20 M³ / 155 HP) E DESCARGA LIVRE (UNIDADE: M3). AF_07/2020</v>
      </c>
      <c r="E2763" s="289" t="str">
        <f>IFERROR(VLOOKUP($C2763,'24.08_ND'!$A:$D,3,0),)</f>
        <v>M3</v>
      </c>
      <c r="F2763" s="697">
        <v>1.7879</v>
      </c>
      <c r="G2763" s="291">
        <f>IFERROR(VLOOKUP($C2763,'24.08_ND'!$A:$D,4,0),)</f>
        <v>6.31</v>
      </c>
      <c r="H2763" s="423">
        <f>TRUNC(($F2763*$G2763),2)</f>
        <v>11.28</v>
      </c>
      <c r="I2763" s="368"/>
      <c r="J2763" s="368"/>
      <c r="K2763" s="368"/>
      <c r="L2763" s="368"/>
      <c r="M2763" s="368"/>
      <c r="N2763" s="368"/>
      <c r="O2763" s="368"/>
      <c r="P2763" s="368"/>
      <c r="Q2763" s="368"/>
      <c r="R2763" s="368"/>
      <c r="S2763" s="368"/>
      <c r="T2763" s="368"/>
      <c r="U2763" s="368"/>
      <c r="V2763" s="368"/>
      <c r="W2763" s="368"/>
      <c r="X2763" s="368"/>
      <c r="Y2763" s="368"/>
      <c r="Z2763" s="368"/>
      <c r="AA2763" s="368"/>
      <c r="AB2763" s="368"/>
      <c r="AD2763" s="1791" t="e">
        <f>VLOOKUP(C2763,'Medição '!$B$16:$F$1833,6,0)</f>
        <v>#REF!</v>
      </c>
      <c r="AE2763" s="1791"/>
    </row>
    <row r="2764" spans="1:31" ht="25.5">
      <c r="A2764" s="586" t="s">
        <v>14478</v>
      </c>
      <c r="B2764" s="421" t="s">
        <v>14476</v>
      </c>
      <c r="C2764" s="677">
        <v>100938</v>
      </c>
      <c r="D2764" s="288" t="str">
        <f>IFERROR(VLOOKUP($C2764,'24.08_ND'!$A:$D,2,0),)</f>
        <v>TRANSPORTE COM CAMINHÃO BASCULANTE DE 10 M³, EM VIA INTERNA (DENTRO DO CANTEIRO - UNIDADE: M3XKM). AF_07/2020</v>
      </c>
      <c r="E2764" s="289" t="str">
        <f>IFERROR(VLOOKUP($C2764,'24.08_ND'!$A:$D,3,0),)</f>
        <v>M3XKM</v>
      </c>
      <c r="F2764" s="697">
        <f>F2763/3</f>
        <v>0.59596666666666664</v>
      </c>
      <c r="G2764" s="291">
        <f>IFERROR(VLOOKUP($C2764,'24.08_ND'!$A:$D,4,0),)</f>
        <v>6.9</v>
      </c>
      <c r="H2764" s="423">
        <f>TRUNC(($F2764*$G2764),2)</f>
        <v>4.1100000000000003</v>
      </c>
      <c r="I2764" s="368"/>
      <c r="J2764" s="368"/>
      <c r="K2764" s="368"/>
      <c r="L2764" s="368"/>
      <c r="M2764" s="368"/>
      <c r="N2764" s="368"/>
      <c r="O2764" s="368"/>
      <c r="P2764" s="368"/>
      <c r="Q2764" s="368"/>
      <c r="R2764" s="368"/>
      <c r="S2764" s="368"/>
      <c r="T2764" s="368"/>
      <c r="U2764" s="368"/>
      <c r="V2764" s="368"/>
      <c r="W2764" s="368"/>
      <c r="X2764" s="368"/>
      <c r="Y2764" s="368"/>
      <c r="Z2764" s="368"/>
      <c r="AA2764" s="368"/>
      <c r="AB2764" s="368"/>
      <c r="AD2764" s="1791" t="e">
        <f>VLOOKUP(C2764,'Medição '!$B$16:$F$1833,6,0)</f>
        <v>#REF!</v>
      </c>
      <c r="AE2764" s="1791"/>
    </row>
    <row r="2765" spans="1:31" ht="12.75">
      <c r="A2765" s="590" t="s">
        <v>14479</v>
      </c>
      <c r="B2765" s="312" t="str">
        <f>VLOOKUP($C2765,'• CIs EXT'!$A:$E,2,0)</f>
        <v>EMBASA</v>
      </c>
      <c r="C2765" s="377" t="s">
        <v>15427</v>
      </c>
      <c r="D2765" s="378" t="str">
        <f>VLOOKUP($C2765,'• CIs EXT'!$A:$E,3,0)</f>
        <v>SUMIDOURO P/ 20 PESSOAS</v>
      </c>
      <c r="E2765" s="379" t="s">
        <v>6</v>
      </c>
      <c r="F2765" s="698">
        <v>1</v>
      </c>
      <c r="G2765" s="379">
        <f>VLOOKUP($C2765,'• CIs EXT'!$A:$E,5,0)</f>
        <v>911</v>
      </c>
      <c r="H2765" s="381">
        <f>TRUNC(($F2765*$G2765),2)</f>
        <v>911</v>
      </c>
      <c r="I2765" s="368"/>
      <c r="J2765" s="368"/>
      <c r="K2765" s="368"/>
      <c r="L2765" s="368"/>
      <c r="M2765" s="368"/>
      <c r="N2765" s="368"/>
      <c r="O2765" s="368"/>
      <c r="P2765" s="368"/>
      <c r="Q2765" s="368"/>
      <c r="R2765" s="368"/>
      <c r="S2765" s="368"/>
      <c r="T2765" s="368"/>
      <c r="U2765" s="368"/>
      <c r="V2765" s="368"/>
      <c r="W2765" s="368"/>
      <c r="X2765" s="368"/>
      <c r="Y2765" s="368"/>
      <c r="Z2765" s="368"/>
      <c r="AA2765" s="368"/>
      <c r="AB2765" s="368"/>
    </row>
    <row r="2766" spans="1:31" ht="12.75">
      <c r="A2766" s="686"/>
      <c r="B2766" s="687"/>
      <c r="C2766" s="688"/>
      <c r="D2766" s="689"/>
      <c r="E2766" s="690"/>
      <c r="F2766" s="691"/>
      <c r="G2766" s="690"/>
      <c r="H2766" s="692"/>
      <c r="I2766" s="262"/>
      <c r="J2766" s="262"/>
      <c r="K2766" s="262"/>
      <c r="L2766" s="262"/>
      <c r="M2766" s="262"/>
      <c r="N2766" s="262"/>
      <c r="O2766" s="262"/>
      <c r="P2766" s="262"/>
      <c r="Q2766" s="262"/>
      <c r="R2766" s="262"/>
      <c r="S2766" s="262"/>
      <c r="T2766" s="262"/>
      <c r="U2766" s="262"/>
      <c r="V2766" s="262"/>
      <c r="W2766" s="262"/>
      <c r="X2766" s="262"/>
      <c r="Y2766" s="262"/>
      <c r="Z2766" s="262"/>
      <c r="AA2766" s="262"/>
      <c r="AB2766" s="262"/>
    </row>
    <row r="2767" spans="1:31" ht="25.5">
      <c r="A2767" s="358" t="s">
        <v>14471</v>
      </c>
      <c r="B2767" s="359" t="s">
        <v>14472</v>
      </c>
      <c r="C2767" s="360" t="s">
        <v>15428</v>
      </c>
      <c r="D2767" s="361" t="s">
        <v>15429</v>
      </c>
      <c r="E2767" s="359" t="s">
        <v>6</v>
      </c>
      <c r="F2767" s="362"/>
      <c r="G2767" s="362"/>
      <c r="H2767" s="363">
        <f>TRUNC(SUM(H2769:H2775),2)</f>
        <v>41.3</v>
      </c>
      <c r="I2767" s="276">
        <f>COUNTIF($C$8:$C2767,C:C)</f>
        <v>1</v>
      </c>
      <c r="J2767" s="368"/>
      <c r="K2767" s="368"/>
      <c r="L2767" s="368"/>
      <c r="M2767" s="368"/>
      <c r="N2767" s="368"/>
      <c r="O2767" s="368"/>
      <c r="P2767" s="368"/>
      <c r="Q2767" s="368"/>
      <c r="R2767" s="368"/>
      <c r="S2767" s="368"/>
      <c r="T2767" s="368"/>
      <c r="U2767" s="368"/>
      <c r="V2767" s="368"/>
      <c r="W2767" s="368"/>
      <c r="X2767" s="368"/>
      <c r="Y2767" s="368"/>
      <c r="Z2767" s="368"/>
      <c r="AA2767" s="368"/>
      <c r="AB2767" s="368"/>
    </row>
    <row r="2768" spans="1:31" ht="12.75">
      <c r="A2768" s="646" t="s">
        <v>14475</v>
      </c>
      <c r="B2768" s="694" t="s">
        <v>14476</v>
      </c>
      <c r="C2768" s="365">
        <v>89829</v>
      </c>
      <c r="D2768" s="769" t="s">
        <v>14477</v>
      </c>
      <c r="E2768" s="370"/>
      <c r="F2768" s="642"/>
      <c r="G2768" s="370"/>
      <c r="H2768" s="371"/>
      <c r="I2768" s="368"/>
      <c r="J2768" s="368"/>
      <c r="K2768" s="368"/>
      <c r="L2768" s="368"/>
      <c r="M2768" s="368"/>
      <c r="N2768" s="368"/>
      <c r="O2768" s="368"/>
      <c r="P2768" s="368"/>
      <c r="Q2768" s="368"/>
      <c r="R2768" s="368"/>
      <c r="S2768" s="368"/>
      <c r="T2768" s="368"/>
      <c r="U2768" s="368"/>
      <c r="V2768" s="368"/>
      <c r="W2768" s="368"/>
      <c r="X2768" s="368"/>
      <c r="Y2768" s="368"/>
      <c r="Z2768" s="368"/>
      <c r="AA2768" s="368"/>
      <c r="AB2768" s="368"/>
    </row>
    <row r="2769" spans="1:31" ht="25.5">
      <c r="A2769" s="586" t="s">
        <v>14478</v>
      </c>
      <c r="B2769" s="421" t="s">
        <v>14476</v>
      </c>
      <c r="C2769" s="422">
        <v>88248</v>
      </c>
      <c r="D2769" s="288" t="str">
        <f>IFERROR(VLOOKUP($C2769,'24.08_ND'!$A:$D,2,0),)</f>
        <v>AUXILIAR DE ENCANADOR OU BOMBEIRO HIDRÁULICO COM ENCARGOS COMPLEMENTARES</v>
      </c>
      <c r="E2769" s="289" t="str">
        <f>IFERROR(VLOOKUP($C2769,'24.08_ND'!$A:$D,3,0),)</f>
        <v>H</v>
      </c>
      <c r="F2769" s="697">
        <v>0.1676</v>
      </c>
      <c r="G2769" s="291">
        <f>IFERROR(VLOOKUP($C2769,'24.08_ND'!$A:$D,4,0),)</f>
        <v>19.05</v>
      </c>
      <c r="H2769" s="423">
        <f t="shared" ref="H2769:H2775" si="91">TRUNC(($F2769*$G2769),2)</f>
        <v>3.19</v>
      </c>
      <c r="I2769" s="368"/>
      <c r="J2769" s="368"/>
      <c r="K2769" s="368"/>
      <c r="L2769" s="368"/>
      <c r="M2769" s="368"/>
      <c r="N2769" s="368"/>
      <c r="O2769" s="368"/>
      <c r="P2769" s="368"/>
      <c r="Q2769" s="368"/>
      <c r="R2769" s="368"/>
      <c r="S2769" s="368"/>
      <c r="T2769" s="368"/>
      <c r="U2769" s="368"/>
      <c r="V2769" s="368"/>
      <c r="W2769" s="368"/>
      <c r="X2769" s="368"/>
      <c r="Y2769" s="368"/>
      <c r="Z2769" s="368"/>
      <c r="AA2769" s="368"/>
      <c r="AB2769" s="368"/>
      <c r="AD2769" s="1791" t="e">
        <f>VLOOKUP(C2769,'Medição '!$B$16:$F$1833,6,0)</f>
        <v>#N/A</v>
      </c>
      <c r="AE2769" s="1791"/>
    </row>
    <row r="2770" spans="1:31" ht="25.5">
      <c r="A2770" s="586" t="s">
        <v>14478</v>
      </c>
      <c r="B2770" s="421" t="s">
        <v>14476</v>
      </c>
      <c r="C2770" s="422">
        <v>88267</v>
      </c>
      <c r="D2770" s="288" t="str">
        <f>IFERROR(VLOOKUP($C2770,'24.08_ND'!$A:$D,2,0),)</f>
        <v>ENCANADOR OU BOMBEIRO HIDRÁULICO COM ENCARGOS COMPLEMENTARES</v>
      </c>
      <c r="E2770" s="289" t="str">
        <f>IFERROR(VLOOKUP($C2770,'24.08_ND'!$A:$D,3,0),)</f>
        <v>H</v>
      </c>
      <c r="F2770" s="697">
        <v>0.1676</v>
      </c>
      <c r="G2770" s="291">
        <f>IFERROR(VLOOKUP($C2770,'24.08_ND'!$A:$D,4,0),)</f>
        <v>23.27</v>
      </c>
      <c r="H2770" s="423">
        <f t="shared" si="91"/>
        <v>3.9</v>
      </c>
      <c r="I2770" s="368"/>
      <c r="J2770" s="368"/>
      <c r="K2770" s="368"/>
      <c r="L2770" s="368"/>
      <c r="M2770" s="368"/>
      <c r="N2770" s="368"/>
      <c r="O2770" s="368"/>
      <c r="P2770" s="368"/>
      <c r="Q2770" s="368"/>
      <c r="R2770" s="368"/>
      <c r="S2770" s="368"/>
      <c r="T2770" s="368"/>
      <c r="U2770" s="368"/>
      <c r="V2770" s="368"/>
      <c r="W2770" s="368"/>
      <c r="X2770" s="368"/>
      <c r="Y2770" s="368"/>
      <c r="Z2770" s="368"/>
      <c r="AA2770" s="368"/>
      <c r="AB2770" s="368"/>
      <c r="AD2770" s="1791" t="e">
        <f>VLOOKUP(C2770,'Medição '!$B$16:$F$1833,6,0)</f>
        <v>#N/A</v>
      </c>
      <c r="AE2770" s="1791"/>
    </row>
    <row r="2771" spans="1:31" ht="12.75">
      <c r="A2771" s="445" t="s">
        <v>14479</v>
      </c>
      <c r="B2771" s="446" t="s">
        <v>14476</v>
      </c>
      <c r="C2771" s="447">
        <v>297</v>
      </c>
      <c r="D2771" s="296" t="str">
        <f>IFERROR(VLOOKUP($C2771,'24.08_ND'!$A:$D,2,0),)</f>
        <v>ANEL BORRACHA PARA TUBO ESGOTO PREDIAL, DN 75 MM (NBR 5688)</v>
      </c>
      <c r="E2771" s="297" t="str">
        <f>IFERROR(VLOOKUP($C2771,'24.08_ND'!$A:$D,3,0),)</f>
        <v>UN</v>
      </c>
      <c r="F2771" s="840">
        <v>3</v>
      </c>
      <c r="G2771" s="299">
        <f>IFERROR(VLOOKUP($C2771,'24.08_ND'!$A:$D,4,0),)</f>
        <v>2.4500000000000002</v>
      </c>
      <c r="H2771" s="449">
        <f t="shared" si="91"/>
        <v>7.35</v>
      </c>
      <c r="I2771" s="368"/>
      <c r="J2771" s="368"/>
      <c r="K2771" s="368"/>
      <c r="L2771" s="368"/>
      <c r="M2771" s="368"/>
      <c r="N2771" s="368"/>
      <c r="O2771" s="368"/>
      <c r="P2771" s="368"/>
      <c r="Q2771" s="368"/>
      <c r="R2771" s="368"/>
      <c r="S2771" s="368"/>
      <c r="T2771" s="368"/>
      <c r="U2771" s="368"/>
      <c r="V2771" s="368"/>
      <c r="W2771" s="368"/>
      <c r="X2771" s="368"/>
      <c r="Y2771" s="368"/>
      <c r="Z2771" s="368"/>
      <c r="AA2771" s="368"/>
      <c r="AB2771" s="368"/>
    </row>
    <row r="2772" spans="1:31" ht="25.5">
      <c r="A2772" s="445" t="s">
        <v>14479</v>
      </c>
      <c r="B2772" s="446" t="s">
        <v>14476</v>
      </c>
      <c r="C2772" s="447">
        <v>20078</v>
      </c>
      <c r="D2772" s="296" t="str">
        <f>IFERROR(VLOOKUP($C2772,'24.08_ND'!$A:$D,2,0),)</f>
        <v>PASTA LUBRIFICANTE PARA TUBOS E CONEXOES COM JUNTA ELASTICA, EMBALAGEM DE *400* GR (USO EM PVC, ACO, POLIETILENO E OUTROS)</v>
      </c>
      <c r="E2772" s="297" t="str">
        <f>IFERROR(VLOOKUP($C2772,'24.08_ND'!$A:$D,3,0),)</f>
        <v>UN</v>
      </c>
      <c r="F2772" s="840">
        <v>0.1125</v>
      </c>
      <c r="G2772" s="299">
        <f>IFERROR(VLOOKUP($C2772,'24.08_ND'!$A:$D,4,0),)</f>
        <v>28.92</v>
      </c>
      <c r="H2772" s="449">
        <f t="shared" si="91"/>
        <v>3.25</v>
      </c>
      <c r="I2772" s="368"/>
      <c r="J2772" s="368"/>
      <c r="K2772" s="368"/>
      <c r="L2772" s="368"/>
      <c r="M2772" s="368"/>
      <c r="N2772" s="368"/>
      <c r="O2772" s="368"/>
      <c r="P2772" s="368"/>
      <c r="Q2772" s="368"/>
      <c r="R2772" s="368"/>
      <c r="S2772" s="368"/>
      <c r="T2772" s="368"/>
      <c r="U2772" s="368"/>
      <c r="V2772" s="368"/>
      <c r="W2772" s="368"/>
      <c r="X2772" s="368"/>
      <c r="Y2772" s="368"/>
      <c r="Z2772" s="368"/>
      <c r="AA2772" s="368"/>
      <c r="AB2772" s="368"/>
    </row>
    <row r="2773" spans="1:31" ht="12.75">
      <c r="A2773" s="445" t="s">
        <v>14479</v>
      </c>
      <c r="B2773" s="446" t="s">
        <v>14476</v>
      </c>
      <c r="C2773" s="447">
        <v>11658</v>
      </c>
      <c r="D2773" s="296" t="str">
        <f>IFERROR(VLOOKUP($C2773,'24.08_ND'!$A:$D,2,0),)</f>
        <v>TE SANITARIO, PVC, DN 75 X 75 MM, SERIE NORMAL PARA ESGOTO PREDIAL</v>
      </c>
      <c r="E2773" s="297" t="str">
        <f>IFERROR(VLOOKUP($C2773,'24.08_ND'!$A:$D,3,0),)</f>
        <v>UN</v>
      </c>
      <c r="F2773" s="840">
        <v>1</v>
      </c>
      <c r="G2773" s="299">
        <f>IFERROR(VLOOKUP($C2773,'24.08_ND'!$A:$D,4,0),)</f>
        <v>14.06</v>
      </c>
      <c r="H2773" s="449">
        <f t="shared" si="91"/>
        <v>14.06</v>
      </c>
      <c r="I2773" s="368"/>
      <c r="J2773" s="368"/>
      <c r="K2773" s="368"/>
      <c r="L2773" s="368"/>
      <c r="M2773" s="368"/>
      <c r="N2773" s="368"/>
      <c r="O2773" s="368"/>
      <c r="P2773" s="368"/>
      <c r="Q2773" s="368"/>
      <c r="R2773" s="368"/>
      <c r="S2773" s="368"/>
      <c r="T2773" s="368"/>
      <c r="U2773" s="368"/>
      <c r="V2773" s="368"/>
      <c r="W2773" s="368"/>
      <c r="X2773" s="368"/>
      <c r="Y2773" s="368"/>
      <c r="Z2773" s="368"/>
      <c r="AA2773" s="368"/>
      <c r="AB2773" s="368"/>
    </row>
    <row r="2774" spans="1:31" ht="12.75">
      <c r="A2774" s="445" t="s">
        <v>14479</v>
      </c>
      <c r="B2774" s="446" t="s">
        <v>14476</v>
      </c>
      <c r="C2774" s="447">
        <v>296</v>
      </c>
      <c r="D2774" s="296" t="str">
        <f>IFERROR(VLOOKUP($C2774,'24.08_ND'!$A:$D,2,0),)</f>
        <v>ANEL BORRACHA PARA TUBO ESGOTO PREDIAL, DN 50 MM (NBR 5688)</v>
      </c>
      <c r="E2774" s="297" t="str">
        <f>IFERROR(VLOOKUP($C2774,'24.08_ND'!$A:$D,3,0),)</f>
        <v>UN</v>
      </c>
      <c r="F2774" s="840">
        <v>1</v>
      </c>
      <c r="G2774" s="299">
        <f>IFERROR(VLOOKUP($C2774,'24.08_ND'!$A:$D,4,0),)</f>
        <v>1.66</v>
      </c>
      <c r="H2774" s="449">
        <f t="shared" si="91"/>
        <v>1.66</v>
      </c>
      <c r="I2774" s="368"/>
      <c r="J2774" s="368"/>
      <c r="K2774" s="368"/>
      <c r="L2774" s="368"/>
      <c r="M2774" s="368"/>
      <c r="N2774" s="368"/>
      <c r="O2774" s="368"/>
      <c r="P2774" s="368"/>
      <c r="Q2774" s="368"/>
      <c r="R2774" s="368"/>
      <c r="S2774" s="368"/>
      <c r="T2774" s="368"/>
      <c r="U2774" s="368"/>
      <c r="V2774" s="368"/>
      <c r="W2774" s="368"/>
      <c r="X2774" s="368"/>
      <c r="Y2774" s="368"/>
      <c r="Z2774" s="368"/>
      <c r="AA2774" s="368"/>
      <c r="AB2774" s="368"/>
    </row>
    <row r="2775" spans="1:31" ht="12.75">
      <c r="A2775" s="445" t="s">
        <v>14479</v>
      </c>
      <c r="B2775" s="446" t="s">
        <v>14476</v>
      </c>
      <c r="C2775" s="447">
        <v>20045</v>
      </c>
      <c r="D2775" s="296" t="str">
        <f>IFERROR(VLOOKUP($C2775,'24.08_ND'!$A:$D,2,0),)</f>
        <v>REDUCAO EXCENTRICA PVC, SERIE R, DN 75 X 50 MM, PARA ESGOTO PREDIAL</v>
      </c>
      <c r="E2775" s="297" t="str">
        <f>IFERROR(VLOOKUP($C2775,'24.08_ND'!$A:$D,3,0),)</f>
        <v>UN</v>
      </c>
      <c r="F2775" s="840">
        <v>1</v>
      </c>
      <c r="G2775" s="299">
        <f>IFERROR(VLOOKUP($C2775,'24.08_ND'!$A:$D,4,0),)</f>
        <v>7.89</v>
      </c>
      <c r="H2775" s="449">
        <f t="shared" si="91"/>
        <v>7.89</v>
      </c>
      <c r="I2775" s="368"/>
      <c r="J2775" s="368"/>
      <c r="K2775" s="368"/>
      <c r="L2775" s="368"/>
      <c r="M2775" s="368"/>
      <c r="N2775" s="368"/>
      <c r="O2775" s="368"/>
      <c r="P2775" s="368"/>
      <c r="Q2775" s="368"/>
      <c r="R2775" s="368"/>
      <c r="S2775" s="368"/>
      <c r="T2775" s="368"/>
      <c r="U2775" s="368"/>
      <c r="V2775" s="368"/>
      <c r="W2775" s="368"/>
      <c r="X2775" s="368"/>
      <c r="Y2775" s="368"/>
      <c r="Z2775" s="368"/>
      <c r="AA2775" s="368"/>
      <c r="AB2775" s="368"/>
    </row>
    <row r="2776" spans="1:31" ht="12.75">
      <c r="A2776" s="686"/>
      <c r="B2776" s="687"/>
      <c r="C2776" s="688"/>
      <c r="D2776" s="689"/>
      <c r="E2776" s="690"/>
      <c r="F2776" s="691"/>
      <c r="G2776" s="690"/>
      <c r="H2776" s="692"/>
      <c r="I2776" s="262"/>
      <c r="J2776" s="262"/>
      <c r="K2776" s="262"/>
      <c r="L2776" s="262"/>
      <c r="M2776" s="262"/>
      <c r="N2776" s="262"/>
      <c r="O2776" s="262"/>
      <c r="P2776" s="262"/>
      <c r="Q2776" s="262"/>
      <c r="R2776" s="262"/>
      <c r="S2776" s="262"/>
      <c r="T2776" s="262"/>
      <c r="U2776" s="262"/>
      <c r="V2776" s="262"/>
      <c r="W2776" s="262"/>
      <c r="X2776" s="262"/>
      <c r="Y2776" s="262"/>
      <c r="Z2776" s="262"/>
      <c r="AA2776" s="262"/>
      <c r="AB2776" s="262"/>
    </row>
    <row r="2777" spans="1:31" ht="12.75">
      <c r="A2777" s="271" t="s">
        <v>14471</v>
      </c>
      <c r="B2777" s="272" t="s">
        <v>14472</v>
      </c>
      <c r="C2777" s="360" t="s">
        <v>15430</v>
      </c>
      <c r="D2777" s="361" t="s">
        <v>15431</v>
      </c>
      <c r="E2777" s="272" t="s">
        <v>6</v>
      </c>
      <c r="F2777" s="272"/>
      <c r="G2777" s="272"/>
      <c r="H2777" s="275">
        <f>TRUNC(SUM(H2779:H2786),2)</f>
        <v>53.8</v>
      </c>
      <c r="I2777" s="276">
        <f>COUNTIF($C$8:$C2777,C:C)</f>
        <v>1</v>
      </c>
      <c r="J2777" s="262"/>
      <c r="K2777" s="262"/>
      <c r="L2777" s="262"/>
      <c r="M2777" s="262"/>
      <c r="N2777" s="262"/>
      <c r="O2777" s="262"/>
      <c r="P2777" s="262"/>
      <c r="Q2777" s="262"/>
      <c r="R2777" s="262"/>
      <c r="S2777" s="262"/>
      <c r="T2777" s="262"/>
      <c r="U2777" s="262"/>
      <c r="V2777" s="262"/>
      <c r="W2777" s="262"/>
      <c r="X2777" s="262"/>
      <c r="Y2777" s="262"/>
      <c r="Z2777" s="262"/>
      <c r="AA2777" s="262"/>
      <c r="AB2777" s="262"/>
    </row>
    <row r="2778" spans="1:31" ht="12.75">
      <c r="A2778" s="277" t="s">
        <v>14475</v>
      </c>
      <c r="B2778" s="337" t="s">
        <v>14476</v>
      </c>
      <c r="C2778" s="337">
        <v>104328</v>
      </c>
      <c r="D2778" s="490" t="s">
        <v>14794</v>
      </c>
      <c r="E2778" s="609"/>
      <c r="F2778" s="282"/>
      <c r="G2778" s="492"/>
      <c r="H2778" s="493"/>
      <c r="I2778" s="262"/>
      <c r="J2778" s="262"/>
      <c r="K2778" s="262"/>
      <c r="L2778" s="262"/>
      <c r="M2778" s="262"/>
      <c r="N2778" s="262"/>
      <c r="O2778" s="262"/>
      <c r="P2778" s="262"/>
      <c r="Q2778" s="262"/>
      <c r="R2778" s="262"/>
      <c r="S2778" s="262"/>
      <c r="T2778" s="262"/>
      <c r="U2778" s="262"/>
      <c r="V2778" s="262"/>
      <c r="W2778" s="262"/>
      <c r="X2778" s="262"/>
      <c r="Y2778" s="262"/>
      <c r="Z2778" s="262"/>
      <c r="AA2778" s="262"/>
      <c r="AB2778" s="262"/>
    </row>
    <row r="2779" spans="1:31" ht="25.5">
      <c r="A2779" s="285" t="s">
        <v>14478</v>
      </c>
      <c r="B2779" s="407" t="s">
        <v>14476</v>
      </c>
      <c r="C2779" s="344">
        <v>88248</v>
      </c>
      <c r="D2779" s="288" t="str">
        <f>IFERROR(VLOOKUP($C2779,'24.08_ND'!$A:$D,2,0),)</f>
        <v>AUXILIAR DE ENCANADOR OU BOMBEIRO HIDRÁULICO COM ENCARGOS COMPLEMENTARES</v>
      </c>
      <c r="E2779" s="289" t="str">
        <f>IFERROR(VLOOKUP($C2779,'24.08_ND'!$A:$D,3,0),)</f>
        <v>H</v>
      </c>
      <c r="F2779" s="290">
        <v>0.25</v>
      </c>
      <c r="G2779" s="291">
        <f>IFERROR(VLOOKUP($C2779,'24.08_ND'!$A:$D,4,0),)</f>
        <v>19.05</v>
      </c>
      <c r="H2779" s="434">
        <f t="shared" ref="H2779:H2786" si="92">TRUNC(($F2779*$G2779),2)</f>
        <v>4.76</v>
      </c>
      <c r="I2779" s="262"/>
      <c r="J2779" s="262"/>
      <c r="K2779" s="262"/>
      <c r="L2779" s="262"/>
      <c r="M2779" s="262"/>
      <c r="N2779" s="262"/>
      <c r="O2779" s="262"/>
      <c r="P2779" s="262"/>
      <c r="Q2779" s="262"/>
      <c r="R2779" s="262"/>
      <c r="S2779" s="262"/>
      <c r="T2779" s="262"/>
      <c r="U2779" s="262"/>
      <c r="V2779" s="262"/>
      <c r="W2779" s="262"/>
      <c r="X2779" s="262"/>
      <c r="Y2779" s="262"/>
      <c r="Z2779" s="262"/>
      <c r="AA2779" s="262"/>
      <c r="AB2779" s="262"/>
      <c r="AD2779" s="1791" t="e">
        <f>VLOOKUP(C2779,'Medição '!$B$16:$F$1833,6,0)</f>
        <v>#N/A</v>
      </c>
      <c r="AE2779" s="1791"/>
    </row>
    <row r="2780" spans="1:31" ht="25.5">
      <c r="A2780" s="285" t="s">
        <v>14478</v>
      </c>
      <c r="B2780" s="407" t="s">
        <v>14476</v>
      </c>
      <c r="C2780" s="344">
        <v>88267</v>
      </c>
      <c r="D2780" s="288" t="str">
        <f>IFERROR(VLOOKUP($C2780,'24.08_ND'!$A:$D,2,0),)</f>
        <v>ENCANADOR OU BOMBEIRO HIDRÁULICO COM ENCARGOS COMPLEMENTARES</v>
      </c>
      <c r="E2780" s="289" t="str">
        <f>IFERROR(VLOOKUP($C2780,'24.08_ND'!$A:$D,3,0),)</f>
        <v>H</v>
      </c>
      <c r="F2780" s="290">
        <v>0.25</v>
      </c>
      <c r="G2780" s="291">
        <f>IFERROR(VLOOKUP($C2780,'24.08_ND'!$A:$D,4,0),)</f>
        <v>23.27</v>
      </c>
      <c r="H2780" s="434">
        <f t="shared" si="92"/>
        <v>5.81</v>
      </c>
      <c r="I2780" s="262"/>
      <c r="J2780" s="262"/>
      <c r="K2780" s="262"/>
      <c r="L2780" s="262"/>
      <c r="M2780" s="262"/>
      <c r="N2780" s="262"/>
      <c r="O2780" s="262"/>
      <c r="P2780" s="262"/>
      <c r="Q2780" s="262"/>
      <c r="R2780" s="262"/>
      <c r="S2780" s="262"/>
      <c r="T2780" s="262"/>
      <c r="U2780" s="262"/>
      <c r="V2780" s="262"/>
      <c r="W2780" s="262"/>
      <c r="X2780" s="262"/>
      <c r="Y2780" s="262"/>
      <c r="Z2780" s="262"/>
      <c r="AA2780" s="262"/>
      <c r="AB2780" s="262"/>
      <c r="AD2780" s="1791" t="e">
        <f>VLOOKUP(C2780,'Medição '!$B$16:$F$1833,6,0)</f>
        <v>#N/A</v>
      </c>
      <c r="AE2780" s="1791"/>
    </row>
    <row r="2781" spans="1:31" ht="12.75">
      <c r="A2781" s="494" t="s">
        <v>14479</v>
      </c>
      <c r="B2781" s="495" t="s">
        <v>14476</v>
      </c>
      <c r="C2781" s="348">
        <v>122</v>
      </c>
      <c r="D2781" s="296" t="str">
        <f>IFERROR(VLOOKUP($C2781,'24.08_ND'!$A:$D,2,0),)</f>
        <v>ADESIVO PLASTICO PARA PVC, FRASCO COM *850* GR</v>
      </c>
      <c r="E2781" s="297" t="str">
        <f>IFERROR(VLOOKUP($C2781,'24.08_ND'!$A:$D,3,0),)</f>
        <v>UN</v>
      </c>
      <c r="F2781" s="298">
        <v>0.01</v>
      </c>
      <c r="G2781" s="299">
        <f>IFERROR(VLOOKUP($C2781,'24.08_ND'!$A:$D,4,0),)</f>
        <v>70.09</v>
      </c>
      <c r="H2781" s="300">
        <f t="shared" si="92"/>
        <v>0.7</v>
      </c>
      <c r="I2781" s="262"/>
      <c r="J2781" s="262"/>
      <c r="K2781" s="262"/>
      <c r="L2781" s="262"/>
      <c r="M2781" s="262"/>
      <c r="N2781" s="262"/>
      <c r="O2781" s="262"/>
      <c r="P2781" s="262"/>
      <c r="Q2781" s="262"/>
      <c r="R2781" s="262"/>
      <c r="S2781" s="262"/>
      <c r="T2781" s="262"/>
      <c r="U2781" s="262"/>
      <c r="V2781" s="262"/>
      <c r="W2781" s="262"/>
      <c r="X2781" s="262"/>
      <c r="Y2781" s="262"/>
      <c r="Z2781" s="262"/>
      <c r="AA2781" s="262"/>
      <c r="AB2781" s="262"/>
    </row>
    <row r="2782" spans="1:31" ht="12.75">
      <c r="A2782" s="494" t="s">
        <v>14479</v>
      </c>
      <c r="B2782" s="495" t="s">
        <v>14476</v>
      </c>
      <c r="C2782" s="348">
        <v>296</v>
      </c>
      <c r="D2782" s="296" t="str">
        <f>IFERROR(VLOOKUP($C2782,'24.08_ND'!$A:$D,2,0),)</f>
        <v>ANEL BORRACHA PARA TUBO ESGOTO PREDIAL, DN 50 MM (NBR 5688)</v>
      </c>
      <c r="E2782" s="297" t="str">
        <f>IFERROR(VLOOKUP($C2782,'24.08_ND'!$A:$D,3,0),)</f>
        <v>UN</v>
      </c>
      <c r="F2782" s="298">
        <v>1</v>
      </c>
      <c r="G2782" s="299">
        <f>IFERROR(VLOOKUP($C2782,'24.08_ND'!$A:$D,4,0),)</f>
        <v>1.66</v>
      </c>
      <c r="H2782" s="300">
        <f t="shared" si="92"/>
        <v>1.66</v>
      </c>
      <c r="I2782" s="262"/>
      <c r="J2782" s="262"/>
      <c r="K2782" s="262"/>
      <c r="L2782" s="262"/>
      <c r="M2782" s="262"/>
      <c r="N2782" s="262"/>
      <c r="O2782" s="262"/>
      <c r="P2782" s="262"/>
      <c r="Q2782" s="262"/>
      <c r="R2782" s="262"/>
      <c r="S2782" s="262"/>
      <c r="T2782" s="262"/>
      <c r="U2782" s="262"/>
      <c r="V2782" s="262"/>
      <c r="W2782" s="262"/>
      <c r="X2782" s="262"/>
      <c r="Y2782" s="262"/>
      <c r="Z2782" s="262"/>
      <c r="AA2782" s="262"/>
      <c r="AB2782" s="262"/>
    </row>
    <row r="2783" spans="1:31" ht="25.5">
      <c r="A2783" s="376" t="s">
        <v>14479</v>
      </c>
      <c r="B2783" s="312" t="str">
        <f>VLOOKUP($C2783,'• CIs EXT'!$A:$E,2,0)</f>
        <v>AGETOP CIVIL</v>
      </c>
      <c r="C2783" s="377" t="s">
        <v>15432</v>
      </c>
      <c r="D2783" s="378" t="str">
        <f>VLOOKUP($C2783,'• CIs EXT'!$A:$E,3,0)</f>
        <v>CORPO CAIXA SIFONADA 150 X 150 X 50 MM</v>
      </c>
      <c r="E2783" s="379" t="s">
        <v>6</v>
      </c>
      <c r="F2783" s="857">
        <v>1</v>
      </c>
      <c r="G2783" s="379">
        <f>VLOOKUP($C2783,'• CIs EXT'!$A:$E,5,0)</f>
        <v>38.57</v>
      </c>
      <c r="H2783" s="381">
        <f t="shared" si="92"/>
        <v>38.57</v>
      </c>
      <c r="I2783" s="368"/>
      <c r="J2783" s="368"/>
      <c r="K2783" s="368"/>
      <c r="L2783" s="368"/>
      <c r="M2783" s="368"/>
      <c r="N2783" s="368"/>
      <c r="O2783" s="368"/>
      <c r="P2783" s="368"/>
      <c r="Q2783" s="368"/>
      <c r="R2783" s="368"/>
      <c r="S2783" s="368"/>
      <c r="T2783" s="368"/>
      <c r="U2783" s="368"/>
      <c r="V2783" s="368"/>
      <c r="W2783" s="368"/>
      <c r="X2783" s="368"/>
      <c r="Y2783" s="368"/>
      <c r="Z2783" s="368"/>
      <c r="AA2783" s="368"/>
      <c r="AB2783" s="368"/>
    </row>
    <row r="2784" spans="1:31" ht="25.5">
      <c r="A2784" s="494" t="s">
        <v>14479</v>
      </c>
      <c r="B2784" s="495" t="s">
        <v>14476</v>
      </c>
      <c r="C2784" s="295">
        <v>20078</v>
      </c>
      <c r="D2784" s="296" t="str">
        <f>IFERROR(VLOOKUP($C2784,'24.08_ND'!$A:$D,2,0),)</f>
        <v>PASTA LUBRIFICANTE PARA TUBOS E CONEXOES COM JUNTA ELASTICA, EMBALAGEM DE *400* GR (USO EM PVC, ACO, POLIETILENO E OUTROS)</v>
      </c>
      <c r="E2784" s="297" t="str">
        <f>IFERROR(VLOOKUP($C2784,'24.08_ND'!$A:$D,3,0),)</f>
        <v>UN</v>
      </c>
      <c r="F2784" s="298">
        <v>0.02</v>
      </c>
      <c r="G2784" s="299">
        <f>IFERROR(VLOOKUP($C2784,'24.08_ND'!$A:$D,4,0),)</f>
        <v>28.92</v>
      </c>
      <c r="H2784" s="300">
        <f t="shared" si="92"/>
        <v>0.56999999999999995</v>
      </c>
      <c r="I2784" s="262"/>
      <c r="J2784" s="262"/>
      <c r="K2784" s="262"/>
      <c r="L2784" s="262"/>
      <c r="M2784" s="262"/>
      <c r="N2784" s="262"/>
      <c r="O2784" s="262"/>
      <c r="P2784" s="262"/>
      <c r="Q2784" s="262"/>
      <c r="R2784" s="262"/>
      <c r="S2784" s="262"/>
      <c r="T2784" s="262"/>
      <c r="U2784" s="262"/>
      <c r="V2784" s="262"/>
      <c r="W2784" s="262"/>
      <c r="X2784" s="262"/>
      <c r="Y2784" s="262"/>
      <c r="Z2784" s="262"/>
      <c r="AA2784" s="262"/>
      <c r="AB2784" s="262"/>
    </row>
    <row r="2785" spans="1:31" ht="12.75">
      <c r="A2785" s="494" t="s">
        <v>14479</v>
      </c>
      <c r="B2785" s="495" t="s">
        <v>14476</v>
      </c>
      <c r="C2785" s="348">
        <v>20083</v>
      </c>
      <c r="D2785" s="296" t="str">
        <f>IFERROR(VLOOKUP($C2785,'24.08_ND'!$A:$D,2,0),)</f>
        <v>SOLUCAO PREPARADORA / LIMPADORA PARA PVC, FRASCO COM 1000 CM3</v>
      </c>
      <c r="E2785" s="297" t="str">
        <f>IFERROR(VLOOKUP($C2785,'24.08_ND'!$A:$D,3,0),)</f>
        <v>UN</v>
      </c>
      <c r="F2785" s="298">
        <v>0.02</v>
      </c>
      <c r="G2785" s="299">
        <f>IFERROR(VLOOKUP($C2785,'24.08_ND'!$A:$D,4,0),)</f>
        <v>79.41</v>
      </c>
      <c r="H2785" s="300">
        <f t="shared" si="92"/>
        <v>1.58</v>
      </c>
      <c r="I2785" s="262"/>
      <c r="J2785" s="262"/>
      <c r="K2785" s="262"/>
      <c r="L2785" s="262"/>
      <c r="M2785" s="262"/>
      <c r="N2785" s="262"/>
      <c r="O2785" s="262"/>
      <c r="P2785" s="262"/>
      <c r="Q2785" s="262"/>
      <c r="R2785" s="262"/>
      <c r="S2785" s="262"/>
      <c r="T2785" s="262"/>
      <c r="U2785" s="262"/>
      <c r="V2785" s="262"/>
      <c r="W2785" s="262"/>
      <c r="X2785" s="262"/>
      <c r="Y2785" s="262"/>
      <c r="Z2785" s="262"/>
      <c r="AA2785" s="262"/>
      <c r="AB2785" s="262"/>
    </row>
    <row r="2786" spans="1:31" ht="12.75">
      <c r="A2786" s="494" t="s">
        <v>14479</v>
      </c>
      <c r="B2786" s="495" t="s">
        <v>14476</v>
      </c>
      <c r="C2786" s="348">
        <v>38383</v>
      </c>
      <c r="D2786" s="296" t="str">
        <f>IFERROR(VLOOKUP($C2786,'24.08_ND'!$A:$D,2,0),)</f>
        <v>LIXA D'AGUA EM FOLHA, GRAO 100</v>
      </c>
      <c r="E2786" s="297" t="str">
        <f>IFERROR(VLOOKUP($C2786,'24.08_ND'!$A:$D,3,0),)</f>
        <v>UN</v>
      </c>
      <c r="F2786" s="298">
        <v>0.06</v>
      </c>
      <c r="G2786" s="299">
        <f>IFERROR(VLOOKUP($C2786,'24.08_ND'!$A:$D,4,0),)</f>
        <v>2.5</v>
      </c>
      <c r="H2786" s="300">
        <f t="shared" si="92"/>
        <v>0.15</v>
      </c>
      <c r="I2786" s="262"/>
      <c r="J2786" s="262"/>
      <c r="K2786" s="262"/>
      <c r="L2786" s="262"/>
      <c r="M2786" s="262"/>
      <c r="N2786" s="262"/>
      <c r="O2786" s="262"/>
      <c r="P2786" s="262"/>
      <c r="Q2786" s="262"/>
      <c r="R2786" s="262"/>
      <c r="S2786" s="262"/>
      <c r="T2786" s="262"/>
      <c r="U2786" s="262"/>
      <c r="V2786" s="262"/>
      <c r="W2786" s="262"/>
      <c r="X2786" s="262"/>
      <c r="Y2786" s="262"/>
      <c r="Z2786" s="262"/>
      <c r="AA2786" s="262"/>
      <c r="AB2786" s="262"/>
    </row>
    <row r="2787" spans="1:31" ht="12.75">
      <c r="A2787" s="734"/>
      <c r="B2787" s="735"/>
      <c r="C2787" s="279"/>
      <c r="D2787" s="736"/>
      <c r="E2787" s="737"/>
      <c r="F2787" s="737"/>
      <c r="G2787" s="737"/>
      <c r="H2787" s="738"/>
      <c r="I2787" s="262"/>
      <c r="J2787" s="262"/>
      <c r="K2787" s="262"/>
      <c r="L2787" s="262"/>
      <c r="M2787" s="262"/>
      <c r="N2787" s="262"/>
      <c r="O2787" s="262"/>
      <c r="P2787" s="262"/>
      <c r="Q2787" s="262"/>
      <c r="R2787" s="262"/>
      <c r="S2787" s="262"/>
      <c r="T2787" s="262"/>
      <c r="U2787" s="262"/>
      <c r="V2787" s="262"/>
      <c r="W2787" s="262"/>
      <c r="X2787" s="262"/>
      <c r="Y2787" s="262"/>
      <c r="Z2787" s="262"/>
      <c r="AA2787" s="262"/>
      <c r="AB2787" s="262"/>
    </row>
    <row r="2788" spans="1:31" ht="38.25">
      <c r="A2788" s="271" t="s">
        <v>14471</v>
      </c>
      <c r="B2788" s="272" t="s">
        <v>14472</v>
      </c>
      <c r="C2788" s="273" t="s">
        <v>15433</v>
      </c>
      <c r="D2788" s="274" t="s">
        <v>15393</v>
      </c>
      <c r="E2788" s="272" t="s">
        <v>6</v>
      </c>
      <c r="F2788" s="272"/>
      <c r="G2788" s="272"/>
      <c r="H2788" s="275">
        <f>TRUNC(SUM(H2790:H2796),2)</f>
        <v>65.599999999999994</v>
      </c>
      <c r="I2788" s="276">
        <f>COUNTIF($C$8:$C2788,C:C)</f>
        <v>1</v>
      </c>
      <c r="J2788" s="262"/>
      <c r="K2788" s="262"/>
      <c r="L2788" s="262"/>
      <c r="M2788" s="262"/>
      <c r="N2788" s="262"/>
      <c r="O2788" s="262"/>
      <c r="P2788" s="262"/>
      <c r="Q2788" s="262"/>
      <c r="R2788" s="262"/>
      <c r="S2788" s="262"/>
      <c r="T2788" s="262"/>
      <c r="U2788" s="262"/>
      <c r="V2788" s="262"/>
      <c r="W2788" s="262"/>
      <c r="X2788" s="262"/>
      <c r="Y2788" s="262"/>
      <c r="Z2788" s="262"/>
      <c r="AA2788" s="262"/>
      <c r="AB2788" s="262"/>
    </row>
    <row r="2789" spans="1:31" ht="12.75">
      <c r="A2789" s="277" t="s">
        <v>14475</v>
      </c>
      <c r="B2789" s="337" t="s">
        <v>14476</v>
      </c>
      <c r="C2789" s="337">
        <v>104328</v>
      </c>
      <c r="D2789" s="490" t="s">
        <v>14794</v>
      </c>
      <c r="E2789" s="609"/>
      <c r="F2789" s="282"/>
      <c r="G2789" s="492"/>
      <c r="H2789" s="493"/>
      <c r="I2789" s="262"/>
      <c r="J2789" s="262"/>
      <c r="K2789" s="262"/>
      <c r="L2789" s="262"/>
      <c r="M2789" s="262"/>
      <c r="N2789" s="262"/>
      <c r="O2789" s="262"/>
      <c r="P2789" s="262"/>
      <c r="Q2789" s="262"/>
      <c r="R2789" s="262"/>
      <c r="S2789" s="262"/>
      <c r="T2789" s="262"/>
      <c r="U2789" s="262"/>
      <c r="V2789" s="262"/>
      <c r="W2789" s="262"/>
      <c r="X2789" s="262"/>
      <c r="Y2789" s="262"/>
      <c r="Z2789" s="262"/>
      <c r="AA2789" s="262"/>
      <c r="AB2789" s="262"/>
    </row>
    <row r="2790" spans="1:31" ht="25.5">
      <c r="A2790" s="285" t="s">
        <v>14478</v>
      </c>
      <c r="B2790" s="407" t="s">
        <v>14476</v>
      </c>
      <c r="C2790" s="344">
        <v>88248</v>
      </c>
      <c r="D2790" s="288" t="str">
        <f>IFERROR(VLOOKUP($C2790,'24.08_ND'!$A:$D,2,0),)</f>
        <v>AUXILIAR DE ENCANADOR OU BOMBEIRO HIDRÁULICO COM ENCARGOS COMPLEMENTARES</v>
      </c>
      <c r="E2790" s="289" t="str">
        <f>IFERROR(VLOOKUP($C2790,'24.08_ND'!$A:$D,3,0),)</f>
        <v>H</v>
      </c>
      <c r="F2790" s="290">
        <v>0.42309999999999998</v>
      </c>
      <c r="G2790" s="291">
        <f>IFERROR(VLOOKUP($C2790,'24.08_ND'!$A:$D,4,0),)</f>
        <v>19.05</v>
      </c>
      <c r="H2790" s="434">
        <f t="shared" ref="H2790:H2796" si="93">TRUNC(($F2790*$G2790),2)</f>
        <v>8.06</v>
      </c>
      <c r="I2790" s="262"/>
      <c r="J2790" s="262"/>
      <c r="K2790" s="262"/>
      <c r="L2790" s="262"/>
      <c r="M2790" s="262"/>
      <c r="N2790" s="262"/>
      <c r="O2790" s="262"/>
      <c r="P2790" s="262"/>
      <c r="Q2790" s="262"/>
      <c r="R2790" s="262"/>
      <c r="S2790" s="262"/>
      <c r="T2790" s="262"/>
      <c r="U2790" s="262"/>
      <c r="V2790" s="262"/>
      <c r="W2790" s="262"/>
      <c r="X2790" s="262"/>
      <c r="Y2790" s="262"/>
      <c r="Z2790" s="262"/>
      <c r="AA2790" s="262"/>
      <c r="AB2790" s="262"/>
      <c r="AD2790" s="1791" t="e">
        <f>VLOOKUP(C2790,'Medição '!$B$16:$F$1833,6,0)</f>
        <v>#N/A</v>
      </c>
      <c r="AE2790" s="1791"/>
    </row>
    <row r="2791" spans="1:31" ht="25.5">
      <c r="A2791" s="285" t="s">
        <v>14478</v>
      </c>
      <c r="B2791" s="407" t="s">
        <v>14476</v>
      </c>
      <c r="C2791" s="344">
        <v>88267</v>
      </c>
      <c r="D2791" s="288" t="str">
        <f>IFERROR(VLOOKUP($C2791,'24.08_ND'!$A:$D,2,0),)</f>
        <v>ENCANADOR OU BOMBEIRO HIDRÁULICO COM ENCARGOS COMPLEMENTARES</v>
      </c>
      <c r="E2791" s="289" t="str">
        <f>IFERROR(VLOOKUP($C2791,'24.08_ND'!$A:$D,3,0),)</f>
        <v>H</v>
      </c>
      <c r="F2791" s="290">
        <v>0.42309999999999998</v>
      </c>
      <c r="G2791" s="291">
        <f>IFERROR(VLOOKUP($C2791,'24.08_ND'!$A:$D,4,0),)</f>
        <v>23.27</v>
      </c>
      <c r="H2791" s="434">
        <f t="shared" si="93"/>
        <v>9.84</v>
      </c>
      <c r="I2791" s="262"/>
      <c r="J2791" s="262"/>
      <c r="K2791" s="262"/>
      <c r="L2791" s="262"/>
      <c r="M2791" s="262"/>
      <c r="N2791" s="262"/>
      <c r="O2791" s="262"/>
      <c r="P2791" s="262"/>
      <c r="Q2791" s="262"/>
      <c r="R2791" s="262"/>
      <c r="S2791" s="262"/>
      <c r="T2791" s="262"/>
      <c r="U2791" s="262"/>
      <c r="V2791" s="262"/>
      <c r="W2791" s="262"/>
      <c r="X2791" s="262"/>
      <c r="Y2791" s="262"/>
      <c r="Z2791" s="262"/>
      <c r="AA2791" s="262"/>
      <c r="AB2791" s="262"/>
      <c r="AD2791" s="1791" t="e">
        <f>VLOOKUP(C2791,'Medição '!$B$16:$F$1833,6,0)</f>
        <v>#N/A</v>
      </c>
      <c r="AE2791" s="1791"/>
    </row>
    <row r="2792" spans="1:31" ht="12.75">
      <c r="A2792" s="494" t="s">
        <v>14479</v>
      </c>
      <c r="B2792" s="495" t="s">
        <v>14476</v>
      </c>
      <c r="C2792" s="348">
        <v>122</v>
      </c>
      <c r="D2792" s="296" t="str">
        <f>IFERROR(VLOOKUP($C2792,'24.08_ND'!$A:$D,2,0),)</f>
        <v>ADESIVO PLASTICO PARA PVC, FRASCO COM *850* GR</v>
      </c>
      <c r="E2792" s="297" t="str">
        <f>IFERROR(VLOOKUP($C2792,'24.08_ND'!$A:$D,3,0),)</f>
        <v>UN</v>
      </c>
      <c r="F2792" s="298">
        <v>2.92E-2</v>
      </c>
      <c r="G2792" s="299">
        <f>IFERROR(VLOOKUP($C2792,'24.08_ND'!$A:$D,4,0),)</f>
        <v>70.09</v>
      </c>
      <c r="H2792" s="300">
        <f t="shared" si="93"/>
        <v>2.04</v>
      </c>
      <c r="I2792" s="262"/>
      <c r="J2792" s="262"/>
      <c r="K2792" s="262"/>
      <c r="L2792" s="262"/>
      <c r="M2792" s="262"/>
      <c r="N2792" s="262"/>
      <c r="O2792" s="262"/>
      <c r="P2792" s="262"/>
      <c r="Q2792" s="262"/>
      <c r="R2792" s="262"/>
      <c r="S2792" s="262"/>
      <c r="T2792" s="262"/>
      <c r="U2792" s="262"/>
      <c r="V2792" s="262"/>
      <c r="W2792" s="262"/>
      <c r="X2792" s="262"/>
      <c r="Y2792" s="262"/>
      <c r="Z2792" s="262"/>
      <c r="AA2792" s="262"/>
      <c r="AB2792" s="262"/>
    </row>
    <row r="2793" spans="1:31" ht="12.75">
      <c r="A2793" s="494" t="s">
        <v>14479</v>
      </c>
      <c r="B2793" s="495" t="s">
        <v>14476</v>
      </c>
      <c r="C2793" s="348">
        <v>20083</v>
      </c>
      <c r="D2793" s="296" t="str">
        <f>IFERROR(VLOOKUP($C2793,'24.08_ND'!$A:$D,2,0),)</f>
        <v>SOLUCAO PREPARADORA / LIMPADORA PARA PVC, FRASCO COM 1000 CM3</v>
      </c>
      <c r="E2793" s="297" t="str">
        <f>IFERROR(VLOOKUP($C2793,'24.08_ND'!$A:$D,3,0),)</f>
        <v>UN</v>
      </c>
      <c r="F2793" s="298">
        <v>4.3999999999999997E-2</v>
      </c>
      <c r="G2793" s="299">
        <f>IFERROR(VLOOKUP($C2793,'24.08_ND'!$A:$D,4,0),)</f>
        <v>79.41</v>
      </c>
      <c r="H2793" s="300">
        <f t="shared" si="93"/>
        <v>3.49</v>
      </c>
      <c r="I2793" s="262"/>
      <c r="J2793" s="262"/>
      <c r="K2793" s="262"/>
      <c r="L2793" s="262"/>
      <c r="M2793" s="262"/>
      <c r="N2793" s="262"/>
      <c r="O2793" s="262"/>
      <c r="P2793" s="262"/>
      <c r="Q2793" s="262"/>
      <c r="R2793" s="262"/>
      <c r="S2793" s="262"/>
      <c r="T2793" s="262"/>
      <c r="U2793" s="262"/>
      <c r="V2793" s="262"/>
      <c r="W2793" s="262"/>
      <c r="X2793" s="262"/>
      <c r="Y2793" s="262"/>
      <c r="Z2793" s="262"/>
      <c r="AA2793" s="262"/>
      <c r="AB2793" s="262"/>
    </row>
    <row r="2794" spans="1:31" ht="12.75">
      <c r="A2794" s="494" t="s">
        <v>14479</v>
      </c>
      <c r="B2794" s="495" t="s">
        <v>14476</v>
      </c>
      <c r="C2794" s="348">
        <v>38383</v>
      </c>
      <c r="D2794" s="296" t="str">
        <f>IFERROR(VLOOKUP($C2794,'24.08_ND'!$A:$D,2,0),)</f>
        <v>LIXA D'AGUA EM FOLHA, GRAO 100</v>
      </c>
      <c r="E2794" s="297" t="str">
        <f>IFERROR(VLOOKUP($C2794,'24.08_ND'!$A:$D,3,0),)</f>
        <v>UN</v>
      </c>
      <c r="F2794" s="298">
        <v>1.54E-2</v>
      </c>
      <c r="G2794" s="299">
        <f>IFERROR(VLOOKUP($C2794,'24.08_ND'!$A:$D,4,0),)</f>
        <v>2.5</v>
      </c>
      <c r="H2794" s="300">
        <f t="shared" si="93"/>
        <v>0.03</v>
      </c>
      <c r="I2794" s="262"/>
      <c r="J2794" s="262"/>
      <c r="K2794" s="262"/>
      <c r="L2794" s="262"/>
      <c r="M2794" s="262"/>
      <c r="N2794" s="262"/>
      <c r="O2794" s="262"/>
      <c r="P2794" s="262"/>
      <c r="Q2794" s="262"/>
      <c r="R2794" s="262"/>
      <c r="S2794" s="262"/>
      <c r="T2794" s="262"/>
      <c r="U2794" s="262"/>
      <c r="V2794" s="262"/>
      <c r="W2794" s="262"/>
      <c r="X2794" s="262"/>
      <c r="Y2794" s="262"/>
      <c r="Z2794" s="262"/>
      <c r="AA2794" s="262"/>
      <c r="AB2794" s="262"/>
    </row>
    <row r="2795" spans="1:31" ht="38.25">
      <c r="A2795" s="317" t="s">
        <v>14479</v>
      </c>
      <c r="B2795" s="312" t="str">
        <f>VLOOKUP($C2795,'• CIs EXT'!$A:$E,2,0)</f>
        <v>CPOS/CDHU</v>
      </c>
      <c r="C2795" s="313" t="s">
        <v>15394</v>
      </c>
      <c r="D2795" s="314" t="str">
        <f>VLOOKUP($C2795,'• CIs EXT'!$A:$E,3,0)</f>
        <v>GRELHA METÁLICA DE 100 X 100 MM, PARA CAIXA SIFONADA OU RALO, REF. METAL VILA OU EQUIVALENTE</v>
      </c>
      <c r="E2795" s="312" t="str">
        <f>VLOOKUP($C2795,'• CIs EXT'!$A:$E,4,0)</f>
        <v>UN</v>
      </c>
      <c r="F2795" s="315">
        <v>1</v>
      </c>
      <c r="G2795" s="312">
        <f>VLOOKUP($C2795,'• CIs EXT'!$A:$E,5,0)</f>
        <v>20.25</v>
      </c>
      <c r="H2795" s="316">
        <f t="shared" si="93"/>
        <v>20.25</v>
      </c>
      <c r="I2795" s="262"/>
      <c r="J2795" s="262"/>
      <c r="K2795" s="262"/>
      <c r="L2795" s="262"/>
      <c r="M2795" s="262"/>
      <c r="N2795" s="262"/>
      <c r="O2795" s="262"/>
      <c r="P2795" s="262"/>
      <c r="Q2795" s="262"/>
      <c r="R2795" s="262"/>
      <c r="S2795" s="262"/>
      <c r="T2795" s="262"/>
      <c r="U2795" s="262"/>
      <c r="V2795" s="262"/>
      <c r="W2795" s="262"/>
      <c r="X2795" s="262"/>
      <c r="Y2795" s="262"/>
      <c r="Z2795" s="262"/>
      <c r="AA2795" s="262"/>
      <c r="AB2795" s="262"/>
    </row>
    <row r="2796" spans="1:31" ht="38.25">
      <c r="A2796" s="317" t="s">
        <v>14479</v>
      </c>
      <c r="B2796" s="312" t="str">
        <f>VLOOKUP($C2796,'• CIs EXT'!$A:$E,2,0)</f>
        <v>CPOS/CDHU</v>
      </c>
      <c r="C2796" s="313" t="s">
        <v>15395</v>
      </c>
      <c r="D2796" s="314" t="str">
        <f>VLOOKUP($C2796,'• CIs EXT'!$A:$E,3,0)</f>
        <v>CAIXA SIFONADA EM PVC RÍGIDO DE 100 X 150 X 50 MM</v>
      </c>
      <c r="E2796" s="312" t="str">
        <f>VLOOKUP($C2796,'• CIs EXT'!$A:$E,4,0)</f>
        <v>UN</v>
      </c>
      <c r="F2796" s="315">
        <v>1</v>
      </c>
      <c r="G2796" s="312">
        <f>VLOOKUP($C2796,'• CIs EXT'!$A:$E,5,0)</f>
        <v>21.89</v>
      </c>
      <c r="H2796" s="316">
        <f t="shared" si="93"/>
        <v>21.89</v>
      </c>
      <c r="I2796" s="262"/>
      <c r="J2796" s="262"/>
      <c r="K2796" s="262"/>
      <c r="L2796" s="262"/>
      <c r="M2796" s="262"/>
      <c r="N2796" s="262"/>
      <c r="O2796" s="262"/>
      <c r="P2796" s="262"/>
      <c r="Q2796" s="262"/>
      <c r="R2796" s="262"/>
      <c r="S2796" s="262"/>
      <c r="T2796" s="262"/>
      <c r="U2796" s="262"/>
      <c r="V2796" s="262"/>
      <c r="W2796" s="262"/>
      <c r="X2796" s="262"/>
      <c r="Y2796" s="262"/>
      <c r="Z2796" s="262"/>
      <c r="AA2796" s="262"/>
      <c r="AB2796" s="262"/>
    </row>
    <row r="2797" spans="1:31" ht="12.75">
      <c r="A2797" s="699"/>
      <c r="B2797" s="700"/>
      <c r="C2797" s="700"/>
      <c r="D2797" s="701"/>
      <c r="E2797" s="303"/>
      <c r="F2797" s="306"/>
      <c r="G2797" s="307"/>
      <c r="H2797" s="308"/>
      <c r="I2797" s="262"/>
      <c r="J2797" s="262"/>
      <c r="K2797" s="262"/>
      <c r="L2797" s="262"/>
      <c r="M2797" s="262"/>
      <c r="N2797" s="262"/>
      <c r="O2797" s="262"/>
      <c r="P2797" s="262"/>
      <c r="Q2797" s="262"/>
      <c r="R2797" s="262"/>
      <c r="S2797" s="262"/>
      <c r="T2797" s="262"/>
      <c r="U2797" s="262"/>
      <c r="V2797" s="262"/>
      <c r="W2797" s="262"/>
      <c r="X2797" s="262"/>
      <c r="Y2797" s="262"/>
      <c r="Z2797" s="262"/>
      <c r="AA2797" s="262"/>
      <c r="AB2797" s="262"/>
    </row>
    <row r="2798" spans="1:31" ht="25.5">
      <c r="A2798" s="841" t="s">
        <v>15071</v>
      </c>
      <c r="B2798" s="842" t="s">
        <v>14472</v>
      </c>
      <c r="C2798" s="843" t="s">
        <v>15434</v>
      </c>
      <c r="D2798" s="858" t="s">
        <v>15435</v>
      </c>
      <c r="E2798" s="842" t="s">
        <v>50</v>
      </c>
      <c r="F2798" s="846"/>
      <c r="G2798" s="847"/>
      <c r="H2798" s="848">
        <f>SUM(H2800:H2803)</f>
        <v>167.48999999999998</v>
      </c>
      <c r="I2798" s="276">
        <f>COUNTIF($C$8:$C2798,C:C)</f>
        <v>1</v>
      </c>
      <c r="J2798" s="368"/>
      <c r="K2798" s="368"/>
      <c r="L2798" s="368"/>
      <c r="M2798" s="368"/>
      <c r="N2798" s="368"/>
      <c r="O2798" s="368"/>
      <c r="P2798" s="368"/>
      <c r="Q2798" s="368"/>
      <c r="R2798" s="368"/>
      <c r="S2798" s="368"/>
      <c r="T2798" s="368"/>
      <c r="U2798" s="368"/>
      <c r="V2798" s="368"/>
      <c r="W2798" s="368"/>
      <c r="X2798" s="368"/>
      <c r="Y2798" s="368"/>
      <c r="Z2798" s="368"/>
      <c r="AA2798" s="368"/>
      <c r="AB2798" s="368"/>
    </row>
    <row r="2799" spans="1:31" ht="12.75">
      <c r="A2799" s="646" t="s">
        <v>14475</v>
      </c>
      <c r="B2799" s="763" t="s">
        <v>14476</v>
      </c>
      <c r="C2799" s="404">
        <v>94871</v>
      </c>
      <c r="D2799" s="490" t="s">
        <v>14602</v>
      </c>
      <c r="E2799" s="641"/>
      <c r="F2799" s="641"/>
      <c r="G2799" s="370"/>
      <c r="H2799" s="371"/>
      <c r="I2799" s="368"/>
      <c r="J2799" s="368"/>
      <c r="K2799" s="368"/>
      <c r="L2799" s="368"/>
      <c r="M2799" s="368"/>
      <c r="N2799" s="368"/>
      <c r="O2799" s="368"/>
      <c r="P2799" s="368"/>
      <c r="Q2799" s="368"/>
      <c r="R2799" s="368"/>
      <c r="S2799" s="368"/>
      <c r="T2799" s="368"/>
      <c r="U2799" s="368"/>
      <c r="V2799" s="368"/>
      <c r="W2799" s="368"/>
      <c r="X2799" s="368"/>
      <c r="Y2799" s="368"/>
      <c r="Z2799" s="368"/>
      <c r="AA2799" s="368"/>
      <c r="AB2799" s="368"/>
    </row>
    <row r="2800" spans="1:31" ht="30">
      <c r="A2800" s="854" t="s">
        <v>14478</v>
      </c>
      <c r="B2800" s="786" t="s">
        <v>14476</v>
      </c>
      <c r="C2800" s="677">
        <v>88246</v>
      </c>
      <c r="D2800" s="288" t="str">
        <f>IFERROR(VLOOKUP($C2800,'24.08_ND'!$A:$D,2,0),)</f>
        <v>ASSENTADOR DE TUBOS COM ENCARGOS COMPLEMENTARES</v>
      </c>
      <c r="E2800" s="289" t="str">
        <f>IFERROR(VLOOKUP($C2800,'24.08_ND'!$A:$D,3,0),)</f>
        <v>H</v>
      </c>
      <c r="F2800" s="787">
        <v>3.49E-2</v>
      </c>
      <c r="G2800" s="291">
        <f>IFERROR(VLOOKUP($C2800,'24.08_ND'!$A:$D,4,0),)</f>
        <v>13.03</v>
      </c>
      <c r="H2800" s="423">
        <f>TRUNC(($F2800*$G2800),2)</f>
        <v>0.45</v>
      </c>
      <c r="I2800" s="368"/>
      <c r="J2800" s="368"/>
      <c r="K2800" s="368"/>
      <c r="L2800" s="368"/>
      <c r="M2800" s="368"/>
      <c r="N2800" s="368"/>
      <c r="O2800" s="368"/>
      <c r="P2800" s="368"/>
      <c r="Q2800" s="368"/>
      <c r="R2800" s="368"/>
      <c r="S2800" s="368"/>
      <c r="T2800" s="368"/>
      <c r="U2800" s="368"/>
      <c r="V2800" s="368"/>
      <c r="W2800" s="368"/>
      <c r="X2800" s="368"/>
      <c r="Y2800" s="368"/>
      <c r="Z2800" s="368"/>
      <c r="AA2800" s="368"/>
      <c r="AB2800" s="368"/>
      <c r="AD2800" s="1791" t="e">
        <f>VLOOKUP(C2800,'Medição '!$B$16:$F$1833,6,0)</f>
        <v>#N/A</v>
      </c>
      <c r="AE2800" s="1791"/>
    </row>
    <row r="2801" spans="1:31" ht="30">
      <c r="A2801" s="854" t="s">
        <v>14478</v>
      </c>
      <c r="B2801" s="786" t="s">
        <v>14476</v>
      </c>
      <c r="C2801" s="677">
        <v>88316</v>
      </c>
      <c r="D2801" s="288" t="str">
        <f>IFERROR(VLOOKUP($C2801,'24.08_ND'!$A:$D,2,0),)</f>
        <v>SERVENTE COM ENCARGOS COMPLEMENTARES</v>
      </c>
      <c r="E2801" s="289" t="str">
        <f>IFERROR(VLOOKUP($C2801,'24.08_ND'!$A:$D,3,0),)</f>
        <v>H</v>
      </c>
      <c r="F2801" s="787">
        <v>3.49E-2</v>
      </c>
      <c r="G2801" s="291">
        <f>IFERROR(VLOOKUP($C2801,'24.08_ND'!$A:$D,4,0),)</f>
        <v>18.510000000000002</v>
      </c>
      <c r="H2801" s="423">
        <f>TRUNC(($F2801*$G2801),2)</f>
        <v>0.64</v>
      </c>
      <c r="I2801" s="368"/>
      <c r="J2801" s="368"/>
      <c r="K2801" s="368"/>
      <c r="L2801" s="368"/>
      <c r="M2801" s="368"/>
      <c r="N2801" s="368"/>
      <c r="O2801" s="368"/>
      <c r="P2801" s="368"/>
      <c r="Q2801" s="368"/>
      <c r="R2801" s="368"/>
      <c r="S2801" s="368"/>
      <c r="T2801" s="368"/>
      <c r="U2801" s="368"/>
      <c r="V2801" s="368"/>
      <c r="W2801" s="368"/>
      <c r="X2801" s="368"/>
      <c r="Y2801" s="368"/>
      <c r="Z2801" s="368"/>
      <c r="AA2801" s="368"/>
      <c r="AB2801" s="368"/>
      <c r="AD2801" s="1791" t="e">
        <f>VLOOKUP(C2801,'Medição '!$B$16:$F$1833,6,0)</f>
        <v>#N/A</v>
      </c>
      <c r="AE2801" s="1791"/>
    </row>
    <row r="2802" spans="1:31" ht="25.5">
      <c r="A2802" s="445" t="s">
        <v>14479</v>
      </c>
      <c r="B2802" s="446" t="s">
        <v>14476</v>
      </c>
      <c r="C2802" s="582">
        <v>20078</v>
      </c>
      <c r="D2802" s="296" t="str">
        <f>IFERROR(VLOOKUP($C2802,'24.08_ND'!$A:$D,2,0),)</f>
        <v>PASTA LUBRIFICANTE PARA TUBOS E CONEXOES COM JUNTA ELASTICA, EMBALAGEM DE *400* GR (USO EM PVC, ACO, POLIETILENO E OUTROS)</v>
      </c>
      <c r="E2802" s="297" t="str">
        <f>IFERROR(VLOOKUP($C2802,'24.08_ND'!$A:$D,3,0),)</f>
        <v>UN</v>
      </c>
      <c r="F2802" s="780">
        <v>4.1700000000000001E-2</v>
      </c>
      <c r="G2802" s="299">
        <f>IFERROR(VLOOKUP($C2802,'24.08_ND'!$A:$D,4,0),)</f>
        <v>28.92</v>
      </c>
      <c r="H2802" s="781">
        <f>TRUNC(($F2802*$G2802),2)</f>
        <v>1.2</v>
      </c>
      <c r="I2802" s="368"/>
      <c r="J2802" s="368"/>
      <c r="K2802" s="368"/>
      <c r="L2802" s="368"/>
      <c r="M2802" s="368"/>
      <c r="N2802" s="368"/>
      <c r="O2802" s="368"/>
      <c r="P2802" s="368"/>
      <c r="Q2802" s="368"/>
      <c r="R2802" s="368"/>
      <c r="S2802" s="368"/>
      <c r="T2802" s="368"/>
      <c r="U2802" s="368"/>
      <c r="V2802" s="368"/>
      <c r="W2802" s="368"/>
      <c r="X2802" s="368"/>
      <c r="Y2802" s="368"/>
      <c r="Z2802" s="368"/>
      <c r="AA2802" s="368"/>
      <c r="AB2802" s="368"/>
    </row>
    <row r="2803" spans="1:31" ht="25.5">
      <c r="A2803" s="445" t="s">
        <v>14479</v>
      </c>
      <c r="B2803" s="446" t="s">
        <v>14476</v>
      </c>
      <c r="C2803" s="582">
        <v>41780</v>
      </c>
      <c r="D2803" s="296" t="str">
        <f>IFERROR(VLOOKUP($C2803,'24.08_ND'!$A:$D,2,0),)</f>
        <v>TUBO CORRUGADO PEAD, PAREDE DUPLA, INTERNA LISA, JEI, DN/DI 300 MM, PARA SANEAMENTO (DRENAGEM/ESGOTO)</v>
      </c>
      <c r="E2803" s="297" t="str">
        <f>IFERROR(VLOOKUP($C2803,'24.08_ND'!$A:$D,3,0),)</f>
        <v>M</v>
      </c>
      <c r="F2803" s="780">
        <v>1.05</v>
      </c>
      <c r="G2803" s="299">
        <f>IFERROR(VLOOKUP($C2803,'24.08_ND'!$A:$D,4,0),)</f>
        <v>157.34</v>
      </c>
      <c r="H2803" s="781">
        <f>TRUNC(($F2803*$G2803),2)</f>
        <v>165.2</v>
      </c>
      <c r="I2803" s="368"/>
      <c r="J2803" s="368"/>
      <c r="K2803" s="368"/>
      <c r="L2803" s="368"/>
      <c r="M2803" s="368"/>
      <c r="N2803" s="368"/>
      <c r="O2803" s="368"/>
      <c r="P2803" s="368"/>
      <c r="Q2803" s="368"/>
      <c r="R2803" s="368"/>
      <c r="S2803" s="368"/>
      <c r="T2803" s="368"/>
      <c r="U2803" s="368"/>
      <c r="V2803" s="368"/>
      <c r="W2803" s="368"/>
      <c r="X2803" s="368"/>
      <c r="Y2803" s="368"/>
      <c r="Z2803" s="368"/>
      <c r="AA2803" s="368"/>
      <c r="AB2803" s="368"/>
    </row>
    <row r="2804" spans="1:31" ht="12.75">
      <c r="A2804" s="734"/>
      <c r="B2804" s="735"/>
      <c r="C2804" s="279"/>
      <c r="D2804" s="736"/>
      <c r="E2804" s="737"/>
      <c r="F2804" s="737"/>
      <c r="G2804" s="737"/>
      <c r="H2804" s="738"/>
      <c r="I2804" s="262"/>
      <c r="J2804" s="262"/>
      <c r="K2804" s="262"/>
      <c r="L2804" s="262"/>
      <c r="M2804" s="262"/>
      <c r="N2804" s="262"/>
      <c r="O2804" s="262"/>
      <c r="P2804" s="262"/>
      <c r="Q2804" s="262"/>
      <c r="R2804" s="262"/>
      <c r="S2804" s="262"/>
      <c r="T2804" s="262"/>
      <c r="U2804" s="262"/>
      <c r="V2804" s="262"/>
      <c r="W2804" s="262"/>
      <c r="X2804" s="262"/>
      <c r="Y2804" s="262"/>
      <c r="Z2804" s="262"/>
      <c r="AA2804" s="262"/>
      <c r="AB2804" s="262"/>
    </row>
    <row r="2805" spans="1:31" ht="12.75">
      <c r="A2805" s="358" t="s">
        <v>14471</v>
      </c>
      <c r="B2805" s="359" t="s">
        <v>14472</v>
      </c>
      <c r="C2805" s="359" t="s">
        <v>15436</v>
      </c>
      <c r="D2805" s="361" t="s">
        <v>15437</v>
      </c>
      <c r="E2805" s="359" t="s">
        <v>6</v>
      </c>
      <c r="F2805" s="693"/>
      <c r="G2805" s="362"/>
      <c r="H2805" s="363">
        <f>TRUNC(SUM(H2807:H2810),2)</f>
        <v>62.82</v>
      </c>
      <c r="I2805" s="276">
        <f>COUNTIF($C$8:$C2805,C:C)</f>
        <v>1</v>
      </c>
      <c r="J2805" s="368"/>
      <c r="K2805" s="368"/>
      <c r="L2805" s="368"/>
      <c r="M2805" s="368"/>
      <c r="N2805" s="368"/>
      <c r="O2805" s="368"/>
      <c r="P2805" s="368"/>
      <c r="Q2805" s="368"/>
      <c r="R2805" s="368"/>
      <c r="S2805" s="368"/>
      <c r="T2805" s="368"/>
      <c r="U2805" s="368"/>
      <c r="V2805" s="368"/>
      <c r="W2805" s="368"/>
      <c r="X2805" s="368"/>
      <c r="Y2805" s="368"/>
      <c r="Z2805" s="368"/>
      <c r="AA2805" s="368"/>
      <c r="AB2805" s="368"/>
    </row>
    <row r="2806" spans="1:31" ht="12.75">
      <c r="A2806" s="646" t="s">
        <v>14475</v>
      </c>
      <c r="B2806" s="694" t="s">
        <v>14476</v>
      </c>
      <c r="C2806" s="365">
        <v>86914</v>
      </c>
      <c r="D2806" s="490" t="s">
        <v>14587</v>
      </c>
      <c r="E2806" s="641"/>
      <c r="F2806" s="856"/>
      <c r="G2806" s="370"/>
      <c r="H2806" s="371"/>
      <c r="I2806" s="368"/>
      <c r="J2806" s="368"/>
      <c r="K2806" s="368"/>
      <c r="L2806" s="368"/>
      <c r="M2806" s="368"/>
      <c r="N2806" s="368"/>
      <c r="O2806" s="368"/>
      <c r="P2806" s="368"/>
      <c r="Q2806" s="368"/>
      <c r="R2806" s="368"/>
      <c r="S2806" s="368"/>
      <c r="T2806" s="368"/>
      <c r="U2806" s="368"/>
      <c r="V2806" s="368"/>
      <c r="W2806" s="368"/>
      <c r="X2806" s="368"/>
      <c r="Y2806" s="368"/>
      <c r="Z2806" s="368"/>
      <c r="AA2806" s="368"/>
      <c r="AB2806" s="368"/>
    </row>
    <row r="2807" spans="1:31" ht="25.5">
      <c r="A2807" s="586" t="s">
        <v>14478</v>
      </c>
      <c r="B2807" s="421" t="s">
        <v>14476</v>
      </c>
      <c r="C2807" s="422">
        <v>88267</v>
      </c>
      <c r="D2807" s="288" t="str">
        <f>IFERROR(VLOOKUP($C2807,'24.08_ND'!$A:$D,2,0),)</f>
        <v>ENCANADOR OU BOMBEIRO HIDRÁULICO COM ENCARGOS COMPLEMENTARES</v>
      </c>
      <c r="E2807" s="289" t="str">
        <f>IFERROR(VLOOKUP($C2807,'24.08_ND'!$A:$D,3,0),)</f>
        <v>H</v>
      </c>
      <c r="F2807" s="697">
        <v>0.1525</v>
      </c>
      <c r="G2807" s="291">
        <f>IFERROR(VLOOKUP($C2807,'24.08_ND'!$A:$D,4,0),)</f>
        <v>23.27</v>
      </c>
      <c r="H2807" s="423">
        <f>TRUNC(($F2807*$G2807),2)</f>
        <v>3.54</v>
      </c>
      <c r="I2807" s="368"/>
      <c r="J2807" s="368"/>
      <c r="K2807" s="368"/>
      <c r="L2807" s="368"/>
      <c r="M2807" s="368"/>
      <c r="N2807" s="368"/>
      <c r="O2807" s="368"/>
      <c r="P2807" s="368"/>
      <c r="Q2807" s="368"/>
      <c r="R2807" s="368"/>
      <c r="S2807" s="368"/>
      <c r="T2807" s="368"/>
      <c r="U2807" s="368"/>
      <c r="V2807" s="368"/>
      <c r="W2807" s="368"/>
      <c r="X2807" s="368"/>
      <c r="Y2807" s="368"/>
      <c r="Z2807" s="368"/>
      <c r="AA2807" s="368"/>
      <c r="AB2807" s="368"/>
      <c r="AD2807" s="1791" t="e">
        <f>VLOOKUP(C2807,'Medição '!$B$16:$F$1833,6,0)</f>
        <v>#N/A</v>
      </c>
      <c r="AE2807" s="1791"/>
    </row>
    <row r="2808" spans="1:31" ht="25.5">
      <c r="A2808" s="586" t="s">
        <v>14478</v>
      </c>
      <c r="B2808" s="421" t="s">
        <v>14476</v>
      </c>
      <c r="C2808" s="422">
        <v>88316</v>
      </c>
      <c r="D2808" s="288" t="str">
        <f>IFERROR(VLOOKUP($C2808,'24.08_ND'!$A:$D,2,0),)</f>
        <v>SERVENTE COM ENCARGOS COMPLEMENTARES</v>
      </c>
      <c r="E2808" s="289" t="str">
        <f>IFERROR(VLOOKUP($C2808,'24.08_ND'!$A:$D,3,0),)</f>
        <v>H</v>
      </c>
      <c r="F2808" s="697">
        <v>4.8099999999999997E-2</v>
      </c>
      <c r="G2808" s="291">
        <f>IFERROR(VLOOKUP($C2808,'24.08_ND'!$A:$D,4,0),)</f>
        <v>18.510000000000002</v>
      </c>
      <c r="H2808" s="423">
        <f>TRUNC(($F2808*$G2808),2)</f>
        <v>0.89</v>
      </c>
      <c r="I2808" s="368"/>
      <c r="J2808" s="368"/>
      <c r="K2808" s="368"/>
      <c r="L2808" s="368"/>
      <c r="M2808" s="368"/>
      <c r="N2808" s="368"/>
      <c r="O2808" s="368"/>
      <c r="P2808" s="368"/>
      <c r="Q2808" s="368"/>
      <c r="R2808" s="368"/>
      <c r="S2808" s="368"/>
      <c r="T2808" s="368"/>
      <c r="U2808" s="368"/>
      <c r="V2808" s="368"/>
      <c r="W2808" s="368"/>
      <c r="X2808" s="368"/>
      <c r="Y2808" s="368"/>
      <c r="Z2808" s="368"/>
      <c r="AA2808" s="368"/>
      <c r="AB2808" s="368"/>
      <c r="AD2808" s="1791" t="e">
        <f>VLOOKUP(C2808,'Medição '!$B$16:$F$1833,6,0)</f>
        <v>#N/A</v>
      </c>
      <c r="AE2808" s="1791"/>
    </row>
    <row r="2809" spans="1:31" ht="12.75">
      <c r="A2809" s="445" t="s">
        <v>14479</v>
      </c>
      <c r="B2809" s="446" t="s">
        <v>14476</v>
      </c>
      <c r="C2809" s="447">
        <v>3146</v>
      </c>
      <c r="D2809" s="296" t="str">
        <f>IFERROR(VLOOKUP($C2809,'24.08_ND'!$A:$D,2,0),)</f>
        <v>FITA VEDA ROSCA EM ROLOS DE 18 MM X 10 M (L X C)</v>
      </c>
      <c r="E2809" s="297" t="str">
        <f>IFERROR(VLOOKUP($C2809,'24.08_ND'!$A:$D,3,0),)</f>
        <v>UN</v>
      </c>
      <c r="F2809" s="840">
        <v>2.1000000000000001E-2</v>
      </c>
      <c r="G2809" s="299">
        <f>IFERROR(VLOOKUP($C2809,'24.08_ND'!$A:$D,4,0),)</f>
        <v>3.59</v>
      </c>
      <c r="H2809" s="449">
        <f>TRUNC(($F2809*$G2809),2)</f>
        <v>7.0000000000000007E-2</v>
      </c>
      <c r="I2809" s="368"/>
      <c r="J2809" s="368"/>
      <c r="K2809" s="368"/>
      <c r="L2809" s="368"/>
      <c r="M2809" s="368"/>
      <c r="N2809" s="368"/>
      <c r="O2809" s="368"/>
      <c r="P2809" s="368"/>
      <c r="Q2809" s="368"/>
      <c r="R2809" s="368"/>
      <c r="S2809" s="368"/>
      <c r="T2809" s="368"/>
      <c r="U2809" s="368"/>
      <c r="V2809" s="368"/>
      <c r="W2809" s="368"/>
      <c r="X2809" s="368"/>
      <c r="Y2809" s="368"/>
      <c r="Z2809" s="368"/>
      <c r="AA2809" s="368"/>
      <c r="AB2809" s="368"/>
    </row>
    <row r="2810" spans="1:31" ht="25.5">
      <c r="A2810" s="445" t="s">
        <v>14479</v>
      </c>
      <c r="B2810" s="446" t="s">
        <v>14476</v>
      </c>
      <c r="C2810" s="447">
        <v>11762</v>
      </c>
      <c r="D2810" s="296" t="str">
        <f>IFERROR(VLOOKUP($C2810,'24.08_ND'!$A:$D,2,0),)</f>
        <v>TORNEIRA METALICA CROMADA PARA JARDIM / TANQUE, COM BICO PLASTICO, CANO LONGO, DE PAREDE, PADRAO POPULAR / USO GERAL, 1/2" OU 3/4" (REF 1153 / 1130)</v>
      </c>
      <c r="E2810" s="297" t="str">
        <f>IFERROR(VLOOKUP($C2810,'24.08_ND'!$A:$D,3,0),)</f>
        <v>UN</v>
      </c>
      <c r="F2810" s="840">
        <v>1</v>
      </c>
      <c r="G2810" s="299">
        <f>IFERROR(VLOOKUP($C2810,'24.08_ND'!$A:$D,4,0),)</f>
        <v>58.32</v>
      </c>
      <c r="H2810" s="449">
        <f>TRUNC(($F2810*$G2810),2)</f>
        <v>58.32</v>
      </c>
      <c r="I2810" s="368"/>
      <c r="J2810" s="368"/>
      <c r="K2810" s="368"/>
      <c r="L2810" s="368"/>
      <c r="M2810" s="368"/>
      <c r="N2810" s="368"/>
      <c r="O2810" s="368"/>
      <c r="P2810" s="368"/>
      <c r="Q2810" s="368"/>
      <c r="R2810" s="368"/>
      <c r="S2810" s="368"/>
      <c r="T2810" s="368"/>
      <c r="U2810" s="368"/>
      <c r="V2810" s="368"/>
      <c r="W2810" s="368"/>
      <c r="X2810" s="368"/>
      <c r="Y2810" s="368"/>
      <c r="Z2810" s="368"/>
      <c r="AA2810" s="368"/>
      <c r="AB2810" s="368"/>
    </row>
    <row r="2811" spans="1:31" ht="12.75">
      <c r="A2811" s="734"/>
      <c r="B2811" s="735"/>
      <c r="C2811" s="279"/>
      <c r="D2811" s="736"/>
      <c r="E2811" s="737"/>
      <c r="F2811" s="737"/>
      <c r="G2811" s="737"/>
      <c r="H2811" s="738"/>
      <c r="I2811" s="262"/>
      <c r="J2811" s="262"/>
      <c r="K2811" s="262"/>
      <c r="L2811" s="262"/>
      <c r="M2811" s="262"/>
      <c r="N2811" s="262"/>
      <c r="O2811" s="262"/>
      <c r="P2811" s="262"/>
      <c r="Q2811" s="262"/>
      <c r="R2811" s="262"/>
      <c r="S2811" s="262"/>
      <c r="T2811" s="262"/>
      <c r="U2811" s="262"/>
      <c r="V2811" s="262"/>
      <c r="W2811" s="262"/>
      <c r="X2811" s="262"/>
      <c r="Y2811" s="262"/>
      <c r="Z2811" s="262"/>
      <c r="AA2811" s="262"/>
      <c r="AB2811" s="262"/>
    </row>
    <row r="2812" spans="1:31" ht="25.5">
      <c r="A2812" s="358" t="s">
        <v>14471</v>
      </c>
      <c r="B2812" s="359" t="s">
        <v>14472</v>
      </c>
      <c r="C2812" s="359" t="s">
        <v>15438</v>
      </c>
      <c r="D2812" s="361" t="s">
        <v>15439</v>
      </c>
      <c r="E2812" s="359" t="s">
        <v>6</v>
      </c>
      <c r="F2812" s="362"/>
      <c r="G2812" s="362"/>
      <c r="H2812" s="363">
        <f>TRUNC(SUM(H2814:H2828),2)</f>
        <v>609.9</v>
      </c>
      <c r="I2812" s="276">
        <f>COUNTIF($C$8:$C2812,C:C)</f>
        <v>1</v>
      </c>
      <c r="J2812" s="368"/>
      <c r="K2812" s="368"/>
      <c r="L2812" s="368"/>
      <c r="M2812" s="368"/>
      <c r="N2812" s="368"/>
      <c r="O2812" s="368"/>
      <c r="P2812" s="368"/>
      <c r="Q2812" s="368"/>
      <c r="R2812" s="368"/>
      <c r="S2812" s="368"/>
      <c r="T2812" s="368"/>
      <c r="U2812" s="368"/>
      <c r="V2812" s="368"/>
      <c r="W2812" s="368"/>
      <c r="X2812" s="368"/>
      <c r="Y2812" s="368"/>
      <c r="Z2812" s="368"/>
      <c r="AA2812" s="368"/>
      <c r="AB2812" s="368"/>
    </row>
    <row r="2813" spans="1:31" ht="12.75">
      <c r="A2813" s="646" t="s">
        <v>14475</v>
      </c>
      <c r="B2813" s="694" t="s">
        <v>14476</v>
      </c>
      <c r="C2813" s="365">
        <v>99260</v>
      </c>
      <c r="D2813" s="490" t="s">
        <v>14587</v>
      </c>
      <c r="E2813" s="641"/>
      <c r="F2813" s="642"/>
      <c r="G2813" s="370"/>
      <c r="H2813" s="371"/>
      <c r="I2813" s="368"/>
      <c r="J2813" s="368"/>
      <c r="K2813" s="368"/>
      <c r="L2813" s="368"/>
      <c r="M2813" s="368"/>
      <c r="N2813" s="368"/>
      <c r="O2813" s="368"/>
      <c r="P2813" s="368"/>
      <c r="Q2813" s="368"/>
      <c r="R2813" s="368"/>
      <c r="S2813" s="368"/>
      <c r="T2813" s="368"/>
      <c r="U2813" s="368"/>
      <c r="V2813" s="368"/>
      <c r="W2813" s="368"/>
      <c r="X2813" s="368"/>
      <c r="Y2813" s="368"/>
      <c r="Z2813" s="368"/>
      <c r="AA2813" s="368"/>
      <c r="AB2813" s="368"/>
    </row>
    <row r="2814" spans="1:31" ht="51">
      <c r="A2814" s="586" t="s">
        <v>14478</v>
      </c>
      <c r="B2814" s="421" t="s">
        <v>14476</v>
      </c>
      <c r="C2814" s="422">
        <v>5678</v>
      </c>
      <c r="D2814" s="288" t="str">
        <f>IFERROR(VLOOKUP($C2814,'24.08_ND'!$A:$D,2,0),)</f>
        <v>RETROESCAVADEIRA SOBRE RODAS COM CARREGADEIRA, TRAÇÃO 4X4, POTÊNCIA LÍQ. 88 HP, CAÇAMBA CARREG. CAP. MÍN. 1 M3, CAÇAMBA RETRO CAP. 0,26 M3, PESO OPERACIONAL MÍN. 6.674 KG, PROFUNDIDADE ESCAVAÇÃO MÁX. 4,37 M - CHP DIURNO. AF_06/2014</v>
      </c>
      <c r="E2814" s="289" t="str">
        <f>IFERROR(VLOOKUP($C2814,'24.08_ND'!$A:$D,3,0),)</f>
        <v>CHP</v>
      </c>
      <c r="F2814" s="859">
        <v>8.6999999999999994E-3</v>
      </c>
      <c r="G2814" s="291">
        <f>IFERROR(VLOOKUP($C2814,'24.08_ND'!$A:$D,4,0),)</f>
        <v>124.7</v>
      </c>
      <c r="H2814" s="423">
        <f t="shared" ref="H2814:H2828" si="94">TRUNC(($F2814*$G2814),2)</f>
        <v>1.08</v>
      </c>
      <c r="I2814" s="368"/>
      <c r="J2814" s="368"/>
      <c r="K2814" s="368"/>
      <c r="L2814" s="368"/>
      <c r="M2814" s="368"/>
      <c r="N2814" s="368"/>
      <c r="O2814" s="368"/>
      <c r="P2814" s="368"/>
      <c r="Q2814" s="368"/>
      <c r="R2814" s="368"/>
      <c r="S2814" s="368"/>
      <c r="T2814" s="368"/>
      <c r="U2814" s="368"/>
      <c r="V2814" s="368"/>
      <c r="W2814" s="368"/>
      <c r="X2814" s="368"/>
      <c r="Y2814" s="368"/>
      <c r="Z2814" s="368"/>
      <c r="AA2814" s="368"/>
      <c r="AB2814" s="368"/>
      <c r="AD2814" s="1791" t="e">
        <f>VLOOKUP(C2814,'Medição '!$B$16:$F$1833,6,0)</f>
        <v>#N/A</v>
      </c>
      <c r="AE2814" s="1791"/>
    </row>
    <row r="2815" spans="1:31" ht="51">
      <c r="A2815" s="586" t="s">
        <v>14478</v>
      </c>
      <c r="B2815" s="421" t="s">
        <v>14476</v>
      </c>
      <c r="C2815" s="422">
        <v>5679</v>
      </c>
      <c r="D2815" s="288" t="str">
        <f>IFERROR(VLOOKUP($C2815,'24.08_ND'!$A:$D,2,0),)</f>
        <v>RETROESCAVADEIRA SOBRE RODAS COM CARREGADEIRA, TRAÇÃO 4X4, POTÊNCIA LÍQ. 88 HP, CAÇAMBA CARREG. CAP. MÍN. 1 M3, CAÇAMBA RETRO CAP. 0,26 M3, PESO OPERACIONAL MÍN. 6.674 KG, PROFUNDIDADE ESCAVAÇÃO MÁX. 4,37 M - CHI DIURNO. AF_06/2014</v>
      </c>
      <c r="E2815" s="289" t="str">
        <f>IFERROR(VLOOKUP($C2815,'24.08_ND'!$A:$D,3,0),)</f>
        <v>CHI</v>
      </c>
      <c r="F2815" s="860">
        <v>1.78E-2</v>
      </c>
      <c r="G2815" s="291">
        <f>IFERROR(VLOOKUP($C2815,'24.08_ND'!$A:$D,4,0),)</f>
        <v>50.18</v>
      </c>
      <c r="H2815" s="423">
        <f t="shared" si="94"/>
        <v>0.89</v>
      </c>
      <c r="I2815" s="368"/>
      <c r="J2815" s="368"/>
      <c r="K2815" s="368"/>
      <c r="L2815" s="368"/>
      <c r="M2815" s="368"/>
      <c r="N2815" s="368"/>
      <c r="O2815" s="368"/>
      <c r="P2815" s="368"/>
      <c r="Q2815" s="368"/>
      <c r="R2815" s="368"/>
      <c r="S2815" s="368"/>
      <c r="T2815" s="368"/>
      <c r="U2815" s="368"/>
      <c r="V2815" s="368"/>
      <c r="W2815" s="368"/>
      <c r="X2815" s="368"/>
      <c r="Y2815" s="368"/>
      <c r="Z2815" s="368"/>
      <c r="AA2815" s="368"/>
      <c r="AB2815" s="368"/>
      <c r="AD2815" s="1791" t="e">
        <f>VLOOKUP(C2815,'Medição '!$B$16:$F$1833,6,0)</f>
        <v>#N/A</v>
      </c>
      <c r="AE2815" s="1791"/>
    </row>
    <row r="2816" spans="1:31" ht="25.5">
      <c r="A2816" s="586" t="s">
        <v>14478</v>
      </c>
      <c r="B2816" s="421" t="s">
        <v>14476</v>
      </c>
      <c r="C2816" s="422">
        <v>87316</v>
      </c>
      <c r="D2816" s="288" t="str">
        <f>IFERROR(VLOOKUP($C2816,'24.08_ND'!$A:$D,2,0),)</f>
        <v>ARGAMASSA TRAÇO 1:4 (EM VOLUME DE CIMENTO E AREIA GROSSA ÚMIDA) PARA CHAPISCO CONVENCIONAL, PREPARO MECÂNICO COM BETONEIRA 400 L. AF_08/2019</v>
      </c>
      <c r="E2816" s="289" t="str">
        <f>IFERROR(VLOOKUP($C2816,'24.08_ND'!$A:$D,3,0),)</f>
        <v>M3</v>
      </c>
      <c r="F2816" s="859">
        <f>0.0148*2</f>
        <v>2.9600000000000001E-2</v>
      </c>
      <c r="G2816" s="291">
        <f>IFERROR(VLOOKUP($C2816,'24.08_ND'!$A:$D,4,0),)</f>
        <v>467.38</v>
      </c>
      <c r="H2816" s="423">
        <f t="shared" si="94"/>
        <v>13.83</v>
      </c>
      <c r="I2816" s="368"/>
      <c r="J2816" s="368"/>
      <c r="K2816" s="368"/>
      <c r="L2816" s="368"/>
      <c r="M2816" s="368"/>
      <c r="N2816" s="368"/>
      <c r="O2816" s="368"/>
      <c r="P2816" s="368"/>
      <c r="Q2816" s="368"/>
      <c r="R2816" s="368"/>
      <c r="S2816" s="368"/>
      <c r="T2816" s="368"/>
      <c r="U2816" s="368"/>
      <c r="V2816" s="368"/>
      <c r="W2816" s="368"/>
      <c r="X2816" s="368"/>
      <c r="Y2816" s="368"/>
      <c r="Z2816" s="368"/>
      <c r="AA2816" s="368"/>
      <c r="AB2816" s="368"/>
      <c r="AD2816" s="1791" t="e">
        <f>VLOOKUP(C2816,'Medição '!$B$16:$F$1833,6,0)</f>
        <v>#N/A</v>
      </c>
      <c r="AE2816" s="1791"/>
    </row>
    <row r="2817" spans="1:31" ht="25.5">
      <c r="A2817" s="586" t="s">
        <v>14478</v>
      </c>
      <c r="B2817" s="421" t="s">
        <v>14476</v>
      </c>
      <c r="C2817" s="422">
        <v>88309</v>
      </c>
      <c r="D2817" s="288" t="str">
        <f>IFERROR(VLOOKUP($C2817,'24.08_ND'!$A:$D,2,0),)</f>
        <v>PEDREIRO COM ENCARGOS COMPLEMENTARES</v>
      </c>
      <c r="E2817" s="289" t="str">
        <f>IFERROR(VLOOKUP($C2817,'24.08_ND'!$A:$D,3,0),)</f>
        <v>H</v>
      </c>
      <c r="F2817" s="859">
        <v>3.5684</v>
      </c>
      <c r="G2817" s="291">
        <f>IFERROR(VLOOKUP($C2817,'24.08_ND'!$A:$D,4,0),)</f>
        <v>23.33</v>
      </c>
      <c r="H2817" s="423">
        <f t="shared" si="94"/>
        <v>83.25</v>
      </c>
      <c r="I2817" s="368"/>
      <c r="J2817" s="368"/>
      <c r="K2817" s="368"/>
      <c r="L2817" s="368"/>
      <c r="M2817" s="368"/>
      <c r="N2817" s="368"/>
      <c r="O2817" s="368"/>
      <c r="P2817" s="368"/>
      <c r="Q2817" s="368"/>
      <c r="R2817" s="368"/>
      <c r="S2817" s="368"/>
      <c r="T2817" s="368"/>
      <c r="U2817" s="368"/>
      <c r="V2817" s="368"/>
      <c r="W2817" s="368"/>
      <c r="X2817" s="368"/>
      <c r="Y2817" s="368"/>
      <c r="Z2817" s="368"/>
      <c r="AA2817" s="368"/>
      <c r="AB2817" s="368"/>
      <c r="AD2817" s="1791" t="e">
        <f>VLOOKUP(C2817,'Medição '!$B$16:$F$1833,6,0)</f>
        <v>#N/A</v>
      </c>
      <c r="AE2817" s="1791"/>
    </row>
    <row r="2818" spans="1:31" ht="25.5">
      <c r="A2818" s="586" t="s">
        <v>14478</v>
      </c>
      <c r="B2818" s="421" t="s">
        <v>14476</v>
      </c>
      <c r="C2818" s="422">
        <v>88316</v>
      </c>
      <c r="D2818" s="288" t="str">
        <f>IFERROR(VLOOKUP($C2818,'24.08_ND'!$A:$D,2,0),)</f>
        <v>SERVENTE COM ENCARGOS COMPLEMENTARES</v>
      </c>
      <c r="E2818" s="289" t="str">
        <f>IFERROR(VLOOKUP($C2818,'24.08_ND'!$A:$D,3,0),)</f>
        <v>H</v>
      </c>
      <c r="F2818" s="860">
        <v>2.8037999999999998</v>
      </c>
      <c r="G2818" s="291">
        <f>IFERROR(VLOOKUP($C2818,'24.08_ND'!$A:$D,4,0),)</f>
        <v>18.510000000000002</v>
      </c>
      <c r="H2818" s="423">
        <f t="shared" si="94"/>
        <v>51.89</v>
      </c>
      <c r="I2818" s="368"/>
      <c r="J2818" s="368"/>
      <c r="K2818" s="368"/>
      <c r="L2818" s="368"/>
      <c r="M2818" s="368"/>
      <c r="N2818" s="368"/>
      <c r="O2818" s="368"/>
      <c r="P2818" s="368"/>
      <c r="Q2818" s="368"/>
      <c r="R2818" s="368"/>
      <c r="S2818" s="368"/>
      <c r="T2818" s="368"/>
      <c r="U2818" s="368"/>
      <c r="V2818" s="368"/>
      <c r="W2818" s="368"/>
      <c r="X2818" s="368"/>
      <c r="Y2818" s="368"/>
      <c r="Z2818" s="368"/>
      <c r="AA2818" s="368"/>
      <c r="AB2818" s="368"/>
      <c r="AD2818" s="1791" t="e">
        <f>VLOOKUP(C2818,'Medição '!$B$16:$F$1833,6,0)</f>
        <v>#N/A</v>
      </c>
      <c r="AE2818" s="1791"/>
    </row>
    <row r="2819" spans="1:31" ht="25.5">
      <c r="A2819" s="586" t="s">
        <v>14478</v>
      </c>
      <c r="B2819" s="421" t="s">
        <v>14476</v>
      </c>
      <c r="C2819" s="422">
        <v>88628</v>
      </c>
      <c r="D2819" s="288" t="str">
        <f>IFERROR(VLOOKUP($C2819,'24.08_ND'!$A:$D,2,0),)</f>
        <v>ARGAMASSA TRAÇO 1:3 (EM VOLUME DE CIMENTO E AREIA MÉDIA ÚMIDA), PREPARO MECÂNICO COM BETONEIRA 400 L. AF_08/2019</v>
      </c>
      <c r="E2819" s="289" t="str">
        <f>IFERROR(VLOOKUP($C2819,'24.08_ND'!$A:$D,3,0),)</f>
        <v>M3</v>
      </c>
      <c r="F2819" s="859">
        <f>0.0728*2</f>
        <v>0.14560000000000001</v>
      </c>
      <c r="G2819" s="291">
        <f>IFERROR(VLOOKUP($C2819,'24.08_ND'!$A:$D,4,0),)</f>
        <v>553.9</v>
      </c>
      <c r="H2819" s="423">
        <f t="shared" si="94"/>
        <v>80.64</v>
      </c>
      <c r="I2819" s="368"/>
      <c r="J2819" s="368"/>
      <c r="K2819" s="368"/>
      <c r="L2819" s="368"/>
      <c r="M2819" s="368"/>
      <c r="N2819" s="368"/>
      <c r="O2819" s="368"/>
      <c r="P2819" s="368"/>
      <c r="Q2819" s="368"/>
      <c r="R2819" s="368"/>
      <c r="S2819" s="368"/>
      <c r="T2819" s="368"/>
      <c r="U2819" s="368"/>
      <c r="V2819" s="368"/>
      <c r="W2819" s="368"/>
      <c r="X2819" s="368"/>
      <c r="Y2819" s="368"/>
      <c r="Z2819" s="368"/>
      <c r="AA2819" s="368"/>
      <c r="AB2819" s="368"/>
      <c r="AD2819" s="1791" t="e">
        <f>VLOOKUP(C2819,'Medição '!$B$16:$F$1833,6,0)</f>
        <v>#N/A</v>
      </c>
      <c r="AE2819" s="1791"/>
    </row>
    <row r="2820" spans="1:31" ht="25.5">
      <c r="A2820" s="586" t="s">
        <v>14478</v>
      </c>
      <c r="B2820" s="421" t="s">
        <v>14476</v>
      </c>
      <c r="C2820" s="422">
        <v>94970</v>
      </c>
      <c r="D2820" s="288" t="str">
        <f>IFERROR(VLOOKUP($C2820,'24.08_ND'!$A:$D,2,0),)</f>
        <v>CONCRETO FCK = 20MPA, TRAÇO 1:2,7:3 (EM MASSA SECA DE CIMENTO/ AREIA MÉDIA/ BRITA 1) - PREPARO MECÂNICO COM BETONEIRA 600 L. AF_05/2021</v>
      </c>
      <c r="E2820" s="289" t="str">
        <f>IFERROR(VLOOKUP($C2820,'24.08_ND'!$A:$D,3,0),)</f>
        <v>M3</v>
      </c>
      <c r="F2820" s="859">
        <f>0.0744*2</f>
        <v>0.14879999999999999</v>
      </c>
      <c r="G2820" s="291">
        <f>IFERROR(VLOOKUP($C2820,'24.08_ND'!$A:$D,4,0),)</f>
        <v>479.63</v>
      </c>
      <c r="H2820" s="423">
        <f t="shared" si="94"/>
        <v>71.36</v>
      </c>
      <c r="I2820" s="368"/>
      <c r="J2820" s="368"/>
      <c r="K2820" s="368"/>
      <c r="L2820" s="368"/>
      <c r="M2820" s="368"/>
      <c r="N2820" s="368"/>
      <c r="O2820" s="368"/>
      <c r="P2820" s="368"/>
      <c r="Q2820" s="368"/>
      <c r="R2820" s="368"/>
      <c r="S2820" s="368"/>
      <c r="T2820" s="368"/>
      <c r="U2820" s="368"/>
      <c r="V2820" s="368"/>
      <c r="W2820" s="368"/>
      <c r="X2820" s="368"/>
      <c r="Y2820" s="368"/>
      <c r="Z2820" s="368"/>
      <c r="AA2820" s="368"/>
      <c r="AB2820" s="368"/>
      <c r="AD2820" s="1791" t="e">
        <f>VLOOKUP(C2820,'Medição '!$B$16:$F$1833,6,0)</f>
        <v>#N/A</v>
      </c>
      <c r="AE2820" s="1791"/>
    </row>
    <row r="2821" spans="1:31" ht="25.5">
      <c r="A2821" s="586" t="s">
        <v>14478</v>
      </c>
      <c r="B2821" s="421" t="s">
        <v>14476</v>
      </c>
      <c r="C2821" s="422">
        <v>101616</v>
      </c>
      <c r="D2821" s="288" t="str">
        <f>IFERROR(VLOOKUP($C2821,'24.08_ND'!$A:$D,2,0),)</f>
        <v>PREPARO DE FUNDO DE VALA COM LARGURA MENOR QUE 1,5 M (ACERTO DO SOLO NATURAL). AF_08/2020</v>
      </c>
      <c r="E2821" s="289" t="str">
        <f>IFERROR(VLOOKUP($C2821,'24.08_ND'!$A:$D,3,0),)</f>
        <v>M2</v>
      </c>
      <c r="F2821" s="859">
        <v>0.81</v>
      </c>
      <c r="G2821" s="291">
        <f>IFERROR(VLOOKUP($C2821,'24.08_ND'!$A:$D,4,0),)</f>
        <v>5.37</v>
      </c>
      <c r="H2821" s="423">
        <f t="shared" si="94"/>
        <v>4.34</v>
      </c>
      <c r="I2821" s="368"/>
      <c r="J2821" s="368"/>
      <c r="K2821" s="368"/>
      <c r="L2821" s="368"/>
      <c r="M2821" s="368"/>
      <c r="N2821" s="368"/>
      <c r="O2821" s="368"/>
      <c r="P2821" s="368"/>
      <c r="Q2821" s="368"/>
      <c r="R2821" s="368"/>
      <c r="S2821" s="368"/>
      <c r="T2821" s="368"/>
      <c r="U2821" s="368"/>
      <c r="V2821" s="368"/>
      <c r="W2821" s="368"/>
      <c r="X2821" s="368"/>
      <c r="Y2821" s="368"/>
      <c r="Z2821" s="368"/>
      <c r="AA2821" s="368"/>
      <c r="AB2821" s="368"/>
      <c r="AD2821" s="1791" t="e">
        <f>VLOOKUP(C2821,'Medição '!$B$16:$F$1833,6,0)</f>
        <v>#REF!</v>
      </c>
      <c r="AE2821" s="1791"/>
    </row>
    <row r="2822" spans="1:31" ht="25.5">
      <c r="A2822" s="586" t="s">
        <v>14478</v>
      </c>
      <c r="B2822" s="421" t="s">
        <v>14476</v>
      </c>
      <c r="C2822" s="422">
        <v>97735</v>
      </c>
      <c r="D2822" s="288" t="str">
        <f>IFERROR(VLOOKUP($C2822,'24.08_ND'!$A:$D,2,0),)</f>
        <v>PEÇA RETANGULAR PRÉ-MOLDADA, VOLUME DE CONCRETO DE 30 A 100 LITROS, TAXA DE AÇO APROXIMADA DE 30KG/M³. AF_03/2024</v>
      </c>
      <c r="E2822" s="289" t="str">
        <f>IFERROR(VLOOKUP($C2822,'24.08_ND'!$A:$D,3,0),)</f>
        <v>M3</v>
      </c>
      <c r="F2822" s="860">
        <v>4.48E-2</v>
      </c>
      <c r="G2822" s="291">
        <f>IFERROR(VLOOKUP($C2822,'24.08_ND'!$A:$D,4,0),)</f>
        <v>2226.92</v>
      </c>
      <c r="H2822" s="423">
        <f t="shared" si="94"/>
        <v>99.76</v>
      </c>
      <c r="I2822" s="368"/>
      <c r="J2822" s="368"/>
      <c r="K2822" s="368"/>
      <c r="L2822" s="368"/>
      <c r="M2822" s="368"/>
      <c r="N2822" s="368"/>
      <c r="O2822" s="368"/>
      <c r="P2822" s="368"/>
      <c r="Q2822" s="368"/>
      <c r="R2822" s="368"/>
      <c r="S2822" s="368"/>
      <c r="T2822" s="368"/>
      <c r="U2822" s="368"/>
      <c r="V2822" s="368"/>
      <c r="W2822" s="368"/>
      <c r="X2822" s="368"/>
      <c r="Y2822" s="368"/>
      <c r="Z2822" s="368"/>
      <c r="AA2822" s="368"/>
      <c r="AB2822" s="368"/>
      <c r="AD2822" s="1791" t="e">
        <f>VLOOKUP(C2822,'Medição '!$B$16:$F$1833,6,0)</f>
        <v>#N/A</v>
      </c>
      <c r="AE2822" s="1791"/>
    </row>
    <row r="2823" spans="1:31" ht="12.75">
      <c r="A2823" s="445" t="s">
        <v>14479</v>
      </c>
      <c r="B2823" s="446" t="s">
        <v>14476</v>
      </c>
      <c r="C2823" s="582">
        <v>650</v>
      </c>
      <c r="D2823" s="296" t="str">
        <f>IFERROR(VLOOKUP($C2823,'24.08_ND'!$A:$D,2,0),)</f>
        <v>BLOCO DE VEDACAO DE CONCRETO, 9 X 19 X 39 CM (CLASSE C - NBR 6136)</v>
      </c>
      <c r="E2823" s="297" t="str">
        <f>IFERROR(VLOOKUP($C2823,'24.08_ND'!$A:$D,3,0),)</f>
        <v>UN</v>
      </c>
      <c r="F2823" s="861">
        <v>57.95671875</v>
      </c>
      <c r="G2823" s="299">
        <f>IFERROR(VLOOKUP($C2823,'24.08_ND'!$A:$D,4,0),)</f>
        <v>3.09</v>
      </c>
      <c r="H2823" s="449">
        <f t="shared" si="94"/>
        <v>179.08</v>
      </c>
      <c r="I2823" s="368"/>
      <c r="J2823" s="368"/>
      <c r="K2823" s="368"/>
      <c r="L2823" s="368"/>
      <c r="M2823" s="368"/>
      <c r="N2823" s="368"/>
      <c r="O2823" s="368"/>
      <c r="P2823" s="368"/>
      <c r="Q2823" s="368"/>
      <c r="R2823" s="368"/>
      <c r="S2823" s="368"/>
      <c r="T2823" s="368"/>
      <c r="U2823" s="368"/>
      <c r="V2823" s="368"/>
      <c r="W2823" s="368"/>
      <c r="X2823" s="368"/>
      <c r="Y2823" s="368"/>
      <c r="Z2823" s="368"/>
      <c r="AA2823" s="368"/>
      <c r="AB2823" s="368"/>
    </row>
    <row r="2824" spans="1:31" ht="25.5">
      <c r="A2824" s="445" t="s">
        <v>14479</v>
      </c>
      <c r="B2824" s="446" t="s">
        <v>14476</v>
      </c>
      <c r="C2824" s="582">
        <v>2692</v>
      </c>
      <c r="D2824" s="296" t="str">
        <f>IFERROR(VLOOKUP($C2824,'24.08_ND'!$A:$D,2,0),)</f>
        <v>DESMOLDANTE PROTETOR PARA FORMAS DE MADEIRA, DE BASE OLEOSA EMULSIONADA EM AGUA</v>
      </c>
      <c r="E2824" s="297" t="str">
        <f>IFERROR(VLOOKUP($C2824,'24.08_ND'!$A:$D,3,0),)</f>
        <v>L</v>
      </c>
      <c r="F2824" s="861">
        <v>1.4874999999999999E-2</v>
      </c>
      <c r="G2824" s="299">
        <f>IFERROR(VLOOKUP($C2824,'24.08_ND'!$A:$D,4,0),)</f>
        <v>6.85</v>
      </c>
      <c r="H2824" s="449">
        <f t="shared" si="94"/>
        <v>0.1</v>
      </c>
      <c r="I2824" s="368"/>
      <c r="J2824" s="368"/>
      <c r="K2824" s="368"/>
      <c r="L2824" s="368"/>
      <c r="M2824" s="368"/>
      <c r="N2824" s="368"/>
      <c r="O2824" s="368"/>
      <c r="P2824" s="368"/>
      <c r="Q2824" s="368"/>
      <c r="R2824" s="368"/>
      <c r="S2824" s="368"/>
      <c r="T2824" s="368"/>
      <c r="U2824" s="368"/>
      <c r="V2824" s="368"/>
      <c r="W2824" s="368"/>
      <c r="X2824" s="368"/>
      <c r="Y2824" s="368"/>
      <c r="Z2824" s="368"/>
      <c r="AA2824" s="368"/>
      <c r="AB2824" s="368"/>
    </row>
    <row r="2825" spans="1:31" ht="12.75">
      <c r="A2825" s="445" t="s">
        <v>14479</v>
      </c>
      <c r="B2825" s="446" t="s">
        <v>14476</v>
      </c>
      <c r="C2825" s="582">
        <v>4491</v>
      </c>
      <c r="D2825" s="296" t="str">
        <f>IFERROR(VLOOKUP($C2825,'24.08_ND'!$A:$D,2,0),)</f>
        <v>PONTALETE *7,5 X 7,5* CM EM PINUS, MISTA OU EQUIVALENTE DA REGIAO - BRUTA</v>
      </c>
      <c r="E2825" s="297" t="str">
        <f>IFERROR(VLOOKUP($C2825,'24.08_ND'!$A:$D,3,0),)</f>
        <v>M</v>
      </c>
      <c r="F2825" s="861">
        <v>0.32374999999999998</v>
      </c>
      <c r="G2825" s="299">
        <f>IFERROR(VLOOKUP($C2825,'24.08_ND'!$A:$D,4,0),)</f>
        <v>10.5</v>
      </c>
      <c r="H2825" s="449">
        <f t="shared" si="94"/>
        <v>3.39</v>
      </c>
      <c r="I2825" s="368"/>
      <c r="J2825" s="368"/>
      <c r="K2825" s="368"/>
      <c r="L2825" s="368"/>
      <c r="M2825" s="368"/>
      <c r="N2825" s="368"/>
      <c r="O2825" s="368"/>
      <c r="P2825" s="368"/>
      <c r="Q2825" s="368"/>
      <c r="R2825" s="368"/>
      <c r="S2825" s="368"/>
      <c r="T2825" s="368"/>
      <c r="U2825" s="368"/>
      <c r="V2825" s="368"/>
      <c r="W2825" s="368"/>
      <c r="X2825" s="368"/>
      <c r="Y2825" s="368"/>
      <c r="Z2825" s="368"/>
      <c r="AA2825" s="368"/>
      <c r="AB2825" s="368"/>
    </row>
    <row r="2826" spans="1:31" ht="12.75">
      <c r="A2826" s="445" t="s">
        <v>14479</v>
      </c>
      <c r="B2826" s="446" t="s">
        <v>14476</v>
      </c>
      <c r="C2826" s="582">
        <v>4517</v>
      </c>
      <c r="D2826" s="296" t="str">
        <f>IFERROR(VLOOKUP($C2826,'24.08_ND'!$A:$D,2,0),)</f>
        <v>SARRAFO *2,5 X 7,5* CM EM PINUS, MISTA OU EQUIVALENTE DA REGIAO - BRUTA</v>
      </c>
      <c r="E2826" s="297" t="str">
        <f>IFERROR(VLOOKUP($C2826,'24.08_ND'!$A:$D,3,0),)</f>
        <v>M</v>
      </c>
      <c r="F2826" s="861">
        <v>0.38500000000000001</v>
      </c>
      <c r="G2826" s="299">
        <f>IFERROR(VLOOKUP($C2826,'24.08_ND'!$A:$D,4,0),)</f>
        <v>3.67</v>
      </c>
      <c r="H2826" s="449">
        <f t="shared" si="94"/>
        <v>1.41</v>
      </c>
      <c r="I2826" s="368"/>
      <c r="J2826" s="368"/>
      <c r="K2826" s="368"/>
      <c r="L2826" s="368"/>
      <c r="M2826" s="368"/>
      <c r="N2826" s="368"/>
      <c r="O2826" s="368"/>
      <c r="P2826" s="368"/>
      <c r="Q2826" s="368"/>
      <c r="R2826" s="368"/>
      <c r="S2826" s="368"/>
      <c r="T2826" s="368"/>
      <c r="U2826" s="368"/>
      <c r="V2826" s="368"/>
      <c r="W2826" s="368"/>
      <c r="X2826" s="368"/>
      <c r="Y2826" s="368"/>
      <c r="Z2826" s="368"/>
      <c r="AA2826" s="368"/>
      <c r="AB2826" s="368"/>
    </row>
    <row r="2827" spans="1:31" ht="12.75">
      <c r="A2827" s="445" t="s">
        <v>14479</v>
      </c>
      <c r="B2827" s="446" t="s">
        <v>14476</v>
      </c>
      <c r="C2827" s="582">
        <v>5069</v>
      </c>
      <c r="D2827" s="296" t="str">
        <f>IFERROR(VLOOKUP($C2827,'24.08_ND'!$A:$D,2,0),)</f>
        <v>PREGO DE ACO POLIDO COM CABECA 17 X 27 (2 1/2 X 11)</v>
      </c>
      <c r="E2827" s="297" t="str">
        <f>IFERROR(VLOOKUP($C2827,'24.08_ND'!$A:$D,3,0),)</f>
        <v>KG</v>
      </c>
      <c r="F2827" s="861">
        <v>3.4125000000000003E-2</v>
      </c>
      <c r="G2827" s="299">
        <f>IFERROR(VLOOKUP($C2827,'24.08_ND'!$A:$D,4,0),)</f>
        <v>16.63</v>
      </c>
      <c r="H2827" s="449">
        <f t="shared" si="94"/>
        <v>0.56000000000000005</v>
      </c>
      <c r="I2827" s="368"/>
      <c r="J2827" s="368"/>
      <c r="K2827" s="368"/>
      <c r="L2827" s="368"/>
      <c r="M2827" s="368"/>
      <c r="N2827" s="368"/>
      <c r="O2827" s="368"/>
      <c r="P2827" s="368"/>
      <c r="Q2827" s="368"/>
      <c r="R2827" s="368"/>
      <c r="S2827" s="368"/>
      <c r="T2827" s="368"/>
      <c r="U2827" s="368"/>
      <c r="V2827" s="368"/>
      <c r="W2827" s="368"/>
      <c r="X2827" s="368"/>
      <c r="Y2827" s="368"/>
      <c r="Z2827" s="368"/>
      <c r="AA2827" s="368"/>
      <c r="AB2827" s="368"/>
    </row>
    <row r="2828" spans="1:31" ht="25.5">
      <c r="A2828" s="445" t="s">
        <v>14479</v>
      </c>
      <c r="B2828" s="446" t="s">
        <v>14476</v>
      </c>
      <c r="C2828" s="582">
        <v>6193</v>
      </c>
      <c r="D2828" s="296" t="str">
        <f>IFERROR(VLOOKUP($C2828,'24.08_ND'!$A:$D,2,0),)</f>
        <v>TABUA NAO APARELHADA *2,5 X 20* CM, EM MACARANDUBA/MASSARANDUBA, ANGELIM OU EQUIVALENTE DA REGIAO - BRUTA</v>
      </c>
      <c r="E2828" s="297" t="str">
        <f>IFERROR(VLOOKUP($C2828,'24.08_ND'!$A:$D,3,0),)</f>
        <v>M</v>
      </c>
      <c r="F2828" s="861">
        <v>1.2075</v>
      </c>
      <c r="G2828" s="299">
        <f>IFERROR(VLOOKUP($C2828,'24.08_ND'!$A:$D,4,0),)</f>
        <v>15.18</v>
      </c>
      <c r="H2828" s="449">
        <f t="shared" si="94"/>
        <v>18.32</v>
      </c>
      <c r="I2828" s="368"/>
      <c r="J2828" s="368"/>
      <c r="K2828" s="368"/>
      <c r="L2828" s="368"/>
      <c r="M2828" s="368"/>
      <c r="N2828" s="368"/>
      <c r="O2828" s="368"/>
      <c r="P2828" s="368"/>
      <c r="Q2828" s="368"/>
      <c r="R2828" s="368"/>
      <c r="S2828" s="368"/>
      <c r="T2828" s="368"/>
      <c r="U2828" s="368"/>
      <c r="V2828" s="368"/>
      <c r="W2828" s="368"/>
      <c r="X2828" s="368"/>
      <c r="Y2828" s="368"/>
      <c r="Z2828" s="368"/>
      <c r="AA2828" s="368"/>
      <c r="AB2828" s="368"/>
    </row>
    <row r="2829" spans="1:31" ht="12.75">
      <c r="A2829" s="734"/>
      <c r="B2829" s="735"/>
      <c r="C2829" s="279"/>
      <c r="D2829" s="736"/>
      <c r="E2829" s="737"/>
      <c r="F2829" s="737"/>
      <c r="G2829" s="737"/>
      <c r="H2829" s="738"/>
      <c r="I2829" s="262"/>
      <c r="J2829" s="262"/>
      <c r="K2829" s="262"/>
      <c r="L2829" s="262"/>
      <c r="M2829" s="262"/>
      <c r="N2829" s="262"/>
      <c r="O2829" s="262"/>
      <c r="P2829" s="262"/>
      <c r="Q2829" s="262"/>
      <c r="R2829" s="262"/>
      <c r="S2829" s="262"/>
      <c r="T2829" s="262"/>
      <c r="U2829" s="262"/>
      <c r="V2829" s="262"/>
      <c r="W2829" s="262"/>
      <c r="X2829" s="262"/>
      <c r="Y2829" s="262"/>
      <c r="Z2829" s="262"/>
      <c r="AA2829" s="262"/>
      <c r="AB2829" s="262"/>
    </row>
    <row r="2830" spans="1:31" ht="25.5">
      <c r="A2830" s="358" t="s">
        <v>14471</v>
      </c>
      <c r="B2830" s="359" t="s">
        <v>14472</v>
      </c>
      <c r="C2830" s="359" t="s">
        <v>15440</v>
      </c>
      <c r="D2830" s="361" t="s">
        <v>15441</v>
      </c>
      <c r="E2830" s="359" t="s">
        <v>6</v>
      </c>
      <c r="F2830" s="362"/>
      <c r="G2830" s="362"/>
      <c r="H2830" s="363">
        <f>TRUNC(SUM(H2832:H2836),2)</f>
        <v>208.57</v>
      </c>
      <c r="I2830" s="276">
        <f>COUNTIF($C$8:$C2830,C:C)</f>
        <v>1</v>
      </c>
      <c r="J2830" s="368"/>
      <c r="K2830" s="368"/>
      <c r="L2830" s="368"/>
      <c r="M2830" s="368"/>
      <c r="N2830" s="368"/>
      <c r="O2830" s="368"/>
      <c r="P2830" s="368"/>
      <c r="Q2830" s="368"/>
      <c r="R2830" s="368"/>
      <c r="S2830" s="368"/>
      <c r="T2830" s="368"/>
      <c r="U2830" s="368"/>
      <c r="V2830" s="368"/>
      <c r="W2830" s="368"/>
      <c r="X2830" s="368"/>
      <c r="Y2830" s="368"/>
      <c r="Z2830" s="368"/>
      <c r="AA2830" s="368"/>
      <c r="AB2830" s="368"/>
    </row>
    <row r="2831" spans="1:31" ht="12.75">
      <c r="A2831" s="646" t="s">
        <v>14475</v>
      </c>
      <c r="B2831" s="694" t="s">
        <v>14476</v>
      </c>
      <c r="C2831" s="365">
        <v>97895</v>
      </c>
      <c r="D2831" s="490" t="s">
        <v>14587</v>
      </c>
      <c r="E2831" s="641"/>
      <c r="F2831" s="642"/>
      <c r="G2831" s="370"/>
      <c r="H2831" s="371"/>
      <c r="I2831" s="368"/>
      <c r="J2831" s="368"/>
      <c r="K2831" s="368"/>
      <c r="L2831" s="368"/>
      <c r="M2831" s="368"/>
      <c r="N2831" s="368"/>
      <c r="O2831" s="368"/>
      <c r="P2831" s="368"/>
      <c r="Q2831" s="368"/>
      <c r="R2831" s="368"/>
      <c r="S2831" s="368"/>
      <c r="T2831" s="368"/>
      <c r="U2831" s="368"/>
      <c r="V2831" s="368"/>
      <c r="W2831" s="368"/>
      <c r="X2831" s="368"/>
      <c r="Y2831" s="368"/>
      <c r="Z2831" s="368"/>
      <c r="AA2831" s="368"/>
      <c r="AB2831" s="368"/>
    </row>
    <row r="2832" spans="1:31" ht="25.5">
      <c r="A2832" s="586" t="s">
        <v>14478</v>
      </c>
      <c r="B2832" s="421" t="s">
        <v>14476</v>
      </c>
      <c r="C2832" s="422">
        <v>88309</v>
      </c>
      <c r="D2832" s="288" t="str">
        <f>IFERROR(VLOOKUP($C2832,'24.08_ND'!$A:$D,2,0),)</f>
        <v>PEDREIRO COM ENCARGOS COMPLEMENTARES</v>
      </c>
      <c r="E2832" s="289" t="str">
        <f>IFERROR(VLOOKUP($C2832,'24.08_ND'!$A:$D,3,0),)</f>
        <v>H</v>
      </c>
      <c r="F2832" s="862">
        <v>2.5899999999999999E-2</v>
      </c>
      <c r="G2832" s="291">
        <f>IFERROR(VLOOKUP($C2832,'24.08_ND'!$A:$D,4,0),)</f>
        <v>23.33</v>
      </c>
      <c r="H2832" s="423">
        <f>TRUNC(($F2832*$G2832),2)</f>
        <v>0.6</v>
      </c>
      <c r="I2832" s="368"/>
      <c r="J2832" s="368"/>
      <c r="K2832" s="368"/>
      <c r="L2832" s="368"/>
      <c r="M2832" s="368"/>
      <c r="N2832" s="368"/>
      <c r="O2832" s="368"/>
      <c r="P2832" s="368"/>
      <c r="Q2832" s="368"/>
      <c r="R2832" s="368"/>
      <c r="S2832" s="368"/>
      <c r="T2832" s="368"/>
      <c r="U2832" s="368"/>
      <c r="V2832" s="368"/>
      <c r="W2832" s="368"/>
      <c r="X2832" s="368"/>
      <c r="Y2832" s="368"/>
      <c r="Z2832" s="368"/>
      <c r="AA2832" s="368"/>
      <c r="AB2832" s="368"/>
      <c r="AD2832" s="1791" t="e">
        <f>VLOOKUP(C2832,'Medição '!$B$16:$F$1833,6,0)</f>
        <v>#N/A</v>
      </c>
      <c r="AE2832" s="1791"/>
    </row>
    <row r="2833" spans="1:31" ht="25.5">
      <c r="A2833" s="586" t="s">
        <v>14478</v>
      </c>
      <c r="B2833" s="421" t="s">
        <v>14476</v>
      </c>
      <c r="C2833" s="422">
        <v>101618</v>
      </c>
      <c r="D2833" s="288" t="str">
        <f>IFERROR(VLOOKUP($C2833,'24.08_ND'!$A:$D,2,0),)</f>
        <v>PREPARO DE FUNDO DE VALA COM LARGURA MENOR QUE 1,5 M, COM CAMADA DE AREIA, LANÇAMENTO MANUAL. AF_08/2020</v>
      </c>
      <c r="E2833" s="289" t="str">
        <f>IFERROR(VLOOKUP($C2833,'24.08_ND'!$A:$D,3,0),)</f>
        <v>M3</v>
      </c>
      <c r="F2833" s="862">
        <v>1.7999999999999999E-2</v>
      </c>
      <c r="G2833" s="291">
        <f>IFERROR(VLOOKUP($C2833,'24.08_ND'!$A:$D,4,0),)</f>
        <v>239.43</v>
      </c>
      <c r="H2833" s="423">
        <f>TRUNC(($F2833*$G2833),2)</f>
        <v>4.3</v>
      </c>
      <c r="I2833" s="368"/>
      <c r="J2833" s="368"/>
      <c r="K2833" s="368"/>
      <c r="L2833" s="368"/>
      <c r="M2833" s="368"/>
      <c r="N2833" s="368"/>
      <c r="O2833" s="368"/>
      <c r="P2833" s="368"/>
      <c r="Q2833" s="368"/>
      <c r="R2833" s="368"/>
      <c r="S2833" s="368"/>
      <c r="T2833" s="368"/>
      <c r="U2833" s="368"/>
      <c r="V2833" s="368"/>
      <c r="W2833" s="368"/>
      <c r="X2833" s="368"/>
      <c r="Y2833" s="368"/>
      <c r="Z2833" s="368"/>
      <c r="AA2833" s="368"/>
      <c r="AB2833" s="368"/>
      <c r="AD2833" s="1791" t="e">
        <f>VLOOKUP(C2833,'Medição '!$B$16:$F$1833,6,0)</f>
        <v>#N/A</v>
      </c>
      <c r="AE2833" s="1791"/>
    </row>
    <row r="2834" spans="1:31" ht="25.5">
      <c r="A2834" s="586" t="s">
        <v>14478</v>
      </c>
      <c r="B2834" s="421" t="s">
        <v>14476</v>
      </c>
      <c r="C2834" s="422">
        <v>88316</v>
      </c>
      <c r="D2834" s="288" t="str">
        <f>IFERROR(VLOOKUP($C2834,'24.08_ND'!$A:$D,2,0),)</f>
        <v>SERVENTE COM ENCARGOS COMPLEMENTARES</v>
      </c>
      <c r="E2834" s="289" t="str">
        <f>IFERROR(VLOOKUP($C2834,'24.08_ND'!$A:$D,3,0),)</f>
        <v>H</v>
      </c>
      <c r="F2834" s="862">
        <v>2.0400000000000001E-2</v>
      </c>
      <c r="G2834" s="291">
        <f>IFERROR(VLOOKUP($C2834,'24.08_ND'!$A:$D,4,0),)</f>
        <v>18.510000000000002</v>
      </c>
      <c r="H2834" s="423">
        <f>TRUNC(($F2834*$G2834),2)</f>
        <v>0.37</v>
      </c>
      <c r="I2834" s="368"/>
      <c r="J2834" s="368"/>
      <c r="K2834" s="368"/>
      <c r="L2834" s="368"/>
      <c r="M2834" s="368"/>
      <c r="N2834" s="368"/>
      <c r="O2834" s="368"/>
      <c r="P2834" s="368"/>
      <c r="Q2834" s="368"/>
      <c r="R2834" s="368"/>
      <c r="S2834" s="368"/>
      <c r="T2834" s="368"/>
      <c r="U2834" s="368"/>
      <c r="V2834" s="368"/>
      <c r="W2834" s="368"/>
      <c r="X2834" s="368"/>
      <c r="Y2834" s="368"/>
      <c r="Z2834" s="368"/>
      <c r="AA2834" s="368"/>
      <c r="AB2834" s="368"/>
      <c r="AD2834" s="1791" t="e">
        <f>VLOOKUP(C2834,'Medição '!$B$16:$F$1833,6,0)</f>
        <v>#N/A</v>
      </c>
      <c r="AE2834" s="1791"/>
    </row>
    <row r="2835" spans="1:31" ht="25.5">
      <c r="A2835" s="445" t="s">
        <v>14479</v>
      </c>
      <c r="B2835" s="446" t="s">
        <v>14476</v>
      </c>
      <c r="C2835" s="582">
        <v>43434</v>
      </c>
      <c r="D2835" s="296" t="str">
        <f>IFERROR(VLOOKUP($C2835,'24.08_ND'!$A:$D,2,0),)</f>
        <v>CAIXA DE CONCRETO ARMADO PRE-MOLDADO, COM FUNDO E SEM TAMPA, DIMENSOES DE 0,30 X 0,30 X 0,30 M</v>
      </c>
      <c r="E2835" s="297" t="str">
        <f>IFERROR(VLOOKUP($C2835,'24.08_ND'!$A:$D,3,0),)</f>
        <v>UN</v>
      </c>
      <c r="F2835" s="861">
        <v>1</v>
      </c>
      <c r="G2835" s="299">
        <f>IFERROR(VLOOKUP($C2835,'24.08_ND'!$A:$D,4,0),)</f>
        <v>103.6</v>
      </c>
      <c r="H2835" s="449">
        <f>TRUNC(($F2835*$G2835),2)</f>
        <v>103.6</v>
      </c>
      <c r="I2835" s="368"/>
      <c r="J2835" s="368"/>
      <c r="K2835" s="368"/>
      <c r="L2835" s="368"/>
      <c r="M2835" s="368"/>
      <c r="N2835" s="368"/>
      <c r="O2835" s="368"/>
      <c r="P2835" s="368"/>
      <c r="Q2835" s="368"/>
      <c r="R2835" s="368"/>
      <c r="S2835" s="368"/>
      <c r="T2835" s="368"/>
      <c r="U2835" s="368"/>
      <c r="V2835" s="368"/>
      <c r="W2835" s="368"/>
      <c r="X2835" s="368"/>
      <c r="Y2835" s="368"/>
      <c r="Z2835" s="368"/>
      <c r="AA2835" s="368"/>
      <c r="AB2835" s="368"/>
    </row>
    <row r="2836" spans="1:31" ht="12.75">
      <c r="A2836" s="590" t="s">
        <v>14479</v>
      </c>
      <c r="B2836" s="312" t="str">
        <f>VLOOKUP($C2836,'• CIs EXT'!$A:$E,2,0)</f>
        <v>ORSE</v>
      </c>
      <c r="C2836" s="377">
        <v>4411</v>
      </c>
      <c r="D2836" s="378" t="str">
        <f>VLOOKUP($C2836,'• CIs EXT'!$A:$E,3,0)</f>
        <v>PORTA TAMPA/TAMPA PARA CAIXA DE INSPEÇÃO 300 MM EM PVC</v>
      </c>
      <c r="E2836" s="379" t="str">
        <f>VLOOKUP($C2836,'• CIs EXT'!$A:$E,4,0)</f>
        <v>UN</v>
      </c>
      <c r="F2836" s="698">
        <v>1</v>
      </c>
      <c r="G2836" s="379">
        <f>VLOOKUP($C2836,'• CIs EXT'!$A:$E,5,0)</f>
        <v>99.7</v>
      </c>
      <c r="H2836" s="381">
        <f>TRUNC(($F2836*$G2836),2)</f>
        <v>99.7</v>
      </c>
      <c r="I2836" s="368"/>
      <c r="J2836" s="368"/>
      <c r="K2836" s="368"/>
      <c r="L2836" s="368"/>
      <c r="M2836" s="368"/>
      <c r="N2836" s="368"/>
      <c r="O2836" s="368"/>
      <c r="P2836" s="368"/>
      <c r="Q2836" s="368"/>
      <c r="R2836" s="368"/>
      <c r="S2836" s="368"/>
      <c r="T2836" s="368"/>
      <c r="U2836" s="368"/>
      <c r="V2836" s="368"/>
      <c r="W2836" s="368"/>
      <c r="X2836" s="368"/>
      <c r="Y2836" s="368"/>
      <c r="Z2836" s="368"/>
      <c r="AA2836" s="368"/>
      <c r="AB2836" s="368"/>
    </row>
    <row r="2837" spans="1:31" ht="12.75">
      <c r="A2837" s="863"/>
      <c r="B2837" s="864"/>
      <c r="C2837" s="864"/>
      <c r="D2837" s="864"/>
      <c r="H2837" s="453"/>
      <c r="I2837" s="368"/>
      <c r="J2837" s="368"/>
      <c r="K2837" s="368"/>
      <c r="L2837" s="368"/>
      <c r="M2837" s="368"/>
      <c r="N2837" s="368"/>
      <c r="O2837" s="368"/>
      <c r="P2837" s="368"/>
      <c r="Q2837" s="368"/>
      <c r="R2837" s="368"/>
      <c r="S2837" s="368"/>
      <c r="T2837" s="368"/>
      <c r="U2837" s="368"/>
      <c r="V2837" s="368"/>
      <c r="W2837" s="368"/>
      <c r="X2837" s="368"/>
      <c r="Y2837" s="368"/>
      <c r="Z2837" s="368"/>
      <c r="AA2837" s="368"/>
      <c r="AB2837" s="368"/>
    </row>
    <row r="2838" spans="1:31" ht="25.5">
      <c r="A2838" s="358" t="s">
        <v>14471</v>
      </c>
      <c r="B2838" s="359" t="s">
        <v>14472</v>
      </c>
      <c r="C2838" s="359" t="s">
        <v>15442</v>
      </c>
      <c r="D2838" s="361" t="s">
        <v>15443</v>
      </c>
      <c r="E2838" s="359" t="s">
        <v>6</v>
      </c>
      <c r="F2838" s="362"/>
      <c r="G2838" s="362"/>
      <c r="H2838" s="363">
        <f>TRUNC(SUM(H2840:H2843),2)</f>
        <v>2764.98</v>
      </c>
      <c r="I2838" s="276">
        <f>COUNTIF($C$8:$C2838,C:C)</f>
        <v>1</v>
      </c>
      <c r="J2838" s="368"/>
      <c r="K2838" s="368"/>
      <c r="L2838" s="368"/>
      <c r="M2838" s="368"/>
      <c r="N2838" s="368"/>
      <c r="O2838" s="368"/>
      <c r="P2838" s="368"/>
      <c r="Q2838" s="368"/>
      <c r="R2838" s="368"/>
      <c r="S2838" s="368"/>
      <c r="T2838" s="368"/>
      <c r="U2838" s="368"/>
      <c r="V2838" s="368"/>
      <c r="W2838" s="368"/>
      <c r="X2838" s="368"/>
      <c r="Y2838" s="368"/>
      <c r="Z2838" s="368"/>
      <c r="AA2838" s="368"/>
      <c r="AB2838" s="368"/>
    </row>
    <row r="2839" spans="1:31" ht="12.75">
      <c r="A2839" s="646" t="s">
        <v>14475</v>
      </c>
      <c r="B2839" s="694" t="s">
        <v>15416</v>
      </c>
      <c r="C2839" s="365">
        <v>181478</v>
      </c>
      <c r="D2839" s="490" t="s">
        <v>14773</v>
      </c>
      <c r="E2839" s="641"/>
      <c r="F2839" s="642"/>
      <c r="G2839" s="370"/>
      <c r="H2839" s="371"/>
      <c r="I2839" s="368"/>
      <c r="J2839" s="368"/>
      <c r="K2839" s="368"/>
      <c r="L2839" s="368"/>
      <c r="M2839" s="368"/>
      <c r="N2839" s="368"/>
      <c r="O2839" s="368"/>
      <c r="P2839" s="368"/>
      <c r="Q2839" s="368"/>
      <c r="R2839" s="368"/>
      <c r="S2839" s="368"/>
      <c r="T2839" s="368"/>
      <c r="U2839" s="368"/>
      <c r="V2839" s="368"/>
      <c r="W2839" s="368"/>
      <c r="X2839" s="368"/>
      <c r="Y2839" s="368"/>
      <c r="Z2839" s="368"/>
      <c r="AA2839" s="368"/>
      <c r="AB2839" s="368"/>
    </row>
    <row r="2840" spans="1:31" ht="25.5">
      <c r="A2840" s="586" t="s">
        <v>14478</v>
      </c>
      <c r="B2840" s="421" t="s">
        <v>14476</v>
      </c>
      <c r="C2840" s="422">
        <v>88248</v>
      </c>
      <c r="D2840" s="288" t="str">
        <f>IFERROR(VLOOKUP($C2840,'24.08_ND'!$A:$D,2,0),)</f>
        <v>AUXILIAR DE ENCANADOR OU BOMBEIRO HIDRÁULICO COM ENCARGOS COMPLEMENTARES</v>
      </c>
      <c r="E2840" s="289" t="str">
        <f>IFERROR(VLOOKUP($C2840,'24.08_ND'!$A:$D,3,0),)</f>
        <v>H</v>
      </c>
      <c r="F2840" s="862">
        <v>4</v>
      </c>
      <c r="G2840" s="291">
        <f>IFERROR(VLOOKUP($C2840,'24.08_ND'!$A:$D,4,0),)</f>
        <v>19.05</v>
      </c>
      <c r="H2840" s="423">
        <f>TRUNC(($F2840*$G2840),2)</f>
        <v>76.2</v>
      </c>
      <c r="I2840" s="368"/>
      <c r="J2840" s="368"/>
      <c r="K2840" s="368"/>
      <c r="L2840" s="368"/>
      <c r="M2840" s="368"/>
      <c r="N2840" s="368"/>
      <c r="O2840" s="368"/>
      <c r="P2840" s="368"/>
      <c r="Q2840" s="368"/>
      <c r="R2840" s="368"/>
      <c r="S2840" s="368"/>
      <c r="T2840" s="368"/>
      <c r="U2840" s="368"/>
      <c r="V2840" s="368"/>
      <c r="W2840" s="368"/>
      <c r="X2840" s="368"/>
      <c r="Y2840" s="368"/>
      <c r="Z2840" s="368"/>
      <c r="AA2840" s="368"/>
      <c r="AB2840" s="368"/>
      <c r="AD2840" s="1791" t="e">
        <f>VLOOKUP(C2840,'Medição '!$B$16:$F$1833,6,0)</f>
        <v>#N/A</v>
      </c>
      <c r="AE2840" s="1791"/>
    </row>
    <row r="2841" spans="1:31" ht="25.5">
      <c r="A2841" s="586" t="s">
        <v>14478</v>
      </c>
      <c r="B2841" s="421" t="s">
        <v>14476</v>
      </c>
      <c r="C2841" s="422">
        <v>88264</v>
      </c>
      <c r="D2841" s="288" t="str">
        <f>IFERROR(VLOOKUP($C2841,'24.08_ND'!$A:$D,2,0),)</f>
        <v>ELETRICISTA COM ENCARGOS COMPLEMENTARES</v>
      </c>
      <c r="E2841" s="289" t="str">
        <f>IFERROR(VLOOKUP($C2841,'24.08_ND'!$A:$D,3,0),)</f>
        <v>H</v>
      </c>
      <c r="F2841" s="862">
        <v>4</v>
      </c>
      <c r="G2841" s="291">
        <f>IFERROR(VLOOKUP($C2841,'24.08_ND'!$A:$D,4,0),)</f>
        <v>24.3</v>
      </c>
      <c r="H2841" s="423">
        <f>TRUNC(($F2841*$G2841),2)</f>
        <v>97.2</v>
      </c>
      <c r="I2841" s="368"/>
      <c r="J2841" s="368"/>
      <c r="K2841" s="368"/>
      <c r="L2841" s="368"/>
      <c r="M2841" s="368"/>
      <c r="N2841" s="368"/>
      <c r="O2841" s="368"/>
      <c r="P2841" s="368"/>
      <c r="Q2841" s="368"/>
      <c r="R2841" s="368"/>
      <c r="S2841" s="368"/>
      <c r="T2841" s="368"/>
      <c r="U2841" s="368"/>
      <c r="V2841" s="368"/>
      <c r="W2841" s="368"/>
      <c r="X2841" s="368"/>
      <c r="Y2841" s="368"/>
      <c r="Z2841" s="368"/>
      <c r="AA2841" s="368"/>
      <c r="AB2841" s="368"/>
      <c r="AD2841" s="1791" t="e">
        <f>VLOOKUP(C2841,'Medição '!$B$16:$F$1833,6,0)</f>
        <v>#N/A</v>
      </c>
      <c r="AE2841" s="1791"/>
    </row>
    <row r="2842" spans="1:31" ht="25.5">
      <c r="A2842" s="586" t="s">
        <v>14478</v>
      </c>
      <c r="B2842" s="421" t="s">
        <v>14476</v>
      </c>
      <c r="C2842" s="422">
        <v>88267</v>
      </c>
      <c r="D2842" s="288" t="str">
        <f>IFERROR(VLOOKUP($C2842,'24.08_ND'!$A:$D,2,0),)</f>
        <v>ENCANADOR OU BOMBEIRO HIDRÁULICO COM ENCARGOS COMPLEMENTARES</v>
      </c>
      <c r="E2842" s="289" t="str">
        <f>IFERROR(VLOOKUP($C2842,'24.08_ND'!$A:$D,3,0),)</f>
        <v>H</v>
      </c>
      <c r="F2842" s="862">
        <v>4</v>
      </c>
      <c r="G2842" s="291">
        <f>IFERROR(VLOOKUP($C2842,'24.08_ND'!$A:$D,4,0),)</f>
        <v>23.27</v>
      </c>
      <c r="H2842" s="423">
        <f>TRUNC(($F2842*$G2842),2)</f>
        <v>93.08</v>
      </c>
      <c r="I2842" s="368"/>
      <c r="J2842" s="368"/>
      <c r="K2842" s="368"/>
      <c r="L2842" s="368"/>
      <c r="M2842" s="368"/>
      <c r="N2842" s="368"/>
      <c r="O2842" s="368"/>
      <c r="P2842" s="368"/>
      <c r="Q2842" s="368"/>
      <c r="R2842" s="368"/>
      <c r="S2842" s="368"/>
      <c r="T2842" s="368"/>
      <c r="U2842" s="368"/>
      <c r="V2842" s="368"/>
      <c r="W2842" s="368"/>
      <c r="X2842" s="368"/>
      <c r="Y2842" s="368"/>
      <c r="Z2842" s="368"/>
      <c r="AA2842" s="368"/>
      <c r="AB2842" s="368"/>
      <c r="AD2842" s="1791" t="e">
        <f>VLOOKUP(C2842,'Medição '!$B$16:$F$1833,6,0)</f>
        <v>#N/A</v>
      </c>
      <c r="AE2842" s="1791"/>
    </row>
    <row r="2843" spans="1:31" ht="12.75">
      <c r="A2843" s="798" t="s">
        <v>14479</v>
      </c>
      <c r="B2843" s="799" t="s">
        <v>14491</v>
      </c>
      <c r="C2843" s="800" t="s">
        <v>15444</v>
      </c>
      <c r="D2843" s="801" t="str">
        <f>VLOOKUP($C2843,'09 - MC'!$A:$F,2,0)</f>
        <v>BOMBA SUBMERSÍVEL PARA ESGOTO COM TRITURADOR 2,5CV</v>
      </c>
      <c r="E2843" s="802" t="str">
        <f>VLOOKUP($C2843,'09 - MC'!$A:$F,3,0)</f>
        <v>UN</v>
      </c>
      <c r="F2843" s="803">
        <v>1</v>
      </c>
      <c r="G2843" s="804">
        <f>VLOOKUP($C2843,'09 - MC'!$A:$F,6,0)</f>
        <v>2498.5</v>
      </c>
      <c r="H2843" s="805">
        <f>TRUNC(G2843*F2843,2)</f>
        <v>2498.5</v>
      </c>
      <c r="I2843" s="368"/>
      <c r="J2843" s="368"/>
      <c r="K2843" s="368"/>
      <c r="L2843" s="368"/>
      <c r="M2843" s="368"/>
      <c r="N2843" s="368"/>
      <c r="O2843" s="368"/>
      <c r="P2843" s="368"/>
      <c r="Q2843" s="368"/>
      <c r="R2843" s="368"/>
      <c r="S2843" s="368"/>
      <c r="T2843" s="368"/>
      <c r="U2843" s="368"/>
      <c r="V2843" s="368"/>
      <c r="W2843" s="368"/>
      <c r="X2843" s="368"/>
      <c r="Y2843" s="368"/>
      <c r="Z2843" s="368"/>
      <c r="AA2843" s="368"/>
      <c r="AB2843" s="368"/>
    </row>
    <row r="2844" spans="1:31" ht="12.75">
      <c r="A2844" s="686"/>
      <c r="B2844" s="687"/>
      <c r="C2844" s="688"/>
      <c r="D2844" s="689"/>
      <c r="E2844" s="690"/>
      <c r="F2844" s="708"/>
      <c r="G2844" s="690"/>
      <c r="H2844" s="692"/>
      <c r="I2844" s="368"/>
      <c r="J2844" s="368"/>
      <c r="K2844" s="368"/>
      <c r="L2844" s="368"/>
      <c r="M2844" s="368"/>
      <c r="N2844" s="368"/>
      <c r="O2844" s="368"/>
      <c r="P2844" s="368"/>
      <c r="Q2844" s="368"/>
      <c r="R2844" s="368"/>
      <c r="S2844" s="368"/>
      <c r="T2844" s="368"/>
      <c r="U2844" s="368"/>
      <c r="V2844" s="368"/>
      <c r="W2844" s="368"/>
      <c r="X2844" s="368"/>
      <c r="Y2844" s="368"/>
      <c r="Z2844" s="368"/>
      <c r="AA2844" s="368"/>
      <c r="AB2844" s="368"/>
    </row>
    <row r="2845" spans="1:31" ht="12.75">
      <c r="A2845" s="358" t="s">
        <v>14471</v>
      </c>
      <c r="B2845" s="359" t="s">
        <v>14472</v>
      </c>
      <c r="C2845" s="359" t="s">
        <v>15445</v>
      </c>
      <c r="D2845" s="361" t="s">
        <v>15446</v>
      </c>
      <c r="E2845" s="359" t="s">
        <v>6</v>
      </c>
      <c r="F2845" s="362"/>
      <c r="G2845" s="362"/>
      <c r="H2845" s="363">
        <f>TRUNC(SUM(H2847:H2850),2)</f>
        <v>14.38</v>
      </c>
      <c r="I2845" s="276">
        <f>COUNTIF($C$8:$C2845,C:C)</f>
        <v>1</v>
      </c>
      <c r="J2845" s="368"/>
      <c r="K2845" s="368"/>
      <c r="L2845" s="368"/>
      <c r="M2845" s="368"/>
      <c r="N2845" s="368"/>
      <c r="O2845" s="368"/>
      <c r="P2845" s="368"/>
      <c r="Q2845" s="368"/>
      <c r="R2845" s="368"/>
      <c r="S2845" s="368"/>
      <c r="T2845" s="368"/>
      <c r="U2845" s="368"/>
      <c r="V2845" s="368"/>
      <c r="W2845" s="368"/>
      <c r="X2845" s="368"/>
      <c r="Y2845" s="368"/>
      <c r="Z2845" s="368"/>
      <c r="AA2845" s="368"/>
      <c r="AB2845" s="368"/>
    </row>
    <row r="2846" spans="1:31" ht="12.75">
      <c r="A2846" s="646" t="s">
        <v>14475</v>
      </c>
      <c r="B2846" s="694" t="s">
        <v>14513</v>
      </c>
      <c r="C2846" s="365">
        <v>52284</v>
      </c>
      <c r="D2846" s="490" t="s">
        <v>14945</v>
      </c>
      <c r="E2846" s="641"/>
      <c r="F2846" s="642"/>
      <c r="G2846" s="370"/>
      <c r="H2846" s="371"/>
      <c r="I2846" s="368"/>
      <c r="J2846" s="368"/>
      <c r="K2846" s="368"/>
      <c r="L2846" s="368"/>
      <c r="M2846" s="368"/>
      <c r="N2846" s="368"/>
      <c r="O2846" s="368"/>
      <c r="P2846" s="368"/>
      <c r="Q2846" s="368"/>
      <c r="R2846" s="368"/>
      <c r="S2846" s="368"/>
      <c r="T2846" s="368"/>
      <c r="U2846" s="368"/>
      <c r="V2846" s="368"/>
      <c r="W2846" s="368"/>
      <c r="X2846" s="368"/>
      <c r="Y2846" s="368"/>
      <c r="Z2846" s="368"/>
      <c r="AA2846" s="368"/>
      <c r="AB2846" s="368"/>
    </row>
    <row r="2847" spans="1:31" ht="25.5">
      <c r="A2847" s="586" t="s">
        <v>14478</v>
      </c>
      <c r="B2847" s="421" t="s">
        <v>14476</v>
      </c>
      <c r="C2847" s="422">
        <v>88248</v>
      </c>
      <c r="D2847" s="288" t="str">
        <f>IFERROR(VLOOKUP($C2847,'24.08_ND'!$A:$D,2,0),)</f>
        <v>AUXILIAR DE ENCANADOR OU BOMBEIRO HIDRÁULICO COM ENCARGOS COMPLEMENTARES</v>
      </c>
      <c r="E2847" s="289" t="str">
        <f>IFERROR(VLOOKUP($C2847,'24.08_ND'!$A:$D,3,0),)</f>
        <v>H</v>
      </c>
      <c r="F2847" s="862">
        <v>0.19600000000000001</v>
      </c>
      <c r="G2847" s="291">
        <f>IFERROR(VLOOKUP($C2847,'24.08_ND'!$A:$D,4,0),)</f>
        <v>19.05</v>
      </c>
      <c r="H2847" s="423">
        <f>TRUNC(($F2847*$G2847),2)</f>
        <v>3.73</v>
      </c>
      <c r="I2847" s="368"/>
      <c r="J2847" s="368"/>
      <c r="K2847" s="368"/>
      <c r="L2847" s="368"/>
      <c r="M2847" s="368"/>
      <c r="N2847" s="368"/>
      <c r="O2847" s="368"/>
      <c r="P2847" s="368"/>
      <c r="Q2847" s="368"/>
      <c r="R2847" s="368"/>
      <c r="S2847" s="368"/>
      <c r="T2847" s="368"/>
      <c r="U2847" s="368"/>
      <c r="V2847" s="368"/>
      <c r="W2847" s="368"/>
      <c r="X2847" s="368"/>
      <c r="Y2847" s="368"/>
      <c r="Z2847" s="368"/>
      <c r="AA2847" s="368"/>
      <c r="AB2847" s="368"/>
      <c r="AD2847" s="1791" t="e">
        <f>VLOOKUP(C2847,'Medição '!$B$16:$F$1833,6,0)</f>
        <v>#N/A</v>
      </c>
      <c r="AE2847" s="1791"/>
    </row>
    <row r="2848" spans="1:31" ht="25.5">
      <c r="A2848" s="586" t="s">
        <v>14478</v>
      </c>
      <c r="B2848" s="421" t="s">
        <v>14476</v>
      </c>
      <c r="C2848" s="422">
        <v>88267</v>
      </c>
      <c r="D2848" s="288" t="str">
        <f>IFERROR(VLOOKUP($C2848,'24.08_ND'!$A:$D,2,0),)</f>
        <v>ENCANADOR OU BOMBEIRO HIDRÁULICO COM ENCARGOS COMPLEMENTARES</v>
      </c>
      <c r="E2848" s="289" t="str">
        <f>IFERROR(VLOOKUP($C2848,'24.08_ND'!$A:$D,3,0),)</f>
        <v>H</v>
      </c>
      <c r="F2848" s="862">
        <v>0.19600000000000001</v>
      </c>
      <c r="G2848" s="291">
        <f>IFERROR(VLOOKUP($C2848,'24.08_ND'!$A:$D,4,0),)</f>
        <v>23.27</v>
      </c>
      <c r="H2848" s="423">
        <f>TRUNC(($F2848*$G2848),2)</f>
        <v>4.5599999999999996</v>
      </c>
      <c r="I2848" s="368"/>
      <c r="J2848" s="368"/>
      <c r="K2848" s="368"/>
      <c r="L2848" s="368"/>
      <c r="M2848" s="368"/>
      <c r="N2848" s="368"/>
      <c r="O2848" s="368"/>
      <c r="P2848" s="368"/>
      <c r="Q2848" s="368"/>
      <c r="R2848" s="368"/>
      <c r="S2848" s="368"/>
      <c r="T2848" s="368"/>
      <c r="U2848" s="368"/>
      <c r="V2848" s="368"/>
      <c r="W2848" s="368"/>
      <c r="X2848" s="368"/>
      <c r="Y2848" s="368"/>
      <c r="Z2848" s="368"/>
      <c r="AA2848" s="368"/>
      <c r="AB2848" s="368"/>
      <c r="AD2848" s="1791" t="e">
        <f>VLOOKUP(C2848,'Medição '!$B$16:$F$1833,6,0)</f>
        <v>#N/A</v>
      </c>
      <c r="AE2848" s="1791"/>
    </row>
    <row r="2849" spans="1:31" ht="12.75">
      <c r="A2849" s="445" t="s">
        <v>14479</v>
      </c>
      <c r="B2849" s="446" t="s">
        <v>14476</v>
      </c>
      <c r="C2849" s="582">
        <v>3143</v>
      </c>
      <c r="D2849" s="296" t="str">
        <f>IFERROR(VLOOKUP($C2849,'24.08_ND'!$A:$D,2,0),)</f>
        <v>FITA VEDA ROSCA EM ROLOS DE 18 MM X 25 M (L X C)</v>
      </c>
      <c r="E2849" s="297" t="str">
        <f>IFERROR(VLOOKUP($C2849,'24.08_ND'!$A:$D,3,0),)</f>
        <v>UN</v>
      </c>
      <c r="F2849" s="861">
        <f>0.957/25</f>
        <v>3.8280000000000002E-2</v>
      </c>
      <c r="G2849" s="299">
        <f>IFERROR(VLOOKUP($C2849,'24.08_ND'!$A:$D,4,0),)</f>
        <v>8.18</v>
      </c>
      <c r="H2849" s="449">
        <f>TRUNC(($F2849*$G2849),2)</f>
        <v>0.31</v>
      </c>
      <c r="I2849" s="368"/>
      <c r="J2849" s="368"/>
      <c r="K2849" s="368"/>
      <c r="L2849" s="368"/>
      <c r="M2849" s="368"/>
      <c r="N2849" s="368"/>
      <c r="O2849" s="368"/>
      <c r="P2849" s="368"/>
      <c r="Q2849" s="368"/>
      <c r="R2849" s="368"/>
      <c r="S2849" s="368"/>
      <c r="T2849" s="368"/>
      <c r="U2849" s="368"/>
      <c r="V2849" s="368"/>
      <c r="W2849" s="368"/>
      <c r="X2849" s="368"/>
      <c r="Y2849" s="368"/>
      <c r="Z2849" s="368"/>
      <c r="AA2849" s="368"/>
      <c r="AB2849" s="368"/>
    </row>
    <row r="2850" spans="1:31" ht="12.75">
      <c r="A2850" s="445" t="s">
        <v>14479</v>
      </c>
      <c r="B2850" s="446" t="s">
        <v>14476</v>
      </c>
      <c r="C2850" s="582">
        <v>4178</v>
      </c>
      <c r="D2850" s="296" t="str">
        <f>IFERROR(VLOOKUP($C2850,'24.08_ND'!$A:$D,2,0),)</f>
        <v>NIPLE DE FERRO GALVANIZADO, COM ROSCA BSP, DE 3/4"</v>
      </c>
      <c r="E2850" s="297" t="str">
        <f>IFERROR(VLOOKUP($C2850,'24.08_ND'!$A:$D,3,0),)</f>
        <v>UN</v>
      </c>
      <c r="F2850" s="861">
        <v>1</v>
      </c>
      <c r="G2850" s="299">
        <f>IFERROR(VLOOKUP($C2850,'24.08_ND'!$A:$D,4,0),)</f>
        <v>5.78</v>
      </c>
      <c r="H2850" s="449">
        <f>TRUNC(($F2850*$G2850),2)</f>
        <v>5.78</v>
      </c>
      <c r="I2850" s="368"/>
      <c r="J2850" s="368"/>
      <c r="K2850" s="368"/>
      <c r="L2850" s="368"/>
      <c r="M2850" s="368"/>
      <c r="N2850" s="368"/>
      <c r="O2850" s="368"/>
      <c r="P2850" s="368"/>
      <c r="Q2850" s="368"/>
      <c r="R2850" s="368"/>
      <c r="S2850" s="368"/>
      <c r="T2850" s="368"/>
      <c r="U2850" s="368"/>
      <c r="V2850" s="368"/>
      <c r="W2850" s="368"/>
      <c r="X2850" s="368"/>
      <c r="Y2850" s="368"/>
      <c r="Z2850" s="368"/>
      <c r="AA2850" s="368"/>
      <c r="AB2850" s="368"/>
    </row>
    <row r="2851" spans="1:31" ht="12.75">
      <c r="A2851" s="793"/>
      <c r="B2851" s="794"/>
      <c r="C2851" s="794"/>
      <c r="D2851" s="794"/>
      <c r="E2851" s="641"/>
      <c r="F2851" s="641"/>
      <c r="G2851" s="641"/>
      <c r="H2851" s="865"/>
      <c r="I2851" s="368"/>
      <c r="J2851" s="368"/>
      <c r="K2851" s="368"/>
      <c r="L2851" s="368"/>
      <c r="M2851" s="368"/>
      <c r="N2851" s="368"/>
      <c r="O2851" s="368"/>
      <c r="P2851" s="368"/>
      <c r="Q2851" s="368"/>
      <c r="R2851" s="368"/>
      <c r="S2851" s="368"/>
      <c r="T2851" s="368"/>
      <c r="U2851" s="368"/>
      <c r="V2851" s="368"/>
      <c r="W2851" s="368"/>
      <c r="X2851" s="368"/>
      <c r="Y2851" s="368"/>
      <c r="Z2851" s="368"/>
      <c r="AA2851" s="368"/>
      <c r="AB2851" s="368"/>
    </row>
    <row r="2852" spans="1:31" ht="12.75">
      <c r="A2852" s="358" t="s">
        <v>14471</v>
      </c>
      <c r="B2852" s="359" t="s">
        <v>14472</v>
      </c>
      <c r="C2852" s="359" t="s">
        <v>15447</v>
      </c>
      <c r="D2852" s="813" t="s">
        <v>15448</v>
      </c>
      <c r="E2852" s="359" t="s">
        <v>6</v>
      </c>
      <c r="F2852" s="814"/>
      <c r="G2852" s="814"/>
      <c r="H2852" s="363">
        <f>TRUNC(SUM(H2854:H2858),2)</f>
        <v>285.55</v>
      </c>
      <c r="I2852" s="276">
        <f>COUNTIF($C$8:$C2852,C:C)</f>
        <v>1</v>
      </c>
      <c r="J2852" s="368"/>
      <c r="K2852" s="368"/>
      <c r="L2852" s="368"/>
      <c r="M2852" s="368"/>
      <c r="N2852" s="368"/>
      <c r="O2852" s="368"/>
      <c r="P2852" s="368"/>
      <c r="Q2852" s="368"/>
      <c r="R2852" s="368"/>
      <c r="S2852" s="368"/>
      <c r="T2852" s="368"/>
      <c r="U2852" s="368"/>
      <c r="V2852" s="368"/>
      <c r="W2852" s="368"/>
      <c r="X2852" s="368"/>
      <c r="Y2852" s="368"/>
      <c r="Z2852" s="368"/>
      <c r="AA2852" s="368"/>
      <c r="AB2852" s="368"/>
    </row>
    <row r="2853" spans="1:31" ht="12.75">
      <c r="A2853" s="646" t="s">
        <v>14475</v>
      </c>
      <c r="B2853" s="694" t="s">
        <v>14719</v>
      </c>
      <c r="C2853" s="365" t="s">
        <v>15449</v>
      </c>
      <c r="D2853" s="490" t="s">
        <v>14945</v>
      </c>
      <c r="E2853" s="641"/>
      <c r="F2853" s="642"/>
      <c r="G2853" s="370"/>
      <c r="H2853" s="371"/>
      <c r="I2853" s="368"/>
      <c r="J2853" s="368"/>
      <c r="K2853" s="368"/>
      <c r="L2853" s="368"/>
      <c r="M2853" s="368"/>
      <c r="N2853" s="368"/>
      <c r="O2853" s="368"/>
      <c r="P2853" s="368"/>
      <c r="Q2853" s="368"/>
      <c r="R2853" s="368"/>
      <c r="S2853" s="368"/>
      <c r="T2853" s="368"/>
      <c r="U2853" s="368"/>
      <c r="V2853" s="368"/>
      <c r="W2853" s="368"/>
      <c r="X2853" s="368"/>
      <c r="Y2853" s="368"/>
      <c r="Z2853" s="368"/>
      <c r="AA2853" s="368"/>
      <c r="AB2853" s="368"/>
    </row>
    <row r="2854" spans="1:31" ht="25.5">
      <c r="A2854" s="586" t="s">
        <v>14478</v>
      </c>
      <c r="B2854" s="421" t="s">
        <v>14476</v>
      </c>
      <c r="C2854" s="422">
        <v>88248</v>
      </c>
      <c r="D2854" s="288" t="str">
        <f>IFERROR(VLOOKUP($C2854,'24.08_ND'!$A:$D,2,0),)</f>
        <v>AUXILIAR DE ENCANADOR OU BOMBEIRO HIDRÁULICO COM ENCARGOS COMPLEMENTARES</v>
      </c>
      <c r="E2854" s="289" t="str">
        <f>IFERROR(VLOOKUP($C2854,'24.08_ND'!$A:$D,3,0),)</f>
        <v>H</v>
      </c>
      <c r="F2854" s="862">
        <v>1.48</v>
      </c>
      <c r="G2854" s="291">
        <f>IFERROR(VLOOKUP($C2854,'24.08_ND'!$A:$D,4,0),)</f>
        <v>19.05</v>
      </c>
      <c r="H2854" s="423">
        <f>TRUNC(($F2854*$G2854),2)</f>
        <v>28.19</v>
      </c>
      <c r="I2854" s="368"/>
      <c r="J2854" s="368"/>
      <c r="K2854" s="368"/>
      <c r="L2854" s="368"/>
      <c r="M2854" s="368"/>
      <c r="N2854" s="368"/>
      <c r="O2854" s="368"/>
      <c r="P2854" s="368"/>
      <c r="Q2854" s="368"/>
      <c r="R2854" s="368"/>
      <c r="S2854" s="368"/>
      <c r="T2854" s="368"/>
      <c r="U2854" s="368"/>
      <c r="V2854" s="368"/>
      <c r="W2854" s="368"/>
      <c r="X2854" s="368"/>
      <c r="Y2854" s="368"/>
      <c r="Z2854" s="368"/>
      <c r="AA2854" s="368"/>
      <c r="AB2854" s="368"/>
      <c r="AD2854" s="1791" t="e">
        <f>VLOOKUP(C2854,'Medição '!$B$16:$F$1833,6,0)</f>
        <v>#N/A</v>
      </c>
      <c r="AE2854" s="1791"/>
    </row>
    <row r="2855" spans="1:31" ht="25.5">
      <c r="A2855" s="586" t="s">
        <v>14478</v>
      </c>
      <c r="B2855" s="421" t="s">
        <v>14476</v>
      </c>
      <c r="C2855" s="422">
        <v>88267</v>
      </c>
      <c r="D2855" s="288" t="str">
        <f>IFERROR(VLOOKUP($C2855,'24.08_ND'!$A:$D,2,0),)</f>
        <v>ENCANADOR OU BOMBEIRO HIDRÁULICO COM ENCARGOS COMPLEMENTARES</v>
      </c>
      <c r="E2855" s="289" t="str">
        <f>IFERROR(VLOOKUP($C2855,'24.08_ND'!$A:$D,3,0),)</f>
        <v>H</v>
      </c>
      <c r="F2855" s="862">
        <v>1.48</v>
      </c>
      <c r="G2855" s="291">
        <f>IFERROR(VLOOKUP($C2855,'24.08_ND'!$A:$D,4,0),)</f>
        <v>23.27</v>
      </c>
      <c r="H2855" s="423">
        <f>TRUNC(($F2855*$G2855),2)</f>
        <v>34.43</v>
      </c>
      <c r="I2855" s="368"/>
      <c r="J2855" s="368"/>
      <c r="K2855" s="368"/>
      <c r="L2855" s="368"/>
      <c r="M2855" s="368"/>
      <c r="N2855" s="368"/>
      <c r="O2855" s="368"/>
      <c r="P2855" s="368"/>
      <c r="Q2855" s="368"/>
      <c r="R2855" s="368"/>
      <c r="S2855" s="368"/>
      <c r="T2855" s="368"/>
      <c r="U2855" s="368"/>
      <c r="V2855" s="368"/>
      <c r="W2855" s="368"/>
      <c r="X2855" s="368"/>
      <c r="Y2855" s="368"/>
      <c r="Z2855" s="368"/>
      <c r="AA2855" s="368"/>
      <c r="AB2855" s="368"/>
      <c r="AD2855" s="1791" t="e">
        <f>VLOOKUP(C2855,'Medição '!$B$16:$F$1833,6,0)</f>
        <v>#N/A</v>
      </c>
      <c r="AE2855" s="1791"/>
    </row>
    <row r="2856" spans="1:31" ht="25.5">
      <c r="A2856" s="445" t="s">
        <v>14479</v>
      </c>
      <c r="B2856" s="446" t="s">
        <v>14476</v>
      </c>
      <c r="C2856" s="384">
        <v>20078</v>
      </c>
      <c r="D2856" s="296" t="str">
        <f>IFERROR(VLOOKUP($C2856,'24.08_ND'!$A:$D,2,0),)</f>
        <v>PASTA LUBRIFICANTE PARA TUBOS E CONEXOES COM JUNTA ELASTICA, EMBALAGEM DE *400* GR (USO EM PVC, ACO, POLIETILENO E OUTROS)</v>
      </c>
      <c r="E2856" s="297" t="str">
        <f>IFERROR(VLOOKUP($C2856,'24.08_ND'!$A:$D,3,0),)</f>
        <v>UN</v>
      </c>
      <c r="F2856" s="866">
        <v>0.02</v>
      </c>
      <c r="G2856" s="299">
        <f>IFERROR(VLOOKUP($C2856,'24.08_ND'!$A:$D,4,0),)</f>
        <v>28.92</v>
      </c>
      <c r="H2856" s="449">
        <f>TRUNC(($F2856*$G2856),2)</f>
        <v>0.56999999999999995</v>
      </c>
      <c r="I2856" s="368"/>
      <c r="J2856" s="368"/>
      <c r="K2856" s="368"/>
      <c r="L2856" s="368"/>
      <c r="M2856" s="368"/>
      <c r="N2856" s="368"/>
      <c r="O2856" s="368"/>
      <c r="P2856" s="368"/>
      <c r="Q2856" s="368"/>
      <c r="R2856" s="368"/>
      <c r="S2856" s="368"/>
      <c r="T2856" s="368"/>
      <c r="U2856" s="368"/>
      <c r="V2856" s="368"/>
      <c r="W2856" s="368"/>
      <c r="X2856" s="368"/>
      <c r="Y2856" s="368"/>
      <c r="Z2856" s="368"/>
      <c r="AA2856" s="368"/>
      <c r="AB2856" s="368"/>
    </row>
    <row r="2857" spans="1:31" ht="12.75">
      <c r="A2857" s="445" t="s">
        <v>14479</v>
      </c>
      <c r="B2857" s="446" t="s">
        <v>14476</v>
      </c>
      <c r="C2857" s="582">
        <v>296</v>
      </c>
      <c r="D2857" s="296" t="str">
        <f>IFERROR(VLOOKUP($C2857,'24.08_ND'!$A:$D,2,0),)</f>
        <v>ANEL BORRACHA PARA TUBO ESGOTO PREDIAL, DN 50 MM (NBR 5688)</v>
      </c>
      <c r="E2857" s="297" t="str">
        <f>IFERROR(VLOOKUP($C2857,'24.08_ND'!$A:$D,3,0),)</f>
        <v>UN</v>
      </c>
      <c r="F2857" s="861">
        <v>1</v>
      </c>
      <c r="G2857" s="299">
        <f>IFERROR(VLOOKUP($C2857,'24.08_ND'!$A:$D,4,0),)</f>
        <v>1.66</v>
      </c>
      <c r="H2857" s="449">
        <f>TRUNC(($F2857*$G2857),2)</f>
        <v>1.66</v>
      </c>
      <c r="I2857" s="368"/>
      <c r="J2857" s="368"/>
      <c r="K2857" s="368"/>
      <c r="L2857" s="368"/>
      <c r="M2857" s="368"/>
      <c r="N2857" s="368"/>
      <c r="O2857" s="368"/>
      <c r="P2857" s="368"/>
      <c r="Q2857" s="368"/>
      <c r="R2857" s="368"/>
      <c r="S2857" s="368"/>
      <c r="T2857" s="368"/>
      <c r="U2857" s="368"/>
      <c r="V2857" s="368"/>
      <c r="W2857" s="368"/>
      <c r="X2857" s="368"/>
      <c r="Y2857" s="368"/>
      <c r="Z2857" s="368"/>
      <c r="AA2857" s="368"/>
      <c r="AB2857" s="368"/>
    </row>
    <row r="2858" spans="1:31" ht="12.75">
      <c r="A2858" s="867" t="s">
        <v>14479</v>
      </c>
      <c r="B2858" s="312" t="str">
        <f>VLOOKUP($C2858,'• CIs EXT'!$A:$E,2,0)</f>
        <v>SEINFRA</v>
      </c>
      <c r="C2858" s="816" t="s">
        <v>15450</v>
      </c>
      <c r="D2858" s="817" t="str">
        <f>VLOOKUP($C2858,'• CIs EXT'!$A:$E,3,0)</f>
        <v>VÁLVULA DE RETENÇÃO PVC P/ ESGOTO D=150MM</v>
      </c>
      <c r="E2858" s="818" t="str">
        <f>VLOOKUP($C2858,'• CIs EXT'!$A:$E,4,0)</f>
        <v>UN</v>
      </c>
      <c r="F2858" s="868">
        <v>1</v>
      </c>
      <c r="G2858" s="818">
        <f>VLOOKUP($C2858,'• CIs EXT'!$A:$E,5,0)</f>
        <v>220.7</v>
      </c>
      <c r="H2858" s="820">
        <f>TRUNC(($F2858*$G2858),2)</f>
        <v>220.7</v>
      </c>
      <c r="I2858" s="368"/>
      <c r="J2858" s="368"/>
      <c r="K2858" s="368"/>
      <c r="L2858" s="368"/>
      <c r="M2858" s="368"/>
      <c r="N2858" s="368"/>
      <c r="O2858" s="368"/>
      <c r="P2858" s="368"/>
      <c r="Q2858" s="368"/>
      <c r="R2858" s="368"/>
      <c r="S2858" s="368"/>
      <c r="T2858" s="368"/>
      <c r="U2858" s="368"/>
      <c r="V2858" s="368"/>
      <c r="W2858" s="368"/>
      <c r="X2858" s="368"/>
      <c r="Y2858" s="368"/>
      <c r="Z2858" s="368"/>
      <c r="AA2858" s="368"/>
      <c r="AB2858" s="368"/>
    </row>
    <row r="2859" spans="1:31" ht="12.75">
      <c r="A2859" s="869"/>
      <c r="B2859" s="795"/>
      <c r="C2859" s="795"/>
      <c r="D2859" s="795"/>
      <c r="E2859" s="368"/>
      <c r="F2859" s="368"/>
      <c r="G2859" s="368"/>
      <c r="H2859" s="870"/>
      <c r="I2859" s="368"/>
      <c r="J2859" s="368"/>
      <c r="K2859" s="368"/>
      <c r="L2859" s="368"/>
      <c r="M2859" s="368"/>
      <c r="N2859" s="368"/>
      <c r="O2859" s="368"/>
      <c r="P2859" s="368"/>
      <c r="Q2859" s="368"/>
      <c r="R2859" s="368"/>
      <c r="S2859" s="368"/>
      <c r="T2859" s="368"/>
      <c r="U2859" s="368"/>
      <c r="V2859" s="368"/>
      <c r="W2859" s="368"/>
      <c r="X2859" s="368"/>
      <c r="Y2859" s="368"/>
      <c r="Z2859" s="368"/>
      <c r="AA2859" s="368"/>
      <c r="AB2859" s="368"/>
    </row>
    <row r="2860" spans="1:31" ht="12.75">
      <c r="A2860" s="358" t="s">
        <v>14471</v>
      </c>
      <c r="B2860" s="359" t="s">
        <v>14472</v>
      </c>
      <c r="C2860" s="359" t="s">
        <v>15451</v>
      </c>
      <c r="D2860" s="813" t="s">
        <v>15452</v>
      </c>
      <c r="E2860" s="359" t="s">
        <v>6</v>
      </c>
      <c r="F2860" s="814"/>
      <c r="G2860" s="814"/>
      <c r="H2860" s="363">
        <f>TRUNC(SUM(H2862:H2867),2)</f>
        <v>2532.0500000000002</v>
      </c>
      <c r="I2860" s="276">
        <f>COUNTIF($C$8:$C2860,C:C)</f>
        <v>1</v>
      </c>
      <c r="J2860" s="368"/>
      <c r="K2860" s="368"/>
      <c r="L2860" s="368"/>
      <c r="M2860" s="368"/>
      <c r="N2860" s="368"/>
      <c r="O2860" s="368"/>
      <c r="P2860" s="368"/>
      <c r="Q2860" s="368"/>
      <c r="R2860" s="368"/>
      <c r="S2860" s="368"/>
      <c r="T2860" s="368"/>
      <c r="U2860" s="368"/>
      <c r="V2860" s="368"/>
      <c r="W2860" s="368"/>
      <c r="X2860" s="368"/>
      <c r="Y2860" s="368"/>
      <c r="Z2860" s="368"/>
      <c r="AA2860" s="368"/>
      <c r="AB2860" s="368"/>
    </row>
    <row r="2861" spans="1:31" ht="12.75">
      <c r="A2861" s="646" t="s">
        <v>14475</v>
      </c>
      <c r="B2861" s="694" t="s">
        <v>14476</v>
      </c>
      <c r="C2861" s="365">
        <v>98052</v>
      </c>
      <c r="D2861" s="367" t="s">
        <v>14587</v>
      </c>
      <c r="E2861" s="641"/>
      <c r="F2861" s="642"/>
      <c r="G2861" s="370"/>
      <c r="H2861" s="371"/>
      <c r="I2861" s="368"/>
      <c r="J2861" s="368"/>
      <c r="K2861" s="368"/>
      <c r="L2861" s="368"/>
      <c r="M2861" s="368"/>
      <c r="N2861" s="368"/>
      <c r="O2861" s="368"/>
      <c r="P2861" s="368"/>
      <c r="Q2861" s="368"/>
      <c r="R2861" s="368"/>
      <c r="S2861" s="368"/>
      <c r="T2861" s="368"/>
      <c r="U2861" s="368"/>
      <c r="V2861" s="368"/>
      <c r="W2861" s="368"/>
      <c r="X2861" s="368"/>
      <c r="Y2861" s="368"/>
      <c r="Z2861" s="368"/>
      <c r="AA2861" s="368"/>
      <c r="AB2861" s="368"/>
    </row>
    <row r="2862" spans="1:31" ht="25.5">
      <c r="A2862" s="586" t="s">
        <v>14478</v>
      </c>
      <c r="B2862" s="421" t="s">
        <v>14476</v>
      </c>
      <c r="C2862" s="422">
        <v>88267</v>
      </c>
      <c r="D2862" s="288" t="str">
        <f>IFERROR(VLOOKUP($C2862,'24.08_ND'!$A:$D,2,0),)</f>
        <v>ENCANADOR OU BOMBEIRO HIDRÁULICO COM ENCARGOS COMPLEMENTARES</v>
      </c>
      <c r="E2862" s="289" t="str">
        <f>IFERROR(VLOOKUP($C2862,'24.08_ND'!$A:$D,3,0),)</f>
        <v>H</v>
      </c>
      <c r="F2862" s="862">
        <v>1.5562</v>
      </c>
      <c r="G2862" s="291">
        <f>IFERROR(VLOOKUP($C2862,'24.08_ND'!$A:$D,4,0),)</f>
        <v>23.27</v>
      </c>
      <c r="H2862" s="423">
        <f>TRUNC(($F2862*$G2862),2)</f>
        <v>36.21</v>
      </c>
      <c r="I2862" s="368"/>
      <c r="J2862" s="368"/>
      <c r="K2862" s="368"/>
      <c r="L2862" s="368"/>
      <c r="M2862" s="368"/>
      <c r="N2862" s="368"/>
      <c r="O2862" s="368"/>
      <c r="P2862" s="368"/>
      <c r="Q2862" s="368"/>
      <c r="R2862" s="368"/>
      <c r="S2862" s="368"/>
      <c r="T2862" s="368"/>
      <c r="U2862" s="368"/>
      <c r="V2862" s="368"/>
      <c r="W2862" s="368"/>
      <c r="X2862" s="368"/>
      <c r="Y2862" s="368"/>
      <c r="Z2862" s="368"/>
      <c r="AA2862" s="368"/>
      <c r="AB2862" s="368"/>
      <c r="AD2862" s="1791" t="e">
        <f>VLOOKUP(C2862,'Medição '!$B$16:$F$1833,6,0)</f>
        <v>#N/A</v>
      </c>
      <c r="AE2862" s="1791"/>
    </row>
    <row r="2863" spans="1:31" ht="25.5">
      <c r="A2863" s="586" t="s">
        <v>14478</v>
      </c>
      <c r="B2863" s="421" t="s">
        <v>14476</v>
      </c>
      <c r="C2863" s="422">
        <v>101623</v>
      </c>
      <c r="D2863" s="288" t="str">
        <f>IFERROR(VLOOKUP($C2863,'24.08_ND'!$A:$D,2,0),)</f>
        <v>PREPARO DE FUNDO DE VALA COM LARGURA MENOR QUE 1,5 M, COM CAMADA DE BRITA, LANÇAMENTO MECANIZADO. AF_08/2020</v>
      </c>
      <c r="E2863" s="289" t="str">
        <f>IFERROR(VLOOKUP($C2863,'24.08_ND'!$A:$D,3,0),)</f>
        <v>M3</v>
      </c>
      <c r="F2863" s="862">
        <v>0.15390000000000001</v>
      </c>
      <c r="G2863" s="291">
        <f>IFERROR(VLOOKUP($C2863,'24.08_ND'!$A:$D,4,0),)</f>
        <v>271.10000000000002</v>
      </c>
      <c r="H2863" s="423">
        <f>TRUNC(($F2863*$G2863),2)</f>
        <v>41.72</v>
      </c>
      <c r="I2863" s="368"/>
      <c r="J2863" s="368"/>
      <c r="K2863" s="368"/>
      <c r="L2863" s="368"/>
      <c r="M2863" s="368"/>
      <c r="N2863" s="368"/>
      <c r="O2863" s="368"/>
      <c r="P2863" s="368"/>
      <c r="Q2863" s="368"/>
      <c r="R2863" s="368"/>
      <c r="S2863" s="368"/>
      <c r="T2863" s="368"/>
      <c r="U2863" s="368"/>
      <c r="V2863" s="368"/>
      <c r="W2863" s="368"/>
      <c r="X2863" s="368"/>
      <c r="Y2863" s="368"/>
      <c r="Z2863" s="368"/>
      <c r="AA2863" s="368"/>
      <c r="AB2863" s="368"/>
      <c r="AD2863" s="1791" t="e">
        <f>VLOOKUP(C2863,'Medição '!$B$16:$F$1833,6,0)</f>
        <v>#N/A</v>
      </c>
      <c r="AE2863" s="1791"/>
    </row>
    <row r="2864" spans="1:31" ht="43.5" customHeight="1">
      <c r="A2864" s="586" t="s">
        <v>14478</v>
      </c>
      <c r="B2864" s="421" t="s">
        <v>14476</v>
      </c>
      <c r="C2864" s="422">
        <v>5679</v>
      </c>
      <c r="D2864" s="288" t="str">
        <f>IFERROR(VLOOKUP($C2864,'24.08_ND'!$A:$D,2,0),)</f>
        <v>RETROESCAVADEIRA SOBRE RODAS COM CARREGADEIRA, TRAÇÃO 4X4, POTÊNCIA LÍQ. 88 HP, CAÇAMBA CARREG. CAP. MÍN. 1 M3, CAÇAMBA RETRO CAP. 0,26 M3, PESO OPERACIONAL MÍN. 6.674 KG, PROFUNDIDADE ESCAVAÇÃO MÁX. 4,37 M - CHI DIURNO. AF_06/2014</v>
      </c>
      <c r="E2864" s="289" t="str">
        <f>IFERROR(VLOOKUP($C2864,'24.08_ND'!$A:$D,3,0),)</f>
        <v>CHI</v>
      </c>
      <c r="F2864" s="862">
        <v>0.72240000000000004</v>
      </c>
      <c r="G2864" s="291">
        <f>IFERROR(VLOOKUP($C2864,'24.08_ND'!$A:$D,4,0),)</f>
        <v>50.18</v>
      </c>
      <c r="H2864" s="423">
        <f>TRUNC(($F2864*$G2864),2)</f>
        <v>36.25</v>
      </c>
      <c r="I2864" s="368"/>
      <c r="J2864" s="368"/>
      <c r="K2864" s="368"/>
      <c r="L2864" s="368"/>
      <c r="M2864" s="368"/>
      <c r="N2864" s="368"/>
      <c r="O2864" s="368"/>
      <c r="P2864" s="368"/>
      <c r="Q2864" s="368"/>
      <c r="R2864" s="368"/>
      <c r="S2864" s="368"/>
      <c r="T2864" s="368"/>
      <c r="U2864" s="368"/>
      <c r="V2864" s="368"/>
      <c r="W2864" s="368"/>
      <c r="X2864" s="368"/>
      <c r="Y2864" s="368"/>
      <c r="Z2864" s="368"/>
      <c r="AA2864" s="368"/>
      <c r="AB2864" s="368"/>
      <c r="AD2864" s="1791" t="e">
        <f>VLOOKUP(C2864,'Medição '!$B$16:$F$1833,6,0)</f>
        <v>#N/A</v>
      </c>
      <c r="AE2864" s="1791"/>
    </row>
    <row r="2865" spans="1:31" ht="41.25" customHeight="1">
      <c r="A2865" s="586" t="s">
        <v>14478</v>
      </c>
      <c r="B2865" s="421" t="s">
        <v>14476</v>
      </c>
      <c r="C2865" s="422">
        <v>5678</v>
      </c>
      <c r="D2865" s="288" t="str">
        <f>IFERROR(VLOOKUP($C2865,'24.08_ND'!$A:$D,2,0),)</f>
        <v>RETROESCAVADEIRA SOBRE RODAS COM CARREGADEIRA, TRAÇÃO 4X4, POTÊNCIA LÍQ. 88 HP, CAÇAMBA CARREG. CAP. MÍN. 1 M3, CAÇAMBA RETRO CAP. 0,26 M3, PESO OPERACIONAL MÍN. 6.674 KG, PROFUNDIDADE ESCAVAÇÃO MÁX. 4,37 M - CHP DIURNO. AF_06/2014</v>
      </c>
      <c r="E2865" s="289" t="str">
        <f>IFERROR(VLOOKUP($C2865,'24.08_ND'!$A:$D,3,0),)</f>
        <v>CHP</v>
      </c>
      <c r="F2865" s="862">
        <v>0.35449999999999998</v>
      </c>
      <c r="G2865" s="291">
        <f>IFERROR(VLOOKUP($C2865,'24.08_ND'!$A:$D,4,0),)</f>
        <v>124.7</v>
      </c>
      <c r="H2865" s="423">
        <f>TRUNC(($F2865*$G2865),2)</f>
        <v>44.2</v>
      </c>
      <c r="I2865" s="368"/>
      <c r="J2865" s="368"/>
      <c r="K2865" s="368"/>
      <c r="L2865" s="368"/>
      <c r="M2865" s="368"/>
      <c r="N2865" s="368"/>
      <c r="O2865" s="368"/>
      <c r="P2865" s="368"/>
      <c r="Q2865" s="368"/>
      <c r="R2865" s="368"/>
      <c r="S2865" s="368"/>
      <c r="T2865" s="368"/>
      <c r="U2865" s="368"/>
      <c r="V2865" s="368"/>
      <c r="W2865" s="368"/>
      <c r="X2865" s="368"/>
      <c r="Y2865" s="368"/>
      <c r="Z2865" s="368"/>
      <c r="AA2865" s="368"/>
      <c r="AB2865" s="368"/>
      <c r="AD2865" s="1791" t="e">
        <f>VLOOKUP(C2865,'Medição '!$B$16:$F$1833,6,0)</f>
        <v>#N/A</v>
      </c>
      <c r="AE2865" s="1791"/>
    </row>
    <row r="2866" spans="1:31" ht="25.5">
      <c r="A2866" s="586" t="s">
        <v>14478</v>
      </c>
      <c r="B2866" s="421" t="s">
        <v>14476</v>
      </c>
      <c r="C2866" s="422">
        <v>88248</v>
      </c>
      <c r="D2866" s="288" t="str">
        <f>IFERROR(VLOOKUP($C2866,'24.08_ND'!$A:$D,2,0),)</f>
        <v>AUXILIAR DE ENCANADOR OU BOMBEIRO HIDRÁULICO COM ENCARGOS COMPLEMENTARES</v>
      </c>
      <c r="E2866" s="289" t="str">
        <f>IFERROR(VLOOKUP($C2866,'24.08_ND'!$A:$D,3,0),)</f>
        <v>H</v>
      </c>
      <c r="F2866" s="871">
        <v>1.2228000000000001</v>
      </c>
      <c r="G2866" s="291">
        <f>IFERROR(VLOOKUP($C2866,'24.08_ND'!$A:$D,4,0),)</f>
        <v>19.05</v>
      </c>
      <c r="H2866" s="423">
        <f>TRUNC(($F2866*$G2866),2)</f>
        <v>23.29</v>
      </c>
      <c r="I2866" s="368"/>
      <c r="J2866" s="368"/>
      <c r="K2866" s="368"/>
      <c r="L2866" s="368"/>
      <c r="M2866" s="368"/>
      <c r="N2866" s="368"/>
      <c r="O2866" s="368"/>
      <c r="P2866" s="368"/>
      <c r="Q2866" s="368"/>
      <c r="R2866" s="368"/>
      <c r="S2866" s="368"/>
      <c r="T2866" s="368"/>
      <c r="U2866" s="368"/>
      <c r="V2866" s="368"/>
      <c r="W2866" s="368"/>
      <c r="X2866" s="368"/>
      <c r="Y2866" s="368"/>
      <c r="Z2866" s="368"/>
      <c r="AA2866" s="368"/>
      <c r="AB2866" s="368"/>
      <c r="AD2866" s="1791" t="e">
        <f>VLOOKUP(C2866,'Medição '!$B$16:$F$1833,6,0)</f>
        <v>#N/A</v>
      </c>
      <c r="AE2866" s="1791"/>
    </row>
    <row r="2867" spans="1:31" ht="12.75">
      <c r="A2867" s="872" t="s">
        <v>14479</v>
      </c>
      <c r="B2867" s="873" t="s">
        <v>14491</v>
      </c>
      <c r="C2867" s="874" t="s">
        <v>15453</v>
      </c>
      <c r="D2867" s="875" t="str">
        <f>VLOOKUP($C2867,'09 - MC'!$A:$F,2,0)</f>
        <v>TANQUE SEPTICO DE FIBRA DE VIDRO 2100L</v>
      </c>
      <c r="E2867" s="876" t="str">
        <f>VLOOKUP($C2867,'09 - MC'!$A:$F,3,0)</f>
        <v>UN</v>
      </c>
      <c r="F2867" s="877">
        <v>1</v>
      </c>
      <c r="G2867" s="878">
        <f>VLOOKUP($C2867,'09 - MC'!$A:$F,6,0)</f>
        <v>2350.38</v>
      </c>
      <c r="H2867" s="879">
        <f>TRUNC(G2867*F2867,2)</f>
        <v>2350.38</v>
      </c>
      <c r="I2867" s="368"/>
      <c r="J2867" s="368"/>
      <c r="K2867" s="368"/>
      <c r="L2867" s="368"/>
      <c r="M2867" s="368"/>
      <c r="N2867" s="368"/>
      <c r="O2867" s="368"/>
      <c r="P2867" s="368"/>
      <c r="Q2867" s="368"/>
      <c r="R2867" s="368"/>
      <c r="S2867" s="368"/>
      <c r="T2867" s="368"/>
      <c r="U2867" s="368"/>
      <c r="V2867" s="368"/>
      <c r="W2867" s="368"/>
      <c r="X2867" s="368"/>
      <c r="Y2867" s="368"/>
      <c r="Z2867" s="368"/>
      <c r="AA2867" s="368"/>
      <c r="AB2867" s="368"/>
    </row>
    <row r="2868" spans="1:31" ht="12.75">
      <c r="A2868" s="793"/>
      <c r="B2868" s="794"/>
      <c r="C2868" s="794"/>
      <c r="D2868" s="794"/>
      <c r="E2868" s="641"/>
      <c r="F2868" s="641"/>
      <c r="G2868" s="641"/>
      <c r="H2868" s="865"/>
      <c r="I2868" s="368"/>
      <c r="J2868" s="368"/>
      <c r="K2868" s="368"/>
      <c r="L2868" s="368"/>
      <c r="M2868" s="368"/>
      <c r="N2868" s="368"/>
      <c r="O2868" s="368"/>
      <c r="P2868" s="368"/>
      <c r="Q2868" s="368"/>
      <c r="R2868" s="368"/>
      <c r="S2868" s="368"/>
      <c r="T2868" s="368"/>
      <c r="U2868" s="368"/>
      <c r="V2868" s="368"/>
      <c r="W2868" s="368"/>
      <c r="X2868" s="368"/>
      <c r="Y2868" s="368"/>
      <c r="Z2868" s="368"/>
      <c r="AA2868" s="368"/>
      <c r="AB2868" s="368"/>
    </row>
    <row r="2869" spans="1:31" ht="12.75">
      <c r="A2869" s="358" t="s">
        <v>14471</v>
      </c>
      <c r="B2869" s="359" t="s">
        <v>14472</v>
      </c>
      <c r="C2869" s="359" t="s">
        <v>15454</v>
      </c>
      <c r="D2869" s="813" t="s">
        <v>15455</v>
      </c>
      <c r="E2869" s="359" t="s">
        <v>6</v>
      </c>
      <c r="F2869" s="814"/>
      <c r="G2869" s="814"/>
      <c r="H2869" s="363">
        <f>TRUNC(SUM(H2871:H2876),2)</f>
        <v>2905.56</v>
      </c>
      <c r="I2869" s="276">
        <f>COUNTIF($C$8:$C2869,C:C)</f>
        <v>1</v>
      </c>
      <c r="J2869" s="368"/>
      <c r="K2869" s="368"/>
      <c r="L2869" s="368"/>
      <c r="M2869" s="368"/>
      <c r="N2869" s="368"/>
      <c r="O2869" s="368"/>
      <c r="P2869" s="368"/>
      <c r="Q2869" s="368"/>
      <c r="R2869" s="368"/>
      <c r="S2869" s="368"/>
      <c r="T2869" s="368"/>
      <c r="U2869" s="368"/>
      <c r="V2869" s="368"/>
      <c r="W2869" s="368"/>
      <c r="X2869" s="368"/>
      <c r="Y2869" s="368"/>
      <c r="Z2869" s="368"/>
      <c r="AA2869" s="368"/>
      <c r="AB2869" s="368"/>
    </row>
    <row r="2870" spans="1:31" ht="12.75">
      <c r="A2870" s="646" t="s">
        <v>14475</v>
      </c>
      <c r="B2870" s="694" t="s">
        <v>14476</v>
      </c>
      <c r="C2870" s="365">
        <v>98052</v>
      </c>
      <c r="D2870" s="367" t="s">
        <v>14587</v>
      </c>
      <c r="E2870" s="641"/>
      <c r="F2870" s="642"/>
      <c r="G2870" s="370"/>
      <c r="H2870" s="371"/>
      <c r="I2870" s="368"/>
      <c r="J2870" s="368"/>
      <c r="K2870" s="368"/>
      <c r="L2870" s="368"/>
      <c r="M2870" s="368"/>
      <c r="N2870" s="368"/>
      <c r="O2870" s="368"/>
      <c r="P2870" s="368"/>
      <c r="Q2870" s="368"/>
      <c r="R2870" s="368"/>
      <c r="S2870" s="368"/>
      <c r="T2870" s="368"/>
      <c r="U2870" s="368"/>
      <c r="V2870" s="368"/>
      <c r="W2870" s="368"/>
      <c r="X2870" s="368"/>
      <c r="Y2870" s="368"/>
      <c r="Z2870" s="368"/>
      <c r="AA2870" s="368"/>
      <c r="AB2870" s="368"/>
    </row>
    <row r="2871" spans="1:31" ht="25.5">
      <c r="A2871" s="586" t="s">
        <v>14478</v>
      </c>
      <c r="B2871" s="421" t="s">
        <v>14476</v>
      </c>
      <c r="C2871" s="422">
        <v>88267</v>
      </c>
      <c r="D2871" s="288" t="str">
        <f>IFERROR(VLOOKUP($C2871,'24.08_ND'!$A:$D,2,0),)</f>
        <v>ENCANADOR OU BOMBEIRO HIDRÁULICO COM ENCARGOS COMPLEMENTARES</v>
      </c>
      <c r="E2871" s="289" t="str">
        <f>IFERROR(VLOOKUP($C2871,'24.08_ND'!$A:$D,3,0),)</f>
        <v>H</v>
      </c>
      <c r="F2871" s="862">
        <v>1.5562</v>
      </c>
      <c r="G2871" s="291">
        <f>IFERROR(VLOOKUP($C2871,'24.08_ND'!$A:$D,4,0),)</f>
        <v>23.27</v>
      </c>
      <c r="H2871" s="423">
        <f>TRUNC(($F2871*$G2871),2)</f>
        <v>36.21</v>
      </c>
      <c r="I2871" s="368"/>
      <c r="J2871" s="368"/>
      <c r="K2871" s="368"/>
      <c r="L2871" s="368"/>
      <c r="M2871" s="368"/>
      <c r="N2871" s="368"/>
      <c r="O2871" s="368"/>
      <c r="P2871" s="368"/>
      <c r="Q2871" s="368"/>
      <c r="R2871" s="368"/>
      <c r="S2871" s="368"/>
      <c r="T2871" s="368"/>
      <c r="U2871" s="368"/>
      <c r="V2871" s="368"/>
      <c r="W2871" s="368"/>
      <c r="X2871" s="368"/>
      <c r="Y2871" s="368"/>
      <c r="Z2871" s="368"/>
      <c r="AA2871" s="368"/>
      <c r="AB2871" s="368"/>
      <c r="AD2871" s="1791" t="e">
        <f>VLOOKUP(C2871,'Medição '!$B$16:$F$1833,6,0)</f>
        <v>#N/A</v>
      </c>
      <c r="AE2871" s="1791"/>
    </row>
    <row r="2872" spans="1:31" ht="25.5">
      <c r="A2872" s="586" t="s">
        <v>14478</v>
      </c>
      <c r="B2872" s="421" t="s">
        <v>14476</v>
      </c>
      <c r="C2872" s="422">
        <v>101623</v>
      </c>
      <c r="D2872" s="288" t="str">
        <f>IFERROR(VLOOKUP($C2872,'24.08_ND'!$A:$D,2,0),)</f>
        <v>PREPARO DE FUNDO DE VALA COM LARGURA MENOR QUE 1,5 M, COM CAMADA DE BRITA, LANÇAMENTO MECANIZADO. AF_08/2020</v>
      </c>
      <c r="E2872" s="289" t="str">
        <f>IFERROR(VLOOKUP($C2872,'24.08_ND'!$A:$D,3,0),)</f>
        <v>M3</v>
      </c>
      <c r="F2872" s="862">
        <v>0.15390000000000001</v>
      </c>
      <c r="G2872" s="291">
        <f>IFERROR(VLOOKUP($C2872,'24.08_ND'!$A:$D,4,0),)</f>
        <v>271.10000000000002</v>
      </c>
      <c r="H2872" s="423">
        <f>TRUNC(($F2872*$G2872),2)</f>
        <v>41.72</v>
      </c>
      <c r="I2872" s="368"/>
      <c r="J2872" s="368"/>
      <c r="K2872" s="368"/>
      <c r="L2872" s="368"/>
      <c r="M2872" s="368"/>
      <c r="N2872" s="368"/>
      <c r="O2872" s="368"/>
      <c r="P2872" s="368"/>
      <c r="Q2872" s="368"/>
      <c r="R2872" s="368"/>
      <c r="S2872" s="368"/>
      <c r="T2872" s="368"/>
      <c r="U2872" s="368"/>
      <c r="V2872" s="368"/>
      <c r="W2872" s="368"/>
      <c r="X2872" s="368"/>
      <c r="Y2872" s="368"/>
      <c r="Z2872" s="368"/>
      <c r="AA2872" s="368"/>
      <c r="AB2872" s="368"/>
      <c r="AD2872" s="1791" t="e">
        <f>VLOOKUP(C2872,'Medição '!$B$16:$F$1833,6,0)</f>
        <v>#N/A</v>
      </c>
      <c r="AE2872" s="1791"/>
    </row>
    <row r="2873" spans="1:31" ht="45.75" customHeight="1">
      <c r="A2873" s="586" t="s">
        <v>14478</v>
      </c>
      <c r="B2873" s="421" t="s">
        <v>14476</v>
      </c>
      <c r="C2873" s="422">
        <v>5679</v>
      </c>
      <c r="D2873" s="288" t="str">
        <f>IFERROR(VLOOKUP($C2873,'24.08_ND'!$A:$D,2,0),)</f>
        <v>RETROESCAVADEIRA SOBRE RODAS COM CARREGADEIRA, TRAÇÃO 4X4, POTÊNCIA LÍQ. 88 HP, CAÇAMBA CARREG. CAP. MÍN. 1 M3, CAÇAMBA RETRO CAP. 0,26 M3, PESO OPERACIONAL MÍN. 6.674 KG, PROFUNDIDADE ESCAVAÇÃO MÁX. 4,37 M - CHI DIURNO. AF_06/2014</v>
      </c>
      <c r="E2873" s="289" t="str">
        <f>IFERROR(VLOOKUP($C2873,'24.08_ND'!$A:$D,3,0),)</f>
        <v>CHI</v>
      </c>
      <c r="F2873" s="862">
        <v>0.72240000000000004</v>
      </c>
      <c r="G2873" s="291">
        <f>IFERROR(VLOOKUP($C2873,'24.08_ND'!$A:$D,4,0),)</f>
        <v>50.18</v>
      </c>
      <c r="H2873" s="423">
        <f>TRUNC(($F2873*$G2873),2)</f>
        <v>36.25</v>
      </c>
      <c r="I2873" s="368"/>
      <c r="J2873" s="368"/>
      <c r="K2873" s="368"/>
      <c r="L2873" s="368"/>
      <c r="M2873" s="368"/>
      <c r="N2873" s="368"/>
      <c r="O2873" s="368"/>
      <c r="P2873" s="368"/>
      <c r="Q2873" s="368"/>
      <c r="R2873" s="368"/>
      <c r="S2873" s="368"/>
      <c r="T2873" s="368"/>
      <c r="U2873" s="368"/>
      <c r="V2873" s="368"/>
      <c r="W2873" s="368"/>
      <c r="X2873" s="368"/>
      <c r="Y2873" s="368"/>
      <c r="Z2873" s="368"/>
      <c r="AA2873" s="368"/>
      <c r="AB2873" s="368"/>
      <c r="AD2873" s="1791" t="e">
        <f>VLOOKUP(C2873,'Medição '!$B$16:$F$1833,6,0)</f>
        <v>#N/A</v>
      </c>
      <c r="AE2873" s="1791"/>
    </row>
    <row r="2874" spans="1:31" ht="42" customHeight="1">
      <c r="A2874" s="586" t="s">
        <v>14478</v>
      </c>
      <c r="B2874" s="421" t="s">
        <v>14476</v>
      </c>
      <c r="C2874" s="422">
        <v>5678</v>
      </c>
      <c r="D2874" s="288" t="str">
        <f>IFERROR(VLOOKUP($C2874,'24.08_ND'!$A:$D,2,0),)</f>
        <v>RETROESCAVADEIRA SOBRE RODAS COM CARREGADEIRA, TRAÇÃO 4X4, POTÊNCIA LÍQ. 88 HP, CAÇAMBA CARREG. CAP. MÍN. 1 M3, CAÇAMBA RETRO CAP. 0,26 M3, PESO OPERACIONAL MÍN. 6.674 KG, PROFUNDIDADE ESCAVAÇÃO MÁX. 4,37 M - CHP DIURNO. AF_06/2014</v>
      </c>
      <c r="E2874" s="289" t="str">
        <f>IFERROR(VLOOKUP($C2874,'24.08_ND'!$A:$D,3,0),)</f>
        <v>CHP</v>
      </c>
      <c r="F2874" s="862">
        <v>0.35449999999999998</v>
      </c>
      <c r="G2874" s="291">
        <f>IFERROR(VLOOKUP($C2874,'24.08_ND'!$A:$D,4,0),)</f>
        <v>124.7</v>
      </c>
      <c r="H2874" s="423">
        <f>TRUNC(($F2874*$G2874),2)</f>
        <v>44.2</v>
      </c>
      <c r="I2874" s="368"/>
      <c r="J2874" s="368"/>
      <c r="K2874" s="368"/>
      <c r="L2874" s="368"/>
      <c r="M2874" s="368"/>
      <c r="N2874" s="368"/>
      <c r="O2874" s="368"/>
      <c r="P2874" s="368"/>
      <c r="Q2874" s="368"/>
      <c r="R2874" s="368"/>
      <c r="S2874" s="368"/>
      <c r="T2874" s="368"/>
      <c r="U2874" s="368"/>
      <c r="V2874" s="368"/>
      <c r="W2874" s="368"/>
      <c r="X2874" s="368"/>
      <c r="Y2874" s="368"/>
      <c r="Z2874" s="368"/>
      <c r="AA2874" s="368"/>
      <c r="AB2874" s="368"/>
      <c r="AD2874" s="1791" t="e">
        <f>VLOOKUP(C2874,'Medição '!$B$16:$F$1833,6,0)</f>
        <v>#N/A</v>
      </c>
      <c r="AE2874" s="1791"/>
    </row>
    <row r="2875" spans="1:31" ht="25.5">
      <c r="A2875" s="586" t="s">
        <v>14478</v>
      </c>
      <c r="B2875" s="421" t="s">
        <v>14476</v>
      </c>
      <c r="C2875" s="422">
        <v>88248</v>
      </c>
      <c r="D2875" s="288" t="str">
        <f>IFERROR(VLOOKUP($C2875,'24.08_ND'!$A:$D,2,0),)</f>
        <v>AUXILIAR DE ENCANADOR OU BOMBEIRO HIDRÁULICO COM ENCARGOS COMPLEMENTARES</v>
      </c>
      <c r="E2875" s="289" t="str">
        <f>IFERROR(VLOOKUP($C2875,'24.08_ND'!$A:$D,3,0),)</f>
        <v>H</v>
      </c>
      <c r="F2875" s="871">
        <v>1.2228000000000001</v>
      </c>
      <c r="G2875" s="291">
        <f>IFERROR(VLOOKUP($C2875,'24.08_ND'!$A:$D,4,0),)</f>
        <v>19.05</v>
      </c>
      <c r="H2875" s="423">
        <f>TRUNC(($F2875*$G2875),2)</f>
        <v>23.29</v>
      </c>
      <c r="I2875" s="368"/>
      <c r="J2875" s="368"/>
      <c r="K2875" s="368"/>
      <c r="L2875" s="368"/>
      <c r="M2875" s="368"/>
      <c r="N2875" s="368"/>
      <c r="O2875" s="368"/>
      <c r="P2875" s="368"/>
      <c r="Q2875" s="368"/>
      <c r="R2875" s="368"/>
      <c r="S2875" s="368"/>
      <c r="T2875" s="368"/>
      <c r="U2875" s="368"/>
      <c r="V2875" s="368"/>
      <c r="W2875" s="368"/>
      <c r="X2875" s="368"/>
      <c r="Y2875" s="368"/>
      <c r="Z2875" s="368"/>
      <c r="AA2875" s="368"/>
      <c r="AB2875" s="368"/>
      <c r="AD2875" s="1791" t="e">
        <f>VLOOKUP(C2875,'Medição '!$B$16:$F$1833,6,0)</f>
        <v>#N/A</v>
      </c>
      <c r="AE2875" s="1791"/>
    </row>
    <row r="2876" spans="1:31" ht="12.75">
      <c r="A2876" s="872" t="s">
        <v>14479</v>
      </c>
      <c r="B2876" s="873" t="s">
        <v>14491</v>
      </c>
      <c r="C2876" s="874" t="s">
        <v>15456</v>
      </c>
      <c r="D2876" s="875" t="str">
        <f>VLOOKUP($C2876,'09 - MC'!$A:$F,2,0)</f>
        <v>FILTRO BIOLÓGICO DE FIBRA DE VIDRO 2100L</v>
      </c>
      <c r="E2876" s="876" t="str">
        <f>VLOOKUP($C2876,'09 - MC'!$A:$F,3,0)</f>
        <v>UN</v>
      </c>
      <c r="F2876" s="877">
        <v>1</v>
      </c>
      <c r="G2876" s="878">
        <f>VLOOKUP($C2876,'09 - MC'!$A:$F,6,0)</f>
        <v>2723.89</v>
      </c>
      <c r="H2876" s="879">
        <f>TRUNC(G2876*F2876,2)</f>
        <v>2723.89</v>
      </c>
      <c r="I2876" s="368"/>
      <c r="J2876" s="368"/>
      <c r="K2876" s="368"/>
      <c r="L2876" s="368"/>
      <c r="M2876" s="368"/>
      <c r="N2876" s="368"/>
      <c r="O2876" s="368"/>
      <c r="P2876" s="368"/>
      <c r="Q2876" s="368"/>
      <c r="R2876" s="368"/>
      <c r="S2876" s="368"/>
      <c r="T2876" s="368"/>
      <c r="U2876" s="368"/>
      <c r="V2876" s="368"/>
      <c r="W2876" s="368"/>
      <c r="X2876" s="368"/>
      <c r="Y2876" s="368"/>
      <c r="Z2876" s="368"/>
      <c r="AA2876" s="368"/>
      <c r="AB2876" s="368"/>
    </row>
    <row r="2877" spans="1:31" ht="12.75">
      <c r="A2877" s="793"/>
      <c r="B2877" s="794"/>
      <c r="C2877" s="794"/>
      <c r="D2877" s="794"/>
      <c r="E2877" s="641"/>
      <c r="F2877" s="641"/>
      <c r="G2877" s="641"/>
      <c r="H2877" s="865"/>
      <c r="I2877" s="368"/>
      <c r="J2877" s="368"/>
      <c r="K2877" s="368"/>
      <c r="L2877" s="368"/>
      <c r="M2877" s="368"/>
      <c r="N2877" s="368"/>
      <c r="O2877" s="368"/>
      <c r="P2877" s="368"/>
      <c r="Q2877" s="368"/>
      <c r="R2877" s="368"/>
      <c r="S2877" s="368"/>
      <c r="T2877" s="368"/>
      <c r="U2877" s="368"/>
      <c r="V2877" s="368"/>
      <c r="W2877" s="368"/>
      <c r="X2877" s="368"/>
      <c r="Y2877" s="368"/>
      <c r="Z2877" s="368"/>
      <c r="AA2877" s="368"/>
      <c r="AB2877" s="368"/>
    </row>
    <row r="2878" spans="1:31" ht="12.75">
      <c r="A2878" s="358" t="s">
        <v>14471</v>
      </c>
      <c r="B2878" s="359" t="s">
        <v>14472</v>
      </c>
      <c r="C2878" s="359" t="s">
        <v>15457</v>
      </c>
      <c r="D2878" s="813" t="s">
        <v>15458</v>
      </c>
      <c r="E2878" s="359" t="s">
        <v>6</v>
      </c>
      <c r="F2878" s="814"/>
      <c r="G2878" s="814"/>
      <c r="H2878" s="363">
        <f>TRUNC(SUM(H2880:H2885),2)</f>
        <v>381.31</v>
      </c>
      <c r="I2878" s="276">
        <f>COUNTIF($C$8:$C2878,C:C)</f>
        <v>1</v>
      </c>
      <c r="J2878" s="368"/>
      <c r="K2878" s="368"/>
      <c r="L2878" s="368"/>
      <c r="M2878" s="368"/>
      <c r="N2878" s="368"/>
      <c r="O2878" s="368"/>
      <c r="P2878" s="368"/>
      <c r="Q2878" s="368"/>
      <c r="R2878" s="368"/>
      <c r="S2878" s="368"/>
      <c r="T2878" s="368"/>
      <c r="U2878" s="368"/>
      <c r="V2878" s="368"/>
      <c r="W2878" s="368"/>
      <c r="X2878" s="368"/>
      <c r="Y2878" s="368"/>
      <c r="Z2878" s="368"/>
      <c r="AA2878" s="368"/>
      <c r="AB2878" s="368"/>
    </row>
    <row r="2879" spans="1:31" ht="12.75">
      <c r="A2879" s="646" t="s">
        <v>14475</v>
      </c>
      <c r="B2879" s="694" t="s">
        <v>14476</v>
      </c>
      <c r="C2879" s="365">
        <v>98052</v>
      </c>
      <c r="D2879" s="367" t="s">
        <v>14587</v>
      </c>
      <c r="E2879" s="641"/>
      <c r="F2879" s="642"/>
      <c r="G2879" s="370"/>
      <c r="H2879" s="371"/>
      <c r="I2879" s="368"/>
      <c r="J2879" s="368"/>
      <c r="K2879" s="368"/>
      <c r="L2879" s="368"/>
      <c r="M2879" s="368"/>
      <c r="N2879" s="368"/>
      <c r="O2879" s="368"/>
      <c r="P2879" s="368"/>
      <c r="Q2879" s="368"/>
      <c r="R2879" s="368"/>
      <c r="S2879" s="368"/>
      <c r="T2879" s="368"/>
      <c r="U2879" s="368"/>
      <c r="V2879" s="368"/>
      <c r="W2879" s="368"/>
      <c r="X2879" s="368"/>
      <c r="Y2879" s="368"/>
      <c r="Z2879" s="368"/>
      <c r="AA2879" s="368"/>
      <c r="AB2879" s="368"/>
    </row>
    <row r="2880" spans="1:31" ht="25.5">
      <c r="A2880" s="586" t="s">
        <v>14478</v>
      </c>
      <c r="B2880" s="421" t="s">
        <v>14476</v>
      </c>
      <c r="C2880" s="422">
        <v>88267</v>
      </c>
      <c r="D2880" s="288" t="str">
        <f>IFERROR(VLOOKUP($C2880,'24.08_ND'!$A:$D,2,0),)</f>
        <v>ENCANADOR OU BOMBEIRO HIDRÁULICO COM ENCARGOS COMPLEMENTARES</v>
      </c>
      <c r="E2880" s="289" t="str">
        <f>IFERROR(VLOOKUP($C2880,'24.08_ND'!$A:$D,3,0),)</f>
        <v>H</v>
      </c>
      <c r="F2880" s="862">
        <v>1.1000000000000001</v>
      </c>
      <c r="G2880" s="291">
        <f>IFERROR(VLOOKUP($C2880,'24.08_ND'!$A:$D,4,0),)</f>
        <v>23.27</v>
      </c>
      <c r="H2880" s="423">
        <f>TRUNC(($F2880*$G2880),2)</f>
        <v>25.59</v>
      </c>
      <c r="I2880" s="368"/>
      <c r="J2880" s="368"/>
      <c r="K2880" s="368"/>
      <c r="L2880" s="368"/>
      <c r="M2880" s="368"/>
      <c r="N2880" s="368"/>
      <c r="O2880" s="368"/>
      <c r="P2880" s="368"/>
      <c r="Q2880" s="368"/>
      <c r="R2880" s="368"/>
      <c r="S2880" s="368"/>
      <c r="T2880" s="368"/>
      <c r="U2880" s="368"/>
      <c r="V2880" s="368"/>
      <c r="W2880" s="368"/>
      <c r="X2880" s="368"/>
      <c r="Y2880" s="368"/>
      <c r="Z2880" s="368"/>
      <c r="AA2880" s="368"/>
      <c r="AB2880" s="368"/>
      <c r="AD2880" s="1791" t="e">
        <f>VLOOKUP(C2880,'Medição '!$B$16:$F$1833,6,0)</f>
        <v>#N/A</v>
      </c>
      <c r="AE2880" s="1791"/>
    </row>
    <row r="2881" spans="1:31" ht="25.5">
      <c r="A2881" s="586" t="s">
        <v>14478</v>
      </c>
      <c r="B2881" s="421" t="s">
        <v>14476</v>
      </c>
      <c r="C2881" s="422">
        <v>101623</v>
      </c>
      <c r="D2881" s="288" t="str">
        <f>IFERROR(VLOOKUP($C2881,'24.08_ND'!$A:$D,2,0),)</f>
        <v>PREPARO DE FUNDO DE VALA COM LARGURA MENOR QUE 1,5 M, COM CAMADA DE BRITA, LANÇAMENTO MECANIZADO. AF_08/2020</v>
      </c>
      <c r="E2881" s="289" t="str">
        <f>IFERROR(VLOOKUP($C2881,'24.08_ND'!$A:$D,3,0),)</f>
        <v>M3</v>
      </c>
      <c r="F2881" s="862">
        <v>7.0000000000000007E-2</v>
      </c>
      <c r="G2881" s="291">
        <f>IFERROR(VLOOKUP($C2881,'24.08_ND'!$A:$D,4,0),)</f>
        <v>271.10000000000002</v>
      </c>
      <c r="H2881" s="423">
        <f>TRUNC(($F2881*$G2881),2)</f>
        <v>18.97</v>
      </c>
      <c r="I2881" s="368"/>
      <c r="J2881" s="368"/>
      <c r="K2881" s="368"/>
      <c r="L2881" s="368"/>
      <c r="M2881" s="368"/>
      <c r="N2881" s="368"/>
      <c r="O2881" s="368"/>
      <c r="P2881" s="368"/>
      <c r="Q2881" s="368"/>
      <c r="R2881" s="368"/>
      <c r="S2881" s="368"/>
      <c r="T2881" s="368"/>
      <c r="U2881" s="368"/>
      <c r="V2881" s="368"/>
      <c r="W2881" s="368"/>
      <c r="X2881" s="368"/>
      <c r="Y2881" s="368"/>
      <c r="Z2881" s="368"/>
      <c r="AA2881" s="368"/>
      <c r="AB2881" s="368"/>
      <c r="AD2881" s="1791" t="e">
        <f>VLOOKUP(C2881,'Medição '!$B$16:$F$1833,6,0)</f>
        <v>#N/A</v>
      </c>
      <c r="AE2881" s="1791"/>
    </row>
    <row r="2882" spans="1:31" ht="46.5" customHeight="1">
      <c r="A2882" s="586" t="s">
        <v>14478</v>
      </c>
      <c r="B2882" s="421" t="s">
        <v>14476</v>
      </c>
      <c r="C2882" s="422">
        <v>5679</v>
      </c>
      <c r="D2882" s="288" t="str">
        <f>IFERROR(VLOOKUP($C2882,'24.08_ND'!$A:$D,2,0),)</f>
        <v>RETROESCAVADEIRA SOBRE RODAS COM CARREGADEIRA, TRAÇÃO 4X4, POTÊNCIA LÍQ. 88 HP, CAÇAMBA CARREG. CAP. MÍN. 1 M3, CAÇAMBA RETRO CAP. 0,26 M3, PESO OPERACIONAL MÍN. 6.674 KG, PROFUNDIDADE ESCAVAÇÃO MÁX. 4,37 M - CHI DIURNO. AF_06/2014</v>
      </c>
      <c r="E2882" s="289" t="str">
        <f>IFERROR(VLOOKUP($C2882,'24.08_ND'!$A:$D,3,0),)</f>
        <v>CHI</v>
      </c>
      <c r="F2882" s="862">
        <v>0.35</v>
      </c>
      <c r="G2882" s="291">
        <f>IFERROR(VLOOKUP($C2882,'24.08_ND'!$A:$D,4,0),)</f>
        <v>50.18</v>
      </c>
      <c r="H2882" s="423">
        <f>TRUNC(($F2882*$G2882),2)</f>
        <v>17.559999999999999</v>
      </c>
      <c r="I2882" s="368"/>
      <c r="J2882" s="368"/>
      <c r="K2882" s="368"/>
      <c r="L2882" s="368"/>
      <c r="M2882" s="368"/>
      <c r="N2882" s="368"/>
      <c r="O2882" s="368"/>
      <c r="P2882" s="368"/>
      <c r="Q2882" s="368"/>
      <c r="R2882" s="368"/>
      <c r="S2882" s="368"/>
      <c r="T2882" s="368"/>
      <c r="U2882" s="368"/>
      <c r="V2882" s="368"/>
      <c r="W2882" s="368"/>
      <c r="X2882" s="368"/>
      <c r="Y2882" s="368"/>
      <c r="Z2882" s="368"/>
      <c r="AA2882" s="368"/>
      <c r="AB2882" s="368"/>
      <c r="AD2882" s="1791" t="e">
        <f>VLOOKUP(C2882,'Medição '!$B$16:$F$1833,6,0)</f>
        <v>#N/A</v>
      </c>
      <c r="AE2882" s="1791"/>
    </row>
    <row r="2883" spans="1:31" ht="42.75" customHeight="1">
      <c r="A2883" s="586" t="s">
        <v>14478</v>
      </c>
      <c r="B2883" s="421" t="s">
        <v>14476</v>
      </c>
      <c r="C2883" s="422">
        <v>5678</v>
      </c>
      <c r="D2883" s="288" t="str">
        <f>IFERROR(VLOOKUP($C2883,'24.08_ND'!$A:$D,2,0),)</f>
        <v>RETROESCAVADEIRA SOBRE RODAS COM CARREGADEIRA, TRAÇÃO 4X4, POTÊNCIA LÍQ. 88 HP, CAÇAMBA CARREG. CAP. MÍN. 1 M3, CAÇAMBA RETRO CAP. 0,26 M3, PESO OPERACIONAL MÍN. 6.674 KG, PROFUNDIDADE ESCAVAÇÃO MÁX. 4,37 M - CHP DIURNO. AF_06/2014</v>
      </c>
      <c r="E2883" s="289" t="str">
        <f>IFERROR(VLOOKUP($C2883,'24.08_ND'!$A:$D,3,0),)</f>
        <v>CHP</v>
      </c>
      <c r="F2883" s="862">
        <v>0.2</v>
      </c>
      <c r="G2883" s="291">
        <f>IFERROR(VLOOKUP($C2883,'24.08_ND'!$A:$D,4,0),)</f>
        <v>124.7</v>
      </c>
      <c r="H2883" s="423">
        <f>TRUNC(($F2883*$G2883),2)</f>
        <v>24.94</v>
      </c>
      <c r="I2883" s="368"/>
      <c r="J2883" s="368"/>
      <c r="K2883" s="368"/>
      <c r="L2883" s="368"/>
      <c r="M2883" s="368"/>
      <c r="N2883" s="368"/>
      <c r="O2883" s="368"/>
      <c r="P2883" s="368"/>
      <c r="Q2883" s="368"/>
      <c r="R2883" s="368"/>
      <c r="S2883" s="368"/>
      <c r="T2883" s="368"/>
      <c r="U2883" s="368"/>
      <c r="V2883" s="368"/>
      <c r="W2883" s="368"/>
      <c r="X2883" s="368"/>
      <c r="Y2883" s="368"/>
      <c r="Z2883" s="368"/>
      <c r="AA2883" s="368"/>
      <c r="AB2883" s="368"/>
      <c r="AD2883" s="1791" t="e">
        <f>VLOOKUP(C2883,'Medição '!$B$16:$F$1833,6,0)</f>
        <v>#N/A</v>
      </c>
      <c r="AE2883" s="1791"/>
    </row>
    <row r="2884" spans="1:31" ht="25.5">
      <c r="A2884" s="586" t="s">
        <v>14478</v>
      </c>
      <c r="B2884" s="421" t="s">
        <v>14476</v>
      </c>
      <c r="C2884" s="422">
        <v>88248</v>
      </c>
      <c r="D2884" s="288" t="str">
        <f>IFERROR(VLOOKUP($C2884,'24.08_ND'!$A:$D,2,0),)</f>
        <v>AUXILIAR DE ENCANADOR OU BOMBEIRO HIDRÁULICO COM ENCARGOS COMPLEMENTARES</v>
      </c>
      <c r="E2884" s="289" t="str">
        <f>IFERROR(VLOOKUP($C2884,'24.08_ND'!$A:$D,3,0),)</f>
        <v>H</v>
      </c>
      <c r="F2884" s="871">
        <v>1.1000000000000001</v>
      </c>
      <c r="G2884" s="291">
        <f>IFERROR(VLOOKUP($C2884,'24.08_ND'!$A:$D,4,0),)</f>
        <v>19.05</v>
      </c>
      <c r="H2884" s="423">
        <f>TRUNC(($F2884*$G2884),2)</f>
        <v>20.95</v>
      </c>
      <c r="I2884" s="368"/>
      <c r="J2884" s="368"/>
      <c r="K2884" s="368"/>
      <c r="L2884" s="368"/>
      <c r="M2884" s="368"/>
      <c r="N2884" s="368"/>
      <c r="O2884" s="368"/>
      <c r="P2884" s="368"/>
      <c r="Q2884" s="368"/>
      <c r="R2884" s="368"/>
      <c r="S2884" s="368"/>
      <c r="T2884" s="368"/>
      <c r="U2884" s="368"/>
      <c r="V2884" s="368"/>
      <c r="W2884" s="368"/>
      <c r="X2884" s="368"/>
      <c r="Y2884" s="368"/>
      <c r="Z2884" s="368"/>
      <c r="AA2884" s="368"/>
      <c r="AB2884" s="368"/>
      <c r="AD2884" s="1791" t="e">
        <f>VLOOKUP(C2884,'Medição '!$B$16:$F$1833,6,0)</f>
        <v>#N/A</v>
      </c>
      <c r="AE2884" s="1791"/>
    </row>
    <row r="2885" spans="1:31" ht="12.75">
      <c r="A2885" s="880" t="s">
        <v>14479</v>
      </c>
      <c r="B2885" s="881" t="s">
        <v>14491</v>
      </c>
      <c r="C2885" s="882" t="s">
        <v>15459</v>
      </c>
      <c r="D2885" s="883" t="str">
        <f>VLOOKUP($C2885,'09 - MC'!$A:$F,2,0)</f>
        <v>CAIXA DE GRADEMANETO DE FIBRA DE VIDRO 50L</v>
      </c>
      <c r="E2885" s="884" t="str">
        <f>VLOOKUP($C2885,'09 - MC'!$A:$F,3,0)</f>
        <v>UN</v>
      </c>
      <c r="F2885" s="885">
        <v>1</v>
      </c>
      <c r="G2885" s="886">
        <f>VLOOKUP($C2885,'09 - MC'!$A:$F,6,0)</f>
        <v>273.3</v>
      </c>
      <c r="H2885" s="887">
        <f>TRUNC(G2885*F2885,2)</f>
        <v>273.3</v>
      </c>
      <c r="I2885" s="368"/>
      <c r="J2885" s="368"/>
      <c r="K2885" s="368"/>
      <c r="L2885" s="368"/>
      <c r="M2885" s="368"/>
      <c r="N2885" s="368"/>
      <c r="O2885" s="368"/>
      <c r="P2885" s="368"/>
      <c r="Q2885" s="368"/>
      <c r="R2885" s="368"/>
      <c r="S2885" s="368"/>
      <c r="T2885" s="368"/>
      <c r="U2885" s="368"/>
      <c r="V2885" s="368"/>
      <c r="W2885" s="368"/>
      <c r="X2885" s="368"/>
      <c r="Y2885" s="368"/>
      <c r="Z2885" s="368"/>
      <c r="AA2885" s="368"/>
      <c r="AB2885" s="368"/>
    </row>
    <row r="2886" spans="1:31" ht="12.75">
      <c r="A2886" s="368"/>
      <c r="B2886" s="368"/>
      <c r="C2886" s="368"/>
      <c r="D2886" s="368"/>
      <c r="E2886" s="368"/>
      <c r="F2886" s="368"/>
      <c r="G2886" s="368"/>
      <c r="H2886" s="368"/>
      <c r="I2886" s="368"/>
      <c r="J2886" s="368"/>
      <c r="K2886" s="368"/>
      <c r="L2886" s="368"/>
      <c r="M2886" s="368"/>
      <c r="N2886" s="368"/>
      <c r="O2886" s="368"/>
      <c r="P2886" s="368"/>
      <c r="Q2886" s="368"/>
      <c r="R2886" s="368"/>
      <c r="S2886" s="368"/>
      <c r="T2886" s="368"/>
      <c r="U2886" s="368"/>
      <c r="V2886" s="368"/>
      <c r="W2886" s="368"/>
      <c r="X2886" s="368"/>
      <c r="Y2886" s="368"/>
      <c r="Z2886" s="368"/>
      <c r="AA2886" s="368"/>
      <c r="AB2886" s="368"/>
    </row>
    <row r="2887" spans="1:31" ht="12.75">
      <c r="A2887" s="368"/>
      <c r="B2887" s="368"/>
      <c r="C2887" s="368"/>
      <c r="D2887" s="368"/>
      <c r="E2887" s="368"/>
      <c r="F2887" s="368"/>
      <c r="G2887" s="368"/>
      <c r="H2887" s="368"/>
      <c r="I2887" s="368"/>
      <c r="J2887" s="368"/>
      <c r="K2887" s="368"/>
      <c r="L2887" s="368"/>
      <c r="M2887" s="368"/>
      <c r="N2887" s="368"/>
      <c r="O2887" s="368"/>
      <c r="P2887" s="368"/>
      <c r="Q2887" s="368"/>
      <c r="R2887" s="368"/>
      <c r="S2887" s="368"/>
      <c r="T2887" s="368"/>
      <c r="U2887" s="368"/>
      <c r="V2887" s="368"/>
      <c r="W2887" s="368"/>
      <c r="X2887" s="368"/>
      <c r="Y2887" s="368"/>
      <c r="Z2887" s="368"/>
      <c r="AA2887" s="368"/>
      <c r="AB2887" s="368"/>
    </row>
    <row r="2888" spans="1:31" ht="12.75">
      <c r="A2888" s="368"/>
      <c r="B2888" s="368"/>
      <c r="C2888" s="368"/>
      <c r="D2888" s="368"/>
      <c r="E2888" s="368"/>
      <c r="F2888" s="368"/>
      <c r="G2888" s="368"/>
      <c r="H2888" s="368"/>
      <c r="I2888" s="368"/>
      <c r="J2888" s="368"/>
      <c r="K2888" s="368"/>
      <c r="L2888" s="368"/>
      <c r="M2888" s="368"/>
      <c r="N2888" s="368"/>
      <c r="O2888" s="368"/>
      <c r="P2888" s="368"/>
      <c r="Q2888" s="368"/>
      <c r="R2888" s="368"/>
      <c r="S2888" s="368"/>
      <c r="T2888" s="368"/>
      <c r="U2888" s="368"/>
      <c r="V2888" s="368"/>
      <c r="W2888" s="368"/>
      <c r="X2888" s="368"/>
      <c r="Y2888" s="368"/>
      <c r="Z2888" s="368"/>
      <c r="AA2888" s="368"/>
      <c r="AB2888" s="368"/>
    </row>
    <row r="2891" spans="1:31" ht="15" customHeight="1">
      <c r="D2891" s="1795"/>
    </row>
    <row r="2892" spans="1:31" ht="15" customHeight="1">
      <c r="D2892" s="1796" t="s">
        <v>16720</v>
      </c>
    </row>
    <row r="2893" spans="1:31" ht="15" customHeight="1">
      <c r="D2893" s="1796" t="s">
        <v>16721</v>
      </c>
    </row>
    <row r="2894" spans="1:31" ht="15" customHeight="1">
      <c r="D2894" s="1796" t="s">
        <v>16722</v>
      </c>
    </row>
    <row r="2895" spans="1:31" ht="15" customHeight="1">
      <c r="D2895" s="1796" t="s">
        <v>16723</v>
      </c>
    </row>
  </sheetData>
  <autoFilter ref="A6:AD2885" xr:uid="{00000000-0001-0000-0600-000000000000}"/>
  <mergeCells count="7">
    <mergeCell ref="A7:H7"/>
    <mergeCell ref="A2505:H2505"/>
    <mergeCell ref="B1:H1"/>
    <mergeCell ref="B2:H2"/>
    <mergeCell ref="B3:H3"/>
    <mergeCell ref="B4:H4"/>
    <mergeCell ref="A5:H5"/>
  </mergeCells>
  <conditionalFormatting sqref="I1:I4 I8 I19 I34 I41 I47 I52 I72 I76 I80 I84 I88 I103 I108 I116 I120 I127 I137 I146 I165 I175 I182 I190 I202 I214 I218 I223 I230 I235 I243 I248 I257 I266 I279 I288 I295 I304 I315 I322 I329 I334 I346 I352 I361 I367 I392 I401 I410 I445 I459 I466 I480 I485 I490 I543 I617 I625 I633 I641 I649 I657 I665 I673 I681 I689 I699 I708 I721 I728 I735 I742 I748 I757 I764 I777 I791 I800 I807 I814 I821 I828 I839 I848 I870 I877 I884 I896 I906 I914 I920 I926 I934 I945 I953 I965 I972 I979 I987 I994 I1001 I1008 I1015 I1021 I1028 I1035 I1044 I1053 I1060 I1067 I1073 I1085 I1097 I1106 I1115 I1122 I1128 I1134 I1140 I1147 I1152 I1157 I1162 I1168 I1181 I1192 I1200 I1218 I1223 I1235 I1243 I1251 I1259 I1265 I1272 I1279 I1289 I1299 I1307 I1314 I1319 I1327 I1339 I1346 I1354 I1367 I1378 I1385 I1397 I1410 I1423 I1431 I1439 I1447 I1455 I1464 I1477 I1486 I1499 I1506 I1519 I1528 I1535 I1548 I1556 I1565 I1574 I1583 I1588 I1599 I1612 I1622 I1631 I1640 I1647 I1658 I1667 I1673 I1683 I1690 I1696 I1703 I1709 I1714 I1719 I1724 I1734 I1744 I1753 I1765 I1773 I1778 I1785 I1793 I1798 I1804 I1811 I1819 I1827 I1835 I1843 I1848 I1856 I1864 I1874 I1884 I1891 I1897 I1904 I1910 I1916 I1922 I1928 I1934 I1940 I1946 I1956 I1962 I1968 I1976 I1986 I1993 I2001 I2007 I2013 I2019 I2025 I2030 I2035 I2041 I2048 I2054 I2061 I2069 I2075 I2081 I2087 I2095 I2103 I2110 I2117 I2124 I2131 I2138 I2145 I2152 I2158 I2164 I2170 I2176 I2182 I2190 I2197 I2208 I2217 I2224 I2231 I2238 I2246 I2254 I2262 I2272 I2279 I2286 I2292 I2298 I2305 I2312 I2320 I2328 I2334 I2340 I2346 I2352 I2358 I2364 I2370 I2380 I2388 I2394 I2400 I2408 I2424 I2430 I2440 I2447 I2452 I2459 I2467 I2473 I2479 I2485 I2498 I2507 I2516 R2516 AA2516 I2524 I2532 I2540 I2549 I2557 I2565 I2573 I2582 I2591 I2602 I2609 I2616 I2635 I2650 I2660 I2667 I2684 I2694 I2701 I2707 I2713 I2720 I2737 I2744 I2753 I2759 I2767 I2777 I2788 I2798 I2805 I2812 I2830 I2838 I2845 I2852 I2860 I2869 I2878">
    <cfRule type="expression" dxfId="12" priority="1">
      <formula>COUNTIF($C$8:$C2836,C:C)&gt;1</formula>
    </cfRule>
  </conditionalFormatting>
  <printOptions horizontalCentered="1"/>
  <pageMargins left="0.39370078740157483" right="0.39370078740157483" top="0.39370078740157483" bottom="0.39370078740157483" header="0" footer="0"/>
  <pageSetup paperSize="9" scale="57" fitToHeight="0" orientation="portrait" r:id="rId1"/>
  <headerFooter>
    <oddFooter>Página &amp;P de &amp;N</oddFooter>
  </headerFooter>
  <colBreaks count="1" manualBreakCount="1">
    <brk id="8" max="289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0256C-558B-4CC3-AA6A-6933FC113CAD}">
  <sheetPr>
    <pageSetUpPr fitToPage="1"/>
  </sheetPr>
  <dimension ref="B1:T83"/>
  <sheetViews>
    <sheetView workbookViewId="0">
      <selection activeCell="L39" sqref="L39"/>
    </sheetView>
  </sheetViews>
  <sheetFormatPr defaultColWidth="9.140625" defaultRowHeight="12"/>
  <cols>
    <col min="1" max="1" width="4.7109375" style="1990" customWidth="1"/>
    <col min="2" max="2" width="8.7109375" style="1990" customWidth="1"/>
    <col min="3" max="3" width="26.42578125" style="1990" customWidth="1"/>
    <col min="4" max="4" width="8.7109375" style="1990" customWidth="1"/>
    <col min="5" max="5" width="12" style="1990" customWidth="1"/>
    <col min="6" max="6" width="12.7109375" style="1990" customWidth="1"/>
    <col min="7" max="8" width="6.5703125" style="2024" customWidth="1"/>
    <col min="9" max="9" width="6.7109375" style="2024" customWidth="1"/>
    <col min="10" max="10" width="8.5703125" style="2024" customWidth="1"/>
    <col min="11" max="11" width="4.5703125" style="2024" customWidth="1"/>
    <col min="12" max="12" width="12.7109375" style="2024" customWidth="1"/>
    <col min="13" max="13" width="12.42578125" style="2024" customWidth="1"/>
    <col min="14" max="15" width="6.5703125" style="2024" customWidth="1"/>
    <col min="16" max="16" width="6.7109375" style="1990" customWidth="1"/>
    <col min="17" max="17" width="0" style="1990" hidden="1" customWidth="1"/>
    <col min="18" max="16384" width="9.140625" style="1990"/>
  </cols>
  <sheetData>
    <row r="1" spans="2:15" ht="14.25" customHeight="1" thickBot="1">
      <c r="B1" s="3003"/>
      <c r="C1" s="3003"/>
      <c r="D1" s="3003"/>
      <c r="E1" s="3003"/>
      <c r="F1" s="3003"/>
      <c r="G1" s="3003"/>
      <c r="H1" s="3003"/>
      <c r="I1" s="3003"/>
      <c r="J1" s="3003"/>
      <c r="K1" s="3003"/>
      <c r="L1" s="3003"/>
      <c r="M1" s="3003"/>
      <c r="N1" s="3003"/>
      <c r="O1" s="3003"/>
    </row>
    <row r="2" spans="2:15" ht="7.5" customHeight="1">
      <c r="B2" s="3004"/>
      <c r="C2" s="3005"/>
      <c r="D2" s="3004"/>
      <c r="E2" s="3010"/>
      <c r="F2" s="3010"/>
      <c r="G2" s="3010"/>
      <c r="H2" s="3010"/>
      <c r="I2" s="3010"/>
      <c r="J2" s="3010"/>
      <c r="K2" s="3010"/>
      <c r="L2" s="3010"/>
      <c r="M2" s="3010"/>
      <c r="N2" s="3010"/>
      <c r="O2" s="3005"/>
    </row>
    <row r="3" spans="2:15" ht="15" customHeight="1">
      <c r="B3" s="3006"/>
      <c r="C3" s="3007"/>
      <c r="D3" s="3011" t="s">
        <v>16725</v>
      </c>
      <c r="E3" s="3012"/>
      <c r="F3" s="3012"/>
      <c r="G3" s="3012"/>
      <c r="H3" s="3012"/>
      <c r="I3" s="3012"/>
      <c r="J3" s="3012"/>
      <c r="K3" s="3012"/>
      <c r="L3" s="3012"/>
      <c r="M3" s="3012"/>
      <c r="N3" s="3012"/>
      <c r="O3" s="3013"/>
    </row>
    <row r="4" spans="2:15" ht="7.5" customHeight="1">
      <c r="B4" s="3006"/>
      <c r="C4" s="3007"/>
      <c r="D4" s="3006"/>
      <c r="E4" s="3014"/>
      <c r="F4" s="3014"/>
      <c r="G4" s="3014"/>
      <c r="H4" s="3014"/>
      <c r="I4" s="3014"/>
      <c r="J4" s="3014"/>
      <c r="K4" s="3014"/>
      <c r="L4" s="3014"/>
      <c r="M4" s="3014"/>
      <c r="N4" s="3014"/>
      <c r="O4" s="3007"/>
    </row>
    <row r="5" spans="2:15" ht="15" customHeight="1">
      <c r="B5" s="3006"/>
      <c r="C5" s="3007"/>
      <c r="D5" s="3015" t="s">
        <v>16777</v>
      </c>
      <c r="E5" s="3016"/>
      <c r="F5" s="3016"/>
      <c r="G5" s="3016"/>
      <c r="H5" s="3016"/>
      <c r="I5" s="3016"/>
      <c r="J5" s="3016"/>
      <c r="K5" s="3016"/>
      <c r="L5" s="3016"/>
      <c r="M5" s="3016"/>
      <c r="N5" s="3016"/>
      <c r="O5" s="3017"/>
    </row>
    <row r="6" spans="2:15" ht="7.5" customHeight="1">
      <c r="B6" s="3006"/>
      <c r="C6" s="3007"/>
      <c r="D6" s="3006"/>
      <c r="E6" s="3014"/>
      <c r="F6" s="3014"/>
      <c r="G6" s="3014"/>
      <c r="H6" s="3014"/>
      <c r="I6" s="3014"/>
      <c r="J6" s="3014"/>
      <c r="K6" s="3014"/>
      <c r="L6" s="3014"/>
      <c r="M6" s="3014"/>
      <c r="N6" s="3014"/>
      <c r="O6" s="3007"/>
    </row>
    <row r="7" spans="2:15" ht="7.5" customHeight="1">
      <c r="B7" s="3006"/>
      <c r="C7" s="3007"/>
      <c r="D7" s="3018" t="s">
        <v>16870</v>
      </c>
      <c r="E7" s="3019"/>
      <c r="F7" s="3019"/>
      <c r="G7" s="3019"/>
      <c r="H7" s="3019"/>
      <c r="I7" s="3019"/>
      <c r="J7" s="3019"/>
      <c r="K7" s="3019"/>
      <c r="L7" s="3019"/>
      <c r="M7" s="3019"/>
      <c r="N7" s="3019"/>
      <c r="O7" s="3020"/>
    </row>
    <row r="8" spans="2:15" ht="15" customHeight="1">
      <c r="B8" s="3006"/>
      <c r="C8" s="3007"/>
      <c r="D8" s="3021"/>
      <c r="E8" s="3022"/>
      <c r="F8" s="3022"/>
      <c r="G8" s="3022"/>
      <c r="H8" s="3022"/>
      <c r="I8" s="3022"/>
      <c r="J8" s="3022"/>
      <c r="K8" s="3022"/>
      <c r="L8" s="3022"/>
      <c r="M8" s="3022"/>
      <c r="N8" s="3022"/>
      <c r="O8" s="3023"/>
    </row>
    <row r="9" spans="2:15" ht="7.5" customHeight="1" thickBot="1">
      <c r="B9" s="3008"/>
      <c r="C9" s="3009"/>
      <c r="D9" s="3024"/>
      <c r="E9" s="3025"/>
      <c r="F9" s="3025"/>
      <c r="G9" s="3025"/>
      <c r="H9" s="3025"/>
      <c r="I9" s="3025"/>
      <c r="J9" s="3025"/>
      <c r="K9" s="3025"/>
      <c r="L9" s="3025"/>
      <c r="M9" s="3025"/>
      <c r="N9" s="3025"/>
      <c r="O9" s="3026"/>
    </row>
    <row r="10" spans="2:15" ht="15.75" customHeight="1">
      <c r="B10" s="3043" t="s">
        <v>16726</v>
      </c>
      <c r="C10" s="3044"/>
      <c r="D10" s="3047" t="str">
        <f>'Inserção Dados'!F28</f>
        <v>CONTRATAÇÃO DE EMPRESA PARA A REALIZAÇÃO DAS OBRAS DO COMPLEXO SUNSET, NAS DEPENDÊNCIAS DO PARQUE NOVO MATO GROSSO, LOCALIZADO NO MUNICÍPIO DE CUIABÁ -MT</v>
      </c>
      <c r="E10" s="3048"/>
      <c r="F10" s="3048"/>
      <c r="G10" s="3048"/>
      <c r="H10" s="3049"/>
      <c r="I10" s="3056" t="s">
        <v>16871</v>
      </c>
      <c r="J10" s="3057"/>
      <c r="K10" s="3062" t="s">
        <v>16923</v>
      </c>
      <c r="L10" s="3063"/>
      <c r="M10" s="3063"/>
      <c r="N10" s="3063"/>
      <c r="O10" s="3064"/>
    </row>
    <row r="11" spans="2:15" ht="23.25" customHeight="1">
      <c r="B11" s="3045"/>
      <c r="C11" s="3046"/>
      <c r="D11" s="3050"/>
      <c r="E11" s="3051"/>
      <c r="F11" s="3051"/>
      <c r="G11" s="3051"/>
      <c r="H11" s="3052"/>
      <c r="I11" s="3058"/>
      <c r="J11" s="3059"/>
      <c r="K11" s="3065"/>
      <c r="L11" s="3066"/>
      <c r="M11" s="3066"/>
      <c r="N11" s="3066"/>
      <c r="O11" s="3067"/>
    </row>
    <row r="12" spans="2:15" ht="22.5" customHeight="1">
      <c r="B12" s="3045"/>
      <c r="C12" s="3046"/>
      <c r="D12" s="3053"/>
      <c r="E12" s="3054"/>
      <c r="F12" s="3054"/>
      <c r="G12" s="3054"/>
      <c r="H12" s="3055"/>
      <c r="I12" s="3060"/>
      <c r="J12" s="3061"/>
      <c r="K12" s="3068">
        <v>3076083000190</v>
      </c>
      <c r="L12" s="3069"/>
      <c r="M12" s="3069"/>
      <c r="N12" s="3069"/>
      <c r="O12" s="3070"/>
    </row>
    <row r="13" spans="2:15" ht="16.5" customHeight="1">
      <c r="B13" s="3071" t="s">
        <v>16727</v>
      </c>
      <c r="C13" s="3072"/>
      <c r="D13" s="3073" t="str">
        <f>'Inserção Dados'!F31</f>
        <v>MT - 251, KM 12, ÁREA RURAL, PARQUE NOVO MT, CUIABÁ-MT.</v>
      </c>
      <c r="E13" s="3074"/>
      <c r="F13" s="3074"/>
      <c r="G13" s="3074"/>
      <c r="H13" s="3075"/>
      <c r="I13" s="3076" t="s">
        <v>16795</v>
      </c>
      <c r="J13" s="3077"/>
      <c r="K13" s="3077"/>
      <c r="L13" s="3077"/>
      <c r="M13" s="3027" t="str">
        <f>'Inserção Dados'!G41</f>
        <v>121/2024/MTPAR</v>
      </c>
      <c r="N13" s="3028"/>
      <c r="O13" s="3029"/>
    </row>
    <row r="14" spans="2:15" ht="16.5" customHeight="1">
      <c r="B14" s="3071"/>
      <c r="C14" s="3072"/>
      <c r="D14" s="3053"/>
      <c r="E14" s="3054"/>
      <c r="F14" s="3054"/>
      <c r="G14" s="3054"/>
      <c r="H14" s="3055"/>
      <c r="I14" s="3076" t="s">
        <v>16872</v>
      </c>
      <c r="J14" s="3077"/>
      <c r="K14" s="3077"/>
      <c r="L14" s="3077"/>
      <c r="M14" s="3027">
        <f>'Inserção Dados'!G44</f>
        <v>45686</v>
      </c>
      <c r="N14" s="3028"/>
      <c r="O14" s="3029"/>
    </row>
    <row r="15" spans="2:15" ht="16.5" customHeight="1" thickBot="1">
      <c r="B15" s="3030" t="s">
        <v>16728</v>
      </c>
      <c r="C15" s="3031"/>
      <c r="D15" s="3032" t="str">
        <f>'Inserção Dados'!F32&amp;"  - MT"</f>
        <v xml:space="preserve"> CUIABÁ   - MT</v>
      </c>
      <c r="E15" s="3033"/>
      <c r="F15" s="3033"/>
      <c r="G15" s="3033"/>
      <c r="H15" s="3034"/>
      <c r="I15" s="3035" t="s">
        <v>16873</v>
      </c>
      <c r="J15" s="3036"/>
      <c r="K15" s="3036"/>
      <c r="L15" s="3036"/>
      <c r="M15" s="3037">
        <f>'Inserção Dados'!L116</f>
        <v>300</v>
      </c>
      <c r="N15" s="3038"/>
      <c r="O15" s="3039"/>
    </row>
    <row r="16" spans="2:15" ht="18.75" customHeight="1">
      <c r="B16" s="3040" t="str">
        <f>"Desempenho relativo aos Serviços da "&amp;'Inserção Dados'!G72&amp;"ª Medição - "&amp;'Inserção Dados'!G71</f>
        <v>Desempenho relativo aos Serviços da 6ª Medição - Rescisória</v>
      </c>
      <c r="C16" s="3041"/>
      <c r="D16" s="3041"/>
      <c r="E16" s="3041"/>
      <c r="F16" s="3041"/>
      <c r="G16" s="3041"/>
      <c r="H16" s="3041"/>
      <c r="I16" s="3041"/>
      <c r="J16" s="3041"/>
      <c r="K16" s="3041"/>
      <c r="L16" s="3041"/>
      <c r="M16" s="3041"/>
      <c r="N16" s="3041"/>
      <c r="O16" s="3042"/>
    </row>
    <row r="17" spans="2:20" ht="18.75" customHeight="1" thickBot="1">
      <c r="B17" s="3090" t="s">
        <v>17020</v>
      </c>
      <c r="C17" s="3091"/>
      <c r="D17" s="3091"/>
      <c r="E17" s="3091"/>
      <c r="F17" s="3091"/>
      <c r="G17" s="3091"/>
      <c r="H17" s="3091"/>
      <c r="I17" s="3091"/>
      <c r="J17" s="3091"/>
      <c r="K17" s="3091"/>
      <c r="L17" s="3091"/>
      <c r="M17" s="3091"/>
      <c r="N17" s="3091"/>
      <c r="O17" s="3092"/>
      <c r="Q17" s="1992"/>
      <c r="R17" s="3159" t="str">
        <f>"Serviços Executados entre:  "&amp;TEXT('Inserção Dados'!G74,"DD/MM/AA")&amp;"  a  "&amp;TEXT('Inserção Dados'!G75,"DD/MM/AA")</f>
        <v>Serviços Executados entre:  01/06/25  a  30/06/25</v>
      </c>
      <c r="S17" s="3159"/>
      <c r="T17" s="3159"/>
    </row>
    <row r="18" spans="2:20" ht="30" customHeight="1" thickBot="1">
      <c r="B18" s="3093" t="s">
        <v>16874</v>
      </c>
      <c r="C18" s="3094"/>
      <c r="D18" s="3094"/>
      <c r="E18" s="3094"/>
      <c r="F18" s="3094"/>
      <c r="G18" s="3094"/>
      <c r="H18" s="3094"/>
      <c r="I18" s="3094"/>
      <c r="J18" s="3094"/>
      <c r="K18" s="3094"/>
      <c r="L18" s="3094"/>
      <c r="M18" s="3094"/>
      <c r="N18" s="3094"/>
      <c r="O18" s="3095"/>
      <c r="R18" s="3159"/>
      <c r="S18" s="3159"/>
      <c r="T18" s="3159"/>
    </row>
    <row r="19" spans="2:20" ht="16.5" customHeight="1" thickTop="1">
      <c r="B19" s="3096" t="s">
        <v>16875</v>
      </c>
      <c r="C19" s="3097"/>
      <c r="D19" s="3097"/>
      <c r="E19" s="3097"/>
      <c r="F19" s="3097"/>
      <c r="G19" s="3098"/>
      <c r="H19" s="3102" t="s">
        <v>16876</v>
      </c>
      <c r="I19" s="3103"/>
      <c r="J19" s="3103"/>
      <c r="K19" s="3103"/>
      <c r="L19" s="3103"/>
      <c r="M19" s="3103"/>
      <c r="N19" s="3103"/>
      <c r="O19" s="3104"/>
      <c r="R19" s="3159"/>
      <c r="S19" s="3159"/>
      <c r="T19" s="3159"/>
    </row>
    <row r="20" spans="2:20" ht="25.5" customHeight="1" thickBot="1">
      <c r="B20" s="3099"/>
      <c r="C20" s="3100"/>
      <c r="D20" s="3100"/>
      <c r="E20" s="3100"/>
      <c r="F20" s="3100"/>
      <c r="G20" s="3101"/>
      <c r="H20" s="3105" t="s">
        <v>16877</v>
      </c>
      <c r="I20" s="3106"/>
      <c r="J20" s="3105" t="s">
        <v>16878</v>
      </c>
      <c r="K20" s="3106"/>
      <c r="L20" s="1993" t="s">
        <v>16879</v>
      </c>
      <c r="M20" s="1993" t="s">
        <v>16880</v>
      </c>
      <c r="N20" s="3105" t="s">
        <v>16881</v>
      </c>
      <c r="O20" s="3107"/>
      <c r="R20" s="3159"/>
      <c r="S20" s="3159"/>
      <c r="T20" s="3159"/>
    </row>
    <row r="21" spans="2:20" ht="15.75" customHeight="1" thickTop="1">
      <c r="B21" s="3078" t="s">
        <v>16882</v>
      </c>
      <c r="C21" s="3079"/>
      <c r="D21" s="3079"/>
      <c r="E21" s="3079"/>
      <c r="F21" s="3079"/>
      <c r="G21" s="3080"/>
      <c r="H21" s="3081">
        <v>0</v>
      </c>
      <c r="I21" s="3082"/>
      <c r="J21" s="3081">
        <v>0.8</v>
      </c>
      <c r="K21" s="3082"/>
      <c r="L21" s="1994">
        <v>0</v>
      </c>
      <c r="M21" s="1994">
        <v>0</v>
      </c>
      <c r="N21" s="3081">
        <v>0</v>
      </c>
      <c r="O21" s="3083"/>
      <c r="R21" s="3159"/>
      <c r="S21" s="3159"/>
      <c r="T21" s="3159"/>
    </row>
    <row r="22" spans="2:20" ht="15.75" customHeight="1">
      <c r="B22" s="3084" t="s">
        <v>16883</v>
      </c>
      <c r="C22" s="3085"/>
      <c r="D22" s="3085"/>
      <c r="E22" s="3085"/>
      <c r="F22" s="3085"/>
      <c r="G22" s="3086"/>
      <c r="H22" s="3081">
        <v>0</v>
      </c>
      <c r="I22" s="3082"/>
      <c r="J22" s="3087">
        <v>0</v>
      </c>
      <c r="K22" s="3088"/>
      <c r="L22" s="1995">
        <v>0.55000000000000004</v>
      </c>
      <c r="M22" s="1995">
        <v>0</v>
      </c>
      <c r="N22" s="3087">
        <v>0</v>
      </c>
      <c r="O22" s="3089"/>
      <c r="R22" s="3159"/>
      <c r="S22" s="3159"/>
      <c r="T22" s="3159"/>
    </row>
    <row r="23" spans="2:20" ht="15.75" customHeight="1">
      <c r="B23" s="3084" t="s">
        <v>16884</v>
      </c>
      <c r="C23" s="3085"/>
      <c r="D23" s="3085"/>
      <c r="E23" s="3085"/>
      <c r="F23" s="3085"/>
      <c r="G23" s="3086"/>
      <c r="H23" s="3081">
        <v>0</v>
      </c>
      <c r="I23" s="3082"/>
      <c r="J23" s="3087">
        <v>0</v>
      </c>
      <c r="K23" s="3088"/>
      <c r="L23" s="1995">
        <v>0.55000000000000004</v>
      </c>
      <c r="M23" s="1995">
        <v>0</v>
      </c>
      <c r="N23" s="3087">
        <v>0</v>
      </c>
      <c r="O23" s="3089"/>
    </row>
    <row r="24" spans="2:20" ht="15.75" customHeight="1">
      <c r="B24" s="3084" t="s">
        <v>16885</v>
      </c>
      <c r="C24" s="3085"/>
      <c r="D24" s="3085"/>
      <c r="E24" s="3085"/>
      <c r="F24" s="3085"/>
      <c r="G24" s="3086"/>
      <c r="H24" s="3087">
        <v>0</v>
      </c>
      <c r="I24" s="3088"/>
      <c r="J24" s="3087">
        <v>0</v>
      </c>
      <c r="K24" s="3088"/>
      <c r="L24" s="1995">
        <v>0</v>
      </c>
      <c r="M24" s="1995">
        <v>0.35</v>
      </c>
      <c r="N24" s="3087">
        <v>0</v>
      </c>
      <c r="O24" s="3089"/>
    </row>
    <row r="25" spans="2:20" ht="15.75" customHeight="1">
      <c r="B25" s="3084" t="s">
        <v>16886</v>
      </c>
      <c r="C25" s="3085"/>
      <c r="D25" s="3085"/>
      <c r="E25" s="3085"/>
      <c r="F25" s="3085"/>
      <c r="G25" s="3086"/>
      <c r="H25" s="3087">
        <v>0</v>
      </c>
      <c r="I25" s="3088"/>
      <c r="J25" s="3087">
        <v>0.75</v>
      </c>
      <c r="K25" s="3088"/>
      <c r="L25" s="1995">
        <v>0</v>
      </c>
      <c r="M25" s="1995">
        <v>0</v>
      </c>
      <c r="N25" s="3087">
        <v>0</v>
      </c>
      <c r="O25" s="3089"/>
    </row>
    <row r="26" spans="2:20" ht="15.75" customHeight="1">
      <c r="B26" s="3084" t="s">
        <v>16887</v>
      </c>
      <c r="C26" s="3085"/>
      <c r="D26" s="3085"/>
      <c r="E26" s="3085"/>
      <c r="F26" s="3085"/>
      <c r="G26" s="3086"/>
      <c r="H26" s="3087">
        <v>0</v>
      </c>
      <c r="I26" s="3088"/>
      <c r="J26" s="3087">
        <v>0.8</v>
      </c>
      <c r="K26" s="3088"/>
      <c r="L26" s="1995">
        <v>0</v>
      </c>
      <c r="M26" s="1995">
        <v>0</v>
      </c>
      <c r="N26" s="3087">
        <v>0</v>
      </c>
      <c r="O26" s="3089"/>
    </row>
    <row r="27" spans="2:20" ht="15.75" customHeight="1">
      <c r="B27" s="3084" t="s">
        <v>16888</v>
      </c>
      <c r="C27" s="3085"/>
      <c r="D27" s="3085"/>
      <c r="E27" s="3085"/>
      <c r="F27" s="3085"/>
      <c r="G27" s="3086"/>
      <c r="H27" s="3087">
        <v>0</v>
      </c>
      <c r="I27" s="3088"/>
      <c r="J27" s="3087">
        <v>0.85</v>
      </c>
      <c r="K27" s="3088"/>
      <c r="L27" s="1995">
        <v>0</v>
      </c>
      <c r="M27" s="1995">
        <v>0</v>
      </c>
      <c r="N27" s="3087">
        <v>0</v>
      </c>
      <c r="O27" s="3089"/>
    </row>
    <row r="28" spans="2:20" ht="16.5" customHeight="1">
      <c r="B28" s="3114"/>
      <c r="C28" s="3115"/>
      <c r="D28" s="3115"/>
      <c r="E28" s="3115"/>
      <c r="F28" s="3115"/>
      <c r="G28" s="3115"/>
      <c r="H28" s="3116"/>
      <c r="I28" s="3116"/>
      <c r="J28" s="3116"/>
      <c r="K28" s="3116"/>
      <c r="L28" s="3116"/>
      <c r="M28" s="3116"/>
      <c r="N28" s="3116"/>
      <c r="O28" s="3117"/>
    </row>
    <row r="29" spans="2:20" ht="16.5" customHeight="1">
      <c r="B29" s="3108" t="e">
        <f>#REF!&amp;" - MT, "&amp;#REF!&amp;" de "&amp;#REF!&amp;" de "&amp;#REF!</f>
        <v>#REF!</v>
      </c>
      <c r="C29" s="3109"/>
      <c r="D29" s="3109"/>
      <c r="E29" s="3109"/>
      <c r="F29" s="3109"/>
      <c r="G29" s="3109"/>
      <c r="H29" s="3110"/>
      <c r="I29" s="3110"/>
      <c r="J29" s="3110"/>
      <c r="K29" s="3110"/>
      <c r="L29" s="3110"/>
      <c r="M29" s="3110"/>
      <c r="N29" s="3110"/>
      <c r="O29" s="3111"/>
    </row>
    <row r="30" spans="2:20" ht="16.5" customHeight="1">
      <c r="B30" s="1996"/>
      <c r="C30" s="1997"/>
      <c r="D30" s="1997"/>
      <c r="E30" s="1997"/>
      <c r="F30" s="1997"/>
      <c r="G30" s="1997"/>
      <c r="H30" s="1998"/>
      <c r="I30" s="1998"/>
      <c r="J30" s="1998"/>
      <c r="K30" s="1998"/>
      <c r="L30" s="1998"/>
      <c r="M30" s="1998"/>
      <c r="N30" s="1998"/>
      <c r="O30" s="1999"/>
      <c r="S30" s="2576" t="s">
        <v>17022</v>
      </c>
    </row>
    <row r="31" spans="2:20" ht="16.5" customHeight="1">
      <c r="B31" s="3108"/>
      <c r="C31" s="3109"/>
      <c r="D31" s="3109"/>
      <c r="E31" s="3109"/>
      <c r="F31" s="3109"/>
      <c r="G31" s="3109"/>
      <c r="H31" s="3110"/>
      <c r="I31" s="3110"/>
      <c r="J31" s="3112"/>
      <c r="K31" s="3112"/>
      <c r="L31" s="3112"/>
      <c r="M31" s="3112"/>
      <c r="N31" s="3112"/>
      <c r="O31" s="2000"/>
    </row>
    <row r="32" spans="2:20" ht="14.25" customHeight="1">
      <c r="B32" s="3108"/>
      <c r="C32" s="3109"/>
      <c r="D32" s="3109"/>
      <c r="E32" s="3109"/>
      <c r="F32" s="3109"/>
      <c r="G32" s="3109"/>
      <c r="H32" s="1992"/>
      <c r="I32" s="2001"/>
      <c r="J32" s="3113" t="s">
        <v>17012</v>
      </c>
      <c r="K32" s="3113"/>
      <c r="L32" s="3113"/>
      <c r="M32" s="3113"/>
      <c r="N32" s="3113"/>
      <c r="O32" s="2000"/>
    </row>
    <row r="33" spans="2:17" s="2007" customFormat="1" ht="11.25" customHeight="1">
      <c r="B33" s="2002"/>
      <c r="C33" s="2003"/>
      <c r="D33" s="2003"/>
      <c r="E33" s="2003"/>
      <c r="F33" s="2003"/>
      <c r="G33" s="2003"/>
      <c r="H33" s="2004"/>
      <c r="I33" s="2005"/>
      <c r="J33" s="3135" t="s">
        <v>17014</v>
      </c>
      <c r="K33" s="3135"/>
      <c r="L33" s="3135"/>
      <c r="M33" s="3135"/>
      <c r="N33" s="3135"/>
      <c r="O33" s="2006"/>
    </row>
    <row r="34" spans="2:17" s="2007" customFormat="1" ht="11.25" customHeight="1">
      <c r="B34" s="2002"/>
      <c r="C34" s="2003"/>
      <c r="D34" s="2003"/>
      <c r="E34" s="2003"/>
      <c r="F34" s="2003"/>
      <c r="G34" s="2003"/>
      <c r="H34" s="2004"/>
      <c r="I34" s="2005"/>
      <c r="J34" s="3135" t="s">
        <v>17005</v>
      </c>
      <c r="K34" s="3135"/>
      <c r="L34" s="3135"/>
      <c r="M34" s="3135"/>
      <c r="N34" s="3135"/>
      <c r="O34" s="2006"/>
    </row>
    <row r="35" spans="2:17" ht="16.5" customHeight="1" thickBot="1">
      <c r="B35" s="3136"/>
      <c r="C35" s="3137"/>
      <c r="D35" s="3137"/>
      <c r="E35" s="3137"/>
      <c r="F35" s="3137"/>
      <c r="G35" s="3137"/>
      <c r="H35" s="2008"/>
      <c r="I35" s="2009"/>
      <c r="J35" s="3138"/>
      <c r="K35" s="3138"/>
      <c r="L35" s="3138"/>
      <c r="M35" s="3138"/>
      <c r="N35" s="3138"/>
      <c r="O35" s="2010"/>
    </row>
    <row r="36" spans="2:17" ht="14.25" customHeight="1" thickTop="1">
      <c r="B36" s="3139" t="s">
        <v>16875</v>
      </c>
      <c r="C36" s="3140"/>
      <c r="D36" s="3140"/>
      <c r="E36" s="3140"/>
      <c r="F36" s="3140"/>
      <c r="G36" s="3143" t="s">
        <v>16889</v>
      </c>
      <c r="H36" s="3144"/>
      <c r="I36" s="3143" t="s">
        <v>16890</v>
      </c>
      <c r="J36" s="3147"/>
      <c r="K36" s="3144"/>
      <c r="L36" s="3149" t="s">
        <v>16891</v>
      </c>
      <c r="M36" s="3151" t="s">
        <v>16892</v>
      </c>
      <c r="N36" s="3152"/>
      <c r="O36" s="3153"/>
    </row>
    <row r="37" spans="2:17" ht="13.5" customHeight="1" thickBot="1">
      <c r="B37" s="3141"/>
      <c r="C37" s="3142"/>
      <c r="D37" s="3142"/>
      <c r="E37" s="3142"/>
      <c r="F37" s="3142"/>
      <c r="G37" s="3145"/>
      <c r="H37" s="3146"/>
      <c r="I37" s="3145"/>
      <c r="J37" s="3148"/>
      <c r="K37" s="3146"/>
      <c r="L37" s="3150"/>
      <c r="M37" s="3154"/>
      <c r="N37" s="3155"/>
      <c r="O37" s="3156"/>
    </row>
    <row r="38" spans="2:17" ht="15.75" customHeight="1">
      <c r="B38" s="3118" t="s">
        <v>16882</v>
      </c>
      <c r="C38" s="3119"/>
      <c r="D38" s="3119"/>
      <c r="E38" s="3119"/>
      <c r="F38" s="3120"/>
      <c r="G38" s="3121">
        <f>SUM(H21:O21)</f>
        <v>0.8</v>
      </c>
      <c r="H38" s="3122"/>
      <c r="I38" s="3123">
        <v>1.5</v>
      </c>
      <c r="J38" s="3124"/>
      <c r="K38" s="3125"/>
      <c r="L38" s="2012">
        <f t="shared" ref="L38:L44" si="0">TRUNC(G38*I38,2)</f>
        <v>1.2</v>
      </c>
      <c r="M38" s="3126"/>
      <c r="N38" s="3127"/>
      <c r="O38" s="3128"/>
    </row>
    <row r="39" spans="2:17" ht="15.75" customHeight="1">
      <c r="B39" s="3129" t="s">
        <v>16883</v>
      </c>
      <c r="C39" s="3130"/>
      <c r="D39" s="3130"/>
      <c r="E39" s="3130"/>
      <c r="F39" s="3131"/>
      <c r="G39" s="3121">
        <f t="shared" ref="G39:G44" si="1">SUM(H22:O22)</f>
        <v>0.55000000000000004</v>
      </c>
      <c r="H39" s="3122"/>
      <c r="I39" s="3132">
        <v>1.5</v>
      </c>
      <c r="J39" s="3133"/>
      <c r="K39" s="3134"/>
      <c r="L39" s="2011">
        <f t="shared" si="0"/>
        <v>0.82</v>
      </c>
      <c r="M39" s="2013"/>
      <c r="N39" s="2014"/>
      <c r="O39" s="2015"/>
    </row>
    <row r="40" spans="2:17" ht="15.75" customHeight="1">
      <c r="B40" s="3129" t="s">
        <v>16884</v>
      </c>
      <c r="C40" s="3130"/>
      <c r="D40" s="3130"/>
      <c r="E40" s="3130"/>
      <c r="F40" s="3131"/>
      <c r="G40" s="3121">
        <f t="shared" si="1"/>
        <v>0.55000000000000004</v>
      </c>
      <c r="H40" s="3122"/>
      <c r="I40" s="3132">
        <v>0.5</v>
      </c>
      <c r="J40" s="3133"/>
      <c r="K40" s="3134"/>
      <c r="L40" s="2011">
        <f t="shared" si="0"/>
        <v>0.27</v>
      </c>
      <c r="M40" s="2016"/>
      <c r="N40" s="2001"/>
      <c r="O40" s="2017"/>
    </row>
    <row r="41" spans="2:17" ht="15.75" customHeight="1">
      <c r="B41" s="3129" t="s">
        <v>16885</v>
      </c>
      <c r="C41" s="3130"/>
      <c r="D41" s="3130"/>
      <c r="E41" s="3130"/>
      <c r="F41" s="3131"/>
      <c r="G41" s="3121">
        <f t="shared" si="1"/>
        <v>0.35</v>
      </c>
      <c r="H41" s="3122"/>
      <c r="I41" s="3132">
        <v>2</v>
      </c>
      <c r="J41" s="3133"/>
      <c r="K41" s="3134"/>
      <c r="L41" s="2011">
        <f t="shared" si="0"/>
        <v>0.7</v>
      </c>
      <c r="M41" s="2016"/>
      <c r="N41" s="2001"/>
      <c r="O41" s="2018"/>
    </row>
    <row r="42" spans="2:17" ht="15.75" customHeight="1">
      <c r="B42" s="3129" t="s">
        <v>16886</v>
      </c>
      <c r="C42" s="3130"/>
      <c r="D42" s="3130"/>
      <c r="E42" s="3130"/>
      <c r="F42" s="3131"/>
      <c r="G42" s="3121">
        <f t="shared" si="1"/>
        <v>0.75</v>
      </c>
      <c r="H42" s="3122"/>
      <c r="I42" s="3132">
        <v>3</v>
      </c>
      <c r="J42" s="3133"/>
      <c r="K42" s="3134"/>
      <c r="L42" s="2011">
        <f t="shared" si="0"/>
        <v>2.25</v>
      </c>
      <c r="M42" s="2013"/>
      <c r="N42" s="2014"/>
      <c r="O42" s="2018"/>
    </row>
    <row r="43" spans="2:17" ht="15.75" customHeight="1" thickBot="1">
      <c r="B43" s="3129" t="s">
        <v>16893</v>
      </c>
      <c r="C43" s="3130"/>
      <c r="D43" s="3130"/>
      <c r="E43" s="3130"/>
      <c r="F43" s="3131"/>
      <c r="G43" s="3121">
        <f t="shared" si="1"/>
        <v>0.8</v>
      </c>
      <c r="H43" s="3122"/>
      <c r="I43" s="3132">
        <v>1</v>
      </c>
      <c r="J43" s="3133"/>
      <c r="K43" s="3134"/>
      <c r="L43" s="2011">
        <f t="shared" si="0"/>
        <v>0.8</v>
      </c>
      <c r="M43" s="2019"/>
      <c r="N43" s="3127"/>
      <c r="O43" s="3128"/>
      <c r="Q43" s="1991">
        <f>TRUNC(L45/I45,2)</f>
        <v>0.64</v>
      </c>
    </row>
    <row r="44" spans="2:17" ht="15.75" customHeight="1" thickTop="1">
      <c r="B44" s="3129" t="s">
        <v>16888</v>
      </c>
      <c r="C44" s="3130"/>
      <c r="D44" s="3130"/>
      <c r="E44" s="3130"/>
      <c r="F44" s="3131"/>
      <c r="G44" s="3121">
        <f t="shared" si="1"/>
        <v>0.85</v>
      </c>
      <c r="H44" s="3122"/>
      <c r="I44" s="3132">
        <v>0.5</v>
      </c>
      <c r="J44" s="3133"/>
      <c r="K44" s="3134"/>
      <c r="L44" s="2011">
        <f t="shared" si="0"/>
        <v>0.42</v>
      </c>
      <c r="M44" s="3184" t="s">
        <v>16894</v>
      </c>
      <c r="N44" s="3186" t="str">
        <f>IF(Q43&lt;=0.29,"Péssimo",IF(Q43&lt;=0.49,"Fraco",IF(Q43&lt;=0.69,"Razoável",IF(Q43&lt;=0.89,"Bom","Excelente"))))</f>
        <v>Razoável</v>
      </c>
      <c r="O44" s="3187"/>
    </row>
    <row r="45" spans="2:17" ht="15.75" customHeight="1" thickBot="1">
      <c r="B45" s="3190" t="s">
        <v>12615</v>
      </c>
      <c r="C45" s="3191"/>
      <c r="D45" s="3191"/>
      <c r="E45" s="3191"/>
      <c r="F45" s="3192"/>
      <c r="G45" s="3157"/>
      <c r="H45" s="3158"/>
      <c r="I45" s="3132">
        <f>SUM(I38:K44)</f>
        <v>10</v>
      </c>
      <c r="J45" s="3133"/>
      <c r="K45" s="3134"/>
      <c r="L45" s="2020">
        <f>SUM(L38:L44)</f>
        <v>6.46</v>
      </c>
      <c r="M45" s="3185"/>
      <c r="N45" s="3188"/>
      <c r="O45" s="3189"/>
    </row>
    <row r="46" spans="2:17" ht="18" customHeight="1" thickTop="1">
      <c r="B46" s="3168" t="s">
        <v>16856</v>
      </c>
      <c r="C46" s="3169"/>
      <c r="D46" s="3170"/>
      <c r="E46" s="3170"/>
      <c r="F46" s="3170"/>
      <c r="G46" s="3170"/>
      <c r="H46" s="3170"/>
      <c r="I46" s="3170"/>
      <c r="J46" s="3170"/>
      <c r="K46" s="3170"/>
      <c r="L46" s="3170"/>
      <c r="M46" s="3170"/>
      <c r="N46" s="3170"/>
      <c r="O46" s="3171"/>
    </row>
    <row r="47" spans="2:17" ht="18" customHeight="1">
      <c r="B47" s="3174"/>
      <c r="C47" s="3110"/>
      <c r="D47" s="3170"/>
      <c r="E47" s="3170"/>
      <c r="F47" s="3170"/>
      <c r="G47" s="3170"/>
      <c r="H47" s="3170"/>
      <c r="I47" s="3170"/>
      <c r="J47" s="3170"/>
      <c r="K47" s="3170"/>
      <c r="L47" s="3170"/>
      <c r="M47" s="3170"/>
      <c r="N47" s="3170"/>
      <c r="O47" s="3171"/>
    </row>
    <row r="48" spans="2:17" ht="18" customHeight="1">
      <c r="B48" s="3174"/>
      <c r="C48" s="3110"/>
      <c r="D48" s="3170"/>
      <c r="E48" s="3170"/>
      <c r="F48" s="3170"/>
      <c r="G48" s="3170"/>
      <c r="H48" s="3170"/>
      <c r="I48" s="3170"/>
      <c r="J48" s="3170"/>
      <c r="K48" s="3170"/>
      <c r="L48" s="3170"/>
      <c r="M48" s="3170"/>
      <c r="N48" s="3170"/>
      <c r="O48" s="3171"/>
    </row>
    <row r="49" spans="2:15" ht="18" customHeight="1">
      <c r="B49" s="3175"/>
      <c r="C49" s="3176"/>
      <c r="D49" s="3172"/>
      <c r="E49" s="3172"/>
      <c r="F49" s="3172"/>
      <c r="G49" s="3172"/>
      <c r="H49" s="3172"/>
      <c r="I49" s="3172"/>
      <c r="J49" s="3172"/>
      <c r="K49" s="3172"/>
      <c r="L49" s="3172"/>
      <c r="M49" s="3172"/>
      <c r="N49" s="3172"/>
      <c r="O49" s="3173"/>
    </row>
    <row r="50" spans="2:15" ht="18" customHeight="1">
      <c r="B50" s="3177"/>
      <c r="C50" s="3178"/>
      <c r="D50" s="3178"/>
      <c r="E50" s="3178"/>
      <c r="F50" s="3178"/>
      <c r="G50" s="3178"/>
      <c r="H50" s="2021"/>
      <c r="I50" s="3179"/>
      <c r="J50" s="3179"/>
      <c r="K50" s="3179"/>
      <c r="L50" s="3179"/>
      <c r="M50" s="3179"/>
      <c r="N50" s="3179"/>
      <c r="O50" s="3180"/>
    </row>
    <row r="51" spans="2:15" ht="18" customHeight="1">
      <c r="B51" s="3136"/>
      <c r="C51" s="3183"/>
      <c r="D51" s="3183"/>
      <c r="E51" s="3183"/>
      <c r="F51" s="3183"/>
      <c r="G51" s="3183"/>
      <c r="H51" s="2022"/>
      <c r="I51" s="3181"/>
      <c r="J51" s="3181"/>
      <c r="K51" s="3181"/>
      <c r="L51" s="3181"/>
      <c r="M51" s="3181"/>
      <c r="N51" s="3181"/>
      <c r="O51" s="3182"/>
    </row>
    <row r="52" spans="2:15" ht="30" customHeight="1">
      <c r="B52" s="3163" t="s">
        <v>16895</v>
      </c>
      <c r="C52" s="3164"/>
      <c r="D52" s="3164"/>
      <c r="E52" s="3164"/>
      <c r="F52" s="3164"/>
      <c r="G52" s="3164"/>
      <c r="H52" s="3164"/>
      <c r="I52" s="3164"/>
      <c r="J52" s="3164"/>
      <c r="K52" s="3164"/>
      <c r="L52" s="3164"/>
      <c r="M52" s="3164"/>
      <c r="N52" s="3164"/>
      <c r="O52" s="3165"/>
    </row>
    <row r="53" spans="2:15" ht="15.75" customHeight="1">
      <c r="B53" s="2023"/>
      <c r="I53" s="2001"/>
      <c r="J53" s="2001"/>
      <c r="K53" s="2001"/>
      <c r="L53" s="2001"/>
      <c r="M53" s="2001"/>
      <c r="N53" s="2001"/>
      <c r="O53" s="2025"/>
    </row>
    <row r="54" spans="2:15" ht="15.75" customHeight="1">
      <c r="B54" s="2023"/>
      <c r="I54" s="2001"/>
      <c r="J54" s="2001"/>
      <c r="K54" s="2001"/>
      <c r="L54" s="2001"/>
      <c r="M54" s="2001"/>
      <c r="N54" s="2001"/>
      <c r="O54" s="2025"/>
    </row>
    <row r="55" spans="2:15" ht="15.75" customHeight="1">
      <c r="B55" s="2023"/>
      <c r="I55" s="2001"/>
      <c r="J55" s="1990"/>
      <c r="K55" s="1990"/>
      <c r="L55" s="1990"/>
      <c r="M55" s="1990"/>
      <c r="O55" s="2000"/>
    </row>
    <row r="56" spans="2:15" ht="15.75" customHeight="1">
      <c r="B56" s="2026"/>
      <c r="D56" s="3112"/>
      <c r="E56" s="3112"/>
      <c r="F56" s="3112"/>
      <c r="G56" s="3112"/>
      <c r="H56" s="3112"/>
      <c r="I56" s="1990"/>
      <c r="J56" s="1990"/>
      <c r="K56" s="3112"/>
      <c r="L56" s="3112"/>
      <c r="M56" s="3112"/>
      <c r="N56" s="3112"/>
      <c r="O56" s="3166"/>
    </row>
    <row r="57" spans="2:15" ht="15.75" customHeight="1">
      <c r="B57" s="2026"/>
      <c r="D57" s="3112"/>
      <c r="E57" s="3112"/>
      <c r="F57" s="3112"/>
      <c r="G57" s="3112"/>
      <c r="H57" s="3112"/>
      <c r="I57" s="1990"/>
      <c r="J57" s="1990"/>
      <c r="K57" s="3112"/>
      <c r="L57" s="3112"/>
      <c r="M57" s="3112"/>
      <c r="N57" s="3112"/>
      <c r="O57" s="3166"/>
    </row>
    <row r="58" spans="2:15" ht="15" customHeight="1">
      <c r="B58" s="2026"/>
      <c r="C58" s="3160" t="str">
        <f>'Medição '!D1844</f>
        <v>Engª Stela Maria M.R.Barcelos</v>
      </c>
      <c r="D58" s="3160"/>
      <c r="E58" s="3160"/>
      <c r="F58" s="3160"/>
      <c r="G58" s="3160"/>
      <c r="H58" s="2027"/>
      <c r="I58" s="1990"/>
      <c r="J58" s="3167" t="str">
        <f>J32</f>
        <v>IANA DIANEZ MARQUES</v>
      </c>
      <c r="K58" s="3167"/>
      <c r="L58" s="3167"/>
      <c r="M58" s="3167"/>
      <c r="N58" s="3167"/>
      <c r="O58" s="2028"/>
    </row>
    <row r="59" spans="2:15" ht="10.5" customHeight="1">
      <c r="B59" s="2026"/>
      <c r="C59" s="3160" t="str">
        <f>'Medição '!D1845</f>
        <v>CREA 029617/MT</v>
      </c>
      <c r="D59" s="3160"/>
      <c r="E59" s="3160"/>
      <c r="F59" s="3160"/>
      <c r="G59" s="3160"/>
      <c r="H59" s="2027"/>
      <c r="I59" s="1990"/>
      <c r="J59" s="3167" t="str">
        <f>J33</f>
        <v>CREA 1216454264</v>
      </c>
      <c r="K59" s="3167"/>
      <c r="L59" s="3167"/>
      <c r="M59" s="3167"/>
      <c r="N59" s="3167"/>
      <c r="O59" s="2028"/>
    </row>
    <row r="60" spans="2:15" ht="10.5" customHeight="1">
      <c r="B60" s="2026"/>
      <c r="C60" s="3160" t="s">
        <v>17006</v>
      </c>
      <c r="D60" s="3160"/>
      <c r="E60" s="3160"/>
      <c r="F60" s="3160"/>
      <c r="G60" s="3160"/>
      <c r="H60" s="2027"/>
      <c r="I60" s="1990"/>
      <c r="J60" s="3161" t="str">
        <f>J34</f>
        <v>FISCAL MT-PAR</v>
      </c>
      <c r="K60" s="3161"/>
      <c r="L60" s="3161"/>
      <c r="M60" s="3161"/>
      <c r="N60" s="3161"/>
      <c r="O60" s="2028"/>
    </row>
    <row r="61" spans="2:15" ht="15" customHeight="1" thickBot="1">
      <c r="B61" s="2029"/>
      <c r="C61" s="2030"/>
      <c r="D61" s="2030"/>
      <c r="E61" s="2030"/>
      <c r="F61" s="2030"/>
      <c r="G61" s="2030"/>
      <c r="H61" s="2030"/>
      <c r="I61" s="2030"/>
      <c r="J61" s="3162"/>
      <c r="K61" s="3162"/>
      <c r="L61" s="3162"/>
      <c r="M61" s="3162"/>
      <c r="N61" s="3162"/>
      <c r="O61" s="2031"/>
    </row>
    <row r="83" spans="15:15">
      <c r="O83" s="2024">
        <f>J88</f>
        <v>0</v>
      </c>
    </row>
  </sheetData>
  <mergeCells count="122">
    <mergeCell ref="R17:T22"/>
    <mergeCell ref="C60:G60"/>
    <mergeCell ref="J60:N60"/>
    <mergeCell ref="J61:N61"/>
    <mergeCell ref="B52:O52"/>
    <mergeCell ref="D56:H57"/>
    <mergeCell ref="K56:O57"/>
    <mergeCell ref="C58:G58"/>
    <mergeCell ref="J58:N58"/>
    <mergeCell ref="C59:G59"/>
    <mergeCell ref="J59:N59"/>
    <mergeCell ref="B46:C46"/>
    <mergeCell ref="D46:O49"/>
    <mergeCell ref="B47:C49"/>
    <mergeCell ref="B50:G50"/>
    <mergeCell ref="I50:O51"/>
    <mergeCell ref="B51:G51"/>
    <mergeCell ref="N43:O43"/>
    <mergeCell ref="B44:F44"/>
    <mergeCell ref="G44:H44"/>
    <mergeCell ref="I44:K44"/>
    <mergeCell ref="M44:M45"/>
    <mergeCell ref="N44:O45"/>
    <mergeCell ref="B45:F45"/>
    <mergeCell ref="G45:H45"/>
    <mergeCell ref="I45:K45"/>
    <mergeCell ref="B42:F42"/>
    <mergeCell ref="G42:H42"/>
    <mergeCell ref="I42:K42"/>
    <mergeCell ref="B43:F43"/>
    <mergeCell ref="G43:H43"/>
    <mergeCell ref="I43:K43"/>
    <mergeCell ref="B40:F40"/>
    <mergeCell ref="G40:H40"/>
    <mergeCell ref="I40:K40"/>
    <mergeCell ref="B41:F41"/>
    <mergeCell ref="G41:H41"/>
    <mergeCell ref="I41:K41"/>
    <mergeCell ref="B38:F38"/>
    <mergeCell ref="G38:H38"/>
    <mergeCell ref="I38:K38"/>
    <mergeCell ref="M38:O38"/>
    <mergeCell ref="B39:F39"/>
    <mergeCell ref="G39:H39"/>
    <mergeCell ref="I39:K39"/>
    <mergeCell ref="J33:N33"/>
    <mergeCell ref="J34:N34"/>
    <mergeCell ref="B35:G35"/>
    <mergeCell ref="J35:N35"/>
    <mergeCell ref="B36:F37"/>
    <mergeCell ref="G36:H37"/>
    <mergeCell ref="I36:K37"/>
    <mergeCell ref="L36:L37"/>
    <mergeCell ref="M36:O37"/>
    <mergeCell ref="B29:G29"/>
    <mergeCell ref="H29:O29"/>
    <mergeCell ref="B31:G31"/>
    <mergeCell ref="H31:I31"/>
    <mergeCell ref="J31:N31"/>
    <mergeCell ref="B32:G32"/>
    <mergeCell ref="J32:N32"/>
    <mergeCell ref="B27:G27"/>
    <mergeCell ref="H27:I27"/>
    <mergeCell ref="J27:K27"/>
    <mergeCell ref="N27:O27"/>
    <mergeCell ref="B28:G28"/>
    <mergeCell ref="H28:O28"/>
    <mergeCell ref="B25:G25"/>
    <mergeCell ref="H25:I25"/>
    <mergeCell ref="J25:K25"/>
    <mergeCell ref="N25:O25"/>
    <mergeCell ref="B26:G26"/>
    <mergeCell ref="H26:I26"/>
    <mergeCell ref="J26:K26"/>
    <mergeCell ref="N26:O26"/>
    <mergeCell ref="B23:G23"/>
    <mergeCell ref="H23:I23"/>
    <mergeCell ref="J23:K23"/>
    <mergeCell ref="N23:O23"/>
    <mergeCell ref="B24:G24"/>
    <mergeCell ref="H24:I24"/>
    <mergeCell ref="J24:K24"/>
    <mergeCell ref="N24:O24"/>
    <mergeCell ref="B21:G21"/>
    <mergeCell ref="H21:I21"/>
    <mergeCell ref="J21:K21"/>
    <mergeCell ref="N21:O21"/>
    <mergeCell ref="B22:G22"/>
    <mergeCell ref="H22:I22"/>
    <mergeCell ref="J22:K22"/>
    <mergeCell ref="N22:O22"/>
    <mergeCell ref="B17:O17"/>
    <mergeCell ref="B18:O18"/>
    <mergeCell ref="B19:G20"/>
    <mergeCell ref="H19:O19"/>
    <mergeCell ref="H20:I20"/>
    <mergeCell ref="J20:K20"/>
    <mergeCell ref="N20:O20"/>
    <mergeCell ref="B15:C15"/>
    <mergeCell ref="D15:H15"/>
    <mergeCell ref="I15:L15"/>
    <mergeCell ref="M15:O15"/>
    <mergeCell ref="B16:O16"/>
    <mergeCell ref="B10:C12"/>
    <mergeCell ref="D10:H12"/>
    <mergeCell ref="I10:J12"/>
    <mergeCell ref="K10:O11"/>
    <mergeCell ref="K12:O12"/>
    <mergeCell ref="B13:C14"/>
    <mergeCell ref="D13:H14"/>
    <mergeCell ref="I13:L13"/>
    <mergeCell ref="M13:O13"/>
    <mergeCell ref="I14:L14"/>
    <mergeCell ref="B1:O1"/>
    <mergeCell ref="B2:C9"/>
    <mergeCell ref="D2:O2"/>
    <mergeCell ref="D3:O3"/>
    <mergeCell ref="D4:O4"/>
    <mergeCell ref="D5:O5"/>
    <mergeCell ref="D6:O6"/>
    <mergeCell ref="D7:O9"/>
    <mergeCell ref="M14:O14"/>
  </mergeCells>
  <conditionalFormatting sqref="J32:N32">
    <cfRule type="cellIs" dxfId="11" priority="1" operator="notEqual">
      <formula>""</formula>
    </cfRule>
  </conditionalFormatting>
  <dataValidations count="1">
    <dataValidation type="decimal" allowBlank="1" showInputMessage="1" showErrorMessage="1" sqref="H21:O27" xr:uid="{2AC75C74-A7B4-4C66-9FC3-53AF6F91A3E7}">
      <formula1>0</formula1>
      <formula2>1</formula2>
    </dataValidation>
  </dataValidations>
  <pageMargins left="0.78740157480314965" right="0.35433070866141736" top="0.98425196850393704" bottom="0.98425196850393704" header="0.51181102362204722" footer="0.51181102362204722"/>
  <pageSetup paperSize="9" scale="64"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583C3-24B0-42AC-9782-802F3035177B}">
  <sheetPr>
    <tabColor rgb="FFFF0000"/>
  </sheetPr>
  <dimension ref="A1:AA895"/>
  <sheetViews>
    <sheetView topLeftCell="B1" workbookViewId="0"/>
  </sheetViews>
  <sheetFormatPr defaultColWidth="12.5703125" defaultRowHeight="15" customHeight="1"/>
  <cols>
    <col min="1" max="1" width="13.140625" style="2033" hidden="1" customWidth="1"/>
    <col min="2" max="2" width="13.42578125" style="2033" customWidth="1"/>
    <col min="3" max="3" width="78.7109375" style="2033" customWidth="1"/>
    <col min="4" max="5" width="22.7109375" style="2033" customWidth="1"/>
    <col min="6" max="6" width="12.5703125" style="2033" customWidth="1"/>
    <col min="7" max="7" width="17" style="2033" bestFit="1" customWidth="1"/>
    <col min="8" max="8" width="10.140625" style="2033" customWidth="1"/>
    <col min="9" max="27" width="8.5703125" style="2033" customWidth="1"/>
    <col min="28" max="16384" width="12.5703125" style="2033"/>
  </cols>
  <sheetData>
    <row r="1" spans="1:27" ht="83.25" customHeight="1" thickBot="1">
      <c r="A1" s="2032"/>
      <c r="B1" s="3195" t="s">
        <v>16896</v>
      </c>
      <c r="C1" s="3196"/>
      <c r="D1" s="3196"/>
      <c r="E1" s="3196"/>
      <c r="F1" s="3197"/>
    </row>
    <row r="2" spans="1:27" ht="16.5" thickBot="1">
      <c r="A2" s="2034"/>
      <c r="B2" s="2035" t="s">
        <v>12663</v>
      </c>
      <c r="C2" s="2036" t="s">
        <v>16897</v>
      </c>
      <c r="D2" s="2036"/>
      <c r="E2" s="2037" t="s">
        <v>12665</v>
      </c>
      <c r="F2" s="2038">
        <v>0.2223</v>
      </c>
      <c r="G2" s="2039"/>
      <c r="H2" s="2039"/>
      <c r="I2" s="2039"/>
      <c r="J2" s="2039"/>
      <c r="K2" s="2039"/>
      <c r="L2" s="2039"/>
      <c r="M2" s="2039"/>
      <c r="N2" s="2039"/>
      <c r="O2" s="2039"/>
      <c r="P2" s="2039"/>
      <c r="Q2" s="2039"/>
      <c r="R2" s="2039"/>
      <c r="S2" s="2039"/>
      <c r="T2" s="2039"/>
      <c r="U2" s="2039"/>
      <c r="V2" s="2039"/>
      <c r="W2" s="2039"/>
      <c r="X2" s="2039"/>
      <c r="Y2" s="2039"/>
      <c r="Z2" s="2039"/>
      <c r="AA2" s="2039"/>
    </row>
    <row r="3" spans="1:27" ht="16.5" thickBot="1">
      <c r="A3" s="2034"/>
      <c r="B3" s="2040" t="s">
        <v>12667</v>
      </c>
      <c r="C3" s="2041" t="s">
        <v>12668</v>
      </c>
      <c r="D3" s="2041"/>
      <c r="E3" s="2042" t="s">
        <v>12673</v>
      </c>
      <c r="F3" s="2043">
        <v>45111</v>
      </c>
      <c r="G3" s="2039"/>
      <c r="H3" s="2039"/>
      <c r="I3" s="2039"/>
      <c r="J3" s="2039"/>
      <c r="K3" s="2039"/>
      <c r="L3" s="2039"/>
      <c r="M3" s="2039"/>
      <c r="N3" s="2039"/>
      <c r="O3" s="2039"/>
      <c r="P3" s="2039"/>
      <c r="Q3" s="2039"/>
      <c r="R3" s="2039"/>
      <c r="S3" s="2039"/>
      <c r="T3" s="2039"/>
      <c r="U3" s="2039"/>
      <c r="V3" s="2039"/>
      <c r="W3" s="2039"/>
      <c r="X3" s="2039"/>
      <c r="Y3" s="2039"/>
      <c r="Z3" s="2039"/>
      <c r="AA3" s="2039"/>
    </row>
    <row r="4" spans="1:27" ht="16.5" thickBot="1">
      <c r="A4" s="2034"/>
      <c r="B4" s="2040" t="s">
        <v>16898</v>
      </c>
      <c r="C4" s="2041" t="s">
        <v>12672</v>
      </c>
      <c r="D4" s="2041"/>
      <c r="E4" s="2042" t="s">
        <v>12677</v>
      </c>
      <c r="F4" s="2044" t="s">
        <v>16899</v>
      </c>
      <c r="G4" s="2039"/>
      <c r="H4" s="2039"/>
      <c r="I4" s="2039"/>
      <c r="J4" s="2039"/>
      <c r="K4" s="2039"/>
      <c r="L4" s="2039"/>
      <c r="M4" s="2039"/>
      <c r="N4" s="2039"/>
      <c r="O4" s="2039"/>
      <c r="P4" s="2039"/>
      <c r="Q4" s="2039"/>
      <c r="R4" s="2039"/>
      <c r="S4" s="2039"/>
      <c r="T4" s="2039"/>
      <c r="U4" s="2039"/>
      <c r="V4" s="2039"/>
      <c r="W4" s="2039"/>
      <c r="X4" s="2039"/>
      <c r="Y4" s="2039"/>
      <c r="Z4" s="2039"/>
      <c r="AA4" s="2039"/>
    </row>
    <row r="5" spans="1:27" ht="16.5" thickBot="1">
      <c r="A5" s="2034"/>
      <c r="B5" s="2040" t="s">
        <v>12676</v>
      </c>
      <c r="C5" s="2045" t="s">
        <v>16900</v>
      </c>
      <c r="D5" s="2045"/>
      <c r="E5" s="2042" t="s">
        <v>16901</v>
      </c>
      <c r="F5" s="2046" t="s">
        <v>16902</v>
      </c>
      <c r="G5" s="2039"/>
      <c r="H5" s="2039"/>
      <c r="I5" s="2039"/>
      <c r="J5" s="2039"/>
      <c r="K5" s="2039"/>
      <c r="L5" s="2039"/>
      <c r="M5" s="2039"/>
      <c r="N5" s="2039"/>
      <c r="O5" s="2039"/>
      <c r="P5" s="2039"/>
      <c r="Q5" s="2039"/>
      <c r="R5" s="2039"/>
      <c r="S5" s="2039"/>
      <c r="T5" s="2039"/>
      <c r="U5" s="2039"/>
      <c r="V5" s="2039"/>
      <c r="W5" s="2039"/>
      <c r="X5" s="2039"/>
      <c r="Y5" s="2039"/>
      <c r="Z5" s="2039"/>
      <c r="AA5" s="2039"/>
    </row>
    <row r="6" spans="1:27" ht="28.5" customHeight="1" thickBot="1">
      <c r="A6" s="2034"/>
      <c r="B6" s="3198" t="s">
        <v>16903</v>
      </c>
      <c r="C6" s="3199"/>
      <c r="D6" s="3199"/>
      <c r="E6" s="3199"/>
      <c r="F6" s="3200"/>
      <c r="G6" s="2039"/>
      <c r="H6" s="2039"/>
      <c r="I6" s="2039"/>
      <c r="J6" s="2039"/>
      <c r="K6" s="2039"/>
      <c r="L6" s="2039"/>
      <c r="M6" s="2039"/>
      <c r="N6" s="2039"/>
      <c r="O6" s="2039"/>
      <c r="P6" s="2039"/>
      <c r="Q6" s="2039"/>
      <c r="R6" s="2039"/>
      <c r="S6" s="2039"/>
      <c r="T6" s="2039"/>
      <c r="U6" s="2039"/>
      <c r="V6" s="2039"/>
      <c r="W6" s="2039"/>
      <c r="X6" s="2039"/>
      <c r="Y6" s="2039"/>
      <c r="Z6" s="2039"/>
      <c r="AA6" s="2039"/>
    </row>
    <row r="7" spans="1:27" ht="13.5" thickBot="1">
      <c r="A7" s="2048"/>
      <c r="B7" s="3201" t="s">
        <v>16904</v>
      </c>
      <c r="C7" s="3199"/>
      <c r="D7" s="3199"/>
      <c r="E7" s="3199"/>
      <c r="F7" s="3200"/>
    </row>
    <row r="8" spans="1:27" ht="12.75" customHeight="1" thickBot="1">
      <c r="A8" s="2048"/>
      <c r="B8" s="3202" t="s">
        <v>12613</v>
      </c>
      <c r="C8" s="3204" t="s">
        <v>12614</v>
      </c>
      <c r="D8" s="3206" t="s">
        <v>16905</v>
      </c>
      <c r="E8" s="3207"/>
      <c r="F8" s="2047"/>
    </row>
    <row r="9" spans="1:27" ht="21" customHeight="1" thickBot="1">
      <c r="A9" s="2048"/>
      <c r="B9" s="3203"/>
      <c r="C9" s="3205"/>
      <c r="D9" s="2049" t="s">
        <v>16693</v>
      </c>
      <c r="E9" s="2050" t="s">
        <v>16906</v>
      </c>
      <c r="F9" s="2051" t="s">
        <v>12617</v>
      </c>
    </row>
    <row r="10" spans="1:27" ht="12.75" customHeight="1">
      <c r="A10" s="2048"/>
      <c r="B10" s="2052" t="str">
        <f>Cronograma!A8</f>
        <v>A</v>
      </c>
      <c r="C10" s="2053" t="str">
        <f>Cronograma!B8</f>
        <v>ADMINISTRAÇÃO DA OBRA E CANTEIRO DE OBRAS</v>
      </c>
      <c r="D10" s="2054"/>
      <c r="E10" s="2055">
        <f>Cronograma!C8</f>
        <v>2193000.16</v>
      </c>
      <c r="F10" s="2056">
        <f t="shared" ref="F10:F16" si="0">D10/E10</f>
        <v>0</v>
      </c>
    </row>
    <row r="11" spans="1:27" ht="12.75" customHeight="1">
      <c r="A11" s="2048"/>
      <c r="B11" s="2057" t="str">
        <f>Cronograma!A13</f>
        <v>B</v>
      </c>
      <c r="C11" s="2058" t="str">
        <f>Cronograma!B13</f>
        <v>WAKE BAR</v>
      </c>
      <c r="D11" s="2059"/>
      <c r="E11" s="2060">
        <f>Cronograma!C13</f>
        <v>1746146.9999999998</v>
      </c>
      <c r="F11" s="2056">
        <f t="shared" si="0"/>
        <v>0</v>
      </c>
    </row>
    <row r="12" spans="1:27" ht="12.75" customHeight="1">
      <c r="A12" s="2048"/>
      <c r="B12" s="2057" t="str">
        <f>Cronograma!A24</f>
        <v>C</v>
      </c>
      <c r="C12" s="2061" t="str">
        <f>Cronograma!B24</f>
        <v>PRAÇA SUNSET</v>
      </c>
      <c r="D12" s="2065"/>
      <c r="E12" s="2060">
        <f>Cronograma!C24</f>
        <v>6754877.4200000009</v>
      </c>
      <c r="F12" s="2056">
        <f t="shared" si="0"/>
        <v>0</v>
      </c>
      <c r="L12" s="2066"/>
    </row>
    <row r="13" spans="1:27" ht="12.75" customHeight="1">
      <c r="A13" s="2048"/>
      <c r="B13" s="2057" t="str">
        <f>Cronograma!A33</f>
        <v>D</v>
      </c>
      <c r="C13" s="2061" t="str">
        <f>Cronograma!B33</f>
        <v>QUIOSQUE</v>
      </c>
      <c r="D13" s="2065"/>
      <c r="E13" s="2060">
        <f>Cronograma!C33</f>
        <v>206379.06</v>
      </c>
      <c r="F13" s="2056">
        <f t="shared" si="0"/>
        <v>0</v>
      </c>
    </row>
    <row r="14" spans="1:27" ht="15.75">
      <c r="A14" s="2048"/>
      <c r="B14" s="2057" t="str">
        <f>Cronograma!A44</f>
        <v>E</v>
      </c>
      <c r="C14" s="2061" t="str">
        <f>Cronograma!B44</f>
        <v xml:space="preserve">BANHEIRO DE APOIO ESPAÇO SHOW </v>
      </c>
      <c r="D14" s="2065"/>
      <c r="E14" s="2065">
        <f>Cronograma!C44</f>
        <v>1006030.06</v>
      </c>
      <c r="F14" s="2056">
        <f t="shared" si="0"/>
        <v>0</v>
      </c>
    </row>
    <row r="15" spans="1:27" ht="12.75" customHeight="1">
      <c r="A15" s="2048"/>
      <c r="B15" s="2057" t="str">
        <f>Cronograma!A55</f>
        <v>F</v>
      </c>
      <c r="C15" s="2061" t="str">
        <f>Cronograma!B55</f>
        <v>BANHEIROS DE APOIO CENTRO DE EVENTOS</v>
      </c>
      <c r="D15" s="2062"/>
      <c r="E15" s="2060">
        <f>Cronograma!C55</f>
        <v>1253157.7300000002</v>
      </c>
      <c r="F15" s="2056">
        <f t="shared" si="0"/>
        <v>0</v>
      </c>
    </row>
    <row r="16" spans="1:27" ht="15.75">
      <c r="A16" s="2048"/>
      <c r="B16" s="2057" t="str">
        <f>Cronograma!A66</f>
        <v>G</v>
      </c>
      <c r="C16" s="2061" t="str">
        <f>Cronograma!B66</f>
        <v>INFRA CONTÊINERES</v>
      </c>
      <c r="D16" s="2062"/>
      <c r="E16" s="2060">
        <f>Cronograma!C66</f>
        <v>253200.62</v>
      </c>
      <c r="F16" s="2056">
        <f t="shared" si="0"/>
        <v>0</v>
      </c>
    </row>
    <row r="17" spans="1:8" ht="15.75">
      <c r="A17" s="2048"/>
      <c r="B17" s="2063"/>
      <c r="C17" s="2064"/>
      <c r="D17" s="2062"/>
      <c r="E17" s="2067"/>
      <c r="F17" s="2056"/>
    </row>
    <row r="18" spans="1:8" ht="15.75" customHeight="1">
      <c r="A18" s="2048"/>
      <c r="B18" s="2069"/>
      <c r="C18" s="2070" t="s">
        <v>16907</v>
      </c>
      <c r="D18" s="2071">
        <f>SUM(D10:D17)</f>
        <v>0</v>
      </c>
      <c r="E18" s="2072">
        <f>SUM(E16,E15,E14,E13,E12,E11,E10)</f>
        <v>13412792.050000001</v>
      </c>
      <c r="F18" s="2068">
        <f>D18/E18</f>
        <v>0</v>
      </c>
    </row>
    <row r="19" spans="1:8" ht="12.75" customHeight="1">
      <c r="A19" s="2048"/>
      <c r="B19" s="2073"/>
      <c r="C19" s="2074"/>
      <c r="D19" s="2074"/>
      <c r="E19" s="2067"/>
      <c r="F19" s="2075"/>
    </row>
    <row r="20" spans="1:8" ht="12.75" customHeight="1" thickBot="1">
      <c r="A20" s="2048"/>
      <c r="B20" s="2076"/>
      <c r="C20" s="2077"/>
      <c r="D20" s="2077"/>
      <c r="E20" s="2078"/>
      <c r="F20" s="2079"/>
    </row>
    <row r="21" spans="1:8" ht="17.25" thickBot="1">
      <c r="A21" s="2080"/>
      <c r="B21" s="3193" t="s">
        <v>16908</v>
      </c>
      <c r="C21" s="3194"/>
      <c r="D21" s="2081">
        <f>D18</f>
        <v>0</v>
      </c>
      <c r="E21" s="2081">
        <f>E18</f>
        <v>13412792.050000001</v>
      </c>
      <c r="F21" s="2082">
        <f>D21/E21</f>
        <v>0</v>
      </c>
      <c r="G21" s="2083"/>
      <c r="H21" s="2084"/>
    </row>
    <row r="22" spans="1:8" ht="12.75" customHeight="1">
      <c r="B22" s="2085"/>
      <c r="C22" s="2086"/>
      <c r="D22" s="2086"/>
      <c r="E22" s="2087"/>
      <c r="F22" s="2088"/>
    </row>
    <row r="23" spans="1:8" ht="18.75">
      <c r="B23" s="2089"/>
      <c r="C23" s="2090"/>
      <c r="D23" s="2090"/>
    </row>
    <row r="24" spans="1:8" ht="12.75" customHeight="1">
      <c r="B24" s="2091"/>
      <c r="C24" s="2092" t="s">
        <v>16909</v>
      </c>
      <c r="D24" s="2092"/>
    </row>
    <row r="25" spans="1:8" ht="18.75">
      <c r="B25" s="2089"/>
      <c r="C25" s="2092" t="str">
        <f>'Medição '!D1844</f>
        <v>Engª Stela Maria M.R.Barcelos</v>
      </c>
      <c r="D25" s="2092"/>
    </row>
    <row r="26" spans="1:8" ht="12.75" customHeight="1">
      <c r="B26" s="2089"/>
      <c r="C26" s="2092" t="str">
        <f>'Medição '!D1845</f>
        <v>CREA 029617/MT</v>
      </c>
      <c r="D26" s="2092"/>
    </row>
    <row r="27" spans="1:8" ht="12.75" customHeight="1">
      <c r="B27" s="2085"/>
      <c r="C27" s="2092">
        <f>'Medição '!D1847</f>
        <v>0</v>
      </c>
      <c r="D27" s="2092"/>
      <c r="E27" s="2087"/>
      <c r="F27" s="2088"/>
    </row>
    <row r="28" spans="1:8" ht="12.75" customHeight="1">
      <c r="B28" s="2085"/>
      <c r="C28" s="2086"/>
      <c r="D28" s="2086"/>
      <c r="E28" s="2087"/>
      <c r="F28" s="2088"/>
    </row>
    <row r="29" spans="1:8" ht="12.75" customHeight="1">
      <c r="B29" s="2085"/>
      <c r="C29" s="2086"/>
      <c r="D29" s="2086"/>
      <c r="E29" s="2087"/>
      <c r="F29" s="2088"/>
    </row>
    <row r="30" spans="1:8" ht="12.75" customHeight="1">
      <c r="B30" s="2085"/>
      <c r="C30" s="2086"/>
      <c r="D30" s="2086"/>
      <c r="E30" s="2087"/>
      <c r="F30" s="2088"/>
    </row>
    <row r="31" spans="1:8" ht="12.75" customHeight="1">
      <c r="B31" s="2085"/>
      <c r="C31" s="2086"/>
      <c r="D31" s="2086"/>
      <c r="E31" s="2087"/>
      <c r="F31" s="2088"/>
    </row>
    <row r="32" spans="1:8" ht="12.75" customHeight="1">
      <c r="B32" s="2085"/>
      <c r="C32" s="2093" t="s">
        <v>16910</v>
      </c>
      <c r="D32" s="2093"/>
      <c r="E32" s="2087">
        <v>51878869.909999996</v>
      </c>
      <c r="F32" s="2088"/>
    </row>
    <row r="33" spans="2:6" ht="12.75" customHeight="1">
      <c r="B33" s="2085"/>
      <c r="C33" s="2093" t="s">
        <v>16911</v>
      </c>
      <c r="D33" s="2093"/>
      <c r="E33" s="2094">
        <v>8.8499999999999995E-2</v>
      </c>
      <c r="F33" s="2088"/>
    </row>
    <row r="34" spans="2:6" ht="12.75" customHeight="1">
      <c r="B34" s="2085"/>
      <c r="C34" s="2093" t="s">
        <v>16912</v>
      </c>
      <c r="D34" s="2093"/>
      <c r="E34" s="2087">
        <f>E32*(1-E33)</f>
        <v>47287589.922964998</v>
      </c>
      <c r="F34" s="2088"/>
    </row>
    <row r="35" spans="2:6" ht="12.75" customHeight="1">
      <c r="B35" s="2085"/>
      <c r="C35" s="2093" t="s">
        <v>16913</v>
      </c>
      <c r="D35" s="2093"/>
      <c r="E35" s="2087">
        <v>8587.1129649952054</v>
      </c>
      <c r="F35" s="2088"/>
    </row>
    <row r="36" spans="2:6" ht="12.75" customHeight="1">
      <c r="B36" s="2085"/>
      <c r="C36" s="2086"/>
      <c r="D36" s="2086"/>
      <c r="E36" s="2087"/>
      <c r="F36" s="2088"/>
    </row>
    <row r="37" spans="2:6" ht="12.75" customHeight="1">
      <c r="B37" s="2085"/>
      <c r="C37" s="2086"/>
      <c r="D37" s="2086"/>
      <c r="E37" s="2087"/>
      <c r="F37" s="2088"/>
    </row>
    <row r="38" spans="2:6" ht="12.75" customHeight="1">
      <c r="B38" s="2085"/>
      <c r="C38" s="2086"/>
      <c r="D38" s="2086"/>
      <c r="E38" s="2087"/>
      <c r="F38" s="2088"/>
    </row>
    <row r="39" spans="2:6" ht="12.75" customHeight="1">
      <c r="B39" s="2085"/>
      <c r="C39" s="2086"/>
      <c r="D39" s="2086"/>
      <c r="E39" s="2087"/>
      <c r="F39" s="2088"/>
    </row>
    <row r="40" spans="2:6" ht="12.75" customHeight="1">
      <c r="B40" s="2085"/>
      <c r="C40" s="2086"/>
      <c r="D40" s="2086"/>
      <c r="E40" s="2087"/>
      <c r="F40" s="2088"/>
    </row>
    <row r="41" spans="2:6" ht="12.75" customHeight="1">
      <c r="B41" s="2085"/>
      <c r="C41" s="2086"/>
      <c r="D41" s="2086"/>
      <c r="E41" s="2087"/>
      <c r="F41" s="2088"/>
    </row>
    <row r="42" spans="2:6" ht="12.75" customHeight="1">
      <c r="B42" s="2085"/>
      <c r="C42" s="2086"/>
      <c r="D42" s="2086"/>
      <c r="E42" s="2087"/>
      <c r="F42" s="2088"/>
    </row>
    <row r="43" spans="2:6" ht="12.75" customHeight="1">
      <c r="B43" s="2085"/>
      <c r="C43" s="2086"/>
      <c r="D43" s="2086"/>
      <c r="E43" s="2087"/>
      <c r="F43" s="2088"/>
    </row>
    <row r="44" spans="2:6" ht="12.75" customHeight="1">
      <c r="B44" s="2085"/>
      <c r="C44" s="2086"/>
      <c r="D44" s="2086"/>
      <c r="E44" s="2087"/>
      <c r="F44" s="2088"/>
    </row>
    <row r="45" spans="2:6" ht="12.75" customHeight="1">
      <c r="B45" s="2085"/>
      <c r="C45" s="2086"/>
      <c r="D45" s="2086"/>
      <c r="E45" s="2087"/>
      <c r="F45" s="2088"/>
    </row>
    <row r="46" spans="2:6" ht="12.75" customHeight="1">
      <c r="B46" s="2085"/>
      <c r="C46" s="2086"/>
      <c r="D46" s="2086"/>
      <c r="E46" s="2087"/>
      <c r="F46" s="2088"/>
    </row>
    <row r="47" spans="2:6" ht="12.75" customHeight="1">
      <c r="B47" s="2085"/>
      <c r="C47" s="2086"/>
      <c r="D47" s="2086"/>
      <c r="E47" s="2087"/>
      <c r="F47" s="2088"/>
    </row>
    <row r="48" spans="2:6" ht="12.75" customHeight="1">
      <c r="B48" s="2085"/>
      <c r="C48" s="2086"/>
      <c r="D48" s="2086"/>
      <c r="E48" s="2087"/>
      <c r="F48" s="2088"/>
    </row>
    <row r="49" spans="2:6" ht="12.75" customHeight="1">
      <c r="B49" s="2085"/>
      <c r="C49" s="2086"/>
      <c r="D49" s="2086"/>
      <c r="E49" s="2087"/>
      <c r="F49" s="2088"/>
    </row>
    <row r="50" spans="2:6" ht="12.75" customHeight="1">
      <c r="B50" s="2085"/>
      <c r="C50" s="2086"/>
      <c r="D50" s="2086"/>
      <c r="E50" s="2087"/>
      <c r="F50" s="2088"/>
    </row>
    <row r="51" spans="2:6" ht="12.75" customHeight="1">
      <c r="B51" s="2085"/>
      <c r="C51" s="2086"/>
      <c r="D51" s="2086"/>
      <c r="E51" s="2087"/>
      <c r="F51" s="2088"/>
    </row>
    <row r="52" spans="2:6" ht="12.75" customHeight="1">
      <c r="B52" s="2085"/>
      <c r="C52" s="2086"/>
      <c r="D52" s="2086"/>
      <c r="E52" s="2087"/>
      <c r="F52" s="2088"/>
    </row>
    <row r="53" spans="2:6" ht="12.75" customHeight="1">
      <c r="B53" s="2085"/>
      <c r="C53" s="2086"/>
      <c r="D53" s="2086"/>
      <c r="E53" s="2087"/>
      <c r="F53" s="2088"/>
    </row>
    <row r="54" spans="2:6" ht="12.75" customHeight="1">
      <c r="B54" s="2085"/>
      <c r="C54" s="2086"/>
      <c r="D54" s="2086"/>
      <c r="E54" s="2087"/>
      <c r="F54" s="2088"/>
    </row>
    <row r="55" spans="2:6" ht="12.75" customHeight="1">
      <c r="B55" s="2085"/>
      <c r="C55" s="2086"/>
      <c r="D55" s="2086"/>
      <c r="E55" s="2087"/>
      <c r="F55" s="2088"/>
    </row>
    <row r="56" spans="2:6" ht="12.75" customHeight="1">
      <c r="B56" s="2085"/>
      <c r="C56" s="2086"/>
      <c r="D56" s="2086"/>
      <c r="E56" s="2087"/>
      <c r="F56" s="2088"/>
    </row>
    <row r="57" spans="2:6" ht="12.75" customHeight="1">
      <c r="B57" s="2085"/>
      <c r="C57" s="2086"/>
      <c r="D57" s="2086"/>
      <c r="E57" s="2087"/>
      <c r="F57" s="2088"/>
    </row>
    <row r="58" spans="2:6" ht="12.75" customHeight="1">
      <c r="B58" s="2085"/>
      <c r="C58" s="2086"/>
      <c r="D58" s="2086"/>
      <c r="E58" s="2087"/>
      <c r="F58" s="2088"/>
    </row>
    <row r="59" spans="2:6" ht="12.75" customHeight="1">
      <c r="B59" s="2085"/>
      <c r="C59" s="2086"/>
      <c r="D59" s="2086"/>
      <c r="E59" s="2087"/>
      <c r="F59" s="2088"/>
    </row>
    <row r="60" spans="2:6" ht="12.75" customHeight="1">
      <c r="B60" s="2085"/>
      <c r="C60" s="2086"/>
      <c r="D60" s="2086"/>
      <c r="E60" s="2087"/>
      <c r="F60" s="2088"/>
    </row>
    <row r="61" spans="2:6" ht="12.75" customHeight="1">
      <c r="B61" s="2085"/>
      <c r="C61" s="2086"/>
      <c r="D61" s="2086"/>
      <c r="E61" s="2087"/>
      <c r="F61" s="2088"/>
    </row>
    <row r="62" spans="2:6" ht="12.75" customHeight="1">
      <c r="B62" s="2085"/>
      <c r="C62" s="2086"/>
      <c r="D62" s="2086"/>
      <c r="E62" s="2087"/>
      <c r="F62" s="2088"/>
    </row>
    <row r="63" spans="2:6" ht="12.75" customHeight="1">
      <c r="B63" s="2085"/>
      <c r="C63" s="2086"/>
      <c r="D63" s="2086"/>
      <c r="E63" s="2087"/>
      <c r="F63" s="2088"/>
    </row>
    <row r="64" spans="2:6" ht="12.75" customHeight="1">
      <c r="B64" s="2085"/>
      <c r="C64" s="2086"/>
      <c r="D64" s="2086"/>
      <c r="E64" s="2087"/>
      <c r="F64" s="2088"/>
    </row>
    <row r="65" spans="2:6" ht="12.75" customHeight="1">
      <c r="B65" s="2085"/>
      <c r="C65" s="2086"/>
      <c r="D65" s="2086"/>
      <c r="E65" s="2087"/>
      <c r="F65" s="2088"/>
    </row>
    <row r="66" spans="2:6" ht="12.75" customHeight="1">
      <c r="B66" s="2085"/>
      <c r="C66" s="2086"/>
      <c r="D66" s="2086"/>
      <c r="E66" s="2087"/>
      <c r="F66" s="2088"/>
    </row>
    <row r="67" spans="2:6" ht="12.75" customHeight="1">
      <c r="B67" s="2085"/>
      <c r="C67" s="2086"/>
      <c r="D67" s="2086"/>
      <c r="E67" s="2087"/>
      <c r="F67" s="2088"/>
    </row>
    <row r="68" spans="2:6" ht="12.75" customHeight="1">
      <c r="B68" s="2085"/>
      <c r="C68" s="2086"/>
      <c r="D68" s="2086"/>
      <c r="E68" s="2087"/>
      <c r="F68" s="2088"/>
    </row>
    <row r="69" spans="2:6" ht="12.75" customHeight="1">
      <c r="B69" s="2085"/>
      <c r="C69" s="2086"/>
      <c r="D69" s="2086"/>
      <c r="E69" s="2087"/>
      <c r="F69" s="2088"/>
    </row>
    <row r="70" spans="2:6" ht="12.75" customHeight="1">
      <c r="B70" s="2085"/>
      <c r="C70" s="2086"/>
      <c r="D70" s="2086"/>
      <c r="E70" s="2087"/>
      <c r="F70" s="2088"/>
    </row>
    <row r="71" spans="2:6" ht="12.75" customHeight="1">
      <c r="B71" s="2085"/>
      <c r="C71" s="2086"/>
      <c r="D71" s="2086"/>
      <c r="E71" s="2087"/>
      <c r="F71" s="2088"/>
    </row>
    <row r="72" spans="2:6" ht="12.75" customHeight="1">
      <c r="B72" s="2085"/>
      <c r="C72" s="2086"/>
      <c r="D72" s="2086"/>
      <c r="E72" s="2087"/>
      <c r="F72" s="2088"/>
    </row>
    <row r="73" spans="2:6" ht="12.75" customHeight="1">
      <c r="B73" s="2085"/>
      <c r="C73" s="2086"/>
      <c r="D73" s="2086"/>
      <c r="E73" s="2087"/>
      <c r="F73" s="2088"/>
    </row>
    <row r="74" spans="2:6" ht="12.75" customHeight="1">
      <c r="B74" s="2085"/>
      <c r="C74" s="2086"/>
      <c r="D74" s="2086"/>
      <c r="E74" s="2087"/>
      <c r="F74" s="2088"/>
    </row>
    <row r="75" spans="2:6" ht="12.75" customHeight="1">
      <c r="B75" s="2085"/>
      <c r="C75" s="2086"/>
      <c r="D75" s="2086"/>
      <c r="E75" s="2087"/>
      <c r="F75" s="2088"/>
    </row>
    <row r="76" spans="2:6" ht="12.75" customHeight="1">
      <c r="B76" s="2085"/>
      <c r="C76" s="2086"/>
      <c r="D76" s="2086"/>
      <c r="E76" s="2087"/>
      <c r="F76" s="2088"/>
    </row>
    <row r="77" spans="2:6" ht="12.75" customHeight="1">
      <c r="B77" s="2085"/>
      <c r="C77" s="2086"/>
      <c r="D77" s="2086"/>
      <c r="E77" s="2087"/>
      <c r="F77" s="2088"/>
    </row>
    <row r="78" spans="2:6" ht="12.75" customHeight="1">
      <c r="B78" s="2085"/>
      <c r="C78" s="2086"/>
      <c r="D78" s="2086"/>
      <c r="E78" s="2087"/>
      <c r="F78" s="2088"/>
    </row>
    <row r="79" spans="2:6" ht="12.75" customHeight="1">
      <c r="B79" s="2085"/>
      <c r="C79" s="2086"/>
      <c r="D79" s="2086"/>
      <c r="E79" s="2087"/>
      <c r="F79" s="2088"/>
    </row>
    <row r="80" spans="2:6" ht="12.75" customHeight="1">
      <c r="B80" s="2085"/>
      <c r="C80" s="2086"/>
      <c r="D80" s="2086"/>
      <c r="E80" s="2087"/>
      <c r="F80" s="2088"/>
    </row>
    <row r="81" spans="2:6" ht="12.75" customHeight="1">
      <c r="B81" s="2085"/>
      <c r="C81" s="2086"/>
      <c r="D81" s="2086"/>
      <c r="E81" s="2087"/>
      <c r="F81" s="2088"/>
    </row>
    <row r="82" spans="2:6" ht="12.75" customHeight="1">
      <c r="B82" s="2085"/>
      <c r="C82" s="2086"/>
      <c r="D82" s="2086"/>
      <c r="E82" s="2087"/>
      <c r="F82" s="2088"/>
    </row>
    <row r="83" spans="2:6" ht="12.75" customHeight="1">
      <c r="B83" s="2085"/>
      <c r="C83" s="2086"/>
      <c r="D83" s="2086"/>
      <c r="E83" s="2087"/>
      <c r="F83" s="2088"/>
    </row>
    <row r="84" spans="2:6" ht="12.75" customHeight="1">
      <c r="B84" s="2085"/>
      <c r="C84" s="2086"/>
      <c r="D84" s="2086"/>
      <c r="E84" s="2087"/>
      <c r="F84" s="2088"/>
    </row>
    <row r="85" spans="2:6" ht="12.75" customHeight="1">
      <c r="B85" s="2085"/>
      <c r="C85" s="2086"/>
      <c r="D85" s="2086"/>
      <c r="E85" s="2087"/>
      <c r="F85" s="2088"/>
    </row>
    <row r="86" spans="2:6" ht="12.75" customHeight="1">
      <c r="B86" s="2085"/>
      <c r="C86" s="2086"/>
      <c r="D86" s="2086"/>
      <c r="E86" s="2087"/>
      <c r="F86" s="2088"/>
    </row>
    <row r="87" spans="2:6" ht="12.75" customHeight="1">
      <c r="B87" s="2085"/>
      <c r="C87" s="2086"/>
      <c r="D87" s="2086"/>
      <c r="E87" s="2087"/>
      <c r="F87" s="2088"/>
    </row>
    <row r="88" spans="2:6" ht="12.75" customHeight="1">
      <c r="B88" s="2085"/>
      <c r="C88" s="2086"/>
      <c r="D88" s="2086"/>
      <c r="E88" s="2087"/>
      <c r="F88" s="2088"/>
    </row>
    <row r="89" spans="2:6" ht="12.75" customHeight="1">
      <c r="B89" s="2085"/>
      <c r="C89" s="2086"/>
      <c r="D89" s="2086"/>
      <c r="E89" s="2087"/>
      <c r="F89" s="2088"/>
    </row>
    <row r="90" spans="2:6" ht="12.75" customHeight="1">
      <c r="B90" s="2085"/>
      <c r="C90" s="2086"/>
      <c r="D90" s="2086"/>
      <c r="E90" s="2087"/>
      <c r="F90" s="2088"/>
    </row>
    <row r="91" spans="2:6" ht="12.75" customHeight="1">
      <c r="B91" s="2085"/>
      <c r="C91" s="2086"/>
      <c r="D91" s="2086"/>
      <c r="E91" s="2087"/>
      <c r="F91" s="2088"/>
    </row>
    <row r="92" spans="2:6" ht="12.75" customHeight="1">
      <c r="B92" s="2085"/>
      <c r="C92" s="2086"/>
      <c r="D92" s="2086"/>
      <c r="E92" s="2087"/>
      <c r="F92" s="2088"/>
    </row>
    <row r="93" spans="2:6" ht="12.75" customHeight="1">
      <c r="B93" s="2085"/>
      <c r="C93" s="2086"/>
      <c r="D93" s="2086"/>
      <c r="E93" s="2087"/>
      <c r="F93" s="2088"/>
    </row>
    <row r="94" spans="2:6" ht="12.75" customHeight="1">
      <c r="B94" s="2085"/>
      <c r="C94" s="2086"/>
      <c r="D94" s="2086"/>
      <c r="E94" s="2087"/>
      <c r="F94" s="2088"/>
    </row>
    <row r="95" spans="2:6" ht="12.75" customHeight="1">
      <c r="B95" s="2085"/>
      <c r="C95" s="2086"/>
      <c r="D95" s="2086"/>
      <c r="E95" s="2087"/>
      <c r="F95" s="2088"/>
    </row>
    <row r="96" spans="2:6" ht="12.75" customHeight="1">
      <c r="B96" s="2085"/>
      <c r="C96" s="2086"/>
      <c r="D96" s="2086"/>
      <c r="E96" s="2087"/>
      <c r="F96" s="2088"/>
    </row>
    <row r="97" spans="2:6" ht="12.75" customHeight="1">
      <c r="B97" s="2085"/>
      <c r="C97" s="2086"/>
      <c r="D97" s="2086"/>
      <c r="E97" s="2087"/>
      <c r="F97" s="2088"/>
    </row>
    <row r="98" spans="2:6" ht="12.75" customHeight="1">
      <c r="B98" s="2085"/>
      <c r="C98" s="2086"/>
      <c r="D98" s="2086"/>
      <c r="E98" s="2087"/>
      <c r="F98" s="2088"/>
    </row>
    <row r="99" spans="2:6" ht="12.75" customHeight="1">
      <c r="B99" s="2085"/>
      <c r="C99" s="2086"/>
      <c r="D99" s="2086"/>
      <c r="E99" s="2087"/>
      <c r="F99" s="2088"/>
    </row>
    <row r="100" spans="2:6" ht="12.75" customHeight="1">
      <c r="B100" s="2085"/>
      <c r="C100" s="2086"/>
      <c r="D100" s="2086"/>
      <c r="E100" s="2087"/>
      <c r="F100" s="2088"/>
    </row>
    <row r="101" spans="2:6" ht="12.75" customHeight="1">
      <c r="B101" s="2085"/>
      <c r="C101" s="2086"/>
      <c r="D101" s="2086"/>
      <c r="E101" s="2087"/>
      <c r="F101" s="2088"/>
    </row>
    <row r="102" spans="2:6" ht="12.75" customHeight="1">
      <c r="B102" s="2085"/>
      <c r="C102" s="2086"/>
      <c r="D102" s="2086"/>
      <c r="E102" s="2087"/>
      <c r="F102" s="2088"/>
    </row>
    <row r="103" spans="2:6" ht="12.75" customHeight="1">
      <c r="B103" s="2085"/>
      <c r="C103" s="2086"/>
      <c r="D103" s="2086"/>
      <c r="E103" s="2087"/>
      <c r="F103" s="2088"/>
    </row>
    <row r="104" spans="2:6" ht="12.75" customHeight="1">
      <c r="B104" s="2085"/>
      <c r="C104" s="2086"/>
      <c r="D104" s="2086"/>
      <c r="E104" s="2087"/>
      <c r="F104" s="2088"/>
    </row>
    <row r="105" spans="2:6" ht="12.75" customHeight="1">
      <c r="B105" s="2085"/>
      <c r="C105" s="2086"/>
      <c r="D105" s="2086"/>
      <c r="E105" s="2087"/>
      <c r="F105" s="2088"/>
    </row>
    <row r="106" spans="2:6" ht="12.75" customHeight="1">
      <c r="B106" s="2085"/>
      <c r="C106" s="2086"/>
      <c r="D106" s="2086"/>
      <c r="E106" s="2087"/>
      <c r="F106" s="2088"/>
    </row>
    <row r="107" spans="2:6" ht="12.75" customHeight="1">
      <c r="B107" s="2085"/>
      <c r="C107" s="2086"/>
      <c r="D107" s="2086"/>
      <c r="E107" s="2087"/>
      <c r="F107" s="2088"/>
    </row>
    <row r="108" spans="2:6" ht="12.75" customHeight="1">
      <c r="B108" s="2085"/>
      <c r="C108" s="2086"/>
      <c r="D108" s="2086"/>
      <c r="E108" s="2087"/>
      <c r="F108" s="2088"/>
    </row>
    <row r="109" spans="2:6" ht="12.75" customHeight="1">
      <c r="B109" s="2085"/>
      <c r="C109" s="2086"/>
      <c r="D109" s="2086"/>
      <c r="E109" s="2087"/>
      <c r="F109" s="2088"/>
    </row>
    <row r="110" spans="2:6" ht="12.75" customHeight="1">
      <c r="B110" s="2085"/>
      <c r="C110" s="2086"/>
      <c r="D110" s="2086"/>
      <c r="E110" s="2087"/>
      <c r="F110" s="2088"/>
    </row>
    <row r="111" spans="2:6" ht="12.75" customHeight="1">
      <c r="B111" s="2085"/>
      <c r="C111" s="2086"/>
      <c r="D111" s="2086"/>
      <c r="E111" s="2087"/>
      <c r="F111" s="2088"/>
    </row>
    <row r="112" spans="2:6" ht="12.75" customHeight="1">
      <c r="B112" s="2085"/>
      <c r="C112" s="2086"/>
      <c r="D112" s="2086"/>
      <c r="E112" s="2087"/>
      <c r="F112" s="2088"/>
    </row>
    <row r="113" spans="2:6" ht="12.75" customHeight="1">
      <c r="B113" s="2085"/>
      <c r="C113" s="2086"/>
      <c r="D113" s="2086"/>
      <c r="E113" s="2087"/>
      <c r="F113" s="2088"/>
    </row>
    <row r="114" spans="2:6" ht="12.75" customHeight="1">
      <c r="B114" s="2085"/>
      <c r="C114" s="2086"/>
      <c r="D114" s="2086"/>
      <c r="E114" s="2087"/>
      <c r="F114" s="2088"/>
    </row>
    <row r="115" spans="2:6" ht="12.75" customHeight="1">
      <c r="B115" s="2085"/>
      <c r="C115" s="2086"/>
      <c r="D115" s="2086"/>
      <c r="E115" s="2087"/>
      <c r="F115" s="2088"/>
    </row>
    <row r="116" spans="2:6" ht="12.75" customHeight="1">
      <c r="B116" s="2085"/>
      <c r="C116" s="2086"/>
      <c r="D116" s="2086"/>
      <c r="E116" s="2087"/>
      <c r="F116" s="2088"/>
    </row>
    <row r="117" spans="2:6" ht="12.75" customHeight="1">
      <c r="B117" s="2085"/>
      <c r="C117" s="2086"/>
      <c r="D117" s="2086"/>
      <c r="E117" s="2087"/>
      <c r="F117" s="2088"/>
    </row>
    <row r="118" spans="2:6" ht="12.75" customHeight="1">
      <c r="B118" s="2085"/>
      <c r="C118" s="2086"/>
      <c r="D118" s="2086"/>
      <c r="E118" s="2087"/>
      <c r="F118" s="2088"/>
    </row>
    <row r="119" spans="2:6" ht="12.75" customHeight="1">
      <c r="B119" s="2085"/>
      <c r="C119" s="2086"/>
      <c r="D119" s="2086"/>
      <c r="E119" s="2087"/>
      <c r="F119" s="2088"/>
    </row>
    <row r="120" spans="2:6" ht="12.75" customHeight="1">
      <c r="B120" s="2085"/>
      <c r="C120" s="2086"/>
      <c r="D120" s="2086"/>
      <c r="E120" s="2087"/>
      <c r="F120" s="2088"/>
    </row>
    <row r="121" spans="2:6" ht="12.75" customHeight="1">
      <c r="B121" s="2085"/>
      <c r="C121" s="2086"/>
      <c r="D121" s="2086"/>
      <c r="E121" s="2087"/>
      <c r="F121" s="2088"/>
    </row>
    <row r="122" spans="2:6" ht="12.75" customHeight="1">
      <c r="B122" s="2085"/>
      <c r="C122" s="2086"/>
      <c r="D122" s="2086"/>
      <c r="E122" s="2087"/>
      <c r="F122" s="2088"/>
    </row>
    <row r="123" spans="2:6" ht="12.75" customHeight="1">
      <c r="B123" s="2085"/>
      <c r="C123" s="2086"/>
      <c r="D123" s="2086"/>
      <c r="E123" s="2087"/>
      <c r="F123" s="2088"/>
    </row>
    <row r="124" spans="2:6" ht="12.75" customHeight="1">
      <c r="B124" s="2085"/>
      <c r="C124" s="2086"/>
      <c r="D124" s="2086"/>
      <c r="E124" s="2087"/>
      <c r="F124" s="2088"/>
    </row>
    <row r="125" spans="2:6" ht="12.75" customHeight="1">
      <c r="B125" s="2085"/>
      <c r="C125" s="2086"/>
      <c r="D125" s="2086"/>
      <c r="E125" s="2087"/>
      <c r="F125" s="2088"/>
    </row>
    <row r="126" spans="2:6" ht="12.75" customHeight="1">
      <c r="B126" s="2085"/>
      <c r="C126" s="2086"/>
      <c r="D126" s="2086"/>
      <c r="E126" s="2087"/>
      <c r="F126" s="2088"/>
    </row>
    <row r="127" spans="2:6" ht="12.75" customHeight="1">
      <c r="B127" s="2085"/>
      <c r="C127" s="2086"/>
      <c r="D127" s="2086"/>
      <c r="E127" s="2087"/>
      <c r="F127" s="2088"/>
    </row>
    <row r="128" spans="2:6" ht="12.75" customHeight="1">
      <c r="B128" s="2085"/>
      <c r="C128" s="2086"/>
      <c r="D128" s="2086"/>
      <c r="E128" s="2087"/>
      <c r="F128" s="2088"/>
    </row>
    <row r="129" spans="2:6" ht="12.75" customHeight="1">
      <c r="B129" s="2085"/>
      <c r="C129" s="2086"/>
      <c r="D129" s="2086"/>
      <c r="E129" s="2087"/>
      <c r="F129" s="2088"/>
    </row>
    <row r="130" spans="2:6" ht="12.75" customHeight="1">
      <c r="B130" s="2085"/>
      <c r="C130" s="2086"/>
      <c r="D130" s="2086"/>
      <c r="E130" s="2087"/>
      <c r="F130" s="2088"/>
    </row>
    <row r="131" spans="2:6" ht="12.75" customHeight="1">
      <c r="B131" s="2085"/>
      <c r="C131" s="2086"/>
      <c r="D131" s="2086"/>
      <c r="E131" s="2087"/>
      <c r="F131" s="2088"/>
    </row>
    <row r="132" spans="2:6" ht="12.75" customHeight="1">
      <c r="B132" s="2085"/>
      <c r="C132" s="2086"/>
      <c r="D132" s="2086"/>
      <c r="E132" s="2087"/>
      <c r="F132" s="2088"/>
    </row>
    <row r="133" spans="2:6" ht="12.75" customHeight="1">
      <c r="B133" s="2085"/>
      <c r="C133" s="2086"/>
      <c r="D133" s="2086"/>
      <c r="E133" s="2087"/>
      <c r="F133" s="2088"/>
    </row>
    <row r="134" spans="2:6" ht="12.75" customHeight="1">
      <c r="B134" s="2085"/>
      <c r="C134" s="2086"/>
      <c r="D134" s="2086"/>
      <c r="E134" s="2087"/>
      <c r="F134" s="2088"/>
    </row>
    <row r="135" spans="2:6" ht="12.75" customHeight="1">
      <c r="B135" s="2085"/>
      <c r="C135" s="2086"/>
      <c r="D135" s="2086"/>
      <c r="E135" s="2087"/>
      <c r="F135" s="2088"/>
    </row>
    <row r="136" spans="2:6" ht="12.75" customHeight="1">
      <c r="B136" s="2085"/>
      <c r="C136" s="2086"/>
      <c r="D136" s="2086"/>
      <c r="E136" s="2087"/>
      <c r="F136" s="2088"/>
    </row>
    <row r="137" spans="2:6" ht="12.75" customHeight="1">
      <c r="B137" s="2085"/>
      <c r="C137" s="2086"/>
      <c r="D137" s="2086"/>
      <c r="E137" s="2087"/>
      <c r="F137" s="2088"/>
    </row>
    <row r="138" spans="2:6" ht="12.75" customHeight="1">
      <c r="B138" s="2085"/>
      <c r="C138" s="2086"/>
      <c r="D138" s="2086"/>
      <c r="E138" s="2087"/>
      <c r="F138" s="2088"/>
    </row>
    <row r="139" spans="2:6" ht="12.75" customHeight="1">
      <c r="B139" s="2085"/>
      <c r="C139" s="2086"/>
      <c r="D139" s="2086"/>
      <c r="E139" s="2087"/>
      <c r="F139" s="2088"/>
    </row>
    <row r="140" spans="2:6" ht="12.75" customHeight="1">
      <c r="B140" s="2085"/>
      <c r="C140" s="2086"/>
      <c r="D140" s="2086"/>
      <c r="E140" s="2087"/>
      <c r="F140" s="2088"/>
    </row>
    <row r="141" spans="2:6" ht="12.75" customHeight="1">
      <c r="B141" s="2085"/>
      <c r="C141" s="2086"/>
      <c r="D141" s="2086"/>
      <c r="E141" s="2087"/>
      <c r="F141" s="2088"/>
    </row>
    <row r="142" spans="2:6" ht="12.75" customHeight="1">
      <c r="B142" s="2085"/>
      <c r="C142" s="2086"/>
      <c r="D142" s="2086"/>
      <c r="E142" s="2087"/>
      <c r="F142" s="2088"/>
    </row>
    <row r="143" spans="2:6" ht="12.75" customHeight="1">
      <c r="B143" s="2085"/>
      <c r="C143" s="2086"/>
      <c r="D143" s="2086"/>
      <c r="E143" s="2087"/>
      <c r="F143" s="2088"/>
    </row>
    <row r="144" spans="2:6" ht="12.75" customHeight="1">
      <c r="B144" s="2085"/>
      <c r="C144" s="2086"/>
      <c r="D144" s="2086"/>
      <c r="E144" s="2087"/>
      <c r="F144" s="2088"/>
    </row>
    <row r="145" spans="2:6" ht="12.75" customHeight="1">
      <c r="B145" s="2085"/>
      <c r="C145" s="2086"/>
      <c r="D145" s="2086"/>
      <c r="E145" s="2087"/>
      <c r="F145" s="2088"/>
    </row>
    <row r="146" spans="2:6" ht="12.75" customHeight="1">
      <c r="B146" s="2085"/>
      <c r="C146" s="2086"/>
      <c r="D146" s="2086"/>
      <c r="E146" s="2087"/>
      <c r="F146" s="2088"/>
    </row>
    <row r="147" spans="2:6" ht="12.75" customHeight="1">
      <c r="B147" s="2085"/>
      <c r="C147" s="2086"/>
      <c r="D147" s="2086"/>
      <c r="E147" s="2087"/>
      <c r="F147" s="2088"/>
    </row>
    <row r="148" spans="2:6" ht="12.75" customHeight="1">
      <c r="B148" s="2085"/>
      <c r="C148" s="2086"/>
      <c r="D148" s="2086"/>
      <c r="E148" s="2087"/>
      <c r="F148" s="2088"/>
    </row>
    <row r="149" spans="2:6" ht="12.75" customHeight="1">
      <c r="B149" s="2085"/>
      <c r="C149" s="2086"/>
      <c r="D149" s="2086"/>
      <c r="E149" s="2087"/>
      <c r="F149" s="2088"/>
    </row>
    <row r="150" spans="2:6" ht="12.75" customHeight="1">
      <c r="B150" s="2085"/>
      <c r="C150" s="2086"/>
      <c r="D150" s="2086"/>
      <c r="E150" s="2087"/>
      <c r="F150" s="2088"/>
    </row>
    <row r="151" spans="2:6" ht="12.75" customHeight="1">
      <c r="B151" s="2085"/>
      <c r="C151" s="2086"/>
      <c r="D151" s="2086"/>
      <c r="E151" s="2087"/>
      <c r="F151" s="2088"/>
    </row>
    <row r="152" spans="2:6" ht="12.75" customHeight="1">
      <c r="B152" s="2085"/>
      <c r="C152" s="2086"/>
      <c r="D152" s="2086"/>
      <c r="E152" s="2087"/>
      <c r="F152" s="2088"/>
    </row>
    <row r="153" spans="2:6" ht="12.75" customHeight="1">
      <c r="B153" s="2085"/>
      <c r="C153" s="2086"/>
      <c r="D153" s="2086"/>
      <c r="E153" s="2087"/>
      <c r="F153" s="2088"/>
    </row>
    <row r="154" spans="2:6" ht="12.75" customHeight="1">
      <c r="B154" s="2085"/>
      <c r="C154" s="2086"/>
      <c r="D154" s="2086"/>
      <c r="E154" s="2087"/>
      <c r="F154" s="2088"/>
    </row>
    <row r="155" spans="2:6" ht="12.75" customHeight="1">
      <c r="B155" s="2085"/>
      <c r="C155" s="2086"/>
      <c r="D155" s="2086"/>
      <c r="E155" s="2087"/>
      <c r="F155" s="2088"/>
    </row>
    <row r="156" spans="2:6" ht="12.75" customHeight="1">
      <c r="B156" s="2085"/>
      <c r="C156" s="2086"/>
      <c r="D156" s="2086"/>
      <c r="E156" s="2087"/>
      <c r="F156" s="2088"/>
    </row>
    <row r="157" spans="2:6" ht="12.75" customHeight="1">
      <c r="B157" s="2085"/>
      <c r="C157" s="2086"/>
      <c r="D157" s="2086"/>
      <c r="E157" s="2087"/>
      <c r="F157" s="2088"/>
    </row>
    <row r="158" spans="2:6" ht="12.75" customHeight="1">
      <c r="B158" s="2085"/>
      <c r="C158" s="2086"/>
      <c r="D158" s="2086"/>
      <c r="E158" s="2087"/>
      <c r="F158" s="2088"/>
    </row>
    <row r="159" spans="2:6" ht="12.75" customHeight="1">
      <c r="B159" s="2085"/>
      <c r="C159" s="2086"/>
      <c r="D159" s="2086"/>
      <c r="E159" s="2087"/>
      <c r="F159" s="2088"/>
    </row>
    <row r="160" spans="2:6" ht="12.75" customHeight="1">
      <c r="B160" s="2085"/>
      <c r="C160" s="2086"/>
      <c r="D160" s="2086"/>
      <c r="E160" s="2087"/>
      <c r="F160" s="2088"/>
    </row>
    <row r="161" spans="2:6" ht="12.75" customHeight="1">
      <c r="B161" s="2085"/>
      <c r="C161" s="2086"/>
      <c r="D161" s="2086"/>
      <c r="E161" s="2087"/>
      <c r="F161" s="2088"/>
    </row>
    <row r="162" spans="2:6" ht="12.75" customHeight="1">
      <c r="B162" s="2085"/>
      <c r="C162" s="2086"/>
      <c r="D162" s="2086"/>
      <c r="E162" s="2087"/>
      <c r="F162" s="2088"/>
    </row>
    <row r="163" spans="2:6" ht="12.75" customHeight="1">
      <c r="B163" s="2085"/>
      <c r="C163" s="2086"/>
      <c r="D163" s="2086"/>
      <c r="E163" s="2087"/>
      <c r="F163" s="2088"/>
    </row>
    <row r="164" spans="2:6" ht="12.75" customHeight="1">
      <c r="B164" s="2085"/>
      <c r="C164" s="2086"/>
      <c r="D164" s="2086"/>
      <c r="E164" s="2087"/>
      <c r="F164" s="2088"/>
    </row>
    <row r="165" spans="2:6" ht="12.75" customHeight="1">
      <c r="B165" s="2085"/>
      <c r="C165" s="2086"/>
      <c r="D165" s="2086"/>
      <c r="E165" s="2087"/>
      <c r="F165" s="2088"/>
    </row>
    <row r="166" spans="2:6" ht="12.75" customHeight="1">
      <c r="B166" s="2085"/>
      <c r="C166" s="2086"/>
      <c r="D166" s="2086"/>
      <c r="E166" s="2087"/>
      <c r="F166" s="2088"/>
    </row>
    <row r="167" spans="2:6" ht="12.75" customHeight="1">
      <c r="B167" s="2085"/>
      <c r="C167" s="2086"/>
      <c r="D167" s="2086"/>
      <c r="E167" s="2087"/>
      <c r="F167" s="2088"/>
    </row>
    <row r="168" spans="2:6" ht="12.75" customHeight="1">
      <c r="B168" s="2085"/>
      <c r="C168" s="2086"/>
      <c r="D168" s="2086"/>
      <c r="E168" s="2087"/>
      <c r="F168" s="2088"/>
    </row>
    <row r="169" spans="2:6" ht="12.75" customHeight="1">
      <c r="B169" s="2085"/>
      <c r="C169" s="2086"/>
      <c r="D169" s="2086"/>
      <c r="E169" s="2087"/>
      <c r="F169" s="2088"/>
    </row>
    <row r="170" spans="2:6" ht="12.75" customHeight="1">
      <c r="B170" s="2085"/>
      <c r="C170" s="2086"/>
      <c r="D170" s="2086"/>
      <c r="E170" s="2087"/>
      <c r="F170" s="2088"/>
    </row>
    <row r="171" spans="2:6" ht="12.75" customHeight="1">
      <c r="B171" s="2085"/>
      <c r="C171" s="2086"/>
      <c r="D171" s="2086"/>
      <c r="E171" s="2087"/>
      <c r="F171" s="2088"/>
    </row>
    <row r="172" spans="2:6" ht="12.75" customHeight="1">
      <c r="B172" s="2085"/>
      <c r="C172" s="2086"/>
      <c r="D172" s="2086"/>
      <c r="E172" s="2087"/>
      <c r="F172" s="2088"/>
    </row>
    <row r="173" spans="2:6" ht="12.75" customHeight="1">
      <c r="B173" s="2085"/>
      <c r="C173" s="2086"/>
      <c r="D173" s="2086"/>
      <c r="E173" s="2087"/>
      <c r="F173" s="2088"/>
    </row>
    <row r="174" spans="2:6" ht="12.75" customHeight="1">
      <c r="B174" s="2085"/>
      <c r="C174" s="2086"/>
      <c r="D174" s="2086"/>
      <c r="E174" s="2087"/>
      <c r="F174" s="2088"/>
    </row>
    <row r="175" spans="2:6" ht="12.75" customHeight="1">
      <c r="B175" s="2085"/>
      <c r="C175" s="2086"/>
      <c r="D175" s="2086"/>
      <c r="E175" s="2087"/>
      <c r="F175" s="2088"/>
    </row>
    <row r="176" spans="2:6" ht="12.75" customHeight="1">
      <c r="B176" s="2085"/>
      <c r="C176" s="2086"/>
      <c r="D176" s="2086"/>
      <c r="E176" s="2087"/>
      <c r="F176" s="2088"/>
    </row>
    <row r="177" spans="2:6" ht="12.75" customHeight="1">
      <c r="B177" s="2085"/>
      <c r="C177" s="2086"/>
      <c r="D177" s="2086"/>
      <c r="E177" s="2087"/>
      <c r="F177" s="2088"/>
    </row>
    <row r="178" spans="2:6" ht="12.75" customHeight="1">
      <c r="B178" s="2085"/>
      <c r="C178" s="2086"/>
      <c r="D178" s="2086"/>
      <c r="E178" s="2087"/>
      <c r="F178" s="2088"/>
    </row>
    <row r="179" spans="2:6" ht="12.75" customHeight="1">
      <c r="B179" s="2085"/>
      <c r="C179" s="2086"/>
      <c r="D179" s="2086"/>
      <c r="E179" s="2087"/>
      <c r="F179" s="2088"/>
    </row>
    <row r="180" spans="2:6" ht="12.75" customHeight="1">
      <c r="B180" s="2085"/>
      <c r="C180" s="2086"/>
      <c r="D180" s="2086"/>
      <c r="E180" s="2087"/>
      <c r="F180" s="2088"/>
    </row>
    <row r="181" spans="2:6" ht="12.75" customHeight="1">
      <c r="B181" s="2085"/>
      <c r="C181" s="2086"/>
      <c r="D181" s="2086"/>
      <c r="E181" s="2087"/>
      <c r="F181" s="2088"/>
    </row>
    <row r="182" spans="2:6" ht="12.75" customHeight="1">
      <c r="B182" s="2085"/>
      <c r="C182" s="2086"/>
      <c r="D182" s="2086"/>
      <c r="E182" s="2087"/>
      <c r="F182" s="2088"/>
    </row>
    <row r="183" spans="2:6" ht="12.75" customHeight="1">
      <c r="B183" s="2085"/>
      <c r="C183" s="2086"/>
      <c r="D183" s="2086"/>
      <c r="E183" s="2087"/>
      <c r="F183" s="2088"/>
    </row>
    <row r="184" spans="2:6" ht="12.75" customHeight="1">
      <c r="B184" s="2085"/>
      <c r="C184" s="2086"/>
      <c r="D184" s="2086"/>
      <c r="E184" s="2087"/>
      <c r="F184" s="2088"/>
    </row>
    <row r="185" spans="2:6" ht="12.75" customHeight="1">
      <c r="B185" s="2085"/>
      <c r="C185" s="2086"/>
      <c r="D185" s="2086"/>
      <c r="E185" s="2087"/>
      <c r="F185" s="2088"/>
    </row>
    <row r="186" spans="2:6" ht="12.75" customHeight="1">
      <c r="B186" s="2085"/>
      <c r="C186" s="2086"/>
      <c r="D186" s="2086"/>
      <c r="E186" s="2087"/>
      <c r="F186" s="2088"/>
    </row>
    <row r="187" spans="2:6" ht="12.75" customHeight="1">
      <c r="B187" s="2085"/>
      <c r="C187" s="2086"/>
      <c r="D187" s="2086"/>
      <c r="E187" s="2087"/>
      <c r="F187" s="2088"/>
    </row>
    <row r="188" spans="2:6" ht="12.75" customHeight="1">
      <c r="B188" s="2085"/>
      <c r="C188" s="2086"/>
      <c r="D188" s="2086"/>
      <c r="E188" s="2087"/>
      <c r="F188" s="2088"/>
    </row>
    <row r="189" spans="2:6" ht="12.75" customHeight="1">
      <c r="B189" s="2085"/>
      <c r="C189" s="2086"/>
      <c r="D189" s="2086"/>
      <c r="E189" s="2087"/>
      <c r="F189" s="2088"/>
    </row>
    <row r="190" spans="2:6" ht="12.75" customHeight="1">
      <c r="B190" s="2085"/>
      <c r="C190" s="2086"/>
      <c r="D190" s="2086"/>
      <c r="E190" s="2087"/>
      <c r="F190" s="2088"/>
    </row>
    <row r="191" spans="2:6" ht="12.75" customHeight="1">
      <c r="B191" s="2085"/>
      <c r="C191" s="2086"/>
      <c r="D191" s="2086"/>
      <c r="E191" s="2087"/>
      <c r="F191" s="2088"/>
    </row>
    <row r="192" spans="2:6" ht="12.75" customHeight="1">
      <c r="B192" s="2085"/>
      <c r="C192" s="2086"/>
      <c r="D192" s="2086"/>
      <c r="E192" s="2087"/>
      <c r="F192" s="2088"/>
    </row>
    <row r="193" spans="2:6" ht="12.75" customHeight="1">
      <c r="B193" s="2085"/>
      <c r="C193" s="2086"/>
      <c r="D193" s="2086"/>
      <c r="E193" s="2087"/>
      <c r="F193" s="2088"/>
    </row>
    <row r="194" spans="2:6" ht="12.75" customHeight="1">
      <c r="B194" s="2085"/>
      <c r="C194" s="2086"/>
      <c r="D194" s="2086"/>
      <c r="E194" s="2087"/>
      <c r="F194" s="2088"/>
    </row>
    <row r="195" spans="2:6" ht="12.75" customHeight="1">
      <c r="B195" s="2085"/>
      <c r="C195" s="2086"/>
      <c r="D195" s="2086"/>
      <c r="E195" s="2087"/>
      <c r="F195" s="2088"/>
    </row>
    <row r="196" spans="2:6" ht="12.75" customHeight="1">
      <c r="B196" s="2085"/>
      <c r="C196" s="2086"/>
      <c r="D196" s="2086"/>
      <c r="E196" s="2087"/>
      <c r="F196" s="2088"/>
    </row>
    <row r="197" spans="2:6" ht="12.75" customHeight="1">
      <c r="B197" s="2085"/>
      <c r="C197" s="2086"/>
      <c r="D197" s="2086"/>
      <c r="E197" s="2087"/>
      <c r="F197" s="2088"/>
    </row>
    <row r="198" spans="2:6" ht="12.75" customHeight="1">
      <c r="B198" s="2085"/>
      <c r="C198" s="2086"/>
      <c r="D198" s="2086"/>
      <c r="E198" s="2087"/>
      <c r="F198" s="2088"/>
    </row>
    <row r="199" spans="2:6" ht="12.75" customHeight="1">
      <c r="B199" s="2085"/>
      <c r="C199" s="2086"/>
      <c r="D199" s="2086"/>
      <c r="E199" s="2087"/>
      <c r="F199" s="2088"/>
    </row>
    <row r="200" spans="2:6" ht="12.75" customHeight="1">
      <c r="B200" s="2085"/>
      <c r="C200" s="2086"/>
      <c r="D200" s="2086"/>
      <c r="E200" s="2087"/>
      <c r="F200" s="2088"/>
    </row>
    <row r="201" spans="2:6" ht="12.75" customHeight="1">
      <c r="B201" s="2085"/>
      <c r="C201" s="2086"/>
      <c r="D201" s="2086"/>
      <c r="E201" s="2087"/>
      <c r="F201" s="2088"/>
    </row>
    <row r="202" spans="2:6" ht="12.75" customHeight="1">
      <c r="B202" s="2085"/>
      <c r="C202" s="2086"/>
      <c r="D202" s="2086"/>
      <c r="E202" s="2087"/>
      <c r="F202" s="2088"/>
    </row>
    <row r="203" spans="2:6" ht="12.75" customHeight="1">
      <c r="B203" s="2085"/>
      <c r="C203" s="2086"/>
      <c r="D203" s="2086"/>
      <c r="E203" s="2087"/>
      <c r="F203" s="2088"/>
    </row>
    <row r="204" spans="2:6" ht="12.75" customHeight="1">
      <c r="B204" s="2085"/>
      <c r="C204" s="2086"/>
      <c r="D204" s="2086"/>
      <c r="E204" s="2087"/>
      <c r="F204" s="2088"/>
    </row>
    <row r="205" spans="2:6" ht="12.75" customHeight="1">
      <c r="B205" s="2085"/>
      <c r="C205" s="2086"/>
      <c r="D205" s="2086"/>
      <c r="E205" s="2087"/>
      <c r="F205" s="2088"/>
    </row>
    <row r="206" spans="2:6" ht="12.75" customHeight="1">
      <c r="B206" s="2085"/>
      <c r="C206" s="2086"/>
      <c r="D206" s="2086"/>
      <c r="E206" s="2087"/>
      <c r="F206" s="2088"/>
    </row>
    <row r="207" spans="2:6" ht="12.75" customHeight="1">
      <c r="B207" s="2085"/>
      <c r="C207" s="2086"/>
      <c r="D207" s="2086"/>
      <c r="E207" s="2087"/>
      <c r="F207" s="2088"/>
    </row>
    <row r="208" spans="2:6" ht="12.75" customHeight="1">
      <c r="B208" s="2085"/>
      <c r="C208" s="2086"/>
      <c r="D208" s="2086"/>
      <c r="E208" s="2087"/>
      <c r="F208" s="2088"/>
    </row>
    <row r="209" spans="2:6" ht="12.75" customHeight="1">
      <c r="B209" s="2085"/>
      <c r="C209" s="2086"/>
      <c r="D209" s="2086"/>
      <c r="E209" s="2087"/>
      <c r="F209" s="2088"/>
    </row>
    <row r="210" spans="2:6" ht="12.75" customHeight="1">
      <c r="B210" s="2085"/>
      <c r="C210" s="2086"/>
      <c r="D210" s="2086"/>
      <c r="E210" s="2087"/>
      <c r="F210" s="2088"/>
    </row>
    <row r="211" spans="2:6" ht="12.75" customHeight="1">
      <c r="B211" s="2085"/>
      <c r="C211" s="2086"/>
      <c r="D211" s="2086"/>
      <c r="E211" s="2087"/>
      <c r="F211" s="2088"/>
    </row>
    <row r="212" spans="2:6" ht="12.75" customHeight="1">
      <c r="B212" s="2085"/>
      <c r="C212" s="2086"/>
      <c r="D212" s="2086"/>
      <c r="E212" s="2087"/>
      <c r="F212" s="2088"/>
    </row>
    <row r="213" spans="2:6" ht="12.75" customHeight="1">
      <c r="B213" s="2085"/>
      <c r="C213" s="2086"/>
      <c r="D213" s="2086"/>
      <c r="E213" s="2087"/>
      <c r="F213" s="2088"/>
    </row>
    <row r="214" spans="2:6" ht="12.75" customHeight="1">
      <c r="B214" s="2085"/>
      <c r="C214" s="2086"/>
      <c r="D214" s="2086"/>
      <c r="E214" s="2087"/>
      <c r="F214" s="2088"/>
    </row>
    <row r="215" spans="2:6" ht="12.75" customHeight="1">
      <c r="B215" s="2085"/>
      <c r="C215" s="2086"/>
      <c r="D215" s="2086"/>
      <c r="E215" s="2087"/>
      <c r="F215" s="2088"/>
    </row>
    <row r="216" spans="2:6" ht="12.75" customHeight="1">
      <c r="B216" s="2085"/>
      <c r="C216" s="2086"/>
      <c r="D216" s="2086"/>
      <c r="E216" s="2087"/>
      <c r="F216" s="2088"/>
    </row>
    <row r="217" spans="2:6" ht="12.75" customHeight="1">
      <c r="B217" s="2085"/>
      <c r="C217" s="2086"/>
      <c r="D217" s="2086"/>
      <c r="E217" s="2087"/>
      <c r="F217" s="2088"/>
    </row>
    <row r="218" spans="2:6" ht="12.75" customHeight="1">
      <c r="B218" s="2085"/>
      <c r="C218" s="2086"/>
      <c r="D218" s="2086"/>
      <c r="E218" s="2087"/>
      <c r="F218" s="2088"/>
    </row>
    <row r="219" spans="2:6" ht="12.75" customHeight="1">
      <c r="B219" s="2085"/>
      <c r="C219" s="2086"/>
      <c r="D219" s="2086"/>
      <c r="E219" s="2087"/>
      <c r="F219" s="2088"/>
    </row>
    <row r="220" spans="2:6" ht="12.75" customHeight="1">
      <c r="B220" s="2085"/>
      <c r="C220" s="2086"/>
      <c r="D220" s="2086"/>
      <c r="E220" s="2087"/>
      <c r="F220" s="2088"/>
    </row>
    <row r="221" spans="2:6" ht="12.75" customHeight="1">
      <c r="B221" s="2085"/>
      <c r="C221" s="2086"/>
      <c r="D221" s="2086"/>
      <c r="E221" s="2087"/>
      <c r="F221" s="2088"/>
    </row>
    <row r="222" spans="2:6" ht="12.75" customHeight="1">
      <c r="B222" s="2085"/>
      <c r="C222" s="2086"/>
      <c r="D222" s="2086"/>
      <c r="E222" s="2087"/>
      <c r="F222" s="2088"/>
    </row>
    <row r="223" spans="2:6" ht="12.75" customHeight="1">
      <c r="B223" s="2085"/>
      <c r="C223" s="2086"/>
      <c r="D223" s="2086"/>
      <c r="E223" s="2087"/>
      <c r="F223" s="2088"/>
    </row>
    <row r="224" spans="2:6" ht="12.75" customHeight="1">
      <c r="B224" s="2085"/>
      <c r="C224" s="2086"/>
      <c r="D224" s="2086"/>
      <c r="E224" s="2087"/>
      <c r="F224" s="2088"/>
    </row>
    <row r="225" spans="2:6" ht="12.75" customHeight="1">
      <c r="B225" s="2085"/>
      <c r="C225" s="2086"/>
      <c r="D225" s="2086"/>
      <c r="E225" s="2087"/>
      <c r="F225" s="2088"/>
    </row>
    <row r="226" spans="2:6" ht="12.75" customHeight="1">
      <c r="B226" s="2085"/>
      <c r="C226" s="2086"/>
      <c r="D226" s="2086"/>
      <c r="E226" s="2087"/>
      <c r="F226" s="2088"/>
    </row>
    <row r="227" spans="2:6" ht="12.75" customHeight="1">
      <c r="B227" s="2085"/>
      <c r="C227" s="2086"/>
      <c r="D227" s="2086"/>
      <c r="E227" s="2087"/>
      <c r="F227" s="2088"/>
    </row>
    <row r="228" spans="2:6" ht="12.75" customHeight="1">
      <c r="B228" s="2085"/>
      <c r="C228" s="2086"/>
      <c r="D228" s="2086"/>
      <c r="E228" s="2087"/>
      <c r="F228" s="2088"/>
    </row>
    <row r="229" spans="2:6" ht="12.75" customHeight="1">
      <c r="B229" s="2085"/>
      <c r="C229" s="2086"/>
      <c r="D229" s="2086"/>
      <c r="E229" s="2087"/>
      <c r="F229" s="2088"/>
    </row>
    <row r="230" spans="2:6" ht="12.75" customHeight="1">
      <c r="B230" s="2085"/>
      <c r="C230" s="2086"/>
      <c r="D230" s="2086"/>
      <c r="E230" s="2087"/>
      <c r="F230" s="2088"/>
    </row>
    <row r="231" spans="2:6" ht="12.75" customHeight="1">
      <c r="B231" s="2085"/>
      <c r="C231" s="2086"/>
      <c r="D231" s="2086"/>
      <c r="E231" s="2087"/>
      <c r="F231" s="2088"/>
    </row>
    <row r="232" spans="2:6" ht="12.75" customHeight="1">
      <c r="B232" s="2085"/>
      <c r="C232" s="2086"/>
      <c r="D232" s="2086"/>
      <c r="E232" s="2087"/>
      <c r="F232" s="2088"/>
    </row>
    <row r="233" spans="2:6" ht="12.75" customHeight="1">
      <c r="B233" s="2085"/>
      <c r="C233" s="2086"/>
      <c r="D233" s="2086"/>
      <c r="E233" s="2087"/>
      <c r="F233" s="2088"/>
    </row>
    <row r="234" spans="2:6" ht="12.75" customHeight="1">
      <c r="B234" s="2085"/>
      <c r="C234" s="2086"/>
      <c r="D234" s="2086"/>
      <c r="E234" s="2087"/>
      <c r="F234" s="2088"/>
    </row>
    <row r="235" spans="2:6" ht="12.75" customHeight="1">
      <c r="B235" s="2085"/>
      <c r="C235" s="2086"/>
      <c r="D235" s="2086"/>
      <c r="E235" s="2087"/>
      <c r="F235" s="2088"/>
    </row>
    <row r="236" spans="2:6" ht="12.75" customHeight="1">
      <c r="B236" s="2085"/>
      <c r="C236" s="2086"/>
      <c r="D236" s="2086"/>
      <c r="E236" s="2087"/>
      <c r="F236" s="2088"/>
    </row>
    <row r="237" spans="2:6" ht="12.75" customHeight="1">
      <c r="B237" s="2085"/>
      <c r="C237" s="2086"/>
      <c r="D237" s="2086"/>
      <c r="E237" s="2087"/>
      <c r="F237" s="2088"/>
    </row>
    <row r="238" spans="2:6" ht="12.75" customHeight="1">
      <c r="B238" s="2085"/>
      <c r="C238" s="2086"/>
      <c r="D238" s="2086"/>
      <c r="E238" s="2087"/>
      <c r="F238" s="2088"/>
    </row>
    <row r="239" spans="2:6" ht="12.75" customHeight="1">
      <c r="B239" s="2085"/>
      <c r="C239" s="2086"/>
      <c r="D239" s="2086"/>
      <c r="E239" s="2087"/>
      <c r="F239" s="2088"/>
    </row>
    <row r="240" spans="2:6" ht="12.75" customHeight="1">
      <c r="B240" s="2085"/>
      <c r="C240" s="2086"/>
      <c r="D240" s="2086"/>
      <c r="E240" s="2087"/>
      <c r="F240" s="2088"/>
    </row>
    <row r="241" spans="2:6" ht="12.75" customHeight="1">
      <c r="B241" s="2085"/>
      <c r="C241" s="2086"/>
      <c r="D241" s="2086"/>
      <c r="E241" s="2087"/>
      <c r="F241" s="2088"/>
    </row>
    <row r="242" spans="2:6" ht="12.75" customHeight="1">
      <c r="B242" s="2085"/>
      <c r="C242" s="2086"/>
      <c r="D242" s="2086"/>
      <c r="E242" s="2087"/>
      <c r="F242" s="2088"/>
    </row>
    <row r="243" spans="2:6" ht="12.75" customHeight="1">
      <c r="B243" s="2085"/>
      <c r="C243" s="2086"/>
      <c r="D243" s="2086"/>
      <c r="E243" s="2087"/>
      <c r="F243" s="2088"/>
    </row>
    <row r="244" spans="2:6" ht="12.75" customHeight="1">
      <c r="B244" s="2085"/>
      <c r="C244" s="2086"/>
      <c r="D244" s="2086"/>
      <c r="E244" s="2087"/>
      <c r="F244" s="2088"/>
    </row>
    <row r="245" spans="2:6" ht="12.75" customHeight="1">
      <c r="B245" s="2085"/>
      <c r="C245" s="2086"/>
      <c r="D245" s="2086"/>
      <c r="E245" s="2087"/>
      <c r="F245" s="2088"/>
    </row>
    <row r="246" spans="2:6" ht="12.75" customHeight="1">
      <c r="B246" s="2085"/>
      <c r="C246" s="2086"/>
      <c r="D246" s="2086"/>
      <c r="E246" s="2087"/>
      <c r="F246" s="2088"/>
    </row>
    <row r="247" spans="2:6" ht="12.75" customHeight="1">
      <c r="B247" s="2085"/>
      <c r="C247" s="2086"/>
      <c r="D247" s="2086"/>
      <c r="E247" s="2087"/>
      <c r="F247" s="2088"/>
    </row>
    <row r="248" spans="2:6" ht="12.75" customHeight="1">
      <c r="B248" s="2085"/>
      <c r="C248" s="2086"/>
      <c r="D248" s="2086"/>
      <c r="E248" s="2087"/>
      <c r="F248" s="2088"/>
    </row>
    <row r="249" spans="2:6" ht="12.75" customHeight="1">
      <c r="B249" s="2085"/>
      <c r="C249" s="2086"/>
      <c r="D249" s="2086"/>
      <c r="E249" s="2087"/>
      <c r="F249" s="2088"/>
    </row>
    <row r="250" spans="2:6" ht="12.75" customHeight="1">
      <c r="B250" s="2085"/>
      <c r="C250" s="2086"/>
      <c r="D250" s="2086"/>
      <c r="E250" s="2087"/>
      <c r="F250" s="2088"/>
    </row>
    <row r="251" spans="2:6" ht="12.75" customHeight="1">
      <c r="B251" s="2085"/>
      <c r="C251" s="2086"/>
      <c r="D251" s="2086"/>
      <c r="E251" s="2087"/>
      <c r="F251" s="2088"/>
    </row>
    <row r="252" spans="2:6" ht="12.75" customHeight="1">
      <c r="B252" s="2085"/>
      <c r="C252" s="2086"/>
      <c r="D252" s="2086"/>
      <c r="E252" s="2087"/>
      <c r="F252" s="2088"/>
    </row>
    <row r="253" spans="2:6" ht="12.75" customHeight="1">
      <c r="B253" s="2085"/>
      <c r="C253" s="2086"/>
      <c r="D253" s="2086"/>
      <c r="E253" s="2087"/>
      <c r="F253" s="2088"/>
    </row>
    <row r="254" spans="2:6" ht="12.75" customHeight="1">
      <c r="B254" s="2085"/>
      <c r="C254" s="2086"/>
      <c r="D254" s="2086"/>
      <c r="E254" s="2087"/>
      <c r="F254" s="2088"/>
    </row>
    <row r="255" spans="2:6" ht="12.75" customHeight="1">
      <c r="B255" s="2085"/>
      <c r="C255" s="2086"/>
      <c r="D255" s="2086"/>
      <c r="E255" s="2087"/>
      <c r="F255" s="2088"/>
    </row>
    <row r="256" spans="2:6" ht="12.75" customHeight="1">
      <c r="B256" s="2085"/>
      <c r="C256" s="2086"/>
      <c r="D256" s="2086"/>
      <c r="E256" s="2087"/>
      <c r="F256" s="2088"/>
    </row>
    <row r="257" spans="2:6" ht="12.75" customHeight="1">
      <c r="B257" s="2085"/>
      <c r="C257" s="2086"/>
      <c r="D257" s="2086"/>
      <c r="E257" s="2087"/>
      <c r="F257" s="2088"/>
    </row>
    <row r="258" spans="2:6" ht="12.75" customHeight="1">
      <c r="B258" s="2085"/>
      <c r="C258" s="2086"/>
      <c r="D258" s="2086"/>
      <c r="E258" s="2087"/>
      <c r="F258" s="2088"/>
    </row>
    <row r="259" spans="2:6" ht="12.75" customHeight="1">
      <c r="B259" s="2085"/>
      <c r="C259" s="2086"/>
      <c r="D259" s="2086"/>
      <c r="E259" s="2087"/>
      <c r="F259" s="2088"/>
    </row>
    <row r="260" spans="2:6" ht="12.75" customHeight="1">
      <c r="B260" s="2085"/>
      <c r="C260" s="2086"/>
      <c r="D260" s="2086"/>
      <c r="E260" s="2087"/>
      <c r="F260" s="2088"/>
    </row>
    <row r="261" spans="2:6" ht="12.75" customHeight="1">
      <c r="B261" s="2085"/>
      <c r="C261" s="2086"/>
      <c r="D261" s="2086"/>
      <c r="E261" s="2087"/>
      <c r="F261" s="2088"/>
    </row>
    <row r="262" spans="2:6" ht="12.75" customHeight="1">
      <c r="B262" s="2085"/>
      <c r="C262" s="2086"/>
      <c r="D262" s="2086"/>
      <c r="E262" s="2087"/>
      <c r="F262" s="2088"/>
    </row>
    <row r="263" spans="2:6" ht="12.75" customHeight="1">
      <c r="B263" s="2085"/>
      <c r="C263" s="2086"/>
      <c r="D263" s="2086"/>
      <c r="E263" s="2087"/>
      <c r="F263" s="2088"/>
    </row>
    <row r="264" spans="2:6" ht="12.75" customHeight="1">
      <c r="B264" s="2085"/>
      <c r="C264" s="2086"/>
      <c r="D264" s="2086"/>
      <c r="E264" s="2087"/>
      <c r="F264" s="2088"/>
    </row>
    <row r="265" spans="2:6" ht="12.75" customHeight="1">
      <c r="B265" s="2085"/>
      <c r="C265" s="2086"/>
      <c r="D265" s="2086"/>
      <c r="E265" s="2087"/>
      <c r="F265" s="2088"/>
    </row>
    <row r="266" spans="2:6" ht="12.75" customHeight="1">
      <c r="B266" s="2085"/>
      <c r="C266" s="2086"/>
      <c r="D266" s="2086"/>
      <c r="E266" s="2087"/>
      <c r="F266" s="2088"/>
    </row>
    <row r="267" spans="2:6" ht="12.75" customHeight="1">
      <c r="B267" s="2085"/>
      <c r="C267" s="2086"/>
      <c r="D267" s="2086"/>
      <c r="E267" s="2087"/>
      <c r="F267" s="2088"/>
    </row>
    <row r="268" spans="2:6" ht="12.75" customHeight="1">
      <c r="B268" s="2085"/>
      <c r="C268" s="2086"/>
      <c r="D268" s="2086"/>
      <c r="E268" s="2087"/>
      <c r="F268" s="2088"/>
    </row>
    <row r="269" spans="2:6" ht="12.75" customHeight="1">
      <c r="B269" s="2085"/>
      <c r="C269" s="2086"/>
      <c r="D269" s="2086"/>
      <c r="E269" s="2087"/>
      <c r="F269" s="2088"/>
    </row>
    <row r="270" spans="2:6" ht="12.75" customHeight="1">
      <c r="B270" s="2085"/>
      <c r="C270" s="2086"/>
      <c r="D270" s="2086"/>
      <c r="E270" s="2087"/>
      <c r="F270" s="2088"/>
    </row>
    <row r="271" spans="2:6" ht="12.75" customHeight="1">
      <c r="B271" s="2085"/>
      <c r="C271" s="2086"/>
      <c r="D271" s="2086"/>
      <c r="E271" s="2087"/>
      <c r="F271" s="2088"/>
    </row>
    <row r="272" spans="2:6" ht="12.75" customHeight="1">
      <c r="B272" s="2085"/>
      <c r="C272" s="2086"/>
      <c r="D272" s="2086"/>
      <c r="E272" s="2087"/>
      <c r="F272" s="2088"/>
    </row>
    <row r="273" spans="2:6" ht="12.75" customHeight="1">
      <c r="B273" s="2085"/>
      <c r="C273" s="2086"/>
      <c r="D273" s="2086"/>
      <c r="E273" s="2087"/>
      <c r="F273" s="2088"/>
    </row>
    <row r="274" spans="2:6" ht="12.75" customHeight="1">
      <c r="B274" s="2085"/>
      <c r="C274" s="2086"/>
      <c r="D274" s="2086"/>
      <c r="E274" s="2087"/>
      <c r="F274" s="2088"/>
    </row>
    <row r="275" spans="2:6" ht="12.75" customHeight="1">
      <c r="B275" s="2085"/>
      <c r="C275" s="2086"/>
      <c r="D275" s="2086"/>
      <c r="E275" s="2087"/>
      <c r="F275" s="2088"/>
    </row>
    <row r="276" spans="2:6" ht="12.75" customHeight="1">
      <c r="B276" s="2085"/>
      <c r="C276" s="2086"/>
      <c r="D276" s="2086"/>
      <c r="E276" s="2087"/>
      <c r="F276" s="2088"/>
    </row>
    <row r="277" spans="2:6" ht="12.75" customHeight="1">
      <c r="B277" s="2085"/>
      <c r="C277" s="2086"/>
      <c r="D277" s="2086"/>
      <c r="E277" s="2087"/>
      <c r="F277" s="2088"/>
    </row>
    <row r="278" spans="2:6" ht="12.75" customHeight="1">
      <c r="B278" s="2085"/>
      <c r="C278" s="2086"/>
      <c r="D278" s="2086"/>
      <c r="E278" s="2087"/>
      <c r="F278" s="2088"/>
    </row>
    <row r="279" spans="2:6" ht="12.75" customHeight="1">
      <c r="B279" s="2085"/>
      <c r="C279" s="2086"/>
      <c r="D279" s="2086"/>
      <c r="E279" s="2087"/>
      <c r="F279" s="2088"/>
    </row>
    <row r="280" spans="2:6" ht="12.75" customHeight="1">
      <c r="B280" s="2085"/>
      <c r="C280" s="2086"/>
      <c r="D280" s="2086"/>
      <c r="E280" s="2087"/>
      <c r="F280" s="2088"/>
    </row>
    <row r="281" spans="2:6" ht="12.75" customHeight="1">
      <c r="B281" s="2085"/>
      <c r="C281" s="2086"/>
      <c r="D281" s="2086"/>
      <c r="E281" s="2087"/>
      <c r="F281" s="2088"/>
    </row>
    <row r="282" spans="2:6" ht="12.75" customHeight="1">
      <c r="B282" s="2085"/>
      <c r="C282" s="2086"/>
      <c r="D282" s="2086"/>
      <c r="E282" s="2087"/>
      <c r="F282" s="2088"/>
    </row>
    <row r="283" spans="2:6" ht="12.75" customHeight="1">
      <c r="B283" s="2085"/>
      <c r="C283" s="2086"/>
      <c r="D283" s="2086"/>
      <c r="E283" s="2087"/>
      <c r="F283" s="2088"/>
    </row>
    <row r="284" spans="2:6" ht="12.75" customHeight="1">
      <c r="B284" s="2085"/>
      <c r="C284" s="2086"/>
      <c r="D284" s="2086"/>
      <c r="E284" s="2087"/>
      <c r="F284" s="2088"/>
    </row>
    <row r="285" spans="2:6" ht="12.75" customHeight="1">
      <c r="B285" s="2085"/>
      <c r="C285" s="2086"/>
      <c r="D285" s="2086"/>
      <c r="E285" s="2087"/>
      <c r="F285" s="2088"/>
    </row>
    <row r="286" spans="2:6" ht="12.75" customHeight="1">
      <c r="B286" s="2085"/>
      <c r="C286" s="2086"/>
      <c r="D286" s="2086"/>
      <c r="E286" s="2087"/>
      <c r="F286" s="2088"/>
    </row>
    <row r="287" spans="2:6" ht="12.75" customHeight="1">
      <c r="B287" s="2085"/>
      <c r="C287" s="2086"/>
      <c r="D287" s="2086"/>
      <c r="E287" s="2087"/>
      <c r="F287" s="2088"/>
    </row>
    <row r="288" spans="2:6" ht="12.75" customHeight="1">
      <c r="B288" s="2085"/>
      <c r="C288" s="2086"/>
      <c r="D288" s="2086"/>
      <c r="E288" s="2087"/>
      <c r="F288" s="2088"/>
    </row>
    <row r="289" spans="2:6" ht="12.75" customHeight="1">
      <c r="B289" s="2085"/>
      <c r="C289" s="2086"/>
      <c r="D289" s="2086"/>
      <c r="E289" s="2087"/>
      <c r="F289" s="2088"/>
    </row>
    <row r="290" spans="2:6" ht="12.75" customHeight="1">
      <c r="B290" s="2085"/>
      <c r="C290" s="2086"/>
      <c r="D290" s="2086"/>
      <c r="E290" s="2087"/>
      <c r="F290" s="2088"/>
    </row>
    <row r="291" spans="2:6" ht="12.75" customHeight="1">
      <c r="B291" s="2085"/>
      <c r="C291" s="2086"/>
      <c r="D291" s="2086"/>
      <c r="E291" s="2087"/>
      <c r="F291" s="2088"/>
    </row>
    <row r="292" spans="2:6" ht="12.75" customHeight="1">
      <c r="B292" s="2085"/>
      <c r="C292" s="2086"/>
      <c r="D292" s="2086"/>
      <c r="E292" s="2087"/>
      <c r="F292" s="2088"/>
    </row>
    <row r="293" spans="2:6" ht="12.75" customHeight="1">
      <c r="B293" s="2085"/>
      <c r="C293" s="2086"/>
      <c r="D293" s="2086"/>
      <c r="E293" s="2087"/>
      <c r="F293" s="2088"/>
    </row>
    <row r="294" spans="2:6" ht="12.75" customHeight="1">
      <c r="B294" s="2085"/>
      <c r="C294" s="2086"/>
      <c r="D294" s="2086"/>
      <c r="E294" s="2087"/>
      <c r="F294" s="2088"/>
    </row>
    <row r="295" spans="2:6" ht="12.75" customHeight="1">
      <c r="B295" s="2085"/>
      <c r="C295" s="2086"/>
      <c r="D295" s="2086"/>
      <c r="E295" s="2087"/>
      <c r="F295" s="2088"/>
    </row>
    <row r="296" spans="2:6" ht="12.75" customHeight="1">
      <c r="B296" s="2085"/>
      <c r="C296" s="2086"/>
      <c r="D296" s="2086"/>
      <c r="E296" s="2087"/>
      <c r="F296" s="2088"/>
    </row>
    <row r="297" spans="2:6" ht="12.75" customHeight="1">
      <c r="B297" s="2085"/>
      <c r="C297" s="2086"/>
      <c r="D297" s="2086"/>
      <c r="E297" s="2087"/>
      <c r="F297" s="2088"/>
    </row>
    <row r="298" spans="2:6" ht="12.75" customHeight="1">
      <c r="B298" s="2085"/>
      <c r="C298" s="2086"/>
      <c r="D298" s="2086"/>
      <c r="E298" s="2087"/>
      <c r="F298" s="2088"/>
    </row>
    <row r="299" spans="2:6" ht="12.75" customHeight="1">
      <c r="B299" s="2085"/>
      <c r="C299" s="2086"/>
      <c r="D299" s="2086"/>
      <c r="E299" s="2087"/>
      <c r="F299" s="2088"/>
    </row>
    <row r="300" spans="2:6" ht="12.75" customHeight="1">
      <c r="B300" s="2085"/>
      <c r="C300" s="2086"/>
      <c r="D300" s="2086"/>
      <c r="E300" s="2087"/>
      <c r="F300" s="2088"/>
    </row>
    <row r="301" spans="2:6" ht="12.75" customHeight="1">
      <c r="B301" s="2085"/>
      <c r="C301" s="2086"/>
      <c r="D301" s="2086"/>
      <c r="E301" s="2087"/>
      <c r="F301" s="2088"/>
    </row>
    <row r="302" spans="2:6" ht="12.75" customHeight="1">
      <c r="B302" s="2085"/>
      <c r="C302" s="2086"/>
      <c r="D302" s="2086"/>
      <c r="E302" s="2087"/>
      <c r="F302" s="2088"/>
    </row>
    <row r="303" spans="2:6" ht="12.75" customHeight="1">
      <c r="B303" s="2085"/>
      <c r="C303" s="2086"/>
      <c r="D303" s="2086"/>
      <c r="E303" s="2087"/>
      <c r="F303" s="2088"/>
    </row>
    <row r="304" spans="2:6" ht="12.75" customHeight="1">
      <c r="B304" s="2085"/>
      <c r="C304" s="2086"/>
      <c r="D304" s="2086"/>
      <c r="E304" s="2087"/>
      <c r="F304" s="2088"/>
    </row>
    <row r="305" spans="2:6" ht="12.75" customHeight="1">
      <c r="B305" s="2085"/>
      <c r="C305" s="2086"/>
      <c r="D305" s="2086"/>
      <c r="E305" s="2087"/>
      <c r="F305" s="2088"/>
    </row>
    <row r="306" spans="2:6" ht="12.75" customHeight="1">
      <c r="B306" s="2085"/>
      <c r="C306" s="2086"/>
      <c r="D306" s="2086"/>
      <c r="E306" s="2087"/>
      <c r="F306" s="2088"/>
    </row>
    <row r="307" spans="2:6" ht="12.75" customHeight="1">
      <c r="B307" s="2085"/>
      <c r="C307" s="2086"/>
      <c r="D307" s="2086"/>
      <c r="E307" s="2087"/>
      <c r="F307" s="2088"/>
    </row>
    <row r="308" spans="2:6" ht="12.75" customHeight="1">
      <c r="B308" s="2085"/>
      <c r="C308" s="2086"/>
      <c r="D308" s="2086"/>
      <c r="E308" s="2087"/>
      <c r="F308" s="2088"/>
    </row>
    <row r="309" spans="2:6" ht="12.75" customHeight="1">
      <c r="B309" s="2085"/>
      <c r="C309" s="2086"/>
      <c r="D309" s="2086"/>
      <c r="E309" s="2087"/>
      <c r="F309" s="2088"/>
    </row>
    <row r="310" spans="2:6" ht="12.75" customHeight="1">
      <c r="B310" s="2085"/>
      <c r="C310" s="2086"/>
      <c r="D310" s="2086"/>
      <c r="E310" s="2087"/>
      <c r="F310" s="2088"/>
    </row>
    <row r="311" spans="2:6" ht="12.75" customHeight="1">
      <c r="B311" s="2085"/>
      <c r="C311" s="2086"/>
      <c r="D311" s="2086"/>
      <c r="E311" s="2087"/>
      <c r="F311" s="2088"/>
    </row>
    <row r="312" spans="2:6" ht="12.75" customHeight="1">
      <c r="B312" s="2085"/>
      <c r="C312" s="2086"/>
      <c r="D312" s="2086"/>
      <c r="E312" s="2087"/>
      <c r="F312" s="2088"/>
    </row>
    <row r="313" spans="2:6" ht="12.75" customHeight="1">
      <c r="B313" s="2085"/>
      <c r="C313" s="2086"/>
      <c r="D313" s="2086"/>
      <c r="E313" s="2087"/>
      <c r="F313" s="2088"/>
    </row>
    <row r="314" spans="2:6" ht="12.75" customHeight="1">
      <c r="B314" s="2085"/>
      <c r="C314" s="2086"/>
      <c r="D314" s="2086"/>
      <c r="E314" s="2087"/>
      <c r="F314" s="2088"/>
    </row>
    <row r="315" spans="2:6" ht="12.75" customHeight="1">
      <c r="B315" s="2085"/>
      <c r="C315" s="2086"/>
      <c r="D315" s="2086"/>
      <c r="E315" s="2087"/>
      <c r="F315" s="2088"/>
    </row>
    <row r="316" spans="2:6" ht="12.75" customHeight="1">
      <c r="B316" s="2085"/>
      <c r="C316" s="2086"/>
      <c r="D316" s="2086"/>
      <c r="E316" s="2087"/>
      <c r="F316" s="2088"/>
    </row>
    <row r="317" spans="2:6" ht="12.75" customHeight="1">
      <c r="B317" s="2085"/>
      <c r="C317" s="2086"/>
      <c r="D317" s="2086"/>
      <c r="E317" s="2087"/>
      <c r="F317" s="2088"/>
    </row>
    <row r="318" spans="2:6" ht="12.75" customHeight="1">
      <c r="B318" s="2085"/>
      <c r="C318" s="2086"/>
      <c r="D318" s="2086"/>
      <c r="E318" s="2087"/>
      <c r="F318" s="2088"/>
    </row>
    <row r="319" spans="2:6" ht="12.75" customHeight="1">
      <c r="B319" s="2085"/>
      <c r="C319" s="2086"/>
      <c r="D319" s="2086"/>
      <c r="E319" s="2087"/>
      <c r="F319" s="2088"/>
    </row>
    <row r="320" spans="2:6" ht="12.75" customHeight="1">
      <c r="B320" s="2085"/>
      <c r="C320" s="2086"/>
      <c r="D320" s="2086"/>
      <c r="E320" s="2087"/>
      <c r="F320" s="2088"/>
    </row>
    <row r="321" spans="2:6" ht="12.75" customHeight="1">
      <c r="B321" s="2085"/>
      <c r="C321" s="2086"/>
      <c r="D321" s="2086"/>
      <c r="E321" s="2087"/>
      <c r="F321" s="2088"/>
    </row>
    <row r="322" spans="2:6" ht="12.75" customHeight="1">
      <c r="B322" s="2085"/>
      <c r="C322" s="2086"/>
      <c r="D322" s="2086"/>
      <c r="E322" s="2087"/>
      <c r="F322" s="2088"/>
    </row>
    <row r="323" spans="2:6" ht="12.75" customHeight="1">
      <c r="B323" s="2085"/>
      <c r="C323" s="2086"/>
      <c r="D323" s="2086"/>
      <c r="E323" s="2087"/>
      <c r="F323" s="2088"/>
    </row>
    <row r="324" spans="2:6" ht="12.75" customHeight="1">
      <c r="B324" s="2085"/>
      <c r="C324" s="2086"/>
      <c r="D324" s="2086"/>
      <c r="E324" s="2087"/>
      <c r="F324" s="2088"/>
    </row>
    <row r="325" spans="2:6" ht="12.75" customHeight="1">
      <c r="B325" s="2085"/>
      <c r="C325" s="2086"/>
      <c r="D325" s="2086"/>
      <c r="E325" s="2087"/>
      <c r="F325" s="2088"/>
    </row>
    <row r="326" spans="2:6" ht="12.75" customHeight="1">
      <c r="B326" s="2085"/>
      <c r="C326" s="2086"/>
      <c r="D326" s="2086"/>
      <c r="E326" s="2087"/>
      <c r="F326" s="2088"/>
    </row>
    <row r="327" spans="2:6" ht="12.75" customHeight="1">
      <c r="B327" s="2085"/>
      <c r="C327" s="2086"/>
      <c r="D327" s="2086"/>
      <c r="E327" s="2087"/>
      <c r="F327" s="2088"/>
    </row>
    <row r="328" spans="2:6" ht="12.75" customHeight="1">
      <c r="B328" s="2085"/>
      <c r="C328" s="2086"/>
      <c r="D328" s="2086"/>
      <c r="E328" s="2087"/>
      <c r="F328" s="2088"/>
    </row>
    <row r="329" spans="2:6" ht="12.75" customHeight="1">
      <c r="B329" s="2085"/>
      <c r="C329" s="2086"/>
      <c r="D329" s="2086"/>
      <c r="E329" s="2087"/>
      <c r="F329" s="2088"/>
    </row>
    <row r="330" spans="2:6" ht="12.75" customHeight="1">
      <c r="B330" s="2085"/>
      <c r="C330" s="2086"/>
      <c r="D330" s="2086"/>
      <c r="E330" s="2087"/>
      <c r="F330" s="2088"/>
    </row>
    <row r="331" spans="2:6" ht="12.75" customHeight="1">
      <c r="B331" s="2085"/>
      <c r="C331" s="2086"/>
      <c r="D331" s="2086"/>
      <c r="E331" s="2087"/>
      <c r="F331" s="2088"/>
    </row>
    <row r="332" spans="2:6" ht="12.75" customHeight="1">
      <c r="B332" s="2085"/>
      <c r="C332" s="2086"/>
      <c r="D332" s="2086"/>
      <c r="E332" s="2087"/>
      <c r="F332" s="2088"/>
    </row>
    <row r="333" spans="2:6" ht="12.75" customHeight="1">
      <c r="B333" s="2085"/>
      <c r="C333" s="2086"/>
      <c r="D333" s="2086"/>
      <c r="E333" s="2087"/>
      <c r="F333" s="2088"/>
    </row>
    <row r="334" spans="2:6" ht="12.75" customHeight="1">
      <c r="B334" s="2085"/>
      <c r="C334" s="2086"/>
      <c r="D334" s="2086"/>
      <c r="E334" s="2087"/>
      <c r="F334" s="2088"/>
    </row>
    <row r="335" spans="2:6" ht="12.75" customHeight="1">
      <c r="B335" s="2085"/>
      <c r="C335" s="2086"/>
      <c r="D335" s="2086"/>
      <c r="E335" s="2087"/>
      <c r="F335" s="2088"/>
    </row>
    <row r="336" spans="2:6" ht="12.75" customHeight="1">
      <c r="B336" s="2085"/>
      <c r="C336" s="2086"/>
      <c r="D336" s="2086"/>
      <c r="E336" s="2087"/>
      <c r="F336" s="2088"/>
    </row>
    <row r="337" spans="2:6" ht="12.75" customHeight="1">
      <c r="B337" s="2085"/>
      <c r="C337" s="2086"/>
      <c r="D337" s="2086"/>
      <c r="E337" s="2087"/>
      <c r="F337" s="2088"/>
    </row>
    <row r="338" spans="2:6" ht="12.75" customHeight="1">
      <c r="B338" s="2085"/>
      <c r="C338" s="2086"/>
      <c r="D338" s="2086"/>
      <c r="E338" s="2087"/>
      <c r="F338" s="2088"/>
    </row>
    <row r="339" spans="2:6" ht="12.75" customHeight="1">
      <c r="B339" s="2085"/>
      <c r="C339" s="2086"/>
      <c r="D339" s="2086"/>
      <c r="E339" s="2087"/>
      <c r="F339" s="2088"/>
    </row>
    <row r="340" spans="2:6" ht="12.75" customHeight="1">
      <c r="B340" s="2085"/>
      <c r="C340" s="2086"/>
      <c r="D340" s="2086"/>
      <c r="E340" s="2087"/>
      <c r="F340" s="2088"/>
    </row>
    <row r="341" spans="2:6" ht="12.75" customHeight="1">
      <c r="B341" s="2085"/>
      <c r="C341" s="2086"/>
      <c r="D341" s="2086"/>
      <c r="E341" s="2087"/>
      <c r="F341" s="2088"/>
    </row>
    <row r="342" spans="2:6" ht="12.75" customHeight="1">
      <c r="B342" s="2085"/>
      <c r="C342" s="2086"/>
      <c r="D342" s="2086"/>
      <c r="E342" s="2087"/>
      <c r="F342" s="2088"/>
    </row>
    <row r="343" spans="2:6" ht="12.75" customHeight="1">
      <c r="B343" s="2085"/>
      <c r="C343" s="2086"/>
      <c r="D343" s="2086"/>
      <c r="E343" s="2087"/>
      <c r="F343" s="2088"/>
    </row>
    <row r="344" spans="2:6" ht="12.75" customHeight="1">
      <c r="B344" s="2085"/>
      <c r="C344" s="2086"/>
      <c r="D344" s="2086"/>
      <c r="E344" s="2087"/>
      <c r="F344" s="2088"/>
    </row>
    <row r="345" spans="2:6" ht="12.75" customHeight="1">
      <c r="B345" s="2085"/>
      <c r="C345" s="2086"/>
      <c r="D345" s="2086"/>
      <c r="E345" s="2087"/>
      <c r="F345" s="2088"/>
    </row>
    <row r="346" spans="2:6" ht="12.75" customHeight="1">
      <c r="B346" s="2085"/>
      <c r="C346" s="2086"/>
      <c r="D346" s="2086"/>
      <c r="E346" s="2087"/>
      <c r="F346" s="2088"/>
    </row>
    <row r="347" spans="2:6" ht="12.75" customHeight="1">
      <c r="B347" s="2085"/>
      <c r="C347" s="2086"/>
      <c r="D347" s="2086"/>
      <c r="E347" s="2087"/>
      <c r="F347" s="2088"/>
    </row>
    <row r="348" spans="2:6" ht="12.75" customHeight="1">
      <c r="B348" s="2085"/>
      <c r="C348" s="2086"/>
      <c r="D348" s="2086"/>
      <c r="E348" s="2087"/>
      <c r="F348" s="2088"/>
    </row>
    <row r="349" spans="2:6" ht="12.75" customHeight="1">
      <c r="B349" s="2085"/>
      <c r="C349" s="2086"/>
      <c r="D349" s="2086"/>
      <c r="E349" s="2087"/>
      <c r="F349" s="2088"/>
    </row>
    <row r="350" spans="2:6" ht="12.75" customHeight="1">
      <c r="B350" s="2085"/>
      <c r="C350" s="2086"/>
      <c r="D350" s="2086"/>
      <c r="E350" s="2087"/>
      <c r="F350" s="2088"/>
    </row>
    <row r="351" spans="2:6" ht="12.75" customHeight="1">
      <c r="B351" s="2085"/>
      <c r="C351" s="2086"/>
      <c r="D351" s="2086"/>
      <c r="E351" s="2087"/>
      <c r="F351" s="2088"/>
    </row>
    <row r="352" spans="2:6" ht="12.75" customHeight="1">
      <c r="B352" s="2085"/>
      <c r="C352" s="2086"/>
      <c r="D352" s="2086"/>
      <c r="E352" s="2087"/>
      <c r="F352" s="2088"/>
    </row>
    <row r="353" spans="2:6" ht="12.75" customHeight="1">
      <c r="B353" s="2085"/>
      <c r="C353" s="2086"/>
      <c r="D353" s="2086"/>
      <c r="E353" s="2087"/>
      <c r="F353" s="2088"/>
    </row>
    <row r="354" spans="2:6" ht="12.75" customHeight="1">
      <c r="B354" s="2085"/>
      <c r="C354" s="2086"/>
      <c r="D354" s="2086"/>
      <c r="E354" s="2087"/>
      <c r="F354" s="2088"/>
    </row>
    <row r="355" spans="2:6" ht="12.75" customHeight="1">
      <c r="B355" s="2085"/>
      <c r="C355" s="2086"/>
      <c r="D355" s="2086"/>
      <c r="E355" s="2087"/>
      <c r="F355" s="2088"/>
    </row>
    <row r="356" spans="2:6" ht="12.75" customHeight="1">
      <c r="B356" s="2085"/>
      <c r="C356" s="2086"/>
      <c r="D356" s="2086"/>
      <c r="E356" s="2087"/>
      <c r="F356" s="2088"/>
    </row>
    <row r="357" spans="2:6" ht="12.75" customHeight="1">
      <c r="B357" s="2085"/>
      <c r="C357" s="2086"/>
      <c r="D357" s="2086"/>
      <c r="E357" s="2087"/>
      <c r="F357" s="2088"/>
    </row>
    <row r="358" spans="2:6" ht="12.75" customHeight="1">
      <c r="B358" s="2085"/>
      <c r="C358" s="2086"/>
      <c r="D358" s="2086"/>
      <c r="E358" s="2087"/>
      <c r="F358" s="2088"/>
    </row>
    <row r="359" spans="2:6" ht="12.75" customHeight="1">
      <c r="B359" s="2085"/>
      <c r="C359" s="2086"/>
      <c r="D359" s="2086"/>
      <c r="E359" s="2087"/>
      <c r="F359" s="2088"/>
    </row>
    <row r="360" spans="2:6" ht="12.75" customHeight="1">
      <c r="B360" s="2085"/>
      <c r="C360" s="2086"/>
      <c r="D360" s="2086"/>
      <c r="E360" s="2087"/>
      <c r="F360" s="2088"/>
    </row>
    <row r="361" spans="2:6" ht="12.75" customHeight="1">
      <c r="B361" s="2085"/>
      <c r="C361" s="2086"/>
      <c r="D361" s="2086"/>
      <c r="E361" s="2087"/>
      <c r="F361" s="2088"/>
    </row>
    <row r="362" spans="2:6" ht="12.75" customHeight="1">
      <c r="B362" s="2085"/>
      <c r="C362" s="2086"/>
      <c r="D362" s="2086"/>
      <c r="E362" s="2087"/>
      <c r="F362" s="2088"/>
    </row>
    <row r="363" spans="2:6" ht="12.75" customHeight="1">
      <c r="B363" s="2085"/>
      <c r="C363" s="2086"/>
      <c r="D363" s="2086"/>
      <c r="E363" s="2087"/>
      <c r="F363" s="2088"/>
    </row>
    <row r="364" spans="2:6" ht="12.75" customHeight="1">
      <c r="B364" s="2085"/>
      <c r="C364" s="2086"/>
      <c r="D364" s="2086"/>
      <c r="E364" s="2087"/>
      <c r="F364" s="2088"/>
    </row>
    <row r="365" spans="2:6" ht="12.75" customHeight="1">
      <c r="B365" s="2085"/>
      <c r="C365" s="2086"/>
      <c r="D365" s="2086"/>
      <c r="E365" s="2087"/>
      <c r="F365" s="2088"/>
    </row>
    <row r="366" spans="2:6" ht="12.75" customHeight="1">
      <c r="B366" s="2085"/>
      <c r="C366" s="2086"/>
      <c r="D366" s="2086"/>
      <c r="E366" s="2087"/>
      <c r="F366" s="2088"/>
    </row>
    <row r="367" spans="2:6" ht="12.75" customHeight="1">
      <c r="B367" s="2085"/>
      <c r="C367" s="2086"/>
      <c r="D367" s="2086"/>
      <c r="E367" s="2087"/>
      <c r="F367" s="2088"/>
    </row>
    <row r="368" spans="2:6" ht="12.75" customHeight="1">
      <c r="B368" s="2085"/>
      <c r="C368" s="2086"/>
      <c r="D368" s="2086"/>
      <c r="E368" s="2087"/>
      <c r="F368" s="2088"/>
    </row>
    <row r="369" spans="2:6" ht="12.75" customHeight="1">
      <c r="B369" s="2085"/>
      <c r="C369" s="2086"/>
      <c r="D369" s="2086"/>
      <c r="E369" s="2087"/>
      <c r="F369" s="2088"/>
    </row>
    <row r="370" spans="2:6" ht="12.75" customHeight="1">
      <c r="B370" s="2085"/>
      <c r="C370" s="2086"/>
      <c r="D370" s="2086"/>
      <c r="E370" s="2087"/>
      <c r="F370" s="2088"/>
    </row>
    <row r="371" spans="2:6" ht="12.75" customHeight="1">
      <c r="B371" s="2085"/>
      <c r="C371" s="2086"/>
      <c r="D371" s="2086"/>
      <c r="E371" s="2087"/>
      <c r="F371" s="2088"/>
    </row>
    <row r="372" spans="2:6" ht="12.75" customHeight="1">
      <c r="B372" s="2085"/>
      <c r="C372" s="2086"/>
      <c r="D372" s="2086"/>
      <c r="E372" s="2087"/>
      <c r="F372" s="2088"/>
    </row>
    <row r="373" spans="2:6" ht="12.75" customHeight="1">
      <c r="B373" s="2085"/>
      <c r="C373" s="2086"/>
      <c r="D373" s="2086"/>
      <c r="E373" s="2087"/>
      <c r="F373" s="2088"/>
    </row>
    <row r="374" spans="2:6" ht="12.75" customHeight="1">
      <c r="B374" s="2085"/>
      <c r="C374" s="2086"/>
      <c r="D374" s="2086"/>
      <c r="E374" s="2087"/>
      <c r="F374" s="2088"/>
    </row>
    <row r="375" spans="2:6" ht="12.75" customHeight="1">
      <c r="B375" s="2085"/>
      <c r="C375" s="2086"/>
      <c r="D375" s="2086"/>
      <c r="E375" s="2087"/>
      <c r="F375" s="2088"/>
    </row>
    <row r="376" spans="2:6" ht="12.75" customHeight="1">
      <c r="B376" s="2085"/>
      <c r="C376" s="2086"/>
      <c r="D376" s="2086"/>
      <c r="E376" s="2087"/>
      <c r="F376" s="2088"/>
    </row>
    <row r="377" spans="2:6" ht="12.75" customHeight="1">
      <c r="B377" s="2085"/>
      <c r="C377" s="2086"/>
      <c r="D377" s="2086"/>
      <c r="E377" s="2087"/>
      <c r="F377" s="2088"/>
    </row>
    <row r="378" spans="2:6" ht="12.75" customHeight="1">
      <c r="B378" s="2085"/>
      <c r="C378" s="2086"/>
      <c r="D378" s="2086"/>
      <c r="E378" s="2087"/>
      <c r="F378" s="2088"/>
    </row>
    <row r="379" spans="2:6" ht="12.75" customHeight="1">
      <c r="B379" s="2085"/>
      <c r="C379" s="2086"/>
      <c r="D379" s="2086"/>
      <c r="E379" s="2087"/>
      <c r="F379" s="2088"/>
    </row>
    <row r="380" spans="2:6" ht="12.75" customHeight="1">
      <c r="B380" s="2085"/>
      <c r="C380" s="2086"/>
      <c r="D380" s="2086"/>
      <c r="E380" s="2087"/>
      <c r="F380" s="2088"/>
    </row>
    <row r="381" spans="2:6" ht="12.75" customHeight="1">
      <c r="B381" s="2085"/>
      <c r="C381" s="2086"/>
      <c r="D381" s="2086"/>
      <c r="E381" s="2087"/>
      <c r="F381" s="2088"/>
    </row>
    <row r="382" spans="2:6" ht="12.75" customHeight="1">
      <c r="B382" s="2085"/>
      <c r="C382" s="2086"/>
      <c r="D382" s="2086"/>
      <c r="E382" s="2087"/>
      <c r="F382" s="2088"/>
    </row>
    <row r="383" spans="2:6" ht="12.75" customHeight="1">
      <c r="B383" s="2085"/>
      <c r="C383" s="2086"/>
      <c r="D383" s="2086"/>
      <c r="E383" s="2087"/>
      <c r="F383" s="2088"/>
    </row>
    <row r="384" spans="2:6" ht="12.75" customHeight="1">
      <c r="B384" s="2085"/>
      <c r="C384" s="2086"/>
      <c r="D384" s="2086"/>
      <c r="E384" s="2087"/>
      <c r="F384" s="2088"/>
    </row>
    <row r="385" spans="2:6" ht="12.75" customHeight="1">
      <c r="B385" s="2085"/>
      <c r="C385" s="2086"/>
      <c r="D385" s="2086"/>
      <c r="E385" s="2087"/>
      <c r="F385" s="2088"/>
    </row>
    <row r="386" spans="2:6" ht="12.75" customHeight="1">
      <c r="B386" s="2085"/>
      <c r="C386" s="2086"/>
      <c r="D386" s="2086"/>
      <c r="E386" s="2087"/>
      <c r="F386" s="2088"/>
    </row>
    <row r="387" spans="2:6" ht="12.75" customHeight="1">
      <c r="B387" s="2085"/>
      <c r="C387" s="2086"/>
      <c r="D387" s="2086"/>
      <c r="E387" s="2087"/>
      <c r="F387" s="2088"/>
    </row>
    <row r="388" spans="2:6" ht="12.75" customHeight="1">
      <c r="B388" s="2085"/>
      <c r="C388" s="2086"/>
      <c r="D388" s="2086"/>
      <c r="E388" s="2087"/>
      <c r="F388" s="2088"/>
    </row>
    <row r="389" spans="2:6" ht="12.75" customHeight="1">
      <c r="B389" s="2085"/>
      <c r="C389" s="2086"/>
      <c r="D389" s="2086"/>
      <c r="E389" s="2087"/>
      <c r="F389" s="2088"/>
    </row>
    <row r="390" spans="2:6" ht="12.75" customHeight="1">
      <c r="B390" s="2085"/>
      <c r="C390" s="2086"/>
      <c r="D390" s="2086"/>
      <c r="E390" s="2087"/>
      <c r="F390" s="2088"/>
    </row>
    <row r="391" spans="2:6" ht="12.75" customHeight="1">
      <c r="B391" s="2085"/>
      <c r="C391" s="2086"/>
      <c r="D391" s="2086"/>
      <c r="E391" s="2087"/>
      <c r="F391" s="2088"/>
    </row>
    <row r="392" spans="2:6" ht="12.75" customHeight="1">
      <c r="B392" s="2085"/>
      <c r="C392" s="2086"/>
      <c r="D392" s="2086"/>
      <c r="E392" s="2087"/>
      <c r="F392" s="2088"/>
    </row>
    <row r="393" spans="2:6" ht="12.75" customHeight="1">
      <c r="B393" s="2085"/>
      <c r="C393" s="2086"/>
      <c r="D393" s="2086"/>
      <c r="E393" s="2087"/>
      <c r="F393" s="2088"/>
    </row>
    <row r="394" spans="2:6" ht="12.75" customHeight="1">
      <c r="B394" s="2085"/>
      <c r="C394" s="2086"/>
      <c r="D394" s="2086"/>
      <c r="E394" s="2087"/>
      <c r="F394" s="2088"/>
    </row>
    <row r="395" spans="2:6" ht="12.75" customHeight="1">
      <c r="B395" s="2085"/>
      <c r="C395" s="2086"/>
      <c r="D395" s="2086"/>
      <c r="E395" s="2087"/>
      <c r="F395" s="2088"/>
    </row>
    <row r="396" spans="2:6" ht="12.75" customHeight="1">
      <c r="B396" s="2085"/>
      <c r="C396" s="2086"/>
      <c r="D396" s="2086"/>
      <c r="E396" s="2087"/>
      <c r="F396" s="2088"/>
    </row>
    <row r="397" spans="2:6" ht="12.75" customHeight="1">
      <c r="B397" s="2085"/>
      <c r="C397" s="2086"/>
      <c r="D397" s="2086"/>
      <c r="E397" s="2087"/>
      <c r="F397" s="2088"/>
    </row>
    <row r="398" spans="2:6" ht="12.75" customHeight="1">
      <c r="B398" s="2085"/>
      <c r="C398" s="2086"/>
      <c r="D398" s="2086"/>
      <c r="E398" s="2087"/>
      <c r="F398" s="2088"/>
    </row>
    <row r="399" spans="2:6" ht="12.75" customHeight="1">
      <c r="B399" s="2085"/>
      <c r="C399" s="2086"/>
      <c r="D399" s="2086"/>
      <c r="E399" s="2087"/>
      <c r="F399" s="2088"/>
    </row>
    <row r="400" spans="2:6" ht="12.75" customHeight="1">
      <c r="B400" s="2085"/>
      <c r="C400" s="2086"/>
      <c r="D400" s="2086"/>
      <c r="E400" s="2087"/>
      <c r="F400" s="2088"/>
    </row>
    <row r="401" spans="2:6" ht="12.75" customHeight="1">
      <c r="B401" s="2085"/>
      <c r="C401" s="2086"/>
      <c r="D401" s="2086"/>
      <c r="E401" s="2087"/>
      <c r="F401" s="2088"/>
    </row>
    <row r="402" spans="2:6" ht="12.75" customHeight="1">
      <c r="B402" s="2085"/>
      <c r="C402" s="2086"/>
      <c r="D402" s="2086"/>
      <c r="E402" s="2087"/>
      <c r="F402" s="2088"/>
    </row>
    <row r="403" spans="2:6" ht="12.75" customHeight="1">
      <c r="B403" s="2085"/>
      <c r="C403" s="2086"/>
      <c r="D403" s="2086"/>
      <c r="E403" s="2087"/>
      <c r="F403" s="2088"/>
    </row>
    <row r="404" spans="2:6" ht="12.75" customHeight="1">
      <c r="B404" s="2085"/>
      <c r="C404" s="2086"/>
      <c r="D404" s="2086"/>
      <c r="E404" s="2087"/>
      <c r="F404" s="2088"/>
    </row>
    <row r="405" spans="2:6" ht="12.75" customHeight="1">
      <c r="B405" s="2085"/>
      <c r="C405" s="2086"/>
      <c r="D405" s="2086"/>
      <c r="E405" s="2087"/>
      <c r="F405" s="2088"/>
    </row>
    <row r="406" spans="2:6" ht="12.75" customHeight="1">
      <c r="B406" s="2085"/>
      <c r="C406" s="2086"/>
      <c r="D406" s="2086"/>
      <c r="E406" s="2087"/>
      <c r="F406" s="2088"/>
    </row>
    <row r="407" spans="2:6" ht="12.75" customHeight="1">
      <c r="B407" s="2085"/>
      <c r="C407" s="2086"/>
      <c r="D407" s="2086"/>
      <c r="E407" s="2087"/>
      <c r="F407" s="2088"/>
    </row>
    <row r="408" spans="2:6" ht="12.75" customHeight="1">
      <c r="B408" s="2085"/>
      <c r="C408" s="2086"/>
      <c r="D408" s="2086"/>
      <c r="E408" s="2087"/>
      <c r="F408" s="2088"/>
    </row>
    <row r="409" spans="2:6" ht="12.75" customHeight="1">
      <c r="B409" s="2085"/>
      <c r="C409" s="2086"/>
      <c r="D409" s="2086"/>
      <c r="E409" s="2087"/>
      <c r="F409" s="2088"/>
    </row>
    <row r="410" spans="2:6" ht="12.75" customHeight="1">
      <c r="B410" s="2085"/>
      <c r="C410" s="2086"/>
      <c r="D410" s="2086"/>
      <c r="E410" s="2087"/>
      <c r="F410" s="2088"/>
    </row>
    <row r="411" spans="2:6" ht="12.75" customHeight="1">
      <c r="B411" s="2085"/>
      <c r="C411" s="2086"/>
      <c r="D411" s="2086"/>
      <c r="E411" s="2087"/>
      <c r="F411" s="2088"/>
    </row>
    <row r="412" spans="2:6" ht="12.75" customHeight="1">
      <c r="B412" s="2085"/>
      <c r="C412" s="2086"/>
      <c r="D412" s="2086"/>
      <c r="E412" s="2087"/>
      <c r="F412" s="2088"/>
    </row>
    <row r="413" spans="2:6" ht="12.75" customHeight="1">
      <c r="B413" s="2085"/>
      <c r="C413" s="2086"/>
      <c r="D413" s="2086"/>
      <c r="E413" s="2087"/>
      <c r="F413" s="2088"/>
    </row>
    <row r="414" spans="2:6" ht="12.75" customHeight="1">
      <c r="B414" s="2085"/>
      <c r="C414" s="2086"/>
      <c r="D414" s="2086"/>
      <c r="E414" s="2087"/>
      <c r="F414" s="2088"/>
    </row>
    <row r="415" spans="2:6" ht="12.75" customHeight="1">
      <c r="B415" s="2085"/>
      <c r="C415" s="2086"/>
      <c r="D415" s="2086"/>
      <c r="E415" s="2087"/>
      <c r="F415" s="2088"/>
    </row>
    <row r="416" spans="2:6" ht="12.75" customHeight="1">
      <c r="B416" s="2085"/>
      <c r="C416" s="2086"/>
      <c r="D416" s="2086"/>
      <c r="E416" s="2087"/>
      <c r="F416" s="2088"/>
    </row>
    <row r="417" spans="2:6" ht="12.75" customHeight="1">
      <c r="B417" s="2085"/>
      <c r="C417" s="2086"/>
      <c r="D417" s="2086"/>
      <c r="E417" s="2087"/>
      <c r="F417" s="2088"/>
    </row>
    <row r="418" spans="2:6" ht="12.75" customHeight="1">
      <c r="B418" s="2085"/>
      <c r="C418" s="2086"/>
      <c r="D418" s="2086"/>
      <c r="E418" s="2087"/>
      <c r="F418" s="2088"/>
    </row>
    <row r="419" spans="2:6" ht="12.75" customHeight="1">
      <c r="B419" s="2085"/>
      <c r="C419" s="2086"/>
      <c r="D419" s="2086"/>
      <c r="E419" s="2087"/>
      <c r="F419" s="2088"/>
    </row>
    <row r="420" spans="2:6" ht="12.75" customHeight="1">
      <c r="B420" s="2085"/>
      <c r="C420" s="2086"/>
      <c r="D420" s="2086"/>
      <c r="E420" s="2087"/>
      <c r="F420" s="2088"/>
    </row>
    <row r="421" spans="2:6" ht="12.75" customHeight="1">
      <c r="B421" s="2085"/>
      <c r="C421" s="2086"/>
      <c r="D421" s="2086"/>
      <c r="E421" s="2087"/>
      <c r="F421" s="2088"/>
    </row>
    <row r="422" spans="2:6" ht="12.75" customHeight="1">
      <c r="B422" s="2085"/>
      <c r="C422" s="2086"/>
      <c r="D422" s="2086"/>
      <c r="E422" s="2087"/>
      <c r="F422" s="2088"/>
    </row>
    <row r="423" spans="2:6" ht="12.75" customHeight="1">
      <c r="B423" s="2085"/>
      <c r="C423" s="2086"/>
      <c r="D423" s="2086"/>
      <c r="E423" s="2087"/>
      <c r="F423" s="2088"/>
    </row>
    <row r="424" spans="2:6" ht="12.75" customHeight="1">
      <c r="B424" s="2085"/>
      <c r="C424" s="2086"/>
      <c r="D424" s="2086"/>
      <c r="E424" s="2087"/>
      <c r="F424" s="2088"/>
    </row>
    <row r="425" spans="2:6" ht="12.75" customHeight="1">
      <c r="B425" s="2085"/>
      <c r="C425" s="2086"/>
      <c r="D425" s="2086"/>
      <c r="E425" s="2087"/>
      <c r="F425" s="2088"/>
    </row>
    <row r="426" spans="2:6" ht="12.75" customHeight="1">
      <c r="B426" s="2085"/>
      <c r="C426" s="2086"/>
      <c r="D426" s="2086"/>
      <c r="E426" s="2087"/>
      <c r="F426" s="2088"/>
    </row>
    <row r="427" spans="2:6" ht="12.75" customHeight="1">
      <c r="B427" s="2085"/>
      <c r="C427" s="2086"/>
      <c r="D427" s="2086"/>
      <c r="E427" s="2087"/>
      <c r="F427" s="2088"/>
    </row>
    <row r="428" spans="2:6" ht="12.75" customHeight="1">
      <c r="B428" s="2085"/>
      <c r="C428" s="2086"/>
      <c r="D428" s="2086"/>
      <c r="E428" s="2087"/>
      <c r="F428" s="2088"/>
    </row>
    <row r="429" spans="2:6" ht="12.75" customHeight="1">
      <c r="B429" s="2085"/>
      <c r="C429" s="2086"/>
      <c r="D429" s="2086"/>
      <c r="E429" s="2087"/>
      <c r="F429" s="2088"/>
    </row>
    <row r="430" spans="2:6" ht="12.75" customHeight="1">
      <c r="B430" s="2085"/>
      <c r="C430" s="2086"/>
      <c r="D430" s="2086"/>
      <c r="E430" s="2087"/>
      <c r="F430" s="2088"/>
    </row>
    <row r="431" spans="2:6" ht="12.75" customHeight="1">
      <c r="B431" s="2085"/>
      <c r="C431" s="2086"/>
      <c r="D431" s="2086"/>
      <c r="E431" s="2087"/>
      <c r="F431" s="2088"/>
    </row>
    <row r="432" spans="2:6" ht="12.75" customHeight="1">
      <c r="B432" s="2085"/>
      <c r="C432" s="2086"/>
      <c r="D432" s="2086"/>
      <c r="E432" s="2087"/>
      <c r="F432" s="2088"/>
    </row>
    <row r="433" spans="2:6" ht="12.75" customHeight="1">
      <c r="B433" s="2085"/>
      <c r="C433" s="2086"/>
      <c r="D433" s="2086"/>
      <c r="E433" s="2087"/>
      <c r="F433" s="2088"/>
    </row>
    <row r="434" spans="2:6" ht="12.75" customHeight="1">
      <c r="B434" s="2085"/>
      <c r="C434" s="2086"/>
      <c r="D434" s="2086"/>
      <c r="E434" s="2087"/>
      <c r="F434" s="2088"/>
    </row>
    <row r="435" spans="2:6" ht="12.75" customHeight="1">
      <c r="B435" s="2085"/>
      <c r="C435" s="2086"/>
      <c r="D435" s="2086"/>
      <c r="E435" s="2087"/>
      <c r="F435" s="2088"/>
    </row>
    <row r="436" spans="2:6" ht="12.75" customHeight="1">
      <c r="B436" s="2085"/>
      <c r="C436" s="2086"/>
      <c r="D436" s="2086"/>
      <c r="E436" s="2087"/>
      <c r="F436" s="2088"/>
    </row>
    <row r="437" spans="2:6" ht="12.75" customHeight="1">
      <c r="B437" s="2085"/>
      <c r="C437" s="2086"/>
      <c r="D437" s="2086"/>
      <c r="E437" s="2087"/>
      <c r="F437" s="2088"/>
    </row>
    <row r="438" spans="2:6" ht="12.75" customHeight="1">
      <c r="B438" s="2085"/>
      <c r="C438" s="2086"/>
      <c r="D438" s="2086"/>
      <c r="E438" s="2087"/>
      <c r="F438" s="2088"/>
    </row>
    <row r="439" spans="2:6" ht="12.75" customHeight="1">
      <c r="B439" s="2085"/>
      <c r="C439" s="2086"/>
      <c r="D439" s="2086"/>
      <c r="E439" s="2087"/>
      <c r="F439" s="2088"/>
    </row>
    <row r="440" spans="2:6" ht="12.75" customHeight="1">
      <c r="B440" s="2085"/>
      <c r="C440" s="2086"/>
      <c r="D440" s="2086"/>
      <c r="E440" s="2087"/>
      <c r="F440" s="2088"/>
    </row>
    <row r="441" spans="2:6" ht="12.75" customHeight="1">
      <c r="B441" s="2085"/>
      <c r="C441" s="2086"/>
      <c r="D441" s="2086"/>
      <c r="E441" s="2087"/>
      <c r="F441" s="2088"/>
    </row>
    <row r="442" spans="2:6" ht="12.75" customHeight="1">
      <c r="B442" s="2085"/>
      <c r="C442" s="2086"/>
      <c r="D442" s="2086"/>
      <c r="E442" s="2087"/>
      <c r="F442" s="2088"/>
    </row>
    <row r="443" spans="2:6" ht="12.75" customHeight="1">
      <c r="B443" s="2085"/>
      <c r="C443" s="2086"/>
      <c r="D443" s="2086"/>
      <c r="E443" s="2087"/>
      <c r="F443" s="2088"/>
    </row>
    <row r="444" spans="2:6" ht="12.75" customHeight="1">
      <c r="B444" s="2085"/>
      <c r="C444" s="2086"/>
      <c r="D444" s="2086"/>
      <c r="E444" s="2087"/>
      <c r="F444" s="2088"/>
    </row>
    <row r="445" spans="2:6" ht="12.75" customHeight="1">
      <c r="B445" s="2085"/>
      <c r="C445" s="2086"/>
      <c r="D445" s="2086"/>
      <c r="E445" s="2087"/>
      <c r="F445" s="2088"/>
    </row>
    <row r="446" spans="2:6" ht="12.75" customHeight="1">
      <c r="B446" s="2085"/>
      <c r="C446" s="2086"/>
      <c r="D446" s="2086"/>
      <c r="E446" s="2087"/>
      <c r="F446" s="2088"/>
    </row>
    <row r="447" spans="2:6" ht="12.75" customHeight="1">
      <c r="B447" s="2085"/>
      <c r="C447" s="2086"/>
      <c r="D447" s="2086"/>
      <c r="E447" s="2087"/>
      <c r="F447" s="2088"/>
    </row>
    <row r="448" spans="2:6" ht="12.75" customHeight="1">
      <c r="B448" s="2085"/>
      <c r="C448" s="2086"/>
      <c r="D448" s="2086"/>
      <c r="E448" s="2087"/>
      <c r="F448" s="2088"/>
    </row>
    <row r="449" spans="2:6" ht="12.75" customHeight="1">
      <c r="B449" s="2085"/>
      <c r="C449" s="2086"/>
      <c r="D449" s="2086"/>
      <c r="E449" s="2087"/>
      <c r="F449" s="2088"/>
    </row>
    <row r="450" spans="2:6" ht="12.75" customHeight="1">
      <c r="B450" s="2085"/>
      <c r="C450" s="2086"/>
      <c r="D450" s="2086"/>
      <c r="E450" s="2087"/>
      <c r="F450" s="2088"/>
    </row>
    <row r="451" spans="2:6" ht="12.75" customHeight="1">
      <c r="B451" s="2085"/>
      <c r="C451" s="2086"/>
      <c r="D451" s="2086"/>
      <c r="E451" s="2087"/>
      <c r="F451" s="2088"/>
    </row>
    <row r="452" spans="2:6" ht="12.75" customHeight="1">
      <c r="B452" s="2085"/>
      <c r="C452" s="2086"/>
      <c r="D452" s="2086"/>
      <c r="E452" s="2087"/>
      <c r="F452" s="2088"/>
    </row>
    <row r="453" spans="2:6" ht="12.75" customHeight="1">
      <c r="B453" s="2085"/>
      <c r="C453" s="2086"/>
      <c r="D453" s="2086"/>
      <c r="E453" s="2087"/>
      <c r="F453" s="2088"/>
    </row>
    <row r="454" spans="2:6" ht="12.75" customHeight="1">
      <c r="B454" s="2085"/>
      <c r="C454" s="2086"/>
      <c r="D454" s="2086"/>
      <c r="E454" s="2087"/>
      <c r="F454" s="2088"/>
    </row>
    <row r="455" spans="2:6" ht="12.75" customHeight="1">
      <c r="B455" s="2085"/>
      <c r="C455" s="2086"/>
      <c r="D455" s="2086"/>
      <c r="E455" s="2087"/>
      <c r="F455" s="2088"/>
    </row>
    <row r="456" spans="2:6" ht="12.75" customHeight="1">
      <c r="B456" s="2085"/>
      <c r="C456" s="2086"/>
      <c r="D456" s="2086"/>
      <c r="E456" s="2087"/>
      <c r="F456" s="2088"/>
    </row>
    <row r="457" spans="2:6" ht="12.75" customHeight="1">
      <c r="B457" s="2085"/>
      <c r="C457" s="2086"/>
      <c r="D457" s="2086"/>
      <c r="E457" s="2087"/>
      <c r="F457" s="2088"/>
    </row>
    <row r="458" spans="2:6" ht="12.75" customHeight="1">
      <c r="B458" s="2085"/>
      <c r="C458" s="2086"/>
      <c r="D458" s="2086"/>
      <c r="E458" s="2087"/>
      <c r="F458" s="2088"/>
    </row>
    <row r="459" spans="2:6" ht="12.75" customHeight="1">
      <c r="B459" s="2085"/>
      <c r="C459" s="2086"/>
      <c r="D459" s="2086"/>
      <c r="E459" s="2087"/>
      <c r="F459" s="2088"/>
    </row>
    <row r="460" spans="2:6" ht="12.75" customHeight="1">
      <c r="B460" s="2085"/>
      <c r="C460" s="2086"/>
      <c r="D460" s="2086"/>
      <c r="E460" s="2087"/>
      <c r="F460" s="2088"/>
    </row>
    <row r="461" spans="2:6" ht="12.75" customHeight="1">
      <c r="B461" s="2085"/>
      <c r="C461" s="2086"/>
      <c r="D461" s="2086"/>
      <c r="E461" s="2087"/>
      <c r="F461" s="2088"/>
    </row>
    <row r="462" spans="2:6" ht="12.75" customHeight="1">
      <c r="B462" s="2085"/>
      <c r="C462" s="2086"/>
      <c r="D462" s="2086"/>
      <c r="E462" s="2087"/>
      <c r="F462" s="2088"/>
    </row>
    <row r="463" spans="2:6" ht="12.75" customHeight="1">
      <c r="B463" s="2085"/>
      <c r="C463" s="2086"/>
      <c r="D463" s="2086"/>
      <c r="E463" s="2087"/>
      <c r="F463" s="2088"/>
    </row>
    <row r="464" spans="2:6" ht="12.75" customHeight="1">
      <c r="B464" s="2085"/>
      <c r="C464" s="2086"/>
      <c r="D464" s="2086"/>
      <c r="E464" s="2087"/>
      <c r="F464" s="2088"/>
    </row>
    <row r="465" spans="2:6" ht="12.75" customHeight="1">
      <c r="B465" s="2085"/>
      <c r="C465" s="2086"/>
      <c r="D465" s="2086"/>
      <c r="E465" s="2087"/>
      <c r="F465" s="2088"/>
    </row>
    <row r="466" spans="2:6" ht="12.75" customHeight="1">
      <c r="B466" s="2085"/>
      <c r="C466" s="2086"/>
      <c r="D466" s="2086"/>
      <c r="E466" s="2087"/>
      <c r="F466" s="2088"/>
    </row>
    <row r="467" spans="2:6" ht="12.75" customHeight="1">
      <c r="B467" s="2085"/>
      <c r="C467" s="2086"/>
      <c r="D467" s="2086"/>
      <c r="E467" s="2087"/>
      <c r="F467" s="2088"/>
    </row>
    <row r="468" spans="2:6" ht="12.75" customHeight="1">
      <c r="B468" s="2085"/>
      <c r="C468" s="2086"/>
      <c r="D468" s="2086"/>
      <c r="E468" s="2087"/>
      <c r="F468" s="2088"/>
    </row>
    <row r="469" spans="2:6" ht="12.75" customHeight="1">
      <c r="B469" s="2085"/>
      <c r="C469" s="2086"/>
      <c r="D469" s="2086"/>
      <c r="E469" s="2087"/>
      <c r="F469" s="2088"/>
    </row>
    <row r="470" spans="2:6" ht="12.75" customHeight="1">
      <c r="B470" s="2085"/>
      <c r="C470" s="2086"/>
      <c r="D470" s="2086"/>
      <c r="E470" s="2087"/>
      <c r="F470" s="2088"/>
    </row>
    <row r="471" spans="2:6" ht="12.75" customHeight="1">
      <c r="B471" s="2085"/>
      <c r="C471" s="2086"/>
      <c r="D471" s="2086"/>
      <c r="E471" s="2087"/>
      <c r="F471" s="2088"/>
    </row>
    <row r="472" spans="2:6" ht="12.75" customHeight="1">
      <c r="B472" s="2085"/>
      <c r="C472" s="2086"/>
      <c r="D472" s="2086"/>
      <c r="E472" s="2087"/>
      <c r="F472" s="2088"/>
    </row>
    <row r="473" spans="2:6" ht="12.75" customHeight="1">
      <c r="B473" s="2085"/>
      <c r="C473" s="2086"/>
      <c r="D473" s="2086"/>
      <c r="E473" s="2087"/>
      <c r="F473" s="2088"/>
    </row>
    <row r="474" spans="2:6" ht="12.75" customHeight="1">
      <c r="B474" s="2085"/>
      <c r="C474" s="2086"/>
      <c r="D474" s="2086"/>
      <c r="E474" s="2087"/>
      <c r="F474" s="2088"/>
    </row>
    <row r="475" spans="2:6" ht="12.75" customHeight="1">
      <c r="B475" s="2085"/>
      <c r="C475" s="2086"/>
      <c r="D475" s="2086"/>
      <c r="E475" s="2087"/>
      <c r="F475" s="2088"/>
    </row>
    <row r="476" spans="2:6" ht="12.75" customHeight="1">
      <c r="B476" s="2085"/>
      <c r="C476" s="2086"/>
      <c r="D476" s="2086"/>
      <c r="E476" s="2087"/>
      <c r="F476" s="2088"/>
    </row>
    <row r="477" spans="2:6" ht="12.75" customHeight="1">
      <c r="B477" s="2085"/>
      <c r="C477" s="2086"/>
      <c r="D477" s="2086"/>
      <c r="E477" s="2087"/>
      <c r="F477" s="2088"/>
    </row>
    <row r="478" spans="2:6" ht="12.75" customHeight="1">
      <c r="B478" s="2085"/>
      <c r="C478" s="2086"/>
      <c r="D478" s="2086"/>
      <c r="E478" s="2087"/>
      <c r="F478" s="2088"/>
    </row>
    <row r="479" spans="2:6" ht="12.75" customHeight="1">
      <c r="B479" s="2085"/>
      <c r="C479" s="2086"/>
      <c r="D479" s="2086"/>
      <c r="E479" s="2087"/>
      <c r="F479" s="2088"/>
    </row>
    <row r="480" spans="2:6" ht="12.75" customHeight="1">
      <c r="B480" s="2085"/>
      <c r="C480" s="2086"/>
      <c r="D480" s="2086"/>
      <c r="E480" s="2087"/>
      <c r="F480" s="2088"/>
    </row>
    <row r="481" spans="2:6" ht="12.75" customHeight="1">
      <c r="B481" s="2085"/>
      <c r="C481" s="2086"/>
      <c r="D481" s="2086"/>
      <c r="E481" s="2087"/>
      <c r="F481" s="2088"/>
    </row>
    <row r="482" spans="2:6" ht="12.75" customHeight="1">
      <c r="B482" s="2085"/>
      <c r="C482" s="2086"/>
      <c r="D482" s="2086"/>
      <c r="E482" s="2087"/>
      <c r="F482" s="2088"/>
    </row>
    <row r="483" spans="2:6" ht="12.75" customHeight="1">
      <c r="B483" s="2085"/>
      <c r="C483" s="2086"/>
      <c r="D483" s="2086"/>
      <c r="E483" s="2087"/>
      <c r="F483" s="2088"/>
    </row>
    <row r="484" spans="2:6" ht="12.75" customHeight="1">
      <c r="B484" s="2085"/>
      <c r="C484" s="2086"/>
      <c r="D484" s="2086"/>
      <c r="E484" s="2087"/>
      <c r="F484" s="2088"/>
    </row>
    <row r="485" spans="2:6" ht="12.75" customHeight="1">
      <c r="B485" s="2085"/>
      <c r="C485" s="2086"/>
      <c r="D485" s="2086"/>
      <c r="E485" s="2087"/>
      <c r="F485" s="2088"/>
    </row>
    <row r="486" spans="2:6" ht="12.75" customHeight="1">
      <c r="B486" s="2085"/>
      <c r="C486" s="2086"/>
      <c r="D486" s="2086"/>
      <c r="E486" s="2087"/>
      <c r="F486" s="2088"/>
    </row>
    <row r="487" spans="2:6" ht="12.75" customHeight="1">
      <c r="B487" s="2085"/>
      <c r="C487" s="2086"/>
      <c r="D487" s="2086"/>
      <c r="E487" s="2087"/>
      <c r="F487" s="2088"/>
    </row>
    <row r="488" spans="2:6" ht="12.75" customHeight="1">
      <c r="B488" s="2085"/>
      <c r="C488" s="2086"/>
      <c r="D488" s="2086"/>
      <c r="E488" s="2087"/>
      <c r="F488" s="2088"/>
    </row>
    <row r="489" spans="2:6" ht="12.75" customHeight="1">
      <c r="B489" s="2085"/>
      <c r="C489" s="2086"/>
      <c r="D489" s="2086"/>
      <c r="E489" s="2087"/>
      <c r="F489" s="2088"/>
    </row>
    <row r="490" spans="2:6" ht="12.75" customHeight="1">
      <c r="B490" s="2085"/>
      <c r="C490" s="2086"/>
      <c r="D490" s="2086"/>
      <c r="E490" s="2087"/>
      <c r="F490" s="2088"/>
    </row>
    <row r="491" spans="2:6" ht="12.75" customHeight="1">
      <c r="B491" s="2085"/>
      <c r="C491" s="2086"/>
      <c r="D491" s="2086"/>
      <c r="E491" s="2087"/>
      <c r="F491" s="2088"/>
    </row>
    <row r="492" spans="2:6" ht="12.75" customHeight="1">
      <c r="B492" s="2085"/>
      <c r="C492" s="2086"/>
      <c r="D492" s="2086"/>
      <c r="E492" s="2087"/>
      <c r="F492" s="2088"/>
    </row>
    <row r="493" spans="2:6" ht="12.75" customHeight="1">
      <c r="B493" s="2085"/>
      <c r="C493" s="2086"/>
      <c r="D493" s="2086"/>
      <c r="E493" s="2087"/>
      <c r="F493" s="2088"/>
    </row>
    <row r="494" spans="2:6" ht="12.75" customHeight="1">
      <c r="B494" s="2085"/>
      <c r="C494" s="2086"/>
      <c r="D494" s="2086"/>
      <c r="E494" s="2087"/>
      <c r="F494" s="2088"/>
    </row>
    <row r="495" spans="2:6" ht="12.75" customHeight="1">
      <c r="B495" s="2085"/>
      <c r="C495" s="2086"/>
      <c r="D495" s="2086"/>
      <c r="E495" s="2087"/>
      <c r="F495" s="2088"/>
    </row>
    <row r="496" spans="2:6" ht="12.75" customHeight="1">
      <c r="B496" s="2085"/>
      <c r="C496" s="2086"/>
      <c r="D496" s="2086"/>
      <c r="E496" s="2087"/>
      <c r="F496" s="2088"/>
    </row>
    <row r="497" spans="2:6" ht="12.75" customHeight="1">
      <c r="B497" s="2085"/>
      <c r="C497" s="2086"/>
      <c r="D497" s="2086"/>
      <c r="E497" s="2087"/>
      <c r="F497" s="2088"/>
    </row>
    <row r="498" spans="2:6" ht="12.75" customHeight="1">
      <c r="B498" s="2085"/>
      <c r="C498" s="2086"/>
      <c r="D498" s="2086"/>
      <c r="E498" s="2087"/>
      <c r="F498" s="2088"/>
    </row>
    <row r="499" spans="2:6" ht="12.75" customHeight="1">
      <c r="B499" s="2085"/>
      <c r="C499" s="2086"/>
      <c r="D499" s="2086"/>
      <c r="E499" s="2087"/>
      <c r="F499" s="2088"/>
    </row>
    <row r="500" spans="2:6" ht="12.75" customHeight="1">
      <c r="B500" s="2085"/>
      <c r="C500" s="2086"/>
      <c r="D500" s="2086"/>
      <c r="E500" s="2087"/>
      <c r="F500" s="2088"/>
    </row>
    <row r="501" spans="2:6" ht="12.75" customHeight="1">
      <c r="B501" s="2085"/>
      <c r="C501" s="2086"/>
      <c r="D501" s="2086"/>
      <c r="E501" s="2087"/>
      <c r="F501" s="2088"/>
    </row>
    <row r="502" spans="2:6" ht="12.75" customHeight="1">
      <c r="B502" s="2085"/>
      <c r="C502" s="2086"/>
      <c r="D502" s="2086"/>
      <c r="E502" s="2087"/>
      <c r="F502" s="2088"/>
    </row>
    <row r="503" spans="2:6" ht="12.75" customHeight="1">
      <c r="B503" s="2085"/>
      <c r="C503" s="2086"/>
      <c r="D503" s="2086"/>
      <c r="E503" s="2087"/>
      <c r="F503" s="2088"/>
    </row>
    <row r="504" spans="2:6" ht="12.75" customHeight="1">
      <c r="B504" s="2085"/>
      <c r="C504" s="2086"/>
      <c r="D504" s="2086"/>
      <c r="E504" s="2087"/>
      <c r="F504" s="2088"/>
    </row>
    <row r="505" spans="2:6" ht="12.75" customHeight="1">
      <c r="B505" s="2085"/>
      <c r="C505" s="2086"/>
      <c r="D505" s="2086"/>
      <c r="E505" s="2087"/>
      <c r="F505" s="2088"/>
    </row>
    <row r="506" spans="2:6" ht="12.75" customHeight="1">
      <c r="B506" s="2085"/>
      <c r="C506" s="2086"/>
      <c r="D506" s="2086"/>
      <c r="E506" s="2087"/>
      <c r="F506" s="2088"/>
    </row>
    <row r="507" spans="2:6" ht="12.75" customHeight="1">
      <c r="B507" s="2085"/>
      <c r="C507" s="2086"/>
      <c r="D507" s="2086"/>
      <c r="E507" s="2087"/>
      <c r="F507" s="2088"/>
    </row>
    <row r="508" spans="2:6" ht="12.75" customHeight="1">
      <c r="B508" s="2085"/>
      <c r="C508" s="2086"/>
      <c r="D508" s="2086"/>
      <c r="E508" s="2087"/>
      <c r="F508" s="2088"/>
    </row>
    <row r="509" spans="2:6" ht="12.75" customHeight="1">
      <c r="B509" s="2085"/>
      <c r="C509" s="2086"/>
      <c r="D509" s="2086"/>
      <c r="E509" s="2087"/>
      <c r="F509" s="2088"/>
    </row>
    <row r="510" spans="2:6" ht="12.75" customHeight="1">
      <c r="B510" s="2085"/>
      <c r="C510" s="2086"/>
      <c r="D510" s="2086"/>
      <c r="E510" s="2087"/>
      <c r="F510" s="2088"/>
    </row>
    <row r="511" spans="2:6" ht="12.75" customHeight="1">
      <c r="B511" s="2085"/>
      <c r="C511" s="2086"/>
      <c r="D511" s="2086"/>
      <c r="E511" s="2087"/>
      <c r="F511" s="2088"/>
    </row>
    <row r="512" spans="2:6" ht="12.75" customHeight="1">
      <c r="B512" s="2085"/>
      <c r="C512" s="2086"/>
      <c r="D512" s="2086"/>
      <c r="E512" s="2087"/>
      <c r="F512" s="2088"/>
    </row>
    <row r="513" spans="2:6" ht="12.75" customHeight="1">
      <c r="B513" s="2085"/>
      <c r="C513" s="2086"/>
      <c r="D513" s="2086"/>
      <c r="E513" s="2087"/>
      <c r="F513" s="2088"/>
    </row>
    <row r="514" spans="2:6" ht="12.75" customHeight="1">
      <c r="B514" s="2085"/>
      <c r="C514" s="2086"/>
      <c r="D514" s="2086"/>
      <c r="E514" s="2087"/>
      <c r="F514" s="2088"/>
    </row>
    <row r="515" spans="2:6" ht="12.75" customHeight="1">
      <c r="B515" s="2085"/>
      <c r="C515" s="2086"/>
      <c r="D515" s="2086"/>
      <c r="E515" s="2087"/>
      <c r="F515" s="2088"/>
    </row>
    <row r="516" spans="2:6" ht="12.75" customHeight="1">
      <c r="B516" s="2085"/>
      <c r="C516" s="2086"/>
      <c r="D516" s="2086"/>
      <c r="E516" s="2087"/>
      <c r="F516" s="2088"/>
    </row>
    <row r="517" spans="2:6" ht="12.75" customHeight="1">
      <c r="B517" s="2085"/>
      <c r="C517" s="2086"/>
      <c r="D517" s="2086"/>
      <c r="E517" s="2087"/>
      <c r="F517" s="2088"/>
    </row>
    <row r="518" spans="2:6" ht="12.75" customHeight="1">
      <c r="B518" s="2085"/>
      <c r="C518" s="2086"/>
      <c r="D518" s="2086"/>
      <c r="E518" s="2087"/>
      <c r="F518" s="2088"/>
    </row>
    <row r="519" spans="2:6" ht="12.75" customHeight="1">
      <c r="B519" s="2085"/>
      <c r="C519" s="2086"/>
      <c r="D519" s="2086"/>
      <c r="E519" s="2087"/>
      <c r="F519" s="2088"/>
    </row>
    <row r="520" spans="2:6" ht="12.75" customHeight="1">
      <c r="B520" s="2085"/>
      <c r="C520" s="2086"/>
      <c r="D520" s="2086"/>
      <c r="E520" s="2087"/>
      <c r="F520" s="2088"/>
    </row>
    <row r="521" spans="2:6" ht="12.75" customHeight="1">
      <c r="B521" s="2085"/>
      <c r="C521" s="2086"/>
      <c r="D521" s="2086"/>
      <c r="E521" s="2087"/>
      <c r="F521" s="2088"/>
    </row>
    <row r="522" spans="2:6" ht="12.75" customHeight="1">
      <c r="B522" s="2085"/>
      <c r="C522" s="2086"/>
      <c r="D522" s="2086"/>
      <c r="E522" s="2087"/>
      <c r="F522" s="2088"/>
    </row>
    <row r="523" spans="2:6" ht="12.75" customHeight="1">
      <c r="B523" s="2085"/>
      <c r="C523" s="2086"/>
      <c r="D523" s="2086"/>
      <c r="E523" s="2087"/>
      <c r="F523" s="2088"/>
    </row>
    <row r="524" spans="2:6" ht="12.75" customHeight="1">
      <c r="B524" s="2085"/>
      <c r="C524" s="2086"/>
      <c r="D524" s="2086"/>
      <c r="E524" s="2087"/>
      <c r="F524" s="2088"/>
    </row>
    <row r="525" spans="2:6" ht="12.75" customHeight="1">
      <c r="B525" s="2085"/>
      <c r="C525" s="2086"/>
      <c r="D525" s="2086"/>
      <c r="E525" s="2087"/>
      <c r="F525" s="2088"/>
    </row>
    <row r="526" spans="2:6" ht="12.75" customHeight="1">
      <c r="B526" s="2085"/>
      <c r="C526" s="2086"/>
      <c r="D526" s="2086"/>
      <c r="E526" s="2087"/>
      <c r="F526" s="2088"/>
    </row>
    <row r="527" spans="2:6" ht="12.75" customHeight="1">
      <c r="B527" s="2085"/>
      <c r="C527" s="2086"/>
      <c r="D527" s="2086"/>
      <c r="E527" s="2087"/>
      <c r="F527" s="2088"/>
    </row>
    <row r="528" spans="2:6" ht="12.75" customHeight="1">
      <c r="B528" s="2085"/>
      <c r="C528" s="2086"/>
      <c r="D528" s="2086"/>
      <c r="E528" s="2087"/>
      <c r="F528" s="2088"/>
    </row>
    <row r="529" spans="2:6" ht="12.75" customHeight="1">
      <c r="B529" s="2085"/>
      <c r="C529" s="2086"/>
      <c r="D529" s="2086"/>
      <c r="E529" s="2087"/>
      <c r="F529" s="2088"/>
    </row>
    <row r="530" spans="2:6" ht="12.75" customHeight="1">
      <c r="B530" s="2085"/>
      <c r="C530" s="2086"/>
      <c r="D530" s="2086"/>
      <c r="E530" s="2087"/>
      <c r="F530" s="2088"/>
    </row>
    <row r="531" spans="2:6" ht="12.75" customHeight="1">
      <c r="B531" s="2085"/>
      <c r="C531" s="2086"/>
      <c r="D531" s="2086"/>
      <c r="E531" s="2087"/>
      <c r="F531" s="2088"/>
    </row>
    <row r="532" spans="2:6" ht="12.75" customHeight="1">
      <c r="B532" s="2085"/>
      <c r="C532" s="2086"/>
      <c r="D532" s="2086"/>
      <c r="E532" s="2087"/>
      <c r="F532" s="2088"/>
    </row>
    <row r="533" spans="2:6" ht="12.75" customHeight="1">
      <c r="B533" s="2085"/>
      <c r="C533" s="2086"/>
      <c r="D533" s="2086"/>
      <c r="E533" s="2087"/>
      <c r="F533" s="2088"/>
    </row>
    <row r="534" spans="2:6" ht="12.75" customHeight="1">
      <c r="B534" s="2085"/>
      <c r="C534" s="2086"/>
      <c r="D534" s="2086"/>
      <c r="E534" s="2087"/>
      <c r="F534" s="2088"/>
    </row>
    <row r="535" spans="2:6" ht="12.75" customHeight="1">
      <c r="B535" s="2085"/>
      <c r="C535" s="2086"/>
      <c r="D535" s="2086"/>
      <c r="E535" s="2087"/>
      <c r="F535" s="2088"/>
    </row>
    <row r="536" spans="2:6" ht="12.75" customHeight="1">
      <c r="B536" s="2085"/>
      <c r="C536" s="2086"/>
      <c r="D536" s="2086"/>
      <c r="E536" s="2087"/>
      <c r="F536" s="2088"/>
    </row>
    <row r="537" spans="2:6" ht="12.75" customHeight="1">
      <c r="B537" s="2085"/>
      <c r="C537" s="2086"/>
      <c r="D537" s="2086"/>
      <c r="E537" s="2087"/>
      <c r="F537" s="2088"/>
    </row>
    <row r="538" spans="2:6" ht="12.75" customHeight="1">
      <c r="B538" s="2085"/>
      <c r="C538" s="2086"/>
      <c r="D538" s="2086"/>
      <c r="E538" s="2087"/>
      <c r="F538" s="2088"/>
    </row>
    <row r="539" spans="2:6" ht="12.75" customHeight="1">
      <c r="B539" s="2085"/>
      <c r="C539" s="2086"/>
      <c r="D539" s="2086"/>
      <c r="E539" s="2087"/>
      <c r="F539" s="2088"/>
    </row>
    <row r="540" spans="2:6" ht="12.75" customHeight="1">
      <c r="B540" s="2085"/>
      <c r="C540" s="2086"/>
      <c r="D540" s="2086"/>
      <c r="E540" s="2087"/>
      <c r="F540" s="2088"/>
    </row>
    <row r="541" spans="2:6" ht="12.75" customHeight="1">
      <c r="B541" s="2085"/>
      <c r="C541" s="2086"/>
      <c r="D541" s="2086"/>
      <c r="E541" s="2087"/>
      <c r="F541" s="2088"/>
    </row>
    <row r="542" spans="2:6" ht="12.75" customHeight="1">
      <c r="B542" s="2085"/>
      <c r="C542" s="2086"/>
      <c r="D542" s="2086"/>
      <c r="E542" s="2087"/>
      <c r="F542" s="2088"/>
    </row>
    <row r="543" spans="2:6" ht="12.75" customHeight="1">
      <c r="B543" s="2085"/>
      <c r="C543" s="2086"/>
      <c r="D543" s="2086"/>
      <c r="E543" s="2087"/>
      <c r="F543" s="2088"/>
    </row>
    <row r="544" spans="2:6" ht="12.75" customHeight="1">
      <c r="B544" s="2085"/>
      <c r="C544" s="2086"/>
      <c r="D544" s="2086"/>
      <c r="E544" s="2087"/>
      <c r="F544" s="2088"/>
    </row>
    <row r="545" spans="2:6" ht="12.75" customHeight="1">
      <c r="B545" s="2085"/>
      <c r="C545" s="2086"/>
      <c r="D545" s="2086"/>
      <c r="E545" s="2087"/>
      <c r="F545" s="2088"/>
    </row>
    <row r="546" spans="2:6" ht="12.75" customHeight="1">
      <c r="B546" s="2085"/>
      <c r="C546" s="2086"/>
      <c r="D546" s="2086"/>
      <c r="E546" s="2087"/>
      <c r="F546" s="2088"/>
    </row>
    <row r="547" spans="2:6" ht="12.75" customHeight="1">
      <c r="B547" s="2085"/>
      <c r="C547" s="2086"/>
      <c r="D547" s="2086"/>
      <c r="E547" s="2087"/>
      <c r="F547" s="2088"/>
    </row>
    <row r="548" spans="2:6" ht="12.75" customHeight="1">
      <c r="B548" s="2085"/>
      <c r="C548" s="2086"/>
      <c r="D548" s="2086"/>
      <c r="E548" s="2087"/>
      <c r="F548" s="2088"/>
    </row>
    <row r="549" spans="2:6" ht="12.75" customHeight="1">
      <c r="B549" s="2085"/>
      <c r="C549" s="2086"/>
      <c r="D549" s="2086"/>
      <c r="E549" s="2087"/>
      <c r="F549" s="2088"/>
    </row>
    <row r="550" spans="2:6" ht="12.75" customHeight="1">
      <c r="B550" s="2085"/>
      <c r="C550" s="2086"/>
      <c r="D550" s="2086"/>
      <c r="E550" s="2087"/>
      <c r="F550" s="2088"/>
    </row>
    <row r="551" spans="2:6" ht="12.75" customHeight="1">
      <c r="B551" s="2085"/>
      <c r="C551" s="2086"/>
      <c r="D551" s="2086"/>
      <c r="E551" s="2087"/>
      <c r="F551" s="2088"/>
    </row>
    <row r="552" spans="2:6" ht="12.75" customHeight="1">
      <c r="B552" s="2085"/>
      <c r="C552" s="2086"/>
      <c r="D552" s="2086"/>
      <c r="E552" s="2087"/>
      <c r="F552" s="2088"/>
    </row>
    <row r="553" spans="2:6" ht="12.75" customHeight="1">
      <c r="B553" s="2085"/>
      <c r="C553" s="2086"/>
      <c r="D553" s="2086"/>
      <c r="E553" s="2087"/>
      <c r="F553" s="2088"/>
    </row>
    <row r="554" spans="2:6" ht="12.75" customHeight="1">
      <c r="B554" s="2085"/>
      <c r="C554" s="2086"/>
      <c r="D554" s="2086"/>
      <c r="E554" s="2087"/>
      <c r="F554" s="2088"/>
    </row>
    <row r="555" spans="2:6" ht="12.75" customHeight="1">
      <c r="B555" s="2085"/>
      <c r="C555" s="2086"/>
      <c r="D555" s="2086"/>
      <c r="E555" s="2087"/>
      <c r="F555" s="2088"/>
    </row>
    <row r="556" spans="2:6" ht="12.75" customHeight="1">
      <c r="B556" s="2085"/>
      <c r="C556" s="2086"/>
      <c r="D556" s="2086"/>
      <c r="E556" s="2087"/>
      <c r="F556" s="2088"/>
    </row>
    <row r="557" spans="2:6" ht="12.75" customHeight="1">
      <c r="B557" s="2085"/>
      <c r="C557" s="2086"/>
      <c r="D557" s="2086"/>
      <c r="E557" s="2087"/>
      <c r="F557" s="2088"/>
    </row>
    <row r="558" spans="2:6" ht="12.75" customHeight="1">
      <c r="B558" s="2085"/>
      <c r="C558" s="2086"/>
      <c r="D558" s="2086"/>
      <c r="E558" s="2087"/>
      <c r="F558" s="2088"/>
    </row>
    <row r="559" spans="2:6" ht="12.75" customHeight="1">
      <c r="B559" s="2085"/>
      <c r="C559" s="2086"/>
      <c r="D559" s="2086"/>
      <c r="E559" s="2087"/>
      <c r="F559" s="2088"/>
    </row>
    <row r="560" spans="2:6" ht="12.75" customHeight="1">
      <c r="B560" s="2085"/>
      <c r="C560" s="2086"/>
      <c r="D560" s="2086"/>
      <c r="E560" s="2087"/>
      <c r="F560" s="2088"/>
    </row>
    <row r="561" spans="2:6" ht="12.75" customHeight="1">
      <c r="B561" s="2085"/>
      <c r="C561" s="2086"/>
      <c r="D561" s="2086"/>
      <c r="E561" s="2087"/>
      <c r="F561" s="2088"/>
    </row>
    <row r="562" spans="2:6" ht="12.75" customHeight="1">
      <c r="B562" s="2085"/>
      <c r="C562" s="2086"/>
      <c r="D562" s="2086"/>
      <c r="E562" s="2087"/>
      <c r="F562" s="2088"/>
    </row>
    <row r="563" spans="2:6" ht="12.75" customHeight="1">
      <c r="B563" s="2085"/>
      <c r="C563" s="2086"/>
      <c r="D563" s="2086"/>
      <c r="E563" s="2087"/>
      <c r="F563" s="2088"/>
    </row>
    <row r="564" spans="2:6" ht="12.75" customHeight="1">
      <c r="B564" s="2085"/>
      <c r="C564" s="2086"/>
      <c r="D564" s="2086"/>
      <c r="E564" s="2087"/>
      <c r="F564" s="2088"/>
    </row>
    <row r="565" spans="2:6" ht="12.75" customHeight="1">
      <c r="B565" s="2085"/>
      <c r="C565" s="2086"/>
      <c r="D565" s="2086"/>
      <c r="E565" s="2087"/>
      <c r="F565" s="2088"/>
    </row>
    <row r="566" spans="2:6" ht="12.75" customHeight="1">
      <c r="B566" s="2085"/>
      <c r="C566" s="2086"/>
      <c r="D566" s="2086"/>
      <c r="E566" s="2087"/>
      <c r="F566" s="2088"/>
    </row>
    <row r="567" spans="2:6" ht="12.75" customHeight="1">
      <c r="B567" s="2085"/>
      <c r="C567" s="2086"/>
      <c r="D567" s="2086"/>
      <c r="E567" s="2087"/>
      <c r="F567" s="2088"/>
    </row>
    <row r="568" spans="2:6" ht="12.75" customHeight="1">
      <c r="B568" s="2085"/>
      <c r="C568" s="2086"/>
      <c r="D568" s="2086"/>
      <c r="E568" s="2087"/>
      <c r="F568" s="2088"/>
    </row>
    <row r="569" spans="2:6" ht="12.75" customHeight="1">
      <c r="B569" s="2085"/>
      <c r="C569" s="2086"/>
      <c r="D569" s="2086"/>
      <c r="E569" s="2087"/>
      <c r="F569" s="2088"/>
    </row>
    <row r="570" spans="2:6" ht="12.75" customHeight="1">
      <c r="B570" s="2085"/>
      <c r="C570" s="2086"/>
      <c r="D570" s="2086"/>
      <c r="E570" s="2087"/>
      <c r="F570" s="2088"/>
    </row>
    <row r="571" spans="2:6" ht="12.75" customHeight="1">
      <c r="B571" s="2085"/>
      <c r="C571" s="2086"/>
      <c r="D571" s="2086"/>
      <c r="E571" s="2087"/>
      <c r="F571" s="2088"/>
    </row>
    <row r="572" spans="2:6" ht="12.75" customHeight="1">
      <c r="B572" s="2085"/>
      <c r="C572" s="2086"/>
      <c r="D572" s="2086"/>
      <c r="E572" s="2087"/>
      <c r="F572" s="2088"/>
    </row>
    <row r="573" spans="2:6" ht="12.75" customHeight="1">
      <c r="B573" s="2085"/>
      <c r="C573" s="2086"/>
      <c r="D573" s="2086"/>
      <c r="E573" s="2087"/>
      <c r="F573" s="2088"/>
    </row>
    <row r="574" spans="2:6" ht="12.75" customHeight="1">
      <c r="B574" s="2085"/>
      <c r="C574" s="2086"/>
      <c r="D574" s="2086"/>
      <c r="E574" s="2087"/>
      <c r="F574" s="2088"/>
    </row>
    <row r="575" spans="2:6" ht="12.75" customHeight="1">
      <c r="B575" s="2085"/>
      <c r="C575" s="2086"/>
      <c r="D575" s="2086"/>
      <c r="E575" s="2087"/>
      <c r="F575" s="2088"/>
    </row>
    <row r="576" spans="2:6" ht="12.75" customHeight="1">
      <c r="B576" s="2085"/>
      <c r="C576" s="2086"/>
      <c r="D576" s="2086"/>
      <c r="E576" s="2087"/>
      <c r="F576" s="2088"/>
    </row>
    <row r="577" spans="2:6" ht="12.75" customHeight="1">
      <c r="B577" s="2085"/>
      <c r="C577" s="2086"/>
      <c r="D577" s="2086"/>
      <c r="E577" s="2087"/>
      <c r="F577" s="2088"/>
    </row>
    <row r="578" spans="2:6" ht="12.75" customHeight="1">
      <c r="B578" s="2085"/>
      <c r="C578" s="2086"/>
      <c r="D578" s="2086"/>
      <c r="E578" s="2087"/>
      <c r="F578" s="2088"/>
    </row>
    <row r="579" spans="2:6" ht="12.75" customHeight="1">
      <c r="B579" s="2085"/>
      <c r="C579" s="2086"/>
      <c r="D579" s="2086"/>
      <c r="E579" s="2087"/>
      <c r="F579" s="2088"/>
    </row>
    <row r="580" spans="2:6" ht="12.75" customHeight="1">
      <c r="B580" s="2085"/>
      <c r="C580" s="2086"/>
      <c r="D580" s="2086"/>
      <c r="E580" s="2087"/>
      <c r="F580" s="2088"/>
    </row>
    <row r="581" spans="2:6" ht="12.75" customHeight="1">
      <c r="B581" s="2085"/>
      <c r="C581" s="2086"/>
      <c r="D581" s="2086"/>
      <c r="E581" s="2087"/>
      <c r="F581" s="2088"/>
    </row>
    <row r="582" spans="2:6" ht="12.75" customHeight="1">
      <c r="B582" s="2085"/>
      <c r="C582" s="2086"/>
      <c r="D582" s="2086"/>
      <c r="E582" s="2087"/>
      <c r="F582" s="2088"/>
    </row>
    <row r="583" spans="2:6" ht="12.75" customHeight="1">
      <c r="B583" s="2085"/>
      <c r="C583" s="2086"/>
      <c r="D583" s="2086"/>
      <c r="E583" s="2087"/>
      <c r="F583" s="2088"/>
    </row>
    <row r="584" spans="2:6" ht="12.75" customHeight="1">
      <c r="B584" s="2085"/>
      <c r="C584" s="2086"/>
      <c r="D584" s="2086"/>
      <c r="E584" s="2087"/>
      <c r="F584" s="2088"/>
    </row>
    <row r="585" spans="2:6" ht="12.75" customHeight="1">
      <c r="B585" s="2085"/>
      <c r="C585" s="2086"/>
      <c r="D585" s="2086"/>
      <c r="E585" s="2087"/>
      <c r="F585" s="2088"/>
    </row>
    <row r="586" spans="2:6" ht="12.75" customHeight="1">
      <c r="B586" s="2085"/>
      <c r="C586" s="2086"/>
      <c r="D586" s="2086"/>
      <c r="E586" s="2087"/>
      <c r="F586" s="2088"/>
    </row>
    <row r="587" spans="2:6" ht="12.75" customHeight="1">
      <c r="B587" s="2085"/>
      <c r="C587" s="2086"/>
      <c r="D587" s="2086"/>
      <c r="E587" s="2087"/>
      <c r="F587" s="2088"/>
    </row>
    <row r="588" spans="2:6" ht="12.75" customHeight="1">
      <c r="B588" s="2085"/>
      <c r="C588" s="2086"/>
      <c r="D588" s="2086"/>
      <c r="E588" s="2087"/>
      <c r="F588" s="2088"/>
    </row>
    <row r="589" spans="2:6" ht="12.75" customHeight="1">
      <c r="B589" s="2085"/>
      <c r="C589" s="2086"/>
      <c r="D589" s="2086"/>
      <c r="E589" s="2087"/>
      <c r="F589" s="2088"/>
    </row>
    <row r="590" spans="2:6" ht="12.75" customHeight="1">
      <c r="B590" s="2085"/>
      <c r="C590" s="2086"/>
      <c r="D590" s="2086"/>
      <c r="E590" s="2087"/>
      <c r="F590" s="2088"/>
    </row>
    <row r="591" spans="2:6" ht="12.75" customHeight="1">
      <c r="B591" s="2085"/>
      <c r="C591" s="2086"/>
      <c r="D591" s="2086"/>
      <c r="E591" s="2087"/>
      <c r="F591" s="2088"/>
    </row>
    <row r="592" spans="2:6" ht="12.75" customHeight="1">
      <c r="B592" s="2085"/>
      <c r="C592" s="2086"/>
      <c r="D592" s="2086"/>
      <c r="E592" s="2087"/>
      <c r="F592" s="2088"/>
    </row>
    <row r="593" spans="2:6" ht="12.75" customHeight="1">
      <c r="B593" s="2085"/>
      <c r="C593" s="2086"/>
      <c r="D593" s="2086"/>
      <c r="E593" s="2087"/>
      <c r="F593" s="2088"/>
    </row>
    <row r="594" spans="2:6" ht="12.75" customHeight="1">
      <c r="B594" s="2085"/>
      <c r="C594" s="2086"/>
      <c r="D594" s="2086"/>
      <c r="E594" s="2087"/>
      <c r="F594" s="2088"/>
    </row>
    <row r="595" spans="2:6" ht="12.75" customHeight="1">
      <c r="B595" s="2085"/>
      <c r="C595" s="2086"/>
      <c r="D595" s="2086"/>
      <c r="E595" s="2087"/>
      <c r="F595" s="2088"/>
    </row>
    <row r="596" spans="2:6" ht="12.75" customHeight="1">
      <c r="B596" s="2085"/>
      <c r="C596" s="2086"/>
      <c r="D596" s="2086"/>
      <c r="E596" s="2087"/>
      <c r="F596" s="2088"/>
    </row>
    <row r="597" spans="2:6" ht="12.75" customHeight="1">
      <c r="B597" s="2085"/>
      <c r="C597" s="2086"/>
      <c r="D597" s="2086"/>
      <c r="E597" s="2087"/>
      <c r="F597" s="2088"/>
    </row>
    <row r="598" spans="2:6" ht="12.75" customHeight="1">
      <c r="B598" s="2085"/>
      <c r="C598" s="2086"/>
      <c r="D598" s="2086"/>
      <c r="E598" s="2087"/>
      <c r="F598" s="2088"/>
    </row>
    <row r="599" spans="2:6" ht="12.75" customHeight="1">
      <c r="B599" s="2085"/>
      <c r="C599" s="2086"/>
      <c r="D599" s="2086"/>
      <c r="E599" s="2087"/>
      <c r="F599" s="2088"/>
    </row>
    <row r="600" spans="2:6" ht="12.75" customHeight="1">
      <c r="B600" s="2085"/>
      <c r="C600" s="2086"/>
      <c r="D600" s="2086"/>
      <c r="E600" s="2087"/>
      <c r="F600" s="2088"/>
    </row>
    <row r="601" spans="2:6" ht="12.75" customHeight="1">
      <c r="B601" s="2085"/>
      <c r="C601" s="2086"/>
      <c r="D601" s="2086"/>
      <c r="E601" s="2087"/>
      <c r="F601" s="2088"/>
    </row>
    <row r="602" spans="2:6" ht="12.75" customHeight="1">
      <c r="B602" s="2085"/>
      <c r="C602" s="2086"/>
      <c r="D602" s="2086"/>
      <c r="E602" s="2087"/>
      <c r="F602" s="2088"/>
    </row>
    <row r="603" spans="2:6" ht="12.75" customHeight="1">
      <c r="B603" s="2085"/>
      <c r="C603" s="2086"/>
      <c r="D603" s="2086"/>
      <c r="E603" s="2087"/>
      <c r="F603" s="2088"/>
    </row>
    <row r="604" spans="2:6" ht="12.75" customHeight="1">
      <c r="B604" s="2085"/>
      <c r="C604" s="2086"/>
      <c r="D604" s="2086"/>
      <c r="E604" s="2087"/>
      <c r="F604" s="2088"/>
    </row>
    <row r="605" spans="2:6" ht="12.75" customHeight="1">
      <c r="B605" s="2085"/>
      <c r="C605" s="2086"/>
      <c r="D605" s="2086"/>
      <c r="E605" s="2087"/>
      <c r="F605" s="2088"/>
    </row>
    <row r="606" spans="2:6" ht="12.75" customHeight="1">
      <c r="B606" s="2085"/>
      <c r="C606" s="2086"/>
      <c r="D606" s="2086"/>
      <c r="E606" s="2087"/>
      <c r="F606" s="2088"/>
    </row>
    <row r="607" spans="2:6" ht="12.75" customHeight="1">
      <c r="B607" s="2085"/>
      <c r="C607" s="2086"/>
      <c r="D607" s="2086"/>
      <c r="E607" s="2087"/>
      <c r="F607" s="2088"/>
    </row>
    <row r="608" spans="2:6" ht="12.75" customHeight="1">
      <c r="B608" s="2085"/>
      <c r="C608" s="2086"/>
      <c r="D608" s="2086"/>
      <c r="E608" s="2087"/>
      <c r="F608" s="2088"/>
    </row>
    <row r="609" spans="2:6" ht="12.75" customHeight="1">
      <c r="B609" s="2085"/>
      <c r="C609" s="2086"/>
      <c r="D609" s="2086"/>
      <c r="E609" s="2087"/>
      <c r="F609" s="2088"/>
    </row>
    <row r="610" spans="2:6" ht="12.75" customHeight="1">
      <c r="B610" s="2085"/>
      <c r="C610" s="2086"/>
      <c r="D610" s="2086"/>
      <c r="E610" s="2087"/>
      <c r="F610" s="2088"/>
    </row>
    <row r="611" spans="2:6" ht="12.75" customHeight="1">
      <c r="B611" s="2085"/>
      <c r="C611" s="2086"/>
      <c r="D611" s="2086"/>
      <c r="E611" s="2087"/>
      <c r="F611" s="2088"/>
    </row>
    <row r="612" spans="2:6" ht="12.75" customHeight="1">
      <c r="B612" s="2085"/>
      <c r="C612" s="2086"/>
      <c r="D612" s="2086"/>
      <c r="E612" s="2087"/>
      <c r="F612" s="2088"/>
    </row>
    <row r="613" spans="2:6" ht="12.75" customHeight="1">
      <c r="B613" s="2085"/>
      <c r="C613" s="2086"/>
      <c r="D613" s="2086"/>
      <c r="E613" s="2087"/>
      <c r="F613" s="2088"/>
    </row>
    <row r="614" spans="2:6" ht="12.75" customHeight="1">
      <c r="B614" s="2085"/>
      <c r="C614" s="2086"/>
      <c r="D614" s="2086"/>
      <c r="E614" s="2087"/>
      <c r="F614" s="2088"/>
    </row>
    <row r="615" spans="2:6" ht="12.75" customHeight="1">
      <c r="B615" s="2085"/>
      <c r="C615" s="2086"/>
      <c r="D615" s="2086"/>
      <c r="E615" s="2087"/>
      <c r="F615" s="2088"/>
    </row>
    <row r="616" spans="2:6" ht="12.75" customHeight="1">
      <c r="B616" s="2085"/>
      <c r="C616" s="2086"/>
      <c r="D616" s="2086"/>
      <c r="E616" s="2087"/>
      <c r="F616" s="2088"/>
    </row>
    <row r="617" spans="2:6" ht="12.75" customHeight="1">
      <c r="B617" s="2085"/>
      <c r="C617" s="2086"/>
      <c r="D617" s="2086"/>
      <c r="E617" s="2087"/>
      <c r="F617" s="2088"/>
    </row>
    <row r="618" spans="2:6" ht="12.75" customHeight="1">
      <c r="B618" s="2085"/>
      <c r="C618" s="2086"/>
      <c r="D618" s="2086"/>
      <c r="E618" s="2087"/>
      <c r="F618" s="2088"/>
    </row>
    <row r="619" spans="2:6" ht="12.75" customHeight="1">
      <c r="B619" s="2085"/>
      <c r="C619" s="2086"/>
      <c r="D619" s="2086"/>
      <c r="E619" s="2087"/>
      <c r="F619" s="2088"/>
    </row>
    <row r="620" spans="2:6" ht="12.75" customHeight="1">
      <c r="B620" s="2085"/>
      <c r="C620" s="2086"/>
      <c r="D620" s="2086"/>
      <c r="E620" s="2087"/>
      <c r="F620" s="2088"/>
    </row>
    <row r="621" spans="2:6" ht="12.75" customHeight="1">
      <c r="B621" s="2085"/>
      <c r="C621" s="2086"/>
      <c r="D621" s="2086"/>
      <c r="E621" s="2087"/>
      <c r="F621" s="2088"/>
    </row>
    <row r="622" spans="2:6" ht="12.75" customHeight="1">
      <c r="B622" s="2085"/>
      <c r="C622" s="2086"/>
      <c r="D622" s="2086"/>
      <c r="E622" s="2087"/>
      <c r="F622" s="2088"/>
    </row>
    <row r="623" spans="2:6" ht="12.75" customHeight="1">
      <c r="B623" s="2085"/>
      <c r="C623" s="2086"/>
      <c r="D623" s="2086"/>
      <c r="E623" s="2087"/>
      <c r="F623" s="2088"/>
    </row>
    <row r="624" spans="2:6" ht="12.75" customHeight="1">
      <c r="B624" s="2085"/>
      <c r="C624" s="2086"/>
      <c r="D624" s="2086"/>
      <c r="E624" s="2087"/>
      <c r="F624" s="2088"/>
    </row>
    <row r="625" spans="2:6" ht="12.75" customHeight="1">
      <c r="B625" s="2085"/>
      <c r="C625" s="2086"/>
      <c r="D625" s="2086"/>
      <c r="E625" s="2087"/>
      <c r="F625" s="2088"/>
    </row>
    <row r="626" spans="2:6" ht="12.75" customHeight="1">
      <c r="B626" s="2085"/>
      <c r="C626" s="2086"/>
      <c r="D626" s="2086"/>
      <c r="E626" s="2087"/>
      <c r="F626" s="2088"/>
    </row>
    <row r="627" spans="2:6" ht="12.75" customHeight="1">
      <c r="B627" s="2085"/>
      <c r="C627" s="2086"/>
      <c r="D627" s="2086"/>
      <c r="E627" s="2087"/>
      <c r="F627" s="2088"/>
    </row>
    <row r="628" spans="2:6" ht="12.75" customHeight="1">
      <c r="B628" s="2085"/>
      <c r="C628" s="2086"/>
      <c r="D628" s="2086"/>
      <c r="E628" s="2087"/>
      <c r="F628" s="2088"/>
    </row>
    <row r="629" spans="2:6" ht="12.75" customHeight="1">
      <c r="B629" s="2085"/>
      <c r="C629" s="2086"/>
      <c r="D629" s="2086"/>
      <c r="E629" s="2087"/>
      <c r="F629" s="2088"/>
    </row>
    <row r="630" spans="2:6" ht="12.75" customHeight="1">
      <c r="B630" s="2085"/>
      <c r="C630" s="2086"/>
      <c r="D630" s="2086"/>
      <c r="E630" s="2087"/>
      <c r="F630" s="2088"/>
    </row>
    <row r="631" spans="2:6" ht="12.75" customHeight="1">
      <c r="B631" s="2085"/>
      <c r="C631" s="2086"/>
      <c r="D631" s="2086"/>
      <c r="E631" s="2087"/>
      <c r="F631" s="2088"/>
    </row>
    <row r="632" spans="2:6" ht="12.75" customHeight="1">
      <c r="B632" s="2085"/>
      <c r="C632" s="2086"/>
      <c r="D632" s="2086"/>
      <c r="E632" s="2087"/>
      <c r="F632" s="2088"/>
    </row>
    <row r="633" spans="2:6" ht="12.75" customHeight="1">
      <c r="B633" s="2085"/>
      <c r="C633" s="2086"/>
      <c r="D633" s="2086"/>
      <c r="E633" s="2087"/>
      <c r="F633" s="2088"/>
    </row>
    <row r="634" spans="2:6" ht="12.75" customHeight="1">
      <c r="B634" s="2085"/>
      <c r="C634" s="2086"/>
      <c r="D634" s="2086"/>
      <c r="E634" s="2087"/>
      <c r="F634" s="2088"/>
    </row>
    <row r="635" spans="2:6" ht="12.75" customHeight="1">
      <c r="B635" s="2085"/>
      <c r="C635" s="2086"/>
      <c r="D635" s="2086"/>
      <c r="E635" s="2087"/>
      <c r="F635" s="2088"/>
    </row>
    <row r="636" spans="2:6" ht="12.75" customHeight="1">
      <c r="B636" s="2085"/>
      <c r="C636" s="2086"/>
      <c r="D636" s="2086"/>
      <c r="E636" s="2087"/>
      <c r="F636" s="2088"/>
    </row>
    <row r="637" spans="2:6" ht="12.75" customHeight="1">
      <c r="B637" s="2085"/>
      <c r="C637" s="2086"/>
      <c r="D637" s="2086"/>
      <c r="E637" s="2087"/>
      <c r="F637" s="2088"/>
    </row>
    <row r="638" spans="2:6" ht="12.75" customHeight="1">
      <c r="B638" s="2085"/>
      <c r="C638" s="2086"/>
      <c r="D638" s="2086"/>
      <c r="E638" s="2087"/>
      <c r="F638" s="2088"/>
    </row>
    <row r="639" spans="2:6" ht="12.75" customHeight="1">
      <c r="B639" s="2085"/>
      <c r="C639" s="2086"/>
      <c r="D639" s="2086"/>
      <c r="E639" s="2087"/>
      <c r="F639" s="2088"/>
    </row>
    <row r="640" spans="2:6" ht="12.75" customHeight="1">
      <c r="B640" s="2085"/>
      <c r="C640" s="2086"/>
      <c r="D640" s="2086"/>
      <c r="E640" s="2087"/>
      <c r="F640" s="2088"/>
    </row>
    <row r="641" spans="2:6" ht="12.75" customHeight="1">
      <c r="B641" s="2085"/>
      <c r="C641" s="2086"/>
      <c r="D641" s="2086"/>
      <c r="E641" s="2087"/>
      <c r="F641" s="2088"/>
    </row>
    <row r="642" spans="2:6" ht="12.75" customHeight="1">
      <c r="B642" s="2085"/>
      <c r="C642" s="2086"/>
      <c r="D642" s="2086"/>
      <c r="E642" s="2087"/>
      <c r="F642" s="2088"/>
    </row>
    <row r="643" spans="2:6" ht="12.75" customHeight="1">
      <c r="B643" s="2085"/>
      <c r="C643" s="2086"/>
      <c r="D643" s="2086"/>
      <c r="E643" s="2087"/>
      <c r="F643" s="2088"/>
    </row>
    <row r="644" spans="2:6" ht="12.75" customHeight="1">
      <c r="B644" s="2085"/>
      <c r="C644" s="2086"/>
      <c r="D644" s="2086"/>
      <c r="E644" s="2087"/>
      <c r="F644" s="2088"/>
    </row>
    <row r="645" spans="2:6" ht="12.75" customHeight="1">
      <c r="B645" s="2085"/>
      <c r="C645" s="2086"/>
      <c r="D645" s="2086"/>
      <c r="E645" s="2087"/>
      <c r="F645" s="2088"/>
    </row>
    <row r="646" spans="2:6" ht="12.75" customHeight="1">
      <c r="B646" s="2085"/>
      <c r="C646" s="2086"/>
      <c r="D646" s="2086"/>
      <c r="E646" s="2087"/>
      <c r="F646" s="2088"/>
    </row>
    <row r="647" spans="2:6" ht="12.75" customHeight="1">
      <c r="B647" s="2085"/>
      <c r="C647" s="2086"/>
      <c r="D647" s="2086"/>
      <c r="E647" s="2087"/>
      <c r="F647" s="2088"/>
    </row>
    <row r="648" spans="2:6" ht="12.75" customHeight="1">
      <c r="B648" s="2085"/>
      <c r="C648" s="2086"/>
      <c r="D648" s="2086"/>
      <c r="E648" s="2087"/>
      <c r="F648" s="2088"/>
    </row>
    <row r="649" spans="2:6" ht="12.75" customHeight="1">
      <c r="B649" s="2085"/>
      <c r="C649" s="2086"/>
      <c r="D649" s="2086"/>
      <c r="E649" s="2087"/>
      <c r="F649" s="2088"/>
    </row>
    <row r="650" spans="2:6" ht="12.75" customHeight="1">
      <c r="B650" s="2085"/>
      <c r="C650" s="2086"/>
      <c r="D650" s="2086"/>
      <c r="E650" s="2087"/>
      <c r="F650" s="2088"/>
    </row>
    <row r="651" spans="2:6" ht="12.75" customHeight="1">
      <c r="B651" s="2085"/>
      <c r="C651" s="2086"/>
      <c r="D651" s="2086"/>
      <c r="E651" s="2087"/>
      <c r="F651" s="2088"/>
    </row>
    <row r="652" spans="2:6" ht="12.75" customHeight="1">
      <c r="B652" s="2085"/>
      <c r="C652" s="2086"/>
      <c r="D652" s="2086"/>
      <c r="E652" s="2087"/>
      <c r="F652" s="2088"/>
    </row>
    <row r="653" spans="2:6" ht="12.75" customHeight="1">
      <c r="B653" s="2085"/>
      <c r="C653" s="2086"/>
      <c r="D653" s="2086"/>
      <c r="E653" s="2087"/>
      <c r="F653" s="2088"/>
    </row>
    <row r="654" spans="2:6" ht="12.75" customHeight="1">
      <c r="B654" s="2085"/>
      <c r="C654" s="2086"/>
      <c r="D654" s="2086"/>
      <c r="E654" s="2087"/>
      <c r="F654" s="2088"/>
    </row>
    <row r="655" spans="2:6" ht="12.75" customHeight="1">
      <c r="B655" s="2085"/>
      <c r="C655" s="2086"/>
      <c r="D655" s="2086"/>
      <c r="E655" s="2087"/>
      <c r="F655" s="2088"/>
    </row>
    <row r="656" spans="2:6" ht="12.75" customHeight="1">
      <c r="B656" s="2085"/>
      <c r="C656" s="2086"/>
      <c r="D656" s="2086"/>
      <c r="E656" s="2087"/>
      <c r="F656" s="2088"/>
    </row>
    <row r="657" spans="2:6" ht="12.75" customHeight="1">
      <c r="B657" s="2085"/>
      <c r="C657" s="2086"/>
      <c r="D657" s="2086"/>
      <c r="E657" s="2087"/>
      <c r="F657" s="2088"/>
    </row>
    <row r="658" spans="2:6" ht="12.75" customHeight="1">
      <c r="B658" s="2085"/>
      <c r="C658" s="2086"/>
      <c r="D658" s="2086"/>
      <c r="E658" s="2087"/>
      <c r="F658" s="2088"/>
    </row>
    <row r="659" spans="2:6" ht="12.75" customHeight="1">
      <c r="B659" s="2085"/>
      <c r="C659" s="2086"/>
      <c r="D659" s="2086"/>
      <c r="E659" s="2087"/>
      <c r="F659" s="2088"/>
    </row>
    <row r="660" spans="2:6" ht="12.75" customHeight="1">
      <c r="B660" s="2085"/>
      <c r="C660" s="2086"/>
      <c r="D660" s="2086"/>
      <c r="E660" s="2087"/>
      <c r="F660" s="2088"/>
    </row>
    <row r="661" spans="2:6" ht="12.75" customHeight="1">
      <c r="B661" s="2085"/>
      <c r="C661" s="2086"/>
      <c r="D661" s="2086"/>
      <c r="E661" s="2087"/>
      <c r="F661" s="2088"/>
    </row>
    <row r="662" spans="2:6" ht="12.75" customHeight="1">
      <c r="B662" s="2085"/>
      <c r="C662" s="2086"/>
      <c r="D662" s="2086"/>
      <c r="E662" s="2087"/>
      <c r="F662" s="2088"/>
    </row>
    <row r="663" spans="2:6" ht="12.75" customHeight="1">
      <c r="B663" s="2085"/>
      <c r="C663" s="2086"/>
      <c r="D663" s="2086"/>
      <c r="E663" s="2087"/>
      <c r="F663" s="2088"/>
    </row>
    <row r="664" spans="2:6" ht="12.75" customHeight="1">
      <c r="B664" s="2085"/>
      <c r="C664" s="2086"/>
      <c r="D664" s="2086"/>
      <c r="E664" s="2087"/>
      <c r="F664" s="2088"/>
    </row>
    <row r="665" spans="2:6" ht="12.75" customHeight="1">
      <c r="B665" s="2085"/>
      <c r="C665" s="2086"/>
      <c r="D665" s="2086"/>
      <c r="E665" s="2087"/>
      <c r="F665" s="2088"/>
    </row>
    <row r="666" spans="2:6" ht="12.75" customHeight="1">
      <c r="B666" s="2085"/>
      <c r="C666" s="2086"/>
      <c r="D666" s="2086"/>
      <c r="E666" s="2087"/>
      <c r="F666" s="2088"/>
    </row>
    <row r="667" spans="2:6" ht="12.75" customHeight="1">
      <c r="B667" s="2085"/>
      <c r="C667" s="2086"/>
      <c r="D667" s="2086"/>
      <c r="E667" s="2087"/>
      <c r="F667" s="2088"/>
    </row>
    <row r="668" spans="2:6" ht="12.75" customHeight="1">
      <c r="B668" s="2085"/>
      <c r="C668" s="2086"/>
      <c r="D668" s="2086"/>
      <c r="E668" s="2087"/>
      <c r="F668" s="2088"/>
    </row>
    <row r="669" spans="2:6" ht="12.75" customHeight="1">
      <c r="B669" s="2085"/>
      <c r="C669" s="2086"/>
      <c r="D669" s="2086"/>
      <c r="E669" s="2087"/>
      <c r="F669" s="2088"/>
    </row>
    <row r="670" spans="2:6" ht="12.75" customHeight="1">
      <c r="B670" s="2085"/>
      <c r="C670" s="2086"/>
      <c r="D670" s="2086"/>
      <c r="E670" s="2087"/>
      <c r="F670" s="2088"/>
    </row>
    <row r="671" spans="2:6" ht="12.75" customHeight="1">
      <c r="B671" s="2085"/>
      <c r="C671" s="2086"/>
      <c r="D671" s="2086"/>
      <c r="E671" s="2087"/>
      <c r="F671" s="2088"/>
    </row>
    <row r="672" spans="2:6" ht="12.75" customHeight="1">
      <c r="B672" s="2085"/>
      <c r="C672" s="2086"/>
      <c r="D672" s="2086"/>
      <c r="E672" s="2087"/>
      <c r="F672" s="2088"/>
    </row>
    <row r="673" spans="2:6" ht="12.75" customHeight="1">
      <c r="B673" s="2085"/>
      <c r="C673" s="2086"/>
      <c r="D673" s="2086"/>
      <c r="E673" s="2087"/>
      <c r="F673" s="2088"/>
    </row>
    <row r="674" spans="2:6" ht="12.75" customHeight="1">
      <c r="B674" s="2085"/>
      <c r="C674" s="2086"/>
      <c r="D674" s="2086"/>
      <c r="E674" s="2087"/>
      <c r="F674" s="2088"/>
    </row>
    <row r="675" spans="2:6" ht="12.75" customHeight="1">
      <c r="B675" s="2085"/>
      <c r="C675" s="2086"/>
      <c r="D675" s="2086"/>
      <c r="E675" s="2087"/>
      <c r="F675" s="2088"/>
    </row>
    <row r="676" spans="2:6" ht="12.75" customHeight="1">
      <c r="B676" s="2085"/>
      <c r="C676" s="2086"/>
      <c r="D676" s="2086"/>
      <c r="E676" s="2087"/>
      <c r="F676" s="2088"/>
    </row>
    <row r="677" spans="2:6" ht="12.75" customHeight="1">
      <c r="B677" s="2085"/>
      <c r="C677" s="2086"/>
      <c r="D677" s="2086"/>
      <c r="E677" s="2087"/>
      <c r="F677" s="2088"/>
    </row>
    <row r="678" spans="2:6" ht="12.75" customHeight="1">
      <c r="B678" s="2085"/>
      <c r="C678" s="2086"/>
      <c r="D678" s="2086"/>
      <c r="E678" s="2087"/>
      <c r="F678" s="2088"/>
    </row>
    <row r="679" spans="2:6" ht="12.75" customHeight="1">
      <c r="B679" s="2085"/>
      <c r="C679" s="2086"/>
      <c r="D679" s="2086"/>
      <c r="E679" s="2087"/>
      <c r="F679" s="2088"/>
    </row>
    <row r="680" spans="2:6" ht="12.75" customHeight="1">
      <c r="B680" s="2085"/>
      <c r="C680" s="2086"/>
      <c r="D680" s="2086"/>
      <c r="E680" s="2087"/>
      <c r="F680" s="2088"/>
    </row>
    <row r="681" spans="2:6" ht="12.75" customHeight="1">
      <c r="B681" s="2085"/>
      <c r="C681" s="2086"/>
      <c r="D681" s="2086"/>
      <c r="E681" s="2087"/>
      <c r="F681" s="2088"/>
    </row>
    <row r="682" spans="2:6" ht="12.75" customHeight="1">
      <c r="B682" s="2085"/>
      <c r="C682" s="2086"/>
      <c r="D682" s="2086"/>
      <c r="E682" s="2087"/>
      <c r="F682" s="2088"/>
    </row>
    <row r="683" spans="2:6" ht="12.75" customHeight="1">
      <c r="B683" s="2085"/>
      <c r="C683" s="2086"/>
      <c r="D683" s="2086"/>
      <c r="E683" s="2087"/>
      <c r="F683" s="2088"/>
    </row>
    <row r="684" spans="2:6" ht="12.75" customHeight="1">
      <c r="B684" s="2085"/>
      <c r="C684" s="2086"/>
      <c r="D684" s="2086"/>
      <c r="E684" s="2087"/>
      <c r="F684" s="2088"/>
    </row>
    <row r="685" spans="2:6" ht="12.75" customHeight="1">
      <c r="B685" s="2085"/>
      <c r="C685" s="2086"/>
      <c r="D685" s="2086"/>
      <c r="E685" s="2087"/>
      <c r="F685" s="2088"/>
    </row>
    <row r="686" spans="2:6" ht="12.75" customHeight="1">
      <c r="B686" s="2085"/>
      <c r="C686" s="2086"/>
      <c r="D686" s="2086"/>
      <c r="E686" s="2087"/>
      <c r="F686" s="2088"/>
    </row>
    <row r="687" spans="2:6" ht="12.75" customHeight="1">
      <c r="B687" s="2085"/>
      <c r="C687" s="2086"/>
      <c r="D687" s="2086"/>
      <c r="E687" s="2087"/>
      <c r="F687" s="2088"/>
    </row>
    <row r="688" spans="2:6" ht="12.75" customHeight="1">
      <c r="B688" s="2085"/>
      <c r="C688" s="2086"/>
      <c r="D688" s="2086"/>
      <c r="E688" s="2087"/>
      <c r="F688" s="2088"/>
    </row>
    <row r="689" spans="2:6" ht="12.75" customHeight="1">
      <c r="B689" s="2085"/>
      <c r="C689" s="2086"/>
      <c r="D689" s="2086"/>
      <c r="E689" s="2087"/>
      <c r="F689" s="2088"/>
    </row>
    <row r="690" spans="2:6" ht="12.75" customHeight="1">
      <c r="B690" s="2085"/>
      <c r="C690" s="2086"/>
      <c r="D690" s="2086"/>
      <c r="E690" s="2087"/>
      <c r="F690" s="2088"/>
    </row>
    <row r="691" spans="2:6" ht="12.75" customHeight="1">
      <c r="B691" s="2085"/>
      <c r="C691" s="2086"/>
      <c r="D691" s="2086"/>
      <c r="E691" s="2087"/>
      <c r="F691" s="2088"/>
    </row>
    <row r="692" spans="2:6" ht="12.75" customHeight="1">
      <c r="B692" s="2085"/>
      <c r="C692" s="2086"/>
      <c r="D692" s="2086"/>
      <c r="E692" s="2087"/>
      <c r="F692" s="2088"/>
    </row>
    <row r="693" spans="2:6" ht="12.75" customHeight="1">
      <c r="B693" s="2085"/>
      <c r="C693" s="2086"/>
      <c r="D693" s="2086"/>
      <c r="E693" s="2087"/>
      <c r="F693" s="2088"/>
    </row>
    <row r="694" spans="2:6" ht="12.75" customHeight="1">
      <c r="B694" s="2085"/>
      <c r="C694" s="2086"/>
      <c r="D694" s="2086"/>
      <c r="E694" s="2087"/>
      <c r="F694" s="2088"/>
    </row>
    <row r="695" spans="2:6" ht="12.75" customHeight="1">
      <c r="B695" s="2085"/>
      <c r="C695" s="2086"/>
      <c r="D695" s="2086"/>
      <c r="E695" s="2087"/>
      <c r="F695" s="2088"/>
    </row>
    <row r="696" spans="2:6" ht="12.75" customHeight="1">
      <c r="B696" s="2085"/>
      <c r="C696" s="2086"/>
      <c r="D696" s="2086"/>
      <c r="E696" s="2087"/>
      <c r="F696" s="2088"/>
    </row>
    <row r="697" spans="2:6" ht="12.75" customHeight="1">
      <c r="B697" s="2085"/>
      <c r="C697" s="2086"/>
      <c r="D697" s="2086"/>
      <c r="E697" s="2087"/>
      <c r="F697" s="2088"/>
    </row>
    <row r="698" spans="2:6" ht="12.75" customHeight="1">
      <c r="B698" s="2085"/>
      <c r="C698" s="2086"/>
      <c r="D698" s="2086"/>
      <c r="E698" s="2087"/>
      <c r="F698" s="2088"/>
    </row>
    <row r="699" spans="2:6" ht="12.75" customHeight="1">
      <c r="B699" s="2085"/>
      <c r="C699" s="2086"/>
      <c r="D699" s="2086"/>
      <c r="E699" s="2087"/>
      <c r="F699" s="2088"/>
    </row>
    <row r="700" spans="2:6" ht="12.75" customHeight="1">
      <c r="B700" s="2085"/>
      <c r="C700" s="2086"/>
      <c r="D700" s="2086"/>
      <c r="E700" s="2087"/>
      <c r="F700" s="2088"/>
    </row>
    <row r="701" spans="2:6" ht="12.75" customHeight="1">
      <c r="B701" s="2085"/>
      <c r="C701" s="2086"/>
      <c r="D701" s="2086"/>
      <c r="E701" s="2087"/>
      <c r="F701" s="2088"/>
    </row>
    <row r="702" spans="2:6" ht="12.75" customHeight="1">
      <c r="B702" s="2085"/>
      <c r="C702" s="2086"/>
      <c r="D702" s="2086"/>
      <c r="E702" s="2087"/>
      <c r="F702" s="2088"/>
    </row>
    <row r="703" spans="2:6" ht="12.75" customHeight="1">
      <c r="B703" s="2085"/>
      <c r="C703" s="2086"/>
      <c r="D703" s="2086"/>
      <c r="E703" s="2087"/>
      <c r="F703" s="2088"/>
    </row>
    <row r="704" spans="2:6" ht="12.75" customHeight="1">
      <c r="B704" s="2085"/>
      <c r="C704" s="2086"/>
      <c r="D704" s="2086"/>
      <c r="E704" s="2087"/>
      <c r="F704" s="2088"/>
    </row>
    <row r="705" spans="2:6" ht="12.75" customHeight="1">
      <c r="B705" s="2085"/>
      <c r="C705" s="2086"/>
      <c r="D705" s="2086"/>
      <c r="E705" s="2087"/>
      <c r="F705" s="2088"/>
    </row>
    <row r="706" spans="2:6" ht="12.75" customHeight="1">
      <c r="B706" s="2085"/>
      <c r="C706" s="2086"/>
      <c r="D706" s="2086"/>
      <c r="E706" s="2087"/>
      <c r="F706" s="2088"/>
    </row>
    <row r="707" spans="2:6" ht="12.75" customHeight="1">
      <c r="B707" s="2085"/>
      <c r="C707" s="2086"/>
      <c r="D707" s="2086"/>
      <c r="E707" s="2087"/>
      <c r="F707" s="2088"/>
    </row>
    <row r="708" spans="2:6" ht="12.75" customHeight="1">
      <c r="B708" s="2085"/>
      <c r="C708" s="2086"/>
      <c r="D708" s="2086"/>
      <c r="E708" s="2087"/>
      <c r="F708" s="2088"/>
    </row>
    <row r="709" spans="2:6" ht="12.75" customHeight="1">
      <c r="B709" s="2085"/>
      <c r="C709" s="2086"/>
      <c r="D709" s="2086"/>
      <c r="E709" s="2087"/>
      <c r="F709" s="2088"/>
    </row>
    <row r="710" spans="2:6" ht="12.75" customHeight="1">
      <c r="B710" s="2085"/>
      <c r="C710" s="2086"/>
      <c r="D710" s="2086"/>
      <c r="E710" s="2087"/>
      <c r="F710" s="2088"/>
    </row>
    <row r="711" spans="2:6" ht="12.75" customHeight="1">
      <c r="B711" s="2085"/>
      <c r="C711" s="2086"/>
      <c r="D711" s="2086"/>
      <c r="E711" s="2087"/>
      <c r="F711" s="2088"/>
    </row>
    <row r="712" spans="2:6" ht="12.75" customHeight="1">
      <c r="B712" s="2085"/>
      <c r="C712" s="2086"/>
      <c r="D712" s="2086"/>
      <c r="E712" s="2087"/>
      <c r="F712" s="2088"/>
    </row>
    <row r="713" spans="2:6" ht="12.75" customHeight="1">
      <c r="B713" s="2085"/>
      <c r="C713" s="2086"/>
      <c r="D713" s="2086"/>
      <c r="E713" s="2087"/>
      <c r="F713" s="2088"/>
    </row>
    <row r="714" spans="2:6" ht="12.75" customHeight="1">
      <c r="B714" s="2085"/>
      <c r="C714" s="2086"/>
      <c r="D714" s="2086"/>
      <c r="E714" s="2087"/>
      <c r="F714" s="2088"/>
    </row>
    <row r="715" spans="2:6" ht="12.75" customHeight="1">
      <c r="B715" s="2085"/>
      <c r="C715" s="2086"/>
      <c r="D715" s="2086"/>
      <c r="E715" s="2087"/>
      <c r="F715" s="2088"/>
    </row>
    <row r="716" spans="2:6" ht="12.75" customHeight="1">
      <c r="B716" s="2085"/>
      <c r="C716" s="2086"/>
      <c r="D716" s="2086"/>
      <c r="E716" s="2087"/>
      <c r="F716" s="2088"/>
    </row>
    <row r="717" spans="2:6" ht="12.75" customHeight="1">
      <c r="B717" s="2085"/>
      <c r="C717" s="2086"/>
      <c r="D717" s="2086"/>
      <c r="E717" s="2087"/>
      <c r="F717" s="2088"/>
    </row>
    <row r="718" spans="2:6" ht="12.75" customHeight="1">
      <c r="B718" s="2085"/>
      <c r="C718" s="2086"/>
      <c r="D718" s="2086"/>
      <c r="E718" s="2087"/>
      <c r="F718" s="2088"/>
    </row>
    <row r="719" spans="2:6" ht="12.75" customHeight="1">
      <c r="B719" s="2085"/>
      <c r="C719" s="2086"/>
      <c r="D719" s="2086"/>
      <c r="E719" s="2087"/>
      <c r="F719" s="2088"/>
    </row>
    <row r="720" spans="2:6" ht="12.75" customHeight="1">
      <c r="B720" s="2085"/>
      <c r="C720" s="2086"/>
      <c r="D720" s="2086"/>
      <c r="E720" s="2087"/>
      <c r="F720" s="2088"/>
    </row>
    <row r="721" spans="2:6" ht="12.75" customHeight="1">
      <c r="B721" s="2085"/>
      <c r="C721" s="2086"/>
      <c r="D721" s="2086"/>
      <c r="E721" s="2087"/>
      <c r="F721" s="2088"/>
    </row>
    <row r="722" spans="2:6" ht="12.75" customHeight="1">
      <c r="B722" s="2085"/>
      <c r="C722" s="2086"/>
      <c r="D722" s="2086"/>
      <c r="E722" s="2087"/>
      <c r="F722" s="2088"/>
    </row>
    <row r="723" spans="2:6" ht="12.75" customHeight="1">
      <c r="B723" s="2085"/>
      <c r="C723" s="2086"/>
      <c r="D723" s="2086"/>
      <c r="E723" s="2087"/>
      <c r="F723" s="2088"/>
    </row>
    <row r="724" spans="2:6" ht="12.75" customHeight="1">
      <c r="B724" s="2085"/>
      <c r="C724" s="2086"/>
      <c r="D724" s="2086"/>
      <c r="E724" s="2087"/>
      <c r="F724" s="2088"/>
    </row>
    <row r="725" spans="2:6" ht="12.75" customHeight="1">
      <c r="B725" s="2085"/>
      <c r="C725" s="2086"/>
      <c r="D725" s="2086"/>
      <c r="E725" s="2087"/>
      <c r="F725" s="2088"/>
    </row>
    <row r="726" spans="2:6" ht="12.75" customHeight="1">
      <c r="B726" s="2085"/>
      <c r="C726" s="2086"/>
      <c r="D726" s="2086"/>
      <c r="E726" s="2087"/>
      <c r="F726" s="2088"/>
    </row>
    <row r="727" spans="2:6" ht="12.75" customHeight="1">
      <c r="B727" s="2085"/>
      <c r="C727" s="2086"/>
      <c r="D727" s="2086"/>
      <c r="E727" s="2087"/>
      <c r="F727" s="2088"/>
    </row>
    <row r="728" spans="2:6" ht="12.75" customHeight="1">
      <c r="B728" s="2085"/>
      <c r="C728" s="2086"/>
      <c r="D728" s="2086"/>
      <c r="E728" s="2087"/>
      <c r="F728" s="2088"/>
    </row>
    <row r="729" spans="2:6" ht="12.75" customHeight="1">
      <c r="B729" s="2085"/>
      <c r="C729" s="2086"/>
      <c r="D729" s="2086"/>
      <c r="E729" s="2087"/>
      <c r="F729" s="2088"/>
    </row>
    <row r="730" spans="2:6" ht="12.75" customHeight="1">
      <c r="B730" s="2085"/>
      <c r="C730" s="2086"/>
      <c r="D730" s="2086"/>
      <c r="E730" s="2087"/>
      <c r="F730" s="2088"/>
    </row>
    <row r="731" spans="2:6" ht="12.75" customHeight="1">
      <c r="B731" s="2085"/>
      <c r="C731" s="2086"/>
      <c r="D731" s="2086"/>
      <c r="E731" s="2087"/>
      <c r="F731" s="2088"/>
    </row>
    <row r="732" spans="2:6" ht="12.75" customHeight="1">
      <c r="B732" s="2085"/>
      <c r="C732" s="2086"/>
      <c r="D732" s="2086"/>
      <c r="E732" s="2087"/>
      <c r="F732" s="2088"/>
    </row>
    <row r="733" spans="2:6" ht="12.75" customHeight="1">
      <c r="B733" s="2085"/>
      <c r="C733" s="2086"/>
      <c r="D733" s="2086"/>
      <c r="E733" s="2087"/>
      <c r="F733" s="2088"/>
    </row>
    <row r="734" spans="2:6" ht="12.75" customHeight="1">
      <c r="B734" s="2085"/>
      <c r="C734" s="2086"/>
      <c r="D734" s="2086"/>
      <c r="E734" s="2087"/>
      <c r="F734" s="2088"/>
    </row>
    <row r="735" spans="2:6" ht="12.75" customHeight="1">
      <c r="B735" s="2085"/>
      <c r="C735" s="2086"/>
      <c r="D735" s="2086"/>
      <c r="E735" s="2087"/>
      <c r="F735" s="2088"/>
    </row>
    <row r="736" spans="2:6" ht="12.75" customHeight="1">
      <c r="B736" s="2085"/>
      <c r="C736" s="2086"/>
      <c r="D736" s="2086"/>
      <c r="E736" s="2087"/>
      <c r="F736" s="2088"/>
    </row>
    <row r="737" spans="2:6" ht="12.75" customHeight="1">
      <c r="B737" s="2085"/>
      <c r="C737" s="2086"/>
      <c r="D737" s="2086"/>
      <c r="E737" s="2087"/>
      <c r="F737" s="2088"/>
    </row>
    <row r="738" spans="2:6" ht="12.75" customHeight="1">
      <c r="B738" s="2085"/>
      <c r="C738" s="2086"/>
      <c r="D738" s="2086"/>
      <c r="E738" s="2087"/>
      <c r="F738" s="2088"/>
    </row>
    <row r="739" spans="2:6" ht="12.75" customHeight="1">
      <c r="B739" s="2085"/>
      <c r="C739" s="2086"/>
      <c r="D739" s="2086"/>
      <c r="E739" s="2087"/>
      <c r="F739" s="2088"/>
    </row>
    <row r="740" spans="2:6" ht="12.75" customHeight="1">
      <c r="B740" s="2085"/>
      <c r="C740" s="2086"/>
      <c r="D740" s="2086"/>
      <c r="E740" s="2087"/>
      <c r="F740" s="2088"/>
    </row>
    <row r="741" spans="2:6" ht="12.75" customHeight="1">
      <c r="B741" s="2085"/>
      <c r="C741" s="2086"/>
      <c r="D741" s="2086"/>
      <c r="E741" s="2087"/>
      <c r="F741" s="2088"/>
    </row>
    <row r="742" spans="2:6" ht="12.75" customHeight="1">
      <c r="B742" s="2085"/>
      <c r="C742" s="2086"/>
      <c r="D742" s="2086"/>
      <c r="E742" s="2087"/>
      <c r="F742" s="2088"/>
    </row>
    <row r="743" spans="2:6" ht="12.75" customHeight="1">
      <c r="B743" s="2085"/>
      <c r="C743" s="2086"/>
      <c r="D743" s="2086"/>
      <c r="E743" s="2087"/>
      <c r="F743" s="2088"/>
    </row>
    <row r="744" spans="2:6" ht="12.75" customHeight="1">
      <c r="B744" s="2085"/>
      <c r="C744" s="2086"/>
      <c r="D744" s="2086"/>
      <c r="E744" s="2087"/>
      <c r="F744" s="2088"/>
    </row>
    <row r="745" spans="2:6" ht="12.75" customHeight="1">
      <c r="B745" s="2085"/>
      <c r="C745" s="2086"/>
      <c r="D745" s="2086"/>
      <c r="E745" s="2087"/>
      <c r="F745" s="2088"/>
    </row>
    <row r="746" spans="2:6" ht="12.75" customHeight="1">
      <c r="B746" s="2085"/>
      <c r="C746" s="2086"/>
      <c r="D746" s="2086"/>
      <c r="E746" s="2087"/>
      <c r="F746" s="2088"/>
    </row>
    <row r="747" spans="2:6" ht="12.75" customHeight="1">
      <c r="B747" s="2085"/>
      <c r="C747" s="2086"/>
      <c r="D747" s="2086"/>
      <c r="E747" s="2087"/>
      <c r="F747" s="2088"/>
    </row>
    <row r="748" spans="2:6" ht="12.75" customHeight="1">
      <c r="B748" s="2085"/>
      <c r="C748" s="2086"/>
      <c r="D748" s="2086"/>
      <c r="E748" s="2087"/>
      <c r="F748" s="2088"/>
    </row>
    <row r="749" spans="2:6" ht="12.75" customHeight="1">
      <c r="B749" s="2085"/>
      <c r="C749" s="2086"/>
      <c r="D749" s="2086"/>
      <c r="E749" s="2087"/>
      <c r="F749" s="2088"/>
    </row>
    <row r="750" spans="2:6" ht="12.75" customHeight="1">
      <c r="B750" s="2085"/>
      <c r="C750" s="2086"/>
      <c r="D750" s="2086"/>
      <c r="E750" s="2087"/>
      <c r="F750" s="2088"/>
    </row>
    <row r="751" spans="2:6" ht="12.75" customHeight="1">
      <c r="B751" s="2085"/>
      <c r="C751" s="2086"/>
      <c r="D751" s="2086"/>
      <c r="E751" s="2087"/>
      <c r="F751" s="2088"/>
    </row>
    <row r="752" spans="2:6" ht="12.75" customHeight="1">
      <c r="B752" s="2085"/>
      <c r="C752" s="2086"/>
      <c r="D752" s="2086"/>
      <c r="E752" s="2087"/>
      <c r="F752" s="2088"/>
    </row>
    <row r="753" spans="2:6" ht="12.75" customHeight="1">
      <c r="B753" s="2085"/>
      <c r="C753" s="2086"/>
      <c r="D753" s="2086"/>
      <c r="E753" s="2087"/>
      <c r="F753" s="2088"/>
    </row>
    <row r="754" spans="2:6" ht="12.75" customHeight="1">
      <c r="B754" s="2085"/>
      <c r="C754" s="2086"/>
      <c r="D754" s="2086"/>
      <c r="E754" s="2087"/>
      <c r="F754" s="2088"/>
    </row>
    <row r="755" spans="2:6" ht="12.75" customHeight="1">
      <c r="B755" s="2085"/>
      <c r="C755" s="2086"/>
      <c r="D755" s="2086"/>
      <c r="E755" s="2087"/>
      <c r="F755" s="2088"/>
    </row>
    <row r="756" spans="2:6" ht="12.75" customHeight="1">
      <c r="B756" s="2085"/>
      <c r="C756" s="2086"/>
      <c r="D756" s="2086"/>
      <c r="E756" s="2087"/>
      <c r="F756" s="2088"/>
    </row>
    <row r="757" spans="2:6" ht="12.75" customHeight="1">
      <c r="B757" s="2085"/>
      <c r="C757" s="2086"/>
      <c r="D757" s="2086"/>
      <c r="E757" s="2087"/>
      <c r="F757" s="2088"/>
    </row>
    <row r="758" spans="2:6" ht="12.75" customHeight="1">
      <c r="B758" s="2085"/>
      <c r="C758" s="2086"/>
      <c r="D758" s="2086"/>
      <c r="E758" s="2087"/>
      <c r="F758" s="2088"/>
    </row>
    <row r="759" spans="2:6" ht="12.75" customHeight="1">
      <c r="B759" s="2085"/>
      <c r="C759" s="2086"/>
      <c r="D759" s="2086"/>
      <c r="E759" s="2087"/>
      <c r="F759" s="2088"/>
    </row>
    <row r="760" spans="2:6" ht="12.75" customHeight="1">
      <c r="B760" s="2085"/>
      <c r="C760" s="2086"/>
      <c r="D760" s="2086"/>
      <c r="E760" s="2087"/>
      <c r="F760" s="2088"/>
    </row>
    <row r="761" spans="2:6" ht="12.75" customHeight="1">
      <c r="B761" s="2085"/>
      <c r="C761" s="2086"/>
      <c r="D761" s="2086"/>
      <c r="E761" s="2087"/>
      <c r="F761" s="2088"/>
    </row>
    <row r="762" spans="2:6" ht="12.75" customHeight="1">
      <c r="B762" s="2085"/>
      <c r="C762" s="2086"/>
      <c r="D762" s="2086"/>
      <c r="E762" s="2087"/>
      <c r="F762" s="2088"/>
    </row>
    <row r="763" spans="2:6" ht="12.75" customHeight="1">
      <c r="B763" s="2085"/>
      <c r="C763" s="2086"/>
      <c r="D763" s="2086"/>
      <c r="E763" s="2087"/>
      <c r="F763" s="2088"/>
    </row>
    <row r="764" spans="2:6" ht="12.75" customHeight="1">
      <c r="B764" s="2085"/>
      <c r="C764" s="2086"/>
      <c r="D764" s="2086"/>
      <c r="E764" s="2087"/>
      <c r="F764" s="2088"/>
    </row>
    <row r="765" spans="2:6" ht="12.75" customHeight="1">
      <c r="B765" s="2085"/>
      <c r="C765" s="2086"/>
      <c r="D765" s="2086"/>
      <c r="E765" s="2087"/>
      <c r="F765" s="2088"/>
    </row>
    <row r="766" spans="2:6" ht="12.75" customHeight="1">
      <c r="B766" s="2085"/>
      <c r="C766" s="2086"/>
      <c r="D766" s="2086"/>
      <c r="E766" s="2087"/>
      <c r="F766" s="2088"/>
    </row>
    <row r="767" spans="2:6" ht="12.75" customHeight="1">
      <c r="B767" s="2085"/>
      <c r="C767" s="2086"/>
      <c r="D767" s="2086"/>
      <c r="E767" s="2087"/>
      <c r="F767" s="2088"/>
    </row>
    <row r="768" spans="2:6" ht="12.75" customHeight="1">
      <c r="B768" s="2085"/>
      <c r="C768" s="2086"/>
      <c r="D768" s="2086"/>
      <c r="E768" s="2087"/>
      <c r="F768" s="2088"/>
    </row>
    <row r="769" spans="2:6" ht="12.75" customHeight="1">
      <c r="B769" s="2085"/>
      <c r="C769" s="2086"/>
      <c r="D769" s="2086"/>
      <c r="E769" s="2087"/>
      <c r="F769" s="2088"/>
    </row>
    <row r="770" spans="2:6" ht="12.75" customHeight="1">
      <c r="B770" s="2085"/>
      <c r="C770" s="2086"/>
      <c r="D770" s="2086"/>
      <c r="E770" s="2087"/>
      <c r="F770" s="2088"/>
    </row>
    <row r="771" spans="2:6" ht="12.75" customHeight="1">
      <c r="B771" s="2085"/>
      <c r="C771" s="2086"/>
      <c r="D771" s="2086"/>
      <c r="E771" s="2087"/>
      <c r="F771" s="2088"/>
    </row>
    <row r="772" spans="2:6" ht="12.75" customHeight="1">
      <c r="B772" s="2085"/>
      <c r="C772" s="2086"/>
      <c r="D772" s="2086"/>
      <c r="E772" s="2087"/>
      <c r="F772" s="2088"/>
    </row>
    <row r="773" spans="2:6" ht="12.75" customHeight="1">
      <c r="B773" s="2085"/>
      <c r="C773" s="2086"/>
      <c r="D773" s="2086"/>
      <c r="E773" s="2087"/>
      <c r="F773" s="2088"/>
    </row>
    <row r="774" spans="2:6" ht="12.75" customHeight="1">
      <c r="B774" s="2085"/>
      <c r="C774" s="2086"/>
      <c r="D774" s="2086"/>
      <c r="E774" s="2087"/>
      <c r="F774" s="2088"/>
    </row>
    <row r="775" spans="2:6" ht="12.75" customHeight="1">
      <c r="B775" s="2085"/>
      <c r="C775" s="2086"/>
      <c r="D775" s="2086"/>
      <c r="E775" s="2087"/>
      <c r="F775" s="2088"/>
    </row>
    <row r="776" spans="2:6" ht="12.75" customHeight="1">
      <c r="B776" s="2085"/>
      <c r="C776" s="2086"/>
      <c r="D776" s="2086"/>
      <c r="E776" s="2087"/>
      <c r="F776" s="2088"/>
    </row>
    <row r="777" spans="2:6" ht="12.75" customHeight="1">
      <c r="B777" s="2085"/>
      <c r="C777" s="2086"/>
      <c r="D777" s="2086"/>
      <c r="E777" s="2087"/>
      <c r="F777" s="2088"/>
    </row>
    <row r="778" spans="2:6" ht="12.75" customHeight="1">
      <c r="B778" s="2085"/>
      <c r="C778" s="2086"/>
      <c r="D778" s="2086"/>
      <c r="E778" s="2087"/>
      <c r="F778" s="2088"/>
    </row>
    <row r="779" spans="2:6" ht="12.75" customHeight="1">
      <c r="B779" s="2085"/>
      <c r="C779" s="2086"/>
      <c r="D779" s="2086"/>
      <c r="E779" s="2087"/>
      <c r="F779" s="2088"/>
    </row>
    <row r="780" spans="2:6" ht="12.75" customHeight="1">
      <c r="B780" s="2085"/>
      <c r="C780" s="2086"/>
      <c r="D780" s="2086"/>
      <c r="E780" s="2087"/>
      <c r="F780" s="2088"/>
    </row>
    <row r="781" spans="2:6" ht="12.75" customHeight="1">
      <c r="B781" s="2085"/>
      <c r="C781" s="2086"/>
      <c r="D781" s="2086"/>
      <c r="E781" s="2087"/>
      <c r="F781" s="2088"/>
    </row>
    <row r="782" spans="2:6" ht="12.75" customHeight="1">
      <c r="B782" s="2085"/>
      <c r="C782" s="2086"/>
      <c r="D782" s="2086"/>
      <c r="E782" s="2087"/>
      <c r="F782" s="2088"/>
    </row>
    <row r="783" spans="2:6" ht="12.75" customHeight="1">
      <c r="B783" s="2085"/>
      <c r="C783" s="2086"/>
      <c r="D783" s="2086"/>
      <c r="E783" s="2087"/>
      <c r="F783" s="2088"/>
    </row>
    <row r="784" spans="2:6" ht="12.75" customHeight="1">
      <c r="B784" s="2085"/>
      <c r="C784" s="2086"/>
      <c r="D784" s="2086"/>
      <c r="E784" s="2087"/>
      <c r="F784" s="2088"/>
    </row>
    <row r="785" spans="2:6" ht="12.75" customHeight="1">
      <c r="B785" s="2085"/>
      <c r="C785" s="2086"/>
      <c r="D785" s="2086"/>
      <c r="E785" s="2087"/>
      <c r="F785" s="2088"/>
    </row>
    <row r="786" spans="2:6" ht="12.75" customHeight="1">
      <c r="B786" s="2085"/>
      <c r="C786" s="2086"/>
      <c r="D786" s="2086"/>
      <c r="E786" s="2087"/>
      <c r="F786" s="2088"/>
    </row>
    <row r="787" spans="2:6" ht="12.75" customHeight="1">
      <c r="B787" s="2085"/>
      <c r="C787" s="2086"/>
      <c r="D787" s="2086"/>
      <c r="E787" s="2087"/>
      <c r="F787" s="2088"/>
    </row>
    <row r="788" spans="2:6" ht="12.75" customHeight="1">
      <c r="B788" s="2085"/>
      <c r="C788" s="2086"/>
      <c r="D788" s="2086"/>
      <c r="E788" s="2087"/>
      <c r="F788" s="2088"/>
    </row>
    <row r="789" spans="2:6" ht="12.75" customHeight="1">
      <c r="B789" s="2085"/>
      <c r="C789" s="2086"/>
      <c r="D789" s="2086"/>
      <c r="E789" s="2087"/>
      <c r="F789" s="2088"/>
    </row>
    <row r="790" spans="2:6" ht="12.75" customHeight="1">
      <c r="B790" s="2085"/>
      <c r="C790" s="2086"/>
      <c r="D790" s="2086"/>
      <c r="E790" s="2087"/>
      <c r="F790" s="2088"/>
    </row>
    <row r="791" spans="2:6" ht="12.75" customHeight="1">
      <c r="B791" s="2085"/>
      <c r="C791" s="2086"/>
      <c r="D791" s="2086"/>
      <c r="E791" s="2087"/>
      <c r="F791" s="2088"/>
    </row>
    <row r="792" spans="2:6" ht="12.75" customHeight="1">
      <c r="B792" s="2085"/>
      <c r="C792" s="2086"/>
      <c r="D792" s="2086"/>
      <c r="E792" s="2087"/>
      <c r="F792" s="2088"/>
    </row>
    <row r="793" spans="2:6" ht="12.75" customHeight="1">
      <c r="B793" s="2085"/>
      <c r="C793" s="2086"/>
      <c r="D793" s="2086"/>
      <c r="E793" s="2087"/>
      <c r="F793" s="2088"/>
    </row>
    <row r="794" spans="2:6" ht="12.75" customHeight="1">
      <c r="B794" s="2085"/>
      <c r="C794" s="2086"/>
      <c r="D794" s="2086"/>
      <c r="E794" s="2087"/>
      <c r="F794" s="2088"/>
    </row>
    <row r="795" spans="2:6" ht="12.75" customHeight="1">
      <c r="B795" s="2085"/>
      <c r="C795" s="2086"/>
      <c r="D795" s="2086"/>
      <c r="E795" s="2087"/>
      <c r="F795" s="2088"/>
    </row>
    <row r="796" spans="2:6" ht="12.75" customHeight="1">
      <c r="B796" s="2085"/>
      <c r="C796" s="2086"/>
      <c r="D796" s="2086"/>
      <c r="E796" s="2087"/>
      <c r="F796" s="2088"/>
    </row>
    <row r="797" spans="2:6" ht="12.75" customHeight="1">
      <c r="B797" s="2085"/>
      <c r="C797" s="2086"/>
      <c r="D797" s="2086"/>
      <c r="E797" s="2087"/>
      <c r="F797" s="2088"/>
    </row>
    <row r="798" spans="2:6" ht="12.75" customHeight="1">
      <c r="B798" s="2085"/>
      <c r="C798" s="2086"/>
      <c r="D798" s="2086"/>
      <c r="E798" s="2087"/>
      <c r="F798" s="2088"/>
    </row>
    <row r="799" spans="2:6" ht="12.75" customHeight="1">
      <c r="B799" s="2085"/>
      <c r="C799" s="2086"/>
      <c r="D799" s="2086"/>
      <c r="E799" s="2087"/>
      <c r="F799" s="2088"/>
    </row>
    <row r="800" spans="2:6" ht="12.75" customHeight="1">
      <c r="B800" s="2085"/>
      <c r="C800" s="2086"/>
      <c r="D800" s="2086"/>
      <c r="E800" s="2087"/>
      <c r="F800" s="2088"/>
    </row>
    <row r="801" spans="2:6" ht="12.75" customHeight="1">
      <c r="B801" s="2085"/>
      <c r="C801" s="2086"/>
      <c r="D801" s="2086"/>
      <c r="E801" s="2087"/>
      <c r="F801" s="2088"/>
    </row>
    <row r="802" spans="2:6" ht="12.75" customHeight="1">
      <c r="B802" s="2085"/>
      <c r="C802" s="2086"/>
      <c r="D802" s="2086"/>
      <c r="E802" s="2087"/>
      <c r="F802" s="2088"/>
    </row>
    <row r="803" spans="2:6" ht="12.75" customHeight="1">
      <c r="B803" s="2085"/>
      <c r="C803" s="2086"/>
      <c r="D803" s="2086"/>
      <c r="E803" s="2087"/>
      <c r="F803" s="2088"/>
    </row>
    <row r="804" spans="2:6" ht="12.75" customHeight="1">
      <c r="B804" s="2085"/>
      <c r="C804" s="2086"/>
      <c r="D804" s="2086"/>
      <c r="E804" s="2087"/>
      <c r="F804" s="2088"/>
    </row>
    <row r="805" spans="2:6" ht="12.75" customHeight="1">
      <c r="B805" s="2085"/>
      <c r="C805" s="2086"/>
      <c r="D805" s="2086"/>
      <c r="E805" s="2087"/>
      <c r="F805" s="2088"/>
    </row>
    <row r="806" spans="2:6" ht="12.75" customHeight="1">
      <c r="B806" s="2085"/>
      <c r="C806" s="2086"/>
      <c r="D806" s="2086"/>
      <c r="E806" s="2087"/>
      <c r="F806" s="2088"/>
    </row>
    <row r="807" spans="2:6" ht="12.75" customHeight="1">
      <c r="B807" s="2085"/>
      <c r="C807" s="2086"/>
      <c r="D807" s="2086"/>
      <c r="E807" s="2087"/>
      <c r="F807" s="2088"/>
    </row>
    <row r="808" spans="2:6" ht="12.75" customHeight="1">
      <c r="B808" s="2085"/>
      <c r="C808" s="2086"/>
      <c r="D808" s="2086"/>
      <c r="E808" s="2087"/>
      <c r="F808" s="2088"/>
    </row>
    <row r="809" spans="2:6" ht="12.75" customHeight="1">
      <c r="B809" s="2085"/>
      <c r="C809" s="2086"/>
      <c r="D809" s="2086"/>
      <c r="E809" s="2087"/>
      <c r="F809" s="2088"/>
    </row>
    <row r="810" spans="2:6" ht="12.75" customHeight="1">
      <c r="B810" s="2085"/>
      <c r="C810" s="2086"/>
      <c r="D810" s="2086"/>
      <c r="E810" s="2087"/>
      <c r="F810" s="2088"/>
    </row>
    <row r="811" spans="2:6" ht="12.75" customHeight="1">
      <c r="B811" s="2085"/>
      <c r="C811" s="2086"/>
      <c r="D811" s="2086"/>
      <c r="E811" s="2087"/>
      <c r="F811" s="2088"/>
    </row>
    <row r="812" spans="2:6" ht="12.75" customHeight="1">
      <c r="B812" s="2085"/>
      <c r="C812" s="2086"/>
      <c r="D812" s="2086"/>
      <c r="E812" s="2087"/>
      <c r="F812" s="2088"/>
    </row>
    <row r="813" spans="2:6" ht="12.75" customHeight="1">
      <c r="B813" s="2085"/>
      <c r="C813" s="2086"/>
      <c r="D813" s="2086"/>
      <c r="E813" s="2087"/>
      <c r="F813" s="2088"/>
    </row>
    <row r="814" spans="2:6" ht="12.75" customHeight="1">
      <c r="B814" s="2085"/>
      <c r="C814" s="2086"/>
      <c r="D814" s="2086"/>
      <c r="E814" s="2087"/>
      <c r="F814" s="2088"/>
    </row>
    <row r="815" spans="2:6" ht="12.75" customHeight="1">
      <c r="B815" s="2085"/>
      <c r="C815" s="2086"/>
      <c r="D815" s="2086"/>
      <c r="E815" s="2087"/>
      <c r="F815" s="2088"/>
    </row>
    <row r="816" spans="2:6" ht="12.75" customHeight="1">
      <c r="B816" s="2085"/>
      <c r="C816" s="2086"/>
      <c r="D816" s="2086"/>
      <c r="E816" s="2087"/>
      <c r="F816" s="2088"/>
    </row>
    <row r="817" spans="2:6" ht="12.75" customHeight="1">
      <c r="B817" s="2085"/>
      <c r="C817" s="2086"/>
      <c r="D817" s="2086"/>
      <c r="E817" s="2087"/>
      <c r="F817" s="2088"/>
    </row>
    <row r="818" spans="2:6" ht="12.75" customHeight="1">
      <c r="B818" s="2085"/>
      <c r="C818" s="2086"/>
      <c r="D818" s="2086"/>
      <c r="E818" s="2087"/>
      <c r="F818" s="2088"/>
    </row>
    <row r="819" spans="2:6" ht="12.75" customHeight="1">
      <c r="B819" s="2085"/>
      <c r="C819" s="2086"/>
      <c r="D819" s="2086"/>
      <c r="E819" s="2087"/>
      <c r="F819" s="2088"/>
    </row>
    <row r="820" spans="2:6" ht="12.75" customHeight="1">
      <c r="B820" s="2085"/>
      <c r="C820" s="2086"/>
      <c r="D820" s="2086"/>
      <c r="E820" s="2087"/>
      <c r="F820" s="2088"/>
    </row>
    <row r="821" spans="2:6" ht="12.75" customHeight="1">
      <c r="B821" s="2085"/>
      <c r="C821" s="2086"/>
      <c r="D821" s="2086"/>
      <c r="E821" s="2087"/>
      <c r="F821" s="2088"/>
    </row>
    <row r="822" spans="2:6" ht="12.75" customHeight="1">
      <c r="B822" s="2085"/>
      <c r="C822" s="2086"/>
      <c r="D822" s="2086"/>
      <c r="E822" s="2087"/>
      <c r="F822" s="2088"/>
    </row>
    <row r="823" spans="2:6" ht="12.75" customHeight="1">
      <c r="B823" s="2085"/>
      <c r="C823" s="2086"/>
      <c r="D823" s="2086"/>
      <c r="E823" s="2087"/>
      <c r="F823" s="2088"/>
    </row>
    <row r="824" spans="2:6" ht="12.75" customHeight="1">
      <c r="B824" s="2085"/>
      <c r="C824" s="2086"/>
      <c r="D824" s="2086"/>
      <c r="E824" s="2087"/>
      <c r="F824" s="2088"/>
    </row>
    <row r="825" spans="2:6" ht="12.75" customHeight="1">
      <c r="B825" s="2085"/>
      <c r="C825" s="2086"/>
      <c r="D825" s="2086"/>
      <c r="E825" s="2087"/>
      <c r="F825" s="2088"/>
    </row>
    <row r="826" spans="2:6" ht="12.75" customHeight="1">
      <c r="B826" s="2085"/>
      <c r="C826" s="2086"/>
      <c r="D826" s="2086"/>
      <c r="E826" s="2087"/>
      <c r="F826" s="2088"/>
    </row>
    <row r="827" spans="2:6" ht="12.75" customHeight="1">
      <c r="B827" s="2085"/>
      <c r="C827" s="2086"/>
      <c r="D827" s="2086"/>
      <c r="E827" s="2087"/>
      <c r="F827" s="2088"/>
    </row>
    <row r="828" spans="2:6" ht="12.75" customHeight="1">
      <c r="B828" s="2085"/>
      <c r="C828" s="2086"/>
      <c r="D828" s="2086"/>
      <c r="E828" s="2087"/>
      <c r="F828" s="2088"/>
    </row>
    <row r="829" spans="2:6" ht="12.75" customHeight="1">
      <c r="B829" s="2085"/>
      <c r="C829" s="2086"/>
      <c r="D829" s="2086"/>
      <c r="E829" s="2087"/>
      <c r="F829" s="2088"/>
    </row>
    <row r="830" spans="2:6" ht="12.75" customHeight="1">
      <c r="B830" s="2085"/>
      <c r="C830" s="2086"/>
      <c r="D830" s="2086"/>
      <c r="E830" s="2087"/>
      <c r="F830" s="2088"/>
    </row>
    <row r="831" spans="2:6" ht="12.75" customHeight="1">
      <c r="B831" s="2085"/>
      <c r="C831" s="2086"/>
      <c r="D831" s="2086"/>
      <c r="E831" s="2087"/>
      <c r="F831" s="2088"/>
    </row>
    <row r="832" spans="2:6" ht="12.75" customHeight="1">
      <c r="B832" s="2085"/>
      <c r="C832" s="2086"/>
      <c r="D832" s="2086"/>
      <c r="E832" s="2087"/>
      <c r="F832" s="2088"/>
    </row>
    <row r="833" spans="2:6" ht="12.75" customHeight="1">
      <c r="B833" s="2085"/>
      <c r="C833" s="2086"/>
      <c r="D833" s="2086"/>
      <c r="E833" s="2087"/>
      <c r="F833" s="2088"/>
    </row>
    <row r="834" spans="2:6" ht="12.75" customHeight="1">
      <c r="B834" s="2085"/>
      <c r="C834" s="2086"/>
      <c r="D834" s="2086"/>
      <c r="E834" s="2087"/>
      <c r="F834" s="2088"/>
    </row>
    <row r="835" spans="2:6" ht="12.75" customHeight="1">
      <c r="B835" s="2085"/>
      <c r="C835" s="2086"/>
      <c r="D835" s="2086"/>
      <c r="E835" s="2087"/>
      <c r="F835" s="2088"/>
    </row>
    <row r="836" spans="2:6" ht="12.75" customHeight="1">
      <c r="B836" s="2085"/>
      <c r="C836" s="2086"/>
      <c r="D836" s="2086"/>
      <c r="E836" s="2087"/>
      <c r="F836" s="2088"/>
    </row>
    <row r="837" spans="2:6" ht="12.75" customHeight="1">
      <c r="B837" s="2085"/>
      <c r="C837" s="2086"/>
      <c r="D837" s="2086"/>
      <c r="E837" s="2087"/>
      <c r="F837" s="2088"/>
    </row>
    <row r="838" spans="2:6" ht="12.75" customHeight="1">
      <c r="B838" s="2085"/>
      <c r="C838" s="2086"/>
      <c r="D838" s="2086"/>
      <c r="E838" s="2087"/>
      <c r="F838" s="2088"/>
    </row>
    <row r="839" spans="2:6" ht="12.75" customHeight="1">
      <c r="B839" s="2085"/>
      <c r="C839" s="2086"/>
      <c r="D839" s="2086"/>
      <c r="E839" s="2087"/>
      <c r="F839" s="2088"/>
    </row>
    <row r="840" spans="2:6" ht="12.75" customHeight="1">
      <c r="B840" s="2085"/>
      <c r="C840" s="2086"/>
      <c r="D840" s="2086"/>
      <c r="E840" s="2087"/>
      <c r="F840" s="2088"/>
    </row>
    <row r="841" spans="2:6" ht="12.75" customHeight="1">
      <c r="B841" s="2085"/>
      <c r="C841" s="2086"/>
      <c r="D841" s="2086"/>
      <c r="E841" s="2087"/>
      <c r="F841" s="2088"/>
    </row>
    <row r="842" spans="2:6" ht="12.75" customHeight="1">
      <c r="B842" s="2085"/>
      <c r="C842" s="2086"/>
      <c r="D842" s="2086"/>
      <c r="E842" s="2087"/>
      <c r="F842" s="2088"/>
    </row>
    <row r="843" spans="2:6" ht="12.75" customHeight="1">
      <c r="B843" s="2085"/>
      <c r="C843" s="2086"/>
      <c r="D843" s="2086"/>
      <c r="E843" s="2087"/>
      <c r="F843" s="2088"/>
    </row>
    <row r="844" spans="2:6" ht="12.75" customHeight="1">
      <c r="B844" s="2085"/>
      <c r="C844" s="2086"/>
      <c r="D844" s="2086"/>
      <c r="E844" s="2087"/>
      <c r="F844" s="2088"/>
    </row>
    <row r="845" spans="2:6" ht="12.75" customHeight="1">
      <c r="B845" s="2085"/>
      <c r="C845" s="2086"/>
      <c r="D845" s="2086"/>
      <c r="E845" s="2087"/>
      <c r="F845" s="2088"/>
    </row>
    <row r="846" spans="2:6" ht="12.75" customHeight="1">
      <c r="B846" s="2085"/>
      <c r="C846" s="2086"/>
      <c r="D846" s="2086"/>
      <c r="E846" s="2087"/>
      <c r="F846" s="2088"/>
    </row>
    <row r="847" spans="2:6" ht="12.75" customHeight="1">
      <c r="B847" s="2085"/>
      <c r="C847" s="2086"/>
      <c r="D847" s="2086"/>
      <c r="E847" s="2087"/>
      <c r="F847" s="2088"/>
    </row>
    <row r="848" spans="2:6" ht="12.75" customHeight="1">
      <c r="B848" s="2085"/>
      <c r="C848" s="2086"/>
      <c r="D848" s="2086"/>
      <c r="E848" s="2087"/>
      <c r="F848" s="2088"/>
    </row>
    <row r="849" spans="2:6" ht="12.75" customHeight="1">
      <c r="B849" s="2085"/>
      <c r="C849" s="2086"/>
      <c r="D849" s="2086"/>
      <c r="E849" s="2087"/>
      <c r="F849" s="2088"/>
    </row>
    <row r="850" spans="2:6" ht="12.75" customHeight="1">
      <c r="B850" s="2085"/>
      <c r="C850" s="2086"/>
      <c r="D850" s="2086"/>
      <c r="E850" s="2087"/>
      <c r="F850" s="2088"/>
    </row>
    <row r="851" spans="2:6" ht="12.75" customHeight="1">
      <c r="B851" s="2085"/>
      <c r="C851" s="2086"/>
      <c r="D851" s="2086"/>
      <c r="E851" s="2087"/>
      <c r="F851" s="2088"/>
    </row>
    <row r="852" spans="2:6" ht="12.75" customHeight="1">
      <c r="B852" s="2085"/>
      <c r="C852" s="2086"/>
      <c r="D852" s="2086"/>
      <c r="E852" s="2087"/>
      <c r="F852" s="2088"/>
    </row>
    <row r="853" spans="2:6" ht="12.75" customHeight="1">
      <c r="B853" s="2085"/>
      <c r="C853" s="2086"/>
      <c r="D853" s="2086"/>
      <c r="E853" s="2087"/>
      <c r="F853" s="2088"/>
    </row>
    <row r="854" spans="2:6" ht="12.75" customHeight="1">
      <c r="B854" s="2085"/>
      <c r="C854" s="2086"/>
      <c r="D854" s="2086"/>
      <c r="E854" s="2087"/>
      <c r="F854" s="2088"/>
    </row>
    <row r="855" spans="2:6" ht="12.75" customHeight="1">
      <c r="B855" s="2085"/>
      <c r="C855" s="2086"/>
      <c r="D855" s="2086"/>
      <c r="E855" s="2087"/>
      <c r="F855" s="2088"/>
    </row>
    <row r="856" spans="2:6" ht="12.75" customHeight="1">
      <c r="B856" s="2085"/>
      <c r="C856" s="2086"/>
      <c r="D856" s="2086"/>
      <c r="E856" s="2087"/>
      <c r="F856" s="2088"/>
    </row>
    <row r="857" spans="2:6" ht="12.75" customHeight="1">
      <c r="B857" s="2085"/>
      <c r="C857" s="2086"/>
      <c r="D857" s="2086"/>
      <c r="E857" s="2087"/>
      <c r="F857" s="2088"/>
    </row>
    <row r="858" spans="2:6" ht="12.75" customHeight="1">
      <c r="B858" s="2085"/>
      <c r="C858" s="2086"/>
      <c r="D858" s="2086"/>
      <c r="E858" s="2087"/>
      <c r="F858" s="2088"/>
    </row>
    <row r="859" spans="2:6" ht="12.75" customHeight="1">
      <c r="B859" s="2085"/>
      <c r="C859" s="2086"/>
      <c r="D859" s="2086"/>
      <c r="E859" s="2087"/>
      <c r="F859" s="2088"/>
    </row>
    <row r="860" spans="2:6" ht="12.75" customHeight="1">
      <c r="B860" s="2085"/>
      <c r="C860" s="2086"/>
      <c r="D860" s="2086"/>
      <c r="E860" s="2087"/>
      <c r="F860" s="2088"/>
    </row>
    <row r="861" spans="2:6" ht="12.75" customHeight="1">
      <c r="B861" s="2085"/>
      <c r="C861" s="2086"/>
      <c r="D861" s="2086"/>
      <c r="E861" s="2087"/>
      <c r="F861" s="2088"/>
    </row>
    <row r="862" spans="2:6" ht="12.75" customHeight="1">
      <c r="B862" s="2085"/>
      <c r="C862" s="2086"/>
      <c r="D862" s="2086"/>
      <c r="E862" s="2087"/>
      <c r="F862" s="2088"/>
    </row>
    <row r="863" spans="2:6" ht="12.75" customHeight="1">
      <c r="B863" s="2085"/>
      <c r="C863" s="2086"/>
      <c r="D863" s="2086"/>
      <c r="E863" s="2087"/>
      <c r="F863" s="2088"/>
    </row>
    <row r="864" spans="2:6" ht="12.75" customHeight="1">
      <c r="B864" s="2085"/>
      <c r="C864" s="2086"/>
      <c r="D864" s="2086"/>
      <c r="E864" s="2087"/>
      <c r="F864" s="2088"/>
    </row>
    <row r="865" spans="2:6" ht="12.75" customHeight="1">
      <c r="B865" s="2085"/>
      <c r="C865" s="2086"/>
      <c r="D865" s="2086"/>
      <c r="E865" s="2087"/>
      <c r="F865" s="2088"/>
    </row>
    <row r="866" spans="2:6" ht="12.75" customHeight="1">
      <c r="B866" s="2085"/>
      <c r="C866" s="2086"/>
      <c r="D866" s="2086"/>
      <c r="E866" s="2087"/>
      <c r="F866" s="2088"/>
    </row>
    <row r="867" spans="2:6" ht="12.75" customHeight="1">
      <c r="B867" s="2085"/>
      <c r="C867" s="2086"/>
      <c r="D867" s="2086"/>
      <c r="E867" s="2087"/>
      <c r="F867" s="2088"/>
    </row>
    <row r="868" spans="2:6" ht="12.75" customHeight="1">
      <c r="B868" s="2085"/>
      <c r="C868" s="2086"/>
      <c r="D868" s="2086"/>
      <c r="E868" s="2087"/>
      <c r="F868" s="2088"/>
    </row>
    <row r="869" spans="2:6" ht="12.75" customHeight="1">
      <c r="B869" s="2085"/>
      <c r="C869" s="2086"/>
      <c r="D869" s="2086"/>
      <c r="E869" s="2087"/>
      <c r="F869" s="2088"/>
    </row>
    <row r="870" spans="2:6" ht="12.75" customHeight="1">
      <c r="B870" s="2085"/>
      <c r="C870" s="2086"/>
      <c r="D870" s="2086"/>
      <c r="E870" s="2087"/>
      <c r="F870" s="2088"/>
    </row>
    <row r="871" spans="2:6" ht="12.75" customHeight="1">
      <c r="B871" s="2085"/>
      <c r="C871" s="2086"/>
      <c r="D871" s="2086"/>
      <c r="E871" s="2087"/>
      <c r="F871" s="2088"/>
    </row>
    <row r="872" spans="2:6" ht="12.75" customHeight="1">
      <c r="B872" s="2085"/>
      <c r="C872" s="2086"/>
      <c r="D872" s="2086"/>
      <c r="E872" s="2087"/>
      <c r="F872" s="2088"/>
    </row>
    <row r="873" spans="2:6" ht="12.75" customHeight="1">
      <c r="B873" s="2085"/>
      <c r="C873" s="2086"/>
      <c r="D873" s="2086"/>
      <c r="E873" s="2087"/>
      <c r="F873" s="2088"/>
    </row>
    <row r="874" spans="2:6" ht="12.75" customHeight="1">
      <c r="B874" s="2085"/>
      <c r="C874" s="2086"/>
      <c r="D874" s="2086"/>
      <c r="E874" s="2087"/>
      <c r="F874" s="2088"/>
    </row>
    <row r="875" spans="2:6" ht="12.75" customHeight="1">
      <c r="B875" s="2085"/>
      <c r="C875" s="2086"/>
      <c r="D875" s="2086"/>
      <c r="E875" s="2087"/>
      <c r="F875" s="2088"/>
    </row>
    <row r="876" spans="2:6" ht="12.75" customHeight="1">
      <c r="B876" s="2085"/>
      <c r="C876" s="2086"/>
      <c r="D876" s="2086"/>
      <c r="E876" s="2087"/>
      <c r="F876" s="2088"/>
    </row>
    <row r="877" spans="2:6" ht="12.75" customHeight="1">
      <c r="B877" s="2085"/>
      <c r="C877" s="2086"/>
      <c r="D877" s="2086"/>
      <c r="E877" s="2087"/>
      <c r="F877" s="2088"/>
    </row>
    <row r="878" spans="2:6" ht="12.75" customHeight="1">
      <c r="B878" s="2085"/>
      <c r="C878" s="2086"/>
      <c r="D878" s="2086"/>
      <c r="E878" s="2087"/>
      <c r="F878" s="2088"/>
    </row>
    <row r="879" spans="2:6" ht="12.75" customHeight="1">
      <c r="B879" s="2085"/>
      <c r="C879" s="2086"/>
      <c r="D879" s="2086"/>
      <c r="E879" s="2087"/>
      <c r="F879" s="2088"/>
    </row>
    <row r="880" spans="2:6" ht="12.75" customHeight="1">
      <c r="B880" s="2085"/>
      <c r="C880" s="2086"/>
      <c r="D880" s="2086"/>
      <c r="E880" s="2087"/>
      <c r="F880" s="2088"/>
    </row>
    <row r="881" spans="2:6" ht="12.75" customHeight="1">
      <c r="B881" s="2085"/>
      <c r="C881" s="2086"/>
      <c r="D881" s="2086"/>
      <c r="E881" s="2087"/>
      <c r="F881" s="2088"/>
    </row>
    <row r="882" spans="2:6" ht="12.75" customHeight="1">
      <c r="B882" s="2085"/>
      <c r="C882" s="2086"/>
      <c r="D882" s="2086"/>
      <c r="E882" s="2087"/>
      <c r="F882" s="2088"/>
    </row>
    <row r="883" spans="2:6" ht="12.75" customHeight="1">
      <c r="B883" s="2085"/>
      <c r="C883" s="2086"/>
      <c r="D883" s="2086"/>
      <c r="E883" s="2087"/>
      <c r="F883" s="2088"/>
    </row>
    <row r="884" spans="2:6" ht="12.75" customHeight="1">
      <c r="B884" s="2085"/>
      <c r="C884" s="2086"/>
      <c r="D884" s="2086"/>
      <c r="E884" s="2087"/>
      <c r="F884" s="2088"/>
    </row>
    <row r="885" spans="2:6" ht="12.75" customHeight="1">
      <c r="B885" s="2085"/>
      <c r="C885" s="2086"/>
      <c r="D885" s="2086"/>
      <c r="E885" s="2087"/>
      <c r="F885" s="2088"/>
    </row>
    <row r="886" spans="2:6" ht="12.75" customHeight="1">
      <c r="B886" s="2085"/>
      <c r="C886" s="2086"/>
      <c r="D886" s="2086"/>
      <c r="E886" s="2087"/>
      <c r="F886" s="2088"/>
    </row>
    <row r="887" spans="2:6" ht="12.75" customHeight="1">
      <c r="B887" s="2085"/>
      <c r="C887" s="2086"/>
      <c r="D887" s="2086"/>
      <c r="E887" s="2087"/>
      <c r="F887" s="2088"/>
    </row>
    <row r="888" spans="2:6" ht="12.75" customHeight="1">
      <c r="B888" s="2085"/>
      <c r="C888" s="2086"/>
      <c r="D888" s="2086"/>
      <c r="E888" s="2087"/>
      <c r="F888" s="2088"/>
    </row>
    <row r="889" spans="2:6" ht="12.75" customHeight="1">
      <c r="B889" s="2085"/>
      <c r="C889" s="2086"/>
      <c r="D889" s="2086"/>
      <c r="E889" s="2087"/>
      <c r="F889" s="2088"/>
    </row>
    <row r="890" spans="2:6" ht="12.75" customHeight="1">
      <c r="B890" s="2085"/>
      <c r="C890" s="2086"/>
      <c r="D890" s="2086"/>
      <c r="E890" s="2087"/>
      <c r="F890" s="2088"/>
    </row>
    <row r="891" spans="2:6" ht="12.75" customHeight="1">
      <c r="B891" s="2085"/>
      <c r="C891" s="2086"/>
      <c r="D891" s="2086"/>
      <c r="E891" s="2087"/>
      <c r="F891" s="2088"/>
    </row>
    <row r="892" spans="2:6" ht="12.75" customHeight="1">
      <c r="B892" s="2085"/>
      <c r="C892" s="2086"/>
      <c r="D892" s="2086"/>
      <c r="E892" s="2087"/>
      <c r="F892" s="2088"/>
    </row>
    <row r="893" spans="2:6" ht="12.75" customHeight="1">
      <c r="B893" s="2085"/>
      <c r="C893" s="2086"/>
      <c r="D893" s="2086"/>
      <c r="E893" s="2087"/>
      <c r="F893" s="2088"/>
    </row>
    <row r="894" spans="2:6" ht="12.75" customHeight="1">
      <c r="B894" s="2085"/>
      <c r="C894" s="2086"/>
      <c r="D894" s="2086"/>
      <c r="E894" s="2087"/>
      <c r="F894" s="2088"/>
    </row>
    <row r="895" spans="2:6" ht="12.75" customHeight="1">
      <c r="B895" s="2085"/>
      <c r="C895" s="2086"/>
      <c r="D895" s="2086"/>
      <c r="E895" s="2087"/>
      <c r="F895" s="2088"/>
    </row>
  </sheetData>
  <mergeCells count="7">
    <mergeCell ref="B21:C21"/>
    <mergeCell ref="B1:F1"/>
    <mergeCell ref="B6:F6"/>
    <mergeCell ref="B7:F7"/>
    <mergeCell ref="B8:B9"/>
    <mergeCell ref="C8:C9"/>
    <mergeCell ref="D8:E8"/>
  </mergeCells>
  <printOptions horizontalCentered="1"/>
  <pageMargins left="0.51181102362204722" right="0.51181102362204722" top="0.78740157480314965" bottom="0.78740157480314965" header="0" footer="0"/>
  <pageSetup paperSize="9" scale="45" orientation="portrait" r:id="rId1"/>
  <headerFooter>
    <oddFooter>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69BF8-CFC0-40F6-8875-346849603017}">
  <sheetPr>
    <pageSetUpPr fitToPage="1"/>
  </sheetPr>
  <dimension ref="A1:V96"/>
  <sheetViews>
    <sheetView tabSelected="1" topLeftCell="G64" workbookViewId="0">
      <selection activeCell="L39" sqref="L39"/>
    </sheetView>
  </sheetViews>
  <sheetFormatPr defaultColWidth="12.5703125" defaultRowHeight="15" customHeight="1"/>
  <cols>
    <col min="1" max="1" width="12" style="2154" customWidth="1"/>
    <col min="2" max="2" width="47" style="2154" customWidth="1"/>
    <col min="3" max="3" width="18.85546875" style="2154" customWidth="1"/>
    <col min="4" max="4" width="11" style="2154" customWidth="1"/>
    <col min="5" max="5" width="16.28515625" style="2154" customWidth="1"/>
    <col min="6" max="6" width="17.42578125" style="2154" customWidth="1"/>
    <col min="7" max="7" width="17" style="2154" customWidth="1"/>
    <col min="8" max="8" width="16.42578125" style="2154" customWidth="1"/>
    <col min="9" max="9" width="16.7109375" style="2154" customWidth="1"/>
    <col min="10" max="10" width="15.42578125" style="2154" bestFit="1" customWidth="1"/>
    <col min="11" max="11" width="15.85546875" style="2154" bestFit="1" customWidth="1"/>
    <col min="12" max="14" width="16.42578125" style="2154" bestFit="1" customWidth="1"/>
    <col min="15" max="15" width="17.7109375" style="2154" customWidth="1"/>
    <col min="16" max="16" width="3" style="2154" customWidth="1"/>
    <col min="17" max="17" width="23" style="2154" customWidth="1"/>
    <col min="18" max="18" width="18.42578125" style="2154" customWidth="1"/>
    <col min="19" max="19" width="16.42578125" style="2154" customWidth="1"/>
    <col min="20" max="22" width="15.28515625" style="2154" bestFit="1" customWidth="1"/>
    <col min="23" max="16384" width="12.5703125" style="2154"/>
  </cols>
  <sheetData>
    <row r="1" spans="1:22">
      <c r="A1" s="2153" t="str">
        <f>'[5]02-ORÇ'!A1</f>
        <v>OBRA:</v>
      </c>
      <c r="B1" s="3216" t="str">
        <f>'[5]02-ORÇ'!B1</f>
        <v>COMPLEXO SUNSET DO PARQUE NOVO MATO GROSSO</v>
      </c>
      <c r="C1" s="3217"/>
      <c r="D1" s="3217"/>
      <c r="E1" s="3217"/>
      <c r="F1" s="3217"/>
      <c r="G1" s="3217"/>
      <c r="H1" s="3217"/>
      <c r="I1" s="3217"/>
      <c r="J1" s="3217"/>
      <c r="K1" s="3217"/>
      <c r="L1" s="3217"/>
      <c r="M1" s="3217"/>
      <c r="N1" s="3217"/>
      <c r="O1" s="3218"/>
    </row>
    <row r="2" spans="1:22">
      <c r="A2" s="2155" t="str">
        <f>'[5]02-ORÇ'!A2</f>
        <v xml:space="preserve">ENDEREÇO: </v>
      </c>
      <c r="B2" s="3219" t="str">
        <f>'[5]02-ORÇ'!B2</f>
        <v>MT 251, KM 11, S/N, ÁREA RURAL - PARQUE NOVO MATO GROSSO, CEP 78099-899</v>
      </c>
      <c r="C2" s="3220"/>
      <c r="D2" s="3220"/>
      <c r="E2" s="3220"/>
      <c r="F2" s="3220"/>
      <c r="G2" s="3220"/>
      <c r="H2" s="3220"/>
      <c r="I2" s="3220"/>
      <c r="J2" s="3220"/>
      <c r="K2" s="3220"/>
      <c r="L2" s="3220"/>
      <c r="M2" s="3220"/>
      <c r="N2" s="3220"/>
      <c r="O2" s="3221"/>
    </row>
    <row r="3" spans="1:22">
      <c r="A3" s="2155" t="str">
        <f>'[5]02-ORÇ'!A3</f>
        <v>MUNICÍPIO:</v>
      </c>
      <c r="B3" s="3219" t="str">
        <f>'[5]02-ORÇ'!B3</f>
        <v>CUIABÁ - MT</v>
      </c>
      <c r="C3" s="3220"/>
      <c r="D3" s="3220"/>
      <c r="E3" s="3220"/>
      <c r="F3" s="3220"/>
      <c r="G3" s="3220"/>
      <c r="H3" s="3220"/>
      <c r="I3" s="3220"/>
      <c r="J3" s="3220"/>
      <c r="K3" s="3220"/>
      <c r="L3" s="3220"/>
      <c r="M3" s="3220"/>
      <c r="N3" s="3220"/>
      <c r="O3" s="3221"/>
    </row>
    <row r="4" spans="1:22">
      <c r="A4" s="2155" t="str">
        <f>'[5]02-ORÇ'!A4</f>
        <v>OBJETO:</v>
      </c>
      <c r="B4" s="3219" t="str">
        <f>'[5]02-ORÇ'!B4</f>
        <v>CONTRATAÇÃO DE EMPRESA ESPECIALIZADA PARA EXECUÇÃO DAS OBRAS DO "COMPLEXO SUNSET (WAKE BAR, PRAÇA SUNSET, QUIOSQUE, BANHEIROS DE APOIO E INFRA DE CONTÊINER) DO PARQUE NOVO MATO GROSSO"</v>
      </c>
      <c r="C4" s="3220"/>
      <c r="D4" s="3220"/>
      <c r="E4" s="3220"/>
      <c r="F4" s="3220"/>
      <c r="G4" s="3220"/>
      <c r="H4" s="3220"/>
      <c r="I4" s="3220"/>
      <c r="J4" s="3220"/>
      <c r="K4" s="3220"/>
      <c r="L4" s="3220"/>
      <c r="M4" s="3220"/>
      <c r="N4" s="3220"/>
      <c r="O4" s="3221"/>
    </row>
    <row r="5" spans="1:22" ht="37.5" customHeight="1">
      <c r="A5" s="3222" t="s">
        <v>15460</v>
      </c>
      <c r="B5" s="3223"/>
      <c r="C5" s="3223"/>
      <c r="D5" s="3223"/>
      <c r="E5" s="3223"/>
      <c r="F5" s="3223"/>
      <c r="G5" s="3223"/>
      <c r="H5" s="3223"/>
      <c r="I5" s="3223"/>
      <c r="J5" s="3223"/>
      <c r="K5" s="3223"/>
      <c r="L5" s="3223"/>
      <c r="M5" s="3223"/>
      <c r="N5" s="3223"/>
      <c r="O5" s="3224"/>
    </row>
    <row r="6" spans="1:22" ht="37.5" customHeight="1" thickBot="1">
      <c r="A6" s="3249" t="s">
        <v>12613</v>
      </c>
      <c r="B6" s="3249" t="s">
        <v>12614</v>
      </c>
      <c r="C6" s="3249" t="s">
        <v>12615</v>
      </c>
      <c r="D6" s="3249"/>
      <c r="E6" s="2196"/>
      <c r="F6" s="2196"/>
      <c r="G6" s="2196"/>
      <c r="H6" s="2196"/>
      <c r="I6" s="2196"/>
      <c r="J6" s="2196"/>
      <c r="K6" s="2196"/>
      <c r="L6" s="2196"/>
      <c r="M6" s="2196"/>
      <c r="N6" s="2196"/>
      <c r="O6" s="2197"/>
    </row>
    <row r="7" spans="1:22" ht="18" thickBot="1">
      <c r="A7" s="3249"/>
      <c r="B7" s="3249"/>
      <c r="C7" s="2200" t="s">
        <v>12616</v>
      </c>
      <c r="D7" s="2199" t="s">
        <v>12617</v>
      </c>
      <c r="E7" s="2198" t="s">
        <v>15461</v>
      </c>
      <c r="F7" s="2156" t="s">
        <v>15462</v>
      </c>
      <c r="G7" s="2156" t="s">
        <v>15463</v>
      </c>
      <c r="H7" s="2156" t="s">
        <v>15464</v>
      </c>
      <c r="I7" s="2156" t="s">
        <v>15465</v>
      </c>
      <c r="J7" s="2156" t="s">
        <v>15466</v>
      </c>
      <c r="K7" s="2156" t="s">
        <v>15467</v>
      </c>
      <c r="L7" s="2156" t="s">
        <v>15468</v>
      </c>
      <c r="M7" s="2156" t="s">
        <v>15469</v>
      </c>
      <c r="N7" s="2156" t="s">
        <v>15470</v>
      </c>
      <c r="O7" s="2157" t="s">
        <v>12615</v>
      </c>
    </row>
    <row r="8" spans="1:22">
      <c r="A8" s="2158" t="s">
        <v>12619</v>
      </c>
      <c r="B8" s="2159" t="str">
        <f>VLOOKUP($A8,'[5]01-RES.'!$A:$D,2,0)</f>
        <v>ADMINISTRAÇÃO DA OBRA E CANTEIRO DE OBRAS</v>
      </c>
      <c r="C8" s="2160">
        <f>SUM(C9:C12)</f>
        <v>2193000.16</v>
      </c>
      <c r="D8" s="2161">
        <f>C8/$C$82</f>
        <v>0.16350064563925004</v>
      </c>
      <c r="E8" s="3225"/>
      <c r="F8" s="3226"/>
      <c r="G8" s="3226"/>
      <c r="H8" s="3226"/>
      <c r="I8" s="3226"/>
      <c r="J8" s="3226"/>
      <c r="K8" s="3226"/>
      <c r="L8" s="3226"/>
      <c r="M8" s="3226"/>
      <c r="N8" s="3226"/>
      <c r="O8" s="3227"/>
      <c r="R8" s="2565"/>
      <c r="S8" s="2565"/>
      <c r="T8" s="2565"/>
      <c r="U8" s="2565"/>
      <c r="V8" s="2565"/>
    </row>
    <row r="9" spans="1:22">
      <c r="A9" s="3208" t="s">
        <v>12621</v>
      </c>
      <c r="B9" s="3210" t="str">
        <f>VLOOKUP($A9,'[5]01-RES.'!$A:$D,2,0)</f>
        <v>ADMINISTRAÇÃO DA OBRA</v>
      </c>
      <c r="C9" s="3212">
        <v>1004292.2200000001</v>
      </c>
      <c r="D9" s="3213">
        <f>C9/$C$82</f>
        <v>7.4875701960950031E-2</v>
      </c>
      <c r="E9" s="2162">
        <v>0</v>
      </c>
      <c r="F9" s="2162">
        <f>[6]Cronograma!$E$9</f>
        <v>12917.050000000001</v>
      </c>
      <c r="G9" s="2162">
        <f>[7]Cronograma!$G$9</f>
        <v>20153.8</v>
      </c>
      <c r="H9" s="2162">
        <v>20085.79</v>
      </c>
      <c r="I9" s="2162">
        <v>0</v>
      </c>
      <c r="J9" s="2579">
        <f>'Medição '!N15</f>
        <v>-10173.09</v>
      </c>
      <c r="K9" s="2170">
        <f>$C9*K10</f>
        <v>0</v>
      </c>
      <c r="L9" s="2170">
        <f>$C9*L10</f>
        <v>0</v>
      </c>
      <c r="M9" s="2170">
        <f>$C9*M10</f>
        <v>0</v>
      </c>
      <c r="N9" s="2170">
        <f>$C9*N10</f>
        <v>0</v>
      </c>
      <c r="O9" s="2163">
        <f>SUM(E9:N9)</f>
        <v>42983.55</v>
      </c>
      <c r="Q9" s="2203">
        <f>C9-E9-F9-G9-H9-I9-J9-K9-L9-M9-N9</f>
        <v>961308.66999999993</v>
      </c>
      <c r="R9" s="2566"/>
      <c r="S9" s="2566"/>
      <c r="T9" s="2566"/>
      <c r="U9" s="2566"/>
      <c r="V9" s="2566"/>
    </row>
    <row r="10" spans="1:22" ht="15.75" thickBot="1">
      <c r="A10" s="3209"/>
      <c r="B10" s="3211"/>
      <c r="C10" s="3211"/>
      <c r="D10" s="3214"/>
      <c r="E10" s="2164">
        <f>E9/$C$9</f>
        <v>0</v>
      </c>
      <c r="F10" s="2164">
        <f>F9/$C$9</f>
        <v>1.2861844135365303E-2</v>
      </c>
      <c r="G10" s="2164">
        <f>G9/$C$9</f>
        <v>2.0067665166220244E-2</v>
      </c>
      <c r="H10" s="2164">
        <v>1.9999945832498832E-2</v>
      </c>
      <c r="I10" s="2164">
        <f>I9/$C$9</f>
        <v>0</v>
      </c>
      <c r="J10" s="2164">
        <f>J9/$C$9</f>
        <v>-1.0129611479017531E-2</v>
      </c>
      <c r="K10" s="2172"/>
      <c r="L10" s="2172"/>
      <c r="M10" s="2172"/>
      <c r="N10" s="2172"/>
      <c r="O10" s="2165">
        <f>SUM(E10:N10)</f>
        <v>4.2799843655066845E-2</v>
      </c>
      <c r="Q10" s="2203"/>
      <c r="R10" s="2566"/>
      <c r="S10" s="2566"/>
      <c r="T10" s="2566"/>
      <c r="U10" s="2566"/>
      <c r="V10" s="2566"/>
    </row>
    <row r="11" spans="1:22">
      <c r="A11" s="3215" t="s">
        <v>12622</v>
      </c>
      <c r="B11" s="3210" t="str">
        <f>VLOOKUP($A11,'[5]01-RES.'!$A:$D,2,0)</f>
        <v>INSTALAÇÕES DE CANTEIRO, SERVIÇOS PRELIMINARES E TÉCNICOS</v>
      </c>
      <c r="C11" s="3212">
        <v>1188707.94</v>
      </c>
      <c r="D11" s="3213">
        <f>C11/$C$82</f>
        <v>8.8624943678299997E-2</v>
      </c>
      <c r="E11" s="2162">
        <v>0</v>
      </c>
      <c r="F11" s="2162">
        <f>[6]Cronograma!$E$11</f>
        <v>72496.320000000007</v>
      </c>
      <c r="G11" s="2162">
        <f>[7]Cronograma!$G$11</f>
        <v>59550.630000000005</v>
      </c>
      <c r="H11" s="2162">
        <v>52416.55</v>
      </c>
      <c r="I11" s="2162">
        <v>104006.95</v>
      </c>
      <c r="J11" s="2579">
        <f>'Medição '!N28</f>
        <v>38861.409999999996</v>
      </c>
      <c r="K11" s="2170">
        <f>$C11*K12</f>
        <v>0</v>
      </c>
      <c r="L11" s="2170">
        <f>$C11*L12</f>
        <v>0</v>
      </c>
      <c r="M11" s="2170">
        <f>$C11*M12</f>
        <v>0</v>
      </c>
      <c r="N11" s="2170">
        <f>$C11*N12</f>
        <v>0</v>
      </c>
      <c r="O11" s="2163">
        <f>SUM(E11:N11)</f>
        <v>327331.86</v>
      </c>
      <c r="Q11" s="2203">
        <f>C11-E11-F11-G11-H11-I11-J11-K11-L11-M11-N11</f>
        <v>861376.07999999973</v>
      </c>
      <c r="R11" s="2566"/>
      <c r="S11" s="2566"/>
      <c r="T11" s="2566"/>
      <c r="U11" s="2566"/>
      <c r="V11" s="2566"/>
    </row>
    <row r="12" spans="1:22" ht="15.75" thickBot="1">
      <c r="A12" s="3209"/>
      <c r="B12" s="3211"/>
      <c r="C12" s="3211"/>
      <c r="D12" s="3214"/>
      <c r="E12" s="2164">
        <f>E11/$C$11</f>
        <v>0</v>
      </c>
      <c r="F12" s="2164">
        <f>F11/$C$11</f>
        <v>6.0987495380909133E-2</v>
      </c>
      <c r="G12" s="2164">
        <f>G11/$C$11</f>
        <v>5.0096939707494514E-2</v>
      </c>
      <c r="H12" s="2164">
        <v>4.4095398235499295E-2</v>
      </c>
      <c r="I12" s="2164">
        <f>I11/$C$11</f>
        <v>8.7495798168892525E-2</v>
      </c>
      <c r="J12" s="2164">
        <f>J11/$C$11</f>
        <v>3.2692143033889384E-2</v>
      </c>
      <c r="K12" s="2172"/>
      <c r="L12" s="2172"/>
      <c r="M12" s="2172"/>
      <c r="N12" s="2172"/>
      <c r="O12" s="2165">
        <f>SUM(E12:N12)</f>
        <v>0.27536777452668487</v>
      </c>
      <c r="Q12" s="2203"/>
      <c r="R12" s="2566"/>
      <c r="S12" s="2566"/>
      <c r="T12" s="2566"/>
      <c r="U12" s="2566"/>
      <c r="V12" s="2566"/>
    </row>
    <row r="13" spans="1:22">
      <c r="A13" s="2166" t="s">
        <v>12623</v>
      </c>
      <c r="B13" s="2167" t="str">
        <f>VLOOKUP($A13,'[5]01-RES.'!$A:$D,2,0)</f>
        <v>WAKE BAR</v>
      </c>
      <c r="C13" s="2168">
        <f>SUM(C14:C23)</f>
        <v>1746146.9999999998</v>
      </c>
      <c r="D13" s="2169">
        <f>C13/$C$82</f>
        <v>0.13018519883785118</v>
      </c>
      <c r="E13" s="3228"/>
      <c r="F13" s="3229"/>
      <c r="G13" s="3229"/>
      <c r="H13" s="3229"/>
      <c r="I13" s="3229"/>
      <c r="J13" s="3229"/>
      <c r="K13" s="3229"/>
      <c r="L13" s="3229"/>
      <c r="M13" s="3229"/>
      <c r="N13" s="3229"/>
      <c r="O13" s="3230"/>
      <c r="Q13" s="2203"/>
      <c r="R13" s="2566"/>
      <c r="S13" s="2566"/>
      <c r="T13" s="2566"/>
      <c r="U13" s="2566"/>
      <c r="V13" s="2566"/>
    </row>
    <row r="14" spans="1:22">
      <c r="A14" s="3215" t="s">
        <v>12624</v>
      </c>
      <c r="B14" s="3231" t="str">
        <f>VLOOKUP($A14,'[5]01-RES.'!$A:$D,2,0)</f>
        <v>SERVIÇOS DE ESTRUTURA</v>
      </c>
      <c r="C14" s="3232">
        <v>420064.29000000004</v>
      </c>
      <c r="D14" s="3233">
        <f>C14/$C$82</f>
        <v>3.1318184046549805E-2</v>
      </c>
      <c r="E14" s="2162">
        <v>0</v>
      </c>
      <c r="F14" s="2162">
        <v>0</v>
      </c>
      <c r="G14" s="2162">
        <f>[7]Cronograma!$G$14</f>
        <v>5235.6499999999996</v>
      </c>
      <c r="H14" s="2162">
        <v>17585.95</v>
      </c>
      <c r="I14" s="2162">
        <v>28040.46</v>
      </c>
      <c r="J14" s="2579">
        <f>'Medição '!N65</f>
        <v>12143.16</v>
      </c>
      <c r="K14" s="2170">
        <f>$C14*K15</f>
        <v>0</v>
      </c>
      <c r="L14" s="2170">
        <f>$C14*L15</f>
        <v>0</v>
      </c>
      <c r="M14" s="2170">
        <f>$C14*M15</f>
        <v>0</v>
      </c>
      <c r="N14" s="2170">
        <f>$C14*N15</f>
        <v>0</v>
      </c>
      <c r="O14" s="2171">
        <f t="shared" ref="O14:O23" si="0">SUM(E14:N14)</f>
        <v>63005.22</v>
      </c>
      <c r="Q14" s="2203">
        <f>C14-E14-F14-G14-H14-I14-J14-K14-L14-M14-N14</f>
        <v>357059.07</v>
      </c>
      <c r="R14" s="2566"/>
      <c r="S14" s="2566"/>
      <c r="T14" s="2566"/>
      <c r="U14" s="2566"/>
      <c r="V14" s="2566"/>
    </row>
    <row r="15" spans="1:22" ht="15.75" thickBot="1">
      <c r="A15" s="3209"/>
      <c r="B15" s="3211"/>
      <c r="C15" s="3211"/>
      <c r="D15" s="3214"/>
      <c r="E15" s="2164">
        <f>E14/$C$9</f>
        <v>0</v>
      </c>
      <c r="F15" s="2164">
        <f>F14/$C$9</f>
        <v>0</v>
      </c>
      <c r="G15" s="2164">
        <f>G14/$C$14</f>
        <v>1.2463925462457186E-2</v>
      </c>
      <c r="H15" s="2164">
        <v>4.1864901203575292E-2</v>
      </c>
      <c r="I15" s="2164">
        <f>I14/$C$14</f>
        <v>6.6752782056289525E-2</v>
      </c>
      <c r="J15" s="2164">
        <f>J14/$C$14</f>
        <v>2.8907860746744264E-2</v>
      </c>
      <c r="K15" s="2172"/>
      <c r="L15" s="2172"/>
      <c r="M15" s="2172"/>
      <c r="N15" s="2172"/>
      <c r="O15" s="2173">
        <f t="shared" si="0"/>
        <v>0.14998946946906627</v>
      </c>
      <c r="Q15" s="2203"/>
      <c r="R15" s="2566"/>
      <c r="S15" s="2566"/>
      <c r="T15" s="2566"/>
      <c r="U15" s="2566"/>
      <c r="V15" s="2566"/>
    </row>
    <row r="16" spans="1:22">
      <c r="A16" s="3215" t="s">
        <v>12625</v>
      </c>
      <c r="B16" s="3231" t="str">
        <f>VLOOKUP($A16,'[5]01-RES.'!$A:$D,2,0)</f>
        <v>ARQUITETURA</v>
      </c>
      <c r="C16" s="3232">
        <v>1143970.6499999999</v>
      </c>
      <c r="D16" s="3233">
        <f>C16/$C$82</f>
        <v>8.528952404059674E-2</v>
      </c>
      <c r="E16" s="2162">
        <v>0</v>
      </c>
      <c r="F16" s="2162">
        <v>0</v>
      </c>
      <c r="G16" s="2162">
        <v>0</v>
      </c>
      <c r="H16" s="2162">
        <v>0</v>
      </c>
      <c r="I16" s="2162">
        <v>0</v>
      </c>
      <c r="J16" s="2162">
        <v>0</v>
      </c>
      <c r="K16" s="2170">
        <f>'Medição '!Q160</f>
        <v>0</v>
      </c>
      <c r="L16" s="2170">
        <f>'Medição '!R160</f>
        <v>0</v>
      </c>
      <c r="M16" s="2170">
        <f>'Medição '!S160</f>
        <v>0</v>
      </c>
      <c r="N16" s="2170">
        <f>$C16*N17</f>
        <v>0</v>
      </c>
      <c r="O16" s="2171">
        <f t="shared" si="0"/>
        <v>0</v>
      </c>
      <c r="Q16" s="2203">
        <f>C16-E16-F16-G16-H16-I16-J16-K16-L16-M16-N16</f>
        <v>1143970.6499999999</v>
      </c>
      <c r="R16" s="2566"/>
      <c r="S16" s="2566"/>
      <c r="T16" s="2566"/>
      <c r="U16" s="2566"/>
      <c r="V16" s="2566"/>
    </row>
    <row r="17" spans="1:22" ht="15.75" thickBot="1">
      <c r="A17" s="3209"/>
      <c r="B17" s="3211"/>
      <c r="C17" s="3211"/>
      <c r="D17" s="3214"/>
      <c r="E17" s="2164">
        <f t="shared" ref="E17:J17" si="1">E16/$C$9</f>
        <v>0</v>
      </c>
      <c r="F17" s="2164">
        <f t="shared" si="1"/>
        <v>0</v>
      </c>
      <c r="G17" s="2164">
        <f t="shared" si="1"/>
        <v>0</v>
      </c>
      <c r="H17" s="2164">
        <f t="shared" si="1"/>
        <v>0</v>
      </c>
      <c r="I17" s="2164">
        <f t="shared" si="1"/>
        <v>0</v>
      </c>
      <c r="J17" s="2164">
        <f t="shared" si="1"/>
        <v>0</v>
      </c>
      <c r="K17" s="2172"/>
      <c r="L17" s="2172"/>
      <c r="M17" s="2172"/>
      <c r="N17" s="2172"/>
      <c r="O17" s="2173">
        <f t="shared" si="0"/>
        <v>0</v>
      </c>
      <c r="Q17" s="2203"/>
      <c r="R17" s="2566"/>
      <c r="S17" s="2566"/>
      <c r="T17" s="2566"/>
      <c r="U17" s="2566"/>
      <c r="V17" s="2566"/>
    </row>
    <row r="18" spans="1:22">
      <c r="A18" s="3215" t="s">
        <v>12626</v>
      </c>
      <c r="B18" s="3231" t="str">
        <f>VLOOKUP($A18,'[5]01-RES.'!$A:$D,2,0)</f>
        <v>INSTALAÇÕES HIDROSSANITÁRIAIS</v>
      </c>
      <c r="C18" s="3232">
        <v>95934.40999999996</v>
      </c>
      <c r="D18" s="3233">
        <f>C18/$C$82</f>
        <v>7.1524563746591411E-3</v>
      </c>
      <c r="E18" s="2162">
        <v>0</v>
      </c>
      <c r="F18" s="2162">
        <v>0</v>
      </c>
      <c r="G18" s="2162">
        <v>0</v>
      </c>
      <c r="H18" s="2162">
        <v>0</v>
      </c>
      <c r="I18" s="2162">
        <v>0</v>
      </c>
      <c r="J18" s="2579">
        <f>'Medição '!N277</f>
        <v>2928.19</v>
      </c>
      <c r="K18" s="2170">
        <f>$C18*K19</f>
        <v>0</v>
      </c>
      <c r="L18" s="2170">
        <f>$C18*L19</f>
        <v>0</v>
      </c>
      <c r="M18" s="2170">
        <f>$C18*M19</f>
        <v>0</v>
      </c>
      <c r="N18" s="2170">
        <f>$C18*N19</f>
        <v>0</v>
      </c>
      <c r="O18" s="2171">
        <f t="shared" si="0"/>
        <v>2928.19</v>
      </c>
      <c r="Q18" s="2203">
        <f>C18-E18-F18-G18-H18-I18-J18-K18-L18-M18-N18</f>
        <v>93006.219999999958</v>
      </c>
      <c r="R18" s="2566"/>
      <c r="S18" s="2566"/>
      <c r="T18" s="2566"/>
      <c r="U18" s="2566"/>
      <c r="V18" s="2566"/>
    </row>
    <row r="19" spans="1:22" ht="15.75" thickBot="1">
      <c r="A19" s="3209"/>
      <c r="B19" s="3211"/>
      <c r="C19" s="3211"/>
      <c r="D19" s="3214"/>
      <c r="E19" s="2164">
        <f t="shared" ref="E19:J19" si="2">E18/$C$9</f>
        <v>0</v>
      </c>
      <c r="F19" s="2164">
        <f t="shared" si="2"/>
        <v>0</v>
      </c>
      <c r="G19" s="2164">
        <f t="shared" si="2"/>
        <v>0</v>
      </c>
      <c r="H19" s="2164">
        <f t="shared" si="2"/>
        <v>0</v>
      </c>
      <c r="I19" s="2164">
        <f t="shared" si="2"/>
        <v>0</v>
      </c>
      <c r="J19" s="2164">
        <f t="shared" si="2"/>
        <v>2.9156752802486112E-3</v>
      </c>
      <c r="K19" s="2172"/>
      <c r="L19" s="2172"/>
      <c r="M19" s="2172"/>
      <c r="N19" s="2172"/>
      <c r="O19" s="2173">
        <f t="shared" si="0"/>
        <v>2.9156752802486112E-3</v>
      </c>
      <c r="Q19" s="2203"/>
      <c r="R19" s="2566"/>
      <c r="S19" s="2566"/>
      <c r="T19" s="2566"/>
      <c r="U19" s="2566"/>
      <c r="V19" s="2566"/>
    </row>
    <row r="20" spans="1:22">
      <c r="A20" s="3215" t="s">
        <v>12627</v>
      </c>
      <c r="B20" s="3231" t="str">
        <f>VLOOKUP($A20,'[5]01-RES.'!$A:$D,2,0)</f>
        <v>INSTALAÇÕES ELÉTRICAS E INSTALAÇÕES DE LÓGICA</v>
      </c>
      <c r="C20" s="3232">
        <v>85506.359999999957</v>
      </c>
      <c r="D20" s="3233">
        <f>C20/$C$82</f>
        <v>6.3749858852094818E-3</v>
      </c>
      <c r="E20" s="2162">
        <v>0</v>
      </c>
      <c r="F20" s="2162">
        <v>0</v>
      </c>
      <c r="G20" s="2162">
        <v>0</v>
      </c>
      <c r="H20" s="2162">
        <v>0</v>
      </c>
      <c r="I20" s="2162">
        <v>0</v>
      </c>
      <c r="J20" s="2162">
        <v>0</v>
      </c>
      <c r="K20" s="2170">
        <f>$C20*K21</f>
        <v>0</v>
      </c>
      <c r="L20" s="2170">
        <f>$C20*L21</f>
        <v>0</v>
      </c>
      <c r="M20" s="2170">
        <f>$C20*M21</f>
        <v>0</v>
      </c>
      <c r="N20" s="2170">
        <f>$C20*N21</f>
        <v>0</v>
      </c>
      <c r="O20" s="2171">
        <f t="shared" si="0"/>
        <v>0</v>
      </c>
      <c r="Q20" s="2203">
        <f>C20-E20-F20-G20-H20-I20-J20-K20-L20-M20-N20</f>
        <v>85506.359999999957</v>
      </c>
      <c r="R20" s="2566"/>
      <c r="S20" s="2566"/>
      <c r="T20" s="2566"/>
      <c r="U20" s="2566"/>
      <c r="V20" s="2566"/>
    </row>
    <row r="21" spans="1:22" ht="15.75" thickBot="1">
      <c r="A21" s="3209"/>
      <c r="B21" s="3211"/>
      <c r="C21" s="3211"/>
      <c r="D21" s="3214"/>
      <c r="E21" s="2164">
        <f t="shared" ref="E21:J21" si="3">E20/$C$9</f>
        <v>0</v>
      </c>
      <c r="F21" s="2164">
        <f t="shared" si="3"/>
        <v>0</v>
      </c>
      <c r="G21" s="2164">
        <f t="shared" si="3"/>
        <v>0</v>
      </c>
      <c r="H21" s="2164">
        <f t="shared" si="3"/>
        <v>0</v>
      </c>
      <c r="I21" s="2164">
        <f t="shared" si="3"/>
        <v>0</v>
      </c>
      <c r="J21" s="2164">
        <f t="shared" si="3"/>
        <v>0</v>
      </c>
      <c r="K21" s="2172"/>
      <c r="L21" s="2172"/>
      <c r="M21" s="2172"/>
      <c r="N21" s="2172"/>
      <c r="O21" s="2173">
        <f t="shared" si="0"/>
        <v>0</v>
      </c>
      <c r="Q21" s="2203"/>
      <c r="R21" s="2566"/>
      <c r="S21" s="2566"/>
      <c r="T21" s="2566"/>
      <c r="U21" s="2566"/>
      <c r="V21" s="2566"/>
    </row>
    <row r="22" spans="1:22">
      <c r="A22" s="3215" t="s">
        <v>12628</v>
      </c>
      <c r="B22" s="3231" t="str">
        <f>VLOOKUP($A22,'[5]01-RES.'!$A:$D,2,0)</f>
        <v>INSTALAÇÕES PREVENÇÃO E COMBATE A INCENDIO E PANICO</v>
      </c>
      <c r="C22" s="3232">
        <v>671.29</v>
      </c>
      <c r="D22" s="3233">
        <f>C22/$C$82</f>
        <v>5.0048490836029914E-5</v>
      </c>
      <c r="E22" s="2162">
        <v>0</v>
      </c>
      <c r="F22" s="2162">
        <v>0</v>
      </c>
      <c r="G22" s="2162">
        <v>0</v>
      </c>
      <c r="H22" s="2162">
        <v>0</v>
      </c>
      <c r="I22" s="2162">
        <v>0</v>
      </c>
      <c r="J22" s="2162">
        <v>0</v>
      </c>
      <c r="K22" s="2170">
        <f>$C22*K23</f>
        <v>0</v>
      </c>
      <c r="L22" s="2170">
        <f>$C22*L23</f>
        <v>0</v>
      </c>
      <c r="M22" s="2170">
        <f>$C22*M23</f>
        <v>0</v>
      </c>
      <c r="N22" s="2170">
        <f>$C22*N23</f>
        <v>0</v>
      </c>
      <c r="O22" s="2171">
        <f t="shared" si="0"/>
        <v>0</v>
      </c>
      <c r="Q22" s="2203">
        <f>C22-E22-F22-G22-H22-I22-J22-K22-L22-M22-N22</f>
        <v>671.29</v>
      </c>
      <c r="R22" s="2566"/>
      <c r="S22" s="2566"/>
      <c r="T22" s="2566"/>
      <c r="U22" s="2566"/>
      <c r="V22" s="2566"/>
    </row>
    <row r="23" spans="1:22" ht="15.75" thickBot="1">
      <c r="A23" s="3209"/>
      <c r="B23" s="3211"/>
      <c r="C23" s="3211"/>
      <c r="D23" s="3214"/>
      <c r="E23" s="2164">
        <f t="shared" ref="E23:J23" si="4">E22/$C$9</f>
        <v>0</v>
      </c>
      <c r="F23" s="2164">
        <f t="shared" si="4"/>
        <v>0</v>
      </c>
      <c r="G23" s="2164">
        <f t="shared" si="4"/>
        <v>0</v>
      </c>
      <c r="H23" s="2164">
        <f t="shared" si="4"/>
        <v>0</v>
      </c>
      <c r="I23" s="2164">
        <f t="shared" si="4"/>
        <v>0</v>
      </c>
      <c r="J23" s="2164">
        <f t="shared" si="4"/>
        <v>0</v>
      </c>
      <c r="K23" s="2172"/>
      <c r="L23" s="2172"/>
      <c r="M23" s="2172"/>
      <c r="N23" s="2172"/>
      <c r="O23" s="2173">
        <f t="shared" si="0"/>
        <v>0</v>
      </c>
      <c r="Q23" s="2203"/>
      <c r="R23" s="2566"/>
      <c r="S23" s="2566"/>
      <c r="T23" s="2566"/>
      <c r="U23" s="2566"/>
      <c r="V23" s="2566"/>
    </row>
    <row r="24" spans="1:22">
      <c r="A24" s="2166" t="s">
        <v>12629</v>
      </c>
      <c r="B24" s="2167" t="str">
        <f>VLOOKUP($A24,'[5]01-RES.'!$A:$D,2,0)</f>
        <v>PRAÇA SUNSET</v>
      </c>
      <c r="C24" s="2168">
        <f>SUM(C25:C32)</f>
        <v>6754877.4200000009</v>
      </c>
      <c r="D24" s="2169">
        <f>C24/$C$82</f>
        <v>0.50361456397886972</v>
      </c>
      <c r="E24" s="3228"/>
      <c r="F24" s="3229"/>
      <c r="G24" s="3229"/>
      <c r="H24" s="3229"/>
      <c r="I24" s="3229"/>
      <c r="J24" s="3229"/>
      <c r="K24" s="3229"/>
      <c r="L24" s="3229"/>
      <c r="M24" s="3229"/>
      <c r="N24" s="3229"/>
      <c r="O24" s="3230"/>
      <c r="Q24" s="2203"/>
      <c r="R24" s="2566"/>
      <c r="S24" s="2566"/>
      <c r="T24" s="2566"/>
      <c r="U24" s="2566"/>
      <c r="V24" s="2566"/>
    </row>
    <row r="25" spans="1:22">
      <c r="A25" s="3215" t="s">
        <v>12630</v>
      </c>
      <c r="B25" s="3231" t="str">
        <f>VLOOKUP($A25,'[5]01-RES.'!$A:$D,2,0)</f>
        <v>SERVIÇO DE ESTRUTURA</v>
      </c>
      <c r="C25" s="3232">
        <v>1604577.3800000011</v>
      </c>
      <c r="D25" s="3233">
        <f>C25/$C$82</f>
        <v>0.11963037777805562</v>
      </c>
      <c r="E25" s="2162">
        <v>0</v>
      </c>
      <c r="F25" s="2162">
        <v>0</v>
      </c>
      <c r="G25" s="2162">
        <v>0</v>
      </c>
      <c r="H25" s="2162">
        <v>0</v>
      </c>
      <c r="I25" s="2162">
        <v>0</v>
      </c>
      <c r="J25" s="2162">
        <v>0</v>
      </c>
      <c r="K25" s="2174">
        <f>J25</f>
        <v>0</v>
      </c>
      <c r="L25" s="2174">
        <f>K25</f>
        <v>0</v>
      </c>
      <c r="M25" s="2174">
        <f>L25</f>
        <v>0</v>
      </c>
      <c r="N25" s="2174">
        <f>$C25*N26</f>
        <v>0</v>
      </c>
      <c r="O25" s="2171">
        <f t="shared" ref="O25:O32" si="5">SUM(E25:N25)</f>
        <v>0</v>
      </c>
      <c r="Q25" s="2203">
        <f>C25-E25-F25-G25-H25-I25-J25-K25-L25-M25-N25</f>
        <v>1604577.3800000011</v>
      </c>
      <c r="R25" s="2566"/>
      <c r="S25" s="2566"/>
      <c r="T25" s="2566"/>
      <c r="U25" s="2566"/>
      <c r="V25" s="2566"/>
    </row>
    <row r="26" spans="1:22" ht="15.75" thickBot="1">
      <c r="A26" s="3209"/>
      <c r="B26" s="3211"/>
      <c r="C26" s="3211"/>
      <c r="D26" s="3214"/>
      <c r="E26" s="2164">
        <f t="shared" ref="E26:J26" si="6">E25/$C$9</f>
        <v>0</v>
      </c>
      <c r="F26" s="2164">
        <f t="shared" si="6"/>
        <v>0</v>
      </c>
      <c r="G26" s="2164">
        <f t="shared" si="6"/>
        <v>0</v>
      </c>
      <c r="H26" s="2164">
        <f t="shared" si="6"/>
        <v>0</v>
      </c>
      <c r="I26" s="2164">
        <f t="shared" si="6"/>
        <v>0</v>
      </c>
      <c r="J26" s="2164">
        <f t="shared" si="6"/>
        <v>0</v>
      </c>
      <c r="K26" s="2172"/>
      <c r="L26" s="2172"/>
      <c r="M26" s="2172"/>
      <c r="N26" s="2175"/>
      <c r="O26" s="2173">
        <f t="shared" si="5"/>
        <v>0</v>
      </c>
      <c r="Q26" s="2203"/>
      <c r="R26" s="2566"/>
      <c r="S26" s="2566"/>
      <c r="T26" s="2566"/>
      <c r="U26" s="2566"/>
      <c r="V26" s="2566"/>
    </row>
    <row r="27" spans="1:22">
      <c r="A27" s="3215" t="s">
        <v>12631</v>
      </c>
      <c r="B27" s="3231" t="str">
        <f>VLOOKUP($A27,'[5]01-RES.'!$A:$D,2,0)</f>
        <v>ARQUITETURA</v>
      </c>
      <c r="C27" s="3232">
        <v>4770351.79</v>
      </c>
      <c r="D27" s="3233">
        <f>C27/$C$82</f>
        <v>0.35565688129788009</v>
      </c>
      <c r="E27" s="2162">
        <v>0</v>
      </c>
      <c r="F27" s="2162">
        <v>0</v>
      </c>
      <c r="G27" s="2162">
        <v>0</v>
      </c>
      <c r="H27" s="2162">
        <v>0</v>
      </c>
      <c r="I27" s="2162">
        <v>0</v>
      </c>
      <c r="J27" s="2162">
        <v>0</v>
      </c>
      <c r="K27" s="2170">
        <f t="shared" ref="K27:M31" si="7">$C27*K28</f>
        <v>0</v>
      </c>
      <c r="L27" s="2170">
        <f t="shared" si="7"/>
        <v>0</v>
      </c>
      <c r="M27" s="2170">
        <f t="shared" si="7"/>
        <v>0</v>
      </c>
      <c r="N27" s="2170">
        <f>$C27*N28</f>
        <v>0</v>
      </c>
      <c r="O27" s="2171">
        <f t="shared" si="5"/>
        <v>0</v>
      </c>
      <c r="Q27" s="2203">
        <f>C27-E27-F27-G27-H27-I27-J27-K27-L27-M27-N27</f>
        <v>4770351.79</v>
      </c>
      <c r="R27" s="2566"/>
      <c r="S27" s="2566"/>
      <c r="T27" s="2566"/>
      <c r="U27" s="2566"/>
      <c r="V27" s="2566"/>
    </row>
    <row r="28" spans="1:22" ht="15.75" thickBot="1">
      <c r="A28" s="3209"/>
      <c r="B28" s="3211"/>
      <c r="C28" s="3211"/>
      <c r="D28" s="3214"/>
      <c r="E28" s="2164">
        <f t="shared" ref="E28:J28" si="8">E27/$C$9</f>
        <v>0</v>
      </c>
      <c r="F28" s="2164">
        <f t="shared" si="8"/>
        <v>0</v>
      </c>
      <c r="G28" s="2164">
        <f t="shared" si="8"/>
        <v>0</v>
      </c>
      <c r="H28" s="2164">
        <f t="shared" si="8"/>
        <v>0</v>
      </c>
      <c r="I28" s="2164">
        <f t="shared" si="8"/>
        <v>0</v>
      </c>
      <c r="J28" s="2164">
        <f t="shared" si="8"/>
        <v>0</v>
      </c>
      <c r="K28" s="2172"/>
      <c r="L28" s="2172"/>
      <c r="M28" s="2172"/>
      <c r="N28" s="2172"/>
      <c r="O28" s="2173">
        <f t="shared" si="5"/>
        <v>0</v>
      </c>
      <c r="Q28" s="2203"/>
      <c r="R28" s="2566"/>
      <c r="S28" s="2566"/>
      <c r="T28" s="2566"/>
      <c r="U28" s="2566"/>
      <c r="V28" s="2566"/>
    </row>
    <row r="29" spans="1:22">
      <c r="A29" s="3215" t="s">
        <v>12632</v>
      </c>
      <c r="B29" s="3231" t="str">
        <f>VLOOKUP($A29,'[5]01-RES.'!$A:$D,2,0)</f>
        <v>INSTALAÇÕES HIDROSSANITÁRIAIS</v>
      </c>
      <c r="C29" s="3232">
        <v>118949.92</v>
      </c>
      <c r="D29" s="3233">
        <f>C29/$C$82</f>
        <v>8.868393661556841E-3</v>
      </c>
      <c r="E29" s="2162">
        <v>0</v>
      </c>
      <c r="F29" s="2162">
        <v>0</v>
      </c>
      <c r="G29" s="2162">
        <v>0</v>
      </c>
      <c r="H29" s="2162">
        <v>0</v>
      </c>
      <c r="I29" s="2162">
        <v>0</v>
      </c>
      <c r="J29" s="2162">
        <v>0</v>
      </c>
      <c r="K29" s="2170">
        <f t="shared" si="7"/>
        <v>0</v>
      </c>
      <c r="L29" s="2170">
        <f t="shared" si="7"/>
        <v>0</v>
      </c>
      <c r="M29" s="2176">
        <f>$C29*M30</f>
        <v>0</v>
      </c>
      <c r="N29" s="2176">
        <f>$C29*N30</f>
        <v>0</v>
      </c>
      <c r="O29" s="2171">
        <f t="shared" si="5"/>
        <v>0</v>
      </c>
      <c r="Q29" s="2203">
        <f>C29-E29-F29-G29-H29-I29-J29-K29-L29-M29-N29</f>
        <v>118949.92</v>
      </c>
      <c r="R29" s="2566"/>
      <c r="S29" s="2566"/>
      <c r="T29" s="2566"/>
      <c r="U29" s="2566"/>
      <c r="V29" s="2566"/>
    </row>
    <row r="30" spans="1:22" ht="15.75" thickBot="1">
      <c r="A30" s="3209"/>
      <c r="B30" s="3211"/>
      <c r="C30" s="3211"/>
      <c r="D30" s="3214"/>
      <c r="E30" s="2164">
        <f t="shared" ref="E30:J30" si="9">E29/$C$9</f>
        <v>0</v>
      </c>
      <c r="F30" s="2164">
        <f t="shared" si="9"/>
        <v>0</v>
      </c>
      <c r="G30" s="2164">
        <f t="shared" si="9"/>
        <v>0</v>
      </c>
      <c r="H30" s="2164">
        <f t="shared" si="9"/>
        <v>0</v>
      </c>
      <c r="I30" s="2164">
        <f t="shared" si="9"/>
        <v>0</v>
      </c>
      <c r="J30" s="2164">
        <f t="shared" si="9"/>
        <v>0</v>
      </c>
      <c r="K30" s="2172"/>
      <c r="L30" s="2172"/>
      <c r="M30" s="2175"/>
      <c r="N30" s="2175"/>
      <c r="O30" s="2173">
        <f t="shared" si="5"/>
        <v>0</v>
      </c>
      <c r="Q30" s="2203"/>
      <c r="R30" s="2566"/>
      <c r="S30" s="2576" t="s">
        <v>17022</v>
      </c>
      <c r="T30" s="2566"/>
      <c r="U30" s="2566"/>
      <c r="V30" s="2566"/>
    </row>
    <row r="31" spans="1:22">
      <c r="A31" s="3215" t="s">
        <v>12633</v>
      </c>
      <c r="B31" s="3231" t="str">
        <f>VLOOKUP($A31,'[5]01-RES.'!$A:$D,2,0)</f>
        <v>INSTALAÇÕES ELÉTRICAS</v>
      </c>
      <c r="C31" s="3232">
        <v>260998.33000000005</v>
      </c>
      <c r="D31" s="3233">
        <f>C31/$C$82</f>
        <v>1.9458911241377223E-2</v>
      </c>
      <c r="E31" s="2162">
        <v>0</v>
      </c>
      <c r="F31" s="2162">
        <v>0</v>
      </c>
      <c r="G31" s="2162">
        <v>0</v>
      </c>
      <c r="H31" s="2162">
        <v>0</v>
      </c>
      <c r="I31" s="2162">
        <v>0</v>
      </c>
      <c r="J31" s="2162">
        <v>0</v>
      </c>
      <c r="K31" s="2170">
        <f t="shared" si="7"/>
        <v>0</v>
      </c>
      <c r="L31" s="2170">
        <f t="shared" si="7"/>
        <v>0</v>
      </c>
      <c r="M31" s="2170">
        <f t="shared" si="7"/>
        <v>0</v>
      </c>
      <c r="N31" s="2174">
        <f>$C31*N32</f>
        <v>0</v>
      </c>
      <c r="O31" s="2171">
        <f t="shared" si="5"/>
        <v>0</v>
      </c>
      <c r="Q31" s="2203">
        <f>C31-E31-F31-G31-H31-I31-J31-K31-L31-M31-N31</f>
        <v>260998.33000000005</v>
      </c>
      <c r="R31" s="2566"/>
      <c r="S31" s="2566"/>
      <c r="T31" s="2566"/>
      <c r="U31" s="2566"/>
      <c r="V31" s="2566"/>
    </row>
    <row r="32" spans="1:22" ht="15.75" thickBot="1">
      <c r="A32" s="3209"/>
      <c r="B32" s="3211"/>
      <c r="C32" s="3211"/>
      <c r="D32" s="3214"/>
      <c r="E32" s="2164">
        <f t="shared" ref="E32:J32" si="10">E31/$C$9</f>
        <v>0</v>
      </c>
      <c r="F32" s="2164">
        <f t="shared" si="10"/>
        <v>0</v>
      </c>
      <c r="G32" s="2164">
        <f t="shared" si="10"/>
        <v>0</v>
      </c>
      <c r="H32" s="2164">
        <f t="shared" si="10"/>
        <v>0</v>
      </c>
      <c r="I32" s="2164">
        <f t="shared" si="10"/>
        <v>0</v>
      </c>
      <c r="J32" s="2164">
        <f t="shared" si="10"/>
        <v>0</v>
      </c>
      <c r="K32" s="2172"/>
      <c r="L32" s="2172"/>
      <c r="M32" s="2172"/>
      <c r="N32" s="2175"/>
      <c r="O32" s="2173">
        <f t="shared" si="5"/>
        <v>0</v>
      </c>
      <c r="Q32" s="2203"/>
      <c r="R32" s="2566"/>
      <c r="S32" s="2566"/>
      <c r="T32" s="2566"/>
      <c r="U32" s="2566"/>
      <c r="V32" s="2566"/>
    </row>
    <row r="33" spans="1:22">
      <c r="A33" s="2166" t="s">
        <v>12634</v>
      </c>
      <c r="B33" s="2167" t="str">
        <f>VLOOKUP($A33,'[5]01-RES.'!$A:$D,2,0)</f>
        <v>QUIOSQUE</v>
      </c>
      <c r="C33" s="2168">
        <f>SUM(C34:C43)</f>
        <v>206379.06</v>
      </c>
      <c r="D33" s="2169">
        <f>C33/$C$82</f>
        <v>1.5386733741242189E-2</v>
      </c>
      <c r="E33" s="3228"/>
      <c r="F33" s="3229"/>
      <c r="G33" s="3229"/>
      <c r="H33" s="3229"/>
      <c r="I33" s="3229"/>
      <c r="J33" s="3229"/>
      <c r="K33" s="3229"/>
      <c r="L33" s="3229"/>
      <c r="M33" s="3229"/>
      <c r="N33" s="3229"/>
      <c r="O33" s="3230"/>
      <c r="Q33" s="2203"/>
      <c r="R33" s="2566"/>
      <c r="S33" s="2566"/>
      <c r="T33" s="2566"/>
      <c r="U33" s="2566"/>
      <c r="V33" s="2566"/>
    </row>
    <row r="34" spans="1:22">
      <c r="A34" s="3215" t="s">
        <v>12635</v>
      </c>
      <c r="B34" s="3231" t="str">
        <f>VLOOKUP($A34,'[5]01-RES.'!$A:$D,2,0)</f>
        <v>SERVIÇOS DE ESTRUTURA</v>
      </c>
      <c r="C34" s="3232">
        <v>31493.25</v>
      </c>
      <c r="D34" s="3233">
        <f>C34/$C$82</f>
        <v>2.3480010636562428E-3</v>
      </c>
      <c r="E34" s="2162">
        <v>0</v>
      </c>
      <c r="F34" s="2162">
        <v>13532.01</v>
      </c>
      <c r="G34" s="2162">
        <f>[7]Cronograma!$G$34</f>
        <v>5950.9999999999991</v>
      </c>
      <c r="H34" s="2162">
        <v>7332.0199999999986</v>
      </c>
      <c r="I34" s="2162">
        <v>4678.22</v>
      </c>
      <c r="J34" s="2162">
        <v>0</v>
      </c>
      <c r="K34" s="2176">
        <f>$C34*K35</f>
        <v>0</v>
      </c>
      <c r="L34" s="2176">
        <f>$C34*L35</f>
        <v>0</v>
      </c>
      <c r="M34" s="2176">
        <f>$C34*M35</f>
        <v>0</v>
      </c>
      <c r="N34" s="2176">
        <f>$C34*N35</f>
        <v>0</v>
      </c>
      <c r="O34" s="2171">
        <f t="shared" ref="O34:O43" si="11">SUM(E34:N34)</f>
        <v>31493.25</v>
      </c>
      <c r="Q34" s="2573">
        <f>C34-F34-G34-H34-I34</f>
        <v>0</v>
      </c>
      <c r="R34" s="2566"/>
      <c r="S34" s="2566"/>
      <c r="T34" s="2566"/>
      <c r="U34" s="2566"/>
      <c r="V34" s="2566"/>
    </row>
    <row r="35" spans="1:22" ht="15.75" thickBot="1">
      <c r="A35" s="3209"/>
      <c r="B35" s="3211"/>
      <c r="C35" s="3211"/>
      <c r="D35" s="3214"/>
      <c r="E35" s="2164">
        <f>E34/$C$9</f>
        <v>0</v>
      </c>
      <c r="F35" s="2164">
        <f>F34/$C$34</f>
        <v>0.42967969326760497</v>
      </c>
      <c r="G35" s="2164">
        <f>G34/$C$34</f>
        <v>0.18896112659061859</v>
      </c>
      <c r="H35" s="2164">
        <v>0.23281242805998106</v>
      </c>
      <c r="I35" s="2164">
        <f>I34/$C$14</f>
        <v>1.113691430423662E-2</v>
      </c>
      <c r="J35" s="2164">
        <f>J34/$C$9</f>
        <v>0</v>
      </c>
      <c r="K35" s="2175"/>
      <c r="L35" s="2175"/>
      <c r="M35" s="2175"/>
      <c r="N35" s="2175"/>
      <c r="O35" s="2173">
        <f t="shared" si="11"/>
        <v>0.86259016222244123</v>
      </c>
      <c r="Q35" s="2203"/>
      <c r="R35" s="2566"/>
      <c r="S35" s="2566"/>
      <c r="T35" s="2566"/>
      <c r="U35" s="2566"/>
      <c r="V35" s="2566"/>
    </row>
    <row r="36" spans="1:22">
      <c r="A36" s="3215" t="s">
        <v>12636</v>
      </c>
      <c r="B36" s="3231" t="str">
        <f>VLOOKUP($A36,'[5]01-RES.'!$A:$D,2,0)</f>
        <v>ARQUITETURA</v>
      </c>
      <c r="C36" s="3232">
        <v>126010.18999999999</v>
      </c>
      <c r="D36" s="3233">
        <f>C36/$C$82</f>
        <v>9.3947769808300271E-3</v>
      </c>
      <c r="E36" s="2162">
        <v>0</v>
      </c>
      <c r="F36" s="2162">
        <v>0</v>
      </c>
      <c r="G36" s="2162">
        <v>11821.58</v>
      </c>
      <c r="H36" s="2162">
        <v>14336.27</v>
      </c>
      <c r="I36" s="2162">
        <v>9512.23</v>
      </c>
      <c r="J36" s="2580">
        <f>'Medição '!N888</f>
        <v>17889.650000000001</v>
      </c>
      <c r="K36" s="2176">
        <f>$C36*K37</f>
        <v>0</v>
      </c>
      <c r="L36" s="2176">
        <f>$C36*L37</f>
        <v>0</v>
      </c>
      <c r="M36" s="2176">
        <f>$C36*M37</f>
        <v>0</v>
      </c>
      <c r="N36" s="2176"/>
      <c r="O36" s="2171">
        <f t="shared" si="11"/>
        <v>53559.73</v>
      </c>
      <c r="Q36" s="2203">
        <f>C36-E36-F36-G36-H36-I36-J36-K36-L36-M36-N36</f>
        <v>72450.459999999992</v>
      </c>
      <c r="R36" s="2566"/>
      <c r="S36" s="2566"/>
      <c r="T36" s="2566"/>
      <c r="U36" s="2566"/>
      <c r="V36" s="2566"/>
    </row>
    <row r="37" spans="1:22" ht="15.75" thickBot="1">
      <c r="A37" s="3209"/>
      <c r="B37" s="3211"/>
      <c r="C37" s="3211"/>
      <c r="D37" s="3214"/>
      <c r="E37" s="2164">
        <f>E36/$C$9</f>
        <v>0</v>
      </c>
      <c r="F37" s="2164">
        <f>F36/$C$9</f>
        <v>0</v>
      </c>
      <c r="G37" s="2164">
        <f>G36/$C$36</f>
        <v>9.3814476432421856E-2</v>
      </c>
      <c r="H37" s="2164">
        <v>0.11377071965370421</v>
      </c>
      <c r="I37" s="2164">
        <f>I36/$C$36</f>
        <v>7.5487783964138147E-2</v>
      </c>
      <c r="J37" s="2164">
        <f>J36/$C$36</f>
        <v>0.14196986767498726</v>
      </c>
      <c r="K37" s="2175"/>
      <c r="L37" s="2175"/>
      <c r="M37" s="2175"/>
      <c r="N37" s="2175"/>
      <c r="O37" s="2173">
        <f t="shared" si="11"/>
        <v>0.42504284772525147</v>
      </c>
      <c r="Q37" s="2203"/>
      <c r="R37" s="2566"/>
      <c r="S37" s="2566"/>
      <c r="T37" s="2566"/>
      <c r="U37" s="2566"/>
      <c r="V37" s="2566"/>
    </row>
    <row r="38" spans="1:22">
      <c r="A38" s="3215" t="s">
        <v>12637</v>
      </c>
      <c r="B38" s="3231" t="str">
        <f>VLOOKUP($A38,'[5]01-RES.'!$A:$D,2,0)</f>
        <v>INSTALAÇÕES HIDROSSANITÁRIAIS</v>
      </c>
      <c r="C38" s="3232">
        <v>20028.319999999996</v>
      </c>
      <c r="D38" s="3233">
        <f>C38/$C$82</f>
        <v>1.4932252677398361E-3</v>
      </c>
      <c r="E38" s="2162">
        <v>0</v>
      </c>
      <c r="F38" s="2162">
        <v>0</v>
      </c>
      <c r="G38" s="2162">
        <v>0</v>
      </c>
      <c r="H38" s="2162">
        <v>8753.7400000000016</v>
      </c>
      <c r="I38" s="2162">
        <v>3259.09</v>
      </c>
      <c r="J38" s="2581">
        <f>'Medição '!N948</f>
        <v>1278.5999999999999</v>
      </c>
      <c r="K38" s="2176">
        <f>$C38*K39</f>
        <v>0</v>
      </c>
      <c r="L38" s="2176">
        <f>$C38*L39</f>
        <v>0</v>
      </c>
      <c r="M38" s="2174">
        <f>$C38*M39</f>
        <v>0</v>
      </c>
      <c r="N38" s="2174">
        <f>$C38*N39</f>
        <v>0</v>
      </c>
      <c r="O38" s="2171">
        <f t="shared" si="11"/>
        <v>13291.430000000002</v>
      </c>
      <c r="Q38" s="2203">
        <f>C38-E38-F38-G38-H38-I38-J38-K38-L38-M38-N38</f>
        <v>6736.889999999994</v>
      </c>
      <c r="R38" s="2566"/>
      <c r="S38" s="2566"/>
      <c r="T38" s="2566"/>
      <c r="U38" s="2566"/>
      <c r="V38" s="2566"/>
    </row>
    <row r="39" spans="1:22" ht="15.75" thickBot="1">
      <c r="A39" s="3209"/>
      <c r="B39" s="3211"/>
      <c r="C39" s="3211"/>
      <c r="D39" s="3214"/>
      <c r="E39" s="2164">
        <f>E38/$C$9</f>
        <v>0</v>
      </c>
      <c r="F39" s="2164">
        <f>F38/$C$9</f>
        <v>0</v>
      </c>
      <c r="G39" s="2164">
        <f>G38/$C$9</f>
        <v>0</v>
      </c>
      <c r="H39" s="2164">
        <v>0.43706811155403963</v>
      </c>
      <c r="I39" s="2164">
        <f>I38/$C$36</f>
        <v>2.5863701975213278E-2</v>
      </c>
      <c r="J39" s="2164">
        <f>J38/$C$36</f>
        <v>1.014679844542731E-2</v>
      </c>
      <c r="K39" s="2175"/>
      <c r="L39" s="2175"/>
      <c r="M39" s="2175"/>
      <c r="N39" s="2175"/>
      <c r="O39" s="2173">
        <f t="shared" si="11"/>
        <v>0.47307861197468021</v>
      </c>
      <c r="Q39" s="2203"/>
      <c r="R39" s="2572"/>
      <c r="S39" s="2566"/>
      <c r="T39" s="2566"/>
      <c r="U39" s="2566"/>
      <c r="V39" s="2566"/>
    </row>
    <row r="40" spans="1:22">
      <c r="A40" s="3215" t="s">
        <v>12638</v>
      </c>
      <c r="B40" s="3231" t="str">
        <f>VLOOKUP($A40,'[5]01-RES.'!$A:$D,2,0)</f>
        <v>INSTALAÇÕES ELÉTRICAS E INSTALAÇÕES DE LÓGICA</v>
      </c>
      <c r="C40" s="3232">
        <v>28502.300000000003</v>
      </c>
      <c r="D40" s="3233">
        <f>C40/$C$82</f>
        <v>2.1250087150944835E-3</v>
      </c>
      <c r="E40" s="2162">
        <v>0</v>
      </c>
      <c r="F40" s="2162">
        <v>0</v>
      </c>
      <c r="G40" s="2162">
        <v>0</v>
      </c>
      <c r="H40" s="2162">
        <v>0</v>
      </c>
      <c r="I40" s="2162">
        <v>521.54</v>
      </c>
      <c r="J40" s="2581">
        <f>'Medição '!N1016</f>
        <v>177.44</v>
      </c>
      <c r="K40" s="2176">
        <f>$C40*K41</f>
        <v>0</v>
      </c>
      <c r="L40" s="2176">
        <f>$C40*L41</f>
        <v>0</v>
      </c>
      <c r="M40" s="2174">
        <f>$C40*M41</f>
        <v>0</v>
      </c>
      <c r="N40" s="2174">
        <f>$C40*N41</f>
        <v>0</v>
      </c>
      <c r="O40" s="2171">
        <f t="shared" si="11"/>
        <v>698.98</v>
      </c>
      <c r="Q40" s="2203">
        <f>C40-E40-F40-G40-H40-I40-J40-K40-L40-M40-N40</f>
        <v>27803.320000000003</v>
      </c>
      <c r="R40" s="2566"/>
      <c r="S40" s="2566"/>
      <c r="T40" s="2566"/>
      <c r="U40" s="2566"/>
      <c r="V40" s="2566"/>
    </row>
    <row r="41" spans="1:22" ht="15.75" thickBot="1">
      <c r="A41" s="3209"/>
      <c r="B41" s="3211"/>
      <c r="C41" s="3211"/>
      <c r="D41" s="3214"/>
      <c r="E41" s="2164">
        <f>E40/$C$9</f>
        <v>0</v>
      </c>
      <c r="F41" s="2164">
        <f>F40/$C$9</f>
        <v>0</v>
      </c>
      <c r="G41" s="2164">
        <f>G40/$C$9</f>
        <v>0</v>
      </c>
      <c r="H41" s="2164">
        <f>H40/$C$9</f>
        <v>0</v>
      </c>
      <c r="I41" s="2164">
        <f>I40/$C$36</f>
        <v>4.1388716261756293E-3</v>
      </c>
      <c r="J41" s="2164">
        <f>J40/$C$36</f>
        <v>1.4081400877183029E-3</v>
      </c>
      <c r="K41" s="2175"/>
      <c r="L41" s="2175"/>
      <c r="M41" s="2560"/>
      <c r="N41" s="2175"/>
      <c r="O41" s="2173">
        <f t="shared" si="11"/>
        <v>5.5470117138939319E-3</v>
      </c>
      <c r="Q41" s="2203"/>
      <c r="R41" s="2566"/>
      <c r="S41" s="2566"/>
      <c r="T41" s="2566"/>
      <c r="U41" s="2566"/>
      <c r="V41" s="2566"/>
    </row>
    <row r="42" spans="1:22">
      <c r="A42" s="3215" t="s">
        <v>12639</v>
      </c>
      <c r="B42" s="3231" t="str">
        <f>VLOOKUP($A42,'[5]01-RES.'!$A:$D,2,0)</f>
        <v>INSTALAÇÕES PREVENÇÃO E COMBATE A INCENDIO E PANICO</v>
      </c>
      <c r="C42" s="3232">
        <v>345</v>
      </c>
      <c r="D42" s="3233">
        <f>C42/$C$82</f>
        <v>2.5721713921599193E-5</v>
      </c>
      <c r="E42" s="2162">
        <v>0</v>
      </c>
      <c r="F42" s="2162">
        <v>0</v>
      </c>
      <c r="G42" s="2162">
        <v>0</v>
      </c>
      <c r="H42" s="2162">
        <v>0</v>
      </c>
      <c r="I42" s="2162">
        <v>0</v>
      </c>
      <c r="J42" s="2162">
        <v>0</v>
      </c>
      <c r="K42" s="2174">
        <f>$C42*K43</f>
        <v>0</v>
      </c>
      <c r="L42" s="2176">
        <f>$C42*L43</f>
        <v>0</v>
      </c>
      <c r="M42" s="2176">
        <f>$C42*M43</f>
        <v>0</v>
      </c>
      <c r="N42" s="2174">
        <f>$C42*N43</f>
        <v>0</v>
      </c>
      <c r="O42" s="2171">
        <f t="shared" si="11"/>
        <v>0</v>
      </c>
      <c r="Q42" s="2203">
        <f>C42-E42-F42-G42-H42-I42-J42-K42-L42-M42-N42</f>
        <v>345</v>
      </c>
      <c r="R42" s="2566"/>
      <c r="S42" s="2566"/>
      <c r="T42" s="2566"/>
      <c r="U42" s="2566"/>
      <c r="V42" s="2566"/>
    </row>
    <row r="43" spans="1:22" ht="15.75" thickBot="1">
      <c r="A43" s="3209"/>
      <c r="B43" s="3211"/>
      <c r="C43" s="3211"/>
      <c r="D43" s="3214"/>
      <c r="E43" s="2164">
        <f t="shared" ref="E43:J43" si="12">E42/$C$9</f>
        <v>0</v>
      </c>
      <c r="F43" s="2164">
        <f t="shared" si="12"/>
        <v>0</v>
      </c>
      <c r="G43" s="2164">
        <f t="shared" si="12"/>
        <v>0</v>
      </c>
      <c r="H43" s="2164">
        <f t="shared" si="12"/>
        <v>0</v>
      </c>
      <c r="I43" s="2164">
        <f t="shared" si="12"/>
        <v>0</v>
      </c>
      <c r="J43" s="2164">
        <f t="shared" si="12"/>
        <v>0</v>
      </c>
      <c r="K43" s="2175"/>
      <c r="L43" s="2175"/>
      <c r="M43" s="2175"/>
      <c r="N43" s="2175"/>
      <c r="O43" s="2173">
        <f t="shared" si="11"/>
        <v>0</v>
      </c>
      <c r="Q43" s="2203"/>
      <c r="R43" s="2566"/>
      <c r="S43" s="2566"/>
      <c r="T43" s="2566"/>
      <c r="U43" s="2566"/>
      <c r="V43" s="2566"/>
    </row>
    <row r="44" spans="1:22">
      <c r="A44" s="2166" t="s">
        <v>12640</v>
      </c>
      <c r="B44" s="2167" t="str">
        <f>VLOOKUP($A44,'[5]01-RES.'!$A:$D,2,0)</f>
        <v xml:space="preserve">BANHEIRO DE APOIO ESPAÇO SHOW </v>
      </c>
      <c r="C44" s="2168">
        <f>SUM(C45:C54)</f>
        <v>1006030.06</v>
      </c>
      <c r="D44" s="2169">
        <f>C44/$C$82</f>
        <v>7.5005267825650063E-2</v>
      </c>
      <c r="E44" s="3228"/>
      <c r="F44" s="3229"/>
      <c r="G44" s="3229"/>
      <c r="H44" s="3229"/>
      <c r="I44" s="3229"/>
      <c r="J44" s="3229"/>
      <c r="K44" s="3229"/>
      <c r="L44" s="3229"/>
      <c r="M44" s="3229"/>
      <c r="N44" s="3229"/>
      <c r="O44" s="3230"/>
      <c r="Q44" s="2203"/>
      <c r="R44" s="2566"/>
      <c r="S44" s="2566"/>
      <c r="T44" s="2566"/>
      <c r="U44" s="2566"/>
      <c r="V44" s="2566"/>
    </row>
    <row r="45" spans="1:22">
      <c r="A45" s="3215" t="s">
        <v>12642</v>
      </c>
      <c r="B45" s="3231" t="str">
        <f>VLOOKUP($A45,'[5]01-RES.'!$A:$D,2,0)</f>
        <v>SERVIÇOS DE ESTRUTURA</v>
      </c>
      <c r="C45" s="3232">
        <v>253060.44</v>
      </c>
      <c r="D45" s="3233">
        <f>C45/$C$82</f>
        <v>1.8867096355229037E-2</v>
      </c>
      <c r="E45" s="2162">
        <v>0</v>
      </c>
      <c r="F45" s="2162">
        <v>0</v>
      </c>
      <c r="G45" s="2162">
        <v>0</v>
      </c>
      <c r="H45" s="2177">
        <v>55047.97</v>
      </c>
      <c r="I45" s="2162">
        <v>0</v>
      </c>
      <c r="J45" s="2581">
        <f>'Medição '!N1057</f>
        <v>-55047.97</v>
      </c>
      <c r="K45" s="2174">
        <f>$C45*K46</f>
        <v>0</v>
      </c>
      <c r="L45" s="2174">
        <f>$C45*L46</f>
        <v>0</v>
      </c>
      <c r="M45" s="2174">
        <f>$C45*M46</f>
        <v>0</v>
      </c>
      <c r="N45" s="2174">
        <f>$C45*N46</f>
        <v>0</v>
      </c>
      <c r="O45" s="2171">
        <f t="shared" ref="O45:O54" si="13">SUM(E45:N45)</f>
        <v>0</v>
      </c>
      <c r="Q45" s="2203">
        <f>C45-E45-F45-G45-H45-I45-J45-K45-L45-M45-N45</f>
        <v>253060.44</v>
      </c>
      <c r="R45" s="2566"/>
      <c r="S45" s="2566"/>
      <c r="T45" s="2566"/>
      <c r="U45" s="2566"/>
      <c r="V45" s="2566"/>
    </row>
    <row r="46" spans="1:22" ht="15.75" thickBot="1">
      <c r="A46" s="3209"/>
      <c r="B46" s="3211"/>
      <c r="C46" s="3211"/>
      <c r="D46" s="3214"/>
      <c r="E46" s="2164">
        <f>E45/$C$9</f>
        <v>0</v>
      </c>
      <c r="F46" s="2164">
        <f>F45/$C$9</f>
        <v>0</v>
      </c>
      <c r="G46" s="2164">
        <f>G45/$C$9</f>
        <v>0</v>
      </c>
      <c r="H46" s="2164">
        <v>0.21752894288811006</v>
      </c>
      <c r="I46" s="2164">
        <f>I45/$C$9</f>
        <v>0</v>
      </c>
      <c r="J46" s="2582">
        <f>J45/$C$9</f>
        <v>-5.4812701824972811E-2</v>
      </c>
      <c r="K46" s="2175"/>
      <c r="L46" s="2175"/>
      <c r="M46" s="2175"/>
      <c r="N46" s="2175"/>
      <c r="O46" s="2173">
        <f t="shared" si="13"/>
        <v>0.16271624106313726</v>
      </c>
      <c r="Q46" s="2203"/>
      <c r="R46" s="2566"/>
      <c r="S46" s="2566"/>
      <c r="T46" s="2566"/>
      <c r="U46" s="2566"/>
      <c r="V46" s="2566"/>
    </row>
    <row r="47" spans="1:22">
      <c r="A47" s="3215" t="s">
        <v>12643</v>
      </c>
      <c r="B47" s="3231" t="str">
        <f>VLOOKUP($A47,'[5]01-RES.'!$A:$D,2,0)</f>
        <v>ARQUITETURA</v>
      </c>
      <c r="C47" s="3232">
        <v>603736.82999999996</v>
      </c>
      <c r="D47" s="3233">
        <f>C47/$C$82</f>
        <v>4.5012017464328015E-2</v>
      </c>
      <c r="E47" s="2162">
        <v>0</v>
      </c>
      <c r="F47" s="2162">
        <v>0</v>
      </c>
      <c r="G47" s="2162">
        <v>0</v>
      </c>
      <c r="H47" s="2162">
        <v>0</v>
      </c>
      <c r="I47" s="2162">
        <v>0</v>
      </c>
      <c r="J47" s="2162">
        <v>0</v>
      </c>
      <c r="K47" s="2174">
        <f>$C47*K48</f>
        <v>0</v>
      </c>
      <c r="L47" s="2174">
        <f>$C47*L48</f>
        <v>0</v>
      </c>
      <c r="M47" s="2174">
        <f>$C47*M48</f>
        <v>0</v>
      </c>
      <c r="N47" s="2174">
        <f>$C47*N48</f>
        <v>0</v>
      </c>
      <c r="O47" s="2171">
        <f t="shared" si="13"/>
        <v>0</v>
      </c>
      <c r="Q47" s="2203">
        <f>C47-E47-F47-G47-H47-I47-J47-K47-L47-M47-N47</f>
        <v>603736.82999999996</v>
      </c>
      <c r="R47" s="2566"/>
      <c r="S47" s="2566"/>
      <c r="T47" s="2566"/>
      <c r="U47" s="2566"/>
      <c r="V47" s="2566"/>
    </row>
    <row r="48" spans="1:22" ht="15.75" thickBot="1">
      <c r="A48" s="3209"/>
      <c r="B48" s="3211"/>
      <c r="C48" s="3211"/>
      <c r="D48" s="3214"/>
      <c r="E48" s="2164">
        <f t="shared" ref="E48:J48" si="14">E47/$C$9</f>
        <v>0</v>
      </c>
      <c r="F48" s="2164">
        <f t="shared" si="14"/>
        <v>0</v>
      </c>
      <c r="G48" s="2164">
        <f t="shared" si="14"/>
        <v>0</v>
      </c>
      <c r="H48" s="2164">
        <f t="shared" si="14"/>
        <v>0</v>
      </c>
      <c r="I48" s="2164">
        <f t="shared" si="14"/>
        <v>0</v>
      </c>
      <c r="J48" s="2164">
        <f t="shared" si="14"/>
        <v>0</v>
      </c>
      <c r="K48" s="2175"/>
      <c r="L48" s="2175"/>
      <c r="M48" s="2175"/>
      <c r="N48" s="2175"/>
      <c r="O48" s="2173">
        <f t="shared" si="13"/>
        <v>0</v>
      </c>
      <c r="Q48" s="2203"/>
      <c r="R48" s="2566"/>
      <c r="S48" s="2566"/>
      <c r="T48" s="2566"/>
      <c r="U48" s="2566"/>
      <c r="V48" s="2566"/>
    </row>
    <row r="49" spans="1:22">
      <c r="A49" s="3215" t="s">
        <v>12644</v>
      </c>
      <c r="B49" s="3231" t="str">
        <f>VLOOKUP($A49,'[5]01-RES.'!$A:$D,2,0)</f>
        <v>INSTALAÇÕES HIDROSSANITÁRIAIS</v>
      </c>
      <c r="C49" s="3232">
        <v>92652.61</v>
      </c>
      <c r="D49" s="3233">
        <f>C49/$C$82</f>
        <v>6.907779502926089E-3</v>
      </c>
      <c r="E49" s="2162">
        <v>0</v>
      </c>
      <c r="F49" s="2162">
        <v>0</v>
      </c>
      <c r="G49" s="2162">
        <v>0</v>
      </c>
      <c r="H49" s="2162">
        <v>0</v>
      </c>
      <c r="I49" s="2162">
        <v>0</v>
      </c>
      <c r="J49" s="2162">
        <v>0</v>
      </c>
      <c r="K49" s="2174">
        <f>$C49*K50</f>
        <v>0</v>
      </c>
      <c r="L49" s="2174">
        <f>$C49*L50</f>
        <v>0</v>
      </c>
      <c r="M49" s="2174">
        <f>$C49*M50</f>
        <v>0</v>
      </c>
      <c r="N49" s="2174">
        <f>$C49*N50</f>
        <v>0</v>
      </c>
      <c r="O49" s="2171">
        <f t="shared" si="13"/>
        <v>0</v>
      </c>
      <c r="Q49" s="2203">
        <f>C49-E49-F49-G49-H49-I49-J49-K49-L49-M49-N49</f>
        <v>92652.61</v>
      </c>
      <c r="R49" s="2566"/>
      <c r="S49" s="2566"/>
      <c r="T49" s="2566"/>
      <c r="U49" s="2566"/>
      <c r="V49" s="2566"/>
    </row>
    <row r="50" spans="1:22" ht="15.75" thickBot="1">
      <c r="A50" s="3209"/>
      <c r="B50" s="3211"/>
      <c r="C50" s="3211"/>
      <c r="D50" s="3214"/>
      <c r="E50" s="2164">
        <f t="shared" ref="E50:J50" si="15">E49/$C$9</f>
        <v>0</v>
      </c>
      <c r="F50" s="2164">
        <f t="shared" si="15"/>
        <v>0</v>
      </c>
      <c r="G50" s="2164">
        <f t="shared" si="15"/>
        <v>0</v>
      </c>
      <c r="H50" s="2164">
        <f t="shared" si="15"/>
        <v>0</v>
      </c>
      <c r="I50" s="2164">
        <f t="shared" si="15"/>
        <v>0</v>
      </c>
      <c r="J50" s="2164">
        <f t="shared" si="15"/>
        <v>0</v>
      </c>
      <c r="K50" s="2175"/>
      <c r="L50" s="2175"/>
      <c r="M50" s="2175"/>
      <c r="N50" s="2175"/>
      <c r="O50" s="2173">
        <f t="shared" si="13"/>
        <v>0</v>
      </c>
      <c r="Q50" s="2203"/>
      <c r="R50" s="2566"/>
      <c r="S50" s="2566"/>
      <c r="T50" s="2566"/>
      <c r="U50" s="2566"/>
      <c r="V50" s="2566"/>
    </row>
    <row r="51" spans="1:22">
      <c r="A51" s="3215" t="s">
        <v>12645</v>
      </c>
      <c r="B51" s="3231" t="str">
        <f>VLOOKUP($A51,'[5]01-RES.'!$A:$D,2,0)</f>
        <v>INSTALAÇÕES ELÉTRICAS</v>
      </c>
      <c r="C51" s="3232">
        <v>56440.009999999995</v>
      </c>
      <c r="D51" s="3233">
        <f>C51/$C$82</f>
        <v>4.2079240317455004E-3</v>
      </c>
      <c r="E51" s="2162">
        <v>0</v>
      </c>
      <c r="F51" s="2162">
        <v>0</v>
      </c>
      <c r="G51" s="2162">
        <v>0</v>
      </c>
      <c r="H51" s="2162">
        <v>0</v>
      </c>
      <c r="I51" s="2162">
        <v>0</v>
      </c>
      <c r="J51" s="2162">
        <v>0</v>
      </c>
      <c r="K51" s="2174">
        <f>$C51*K52</f>
        <v>0</v>
      </c>
      <c r="L51" s="2174">
        <f>$C51*L52</f>
        <v>0</v>
      </c>
      <c r="M51" s="2174">
        <f>$C51*M52</f>
        <v>0</v>
      </c>
      <c r="N51" s="2174">
        <f>$C51*N52</f>
        <v>0</v>
      </c>
      <c r="O51" s="2171">
        <f t="shared" si="13"/>
        <v>0</v>
      </c>
      <c r="Q51" s="2203">
        <f>C51-E51-F51-G51-H51-I51-J51-K51-L51-M51-N51</f>
        <v>56440.009999999995</v>
      </c>
      <c r="R51" s="2566"/>
      <c r="S51" s="2566"/>
      <c r="T51" s="2566"/>
      <c r="U51" s="2566"/>
      <c r="V51" s="2566"/>
    </row>
    <row r="52" spans="1:22" ht="15.75" thickBot="1">
      <c r="A52" s="3209"/>
      <c r="B52" s="3211"/>
      <c r="C52" s="3211"/>
      <c r="D52" s="3214"/>
      <c r="E52" s="2164">
        <f t="shared" ref="E52:J52" si="16">E51/$C$9</f>
        <v>0</v>
      </c>
      <c r="F52" s="2164">
        <f t="shared" si="16"/>
        <v>0</v>
      </c>
      <c r="G52" s="2164">
        <f t="shared" si="16"/>
        <v>0</v>
      </c>
      <c r="H52" s="2164">
        <f t="shared" si="16"/>
        <v>0</v>
      </c>
      <c r="I52" s="2164">
        <f t="shared" si="16"/>
        <v>0</v>
      </c>
      <c r="J52" s="2164">
        <f t="shared" si="16"/>
        <v>0</v>
      </c>
      <c r="K52" s="2175"/>
      <c r="L52" s="2175"/>
      <c r="M52" s="2175"/>
      <c r="N52" s="2175"/>
      <c r="O52" s="2173">
        <f t="shared" si="13"/>
        <v>0</v>
      </c>
      <c r="Q52" s="2203"/>
      <c r="R52" s="2566"/>
      <c r="S52" s="2566"/>
      <c r="T52" s="2566"/>
      <c r="U52" s="2566"/>
      <c r="V52" s="2566"/>
    </row>
    <row r="53" spans="1:22">
      <c r="A53" s="3215" t="s">
        <v>12646</v>
      </c>
      <c r="B53" s="3231" t="str">
        <f>VLOOKUP($A53,'[5]01-RES.'!$A:$D,2,0)</f>
        <v>INSTALAÇÕES PREVENÇÃO E COMBATE A INCENDIO E PANICO</v>
      </c>
      <c r="C53" s="3232">
        <v>140.16999999999999</v>
      </c>
      <c r="D53" s="3233">
        <f>C53/$C$82</f>
        <v>1.0450471421421909E-5</v>
      </c>
      <c r="E53" s="2162">
        <v>0</v>
      </c>
      <c r="F53" s="2162">
        <v>0</v>
      </c>
      <c r="G53" s="2162">
        <v>0</v>
      </c>
      <c r="H53" s="2162">
        <v>0</v>
      </c>
      <c r="I53" s="2162">
        <v>0</v>
      </c>
      <c r="J53" s="2162">
        <v>0</v>
      </c>
      <c r="K53" s="2174">
        <f>$C53*K54</f>
        <v>0</v>
      </c>
      <c r="L53" s="2174">
        <f>$C53*L54</f>
        <v>0</v>
      </c>
      <c r="M53" s="2174">
        <f>$C53*M54</f>
        <v>0</v>
      </c>
      <c r="N53" s="2174">
        <f>$C53*N54</f>
        <v>0</v>
      </c>
      <c r="O53" s="2171">
        <f t="shared" si="13"/>
        <v>0</v>
      </c>
      <c r="Q53" s="2203">
        <f>C53-E53-F53-G53-H53-I53-J53-K53-L53-M53-N53</f>
        <v>140.16999999999999</v>
      </c>
      <c r="R53" s="2566"/>
      <c r="S53" s="2566"/>
      <c r="T53" s="2566"/>
      <c r="U53" s="2566"/>
      <c r="V53" s="2566"/>
    </row>
    <row r="54" spans="1:22" ht="15.75" thickBot="1">
      <c r="A54" s="3209"/>
      <c r="B54" s="3211"/>
      <c r="C54" s="3211"/>
      <c r="D54" s="3214"/>
      <c r="E54" s="2164">
        <f t="shared" ref="E54:J54" si="17">E53/$C$9</f>
        <v>0</v>
      </c>
      <c r="F54" s="2164">
        <f t="shared" si="17"/>
        <v>0</v>
      </c>
      <c r="G54" s="2164">
        <f t="shared" si="17"/>
        <v>0</v>
      </c>
      <c r="H54" s="2164">
        <f t="shared" si="17"/>
        <v>0</v>
      </c>
      <c r="I54" s="2164">
        <f t="shared" si="17"/>
        <v>0</v>
      </c>
      <c r="J54" s="2164">
        <f t="shared" si="17"/>
        <v>0</v>
      </c>
      <c r="K54" s="2175"/>
      <c r="L54" s="2175"/>
      <c r="M54" s="2175"/>
      <c r="N54" s="2175"/>
      <c r="O54" s="2173">
        <f t="shared" si="13"/>
        <v>0</v>
      </c>
      <c r="Q54" s="2203"/>
      <c r="R54" s="2566"/>
      <c r="S54" s="2566"/>
      <c r="T54" s="2566"/>
      <c r="U54" s="2566"/>
      <c r="V54" s="2566"/>
    </row>
    <row r="55" spans="1:22">
      <c r="A55" s="2166" t="s">
        <v>12647</v>
      </c>
      <c r="B55" s="2167" t="str">
        <f>VLOOKUP($A55,'[5]01-RES.'!$A:$D,2,0)</f>
        <v>BANHEIROS DE APOIO CENTRO DE EVENTOS</v>
      </c>
      <c r="C55" s="2168">
        <f>SUM(C56:C64)</f>
        <v>1253157.7300000002</v>
      </c>
      <c r="D55" s="2169">
        <f>C55/$C$82</f>
        <v>9.3430042404929414E-2</v>
      </c>
      <c r="E55" s="3228"/>
      <c r="F55" s="3229"/>
      <c r="G55" s="3229"/>
      <c r="H55" s="3229"/>
      <c r="I55" s="3229"/>
      <c r="J55" s="3229"/>
      <c r="K55" s="3229"/>
      <c r="L55" s="3229"/>
      <c r="M55" s="3229"/>
      <c r="N55" s="3229"/>
      <c r="O55" s="3230"/>
      <c r="Q55" s="2203"/>
      <c r="R55" s="2566"/>
      <c r="S55" s="2566"/>
      <c r="T55" s="2566"/>
      <c r="U55" s="2566"/>
      <c r="V55" s="2566"/>
    </row>
    <row r="56" spans="1:22">
      <c r="A56" s="3215" t="s">
        <v>12648</v>
      </c>
      <c r="B56" s="3231" t="str">
        <f>VLOOKUP($A56,'[5]01-RES.'!$A:$D,2,0)</f>
        <v>SERVIÇOS DE ESTRUTURA</v>
      </c>
      <c r="C56" s="3232">
        <v>264009.67999999993</v>
      </c>
      <c r="D56" s="3233">
        <f>C56/$C$82</f>
        <v>1.9683424526066511E-2</v>
      </c>
      <c r="E56" s="2162">
        <v>0</v>
      </c>
      <c r="F56" s="2162">
        <v>0</v>
      </c>
      <c r="G56" s="2162">
        <v>0</v>
      </c>
      <c r="H56" s="2162">
        <v>0</v>
      </c>
      <c r="I56" s="2162">
        <v>0</v>
      </c>
      <c r="J56" s="2162">
        <v>0</v>
      </c>
      <c r="K56" s="2174">
        <f>$C56*K57</f>
        <v>0</v>
      </c>
      <c r="L56" s="2174">
        <f>$C56*L57</f>
        <v>0</v>
      </c>
      <c r="M56" s="2174">
        <f>$C56*M57</f>
        <v>0</v>
      </c>
      <c r="N56" s="2174">
        <f>$C56*N57</f>
        <v>0</v>
      </c>
      <c r="O56" s="2171">
        <f t="shared" ref="O56:O65" si="18">SUM(E56:N56)</f>
        <v>0</v>
      </c>
      <c r="Q56" s="2203">
        <f>C56-E56-F56-G56-H56-I56-J56-K56-L56-M56-N56</f>
        <v>264009.67999999993</v>
      </c>
      <c r="R56" s="2566"/>
      <c r="S56" s="2566"/>
      <c r="T56" s="2566"/>
      <c r="U56" s="2566"/>
      <c r="V56" s="2566"/>
    </row>
    <row r="57" spans="1:22" ht="15.75" thickBot="1">
      <c r="A57" s="3209"/>
      <c r="B57" s="3211"/>
      <c r="C57" s="3211"/>
      <c r="D57" s="3214"/>
      <c r="E57" s="2164">
        <f t="shared" ref="E57:J57" si="19">E56/$C$9</f>
        <v>0</v>
      </c>
      <c r="F57" s="2164">
        <f t="shared" si="19"/>
        <v>0</v>
      </c>
      <c r="G57" s="2164">
        <f t="shared" si="19"/>
        <v>0</v>
      </c>
      <c r="H57" s="2164">
        <f t="shared" si="19"/>
        <v>0</v>
      </c>
      <c r="I57" s="2164">
        <f t="shared" si="19"/>
        <v>0</v>
      </c>
      <c r="J57" s="2164">
        <f t="shared" si="19"/>
        <v>0</v>
      </c>
      <c r="K57" s="2175"/>
      <c r="L57" s="2175"/>
      <c r="M57" s="2175"/>
      <c r="N57" s="2175"/>
      <c r="O57" s="2173">
        <f t="shared" si="18"/>
        <v>0</v>
      </c>
      <c r="Q57" s="2203"/>
      <c r="R57" s="2566"/>
      <c r="S57" s="2566"/>
      <c r="T57" s="2566"/>
      <c r="U57" s="2566"/>
      <c r="V57" s="2566"/>
    </row>
    <row r="58" spans="1:22">
      <c r="A58" s="3215" t="s">
        <v>12649</v>
      </c>
      <c r="B58" s="3231" t="str">
        <f>VLOOKUP($A58,'[5]01-RES.'!$A:$D,2,0)</f>
        <v>ARQUITETURA</v>
      </c>
      <c r="C58" s="3232">
        <v>785508.59000000032</v>
      </c>
      <c r="D58" s="3233">
        <f>C58/$C$82</f>
        <v>5.8564136912865973E-2</v>
      </c>
      <c r="E58" s="2162">
        <v>0</v>
      </c>
      <c r="F58" s="2162">
        <v>0</v>
      </c>
      <c r="G58" s="2162">
        <v>0</v>
      </c>
      <c r="H58" s="2162">
        <v>0</v>
      </c>
      <c r="I58" s="2162">
        <v>0</v>
      </c>
      <c r="J58" s="2162">
        <v>0</v>
      </c>
      <c r="K58" s="2174">
        <f>$C58*K59</f>
        <v>0</v>
      </c>
      <c r="L58" s="2174">
        <f>$C58*L59</f>
        <v>0</v>
      </c>
      <c r="M58" s="2174">
        <f>$C58*M59</f>
        <v>0</v>
      </c>
      <c r="N58" s="2174">
        <f>$C58*N59</f>
        <v>0</v>
      </c>
      <c r="O58" s="2171">
        <f t="shared" si="18"/>
        <v>0</v>
      </c>
      <c r="Q58" s="2203">
        <f>C58-E58-F58-G58-H58-I58-J58-K58-L58-M58-N58</f>
        <v>785508.59000000032</v>
      </c>
      <c r="R58" s="2566"/>
      <c r="S58" s="2566"/>
      <c r="T58" s="2566"/>
      <c r="U58" s="2566"/>
      <c r="V58" s="2566"/>
    </row>
    <row r="59" spans="1:22" ht="15.75" thickBot="1">
      <c r="A59" s="3209"/>
      <c r="B59" s="3211"/>
      <c r="C59" s="3211"/>
      <c r="D59" s="3214"/>
      <c r="E59" s="2164">
        <f t="shared" ref="E59:J59" si="20">E58/$C$9</f>
        <v>0</v>
      </c>
      <c r="F59" s="2164">
        <f t="shared" si="20"/>
        <v>0</v>
      </c>
      <c r="G59" s="2164">
        <f t="shared" si="20"/>
        <v>0</v>
      </c>
      <c r="H59" s="2164">
        <f t="shared" si="20"/>
        <v>0</v>
      </c>
      <c r="I59" s="2164">
        <f t="shared" si="20"/>
        <v>0</v>
      </c>
      <c r="J59" s="2164">
        <f t="shared" si="20"/>
        <v>0</v>
      </c>
      <c r="K59" s="2175"/>
      <c r="L59" s="2175"/>
      <c r="M59" s="2175"/>
      <c r="N59" s="2175"/>
      <c r="O59" s="2173">
        <f t="shared" si="18"/>
        <v>0</v>
      </c>
      <c r="Q59" s="2203"/>
      <c r="R59" s="2566"/>
      <c r="S59" s="2566"/>
      <c r="T59" s="2566"/>
      <c r="U59" s="2566"/>
      <c r="V59" s="2566"/>
    </row>
    <row r="60" spans="1:22">
      <c r="A60" s="3215" t="s">
        <v>12650</v>
      </c>
      <c r="B60" s="3231" t="str">
        <f>VLOOKUP($A60,'[5]01-RES.'!$A:$D,2,0)</f>
        <v>INSTALAÇÕES HIDROSSANITÁRIAIS</v>
      </c>
      <c r="C60" s="3232">
        <v>124505.89000000003</v>
      </c>
      <c r="D60" s="3233">
        <f>C60/$C$82</f>
        <v>9.2826228525626046E-3</v>
      </c>
      <c r="E60" s="2162">
        <v>0</v>
      </c>
      <c r="F60" s="2162">
        <v>0</v>
      </c>
      <c r="G60" s="2162">
        <v>0</v>
      </c>
      <c r="H60" s="2162">
        <v>0</v>
      </c>
      <c r="I60" s="2162">
        <v>0</v>
      </c>
      <c r="J60" s="2162">
        <v>0</v>
      </c>
      <c r="K60" s="2174">
        <f>$C60*K61</f>
        <v>0</v>
      </c>
      <c r="L60" s="2174">
        <f>$C60*L61</f>
        <v>0</v>
      </c>
      <c r="M60" s="2174">
        <f>$C60*M61</f>
        <v>0</v>
      </c>
      <c r="N60" s="2176">
        <f>$C60*N61</f>
        <v>0</v>
      </c>
      <c r="O60" s="2171">
        <f t="shared" si="18"/>
        <v>0</v>
      </c>
      <c r="Q60" s="2203">
        <f>C60-E60-F60-G60-H60-I60-J60-K60-L60-M60-N60</f>
        <v>124505.89000000003</v>
      </c>
      <c r="R60" s="2566"/>
      <c r="S60" s="2566"/>
      <c r="T60" s="2566"/>
      <c r="U60" s="2566"/>
      <c r="V60" s="2566"/>
    </row>
    <row r="61" spans="1:22" ht="15.75" thickBot="1">
      <c r="A61" s="3209"/>
      <c r="B61" s="3211"/>
      <c r="C61" s="3211"/>
      <c r="D61" s="3214"/>
      <c r="E61" s="2164">
        <f t="shared" ref="E61:J61" si="21">E60/$C$9</f>
        <v>0</v>
      </c>
      <c r="F61" s="2164">
        <f t="shared" si="21"/>
        <v>0</v>
      </c>
      <c r="G61" s="2164">
        <f t="shared" si="21"/>
        <v>0</v>
      </c>
      <c r="H61" s="2164">
        <f t="shared" si="21"/>
        <v>0</v>
      </c>
      <c r="I61" s="2164">
        <f t="shared" si="21"/>
        <v>0</v>
      </c>
      <c r="J61" s="2164">
        <f t="shared" si="21"/>
        <v>0</v>
      </c>
      <c r="K61" s="2175"/>
      <c r="L61" s="2175"/>
      <c r="M61" s="2175"/>
      <c r="N61" s="2175"/>
      <c r="O61" s="2173">
        <f t="shared" si="18"/>
        <v>0</v>
      </c>
      <c r="Q61" s="2203"/>
      <c r="R61" s="2566"/>
      <c r="S61" s="2566"/>
      <c r="T61" s="2566"/>
      <c r="U61" s="2566"/>
      <c r="V61" s="2566"/>
    </row>
    <row r="62" spans="1:22">
      <c r="A62" s="3215" t="s">
        <v>12651</v>
      </c>
      <c r="B62" s="3231" t="str">
        <f>VLOOKUP($A62,'[5]01-RES.'!$A:$D,2,0)</f>
        <v>INSTALAÇÕES ELÉTRICAS</v>
      </c>
      <c r="C62" s="3232">
        <v>78974.689999999988</v>
      </c>
      <c r="D62" s="3233">
        <f>C62/$C$82</f>
        <v>5.8880127050057402E-3</v>
      </c>
      <c r="E62" s="2162">
        <v>0</v>
      </c>
      <c r="F62" s="2162">
        <v>0</v>
      </c>
      <c r="G62" s="2162">
        <v>0</v>
      </c>
      <c r="H62" s="2162">
        <v>0</v>
      </c>
      <c r="I62" s="2162">
        <v>0</v>
      </c>
      <c r="J62" s="2162">
        <v>0</v>
      </c>
      <c r="K62" s="2174">
        <f>$C62*K63</f>
        <v>0</v>
      </c>
      <c r="L62" s="2174">
        <f>$C62*L63</f>
        <v>0</v>
      </c>
      <c r="M62" s="2174">
        <f>$C62*M63</f>
        <v>0</v>
      </c>
      <c r="N62" s="2174">
        <f>$C62*N63</f>
        <v>0</v>
      </c>
      <c r="O62" s="2171">
        <f t="shared" si="18"/>
        <v>0</v>
      </c>
      <c r="Q62" s="2203">
        <f>C62-E62-F62-G62-H62-I62-J62-K62-L62-M62-N62</f>
        <v>78974.689999999988</v>
      </c>
      <c r="R62" s="2566"/>
      <c r="S62" s="2566"/>
      <c r="T62" s="2566"/>
      <c r="U62" s="2566"/>
      <c r="V62" s="2566"/>
    </row>
    <row r="63" spans="1:22" ht="15.75" thickBot="1">
      <c r="A63" s="3209"/>
      <c r="B63" s="3211"/>
      <c r="C63" s="3211"/>
      <c r="D63" s="3214"/>
      <c r="E63" s="2164">
        <f t="shared" ref="E63:J63" si="22">E62/$C$9</f>
        <v>0</v>
      </c>
      <c r="F63" s="2164">
        <f t="shared" si="22"/>
        <v>0</v>
      </c>
      <c r="G63" s="2164">
        <f t="shared" si="22"/>
        <v>0</v>
      </c>
      <c r="H63" s="2164">
        <f t="shared" si="22"/>
        <v>0</v>
      </c>
      <c r="I63" s="2164">
        <f t="shared" si="22"/>
        <v>0</v>
      </c>
      <c r="J63" s="2164">
        <f t="shared" si="22"/>
        <v>0</v>
      </c>
      <c r="K63" s="2175"/>
      <c r="L63" s="2175"/>
      <c r="M63" s="2175"/>
      <c r="N63" s="2175"/>
      <c r="O63" s="2173">
        <f t="shared" si="18"/>
        <v>0</v>
      </c>
      <c r="Q63" s="2203"/>
      <c r="R63" s="2566"/>
      <c r="S63" s="2566"/>
      <c r="T63" s="2566"/>
      <c r="U63" s="2566"/>
      <c r="V63" s="2566"/>
    </row>
    <row r="64" spans="1:22">
      <c r="A64" s="3215" t="s">
        <v>12652</v>
      </c>
      <c r="B64" s="3231" t="str">
        <f>VLOOKUP($A64,'[5]01-RES.'!$A:$D,2,0)</f>
        <v>INSTALAÇÕES PREVENÇÃO E COMBATE A INCENDIO E PANICO</v>
      </c>
      <c r="C64" s="3232">
        <v>158.88</v>
      </c>
      <c r="D64" s="3233">
        <f>C64/$C$82</f>
        <v>1.1845408428590376E-5</v>
      </c>
      <c r="E64" s="2162">
        <v>0</v>
      </c>
      <c r="F64" s="2162">
        <v>0</v>
      </c>
      <c r="G64" s="2162">
        <v>0</v>
      </c>
      <c r="H64" s="2162">
        <v>0</v>
      </c>
      <c r="I64" s="2162">
        <v>0</v>
      </c>
      <c r="J64" s="2162">
        <v>0</v>
      </c>
      <c r="K64" s="2174">
        <f>$C64*K65</f>
        <v>0</v>
      </c>
      <c r="L64" s="2174">
        <f>$C64*L65</f>
        <v>0</v>
      </c>
      <c r="M64" s="2174">
        <f>$C64*M65</f>
        <v>0</v>
      </c>
      <c r="N64" s="2174">
        <f>$C64*N65</f>
        <v>0</v>
      </c>
      <c r="O64" s="2171">
        <f t="shared" si="18"/>
        <v>0</v>
      </c>
      <c r="Q64" s="2203">
        <f>C64-E64-F64-G64-H64-I64-J64-K64-L64-M64-N64</f>
        <v>158.88</v>
      </c>
      <c r="R64" s="2566"/>
      <c r="S64" s="2566"/>
      <c r="T64" s="2566"/>
      <c r="U64" s="2566"/>
      <c r="V64" s="2566"/>
    </row>
    <row r="65" spans="1:22" ht="15.75" thickBot="1">
      <c r="A65" s="3209"/>
      <c r="B65" s="3211"/>
      <c r="C65" s="3211"/>
      <c r="D65" s="3214"/>
      <c r="E65" s="2164">
        <f t="shared" ref="E65:J65" si="23">E64/$C$9</f>
        <v>0</v>
      </c>
      <c r="F65" s="2164">
        <f t="shared" si="23"/>
        <v>0</v>
      </c>
      <c r="G65" s="2164">
        <f t="shared" si="23"/>
        <v>0</v>
      </c>
      <c r="H65" s="2164">
        <f t="shared" si="23"/>
        <v>0</v>
      </c>
      <c r="I65" s="2164">
        <f t="shared" si="23"/>
        <v>0</v>
      </c>
      <c r="J65" s="2164">
        <f t="shared" si="23"/>
        <v>0</v>
      </c>
      <c r="K65" s="2175"/>
      <c r="L65" s="2175"/>
      <c r="M65" s="2175"/>
      <c r="N65" s="2175"/>
      <c r="O65" s="2173">
        <f t="shared" si="18"/>
        <v>0</v>
      </c>
      <c r="Q65" s="2203"/>
      <c r="R65" s="2566"/>
      <c r="S65" s="2566"/>
      <c r="T65" s="2566"/>
      <c r="U65" s="2566"/>
      <c r="V65" s="2566"/>
    </row>
    <row r="66" spans="1:22">
      <c r="A66" s="2166" t="s">
        <v>12653</v>
      </c>
      <c r="B66" s="2167" t="str">
        <f>VLOOKUP($A66,'[5]01-RES.'!$A:$D,2,0)</f>
        <v>INFRA CONTÊINERES</v>
      </c>
      <c r="C66" s="2168">
        <f>SUM(C67:C80)</f>
        <v>253200.62</v>
      </c>
      <c r="D66" s="2169">
        <f>C66/$C$82</f>
        <v>1.8877547572207384E-2</v>
      </c>
      <c r="E66" s="3228"/>
      <c r="F66" s="3229"/>
      <c r="G66" s="3229"/>
      <c r="H66" s="3229"/>
      <c r="I66" s="3229"/>
      <c r="J66" s="3229"/>
      <c r="K66" s="3229"/>
      <c r="L66" s="3229"/>
      <c r="M66" s="3229"/>
      <c r="N66" s="3229"/>
      <c r="O66" s="3230"/>
      <c r="Q66" s="2203"/>
      <c r="R66" s="2566"/>
      <c r="S66" s="2566"/>
      <c r="T66" s="2566"/>
      <c r="U66" s="2566"/>
      <c r="V66" s="2566"/>
    </row>
    <row r="67" spans="1:22">
      <c r="A67" s="3215" t="s">
        <v>12655</v>
      </c>
      <c r="B67" s="3231" t="str">
        <f>VLOOKUP($A67,'[5]01-RES.'!$A:$D,2,0)</f>
        <v>INSTALAÇÕES HIDROSSANITÁRIAIS - CONTÊINERES PARA USO NO SUNSET</v>
      </c>
      <c r="C67" s="3232">
        <v>27112.310000000005</v>
      </c>
      <c r="D67" s="3233">
        <f>C67/$C$82</f>
        <v>2.0213770480397484E-3</v>
      </c>
      <c r="E67" s="2162">
        <v>0</v>
      </c>
      <c r="F67" s="2162">
        <v>0</v>
      </c>
      <c r="G67" s="2162">
        <v>6459.09</v>
      </c>
      <c r="H67" s="2162">
        <v>9094.3900000000012</v>
      </c>
      <c r="I67" s="2162">
        <v>0</v>
      </c>
      <c r="J67" s="2581">
        <f>'Medição '!N1634</f>
        <v>2865.3999999999996</v>
      </c>
      <c r="K67" s="2174">
        <f>$C67*K68</f>
        <v>0</v>
      </c>
      <c r="L67" s="2174">
        <f>$C67*L68</f>
        <v>0</v>
      </c>
      <c r="M67" s="2174">
        <f>$C67*M68</f>
        <v>0</v>
      </c>
      <c r="N67" s="2174">
        <f>$C67*N68</f>
        <v>0</v>
      </c>
      <c r="O67" s="2171">
        <f t="shared" ref="O67:O80" si="24">SUM(E67:N67)</f>
        <v>18418.88</v>
      </c>
      <c r="Q67" s="2203">
        <f>C67-E67-F67-G67-H67-I67-J67-K67-L67-M67-N67</f>
        <v>8693.4300000000039</v>
      </c>
      <c r="R67" s="2566"/>
      <c r="S67" s="2566"/>
      <c r="T67" s="2566"/>
      <c r="U67" s="2566"/>
      <c r="V67" s="2566"/>
    </row>
    <row r="68" spans="1:22" ht="15.75" thickBot="1">
      <c r="A68" s="3209"/>
      <c r="B68" s="3211"/>
      <c r="C68" s="3211"/>
      <c r="D68" s="3214"/>
      <c r="E68" s="2164">
        <f>E67/$C$9</f>
        <v>0</v>
      </c>
      <c r="F68" s="2164">
        <f>F67/$C$9</f>
        <v>0</v>
      </c>
      <c r="G68" s="2164">
        <f>G67/$C$45</f>
        <v>2.552390251119456E-2</v>
      </c>
      <c r="H68" s="2164">
        <f>H67/$C$45</f>
        <v>3.5937620277590607E-2</v>
      </c>
      <c r="I68" s="2164">
        <f>I67/$C$9</f>
        <v>0</v>
      </c>
      <c r="J68" s="2164">
        <f>J67/$C$9</f>
        <v>2.8531536368966389E-3</v>
      </c>
      <c r="K68" s="2175"/>
      <c r="L68" s="2175"/>
      <c r="M68" s="2175"/>
      <c r="N68" s="2175"/>
      <c r="O68" s="2173">
        <f t="shared" si="24"/>
        <v>6.431467642568181E-2</v>
      </c>
      <c r="Q68" s="2203"/>
      <c r="R68" s="2566"/>
      <c r="S68" s="2566"/>
      <c r="T68" s="2566"/>
      <c r="U68" s="2566"/>
      <c r="V68" s="2566"/>
    </row>
    <row r="69" spans="1:22">
      <c r="A69" s="3215" t="s">
        <v>12656</v>
      </c>
      <c r="B69" s="3231" t="str">
        <f>VLOOKUP($A69,'[5]01-RES.'!$A:$D,2,0)</f>
        <v>INSTALAÇÕES HIDROSSANITÁRIAIS - CONTÊINERES PARA USO NO ESTACIONAMENTO BLOCO DE SERVIÇOS</v>
      </c>
      <c r="C69" s="3232">
        <v>22180.120000000003</v>
      </c>
      <c r="D69" s="3233">
        <f>C69/$C$82</f>
        <v>1.6536542069180891E-3</v>
      </c>
      <c r="E69" s="2162">
        <v>0</v>
      </c>
      <c r="F69" s="2162">
        <v>0</v>
      </c>
      <c r="G69" s="2162">
        <v>0</v>
      </c>
      <c r="H69" s="2162">
        <v>0</v>
      </c>
      <c r="I69" s="2162">
        <v>9695.84</v>
      </c>
      <c r="J69" s="2162">
        <v>0</v>
      </c>
      <c r="K69" s="2176">
        <f>$C69*K70</f>
        <v>0</v>
      </c>
      <c r="L69" s="2176">
        <f>$C69*L70</f>
        <v>0</v>
      </c>
      <c r="M69" s="2176">
        <f>$C69*M70</f>
        <v>0</v>
      </c>
      <c r="N69" s="2176">
        <f>$C69*N70</f>
        <v>0</v>
      </c>
      <c r="O69" s="2171">
        <f t="shared" si="24"/>
        <v>9695.84</v>
      </c>
      <c r="Q69" s="2203">
        <f>C69-E69-F69-G69-H69-I69-J69-K69-L69-M69-N69</f>
        <v>12484.280000000002</v>
      </c>
      <c r="R69" s="2566"/>
      <c r="S69" s="2566"/>
      <c r="T69" s="2566"/>
      <c r="U69" s="2566"/>
      <c r="V69" s="2566"/>
    </row>
    <row r="70" spans="1:22" ht="15.75" thickBot="1">
      <c r="A70" s="3209"/>
      <c r="B70" s="3211"/>
      <c r="C70" s="3211"/>
      <c r="D70" s="3214"/>
      <c r="E70" s="2164">
        <f>E69/$C$9</f>
        <v>0</v>
      </c>
      <c r="F70" s="2164">
        <f>F69/$C$9</f>
        <v>0</v>
      </c>
      <c r="G70" s="2164">
        <f>G69/$C$9</f>
        <v>0</v>
      </c>
      <c r="H70" s="2164">
        <f>H69/$C$9</f>
        <v>0</v>
      </c>
      <c r="I70" s="2164">
        <f>I69/$C$67</f>
        <v>0.3576176283024205</v>
      </c>
      <c r="J70" s="2164">
        <f>J69/$C$9</f>
        <v>0</v>
      </c>
      <c r="K70" s="2175"/>
      <c r="L70" s="2175"/>
      <c r="M70" s="2175"/>
      <c r="N70" s="2175"/>
      <c r="O70" s="2173">
        <f t="shared" si="24"/>
        <v>0.3576176283024205</v>
      </c>
      <c r="Q70" s="2203"/>
      <c r="R70" s="2566"/>
      <c r="S70" s="2566"/>
      <c r="T70" s="2566"/>
      <c r="U70" s="2566"/>
      <c r="V70" s="2566"/>
    </row>
    <row r="71" spans="1:22">
      <c r="A71" s="3215" t="s">
        <v>12657</v>
      </c>
      <c r="B71" s="3231" t="str">
        <f>VLOOKUP($A71,'[5]01-RES.'!$A:$D,2,0)</f>
        <v>INSTALAÇÕES HIDROSSANITÁRIAIS - CONTÊINERES PARA KARTÓDROMO</v>
      </c>
      <c r="C71" s="3232">
        <v>24803.919999999998</v>
      </c>
      <c r="D71" s="3233">
        <f>C71/$C$82</f>
        <v>1.8492734329687902E-3</v>
      </c>
      <c r="E71" s="2162">
        <v>0</v>
      </c>
      <c r="F71" s="2162">
        <v>0</v>
      </c>
      <c r="G71" s="2162">
        <v>0</v>
      </c>
      <c r="H71" s="2162">
        <v>0</v>
      </c>
      <c r="I71" s="2162">
        <v>0</v>
      </c>
      <c r="J71" s="2162">
        <v>0</v>
      </c>
      <c r="K71" s="2174">
        <f>$C71*K72</f>
        <v>0</v>
      </c>
      <c r="L71" s="2176">
        <f>$C71*L72</f>
        <v>0</v>
      </c>
      <c r="M71" s="2176">
        <f>$C71*M72</f>
        <v>0</v>
      </c>
      <c r="N71" s="2176">
        <f>$C71*N72</f>
        <v>0</v>
      </c>
      <c r="O71" s="2171">
        <f t="shared" si="24"/>
        <v>0</v>
      </c>
      <c r="Q71" s="2203">
        <f>C71-E71-F71-G71-H71-I71-J71-K71-L71-M71-N71</f>
        <v>24803.919999999998</v>
      </c>
      <c r="R71" s="2566"/>
      <c r="S71" s="2566"/>
      <c r="T71" s="2566"/>
      <c r="U71" s="2566"/>
      <c r="V71" s="2566"/>
    </row>
    <row r="72" spans="1:22" ht="15.75" thickBot="1">
      <c r="A72" s="3209"/>
      <c r="B72" s="3211"/>
      <c r="C72" s="3211"/>
      <c r="D72" s="3214"/>
      <c r="E72" s="2164">
        <f t="shared" ref="E72:J72" si="25">E71/$C$9</f>
        <v>0</v>
      </c>
      <c r="F72" s="2164">
        <f t="shared" si="25"/>
        <v>0</v>
      </c>
      <c r="G72" s="2164">
        <f t="shared" si="25"/>
        <v>0</v>
      </c>
      <c r="H72" s="2164">
        <f t="shared" si="25"/>
        <v>0</v>
      </c>
      <c r="I72" s="2164">
        <f t="shared" si="25"/>
        <v>0</v>
      </c>
      <c r="J72" s="2164">
        <f t="shared" si="25"/>
        <v>0</v>
      </c>
      <c r="K72" s="2175"/>
      <c r="L72" s="2175"/>
      <c r="M72" s="2175"/>
      <c r="N72" s="2175"/>
      <c r="O72" s="2173">
        <f t="shared" si="24"/>
        <v>0</v>
      </c>
      <c r="Q72" s="2203"/>
      <c r="R72" s="2566"/>
      <c r="S72" s="2566"/>
      <c r="T72" s="2566"/>
      <c r="U72" s="2566"/>
      <c r="V72" s="2566"/>
    </row>
    <row r="73" spans="1:22">
      <c r="A73" s="3215" t="s">
        <v>12658</v>
      </c>
      <c r="B73" s="3231" t="str">
        <f>VLOOKUP($A73,'[5]01-RES.'!$A:$D,2,0)</f>
        <v>INSTALAÇÕES HIDROSSANITÁRIAIS - CONTÊINERES PARA PRAÇA DA ORLA</v>
      </c>
      <c r="C73" s="3232">
        <v>17824.43</v>
      </c>
      <c r="D73" s="3233">
        <f>C73/$C$82</f>
        <v>1.328912722537885E-3</v>
      </c>
      <c r="E73" s="2162">
        <v>0</v>
      </c>
      <c r="F73" s="2162">
        <v>0</v>
      </c>
      <c r="G73" s="2162">
        <v>0</v>
      </c>
      <c r="H73" s="2162">
        <v>0</v>
      </c>
      <c r="I73" s="2162">
        <v>0</v>
      </c>
      <c r="J73" s="2162">
        <v>0</v>
      </c>
      <c r="K73" s="2174">
        <f>$C73*K74</f>
        <v>0</v>
      </c>
      <c r="L73" s="2176">
        <f>$C73*L74</f>
        <v>0</v>
      </c>
      <c r="M73" s="2176">
        <f>$C73*M74</f>
        <v>0</v>
      </c>
      <c r="N73" s="2176">
        <f>$C73*N74</f>
        <v>0</v>
      </c>
      <c r="O73" s="2171">
        <f t="shared" si="24"/>
        <v>0</v>
      </c>
      <c r="Q73" s="2203">
        <f>C73-E73-F73-G73-H73-I73-J73-K73-L73-M73-N73</f>
        <v>17824.43</v>
      </c>
      <c r="R73" s="2566"/>
      <c r="S73" s="2566"/>
      <c r="T73" s="2566"/>
      <c r="U73" s="2566"/>
      <c r="V73" s="2566"/>
    </row>
    <row r="74" spans="1:22" ht="15.75" thickBot="1">
      <c r="A74" s="3209"/>
      <c r="B74" s="3211"/>
      <c r="C74" s="3211"/>
      <c r="D74" s="3214"/>
      <c r="E74" s="2164">
        <f t="shared" ref="E74:J74" si="26">E73/$C$9</f>
        <v>0</v>
      </c>
      <c r="F74" s="2164">
        <f t="shared" si="26"/>
        <v>0</v>
      </c>
      <c r="G74" s="2164">
        <f t="shared" si="26"/>
        <v>0</v>
      </c>
      <c r="H74" s="2164">
        <f t="shared" si="26"/>
        <v>0</v>
      </c>
      <c r="I74" s="2164">
        <f t="shared" si="26"/>
        <v>0</v>
      </c>
      <c r="J74" s="2164">
        <f t="shared" si="26"/>
        <v>0</v>
      </c>
      <c r="K74" s="2175"/>
      <c r="L74" s="2175"/>
      <c r="M74" s="2175"/>
      <c r="N74" s="2175"/>
      <c r="O74" s="2173">
        <f t="shared" si="24"/>
        <v>0</v>
      </c>
      <c r="Q74" s="2203"/>
      <c r="R74" s="2566"/>
      <c r="S74" s="2566"/>
      <c r="T74" s="2566"/>
      <c r="U74" s="2566"/>
      <c r="V74" s="2566"/>
    </row>
    <row r="75" spans="1:22">
      <c r="A75" s="3215" t="s">
        <v>12659</v>
      </c>
      <c r="B75" s="3231" t="str">
        <f>VLOOKUP($A75,'[5]01-RES.'!$A:$D,2,0)</f>
        <v>INSTALAÇÕES HIDROSSANITÁRIAIS - CONTÊINERES AO LADO DO ESPAÇO SHOWS</v>
      </c>
      <c r="C75" s="3232">
        <v>27839.35</v>
      </c>
      <c r="D75" s="3233">
        <f>C75/$C$82</f>
        <v>2.0755820187341231E-3</v>
      </c>
      <c r="E75" s="2162">
        <v>0</v>
      </c>
      <c r="F75" s="2162">
        <v>0</v>
      </c>
      <c r="G75" s="2162">
        <v>0</v>
      </c>
      <c r="H75" s="2162">
        <v>0</v>
      </c>
      <c r="I75" s="2162">
        <v>0</v>
      </c>
      <c r="J75" s="2162">
        <v>0</v>
      </c>
      <c r="K75" s="2176">
        <f>$C75*K76</f>
        <v>0</v>
      </c>
      <c r="L75" s="2174">
        <f>$C75*L76</f>
        <v>0</v>
      </c>
      <c r="M75" s="2176">
        <f>$C75*M76</f>
        <v>0</v>
      </c>
      <c r="N75" s="2176">
        <f>$C75*N76</f>
        <v>0</v>
      </c>
      <c r="O75" s="2171">
        <f t="shared" si="24"/>
        <v>0</v>
      </c>
      <c r="Q75" s="2203">
        <f>C75-E75-F75-G75-H75-I75-J75-K75-L75-M75-N75</f>
        <v>27839.35</v>
      </c>
      <c r="R75" s="2566"/>
      <c r="S75" s="2566"/>
      <c r="T75" s="2566"/>
      <c r="U75" s="2566"/>
      <c r="V75" s="2566"/>
    </row>
    <row r="76" spans="1:22" ht="15.75" thickBot="1">
      <c r="A76" s="3209"/>
      <c r="B76" s="3211"/>
      <c r="C76" s="3211"/>
      <c r="D76" s="3214"/>
      <c r="E76" s="2164">
        <f t="shared" ref="E76:J76" si="27">E75/$C$9</f>
        <v>0</v>
      </c>
      <c r="F76" s="2164">
        <f t="shared" si="27"/>
        <v>0</v>
      </c>
      <c r="G76" s="2164">
        <f t="shared" si="27"/>
        <v>0</v>
      </c>
      <c r="H76" s="2164">
        <f t="shared" si="27"/>
        <v>0</v>
      </c>
      <c r="I76" s="2164">
        <f t="shared" si="27"/>
        <v>0</v>
      </c>
      <c r="J76" s="2164">
        <f t="shared" si="27"/>
        <v>0</v>
      </c>
      <c r="K76" s="2175"/>
      <c r="L76" s="2175"/>
      <c r="M76" s="2175"/>
      <c r="N76" s="2175"/>
      <c r="O76" s="2173">
        <f t="shared" si="24"/>
        <v>0</v>
      </c>
      <c r="Q76" s="2203"/>
      <c r="R76" s="2566"/>
      <c r="S76" s="2566"/>
      <c r="T76" s="2566"/>
      <c r="U76" s="2566"/>
      <c r="V76" s="2566"/>
    </row>
    <row r="77" spans="1:22">
      <c r="A77" s="3215" t="s">
        <v>12660</v>
      </c>
      <c r="B77" s="3231" t="str">
        <f>VLOOKUP($A77,'[5]01-RES.'!$A:$D,2,0)</f>
        <v>INSTALAÇÕES HIDROSSANITÁRIAIS - CONTÊINERES AO LADO DO CENTRO DE EVENTOS</v>
      </c>
      <c r="C77" s="3232">
        <v>37866.17</v>
      </c>
      <c r="D77" s="3233">
        <f>C77/$C$82</f>
        <v>2.823138527671425E-3</v>
      </c>
      <c r="E77" s="2162">
        <v>0</v>
      </c>
      <c r="F77" s="2162">
        <v>0</v>
      </c>
      <c r="G77" s="2162">
        <v>0</v>
      </c>
      <c r="H77" s="2162">
        <v>0</v>
      </c>
      <c r="I77" s="2162">
        <v>0</v>
      </c>
      <c r="J77" s="2162">
        <v>0</v>
      </c>
      <c r="K77" s="2176">
        <f>$C77*K78</f>
        <v>0</v>
      </c>
      <c r="L77" s="2174">
        <f>$C77*L78</f>
        <v>0</v>
      </c>
      <c r="M77" s="2176">
        <f>$C77*M78</f>
        <v>0</v>
      </c>
      <c r="N77" s="2176">
        <f>$C77*N78</f>
        <v>0</v>
      </c>
      <c r="O77" s="2171">
        <f t="shared" si="24"/>
        <v>0</v>
      </c>
      <c r="Q77" s="2203">
        <f>C77-E77-F77-G77-H77-I77-J77-K77-L77-M77-N77</f>
        <v>37866.17</v>
      </c>
      <c r="R77" s="2566"/>
      <c r="S77" s="2566"/>
      <c r="T77" s="2566"/>
      <c r="U77" s="2566"/>
      <c r="V77" s="2566"/>
    </row>
    <row r="78" spans="1:22" ht="15.75" thickBot="1">
      <c r="A78" s="3209"/>
      <c r="B78" s="3211"/>
      <c r="C78" s="3211"/>
      <c r="D78" s="3214"/>
      <c r="E78" s="2164">
        <f t="shared" ref="E78:J78" si="28">E77/$C$9</f>
        <v>0</v>
      </c>
      <c r="F78" s="2164">
        <f t="shared" si="28"/>
        <v>0</v>
      </c>
      <c r="G78" s="2164">
        <f t="shared" si="28"/>
        <v>0</v>
      </c>
      <c r="H78" s="2164">
        <f t="shared" si="28"/>
        <v>0</v>
      </c>
      <c r="I78" s="2164">
        <f t="shared" si="28"/>
        <v>0</v>
      </c>
      <c r="J78" s="2164">
        <f t="shared" si="28"/>
        <v>0</v>
      </c>
      <c r="K78" s="2175"/>
      <c r="L78" s="2175"/>
      <c r="M78" s="2175"/>
      <c r="N78" s="2175"/>
      <c r="O78" s="2173">
        <f t="shared" si="24"/>
        <v>0</v>
      </c>
      <c r="Q78" s="2203"/>
      <c r="R78" s="2566"/>
      <c r="S78" s="2566"/>
      <c r="T78" s="2566"/>
      <c r="U78" s="2566"/>
      <c r="V78" s="2566"/>
    </row>
    <row r="79" spans="1:22">
      <c r="A79" s="3215" t="s">
        <v>12661</v>
      </c>
      <c r="B79" s="3231" t="str">
        <f>VLOOKUP($A79,'[5]01-RES.'!$A:$D,2,0)</f>
        <v>INSTALAÇÕES ELÉTRICAS E CABEAMENTO ESTRUTURADO</v>
      </c>
      <c r="C79" s="3232">
        <v>95574.319999999992</v>
      </c>
      <c r="D79" s="3233">
        <f>C79/$C$82</f>
        <v>7.1256096153373217E-3</v>
      </c>
      <c r="E79" s="2162">
        <v>0</v>
      </c>
      <c r="F79" s="2162">
        <v>0</v>
      </c>
      <c r="G79" s="2162">
        <v>0</v>
      </c>
      <c r="H79" s="2162">
        <v>0</v>
      </c>
      <c r="I79" s="2162">
        <v>0</v>
      </c>
      <c r="J79" s="2581">
        <f>'Medição '!N1783</f>
        <v>1146.27</v>
      </c>
      <c r="K79" s="2176">
        <f>$C79*K80</f>
        <v>0</v>
      </c>
      <c r="L79" s="2176">
        <f>$C79*L80</f>
        <v>0</v>
      </c>
      <c r="M79" s="2174">
        <f>$C79*M80</f>
        <v>0</v>
      </c>
      <c r="N79" s="2174">
        <f>$C79*N80</f>
        <v>0</v>
      </c>
      <c r="O79" s="2171">
        <f t="shared" si="24"/>
        <v>1146.27</v>
      </c>
      <c r="Q79" s="2203">
        <f>C79-E79-F79-G79-H79-I79-J79-K79-L79-M79-N79</f>
        <v>94428.049999999988</v>
      </c>
      <c r="R79" s="2566"/>
      <c r="S79" s="2566"/>
      <c r="T79" s="2566"/>
      <c r="U79" s="2566"/>
      <c r="V79" s="2566"/>
    </row>
    <row r="80" spans="1:22" ht="15.75" thickBot="1">
      <c r="A80" s="3209"/>
      <c r="B80" s="3211"/>
      <c r="C80" s="3211"/>
      <c r="D80" s="3214"/>
      <c r="E80" s="2164">
        <f t="shared" ref="E80:J80" si="29">E79/$C$9</f>
        <v>0</v>
      </c>
      <c r="F80" s="2164">
        <f t="shared" si="29"/>
        <v>0</v>
      </c>
      <c r="G80" s="2164">
        <f t="shared" si="29"/>
        <v>0</v>
      </c>
      <c r="H80" s="2164">
        <f t="shared" si="29"/>
        <v>0</v>
      </c>
      <c r="I80" s="2164">
        <f t="shared" si="29"/>
        <v>0</v>
      </c>
      <c r="J80" s="2164">
        <f t="shared" si="29"/>
        <v>1.1413709846323412E-3</v>
      </c>
      <c r="K80" s="2193"/>
      <c r="L80" s="2193"/>
      <c r="M80" s="2175"/>
      <c r="N80" s="2175"/>
      <c r="O80" s="2194">
        <f t="shared" si="24"/>
        <v>1.1413709846323412E-3</v>
      </c>
      <c r="Q80" s="2203"/>
      <c r="R80" s="2566"/>
    </row>
    <row r="81" spans="1:22">
      <c r="A81" s="2190"/>
      <c r="B81" s="2191"/>
      <c r="C81" s="2191"/>
      <c r="D81" s="2192"/>
      <c r="E81" s="2195" t="s">
        <v>15461</v>
      </c>
      <c r="F81" s="2195" t="s">
        <v>15462</v>
      </c>
      <c r="G81" s="2195" t="s">
        <v>15463</v>
      </c>
      <c r="H81" s="2195" t="s">
        <v>15464</v>
      </c>
      <c r="I81" s="2583" t="s">
        <v>15465</v>
      </c>
      <c r="J81" s="2195" t="s">
        <v>15466</v>
      </c>
      <c r="K81" s="2195" t="s">
        <v>15467</v>
      </c>
      <c r="L81" s="2195" t="s">
        <v>15468</v>
      </c>
      <c r="M81" s="2195" t="s">
        <v>15469</v>
      </c>
      <c r="N81" s="2195" t="s">
        <v>15470</v>
      </c>
      <c r="O81" s="2195"/>
      <c r="Q81" s="2203">
        <f>SUM(Q9:Q80)</f>
        <v>12848238.85</v>
      </c>
      <c r="R81" s="2203"/>
      <c r="S81" s="2203"/>
      <c r="T81" s="2203"/>
      <c r="U81" s="2203"/>
      <c r="V81" s="2203"/>
    </row>
    <row r="82" spans="1:22" ht="15.75" thickBot="1">
      <c r="A82" s="2178"/>
      <c r="B82" s="2179" t="s">
        <v>15471</v>
      </c>
      <c r="C82" s="2180">
        <f>SUM(C55,C44,C33,C24,C13,C8,C66)</f>
        <v>13412792.050000001</v>
      </c>
      <c r="D82" s="2181">
        <f>C82/$C$82</f>
        <v>1</v>
      </c>
      <c r="E82" s="3234"/>
      <c r="F82" s="3235"/>
      <c r="G82" s="3235"/>
      <c r="H82" s="3235"/>
      <c r="I82" s="3235"/>
      <c r="J82" s="3235"/>
      <c r="K82" s="3235"/>
      <c r="L82" s="3235"/>
      <c r="M82" s="3235"/>
      <c r="N82" s="3235"/>
      <c r="O82" s="3236"/>
      <c r="Q82" s="2203"/>
    </row>
    <row r="83" spans="1:22">
      <c r="A83" s="3237" t="s">
        <v>16974</v>
      </c>
      <c r="B83" s="3238"/>
      <c r="C83" s="3238"/>
      <c r="D83" s="3239"/>
      <c r="E83" s="2431">
        <f>SUM(E79,E77,E75,E71,E69,E67,E62,E60,E58,E56,E53,E51,E49,E47,E45,E42,E40,E38,E36,E34,E31,E29,E27,E25,E22,E20,E18,E16,E14,E11,E9,E73)</f>
        <v>0</v>
      </c>
      <c r="F83" s="2202">
        <f>SUM(F79,F77,F75,F71,F69,F67,F62,F60,F58,F56,F53,F51,F49,F47,F45,F42,F40,F38,F36,F34,F31,F29,F27,F25,F22,F20,F18,F16,F14,F11,F9,F73)</f>
        <v>98945.38</v>
      </c>
      <c r="G83" s="2202">
        <f>SUM(G79,G77,G75,G71,G69,G67,G62,G60,G58,G56,G53,G51,G49,G47,G45,G42,G40,G38,G36,G34,G31,G29,G27,G25,G22,G20,G18,G16,G14,G11,G9,G73)</f>
        <v>109171.75000000001</v>
      </c>
      <c r="H83" s="2202">
        <f>SUM(H79,H77,H75,H71,H69,H67,H62,H60,H58,H56,H53,H51,H49,H47,H45,H42,H40,H38,H36,H34,H31,H29,H27,H25,H22,H20,H18,H16,H14,H11,H9,H73)</f>
        <v>184652.68000000002</v>
      </c>
      <c r="I83" s="2202">
        <f t="shared" ref="I83:N83" si="30">SUM(I79,I77,I75,I71,I69,I67,I62,I60,I58,I56,I53,I51,I49,I47,I45,I42,I40,I38,I36,I34,I31,I29,I27,I25,I22,I20,I18,I16,I14,I11,I9,I73)</f>
        <v>159714.33000000002</v>
      </c>
      <c r="J83" s="2202">
        <f t="shared" si="30"/>
        <v>12069.059999999994</v>
      </c>
      <c r="K83" s="2202">
        <f t="shared" si="30"/>
        <v>0</v>
      </c>
      <c r="L83" s="2202">
        <f t="shared" si="30"/>
        <v>0</v>
      </c>
      <c r="M83" s="2202">
        <f t="shared" si="30"/>
        <v>0</v>
      </c>
      <c r="N83" s="2202">
        <f t="shared" si="30"/>
        <v>0</v>
      </c>
      <c r="O83" s="2202">
        <f>J88</f>
        <v>564553.20000000007</v>
      </c>
      <c r="Q83" s="2203"/>
    </row>
    <row r="84" spans="1:22" ht="15.75" thickBot="1">
      <c r="A84" s="3246" t="s">
        <v>16975</v>
      </c>
      <c r="B84" s="3247"/>
      <c r="C84" s="3247"/>
      <c r="D84" s="3248"/>
      <c r="E84" s="2201"/>
      <c r="F84" s="2196"/>
      <c r="G84" s="2196"/>
      <c r="H84" s="2196"/>
      <c r="I84" s="2196"/>
      <c r="J84" s="2196"/>
      <c r="K84" s="2196"/>
      <c r="L84" s="2196"/>
      <c r="M84" s="2196"/>
      <c r="N84" s="2196"/>
      <c r="O84" s="2197"/>
    </row>
    <row r="85" spans="1:22">
      <c r="A85" s="3237" t="s">
        <v>16976</v>
      </c>
      <c r="B85" s="3238"/>
      <c r="C85" s="3238"/>
      <c r="D85" s="3239"/>
      <c r="E85" s="2182">
        <f t="shared" ref="E85:M85" si="31">SUM(E79,E77,E75,E71,E69,E67,E62,E60,E58,E56,E53,E51,E49,E47,E45,E42,E40,E38,E36,E34,E31,E29,E27,E25,E22,E20,E18,E16,E14,E11,E9,E73)</f>
        <v>0</v>
      </c>
      <c r="F85" s="2182">
        <f t="shared" si="31"/>
        <v>98945.38</v>
      </c>
      <c r="G85" s="2182">
        <v>109171.75</v>
      </c>
      <c r="H85" s="2182">
        <f t="shared" si="31"/>
        <v>184652.68000000002</v>
      </c>
      <c r="I85" s="2182">
        <f t="shared" si="31"/>
        <v>159714.33000000002</v>
      </c>
      <c r="J85" s="2182">
        <f t="shared" si="31"/>
        <v>12069.059999999994</v>
      </c>
      <c r="K85" s="2182">
        <f t="shared" si="31"/>
        <v>0</v>
      </c>
      <c r="L85" s="2182">
        <f t="shared" si="31"/>
        <v>0</v>
      </c>
      <c r="M85" s="2182">
        <f t="shared" si="31"/>
        <v>0</v>
      </c>
      <c r="N85" s="2182">
        <f>SUM(N79,N77,N75,N71,N69,N67,N62,N60,N58,N56,N53,N51,N49,N47,N45,N42,N40,N38,N36,N34,N31,N29,N27,N25,N22,N20,N18,N16,N14,N11,N9,N73,N64)</f>
        <v>0</v>
      </c>
      <c r="O85" s="2183">
        <f>SUM(O79,O77,O75,O71,O69,O67,O62,O60,O58,O56,O53,O51,O49,O47,O45,O42,O40,O38,O36,O34,O31,O29,O27,O25,O22,O20,O18,O16,O14,O11,O9,O73,O64)</f>
        <v>564553.20000000007</v>
      </c>
    </row>
    <row r="86" spans="1:22">
      <c r="A86" s="3246" t="s">
        <v>16973</v>
      </c>
      <c r="B86" s="3247"/>
      <c r="C86" s="3247"/>
      <c r="D86" s="3248"/>
      <c r="E86" s="2561">
        <f>E83/$C$82</f>
        <v>0</v>
      </c>
      <c r="F86" s="2561">
        <f t="shared" ref="F86:N86" si="32">F83/$C$82</f>
        <v>7.3769413281852825E-3</v>
      </c>
      <c r="G86" s="2561">
        <f t="shared" si="32"/>
        <v>8.1393754255662237E-3</v>
      </c>
      <c r="H86" s="2561">
        <f t="shared" si="32"/>
        <v>1.3766908434251018E-2</v>
      </c>
      <c r="I86" s="2561">
        <f t="shared" si="32"/>
        <v>1.1907612479535907E-2</v>
      </c>
      <c r="J86" s="2561">
        <f t="shared" si="32"/>
        <v>8.9981712644236463E-4</v>
      </c>
      <c r="K86" s="2561">
        <f t="shared" si="32"/>
        <v>0</v>
      </c>
      <c r="L86" s="2561">
        <f t="shared" si="32"/>
        <v>0</v>
      </c>
      <c r="M86" s="2561">
        <f t="shared" si="32"/>
        <v>0</v>
      </c>
      <c r="N86" s="2561">
        <f t="shared" si="32"/>
        <v>0</v>
      </c>
      <c r="O86" s="2562">
        <f>SUM(E86:N86)</f>
        <v>4.2090654793980803E-2</v>
      </c>
    </row>
    <row r="87" spans="1:22">
      <c r="A87" s="3240" t="s">
        <v>15473</v>
      </c>
      <c r="B87" s="3241"/>
      <c r="C87" s="3241"/>
      <c r="D87" s="3242"/>
      <c r="E87" s="2184">
        <v>2.1916541679329174E-2</v>
      </c>
      <c r="F87" s="2185">
        <v>5.8450040757919625E-2</v>
      </c>
      <c r="G87" s="2185">
        <v>6.6690132722962786E-2</v>
      </c>
      <c r="H87" s="2185">
        <v>6.4423727273099723E-2</v>
      </c>
      <c r="I87" s="2185">
        <v>8.0466316630921006E-2</v>
      </c>
      <c r="J87" s="2185">
        <v>0.13036268671592505</v>
      </c>
      <c r="K87" s="2185">
        <v>0.16899331276816446</v>
      </c>
      <c r="L87" s="2185">
        <v>0.15945551075624106</v>
      </c>
      <c r="M87" s="2185">
        <v>0.15699861327530237</v>
      </c>
      <c r="N87" s="2185">
        <v>9.2243117420134746E-2</v>
      </c>
      <c r="O87" s="2186">
        <f>SUM(E87:N87)</f>
        <v>1</v>
      </c>
    </row>
    <row r="88" spans="1:22" ht="15.75" thickBot="1">
      <c r="A88" s="3243" t="s">
        <v>15474</v>
      </c>
      <c r="B88" s="3244"/>
      <c r="C88" s="3244"/>
      <c r="D88" s="3245"/>
      <c r="E88" s="2187">
        <f>E85</f>
        <v>0</v>
      </c>
      <c r="F88" s="2188">
        <f t="shared" ref="F88:N88" si="33">F85+E88</f>
        <v>98945.38</v>
      </c>
      <c r="G88" s="2188">
        <f>G85+F88</f>
        <v>208117.13</v>
      </c>
      <c r="H88" s="2188">
        <f t="shared" si="33"/>
        <v>392769.81000000006</v>
      </c>
      <c r="I88" s="2188">
        <f t="shared" si="33"/>
        <v>552484.14000000013</v>
      </c>
      <c r="J88" s="2188">
        <f t="shared" si="33"/>
        <v>564553.20000000007</v>
      </c>
      <c r="K88" s="2188">
        <f t="shared" si="33"/>
        <v>564553.20000000007</v>
      </c>
      <c r="L88" s="2188">
        <f t="shared" si="33"/>
        <v>564553.20000000007</v>
      </c>
      <c r="M88" s="2188">
        <f t="shared" si="33"/>
        <v>564553.20000000007</v>
      </c>
      <c r="N88" s="2188">
        <f t="shared" si="33"/>
        <v>564553.20000000007</v>
      </c>
      <c r="O88" s="2189"/>
    </row>
    <row r="89" spans="1:22" ht="15" customHeight="1">
      <c r="E89" s="2564"/>
      <c r="F89" s="2564"/>
      <c r="G89" s="2564"/>
      <c r="H89" s="2564"/>
      <c r="I89" s="2564"/>
    </row>
    <row r="90" spans="1:22" ht="15" customHeight="1">
      <c r="J90" s="2563"/>
    </row>
    <row r="92" spans="1:22" ht="15" customHeight="1">
      <c r="B92" s="1795"/>
      <c r="F92" s="2563"/>
    </row>
    <row r="93" spans="1:22" ht="15" customHeight="1">
      <c r="B93" s="1796" t="str">
        <f>'Medição '!D1844</f>
        <v>Engª Stela Maria M.R.Barcelos</v>
      </c>
    </row>
    <row r="94" spans="1:22" ht="15" customHeight="1">
      <c r="B94" s="1796" t="str">
        <f>'Medição '!D1845</f>
        <v>CREA 029617/MT</v>
      </c>
    </row>
    <row r="95" spans="1:22" ht="15" customHeight="1">
      <c r="B95" s="1796" t="str">
        <f>'Medição '!D1846</f>
        <v>Construtora Nhambiquaras Ltda.</v>
      </c>
    </row>
    <row r="96" spans="1:22" ht="15" customHeight="1">
      <c r="B96" s="1796" t="s">
        <v>16723</v>
      </c>
    </row>
  </sheetData>
  <autoFilter ref="E7:O63" xr:uid="{00000000-0009-0000-0000-000007000000}"/>
  <mergeCells count="154">
    <mergeCell ref="A87:D87"/>
    <mergeCell ref="A88:D88"/>
    <mergeCell ref="A86:D86"/>
    <mergeCell ref="A6:A7"/>
    <mergeCell ref="B6:B7"/>
    <mergeCell ref="C6:D6"/>
    <mergeCell ref="A84:D84"/>
    <mergeCell ref="A83:D83"/>
    <mergeCell ref="A79:A80"/>
    <mergeCell ref="B79:B80"/>
    <mergeCell ref="C79:C80"/>
    <mergeCell ref="D79:D80"/>
    <mergeCell ref="A71:A72"/>
    <mergeCell ref="B71:B72"/>
    <mergeCell ref="C71:C72"/>
    <mergeCell ref="D71:D72"/>
    <mergeCell ref="A73:A74"/>
    <mergeCell ref="B73:B74"/>
    <mergeCell ref="C73:C74"/>
    <mergeCell ref="D73:D74"/>
    <mergeCell ref="A62:A63"/>
    <mergeCell ref="B62:B63"/>
    <mergeCell ref="C62:C63"/>
    <mergeCell ref="D62:D63"/>
    <mergeCell ref="E82:O82"/>
    <mergeCell ref="A85:D85"/>
    <mergeCell ref="A75:A76"/>
    <mergeCell ref="B75:B76"/>
    <mergeCell ref="C75:C76"/>
    <mergeCell ref="D75:D76"/>
    <mergeCell ref="A77:A78"/>
    <mergeCell ref="B77:B78"/>
    <mergeCell ref="C77:C78"/>
    <mergeCell ref="D77:D78"/>
    <mergeCell ref="E66:O66"/>
    <mergeCell ref="A67:A68"/>
    <mergeCell ref="B67:B68"/>
    <mergeCell ref="C67:C68"/>
    <mergeCell ref="D67:D68"/>
    <mergeCell ref="A69:A70"/>
    <mergeCell ref="B69:B70"/>
    <mergeCell ref="C69:C70"/>
    <mergeCell ref="D69:D70"/>
    <mergeCell ref="A64:A65"/>
    <mergeCell ref="B64:B65"/>
    <mergeCell ref="C64:C65"/>
    <mergeCell ref="D64:D65"/>
    <mergeCell ref="A58:A59"/>
    <mergeCell ref="B58:B59"/>
    <mergeCell ref="C58:C59"/>
    <mergeCell ref="D58:D59"/>
    <mergeCell ref="A60:A61"/>
    <mergeCell ref="B60:B61"/>
    <mergeCell ref="C60:C61"/>
    <mergeCell ref="D60:D61"/>
    <mergeCell ref="A53:A54"/>
    <mergeCell ref="B53:B54"/>
    <mergeCell ref="C53:C54"/>
    <mergeCell ref="D53:D54"/>
    <mergeCell ref="E55:O55"/>
    <mergeCell ref="A56:A57"/>
    <mergeCell ref="B56:B57"/>
    <mergeCell ref="C56:C57"/>
    <mergeCell ref="D56:D57"/>
    <mergeCell ref="A49:A50"/>
    <mergeCell ref="B49:B50"/>
    <mergeCell ref="C49:C50"/>
    <mergeCell ref="D49:D50"/>
    <mergeCell ref="A51:A52"/>
    <mergeCell ref="B51:B52"/>
    <mergeCell ref="C51:C52"/>
    <mergeCell ref="D51:D52"/>
    <mergeCell ref="E44:O44"/>
    <mergeCell ref="A45:A46"/>
    <mergeCell ref="B45:B46"/>
    <mergeCell ref="C45:C46"/>
    <mergeCell ref="D45:D46"/>
    <mergeCell ref="A47:A48"/>
    <mergeCell ref="B47:B48"/>
    <mergeCell ref="C47:C48"/>
    <mergeCell ref="D47:D48"/>
    <mergeCell ref="A40:A41"/>
    <mergeCell ref="B40:B41"/>
    <mergeCell ref="C40:C41"/>
    <mergeCell ref="D40:D41"/>
    <mergeCell ref="A42:A43"/>
    <mergeCell ref="B42:B43"/>
    <mergeCell ref="C42:C43"/>
    <mergeCell ref="D42:D43"/>
    <mergeCell ref="A36:A37"/>
    <mergeCell ref="B36:B37"/>
    <mergeCell ref="C36:C37"/>
    <mergeCell ref="D36:D37"/>
    <mergeCell ref="A38:A39"/>
    <mergeCell ref="B38:B39"/>
    <mergeCell ref="C38:C39"/>
    <mergeCell ref="D38:D39"/>
    <mergeCell ref="A31:A32"/>
    <mergeCell ref="B31:B32"/>
    <mergeCell ref="C31:C32"/>
    <mergeCell ref="D31:D32"/>
    <mergeCell ref="E33:O33"/>
    <mergeCell ref="A34:A35"/>
    <mergeCell ref="B34:B35"/>
    <mergeCell ref="C34:C35"/>
    <mergeCell ref="D34:D35"/>
    <mergeCell ref="A27:A28"/>
    <mergeCell ref="B27:B28"/>
    <mergeCell ref="C27:C28"/>
    <mergeCell ref="D27:D28"/>
    <mergeCell ref="A29:A30"/>
    <mergeCell ref="B29:B30"/>
    <mergeCell ref="C29:C30"/>
    <mergeCell ref="D29:D30"/>
    <mergeCell ref="A22:A23"/>
    <mergeCell ref="B22:B23"/>
    <mergeCell ref="C22:C23"/>
    <mergeCell ref="D22:D23"/>
    <mergeCell ref="E24:O24"/>
    <mergeCell ref="A25:A26"/>
    <mergeCell ref="B25:B26"/>
    <mergeCell ref="C25:C26"/>
    <mergeCell ref="D25:D26"/>
    <mergeCell ref="A18:A19"/>
    <mergeCell ref="B18:B19"/>
    <mergeCell ref="C18:C19"/>
    <mergeCell ref="D18:D19"/>
    <mergeCell ref="A20:A21"/>
    <mergeCell ref="B20:B21"/>
    <mergeCell ref="C20:C21"/>
    <mergeCell ref="D20:D21"/>
    <mergeCell ref="E13:O13"/>
    <mergeCell ref="A14:A15"/>
    <mergeCell ref="B14:B15"/>
    <mergeCell ref="C14:C15"/>
    <mergeCell ref="D14:D15"/>
    <mergeCell ref="A16:A17"/>
    <mergeCell ref="B16:B17"/>
    <mergeCell ref="C16:C17"/>
    <mergeCell ref="D16:D17"/>
    <mergeCell ref="A9:A10"/>
    <mergeCell ref="B9:B10"/>
    <mergeCell ref="C9:C10"/>
    <mergeCell ref="D9:D10"/>
    <mergeCell ref="A11:A12"/>
    <mergeCell ref="B11:B12"/>
    <mergeCell ref="C11:C12"/>
    <mergeCell ref="D11:D12"/>
    <mergeCell ref="B1:O1"/>
    <mergeCell ref="B2:O2"/>
    <mergeCell ref="B3:O3"/>
    <mergeCell ref="B4:O4"/>
    <mergeCell ref="A5:O5"/>
    <mergeCell ref="E8:O8"/>
  </mergeCells>
  <phoneticPr fontId="199" type="noConversion"/>
  <conditionalFormatting sqref="O5:O7 O10:O12 O14:O54 O56:O65 O67:O82 O84">
    <cfRule type="containsText" dxfId="10" priority="1" operator="containsText" text="100,00%">
      <formula>NOT(ISERROR(SEARCH(("100,00%"),(O5))))</formula>
    </cfRule>
  </conditionalFormatting>
  <printOptions horizontalCentered="1"/>
  <pageMargins left="0.39370078740157483" right="0.39370078740157483" top="0.39370078740157483" bottom="0.39370078740157483" header="0" footer="0"/>
  <pageSetup paperSize="8" scale="75" fitToHeight="0" orientation="landscape" r:id="rId1"/>
  <headerFooter>
    <oddFooter>Página &amp;P de &amp;N</oddFooter>
  </headerFooter>
  <rowBreaks count="1" manualBreakCount="1">
    <brk id="65"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B9D2-1A32-47DF-BB09-D3C6179F1531}">
  <dimension ref="B1:P109"/>
  <sheetViews>
    <sheetView workbookViewId="0"/>
  </sheetViews>
  <sheetFormatPr defaultColWidth="9.140625" defaultRowHeight="12"/>
  <cols>
    <col min="1" max="1" width="2.7109375" style="2096" customWidth="1"/>
    <col min="2" max="2" width="12.140625" style="2096" bestFit="1" customWidth="1"/>
    <col min="3" max="3" width="12.28515625" style="2096" customWidth="1"/>
    <col min="4" max="4" width="8.7109375" style="2096" customWidth="1"/>
    <col min="5" max="5" width="9.28515625" style="2096" customWidth="1"/>
    <col min="6" max="7" width="8.7109375" style="2096" customWidth="1"/>
    <col min="8" max="8" width="6.7109375" style="2096" customWidth="1"/>
    <col min="9" max="9" width="12.140625" style="2096" bestFit="1" customWidth="1"/>
    <col min="10" max="10" width="12.85546875" style="2096" customWidth="1"/>
    <col min="11" max="11" width="9.140625" style="2096" customWidth="1"/>
    <col min="12" max="14" width="8.7109375" style="2096" customWidth="1"/>
    <col min="15" max="15" width="6.7109375" style="2096" customWidth="1"/>
    <col min="16" max="16" width="2.7109375" style="2096" customWidth="1"/>
    <col min="17" max="16384" width="9.140625" style="2096"/>
  </cols>
  <sheetData>
    <row r="1" spans="2:16" ht="4.5" customHeight="1" thickBot="1">
      <c r="B1" s="3255"/>
      <c r="C1" s="3255"/>
      <c r="D1" s="3255"/>
      <c r="E1" s="3255"/>
      <c r="F1" s="3255"/>
      <c r="G1" s="3255"/>
      <c r="H1" s="3255"/>
      <c r="I1" s="3255"/>
      <c r="J1" s="3255"/>
      <c r="K1" s="3255"/>
      <c r="L1" s="3255"/>
      <c r="M1" s="3255"/>
      <c r="N1" s="3255"/>
      <c r="O1" s="3255"/>
      <c r="P1" s="3255"/>
    </row>
    <row r="2" spans="2:16" ht="15" customHeight="1" thickTop="1">
      <c r="B2" s="3256"/>
      <c r="C2" s="3257"/>
      <c r="D2" s="3258"/>
      <c r="E2" s="3261" t="s">
        <v>16725</v>
      </c>
      <c r="F2" s="3262"/>
      <c r="G2" s="3262"/>
      <c r="H2" s="3262"/>
      <c r="I2" s="3262"/>
      <c r="J2" s="3262"/>
      <c r="K2" s="3262"/>
      <c r="L2" s="3262"/>
      <c r="M2" s="3262"/>
      <c r="N2" s="3265" t="s">
        <v>16914</v>
      </c>
      <c r="O2" s="3266"/>
      <c r="P2" s="3267"/>
    </row>
    <row r="3" spans="2:16" ht="12.75" customHeight="1">
      <c r="B3" s="3259"/>
      <c r="C3" s="3255"/>
      <c r="D3" s="3260"/>
      <c r="E3" s="3263"/>
      <c r="F3" s="3264"/>
      <c r="G3" s="3264"/>
      <c r="H3" s="3264"/>
      <c r="I3" s="3264"/>
      <c r="J3" s="3264"/>
      <c r="K3" s="3264"/>
      <c r="L3" s="3264"/>
      <c r="M3" s="3264"/>
      <c r="N3" s="3268" t="s">
        <v>16915</v>
      </c>
      <c r="O3" s="3269"/>
      <c r="P3" s="3270"/>
    </row>
    <row r="4" spans="2:16" ht="15" customHeight="1">
      <c r="B4" s="3259"/>
      <c r="C4" s="3255"/>
      <c r="D4" s="3260"/>
      <c r="E4" s="3274" t="str">
        <f>'Inserção Dados'!$F$20&amp;"  -  "&amp;'Inserção Dados'!$F$19</f>
        <v>MTPAR  -  MT PARTICIPAÇÕES E PROJETOS S.A.</v>
      </c>
      <c r="F4" s="3275"/>
      <c r="G4" s="3275"/>
      <c r="H4" s="3275"/>
      <c r="I4" s="3275"/>
      <c r="J4" s="3275"/>
      <c r="K4" s="3275"/>
      <c r="L4" s="3275"/>
      <c r="M4" s="3275"/>
      <c r="N4" s="3268"/>
      <c r="O4" s="3269"/>
      <c r="P4" s="3270"/>
    </row>
    <row r="5" spans="2:16" ht="15" customHeight="1">
      <c r="B5" s="3259"/>
      <c r="C5" s="3255"/>
      <c r="D5" s="3260"/>
      <c r="E5" s="3274" t="str">
        <f>'Inserção Dados'!$G$72&amp;"ª  -  Medição   -   Período:  "&amp;'Inserção Dados'!$R$74&amp;"  a  "&amp;'Inserção Dados'!$R$75</f>
        <v>6ª  -  Medição   -   Período:  45689  a  45747</v>
      </c>
      <c r="F5" s="3275"/>
      <c r="G5" s="3275"/>
      <c r="H5" s="3275"/>
      <c r="I5" s="3275"/>
      <c r="J5" s="3275"/>
      <c r="K5" s="3275"/>
      <c r="L5" s="3275"/>
      <c r="M5" s="3275"/>
      <c r="N5" s="3268"/>
      <c r="O5" s="3269"/>
      <c r="P5" s="3270"/>
    </row>
    <row r="6" spans="2:16" ht="12.75" customHeight="1" thickBot="1">
      <c r="B6" s="3259"/>
      <c r="C6" s="3255"/>
      <c r="D6" s="3260"/>
      <c r="E6" s="3274"/>
      <c r="F6" s="3275"/>
      <c r="G6" s="3275"/>
      <c r="H6" s="3275"/>
      <c r="I6" s="3275"/>
      <c r="J6" s="3275"/>
      <c r="K6" s="3275"/>
      <c r="L6" s="3275"/>
      <c r="M6" s="3275"/>
      <c r="N6" s="3271"/>
      <c r="O6" s="3272"/>
      <c r="P6" s="3273"/>
    </row>
    <row r="7" spans="2:16" ht="15" customHeight="1" thickTop="1">
      <c r="B7" s="3276" t="s">
        <v>16726</v>
      </c>
      <c r="C7" s="3277"/>
      <c r="D7" s="3280" t="str">
        <f>'Inserção Dados'!$F$28</f>
        <v>CONTRATAÇÃO DE EMPRESA PARA A REALIZAÇÃO DAS OBRAS DO COMPLEXO SUNSET, NAS DEPENDÊNCIAS DO PARQUE NOVO MATO GROSSO, LOCALIZADO NO MUNICÍPIO DE CUIABÁ -MT</v>
      </c>
      <c r="E7" s="3281"/>
      <c r="F7" s="3281"/>
      <c r="G7" s="3281"/>
      <c r="H7" s="3282"/>
      <c r="I7" s="3286"/>
      <c r="J7" s="3288" t="s">
        <v>16871</v>
      </c>
      <c r="K7" s="3290" t="str">
        <f>'Inserção Dados'!$G$48</f>
        <v>CONSTRUTORA NHAMBIQUARAS LTDA</v>
      </c>
      <c r="L7" s="3291"/>
      <c r="M7" s="3291"/>
      <c r="N7" s="3292"/>
      <c r="O7" s="3292"/>
      <c r="P7" s="3293"/>
    </row>
    <row r="8" spans="2:16" ht="30.75" customHeight="1">
      <c r="B8" s="3278"/>
      <c r="C8" s="3279"/>
      <c r="D8" s="3283"/>
      <c r="E8" s="3284"/>
      <c r="F8" s="3284"/>
      <c r="G8" s="3284"/>
      <c r="H8" s="3285"/>
      <c r="I8" s="3287"/>
      <c r="J8" s="3289"/>
      <c r="K8" s="3294"/>
      <c r="L8" s="3295"/>
      <c r="M8" s="3295"/>
      <c r="N8" s="3295"/>
      <c r="O8" s="3295"/>
      <c r="P8" s="3296"/>
    </row>
    <row r="9" spans="2:16" ht="15" customHeight="1">
      <c r="B9" s="3278" t="s">
        <v>16727</v>
      </c>
      <c r="C9" s="3279"/>
      <c r="D9" s="3299" t="str">
        <f>'Inserção Dados'!$F$31</f>
        <v>MT - 251, KM 12, ÁREA RURAL, PARQUE NOVO MT, CUIABÁ-MT.</v>
      </c>
      <c r="E9" s="3300"/>
      <c r="F9" s="3300"/>
      <c r="G9" s="3300"/>
      <c r="H9" s="3301"/>
      <c r="I9" s="3287"/>
      <c r="J9" s="2097" t="s">
        <v>16916</v>
      </c>
      <c r="K9" s="3305">
        <f>'Inserção Dados'!$G$49</f>
        <v>3076083000190</v>
      </c>
      <c r="L9" s="3306"/>
      <c r="M9" s="3306"/>
      <c r="N9" s="3306"/>
      <c r="O9" s="3306"/>
      <c r="P9" s="3307"/>
    </row>
    <row r="10" spans="2:16" ht="15" customHeight="1" thickBot="1">
      <c r="B10" s="3297"/>
      <c r="C10" s="3298"/>
      <c r="D10" s="3302"/>
      <c r="E10" s="3303"/>
      <c r="F10" s="3303"/>
      <c r="G10" s="3303"/>
      <c r="H10" s="3304"/>
      <c r="I10" s="3287"/>
      <c r="J10" s="2098" t="s">
        <v>16795</v>
      </c>
      <c r="K10" s="3308" t="str">
        <f>'Inserção Dados'!$G$41</f>
        <v>121/2024/MTPAR</v>
      </c>
      <c r="L10" s="3309"/>
      <c r="M10" s="3309"/>
      <c r="N10" s="3309"/>
      <c r="O10" s="3309"/>
      <c r="P10" s="3310"/>
    </row>
    <row r="11" spans="2:16" ht="12" customHeight="1">
      <c r="B11" s="2099"/>
      <c r="P11" s="2100"/>
    </row>
    <row r="12" spans="2:16" ht="20.100000000000001" customHeight="1">
      <c r="B12" s="3323" t="s">
        <v>16917</v>
      </c>
      <c r="C12" s="3324"/>
      <c r="D12" s="3324"/>
      <c r="E12" s="3324"/>
      <c r="F12" s="3324"/>
      <c r="G12" s="3324"/>
      <c r="H12" s="3324"/>
      <c r="I12" s="3324"/>
      <c r="J12" s="3324"/>
      <c r="K12" s="3324"/>
      <c r="L12" s="3324"/>
      <c r="M12" s="3324"/>
      <c r="N12" s="3324"/>
      <c r="O12" s="3324"/>
      <c r="P12" s="3325"/>
    </row>
    <row r="13" spans="2:16" ht="12" customHeight="1">
      <c r="B13" s="2099"/>
      <c r="P13" s="2100"/>
    </row>
    <row r="14" spans="2:16" ht="199.5" customHeight="1">
      <c r="B14" s="2099"/>
      <c r="C14" s="3326"/>
      <c r="D14" s="3327"/>
      <c r="E14" s="3327"/>
      <c r="F14" s="3327"/>
      <c r="G14" s="3327"/>
      <c r="H14" s="3328"/>
      <c r="J14" s="3326"/>
      <c r="K14" s="3327"/>
      <c r="L14" s="3327"/>
      <c r="M14" s="3327"/>
      <c r="N14" s="3327"/>
      <c r="O14" s="3328"/>
      <c r="P14" s="2100"/>
    </row>
    <row r="15" spans="2:16" ht="12" customHeight="1">
      <c r="B15" s="2099"/>
      <c r="C15" s="2101" t="s">
        <v>16918</v>
      </c>
      <c r="D15" s="3329" t="s">
        <v>16727</v>
      </c>
      <c r="E15" s="3330"/>
      <c r="F15" s="3329" t="s">
        <v>16919</v>
      </c>
      <c r="G15" s="3331"/>
      <c r="H15" s="3330"/>
      <c r="I15" s="2095"/>
      <c r="J15" s="2101" t="s">
        <v>16918</v>
      </c>
      <c r="K15" s="3329" t="s">
        <v>16727</v>
      </c>
      <c r="L15" s="3330"/>
      <c r="M15" s="3329" t="s">
        <v>16919</v>
      </c>
      <c r="N15" s="3331"/>
      <c r="O15" s="3330"/>
      <c r="P15" s="2100"/>
    </row>
    <row r="16" spans="2:16" ht="12" customHeight="1">
      <c r="B16" s="2099"/>
      <c r="C16" s="2102" t="str">
        <f>'Inserção Dados'!G33</f>
        <v xml:space="preserve"> 15°27'32.69"S</v>
      </c>
      <c r="D16" s="3311" t="s">
        <v>16920</v>
      </c>
      <c r="E16" s="3312"/>
      <c r="F16" s="3315" t="s">
        <v>16977</v>
      </c>
      <c r="G16" s="3316"/>
      <c r="H16" s="3317"/>
      <c r="I16" s="2095"/>
      <c r="J16" s="2102" t="str">
        <f>'Inserção Dados'!G33</f>
        <v xml:space="preserve"> 15°27'32.69"S</v>
      </c>
      <c r="K16" s="3311" t="s">
        <v>16920</v>
      </c>
      <c r="L16" s="3312"/>
      <c r="M16" s="3315" t="s">
        <v>16977</v>
      </c>
      <c r="N16" s="3316"/>
      <c r="O16" s="3317"/>
      <c r="P16" s="2100"/>
    </row>
    <row r="17" spans="2:16" ht="12" customHeight="1">
      <c r="B17" s="2099"/>
      <c r="C17" s="2103" t="str">
        <f>'Inserção Dados'!G34</f>
        <v xml:space="preserve"> 56° 4'44.62"O</v>
      </c>
      <c r="D17" s="3313"/>
      <c r="E17" s="3314"/>
      <c r="F17" s="3318"/>
      <c r="G17" s="3319"/>
      <c r="H17" s="3320"/>
      <c r="I17" s="2095"/>
      <c r="J17" s="2103" t="str">
        <f>'Inserção Dados'!G34</f>
        <v xml:space="preserve"> 56° 4'44.62"O</v>
      </c>
      <c r="K17" s="3313"/>
      <c r="L17" s="3314"/>
      <c r="M17" s="3318"/>
      <c r="N17" s="3319"/>
      <c r="O17" s="3320"/>
      <c r="P17" s="2100"/>
    </row>
    <row r="18" spans="2:16" ht="12.75">
      <c r="B18" s="2099"/>
      <c r="C18" s="3321"/>
      <c r="D18" s="3321"/>
      <c r="E18" s="3321"/>
      <c r="F18" s="3321"/>
      <c r="G18" s="3321"/>
      <c r="H18" s="3321"/>
      <c r="I18" s="2104"/>
      <c r="J18" s="3322"/>
      <c r="K18" s="3322"/>
      <c r="L18" s="3322"/>
      <c r="M18" s="3322"/>
      <c r="N18" s="3322"/>
      <c r="O18" s="3322"/>
      <c r="P18" s="2100"/>
    </row>
    <row r="19" spans="2:16" ht="199.5" customHeight="1">
      <c r="B19" s="2099"/>
      <c r="C19" s="3326"/>
      <c r="D19" s="3327"/>
      <c r="E19" s="3327"/>
      <c r="F19" s="3327"/>
      <c r="G19" s="3327"/>
      <c r="H19" s="3328"/>
      <c r="J19" s="3326"/>
      <c r="K19" s="3327"/>
      <c r="L19" s="3327"/>
      <c r="M19" s="3327"/>
      <c r="N19" s="3327"/>
      <c r="O19" s="3328"/>
      <c r="P19" s="2100"/>
    </row>
    <row r="20" spans="2:16" ht="12" customHeight="1">
      <c r="B20" s="2099"/>
      <c r="C20" s="2101" t="s">
        <v>16918</v>
      </c>
      <c r="D20" s="3329" t="s">
        <v>16727</v>
      </c>
      <c r="E20" s="3330"/>
      <c r="F20" s="3329" t="s">
        <v>16919</v>
      </c>
      <c r="G20" s="3331"/>
      <c r="H20" s="3330"/>
      <c r="I20" s="2095"/>
      <c r="J20" s="2101" t="s">
        <v>16918</v>
      </c>
      <c r="K20" s="3329" t="s">
        <v>16727</v>
      </c>
      <c r="L20" s="3330"/>
      <c r="M20" s="3329" t="s">
        <v>16919</v>
      </c>
      <c r="N20" s="3331"/>
      <c r="O20" s="3330"/>
      <c r="P20" s="2100"/>
    </row>
    <row r="21" spans="2:16" ht="12" customHeight="1">
      <c r="B21" s="2099"/>
      <c r="C21" s="2102" t="str">
        <f>'Inserção Dados'!G33</f>
        <v xml:space="preserve"> 15°27'32.69"S</v>
      </c>
      <c r="D21" s="3311" t="s">
        <v>16921</v>
      </c>
      <c r="E21" s="3312"/>
      <c r="F21" s="3315" t="s">
        <v>16978</v>
      </c>
      <c r="G21" s="3316"/>
      <c r="H21" s="3317"/>
      <c r="I21" s="2095"/>
      <c r="J21" s="2102" t="str">
        <f>'Inserção Dados'!G33</f>
        <v xml:space="preserve"> 15°27'32.69"S</v>
      </c>
      <c r="K21" s="3311" t="s">
        <v>16922</v>
      </c>
      <c r="L21" s="3312"/>
      <c r="M21" s="3315" t="s">
        <v>16977</v>
      </c>
      <c r="N21" s="3316"/>
      <c r="O21" s="3317"/>
      <c r="P21" s="2100"/>
    </row>
    <row r="22" spans="2:16" ht="12" customHeight="1">
      <c r="B22" s="2099"/>
      <c r="C22" s="2103" t="str">
        <f>'Inserção Dados'!G34</f>
        <v xml:space="preserve"> 56° 4'44.62"O</v>
      </c>
      <c r="D22" s="3313"/>
      <c r="E22" s="3314"/>
      <c r="F22" s="3318"/>
      <c r="G22" s="3319"/>
      <c r="H22" s="3320"/>
      <c r="I22" s="2095"/>
      <c r="J22" s="2103" t="str">
        <f>'Inserção Dados'!G34</f>
        <v xml:space="preserve"> 56° 4'44.62"O</v>
      </c>
      <c r="K22" s="3313"/>
      <c r="L22" s="3314"/>
      <c r="M22" s="3318"/>
      <c r="N22" s="3319"/>
      <c r="O22" s="3320"/>
      <c r="P22" s="2100"/>
    </row>
    <row r="23" spans="2:16" ht="199.5" customHeight="1">
      <c r="B23" s="2099"/>
      <c r="C23" s="3326"/>
      <c r="D23" s="3327"/>
      <c r="E23" s="3327"/>
      <c r="F23" s="3327"/>
      <c r="G23" s="3327"/>
      <c r="H23" s="3328"/>
      <c r="J23" s="3326"/>
      <c r="K23" s="3327"/>
      <c r="L23" s="3327"/>
      <c r="M23" s="3327"/>
      <c r="N23" s="3327"/>
      <c r="O23" s="3328"/>
      <c r="P23" s="2100"/>
    </row>
    <row r="24" spans="2:16" ht="12" customHeight="1">
      <c r="B24" s="2099"/>
      <c r="C24" s="2101" t="s">
        <v>16918</v>
      </c>
      <c r="D24" s="3329" t="s">
        <v>16727</v>
      </c>
      <c r="E24" s="3330"/>
      <c r="F24" s="3329" t="s">
        <v>16919</v>
      </c>
      <c r="G24" s="3331"/>
      <c r="H24" s="3330"/>
      <c r="I24" s="2095"/>
      <c r="J24" s="2101" t="s">
        <v>16918</v>
      </c>
      <c r="K24" s="3329" t="s">
        <v>16727</v>
      </c>
      <c r="L24" s="3330"/>
      <c r="M24" s="3329" t="s">
        <v>16919</v>
      </c>
      <c r="N24" s="3331"/>
      <c r="O24" s="3330"/>
      <c r="P24" s="2100"/>
    </row>
    <row r="25" spans="2:16" ht="12" customHeight="1">
      <c r="B25" s="2099"/>
      <c r="C25" s="2102" t="str">
        <f>'Inserção Dados'!G33</f>
        <v xml:space="preserve"> 15°27'32.69"S</v>
      </c>
      <c r="D25" s="3311" t="s">
        <v>16920</v>
      </c>
      <c r="E25" s="3312"/>
      <c r="F25" s="3315" t="s">
        <v>16977</v>
      </c>
      <c r="G25" s="3316"/>
      <c r="H25" s="3317"/>
      <c r="I25" s="2095"/>
      <c r="J25" s="2102" t="str">
        <f>'Inserção Dados'!G33</f>
        <v xml:space="preserve"> 15°27'32.69"S</v>
      </c>
      <c r="K25" s="3311" t="s">
        <v>16920</v>
      </c>
      <c r="L25" s="3312"/>
      <c r="M25" s="3315" t="s">
        <v>16978</v>
      </c>
      <c r="N25" s="3316"/>
      <c r="O25" s="3317"/>
      <c r="P25" s="2100"/>
    </row>
    <row r="26" spans="2:16" ht="12" customHeight="1">
      <c r="B26" s="2099"/>
      <c r="C26" s="2103" t="str">
        <f>'Inserção Dados'!G34</f>
        <v xml:space="preserve"> 56° 4'44.62"O</v>
      </c>
      <c r="D26" s="3313"/>
      <c r="E26" s="3314"/>
      <c r="F26" s="3318"/>
      <c r="G26" s="3319"/>
      <c r="H26" s="3320"/>
      <c r="I26" s="2095"/>
      <c r="J26" s="2103" t="str">
        <f>'Inserção Dados'!G34</f>
        <v xml:space="preserve"> 56° 4'44.62"O</v>
      </c>
      <c r="K26" s="3313"/>
      <c r="L26" s="3314"/>
      <c r="M26" s="3318"/>
      <c r="N26" s="3319"/>
      <c r="O26" s="3320"/>
      <c r="P26" s="2100"/>
    </row>
    <row r="27" spans="2:16" ht="12.75">
      <c r="B27" s="2099"/>
      <c r="C27" s="3332"/>
      <c r="D27" s="3332"/>
      <c r="E27" s="3332"/>
      <c r="F27" s="3332"/>
      <c r="G27" s="3332"/>
      <c r="H27" s="3332"/>
      <c r="I27" s="2104"/>
      <c r="J27" s="3333"/>
      <c r="K27" s="3333"/>
      <c r="L27" s="3333"/>
      <c r="M27" s="3333"/>
      <c r="N27" s="3333"/>
      <c r="O27" s="3333"/>
      <c r="P27" s="2100"/>
    </row>
    <row r="28" spans="2:16" ht="12" customHeight="1">
      <c r="B28" s="2105"/>
      <c r="C28" s="2106"/>
      <c r="D28" s="2106"/>
      <c r="E28" s="2106"/>
      <c r="F28" s="2106"/>
      <c r="G28" s="2106"/>
      <c r="H28" s="2106"/>
      <c r="I28" s="2106"/>
      <c r="J28" s="2106"/>
      <c r="K28" s="2106"/>
      <c r="L28" s="2106"/>
      <c r="M28" s="2106"/>
      <c r="N28" s="2106"/>
      <c r="O28" s="2106"/>
      <c r="P28" s="2107"/>
    </row>
    <row r="29" spans="2:16" ht="12" customHeight="1">
      <c r="B29" s="2108"/>
      <c r="P29" s="2109"/>
    </row>
    <row r="30" spans="2:16" ht="12" customHeight="1">
      <c r="B30" s="2108"/>
      <c r="C30" s="3161" t="str">
        <f>'Dados Contrato'!G65</f>
        <v>Eng.º Civil  -  STELA MARIA METELO RAGAZZI BARCELOS</v>
      </c>
      <c r="D30" s="3161"/>
      <c r="E30" s="3161"/>
      <c r="F30" s="3161"/>
      <c r="G30" s="3161"/>
      <c r="H30" s="2423"/>
      <c r="I30" s="2423"/>
      <c r="J30" s="3250" t="str">
        <f>'Inserção Dados'!F23&amp;" - "&amp;'Inserção Dados'!F22</f>
        <v>Eng.º Civil - IANA DIANEZ MARQUES</v>
      </c>
      <c r="K30" s="3250"/>
      <c r="L30" s="3250"/>
      <c r="M30" s="3250"/>
      <c r="N30" s="3250"/>
      <c r="O30" s="3250"/>
      <c r="P30" s="3251"/>
    </row>
    <row r="31" spans="2:16" ht="12" customHeight="1">
      <c r="B31" s="2108"/>
      <c r="C31" s="3161" t="str">
        <f>'Dados Contrato'!G66</f>
        <v>CREA MT-029617</v>
      </c>
      <c r="D31" s="3161"/>
      <c r="E31" s="3161"/>
      <c r="F31" s="3161"/>
      <c r="G31" s="3161"/>
      <c r="H31" s="2423"/>
      <c r="I31" s="2423"/>
      <c r="J31" s="3252" t="str">
        <f>'Inserção Dados'!F24&amp;" N.º "&amp;'Inserção Dados'!M24</f>
        <v>CREA N.º 1216454264</v>
      </c>
      <c r="K31" s="3252"/>
      <c r="L31" s="3252"/>
      <c r="M31" s="3252"/>
      <c r="N31" s="3252"/>
      <c r="O31" s="3252"/>
      <c r="P31" s="3253"/>
    </row>
    <row r="32" spans="2:16" ht="12" customHeight="1">
      <c r="B32" s="2108"/>
      <c r="C32" s="3161" t="str">
        <f>'Dados Contrato'!G67</f>
        <v xml:space="preserve">CONSTRUTORA NHAMBIQUARAS LTDA </v>
      </c>
      <c r="D32" s="3161"/>
      <c r="E32" s="3161"/>
      <c r="F32" s="3161"/>
      <c r="G32" s="3161"/>
      <c r="H32" s="2423"/>
      <c r="I32" s="2423"/>
      <c r="J32" s="3252" t="str">
        <f>"Fiscal - "&amp;'Inserção Dados'!F20</f>
        <v>Fiscal - MTPAR</v>
      </c>
      <c r="K32" s="3252"/>
      <c r="L32" s="3252"/>
      <c r="M32" s="3252"/>
      <c r="N32" s="3252"/>
      <c r="O32" s="3252"/>
      <c r="P32" s="3253"/>
    </row>
    <row r="33" spans="2:16" ht="12" customHeight="1" thickBot="1">
      <c r="B33" s="2110"/>
      <c r="C33" s="3254" t="str">
        <f>'Dados Contrato'!G68</f>
        <v>CNPJ 03.076.083/0001-90</v>
      </c>
      <c r="D33" s="3254"/>
      <c r="E33" s="3254"/>
      <c r="F33" s="3254"/>
      <c r="G33" s="3254"/>
      <c r="H33" s="2424"/>
      <c r="I33" s="2424"/>
      <c r="J33" s="2424"/>
      <c r="K33" s="2424"/>
      <c r="L33" s="2424"/>
      <c r="M33" s="2424"/>
      <c r="N33" s="2424"/>
      <c r="O33" s="2424"/>
      <c r="P33" s="2425"/>
    </row>
    <row r="34" spans="2:16" ht="15" thickTop="1">
      <c r="B34" s="3256"/>
      <c r="C34" s="3257"/>
      <c r="D34" s="3258"/>
      <c r="E34" s="3261" t="s">
        <v>16725</v>
      </c>
      <c r="F34" s="3262"/>
      <c r="G34" s="3262"/>
      <c r="H34" s="3262"/>
      <c r="I34" s="3262"/>
      <c r="J34" s="3262"/>
      <c r="K34" s="3262"/>
      <c r="L34" s="3262"/>
      <c r="M34" s="3262"/>
      <c r="N34" s="3265" t="s">
        <v>16914</v>
      </c>
      <c r="O34" s="3266"/>
      <c r="P34" s="3267"/>
    </row>
    <row r="35" spans="2:16">
      <c r="B35" s="3259"/>
      <c r="C35" s="3255"/>
      <c r="D35" s="3260"/>
      <c r="E35" s="3263"/>
      <c r="F35" s="3264"/>
      <c r="G35" s="3264"/>
      <c r="H35" s="3264"/>
      <c r="I35" s="3264"/>
      <c r="J35" s="3264"/>
      <c r="K35" s="3264"/>
      <c r="L35" s="3264"/>
      <c r="M35" s="3264"/>
      <c r="N35" s="3268" t="s">
        <v>16999</v>
      </c>
      <c r="O35" s="3269"/>
      <c r="P35" s="3270"/>
    </row>
    <row r="36" spans="2:16" ht="12.75">
      <c r="B36" s="3259"/>
      <c r="C36" s="3255"/>
      <c r="D36" s="3260"/>
      <c r="E36" s="3274" t="str">
        <f>'Inserção Dados'!$F$20&amp;"  -  "&amp;'Inserção Dados'!$F$19</f>
        <v>MTPAR  -  MT PARTICIPAÇÕES E PROJETOS S.A.</v>
      </c>
      <c r="F36" s="3275"/>
      <c r="G36" s="3275"/>
      <c r="H36" s="3275"/>
      <c r="I36" s="3275"/>
      <c r="J36" s="3275"/>
      <c r="K36" s="3275"/>
      <c r="L36" s="3275"/>
      <c r="M36" s="3275"/>
      <c r="N36" s="3268"/>
      <c r="O36" s="3269"/>
      <c r="P36" s="3270"/>
    </row>
    <row r="37" spans="2:16">
      <c r="B37" s="3259"/>
      <c r="C37" s="3255"/>
      <c r="D37" s="3260"/>
      <c r="E37" s="3274" t="str">
        <f>'Inserção Dados'!$G$72&amp;"ª  -  Medição   -   Período:  "&amp;'Inserção Dados'!$R$74&amp;"  a  "&amp;'Inserção Dados'!$R$75</f>
        <v>6ª  -  Medição   -   Período:  45689  a  45747</v>
      </c>
      <c r="F37" s="3275"/>
      <c r="G37" s="3275"/>
      <c r="H37" s="3275"/>
      <c r="I37" s="3275"/>
      <c r="J37" s="3275"/>
      <c r="K37" s="3275"/>
      <c r="L37" s="3275"/>
      <c r="M37" s="3275"/>
      <c r="N37" s="3268"/>
      <c r="O37" s="3269"/>
      <c r="P37" s="3270"/>
    </row>
    <row r="38" spans="2:16" ht="12.75" thickBot="1">
      <c r="B38" s="3259"/>
      <c r="C38" s="3255"/>
      <c r="D38" s="3260"/>
      <c r="E38" s="3274"/>
      <c r="F38" s="3275"/>
      <c r="G38" s="3275"/>
      <c r="H38" s="3275"/>
      <c r="I38" s="3275"/>
      <c r="J38" s="3275"/>
      <c r="K38" s="3275"/>
      <c r="L38" s="3275"/>
      <c r="M38" s="3275"/>
      <c r="N38" s="3271"/>
      <c r="O38" s="3272"/>
      <c r="P38" s="3273"/>
    </row>
    <row r="39" spans="2:16" ht="12.75" thickTop="1">
      <c r="B39" s="3276" t="s">
        <v>16726</v>
      </c>
      <c r="C39" s="3277"/>
      <c r="D39" s="3280" t="str">
        <f>'Inserção Dados'!$F$28</f>
        <v>CONTRATAÇÃO DE EMPRESA PARA A REALIZAÇÃO DAS OBRAS DO COMPLEXO SUNSET, NAS DEPENDÊNCIAS DO PARQUE NOVO MATO GROSSO, LOCALIZADO NO MUNICÍPIO DE CUIABÁ -MT</v>
      </c>
      <c r="E39" s="3281"/>
      <c r="F39" s="3281"/>
      <c r="G39" s="3281"/>
      <c r="H39" s="3282"/>
      <c r="I39" s="3286"/>
      <c r="J39" s="3288" t="s">
        <v>16871</v>
      </c>
      <c r="K39" s="3290" t="str">
        <f>'Inserção Dados'!$G$48</f>
        <v>CONSTRUTORA NHAMBIQUARAS LTDA</v>
      </c>
      <c r="L39" s="3291"/>
      <c r="M39" s="3291"/>
      <c r="N39" s="3292"/>
      <c r="O39" s="3292"/>
      <c r="P39" s="3293"/>
    </row>
    <row r="40" spans="2:16">
      <c r="B40" s="3278"/>
      <c r="C40" s="3279"/>
      <c r="D40" s="3283"/>
      <c r="E40" s="3284"/>
      <c r="F40" s="3284"/>
      <c r="G40" s="3284"/>
      <c r="H40" s="3285"/>
      <c r="I40" s="3287"/>
      <c r="J40" s="3289"/>
      <c r="K40" s="3294"/>
      <c r="L40" s="3295"/>
      <c r="M40" s="3295"/>
      <c r="N40" s="3295"/>
      <c r="O40" s="3295"/>
      <c r="P40" s="3296"/>
    </row>
    <row r="41" spans="2:16">
      <c r="B41" s="3278" t="s">
        <v>16727</v>
      </c>
      <c r="C41" s="3279"/>
      <c r="D41" s="3299" t="str">
        <f>'Inserção Dados'!$F$31</f>
        <v>MT - 251, KM 12, ÁREA RURAL, PARQUE NOVO MT, CUIABÁ-MT.</v>
      </c>
      <c r="E41" s="3300"/>
      <c r="F41" s="3300"/>
      <c r="G41" s="3300"/>
      <c r="H41" s="3301"/>
      <c r="I41" s="3287"/>
      <c r="J41" s="2097" t="s">
        <v>16916</v>
      </c>
      <c r="K41" s="3305">
        <f>'Inserção Dados'!$G$49</f>
        <v>3076083000190</v>
      </c>
      <c r="L41" s="3306"/>
      <c r="M41" s="3306"/>
      <c r="N41" s="3306"/>
      <c r="O41" s="3306"/>
      <c r="P41" s="3307"/>
    </row>
    <row r="42" spans="2:16" ht="12.75" thickBot="1">
      <c r="B42" s="3297"/>
      <c r="C42" s="3298"/>
      <c r="D42" s="3302"/>
      <c r="E42" s="3303"/>
      <c r="F42" s="3303"/>
      <c r="G42" s="3303"/>
      <c r="H42" s="3304"/>
      <c r="I42" s="3287"/>
      <c r="J42" s="2098" t="s">
        <v>16795</v>
      </c>
      <c r="K42" s="3308" t="str">
        <f>'Inserção Dados'!$G$41</f>
        <v>121/2024/MTPAR</v>
      </c>
      <c r="L42" s="3309"/>
      <c r="M42" s="3309"/>
      <c r="N42" s="3309"/>
      <c r="O42" s="3309"/>
      <c r="P42" s="3310"/>
    </row>
    <row r="43" spans="2:16">
      <c r="B43" s="2099"/>
      <c r="P43" s="2100"/>
    </row>
    <row r="44" spans="2:16" ht="15">
      <c r="B44" s="3323" t="s">
        <v>16917</v>
      </c>
      <c r="C44" s="3324"/>
      <c r="D44" s="3324"/>
      <c r="E44" s="3324"/>
      <c r="F44" s="3324"/>
      <c r="G44" s="3324"/>
      <c r="H44" s="3324"/>
      <c r="I44" s="3324"/>
      <c r="J44" s="3324"/>
      <c r="K44" s="3324"/>
      <c r="L44" s="3324"/>
      <c r="M44" s="3324"/>
      <c r="N44" s="3324"/>
      <c r="O44" s="3324"/>
      <c r="P44" s="3325"/>
    </row>
    <row r="45" spans="2:16">
      <c r="B45" s="3334"/>
      <c r="C45" s="3335"/>
      <c r="D45" s="3335"/>
      <c r="E45" s="3335"/>
      <c r="F45" s="3335"/>
      <c r="G45" s="3336"/>
      <c r="I45" s="3334"/>
      <c r="J45" s="3335"/>
      <c r="K45" s="3335"/>
      <c r="L45" s="3335"/>
      <c r="M45" s="3335"/>
      <c r="N45" s="3335"/>
      <c r="O45" s="3336"/>
    </row>
    <row r="46" spans="2:16">
      <c r="B46" s="3337"/>
      <c r="C46" s="3255"/>
      <c r="D46" s="3255"/>
      <c r="E46" s="3255"/>
      <c r="F46" s="3255"/>
      <c r="G46" s="3338"/>
      <c r="I46" s="3337"/>
      <c r="J46" s="3255"/>
      <c r="K46" s="3255"/>
      <c r="L46" s="3255"/>
      <c r="M46" s="3255"/>
      <c r="N46" s="3255"/>
      <c r="O46" s="3338"/>
    </row>
    <row r="47" spans="2:16">
      <c r="B47" s="3337"/>
      <c r="C47" s="3255"/>
      <c r="D47" s="3255"/>
      <c r="E47" s="3255"/>
      <c r="F47" s="3255"/>
      <c r="G47" s="3338"/>
      <c r="I47" s="3337"/>
      <c r="J47" s="3255"/>
      <c r="K47" s="3255"/>
      <c r="L47" s="3255"/>
      <c r="M47" s="3255"/>
      <c r="N47" s="3255"/>
      <c r="O47" s="3338"/>
    </row>
    <row r="48" spans="2:16">
      <c r="B48" s="3337"/>
      <c r="C48" s="3255"/>
      <c r="D48" s="3255"/>
      <c r="E48" s="3255"/>
      <c r="F48" s="3255"/>
      <c r="G48" s="3338"/>
      <c r="I48" s="3337"/>
      <c r="J48" s="3255"/>
      <c r="K48" s="3255"/>
      <c r="L48" s="3255"/>
      <c r="M48" s="3255"/>
      <c r="N48" s="3255"/>
      <c r="O48" s="3338"/>
    </row>
    <row r="49" spans="2:15">
      <c r="B49" s="3337"/>
      <c r="C49" s="3255"/>
      <c r="D49" s="3255"/>
      <c r="E49" s="3255"/>
      <c r="F49" s="3255"/>
      <c r="G49" s="3338"/>
      <c r="I49" s="3337"/>
      <c r="J49" s="3255"/>
      <c r="K49" s="3255"/>
      <c r="L49" s="3255"/>
      <c r="M49" s="3255"/>
      <c r="N49" s="3255"/>
      <c r="O49" s="3338"/>
    </row>
    <row r="50" spans="2:15">
      <c r="B50" s="3337"/>
      <c r="C50" s="3255"/>
      <c r="D50" s="3255"/>
      <c r="E50" s="3255"/>
      <c r="F50" s="3255"/>
      <c r="G50" s="3338"/>
      <c r="I50" s="3337"/>
      <c r="J50" s="3255"/>
      <c r="K50" s="3255"/>
      <c r="L50" s="3255"/>
      <c r="M50" s="3255"/>
      <c r="N50" s="3255"/>
      <c r="O50" s="3338"/>
    </row>
    <row r="51" spans="2:15">
      <c r="B51" s="3337"/>
      <c r="C51" s="3255"/>
      <c r="D51" s="3255"/>
      <c r="E51" s="3255"/>
      <c r="F51" s="3255"/>
      <c r="G51" s="3338"/>
      <c r="I51" s="3337"/>
      <c r="J51" s="3255"/>
      <c r="K51" s="3255"/>
      <c r="L51" s="3255"/>
      <c r="M51" s="3255"/>
      <c r="N51" s="3255"/>
      <c r="O51" s="3338"/>
    </row>
    <row r="52" spans="2:15">
      <c r="B52" s="3337"/>
      <c r="C52" s="3255"/>
      <c r="D52" s="3255"/>
      <c r="E52" s="3255"/>
      <c r="F52" s="3255"/>
      <c r="G52" s="3338"/>
      <c r="I52" s="3337"/>
      <c r="J52" s="3255"/>
      <c r="K52" s="3255"/>
      <c r="L52" s="3255"/>
      <c r="M52" s="3255"/>
      <c r="N52" s="3255"/>
      <c r="O52" s="3338"/>
    </row>
    <row r="53" spans="2:15">
      <c r="B53" s="3337"/>
      <c r="C53" s="3255"/>
      <c r="D53" s="3255"/>
      <c r="E53" s="3255"/>
      <c r="F53" s="3255"/>
      <c r="G53" s="3338"/>
      <c r="I53" s="3337"/>
      <c r="J53" s="3255"/>
      <c r="K53" s="3255"/>
      <c r="L53" s="3255"/>
      <c r="M53" s="3255"/>
      <c r="N53" s="3255"/>
      <c r="O53" s="3338"/>
    </row>
    <row r="54" spans="2:15">
      <c r="B54" s="3337"/>
      <c r="C54" s="3255"/>
      <c r="D54" s="3255"/>
      <c r="E54" s="3255"/>
      <c r="F54" s="3255"/>
      <c r="G54" s="3338"/>
      <c r="I54" s="3337"/>
      <c r="J54" s="3255"/>
      <c r="K54" s="3255"/>
      <c r="L54" s="3255"/>
      <c r="M54" s="3255"/>
      <c r="N54" s="3255"/>
      <c r="O54" s="3338"/>
    </row>
    <row r="55" spans="2:15">
      <c r="B55" s="3337"/>
      <c r="C55" s="3255"/>
      <c r="D55" s="3255"/>
      <c r="E55" s="3255"/>
      <c r="F55" s="3255"/>
      <c r="G55" s="3338"/>
      <c r="I55" s="3337"/>
      <c r="J55" s="3255"/>
      <c r="K55" s="3255"/>
      <c r="L55" s="3255"/>
      <c r="M55" s="3255"/>
      <c r="N55" s="3255"/>
      <c r="O55" s="3338"/>
    </row>
    <row r="56" spans="2:15">
      <c r="B56" s="3337"/>
      <c r="C56" s="3255"/>
      <c r="D56" s="3255"/>
      <c r="E56" s="3255"/>
      <c r="F56" s="3255"/>
      <c r="G56" s="3338"/>
      <c r="I56" s="3337"/>
      <c r="J56" s="3255"/>
      <c r="K56" s="3255"/>
      <c r="L56" s="3255"/>
      <c r="M56" s="3255"/>
      <c r="N56" s="3255"/>
      <c r="O56" s="3338"/>
    </row>
    <row r="57" spans="2:15">
      <c r="B57" s="3337"/>
      <c r="C57" s="3255"/>
      <c r="D57" s="3255"/>
      <c r="E57" s="3255"/>
      <c r="F57" s="3255"/>
      <c r="G57" s="3338"/>
      <c r="I57" s="3337"/>
      <c r="J57" s="3255"/>
      <c r="K57" s="3255"/>
      <c r="L57" s="3255"/>
      <c r="M57" s="3255"/>
      <c r="N57" s="3255"/>
      <c r="O57" s="3338"/>
    </row>
    <row r="58" spans="2:15">
      <c r="B58" s="3337"/>
      <c r="C58" s="3255"/>
      <c r="D58" s="3255"/>
      <c r="E58" s="3255"/>
      <c r="F58" s="3255"/>
      <c r="G58" s="3338"/>
      <c r="I58" s="3337"/>
      <c r="J58" s="3255"/>
      <c r="K58" s="3255"/>
      <c r="L58" s="3255"/>
      <c r="M58" s="3255"/>
      <c r="N58" s="3255"/>
      <c r="O58" s="3338"/>
    </row>
    <row r="59" spans="2:15">
      <c r="B59" s="3337"/>
      <c r="C59" s="3255"/>
      <c r="D59" s="3255"/>
      <c r="E59" s="3255"/>
      <c r="F59" s="3255"/>
      <c r="G59" s="3338"/>
      <c r="I59" s="3337"/>
      <c r="J59" s="3255"/>
      <c r="K59" s="3255"/>
      <c r="L59" s="3255"/>
      <c r="M59" s="3255"/>
      <c r="N59" s="3255"/>
      <c r="O59" s="3338"/>
    </row>
    <row r="60" spans="2:15">
      <c r="B60" s="3339"/>
      <c r="C60" s="3340"/>
      <c r="D60" s="3340"/>
      <c r="E60" s="3340"/>
      <c r="F60" s="3340"/>
      <c r="G60" s="3341"/>
      <c r="I60" s="3339"/>
      <c r="J60" s="3340"/>
      <c r="K60" s="3340"/>
      <c r="L60" s="3340"/>
      <c r="M60" s="3340"/>
      <c r="N60" s="3340"/>
      <c r="O60" s="3341"/>
    </row>
    <row r="61" spans="2:15">
      <c r="B61" s="2101" t="s">
        <v>16918</v>
      </c>
      <c r="C61" s="3329" t="s">
        <v>16727</v>
      </c>
      <c r="D61" s="3330"/>
      <c r="E61" s="3329" t="s">
        <v>16919</v>
      </c>
      <c r="F61" s="3331"/>
      <c r="G61" s="3330"/>
      <c r="I61" s="2418" t="s">
        <v>16918</v>
      </c>
      <c r="J61" s="3342" t="s">
        <v>16727</v>
      </c>
      <c r="K61" s="3343"/>
      <c r="L61" s="3342" t="s">
        <v>16919</v>
      </c>
      <c r="M61" s="3344"/>
      <c r="N61" s="3343"/>
    </row>
    <row r="62" spans="2:15">
      <c r="B62" s="2102">
        <f>'Inserção Dados'!F70</f>
        <v>0</v>
      </c>
      <c r="C62" s="3311" t="s">
        <v>16920</v>
      </c>
      <c r="D62" s="3312"/>
      <c r="E62" s="3315" t="s">
        <v>17001</v>
      </c>
      <c r="F62" s="3316"/>
      <c r="G62" s="3317"/>
      <c r="I62" s="2102">
        <f>'Inserção Dados'!M70</f>
        <v>0</v>
      </c>
      <c r="J62" s="3311" t="s">
        <v>16920</v>
      </c>
      <c r="K62" s="3312"/>
      <c r="L62" s="3315" t="s">
        <v>17001</v>
      </c>
      <c r="M62" s="3316"/>
      <c r="N62" s="3317"/>
    </row>
    <row r="63" spans="2:15">
      <c r="B63" s="2102">
        <f>'Inserção Dados'!F71</f>
        <v>0</v>
      </c>
      <c r="C63" s="3313"/>
      <c r="D63" s="3314"/>
      <c r="E63" s="3318"/>
      <c r="F63" s="3319"/>
      <c r="G63" s="3320"/>
      <c r="I63" s="2102">
        <f>'Inserção Dados'!M71</f>
        <v>0</v>
      </c>
      <c r="J63" s="3313"/>
      <c r="K63" s="3314"/>
      <c r="L63" s="3318"/>
      <c r="M63" s="3319"/>
      <c r="N63" s="3320"/>
    </row>
    <row r="65" spans="2:15">
      <c r="B65" s="3334"/>
      <c r="C65" s="3335"/>
      <c r="D65" s="3335"/>
      <c r="E65" s="3335"/>
      <c r="F65" s="3335"/>
      <c r="G65" s="3336"/>
      <c r="I65" s="3334"/>
      <c r="J65" s="3335"/>
      <c r="K65" s="3335"/>
      <c r="L65" s="3335"/>
      <c r="M65" s="3335"/>
      <c r="N65" s="3335"/>
      <c r="O65" s="3336"/>
    </row>
    <row r="66" spans="2:15">
      <c r="B66" s="3337"/>
      <c r="C66" s="3255"/>
      <c r="D66" s="3255"/>
      <c r="E66" s="3255"/>
      <c r="F66" s="3255"/>
      <c r="G66" s="3338"/>
      <c r="I66" s="3337"/>
      <c r="J66" s="3255"/>
      <c r="K66" s="3255"/>
      <c r="L66" s="3255"/>
      <c r="M66" s="3255"/>
      <c r="N66" s="3255"/>
      <c r="O66" s="3338"/>
    </row>
    <row r="67" spans="2:15">
      <c r="B67" s="3337"/>
      <c r="C67" s="3255"/>
      <c r="D67" s="3255"/>
      <c r="E67" s="3255"/>
      <c r="F67" s="3255"/>
      <c r="G67" s="3338"/>
      <c r="I67" s="3337"/>
      <c r="J67" s="3255"/>
      <c r="K67" s="3255"/>
      <c r="L67" s="3255"/>
      <c r="M67" s="3255"/>
      <c r="N67" s="3255"/>
      <c r="O67" s="3338"/>
    </row>
    <row r="68" spans="2:15">
      <c r="B68" s="3337"/>
      <c r="C68" s="3255"/>
      <c r="D68" s="3255"/>
      <c r="E68" s="3255"/>
      <c r="F68" s="3255"/>
      <c r="G68" s="3338"/>
      <c r="I68" s="3337"/>
      <c r="J68" s="3255"/>
      <c r="K68" s="3255"/>
      <c r="L68" s="3255"/>
      <c r="M68" s="3255"/>
      <c r="N68" s="3255"/>
      <c r="O68" s="3338"/>
    </row>
    <row r="69" spans="2:15">
      <c r="B69" s="3337"/>
      <c r="C69" s="3255"/>
      <c r="D69" s="3255"/>
      <c r="E69" s="3255"/>
      <c r="F69" s="3255"/>
      <c r="G69" s="3338"/>
      <c r="I69" s="3337"/>
      <c r="J69" s="3255"/>
      <c r="K69" s="3255"/>
      <c r="L69" s="3255"/>
      <c r="M69" s="3255"/>
      <c r="N69" s="3255"/>
      <c r="O69" s="3338"/>
    </row>
    <row r="70" spans="2:15">
      <c r="B70" s="3337"/>
      <c r="C70" s="3255"/>
      <c r="D70" s="3255"/>
      <c r="E70" s="3255"/>
      <c r="F70" s="3255"/>
      <c r="G70" s="3338"/>
      <c r="I70" s="3337"/>
      <c r="J70" s="3255"/>
      <c r="K70" s="3255"/>
      <c r="L70" s="3255"/>
      <c r="M70" s="3255"/>
      <c r="N70" s="3255"/>
      <c r="O70" s="3338"/>
    </row>
    <row r="71" spans="2:15">
      <c r="B71" s="3337"/>
      <c r="C71" s="3255"/>
      <c r="D71" s="3255"/>
      <c r="E71" s="3255"/>
      <c r="F71" s="3255"/>
      <c r="G71" s="3338"/>
      <c r="I71" s="3337"/>
      <c r="J71" s="3255"/>
      <c r="K71" s="3255"/>
      <c r="L71" s="3255"/>
      <c r="M71" s="3255"/>
      <c r="N71" s="3255"/>
      <c r="O71" s="3338"/>
    </row>
    <row r="72" spans="2:15">
      <c r="B72" s="3337"/>
      <c r="C72" s="3255"/>
      <c r="D72" s="3255"/>
      <c r="E72" s="3255"/>
      <c r="F72" s="3255"/>
      <c r="G72" s="3338"/>
      <c r="I72" s="3337"/>
      <c r="J72" s="3255"/>
      <c r="K72" s="3255"/>
      <c r="L72" s="3255"/>
      <c r="M72" s="3255"/>
      <c r="N72" s="3255"/>
      <c r="O72" s="3338"/>
    </row>
    <row r="73" spans="2:15">
      <c r="B73" s="3337"/>
      <c r="C73" s="3255"/>
      <c r="D73" s="3255"/>
      <c r="E73" s="3255"/>
      <c r="F73" s="3255"/>
      <c r="G73" s="3338"/>
      <c r="I73" s="3337"/>
      <c r="J73" s="3255"/>
      <c r="K73" s="3255"/>
      <c r="L73" s="3255"/>
      <c r="M73" s="3255"/>
      <c r="N73" s="3255"/>
      <c r="O73" s="3338"/>
    </row>
    <row r="74" spans="2:15">
      <c r="B74" s="3337"/>
      <c r="C74" s="3255"/>
      <c r="D74" s="3255"/>
      <c r="E74" s="3255"/>
      <c r="F74" s="3255"/>
      <c r="G74" s="3338"/>
      <c r="I74" s="3337"/>
      <c r="J74" s="3255"/>
      <c r="K74" s="3255"/>
      <c r="L74" s="3255"/>
      <c r="M74" s="3255"/>
      <c r="N74" s="3255"/>
      <c r="O74" s="3338"/>
    </row>
    <row r="75" spans="2:15">
      <c r="B75" s="3337"/>
      <c r="C75" s="3255"/>
      <c r="D75" s="3255"/>
      <c r="E75" s="3255"/>
      <c r="F75" s="3255"/>
      <c r="G75" s="3338"/>
      <c r="I75" s="3337"/>
      <c r="J75" s="3255"/>
      <c r="K75" s="3255"/>
      <c r="L75" s="3255"/>
      <c r="M75" s="3255"/>
      <c r="N75" s="3255"/>
      <c r="O75" s="3338"/>
    </row>
    <row r="76" spans="2:15">
      <c r="B76" s="3337"/>
      <c r="C76" s="3255"/>
      <c r="D76" s="3255"/>
      <c r="E76" s="3255"/>
      <c r="F76" s="3255"/>
      <c r="G76" s="3338"/>
      <c r="I76" s="3337"/>
      <c r="J76" s="3255"/>
      <c r="K76" s="3255"/>
      <c r="L76" s="3255"/>
      <c r="M76" s="3255"/>
      <c r="N76" s="3255"/>
      <c r="O76" s="3338"/>
    </row>
    <row r="77" spans="2:15">
      <c r="B77" s="3337"/>
      <c r="C77" s="3255"/>
      <c r="D77" s="3255"/>
      <c r="E77" s="3255"/>
      <c r="F77" s="3255"/>
      <c r="G77" s="3338"/>
      <c r="I77" s="3337"/>
      <c r="J77" s="3255"/>
      <c r="K77" s="3255"/>
      <c r="L77" s="3255"/>
      <c r="M77" s="3255"/>
      <c r="N77" s="3255"/>
      <c r="O77" s="3338"/>
    </row>
    <row r="78" spans="2:15">
      <c r="B78" s="3337"/>
      <c r="C78" s="3255"/>
      <c r="D78" s="3255"/>
      <c r="E78" s="3255"/>
      <c r="F78" s="3255"/>
      <c r="G78" s="3338"/>
      <c r="I78" s="3337"/>
      <c r="J78" s="3255"/>
      <c r="K78" s="3255"/>
      <c r="L78" s="3255"/>
      <c r="M78" s="3255"/>
      <c r="N78" s="3255"/>
      <c r="O78" s="3338"/>
    </row>
    <row r="79" spans="2:15">
      <c r="B79" s="3337"/>
      <c r="C79" s="3255"/>
      <c r="D79" s="3255"/>
      <c r="E79" s="3255"/>
      <c r="F79" s="3255"/>
      <c r="G79" s="3338"/>
      <c r="I79" s="3337"/>
      <c r="J79" s="3255"/>
      <c r="K79" s="3255"/>
      <c r="L79" s="3255"/>
      <c r="M79" s="3255"/>
      <c r="N79" s="3255"/>
      <c r="O79" s="3338"/>
    </row>
    <row r="80" spans="2:15">
      <c r="B80" s="3339"/>
      <c r="C80" s="3340"/>
      <c r="D80" s="3340"/>
      <c r="E80" s="3340"/>
      <c r="F80" s="3340"/>
      <c r="G80" s="3341"/>
      <c r="I80" s="3339"/>
      <c r="J80" s="3340"/>
      <c r="K80" s="3340"/>
      <c r="L80" s="3340"/>
      <c r="M80" s="3340"/>
      <c r="N80" s="3340"/>
      <c r="O80" s="3341"/>
    </row>
    <row r="81" spans="2:15">
      <c r="B81" s="2101" t="s">
        <v>16918</v>
      </c>
      <c r="C81" s="3329" t="s">
        <v>16727</v>
      </c>
      <c r="D81" s="3330"/>
      <c r="E81" s="3329" t="s">
        <v>16919</v>
      </c>
      <c r="F81" s="3331"/>
      <c r="G81" s="3330"/>
      <c r="I81" s="2418" t="s">
        <v>16918</v>
      </c>
      <c r="J81" s="3342" t="s">
        <v>16727</v>
      </c>
      <c r="K81" s="3343"/>
      <c r="L81" s="3342" t="s">
        <v>16919</v>
      </c>
      <c r="M81" s="3344"/>
      <c r="N81" s="3343"/>
    </row>
    <row r="82" spans="2:15">
      <c r="B82" s="2102">
        <f>'Inserção Dados'!F90</f>
        <v>0</v>
      </c>
      <c r="C82" s="3311" t="s">
        <v>16920</v>
      </c>
      <c r="D82" s="3312"/>
      <c r="E82" s="3315" t="s">
        <v>17001</v>
      </c>
      <c r="F82" s="3316"/>
      <c r="G82" s="3317"/>
      <c r="I82" s="2102">
        <f>'Inserção Dados'!M90</f>
        <v>0</v>
      </c>
      <c r="J82" s="3311" t="s">
        <v>16920</v>
      </c>
      <c r="K82" s="3312"/>
      <c r="L82" s="3315" t="s">
        <v>17001</v>
      </c>
      <c r="M82" s="3316"/>
      <c r="N82" s="3317"/>
    </row>
    <row r="83" spans="2:15">
      <c r="B83" s="2102">
        <f>'Inserção Dados'!F91</f>
        <v>0</v>
      </c>
      <c r="C83" s="3313"/>
      <c r="D83" s="3314"/>
      <c r="E83" s="3318"/>
      <c r="F83" s="3319"/>
      <c r="G83" s="3320"/>
      <c r="I83" s="2102">
        <f>'Inserção Dados'!M91</f>
        <v>0</v>
      </c>
      <c r="J83" s="3313"/>
      <c r="K83" s="3314"/>
      <c r="L83" s="3318"/>
      <c r="M83" s="3319"/>
      <c r="N83" s="3320"/>
    </row>
    <row r="85" spans="2:15">
      <c r="B85" s="3334"/>
      <c r="C85" s="3335"/>
      <c r="D85" s="3335"/>
      <c r="E85" s="3335"/>
      <c r="F85" s="3335"/>
      <c r="G85" s="3336"/>
      <c r="I85" s="3334"/>
      <c r="J85" s="3335"/>
      <c r="K85" s="3335"/>
      <c r="L85" s="3335"/>
      <c r="M85" s="3335"/>
      <c r="N85" s="3335"/>
      <c r="O85" s="3336"/>
    </row>
    <row r="86" spans="2:15">
      <c r="B86" s="3337"/>
      <c r="C86" s="3255"/>
      <c r="D86" s="3255"/>
      <c r="E86" s="3255"/>
      <c r="F86" s="3255"/>
      <c r="G86" s="3338"/>
      <c r="I86" s="3337"/>
      <c r="J86" s="3255"/>
      <c r="K86" s="3255"/>
      <c r="L86" s="3255"/>
      <c r="M86" s="3255"/>
      <c r="N86" s="3255"/>
      <c r="O86" s="3338"/>
    </row>
    <row r="87" spans="2:15">
      <c r="B87" s="3337"/>
      <c r="C87" s="3255"/>
      <c r="D87" s="3255"/>
      <c r="E87" s="3255"/>
      <c r="F87" s="3255"/>
      <c r="G87" s="3338"/>
      <c r="I87" s="3337"/>
      <c r="J87" s="3255"/>
      <c r="K87" s="3255"/>
      <c r="L87" s="3255"/>
      <c r="M87" s="3255"/>
      <c r="N87" s="3255"/>
      <c r="O87" s="3338"/>
    </row>
    <row r="88" spans="2:15">
      <c r="B88" s="3337"/>
      <c r="C88" s="3255"/>
      <c r="D88" s="3255"/>
      <c r="E88" s="3255"/>
      <c r="F88" s="3255"/>
      <c r="G88" s="3338"/>
      <c r="I88" s="3337"/>
      <c r="J88" s="3255"/>
      <c r="K88" s="3255"/>
      <c r="L88" s="3255"/>
      <c r="M88" s="3255"/>
      <c r="N88" s="3255"/>
      <c r="O88" s="3338"/>
    </row>
    <row r="89" spans="2:15">
      <c r="B89" s="3337"/>
      <c r="C89" s="3255"/>
      <c r="D89" s="3255"/>
      <c r="E89" s="3255"/>
      <c r="F89" s="3255"/>
      <c r="G89" s="3338"/>
      <c r="I89" s="3337"/>
      <c r="J89" s="3255"/>
      <c r="K89" s="3255"/>
      <c r="L89" s="3255"/>
      <c r="M89" s="3255"/>
      <c r="N89" s="3255"/>
      <c r="O89" s="3338"/>
    </row>
    <row r="90" spans="2:15">
      <c r="B90" s="3337"/>
      <c r="C90" s="3255"/>
      <c r="D90" s="3255"/>
      <c r="E90" s="3255"/>
      <c r="F90" s="3255"/>
      <c r="G90" s="3338"/>
      <c r="I90" s="3337"/>
      <c r="J90" s="3255"/>
      <c r="K90" s="3255"/>
      <c r="L90" s="3255"/>
      <c r="M90" s="3255"/>
      <c r="N90" s="3255"/>
      <c r="O90" s="3338"/>
    </row>
    <row r="91" spans="2:15">
      <c r="B91" s="3337"/>
      <c r="C91" s="3255"/>
      <c r="D91" s="3255"/>
      <c r="E91" s="3255"/>
      <c r="F91" s="3255"/>
      <c r="G91" s="3338"/>
      <c r="I91" s="3337"/>
      <c r="J91" s="3255"/>
      <c r="K91" s="3255"/>
      <c r="L91" s="3255"/>
      <c r="M91" s="3255"/>
      <c r="N91" s="3255"/>
      <c r="O91" s="3338"/>
    </row>
    <row r="92" spans="2:15">
      <c r="B92" s="3337"/>
      <c r="C92" s="3255"/>
      <c r="D92" s="3255"/>
      <c r="E92" s="3255"/>
      <c r="F92" s="3255"/>
      <c r="G92" s="3338"/>
      <c r="I92" s="3337"/>
      <c r="J92" s="3255"/>
      <c r="K92" s="3255"/>
      <c r="L92" s="3255"/>
      <c r="M92" s="3255"/>
      <c r="N92" s="3255"/>
      <c r="O92" s="3338"/>
    </row>
    <row r="93" spans="2:15">
      <c r="B93" s="3337"/>
      <c r="C93" s="3255"/>
      <c r="D93" s="3255"/>
      <c r="E93" s="3255"/>
      <c r="F93" s="3255"/>
      <c r="G93" s="3338"/>
      <c r="I93" s="3337"/>
      <c r="J93" s="3255"/>
      <c r="K93" s="3255"/>
      <c r="L93" s="3255"/>
      <c r="M93" s="3255"/>
      <c r="N93" s="3255"/>
      <c r="O93" s="3338"/>
    </row>
    <row r="94" spans="2:15">
      <c r="B94" s="3337"/>
      <c r="C94" s="3255"/>
      <c r="D94" s="3255"/>
      <c r="E94" s="3255"/>
      <c r="F94" s="3255"/>
      <c r="G94" s="3338"/>
      <c r="I94" s="3337"/>
      <c r="J94" s="3255"/>
      <c r="K94" s="3255"/>
      <c r="L94" s="3255"/>
      <c r="M94" s="3255"/>
      <c r="N94" s="3255"/>
      <c r="O94" s="3338"/>
    </row>
    <row r="95" spans="2:15">
      <c r="B95" s="3337"/>
      <c r="C95" s="3255"/>
      <c r="D95" s="3255"/>
      <c r="E95" s="3255"/>
      <c r="F95" s="3255"/>
      <c r="G95" s="3338"/>
      <c r="I95" s="3337"/>
      <c r="J95" s="3255"/>
      <c r="K95" s="3255"/>
      <c r="L95" s="3255"/>
      <c r="M95" s="3255"/>
      <c r="N95" s="3255"/>
      <c r="O95" s="3338"/>
    </row>
    <row r="96" spans="2:15">
      <c r="B96" s="3337"/>
      <c r="C96" s="3255"/>
      <c r="D96" s="3255"/>
      <c r="E96" s="3255"/>
      <c r="F96" s="3255"/>
      <c r="G96" s="3338"/>
      <c r="I96" s="3337"/>
      <c r="J96" s="3255"/>
      <c r="K96" s="3255"/>
      <c r="L96" s="3255"/>
      <c r="M96" s="3255"/>
      <c r="N96" s="3255"/>
      <c r="O96" s="3338"/>
    </row>
    <row r="97" spans="2:15">
      <c r="B97" s="3337"/>
      <c r="C97" s="3255"/>
      <c r="D97" s="3255"/>
      <c r="E97" s="3255"/>
      <c r="F97" s="3255"/>
      <c r="G97" s="3338"/>
      <c r="I97" s="3337"/>
      <c r="J97" s="3255"/>
      <c r="K97" s="3255"/>
      <c r="L97" s="3255"/>
      <c r="M97" s="3255"/>
      <c r="N97" s="3255"/>
      <c r="O97" s="3338"/>
    </row>
    <row r="98" spans="2:15">
      <c r="B98" s="3337"/>
      <c r="C98" s="3255"/>
      <c r="D98" s="3255"/>
      <c r="E98" s="3255"/>
      <c r="F98" s="3255"/>
      <c r="G98" s="3338"/>
      <c r="I98" s="3337"/>
      <c r="J98" s="3255"/>
      <c r="K98" s="3255"/>
      <c r="L98" s="3255"/>
      <c r="M98" s="3255"/>
      <c r="N98" s="3255"/>
      <c r="O98" s="3338"/>
    </row>
    <row r="99" spans="2:15">
      <c r="B99" s="3337"/>
      <c r="C99" s="3255"/>
      <c r="D99" s="3255"/>
      <c r="E99" s="3255"/>
      <c r="F99" s="3255"/>
      <c r="G99" s="3338"/>
      <c r="I99" s="3337"/>
      <c r="J99" s="3255"/>
      <c r="K99" s="3255"/>
      <c r="L99" s="3255"/>
      <c r="M99" s="3255"/>
      <c r="N99" s="3255"/>
      <c r="O99" s="3338"/>
    </row>
    <row r="100" spans="2:15">
      <c r="B100" s="3339"/>
      <c r="C100" s="3340"/>
      <c r="D100" s="3340"/>
      <c r="E100" s="3340"/>
      <c r="F100" s="3340"/>
      <c r="G100" s="3341"/>
      <c r="I100" s="3339"/>
      <c r="J100" s="3340"/>
      <c r="K100" s="3340"/>
      <c r="L100" s="3340"/>
      <c r="M100" s="3340"/>
      <c r="N100" s="3340"/>
      <c r="O100" s="3341"/>
    </row>
    <row r="101" spans="2:15">
      <c r="B101" s="2101" t="s">
        <v>16918</v>
      </c>
      <c r="C101" s="3329" t="s">
        <v>16727</v>
      </c>
      <c r="D101" s="3330"/>
      <c r="E101" s="3329" t="s">
        <v>16919</v>
      </c>
      <c r="F101" s="3331"/>
      <c r="G101" s="3330"/>
      <c r="I101" s="2418" t="s">
        <v>16918</v>
      </c>
      <c r="J101" s="3342" t="s">
        <v>16727</v>
      </c>
      <c r="K101" s="3343"/>
      <c r="L101" s="3342" t="s">
        <v>16919</v>
      </c>
      <c r="M101" s="3344"/>
      <c r="N101" s="3343"/>
    </row>
    <row r="102" spans="2:15">
      <c r="B102" s="2102">
        <f>'Inserção Dados'!F110</f>
        <v>0</v>
      </c>
      <c r="C102" s="3311" t="s">
        <v>16920</v>
      </c>
      <c r="D102" s="3312"/>
      <c r="E102" s="3315" t="s">
        <v>17001</v>
      </c>
      <c r="F102" s="3316"/>
      <c r="G102" s="3317"/>
      <c r="I102" s="2102">
        <f>'Inserção Dados'!M110</f>
        <v>0</v>
      </c>
      <c r="J102" s="3311" t="s">
        <v>16920</v>
      </c>
      <c r="K102" s="3312"/>
      <c r="L102" s="3315" t="s">
        <v>17000</v>
      </c>
      <c r="M102" s="3316"/>
      <c r="N102" s="3317"/>
    </row>
    <row r="103" spans="2:15">
      <c r="B103" s="2102">
        <f>'Inserção Dados'!F111</f>
        <v>0</v>
      </c>
      <c r="C103" s="3313"/>
      <c r="D103" s="3314"/>
      <c r="E103" s="3318"/>
      <c r="F103" s="3319"/>
      <c r="G103" s="3320"/>
      <c r="I103" s="2102">
        <f>'Inserção Dados'!M111</f>
        <v>0</v>
      </c>
      <c r="J103" s="3313"/>
      <c r="K103" s="3314"/>
      <c r="L103" s="3318"/>
      <c r="M103" s="3319"/>
      <c r="N103" s="3320"/>
    </row>
    <row r="106" spans="2:15">
      <c r="B106" s="3161" t="str">
        <f>C30</f>
        <v>Eng.º Civil  -  STELA MARIA METELO RAGAZZI BARCELOS</v>
      </c>
      <c r="C106" s="3161"/>
      <c r="D106" s="3161"/>
      <c r="E106" s="3161"/>
      <c r="F106" s="3161"/>
      <c r="G106" s="2423"/>
      <c r="H106" s="2423"/>
      <c r="I106" s="3250" t="str">
        <f>J30</f>
        <v>Eng.º Civil - IANA DIANEZ MARQUES</v>
      </c>
      <c r="J106" s="3250"/>
      <c r="K106" s="3250"/>
      <c r="L106" s="3250"/>
      <c r="M106" s="3250"/>
      <c r="N106" s="3250"/>
      <c r="O106" s="3251"/>
    </row>
    <row r="107" spans="2:15">
      <c r="B107" s="3161" t="str">
        <f>C31</f>
        <v>CREA MT-029617</v>
      </c>
      <c r="C107" s="3161"/>
      <c r="D107" s="3161"/>
      <c r="E107" s="3161"/>
      <c r="F107" s="3161"/>
      <c r="G107" s="2423"/>
      <c r="H107" s="2423"/>
      <c r="I107" s="3252" t="str">
        <f>J31</f>
        <v>CREA N.º 1216454264</v>
      </c>
      <c r="J107" s="3252"/>
      <c r="K107" s="3252"/>
      <c r="L107" s="3252"/>
      <c r="M107" s="3252"/>
      <c r="N107" s="3252"/>
      <c r="O107" s="3253"/>
    </row>
    <row r="108" spans="2:15">
      <c r="B108" s="3161" t="str">
        <f>C32</f>
        <v xml:space="preserve">CONSTRUTORA NHAMBIQUARAS LTDA </v>
      </c>
      <c r="C108" s="3161"/>
      <c r="D108" s="3161"/>
      <c r="E108" s="3161"/>
      <c r="F108" s="3161"/>
      <c r="G108" s="2423"/>
      <c r="H108" s="2423"/>
      <c r="I108" s="3252" t="str">
        <f>J32</f>
        <v>Fiscal - MTPAR</v>
      </c>
      <c r="J108" s="3252"/>
      <c r="K108" s="3252"/>
      <c r="L108" s="3252"/>
      <c r="M108" s="3252"/>
      <c r="N108" s="3252"/>
      <c r="O108" s="3253"/>
    </row>
    <row r="109" spans="2:15">
      <c r="B109" s="3254"/>
      <c r="C109" s="3254"/>
      <c r="D109" s="3254"/>
      <c r="E109" s="3254"/>
      <c r="F109" s="3254"/>
      <c r="G109" s="2424"/>
      <c r="H109" s="2424"/>
      <c r="I109" s="2424"/>
      <c r="J109" s="2424"/>
      <c r="K109" s="2424"/>
      <c r="L109" s="2424"/>
      <c r="M109" s="2424"/>
      <c r="N109" s="2424"/>
      <c r="O109" s="2425"/>
    </row>
  </sheetData>
  <mergeCells count="111">
    <mergeCell ref="C102:D103"/>
    <mergeCell ref="E102:G103"/>
    <mergeCell ref="J102:K103"/>
    <mergeCell ref="L102:N103"/>
    <mergeCell ref="B85:G100"/>
    <mergeCell ref="I85:O100"/>
    <mergeCell ref="C101:D101"/>
    <mergeCell ref="E101:G101"/>
    <mergeCell ref="J101:K101"/>
    <mergeCell ref="L101:N101"/>
    <mergeCell ref="C81:D81"/>
    <mergeCell ref="E81:G81"/>
    <mergeCell ref="J81:K81"/>
    <mergeCell ref="L81:N81"/>
    <mergeCell ref="C82:D83"/>
    <mergeCell ref="E82:G83"/>
    <mergeCell ref="J82:K83"/>
    <mergeCell ref="L82:N83"/>
    <mergeCell ref="L61:N61"/>
    <mergeCell ref="J62:K63"/>
    <mergeCell ref="L62:N63"/>
    <mergeCell ref="B65:G80"/>
    <mergeCell ref="I65:O80"/>
    <mergeCell ref="B45:G60"/>
    <mergeCell ref="I45:O60"/>
    <mergeCell ref="C61:D61"/>
    <mergeCell ref="E61:G61"/>
    <mergeCell ref="C62:D63"/>
    <mergeCell ref="E62:G63"/>
    <mergeCell ref="J61:K61"/>
    <mergeCell ref="B44:P44"/>
    <mergeCell ref="B39:C40"/>
    <mergeCell ref="D39:H40"/>
    <mergeCell ref="I39:I42"/>
    <mergeCell ref="J39:J40"/>
    <mergeCell ref="K39:P40"/>
    <mergeCell ref="B41:C42"/>
    <mergeCell ref="D41:H42"/>
    <mergeCell ref="K41:P41"/>
    <mergeCell ref="K42:P42"/>
    <mergeCell ref="B34:D38"/>
    <mergeCell ref="E34:M35"/>
    <mergeCell ref="N34:P34"/>
    <mergeCell ref="N35:P38"/>
    <mergeCell ref="E36:M36"/>
    <mergeCell ref="E37:M38"/>
    <mergeCell ref="C32:G32"/>
    <mergeCell ref="J32:P32"/>
    <mergeCell ref="C33:G33"/>
    <mergeCell ref="C27:H27"/>
    <mergeCell ref="J27:O27"/>
    <mergeCell ref="C30:G30"/>
    <mergeCell ref="J30:P30"/>
    <mergeCell ref="C31:G31"/>
    <mergeCell ref="J31:P31"/>
    <mergeCell ref="D24:E24"/>
    <mergeCell ref="F24:H24"/>
    <mergeCell ref="K24:L24"/>
    <mergeCell ref="M24:O24"/>
    <mergeCell ref="D25:E26"/>
    <mergeCell ref="F25:H26"/>
    <mergeCell ref="K25:L26"/>
    <mergeCell ref="M25:O26"/>
    <mergeCell ref="D21:E22"/>
    <mergeCell ref="F21:H22"/>
    <mergeCell ref="K21:L22"/>
    <mergeCell ref="M21:O22"/>
    <mergeCell ref="C23:H23"/>
    <mergeCell ref="J23:O23"/>
    <mergeCell ref="C19:H19"/>
    <mergeCell ref="J19:O19"/>
    <mergeCell ref="D20:E20"/>
    <mergeCell ref="F20:H20"/>
    <mergeCell ref="K20:L20"/>
    <mergeCell ref="M20:O20"/>
    <mergeCell ref="F16:H17"/>
    <mergeCell ref="K16:L17"/>
    <mergeCell ref="M16:O17"/>
    <mergeCell ref="C18:H18"/>
    <mergeCell ref="J18:O18"/>
    <mergeCell ref="B12:P12"/>
    <mergeCell ref="C14:H14"/>
    <mergeCell ref="J14:O14"/>
    <mergeCell ref="D15:E15"/>
    <mergeCell ref="F15:H15"/>
    <mergeCell ref="K15:L15"/>
    <mergeCell ref="M15:O15"/>
    <mergeCell ref="B106:F106"/>
    <mergeCell ref="I106:O106"/>
    <mergeCell ref="B107:F107"/>
    <mergeCell ref="I107:O107"/>
    <mergeCell ref="B108:F108"/>
    <mergeCell ref="I108:O108"/>
    <mergeCell ref="B109:F109"/>
    <mergeCell ref="B1:P1"/>
    <mergeCell ref="B2:D6"/>
    <mergeCell ref="E2:M3"/>
    <mergeCell ref="N2:P2"/>
    <mergeCell ref="N3:P6"/>
    <mergeCell ref="E4:M4"/>
    <mergeCell ref="E5:M6"/>
    <mergeCell ref="B7:C8"/>
    <mergeCell ref="D7:H8"/>
    <mergeCell ref="I7:I10"/>
    <mergeCell ref="J7:J8"/>
    <mergeCell ref="K7:P8"/>
    <mergeCell ref="B9:C10"/>
    <mergeCell ref="D9:H10"/>
    <mergeCell ref="K9:P9"/>
    <mergeCell ref="K10:P10"/>
    <mergeCell ref="D16:E17"/>
  </mergeCells>
  <pageMargins left="0.51181102362204722" right="0.39370078740157483" top="0.86614173228346458" bottom="0.82677165354330717" header="0.31496062992125984" footer="0.31496062992125984"/>
  <pageSetup paperSize="9" scale="68" orientation="portrait" r:id="rId1"/>
  <headerFooter>
    <oddFooter xml:space="preserve">&amp;L&amp;9             &amp;F\&amp;A&amp;R&amp;9 Página &amp;P de &amp;N  </oddFooter>
  </headerFooter>
  <rowBreaks count="1" manualBreakCount="1">
    <brk id="33" max="1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58"/>
  <sheetViews>
    <sheetView workbookViewId="0"/>
  </sheetViews>
  <sheetFormatPr defaultColWidth="12.5703125" defaultRowHeight="15" customHeight="1"/>
  <cols>
    <col min="1" max="1" width="13.85546875" customWidth="1"/>
    <col min="2" max="2" width="59.28515625" customWidth="1"/>
    <col min="3" max="3" width="18.42578125" customWidth="1"/>
    <col min="4" max="4" width="12.5703125" customWidth="1"/>
    <col min="5" max="5" width="12.5703125" hidden="1" customWidth="1"/>
    <col min="6" max="6" width="14.5703125" hidden="1" customWidth="1"/>
    <col min="7" max="7" width="12" hidden="1" customWidth="1"/>
    <col min="8" max="8" width="23.28515625" hidden="1" customWidth="1"/>
    <col min="9" max="25" width="9.140625" hidden="1" customWidth="1"/>
    <col min="27" max="27" width="14.28515625" bestFit="1" customWidth="1"/>
  </cols>
  <sheetData>
    <row r="1" spans="1:25">
      <c r="A1" s="177" t="e">
        <f>'Medição '!$V$5:$AB$5</f>
        <v>#VALUE!</v>
      </c>
      <c r="B1" s="178" t="str">
        <f>'Medição '!$W$5</f>
        <v>COMPLEXO SUNSET DO PARQUE NOVO MATO GROSSO</v>
      </c>
      <c r="C1" s="179" t="str">
        <f>'Medição '!$AA$5</f>
        <v>BDI EDIF.:</v>
      </c>
      <c r="D1" s="109">
        <f>'Medição '!$AB$5</f>
        <v>0.25</v>
      </c>
      <c r="E1" s="130"/>
      <c r="F1" s="180"/>
      <c r="G1" s="130"/>
      <c r="H1" s="130"/>
      <c r="I1" s="130"/>
      <c r="J1" s="130"/>
      <c r="K1" s="130"/>
      <c r="L1" s="130"/>
      <c r="M1" s="130"/>
      <c r="N1" s="130"/>
      <c r="O1" s="130"/>
      <c r="P1" s="130"/>
      <c r="Q1" s="130"/>
      <c r="R1" s="130"/>
      <c r="S1" s="130"/>
      <c r="T1" s="130"/>
      <c r="U1" s="130"/>
      <c r="V1" s="130"/>
      <c r="W1" s="130"/>
      <c r="X1" s="130"/>
      <c r="Y1" s="130"/>
    </row>
    <row r="2" spans="1:25" ht="26.25">
      <c r="A2" s="181" t="e">
        <f>'Medição '!$V$6:$AB$6</f>
        <v>#VALUE!</v>
      </c>
      <c r="B2" s="182" t="str">
        <f>'Medição '!$W$6</f>
        <v>MT 251, KM 11, S/N, ÁREA RURAL - PARQUE NOVO MATO GROSSO, CEP 78099-899</v>
      </c>
      <c r="C2" s="183" t="str">
        <f>'Medição '!$AA$6</f>
        <v>BDI DIF.:</v>
      </c>
      <c r="D2" s="113">
        <f>'Medição '!$AB$6</f>
        <v>0.16470000000000001</v>
      </c>
      <c r="E2" s="130"/>
      <c r="F2" s="180"/>
      <c r="G2" s="130"/>
      <c r="H2" s="130"/>
      <c r="I2" s="130"/>
      <c r="J2" s="130"/>
      <c r="K2" s="130"/>
      <c r="L2" s="130"/>
      <c r="M2" s="130"/>
      <c r="N2" s="130"/>
      <c r="O2" s="130"/>
      <c r="P2" s="130"/>
      <c r="Q2" s="130"/>
      <c r="R2" s="130"/>
      <c r="S2" s="130"/>
      <c r="T2" s="130"/>
      <c r="U2" s="130"/>
      <c r="V2" s="130"/>
      <c r="W2" s="130"/>
      <c r="X2" s="130"/>
      <c r="Y2" s="130"/>
    </row>
    <row r="3" spans="1:25">
      <c r="A3" s="181" t="e">
        <f>'Medição '!$V$7:$AB$7</f>
        <v>#VALUE!</v>
      </c>
      <c r="B3" s="182" t="str">
        <f>'Medição '!$W$7</f>
        <v>CUIABÁ - MT</v>
      </c>
      <c r="C3" s="184" t="str">
        <f>'Medição '!$AA$7</f>
        <v>DATA:</v>
      </c>
      <c r="D3" s="115">
        <f ca="1">TODAY()</f>
        <v>45839</v>
      </c>
      <c r="E3" s="130"/>
      <c r="F3" s="180"/>
      <c r="G3" s="130"/>
      <c r="H3" s="130"/>
      <c r="I3" s="130"/>
      <c r="J3" s="130"/>
      <c r="K3" s="130"/>
      <c r="L3" s="130"/>
      <c r="M3" s="130"/>
      <c r="N3" s="130"/>
      <c r="O3" s="130"/>
      <c r="P3" s="130"/>
      <c r="Q3" s="130"/>
      <c r="R3" s="130"/>
      <c r="S3" s="130"/>
      <c r="T3" s="130"/>
      <c r="U3" s="130"/>
      <c r="V3" s="130"/>
      <c r="W3" s="130"/>
      <c r="X3" s="130"/>
      <c r="Y3" s="130"/>
    </row>
    <row r="4" spans="1:25" ht="45" customHeight="1">
      <c r="A4" s="181" t="e">
        <f>'Medição '!$V$8:$AB$8</f>
        <v>#VALUE!</v>
      </c>
      <c r="B4" s="1794" t="str">
        <f>'Medição '!$W$8</f>
        <v>CONTRATAÇÃO DE EMPRESA ESPECIALIZADA PARA EXECUÇÃO DAS OBRAS DO "COMPLEXO SUNSET (WAKE BAR, PRAÇA SUNSET, QUIOSQUE, BANHEIROS DE APOIO E INFRA DE CONTÊINER) DO PARQUE NOVO MATO GROSSO"</v>
      </c>
      <c r="C4" s="185" t="str">
        <f>'Medição '!$AA$8</f>
        <v>PRAZO:</v>
      </c>
      <c r="D4" s="113" t="str">
        <f>'Medição '!$AB$8</f>
        <v>10 MESES</v>
      </c>
      <c r="E4" s="130"/>
      <c r="F4" s="180"/>
      <c r="G4" s="130"/>
      <c r="H4" s="130"/>
      <c r="I4" s="130"/>
      <c r="J4" s="130"/>
      <c r="K4" s="130"/>
      <c r="L4" s="130"/>
      <c r="M4" s="130"/>
      <c r="N4" s="130"/>
      <c r="O4" s="130"/>
      <c r="P4" s="130"/>
      <c r="Q4" s="130"/>
      <c r="R4" s="130"/>
      <c r="S4" s="130"/>
      <c r="T4" s="130"/>
      <c r="U4" s="130"/>
      <c r="V4" s="130"/>
      <c r="W4" s="130"/>
      <c r="X4" s="130"/>
      <c r="Y4" s="130"/>
    </row>
    <row r="5" spans="1:25" ht="13.5" customHeight="1">
      <c r="A5" s="3345" t="str">
        <f>CONCATENATE('Medição '!AE7," - ", 'Medição '!AE8)</f>
        <v>AGOSTO/2024 - NÃO DESONERADO</v>
      </c>
      <c r="B5" s="2631"/>
      <c r="C5" s="2631"/>
      <c r="D5" s="2632"/>
      <c r="E5" s="110"/>
      <c r="F5" s="186"/>
      <c r="G5" s="110"/>
      <c r="H5" s="110"/>
      <c r="I5" s="110"/>
      <c r="J5" s="110"/>
      <c r="K5" s="110"/>
      <c r="L5" s="110"/>
      <c r="M5" s="110"/>
      <c r="N5" s="110"/>
      <c r="O5" s="110"/>
      <c r="P5" s="110"/>
      <c r="Q5" s="110"/>
      <c r="R5" s="110"/>
      <c r="S5" s="110"/>
      <c r="T5" s="110"/>
      <c r="U5" s="110"/>
      <c r="V5" s="110"/>
      <c r="W5" s="110"/>
      <c r="X5" s="110"/>
      <c r="Y5" s="110"/>
    </row>
    <row r="6" spans="1:25" ht="27.75" customHeight="1">
      <c r="A6" s="3346" t="s">
        <v>12612</v>
      </c>
      <c r="B6" s="2588"/>
      <c r="C6" s="2588"/>
      <c r="D6" s="2621"/>
      <c r="E6" s="130"/>
      <c r="F6" s="180"/>
      <c r="G6" s="130"/>
      <c r="H6" s="130"/>
      <c r="I6" s="130"/>
      <c r="J6" s="130"/>
      <c r="K6" s="130"/>
      <c r="L6" s="130"/>
      <c r="M6" s="130"/>
      <c r="N6" s="130"/>
      <c r="O6" s="130"/>
      <c r="P6" s="130"/>
      <c r="Q6" s="130"/>
      <c r="R6" s="130"/>
      <c r="S6" s="130"/>
      <c r="T6" s="130"/>
      <c r="U6" s="130"/>
      <c r="V6" s="130"/>
      <c r="W6" s="130"/>
      <c r="X6" s="130"/>
      <c r="Y6" s="130"/>
    </row>
    <row r="7" spans="1:25" ht="15" customHeight="1">
      <c r="A7" s="3347" t="s">
        <v>12613</v>
      </c>
      <c r="B7" s="3349" t="s">
        <v>12614</v>
      </c>
      <c r="C7" s="3351" t="s">
        <v>12615</v>
      </c>
      <c r="D7" s="3352"/>
      <c r="E7" s="130"/>
      <c r="F7" s="180"/>
      <c r="G7" s="130"/>
      <c r="H7" s="130"/>
      <c r="I7" s="130"/>
      <c r="J7" s="130"/>
      <c r="K7" s="130"/>
      <c r="L7" s="130"/>
      <c r="M7" s="130"/>
      <c r="N7" s="130"/>
      <c r="O7" s="130"/>
      <c r="P7" s="130"/>
      <c r="Q7" s="130"/>
      <c r="R7" s="130"/>
      <c r="S7" s="130"/>
      <c r="T7" s="130"/>
      <c r="U7" s="130"/>
      <c r="V7" s="130"/>
      <c r="W7" s="130"/>
      <c r="X7" s="130"/>
      <c r="Y7" s="130"/>
    </row>
    <row r="8" spans="1:25" ht="16.5" customHeight="1">
      <c r="A8" s="3348"/>
      <c r="B8" s="3350"/>
      <c r="C8" s="187" t="s">
        <v>12616</v>
      </c>
      <c r="D8" s="188" t="s">
        <v>12617</v>
      </c>
      <c r="E8" s="189" t="s">
        <v>409</v>
      </c>
      <c r="F8" s="189" t="s">
        <v>12618</v>
      </c>
      <c r="G8" s="130"/>
      <c r="H8" s="130"/>
      <c r="I8" s="130"/>
      <c r="J8" s="130"/>
      <c r="K8" s="130"/>
      <c r="L8" s="130"/>
      <c r="M8" s="130"/>
      <c r="N8" s="130"/>
      <c r="O8" s="130"/>
      <c r="P8" s="130"/>
      <c r="Q8" s="130"/>
      <c r="R8" s="130"/>
      <c r="S8" s="130"/>
      <c r="T8" s="130"/>
      <c r="U8" s="130"/>
      <c r="V8" s="130"/>
      <c r="W8" s="130"/>
      <c r="X8" s="130"/>
      <c r="Y8" s="130"/>
    </row>
    <row r="9" spans="1:25" ht="15" customHeight="1">
      <c r="A9" s="190" t="s">
        <v>12619</v>
      </c>
      <c r="B9" s="191" t="s">
        <v>12620</v>
      </c>
      <c r="C9" s="192" t="e">
        <f>SUBTOTAL(9,C10:C11)</f>
        <v>#REF!</v>
      </c>
      <c r="D9" s="193" t="e">
        <f>SUBTOTAL(9,D10:D11)</f>
        <v>#REF!</v>
      </c>
      <c r="E9" s="194"/>
      <c r="F9" s="180"/>
      <c r="G9" s="130"/>
      <c r="H9" s="130"/>
      <c r="I9" s="130"/>
      <c r="J9" s="130"/>
      <c r="K9" s="130"/>
      <c r="L9" s="130"/>
      <c r="M9" s="130"/>
      <c r="N9" s="130"/>
      <c r="O9" s="130"/>
      <c r="P9" s="130"/>
      <c r="Q9" s="130"/>
      <c r="R9" s="130"/>
      <c r="S9" s="130"/>
      <c r="T9" s="130"/>
      <c r="U9" s="130"/>
      <c r="V9" s="130"/>
      <c r="W9" s="130"/>
      <c r="X9" s="130"/>
      <c r="Y9" s="130"/>
    </row>
    <row r="10" spans="1:25" ht="15" customHeight="1">
      <c r="A10" s="195" t="s">
        <v>12621</v>
      </c>
      <c r="B10" s="196" t="str">
        <f>VLOOKUP($A10,'Medição '!$A:$G,4,0)</f>
        <v>ADMINISTRAÇÃO DA OBRA</v>
      </c>
      <c r="C10" s="197" t="e">
        <f>VLOOKUP($A10,'Medição '!$A:$G,10,0)</f>
        <v>#REF!</v>
      </c>
      <c r="D10" s="198" t="e">
        <f>C10/$C$49</f>
        <v>#REF!</v>
      </c>
      <c r="E10" s="130"/>
      <c r="F10" s="180"/>
      <c r="G10" s="130"/>
      <c r="H10" s="130"/>
      <c r="I10" s="130"/>
      <c r="J10" s="130"/>
      <c r="K10" s="130"/>
      <c r="L10" s="130"/>
      <c r="M10" s="130"/>
      <c r="N10" s="130"/>
      <c r="O10" s="130"/>
      <c r="P10" s="130"/>
      <c r="Q10" s="130"/>
      <c r="R10" s="130"/>
      <c r="S10" s="130"/>
      <c r="T10" s="130"/>
      <c r="U10" s="130"/>
      <c r="V10" s="130"/>
      <c r="W10" s="130"/>
      <c r="X10" s="130"/>
      <c r="Y10" s="130"/>
    </row>
    <row r="11" spans="1:25" ht="31.5">
      <c r="A11" s="199" t="s">
        <v>12622</v>
      </c>
      <c r="B11" s="196" t="str">
        <f>VLOOKUP($A11,'Medição '!$A:$G,4,0)</f>
        <v>INSTALAÇÕES DE CANTEIRO, SERVIÇOS PRELIMINARES E TÉCNICOS</v>
      </c>
      <c r="C11" s="197" t="e">
        <f>VLOOKUP($A11,'Medição '!$A:$G,10,0)</f>
        <v>#REF!</v>
      </c>
      <c r="D11" s="198" t="e">
        <f>C11/$C$49</f>
        <v>#REF!</v>
      </c>
      <c r="E11" s="130"/>
      <c r="F11" s="180"/>
      <c r="G11" s="130"/>
      <c r="H11" s="130"/>
      <c r="I11" s="130"/>
      <c r="J11" s="130"/>
      <c r="K11" s="130"/>
      <c r="L11" s="130"/>
      <c r="M11" s="130"/>
      <c r="N11" s="130"/>
      <c r="O11" s="130"/>
      <c r="P11" s="130"/>
      <c r="Q11" s="130"/>
      <c r="R11" s="130"/>
      <c r="S11" s="130"/>
      <c r="T11" s="130"/>
      <c r="U11" s="130"/>
      <c r="V11" s="130"/>
      <c r="W11" s="130"/>
      <c r="X11" s="130"/>
      <c r="Y11" s="130"/>
    </row>
    <row r="12" spans="1:25" ht="15" customHeight="1">
      <c r="A12" s="200" t="s">
        <v>12623</v>
      </c>
      <c r="B12" s="201" t="s">
        <v>12452</v>
      </c>
      <c r="C12" s="202" t="e">
        <f>SUBTOTAL(9,C13:C17)</f>
        <v>#REF!</v>
      </c>
      <c r="D12" s="203" t="e">
        <f>SUBTOTAL(9,D13:D17)</f>
        <v>#REF!</v>
      </c>
      <c r="E12" s="130">
        <v>392.78</v>
      </c>
      <c r="F12" s="180" t="e">
        <f>C12/E12</f>
        <v>#REF!</v>
      </c>
      <c r="G12" s="130"/>
      <c r="H12" s="130"/>
      <c r="I12" s="130"/>
      <c r="J12" s="130"/>
      <c r="K12" s="130"/>
      <c r="L12" s="130"/>
      <c r="M12" s="130"/>
      <c r="N12" s="130"/>
      <c r="O12" s="130"/>
      <c r="P12" s="130"/>
      <c r="Q12" s="130"/>
      <c r="R12" s="130"/>
      <c r="S12" s="130"/>
      <c r="T12" s="130"/>
      <c r="U12" s="130"/>
      <c r="V12" s="130"/>
      <c r="W12" s="130"/>
      <c r="X12" s="130"/>
      <c r="Y12" s="130"/>
    </row>
    <row r="13" spans="1:25" ht="15" customHeight="1">
      <c r="A13" s="199" t="s">
        <v>12624</v>
      </c>
      <c r="B13" s="196" t="str">
        <f>VLOOKUP($A13,'Medição '!$A:$G,4,0)</f>
        <v>SERVIÇOS DE ESTRUTURA</v>
      </c>
      <c r="C13" s="197" t="e">
        <f>VLOOKUP($A13,'Medição '!$A:$G,10,0)</f>
        <v>#REF!</v>
      </c>
      <c r="D13" s="198" t="e">
        <f>C13/$C$49</f>
        <v>#REF!</v>
      </c>
      <c r="E13" s="130"/>
      <c r="F13" s="180"/>
      <c r="G13" s="130"/>
      <c r="H13" s="130"/>
      <c r="I13" s="130"/>
      <c r="J13" s="130"/>
      <c r="K13" s="130"/>
      <c r="L13" s="130"/>
      <c r="M13" s="130"/>
      <c r="N13" s="130"/>
      <c r="O13" s="130"/>
      <c r="P13" s="130"/>
      <c r="Q13" s="130"/>
      <c r="R13" s="130"/>
      <c r="S13" s="130"/>
      <c r="T13" s="130"/>
      <c r="U13" s="130"/>
      <c r="V13" s="130"/>
      <c r="W13" s="130"/>
      <c r="X13" s="130"/>
      <c r="Y13" s="130"/>
    </row>
    <row r="14" spans="1:25" ht="15" customHeight="1">
      <c r="A14" s="199" t="s">
        <v>12625</v>
      </c>
      <c r="B14" s="196" t="str">
        <f>VLOOKUP($A14,'Medição '!$A:$G,4,0)</f>
        <v>ARQUITETURA</v>
      </c>
      <c r="C14" s="197" t="e">
        <f>VLOOKUP($A14,'Medição '!$A:$G,10,0)</f>
        <v>#REF!</v>
      </c>
      <c r="D14" s="198" t="e">
        <f>C14/$C$49</f>
        <v>#REF!</v>
      </c>
      <c r="E14" s="130"/>
      <c r="F14" s="180"/>
      <c r="G14" s="204"/>
      <c r="H14" s="130"/>
      <c r="I14" s="130"/>
      <c r="J14" s="130"/>
      <c r="K14" s="130"/>
      <c r="L14" s="130"/>
      <c r="M14" s="130"/>
      <c r="N14" s="130"/>
      <c r="O14" s="130"/>
      <c r="P14" s="130"/>
      <c r="Q14" s="130"/>
      <c r="R14" s="130"/>
      <c r="S14" s="130"/>
      <c r="T14" s="130"/>
      <c r="U14" s="130"/>
      <c r="V14" s="130"/>
      <c r="W14" s="130"/>
      <c r="X14" s="130"/>
      <c r="Y14" s="130"/>
    </row>
    <row r="15" spans="1:25" ht="15" customHeight="1">
      <c r="A15" s="199" t="s">
        <v>12626</v>
      </c>
      <c r="B15" s="196" t="str">
        <f>VLOOKUP($A15,'Medição '!$A:$G,4,0)</f>
        <v>INSTALAÇÕES HIDROSSANITÁRIAIS</v>
      </c>
      <c r="C15" s="197" t="e">
        <f>VLOOKUP($A15,'Medição '!$A:$G,10,0)</f>
        <v>#REF!</v>
      </c>
      <c r="D15" s="198" t="e">
        <f>C15/$C$49</f>
        <v>#REF!</v>
      </c>
      <c r="E15" s="130"/>
      <c r="F15" s="180"/>
      <c r="G15" s="130"/>
      <c r="H15" s="130"/>
      <c r="I15" s="130"/>
      <c r="J15" s="130"/>
      <c r="K15" s="130"/>
      <c r="L15" s="130"/>
      <c r="M15" s="130"/>
      <c r="N15" s="130"/>
      <c r="O15" s="130"/>
      <c r="P15" s="130"/>
      <c r="Q15" s="130"/>
      <c r="R15" s="130"/>
      <c r="S15" s="130"/>
      <c r="T15" s="130"/>
      <c r="U15" s="130"/>
      <c r="V15" s="130"/>
      <c r="W15" s="130"/>
      <c r="X15" s="130"/>
      <c r="Y15" s="130"/>
    </row>
    <row r="16" spans="1:25" ht="15" customHeight="1">
      <c r="A16" s="199" t="s">
        <v>12627</v>
      </c>
      <c r="B16" s="196" t="str">
        <f>VLOOKUP($A16,'Medição '!$A:$G,4,0)</f>
        <v>INSTALAÇÕES ELÉTRICAS E INSTALAÇÕES DE LÓGICA</v>
      </c>
      <c r="C16" s="197" t="e">
        <f>VLOOKUP($A16,'Medição '!$A:$G,10,0)</f>
        <v>#REF!</v>
      </c>
      <c r="D16" s="198" t="e">
        <f>C16/$C$49</f>
        <v>#REF!</v>
      </c>
      <c r="E16" s="130"/>
      <c r="F16" s="180"/>
      <c r="G16" s="130"/>
      <c r="H16" s="130"/>
      <c r="I16" s="130"/>
      <c r="J16" s="130"/>
      <c r="K16" s="130"/>
      <c r="L16" s="130"/>
      <c r="M16" s="130"/>
      <c r="N16" s="130"/>
      <c r="O16" s="130"/>
      <c r="P16" s="130"/>
      <c r="Q16" s="130"/>
      <c r="R16" s="130"/>
      <c r="S16" s="130"/>
      <c r="T16" s="130"/>
      <c r="U16" s="130"/>
      <c r="V16" s="130"/>
      <c r="W16" s="130"/>
      <c r="X16" s="130"/>
      <c r="Y16" s="130"/>
    </row>
    <row r="17" spans="1:25" ht="31.5">
      <c r="A17" s="199" t="s">
        <v>12628</v>
      </c>
      <c r="B17" s="196" t="str">
        <f>VLOOKUP($A17,'Medição '!$A:$G,4,0)</f>
        <v>INSTALAÇÕES PREVENÇÃO E COMBATE A INCENDIO E PANICO</v>
      </c>
      <c r="C17" s="197" t="e">
        <f>VLOOKUP($A17,'Medição '!$A:$G,10,0)</f>
        <v>#REF!</v>
      </c>
      <c r="D17" s="198" t="e">
        <f>C17/$C$49</f>
        <v>#REF!</v>
      </c>
      <c r="E17" s="130"/>
      <c r="F17" s="180"/>
      <c r="G17" s="130"/>
      <c r="H17" s="130"/>
      <c r="I17" s="130"/>
      <c r="J17" s="130"/>
      <c r="K17" s="130"/>
      <c r="L17" s="130"/>
      <c r="M17" s="130"/>
      <c r="N17" s="130"/>
      <c r="O17" s="130"/>
      <c r="P17" s="130"/>
      <c r="Q17" s="130"/>
      <c r="R17" s="130"/>
      <c r="S17" s="130"/>
      <c r="T17" s="130"/>
      <c r="U17" s="130"/>
      <c r="V17" s="130"/>
      <c r="W17" s="130"/>
      <c r="X17" s="130"/>
      <c r="Y17" s="130"/>
    </row>
    <row r="18" spans="1:25" ht="15" customHeight="1">
      <c r="A18" s="200" t="s">
        <v>12629</v>
      </c>
      <c r="B18" s="201" t="s">
        <v>12464</v>
      </c>
      <c r="C18" s="202" t="e">
        <f>SUBTOTAL(9,C19:C22)</f>
        <v>#REF!</v>
      </c>
      <c r="D18" s="203" t="e">
        <f>SUBTOTAL(9,D19:D22)</f>
        <v>#REF!</v>
      </c>
      <c r="E18" s="205">
        <v>6919.19</v>
      </c>
      <c r="F18" s="180" t="e">
        <f>C18/E18</f>
        <v>#REF!</v>
      </c>
      <c r="G18" s="130"/>
      <c r="H18" s="130"/>
      <c r="I18" s="130"/>
      <c r="J18" s="130"/>
      <c r="K18" s="130"/>
      <c r="L18" s="130"/>
      <c r="M18" s="130"/>
      <c r="N18" s="130"/>
      <c r="O18" s="130"/>
      <c r="P18" s="130"/>
      <c r="Q18" s="130"/>
      <c r="R18" s="130"/>
      <c r="S18" s="130"/>
      <c r="T18" s="130"/>
      <c r="U18" s="130"/>
      <c r="V18" s="130"/>
      <c r="W18" s="130"/>
      <c r="X18" s="130"/>
      <c r="Y18" s="130"/>
    </row>
    <row r="19" spans="1:25" ht="15" customHeight="1">
      <c r="A19" s="199" t="s">
        <v>12630</v>
      </c>
      <c r="B19" s="196" t="str">
        <f>VLOOKUP($A19,'Medição '!$A:$G,4,0)</f>
        <v>SERVIÇO DE ESTRUTURA</v>
      </c>
      <c r="C19" s="197" t="e">
        <f>VLOOKUP($A19,'Medição '!$A:$G,10,0)</f>
        <v>#REF!</v>
      </c>
      <c r="D19" s="198" t="e">
        <f>C19/$C$49</f>
        <v>#REF!</v>
      </c>
      <c r="E19" s="130"/>
      <c r="F19" s="180"/>
      <c r="G19" s="130"/>
      <c r="H19" s="130"/>
      <c r="I19" s="130"/>
      <c r="J19" s="130"/>
      <c r="K19" s="130"/>
      <c r="L19" s="130"/>
      <c r="M19" s="130"/>
      <c r="N19" s="130"/>
      <c r="O19" s="130"/>
      <c r="P19" s="130"/>
      <c r="Q19" s="130"/>
      <c r="R19" s="130"/>
      <c r="S19" s="130"/>
      <c r="T19" s="130"/>
      <c r="U19" s="130"/>
      <c r="V19" s="130"/>
      <c r="W19" s="130"/>
      <c r="X19" s="130"/>
      <c r="Y19" s="130"/>
    </row>
    <row r="20" spans="1:25" ht="15" customHeight="1">
      <c r="A20" s="199" t="s">
        <v>12631</v>
      </c>
      <c r="B20" s="196" t="str">
        <f>VLOOKUP($A20,'Medição '!$A:$G,4,0)</f>
        <v>ARQUITETURA</v>
      </c>
      <c r="C20" s="197" t="e">
        <f>VLOOKUP($A20,'Medição '!$A:$G,10,0)</f>
        <v>#REF!</v>
      </c>
      <c r="D20" s="198" t="e">
        <f>C20/$C$49</f>
        <v>#REF!</v>
      </c>
      <c r="E20" s="130"/>
      <c r="G20" s="206"/>
      <c r="H20" s="130"/>
      <c r="I20" s="130"/>
      <c r="J20" s="130"/>
      <c r="K20" s="130"/>
      <c r="L20" s="130"/>
      <c r="M20" s="130"/>
      <c r="N20" s="130"/>
      <c r="O20" s="130"/>
      <c r="P20" s="130"/>
      <c r="Q20" s="130"/>
      <c r="R20" s="130"/>
      <c r="S20" s="130"/>
      <c r="T20" s="130"/>
      <c r="U20" s="130"/>
      <c r="V20" s="130"/>
      <c r="W20" s="130"/>
      <c r="X20" s="130"/>
      <c r="Y20" s="130"/>
    </row>
    <row r="21" spans="1:25" ht="15" customHeight="1">
      <c r="A21" s="199" t="s">
        <v>12632</v>
      </c>
      <c r="B21" s="196" t="str">
        <f>VLOOKUP($A21,'Medição '!$A:$G,4,0)</f>
        <v>INSTALAÇÕES HIDROSSANITÁRIAIS</v>
      </c>
      <c r="C21" s="197" t="e">
        <f>VLOOKUP($A21,'Medição '!$A:$G,10,0)</f>
        <v>#REF!</v>
      </c>
      <c r="D21" s="198" t="e">
        <f>C21/$C$49</f>
        <v>#REF!</v>
      </c>
      <c r="E21" s="130"/>
      <c r="F21" s="180"/>
      <c r="G21" s="130"/>
      <c r="H21" s="130"/>
      <c r="I21" s="130"/>
      <c r="J21" s="130"/>
      <c r="K21" s="130"/>
      <c r="L21" s="130"/>
      <c r="M21" s="130"/>
      <c r="N21" s="130"/>
      <c r="O21" s="130"/>
      <c r="P21" s="130"/>
      <c r="Q21" s="130"/>
      <c r="R21" s="130"/>
      <c r="S21" s="130"/>
      <c r="T21" s="130"/>
      <c r="U21" s="130"/>
      <c r="V21" s="130"/>
      <c r="W21" s="130"/>
      <c r="X21" s="130"/>
      <c r="Y21" s="130"/>
    </row>
    <row r="22" spans="1:25" ht="15" customHeight="1">
      <c r="A22" s="199" t="s">
        <v>12633</v>
      </c>
      <c r="B22" s="196" t="str">
        <f>VLOOKUP($A22,'Medição '!$A:$G,4,0)</f>
        <v>INSTALAÇÕES ELÉTRICAS</v>
      </c>
      <c r="C22" s="197" t="e">
        <f>VLOOKUP($A22,'Medição '!$A:$G,10,0)</f>
        <v>#REF!</v>
      </c>
      <c r="D22" s="198" t="e">
        <f>C22/$C$49</f>
        <v>#REF!</v>
      </c>
      <c r="E22" s="130"/>
      <c r="F22" s="180"/>
      <c r="G22" s="130"/>
      <c r="H22" s="130"/>
      <c r="I22" s="130"/>
      <c r="J22" s="130"/>
      <c r="K22" s="130"/>
      <c r="L22" s="130"/>
      <c r="M22" s="130"/>
      <c r="N22" s="130"/>
      <c r="O22" s="130"/>
      <c r="P22" s="130"/>
      <c r="Q22" s="130"/>
      <c r="R22" s="130"/>
      <c r="S22" s="130"/>
      <c r="T22" s="130"/>
      <c r="U22" s="130"/>
      <c r="V22" s="130"/>
      <c r="W22" s="130"/>
      <c r="X22" s="130"/>
      <c r="Y22" s="130"/>
    </row>
    <row r="23" spans="1:25" ht="15" customHeight="1">
      <c r="A23" s="200" t="s">
        <v>12634</v>
      </c>
      <c r="B23" s="201" t="s">
        <v>12465</v>
      </c>
      <c r="C23" s="202" t="e">
        <f>SUBTOTAL(9,C24:C28)</f>
        <v>#REF!</v>
      </c>
      <c r="D23" s="203" t="e">
        <f>SUBTOTAL(9,D24:D28)</f>
        <v>#REF!</v>
      </c>
      <c r="E23" s="130">
        <v>26.95</v>
      </c>
      <c r="F23" s="180" t="e">
        <f>C23/E23</f>
        <v>#REF!</v>
      </c>
      <c r="G23" s="130"/>
      <c r="H23" s="130"/>
      <c r="I23" s="130"/>
      <c r="J23" s="130"/>
      <c r="K23" s="130"/>
      <c r="L23" s="130"/>
      <c r="M23" s="130"/>
      <c r="N23" s="130"/>
      <c r="O23" s="130"/>
      <c r="P23" s="130"/>
      <c r="Q23" s="130"/>
      <c r="R23" s="130"/>
      <c r="S23" s="130"/>
      <c r="T23" s="130"/>
      <c r="U23" s="130"/>
      <c r="V23" s="130"/>
      <c r="W23" s="130"/>
      <c r="X23" s="130"/>
      <c r="Y23" s="130"/>
    </row>
    <row r="24" spans="1:25" ht="15" customHeight="1">
      <c r="A24" s="199" t="s">
        <v>12635</v>
      </c>
      <c r="B24" s="196" t="str">
        <f>VLOOKUP($A24,'Medição '!$A:$G,4,0)</f>
        <v>SERVIÇOS DE ESTRUTURA</v>
      </c>
      <c r="C24" s="197" t="e">
        <f>VLOOKUP($A24,'Medição '!$A:$G,10,0)</f>
        <v>#REF!</v>
      </c>
      <c r="D24" s="198" t="e">
        <f>C24/$C$49</f>
        <v>#REF!</v>
      </c>
      <c r="E24" s="130"/>
      <c r="F24" s="180"/>
      <c r="G24" s="130"/>
      <c r="H24" s="130"/>
      <c r="I24" s="130"/>
      <c r="J24" s="130"/>
      <c r="K24" s="130"/>
      <c r="L24" s="130"/>
      <c r="M24" s="130"/>
      <c r="N24" s="130"/>
      <c r="O24" s="130"/>
      <c r="P24" s="130"/>
      <c r="Q24" s="130"/>
      <c r="R24" s="130"/>
      <c r="S24" s="130"/>
      <c r="T24" s="130"/>
      <c r="U24" s="130"/>
      <c r="V24" s="130"/>
      <c r="W24" s="130"/>
      <c r="X24" s="130"/>
      <c r="Y24" s="130"/>
    </row>
    <row r="25" spans="1:25" ht="15" customHeight="1">
      <c r="A25" s="199" t="s">
        <v>12636</v>
      </c>
      <c r="B25" s="196" t="str">
        <f>VLOOKUP($A25,'Medição '!$A:$G,4,0)</f>
        <v>ARQUITETURA</v>
      </c>
      <c r="C25" s="197" t="e">
        <f>VLOOKUP($A25,'Medição '!$A:$G,10,0)</f>
        <v>#REF!</v>
      </c>
      <c r="D25" s="198" t="e">
        <f>C25/$C$49</f>
        <v>#REF!</v>
      </c>
      <c r="E25" s="130"/>
      <c r="F25" s="180"/>
      <c r="G25" s="130"/>
      <c r="H25" s="130"/>
      <c r="I25" s="130"/>
      <c r="J25" s="130"/>
      <c r="K25" s="130"/>
      <c r="L25" s="130"/>
      <c r="M25" s="130"/>
      <c r="N25" s="130"/>
      <c r="O25" s="130"/>
      <c r="P25" s="130"/>
      <c r="Q25" s="130"/>
      <c r="R25" s="130"/>
      <c r="S25" s="130"/>
      <c r="T25" s="130"/>
      <c r="U25" s="130"/>
      <c r="V25" s="130"/>
      <c r="W25" s="130"/>
      <c r="X25" s="130"/>
      <c r="Y25" s="130"/>
    </row>
    <row r="26" spans="1:25" ht="15" customHeight="1">
      <c r="A26" s="199" t="s">
        <v>12637</v>
      </c>
      <c r="B26" s="196" t="str">
        <f>VLOOKUP($A26,'Medição '!$A:$G,4,0)</f>
        <v>INSTALAÇÕES HIDROSSANITÁRIAIS</v>
      </c>
      <c r="C26" s="197" t="e">
        <f>VLOOKUP($A26,'Medição '!$A:$G,10,0)</f>
        <v>#REF!</v>
      </c>
      <c r="D26" s="198" t="e">
        <f>C26/$C$49</f>
        <v>#REF!</v>
      </c>
      <c r="E26" s="130"/>
      <c r="F26" s="180"/>
      <c r="G26" s="130"/>
      <c r="H26" s="130"/>
      <c r="I26" s="130"/>
      <c r="J26" s="130"/>
      <c r="K26" s="130"/>
      <c r="L26" s="130"/>
      <c r="M26" s="130"/>
      <c r="N26" s="130"/>
      <c r="O26" s="130"/>
      <c r="P26" s="130"/>
      <c r="Q26" s="130"/>
      <c r="R26" s="130"/>
      <c r="S26" s="130"/>
      <c r="T26" s="130"/>
      <c r="U26" s="130"/>
      <c r="V26" s="130"/>
      <c r="W26" s="130"/>
      <c r="X26" s="130"/>
      <c r="Y26" s="130"/>
    </row>
    <row r="27" spans="1:25" ht="15.75">
      <c r="A27" s="199" t="s">
        <v>12638</v>
      </c>
      <c r="B27" s="196" t="str">
        <f>VLOOKUP($A27,'Medição '!$A:$G,4,0)</f>
        <v>INSTALAÇÕES ELÉTRICAS E INSTALAÇÕES DE LÓGICA</v>
      </c>
      <c r="C27" s="197" t="e">
        <f>VLOOKUP($A27,'Medição '!$A:$G,10,0)</f>
        <v>#REF!</v>
      </c>
      <c r="D27" s="198" t="e">
        <f>C27/$C$49</f>
        <v>#REF!</v>
      </c>
      <c r="E27" s="130"/>
      <c r="F27" s="180"/>
      <c r="G27" s="130"/>
      <c r="H27" s="130"/>
      <c r="I27" s="130"/>
      <c r="J27" s="130"/>
      <c r="K27" s="130"/>
      <c r="L27" s="130"/>
      <c r="M27" s="130"/>
      <c r="N27" s="130"/>
      <c r="O27" s="130"/>
      <c r="P27" s="130"/>
      <c r="Q27" s="130"/>
      <c r="R27" s="130"/>
      <c r="S27" s="130"/>
      <c r="T27" s="130"/>
      <c r="U27" s="130"/>
      <c r="V27" s="130"/>
      <c r="W27" s="130"/>
      <c r="X27" s="130"/>
      <c r="Y27" s="130"/>
    </row>
    <row r="28" spans="1:25" ht="31.5">
      <c r="A28" s="199" t="s">
        <v>12639</v>
      </c>
      <c r="B28" s="196" t="str">
        <f>VLOOKUP($A28,'Medição '!$A:$G,4,0)</f>
        <v>INSTALAÇÕES PREVENÇÃO E COMBATE A INCENDIO E PANICO</v>
      </c>
      <c r="C28" s="197" t="e">
        <f>VLOOKUP($A28,'Medição '!$A:$G,10,0)</f>
        <v>#REF!</v>
      </c>
      <c r="D28" s="198" t="e">
        <f>C28/$C$49</f>
        <v>#REF!</v>
      </c>
      <c r="E28" s="130"/>
      <c r="F28" s="180"/>
      <c r="G28" s="130"/>
      <c r="H28" s="130"/>
      <c r="I28" s="130"/>
      <c r="J28" s="130"/>
      <c r="K28" s="130"/>
      <c r="L28" s="130"/>
      <c r="M28" s="130"/>
      <c r="N28" s="130"/>
      <c r="O28" s="130"/>
      <c r="P28" s="130"/>
      <c r="Q28" s="130"/>
      <c r="R28" s="130"/>
      <c r="S28" s="130"/>
      <c r="T28" s="130"/>
      <c r="U28" s="130"/>
      <c r="V28" s="130"/>
      <c r="W28" s="130"/>
      <c r="X28" s="130"/>
      <c r="Y28" s="130"/>
    </row>
    <row r="29" spans="1:25" ht="15" customHeight="1">
      <c r="A29" s="200" t="s">
        <v>12640</v>
      </c>
      <c r="B29" s="201" t="s">
        <v>12641</v>
      </c>
      <c r="C29" s="202" t="e">
        <f>SUBTOTAL(9,C30:C34)</f>
        <v>#REF!</v>
      </c>
      <c r="D29" s="203" t="e">
        <f>SUBTOTAL(9,D30:D34)</f>
        <v>#REF!</v>
      </c>
      <c r="E29" s="130">
        <v>206.8</v>
      </c>
      <c r="F29" s="180" t="e">
        <f>C29/E29</f>
        <v>#REF!</v>
      </c>
      <c r="G29" s="130"/>
      <c r="H29" s="130"/>
      <c r="I29" s="130"/>
      <c r="J29" s="130"/>
      <c r="K29" s="130"/>
      <c r="L29" s="130"/>
      <c r="M29" s="130"/>
      <c r="N29" s="130"/>
      <c r="O29" s="130"/>
      <c r="P29" s="130"/>
      <c r="Q29" s="130"/>
      <c r="R29" s="130"/>
      <c r="S29" s="130"/>
      <c r="T29" s="130"/>
      <c r="U29" s="130"/>
      <c r="V29" s="130"/>
      <c r="W29" s="130"/>
      <c r="X29" s="130"/>
      <c r="Y29" s="130"/>
    </row>
    <row r="30" spans="1:25" ht="15" customHeight="1">
      <c r="A30" s="199" t="s">
        <v>12642</v>
      </c>
      <c r="B30" s="196" t="str">
        <f>VLOOKUP($A30,'Medição '!$A:$G,4,0)</f>
        <v>SERVIÇOS DE ESTRUTURA</v>
      </c>
      <c r="C30" s="197" t="e">
        <f>VLOOKUP($A30,'Medição '!$A:$G,10,0)</f>
        <v>#REF!</v>
      </c>
      <c r="D30" s="198" t="e">
        <f>C30/$C$49</f>
        <v>#REF!</v>
      </c>
      <c r="E30" s="130"/>
      <c r="F30" s="180"/>
      <c r="G30" s="130"/>
      <c r="H30" s="130"/>
      <c r="I30" s="130"/>
      <c r="J30" s="130"/>
      <c r="K30" s="130"/>
      <c r="L30" s="130"/>
      <c r="M30" s="130"/>
      <c r="N30" s="130"/>
      <c r="O30" s="130"/>
      <c r="P30" s="130"/>
      <c r="Q30" s="130"/>
      <c r="R30" s="130"/>
      <c r="S30" s="130"/>
      <c r="T30" s="130"/>
      <c r="U30" s="130"/>
      <c r="V30" s="130"/>
      <c r="W30" s="130"/>
      <c r="X30" s="130"/>
      <c r="Y30" s="130"/>
    </row>
    <row r="31" spans="1:25" ht="15" customHeight="1">
      <c r="A31" s="199" t="s">
        <v>12643</v>
      </c>
      <c r="B31" s="196" t="str">
        <f>VLOOKUP($A31,'Medição '!$A:$G,4,0)</f>
        <v>ARQUITETURA</v>
      </c>
      <c r="C31" s="197" t="e">
        <f>VLOOKUP($A31,'Medição '!$A:$G,10,0)</f>
        <v>#REF!</v>
      </c>
      <c r="D31" s="198" t="e">
        <f>C31/$C$49</f>
        <v>#REF!</v>
      </c>
      <c r="E31" s="130"/>
      <c r="F31" s="180"/>
      <c r="G31" s="130"/>
      <c r="H31" s="130"/>
      <c r="I31" s="130"/>
      <c r="J31" s="130"/>
      <c r="K31" s="130"/>
      <c r="L31" s="130"/>
      <c r="M31" s="130"/>
      <c r="N31" s="130"/>
      <c r="O31" s="130"/>
      <c r="P31" s="130"/>
      <c r="Q31" s="130"/>
      <c r="R31" s="130"/>
      <c r="S31" s="130"/>
      <c r="T31" s="130"/>
      <c r="U31" s="130"/>
      <c r="V31" s="130"/>
      <c r="W31" s="130"/>
      <c r="X31" s="130"/>
      <c r="Y31" s="130"/>
    </row>
    <row r="32" spans="1:25" ht="15" customHeight="1">
      <c r="A32" s="199" t="s">
        <v>12644</v>
      </c>
      <c r="B32" s="196" t="str">
        <f>VLOOKUP($A32,'Medição '!$A:$G,4,0)</f>
        <v>INSTALAÇÕES HIDROSSANITÁRIAIS</v>
      </c>
      <c r="C32" s="197" t="e">
        <f>VLOOKUP($A32,'Medição '!$A:$G,10,0)</f>
        <v>#REF!</v>
      </c>
      <c r="D32" s="198" t="e">
        <f>C32/$C$49</f>
        <v>#REF!</v>
      </c>
      <c r="E32" s="130"/>
      <c r="F32" s="180"/>
      <c r="G32" s="130"/>
      <c r="H32" s="130"/>
      <c r="I32" s="130"/>
      <c r="J32" s="130"/>
      <c r="K32" s="130"/>
      <c r="L32" s="130"/>
      <c r="M32" s="130"/>
      <c r="N32" s="130"/>
      <c r="O32" s="130"/>
      <c r="P32" s="130"/>
      <c r="Q32" s="130"/>
      <c r="R32" s="130"/>
      <c r="S32" s="130"/>
      <c r="T32" s="130"/>
      <c r="U32" s="130"/>
      <c r="V32" s="130"/>
      <c r="W32" s="130"/>
      <c r="X32" s="130"/>
      <c r="Y32" s="130"/>
    </row>
    <row r="33" spans="1:25" ht="15" customHeight="1">
      <c r="A33" s="199" t="s">
        <v>12645</v>
      </c>
      <c r="B33" s="196" t="str">
        <f>VLOOKUP($A33,'Medição '!$A:$G,4,0)</f>
        <v>INSTALAÇÕES ELÉTRICAS</v>
      </c>
      <c r="C33" s="197" t="e">
        <f>VLOOKUP($A33,'Medição '!$A:$G,10,0)</f>
        <v>#REF!</v>
      </c>
      <c r="D33" s="198" t="e">
        <f>C33/$C$49</f>
        <v>#REF!</v>
      </c>
      <c r="E33" s="130"/>
      <c r="F33" s="180"/>
      <c r="G33" s="130"/>
      <c r="H33" s="130"/>
      <c r="I33" s="130"/>
      <c r="J33" s="130"/>
      <c r="K33" s="130"/>
      <c r="L33" s="130"/>
      <c r="M33" s="130"/>
      <c r="N33" s="130"/>
      <c r="O33" s="130"/>
      <c r="P33" s="130"/>
      <c r="Q33" s="130"/>
      <c r="R33" s="130"/>
      <c r="S33" s="130"/>
      <c r="T33" s="130"/>
      <c r="U33" s="130"/>
      <c r="V33" s="130"/>
      <c r="W33" s="130"/>
      <c r="X33" s="130"/>
      <c r="Y33" s="130"/>
    </row>
    <row r="34" spans="1:25" ht="31.5">
      <c r="A34" s="199" t="s">
        <v>12646</v>
      </c>
      <c r="B34" s="196" t="str">
        <f>VLOOKUP($A34,'Medição '!$A:$G,4,0)</f>
        <v>INSTALAÇÕES PREVENÇÃO E COMBATE A INCENDIO E PANICO</v>
      </c>
      <c r="C34" s="197" t="e">
        <f>VLOOKUP($A34,'Medição '!$A:$G,10,0)</f>
        <v>#REF!</v>
      </c>
      <c r="D34" s="198" t="e">
        <f>C34/$C$49</f>
        <v>#REF!</v>
      </c>
      <c r="E34" s="130"/>
      <c r="F34" s="180"/>
      <c r="G34" s="130"/>
      <c r="H34" s="130"/>
      <c r="I34" s="130"/>
      <c r="J34" s="130"/>
      <c r="K34" s="130"/>
      <c r="L34" s="130"/>
      <c r="M34" s="130"/>
      <c r="N34" s="130"/>
      <c r="O34" s="130"/>
      <c r="P34" s="130"/>
      <c r="Q34" s="130"/>
      <c r="R34" s="130"/>
      <c r="S34" s="130"/>
      <c r="T34" s="130"/>
      <c r="U34" s="130"/>
      <c r="V34" s="130"/>
      <c r="W34" s="130"/>
      <c r="X34" s="130"/>
      <c r="Y34" s="130"/>
    </row>
    <row r="35" spans="1:25" ht="15" customHeight="1">
      <c r="A35" s="200" t="s">
        <v>12647</v>
      </c>
      <c r="B35" s="201" t="s">
        <v>12467</v>
      </c>
      <c r="C35" s="202" t="e">
        <f>SUBTOTAL(9,C36:C40)</f>
        <v>#REF!</v>
      </c>
      <c r="D35" s="203" t="e">
        <f>SUBTOTAL(9,D36:D39)</f>
        <v>#REF!</v>
      </c>
      <c r="E35" s="130">
        <v>280.19</v>
      </c>
      <c r="F35" s="180" t="e">
        <f>C35/E35</f>
        <v>#REF!</v>
      </c>
      <c r="G35" s="130"/>
      <c r="H35" s="207"/>
      <c r="I35" s="3353"/>
      <c r="J35" s="2930"/>
      <c r="K35" s="2926"/>
      <c r="L35" s="3353"/>
      <c r="M35" s="2930"/>
      <c r="N35" s="2926"/>
      <c r="O35" s="130"/>
      <c r="P35" s="130"/>
      <c r="Q35" s="130"/>
      <c r="R35" s="130"/>
      <c r="S35" s="130"/>
      <c r="T35" s="130"/>
      <c r="U35" s="130"/>
      <c r="V35" s="130"/>
      <c r="W35" s="130"/>
      <c r="X35" s="130"/>
      <c r="Y35" s="130"/>
    </row>
    <row r="36" spans="1:25" ht="15" customHeight="1">
      <c r="A36" s="199" t="s">
        <v>12648</v>
      </c>
      <c r="B36" s="196" t="str">
        <f>VLOOKUP($A36,'Medição '!$A:$G,4,0)</f>
        <v>SERVIÇOS DE ESTRUTURA</v>
      </c>
      <c r="C36" s="197" t="e">
        <f>VLOOKUP($A36,'Medição '!$A:$G,10,0)</f>
        <v>#REF!</v>
      </c>
      <c r="D36" s="198" t="e">
        <f>C36/$C$49</f>
        <v>#REF!</v>
      </c>
      <c r="E36" s="130"/>
      <c r="F36" s="180"/>
      <c r="G36" s="130"/>
      <c r="H36" s="208"/>
      <c r="I36" s="3354"/>
      <c r="J36" s="2662"/>
      <c r="K36" s="2663"/>
      <c r="L36" s="3355"/>
      <c r="M36" s="2662"/>
      <c r="N36" s="2663"/>
      <c r="O36" s="130"/>
      <c r="P36" s="130"/>
      <c r="Q36" s="130"/>
      <c r="R36" s="130"/>
      <c r="S36" s="130"/>
      <c r="T36" s="130"/>
      <c r="U36" s="130"/>
      <c r="V36" s="130"/>
      <c r="W36" s="130"/>
      <c r="X36" s="130"/>
      <c r="Y36" s="130"/>
    </row>
    <row r="37" spans="1:25" ht="15" customHeight="1">
      <c r="A37" s="199" t="s">
        <v>12649</v>
      </c>
      <c r="B37" s="196" t="str">
        <f>VLOOKUP($A37,'Medição '!$A:$G,4,0)</f>
        <v>ARQUITETURA</v>
      </c>
      <c r="C37" s="197" t="e">
        <f>VLOOKUP($A37,'Medição '!$A:$G,10,0)</f>
        <v>#REF!</v>
      </c>
      <c r="D37" s="198" t="e">
        <f>C37/$C$49</f>
        <v>#REF!</v>
      </c>
      <c r="E37" s="130"/>
      <c r="F37" s="180"/>
      <c r="G37" s="130"/>
      <c r="H37" s="208"/>
      <c r="I37" s="3354"/>
      <c r="J37" s="2662"/>
      <c r="K37" s="2663"/>
      <c r="L37" s="3355"/>
      <c r="M37" s="2662"/>
      <c r="N37" s="2663"/>
      <c r="O37" s="130"/>
      <c r="P37" s="130"/>
      <c r="Q37" s="130"/>
      <c r="R37" s="130"/>
      <c r="S37" s="130"/>
      <c r="T37" s="130"/>
      <c r="U37" s="130"/>
      <c r="V37" s="130"/>
      <c r="W37" s="130"/>
      <c r="X37" s="130"/>
      <c r="Y37" s="130"/>
    </row>
    <row r="38" spans="1:25" ht="15" customHeight="1">
      <c r="A38" s="199" t="s">
        <v>12650</v>
      </c>
      <c r="B38" s="196" t="str">
        <f>VLOOKUP($A38,'Medição '!$A:$G,4,0)</f>
        <v>INSTALAÇÕES HIDROSSANITÁRIAIS</v>
      </c>
      <c r="C38" s="197" t="e">
        <f>VLOOKUP($A38,'Medição '!$A:$G,10,0)</f>
        <v>#REF!</v>
      </c>
      <c r="D38" s="198" t="e">
        <f>C38/$C$49</f>
        <v>#REF!</v>
      </c>
      <c r="E38" s="130"/>
      <c r="F38" s="180"/>
      <c r="G38" s="130"/>
      <c r="H38" s="208"/>
      <c r="I38" s="3354"/>
      <c r="J38" s="2662"/>
      <c r="K38" s="2663"/>
      <c r="L38" s="3356"/>
      <c r="M38" s="2662"/>
      <c r="N38" s="2663"/>
      <c r="O38" s="130"/>
      <c r="P38" s="130"/>
      <c r="Q38" s="130"/>
      <c r="R38" s="130"/>
      <c r="S38" s="130"/>
      <c r="T38" s="130"/>
      <c r="U38" s="130"/>
      <c r="V38" s="130"/>
      <c r="W38" s="130"/>
      <c r="X38" s="130"/>
      <c r="Y38" s="130"/>
    </row>
    <row r="39" spans="1:25" ht="15" customHeight="1">
      <c r="A39" s="199" t="s">
        <v>12651</v>
      </c>
      <c r="B39" s="196" t="str">
        <f>VLOOKUP($A39,'Medição '!$A:$G,4,0)</f>
        <v>INSTALAÇÕES ELÉTRICAS</v>
      </c>
      <c r="C39" s="197" t="e">
        <f>VLOOKUP($A39,'Medição '!$A:$G,10,0)</f>
        <v>#REF!</v>
      </c>
      <c r="D39" s="198" t="e">
        <f>C39/$C$49</f>
        <v>#REF!</v>
      </c>
      <c r="E39" s="130"/>
      <c r="F39" s="180"/>
      <c r="G39" s="130"/>
      <c r="H39" s="208"/>
      <c r="I39" s="3354"/>
      <c r="J39" s="2662"/>
      <c r="K39" s="2663"/>
      <c r="L39" s="3355"/>
      <c r="M39" s="2662"/>
      <c r="N39" s="2663"/>
      <c r="O39" s="130"/>
      <c r="P39" s="130"/>
      <c r="Q39" s="130"/>
      <c r="R39" s="130"/>
      <c r="S39" s="130"/>
      <c r="T39" s="130"/>
      <c r="U39" s="130"/>
      <c r="V39" s="130"/>
      <c r="W39" s="130"/>
      <c r="X39" s="130"/>
      <c r="Y39" s="130"/>
    </row>
    <row r="40" spans="1:25" ht="31.5">
      <c r="A40" s="199" t="s">
        <v>12652</v>
      </c>
      <c r="B40" s="196" t="str">
        <f>VLOOKUP($A40,'Medição '!$A:$G,4,0)</f>
        <v>INSTALAÇÕES PREVENÇÃO E COMBATE A INCENDIO E PANICO</v>
      </c>
      <c r="C40" s="197" t="e">
        <f>VLOOKUP($A40,'Medição '!$A:$G,10,0)</f>
        <v>#REF!</v>
      </c>
      <c r="D40" s="198" t="e">
        <f>C40/$C$49</f>
        <v>#REF!</v>
      </c>
      <c r="E40" s="130"/>
      <c r="F40" s="180"/>
      <c r="G40" s="130"/>
      <c r="H40" s="208"/>
      <c r="I40" s="209"/>
      <c r="J40" s="209"/>
      <c r="K40" s="209"/>
      <c r="L40" s="210"/>
      <c r="M40" s="210"/>
      <c r="N40" s="210"/>
      <c r="O40" s="130"/>
      <c r="P40" s="130"/>
      <c r="Q40" s="130"/>
      <c r="R40" s="130"/>
      <c r="S40" s="130"/>
      <c r="T40" s="130"/>
      <c r="U40" s="130"/>
      <c r="V40" s="130"/>
      <c r="W40" s="130"/>
      <c r="X40" s="130"/>
      <c r="Y40" s="130"/>
    </row>
    <row r="41" spans="1:25" ht="15" customHeight="1">
      <c r="A41" s="200" t="s">
        <v>12653</v>
      </c>
      <c r="B41" s="201" t="s">
        <v>12654</v>
      </c>
      <c r="C41" s="202" t="e">
        <f>SUBTOTAL(9,C42:C48)</f>
        <v>#REF!</v>
      </c>
      <c r="D41" s="203" t="e">
        <f>SUBTOTAL(9,D42:D48)</f>
        <v>#REF!</v>
      </c>
      <c r="E41" s="130">
        <f>41*(6*2.5)</f>
        <v>615</v>
      </c>
      <c r="F41" s="180" t="e">
        <f>C41/E41</f>
        <v>#REF!</v>
      </c>
      <c r="G41" s="130"/>
      <c r="H41" s="208"/>
      <c r="I41" s="3354"/>
      <c r="J41" s="2662"/>
      <c r="K41" s="2663"/>
      <c r="L41" s="3355"/>
      <c r="M41" s="2662"/>
      <c r="N41" s="2663"/>
      <c r="O41" s="130"/>
      <c r="P41" s="130"/>
      <c r="Q41" s="130"/>
      <c r="R41" s="130"/>
      <c r="S41" s="130"/>
      <c r="T41" s="130"/>
      <c r="U41" s="130"/>
      <c r="V41" s="130"/>
      <c r="W41" s="130"/>
      <c r="X41" s="130"/>
      <c r="Y41" s="130"/>
    </row>
    <row r="42" spans="1:25" ht="31.5">
      <c r="A42" s="211" t="s">
        <v>12655</v>
      </c>
      <c r="B42" s="196" t="str">
        <f>VLOOKUP($A42,'Medição '!$A:$G,4,0)</f>
        <v>INSTALAÇÕES HIDROSSANITÁRIAIS - CONTÊINERES PARA USO NO SUNSET</v>
      </c>
      <c r="C42" s="196" t="e">
        <f>VLOOKUP($A42,'Medição '!$A:$G,10,0)</f>
        <v>#REF!</v>
      </c>
      <c r="D42" s="212" t="e">
        <f t="shared" ref="D42:D48" si="0">C42/$C$49</f>
        <v>#REF!</v>
      </c>
      <c r="E42" s="36"/>
      <c r="F42" s="213"/>
      <c r="G42" s="36"/>
      <c r="H42" s="214"/>
      <c r="I42" s="3357"/>
      <c r="J42" s="2662"/>
      <c r="K42" s="2663"/>
      <c r="L42" s="3358"/>
      <c r="M42" s="2662"/>
      <c r="N42" s="2663"/>
      <c r="O42" s="36"/>
      <c r="P42" s="36"/>
      <c r="Q42" s="36"/>
      <c r="R42" s="36"/>
      <c r="S42" s="36"/>
      <c r="T42" s="36"/>
      <c r="U42" s="36"/>
      <c r="V42" s="36"/>
      <c r="W42" s="36"/>
      <c r="X42" s="36"/>
      <c r="Y42" s="36"/>
    </row>
    <row r="43" spans="1:25" ht="31.5">
      <c r="A43" s="211" t="s">
        <v>12656</v>
      </c>
      <c r="B43" s="196" t="str">
        <f>VLOOKUP($A43,'Medição '!$A:$G,4,0)</f>
        <v>INSTALAÇÕES HIDROSSANITÁRIAIS - CONTÊINERES PARA USO NO ESTACIONAMENTO BLOCO DE SERVIÇOS</v>
      </c>
      <c r="C43" s="196" t="e">
        <f>VLOOKUP($A43,'Medição '!$A:$G,10,0)</f>
        <v>#REF!</v>
      </c>
      <c r="D43" s="212" t="e">
        <f t="shared" si="0"/>
        <v>#REF!</v>
      </c>
      <c r="E43" s="36"/>
      <c r="F43" s="213"/>
      <c r="G43" s="36"/>
      <c r="H43" s="214"/>
      <c r="I43" s="3357"/>
      <c r="J43" s="2662"/>
      <c r="K43" s="2663"/>
      <c r="L43" s="3358"/>
      <c r="M43" s="2662"/>
      <c r="N43" s="2663"/>
      <c r="O43" s="36"/>
      <c r="P43" s="36"/>
      <c r="Q43" s="36"/>
      <c r="R43" s="36"/>
      <c r="S43" s="36"/>
      <c r="T43" s="36"/>
      <c r="U43" s="36"/>
      <c r="V43" s="36"/>
      <c r="W43" s="36"/>
      <c r="X43" s="36"/>
      <c r="Y43" s="36"/>
    </row>
    <row r="44" spans="1:25" ht="31.5">
      <c r="A44" s="211" t="s">
        <v>12657</v>
      </c>
      <c r="B44" s="196" t="str">
        <f>VLOOKUP($A44,'Medição '!$A:$G,4,0)</f>
        <v>INSTALAÇÕES HIDROSSANITÁRIAIS - CONTÊINERES PARA KARTÓDROMO</v>
      </c>
      <c r="C44" s="196" t="e">
        <f>VLOOKUP($A44,'Medição '!$A:$G,10,0)</f>
        <v>#REF!</v>
      </c>
      <c r="D44" s="212" t="e">
        <f t="shared" si="0"/>
        <v>#REF!</v>
      </c>
      <c r="E44" s="36"/>
      <c r="F44" s="213"/>
      <c r="G44" s="36"/>
      <c r="H44" s="36"/>
      <c r="I44" s="36"/>
      <c r="J44" s="36"/>
      <c r="K44" s="36"/>
      <c r="L44" s="36"/>
      <c r="M44" s="36"/>
      <c r="N44" s="36"/>
      <c r="O44" s="36"/>
      <c r="P44" s="36"/>
      <c r="Q44" s="36"/>
      <c r="R44" s="36"/>
      <c r="S44" s="36"/>
      <c r="T44" s="36"/>
      <c r="U44" s="36"/>
      <c r="V44" s="36"/>
      <c r="W44" s="36"/>
      <c r="X44" s="36"/>
      <c r="Y44" s="36"/>
    </row>
    <row r="45" spans="1:25" ht="31.5">
      <c r="A45" s="211" t="s">
        <v>12658</v>
      </c>
      <c r="B45" s="196" t="str">
        <f>VLOOKUP($A45,'Medição '!$A:$G,4,0)</f>
        <v>INSTALAÇÕES HIDROSSANITÁRIAIS - CONTÊINERES PARA PRAÇA DA ORLA</v>
      </c>
      <c r="C45" s="196" t="e">
        <f>VLOOKUP($A45,'Medição '!$A:$G,10,0)</f>
        <v>#REF!</v>
      </c>
      <c r="D45" s="212" t="e">
        <f t="shared" si="0"/>
        <v>#REF!</v>
      </c>
      <c r="E45" s="36"/>
      <c r="F45" s="213"/>
      <c r="G45" s="36"/>
      <c r="H45" s="36"/>
      <c r="I45" s="36"/>
      <c r="J45" s="36"/>
      <c r="K45" s="36"/>
      <c r="L45" s="36"/>
      <c r="M45" s="36"/>
      <c r="N45" s="36"/>
      <c r="O45" s="36"/>
      <c r="P45" s="36"/>
      <c r="Q45" s="36"/>
      <c r="R45" s="36"/>
      <c r="S45" s="36"/>
      <c r="T45" s="36"/>
      <c r="U45" s="36"/>
      <c r="V45" s="36"/>
      <c r="W45" s="36"/>
      <c r="X45" s="36"/>
      <c r="Y45" s="36"/>
    </row>
    <row r="46" spans="1:25" ht="31.5">
      <c r="A46" s="211" t="s">
        <v>12659</v>
      </c>
      <c r="B46" s="196" t="str">
        <f>VLOOKUP($A46,'Medição '!$A:$G,4,0)</f>
        <v>INSTALAÇÕES HIDROSSANITÁRIAIS - CONTÊINERES AO LADO DO ESPAÇO SHOWS</v>
      </c>
      <c r="C46" s="196" t="e">
        <f>VLOOKUP($A46,'Medição '!$A:$G,10,0)</f>
        <v>#REF!</v>
      </c>
      <c r="D46" s="212" t="e">
        <f t="shared" si="0"/>
        <v>#REF!</v>
      </c>
      <c r="E46" s="36"/>
      <c r="F46" s="213"/>
      <c r="G46" s="36"/>
      <c r="H46" s="36"/>
      <c r="I46" s="36"/>
      <c r="J46" s="36"/>
      <c r="K46" s="36"/>
      <c r="L46" s="36"/>
      <c r="M46" s="36"/>
      <c r="N46" s="36"/>
      <c r="O46" s="36"/>
      <c r="P46" s="36"/>
      <c r="Q46" s="36"/>
      <c r="R46" s="36"/>
      <c r="S46" s="36"/>
      <c r="T46" s="36"/>
      <c r="U46" s="36"/>
      <c r="V46" s="36"/>
      <c r="W46" s="36"/>
      <c r="X46" s="36"/>
      <c r="Y46" s="36"/>
    </row>
    <row r="47" spans="1:25" ht="31.5">
      <c r="A47" s="211" t="s">
        <v>12660</v>
      </c>
      <c r="B47" s="196" t="str">
        <f>VLOOKUP($A47,'Medição '!$A:$G,4,0)</f>
        <v>INSTALAÇÕES HIDROSSANITÁRIAIS - CONTÊINERES AO LADO DO CENTRO DE EVENTOS</v>
      </c>
      <c r="C47" s="196" t="e">
        <f>VLOOKUP($A47,'Medição '!$A:$G,10,0)</f>
        <v>#REF!</v>
      </c>
      <c r="D47" s="212" t="e">
        <f t="shared" si="0"/>
        <v>#REF!</v>
      </c>
      <c r="E47" s="36"/>
      <c r="F47" s="213"/>
      <c r="G47" s="36"/>
      <c r="H47" s="36"/>
      <c r="I47" s="36"/>
      <c r="J47" s="36"/>
      <c r="K47" s="36"/>
      <c r="L47" s="36"/>
      <c r="M47" s="36"/>
      <c r="N47" s="36"/>
      <c r="O47" s="36"/>
      <c r="P47" s="36"/>
      <c r="Q47" s="36"/>
      <c r="R47" s="36"/>
      <c r="S47" s="36"/>
      <c r="T47" s="36"/>
      <c r="U47" s="36"/>
      <c r="V47" s="36"/>
      <c r="W47" s="36"/>
      <c r="X47" s="36"/>
      <c r="Y47" s="36"/>
    </row>
    <row r="48" spans="1:25" ht="15.75">
      <c r="A48" s="199" t="s">
        <v>12661</v>
      </c>
      <c r="B48" s="196" t="str">
        <f>VLOOKUP($A48,'Medição '!$A:$G,4,0)</f>
        <v>INSTALAÇÕES ELÉTRICAS E CABEAMENTO ESTRUTURADO</v>
      </c>
      <c r="C48" s="197" t="e">
        <f>VLOOKUP($A48,'Medição '!$A:$G,10,0)</f>
        <v>#REF!</v>
      </c>
      <c r="D48" s="198" t="e">
        <f t="shared" si="0"/>
        <v>#REF!</v>
      </c>
      <c r="E48" s="130"/>
      <c r="F48" s="180"/>
      <c r="G48" s="130"/>
      <c r="H48" s="130"/>
      <c r="I48" s="130"/>
      <c r="J48" s="130"/>
      <c r="K48" s="130"/>
      <c r="L48" s="130"/>
      <c r="M48" s="130"/>
      <c r="N48" s="130"/>
      <c r="O48" s="130"/>
      <c r="P48" s="130"/>
      <c r="Q48" s="130"/>
      <c r="R48" s="130"/>
      <c r="S48" s="130"/>
      <c r="T48" s="130"/>
      <c r="U48" s="130"/>
      <c r="V48" s="130"/>
      <c r="W48" s="130"/>
      <c r="X48" s="130"/>
      <c r="Y48" s="130"/>
    </row>
    <row r="49" spans="1:27" ht="15.75" customHeight="1">
      <c r="A49" s="3359" t="s">
        <v>12662</v>
      </c>
      <c r="B49" s="3360"/>
      <c r="C49" s="215" t="e">
        <f>SUBTOTAL(9,C9:C48)</f>
        <v>#REF!</v>
      </c>
      <c r="D49" s="216" t="e">
        <f>SUBTOTAL(9,D9:D48)</f>
        <v>#REF!</v>
      </c>
      <c r="E49" s="130"/>
      <c r="F49" s="180"/>
      <c r="G49" s="130"/>
      <c r="H49" s="130"/>
      <c r="I49" s="130"/>
      <c r="J49" s="130"/>
      <c r="K49" s="130"/>
      <c r="L49" s="130"/>
      <c r="M49" s="130"/>
      <c r="N49" s="130"/>
      <c r="O49" s="130"/>
      <c r="P49" s="130"/>
      <c r="Q49" s="130"/>
      <c r="R49" s="130"/>
      <c r="S49" s="130"/>
      <c r="T49" s="130"/>
      <c r="U49" s="130"/>
      <c r="V49" s="130"/>
      <c r="W49" s="130"/>
      <c r="X49" s="130"/>
      <c r="Y49" s="130"/>
      <c r="AA49" s="1860">
        <f>'Medição '!G1835</f>
        <v>13412792.050000027</v>
      </c>
    </row>
    <row r="54" spans="1:27" ht="15" customHeight="1">
      <c r="B54" s="1795"/>
    </row>
    <row r="55" spans="1:27" ht="15" customHeight="1">
      <c r="B55" s="1796" t="s">
        <v>16720</v>
      </c>
    </row>
    <row r="56" spans="1:27" ht="15" customHeight="1">
      <c r="B56" s="1796" t="s">
        <v>16721</v>
      </c>
    </row>
    <row r="57" spans="1:27" ht="15" customHeight="1">
      <c r="B57" s="1796" t="s">
        <v>16722</v>
      </c>
    </row>
    <row r="58" spans="1:27" ht="15" customHeight="1">
      <c r="B58" s="1796" t="s">
        <v>16723</v>
      </c>
    </row>
  </sheetData>
  <mergeCells count="22">
    <mergeCell ref="I42:K42"/>
    <mergeCell ref="L42:N42"/>
    <mergeCell ref="I43:K43"/>
    <mergeCell ref="L43:N43"/>
    <mergeCell ref="A49:B49"/>
    <mergeCell ref="I35:K35"/>
    <mergeCell ref="L35:N35"/>
    <mergeCell ref="I39:K39"/>
    <mergeCell ref="I41:K41"/>
    <mergeCell ref="L41:N41"/>
    <mergeCell ref="I36:K36"/>
    <mergeCell ref="L36:N36"/>
    <mergeCell ref="I37:K37"/>
    <mergeCell ref="L37:N37"/>
    <mergeCell ref="I38:K38"/>
    <mergeCell ref="L38:N38"/>
    <mergeCell ref="L39:N39"/>
    <mergeCell ref="A5:D5"/>
    <mergeCell ref="A6:D6"/>
    <mergeCell ref="A7:A8"/>
    <mergeCell ref="B7:B8"/>
    <mergeCell ref="C7:D7"/>
  </mergeCells>
  <printOptions horizontalCentered="1"/>
  <pageMargins left="0.78740157480314965" right="0.78740157480314965" top="0.78740157480314965" bottom="0.78740157480314965" header="0" footer="0"/>
  <pageSetup paperSize="9" scale="6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91"/>
  <sheetViews>
    <sheetView workbookViewId="0"/>
  </sheetViews>
  <sheetFormatPr defaultColWidth="12.5703125" defaultRowHeight="15" customHeight="1"/>
  <cols>
    <col min="1" max="1" width="12" customWidth="1"/>
    <col min="2" max="2" width="47" customWidth="1"/>
    <col min="3" max="3" width="16.42578125" bestFit="1" customWidth="1"/>
    <col min="4" max="4" width="8.140625" bestFit="1" customWidth="1"/>
    <col min="5" max="5" width="14.28515625" bestFit="1" customWidth="1"/>
    <col min="6" max="10" width="15.42578125" bestFit="1" customWidth="1"/>
    <col min="11" max="11" width="15.85546875" bestFit="1" customWidth="1"/>
    <col min="12" max="15" width="16.42578125" bestFit="1" customWidth="1"/>
  </cols>
  <sheetData>
    <row r="1" spans="1:15">
      <c r="A1" s="888" t="str">
        <f>'Medição '!V5</f>
        <v>OBRA:</v>
      </c>
      <c r="B1" s="3379" t="str">
        <f>'Medição '!W5</f>
        <v>COMPLEXO SUNSET DO PARQUE NOVO MATO GROSSO</v>
      </c>
      <c r="C1" s="2659"/>
      <c r="D1" s="2659"/>
      <c r="E1" s="2659"/>
      <c r="F1" s="2659"/>
      <c r="G1" s="2659"/>
      <c r="H1" s="2659"/>
      <c r="I1" s="2659"/>
      <c r="J1" s="2659"/>
      <c r="K1" s="2659"/>
      <c r="L1" s="2659"/>
      <c r="M1" s="2659"/>
      <c r="N1" s="2659"/>
      <c r="O1" s="3352"/>
    </row>
    <row r="2" spans="1:15">
      <c r="A2" s="889" t="str">
        <f>'Medição '!V6</f>
        <v xml:space="preserve">ENDEREÇO: </v>
      </c>
      <c r="B2" s="3380" t="str">
        <f>'Medição '!W6</f>
        <v>MT 251, KM 11, S/N, ÁREA RURAL - PARQUE NOVO MATO GROSSO, CEP 78099-899</v>
      </c>
      <c r="C2" s="2930"/>
      <c r="D2" s="2930"/>
      <c r="E2" s="2930"/>
      <c r="F2" s="2930"/>
      <c r="G2" s="2930"/>
      <c r="H2" s="2930"/>
      <c r="I2" s="2930"/>
      <c r="J2" s="2930"/>
      <c r="K2" s="2930"/>
      <c r="L2" s="2930"/>
      <c r="M2" s="2930"/>
      <c r="N2" s="2930"/>
      <c r="O2" s="2928"/>
    </row>
    <row r="3" spans="1:15">
      <c r="A3" s="889" t="str">
        <f>'Medição '!V7</f>
        <v>MUNICÍPIO:</v>
      </c>
      <c r="B3" s="3380" t="str">
        <f>'Medição '!W7</f>
        <v>CUIABÁ - MT</v>
      </c>
      <c r="C3" s="2930"/>
      <c r="D3" s="2930"/>
      <c r="E3" s="2930"/>
      <c r="F3" s="2930"/>
      <c r="G3" s="2930"/>
      <c r="H3" s="2930"/>
      <c r="I3" s="2930"/>
      <c r="J3" s="2930"/>
      <c r="K3" s="2930"/>
      <c r="L3" s="2930"/>
      <c r="M3" s="2930"/>
      <c r="N3" s="2930"/>
      <c r="O3" s="2928"/>
    </row>
    <row r="4" spans="1:15">
      <c r="A4" s="889" t="str">
        <f>'Medição '!V8</f>
        <v>OBJETO:</v>
      </c>
      <c r="B4" s="3380" t="str">
        <f>'Medição '!W8</f>
        <v>CONTRATAÇÃO DE EMPRESA ESPECIALIZADA PARA EXECUÇÃO DAS OBRAS DO "COMPLEXO SUNSET (WAKE BAR, PRAÇA SUNSET, QUIOSQUE, BANHEIROS DE APOIO E INFRA DE CONTÊINER) DO PARQUE NOVO MATO GROSSO"</v>
      </c>
      <c r="C4" s="2930"/>
      <c r="D4" s="2930"/>
      <c r="E4" s="2930"/>
      <c r="F4" s="2930"/>
      <c r="G4" s="2930"/>
      <c r="H4" s="2930"/>
      <c r="I4" s="2930"/>
      <c r="J4" s="2930"/>
      <c r="K4" s="2930"/>
      <c r="L4" s="2930"/>
      <c r="M4" s="2930"/>
      <c r="N4" s="2930"/>
      <c r="O4" s="2928"/>
    </row>
    <row r="5" spans="1:15" ht="37.5" customHeight="1">
      <c r="A5" s="3381" t="s">
        <v>15460</v>
      </c>
      <c r="B5" s="2634"/>
      <c r="C5" s="2634"/>
      <c r="D5" s="2634"/>
      <c r="E5" s="2634"/>
      <c r="F5" s="2634"/>
      <c r="G5" s="2634"/>
      <c r="H5" s="2634"/>
      <c r="I5" s="2634"/>
      <c r="J5" s="2634"/>
      <c r="K5" s="2634"/>
      <c r="L5" s="2634"/>
      <c r="M5" s="2634"/>
      <c r="N5" s="2634"/>
      <c r="O5" s="2635"/>
    </row>
    <row r="6" spans="1:15" ht="17.25">
      <c r="A6" s="890" t="s">
        <v>12613</v>
      </c>
      <c r="B6" s="891" t="s">
        <v>12614</v>
      </c>
      <c r="C6" s="892" t="s">
        <v>12616</v>
      </c>
      <c r="D6" s="893" t="s">
        <v>12617</v>
      </c>
      <c r="E6" s="890" t="s">
        <v>15461</v>
      </c>
      <c r="F6" s="891" t="s">
        <v>15462</v>
      </c>
      <c r="G6" s="891" t="s">
        <v>15463</v>
      </c>
      <c r="H6" s="891" t="s">
        <v>15464</v>
      </c>
      <c r="I6" s="891" t="s">
        <v>15465</v>
      </c>
      <c r="J6" s="891" t="s">
        <v>15466</v>
      </c>
      <c r="K6" s="891" t="s">
        <v>15467</v>
      </c>
      <c r="L6" s="891" t="s">
        <v>15468</v>
      </c>
      <c r="M6" s="891" t="s">
        <v>15469</v>
      </c>
      <c r="N6" s="891" t="s">
        <v>15470</v>
      </c>
      <c r="O6" s="893" t="s">
        <v>12615</v>
      </c>
    </row>
    <row r="7" spans="1:15">
      <c r="A7" s="894" t="s">
        <v>12619</v>
      </c>
      <c r="B7" s="895" t="str">
        <f>VLOOKUP($A7,'01-RES.'!$A:$D,2,0)</f>
        <v>ADMINISTRAÇÃO DA OBRA E CANTEIRO DE OBRAS</v>
      </c>
      <c r="C7" s="896" t="e">
        <f>SUM(C8:C11)</f>
        <v>#REF!</v>
      </c>
      <c r="D7" s="897" t="e">
        <f>C7/$C$80</f>
        <v>#REF!</v>
      </c>
      <c r="E7" s="3373"/>
      <c r="F7" s="3374"/>
      <c r="G7" s="3374"/>
      <c r="H7" s="3374"/>
      <c r="I7" s="3374"/>
      <c r="J7" s="3374"/>
      <c r="K7" s="3374"/>
      <c r="L7" s="3374"/>
      <c r="M7" s="3374"/>
      <c r="N7" s="3374"/>
      <c r="O7" s="3375"/>
    </row>
    <row r="8" spans="1:15">
      <c r="A8" s="3382" t="s">
        <v>12621</v>
      </c>
      <c r="B8" s="3384" t="str">
        <f>VLOOKUP($A8,'01-RES.'!$A:$D,2,0)</f>
        <v>ADMINISTRAÇÃO DA OBRA</v>
      </c>
      <c r="C8" s="3385" t="e">
        <f>VLOOKUP($A8,'01-RES.'!$A:$D,3,0)</f>
        <v>#REF!</v>
      </c>
      <c r="D8" s="3383" t="e">
        <f>C8/$C$80</f>
        <v>#REF!</v>
      </c>
      <c r="E8" s="898" t="e">
        <f t="shared" ref="E8:N8" si="0">$C8*E9</f>
        <v>#REF!</v>
      </c>
      <c r="F8" s="898" t="e">
        <f t="shared" si="0"/>
        <v>#REF!</v>
      </c>
      <c r="G8" s="898" t="e">
        <f t="shared" si="0"/>
        <v>#REF!</v>
      </c>
      <c r="H8" s="898" t="e">
        <f t="shared" si="0"/>
        <v>#REF!</v>
      </c>
      <c r="I8" s="898" t="e">
        <f t="shared" si="0"/>
        <v>#REF!</v>
      </c>
      <c r="J8" s="898" t="e">
        <f t="shared" si="0"/>
        <v>#REF!</v>
      </c>
      <c r="K8" s="898" t="e">
        <f t="shared" si="0"/>
        <v>#REF!</v>
      </c>
      <c r="L8" s="898" t="e">
        <f t="shared" si="0"/>
        <v>#REF!</v>
      </c>
      <c r="M8" s="898" t="e">
        <f t="shared" si="0"/>
        <v>#REF!</v>
      </c>
      <c r="N8" s="898" t="e">
        <f t="shared" si="0"/>
        <v>#REF!</v>
      </c>
      <c r="O8" s="899" t="e">
        <f>SUM(E8:N8)</f>
        <v>#REF!</v>
      </c>
    </row>
    <row r="9" spans="1:15">
      <c r="A9" s="3362"/>
      <c r="B9" s="3364"/>
      <c r="C9" s="3364"/>
      <c r="D9" s="3367"/>
      <c r="E9" s="900" t="e">
        <f>'05-EVE'!F11</f>
        <v>#REF!</v>
      </c>
      <c r="F9" s="900" t="e">
        <f>'05-EVE'!H11</f>
        <v>#REF!</v>
      </c>
      <c r="G9" s="900" t="e">
        <f>'05-EVE'!J11</f>
        <v>#REF!</v>
      </c>
      <c r="H9" s="900" t="e">
        <f>'05-EVE'!L11</f>
        <v>#REF!</v>
      </c>
      <c r="I9" s="900" t="e">
        <f>'05-EVE'!N11</f>
        <v>#REF!</v>
      </c>
      <c r="J9" s="900" t="e">
        <f>'05-EVE'!P11</f>
        <v>#REF!</v>
      </c>
      <c r="K9" s="900" t="e">
        <f>'05-EVE'!R11</f>
        <v>#REF!</v>
      </c>
      <c r="L9" s="900" t="e">
        <f>'05-EVE'!T11</f>
        <v>#REF!</v>
      </c>
      <c r="M9" s="900" t="e">
        <f>'05-EVE'!V11</f>
        <v>#REF!</v>
      </c>
      <c r="N9" s="900" t="e">
        <f>'05-EVE'!X11</f>
        <v>#REF!</v>
      </c>
      <c r="O9" s="901" t="e">
        <f>SUM(E9:N9)</f>
        <v>#REF!</v>
      </c>
    </row>
    <row r="10" spans="1:15">
      <c r="A10" s="3361" t="s">
        <v>12622</v>
      </c>
      <c r="B10" s="3384" t="str">
        <f>VLOOKUP($A10,'01-RES.'!$A:$D,2,0)</f>
        <v>INSTALAÇÕES DE CANTEIRO, SERVIÇOS PRELIMINARES E TÉCNICOS</v>
      </c>
      <c r="C10" s="3385" t="e">
        <f>VLOOKUP($A10,'01-RES.'!$A:$D,3,0)</f>
        <v>#REF!</v>
      </c>
      <c r="D10" s="3383" t="e">
        <f>C10/$C$80</f>
        <v>#REF!</v>
      </c>
      <c r="E10" s="898" t="e">
        <f t="shared" ref="E10:N10" si="1">$C10*E11</f>
        <v>#REF!</v>
      </c>
      <c r="F10" s="898" t="e">
        <f t="shared" si="1"/>
        <v>#REF!</v>
      </c>
      <c r="G10" s="898" t="e">
        <f t="shared" si="1"/>
        <v>#REF!</v>
      </c>
      <c r="H10" s="898" t="e">
        <f t="shared" si="1"/>
        <v>#REF!</v>
      </c>
      <c r="I10" s="898" t="e">
        <f t="shared" si="1"/>
        <v>#REF!</v>
      </c>
      <c r="J10" s="898" t="e">
        <f t="shared" si="1"/>
        <v>#REF!</v>
      </c>
      <c r="K10" s="898" t="e">
        <f t="shared" si="1"/>
        <v>#REF!</v>
      </c>
      <c r="L10" s="898" t="e">
        <f t="shared" si="1"/>
        <v>#REF!</v>
      </c>
      <c r="M10" s="898" t="e">
        <f t="shared" si="1"/>
        <v>#REF!</v>
      </c>
      <c r="N10" s="898" t="e">
        <f t="shared" si="1"/>
        <v>#REF!</v>
      </c>
      <c r="O10" s="899" t="e">
        <f>SUM(E10:N10)</f>
        <v>#REF!</v>
      </c>
    </row>
    <row r="11" spans="1:15">
      <c r="A11" s="3362"/>
      <c r="B11" s="3364"/>
      <c r="C11" s="3364"/>
      <c r="D11" s="3367"/>
      <c r="E11" s="900" t="e">
        <f>'05-EVE'!F24</f>
        <v>#REF!</v>
      </c>
      <c r="F11" s="900" t="e">
        <f>'05-EVE'!H24</f>
        <v>#REF!</v>
      </c>
      <c r="G11" s="900" t="e">
        <f>'05-EVE'!J24</f>
        <v>#REF!</v>
      </c>
      <c r="H11" s="900" t="e">
        <f>'05-EVE'!L24</f>
        <v>#REF!</v>
      </c>
      <c r="I11" s="900" t="e">
        <f>'05-EVE'!N24</f>
        <v>#REF!</v>
      </c>
      <c r="J11" s="900" t="e">
        <f>'05-EVE'!P24</f>
        <v>#REF!</v>
      </c>
      <c r="K11" s="900" t="e">
        <f>'05-EVE'!R24</f>
        <v>#REF!</v>
      </c>
      <c r="L11" s="900" t="e">
        <f>'05-EVE'!T24</f>
        <v>#REF!</v>
      </c>
      <c r="M11" s="900" t="e">
        <f>'05-EVE'!V24</f>
        <v>#REF!</v>
      </c>
      <c r="N11" s="900" t="e">
        <f>'05-EVE'!X24</f>
        <v>#REF!</v>
      </c>
      <c r="O11" s="901" t="e">
        <f>SUM(E11:N11)</f>
        <v>#REF!</v>
      </c>
    </row>
    <row r="12" spans="1:15">
      <c r="A12" s="902" t="s">
        <v>12623</v>
      </c>
      <c r="B12" s="903" t="str">
        <f>VLOOKUP($A12,'01-RES.'!$A:$D,2,0)</f>
        <v>WAKE BAR</v>
      </c>
      <c r="C12" s="904" t="e">
        <f>SUM(C13:C22)</f>
        <v>#REF!</v>
      </c>
      <c r="D12" s="905" t="e">
        <f>C12/$C$80</f>
        <v>#REF!</v>
      </c>
      <c r="E12" s="3376"/>
      <c r="F12" s="3377"/>
      <c r="G12" s="3377"/>
      <c r="H12" s="3377"/>
      <c r="I12" s="3377"/>
      <c r="J12" s="3377"/>
      <c r="K12" s="3377"/>
      <c r="L12" s="3377"/>
      <c r="M12" s="3377"/>
      <c r="N12" s="3377"/>
      <c r="O12" s="3378"/>
    </row>
    <row r="13" spans="1:15">
      <c r="A13" s="3361" t="s">
        <v>12624</v>
      </c>
      <c r="B13" s="3363" t="str">
        <f>VLOOKUP($A13,'01-RES.'!$A:$D,2,0)</f>
        <v>SERVIÇOS DE ESTRUTURA</v>
      </c>
      <c r="C13" s="3365" t="e">
        <f>VLOOKUP($A13,'01-RES.'!$A:$D,3,0)</f>
        <v>#REF!</v>
      </c>
      <c r="D13" s="3366" t="e">
        <f>C13/$C$80</f>
        <v>#REF!</v>
      </c>
      <c r="E13" s="906" t="e">
        <f t="shared" ref="E13:N13" si="2">$C13*E14</f>
        <v>#REF!</v>
      </c>
      <c r="F13" s="898" t="e">
        <f t="shared" si="2"/>
        <v>#REF!</v>
      </c>
      <c r="G13" s="898" t="e">
        <f t="shared" si="2"/>
        <v>#REF!</v>
      </c>
      <c r="H13" s="898" t="e">
        <f t="shared" si="2"/>
        <v>#REF!</v>
      </c>
      <c r="I13" s="898" t="e">
        <f t="shared" si="2"/>
        <v>#REF!</v>
      </c>
      <c r="J13" s="907" t="e">
        <f t="shared" si="2"/>
        <v>#REF!</v>
      </c>
      <c r="K13" s="907" t="e">
        <f t="shared" si="2"/>
        <v>#REF!</v>
      </c>
      <c r="L13" s="907" t="e">
        <f t="shared" si="2"/>
        <v>#REF!</v>
      </c>
      <c r="M13" s="907" t="e">
        <f t="shared" si="2"/>
        <v>#REF!</v>
      </c>
      <c r="N13" s="907" t="e">
        <f t="shared" si="2"/>
        <v>#REF!</v>
      </c>
      <c r="O13" s="908" t="e">
        <f t="shared" ref="O13:O22" si="3">SUM(E13:N13)</f>
        <v>#REF!</v>
      </c>
    </row>
    <row r="14" spans="1:15">
      <c r="A14" s="3362"/>
      <c r="B14" s="3364"/>
      <c r="C14" s="3364"/>
      <c r="D14" s="3367"/>
      <c r="E14" s="909"/>
      <c r="F14" s="900" t="e">
        <f>'05-EVE'!H61</f>
        <v>#REF!</v>
      </c>
      <c r="G14" s="900" t="e">
        <f>'05-EVE'!J61</f>
        <v>#REF!</v>
      </c>
      <c r="H14" s="900" t="e">
        <f>'05-EVE'!L61</f>
        <v>#REF!</v>
      </c>
      <c r="I14" s="900" t="e">
        <f>'05-EVE'!N61</f>
        <v>#REF!</v>
      </c>
      <c r="J14" s="910"/>
      <c r="K14" s="910"/>
      <c r="L14" s="910"/>
      <c r="M14" s="910"/>
      <c r="N14" s="910"/>
      <c r="O14" s="911" t="e">
        <f t="shared" si="3"/>
        <v>#REF!</v>
      </c>
    </row>
    <row r="15" spans="1:15">
      <c r="A15" s="3361" t="s">
        <v>12625</v>
      </c>
      <c r="B15" s="3363" t="str">
        <f>VLOOKUP($A15,'01-RES.'!$A:$D,2,0)</f>
        <v>ARQUITETURA</v>
      </c>
      <c r="C15" s="3365" t="e">
        <f>VLOOKUP($A15,'01-RES.'!$A:$D,3,0)</f>
        <v>#REF!</v>
      </c>
      <c r="D15" s="3366" t="e">
        <f>C15/$C$80</f>
        <v>#REF!</v>
      </c>
      <c r="E15" s="906" t="e">
        <f t="shared" ref="E15:N15" si="4">$C15*E16</f>
        <v>#REF!</v>
      </c>
      <c r="F15" s="912" t="e">
        <f t="shared" si="4"/>
        <v>#REF!</v>
      </c>
      <c r="G15" s="907" t="e">
        <f t="shared" si="4"/>
        <v>#REF!</v>
      </c>
      <c r="H15" s="907" t="e">
        <f t="shared" si="4"/>
        <v>#REF!</v>
      </c>
      <c r="I15" s="898" t="e">
        <f t="shared" si="4"/>
        <v>#REF!</v>
      </c>
      <c r="J15" s="898" t="e">
        <f t="shared" si="4"/>
        <v>#REF!</v>
      </c>
      <c r="K15" s="898" t="e">
        <f t="shared" si="4"/>
        <v>#REF!</v>
      </c>
      <c r="L15" s="898" t="e">
        <f t="shared" si="4"/>
        <v>#REF!</v>
      </c>
      <c r="M15" s="898" t="e">
        <f t="shared" si="4"/>
        <v>#REF!</v>
      </c>
      <c r="N15" s="907" t="e">
        <f t="shared" si="4"/>
        <v>#REF!</v>
      </c>
      <c r="O15" s="908" t="e">
        <f t="shared" si="3"/>
        <v>#REF!</v>
      </c>
    </row>
    <row r="16" spans="1:15">
      <c r="A16" s="3362"/>
      <c r="B16" s="3364"/>
      <c r="C16" s="3364"/>
      <c r="D16" s="3367"/>
      <c r="E16" s="909"/>
      <c r="F16" s="910"/>
      <c r="G16" s="910"/>
      <c r="H16" s="910"/>
      <c r="I16" s="900" t="e">
        <f>'05-EVE'!N76</f>
        <v>#REF!</v>
      </c>
      <c r="J16" s="900" t="e">
        <f>'05-EVE'!P76</f>
        <v>#REF!</v>
      </c>
      <c r="K16" s="900" t="e">
        <f>'05-EVE'!R76</f>
        <v>#REF!</v>
      </c>
      <c r="L16" s="900" t="e">
        <f>'05-EVE'!T76</f>
        <v>#REF!</v>
      </c>
      <c r="M16" s="900" t="e">
        <f>'05-EVE'!V76</f>
        <v>#REF!</v>
      </c>
      <c r="N16" s="910"/>
      <c r="O16" s="911" t="e">
        <f t="shared" si="3"/>
        <v>#REF!</v>
      </c>
    </row>
    <row r="17" spans="1:15">
      <c r="A17" s="3361" t="s">
        <v>12626</v>
      </c>
      <c r="B17" s="3363" t="str">
        <f>VLOOKUP($A17,'01-RES.'!$A:$D,2,0)</f>
        <v>INSTALAÇÕES HIDROSSANITÁRIAIS</v>
      </c>
      <c r="C17" s="3365" t="e">
        <f>VLOOKUP($A17,'01-RES.'!$A:$D,3,0)</f>
        <v>#REF!</v>
      </c>
      <c r="D17" s="3366" t="e">
        <f>C17/$C$80</f>
        <v>#REF!</v>
      </c>
      <c r="E17" s="906" t="e">
        <f t="shared" ref="E17:N17" si="5">$C17*E18</f>
        <v>#REF!</v>
      </c>
      <c r="F17" s="907" t="e">
        <f t="shared" si="5"/>
        <v>#REF!</v>
      </c>
      <c r="G17" s="907" t="e">
        <f t="shared" si="5"/>
        <v>#REF!</v>
      </c>
      <c r="H17" s="907" t="e">
        <f t="shared" si="5"/>
        <v>#REF!</v>
      </c>
      <c r="I17" s="907" t="e">
        <f t="shared" si="5"/>
        <v>#REF!</v>
      </c>
      <c r="J17" s="907" t="e">
        <f t="shared" si="5"/>
        <v>#REF!</v>
      </c>
      <c r="K17" s="898" t="e">
        <f t="shared" si="5"/>
        <v>#REF!</v>
      </c>
      <c r="L17" s="898" t="e">
        <f t="shared" si="5"/>
        <v>#REF!</v>
      </c>
      <c r="M17" s="907" t="e">
        <f t="shared" si="5"/>
        <v>#REF!</v>
      </c>
      <c r="N17" s="907" t="e">
        <f t="shared" si="5"/>
        <v>#REF!</v>
      </c>
      <c r="O17" s="908" t="e">
        <f t="shared" si="3"/>
        <v>#REF!</v>
      </c>
    </row>
    <row r="18" spans="1:15">
      <c r="A18" s="3362"/>
      <c r="B18" s="3364"/>
      <c r="C18" s="3364"/>
      <c r="D18" s="3367"/>
      <c r="E18" s="909"/>
      <c r="F18" s="910"/>
      <c r="G18" s="910"/>
      <c r="H18" s="910"/>
      <c r="I18" s="910"/>
      <c r="J18" s="910"/>
      <c r="K18" s="900" t="e">
        <f>'05-EVE'!R86</f>
        <v>#REF!</v>
      </c>
      <c r="L18" s="900" t="e">
        <f>'05-EVE'!T86</f>
        <v>#REF!</v>
      </c>
      <c r="M18" s="910"/>
      <c r="N18" s="910"/>
      <c r="O18" s="911" t="e">
        <f t="shared" si="3"/>
        <v>#REF!</v>
      </c>
    </row>
    <row r="19" spans="1:15">
      <c r="A19" s="3361" t="s">
        <v>12627</v>
      </c>
      <c r="B19" s="3363" t="str">
        <f>VLOOKUP($A19,'01-RES.'!$A:$D,2,0)</f>
        <v>INSTALAÇÕES ELÉTRICAS E INSTALAÇÕES DE LÓGICA</v>
      </c>
      <c r="C19" s="3365" t="e">
        <f>VLOOKUP($A19,'01-RES.'!$A:$D,3,0)</f>
        <v>#REF!</v>
      </c>
      <c r="D19" s="3366" t="e">
        <f>C19/$C$80</f>
        <v>#REF!</v>
      </c>
      <c r="E19" s="906" t="e">
        <f t="shared" ref="E19:N19" si="6">$C19*E20</f>
        <v>#REF!</v>
      </c>
      <c r="F19" s="907" t="e">
        <f t="shared" si="6"/>
        <v>#REF!</v>
      </c>
      <c r="G19" s="907" t="e">
        <f t="shared" si="6"/>
        <v>#REF!</v>
      </c>
      <c r="H19" s="907" t="e">
        <f t="shared" si="6"/>
        <v>#REF!</v>
      </c>
      <c r="I19" s="907" t="e">
        <f t="shared" si="6"/>
        <v>#REF!</v>
      </c>
      <c r="J19" s="907" t="e">
        <f t="shared" si="6"/>
        <v>#REF!</v>
      </c>
      <c r="K19" s="898" t="e">
        <f t="shared" si="6"/>
        <v>#REF!</v>
      </c>
      <c r="L19" s="898" t="e">
        <f t="shared" si="6"/>
        <v>#REF!</v>
      </c>
      <c r="M19" s="898" t="e">
        <f t="shared" si="6"/>
        <v>#REF!</v>
      </c>
      <c r="N19" s="907" t="e">
        <f t="shared" si="6"/>
        <v>#REF!</v>
      </c>
      <c r="O19" s="908" t="e">
        <f t="shared" si="3"/>
        <v>#REF!</v>
      </c>
    </row>
    <row r="20" spans="1:15">
      <c r="A20" s="3362"/>
      <c r="B20" s="3364"/>
      <c r="C20" s="3364"/>
      <c r="D20" s="3367"/>
      <c r="E20" s="913"/>
      <c r="F20" s="914"/>
      <c r="G20" s="910"/>
      <c r="H20" s="910"/>
      <c r="I20" s="910"/>
      <c r="J20" s="910"/>
      <c r="K20" s="900" t="e">
        <f>'05-EVE'!R90</f>
        <v>#REF!</v>
      </c>
      <c r="L20" s="900" t="e">
        <f>'05-EVE'!T90</f>
        <v>#REF!</v>
      </c>
      <c r="M20" s="900" t="e">
        <f>'05-EVE'!V90</f>
        <v>#REF!</v>
      </c>
      <c r="N20" s="910"/>
      <c r="O20" s="911" t="e">
        <f t="shared" si="3"/>
        <v>#REF!</v>
      </c>
    </row>
    <row r="21" spans="1:15">
      <c r="A21" s="3361" t="s">
        <v>12628</v>
      </c>
      <c r="B21" s="3363" t="str">
        <f>VLOOKUP($A21,'01-RES.'!$A:$D,2,0)</f>
        <v>INSTALAÇÕES PREVENÇÃO E COMBATE A INCENDIO E PANICO</v>
      </c>
      <c r="C21" s="3365" t="e">
        <f>VLOOKUP($A21,'01-RES.'!$A:$D,3,0)</f>
        <v>#REF!</v>
      </c>
      <c r="D21" s="3366" t="e">
        <f>C21/$C$80</f>
        <v>#REF!</v>
      </c>
      <c r="E21" s="906" t="e">
        <f t="shared" ref="E21:N21" si="7">$C21*E22</f>
        <v>#REF!</v>
      </c>
      <c r="F21" s="907" t="e">
        <f t="shared" si="7"/>
        <v>#REF!</v>
      </c>
      <c r="G21" s="907" t="e">
        <f t="shared" si="7"/>
        <v>#REF!</v>
      </c>
      <c r="H21" s="907" t="e">
        <f t="shared" si="7"/>
        <v>#REF!</v>
      </c>
      <c r="I21" s="907" t="e">
        <f t="shared" si="7"/>
        <v>#REF!</v>
      </c>
      <c r="J21" s="907" t="e">
        <f t="shared" si="7"/>
        <v>#REF!</v>
      </c>
      <c r="K21" s="907" t="e">
        <f t="shared" si="7"/>
        <v>#REF!</v>
      </c>
      <c r="L21" s="907" t="e">
        <f t="shared" si="7"/>
        <v>#REF!</v>
      </c>
      <c r="M21" s="898" t="e">
        <f t="shared" si="7"/>
        <v>#REF!</v>
      </c>
      <c r="N21" s="907" t="e">
        <f t="shared" si="7"/>
        <v>#REF!</v>
      </c>
      <c r="O21" s="908" t="e">
        <f t="shared" si="3"/>
        <v>#REF!</v>
      </c>
    </row>
    <row r="22" spans="1:15">
      <c r="A22" s="3362"/>
      <c r="B22" s="3364"/>
      <c r="C22" s="3364"/>
      <c r="D22" s="3367"/>
      <c r="E22" s="913"/>
      <c r="F22" s="914"/>
      <c r="G22" s="910"/>
      <c r="H22" s="910"/>
      <c r="I22" s="910"/>
      <c r="J22" s="910"/>
      <c r="K22" s="910"/>
      <c r="L22" s="910"/>
      <c r="M22" s="900">
        <f>'05-EVE'!V99</f>
        <v>1</v>
      </c>
      <c r="N22" s="910"/>
      <c r="O22" s="911">
        <f t="shared" si="3"/>
        <v>1</v>
      </c>
    </row>
    <row r="23" spans="1:15">
      <c r="A23" s="902" t="s">
        <v>12629</v>
      </c>
      <c r="B23" s="903" t="str">
        <f>VLOOKUP($A23,'01-RES.'!$A:$D,2,0)</f>
        <v>PRAÇA SUNSET</v>
      </c>
      <c r="C23" s="904" t="e">
        <f>SUM(C24:C31)</f>
        <v>#REF!</v>
      </c>
      <c r="D23" s="905" t="e">
        <f>C23/$C$80</f>
        <v>#REF!</v>
      </c>
      <c r="E23" s="3376"/>
      <c r="F23" s="3377"/>
      <c r="G23" s="3377"/>
      <c r="H23" s="3377"/>
      <c r="I23" s="3377"/>
      <c r="J23" s="3377"/>
      <c r="K23" s="3377"/>
      <c r="L23" s="3377"/>
      <c r="M23" s="3377"/>
      <c r="N23" s="3377"/>
      <c r="O23" s="3378"/>
    </row>
    <row r="24" spans="1:15">
      <c r="A24" s="3361" t="s">
        <v>12630</v>
      </c>
      <c r="B24" s="3363" t="str">
        <f>VLOOKUP($A24,'01-RES.'!$A:$D,2,0)</f>
        <v>SERVIÇO DE ESTRUTURA</v>
      </c>
      <c r="C24" s="3365" t="e">
        <f>VLOOKUP($A24,'01-RES.'!$A:$D,3,0)</f>
        <v>#REF!</v>
      </c>
      <c r="D24" s="3366" t="e">
        <f>C24/$C$80</f>
        <v>#REF!</v>
      </c>
      <c r="E24" s="915" t="e">
        <f t="shared" ref="E24:N24" si="8">$C24*E25</f>
        <v>#REF!</v>
      </c>
      <c r="F24" s="898" t="e">
        <f t="shared" si="8"/>
        <v>#REF!</v>
      </c>
      <c r="G24" s="898" t="e">
        <f t="shared" si="8"/>
        <v>#REF!</v>
      </c>
      <c r="H24" s="898" t="e">
        <f t="shared" si="8"/>
        <v>#REF!</v>
      </c>
      <c r="I24" s="898" t="e">
        <f t="shared" si="8"/>
        <v>#REF!</v>
      </c>
      <c r="J24" s="898" t="e">
        <f t="shared" si="8"/>
        <v>#REF!</v>
      </c>
      <c r="K24" s="915" t="e">
        <f t="shared" si="8"/>
        <v>#REF!</v>
      </c>
      <c r="L24" s="915" t="e">
        <f t="shared" si="8"/>
        <v>#REF!</v>
      </c>
      <c r="M24" s="915" t="e">
        <f t="shared" si="8"/>
        <v>#REF!</v>
      </c>
      <c r="N24" s="915" t="e">
        <f t="shared" si="8"/>
        <v>#REF!</v>
      </c>
      <c r="O24" s="908" t="e">
        <f t="shared" ref="O24:O31" si="9">SUM(E24:N24)</f>
        <v>#REF!</v>
      </c>
    </row>
    <row r="25" spans="1:15">
      <c r="A25" s="3362"/>
      <c r="B25" s="3364"/>
      <c r="C25" s="3364"/>
      <c r="D25" s="3367"/>
      <c r="E25" s="916"/>
      <c r="F25" s="900" t="e">
        <f>'05-EVE'!H101</f>
        <v>#REF!</v>
      </c>
      <c r="G25" s="900" t="e">
        <f>'05-EVE'!J101</f>
        <v>#REF!</v>
      </c>
      <c r="H25" s="900" t="e">
        <f>'05-EVE'!L101</f>
        <v>#REF!</v>
      </c>
      <c r="I25" s="900" t="e">
        <f>'05-EVE'!N101</f>
        <v>#REF!</v>
      </c>
      <c r="J25" s="900" t="e">
        <f>'05-EVE'!P101</f>
        <v>#REF!</v>
      </c>
      <c r="K25" s="916"/>
      <c r="L25" s="916"/>
      <c r="M25" s="916"/>
      <c r="N25" s="916"/>
      <c r="O25" s="911" t="e">
        <f t="shared" si="9"/>
        <v>#REF!</v>
      </c>
    </row>
    <row r="26" spans="1:15">
      <c r="A26" s="3361" t="s">
        <v>12631</v>
      </c>
      <c r="B26" s="3363" t="str">
        <f>VLOOKUP($A26,'01-RES.'!$A:$D,2,0)</f>
        <v>ARQUITETURA</v>
      </c>
      <c r="C26" s="3365" t="e">
        <f>VLOOKUP($A26,'01-RES.'!$A:$D,3,0)</f>
        <v>#REF!</v>
      </c>
      <c r="D26" s="3366" t="e">
        <f>C26/$C$80</f>
        <v>#REF!</v>
      </c>
      <c r="E26" s="917" t="e">
        <f t="shared" ref="E26:N26" si="10">$C26*E27</f>
        <v>#REF!</v>
      </c>
      <c r="F26" s="918" t="e">
        <f t="shared" si="10"/>
        <v>#REF!</v>
      </c>
      <c r="G26" s="918" t="e">
        <f t="shared" si="10"/>
        <v>#REF!</v>
      </c>
      <c r="H26" s="918" t="e">
        <f t="shared" si="10"/>
        <v>#REF!</v>
      </c>
      <c r="I26" s="898" t="e">
        <f t="shared" si="10"/>
        <v>#REF!</v>
      </c>
      <c r="J26" s="898" t="e">
        <f t="shared" si="10"/>
        <v>#REF!</v>
      </c>
      <c r="K26" s="898" t="e">
        <f t="shared" si="10"/>
        <v>#REF!</v>
      </c>
      <c r="L26" s="898" t="e">
        <f t="shared" si="10"/>
        <v>#REF!</v>
      </c>
      <c r="M26" s="898" t="e">
        <f t="shared" si="10"/>
        <v>#REF!</v>
      </c>
      <c r="N26" s="898" t="e">
        <f t="shared" si="10"/>
        <v>#REF!</v>
      </c>
      <c r="O26" s="908" t="e">
        <f t="shared" si="9"/>
        <v>#REF!</v>
      </c>
    </row>
    <row r="27" spans="1:15">
      <c r="A27" s="3362"/>
      <c r="B27" s="3364"/>
      <c r="C27" s="3364"/>
      <c r="D27" s="3367"/>
      <c r="E27" s="909"/>
      <c r="F27" s="916"/>
      <c r="G27" s="916"/>
      <c r="H27" s="916"/>
      <c r="I27" s="900" t="e">
        <f>'05-EVE'!N117</f>
        <v>#REF!</v>
      </c>
      <c r="J27" s="900" t="e">
        <f>'05-EVE'!P117</f>
        <v>#REF!</v>
      </c>
      <c r="K27" s="900" t="e">
        <f>'05-EVE'!R117</f>
        <v>#REF!</v>
      </c>
      <c r="L27" s="900" t="e">
        <f>'05-EVE'!T117</f>
        <v>#REF!</v>
      </c>
      <c r="M27" s="900" t="e">
        <f>'05-EVE'!V117</f>
        <v>#REF!</v>
      </c>
      <c r="N27" s="900" t="e">
        <f>'05-EVE'!X117</f>
        <v>#REF!</v>
      </c>
      <c r="O27" s="911" t="e">
        <f t="shared" si="9"/>
        <v>#REF!</v>
      </c>
    </row>
    <row r="28" spans="1:15">
      <c r="A28" s="3361" t="s">
        <v>12632</v>
      </c>
      <c r="B28" s="3363" t="str">
        <f>VLOOKUP($A28,'01-RES.'!$A:$D,2,0)</f>
        <v>INSTALAÇÕES HIDROSSANITÁRIAIS</v>
      </c>
      <c r="C28" s="3365" t="e">
        <f>VLOOKUP($A28,'01-RES.'!$A:$D,3,0)</f>
        <v>#REF!</v>
      </c>
      <c r="D28" s="3366" t="e">
        <f>C28/$C$80</f>
        <v>#REF!</v>
      </c>
      <c r="E28" s="917" t="e">
        <f t="shared" ref="E28:N28" si="11">$C28*E29</f>
        <v>#REF!</v>
      </c>
      <c r="F28" s="918" t="e">
        <f t="shared" si="11"/>
        <v>#REF!</v>
      </c>
      <c r="G28" s="918" t="e">
        <f t="shared" si="11"/>
        <v>#REF!</v>
      </c>
      <c r="H28" s="918" t="e">
        <f t="shared" si="11"/>
        <v>#REF!</v>
      </c>
      <c r="I28" s="918" t="e">
        <f t="shared" si="11"/>
        <v>#REF!</v>
      </c>
      <c r="J28" s="918" t="e">
        <f t="shared" si="11"/>
        <v>#REF!</v>
      </c>
      <c r="K28" s="918" t="e">
        <f t="shared" si="11"/>
        <v>#REF!</v>
      </c>
      <c r="L28" s="898" t="e">
        <f t="shared" si="11"/>
        <v>#REF!</v>
      </c>
      <c r="M28" s="918" t="e">
        <f t="shared" si="11"/>
        <v>#REF!</v>
      </c>
      <c r="N28" s="918" t="e">
        <f t="shared" si="11"/>
        <v>#REF!</v>
      </c>
      <c r="O28" s="908" t="e">
        <f t="shared" si="9"/>
        <v>#REF!</v>
      </c>
    </row>
    <row r="29" spans="1:15">
      <c r="A29" s="3362"/>
      <c r="B29" s="3364"/>
      <c r="C29" s="3364"/>
      <c r="D29" s="3367"/>
      <c r="E29" s="909"/>
      <c r="F29" s="916"/>
      <c r="G29" s="916"/>
      <c r="H29" s="916"/>
      <c r="I29" s="916"/>
      <c r="J29" s="916"/>
      <c r="K29" s="916"/>
      <c r="L29" s="900" t="e">
        <f>'05-EVE'!T124</f>
        <v>#REF!</v>
      </c>
      <c r="M29" s="916"/>
      <c r="N29" s="916"/>
      <c r="O29" s="911" t="e">
        <f t="shared" si="9"/>
        <v>#REF!</v>
      </c>
    </row>
    <row r="30" spans="1:15">
      <c r="A30" s="3361" t="s">
        <v>12633</v>
      </c>
      <c r="B30" s="3363" t="str">
        <f>VLOOKUP($A30,'01-RES.'!$A:$D,2,0)</f>
        <v>INSTALAÇÕES ELÉTRICAS</v>
      </c>
      <c r="C30" s="3365" t="e">
        <f>VLOOKUP($A30,'01-RES.'!$A:$D,3,0)</f>
        <v>#REF!</v>
      </c>
      <c r="D30" s="3366" t="e">
        <f>C30/$C$80</f>
        <v>#REF!</v>
      </c>
      <c r="E30" s="917" t="e">
        <f t="shared" ref="E30:N30" si="12">$C30*E31</f>
        <v>#REF!</v>
      </c>
      <c r="F30" s="918" t="e">
        <f t="shared" si="12"/>
        <v>#REF!</v>
      </c>
      <c r="G30" s="918" t="e">
        <f t="shared" si="12"/>
        <v>#REF!</v>
      </c>
      <c r="H30" s="918" t="e">
        <f t="shared" si="12"/>
        <v>#REF!</v>
      </c>
      <c r="I30" s="918" t="e">
        <f t="shared" si="12"/>
        <v>#REF!</v>
      </c>
      <c r="J30" s="898" t="e">
        <f t="shared" si="12"/>
        <v>#REF!</v>
      </c>
      <c r="K30" s="898" t="e">
        <f t="shared" si="12"/>
        <v>#REF!</v>
      </c>
      <c r="L30" s="898" t="e">
        <f t="shared" si="12"/>
        <v>#REF!</v>
      </c>
      <c r="M30" s="898" t="e">
        <f t="shared" si="12"/>
        <v>#REF!</v>
      </c>
      <c r="N30" s="915" t="e">
        <f t="shared" si="12"/>
        <v>#REF!</v>
      </c>
      <c r="O30" s="908" t="e">
        <f t="shared" si="9"/>
        <v>#REF!</v>
      </c>
    </row>
    <row r="31" spans="1:15">
      <c r="A31" s="3362"/>
      <c r="B31" s="3364"/>
      <c r="C31" s="3364"/>
      <c r="D31" s="3367"/>
      <c r="E31" s="909"/>
      <c r="F31" s="916"/>
      <c r="G31" s="916"/>
      <c r="H31" s="916"/>
      <c r="I31" s="916"/>
      <c r="J31" s="900" t="e">
        <f>'05-EVE'!P127</f>
        <v>#REF!</v>
      </c>
      <c r="K31" s="900" t="e">
        <f>'05-EVE'!R127</f>
        <v>#REF!</v>
      </c>
      <c r="L31" s="900" t="e">
        <f>'05-EVE'!T127</f>
        <v>#REF!</v>
      </c>
      <c r="M31" s="900" t="e">
        <f>'05-EVE'!V127</f>
        <v>#REF!</v>
      </c>
      <c r="N31" s="916"/>
      <c r="O31" s="911" t="e">
        <f t="shared" si="9"/>
        <v>#REF!</v>
      </c>
    </row>
    <row r="32" spans="1:15">
      <c r="A32" s="902" t="s">
        <v>12634</v>
      </c>
      <c r="B32" s="903" t="str">
        <f>VLOOKUP($A32,'01-RES.'!$A:$D,2,0)</f>
        <v>QUIOSQUE</v>
      </c>
      <c r="C32" s="904" t="e">
        <f>SUM(C33:C42)</f>
        <v>#REF!</v>
      </c>
      <c r="D32" s="905" t="e">
        <f>C32/$C$80</f>
        <v>#REF!</v>
      </c>
      <c r="E32" s="3376"/>
      <c r="F32" s="3377"/>
      <c r="G32" s="3377"/>
      <c r="H32" s="3377"/>
      <c r="I32" s="3377"/>
      <c r="J32" s="3377"/>
      <c r="K32" s="3377"/>
      <c r="L32" s="3377"/>
      <c r="M32" s="3377"/>
      <c r="N32" s="3377"/>
      <c r="O32" s="3378"/>
    </row>
    <row r="33" spans="1:15">
      <c r="A33" s="3361" t="s">
        <v>12635</v>
      </c>
      <c r="B33" s="3363" t="str">
        <f>VLOOKUP($A33,'01-RES.'!$A:$D,2,0)</f>
        <v>SERVIÇOS DE ESTRUTURA</v>
      </c>
      <c r="C33" s="3365" t="e">
        <f>VLOOKUP($A33,'01-RES.'!$A:$D,3,0)</f>
        <v>#REF!</v>
      </c>
      <c r="D33" s="3366" t="e">
        <f>C33/$C$80</f>
        <v>#REF!</v>
      </c>
      <c r="E33" s="906" t="e">
        <f t="shared" ref="E33:N33" si="13">$C33*E34</f>
        <v>#REF!</v>
      </c>
      <c r="F33" s="918" t="e">
        <f t="shared" si="13"/>
        <v>#REF!</v>
      </c>
      <c r="G33" s="918" t="e">
        <f t="shared" si="13"/>
        <v>#REF!</v>
      </c>
      <c r="H33" s="918" t="e">
        <f t="shared" si="13"/>
        <v>#REF!</v>
      </c>
      <c r="I33" s="918" t="e">
        <f t="shared" si="13"/>
        <v>#REF!</v>
      </c>
      <c r="J33" s="918" t="e">
        <f t="shared" si="13"/>
        <v>#REF!</v>
      </c>
      <c r="K33" s="898" t="e">
        <f t="shared" si="13"/>
        <v>#REF!</v>
      </c>
      <c r="L33" s="918" t="e">
        <f t="shared" si="13"/>
        <v>#REF!</v>
      </c>
      <c r="M33" s="918" t="e">
        <f t="shared" si="13"/>
        <v>#REF!</v>
      </c>
      <c r="N33" s="918" t="e">
        <f t="shared" si="13"/>
        <v>#REF!</v>
      </c>
      <c r="O33" s="908" t="e">
        <f t="shared" ref="O33:O42" si="14">SUM(E33:N33)</f>
        <v>#REF!</v>
      </c>
    </row>
    <row r="34" spans="1:15">
      <c r="A34" s="3362"/>
      <c r="B34" s="3364"/>
      <c r="C34" s="3364"/>
      <c r="D34" s="3367"/>
      <c r="E34" s="909"/>
      <c r="F34" s="916"/>
      <c r="G34" s="916"/>
      <c r="H34" s="916"/>
      <c r="I34" s="916"/>
      <c r="J34" s="916"/>
      <c r="K34" s="900" t="e">
        <f>'05-EVE'!R135</f>
        <v>#REF!</v>
      </c>
      <c r="L34" s="916"/>
      <c r="M34" s="916"/>
      <c r="N34" s="916"/>
      <c r="O34" s="911" t="e">
        <f t="shared" si="14"/>
        <v>#REF!</v>
      </c>
    </row>
    <row r="35" spans="1:15">
      <c r="A35" s="3361" t="s">
        <v>12636</v>
      </c>
      <c r="B35" s="3363" t="str">
        <f>VLOOKUP($A35,'01-RES.'!$A:$D,2,0)</f>
        <v>ARQUITETURA</v>
      </c>
      <c r="C35" s="3365" t="e">
        <f>VLOOKUP($A35,'01-RES.'!$A:$D,3,0)</f>
        <v>#REF!</v>
      </c>
      <c r="D35" s="3366" t="e">
        <f>C35/$C$80</f>
        <v>#REF!</v>
      </c>
      <c r="E35" s="906" t="e">
        <f t="shared" ref="E35:M35" si="15">$C35*E36</f>
        <v>#REF!</v>
      </c>
      <c r="F35" s="918" t="e">
        <f t="shared" si="15"/>
        <v>#REF!</v>
      </c>
      <c r="G35" s="915" t="e">
        <f t="shared" si="15"/>
        <v>#REF!</v>
      </c>
      <c r="H35" s="915" t="e">
        <f t="shared" si="15"/>
        <v>#REF!</v>
      </c>
      <c r="I35" s="915" t="e">
        <f t="shared" si="15"/>
        <v>#REF!</v>
      </c>
      <c r="J35" s="915" t="e">
        <f t="shared" si="15"/>
        <v>#REF!</v>
      </c>
      <c r="K35" s="915" t="e">
        <f t="shared" si="15"/>
        <v>#REF!</v>
      </c>
      <c r="L35" s="898" t="e">
        <f t="shared" si="15"/>
        <v>#REF!</v>
      </c>
      <c r="M35" s="898" t="e">
        <f t="shared" si="15"/>
        <v>#REF!</v>
      </c>
      <c r="N35" s="918"/>
      <c r="O35" s="908" t="e">
        <f t="shared" si="14"/>
        <v>#REF!</v>
      </c>
    </row>
    <row r="36" spans="1:15">
      <c r="A36" s="3362"/>
      <c r="B36" s="3364"/>
      <c r="C36" s="3364"/>
      <c r="D36" s="3367"/>
      <c r="E36" s="909"/>
      <c r="F36" s="916"/>
      <c r="G36" s="919"/>
      <c r="H36" s="916"/>
      <c r="I36" s="916"/>
      <c r="J36" s="916"/>
      <c r="K36" s="916"/>
      <c r="L36" s="900" t="e">
        <f>'05-EVE'!T145</f>
        <v>#REF!</v>
      </c>
      <c r="M36" s="900" t="e">
        <f>'05-EVE'!V145</f>
        <v>#REF!</v>
      </c>
      <c r="N36" s="916"/>
      <c r="O36" s="911" t="e">
        <f t="shared" si="14"/>
        <v>#REF!</v>
      </c>
    </row>
    <row r="37" spans="1:15">
      <c r="A37" s="3361" t="s">
        <v>12637</v>
      </c>
      <c r="B37" s="3363" t="str">
        <f>VLOOKUP($A37,'01-RES.'!$A:$D,2,0)</f>
        <v>INSTALAÇÕES HIDROSSANITÁRIAIS</v>
      </c>
      <c r="C37" s="3365" t="e">
        <f>VLOOKUP($A37,'01-RES.'!$A:$D,3,0)</f>
        <v>#REF!</v>
      </c>
      <c r="D37" s="3366" t="e">
        <f>C37/$C$80</f>
        <v>#REF!</v>
      </c>
      <c r="E37" s="906" t="e">
        <f t="shared" ref="E37:N37" si="16">$C37*E38</f>
        <v>#REF!</v>
      </c>
      <c r="F37" s="915" t="e">
        <f t="shared" si="16"/>
        <v>#REF!</v>
      </c>
      <c r="G37" s="918" t="e">
        <f t="shared" si="16"/>
        <v>#REF!</v>
      </c>
      <c r="H37" s="918" t="e">
        <f t="shared" si="16"/>
        <v>#REF!</v>
      </c>
      <c r="I37" s="915" t="e">
        <f t="shared" si="16"/>
        <v>#REF!</v>
      </c>
      <c r="J37" s="915" t="e">
        <f t="shared" si="16"/>
        <v>#REF!</v>
      </c>
      <c r="K37" s="915" t="e">
        <f t="shared" si="16"/>
        <v>#REF!</v>
      </c>
      <c r="L37" s="898" t="e">
        <f t="shared" si="16"/>
        <v>#REF!</v>
      </c>
      <c r="M37" s="915" t="e">
        <f t="shared" si="16"/>
        <v>#REF!</v>
      </c>
      <c r="N37" s="915" t="e">
        <f t="shared" si="16"/>
        <v>#REF!</v>
      </c>
      <c r="O37" s="908" t="e">
        <f t="shared" si="14"/>
        <v>#REF!</v>
      </c>
    </row>
    <row r="38" spans="1:15">
      <c r="A38" s="3362"/>
      <c r="B38" s="3364"/>
      <c r="C38" s="3364"/>
      <c r="D38" s="3367"/>
      <c r="E38" s="909"/>
      <c r="F38" s="916"/>
      <c r="G38" s="916"/>
      <c r="H38" s="916"/>
      <c r="I38" s="916"/>
      <c r="J38" s="916"/>
      <c r="K38" s="916"/>
      <c r="L38" s="900">
        <f>'05-EVE'!T155</f>
        <v>1</v>
      </c>
      <c r="M38" s="916"/>
      <c r="N38" s="916"/>
      <c r="O38" s="911">
        <f t="shared" si="14"/>
        <v>1</v>
      </c>
    </row>
    <row r="39" spans="1:15">
      <c r="A39" s="3361" t="s">
        <v>12638</v>
      </c>
      <c r="B39" s="3363" t="str">
        <f>VLOOKUP($A39,'01-RES.'!$A:$D,2,0)</f>
        <v>INSTALAÇÕES ELÉTRICAS E INSTALAÇÕES DE LÓGICA</v>
      </c>
      <c r="C39" s="3365" t="e">
        <f>VLOOKUP($A39,'01-RES.'!$A:$D,3,0)</f>
        <v>#REF!</v>
      </c>
      <c r="D39" s="3366" t="e">
        <f>C39/$C$80</f>
        <v>#REF!</v>
      </c>
      <c r="E39" s="906" t="e">
        <f t="shared" ref="E39:N39" si="17">$C39*E40</f>
        <v>#REF!</v>
      </c>
      <c r="F39" s="915" t="e">
        <f t="shared" si="17"/>
        <v>#REF!</v>
      </c>
      <c r="G39" s="915" t="e">
        <f t="shared" si="17"/>
        <v>#REF!</v>
      </c>
      <c r="H39" s="915" t="e">
        <f t="shared" si="17"/>
        <v>#REF!</v>
      </c>
      <c r="I39" s="915" t="e">
        <f t="shared" si="17"/>
        <v>#REF!</v>
      </c>
      <c r="J39" s="915" t="e">
        <f t="shared" si="17"/>
        <v>#REF!</v>
      </c>
      <c r="K39" s="915" t="e">
        <f t="shared" si="17"/>
        <v>#REF!</v>
      </c>
      <c r="L39" s="898" t="e">
        <f t="shared" si="17"/>
        <v>#REF!</v>
      </c>
      <c r="M39" s="920" t="e">
        <f t="shared" si="17"/>
        <v>#REF!</v>
      </c>
      <c r="N39" s="915" t="e">
        <f t="shared" si="17"/>
        <v>#REF!</v>
      </c>
      <c r="O39" s="908" t="e">
        <f t="shared" si="14"/>
        <v>#REF!</v>
      </c>
    </row>
    <row r="40" spans="1:15">
      <c r="A40" s="3362"/>
      <c r="B40" s="3364"/>
      <c r="C40" s="3364"/>
      <c r="D40" s="3367"/>
      <c r="E40" s="909"/>
      <c r="F40" s="916"/>
      <c r="G40" s="916"/>
      <c r="H40" s="916"/>
      <c r="I40" s="916"/>
      <c r="J40" s="916"/>
      <c r="K40" s="916"/>
      <c r="L40" s="900">
        <f>'05-EVE'!T156</f>
        <v>1</v>
      </c>
      <c r="M40" s="921"/>
      <c r="N40" s="916"/>
      <c r="O40" s="911">
        <f t="shared" si="14"/>
        <v>1</v>
      </c>
    </row>
    <row r="41" spans="1:15">
      <c r="A41" s="3361" t="s">
        <v>12639</v>
      </c>
      <c r="B41" s="3363" t="str">
        <f>VLOOKUP($A41,'01-RES.'!$A:$D,2,0)</f>
        <v>INSTALAÇÕES PREVENÇÃO E COMBATE A INCENDIO E PANICO</v>
      </c>
      <c r="C41" s="3365" t="e">
        <f>VLOOKUP($A41,'01-RES.'!$A:$D,3,0)</f>
        <v>#REF!</v>
      </c>
      <c r="D41" s="3366" t="e">
        <f>C41/$C$80</f>
        <v>#REF!</v>
      </c>
      <c r="E41" s="906" t="e">
        <f t="shared" ref="E41:N41" si="18">$C41*E42</f>
        <v>#REF!</v>
      </c>
      <c r="F41" s="915" t="e">
        <f t="shared" si="18"/>
        <v>#REF!</v>
      </c>
      <c r="G41" s="915" t="e">
        <f t="shared" si="18"/>
        <v>#REF!</v>
      </c>
      <c r="H41" s="915" t="e">
        <f t="shared" si="18"/>
        <v>#REF!</v>
      </c>
      <c r="I41" s="918" t="e">
        <f t="shared" si="18"/>
        <v>#REF!</v>
      </c>
      <c r="J41" s="918" t="e">
        <f t="shared" si="18"/>
        <v>#REF!</v>
      </c>
      <c r="K41" s="915" t="e">
        <f t="shared" si="18"/>
        <v>#REF!</v>
      </c>
      <c r="L41" s="918" t="e">
        <f t="shared" si="18"/>
        <v>#REF!</v>
      </c>
      <c r="M41" s="898" t="e">
        <f t="shared" si="18"/>
        <v>#REF!</v>
      </c>
      <c r="N41" s="915" t="e">
        <f t="shared" si="18"/>
        <v>#REF!</v>
      </c>
      <c r="O41" s="908" t="e">
        <f t="shared" si="14"/>
        <v>#REF!</v>
      </c>
    </row>
    <row r="42" spans="1:15">
      <c r="A42" s="3362"/>
      <c r="B42" s="3364"/>
      <c r="C42" s="3364"/>
      <c r="D42" s="3367"/>
      <c r="E42" s="909"/>
      <c r="F42" s="916"/>
      <c r="G42" s="916"/>
      <c r="H42" s="916"/>
      <c r="I42" s="916"/>
      <c r="J42" s="916"/>
      <c r="K42" s="916"/>
      <c r="L42" s="916"/>
      <c r="M42" s="900">
        <f>'05-EVE'!V157</f>
        <v>1</v>
      </c>
      <c r="N42" s="916"/>
      <c r="O42" s="911">
        <f t="shared" si="14"/>
        <v>1</v>
      </c>
    </row>
    <row r="43" spans="1:15">
      <c r="A43" s="902" t="s">
        <v>12640</v>
      </c>
      <c r="B43" s="903" t="str">
        <f>VLOOKUP($A43,'01-RES.'!$A:$D,2,0)</f>
        <v xml:space="preserve">BANHEIRO DE APOIO ESPAÇO SHOW </v>
      </c>
      <c r="C43" s="904" t="e">
        <f>SUM(C44:C53)</f>
        <v>#REF!</v>
      </c>
      <c r="D43" s="905" t="e">
        <f>C43/$C$80</f>
        <v>#REF!</v>
      </c>
      <c r="E43" s="3376"/>
      <c r="F43" s="3377"/>
      <c r="G43" s="3377"/>
      <c r="H43" s="3377"/>
      <c r="I43" s="3377"/>
      <c r="J43" s="3377"/>
      <c r="K43" s="3377"/>
      <c r="L43" s="3377"/>
      <c r="M43" s="3377"/>
      <c r="N43" s="3377"/>
      <c r="O43" s="3378"/>
    </row>
    <row r="44" spans="1:15">
      <c r="A44" s="3361" t="s">
        <v>12642</v>
      </c>
      <c r="B44" s="3363" t="str">
        <f>VLOOKUP($A44,'01-RES.'!$A:$D,2,0)</f>
        <v>SERVIÇOS DE ESTRUTURA</v>
      </c>
      <c r="C44" s="3365" t="e">
        <f>VLOOKUP($A44,'01-RES.'!$A:$D,3,0)</f>
        <v>#REF!</v>
      </c>
      <c r="D44" s="3366" t="e">
        <f>C44/$C$80</f>
        <v>#REF!</v>
      </c>
      <c r="E44" s="906" t="e">
        <f t="shared" ref="E44:N44" si="19">$C44*E45</f>
        <v>#REF!</v>
      </c>
      <c r="F44" s="915" t="e">
        <f t="shared" si="19"/>
        <v>#REF!</v>
      </c>
      <c r="G44" s="922" t="e">
        <f t="shared" si="19"/>
        <v>#REF!</v>
      </c>
      <c r="H44" s="922" t="e">
        <f t="shared" si="19"/>
        <v>#REF!</v>
      </c>
      <c r="I44" s="915" t="e">
        <f t="shared" si="19"/>
        <v>#REF!</v>
      </c>
      <c r="J44" s="915" t="e">
        <f t="shared" si="19"/>
        <v>#REF!</v>
      </c>
      <c r="K44" s="915" t="e">
        <f t="shared" si="19"/>
        <v>#REF!</v>
      </c>
      <c r="L44" s="915" t="e">
        <f t="shared" si="19"/>
        <v>#REF!</v>
      </c>
      <c r="M44" s="915" t="e">
        <f t="shared" si="19"/>
        <v>#REF!</v>
      </c>
      <c r="N44" s="915" t="e">
        <f t="shared" si="19"/>
        <v>#REF!</v>
      </c>
      <c r="O44" s="908" t="e">
        <f t="shared" ref="O44:O53" si="20">SUM(E44:N44)</f>
        <v>#REF!</v>
      </c>
    </row>
    <row r="45" spans="1:15">
      <c r="A45" s="3362"/>
      <c r="B45" s="3364"/>
      <c r="C45" s="3364"/>
      <c r="D45" s="3367"/>
      <c r="E45" s="909"/>
      <c r="F45" s="916"/>
      <c r="G45" s="923" t="e">
        <f>'05-EVE'!J159</f>
        <v>#REF!</v>
      </c>
      <c r="H45" s="923" t="e">
        <f>'05-EVE'!L159</f>
        <v>#REF!</v>
      </c>
      <c r="I45" s="916"/>
      <c r="J45" s="916"/>
      <c r="K45" s="916"/>
      <c r="L45" s="916"/>
      <c r="M45" s="916"/>
      <c r="N45" s="916"/>
      <c r="O45" s="911" t="e">
        <f t="shared" si="20"/>
        <v>#REF!</v>
      </c>
    </row>
    <row r="46" spans="1:15">
      <c r="A46" s="3361" t="s">
        <v>12643</v>
      </c>
      <c r="B46" s="3363" t="str">
        <f>VLOOKUP($A46,'01-RES.'!$A:$D,2,0)</f>
        <v>ARQUITETURA</v>
      </c>
      <c r="C46" s="3365" t="e">
        <f>VLOOKUP($A46,'01-RES.'!$A:$D,3,0)</f>
        <v>#REF!</v>
      </c>
      <c r="D46" s="3366" t="e">
        <f>C46/$C$80</f>
        <v>#REF!</v>
      </c>
      <c r="E46" s="906" t="e">
        <f t="shared" ref="E46:N46" si="21">$C46*E47</f>
        <v>#REF!</v>
      </c>
      <c r="F46" s="915" t="e">
        <f t="shared" si="21"/>
        <v>#REF!</v>
      </c>
      <c r="G46" s="915" t="e">
        <f t="shared" si="21"/>
        <v>#REF!</v>
      </c>
      <c r="H46" s="915" t="e">
        <f t="shared" si="21"/>
        <v>#REF!</v>
      </c>
      <c r="I46" s="922" t="e">
        <f t="shared" si="21"/>
        <v>#REF!</v>
      </c>
      <c r="J46" s="922" t="e">
        <f t="shared" si="21"/>
        <v>#REF!</v>
      </c>
      <c r="K46" s="922" t="e">
        <f t="shared" si="21"/>
        <v>#REF!</v>
      </c>
      <c r="L46" s="922" t="e">
        <f t="shared" si="21"/>
        <v>#REF!</v>
      </c>
      <c r="M46" s="915" t="e">
        <f t="shared" si="21"/>
        <v>#REF!</v>
      </c>
      <c r="N46" s="915" t="e">
        <f t="shared" si="21"/>
        <v>#REF!</v>
      </c>
      <c r="O46" s="908" t="e">
        <f t="shared" si="20"/>
        <v>#REF!</v>
      </c>
    </row>
    <row r="47" spans="1:15">
      <c r="A47" s="3362"/>
      <c r="B47" s="3364"/>
      <c r="C47" s="3364"/>
      <c r="D47" s="3367"/>
      <c r="E47" s="909"/>
      <c r="F47" s="916"/>
      <c r="G47" s="916"/>
      <c r="H47" s="916"/>
      <c r="I47" s="923" t="e">
        <f>'05-EVE'!N170</f>
        <v>#REF!</v>
      </c>
      <c r="J47" s="923" t="e">
        <f>'05-EVE'!P170</f>
        <v>#REF!</v>
      </c>
      <c r="K47" s="923" t="e">
        <f>'05-EVE'!R170</f>
        <v>#REF!</v>
      </c>
      <c r="L47" s="923" t="e">
        <f>'05-EVE'!T170</f>
        <v>#REF!</v>
      </c>
      <c r="M47" s="916"/>
      <c r="N47" s="916"/>
      <c r="O47" s="911" t="e">
        <f t="shared" si="20"/>
        <v>#REF!</v>
      </c>
    </row>
    <row r="48" spans="1:15">
      <c r="A48" s="3361" t="s">
        <v>12644</v>
      </c>
      <c r="B48" s="3363" t="str">
        <f>VLOOKUP($A48,'01-RES.'!$A:$D,2,0)</f>
        <v>INSTALAÇÕES HIDROSSANITÁRIAIS</v>
      </c>
      <c r="C48" s="3365" t="e">
        <f>VLOOKUP($A48,'01-RES.'!$A:$D,3,0)</f>
        <v>#REF!</v>
      </c>
      <c r="D48" s="3366" t="e">
        <f>C48/$C$80</f>
        <v>#REF!</v>
      </c>
      <c r="E48" s="906" t="e">
        <f t="shared" ref="E48:N48" si="22">$C48*E49</f>
        <v>#REF!</v>
      </c>
      <c r="F48" s="915" t="e">
        <f t="shared" si="22"/>
        <v>#REF!</v>
      </c>
      <c r="G48" s="915" t="e">
        <f t="shared" si="22"/>
        <v>#REF!</v>
      </c>
      <c r="H48" s="915" t="e">
        <f t="shared" si="22"/>
        <v>#REF!</v>
      </c>
      <c r="I48" s="915" t="e">
        <f t="shared" si="22"/>
        <v>#REF!</v>
      </c>
      <c r="J48" s="915" t="e">
        <f t="shared" si="22"/>
        <v>#REF!</v>
      </c>
      <c r="K48" s="922" t="e">
        <f t="shared" si="22"/>
        <v>#REF!</v>
      </c>
      <c r="L48" s="915" t="e">
        <f t="shared" si="22"/>
        <v>#REF!</v>
      </c>
      <c r="M48" s="915" t="e">
        <f t="shared" si="22"/>
        <v>#REF!</v>
      </c>
      <c r="N48" s="915" t="e">
        <f t="shared" si="22"/>
        <v>#REF!</v>
      </c>
      <c r="O48" s="908" t="e">
        <f t="shared" si="20"/>
        <v>#REF!</v>
      </c>
    </row>
    <row r="49" spans="1:15">
      <c r="A49" s="3362"/>
      <c r="B49" s="3364"/>
      <c r="C49" s="3364"/>
      <c r="D49" s="3367"/>
      <c r="E49" s="909"/>
      <c r="F49" s="916"/>
      <c r="G49" s="916"/>
      <c r="H49" s="916"/>
      <c r="I49" s="916"/>
      <c r="J49" s="916"/>
      <c r="K49" s="923" t="e">
        <f>'05-EVE'!R180</f>
        <v>#REF!</v>
      </c>
      <c r="L49" s="916"/>
      <c r="M49" s="916"/>
      <c r="N49" s="916"/>
      <c r="O49" s="911" t="e">
        <f t="shared" si="20"/>
        <v>#REF!</v>
      </c>
    </row>
    <row r="50" spans="1:15">
      <c r="A50" s="3361" t="s">
        <v>12645</v>
      </c>
      <c r="B50" s="3363" t="str">
        <f>VLOOKUP($A50,'01-RES.'!$A:$D,2,0)</f>
        <v>INSTALAÇÕES ELÉTRICAS</v>
      </c>
      <c r="C50" s="3365" t="e">
        <f>VLOOKUP($A50,'01-RES.'!$A:$D,3,0)</f>
        <v>#REF!</v>
      </c>
      <c r="D50" s="3366" t="e">
        <f>C50/$C$80</f>
        <v>#REF!</v>
      </c>
      <c r="E50" s="906" t="e">
        <f t="shared" ref="E50:N50" si="23">$C50*E51</f>
        <v>#REF!</v>
      </c>
      <c r="F50" s="915" t="e">
        <f t="shared" si="23"/>
        <v>#REF!</v>
      </c>
      <c r="G50" s="915" t="e">
        <f t="shared" si="23"/>
        <v>#REF!</v>
      </c>
      <c r="H50" s="915" t="e">
        <f t="shared" si="23"/>
        <v>#REF!</v>
      </c>
      <c r="I50" s="915" t="e">
        <f t="shared" si="23"/>
        <v>#REF!</v>
      </c>
      <c r="J50" s="922" t="e">
        <f t="shared" si="23"/>
        <v>#REF!</v>
      </c>
      <c r="K50" s="922" t="e">
        <f t="shared" si="23"/>
        <v>#REF!</v>
      </c>
      <c r="L50" s="922" t="e">
        <f t="shared" si="23"/>
        <v>#REF!</v>
      </c>
      <c r="M50" s="915" t="e">
        <f t="shared" si="23"/>
        <v>#REF!</v>
      </c>
      <c r="N50" s="915" t="e">
        <f t="shared" si="23"/>
        <v>#REF!</v>
      </c>
      <c r="O50" s="908" t="e">
        <f t="shared" si="20"/>
        <v>#REF!</v>
      </c>
    </row>
    <row r="51" spans="1:15">
      <c r="A51" s="3362"/>
      <c r="B51" s="3364"/>
      <c r="C51" s="3364"/>
      <c r="D51" s="3367"/>
      <c r="E51" s="909"/>
      <c r="F51" s="916"/>
      <c r="G51" s="916"/>
      <c r="H51" s="916"/>
      <c r="I51" s="916"/>
      <c r="J51" s="923" t="e">
        <f>'05-EVE'!P184</f>
        <v>#REF!</v>
      </c>
      <c r="K51" s="923" t="e">
        <f>'05-EVE'!R184</f>
        <v>#REF!</v>
      </c>
      <c r="L51" s="923" t="e">
        <f>'05-EVE'!T184</f>
        <v>#REF!</v>
      </c>
      <c r="M51" s="916"/>
      <c r="N51" s="916"/>
      <c r="O51" s="911" t="e">
        <f t="shared" si="20"/>
        <v>#REF!</v>
      </c>
    </row>
    <row r="52" spans="1:15">
      <c r="A52" s="3361" t="s">
        <v>12646</v>
      </c>
      <c r="B52" s="3363" t="str">
        <f>VLOOKUP($A52,'01-RES.'!$A:$D,2,0)</f>
        <v>INSTALAÇÕES PREVENÇÃO E COMBATE A INCENDIO E PANICO</v>
      </c>
      <c r="C52" s="3365" t="e">
        <f>VLOOKUP($A52,'01-RES.'!$A:$D,3,0)</f>
        <v>#REF!</v>
      </c>
      <c r="D52" s="3366" t="e">
        <f>C52/$C$80</f>
        <v>#REF!</v>
      </c>
      <c r="E52" s="906" t="e">
        <f t="shared" ref="E52:N52" si="24">$C52*E53</f>
        <v>#REF!</v>
      </c>
      <c r="F52" s="915" t="e">
        <f t="shared" si="24"/>
        <v>#REF!</v>
      </c>
      <c r="G52" s="915" t="e">
        <f t="shared" si="24"/>
        <v>#REF!</v>
      </c>
      <c r="H52" s="915" t="e">
        <f t="shared" si="24"/>
        <v>#REF!</v>
      </c>
      <c r="I52" s="915" t="e">
        <f t="shared" si="24"/>
        <v>#REF!</v>
      </c>
      <c r="J52" s="915" t="e">
        <f t="shared" si="24"/>
        <v>#REF!</v>
      </c>
      <c r="K52" s="915" t="e">
        <f t="shared" si="24"/>
        <v>#REF!</v>
      </c>
      <c r="L52" s="922" t="e">
        <f t="shared" si="24"/>
        <v>#REF!</v>
      </c>
      <c r="M52" s="915" t="e">
        <f t="shared" si="24"/>
        <v>#REF!</v>
      </c>
      <c r="N52" s="915" t="e">
        <f t="shared" si="24"/>
        <v>#REF!</v>
      </c>
      <c r="O52" s="908" t="e">
        <f t="shared" si="20"/>
        <v>#REF!</v>
      </c>
    </row>
    <row r="53" spans="1:15">
      <c r="A53" s="3362"/>
      <c r="B53" s="3364"/>
      <c r="C53" s="3364"/>
      <c r="D53" s="3367"/>
      <c r="E53" s="909"/>
      <c r="F53" s="916"/>
      <c r="G53" s="916"/>
      <c r="H53" s="916"/>
      <c r="I53" s="916"/>
      <c r="J53" s="916"/>
      <c r="K53" s="916"/>
      <c r="L53" s="923">
        <f>'05-EVE'!T191</f>
        <v>1</v>
      </c>
      <c r="M53" s="916"/>
      <c r="N53" s="916"/>
      <c r="O53" s="911">
        <f t="shared" si="20"/>
        <v>1</v>
      </c>
    </row>
    <row r="54" spans="1:15">
      <c r="A54" s="902" t="s">
        <v>12647</v>
      </c>
      <c r="B54" s="903" t="str">
        <f>VLOOKUP($A54,'01-RES.'!$A:$D,2,0)</f>
        <v>BANHEIROS DE APOIO CENTRO DE EVENTOS</v>
      </c>
      <c r="C54" s="904" t="e">
        <f>SUM(C55:C63)</f>
        <v>#REF!</v>
      </c>
      <c r="D54" s="905" t="e">
        <f>C54/$C$80</f>
        <v>#REF!</v>
      </c>
      <c r="E54" s="3376"/>
      <c r="F54" s="3377"/>
      <c r="G54" s="3377"/>
      <c r="H54" s="3377"/>
      <c r="I54" s="3377"/>
      <c r="J54" s="3377"/>
      <c r="K54" s="3377"/>
      <c r="L54" s="3377"/>
      <c r="M54" s="3377"/>
      <c r="N54" s="3377"/>
      <c r="O54" s="3378"/>
    </row>
    <row r="55" spans="1:15">
      <c r="A55" s="3361" t="s">
        <v>12648</v>
      </c>
      <c r="B55" s="3363" t="str">
        <f>VLOOKUP($A55,'01-RES.'!$A:$D,2,0)</f>
        <v>SERVIÇOS DE ESTRUTURA</v>
      </c>
      <c r="C55" s="3365" t="e">
        <f>VLOOKUP($A55,'01-RES.'!$A:$D,3,0)</f>
        <v>#REF!</v>
      </c>
      <c r="D55" s="3366" t="e">
        <f>C55/$C$80</f>
        <v>#REF!</v>
      </c>
      <c r="E55" s="906" t="e">
        <f t="shared" ref="E55:N55" si="25">$C55*E56</f>
        <v>#REF!</v>
      </c>
      <c r="F55" s="915" t="e">
        <f t="shared" si="25"/>
        <v>#REF!</v>
      </c>
      <c r="G55" s="915" t="e">
        <f t="shared" si="25"/>
        <v>#REF!</v>
      </c>
      <c r="H55" s="915" t="e">
        <f t="shared" si="25"/>
        <v>#REF!</v>
      </c>
      <c r="I55" s="922" t="e">
        <f t="shared" si="25"/>
        <v>#REF!</v>
      </c>
      <c r="J55" s="922" t="e">
        <f t="shared" si="25"/>
        <v>#REF!</v>
      </c>
      <c r="K55" s="915" t="e">
        <f t="shared" si="25"/>
        <v>#REF!</v>
      </c>
      <c r="L55" s="915" t="e">
        <f t="shared" si="25"/>
        <v>#REF!</v>
      </c>
      <c r="M55" s="915" t="e">
        <f t="shared" si="25"/>
        <v>#REF!</v>
      </c>
      <c r="N55" s="915" t="e">
        <f t="shared" si="25"/>
        <v>#REF!</v>
      </c>
      <c r="O55" s="908" t="e">
        <f t="shared" ref="O55:O64" si="26">SUM(E55:N55)</f>
        <v>#REF!</v>
      </c>
    </row>
    <row r="56" spans="1:15">
      <c r="A56" s="3362"/>
      <c r="B56" s="3364"/>
      <c r="C56" s="3364"/>
      <c r="D56" s="3367"/>
      <c r="E56" s="909"/>
      <c r="F56" s="916"/>
      <c r="G56" s="916"/>
      <c r="H56" s="916"/>
      <c r="I56" s="923" t="e">
        <f>'05-EVE'!N193</f>
        <v>#REF!</v>
      </c>
      <c r="J56" s="923" t="e">
        <f>'05-EVE'!P193</f>
        <v>#REF!</v>
      </c>
      <c r="K56" s="916"/>
      <c r="L56" s="916"/>
      <c r="M56" s="916"/>
      <c r="N56" s="916"/>
      <c r="O56" s="911" t="e">
        <f t="shared" si="26"/>
        <v>#REF!</v>
      </c>
    </row>
    <row r="57" spans="1:15">
      <c r="A57" s="3361" t="s">
        <v>12649</v>
      </c>
      <c r="B57" s="3363" t="str">
        <f>VLOOKUP($A57,'01-RES.'!$A:$D,2,0)</f>
        <v>ARQUITETURA</v>
      </c>
      <c r="C57" s="3365" t="e">
        <f>VLOOKUP($A57,'01-RES.'!$A:$D,3,0)</f>
        <v>#REF!</v>
      </c>
      <c r="D57" s="3366" t="e">
        <f>C57/$C$80</f>
        <v>#REF!</v>
      </c>
      <c r="E57" s="906" t="e">
        <f t="shared" ref="E57:N57" si="27">$C57*E58</f>
        <v>#REF!</v>
      </c>
      <c r="F57" s="915" t="e">
        <f t="shared" si="27"/>
        <v>#REF!</v>
      </c>
      <c r="G57" s="915" t="e">
        <f t="shared" si="27"/>
        <v>#REF!</v>
      </c>
      <c r="H57" s="915" t="e">
        <f t="shared" si="27"/>
        <v>#REF!</v>
      </c>
      <c r="I57" s="915" t="e">
        <f t="shared" si="27"/>
        <v>#REF!</v>
      </c>
      <c r="J57" s="915" t="e">
        <f t="shared" si="27"/>
        <v>#REF!</v>
      </c>
      <c r="K57" s="922" t="e">
        <f t="shared" si="27"/>
        <v>#REF!</v>
      </c>
      <c r="L57" s="922" t="e">
        <f t="shared" si="27"/>
        <v>#REF!</v>
      </c>
      <c r="M57" s="922" t="e">
        <f t="shared" si="27"/>
        <v>#REF!</v>
      </c>
      <c r="N57" s="922" t="e">
        <f t="shared" si="27"/>
        <v>#REF!</v>
      </c>
      <c r="O57" s="908" t="e">
        <f t="shared" si="26"/>
        <v>#REF!</v>
      </c>
    </row>
    <row r="58" spans="1:15">
      <c r="A58" s="3362"/>
      <c r="B58" s="3364"/>
      <c r="C58" s="3364"/>
      <c r="D58" s="3367"/>
      <c r="E58" s="909"/>
      <c r="F58" s="916"/>
      <c r="G58" s="916"/>
      <c r="H58" s="916"/>
      <c r="I58" s="916"/>
      <c r="J58" s="916"/>
      <c r="K58" s="923" t="e">
        <f>'05-EVE'!R203</f>
        <v>#REF!</v>
      </c>
      <c r="L58" s="923" t="e">
        <f>'05-EVE'!T203</f>
        <v>#REF!</v>
      </c>
      <c r="M58" s="923" t="e">
        <f>'05-EVE'!V203</f>
        <v>#REF!</v>
      </c>
      <c r="N58" s="923" t="e">
        <f>'05-EVE'!X203</f>
        <v>#REF!</v>
      </c>
      <c r="O58" s="911" t="e">
        <f t="shared" si="26"/>
        <v>#REF!</v>
      </c>
    </row>
    <row r="59" spans="1:15">
      <c r="A59" s="3361" t="s">
        <v>12650</v>
      </c>
      <c r="B59" s="3363" t="str">
        <f>VLOOKUP($A59,'01-RES.'!$A:$D,2,0)</f>
        <v>INSTALAÇÕES HIDROSSANITÁRIAIS</v>
      </c>
      <c r="C59" s="3365" t="e">
        <f>VLOOKUP($A59,'01-RES.'!$A:$D,3,0)</f>
        <v>#REF!</v>
      </c>
      <c r="D59" s="3366" t="e">
        <f>C59/$C$80</f>
        <v>#REF!</v>
      </c>
      <c r="E59" s="906" t="e">
        <f t="shared" ref="E59:N59" si="28">$C59*E60</f>
        <v>#REF!</v>
      </c>
      <c r="F59" s="915" t="e">
        <f t="shared" si="28"/>
        <v>#REF!</v>
      </c>
      <c r="G59" s="915" t="e">
        <f t="shared" si="28"/>
        <v>#REF!</v>
      </c>
      <c r="H59" s="915" t="e">
        <f t="shared" si="28"/>
        <v>#REF!</v>
      </c>
      <c r="I59" s="915" t="e">
        <f t="shared" si="28"/>
        <v>#REF!</v>
      </c>
      <c r="J59" s="915" t="e">
        <f t="shared" si="28"/>
        <v>#REF!</v>
      </c>
      <c r="K59" s="915" t="e">
        <f t="shared" si="28"/>
        <v>#REF!</v>
      </c>
      <c r="L59" s="915" t="e">
        <f t="shared" si="28"/>
        <v>#REF!</v>
      </c>
      <c r="M59" s="922" t="e">
        <f t="shared" si="28"/>
        <v>#REF!</v>
      </c>
      <c r="N59" s="918" t="e">
        <f t="shared" si="28"/>
        <v>#REF!</v>
      </c>
      <c r="O59" s="908" t="e">
        <f t="shared" si="26"/>
        <v>#REF!</v>
      </c>
    </row>
    <row r="60" spans="1:15">
      <c r="A60" s="3362"/>
      <c r="B60" s="3364"/>
      <c r="C60" s="3364"/>
      <c r="D60" s="3367"/>
      <c r="E60" s="909"/>
      <c r="F60" s="916"/>
      <c r="G60" s="916"/>
      <c r="H60" s="916"/>
      <c r="I60" s="916"/>
      <c r="J60" s="916"/>
      <c r="K60" s="916"/>
      <c r="L60" s="916"/>
      <c r="M60" s="923" t="e">
        <f>'05-EVE'!V213</f>
        <v>#REF!</v>
      </c>
      <c r="N60" s="916"/>
      <c r="O60" s="911" t="e">
        <f t="shared" si="26"/>
        <v>#REF!</v>
      </c>
    </row>
    <row r="61" spans="1:15">
      <c r="A61" s="3361" t="s">
        <v>12651</v>
      </c>
      <c r="B61" s="3363" t="str">
        <f>VLOOKUP($A61,'01-RES.'!$A:$D,2,0)</f>
        <v>INSTALAÇÕES ELÉTRICAS</v>
      </c>
      <c r="C61" s="3365" t="e">
        <f>VLOOKUP($A61,'01-RES.'!$A:$D,3,0)</f>
        <v>#REF!</v>
      </c>
      <c r="D61" s="3366" t="e">
        <f>C61/$C$80</f>
        <v>#REF!</v>
      </c>
      <c r="E61" s="906" t="e">
        <f t="shared" ref="E61:N61" si="29">$C61*E62</f>
        <v>#REF!</v>
      </c>
      <c r="F61" s="915" t="e">
        <f t="shared" si="29"/>
        <v>#REF!</v>
      </c>
      <c r="G61" s="915" t="e">
        <f t="shared" si="29"/>
        <v>#REF!</v>
      </c>
      <c r="H61" s="915" t="e">
        <f t="shared" si="29"/>
        <v>#REF!</v>
      </c>
      <c r="I61" s="915" t="e">
        <f t="shared" si="29"/>
        <v>#REF!</v>
      </c>
      <c r="J61" s="915" t="e">
        <f t="shared" si="29"/>
        <v>#REF!</v>
      </c>
      <c r="K61" s="915" t="e">
        <f t="shared" si="29"/>
        <v>#REF!</v>
      </c>
      <c r="L61" s="922" t="e">
        <f t="shared" si="29"/>
        <v>#REF!</v>
      </c>
      <c r="M61" s="922" t="e">
        <f t="shared" si="29"/>
        <v>#REF!</v>
      </c>
      <c r="N61" s="922" t="e">
        <f t="shared" si="29"/>
        <v>#REF!</v>
      </c>
      <c r="O61" s="908" t="e">
        <f t="shared" si="26"/>
        <v>#REF!</v>
      </c>
    </row>
    <row r="62" spans="1:15">
      <c r="A62" s="3362"/>
      <c r="B62" s="3364"/>
      <c r="C62" s="3364"/>
      <c r="D62" s="3367"/>
      <c r="E62" s="909"/>
      <c r="F62" s="916"/>
      <c r="G62" s="916"/>
      <c r="H62" s="916"/>
      <c r="I62" s="916"/>
      <c r="J62" s="916"/>
      <c r="K62" s="916"/>
      <c r="L62" s="923" t="e">
        <f>'05-EVE'!T217</f>
        <v>#REF!</v>
      </c>
      <c r="M62" s="923" t="e">
        <f>'05-EVE'!V217</f>
        <v>#REF!</v>
      </c>
      <c r="N62" s="923" t="e">
        <f>'05-EVE'!X217</f>
        <v>#REF!</v>
      </c>
      <c r="O62" s="911" t="e">
        <f t="shared" si="26"/>
        <v>#REF!</v>
      </c>
    </row>
    <row r="63" spans="1:15">
      <c r="A63" s="3361" t="s">
        <v>12652</v>
      </c>
      <c r="B63" s="3363" t="str">
        <f>VLOOKUP($A63,'01-RES.'!$A:$D,2,0)</f>
        <v>INSTALAÇÕES PREVENÇÃO E COMBATE A INCENDIO E PANICO</v>
      </c>
      <c r="C63" s="3365" t="e">
        <f>VLOOKUP($A63,'01-RES.'!$A:$D,3,0)</f>
        <v>#REF!</v>
      </c>
      <c r="D63" s="3366" t="e">
        <f>C63/$C$80</f>
        <v>#REF!</v>
      </c>
      <c r="E63" s="906" t="e">
        <f t="shared" ref="E63:N63" si="30">$C63*E64</f>
        <v>#REF!</v>
      </c>
      <c r="F63" s="915" t="e">
        <f t="shared" si="30"/>
        <v>#REF!</v>
      </c>
      <c r="G63" s="915" t="e">
        <f t="shared" si="30"/>
        <v>#REF!</v>
      </c>
      <c r="H63" s="915" t="e">
        <f t="shared" si="30"/>
        <v>#REF!</v>
      </c>
      <c r="I63" s="915" t="e">
        <f t="shared" si="30"/>
        <v>#REF!</v>
      </c>
      <c r="J63" s="915" t="e">
        <f t="shared" si="30"/>
        <v>#REF!</v>
      </c>
      <c r="K63" s="915" t="e">
        <f t="shared" si="30"/>
        <v>#REF!</v>
      </c>
      <c r="L63" s="915" t="e">
        <f t="shared" si="30"/>
        <v>#REF!</v>
      </c>
      <c r="M63" s="915" t="e">
        <f t="shared" si="30"/>
        <v>#REF!</v>
      </c>
      <c r="N63" s="922" t="e">
        <f t="shared" si="30"/>
        <v>#REF!</v>
      </c>
      <c r="O63" s="908" t="e">
        <f t="shared" si="26"/>
        <v>#REF!</v>
      </c>
    </row>
    <row r="64" spans="1:15">
      <c r="A64" s="3362"/>
      <c r="B64" s="3364"/>
      <c r="C64" s="3364"/>
      <c r="D64" s="3367"/>
      <c r="E64" s="909"/>
      <c r="F64" s="916"/>
      <c r="G64" s="916"/>
      <c r="H64" s="916"/>
      <c r="I64" s="916"/>
      <c r="J64" s="916"/>
      <c r="K64" s="916"/>
      <c r="L64" s="916"/>
      <c r="M64" s="916"/>
      <c r="N64" s="923">
        <f>'05-EVE'!X224</f>
        <v>1</v>
      </c>
      <c r="O64" s="911">
        <f t="shared" si="26"/>
        <v>1</v>
      </c>
    </row>
    <row r="65" spans="1:15">
      <c r="A65" s="902" t="s">
        <v>12653</v>
      </c>
      <c r="B65" s="903" t="str">
        <f>VLOOKUP($A65,'01-RES.'!$A:$D,2,0)</f>
        <v>INFRA CONTÊINERES</v>
      </c>
      <c r="C65" s="904" t="e">
        <f>SUM(C66:C79)</f>
        <v>#REF!</v>
      </c>
      <c r="D65" s="905" t="e">
        <f>C65/$C$80</f>
        <v>#REF!</v>
      </c>
      <c r="E65" s="3376"/>
      <c r="F65" s="3377"/>
      <c r="G65" s="3377"/>
      <c r="H65" s="3377"/>
      <c r="I65" s="3377"/>
      <c r="J65" s="3377"/>
      <c r="K65" s="3377"/>
      <c r="L65" s="3377"/>
      <c r="M65" s="3377"/>
      <c r="N65" s="3377"/>
      <c r="O65" s="3378"/>
    </row>
    <row r="66" spans="1:15">
      <c r="A66" s="3361" t="s">
        <v>12655</v>
      </c>
      <c r="B66" s="3363" t="str">
        <f>VLOOKUP($A66,'01-RES.'!$A:$D,2,0)</f>
        <v>INSTALAÇÕES HIDROSSANITÁRIAIS - CONTÊINERES PARA USO NO SUNSET</v>
      </c>
      <c r="C66" s="3365" t="e">
        <f>VLOOKUP($A66,'01-RES.'!$A:$D,3,0)</f>
        <v>#REF!</v>
      </c>
      <c r="D66" s="3366" t="e">
        <f>C66/$C$80</f>
        <v>#REF!</v>
      </c>
      <c r="E66" s="906" t="e">
        <f t="shared" ref="E66:N66" si="31">$C66*E67</f>
        <v>#REF!</v>
      </c>
      <c r="F66" s="915" t="e">
        <f t="shared" si="31"/>
        <v>#REF!</v>
      </c>
      <c r="G66" s="915" t="e">
        <f t="shared" si="31"/>
        <v>#REF!</v>
      </c>
      <c r="H66" s="915" t="e">
        <f t="shared" si="31"/>
        <v>#REF!</v>
      </c>
      <c r="I66" s="922" t="e">
        <f t="shared" si="31"/>
        <v>#REF!</v>
      </c>
      <c r="J66" s="915" t="e">
        <f t="shared" si="31"/>
        <v>#REF!</v>
      </c>
      <c r="K66" s="915" t="e">
        <f t="shared" si="31"/>
        <v>#REF!</v>
      </c>
      <c r="L66" s="915" t="e">
        <f t="shared" si="31"/>
        <v>#REF!</v>
      </c>
      <c r="M66" s="915" t="e">
        <f t="shared" si="31"/>
        <v>#REF!</v>
      </c>
      <c r="N66" s="915" t="e">
        <f t="shared" si="31"/>
        <v>#REF!</v>
      </c>
      <c r="O66" s="908" t="e">
        <f t="shared" ref="O66:O79" si="32">SUM(E66:N66)</f>
        <v>#REF!</v>
      </c>
    </row>
    <row r="67" spans="1:15">
      <c r="A67" s="3362"/>
      <c r="B67" s="3364"/>
      <c r="C67" s="3364"/>
      <c r="D67" s="3367"/>
      <c r="E67" s="909"/>
      <c r="F67" s="916"/>
      <c r="G67" s="916"/>
      <c r="H67" s="916"/>
      <c r="I67" s="923">
        <f>'05-EVE'!N226</f>
        <v>1</v>
      </c>
      <c r="J67" s="916"/>
      <c r="K67" s="916"/>
      <c r="L67" s="916"/>
      <c r="M67" s="916"/>
      <c r="N67" s="916"/>
      <c r="O67" s="911">
        <f t="shared" si="32"/>
        <v>1</v>
      </c>
    </row>
    <row r="68" spans="1:15">
      <c r="A68" s="3361" t="s">
        <v>12656</v>
      </c>
      <c r="B68" s="3363" t="str">
        <f>VLOOKUP($A68,'01-RES.'!$A:$D,2,0)</f>
        <v>INSTALAÇÕES HIDROSSANITÁRIAIS - CONTÊINERES PARA USO NO ESTACIONAMENTO BLOCO DE SERVIÇOS</v>
      </c>
      <c r="C68" s="3365" t="e">
        <f>VLOOKUP($A68,'01-RES.'!$A:$D,3,0)</f>
        <v>#REF!</v>
      </c>
      <c r="D68" s="3366" t="e">
        <f>C68/$C$80</f>
        <v>#REF!</v>
      </c>
      <c r="E68" s="906" t="e">
        <f t="shared" ref="E68:N68" si="33">$C68*E69</f>
        <v>#REF!</v>
      </c>
      <c r="F68" s="922" t="e">
        <f t="shared" si="33"/>
        <v>#REF!</v>
      </c>
      <c r="G68" s="915" t="e">
        <f t="shared" si="33"/>
        <v>#REF!</v>
      </c>
      <c r="H68" s="915" t="e">
        <f t="shared" si="33"/>
        <v>#REF!</v>
      </c>
      <c r="I68" s="915" t="e">
        <f t="shared" si="33"/>
        <v>#REF!</v>
      </c>
      <c r="J68" s="915" t="e">
        <f t="shared" si="33"/>
        <v>#REF!</v>
      </c>
      <c r="K68" s="918" t="e">
        <f t="shared" si="33"/>
        <v>#REF!</v>
      </c>
      <c r="L68" s="918" t="e">
        <f t="shared" si="33"/>
        <v>#REF!</v>
      </c>
      <c r="M68" s="918" t="e">
        <f t="shared" si="33"/>
        <v>#REF!</v>
      </c>
      <c r="N68" s="918" t="e">
        <f t="shared" si="33"/>
        <v>#REF!</v>
      </c>
      <c r="O68" s="908" t="e">
        <f t="shared" si="32"/>
        <v>#REF!</v>
      </c>
    </row>
    <row r="69" spans="1:15">
      <c r="A69" s="3362"/>
      <c r="B69" s="3364"/>
      <c r="C69" s="3364"/>
      <c r="D69" s="3367"/>
      <c r="E69" s="909"/>
      <c r="F69" s="923">
        <f>'05-EVE'!H227</f>
        <v>1</v>
      </c>
      <c r="G69" s="916"/>
      <c r="H69" s="916"/>
      <c r="I69" s="916"/>
      <c r="J69" s="916"/>
      <c r="K69" s="916"/>
      <c r="L69" s="916"/>
      <c r="M69" s="916"/>
      <c r="N69" s="916"/>
      <c r="O69" s="911">
        <f t="shared" si="32"/>
        <v>1</v>
      </c>
    </row>
    <row r="70" spans="1:15">
      <c r="A70" s="3361" t="s">
        <v>12657</v>
      </c>
      <c r="B70" s="3363" t="str">
        <f>VLOOKUP($A70,'01-RES.'!$A:$D,2,0)</f>
        <v>INSTALAÇÕES HIDROSSANITÁRIAIS - CONTÊINERES PARA KARTÓDROMO</v>
      </c>
      <c r="C70" s="3365" t="e">
        <f>VLOOKUP($A70,'01-RES.'!$A:$D,3,0)</f>
        <v>#REF!</v>
      </c>
      <c r="D70" s="3366" t="e">
        <f>C70/$C$80</f>
        <v>#REF!</v>
      </c>
      <c r="E70" s="906" t="e">
        <f t="shared" ref="E70:N70" si="34">$C70*E71</f>
        <v>#REF!</v>
      </c>
      <c r="F70" s="915" t="e">
        <f t="shared" si="34"/>
        <v>#REF!</v>
      </c>
      <c r="G70" s="922" t="e">
        <f t="shared" si="34"/>
        <v>#REF!</v>
      </c>
      <c r="H70" s="915" t="e">
        <f t="shared" si="34"/>
        <v>#REF!</v>
      </c>
      <c r="I70" s="915" t="e">
        <f t="shared" si="34"/>
        <v>#REF!</v>
      </c>
      <c r="J70" s="915" t="e">
        <f t="shared" si="34"/>
        <v>#REF!</v>
      </c>
      <c r="K70" s="918" t="e">
        <f t="shared" si="34"/>
        <v>#REF!</v>
      </c>
      <c r="L70" s="918" t="e">
        <f t="shared" si="34"/>
        <v>#REF!</v>
      </c>
      <c r="M70" s="918" t="e">
        <f t="shared" si="34"/>
        <v>#REF!</v>
      </c>
      <c r="N70" s="918" t="e">
        <f t="shared" si="34"/>
        <v>#REF!</v>
      </c>
      <c r="O70" s="908" t="e">
        <f t="shared" si="32"/>
        <v>#REF!</v>
      </c>
    </row>
    <row r="71" spans="1:15">
      <c r="A71" s="3362"/>
      <c r="B71" s="3364"/>
      <c r="C71" s="3364"/>
      <c r="D71" s="3367"/>
      <c r="E71" s="909"/>
      <c r="F71" s="916"/>
      <c r="G71" s="923">
        <f>'05-EVE'!J228</f>
        <v>1</v>
      </c>
      <c r="H71" s="916"/>
      <c r="I71" s="916"/>
      <c r="J71" s="916"/>
      <c r="K71" s="916"/>
      <c r="L71" s="916"/>
      <c r="M71" s="916"/>
      <c r="N71" s="916"/>
      <c r="O71" s="911">
        <f t="shared" si="32"/>
        <v>1</v>
      </c>
    </row>
    <row r="72" spans="1:15">
      <c r="A72" s="3361" t="s">
        <v>12658</v>
      </c>
      <c r="B72" s="3363" t="str">
        <f>VLOOKUP($A72,'01-RES.'!$A:$D,2,0)</f>
        <v>INSTALAÇÕES HIDROSSANITÁRIAIS - CONTÊINERES PARA PRAÇA DA ORLA</v>
      </c>
      <c r="C72" s="3365" t="e">
        <f>VLOOKUP($A72,'01-RES.'!$A:$D,3,0)</f>
        <v>#REF!</v>
      </c>
      <c r="D72" s="3366" t="e">
        <f>C72/$C$80</f>
        <v>#REF!</v>
      </c>
      <c r="E72" s="906" t="e">
        <f t="shared" ref="E72:N72" si="35">$C72*E73</f>
        <v>#REF!</v>
      </c>
      <c r="F72" s="922" t="e">
        <f t="shared" si="35"/>
        <v>#REF!</v>
      </c>
      <c r="G72" s="915" t="e">
        <f t="shared" si="35"/>
        <v>#REF!</v>
      </c>
      <c r="H72" s="915" t="e">
        <f t="shared" si="35"/>
        <v>#REF!</v>
      </c>
      <c r="I72" s="915" t="e">
        <f t="shared" si="35"/>
        <v>#REF!</v>
      </c>
      <c r="J72" s="915" t="e">
        <f t="shared" si="35"/>
        <v>#REF!</v>
      </c>
      <c r="K72" s="918" t="e">
        <f t="shared" si="35"/>
        <v>#REF!</v>
      </c>
      <c r="L72" s="918" t="e">
        <f t="shared" si="35"/>
        <v>#REF!</v>
      </c>
      <c r="M72" s="918" t="e">
        <f t="shared" si="35"/>
        <v>#REF!</v>
      </c>
      <c r="N72" s="918" t="e">
        <f t="shared" si="35"/>
        <v>#REF!</v>
      </c>
      <c r="O72" s="908" t="e">
        <f t="shared" si="32"/>
        <v>#REF!</v>
      </c>
    </row>
    <row r="73" spans="1:15">
      <c r="A73" s="3362"/>
      <c r="B73" s="3364"/>
      <c r="C73" s="3364"/>
      <c r="D73" s="3367"/>
      <c r="E73" s="909"/>
      <c r="F73" s="923">
        <f>'05-EVE'!H229</f>
        <v>1</v>
      </c>
      <c r="G73" s="916"/>
      <c r="H73" s="916"/>
      <c r="I73" s="916"/>
      <c r="J73" s="916"/>
      <c r="K73" s="916"/>
      <c r="L73" s="916"/>
      <c r="M73" s="916"/>
      <c r="N73" s="916"/>
      <c r="O73" s="911">
        <f t="shared" si="32"/>
        <v>1</v>
      </c>
    </row>
    <row r="74" spans="1:15">
      <c r="A74" s="3361" t="s">
        <v>12659</v>
      </c>
      <c r="B74" s="3363" t="str">
        <f>VLOOKUP($A74,'01-RES.'!$A:$D,2,0)</f>
        <v>INSTALAÇÕES HIDROSSANITÁRIAIS - CONTÊINERES AO LADO DO ESPAÇO SHOWS</v>
      </c>
      <c r="C74" s="3365" t="e">
        <f>VLOOKUP($A74,'01-RES.'!$A:$D,3,0)</f>
        <v>#REF!</v>
      </c>
      <c r="D74" s="3366" t="e">
        <f>C74/$C$80</f>
        <v>#REF!</v>
      </c>
      <c r="E74" s="906" t="e">
        <f t="shared" ref="E74:N74" si="36">$C74*E75</f>
        <v>#REF!</v>
      </c>
      <c r="F74" s="915" t="e">
        <f t="shared" si="36"/>
        <v>#REF!</v>
      </c>
      <c r="G74" s="922" t="e">
        <f t="shared" si="36"/>
        <v>#REF!</v>
      </c>
      <c r="H74" s="915" t="e">
        <f t="shared" si="36"/>
        <v>#REF!</v>
      </c>
      <c r="I74" s="915" t="e">
        <f t="shared" si="36"/>
        <v>#REF!</v>
      </c>
      <c r="J74" s="915" t="e">
        <f t="shared" si="36"/>
        <v>#REF!</v>
      </c>
      <c r="K74" s="918" t="e">
        <f t="shared" si="36"/>
        <v>#REF!</v>
      </c>
      <c r="L74" s="918" t="e">
        <f t="shared" si="36"/>
        <v>#REF!</v>
      </c>
      <c r="M74" s="918" t="e">
        <f t="shared" si="36"/>
        <v>#REF!</v>
      </c>
      <c r="N74" s="918" t="e">
        <f t="shared" si="36"/>
        <v>#REF!</v>
      </c>
      <c r="O74" s="908" t="e">
        <f t="shared" si="32"/>
        <v>#REF!</v>
      </c>
    </row>
    <row r="75" spans="1:15">
      <c r="A75" s="3362"/>
      <c r="B75" s="3364"/>
      <c r="C75" s="3364"/>
      <c r="D75" s="3367"/>
      <c r="E75" s="909"/>
      <c r="F75" s="916"/>
      <c r="G75" s="923">
        <f>'05-EVE'!J230</f>
        <v>1</v>
      </c>
      <c r="H75" s="916"/>
      <c r="I75" s="916"/>
      <c r="J75" s="916"/>
      <c r="K75" s="916"/>
      <c r="L75" s="916"/>
      <c r="M75" s="916"/>
      <c r="N75" s="916"/>
      <c r="O75" s="911">
        <f t="shared" si="32"/>
        <v>1</v>
      </c>
    </row>
    <row r="76" spans="1:15">
      <c r="A76" s="3361" t="s">
        <v>12660</v>
      </c>
      <c r="B76" s="3363" t="str">
        <f>VLOOKUP($A76,'01-RES.'!$A:$D,2,0)</f>
        <v>INSTALAÇÕES HIDROSSANITÁRIAIS - CONTÊINERES AO LADO DO CENTRO DE EVENTOS</v>
      </c>
      <c r="C76" s="3365" t="e">
        <f>VLOOKUP($A76,'01-RES.'!$A:$D,3,0)</f>
        <v>#REF!</v>
      </c>
      <c r="D76" s="3366" t="e">
        <f>C76/$C$80</f>
        <v>#REF!</v>
      </c>
      <c r="E76" s="906" t="e">
        <f t="shared" ref="E76:N76" si="37">$C76*E77</f>
        <v>#REF!</v>
      </c>
      <c r="F76" s="915" t="e">
        <f t="shared" si="37"/>
        <v>#REF!</v>
      </c>
      <c r="G76" s="915" t="e">
        <f t="shared" si="37"/>
        <v>#REF!</v>
      </c>
      <c r="H76" s="922" t="e">
        <f t="shared" si="37"/>
        <v>#REF!</v>
      </c>
      <c r="I76" s="915" t="e">
        <f t="shared" si="37"/>
        <v>#REF!</v>
      </c>
      <c r="J76" s="915" t="e">
        <f t="shared" si="37"/>
        <v>#REF!</v>
      </c>
      <c r="K76" s="918" t="e">
        <f t="shared" si="37"/>
        <v>#REF!</v>
      </c>
      <c r="L76" s="918" t="e">
        <f t="shared" si="37"/>
        <v>#REF!</v>
      </c>
      <c r="M76" s="918" t="e">
        <f t="shared" si="37"/>
        <v>#REF!</v>
      </c>
      <c r="N76" s="918" t="e">
        <f t="shared" si="37"/>
        <v>#REF!</v>
      </c>
      <c r="O76" s="908" t="e">
        <f t="shared" si="32"/>
        <v>#REF!</v>
      </c>
    </row>
    <row r="77" spans="1:15">
      <c r="A77" s="3362"/>
      <c r="B77" s="3364"/>
      <c r="C77" s="3364"/>
      <c r="D77" s="3367"/>
      <c r="E77" s="909"/>
      <c r="F77" s="916"/>
      <c r="G77" s="916"/>
      <c r="H77" s="923">
        <f>'05-EVE'!L231</f>
        <v>1</v>
      </c>
      <c r="I77" s="916"/>
      <c r="J77" s="916"/>
      <c r="K77" s="916"/>
      <c r="L77" s="916"/>
      <c r="M77" s="916"/>
      <c r="N77" s="916"/>
      <c r="O77" s="911">
        <f t="shared" si="32"/>
        <v>1</v>
      </c>
    </row>
    <row r="78" spans="1:15">
      <c r="A78" s="3361" t="s">
        <v>12661</v>
      </c>
      <c r="B78" s="3363" t="str">
        <f>VLOOKUP($A78,'01-RES.'!$A:$D,2,0)</f>
        <v>INSTALAÇÕES ELÉTRICAS E CABEAMENTO ESTRUTURADO</v>
      </c>
      <c r="C78" s="3365" t="e">
        <f>VLOOKUP($A78,'01-RES.'!$A:$D,3,0)</f>
        <v>#REF!</v>
      </c>
      <c r="D78" s="3366" t="e">
        <f>C78/$C$80</f>
        <v>#REF!</v>
      </c>
      <c r="E78" s="906" t="e">
        <f t="shared" ref="E78:N78" si="38">$C78*E79</f>
        <v>#REF!</v>
      </c>
      <c r="F78" s="915" t="e">
        <f t="shared" si="38"/>
        <v>#REF!</v>
      </c>
      <c r="G78" s="915" t="e">
        <f t="shared" si="38"/>
        <v>#REF!</v>
      </c>
      <c r="H78" s="915" t="e">
        <f t="shared" si="38"/>
        <v>#REF!</v>
      </c>
      <c r="I78" s="922" t="e">
        <f t="shared" si="38"/>
        <v>#REF!</v>
      </c>
      <c r="J78" s="915" t="e">
        <f t="shared" si="38"/>
        <v>#REF!</v>
      </c>
      <c r="K78" s="918" t="e">
        <f t="shared" si="38"/>
        <v>#REF!</v>
      </c>
      <c r="L78" s="918" t="e">
        <f t="shared" si="38"/>
        <v>#REF!</v>
      </c>
      <c r="M78" s="918" t="e">
        <f t="shared" si="38"/>
        <v>#REF!</v>
      </c>
      <c r="N78" s="918" t="e">
        <f t="shared" si="38"/>
        <v>#REF!</v>
      </c>
      <c r="O78" s="908" t="e">
        <f t="shared" si="32"/>
        <v>#REF!</v>
      </c>
    </row>
    <row r="79" spans="1:15">
      <c r="A79" s="3362"/>
      <c r="B79" s="3364"/>
      <c r="C79" s="3364"/>
      <c r="D79" s="3367"/>
      <c r="E79" s="909"/>
      <c r="F79" s="916"/>
      <c r="G79" s="916"/>
      <c r="H79" s="916"/>
      <c r="I79" s="923">
        <f>'05-EVE'!N232</f>
        <v>1</v>
      </c>
      <c r="J79" s="916"/>
      <c r="K79" s="916"/>
      <c r="L79" s="916"/>
      <c r="M79" s="916"/>
      <c r="N79" s="916"/>
      <c r="O79" s="911">
        <f t="shared" si="32"/>
        <v>1</v>
      </c>
    </row>
    <row r="80" spans="1:15">
      <c r="A80" s="924"/>
      <c r="B80" s="925" t="s">
        <v>15471</v>
      </c>
      <c r="C80" s="926" t="e">
        <f>SUM(C54,C43,C32,C23,C12,C7,C65)</f>
        <v>#REF!</v>
      </c>
      <c r="D80" s="927" t="e">
        <f>C80/$C$80</f>
        <v>#REF!</v>
      </c>
      <c r="E80" s="3386"/>
      <c r="F80" s="3387"/>
      <c r="G80" s="3387"/>
      <c r="H80" s="3387"/>
      <c r="I80" s="3387"/>
      <c r="J80" s="3387"/>
      <c r="K80" s="3387"/>
      <c r="L80" s="3387"/>
      <c r="M80" s="3387"/>
      <c r="N80" s="3387"/>
      <c r="O80" s="3388"/>
    </row>
    <row r="81" spans="1:15">
      <c r="A81" s="3368" t="s">
        <v>15472</v>
      </c>
      <c r="B81" s="2615"/>
      <c r="C81" s="2615"/>
      <c r="D81" s="3369"/>
      <c r="E81" s="928" t="e">
        <f t="shared" ref="E81:M81" si="39">SUM(E78,E76,E74,E70,E68,E66,E61,E59,E57,E55,E52,E50,E48,E46,E44,E41,E39,E37,E35,E33,E30,E28,E26,E24,E21,E19,E17,E15,E13,E10,E8,E72)</f>
        <v>#REF!</v>
      </c>
      <c r="F81" s="928" t="e">
        <f t="shared" si="39"/>
        <v>#REF!</v>
      </c>
      <c r="G81" s="928" t="e">
        <f t="shared" si="39"/>
        <v>#REF!</v>
      </c>
      <c r="H81" s="928" t="e">
        <f t="shared" si="39"/>
        <v>#REF!</v>
      </c>
      <c r="I81" s="928" t="e">
        <f t="shared" si="39"/>
        <v>#REF!</v>
      </c>
      <c r="J81" s="928" t="e">
        <f t="shared" si="39"/>
        <v>#REF!</v>
      </c>
      <c r="K81" s="928" t="e">
        <f t="shared" si="39"/>
        <v>#REF!</v>
      </c>
      <c r="L81" s="928" t="e">
        <f t="shared" si="39"/>
        <v>#REF!</v>
      </c>
      <c r="M81" s="928" t="e">
        <f t="shared" si="39"/>
        <v>#REF!</v>
      </c>
      <c r="N81" s="928" t="e">
        <f>SUM(N78,N76,N74,N70,N68,N66,N61,N59,N57,N55,N52,N50,N48,N46,N44,N41,N39,N37,N35,N33,N30,N28,N26,N24,N21,N19,N17,N15,N13,N10,N8,N72,N63)</f>
        <v>#REF!</v>
      </c>
      <c r="O81" s="929" t="e">
        <f>SUM(O78,O76,O74,O70,O68,O66,O61,O59,O57,O55,O52,O50,O48,O46,O44,O41,O39,O37,O35,O33,O30,O28,O26,O24,O21,O19,O17,O15,O13,O10,O8,O72,O63)</f>
        <v>#REF!</v>
      </c>
    </row>
    <row r="82" spans="1:15">
      <c r="A82" s="3370" t="s">
        <v>15473</v>
      </c>
      <c r="B82" s="2590"/>
      <c r="C82" s="2590"/>
      <c r="D82" s="2595"/>
      <c r="E82" s="930" t="e">
        <f t="shared" ref="E82:O82" si="40">E81/$C$80</f>
        <v>#REF!</v>
      </c>
      <c r="F82" s="931" t="e">
        <f t="shared" si="40"/>
        <v>#REF!</v>
      </c>
      <c r="G82" s="931" t="e">
        <f t="shared" si="40"/>
        <v>#REF!</v>
      </c>
      <c r="H82" s="931" t="e">
        <f t="shared" si="40"/>
        <v>#REF!</v>
      </c>
      <c r="I82" s="931" t="e">
        <f t="shared" si="40"/>
        <v>#REF!</v>
      </c>
      <c r="J82" s="931" t="e">
        <f t="shared" si="40"/>
        <v>#REF!</v>
      </c>
      <c r="K82" s="931" t="e">
        <f t="shared" si="40"/>
        <v>#REF!</v>
      </c>
      <c r="L82" s="931" t="e">
        <f t="shared" si="40"/>
        <v>#REF!</v>
      </c>
      <c r="M82" s="931" t="e">
        <f t="shared" si="40"/>
        <v>#REF!</v>
      </c>
      <c r="N82" s="931" t="e">
        <f t="shared" si="40"/>
        <v>#REF!</v>
      </c>
      <c r="O82" s="932" t="e">
        <f t="shared" si="40"/>
        <v>#REF!</v>
      </c>
    </row>
    <row r="83" spans="1:15">
      <c r="A83" s="3371" t="s">
        <v>15474</v>
      </c>
      <c r="B83" s="3372"/>
      <c r="C83" s="3372"/>
      <c r="D83" s="2685"/>
      <c r="E83" s="1866" t="e">
        <f>E81</f>
        <v>#REF!</v>
      </c>
      <c r="F83" s="1867" t="e">
        <f t="shared" ref="F83:N83" si="41">F81+E83</f>
        <v>#REF!</v>
      </c>
      <c r="G83" s="1867" t="e">
        <f t="shared" si="41"/>
        <v>#REF!</v>
      </c>
      <c r="H83" s="1867" t="e">
        <f t="shared" si="41"/>
        <v>#REF!</v>
      </c>
      <c r="I83" s="1867" t="e">
        <f t="shared" si="41"/>
        <v>#REF!</v>
      </c>
      <c r="J83" s="1867" t="e">
        <f t="shared" si="41"/>
        <v>#REF!</v>
      </c>
      <c r="K83" s="1867" t="e">
        <f t="shared" si="41"/>
        <v>#REF!</v>
      </c>
      <c r="L83" s="1867" t="e">
        <f t="shared" si="41"/>
        <v>#REF!</v>
      </c>
      <c r="M83" s="1867" t="e">
        <f t="shared" si="41"/>
        <v>#REF!</v>
      </c>
      <c r="N83" s="1867" t="e">
        <f t="shared" si="41"/>
        <v>#REF!</v>
      </c>
      <c r="O83" s="933"/>
    </row>
    <row r="87" spans="1:15" ht="15" customHeight="1">
      <c r="B87" s="1795"/>
    </row>
    <row r="88" spans="1:15" ht="15" customHeight="1">
      <c r="B88" s="1796" t="s">
        <v>16720</v>
      </c>
    </row>
    <row r="89" spans="1:15" ht="15" customHeight="1">
      <c r="B89" s="1796" t="s">
        <v>16721</v>
      </c>
    </row>
    <row r="90" spans="1:15" ht="15" customHeight="1">
      <c r="B90" s="1796" t="s">
        <v>16722</v>
      </c>
    </row>
    <row r="91" spans="1:15" ht="15" customHeight="1">
      <c r="B91" s="1796" t="s">
        <v>16723</v>
      </c>
    </row>
  </sheetData>
  <autoFilter ref="E6:O62" xr:uid="{00000000-0009-0000-0000-000007000000}"/>
  <mergeCells count="148">
    <mergeCell ref="C76:C77"/>
    <mergeCell ref="D76:D77"/>
    <mergeCell ref="E80:O80"/>
    <mergeCell ref="A72:A73"/>
    <mergeCell ref="A74:A75"/>
    <mergeCell ref="B74:B75"/>
    <mergeCell ref="C74:C75"/>
    <mergeCell ref="D74:D75"/>
    <mergeCell ref="A76:A77"/>
    <mergeCell ref="B76:B77"/>
    <mergeCell ref="B72:B73"/>
    <mergeCell ref="C72:C73"/>
    <mergeCell ref="A78:A79"/>
    <mergeCell ref="B78:B79"/>
    <mergeCell ref="C78:C79"/>
    <mergeCell ref="D78:D79"/>
    <mergeCell ref="C68:C69"/>
    <mergeCell ref="D68:D69"/>
    <mergeCell ref="A70:A71"/>
    <mergeCell ref="B70:B71"/>
    <mergeCell ref="C70:C71"/>
    <mergeCell ref="D70:D71"/>
    <mergeCell ref="D72:D73"/>
    <mergeCell ref="C59:C60"/>
    <mergeCell ref="D59:D60"/>
    <mergeCell ref="A68:A69"/>
    <mergeCell ref="B68:B69"/>
    <mergeCell ref="B63:B64"/>
    <mergeCell ref="C63:C64"/>
    <mergeCell ref="D63:D64"/>
    <mergeCell ref="A63:A64"/>
    <mergeCell ref="A66:A67"/>
    <mergeCell ref="B66:B67"/>
    <mergeCell ref="C66:C67"/>
    <mergeCell ref="D66:D67"/>
    <mergeCell ref="E65:O65"/>
    <mergeCell ref="A55:A56"/>
    <mergeCell ref="A57:A58"/>
    <mergeCell ref="B57:B58"/>
    <mergeCell ref="C57:C58"/>
    <mergeCell ref="D57:D58"/>
    <mergeCell ref="A59:A60"/>
    <mergeCell ref="B59:B60"/>
    <mergeCell ref="A50:A51"/>
    <mergeCell ref="B50:B51"/>
    <mergeCell ref="E54:O54"/>
    <mergeCell ref="B55:B56"/>
    <mergeCell ref="C55:C56"/>
    <mergeCell ref="C50:C51"/>
    <mergeCell ref="D50:D51"/>
    <mergeCell ref="A52:A53"/>
    <mergeCell ref="B52:B53"/>
    <mergeCell ref="C52:C53"/>
    <mergeCell ref="D52:D53"/>
    <mergeCell ref="D55:D56"/>
    <mergeCell ref="A61:A62"/>
    <mergeCell ref="B61:B62"/>
    <mergeCell ref="C61:C62"/>
    <mergeCell ref="D61:D62"/>
    <mergeCell ref="A44:A45"/>
    <mergeCell ref="B44:B45"/>
    <mergeCell ref="C44:C45"/>
    <mergeCell ref="D44:D45"/>
    <mergeCell ref="B46:B47"/>
    <mergeCell ref="C46:C47"/>
    <mergeCell ref="D46:D47"/>
    <mergeCell ref="A46:A47"/>
    <mergeCell ref="A48:A49"/>
    <mergeCell ref="B48:B49"/>
    <mergeCell ref="C48:C49"/>
    <mergeCell ref="D48:D49"/>
    <mergeCell ref="B1:O1"/>
    <mergeCell ref="B2:O2"/>
    <mergeCell ref="B3:O3"/>
    <mergeCell ref="B4:O4"/>
    <mergeCell ref="A5:O5"/>
    <mergeCell ref="A8:A9"/>
    <mergeCell ref="D8:D9"/>
    <mergeCell ref="B13:B14"/>
    <mergeCell ref="C13:C14"/>
    <mergeCell ref="B8:B9"/>
    <mergeCell ref="C8:C9"/>
    <mergeCell ref="A10:A11"/>
    <mergeCell ref="B10:B11"/>
    <mergeCell ref="C10:C11"/>
    <mergeCell ref="D10:D11"/>
    <mergeCell ref="D13:D14"/>
    <mergeCell ref="A13:A14"/>
    <mergeCell ref="A81:D81"/>
    <mergeCell ref="A82:D82"/>
    <mergeCell ref="A83:D83"/>
    <mergeCell ref="E7:O7"/>
    <mergeCell ref="E12:O12"/>
    <mergeCell ref="C17:C18"/>
    <mergeCell ref="D17:D18"/>
    <mergeCell ref="D21:D22"/>
    <mergeCell ref="E23:O23"/>
    <mergeCell ref="E32:O32"/>
    <mergeCell ref="E43:O43"/>
    <mergeCell ref="A24:A25"/>
    <mergeCell ref="B24:B25"/>
    <mergeCell ref="C24:C25"/>
    <mergeCell ref="D24:D25"/>
    <mergeCell ref="A35:A36"/>
    <mergeCell ref="B35:B36"/>
    <mergeCell ref="C35:C36"/>
    <mergeCell ref="D35:D36"/>
    <mergeCell ref="B37:B38"/>
    <mergeCell ref="D33:D34"/>
    <mergeCell ref="A28:A29"/>
    <mergeCell ref="A30:A31"/>
    <mergeCell ref="B30:B31"/>
    <mergeCell ref="C30:C31"/>
    <mergeCell ref="D30:D31"/>
    <mergeCell ref="A33:A34"/>
    <mergeCell ref="B33:B34"/>
    <mergeCell ref="C41:C42"/>
    <mergeCell ref="D41:D42"/>
    <mergeCell ref="C37:C38"/>
    <mergeCell ref="D37:D38"/>
    <mergeCell ref="A37:A38"/>
    <mergeCell ref="A39:A40"/>
    <mergeCell ref="B39:B40"/>
    <mergeCell ref="C39:C40"/>
    <mergeCell ref="D39:D40"/>
    <mergeCell ref="A41:A42"/>
    <mergeCell ref="B41:B42"/>
    <mergeCell ref="C33:C34"/>
    <mergeCell ref="A15:A16"/>
    <mergeCell ref="B15:B16"/>
    <mergeCell ref="C15:C16"/>
    <mergeCell ref="D15:D16"/>
    <mergeCell ref="A17:A18"/>
    <mergeCell ref="B17:B18"/>
    <mergeCell ref="A19:A20"/>
    <mergeCell ref="B19:B20"/>
    <mergeCell ref="C19:C20"/>
    <mergeCell ref="D19:D20"/>
    <mergeCell ref="A21:A22"/>
    <mergeCell ref="B21:B22"/>
    <mergeCell ref="C21:C22"/>
    <mergeCell ref="A26:A27"/>
    <mergeCell ref="B26:B27"/>
    <mergeCell ref="C26:C27"/>
    <mergeCell ref="D26:D27"/>
    <mergeCell ref="B28:B29"/>
    <mergeCell ref="C28:C29"/>
    <mergeCell ref="D28:D29"/>
  </mergeCells>
  <conditionalFormatting sqref="O5:O6 O9:O11 O13:O53 O55:O64 O66:O80">
    <cfRule type="containsText" dxfId="9" priority="1" operator="containsText" text="100,00%">
      <formula>NOT(ISERROR(SEARCH(("100,00%"),(O5))))</formula>
    </cfRule>
  </conditionalFormatting>
  <printOptions horizontalCentered="1"/>
  <pageMargins left="0.39370078740157483" right="0.39370078740157483" top="0.39370078740157483" bottom="0.39370078740157483" header="0" footer="0"/>
  <pageSetup paperSize="8" scale="80" fitToHeight="0" orientation="landscape" r:id="rId1"/>
  <headerFooter>
    <oddFooter>Página &amp;P de &amp;N</oddFooter>
  </headerFooter>
  <rowBreaks count="1" manualBreakCount="1">
    <brk id="64" max="1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AU1194"/>
  <sheetViews>
    <sheetView workbookViewId="0"/>
  </sheetViews>
  <sheetFormatPr defaultColWidth="12.5703125" defaultRowHeight="15" customHeight="1"/>
  <cols>
    <col min="1" max="1" width="12.42578125" bestFit="1" customWidth="1"/>
    <col min="2" max="2" width="84.140625" customWidth="1"/>
    <col min="3" max="3" width="18.42578125" bestFit="1" customWidth="1"/>
    <col min="4" max="4" width="8.140625" customWidth="1"/>
    <col min="5" max="5" width="15.28515625" bestFit="1" customWidth="1"/>
    <col min="6" max="6" width="8.28515625" bestFit="1" customWidth="1"/>
    <col min="7" max="7" width="15.28515625" bestFit="1" customWidth="1"/>
    <col min="8" max="8" width="8.28515625" bestFit="1" customWidth="1"/>
    <col min="9" max="9" width="15.28515625" bestFit="1" customWidth="1"/>
    <col min="10" max="10" width="8.28515625" bestFit="1" customWidth="1"/>
    <col min="11" max="11" width="15.28515625" bestFit="1" customWidth="1"/>
    <col min="12" max="12" width="8.28515625" bestFit="1" customWidth="1"/>
    <col min="13" max="13" width="15.28515625" bestFit="1" customWidth="1"/>
    <col min="14" max="14" width="8.28515625" bestFit="1" customWidth="1"/>
    <col min="15" max="15" width="15.28515625" bestFit="1" customWidth="1"/>
    <col min="16" max="16" width="8.28515625" bestFit="1" customWidth="1"/>
    <col min="17" max="17" width="17.140625" bestFit="1" customWidth="1"/>
    <col min="18" max="18" width="8.28515625" bestFit="1" customWidth="1"/>
    <col min="19" max="19" width="17.140625" bestFit="1" customWidth="1"/>
    <col min="20" max="20" width="8.28515625" bestFit="1" customWidth="1"/>
    <col min="21" max="21" width="17.140625" bestFit="1" customWidth="1"/>
    <col min="22" max="22" width="8.28515625" bestFit="1" customWidth="1"/>
    <col min="23" max="23" width="17" bestFit="1" customWidth="1"/>
    <col min="24" max="24" width="8.28515625" bestFit="1" customWidth="1"/>
    <col min="25" max="25" width="18.5703125" bestFit="1" customWidth="1"/>
    <col min="26" max="26" width="8.140625" bestFit="1" customWidth="1"/>
    <col min="27" max="47" width="12.5703125" hidden="1"/>
  </cols>
  <sheetData>
    <row r="1" spans="1:47">
      <c r="A1" s="1802" t="str">
        <f>'Medição '!V5</f>
        <v>OBRA:</v>
      </c>
      <c r="B1" s="3389" t="str">
        <f>'Medição '!W5</f>
        <v>COMPLEXO SUNSET DO PARQUE NOVO MATO GROSSO</v>
      </c>
      <c r="C1" s="3390"/>
      <c r="D1" s="3390"/>
      <c r="E1" s="3390"/>
      <c r="F1" s="3390"/>
      <c r="G1" s="3390"/>
      <c r="H1" s="3390"/>
      <c r="I1" s="3390"/>
      <c r="J1" s="3390"/>
      <c r="K1" s="3390"/>
      <c r="L1" s="3390"/>
      <c r="M1" s="3390"/>
      <c r="N1" s="3390"/>
      <c r="O1" s="3390"/>
      <c r="P1" s="3390"/>
      <c r="Q1" s="3390"/>
      <c r="R1" s="3390"/>
      <c r="S1" s="3390"/>
      <c r="T1" s="3390"/>
      <c r="U1" s="3390"/>
      <c r="V1" s="3390"/>
      <c r="W1" s="3390"/>
      <c r="X1" s="3390"/>
      <c r="Y1" s="3390"/>
      <c r="Z1" s="3391"/>
      <c r="AA1" s="1803"/>
      <c r="AB1" s="1803"/>
      <c r="AC1" s="1803"/>
      <c r="AD1" s="1803"/>
      <c r="AE1" s="1803"/>
      <c r="AF1" s="1803"/>
      <c r="AG1" s="1803"/>
      <c r="AH1" s="1803"/>
      <c r="AI1" s="1803"/>
      <c r="AJ1" s="1803"/>
      <c r="AK1" s="1803"/>
      <c r="AL1" s="1803"/>
      <c r="AM1" s="1803"/>
      <c r="AN1" s="1803"/>
      <c r="AO1" s="1803"/>
      <c r="AP1" s="1803"/>
      <c r="AQ1" s="1803"/>
      <c r="AR1" s="1803"/>
      <c r="AS1" s="1803"/>
      <c r="AT1" s="1804"/>
      <c r="AU1" s="110"/>
    </row>
    <row r="2" spans="1:47">
      <c r="A2" s="1805" t="str">
        <f>'Medição '!V6</f>
        <v xml:space="preserve">ENDEREÇO: </v>
      </c>
      <c r="B2" s="3392" t="str">
        <f>'Medição '!W6</f>
        <v>MT 251, KM 11, S/N, ÁREA RURAL - PARQUE NOVO MATO GROSSO, CEP 78099-899</v>
      </c>
      <c r="C2" s="3393"/>
      <c r="D2" s="3393"/>
      <c r="E2" s="3393"/>
      <c r="F2" s="3393"/>
      <c r="G2" s="3393"/>
      <c r="H2" s="3393"/>
      <c r="I2" s="3393"/>
      <c r="J2" s="3393"/>
      <c r="K2" s="3393"/>
      <c r="L2" s="3393"/>
      <c r="M2" s="3393"/>
      <c r="N2" s="3393"/>
      <c r="O2" s="3393"/>
      <c r="P2" s="3393"/>
      <c r="Q2" s="3393"/>
      <c r="R2" s="3393"/>
      <c r="S2" s="3393"/>
      <c r="T2" s="3393"/>
      <c r="U2" s="3393"/>
      <c r="V2" s="3393"/>
      <c r="W2" s="3393"/>
      <c r="X2" s="3393"/>
      <c r="Y2" s="3393"/>
      <c r="Z2" s="3394"/>
      <c r="AA2" s="1806"/>
      <c r="AB2" s="1806"/>
      <c r="AC2" s="1806"/>
      <c r="AD2" s="1806"/>
      <c r="AE2" s="1806"/>
      <c r="AF2" s="1806"/>
      <c r="AG2" s="1806"/>
      <c r="AH2" s="1806"/>
      <c r="AI2" s="1806"/>
      <c r="AJ2" s="1806"/>
      <c r="AK2" s="1806"/>
      <c r="AL2" s="1806"/>
      <c r="AM2" s="1806"/>
      <c r="AN2" s="1806"/>
      <c r="AO2" s="1806"/>
      <c r="AP2" s="1806"/>
      <c r="AQ2" s="1806"/>
      <c r="AR2" s="1806"/>
      <c r="AS2" s="1806"/>
      <c r="AT2" s="1807"/>
      <c r="AU2" s="110"/>
    </row>
    <row r="3" spans="1:47">
      <c r="A3" s="1805" t="str">
        <f>'Medição '!V7</f>
        <v>MUNICÍPIO:</v>
      </c>
      <c r="B3" s="3392" t="str">
        <f>'Medição '!W7</f>
        <v>CUIABÁ - MT</v>
      </c>
      <c r="C3" s="3393"/>
      <c r="D3" s="3393"/>
      <c r="E3" s="3393"/>
      <c r="F3" s="3393"/>
      <c r="G3" s="3393"/>
      <c r="H3" s="3393"/>
      <c r="I3" s="3393"/>
      <c r="J3" s="3393"/>
      <c r="K3" s="3393"/>
      <c r="L3" s="3393"/>
      <c r="M3" s="3393"/>
      <c r="N3" s="3393"/>
      <c r="O3" s="3393"/>
      <c r="P3" s="3393"/>
      <c r="Q3" s="3393"/>
      <c r="R3" s="3393"/>
      <c r="S3" s="3393"/>
      <c r="T3" s="3393"/>
      <c r="U3" s="3393"/>
      <c r="V3" s="3393"/>
      <c r="W3" s="3393"/>
      <c r="X3" s="3393"/>
      <c r="Y3" s="3393"/>
      <c r="Z3" s="3394"/>
      <c r="AA3" s="1806"/>
      <c r="AB3" s="1806"/>
      <c r="AC3" s="1806"/>
      <c r="AD3" s="1806"/>
      <c r="AE3" s="1806"/>
      <c r="AF3" s="1806"/>
      <c r="AG3" s="1806"/>
      <c r="AH3" s="1806"/>
      <c r="AI3" s="1806"/>
      <c r="AJ3" s="1806"/>
      <c r="AK3" s="1806"/>
      <c r="AL3" s="1806"/>
      <c r="AM3" s="1806"/>
      <c r="AN3" s="1806"/>
      <c r="AO3" s="1806"/>
      <c r="AP3" s="1806"/>
      <c r="AQ3" s="1806"/>
      <c r="AR3" s="1806"/>
      <c r="AS3" s="1806"/>
      <c r="AT3" s="1807"/>
      <c r="AU3" s="110"/>
    </row>
    <row r="4" spans="1:47">
      <c r="A4" s="1805" t="str">
        <f>'Medição '!V8</f>
        <v>OBJETO:</v>
      </c>
      <c r="B4" s="3392" t="str">
        <f>'Medição '!W8</f>
        <v>CONTRATAÇÃO DE EMPRESA ESPECIALIZADA PARA EXECUÇÃO DAS OBRAS DO "COMPLEXO SUNSET (WAKE BAR, PRAÇA SUNSET, QUIOSQUE, BANHEIROS DE APOIO E INFRA DE CONTÊINER) DO PARQUE NOVO MATO GROSSO"</v>
      </c>
      <c r="C4" s="3393"/>
      <c r="D4" s="3393"/>
      <c r="E4" s="3393"/>
      <c r="F4" s="3393"/>
      <c r="G4" s="3393"/>
      <c r="H4" s="3393"/>
      <c r="I4" s="3393"/>
      <c r="J4" s="3393"/>
      <c r="K4" s="3393"/>
      <c r="L4" s="3393"/>
      <c r="M4" s="3393"/>
      <c r="N4" s="3393"/>
      <c r="O4" s="3393"/>
      <c r="P4" s="3393"/>
      <c r="Q4" s="3393"/>
      <c r="R4" s="3393"/>
      <c r="S4" s="3393"/>
      <c r="T4" s="3393"/>
      <c r="U4" s="3393"/>
      <c r="V4" s="3393"/>
      <c r="W4" s="3393"/>
      <c r="X4" s="3393"/>
      <c r="Y4" s="3393"/>
      <c r="Z4" s="3394"/>
      <c r="AA4" s="1806"/>
      <c r="AB4" s="1806"/>
      <c r="AC4" s="1806"/>
      <c r="AD4" s="1806"/>
      <c r="AE4" s="1806"/>
      <c r="AF4" s="1806"/>
      <c r="AG4" s="1806"/>
      <c r="AH4" s="1806"/>
      <c r="AI4" s="1806"/>
      <c r="AJ4" s="1806"/>
      <c r="AK4" s="1806"/>
      <c r="AL4" s="1806"/>
      <c r="AM4" s="1806"/>
      <c r="AN4" s="1806"/>
      <c r="AO4" s="1806"/>
      <c r="AP4" s="1806"/>
      <c r="AQ4" s="1806"/>
      <c r="AR4" s="1806"/>
      <c r="AS4" s="1806"/>
      <c r="AT4" s="1807"/>
      <c r="AU4" s="110"/>
    </row>
    <row r="5" spans="1:47" ht="1.5" customHeight="1">
      <c r="A5" s="3395"/>
      <c r="B5" s="3396"/>
      <c r="C5" s="3396"/>
      <c r="D5" s="3396"/>
      <c r="E5" s="3396"/>
      <c r="F5" s="3396"/>
      <c r="G5" s="3396"/>
      <c r="H5" s="3396"/>
      <c r="I5" s="3396"/>
      <c r="J5" s="3396"/>
      <c r="K5" s="3396"/>
      <c r="L5" s="3396"/>
      <c r="M5" s="3396"/>
      <c r="N5" s="3396"/>
      <c r="O5" s="3396"/>
      <c r="P5" s="3396"/>
      <c r="Q5" s="3396"/>
      <c r="R5" s="3396"/>
      <c r="S5" s="3396"/>
      <c r="T5" s="3396"/>
      <c r="U5" s="3396"/>
      <c r="V5" s="3396"/>
      <c r="W5" s="3396"/>
      <c r="X5" s="3396"/>
      <c r="Y5" s="3396"/>
      <c r="Z5" s="3396"/>
      <c r="AA5" s="3396"/>
      <c r="AB5" s="3396"/>
      <c r="AC5" s="3396"/>
      <c r="AD5" s="3396"/>
      <c r="AE5" s="3396"/>
      <c r="AF5" s="3396"/>
      <c r="AG5" s="3396"/>
      <c r="AH5" s="3396"/>
      <c r="AI5" s="3396"/>
      <c r="AJ5" s="3396"/>
      <c r="AK5" s="3396"/>
      <c r="AL5" s="3396"/>
      <c r="AM5" s="3396"/>
      <c r="AN5" s="3396"/>
      <c r="AO5" s="3396"/>
      <c r="AP5" s="3396"/>
      <c r="AQ5" s="3396"/>
      <c r="AR5" s="3396"/>
      <c r="AS5" s="3396"/>
      <c r="AT5" s="3397"/>
      <c r="AU5" s="934"/>
    </row>
    <row r="6" spans="1:47" ht="37.5" customHeight="1">
      <c r="A6" s="3398" t="s">
        <v>15475</v>
      </c>
      <c r="B6" s="2634"/>
      <c r="C6" s="2634"/>
      <c r="D6" s="2634"/>
      <c r="E6" s="2634"/>
      <c r="F6" s="2634"/>
      <c r="G6" s="2634"/>
      <c r="H6" s="2634"/>
      <c r="I6" s="2634"/>
      <c r="J6" s="2634"/>
      <c r="K6" s="2634"/>
      <c r="L6" s="2634"/>
      <c r="M6" s="2634"/>
      <c r="N6" s="2634"/>
      <c r="O6" s="2634"/>
      <c r="P6" s="2634"/>
      <c r="Q6" s="2634"/>
      <c r="R6" s="2634"/>
      <c r="S6" s="2634"/>
      <c r="T6" s="2634"/>
      <c r="U6" s="2634"/>
      <c r="V6" s="2634"/>
      <c r="W6" s="2634"/>
      <c r="X6" s="2634"/>
      <c r="Y6" s="2634"/>
      <c r="Z6" s="2635"/>
      <c r="AA6" s="1808"/>
      <c r="AB6" s="1808"/>
      <c r="AC6" s="1808"/>
      <c r="AD6" s="1808"/>
      <c r="AE6" s="1808"/>
      <c r="AF6" s="1808"/>
      <c r="AG6" s="1808"/>
      <c r="AH6" s="1808"/>
      <c r="AI6" s="1808"/>
      <c r="AJ6" s="1808"/>
      <c r="AK6" s="1808"/>
      <c r="AL6" s="1808"/>
      <c r="AM6" s="1808"/>
      <c r="AN6" s="1808"/>
      <c r="AO6" s="1808"/>
      <c r="AP6" s="1808"/>
      <c r="AQ6" s="1808"/>
      <c r="AR6" s="1808"/>
      <c r="AS6" s="1808"/>
      <c r="AT6" s="1809"/>
      <c r="AU6" s="935"/>
    </row>
    <row r="7" spans="1:47" ht="48.75" customHeight="1">
      <c r="A7" s="1810" t="s">
        <v>15476</v>
      </c>
      <c r="B7" s="3399" t="s">
        <v>15477</v>
      </c>
      <c r="C7" s="2607"/>
      <c r="D7" s="3400"/>
      <c r="E7" s="3401" t="s">
        <v>15461</v>
      </c>
      <c r="F7" s="3402"/>
      <c r="G7" s="3401" t="s">
        <v>15462</v>
      </c>
      <c r="H7" s="3402"/>
      <c r="I7" s="3401" t="s">
        <v>15463</v>
      </c>
      <c r="J7" s="3402"/>
      <c r="K7" s="3401" t="s">
        <v>15464</v>
      </c>
      <c r="L7" s="3402"/>
      <c r="M7" s="3401" t="s">
        <v>15465</v>
      </c>
      <c r="N7" s="3402"/>
      <c r="O7" s="3401" t="s">
        <v>15466</v>
      </c>
      <c r="P7" s="3402"/>
      <c r="Q7" s="3401" t="s">
        <v>15467</v>
      </c>
      <c r="R7" s="3402"/>
      <c r="S7" s="3401" t="s">
        <v>15468</v>
      </c>
      <c r="T7" s="3402"/>
      <c r="U7" s="3405" t="s">
        <v>15469</v>
      </c>
      <c r="V7" s="3402"/>
      <c r="W7" s="3405" t="s">
        <v>15470</v>
      </c>
      <c r="X7" s="3402"/>
      <c r="Y7" s="3406" t="s">
        <v>15478</v>
      </c>
      <c r="Z7" s="3408" t="s">
        <v>12615</v>
      </c>
      <c r="AA7" s="1811"/>
      <c r="AB7" s="1811"/>
      <c r="AC7" s="1811"/>
      <c r="AD7" s="1811"/>
      <c r="AE7" s="1811"/>
      <c r="AF7" s="1811"/>
      <c r="AG7" s="1811"/>
      <c r="AH7" s="1811"/>
      <c r="AI7" s="1811"/>
      <c r="AJ7" s="1811"/>
      <c r="AK7" s="1811"/>
      <c r="AL7" s="1811"/>
      <c r="AM7" s="1811"/>
      <c r="AN7" s="1811"/>
      <c r="AO7" s="1811"/>
      <c r="AP7" s="1811"/>
      <c r="AQ7" s="1811"/>
      <c r="AR7" s="1811"/>
      <c r="AS7" s="1811"/>
      <c r="AT7" s="1812"/>
      <c r="AU7" s="262"/>
    </row>
    <row r="8" spans="1:47" ht="12.75">
      <c r="A8" s="3411" t="s">
        <v>15479</v>
      </c>
      <c r="B8" s="3413" t="s">
        <v>15480</v>
      </c>
      <c r="C8" s="936" t="s">
        <v>12615</v>
      </c>
      <c r="D8" s="3414" t="s">
        <v>12617</v>
      </c>
      <c r="E8" s="3403"/>
      <c r="F8" s="3404"/>
      <c r="G8" s="3403"/>
      <c r="H8" s="3404"/>
      <c r="I8" s="3403"/>
      <c r="J8" s="3404"/>
      <c r="K8" s="3403"/>
      <c r="L8" s="3404"/>
      <c r="M8" s="3403"/>
      <c r="N8" s="3404"/>
      <c r="O8" s="3403"/>
      <c r="P8" s="3404"/>
      <c r="Q8" s="3403"/>
      <c r="R8" s="3404"/>
      <c r="S8" s="3403"/>
      <c r="T8" s="3404"/>
      <c r="U8" s="3403"/>
      <c r="V8" s="3404"/>
      <c r="W8" s="3403"/>
      <c r="X8" s="3404"/>
      <c r="Y8" s="3402"/>
      <c r="Z8" s="3409"/>
      <c r="AA8" s="1811"/>
      <c r="AB8" s="1811"/>
      <c r="AC8" s="1811"/>
      <c r="AD8" s="1811"/>
      <c r="AE8" s="1811"/>
      <c r="AF8" s="1811"/>
      <c r="AG8" s="1811"/>
      <c r="AH8" s="1811"/>
      <c r="AI8" s="1811"/>
      <c r="AJ8" s="1811"/>
      <c r="AK8" s="1811"/>
      <c r="AL8" s="1811"/>
      <c r="AM8" s="1811"/>
      <c r="AN8" s="1811"/>
      <c r="AO8" s="1811"/>
      <c r="AP8" s="1811"/>
      <c r="AQ8" s="1811"/>
      <c r="AR8" s="1811"/>
      <c r="AS8" s="1811"/>
      <c r="AT8" s="1812"/>
      <c r="AU8" s="262"/>
    </row>
    <row r="9" spans="1:47" ht="12.75">
      <c r="A9" s="3412"/>
      <c r="B9" s="3407"/>
      <c r="C9" s="937" t="s">
        <v>12616</v>
      </c>
      <c r="D9" s="3410"/>
      <c r="E9" s="938" t="s">
        <v>15481</v>
      </c>
      <c r="F9" s="939" t="s">
        <v>12617</v>
      </c>
      <c r="G9" s="938" t="s">
        <v>15481</v>
      </c>
      <c r="H9" s="939" t="s">
        <v>12617</v>
      </c>
      <c r="I9" s="938" t="s">
        <v>15481</v>
      </c>
      <c r="J9" s="940" t="s">
        <v>12617</v>
      </c>
      <c r="K9" s="938" t="s">
        <v>15481</v>
      </c>
      <c r="L9" s="939" t="s">
        <v>12617</v>
      </c>
      <c r="M9" s="938" t="s">
        <v>15481</v>
      </c>
      <c r="N9" s="939" t="s">
        <v>12617</v>
      </c>
      <c r="O9" s="938" t="s">
        <v>15481</v>
      </c>
      <c r="P9" s="939" t="s">
        <v>12617</v>
      </c>
      <c r="Q9" s="938" t="s">
        <v>15481</v>
      </c>
      <c r="R9" s="941" t="s">
        <v>12617</v>
      </c>
      <c r="S9" s="938" t="s">
        <v>15481</v>
      </c>
      <c r="T9" s="941" t="s">
        <v>12617</v>
      </c>
      <c r="U9" s="937" t="s">
        <v>15481</v>
      </c>
      <c r="V9" s="941" t="s">
        <v>12617</v>
      </c>
      <c r="W9" s="937" t="s">
        <v>15481</v>
      </c>
      <c r="X9" s="941" t="s">
        <v>12617</v>
      </c>
      <c r="Y9" s="3407"/>
      <c r="Z9" s="3410"/>
      <c r="AA9" s="1811"/>
      <c r="AB9" s="1811"/>
      <c r="AC9" s="1811"/>
      <c r="AD9" s="1811"/>
      <c r="AE9" s="1811"/>
      <c r="AF9" s="1811"/>
      <c r="AG9" s="1811"/>
      <c r="AH9" s="1811"/>
      <c r="AI9" s="1811"/>
      <c r="AJ9" s="1811"/>
      <c r="AK9" s="1811"/>
      <c r="AL9" s="1811"/>
      <c r="AM9" s="1811"/>
      <c r="AN9" s="1811"/>
      <c r="AO9" s="1811"/>
      <c r="AP9" s="1811"/>
      <c r="AQ9" s="1811"/>
      <c r="AR9" s="1811"/>
      <c r="AS9" s="1811"/>
      <c r="AT9" s="1812"/>
      <c r="AU9" s="262"/>
    </row>
    <row r="10" spans="1:47" ht="30" customHeight="1">
      <c r="A10" s="1813"/>
      <c r="B10" s="942" t="str">
        <f>'Medição '!A14</f>
        <v xml:space="preserve"> → (A) ADMINISTRAÇÃO DA OBRA E CANTEIRO DE OBRAS</v>
      </c>
      <c r="C10" s="943" t="e">
        <f>SUM(C24,C11)</f>
        <v>#REF!</v>
      </c>
      <c r="D10" s="944" t="e">
        <f>C10/$C$234</f>
        <v>#REF!</v>
      </c>
      <c r="E10" s="945" t="e">
        <f>SUM(E11,E24)</f>
        <v>#REF!</v>
      </c>
      <c r="F10" s="946" t="e">
        <f>E10/$C$10</f>
        <v>#REF!</v>
      </c>
      <c r="G10" s="945" t="e">
        <f>SUM(G11,G24)</f>
        <v>#REF!</v>
      </c>
      <c r="H10" s="946" t="e">
        <f>G10/$C$10</f>
        <v>#REF!</v>
      </c>
      <c r="I10" s="945" t="e">
        <f>SUM(I11,I24)</f>
        <v>#REF!</v>
      </c>
      <c r="J10" s="946" t="e">
        <f>I10/$C$10</f>
        <v>#REF!</v>
      </c>
      <c r="K10" s="945" t="e">
        <f>SUM(K11,K24)</f>
        <v>#REF!</v>
      </c>
      <c r="L10" s="946" t="e">
        <f>K10/$C$10</f>
        <v>#REF!</v>
      </c>
      <c r="M10" s="945" t="e">
        <f>SUM(M11,M24)</f>
        <v>#REF!</v>
      </c>
      <c r="N10" s="946" t="e">
        <f>M10/$C$10</f>
        <v>#REF!</v>
      </c>
      <c r="O10" s="945" t="e">
        <f>SUM(O11,O24)</f>
        <v>#REF!</v>
      </c>
      <c r="P10" s="946" t="e">
        <f>O10/$C$10</f>
        <v>#REF!</v>
      </c>
      <c r="Q10" s="945" t="e">
        <f>SUM(Q11,Q24)</f>
        <v>#REF!</v>
      </c>
      <c r="R10" s="946" t="e">
        <f>Q10/$C$10</f>
        <v>#REF!</v>
      </c>
      <c r="S10" s="945" t="e">
        <f>SUM(S11,S24)</f>
        <v>#REF!</v>
      </c>
      <c r="T10" s="946" t="e">
        <f>S10/$C$10</f>
        <v>#REF!</v>
      </c>
      <c r="U10" s="945" t="e">
        <f>SUM(U11,U24)</f>
        <v>#REF!</v>
      </c>
      <c r="V10" s="946" t="e">
        <f>U10/$C$10</f>
        <v>#REF!</v>
      </c>
      <c r="W10" s="943" t="e">
        <f>SUM(W11,W24)</f>
        <v>#REF!</v>
      </c>
      <c r="X10" s="946" t="e">
        <f>W10/$C$10</f>
        <v>#REF!</v>
      </c>
      <c r="Y10" s="943" t="e">
        <f>SUM(E10,G10,I10,K10,M10,O10,Q10,S10,U10,W10)</f>
        <v>#REF!</v>
      </c>
      <c r="Z10" s="947" t="e">
        <f>SUM(F10,H10,J10,L10,N10,P10,R10,T10,V10,X10)</f>
        <v>#REF!</v>
      </c>
      <c r="AA10" s="1814"/>
      <c r="AB10" s="1814"/>
      <c r="AC10" s="1814"/>
      <c r="AD10" s="1814"/>
      <c r="AE10" s="1814"/>
      <c r="AF10" s="1814"/>
      <c r="AG10" s="1814"/>
      <c r="AH10" s="1814"/>
      <c r="AI10" s="1814"/>
      <c r="AJ10" s="1814"/>
      <c r="AK10" s="1814"/>
      <c r="AL10" s="1814"/>
      <c r="AM10" s="1814"/>
      <c r="AN10" s="1814"/>
      <c r="AO10" s="1814"/>
      <c r="AP10" s="1814"/>
      <c r="AQ10" s="1814"/>
      <c r="AR10" s="1814"/>
      <c r="AS10" s="1814"/>
      <c r="AT10" s="1815"/>
      <c r="AU10" s="948"/>
    </row>
    <row r="11" spans="1:47" ht="17.25">
      <c r="A11" s="1816" t="s">
        <v>12621</v>
      </c>
      <c r="B11" s="949" t="s">
        <v>15482</v>
      </c>
      <c r="C11" s="950" t="e">
        <f>SUBTOTAL(9,C12:C23)</f>
        <v>#REF!</v>
      </c>
      <c r="D11" s="951"/>
      <c r="E11" s="952" t="e">
        <f>SUBTOTAL(9,E12:E23)</f>
        <v>#REF!</v>
      </c>
      <c r="F11" s="953" t="e">
        <f>SUBTOTAL(9,E12:E23)/$C$11</f>
        <v>#REF!</v>
      </c>
      <c r="G11" s="954" t="e">
        <f>SUBTOTAL(9,G12:G23)</f>
        <v>#REF!</v>
      </c>
      <c r="H11" s="953" t="e">
        <f>SUBTOTAL(9,G12:G23)/$C$11</f>
        <v>#REF!</v>
      </c>
      <c r="I11" s="954" t="e">
        <f>SUBTOTAL(9,I12:I23)</f>
        <v>#REF!</v>
      </c>
      <c r="J11" s="953" t="e">
        <f>SUBTOTAL(9,I12:I23)/$C$11</f>
        <v>#REF!</v>
      </c>
      <c r="K11" s="954" t="e">
        <f>SUBTOTAL(9,K12:K23)</f>
        <v>#REF!</v>
      </c>
      <c r="L11" s="953" t="e">
        <f>SUBTOTAL(9,K12:K23)/$C$11</f>
        <v>#REF!</v>
      </c>
      <c r="M11" s="954" t="e">
        <f>SUBTOTAL(9,M12:M23)</f>
        <v>#REF!</v>
      </c>
      <c r="N11" s="953" t="e">
        <f>SUBTOTAL(9,M12:M23)/$C$11</f>
        <v>#REF!</v>
      </c>
      <c r="O11" s="954" t="e">
        <f>SUBTOTAL(9,O12:O23)</f>
        <v>#REF!</v>
      </c>
      <c r="P11" s="953" t="e">
        <f>SUBTOTAL(9,O12:O23)/$C$11</f>
        <v>#REF!</v>
      </c>
      <c r="Q11" s="954" t="e">
        <f>SUBTOTAL(9,Q12:Q23)</f>
        <v>#REF!</v>
      </c>
      <c r="R11" s="953" t="e">
        <f>SUBTOTAL(9,Q12:Q23)/$C$11</f>
        <v>#REF!</v>
      </c>
      <c r="S11" s="954" t="e">
        <f>SUBTOTAL(9,S12:S23)</f>
        <v>#REF!</v>
      </c>
      <c r="T11" s="953" t="e">
        <f>SUBTOTAL(9,S12:S23)/$C$11</f>
        <v>#REF!</v>
      </c>
      <c r="U11" s="950" t="e">
        <f>SUBTOTAL(9,U12:U23)</f>
        <v>#REF!</v>
      </c>
      <c r="V11" s="953" t="e">
        <f>SUBTOTAL(9,U12:U23)/$C$11</f>
        <v>#REF!</v>
      </c>
      <c r="W11" s="950" t="e">
        <f>SUBTOTAL(9,W12:W23)</f>
        <v>#REF!</v>
      </c>
      <c r="X11" s="953" t="e">
        <f>SUBTOTAL(9,W12:W23)/$C$11</f>
        <v>#REF!</v>
      </c>
      <c r="Y11" s="950" t="e">
        <f>SUM(E11,G11,I11,K11,M11,O11,Q11,S11,U11,W11)</f>
        <v>#REF!</v>
      </c>
      <c r="Z11" s="953" t="e">
        <f>SUM(F11,H11,J11,L11,N11,P11,R11,T11,V11,X11)</f>
        <v>#REF!</v>
      </c>
      <c r="AA11" s="1817"/>
      <c r="AB11" s="1806"/>
      <c r="AC11" s="1806"/>
      <c r="AD11" s="1806"/>
      <c r="AE11" s="1806"/>
      <c r="AF11" s="1806"/>
      <c r="AG11" s="1806"/>
      <c r="AH11" s="1806"/>
      <c r="AI11" s="1806"/>
      <c r="AJ11" s="1806"/>
      <c r="AK11" s="1806"/>
      <c r="AL11" s="1806"/>
      <c r="AM11" s="1806"/>
      <c r="AN11" s="1806"/>
      <c r="AO11" s="1806"/>
      <c r="AP11" s="1806"/>
      <c r="AQ11" s="1806"/>
      <c r="AR11" s="1806"/>
      <c r="AS11" s="1806"/>
      <c r="AT11" s="1807"/>
      <c r="AU11" s="110"/>
    </row>
    <row r="12" spans="1:47" ht="12.75">
      <c r="A12" s="1818" t="s">
        <v>12682</v>
      </c>
      <c r="B12" s="955" t="str">
        <f>VLOOKUP($A12,'Medição '!$A:$G,4,0)</f>
        <v>ENGENHEIRO CIVIL DE OBRA PLENO COM ENCARGOS COMPLEMENTARES</v>
      </c>
      <c r="C12" s="956" t="e">
        <f>VLOOKUP($A12,'Medição '!$A:$G,10,0)</f>
        <v>#REF!</v>
      </c>
      <c r="D12" s="957"/>
      <c r="E12" s="958" t="e">
        <f>$C12*F12</f>
        <v>#REF!</v>
      </c>
      <c r="F12" s="959">
        <f>1/10</f>
        <v>0.1</v>
      </c>
      <c r="G12" s="958" t="e">
        <f t="shared" ref="G12:G23" si="0">$C12*H12</f>
        <v>#REF!</v>
      </c>
      <c r="H12" s="959">
        <f>1/10</f>
        <v>0.1</v>
      </c>
      <c r="I12" s="958" t="e">
        <f>$C12*J12</f>
        <v>#REF!</v>
      </c>
      <c r="J12" s="959">
        <f>1/10</f>
        <v>0.1</v>
      </c>
      <c r="K12" s="958" t="e">
        <f>$C12*L12</f>
        <v>#REF!</v>
      </c>
      <c r="L12" s="959">
        <f>1/10</f>
        <v>0.1</v>
      </c>
      <c r="M12" s="958" t="e">
        <f>$C12*N12</f>
        <v>#REF!</v>
      </c>
      <c r="N12" s="959">
        <f>1/10</f>
        <v>0.1</v>
      </c>
      <c r="O12" s="958" t="e">
        <f>$C12*P12</f>
        <v>#REF!</v>
      </c>
      <c r="P12" s="959">
        <f>1/10</f>
        <v>0.1</v>
      </c>
      <c r="Q12" s="958" t="e">
        <f>$C12*R12</f>
        <v>#REF!</v>
      </c>
      <c r="R12" s="959">
        <f>1/10</f>
        <v>0.1</v>
      </c>
      <c r="S12" s="958" t="e">
        <f>$C12*T12</f>
        <v>#REF!</v>
      </c>
      <c r="T12" s="959">
        <f>1/10</f>
        <v>0.1</v>
      </c>
      <c r="U12" s="960" t="e">
        <f t="shared" ref="U12:U23" si="1">$C12*V12</f>
        <v>#REF!</v>
      </c>
      <c r="V12" s="959">
        <f>1/10</f>
        <v>0.1</v>
      </c>
      <c r="W12" s="960" t="e">
        <f>$C12*X12</f>
        <v>#REF!</v>
      </c>
      <c r="X12" s="959">
        <f>1/10</f>
        <v>0.1</v>
      </c>
      <c r="Y12" s="961" t="e">
        <f t="shared" ref="Y12:Y23" si="2">SUM(E12,G12,I12,K12,M12,O12,Q12,S12,U12,W12,)</f>
        <v>#REF!</v>
      </c>
      <c r="Z12" s="947">
        <f t="shared" ref="Z12:Z23" si="3">SUM(F12,H12,J12,L12,N12,P12,R12,T12,V12,X12,)</f>
        <v>0.99999999999999989</v>
      </c>
      <c r="AA12" s="1817"/>
      <c r="AB12" s="1806"/>
      <c r="AC12" s="1806"/>
      <c r="AD12" s="1806"/>
      <c r="AE12" s="1806"/>
      <c r="AF12" s="1806"/>
      <c r="AG12" s="1806"/>
      <c r="AH12" s="1806"/>
      <c r="AI12" s="1806"/>
      <c r="AJ12" s="1806"/>
      <c r="AK12" s="1806"/>
      <c r="AL12" s="1806"/>
      <c r="AM12" s="1806"/>
      <c r="AN12" s="1806"/>
      <c r="AO12" s="1806"/>
      <c r="AP12" s="1806"/>
      <c r="AQ12" s="1806"/>
      <c r="AR12" s="1806"/>
      <c r="AS12" s="1806"/>
      <c r="AT12" s="1807"/>
      <c r="AU12" s="110"/>
    </row>
    <row r="13" spans="1:47" ht="12.75">
      <c r="A13" s="1818" t="s">
        <v>12683</v>
      </c>
      <c r="B13" s="955" t="str">
        <f>VLOOKUP($A13,'Medição '!$A:$G,4,0)</f>
        <v>TECNICO DE EDIFICACOES COM ENCARGOS COMPLEMENTARES</v>
      </c>
      <c r="C13" s="956" t="e">
        <f>VLOOKUP($A13,'Medição '!$A:$G,10,0)</f>
        <v>#REF!</v>
      </c>
      <c r="D13" s="957"/>
      <c r="E13" s="958" t="e">
        <f>$C13*F13</f>
        <v>#REF!</v>
      </c>
      <c r="F13" s="959">
        <f>1/10</f>
        <v>0.1</v>
      </c>
      <c r="G13" s="958" t="e">
        <f t="shared" si="0"/>
        <v>#REF!</v>
      </c>
      <c r="H13" s="959">
        <f>1/10</f>
        <v>0.1</v>
      </c>
      <c r="I13" s="958" t="e">
        <f>$C13*J13</f>
        <v>#REF!</v>
      </c>
      <c r="J13" s="959">
        <f>1/10</f>
        <v>0.1</v>
      </c>
      <c r="K13" s="958" t="e">
        <f>$C13*L13</f>
        <v>#REF!</v>
      </c>
      <c r="L13" s="959">
        <f>1/10</f>
        <v>0.1</v>
      </c>
      <c r="M13" s="958" t="e">
        <f>$C13*N13</f>
        <v>#REF!</v>
      </c>
      <c r="N13" s="959">
        <f>1/10</f>
        <v>0.1</v>
      </c>
      <c r="O13" s="958" t="e">
        <f>$C13*P13</f>
        <v>#REF!</v>
      </c>
      <c r="P13" s="959">
        <f>1/10</f>
        <v>0.1</v>
      </c>
      <c r="Q13" s="958" t="e">
        <f>$C13*R13</f>
        <v>#REF!</v>
      </c>
      <c r="R13" s="959">
        <f>1/10</f>
        <v>0.1</v>
      </c>
      <c r="S13" s="958" t="e">
        <f>$C13*T13</f>
        <v>#REF!</v>
      </c>
      <c r="T13" s="959">
        <f>1/10</f>
        <v>0.1</v>
      </c>
      <c r="U13" s="960" t="e">
        <f t="shared" si="1"/>
        <v>#REF!</v>
      </c>
      <c r="V13" s="959">
        <f>1/10</f>
        <v>0.1</v>
      </c>
      <c r="W13" s="960" t="e">
        <f>$C13*X13</f>
        <v>#REF!</v>
      </c>
      <c r="X13" s="959">
        <f>1/10</f>
        <v>0.1</v>
      </c>
      <c r="Y13" s="961" t="e">
        <f t="shared" si="2"/>
        <v>#REF!</v>
      </c>
      <c r="Z13" s="947">
        <f t="shared" si="3"/>
        <v>0.99999999999999989</v>
      </c>
      <c r="AA13" s="1817"/>
      <c r="AB13" s="1806"/>
      <c r="AC13" s="1806"/>
      <c r="AD13" s="1806"/>
      <c r="AE13" s="1806"/>
      <c r="AF13" s="1806"/>
      <c r="AG13" s="1806"/>
      <c r="AH13" s="1806"/>
      <c r="AI13" s="1806"/>
      <c r="AJ13" s="1806"/>
      <c r="AK13" s="1806"/>
      <c r="AL13" s="1806"/>
      <c r="AM13" s="1806"/>
      <c r="AN13" s="1806"/>
      <c r="AO13" s="1806"/>
      <c r="AP13" s="1806"/>
      <c r="AQ13" s="1806"/>
      <c r="AR13" s="1806"/>
      <c r="AS13" s="1806"/>
      <c r="AT13" s="1807"/>
      <c r="AU13" s="110"/>
    </row>
    <row r="14" spans="1:47" ht="12.75">
      <c r="A14" s="1818" t="s">
        <v>12684</v>
      </c>
      <c r="B14" s="955" t="str">
        <f>VLOOKUP($A14,'Medição '!$A:$G,4,0)</f>
        <v>ENGENHEIRO ELETRICISTA/MECÂNICO COM ENCARGOS COMPLEMENTARES</v>
      </c>
      <c r="C14" s="956" t="e">
        <f>VLOOKUP($A14,'Medição '!$A:$G,10,0)</f>
        <v>#REF!</v>
      </c>
      <c r="D14" s="957"/>
      <c r="E14" s="958"/>
      <c r="F14" s="959"/>
      <c r="G14" s="958" t="e">
        <f t="shared" si="0"/>
        <v>#REF!</v>
      </c>
      <c r="H14" s="959">
        <v>0.5</v>
      </c>
      <c r="I14" s="958"/>
      <c r="J14" s="959"/>
      <c r="K14" s="958"/>
      <c r="L14" s="959"/>
      <c r="M14" s="958"/>
      <c r="N14" s="959"/>
      <c r="O14" s="958"/>
      <c r="P14" s="959"/>
      <c r="Q14" s="958"/>
      <c r="R14" s="959"/>
      <c r="S14" s="958"/>
      <c r="T14" s="959"/>
      <c r="U14" s="960" t="e">
        <f t="shared" si="1"/>
        <v>#REF!</v>
      </c>
      <c r="V14" s="959">
        <v>0.5</v>
      </c>
      <c r="W14" s="960"/>
      <c r="X14" s="959"/>
      <c r="Y14" s="961" t="e">
        <f t="shared" si="2"/>
        <v>#REF!</v>
      </c>
      <c r="Z14" s="947">
        <f t="shared" si="3"/>
        <v>1</v>
      </c>
      <c r="AA14" s="1817"/>
      <c r="AB14" s="1806"/>
      <c r="AC14" s="1806"/>
      <c r="AD14" s="1806"/>
      <c r="AE14" s="1806"/>
      <c r="AF14" s="1806"/>
      <c r="AG14" s="1806"/>
      <c r="AH14" s="1806"/>
      <c r="AI14" s="1806"/>
      <c r="AJ14" s="1806"/>
      <c r="AK14" s="1806"/>
      <c r="AL14" s="1806"/>
      <c r="AM14" s="1806"/>
      <c r="AN14" s="1806"/>
      <c r="AO14" s="1806"/>
      <c r="AP14" s="1806"/>
      <c r="AQ14" s="1806"/>
      <c r="AR14" s="1806"/>
      <c r="AS14" s="1806"/>
      <c r="AT14" s="1807"/>
      <c r="AU14" s="110"/>
    </row>
    <row r="15" spans="1:47" ht="12.75">
      <c r="A15" s="1818" t="s">
        <v>12685</v>
      </c>
      <c r="B15" s="955" t="str">
        <f>VLOOKUP($A15,'Medição '!$A:$G,4,0)</f>
        <v>ENGENHEIRO SANITARISTA COM ENCARGOS COMPLEMENTARES</v>
      </c>
      <c r="C15" s="956" t="e">
        <f>VLOOKUP($A15,'Medição '!$A:$G,10,0)</f>
        <v>#REF!</v>
      </c>
      <c r="D15" s="957"/>
      <c r="E15" s="958"/>
      <c r="F15" s="959"/>
      <c r="G15" s="958" t="e">
        <f t="shared" si="0"/>
        <v>#REF!</v>
      </c>
      <c r="H15" s="959">
        <v>0.5</v>
      </c>
      <c r="I15" s="958"/>
      <c r="J15" s="959"/>
      <c r="K15" s="958"/>
      <c r="L15" s="959"/>
      <c r="M15" s="958"/>
      <c r="N15" s="959"/>
      <c r="O15" s="958"/>
      <c r="P15" s="959"/>
      <c r="Q15" s="958"/>
      <c r="R15" s="959"/>
      <c r="S15" s="958"/>
      <c r="T15" s="959"/>
      <c r="U15" s="960" t="e">
        <f t="shared" si="1"/>
        <v>#REF!</v>
      </c>
      <c r="V15" s="959">
        <v>0.5</v>
      </c>
      <c r="W15" s="960"/>
      <c r="X15" s="959"/>
      <c r="Y15" s="961" t="e">
        <f t="shared" si="2"/>
        <v>#REF!</v>
      </c>
      <c r="Z15" s="947">
        <f t="shared" si="3"/>
        <v>1</v>
      </c>
      <c r="AA15" s="1817"/>
      <c r="AB15" s="1806"/>
      <c r="AC15" s="1806"/>
      <c r="AD15" s="1806"/>
      <c r="AE15" s="1806"/>
      <c r="AF15" s="1806"/>
      <c r="AG15" s="1806"/>
      <c r="AH15" s="1806"/>
      <c r="AI15" s="1806"/>
      <c r="AJ15" s="1806"/>
      <c r="AK15" s="1806"/>
      <c r="AL15" s="1806"/>
      <c r="AM15" s="1806"/>
      <c r="AN15" s="1806"/>
      <c r="AO15" s="1806"/>
      <c r="AP15" s="1806"/>
      <c r="AQ15" s="1806"/>
      <c r="AR15" s="1806"/>
      <c r="AS15" s="1806"/>
      <c r="AT15" s="1807"/>
      <c r="AU15" s="110"/>
    </row>
    <row r="16" spans="1:47" ht="12.75">
      <c r="A16" s="1818" t="s">
        <v>12686</v>
      </c>
      <c r="B16" s="955" t="str">
        <f>VLOOKUP($A16,'Medição '!$A:$G,4,0)</f>
        <v>ENCARREGADO GERAL DE OBRAS COM ENCARGOS COMPLEMENTARES</v>
      </c>
      <c r="C16" s="956" t="e">
        <f>VLOOKUP($A16,'Medição '!$A:$G,10,0)</f>
        <v>#REF!</v>
      </c>
      <c r="D16" s="957"/>
      <c r="E16" s="958" t="e">
        <f t="shared" ref="E16:E23" si="4">$C16*F16</f>
        <v>#REF!</v>
      </c>
      <c r="F16" s="959">
        <f t="shared" ref="F16:F23" si="5">1/10</f>
        <v>0.1</v>
      </c>
      <c r="G16" s="958" t="e">
        <f t="shared" si="0"/>
        <v>#REF!</v>
      </c>
      <c r="H16" s="959">
        <f t="shared" ref="H16:H23" si="6">1/10</f>
        <v>0.1</v>
      </c>
      <c r="I16" s="958" t="e">
        <f t="shared" ref="I16:I23" si="7">$C16*J16</f>
        <v>#REF!</v>
      </c>
      <c r="J16" s="959">
        <f t="shared" ref="J16:J23" si="8">1/10</f>
        <v>0.1</v>
      </c>
      <c r="K16" s="958" t="e">
        <f t="shared" ref="K16:K23" si="9">$C16*L16</f>
        <v>#REF!</v>
      </c>
      <c r="L16" s="959">
        <f t="shared" ref="L16:L23" si="10">1/10</f>
        <v>0.1</v>
      </c>
      <c r="M16" s="958" t="e">
        <f t="shared" ref="M16:M23" si="11">$C16*N16</f>
        <v>#REF!</v>
      </c>
      <c r="N16" s="959">
        <f t="shared" ref="N16:N23" si="12">1/10</f>
        <v>0.1</v>
      </c>
      <c r="O16" s="958" t="e">
        <f t="shared" ref="O16:O23" si="13">$C16*P16</f>
        <v>#REF!</v>
      </c>
      <c r="P16" s="959">
        <f t="shared" ref="P16:P23" si="14">1/10</f>
        <v>0.1</v>
      </c>
      <c r="Q16" s="958" t="e">
        <f t="shared" ref="Q16:Q23" si="15">$C16*R16</f>
        <v>#REF!</v>
      </c>
      <c r="R16" s="959">
        <f t="shared" ref="R16:R23" si="16">1/10</f>
        <v>0.1</v>
      </c>
      <c r="S16" s="958" t="e">
        <f t="shared" ref="S16:S23" si="17">$C16*T16</f>
        <v>#REF!</v>
      </c>
      <c r="T16" s="959">
        <f t="shared" ref="T16:T23" si="18">1/10</f>
        <v>0.1</v>
      </c>
      <c r="U16" s="960" t="e">
        <f t="shared" si="1"/>
        <v>#REF!</v>
      </c>
      <c r="V16" s="959">
        <f t="shared" ref="V16:V23" si="19">1/10</f>
        <v>0.1</v>
      </c>
      <c r="W16" s="960" t="e">
        <f t="shared" ref="W16:W23" si="20">$C16*X16</f>
        <v>#REF!</v>
      </c>
      <c r="X16" s="959">
        <f t="shared" ref="X16:X23" si="21">1/10</f>
        <v>0.1</v>
      </c>
      <c r="Y16" s="961" t="e">
        <f t="shared" si="2"/>
        <v>#REF!</v>
      </c>
      <c r="Z16" s="947">
        <f t="shared" si="3"/>
        <v>0.99999999999999989</v>
      </c>
      <c r="AA16" s="1817"/>
      <c r="AB16" s="1806"/>
      <c r="AC16" s="1806"/>
      <c r="AD16" s="1806"/>
      <c r="AE16" s="1806"/>
      <c r="AF16" s="1806"/>
      <c r="AG16" s="1806"/>
      <c r="AH16" s="1806"/>
      <c r="AI16" s="1806"/>
      <c r="AJ16" s="1806"/>
      <c r="AK16" s="1806"/>
      <c r="AL16" s="1806"/>
      <c r="AM16" s="1806"/>
      <c r="AN16" s="1806"/>
      <c r="AO16" s="1806"/>
      <c r="AP16" s="1806"/>
      <c r="AQ16" s="1806"/>
      <c r="AR16" s="1806"/>
      <c r="AS16" s="1806"/>
      <c r="AT16" s="1807"/>
      <c r="AU16" s="110"/>
    </row>
    <row r="17" spans="1:47" ht="12.75">
      <c r="A17" s="1818" t="s">
        <v>12687</v>
      </c>
      <c r="B17" s="955" t="str">
        <f>VLOOKUP($A17,'Medição '!$A:$G,4,0)</f>
        <v>MESTRE DE OBRAS COM ENCARGOS COMPLEMENTARES</v>
      </c>
      <c r="C17" s="956" t="e">
        <f>VLOOKUP($A17,'Medição '!$A:$G,10,0)</f>
        <v>#REF!</v>
      </c>
      <c r="D17" s="957"/>
      <c r="E17" s="958" t="e">
        <f t="shared" si="4"/>
        <v>#REF!</v>
      </c>
      <c r="F17" s="959">
        <f t="shared" si="5"/>
        <v>0.1</v>
      </c>
      <c r="G17" s="958" t="e">
        <f t="shared" si="0"/>
        <v>#REF!</v>
      </c>
      <c r="H17" s="959">
        <f t="shared" si="6"/>
        <v>0.1</v>
      </c>
      <c r="I17" s="958" t="e">
        <f t="shared" si="7"/>
        <v>#REF!</v>
      </c>
      <c r="J17" s="959">
        <f t="shared" si="8"/>
        <v>0.1</v>
      </c>
      <c r="K17" s="958" t="e">
        <f t="shared" si="9"/>
        <v>#REF!</v>
      </c>
      <c r="L17" s="959">
        <f t="shared" si="10"/>
        <v>0.1</v>
      </c>
      <c r="M17" s="958" t="e">
        <f t="shared" si="11"/>
        <v>#REF!</v>
      </c>
      <c r="N17" s="959">
        <f t="shared" si="12"/>
        <v>0.1</v>
      </c>
      <c r="O17" s="958" t="e">
        <f t="shared" si="13"/>
        <v>#REF!</v>
      </c>
      <c r="P17" s="959">
        <f t="shared" si="14"/>
        <v>0.1</v>
      </c>
      <c r="Q17" s="958" t="e">
        <f t="shared" si="15"/>
        <v>#REF!</v>
      </c>
      <c r="R17" s="959">
        <f t="shared" si="16"/>
        <v>0.1</v>
      </c>
      <c r="S17" s="958" t="e">
        <f t="shared" si="17"/>
        <v>#REF!</v>
      </c>
      <c r="T17" s="959">
        <f t="shared" si="18"/>
        <v>0.1</v>
      </c>
      <c r="U17" s="960" t="e">
        <f t="shared" si="1"/>
        <v>#REF!</v>
      </c>
      <c r="V17" s="959">
        <f t="shared" si="19"/>
        <v>0.1</v>
      </c>
      <c r="W17" s="960" t="e">
        <f t="shared" si="20"/>
        <v>#REF!</v>
      </c>
      <c r="X17" s="959">
        <f t="shared" si="21"/>
        <v>0.1</v>
      </c>
      <c r="Y17" s="961" t="e">
        <f t="shared" si="2"/>
        <v>#REF!</v>
      </c>
      <c r="Z17" s="947">
        <f t="shared" si="3"/>
        <v>0.99999999999999989</v>
      </c>
      <c r="AA17" s="1817"/>
      <c r="AB17" s="1806"/>
      <c r="AC17" s="1806"/>
      <c r="AD17" s="1806"/>
      <c r="AE17" s="1806"/>
      <c r="AF17" s="1806"/>
      <c r="AG17" s="1806"/>
      <c r="AH17" s="1806"/>
      <c r="AI17" s="1806"/>
      <c r="AJ17" s="1806"/>
      <c r="AK17" s="1806"/>
      <c r="AL17" s="1806"/>
      <c r="AM17" s="1806"/>
      <c r="AN17" s="1806"/>
      <c r="AO17" s="1806"/>
      <c r="AP17" s="1806"/>
      <c r="AQ17" s="1806"/>
      <c r="AR17" s="1806"/>
      <c r="AS17" s="1806"/>
      <c r="AT17" s="1807"/>
      <c r="AU17" s="110"/>
    </row>
    <row r="18" spans="1:47" ht="12.75">
      <c r="A18" s="1818" t="s">
        <v>12688</v>
      </c>
      <c r="B18" s="955" t="str">
        <f>VLOOKUP($A18,'Medição '!$A:$G,4,0)</f>
        <v>VIGIA NOTURNO, HORA EFETIVAMENTE TRABALHADA DE 22 H AS 5 H (COM ADICIONAL NOTURNO)</v>
      </c>
      <c r="C18" s="956" t="e">
        <f>VLOOKUP($A18,'Medição '!$A:$G,10,0)</f>
        <v>#REF!</v>
      </c>
      <c r="D18" s="957"/>
      <c r="E18" s="958" t="e">
        <f t="shared" si="4"/>
        <v>#REF!</v>
      </c>
      <c r="F18" s="959">
        <f t="shared" si="5"/>
        <v>0.1</v>
      </c>
      <c r="G18" s="958" t="e">
        <f t="shared" si="0"/>
        <v>#REF!</v>
      </c>
      <c r="H18" s="959">
        <f t="shared" si="6"/>
        <v>0.1</v>
      </c>
      <c r="I18" s="958" t="e">
        <f t="shared" si="7"/>
        <v>#REF!</v>
      </c>
      <c r="J18" s="959">
        <f t="shared" si="8"/>
        <v>0.1</v>
      </c>
      <c r="K18" s="958" t="e">
        <f t="shared" si="9"/>
        <v>#REF!</v>
      </c>
      <c r="L18" s="959">
        <f t="shared" si="10"/>
        <v>0.1</v>
      </c>
      <c r="M18" s="958" t="e">
        <f t="shared" si="11"/>
        <v>#REF!</v>
      </c>
      <c r="N18" s="959">
        <f t="shared" si="12"/>
        <v>0.1</v>
      </c>
      <c r="O18" s="958" t="e">
        <f t="shared" si="13"/>
        <v>#REF!</v>
      </c>
      <c r="P18" s="959">
        <f t="shared" si="14"/>
        <v>0.1</v>
      </c>
      <c r="Q18" s="958" t="e">
        <f t="shared" si="15"/>
        <v>#REF!</v>
      </c>
      <c r="R18" s="959">
        <f t="shared" si="16"/>
        <v>0.1</v>
      </c>
      <c r="S18" s="958" t="e">
        <f t="shared" si="17"/>
        <v>#REF!</v>
      </c>
      <c r="T18" s="959">
        <f t="shared" si="18"/>
        <v>0.1</v>
      </c>
      <c r="U18" s="960" t="e">
        <f t="shared" si="1"/>
        <v>#REF!</v>
      </c>
      <c r="V18" s="959">
        <f t="shared" si="19"/>
        <v>0.1</v>
      </c>
      <c r="W18" s="960" t="e">
        <f t="shared" si="20"/>
        <v>#REF!</v>
      </c>
      <c r="X18" s="959">
        <f t="shared" si="21"/>
        <v>0.1</v>
      </c>
      <c r="Y18" s="961" t="e">
        <f t="shared" si="2"/>
        <v>#REF!</v>
      </c>
      <c r="Z18" s="947">
        <f t="shared" si="3"/>
        <v>0.99999999999999989</v>
      </c>
      <c r="AA18" s="1817"/>
      <c r="AB18" s="1806"/>
      <c r="AC18" s="1806"/>
      <c r="AD18" s="1806"/>
      <c r="AE18" s="1806"/>
      <c r="AF18" s="1806"/>
      <c r="AG18" s="1806"/>
      <c r="AH18" s="1806"/>
      <c r="AI18" s="1806"/>
      <c r="AJ18" s="1806"/>
      <c r="AK18" s="1806"/>
      <c r="AL18" s="1806"/>
      <c r="AM18" s="1806"/>
      <c r="AN18" s="1806"/>
      <c r="AO18" s="1806"/>
      <c r="AP18" s="1806"/>
      <c r="AQ18" s="1806"/>
      <c r="AR18" s="1806"/>
      <c r="AS18" s="1806"/>
      <c r="AT18" s="1807"/>
      <c r="AU18" s="110"/>
    </row>
    <row r="19" spans="1:47" ht="12.75">
      <c r="A19" s="1818" t="s">
        <v>12689</v>
      </c>
      <c r="B19" s="955" t="str">
        <f>VLOOKUP($A19,'Medição '!$A:$G,4,0)</f>
        <v>VIGIA DIURNO COM ENCARGOS COMPLEMENTARES</v>
      </c>
      <c r="C19" s="956" t="e">
        <f>VLOOKUP($A19,'Medição '!$A:$G,10,0)</f>
        <v>#REF!</v>
      </c>
      <c r="D19" s="957"/>
      <c r="E19" s="958" t="e">
        <f t="shared" si="4"/>
        <v>#REF!</v>
      </c>
      <c r="F19" s="959">
        <f t="shared" si="5"/>
        <v>0.1</v>
      </c>
      <c r="G19" s="958" t="e">
        <f t="shared" si="0"/>
        <v>#REF!</v>
      </c>
      <c r="H19" s="959">
        <f t="shared" si="6"/>
        <v>0.1</v>
      </c>
      <c r="I19" s="958" t="e">
        <f t="shared" si="7"/>
        <v>#REF!</v>
      </c>
      <c r="J19" s="959">
        <f t="shared" si="8"/>
        <v>0.1</v>
      </c>
      <c r="K19" s="958" t="e">
        <f t="shared" si="9"/>
        <v>#REF!</v>
      </c>
      <c r="L19" s="959">
        <f t="shared" si="10"/>
        <v>0.1</v>
      </c>
      <c r="M19" s="958" t="e">
        <f t="shared" si="11"/>
        <v>#REF!</v>
      </c>
      <c r="N19" s="959">
        <f t="shared" si="12"/>
        <v>0.1</v>
      </c>
      <c r="O19" s="958" t="e">
        <f t="shared" si="13"/>
        <v>#REF!</v>
      </c>
      <c r="P19" s="959">
        <f t="shared" si="14"/>
        <v>0.1</v>
      </c>
      <c r="Q19" s="958" t="e">
        <f t="shared" si="15"/>
        <v>#REF!</v>
      </c>
      <c r="R19" s="959">
        <f t="shared" si="16"/>
        <v>0.1</v>
      </c>
      <c r="S19" s="958" t="e">
        <f t="shared" si="17"/>
        <v>#REF!</v>
      </c>
      <c r="T19" s="959">
        <f t="shared" si="18"/>
        <v>0.1</v>
      </c>
      <c r="U19" s="960" t="e">
        <f t="shared" si="1"/>
        <v>#REF!</v>
      </c>
      <c r="V19" s="959">
        <f t="shared" si="19"/>
        <v>0.1</v>
      </c>
      <c r="W19" s="960" t="e">
        <f t="shared" si="20"/>
        <v>#REF!</v>
      </c>
      <c r="X19" s="959">
        <f t="shared" si="21"/>
        <v>0.1</v>
      </c>
      <c r="Y19" s="961" t="e">
        <f t="shared" si="2"/>
        <v>#REF!</v>
      </c>
      <c r="Z19" s="947">
        <f t="shared" si="3"/>
        <v>0.99999999999999989</v>
      </c>
      <c r="AA19" s="1817"/>
      <c r="AB19" s="1806"/>
      <c r="AC19" s="1806"/>
      <c r="AD19" s="1806"/>
      <c r="AE19" s="1806"/>
      <c r="AF19" s="1806"/>
      <c r="AG19" s="1806"/>
      <c r="AH19" s="1806"/>
      <c r="AI19" s="1806"/>
      <c r="AJ19" s="1806"/>
      <c r="AK19" s="1806"/>
      <c r="AL19" s="1806"/>
      <c r="AM19" s="1806"/>
      <c r="AN19" s="1806"/>
      <c r="AO19" s="1806"/>
      <c r="AP19" s="1806"/>
      <c r="AQ19" s="1806"/>
      <c r="AR19" s="1806"/>
      <c r="AS19" s="1806"/>
      <c r="AT19" s="1807"/>
      <c r="AU19" s="110"/>
    </row>
    <row r="20" spans="1:47" ht="12.75">
      <c r="A20" s="1818" t="s">
        <v>12690</v>
      </c>
      <c r="B20" s="955" t="str">
        <f>VLOOKUP($A20,'Medição '!$A:$G,4,0)</f>
        <v>ALMOXARIFE COM ENCARGOS COMPLEMENTARES</v>
      </c>
      <c r="C20" s="956" t="e">
        <f>VLOOKUP($A20,'Medição '!$A:$G,10,0)</f>
        <v>#REF!</v>
      </c>
      <c r="D20" s="957"/>
      <c r="E20" s="958" t="e">
        <f t="shared" si="4"/>
        <v>#REF!</v>
      </c>
      <c r="F20" s="959">
        <f t="shared" si="5"/>
        <v>0.1</v>
      </c>
      <c r="G20" s="958" t="e">
        <f t="shared" si="0"/>
        <v>#REF!</v>
      </c>
      <c r="H20" s="959">
        <f t="shared" si="6"/>
        <v>0.1</v>
      </c>
      <c r="I20" s="958" t="e">
        <f t="shared" si="7"/>
        <v>#REF!</v>
      </c>
      <c r="J20" s="959">
        <f t="shared" si="8"/>
        <v>0.1</v>
      </c>
      <c r="K20" s="958" t="e">
        <f t="shared" si="9"/>
        <v>#REF!</v>
      </c>
      <c r="L20" s="959">
        <f t="shared" si="10"/>
        <v>0.1</v>
      </c>
      <c r="M20" s="958" t="e">
        <f t="shared" si="11"/>
        <v>#REF!</v>
      </c>
      <c r="N20" s="959">
        <f t="shared" si="12"/>
        <v>0.1</v>
      </c>
      <c r="O20" s="958" t="e">
        <f t="shared" si="13"/>
        <v>#REF!</v>
      </c>
      <c r="P20" s="959">
        <f t="shared" si="14"/>
        <v>0.1</v>
      </c>
      <c r="Q20" s="958" t="e">
        <f t="shared" si="15"/>
        <v>#REF!</v>
      </c>
      <c r="R20" s="959">
        <f t="shared" si="16"/>
        <v>0.1</v>
      </c>
      <c r="S20" s="958" t="e">
        <f t="shared" si="17"/>
        <v>#REF!</v>
      </c>
      <c r="T20" s="959">
        <f t="shared" si="18"/>
        <v>0.1</v>
      </c>
      <c r="U20" s="960" t="e">
        <f t="shared" si="1"/>
        <v>#REF!</v>
      </c>
      <c r="V20" s="959">
        <f t="shared" si="19"/>
        <v>0.1</v>
      </c>
      <c r="W20" s="960" t="e">
        <f t="shared" si="20"/>
        <v>#REF!</v>
      </c>
      <c r="X20" s="959">
        <f t="shared" si="21"/>
        <v>0.1</v>
      </c>
      <c r="Y20" s="961" t="e">
        <f t="shared" si="2"/>
        <v>#REF!</v>
      </c>
      <c r="Z20" s="947">
        <f t="shared" si="3"/>
        <v>0.99999999999999989</v>
      </c>
      <c r="AA20" s="1817"/>
      <c r="AB20" s="1806"/>
      <c r="AC20" s="1806"/>
      <c r="AD20" s="1806"/>
      <c r="AE20" s="1806"/>
      <c r="AF20" s="1806"/>
      <c r="AG20" s="1806"/>
      <c r="AH20" s="1806"/>
      <c r="AI20" s="1806"/>
      <c r="AJ20" s="1806"/>
      <c r="AK20" s="1806"/>
      <c r="AL20" s="1806"/>
      <c r="AM20" s="1806"/>
      <c r="AN20" s="1806"/>
      <c r="AO20" s="1806"/>
      <c r="AP20" s="1806"/>
      <c r="AQ20" s="1806"/>
      <c r="AR20" s="1806"/>
      <c r="AS20" s="1806"/>
      <c r="AT20" s="1807"/>
      <c r="AU20" s="110"/>
    </row>
    <row r="21" spans="1:47" ht="12.75">
      <c r="A21" s="1818" t="s">
        <v>12691</v>
      </c>
      <c r="B21" s="955" t="str">
        <f>VLOOKUP($A21,'Medição '!$A:$G,4,0)</f>
        <v>TÉCNICO EM SEGURANÇA DO TRABALHO COM ENCARGOS COMPLEMENTARES</v>
      </c>
      <c r="C21" s="956" t="e">
        <f>VLOOKUP($A21,'Medição '!$A:$G,10,0)</f>
        <v>#REF!</v>
      </c>
      <c r="D21" s="957"/>
      <c r="E21" s="958" t="e">
        <f t="shared" si="4"/>
        <v>#REF!</v>
      </c>
      <c r="F21" s="959">
        <f t="shared" si="5"/>
        <v>0.1</v>
      </c>
      <c r="G21" s="958" t="e">
        <f t="shared" si="0"/>
        <v>#REF!</v>
      </c>
      <c r="H21" s="959">
        <f t="shared" si="6"/>
        <v>0.1</v>
      </c>
      <c r="I21" s="958" t="e">
        <f t="shared" si="7"/>
        <v>#REF!</v>
      </c>
      <c r="J21" s="959">
        <f t="shared" si="8"/>
        <v>0.1</v>
      </c>
      <c r="K21" s="958" t="e">
        <f t="shared" si="9"/>
        <v>#REF!</v>
      </c>
      <c r="L21" s="959">
        <f t="shared" si="10"/>
        <v>0.1</v>
      </c>
      <c r="M21" s="958" t="e">
        <f t="shared" si="11"/>
        <v>#REF!</v>
      </c>
      <c r="N21" s="959">
        <f t="shared" si="12"/>
        <v>0.1</v>
      </c>
      <c r="O21" s="958" t="e">
        <f t="shared" si="13"/>
        <v>#REF!</v>
      </c>
      <c r="P21" s="959">
        <f t="shared" si="14"/>
        <v>0.1</v>
      </c>
      <c r="Q21" s="958" t="e">
        <f t="shared" si="15"/>
        <v>#REF!</v>
      </c>
      <c r="R21" s="959">
        <f t="shared" si="16"/>
        <v>0.1</v>
      </c>
      <c r="S21" s="958" t="e">
        <f t="shared" si="17"/>
        <v>#REF!</v>
      </c>
      <c r="T21" s="959">
        <f t="shared" si="18"/>
        <v>0.1</v>
      </c>
      <c r="U21" s="960" t="e">
        <f t="shared" si="1"/>
        <v>#REF!</v>
      </c>
      <c r="V21" s="959">
        <f t="shared" si="19"/>
        <v>0.1</v>
      </c>
      <c r="W21" s="960" t="e">
        <f t="shared" si="20"/>
        <v>#REF!</v>
      </c>
      <c r="X21" s="959">
        <f t="shared" si="21"/>
        <v>0.1</v>
      </c>
      <c r="Y21" s="961" t="e">
        <f t="shared" si="2"/>
        <v>#REF!</v>
      </c>
      <c r="Z21" s="947">
        <f t="shared" si="3"/>
        <v>0.99999999999999989</v>
      </c>
      <c r="AA21" s="1817"/>
      <c r="AB21" s="1806"/>
      <c r="AC21" s="1806"/>
      <c r="AD21" s="1806"/>
      <c r="AE21" s="1806"/>
      <c r="AF21" s="1806"/>
      <c r="AG21" s="1806"/>
      <c r="AH21" s="1806"/>
      <c r="AI21" s="1806"/>
      <c r="AJ21" s="1806"/>
      <c r="AK21" s="1806"/>
      <c r="AL21" s="1806"/>
      <c r="AM21" s="1806"/>
      <c r="AN21" s="1806"/>
      <c r="AO21" s="1806"/>
      <c r="AP21" s="1806"/>
      <c r="AQ21" s="1806"/>
      <c r="AR21" s="1806"/>
      <c r="AS21" s="1806"/>
      <c r="AT21" s="1807"/>
      <c r="AU21" s="110"/>
    </row>
    <row r="22" spans="1:47" ht="12.75">
      <c r="A22" s="1818" t="s">
        <v>12692</v>
      </c>
      <c r="B22" s="955" t="str">
        <f>VLOOKUP($A22,'Medição '!$A:$G,4,0)</f>
        <v>TOPOGRAFO COM ENCARGOS COMPLEMENTARES</v>
      </c>
      <c r="C22" s="956" t="e">
        <f>VLOOKUP($A22,'Medição '!$A:$G,10,0)</f>
        <v>#REF!</v>
      </c>
      <c r="D22" s="957"/>
      <c r="E22" s="958" t="e">
        <f t="shared" si="4"/>
        <v>#REF!</v>
      </c>
      <c r="F22" s="959">
        <f t="shared" si="5"/>
        <v>0.1</v>
      </c>
      <c r="G22" s="958" t="e">
        <f t="shared" si="0"/>
        <v>#REF!</v>
      </c>
      <c r="H22" s="959">
        <f t="shared" si="6"/>
        <v>0.1</v>
      </c>
      <c r="I22" s="958" t="e">
        <f t="shared" si="7"/>
        <v>#REF!</v>
      </c>
      <c r="J22" s="959">
        <f t="shared" si="8"/>
        <v>0.1</v>
      </c>
      <c r="K22" s="958" t="e">
        <f t="shared" si="9"/>
        <v>#REF!</v>
      </c>
      <c r="L22" s="959">
        <f t="shared" si="10"/>
        <v>0.1</v>
      </c>
      <c r="M22" s="958" t="e">
        <f t="shared" si="11"/>
        <v>#REF!</v>
      </c>
      <c r="N22" s="959">
        <f t="shared" si="12"/>
        <v>0.1</v>
      </c>
      <c r="O22" s="958" t="e">
        <f t="shared" si="13"/>
        <v>#REF!</v>
      </c>
      <c r="P22" s="959">
        <f t="shared" si="14"/>
        <v>0.1</v>
      </c>
      <c r="Q22" s="958" t="e">
        <f t="shared" si="15"/>
        <v>#REF!</v>
      </c>
      <c r="R22" s="959">
        <f t="shared" si="16"/>
        <v>0.1</v>
      </c>
      <c r="S22" s="958" t="e">
        <f t="shared" si="17"/>
        <v>#REF!</v>
      </c>
      <c r="T22" s="959">
        <f t="shared" si="18"/>
        <v>0.1</v>
      </c>
      <c r="U22" s="960" t="e">
        <f t="shared" si="1"/>
        <v>#REF!</v>
      </c>
      <c r="V22" s="959">
        <f t="shared" si="19"/>
        <v>0.1</v>
      </c>
      <c r="W22" s="960" t="e">
        <f t="shared" si="20"/>
        <v>#REF!</v>
      </c>
      <c r="X22" s="959">
        <f t="shared" si="21"/>
        <v>0.1</v>
      </c>
      <c r="Y22" s="961" t="e">
        <f t="shared" si="2"/>
        <v>#REF!</v>
      </c>
      <c r="Z22" s="947">
        <f t="shared" si="3"/>
        <v>0.99999999999999989</v>
      </c>
      <c r="AA22" s="1817"/>
      <c r="AB22" s="1806"/>
      <c r="AC22" s="1806"/>
      <c r="AD22" s="1806"/>
      <c r="AE22" s="1806"/>
      <c r="AF22" s="1806"/>
      <c r="AG22" s="1806"/>
      <c r="AH22" s="1806"/>
      <c r="AI22" s="1806"/>
      <c r="AJ22" s="1806"/>
      <c r="AK22" s="1806"/>
      <c r="AL22" s="1806"/>
      <c r="AM22" s="1806"/>
      <c r="AN22" s="1806"/>
      <c r="AO22" s="1806"/>
      <c r="AP22" s="1806"/>
      <c r="AQ22" s="1806"/>
      <c r="AR22" s="1806"/>
      <c r="AS22" s="1806"/>
      <c r="AT22" s="1807"/>
      <c r="AU22" s="110"/>
    </row>
    <row r="23" spans="1:47" ht="12.75">
      <c r="A23" s="1818" t="s">
        <v>12693</v>
      </c>
      <c r="B23" s="955" t="str">
        <f>VLOOKUP($A23,'Medição '!$A:$G,4,0)</f>
        <v>AUXILIAR DE TOPÓGRAFO COM ENCARGOS COMPLEMENTARES</v>
      </c>
      <c r="C23" s="956" t="e">
        <f>VLOOKUP($A23,'Medição '!$A:$G,10,0)</f>
        <v>#REF!</v>
      </c>
      <c r="D23" s="957"/>
      <c r="E23" s="958" t="e">
        <f t="shared" si="4"/>
        <v>#REF!</v>
      </c>
      <c r="F23" s="959">
        <f t="shared" si="5"/>
        <v>0.1</v>
      </c>
      <c r="G23" s="958" t="e">
        <f t="shared" si="0"/>
        <v>#REF!</v>
      </c>
      <c r="H23" s="959">
        <f t="shared" si="6"/>
        <v>0.1</v>
      </c>
      <c r="I23" s="958" t="e">
        <f t="shared" si="7"/>
        <v>#REF!</v>
      </c>
      <c r="J23" s="959">
        <f t="shared" si="8"/>
        <v>0.1</v>
      </c>
      <c r="K23" s="958" t="e">
        <f t="shared" si="9"/>
        <v>#REF!</v>
      </c>
      <c r="L23" s="959">
        <f t="shared" si="10"/>
        <v>0.1</v>
      </c>
      <c r="M23" s="958" t="e">
        <f t="shared" si="11"/>
        <v>#REF!</v>
      </c>
      <c r="N23" s="959">
        <f t="shared" si="12"/>
        <v>0.1</v>
      </c>
      <c r="O23" s="958" t="e">
        <f t="shared" si="13"/>
        <v>#REF!</v>
      </c>
      <c r="P23" s="959">
        <f t="shared" si="14"/>
        <v>0.1</v>
      </c>
      <c r="Q23" s="958" t="e">
        <f t="shared" si="15"/>
        <v>#REF!</v>
      </c>
      <c r="R23" s="959">
        <f t="shared" si="16"/>
        <v>0.1</v>
      </c>
      <c r="S23" s="958" t="e">
        <f t="shared" si="17"/>
        <v>#REF!</v>
      </c>
      <c r="T23" s="959">
        <f t="shared" si="18"/>
        <v>0.1</v>
      </c>
      <c r="U23" s="960" t="e">
        <f t="shared" si="1"/>
        <v>#REF!</v>
      </c>
      <c r="V23" s="959">
        <f t="shared" si="19"/>
        <v>0.1</v>
      </c>
      <c r="W23" s="960" t="e">
        <f t="shared" si="20"/>
        <v>#REF!</v>
      </c>
      <c r="X23" s="959">
        <f t="shared" si="21"/>
        <v>0.1</v>
      </c>
      <c r="Y23" s="961" t="e">
        <f t="shared" si="2"/>
        <v>#REF!</v>
      </c>
      <c r="Z23" s="947">
        <f t="shared" si="3"/>
        <v>0.99999999999999989</v>
      </c>
      <c r="AA23" s="1817"/>
      <c r="AB23" s="1806"/>
      <c r="AC23" s="1806"/>
      <c r="AD23" s="1806"/>
      <c r="AE23" s="1806"/>
      <c r="AF23" s="1806"/>
      <c r="AG23" s="1806"/>
      <c r="AH23" s="1806"/>
      <c r="AI23" s="1806"/>
      <c r="AJ23" s="1806"/>
      <c r="AK23" s="1806"/>
      <c r="AL23" s="1806"/>
      <c r="AM23" s="1806"/>
      <c r="AN23" s="1806"/>
      <c r="AO23" s="1806"/>
      <c r="AP23" s="1806"/>
      <c r="AQ23" s="1806"/>
      <c r="AR23" s="1806"/>
      <c r="AS23" s="1806"/>
      <c r="AT23" s="1807"/>
      <c r="AU23" s="110"/>
    </row>
    <row r="24" spans="1:47" ht="17.25">
      <c r="A24" s="1819" t="s">
        <v>12622</v>
      </c>
      <c r="B24" s="962" t="s">
        <v>15483</v>
      </c>
      <c r="C24" s="950" t="e">
        <f>SUBTOTAL(9,C25:C59)</f>
        <v>#REF!</v>
      </c>
      <c r="D24" s="951"/>
      <c r="E24" s="952" t="e">
        <f>SUM(E25,E30,E36,E40,E50,E57)</f>
        <v>#REF!</v>
      </c>
      <c r="F24" s="953" t="e">
        <f>E24/$C$24</f>
        <v>#REF!</v>
      </c>
      <c r="G24" s="952" t="e">
        <f>SUM(G25,G30,G36,G40,G50,G57)</f>
        <v>#REF!</v>
      </c>
      <c r="H24" s="953" t="e">
        <f>G24/$C$24</f>
        <v>#REF!</v>
      </c>
      <c r="I24" s="952" t="e">
        <f>SUM(I25,I30,I36,I40,I50,I57)</f>
        <v>#REF!</v>
      </c>
      <c r="J24" s="953" t="e">
        <f>I24/$C$24</f>
        <v>#REF!</v>
      </c>
      <c r="K24" s="952" t="e">
        <f>SUM(K25,K30,K36,K40,K50,K57)</f>
        <v>#REF!</v>
      </c>
      <c r="L24" s="953" t="e">
        <f>K24/$C$24</f>
        <v>#REF!</v>
      </c>
      <c r="M24" s="952" t="e">
        <f>SUM(M25,M30,M36,M40,M50,M57)</f>
        <v>#REF!</v>
      </c>
      <c r="N24" s="953" t="e">
        <f>M24/$C$24</f>
        <v>#REF!</v>
      </c>
      <c r="O24" s="952" t="e">
        <f>SUM(O25,O30,O36,O40,O50,O57)</f>
        <v>#REF!</v>
      </c>
      <c r="P24" s="953" t="e">
        <f>O24/$C$24</f>
        <v>#REF!</v>
      </c>
      <c r="Q24" s="952" t="e">
        <f>SUM(Q25,Q30,Q36,Q40,Q50,Q57)</f>
        <v>#REF!</v>
      </c>
      <c r="R24" s="953" t="e">
        <f>Q24/$C$24</f>
        <v>#REF!</v>
      </c>
      <c r="S24" s="952" t="e">
        <f>SUM(S25,S30,S36,S40,S50,S57)</f>
        <v>#REF!</v>
      </c>
      <c r="T24" s="953" t="e">
        <f>S24/$C$24</f>
        <v>#REF!</v>
      </c>
      <c r="U24" s="952" t="e">
        <f>SUM(U25,U30,U36,U40,U50,U57)</f>
        <v>#REF!</v>
      </c>
      <c r="V24" s="953" t="e">
        <f>U24/$C$24</f>
        <v>#REF!</v>
      </c>
      <c r="W24" s="952" t="e">
        <f>SUM(W25,W30,W36,W40,W50,W57)</f>
        <v>#REF!</v>
      </c>
      <c r="X24" s="953" t="e">
        <f>W24/$C$24</f>
        <v>#REF!</v>
      </c>
      <c r="Y24" s="950" t="e">
        <f>SUM(E24,G24,I24,K24,M24,O24,Q24,S24,U24,W24)</f>
        <v>#REF!</v>
      </c>
      <c r="Z24" s="953" t="e">
        <f>SUM(F24,H24,J24,L24,N24,P24,R24,T24,V24,X24)</f>
        <v>#REF!</v>
      </c>
      <c r="AA24" s="1817"/>
      <c r="AB24" s="1806"/>
      <c r="AC24" s="1806"/>
      <c r="AD24" s="1806"/>
      <c r="AE24" s="1806"/>
      <c r="AF24" s="1806"/>
      <c r="AG24" s="1806"/>
      <c r="AH24" s="1806"/>
      <c r="AI24" s="1806"/>
      <c r="AJ24" s="1806"/>
      <c r="AK24" s="1806"/>
      <c r="AL24" s="1806"/>
      <c r="AM24" s="1806"/>
      <c r="AN24" s="1806"/>
      <c r="AO24" s="1806"/>
      <c r="AP24" s="1806"/>
      <c r="AQ24" s="1806"/>
      <c r="AR24" s="1806"/>
      <c r="AS24" s="1806"/>
      <c r="AT24" s="1807"/>
      <c r="AU24" s="110"/>
    </row>
    <row r="25" spans="1:47" ht="12.75">
      <c r="A25" s="1820" t="s">
        <v>12694</v>
      </c>
      <c r="B25" s="963" t="str">
        <f>VLOOKUP($A25,'Medição '!$A:$G,4,0)</f>
        <v>DELIMITAÇÃO E ENTRADA</v>
      </c>
      <c r="C25" s="964" t="e">
        <f>SUBTOTAL(9,C26:C29)</f>
        <v>#REF!</v>
      </c>
      <c r="D25" s="965"/>
      <c r="E25" s="966" t="e">
        <f>SUM(E26:E29)</f>
        <v>#REF!</v>
      </c>
      <c r="F25" s="967" t="e">
        <f>E25/C25</f>
        <v>#REF!</v>
      </c>
      <c r="G25" s="968"/>
      <c r="H25" s="969"/>
      <c r="I25" s="968"/>
      <c r="J25" s="969"/>
      <c r="K25" s="968"/>
      <c r="L25" s="969"/>
      <c r="M25" s="968"/>
      <c r="N25" s="970"/>
      <c r="O25" s="968"/>
      <c r="P25" s="970"/>
      <c r="Q25" s="968"/>
      <c r="R25" s="969"/>
      <c r="S25" s="968"/>
      <c r="T25" s="969"/>
      <c r="U25" s="971"/>
      <c r="V25" s="967"/>
      <c r="W25" s="971"/>
      <c r="X25" s="967"/>
      <c r="Y25" s="972" t="e">
        <f t="shared" ref="Y25:Y59" si="22">SUM(E25,G25,I25,K25,M25,O25,Q25,S25,U25,W25,)</f>
        <v>#REF!</v>
      </c>
      <c r="Z25" s="947" t="e">
        <f>SUM(F25,H25,J25,L25,N25,P25,R25,T25,V25,X25)</f>
        <v>#REF!</v>
      </c>
      <c r="AA25" s="1817"/>
      <c r="AB25" s="1806"/>
      <c r="AC25" s="1806"/>
      <c r="AD25" s="1806"/>
      <c r="AE25" s="1806"/>
      <c r="AF25" s="1806"/>
      <c r="AG25" s="1806"/>
      <c r="AH25" s="1806"/>
      <c r="AI25" s="1806"/>
      <c r="AJ25" s="1806"/>
      <c r="AK25" s="1806"/>
      <c r="AL25" s="1806"/>
      <c r="AM25" s="1806"/>
      <c r="AN25" s="1806"/>
      <c r="AO25" s="1806"/>
      <c r="AP25" s="1806"/>
      <c r="AQ25" s="1806"/>
      <c r="AR25" s="1806"/>
      <c r="AS25" s="1806"/>
      <c r="AT25" s="1807"/>
      <c r="AU25" s="110"/>
    </row>
    <row r="26" spans="1:47" ht="12.75">
      <c r="A26" s="1821" t="s">
        <v>12695</v>
      </c>
      <c r="B26" s="973" t="str">
        <f>VLOOKUP($A26,'Medição '!$A:$G,4,0)</f>
        <v>PLACA DE OBRAS EM CHAPA DE ACO GALVANIZADO</v>
      </c>
      <c r="C26" s="974" t="e">
        <f>VLOOKUP($A26,'Medição '!$A:$G,10,0)</f>
        <v>#REF!</v>
      </c>
      <c r="D26" s="975"/>
      <c r="E26" s="958" t="e">
        <f>$C26*F26</f>
        <v>#REF!</v>
      </c>
      <c r="F26" s="959">
        <v>1</v>
      </c>
      <c r="G26" s="976"/>
      <c r="H26" s="977"/>
      <c r="I26" s="976"/>
      <c r="J26" s="977"/>
      <c r="K26" s="976"/>
      <c r="L26" s="977"/>
      <c r="M26" s="976"/>
      <c r="N26" s="978"/>
      <c r="O26" s="976"/>
      <c r="P26" s="978"/>
      <c r="Q26" s="976"/>
      <c r="R26" s="977"/>
      <c r="S26" s="976"/>
      <c r="T26" s="977"/>
      <c r="U26" s="961"/>
      <c r="V26" s="959"/>
      <c r="W26" s="961"/>
      <c r="X26" s="959"/>
      <c r="Y26" s="961" t="e">
        <f t="shared" si="22"/>
        <v>#REF!</v>
      </c>
      <c r="Z26" s="947">
        <f>SUM(F26,H26,J26,L26,N26,P26,R26,T26,V26,X26,)</f>
        <v>1</v>
      </c>
      <c r="AA26" s="1817"/>
      <c r="AB26" s="1806"/>
      <c r="AC26" s="1806"/>
      <c r="AD26" s="1806"/>
      <c r="AE26" s="1806"/>
      <c r="AF26" s="1806"/>
      <c r="AG26" s="1806"/>
      <c r="AH26" s="1806"/>
      <c r="AI26" s="1806"/>
      <c r="AJ26" s="1806"/>
      <c r="AK26" s="1806"/>
      <c r="AL26" s="1806"/>
      <c r="AM26" s="1806"/>
      <c r="AN26" s="1806"/>
      <c r="AO26" s="1806"/>
      <c r="AP26" s="1806"/>
      <c r="AQ26" s="1806"/>
      <c r="AR26" s="1806"/>
      <c r="AS26" s="1806"/>
      <c r="AT26" s="1807"/>
      <c r="AU26" s="110"/>
    </row>
    <row r="27" spans="1:47" ht="25.5">
      <c r="A27" s="1821" t="s">
        <v>12696</v>
      </c>
      <c r="B27" s="973" t="str">
        <f>VLOOKUP($A27,'Medição '!$A:$G,4,0)</f>
        <v>SINALIZAÇÃO DE OBRA COM TELA TAPUME, COR LARANJA, COM SUPORTE A CADA 2M E PLACA DE SINALIZAÇÃO SOBRE CAVALETE.</v>
      </c>
      <c r="C27" s="974" t="e">
        <f>VLOOKUP($A27,'Medição '!$A:$G,10,0)</f>
        <v>#REF!</v>
      </c>
      <c r="D27" s="975"/>
      <c r="E27" s="958" t="e">
        <f>$C27*F27</f>
        <v>#REF!</v>
      </c>
      <c r="F27" s="959">
        <v>1</v>
      </c>
      <c r="G27" s="976"/>
      <c r="H27" s="977"/>
      <c r="I27" s="976"/>
      <c r="J27" s="977"/>
      <c r="K27" s="976"/>
      <c r="L27" s="977"/>
      <c r="M27" s="976"/>
      <c r="N27" s="978"/>
      <c r="O27" s="976"/>
      <c r="P27" s="978"/>
      <c r="Q27" s="976"/>
      <c r="R27" s="977"/>
      <c r="S27" s="976"/>
      <c r="T27" s="977"/>
      <c r="U27" s="961"/>
      <c r="V27" s="959"/>
      <c r="W27" s="961"/>
      <c r="X27" s="959"/>
      <c r="Y27" s="961" t="e">
        <f t="shared" si="22"/>
        <v>#REF!</v>
      </c>
      <c r="Z27" s="947">
        <f>SUM(F27,H27,J27,L27,N27,P27,R27,T27,V27,X27,)</f>
        <v>1</v>
      </c>
      <c r="AA27" s="1817"/>
      <c r="AB27" s="1806"/>
      <c r="AC27" s="1806"/>
      <c r="AD27" s="1806"/>
      <c r="AE27" s="1806"/>
      <c r="AF27" s="1806"/>
      <c r="AG27" s="1806"/>
      <c r="AH27" s="1806"/>
      <c r="AI27" s="1806"/>
      <c r="AJ27" s="1806"/>
      <c r="AK27" s="1806"/>
      <c r="AL27" s="1806"/>
      <c r="AM27" s="1806"/>
      <c r="AN27" s="1806"/>
      <c r="AO27" s="1806"/>
      <c r="AP27" s="1806"/>
      <c r="AQ27" s="1806"/>
      <c r="AR27" s="1806"/>
      <c r="AS27" s="1806"/>
      <c r="AT27" s="1807"/>
      <c r="AU27" s="110"/>
    </row>
    <row r="28" spans="1:47" ht="12.75">
      <c r="A28" s="1821" t="s">
        <v>12697</v>
      </c>
      <c r="B28" s="973" t="str">
        <f>VLOOKUP($A28,'Medição '!$A:$G,4,0)</f>
        <v>PLACA DE SINALIZAÇÃO/IDENTIFICAÇÃO DE AMBIENTES. FORNECIMENTO E INSTALAÇÃO</v>
      </c>
      <c r="C28" s="974" t="e">
        <f>VLOOKUP($A28,'Medição '!$A:$G,10,0)</f>
        <v>#REF!</v>
      </c>
      <c r="D28" s="975"/>
      <c r="E28" s="958" t="e">
        <f>$C28*F28</f>
        <v>#REF!</v>
      </c>
      <c r="F28" s="959">
        <v>1</v>
      </c>
      <c r="G28" s="976"/>
      <c r="H28" s="977"/>
      <c r="I28" s="976"/>
      <c r="J28" s="977"/>
      <c r="K28" s="976"/>
      <c r="L28" s="977"/>
      <c r="M28" s="976"/>
      <c r="N28" s="978"/>
      <c r="O28" s="976"/>
      <c r="P28" s="978"/>
      <c r="Q28" s="976"/>
      <c r="R28" s="977"/>
      <c r="S28" s="976"/>
      <c r="T28" s="977"/>
      <c r="U28" s="961"/>
      <c r="V28" s="959"/>
      <c r="W28" s="961"/>
      <c r="X28" s="959"/>
      <c r="Y28" s="961" t="e">
        <f t="shared" si="22"/>
        <v>#REF!</v>
      </c>
      <c r="Z28" s="947">
        <f>SUM(F28,H28,J28,L28,N28,P28,R28,T28,V28,X28,)</f>
        <v>1</v>
      </c>
      <c r="AA28" s="1817"/>
      <c r="AB28" s="1806"/>
      <c r="AC28" s="1806"/>
      <c r="AD28" s="1806"/>
      <c r="AE28" s="1806"/>
      <c r="AF28" s="1806"/>
      <c r="AG28" s="1806"/>
      <c r="AH28" s="1806"/>
      <c r="AI28" s="1806"/>
      <c r="AJ28" s="1806"/>
      <c r="AK28" s="1806"/>
      <c r="AL28" s="1806"/>
      <c r="AM28" s="1806"/>
      <c r="AN28" s="1806"/>
      <c r="AO28" s="1806"/>
      <c r="AP28" s="1806"/>
      <c r="AQ28" s="1806"/>
      <c r="AR28" s="1806"/>
      <c r="AS28" s="1806"/>
      <c r="AT28" s="1807"/>
      <c r="AU28" s="110"/>
    </row>
    <row r="29" spans="1:47" ht="25.5">
      <c r="A29" s="1821" t="s">
        <v>12698</v>
      </c>
      <c r="B29" s="973" t="str">
        <f>VLOOKUP($A29,'Medição '!$A:$G,4,0)</f>
        <v>PORTÃO EM GRADE DE ABRIR, COM BARRA CHATA 3CMX1/4", COM REQUADRO E GUARNIÇÃO. FORNECIMENTO E INSTALAÇÃO</v>
      </c>
      <c r="C29" s="974" t="e">
        <f>VLOOKUP($A29,'Medição '!$A:$G,10,0)</f>
        <v>#REF!</v>
      </c>
      <c r="D29" s="975"/>
      <c r="E29" s="958" t="e">
        <f>$C29*F29</f>
        <v>#REF!</v>
      </c>
      <c r="F29" s="959">
        <v>1</v>
      </c>
      <c r="G29" s="976"/>
      <c r="H29" s="977"/>
      <c r="I29" s="976"/>
      <c r="J29" s="977"/>
      <c r="K29" s="976"/>
      <c r="L29" s="977"/>
      <c r="M29" s="976"/>
      <c r="N29" s="978"/>
      <c r="O29" s="976"/>
      <c r="P29" s="978"/>
      <c r="Q29" s="976"/>
      <c r="R29" s="977"/>
      <c r="S29" s="976"/>
      <c r="T29" s="977"/>
      <c r="U29" s="961"/>
      <c r="V29" s="959"/>
      <c r="W29" s="961"/>
      <c r="X29" s="959"/>
      <c r="Y29" s="961" t="e">
        <f t="shared" si="22"/>
        <v>#REF!</v>
      </c>
      <c r="Z29" s="947">
        <f>SUM(F29,H29,J29,L29,N29,P29,R29,T29,V29,X29,)</f>
        <v>1</v>
      </c>
      <c r="AA29" s="1817"/>
      <c r="AB29" s="1806"/>
      <c r="AC29" s="1806"/>
      <c r="AD29" s="1806"/>
      <c r="AE29" s="1806"/>
      <c r="AF29" s="1806"/>
      <c r="AG29" s="1806"/>
      <c r="AH29" s="1806"/>
      <c r="AI29" s="1806"/>
      <c r="AJ29" s="1806"/>
      <c r="AK29" s="1806"/>
      <c r="AL29" s="1806"/>
      <c r="AM29" s="1806"/>
      <c r="AN29" s="1806"/>
      <c r="AO29" s="1806"/>
      <c r="AP29" s="1806"/>
      <c r="AQ29" s="1806"/>
      <c r="AR29" s="1806"/>
      <c r="AS29" s="1806"/>
      <c r="AT29" s="1807"/>
      <c r="AU29" s="110"/>
    </row>
    <row r="30" spans="1:47" ht="12.75">
      <c r="A30" s="1820" t="s">
        <v>12699</v>
      </c>
      <c r="B30" s="963" t="str">
        <f>VLOOKUP($A30,'Medição '!$A:$G,4,0)</f>
        <v>INSTALAÇÕES GERAIS</v>
      </c>
      <c r="C30" s="964" t="e">
        <f>SUBTOTAL(9,C31:C35)</f>
        <v>#REF!</v>
      </c>
      <c r="D30" s="965"/>
      <c r="E30" s="966" t="e">
        <f>SUM(E31:E35)</f>
        <v>#REF!</v>
      </c>
      <c r="F30" s="967" t="e">
        <f>E30/$C$30</f>
        <v>#REF!</v>
      </c>
      <c r="G30" s="966" t="e">
        <f>SUM(G31:G35)</f>
        <v>#REF!</v>
      </c>
      <c r="H30" s="967" t="e">
        <f>G30/$C$30</f>
        <v>#REF!</v>
      </c>
      <c r="I30" s="966" t="e">
        <f>SUM(I31:I35)</f>
        <v>#REF!</v>
      </c>
      <c r="J30" s="967" t="e">
        <f>I30/$C$30</f>
        <v>#REF!</v>
      </c>
      <c r="K30" s="966" t="e">
        <f>SUM(K31:K35)</f>
        <v>#REF!</v>
      </c>
      <c r="L30" s="967" t="e">
        <f>K30/$C$30</f>
        <v>#REF!</v>
      </c>
      <c r="M30" s="966" t="e">
        <f>SUM(M31:M35)</f>
        <v>#REF!</v>
      </c>
      <c r="N30" s="967" t="e">
        <f>M30/$C$30</f>
        <v>#REF!</v>
      </c>
      <c r="O30" s="966" t="e">
        <f>SUM(O31:O35)</f>
        <v>#REF!</v>
      </c>
      <c r="P30" s="967" t="e">
        <f>O30/$C$30</f>
        <v>#REF!</v>
      </c>
      <c r="Q30" s="966" t="e">
        <f>SUM(Q31:Q35)</f>
        <v>#REF!</v>
      </c>
      <c r="R30" s="967" t="e">
        <f>Q30/$C$30</f>
        <v>#REF!</v>
      </c>
      <c r="S30" s="966" t="e">
        <f>SUM(S31:S35)</f>
        <v>#REF!</v>
      </c>
      <c r="T30" s="967" t="e">
        <f>S30/$C$30</f>
        <v>#REF!</v>
      </c>
      <c r="U30" s="966" t="e">
        <f>SUM(U31:U35)</f>
        <v>#REF!</v>
      </c>
      <c r="V30" s="967" t="e">
        <f>U30/$C$30</f>
        <v>#REF!</v>
      </c>
      <c r="W30" s="966" t="e">
        <f>SUM(W31:W35)</f>
        <v>#REF!</v>
      </c>
      <c r="X30" s="967" t="e">
        <f>W30/$C$30</f>
        <v>#REF!</v>
      </c>
      <c r="Y30" s="972" t="e">
        <f t="shared" si="22"/>
        <v>#REF!</v>
      </c>
      <c r="Z30" s="947" t="e">
        <f>SUM(F30,H30,J30,L30,N30,P30,R30,T30,V30,X30)</f>
        <v>#REF!</v>
      </c>
      <c r="AA30" s="1817"/>
      <c r="AB30" s="1806"/>
      <c r="AC30" s="1806"/>
      <c r="AD30" s="1806"/>
      <c r="AE30" s="1806"/>
      <c r="AF30" s="1806"/>
      <c r="AG30" s="1806"/>
      <c r="AH30" s="1806"/>
      <c r="AI30" s="1806"/>
      <c r="AJ30" s="1806"/>
      <c r="AK30" s="1806"/>
      <c r="AL30" s="1806"/>
      <c r="AM30" s="1806"/>
      <c r="AN30" s="1806"/>
      <c r="AO30" s="1806"/>
      <c r="AP30" s="1806"/>
      <c r="AQ30" s="1806"/>
      <c r="AR30" s="1806"/>
      <c r="AS30" s="1806"/>
      <c r="AT30" s="1807"/>
      <c r="AU30" s="110"/>
    </row>
    <row r="31" spans="1:47" ht="25.5">
      <c r="A31" s="1821" t="s">
        <v>12700</v>
      </c>
      <c r="B31" s="973" t="str">
        <f>VLOOKUP($A31,'Medição '!$A:$G,4,0)</f>
        <v>SISTEMA DE TRATAMENTO DE EFLUENTES DE INSTALAÇÕES PROVISÓRIAS DE CANTEIRO DE OBRAS, SISTEMA FOSSA/FILTRO E CISTERNA - 8 A 14 CONTRIBUINTES</v>
      </c>
      <c r="C31" s="974" t="e">
        <f>VLOOKUP($A31,'Medição '!$A:$G,10,0)</f>
        <v>#REF!</v>
      </c>
      <c r="D31" s="975"/>
      <c r="E31" s="958" t="e">
        <f>$C31*F31</f>
        <v>#REF!</v>
      </c>
      <c r="F31" s="959">
        <v>1</v>
      </c>
      <c r="G31" s="976"/>
      <c r="H31" s="977"/>
      <c r="I31" s="976"/>
      <c r="J31" s="977"/>
      <c r="K31" s="976"/>
      <c r="L31" s="977"/>
      <c r="M31" s="976"/>
      <c r="N31" s="978"/>
      <c r="O31" s="976"/>
      <c r="P31" s="978"/>
      <c r="Q31" s="976"/>
      <c r="R31" s="977"/>
      <c r="S31" s="976"/>
      <c r="T31" s="977"/>
      <c r="U31" s="961"/>
      <c r="V31" s="959"/>
      <c r="W31" s="961"/>
      <c r="X31" s="959"/>
      <c r="Y31" s="961" t="e">
        <f t="shared" si="22"/>
        <v>#REF!</v>
      </c>
      <c r="Z31" s="947">
        <f>SUM(F31,H31,J31,L31,N31,P31,R31,T31,V31,X31,)</f>
        <v>1</v>
      </c>
      <c r="AA31" s="1817"/>
      <c r="AB31" s="1806"/>
      <c r="AC31" s="1806"/>
      <c r="AD31" s="1806"/>
      <c r="AE31" s="1806"/>
      <c r="AF31" s="1806"/>
      <c r="AG31" s="1806"/>
      <c r="AH31" s="1806"/>
      <c r="AI31" s="1806"/>
      <c r="AJ31" s="1806"/>
      <c r="AK31" s="1806"/>
      <c r="AL31" s="1806"/>
      <c r="AM31" s="1806"/>
      <c r="AN31" s="1806"/>
      <c r="AO31" s="1806"/>
      <c r="AP31" s="1806"/>
      <c r="AQ31" s="1806"/>
      <c r="AR31" s="1806"/>
      <c r="AS31" s="1806"/>
      <c r="AT31" s="1807"/>
      <c r="AU31" s="110"/>
    </row>
    <row r="32" spans="1:47" ht="25.5">
      <c r="A32" s="1821" t="s">
        <v>12701</v>
      </c>
      <c r="B32" s="973" t="str">
        <f>VLOOKUP($A32,'Medição '!$A:$G,4,0)</f>
        <v>EXECUÇÃO DE RESERVATÓRIO ELEVADO DE ÁGUA (2000 LITROS) EM CANTEIRO DE OBRAS, APOIADO EM ESTRUTURA DE MADEIRA.</v>
      </c>
      <c r="C32" s="974" t="e">
        <f>VLOOKUP($A32,'Medição '!$A:$G,10,0)</f>
        <v>#REF!</v>
      </c>
      <c r="D32" s="975"/>
      <c r="E32" s="958" t="e">
        <f>$C32*F32</f>
        <v>#REF!</v>
      </c>
      <c r="F32" s="959">
        <v>1</v>
      </c>
      <c r="G32" s="976"/>
      <c r="H32" s="977"/>
      <c r="I32" s="976"/>
      <c r="J32" s="977"/>
      <c r="K32" s="976"/>
      <c r="L32" s="977"/>
      <c r="M32" s="976"/>
      <c r="N32" s="978"/>
      <c r="O32" s="976"/>
      <c r="P32" s="978"/>
      <c r="Q32" s="976"/>
      <c r="R32" s="977"/>
      <c r="S32" s="976"/>
      <c r="T32" s="977"/>
      <c r="U32" s="961"/>
      <c r="V32" s="959"/>
      <c r="W32" s="961"/>
      <c r="X32" s="959"/>
      <c r="Y32" s="961" t="e">
        <f t="shared" si="22"/>
        <v>#REF!</v>
      </c>
      <c r="Z32" s="947">
        <f>SUM(F32,H32,J32,L32,N32,P32,R32,T32,V32,X32,)</f>
        <v>1</v>
      </c>
      <c r="AA32" s="1817"/>
      <c r="AB32" s="1806"/>
      <c r="AC32" s="1806"/>
      <c r="AD32" s="1806"/>
      <c r="AE32" s="1806"/>
      <c r="AF32" s="1806"/>
      <c r="AG32" s="1806"/>
      <c r="AH32" s="1806"/>
      <c r="AI32" s="1806"/>
      <c r="AJ32" s="1806"/>
      <c r="AK32" s="1806"/>
      <c r="AL32" s="1806"/>
      <c r="AM32" s="1806"/>
      <c r="AN32" s="1806"/>
      <c r="AO32" s="1806"/>
      <c r="AP32" s="1806"/>
      <c r="AQ32" s="1806"/>
      <c r="AR32" s="1806"/>
      <c r="AS32" s="1806"/>
      <c r="AT32" s="1807"/>
      <c r="AU32" s="110"/>
    </row>
    <row r="33" spans="1:47" ht="55.5" customHeight="1">
      <c r="A33" s="1821" t="s">
        <v>12702</v>
      </c>
      <c r="B33" s="1800" t="s">
        <v>16724</v>
      </c>
      <c r="C33" s="974" t="e">
        <f>VLOOKUP($A33,'Medição '!$A:$G,10,0)</f>
        <v>#REF!</v>
      </c>
      <c r="D33" s="975"/>
      <c r="E33" s="958" t="e">
        <f>$C33*F33</f>
        <v>#REF!</v>
      </c>
      <c r="F33" s="959">
        <v>1</v>
      </c>
      <c r="G33" s="976"/>
      <c r="H33" s="977"/>
      <c r="I33" s="976"/>
      <c r="J33" s="977"/>
      <c r="K33" s="976"/>
      <c r="L33" s="977"/>
      <c r="M33" s="976"/>
      <c r="N33" s="978"/>
      <c r="O33" s="976"/>
      <c r="P33" s="978"/>
      <c r="Q33" s="976"/>
      <c r="R33" s="977"/>
      <c r="S33" s="976"/>
      <c r="T33" s="977"/>
      <c r="U33" s="961"/>
      <c r="V33" s="959"/>
      <c r="W33" s="961"/>
      <c r="X33" s="959"/>
      <c r="Y33" s="961" t="e">
        <f t="shared" si="22"/>
        <v>#REF!</v>
      </c>
      <c r="Z33" s="947">
        <f>SUM(F33,H33,J33,L33,N33,P33,R33,T33,V33,X33,)</f>
        <v>1</v>
      </c>
      <c r="AA33" s="1817"/>
      <c r="AB33" s="1806"/>
      <c r="AC33" s="1806"/>
      <c r="AD33" s="1806"/>
      <c r="AE33" s="1806"/>
      <c r="AF33" s="1806"/>
      <c r="AG33" s="1806"/>
      <c r="AH33" s="1806"/>
      <c r="AI33" s="1806"/>
      <c r="AJ33" s="1806"/>
      <c r="AK33" s="1806"/>
      <c r="AL33" s="1806"/>
      <c r="AM33" s="1806"/>
      <c r="AN33" s="1806"/>
      <c r="AO33" s="1806"/>
      <c r="AP33" s="1806"/>
      <c r="AQ33" s="1806"/>
      <c r="AR33" s="1806"/>
      <c r="AS33" s="1806"/>
      <c r="AT33" s="1807"/>
      <c r="AU33" s="110"/>
    </row>
    <row r="34" spans="1:47" ht="25.5">
      <c r="A34" s="1821" t="s">
        <v>12703</v>
      </c>
      <c r="B34" s="973" t="str">
        <f>VLOOKUP($A34,'Medição '!$A:$G,4,0)</f>
        <v>LOCAÇÃO DE CONTAINER 2,30 X 6,00 M, ALT. 2,50 M, PARA ESCRITORIO, COM 1 SANITÁRIO, COMPLETO. EXCLUSO MOBILIZAÇÃO E DESMOBILIZAÇÃO</v>
      </c>
      <c r="C34" s="974" t="e">
        <f>VLOOKUP($A34,'Medição '!$A:$G,10,0)</f>
        <v>#REF!</v>
      </c>
      <c r="D34" s="975"/>
      <c r="E34" s="958" t="e">
        <f>$C34*F34</f>
        <v>#REF!</v>
      </c>
      <c r="F34" s="959">
        <f>1/10</f>
        <v>0.1</v>
      </c>
      <c r="G34" s="958" t="e">
        <f>$C34*H34</f>
        <v>#REF!</v>
      </c>
      <c r="H34" s="959">
        <f>1/10</f>
        <v>0.1</v>
      </c>
      <c r="I34" s="958" t="e">
        <f>$C34*J34</f>
        <v>#REF!</v>
      </c>
      <c r="J34" s="959">
        <f>1/10</f>
        <v>0.1</v>
      </c>
      <c r="K34" s="958" t="e">
        <f>$C34*L34</f>
        <v>#REF!</v>
      </c>
      <c r="L34" s="959">
        <f>1/10</f>
        <v>0.1</v>
      </c>
      <c r="M34" s="958" t="e">
        <f>$C34*N34</f>
        <v>#REF!</v>
      </c>
      <c r="N34" s="959">
        <f>1/10</f>
        <v>0.1</v>
      </c>
      <c r="O34" s="958" t="e">
        <f>$C34*P34</f>
        <v>#REF!</v>
      </c>
      <c r="P34" s="959">
        <f>1/10</f>
        <v>0.1</v>
      </c>
      <c r="Q34" s="958" t="e">
        <f>$C34*R34</f>
        <v>#REF!</v>
      </c>
      <c r="R34" s="959">
        <f>1/10</f>
        <v>0.1</v>
      </c>
      <c r="S34" s="958" t="e">
        <f>$C34*T34</f>
        <v>#REF!</v>
      </c>
      <c r="T34" s="959">
        <f>1/10</f>
        <v>0.1</v>
      </c>
      <c r="U34" s="958" t="e">
        <f>$C34*V34</f>
        <v>#REF!</v>
      </c>
      <c r="V34" s="959">
        <f>1/10</f>
        <v>0.1</v>
      </c>
      <c r="W34" s="958" t="e">
        <f>$C34*X34</f>
        <v>#REF!</v>
      </c>
      <c r="X34" s="959">
        <f>1/10</f>
        <v>0.1</v>
      </c>
      <c r="Y34" s="961" t="e">
        <f t="shared" si="22"/>
        <v>#REF!</v>
      </c>
      <c r="Z34" s="947">
        <f>SUM(F34,H34,J34,L34,N34,P34,R34,T34,V34,X34,)</f>
        <v>0.99999999999999989</v>
      </c>
      <c r="AA34" s="1817"/>
      <c r="AB34" s="1806"/>
      <c r="AC34" s="1806"/>
      <c r="AD34" s="1806"/>
      <c r="AE34" s="1806"/>
      <c r="AF34" s="1806"/>
      <c r="AG34" s="1806"/>
      <c r="AH34" s="1806"/>
      <c r="AI34" s="1806"/>
      <c r="AJ34" s="1806"/>
      <c r="AK34" s="1806"/>
      <c r="AL34" s="1806"/>
      <c r="AM34" s="1806"/>
      <c r="AN34" s="1806"/>
      <c r="AO34" s="1806"/>
      <c r="AP34" s="1806"/>
      <c r="AQ34" s="1806"/>
      <c r="AR34" s="1806"/>
      <c r="AS34" s="1806"/>
      <c r="AT34" s="1807"/>
      <c r="AU34" s="110"/>
    </row>
    <row r="35" spans="1:47" ht="25.5">
      <c r="A35" s="1821" t="s">
        <v>12704</v>
      </c>
      <c r="B35" s="973" t="str">
        <f>VLOOKUP($A35,'Medição '!$A:$G,4,0)</f>
        <v>LASTRO COM MATERIAL GRANULAR (PEDRA BRITADA N.1), APLICADO EM PISOS OU LAJES SOBRE SOLO, ESPESSURA DE *5 CM*(CANTEIRO)</v>
      </c>
      <c r="C35" s="974" t="e">
        <f>VLOOKUP($A35,'Medição '!$A:$G,10,0)</f>
        <v>#REF!</v>
      </c>
      <c r="D35" s="975"/>
      <c r="E35" s="958" t="e">
        <f>$C35*F35</f>
        <v>#REF!</v>
      </c>
      <c r="F35" s="959">
        <v>1</v>
      </c>
      <c r="G35" s="976"/>
      <c r="H35" s="977"/>
      <c r="I35" s="976"/>
      <c r="J35" s="977"/>
      <c r="K35" s="976"/>
      <c r="L35" s="977"/>
      <c r="M35" s="976"/>
      <c r="N35" s="978"/>
      <c r="O35" s="976"/>
      <c r="P35" s="978"/>
      <c r="Q35" s="976"/>
      <c r="R35" s="977"/>
      <c r="S35" s="976"/>
      <c r="T35" s="977"/>
      <c r="U35" s="961"/>
      <c r="V35" s="959"/>
      <c r="W35" s="961"/>
      <c r="X35" s="959"/>
      <c r="Y35" s="961" t="e">
        <f t="shared" si="22"/>
        <v>#REF!</v>
      </c>
      <c r="Z35" s="947">
        <f>SUM(F35,H35,J35,L35,N35,P35,R35,T35,V35,X35,)</f>
        <v>1</v>
      </c>
      <c r="AA35" s="1817"/>
      <c r="AB35" s="1806"/>
      <c r="AC35" s="1806"/>
      <c r="AD35" s="1806"/>
      <c r="AE35" s="1806"/>
      <c r="AF35" s="1806"/>
      <c r="AG35" s="1806"/>
      <c r="AH35" s="1806"/>
      <c r="AI35" s="1806"/>
      <c r="AJ35" s="1806"/>
      <c r="AK35" s="1806"/>
      <c r="AL35" s="1806"/>
      <c r="AM35" s="1806"/>
      <c r="AN35" s="1806"/>
      <c r="AO35" s="1806"/>
      <c r="AP35" s="1806"/>
      <c r="AQ35" s="1806"/>
      <c r="AR35" s="1806"/>
      <c r="AS35" s="1806"/>
      <c r="AT35" s="1807"/>
      <c r="AU35" s="110"/>
    </row>
    <row r="36" spans="1:47" ht="12.75">
      <c r="A36" s="1820" t="s">
        <v>12705</v>
      </c>
      <c r="B36" s="963" t="str">
        <f>VLOOKUP($A36,'Medição '!$A:$G,4,0)</f>
        <v>ACESSÓRIOS DE CANTEIRO</v>
      </c>
      <c r="C36" s="964" t="e">
        <f>SUBTOTAL(9,C37:C39)</f>
        <v>#REF!</v>
      </c>
      <c r="D36" s="965"/>
      <c r="E36" s="966" t="e">
        <f>SUM(E37:E39)</f>
        <v>#REF!</v>
      </c>
      <c r="F36" s="967" t="e">
        <f>E36/C36</f>
        <v>#REF!</v>
      </c>
      <c r="G36" s="968"/>
      <c r="H36" s="969"/>
      <c r="I36" s="968"/>
      <c r="J36" s="969"/>
      <c r="K36" s="968"/>
      <c r="L36" s="969"/>
      <c r="M36" s="968"/>
      <c r="N36" s="970"/>
      <c r="O36" s="968"/>
      <c r="P36" s="970"/>
      <c r="Q36" s="968"/>
      <c r="R36" s="969"/>
      <c r="S36" s="968"/>
      <c r="T36" s="969"/>
      <c r="U36" s="971"/>
      <c r="V36" s="967"/>
      <c r="W36" s="971"/>
      <c r="X36" s="967"/>
      <c r="Y36" s="972" t="e">
        <f t="shared" si="22"/>
        <v>#REF!</v>
      </c>
      <c r="Z36" s="947" t="e">
        <f>SUM(F36,H36,J36,L36,N36,P36,R36,T36,V36,X36)</f>
        <v>#REF!</v>
      </c>
      <c r="AA36" s="1817"/>
      <c r="AB36" s="1806"/>
      <c r="AC36" s="1806"/>
      <c r="AD36" s="1806"/>
      <c r="AE36" s="1806"/>
      <c r="AF36" s="1806"/>
      <c r="AG36" s="1806"/>
      <c r="AH36" s="1806"/>
      <c r="AI36" s="1806"/>
      <c r="AJ36" s="1806"/>
      <c r="AK36" s="1806"/>
      <c r="AL36" s="1806"/>
      <c r="AM36" s="1806"/>
      <c r="AN36" s="1806"/>
      <c r="AO36" s="1806"/>
      <c r="AP36" s="1806"/>
      <c r="AQ36" s="1806"/>
      <c r="AR36" s="1806"/>
      <c r="AS36" s="1806"/>
      <c r="AT36" s="1807"/>
      <c r="AU36" s="110"/>
    </row>
    <row r="37" spans="1:47" ht="38.25">
      <c r="A37" s="1821" t="s">
        <v>12706</v>
      </c>
      <c r="B37" s="973" t="str">
        <f>VLOOKUP($A37,'Medição '!$A:$G,4,0)</f>
        <v>LAVATÓRIO LOUÇA BRANCA COM COLUNA, *44 X 35,5* CM, PADRÃO POPULAR, INCLUSO SIFÃO FLEXÍVEL EM PVC, VÁLVULA E ENGATE FLEXÍVEL 30CM EM PLÁSTICO E COM TORNEIRA CROMADA PADRÃO POPULAR - FORNECIMENTO E INSTALAÇÃO. AF_01/2020</v>
      </c>
      <c r="C37" s="974" t="e">
        <f>VLOOKUP($A37,'Medição '!$A:$G,10,0)</f>
        <v>#REF!</v>
      </c>
      <c r="D37" s="975"/>
      <c r="E37" s="958" t="e">
        <f>$C37*F37</f>
        <v>#REF!</v>
      </c>
      <c r="F37" s="959">
        <v>1</v>
      </c>
      <c r="G37" s="976"/>
      <c r="H37" s="977"/>
      <c r="I37" s="976"/>
      <c r="J37" s="977"/>
      <c r="K37" s="976"/>
      <c r="L37" s="977"/>
      <c r="M37" s="976"/>
      <c r="N37" s="978"/>
      <c r="O37" s="976"/>
      <c r="P37" s="978"/>
      <c r="Q37" s="976"/>
      <c r="R37" s="977"/>
      <c r="S37" s="976"/>
      <c r="T37" s="977"/>
      <c r="U37" s="961"/>
      <c r="V37" s="959"/>
      <c r="W37" s="961"/>
      <c r="X37" s="959"/>
      <c r="Y37" s="961" t="e">
        <f t="shared" si="22"/>
        <v>#REF!</v>
      </c>
      <c r="Z37" s="947">
        <f>SUM(F37,H37,J37,L37,N37,P37,R37,T37,V37,X37,)</f>
        <v>1</v>
      </c>
      <c r="AA37" s="1817"/>
      <c r="AB37" s="1806"/>
      <c r="AC37" s="1806"/>
      <c r="AD37" s="1806"/>
      <c r="AE37" s="1806"/>
      <c r="AF37" s="1806"/>
      <c r="AG37" s="1806"/>
      <c r="AH37" s="1806"/>
      <c r="AI37" s="1806"/>
      <c r="AJ37" s="1806"/>
      <c r="AK37" s="1806"/>
      <c r="AL37" s="1806"/>
      <c r="AM37" s="1806"/>
      <c r="AN37" s="1806"/>
      <c r="AO37" s="1806"/>
      <c r="AP37" s="1806"/>
      <c r="AQ37" s="1806"/>
      <c r="AR37" s="1806"/>
      <c r="AS37" s="1806"/>
      <c r="AT37" s="1807"/>
      <c r="AU37" s="110"/>
    </row>
    <row r="38" spans="1:47" ht="25.5">
      <c r="A38" s="1821" t="s">
        <v>12707</v>
      </c>
      <c r="B38" s="973" t="str">
        <f>VLOOKUP($A38,'Medição '!$A:$G,4,0)</f>
        <v>EXTINTOR DE INCÊNDIO PORTÁTIL COM CARGA DE PQS DE 4 KG, CLASSE BC - FORNECIMENTO E INSTALAÇÃO. AF_10/2020_PE</v>
      </c>
      <c r="C38" s="974" t="e">
        <f>VLOOKUP($A38,'Medição '!$A:$G,10,0)</f>
        <v>#REF!</v>
      </c>
      <c r="D38" s="975"/>
      <c r="E38" s="958" t="e">
        <f>$C38*F38</f>
        <v>#REF!</v>
      </c>
      <c r="F38" s="959">
        <v>1</v>
      </c>
      <c r="G38" s="976"/>
      <c r="H38" s="977"/>
      <c r="I38" s="976"/>
      <c r="J38" s="977"/>
      <c r="K38" s="976"/>
      <c r="L38" s="977"/>
      <c r="M38" s="976"/>
      <c r="N38" s="978"/>
      <c r="O38" s="976"/>
      <c r="P38" s="978"/>
      <c r="Q38" s="976"/>
      <c r="R38" s="977"/>
      <c r="S38" s="976"/>
      <c r="T38" s="977"/>
      <c r="U38" s="961"/>
      <c r="V38" s="959"/>
      <c r="W38" s="961"/>
      <c r="X38" s="959"/>
      <c r="Y38" s="961" t="e">
        <f t="shared" si="22"/>
        <v>#REF!</v>
      </c>
      <c r="Z38" s="947">
        <f>SUM(F38,H38,J38,L38,N38,P38,R38,T38,V38,X38,)</f>
        <v>1</v>
      </c>
      <c r="AA38" s="1817"/>
      <c r="AB38" s="1806"/>
      <c r="AC38" s="1806"/>
      <c r="AD38" s="1806"/>
      <c r="AE38" s="1806"/>
      <c r="AF38" s="1806"/>
      <c r="AG38" s="1806"/>
      <c r="AH38" s="1806"/>
      <c r="AI38" s="1806"/>
      <c r="AJ38" s="1806"/>
      <c r="AK38" s="1806"/>
      <c r="AL38" s="1806"/>
      <c r="AM38" s="1806"/>
      <c r="AN38" s="1806"/>
      <c r="AO38" s="1806"/>
      <c r="AP38" s="1806"/>
      <c r="AQ38" s="1806"/>
      <c r="AR38" s="1806"/>
      <c r="AS38" s="1806"/>
      <c r="AT38" s="1807"/>
      <c r="AU38" s="110"/>
    </row>
    <row r="39" spans="1:47" ht="12.75">
      <c r="A39" s="1821" t="s">
        <v>12708</v>
      </c>
      <c r="B39" s="1801" t="str">
        <f>VLOOKUP($A39,'Medição '!$A:$G,4,0)</f>
        <v>PINTURA DE PISO COM TINTA EPÓXI, APLICAÇÃO MANUAL, 2 DEMÃOS, INCLUSO PRIMER EPÓXI. AF_05/2021</v>
      </c>
      <c r="C39" s="974" t="e">
        <f>VLOOKUP($A39,'Medição '!$A:$G,10,0)</f>
        <v>#REF!</v>
      </c>
      <c r="D39" s="975"/>
      <c r="E39" s="958" t="e">
        <f>$C39*F39</f>
        <v>#REF!</v>
      </c>
      <c r="F39" s="959">
        <v>1</v>
      </c>
      <c r="G39" s="976"/>
      <c r="H39" s="977"/>
      <c r="I39" s="976"/>
      <c r="J39" s="977"/>
      <c r="K39" s="976"/>
      <c r="L39" s="977"/>
      <c r="M39" s="976"/>
      <c r="N39" s="978"/>
      <c r="O39" s="976"/>
      <c r="P39" s="978"/>
      <c r="Q39" s="976"/>
      <c r="R39" s="977"/>
      <c r="S39" s="976"/>
      <c r="T39" s="977"/>
      <c r="U39" s="961"/>
      <c r="V39" s="959"/>
      <c r="W39" s="961"/>
      <c r="X39" s="959"/>
      <c r="Y39" s="961" t="e">
        <f t="shared" si="22"/>
        <v>#REF!</v>
      </c>
      <c r="Z39" s="947">
        <f>SUM(F39,H39,J39,L39,N39,P39,R39,T39,V39,X39,)</f>
        <v>1</v>
      </c>
      <c r="AA39" s="1817"/>
      <c r="AB39" s="1806"/>
      <c r="AC39" s="1806"/>
      <c r="AD39" s="1806"/>
      <c r="AE39" s="1806"/>
      <c r="AF39" s="1806"/>
      <c r="AG39" s="1806"/>
      <c r="AH39" s="1806"/>
      <c r="AI39" s="1806"/>
      <c r="AJ39" s="1806"/>
      <c r="AK39" s="1806"/>
      <c r="AL39" s="1806"/>
      <c r="AM39" s="1806"/>
      <c r="AN39" s="1806"/>
      <c r="AO39" s="1806"/>
      <c r="AP39" s="1806"/>
      <c r="AQ39" s="1806"/>
      <c r="AR39" s="1806"/>
      <c r="AS39" s="1806"/>
      <c r="AT39" s="1807"/>
      <c r="AU39" s="110"/>
    </row>
    <row r="40" spans="1:47" ht="12.75">
      <c r="A40" s="1820" t="s">
        <v>12709</v>
      </c>
      <c r="B40" s="963" t="str">
        <f>VLOOKUP($A40,'Medição '!$A:$G,4,0)</f>
        <v>ÁREAS DE VIVÊNCIA / APOIO DE OPERAÇÃO</v>
      </c>
      <c r="C40" s="964" t="e">
        <f>SUBTOTAL(9,C41:C49)</f>
        <v>#REF!</v>
      </c>
      <c r="D40" s="965"/>
      <c r="E40" s="966" t="e">
        <f>SUM(E41:E49)</f>
        <v>#REF!</v>
      </c>
      <c r="F40" s="967" t="e">
        <f>E40/$C$40</f>
        <v>#REF!</v>
      </c>
      <c r="G40" s="966" t="e">
        <f>SUM(G41:G49)</f>
        <v>#REF!</v>
      </c>
      <c r="H40" s="967" t="e">
        <f>G40/$C$40</f>
        <v>#REF!</v>
      </c>
      <c r="I40" s="966" t="e">
        <f>SUM(I41:I49)</f>
        <v>#REF!</v>
      </c>
      <c r="J40" s="967" t="e">
        <f>I40/$C$40</f>
        <v>#REF!</v>
      </c>
      <c r="K40" s="966" t="e">
        <f>SUM(K41:K49)</f>
        <v>#REF!</v>
      </c>
      <c r="L40" s="967" t="e">
        <f>K40/$C$40</f>
        <v>#REF!</v>
      </c>
      <c r="M40" s="966" t="e">
        <f>SUM(M41:M49)</f>
        <v>#REF!</v>
      </c>
      <c r="N40" s="967" t="e">
        <f>M40/$C$40</f>
        <v>#REF!</v>
      </c>
      <c r="O40" s="966" t="e">
        <f>SUM(O41:O49)</f>
        <v>#REF!</v>
      </c>
      <c r="P40" s="967" t="e">
        <f>O40/$C$40</f>
        <v>#REF!</v>
      </c>
      <c r="Q40" s="966" t="e">
        <f>SUM(Q41:Q49)</f>
        <v>#REF!</v>
      </c>
      <c r="R40" s="967" t="e">
        <f>Q40/$C$40</f>
        <v>#REF!</v>
      </c>
      <c r="S40" s="966" t="e">
        <f>SUM(S41:S49)</f>
        <v>#REF!</v>
      </c>
      <c r="T40" s="967" t="e">
        <f>S40/$C$40</f>
        <v>#REF!</v>
      </c>
      <c r="U40" s="966" t="e">
        <f>SUM(U41:U49)</f>
        <v>#REF!</v>
      </c>
      <c r="V40" s="967" t="e">
        <f>U40/$C$40</f>
        <v>#REF!</v>
      </c>
      <c r="W40" s="966" t="e">
        <f>SUM(W41:W49)</f>
        <v>#REF!</v>
      </c>
      <c r="X40" s="967" t="e">
        <f>W40/$C$40</f>
        <v>#REF!</v>
      </c>
      <c r="Y40" s="972" t="e">
        <f t="shared" si="22"/>
        <v>#REF!</v>
      </c>
      <c r="Z40" s="947" t="e">
        <f>SUM(F40,H40,J40,L40,N40,P40,R40,T40,V40,X40)</f>
        <v>#REF!</v>
      </c>
      <c r="AA40" s="1817"/>
      <c r="AB40" s="1806"/>
      <c r="AC40" s="1806"/>
      <c r="AD40" s="1806"/>
      <c r="AE40" s="1806"/>
      <c r="AF40" s="1806"/>
      <c r="AG40" s="1806"/>
      <c r="AH40" s="1806"/>
      <c r="AI40" s="1806"/>
      <c r="AJ40" s="1806"/>
      <c r="AK40" s="1806"/>
      <c r="AL40" s="1806"/>
      <c r="AM40" s="1806"/>
      <c r="AN40" s="1806"/>
      <c r="AO40" s="1806"/>
      <c r="AP40" s="1806"/>
      <c r="AQ40" s="1806"/>
      <c r="AR40" s="1806"/>
      <c r="AS40" s="1806"/>
      <c r="AT40" s="1807"/>
      <c r="AU40" s="110"/>
    </row>
    <row r="41" spans="1:47" ht="25.5">
      <c r="A41" s="1821" t="s">
        <v>12710</v>
      </c>
      <c r="B41" s="973" t="str">
        <f>VLOOKUP($A41,'Medição '!$A:$G,4,0)</f>
        <v>LOCAÇÃO MENSAL DE ESTRUTURA DE COBERTURA IMPERMEÁVEL 5x5 M (TENDA - INCLUSO MONTAGEM) E MANUTENÇÃO MENSAL</v>
      </c>
      <c r="C41" s="974" t="e">
        <f>VLOOKUP($A41,'Medição '!$A:$G,10,0)</f>
        <v>#REF!</v>
      </c>
      <c r="D41" s="975"/>
      <c r="E41" s="958" t="e">
        <f t="shared" ref="E41:E49" si="23">$C41*F41</f>
        <v>#REF!</v>
      </c>
      <c r="F41" s="959">
        <f>1/10</f>
        <v>0.1</v>
      </c>
      <c r="G41" s="958" t="e">
        <f>$C41*H41</f>
        <v>#REF!</v>
      </c>
      <c r="H41" s="959">
        <f>1/10</f>
        <v>0.1</v>
      </c>
      <c r="I41" s="958" t="e">
        <f>$C41*J41</f>
        <v>#REF!</v>
      </c>
      <c r="J41" s="959">
        <f>1/10</f>
        <v>0.1</v>
      </c>
      <c r="K41" s="958" t="e">
        <f>$C41*L41</f>
        <v>#REF!</v>
      </c>
      <c r="L41" s="959">
        <f>1/10</f>
        <v>0.1</v>
      </c>
      <c r="M41" s="958" t="e">
        <f>$C41*N41</f>
        <v>#REF!</v>
      </c>
      <c r="N41" s="959">
        <f>1/10</f>
        <v>0.1</v>
      </c>
      <c r="O41" s="958" t="e">
        <f>$C41*P41</f>
        <v>#REF!</v>
      </c>
      <c r="P41" s="959">
        <f>1/10</f>
        <v>0.1</v>
      </c>
      <c r="Q41" s="958" t="e">
        <f>$C41*R41</f>
        <v>#REF!</v>
      </c>
      <c r="R41" s="959">
        <f>1/10</f>
        <v>0.1</v>
      </c>
      <c r="S41" s="958" t="e">
        <f>$C41*T41</f>
        <v>#REF!</v>
      </c>
      <c r="T41" s="959">
        <f>1/10</f>
        <v>0.1</v>
      </c>
      <c r="U41" s="960" t="e">
        <f>$C41*V41</f>
        <v>#REF!</v>
      </c>
      <c r="V41" s="959">
        <f>1/10</f>
        <v>0.1</v>
      </c>
      <c r="W41" s="960" t="e">
        <f>$C41*X41</f>
        <v>#REF!</v>
      </c>
      <c r="X41" s="959">
        <f>1/10</f>
        <v>0.1</v>
      </c>
      <c r="Y41" s="961" t="e">
        <f t="shared" si="22"/>
        <v>#REF!</v>
      </c>
      <c r="Z41" s="947">
        <f t="shared" ref="Z41:Z49" si="24">SUM(F41,H41,J41,L41,N41,P41,R41,T41,V41,X41,)</f>
        <v>0.99999999999999989</v>
      </c>
      <c r="AA41" s="1817"/>
      <c r="AB41" s="1806"/>
      <c r="AC41" s="1806"/>
      <c r="AD41" s="1806"/>
      <c r="AE41" s="1806"/>
      <c r="AF41" s="1806"/>
      <c r="AG41" s="1806"/>
      <c r="AH41" s="1806"/>
      <c r="AI41" s="1806"/>
      <c r="AJ41" s="1806"/>
      <c r="AK41" s="1806"/>
      <c r="AL41" s="1806"/>
      <c r="AM41" s="1806"/>
      <c r="AN41" s="1806"/>
      <c r="AO41" s="1806"/>
      <c r="AP41" s="1806"/>
      <c r="AQ41" s="1806"/>
      <c r="AR41" s="1806"/>
      <c r="AS41" s="1806"/>
      <c r="AT41" s="1807"/>
      <c r="AU41" s="110"/>
    </row>
    <row r="42" spans="1:47" ht="25.5">
      <c r="A42" s="1821" t="s">
        <v>12711</v>
      </c>
      <c r="B42" s="973" t="str">
        <f>VLOOKUP($A42,'Medição '!$A:$G,4,0)</f>
        <v>COBERTURA DE APOIO PARA CANTEIRO DE OBRAS, TELHAMENTO COM TELHA ONDULADA DE FIBROCIMENTO E = 6 MM,  ESTRUTURA EM MADEIRA. EXCLUSO INSTALAÇÕES EM GERAL E PISO.</v>
      </c>
      <c r="C42" s="974" t="e">
        <f>VLOOKUP($A42,'Medição '!$A:$G,10,0)</f>
        <v>#REF!</v>
      </c>
      <c r="D42" s="975"/>
      <c r="E42" s="958" t="e">
        <f t="shared" si="23"/>
        <v>#REF!</v>
      </c>
      <c r="F42" s="959">
        <v>1</v>
      </c>
      <c r="G42" s="958"/>
      <c r="H42" s="959"/>
      <c r="I42" s="958"/>
      <c r="J42" s="959"/>
      <c r="K42" s="958"/>
      <c r="L42" s="959"/>
      <c r="M42" s="958"/>
      <c r="N42" s="959"/>
      <c r="O42" s="958"/>
      <c r="P42" s="959"/>
      <c r="Q42" s="958"/>
      <c r="R42" s="959"/>
      <c r="S42" s="958"/>
      <c r="T42" s="959"/>
      <c r="U42" s="960"/>
      <c r="V42" s="959"/>
      <c r="W42" s="960"/>
      <c r="X42" s="959"/>
      <c r="Y42" s="961" t="e">
        <f t="shared" si="22"/>
        <v>#REF!</v>
      </c>
      <c r="Z42" s="947">
        <f t="shared" si="24"/>
        <v>1</v>
      </c>
      <c r="AA42" s="1817"/>
      <c r="AB42" s="1806"/>
      <c r="AC42" s="1806"/>
      <c r="AD42" s="1806"/>
      <c r="AE42" s="1806"/>
      <c r="AF42" s="1806"/>
      <c r="AG42" s="1806"/>
      <c r="AH42" s="1806"/>
      <c r="AI42" s="1806"/>
      <c r="AJ42" s="1806"/>
      <c r="AK42" s="1806"/>
      <c r="AL42" s="1806"/>
      <c r="AM42" s="1806"/>
      <c r="AN42" s="1806"/>
      <c r="AO42" s="1806"/>
      <c r="AP42" s="1806"/>
      <c r="AQ42" s="1806"/>
      <c r="AR42" s="1806"/>
      <c r="AS42" s="1806"/>
      <c r="AT42" s="1807"/>
      <c r="AU42" s="110"/>
    </row>
    <row r="43" spans="1:47" ht="25.5">
      <c r="A43" s="1821" t="s">
        <v>12712</v>
      </c>
      <c r="B43" s="973" t="str">
        <f>VLOOKUP($A43,'Medição '!$A:$G,4,0)</f>
        <v>(CLASSIFICAÇÃO DE RESÍDUO) - LOCAÇÃO DE CAÇAMBA ESTACIONÁRIA 5M³. INCLUSO TRANSPORTE MANUAL DE ENTULHO.</v>
      </c>
      <c r="C43" s="974" t="e">
        <f>VLOOKUP($A43,'Medição '!$A:$G,10,0)</f>
        <v>#REF!</v>
      </c>
      <c r="D43" s="975"/>
      <c r="E43" s="958" t="e">
        <f t="shared" si="23"/>
        <v>#REF!</v>
      </c>
      <c r="F43" s="959">
        <f t="shared" ref="F43:F49" si="25">1/10</f>
        <v>0.1</v>
      </c>
      <c r="G43" s="958" t="e">
        <f t="shared" ref="G43:G49" si="26">$C43*H43</f>
        <v>#REF!</v>
      </c>
      <c r="H43" s="959">
        <f t="shared" ref="H43:H49" si="27">1/10</f>
        <v>0.1</v>
      </c>
      <c r="I43" s="958" t="e">
        <f t="shared" ref="I43:I49" si="28">$C43*J43</f>
        <v>#REF!</v>
      </c>
      <c r="J43" s="959">
        <f t="shared" ref="J43:J49" si="29">1/10</f>
        <v>0.1</v>
      </c>
      <c r="K43" s="958" t="e">
        <f t="shared" ref="K43:K49" si="30">$C43*L43</f>
        <v>#REF!</v>
      </c>
      <c r="L43" s="959">
        <f t="shared" ref="L43:L49" si="31">1/10</f>
        <v>0.1</v>
      </c>
      <c r="M43" s="958" t="e">
        <f t="shared" ref="M43:M49" si="32">$C43*N43</f>
        <v>#REF!</v>
      </c>
      <c r="N43" s="959">
        <f t="shared" ref="N43:N49" si="33">1/10</f>
        <v>0.1</v>
      </c>
      <c r="O43" s="958" t="e">
        <f t="shared" ref="O43:O49" si="34">$C43*P43</f>
        <v>#REF!</v>
      </c>
      <c r="P43" s="959">
        <f t="shared" ref="P43:P49" si="35">1/10</f>
        <v>0.1</v>
      </c>
      <c r="Q43" s="958" t="e">
        <f t="shared" ref="Q43:Q49" si="36">$C43*R43</f>
        <v>#REF!</v>
      </c>
      <c r="R43" s="959">
        <f t="shared" ref="R43:R49" si="37">1/10</f>
        <v>0.1</v>
      </c>
      <c r="S43" s="958" t="e">
        <f t="shared" ref="S43:S49" si="38">$C43*T43</f>
        <v>#REF!</v>
      </c>
      <c r="T43" s="959">
        <f t="shared" ref="T43:T49" si="39">1/10</f>
        <v>0.1</v>
      </c>
      <c r="U43" s="960" t="e">
        <f t="shared" ref="U43:U49" si="40">$C43*V43</f>
        <v>#REF!</v>
      </c>
      <c r="V43" s="959">
        <f t="shared" ref="V43:V49" si="41">1/10</f>
        <v>0.1</v>
      </c>
      <c r="W43" s="960" t="e">
        <f t="shared" ref="W43:W49" si="42">$C43*X43</f>
        <v>#REF!</v>
      </c>
      <c r="X43" s="959">
        <f t="shared" ref="X43:X49" si="43">1/10</f>
        <v>0.1</v>
      </c>
      <c r="Y43" s="961" t="e">
        <f t="shared" si="22"/>
        <v>#REF!</v>
      </c>
      <c r="Z43" s="947">
        <f t="shared" si="24"/>
        <v>0.99999999999999989</v>
      </c>
      <c r="AA43" s="1817"/>
      <c r="AB43" s="1806"/>
      <c r="AC43" s="1806"/>
      <c r="AD43" s="1806"/>
      <c r="AE43" s="1806"/>
      <c r="AF43" s="1806"/>
      <c r="AG43" s="1806"/>
      <c r="AH43" s="1806"/>
      <c r="AI43" s="1806"/>
      <c r="AJ43" s="1806"/>
      <c r="AK43" s="1806"/>
      <c r="AL43" s="1806"/>
      <c r="AM43" s="1806"/>
      <c r="AN43" s="1806"/>
      <c r="AO43" s="1806"/>
      <c r="AP43" s="1806"/>
      <c r="AQ43" s="1806"/>
      <c r="AR43" s="1806"/>
      <c r="AS43" s="1806"/>
      <c r="AT43" s="1807"/>
      <c r="AU43" s="110"/>
    </row>
    <row r="44" spans="1:47" ht="25.5">
      <c r="A44" s="1821" t="s">
        <v>12713</v>
      </c>
      <c r="B44" s="973" t="str">
        <f>VLOOKUP($A44,'Medição '!$A:$G,4,0)</f>
        <v>LOCAÇÃO DE CONTAINER 2,30 X 6,00 M, ALT. 2,50 M, PARA ESCRITORIO, COM 1 SANITÁRIO, COMPLETO. EXCLUSO MOBILIZAÇÃO E DESMOBILIZAÇÃO</v>
      </c>
      <c r="C44" s="974" t="e">
        <f>VLOOKUP($A44,'Medição '!$A:$G,10,0)</f>
        <v>#REF!</v>
      </c>
      <c r="D44" s="975"/>
      <c r="E44" s="958" t="e">
        <f t="shared" si="23"/>
        <v>#REF!</v>
      </c>
      <c r="F44" s="959">
        <f t="shared" si="25"/>
        <v>0.1</v>
      </c>
      <c r="G44" s="958" t="e">
        <f t="shared" si="26"/>
        <v>#REF!</v>
      </c>
      <c r="H44" s="959">
        <f t="shared" si="27"/>
        <v>0.1</v>
      </c>
      <c r="I44" s="958" t="e">
        <f t="shared" si="28"/>
        <v>#REF!</v>
      </c>
      <c r="J44" s="959">
        <f t="shared" si="29"/>
        <v>0.1</v>
      </c>
      <c r="K44" s="958" t="e">
        <f t="shared" si="30"/>
        <v>#REF!</v>
      </c>
      <c r="L44" s="959">
        <f t="shared" si="31"/>
        <v>0.1</v>
      </c>
      <c r="M44" s="958" t="e">
        <f t="shared" si="32"/>
        <v>#REF!</v>
      </c>
      <c r="N44" s="959">
        <f t="shared" si="33"/>
        <v>0.1</v>
      </c>
      <c r="O44" s="958" t="e">
        <f t="shared" si="34"/>
        <v>#REF!</v>
      </c>
      <c r="P44" s="959">
        <f t="shared" si="35"/>
        <v>0.1</v>
      </c>
      <c r="Q44" s="958" t="e">
        <f t="shared" si="36"/>
        <v>#REF!</v>
      </c>
      <c r="R44" s="959">
        <f t="shared" si="37"/>
        <v>0.1</v>
      </c>
      <c r="S44" s="958" t="e">
        <f t="shared" si="38"/>
        <v>#REF!</v>
      </c>
      <c r="T44" s="959">
        <f t="shared" si="39"/>
        <v>0.1</v>
      </c>
      <c r="U44" s="960" t="e">
        <f t="shared" si="40"/>
        <v>#REF!</v>
      </c>
      <c r="V44" s="959">
        <f t="shared" si="41"/>
        <v>0.1</v>
      </c>
      <c r="W44" s="960" t="e">
        <f t="shared" si="42"/>
        <v>#REF!</v>
      </c>
      <c r="X44" s="959">
        <f t="shared" si="43"/>
        <v>0.1</v>
      </c>
      <c r="Y44" s="961" t="e">
        <f t="shared" si="22"/>
        <v>#REF!</v>
      </c>
      <c r="Z44" s="947">
        <f t="shared" si="24"/>
        <v>0.99999999999999989</v>
      </c>
      <c r="AA44" s="1817"/>
      <c r="AB44" s="1806"/>
      <c r="AC44" s="1806"/>
      <c r="AD44" s="1806"/>
      <c r="AE44" s="1806"/>
      <c r="AF44" s="1806"/>
      <c r="AG44" s="1806"/>
      <c r="AH44" s="1806"/>
      <c r="AI44" s="1806"/>
      <c r="AJ44" s="1806"/>
      <c r="AK44" s="1806"/>
      <c r="AL44" s="1806"/>
      <c r="AM44" s="1806"/>
      <c r="AN44" s="1806"/>
      <c r="AO44" s="1806"/>
      <c r="AP44" s="1806"/>
      <c r="AQ44" s="1806"/>
      <c r="AR44" s="1806"/>
      <c r="AS44" s="1806"/>
      <c r="AT44" s="1807"/>
      <c r="AU44" s="110"/>
    </row>
    <row r="45" spans="1:47" ht="25.5">
      <c r="A45" s="1821" t="s">
        <v>12714</v>
      </c>
      <c r="B45" s="973" t="str">
        <f>VLOOKUP($A45,'Medição '!$A:$G,4,0)</f>
        <v>LOCAÇÃO DE CONTAINER 2,30 X 4,30 M, ALT. 2,50 M, PARA SANITÁRIO, COM 3 BACIAS, 4 CHUVEIROS, 1 LAVATORIO E 1 MICTÓRIO (EXCLUSO MOBILIZAÇÃO/DESMOBILIZAÇÃO)</v>
      </c>
      <c r="C45" s="974" t="e">
        <f>VLOOKUP($A45,'Medição '!$A:$G,10,0)</f>
        <v>#REF!</v>
      </c>
      <c r="D45" s="975"/>
      <c r="E45" s="958" t="e">
        <f t="shared" si="23"/>
        <v>#REF!</v>
      </c>
      <c r="F45" s="959">
        <f t="shared" si="25"/>
        <v>0.1</v>
      </c>
      <c r="G45" s="958" t="e">
        <f t="shared" si="26"/>
        <v>#REF!</v>
      </c>
      <c r="H45" s="959">
        <f t="shared" si="27"/>
        <v>0.1</v>
      </c>
      <c r="I45" s="958" t="e">
        <f t="shared" si="28"/>
        <v>#REF!</v>
      </c>
      <c r="J45" s="959">
        <f t="shared" si="29"/>
        <v>0.1</v>
      </c>
      <c r="K45" s="958" t="e">
        <f t="shared" si="30"/>
        <v>#REF!</v>
      </c>
      <c r="L45" s="959">
        <f t="shared" si="31"/>
        <v>0.1</v>
      </c>
      <c r="M45" s="958" t="e">
        <f t="shared" si="32"/>
        <v>#REF!</v>
      </c>
      <c r="N45" s="959">
        <f t="shared" si="33"/>
        <v>0.1</v>
      </c>
      <c r="O45" s="958" t="e">
        <f t="shared" si="34"/>
        <v>#REF!</v>
      </c>
      <c r="P45" s="959">
        <f t="shared" si="35"/>
        <v>0.1</v>
      </c>
      <c r="Q45" s="958" t="e">
        <f t="shared" si="36"/>
        <v>#REF!</v>
      </c>
      <c r="R45" s="959">
        <f t="shared" si="37"/>
        <v>0.1</v>
      </c>
      <c r="S45" s="958" t="e">
        <f t="shared" si="38"/>
        <v>#REF!</v>
      </c>
      <c r="T45" s="959">
        <f t="shared" si="39"/>
        <v>0.1</v>
      </c>
      <c r="U45" s="960" t="e">
        <f t="shared" si="40"/>
        <v>#REF!</v>
      </c>
      <c r="V45" s="959">
        <f t="shared" si="41"/>
        <v>0.1</v>
      </c>
      <c r="W45" s="960" t="e">
        <f t="shared" si="42"/>
        <v>#REF!</v>
      </c>
      <c r="X45" s="959">
        <f t="shared" si="43"/>
        <v>0.1</v>
      </c>
      <c r="Y45" s="961" t="e">
        <f t="shared" si="22"/>
        <v>#REF!</v>
      </c>
      <c r="Z45" s="947">
        <f t="shared" si="24"/>
        <v>0.99999999999999989</v>
      </c>
      <c r="AA45" s="1817"/>
      <c r="AB45" s="1806"/>
      <c r="AC45" s="1806"/>
      <c r="AD45" s="1806"/>
      <c r="AE45" s="1806"/>
      <c r="AF45" s="1806"/>
      <c r="AG45" s="1806"/>
      <c r="AH45" s="1806"/>
      <c r="AI45" s="1806"/>
      <c r="AJ45" s="1806"/>
      <c r="AK45" s="1806"/>
      <c r="AL45" s="1806"/>
      <c r="AM45" s="1806"/>
      <c r="AN45" s="1806"/>
      <c r="AO45" s="1806"/>
      <c r="AP45" s="1806"/>
      <c r="AQ45" s="1806"/>
      <c r="AR45" s="1806"/>
      <c r="AS45" s="1806"/>
      <c r="AT45" s="1807"/>
      <c r="AU45" s="110"/>
    </row>
    <row r="46" spans="1:47" ht="25.5">
      <c r="A46" s="1821" t="s">
        <v>12715</v>
      </c>
      <c r="B46" s="973" t="str">
        <f>VLOOKUP($A46,'Medição '!$A:$G,4,0)</f>
        <v>LOCAÇÃO DE CONTAINER 2,30 X 6,00 M, ALT. 2,50 M, PARA SANITÁRIO, COM 4 BACIAS, 8 CHUVEIROS,1 LAVATÓRIO E 1 MICTÓRIO (EXCLUSO MOBILIZAÇÃO/DESMOBILIZAÇÃO)</v>
      </c>
      <c r="C46" s="974" t="e">
        <f>VLOOKUP($A46,'Medição '!$A:$G,10,0)</f>
        <v>#REF!</v>
      </c>
      <c r="D46" s="975"/>
      <c r="E46" s="958" t="e">
        <f t="shared" si="23"/>
        <v>#REF!</v>
      </c>
      <c r="F46" s="959">
        <f t="shared" si="25"/>
        <v>0.1</v>
      </c>
      <c r="G46" s="958" t="e">
        <f t="shared" si="26"/>
        <v>#REF!</v>
      </c>
      <c r="H46" s="959">
        <f t="shared" si="27"/>
        <v>0.1</v>
      </c>
      <c r="I46" s="958" t="e">
        <f t="shared" si="28"/>
        <v>#REF!</v>
      </c>
      <c r="J46" s="959">
        <f t="shared" si="29"/>
        <v>0.1</v>
      </c>
      <c r="K46" s="958" t="e">
        <f t="shared" si="30"/>
        <v>#REF!</v>
      </c>
      <c r="L46" s="959">
        <f t="shared" si="31"/>
        <v>0.1</v>
      </c>
      <c r="M46" s="958" t="e">
        <f t="shared" si="32"/>
        <v>#REF!</v>
      </c>
      <c r="N46" s="959">
        <f t="shared" si="33"/>
        <v>0.1</v>
      </c>
      <c r="O46" s="958" t="e">
        <f t="shared" si="34"/>
        <v>#REF!</v>
      </c>
      <c r="P46" s="959">
        <f t="shared" si="35"/>
        <v>0.1</v>
      </c>
      <c r="Q46" s="958" t="e">
        <f t="shared" si="36"/>
        <v>#REF!</v>
      </c>
      <c r="R46" s="959">
        <f t="shared" si="37"/>
        <v>0.1</v>
      </c>
      <c r="S46" s="958" t="e">
        <f t="shared" si="38"/>
        <v>#REF!</v>
      </c>
      <c r="T46" s="959">
        <f t="shared" si="39"/>
        <v>0.1</v>
      </c>
      <c r="U46" s="960" t="e">
        <f t="shared" si="40"/>
        <v>#REF!</v>
      </c>
      <c r="V46" s="959">
        <f t="shared" si="41"/>
        <v>0.1</v>
      </c>
      <c r="W46" s="960" t="e">
        <f t="shared" si="42"/>
        <v>#REF!</v>
      </c>
      <c r="X46" s="959">
        <f t="shared" si="43"/>
        <v>0.1</v>
      </c>
      <c r="Y46" s="961" t="e">
        <f t="shared" si="22"/>
        <v>#REF!</v>
      </c>
      <c r="Z46" s="947">
        <f t="shared" si="24"/>
        <v>0.99999999999999989</v>
      </c>
      <c r="AA46" s="1817"/>
      <c r="AB46" s="1806"/>
      <c r="AC46" s="1806"/>
      <c r="AD46" s="1806"/>
      <c r="AE46" s="1806"/>
      <c r="AF46" s="1806"/>
      <c r="AG46" s="1806"/>
      <c r="AH46" s="1806"/>
      <c r="AI46" s="1806"/>
      <c r="AJ46" s="1806"/>
      <c r="AK46" s="1806"/>
      <c r="AL46" s="1806"/>
      <c r="AM46" s="1806"/>
      <c r="AN46" s="1806"/>
      <c r="AO46" s="1806"/>
      <c r="AP46" s="1806"/>
      <c r="AQ46" s="1806"/>
      <c r="AR46" s="1806"/>
      <c r="AS46" s="1806"/>
      <c r="AT46" s="1807"/>
      <c r="AU46" s="110"/>
    </row>
    <row r="47" spans="1:47" ht="12.75">
      <c r="A47" s="1821" t="s">
        <v>12716</v>
      </c>
      <c r="B47" s="973" t="str">
        <f>VLOOKUP($A47,'Medição '!$A:$G,4,0)</f>
        <v>ESGOTAMENTO DE FOSSA SÉPTICA COM LIMPEZA CAMINHÃO LIMPA FOSSA ATÉ 6M³</v>
      </c>
      <c r="C47" s="974" t="e">
        <f>VLOOKUP($A47,'Medição '!$A:$G,10,0)</f>
        <v>#REF!</v>
      </c>
      <c r="D47" s="975"/>
      <c r="E47" s="958" t="e">
        <f t="shared" si="23"/>
        <v>#REF!</v>
      </c>
      <c r="F47" s="959">
        <f t="shared" si="25"/>
        <v>0.1</v>
      </c>
      <c r="G47" s="958" t="e">
        <f t="shared" si="26"/>
        <v>#REF!</v>
      </c>
      <c r="H47" s="959">
        <f t="shared" si="27"/>
        <v>0.1</v>
      </c>
      <c r="I47" s="958" t="e">
        <f t="shared" si="28"/>
        <v>#REF!</v>
      </c>
      <c r="J47" s="959">
        <f t="shared" si="29"/>
        <v>0.1</v>
      </c>
      <c r="K47" s="958" t="e">
        <f t="shared" si="30"/>
        <v>#REF!</v>
      </c>
      <c r="L47" s="959">
        <f t="shared" si="31"/>
        <v>0.1</v>
      </c>
      <c r="M47" s="958" t="e">
        <f t="shared" si="32"/>
        <v>#REF!</v>
      </c>
      <c r="N47" s="959">
        <f t="shared" si="33"/>
        <v>0.1</v>
      </c>
      <c r="O47" s="958" t="e">
        <f t="shared" si="34"/>
        <v>#REF!</v>
      </c>
      <c r="P47" s="959">
        <f t="shared" si="35"/>
        <v>0.1</v>
      </c>
      <c r="Q47" s="958" t="e">
        <f t="shared" si="36"/>
        <v>#REF!</v>
      </c>
      <c r="R47" s="959">
        <f t="shared" si="37"/>
        <v>0.1</v>
      </c>
      <c r="S47" s="958" t="e">
        <f t="shared" si="38"/>
        <v>#REF!</v>
      </c>
      <c r="T47" s="959">
        <f t="shared" si="39"/>
        <v>0.1</v>
      </c>
      <c r="U47" s="960" t="e">
        <f t="shared" si="40"/>
        <v>#REF!</v>
      </c>
      <c r="V47" s="959">
        <f t="shared" si="41"/>
        <v>0.1</v>
      </c>
      <c r="W47" s="960" t="e">
        <f t="shared" si="42"/>
        <v>#REF!</v>
      </c>
      <c r="X47" s="959">
        <f t="shared" si="43"/>
        <v>0.1</v>
      </c>
      <c r="Y47" s="961" t="e">
        <f t="shared" si="22"/>
        <v>#REF!</v>
      </c>
      <c r="Z47" s="947">
        <f t="shared" si="24"/>
        <v>0.99999999999999989</v>
      </c>
      <c r="AA47" s="1817"/>
      <c r="AB47" s="1806"/>
      <c r="AC47" s="1806"/>
      <c r="AD47" s="1806"/>
      <c r="AE47" s="1806"/>
      <c r="AF47" s="1806"/>
      <c r="AG47" s="1806"/>
      <c r="AH47" s="1806"/>
      <c r="AI47" s="1806"/>
      <c r="AJ47" s="1806"/>
      <c r="AK47" s="1806"/>
      <c r="AL47" s="1806"/>
      <c r="AM47" s="1806"/>
      <c r="AN47" s="1806"/>
      <c r="AO47" s="1806"/>
      <c r="AP47" s="1806"/>
      <c r="AQ47" s="1806"/>
      <c r="AR47" s="1806"/>
      <c r="AS47" s="1806"/>
      <c r="AT47" s="1807"/>
      <c r="AU47" s="110"/>
    </row>
    <row r="48" spans="1:47" ht="12.75">
      <c r="A48" s="1821" t="s">
        <v>12717</v>
      </c>
      <c r="B48" s="973" t="str">
        <f>VLOOKUP($A48,'Medição '!$A:$G,4,0)</f>
        <v>LOCAÇÃO DE CABINE DE BANHEIRO QUÍMICO, INCLUSO - INCLUSO FRETE E 02 MANUTENÇÕES MENSAIS</v>
      </c>
      <c r="C48" s="974" t="e">
        <f>VLOOKUP($A48,'Medição '!$A:$G,10,0)</f>
        <v>#REF!</v>
      </c>
      <c r="D48" s="975"/>
      <c r="E48" s="958" t="e">
        <f t="shared" si="23"/>
        <v>#REF!</v>
      </c>
      <c r="F48" s="959">
        <f t="shared" si="25"/>
        <v>0.1</v>
      </c>
      <c r="G48" s="958" t="e">
        <f t="shared" si="26"/>
        <v>#REF!</v>
      </c>
      <c r="H48" s="959">
        <f t="shared" si="27"/>
        <v>0.1</v>
      </c>
      <c r="I48" s="958" t="e">
        <f t="shared" si="28"/>
        <v>#REF!</v>
      </c>
      <c r="J48" s="959">
        <f t="shared" si="29"/>
        <v>0.1</v>
      </c>
      <c r="K48" s="958" t="e">
        <f t="shared" si="30"/>
        <v>#REF!</v>
      </c>
      <c r="L48" s="959">
        <f t="shared" si="31"/>
        <v>0.1</v>
      </c>
      <c r="M48" s="958" t="e">
        <f t="shared" si="32"/>
        <v>#REF!</v>
      </c>
      <c r="N48" s="959">
        <f t="shared" si="33"/>
        <v>0.1</v>
      </c>
      <c r="O48" s="958" t="e">
        <f t="shared" si="34"/>
        <v>#REF!</v>
      </c>
      <c r="P48" s="959">
        <f t="shared" si="35"/>
        <v>0.1</v>
      </c>
      <c r="Q48" s="958" t="e">
        <f t="shared" si="36"/>
        <v>#REF!</v>
      </c>
      <c r="R48" s="959">
        <f t="shared" si="37"/>
        <v>0.1</v>
      </c>
      <c r="S48" s="958" t="e">
        <f t="shared" si="38"/>
        <v>#REF!</v>
      </c>
      <c r="T48" s="959">
        <f t="shared" si="39"/>
        <v>0.1</v>
      </c>
      <c r="U48" s="960" t="e">
        <f t="shared" si="40"/>
        <v>#REF!</v>
      </c>
      <c r="V48" s="959">
        <f t="shared" si="41"/>
        <v>0.1</v>
      </c>
      <c r="W48" s="960" t="e">
        <f t="shared" si="42"/>
        <v>#REF!</v>
      </c>
      <c r="X48" s="959">
        <f t="shared" si="43"/>
        <v>0.1</v>
      </c>
      <c r="Y48" s="961" t="e">
        <f t="shared" si="22"/>
        <v>#REF!</v>
      </c>
      <c r="Z48" s="947">
        <f t="shared" si="24"/>
        <v>0.99999999999999989</v>
      </c>
      <c r="AA48" s="1817"/>
      <c r="AB48" s="1806"/>
      <c r="AC48" s="1806"/>
      <c r="AD48" s="1806"/>
      <c r="AE48" s="1806"/>
      <c r="AF48" s="1806"/>
      <c r="AG48" s="1806"/>
      <c r="AH48" s="1806"/>
      <c r="AI48" s="1806"/>
      <c r="AJ48" s="1806"/>
      <c r="AK48" s="1806"/>
      <c r="AL48" s="1806"/>
      <c r="AM48" s="1806"/>
      <c r="AN48" s="1806"/>
      <c r="AO48" s="1806"/>
      <c r="AP48" s="1806"/>
      <c r="AQ48" s="1806"/>
      <c r="AR48" s="1806"/>
      <c r="AS48" s="1806"/>
      <c r="AT48" s="1807"/>
      <c r="AU48" s="110"/>
    </row>
    <row r="49" spans="1:47" ht="25.5">
      <c r="A49" s="1821" t="s">
        <v>12718</v>
      </c>
      <c r="B49" s="973" t="str">
        <f>VLOOKUP($A49,'Medição '!$A:$G,4,0)</f>
        <v>LOCAÇÃO DE CONTAINER 2,30 X 6,00 M, ALT. 2,50 M, PARA ALMOXARIFADO, SEM DIVISÓRIAS INTERNAS E SEM SANITÁRIO (EXCLUSO MOBILIZAÇÃO/DESMOBILIZAÇÃO)</v>
      </c>
      <c r="C49" s="974" t="e">
        <f>VLOOKUP($A49,'Medição '!$A:$G,10,0)</f>
        <v>#REF!</v>
      </c>
      <c r="D49" s="975"/>
      <c r="E49" s="958" t="e">
        <f t="shared" si="23"/>
        <v>#REF!</v>
      </c>
      <c r="F49" s="959">
        <f t="shared" si="25"/>
        <v>0.1</v>
      </c>
      <c r="G49" s="958" t="e">
        <f t="shared" si="26"/>
        <v>#REF!</v>
      </c>
      <c r="H49" s="959">
        <f t="shared" si="27"/>
        <v>0.1</v>
      </c>
      <c r="I49" s="958" t="e">
        <f t="shared" si="28"/>
        <v>#REF!</v>
      </c>
      <c r="J49" s="959">
        <f t="shared" si="29"/>
        <v>0.1</v>
      </c>
      <c r="K49" s="958" t="e">
        <f t="shared" si="30"/>
        <v>#REF!</v>
      </c>
      <c r="L49" s="959">
        <f t="shared" si="31"/>
        <v>0.1</v>
      </c>
      <c r="M49" s="958" t="e">
        <f t="shared" si="32"/>
        <v>#REF!</v>
      </c>
      <c r="N49" s="959">
        <f t="shared" si="33"/>
        <v>0.1</v>
      </c>
      <c r="O49" s="958" t="e">
        <f t="shared" si="34"/>
        <v>#REF!</v>
      </c>
      <c r="P49" s="959">
        <f t="shared" si="35"/>
        <v>0.1</v>
      </c>
      <c r="Q49" s="958" t="e">
        <f t="shared" si="36"/>
        <v>#REF!</v>
      </c>
      <c r="R49" s="959">
        <f t="shared" si="37"/>
        <v>0.1</v>
      </c>
      <c r="S49" s="958" t="e">
        <f t="shared" si="38"/>
        <v>#REF!</v>
      </c>
      <c r="T49" s="959">
        <f t="shared" si="39"/>
        <v>0.1</v>
      </c>
      <c r="U49" s="960" t="e">
        <f t="shared" si="40"/>
        <v>#REF!</v>
      </c>
      <c r="V49" s="959">
        <f t="shared" si="41"/>
        <v>0.1</v>
      </c>
      <c r="W49" s="960" t="e">
        <f t="shared" si="42"/>
        <v>#REF!</v>
      </c>
      <c r="X49" s="959">
        <f t="shared" si="43"/>
        <v>0.1</v>
      </c>
      <c r="Y49" s="961" t="e">
        <f t="shared" si="22"/>
        <v>#REF!</v>
      </c>
      <c r="Z49" s="947">
        <f t="shared" si="24"/>
        <v>0.99999999999999989</v>
      </c>
      <c r="AA49" s="1817"/>
      <c r="AB49" s="1806"/>
      <c r="AC49" s="1806"/>
      <c r="AD49" s="1806"/>
      <c r="AE49" s="1806"/>
      <c r="AF49" s="1806"/>
      <c r="AG49" s="1806"/>
      <c r="AH49" s="1806"/>
      <c r="AI49" s="1806"/>
      <c r="AJ49" s="1806"/>
      <c r="AK49" s="1806"/>
      <c r="AL49" s="1806"/>
      <c r="AM49" s="1806"/>
      <c r="AN49" s="1806"/>
      <c r="AO49" s="1806"/>
      <c r="AP49" s="1806"/>
      <c r="AQ49" s="1806"/>
      <c r="AR49" s="1806"/>
      <c r="AS49" s="1806"/>
      <c r="AT49" s="1807"/>
      <c r="AU49" s="110"/>
    </row>
    <row r="50" spans="1:47" ht="12.75">
      <c r="A50" s="1820" t="s">
        <v>12719</v>
      </c>
      <c r="B50" s="963" t="str">
        <f>VLOOKUP($A50,'Medição '!$A:$G,4,0)</f>
        <v>EQUIPAMENTOS E BASE DE SERVIÇOS</v>
      </c>
      <c r="C50" s="964" t="e">
        <f>SUBTOTAL(9,C51:C56)</f>
        <v>#REF!</v>
      </c>
      <c r="D50" s="965"/>
      <c r="E50" s="966" t="e">
        <f>SUM(E51:E56)</f>
        <v>#REF!</v>
      </c>
      <c r="F50" s="967" t="e">
        <f>E50/$C$50</f>
        <v>#REF!</v>
      </c>
      <c r="G50" s="966" t="e">
        <f>SUM(G51:G56)</f>
        <v>#REF!</v>
      </c>
      <c r="H50" s="967" t="e">
        <f>G50/$C$50</f>
        <v>#REF!</v>
      </c>
      <c r="I50" s="966" t="e">
        <f>SUM(I51:I56)</f>
        <v>#REF!</v>
      </c>
      <c r="J50" s="967" t="e">
        <f>I50/$C$50</f>
        <v>#REF!</v>
      </c>
      <c r="K50" s="966" t="e">
        <f>SUM(K51:K56)</f>
        <v>#REF!</v>
      </c>
      <c r="L50" s="967" t="e">
        <f>K50/$C$50</f>
        <v>#REF!</v>
      </c>
      <c r="M50" s="966" t="e">
        <f>SUM(M51:M56)</f>
        <v>#REF!</v>
      </c>
      <c r="N50" s="967" t="e">
        <f>M50/$C$50</f>
        <v>#REF!</v>
      </c>
      <c r="O50" s="966" t="e">
        <f>SUM(O51:O56)</f>
        <v>#REF!</v>
      </c>
      <c r="P50" s="967" t="e">
        <f>O50/$C$50</f>
        <v>#REF!</v>
      </c>
      <c r="Q50" s="966" t="e">
        <f>SUM(Q51:Q56)</f>
        <v>#REF!</v>
      </c>
      <c r="R50" s="967" t="e">
        <f>Q50/$C$50</f>
        <v>#REF!</v>
      </c>
      <c r="S50" s="966" t="e">
        <f>SUM(S51:S56)</f>
        <v>#REF!</v>
      </c>
      <c r="T50" s="967" t="e">
        <f>S50/$C$50</f>
        <v>#REF!</v>
      </c>
      <c r="U50" s="966" t="e">
        <f>SUM(U51:U56)</f>
        <v>#REF!</v>
      </c>
      <c r="V50" s="967" t="e">
        <f>U50/$C$50</f>
        <v>#REF!</v>
      </c>
      <c r="W50" s="966" t="e">
        <f>SUM(W51:W56)</f>
        <v>#REF!</v>
      </c>
      <c r="X50" s="967" t="e">
        <f>W50/$C$50</f>
        <v>#REF!</v>
      </c>
      <c r="Y50" s="972" t="e">
        <f t="shared" si="22"/>
        <v>#REF!</v>
      </c>
      <c r="Z50" s="947" t="e">
        <f>SUM(F50,H50,J50,L50,N50,P50,R50,T50,V50,X50)</f>
        <v>#REF!</v>
      </c>
      <c r="AA50" s="1817"/>
      <c r="AB50" s="1806"/>
      <c r="AC50" s="1806"/>
      <c r="AD50" s="1806"/>
      <c r="AE50" s="1806"/>
      <c r="AF50" s="1806"/>
      <c r="AG50" s="1806"/>
      <c r="AH50" s="1806"/>
      <c r="AI50" s="1806"/>
      <c r="AJ50" s="1806"/>
      <c r="AK50" s="1806"/>
      <c r="AL50" s="1806"/>
      <c r="AM50" s="1806"/>
      <c r="AN50" s="1806"/>
      <c r="AO50" s="1806"/>
      <c r="AP50" s="1806"/>
      <c r="AQ50" s="1806"/>
      <c r="AR50" s="1806"/>
      <c r="AS50" s="1806"/>
      <c r="AT50" s="1807"/>
      <c r="AU50" s="110"/>
    </row>
    <row r="51" spans="1:47" ht="12.75">
      <c r="A51" s="1821" t="s">
        <v>12720</v>
      </c>
      <c r="B51" s="973" t="str">
        <f>VLOOKUP($A51,'Medição '!$A:$G,4,0)</f>
        <v>LOCACAO DE GRUPO GERADOR 80 A 125 KVA, MOTOR DIESEL, REBOCAVEL, ACIONAMENTO MANUAL</v>
      </c>
      <c r="C51" s="974" t="e">
        <f>VLOOKUP($A51,'Medição '!$A:$G,10,0)</f>
        <v>#REF!</v>
      </c>
      <c r="D51" s="975"/>
      <c r="E51" s="958" t="e">
        <f t="shared" ref="E51:E56" si="44">$C51*F51</f>
        <v>#REF!</v>
      </c>
      <c r="F51" s="959">
        <f t="shared" ref="F51:F56" si="45">1/10</f>
        <v>0.1</v>
      </c>
      <c r="G51" s="958" t="e">
        <f t="shared" ref="G51:G56" si="46">$C51*H51</f>
        <v>#REF!</v>
      </c>
      <c r="H51" s="959">
        <f t="shared" ref="H51:H56" si="47">1/10</f>
        <v>0.1</v>
      </c>
      <c r="I51" s="958" t="e">
        <f t="shared" ref="I51:I56" si="48">$C51*J51</f>
        <v>#REF!</v>
      </c>
      <c r="J51" s="959">
        <f t="shared" ref="J51:J56" si="49">1/10</f>
        <v>0.1</v>
      </c>
      <c r="K51" s="958" t="e">
        <f t="shared" ref="K51:K56" si="50">$C51*L51</f>
        <v>#REF!</v>
      </c>
      <c r="L51" s="959">
        <f t="shared" ref="L51:L56" si="51">1/10</f>
        <v>0.1</v>
      </c>
      <c r="M51" s="958" t="e">
        <f t="shared" ref="M51:M56" si="52">$C51*N51</f>
        <v>#REF!</v>
      </c>
      <c r="N51" s="959">
        <f t="shared" ref="N51:N56" si="53">1/10</f>
        <v>0.1</v>
      </c>
      <c r="O51" s="958" t="e">
        <f t="shared" ref="O51:O56" si="54">$C51*P51</f>
        <v>#REF!</v>
      </c>
      <c r="P51" s="959">
        <f t="shared" ref="P51:P56" si="55">1/10</f>
        <v>0.1</v>
      </c>
      <c r="Q51" s="958" t="e">
        <f t="shared" ref="Q51:Q56" si="56">$C51*R51</f>
        <v>#REF!</v>
      </c>
      <c r="R51" s="959">
        <f t="shared" ref="R51:R56" si="57">1/10</f>
        <v>0.1</v>
      </c>
      <c r="S51" s="958" t="e">
        <f t="shared" ref="S51:S56" si="58">$C51*T51</f>
        <v>#REF!</v>
      </c>
      <c r="T51" s="959">
        <f t="shared" ref="T51:T56" si="59">1/10</f>
        <v>0.1</v>
      </c>
      <c r="U51" s="960" t="e">
        <f t="shared" ref="U51:U56" si="60">$C51*V51</f>
        <v>#REF!</v>
      </c>
      <c r="V51" s="959">
        <f t="shared" ref="V51:V56" si="61">1/10</f>
        <v>0.1</v>
      </c>
      <c r="W51" s="960" t="e">
        <f t="shared" ref="W51:W56" si="62">$C51*X51</f>
        <v>#REF!</v>
      </c>
      <c r="X51" s="959">
        <f t="shared" ref="X51:X56" si="63">1/10</f>
        <v>0.1</v>
      </c>
      <c r="Y51" s="961" t="e">
        <f t="shared" si="22"/>
        <v>#REF!</v>
      </c>
      <c r="Z51" s="947">
        <f t="shared" ref="Z51:Z56" si="64">SUM(F51,H51,J51,L51,N51,P51,R51,T51,V51,X51,)</f>
        <v>0.99999999999999989</v>
      </c>
      <c r="AA51" s="1817"/>
      <c r="AB51" s="1806"/>
      <c r="AC51" s="1806"/>
      <c r="AD51" s="1806"/>
      <c r="AE51" s="1806"/>
      <c r="AF51" s="1806"/>
      <c r="AG51" s="1806"/>
      <c r="AH51" s="1806"/>
      <c r="AI51" s="1806"/>
      <c r="AJ51" s="1806"/>
      <c r="AK51" s="1806"/>
      <c r="AL51" s="1806"/>
      <c r="AM51" s="1806"/>
      <c r="AN51" s="1806"/>
      <c r="AO51" s="1806"/>
      <c r="AP51" s="1806"/>
      <c r="AQ51" s="1806"/>
      <c r="AR51" s="1806"/>
      <c r="AS51" s="1806"/>
      <c r="AT51" s="1807"/>
      <c r="AU51" s="110"/>
    </row>
    <row r="52" spans="1:47" ht="12.75">
      <c r="A52" s="1821" t="s">
        <v>12721</v>
      </c>
      <c r="B52" s="1801" t="str">
        <f>VLOOKUP($A52,'Medição '!$A:$G,4,0)</f>
        <v>GERADOR PORTÁTIL MONOFÁSICO, POTÊNCIA 5500 VA, MOTOR A GASOLINA, POTÊNCIA DO MOTOR 13 CV</v>
      </c>
      <c r="C52" s="974" t="e">
        <f>VLOOKUP($A52,'Medição '!$A:$G,10,0)</f>
        <v>#REF!</v>
      </c>
      <c r="D52" s="975"/>
      <c r="E52" s="958" t="e">
        <f t="shared" si="44"/>
        <v>#REF!</v>
      </c>
      <c r="F52" s="959">
        <f t="shared" si="45"/>
        <v>0.1</v>
      </c>
      <c r="G52" s="958" t="e">
        <f t="shared" si="46"/>
        <v>#REF!</v>
      </c>
      <c r="H52" s="959">
        <f t="shared" si="47"/>
        <v>0.1</v>
      </c>
      <c r="I52" s="958" t="e">
        <f t="shared" si="48"/>
        <v>#REF!</v>
      </c>
      <c r="J52" s="959">
        <f t="shared" si="49"/>
        <v>0.1</v>
      </c>
      <c r="K52" s="958" t="e">
        <f t="shared" si="50"/>
        <v>#REF!</v>
      </c>
      <c r="L52" s="959">
        <f t="shared" si="51"/>
        <v>0.1</v>
      </c>
      <c r="M52" s="958" t="e">
        <f t="shared" si="52"/>
        <v>#REF!</v>
      </c>
      <c r="N52" s="959">
        <f t="shared" si="53"/>
        <v>0.1</v>
      </c>
      <c r="O52" s="958" t="e">
        <f t="shared" si="54"/>
        <v>#REF!</v>
      </c>
      <c r="P52" s="959">
        <f t="shared" si="55"/>
        <v>0.1</v>
      </c>
      <c r="Q52" s="958" t="e">
        <f t="shared" si="56"/>
        <v>#REF!</v>
      </c>
      <c r="R52" s="959">
        <f t="shared" si="57"/>
        <v>0.1</v>
      </c>
      <c r="S52" s="958" t="e">
        <f t="shared" si="58"/>
        <v>#REF!</v>
      </c>
      <c r="T52" s="959">
        <f t="shared" si="59"/>
        <v>0.1</v>
      </c>
      <c r="U52" s="960" t="e">
        <f t="shared" si="60"/>
        <v>#REF!</v>
      </c>
      <c r="V52" s="959">
        <f t="shared" si="61"/>
        <v>0.1</v>
      </c>
      <c r="W52" s="960" t="e">
        <f t="shared" si="62"/>
        <v>#REF!</v>
      </c>
      <c r="X52" s="959">
        <f t="shared" si="63"/>
        <v>0.1</v>
      </c>
      <c r="Y52" s="961" t="e">
        <f t="shared" si="22"/>
        <v>#REF!</v>
      </c>
      <c r="Z52" s="947">
        <f t="shared" si="64"/>
        <v>0.99999999999999989</v>
      </c>
      <c r="AA52" s="1817"/>
      <c r="AB52" s="1806"/>
      <c r="AC52" s="1806"/>
      <c r="AD52" s="1806"/>
      <c r="AE52" s="1806"/>
      <c r="AF52" s="1806"/>
      <c r="AG52" s="1806"/>
      <c r="AH52" s="1806"/>
      <c r="AI52" s="1806"/>
      <c r="AJ52" s="1806"/>
      <c r="AK52" s="1806"/>
      <c r="AL52" s="1806"/>
      <c r="AM52" s="1806"/>
      <c r="AN52" s="1806"/>
      <c r="AO52" s="1806"/>
      <c r="AP52" s="1806"/>
      <c r="AQ52" s="1806"/>
      <c r="AR52" s="1806"/>
      <c r="AS52" s="1806"/>
      <c r="AT52" s="1807"/>
      <c r="AU52" s="110"/>
    </row>
    <row r="53" spans="1:47" ht="38.25">
      <c r="A53" s="1821" t="s">
        <v>12722</v>
      </c>
      <c r="B53" s="973" t="str">
        <f>VLOOKUP($A53,'Medição '!$A:$G,4,0)</f>
        <v>LOCACAO DE ANDAIME METALICO TIPO FACHADEIRO, PECAS COM APROXIMADAMENTE 1,20 M DE LARGURA E 2,0 M DE ALTURA, INCLUINDO DIAGONAIS EM X, BARRAS DE LIGACAO, SAPATAS E DEMAIS ITENS NECESSARIOS A MONTAGEM, INCLUSO INSTALAÇÃO</v>
      </c>
      <c r="C53" s="974" t="e">
        <f>VLOOKUP($A53,'Medição '!$A:$G,10,0)</f>
        <v>#REF!</v>
      </c>
      <c r="D53" s="975"/>
      <c r="E53" s="958" t="e">
        <f t="shared" si="44"/>
        <v>#REF!</v>
      </c>
      <c r="F53" s="959">
        <f t="shared" si="45"/>
        <v>0.1</v>
      </c>
      <c r="G53" s="958" t="e">
        <f t="shared" si="46"/>
        <v>#REF!</v>
      </c>
      <c r="H53" s="959">
        <f t="shared" si="47"/>
        <v>0.1</v>
      </c>
      <c r="I53" s="958" t="e">
        <f t="shared" si="48"/>
        <v>#REF!</v>
      </c>
      <c r="J53" s="959">
        <f t="shared" si="49"/>
        <v>0.1</v>
      </c>
      <c r="K53" s="958" t="e">
        <f t="shared" si="50"/>
        <v>#REF!</v>
      </c>
      <c r="L53" s="959">
        <f t="shared" si="51"/>
        <v>0.1</v>
      </c>
      <c r="M53" s="958" t="e">
        <f t="shared" si="52"/>
        <v>#REF!</v>
      </c>
      <c r="N53" s="959">
        <f t="shared" si="53"/>
        <v>0.1</v>
      </c>
      <c r="O53" s="958" t="e">
        <f t="shared" si="54"/>
        <v>#REF!</v>
      </c>
      <c r="P53" s="959">
        <f t="shared" si="55"/>
        <v>0.1</v>
      </c>
      <c r="Q53" s="958" t="e">
        <f t="shared" si="56"/>
        <v>#REF!</v>
      </c>
      <c r="R53" s="959">
        <f t="shared" si="57"/>
        <v>0.1</v>
      </c>
      <c r="S53" s="958" t="e">
        <f t="shared" si="58"/>
        <v>#REF!</v>
      </c>
      <c r="T53" s="959">
        <f t="shared" si="59"/>
        <v>0.1</v>
      </c>
      <c r="U53" s="960" t="e">
        <f t="shared" si="60"/>
        <v>#REF!</v>
      </c>
      <c r="V53" s="959">
        <f t="shared" si="61"/>
        <v>0.1</v>
      </c>
      <c r="W53" s="960" t="e">
        <f t="shared" si="62"/>
        <v>#REF!</v>
      </c>
      <c r="X53" s="959">
        <f t="shared" si="63"/>
        <v>0.1</v>
      </c>
      <c r="Y53" s="961" t="e">
        <f t="shared" si="22"/>
        <v>#REF!</v>
      </c>
      <c r="Z53" s="947">
        <f t="shared" si="64"/>
        <v>0.99999999999999989</v>
      </c>
      <c r="AA53" s="1817"/>
      <c r="AB53" s="1806"/>
      <c r="AC53" s="1806"/>
      <c r="AD53" s="1806"/>
      <c r="AE53" s="1806"/>
      <c r="AF53" s="1806"/>
      <c r="AG53" s="1806"/>
      <c r="AH53" s="1806"/>
      <c r="AI53" s="1806"/>
      <c r="AJ53" s="1806"/>
      <c r="AK53" s="1806"/>
      <c r="AL53" s="1806"/>
      <c r="AM53" s="1806"/>
      <c r="AN53" s="1806"/>
      <c r="AO53" s="1806"/>
      <c r="AP53" s="1806"/>
      <c r="AQ53" s="1806"/>
      <c r="AR53" s="1806"/>
      <c r="AS53" s="1806"/>
      <c r="AT53" s="1807"/>
      <c r="AU53" s="110"/>
    </row>
    <row r="54" spans="1:47" ht="25.5">
      <c r="A54" s="1821" t="s">
        <v>12723</v>
      </c>
      <c r="B54" s="973" t="str">
        <f>VLOOKUP($A54,'Medição '!$A:$G,4,0)</f>
        <v>LOCAÇÃO E MONTAGEM DE ANDAIME METÁLICO TUBULAR TIPO TORRE, INCLUSO ITENS NECESSÁRIOS A MONTAGEM</v>
      </c>
      <c r="C54" s="974" t="e">
        <f>VLOOKUP($A54,'Medição '!$A:$G,10,0)</f>
        <v>#REF!</v>
      </c>
      <c r="D54" s="975"/>
      <c r="E54" s="958" t="e">
        <f t="shared" si="44"/>
        <v>#REF!</v>
      </c>
      <c r="F54" s="959">
        <f t="shared" si="45"/>
        <v>0.1</v>
      </c>
      <c r="G54" s="958" t="e">
        <f t="shared" si="46"/>
        <v>#REF!</v>
      </c>
      <c r="H54" s="959">
        <f t="shared" si="47"/>
        <v>0.1</v>
      </c>
      <c r="I54" s="958" t="e">
        <f t="shared" si="48"/>
        <v>#REF!</v>
      </c>
      <c r="J54" s="959">
        <f t="shared" si="49"/>
        <v>0.1</v>
      </c>
      <c r="K54" s="958" t="e">
        <f t="shared" si="50"/>
        <v>#REF!</v>
      </c>
      <c r="L54" s="959">
        <f t="shared" si="51"/>
        <v>0.1</v>
      </c>
      <c r="M54" s="958" t="e">
        <f t="shared" si="52"/>
        <v>#REF!</v>
      </c>
      <c r="N54" s="959">
        <f t="shared" si="53"/>
        <v>0.1</v>
      </c>
      <c r="O54" s="958" t="e">
        <f t="shared" si="54"/>
        <v>#REF!</v>
      </c>
      <c r="P54" s="959">
        <f t="shared" si="55"/>
        <v>0.1</v>
      </c>
      <c r="Q54" s="958" t="e">
        <f t="shared" si="56"/>
        <v>#REF!</v>
      </c>
      <c r="R54" s="959">
        <f t="shared" si="57"/>
        <v>0.1</v>
      </c>
      <c r="S54" s="958" t="e">
        <f t="shared" si="58"/>
        <v>#REF!</v>
      </c>
      <c r="T54" s="959">
        <f t="shared" si="59"/>
        <v>0.1</v>
      </c>
      <c r="U54" s="960" t="e">
        <f t="shared" si="60"/>
        <v>#REF!</v>
      </c>
      <c r="V54" s="959">
        <f t="shared" si="61"/>
        <v>0.1</v>
      </c>
      <c r="W54" s="960" t="e">
        <f t="shared" si="62"/>
        <v>#REF!</v>
      </c>
      <c r="X54" s="959">
        <f t="shared" si="63"/>
        <v>0.1</v>
      </c>
      <c r="Y54" s="961" t="e">
        <f t="shared" si="22"/>
        <v>#REF!</v>
      </c>
      <c r="Z54" s="947">
        <f t="shared" si="64"/>
        <v>0.99999999999999989</v>
      </c>
      <c r="AA54" s="1817"/>
      <c r="AB54" s="1806"/>
      <c r="AC54" s="1806"/>
      <c r="AD54" s="1806"/>
      <c r="AE54" s="1806"/>
      <c r="AF54" s="1806"/>
      <c r="AG54" s="1806"/>
      <c r="AH54" s="1806"/>
      <c r="AI54" s="1806"/>
      <c r="AJ54" s="1806"/>
      <c r="AK54" s="1806"/>
      <c r="AL54" s="1806"/>
      <c r="AM54" s="1806"/>
      <c r="AN54" s="1806"/>
      <c r="AO54" s="1806"/>
      <c r="AP54" s="1806"/>
      <c r="AQ54" s="1806"/>
      <c r="AR54" s="1806"/>
      <c r="AS54" s="1806"/>
      <c r="AT54" s="1807"/>
      <c r="AU54" s="110"/>
    </row>
    <row r="55" spans="1:47" ht="25.5">
      <c r="A55" s="1821" t="s">
        <v>12724</v>
      </c>
      <c r="B55" s="973" t="str">
        <f>VLOOKUP($A55,'Medição '!$A:$G,4,0)</f>
        <v>LOCAÇÃO CONVENCIONAL DE OBRA, UTILIZANDO GABARITO DE TÁBUAS CORRIDAS PONTALETADAS A CADA 2,00M -  2 UTILIZAÇÕES. AF_03/2024</v>
      </c>
      <c r="C55" s="974" t="e">
        <f>VLOOKUP($A55,'Medição '!$A:$G,10,0)</f>
        <v>#REF!</v>
      </c>
      <c r="D55" s="975"/>
      <c r="E55" s="958" t="e">
        <f t="shared" si="44"/>
        <v>#REF!</v>
      </c>
      <c r="F55" s="959">
        <f t="shared" si="45"/>
        <v>0.1</v>
      </c>
      <c r="G55" s="958" t="e">
        <f t="shared" si="46"/>
        <v>#REF!</v>
      </c>
      <c r="H55" s="959">
        <f t="shared" si="47"/>
        <v>0.1</v>
      </c>
      <c r="I55" s="958" t="e">
        <f t="shared" si="48"/>
        <v>#REF!</v>
      </c>
      <c r="J55" s="959">
        <f t="shared" si="49"/>
        <v>0.1</v>
      </c>
      <c r="K55" s="958" t="e">
        <f t="shared" si="50"/>
        <v>#REF!</v>
      </c>
      <c r="L55" s="959">
        <f t="shared" si="51"/>
        <v>0.1</v>
      </c>
      <c r="M55" s="958" t="e">
        <f t="shared" si="52"/>
        <v>#REF!</v>
      </c>
      <c r="N55" s="959">
        <f t="shared" si="53"/>
        <v>0.1</v>
      </c>
      <c r="O55" s="958" t="e">
        <f t="shared" si="54"/>
        <v>#REF!</v>
      </c>
      <c r="P55" s="959">
        <f t="shared" si="55"/>
        <v>0.1</v>
      </c>
      <c r="Q55" s="958" t="e">
        <f t="shared" si="56"/>
        <v>#REF!</v>
      </c>
      <c r="R55" s="959">
        <f t="shared" si="57"/>
        <v>0.1</v>
      </c>
      <c r="S55" s="958" t="e">
        <f t="shared" si="58"/>
        <v>#REF!</v>
      </c>
      <c r="T55" s="959">
        <f t="shared" si="59"/>
        <v>0.1</v>
      </c>
      <c r="U55" s="960" t="e">
        <f t="shared" si="60"/>
        <v>#REF!</v>
      </c>
      <c r="V55" s="959">
        <f t="shared" si="61"/>
        <v>0.1</v>
      </c>
      <c r="W55" s="960" t="e">
        <f t="shared" si="62"/>
        <v>#REF!</v>
      </c>
      <c r="X55" s="959">
        <f t="shared" si="63"/>
        <v>0.1</v>
      </c>
      <c r="Y55" s="961" t="e">
        <f t="shared" si="22"/>
        <v>#REF!</v>
      </c>
      <c r="Z55" s="947">
        <f t="shared" si="64"/>
        <v>0.99999999999999989</v>
      </c>
      <c r="AA55" s="1817"/>
      <c r="AB55" s="1806"/>
      <c r="AC55" s="1806"/>
      <c r="AD55" s="1806"/>
      <c r="AE55" s="1806"/>
      <c r="AF55" s="1806"/>
      <c r="AG55" s="1806"/>
      <c r="AH55" s="1806"/>
      <c r="AI55" s="1806"/>
      <c r="AJ55" s="1806"/>
      <c r="AK55" s="1806"/>
      <c r="AL55" s="1806"/>
      <c r="AM55" s="1806"/>
      <c r="AN55" s="1806"/>
      <c r="AO55" s="1806"/>
      <c r="AP55" s="1806"/>
      <c r="AQ55" s="1806"/>
      <c r="AR55" s="1806"/>
      <c r="AS55" s="1806"/>
      <c r="AT55" s="1807"/>
      <c r="AU55" s="110"/>
    </row>
    <row r="56" spans="1:47" ht="38.25">
      <c r="A56" s="1821" t="s">
        <v>12725</v>
      </c>
      <c r="B56" s="973" t="str">
        <f>VLOOKUP($A56,'Medição '!$A:$G,4,0)</f>
        <v>GUINDAUTO HIDRÁULICO, CAPACIDADE MÁXIMA DE CARGA 6200 KG, MOMENTO MÁXIMO DE CARGA 11,7 TM, ALCANCE MÁXIMO HORIZONTAL 9,70 M, INCLUSIVE CAMINHÃO TOCO PBT 16.000 KG, POTÊNCIA DE 189 CV - CHP DIURNO. AF_06/2014</v>
      </c>
      <c r="C56" s="974" t="e">
        <f>VLOOKUP($A56,'Medição '!$A:$G,10,0)</f>
        <v>#REF!</v>
      </c>
      <c r="D56" s="975"/>
      <c r="E56" s="958" t="e">
        <f t="shared" si="44"/>
        <v>#REF!</v>
      </c>
      <c r="F56" s="959">
        <f t="shared" si="45"/>
        <v>0.1</v>
      </c>
      <c r="G56" s="958" t="e">
        <f t="shared" si="46"/>
        <v>#REF!</v>
      </c>
      <c r="H56" s="959">
        <f t="shared" si="47"/>
        <v>0.1</v>
      </c>
      <c r="I56" s="958" t="e">
        <f t="shared" si="48"/>
        <v>#REF!</v>
      </c>
      <c r="J56" s="959">
        <f t="shared" si="49"/>
        <v>0.1</v>
      </c>
      <c r="K56" s="958" t="e">
        <f t="shared" si="50"/>
        <v>#REF!</v>
      </c>
      <c r="L56" s="959">
        <f t="shared" si="51"/>
        <v>0.1</v>
      </c>
      <c r="M56" s="958" t="e">
        <f t="shared" si="52"/>
        <v>#REF!</v>
      </c>
      <c r="N56" s="959">
        <f t="shared" si="53"/>
        <v>0.1</v>
      </c>
      <c r="O56" s="958" t="e">
        <f t="shared" si="54"/>
        <v>#REF!</v>
      </c>
      <c r="P56" s="959">
        <f t="shared" si="55"/>
        <v>0.1</v>
      </c>
      <c r="Q56" s="958" t="e">
        <f t="shared" si="56"/>
        <v>#REF!</v>
      </c>
      <c r="R56" s="959">
        <f t="shared" si="57"/>
        <v>0.1</v>
      </c>
      <c r="S56" s="958" t="e">
        <f t="shared" si="58"/>
        <v>#REF!</v>
      </c>
      <c r="T56" s="959">
        <f t="shared" si="59"/>
        <v>0.1</v>
      </c>
      <c r="U56" s="960" t="e">
        <f t="shared" si="60"/>
        <v>#REF!</v>
      </c>
      <c r="V56" s="959">
        <f t="shared" si="61"/>
        <v>0.1</v>
      </c>
      <c r="W56" s="960" t="e">
        <f t="shared" si="62"/>
        <v>#REF!</v>
      </c>
      <c r="X56" s="959">
        <f t="shared" si="63"/>
        <v>0.1</v>
      </c>
      <c r="Y56" s="961" t="e">
        <f t="shared" si="22"/>
        <v>#REF!</v>
      </c>
      <c r="Z56" s="947">
        <f t="shared" si="64"/>
        <v>0.99999999999999989</v>
      </c>
      <c r="AA56" s="1817"/>
      <c r="AB56" s="1806"/>
      <c r="AC56" s="1806"/>
      <c r="AD56" s="1806"/>
      <c r="AE56" s="1806"/>
      <c r="AF56" s="1806"/>
      <c r="AG56" s="1806"/>
      <c r="AH56" s="1806"/>
      <c r="AI56" s="1806"/>
      <c r="AJ56" s="1806"/>
      <c r="AK56" s="1806"/>
      <c r="AL56" s="1806"/>
      <c r="AM56" s="1806"/>
      <c r="AN56" s="1806"/>
      <c r="AO56" s="1806"/>
      <c r="AP56" s="1806"/>
      <c r="AQ56" s="1806"/>
      <c r="AR56" s="1806"/>
      <c r="AS56" s="1806"/>
      <c r="AT56" s="1807"/>
      <c r="AU56" s="110"/>
    </row>
    <row r="57" spans="1:47" ht="12.75">
      <c r="A57" s="1820" t="s">
        <v>12726</v>
      </c>
      <c r="B57" s="963" t="str">
        <f>VLOOKUP($A57,'Medição '!$A:$G,4,0)</f>
        <v>SERVIÇOS FINAIS (ELABORAÇÃO DE AS BUILT / LIMPEZA DE OBRA)</v>
      </c>
      <c r="C57" s="964" t="e">
        <f>SUBTOTAL(9,C58:C59)</f>
        <v>#REF!</v>
      </c>
      <c r="D57" s="965"/>
      <c r="E57" s="966"/>
      <c r="F57" s="967"/>
      <c r="G57" s="968"/>
      <c r="H57" s="969"/>
      <c r="I57" s="968"/>
      <c r="J57" s="969"/>
      <c r="K57" s="968"/>
      <c r="L57" s="969"/>
      <c r="M57" s="968"/>
      <c r="N57" s="970"/>
      <c r="O57" s="968"/>
      <c r="P57" s="970"/>
      <c r="Q57" s="968"/>
      <c r="R57" s="969"/>
      <c r="S57" s="968"/>
      <c r="T57" s="969"/>
      <c r="U57" s="971"/>
      <c r="V57" s="967"/>
      <c r="W57" s="971" t="e">
        <f>SUM(W58:W59)</f>
        <v>#REF!</v>
      </c>
      <c r="X57" s="967" t="e">
        <f>W57/C57</f>
        <v>#REF!</v>
      </c>
      <c r="Y57" s="972" t="e">
        <f t="shared" si="22"/>
        <v>#REF!</v>
      </c>
      <c r="Z57" s="947" t="e">
        <f>SUM(F57,H57,J57,L57,N57,P57,R57,T57,V57,X57)</f>
        <v>#REF!</v>
      </c>
      <c r="AA57" s="1817"/>
      <c r="AB57" s="1806"/>
      <c r="AC57" s="1806"/>
      <c r="AD57" s="1806"/>
      <c r="AE57" s="1806"/>
      <c r="AF57" s="1806"/>
      <c r="AG57" s="1806"/>
      <c r="AH57" s="1806"/>
      <c r="AI57" s="1806"/>
      <c r="AJ57" s="1806"/>
      <c r="AK57" s="1806"/>
      <c r="AL57" s="1806"/>
      <c r="AM57" s="1806"/>
      <c r="AN57" s="1806"/>
      <c r="AO57" s="1806"/>
      <c r="AP57" s="1806"/>
      <c r="AQ57" s="1806"/>
      <c r="AR57" s="1806"/>
      <c r="AS57" s="1806"/>
      <c r="AT57" s="1807"/>
      <c r="AU57" s="110"/>
    </row>
    <row r="58" spans="1:47" ht="12.75">
      <c r="A58" s="1822" t="s">
        <v>12727</v>
      </c>
      <c r="B58" s="973" t="str">
        <f>VLOOKUP($A58,'Medição '!$A:$G,4,0)</f>
        <v>TECNICO DE EDIFICACOES COM ENCARGOS COMPLEMENTARES</v>
      </c>
      <c r="C58" s="974" t="e">
        <f>VLOOKUP($A58,'Medição '!$A:$G,10,0)</f>
        <v>#REF!</v>
      </c>
      <c r="D58" s="975"/>
      <c r="E58" s="958"/>
      <c r="F58" s="959"/>
      <c r="G58" s="976"/>
      <c r="H58" s="977"/>
      <c r="I58" s="976"/>
      <c r="J58" s="977"/>
      <c r="K58" s="976"/>
      <c r="L58" s="977"/>
      <c r="M58" s="976"/>
      <c r="N58" s="978"/>
      <c r="O58" s="976"/>
      <c r="P58" s="978"/>
      <c r="Q58" s="976"/>
      <c r="R58" s="977"/>
      <c r="S58" s="976"/>
      <c r="T58" s="977"/>
      <c r="U58" s="961"/>
      <c r="V58" s="959"/>
      <c r="W58" s="961" t="e">
        <f>X58*C58</f>
        <v>#REF!</v>
      </c>
      <c r="X58" s="959">
        <v>1</v>
      </c>
      <c r="Y58" s="961" t="e">
        <f t="shared" si="22"/>
        <v>#REF!</v>
      </c>
      <c r="Z58" s="947">
        <f>SUM(F58,H58,J58,L58,N58,P58,R58,T58,V58,X58,)</f>
        <v>1</v>
      </c>
      <c r="AA58" s="1817"/>
      <c r="AB58" s="1806"/>
      <c r="AC58" s="1806"/>
      <c r="AD58" s="1806"/>
      <c r="AE58" s="1806"/>
      <c r="AF58" s="1806"/>
      <c r="AG58" s="1806"/>
      <c r="AH58" s="1806"/>
      <c r="AI58" s="1806"/>
      <c r="AJ58" s="1806"/>
      <c r="AK58" s="1806"/>
      <c r="AL58" s="1806"/>
      <c r="AM58" s="1806"/>
      <c r="AN58" s="1806"/>
      <c r="AO58" s="1806"/>
      <c r="AP58" s="1806"/>
      <c r="AQ58" s="1806"/>
      <c r="AR58" s="1806"/>
      <c r="AS58" s="1806"/>
      <c r="AT58" s="1807"/>
      <c r="AU58" s="110"/>
    </row>
    <row r="59" spans="1:47" ht="12.75">
      <c r="A59" s="1822" t="s">
        <v>12728</v>
      </c>
      <c r="B59" s="973" t="str">
        <f>VLOOKUP($A59,'Medição '!$A:$G,4,0)</f>
        <v>LIMPEZA DE SUPERFÍCIE COM JATO DE ALTA PRESSÃO. AF_04/2019</v>
      </c>
      <c r="C59" s="974" t="e">
        <f>VLOOKUP($A59,'Medição '!$A:$G,10,0)</f>
        <v>#REF!</v>
      </c>
      <c r="D59" s="975"/>
      <c r="E59" s="958"/>
      <c r="F59" s="959"/>
      <c r="G59" s="976"/>
      <c r="H59" s="977"/>
      <c r="I59" s="976"/>
      <c r="J59" s="977"/>
      <c r="K59" s="976"/>
      <c r="L59" s="977"/>
      <c r="M59" s="976"/>
      <c r="N59" s="978"/>
      <c r="O59" s="976"/>
      <c r="P59" s="978"/>
      <c r="Q59" s="976"/>
      <c r="R59" s="977"/>
      <c r="S59" s="976"/>
      <c r="T59" s="977"/>
      <c r="U59" s="961"/>
      <c r="V59" s="959"/>
      <c r="W59" s="961" t="e">
        <f>X59*C59</f>
        <v>#REF!</v>
      </c>
      <c r="X59" s="959">
        <v>1</v>
      </c>
      <c r="Y59" s="961" t="e">
        <f t="shared" si="22"/>
        <v>#REF!</v>
      </c>
      <c r="Z59" s="947">
        <f>SUM(F59,H59,J59,L59,N59,P59,R59,T59,V59,X59,)</f>
        <v>1</v>
      </c>
      <c r="AA59" s="1817"/>
      <c r="AB59" s="1806"/>
      <c r="AC59" s="1806"/>
      <c r="AD59" s="1806"/>
      <c r="AE59" s="1806"/>
      <c r="AF59" s="1806"/>
      <c r="AG59" s="1806"/>
      <c r="AH59" s="1806"/>
      <c r="AI59" s="1806"/>
      <c r="AJ59" s="1806"/>
      <c r="AK59" s="1806"/>
      <c r="AL59" s="1806"/>
      <c r="AM59" s="1806"/>
      <c r="AN59" s="1806"/>
      <c r="AO59" s="1806"/>
      <c r="AP59" s="1806"/>
      <c r="AQ59" s="1806"/>
      <c r="AR59" s="1806"/>
      <c r="AS59" s="1806"/>
      <c r="AT59" s="1807"/>
      <c r="AU59" s="110"/>
    </row>
    <row r="60" spans="1:47" ht="19.5">
      <c r="A60" s="1813"/>
      <c r="B60" s="942" t="str">
        <f>'Medição '!A64</f>
        <v xml:space="preserve"> → (B) WAKE BAR</v>
      </c>
      <c r="C60" s="943" t="e">
        <f>SUM(C99,C90,C86,C76,C61)</f>
        <v>#REF!</v>
      </c>
      <c r="D60" s="944" t="e">
        <f>C60/$C$234</f>
        <v>#REF!</v>
      </c>
      <c r="E60" s="945"/>
      <c r="F60" s="946"/>
      <c r="G60" s="945" t="e">
        <f>SUM(G61,G76,G86,G90,G99)</f>
        <v>#REF!</v>
      </c>
      <c r="H60" s="946" t="e">
        <f>G60/$C$60</f>
        <v>#REF!</v>
      </c>
      <c r="I60" s="945" t="e">
        <f>SUM(I61,I76,I86,I90,I99)</f>
        <v>#REF!</v>
      </c>
      <c r="J60" s="946" t="e">
        <f>I60/$C$60</f>
        <v>#REF!</v>
      </c>
      <c r="K60" s="945" t="e">
        <f>SUM(K61,K76,K86,K90,K99)</f>
        <v>#REF!</v>
      </c>
      <c r="L60" s="946" t="e">
        <f>K60/$C$60</f>
        <v>#REF!</v>
      </c>
      <c r="M60" s="945" t="e">
        <f>SUM(M61,M76,M86,M90,M99)</f>
        <v>#REF!</v>
      </c>
      <c r="N60" s="946" t="e">
        <f>M60/$C$60</f>
        <v>#REF!</v>
      </c>
      <c r="O60" s="945" t="e">
        <f>SUM(O61,O76,O86,O90,O99)</f>
        <v>#REF!</v>
      </c>
      <c r="P60" s="946" t="e">
        <f>O60/$C$60</f>
        <v>#REF!</v>
      </c>
      <c r="Q60" s="945" t="e">
        <f>SUM(Q61,Q76,Q86,Q90,Q99)</f>
        <v>#REF!</v>
      </c>
      <c r="R60" s="946" t="e">
        <f>Q60/$C$60</f>
        <v>#REF!</v>
      </c>
      <c r="S60" s="945" t="e">
        <f>SUM(S61,S76,S86,S90,S99)</f>
        <v>#REF!</v>
      </c>
      <c r="T60" s="946" t="e">
        <f>S60/$C$60</f>
        <v>#REF!</v>
      </c>
      <c r="U60" s="945" t="e">
        <f>SUM(U61,U76,U86,U90,U99)</f>
        <v>#REF!</v>
      </c>
      <c r="V60" s="946" t="e">
        <f>U60/$C$60</f>
        <v>#REF!</v>
      </c>
      <c r="W60" s="943"/>
      <c r="X60" s="946"/>
      <c r="Y60" s="943" t="e">
        <f>SUM(E60,G60,I60,K60,M60,O60,Q60,S60,U60,W60)</f>
        <v>#REF!</v>
      </c>
      <c r="Z60" s="947" t="e">
        <f>SUM(F60,H60,J60,L60,N60,P60,R60,T60,V60,X60)</f>
        <v>#REF!</v>
      </c>
      <c r="AA60" s="1814"/>
      <c r="AB60" s="1814"/>
      <c r="AC60" s="1814"/>
      <c r="AD60" s="1814"/>
      <c r="AE60" s="1814"/>
      <c r="AF60" s="1814"/>
      <c r="AG60" s="1814"/>
      <c r="AH60" s="1814"/>
      <c r="AI60" s="1814"/>
      <c r="AJ60" s="1814"/>
      <c r="AK60" s="1814"/>
      <c r="AL60" s="1814"/>
      <c r="AM60" s="1814"/>
      <c r="AN60" s="1814"/>
      <c r="AO60" s="1814"/>
      <c r="AP60" s="1814"/>
      <c r="AQ60" s="1814"/>
      <c r="AR60" s="1814"/>
      <c r="AS60" s="1814"/>
      <c r="AT60" s="1815"/>
      <c r="AU60" s="948"/>
    </row>
    <row r="61" spans="1:47">
      <c r="A61" s="1820" t="s">
        <v>12624</v>
      </c>
      <c r="B61" s="979" t="s">
        <v>16198</v>
      </c>
      <c r="C61" s="980" t="e">
        <f>SUBTOTAL(9,C62:C75)</f>
        <v>#REF!</v>
      </c>
      <c r="D61" s="981"/>
      <c r="E61" s="982"/>
      <c r="F61" s="969"/>
      <c r="G61" s="968" t="e">
        <f>SUM(G62:G75)</f>
        <v>#REF!</v>
      </c>
      <c r="H61" s="969" t="e">
        <f>G61/$C$61</f>
        <v>#REF!</v>
      </c>
      <c r="I61" s="968" t="e">
        <f>SUM(I62:I75)</f>
        <v>#REF!</v>
      </c>
      <c r="J61" s="969" t="e">
        <f>I61/$C$61</f>
        <v>#REF!</v>
      </c>
      <c r="K61" s="968" t="e">
        <f>SUM(K62:K75)</f>
        <v>#REF!</v>
      </c>
      <c r="L61" s="969" t="e">
        <f>K61/$C$61</f>
        <v>#REF!</v>
      </c>
      <c r="M61" s="968" t="e">
        <f>SUM(M62:M75)</f>
        <v>#REF!</v>
      </c>
      <c r="N61" s="969" t="e">
        <f>M61/$C$61</f>
        <v>#REF!</v>
      </c>
      <c r="O61" s="968"/>
      <c r="P61" s="969"/>
      <c r="Q61" s="968"/>
      <c r="R61" s="969"/>
      <c r="S61" s="968"/>
      <c r="T61" s="969"/>
      <c r="U61" s="970"/>
      <c r="V61" s="969"/>
      <c r="W61" s="970"/>
      <c r="X61" s="969"/>
      <c r="Y61" s="972" t="e">
        <f t="shared" ref="Y61:Y98" si="65">SUM(E61,G61,I61,K61,M61,O61,Q61,S61,U61,W61,)</f>
        <v>#REF!</v>
      </c>
      <c r="Z61" s="947" t="e">
        <f>SUM(F61,H61,J61,L61,N61,P61,R61,T61,V61,X61)</f>
        <v>#REF!</v>
      </c>
      <c r="AA61" s="1817"/>
      <c r="AB61" s="1806"/>
      <c r="AC61" s="1806"/>
      <c r="AD61" s="1806"/>
      <c r="AE61" s="1806"/>
      <c r="AF61" s="1806"/>
      <c r="AG61" s="1806"/>
      <c r="AH61" s="1806"/>
      <c r="AI61" s="1806"/>
      <c r="AJ61" s="1806"/>
      <c r="AK61" s="1806"/>
      <c r="AL61" s="1806"/>
      <c r="AM61" s="1806"/>
      <c r="AN61" s="1806"/>
      <c r="AO61" s="1806"/>
      <c r="AP61" s="1806"/>
      <c r="AQ61" s="1806"/>
      <c r="AR61" s="1806"/>
      <c r="AS61" s="1806"/>
      <c r="AT61" s="1807"/>
      <c r="AU61" s="110"/>
    </row>
    <row r="62" spans="1:47">
      <c r="A62" s="1823" t="s">
        <v>12730</v>
      </c>
      <c r="B62" s="973" t="str">
        <f>VLOOKUP($A62,'Medição '!$A:$G,4,0)</f>
        <v>INFRAESTRUTURA - FUNDAÇÃO</v>
      </c>
      <c r="C62" s="974" t="e">
        <f>VLOOKUP($A62,'Medição '!$A:$G,10,0)</f>
        <v>#REF!</v>
      </c>
      <c r="D62" s="983"/>
      <c r="E62" s="984"/>
      <c r="F62" s="985"/>
      <c r="G62" s="958" t="e">
        <f>$C62*H62</f>
        <v>#REF!</v>
      </c>
      <c r="H62" s="985">
        <v>1</v>
      </c>
      <c r="I62" s="986"/>
      <c r="J62" s="985"/>
      <c r="K62" s="986"/>
      <c r="L62" s="985"/>
      <c r="M62" s="986"/>
      <c r="N62" s="985"/>
      <c r="O62" s="986"/>
      <c r="P62" s="985"/>
      <c r="Q62" s="986"/>
      <c r="R62" s="985"/>
      <c r="S62" s="986"/>
      <c r="T62" s="985"/>
      <c r="U62" s="987"/>
      <c r="V62" s="985"/>
      <c r="W62" s="987"/>
      <c r="X62" s="985"/>
      <c r="Y62" s="961" t="e">
        <f t="shared" si="65"/>
        <v>#REF!</v>
      </c>
      <c r="Z62" s="947">
        <f t="shared" ref="Z62:Z75" si="66">SUM(F62,H62,J62,L62,N62,P62,R62,T62,V62,X62,)</f>
        <v>1</v>
      </c>
      <c r="AA62" s="1824"/>
      <c r="AB62" s="1825"/>
      <c r="AC62" s="1825"/>
      <c r="AD62" s="1825"/>
      <c r="AE62" s="1825"/>
      <c r="AF62" s="1825"/>
      <c r="AG62" s="1825"/>
      <c r="AH62" s="1825"/>
      <c r="AI62" s="1825"/>
      <c r="AJ62" s="1825"/>
      <c r="AK62" s="1825"/>
      <c r="AL62" s="1825"/>
      <c r="AM62" s="1825"/>
      <c r="AN62" s="1825"/>
      <c r="AO62" s="1825"/>
      <c r="AP62" s="1825"/>
      <c r="AQ62" s="1825"/>
      <c r="AR62" s="1825"/>
      <c r="AS62" s="1825"/>
      <c r="AT62" s="1826"/>
      <c r="AU62" s="568"/>
    </row>
    <row r="63" spans="1:47">
      <c r="A63" s="1823" t="s">
        <v>12744</v>
      </c>
      <c r="B63" s="973" t="str">
        <f>VLOOKUP($A63,'Medição '!$A:$G,4,0)</f>
        <v xml:space="preserve"> INFRAESTRUTURA - PILARES DA FUNDAÇÃO</v>
      </c>
      <c r="C63" s="974" t="e">
        <f>VLOOKUP($A63,'Medição '!$A:$G,10,0)</f>
        <v>#REF!</v>
      </c>
      <c r="D63" s="983"/>
      <c r="E63" s="984"/>
      <c r="F63" s="985"/>
      <c r="G63" s="958" t="e">
        <f>$C63*H63</f>
        <v>#REF!</v>
      </c>
      <c r="H63" s="985">
        <v>1</v>
      </c>
      <c r="I63" s="986"/>
      <c r="J63" s="985"/>
      <c r="K63" s="986"/>
      <c r="L63" s="985"/>
      <c r="M63" s="986"/>
      <c r="N63" s="985"/>
      <c r="O63" s="986"/>
      <c r="P63" s="985"/>
      <c r="Q63" s="986"/>
      <c r="R63" s="985"/>
      <c r="S63" s="986"/>
      <c r="T63" s="985"/>
      <c r="U63" s="987"/>
      <c r="V63" s="985"/>
      <c r="W63" s="987"/>
      <c r="X63" s="985"/>
      <c r="Y63" s="961" t="e">
        <f t="shared" si="65"/>
        <v>#REF!</v>
      </c>
      <c r="Z63" s="947">
        <f t="shared" si="66"/>
        <v>1</v>
      </c>
      <c r="AA63" s="1824"/>
      <c r="AB63" s="1825"/>
      <c r="AC63" s="1825"/>
      <c r="AD63" s="1825"/>
      <c r="AE63" s="1825"/>
      <c r="AF63" s="1825"/>
      <c r="AG63" s="1825"/>
      <c r="AH63" s="1825"/>
      <c r="AI63" s="1825"/>
      <c r="AJ63" s="1825"/>
      <c r="AK63" s="1825"/>
      <c r="AL63" s="1825"/>
      <c r="AM63" s="1825"/>
      <c r="AN63" s="1825"/>
      <c r="AO63" s="1825"/>
      <c r="AP63" s="1825"/>
      <c r="AQ63" s="1825"/>
      <c r="AR63" s="1825"/>
      <c r="AS63" s="1825"/>
      <c r="AT63" s="1826"/>
      <c r="AU63" s="568"/>
    </row>
    <row r="64" spans="1:47">
      <c r="A64" s="1823" t="s">
        <v>12750</v>
      </c>
      <c r="B64" s="973" t="str">
        <f>VLOOKUP($A64,'Medição '!$A:$G,4,0)</f>
        <v xml:space="preserve"> INFRAESTRUTURA - ESTACAS BROCAS</v>
      </c>
      <c r="C64" s="974" t="e">
        <f>VLOOKUP($A64,'Medição '!$A:$G,10,0)</f>
        <v>#REF!</v>
      </c>
      <c r="D64" s="983"/>
      <c r="E64" s="984"/>
      <c r="F64" s="985"/>
      <c r="G64" s="958" t="e">
        <f>$C64*H64</f>
        <v>#REF!</v>
      </c>
      <c r="H64" s="985">
        <v>1</v>
      </c>
      <c r="I64" s="986"/>
      <c r="J64" s="985"/>
      <c r="K64" s="986"/>
      <c r="L64" s="985"/>
      <c r="M64" s="986"/>
      <c r="N64" s="985"/>
      <c r="O64" s="986"/>
      <c r="P64" s="985"/>
      <c r="Q64" s="986"/>
      <c r="R64" s="985"/>
      <c r="S64" s="986"/>
      <c r="T64" s="985"/>
      <c r="U64" s="987"/>
      <c r="V64" s="985"/>
      <c r="W64" s="987"/>
      <c r="X64" s="985"/>
      <c r="Y64" s="961" t="e">
        <f t="shared" si="65"/>
        <v>#REF!</v>
      </c>
      <c r="Z64" s="947">
        <f t="shared" si="66"/>
        <v>1</v>
      </c>
      <c r="AA64" s="1824"/>
      <c r="AB64" s="1825"/>
      <c r="AC64" s="1825"/>
      <c r="AD64" s="1825"/>
      <c r="AE64" s="1825"/>
      <c r="AF64" s="1825"/>
      <c r="AG64" s="1825"/>
      <c r="AH64" s="1825"/>
      <c r="AI64" s="1825"/>
      <c r="AJ64" s="1825"/>
      <c r="AK64" s="1825"/>
      <c r="AL64" s="1825"/>
      <c r="AM64" s="1825"/>
      <c r="AN64" s="1825"/>
      <c r="AO64" s="1825"/>
      <c r="AP64" s="1825"/>
      <c r="AQ64" s="1825"/>
      <c r="AR64" s="1825"/>
      <c r="AS64" s="1825"/>
      <c r="AT64" s="1826"/>
      <c r="AU64" s="568"/>
    </row>
    <row r="65" spans="1:47">
      <c r="A65" s="1823" t="s">
        <v>12757</v>
      </c>
      <c r="B65" s="973" t="str">
        <f>VLOOKUP($A65,'Medição '!$A:$G,4,0)</f>
        <v xml:space="preserve"> INFRAESTRUTURA - VIGA BALDRAME</v>
      </c>
      <c r="C65" s="974" t="e">
        <f>VLOOKUP($A65,'Medição '!$A:$G,10,0)</f>
        <v>#REF!</v>
      </c>
      <c r="D65" s="983"/>
      <c r="E65" s="984"/>
      <c r="F65" s="985"/>
      <c r="G65" s="958" t="e">
        <f>$C65*H65</f>
        <v>#REF!</v>
      </c>
      <c r="H65" s="985">
        <v>1</v>
      </c>
      <c r="I65" s="958"/>
      <c r="J65" s="985"/>
      <c r="K65" s="986"/>
      <c r="L65" s="985"/>
      <c r="M65" s="986"/>
      <c r="N65" s="985"/>
      <c r="O65" s="986"/>
      <c r="P65" s="985"/>
      <c r="Q65" s="986"/>
      <c r="R65" s="985"/>
      <c r="S65" s="986"/>
      <c r="T65" s="985"/>
      <c r="U65" s="987"/>
      <c r="V65" s="985"/>
      <c r="W65" s="987"/>
      <c r="X65" s="985"/>
      <c r="Y65" s="961" t="e">
        <f t="shared" si="65"/>
        <v>#REF!</v>
      </c>
      <c r="Z65" s="947">
        <f t="shared" si="66"/>
        <v>1</v>
      </c>
      <c r="AA65" s="1824"/>
      <c r="AB65" s="1825"/>
      <c r="AC65" s="1825"/>
      <c r="AD65" s="1825"/>
      <c r="AE65" s="1825"/>
      <c r="AF65" s="1825"/>
      <c r="AG65" s="1825"/>
      <c r="AH65" s="1825"/>
      <c r="AI65" s="1825"/>
      <c r="AJ65" s="1825"/>
      <c r="AK65" s="1825"/>
      <c r="AL65" s="1825"/>
      <c r="AM65" s="1825"/>
      <c r="AN65" s="1825"/>
      <c r="AO65" s="1825"/>
      <c r="AP65" s="1825"/>
      <c r="AQ65" s="1825"/>
      <c r="AR65" s="1825"/>
      <c r="AS65" s="1825"/>
      <c r="AT65" s="1826"/>
      <c r="AU65" s="568"/>
    </row>
    <row r="66" spans="1:47">
      <c r="A66" s="1823" t="s">
        <v>12771</v>
      </c>
      <c r="B66" s="973" t="str">
        <f>VLOOKUP($A66,'Medição '!$A:$G,4,0)</f>
        <v>SUPERESTRUTURA - PILARES</v>
      </c>
      <c r="C66" s="974" t="e">
        <f>VLOOKUP($A66,'Medição '!$A:$G,10,0)</f>
        <v>#REF!</v>
      </c>
      <c r="D66" s="975"/>
      <c r="E66" s="958"/>
      <c r="F66" s="959"/>
      <c r="G66" s="976"/>
      <c r="H66" s="977"/>
      <c r="I66" s="976" t="e">
        <f t="shared" ref="I66:I71" si="67">J66*C66</f>
        <v>#REF!</v>
      </c>
      <c r="J66" s="985">
        <v>1</v>
      </c>
      <c r="K66" s="958"/>
      <c r="L66" s="977"/>
      <c r="M66" s="976"/>
      <c r="N66" s="978"/>
      <c r="O66" s="976"/>
      <c r="P66" s="978"/>
      <c r="Q66" s="976"/>
      <c r="R66" s="977"/>
      <c r="S66" s="976"/>
      <c r="T66" s="977"/>
      <c r="U66" s="961"/>
      <c r="V66" s="959"/>
      <c r="W66" s="961"/>
      <c r="X66" s="959"/>
      <c r="Y66" s="961" t="e">
        <f t="shared" si="65"/>
        <v>#REF!</v>
      </c>
      <c r="Z66" s="947">
        <f t="shared" si="66"/>
        <v>1</v>
      </c>
      <c r="AA66" s="1817"/>
      <c r="AB66" s="1806"/>
      <c r="AC66" s="1806"/>
      <c r="AD66" s="1806"/>
      <c r="AE66" s="1806"/>
      <c r="AF66" s="1806"/>
      <c r="AG66" s="1806"/>
      <c r="AH66" s="1806"/>
      <c r="AI66" s="1806"/>
      <c r="AJ66" s="1806"/>
      <c r="AK66" s="1806"/>
      <c r="AL66" s="1806"/>
      <c r="AM66" s="1806"/>
      <c r="AN66" s="1806"/>
      <c r="AO66" s="1806"/>
      <c r="AP66" s="1806"/>
      <c r="AQ66" s="1806"/>
      <c r="AR66" s="1806"/>
      <c r="AS66" s="1806"/>
      <c r="AT66" s="1807"/>
      <c r="AU66" s="110"/>
    </row>
    <row r="67" spans="1:47">
      <c r="A67" s="1823" t="s">
        <v>12776</v>
      </c>
      <c r="B67" s="973" t="str">
        <f>VLOOKUP($A67,'Medição '!$A:$G,4,0)</f>
        <v>SUPERESTRUTURA - VIGAS PAV. 100</v>
      </c>
      <c r="C67" s="974" t="e">
        <f>VLOOKUP($A67,'Medição '!$A:$G,10,0)</f>
        <v>#REF!</v>
      </c>
      <c r="D67" s="975"/>
      <c r="E67" s="958"/>
      <c r="F67" s="959"/>
      <c r="G67" s="976"/>
      <c r="H67" s="977"/>
      <c r="I67" s="976" t="e">
        <f t="shared" si="67"/>
        <v>#REF!</v>
      </c>
      <c r="J67" s="985">
        <v>1</v>
      </c>
      <c r="K67" s="958"/>
      <c r="L67" s="977"/>
      <c r="M67" s="976"/>
      <c r="N67" s="978"/>
      <c r="O67" s="976"/>
      <c r="P67" s="978"/>
      <c r="Q67" s="976"/>
      <c r="R67" s="977"/>
      <c r="S67" s="976"/>
      <c r="T67" s="977"/>
      <c r="U67" s="961"/>
      <c r="V67" s="959"/>
      <c r="W67" s="961"/>
      <c r="X67" s="959"/>
      <c r="Y67" s="961" t="e">
        <f t="shared" si="65"/>
        <v>#REF!</v>
      </c>
      <c r="Z67" s="947">
        <f t="shared" si="66"/>
        <v>1</v>
      </c>
      <c r="AA67" s="1817"/>
      <c r="AB67" s="1806"/>
      <c r="AC67" s="1806"/>
      <c r="AD67" s="1806"/>
      <c r="AE67" s="1806"/>
      <c r="AF67" s="1806"/>
      <c r="AG67" s="1806"/>
      <c r="AH67" s="1806"/>
      <c r="AI67" s="1806"/>
      <c r="AJ67" s="1806"/>
      <c r="AK67" s="1806"/>
      <c r="AL67" s="1806"/>
      <c r="AM67" s="1806"/>
      <c r="AN67" s="1806"/>
      <c r="AO67" s="1806"/>
      <c r="AP67" s="1806"/>
      <c r="AQ67" s="1806"/>
      <c r="AR67" s="1806"/>
      <c r="AS67" s="1806"/>
      <c r="AT67" s="1807"/>
      <c r="AU67" s="110"/>
    </row>
    <row r="68" spans="1:47">
      <c r="A68" s="1823" t="s">
        <v>12784</v>
      </c>
      <c r="B68" s="973" t="str">
        <f>VLOOKUP($A68,'Medição '!$A:$G,4,0)</f>
        <v>SUPERESTRUTURA - LAJES 1 e 2</v>
      </c>
      <c r="C68" s="974" t="e">
        <f>VLOOKUP($A68,'Medição '!$A:$G,10,0)</f>
        <v>#REF!</v>
      </c>
      <c r="D68" s="975"/>
      <c r="E68" s="958"/>
      <c r="F68" s="959"/>
      <c r="G68" s="976"/>
      <c r="H68" s="977"/>
      <c r="I68" s="976" t="e">
        <f t="shared" si="67"/>
        <v>#REF!</v>
      </c>
      <c r="J68" s="985">
        <v>1</v>
      </c>
      <c r="K68" s="958"/>
      <c r="L68" s="977"/>
      <c r="M68" s="976"/>
      <c r="N68" s="978"/>
      <c r="O68" s="976"/>
      <c r="P68" s="978"/>
      <c r="Q68" s="976"/>
      <c r="R68" s="977"/>
      <c r="S68" s="976"/>
      <c r="T68" s="977"/>
      <c r="U68" s="961"/>
      <c r="V68" s="959"/>
      <c r="W68" s="961"/>
      <c r="X68" s="959"/>
      <c r="Y68" s="961" t="e">
        <f t="shared" si="65"/>
        <v>#REF!</v>
      </c>
      <c r="Z68" s="947">
        <f t="shared" si="66"/>
        <v>1</v>
      </c>
      <c r="AA68" s="1817"/>
      <c r="AB68" s="1806"/>
      <c r="AC68" s="1806"/>
      <c r="AD68" s="1806"/>
      <c r="AE68" s="1806"/>
      <c r="AF68" s="1806"/>
      <c r="AG68" s="1806"/>
      <c r="AH68" s="1806"/>
      <c r="AI68" s="1806"/>
      <c r="AJ68" s="1806"/>
      <c r="AK68" s="1806"/>
      <c r="AL68" s="1806"/>
      <c r="AM68" s="1806"/>
      <c r="AN68" s="1806"/>
      <c r="AO68" s="1806"/>
      <c r="AP68" s="1806"/>
      <c r="AQ68" s="1806"/>
      <c r="AR68" s="1806"/>
      <c r="AS68" s="1806"/>
      <c r="AT68" s="1807"/>
      <c r="AU68" s="110"/>
    </row>
    <row r="69" spans="1:47">
      <c r="A69" s="1823" t="s">
        <v>12787</v>
      </c>
      <c r="B69" s="973" t="str">
        <f>VLOOKUP($A69,'Medição '!$A:$G,4,0)</f>
        <v>SUPERESTRUTURA - ESCADAS</v>
      </c>
      <c r="C69" s="974" t="e">
        <f>VLOOKUP($A69,'Medição '!$A:$G,10,0)</f>
        <v>#REF!</v>
      </c>
      <c r="D69" s="975"/>
      <c r="E69" s="958"/>
      <c r="F69" s="959"/>
      <c r="G69" s="976"/>
      <c r="H69" s="977"/>
      <c r="I69" s="976" t="e">
        <f t="shared" si="67"/>
        <v>#REF!</v>
      </c>
      <c r="J69" s="985">
        <v>1</v>
      </c>
      <c r="K69" s="976"/>
      <c r="L69" s="977"/>
      <c r="M69" s="976"/>
      <c r="N69" s="978"/>
      <c r="O69" s="976"/>
      <c r="P69" s="978"/>
      <c r="Q69" s="976"/>
      <c r="R69" s="977"/>
      <c r="S69" s="976"/>
      <c r="T69" s="977"/>
      <c r="U69" s="961"/>
      <c r="V69" s="959"/>
      <c r="W69" s="961"/>
      <c r="X69" s="959"/>
      <c r="Y69" s="961" t="e">
        <f t="shared" si="65"/>
        <v>#REF!</v>
      </c>
      <c r="Z69" s="947">
        <f t="shared" si="66"/>
        <v>1</v>
      </c>
      <c r="AA69" s="1817"/>
      <c r="AB69" s="1806"/>
      <c r="AC69" s="1806"/>
      <c r="AD69" s="1806"/>
      <c r="AE69" s="1806"/>
      <c r="AF69" s="1806"/>
      <c r="AG69" s="1806"/>
      <c r="AH69" s="1806"/>
      <c r="AI69" s="1806"/>
      <c r="AJ69" s="1806"/>
      <c r="AK69" s="1806"/>
      <c r="AL69" s="1806"/>
      <c r="AM69" s="1806"/>
      <c r="AN69" s="1806"/>
      <c r="AO69" s="1806"/>
      <c r="AP69" s="1806"/>
      <c r="AQ69" s="1806"/>
      <c r="AR69" s="1806"/>
      <c r="AS69" s="1806"/>
      <c r="AT69" s="1807"/>
      <c r="AU69" s="110"/>
    </row>
    <row r="70" spans="1:47">
      <c r="A70" s="1823" t="s">
        <v>12792</v>
      </c>
      <c r="B70" s="973" t="str">
        <f>VLOOKUP($A70,'Medição '!$A:$G,4,0)</f>
        <v>SUPERESTRUTURA - TÉRREO B - PILARES</v>
      </c>
      <c r="C70" s="974" t="e">
        <f>VLOOKUP($A70,'Medição '!$A:$G,10,0)</f>
        <v>#REF!</v>
      </c>
      <c r="D70" s="975"/>
      <c r="E70" s="958"/>
      <c r="F70" s="959"/>
      <c r="G70" s="976"/>
      <c r="H70" s="977"/>
      <c r="I70" s="976" t="e">
        <f t="shared" si="67"/>
        <v>#REF!</v>
      </c>
      <c r="J70" s="985">
        <v>1</v>
      </c>
      <c r="K70" s="976"/>
      <c r="L70" s="977"/>
      <c r="M70" s="976"/>
      <c r="N70" s="978"/>
      <c r="O70" s="976"/>
      <c r="P70" s="978"/>
      <c r="Q70" s="976"/>
      <c r="R70" s="977"/>
      <c r="S70" s="976"/>
      <c r="T70" s="977"/>
      <c r="U70" s="961"/>
      <c r="V70" s="959"/>
      <c r="W70" s="961"/>
      <c r="X70" s="959"/>
      <c r="Y70" s="961" t="e">
        <f t="shared" si="65"/>
        <v>#REF!</v>
      </c>
      <c r="Z70" s="947">
        <f t="shared" si="66"/>
        <v>1</v>
      </c>
      <c r="AA70" s="1817"/>
      <c r="AB70" s="1806"/>
      <c r="AC70" s="1806"/>
      <c r="AD70" s="1806"/>
      <c r="AE70" s="1806"/>
      <c r="AF70" s="1806"/>
      <c r="AG70" s="1806"/>
      <c r="AH70" s="1806"/>
      <c r="AI70" s="1806"/>
      <c r="AJ70" s="1806"/>
      <c r="AK70" s="1806"/>
      <c r="AL70" s="1806"/>
      <c r="AM70" s="1806"/>
      <c r="AN70" s="1806"/>
      <c r="AO70" s="1806"/>
      <c r="AP70" s="1806"/>
      <c r="AQ70" s="1806"/>
      <c r="AR70" s="1806"/>
      <c r="AS70" s="1806"/>
      <c r="AT70" s="1807"/>
      <c r="AU70" s="110"/>
    </row>
    <row r="71" spans="1:47">
      <c r="A71" s="1823" t="s">
        <v>12797</v>
      </c>
      <c r="B71" s="973" t="str">
        <f>VLOOKUP($A71,'Medição '!$A:$G,4,0)</f>
        <v>SUPERESTRUTURA - TÉRREO B - VIGAS PAV. 200</v>
      </c>
      <c r="C71" s="974" t="e">
        <f>VLOOKUP($A71,'Medição '!$A:$G,10,0)</f>
        <v>#REF!</v>
      </c>
      <c r="D71" s="975"/>
      <c r="E71" s="958"/>
      <c r="F71" s="959"/>
      <c r="G71" s="976"/>
      <c r="H71" s="977"/>
      <c r="I71" s="976" t="e">
        <f t="shared" si="67"/>
        <v>#REF!</v>
      </c>
      <c r="J71" s="985">
        <v>1</v>
      </c>
      <c r="K71" s="976"/>
      <c r="L71" s="977"/>
      <c r="M71" s="976"/>
      <c r="N71" s="978"/>
      <c r="O71" s="976"/>
      <c r="P71" s="978"/>
      <c r="Q71" s="976"/>
      <c r="R71" s="977"/>
      <c r="S71" s="976"/>
      <c r="T71" s="977"/>
      <c r="U71" s="961"/>
      <c r="V71" s="959"/>
      <c r="W71" s="961"/>
      <c r="X71" s="959"/>
      <c r="Y71" s="961" t="e">
        <f t="shared" si="65"/>
        <v>#REF!</v>
      </c>
      <c r="Z71" s="947">
        <f t="shared" si="66"/>
        <v>1</v>
      </c>
      <c r="AA71" s="1817"/>
      <c r="AB71" s="1806"/>
      <c r="AC71" s="1806"/>
      <c r="AD71" s="1806"/>
      <c r="AE71" s="1806"/>
      <c r="AF71" s="1806"/>
      <c r="AG71" s="1806"/>
      <c r="AH71" s="1806"/>
      <c r="AI71" s="1806"/>
      <c r="AJ71" s="1806"/>
      <c r="AK71" s="1806"/>
      <c r="AL71" s="1806"/>
      <c r="AM71" s="1806"/>
      <c r="AN71" s="1806"/>
      <c r="AO71" s="1806"/>
      <c r="AP71" s="1806"/>
      <c r="AQ71" s="1806"/>
      <c r="AR71" s="1806"/>
      <c r="AS71" s="1806"/>
      <c r="AT71" s="1807"/>
      <c r="AU71" s="110"/>
    </row>
    <row r="72" spans="1:47">
      <c r="A72" s="1823" t="s">
        <v>12802</v>
      </c>
      <c r="B72" s="973" t="str">
        <f>VLOOKUP($A72,'Medição '!$A:$G,4,0)</f>
        <v>SUPERESTRUTURA - ESCADA EXTERNA - VIGAS BALDRAME</v>
      </c>
      <c r="C72" s="974" t="e">
        <f>VLOOKUP($A72,'Medição '!$A:$G,10,0)</f>
        <v>#REF!</v>
      </c>
      <c r="D72" s="975"/>
      <c r="E72" s="958"/>
      <c r="F72" s="959"/>
      <c r="G72" s="976"/>
      <c r="H72" s="977"/>
      <c r="I72" s="976"/>
      <c r="J72" s="977"/>
      <c r="K72" s="976" t="e">
        <f>L72*C72</f>
        <v>#REF!</v>
      </c>
      <c r="L72" s="977">
        <v>1</v>
      </c>
      <c r="M72" s="976"/>
      <c r="N72" s="978"/>
      <c r="O72" s="976"/>
      <c r="P72" s="978"/>
      <c r="Q72" s="976"/>
      <c r="R72" s="977"/>
      <c r="S72" s="976"/>
      <c r="T72" s="977"/>
      <c r="U72" s="961"/>
      <c r="V72" s="959"/>
      <c r="W72" s="961"/>
      <c r="X72" s="959"/>
      <c r="Y72" s="961" t="e">
        <f t="shared" si="65"/>
        <v>#REF!</v>
      </c>
      <c r="Z72" s="947">
        <f t="shared" si="66"/>
        <v>1</v>
      </c>
      <c r="AA72" s="1817"/>
      <c r="AB72" s="1806"/>
      <c r="AC72" s="1806"/>
      <c r="AD72" s="1806"/>
      <c r="AE72" s="1806"/>
      <c r="AF72" s="1806"/>
      <c r="AG72" s="1806"/>
      <c r="AH72" s="1806"/>
      <c r="AI72" s="1806"/>
      <c r="AJ72" s="1806"/>
      <c r="AK72" s="1806"/>
      <c r="AL72" s="1806"/>
      <c r="AM72" s="1806"/>
      <c r="AN72" s="1806"/>
      <c r="AO72" s="1806"/>
      <c r="AP72" s="1806"/>
      <c r="AQ72" s="1806"/>
      <c r="AR72" s="1806"/>
      <c r="AS72" s="1806"/>
      <c r="AT72" s="1807"/>
      <c r="AU72" s="110"/>
    </row>
    <row r="73" spans="1:47">
      <c r="A73" s="1823" t="s">
        <v>12812</v>
      </c>
      <c r="B73" s="973" t="str">
        <f>VLOOKUP($A73,'Medição '!$A:$G,4,0)</f>
        <v>SUPERESTRUTURA - ESCADA EXTERNA - ESCADAS</v>
      </c>
      <c r="C73" s="974" t="e">
        <f>VLOOKUP($A73,'Medição '!$A:$G,10,0)</f>
        <v>#REF!</v>
      </c>
      <c r="D73" s="975"/>
      <c r="E73" s="958"/>
      <c r="F73" s="959"/>
      <c r="G73" s="976"/>
      <c r="H73" s="977"/>
      <c r="I73" s="976"/>
      <c r="J73" s="977"/>
      <c r="K73" s="976" t="e">
        <f>L73*C73</f>
        <v>#REF!</v>
      </c>
      <c r="L73" s="977">
        <v>1</v>
      </c>
      <c r="M73" s="976"/>
      <c r="N73" s="978"/>
      <c r="O73" s="976"/>
      <c r="P73" s="978"/>
      <c r="Q73" s="976"/>
      <c r="R73" s="977"/>
      <c r="S73" s="976"/>
      <c r="T73" s="977"/>
      <c r="U73" s="961"/>
      <c r="V73" s="959"/>
      <c r="W73" s="961"/>
      <c r="X73" s="959"/>
      <c r="Y73" s="961" t="e">
        <f t="shared" si="65"/>
        <v>#REF!</v>
      </c>
      <c r="Z73" s="947">
        <f t="shared" si="66"/>
        <v>1</v>
      </c>
      <c r="AA73" s="1817"/>
      <c r="AB73" s="1806"/>
      <c r="AC73" s="1806"/>
      <c r="AD73" s="1806"/>
      <c r="AE73" s="1806"/>
      <c r="AF73" s="1806"/>
      <c r="AG73" s="1806"/>
      <c r="AH73" s="1806"/>
      <c r="AI73" s="1806"/>
      <c r="AJ73" s="1806"/>
      <c r="AK73" s="1806"/>
      <c r="AL73" s="1806"/>
      <c r="AM73" s="1806"/>
      <c r="AN73" s="1806"/>
      <c r="AO73" s="1806"/>
      <c r="AP73" s="1806"/>
      <c r="AQ73" s="1806"/>
      <c r="AR73" s="1806"/>
      <c r="AS73" s="1806"/>
      <c r="AT73" s="1807"/>
      <c r="AU73" s="110"/>
    </row>
    <row r="74" spans="1:47">
      <c r="A74" s="1823" t="s">
        <v>12817</v>
      </c>
      <c r="B74" s="973" t="str">
        <f>VLOOKUP($A74,'Medição '!$A:$G,4,0)</f>
        <v>SUPERESTRUTURA - ESCADA EXTERNA - ESTACAS BROCA</v>
      </c>
      <c r="C74" s="974" t="e">
        <f>VLOOKUP($A74,'Medição '!$A:$G,10,0)</f>
        <v>#REF!</v>
      </c>
      <c r="D74" s="975"/>
      <c r="E74" s="958"/>
      <c r="F74" s="959"/>
      <c r="G74" s="976"/>
      <c r="H74" s="977"/>
      <c r="I74" s="976"/>
      <c r="J74" s="977"/>
      <c r="K74" s="976" t="e">
        <f>L74*C74</f>
        <v>#REF!</v>
      </c>
      <c r="L74" s="977">
        <v>1</v>
      </c>
      <c r="M74" s="976"/>
      <c r="N74" s="978"/>
      <c r="O74" s="976"/>
      <c r="P74" s="978"/>
      <c r="Q74" s="976"/>
      <c r="R74" s="977"/>
      <c r="S74" s="976"/>
      <c r="T74" s="977"/>
      <c r="U74" s="961"/>
      <c r="V74" s="959"/>
      <c r="W74" s="961"/>
      <c r="X74" s="959"/>
      <c r="Y74" s="961" t="e">
        <f t="shared" si="65"/>
        <v>#REF!</v>
      </c>
      <c r="Z74" s="947">
        <f t="shared" si="66"/>
        <v>1</v>
      </c>
      <c r="AA74" s="1817"/>
      <c r="AB74" s="1806"/>
      <c r="AC74" s="1806"/>
      <c r="AD74" s="1806"/>
      <c r="AE74" s="1806"/>
      <c r="AF74" s="1806"/>
      <c r="AG74" s="1806"/>
      <c r="AH74" s="1806"/>
      <c r="AI74" s="1806"/>
      <c r="AJ74" s="1806"/>
      <c r="AK74" s="1806"/>
      <c r="AL74" s="1806"/>
      <c r="AM74" s="1806"/>
      <c r="AN74" s="1806"/>
      <c r="AO74" s="1806"/>
      <c r="AP74" s="1806"/>
      <c r="AQ74" s="1806"/>
      <c r="AR74" s="1806"/>
      <c r="AS74" s="1806"/>
      <c r="AT74" s="1807"/>
      <c r="AU74" s="110"/>
    </row>
    <row r="75" spans="1:47">
      <c r="A75" s="1823" t="s">
        <v>12822</v>
      </c>
      <c r="B75" s="973" t="str">
        <f>VLOOKUP($A75,'Medição '!$A:$G,4,0)</f>
        <v>ESTRUTURA METÁLICA  DE COBERTURA</v>
      </c>
      <c r="C75" s="974" t="e">
        <f>VLOOKUP($A75,'Medição '!$A:$G,10,0)</f>
        <v>#REF!</v>
      </c>
      <c r="D75" s="975"/>
      <c r="E75" s="958"/>
      <c r="F75" s="959"/>
      <c r="G75" s="976"/>
      <c r="H75" s="977"/>
      <c r="I75" s="976"/>
      <c r="J75" s="977"/>
      <c r="K75" s="976" t="e">
        <f>L75*C75</f>
        <v>#REF!</v>
      </c>
      <c r="L75" s="977">
        <v>0.5</v>
      </c>
      <c r="M75" s="976" t="e">
        <f>N75*C75</f>
        <v>#REF!</v>
      </c>
      <c r="N75" s="977">
        <v>0.5</v>
      </c>
      <c r="O75" s="976"/>
      <c r="P75" s="978"/>
      <c r="Q75" s="976"/>
      <c r="R75" s="977"/>
      <c r="S75" s="976"/>
      <c r="T75" s="977"/>
      <c r="U75" s="961"/>
      <c r="V75" s="959"/>
      <c r="W75" s="961"/>
      <c r="X75" s="959"/>
      <c r="Y75" s="961" t="e">
        <f t="shared" si="65"/>
        <v>#REF!</v>
      </c>
      <c r="Z75" s="947">
        <f t="shared" si="66"/>
        <v>1</v>
      </c>
      <c r="AA75" s="1817"/>
      <c r="AB75" s="1806"/>
      <c r="AC75" s="1806"/>
      <c r="AD75" s="1806"/>
      <c r="AE75" s="1806"/>
      <c r="AF75" s="1806"/>
      <c r="AG75" s="1806"/>
      <c r="AH75" s="1806"/>
      <c r="AI75" s="1806"/>
      <c r="AJ75" s="1806"/>
      <c r="AK75" s="1806"/>
      <c r="AL75" s="1806"/>
      <c r="AM75" s="1806"/>
      <c r="AN75" s="1806"/>
      <c r="AO75" s="1806"/>
      <c r="AP75" s="1806"/>
      <c r="AQ75" s="1806"/>
      <c r="AR75" s="1806"/>
      <c r="AS75" s="1806"/>
      <c r="AT75" s="1807"/>
      <c r="AU75" s="110"/>
    </row>
    <row r="76" spans="1:47">
      <c r="A76" s="1820" t="s">
        <v>12625</v>
      </c>
      <c r="B76" s="979" t="s">
        <v>12486</v>
      </c>
      <c r="C76" s="980" t="e">
        <f>SUBTOTAL(9,C77:C85)</f>
        <v>#REF!</v>
      </c>
      <c r="D76" s="981"/>
      <c r="E76" s="982"/>
      <c r="F76" s="969"/>
      <c r="G76" s="968"/>
      <c r="H76" s="969"/>
      <c r="I76" s="968"/>
      <c r="J76" s="969"/>
      <c r="K76" s="968"/>
      <c r="L76" s="969"/>
      <c r="M76" s="970" t="e">
        <f>SUM(M77:M85)</f>
        <v>#REF!</v>
      </c>
      <c r="N76" s="969" t="e">
        <f>M76/$C$76</f>
        <v>#REF!</v>
      </c>
      <c r="O76" s="970" t="e">
        <f>SUM(O77:O85)</f>
        <v>#REF!</v>
      </c>
      <c r="P76" s="969" t="e">
        <f>O76/$C$76</f>
        <v>#REF!</v>
      </c>
      <c r="Q76" s="970" t="e">
        <f>SUM(Q77:Q85)</f>
        <v>#REF!</v>
      </c>
      <c r="R76" s="969" t="e">
        <f>Q76/$C$76</f>
        <v>#REF!</v>
      </c>
      <c r="S76" s="970" t="e">
        <f>SUM(S77:S85)</f>
        <v>#REF!</v>
      </c>
      <c r="T76" s="969" t="e">
        <f>S76/$C$76</f>
        <v>#REF!</v>
      </c>
      <c r="U76" s="970" t="e">
        <f>SUM(U77:U85)</f>
        <v>#REF!</v>
      </c>
      <c r="V76" s="969" t="e">
        <f>U76/$C$76</f>
        <v>#REF!</v>
      </c>
      <c r="W76" s="970"/>
      <c r="X76" s="969"/>
      <c r="Y76" s="972" t="e">
        <f t="shared" si="65"/>
        <v>#REF!</v>
      </c>
      <c r="Z76" s="947" t="e">
        <f>SUM(F76,H76,J76,L76,N76,P76,R76,T76,V76,X76)</f>
        <v>#REF!</v>
      </c>
      <c r="AA76" s="1817"/>
      <c r="AB76" s="1806"/>
      <c r="AC76" s="1806"/>
      <c r="AD76" s="1806"/>
      <c r="AE76" s="1806"/>
      <c r="AF76" s="1806"/>
      <c r="AG76" s="1806"/>
      <c r="AH76" s="1806"/>
      <c r="AI76" s="1806"/>
      <c r="AJ76" s="1806"/>
      <c r="AK76" s="1806"/>
      <c r="AL76" s="1806"/>
      <c r="AM76" s="1806"/>
      <c r="AN76" s="1806"/>
      <c r="AO76" s="1806"/>
      <c r="AP76" s="1806"/>
      <c r="AQ76" s="1806"/>
      <c r="AR76" s="1806"/>
      <c r="AS76" s="1806"/>
      <c r="AT76" s="1807"/>
      <c r="AU76" s="110"/>
    </row>
    <row r="77" spans="1:47">
      <c r="A77" s="1823" t="s">
        <v>12824</v>
      </c>
      <c r="B77" s="973" t="str">
        <f>VLOOKUP($A77,'Medição '!$A:$G,4,0)</f>
        <v>ALVENARIA, DIVISÓRIAS E VEDAÇÕES</v>
      </c>
      <c r="C77" s="974" t="e">
        <f>VLOOKUP($A77,'Medição '!$A:$G,10,0)</f>
        <v>#REF!</v>
      </c>
      <c r="D77" s="983"/>
      <c r="E77" s="984"/>
      <c r="F77" s="985"/>
      <c r="G77" s="986"/>
      <c r="H77" s="985"/>
      <c r="I77" s="986"/>
      <c r="J77" s="985"/>
      <c r="K77" s="986"/>
      <c r="L77" s="985"/>
      <c r="M77" s="986">
        <f>('Medição '!H162+'Medição '!H163+'Medição '!H164+'Medição '!H165+'Medição '!H166)</f>
        <v>35017.899999999994</v>
      </c>
      <c r="N77" s="985" t="e">
        <f>M77/C77</f>
        <v>#REF!</v>
      </c>
      <c r="O77" s="986">
        <f>('Medição '!H169+'Medição '!H167)</f>
        <v>143124.49000000002</v>
      </c>
      <c r="P77" s="985" t="e">
        <f>O77/C77</f>
        <v>#REF!</v>
      </c>
      <c r="Q77" s="986">
        <f>('Medição '!H168+'Medição '!H170)</f>
        <v>196878.35</v>
      </c>
      <c r="R77" s="985" t="e">
        <f>Q77/C77</f>
        <v>#REF!</v>
      </c>
      <c r="S77" s="986"/>
      <c r="T77" s="985"/>
      <c r="U77" s="987"/>
      <c r="V77" s="985"/>
      <c r="W77" s="987"/>
      <c r="X77" s="985"/>
      <c r="Y77" s="961">
        <f t="shared" si="65"/>
        <v>375020.74</v>
      </c>
      <c r="Z77" s="947" t="e">
        <f t="shared" ref="Z77:Z85" si="68">SUM(F77,H77,J77,L77,N77,P77,R77,T77,V77,X77,)</f>
        <v>#REF!</v>
      </c>
      <c r="AA77" s="1824"/>
      <c r="AB77" s="1825"/>
      <c r="AC77" s="1825"/>
      <c r="AD77" s="1825"/>
      <c r="AE77" s="1825"/>
      <c r="AF77" s="1825"/>
      <c r="AG77" s="1825"/>
      <c r="AH77" s="1825"/>
      <c r="AI77" s="1825"/>
      <c r="AJ77" s="1825"/>
      <c r="AK77" s="1825"/>
      <c r="AL77" s="1825"/>
      <c r="AM77" s="1825"/>
      <c r="AN77" s="1825"/>
      <c r="AO77" s="1825"/>
      <c r="AP77" s="1825"/>
      <c r="AQ77" s="1825"/>
      <c r="AR77" s="1825"/>
      <c r="AS77" s="1825"/>
      <c r="AT77" s="1826"/>
      <c r="AU77" s="568"/>
    </row>
    <row r="78" spans="1:47">
      <c r="A78" s="1823" t="s">
        <v>12834</v>
      </c>
      <c r="B78" s="973" t="str">
        <f>VLOOKUP($A78,'Medição '!$A:$G,4,0)</f>
        <v xml:space="preserve">REVESTIMENTO PAREDE - CHAPISCO/EMBOÇO/REBOCO </v>
      </c>
      <c r="C78" s="974" t="e">
        <f>VLOOKUP($A78,'Medição '!$A:$G,10,0)</f>
        <v>#REF!</v>
      </c>
      <c r="D78" s="983"/>
      <c r="E78" s="984"/>
      <c r="F78" s="985"/>
      <c r="G78" s="986"/>
      <c r="H78" s="985"/>
      <c r="I78" s="986"/>
      <c r="J78" s="985"/>
      <c r="K78" s="986"/>
      <c r="L78" s="985"/>
      <c r="M78" s="986"/>
      <c r="N78" s="985"/>
      <c r="O78" s="986" t="e">
        <f>P78*C78</f>
        <v>#REF!</v>
      </c>
      <c r="P78" s="985">
        <v>1</v>
      </c>
      <c r="Q78" s="986"/>
      <c r="R78" s="985"/>
      <c r="S78" s="986"/>
      <c r="T78" s="985"/>
      <c r="U78" s="987"/>
      <c r="V78" s="985"/>
      <c r="W78" s="987"/>
      <c r="X78" s="985"/>
      <c r="Y78" s="961" t="e">
        <f t="shared" si="65"/>
        <v>#REF!</v>
      </c>
      <c r="Z78" s="947">
        <f t="shared" si="68"/>
        <v>1</v>
      </c>
      <c r="AA78" s="1824"/>
      <c r="AB78" s="1825"/>
      <c r="AC78" s="1825"/>
      <c r="AD78" s="1825"/>
      <c r="AE78" s="1825"/>
      <c r="AF78" s="1825"/>
      <c r="AG78" s="1825"/>
      <c r="AH78" s="1825"/>
      <c r="AI78" s="1825"/>
      <c r="AJ78" s="1825"/>
      <c r="AK78" s="1825"/>
      <c r="AL78" s="1825"/>
      <c r="AM78" s="1825"/>
      <c r="AN78" s="1825"/>
      <c r="AO78" s="1825"/>
      <c r="AP78" s="1825"/>
      <c r="AQ78" s="1825"/>
      <c r="AR78" s="1825"/>
      <c r="AS78" s="1825"/>
      <c r="AT78" s="1826"/>
      <c r="AU78" s="568"/>
    </row>
    <row r="79" spans="1:47">
      <c r="A79" s="1823" t="s">
        <v>12838</v>
      </c>
      <c r="B79" s="973" t="str">
        <f>VLOOKUP($A79,'Medição '!$A:$G,4,0)</f>
        <v>REVESTIMENTO DE PAREDES, PISOS</v>
      </c>
      <c r="C79" s="974" t="e">
        <f>VLOOKUP($A79,'Medição '!$A:$G,10,0)</f>
        <v>#REF!</v>
      </c>
      <c r="D79" s="983"/>
      <c r="E79" s="984"/>
      <c r="F79" s="985"/>
      <c r="G79" s="986"/>
      <c r="H79" s="985"/>
      <c r="I79" s="986"/>
      <c r="J79" s="985"/>
      <c r="K79" s="986"/>
      <c r="L79" s="985"/>
      <c r="M79" s="986"/>
      <c r="N79" s="985"/>
      <c r="O79" s="986"/>
      <c r="P79" s="985"/>
      <c r="Q79" s="986" t="e">
        <f>R79*C79</f>
        <v>#REF!</v>
      </c>
      <c r="R79" s="985">
        <v>0.5</v>
      </c>
      <c r="S79" s="986" t="e">
        <f>T79*C79</f>
        <v>#REF!</v>
      </c>
      <c r="T79" s="985">
        <v>0.5</v>
      </c>
      <c r="U79" s="987"/>
      <c r="V79" s="985"/>
      <c r="W79" s="987"/>
      <c r="X79" s="985"/>
      <c r="Y79" s="961" t="e">
        <f t="shared" si="65"/>
        <v>#REF!</v>
      </c>
      <c r="Z79" s="947">
        <f t="shared" si="68"/>
        <v>1</v>
      </c>
      <c r="AA79" s="1824"/>
      <c r="AB79" s="1825"/>
      <c r="AC79" s="1825"/>
      <c r="AD79" s="1825"/>
      <c r="AE79" s="1825"/>
      <c r="AF79" s="1825"/>
      <c r="AG79" s="1825"/>
      <c r="AH79" s="1825"/>
      <c r="AI79" s="1825"/>
      <c r="AJ79" s="1825"/>
      <c r="AK79" s="1825"/>
      <c r="AL79" s="1825"/>
      <c r="AM79" s="1825"/>
      <c r="AN79" s="1825"/>
      <c r="AO79" s="1825"/>
      <c r="AP79" s="1825"/>
      <c r="AQ79" s="1825"/>
      <c r="AR79" s="1825"/>
      <c r="AS79" s="1825"/>
      <c r="AT79" s="1826"/>
      <c r="AU79" s="568"/>
    </row>
    <row r="80" spans="1:47">
      <c r="A80" s="1823" t="s">
        <v>12849</v>
      </c>
      <c r="B80" s="973" t="str">
        <f>VLOOKUP($A80,'Medição '!$A:$G,4,0)</f>
        <v>PINTURAS E TEXTURAS</v>
      </c>
      <c r="C80" s="974" t="e">
        <f>VLOOKUP($A80,'Medição '!$A:$G,10,0)</f>
        <v>#REF!</v>
      </c>
      <c r="D80" s="983"/>
      <c r="E80" s="984"/>
      <c r="F80" s="985"/>
      <c r="G80" s="986"/>
      <c r="H80" s="985"/>
      <c r="I80" s="986"/>
      <c r="J80" s="985"/>
      <c r="K80" s="986"/>
      <c r="L80" s="985"/>
      <c r="M80" s="986">
        <f>SUM('Medição '!H188,'Medição '!H189)</f>
        <v>63720.240000000005</v>
      </c>
      <c r="N80" s="985" t="e">
        <f>M80/C80</f>
        <v>#REF!</v>
      </c>
      <c r="O80" s="986"/>
      <c r="P80" s="985"/>
      <c r="Q80" s="986"/>
      <c r="R80" s="985"/>
      <c r="S80" s="986"/>
      <c r="T80" s="985"/>
      <c r="U80" s="987">
        <f>('Medição '!H187+'Medição '!H190+'Medição '!H191+'Medição '!H192+'Medição '!H193+'Medição '!H194+'Medição '!H195)</f>
        <v>29322.22</v>
      </c>
      <c r="V80" s="985" t="e">
        <f>U80/C80</f>
        <v>#REF!</v>
      </c>
      <c r="W80" s="987"/>
      <c r="X80" s="985"/>
      <c r="Y80" s="961">
        <f t="shared" si="65"/>
        <v>93042.46</v>
      </c>
      <c r="Z80" s="947" t="e">
        <f t="shared" si="68"/>
        <v>#REF!</v>
      </c>
      <c r="AA80" s="1824"/>
      <c r="AB80" s="1825"/>
      <c r="AC80" s="1825"/>
      <c r="AD80" s="1825"/>
      <c r="AE80" s="1825"/>
      <c r="AF80" s="1825"/>
      <c r="AG80" s="1825"/>
      <c r="AH80" s="1825"/>
      <c r="AI80" s="1825"/>
      <c r="AJ80" s="1825"/>
      <c r="AK80" s="1825"/>
      <c r="AL80" s="1825"/>
      <c r="AM80" s="1825"/>
      <c r="AN80" s="1825"/>
      <c r="AO80" s="1825"/>
      <c r="AP80" s="1825"/>
      <c r="AQ80" s="1825"/>
      <c r="AR80" s="1825"/>
      <c r="AS80" s="1825"/>
      <c r="AT80" s="1826"/>
      <c r="AU80" s="568"/>
    </row>
    <row r="81" spans="1:47">
      <c r="A81" s="1823" t="s">
        <v>12859</v>
      </c>
      <c r="B81" s="973" t="str">
        <f>VLOOKUP($A81,'Medição '!$A:$G,4,0)</f>
        <v>ESQUADRIAS E FECHAMENTOS</v>
      </c>
      <c r="C81" s="974" t="e">
        <f>VLOOKUP($A81,'Medição '!$A:$G,10,0)</f>
        <v>#REF!</v>
      </c>
      <c r="D81" s="975"/>
      <c r="E81" s="958"/>
      <c r="F81" s="959"/>
      <c r="G81" s="976"/>
      <c r="H81" s="977"/>
      <c r="I81" s="976"/>
      <c r="J81" s="977"/>
      <c r="K81" s="976"/>
      <c r="L81" s="977"/>
      <c r="M81" s="976"/>
      <c r="N81" s="978"/>
      <c r="O81" s="976"/>
      <c r="P81" s="978"/>
      <c r="Q81" s="976" t="e">
        <f>R81*C81</f>
        <v>#REF!</v>
      </c>
      <c r="R81" s="977">
        <v>1</v>
      </c>
      <c r="S81" s="976"/>
      <c r="T81" s="977"/>
      <c r="U81" s="961"/>
      <c r="V81" s="959"/>
      <c r="W81" s="961"/>
      <c r="X81" s="959"/>
      <c r="Y81" s="961" t="e">
        <f t="shared" si="65"/>
        <v>#REF!</v>
      </c>
      <c r="Z81" s="947">
        <f t="shared" si="68"/>
        <v>1</v>
      </c>
      <c r="AA81" s="1817"/>
      <c r="AB81" s="1806"/>
      <c r="AC81" s="1806"/>
      <c r="AD81" s="1806"/>
      <c r="AE81" s="1806"/>
      <c r="AF81" s="1806"/>
      <c r="AG81" s="1806"/>
      <c r="AH81" s="1806"/>
      <c r="AI81" s="1806"/>
      <c r="AJ81" s="1806"/>
      <c r="AK81" s="1806"/>
      <c r="AL81" s="1806"/>
      <c r="AM81" s="1806"/>
      <c r="AN81" s="1806"/>
      <c r="AO81" s="1806"/>
      <c r="AP81" s="1806"/>
      <c r="AQ81" s="1806"/>
      <c r="AR81" s="1806"/>
      <c r="AS81" s="1806"/>
      <c r="AT81" s="1807"/>
      <c r="AU81" s="110"/>
    </row>
    <row r="82" spans="1:47">
      <c r="A82" s="1823" t="s">
        <v>12869</v>
      </c>
      <c r="B82" s="973" t="str">
        <f>VLOOKUP($A82,'Medição '!$A:$G,4,0)</f>
        <v>FORROS E COBERTURA</v>
      </c>
      <c r="C82" s="974" t="e">
        <f>VLOOKUP($A82,'Medição '!$A:$G,10,0)</f>
        <v>#REF!</v>
      </c>
      <c r="D82" s="983"/>
      <c r="E82" s="984"/>
      <c r="F82" s="985"/>
      <c r="G82" s="986"/>
      <c r="H82" s="985"/>
      <c r="I82" s="986"/>
      <c r="J82" s="985"/>
      <c r="K82" s="986"/>
      <c r="L82" s="985"/>
      <c r="M82" s="986" t="e">
        <f>N82*$C$82</f>
        <v>#REF!</v>
      </c>
      <c r="N82" s="985">
        <v>0.5</v>
      </c>
      <c r="O82" s="986" t="e">
        <f>P82*$C$82</f>
        <v>#REF!</v>
      </c>
      <c r="P82" s="985">
        <v>0.5</v>
      </c>
      <c r="Q82" s="986"/>
      <c r="R82" s="985"/>
      <c r="S82" s="986"/>
      <c r="T82" s="985"/>
      <c r="U82" s="987"/>
      <c r="V82" s="985"/>
      <c r="W82" s="987"/>
      <c r="X82" s="985"/>
      <c r="Y82" s="961" t="e">
        <f t="shared" si="65"/>
        <v>#REF!</v>
      </c>
      <c r="Z82" s="947">
        <f t="shared" si="68"/>
        <v>1</v>
      </c>
      <c r="AA82" s="1824"/>
      <c r="AB82" s="1825"/>
      <c r="AC82" s="1825"/>
      <c r="AD82" s="1825"/>
      <c r="AE82" s="1825"/>
      <c r="AF82" s="1825"/>
      <c r="AG82" s="1825"/>
      <c r="AH82" s="1825"/>
      <c r="AI82" s="1825"/>
      <c r="AJ82" s="1825"/>
      <c r="AK82" s="1825"/>
      <c r="AL82" s="1825"/>
      <c r="AM82" s="1825"/>
      <c r="AN82" s="1825"/>
      <c r="AO82" s="1825"/>
      <c r="AP82" s="1825"/>
      <c r="AQ82" s="1825"/>
      <c r="AR82" s="1825"/>
      <c r="AS82" s="1825"/>
      <c r="AT82" s="1826"/>
      <c r="AU82" s="568"/>
    </row>
    <row r="83" spans="1:47">
      <c r="A83" s="1823" t="s">
        <v>12884</v>
      </c>
      <c r="B83" s="973" t="str">
        <f>VLOOKUP($A83,'Medição '!$A:$G,4,0)</f>
        <v>VIDRAÇARIA / SERRALHERIA / MARMORARIA</v>
      </c>
      <c r="C83" s="974" t="e">
        <f>VLOOKUP($A83,'Medição '!$A:$G,10,0)</f>
        <v>#REF!</v>
      </c>
      <c r="D83" s="983"/>
      <c r="E83" s="984"/>
      <c r="F83" s="985"/>
      <c r="G83" s="986"/>
      <c r="H83" s="985"/>
      <c r="I83" s="986"/>
      <c r="J83" s="985"/>
      <c r="K83" s="986"/>
      <c r="L83" s="985"/>
      <c r="M83" s="986"/>
      <c r="N83" s="985"/>
      <c r="O83" s="986"/>
      <c r="P83" s="985"/>
      <c r="Q83" s="986" t="e">
        <f>R83*$C$83</f>
        <v>#REF!</v>
      </c>
      <c r="R83" s="985">
        <v>0.5</v>
      </c>
      <c r="S83" s="986" t="e">
        <f>T83*$C$83</f>
        <v>#REF!</v>
      </c>
      <c r="T83" s="985">
        <v>0.5</v>
      </c>
      <c r="U83" s="987"/>
      <c r="V83" s="985"/>
      <c r="W83" s="987"/>
      <c r="X83" s="985"/>
      <c r="Y83" s="961" t="e">
        <f t="shared" si="65"/>
        <v>#REF!</v>
      </c>
      <c r="Z83" s="947">
        <f t="shared" si="68"/>
        <v>1</v>
      </c>
      <c r="AA83" s="1824"/>
      <c r="AB83" s="1825"/>
      <c r="AC83" s="1825"/>
      <c r="AD83" s="1825"/>
      <c r="AE83" s="1825"/>
      <c r="AF83" s="1825"/>
      <c r="AG83" s="1825"/>
      <c r="AH83" s="1825"/>
      <c r="AI83" s="1825"/>
      <c r="AJ83" s="1825"/>
      <c r="AK83" s="1825"/>
      <c r="AL83" s="1825"/>
      <c r="AM83" s="1825"/>
      <c r="AN83" s="1825"/>
      <c r="AO83" s="1825"/>
      <c r="AP83" s="1825"/>
      <c r="AQ83" s="1825"/>
      <c r="AR83" s="1825"/>
      <c r="AS83" s="1825"/>
      <c r="AT83" s="1826"/>
      <c r="AU83" s="568"/>
    </row>
    <row r="84" spans="1:47">
      <c r="A84" s="1823" t="s">
        <v>12897</v>
      </c>
      <c r="B84" s="973" t="str">
        <f>VLOOKUP($A84,'Medição '!$A:$G,4,0)</f>
        <v>LOUÇAS, METAIS E ACESSÓRIOS</v>
      </c>
      <c r="C84" s="974" t="e">
        <f>VLOOKUP($A84,'Medição '!$A:$G,10,0)</f>
        <v>#REF!</v>
      </c>
      <c r="D84" s="983"/>
      <c r="E84" s="984"/>
      <c r="F84" s="985"/>
      <c r="G84" s="986"/>
      <c r="H84" s="985"/>
      <c r="I84" s="986"/>
      <c r="J84" s="985"/>
      <c r="K84" s="986"/>
      <c r="L84" s="985"/>
      <c r="M84" s="986"/>
      <c r="N84" s="985"/>
      <c r="O84" s="986"/>
      <c r="P84" s="985"/>
      <c r="Q84" s="986"/>
      <c r="R84" s="985"/>
      <c r="S84" s="986"/>
      <c r="T84" s="985"/>
      <c r="U84" s="987" t="e">
        <f>V84*C84</f>
        <v>#REF!</v>
      </c>
      <c r="V84" s="985">
        <v>1</v>
      </c>
      <c r="W84" s="987"/>
      <c r="X84" s="985"/>
      <c r="Y84" s="961" t="e">
        <f t="shared" si="65"/>
        <v>#REF!</v>
      </c>
      <c r="Z84" s="947">
        <f t="shared" si="68"/>
        <v>1</v>
      </c>
      <c r="AA84" s="1824"/>
      <c r="AB84" s="1825"/>
      <c r="AC84" s="1825"/>
      <c r="AD84" s="1825"/>
      <c r="AE84" s="1825"/>
      <c r="AF84" s="1825"/>
      <c r="AG84" s="1825"/>
      <c r="AH84" s="1825"/>
      <c r="AI84" s="1825"/>
      <c r="AJ84" s="1825"/>
      <c r="AK84" s="1825"/>
      <c r="AL84" s="1825"/>
      <c r="AM84" s="1825"/>
      <c r="AN84" s="1825"/>
      <c r="AO84" s="1825"/>
      <c r="AP84" s="1825"/>
      <c r="AQ84" s="1825"/>
      <c r="AR84" s="1825"/>
      <c r="AS84" s="1825"/>
      <c r="AT84" s="1826"/>
      <c r="AU84" s="568"/>
    </row>
    <row r="85" spans="1:47">
      <c r="A85" s="1823" t="s">
        <v>12933</v>
      </c>
      <c r="B85" s="973" t="str">
        <f>VLOOKUP($A85,'Medição '!$A:$G,4,0)</f>
        <v xml:space="preserve">PAVIMENTAÇÕES, URBANIZAÇÃO E PAISAGISMO, ACESSIBILIDADE E COMUNICAÇÃO VISUAL </v>
      </c>
      <c r="C85" s="974" t="e">
        <f>VLOOKUP($A85,'Medição '!$A:$G,10,0)</f>
        <v>#REF!</v>
      </c>
      <c r="D85" s="983"/>
      <c r="E85" s="984"/>
      <c r="F85" s="985"/>
      <c r="G85" s="986"/>
      <c r="H85" s="985"/>
      <c r="I85" s="986"/>
      <c r="J85" s="985"/>
      <c r="K85" s="986"/>
      <c r="L85" s="985"/>
      <c r="M85" s="986"/>
      <c r="N85" s="985"/>
      <c r="O85" s="986"/>
      <c r="P85" s="985"/>
      <c r="Q85" s="986"/>
      <c r="R85" s="985"/>
      <c r="S85" s="986"/>
      <c r="T85" s="985"/>
      <c r="U85" s="987" t="e">
        <f>V85*C85</f>
        <v>#REF!</v>
      </c>
      <c r="V85" s="985">
        <v>1</v>
      </c>
      <c r="W85" s="987"/>
      <c r="X85" s="985"/>
      <c r="Y85" s="961" t="e">
        <f t="shared" si="65"/>
        <v>#REF!</v>
      </c>
      <c r="Z85" s="947">
        <f t="shared" si="68"/>
        <v>1</v>
      </c>
      <c r="AA85" s="1824"/>
      <c r="AB85" s="1825"/>
      <c r="AC85" s="1825"/>
      <c r="AD85" s="1825"/>
      <c r="AE85" s="1825"/>
      <c r="AF85" s="1825"/>
      <c r="AG85" s="1825"/>
      <c r="AH85" s="1825"/>
      <c r="AI85" s="1825"/>
      <c r="AJ85" s="1825"/>
      <c r="AK85" s="1825"/>
      <c r="AL85" s="1825"/>
      <c r="AM85" s="1825"/>
      <c r="AN85" s="1825"/>
      <c r="AO85" s="1825"/>
      <c r="AP85" s="1825"/>
      <c r="AQ85" s="1825"/>
      <c r="AR85" s="1825"/>
      <c r="AS85" s="1825"/>
      <c r="AT85" s="1826"/>
      <c r="AU85" s="568"/>
    </row>
    <row r="86" spans="1:47">
      <c r="A86" s="1820" t="s">
        <v>12626</v>
      </c>
      <c r="B86" s="979" t="s">
        <v>16310</v>
      </c>
      <c r="C86" s="980" t="e">
        <f>SUM(C87:C89)</f>
        <v>#REF!</v>
      </c>
      <c r="D86" s="981"/>
      <c r="E86" s="982"/>
      <c r="F86" s="969"/>
      <c r="G86" s="968"/>
      <c r="H86" s="969"/>
      <c r="I86" s="968"/>
      <c r="J86" s="969"/>
      <c r="K86" s="968"/>
      <c r="L86" s="969"/>
      <c r="M86" s="968"/>
      <c r="N86" s="969"/>
      <c r="O86" s="968"/>
      <c r="P86" s="969"/>
      <c r="Q86" s="968" t="e">
        <f>SUM(Q87:Q89)</f>
        <v>#REF!</v>
      </c>
      <c r="R86" s="969" t="e">
        <f>Q86/C86</f>
        <v>#REF!</v>
      </c>
      <c r="S86" s="968" t="e">
        <f>SUM(S87:S89)</f>
        <v>#REF!</v>
      </c>
      <c r="T86" s="969" t="e">
        <f>S86/C86</f>
        <v>#REF!</v>
      </c>
      <c r="U86" s="970"/>
      <c r="V86" s="969"/>
      <c r="W86" s="970"/>
      <c r="X86" s="969"/>
      <c r="Y86" s="972" t="e">
        <f t="shared" si="65"/>
        <v>#REF!</v>
      </c>
      <c r="Z86" s="947" t="e">
        <f>SUM(F86,H86,J86,L86,N86,P86,R86,T86,V86,X86)</f>
        <v>#REF!</v>
      </c>
      <c r="AA86" s="1817"/>
      <c r="AB86" s="1806"/>
      <c r="AC86" s="1806"/>
      <c r="AD86" s="1806"/>
      <c r="AE86" s="1806"/>
      <c r="AF86" s="1806"/>
      <c r="AG86" s="1806"/>
      <c r="AH86" s="1806"/>
      <c r="AI86" s="1806"/>
      <c r="AJ86" s="1806"/>
      <c r="AK86" s="1806"/>
      <c r="AL86" s="1806"/>
      <c r="AM86" s="1806"/>
      <c r="AN86" s="1806"/>
      <c r="AO86" s="1806"/>
      <c r="AP86" s="1806"/>
      <c r="AQ86" s="1806"/>
      <c r="AR86" s="1806"/>
      <c r="AS86" s="1806"/>
      <c r="AT86" s="1807"/>
      <c r="AU86" s="110"/>
    </row>
    <row r="87" spans="1:47">
      <c r="A87" s="1823" t="s">
        <v>12940</v>
      </c>
      <c r="B87" s="973" t="str">
        <f>VLOOKUP($A87,'Medição '!$A:$G,4,0)</f>
        <v>INSTALAÇÕES HIDRÁULICAS</v>
      </c>
      <c r="C87" s="974" t="e">
        <f>VLOOKUP($A87,'Medição '!$A:$G,10,0)</f>
        <v>#REF!</v>
      </c>
      <c r="D87" s="983"/>
      <c r="E87" s="984"/>
      <c r="F87" s="985"/>
      <c r="G87" s="986"/>
      <c r="H87" s="985"/>
      <c r="I87" s="986"/>
      <c r="J87" s="985"/>
      <c r="K87" s="986"/>
      <c r="L87" s="985"/>
      <c r="M87" s="986"/>
      <c r="N87" s="985"/>
      <c r="O87" s="986"/>
      <c r="P87" s="985"/>
      <c r="Q87" s="986"/>
      <c r="R87" s="985"/>
      <c r="S87" s="986" t="e">
        <f>T87*C87</f>
        <v>#REF!</v>
      </c>
      <c r="T87" s="985">
        <v>1</v>
      </c>
      <c r="U87" s="987"/>
      <c r="V87" s="985"/>
      <c r="W87" s="987"/>
      <c r="X87" s="985"/>
      <c r="Y87" s="961" t="e">
        <f t="shared" si="65"/>
        <v>#REF!</v>
      </c>
      <c r="Z87" s="947">
        <f>SUM(F87,H87,J87,L87,N87,P87,R87,T87,V87,X87,)</f>
        <v>1</v>
      </c>
      <c r="AA87" s="1824"/>
      <c r="AB87" s="1825"/>
      <c r="AC87" s="1825"/>
      <c r="AD87" s="1825"/>
      <c r="AE87" s="1825"/>
      <c r="AF87" s="1825"/>
      <c r="AG87" s="1825"/>
      <c r="AH87" s="1825"/>
      <c r="AI87" s="1825"/>
      <c r="AJ87" s="1825"/>
      <c r="AK87" s="1825"/>
      <c r="AL87" s="1825"/>
      <c r="AM87" s="1825"/>
      <c r="AN87" s="1825"/>
      <c r="AO87" s="1825"/>
      <c r="AP87" s="1825"/>
      <c r="AQ87" s="1825"/>
      <c r="AR87" s="1825"/>
      <c r="AS87" s="1825"/>
      <c r="AT87" s="1826"/>
      <c r="AU87" s="568"/>
    </row>
    <row r="88" spans="1:47">
      <c r="A88" s="1823" t="s">
        <v>12975</v>
      </c>
      <c r="B88" s="973" t="str">
        <f>VLOOKUP($A88,'Medição '!$A:$G,4,0)</f>
        <v>INSTALAÇÕES SANITÁRIAS/VENTILAÇÃO</v>
      </c>
      <c r="C88" s="974" t="e">
        <f>VLOOKUP($A88,'Medição '!$A:$G,10,0)</f>
        <v>#REF!</v>
      </c>
      <c r="D88" s="983"/>
      <c r="E88" s="984"/>
      <c r="F88" s="985"/>
      <c r="G88" s="986"/>
      <c r="H88" s="985"/>
      <c r="I88" s="986"/>
      <c r="J88" s="985"/>
      <c r="K88" s="986"/>
      <c r="L88" s="985"/>
      <c r="M88" s="986"/>
      <c r="N88" s="985"/>
      <c r="O88" s="986"/>
      <c r="P88" s="985"/>
      <c r="Q88" s="986" t="e">
        <f>C88*R88</f>
        <v>#REF!</v>
      </c>
      <c r="R88" s="985">
        <v>1</v>
      </c>
      <c r="S88" s="986"/>
      <c r="T88" s="985"/>
      <c r="U88" s="987"/>
      <c r="V88" s="985"/>
      <c r="W88" s="987"/>
      <c r="X88" s="985"/>
      <c r="Y88" s="961" t="e">
        <f t="shared" si="65"/>
        <v>#REF!</v>
      </c>
      <c r="Z88" s="947">
        <f>SUM(F88,H88,J88,L88,N88,P88,R88,T88,V88,X88,)</f>
        <v>1</v>
      </c>
      <c r="AA88" s="1824"/>
      <c r="AB88" s="1825"/>
      <c r="AC88" s="1825"/>
      <c r="AD88" s="1825"/>
      <c r="AE88" s="1825"/>
      <c r="AF88" s="1825"/>
      <c r="AG88" s="1825"/>
      <c r="AH88" s="1825"/>
      <c r="AI88" s="1825"/>
      <c r="AJ88" s="1825"/>
      <c r="AK88" s="1825"/>
      <c r="AL88" s="1825"/>
      <c r="AM88" s="1825"/>
      <c r="AN88" s="1825"/>
      <c r="AO88" s="1825"/>
      <c r="AP88" s="1825"/>
      <c r="AQ88" s="1825"/>
      <c r="AR88" s="1825"/>
      <c r="AS88" s="1825"/>
      <c r="AT88" s="1826"/>
      <c r="AU88" s="568"/>
    </row>
    <row r="89" spans="1:47">
      <c r="A89" s="1823" t="s">
        <v>13020</v>
      </c>
      <c r="B89" s="973" t="str">
        <f>VLOOKUP($A89,'Medição '!$A:$G,4,0)</f>
        <v>INSTALAÇÕES DE DRENAGEM</v>
      </c>
      <c r="C89" s="974" t="e">
        <f>VLOOKUP($A89,'Medição '!$A:$G,10,0)</f>
        <v>#REF!</v>
      </c>
      <c r="D89" s="983"/>
      <c r="E89" s="984"/>
      <c r="F89" s="985"/>
      <c r="G89" s="986"/>
      <c r="H89" s="985"/>
      <c r="I89" s="986"/>
      <c r="J89" s="985"/>
      <c r="K89" s="986"/>
      <c r="L89" s="985"/>
      <c r="M89" s="986"/>
      <c r="N89" s="985"/>
      <c r="O89" s="986"/>
      <c r="P89" s="985"/>
      <c r="Q89" s="986"/>
      <c r="R89" s="985"/>
      <c r="S89" s="986" t="e">
        <f>T89*C89</f>
        <v>#REF!</v>
      </c>
      <c r="T89" s="985">
        <v>1</v>
      </c>
      <c r="U89" s="987"/>
      <c r="V89" s="985"/>
      <c r="W89" s="987"/>
      <c r="X89" s="985"/>
      <c r="Y89" s="961" t="e">
        <f t="shared" si="65"/>
        <v>#REF!</v>
      </c>
      <c r="Z89" s="947">
        <f>SUM(F89,H89,J89,L89,N89,P89,R89,T89,V89,X89,)</f>
        <v>1</v>
      </c>
      <c r="AA89" s="1824"/>
      <c r="AB89" s="1825"/>
      <c r="AC89" s="1825"/>
      <c r="AD89" s="1825"/>
      <c r="AE89" s="1825"/>
      <c r="AF89" s="1825"/>
      <c r="AG89" s="1825"/>
      <c r="AH89" s="1825"/>
      <c r="AI89" s="1825"/>
      <c r="AJ89" s="1825"/>
      <c r="AK89" s="1825"/>
      <c r="AL89" s="1825"/>
      <c r="AM89" s="1825"/>
      <c r="AN89" s="1825"/>
      <c r="AO89" s="1825"/>
      <c r="AP89" s="1825"/>
      <c r="AQ89" s="1825"/>
      <c r="AR89" s="1825"/>
      <c r="AS89" s="1825"/>
      <c r="AT89" s="1826"/>
      <c r="AU89" s="568"/>
    </row>
    <row r="90" spans="1:47">
      <c r="A90" s="1820" t="s">
        <v>12627</v>
      </c>
      <c r="B90" s="979" t="s">
        <v>16332</v>
      </c>
      <c r="C90" s="980" t="e">
        <f>SUBTOTAL(9,C91:C98)</f>
        <v>#REF!</v>
      </c>
      <c r="D90" s="981"/>
      <c r="E90" s="982"/>
      <c r="F90" s="969"/>
      <c r="G90" s="968"/>
      <c r="H90" s="969"/>
      <c r="I90" s="968"/>
      <c r="J90" s="969"/>
      <c r="K90" s="968"/>
      <c r="L90" s="969"/>
      <c r="M90" s="968"/>
      <c r="N90" s="969"/>
      <c r="O90" s="968"/>
      <c r="P90" s="969"/>
      <c r="Q90" s="970" t="e">
        <f>SUM(Q91:Q98)</f>
        <v>#REF!</v>
      </c>
      <c r="R90" s="969" t="e">
        <f>Q90/$C$90</f>
        <v>#REF!</v>
      </c>
      <c r="S90" s="970" t="e">
        <f>SUM(S91:S98)</f>
        <v>#REF!</v>
      </c>
      <c r="T90" s="969" t="e">
        <f>S90/$C$90</f>
        <v>#REF!</v>
      </c>
      <c r="U90" s="970" t="e">
        <f>SUM(U91:U98)</f>
        <v>#REF!</v>
      </c>
      <c r="V90" s="969" t="e">
        <f>U90/$C$90</f>
        <v>#REF!</v>
      </c>
      <c r="W90" s="970"/>
      <c r="X90" s="969"/>
      <c r="Y90" s="972" t="e">
        <f t="shared" si="65"/>
        <v>#REF!</v>
      </c>
      <c r="Z90" s="947" t="e">
        <f>SUM(F90,H90,J90,L90,N90,P90,R90,T90,V90,X90)</f>
        <v>#REF!</v>
      </c>
      <c r="AA90" s="1817"/>
      <c r="AB90" s="1806"/>
      <c r="AC90" s="1806"/>
      <c r="AD90" s="1806"/>
      <c r="AE90" s="1806"/>
      <c r="AF90" s="1806"/>
      <c r="AG90" s="1806"/>
      <c r="AH90" s="1806"/>
      <c r="AI90" s="1806"/>
      <c r="AJ90" s="1806"/>
      <c r="AK90" s="1806"/>
      <c r="AL90" s="1806"/>
      <c r="AM90" s="1806"/>
      <c r="AN90" s="1806"/>
      <c r="AO90" s="1806"/>
      <c r="AP90" s="1806"/>
      <c r="AQ90" s="1806"/>
      <c r="AR90" s="1806"/>
      <c r="AS90" s="1806"/>
      <c r="AT90" s="1807"/>
      <c r="AU90" s="110"/>
    </row>
    <row r="91" spans="1:47">
      <c r="A91" s="1823" t="s">
        <v>13040</v>
      </c>
      <c r="B91" s="973" t="str">
        <f>VLOOKUP($A91,'Medição '!$A:$G,4,0)</f>
        <v>ELETRODUTOS E ACESSÓRIOS</v>
      </c>
      <c r="C91" s="974" t="e">
        <f>VLOOKUP($A91,'Medição '!$A:$G,10,0)</f>
        <v>#REF!</v>
      </c>
      <c r="D91" s="983"/>
      <c r="E91" s="984"/>
      <c r="F91" s="985"/>
      <c r="G91" s="986"/>
      <c r="H91" s="985"/>
      <c r="I91" s="986"/>
      <c r="J91" s="985"/>
      <c r="K91" s="986"/>
      <c r="L91" s="985"/>
      <c r="M91" s="986"/>
      <c r="N91" s="985"/>
      <c r="O91" s="986"/>
      <c r="P91" s="985"/>
      <c r="Q91" s="986" t="e">
        <f>R91*C91</f>
        <v>#REF!</v>
      </c>
      <c r="R91" s="985">
        <v>1</v>
      </c>
      <c r="S91" s="986"/>
      <c r="T91" s="985"/>
      <c r="U91" s="960"/>
      <c r="V91" s="959"/>
      <c r="W91" s="988"/>
      <c r="X91" s="989"/>
      <c r="Y91" s="961" t="e">
        <f t="shared" si="65"/>
        <v>#REF!</v>
      </c>
      <c r="Z91" s="947">
        <f t="shared" ref="Z91:Z98" si="69">SUM(F91,H91,J91,L91,N91,P91,R91,T91,V91,X91,)</f>
        <v>1</v>
      </c>
      <c r="AA91" s="1817"/>
      <c r="AB91" s="1806"/>
      <c r="AC91" s="1806"/>
      <c r="AD91" s="1806"/>
      <c r="AE91" s="1806"/>
      <c r="AF91" s="1806"/>
      <c r="AG91" s="1806"/>
      <c r="AH91" s="1806"/>
      <c r="AI91" s="1806"/>
      <c r="AJ91" s="1806"/>
      <c r="AK91" s="1806"/>
      <c r="AL91" s="1806"/>
      <c r="AM91" s="1806"/>
      <c r="AN91" s="1806"/>
      <c r="AO91" s="1806"/>
      <c r="AP91" s="1806"/>
      <c r="AQ91" s="1806"/>
      <c r="AR91" s="1806"/>
      <c r="AS91" s="1806"/>
      <c r="AT91" s="1807"/>
      <c r="AU91" s="110"/>
    </row>
    <row r="92" spans="1:47">
      <c r="A92" s="1823" t="s">
        <v>13059</v>
      </c>
      <c r="B92" s="973" t="str">
        <f>VLOOKUP($A92,'Medição '!$A:$G,4,0)</f>
        <v>ELETROCALHA, PERFILADO E ACESSÓRIOS</v>
      </c>
      <c r="C92" s="974" t="e">
        <f>VLOOKUP($A92,'Medição '!$A:$G,10,0)</f>
        <v>#REF!</v>
      </c>
      <c r="D92" s="983"/>
      <c r="E92" s="984"/>
      <c r="F92" s="985"/>
      <c r="G92" s="986"/>
      <c r="H92" s="985"/>
      <c r="I92" s="986"/>
      <c r="J92" s="985"/>
      <c r="K92" s="986"/>
      <c r="L92" s="985"/>
      <c r="M92" s="986"/>
      <c r="N92" s="985"/>
      <c r="O92" s="986"/>
      <c r="P92" s="985"/>
      <c r="Q92" s="986" t="e">
        <f>R92*C92</f>
        <v>#REF!</v>
      </c>
      <c r="R92" s="985">
        <v>1</v>
      </c>
      <c r="S92" s="986"/>
      <c r="T92" s="985"/>
      <c r="U92" s="987"/>
      <c r="V92" s="985"/>
      <c r="W92" s="960"/>
      <c r="X92" s="959"/>
      <c r="Y92" s="961" t="e">
        <f t="shared" si="65"/>
        <v>#REF!</v>
      </c>
      <c r="Z92" s="947">
        <f t="shared" si="69"/>
        <v>1</v>
      </c>
      <c r="AA92" s="1817"/>
      <c r="AB92" s="1806"/>
      <c r="AC92" s="1806"/>
      <c r="AD92" s="1806"/>
      <c r="AE92" s="1806"/>
      <c r="AF92" s="1806"/>
      <c r="AG92" s="1806"/>
      <c r="AH92" s="1806"/>
      <c r="AI92" s="1806"/>
      <c r="AJ92" s="1806"/>
      <c r="AK92" s="1806"/>
      <c r="AL92" s="1806"/>
      <c r="AM92" s="1806"/>
      <c r="AN92" s="1806"/>
      <c r="AO92" s="1806"/>
      <c r="AP92" s="1806"/>
      <c r="AQ92" s="1806"/>
      <c r="AR92" s="1806"/>
      <c r="AS92" s="1806"/>
      <c r="AT92" s="1807"/>
      <c r="AU92" s="110"/>
    </row>
    <row r="93" spans="1:47">
      <c r="A93" s="1823" t="s">
        <v>13070</v>
      </c>
      <c r="B93" s="973" t="str">
        <f>VLOOKUP($A93,'Medição '!$A:$G,4,0)</f>
        <v>CAIXA DE PASSAGEM E ACESSÓRIOS</v>
      </c>
      <c r="C93" s="974" t="e">
        <f>VLOOKUP($A93,'Medição '!$A:$G,10,0)</f>
        <v>#REF!</v>
      </c>
      <c r="D93" s="983"/>
      <c r="E93" s="984"/>
      <c r="F93" s="985"/>
      <c r="G93" s="986"/>
      <c r="H93" s="985"/>
      <c r="I93" s="986"/>
      <c r="J93" s="985"/>
      <c r="K93" s="986"/>
      <c r="L93" s="985"/>
      <c r="M93" s="986"/>
      <c r="N93" s="985"/>
      <c r="O93" s="986"/>
      <c r="P93" s="985"/>
      <c r="Q93" s="986" t="e">
        <f>R93*C93</f>
        <v>#REF!</v>
      </c>
      <c r="R93" s="985">
        <v>1</v>
      </c>
      <c r="S93" s="986"/>
      <c r="T93" s="985"/>
      <c r="U93" s="987"/>
      <c r="V93" s="985"/>
      <c r="W93" s="960"/>
      <c r="X93" s="959"/>
      <c r="Y93" s="961" t="e">
        <f t="shared" si="65"/>
        <v>#REF!</v>
      </c>
      <c r="Z93" s="947">
        <f t="shared" si="69"/>
        <v>1</v>
      </c>
      <c r="AA93" s="1817"/>
      <c r="AB93" s="1806"/>
      <c r="AC93" s="1806"/>
      <c r="AD93" s="1806"/>
      <c r="AE93" s="1806"/>
      <c r="AF93" s="1806"/>
      <c r="AG93" s="1806"/>
      <c r="AH93" s="1806"/>
      <c r="AI93" s="1806"/>
      <c r="AJ93" s="1806"/>
      <c r="AK93" s="1806"/>
      <c r="AL93" s="1806"/>
      <c r="AM93" s="1806"/>
      <c r="AN93" s="1806"/>
      <c r="AO93" s="1806"/>
      <c r="AP93" s="1806"/>
      <c r="AQ93" s="1806"/>
      <c r="AR93" s="1806"/>
      <c r="AS93" s="1806"/>
      <c r="AT93" s="1807"/>
      <c r="AU93" s="110"/>
    </row>
    <row r="94" spans="1:47">
      <c r="A94" s="1823" t="s">
        <v>13078</v>
      </c>
      <c r="B94" s="973" t="str">
        <f>VLOOKUP($A94,'Medição '!$A:$G,4,0)</f>
        <v>TOMADAS, INTERRUPTORES E ACESSÓRIOS</v>
      </c>
      <c r="C94" s="974" t="e">
        <f>VLOOKUP($A94,'Medição '!$A:$G,10,0)</f>
        <v>#REF!</v>
      </c>
      <c r="D94" s="983"/>
      <c r="E94" s="984"/>
      <c r="F94" s="985"/>
      <c r="G94" s="986"/>
      <c r="H94" s="985"/>
      <c r="I94" s="986"/>
      <c r="J94" s="985"/>
      <c r="K94" s="986"/>
      <c r="L94" s="985"/>
      <c r="M94" s="986"/>
      <c r="N94" s="985"/>
      <c r="O94" s="986"/>
      <c r="P94" s="985"/>
      <c r="Q94" s="986"/>
      <c r="R94" s="985"/>
      <c r="S94" s="986"/>
      <c r="T94" s="985"/>
      <c r="U94" s="987" t="e">
        <f>V94*C94</f>
        <v>#REF!</v>
      </c>
      <c r="V94" s="985">
        <v>1</v>
      </c>
      <c r="W94" s="987"/>
      <c r="X94" s="985"/>
      <c r="Y94" s="961" t="e">
        <f t="shared" si="65"/>
        <v>#REF!</v>
      </c>
      <c r="Z94" s="947">
        <f t="shared" si="69"/>
        <v>1</v>
      </c>
      <c r="AA94" s="1817"/>
      <c r="AB94" s="1806"/>
      <c r="AC94" s="1806"/>
      <c r="AD94" s="1806"/>
      <c r="AE94" s="1806"/>
      <c r="AF94" s="1806"/>
      <c r="AG94" s="1806"/>
      <c r="AH94" s="1806"/>
      <c r="AI94" s="1806"/>
      <c r="AJ94" s="1806"/>
      <c r="AK94" s="1806"/>
      <c r="AL94" s="1806"/>
      <c r="AM94" s="1806"/>
      <c r="AN94" s="1806"/>
      <c r="AO94" s="1806"/>
      <c r="AP94" s="1806"/>
      <c r="AQ94" s="1806"/>
      <c r="AR94" s="1806"/>
      <c r="AS94" s="1806"/>
      <c r="AT94" s="1807"/>
      <c r="AU94" s="110"/>
    </row>
    <row r="95" spans="1:47">
      <c r="A95" s="1823" t="s">
        <v>13092</v>
      </c>
      <c r="B95" s="973" t="str">
        <f>VLOOKUP($A95,'Medição '!$A:$G,4,0)</f>
        <v>CABOS ELÉTRICOS</v>
      </c>
      <c r="C95" s="974" t="e">
        <f>VLOOKUP($A95,'Medição '!$A:$G,10,0)</f>
        <v>#REF!</v>
      </c>
      <c r="D95" s="975"/>
      <c r="E95" s="958"/>
      <c r="F95" s="959"/>
      <c r="G95" s="976"/>
      <c r="H95" s="977"/>
      <c r="I95" s="976"/>
      <c r="J95" s="977"/>
      <c r="K95" s="976"/>
      <c r="L95" s="977"/>
      <c r="M95" s="976"/>
      <c r="N95" s="978"/>
      <c r="O95" s="976"/>
      <c r="P95" s="978"/>
      <c r="Q95" s="976"/>
      <c r="R95" s="977"/>
      <c r="S95" s="976" t="e">
        <f>T95*C95</f>
        <v>#REF!</v>
      </c>
      <c r="T95" s="977">
        <v>1</v>
      </c>
      <c r="U95" s="961"/>
      <c r="V95" s="959"/>
      <c r="W95" s="961"/>
      <c r="X95" s="959"/>
      <c r="Y95" s="961" t="e">
        <f t="shared" si="65"/>
        <v>#REF!</v>
      </c>
      <c r="Z95" s="947">
        <f t="shared" si="69"/>
        <v>1</v>
      </c>
      <c r="AA95" s="1817"/>
      <c r="AB95" s="1806"/>
      <c r="AC95" s="1806"/>
      <c r="AD95" s="1806"/>
      <c r="AE95" s="1806"/>
      <c r="AF95" s="1806"/>
      <c r="AG95" s="1806"/>
      <c r="AH95" s="1806"/>
      <c r="AI95" s="1806"/>
      <c r="AJ95" s="1806"/>
      <c r="AK95" s="1806"/>
      <c r="AL95" s="1806"/>
      <c r="AM95" s="1806"/>
      <c r="AN95" s="1806"/>
      <c r="AO95" s="1806"/>
      <c r="AP95" s="1806"/>
      <c r="AQ95" s="1806"/>
      <c r="AR95" s="1806"/>
      <c r="AS95" s="1806"/>
      <c r="AT95" s="1807"/>
      <c r="AU95" s="110"/>
    </row>
    <row r="96" spans="1:47">
      <c r="A96" s="1823" t="s">
        <v>13097</v>
      </c>
      <c r="B96" s="973" t="str">
        <f>VLOOKUP($A96,'Medição '!$A:$G,4,0)</f>
        <v>DISPOSITIVO DE PROTEÇÃO E DISTRIBUIÇÃO</v>
      </c>
      <c r="C96" s="974" t="e">
        <f>VLOOKUP($A96,'Medição '!$A:$G,10,0)</f>
        <v>#REF!</v>
      </c>
      <c r="D96" s="975"/>
      <c r="E96" s="958"/>
      <c r="F96" s="959"/>
      <c r="G96" s="976"/>
      <c r="H96" s="977"/>
      <c r="I96" s="976"/>
      <c r="J96" s="977"/>
      <c r="K96" s="976"/>
      <c r="L96" s="977"/>
      <c r="M96" s="976"/>
      <c r="N96" s="978"/>
      <c r="O96" s="976"/>
      <c r="P96" s="978"/>
      <c r="Q96" s="976"/>
      <c r="R96" s="977"/>
      <c r="S96" s="976" t="e">
        <f>T96*C96</f>
        <v>#REF!</v>
      </c>
      <c r="T96" s="977">
        <v>1</v>
      </c>
      <c r="U96" s="961"/>
      <c r="V96" s="959"/>
      <c r="W96" s="961"/>
      <c r="X96" s="959"/>
      <c r="Y96" s="961" t="e">
        <f t="shared" si="65"/>
        <v>#REF!</v>
      </c>
      <c r="Z96" s="947">
        <f t="shared" si="69"/>
        <v>1</v>
      </c>
      <c r="AA96" s="1817"/>
      <c r="AB96" s="1806"/>
      <c r="AC96" s="1806"/>
      <c r="AD96" s="1806"/>
      <c r="AE96" s="1806"/>
      <c r="AF96" s="1806"/>
      <c r="AG96" s="1806"/>
      <c r="AH96" s="1806"/>
      <c r="AI96" s="1806"/>
      <c r="AJ96" s="1806"/>
      <c r="AK96" s="1806"/>
      <c r="AL96" s="1806"/>
      <c r="AM96" s="1806"/>
      <c r="AN96" s="1806"/>
      <c r="AO96" s="1806"/>
      <c r="AP96" s="1806"/>
      <c r="AQ96" s="1806"/>
      <c r="AR96" s="1806"/>
      <c r="AS96" s="1806"/>
      <c r="AT96" s="1807"/>
      <c r="AU96" s="110"/>
    </row>
    <row r="97" spans="1:47">
      <c r="A97" s="1823" t="s">
        <v>13112</v>
      </c>
      <c r="B97" s="973" t="str">
        <f>VLOOKUP($A97,'Medição '!$A:$G,4,0)</f>
        <v>LUMINÁRIAS E ACESSÓRIOS</v>
      </c>
      <c r="C97" s="974" t="e">
        <f>VLOOKUP($A97,'Medição '!$A:$G,10,0)</f>
        <v>#REF!</v>
      </c>
      <c r="D97" s="975"/>
      <c r="E97" s="958"/>
      <c r="F97" s="959"/>
      <c r="G97" s="976"/>
      <c r="H97" s="977"/>
      <c r="I97" s="976"/>
      <c r="J97" s="977"/>
      <c r="K97" s="976"/>
      <c r="L97" s="977"/>
      <c r="M97" s="976"/>
      <c r="N97" s="978"/>
      <c r="O97" s="976"/>
      <c r="P97" s="978"/>
      <c r="Q97" s="976"/>
      <c r="R97" s="977"/>
      <c r="S97" s="976"/>
      <c r="T97" s="977"/>
      <c r="U97" s="961" t="e">
        <f>V97*C97</f>
        <v>#REF!</v>
      </c>
      <c r="V97" s="959">
        <v>1</v>
      </c>
      <c r="W97" s="961"/>
      <c r="X97" s="959"/>
      <c r="Y97" s="961" t="e">
        <f t="shared" si="65"/>
        <v>#REF!</v>
      </c>
      <c r="Z97" s="947">
        <f t="shared" si="69"/>
        <v>1</v>
      </c>
      <c r="AA97" s="1817"/>
      <c r="AB97" s="1806"/>
      <c r="AC97" s="1806"/>
      <c r="AD97" s="1806"/>
      <c r="AE97" s="1806"/>
      <c r="AF97" s="1806"/>
      <c r="AG97" s="1806"/>
      <c r="AH97" s="1806"/>
      <c r="AI97" s="1806"/>
      <c r="AJ97" s="1806"/>
      <c r="AK97" s="1806"/>
      <c r="AL97" s="1806"/>
      <c r="AM97" s="1806"/>
      <c r="AN97" s="1806"/>
      <c r="AO97" s="1806"/>
      <c r="AP97" s="1806"/>
      <c r="AQ97" s="1806"/>
      <c r="AR97" s="1806"/>
      <c r="AS97" s="1806"/>
      <c r="AT97" s="1807"/>
      <c r="AU97" s="110"/>
    </row>
    <row r="98" spans="1:47">
      <c r="A98" s="1823" t="s">
        <v>13131</v>
      </c>
      <c r="B98" s="973" t="str">
        <f>VLOOKUP($A98,'Medição '!$A:$G,4,0)</f>
        <v>INSTALAÇÕES DE LÓGICA</v>
      </c>
      <c r="C98" s="974" t="e">
        <f>VLOOKUP($A98,'Medição '!$A:$G,10,0)</f>
        <v>#REF!</v>
      </c>
      <c r="D98" s="975"/>
      <c r="E98" s="958"/>
      <c r="F98" s="959"/>
      <c r="G98" s="976"/>
      <c r="H98" s="977"/>
      <c r="I98" s="976"/>
      <c r="J98" s="977"/>
      <c r="K98" s="976"/>
      <c r="L98" s="977"/>
      <c r="M98" s="976"/>
      <c r="N98" s="978"/>
      <c r="O98" s="976"/>
      <c r="P98" s="978"/>
      <c r="Q98" s="976"/>
      <c r="R98" s="977"/>
      <c r="S98" s="976"/>
      <c r="T98" s="977"/>
      <c r="U98" s="961" t="e">
        <f>V98*C98</f>
        <v>#REF!</v>
      </c>
      <c r="V98" s="959">
        <v>1</v>
      </c>
      <c r="W98" s="961"/>
      <c r="X98" s="959"/>
      <c r="Y98" s="961" t="e">
        <f t="shared" si="65"/>
        <v>#REF!</v>
      </c>
      <c r="Z98" s="947">
        <f t="shared" si="69"/>
        <v>1</v>
      </c>
      <c r="AA98" s="1817"/>
      <c r="AB98" s="1806"/>
      <c r="AC98" s="1806"/>
      <c r="AD98" s="1806"/>
      <c r="AE98" s="1806"/>
      <c r="AF98" s="1806"/>
      <c r="AG98" s="1806"/>
      <c r="AH98" s="1806"/>
      <c r="AI98" s="1806"/>
      <c r="AJ98" s="1806"/>
      <c r="AK98" s="1806"/>
      <c r="AL98" s="1806"/>
      <c r="AM98" s="1806"/>
      <c r="AN98" s="1806"/>
      <c r="AO98" s="1806"/>
      <c r="AP98" s="1806"/>
      <c r="AQ98" s="1806"/>
      <c r="AR98" s="1806"/>
      <c r="AS98" s="1806"/>
      <c r="AT98" s="1807"/>
      <c r="AU98" s="110"/>
    </row>
    <row r="99" spans="1:47">
      <c r="A99" s="1820" t="s">
        <v>12628</v>
      </c>
      <c r="B99" s="979" t="s">
        <v>16345</v>
      </c>
      <c r="C99" s="980" t="e">
        <f>VLOOKUP($A99,'Medição '!$A:$G,10,0)</f>
        <v>#REF!</v>
      </c>
      <c r="D99" s="981"/>
      <c r="E99" s="982"/>
      <c r="F99" s="969"/>
      <c r="G99" s="968"/>
      <c r="H99" s="969"/>
      <c r="I99" s="968"/>
      <c r="J99" s="969"/>
      <c r="K99" s="968"/>
      <c r="L99" s="969"/>
      <c r="M99" s="968"/>
      <c r="N99" s="969"/>
      <c r="O99" s="968"/>
      <c r="P99" s="969"/>
      <c r="Q99" s="968"/>
      <c r="R99" s="969"/>
      <c r="S99" s="968"/>
      <c r="T99" s="969"/>
      <c r="U99" s="970" t="e">
        <f>V99*C99</f>
        <v>#REF!</v>
      </c>
      <c r="V99" s="969">
        <v>1</v>
      </c>
      <c r="W99" s="970"/>
      <c r="X99" s="969"/>
      <c r="Y99" s="971" t="e">
        <f>SUM(E99,G99,I99,K99,M99,O99,Q99,S99,U99,W99)</f>
        <v>#REF!</v>
      </c>
      <c r="Z99" s="947">
        <f>SUM(F99,H99,J99,L99,N99,P99,R99,T99,V99,X99)</f>
        <v>1</v>
      </c>
      <c r="AA99" s="1817"/>
      <c r="AB99" s="1806"/>
      <c r="AC99" s="1806"/>
      <c r="AD99" s="1806"/>
      <c r="AE99" s="1806"/>
      <c r="AF99" s="1806"/>
      <c r="AG99" s="1806"/>
      <c r="AH99" s="1806"/>
      <c r="AI99" s="1806"/>
      <c r="AJ99" s="1806"/>
      <c r="AK99" s="1806"/>
      <c r="AL99" s="1806"/>
      <c r="AM99" s="1806"/>
      <c r="AN99" s="1806"/>
      <c r="AO99" s="1806"/>
      <c r="AP99" s="1806"/>
      <c r="AQ99" s="1806"/>
      <c r="AR99" s="1806"/>
      <c r="AS99" s="1806"/>
      <c r="AT99" s="1807"/>
      <c r="AU99" s="110"/>
    </row>
    <row r="100" spans="1:47" ht="19.5">
      <c r="A100" s="1813"/>
      <c r="B100" s="942" t="str">
        <f>'Medição '!A497</f>
        <v xml:space="preserve"> → (C) PRAÇA SUNSET</v>
      </c>
      <c r="C100" s="943" t="e">
        <f>SUM(C127,C124,C117,C101)</f>
        <v>#REF!</v>
      </c>
      <c r="D100" s="944" t="e">
        <f>C100/$C$234</f>
        <v>#REF!</v>
      </c>
      <c r="E100" s="945"/>
      <c r="F100" s="946"/>
      <c r="G100" s="945" t="e">
        <f>SUM(G101,G117,G124,G127)</f>
        <v>#REF!</v>
      </c>
      <c r="H100" s="946" t="e">
        <f>G100/$C$100</f>
        <v>#REF!</v>
      </c>
      <c r="I100" s="945" t="e">
        <f>SUM(I101,I117,I124,I127)</f>
        <v>#REF!</v>
      </c>
      <c r="J100" s="946" t="e">
        <f>I100/$C$100</f>
        <v>#REF!</v>
      </c>
      <c r="K100" s="945" t="e">
        <f>SUM(K101,K117,K124,K127)</f>
        <v>#REF!</v>
      </c>
      <c r="L100" s="946" t="e">
        <f>K100/$C$100</f>
        <v>#REF!</v>
      </c>
      <c r="M100" s="945" t="e">
        <f>SUM(M101,M117,M124,M127)</f>
        <v>#REF!</v>
      </c>
      <c r="N100" s="946" t="e">
        <f>M100/$C$100</f>
        <v>#REF!</v>
      </c>
      <c r="O100" s="945" t="e">
        <f>SUM(O101,O117,O124,O127)</f>
        <v>#REF!</v>
      </c>
      <c r="P100" s="946" t="e">
        <f>O100/$C$100</f>
        <v>#REF!</v>
      </c>
      <c r="Q100" s="945" t="e">
        <f>SUM(Q101,Q117,Q124,Q127)</f>
        <v>#REF!</v>
      </c>
      <c r="R100" s="946" t="e">
        <f>Q100/$C$100</f>
        <v>#REF!</v>
      </c>
      <c r="S100" s="945" t="e">
        <f>SUM(S101,S117,S124,S127)</f>
        <v>#REF!</v>
      </c>
      <c r="T100" s="946" t="e">
        <f>S100/$C$100</f>
        <v>#REF!</v>
      </c>
      <c r="U100" s="945" t="e">
        <f>SUM(U101,U117,U124,U127)</f>
        <v>#REF!</v>
      </c>
      <c r="V100" s="946" t="e">
        <f>U100/$C$100</f>
        <v>#REF!</v>
      </c>
      <c r="W100" s="945">
        <f>SUM(W101,W117,W124,W127)</f>
        <v>782645.16599999997</v>
      </c>
      <c r="X100" s="946" t="e">
        <f>W100/$C$100</f>
        <v>#REF!</v>
      </c>
      <c r="Y100" s="943" t="e">
        <f>SUM(E100,G100,I100,K100,M100,O100,Q100,S100,U100,W100)</f>
        <v>#REF!</v>
      </c>
      <c r="Z100" s="947" t="e">
        <f>SUM(F100,H100,J100,L100,N100,P100,R100,T100,V100,X100)</f>
        <v>#REF!</v>
      </c>
      <c r="AA100" s="1814"/>
      <c r="AB100" s="1814"/>
      <c r="AC100" s="1814"/>
      <c r="AD100" s="1814"/>
      <c r="AE100" s="1814"/>
      <c r="AF100" s="1814"/>
      <c r="AG100" s="1814"/>
      <c r="AH100" s="1814"/>
      <c r="AI100" s="1814"/>
      <c r="AJ100" s="1814"/>
      <c r="AK100" s="1814"/>
      <c r="AL100" s="1814"/>
      <c r="AM100" s="1814"/>
      <c r="AN100" s="1814"/>
      <c r="AO100" s="1814"/>
      <c r="AP100" s="1814"/>
      <c r="AQ100" s="1814"/>
      <c r="AR100" s="1814"/>
      <c r="AS100" s="1814"/>
      <c r="AT100" s="1815"/>
      <c r="AU100" s="948"/>
    </row>
    <row r="101" spans="1:47">
      <c r="A101" s="1820" t="s">
        <v>12630</v>
      </c>
      <c r="B101" s="979" t="s">
        <v>16348</v>
      </c>
      <c r="C101" s="980" t="e">
        <f>SUM(C102:C116)</f>
        <v>#REF!</v>
      </c>
      <c r="D101" s="981"/>
      <c r="E101" s="982"/>
      <c r="F101" s="969"/>
      <c r="G101" s="982" t="e">
        <f>SUM(G102:G116)</f>
        <v>#REF!</v>
      </c>
      <c r="H101" s="969" t="e">
        <f>G101/$C$101</f>
        <v>#REF!</v>
      </c>
      <c r="I101" s="982" t="e">
        <f>SUM(I102:I116)</f>
        <v>#REF!</v>
      </c>
      <c r="J101" s="969" t="e">
        <f>I101/$C$101</f>
        <v>#REF!</v>
      </c>
      <c r="K101" s="982" t="e">
        <f>SUM(K102:K116)</f>
        <v>#REF!</v>
      </c>
      <c r="L101" s="969" t="e">
        <f>K101/$C$101</f>
        <v>#REF!</v>
      </c>
      <c r="M101" s="982" t="e">
        <f>SUM(M102:M116)</f>
        <v>#REF!</v>
      </c>
      <c r="N101" s="969" t="e">
        <f>M101/$C$101</f>
        <v>#REF!</v>
      </c>
      <c r="O101" s="982" t="e">
        <f>SUM(O102:O116)</f>
        <v>#REF!</v>
      </c>
      <c r="P101" s="969" t="e">
        <f>O101/$C$101</f>
        <v>#REF!</v>
      </c>
      <c r="Q101" s="968"/>
      <c r="R101" s="969"/>
      <c r="S101" s="968"/>
      <c r="T101" s="969"/>
      <c r="U101" s="980"/>
      <c r="V101" s="969"/>
      <c r="W101" s="970"/>
      <c r="X101" s="969"/>
      <c r="Y101" s="972" t="e">
        <f t="shared" ref="Y101:Y133" si="70">SUM(E101,G101,I101,K101,M101,O101,Q101,S101,U101,W101,)</f>
        <v>#REF!</v>
      </c>
      <c r="Z101" s="947" t="e">
        <f>SUM(F101,H101,J101,L101,N101,P101,R101,T101,V101,X101)</f>
        <v>#REF!</v>
      </c>
      <c r="AA101" s="1814"/>
      <c r="AB101" s="1814"/>
      <c r="AC101" s="1814"/>
      <c r="AD101" s="1814"/>
      <c r="AE101" s="1814"/>
      <c r="AF101" s="1814"/>
      <c r="AG101" s="1814"/>
      <c r="AH101" s="1814"/>
      <c r="AI101" s="1814"/>
      <c r="AJ101" s="1814"/>
      <c r="AK101" s="1814"/>
      <c r="AL101" s="1814"/>
      <c r="AM101" s="1814"/>
      <c r="AN101" s="1814"/>
      <c r="AO101" s="1814"/>
      <c r="AP101" s="1814"/>
      <c r="AQ101" s="1814"/>
      <c r="AR101" s="1814"/>
      <c r="AS101" s="1814"/>
      <c r="AT101" s="1815"/>
      <c r="AU101" s="948"/>
    </row>
    <row r="102" spans="1:47" ht="12.75">
      <c r="A102" s="1827" t="s">
        <v>13158</v>
      </c>
      <c r="B102" s="973" t="str">
        <f>VLOOKUP($A102,'Medição '!$A:$G,4,0)</f>
        <v xml:space="preserve"> PISO DO PASSEIO </v>
      </c>
      <c r="C102" s="974" t="e">
        <f>VLOOKUP($A102,'Medição '!$A:$G,10,0)</f>
        <v>#REF!</v>
      </c>
      <c r="D102" s="990"/>
      <c r="E102" s="991"/>
      <c r="F102" s="992"/>
      <c r="G102" s="986" t="e">
        <f>H102*$C$102</f>
        <v>#REF!</v>
      </c>
      <c r="H102" s="985">
        <v>0.2</v>
      </c>
      <c r="I102" s="986" t="e">
        <f>J102*$C$102</f>
        <v>#REF!</v>
      </c>
      <c r="J102" s="959">
        <v>0.2</v>
      </c>
      <c r="K102" s="986" t="e">
        <f>L102*$C$102</f>
        <v>#REF!</v>
      </c>
      <c r="L102" s="959">
        <v>0.2</v>
      </c>
      <c r="M102" s="986" t="e">
        <f>N102*$C$102</f>
        <v>#REF!</v>
      </c>
      <c r="N102" s="959">
        <v>0.2</v>
      </c>
      <c r="O102" s="986" t="e">
        <f>P102*$C$102</f>
        <v>#REF!</v>
      </c>
      <c r="P102" s="959">
        <v>0.2</v>
      </c>
      <c r="Q102" s="986"/>
      <c r="R102" s="985"/>
      <c r="S102" s="986"/>
      <c r="T102" s="985"/>
      <c r="U102" s="993"/>
      <c r="V102" s="992"/>
      <c r="W102" s="993"/>
      <c r="X102" s="992"/>
      <c r="Y102" s="961" t="e">
        <f t="shared" si="70"/>
        <v>#REF!</v>
      </c>
      <c r="Z102" s="947">
        <f t="shared" ref="Z102:Z116" si="71">SUM(F102,H102,J102,L102,N102,P102,R102,T102,V102,X102,)</f>
        <v>1</v>
      </c>
      <c r="AA102" s="1828"/>
      <c r="AB102" s="1828"/>
      <c r="AC102" s="1828"/>
      <c r="AD102" s="1828"/>
      <c r="AE102" s="1828"/>
      <c r="AF102" s="1828"/>
      <c r="AG102" s="1828"/>
      <c r="AH102" s="1828"/>
      <c r="AI102" s="1828"/>
      <c r="AJ102" s="1828"/>
      <c r="AK102" s="1828"/>
      <c r="AL102" s="1828"/>
      <c r="AM102" s="1828"/>
      <c r="AN102" s="1828"/>
      <c r="AO102" s="1828"/>
      <c r="AP102" s="1828"/>
      <c r="AQ102" s="1828"/>
      <c r="AR102" s="1828"/>
      <c r="AS102" s="1828"/>
      <c r="AT102" s="1829"/>
      <c r="AU102" s="994"/>
    </row>
    <row r="103" spans="1:47" ht="12.75">
      <c r="A103" s="1827" t="s">
        <v>13166</v>
      </c>
      <c r="B103" s="973" t="str">
        <f>VLOOKUP($A103,'Medição '!$A:$G,4,0)</f>
        <v>FUNDAÇÃO POSTES E BASES - POSTES MAIORES</v>
      </c>
      <c r="C103" s="974" t="e">
        <f>VLOOKUP($A103,'Medição '!$A:$G,10,0)</f>
        <v>#REF!</v>
      </c>
      <c r="D103" s="990"/>
      <c r="E103" s="984"/>
      <c r="F103" s="985"/>
      <c r="G103" s="986"/>
      <c r="H103" s="985"/>
      <c r="I103" s="986" t="e">
        <f t="shared" ref="I103:I111" si="72">J103*C103</f>
        <v>#REF!</v>
      </c>
      <c r="J103" s="985">
        <v>1</v>
      </c>
      <c r="K103" s="986"/>
      <c r="L103" s="985"/>
      <c r="M103" s="958"/>
      <c r="N103" s="959"/>
      <c r="O103" s="986"/>
      <c r="P103" s="985"/>
      <c r="Q103" s="986"/>
      <c r="R103" s="985"/>
      <c r="S103" s="986"/>
      <c r="T103" s="985"/>
      <c r="U103" s="987"/>
      <c r="V103" s="985"/>
      <c r="W103" s="987"/>
      <c r="X103" s="985"/>
      <c r="Y103" s="961" t="e">
        <f t="shared" si="70"/>
        <v>#REF!</v>
      </c>
      <c r="Z103" s="947">
        <f t="shared" si="71"/>
        <v>1</v>
      </c>
      <c r="AA103" s="1828"/>
      <c r="AB103" s="1828"/>
      <c r="AC103" s="1828"/>
      <c r="AD103" s="1828"/>
      <c r="AE103" s="1828"/>
      <c r="AF103" s="1828"/>
      <c r="AG103" s="1828"/>
      <c r="AH103" s="1828"/>
      <c r="AI103" s="1828"/>
      <c r="AJ103" s="1828"/>
      <c r="AK103" s="1828"/>
      <c r="AL103" s="1828"/>
      <c r="AM103" s="1828"/>
      <c r="AN103" s="1828"/>
      <c r="AO103" s="1828"/>
      <c r="AP103" s="1828"/>
      <c r="AQ103" s="1828"/>
      <c r="AR103" s="1828"/>
      <c r="AS103" s="1828"/>
      <c r="AT103" s="1829"/>
      <c r="AU103" s="994"/>
    </row>
    <row r="104" spans="1:47" ht="12.75">
      <c r="A104" s="1827" t="s">
        <v>13173</v>
      </c>
      <c r="B104" s="973" t="str">
        <f>VLOOKUP($A104,'Medição '!$A:$G,4,0)</f>
        <v>FUNDAÇÃO POSTES E BASES - POSTES MENORES</v>
      </c>
      <c r="C104" s="974" t="e">
        <f>VLOOKUP($A104,'Medição '!$A:$G,10,0)</f>
        <v>#REF!</v>
      </c>
      <c r="D104" s="990"/>
      <c r="E104" s="984"/>
      <c r="F104" s="985"/>
      <c r="G104" s="986"/>
      <c r="H104" s="985"/>
      <c r="I104" s="986" t="e">
        <f t="shared" si="72"/>
        <v>#REF!</v>
      </c>
      <c r="J104" s="985">
        <v>1</v>
      </c>
      <c r="K104" s="986"/>
      <c r="L104" s="985"/>
      <c r="M104" s="958"/>
      <c r="N104" s="959"/>
      <c r="O104" s="986"/>
      <c r="P104" s="985"/>
      <c r="Q104" s="986"/>
      <c r="R104" s="985"/>
      <c r="S104" s="986"/>
      <c r="T104" s="985"/>
      <c r="U104" s="987"/>
      <c r="V104" s="985"/>
      <c r="W104" s="987"/>
      <c r="X104" s="985"/>
      <c r="Y104" s="961" t="e">
        <f t="shared" si="70"/>
        <v>#REF!</v>
      </c>
      <c r="Z104" s="947">
        <f t="shared" si="71"/>
        <v>1</v>
      </c>
      <c r="AA104" s="1828"/>
      <c r="AB104" s="1828"/>
      <c r="AC104" s="1828"/>
      <c r="AD104" s="1828"/>
      <c r="AE104" s="1828"/>
      <c r="AF104" s="1828"/>
      <c r="AG104" s="1828"/>
      <c r="AH104" s="1828"/>
      <c r="AI104" s="1828"/>
      <c r="AJ104" s="1828"/>
      <c r="AK104" s="1828"/>
      <c r="AL104" s="1828"/>
      <c r="AM104" s="1828"/>
      <c r="AN104" s="1828"/>
      <c r="AO104" s="1828"/>
      <c r="AP104" s="1828"/>
      <c r="AQ104" s="1828"/>
      <c r="AR104" s="1828"/>
      <c r="AS104" s="1828"/>
      <c r="AT104" s="1829"/>
      <c r="AU104" s="994"/>
    </row>
    <row r="105" spans="1:47" ht="12.75">
      <c r="A105" s="1827" t="s">
        <v>13178</v>
      </c>
      <c r="B105" s="973" t="str">
        <f>VLOOKUP($A105,'Medição '!$A:$G,4,0)</f>
        <v>FUNDAÇÃO POSTES E BASES - BASE SPOTS ILUMINAÇÃO</v>
      </c>
      <c r="C105" s="974" t="e">
        <f>VLOOKUP($A105,'Medição '!$A:$G,10,0)</f>
        <v>#REF!</v>
      </c>
      <c r="D105" s="995"/>
      <c r="E105" s="996"/>
      <c r="F105" s="977"/>
      <c r="G105" s="976"/>
      <c r="H105" s="977"/>
      <c r="I105" s="986" t="e">
        <f t="shared" si="72"/>
        <v>#REF!</v>
      </c>
      <c r="J105" s="985">
        <v>1</v>
      </c>
      <c r="K105" s="976"/>
      <c r="L105" s="977"/>
      <c r="M105" s="976"/>
      <c r="N105" s="977"/>
      <c r="O105" s="976"/>
      <c r="P105" s="977"/>
      <c r="Q105" s="976"/>
      <c r="R105" s="977"/>
      <c r="S105" s="976"/>
      <c r="T105" s="977"/>
      <c r="U105" s="978"/>
      <c r="V105" s="977"/>
      <c r="W105" s="978"/>
      <c r="X105" s="977"/>
      <c r="Y105" s="961" t="e">
        <f t="shared" si="70"/>
        <v>#REF!</v>
      </c>
      <c r="Z105" s="947">
        <f t="shared" si="71"/>
        <v>1</v>
      </c>
      <c r="AA105" s="1814"/>
      <c r="AB105" s="1814"/>
      <c r="AC105" s="1814"/>
      <c r="AD105" s="1814"/>
      <c r="AE105" s="1814"/>
      <c r="AF105" s="1814"/>
      <c r="AG105" s="1814"/>
      <c r="AH105" s="1814"/>
      <c r="AI105" s="1814"/>
      <c r="AJ105" s="1814"/>
      <c r="AK105" s="1814"/>
      <c r="AL105" s="1814"/>
      <c r="AM105" s="1814"/>
      <c r="AN105" s="1814"/>
      <c r="AO105" s="1814"/>
      <c r="AP105" s="1814"/>
      <c r="AQ105" s="1814"/>
      <c r="AR105" s="1814"/>
      <c r="AS105" s="1814"/>
      <c r="AT105" s="1815"/>
      <c r="AU105" s="948"/>
    </row>
    <row r="106" spans="1:47" ht="12.75">
      <c r="A106" s="1827" t="s">
        <v>13183</v>
      </c>
      <c r="B106" s="973" t="str">
        <f>VLOOKUP($A106,'Medição '!$A:$G,4,0)</f>
        <v>FUNDAÇÃO POSTES E BASES - BASE BALIZADORES ILUMINAÇÃO</v>
      </c>
      <c r="C106" s="974" t="e">
        <f>VLOOKUP($A106,'Medição '!$A:$G,10,0)</f>
        <v>#REF!</v>
      </c>
      <c r="D106" s="995"/>
      <c r="E106" s="996"/>
      <c r="F106" s="977"/>
      <c r="G106" s="976"/>
      <c r="H106" s="977"/>
      <c r="I106" s="986" t="e">
        <f t="shared" si="72"/>
        <v>#REF!</v>
      </c>
      <c r="J106" s="985">
        <v>1</v>
      </c>
      <c r="K106" s="976"/>
      <c r="L106" s="977"/>
      <c r="M106" s="976"/>
      <c r="N106" s="977"/>
      <c r="O106" s="976"/>
      <c r="P106" s="977"/>
      <c r="Q106" s="976"/>
      <c r="R106" s="977"/>
      <c r="S106" s="976"/>
      <c r="T106" s="977"/>
      <c r="U106" s="978"/>
      <c r="V106" s="977"/>
      <c r="W106" s="978"/>
      <c r="X106" s="977"/>
      <c r="Y106" s="961" t="e">
        <f t="shared" si="70"/>
        <v>#REF!</v>
      </c>
      <c r="Z106" s="947">
        <f t="shared" si="71"/>
        <v>1</v>
      </c>
      <c r="AA106" s="1814"/>
      <c r="AB106" s="1814"/>
      <c r="AC106" s="1814"/>
      <c r="AD106" s="1814"/>
      <c r="AE106" s="1814"/>
      <c r="AF106" s="1814"/>
      <c r="AG106" s="1814"/>
      <c r="AH106" s="1814"/>
      <c r="AI106" s="1814"/>
      <c r="AJ106" s="1814"/>
      <c r="AK106" s="1814"/>
      <c r="AL106" s="1814"/>
      <c r="AM106" s="1814"/>
      <c r="AN106" s="1814"/>
      <c r="AO106" s="1814"/>
      <c r="AP106" s="1814"/>
      <c r="AQ106" s="1814"/>
      <c r="AR106" s="1814"/>
      <c r="AS106" s="1814"/>
      <c r="AT106" s="1815"/>
      <c r="AU106" s="948"/>
    </row>
    <row r="107" spans="1:47" ht="12.75">
      <c r="A107" s="1827" t="s">
        <v>13188</v>
      </c>
      <c r="B107" s="973" t="str">
        <f>VLOOKUP($A107,'Medição '!$A:$G,4,0)</f>
        <v>FUNDAÇÃO POSTES E BASES - BASE SPOTS GRELHA ILUMINAÇÃO</v>
      </c>
      <c r="C107" s="974" t="e">
        <f>VLOOKUP($A107,'Medição '!$A:$G,10,0)</f>
        <v>#REF!</v>
      </c>
      <c r="D107" s="995"/>
      <c r="E107" s="996"/>
      <c r="F107" s="977"/>
      <c r="G107" s="976"/>
      <c r="H107" s="977"/>
      <c r="I107" s="986" t="e">
        <f t="shared" si="72"/>
        <v>#REF!</v>
      </c>
      <c r="J107" s="985">
        <v>1</v>
      </c>
      <c r="K107" s="976"/>
      <c r="L107" s="977"/>
      <c r="M107" s="976"/>
      <c r="N107" s="977"/>
      <c r="O107" s="976"/>
      <c r="P107" s="977"/>
      <c r="Q107" s="976"/>
      <c r="R107" s="977"/>
      <c r="S107" s="976"/>
      <c r="T107" s="977"/>
      <c r="U107" s="978"/>
      <c r="V107" s="977"/>
      <c r="W107" s="978"/>
      <c r="X107" s="977"/>
      <c r="Y107" s="961" t="e">
        <f t="shared" si="70"/>
        <v>#REF!</v>
      </c>
      <c r="Z107" s="947">
        <f t="shared" si="71"/>
        <v>1</v>
      </c>
      <c r="AA107" s="1814"/>
      <c r="AB107" s="1814"/>
      <c r="AC107" s="1814"/>
      <c r="AD107" s="1814"/>
      <c r="AE107" s="1814"/>
      <c r="AF107" s="1814"/>
      <c r="AG107" s="1814"/>
      <c r="AH107" s="1814"/>
      <c r="AI107" s="1814"/>
      <c r="AJ107" s="1814"/>
      <c r="AK107" s="1814"/>
      <c r="AL107" s="1814"/>
      <c r="AM107" s="1814"/>
      <c r="AN107" s="1814"/>
      <c r="AO107" s="1814"/>
      <c r="AP107" s="1814"/>
      <c r="AQ107" s="1814"/>
      <c r="AR107" s="1814"/>
      <c r="AS107" s="1814"/>
      <c r="AT107" s="1815"/>
      <c r="AU107" s="948"/>
    </row>
    <row r="108" spans="1:47" ht="12.75">
      <c r="A108" s="1827" t="s">
        <v>13193</v>
      </c>
      <c r="B108" s="973" t="str">
        <f>VLOOKUP($A108,'Medição '!$A:$G,4,0)</f>
        <v>FUNDAÇÃO POSTES E BASES - BASE TORNEIRAS</v>
      </c>
      <c r="C108" s="974" t="e">
        <f>VLOOKUP($A108,'Medição '!$A:$G,10,0)</f>
        <v>#REF!</v>
      </c>
      <c r="D108" s="995"/>
      <c r="E108" s="996"/>
      <c r="F108" s="977"/>
      <c r="G108" s="976"/>
      <c r="H108" s="977"/>
      <c r="I108" s="986" t="e">
        <f t="shared" si="72"/>
        <v>#REF!</v>
      </c>
      <c r="J108" s="985">
        <v>1</v>
      </c>
      <c r="K108" s="976"/>
      <c r="L108" s="977"/>
      <c r="M108" s="976"/>
      <c r="N108" s="977"/>
      <c r="O108" s="976"/>
      <c r="P108" s="977"/>
      <c r="Q108" s="976"/>
      <c r="R108" s="977"/>
      <c r="S108" s="976"/>
      <c r="T108" s="977"/>
      <c r="U108" s="978"/>
      <c r="V108" s="977"/>
      <c r="W108" s="978"/>
      <c r="X108" s="977"/>
      <c r="Y108" s="961" t="e">
        <f t="shared" si="70"/>
        <v>#REF!</v>
      </c>
      <c r="Z108" s="947">
        <f t="shared" si="71"/>
        <v>1</v>
      </c>
      <c r="AA108" s="1814"/>
      <c r="AB108" s="1814"/>
      <c r="AC108" s="1814"/>
      <c r="AD108" s="1814"/>
      <c r="AE108" s="1814"/>
      <c r="AF108" s="1814"/>
      <c r="AG108" s="1814"/>
      <c r="AH108" s="1814"/>
      <c r="AI108" s="1814"/>
      <c r="AJ108" s="1814"/>
      <c r="AK108" s="1814"/>
      <c r="AL108" s="1814"/>
      <c r="AM108" s="1814"/>
      <c r="AN108" s="1814"/>
      <c r="AO108" s="1814"/>
      <c r="AP108" s="1814"/>
      <c r="AQ108" s="1814"/>
      <c r="AR108" s="1814"/>
      <c r="AS108" s="1814"/>
      <c r="AT108" s="1815"/>
      <c r="AU108" s="948"/>
    </row>
    <row r="109" spans="1:47" ht="12.75">
      <c r="A109" s="1827" t="s">
        <v>13198</v>
      </c>
      <c r="B109" s="973" t="str">
        <f>VLOOKUP($A109,'Medição '!$A:$G,4,0)</f>
        <v>BANCOS TIPO 01</v>
      </c>
      <c r="C109" s="974" t="e">
        <f>VLOOKUP($A109,'Medição '!$A:$G,10,0)</f>
        <v>#REF!</v>
      </c>
      <c r="D109" s="995"/>
      <c r="E109" s="996"/>
      <c r="F109" s="977"/>
      <c r="G109" s="976"/>
      <c r="H109" s="977"/>
      <c r="I109" s="986" t="e">
        <f t="shared" si="72"/>
        <v>#REF!</v>
      </c>
      <c r="J109" s="977">
        <v>1</v>
      </c>
      <c r="K109" s="976"/>
      <c r="L109" s="977"/>
      <c r="M109" s="976"/>
      <c r="N109" s="977"/>
      <c r="O109" s="976"/>
      <c r="P109" s="977"/>
      <c r="Q109" s="976"/>
      <c r="R109" s="977"/>
      <c r="S109" s="976"/>
      <c r="T109" s="977"/>
      <c r="U109" s="978"/>
      <c r="V109" s="977"/>
      <c r="W109" s="978"/>
      <c r="X109" s="977"/>
      <c r="Y109" s="961" t="e">
        <f t="shared" si="70"/>
        <v>#REF!</v>
      </c>
      <c r="Z109" s="947">
        <f t="shared" si="71"/>
        <v>1</v>
      </c>
      <c r="AA109" s="1814"/>
      <c r="AB109" s="1814"/>
      <c r="AC109" s="1814"/>
      <c r="AD109" s="1814"/>
      <c r="AE109" s="1814"/>
      <c r="AF109" s="1814"/>
      <c r="AG109" s="1814"/>
      <c r="AH109" s="1814"/>
      <c r="AI109" s="1814"/>
      <c r="AJ109" s="1814"/>
      <c r="AK109" s="1814"/>
      <c r="AL109" s="1814"/>
      <c r="AM109" s="1814"/>
      <c r="AN109" s="1814"/>
      <c r="AO109" s="1814"/>
      <c r="AP109" s="1814"/>
      <c r="AQ109" s="1814"/>
      <c r="AR109" s="1814"/>
      <c r="AS109" s="1814"/>
      <c r="AT109" s="1815"/>
      <c r="AU109" s="948"/>
    </row>
    <row r="110" spans="1:47" ht="12.75">
      <c r="A110" s="1827" t="s">
        <v>13217</v>
      </c>
      <c r="B110" s="973" t="str">
        <f>VLOOKUP($A110,'Medição '!$A:$G,4,0)</f>
        <v>BANCOS TIPO 02</v>
      </c>
      <c r="C110" s="974" t="e">
        <f>VLOOKUP($A110,'Medição '!$A:$G,10,0)</f>
        <v>#REF!</v>
      </c>
      <c r="D110" s="995"/>
      <c r="E110" s="996"/>
      <c r="F110" s="977"/>
      <c r="G110" s="976" t="e">
        <f>H110*C110</f>
        <v>#REF!</v>
      </c>
      <c r="H110" s="977">
        <v>0.5</v>
      </c>
      <c r="I110" s="976" t="e">
        <f t="shared" si="72"/>
        <v>#REF!</v>
      </c>
      <c r="J110" s="977">
        <v>0.5</v>
      </c>
      <c r="K110" s="976"/>
      <c r="L110" s="977"/>
      <c r="M110" s="976"/>
      <c r="N110" s="977"/>
      <c r="O110" s="976"/>
      <c r="P110" s="977"/>
      <c r="Q110" s="976"/>
      <c r="R110" s="977"/>
      <c r="S110" s="976"/>
      <c r="T110" s="977"/>
      <c r="U110" s="978"/>
      <c r="V110" s="977"/>
      <c r="W110" s="978"/>
      <c r="X110" s="977"/>
      <c r="Y110" s="961" t="e">
        <f t="shared" si="70"/>
        <v>#REF!</v>
      </c>
      <c r="Z110" s="947">
        <f t="shared" si="71"/>
        <v>1</v>
      </c>
      <c r="AA110" s="1814"/>
      <c r="AB110" s="1814"/>
      <c r="AC110" s="1814"/>
      <c r="AD110" s="1814"/>
      <c r="AE110" s="1814"/>
      <c r="AF110" s="1814"/>
      <c r="AG110" s="1814"/>
      <c r="AH110" s="1814"/>
      <c r="AI110" s="1814"/>
      <c r="AJ110" s="1814"/>
      <c r="AK110" s="1814"/>
      <c r="AL110" s="1814"/>
      <c r="AM110" s="1814"/>
      <c r="AN110" s="1814"/>
      <c r="AO110" s="1814"/>
      <c r="AP110" s="1814"/>
      <c r="AQ110" s="1814"/>
      <c r="AR110" s="1814"/>
      <c r="AS110" s="1814"/>
      <c r="AT110" s="1815"/>
      <c r="AU110" s="948"/>
    </row>
    <row r="111" spans="1:47" ht="12.75">
      <c r="A111" s="1827" t="s">
        <v>13232</v>
      </c>
      <c r="B111" s="973" t="str">
        <f>VLOOKUP($A111,'Medição '!$A:$G,4,0)</f>
        <v>RAMPA</v>
      </c>
      <c r="C111" s="974" t="e">
        <f>VLOOKUP($A111,'Medição '!$A:$G,10,0)</f>
        <v>#REF!</v>
      </c>
      <c r="D111" s="995"/>
      <c r="E111" s="996"/>
      <c r="F111" s="977"/>
      <c r="G111" s="976" t="e">
        <f>H111*C111</f>
        <v>#REF!</v>
      </c>
      <c r="H111" s="977">
        <v>0.5</v>
      </c>
      <c r="I111" s="976" t="e">
        <f t="shared" si="72"/>
        <v>#REF!</v>
      </c>
      <c r="J111" s="977">
        <v>0.5</v>
      </c>
      <c r="K111" s="976"/>
      <c r="L111" s="977"/>
      <c r="M111" s="976"/>
      <c r="N111" s="977"/>
      <c r="O111" s="976"/>
      <c r="P111" s="977"/>
      <c r="Q111" s="976"/>
      <c r="R111" s="977"/>
      <c r="S111" s="976"/>
      <c r="T111" s="977"/>
      <c r="U111" s="978"/>
      <c r="V111" s="977"/>
      <c r="W111" s="978"/>
      <c r="X111" s="977"/>
      <c r="Y111" s="961" t="e">
        <f t="shared" si="70"/>
        <v>#REF!</v>
      </c>
      <c r="Z111" s="947">
        <f t="shared" si="71"/>
        <v>1</v>
      </c>
      <c r="AA111" s="1814"/>
      <c r="AB111" s="1814"/>
      <c r="AC111" s="1814"/>
      <c r="AD111" s="1814"/>
      <c r="AE111" s="1814"/>
      <c r="AF111" s="1814"/>
      <c r="AG111" s="1814"/>
      <c r="AH111" s="1814"/>
      <c r="AI111" s="1814"/>
      <c r="AJ111" s="1814"/>
      <c r="AK111" s="1814"/>
      <c r="AL111" s="1814"/>
      <c r="AM111" s="1814"/>
      <c r="AN111" s="1814"/>
      <c r="AO111" s="1814"/>
      <c r="AP111" s="1814"/>
      <c r="AQ111" s="1814"/>
      <c r="AR111" s="1814"/>
      <c r="AS111" s="1814"/>
      <c r="AT111" s="1815"/>
      <c r="AU111" s="948"/>
    </row>
    <row r="112" spans="1:47" ht="12.75">
      <c r="A112" s="1827" t="s">
        <v>13288</v>
      </c>
      <c r="B112" s="973" t="str">
        <f>VLOOKUP($A112,'Medição '!$A:$G,4,0)</f>
        <v>FLOREIRAS</v>
      </c>
      <c r="C112" s="974" t="e">
        <f>VLOOKUP($A112,'Medição '!$A:$G,10,0)</f>
        <v>#REF!</v>
      </c>
      <c r="D112" s="995"/>
      <c r="E112" s="996"/>
      <c r="F112" s="977"/>
      <c r="G112" s="976"/>
      <c r="H112" s="977"/>
      <c r="I112" s="976"/>
      <c r="J112" s="977"/>
      <c r="K112" s="976" t="e">
        <f>L112*C112</f>
        <v>#REF!</v>
      </c>
      <c r="L112" s="977">
        <v>1</v>
      </c>
      <c r="M112" s="976"/>
      <c r="N112" s="977"/>
      <c r="O112" s="976"/>
      <c r="P112" s="977"/>
      <c r="Q112" s="976"/>
      <c r="R112" s="977"/>
      <c r="S112" s="976"/>
      <c r="T112" s="977"/>
      <c r="U112" s="997"/>
      <c r="V112" s="977"/>
      <c r="W112" s="978"/>
      <c r="X112" s="977"/>
      <c r="Y112" s="961" t="e">
        <f t="shared" si="70"/>
        <v>#REF!</v>
      </c>
      <c r="Z112" s="947">
        <f t="shared" si="71"/>
        <v>1</v>
      </c>
      <c r="AA112" s="1814"/>
      <c r="AB112" s="1814"/>
      <c r="AC112" s="1814"/>
      <c r="AD112" s="1814"/>
      <c r="AE112" s="1814"/>
      <c r="AF112" s="1814"/>
      <c r="AG112" s="1814"/>
      <c r="AH112" s="1814"/>
      <c r="AI112" s="1814"/>
      <c r="AJ112" s="1814"/>
      <c r="AK112" s="1814"/>
      <c r="AL112" s="1814"/>
      <c r="AM112" s="1814"/>
      <c r="AN112" s="1814"/>
      <c r="AO112" s="1814"/>
      <c r="AP112" s="1814"/>
      <c r="AQ112" s="1814"/>
      <c r="AR112" s="1814"/>
      <c r="AS112" s="1814"/>
      <c r="AT112" s="1815"/>
      <c r="AU112" s="948"/>
    </row>
    <row r="113" spans="1:47" ht="12.75">
      <c r="A113" s="1827" t="s">
        <v>13295</v>
      </c>
      <c r="B113" s="973" t="str">
        <f>VLOOKUP($A113,'Medição '!$A:$G,4,0)</f>
        <v>MURETAS DE JARDIM</v>
      </c>
      <c r="C113" s="974" t="e">
        <f>VLOOKUP($A113,'Medição '!$A:$G,10,0)</f>
        <v>#REF!</v>
      </c>
      <c r="D113" s="995"/>
      <c r="E113" s="996"/>
      <c r="F113" s="977"/>
      <c r="G113" s="976"/>
      <c r="H113" s="977"/>
      <c r="I113" s="976"/>
      <c r="J113" s="977"/>
      <c r="K113" s="976" t="e">
        <f>L113*C113</f>
        <v>#REF!</v>
      </c>
      <c r="L113" s="977">
        <v>0.5</v>
      </c>
      <c r="M113" s="976" t="e">
        <f>N113*C113</f>
        <v>#REF!</v>
      </c>
      <c r="N113" s="977">
        <v>0.5</v>
      </c>
      <c r="O113" s="976"/>
      <c r="P113" s="977"/>
      <c r="Q113" s="976"/>
      <c r="R113" s="977"/>
      <c r="S113" s="976"/>
      <c r="T113" s="977"/>
      <c r="U113" s="997"/>
      <c r="V113" s="977"/>
      <c r="W113" s="978"/>
      <c r="X113" s="977"/>
      <c r="Y113" s="961" t="e">
        <f t="shared" si="70"/>
        <v>#REF!</v>
      </c>
      <c r="Z113" s="947">
        <f t="shared" si="71"/>
        <v>1</v>
      </c>
      <c r="AA113" s="1814"/>
      <c r="AB113" s="1814"/>
      <c r="AC113" s="1814"/>
      <c r="AD113" s="1814"/>
      <c r="AE113" s="1814"/>
      <c r="AF113" s="1814"/>
      <c r="AG113" s="1814"/>
      <c r="AH113" s="1814"/>
      <c r="AI113" s="1814"/>
      <c r="AJ113" s="1814"/>
      <c r="AK113" s="1814"/>
      <c r="AL113" s="1814"/>
      <c r="AM113" s="1814"/>
      <c r="AN113" s="1814"/>
      <c r="AO113" s="1814"/>
      <c r="AP113" s="1814"/>
      <c r="AQ113" s="1814"/>
      <c r="AR113" s="1814"/>
      <c r="AS113" s="1814"/>
      <c r="AT113" s="1815"/>
      <c r="AU113" s="948"/>
    </row>
    <row r="114" spans="1:47" ht="12.75">
      <c r="A114" s="1827" t="s">
        <v>13306</v>
      </c>
      <c r="B114" s="973" t="str">
        <f>VLOOKUP($A114,'Medição '!$A:$G,4,0)</f>
        <v>FUNDAÇÃO BANGALO</v>
      </c>
      <c r="C114" s="974" t="e">
        <f>VLOOKUP($A114,'Medição '!$A:$G,10,0)</f>
        <v>#REF!</v>
      </c>
      <c r="D114" s="995"/>
      <c r="E114" s="996"/>
      <c r="F114" s="977"/>
      <c r="G114" s="976"/>
      <c r="H114" s="977"/>
      <c r="I114" s="976" t="e">
        <f>J114*C114</f>
        <v>#REF!</v>
      </c>
      <c r="J114" s="977">
        <v>1</v>
      </c>
      <c r="K114" s="976"/>
      <c r="L114" s="977"/>
      <c r="M114" s="976"/>
      <c r="N114" s="977"/>
      <c r="O114" s="976"/>
      <c r="P114" s="977"/>
      <c r="Q114" s="976"/>
      <c r="R114" s="977"/>
      <c r="S114" s="976"/>
      <c r="T114" s="977"/>
      <c r="U114" s="997"/>
      <c r="V114" s="977"/>
      <c r="W114" s="978"/>
      <c r="X114" s="977"/>
      <c r="Y114" s="961" t="e">
        <f t="shared" si="70"/>
        <v>#REF!</v>
      </c>
      <c r="Z114" s="947">
        <f t="shared" si="71"/>
        <v>1</v>
      </c>
      <c r="AA114" s="1814"/>
      <c r="AB114" s="1814"/>
      <c r="AC114" s="1814"/>
      <c r="AD114" s="1814"/>
      <c r="AE114" s="1814"/>
      <c r="AF114" s="1814"/>
      <c r="AG114" s="1814"/>
      <c r="AH114" s="1814"/>
      <c r="AI114" s="1814"/>
      <c r="AJ114" s="1814"/>
      <c r="AK114" s="1814"/>
      <c r="AL114" s="1814"/>
      <c r="AM114" s="1814"/>
      <c r="AN114" s="1814"/>
      <c r="AO114" s="1814"/>
      <c r="AP114" s="1814"/>
      <c r="AQ114" s="1814"/>
      <c r="AR114" s="1814"/>
      <c r="AS114" s="1814"/>
      <c r="AT114" s="1815"/>
      <c r="AU114" s="948"/>
    </row>
    <row r="115" spans="1:47" ht="12.75">
      <c r="A115" s="1827" t="s">
        <v>13314</v>
      </c>
      <c r="B115" s="973" t="str">
        <f>VLOOKUP($A115,'Medição '!$A:$G,4,0)</f>
        <v>ESCADA</v>
      </c>
      <c r="C115" s="974" t="e">
        <f>VLOOKUP($A115,'Medição '!$A:$G,10,0)</f>
        <v>#REF!</v>
      </c>
      <c r="D115" s="995"/>
      <c r="E115" s="996"/>
      <c r="F115" s="977"/>
      <c r="G115" s="976"/>
      <c r="H115" s="977"/>
      <c r="I115" s="976" t="e">
        <f>J115*C115</f>
        <v>#REF!</v>
      </c>
      <c r="J115" s="977">
        <v>0.5</v>
      </c>
      <c r="K115" s="976" t="e">
        <f>L115*C115</f>
        <v>#REF!</v>
      </c>
      <c r="L115" s="977">
        <v>0.5</v>
      </c>
      <c r="M115" s="976"/>
      <c r="N115" s="977"/>
      <c r="O115" s="976"/>
      <c r="P115" s="977"/>
      <c r="Q115" s="976"/>
      <c r="R115" s="977"/>
      <c r="S115" s="976"/>
      <c r="T115" s="977"/>
      <c r="U115" s="997"/>
      <c r="V115" s="977"/>
      <c r="W115" s="978"/>
      <c r="X115" s="977"/>
      <c r="Y115" s="961" t="e">
        <f t="shared" si="70"/>
        <v>#REF!</v>
      </c>
      <c r="Z115" s="947">
        <f t="shared" si="71"/>
        <v>1</v>
      </c>
      <c r="AA115" s="1814"/>
      <c r="AB115" s="1814"/>
      <c r="AC115" s="1814"/>
      <c r="AD115" s="1814"/>
      <c r="AE115" s="1814"/>
      <c r="AF115" s="1814"/>
      <c r="AG115" s="1814"/>
      <c r="AH115" s="1814"/>
      <c r="AI115" s="1814"/>
      <c r="AJ115" s="1814"/>
      <c r="AK115" s="1814"/>
      <c r="AL115" s="1814"/>
      <c r="AM115" s="1814"/>
      <c r="AN115" s="1814"/>
      <c r="AO115" s="1814"/>
      <c r="AP115" s="1814"/>
      <c r="AQ115" s="1814"/>
      <c r="AR115" s="1814"/>
      <c r="AS115" s="1814"/>
      <c r="AT115" s="1815"/>
      <c r="AU115" s="948"/>
    </row>
    <row r="116" spans="1:47" ht="12.75">
      <c r="A116" s="1827" t="s">
        <v>13355</v>
      </c>
      <c r="B116" s="973" t="str">
        <f>VLOOKUP($A116,'Medição '!$A:$G,4,0)</f>
        <v>CONTROLE TECNOLOGICO</v>
      </c>
      <c r="C116" s="974" t="e">
        <f>VLOOKUP($A116,'Medição '!$A:$G,10,0)</f>
        <v>#REF!</v>
      </c>
      <c r="D116" s="995"/>
      <c r="E116" s="996"/>
      <c r="F116" s="977"/>
      <c r="G116" s="976"/>
      <c r="H116" s="977"/>
      <c r="I116" s="976"/>
      <c r="J116" s="977"/>
      <c r="K116" s="976"/>
      <c r="L116" s="977"/>
      <c r="M116" s="976"/>
      <c r="N116" s="977"/>
      <c r="O116" s="976" t="e">
        <f>P116*C116</f>
        <v>#REF!</v>
      </c>
      <c r="P116" s="977">
        <v>1</v>
      </c>
      <c r="Q116" s="976"/>
      <c r="R116" s="977"/>
      <c r="S116" s="976"/>
      <c r="T116" s="977"/>
      <c r="U116" s="997"/>
      <c r="V116" s="977"/>
      <c r="W116" s="978"/>
      <c r="X116" s="977"/>
      <c r="Y116" s="961" t="e">
        <f t="shared" si="70"/>
        <v>#REF!</v>
      </c>
      <c r="Z116" s="947">
        <f t="shared" si="71"/>
        <v>1</v>
      </c>
      <c r="AA116" s="1814"/>
      <c r="AB116" s="1814"/>
      <c r="AC116" s="1814"/>
      <c r="AD116" s="1814"/>
      <c r="AE116" s="1814"/>
      <c r="AF116" s="1814"/>
      <c r="AG116" s="1814"/>
      <c r="AH116" s="1814"/>
      <c r="AI116" s="1814"/>
      <c r="AJ116" s="1814"/>
      <c r="AK116" s="1814"/>
      <c r="AL116" s="1814"/>
      <c r="AM116" s="1814"/>
      <c r="AN116" s="1814"/>
      <c r="AO116" s="1814"/>
      <c r="AP116" s="1814"/>
      <c r="AQ116" s="1814"/>
      <c r="AR116" s="1814"/>
      <c r="AS116" s="1814"/>
      <c r="AT116" s="1815"/>
      <c r="AU116" s="948"/>
    </row>
    <row r="117" spans="1:47">
      <c r="A117" s="1820" t="s">
        <v>12631</v>
      </c>
      <c r="B117" s="979" t="s">
        <v>12486</v>
      </c>
      <c r="C117" s="980" t="e">
        <f>SUBTOTAL(9,C118:C123)</f>
        <v>#REF!</v>
      </c>
      <c r="D117" s="981"/>
      <c r="E117" s="982"/>
      <c r="F117" s="969"/>
      <c r="G117" s="968"/>
      <c r="H117" s="969"/>
      <c r="I117" s="968"/>
      <c r="J117" s="969"/>
      <c r="K117" s="968"/>
      <c r="L117" s="969"/>
      <c r="M117" s="968" t="e">
        <f>SUM(M118:M123)</f>
        <v>#REF!</v>
      </c>
      <c r="N117" s="969" t="e">
        <f>M117/$C$117</f>
        <v>#REF!</v>
      </c>
      <c r="O117" s="968">
        <f>SUM(O118:O123)</f>
        <v>782645.16599999997</v>
      </c>
      <c r="P117" s="969" t="e">
        <f>O117/$C$117</f>
        <v>#REF!</v>
      </c>
      <c r="Q117" s="968">
        <f>SUM(Q118:Q123)</f>
        <v>966336.63099999994</v>
      </c>
      <c r="R117" s="969" t="e">
        <f>Q117/$C$117</f>
        <v>#REF!</v>
      </c>
      <c r="S117" s="968">
        <f>SUM(S118:S123)</f>
        <v>1000084.3659999999</v>
      </c>
      <c r="T117" s="969" t="e">
        <f>S117/$C$117</f>
        <v>#REF!</v>
      </c>
      <c r="U117" s="968" t="e">
        <f>SUM(U118:U123)</f>
        <v>#REF!</v>
      </c>
      <c r="V117" s="969" t="e">
        <f>U117/$C$117</f>
        <v>#REF!</v>
      </c>
      <c r="W117" s="968">
        <f>SUM(W118:W123)</f>
        <v>782645.16599999997</v>
      </c>
      <c r="X117" s="969" t="e">
        <f>W117/$C$117</f>
        <v>#REF!</v>
      </c>
      <c r="Y117" s="972" t="e">
        <f t="shared" si="70"/>
        <v>#REF!</v>
      </c>
      <c r="Z117" s="947" t="e">
        <f>SUM(F117,H117,J117,L117,N117,P117,R117,T117,V117,X117)</f>
        <v>#REF!</v>
      </c>
      <c r="AA117" s="1814"/>
      <c r="AB117" s="1814"/>
      <c r="AC117" s="1814"/>
      <c r="AD117" s="1814"/>
      <c r="AE117" s="1814"/>
      <c r="AF117" s="1814"/>
      <c r="AG117" s="1814"/>
      <c r="AH117" s="1814"/>
      <c r="AI117" s="1814"/>
      <c r="AJ117" s="1814"/>
      <c r="AK117" s="1814"/>
      <c r="AL117" s="1814"/>
      <c r="AM117" s="1814"/>
      <c r="AN117" s="1814"/>
      <c r="AO117" s="1814"/>
      <c r="AP117" s="1814"/>
      <c r="AQ117" s="1814"/>
      <c r="AR117" s="1814"/>
      <c r="AS117" s="1814"/>
      <c r="AT117" s="1815"/>
      <c r="AU117" s="948"/>
    </row>
    <row r="118" spans="1:47" ht="12.75">
      <c r="A118" s="1827" t="s">
        <v>13357</v>
      </c>
      <c r="B118" s="973" t="str">
        <f>VLOOKUP($A118,'Medição '!$A:$G,4,0)</f>
        <v>ALVENARIA, DIVISÓRIAS E VEDAÇÕES</v>
      </c>
      <c r="C118" s="974" t="e">
        <f>VLOOKUP($A118,'Medição '!$A:$G,10,0)</f>
        <v>#REF!</v>
      </c>
      <c r="D118" s="995"/>
      <c r="E118" s="996"/>
      <c r="F118" s="977"/>
      <c r="G118" s="976"/>
      <c r="H118" s="977"/>
      <c r="I118" s="976"/>
      <c r="J118" s="977"/>
      <c r="K118" s="976"/>
      <c r="L118" s="977"/>
      <c r="M118" s="976" t="e">
        <f>N118*C118</f>
        <v>#REF!</v>
      </c>
      <c r="N118" s="977">
        <v>1</v>
      </c>
      <c r="O118" s="976"/>
      <c r="P118" s="977"/>
      <c r="Q118" s="976"/>
      <c r="R118" s="977"/>
      <c r="S118" s="976"/>
      <c r="T118" s="977"/>
      <c r="U118" s="960"/>
      <c r="V118" s="959"/>
      <c r="W118" s="978"/>
      <c r="X118" s="977"/>
      <c r="Y118" s="961" t="e">
        <f t="shared" si="70"/>
        <v>#REF!</v>
      </c>
      <c r="Z118" s="947">
        <f t="shared" ref="Z118:Z123" si="73">SUM(F118,H118,J118,L118,N118,P118,R118,T118,V118,X118,)</f>
        <v>1</v>
      </c>
      <c r="AA118" s="1814"/>
      <c r="AB118" s="1814"/>
      <c r="AC118" s="1814"/>
      <c r="AD118" s="1814"/>
      <c r="AE118" s="1814"/>
      <c r="AF118" s="1814"/>
      <c r="AG118" s="1814"/>
      <c r="AH118" s="1814"/>
      <c r="AI118" s="1814"/>
      <c r="AJ118" s="1814"/>
      <c r="AK118" s="1814"/>
      <c r="AL118" s="1814"/>
      <c r="AM118" s="1814"/>
      <c r="AN118" s="1814"/>
      <c r="AO118" s="1814"/>
      <c r="AP118" s="1814"/>
      <c r="AQ118" s="1814"/>
      <c r="AR118" s="1814"/>
      <c r="AS118" s="1814"/>
      <c r="AT118" s="1815"/>
      <c r="AU118" s="948"/>
    </row>
    <row r="119" spans="1:47" ht="12.75">
      <c r="A119" s="1827" t="s">
        <v>13360</v>
      </c>
      <c r="B119" s="973" t="str">
        <f>VLOOKUP($A119,'Medição '!$A:$G,4,0)</f>
        <v xml:space="preserve">REVESTIMENTO PAREDE - CHAPISCO/EMBOÇO/REBOCO </v>
      </c>
      <c r="C119" s="974" t="e">
        <f>VLOOKUP($A119,'Medição '!$A:$G,10,0)</f>
        <v>#REF!</v>
      </c>
      <c r="D119" s="995"/>
      <c r="E119" s="996"/>
      <c r="F119" s="977"/>
      <c r="G119" s="976"/>
      <c r="H119" s="977"/>
      <c r="I119" s="976"/>
      <c r="J119" s="977"/>
      <c r="K119" s="976"/>
      <c r="L119" s="977"/>
      <c r="M119" s="976" t="e">
        <f>N119*C119</f>
        <v>#REF!</v>
      </c>
      <c r="N119" s="977">
        <v>1</v>
      </c>
      <c r="O119" s="976"/>
      <c r="P119" s="977"/>
      <c r="Q119" s="976"/>
      <c r="R119" s="977"/>
      <c r="S119" s="976"/>
      <c r="T119" s="977"/>
      <c r="U119" s="960"/>
      <c r="V119" s="959"/>
      <c r="W119" s="978"/>
      <c r="X119" s="977"/>
      <c r="Y119" s="961" t="e">
        <f t="shared" si="70"/>
        <v>#REF!</v>
      </c>
      <c r="Z119" s="947">
        <f t="shared" si="73"/>
        <v>1</v>
      </c>
      <c r="AA119" s="1814"/>
      <c r="AB119" s="1814"/>
      <c r="AC119" s="1814"/>
      <c r="AD119" s="1814"/>
      <c r="AE119" s="1814"/>
      <c r="AF119" s="1814"/>
      <c r="AG119" s="1814"/>
      <c r="AH119" s="1814"/>
      <c r="AI119" s="1814"/>
      <c r="AJ119" s="1814"/>
      <c r="AK119" s="1814"/>
      <c r="AL119" s="1814"/>
      <c r="AM119" s="1814"/>
      <c r="AN119" s="1814"/>
      <c r="AO119" s="1814"/>
      <c r="AP119" s="1814"/>
      <c r="AQ119" s="1814"/>
      <c r="AR119" s="1814"/>
      <c r="AS119" s="1814"/>
      <c r="AT119" s="1815"/>
      <c r="AU119" s="948"/>
    </row>
    <row r="120" spans="1:47" ht="12.75">
      <c r="A120" s="1827" t="s">
        <v>13363</v>
      </c>
      <c r="B120" s="973" t="str">
        <f>VLOOKUP($A120,'Medição '!$A:$G,4,0)</f>
        <v>REVESTIMENTO DE PAREDES, PISOS</v>
      </c>
      <c r="C120" s="974" t="e">
        <f>VLOOKUP($A120,'Medição '!$A:$G,10,0)</f>
        <v>#REF!</v>
      </c>
      <c r="D120" s="995"/>
      <c r="E120" s="996"/>
      <c r="F120" s="977"/>
      <c r="G120" s="976"/>
      <c r="H120" s="977"/>
      <c r="I120" s="976"/>
      <c r="J120" s="977"/>
      <c r="K120" s="976"/>
      <c r="L120" s="977"/>
      <c r="M120" s="976"/>
      <c r="N120" s="977"/>
      <c r="O120" s="976">
        <f>('Medição '!H710*0.2+'Medição '!H711*0.2+'Medição '!H712*0.2)</f>
        <v>782645.16599999997</v>
      </c>
      <c r="P120" s="977" t="e">
        <f>O120/C120</f>
        <v>#REF!</v>
      </c>
      <c r="Q120" s="976">
        <f>('Medição '!H710*0.2+'Medição '!H711*0.2+'Medição '!H712*0.2)</f>
        <v>782645.16599999997</v>
      </c>
      <c r="R120" s="977" t="e">
        <f>Q120/C120</f>
        <v>#REF!</v>
      </c>
      <c r="S120" s="976">
        <f>('Medição '!H710*0.2+'Medição '!H711*0.2+'Medição '!H712*0.2)</f>
        <v>782645.16599999997</v>
      </c>
      <c r="T120" s="977" t="e">
        <f>S120/C120</f>
        <v>#REF!</v>
      </c>
      <c r="U120" s="976">
        <f>('Medição '!H710*0.2+'Medição '!H711*0.2+'Medição '!H712*0.2)+'Medição '!H709</f>
        <v>791429.06599999999</v>
      </c>
      <c r="V120" s="977" t="e">
        <f>U120/C120</f>
        <v>#REF!</v>
      </c>
      <c r="W120" s="976">
        <f>('Medição '!H710*0.2+'Medição '!H711*0.2+'Medição '!H712*0.2)</f>
        <v>782645.16599999997</v>
      </c>
      <c r="X120" s="977" t="e">
        <f>W120/C120</f>
        <v>#REF!</v>
      </c>
      <c r="Y120" s="961">
        <f t="shared" si="70"/>
        <v>3922009.7299999995</v>
      </c>
      <c r="Z120" s="947" t="e">
        <f t="shared" si="73"/>
        <v>#REF!</v>
      </c>
      <c r="AA120" s="1814"/>
      <c r="AB120" s="1814"/>
      <c r="AC120" s="1814"/>
      <c r="AD120" s="1814"/>
      <c r="AE120" s="1814"/>
      <c r="AF120" s="1814"/>
      <c r="AG120" s="1814"/>
      <c r="AH120" s="1814"/>
      <c r="AI120" s="1814"/>
      <c r="AJ120" s="1814"/>
      <c r="AK120" s="1814"/>
      <c r="AL120" s="1814"/>
      <c r="AM120" s="1814"/>
      <c r="AN120" s="1814"/>
      <c r="AO120" s="1814"/>
      <c r="AP120" s="1814"/>
      <c r="AQ120" s="1814"/>
      <c r="AR120" s="1814"/>
      <c r="AS120" s="1814"/>
      <c r="AT120" s="1815"/>
      <c r="AU120" s="948"/>
    </row>
    <row r="121" spans="1:47" ht="12.75">
      <c r="A121" s="1827" t="s">
        <v>13368</v>
      </c>
      <c r="B121" s="973" t="str">
        <f>VLOOKUP($A121,'Medição '!$A:$G,4,0)</f>
        <v>PINTURAS E TEXTURAS</v>
      </c>
      <c r="C121" s="974" t="e">
        <f>VLOOKUP($A121,'Medição '!$A:$G,10,0)</f>
        <v>#REF!</v>
      </c>
      <c r="D121" s="995"/>
      <c r="E121" s="996"/>
      <c r="F121" s="977"/>
      <c r="G121" s="976"/>
      <c r="H121" s="977"/>
      <c r="I121" s="976"/>
      <c r="J121" s="977"/>
      <c r="K121" s="976"/>
      <c r="L121" s="977"/>
      <c r="M121" s="976"/>
      <c r="N121" s="977"/>
      <c r="O121" s="976"/>
      <c r="P121" s="977"/>
      <c r="Q121" s="976"/>
      <c r="R121" s="977"/>
      <c r="S121" s="976"/>
      <c r="T121" s="977"/>
      <c r="U121" s="978" t="e">
        <f>V121*C121</f>
        <v>#REF!</v>
      </c>
      <c r="V121" s="977">
        <v>1</v>
      </c>
      <c r="W121" s="978"/>
      <c r="X121" s="977"/>
      <c r="Y121" s="961" t="e">
        <f t="shared" si="70"/>
        <v>#REF!</v>
      </c>
      <c r="Z121" s="947">
        <f t="shared" si="73"/>
        <v>1</v>
      </c>
      <c r="AA121" s="1814"/>
      <c r="AB121" s="1814"/>
      <c r="AC121" s="1814"/>
      <c r="AD121" s="1814"/>
      <c r="AE121" s="1814"/>
      <c r="AF121" s="1814"/>
      <c r="AG121" s="1814"/>
      <c r="AH121" s="1814"/>
      <c r="AI121" s="1814"/>
      <c r="AJ121" s="1814"/>
      <c r="AK121" s="1814"/>
      <c r="AL121" s="1814"/>
      <c r="AM121" s="1814"/>
      <c r="AN121" s="1814"/>
      <c r="AO121" s="1814"/>
      <c r="AP121" s="1814"/>
      <c r="AQ121" s="1814"/>
      <c r="AR121" s="1814"/>
      <c r="AS121" s="1814"/>
      <c r="AT121" s="1815"/>
      <c r="AU121" s="948"/>
    </row>
    <row r="122" spans="1:47" ht="12.75">
      <c r="A122" s="1827" t="s">
        <v>13373</v>
      </c>
      <c r="B122" s="973" t="str">
        <f>VLOOKUP($A122,'Medição '!$A:$G,4,0)</f>
        <v>VIDRAÇARIA / SERRALHERIA / MARMORARIA</v>
      </c>
      <c r="C122" s="974" t="e">
        <f>VLOOKUP($A122,'Medição '!$A:$G,10,0)</f>
        <v>#REF!</v>
      </c>
      <c r="D122" s="995"/>
      <c r="E122" s="996"/>
      <c r="F122" s="977"/>
      <c r="G122" s="976"/>
      <c r="H122" s="977"/>
      <c r="I122" s="976"/>
      <c r="J122" s="977"/>
      <c r="K122" s="976"/>
      <c r="L122" s="977"/>
      <c r="M122" s="976"/>
      <c r="N122" s="977"/>
      <c r="O122" s="976"/>
      <c r="P122" s="977"/>
      <c r="Q122" s="976">
        <f>'Medição '!H719*0.5</f>
        <v>87315.22</v>
      </c>
      <c r="R122" s="977" t="e">
        <f>Q122/C122</f>
        <v>#REF!</v>
      </c>
      <c r="S122" s="976">
        <f>'Medição '!H719*0.5+'Medição '!H721*0.5</f>
        <v>121062.955</v>
      </c>
      <c r="T122" s="977" t="e">
        <f>S122/C122</f>
        <v>#REF!</v>
      </c>
      <c r="U122" s="978">
        <f>'Medição '!H720+'Medição '!H721*0.5+'Medição '!H722+'Medição '!H723+'Medição '!H724</f>
        <v>58629.724999999999</v>
      </c>
      <c r="V122" s="977" t="e">
        <f>U122/C122</f>
        <v>#REF!</v>
      </c>
      <c r="W122" s="978"/>
      <c r="X122" s="977"/>
      <c r="Y122" s="961">
        <f t="shared" si="70"/>
        <v>267007.89999999997</v>
      </c>
      <c r="Z122" s="947" t="e">
        <f t="shared" si="73"/>
        <v>#REF!</v>
      </c>
      <c r="AA122" s="1814"/>
      <c r="AB122" s="1814"/>
      <c r="AC122" s="1814"/>
      <c r="AD122" s="1814"/>
      <c r="AE122" s="1814"/>
      <c r="AF122" s="1814"/>
      <c r="AG122" s="1814"/>
      <c r="AH122" s="1814"/>
      <c r="AI122" s="1814"/>
      <c r="AJ122" s="1814"/>
      <c r="AK122" s="1814"/>
      <c r="AL122" s="1814"/>
      <c r="AM122" s="1814"/>
      <c r="AN122" s="1814"/>
      <c r="AO122" s="1814"/>
      <c r="AP122" s="1814"/>
      <c r="AQ122" s="1814"/>
      <c r="AR122" s="1814"/>
      <c r="AS122" s="1814"/>
      <c r="AT122" s="1815"/>
      <c r="AU122" s="948"/>
    </row>
    <row r="123" spans="1:47" ht="12.75">
      <c r="A123" s="1827" t="s">
        <v>13380</v>
      </c>
      <c r="B123" s="973" t="str">
        <f>VLOOKUP($A123,'Medição '!$A:$G,4,0)</f>
        <v xml:space="preserve">PAVIMENTAÇÕES, URBANIZAÇÃO E PAISAGISMO, ACESSIBILIDADE E COMUNICAÇÃO VISUAL </v>
      </c>
      <c r="C123" s="974" t="e">
        <f>VLOOKUP($A123,'Medição '!$A:$G,10,0)</f>
        <v>#REF!</v>
      </c>
      <c r="D123" s="995"/>
      <c r="E123" s="996"/>
      <c r="F123" s="977"/>
      <c r="G123" s="976"/>
      <c r="H123" s="977"/>
      <c r="I123" s="976"/>
      <c r="J123" s="977"/>
      <c r="K123" s="976"/>
      <c r="L123" s="977"/>
      <c r="M123" s="976"/>
      <c r="N123" s="977"/>
      <c r="O123" s="976"/>
      <c r="P123" s="977"/>
      <c r="Q123" s="976">
        <f>('Medição '!H744*0.5+'Medição '!H745*0.5+'Medição '!H746*0.5)</f>
        <v>96376.244999999995</v>
      </c>
      <c r="R123" s="977" t="e">
        <f>Q123/C123</f>
        <v>#REF!</v>
      </c>
      <c r="S123" s="976">
        <f>('Medição '!H744*0.5+'Medição '!H745*0.5+'Medição '!H746*0.5)</f>
        <v>96376.244999999995</v>
      </c>
      <c r="T123" s="977" t="e">
        <f>S123/C123</f>
        <v>#REF!</v>
      </c>
      <c r="U123" s="978">
        <f>SUM('Medição '!H726:H743)</f>
        <v>238839.26999999996</v>
      </c>
      <c r="V123" s="977" t="e">
        <f>U123/C123</f>
        <v>#REF!</v>
      </c>
      <c r="W123" s="978"/>
      <c r="X123" s="977"/>
      <c r="Y123" s="961">
        <f t="shared" si="70"/>
        <v>431591.75999999995</v>
      </c>
      <c r="Z123" s="947" t="e">
        <f t="shared" si="73"/>
        <v>#REF!</v>
      </c>
      <c r="AA123" s="1814"/>
      <c r="AB123" s="1814"/>
      <c r="AC123" s="1814"/>
      <c r="AD123" s="1814"/>
      <c r="AE123" s="1814"/>
      <c r="AF123" s="1814"/>
      <c r="AG123" s="1814"/>
      <c r="AH123" s="1814"/>
      <c r="AI123" s="1814"/>
      <c r="AJ123" s="1814"/>
      <c r="AK123" s="1814"/>
      <c r="AL123" s="1814"/>
      <c r="AM123" s="1814"/>
      <c r="AN123" s="1814"/>
      <c r="AO123" s="1814"/>
      <c r="AP123" s="1814"/>
      <c r="AQ123" s="1814"/>
      <c r="AR123" s="1814"/>
      <c r="AS123" s="1814"/>
      <c r="AT123" s="1815"/>
      <c r="AU123" s="948"/>
    </row>
    <row r="124" spans="1:47">
      <c r="A124" s="1820" t="s">
        <v>12632</v>
      </c>
      <c r="B124" s="979" t="s">
        <v>16310</v>
      </c>
      <c r="C124" s="980" t="e">
        <f>VLOOKUP($A124,'Medição '!$A:$G,10,0)</f>
        <v>#REF!</v>
      </c>
      <c r="D124" s="981"/>
      <c r="E124" s="982"/>
      <c r="F124" s="969"/>
      <c r="G124" s="968"/>
      <c r="H124" s="969"/>
      <c r="I124" s="968"/>
      <c r="J124" s="969"/>
      <c r="K124" s="968"/>
      <c r="L124" s="969"/>
      <c r="M124" s="968"/>
      <c r="N124" s="969"/>
      <c r="O124" s="968"/>
      <c r="P124" s="969"/>
      <c r="Q124" s="968"/>
      <c r="R124" s="969"/>
      <c r="S124" s="968" t="e">
        <f>SUM(S125:S126)</f>
        <v>#REF!</v>
      </c>
      <c r="T124" s="969" t="e">
        <f>S124/C124</f>
        <v>#REF!</v>
      </c>
      <c r="U124" s="970"/>
      <c r="V124" s="969"/>
      <c r="W124" s="970"/>
      <c r="X124" s="969"/>
      <c r="Y124" s="972" t="e">
        <f t="shared" si="70"/>
        <v>#REF!</v>
      </c>
      <c r="Z124" s="947" t="e">
        <f>SUM(F124,H124,J124,L124,N124,P124,R124,T124,V124,X124)</f>
        <v>#REF!</v>
      </c>
      <c r="AA124" s="1814"/>
      <c r="AB124" s="1814"/>
      <c r="AC124" s="1814"/>
      <c r="AD124" s="1814"/>
      <c r="AE124" s="1814"/>
      <c r="AF124" s="1814"/>
      <c r="AG124" s="1814"/>
      <c r="AH124" s="1814"/>
      <c r="AI124" s="1814"/>
      <c r="AJ124" s="1814"/>
      <c r="AK124" s="1814"/>
      <c r="AL124" s="1814"/>
      <c r="AM124" s="1814"/>
      <c r="AN124" s="1814"/>
      <c r="AO124" s="1814"/>
      <c r="AP124" s="1814"/>
      <c r="AQ124" s="1814"/>
      <c r="AR124" s="1814"/>
      <c r="AS124" s="1814"/>
      <c r="AT124" s="1815"/>
      <c r="AU124" s="948"/>
    </row>
    <row r="125" spans="1:47" ht="12.75">
      <c r="A125" s="1827" t="s">
        <v>13402</v>
      </c>
      <c r="B125" s="973" t="str">
        <f>VLOOKUP($A125,'Medição '!$A:$G,4,0)</f>
        <v>INSTALAÇÕES HIDRÁULICAS</v>
      </c>
      <c r="C125" s="974" t="e">
        <f>VLOOKUP($A125,'Medição '!$A:$G,10,0)</f>
        <v>#REF!</v>
      </c>
      <c r="D125" s="995"/>
      <c r="E125" s="996"/>
      <c r="F125" s="977"/>
      <c r="G125" s="976"/>
      <c r="H125" s="977"/>
      <c r="I125" s="976"/>
      <c r="J125" s="977"/>
      <c r="K125" s="976"/>
      <c r="L125" s="977"/>
      <c r="M125" s="976"/>
      <c r="N125" s="977"/>
      <c r="O125" s="976"/>
      <c r="P125" s="977"/>
      <c r="Q125" s="976"/>
      <c r="R125" s="977"/>
      <c r="S125" s="976" t="e">
        <f>T125*C125</f>
        <v>#REF!</v>
      </c>
      <c r="T125" s="977">
        <v>1</v>
      </c>
      <c r="U125" s="960"/>
      <c r="V125" s="959"/>
      <c r="W125" s="998"/>
      <c r="X125" s="999"/>
      <c r="Y125" s="961" t="e">
        <f t="shared" si="70"/>
        <v>#REF!</v>
      </c>
      <c r="Z125" s="947">
        <f>SUM(F125,H125,J125,L125,N125,P125,R125,T125,V125,X125,)</f>
        <v>1</v>
      </c>
      <c r="AA125" s="1814"/>
      <c r="AB125" s="1814"/>
      <c r="AC125" s="1814"/>
      <c r="AD125" s="1814"/>
      <c r="AE125" s="1814"/>
      <c r="AF125" s="1814"/>
      <c r="AG125" s="1814"/>
      <c r="AH125" s="1814"/>
      <c r="AI125" s="1814"/>
      <c r="AJ125" s="1814"/>
      <c r="AK125" s="1814"/>
      <c r="AL125" s="1814"/>
      <c r="AM125" s="1814"/>
      <c r="AN125" s="1814"/>
      <c r="AO125" s="1814"/>
      <c r="AP125" s="1814"/>
      <c r="AQ125" s="1814"/>
      <c r="AR125" s="1814"/>
      <c r="AS125" s="1814"/>
      <c r="AT125" s="1815"/>
      <c r="AU125" s="948"/>
    </row>
    <row r="126" spans="1:47" ht="12.75">
      <c r="A126" s="1827" t="s">
        <v>13426</v>
      </c>
      <c r="B126" s="973" t="str">
        <f>VLOOKUP($A126,'Medição '!$A:$G,4,0)</f>
        <v>INSTALAÇÕES DE DRENAGEM</v>
      </c>
      <c r="C126" s="974" t="e">
        <f>VLOOKUP($A126,'Medição '!$A:$G,10,0)</f>
        <v>#REF!</v>
      </c>
      <c r="D126" s="995"/>
      <c r="E126" s="996"/>
      <c r="F126" s="977"/>
      <c r="G126" s="976"/>
      <c r="H126" s="977"/>
      <c r="I126" s="976"/>
      <c r="J126" s="977"/>
      <c r="K126" s="976"/>
      <c r="L126" s="977"/>
      <c r="M126" s="976"/>
      <c r="N126" s="977"/>
      <c r="O126" s="976"/>
      <c r="P126" s="977"/>
      <c r="Q126" s="976"/>
      <c r="R126" s="977"/>
      <c r="S126" s="976" t="e">
        <f>T126*C126</f>
        <v>#REF!</v>
      </c>
      <c r="T126" s="977">
        <v>1</v>
      </c>
      <c r="U126" s="960"/>
      <c r="V126" s="959"/>
      <c r="W126" s="998"/>
      <c r="X126" s="999"/>
      <c r="Y126" s="961" t="e">
        <f t="shared" si="70"/>
        <v>#REF!</v>
      </c>
      <c r="Z126" s="947">
        <f>SUM(F126,H126,J126,L126,N126,P126,R126,T126,V126,X126,)</f>
        <v>1</v>
      </c>
      <c r="AA126" s="1814"/>
      <c r="AB126" s="1814"/>
      <c r="AC126" s="1814"/>
      <c r="AD126" s="1814"/>
      <c r="AE126" s="1814"/>
      <c r="AF126" s="1814"/>
      <c r="AG126" s="1814"/>
      <c r="AH126" s="1814"/>
      <c r="AI126" s="1814"/>
      <c r="AJ126" s="1814"/>
      <c r="AK126" s="1814"/>
      <c r="AL126" s="1814"/>
      <c r="AM126" s="1814"/>
      <c r="AN126" s="1814"/>
      <c r="AO126" s="1814"/>
      <c r="AP126" s="1814"/>
      <c r="AQ126" s="1814"/>
      <c r="AR126" s="1814"/>
      <c r="AS126" s="1814"/>
      <c r="AT126" s="1815"/>
      <c r="AU126" s="948"/>
    </row>
    <row r="127" spans="1:47">
      <c r="A127" s="1820" t="s">
        <v>12633</v>
      </c>
      <c r="B127" s="979" t="s">
        <v>12510</v>
      </c>
      <c r="C127" s="980" t="e">
        <f>SUBTOTAL(9,C128:C133)</f>
        <v>#REF!</v>
      </c>
      <c r="D127" s="981"/>
      <c r="E127" s="982"/>
      <c r="F127" s="969"/>
      <c r="G127" s="968"/>
      <c r="H127" s="969"/>
      <c r="I127" s="968"/>
      <c r="J127" s="969"/>
      <c r="K127" s="968"/>
      <c r="L127" s="969"/>
      <c r="M127" s="968"/>
      <c r="N127" s="969"/>
      <c r="O127" s="968" t="e">
        <f>SUM(O128:O133)</f>
        <v>#REF!</v>
      </c>
      <c r="P127" s="969" t="e">
        <f>O127/$C$127</f>
        <v>#REF!</v>
      </c>
      <c r="Q127" s="968" t="e">
        <f>SUM(Q128:Q133)</f>
        <v>#REF!</v>
      </c>
      <c r="R127" s="969" t="e">
        <f>Q127/$C$127</f>
        <v>#REF!</v>
      </c>
      <c r="S127" s="968" t="e">
        <f>SUM(S128:S133)</f>
        <v>#REF!</v>
      </c>
      <c r="T127" s="969" t="e">
        <f>S127/$C$127</f>
        <v>#REF!</v>
      </c>
      <c r="U127" s="968" t="e">
        <f>SUM(U128:U133)</f>
        <v>#REF!</v>
      </c>
      <c r="V127" s="969" t="e">
        <f>U127/$C$127</f>
        <v>#REF!</v>
      </c>
      <c r="W127" s="970"/>
      <c r="X127" s="969"/>
      <c r="Y127" s="972" t="e">
        <f t="shared" si="70"/>
        <v>#REF!</v>
      </c>
      <c r="Z127" s="947" t="e">
        <f>SUM(F127,H127,J127,L127,N127,P127,R127,T127,V127,X127)</f>
        <v>#REF!</v>
      </c>
      <c r="AA127" s="1814"/>
      <c r="AB127" s="1814"/>
      <c r="AC127" s="1814"/>
      <c r="AD127" s="1814"/>
      <c r="AE127" s="1814"/>
      <c r="AF127" s="1814"/>
      <c r="AG127" s="1814"/>
      <c r="AH127" s="1814"/>
      <c r="AI127" s="1814"/>
      <c r="AJ127" s="1814"/>
      <c r="AK127" s="1814"/>
      <c r="AL127" s="1814"/>
      <c r="AM127" s="1814"/>
      <c r="AN127" s="1814"/>
      <c r="AO127" s="1814"/>
      <c r="AP127" s="1814"/>
      <c r="AQ127" s="1814"/>
      <c r="AR127" s="1814"/>
      <c r="AS127" s="1814"/>
      <c r="AT127" s="1815"/>
      <c r="AU127" s="948"/>
    </row>
    <row r="128" spans="1:47" ht="12.75">
      <c r="A128" s="1827" t="s">
        <v>13441</v>
      </c>
      <c r="B128" s="973" t="str">
        <f>VLOOKUP($A128,'Medição '!$A:$G,4,0)</f>
        <v>ELETRODUTO E ACESSÓRIOS</v>
      </c>
      <c r="C128" s="974" t="e">
        <f>VLOOKUP($A128,'Medição '!$A:$G,10,0)</f>
        <v>#REF!</v>
      </c>
      <c r="D128" s="995"/>
      <c r="E128" s="996"/>
      <c r="F128" s="977"/>
      <c r="G128" s="976"/>
      <c r="H128" s="977"/>
      <c r="I128" s="976"/>
      <c r="J128" s="977"/>
      <c r="K128" s="976"/>
      <c r="L128" s="977"/>
      <c r="M128" s="976"/>
      <c r="N128" s="977"/>
      <c r="O128" s="976" t="e">
        <f>P128*C128</f>
        <v>#REF!</v>
      </c>
      <c r="P128" s="977">
        <v>1</v>
      </c>
      <c r="Q128" s="976"/>
      <c r="R128" s="977"/>
      <c r="S128" s="976"/>
      <c r="T128" s="977"/>
      <c r="U128" s="978"/>
      <c r="V128" s="977"/>
      <c r="W128" s="978"/>
      <c r="X128" s="977"/>
      <c r="Y128" s="961" t="e">
        <f t="shared" si="70"/>
        <v>#REF!</v>
      </c>
      <c r="Z128" s="947">
        <f t="shared" ref="Z128:Z133" si="74">SUM(F128,H128,J128,L128,N128,P128,R128,T128,V128,X128,)</f>
        <v>1</v>
      </c>
      <c r="AA128" s="1814"/>
      <c r="AB128" s="1814"/>
      <c r="AC128" s="1814"/>
      <c r="AD128" s="1814"/>
      <c r="AE128" s="1814"/>
      <c r="AF128" s="1814"/>
      <c r="AG128" s="1814"/>
      <c r="AH128" s="1814"/>
      <c r="AI128" s="1814"/>
      <c r="AJ128" s="1814"/>
      <c r="AK128" s="1814"/>
      <c r="AL128" s="1814"/>
      <c r="AM128" s="1814"/>
      <c r="AN128" s="1814"/>
      <c r="AO128" s="1814"/>
      <c r="AP128" s="1814"/>
      <c r="AQ128" s="1814"/>
      <c r="AR128" s="1814"/>
      <c r="AS128" s="1814"/>
      <c r="AT128" s="1815"/>
      <c r="AU128" s="948"/>
    </row>
    <row r="129" spans="1:47" ht="12.75">
      <c r="A129" s="1827" t="s">
        <v>13448</v>
      </c>
      <c r="B129" s="973" t="str">
        <f>VLOOKUP($A129,'Medição '!$A:$G,4,0)</f>
        <v>CAIXA DE PASSAGEM E ACESSÓRIOS</v>
      </c>
      <c r="C129" s="974" t="e">
        <f>VLOOKUP($A129,'Medição '!$A:$G,10,0)</f>
        <v>#REF!</v>
      </c>
      <c r="D129" s="995"/>
      <c r="E129" s="996"/>
      <c r="F129" s="977"/>
      <c r="G129" s="976"/>
      <c r="H129" s="977"/>
      <c r="I129" s="976"/>
      <c r="J129" s="977"/>
      <c r="K129" s="976"/>
      <c r="L129" s="977"/>
      <c r="M129" s="976"/>
      <c r="N129" s="977"/>
      <c r="O129" s="976" t="e">
        <f>P129*C129</f>
        <v>#REF!</v>
      </c>
      <c r="P129" s="977">
        <v>1</v>
      </c>
      <c r="Q129" s="976"/>
      <c r="R129" s="977"/>
      <c r="S129" s="976"/>
      <c r="T129" s="977"/>
      <c r="U129" s="978"/>
      <c r="V129" s="977"/>
      <c r="W129" s="978"/>
      <c r="X129" s="977"/>
      <c r="Y129" s="961" t="e">
        <f t="shared" si="70"/>
        <v>#REF!</v>
      </c>
      <c r="Z129" s="947">
        <f t="shared" si="74"/>
        <v>1</v>
      </c>
      <c r="AA129" s="1814"/>
      <c r="AB129" s="1814"/>
      <c r="AC129" s="1814"/>
      <c r="AD129" s="1814"/>
      <c r="AE129" s="1814"/>
      <c r="AF129" s="1814"/>
      <c r="AG129" s="1814"/>
      <c r="AH129" s="1814"/>
      <c r="AI129" s="1814"/>
      <c r="AJ129" s="1814"/>
      <c r="AK129" s="1814"/>
      <c r="AL129" s="1814"/>
      <c r="AM129" s="1814"/>
      <c r="AN129" s="1814"/>
      <c r="AO129" s="1814"/>
      <c r="AP129" s="1814"/>
      <c r="AQ129" s="1814"/>
      <c r="AR129" s="1814"/>
      <c r="AS129" s="1814"/>
      <c r="AT129" s="1815"/>
      <c r="AU129" s="948"/>
    </row>
    <row r="130" spans="1:47" ht="12.75">
      <c r="A130" s="1827" t="s">
        <v>13452</v>
      </c>
      <c r="B130" s="973" t="str">
        <f>VLOOKUP($A130,'Medição '!$A:$G,4,0)</f>
        <v>CABOS ELÉTRICOS</v>
      </c>
      <c r="C130" s="974" t="e">
        <f>VLOOKUP($A130,'Medição '!$A:$G,10,0)</f>
        <v>#REF!</v>
      </c>
      <c r="D130" s="995"/>
      <c r="E130" s="996"/>
      <c r="F130" s="977"/>
      <c r="G130" s="976"/>
      <c r="H130" s="977"/>
      <c r="I130" s="976"/>
      <c r="J130" s="977"/>
      <c r="K130" s="976"/>
      <c r="L130" s="977"/>
      <c r="M130" s="976"/>
      <c r="N130" s="977"/>
      <c r="O130" s="976"/>
      <c r="P130" s="977"/>
      <c r="Q130" s="976" t="e">
        <f>R130*C130</f>
        <v>#REF!</v>
      </c>
      <c r="R130" s="977">
        <v>1</v>
      </c>
      <c r="S130" s="976"/>
      <c r="T130" s="977"/>
      <c r="U130" s="978"/>
      <c r="V130" s="977"/>
      <c r="W130" s="978"/>
      <c r="X130" s="977"/>
      <c r="Y130" s="961" t="e">
        <f t="shared" si="70"/>
        <v>#REF!</v>
      </c>
      <c r="Z130" s="947">
        <f t="shared" si="74"/>
        <v>1</v>
      </c>
      <c r="AA130" s="1814"/>
      <c r="AB130" s="1814"/>
      <c r="AC130" s="1814"/>
      <c r="AD130" s="1814"/>
      <c r="AE130" s="1814"/>
      <c r="AF130" s="1814"/>
      <c r="AG130" s="1814"/>
      <c r="AH130" s="1814"/>
      <c r="AI130" s="1814"/>
      <c r="AJ130" s="1814"/>
      <c r="AK130" s="1814"/>
      <c r="AL130" s="1814"/>
      <c r="AM130" s="1814"/>
      <c r="AN130" s="1814"/>
      <c r="AO130" s="1814"/>
      <c r="AP130" s="1814"/>
      <c r="AQ130" s="1814"/>
      <c r="AR130" s="1814"/>
      <c r="AS130" s="1814"/>
      <c r="AT130" s="1815"/>
      <c r="AU130" s="948"/>
    </row>
    <row r="131" spans="1:47" ht="12.75">
      <c r="A131" s="1827" t="s">
        <v>13458</v>
      </c>
      <c r="B131" s="973" t="str">
        <f>VLOOKUP($A131,'Medição '!$A:$G,4,0)</f>
        <v>ATERRAMENTO QUADRO/POSTE</v>
      </c>
      <c r="C131" s="974" t="e">
        <f>VLOOKUP($A131,'Medição '!$A:$G,10,0)</f>
        <v>#REF!</v>
      </c>
      <c r="D131" s="995"/>
      <c r="E131" s="996"/>
      <c r="F131" s="977"/>
      <c r="G131" s="976"/>
      <c r="H131" s="977"/>
      <c r="I131" s="976"/>
      <c r="J131" s="977"/>
      <c r="K131" s="976"/>
      <c r="L131" s="977"/>
      <c r="M131" s="976"/>
      <c r="N131" s="977"/>
      <c r="O131" s="976"/>
      <c r="P131" s="977"/>
      <c r="Q131" s="976" t="e">
        <f>R131*C131</f>
        <v>#REF!</v>
      </c>
      <c r="R131" s="977">
        <v>1</v>
      </c>
      <c r="S131" s="976"/>
      <c r="T131" s="977"/>
      <c r="U131" s="978"/>
      <c r="V131" s="977"/>
      <c r="W131" s="978"/>
      <c r="X131" s="977"/>
      <c r="Y131" s="961" t="e">
        <f t="shared" si="70"/>
        <v>#REF!</v>
      </c>
      <c r="Z131" s="947">
        <f t="shared" si="74"/>
        <v>1</v>
      </c>
      <c r="AA131" s="1814"/>
      <c r="AB131" s="1814"/>
      <c r="AC131" s="1814"/>
      <c r="AD131" s="1814"/>
      <c r="AE131" s="1814"/>
      <c r="AF131" s="1814"/>
      <c r="AG131" s="1814"/>
      <c r="AH131" s="1814"/>
      <c r="AI131" s="1814"/>
      <c r="AJ131" s="1814"/>
      <c r="AK131" s="1814"/>
      <c r="AL131" s="1814"/>
      <c r="AM131" s="1814"/>
      <c r="AN131" s="1814"/>
      <c r="AO131" s="1814"/>
      <c r="AP131" s="1814"/>
      <c r="AQ131" s="1814"/>
      <c r="AR131" s="1814"/>
      <c r="AS131" s="1814"/>
      <c r="AT131" s="1815"/>
      <c r="AU131" s="948"/>
    </row>
    <row r="132" spans="1:47" ht="12.75">
      <c r="A132" s="1827" t="s">
        <v>13464</v>
      </c>
      <c r="B132" s="973" t="str">
        <f>VLOOKUP($A132,'Medição '!$A:$G,4,0)</f>
        <v>DISPOSITIVO DE COMANDO E PROTEÇÃO</v>
      </c>
      <c r="C132" s="974" t="e">
        <f>VLOOKUP($A132,'Medição '!$A:$G,10,0)</f>
        <v>#REF!</v>
      </c>
      <c r="D132" s="995"/>
      <c r="E132" s="996"/>
      <c r="F132" s="977"/>
      <c r="G132" s="976"/>
      <c r="H132" s="977"/>
      <c r="I132" s="976"/>
      <c r="J132" s="977"/>
      <c r="K132" s="976"/>
      <c r="L132" s="977"/>
      <c r="M132" s="976"/>
      <c r="N132" s="977"/>
      <c r="O132" s="976"/>
      <c r="P132" s="977"/>
      <c r="Q132" s="976" t="e">
        <f>R132*C132</f>
        <v>#REF!</v>
      </c>
      <c r="R132" s="977">
        <v>1</v>
      </c>
      <c r="S132" s="976"/>
      <c r="T132" s="977"/>
      <c r="U132" s="978"/>
      <c r="V132" s="977"/>
      <c r="W132" s="978"/>
      <c r="X132" s="977"/>
      <c r="Y132" s="961" t="e">
        <f t="shared" si="70"/>
        <v>#REF!</v>
      </c>
      <c r="Z132" s="947">
        <f t="shared" si="74"/>
        <v>1</v>
      </c>
      <c r="AA132" s="1814"/>
      <c r="AB132" s="1814"/>
      <c r="AC132" s="1814"/>
      <c r="AD132" s="1814"/>
      <c r="AE132" s="1814"/>
      <c r="AF132" s="1814"/>
      <c r="AG132" s="1814"/>
      <c r="AH132" s="1814"/>
      <c r="AI132" s="1814"/>
      <c r="AJ132" s="1814"/>
      <c r="AK132" s="1814"/>
      <c r="AL132" s="1814"/>
      <c r="AM132" s="1814"/>
      <c r="AN132" s="1814"/>
      <c r="AO132" s="1814"/>
      <c r="AP132" s="1814"/>
      <c r="AQ132" s="1814"/>
      <c r="AR132" s="1814"/>
      <c r="AS132" s="1814"/>
      <c r="AT132" s="1815"/>
      <c r="AU132" s="948"/>
    </row>
    <row r="133" spans="1:47" ht="12.75">
      <c r="A133" s="1827" t="s">
        <v>13476</v>
      </c>
      <c r="B133" s="973" t="str">
        <f>VLOOKUP($A133,'Medição '!$A:$G,4,0)</f>
        <v>POSTE, LÂMPADAS, LUMINÁRIAS E ACESSÓRIOS</v>
      </c>
      <c r="C133" s="974" t="e">
        <f>VLOOKUP($A133,'Medição '!$A:$G,10,0)</f>
        <v>#REF!</v>
      </c>
      <c r="D133" s="995"/>
      <c r="E133" s="996"/>
      <c r="F133" s="977"/>
      <c r="G133" s="976"/>
      <c r="H133" s="977"/>
      <c r="I133" s="976"/>
      <c r="J133" s="977"/>
      <c r="K133" s="976"/>
      <c r="L133" s="977"/>
      <c r="M133" s="976"/>
      <c r="N133" s="977"/>
      <c r="O133" s="976"/>
      <c r="P133" s="977"/>
      <c r="Q133" s="976"/>
      <c r="R133" s="977"/>
      <c r="S133" s="976" t="e">
        <f>T133*C133</f>
        <v>#REF!</v>
      </c>
      <c r="T133" s="977">
        <v>0.5</v>
      </c>
      <c r="U133" s="978" t="e">
        <f>V133*C133</f>
        <v>#REF!</v>
      </c>
      <c r="V133" s="977">
        <v>0.5</v>
      </c>
      <c r="W133" s="978"/>
      <c r="X133" s="977"/>
      <c r="Y133" s="961" t="e">
        <f t="shared" si="70"/>
        <v>#REF!</v>
      </c>
      <c r="Z133" s="947">
        <f t="shared" si="74"/>
        <v>1</v>
      </c>
      <c r="AA133" s="1814"/>
      <c r="AB133" s="1814"/>
      <c r="AC133" s="1814"/>
      <c r="AD133" s="1814"/>
      <c r="AE133" s="1814"/>
      <c r="AF133" s="1814"/>
      <c r="AG133" s="1814"/>
      <c r="AH133" s="1814"/>
      <c r="AI133" s="1814"/>
      <c r="AJ133" s="1814"/>
      <c r="AK133" s="1814"/>
      <c r="AL133" s="1814"/>
      <c r="AM133" s="1814"/>
      <c r="AN133" s="1814"/>
      <c r="AO133" s="1814"/>
      <c r="AP133" s="1814"/>
      <c r="AQ133" s="1814"/>
      <c r="AR133" s="1814"/>
      <c r="AS133" s="1814"/>
      <c r="AT133" s="1815"/>
      <c r="AU133" s="948"/>
    </row>
    <row r="134" spans="1:47" ht="19.5">
      <c r="A134" s="1813"/>
      <c r="B134" s="942" t="str">
        <f>'Medição '!A833</f>
        <v>→ (D) QUIOSQUE</v>
      </c>
      <c r="C134" s="943" t="e">
        <f>SUM(C135,C145,C155,C156,C157)</f>
        <v>#REF!</v>
      </c>
      <c r="D134" s="944" t="e">
        <f>C134/$C$234</f>
        <v>#REF!</v>
      </c>
      <c r="E134" s="945"/>
      <c r="F134" s="946"/>
      <c r="G134" s="945"/>
      <c r="H134" s="946"/>
      <c r="I134" s="945"/>
      <c r="J134" s="946"/>
      <c r="K134" s="945"/>
      <c r="L134" s="946"/>
      <c r="M134" s="945"/>
      <c r="N134" s="946"/>
      <c r="O134" s="945"/>
      <c r="P134" s="946"/>
      <c r="Q134" s="945" t="e">
        <f>SUM(Q135,Q145,Q155,Q156,Q157)</f>
        <v>#REF!</v>
      </c>
      <c r="R134" s="946" t="e">
        <f>Q134/$C$134</f>
        <v>#REF!</v>
      </c>
      <c r="S134" s="945" t="e">
        <f>SUM(S135,S145,S155,S156,S157)</f>
        <v>#REF!</v>
      </c>
      <c r="T134" s="946" t="e">
        <f>S134/$C$134</f>
        <v>#REF!</v>
      </c>
      <c r="U134" s="945" t="e">
        <f>SUM(U135,U145,U155,U156,U157)</f>
        <v>#REF!</v>
      </c>
      <c r="V134" s="946" t="e">
        <f>U134/$C$134</f>
        <v>#REF!</v>
      </c>
      <c r="W134" s="943"/>
      <c r="X134" s="946"/>
      <c r="Y134" s="943" t="e">
        <f>SUM(E134,G134,I134,K134,M134,O134,Q134,S134,U134,W134)</f>
        <v>#REF!</v>
      </c>
      <c r="Z134" s="947" t="e">
        <f>SUM(F134,H134,J134,L134,N134,P134,R134,T134,V134,X134)</f>
        <v>#REF!</v>
      </c>
      <c r="AA134" s="1814"/>
      <c r="AB134" s="1814"/>
      <c r="AC134" s="1814"/>
      <c r="AD134" s="1814"/>
      <c r="AE134" s="1814"/>
      <c r="AF134" s="1814"/>
      <c r="AG134" s="1814"/>
      <c r="AH134" s="1814"/>
      <c r="AI134" s="1814"/>
      <c r="AJ134" s="1814"/>
      <c r="AK134" s="1814"/>
      <c r="AL134" s="1814"/>
      <c r="AM134" s="1814"/>
      <c r="AN134" s="1814"/>
      <c r="AO134" s="1814"/>
      <c r="AP134" s="1814"/>
      <c r="AQ134" s="1814"/>
      <c r="AR134" s="1814"/>
      <c r="AS134" s="1814"/>
      <c r="AT134" s="1815"/>
      <c r="AU134" s="948"/>
    </row>
    <row r="135" spans="1:47">
      <c r="A135" s="1820" t="s">
        <v>12635</v>
      </c>
      <c r="B135" s="979" t="s">
        <v>16198</v>
      </c>
      <c r="C135" s="980" t="e">
        <f>SUBTOTAL(9,C136:C144)</f>
        <v>#REF!</v>
      </c>
      <c r="D135" s="981"/>
      <c r="E135" s="982"/>
      <c r="F135" s="969"/>
      <c r="G135" s="968"/>
      <c r="H135" s="969"/>
      <c r="I135" s="968"/>
      <c r="J135" s="969"/>
      <c r="K135" s="968"/>
      <c r="L135" s="969"/>
      <c r="M135" s="968"/>
      <c r="N135" s="969"/>
      <c r="O135" s="968"/>
      <c r="P135" s="969"/>
      <c r="Q135" s="970" t="e">
        <f>SUM(Q136:Q144)</f>
        <v>#REF!</v>
      </c>
      <c r="R135" s="969" t="e">
        <f>Q135/C135</f>
        <v>#REF!</v>
      </c>
      <c r="S135" s="970"/>
      <c r="T135" s="969"/>
      <c r="U135" s="970"/>
      <c r="V135" s="969"/>
      <c r="W135" s="970"/>
      <c r="X135" s="969"/>
      <c r="Y135" s="971" t="e">
        <f>SUM(E135,G135,I135,K135,M135,O135,Q135,S135,U135,W135)</f>
        <v>#REF!</v>
      </c>
      <c r="Z135" s="947" t="e">
        <f>SUM(F135,H135,J135,L135,N135,P135,R135,T135,V135,X135)</f>
        <v>#REF!</v>
      </c>
      <c r="AA135" s="1814"/>
      <c r="AB135" s="1814"/>
      <c r="AC135" s="1814"/>
      <c r="AD135" s="1814"/>
      <c r="AE135" s="1814"/>
      <c r="AF135" s="1814"/>
      <c r="AG135" s="1814"/>
      <c r="AH135" s="1814"/>
      <c r="AI135" s="1814"/>
      <c r="AJ135" s="1814"/>
      <c r="AK135" s="1814"/>
      <c r="AL135" s="1814"/>
      <c r="AM135" s="1814"/>
      <c r="AN135" s="1814"/>
      <c r="AO135" s="1814"/>
      <c r="AP135" s="1814"/>
      <c r="AQ135" s="1814"/>
      <c r="AR135" s="1814"/>
      <c r="AS135" s="1814"/>
      <c r="AT135" s="1815"/>
      <c r="AU135" s="948"/>
    </row>
    <row r="136" spans="1:47" ht="12.75">
      <c r="A136" s="1827" t="s">
        <v>13487</v>
      </c>
      <c r="B136" s="973" t="str">
        <f>VLOOKUP($A136,'Medição '!$A:$G,4,0)</f>
        <v>INFRAESTRUTURA - SAPATAS</v>
      </c>
      <c r="C136" s="974" t="e">
        <f>VLOOKUP($A136,'Medição '!$A:$G,10,0)</f>
        <v>#REF!</v>
      </c>
      <c r="D136" s="990"/>
      <c r="E136" s="991"/>
      <c r="F136" s="992"/>
      <c r="G136" s="986"/>
      <c r="H136" s="985"/>
      <c r="I136" s="986"/>
      <c r="J136" s="985"/>
      <c r="K136" s="986"/>
      <c r="L136" s="985"/>
      <c r="M136" s="986"/>
      <c r="N136" s="985"/>
      <c r="O136" s="986"/>
      <c r="P136" s="985"/>
      <c r="Q136" s="986" t="e">
        <f t="shared" ref="Q136:Q144" si="75">R136*C136</f>
        <v>#REF!</v>
      </c>
      <c r="R136" s="985">
        <v>1</v>
      </c>
      <c r="S136" s="993"/>
      <c r="T136" s="992"/>
      <c r="U136" s="993"/>
      <c r="V136" s="992"/>
      <c r="W136" s="993"/>
      <c r="X136" s="992"/>
      <c r="Y136" s="961" t="e">
        <f t="shared" ref="Y136:Y144" si="76">SUM(E136,G136,I136,K136,M136,O136,Q136,S136,U136,W136,)</f>
        <v>#REF!</v>
      </c>
      <c r="Z136" s="947">
        <f t="shared" ref="Z136:Z144" si="77">SUM(F136,H136,J136,L136,N136,P136,R136,T136,V136,X136,)</f>
        <v>1</v>
      </c>
      <c r="AA136" s="1806"/>
      <c r="AB136" s="1806"/>
      <c r="AC136" s="1806"/>
      <c r="AD136" s="1806"/>
      <c r="AE136" s="1806"/>
      <c r="AF136" s="1806"/>
      <c r="AG136" s="1806"/>
      <c r="AH136" s="1806"/>
      <c r="AI136" s="1806"/>
      <c r="AJ136" s="1806"/>
      <c r="AK136" s="1806"/>
      <c r="AL136" s="1806"/>
      <c r="AM136" s="1806"/>
      <c r="AN136" s="1806"/>
      <c r="AO136" s="1806"/>
      <c r="AP136" s="1806"/>
      <c r="AQ136" s="1806"/>
      <c r="AR136" s="1806"/>
      <c r="AS136" s="1806"/>
      <c r="AT136" s="1807"/>
      <c r="AU136" s="110"/>
    </row>
    <row r="137" spans="1:47" ht="12.75">
      <c r="A137" s="1827" t="s">
        <v>13499</v>
      </c>
      <c r="B137" s="973" t="str">
        <f>VLOOKUP($A137,'Medição '!$A:$G,4,0)</f>
        <v>INFRAESTRUTURA - VIGA BALDRAME</v>
      </c>
      <c r="C137" s="974" t="e">
        <f>VLOOKUP($A137,'Medição '!$A:$G,10,0)</f>
        <v>#REF!</v>
      </c>
      <c r="D137" s="990"/>
      <c r="E137" s="984"/>
      <c r="F137" s="985"/>
      <c r="G137" s="986"/>
      <c r="H137" s="985"/>
      <c r="I137" s="986"/>
      <c r="J137" s="985"/>
      <c r="K137" s="986"/>
      <c r="L137" s="985"/>
      <c r="M137" s="986"/>
      <c r="N137" s="985"/>
      <c r="O137" s="986"/>
      <c r="P137" s="985"/>
      <c r="Q137" s="986" t="e">
        <f t="shared" si="75"/>
        <v>#REF!</v>
      </c>
      <c r="R137" s="985">
        <v>1</v>
      </c>
      <c r="S137" s="987"/>
      <c r="T137" s="985"/>
      <c r="U137" s="987"/>
      <c r="V137" s="985"/>
      <c r="W137" s="987"/>
      <c r="X137" s="985"/>
      <c r="Y137" s="961" t="e">
        <f t="shared" si="76"/>
        <v>#REF!</v>
      </c>
      <c r="Z137" s="947">
        <f t="shared" si="77"/>
        <v>1</v>
      </c>
      <c r="AA137" s="1814"/>
      <c r="AB137" s="1814"/>
      <c r="AC137" s="1814"/>
      <c r="AD137" s="1814"/>
      <c r="AE137" s="1814"/>
      <c r="AF137" s="1814"/>
      <c r="AG137" s="1814"/>
      <c r="AH137" s="1814"/>
      <c r="AI137" s="1814"/>
      <c r="AJ137" s="1814"/>
      <c r="AK137" s="1814"/>
      <c r="AL137" s="1814"/>
      <c r="AM137" s="1814"/>
      <c r="AN137" s="1814"/>
      <c r="AO137" s="1814"/>
      <c r="AP137" s="1814"/>
      <c r="AQ137" s="1814"/>
      <c r="AR137" s="1814"/>
      <c r="AS137" s="1814"/>
      <c r="AT137" s="1815"/>
      <c r="AU137" s="948"/>
    </row>
    <row r="138" spans="1:47" ht="12.75">
      <c r="A138" s="1827" t="s">
        <v>13511</v>
      </c>
      <c r="B138" s="973" t="str">
        <f>VLOOKUP($A138,'Medição '!$A:$G,4,0)</f>
        <v>ESTACAS BROCAS</v>
      </c>
      <c r="C138" s="974" t="e">
        <f>VLOOKUP($A138,'Medição '!$A:$G,10,0)</f>
        <v>#REF!</v>
      </c>
      <c r="D138" s="990"/>
      <c r="E138" s="984"/>
      <c r="F138" s="985"/>
      <c r="G138" s="986"/>
      <c r="H138" s="985"/>
      <c r="I138" s="986"/>
      <c r="J138" s="985"/>
      <c r="K138" s="986"/>
      <c r="L138" s="985"/>
      <c r="M138" s="986"/>
      <c r="N138" s="985"/>
      <c r="O138" s="986"/>
      <c r="P138" s="985"/>
      <c r="Q138" s="986" t="e">
        <f t="shared" si="75"/>
        <v>#REF!</v>
      </c>
      <c r="R138" s="985">
        <v>1</v>
      </c>
      <c r="S138" s="987"/>
      <c r="T138" s="985"/>
      <c r="U138" s="987"/>
      <c r="V138" s="985"/>
      <c r="W138" s="987"/>
      <c r="X138" s="985"/>
      <c r="Y138" s="961" t="e">
        <f t="shared" si="76"/>
        <v>#REF!</v>
      </c>
      <c r="Z138" s="947">
        <f t="shared" si="77"/>
        <v>1</v>
      </c>
      <c r="AA138" s="1806"/>
      <c r="AB138" s="1806"/>
      <c r="AC138" s="1806"/>
      <c r="AD138" s="1806"/>
      <c r="AE138" s="1806"/>
      <c r="AF138" s="1806"/>
      <c r="AG138" s="1806"/>
      <c r="AH138" s="1806"/>
      <c r="AI138" s="1806"/>
      <c r="AJ138" s="1806"/>
      <c r="AK138" s="1806"/>
      <c r="AL138" s="1806"/>
      <c r="AM138" s="1806"/>
      <c r="AN138" s="1806"/>
      <c r="AO138" s="1806"/>
      <c r="AP138" s="1806"/>
      <c r="AQ138" s="1806"/>
      <c r="AR138" s="1806"/>
      <c r="AS138" s="1806"/>
      <c r="AT138" s="1807"/>
      <c r="AU138" s="110"/>
    </row>
    <row r="139" spans="1:47" ht="12.75">
      <c r="A139" s="1827" t="s">
        <v>13515</v>
      </c>
      <c r="B139" s="973" t="str">
        <f>VLOOKUP($A139,'Medição '!$A:$G,4,0)</f>
        <v>SUPERESTRUTURA - PILARES</v>
      </c>
      <c r="C139" s="974" t="e">
        <f>VLOOKUP($A139,'Medição '!$A:$G,10,0)</f>
        <v>#REF!</v>
      </c>
      <c r="D139" s="995"/>
      <c r="E139" s="996"/>
      <c r="F139" s="977"/>
      <c r="G139" s="976"/>
      <c r="H139" s="977"/>
      <c r="I139" s="976"/>
      <c r="J139" s="977"/>
      <c r="K139" s="986"/>
      <c r="L139" s="985"/>
      <c r="M139" s="986"/>
      <c r="N139" s="985"/>
      <c r="O139" s="986"/>
      <c r="P139" s="985"/>
      <c r="Q139" s="986" t="e">
        <f t="shared" si="75"/>
        <v>#REF!</v>
      </c>
      <c r="R139" s="985">
        <v>1</v>
      </c>
      <c r="S139" s="978"/>
      <c r="T139" s="977"/>
      <c r="U139" s="978"/>
      <c r="V139" s="977"/>
      <c r="W139" s="978"/>
      <c r="X139" s="977"/>
      <c r="Y139" s="961" t="e">
        <f t="shared" si="76"/>
        <v>#REF!</v>
      </c>
      <c r="Z139" s="947">
        <f t="shared" si="77"/>
        <v>1</v>
      </c>
      <c r="AA139" s="1806"/>
      <c r="AB139" s="1806"/>
      <c r="AC139" s="1806"/>
      <c r="AD139" s="1806"/>
      <c r="AE139" s="1806"/>
      <c r="AF139" s="1806"/>
      <c r="AG139" s="1806"/>
      <c r="AH139" s="1806"/>
      <c r="AI139" s="1806"/>
      <c r="AJ139" s="1806"/>
      <c r="AK139" s="1806"/>
      <c r="AL139" s="1806"/>
      <c r="AM139" s="1806"/>
      <c r="AN139" s="1806"/>
      <c r="AO139" s="1806"/>
      <c r="AP139" s="1806"/>
      <c r="AQ139" s="1806"/>
      <c r="AR139" s="1806"/>
      <c r="AS139" s="1806"/>
      <c r="AT139" s="1807"/>
      <c r="AU139" s="110"/>
    </row>
    <row r="140" spans="1:47" ht="12.75">
      <c r="A140" s="1827" t="s">
        <v>13520</v>
      </c>
      <c r="B140" s="973" t="str">
        <f>VLOOKUP($A140,'Medição '!$A:$G,4,0)</f>
        <v>SUPERESTUTURA - PILARES - SUPERIOR</v>
      </c>
      <c r="C140" s="974" t="e">
        <f>VLOOKUP($A140,'Medição '!$A:$G,10,0)</f>
        <v>#REF!</v>
      </c>
      <c r="D140" s="995"/>
      <c r="E140" s="1000"/>
      <c r="F140" s="999"/>
      <c r="G140" s="1001"/>
      <c r="H140" s="999"/>
      <c r="I140" s="1001"/>
      <c r="J140" s="999"/>
      <c r="K140" s="1001"/>
      <c r="L140" s="999"/>
      <c r="M140" s="1001"/>
      <c r="N140" s="999"/>
      <c r="O140" s="1001"/>
      <c r="P140" s="999"/>
      <c r="Q140" s="986" t="e">
        <f t="shared" si="75"/>
        <v>#REF!</v>
      </c>
      <c r="R140" s="985">
        <v>1</v>
      </c>
      <c r="S140" s="998"/>
      <c r="T140" s="999"/>
      <c r="U140" s="998"/>
      <c r="V140" s="999"/>
      <c r="W140" s="998"/>
      <c r="X140" s="999"/>
      <c r="Y140" s="961" t="e">
        <f t="shared" si="76"/>
        <v>#REF!</v>
      </c>
      <c r="Z140" s="947">
        <f t="shared" si="77"/>
        <v>1</v>
      </c>
      <c r="AA140" s="1806"/>
      <c r="AB140" s="1806"/>
      <c r="AC140" s="1806"/>
      <c r="AD140" s="1806"/>
      <c r="AE140" s="1806"/>
      <c r="AF140" s="1806"/>
      <c r="AG140" s="1806"/>
      <c r="AH140" s="1806"/>
      <c r="AI140" s="1806"/>
      <c r="AJ140" s="1806"/>
      <c r="AK140" s="1806"/>
      <c r="AL140" s="1806"/>
      <c r="AM140" s="1806"/>
      <c r="AN140" s="1806"/>
      <c r="AO140" s="1806"/>
      <c r="AP140" s="1806"/>
      <c r="AQ140" s="1806"/>
      <c r="AR140" s="1806"/>
      <c r="AS140" s="1806"/>
      <c r="AT140" s="1807"/>
      <c r="AU140" s="110"/>
    </row>
    <row r="141" spans="1:47" ht="12.75">
      <c r="A141" s="1827" t="s">
        <v>13525</v>
      </c>
      <c r="B141" s="973" t="str">
        <f>VLOOKUP($A141,'Medição '!$A:$G,4,0)</f>
        <v>SUPERESTRUTURA - VIGAS</v>
      </c>
      <c r="C141" s="974" t="e">
        <f>VLOOKUP($A141,'Medição '!$A:$G,10,0)</f>
        <v>#REF!</v>
      </c>
      <c r="D141" s="995"/>
      <c r="E141" s="1000"/>
      <c r="F141" s="999"/>
      <c r="G141" s="1001"/>
      <c r="H141" s="999"/>
      <c r="I141" s="1001"/>
      <c r="J141" s="999"/>
      <c r="K141" s="1001"/>
      <c r="L141" s="999"/>
      <c r="M141" s="1001"/>
      <c r="N141" s="999"/>
      <c r="O141" s="1001"/>
      <c r="P141" s="999"/>
      <c r="Q141" s="986" t="e">
        <f t="shared" si="75"/>
        <v>#REF!</v>
      </c>
      <c r="R141" s="985">
        <v>1</v>
      </c>
      <c r="S141" s="998"/>
      <c r="T141" s="999"/>
      <c r="U141" s="998"/>
      <c r="V141" s="999"/>
      <c r="W141" s="998"/>
      <c r="X141" s="999"/>
      <c r="Y141" s="961" t="e">
        <f t="shared" si="76"/>
        <v>#REF!</v>
      </c>
      <c r="Z141" s="947">
        <f t="shared" si="77"/>
        <v>1</v>
      </c>
      <c r="AA141" s="1806"/>
      <c r="AB141" s="1806"/>
      <c r="AC141" s="1806"/>
      <c r="AD141" s="1806"/>
      <c r="AE141" s="1806"/>
      <c r="AF141" s="1806"/>
      <c r="AG141" s="1806"/>
      <c r="AH141" s="1806"/>
      <c r="AI141" s="1806"/>
      <c r="AJ141" s="1806"/>
      <c r="AK141" s="1806"/>
      <c r="AL141" s="1806"/>
      <c r="AM141" s="1806"/>
      <c r="AN141" s="1806"/>
      <c r="AO141" s="1806"/>
      <c r="AP141" s="1806"/>
      <c r="AQ141" s="1806"/>
      <c r="AR141" s="1806"/>
      <c r="AS141" s="1806"/>
      <c r="AT141" s="1807"/>
      <c r="AU141" s="110"/>
    </row>
    <row r="142" spans="1:47" ht="12.75">
      <c r="A142" s="1827" t="s">
        <v>13531</v>
      </c>
      <c r="B142" s="973" t="str">
        <f>VLOOKUP($A142,'Medição '!$A:$G,4,0)</f>
        <v>SUPERESTRUTURA - LAJE</v>
      </c>
      <c r="C142" s="974" t="e">
        <f>VLOOKUP($A142,'Medição '!$A:$G,10,0)</f>
        <v>#REF!</v>
      </c>
      <c r="D142" s="995"/>
      <c r="E142" s="1000"/>
      <c r="F142" s="999"/>
      <c r="G142" s="1001"/>
      <c r="H142" s="999"/>
      <c r="I142" s="1001"/>
      <c r="J142" s="999"/>
      <c r="K142" s="1001"/>
      <c r="L142" s="999"/>
      <c r="M142" s="1001"/>
      <c r="N142" s="999"/>
      <c r="O142" s="1001"/>
      <c r="P142" s="999"/>
      <c r="Q142" s="986" t="e">
        <f t="shared" si="75"/>
        <v>#REF!</v>
      </c>
      <c r="R142" s="985">
        <v>1</v>
      </c>
      <c r="S142" s="998"/>
      <c r="T142" s="999"/>
      <c r="U142" s="998"/>
      <c r="V142" s="999"/>
      <c r="W142" s="998"/>
      <c r="X142" s="999"/>
      <c r="Y142" s="961" t="e">
        <f t="shared" si="76"/>
        <v>#REF!</v>
      </c>
      <c r="Z142" s="947">
        <f t="shared" si="77"/>
        <v>1</v>
      </c>
      <c r="AA142" s="1806"/>
      <c r="AB142" s="1806"/>
      <c r="AC142" s="1806"/>
      <c r="AD142" s="1806"/>
      <c r="AE142" s="1806"/>
      <c r="AF142" s="1806"/>
      <c r="AG142" s="1806"/>
      <c r="AH142" s="1806"/>
      <c r="AI142" s="1806"/>
      <c r="AJ142" s="1806"/>
      <c r="AK142" s="1806"/>
      <c r="AL142" s="1806"/>
      <c r="AM142" s="1806"/>
      <c r="AN142" s="1806"/>
      <c r="AO142" s="1806"/>
      <c r="AP142" s="1806"/>
      <c r="AQ142" s="1806"/>
      <c r="AR142" s="1806"/>
      <c r="AS142" s="1806"/>
      <c r="AT142" s="1807"/>
      <c r="AU142" s="110"/>
    </row>
    <row r="143" spans="1:47" ht="12.75">
      <c r="A143" s="1827" t="s">
        <v>13536</v>
      </c>
      <c r="B143" s="973" t="str">
        <f>VLOOKUP($A143,'Medição '!$A:$G,4,0)</f>
        <v>CONTROLE TECNOLOGICO</v>
      </c>
      <c r="C143" s="974" t="e">
        <f>VLOOKUP($A143,'Medição '!$A:$G,10,0)</f>
        <v>#REF!</v>
      </c>
      <c r="D143" s="995"/>
      <c r="E143" s="1000"/>
      <c r="F143" s="999"/>
      <c r="G143" s="1001"/>
      <c r="H143" s="999"/>
      <c r="I143" s="1001"/>
      <c r="J143" s="999"/>
      <c r="K143" s="1001"/>
      <c r="L143" s="999"/>
      <c r="M143" s="1001"/>
      <c r="N143" s="999"/>
      <c r="O143" s="1001"/>
      <c r="P143" s="999"/>
      <c r="Q143" s="986" t="e">
        <f t="shared" si="75"/>
        <v>#REF!</v>
      </c>
      <c r="R143" s="985">
        <v>1</v>
      </c>
      <c r="S143" s="998"/>
      <c r="T143" s="999"/>
      <c r="U143" s="998"/>
      <c r="V143" s="999"/>
      <c r="W143" s="998"/>
      <c r="X143" s="999"/>
      <c r="Y143" s="961" t="e">
        <f t="shared" si="76"/>
        <v>#REF!</v>
      </c>
      <c r="Z143" s="947">
        <f t="shared" si="77"/>
        <v>1</v>
      </c>
      <c r="AA143" s="1806"/>
      <c r="AB143" s="1806"/>
      <c r="AC143" s="1806"/>
      <c r="AD143" s="1806"/>
      <c r="AE143" s="1806"/>
      <c r="AF143" s="1806"/>
      <c r="AG143" s="1806"/>
      <c r="AH143" s="1806"/>
      <c r="AI143" s="1806"/>
      <c r="AJ143" s="1806"/>
      <c r="AK143" s="1806"/>
      <c r="AL143" s="1806"/>
      <c r="AM143" s="1806"/>
      <c r="AN143" s="1806"/>
      <c r="AO143" s="1806"/>
      <c r="AP143" s="1806"/>
      <c r="AQ143" s="1806"/>
      <c r="AR143" s="1806"/>
      <c r="AS143" s="1806"/>
      <c r="AT143" s="1807"/>
      <c r="AU143" s="110"/>
    </row>
    <row r="144" spans="1:47" ht="12.75">
      <c r="A144" s="1827" t="s">
        <v>13538</v>
      </c>
      <c r="B144" s="973" t="str">
        <f>VLOOKUP($A144,'Medição '!$A:$G,4,0)</f>
        <v>ESTRUTURA METÁLICA</v>
      </c>
      <c r="C144" s="974" t="e">
        <f>VLOOKUP($A144,'Medição '!$A:$G,10,0)</f>
        <v>#REF!</v>
      </c>
      <c r="D144" s="995"/>
      <c r="E144" s="1000"/>
      <c r="F144" s="999"/>
      <c r="G144" s="1001"/>
      <c r="H144" s="999"/>
      <c r="I144" s="1001"/>
      <c r="J144" s="999"/>
      <c r="K144" s="1001"/>
      <c r="L144" s="999"/>
      <c r="M144" s="1001"/>
      <c r="N144" s="999"/>
      <c r="O144" s="1001"/>
      <c r="P144" s="999"/>
      <c r="Q144" s="986" t="e">
        <f t="shared" si="75"/>
        <v>#REF!</v>
      </c>
      <c r="R144" s="985">
        <v>1</v>
      </c>
      <c r="S144" s="998"/>
      <c r="T144" s="999"/>
      <c r="U144" s="998"/>
      <c r="V144" s="999"/>
      <c r="W144" s="998"/>
      <c r="X144" s="999"/>
      <c r="Y144" s="961" t="e">
        <f t="shared" si="76"/>
        <v>#REF!</v>
      </c>
      <c r="Z144" s="947">
        <f t="shared" si="77"/>
        <v>1</v>
      </c>
      <c r="AA144" s="1806"/>
      <c r="AB144" s="1806"/>
      <c r="AC144" s="1806"/>
      <c r="AD144" s="1806"/>
      <c r="AE144" s="1806"/>
      <c r="AF144" s="1806"/>
      <c r="AG144" s="1806"/>
      <c r="AH144" s="1806"/>
      <c r="AI144" s="1806"/>
      <c r="AJ144" s="1806"/>
      <c r="AK144" s="1806"/>
      <c r="AL144" s="1806"/>
      <c r="AM144" s="1806"/>
      <c r="AN144" s="1806"/>
      <c r="AO144" s="1806"/>
      <c r="AP144" s="1806"/>
      <c r="AQ144" s="1806"/>
      <c r="AR144" s="1806"/>
      <c r="AS144" s="1806"/>
      <c r="AT144" s="1807"/>
      <c r="AU144" s="110"/>
    </row>
    <row r="145" spans="1:47">
      <c r="A145" s="1820" t="s">
        <v>12636</v>
      </c>
      <c r="B145" s="979" t="s">
        <v>12486</v>
      </c>
      <c r="C145" s="980" t="e">
        <f>SUBTOTAL(9,C146:C154)</f>
        <v>#REF!</v>
      </c>
      <c r="D145" s="981"/>
      <c r="E145" s="982"/>
      <c r="F145" s="969"/>
      <c r="G145" s="968"/>
      <c r="H145" s="969"/>
      <c r="I145" s="968"/>
      <c r="J145" s="969"/>
      <c r="K145" s="968"/>
      <c r="L145" s="969"/>
      <c r="M145" s="968"/>
      <c r="N145" s="969"/>
      <c r="O145" s="968"/>
      <c r="P145" s="969"/>
      <c r="Q145" s="968"/>
      <c r="R145" s="969"/>
      <c r="S145" s="970" t="e">
        <f>SUM(S146:S154)</f>
        <v>#REF!</v>
      </c>
      <c r="T145" s="969" t="e">
        <f>S145/C145</f>
        <v>#REF!</v>
      </c>
      <c r="U145" s="970" t="e">
        <f>SUM(U146:U154)</f>
        <v>#REF!</v>
      </c>
      <c r="V145" s="969" t="e">
        <f>U145/C145</f>
        <v>#REF!</v>
      </c>
      <c r="W145" s="970"/>
      <c r="X145" s="969"/>
      <c r="Y145" s="971" t="e">
        <f>SUM(E145,G145,I145,K145,M145,O145,Q145,S145,U145,W145)</f>
        <v>#REF!</v>
      </c>
      <c r="Z145" s="947" t="e">
        <f>SUM(F145,H145,J145,L145,N145,P145,R145,T145,V145,X145)</f>
        <v>#REF!</v>
      </c>
      <c r="AA145" s="1806"/>
      <c r="AB145" s="1806"/>
      <c r="AC145" s="1806"/>
      <c r="AD145" s="1806"/>
      <c r="AE145" s="1806"/>
      <c r="AF145" s="1806"/>
      <c r="AG145" s="1806"/>
      <c r="AH145" s="1806"/>
      <c r="AI145" s="1806"/>
      <c r="AJ145" s="1806"/>
      <c r="AK145" s="1806"/>
      <c r="AL145" s="1806"/>
      <c r="AM145" s="1806"/>
      <c r="AN145" s="1806"/>
      <c r="AO145" s="1806"/>
      <c r="AP145" s="1806"/>
      <c r="AQ145" s="1806"/>
      <c r="AR145" s="1806"/>
      <c r="AS145" s="1806"/>
      <c r="AT145" s="1807"/>
      <c r="AU145" s="110"/>
    </row>
    <row r="146" spans="1:47" ht="12.75">
      <c r="A146" s="1827" t="s">
        <v>13540</v>
      </c>
      <c r="B146" s="973" t="str">
        <f>VLOOKUP($A146,'Medição '!$A:$G,4,0)</f>
        <v>ALVENARIA, DIVISÓRIAS E VEDAÇÕES</v>
      </c>
      <c r="C146" s="974" t="e">
        <f>VLOOKUP($A146,'Medição '!$A:$G,10,0)</f>
        <v>#REF!</v>
      </c>
      <c r="D146" s="995"/>
      <c r="E146" s="1000"/>
      <c r="F146" s="999"/>
      <c r="G146" s="1001"/>
      <c r="H146" s="999"/>
      <c r="I146" s="1001"/>
      <c r="J146" s="999"/>
      <c r="K146" s="1001"/>
      <c r="L146" s="999"/>
      <c r="M146" s="1001"/>
      <c r="N146" s="999"/>
      <c r="O146" s="1001"/>
      <c r="P146" s="999"/>
      <c r="Q146" s="1001"/>
      <c r="R146" s="999"/>
      <c r="S146" s="978" t="e">
        <f t="shared" ref="S146:S151" si="78">T146*C146</f>
        <v>#REF!</v>
      </c>
      <c r="T146" s="977">
        <v>1</v>
      </c>
      <c r="U146" s="978"/>
      <c r="V146" s="999"/>
      <c r="W146" s="978"/>
      <c r="X146" s="999"/>
      <c r="Y146" s="961" t="e">
        <f t="shared" ref="Y146:Y154" si="79">SUM(E146,G146,I146,K146,M146,O146,Q146,S146,U146,W146,)</f>
        <v>#REF!</v>
      </c>
      <c r="Z146" s="947">
        <f t="shared" ref="Z146:Z154" si="80">SUM(F146,H146,J146,L146,N146,P146,R146,T146,V146,X146,)</f>
        <v>1</v>
      </c>
      <c r="AA146" s="1806"/>
      <c r="AB146" s="1806"/>
      <c r="AC146" s="1806"/>
      <c r="AD146" s="1806"/>
      <c r="AE146" s="1806"/>
      <c r="AF146" s="1806"/>
      <c r="AG146" s="1806"/>
      <c r="AH146" s="1806"/>
      <c r="AI146" s="1806"/>
      <c r="AJ146" s="1806"/>
      <c r="AK146" s="1806"/>
      <c r="AL146" s="1806"/>
      <c r="AM146" s="1806"/>
      <c r="AN146" s="1806"/>
      <c r="AO146" s="1806"/>
      <c r="AP146" s="1806"/>
      <c r="AQ146" s="1806"/>
      <c r="AR146" s="1806"/>
      <c r="AS146" s="1806"/>
      <c r="AT146" s="1807"/>
      <c r="AU146" s="110"/>
    </row>
    <row r="147" spans="1:47" ht="12.75">
      <c r="A147" s="1827" t="s">
        <v>13545</v>
      </c>
      <c r="B147" s="973" t="str">
        <f>VLOOKUP($A147,'Medição '!$A:$G,4,0)</f>
        <v xml:space="preserve">REVESTIMENTO PAREDE - CHAPISCO/EMBOÇO/REBOCO </v>
      </c>
      <c r="C147" s="974" t="e">
        <f>VLOOKUP($A147,'Medição '!$A:$G,10,0)</f>
        <v>#REF!</v>
      </c>
      <c r="D147" s="995"/>
      <c r="E147" s="1000"/>
      <c r="F147" s="999"/>
      <c r="G147" s="1001"/>
      <c r="H147" s="999"/>
      <c r="I147" s="1001"/>
      <c r="J147" s="999"/>
      <c r="K147" s="1001"/>
      <c r="L147" s="999"/>
      <c r="M147" s="1001"/>
      <c r="N147" s="999"/>
      <c r="O147" s="1001"/>
      <c r="P147" s="999"/>
      <c r="Q147" s="1001"/>
      <c r="R147" s="999"/>
      <c r="S147" s="978" t="e">
        <f t="shared" si="78"/>
        <v>#REF!</v>
      </c>
      <c r="T147" s="977">
        <v>1</v>
      </c>
      <c r="U147" s="978"/>
      <c r="V147" s="999"/>
      <c r="W147" s="978"/>
      <c r="X147" s="999"/>
      <c r="Y147" s="961" t="e">
        <f t="shared" si="79"/>
        <v>#REF!</v>
      </c>
      <c r="Z147" s="947">
        <f t="shared" si="80"/>
        <v>1</v>
      </c>
      <c r="AA147" s="1806"/>
      <c r="AB147" s="1806"/>
      <c r="AC147" s="1806"/>
      <c r="AD147" s="1806"/>
      <c r="AE147" s="1806"/>
      <c r="AF147" s="1806"/>
      <c r="AG147" s="1806"/>
      <c r="AH147" s="1806"/>
      <c r="AI147" s="1806"/>
      <c r="AJ147" s="1806"/>
      <c r="AK147" s="1806"/>
      <c r="AL147" s="1806"/>
      <c r="AM147" s="1806"/>
      <c r="AN147" s="1806"/>
      <c r="AO147" s="1806"/>
      <c r="AP147" s="1806"/>
      <c r="AQ147" s="1806"/>
      <c r="AR147" s="1806"/>
      <c r="AS147" s="1806"/>
      <c r="AT147" s="1807"/>
      <c r="AU147" s="110"/>
    </row>
    <row r="148" spans="1:47" ht="12.75">
      <c r="A148" s="1827" t="s">
        <v>13549</v>
      </c>
      <c r="B148" s="973" t="str">
        <f>VLOOKUP($A148,'Medição '!$A:$G,4,0)</f>
        <v>REVESTIMENTO DE PAREDES, PISOS</v>
      </c>
      <c r="C148" s="974" t="e">
        <f>VLOOKUP($A148,'Medição '!$A:$G,10,0)</f>
        <v>#REF!</v>
      </c>
      <c r="D148" s="995"/>
      <c r="E148" s="1000"/>
      <c r="F148" s="999"/>
      <c r="G148" s="1001"/>
      <c r="H148" s="999"/>
      <c r="I148" s="1001"/>
      <c r="J148" s="999"/>
      <c r="K148" s="1001"/>
      <c r="L148" s="999"/>
      <c r="M148" s="1001"/>
      <c r="N148" s="999"/>
      <c r="O148" s="1001"/>
      <c r="P148" s="999"/>
      <c r="Q148" s="1001"/>
      <c r="R148" s="999"/>
      <c r="S148" s="978" t="e">
        <f t="shared" si="78"/>
        <v>#REF!</v>
      </c>
      <c r="T148" s="977">
        <v>1</v>
      </c>
      <c r="U148" s="978"/>
      <c r="V148" s="999"/>
      <c r="W148" s="978"/>
      <c r="X148" s="999"/>
      <c r="Y148" s="961" t="e">
        <f t="shared" si="79"/>
        <v>#REF!</v>
      </c>
      <c r="Z148" s="947">
        <f t="shared" si="80"/>
        <v>1</v>
      </c>
      <c r="AA148" s="1806"/>
      <c r="AB148" s="1806"/>
      <c r="AC148" s="1806"/>
      <c r="AD148" s="1806"/>
      <c r="AE148" s="1806"/>
      <c r="AF148" s="1806"/>
      <c r="AG148" s="1806"/>
      <c r="AH148" s="1806"/>
      <c r="AI148" s="1806"/>
      <c r="AJ148" s="1806"/>
      <c r="AK148" s="1806"/>
      <c r="AL148" s="1806"/>
      <c r="AM148" s="1806"/>
      <c r="AN148" s="1806"/>
      <c r="AO148" s="1806"/>
      <c r="AP148" s="1806"/>
      <c r="AQ148" s="1806"/>
      <c r="AR148" s="1806"/>
      <c r="AS148" s="1806"/>
      <c r="AT148" s="1807"/>
      <c r="AU148" s="110"/>
    </row>
    <row r="149" spans="1:47" ht="12.75">
      <c r="A149" s="1827" t="s">
        <v>13553</v>
      </c>
      <c r="B149" s="973" t="str">
        <f>VLOOKUP($A149,'Medição '!$A:$G,4,0)</f>
        <v>PINTURAS E TEXTURAS</v>
      </c>
      <c r="C149" s="974" t="e">
        <f>VLOOKUP($A149,'Medição '!$A:$G,10,0)</f>
        <v>#REF!</v>
      </c>
      <c r="D149" s="995"/>
      <c r="E149" s="1000"/>
      <c r="F149" s="999"/>
      <c r="G149" s="1001"/>
      <c r="H149" s="999"/>
      <c r="I149" s="1001"/>
      <c r="J149" s="999"/>
      <c r="K149" s="1001"/>
      <c r="L149" s="999"/>
      <c r="M149" s="1001"/>
      <c r="N149" s="999"/>
      <c r="O149" s="1001"/>
      <c r="P149" s="999"/>
      <c r="Q149" s="1001"/>
      <c r="R149" s="999"/>
      <c r="S149" s="978" t="e">
        <f t="shared" si="78"/>
        <v>#REF!</v>
      </c>
      <c r="T149" s="977">
        <v>1</v>
      </c>
      <c r="U149" s="978"/>
      <c r="V149" s="999"/>
      <c r="W149" s="978"/>
      <c r="X149" s="999"/>
      <c r="Y149" s="961" t="e">
        <f t="shared" si="79"/>
        <v>#REF!</v>
      </c>
      <c r="Z149" s="947">
        <f t="shared" si="80"/>
        <v>1</v>
      </c>
      <c r="AA149" s="1806"/>
      <c r="AB149" s="1806"/>
      <c r="AC149" s="1806"/>
      <c r="AD149" s="1806"/>
      <c r="AE149" s="1806"/>
      <c r="AF149" s="1806"/>
      <c r="AG149" s="1806"/>
      <c r="AH149" s="1806"/>
      <c r="AI149" s="1806"/>
      <c r="AJ149" s="1806"/>
      <c r="AK149" s="1806"/>
      <c r="AL149" s="1806"/>
      <c r="AM149" s="1806"/>
      <c r="AN149" s="1806"/>
      <c r="AO149" s="1806"/>
      <c r="AP149" s="1806"/>
      <c r="AQ149" s="1806"/>
      <c r="AR149" s="1806"/>
      <c r="AS149" s="1806"/>
      <c r="AT149" s="1807"/>
      <c r="AU149" s="110"/>
    </row>
    <row r="150" spans="1:47" ht="12.75">
      <c r="A150" s="1827" t="s">
        <v>13561</v>
      </c>
      <c r="B150" s="973" t="str">
        <f>VLOOKUP($A150,'Medição '!$A:$G,4,0)</f>
        <v>ESQUADRIAS E FECHAMENTOS</v>
      </c>
      <c r="C150" s="974" t="e">
        <f>VLOOKUP($A150,'Medição '!$A:$G,10,0)</f>
        <v>#REF!</v>
      </c>
      <c r="D150" s="995"/>
      <c r="E150" s="1000"/>
      <c r="F150" s="999"/>
      <c r="G150" s="1001"/>
      <c r="H150" s="999"/>
      <c r="I150" s="1001"/>
      <c r="J150" s="999"/>
      <c r="K150" s="1001"/>
      <c r="L150" s="999"/>
      <c r="M150" s="1001"/>
      <c r="N150" s="999"/>
      <c r="O150" s="1001"/>
      <c r="P150" s="999"/>
      <c r="Q150" s="1001"/>
      <c r="R150" s="999"/>
      <c r="S150" s="978" t="e">
        <f t="shared" si="78"/>
        <v>#REF!</v>
      </c>
      <c r="T150" s="977">
        <v>1</v>
      </c>
      <c r="U150" s="978"/>
      <c r="V150" s="999"/>
      <c r="W150" s="978"/>
      <c r="X150" s="999"/>
      <c r="Y150" s="961" t="e">
        <f t="shared" si="79"/>
        <v>#REF!</v>
      </c>
      <c r="Z150" s="947">
        <f t="shared" si="80"/>
        <v>1</v>
      </c>
      <c r="AA150" s="1806"/>
      <c r="AB150" s="1806"/>
      <c r="AC150" s="1806"/>
      <c r="AD150" s="1806"/>
      <c r="AE150" s="1806"/>
      <c r="AF150" s="1806"/>
      <c r="AG150" s="1806"/>
      <c r="AH150" s="1806"/>
      <c r="AI150" s="1806"/>
      <c r="AJ150" s="1806"/>
      <c r="AK150" s="1806"/>
      <c r="AL150" s="1806"/>
      <c r="AM150" s="1806"/>
      <c r="AN150" s="1806"/>
      <c r="AO150" s="1806"/>
      <c r="AP150" s="1806"/>
      <c r="AQ150" s="1806"/>
      <c r="AR150" s="1806"/>
      <c r="AS150" s="1806"/>
      <c r="AT150" s="1807"/>
      <c r="AU150" s="110"/>
    </row>
    <row r="151" spans="1:47" ht="12.75">
      <c r="A151" s="1827" t="s">
        <v>13566</v>
      </c>
      <c r="B151" s="973" t="str">
        <f>VLOOKUP($A151,'Medição '!$A:$G,4,0)</f>
        <v>FORROS E COBERTURA</v>
      </c>
      <c r="C151" s="974" t="e">
        <f>VLOOKUP($A151,'Medição '!$A:$G,10,0)</f>
        <v>#REF!</v>
      </c>
      <c r="D151" s="995"/>
      <c r="E151" s="1000"/>
      <c r="F151" s="999"/>
      <c r="G151" s="1001"/>
      <c r="H151" s="999"/>
      <c r="I151" s="1001"/>
      <c r="J151" s="999"/>
      <c r="K151" s="1001"/>
      <c r="L151" s="999"/>
      <c r="M151" s="1001"/>
      <c r="N151" s="999"/>
      <c r="O151" s="1001"/>
      <c r="P151" s="999"/>
      <c r="Q151" s="1001"/>
      <c r="R151" s="999"/>
      <c r="S151" s="978" t="e">
        <f t="shared" si="78"/>
        <v>#REF!</v>
      </c>
      <c r="T151" s="977">
        <v>1</v>
      </c>
      <c r="U151" s="978"/>
      <c r="V151" s="999"/>
      <c r="W151" s="978"/>
      <c r="X151" s="999"/>
      <c r="Y151" s="961" t="e">
        <f t="shared" si="79"/>
        <v>#REF!</v>
      </c>
      <c r="Z151" s="947">
        <f t="shared" si="80"/>
        <v>1</v>
      </c>
      <c r="AA151" s="1806"/>
      <c r="AB151" s="1806"/>
      <c r="AC151" s="1806"/>
      <c r="AD151" s="1806"/>
      <c r="AE151" s="1806"/>
      <c r="AF151" s="1806"/>
      <c r="AG151" s="1806"/>
      <c r="AH151" s="1806"/>
      <c r="AI151" s="1806"/>
      <c r="AJ151" s="1806"/>
      <c r="AK151" s="1806"/>
      <c r="AL151" s="1806"/>
      <c r="AM151" s="1806"/>
      <c r="AN151" s="1806"/>
      <c r="AO151" s="1806"/>
      <c r="AP151" s="1806"/>
      <c r="AQ151" s="1806"/>
      <c r="AR151" s="1806"/>
      <c r="AS151" s="1806"/>
      <c r="AT151" s="1807"/>
      <c r="AU151" s="110"/>
    </row>
    <row r="152" spans="1:47" ht="12.75">
      <c r="A152" s="1827" t="s">
        <v>13572</v>
      </c>
      <c r="B152" s="973" t="str">
        <f>VLOOKUP($A152,'Medição '!$A:$G,4,0)</f>
        <v>VIDRAÇARIA / SERRALHERIA / MARMORARIA</v>
      </c>
      <c r="C152" s="974" t="e">
        <f>VLOOKUP($A152,'Medição '!$A:$G,10,0)</f>
        <v>#REF!</v>
      </c>
      <c r="D152" s="995"/>
      <c r="E152" s="1000"/>
      <c r="F152" s="999"/>
      <c r="G152" s="1001"/>
      <c r="H152" s="999"/>
      <c r="I152" s="1001"/>
      <c r="J152" s="999"/>
      <c r="K152" s="1001"/>
      <c r="L152" s="999"/>
      <c r="M152" s="1001"/>
      <c r="N152" s="999"/>
      <c r="O152" s="1001"/>
      <c r="P152" s="999"/>
      <c r="Q152" s="1001"/>
      <c r="R152" s="999"/>
      <c r="S152" s="978"/>
      <c r="T152" s="977"/>
      <c r="U152" s="978" t="e">
        <f>V152*C152</f>
        <v>#REF!</v>
      </c>
      <c r="V152" s="977">
        <v>1</v>
      </c>
      <c r="W152" s="978"/>
      <c r="X152" s="977"/>
      <c r="Y152" s="961" t="e">
        <f t="shared" si="79"/>
        <v>#REF!</v>
      </c>
      <c r="Z152" s="947">
        <f t="shared" si="80"/>
        <v>1</v>
      </c>
      <c r="AA152" s="1806"/>
      <c r="AB152" s="1806"/>
      <c r="AC152" s="1806"/>
      <c r="AD152" s="1806"/>
      <c r="AE152" s="1806"/>
      <c r="AF152" s="1806"/>
      <c r="AG152" s="1806"/>
      <c r="AH152" s="1806"/>
      <c r="AI152" s="1806"/>
      <c r="AJ152" s="1806"/>
      <c r="AK152" s="1806"/>
      <c r="AL152" s="1806"/>
      <c r="AM152" s="1806"/>
      <c r="AN152" s="1806"/>
      <c r="AO152" s="1806"/>
      <c r="AP152" s="1806"/>
      <c r="AQ152" s="1806"/>
      <c r="AR152" s="1806"/>
      <c r="AS152" s="1806"/>
      <c r="AT152" s="1807"/>
      <c r="AU152" s="110"/>
    </row>
    <row r="153" spans="1:47" ht="12.75">
      <c r="A153" s="1827" t="s">
        <v>13578</v>
      </c>
      <c r="B153" s="973" t="str">
        <f>VLOOKUP($A153,'Medição '!$A:$G,4,0)</f>
        <v>LOUÇAS, METAIS E ACESSÓRIOS</v>
      </c>
      <c r="C153" s="974" t="e">
        <f>VLOOKUP($A153,'Medição '!$A:$G,10,0)</f>
        <v>#REF!</v>
      </c>
      <c r="D153" s="995"/>
      <c r="E153" s="1000"/>
      <c r="F153" s="999"/>
      <c r="G153" s="1001"/>
      <c r="H153" s="999"/>
      <c r="I153" s="1001"/>
      <c r="J153" s="999"/>
      <c r="K153" s="1001"/>
      <c r="L153" s="999"/>
      <c r="M153" s="1001"/>
      <c r="N153" s="999"/>
      <c r="O153" s="1001"/>
      <c r="P153" s="999"/>
      <c r="Q153" s="1001"/>
      <c r="R153" s="999"/>
      <c r="S153" s="978"/>
      <c r="T153" s="977"/>
      <c r="U153" s="978" t="e">
        <f>V153*C153</f>
        <v>#REF!</v>
      </c>
      <c r="V153" s="977">
        <v>1</v>
      </c>
      <c r="W153" s="978"/>
      <c r="X153" s="977"/>
      <c r="Y153" s="961" t="e">
        <f t="shared" si="79"/>
        <v>#REF!</v>
      </c>
      <c r="Z153" s="947">
        <f t="shared" si="80"/>
        <v>1</v>
      </c>
      <c r="AA153" s="1806"/>
      <c r="AB153" s="1806"/>
      <c r="AC153" s="1806"/>
      <c r="AD153" s="1806"/>
      <c r="AE153" s="1806"/>
      <c r="AF153" s="1806"/>
      <c r="AG153" s="1806"/>
      <c r="AH153" s="1806"/>
      <c r="AI153" s="1806"/>
      <c r="AJ153" s="1806"/>
      <c r="AK153" s="1806"/>
      <c r="AL153" s="1806"/>
      <c r="AM153" s="1806"/>
      <c r="AN153" s="1806"/>
      <c r="AO153" s="1806"/>
      <c r="AP153" s="1806"/>
      <c r="AQ153" s="1806"/>
      <c r="AR153" s="1806"/>
      <c r="AS153" s="1806"/>
      <c r="AT153" s="1807"/>
      <c r="AU153" s="110"/>
    </row>
    <row r="154" spans="1:47" ht="12.75">
      <c r="A154" s="1827" t="s">
        <v>13595</v>
      </c>
      <c r="B154" s="973" t="str">
        <f>VLOOKUP($A154,'Medição '!$A:$G,4,0)</f>
        <v>PAVIMENTAÇÕES, URBANIZAÇÃO E PAISAGISMO</v>
      </c>
      <c r="C154" s="974" t="e">
        <f>VLOOKUP($A154,'Medição '!$A:$G,10,0)</f>
        <v>#REF!</v>
      </c>
      <c r="D154" s="995"/>
      <c r="E154" s="1000"/>
      <c r="F154" s="999"/>
      <c r="G154" s="1001"/>
      <c r="H154" s="999"/>
      <c r="I154" s="1001"/>
      <c r="J154" s="999"/>
      <c r="K154" s="1001"/>
      <c r="L154" s="999"/>
      <c r="M154" s="1001"/>
      <c r="N154" s="999"/>
      <c r="O154" s="1001"/>
      <c r="P154" s="999"/>
      <c r="Q154" s="1001"/>
      <c r="R154" s="999"/>
      <c r="S154" s="978" t="e">
        <f>T154*C154</f>
        <v>#REF!</v>
      </c>
      <c r="T154" s="977">
        <v>1</v>
      </c>
      <c r="U154" s="978"/>
      <c r="V154" s="999"/>
      <c r="W154" s="978"/>
      <c r="X154" s="999"/>
      <c r="Y154" s="961" t="e">
        <f t="shared" si="79"/>
        <v>#REF!</v>
      </c>
      <c r="Z154" s="947">
        <f t="shared" si="80"/>
        <v>1</v>
      </c>
      <c r="AA154" s="1806"/>
      <c r="AB154" s="1806"/>
      <c r="AC154" s="1806"/>
      <c r="AD154" s="1806"/>
      <c r="AE154" s="1806"/>
      <c r="AF154" s="1806"/>
      <c r="AG154" s="1806"/>
      <c r="AH154" s="1806"/>
      <c r="AI154" s="1806"/>
      <c r="AJ154" s="1806"/>
      <c r="AK154" s="1806"/>
      <c r="AL154" s="1806"/>
      <c r="AM154" s="1806"/>
      <c r="AN154" s="1806"/>
      <c r="AO154" s="1806"/>
      <c r="AP154" s="1806"/>
      <c r="AQ154" s="1806"/>
      <c r="AR154" s="1806"/>
      <c r="AS154" s="1806"/>
      <c r="AT154" s="1807"/>
      <c r="AU154" s="110"/>
    </row>
    <row r="155" spans="1:47">
      <c r="A155" s="1820" t="s">
        <v>12637</v>
      </c>
      <c r="B155" s="979" t="s">
        <v>16310</v>
      </c>
      <c r="C155" s="980" t="e">
        <f>VLOOKUP($A155,'Medição '!$A:$G,10,0)</f>
        <v>#REF!</v>
      </c>
      <c r="D155" s="981"/>
      <c r="E155" s="982"/>
      <c r="F155" s="969"/>
      <c r="G155" s="968"/>
      <c r="H155" s="969"/>
      <c r="I155" s="968"/>
      <c r="J155" s="969"/>
      <c r="K155" s="968"/>
      <c r="L155" s="969"/>
      <c r="M155" s="968"/>
      <c r="N155" s="969"/>
      <c r="O155" s="968"/>
      <c r="P155" s="969"/>
      <c r="Q155" s="968"/>
      <c r="R155" s="969"/>
      <c r="S155" s="968" t="e">
        <f>T155*C155</f>
        <v>#REF!</v>
      </c>
      <c r="T155" s="969">
        <v>1</v>
      </c>
      <c r="U155" s="968"/>
      <c r="V155" s="969"/>
      <c r="W155" s="968"/>
      <c r="X155" s="969"/>
      <c r="Y155" s="971" t="e">
        <f t="shared" ref="Y155:Z159" si="81">SUM(E155,G155,I155,K155,M155,O155,Q155,S155,U155,W155)</f>
        <v>#REF!</v>
      </c>
      <c r="Z155" s="947">
        <f t="shared" si="81"/>
        <v>1</v>
      </c>
      <c r="AA155" s="1806"/>
      <c r="AB155" s="1806"/>
      <c r="AC155" s="1806"/>
      <c r="AD155" s="1806"/>
      <c r="AE155" s="1806"/>
      <c r="AF155" s="1806"/>
      <c r="AG155" s="1806"/>
      <c r="AH155" s="1806"/>
      <c r="AI155" s="1806"/>
      <c r="AJ155" s="1806"/>
      <c r="AK155" s="1806"/>
      <c r="AL155" s="1806"/>
      <c r="AM155" s="1806"/>
      <c r="AN155" s="1806"/>
      <c r="AO155" s="1806"/>
      <c r="AP155" s="1806"/>
      <c r="AQ155" s="1806"/>
      <c r="AR155" s="1806"/>
      <c r="AS155" s="1806"/>
      <c r="AT155" s="1807"/>
      <c r="AU155" s="110"/>
    </row>
    <row r="156" spans="1:47">
      <c r="A156" s="1820" t="s">
        <v>12638</v>
      </c>
      <c r="B156" s="979" t="s">
        <v>16332</v>
      </c>
      <c r="C156" s="980" t="e">
        <f>VLOOKUP($A156,'Medição '!$A:$G,10,0)</f>
        <v>#REF!</v>
      </c>
      <c r="D156" s="981"/>
      <c r="E156" s="982"/>
      <c r="F156" s="969"/>
      <c r="G156" s="968"/>
      <c r="H156" s="969"/>
      <c r="I156" s="968"/>
      <c r="J156" s="969"/>
      <c r="K156" s="968"/>
      <c r="L156" s="969"/>
      <c r="M156" s="968"/>
      <c r="N156" s="969"/>
      <c r="O156" s="968"/>
      <c r="P156" s="969"/>
      <c r="Q156" s="968"/>
      <c r="R156" s="969"/>
      <c r="S156" s="968" t="e">
        <f>T156*C156</f>
        <v>#REF!</v>
      </c>
      <c r="T156" s="969">
        <v>1</v>
      </c>
      <c r="U156" s="968"/>
      <c r="V156" s="969"/>
      <c r="W156" s="968"/>
      <c r="X156" s="969"/>
      <c r="Y156" s="971" t="e">
        <f t="shared" si="81"/>
        <v>#REF!</v>
      </c>
      <c r="Z156" s="947">
        <f t="shared" si="81"/>
        <v>1</v>
      </c>
      <c r="AA156" s="1806"/>
      <c r="AB156" s="1806"/>
      <c r="AC156" s="1806"/>
      <c r="AD156" s="1806"/>
      <c r="AE156" s="1806"/>
      <c r="AF156" s="1806"/>
      <c r="AG156" s="1806"/>
      <c r="AH156" s="1806"/>
      <c r="AI156" s="1806"/>
      <c r="AJ156" s="1806"/>
      <c r="AK156" s="1806"/>
      <c r="AL156" s="1806"/>
      <c r="AM156" s="1806"/>
      <c r="AN156" s="1806"/>
      <c r="AO156" s="1806"/>
      <c r="AP156" s="1806"/>
      <c r="AQ156" s="1806"/>
      <c r="AR156" s="1806"/>
      <c r="AS156" s="1806"/>
      <c r="AT156" s="1807"/>
      <c r="AU156" s="110"/>
    </row>
    <row r="157" spans="1:47">
      <c r="A157" s="1820" t="s">
        <v>12639</v>
      </c>
      <c r="B157" s="979" t="s">
        <v>16345</v>
      </c>
      <c r="C157" s="980" t="e">
        <f>VLOOKUP($A157,'Medição '!$A:$G,10,0)</f>
        <v>#REF!</v>
      </c>
      <c r="D157" s="981"/>
      <c r="E157" s="982"/>
      <c r="F157" s="969"/>
      <c r="G157" s="968"/>
      <c r="H157" s="969"/>
      <c r="I157" s="968"/>
      <c r="J157" s="969"/>
      <c r="K157" s="968"/>
      <c r="L157" s="969"/>
      <c r="M157" s="968"/>
      <c r="N157" s="969"/>
      <c r="O157" s="968"/>
      <c r="P157" s="969"/>
      <c r="Q157" s="968"/>
      <c r="R157" s="969"/>
      <c r="S157" s="968"/>
      <c r="T157" s="969"/>
      <c r="U157" s="968" t="e">
        <f>V157*C157</f>
        <v>#REF!</v>
      </c>
      <c r="V157" s="969">
        <v>1</v>
      </c>
      <c r="W157" s="968"/>
      <c r="X157" s="969"/>
      <c r="Y157" s="971" t="e">
        <f t="shared" si="81"/>
        <v>#REF!</v>
      </c>
      <c r="Z157" s="947">
        <f t="shared" si="81"/>
        <v>1</v>
      </c>
      <c r="AA157" s="1806"/>
      <c r="AB157" s="1806"/>
      <c r="AC157" s="1806"/>
      <c r="AD157" s="1806"/>
      <c r="AE157" s="1806"/>
      <c r="AF157" s="1806"/>
      <c r="AG157" s="1806"/>
      <c r="AH157" s="1806"/>
      <c r="AI157" s="1806"/>
      <c r="AJ157" s="1806"/>
      <c r="AK157" s="1806"/>
      <c r="AL157" s="1806"/>
      <c r="AM157" s="1806"/>
      <c r="AN157" s="1806"/>
      <c r="AO157" s="1806"/>
      <c r="AP157" s="1806"/>
      <c r="AQ157" s="1806"/>
      <c r="AR157" s="1806"/>
      <c r="AS157" s="1806"/>
      <c r="AT157" s="1807"/>
      <c r="AU157" s="110"/>
    </row>
    <row r="158" spans="1:47" ht="19.5">
      <c r="A158" s="1813"/>
      <c r="B158" s="942" t="str">
        <f>'Medição '!A1056</f>
        <v>→ (E) - BANHEIRO DE APOIO ESPAÇO SHOW</v>
      </c>
      <c r="C158" s="943" t="e">
        <f>SUM(C159,C170,C180,C184,C191)</f>
        <v>#REF!</v>
      </c>
      <c r="D158" s="944" t="e">
        <f>C158/$C$234</f>
        <v>#REF!</v>
      </c>
      <c r="E158" s="945"/>
      <c r="F158" s="946"/>
      <c r="G158" s="945"/>
      <c r="H158" s="946"/>
      <c r="I158" s="945" t="e">
        <f>SUM(I159,I170,I180,I184,I191)</f>
        <v>#REF!</v>
      </c>
      <c r="J158" s="946" t="e">
        <f>I158/$C$158</f>
        <v>#REF!</v>
      </c>
      <c r="K158" s="945" t="e">
        <f>SUM(K159,K170,K180,K184,K191)</f>
        <v>#REF!</v>
      </c>
      <c r="L158" s="946" t="e">
        <f>K158/$C$158</f>
        <v>#REF!</v>
      </c>
      <c r="M158" s="945" t="e">
        <f>SUM(M159,M170,M180,M184,M191)</f>
        <v>#REF!</v>
      </c>
      <c r="N158" s="946" t="e">
        <f>M158/$C$158</f>
        <v>#REF!</v>
      </c>
      <c r="O158" s="945" t="e">
        <f>SUM(O159,O170,O180,O184,O191)</f>
        <v>#REF!</v>
      </c>
      <c r="P158" s="946" t="e">
        <f>O158/$C$158</f>
        <v>#REF!</v>
      </c>
      <c r="Q158" s="945" t="e">
        <f>SUM(Q159,Q170,Q180,Q184,Q191)</f>
        <v>#REF!</v>
      </c>
      <c r="R158" s="946" t="e">
        <f>Q158/$C$158</f>
        <v>#REF!</v>
      </c>
      <c r="S158" s="945" t="e">
        <f>SUM(S159,S170,S180,S184,S191)</f>
        <v>#REF!</v>
      </c>
      <c r="T158" s="946" t="e">
        <f>S158/$C$158</f>
        <v>#REF!</v>
      </c>
      <c r="U158" s="945"/>
      <c r="V158" s="946"/>
      <c r="W158" s="943"/>
      <c r="X158" s="946"/>
      <c r="Y158" s="943" t="e">
        <f t="shared" si="81"/>
        <v>#REF!</v>
      </c>
      <c r="Z158" s="947" t="e">
        <f t="shared" si="81"/>
        <v>#REF!</v>
      </c>
      <c r="AA158" s="1814"/>
      <c r="AB158" s="1814"/>
      <c r="AC158" s="1814"/>
      <c r="AD158" s="1814"/>
      <c r="AE158" s="1814"/>
      <c r="AF158" s="1814"/>
      <c r="AG158" s="1814"/>
      <c r="AH158" s="1814"/>
      <c r="AI158" s="1814"/>
      <c r="AJ158" s="1814"/>
      <c r="AK158" s="1814"/>
      <c r="AL158" s="1814"/>
      <c r="AM158" s="1814"/>
      <c r="AN158" s="1814"/>
      <c r="AO158" s="1814"/>
      <c r="AP158" s="1814"/>
      <c r="AQ158" s="1814"/>
      <c r="AR158" s="1814"/>
      <c r="AS158" s="1814"/>
      <c r="AT158" s="1815"/>
      <c r="AU158" s="948"/>
    </row>
    <row r="159" spans="1:47">
      <c r="A159" s="1820" t="s">
        <v>12642</v>
      </c>
      <c r="B159" s="979" t="s">
        <v>16198</v>
      </c>
      <c r="C159" s="980" t="e">
        <f>SUBTOTAL(9,C160:C169)</f>
        <v>#REF!</v>
      </c>
      <c r="D159" s="981"/>
      <c r="E159" s="982"/>
      <c r="F159" s="969"/>
      <c r="G159" s="982"/>
      <c r="H159" s="969"/>
      <c r="I159" s="968" t="e">
        <f>SUM(I160:I169)</f>
        <v>#REF!</v>
      </c>
      <c r="J159" s="969" t="e">
        <f>I159/C159</f>
        <v>#REF!</v>
      </c>
      <c r="K159" s="968" t="e">
        <f>SUM(K160:K169)</f>
        <v>#REF!</v>
      </c>
      <c r="L159" s="969" t="e">
        <f>K159/C159</f>
        <v>#REF!</v>
      </c>
      <c r="M159" s="968"/>
      <c r="N159" s="969"/>
      <c r="O159" s="968"/>
      <c r="P159" s="969"/>
      <c r="Q159" s="968"/>
      <c r="R159" s="969"/>
      <c r="S159" s="968"/>
      <c r="T159" s="969"/>
      <c r="U159" s="970"/>
      <c r="V159" s="969"/>
      <c r="W159" s="970"/>
      <c r="X159" s="969"/>
      <c r="Y159" s="971" t="e">
        <f t="shared" si="81"/>
        <v>#REF!</v>
      </c>
      <c r="Z159" s="947" t="e">
        <f t="shared" si="81"/>
        <v>#REF!</v>
      </c>
      <c r="AA159" s="1814"/>
      <c r="AB159" s="1814"/>
      <c r="AC159" s="1814"/>
      <c r="AD159" s="1814"/>
      <c r="AE159" s="1814"/>
      <c r="AF159" s="1814"/>
      <c r="AG159" s="1814"/>
      <c r="AH159" s="1814"/>
      <c r="AI159" s="1814"/>
      <c r="AJ159" s="1814"/>
      <c r="AK159" s="1814"/>
      <c r="AL159" s="1814"/>
      <c r="AM159" s="1814"/>
      <c r="AN159" s="1814"/>
      <c r="AO159" s="1814"/>
      <c r="AP159" s="1814"/>
      <c r="AQ159" s="1814"/>
      <c r="AR159" s="1814"/>
      <c r="AS159" s="1814"/>
      <c r="AT159" s="1815"/>
      <c r="AU159" s="948"/>
    </row>
    <row r="160" spans="1:47" ht="12.75">
      <c r="A160" s="1827" t="s">
        <v>13705</v>
      </c>
      <c r="B160" s="973" t="str">
        <f>VLOOKUP($A160,'Medição '!$A:$G,4,0)</f>
        <v>FUNDAÇÃO E ARRANQUES - SAPATAS - ESTRUTURA DA COBERTURA</v>
      </c>
      <c r="C160" s="974" t="e">
        <f>VLOOKUP($A160,'Medição '!$A:$G,10,0)</f>
        <v>#REF!</v>
      </c>
      <c r="D160" s="990"/>
      <c r="E160" s="991"/>
      <c r="F160" s="992"/>
      <c r="G160" s="958"/>
      <c r="H160" s="959"/>
      <c r="I160" s="986" t="e">
        <f>J160*C160</f>
        <v>#REF!</v>
      </c>
      <c r="J160" s="977">
        <v>1</v>
      </c>
      <c r="K160" s="986"/>
      <c r="L160" s="987"/>
      <c r="M160" s="986"/>
      <c r="N160" s="987"/>
      <c r="O160" s="986"/>
      <c r="P160" s="987"/>
      <c r="Q160" s="986"/>
      <c r="R160" s="985"/>
      <c r="S160" s="986"/>
      <c r="T160" s="985"/>
      <c r="U160" s="993"/>
      <c r="V160" s="992"/>
      <c r="W160" s="1002"/>
      <c r="X160" s="1003"/>
      <c r="Y160" s="961" t="e">
        <f t="shared" ref="Y160:Y169" si="82">SUM(E160,G160,I160,K160,M160,O160,Q160,S160,U160,W160,)</f>
        <v>#REF!</v>
      </c>
      <c r="Z160" s="947">
        <f t="shared" ref="Z160:Z169" si="83">SUM(F160,H160,J160,L160,N160,P160,R160,T160,V160,X160,)</f>
        <v>1</v>
      </c>
      <c r="AA160" s="1814"/>
      <c r="AB160" s="1814"/>
      <c r="AC160" s="1814"/>
      <c r="AD160" s="1814"/>
      <c r="AE160" s="1814"/>
      <c r="AF160" s="1814"/>
      <c r="AG160" s="1814"/>
      <c r="AH160" s="1814"/>
      <c r="AI160" s="1814"/>
      <c r="AJ160" s="1814"/>
      <c r="AK160" s="1814"/>
      <c r="AL160" s="1814"/>
      <c r="AM160" s="1814"/>
      <c r="AN160" s="1814"/>
      <c r="AO160" s="1814"/>
      <c r="AP160" s="1814"/>
      <c r="AQ160" s="1814"/>
      <c r="AR160" s="1814"/>
      <c r="AS160" s="1814"/>
      <c r="AT160" s="1815"/>
      <c r="AU160" s="948"/>
    </row>
    <row r="161" spans="1:47" ht="12.75">
      <c r="A161" s="1827" t="s">
        <v>13715</v>
      </c>
      <c r="B161" s="973" t="str">
        <f>VLOOKUP($A161,'Medição '!$A:$G,4,0)</f>
        <v>FUNDAÇÃO E ARRANQUES - ARRANQUES DE PILARES</v>
      </c>
      <c r="C161" s="974" t="e">
        <f>VLOOKUP($A161,'Medição '!$A:$G,10,0)</f>
        <v>#REF!</v>
      </c>
      <c r="D161" s="990"/>
      <c r="E161" s="984"/>
      <c r="F161" s="985"/>
      <c r="G161" s="986"/>
      <c r="H161" s="985"/>
      <c r="I161" s="986" t="e">
        <f>J161*C161</f>
        <v>#REF!</v>
      </c>
      <c r="J161" s="977">
        <v>1</v>
      </c>
      <c r="K161" s="986"/>
      <c r="L161" s="985"/>
      <c r="M161" s="986"/>
      <c r="N161" s="985"/>
      <c r="O161" s="986"/>
      <c r="P161" s="985"/>
      <c r="Q161" s="986"/>
      <c r="R161" s="985"/>
      <c r="S161" s="986"/>
      <c r="T161" s="985"/>
      <c r="U161" s="987"/>
      <c r="V161" s="985"/>
      <c r="W161" s="1004"/>
      <c r="X161" s="1005"/>
      <c r="Y161" s="961" t="e">
        <f t="shared" si="82"/>
        <v>#REF!</v>
      </c>
      <c r="Z161" s="947">
        <f t="shared" si="83"/>
        <v>1</v>
      </c>
      <c r="AA161" s="1814"/>
      <c r="AB161" s="1814"/>
      <c r="AC161" s="1814"/>
      <c r="AD161" s="1814"/>
      <c r="AE161" s="1814"/>
      <c r="AF161" s="1814"/>
      <c r="AG161" s="1814"/>
      <c r="AH161" s="1814"/>
      <c r="AI161" s="1814"/>
      <c r="AJ161" s="1814"/>
      <c r="AK161" s="1814"/>
      <c r="AL161" s="1814"/>
      <c r="AM161" s="1814"/>
      <c r="AN161" s="1814"/>
      <c r="AO161" s="1814"/>
      <c r="AP161" s="1814"/>
      <c r="AQ161" s="1814"/>
      <c r="AR161" s="1814"/>
      <c r="AS161" s="1814"/>
      <c r="AT161" s="1815"/>
      <c r="AU161" s="948"/>
    </row>
    <row r="162" spans="1:47" ht="12.75">
      <c r="A162" s="1827" t="s">
        <v>13721</v>
      </c>
      <c r="B162" s="973" t="str">
        <f>VLOOKUP($A162,'Medição '!$A:$G,4,0)</f>
        <v>FUNDAÇÃO - VIGAS BALDRAMES</v>
      </c>
      <c r="C162" s="974" t="e">
        <f>VLOOKUP($A162,'Medição '!$A:$G,10,0)</f>
        <v>#REF!</v>
      </c>
      <c r="D162" s="995"/>
      <c r="E162" s="996"/>
      <c r="F162" s="977"/>
      <c r="G162" s="976"/>
      <c r="H162" s="977"/>
      <c r="I162" s="986" t="e">
        <f>J162*C162</f>
        <v>#REF!</v>
      </c>
      <c r="J162" s="977">
        <v>1</v>
      </c>
      <c r="K162" s="976"/>
      <c r="L162" s="977"/>
      <c r="M162" s="976"/>
      <c r="N162" s="977"/>
      <c r="O162" s="976"/>
      <c r="P162" s="977"/>
      <c r="Q162" s="976"/>
      <c r="R162" s="977"/>
      <c r="S162" s="976"/>
      <c r="T162" s="977"/>
      <c r="U162" s="978"/>
      <c r="V162" s="977"/>
      <c r="W162" s="998"/>
      <c r="X162" s="999"/>
      <c r="Y162" s="961" t="e">
        <f t="shared" si="82"/>
        <v>#REF!</v>
      </c>
      <c r="Z162" s="947">
        <f t="shared" si="83"/>
        <v>1</v>
      </c>
      <c r="AA162" s="1814"/>
      <c r="AB162" s="1814"/>
      <c r="AC162" s="1814"/>
      <c r="AD162" s="1814"/>
      <c r="AE162" s="1814"/>
      <c r="AF162" s="1814"/>
      <c r="AG162" s="1814"/>
      <c r="AH162" s="1814"/>
      <c r="AI162" s="1814"/>
      <c r="AJ162" s="1814"/>
      <c r="AK162" s="1814"/>
      <c r="AL162" s="1814"/>
      <c r="AM162" s="1814"/>
      <c r="AN162" s="1814"/>
      <c r="AO162" s="1814"/>
      <c r="AP162" s="1814"/>
      <c r="AQ162" s="1814"/>
      <c r="AR162" s="1814"/>
      <c r="AS162" s="1814"/>
      <c r="AT162" s="1815"/>
      <c r="AU162" s="948"/>
    </row>
    <row r="163" spans="1:47" ht="12.75">
      <c r="A163" s="1827" t="s">
        <v>13734</v>
      </c>
      <c r="B163" s="973" t="str">
        <f>VLOOKUP($A163,'Medição '!$A:$G,4,0)</f>
        <v>FUNDAÇÃO - ESTACAS</v>
      </c>
      <c r="C163" s="974" t="e">
        <f>VLOOKUP($A163,'Medição '!$A:$G,10,0)</f>
        <v>#REF!</v>
      </c>
      <c r="D163" s="995"/>
      <c r="E163" s="996"/>
      <c r="F163" s="977"/>
      <c r="G163" s="976"/>
      <c r="H163" s="977"/>
      <c r="I163" s="986" t="e">
        <f>J163*C163</f>
        <v>#REF!</v>
      </c>
      <c r="J163" s="977">
        <v>1</v>
      </c>
      <c r="K163" s="976"/>
      <c r="L163" s="977"/>
      <c r="M163" s="976"/>
      <c r="N163" s="977"/>
      <c r="O163" s="976"/>
      <c r="P163" s="977"/>
      <c r="Q163" s="976"/>
      <c r="R163" s="977"/>
      <c r="S163" s="976"/>
      <c r="T163" s="977"/>
      <c r="U163" s="978"/>
      <c r="V163" s="977"/>
      <c r="W163" s="998"/>
      <c r="X163" s="999"/>
      <c r="Y163" s="961" t="e">
        <f t="shared" si="82"/>
        <v>#REF!</v>
      </c>
      <c r="Z163" s="947">
        <f t="shared" si="83"/>
        <v>1</v>
      </c>
      <c r="AA163" s="1814"/>
      <c r="AB163" s="1814"/>
      <c r="AC163" s="1814"/>
      <c r="AD163" s="1814"/>
      <c r="AE163" s="1814"/>
      <c r="AF163" s="1814"/>
      <c r="AG163" s="1814"/>
      <c r="AH163" s="1814"/>
      <c r="AI163" s="1814"/>
      <c r="AJ163" s="1814"/>
      <c r="AK163" s="1814"/>
      <c r="AL163" s="1814"/>
      <c r="AM163" s="1814"/>
      <c r="AN163" s="1814"/>
      <c r="AO163" s="1814"/>
      <c r="AP163" s="1814"/>
      <c r="AQ163" s="1814"/>
      <c r="AR163" s="1814"/>
      <c r="AS163" s="1814"/>
      <c r="AT163" s="1815"/>
      <c r="AU163" s="948"/>
    </row>
    <row r="164" spans="1:47" ht="12.75">
      <c r="A164" s="1827" t="s">
        <v>13736</v>
      </c>
      <c r="B164" s="973" t="str">
        <f>VLOOKUP($A164,'Medição '!$A:$G,4,0)</f>
        <v>SUPERESTRUTURA - PILARES EM PRUMADA</v>
      </c>
      <c r="C164" s="974" t="e">
        <f>VLOOKUP($A164,'Medição '!$A:$G,10,0)</f>
        <v>#REF!</v>
      </c>
      <c r="D164" s="995"/>
      <c r="E164" s="996"/>
      <c r="F164" s="977"/>
      <c r="G164" s="976"/>
      <c r="H164" s="977"/>
      <c r="I164" s="976"/>
      <c r="J164" s="977"/>
      <c r="K164" s="976" t="e">
        <f t="shared" ref="K164:K169" si="84">L164*C164</f>
        <v>#REF!</v>
      </c>
      <c r="L164" s="977">
        <v>1</v>
      </c>
      <c r="M164" s="976"/>
      <c r="N164" s="977"/>
      <c r="O164" s="976"/>
      <c r="P164" s="977"/>
      <c r="Q164" s="976"/>
      <c r="R164" s="977"/>
      <c r="S164" s="976"/>
      <c r="T164" s="977"/>
      <c r="U164" s="978"/>
      <c r="V164" s="977"/>
      <c r="W164" s="998"/>
      <c r="X164" s="999"/>
      <c r="Y164" s="961" t="e">
        <f t="shared" si="82"/>
        <v>#REF!</v>
      </c>
      <c r="Z164" s="947">
        <f t="shared" si="83"/>
        <v>1</v>
      </c>
      <c r="AA164" s="1814"/>
      <c r="AB164" s="1814"/>
      <c r="AC164" s="1814"/>
      <c r="AD164" s="1814"/>
      <c r="AE164" s="1814"/>
      <c r="AF164" s="1814"/>
      <c r="AG164" s="1814"/>
      <c r="AH164" s="1814"/>
      <c r="AI164" s="1814"/>
      <c r="AJ164" s="1814"/>
      <c r="AK164" s="1814"/>
      <c r="AL164" s="1814"/>
      <c r="AM164" s="1814"/>
      <c r="AN164" s="1814"/>
      <c r="AO164" s="1814"/>
      <c r="AP164" s="1814"/>
      <c r="AQ164" s="1814"/>
      <c r="AR164" s="1814"/>
      <c r="AS164" s="1814"/>
      <c r="AT164" s="1815"/>
      <c r="AU164" s="948"/>
    </row>
    <row r="165" spans="1:47" ht="12.75">
      <c r="A165" s="1827" t="s">
        <v>13742</v>
      </c>
      <c r="B165" s="973" t="str">
        <f>VLOOKUP($A165,'Medição '!$A:$G,4,0)</f>
        <v>SUPERESTRUTURA - VIGAS TÉRREO</v>
      </c>
      <c r="C165" s="974" t="e">
        <f>VLOOKUP($A165,'Medição '!$A:$G,10,0)</f>
        <v>#REF!</v>
      </c>
      <c r="D165" s="995"/>
      <c r="E165" s="996"/>
      <c r="F165" s="977"/>
      <c r="G165" s="976"/>
      <c r="H165" s="977"/>
      <c r="I165" s="976"/>
      <c r="J165" s="977"/>
      <c r="K165" s="976" t="e">
        <f t="shared" si="84"/>
        <v>#REF!</v>
      </c>
      <c r="L165" s="977">
        <v>1</v>
      </c>
      <c r="M165" s="976"/>
      <c r="N165" s="977"/>
      <c r="O165" s="976"/>
      <c r="P165" s="977"/>
      <c r="Q165" s="976"/>
      <c r="R165" s="977"/>
      <c r="S165" s="976"/>
      <c r="T165" s="977"/>
      <c r="U165" s="978"/>
      <c r="V165" s="977"/>
      <c r="W165" s="998"/>
      <c r="X165" s="999"/>
      <c r="Y165" s="961" t="e">
        <f t="shared" si="82"/>
        <v>#REF!</v>
      </c>
      <c r="Z165" s="947">
        <f t="shared" si="83"/>
        <v>1</v>
      </c>
      <c r="AA165" s="1814"/>
      <c r="AB165" s="1814"/>
      <c r="AC165" s="1814"/>
      <c r="AD165" s="1814"/>
      <c r="AE165" s="1814"/>
      <c r="AF165" s="1814"/>
      <c r="AG165" s="1814"/>
      <c r="AH165" s="1814"/>
      <c r="AI165" s="1814"/>
      <c r="AJ165" s="1814"/>
      <c r="AK165" s="1814"/>
      <c r="AL165" s="1814"/>
      <c r="AM165" s="1814"/>
      <c r="AN165" s="1814"/>
      <c r="AO165" s="1814"/>
      <c r="AP165" s="1814"/>
      <c r="AQ165" s="1814"/>
      <c r="AR165" s="1814"/>
      <c r="AS165" s="1814"/>
      <c r="AT165" s="1815"/>
      <c r="AU165" s="948"/>
    </row>
    <row r="166" spans="1:47" ht="12.75">
      <c r="A166" s="1827" t="s">
        <v>13750</v>
      </c>
      <c r="B166" s="973" t="str">
        <f>VLOOKUP($A166,'Medição '!$A:$G,4,0)</f>
        <v>SUPERESTRUTURA - LAJE</v>
      </c>
      <c r="C166" s="974" t="e">
        <f>VLOOKUP($A166,'Medição '!$A:$G,10,0)</f>
        <v>#REF!</v>
      </c>
      <c r="D166" s="995"/>
      <c r="E166" s="996"/>
      <c r="F166" s="977"/>
      <c r="G166" s="976"/>
      <c r="H166" s="977"/>
      <c r="I166" s="976"/>
      <c r="J166" s="977"/>
      <c r="K166" s="976" t="e">
        <f t="shared" si="84"/>
        <v>#REF!</v>
      </c>
      <c r="L166" s="977">
        <v>1</v>
      </c>
      <c r="M166" s="976"/>
      <c r="N166" s="977"/>
      <c r="O166" s="976"/>
      <c r="P166" s="977"/>
      <c r="Q166" s="976"/>
      <c r="R166" s="977"/>
      <c r="S166" s="976"/>
      <c r="T166" s="977"/>
      <c r="U166" s="978"/>
      <c r="V166" s="977"/>
      <c r="W166" s="998"/>
      <c r="X166" s="999"/>
      <c r="Y166" s="961" t="e">
        <f t="shared" si="82"/>
        <v>#REF!</v>
      </c>
      <c r="Z166" s="947">
        <f t="shared" si="83"/>
        <v>1</v>
      </c>
      <c r="AA166" s="1814"/>
      <c r="AB166" s="1814"/>
      <c r="AC166" s="1814"/>
      <c r="AD166" s="1814"/>
      <c r="AE166" s="1814"/>
      <c r="AF166" s="1814"/>
      <c r="AG166" s="1814"/>
      <c r="AH166" s="1814"/>
      <c r="AI166" s="1814"/>
      <c r="AJ166" s="1814"/>
      <c r="AK166" s="1814"/>
      <c r="AL166" s="1814"/>
      <c r="AM166" s="1814"/>
      <c r="AN166" s="1814"/>
      <c r="AO166" s="1814"/>
      <c r="AP166" s="1814"/>
      <c r="AQ166" s="1814"/>
      <c r="AR166" s="1814"/>
      <c r="AS166" s="1814"/>
      <c r="AT166" s="1815"/>
      <c r="AU166" s="948"/>
    </row>
    <row r="167" spans="1:47" ht="12.75">
      <c r="A167" s="1827" t="s">
        <v>13758</v>
      </c>
      <c r="B167" s="973" t="str">
        <f>VLOOKUP($A167,'Medição '!$A:$G,4,0)</f>
        <v>SUPERESTRUTURA - VIGAS DA COBERTURA</v>
      </c>
      <c r="C167" s="974" t="e">
        <f>VLOOKUP($A167,'Medição '!$A:$G,10,0)</f>
        <v>#REF!</v>
      </c>
      <c r="D167" s="995"/>
      <c r="E167" s="996"/>
      <c r="F167" s="977"/>
      <c r="G167" s="976"/>
      <c r="H167" s="977"/>
      <c r="I167" s="976"/>
      <c r="J167" s="977"/>
      <c r="K167" s="976" t="e">
        <f t="shared" si="84"/>
        <v>#REF!</v>
      </c>
      <c r="L167" s="977">
        <v>1</v>
      </c>
      <c r="M167" s="976"/>
      <c r="N167" s="977"/>
      <c r="O167" s="976"/>
      <c r="P167" s="977"/>
      <c r="Q167" s="976"/>
      <c r="R167" s="977"/>
      <c r="S167" s="976"/>
      <c r="T167" s="977"/>
      <c r="U167" s="978"/>
      <c r="V167" s="977"/>
      <c r="W167" s="998"/>
      <c r="X167" s="999"/>
      <c r="Y167" s="961" t="e">
        <f t="shared" si="82"/>
        <v>#REF!</v>
      </c>
      <c r="Z167" s="947">
        <f t="shared" si="83"/>
        <v>1</v>
      </c>
      <c r="AA167" s="1814"/>
      <c r="AB167" s="1814"/>
      <c r="AC167" s="1814"/>
      <c r="AD167" s="1814"/>
      <c r="AE167" s="1814"/>
      <c r="AF167" s="1814"/>
      <c r="AG167" s="1814"/>
      <c r="AH167" s="1814"/>
      <c r="AI167" s="1814"/>
      <c r="AJ167" s="1814"/>
      <c r="AK167" s="1814"/>
      <c r="AL167" s="1814"/>
      <c r="AM167" s="1814"/>
      <c r="AN167" s="1814"/>
      <c r="AO167" s="1814"/>
      <c r="AP167" s="1814"/>
      <c r="AQ167" s="1814"/>
      <c r="AR167" s="1814"/>
      <c r="AS167" s="1814"/>
      <c r="AT167" s="1815"/>
      <c r="AU167" s="948"/>
    </row>
    <row r="168" spans="1:47" ht="12.75">
      <c r="A168" s="1827" t="s">
        <v>13763</v>
      </c>
      <c r="B168" s="973" t="str">
        <f>VLOOKUP($A168,'Medição '!$A:$G,4,0)</f>
        <v>CONTROLE TECNOLÓGICO</v>
      </c>
      <c r="C168" s="974" t="e">
        <f>VLOOKUP($A168,'Medição '!$A:$G,10,0)</f>
        <v>#REF!</v>
      </c>
      <c r="D168" s="995"/>
      <c r="E168" s="996"/>
      <c r="F168" s="977"/>
      <c r="G168" s="976"/>
      <c r="H168" s="977"/>
      <c r="I168" s="976"/>
      <c r="J168" s="977"/>
      <c r="K168" s="976" t="e">
        <f t="shared" si="84"/>
        <v>#REF!</v>
      </c>
      <c r="L168" s="977">
        <v>1</v>
      </c>
      <c r="M168" s="976"/>
      <c r="N168" s="977"/>
      <c r="O168" s="976"/>
      <c r="P168" s="977"/>
      <c r="Q168" s="976"/>
      <c r="R168" s="977"/>
      <c r="S168" s="976"/>
      <c r="T168" s="977"/>
      <c r="U168" s="978"/>
      <c r="V168" s="977"/>
      <c r="W168" s="998"/>
      <c r="X168" s="999"/>
      <c r="Y168" s="961" t="e">
        <f t="shared" si="82"/>
        <v>#REF!</v>
      </c>
      <c r="Z168" s="947">
        <f t="shared" si="83"/>
        <v>1</v>
      </c>
      <c r="AA168" s="1814"/>
      <c r="AB168" s="1814"/>
      <c r="AC168" s="1814"/>
      <c r="AD168" s="1814"/>
      <c r="AE168" s="1814"/>
      <c r="AF168" s="1814"/>
      <c r="AG168" s="1814"/>
      <c r="AH168" s="1814"/>
      <c r="AI168" s="1814"/>
      <c r="AJ168" s="1814"/>
      <c r="AK168" s="1814"/>
      <c r="AL168" s="1814"/>
      <c r="AM168" s="1814"/>
      <c r="AN168" s="1814"/>
      <c r="AO168" s="1814"/>
      <c r="AP168" s="1814"/>
      <c r="AQ168" s="1814"/>
      <c r="AR168" s="1814"/>
      <c r="AS168" s="1814"/>
      <c r="AT168" s="1815"/>
      <c r="AU168" s="948"/>
    </row>
    <row r="169" spans="1:47" ht="12.75">
      <c r="A169" s="1827" t="s">
        <v>13765</v>
      </c>
      <c r="B169" s="973" t="str">
        <f>VLOOKUP($A169,'Medição '!$A:$G,4,0)</f>
        <v>ESTRUTURA METÁLICA</v>
      </c>
      <c r="C169" s="974" t="e">
        <f>VLOOKUP($A169,'Medição '!$A:$G,10,0)</f>
        <v>#REF!</v>
      </c>
      <c r="D169" s="995"/>
      <c r="E169" s="996"/>
      <c r="F169" s="977"/>
      <c r="G169" s="976"/>
      <c r="H169" s="977"/>
      <c r="I169" s="976"/>
      <c r="J169" s="977"/>
      <c r="K169" s="976" t="e">
        <f t="shared" si="84"/>
        <v>#REF!</v>
      </c>
      <c r="L169" s="977">
        <v>1</v>
      </c>
      <c r="M169" s="976"/>
      <c r="N169" s="977"/>
      <c r="O169" s="976"/>
      <c r="P169" s="977"/>
      <c r="Q169" s="976"/>
      <c r="R169" s="977"/>
      <c r="S169" s="976"/>
      <c r="T169" s="977"/>
      <c r="U169" s="978"/>
      <c r="V169" s="977"/>
      <c r="W169" s="998"/>
      <c r="X169" s="999"/>
      <c r="Y169" s="961" t="e">
        <f t="shared" si="82"/>
        <v>#REF!</v>
      </c>
      <c r="Z169" s="947">
        <f t="shared" si="83"/>
        <v>1</v>
      </c>
      <c r="AA169" s="1814"/>
      <c r="AB169" s="1814"/>
      <c r="AC169" s="1814"/>
      <c r="AD169" s="1814"/>
      <c r="AE169" s="1814"/>
      <c r="AF169" s="1814"/>
      <c r="AG169" s="1814"/>
      <c r="AH169" s="1814"/>
      <c r="AI169" s="1814"/>
      <c r="AJ169" s="1814"/>
      <c r="AK169" s="1814"/>
      <c r="AL169" s="1814"/>
      <c r="AM169" s="1814"/>
      <c r="AN169" s="1814"/>
      <c r="AO169" s="1814"/>
      <c r="AP169" s="1814"/>
      <c r="AQ169" s="1814"/>
      <c r="AR169" s="1814"/>
      <c r="AS169" s="1814"/>
      <c r="AT169" s="1815"/>
      <c r="AU169" s="948"/>
    </row>
    <row r="170" spans="1:47">
      <c r="A170" s="1820" t="s">
        <v>12643</v>
      </c>
      <c r="B170" s="979" t="s">
        <v>12486</v>
      </c>
      <c r="C170" s="980" t="e">
        <f>SUBTOTAL(9,C171:C179)</f>
        <v>#REF!</v>
      </c>
      <c r="D170" s="981"/>
      <c r="E170" s="982"/>
      <c r="F170" s="969"/>
      <c r="G170" s="968"/>
      <c r="H170" s="969"/>
      <c r="I170" s="968"/>
      <c r="J170" s="969"/>
      <c r="K170" s="968"/>
      <c r="L170" s="969"/>
      <c r="M170" s="968" t="e">
        <f>SUM(M171:M179)</f>
        <v>#REF!</v>
      </c>
      <c r="N170" s="969" t="e">
        <f>M170/$C$170</f>
        <v>#REF!</v>
      </c>
      <c r="O170" s="968" t="e">
        <f>SUM(O171:O179)</f>
        <v>#REF!</v>
      </c>
      <c r="P170" s="969" t="e">
        <f>O170/$C$170</f>
        <v>#REF!</v>
      </c>
      <c r="Q170" s="968" t="e">
        <f>SUM(Q171:Q179)</f>
        <v>#REF!</v>
      </c>
      <c r="R170" s="969" t="e">
        <f>Q170/$C$170</f>
        <v>#REF!</v>
      </c>
      <c r="S170" s="968" t="e">
        <f>SUM(S171:S179)</f>
        <v>#REF!</v>
      </c>
      <c r="T170" s="969" t="e">
        <f>S170/$C$170</f>
        <v>#REF!</v>
      </c>
      <c r="U170" s="970"/>
      <c r="V170" s="969"/>
      <c r="W170" s="970"/>
      <c r="X170" s="969"/>
      <c r="Y170" s="971" t="e">
        <f>SUM(E170,G170,I170,K170,M170,O170,Q170,S170,U170,W170)</f>
        <v>#REF!</v>
      </c>
      <c r="Z170" s="947" t="e">
        <f>SUM(F170,H170,J170,L170,N170,P170,R170,T170,V170,X170)</f>
        <v>#REF!</v>
      </c>
      <c r="AA170" s="1814"/>
      <c r="AB170" s="1814"/>
      <c r="AC170" s="1814"/>
      <c r="AD170" s="1814"/>
      <c r="AE170" s="1814"/>
      <c r="AF170" s="1814"/>
      <c r="AG170" s="1814"/>
      <c r="AH170" s="1814"/>
      <c r="AI170" s="1814"/>
      <c r="AJ170" s="1814"/>
      <c r="AK170" s="1814"/>
      <c r="AL170" s="1814"/>
      <c r="AM170" s="1814"/>
      <c r="AN170" s="1814"/>
      <c r="AO170" s="1814"/>
      <c r="AP170" s="1814"/>
      <c r="AQ170" s="1814"/>
      <c r="AR170" s="1814"/>
      <c r="AS170" s="1814"/>
      <c r="AT170" s="1815"/>
      <c r="AU170" s="948"/>
    </row>
    <row r="171" spans="1:47" ht="12.75">
      <c r="A171" s="1827" t="s">
        <v>13767</v>
      </c>
      <c r="B171" s="973" t="str">
        <f>VLOOKUP($A171,'Medição '!$A:$G,4,0)</f>
        <v>ALVENARIA, DIVISÓRIAS E VEDAÇÕES</v>
      </c>
      <c r="C171" s="974" t="e">
        <f>VLOOKUP($A171,'Medição '!$A:$G,10,0)</f>
        <v>#REF!</v>
      </c>
      <c r="D171" s="995"/>
      <c r="E171" s="996"/>
      <c r="F171" s="977"/>
      <c r="G171" s="976"/>
      <c r="H171" s="977"/>
      <c r="I171" s="976"/>
      <c r="J171" s="977"/>
      <c r="K171" s="976"/>
      <c r="L171" s="977"/>
      <c r="M171" s="976" t="e">
        <f>N171*C171</f>
        <v>#REF!</v>
      </c>
      <c r="N171" s="977">
        <v>1</v>
      </c>
      <c r="O171" s="976"/>
      <c r="P171" s="977"/>
      <c r="Q171" s="976"/>
      <c r="R171" s="977"/>
      <c r="S171" s="978"/>
      <c r="T171" s="977"/>
      <c r="U171" s="978"/>
      <c r="V171" s="977"/>
      <c r="W171" s="978"/>
      <c r="X171" s="977"/>
      <c r="Y171" s="961" t="e">
        <f t="shared" ref="Y171:Y179" si="85">SUM(E171,G171,I171,K171,M171,O171,Q171,S171,U171,W171,)</f>
        <v>#REF!</v>
      </c>
      <c r="Z171" s="947">
        <f t="shared" ref="Z171:Z179" si="86">SUM(F171,H171,J171,L171,N171,P171,R171,T171,V171,X171,)</f>
        <v>1</v>
      </c>
      <c r="AA171" s="1814"/>
      <c r="AB171" s="1814"/>
      <c r="AC171" s="1814"/>
      <c r="AD171" s="1814"/>
      <c r="AE171" s="1814"/>
      <c r="AF171" s="1814"/>
      <c r="AG171" s="1814"/>
      <c r="AH171" s="1814"/>
      <c r="AI171" s="1814"/>
      <c r="AJ171" s="1814"/>
      <c r="AK171" s="1814"/>
      <c r="AL171" s="1814"/>
      <c r="AM171" s="1814"/>
      <c r="AN171" s="1814"/>
      <c r="AO171" s="1814"/>
      <c r="AP171" s="1814"/>
      <c r="AQ171" s="1814"/>
      <c r="AR171" s="1814"/>
      <c r="AS171" s="1814"/>
      <c r="AT171" s="1815"/>
      <c r="AU171" s="948"/>
    </row>
    <row r="172" spans="1:47" ht="12.75">
      <c r="A172" s="1827" t="s">
        <v>13772</v>
      </c>
      <c r="B172" s="973" t="str">
        <f>VLOOKUP($A172,'Medição '!$A:$G,4,0)</f>
        <v xml:space="preserve">REVESTIMENTO PAREDE - CHAPISCO/EMBOÇO/REBOCO </v>
      </c>
      <c r="C172" s="974" t="e">
        <f>VLOOKUP($A172,'Medição '!$A:$G,10,0)</f>
        <v>#REF!</v>
      </c>
      <c r="D172" s="995"/>
      <c r="E172" s="996"/>
      <c r="F172" s="977"/>
      <c r="G172" s="976"/>
      <c r="H172" s="977"/>
      <c r="I172" s="976"/>
      <c r="J172" s="977"/>
      <c r="K172" s="976"/>
      <c r="L172" s="977"/>
      <c r="M172" s="976" t="e">
        <f>N172*C172</f>
        <v>#REF!</v>
      </c>
      <c r="N172" s="977">
        <v>1</v>
      </c>
      <c r="O172" s="976"/>
      <c r="P172" s="977"/>
      <c r="Q172" s="976"/>
      <c r="R172" s="977"/>
      <c r="S172" s="978"/>
      <c r="T172" s="977"/>
      <c r="U172" s="978"/>
      <c r="V172" s="977"/>
      <c r="W172" s="978"/>
      <c r="X172" s="977"/>
      <c r="Y172" s="961" t="e">
        <f t="shared" si="85"/>
        <v>#REF!</v>
      </c>
      <c r="Z172" s="947">
        <f t="shared" si="86"/>
        <v>1</v>
      </c>
      <c r="AA172" s="1814"/>
      <c r="AB172" s="1814"/>
      <c r="AC172" s="1814"/>
      <c r="AD172" s="1814"/>
      <c r="AE172" s="1814"/>
      <c r="AF172" s="1814"/>
      <c r="AG172" s="1814"/>
      <c r="AH172" s="1814"/>
      <c r="AI172" s="1814"/>
      <c r="AJ172" s="1814"/>
      <c r="AK172" s="1814"/>
      <c r="AL172" s="1814"/>
      <c r="AM172" s="1814"/>
      <c r="AN172" s="1814"/>
      <c r="AO172" s="1814"/>
      <c r="AP172" s="1814"/>
      <c r="AQ172" s="1814"/>
      <c r="AR172" s="1814"/>
      <c r="AS172" s="1814"/>
      <c r="AT172" s="1815"/>
      <c r="AU172" s="948"/>
    </row>
    <row r="173" spans="1:47" ht="12.75">
      <c r="A173" s="1827" t="s">
        <v>13776</v>
      </c>
      <c r="B173" s="973" t="str">
        <f>VLOOKUP($A173,'Medição '!$A:$G,4,0)</f>
        <v>REVESTIMENTO DE PAREDES, PISOS</v>
      </c>
      <c r="C173" s="974" t="e">
        <f>VLOOKUP($A173,'Medição '!$A:$G,10,0)</f>
        <v>#REF!</v>
      </c>
      <c r="D173" s="995"/>
      <c r="E173" s="996"/>
      <c r="F173" s="977"/>
      <c r="G173" s="976"/>
      <c r="H173" s="977"/>
      <c r="I173" s="976"/>
      <c r="J173" s="977"/>
      <c r="K173" s="976"/>
      <c r="L173" s="977"/>
      <c r="M173" s="976"/>
      <c r="N173" s="977"/>
      <c r="O173" s="976" t="e">
        <f>P173*C173</f>
        <v>#REF!</v>
      </c>
      <c r="P173" s="977">
        <v>0.5</v>
      </c>
      <c r="Q173" s="976" t="e">
        <f>R173*C173</f>
        <v>#REF!</v>
      </c>
      <c r="R173" s="977">
        <v>0.5</v>
      </c>
      <c r="S173" s="978"/>
      <c r="T173" s="977"/>
      <c r="U173" s="978"/>
      <c r="V173" s="977"/>
      <c r="W173" s="978"/>
      <c r="X173" s="977"/>
      <c r="Y173" s="961" t="e">
        <f t="shared" si="85"/>
        <v>#REF!</v>
      </c>
      <c r="Z173" s="947">
        <f t="shared" si="86"/>
        <v>1</v>
      </c>
      <c r="AA173" s="1814"/>
      <c r="AB173" s="1814"/>
      <c r="AC173" s="1814"/>
      <c r="AD173" s="1814"/>
      <c r="AE173" s="1814"/>
      <c r="AF173" s="1814"/>
      <c r="AG173" s="1814"/>
      <c r="AH173" s="1814"/>
      <c r="AI173" s="1814"/>
      <c r="AJ173" s="1814"/>
      <c r="AK173" s="1814"/>
      <c r="AL173" s="1814"/>
      <c r="AM173" s="1814"/>
      <c r="AN173" s="1814"/>
      <c r="AO173" s="1814"/>
      <c r="AP173" s="1814"/>
      <c r="AQ173" s="1814"/>
      <c r="AR173" s="1814"/>
      <c r="AS173" s="1814"/>
      <c r="AT173" s="1815"/>
      <c r="AU173" s="948"/>
    </row>
    <row r="174" spans="1:47" ht="12.75">
      <c r="A174" s="1827" t="s">
        <v>13780</v>
      </c>
      <c r="B174" s="973" t="str">
        <f>VLOOKUP($A174,'Medição '!$A:$G,4,0)</f>
        <v>PINTURAS E TEXTURAS</v>
      </c>
      <c r="C174" s="974" t="e">
        <f>VLOOKUP($A174,'Medição '!$A:$G,10,0)</f>
        <v>#REF!</v>
      </c>
      <c r="D174" s="995"/>
      <c r="E174" s="996"/>
      <c r="F174" s="977"/>
      <c r="G174" s="976"/>
      <c r="H174" s="977"/>
      <c r="I174" s="976"/>
      <c r="J174" s="977"/>
      <c r="K174" s="976"/>
      <c r="L174" s="977"/>
      <c r="M174" s="976"/>
      <c r="N174" s="977"/>
      <c r="O174" s="976"/>
      <c r="P174" s="977"/>
      <c r="Q174" s="976"/>
      <c r="R174" s="977"/>
      <c r="S174" s="978" t="e">
        <f>T174*C174</f>
        <v>#REF!</v>
      </c>
      <c r="T174" s="977">
        <v>1</v>
      </c>
      <c r="U174" s="978"/>
      <c r="V174" s="977"/>
      <c r="W174" s="978"/>
      <c r="X174" s="977"/>
      <c r="Y174" s="961" t="e">
        <f t="shared" si="85"/>
        <v>#REF!</v>
      </c>
      <c r="Z174" s="947">
        <f t="shared" si="86"/>
        <v>1</v>
      </c>
      <c r="AA174" s="1814"/>
      <c r="AB174" s="1814"/>
      <c r="AC174" s="1814"/>
      <c r="AD174" s="1814"/>
      <c r="AE174" s="1814"/>
      <c r="AF174" s="1814"/>
      <c r="AG174" s="1814"/>
      <c r="AH174" s="1814"/>
      <c r="AI174" s="1814"/>
      <c r="AJ174" s="1814"/>
      <c r="AK174" s="1814"/>
      <c r="AL174" s="1814"/>
      <c r="AM174" s="1814"/>
      <c r="AN174" s="1814"/>
      <c r="AO174" s="1814"/>
      <c r="AP174" s="1814"/>
      <c r="AQ174" s="1814"/>
      <c r="AR174" s="1814"/>
      <c r="AS174" s="1814"/>
      <c r="AT174" s="1815"/>
      <c r="AU174" s="948"/>
    </row>
    <row r="175" spans="1:47" ht="12.75">
      <c r="A175" s="1827" t="s">
        <v>13787</v>
      </c>
      <c r="B175" s="973" t="str">
        <f>VLOOKUP($A175,'Medição '!$A:$G,4,0)</f>
        <v>ESQUADRIAS E FECHAMENTOS</v>
      </c>
      <c r="C175" s="974" t="e">
        <f>VLOOKUP($A175,'Medição '!$A:$G,10,0)</f>
        <v>#REF!</v>
      </c>
      <c r="D175" s="995"/>
      <c r="E175" s="996"/>
      <c r="F175" s="977"/>
      <c r="G175" s="976"/>
      <c r="H175" s="977"/>
      <c r="I175" s="976"/>
      <c r="J175" s="977"/>
      <c r="K175" s="976"/>
      <c r="L175" s="977"/>
      <c r="M175" s="976"/>
      <c r="N175" s="977"/>
      <c r="O175" s="976"/>
      <c r="P175" s="977"/>
      <c r="Q175" s="976" t="e">
        <f>R175*C175</f>
        <v>#REF!</v>
      </c>
      <c r="R175" s="977">
        <v>1</v>
      </c>
      <c r="S175" s="978"/>
      <c r="T175" s="977"/>
      <c r="U175" s="978"/>
      <c r="V175" s="977"/>
      <c r="W175" s="978"/>
      <c r="X175" s="977"/>
      <c r="Y175" s="961" t="e">
        <f t="shared" si="85"/>
        <v>#REF!</v>
      </c>
      <c r="Z175" s="947">
        <f t="shared" si="86"/>
        <v>1</v>
      </c>
      <c r="AA175" s="1814"/>
      <c r="AB175" s="1814"/>
      <c r="AC175" s="1814"/>
      <c r="AD175" s="1814"/>
      <c r="AE175" s="1814"/>
      <c r="AF175" s="1814"/>
      <c r="AG175" s="1814"/>
      <c r="AH175" s="1814"/>
      <c r="AI175" s="1814"/>
      <c r="AJ175" s="1814"/>
      <c r="AK175" s="1814"/>
      <c r="AL175" s="1814"/>
      <c r="AM175" s="1814"/>
      <c r="AN175" s="1814"/>
      <c r="AO175" s="1814"/>
      <c r="AP175" s="1814"/>
      <c r="AQ175" s="1814"/>
      <c r="AR175" s="1814"/>
      <c r="AS175" s="1814"/>
      <c r="AT175" s="1815"/>
      <c r="AU175" s="948"/>
    </row>
    <row r="176" spans="1:47" ht="12.75">
      <c r="A176" s="1827" t="s">
        <v>13791</v>
      </c>
      <c r="B176" s="973" t="str">
        <f>VLOOKUP($A176,'Medição '!$A:$G,4,0)</f>
        <v>FORROS E COBERTURA</v>
      </c>
      <c r="C176" s="974" t="e">
        <f>VLOOKUP($A176,'Medição '!$A:$G,10,0)</f>
        <v>#REF!</v>
      </c>
      <c r="D176" s="995"/>
      <c r="E176" s="996"/>
      <c r="F176" s="977"/>
      <c r="G176" s="976"/>
      <c r="H176" s="977"/>
      <c r="I176" s="976"/>
      <c r="J176" s="977"/>
      <c r="K176" s="976"/>
      <c r="L176" s="977"/>
      <c r="M176" s="976">
        <f>('Medição '!H1149+'Medição '!H1150+'Medição '!H1151)</f>
        <v>51873.97</v>
      </c>
      <c r="N176" s="977" t="e">
        <f>M176/C176</f>
        <v>#REF!</v>
      </c>
      <c r="O176" s="976"/>
      <c r="P176" s="977"/>
      <c r="Q176" s="976">
        <f>('Medição '!H1146+'Medição '!H1147+'Medição '!H1148+'Medição '!H1152+'Medição '!H1153)</f>
        <v>20211.16</v>
      </c>
      <c r="R176" s="977" t="e">
        <f>Q176/C176</f>
        <v>#REF!</v>
      </c>
      <c r="S176" s="978"/>
      <c r="T176" s="977"/>
      <c r="U176" s="978"/>
      <c r="V176" s="977"/>
      <c r="W176" s="978"/>
      <c r="X176" s="977"/>
      <c r="Y176" s="961">
        <f t="shared" si="85"/>
        <v>72085.13</v>
      </c>
      <c r="Z176" s="947" t="e">
        <f t="shared" si="86"/>
        <v>#REF!</v>
      </c>
      <c r="AA176" s="1814"/>
      <c r="AB176" s="1814"/>
      <c r="AC176" s="1814"/>
      <c r="AD176" s="1814"/>
      <c r="AE176" s="1814"/>
      <c r="AF176" s="1814"/>
      <c r="AG176" s="1814"/>
      <c r="AH176" s="1814"/>
      <c r="AI176" s="1814"/>
      <c r="AJ176" s="1814"/>
      <c r="AK176" s="1814"/>
      <c r="AL176" s="1814"/>
      <c r="AM176" s="1814"/>
      <c r="AN176" s="1814"/>
      <c r="AO176" s="1814"/>
      <c r="AP176" s="1814"/>
      <c r="AQ176" s="1814"/>
      <c r="AR176" s="1814"/>
      <c r="AS176" s="1814"/>
      <c r="AT176" s="1815"/>
      <c r="AU176" s="948"/>
    </row>
    <row r="177" spans="1:47" ht="12.75">
      <c r="A177" s="1827" t="s">
        <v>13800</v>
      </c>
      <c r="B177" s="973" t="str">
        <f>VLOOKUP($A177,'Medição '!$A:$G,4,0)</f>
        <v>VIDRAÇARIA / SERRALHERIA / MARMORARIA</v>
      </c>
      <c r="C177" s="974" t="e">
        <f>VLOOKUP($A177,'Medição '!$A:$G,10,0)</f>
        <v>#REF!</v>
      </c>
      <c r="D177" s="995"/>
      <c r="E177" s="996"/>
      <c r="F177" s="977"/>
      <c r="G177" s="976"/>
      <c r="H177" s="977"/>
      <c r="I177" s="976"/>
      <c r="J177" s="977"/>
      <c r="K177" s="976"/>
      <c r="L177" s="977"/>
      <c r="M177" s="976"/>
      <c r="N177" s="977"/>
      <c r="O177" s="976">
        <f>'Medição '!H1162*0.5</f>
        <v>29019.59</v>
      </c>
      <c r="P177" s="977" t="e">
        <f>O177/C177</f>
        <v>#REF!</v>
      </c>
      <c r="Q177" s="976">
        <f>('Medição '!H1157+'Medição '!H1158+'Medição '!H1159+'Medição '!H1160+'Medição '!H1161+'Medição '!H1162*0.5)</f>
        <v>91426.23000000001</v>
      </c>
      <c r="R177" s="977" t="e">
        <f>Q177/C177</f>
        <v>#REF!</v>
      </c>
      <c r="S177" s="978">
        <f>('Medição '!H1155+'Medição '!H1156+'Medição '!H1164+'Medição '!H1163)</f>
        <v>31736.54</v>
      </c>
      <c r="T177" s="977" t="e">
        <f>S177/C177</f>
        <v>#REF!</v>
      </c>
      <c r="U177" s="978"/>
      <c r="V177" s="977"/>
      <c r="W177" s="978"/>
      <c r="X177" s="977"/>
      <c r="Y177" s="961">
        <f t="shared" si="85"/>
        <v>152182.36000000002</v>
      </c>
      <c r="Z177" s="947" t="e">
        <f t="shared" si="86"/>
        <v>#REF!</v>
      </c>
      <c r="AA177" s="1814"/>
      <c r="AB177" s="1814"/>
      <c r="AC177" s="1814"/>
      <c r="AD177" s="1814"/>
      <c r="AE177" s="1814"/>
      <c r="AF177" s="1814"/>
      <c r="AG177" s="1814"/>
      <c r="AH177" s="1814"/>
      <c r="AI177" s="1814"/>
      <c r="AJ177" s="1814"/>
      <c r="AK177" s="1814"/>
      <c r="AL177" s="1814"/>
      <c r="AM177" s="1814"/>
      <c r="AN177" s="1814"/>
      <c r="AO177" s="1814"/>
      <c r="AP177" s="1814"/>
      <c r="AQ177" s="1814"/>
      <c r="AR177" s="1814"/>
      <c r="AS177" s="1814"/>
      <c r="AT177" s="1815"/>
      <c r="AU177" s="948"/>
    </row>
    <row r="178" spans="1:47" ht="12.75">
      <c r="A178" s="1827" t="s">
        <v>13811</v>
      </c>
      <c r="B178" s="973" t="str">
        <f>VLOOKUP($A178,'Medição '!$A:$G,4,0)</f>
        <v>LOUÇAS, METAIS E ACESSÓRIOS</v>
      </c>
      <c r="C178" s="974" t="e">
        <f>VLOOKUP($A178,'Medição '!$A:$G,10,0)</f>
        <v>#REF!</v>
      </c>
      <c r="D178" s="995"/>
      <c r="E178" s="996"/>
      <c r="F178" s="977"/>
      <c r="G178" s="976"/>
      <c r="H178" s="977"/>
      <c r="I178" s="976"/>
      <c r="J178" s="977"/>
      <c r="K178" s="976"/>
      <c r="L178" s="977"/>
      <c r="M178" s="976"/>
      <c r="N178" s="977"/>
      <c r="O178" s="976"/>
      <c r="P178" s="977"/>
      <c r="Q178" s="976"/>
      <c r="R178" s="977"/>
      <c r="S178" s="978" t="e">
        <f>T178*C178</f>
        <v>#REF!</v>
      </c>
      <c r="T178" s="977">
        <v>1</v>
      </c>
      <c r="U178" s="978"/>
      <c r="V178" s="977"/>
      <c r="W178" s="978"/>
      <c r="X178" s="977"/>
      <c r="Y178" s="961" t="e">
        <f t="shared" si="85"/>
        <v>#REF!</v>
      </c>
      <c r="Z178" s="947">
        <f t="shared" si="86"/>
        <v>1</v>
      </c>
      <c r="AA178" s="1814"/>
      <c r="AB178" s="1814"/>
      <c r="AC178" s="1814"/>
      <c r="AD178" s="1814"/>
      <c r="AE178" s="1814"/>
      <c r="AF178" s="1814"/>
      <c r="AG178" s="1814"/>
      <c r="AH178" s="1814"/>
      <c r="AI178" s="1814"/>
      <c r="AJ178" s="1814"/>
      <c r="AK178" s="1814"/>
      <c r="AL178" s="1814"/>
      <c r="AM178" s="1814"/>
      <c r="AN178" s="1814"/>
      <c r="AO178" s="1814"/>
      <c r="AP178" s="1814"/>
      <c r="AQ178" s="1814"/>
      <c r="AR178" s="1814"/>
      <c r="AS178" s="1814"/>
      <c r="AT178" s="1815"/>
      <c r="AU178" s="948"/>
    </row>
    <row r="179" spans="1:47" ht="12.75">
      <c r="A179" s="1827" t="s">
        <v>13833</v>
      </c>
      <c r="B179" s="973" t="str">
        <f>VLOOKUP($A179,'Medição '!$A:$G,4,0)</f>
        <v xml:space="preserve">PAVIMENTAÇÕES, URBANIZAÇÃO E PAISAGISMO, ACESSIBILIDADE E COMUNICAÇÃO VISUAL </v>
      </c>
      <c r="C179" s="974" t="e">
        <f>VLOOKUP($A179,'Medição '!$A:$G,10,0)</f>
        <v>#REF!</v>
      </c>
      <c r="D179" s="995"/>
      <c r="E179" s="996"/>
      <c r="F179" s="977"/>
      <c r="G179" s="976"/>
      <c r="H179" s="977"/>
      <c r="I179" s="976"/>
      <c r="J179" s="977"/>
      <c r="K179" s="976"/>
      <c r="L179" s="977"/>
      <c r="M179" s="976"/>
      <c r="N179" s="977"/>
      <c r="O179" s="976"/>
      <c r="P179" s="977"/>
      <c r="Q179" s="976"/>
      <c r="R179" s="977"/>
      <c r="S179" s="978" t="e">
        <f>T179*C179</f>
        <v>#REF!</v>
      </c>
      <c r="T179" s="977">
        <v>1</v>
      </c>
      <c r="U179" s="978"/>
      <c r="V179" s="977"/>
      <c r="W179" s="978"/>
      <c r="X179" s="977"/>
      <c r="Y179" s="961" t="e">
        <f t="shared" si="85"/>
        <v>#REF!</v>
      </c>
      <c r="Z179" s="947">
        <f t="shared" si="86"/>
        <v>1</v>
      </c>
      <c r="AA179" s="1814"/>
      <c r="AB179" s="1814"/>
      <c r="AC179" s="1814"/>
      <c r="AD179" s="1814"/>
      <c r="AE179" s="1814"/>
      <c r="AF179" s="1814"/>
      <c r="AG179" s="1814"/>
      <c r="AH179" s="1814"/>
      <c r="AI179" s="1814"/>
      <c r="AJ179" s="1814"/>
      <c r="AK179" s="1814"/>
      <c r="AL179" s="1814"/>
      <c r="AM179" s="1814"/>
      <c r="AN179" s="1814"/>
      <c r="AO179" s="1814"/>
      <c r="AP179" s="1814"/>
      <c r="AQ179" s="1814"/>
      <c r="AR179" s="1814"/>
      <c r="AS179" s="1814"/>
      <c r="AT179" s="1815"/>
      <c r="AU179" s="948"/>
    </row>
    <row r="180" spans="1:47">
      <c r="A180" s="1820" t="s">
        <v>12644</v>
      </c>
      <c r="B180" s="979" t="s">
        <v>16310</v>
      </c>
      <c r="C180" s="980" t="e">
        <f>VLOOKUP($A180,'Medição '!$A:$G,10,0)</f>
        <v>#REF!</v>
      </c>
      <c r="D180" s="981"/>
      <c r="E180" s="982"/>
      <c r="F180" s="969"/>
      <c r="G180" s="968"/>
      <c r="H180" s="969"/>
      <c r="I180" s="968"/>
      <c r="J180" s="969"/>
      <c r="K180" s="968"/>
      <c r="L180" s="969"/>
      <c r="M180" s="968"/>
      <c r="N180" s="969"/>
      <c r="O180" s="968"/>
      <c r="P180" s="969"/>
      <c r="Q180" s="970" t="e">
        <f>SUM(Q181:Q183)</f>
        <v>#REF!</v>
      </c>
      <c r="R180" s="969" t="e">
        <f>Q180/C180</f>
        <v>#REF!</v>
      </c>
      <c r="S180" s="970"/>
      <c r="T180" s="969"/>
      <c r="U180" s="970"/>
      <c r="V180" s="969"/>
      <c r="W180" s="970"/>
      <c r="X180" s="969"/>
      <c r="Y180" s="971" t="e">
        <f>SUM(E180,G180,I180,K180,M180,O180,Q180,S180,U180,W180)</f>
        <v>#REF!</v>
      </c>
      <c r="Z180" s="947" t="e">
        <f>SUM(F180,H180,J180,L180,N180,P180,R180,T180,V180,X180)</f>
        <v>#REF!</v>
      </c>
      <c r="AA180" s="1814"/>
      <c r="AB180" s="1814"/>
      <c r="AC180" s="1814"/>
      <c r="AD180" s="1814"/>
      <c r="AE180" s="1814"/>
      <c r="AF180" s="1814"/>
      <c r="AG180" s="1814"/>
      <c r="AH180" s="1814"/>
      <c r="AI180" s="1814"/>
      <c r="AJ180" s="1814"/>
      <c r="AK180" s="1814"/>
      <c r="AL180" s="1814"/>
      <c r="AM180" s="1814"/>
      <c r="AN180" s="1814"/>
      <c r="AO180" s="1814"/>
      <c r="AP180" s="1814"/>
      <c r="AQ180" s="1814"/>
      <c r="AR180" s="1814"/>
      <c r="AS180" s="1814"/>
      <c r="AT180" s="1815"/>
      <c r="AU180" s="948"/>
    </row>
    <row r="181" spans="1:47" ht="12.75">
      <c r="A181" s="1827" t="s">
        <v>13840</v>
      </c>
      <c r="B181" s="973" t="str">
        <f>VLOOKUP($A181,'Medição '!$A:$G,4,0)</f>
        <v>INSTALAÇÕES HIDRÁULICAS</v>
      </c>
      <c r="C181" s="974" t="e">
        <f>VLOOKUP($A181,'Medição '!$A:$G,10,0)</f>
        <v>#REF!</v>
      </c>
      <c r="D181" s="995"/>
      <c r="E181" s="996"/>
      <c r="F181" s="977"/>
      <c r="G181" s="976"/>
      <c r="H181" s="977"/>
      <c r="I181" s="976"/>
      <c r="J181" s="977"/>
      <c r="K181" s="976"/>
      <c r="L181" s="977"/>
      <c r="M181" s="976"/>
      <c r="N181" s="977"/>
      <c r="O181" s="976"/>
      <c r="P181" s="977"/>
      <c r="Q181" s="976" t="e">
        <f>R181*C181</f>
        <v>#REF!</v>
      </c>
      <c r="R181" s="977">
        <v>1</v>
      </c>
      <c r="S181" s="978"/>
      <c r="T181" s="977"/>
      <c r="U181" s="978"/>
      <c r="V181" s="977"/>
      <c r="W181" s="978"/>
      <c r="X181" s="977"/>
      <c r="Y181" s="961" t="e">
        <f t="shared" ref="Y181:Z183" si="87">SUM(E181,G181,I181,K181,M181,O181,Q181,S181,U181,W181,)</f>
        <v>#REF!</v>
      </c>
      <c r="Z181" s="947">
        <f t="shared" si="87"/>
        <v>1</v>
      </c>
      <c r="AA181" s="1814"/>
      <c r="AB181" s="1814"/>
      <c r="AC181" s="1814"/>
      <c r="AD181" s="1814"/>
      <c r="AE181" s="1814"/>
      <c r="AF181" s="1814"/>
      <c r="AG181" s="1814"/>
      <c r="AH181" s="1814"/>
      <c r="AI181" s="1814"/>
      <c r="AJ181" s="1814"/>
      <c r="AK181" s="1814"/>
      <c r="AL181" s="1814"/>
      <c r="AM181" s="1814"/>
      <c r="AN181" s="1814"/>
      <c r="AO181" s="1814"/>
      <c r="AP181" s="1814"/>
      <c r="AQ181" s="1814"/>
      <c r="AR181" s="1814"/>
      <c r="AS181" s="1814"/>
      <c r="AT181" s="1815"/>
      <c r="AU181" s="948"/>
    </row>
    <row r="182" spans="1:47" ht="12.75">
      <c r="A182" s="1827" t="s">
        <v>13882</v>
      </c>
      <c r="B182" s="973" t="str">
        <f>VLOOKUP($A182,'Medição '!$A:$G,4,0)</f>
        <v>INSTALAÇÕES SANITÁRIAS/VENTILAÇÃO</v>
      </c>
      <c r="C182" s="974" t="e">
        <f>VLOOKUP($A182,'Medição '!$A:$G,10,0)</f>
        <v>#REF!</v>
      </c>
      <c r="D182" s="995"/>
      <c r="E182" s="996"/>
      <c r="F182" s="977"/>
      <c r="G182" s="976"/>
      <c r="H182" s="977"/>
      <c r="I182" s="976"/>
      <c r="J182" s="977"/>
      <c r="K182" s="976"/>
      <c r="L182" s="977"/>
      <c r="M182" s="976"/>
      <c r="N182" s="977"/>
      <c r="O182" s="976"/>
      <c r="P182" s="977"/>
      <c r="Q182" s="976" t="e">
        <f>R182*C182</f>
        <v>#REF!</v>
      </c>
      <c r="R182" s="977">
        <v>1</v>
      </c>
      <c r="S182" s="978"/>
      <c r="T182" s="977"/>
      <c r="U182" s="978"/>
      <c r="V182" s="977"/>
      <c r="W182" s="978"/>
      <c r="X182" s="977"/>
      <c r="Y182" s="961" t="e">
        <f t="shared" si="87"/>
        <v>#REF!</v>
      </c>
      <c r="Z182" s="947">
        <f t="shared" si="87"/>
        <v>1</v>
      </c>
      <c r="AA182" s="1814"/>
      <c r="AB182" s="1814"/>
      <c r="AC182" s="1814"/>
      <c r="AD182" s="1814"/>
      <c r="AE182" s="1814"/>
      <c r="AF182" s="1814"/>
      <c r="AG182" s="1814"/>
      <c r="AH182" s="1814"/>
      <c r="AI182" s="1814"/>
      <c r="AJ182" s="1814"/>
      <c r="AK182" s="1814"/>
      <c r="AL182" s="1814"/>
      <c r="AM182" s="1814"/>
      <c r="AN182" s="1814"/>
      <c r="AO182" s="1814"/>
      <c r="AP182" s="1814"/>
      <c r="AQ182" s="1814"/>
      <c r="AR182" s="1814"/>
      <c r="AS182" s="1814"/>
      <c r="AT182" s="1815"/>
      <c r="AU182" s="948"/>
    </row>
    <row r="183" spans="1:47" ht="12.75">
      <c r="A183" s="1827" t="s">
        <v>13923</v>
      </c>
      <c r="B183" s="973" t="str">
        <f>VLOOKUP($A183,'Medição '!$A:$G,4,0)</f>
        <v>INSTALAÇÕES DE DRENAGEM</v>
      </c>
      <c r="C183" s="974" t="e">
        <f>VLOOKUP($A183,'Medição '!$A:$G,10,0)</f>
        <v>#REF!</v>
      </c>
      <c r="D183" s="995"/>
      <c r="E183" s="996"/>
      <c r="F183" s="977"/>
      <c r="G183" s="976"/>
      <c r="H183" s="977"/>
      <c r="I183" s="976"/>
      <c r="J183" s="977"/>
      <c r="K183" s="976"/>
      <c r="L183" s="977"/>
      <c r="M183" s="976"/>
      <c r="N183" s="977"/>
      <c r="O183" s="976"/>
      <c r="P183" s="977"/>
      <c r="Q183" s="976" t="e">
        <f>R183*C183</f>
        <v>#REF!</v>
      </c>
      <c r="R183" s="977">
        <v>1</v>
      </c>
      <c r="S183" s="978"/>
      <c r="T183" s="977"/>
      <c r="U183" s="978"/>
      <c r="V183" s="977"/>
      <c r="W183" s="978"/>
      <c r="X183" s="977"/>
      <c r="Y183" s="961" t="e">
        <f t="shared" si="87"/>
        <v>#REF!</v>
      </c>
      <c r="Z183" s="947">
        <f t="shared" si="87"/>
        <v>1</v>
      </c>
      <c r="AA183" s="1814"/>
      <c r="AB183" s="1814"/>
      <c r="AC183" s="1814"/>
      <c r="AD183" s="1814"/>
      <c r="AE183" s="1814"/>
      <c r="AF183" s="1814"/>
      <c r="AG183" s="1814"/>
      <c r="AH183" s="1814"/>
      <c r="AI183" s="1814"/>
      <c r="AJ183" s="1814"/>
      <c r="AK183" s="1814"/>
      <c r="AL183" s="1814"/>
      <c r="AM183" s="1814"/>
      <c r="AN183" s="1814"/>
      <c r="AO183" s="1814"/>
      <c r="AP183" s="1814"/>
      <c r="AQ183" s="1814"/>
      <c r="AR183" s="1814"/>
      <c r="AS183" s="1814"/>
      <c r="AT183" s="1815"/>
      <c r="AU183" s="948"/>
    </row>
    <row r="184" spans="1:47">
      <c r="A184" s="1820" t="s">
        <v>12645</v>
      </c>
      <c r="B184" s="979" t="s">
        <v>12510</v>
      </c>
      <c r="C184" s="980" t="e">
        <f>SUBTOTAL(9,C185:C190)</f>
        <v>#REF!</v>
      </c>
      <c r="D184" s="981"/>
      <c r="E184" s="982"/>
      <c r="F184" s="969"/>
      <c r="G184" s="968"/>
      <c r="H184" s="969"/>
      <c r="I184" s="968"/>
      <c r="J184" s="969"/>
      <c r="K184" s="968"/>
      <c r="L184" s="969"/>
      <c r="M184" s="968"/>
      <c r="N184" s="969"/>
      <c r="O184" s="968" t="e">
        <f>SUM(O185:O190)</f>
        <v>#REF!</v>
      </c>
      <c r="P184" s="969" t="e">
        <f>O184/C184</f>
        <v>#REF!</v>
      </c>
      <c r="Q184" s="968" t="e">
        <f>SUM(Q185:Q190)</f>
        <v>#REF!</v>
      </c>
      <c r="R184" s="969" t="e">
        <f>Q184/C184</f>
        <v>#REF!</v>
      </c>
      <c r="S184" s="968" t="e">
        <f>SUM(S185:S190)</f>
        <v>#REF!</v>
      </c>
      <c r="T184" s="969" t="e">
        <f>S184/C184</f>
        <v>#REF!</v>
      </c>
      <c r="U184" s="970"/>
      <c r="V184" s="969"/>
      <c r="W184" s="970"/>
      <c r="X184" s="969"/>
      <c r="Y184" s="971" t="e">
        <f>SUM(E184,G184,I184,K184,M184,O184,Q184,S184,U184,W184)</f>
        <v>#REF!</v>
      </c>
      <c r="Z184" s="947" t="e">
        <f>SUM(F184,H184,J184,L184,N184,P184,R184,T184,V184,X184)</f>
        <v>#REF!</v>
      </c>
      <c r="AA184" s="1814"/>
      <c r="AB184" s="1814"/>
      <c r="AC184" s="1814"/>
      <c r="AD184" s="1814"/>
      <c r="AE184" s="1814"/>
      <c r="AF184" s="1814"/>
      <c r="AG184" s="1814"/>
      <c r="AH184" s="1814"/>
      <c r="AI184" s="1814"/>
      <c r="AJ184" s="1814"/>
      <c r="AK184" s="1814"/>
      <c r="AL184" s="1814"/>
      <c r="AM184" s="1814"/>
      <c r="AN184" s="1814"/>
      <c r="AO184" s="1814"/>
      <c r="AP184" s="1814"/>
      <c r="AQ184" s="1814"/>
      <c r="AR184" s="1814"/>
      <c r="AS184" s="1814"/>
      <c r="AT184" s="1815"/>
      <c r="AU184" s="948"/>
    </row>
    <row r="185" spans="1:47" ht="12.75">
      <c r="A185" s="1827" t="s">
        <v>13935</v>
      </c>
      <c r="B185" s="973" t="str">
        <f>VLOOKUP($A185,'Medição '!$A:$G,4,0)</f>
        <v>ELETRODUTOS E ACESSÓRIOS</v>
      </c>
      <c r="C185" s="974" t="e">
        <f>VLOOKUP($A185,'Medição '!$A:$G,10,0)</f>
        <v>#REF!</v>
      </c>
      <c r="D185" s="995"/>
      <c r="E185" s="996"/>
      <c r="F185" s="977"/>
      <c r="G185" s="976"/>
      <c r="H185" s="977"/>
      <c r="I185" s="976"/>
      <c r="J185" s="977"/>
      <c r="K185" s="976"/>
      <c r="L185" s="977"/>
      <c r="M185" s="976"/>
      <c r="N185" s="977"/>
      <c r="O185" s="976" t="e">
        <f>P185*C185</f>
        <v>#REF!</v>
      </c>
      <c r="P185" s="977">
        <v>1</v>
      </c>
      <c r="Q185" s="976"/>
      <c r="R185" s="977"/>
      <c r="S185" s="978"/>
      <c r="T185" s="977"/>
      <c r="U185" s="978"/>
      <c r="V185" s="977"/>
      <c r="W185" s="978"/>
      <c r="X185" s="977"/>
      <c r="Y185" s="961" t="e">
        <f t="shared" ref="Y185:Z190" si="88">SUM(E185,G185,I185,K185,M185,O185,Q185,S185,U185,W185,)</f>
        <v>#REF!</v>
      </c>
      <c r="Z185" s="947">
        <f t="shared" si="88"/>
        <v>1</v>
      </c>
      <c r="AA185" s="1814"/>
      <c r="AB185" s="1814"/>
      <c r="AC185" s="1814"/>
      <c r="AD185" s="1814"/>
      <c r="AE185" s="1814"/>
      <c r="AF185" s="1814"/>
      <c r="AG185" s="1814"/>
      <c r="AH185" s="1814"/>
      <c r="AI185" s="1814"/>
      <c r="AJ185" s="1814"/>
      <c r="AK185" s="1814"/>
      <c r="AL185" s="1814"/>
      <c r="AM185" s="1814"/>
      <c r="AN185" s="1814"/>
      <c r="AO185" s="1814"/>
      <c r="AP185" s="1814"/>
      <c r="AQ185" s="1814"/>
      <c r="AR185" s="1814"/>
      <c r="AS185" s="1814"/>
      <c r="AT185" s="1815"/>
      <c r="AU185" s="948"/>
    </row>
    <row r="186" spans="1:47" ht="12.75">
      <c r="A186" s="1827" t="s">
        <v>13941</v>
      </c>
      <c r="B186" s="973" t="str">
        <f>VLOOKUP($A186,'Medição '!$A:$G,4,0)</f>
        <v>CAIXA DE PASSAGEM E ACESSÓRIOS</v>
      </c>
      <c r="C186" s="974" t="e">
        <f>VLOOKUP($A186,'Medição '!$A:$G,10,0)</f>
        <v>#REF!</v>
      </c>
      <c r="D186" s="995"/>
      <c r="E186" s="996"/>
      <c r="F186" s="977"/>
      <c r="G186" s="976"/>
      <c r="H186" s="977"/>
      <c r="I186" s="976"/>
      <c r="J186" s="977"/>
      <c r="K186" s="976"/>
      <c r="L186" s="977"/>
      <c r="M186" s="976"/>
      <c r="N186" s="977"/>
      <c r="O186" s="976" t="e">
        <f>P186*C186</f>
        <v>#REF!</v>
      </c>
      <c r="P186" s="977">
        <v>1</v>
      </c>
      <c r="Q186" s="976"/>
      <c r="R186" s="977"/>
      <c r="S186" s="978"/>
      <c r="T186" s="977"/>
      <c r="U186" s="978"/>
      <c r="V186" s="977"/>
      <c r="W186" s="978"/>
      <c r="X186" s="977"/>
      <c r="Y186" s="961" t="e">
        <f t="shared" si="88"/>
        <v>#REF!</v>
      </c>
      <c r="Z186" s="947">
        <f t="shared" si="88"/>
        <v>1</v>
      </c>
      <c r="AA186" s="1814"/>
      <c r="AB186" s="1814"/>
      <c r="AC186" s="1814"/>
      <c r="AD186" s="1814"/>
      <c r="AE186" s="1814"/>
      <c r="AF186" s="1814"/>
      <c r="AG186" s="1814"/>
      <c r="AH186" s="1814"/>
      <c r="AI186" s="1814"/>
      <c r="AJ186" s="1814"/>
      <c r="AK186" s="1814"/>
      <c r="AL186" s="1814"/>
      <c r="AM186" s="1814"/>
      <c r="AN186" s="1814"/>
      <c r="AO186" s="1814"/>
      <c r="AP186" s="1814"/>
      <c r="AQ186" s="1814"/>
      <c r="AR186" s="1814"/>
      <c r="AS186" s="1814"/>
      <c r="AT186" s="1815"/>
      <c r="AU186" s="948"/>
    </row>
    <row r="187" spans="1:47" ht="12.75">
      <c r="A187" s="1827" t="s">
        <v>13947</v>
      </c>
      <c r="B187" s="973" t="str">
        <f>VLOOKUP($A187,'Medição '!$A:$G,4,0)</f>
        <v>TOMADAS, INTERRUPTORES E ACESSÓRIOS</v>
      </c>
      <c r="C187" s="974" t="e">
        <f>VLOOKUP($A187,'Medição '!$A:$G,10,0)</f>
        <v>#REF!</v>
      </c>
      <c r="D187" s="995"/>
      <c r="E187" s="996"/>
      <c r="F187" s="977"/>
      <c r="G187" s="976"/>
      <c r="H187" s="977"/>
      <c r="I187" s="976"/>
      <c r="J187" s="977"/>
      <c r="K187" s="976"/>
      <c r="L187" s="977"/>
      <c r="M187" s="976"/>
      <c r="N187" s="977"/>
      <c r="O187" s="976"/>
      <c r="P187" s="977"/>
      <c r="Q187" s="976" t="e">
        <f>R187*C187</f>
        <v>#REF!</v>
      </c>
      <c r="R187" s="977">
        <v>1</v>
      </c>
      <c r="S187" s="978"/>
      <c r="T187" s="977"/>
      <c r="U187" s="978"/>
      <c r="V187" s="977"/>
      <c r="W187" s="978"/>
      <c r="X187" s="977"/>
      <c r="Y187" s="961" t="e">
        <f t="shared" si="88"/>
        <v>#REF!</v>
      </c>
      <c r="Z187" s="947">
        <f t="shared" si="88"/>
        <v>1</v>
      </c>
      <c r="AA187" s="1814"/>
      <c r="AB187" s="1814"/>
      <c r="AC187" s="1814"/>
      <c r="AD187" s="1814"/>
      <c r="AE187" s="1814"/>
      <c r="AF187" s="1814"/>
      <c r="AG187" s="1814"/>
      <c r="AH187" s="1814"/>
      <c r="AI187" s="1814"/>
      <c r="AJ187" s="1814"/>
      <c r="AK187" s="1814"/>
      <c r="AL187" s="1814"/>
      <c r="AM187" s="1814"/>
      <c r="AN187" s="1814"/>
      <c r="AO187" s="1814"/>
      <c r="AP187" s="1814"/>
      <c r="AQ187" s="1814"/>
      <c r="AR187" s="1814"/>
      <c r="AS187" s="1814"/>
      <c r="AT187" s="1815"/>
      <c r="AU187" s="948"/>
    </row>
    <row r="188" spans="1:47" ht="12.75">
      <c r="A188" s="1827" t="s">
        <v>13956</v>
      </c>
      <c r="B188" s="973" t="str">
        <f>VLOOKUP($A188,'Medição '!$A:$G,4,0)</f>
        <v>CABOS ELÉTRICOS</v>
      </c>
      <c r="C188" s="974" t="e">
        <f>VLOOKUP($A188,'Medição '!$A:$G,10,0)</f>
        <v>#REF!</v>
      </c>
      <c r="D188" s="995"/>
      <c r="E188" s="996"/>
      <c r="F188" s="977"/>
      <c r="G188" s="976"/>
      <c r="H188" s="977"/>
      <c r="I188" s="976"/>
      <c r="J188" s="977"/>
      <c r="K188" s="976"/>
      <c r="L188" s="977"/>
      <c r="M188" s="976"/>
      <c r="N188" s="977"/>
      <c r="O188" s="976"/>
      <c r="P188" s="977"/>
      <c r="Q188" s="976" t="e">
        <f>R188*C188</f>
        <v>#REF!</v>
      </c>
      <c r="R188" s="977">
        <v>1</v>
      </c>
      <c r="S188" s="978"/>
      <c r="T188" s="977"/>
      <c r="U188" s="978"/>
      <c r="V188" s="977"/>
      <c r="W188" s="978"/>
      <c r="X188" s="977"/>
      <c r="Y188" s="961" t="e">
        <f t="shared" si="88"/>
        <v>#REF!</v>
      </c>
      <c r="Z188" s="947">
        <f t="shared" si="88"/>
        <v>1</v>
      </c>
      <c r="AA188" s="1814"/>
      <c r="AB188" s="1814"/>
      <c r="AC188" s="1814"/>
      <c r="AD188" s="1814"/>
      <c r="AE188" s="1814"/>
      <c r="AF188" s="1814"/>
      <c r="AG188" s="1814"/>
      <c r="AH188" s="1814"/>
      <c r="AI188" s="1814"/>
      <c r="AJ188" s="1814"/>
      <c r="AK188" s="1814"/>
      <c r="AL188" s="1814"/>
      <c r="AM188" s="1814"/>
      <c r="AN188" s="1814"/>
      <c r="AO188" s="1814"/>
      <c r="AP188" s="1814"/>
      <c r="AQ188" s="1814"/>
      <c r="AR188" s="1814"/>
      <c r="AS188" s="1814"/>
      <c r="AT188" s="1815"/>
      <c r="AU188" s="948"/>
    </row>
    <row r="189" spans="1:47" ht="12.75">
      <c r="A189" s="1827" t="s">
        <v>13961</v>
      </c>
      <c r="B189" s="973" t="str">
        <f>VLOOKUP($A189,'Medição '!$A:$G,4,0)</f>
        <v xml:space="preserve">DISPOSITIVO DE PROTEÇÃO E DISTRIBUIÇÃO </v>
      </c>
      <c r="C189" s="974" t="e">
        <f>VLOOKUP($A189,'Medição '!$A:$G,10,0)</f>
        <v>#REF!</v>
      </c>
      <c r="D189" s="995"/>
      <c r="E189" s="996"/>
      <c r="F189" s="977"/>
      <c r="G189" s="976"/>
      <c r="H189" s="977"/>
      <c r="I189" s="976"/>
      <c r="J189" s="977"/>
      <c r="K189" s="976"/>
      <c r="L189" s="977"/>
      <c r="M189" s="976"/>
      <c r="N189" s="977"/>
      <c r="O189" s="976"/>
      <c r="P189" s="977"/>
      <c r="Q189" s="976" t="e">
        <f>R189*C189</f>
        <v>#REF!</v>
      </c>
      <c r="R189" s="977">
        <v>1</v>
      </c>
      <c r="S189" s="978"/>
      <c r="T189" s="977"/>
      <c r="U189" s="978"/>
      <c r="V189" s="977"/>
      <c r="W189" s="978"/>
      <c r="X189" s="977"/>
      <c r="Y189" s="961" t="e">
        <f t="shared" si="88"/>
        <v>#REF!</v>
      </c>
      <c r="Z189" s="947">
        <f t="shared" si="88"/>
        <v>1</v>
      </c>
      <c r="AA189" s="1814"/>
      <c r="AB189" s="1814"/>
      <c r="AC189" s="1814"/>
      <c r="AD189" s="1814"/>
      <c r="AE189" s="1814"/>
      <c r="AF189" s="1814"/>
      <c r="AG189" s="1814"/>
      <c r="AH189" s="1814"/>
      <c r="AI189" s="1814"/>
      <c r="AJ189" s="1814"/>
      <c r="AK189" s="1814"/>
      <c r="AL189" s="1814"/>
      <c r="AM189" s="1814"/>
      <c r="AN189" s="1814"/>
      <c r="AO189" s="1814"/>
      <c r="AP189" s="1814"/>
      <c r="AQ189" s="1814"/>
      <c r="AR189" s="1814"/>
      <c r="AS189" s="1814"/>
      <c r="AT189" s="1815"/>
      <c r="AU189" s="948"/>
    </row>
    <row r="190" spans="1:47" ht="12.75">
      <c r="A190" s="1827" t="s">
        <v>13973</v>
      </c>
      <c r="B190" s="973" t="str">
        <f>VLOOKUP($A190,'Medição '!$A:$G,4,0)</f>
        <v>LUMINÁRIAS E ACESSÓRIOS</v>
      </c>
      <c r="C190" s="974" t="e">
        <f>VLOOKUP($A190,'Medição '!$A:$G,10,0)</f>
        <v>#REF!</v>
      </c>
      <c r="D190" s="995"/>
      <c r="E190" s="996"/>
      <c r="F190" s="977"/>
      <c r="G190" s="976"/>
      <c r="H190" s="977"/>
      <c r="I190" s="976"/>
      <c r="J190" s="977"/>
      <c r="K190" s="976"/>
      <c r="L190" s="977"/>
      <c r="M190" s="976"/>
      <c r="N190" s="977"/>
      <c r="O190" s="976"/>
      <c r="P190" s="977"/>
      <c r="Q190" s="976"/>
      <c r="R190" s="977"/>
      <c r="S190" s="978" t="e">
        <f>T190*C190</f>
        <v>#REF!</v>
      </c>
      <c r="T190" s="977">
        <v>1</v>
      </c>
      <c r="U190" s="978"/>
      <c r="V190" s="977"/>
      <c r="W190" s="978"/>
      <c r="X190" s="977"/>
      <c r="Y190" s="961" t="e">
        <f t="shared" si="88"/>
        <v>#REF!</v>
      </c>
      <c r="Z190" s="947">
        <f t="shared" si="88"/>
        <v>1</v>
      </c>
      <c r="AA190" s="1814"/>
      <c r="AB190" s="1814"/>
      <c r="AC190" s="1814"/>
      <c r="AD190" s="1814"/>
      <c r="AE190" s="1814"/>
      <c r="AF190" s="1814"/>
      <c r="AG190" s="1814"/>
      <c r="AH190" s="1814"/>
      <c r="AI190" s="1814"/>
      <c r="AJ190" s="1814"/>
      <c r="AK190" s="1814"/>
      <c r="AL190" s="1814"/>
      <c r="AM190" s="1814"/>
      <c r="AN190" s="1814"/>
      <c r="AO190" s="1814"/>
      <c r="AP190" s="1814"/>
      <c r="AQ190" s="1814"/>
      <c r="AR190" s="1814"/>
      <c r="AS190" s="1814"/>
      <c r="AT190" s="1815"/>
      <c r="AU190" s="948"/>
    </row>
    <row r="191" spans="1:47">
      <c r="A191" s="1820" t="s">
        <v>12646</v>
      </c>
      <c r="B191" s="979" t="s">
        <v>16345</v>
      </c>
      <c r="C191" s="980" t="e">
        <f>VLOOKUP($A191,'Medição '!$A:$G,10,0)</f>
        <v>#REF!</v>
      </c>
      <c r="D191" s="981"/>
      <c r="E191" s="982"/>
      <c r="F191" s="969"/>
      <c r="G191" s="968"/>
      <c r="H191" s="969"/>
      <c r="I191" s="968"/>
      <c r="J191" s="969"/>
      <c r="K191" s="968"/>
      <c r="L191" s="969"/>
      <c r="M191" s="968"/>
      <c r="N191" s="969"/>
      <c r="O191" s="968"/>
      <c r="P191" s="969"/>
      <c r="Q191" s="968"/>
      <c r="R191" s="969"/>
      <c r="S191" s="970" t="e">
        <f>C191*T191</f>
        <v>#REF!</v>
      </c>
      <c r="T191" s="969">
        <v>1</v>
      </c>
      <c r="U191" s="970"/>
      <c r="V191" s="969"/>
      <c r="W191" s="970"/>
      <c r="X191" s="969"/>
      <c r="Y191" s="971" t="e">
        <f>SUM(E191,G191,I191,K191,M191,O191,Q191,S191,U191,W191)</f>
        <v>#REF!</v>
      </c>
      <c r="Z191" s="947">
        <f>SUM(F191,H191,J191,L191,N191,P191,R191,T191,V191,X191)</f>
        <v>1</v>
      </c>
      <c r="AA191" s="1814"/>
      <c r="AB191" s="1814"/>
      <c r="AC191" s="1814"/>
      <c r="AD191" s="1814"/>
      <c r="AE191" s="1814"/>
      <c r="AF191" s="1814"/>
      <c r="AG191" s="1814"/>
      <c r="AH191" s="1814"/>
      <c r="AI191" s="1814"/>
      <c r="AJ191" s="1814"/>
      <c r="AK191" s="1814"/>
      <c r="AL191" s="1814"/>
      <c r="AM191" s="1814"/>
      <c r="AN191" s="1814"/>
      <c r="AO191" s="1814"/>
      <c r="AP191" s="1814"/>
      <c r="AQ191" s="1814"/>
      <c r="AR191" s="1814"/>
      <c r="AS191" s="1814"/>
      <c r="AT191" s="1815"/>
      <c r="AU191" s="948"/>
    </row>
    <row r="192" spans="1:47" ht="19.5">
      <c r="A192" s="1813"/>
      <c r="B192" s="942" t="str">
        <f>'Medição '!A1342</f>
        <v xml:space="preserve"> → (F) - BANHEIROS DE APOIO CENTRO DE EVENTOS </v>
      </c>
      <c r="C192" s="943" t="e">
        <f>SUM(C193,C203,C213,C217,C224)</f>
        <v>#REF!</v>
      </c>
      <c r="D192" s="944" t="e">
        <f>C192/$C$234</f>
        <v>#REF!</v>
      </c>
      <c r="E192" s="945"/>
      <c r="F192" s="946"/>
      <c r="G192" s="945"/>
      <c r="H192" s="946"/>
      <c r="I192" s="945"/>
      <c r="J192" s="946"/>
      <c r="K192" s="945"/>
      <c r="L192" s="946"/>
      <c r="M192" s="945" t="e">
        <f>SUM(M193,M203,M213,M217,M224)</f>
        <v>#REF!</v>
      </c>
      <c r="N192" s="946" t="e">
        <f>M192/$C$192</f>
        <v>#REF!</v>
      </c>
      <c r="O192" s="945" t="e">
        <f>SUM(O193,O203,O213,O217,O224)</f>
        <v>#REF!</v>
      </c>
      <c r="P192" s="946" t="e">
        <f>O192/$C$192</f>
        <v>#REF!</v>
      </c>
      <c r="Q192" s="945" t="e">
        <f>SUM(Q193,Q203,Q213,Q217,Q224)</f>
        <v>#REF!</v>
      </c>
      <c r="R192" s="946" t="e">
        <f>Q192/$C$192</f>
        <v>#REF!</v>
      </c>
      <c r="S192" s="945" t="e">
        <f>SUM(S193,S203,S213,S217,S224)</f>
        <v>#REF!</v>
      </c>
      <c r="T192" s="946" t="e">
        <f>S192/$C$192</f>
        <v>#REF!</v>
      </c>
      <c r="U192" s="945" t="e">
        <f>SUM(U193,U203,U213,U217,U224)</f>
        <v>#REF!</v>
      </c>
      <c r="V192" s="946" t="e">
        <f>U192/$C$192</f>
        <v>#REF!</v>
      </c>
      <c r="W192" s="943" t="e">
        <f>SUM(W193,W203,W213,W217,W224)</f>
        <v>#REF!</v>
      </c>
      <c r="X192" s="946" t="e">
        <f>W192/$C$192</f>
        <v>#REF!</v>
      </c>
      <c r="Y192" s="943" t="e">
        <f>SUM(E192,G192,I192,K192,M192,O192,Q192,S192,U192,W192)</f>
        <v>#REF!</v>
      </c>
      <c r="Z192" s="947" t="e">
        <f>SUM(F192,H192,J192,L192,N192,P192,R192,T192,V192,X192)</f>
        <v>#REF!</v>
      </c>
      <c r="AA192" s="1814"/>
      <c r="AB192" s="1814"/>
      <c r="AC192" s="1814"/>
      <c r="AD192" s="1814"/>
      <c r="AE192" s="1814"/>
      <c r="AF192" s="1814"/>
      <c r="AG192" s="1814"/>
      <c r="AH192" s="1814"/>
      <c r="AI192" s="1814"/>
      <c r="AJ192" s="1814"/>
      <c r="AK192" s="1814"/>
      <c r="AL192" s="1814"/>
      <c r="AM192" s="1814"/>
      <c r="AN192" s="1814"/>
      <c r="AO192" s="1814"/>
      <c r="AP192" s="1814"/>
      <c r="AQ192" s="1814"/>
      <c r="AR192" s="1814"/>
      <c r="AS192" s="1814"/>
      <c r="AT192" s="1815"/>
      <c r="AU192" s="948"/>
    </row>
    <row r="193" spans="1:47">
      <c r="A193" s="1820" t="s">
        <v>12648</v>
      </c>
      <c r="B193" s="979" t="s">
        <v>16198</v>
      </c>
      <c r="C193" s="980" t="e">
        <f>SUBTOTAL(9,C194:C202)</f>
        <v>#REF!</v>
      </c>
      <c r="D193" s="981"/>
      <c r="E193" s="982"/>
      <c r="F193" s="969"/>
      <c r="G193" s="982"/>
      <c r="H193" s="969"/>
      <c r="I193" s="982"/>
      <c r="J193" s="969"/>
      <c r="K193" s="982"/>
      <c r="L193" s="969"/>
      <c r="M193" s="968" t="e">
        <f>SUM(M194:M202)</f>
        <v>#REF!</v>
      </c>
      <c r="N193" s="969" t="e">
        <f>M193/$C$193</f>
        <v>#REF!</v>
      </c>
      <c r="O193" s="968" t="e">
        <f>SUM(O194:O202)</f>
        <v>#REF!</v>
      </c>
      <c r="P193" s="969" t="e">
        <f>O193/$C$193</f>
        <v>#REF!</v>
      </c>
      <c r="Q193" s="968"/>
      <c r="R193" s="969"/>
      <c r="S193" s="968"/>
      <c r="T193" s="969"/>
      <c r="U193" s="970"/>
      <c r="V193" s="969"/>
      <c r="W193" s="970"/>
      <c r="X193" s="969"/>
      <c r="Y193" s="972" t="e">
        <f t="shared" ref="Y193:Y224" si="89">SUM(E193,G193,I193,K193,M193,O193,Q193,S193,U193,W193,)</f>
        <v>#REF!</v>
      </c>
      <c r="Z193" s="947" t="e">
        <f>SUM(F193,H193,J193,L193,N193,P193,R193,T193,V193,X193)</f>
        <v>#REF!</v>
      </c>
      <c r="AA193" s="1814"/>
      <c r="AB193" s="1814"/>
      <c r="AC193" s="1814"/>
      <c r="AD193" s="1814"/>
      <c r="AE193" s="1814"/>
      <c r="AF193" s="1814"/>
      <c r="AG193" s="1814"/>
      <c r="AH193" s="1814"/>
      <c r="AI193" s="1814"/>
      <c r="AJ193" s="1814"/>
      <c r="AK193" s="1814"/>
      <c r="AL193" s="1814"/>
      <c r="AM193" s="1814"/>
      <c r="AN193" s="1814"/>
      <c r="AO193" s="1814"/>
      <c r="AP193" s="1814"/>
      <c r="AQ193" s="1814"/>
      <c r="AR193" s="1814"/>
      <c r="AS193" s="1814"/>
      <c r="AT193" s="1815"/>
      <c r="AU193" s="948"/>
    </row>
    <row r="194" spans="1:47" ht="12.75">
      <c r="A194" s="1827" t="s">
        <v>13985</v>
      </c>
      <c r="B194" s="973" t="str">
        <f>VLOOKUP($A194,'Medição '!$A:$G,4,0)</f>
        <v>INFRAESTRUTURA - SAPATAS - ESTRUTURA PARA COBERTURA</v>
      </c>
      <c r="C194" s="974" t="e">
        <f>VLOOKUP($A194,'Medição '!$A:$G,10,0)</f>
        <v>#REF!</v>
      </c>
      <c r="D194" s="995"/>
      <c r="E194" s="1000"/>
      <c r="F194" s="999"/>
      <c r="G194" s="1001"/>
      <c r="H194" s="999"/>
      <c r="I194" s="1001"/>
      <c r="J194" s="999"/>
      <c r="K194" s="1001"/>
      <c r="L194" s="999"/>
      <c r="M194" s="976" t="e">
        <f>N194*C194</f>
        <v>#REF!</v>
      </c>
      <c r="N194" s="977">
        <v>1</v>
      </c>
      <c r="O194" s="976"/>
      <c r="P194" s="977"/>
      <c r="Q194" s="976"/>
      <c r="R194" s="977"/>
      <c r="S194" s="976"/>
      <c r="T194" s="977"/>
      <c r="U194" s="978"/>
      <c r="V194" s="977"/>
      <c r="W194" s="978"/>
      <c r="X194" s="977"/>
      <c r="Y194" s="961" t="e">
        <f t="shared" si="89"/>
        <v>#REF!</v>
      </c>
      <c r="Z194" s="947">
        <f t="shared" ref="Z194:Z202" si="90">SUM(F194,H194,J194,L194,N194,P194,R194,T194,V194,X194,)</f>
        <v>1</v>
      </c>
      <c r="AA194" s="1814"/>
      <c r="AB194" s="1814"/>
      <c r="AC194" s="1814"/>
      <c r="AD194" s="1814"/>
      <c r="AE194" s="1814"/>
      <c r="AF194" s="1814"/>
      <c r="AG194" s="1814"/>
      <c r="AH194" s="1814"/>
      <c r="AI194" s="1814"/>
      <c r="AJ194" s="1814"/>
      <c r="AK194" s="1814"/>
      <c r="AL194" s="1814"/>
      <c r="AM194" s="1814"/>
      <c r="AN194" s="1814"/>
      <c r="AO194" s="1814"/>
      <c r="AP194" s="1814"/>
      <c r="AQ194" s="1814"/>
      <c r="AR194" s="1814"/>
      <c r="AS194" s="1814"/>
      <c r="AT194" s="1815"/>
      <c r="AU194" s="948"/>
    </row>
    <row r="195" spans="1:47" ht="12.75">
      <c r="A195" s="1827" t="s">
        <v>13995</v>
      </c>
      <c r="B195" s="973" t="str">
        <f>VLOOKUP($A195,'Medição '!$A:$G,4,0)</f>
        <v>INFRAESTRUTURA - ARRANQUE DE PILARES</v>
      </c>
      <c r="C195" s="974" t="e">
        <f>VLOOKUP($A195,'Medição '!$A:$G,10,0)</f>
        <v>#REF!</v>
      </c>
      <c r="D195" s="995"/>
      <c r="E195" s="1000"/>
      <c r="F195" s="999"/>
      <c r="G195" s="1001"/>
      <c r="H195" s="999"/>
      <c r="I195" s="1001"/>
      <c r="J195" s="999"/>
      <c r="K195" s="1001"/>
      <c r="L195" s="999"/>
      <c r="M195" s="976" t="e">
        <f>N195*C195</f>
        <v>#REF!</v>
      </c>
      <c r="N195" s="977">
        <v>1</v>
      </c>
      <c r="O195" s="976"/>
      <c r="P195" s="977"/>
      <c r="Q195" s="976"/>
      <c r="R195" s="977"/>
      <c r="S195" s="976"/>
      <c r="T195" s="977"/>
      <c r="U195" s="978"/>
      <c r="V195" s="977"/>
      <c r="W195" s="978"/>
      <c r="X195" s="977"/>
      <c r="Y195" s="961" t="e">
        <f t="shared" si="89"/>
        <v>#REF!</v>
      </c>
      <c r="Z195" s="947">
        <f t="shared" si="90"/>
        <v>1</v>
      </c>
      <c r="AA195" s="1814"/>
      <c r="AB195" s="1814"/>
      <c r="AC195" s="1814"/>
      <c r="AD195" s="1814"/>
      <c r="AE195" s="1814"/>
      <c r="AF195" s="1814"/>
      <c r="AG195" s="1814"/>
      <c r="AH195" s="1814"/>
      <c r="AI195" s="1814"/>
      <c r="AJ195" s="1814"/>
      <c r="AK195" s="1814"/>
      <c r="AL195" s="1814"/>
      <c r="AM195" s="1814"/>
      <c r="AN195" s="1814"/>
      <c r="AO195" s="1814"/>
      <c r="AP195" s="1814"/>
      <c r="AQ195" s="1814"/>
      <c r="AR195" s="1814"/>
      <c r="AS195" s="1814"/>
      <c r="AT195" s="1815"/>
      <c r="AU195" s="948"/>
    </row>
    <row r="196" spans="1:47" ht="12.75">
      <c r="A196" s="1827" t="s">
        <v>14002</v>
      </c>
      <c r="B196" s="973" t="str">
        <f>VLOOKUP($A196,'Medição '!$A:$G,4,0)</f>
        <v>INFRAESTRUTURA - VIGAS BALDRAME</v>
      </c>
      <c r="C196" s="974" t="e">
        <f>VLOOKUP($A196,'Medição '!$A:$G,10,0)</f>
        <v>#REF!</v>
      </c>
      <c r="D196" s="995"/>
      <c r="E196" s="1000"/>
      <c r="F196" s="999"/>
      <c r="G196" s="1001"/>
      <c r="H196" s="999"/>
      <c r="I196" s="1001"/>
      <c r="J196" s="999"/>
      <c r="K196" s="1001"/>
      <c r="L196" s="999"/>
      <c r="M196" s="976" t="e">
        <f>N196*C196</f>
        <v>#REF!</v>
      </c>
      <c r="N196" s="977">
        <v>1</v>
      </c>
      <c r="O196" s="976"/>
      <c r="P196" s="977"/>
      <c r="Q196" s="976"/>
      <c r="R196" s="977"/>
      <c r="S196" s="976"/>
      <c r="T196" s="977"/>
      <c r="U196" s="978"/>
      <c r="V196" s="977"/>
      <c r="W196" s="978"/>
      <c r="X196" s="977"/>
      <c r="Y196" s="961" t="e">
        <f t="shared" si="89"/>
        <v>#REF!</v>
      </c>
      <c r="Z196" s="947">
        <f t="shared" si="90"/>
        <v>1</v>
      </c>
      <c r="AA196" s="1814"/>
      <c r="AB196" s="1814"/>
      <c r="AC196" s="1814"/>
      <c r="AD196" s="1814"/>
      <c r="AE196" s="1814"/>
      <c r="AF196" s="1814"/>
      <c r="AG196" s="1814"/>
      <c r="AH196" s="1814"/>
      <c r="AI196" s="1814"/>
      <c r="AJ196" s="1814"/>
      <c r="AK196" s="1814"/>
      <c r="AL196" s="1814"/>
      <c r="AM196" s="1814"/>
      <c r="AN196" s="1814"/>
      <c r="AO196" s="1814"/>
      <c r="AP196" s="1814"/>
      <c r="AQ196" s="1814"/>
      <c r="AR196" s="1814"/>
      <c r="AS196" s="1814"/>
      <c r="AT196" s="1815"/>
      <c r="AU196" s="948"/>
    </row>
    <row r="197" spans="1:47" ht="12.75">
      <c r="A197" s="1827" t="s">
        <v>14016</v>
      </c>
      <c r="B197" s="973" t="str">
        <f>VLOOKUP($A197,'Medição '!$A:$G,4,0)</f>
        <v>SUPERESTRUTURA - PILARES</v>
      </c>
      <c r="C197" s="974" t="e">
        <f>VLOOKUP($A197,'Medição '!$A:$G,10,0)</f>
        <v>#REF!</v>
      </c>
      <c r="D197" s="1006"/>
      <c r="E197" s="1000"/>
      <c r="F197" s="999"/>
      <c r="G197" s="1000"/>
      <c r="H197" s="999"/>
      <c r="I197" s="1000"/>
      <c r="J197" s="999"/>
      <c r="K197" s="1000"/>
      <c r="L197" s="999"/>
      <c r="M197" s="996"/>
      <c r="N197" s="977"/>
      <c r="O197" s="996" t="e">
        <f t="shared" ref="O197:O202" si="91">C197*P197</f>
        <v>#REF!</v>
      </c>
      <c r="P197" s="977">
        <v>1</v>
      </c>
      <c r="Q197" s="996"/>
      <c r="R197" s="977"/>
      <c r="S197" s="996"/>
      <c r="T197" s="977"/>
      <c r="U197" s="997"/>
      <c r="V197" s="977"/>
      <c r="W197" s="997"/>
      <c r="X197" s="977"/>
      <c r="Y197" s="961" t="e">
        <f t="shared" si="89"/>
        <v>#REF!</v>
      </c>
      <c r="Z197" s="947">
        <f t="shared" si="90"/>
        <v>1</v>
      </c>
      <c r="AA197" s="1814"/>
      <c r="AB197" s="1814"/>
      <c r="AC197" s="1814"/>
      <c r="AD197" s="1814"/>
      <c r="AE197" s="1814"/>
      <c r="AF197" s="1814"/>
      <c r="AG197" s="1814"/>
      <c r="AH197" s="1814"/>
      <c r="AI197" s="1814"/>
      <c r="AJ197" s="1814"/>
      <c r="AK197" s="1814"/>
      <c r="AL197" s="1814"/>
      <c r="AM197" s="1814"/>
      <c r="AN197" s="1814"/>
      <c r="AO197" s="1814"/>
      <c r="AP197" s="1814"/>
      <c r="AQ197" s="1814"/>
      <c r="AR197" s="1814"/>
      <c r="AS197" s="1814"/>
      <c r="AT197" s="1815"/>
      <c r="AU197" s="948"/>
    </row>
    <row r="198" spans="1:47" ht="12.75">
      <c r="A198" s="1827" t="s">
        <v>14023</v>
      </c>
      <c r="B198" s="973" t="str">
        <f>VLOOKUP($A198,'Medição '!$A:$G,4,0)</f>
        <v>SUPERESTUTURA - VIGAS DA COBERTURA</v>
      </c>
      <c r="C198" s="974" t="e">
        <f>VLOOKUP($A198,'Medição '!$A:$G,10,0)</f>
        <v>#REF!</v>
      </c>
      <c r="D198" s="1006"/>
      <c r="E198" s="1000"/>
      <c r="F198" s="999"/>
      <c r="G198" s="1000"/>
      <c r="H198" s="999"/>
      <c r="I198" s="1000"/>
      <c r="J198" s="999"/>
      <c r="K198" s="1000"/>
      <c r="L198" s="999"/>
      <c r="M198" s="996"/>
      <c r="N198" s="977"/>
      <c r="O198" s="996" t="e">
        <f t="shared" si="91"/>
        <v>#REF!</v>
      </c>
      <c r="P198" s="977">
        <v>1</v>
      </c>
      <c r="Q198" s="996"/>
      <c r="R198" s="977"/>
      <c r="S198" s="996"/>
      <c r="T198" s="977"/>
      <c r="U198" s="997"/>
      <c r="V198" s="977"/>
      <c r="W198" s="997"/>
      <c r="X198" s="977"/>
      <c r="Y198" s="961" t="e">
        <f t="shared" si="89"/>
        <v>#REF!</v>
      </c>
      <c r="Z198" s="947">
        <f t="shared" si="90"/>
        <v>1</v>
      </c>
      <c r="AA198" s="1814"/>
      <c r="AB198" s="1814"/>
      <c r="AC198" s="1814"/>
      <c r="AD198" s="1814"/>
      <c r="AE198" s="1814"/>
      <c r="AF198" s="1814"/>
      <c r="AG198" s="1814"/>
      <c r="AH198" s="1814"/>
      <c r="AI198" s="1814"/>
      <c r="AJ198" s="1814"/>
      <c r="AK198" s="1814"/>
      <c r="AL198" s="1814"/>
      <c r="AM198" s="1814"/>
      <c r="AN198" s="1814"/>
      <c r="AO198" s="1814"/>
      <c r="AP198" s="1814"/>
      <c r="AQ198" s="1814"/>
      <c r="AR198" s="1814"/>
      <c r="AS198" s="1814"/>
      <c r="AT198" s="1815"/>
      <c r="AU198" s="948"/>
    </row>
    <row r="199" spans="1:47" ht="12.75">
      <c r="A199" s="1827" t="s">
        <v>14032</v>
      </c>
      <c r="B199" s="973" t="str">
        <f>VLOOKUP($A199,'Medição '!$A:$G,4,0)</f>
        <v>SUPERESTRUTURA - LAJE LC</v>
      </c>
      <c r="C199" s="974" t="e">
        <f>VLOOKUP($A199,'Medição '!$A:$G,10,0)</f>
        <v>#REF!</v>
      </c>
      <c r="D199" s="1006"/>
      <c r="E199" s="1000"/>
      <c r="F199" s="999"/>
      <c r="G199" s="1000"/>
      <c r="H199" s="999"/>
      <c r="I199" s="1000"/>
      <c r="J199" s="999"/>
      <c r="K199" s="1000"/>
      <c r="L199" s="999"/>
      <c r="M199" s="996"/>
      <c r="N199" s="977"/>
      <c r="O199" s="996" t="e">
        <f t="shared" si="91"/>
        <v>#REF!</v>
      </c>
      <c r="P199" s="977">
        <v>1</v>
      </c>
      <c r="Q199" s="996"/>
      <c r="R199" s="977"/>
      <c r="S199" s="996"/>
      <c r="T199" s="977"/>
      <c r="U199" s="997"/>
      <c r="V199" s="977"/>
      <c r="W199" s="997"/>
      <c r="X199" s="977"/>
      <c r="Y199" s="961" t="e">
        <f t="shared" si="89"/>
        <v>#REF!</v>
      </c>
      <c r="Z199" s="947">
        <f t="shared" si="90"/>
        <v>1</v>
      </c>
      <c r="AA199" s="1814"/>
      <c r="AB199" s="1814"/>
      <c r="AC199" s="1814"/>
      <c r="AD199" s="1814"/>
      <c r="AE199" s="1814"/>
      <c r="AF199" s="1814"/>
      <c r="AG199" s="1814"/>
      <c r="AH199" s="1814"/>
      <c r="AI199" s="1814"/>
      <c r="AJ199" s="1814"/>
      <c r="AK199" s="1814"/>
      <c r="AL199" s="1814"/>
      <c r="AM199" s="1814"/>
      <c r="AN199" s="1814"/>
      <c r="AO199" s="1814"/>
      <c r="AP199" s="1814"/>
      <c r="AQ199" s="1814"/>
      <c r="AR199" s="1814"/>
      <c r="AS199" s="1814"/>
      <c r="AT199" s="1815"/>
      <c r="AU199" s="948"/>
    </row>
    <row r="200" spans="1:47" ht="12.75">
      <c r="A200" s="1827" t="s">
        <v>14040</v>
      </c>
      <c r="B200" s="973" t="str">
        <f>VLOOKUP($A200,'Medição '!$A:$G,4,0)</f>
        <v>SUPERESTRUTURA - VIGAS DE RESPALDO</v>
      </c>
      <c r="C200" s="974" t="e">
        <f>VLOOKUP($A200,'Medição '!$A:$G,10,0)</f>
        <v>#REF!</v>
      </c>
      <c r="D200" s="1006"/>
      <c r="E200" s="1000"/>
      <c r="F200" s="999"/>
      <c r="G200" s="1000"/>
      <c r="H200" s="999"/>
      <c r="I200" s="1000"/>
      <c r="J200" s="999"/>
      <c r="K200" s="1000"/>
      <c r="L200" s="999"/>
      <c r="M200" s="996"/>
      <c r="N200" s="977"/>
      <c r="O200" s="996" t="e">
        <f t="shared" si="91"/>
        <v>#REF!</v>
      </c>
      <c r="P200" s="977">
        <v>1</v>
      </c>
      <c r="Q200" s="996"/>
      <c r="R200" s="977"/>
      <c r="S200" s="996"/>
      <c r="T200" s="977"/>
      <c r="U200" s="997"/>
      <c r="V200" s="977"/>
      <c r="W200" s="997"/>
      <c r="X200" s="977"/>
      <c r="Y200" s="961" t="e">
        <f t="shared" si="89"/>
        <v>#REF!</v>
      </c>
      <c r="Z200" s="947">
        <f t="shared" si="90"/>
        <v>1</v>
      </c>
      <c r="AA200" s="1814"/>
      <c r="AB200" s="1814"/>
      <c r="AC200" s="1814"/>
      <c r="AD200" s="1814"/>
      <c r="AE200" s="1814"/>
      <c r="AF200" s="1814"/>
      <c r="AG200" s="1814"/>
      <c r="AH200" s="1814"/>
      <c r="AI200" s="1814"/>
      <c r="AJ200" s="1814"/>
      <c r="AK200" s="1814"/>
      <c r="AL200" s="1814"/>
      <c r="AM200" s="1814"/>
      <c r="AN200" s="1814"/>
      <c r="AO200" s="1814"/>
      <c r="AP200" s="1814"/>
      <c r="AQ200" s="1814"/>
      <c r="AR200" s="1814"/>
      <c r="AS200" s="1814"/>
      <c r="AT200" s="1815"/>
      <c r="AU200" s="948"/>
    </row>
    <row r="201" spans="1:47" ht="12.75">
      <c r="A201" s="1827" t="s">
        <v>14046</v>
      </c>
      <c r="B201" s="973" t="str">
        <f>VLOOKUP($A201,'Medição '!$A:$G,4,0)</f>
        <v>CONTROLE TECNOLÓGICO</v>
      </c>
      <c r="C201" s="974" t="e">
        <f>VLOOKUP($A201,'Medição '!$A:$G,10,0)</f>
        <v>#REF!</v>
      </c>
      <c r="D201" s="1006"/>
      <c r="E201" s="1000"/>
      <c r="F201" s="999"/>
      <c r="G201" s="1000"/>
      <c r="H201" s="999"/>
      <c r="I201" s="1000"/>
      <c r="J201" s="999"/>
      <c r="K201" s="1000"/>
      <c r="L201" s="999"/>
      <c r="M201" s="996"/>
      <c r="N201" s="977"/>
      <c r="O201" s="996" t="e">
        <f t="shared" si="91"/>
        <v>#REF!</v>
      </c>
      <c r="P201" s="977">
        <v>1</v>
      </c>
      <c r="Q201" s="996"/>
      <c r="R201" s="977"/>
      <c r="S201" s="996"/>
      <c r="T201" s="977"/>
      <c r="U201" s="997"/>
      <c r="V201" s="977"/>
      <c r="W201" s="997"/>
      <c r="X201" s="977"/>
      <c r="Y201" s="961" t="e">
        <f t="shared" si="89"/>
        <v>#REF!</v>
      </c>
      <c r="Z201" s="947">
        <f t="shared" si="90"/>
        <v>1</v>
      </c>
      <c r="AA201" s="1814"/>
      <c r="AB201" s="1814"/>
      <c r="AC201" s="1814"/>
      <c r="AD201" s="1814"/>
      <c r="AE201" s="1814"/>
      <c r="AF201" s="1814"/>
      <c r="AG201" s="1814"/>
      <c r="AH201" s="1814"/>
      <c r="AI201" s="1814"/>
      <c r="AJ201" s="1814"/>
      <c r="AK201" s="1814"/>
      <c r="AL201" s="1814"/>
      <c r="AM201" s="1814"/>
      <c r="AN201" s="1814"/>
      <c r="AO201" s="1814"/>
      <c r="AP201" s="1814"/>
      <c r="AQ201" s="1814"/>
      <c r="AR201" s="1814"/>
      <c r="AS201" s="1814"/>
      <c r="AT201" s="1815"/>
      <c r="AU201" s="948"/>
    </row>
    <row r="202" spans="1:47" ht="12.75">
      <c r="A202" s="1827" t="s">
        <v>14048</v>
      </c>
      <c r="B202" s="973" t="str">
        <f>VLOOKUP($A202,'Medição '!$A:$G,4,0)</f>
        <v>ESTRUTURA METÁLICA</v>
      </c>
      <c r="C202" s="974" t="e">
        <f>VLOOKUP($A202,'Medição '!$A:$G,10,0)</f>
        <v>#REF!</v>
      </c>
      <c r="D202" s="1006"/>
      <c r="E202" s="1000"/>
      <c r="F202" s="999"/>
      <c r="G202" s="1000"/>
      <c r="H202" s="999"/>
      <c r="I202" s="1000"/>
      <c r="J202" s="999"/>
      <c r="K202" s="1000"/>
      <c r="L202" s="999"/>
      <c r="M202" s="996"/>
      <c r="N202" s="977"/>
      <c r="O202" s="996" t="e">
        <f t="shared" si="91"/>
        <v>#REF!</v>
      </c>
      <c r="P202" s="977">
        <v>1</v>
      </c>
      <c r="Q202" s="996"/>
      <c r="R202" s="977"/>
      <c r="S202" s="996"/>
      <c r="T202" s="977"/>
      <c r="U202" s="997"/>
      <c r="V202" s="977"/>
      <c r="W202" s="997"/>
      <c r="X202" s="977"/>
      <c r="Y202" s="961" t="e">
        <f t="shared" si="89"/>
        <v>#REF!</v>
      </c>
      <c r="Z202" s="947">
        <f t="shared" si="90"/>
        <v>1</v>
      </c>
      <c r="AA202" s="1814"/>
      <c r="AB202" s="1814"/>
      <c r="AC202" s="1814"/>
      <c r="AD202" s="1814"/>
      <c r="AE202" s="1814"/>
      <c r="AF202" s="1814"/>
      <c r="AG202" s="1814"/>
      <c r="AH202" s="1814"/>
      <c r="AI202" s="1814"/>
      <c r="AJ202" s="1814"/>
      <c r="AK202" s="1814"/>
      <c r="AL202" s="1814"/>
      <c r="AM202" s="1814"/>
      <c r="AN202" s="1814"/>
      <c r="AO202" s="1814"/>
      <c r="AP202" s="1814"/>
      <c r="AQ202" s="1814"/>
      <c r="AR202" s="1814"/>
      <c r="AS202" s="1814"/>
      <c r="AT202" s="1815"/>
      <c r="AU202" s="948"/>
    </row>
    <row r="203" spans="1:47">
      <c r="A203" s="1820" t="s">
        <v>12649</v>
      </c>
      <c r="B203" s="979" t="s">
        <v>12486</v>
      </c>
      <c r="C203" s="980" t="e">
        <f>SUBTOTAL(9,C204:C212)</f>
        <v>#REF!</v>
      </c>
      <c r="D203" s="981"/>
      <c r="E203" s="982"/>
      <c r="F203" s="969"/>
      <c r="G203" s="982"/>
      <c r="H203" s="969"/>
      <c r="I203" s="982"/>
      <c r="J203" s="969"/>
      <c r="K203" s="982"/>
      <c r="L203" s="969"/>
      <c r="M203" s="968"/>
      <c r="N203" s="969"/>
      <c r="O203" s="968"/>
      <c r="P203" s="969"/>
      <c r="Q203" s="968" t="e">
        <f>SUM(Q204:Q212)</f>
        <v>#REF!</v>
      </c>
      <c r="R203" s="969" t="e">
        <f>Q203/$C$203</f>
        <v>#REF!</v>
      </c>
      <c r="S203" s="968" t="e">
        <f>SUM(S204:S212)</f>
        <v>#REF!</v>
      </c>
      <c r="T203" s="969" t="e">
        <f>S203/$C$203</f>
        <v>#REF!</v>
      </c>
      <c r="U203" s="968" t="e">
        <f>SUM(U204:U212)</f>
        <v>#REF!</v>
      </c>
      <c r="V203" s="969" t="e">
        <f>U203/$C$203</f>
        <v>#REF!</v>
      </c>
      <c r="W203" s="968" t="e">
        <f>SUM(W204:W212)</f>
        <v>#REF!</v>
      </c>
      <c r="X203" s="969" t="e">
        <f>W203/$C$203</f>
        <v>#REF!</v>
      </c>
      <c r="Y203" s="972" t="e">
        <f t="shared" si="89"/>
        <v>#REF!</v>
      </c>
      <c r="Z203" s="947" t="e">
        <f>SUM(F203,H203,J203,L203,N203,P203,R203,T203,V203,X203)</f>
        <v>#REF!</v>
      </c>
      <c r="AA203" s="1814"/>
      <c r="AB203" s="1814"/>
      <c r="AC203" s="1814"/>
      <c r="AD203" s="1814"/>
      <c r="AE203" s="1814"/>
      <c r="AF203" s="1814"/>
      <c r="AG203" s="1814"/>
      <c r="AH203" s="1814"/>
      <c r="AI203" s="1814"/>
      <c r="AJ203" s="1814"/>
      <c r="AK203" s="1814"/>
      <c r="AL203" s="1814"/>
      <c r="AM203" s="1814"/>
      <c r="AN203" s="1814"/>
      <c r="AO203" s="1814"/>
      <c r="AP203" s="1814"/>
      <c r="AQ203" s="1814"/>
      <c r="AR203" s="1814"/>
      <c r="AS203" s="1814"/>
      <c r="AT203" s="1815"/>
      <c r="AU203" s="948"/>
    </row>
    <row r="204" spans="1:47" ht="12.75">
      <c r="A204" s="1827" t="s">
        <v>14050</v>
      </c>
      <c r="B204" s="973" t="str">
        <f>VLOOKUP($A204,'Medição '!$A:$G,4,0)</f>
        <v>ALVENARIA, DIVISÓRIAS E VEDAÇÕES</v>
      </c>
      <c r="C204" s="974" t="e">
        <f>VLOOKUP($A204,'Medição '!$A:$G,10,0)</f>
        <v>#REF!</v>
      </c>
      <c r="D204" s="1006"/>
      <c r="E204" s="996"/>
      <c r="F204" s="977"/>
      <c r="G204" s="996"/>
      <c r="H204" s="977"/>
      <c r="I204" s="996"/>
      <c r="J204" s="977"/>
      <c r="K204" s="996"/>
      <c r="L204" s="977"/>
      <c r="M204" s="996"/>
      <c r="N204" s="977"/>
      <c r="O204" s="996"/>
      <c r="P204" s="977"/>
      <c r="Q204" s="996" t="e">
        <f>R204*C204</f>
        <v>#REF!</v>
      </c>
      <c r="R204" s="977">
        <v>1</v>
      </c>
      <c r="S204" s="996"/>
      <c r="T204" s="977"/>
      <c r="U204" s="997"/>
      <c r="V204" s="977"/>
      <c r="W204" s="997"/>
      <c r="X204" s="977"/>
      <c r="Y204" s="961" t="e">
        <f t="shared" si="89"/>
        <v>#REF!</v>
      </c>
      <c r="Z204" s="947">
        <f t="shared" ref="Z204:Z212" si="92">SUM(F204,H204,J204,L204,N204,P204,R204,T204,V204,X204,)</f>
        <v>1</v>
      </c>
      <c r="AA204" s="1814"/>
      <c r="AB204" s="1814"/>
      <c r="AC204" s="1814"/>
      <c r="AD204" s="1814"/>
      <c r="AE204" s="1814"/>
      <c r="AF204" s="1814"/>
      <c r="AG204" s="1814"/>
      <c r="AH204" s="1814"/>
      <c r="AI204" s="1814"/>
      <c r="AJ204" s="1814"/>
      <c r="AK204" s="1814"/>
      <c r="AL204" s="1814"/>
      <c r="AM204" s="1814"/>
      <c r="AN204" s="1814"/>
      <c r="AO204" s="1814"/>
      <c r="AP204" s="1814"/>
      <c r="AQ204" s="1814"/>
      <c r="AR204" s="1814"/>
      <c r="AS204" s="1814"/>
      <c r="AT204" s="1815"/>
      <c r="AU204" s="948"/>
    </row>
    <row r="205" spans="1:47" ht="12.75">
      <c r="A205" s="1827" t="s">
        <v>14056</v>
      </c>
      <c r="B205" s="973" t="str">
        <f>VLOOKUP($A205,'Medição '!$A:$G,4,0)</f>
        <v xml:space="preserve">REVESTIMENTO PAREDE - CHAPISCO/EMBOÇO/REBOCO </v>
      </c>
      <c r="C205" s="974" t="e">
        <f>VLOOKUP($A205,'Medição '!$A:$G,10,0)</f>
        <v>#REF!</v>
      </c>
      <c r="D205" s="1006"/>
      <c r="E205" s="996"/>
      <c r="F205" s="977"/>
      <c r="G205" s="996"/>
      <c r="H205" s="977"/>
      <c r="I205" s="996"/>
      <c r="J205" s="977"/>
      <c r="K205" s="996"/>
      <c r="L205" s="977"/>
      <c r="M205" s="996"/>
      <c r="N205" s="977"/>
      <c r="O205" s="996"/>
      <c r="P205" s="977"/>
      <c r="Q205" s="996" t="e">
        <f>R205*C205</f>
        <v>#REF!</v>
      </c>
      <c r="R205" s="977">
        <v>1</v>
      </c>
      <c r="S205" s="996"/>
      <c r="T205" s="977"/>
      <c r="U205" s="997"/>
      <c r="V205" s="977"/>
      <c r="W205" s="997"/>
      <c r="X205" s="977"/>
      <c r="Y205" s="961" t="e">
        <f t="shared" si="89"/>
        <v>#REF!</v>
      </c>
      <c r="Z205" s="947">
        <f t="shared" si="92"/>
        <v>1</v>
      </c>
      <c r="AA205" s="1814"/>
      <c r="AB205" s="1814"/>
      <c r="AC205" s="1814"/>
      <c r="AD205" s="1814"/>
      <c r="AE205" s="1814"/>
      <c r="AF205" s="1814"/>
      <c r="AG205" s="1814"/>
      <c r="AH205" s="1814"/>
      <c r="AI205" s="1814"/>
      <c r="AJ205" s="1814"/>
      <c r="AK205" s="1814"/>
      <c r="AL205" s="1814"/>
      <c r="AM205" s="1814"/>
      <c r="AN205" s="1814"/>
      <c r="AO205" s="1814"/>
      <c r="AP205" s="1814"/>
      <c r="AQ205" s="1814"/>
      <c r="AR205" s="1814"/>
      <c r="AS205" s="1814"/>
      <c r="AT205" s="1815"/>
      <c r="AU205" s="948"/>
    </row>
    <row r="206" spans="1:47" ht="12.75">
      <c r="A206" s="1827" t="s">
        <v>14060</v>
      </c>
      <c r="B206" s="973" t="str">
        <f>VLOOKUP($A206,'Medição '!$A:$G,4,0)</f>
        <v>REVESTIMENTO DE PAREDES, PISOS</v>
      </c>
      <c r="C206" s="974" t="e">
        <f>VLOOKUP($A206,'Medição '!$A:$G,10,0)</f>
        <v>#REF!</v>
      </c>
      <c r="D206" s="1006"/>
      <c r="E206" s="996"/>
      <c r="F206" s="977"/>
      <c r="G206" s="996"/>
      <c r="H206" s="977"/>
      <c r="I206" s="996"/>
      <c r="J206" s="977"/>
      <c r="K206" s="996"/>
      <c r="L206" s="977"/>
      <c r="M206" s="996"/>
      <c r="N206" s="977"/>
      <c r="O206" s="996"/>
      <c r="P206" s="977"/>
      <c r="Q206" s="996"/>
      <c r="R206" s="977"/>
      <c r="S206" s="996" t="e">
        <f>T206*C206</f>
        <v>#REF!</v>
      </c>
      <c r="T206" s="977">
        <v>0.5</v>
      </c>
      <c r="U206" s="996" t="e">
        <f>V206*C206</f>
        <v>#REF!</v>
      </c>
      <c r="V206" s="977">
        <v>0.5</v>
      </c>
      <c r="W206" s="997"/>
      <c r="X206" s="977"/>
      <c r="Y206" s="961" t="e">
        <f t="shared" si="89"/>
        <v>#REF!</v>
      </c>
      <c r="Z206" s="947">
        <f t="shared" si="92"/>
        <v>1</v>
      </c>
      <c r="AA206" s="1814"/>
      <c r="AB206" s="1814"/>
      <c r="AC206" s="1814"/>
      <c r="AD206" s="1814"/>
      <c r="AE206" s="1814"/>
      <c r="AF206" s="1814"/>
      <c r="AG206" s="1814"/>
      <c r="AH206" s="1814"/>
      <c r="AI206" s="1814"/>
      <c r="AJ206" s="1814"/>
      <c r="AK206" s="1814"/>
      <c r="AL206" s="1814"/>
      <c r="AM206" s="1814"/>
      <c r="AN206" s="1814"/>
      <c r="AO206" s="1814"/>
      <c r="AP206" s="1814"/>
      <c r="AQ206" s="1814"/>
      <c r="AR206" s="1814"/>
      <c r="AS206" s="1814"/>
      <c r="AT206" s="1815"/>
      <c r="AU206" s="948"/>
    </row>
    <row r="207" spans="1:47" ht="12.75">
      <c r="A207" s="1827" t="s">
        <v>14064</v>
      </c>
      <c r="B207" s="973" t="str">
        <f>VLOOKUP($A207,'Medição '!$A:$G,4,0)</f>
        <v>PINTURAS E TEXTURAS</v>
      </c>
      <c r="C207" s="974" t="e">
        <f>VLOOKUP($A207,'Medição '!$A:$G,10,0)</f>
        <v>#REF!</v>
      </c>
      <c r="D207" s="1006"/>
      <c r="E207" s="996"/>
      <c r="F207" s="977"/>
      <c r="G207" s="996"/>
      <c r="H207" s="977"/>
      <c r="I207" s="996"/>
      <c r="J207" s="977"/>
      <c r="K207" s="996"/>
      <c r="L207" s="977"/>
      <c r="M207" s="996"/>
      <c r="N207" s="977"/>
      <c r="O207" s="996"/>
      <c r="P207" s="977"/>
      <c r="Q207" s="996"/>
      <c r="R207" s="977"/>
      <c r="S207" s="996"/>
      <c r="T207" s="977"/>
      <c r="U207" s="996"/>
      <c r="V207" s="977"/>
      <c r="W207" s="997" t="e">
        <f>X207*C207</f>
        <v>#REF!</v>
      </c>
      <c r="X207" s="977">
        <v>1</v>
      </c>
      <c r="Y207" s="961" t="e">
        <f t="shared" si="89"/>
        <v>#REF!</v>
      </c>
      <c r="Z207" s="947">
        <f t="shared" si="92"/>
        <v>1</v>
      </c>
      <c r="AA207" s="1814"/>
      <c r="AB207" s="1814"/>
      <c r="AC207" s="1814"/>
      <c r="AD207" s="1814"/>
      <c r="AE207" s="1814"/>
      <c r="AF207" s="1814"/>
      <c r="AG207" s="1814"/>
      <c r="AH207" s="1814"/>
      <c r="AI207" s="1814"/>
      <c r="AJ207" s="1814"/>
      <c r="AK207" s="1814"/>
      <c r="AL207" s="1814"/>
      <c r="AM207" s="1814"/>
      <c r="AN207" s="1814"/>
      <c r="AO207" s="1814"/>
      <c r="AP207" s="1814"/>
      <c r="AQ207" s="1814"/>
      <c r="AR207" s="1814"/>
      <c r="AS207" s="1814"/>
      <c r="AT207" s="1815"/>
      <c r="AU207" s="948"/>
    </row>
    <row r="208" spans="1:47" ht="12.75">
      <c r="A208" s="1827" t="s">
        <v>14071</v>
      </c>
      <c r="B208" s="973" t="str">
        <f>VLOOKUP($A208,'Medição '!$A:$G,4,0)</f>
        <v>ESQUADRIAS E FECHAMENTOS</v>
      </c>
      <c r="C208" s="974" t="e">
        <f>VLOOKUP($A208,'Medição '!$A:$G,10,0)</f>
        <v>#REF!</v>
      </c>
      <c r="D208" s="1006"/>
      <c r="E208" s="996"/>
      <c r="F208" s="977"/>
      <c r="G208" s="996"/>
      <c r="H208" s="977"/>
      <c r="I208" s="996"/>
      <c r="J208" s="977"/>
      <c r="K208" s="996"/>
      <c r="L208" s="977"/>
      <c r="M208" s="996"/>
      <c r="N208" s="977"/>
      <c r="O208" s="996"/>
      <c r="P208" s="977"/>
      <c r="Q208" s="996"/>
      <c r="R208" s="977"/>
      <c r="S208" s="996"/>
      <c r="T208" s="977"/>
      <c r="U208" s="996" t="e">
        <f>V208*C208</f>
        <v>#REF!</v>
      </c>
      <c r="V208" s="977">
        <v>1</v>
      </c>
      <c r="W208" s="997"/>
      <c r="X208" s="977"/>
      <c r="Y208" s="961" t="e">
        <f t="shared" si="89"/>
        <v>#REF!</v>
      </c>
      <c r="Z208" s="947">
        <f t="shared" si="92"/>
        <v>1</v>
      </c>
      <c r="AA208" s="1814"/>
      <c r="AB208" s="1814"/>
      <c r="AC208" s="1814"/>
      <c r="AD208" s="1814"/>
      <c r="AE208" s="1814"/>
      <c r="AF208" s="1814"/>
      <c r="AG208" s="1814"/>
      <c r="AH208" s="1814"/>
      <c r="AI208" s="1814"/>
      <c r="AJ208" s="1814"/>
      <c r="AK208" s="1814"/>
      <c r="AL208" s="1814"/>
      <c r="AM208" s="1814"/>
      <c r="AN208" s="1814"/>
      <c r="AO208" s="1814"/>
      <c r="AP208" s="1814"/>
      <c r="AQ208" s="1814"/>
      <c r="AR208" s="1814"/>
      <c r="AS208" s="1814"/>
      <c r="AT208" s="1815"/>
      <c r="AU208" s="948"/>
    </row>
    <row r="209" spans="1:47" ht="12.75">
      <c r="A209" s="1827" t="s">
        <v>14075</v>
      </c>
      <c r="B209" s="973" t="str">
        <f>VLOOKUP($A209,'Medição '!$A:$G,4,0)</f>
        <v>FORROS E COBERTURA</v>
      </c>
      <c r="C209" s="974" t="e">
        <f>VLOOKUP($A209,'Medição '!$A:$G,10,0)</f>
        <v>#REF!</v>
      </c>
      <c r="D209" s="1006"/>
      <c r="E209" s="996"/>
      <c r="F209" s="977"/>
      <c r="G209" s="996"/>
      <c r="H209" s="977"/>
      <c r="I209" s="996"/>
      <c r="J209" s="977"/>
      <c r="K209" s="996"/>
      <c r="L209" s="977"/>
      <c r="M209" s="996"/>
      <c r="N209" s="977"/>
      <c r="O209" s="996"/>
      <c r="P209" s="977"/>
      <c r="Q209" s="996">
        <f>('Medição '!H1439+'Medição '!H1440+'Medição '!H1441)</f>
        <v>73196.12</v>
      </c>
      <c r="R209" s="977" t="e">
        <f>Q209/C209</f>
        <v>#REF!</v>
      </c>
      <c r="S209" s="996"/>
      <c r="T209" s="977"/>
      <c r="U209" s="996">
        <f>('Medição '!H1436+'Medição '!H1437+'Medição '!H1438+'Medição '!H1442+'Medição '!H1443)</f>
        <v>43077.85</v>
      </c>
      <c r="V209" s="977" t="e">
        <f>U209/C209</f>
        <v>#REF!</v>
      </c>
      <c r="W209" s="997"/>
      <c r="X209" s="977"/>
      <c r="Y209" s="961">
        <f t="shared" si="89"/>
        <v>116273.97</v>
      </c>
      <c r="Z209" s="947" t="e">
        <f t="shared" si="92"/>
        <v>#REF!</v>
      </c>
      <c r="AA209" s="1814"/>
      <c r="AB209" s="1814"/>
      <c r="AC209" s="1814"/>
      <c r="AD209" s="1814"/>
      <c r="AE209" s="1814"/>
      <c r="AF209" s="1814"/>
      <c r="AG209" s="1814"/>
      <c r="AH209" s="1814"/>
      <c r="AI209" s="1814"/>
      <c r="AJ209" s="1814"/>
      <c r="AK209" s="1814"/>
      <c r="AL209" s="1814"/>
      <c r="AM209" s="1814"/>
      <c r="AN209" s="1814"/>
      <c r="AO209" s="1814"/>
      <c r="AP209" s="1814"/>
      <c r="AQ209" s="1814"/>
      <c r="AR209" s="1814"/>
      <c r="AS209" s="1814"/>
      <c r="AT209" s="1815"/>
      <c r="AU209" s="948"/>
    </row>
    <row r="210" spans="1:47" ht="12.75">
      <c r="A210" s="1827" t="s">
        <v>14084</v>
      </c>
      <c r="B210" s="973" t="str">
        <f>VLOOKUP($A210,'Medição '!$A:$G,4,0)</f>
        <v>VIDRAÇARIA / SERRALHERIA / MARMORARIA</v>
      </c>
      <c r="C210" s="974" t="e">
        <f>VLOOKUP($A210,'Medição '!$A:$G,10,0)</f>
        <v>#REF!</v>
      </c>
      <c r="D210" s="1006"/>
      <c r="E210" s="996"/>
      <c r="F210" s="977"/>
      <c r="G210" s="996"/>
      <c r="H210" s="977"/>
      <c r="I210" s="996"/>
      <c r="J210" s="977"/>
      <c r="K210" s="996"/>
      <c r="L210" s="977"/>
      <c r="M210" s="996"/>
      <c r="N210" s="977"/>
      <c r="O210" s="996"/>
      <c r="P210" s="977"/>
      <c r="Q210" s="996"/>
      <c r="R210" s="977"/>
      <c r="S210" s="996">
        <f>'Medição '!H1452*0.5</f>
        <v>48448.135000000002</v>
      </c>
      <c r="T210" s="977" t="e">
        <f>S210/C210</f>
        <v>#REF!</v>
      </c>
      <c r="U210" s="996">
        <f>('Medição '!H1450+'Medição '!H1451+'Medição '!H1447+'Medição '!H1448+'Medição '!H1449+'Medição '!H1452*0.5)</f>
        <v>109110.495</v>
      </c>
      <c r="V210" s="977" t="e">
        <f>U210/C210</f>
        <v>#REF!</v>
      </c>
      <c r="W210" s="997">
        <f>('Medição '!H1445+'Medição '!H1446+'Medição '!H1453+'Medição '!H1454)</f>
        <v>52982.78</v>
      </c>
      <c r="X210" s="977" t="e">
        <f>W210/C210</f>
        <v>#REF!</v>
      </c>
      <c r="Y210" s="961">
        <f t="shared" si="89"/>
        <v>210541.41</v>
      </c>
      <c r="Z210" s="947" t="e">
        <f t="shared" si="92"/>
        <v>#REF!</v>
      </c>
      <c r="AA210" s="1814"/>
      <c r="AB210" s="1814"/>
      <c r="AC210" s="1814"/>
      <c r="AD210" s="1814"/>
      <c r="AE210" s="1814"/>
      <c r="AF210" s="1814"/>
      <c r="AG210" s="1814"/>
      <c r="AH210" s="1814"/>
      <c r="AI210" s="1814"/>
      <c r="AJ210" s="1814"/>
      <c r="AK210" s="1814"/>
      <c r="AL210" s="1814"/>
      <c r="AM210" s="1814"/>
      <c r="AN210" s="1814"/>
      <c r="AO210" s="1814"/>
      <c r="AP210" s="1814"/>
      <c r="AQ210" s="1814"/>
      <c r="AR210" s="1814"/>
      <c r="AS210" s="1814"/>
      <c r="AT210" s="1815"/>
      <c r="AU210" s="948"/>
    </row>
    <row r="211" spans="1:47" ht="12.75">
      <c r="A211" s="1827" t="s">
        <v>14095</v>
      </c>
      <c r="B211" s="973" t="str">
        <f>VLOOKUP($A211,'Medição '!$A:$G,4,0)</f>
        <v>LOUÇAS, METAIS E ACESSÓRIOS</v>
      </c>
      <c r="C211" s="974" t="e">
        <f>VLOOKUP($A211,'Medição '!$A:$G,10,0)</f>
        <v>#REF!</v>
      </c>
      <c r="D211" s="1006"/>
      <c r="E211" s="996"/>
      <c r="F211" s="977"/>
      <c r="G211" s="996"/>
      <c r="H211" s="977"/>
      <c r="I211" s="996"/>
      <c r="J211" s="977"/>
      <c r="K211" s="996"/>
      <c r="L211" s="977"/>
      <c r="M211" s="996"/>
      <c r="N211" s="977"/>
      <c r="O211" s="996"/>
      <c r="P211" s="977"/>
      <c r="Q211" s="996"/>
      <c r="R211" s="977"/>
      <c r="S211" s="996"/>
      <c r="T211" s="977"/>
      <c r="U211" s="997"/>
      <c r="V211" s="977"/>
      <c r="W211" s="997" t="e">
        <f>X211*C211</f>
        <v>#REF!</v>
      </c>
      <c r="X211" s="977">
        <v>1</v>
      </c>
      <c r="Y211" s="961" t="e">
        <f t="shared" si="89"/>
        <v>#REF!</v>
      </c>
      <c r="Z211" s="947">
        <f t="shared" si="92"/>
        <v>1</v>
      </c>
      <c r="AA211" s="1814"/>
      <c r="AB211" s="1814"/>
      <c r="AC211" s="1814"/>
      <c r="AD211" s="1814"/>
      <c r="AE211" s="1814"/>
      <c r="AF211" s="1814"/>
      <c r="AG211" s="1814"/>
      <c r="AH211" s="1814"/>
      <c r="AI211" s="1814"/>
      <c r="AJ211" s="1814"/>
      <c r="AK211" s="1814"/>
      <c r="AL211" s="1814"/>
      <c r="AM211" s="1814"/>
      <c r="AN211" s="1814"/>
      <c r="AO211" s="1814"/>
      <c r="AP211" s="1814"/>
      <c r="AQ211" s="1814"/>
      <c r="AR211" s="1814"/>
      <c r="AS211" s="1814"/>
      <c r="AT211" s="1815"/>
      <c r="AU211" s="948"/>
    </row>
    <row r="212" spans="1:47" ht="12.75">
      <c r="A212" s="1827" t="s">
        <v>14117</v>
      </c>
      <c r="B212" s="973" t="str">
        <f>VLOOKUP($A212,'Medição '!$A:$G,4,0)</f>
        <v xml:space="preserve">PAVIMENTAÇÕES, URBANIZAÇÃO E PAISAGISMO, ACESSIBILIDADE E COMUNICAÇÃO VISUAL </v>
      </c>
      <c r="C212" s="974" t="e">
        <f>VLOOKUP($A212,'Medição '!$A:$G,10,0)</f>
        <v>#REF!</v>
      </c>
      <c r="D212" s="1006"/>
      <c r="E212" s="996"/>
      <c r="F212" s="977"/>
      <c r="G212" s="996"/>
      <c r="H212" s="977"/>
      <c r="I212" s="996"/>
      <c r="J212" s="977"/>
      <c r="K212" s="996"/>
      <c r="L212" s="977"/>
      <c r="M212" s="996"/>
      <c r="N212" s="977"/>
      <c r="O212" s="996"/>
      <c r="P212" s="977"/>
      <c r="Q212" s="996"/>
      <c r="R212" s="977"/>
      <c r="S212" s="996"/>
      <c r="T212" s="977"/>
      <c r="U212" s="997"/>
      <c r="V212" s="977"/>
      <c r="W212" s="997" t="e">
        <f>X212*C212</f>
        <v>#REF!</v>
      </c>
      <c r="X212" s="977">
        <v>1</v>
      </c>
      <c r="Y212" s="961" t="e">
        <f t="shared" si="89"/>
        <v>#REF!</v>
      </c>
      <c r="Z212" s="947">
        <f t="shared" si="92"/>
        <v>1</v>
      </c>
      <c r="AA212" s="1814"/>
      <c r="AB212" s="1814"/>
      <c r="AC212" s="1814"/>
      <c r="AD212" s="1814"/>
      <c r="AE212" s="1814"/>
      <c r="AF212" s="1814"/>
      <c r="AG212" s="1814"/>
      <c r="AH212" s="1814"/>
      <c r="AI212" s="1814"/>
      <c r="AJ212" s="1814"/>
      <c r="AK212" s="1814"/>
      <c r="AL212" s="1814"/>
      <c r="AM212" s="1814"/>
      <c r="AN212" s="1814"/>
      <c r="AO212" s="1814"/>
      <c r="AP212" s="1814"/>
      <c r="AQ212" s="1814"/>
      <c r="AR212" s="1814"/>
      <c r="AS212" s="1814"/>
      <c r="AT212" s="1815"/>
      <c r="AU212" s="948"/>
    </row>
    <row r="213" spans="1:47">
      <c r="A213" s="1820" t="s">
        <v>12650</v>
      </c>
      <c r="B213" s="979" t="s">
        <v>16310</v>
      </c>
      <c r="C213" s="980" t="e">
        <f>VLOOKUP($A213,'Medição '!$A:$G,10,0)</f>
        <v>#REF!</v>
      </c>
      <c r="D213" s="981"/>
      <c r="E213" s="982"/>
      <c r="F213" s="969"/>
      <c r="G213" s="982"/>
      <c r="H213" s="969"/>
      <c r="I213" s="982"/>
      <c r="J213" s="969"/>
      <c r="K213" s="982"/>
      <c r="L213" s="969"/>
      <c r="M213" s="968"/>
      <c r="N213" s="969"/>
      <c r="O213" s="968"/>
      <c r="P213" s="969"/>
      <c r="Q213" s="968"/>
      <c r="R213" s="969"/>
      <c r="S213" s="968"/>
      <c r="T213" s="969"/>
      <c r="U213" s="970" t="e">
        <f>SUM(U214:U216)</f>
        <v>#REF!</v>
      </c>
      <c r="V213" s="969" t="e">
        <f>U213/C213</f>
        <v>#REF!</v>
      </c>
      <c r="W213" s="970"/>
      <c r="X213" s="969"/>
      <c r="Y213" s="972" t="e">
        <f t="shared" si="89"/>
        <v>#REF!</v>
      </c>
      <c r="Z213" s="947" t="e">
        <f>SUM(F213,H213,J213,L213,N213,P213,R213,T213,V213,X213)</f>
        <v>#REF!</v>
      </c>
      <c r="AA213" s="1814"/>
      <c r="AB213" s="1814"/>
      <c r="AC213" s="1814"/>
      <c r="AD213" s="1814"/>
      <c r="AE213" s="1814"/>
      <c r="AF213" s="1814"/>
      <c r="AG213" s="1814"/>
      <c r="AH213" s="1814"/>
      <c r="AI213" s="1814"/>
      <c r="AJ213" s="1814"/>
      <c r="AK213" s="1814"/>
      <c r="AL213" s="1814"/>
      <c r="AM213" s="1814"/>
      <c r="AN213" s="1814"/>
      <c r="AO213" s="1814"/>
      <c r="AP213" s="1814"/>
      <c r="AQ213" s="1814"/>
      <c r="AR213" s="1814"/>
      <c r="AS213" s="1814"/>
      <c r="AT213" s="1815"/>
      <c r="AU213" s="948"/>
    </row>
    <row r="214" spans="1:47" ht="12.75">
      <c r="A214" s="1827" t="s">
        <v>14124</v>
      </c>
      <c r="B214" s="973" t="str">
        <f>VLOOKUP($A214,'Medição '!$A:$G,4,0)</f>
        <v>INSTALAÇÕES HIDRÁULICAS</v>
      </c>
      <c r="C214" s="974" t="e">
        <f>VLOOKUP($A214,'Medição '!$A:$G,10,0)</f>
        <v>#REF!</v>
      </c>
      <c r="D214" s="1006"/>
      <c r="E214" s="996"/>
      <c r="F214" s="977"/>
      <c r="G214" s="996"/>
      <c r="H214" s="977"/>
      <c r="I214" s="996"/>
      <c r="J214" s="977"/>
      <c r="K214" s="996"/>
      <c r="L214" s="977"/>
      <c r="M214" s="996"/>
      <c r="N214" s="977"/>
      <c r="O214" s="996"/>
      <c r="P214" s="977"/>
      <c r="Q214" s="996"/>
      <c r="R214" s="977"/>
      <c r="S214" s="996"/>
      <c r="T214" s="977"/>
      <c r="U214" s="997" t="e">
        <f>V214*C214</f>
        <v>#REF!</v>
      </c>
      <c r="V214" s="977">
        <v>1</v>
      </c>
      <c r="W214" s="997"/>
      <c r="X214" s="977"/>
      <c r="Y214" s="961" t="e">
        <f t="shared" si="89"/>
        <v>#REF!</v>
      </c>
      <c r="Z214" s="947">
        <f>SUM(F214,H214,J214,L214,N214,P214,R214,T214,V214,X214,)</f>
        <v>1</v>
      </c>
      <c r="AA214" s="1814"/>
      <c r="AB214" s="1814"/>
      <c r="AC214" s="1814"/>
      <c r="AD214" s="1814"/>
      <c r="AE214" s="1814"/>
      <c r="AF214" s="1814"/>
      <c r="AG214" s="1814"/>
      <c r="AH214" s="1814"/>
      <c r="AI214" s="1814"/>
      <c r="AJ214" s="1814"/>
      <c r="AK214" s="1814"/>
      <c r="AL214" s="1814"/>
      <c r="AM214" s="1814"/>
      <c r="AN214" s="1814"/>
      <c r="AO214" s="1814"/>
      <c r="AP214" s="1814"/>
      <c r="AQ214" s="1814"/>
      <c r="AR214" s="1814"/>
      <c r="AS214" s="1814"/>
      <c r="AT214" s="1815"/>
      <c r="AU214" s="948"/>
    </row>
    <row r="215" spans="1:47" ht="12.75">
      <c r="A215" s="1827" t="s">
        <v>14165</v>
      </c>
      <c r="B215" s="973" t="str">
        <f>VLOOKUP($A215,'Medição '!$A:$G,4,0)</f>
        <v>INSTALAÇÕES SANITÁRIAS/VENTILAÇÃO</v>
      </c>
      <c r="C215" s="974" t="e">
        <f>VLOOKUP($A215,'Medição '!$A:$G,10,0)</f>
        <v>#REF!</v>
      </c>
      <c r="D215" s="1006"/>
      <c r="E215" s="996"/>
      <c r="F215" s="977"/>
      <c r="G215" s="996"/>
      <c r="H215" s="977"/>
      <c r="I215" s="996"/>
      <c r="J215" s="977"/>
      <c r="K215" s="996"/>
      <c r="L215" s="977"/>
      <c r="M215" s="996"/>
      <c r="N215" s="977"/>
      <c r="O215" s="996"/>
      <c r="P215" s="977"/>
      <c r="Q215" s="996"/>
      <c r="R215" s="977"/>
      <c r="S215" s="996"/>
      <c r="T215" s="977"/>
      <c r="U215" s="997" t="e">
        <f>V215*C215</f>
        <v>#REF!</v>
      </c>
      <c r="V215" s="977">
        <v>1</v>
      </c>
      <c r="W215" s="997"/>
      <c r="X215" s="977"/>
      <c r="Y215" s="961" t="e">
        <f t="shared" si="89"/>
        <v>#REF!</v>
      </c>
      <c r="Z215" s="947">
        <f>SUM(F215,H215,J215,L215,N215,P215,R215,T215,V215,X215,)</f>
        <v>1</v>
      </c>
      <c r="AA215" s="1814"/>
      <c r="AB215" s="1814"/>
      <c r="AC215" s="1814"/>
      <c r="AD215" s="1814"/>
      <c r="AE215" s="1814"/>
      <c r="AF215" s="1814"/>
      <c r="AG215" s="1814"/>
      <c r="AH215" s="1814"/>
      <c r="AI215" s="1814"/>
      <c r="AJ215" s="1814"/>
      <c r="AK215" s="1814"/>
      <c r="AL215" s="1814"/>
      <c r="AM215" s="1814"/>
      <c r="AN215" s="1814"/>
      <c r="AO215" s="1814"/>
      <c r="AP215" s="1814"/>
      <c r="AQ215" s="1814"/>
      <c r="AR215" s="1814"/>
      <c r="AS215" s="1814"/>
      <c r="AT215" s="1815"/>
      <c r="AU215" s="948"/>
    </row>
    <row r="216" spans="1:47" ht="12.75">
      <c r="A216" s="1827" t="s">
        <v>14204</v>
      </c>
      <c r="B216" s="973" t="str">
        <f>VLOOKUP($A216,'Medição '!$A:$G,4,0)</f>
        <v>INSTALAÇÕES DE DRENAGEM</v>
      </c>
      <c r="C216" s="974" t="e">
        <f>VLOOKUP($A216,'Medição '!$A:$G,10,0)</f>
        <v>#REF!</v>
      </c>
      <c r="D216" s="1006"/>
      <c r="E216" s="996"/>
      <c r="F216" s="977"/>
      <c r="G216" s="996"/>
      <c r="H216" s="977"/>
      <c r="I216" s="996"/>
      <c r="J216" s="977"/>
      <c r="K216" s="996"/>
      <c r="L216" s="977"/>
      <c r="M216" s="996"/>
      <c r="N216" s="977"/>
      <c r="O216" s="996"/>
      <c r="P216" s="977"/>
      <c r="Q216" s="996"/>
      <c r="R216" s="977"/>
      <c r="S216" s="996"/>
      <c r="T216" s="977"/>
      <c r="U216" s="997" t="e">
        <f>V216*C216</f>
        <v>#REF!</v>
      </c>
      <c r="V216" s="977">
        <v>1</v>
      </c>
      <c r="W216" s="997"/>
      <c r="X216" s="977"/>
      <c r="Y216" s="961" t="e">
        <f t="shared" si="89"/>
        <v>#REF!</v>
      </c>
      <c r="Z216" s="947">
        <f>SUM(F216,H216,J216,L216,N216,P216,R216,T216,V216,X216,)</f>
        <v>1</v>
      </c>
      <c r="AA216" s="1814"/>
      <c r="AB216" s="1814"/>
      <c r="AC216" s="1814"/>
      <c r="AD216" s="1814"/>
      <c r="AE216" s="1814"/>
      <c r="AF216" s="1814"/>
      <c r="AG216" s="1814"/>
      <c r="AH216" s="1814"/>
      <c r="AI216" s="1814"/>
      <c r="AJ216" s="1814"/>
      <c r="AK216" s="1814"/>
      <c r="AL216" s="1814"/>
      <c r="AM216" s="1814"/>
      <c r="AN216" s="1814"/>
      <c r="AO216" s="1814"/>
      <c r="AP216" s="1814"/>
      <c r="AQ216" s="1814"/>
      <c r="AR216" s="1814"/>
      <c r="AS216" s="1814"/>
      <c r="AT216" s="1815"/>
      <c r="AU216" s="948"/>
    </row>
    <row r="217" spans="1:47">
      <c r="A217" s="1820" t="s">
        <v>12651</v>
      </c>
      <c r="B217" s="979" t="s">
        <v>12510</v>
      </c>
      <c r="C217" s="980" t="e">
        <f>SUBTOTAL(9,C218:C223)</f>
        <v>#REF!</v>
      </c>
      <c r="D217" s="981"/>
      <c r="E217" s="982"/>
      <c r="F217" s="969"/>
      <c r="G217" s="982"/>
      <c r="H217" s="969"/>
      <c r="I217" s="982"/>
      <c r="J217" s="969"/>
      <c r="K217" s="982"/>
      <c r="L217" s="969"/>
      <c r="M217" s="968"/>
      <c r="N217" s="969"/>
      <c r="O217" s="968"/>
      <c r="P217" s="969"/>
      <c r="Q217" s="968"/>
      <c r="R217" s="969"/>
      <c r="S217" s="968" t="e">
        <f>SUM(S218:S223)</f>
        <v>#REF!</v>
      </c>
      <c r="T217" s="969" t="e">
        <f>S217/C217</f>
        <v>#REF!</v>
      </c>
      <c r="U217" s="968" t="e">
        <f>SUM(U218:U223)</f>
        <v>#REF!</v>
      </c>
      <c r="V217" s="969" t="e">
        <f>U217/C217</f>
        <v>#REF!</v>
      </c>
      <c r="W217" s="968" t="e">
        <f>SUM(W218:W223)</f>
        <v>#REF!</v>
      </c>
      <c r="X217" s="969" t="e">
        <f>W217/C217</f>
        <v>#REF!</v>
      </c>
      <c r="Y217" s="972" t="e">
        <f t="shared" si="89"/>
        <v>#REF!</v>
      </c>
      <c r="Z217" s="947" t="e">
        <f>SUM(F217,H217,J217,L217,N217,P217,R217,T217,V217,X217)</f>
        <v>#REF!</v>
      </c>
      <c r="AA217" s="1814"/>
      <c r="AB217" s="1814"/>
      <c r="AC217" s="1814"/>
      <c r="AD217" s="1814"/>
      <c r="AE217" s="1814"/>
      <c r="AF217" s="1814"/>
      <c r="AG217" s="1814"/>
      <c r="AH217" s="1814"/>
      <c r="AI217" s="1814"/>
      <c r="AJ217" s="1814"/>
      <c r="AK217" s="1814"/>
      <c r="AL217" s="1814"/>
      <c r="AM217" s="1814"/>
      <c r="AN217" s="1814"/>
      <c r="AO217" s="1814"/>
      <c r="AP217" s="1814"/>
      <c r="AQ217" s="1814"/>
      <c r="AR217" s="1814"/>
      <c r="AS217" s="1814"/>
      <c r="AT217" s="1815"/>
      <c r="AU217" s="948"/>
    </row>
    <row r="218" spans="1:47" ht="12.75">
      <c r="A218" s="1827" t="s">
        <v>14216</v>
      </c>
      <c r="B218" s="973" t="str">
        <f>VLOOKUP($A218,'Medição '!$A:$G,4,0)</f>
        <v>ELETRODUTOS E ACESSÓRIOS</v>
      </c>
      <c r="C218" s="974" t="e">
        <f>VLOOKUP($A218,'Medição '!$A:$G,10,0)</f>
        <v>#REF!</v>
      </c>
      <c r="D218" s="1006"/>
      <c r="E218" s="996"/>
      <c r="F218" s="977"/>
      <c r="G218" s="996"/>
      <c r="H218" s="977"/>
      <c r="I218" s="996"/>
      <c r="J218" s="977"/>
      <c r="K218" s="996"/>
      <c r="L218" s="977"/>
      <c r="M218" s="996"/>
      <c r="N218" s="977"/>
      <c r="O218" s="996"/>
      <c r="P218" s="977"/>
      <c r="Q218" s="996"/>
      <c r="R218" s="977"/>
      <c r="S218" s="996" t="e">
        <f>C218*T218</f>
        <v>#REF!</v>
      </c>
      <c r="T218" s="977">
        <v>1</v>
      </c>
      <c r="U218" s="997"/>
      <c r="V218" s="977"/>
      <c r="W218" s="997"/>
      <c r="X218" s="977"/>
      <c r="Y218" s="961" t="e">
        <f t="shared" si="89"/>
        <v>#REF!</v>
      </c>
      <c r="Z218" s="947">
        <f t="shared" ref="Z218:Z223" si="93">SUM(F218,H218,J218,L218,N218,P218,R218,T218,V218,X218,)</f>
        <v>1</v>
      </c>
      <c r="AA218" s="1814"/>
      <c r="AB218" s="1814"/>
      <c r="AC218" s="1814"/>
      <c r="AD218" s="1814"/>
      <c r="AE218" s="1814"/>
      <c r="AF218" s="1814"/>
      <c r="AG218" s="1814"/>
      <c r="AH218" s="1814"/>
      <c r="AI218" s="1814"/>
      <c r="AJ218" s="1814"/>
      <c r="AK218" s="1814"/>
      <c r="AL218" s="1814"/>
      <c r="AM218" s="1814"/>
      <c r="AN218" s="1814"/>
      <c r="AO218" s="1814"/>
      <c r="AP218" s="1814"/>
      <c r="AQ218" s="1814"/>
      <c r="AR218" s="1814"/>
      <c r="AS218" s="1814"/>
      <c r="AT218" s="1815"/>
      <c r="AU218" s="948"/>
    </row>
    <row r="219" spans="1:47" ht="12.75">
      <c r="A219" s="1827" t="s">
        <v>14223</v>
      </c>
      <c r="B219" s="973" t="str">
        <f>VLOOKUP($A219,'Medição '!$A:$G,4,0)</f>
        <v>CAIXA DE PASSAGEM E ACESSÓRIOS</v>
      </c>
      <c r="C219" s="974" t="e">
        <f>VLOOKUP($A219,'Medição '!$A:$G,10,0)</f>
        <v>#REF!</v>
      </c>
      <c r="D219" s="1006"/>
      <c r="E219" s="996"/>
      <c r="F219" s="977"/>
      <c r="G219" s="996"/>
      <c r="H219" s="977"/>
      <c r="I219" s="996"/>
      <c r="J219" s="977"/>
      <c r="K219" s="996"/>
      <c r="L219" s="977"/>
      <c r="M219" s="996"/>
      <c r="N219" s="977"/>
      <c r="O219" s="996"/>
      <c r="P219" s="977"/>
      <c r="Q219" s="996"/>
      <c r="R219" s="977"/>
      <c r="S219" s="996" t="e">
        <f>C219*T219</f>
        <v>#REF!</v>
      </c>
      <c r="T219" s="977">
        <v>1</v>
      </c>
      <c r="U219" s="997"/>
      <c r="V219" s="977"/>
      <c r="W219" s="997"/>
      <c r="X219" s="977"/>
      <c r="Y219" s="961" t="e">
        <f t="shared" si="89"/>
        <v>#REF!</v>
      </c>
      <c r="Z219" s="947">
        <f t="shared" si="93"/>
        <v>1</v>
      </c>
      <c r="AA219" s="1814"/>
      <c r="AB219" s="1814"/>
      <c r="AC219" s="1814"/>
      <c r="AD219" s="1814"/>
      <c r="AE219" s="1814"/>
      <c r="AF219" s="1814"/>
      <c r="AG219" s="1814"/>
      <c r="AH219" s="1814"/>
      <c r="AI219" s="1814"/>
      <c r="AJ219" s="1814"/>
      <c r="AK219" s="1814"/>
      <c r="AL219" s="1814"/>
      <c r="AM219" s="1814"/>
      <c r="AN219" s="1814"/>
      <c r="AO219" s="1814"/>
      <c r="AP219" s="1814"/>
      <c r="AQ219" s="1814"/>
      <c r="AR219" s="1814"/>
      <c r="AS219" s="1814"/>
      <c r="AT219" s="1815"/>
      <c r="AU219" s="948"/>
    </row>
    <row r="220" spans="1:47" ht="12.75">
      <c r="A220" s="1827" t="s">
        <v>14229</v>
      </c>
      <c r="B220" s="973" t="str">
        <f>VLOOKUP($A220,'Medição '!$A:$G,4,0)</f>
        <v>TOMADAS, INTERRUPTORES E ACESSÓRIOS</v>
      </c>
      <c r="C220" s="974" t="e">
        <f>VLOOKUP($A220,'Medição '!$A:$G,10,0)</f>
        <v>#REF!</v>
      </c>
      <c r="D220" s="1006"/>
      <c r="E220" s="996"/>
      <c r="F220" s="977"/>
      <c r="G220" s="996"/>
      <c r="H220" s="977"/>
      <c r="I220" s="996"/>
      <c r="J220" s="977"/>
      <c r="K220" s="996"/>
      <c r="L220" s="977"/>
      <c r="M220" s="996"/>
      <c r="N220" s="977"/>
      <c r="O220" s="996"/>
      <c r="P220" s="977"/>
      <c r="Q220" s="996"/>
      <c r="R220" s="977"/>
      <c r="S220" s="996"/>
      <c r="T220" s="977"/>
      <c r="U220" s="997" t="e">
        <f>C220*V220</f>
        <v>#REF!</v>
      </c>
      <c r="V220" s="977">
        <v>1</v>
      </c>
      <c r="W220" s="997"/>
      <c r="X220" s="977"/>
      <c r="Y220" s="961" t="e">
        <f t="shared" si="89"/>
        <v>#REF!</v>
      </c>
      <c r="Z220" s="947">
        <f t="shared" si="93"/>
        <v>1</v>
      </c>
      <c r="AA220" s="1814"/>
      <c r="AB220" s="1814"/>
      <c r="AC220" s="1814"/>
      <c r="AD220" s="1814"/>
      <c r="AE220" s="1814"/>
      <c r="AF220" s="1814"/>
      <c r="AG220" s="1814"/>
      <c r="AH220" s="1814"/>
      <c r="AI220" s="1814"/>
      <c r="AJ220" s="1814"/>
      <c r="AK220" s="1814"/>
      <c r="AL220" s="1814"/>
      <c r="AM220" s="1814"/>
      <c r="AN220" s="1814"/>
      <c r="AO220" s="1814"/>
      <c r="AP220" s="1814"/>
      <c r="AQ220" s="1814"/>
      <c r="AR220" s="1814"/>
      <c r="AS220" s="1814"/>
      <c r="AT220" s="1815"/>
      <c r="AU220" s="948"/>
    </row>
    <row r="221" spans="1:47" ht="12.75">
      <c r="A221" s="1827" t="s">
        <v>14239</v>
      </c>
      <c r="B221" s="973" t="str">
        <f>VLOOKUP($A221,'Medição '!$A:$G,4,0)</f>
        <v>CABOS ELÉTRICOS</v>
      </c>
      <c r="C221" s="974" t="e">
        <f>VLOOKUP($A221,'Medição '!$A:$G,10,0)</f>
        <v>#REF!</v>
      </c>
      <c r="D221" s="1006"/>
      <c r="E221" s="996"/>
      <c r="F221" s="977"/>
      <c r="G221" s="996"/>
      <c r="H221" s="977"/>
      <c r="I221" s="996"/>
      <c r="J221" s="977"/>
      <c r="K221" s="996"/>
      <c r="L221" s="977"/>
      <c r="M221" s="996"/>
      <c r="N221" s="977"/>
      <c r="O221" s="996"/>
      <c r="P221" s="977"/>
      <c r="Q221" s="996"/>
      <c r="R221" s="977"/>
      <c r="S221" s="996"/>
      <c r="T221" s="977"/>
      <c r="U221" s="997" t="e">
        <f>C221*V221</f>
        <v>#REF!</v>
      </c>
      <c r="V221" s="977">
        <v>1</v>
      </c>
      <c r="W221" s="997"/>
      <c r="X221" s="977"/>
      <c r="Y221" s="961" t="e">
        <f t="shared" si="89"/>
        <v>#REF!</v>
      </c>
      <c r="Z221" s="947">
        <f t="shared" si="93"/>
        <v>1</v>
      </c>
      <c r="AA221" s="1814"/>
      <c r="AB221" s="1814"/>
      <c r="AC221" s="1814"/>
      <c r="AD221" s="1814"/>
      <c r="AE221" s="1814"/>
      <c r="AF221" s="1814"/>
      <c r="AG221" s="1814"/>
      <c r="AH221" s="1814"/>
      <c r="AI221" s="1814"/>
      <c r="AJ221" s="1814"/>
      <c r="AK221" s="1814"/>
      <c r="AL221" s="1814"/>
      <c r="AM221" s="1814"/>
      <c r="AN221" s="1814"/>
      <c r="AO221" s="1814"/>
      <c r="AP221" s="1814"/>
      <c r="AQ221" s="1814"/>
      <c r="AR221" s="1814"/>
      <c r="AS221" s="1814"/>
      <c r="AT221" s="1815"/>
      <c r="AU221" s="948"/>
    </row>
    <row r="222" spans="1:47" ht="12.75">
      <c r="A222" s="1827" t="s">
        <v>14243</v>
      </c>
      <c r="B222" s="973" t="str">
        <f>VLOOKUP($A222,'Medição '!$A:$G,4,0)</f>
        <v xml:space="preserve">DISPOSITIVO DE PROTEÇÃO E DISTRIBUIÇÃO </v>
      </c>
      <c r="C222" s="974" t="e">
        <f>VLOOKUP($A222,'Medição '!$A:$G,10,0)</f>
        <v>#REF!</v>
      </c>
      <c r="D222" s="1006"/>
      <c r="E222" s="996"/>
      <c r="F222" s="977"/>
      <c r="G222" s="996"/>
      <c r="H222" s="977"/>
      <c r="I222" s="996"/>
      <c r="J222" s="977"/>
      <c r="K222" s="996"/>
      <c r="L222" s="977"/>
      <c r="M222" s="996"/>
      <c r="N222" s="977"/>
      <c r="O222" s="996"/>
      <c r="P222" s="977"/>
      <c r="Q222" s="996"/>
      <c r="R222" s="977"/>
      <c r="S222" s="996"/>
      <c r="T222" s="977"/>
      <c r="U222" s="997" t="e">
        <f>C222*V222</f>
        <v>#REF!</v>
      </c>
      <c r="V222" s="977">
        <v>1</v>
      </c>
      <c r="W222" s="997"/>
      <c r="X222" s="977"/>
      <c r="Y222" s="961" t="e">
        <f t="shared" si="89"/>
        <v>#REF!</v>
      </c>
      <c r="Z222" s="947">
        <f t="shared" si="93"/>
        <v>1</v>
      </c>
      <c r="AA222" s="1814"/>
      <c r="AB222" s="1814"/>
      <c r="AC222" s="1814"/>
      <c r="AD222" s="1814"/>
      <c r="AE222" s="1814"/>
      <c r="AF222" s="1814"/>
      <c r="AG222" s="1814"/>
      <c r="AH222" s="1814"/>
      <c r="AI222" s="1814"/>
      <c r="AJ222" s="1814"/>
      <c r="AK222" s="1814"/>
      <c r="AL222" s="1814"/>
      <c r="AM222" s="1814"/>
      <c r="AN222" s="1814"/>
      <c r="AO222" s="1814"/>
      <c r="AP222" s="1814"/>
      <c r="AQ222" s="1814"/>
      <c r="AR222" s="1814"/>
      <c r="AS222" s="1814"/>
      <c r="AT222" s="1815"/>
      <c r="AU222" s="948"/>
    </row>
    <row r="223" spans="1:47" ht="12.75">
      <c r="A223" s="1827" t="s">
        <v>14257</v>
      </c>
      <c r="B223" s="973" t="str">
        <f>VLOOKUP($A223,'Medição '!$A:$G,4,0)</f>
        <v>LUMINÁRIAS E ACESSÓRIOS</v>
      </c>
      <c r="C223" s="974" t="e">
        <f>VLOOKUP($A223,'Medição '!$A:$G,10,0)</f>
        <v>#REF!</v>
      </c>
      <c r="D223" s="1006"/>
      <c r="E223" s="996"/>
      <c r="F223" s="977"/>
      <c r="G223" s="996"/>
      <c r="H223" s="977"/>
      <c r="I223" s="996"/>
      <c r="J223" s="977"/>
      <c r="K223" s="996"/>
      <c r="L223" s="977"/>
      <c r="M223" s="996"/>
      <c r="N223" s="977"/>
      <c r="O223" s="996"/>
      <c r="P223" s="977"/>
      <c r="Q223" s="996"/>
      <c r="R223" s="977"/>
      <c r="S223" s="996"/>
      <c r="T223" s="977"/>
      <c r="U223" s="997"/>
      <c r="V223" s="977"/>
      <c r="W223" s="997" t="e">
        <f>X223*C223</f>
        <v>#REF!</v>
      </c>
      <c r="X223" s="977">
        <v>1</v>
      </c>
      <c r="Y223" s="961" t="e">
        <f t="shared" si="89"/>
        <v>#REF!</v>
      </c>
      <c r="Z223" s="947">
        <f t="shared" si="93"/>
        <v>1</v>
      </c>
      <c r="AA223" s="1814"/>
      <c r="AB223" s="1814"/>
      <c r="AC223" s="1814"/>
      <c r="AD223" s="1814"/>
      <c r="AE223" s="1814"/>
      <c r="AF223" s="1814"/>
      <c r="AG223" s="1814"/>
      <c r="AH223" s="1814"/>
      <c r="AI223" s="1814"/>
      <c r="AJ223" s="1814"/>
      <c r="AK223" s="1814"/>
      <c r="AL223" s="1814"/>
      <c r="AM223" s="1814"/>
      <c r="AN223" s="1814"/>
      <c r="AO223" s="1814"/>
      <c r="AP223" s="1814"/>
      <c r="AQ223" s="1814"/>
      <c r="AR223" s="1814"/>
      <c r="AS223" s="1814"/>
      <c r="AT223" s="1815"/>
      <c r="AU223" s="948"/>
    </row>
    <row r="224" spans="1:47">
      <c r="A224" s="1820" t="s">
        <v>12652</v>
      </c>
      <c r="B224" s="979" t="s">
        <v>16345</v>
      </c>
      <c r="C224" s="980" t="e">
        <f>VLOOKUP($A224,'Medição '!$A:$G,10,0)</f>
        <v>#REF!</v>
      </c>
      <c r="D224" s="981"/>
      <c r="E224" s="982"/>
      <c r="F224" s="969"/>
      <c r="G224" s="982"/>
      <c r="H224" s="969"/>
      <c r="I224" s="982"/>
      <c r="J224" s="969"/>
      <c r="K224" s="982"/>
      <c r="L224" s="969"/>
      <c r="M224" s="968"/>
      <c r="N224" s="969"/>
      <c r="O224" s="968"/>
      <c r="P224" s="969"/>
      <c r="Q224" s="968"/>
      <c r="R224" s="969"/>
      <c r="S224" s="968"/>
      <c r="T224" s="969"/>
      <c r="U224" s="970"/>
      <c r="V224" s="969"/>
      <c r="W224" s="970" t="e">
        <f>X224*C224</f>
        <v>#REF!</v>
      </c>
      <c r="X224" s="969">
        <v>1</v>
      </c>
      <c r="Y224" s="972" t="e">
        <f t="shared" si="89"/>
        <v>#REF!</v>
      </c>
      <c r="Z224" s="947">
        <f>SUM(F224,H224,J224,L224,N224,P224,R224,T224,V224,X224)</f>
        <v>1</v>
      </c>
      <c r="AA224" s="1814"/>
      <c r="AB224" s="1814"/>
      <c r="AC224" s="1814"/>
      <c r="AD224" s="1814"/>
      <c r="AE224" s="1814"/>
      <c r="AF224" s="1814"/>
      <c r="AG224" s="1814"/>
      <c r="AH224" s="1814"/>
      <c r="AI224" s="1814"/>
      <c r="AJ224" s="1814"/>
      <c r="AK224" s="1814"/>
      <c r="AL224" s="1814"/>
      <c r="AM224" s="1814"/>
      <c r="AN224" s="1814"/>
      <c r="AO224" s="1814"/>
      <c r="AP224" s="1814"/>
      <c r="AQ224" s="1814"/>
      <c r="AR224" s="1814"/>
      <c r="AS224" s="1814"/>
      <c r="AT224" s="1815"/>
      <c r="AU224" s="948"/>
    </row>
    <row r="225" spans="1:47" ht="19.5">
      <c r="A225" s="1813"/>
      <c r="B225" s="942" t="str">
        <f>'Medição '!A1633</f>
        <v xml:space="preserve"> → (G) - INFRA CONTÊINERES</v>
      </c>
      <c r="C225" s="943" t="e">
        <f>SUM(C226,C227,C228,C229,C230,C231,C232)</f>
        <v>#REF!</v>
      </c>
      <c r="D225" s="944" t="e">
        <f>C225/$C$234</f>
        <v>#REF!</v>
      </c>
      <c r="E225" s="945"/>
      <c r="F225" s="946"/>
      <c r="G225" s="945" t="e">
        <f>SUM(G226,G227,G228,G229,G230,G231,G232)</f>
        <v>#REF!</v>
      </c>
      <c r="H225" s="946" t="e">
        <f>G225/$C$225</f>
        <v>#REF!</v>
      </c>
      <c r="I225" s="945" t="e">
        <f>SUM(I226,I227,I228,I229,I230,I231,I232)</f>
        <v>#REF!</v>
      </c>
      <c r="J225" s="946" t="e">
        <f>I225/$C$225</f>
        <v>#REF!</v>
      </c>
      <c r="K225" s="945" t="e">
        <f>SUM(K226,K227,K228,K229,K230,K231,K232)</f>
        <v>#REF!</v>
      </c>
      <c r="L225" s="946" t="e">
        <f>K225/$C$225</f>
        <v>#REF!</v>
      </c>
      <c r="M225" s="945" t="e">
        <f>SUM(M226,M227,M228,M229,M230,M231,M232)</f>
        <v>#REF!</v>
      </c>
      <c r="N225" s="946" t="e">
        <f>M225/$C$225</f>
        <v>#REF!</v>
      </c>
      <c r="O225" s="945"/>
      <c r="P225" s="946"/>
      <c r="Q225" s="945"/>
      <c r="R225" s="946"/>
      <c r="S225" s="945"/>
      <c r="T225" s="946"/>
      <c r="U225" s="945"/>
      <c r="V225" s="946"/>
      <c r="W225" s="943"/>
      <c r="X225" s="946"/>
      <c r="Y225" s="943" t="e">
        <f>SUM(E225,G225,I225,K225,M225,O225,Q225,S225,U225,W225)</f>
        <v>#REF!</v>
      </c>
      <c r="Z225" s="947" t="e">
        <f>SUM(F225,H225,J225,L225,N225,P225,R225,T225,V225,X225)</f>
        <v>#REF!</v>
      </c>
      <c r="AA225" s="1814"/>
      <c r="AB225" s="1814"/>
      <c r="AC225" s="1814"/>
      <c r="AD225" s="1814"/>
      <c r="AE225" s="1814"/>
      <c r="AF225" s="1814"/>
      <c r="AG225" s="1814"/>
      <c r="AH225" s="1814"/>
      <c r="AI225" s="1814"/>
      <c r="AJ225" s="1814"/>
      <c r="AK225" s="1814"/>
      <c r="AL225" s="1814"/>
      <c r="AM225" s="1814"/>
      <c r="AN225" s="1814"/>
      <c r="AO225" s="1814"/>
      <c r="AP225" s="1814"/>
      <c r="AQ225" s="1814"/>
      <c r="AR225" s="1814"/>
      <c r="AS225" s="1814"/>
      <c r="AT225" s="1815"/>
      <c r="AU225" s="948"/>
    </row>
    <row r="226" spans="1:47">
      <c r="A226" s="1820" t="s">
        <v>12655</v>
      </c>
      <c r="B226" s="979" t="s">
        <v>16563</v>
      </c>
      <c r="C226" s="980" t="e">
        <f>VLOOKUP($A226,'Medição '!$A:$G,10,0)</f>
        <v>#REF!</v>
      </c>
      <c r="D226" s="981"/>
      <c r="E226" s="982"/>
      <c r="F226" s="969"/>
      <c r="G226" s="982"/>
      <c r="H226" s="969"/>
      <c r="I226" s="982"/>
      <c r="J226" s="969"/>
      <c r="K226" s="982"/>
      <c r="L226" s="969"/>
      <c r="M226" s="968" t="e">
        <f>N226*C226</f>
        <v>#REF!</v>
      </c>
      <c r="N226" s="969">
        <v>1</v>
      </c>
      <c r="O226" s="968"/>
      <c r="P226" s="969"/>
      <c r="Q226" s="968"/>
      <c r="R226" s="969"/>
      <c r="S226" s="968"/>
      <c r="T226" s="969"/>
      <c r="U226" s="970"/>
      <c r="V226" s="969"/>
      <c r="W226" s="970"/>
      <c r="X226" s="969"/>
      <c r="Y226" s="972" t="e">
        <f t="shared" ref="Y226:Y232" si="94">SUM(E226,G226,I226,K226,M226,O226,Q226,S226,U226,W226,)</f>
        <v>#REF!</v>
      </c>
      <c r="Z226" s="947">
        <f t="shared" ref="Z226:Z232" si="95">SUM(F226,H226,J226,L226,N226,P226,R226,T226,V226,X226)</f>
        <v>1</v>
      </c>
      <c r="AA226" s="1814"/>
      <c r="AB226" s="1814"/>
      <c r="AC226" s="1814"/>
      <c r="AD226" s="1814"/>
      <c r="AE226" s="1814"/>
      <c r="AF226" s="1814"/>
      <c r="AG226" s="1814"/>
      <c r="AH226" s="1814"/>
      <c r="AI226" s="1814"/>
      <c r="AJ226" s="1814"/>
      <c r="AK226" s="1814"/>
      <c r="AL226" s="1814"/>
      <c r="AM226" s="1814"/>
      <c r="AN226" s="1814"/>
      <c r="AO226" s="1814"/>
      <c r="AP226" s="1814"/>
      <c r="AQ226" s="1814"/>
      <c r="AR226" s="1814"/>
      <c r="AS226" s="1814"/>
      <c r="AT226" s="1815"/>
      <c r="AU226" s="948"/>
    </row>
    <row r="227" spans="1:47" ht="30">
      <c r="A227" s="1820" t="s">
        <v>12656</v>
      </c>
      <c r="B227" s="979" t="s">
        <v>16564</v>
      </c>
      <c r="C227" s="980" t="e">
        <f>VLOOKUP($A227,'Medição '!$A:$G,10,0)</f>
        <v>#REF!</v>
      </c>
      <c r="D227" s="981"/>
      <c r="E227" s="982"/>
      <c r="F227" s="969"/>
      <c r="G227" s="982" t="e">
        <f>H227*C227</f>
        <v>#REF!</v>
      </c>
      <c r="H227" s="969">
        <v>1</v>
      </c>
      <c r="I227" s="982"/>
      <c r="J227" s="969"/>
      <c r="K227" s="982"/>
      <c r="L227" s="969"/>
      <c r="M227" s="968"/>
      <c r="N227" s="969"/>
      <c r="O227" s="968"/>
      <c r="P227" s="969"/>
      <c r="Q227" s="968"/>
      <c r="R227" s="969"/>
      <c r="S227" s="968"/>
      <c r="T227" s="969"/>
      <c r="U227" s="970"/>
      <c r="V227" s="969"/>
      <c r="W227" s="970"/>
      <c r="X227" s="969"/>
      <c r="Y227" s="972" t="e">
        <f t="shared" si="94"/>
        <v>#REF!</v>
      </c>
      <c r="Z227" s="947">
        <f t="shared" si="95"/>
        <v>1</v>
      </c>
      <c r="AA227" s="1814"/>
      <c r="AB227" s="1814"/>
      <c r="AC227" s="1814"/>
      <c r="AD227" s="1814"/>
      <c r="AE227" s="1814"/>
      <c r="AF227" s="1814"/>
      <c r="AG227" s="1814"/>
      <c r="AH227" s="1814"/>
      <c r="AI227" s="1814"/>
      <c r="AJ227" s="1814"/>
      <c r="AK227" s="1814"/>
      <c r="AL227" s="1814"/>
      <c r="AM227" s="1814"/>
      <c r="AN227" s="1814"/>
      <c r="AO227" s="1814"/>
      <c r="AP227" s="1814"/>
      <c r="AQ227" s="1814"/>
      <c r="AR227" s="1814"/>
      <c r="AS227" s="1814"/>
      <c r="AT227" s="1815"/>
      <c r="AU227" s="948"/>
    </row>
    <row r="228" spans="1:47">
      <c r="A228" s="1820" t="s">
        <v>12657</v>
      </c>
      <c r="B228" s="979" t="s">
        <v>16566</v>
      </c>
      <c r="C228" s="980" t="e">
        <f>VLOOKUP($A228,'Medição '!$A:$G,10,0)</f>
        <v>#REF!</v>
      </c>
      <c r="D228" s="981"/>
      <c r="E228" s="982"/>
      <c r="F228" s="969"/>
      <c r="G228" s="982"/>
      <c r="H228" s="969"/>
      <c r="I228" s="982" t="e">
        <f>C228*J228</f>
        <v>#REF!</v>
      </c>
      <c r="J228" s="969">
        <v>1</v>
      </c>
      <c r="K228" s="982"/>
      <c r="L228" s="969"/>
      <c r="M228" s="968"/>
      <c r="N228" s="969"/>
      <c r="O228" s="968"/>
      <c r="P228" s="969"/>
      <c r="Q228" s="968"/>
      <c r="R228" s="969"/>
      <c r="S228" s="968"/>
      <c r="T228" s="969"/>
      <c r="U228" s="970"/>
      <c r="V228" s="969"/>
      <c r="W228" s="970"/>
      <c r="X228" s="969"/>
      <c r="Y228" s="972" t="e">
        <f t="shared" si="94"/>
        <v>#REF!</v>
      </c>
      <c r="Z228" s="947">
        <f t="shared" si="95"/>
        <v>1</v>
      </c>
      <c r="AA228" s="1814"/>
      <c r="AB228" s="1814"/>
      <c r="AC228" s="1814"/>
      <c r="AD228" s="1814"/>
      <c r="AE228" s="1814"/>
      <c r="AF228" s="1814"/>
      <c r="AG228" s="1814"/>
      <c r="AH228" s="1814"/>
      <c r="AI228" s="1814"/>
      <c r="AJ228" s="1814"/>
      <c r="AK228" s="1814"/>
      <c r="AL228" s="1814"/>
      <c r="AM228" s="1814"/>
      <c r="AN228" s="1814"/>
      <c r="AO228" s="1814"/>
      <c r="AP228" s="1814"/>
      <c r="AQ228" s="1814"/>
      <c r="AR228" s="1814"/>
      <c r="AS228" s="1814"/>
      <c r="AT228" s="1815"/>
      <c r="AU228" s="948"/>
    </row>
    <row r="229" spans="1:47">
      <c r="A229" s="1820" t="s">
        <v>12658</v>
      </c>
      <c r="B229" s="979" t="s">
        <v>16568</v>
      </c>
      <c r="C229" s="980" t="e">
        <f>VLOOKUP($A229,'Medição '!$A:$G,10,0)</f>
        <v>#REF!</v>
      </c>
      <c r="D229" s="981"/>
      <c r="E229" s="982"/>
      <c r="F229" s="969"/>
      <c r="G229" s="982" t="e">
        <f>H229*C229</f>
        <v>#REF!</v>
      </c>
      <c r="H229" s="969">
        <v>1</v>
      </c>
      <c r="I229" s="982"/>
      <c r="J229" s="969"/>
      <c r="K229" s="982"/>
      <c r="L229" s="969"/>
      <c r="M229" s="968"/>
      <c r="N229" s="969"/>
      <c r="O229" s="968"/>
      <c r="P229" s="969"/>
      <c r="Q229" s="968"/>
      <c r="R229" s="969"/>
      <c r="S229" s="968"/>
      <c r="T229" s="969"/>
      <c r="U229" s="970"/>
      <c r="V229" s="969"/>
      <c r="W229" s="970"/>
      <c r="X229" s="969"/>
      <c r="Y229" s="972" t="e">
        <f t="shared" si="94"/>
        <v>#REF!</v>
      </c>
      <c r="Z229" s="947">
        <f t="shared" si="95"/>
        <v>1</v>
      </c>
      <c r="AA229" s="1814"/>
      <c r="AB229" s="1814"/>
      <c r="AC229" s="1814"/>
      <c r="AD229" s="1814"/>
      <c r="AE229" s="1814"/>
      <c r="AF229" s="1814"/>
      <c r="AG229" s="1814"/>
      <c r="AH229" s="1814"/>
      <c r="AI229" s="1814"/>
      <c r="AJ229" s="1814"/>
      <c r="AK229" s="1814"/>
      <c r="AL229" s="1814"/>
      <c r="AM229" s="1814"/>
      <c r="AN229" s="1814"/>
      <c r="AO229" s="1814"/>
      <c r="AP229" s="1814"/>
      <c r="AQ229" s="1814"/>
      <c r="AR229" s="1814"/>
      <c r="AS229" s="1814"/>
      <c r="AT229" s="1815"/>
      <c r="AU229" s="948"/>
    </row>
    <row r="230" spans="1:47">
      <c r="A230" s="1820" t="s">
        <v>12659</v>
      </c>
      <c r="B230" s="979" t="s">
        <v>16569</v>
      </c>
      <c r="C230" s="980" t="e">
        <f>VLOOKUP($A230,'Medição '!$A:$G,10,0)</f>
        <v>#REF!</v>
      </c>
      <c r="D230" s="981"/>
      <c r="E230" s="982"/>
      <c r="F230" s="969"/>
      <c r="G230" s="982"/>
      <c r="H230" s="969"/>
      <c r="I230" s="982" t="e">
        <f>J230*C230</f>
        <v>#REF!</v>
      </c>
      <c r="J230" s="969">
        <v>1</v>
      </c>
      <c r="K230" s="982"/>
      <c r="L230" s="969"/>
      <c r="M230" s="968"/>
      <c r="N230" s="969"/>
      <c r="O230" s="968"/>
      <c r="P230" s="969"/>
      <c r="Q230" s="968"/>
      <c r="R230" s="969"/>
      <c r="S230" s="968"/>
      <c r="T230" s="969"/>
      <c r="U230" s="970"/>
      <c r="V230" s="969"/>
      <c r="W230" s="970"/>
      <c r="X230" s="969"/>
      <c r="Y230" s="972" t="e">
        <f t="shared" si="94"/>
        <v>#REF!</v>
      </c>
      <c r="Z230" s="947">
        <f t="shared" si="95"/>
        <v>1</v>
      </c>
      <c r="AA230" s="1814"/>
      <c r="AB230" s="1814"/>
      <c r="AC230" s="1814"/>
      <c r="AD230" s="1814"/>
      <c r="AE230" s="1814"/>
      <c r="AF230" s="1814"/>
      <c r="AG230" s="1814"/>
      <c r="AH230" s="1814"/>
      <c r="AI230" s="1814"/>
      <c r="AJ230" s="1814"/>
      <c r="AK230" s="1814"/>
      <c r="AL230" s="1814"/>
      <c r="AM230" s="1814"/>
      <c r="AN230" s="1814"/>
      <c r="AO230" s="1814"/>
      <c r="AP230" s="1814"/>
      <c r="AQ230" s="1814"/>
      <c r="AR230" s="1814"/>
      <c r="AS230" s="1814"/>
      <c r="AT230" s="1815"/>
      <c r="AU230" s="948"/>
    </row>
    <row r="231" spans="1:47">
      <c r="A231" s="1820" t="s">
        <v>12660</v>
      </c>
      <c r="B231" s="979" t="s">
        <v>16570</v>
      </c>
      <c r="C231" s="980" t="e">
        <f>VLOOKUP($A231,'Medição '!$A:$G,10,0)</f>
        <v>#REF!</v>
      </c>
      <c r="D231" s="981"/>
      <c r="E231" s="982"/>
      <c r="F231" s="969"/>
      <c r="G231" s="982"/>
      <c r="H231" s="969"/>
      <c r="I231" s="982"/>
      <c r="J231" s="969"/>
      <c r="K231" s="982" t="e">
        <f>L231*C231</f>
        <v>#REF!</v>
      </c>
      <c r="L231" s="969">
        <v>1</v>
      </c>
      <c r="M231" s="968"/>
      <c r="N231" s="969"/>
      <c r="O231" s="968"/>
      <c r="P231" s="969"/>
      <c r="Q231" s="968"/>
      <c r="R231" s="969"/>
      <c r="S231" s="968"/>
      <c r="T231" s="969"/>
      <c r="U231" s="970"/>
      <c r="V231" s="969"/>
      <c r="W231" s="970"/>
      <c r="X231" s="969"/>
      <c r="Y231" s="972" t="e">
        <f t="shared" si="94"/>
        <v>#REF!</v>
      </c>
      <c r="Z231" s="947">
        <f t="shared" si="95"/>
        <v>1</v>
      </c>
      <c r="AA231" s="1814"/>
      <c r="AB231" s="1814"/>
      <c r="AC231" s="1814"/>
      <c r="AD231" s="1814"/>
      <c r="AE231" s="1814"/>
      <c r="AF231" s="1814"/>
      <c r="AG231" s="1814"/>
      <c r="AH231" s="1814"/>
      <c r="AI231" s="1814"/>
      <c r="AJ231" s="1814"/>
      <c r="AK231" s="1814"/>
      <c r="AL231" s="1814"/>
      <c r="AM231" s="1814"/>
      <c r="AN231" s="1814"/>
      <c r="AO231" s="1814"/>
      <c r="AP231" s="1814"/>
      <c r="AQ231" s="1814"/>
      <c r="AR231" s="1814"/>
      <c r="AS231" s="1814"/>
      <c r="AT231" s="1815"/>
      <c r="AU231" s="948"/>
    </row>
    <row r="232" spans="1:47">
      <c r="A232" s="1820" t="s">
        <v>12661</v>
      </c>
      <c r="B232" s="979" t="s">
        <v>16572</v>
      </c>
      <c r="C232" s="980" t="e">
        <f>VLOOKUP($A232,'Medição '!$A:$G,10,0)</f>
        <v>#REF!</v>
      </c>
      <c r="D232" s="981"/>
      <c r="E232" s="982"/>
      <c r="F232" s="969"/>
      <c r="G232" s="982"/>
      <c r="H232" s="969"/>
      <c r="I232" s="982"/>
      <c r="J232" s="969"/>
      <c r="K232" s="982"/>
      <c r="L232" s="969"/>
      <c r="M232" s="968" t="e">
        <f>N232*C232</f>
        <v>#REF!</v>
      </c>
      <c r="N232" s="969">
        <v>1</v>
      </c>
      <c r="O232" s="968"/>
      <c r="P232" s="969"/>
      <c r="Q232" s="968"/>
      <c r="R232" s="969"/>
      <c r="S232" s="968"/>
      <c r="T232" s="969"/>
      <c r="U232" s="970"/>
      <c r="V232" s="969"/>
      <c r="W232" s="970"/>
      <c r="X232" s="969"/>
      <c r="Y232" s="972" t="e">
        <f t="shared" si="94"/>
        <v>#REF!</v>
      </c>
      <c r="Z232" s="947">
        <f t="shared" si="95"/>
        <v>1</v>
      </c>
      <c r="AA232" s="1814"/>
      <c r="AB232" s="1814"/>
      <c r="AC232" s="1814"/>
      <c r="AD232" s="1814"/>
      <c r="AE232" s="1814"/>
      <c r="AF232" s="1814"/>
      <c r="AG232" s="1814"/>
      <c r="AH232" s="1814"/>
      <c r="AI232" s="1814"/>
      <c r="AJ232" s="1814"/>
      <c r="AK232" s="1814"/>
      <c r="AL232" s="1814"/>
      <c r="AM232" s="1814"/>
      <c r="AN232" s="1814"/>
      <c r="AO232" s="1814"/>
      <c r="AP232" s="1814"/>
      <c r="AQ232" s="1814"/>
      <c r="AR232" s="1814"/>
      <c r="AS232" s="1814"/>
      <c r="AT232" s="1815"/>
      <c r="AU232" s="948"/>
    </row>
    <row r="233" spans="1:47" ht="15" customHeight="1">
      <c r="A233" s="1830"/>
      <c r="B233" s="1831"/>
      <c r="C233" s="1007"/>
      <c r="D233" s="995"/>
      <c r="E233" s="1000"/>
      <c r="F233" s="999"/>
      <c r="G233" s="1000"/>
      <c r="H233" s="999"/>
      <c r="I233" s="1000"/>
      <c r="J233" s="999"/>
      <c r="K233" s="1000"/>
      <c r="L233" s="999"/>
      <c r="M233" s="1001"/>
      <c r="N233" s="999"/>
      <c r="O233" s="1001"/>
      <c r="P233" s="999"/>
      <c r="Q233" s="1001"/>
      <c r="R233" s="999"/>
      <c r="S233" s="1001"/>
      <c r="T233" s="999"/>
      <c r="U233" s="998"/>
      <c r="V233" s="999"/>
      <c r="W233" s="998"/>
      <c r="X233" s="999"/>
      <c r="Y233" s="961"/>
      <c r="Z233" s="947"/>
      <c r="AA233" s="1814"/>
      <c r="AB233" s="1814"/>
      <c r="AC233" s="1814"/>
      <c r="AD233" s="1814"/>
      <c r="AE233" s="1814"/>
      <c r="AF233" s="1814"/>
      <c r="AG233" s="1814"/>
      <c r="AH233" s="1814"/>
      <c r="AI233" s="1814"/>
      <c r="AJ233" s="1814"/>
      <c r="AK233" s="1814"/>
      <c r="AL233" s="1814"/>
      <c r="AM233" s="1814"/>
      <c r="AN233" s="1814"/>
      <c r="AO233" s="1814"/>
      <c r="AP233" s="1814"/>
      <c r="AQ233" s="1814"/>
      <c r="AR233" s="1814"/>
      <c r="AS233" s="1814"/>
      <c r="AT233" s="1815"/>
      <c r="AU233" s="948"/>
    </row>
    <row r="234" spans="1:47">
      <c r="A234" s="1835"/>
      <c r="B234" s="1836" t="s">
        <v>15471</v>
      </c>
      <c r="C234" s="1837" t="e">
        <f>SUM(C225,C192,C158,C134,C100,C60,C10)</f>
        <v>#REF!</v>
      </c>
      <c r="D234" s="1838" t="e">
        <f>SUM(D225,D192,D158,D134,D100,D60,D10)</f>
        <v>#REF!</v>
      </c>
      <c r="E234" s="1839"/>
      <c r="F234" s="1840"/>
      <c r="G234" s="1840"/>
      <c r="H234" s="1840"/>
      <c r="I234" s="1840"/>
      <c r="J234" s="1840"/>
      <c r="K234" s="1840"/>
      <c r="L234" s="1840"/>
      <c r="M234" s="1840"/>
      <c r="N234" s="1840"/>
      <c r="O234" s="1840"/>
      <c r="P234" s="1840"/>
      <c r="Q234" s="1840"/>
      <c r="R234" s="1840"/>
      <c r="S234" s="1840"/>
      <c r="T234" s="1840"/>
      <c r="U234" s="1840"/>
      <c r="V234" s="1840"/>
      <c r="W234" s="1840"/>
      <c r="X234" s="1840"/>
      <c r="Y234" s="1840"/>
      <c r="Z234" s="1841"/>
      <c r="AA234" s="1008"/>
      <c r="AB234" s="1806"/>
      <c r="AC234" s="1806"/>
      <c r="AD234" s="1806"/>
      <c r="AE234" s="1806"/>
      <c r="AF234" s="1806"/>
      <c r="AG234" s="1806"/>
      <c r="AH234" s="1806"/>
      <c r="AI234" s="1806"/>
      <c r="AJ234" s="1806"/>
      <c r="AK234" s="1806"/>
      <c r="AL234" s="1806"/>
      <c r="AM234" s="1806"/>
      <c r="AN234" s="1806"/>
      <c r="AO234" s="1806"/>
      <c r="AP234" s="1806"/>
      <c r="AQ234" s="1806"/>
      <c r="AR234" s="1806"/>
      <c r="AS234" s="1806"/>
      <c r="AT234" s="1807"/>
      <c r="AU234" s="110"/>
    </row>
    <row r="235" spans="1:47">
      <c r="A235" s="1842"/>
      <c r="B235" s="3415" t="s">
        <v>15472</v>
      </c>
      <c r="C235" s="3416"/>
      <c r="D235" s="3417"/>
      <c r="E235" s="1843" t="e">
        <f>SUM(E225,E192,E158,E134,E100,E60,E24,E11)</f>
        <v>#REF!</v>
      </c>
      <c r="F235" s="1844" t="e">
        <f>E235/$C$234</f>
        <v>#REF!</v>
      </c>
      <c r="G235" s="1843" t="e">
        <f>SUM(G225,G192,G158,G134,G100,G60,G24,G11)</f>
        <v>#REF!</v>
      </c>
      <c r="H235" s="1844" t="e">
        <f>G235/$C$234</f>
        <v>#REF!</v>
      </c>
      <c r="I235" s="1843" t="e">
        <f>SUM(I225,I192,I158,I134,I100,I60,I24,I11)</f>
        <v>#REF!</v>
      </c>
      <c r="J235" s="1844" t="e">
        <f>I235/$C$234</f>
        <v>#REF!</v>
      </c>
      <c r="K235" s="1843" t="e">
        <f>SUM(K225,K192,K158,K134,K100,K60,K24,K11)</f>
        <v>#REF!</v>
      </c>
      <c r="L235" s="1844" t="e">
        <f>K235/$C$234</f>
        <v>#REF!</v>
      </c>
      <c r="M235" s="1843" t="e">
        <f>SUM(M225,M192,M158,M134,M100,M60,M24,M11)</f>
        <v>#REF!</v>
      </c>
      <c r="N235" s="1844" t="e">
        <f>M235/$C$234</f>
        <v>#REF!</v>
      </c>
      <c r="O235" s="1843" t="e">
        <f>SUM(O225,O192,O158,O134,O100,O60,O24,O11)</f>
        <v>#REF!</v>
      </c>
      <c r="P235" s="1844" t="e">
        <f>O235/$C$234</f>
        <v>#REF!</v>
      </c>
      <c r="Q235" s="1843" t="e">
        <f>SUM(Q225,Q192,Q158,Q134,Q100,Q60,Q24,Q11)</f>
        <v>#REF!</v>
      </c>
      <c r="R235" s="1844" t="e">
        <f>Q235/$C$234</f>
        <v>#REF!</v>
      </c>
      <c r="S235" s="1843" t="e">
        <f>SUM(S225,S192,S158,S134,S100,S60,S24,S11)</f>
        <v>#REF!</v>
      </c>
      <c r="T235" s="1844" t="e">
        <f>S235/$C$234</f>
        <v>#REF!</v>
      </c>
      <c r="U235" s="1843" t="e">
        <f>SUM(U225,U192,U158,U134,U100,U60,U24,U11)</f>
        <v>#REF!</v>
      </c>
      <c r="V235" s="1844" t="e">
        <f>U235/$C$234</f>
        <v>#REF!</v>
      </c>
      <c r="W235" s="1843" t="e">
        <f>SUM(W225,W192,W158,W134,W100,W60,W24,W11)</f>
        <v>#REF!</v>
      </c>
      <c r="X235" s="1844" t="e">
        <f>W235/$C$234</f>
        <v>#REF!</v>
      </c>
      <c r="Y235" s="1843" t="e">
        <f>SUM(Y225,Y192,Y158,Y134,Y100,Y60,Y24,Y11)</f>
        <v>#REF!</v>
      </c>
      <c r="Z235" s="1845" t="e">
        <f>Y235/C234</f>
        <v>#REF!</v>
      </c>
      <c r="AA235" s="1806"/>
      <c r="AB235" s="1806"/>
      <c r="AC235" s="1806"/>
      <c r="AD235" s="1806"/>
      <c r="AE235" s="1806"/>
      <c r="AF235" s="1806"/>
      <c r="AG235" s="1806"/>
      <c r="AH235" s="1806"/>
      <c r="AI235" s="1806"/>
      <c r="AJ235" s="1806"/>
      <c r="AK235" s="1806"/>
      <c r="AL235" s="1806"/>
      <c r="AM235" s="1806"/>
      <c r="AN235" s="1806"/>
      <c r="AO235" s="1806"/>
      <c r="AP235" s="1806"/>
      <c r="AQ235" s="1806"/>
      <c r="AR235" s="1806"/>
      <c r="AS235" s="1806"/>
      <c r="AT235" s="1807"/>
      <c r="AU235" s="110"/>
    </row>
    <row r="236" spans="1:47">
      <c r="A236" s="1846"/>
      <c r="B236" s="3418" t="s">
        <v>15473</v>
      </c>
      <c r="C236" s="3419"/>
      <c r="D236" s="3420"/>
      <c r="E236" s="1847" t="e">
        <f>E235</f>
        <v>#REF!</v>
      </c>
      <c r="F236" s="1848" t="e">
        <f>E236/C234</f>
        <v>#REF!</v>
      </c>
      <c r="G236" s="1847" t="e">
        <f>E236+G235</f>
        <v>#REF!</v>
      </c>
      <c r="H236" s="1848" t="e">
        <f>H235+F236</f>
        <v>#REF!</v>
      </c>
      <c r="I236" s="1847" t="e">
        <f>G236+I235</f>
        <v>#REF!</v>
      </c>
      <c r="J236" s="1848" t="e">
        <f>J235+H236</f>
        <v>#REF!</v>
      </c>
      <c r="K236" s="1847" t="e">
        <f>I236+K235</f>
        <v>#REF!</v>
      </c>
      <c r="L236" s="1848" t="e">
        <f>L235+J236</f>
        <v>#REF!</v>
      </c>
      <c r="M236" s="1847" t="e">
        <f>K236+M235</f>
        <v>#REF!</v>
      </c>
      <c r="N236" s="1848" t="e">
        <f>N235+L236</f>
        <v>#REF!</v>
      </c>
      <c r="O236" s="1847" t="e">
        <f>M236+O235</f>
        <v>#REF!</v>
      </c>
      <c r="P236" s="1848" t="e">
        <f>P235+N236</f>
        <v>#REF!</v>
      </c>
      <c r="Q236" s="1847" t="e">
        <f>O236+Q235</f>
        <v>#REF!</v>
      </c>
      <c r="R236" s="1848" t="e">
        <f>R235+P236</f>
        <v>#REF!</v>
      </c>
      <c r="S236" s="1847" t="e">
        <f>Q236+S235</f>
        <v>#REF!</v>
      </c>
      <c r="T236" s="1848" t="e">
        <f>T235+R236</f>
        <v>#REF!</v>
      </c>
      <c r="U236" s="1849" t="e">
        <f>S236+U235</f>
        <v>#REF!</v>
      </c>
      <c r="V236" s="1848" t="e">
        <f>V235+T236</f>
        <v>#REF!</v>
      </c>
      <c r="W236" s="1849" t="e">
        <f>U236+W235</f>
        <v>#REF!</v>
      </c>
      <c r="X236" s="1848" t="e">
        <f>X235+V236</f>
        <v>#REF!</v>
      </c>
      <c r="Y236" s="1850"/>
      <c r="Z236" s="1851"/>
      <c r="AA236" s="1832"/>
      <c r="AB236" s="1833"/>
      <c r="AC236" s="1833"/>
      <c r="AD236" s="1833"/>
      <c r="AE236" s="1833"/>
      <c r="AF236" s="1833"/>
      <c r="AG236" s="1833"/>
      <c r="AH236" s="1833"/>
      <c r="AI236" s="1833"/>
      <c r="AJ236" s="1833"/>
      <c r="AK236" s="1833"/>
      <c r="AL236" s="1833"/>
      <c r="AM236" s="1833"/>
      <c r="AN236" s="1833"/>
      <c r="AO236" s="1833"/>
      <c r="AP236" s="1833"/>
      <c r="AQ236" s="1833"/>
      <c r="AR236" s="1833"/>
      <c r="AS236" s="1833"/>
      <c r="AT236" s="1834"/>
      <c r="AU236" s="110"/>
    </row>
    <row r="237" spans="1:47">
      <c r="A237" s="1852"/>
      <c r="B237" s="1853"/>
      <c r="C237" s="1854"/>
      <c r="D237" s="1854"/>
      <c r="E237" s="1855"/>
      <c r="F237" s="1856"/>
      <c r="G237" s="1855"/>
      <c r="H237" s="1856"/>
      <c r="I237" s="1855"/>
      <c r="J237" s="1856"/>
      <c r="K237" s="1855"/>
      <c r="L237" s="1856"/>
      <c r="M237" s="1855"/>
      <c r="N237" s="1856"/>
      <c r="O237" s="1855"/>
      <c r="P237" s="1856"/>
      <c r="Q237" s="1855"/>
      <c r="R237" s="1856"/>
      <c r="S237" s="1855"/>
      <c r="T237" s="1856"/>
      <c r="U237" s="1857"/>
      <c r="V237" s="1856"/>
      <c r="W237" s="1857"/>
      <c r="X237" s="1856"/>
      <c r="Y237" s="1858"/>
      <c r="Z237" s="1859"/>
      <c r="AA237" s="1817"/>
      <c r="AB237" s="1806"/>
      <c r="AC237" s="1806"/>
      <c r="AD237" s="1806"/>
      <c r="AE237" s="1806"/>
      <c r="AF237" s="1806"/>
      <c r="AG237" s="1806"/>
      <c r="AH237" s="1806"/>
      <c r="AI237" s="1806"/>
      <c r="AJ237" s="1806"/>
      <c r="AK237" s="1806"/>
      <c r="AL237" s="1806"/>
      <c r="AM237" s="1806"/>
      <c r="AN237" s="1806"/>
      <c r="AO237" s="1806"/>
      <c r="AP237" s="1806"/>
      <c r="AQ237" s="1806"/>
      <c r="AR237" s="1806"/>
      <c r="AS237" s="1806"/>
      <c r="AT237" s="1806"/>
      <c r="AU237" s="110"/>
    </row>
    <row r="238" spans="1:47">
      <c r="A238" s="1852"/>
      <c r="B238" s="1853"/>
      <c r="C238" s="1854"/>
      <c r="D238" s="1854"/>
      <c r="E238" s="1855"/>
      <c r="F238" s="1856"/>
      <c r="G238" s="1855"/>
      <c r="H238" s="1856"/>
      <c r="I238" s="1855"/>
      <c r="J238" s="1856"/>
      <c r="K238" s="1855"/>
      <c r="L238" s="1856"/>
      <c r="M238" s="1855"/>
      <c r="N238" s="1856"/>
      <c r="O238" s="1855"/>
      <c r="P238" s="1856"/>
      <c r="Q238" s="1855"/>
      <c r="R238" s="1856"/>
      <c r="S238" s="1855"/>
      <c r="T238" s="1856"/>
      <c r="U238" s="1857"/>
      <c r="V238" s="1856"/>
      <c r="W238" s="1857"/>
      <c r="X238" s="1856"/>
      <c r="Y238" s="1858"/>
      <c r="Z238" s="1859"/>
      <c r="AA238" s="1817"/>
      <c r="AB238" s="1806"/>
      <c r="AC238" s="1806"/>
      <c r="AD238" s="1806"/>
      <c r="AE238" s="1806"/>
      <c r="AF238" s="1806"/>
      <c r="AG238" s="1806"/>
      <c r="AH238" s="1806"/>
      <c r="AI238" s="1806"/>
      <c r="AJ238" s="1806"/>
      <c r="AK238" s="1806"/>
      <c r="AL238" s="1806"/>
      <c r="AM238" s="1806"/>
      <c r="AN238" s="1806"/>
      <c r="AO238" s="1806"/>
      <c r="AP238" s="1806"/>
      <c r="AQ238" s="1806"/>
      <c r="AR238" s="1806"/>
      <c r="AS238" s="1806"/>
      <c r="AT238" s="1806"/>
      <c r="AU238" s="110"/>
    </row>
    <row r="239" spans="1:47">
      <c r="A239" s="1852"/>
      <c r="B239" s="1853"/>
      <c r="C239" s="1854"/>
      <c r="D239" s="1854"/>
      <c r="E239" s="1855"/>
      <c r="F239" s="1856"/>
      <c r="G239" s="1855"/>
      <c r="H239" s="1856"/>
      <c r="I239" s="1855"/>
      <c r="J239" s="1856"/>
      <c r="K239" s="1855"/>
      <c r="L239" s="1856"/>
      <c r="M239" s="1855"/>
      <c r="N239" s="1856"/>
      <c r="O239" s="1855"/>
      <c r="P239" s="1856"/>
      <c r="Q239" s="1855"/>
      <c r="R239" s="1856"/>
      <c r="S239" s="1855"/>
      <c r="T239" s="1856"/>
      <c r="U239" s="1857"/>
      <c r="V239" s="1856"/>
      <c r="W239" s="1857"/>
      <c r="X239" s="1856"/>
      <c r="Y239" s="1858"/>
      <c r="Z239" s="1859"/>
      <c r="AA239" s="1817"/>
      <c r="AB239" s="1806"/>
      <c r="AC239" s="1806"/>
      <c r="AD239" s="1806"/>
      <c r="AE239" s="1806"/>
      <c r="AF239" s="1806"/>
      <c r="AG239" s="1806"/>
      <c r="AH239" s="1806"/>
      <c r="AI239" s="1806"/>
      <c r="AJ239" s="1806"/>
      <c r="AK239" s="1806"/>
      <c r="AL239" s="1806"/>
      <c r="AM239" s="1806"/>
      <c r="AN239" s="1806"/>
      <c r="AO239" s="1806"/>
      <c r="AP239" s="1806"/>
      <c r="AQ239" s="1806"/>
      <c r="AR239" s="1806"/>
      <c r="AS239" s="1806"/>
      <c r="AT239" s="1806"/>
      <c r="AU239" s="110"/>
    </row>
    <row r="240" spans="1:47">
      <c r="A240" s="1852"/>
      <c r="B240" s="1853"/>
      <c r="C240" s="1854"/>
      <c r="D240" s="1854"/>
      <c r="E240" s="1855"/>
      <c r="F240" s="1856"/>
      <c r="G240" s="1855"/>
      <c r="H240" s="1856"/>
      <c r="I240" s="1855"/>
      <c r="J240" s="1856"/>
      <c r="K240" s="1855"/>
      <c r="L240" s="1856"/>
      <c r="M240" s="1855"/>
      <c r="N240" s="1856"/>
      <c r="O240" s="1855"/>
      <c r="P240" s="1856"/>
      <c r="Q240" s="1855"/>
      <c r="R240" s="1856"/>
      <c r="S240" s="1855"/>
      <c r="T240" s="1856"/>
      <c r="U240" s="1857"/>
      <c r="V240" s="1856"/>
      <c r="W240" s="1857"/>
      <c r="X240" s="1856"/>
      <c r="Y240" s="1858"/>
      <c r="Z240" s="1859"/>
      <c r="AA240" s="1817"/>
      <c r="AB240" s="1806"/>
      <c r="AC240" s="1806"/>
      <c r="AD240" s="1806"/>
      <c r="AE240" s="1806"/>
      <c r="AF240" s="1806"/>
      <c r="AG240" s="1806"/>
      <c r="AH240" s="1806"/>
      <c r="AI240" s="1806"/>
      <c r="AJ240" s="1806"/>
      <c r="AK240" s="1806"/>
      <c r="AL240" s="1806"/>
      <c r="AM240" s="1806"/>
      <c r="AN240" s="1806"/>
      <c r="AO240" s="1806"/>
      <c r="AP240" s="1806"/>
      <c r="AQ240" s="1806"/>
      <c r="AR240" s="1806"/>
      <c r="AS240" s="1806"/>
      <c r="AT240" s="1806"/>
      <c r="AU240" s="110"/>
    </row>
    <row r="241" spans="1:47">
      <c r="A241" s="1852"/>
      <c r="B241" s="1853"/>
      <c r="C241" s="1854"/>
      <c r="D241" s="1854"/>
      <c r="E241" s="1855"/>
      <c r="F241" s="1856"/>
      <c r="G241" s="1855"/>
      <c r="H241" s="1856"/>
      <c r="I241" s="1855"/>
      <c r="J241" s="1856"/>
      <c r="K241" s="1855"/>
      <c r="L241" s="1856"/>
      <c r="M241" s="1855"/>
      <c r="N241" s="1856"/>
      <c r="O241" s="1855"/>
      <c r="P241" s="1856"/>
      <c r="Q241" s="1855"/>
      <c r="R241" s="1856"/>
      <c r="S241" s="1855"/>
      <c r="T241" s="1856"/>
      <c r="U241" s="1857"/>
      <c r="V241" s="1856"/>
      <c r="W241" s="1857"/>
      <c r="X241" s="1856"/>
      <c r="Y241" s="1858"/>
      <c r="Z241" s="1859"/>
      <c r="AA241" s="1817"/>
      <c r="AB241" s="1806"/>
      <c r="AC241" s="1806"/>
      <c r="AD241" s="1806"/>
      <c r="AE241" s="1806"/>
      <c r="AF241" s="1806"/>
      <c r="AG241" s="1806"/>
      <c r="AH241" s="1806"/>
      <c r="AI241" s="1806"/>
      <c r="AJ241" s="1806"/>
      <c r="AK241" s="1806"/>
      <c r="AL241" s="1806"/>
      <c r="AM241" s="1806"/>
      <c r="AN241" s="1806"/>
      <c r="AO241" s="1806"/>
      <c r="AP241" s="1806"/>
      <c r="AQ241" s="1806"/>
      <c r="AR241" s="1806"/>
      <c r="AS241" s="1806"/>
      <c r="AT241" s="1806"/>
      <c r="AU241" s="110"/>
    </row>
    <row r="242" spans="1:47" ht="15.75">
      <c r="A242" s="1852"/>
      <c r="B242" s="1795"/>
      <c r="C242" s="1854"/>
      <c r="D242" s="1854"/>
      <c r="E242" s="1855"/>
      <c r="F242" s="1856"/>
      <c r="G242" s="1855"/>
      <c r="H242" s="1856"/>
      <c r="I242" s="1855"/>
      <c r="J242" s="1856"/>
      <c r="K242" s="1855"/>
      <c r="L242" s="1856"/>
      <c r="M242" s="1855"/>
      <c r="N242" s="1856"/>
      <c r="O242" s="1855"/>
      <c r="P242" s="1856"/>
      <c r="Q242" s="1855"/>
      <c r="R242" s="1856"/>
      <c r="S242" s="1855"/>
      <c r="T242" s="1856"/>
      <c r="U242" s="1857"/>
      <c r="V242" s="1856"/>
      <c r="W242" s="1857"/>
      <c r="X242" s="1856"/>
      <c r="Y242" s="1858"/>
      <c r="Z242" s="1859"/>
      <c r="AA242" s="1817"/>
      <c r="AB242" s="1806"/>
      <c r="AC242" s="1806"/>
      <c r="AD242" s="1806"/>
      <c r="AE242" s="1806"/>
      <c r="AF242" s="1806"/>
      <c r="AG242" s="1806"/>
      <c r="AH242" s="1806"/>
      <c r="AI242" s="1806"/>
      <c r="AJ242" s="1806"/>
      <c r="AK242" s="1806"/>
      <c r="AL242" s="1806"/>
      <c r="AM242" s="1806"/>
      <c r="AN242" s="1806"/>
      <c r="AO242" s="1806"/>
      <c r="AP242" s="1806"/>
      <c r="AQ242" s="1806"/>
      <c r="AR242" s="1806"/>
      <c r="AS242" s="1806"/>
      <c r="AT242" s="1806"/>
      <c r="AU242" s="110"/>
    </row>
    <row r="243" spans="1:47" ht="15.75">
      <c r="A243" s="1852"/>
      <c r="B243" s="1796" t="s">
        <v>16720</v>
      </c>
      <c r="C243" s="1854"/>
      <c r="D243" s="1854"/>
      <c r="E243" s="1855"/>
      <c r="F243" s="1856"/>
      <c r="G243" s="1855"/>
      <c r="H243" s="1856"/>
      <c r="I243" s="1855"/>
      <c r="J243" s="1856"/>
      <c r="K243" s="1855"/>
      <c r="L243" s="1856"/>
      <c r="M243" s="1855"/>
      <c r="N243" s="1856"/>
      <c r="O243" s="1855"/>
      <c r="P243" s="1856"/>
      <c r="Q243" s="1855"/>
      <c r="R243" s="1856"/>
      <c r="S243" s="1855"/>
      <c r="T243" s="1856"/>
      <c r="U243" s="1857"/>
      <c r="V243" s="1856"/>
      <c r="W243" s="1857"/>
      <c r="X243" s="1856"/>
      <c r="Y243" s="1858"/>
      <c r="Z243" s="1859"/>
      <c r="AA243" s="1817"/>
      <c r="AB243" s="1806"/>
      <c r="AC243" s="1806"/>
      <c r="AD243" s="1806"/>
      <c r="AE243" s="1806"/>
      <c r="AF243" s="1806"/>
      <c r="AG243" s="1806"/>
      <c r="AH243" s="1806"/>
      <c r="AI243" s="1806"/>
      <c r="AJ243" s="1806"/>
      <c r="AK243" s="1806"/>
      <c r="AL243" s="1806"/>
      <c r="AM243" s="1806"/>
      <c r="AN243" s="1806"/>
      <c r="AO243" s="1806"/>
      <c r="AP243" s="1806"/>
      <c r="AQ243" s="1806"/>
      <c r="AR243" s="1806"/>
      <c r="AS243" s="1806"/>
      <c r="AT243" s="1806"/>
      <c r="AU243" s="110"/>
    </row>
    <row r="244" spans="1:47" ht="15.75">
      <c r="A244" s="1852"/>
      <c r="B244" s="1796" t="s">
        <v>16721</v>
      </c>
      <c r="C244" s="1854"/>
      <c r="D244" s="1854"/>
      <c r="E244" s="1855"/>
      <c r="F244" s="1856"/>
      <c r="G244" s="1855"/>
      <c r="H244" s="1856"/>
      <c r="I244" s="1855"/>
      <c r="J244" s="1856"/>
      <c r="K244" s="1855"/>
      <c r="L244" s="1856"/>
      <c r="M244" s="1855"/>
      <c r="N244" s="1856"/>
      <c r="O244" s="1855"/>
      <c r="P244" s="1856"/>
      <c r="Q244" s="1855"/>
      <c r="R244" s="1856"/>
      <c r="S244" s="1855"/>
      <c r="T244" s="1856"/>
      <c r="U244" s="1857"/>
      <c r="V244" s="1856"/>
      <c r="W244" s="1857"/>
      <c r="X244" s="1856"/>
      <c r="Y244" s="1858"/>
      <c r="Z244" s="1859"/>
      <c r="AA244" s="1817"/>
      <c r="AB244" s="1806"/>
      <c r="AC244" s="1806"/>
      <c r="AD244" s="1806"/>
      <c r="AE244" s="1806"/>
      <c r="AF244" s="1806"/>
      <c r="AG244" s="1806"/>
      <c r="AH244" s="1806"/>
      <c r="AI244" s="1806"/>
      <c r="AJ244" s="1806"/>
      <c r="AK244" s="1806"/>
      <c r="AL244" s="1806"/>
      <c r="AM244" s="1806"/>
      <c r="AN244" s="1806"/>
      <c r="AO244" s="1806"/>
      <c r="AP244" s="1806"/>
      <c r="AQ244" s="1806"/>
      <c r="AR244" s="1806"/>
      <c r="AS244" s="1806"/>
      <c r="AT244" s="1806"/>
      <c r="AU244" s="110"/>
    </row>
    <row r="245" spans="1:47" ht="15.75">
      <c r="A245" s="1852"/>
      <c r="B245" s="1796" t="s">
        <v>16722</v>
      </c>
      <c r="C245" s="1854"/>
      <c r="D245" s="1854"/>
      <c r="E245" s="1855"/>
      <c r="F245" s="1856"/>
      <c r="G245" s="1855"/>
      <c r="H245" s="1856"/>
      <c r="I245" s="1855"/>
      <c r="J245" s="1856"/>
      <c r="K245" s="1855"/>
      <c r="L245" s="1856"/>
      <c r="M245" s="1855"/>
      <c r="N245" s="1856"/>
      <c r="O245" s="1855"/>
      <c r="P245" s="1856"/>
      <c r="Q245" s="1855"/>
      <c r="R245" s="1856"/>
      <c r="S245" s="1855"/>
      <c r="T245" s="1856"/>
      <c r="U245" s="1857"/>
      <c r="V245" s="1856"/>
      <c r="W245" s="1857"/>
      <c r="X245" s="1856"/>
      <c r="Y245" s="1858"/>
      <c r="Z245" s="1859"/>
      <c r="AA245" s="1817"/>
      <c r="AB245" s="1806"/>
      <c r="AC245" s="1806"/>
      <c r="AD245" s="1806"/>
      <c r="AE245" s="1806"/>
      <c r="AF245" s="1806"/>
      <c r="AG245" s="1806"/>
      <c r="AH245" s="1806"/>
      <c r="AI245" s="1806"/>
      <c r="AJ245" s="1806"/>
      <c r="AK245" s="1806"/>
      <c r="AL245" s="1806"/>
      <c r="AM245" s="1806"/>
      <c r="AN245" s="1806"/>
      <c r="AO245" s="1806"/>
      <c r="AP245" s="1806"/>
      <c r="AQ245" s="1806"/>
      <c r="AR245" s="1806"/>
      <c r="AS245" s="1806"/>
      <c r="AT245" s="1806"/>
      <c r="AU245" s="110"/>
    </row>
    <row r="246" spans="1:47" ht="15.75">
      <c r="A246" s="110"/>
      <c r="B246" s="1796" t="s">
        <v>16723</v>
      </c>
      <c r="C246" s="1010"/>
      <c r="D246" s="253"/>
      <c r="E246" s="1011"/>
      <c r="F246" s="262"/>
      <c r="G246" s="1011"/>
      <c r="H246" s="262"/>
      <c r="I246" s="1011"/>
      <c r="J246" s="262"/>
      <c r="K246" s="1011"/>
      <c r="L246" s="262"/>
      <c r="M246" s="1011"/>
      <c r="N246" s="262"/>
      <c r="O246" s="1011"/>
      <c r="P246" s="262"/>
      <c r="Q246" s="1011"/>
      <c r="R246" s="1012"/>
      <c r="S246" s="1011"/>
      <c r="T246" s="1012"/>
      <c r="U246" s="1010"/>
      <c r="V246" s="1012"/>
      <c r="W246" s="1010"/>
      <c r="X246" s="1012"/>
      <c r="Y246" s="1010"/>
      <c r="Z246" s="262"/>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row>
    <row r="247" spans="1:47" ht="12.75" hidden="1">
      <c r="A247" s="110"/>
      <c r="B247" s="1009"/>
      <c r="C247" s="1010"/>
      <c r="D247" s="253"/>
      <c r="E247" s="1011"/>
      <c r="F247" s="262"/>
      <c r="G247" s="1011"/>
      <c r="H247" s="262"/>
      <c r="I247" s="1011"/>
      <c r="J247" s="262"/>
      <c r="K247" s="1011"/>
      <c r="L247" s="262"/>
      <c r="M247" s="1011"/>
      <c r="N247" s="262"/>
      <c r="O247" s="1011"/>
      <c r="P247" s="262"/>
      <c r="Q247" s="1011"/>
      <c r="R247" s="1012"/>
      <c r="S247" s="1011"/>
      <c r="T247" s="1012"/>
      <c r="U247" s="1010"/>
      <c r="V247" s="1012"/>
      <c r="W247" s="1010"/>
      <c r="X247" s="1012"/>
      <c r="Y247" s="1010"/>
      <c r="Z247" s="262"/>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row>
    <row r="248" spans="1:47" ht="12.75" hidden="1">
      <c r="A248" s="110"/>
      <c r="B248" s="1009"/>
      <c r="C248" s="1010"/>
      <c r="D248" s="253"/>
      <c r="E248" s="1011"/>
      <c r="F248" s="262"/>
      <c r="G248" s="1011"/>
      <c r="H248" s="262"/>
      <c r="I248" s="1011"/>
      <c r="J248" s="262"/>
      <c r="K248" s="1011"/>
      <c r="L248" s="262"/>
      <c r="M248" s="1011"/>
      <c r="N248" s="262"/>
      <c r="O248" s="1011"/>
      <c r="P248" s="262"/>
      <c r="Q248" s="1011"/>
      <c r="R248" s="1012"/>
      <c r="S248" s="1011"/>
      <c r="T248" s="1012"/>
      <c r="U248" s="1010"/>
      <c r="V248" s="1012"/>
      <c r="W248" s="1010"/>
      <c r="X248" s="1012"/>
      <c r="Y248" s="1010"/>
      <c r="Z248" s="262"/>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row>
    <row r="249" spans="1:47" ht="12.75" hidden="1">
      <c r="A249" s="110"/>
      <c r="B249" s="1009"/>
      <c r="C249" s="1010"/>
      <c r="D249" s="253"/>
      <c r="E249" s="1011"/>
      <c r="F249" s="262"/>
      <c r="G249" s="1011"/>
      <c r="H249" s="262"/>
      <c r="I249" s="1011"/>
      <c r="J249" s="262"/>
      <c r="K249" s="1011"/>
      <c r="L249" s="262"/>
      <c r="M249" s="1011"/>
      <c r="N249" s="262"/>
      <c r="O249" s="1011"/>
      <c r="P249" s="262"/>
      <c r="Q249" s="1011"/>
      <c r="R249" s="1012"/>
      <c r="S249" s="1011"/>
      <c r="T249" s="1012"/>
      <c r="U249" s="1010"/>
      <c r="V249" s="1012"/>
      <c r="W249" s="1010"/>
      <c r="X249" s="1012"/>
      <c r="Y249" s="1010"/>
      <c r="Z249" s="262"/>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row>
    <row r="250" spans="1:47" ht="12.75" hidden="1">
      <c r="A250" s="110"/>
      <c r="B250" s="1009"/>
      <c r="C250" s="1010"/>
      <c r="D250" s="253"/>
      <c r="E250" s="1011"/>
      <c r="F250" s="262"/>
      <c r="G250" s="1011"/>
      <c r="H250" s="262"/>
      <c r="I250" s="1011"/>
      <c r="J250" s="262"/>
      <c r="K250" s="1011"/>
      <c r="L250" s="262"/>
      <c r="M250" s="1011"/>
      <c r="N250" s="262"/>
      <c r="O250" s="1011"/>
      <c r="P250" s="262"/>
      <c r="Q250" s="1011"/>
      <c r="R250" s="1012"/>
      <c r="S250" s="1011"/>
      <c r="T250" s="1012"/>
      <c r="U250" s="1010"/>
      <c r="V250" s="1012"/>
      <c r="W250" s="1010"/>
      <c r="X250" s="1012"/>
      <c r="Y250" s="1010"/>
      <c r="Z250" s="262"/>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row>
    <row r="251" spans="1:47" ht="12.75" hidden="1">
      <c r="A251" s="110"/>
      <c r="B251" s="1009"/>
      <c r="C251" s="1010"/>
      <c r="D251" s="253"/>
      <c r="E251" s="1011"/>
      <c r="F251" s="262"/>
      <c r="G251" s="1011"/>
      <c r="H251" s="262"/>
      <c r="I251" s="1011"/>
      <c r="J251" s="262"/>
      <c r="K251" s="1011"/>
      <c r="L251" s="262"/>
      <c r="M251" s="1011"/>
      <c r="N251" s="262"/>
      <c r="O251" s="1011"/>
      <c r="P251" s="262"/>
      <c r="Q251" s="1011"/>
      <c r="R251" s="1012"/>
      <c r="S251" s="1011"/>
      <c r="T251" s="1012"/>
      <c r="U251" s="1010"/>
      <c r="V251" s="1012"/>
      <c r="W251" s="1010"/>
      <c r="X251" s="1012"/>
      <c r="Y251" s="1010"/>
      <c r="Z251" s="262"/>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row>
    <row r="252" spans="1:47" ht="12.75" hidden="1">
      <c r="A252" s="110"/>
      <c r="B252" s="1009"/>
      <c r="C252" s="1010"/>
      <c r="D252" s="253"/>
      <c r="E252" s="1011"/>
      <c r="F252" s="262"/>
      <c r="G252" s="1011"/>
      <c r="H252" s="262"/>
      <c r="I252" s="1011"/>
      <c r="J252" s="262"/>
      <c r="K252" s="1011"/>
      <c r="L252" s="262"/>
      <c r="M252" s="1011"/>
      <c r="N252" s="262"/>
      <c r="O252" s="1011"/>
      <c r="P252" s="262"/>
      <c r="Q252" s="1011"/>
      <c r="R252" s="1012"/>
      <c r="S252" s="1011"/>
      <c r="T252" s="1012"/>
      <c r="U252" s="1010"/>
      <c r="V252" s="1012"/>
      <c r="W252" s="1010"/>
      <c r="X252" s="1012"/>
      <c r="Y252" s="1010"/>
      <c r="Z252" s="262"/>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row>
    <row r="253" spans="1:47" ht="12.75" hidden="1">
      <c r="A253" s="110"/>
      <c r="B253" s="1009"/>
      <c r="C253" s="1010"/>
      <c r="D253" s="253"/>
      <c r="E253" s="1011"/>
      <c r="F253" s="262"/>
      <c r="G253" s="1011"/>
      <c r="H253" s="262"/>
      <c r="I253" s="1011"/>
      <c r="J253" s="262"/>
      <c r="K253" s="1011"/>
      <c r="L253" s="262"/>
      <c r="M253" s="1011"/>
      <c r="N253" s="262"/>
      <c r="O253" s="1011"/>
      <c r="P253" s="262"/>
      <c r="Q253" s="1011"/>
      <c r="R253" s="1012"/>
      <c r="S253" s="1011"/>
      <c r="T253" s="1012"/>
      <c r="U253" s="1010"/>
      <c r="V253" s="1012"/>
      <c r="W253" s="1010"/>
      <c r="X253" s="1012"/>
      <c r="Y253" s="1010"/>
      <c r="Z253" s="262"/>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row>
    <row r="254" spans="1:47" ht="12.75" hidden="1">
      <c r="A254" s="110"/>
      <c r="B254" s="1009"/>
      <c r="C254" s="1010"/>
      <c r="D254" s="253"/>
      <c r="E254" s="1011"/>
      <c r="F254" s="262"/>
      <c r="G254" s="1011"/>
      <c r="H254" s="262"/>
      <c r="I254" s="1011"/>
      <c r="J254" s="262"/>
      <c r="K254" s="1011"/>
      <c r="L254" s="262"/>
      <c r="M254" s="1011"/>
      <c r="N254" s="262"/>
      <c r="O254" s="1011"/>
      <c r="P254" s="262"/>
      <c r="Q254" s="1011"/>
      <c r="R254" s="1012"/>
      <c r="S254" s="1011"/>
      <c r="T254" s="1012"/>
      <c r="U254" s="1010"/>
      <c r="V254" s="1012"/>
      <c r="W254" s="1010"/>
      <c r="X254" s="1012"/>
      <c r="Y254" s="1010"/>
      <c r="Z254" s="262"/>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row>
    <row r="255" spans="1:47" ht="12.75" hidden="1">
      <c r="A255" s="110"/>
      <c r="B255" s="1009"/>
      <c r="C255" s="1010"/>
      <c r="D255" s="253"/>
      <c r="E255" s="1011"/>
      <c r="F255" s="262"/>
      <c r="G255" s="1011"/>
      <c r="H255" s="262"/>
      <c r="I255" s="1011"/>
      <c r="J255" s="262"/>
      <c r="K255" s="1011"/>
      <c r="L255" s="262"/>
      <c r="M255" s="1011"/>
      <c r="N255" s="262"/>
      <c r="O255" s="1011"/>
      <c r="P255" s="262"/>
      <c r="Q255" s="1011"/>
      <c r="R255" s="1012"/>
      <c r="S255" s="1011"/>
      <c r="T255" s="1012"/>
      <c r="U255" s="1010"/>
      <c r="V255" s="1012"/>
      <c r="W255" s="1010"/>
      <c r="X255" s="1012"/>
      <c r="Y255" s="1010"/>
      <c r="Z255" s="262"/>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row>
    <row r="256" spans="1:47" ht="12.75" hidden="1">
      <c r="A256" s="110"/>
      <c r="B256" s="1009"/>
      <c r="C256" s="1010"/>
      <c r="D256" s="253"/>
      <c r="E256" s="1011"/>
      <c r="F256" s="262"/>
      <c r="G256" s="1011"/>
      <c r="H256" s="262"/>
      <c r="I256" s="1011"/>
      <c r="J256" s="262"/>
      <c r="K256" s="1011"/>
      <c r="L256" s="262"/>
      <c r="M256" s="1011"/>
      <c r="N256" s="262"/>
      <c r="O256" s="1011"/>
      <c r="P256" s="262"/>
      <c r="Q256" s="1011"/>
      <c r="R256" s="1012"/>
      <c r="S256" s="1011"/>
      <c r="T256" s="1012"/>
      <c r="U256" s="1010"/>
      <c r="V256" s="1012"/>
      <c r="W256" s="1010"/>
      <c r="X256" s="1012"/>
      <c r="Y256" s="1010"/>
      <c r="Z256" s="262"/>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row>
    <row r="257" spans="1:47" ht="12.75" hidden="1">
      <c r="A257" s="110"/>
      <c r="B257" s="1009"/>
      <c r="C257" s="1010"/>
      <c r="D257" s="253"/>
      <c r="E257" s="1011"/>
      <c r="F257" s="262"/>
      <c r="G257" s="1011"/>
      <c r="H257" s="262"/>
      <c r="I257" s="1011"/>
      <c r="J257" s="262"/>
      <c r="K257" s="1011"/>
      <c r="L257" s="262"/>
      <c r="M257" s="1011"/>
      <c r="N257" s="262"/>
      <c r="O257" s="1011"/>
      <c r="P257" s="262"/>
      <c r="Q257" s="1011"/>
      <c r="R257" s="1012"/>
      <c r="S257" s="1011"/>
      <c r="T257" s="1012"/>
      <c r="U257" s="1010"/>
      <c r="V257" s="1012"/>
      <c r="W257" s="1010"/>
      <c r="X257" s="1012"/>
      <c r="Y257" s="1010"/>
      <c r="Z257" s="262"/>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row>
    <row r="258" spans="1:47" ht="12.75" hidden="1">
      <c r="A258" s="110"/>
      <c r="B258" s="1009"/>
      <c r="C258" s="1010"/>
      <c r="D258" s="253"/>
      <c r="E258" s="1011"/>
      <c r="F258" s="262"/>
      <c r="G258" s="1011"/>
      <c r="H258" s="262"/>
      <c r="I258" s="1011"/>
      <c r="J258" s="262"/>
      <c r="K258" s="1011"/>
      <c r="L258" s="262"/>
      <c r="M258" s="1011"/>
      <c r="N258" s="262"/>
      <c r="O258" s="1011"/>
      <c r="P258" s="262"/>
      <c r="Q258" s="1011"/>
      <c r="R258" s="1012"/>
      <c r="S258" s="1011"/>
      <c r="T258" s="1012"/>
      <c r="U258" s="1010"/>
      <c r="V258" s="1012"/>
      <c r="W258" s="1010"/>
      <c r="X258" s="1012"/>
      <c r="Y258" s="1010"/>
      <c r="Z258" s="262"/>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row>
    <row r="259" spans="1:47" ht="12.75" hidden="1">
      <c r="A259" s="110"/>
      <c r="B259" s="1009"/>
      <c r="C259" s="1010"/>
      <c r="D259" s="253"/>
      <c r="E259" s="1011"/>
      <c r="F259" s="262"/>
      <c r="G259" s="1011"/>
      <c r="H259" s="262"/>
      <c r="I259" s="1011"/>
      <c r="J259" s="262"/>
      <c r="K259" s="1011"/>
      <c r="L259" s="262"/>
      <c r="M259" s="1011"/>
      <c r="N259" s="262"/>
      <c r="O259" s="1011"/>
      <c r="P259" s="262"/>
      <c r="Q259" s="1011"/>
      <c r="R259" s="1012"/>
      <c r="S259" s="1011"/>
      <c r="T259" s="1012"/>
      <c r="U259" s="1010"/>
      <c r="V259" s="1012"/>
      <c r="W259" s="1010"/>
      <c r="X259" s="1012"/>
      <c r="Y259" s="1010"/>
      <c r="Z259" s="262"/>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row>
    <row r="260" spans="1:47" ht="12.75" hidden="1">
      <c r="A260" s="110"/>
      <c r="B260" s="1009"/>
      <c r="C260" s="1010"/>
      <c r="D260" s="253"/>
      <c r="E260" s="1011"/>
      <c r="F260" s="262"/>
      <c r="G260" s="1011"/>
      <c r="H260" s="262"/>
      <c r="I260" s="1011"/>
      <c r="J260" s="262"/>
      <c r="K260" s="1011"/>
      <c r="L260" s="262"/>
      <c r="M260" s="1011"/>
      <c r="N260" s="262"/>
      <c r="O260" s="1011"/>
      <c r="P260" s="262"/>
      <c r="Q260" s="1011"/>
      <c r="R260" s="1012"/>
      <c r="S260" s="1011"/>
      <c r="T260" s="1012"/>
      <c r="U260" s="1010"/>
      <c r="V260" s="1012"/>
      <c r="W260" s="1010"/>
      <c r="X260" s="1012"/>
      <c r="Y260" s="1010"/>
      <c r="Z260" s="262"/>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row>
    <row r="261" spans="1:47" ht="12.75" hidden="1">
      <c r="A261" s="110"/>
      <c r="B261" s="1009"/>
      <c r="C261" s="1010"/>
      <c r="D261" s="253"/>
      <c r="E261" s="1011"/>
      <c r="F261" s="262"/>
      <c r="G261" s="1011"/>
      <c r="H261" s="262"/>
      <c r="I261" s="1011"/>
      <c r="J261" s="262"/>
      <c r="K261" s="1011"/>
      <c r="L261" s="262"/>
      <c r="M261" s="1011"/>
      <c r="N261" s="262"/>
      <c r="O261" s="1011"/>
      <c r="P261" s="262"/>
      <c r="Q261" s="1011"/>
      <c r="R261" s="1012"/>
      <c r="S261" s="1011"/>
      <c r="T261" s="1012"/>
      <c r="U261" s="1010"/>
      <c r="V261" s="1012"/>
      <c r="W261" s="1010"/>
      <c r="X261" s="1012"/>
      <c r="Y261" s="1010"/>
      <c r="Z261" s="262"/>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row>
    <row r="262" spans="1:47" ht="12.75" hidden="1">
      <c r="A262" s="110"/>
      <c r="B262" s="1009"/>
      <c r="C262" s="1010"/>
      <c r="D262" s="253"/>
      <c r="E262" s="1011"/>
      <c r="F262" s="262"/>
      <c r="G262" s="1011"/>
      <c r="H262" s="262"/>
      <c r="I262" s="1011"/>
      <c r="J262" s="262"/>
      <c r="K262" s="1011"/>
      <c r="L262" s="262"/>
      <c r="M262" s="1011"/>
      <c r="N262" s="262"/>
      <c r="O262" s="1011"/>
      <c r="P262" s="262"/>
      <c r="Q262" s="1011"/>
      <c r="R262" s="1012"/>
      <c r="S262" s="1011"/>
      <c r="T262" s="1012"/>
      <c r="U262" s="1010"/>
      <c r="V262" s="1012"/>
      <c r="W262" s="1010"/>
      <c r="X262" s="1012"/>
      <c r="Y262" s="1010"/>
      <c r="Z262" s="262"/>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row>
    <row r="263" spans="1:47" ht="12.75" hidden="1">
      <c r="A263" s="110"/>
      <c r="B263" s="1009"/>
      <c r="C263" s="1010"/>
      <c r="D263" s="253"/>
      <c r="E263" s="1011"/>
      <c r="F263" s="262"/>
      <c r="G263" s="1011"/>
      <c r="H263" s="262"/>
      <c r="I263" s="1011"/>
      <c r="J263" s="262"/>
      <c r="K263" s="1011"/>
      <c r="L263" s="262"/>
      <c r="M263" s="1011"/>
      <c r="N263" s="262"/>
      <c r="O263" s="1011"/>
      <c r="P263" s="262"/>
      <c r="Q263" s="1011"/>
      <c r="R263" s="1012"/>
      <c r="S263" s="1011"/>
      <c r="T263" s="1012"/>
      <c r="U263" s="1010"/>
      <c r="V263" s="1012"/>
      <c r="W263" s="1010"/>
      <c r="X263" s="1012"/>
      <c r="Y263" s="1010"/>
      <c r="Z263" s="262"/>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row>
    <row r="264" spans="1:47" ht="12.75" hidden="1">
      <c r="A264" s="110"/>
      <c r="B264" s="1009"/>
      <c r="C264" s="1010"/>
      <c r="D264" s="253"/>
      <c r="E264" s="1011"/>
      <c r="F264" s="262"/>
      <c r="G264" s="1011"/>
      <c r="H264" s="262"/>
      <c r="I264" s="1011"/>
      <c r="J264" s="262"/>
      <c r="K264" s="1011"/>
      <c r="L264" s="262"/>
      <c r="M264" s="1011"/>
      <c r="N264" s="262"/>
      <c r="O264" s="1011"/>
      <c r="P264" s="262"/>
      <c r="Q264" s="1011"/>
      <c r="R264" s="1012"/>
      <c r="S264" s="1011"/>
      <c r="T264" s="1012"/>
      <c r="U264" s="1010"/>
      <c r="V264" s="1012"/>
      <c r="W264" s="1010"/>
      <c r="X264" s="1012"/>
      <c r="Y264" s="1010"/>
      <c r="Z264" s="262"/>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row>
    <row r="265" spans="1:47" ht="12.75" hidden="1">
      <c r="A265" s="110"/>
      <c r="B265" s="1009"/>
      <c r="C265" s="1010"/>
      <c r="D265" s="253"/>
      <c r="E265" s="1011"/>
      <c r="F265" s="262"/>
      <c r="G265" s="1011"/>
      <c r="H265" s="262"/>
      <c r="I265" s="1011"/>
      <c r="J265" s="262"/>
      <c r="K265" s="1011"/>
      <c r="L265" s="262"/>
      <c r="M265" s="1011"/>
      <c r="N265" s="262"/>
      <c r="O265" s="1011"/>
      <c r="P265" s="262"/>
      <c r="Q265" s="1011"/>
      <c r="R265" s="1012"/>
      <c r="S265" s="1011"/>
      <c r="T265" s="1012"/>
      <c r="U265" s="1010"/>
      <c r="V265" s="1012"/>
      <c r="W265" s="1010"/>
      <c r="X265" s="1012"/>
      <c r="Y265" s="1010"/>
      <c r="Z265" s="262"/>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row>
    <row r="266" spans="1:47" ht="12.75" hidden="1">
      <c r="A266" s="110"/>
      <c r="B266" s="1009"/>
      <c r="C266" s="1010"/>
      <c r="D266" s="253"/>
      <c r="E266" s="1011"/>
      <c r="F266" s="262"/>
      <c r="G266" s="1011"/>
      <c r="H266" s="262"/>
      <c r="I266" s="1011"/>
      <c r="J266" s="262"/>
      <c r="K266" s="1011"/>
      <c r="L266" s="262"/>
      <c r="M266" s="1011"/>
      <c r="N266" s="262"/>
      <c r="O266" s="1011"/>
      <c r="P266" s="262"/>
      <c r="Q266" s="1011"/>
      <c r="R266" s="1012"/>
      <c r="S266" s="1011"/>
      <c r="T266" s="1012"/>
      <c r="U266" s="1010"/>
      <c r="V266" s="1012"/>
      <c r="W266" s="1010"/>
      <c r="X266" s="1012"/>
      <c r="Y266" s="1010"/>
      <c r="Z266" s="262"/>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row>
    <row r="267" spans="1:47" ht="12.75" hidden="1">
      <c r="A267" s="110"/>
      <c r="B267" s="1009"/>
      <c r="C267" s="1010"/>
      <c r="D267" s="253"/>
      <c r="E267" s="1011"/>
      <c r="F267" s="262"/>
      <c r="G267" s="1011"/>
      <c r="H267" s="262"/>
      <c r="I267" s="1011"/>
      <c r="J267" s="262"/>
      <c r="K267" s="1011"/>
      <c r="L267" s="262"/>
      <c r="M267" s="1011"/>
      <c r="N267" s="262"/>
      <c r="O267" s="1011"/>
      <c r="P267" s="262"/>
      <c r="Q267" s="1011"/>
      <c r="R267" s="1012"/>
      <c r="S267" s="1011"/>
      <c r="T267" s="1012"/>
      <c r="U267" s="1010"/>
      <c r="V267" s="1012"/>
      <c r="W267" s="1010"/>
      <c r="X267" s="1012"/>
      <c r="Y267" s="1010"/>
      <c r="Z267" s="262"/>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row>
    <row r="268" spans="1:47" ht="12.75" hidden="1">
      <c r="A268" s="110"/>
      <c r="B268" s="1009"/>
      <c r="C268" s="1010"/>
      <c r="D268" s="253"/>
      <c r="E268" s="1011"/>
      <c r="F268" s="262"/>
      <c r="G268" s="1011"/>
      <c r="H268" s="262"/>
      <c r="I268" s="1011"/>
      <c r="J268" s="262"/>
      <c r="K268" s="1011"/>
      <c r="L268" s="262"/>
      <c r="M268" s="1011"/>
      <c r="N268" s="262"/>
      <c r="O268" s="1011"/>
      <c r="P268" s="262"/>
      <c r="Q268" s="1011"/>
      <c r="R268" s="1012"/>
      <c r="S268" s="1011"/>
      <c r="T268" s="1012"/>
      <c r="U268" s="1010"/>
      <c r="V268" s="1012"/>
      <c r="W268" s="1010"/>
      <c r="X268" s="1012"/>
      <c r="Y268" s="1010"/>
      <c r="Z268" s="262"/>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row>
    <row r="269" spans="1:47" ht="12.75" hidden="1">
      <c r="A269" s="110"/>
      <c r="B269" s="1009"/>
      <c r="C269" s="1010"/>
      <c r="D269" s="253"/>
      <c r="E269" s="1011"/>
      <c r="F269" s="262"/>
      <c r="G269" s="1011"/>
      <c r="H269" s="262"/>
      <c r="I269" s="1011"/>
      <c r="J269" s="262"/>
      <c r="K269" s="1011"/>
      <c r="L269" s="262"/>
      <c r="M269" s="1011"/>
      <c r="N269" s="262"/>
      <c r="O269" s="1011"/>
      <c r="P269" s="262"/>
      <c r="Q269" s="1011"/>
      <c r="R269" s="1012"/>
      <c r="S269" s="1011"/>
      <c r="T269" s="1012"/>
      <c r="U269" s="1010"/>
      <c r="V269" s="1012"/>
      <c r="W269" s="1010"/>
      <c r="X269" s="1012"/>
      <c r="Y269" s="1010"/>
      <c r="Z269" s="262"/>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row>
    <row r="270" spans="1:47" ht="12.75" hidden="1">
      <c r="A270" s="110"/>
      <c r="B270" s="1009"/>
      <c r="C270" s="1010"/>
      <c r="D270" s="253"/>
      <c r="E270" s="1011"/>
      <c r="F270" s="262"/>
      <c r="G270" s="1011"/>
      <c r="H270" s="262"/>
      <c r="I270" s="1011"/>
      <c r="J270" s="262"/>
      <c r="K270" s="1011"/>
      <c r="L270" s="262"/>
      <c r="M270" s="1011"/>
      <c r="N270" s="262"/>
      <c r="O270" s="1011"/>
      <c r="P270" s="262"/>
      <c r="Q270" s="1011"/>
      <c r="R270" s="1012"/>
      <c r="S270" s="1011"/>
      <c r="T270" s="1012"/>
      <c r="U270" s="1010"/>
      <c r="V270" s="1012"/>
      <c r="W270" s="1010"/>
      <c r="X270" s="1012"/>
      <c r="Y270" s="1010"/>
      <c r="Z270" s="262"/>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row>
    <row r="271" spans="1:47" ht="12.75" hidden="1">
      <c r="A271" s="110"/>
      <c r="B271" s="1009"/>
      <c r="C271" s="1010"/>
      <c r="D271" s="253"/>
      <c r="E271" s="1011"/>
      <c r="F271" s="262"/>
      <c r="G271" s="1011"/>
      <c r="H271" s="262"/>
      <c r="I271" s="1011"/>
      <c r="J271" s="262"/>
      <c r="K271" s="1011"/>
      <c r="L271" s="262"/>
      <c r="M271" s="1011"/>
      <c r="N271" s="262"/>
      <c r="O271" s="1011"/>
      <c r="P271" s="262"/>
      <c r="Q271" s="1011"/>
      <c r="R271" s="1012"/>
      <c r="S271" s="1011"/>
      <c r="T271" s="1012"/>
      <c r="U271" s="1010"/>
      <c r="V271" s="1012"/>
      <c r="W271" s="1010"/>
      <c r="X271" s="1012"/>
      <c r="Y271" s="1010"/>
      <c r="Z271" s="262"/>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row>
    <row r="272" spans="1:47" ht="12.75" hidden="1">
      <c r="A272" s="110"/>
      <c r="B272" s="1009"/>
      <c r="C272" s="1010"/>
      <c r="D272" s="253"/>
      <c r="E272" s="1011"/>
      <c r="F272" s="262"/>
      <c r="G272" s="1011"/>
      <c r="H272" s="262"/>
      <c r="I272" s="1011"/>
      <c r="J272" s="262"/>
      <c r="K272" s="1011"/>
      <c r="L272" s="262"/>
      <c r="M272" s="1011"/>
      <c r="N272" s="262"/>
      <c r="O272" s="1011"/>
      <c r="P272" s="262"/>
      <c r="Q272" s="1011"/>
      <c r="R272" s="1012"/>
      <c r="S272" s="1011"/>
      <c r="T272" s="1012"/>
      <c r="U272" s="1010"/>
      <c r="V272" s="1012"/>
      <c r="W272" s="1010"/>
      <c r="X272" s="1012"/>
      <c r="Y272" s="1010"/>
      <c r="Z272" s="262"/>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row>
    <row r="273" spans="1:47" ht="12.75" hidden="1">
      <c r="A273" s="110"/>
      <c r="B273" s="1009"/>
      <c r="C273" s="1010"/>
      <c r="D273" s="253"/>
      <c r="E273" s="1011"/>
      <c r="F273" s="262"/>
      <c r="G273" s="1011"/>
      <c r="H273" s="262"/>
      <c r="I273" s="1011"/>
      <c r="J273" s="262"/>
      <c r="K273" s="1011"/>
      <c r="L273" s="262"/>
      <c r="M273" s="1011"/>
      <c r="N273" s="262"/>
      <c r="O273" s="1011"/>
      <c r="P273" s="262"/>
      <c r="Q273" s="1011"/>
      <c r="R273" s="1012"/>
      <c r="S273" s="1011"/>
      <c r="T273" s="1012"/>
      <c r="U273" s="1010"/>
      <c r="V273" s="1012"/>
      <c r="W273" s="1010"/>
      <c r="X273" s="1012"/>
      <c r="Y273" s="1010"/>
      <c r="Z273" s="262"/>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row>
    <row r="274" spans="1:47" ht="12.75" hidden="1">
      <c r="A274" s="110"/>
      <c r="B274" s="1009"/>
      <c r="C274" s="1010"/>
      <c r="D274" s="253"/>
      <c r="E274" s="1011"/>
      <c r="F274" s="262"/>
      <c r="G274" s="1011"/>
      <c r="H274" s="262"/>
      <c r="I274" s="1011"/>
      <c r="J274" s="262"/>
      <c r="K274" s="1011"/>
      <c r="L274" s="262"/>
      <c r="M274" s="1011"/>
      <c r="N274" s="262"/>
      <c r="O274" s="1011"/>
      <c r="P274" s="262"/>
      <c r="Q274" s="1011"/>
      <c r="R274" s="1012"/>
      <c r="S274" s="1011"/>
      <c r="T274" s="1012"/>
      <c r="U274" s="1010"/>
      <c r="V274" s="1012"/>
      <c r="W274" s="1010"/>
      <c r="X274" s="1012"/>
      <c r="Y274" s="1010"/>
      <c r="Z274" s="262"/>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row>
    <row r="275" spans="1:47" ht="12.75" hidden="1">
      <c r="A275" s="110"/>
      <c r="B275" s="1009"/>
      <c r="C275" s="1010"/>
      <c r="D275" s="253"/>
      <c r="E275" s="1011"/>
      <c r="F275" s="262"/>
      <c r="G275" s="1011"/>
      <c r="H275" s="262"/>
      <c r="I275" s="1011"/>
      <c r="J275" s="262"/>
      <c r="K275" s="1011"/>
      <c r="L275" s="262"/>
      <c r="M275" s="1011"/>
      <c r="N275" s="262"/>
      <c r="O275" s="1011"/>
      <c r="P275" s="262"/>
      <c r="Q275" s="1011"/>
      <c r="R275" s="1012"/>
      <c r="S275" s="1011"/>
      <c r="T275" s="1012"/>
      <c r="U275" s="1010"/>
      <c r="V275" s="1012"/>
      <c r="W275" s="1010"/>
      <c r="X275" s="1012"/>
      <c r="Y275" s="1010"/>
      <c r="Z275" s="262"/>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row>
    <row r="276" spans="1:47" ht="12.75" hidden="1">
      <c r="A276" s="110"/>
      <c r="B276" s="1009"/>
      <c r="C276" s="1010"/>
      <c r="D276" s="253"/>
      <c r="E276" s="1011"/>
      <c r="F276" s="262"/>
      <c r="G276" s="1011"/>
      <c r="H276" s="262"/>
      <c r="I276" s="1011"/>
      <c r="J276" s="262"/>
      <c r="K276" s="1011"/>
      <c r="L276" s="262"/>
      <c r="M276" s="1011"/>
      <c r="N276" s="262"/>
      <c r="O276" s="1011"/>
      <c r="P276" s="262"/>
      <c r="Q276" s="1011"/>
      <c r="R276" s="1012"/>
      <c r="S276" s="1011"/>
      <c r="T276" s="1012"/>
      <c r="U276" s="1010"/>
      <c r="V276" s="1012"/>
      <c r="W276" s="1010"/>
      <c r="X276" s="1012"/>
      <c r="Y276" s="1010"/>
      <c r="Z276" s="262"/>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row>
    <row r="277" spans="1:47" ht="12.75" hidden="1">
      <c r="A277" s="110"/>
      <c r="B277" s="1009"/>
      <c r="C277" s="1010"/>
      <c r="D277" s="253"/>
      <c r="E277" s="1011"/>
      <c r="F277" s="262"/>
      <c r="G277" s="1011"/>
      <c r="H277" s="262"/>
      <c r="I277" s="1011"/>
      <c r="J277" s="262"/>
      <c r="K277" s="1011"/>
      <c r="L277" s="262"/>
      <c r="M277" s="1011"/>
      <c r="N277" s="262"/>
      <c r="O277" s="1011"/>
      <c r="P277" s="262"/>
      <c r="Q277" s="1011"/>
      <c r="R277" s="1012"/>
      <c r="S277" s="1011"/>
      <c r="T277" s="1012"/>
      <c r="U277" s="1010"/>
      <c r="V277" s="1012"/>
      <c r="W277" s="1010"/>
      <c r="X277" s="1012"/>
      <c r="Y277" s="1010"/>
      <c r="Z277" s="262"/>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row>
    <row r="278" spans="1:47" ht="12.75" hidden="1">
      <c r="A278" s="110"/>
      <c r="B278" s="1009"/>
      <c r="C278" s="1010"/>
      <c r="D278" s="253"/>
      <c r="E278" s="1011"/>
      <c r="F278" s="262"/>
      <c r="G278" s="1011"/>
      <c r="H278" s="262"/>
      <c r="I278" s="1011"/>
      <c r="J278" s="262"/>
      <c r="K278" s="1011"/>
      <c r="L278" s="262"/>
      <c r="M278" s="1011"/>
      <c r="N278" s="262"/>
      <c r="O278" s="1011"/>
      <c r="P278" s="262"/>
      <c r="Q278" s="1011"/>
      <c r="R278" s="1012"/>
      <c r="S278" s="1011"/>
      <c r="T278" s="1012"/>
      <c r="U278" s="1010"/>
      <c r="V278" s="1012"/>
      <c r="W278" s="1010"/>
      <c r="X278" s="1012"/>
      <c r="Y278" s="1010"/>
      <c r="Z278" s="262"/>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row>
    <row r="279" spans="1:47" ht="12.75" hidden="1">
      <c r="A279" s="110"/>
      <c r="B279" s="1009"/>
      <c r="C279" s="1010"/>
      <c r="D279" s="253"/>
      <c r="E279" s="1011"/>
      <c r="F279" s="262"/>
      <c r="G279" s="1011"/>
      <c r="H279" s="262"/>
      <c r="I279" s="1011"/>
      <c r="J279" s="262"/>
      <c r="K279" s="1011"/>
      <c r="L279" s="262"/>
      <c r="M279" s="1011"/>
      <c r="N279" s="262"/>
      <c r="O279" s="1011"/>
      <c r="P279" s="262"/>
      <c r="Q279" s="1011"/>
      <c r="R279" s="1012"/>
      <c r="S279" s="1011"/>
      <c r="T279" s="1012"/>
      <c r="U279" s="1010"/>
      <c r="V279" s="1012"/>
      <c r="W279" s="1010"/>
      <c r="X279" s="1012"/>
      <c r="Y279" s="1010"/>
      <c r="Z279" s="262"/>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row>
    <row r="280" spans="1:47" ht="12.75" hidden="1">
      <c r="A280" s="110"/>
      <c r="B280" s="1009"/>
      <c r="C280" s="1010"/>
      <c r="D280" s="253"/>
      <c r="E280" s="1011"/>
      <c r="F280" s="262"/>
      <c r="G280" s="1011"/>
      <c r="H280" s="262"/>
      <c r="I280" s="1011"/>
      <c r="J280" s="262"/>
      <c r="K280" s="1011"/>
      <c r="L280" s="262"/>
      <c r="M280" s="1011"/>
      <c r="N280" s="262"/>
      <c r="O280" s="1011"/>
      <c r="P280" s="262"/>
      <c r="Q280" s="1011"/>
      <c r="R280" s="1012"/>
      <c r="S280" s="1011"/>
      <c r="T280" s="1012"/>
      <c r="U280" s="1010"/>
      <c r="V280" s="1012"/>
      <c r="W280" s="1010"/>
      <c r="X280" s="1012"/>
      <c r="Y280" s="1010"/>
      <c r="Z280" s="262"/>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row>
    <row r="281" spans="1:47" ht="12.75" hidden="1">
      <c r="A281" s="110"/>
      <c r="B281" s="1009"/>
      <c r="C281" s="1010"/>
      <c r="D281" s="253"/>
      <c r="E281" s="1011"/>
      <c r="F281" s="262"/>
      <c r="G281" s="1011"/>
      <c r="H281" s="262"/>
      <c r="I281" s="1011"/>
      <c r="J281" s="262"/>
      <c r="K281" s="1011"/>
      <c r="L281" s="262"/>
      <c r="M281" s="1011"/>
      <c r="N281" s="262"/>
      <c r="O281" s="1011"/>
      <c r="P281" s="262"/>
      <c r="Q281" s="1011"/>
      <c r="R281" s="1012"/>
      <c r="S281" s="1011"/>
      <c r="T281" s="1012"/>
      <c r="U281" s="1010"/>
      <c r="V281" s="1012"/>
      <c r="W281" s="1010"/>
      <c r="X281" s="1012"/>
      <c r="Y281" s="1010"/>
      <c r="Z281" s="262"/>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row>
    <row r="282" spans="1:47" ht="12.75" hidden="1">
      <c r="A282" s="110"/>
      <c r="B282" s="1009"/>
      <c r="C282" s="1010"/>
      <c r="D282" s="253"/>
      <c r="E282" s="1011"/>
      <c r="F282" s="262"/>
      <c r="G282" s="1011"/>
      <c r="H282" s="262"/>
      <c r="I282" s="1011"/>
      <c r="J282" s="262"/>
      <c r="K282" s="1011"/>
      <c r="L282" s="262"/>
      <c r="M282" s="1011"/>
      <c r="N282" s="262"/>
      <c r="O282" s="1011"/>
      <c r="P282" s="262"/>
      <c r="Q282" s="1011"/>
      <c r="R282" s="1012"/>
      <c r="S282" s="1011"/>
      <c r="T282" s="1012"/>
      <c r="U282" s="1010"/>
      <c r="V282" s="1012"/>
      <c r="W282" s="1010"/>
      <c r="X282" s="1012"/>
      <c r="Y282" s="1010"/>
      <c r="Z282" s="262"/>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row>
    <row r="283" spans="1:47" ht="12.75" hidden="1">
      <c r="A283" s="110"/>
      <c r="B283" s="1009"/>
      <c r="C283" s="1010"/>
      <c r="D283" s="253"/>
      <c r="E283" s="1011"/>
      <c r="F283" s="262"/>
      <c r="G283" s="1011"/>
      <c r="H283" s="262"/>
      <c r="I283" s="1011"/>
      <c r="J283" s="262"/>
      <c r="K283" s="1011"/>
      <c r="L283" s="262"/>
      <c r="M283" s="1011"/>
      <c r="N283" s="262"/>
      <c r="O283" s="1011"/>
      <c r="P283" s="262"/>
      <c r="Q283" s="1011"/>
      <c r="R283" s="1012"/>
      <c r="S283" s="1011"/>
      <c r="T283" s="1012"/>
      <c r="U283" s="1010"/>
      <c r="V283" s="1012"/>
      <c r="W283" s="1010"/>
      <c r="X283" s="1012"/>
      <c r="Y283" s="1010"/>
      <c r="Z283" s="262"/>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row>
    <row r="284" spans="1:47" ht="12.75" hidden="1">
      <c r="A284" s="110"/>
      <c r="B284" s="1009"/>
      <c r="C284" s="1010"/>
      <c r="D284" s="253"/>
      <c r="E284" s="1011"/>
      <c r="F284" s="262"/>
      <c r="G284" s="1011"/>
      <c r="H284" s="262"/>
      <c r="I284" s="1011"/>
      <c r="J284" s="262"/>
      <c r="K284" s="1011"/>
      <c r="L284" s="262"/>
      <c r="M284" s="1011"/>
      <c r="N284" s="262"/>
      <c r="O284" s="1011"/>
      <c r="P284" s="262"/>
      <c r="Q284" s="1011"/>
      <c r="R284" s="1012"/>
      <c r="S284" s="1011"/>
      <c r="T284" s="1012"/>
      <c r="U284" s="1010"/>
      <c r="V284" s="1012"/>
      <c r="W284" s="1010"/>
      <c r="X284" s="1012"/>
      <c r="Y284" s="1010"/>
      <c r="Z284" s="262"/>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row>
    <row r="285" spans="1:47" ht="12.75" hidden="1">
      <c r="A285" s="110"/>
      <c r="B285" s="1009"/>
      <c r="C285" s="1010"/>
      <c r="D285" s="253"/>
      <c r="E285" s="1011"/>
      <c r="F285" s="262"/>
      <c r="G285" s="1011"/>
      <c r="H285" s="262"/>
      <c r="I285" s="1011"/>
      <c r="J285" s="262"/>
      <c r="K285" s="1011"/>
      <c r="L285" s="262"/>
      <c r="M285" s="1011"/>
      <c r="N285" s="262"/>
      <c r="O285" s="1011"/>
      <c r="P285" s="262"/>
      <c r="Q285" s="1011"/>
      <c r="R285" s="1012"/>
      <c r="S285" s="1011"/>
      <c r="T285" s="1012"/>
      <c r="U285" s="1010"/>
      <c r="V285" s="1012"/>
      <c r="W285" s="1010"/>
      <c r="X285" s="1012"/>
      <c r="Y285" s="1010"/>
      <c r="Z285" s="262"/>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row>
    <row r="286" spans="1:47" ht="12.75" hidden="1">
      <c r="A286" s="110"/>
      <c r="B286" s="1009"/>
      <c r="C286" s="1010"/>
      <c r="D286" s="253"/>
      <c r="E286" s="1011"/>
      <c r="F286" s="262"/>
      <c r="G286" s="1011"/>
      <c r="H286" s="262"/>
      <c r="I286" s="1011"/>
      <c r="J286" s="262"/>
      <c r="K286" s="1011"/>
      <c r="L286" s="262"/>
      <c r="M286" s="1011"/>
      <c r="N286" s="262"/>
      <c r="O286" s="1011"/>
      <c r="P286" s="262"/>
      <c r="Q286" s="1011"/>
      <c r="R286" s="1012"/>
      <c r="S286" s="1011"/>
      <c r="T286" s="1012"/>
      <c r="U286" s="1010"/>
      <c r="V286" s="1012"/>
      <c r="W286" s="1010"/>
      <c r="X286" s="1012"/>
      <c r="Y286" s="1010"/>
      <c r="Z286" s="262"/>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row>
    <row r="287" spans="1:47" ht="12.75" hidden="1">
      <c r="A287" s="110"/>
      <c r="B287" s="1009"/>
      <c r="C287" s="1010"/>
      <c r="D287" s="253"/>
      <c r="E287" s="1011"/>
      <c r="F287" s="262"/>
      <c r="G287" s="1011"/>
      <c r="H287" s="262"/>
      <c r="I287" s="1011"/>
      <c r="J287" s="262"/>
      <c r="K287" s="1011"/>
      <c r="L287" s="262"/>
      <c r="M287" s="1011"/>
      <c r="N287" s="262"/>
      <c r="O287" s="1011"/>
      <c r="P287" s="262"/>
      <c r="Q287" s="1011"/>
      <c r="R287" s="1012"/>
      <c r="S287" s="1011"/>
      <c r="T287" s="1012"/>
      <c r="U287" s="1010"/>
      <c r="V287" s="1012"/>
      <c r="W287" s="1010"/>
      <c r="X287" s="1012"/>
      <c r="Y287" s="1010"/>
      <c r="Z287" s="262"/>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row>
    <row r="288" spans="1:47" ht="12.75" hidden="1">
      <c r="A288" s="110"/>
      <c r="B288" s="1009"/>
      <c r="C288" s="1010"/>
      <c r="D288" s="253"/>
      <c r="E288" s="1011"/>
      <c r="F288" s="262"/>
      <c r="G288" s="1011"/>
      <c r="H288" s="262"/>
      <c r="I288" s="1011"/>
      <c r="J288" s="262"/>
      <c r="K288" s="1011"/>
      <c r="L288" s="262"/>
      <c r="M288" s="1011"/>
      <c r="N288" s="262"/>
      <c r="O288" s="1011"/>
      <c r="P288" s="262"/>
      <c r="Q288" s="1011"/>
      <c r="R288" s="1012"/>
      <c r="S288" s="1011"/>
      <c r="T288" s="1012"/>
      <c r="U288" s="1010"/>
      <c r="V288" s="1012"/>
      <c r="W288" s="1010"/>
      <c r="X288" s="1012"/>
      <c r="Y288" s="1010"/>
      <c r="Z288" s="262"/>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row>
    <row r="289" spans="1:47" ht="12.75" hidden="1">
      <c r="A289" s="110"/>
      <c r="B289" s="1009"/>
      <c r="C289" s="1010"/>
      <c r="D289" s="253"/>
      <c r="E289" s="1011"/>
      <c r="F289" s="262"/>
      <c r="G289" s="1011"/>
      <c r="H289" s="262"/>
      <c r="I289" s="1011"/>
      <c r="J289" s="262"/>
      <c r="K289" s="1011"/>
      <c r="L289" s="262"/>
      <c r="M289" s="1011"/>
      <c r="N289" s="262"/>
      <c r="O289" s="1011"/>
      <c r="P289" s="262"/>
      <c r="Q289" s="1011"/>
      <c r="R289" s="1012"/>
      <c r="S289" s="1011"/>
      <c r="T289" s="1012"/>
      <c r="U289" s="1010"/>
      <c r="V289" s="1012"/>
      <c r="W289" s="1010"/>
      <c r="X289" s="1012"/>
      <c r="Y289" s="1010"/>
      <c r="Z289" s="262"/>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row>
    <row r="290" spans="1:47" ht="12.75" hidden="1">
      <c r="A290" s="110"/>
      <c r="B290" s="1009"/>
      <c r="C290" s="1010"/>
      <c r="D290" s="253"/>
      <c r="E290" s="1011"/>
      <c r="F290" s="262"/>
      <c r="G290" s="1011"/>
      <c r="H290" s="262"/>
      <c r="I290" s="1011"/>
      <c r="J290" s="262"/>
      <c r="K290" s="1011"/>
      <c r="L290" s="262"/>
      <c r="M290" s="1011"/>
      <c r="N290" s="262"/>
      <c r="O290" s="1011"/>
      <c r="P290" s="262"/>
      <c r="Q290" s="1011"/>
      <c r="R290" s="1012"/>
      <c r="S290" s="1011"/>
      <c r="T290" s="1012"/>
      <c r="U290" s="1010"/>
      <c r="V290" s="1012"/>
      <c r="W290" s="1010"/>
      <c r="X290" s="1012"/>
      <c r="Y290" s="1010"/>
      <c r="Z290" s="262"/>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row>
    <row r="291" spans="1:47" ht="12.75" hidden="1">
      <c r="A291" s="110"/>
      <c r="B291" s="1009"/>
      <c r="C291" s="1010"/>
      <c r="D291" s="253"/>
      <c r="E291" s="1011"/>
      <c r="F291" s="262"/>
      <c r="G291" s="1011"/>
      <c r="H291" s="262"/>
      <c r="I291" s="1011"/>
      <c r="J291" s="262"/>
      <c r="K291" s="1011"/>
      <c r="L291" s="262"/>
      <c r="M291" s="1011"/>
      <c r="N291" s="262"/>
      <c r="O291" s="1011"/>
      <c r="P291" s="262"/>
      <c r="Q291" s="1011"/>
      <c r="R291" s="1012"/>
      <c r="S291" s="1011"/>
      <c r="T291" s="1012"/>
      <c r="U291" s="1010"/>
      <c r="V291" s="1012"/>
      <c r="W291" s="1010"/>
      <c r="X291" s="1012"/>
      <c r="Y291" s="1010"/>
      <c r="Z291" s="262"/>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row>
    <row r="292" spans="1:47" ht="12.75" hidden="1">
      <c r="A292" s="110"/>
      <c r="B292" s="1009"/>
      <c r="C292" s="1010"/>
      <c r="D292" s="253"/>
      <c r="E292" s="1011"/>
      <c r="F292" s="262"/>
      <c r="G292" s="1011"/>
      <c r="H292" s="262"/>
      <c r="I292" s="1011"/>
      <c r="J292" s="262"/>
      <c r="K292" s="1011"/>
      <c r="L292" s="262"/>
      <c r="M292" s="1011"/>
      <c r="N292" s="262"/>
      <c r="O292" s="1011"/>
      <c r="P292" s="262"/>
      <c r="Q292" s="1011"/>
      <c r="R292" s="1012"/>
      <c r="S292" s="1011"/>
      <c r="T292" s="1012"/>
      <c r="U292" s="1010"/>
      <c r="V292" s="1012"/>
      <c r="W292" s="1010"/>
      <c r="X292" s="1012"/>
      <c r="Y292" s="1010"/>
      <c r="Z292" s="262"/>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row>
    <row r="293" spans="1:47" ht="12.75" hidden="1">
      <c r="A293" s="110"/>
      <c r="B293" s="1009"/>
      <c r="C293" s="1010"/>
      <c r="D293" s="253"/>
      <c r="E293" s="1011"/>
      <c r="F293" s="262"/>
      <c r="G293" s="1011"/>
      <c r="H293" s="262"/>
      <c r="I293" s="1011"/>
      <c r="J293" s="262"/>
      <c r="K293" s="1011"/>
      <c r="L293" s="262"/>
      <c r="M293" s="1011"/>
      <c r="N293" s="262"/>
      <c r="O293" s="1011"/>
      <c r="P293" s="262"/>
      <c r="Q293" s="1011"/>
      <c r="R293" s="1012"/>
      <c r="S293" s="1011"/>
      <c r="T293" s="1012"/>
      <c r="U293" s="1010"/>
      <c r="V293" s="1012"/>
      <c r="W293" s="1010"/>
      <c r="X293" s="1012"/>
      <c r="Y293" s="1010"/>
      <c r="Z293" s="262"/>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row>
    <row r="294" spans="1:47" ht="12.75" hidden="1">
      <c r="A294" s="110"/>
      <c r="B294" s="1009"/>
      <c r="C294" s="1010"/>
      <c r="D294" s="253"/>
      <c r="E294" s="1011"/>
      <c r="F294" s="262"/>
      <c r="G294" s="1011"/>
      <c r="H294" s="262"/>
      <c r="I294" s="1011"/>
      <c r="J294" s="262"/>
      <c r="K294" s="1011"/>
      <c r="L294" s="262"/>
      <c r="M294" s="1011"/>
      <c r="N294" s="262"/>
      <c r="O294" s="1011"/>
      <c r="P294" s="262"/>
      <c r="Q294" s="1011"/>
      <c r="R294" s="1012"/>
      <c r="S294" s="1011"/>
      <c r="T294" s="1012"/>
      <c r="U294" s="1010"/>
      <c r="V294" s="1012"/>
      <c r="W294" s="1010"/>
      <c r="X294" s="1012"/>
      <c r="Y294" s="1010"/>
      <c r="Z294" s="262"/>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row>
    <row r="295" spans="1:47" ht="12.75" hidden="1">
      <c r="A295" s="110"/>
      <c r="B295" s="1009"/>
      <c r="C295" s="1010"/>
      <c r="D295" s="253"/>
      <c r="E295" s="1011"/>
      <c r="F295" s="262"/>
      <c r="G295" s="1011"/>
      <c r="H295" s="262"/>
      <c r="I295" s="1011"/>
      <c r="J295" s="262"/>
      <c r="K295" s="1011"/>
      <c r="L295" s="262"/>
      <c r="M295" s="1011"/>
      <c r="N295" s="262"/>
      <c r="O295" s="1011"/>
      <c r="P295" s="262"/>
      <c r="Q295" s="1011"/>
      <c r="R295" s="1012"/>
      <c r="S295" s="1011"/>
      <c r="T295" s="1012"/>
      <c r="U295" s="1010"/>
      <c r="V295" s="1012"/>
      <c r="W295" s="1010"/>
      <c r="X295" s="1012"/>
      <c r="Y295" s="1010"/>
      <c r="Z295" s="262"/>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row>
    <row r="296" spans="1:47" ht="12.75" hidden="1">
      <c r="A296" s="110"/>
      <c r="B296" s="1009"/>
      <c r="C296" s="1010"/>
      <c r="D296" s="253"/>
      <c r="E296" s="1011"/>
      <c r="F296" s="262"/>
      <c r="G296" s="1011"/>
      <c r="H296" s="262"/>
      <c r="I296" s="1011"/>
      <c r="J296" s="262"/>
      <c r="K296" s="1011"/>
      <c r="L296" s="262"/>
      <c r="M296" s="1011"/>
      <c r="N296" s="262"/>
      <c r="O296" s="1011"/>
      <c r="P296" s="262"/>
      <c r="Q296" s="1011"/>
      <c r="R296" s="1012"/>
      <c r="S296" s="1011"/>
      <c r="T296" s="1012"/>
      <c r="U296" s="1010"/>
      <c r="V296" s="1012"/>
      <c r="W296" s="1010"/>
      <c r="X296" s="1012"/>
      <c r="Y296" s="1010"/>
      <c r="Z296" s="262"/>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row>
    <row r="297" spans="1:47" ht="12.75" hidden="1">
      <c r="A297" s="110"/>
      <c r="B297" s="1009"/>
      <c r="C297" s="1010"/>
      <c r="D297" s="253"/>
      <c r="E297" s="1011"/>
      <c r="F297" s="262"/>
      <c r="G297" s="1011"/>
      <c r="H297" s="262"/>
      <c r="I297" s="1011"/>
      <c r="J297" s="262"/>
      <c r="K297" s="1011"/>
      <c r="L297" s="262"/>
      <c r="M297" s="1011"/>
      <c r="N297" s="262"/>
      <c r="O297" s="1011"/>
      <c r="P297" s="262"/>
      <c r="Q297" s="1011"/>
      <c r="R297" s="1012"/>
      <c r="S297" s="1011"/>
      <c r="T297" s="1012"/>
      <c r="U297" s="1010"/>
      <c r="V297" s="1012"/>
      <c r="W297" s="1010"/>
      <c r="X297" s="1012"/>
      <c r="Y297" s="1010"/>
      <c r="Z297" s="262"/>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row>
    <row r="298" spans="1:47" ht="12.75" hidden="1">
      <c r="A298" s="110"/>
      <c r="B298" s="1009"/>
      <c r="C298" s="1010"/>
      <c r="D298" s="253"/>
      <c r="E298" s="1011"/>
      <c r="F298" s="262"/>
      <c r="G298" s="1011"/>
      <c r="H298" s="262"/>
      <c r="I298" s="1011"/>
      <c r="J298" s="262"/>
      <c r="K298" s="1011"/>
      <c r="L298" s="262"/>
      <c r="M298" s="1011"/>
      <c r="N298" s="262"/>
      <c r="O298" s="1011"/>
      <c r="P298" s="262"/>
      <c r="Q298" s="1011"/>
      <c r="R298" s="1012"/>
      <c r="S298" s="1011"/>
      <c r="T298" s="1012"/>
      <c r="U298" s="1010"/>
      <c r="V298" s="1012"/>
      <c r="W298" s="1010"/>
      <c r="X298" s="1012"/>
      <c r="Y298" s="1010"/>
      <c r="Z298" s="262"/>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row>
    <row r="299" spans="1:47" ht="12.75" hidden="1">
      <c r="A299" s="110"/>
      <c r="B299" s="1009"/>
      <c r="C299" s="1010"/>
      <c r="D299" s="253"/>
      <c r="E299" s="1011"/>
      <c r="F299" s="262"/>
      <c r="G299" s="1011"/>
      <c r="H299" s="262"/>
      <c r="I299" s="1011"/>
      <c r="J299" s="262"/>
      <c r="K299" s="1011"/>
      <c r="L299" s="262"/>
      <c r="M299" s="1011"/>
      <c r="N299" s="262"/>
      <c r="O299" s="1011"/>
      <c r="P299" s="262"/>
      <c r="Q299" s="1011"/>
      <c r="R299" s="1012"/>
      <c r="S299" s="1011"/>
      <c r="T299" s="1012"/>
      <c r="U299" s="1010"/>
      <c r="V299" s="1012"/>
      <c r="W299" s="1010"/>
      <c r="X299" s="1012"/>
      <c r="Y299" s="1010"/>
      <c r="Z299" s="262"/>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row>
    <row r="300" spans="1:47" ht="12.75" hidden="1">
      <c r="A300" s="110"/>
      <c r="B300" s="1009"/>
      <c r="C300" s="1010"/>
      <c r="D300" s="253"/>
      <c r="E300" s="1011"/>
      <c r="F300" s="262"/>
      <c r="G300" s="1011"/>
      <c r="H300" s="262"/>
      <c r="I300" s="1011"/>
      <c r="J300" s="262"/>
      <c r="K300" s="1011"/>
      <c r="L300" s="262"/>
      <c r="M300" s="1011"/>
      <c r="N300" s="262"/>
      <c r="O300" s="1011"/>
      <c r="P300" s="262"/>
      <c r="Q300" s="1011"/>
      <c r="R300" s="1012"/>
      <c r="S300" s="1011"/>
      <c r="T300" s="1012"/>
      <c r="U300" s="1010"/>
      <c r="V300" s="1012"/>
      <c r="W300" s="1010"/>
      <c r="X300" s="1012"/>
      <c r="Y300" s="1010"/>
      <c r="Z300" s="262"/>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row>
    <row r="301" spans="1:47" ht="12.75" hidden="1">
      <c r="A301" s="110"/>
      <c r="B301" s="1009"/>
      <c r="C301" s="1010"/>
      <c r="D301" s="253"/>
      <c r="E301" s="1011"/>
      <c r="F301" s="262"/>
      <c r="G301" s="1011"/>
      <c r="H301" s="262"/>
      <c r="I301" s="1011"/>
      <c r="J301" s="262"/>
      <c r="K301" s="1011"/>
      <c r="L301" s="262"/>
      <c r="M301" s="1011"/>
      <c r="N301" s="262"/>
      <c r="O301" s="1011"/>
      <c r="P301" s="262"/>
      <c r="Q301" s="1011"/>
      <c r="R301" s="1012"/>
      <c r="S301" s="1011"/>
      <c r="T301" s="1012"/>
      <c r="U301" s="1010"/>
      <c r="V301" s="1012"/>
      <c r="W301" s="1010"/>
      <c r="X301" s="1012"/>
      <c r="Y301" s="1010"/>
      <c r="Z301" s="262"/>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row>
    <row r="302" spans="1:47" ht="12.75" hidden="1">
      <c r="A302" s="110"/>
      <c r="B302" s="1009"/>
      <c r="C302" s="1010"/>
      <c r="D302" s="253"/>
      <c r="E302" s="1011"/>
      <c r="F302" s="262"/>
      <c r="G302" s="1011"/>
      <c r="H302" s="262"/>
      <c r="I302" s="1011"/>
      <c r="J302" s="262"/>
      <c r="K302" s="1011"/>
      <c r="L302" s="262"/>
      <c r="M302" s="1011"/>
      <c r="N302" s="262"/>
      <c r="O302" s="1011"/>
      <c r="P302" s="262"/>
      <c r="Q302" s="1011"/>
      <c r="R302" s="1012"/>
      <c r="S302" s="1011"/>
      <c r="T302" s="1012"/>
      <c r="U302" s="1010"/>
      <c r="V302" s="1012"/>
      <c r="W302" s="1010"/>
      <c r="X302" s="1012"/>
      <c r="Y302" s="1010"/>
      <c r="Z302" s="262"/>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row>
    <row r="303" spans="1:47" ht="12.75" hidden="1">
      <c r="A303" s="110"/>
      <c r="B303" s="1009"/>
      <c r="C303" s="1010"/>
      <c r="D303" s="253"/>
      <c r="E303" s="1011"/>
      <c r="F303" s="262"/>
      <c r="G303" s="1011"/>
      <c r="H303" s="262"/>
      <c r="I303" s="1011"/>
      <c r="J303" s="262"/>
      <c r="K303" s="1011"/>
      <c r="L303" s="262"/>
      <c r="M303" s="1011"/>
      <c r="N303" s="262"/>
      <c r="O303" s="1011"/>
      <c r="P303" s="262"/>
      <c r="Q303" s="1011"/>
      <c r="R303" s="1012"/>
      <c r="S303" s="1011"/>
      <c r="T303" s="1012"/>
      <c r="U303" s="1010"/>
      <c r="V303" s="1012"/>
      <c r="W303" s="1010"/>
      <c r="X303" s="1012"/>
      <c r="Y303" s="1010"/>
      <c r="Z303" s="262"/>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row>
    <row r="304" spans="1:47" ht="12.75" hidden="1">
      <c r="A304" s="110"/>
      <c r="B304" s="1009"/>
      <c r="C304" s="1010"/>
      <c r="D304" s="253"/>
      <c r="E304" s="1011"/>
      <c r="F304" s="262"/>
      <c r="G304" s="1011"/>
      <c r="H304" s="262"/>
      <c r="I304" s="1011"/>
      <c r="J304" s="262"/>
      <c r="K304" s="1011"/>
      <c r="L304" s="262"/>
      <c r="M304" s="1011"/>
      <c r="N304" s="262"/>
      <c r="O304" s="1011"/>
      <c r="P304" s="262"/>
      <c r="Q304" s="1011"/>
      <c r="R304" s="1012"/>
      <c r="S304" s="1011"/>
      <c r="T304" s="1012"/>
      <c r="U304" s="1010"/>
      <c r="V304" s="1012"/>
      <c r="W304" s="1010"/>
      <c r="X304" s="1012"/>
      <c r="Y304" s="1010"/>
      <c r="Z304" s="262"/>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row>
    <row r="305" spans="1:47" ht="12.75" hidden="1">
      <c r="A305" s="110"/>
      <c r="B305" s="1009"/>
      <c r="C305" s="1010"/>
      <c r="D305" s="253"/>
      <c r="E305" s="1011"/>
      <c r="F305" s="262"/>
      <c r="G305" s="1011"/>
      <c r="H305" s="262"/>
      <c r="I305" s="1011"/>
      <c r="J305" s="262"/>
      <c r="K305" s="1011"/>
      <c r="L305" s="262"/>
      <c r="M305" s="1011"/>
      <c r="N305" s="262"/>
      <c r="O305" s="1011"/>
      <c r="P305" s="262"/>
      <c r="Q305" s="1011"/>
      <c r="R305" s="1012"/>
      <c r="S305" s="1011"/>
      <c r="T305" s="1012"/>
      <c r="U305" s="1010"/>
      <c r="V305" s="1012"/>
      <c r="W305" s="1010"/>
      <c r="X305" s="1012"/>
      <c r="Y305" s="1010"/>
      <c r="Z305" s="262"/>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row>
    <row r="306" spans="1:47" ht="12.75" hidden="1">
      <c r="A306" s="110"/>
      <c r="B306" s="1009"/>
      <c r="C306" s="1010"/>
      <c r="D306" s="253"/>
      <c r="E306" s="1011"/>
      <c r="F306" s="262"/>
      <c r="G306" s="1011"/>
      <c r="H306" s="262"/>
      <c r="I306" s="1011"/>
      <c r="J306" s="262"/>
      <c r="K306" s="1011"/>
      <c r="L306" s="262"/>
      <c r="M306" s="1011"/>
      <c r="N306" s="262"/>
      <c r="O306" s="1011"/>
      <c r="P306" s="262"/>
      <c r="Q306" s="1011"/>
      <c r="R306" s="1012"/>
      <c r="S306" s="1011"/>
      <c r="T306" s="1012"/>
      <c r="U306" s="1010"/>
      <c r="V306" s="1012"/>
      <c r="W306" s="1010"/>
      <c r="X306" s="1012"/>
      <c r="Y306" s="1010"/>
      <c r="Z306" s="262"/>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row>
    <row r="307" spans="1:47" ht="12.75" hidden="1">
      <c r="A307" s="110"/>
      <c r="B307" s="1009"/>
      <c r="C307" s="1010"/>
      <c r="D307" s="253"/>
      <c r="E307" s="1011"/>
      <c r="F307" s="262"/>
      <c r="G307" s="1011"/>
      <c r="H307" s="262"/>
      <c r="I307" s="1011"/>
      <c r="J307" s="262"/>
      <c r="K307" s="1011"/>
      <c r="L307" s="262"/>
      <c r="M307" s="1011"/>
      <c r="N307" s="262"/>
      <c r="O307" s="1011"/>
      <c r="P307" s="262"/>
      <c r="Q307" s="1011"/>
      <c r="R307" s="1012"/>
      <c r="S307" s="1011"/>
      <c r="T307" s="1012"/>
      <c r="U307" s="1010"/>
      <c r="V307" s="1012"/>
      <c r="W307" s="1010"/>
      <c r="X307" s="1012"/>
      <c r="Y307" s="1010"/>
      <c r="Z307" s="262"/>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row>
    <row r="308" spans="1:47" ht="12.75" hidden="1">
      <c r="A308" s="110"/>
      <c r="B308" s="1009"/>
      <c r="C308" s="1010"/>
      <c r="D308" s="253"/>
      <c r="E308" s="1011"/>
      <c r="F308" s="262"/>
      <c r="G308" s="1011"/>
      <c r="H308" s="262"/>
      <c r="I308" s="1011"/>
      <c r="J308" s="262"/>
      <c r="K308" s="1011"/>
      <c r="L308" s="262"/>
      <c r="M308" s="1011"/>
      <c r="N308" s="262"/>
      <c r="O308" s="1011"/>
      <c r="P308" s="262"/>
      <c r="Q308" s="1011"/>
      <c r="R308" s="1012"/>
      <c r="S308" s="1011"/>
      <c r="T308" s="1012"/>
      <c r="U308" s="1010"/>
      <c r="V308" s="1012"/>
      <c r="W308" s="1010"/>
      <c r="X308" s="1012"/>
      <c r="Y308" s="1010"/>
      <c r="Z308" s="262"/>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row>
    <row r="309" spans="1:47" ht="12.75" hidden="1">
      <c r="A309" s="110"/>
      <c r="B309" s="1009"/>
      <c r="C309" s="1010"/>
      <c r="D309" s="253"/>
      <c r="E309" s="1011"/>
      <c r="F309" s="262"/>
      <c r="G309" s="1011"/>
      <c r="H309" s="262"/>
      <c r="I309" s="1011"/>
      <c r="J309" s="262"/>
      <c r="K309" s="1011"/>
      <c r="L309" s="262"/>
      <c r="M309" s="1011"/>
      <c r="N309" s="262"/>
      <c r="O309" s="1011"/>
      <c r="P309" s="262"/>
      <c r="Q309" s="1011"/>
      <c r="R309" s="1012"/>
      <c r="S309" s="1011"/>
      <c r="T309" s="1012"/>
      <c r="U309" s="1010"/>
      <c r="V309" s="1012"/>
      <c r="W309" s="1010"/>
      <c r="X309" s="1012"/>
      <c r="Y309" s="1010"/>
      <c r="Z309" s="262"/>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row>
    <row r="310" spans="1:47" ht="12.75" hidden="1">
      <c r="A310" s="110"/>
      <c r="B310" s="1009"/>
      <c r="C310" s="1010"/>
      <c r="D310" s="253"/>
      <c r="E310" s="1011"/>
      <c r="F310" s="262"/>
      <c r="G310" s="1011"/>
      <c r="H310" s="262"/>
      <c r="I310" s="1011"/>
      <c r="J310" s="262"/>
      <c r="K310" s="1011"/>
      <c r="L310" s="262"/>
      <c r="M310" s="1011"/>
      <c r="N310" s="262"/>
      <c r="O310" s="1011"/>
      <c r="P310" s="262"/>
      <c r="Q310" s="1011"/>
      <c r="R310" s="1012"/>
      <c r="S310" s="1011"/>
      <c r="T310" s="1012"/>
      <c r="U310" s="1010"/>
      <c r="V310" s="1012"/>
      <c r="W310" s="1010"/>
      <c r="X310" s="1012"/>
      <c r="Y310" s="1010"/>
      <c r="Z310" s="262"/>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row>
    <row r="311" spans="1:47" ht="12.75" hidden="1">
      <c r="A311" s="110"/>
      <c r="B311" s="1009"/>
      <c r="C311" s="1010"/>
      <c r="D311" s="253"/>
      <c r="E311" s="1011"/>
      <c r="F311" s="262"/>
      <c r="G311" s="1011"/>
      <c r="H311" s="262"/>
      <c r="I311" s="1011"/>
      <c r="J311" s="262"/>
      <c r="K311" s="1011"/>
      <c r="L311" s="262"/>
      <c r="M311" s="1011"/>
      <c r="N311" s="262"/>
      <c r="O311" s="1011"/>
      <c r="P311" s="262"/>
      <c r="Q311" s="1011"/>
      <c r="R311" s="1012"/>
      <c r="S311" s="1011"/>
      <c r="T311" s="1012"/>
      <c r="U311" s="1010"/>
      <c r="V311" s="1012"/>
      <c r="W311" s="1010"/>
      <c r="X311" s="1012"/>
      <c r="Y311" s="1010"/>
      <c r="Z311" s="262"/>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row>
    <row r="312" spans="1:47" ht="12.75" hidden="1">
      <c r="A312" s="110"/>
      <c r="B312" s="1009"/>
      <c r="C312" s="1010"/>
      <c r="D312" s="253"/>
      <c r="E312" s="1011"/>
      <c r="F312" s="262"/>
      <c r="G312" s="1011"/>
      <c r="H312" s="262"/>
      <c r="I312" s="1011"/>
      <c r="J312" s="262"/>
      <c r="K312" s="1011"/>
      <c r="L312" s="262"/>
      <c r="M312" s="1011"/>
      <c r="N312" s="262"/>
      <c r="O312" s="1011"/>
      <c r="P312" s="262"/>
      <c r="Q312" s="1011"/>
      <c r="R312" s="1012"/>
      <c r="S312" s="1011"/>
      <c r="T312" s="1012"/>
      <c r="U312" s="1010"/>
      <c r="V312" s="1012"/>
      <c r="W312" s="1010"/>
      <c r="X312" s="1012"/>
      <c r="Y312" s="1010"/>
      <c r="Z312" s="262"/>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row>
    <row r="313" spans="1:47" ht="12.75" hidden="1">
      <c r="A313" s="110"/>
      <c r="B313" s="1009"/>
      <c r="C313" s="1010"/>
      <c r="D313" s="253"/>
      <c r="E313" s="1011"/>
      <c r="F313" s="262"/>
      <c r="G313" s="1011"/>
      <c r="H313" s="262"/>
      <c r="I313" s="1011"/>
      <c r="J313" s="262"/>
      <c r="K313" s="1011"/>
      <c r="L313" s="262"/>
      <c r="M313" s="1011"/>
      <c r="N313" s="262"/>
      <c r="O313" s="1011"/>
      <c r="P313" s="262"/>
      <c r="Q313" s="1011"/>
      <c r="R313" s="1012"/>
      <c r="S313" s="1011"/>
      <c r="T313" s="1012"/>
      <c r="U313" s="1010"/>
      <c r="V313" s="1012"/>
      <c r="W313" s="1010"/>
      <c r="X313" s="1012"/>
      <c r="Y313" s="1010"/>
      <c r="Z313" s="262"/>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row>
    <row r="314" spans="1:47" ht="12.75" hidden="1">
      <c r="A314" s="110"/>
      <c r="B314" s="1009"/>
      <c r="C314" s="1010"/>
      <c r="D314" s="253"/>
      <c r="E314" s="1011"/>
      <c r="F314" s="262"/>
      <c r="G314" s="1011"/>
      <c r="H314" s="262"/>
      <c r="I314" s="1011"/>
      <c r="J314" s="262"/>
      <c r="K314" s="1011"/>
      <c r="L314" s="262"/>
      <c r="M314" s="1011"/>
      <c r="N314" s="262"/>
      <c r="O314" s="1011"/>
      <c r="P314" s="262"/>
      <c r="Q314" s="1011"/>
      <c r="R314" s="1012"/>
      <c r="S314" s="1011"/>
      <c r="T314" s="1012"/>
      <c r="U314" s="1010"/>
      <c r="V314" s="1012"/>
      <c r="W314" s="1010"/>
      <c r="X314" s="1012"/>
      <c r="Y314" s="1010"/>
      <c r="Z314" s="262"/>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row>
    <row r="315" spans="1:47" ht="12.75" hidden="1">
      <c r="A315" s="110"/>
      <c r="B315" s="1009"/>
      <c r="C315" s="1010"/>
      <c r="D315" s="253"/>
      <c r="E315" s="1011"/>
      <c r="F315" s="262"/>
      <c r="G315" s="1011"/>
      <c r="H315" s="262"/>
      <c r="I315" s="1011"/>
      <c r="J315" s="262"/>
      <c r="K315" s="1011"/>
      <c r="L315" s="262"/>
      <c r="M315" s="1011"/>
      <c r="N315" s="262"/>
      <c r="O315" s="1011"/>
      <c r="P315" s="262"/>
      <c r="Q315" s="1011"/>
      <c r="R315" s="1012"/>
      <c r="S315" s="1011"/>
      <c r="T315" s="1012"/>
      <c r="U315" s="1010"/>
      <c r="V315" s="1012"/>
      <c r="W315" s="1010"/>
      <c r="X315" s="1012"/>
      <c r="Y315" s="1010"/>
      <c r="Z315" s="262"/>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row>
    <row r="316" spans="1:47" ht="12.75" hidden="1">
      <c r="A316" s="110"/>
      <c r="B316" s="1009"/>
      <c r="C316" s="1010"/>
      <c r="D316" s="253"/>
      <c r="E316" s="1011"/>
      <c r="F316" s="262"/>
      <c r="G316" s="1011"/>
      <c r="H316" s="262"/>
      <c r="I316" s="1011"/>
      <c r="J316" s="262"/>
      <c r="K316" s="1011"/>
      <c r="L316" s="262"/>
      <c r="M316" s="1011"/>
      <c r="N316" s="262"/>
      <c r="O316" s="1011"/>
      <c r="P316" s="262"/>
      <c r="Q316" s="1011"/>
      <c r="R316" s="1012"/>
      <c r="S316" s="1011"/>
      <c r="T316" s="1012"/>
      <c r="U316" s="1010"/>
      <c r="V316" s="1012"/>
      <c r="W316" s="1010"/>
      <c r="X316" s="1012"/>
      <c r="Y316" s="1010"/>
      <c r="Z316" s="262"/>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row>
    <row r="317" spans="1:47" ht="12.75" hidden="1">
      <c r="A317" s="110"/>
      <c r="B317" s="1009"/>
      <c r="C317" s="1010"/>
      <c r="D317" s="253"/>
      <c r="E317" s="1011"/>
      <c r="F317" s="262"/>
      <c r="G317" s="1011"/>
      <c r="H317" s="262"/>
      <c r="I317" s="1011"/>
      <c r="J317" s="262"/>
      <c r="K317" s="1011"/>
      <c r="L317" s="262"/>
      <c r="M317" s="1011"/>
      <c r="N317" s="262"/>
      <c r="O317" s="1011"/>
      <c r="P317" s="262"/>
      <c r="Q317" s="1011"/>
      <c r="R317" s="1012"/>
      <c r="S317" s="1011"/>
      <c r="T317" s="1012"/>
      <c r="U317" s="1010"/>
      <c r="V317" s="1012"/>
      <c r="W317" s="1010"/>
      <c r="X317" s="1012"/>
      <c r="Y317" s="1010"/>
      <c r="Z317" s="262"/>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row>
    <row r="318" spans="1:47" ht="12.75" hidden="1">
      <c r="A318" s="110"/>
      <c r="B318" s="1009"/>
      <c r="C318" s="1010"/>
      <c r="D318" s="253"/>
      <c r="E318" s="1011"/>
      <c r="F318" s="262"/>
      <c r="G318" s="1011"/>
      <c r="H318" s="262"/>
      <c r="I318" s="1011"/>
      <c r="J318" s="262"/>
      <c r="K318" s="1011"/>
      <c r="L318" s="262"/>
      <c r="M318" s="1011"/>
      <c r="N318" s="262"/>
      <c r="O318" s="1011"/>
      <c r="P318" s="262"/>
      <c r="Q318" s="1011"/>
      <c r="R318" s="1012"/>
      <c r="S318" s="1011"/>
      <c r="T318" s="1012"/>
      <c r="U318" s="1010"/>
      <c r="V318" s="1012"/>
      <c r="W318" s="1010"/>
      <c r="X318" s="1012"/>
      <c r="Y318" s="1010"/>
      <c r="Z318" s="262"/>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row>
    <row r="319" spans="1:47" ht="12.75" hidden="1">
      <c r="A319" s="110"/>
      <c r="B319" s="1009"/>
      <c r="C319" s="1010"/>
      <c r="D319" s="253"/>
      <c r="E319" s="1011"/>
      <c r="F319" s="262"/>
      <c r="G319" s="1011"/>
      <c r="H319" s="262"/>
      <c r="I319" s="1011"/>
      <c r="J319" s="262"/>
      <c r="K319" s="1011"/>
      <c r="L319" s="262"/>
      <c r="M319" s="1011"/>
      <c r="N319" s="262"/>
      <c r="O319" s="1011"/>
      <c r="P319" s="262"/>
      <c r="Q319" s="1011"/>
      <c r="R319" s="1012"/>
      <c r="S319" s="1011"/>
      <c r="T319" s="1012"/>
      <c r="U319" s="1010"/>
      <c r="V319" s="1012"/>
      <c r="W319" s="1010"/>
      <c r="X319" s="1012"/>
      <c r="Y319" s="1010"/>
      <c r="Z319" s="262"/>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row>
    <row r="320" spans="1:47" ht="12.75" hidden="1">
      <c r="A320" s="110"/>
      <c r="B320" s="1009"/>
      <c r="C320" s="1010"/>
      <c r="D320" s="253"/>
      <c r="E320" s="1011"/>
      <c r="F320" s="262"/>
      <c r="G320" s="1011"/>
      <c r="H320" s="262"/>
      <c r="I320" s="1011"/>
      <c r="J320" s="262"/>
      <c r="K320" s="1011"/>
      <c r="L320" s="262"/>
      <c r="M320" s="1011"/>
      <c r="N320" s="262"/>
      <c r="O320" s="1011"/>
      <c r="P320" s="262"/>
      <c r="Q320" s="1011"/>
      <c r="R320" s="1012"/>
      <c r="S320" s="1011"/>
      <c r="T320" s="1012"/>
      <c r="U320" s="1010"/>
      <c r="V320" s="1012"/>
      <c r="W320" s="1010"/>
      <c r="X320" s="1012"/>
      <c r="Y320" s="1010"/>
      <c r="Z320" s="262"/>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row>
    <row r="321" spans="1:47" ht="12.75" hidden="1">
      <c r="A321" s="110"/>
      <c r="B321" s="1009"/>
      <c r="C321" s="1010"/>
      <c r="D321" s="253"/>
      <c r="E321" s="1011"/>
      <c r="F321" s="262"/>
      <c r="G321" s="1011"/>
      <c r="H321" s="262"/>
      <c r="I321" s="1011"/>
      <c r="J321" s="262"/>
      <c r="K321" s="1011"/>
      <c r="L321" s="262"/>
      <c r="M321" s="1011"/>
      <c r="N321" s="262"/>
      <c r="O321" s="1011"/>
      <c r="P321" s="262"/>
      <c r="Q321" s="1011"/>
      <c r="R321" s="1012"/>
      <c r="S321" s="1011"/>
      <c r="T321" s="1012"/>
      <c r="U321" s="1010"/>
      <c r="V321" s="1012"/>
      <c r="W321" s="1010"/>
      <c r="X321" s="1012"/>
      <c r="Y321" s="1010"/>
      <c r="Z321" s="262"/>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row>
    <row r="322" spans="1:47" ht="12.75" hidden="1">
      <c r="A322" s="110"/>
      <c r="B322" s="1009"/>
      <c r="C322" s="1010"/>
      <c r="D322" s="253"/>
      <c r="E322" s="1011"/>
      <c r="F322" s="262"/>
      <c r="G322" s="1011"/>
      <c r="H322" s="262"/>
      <c r="I322" s="1011"/>
      <c r="J322" s="262"/>
      <c r="K322" s="1011"/>
      <c r="L322" s="262"/>
      <c r="M322" s="1011"/>
      <c r="N322" s="262"/>
      <c r="O322" s="1011"/>
      <c r="P322" s="262"/>
      <c r="Q322" s="1011"/>
      <c r="R322" s="1012"/>
      <c r="S322" s="1011"/>
      <c r="T322" s="1012"/>
      <c r="U322" s="1010"/>
      <c r="V322" s="1012"/>
      <c r="W322" s="1010"/>
      <c r="X322" s="1012"/>
      <c r="Y322" s="1010"/>
      <c r="Z322" s="262"/>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row>
    <row r="323" spans="1:47" ht="12.75" hidden="1">
      <c r="A323" s="110"/>
      <c r="B323" s="1009"/>
      <c r="C323" s="1010"/>
      <c r="D323" s="253"/>
      <c r="E323" s="1011"/>
      <c r="F323" s="262"/>
      <c r="G323" s="1011"/>
      <c r="H323" s="262"/>
      <c r="I323" s="1011"/>
      <c r="J323" s="262"/>
      <c r="K323" s="1011"/>
      <c r="L323" s="262"/>
      <c r="M323" s="1011"/>
      <c r="N323" s="262"/>
      <c r="O323" s="1011"/>
      <c r="P323" s="262"/>
      <c r="Q323" s="1011"/>
      <c r="R323" s="1012"/>
      <c r="S323" s="1011"/>
      <c r="T323" s="1012"/>
      <c r="U323" s="1010"/>
      <c r="V323" s="1012"/>
      <c r="W323" s="1010"/>
      <c r="X323" s="1012"/>
      <c r="Y323" s="1010"/>
      <c r="Z323" s="262"/>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row>
    <row r="324" spans="1:47" ht="12.75" hidden="1">
      <c r="A324" s="110"/>
      <c r="B324" s="1009"/>
      <c r="C324" s="1010"/>
      <c r="D324" s="253"/>
      <c r="E324" s="1011"/>
      <c r="F324" s="262"/>
      <c r="G324" s="1011"/>
      <c r="H324" s="262"/>
      <c r="I324" s="1011"/>
      <c r="J324" s="262"/>
      <c r="K324" s="1011"/>
      <c r="L324" s="262"/>
      <c r="M324" s="1011"/>
      <c r="N324" s="262"/>
      <c r="O324" s="1011"/>
      <c r="P324" s="262"/>
      <c r="Q324" s="1011"/>
      <c r="R324" s="1012"/>
      <c r="S324" s="1011"/>
      <c r="T324" s="1012"/>
      <c r="U324" s="1010"/>
      <c r="V324" s="1012"/>
      <c r="W324" s="1010"/>
      <c r="X324" s="1012"/>
      <c r="Y324" s="1010"/>
      <c r="Z324" s="262"/>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row>
    <row r="325" spans="1:47" ht="12.75" hidden="1">
      <c r="A325" s="110"/>
      <c r="B325" s="1009"/>
      <c r="C325" s="1010"/>
      <c r="D325" s="253"/>
      <c r="E325" s="1011"/>
      <c r="F325" s="262"/>
      <c r="G325" s="1011"/>
      <c r="H325" s="262"/>
      <c r="I325" s="1011"/>
      <c r="J325" s="262"/>
      <c r="K325" s="1011"/>
      <c r="L325" s="262"/>
      <c r="M325" s="1011"/>
      <c r="N325" s="262"/>
      <c r="O325" s="1011"/>
      <c r="P325" s="262"/>
      <c r="Q325" s="1011"/>
      <c r="R325" s="1012"/>
      <c r="S325" s="1011"/>
      <c r="T325" s="1012"/>
      <c r="U325" s="1010"/>
      <c r="V325" s="1012"/>
      <c r="W325" s="1010"/>
      <c r="X325" s="1012"/>
      <c r="Y325" s="1010"/>
      <c r="Z325" s="262"/>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row>
    <row r="326" spans="1:47" ht="12.75" hidden="1">
      <c r="A326" s="110"/>
      <c r="B326" s="1009"/>
      <c r="C326" s="1010"/>
      <c r="D326" s="253"/>
      <c r="E326" s="1011"/>
      <c r="F326" s="262"/>
      <c r="G326" s="1011"/>
      <c r="H326" s="262"/>
      <c r="I326" s="1011"/>
      <c r="J326" s="262"/>
      <c r="K326" s="1011"/>
      <c r="L326" s="262"/>
      <c r="M326" s="1011"/>
      <c r="N326" s="262"/>
      <c r="O326" s="1011"/>
      <c r="P326" s="262"/>
      <c r="Q326" s="1011"/>
      <c r="R326" s="1012"/>
      <c r="S326" s="1011"/>
      <c r="T326" s="1012"/>
      <c r="U326" s="1010"/>
      <c r="V326" s="1012"/>
      <c r="W326" s="1010"/>
      <c r="X326" s="1012"/>
      <c r="Y326" s="1010"/>
      <c r="Z326" s="262"/>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row>
    <row r="327" spans="1:47" ht="12.75" hidden="1">
      <c r="A327" s="110"/>
      <c r="B327" s="1009"/>
      <c r="C327" s="1010"/>
      <c r="D327" s="253"/>
      <c r="E327" s="1011"/>
      <c r="F327" s="262"/>
      <c r="G327" s="1011"/>
      <c r="H327" s="262"/>
      <c r="I327" s="1011"/>
      <c r="J327" s="262"/>
      <c r="K327" s="1011"/>
      <c r="L327" s="262"/>
      <c r="M327" s="1011"/>
      <c r="N327" s="262"/>
      <c r="O327" s="1011"/>
      <c r="P327" s="262"/>
      <c r="Q327" s="1011"/>
      <c r="R327" s="1012"/>
      <c r="S327" s="1011"/>
      <c r="T327" s="1012"/>
      <c r="U327" s="1010"/>
      <c r="V327" s="1012"/>
      <c r="W327" s="1010"/>
      <c r="X327" s="1012"/>
      <c r="Y327" s="1010"/>
      <c r="Z327" s="262"/>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row>
    <row r="328" spans="1:47" ht="12.75" hidden="1">
      <c r="A328" s="110"/>
      <c r="B328" s="1009"/>
      <c r="C328" s="1010"/>
      <c r="D328" s="253"/>
      <c r="E328" s="1011"/>
      <c r="F328" s="262"/>
      <c r="G328" s="1011"/>
      <c r="H328" s="262"/>
      <c r="I328" s="1011"/>
      <c r="J328" s="262"/>
      <c r="K328" s="1011"/>
      <c r="L328" s="262"/>
      <c r="M328" s="1011"/>
      <c r="N328" s="262"/>
      <c r="O328" s="1011"/>
      <c r="P328" s="262"/>
      <c r="Q328" s="1011"/>
      <c r="R328" s="1012"/>
      <c r="S328" s="1011"/>
      <c r="T328" s="1012"/>
      <c r="U328" s="1010"/>
      <c r="V328" s="1012"/>
      <c r="W328" s="1010"/>
      <c r="X328" s="1012"/>
      <c r="Y328" s="1010"/>
      <c r="Z328" s="262"/>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row>
    <row r="329" spans="1:47" ht="12.75" hidden="1">
      <c r="A329" s="110"/>
      <c r="B329" s="1009"/>
      <c r="C329" s="1010"/>
      <c r="D329" s="253"/>
      <c r="E329" s="1011"/>
      <c r="F329" s="262"/>
      <c r="G329" s="1011"/>
      <c r="H329" s="262"/>
      <c r="I329" s="1011"/>
      <c r="J329" s="262"/>
      <c r="K329" s="1011"/>
      <c r="L329" s="262"/>
      <c r="M329" s="1011"/>
      <c r="N329" s="262"/>
      <c r="O329" s="1011"/>
      <c r="P329" s="262"/>
      <c r="Q329" s="1011"/>
      <c r="R329" s="1012"/>
      <c r="S329" s="1011"/>
      <c r="T329" s="1012"/>
      <c r="U329" s="1010"/>
      <c r="V329" s="1012"/>
      <c r="W329" s="1010"/>
      <c r="X329" s="1012"/>
      <c r="Y329" s="1010"/>
      <c r="Z329" s="262"/>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row>
    <row r="330" spans="1:47" ht="12.75" hidden="1">
      <c r="A330" s="110"/>
      <c r="B330" s="1009"/>
      <c r="C330" s="1010"/>
      <c r="D330" s="253"/>
      <c r="E330" s="1011"/>
      <c r="F330" s="262"/>
      <c r="G330" s="1011"/>
      <c r="H330" s="262"/>
      <c r="I330" s="1011"/>
      <c r="J330" s="262"/>
      <c r="K330" s="1011"/>
      <c r="L330" s="262"/>
      <c r="M330" s="1011"/>
      <c r="N330" s="262"/>
      <c r="O330" s="1011"/>
      <c r="P330" s="262"/>
      <c r="Q330" s="1011"/>
      <c r="R330" s="1012"/>
      <c r="S330" s="1011"/>
      <c r="T330" s="1012"/>
      <c r="U330" s="1010"/>
      <c r="V330" s="1012"/>
      <c r="W330" s="1010"/>
      <c r="X330" s="1012"/>
      <c r="Y330" s="1010"/>
      <c r="Z330" s="262"/>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row>
    <row r="331" spans="1:47" ht="12.75" hidden="1">
      <c r="A331" s="110"/>
      <c r="B331" s="1009"/>
      <c r="C331" s="1010"/>
      <c r="D331" s="253"/>
      <c r="E331" s="1011"/>
      <c r="F331" s="262"/>
      <c r="G331" s="1011"/>
      <c r="H331" s="262"/>
      <c r="I331" s="1011"/>
      <c r="J331" s="262"/>
      <c r="K331" s="1011"/>
      <c r="L331" s="262"/>
      <c r="M331" s="1011"/>
      <c r="N331" s="262"/>
      <c r="O331" s="1011"/>
      <c r="P331" s="262"/>
      <c r="Q331" s="1011"/>
      <c r="R331" s="1012"/>
      <c r="S331" s="1011"/>
      <c r="T331" s="1012"/>
      <c r="U331" s="1010"/>
      <c r="V331" s="1012"/>
      <c r="W331" s="1010"/>
      <c r="X331" s="1012"/>
      <c r="Y331" s="1010"/>
      <c r="Z331" s="262"/>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row>
    <row r="332" spans="1:47" ht="12.75" hidden="1">
      <c r="A332" s="110"/>
      <c r="B332" s="1009"/>
      <c r="C332" s="1010"/>
      <c r="D332" s="253"/>
      <c r="E332" s="1011"/>
      <c r="F332" s="262"/>
      <c r="G332" s="1011"/>
      <c r="H332" s="262"/>
      <c r="I332" s="1011"/>
      <c r="J332" s="262"/>
      <c r="K332" s="1011"/>
      <c r="L332" s="262"/>
      <c r="M332" s="1011"/>
      <c r="N332" s="262"/>
      <c r="O332" s="1011"/>
      <c r="P332" s="262"/>
      <c r="Q332" s="1011"/>
      <c r="R332" s="1012"/>
      <c r="S332" s="1011"/>
      <c r="T332" s="1012"/>
      <c r="U332" s="1010"/>
      <c r="V332" s="1012"/>
      <c r="W332" s="1010"/>
      <c r="X332" s="1012"/>
      <c r="Y332" s="1010"/>
      <c r="Z332" s="262"/>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row>
    <row r="333" spans="1:47" ht="12.75" hidden="1">
      <c r="A333" s="110"/>
      <c r="B333" s="1009"/>
      <c r="C333" s="1010"/>
      <c r="D333" s="253"/>
      <c r="E333" s="1011"/>
      <c r="F333" s="262"/>
      <c r="G333" s="1011"/>
      <c r="H333" s="262"/>
      <c r="I333" s="1011"/>
      <c r="J333" s="262"/>
      <c r="K333" s="1011"/>
      <c r="L333" s="262"/>
      <c r="M333" s="1011"/>
      <c r="N333" s="262"/>
      <c r="O333" s="1011"/>
      <c r="P333" s="262"/>
      <c r="Q333" s="1011"/>
      <c r="R333" s="1012"/>
      <c r="S333" s="1011"/>
      <c r="T333" s="1012"/>
      <c r="U333" s="1010"/>
      <c r="V333" s="1012"/>
      <c r="W333" s="1010"/>
      <c r="X333" s="1012"/>
      <c r="Y333" s="1010"/>
      <c r="Z333" s="262"/>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row>
    <row r="334" spans="1:47" ht="12.75" hidden="1">
      <c r="A334" s="110"/>
      <c r="B334" s="1009"/>
      <c r="C334" s="1010"/>
      <c r="D334" s="253"/>
      <c r="E334" s="1011"/>
      <c r="F334" s="262"/>
      <c r="G334" s="1011"/>
      <c r="H334" s="262"/>
      <c r="I334" s="1011"/>
      <c r="J334" s="262"/>
      <c r="K334" s="1011"/>
      <c r="L334" s="262"/>
      <c r="M334" s="1011"/>
      <c r="N334" s="262"/>
      <c r="O334" s="1011"/>
      <c r="P334" s="262"/>
      <c r="Q334" s="1011"/>
      <c r="R334" s="1012"/>
      <c r="S334" s="1011"/>
      <c r="T334" s="1012"/>
      <c r="U334" s="1010"/>
      <c r="V334" s="1012"/>
      <c r="W334" s="1010"/>
      <c r="X334" s="1012"/>
      <c r="Y334" s="1010"/>
      <c r="Z334" s="262"/>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row>
    <row r="335" spans="1:47" ht="12.75" hidden="1">
      <c r="A335" s="110"/>
      <c r="B335" s="1009"/>
      <c r="C335" s="1010"/>
      <c r="D335" s="253"/>
      <c r="E335" s="1011"/>
      <c r="F335" s="262"/>
      <c r="G335" s="1011"/>
      <c r="H335" s="262"/>
      <c r="I335" s="1011"/>
      <c r="J335" s="262"/>
      <c r="K335" s="1011"/>
      <c r="L335" s="262"/>
      <c r="M335" s="1011"/>
      <c r="N335" s="262"/>
      <c r="O335" s="1011"/>
      <c r="P335" s="262"/>
      <c r="Q335" s="1011"/>
      <c r="R335" s="1012"/>
      <c r="S335" s="1011"/>
      <c r="T335" s="1012"/>
      <c r="U335" s="1010"/>
      <c r="V335" s="1012"/>
      <c r="W335" s="1010"/>
      <c r="X335" s="1012"/>
      <c r="Y335" s="1010"/>
      <c r="Z335" s="262"/>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row>
    <row r="336" spans="1:47" ht="12.75" hidden="1">
      <c r="A336" s="110"/>
      <c r="B336" s="1009"/>
      <c r="C336" s="1010"/>
      <c r="D336" s="253"/>
      <c r="E336" s="1011"/>
      <c r="F336" s="262"/>
      <c r="G336" s="1011"/>
      <c r="H336" s="262"/>
      <c r="I336" s="1011"/>
      <c r="J336" s="262"/>
      <c r="K336" s="1011"/>
      <c r="L336" s="262"/>
      <c r="M336" s="1011"/>
      <c r="N336" s="262"/>
      <c r="O336" s="1011"/>
      <c r="P336" s="262"/>
      <c r="Q336" s="1011"/>
      <c r="R336" s="1012"/>
      <c r="S336" s="1011"/>
      <c r="T336" s="1012"/>
      <c r="U336" s="1010"/>
      <c r="V336" s="1012"/>
      <c r="W336" s="1010"/>
      <c r="X336" s="1012"/>
      <c r="Y336" s="1010"/>
      <c r="Z336" s="262"/>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row>
    <row r="337" spans="1:47" ht="12.75" hidden="1">
      <c r="A337" s="110"/>
      <c r="B337" s="1009"/>
      <c r="C337" s="1010"/>
      <c r="D337" s="253"/>
      <c r="E337" s="1011"/>
      <c r="F337" s="262"/>
      <c r="G337" s="1011"/>
      <c r="H337" s="262"/>
      <c r="I337" s="1011"/>
      <c r="J337" s="262"/>
      <c r="K337" s="1011"/>
      <c r="L337" s="262"/>
      <c r="M337" s="1011"/>
      <c r="N337" s="262"/>
      <c r="O337" s="1011"/>
      <c r="P337" s="262"/>
      <c r="Q337" s="1011"/>
      <c r="R337" s="1012"/>
      <c r="S337" s="1011"/>
      <c r="T337" s="1012"/>
      <c r="U337" s="1010"/>
      <c r="V337" s="1012"/>
      <c r="W337" s="1010"/>
      <c r="X337" s="1012"/>
      <c r="Y337" s="1010"/>
      <c r="Z337" s="262"/>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row>
    <row r="338" spans="1:47" ht="12.75" hidden="1">
      <c r="A338" s="110"/>
      <c r="B338" s="1009"/>
      <c r="C338" s="1010"/>
      <c r="D338" s="253"/>
      <c r="E338" s="1011"/>
      <c r="F338" s="262"/>
      <c r="G338" s="1011"/>
      <c r="H338" s="262"/>
      <c r="I338" s="1011"/>
      <c r="J338" s="262"/>
      <c r="K338" s="1011"/>
      <c r="L338" s="262"/>
      <c r="M338" s="1011"/>
      <c r="N338" s="262"/>
      <c r="O338" s="1011"/>
      <c r="P338" s="262"/>
      <c r="Q338" s="1011"/>
      <c r="R338" s="1012"/>
      <c r="S338" s="1011"/>
      <c r="T338" s="1012"/>
      <c r="U338" s="1010"/>
      <c r="V338" s="1012"/>
      <c r="W338" s="1010"/>
      <c r="X338" s="1012"/>
      <c r="Y338" s="1010"/>
      <c r="Z338" s="262"/>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row>
    <row r="339" spans="1:47" ht="12.75" hidden="1">
      <c r="A339" s="110"/>
      <c r="B339" s="1009"/>
      <c r="C339" s="1010"/>
      <c r="D339" s="253"/>
      <c r="E339" s="1011"/>
      <c r="F339" s="262"/>
      <c r="G339" s="1011"/>
      <c r="H339" s="262"/>
      <c r="I339" s="1011"/>
      <c r="J339" s="262"/>
      <c r="K339" s="1011"/>
      <c r="L339" s="262"/>
      <c r="M339" s="1011"/>
      <c r="N339" s="262"/>
      <c r="O339" s="1011"/>
      <c r="P339" s="262"/>
      <c r="Q339" s="1011"/>
      <c r="R339" s="1012"/>
      <c r="S339" s="1011"/>
      <c r="T339" s="1012"/>
      <c r="U339" s="1010"/>
      <c r="V339" s="1012"/>
      <c r="W339" s="1010"/>
      <c r="X339" s="1012"/>
      <c r="Y339" s="1010"/>
      <c r="Z339" s="262"/>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row>
    <row r="340" spans="1:47" ht="12.75" hidden="1">
      <c r="A340" s="110"/>
      <c r="B340" s="1009"/>
      <c r="C340" s="1010"/>
      <c r="D340" s="253"/>
      <c r="E340" s="1011"/>
      <c r="F340" s="262"/>
      <c r="G340" s="1011"/>
      <c r="H340" s="262"/>
      <c r="I340" s="1011"/>
      <c r="J340" s="262"/>
      <c r="K340" s="1011"/>
      <c r="L340" s="262"/>
      <c r="M340" s="1011"/>
      <c r="N340" s="262"/>
      <c r="O340" s="1011"/>
      <c r="P340" s="262"/>
      <c r="Q340" s="1011"/>
      <c r="R340" s="1012"/>
      <c r="S340" s="1011"/>
      <c r="T340" s="1012"/>
      <c r="U340" s="1010"/>
      <c r="V340" s="1012"/>
      <c r="W340" s="1010"/>
      <c r="X340" s="1012"/>
      <c r="Y340" s="1010"/>
      <c r="Z340" s="262"/>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row>
    <row r="341" spans="1:47" ht="12.75" hidden="1">
      <c r="A341" s="110"/>
      <c r="B341" s="1009"/>
      <c r="C341" s="1010"/>
      <c r="D341" s="253"/>
      <c r="E341" s="1011"/>
      <c r="F341" s="262"/>
      <c r="G341" s="1011"/>
      <c r="H341" s="262"/>
      <c r="I341" s="1011"/>
      <c r="J341" s="262"/>
      <c r="K341" s="1011"/>
      <c r="L341" s="262"/>
      <c r="M341" s="1011"/>
      <c r="N341" s="262"/>
      <c r="O341" s="1011"/>
      <c r="P341" s="262"/>
      <c r="Q341" s="1011"/>
      <c r="R341" s="1012"/>
      <c r="S341" s="1011"/>
      <c r="T341" s="1012"/>
      <c r="U341" s="1010"/>
      <c r="V341" s="1012"/>
      <c r="W341" s="1010"/>
      <c r="X341" s="1012"/>
      <c r="Y341" s="1010"/>
      <c r="Z341" s="262"/>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row>
    <row r="342" spans="1:47" ht="12.75" hidden="1">
      <c r="A342" s="110"/>
      <c r="B342" s="1009"/>
      <c r="C342" s="1010"/>
      <c r="D342" s="253"/>
      <c r="E342" s="1011"/>
      <c r="F342" s="262"/>
      <c r="G342" s="1011"/>
      <c r="H342" s="262"/>
      <c r="I342" s="1011"/>
      <c r="J342" s="262"/>
      <c r="K342" s="1011"/>
      <c r="L342" s="262"/>
      <c r="M342" s="1011"/>
      <c r="N342" s="262"/>
      <c r="O342" s="1011"/>
      <c r="P342" s="262"/>
      <c r="Q342" s="1011"/>
      <c r="R342" s="1012"/>
      <c r="S342" s="1011"/>
      <c r="T342" s="1012"/>
      <c r="U342" s="1010"/>
      <c r="V342" s="1012"/>
      <c r="W342" s="1010"/>
      <c r="X342" s="1012"/>
      <c r="Y342" s="1010"/>
      <c r="Z342" s="262"/>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row>
    <row r="343" spans="1:47" ht="12.75" hidden="1">
      <c r="A343" s="110"/>
      <c r="B343" s="1009"/>
      <c r="C343" s="1010"/>
      <c r="D343" s="253"/>
      <c r="E343" s="1011"/>
      <c r="F343" s="262"/>
      <c r="G343" s="1011"/>
      <c r="H343" s="262"/>
      <c r="I343" s="1011"/>
      <c r="J343" s="262"/>
      <c r="K343" s="1011"/>
      <c r="L343" s="262"/>
      <c r="M343" s="1011"/>
      <c r="N343" s="262"/>
      <c r="O343" s="1011"/>
      <c r="P343" s="262"/>
      <c r="Q343" s="1011"/>
      <c r="R343" s="1012"/>
      <c r="S343" s="1011"/>
      <c r="T343" s="1012"/>
      <c r="U343" s="1010"/>
      <c r="V343" s="1012"/>
      <c r="W343" s="1010"/>
      <c r="X343" s="1012"/>
      <c r="Y343" s="1010"/>
      <c r="Z343" s="262"/>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row>
    <row r="344" spans="1:47" ht="12.75" hidden="1">
      <c r="A344" s="110"/>
      <c r="B344" s="1009"/>
      <c r="C344" s="1010"/>
      <c r="D344" s="253"/>
      <c r="E344" s="1011"/>
      <c r="F344" s="262"/>
      <c r="G344" s="1011"/>
      <c r="H344" s="262"/>
      <c r="I344" s="1011"/>
      <c r="J344" s="262"/>
      <c r="K344" s="1011"/>
      <c r="L344" s="262"/>
      <c r="M344" s="1011"/>
      <c r="N344" s="262"/>
      <c r="O344" s="1011"/>
      <c r="P344" s="262"/>
      <c r="Q344" s="1011"/>
      <c r="R344" s="1012"/>
      <c r="S344" s="1011"/>
      <c r="T344" s="1012"/>
      <c r="U344" s="1010"/>
      <c r="V344" s="1012"/>
      <c r="W344" s="1010"/>
      <c r="X344" s="1012"/>
      <c r="Y344" s="1010"/>
      <c r="Z344" s="262"/>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row>
    <row r="345" spans="1:47" ht="12.75" hidden="1">
      <c r="A345" s="110"/>
      <c r="B345" s="1009"/>
      <c r="C345" s="1010"/>
      <c r="D345" s="253"/>
      <c r="E345" s="1011"/>
      <c r="F345" s="262"/>
      <c r="G345" s="1011"/>
      <c r="H345" s="262"/>
      <c r="I345" s="1011"/>
      <c r="J345" s="262"/>
      <c r="K345" s="1011"/>
      <c r="L345" s="262"/>
      <c r="M345" s="1011"/>
      <c r="N345" s="262"/>
      <c r="O345" s="1011"/>
      <c r="P345" s="262"/>
      <c r="Q345" s="1011"/>
      <c r="R345" s="1012"/>
      <c r="S345" s="1011"/>
      <c r="T345" s="1012"/>
      <c r="U345" s="1010"/>
      <c r="V345" s="1012"/>
      <c r="W345" s="1010"/>
      <c r="X345" s="1012"/>
      <c r="Y345" s="1010"/>
      <c r="Z345" s="262"/>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row>
    <row r="346" spans="1:47" ht="12.75" hidden="1">
      <c r="A346" s="110"/>
      <c r="B346" s="1009"/>
      <c r="C346" s="1010"/>
      <c r="D346" s="253"/>
      <c r="E346" s="1011"/>
      <c r="F346" s="262"/>
      <c r="G346" s="1011"/>
      <c r="H346" s="262"/>
      <c r="I346" s="1011"/>
      <c r="J346" s="262"/>
      <c r="K346" s="1011"/>
      <c r="L346" s="262"/>
      <c r="M346" s="1011"/>
      <c r="N346" s="262"/>
      <c r="O346" s="1011"/>
      <c r="P346" s="262"/>
      <c r="Q346" s="1011"/>
      <c r="R346" s="1012"/>
      <c r="S346" s="1011"/>
      <c r="T346" s="1012"/>
      <c r="U346" s="1010"/>
      <c r="V346" s="1012"/>
      <c r="W346" s="1010"/>
      <c r="X346" s="1012"/>
      <c r="Y346" s="1010"/>
      <c r="Z346" s="262"/>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row>
    <row r="347" spans="1:47" ht="12.75" hidden="1">
      <c r="A347" s="110"/>
      <c r="B347" s="1009"/>
      <c r="C347" s="1010"/>
      <c r="D347" s="253"/>
      <c r="E347" s="1011"/>
      <c r="F347" s="262"/>
      <c r="G347" s="1011"/>
      <c r="H347" s="262"/>
      <c r="I347" s="1011"/>
      <c r="J347" s="262"/>
      <c r="K347" s="1011"/>
      <c r="L347" s="262"/>
      <c r="M347" s="1011"/>
      <c r="N347" s="262"/>
      <c r="O347" s="1011"/>
      <c r="P347" s="262"/>
      <c r="Q347" s="1011"/>
      <c r="R347" s="1012"/>
      <c r="S347" s="1011"/>
      <c r="T347" s="1012"/>
      <c r="U347" s="1010"/>
      <c r="V347" s="1012"/>
      <c r="W347" s="1010"/>
      <c r="X347" s="1012"/>
      <c r="Y347" s="1010"/>
      <c r="Z347" s="262"/>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row>
    <row r="348" spans="1:47" ht="12.75" hidden="1">
      <c r="A348" s="110"/>
      <c r="B348" s="1009"/>
      <c r="C348" s="1010"/>
      <c r="D348" s="253"/>
      <c r="E348" s="1011"/>
      <c r="F348" s="262"/>
      <c r="G348" s="1011"/>
      <c r="H348" s="262"/>
      <c r="I348" s="1011"/>
      <c r="J348" s="262"/>
      <c r="K348" s="1011"/>
      <c r="L348" s="262"/>
      <c r="M348" s="1011"/>
      <c r="N348" s="262"/>
      <c r="O348" s="1011"/>
      <c r="P348" s="262"/>
      <c r="Q348" s="1011"/>
      <c r="R348" s="1012"/>
      <c r="S348" s="1011"/>
      <c r="T348" s="1012"/>
      <c r="U348" s="1010"/>
      <c r="V348" s="1012"/>
      <c r="W348" s="1010"/>
      <c r="X348" s="1012"/>
      <c r="Y348" s="1010"/>
      <c r="Z348" s="262"/>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row>
    <row r="349" spans="1:47" ht="12.75" hidden="1">
      <c r="A349" s="110"/>
      <c r="B349" s="1009"/>
      <c r="C349" s="1010"/>
      <c r="D349" s="253"/>
      <c r="E349" s="1011"/>
      <c r="F349" s="262"/>
      <c r="G349" s="1011"/>
      <c r="H349" s="262"/>
      <c r="I349" s="1011"/>
      <c r="J349" s="262"/>
      <c r="K349" s="1011"/>
      <c r="L349" s="262"/>
      <c r="M349" s="1011"/>
      <c r="N349" s="262"/>
      <c r="O349" s="1011"/>
      <c r="P349" s="262"/>
      <c r="Q349" s="1011"/>
      <c r="R349" s="1012"/>
      <c r="S349" s="1011"/>
      <c r="T349" s="1012"/>
      <c r="U349" s="1010"/>
      <c r="V349" s="1012"/>
      <c r="W349" s="1010"/>
      <c r="X349" s="1012"/>
      <c r="Y349" s="1010"/>
      <c r="Z349" s="262"/>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row>
    <row r="350" spans="1:47" ht="12.75" hidden="1">
      <c r="A350" s="110"/>
      <c r="B350" s="1009"/>
      <c r="C350" s="1010"/>
      <c r="D350" s="253"/>
      <c r="E350" s="1011"/>
      <c r="F350" s="262"/>
      <c r="G350" s="1011"/>
      <c r="H350" s="262"/>
      <c r="I350" s="1011"/>
      <c r="J350" s="262"/>
      <c r="K350" s="1011"/>
      <c r="L350" s="262"/>
      <c r="M350" s="1011"/>
      <c r="N350" s="262"/>
      <c r="O350" s="1011"/>
      <c r="P350" s="262"/>
      <c r="Q350" s="1011"/>
      <c r="R350" s="1012"/>
      <c r="S350" s="1011"/>
      <c r="T350" s="1012"/>
      <c r="U350" s="1010"/>
      <c r="V350" s="1012"/>
      <c r="W350" s="1010"/>
      <c r="X350" s="1012"/>
      <c r="Y350" s="1010"/>
      <c r="Z350" s="262"/>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row>
    <row r="351" spans="1:47" ht="12.75" hidden="1">
      <c r="A351" s="110"/>
      <c r="B351" s="1009"/>
      <c r="C351" s="1010"/>
      <c r="D351" s="253"/>
      <c r="E351" s="1011"/>
      <c r="F351" s="262"/>
      <c r="G351" s="1011"/>
      <c r="H351" s="262"/>
      <c r="I351" s="1011"/>
      <c r="J351" s="262"/>
      <c r="K351" s="1011"/>
      <c r="L351" s="262"/>
      <c r="M351" s="1011"/>
      <c r="N351" s="262"/>
      <c r="O351" s="1011"/>
      <c r="P351" s="262"/>
      <c r="Q351" s="1011"/>
      <c r="R351" s="1012"/>
      <c r="S351" s="1011"/>
      <c r="T351" s="1012"/>
      <c r="U351" s="1010"/>
      <c r="V351" s="1012"/>
      <c r="W351" s="1010"/>
      <c r="X351" s="1012"/>
      <c r="Y351" s="1010"/>
      <c r="Z351" s="262"/>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row>
    <row r="352" spans="1:47" ht="12.75" hidden="1">
      <c r="A352" s="110"/>
      <c r="B352" s="1009"/>
      <c r="C352" s="1010"/>
      <c r="D352" s="253"/>
      <c r="E352" s="1011"/>
      <c r="F352" s="262"/>
      <c r="G352" s="1011"/>
      <c r="H352" s="262"/>
      <c r="I352" s="1011"/>
      <c r="J352" s="262"/>
      <c r="K352" s="1011"/>
      <c r="L352" s="262"/>
      <c r="M352" s="1011"/>
      <c r="N352" s="262"/>
      <c r="O352" s="1011"/>
      <c r="P352" s="262"/>
      <c r="Q352" s="1011"/>
      <c r="R352" s="1012"/>
      <c r="S352" s="1011"/>
      <c r="T352" s="1012"/>
      <c r="U352" s="1010"/>
      <c r="V352" s="1012"/>
      <c r="W352" s="1010"/>
      <c r="X352" s="1012"/>
      <c r="Y352" s="1010"/>
      <c r="Z352" s="262"/>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row>
    <row r="353" spans="1:47" ht="12.75" hidden="1">
      <c r="A353" s="110"/>
      <c r="B353" s="1009"/>
      <c r="C353" s="1010"/>
      <c r="D353" s="253"/>
      <c r="E353" s="1011"/>
      <c r="F353" s="262"/>
      <c r="G353" s="1011"/>
      <c r="H353" s="262"/>
      <c r="I353" s="1011"/>
      <c r="J353" s="262"/>
      <c r="K353" s="1011"/>
      <c r="L353" s="262"/>
      <c r="M353" s="1011"/>
      <c r="N353" s="262"/>
      <c r="O353" s="1011"/>
      <c r="P353" s="262"/>
      <c r="Q353" s="1011"/>
      <c r="R353" s="1012"/>
      <c r="S353" s="1011"/>
      <c r="T353" s="1012"/>
      <c r="U353" s="1010"/>
      <c r="V353" s="1012"/>
      <c r="W353" s="1010"/>
      <c r="X353" s="1012"/>
      <c r="Y353" s="1010"/>
      <c r="Z353" s="262"/>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row>
    <row r="354" spans="1:47" ht="12.75" hidden="1">
      <c r="A354" s="110"/>
      <c r="B354" s="1009"/>
      <c r="C354" s="1010"/>
      <c r="D354" s="253"/>
      <c r="E354" s="1011"/>
      <c r="F354" s="262"/>
      <c r="G354" s="1011"/>
      <c r="H354" s="262"/>
      <c r="I354" s="1011"/>
      <c r="J354" s="262"/>
      <c r="K354" s="1011"/>
      <c r="L354" s="262"/>
      <c r="M354" s="1011"/>
      <c r="N354" s="262"/>
      <c r="O354" s="1011"/>
      <c r="P354" s="262"/>
      <c r="Q354" s="1011"/>
      <c r="R354" s="1012"/>
      <c r="S354" s="1011"/>
      <c r="T354" s="1012"/>
      <c r="U354" s="1010"/>
      <c r="V354" s="1012"/>
      <c r="W354" s="1010"/>
      <c r="X354" s="1012"/>
      <c r="Y354" s="1010"/>
      <c r="Z354" s="262"/>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row>
    <row r="355" spans="1:47" ht="12.75" hidden="1">
      <c r="A355" s="110"/>
      <c r="B355" s="1009"/>
      <c r="C355" s="1010"/>
      <c r="D355" s="253"/>
      <c r="E355" s="1011"/>
      <c r="F355" s="262"/>
      <c r="G355" s="1011"/>
      <c r="H355" s="262"/>
      <c r="I355" s="1011"/>
      <c r="J355" s="262"/>
      <c r="K355" s="1011"/>
      <c r="L355" s="262"/>
      <c r="M355" s="1011"/>
      <c r="N355" s="262"/>
      <c r="O355" s="1011"/>
      <c r="P355" s="262"/>
      <c r="Q355" s="1011"/>
      <c r="R355" s="1012"/>
      <c r="S355" s="1011"/>
      <c r="T355" s="1012"/>
      <c r="U355" s="1010"/>
      <c r="V355" s="1012"/>
      <c r="W355" s="1010"/>
      <c r="X355" s="1012"/>
      <c r="Y355" s="1010"/>
      <c r="Z355" s="262"/>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row>
    <row r="356" spans="1:47" ht="12.75" hidden="1">
      <c r="A356" s="110"/>
      <c r="B356" s="1009"/>
      <c r="C356" s="1010"/>
      <c r="D356" s="253"/>
      <c r="E356" s="1011"/>
      <c r="F356" s="262"/>
      <c r="G356" s="1011"/>
      <c r="H356" s="262"/>
      <c r="I356" s="1011"/>
      <c r="J356" s="262"/>
      <c r="K356" s="1011"/>
      <c r="L356" s="262"/>
      <c r="M356" s="1011"/>
      <c r="N356" s="262"/>
      <c r="O356" s="1011"/>
      <c r="P356" s="262"/>
      <c r="Q356" s="1011"/>
      <c r="R356" s="1012"/>
      <c r="S356" s="1011"/>
      <c r="T356" s="1012"/>
      <c r="U356" s="1010"/>
      <c r="V356" s="1012"/>
      <c r="W356" s="1010"/>
      <c r="X356" s="1012"/>
      <c r="Y356" s="1010"/>
      <c r="Z356" s="262"/>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row>
    <row r="357" spans="1:47" ht="12.75" hidden="1">
      <c r="A357" s="110"/>
      <c r="B357" s="1009"/>
      <c r="C357" s="1010"/>
      <c r="D357" s="253"/>
      <c r="E357" s="1011"/>
      <c r="F357" s="262"/>
      <c r="G357" s="1011"/>
      <c r="H357" s="262"/>
      <c r="I357" s="1011"/>
      <c r="J357" s="262"/>
      <c r="K357" s="1011"/>
      <c r="L357" s="262"/>
      <c r="M357" s="1011"/>
      <c r="N357" s="262"/>
      <c r="O357" s="1011"/>
      <c r="P357" s="262"/>
      <c r="Q357" s="1011"/>
      <c r="R357" s="1012"/>
      <c r="S357" s="1011"/>
      <c r="T357" s="1012"/>
      <c r="U357" s="1010"/>
      <c r="V357" s="1012"/>
      <c r="W357" s="1010"/>
      <c r="X357" s="1012"/>
      <c r="Y357" s="1010"/>
      <c r="Z357" s="262"/>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row>
    <row r="358" spans="1:47" ht="12.75" hidden="1">
      <c r="A358" s="110"/>
      <c r="B358" s="1009"/>
      <c r="C358" s="1010"/>
      <c r="D358" s="253"/>
      <c r="E358" s="1011"/>
      <c r="F358" s="262"/>
      <c r="G358" s="1011"/>
      <c r="H358" s="262"/>
      <c r="I358" s="1011"/>
      <c r="J358" s="262"/>
      <c r="K358" s="1011"/>
      <c r="L358" s="262"/>
      <c r="M358" s="1011"/>
      <c r="N358" s="262"/>
      <c r="O358" s="1011"/>
      <c r="P358" s="262"/>
      <c r="Q358" s="1011"/>
      <c r="R358" s="1012"/>
      <c r="S358" s="1011"/>
      <c r="T358" s="1012"/>
      <c r="U358" s="1010"/>
      <c r="V358" s="1012"/>
      <c r="W358" s="1010"/>
      <c r="X358" s="1012"/>
      <c r="Y358" s="1010"/>
      <c r="Z358" s="262"/>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row>
    <row r="359" spans="1:47" ht="12.75" hidden="1">
      <c r="A359" s="110"/>
      <c r="B359" s="1009"/>
      <c r="C359" s="1010"/>
      <c r="D359" s="253"/>
      <c r="E359" s="1011"/>
      <c r="F359" s="262"/>
      <c r="G359" s="1011"/>
      <c r="H359" s="262"/>
      <c r="I359" s="1011"/>
      <c r="J359" s="262"/>
      <c r="K359" s="1011"/>
      <c r="L359" s="262"/>
      <c r="M359" s="1011"/>
      <c r="N359" s="262"/>
      <c r="O359" s="1011"/>
      <c r="P359" s="262"/>
      <c r="Q359" s="1011"/>
      <c r="R359" s="1012"/>
      <c r="S359" s="1011"/>
      <c r="T359" s="1012"/>
      <c r="U359" s="1010"/>
      <c r="V359" s="1012"/>
      <c r="W359" s="1010"/>
      <c r="X359" s="1012"/>
      <c r="Y359" s="1010"/>
      <c r="Z359" s="262"/>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row>
    <row r="360" spans="1:47" ht="12.75" hidden="1">
      <c r="A360" s="110"/>
      <c r="B360" s="1009"/>
      <c r="C360" s="1010"/>
      <c r="D360" s="253"/>
      <c r="E360" s="1011"/>
      <c r="F360" s="262"/>
      <c r="G360" s="1011"/>
      <c r="H360" s="262"/>
      <c r="I360" s="1011"/>
      <c r="J360" s="262"/>
      <c r="K360" s="1011"/>
      <c r="L360" s="262"/>
      <c r="M360" s="1011"/>
      <c r="N360" s="262"/>
      <c r="O360" s="1011"/>
      <c r="P360" s="262"/>
      <c r="Q360" s="1011"/>
      <c r="R360" s="1012"/>
      <c r="S360" s="1011"/>
      <c r="T360" s="1012"/>
      <c r="U360" s="1010"/>
      <c r="V360" s="1012"/>
      <c r="W360" s="1010"/>
      <c r="X360" s="1012"/>
      <c r="Y360" s="1010"/>
      <c r="Z360" s="262"/>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row>
    <row r="361" spans="1:47" ht="12.75" hidden="1">
      <c r="A361" s="110"/>
      <c r="B361" s="1009"/>
      <c r="C361" s="1010"/>
      <c r="D361" s="253"/>
      <c r="E361" s="1011"/>
      <c r="F361" s="262"/>
      <c r="G361" s="1011"/>
      <c r="H361" s="262"/>
      <c r="I361" s="1011"/>
      <c r="J361" s="262"/>
      <c r="K361" s="1011"/>
      <c r="L361" s="262"/>
      <c r="M361" s="1011"/>
      <c r="N361" s="262"/>
      <c r="O361" s="1011"/>
      <c r="P361" s="262"/>
      <c r="Q361" s="1011"/>
      <c r="R361" s="1012"/>
      <c r="S361" s="1011"/>
      <c r="T361" s="1012"/>
      <c r="U361" s="1010"/>
      <c r="V361" s="1012"/>
      <c r="W361" s="1010"/>
      <c r="X361" s="1012"/>
      <c r="Y361" s="1010"/>
      <c r="Z361" s="262"/>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row>
    <row r="362" spans="1:47" ht="12.75" hidden="1">
      <c r="A362" s="110"/>
      <c r="B362" s="1009"/>
      <c r="C362" s="1010"/>
      <c r="D362" s="253"/>
      <c r="E362" s="1011"/>
      <c r="F362" s="262"/>
      <c r="G362" s="1011"/>
      <c r="H362" s="262"/>
      <c r="I362" s="1011"/>
      <c r="J362" s="262"/>
      <c r="K362" s="1011"/>
      <c r="L362" s="262"/>
      <c r="M362" s="1011"/>
      <c r="N362" s="262"/>
      <c r="O362" s="1011"/>
      <c r="P362" s="262"/>
      <c r="Q362" s="1011"/>
      <c r="R362" s="1012"/>
      <c r="S362" s="1011"/>
      <c r="T362" s="1012"/>
      <c r="U362" s="1010"/>
      <c r="V362" s="1012"/>
      <c r="W362" s="1010"/>
      <c r="X362" s="1012"/>
      <c r="Y362" s="1010"/>
      <c r="Z362" s="262"/>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row>
    <row r="363" spans="1:47" ht="12.75" hidden="1">
      <c r="A363" s="110"/>
      <c r="B363" s="1009"/>
      <c r="C363" s="1010"/>
      <c r="D363" s="253"/>
      <c r="E363" s="1011"/>
      <c r="F363" s="262"/>
      <c r="G363" s="1011"/>
      <c r="H363" s="262"/>
      <c r="I363" s="1011"/>
      <c r="J363" s="262"/>
      <c r="K363" s="1011"/>
      <c r="L363" s="262"/>
      <c r="M363" s="1011"/>
      <c r="N363" s="262"/>
      <c r="O363" s="1011"/>
      <c r="P363" s="262"/>
      <c r="Q363" s="1011"/>
      <c r="R363" s="1012"/>
      <c r="S363" s="1011"/>
      <c r="T363" s="1012"/>
      <c r="U363" s="1010"/>
      <c r="V363" s="1012"/>
      <c r="W363" s="1010"/>
      <c r="X363" s="1012"/>
      <c r="Y363" s="1010"/>
      <c r="Z363" s="262"/>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row>
    <row r="364" spans="1:47" ht="12.75" hidden="1">
      <c r="A364" s="110"/>
      <c r="B364" s="1009"/>
      <c r="C364" s="1010"/>
      <c r="D364" s="253"/>
      <c r="E364" s="1011"/>
      <c r="F364" s="262"/>
      <c r="G364" s="1011"/>
      <c r="H364" s="262"/>
      <c r="I364" s="1011"/>
      <c r="J364" s="262"/>
      <c r="K364" s="1011"/>
      <c r="L364" s="262"/>
      <c r="M364" s="1011"/>
      <c r="N364" s="262"/>
      <c r="O364" s="1011"/>
      <c r="P364" s="262"/>
      <c r="Q364" s="1011"/>
      <c r="R364" s="1012"/>
      <c r="S364" s="1011"/>
      <c r="T364" s="1012"/>
      <c r="U364" s="1010"/>
      <c r="V364" s="1012"/>
      <c r="W364" s="1010"/>
      <c r="X364" s="1012"/>
      <c r="Y364" s="1010"/>
      <c r="Z364" s="262"/>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row>
    <row r="365" spans="1:47" ht="12.75" hidden="1">
      <c r="A365" s="110"/>
      <c r="B365" s="1009"/>
      <c r="C365" s="1010"/>
      <c r="D365" s="253"/>
      <c r="E365" s="1011"/>
      <c r="F365" s="262"/>
      <c r="G365" s="1011"/>
      <c r="H365" s="262"/>
      <c r="I365" s="1011"/>
      <c r="J365" s="262"/>
      <c r="K365" s="1011"/>
      <c r="L365" s="262"/>
      <c r="M365" s="1011"/>
      <c r="N365" s="262"/>
      <c r="O365" s="1011"/>
      <c r="P365" s="262"/>
      <c r="Q365" s="1011"/>
      <c r="R365" s="1012"/>
      <c r="S365" s="1011"/>
      <c r="T365" s="1012"/>
      <c r="U365" s="1010"/>
      <c r="V365" s="1012"/>
      <c r="W365" s="1010"/>
      <c r="X365" s="1012"/>
      <c r="Y365" s="1010"/>
      <c r="Z365" s="262"/>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row>
    <row r="366" spans="1:47" ht="12.75" hidden="1">
      <c r="A366" s="110"/>
      <c r="B366" s="1009"/>
      <c r="C366" s="1010"/>
      <c r="D366" s="253"/>
      <c r="E366" s="1011"/>
      <c r="F366" s="262"/>
      <c r="G366" s="1011"/>
      <c r="H366" s="262"/>
      <c r="I366" s="1011"/>
      <c r="J366" s="262"/>
      <c r="K366" s="1011"/>
      <c r="L366" s="262"/>
      <c r="M366" s="1011"/>
      <c r="N366" s="262"/>
      <c r="O366" s="1011"/>
      <c r="P366" s="262"/>
      <c r="Q366" s="1011"/>
      <c r="R366" s="1012"/>
      <c r="S366" s="1011"/>
      <c r="T366" s="1012"/>
      <c r="U366" s="1010"/>
      <c r="V366" s="1012"/>
      <c r="W366" s="1010"/>
      <c r="X366" s="1012"/>
      <c r="Y366" s="1010"/>
      <c r="Z366" s="262"/>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row>
    <row r="367" spans="1:47" ht="12.75" hidden="1">
      <c r="A367" s="110"/>
      <c r="B367" s="1009"/>
      <c r="C367" s="1010"/>
      <c r="D367" s="253"/>
      <c r="E367" s="1011"/>
      <c r="F367" s="262"/>
      <c r="G367" s="1011"/>
      <c r="H367" s="262"/>
      <c r="I367" s="1011"/>
      <c r="J367" s="262"/>
      <c r="K367" s="1011"/>
      <c r="L367" s="262"/>
      <c r="M367" s="1011"/>
      <c r="N367" s="262"/>
      <c r="O367" s="1011"/>
      <c r="P367" s="262"/>
      <c r="Q367" s="1011"/>
      <c r="R367" s="1012"/>
      <c r="S367" s="1011"/>
      <c r="T367" s="1012"/>
      <c r="U367" s="1010"/>
      <c r="V367" s="1012"/>
      <c r="W367" s="1010"/>
      <c r="X367" s="1012"/>
      <c r="Y367" s="1010"/>
      <c r="Z367" s="262"/>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row>
    <row r="368" spans="1:47" ht="12.75" hidden="1">
      <c r="A368" s="110"/>
      <c r="B368" s="1009"/>
      <c r="C368" s="1010"/>
      <c r="D368" s="253"/>
      <c r="E368" s="1011"/>
      <c r="F368" s="262"/>
      <c r="G368" s="1011"/>
      <c r="H368" s="262"/>
      <c r="I368" s="1011"/>
      <c r="J368" s="262"/>
      <c r="K368" s="1011"/>
      <c r="L368" s="262"/>
      <c r="M368" s="1011"/>
      <c r="N368" s="262"/>
      <c r="O368" s="1011"/>
      <c r="P368" s="262"/>
      <c r="Q368" s="1011"/>
      <c r="R368" s="1012"/>
      <c r="S368" s="1011"/>
      <c r="T368" s="1012"/>
      <c r="U368" s="1010"/>
      <c r="V368" s="1012"/>
      <c r="W368" s="1010"/>
      <c r="X368" s="1012"/>
      <c r="Y368" s="1010"/>
      <c r="Z368" s="262"/>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row>
    <row r="369" spans="1:47" ht="12.75" hidden="1">
      <c r="A369" s="110"/>
      <c r="B369" s="1009"/>
      <c r="C369" s="1010"/>
      <c r="D369" s="253"/>
      <c r="E369" s="1011"/>
      <c r="F369" s="262"/>
      <c r="G369" s="1011"/>
      <c r="H369" s="262"/>
      <c r="I369" s="1011"/>
      <c r="J369" s="262"/>
      <c r="K369" s="1011"/>
      <c r="L369" s="262"/>
      <c r="M369" s="1011"/>
      <c r="N369" s="262"/>
      <c r="O369" s="1011"/>
      <c r="P369" s="262"/>
      <c r="Q369" s="1011"/>
      <c r="R369" s="1012"/>
      <c r="S369" s="1011"/>
      <c r="T369" s="1012"/>
      <c r="U369" s="1010"/>
      <c r="V369" s="1012"/>
      <c r="W369" s="1010"/>
      <c r="X369" s="1012"/>
      <c r="Y369" s="1010"/>
      <c r="Z369" s="262"/>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row>
    <row r="370" spans="1:47" ht="12.75" hidden="1">
      <c r="A370" s="110"/>
      <c r="B370" s="1009"/>
      <c r="C370" s="1010"/>
      <c r="D370" s="253"/>
      <c r="E370" s="1011"/>
      <c r="F370" s="262"/>
      <c r="G370" s="1011"/>
      <c r="H370" s="262"/>
      <c r="I370" s="1011"/>
      <c r="J370" s="262"/>
      <c r="K370" s="1011"/>
      <c r="L370" s="262"/>
      <c r="M370" s="1011"/>
      <c r="N370" s="262"/>
      <c r="O370" s="1011"/>
      <c r="P370" s="262"/>
      <c r="Q370" s="1011"/>
      <c r="R370" s="1012"/>
      <c r="S370" s="1011"/>
      <c r="T370" s="1012"/>
      <c r="U370" s="1010"/>
      <c r="V370" s="1012"/>
      <c r="W370" s="1010"/>
      <c r="X370" s="1012"/>
      <c r="Y370" s="1010"/>
      <c r="Z370" s="262"/>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row>
    <row r="371" spans="1:47" ht="12.75" hidden="1">
      <c r="A371" s="110"/>
      <c r="B371" s="1009"/>
      <c r="C371" s="1010"/>
      <c r="D371" s="253"/>
      <c r="E371" s="1011"/>
      <c r="F371" s="262"/>
      <c r="G371" s="1011"/>
      <c r="H371" s="262"/>
      <c r="I371" s="1011"/>
      <c r="J371" s="262"/>
      <c r="K371" s="1011"/>
      <c r="L371" s="262"/>
      <c r="M371" s="1011"/>
      <c r="N371" s="262"/>
      <c r="O371" s="1011"/>
      <c r="P371" s="262"/>
      <c r="Q371" s="1011"/>
      <c r="R371" s="1012"/>
      <c r="S371" s="1011"/>
      <c r="T371" s="1012"/>
      <c r="U371" s="1010"/>
      <c r="V371" s="1012"/>
      <c r="W371" s="1010"/>
      <c r="X371" s="1012"/>
      <c r="Y371" s="1010"/>
      <c r="Z371" s="262"/>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row>
    <row r="372" spans="1:47" ht="12.75" hidden="1">
      <c r="A372" s="110"/>
      <c r="B372" s="1009"/>
      <c r="C372" s="1010"/>
      <c r="D372" s="253"/>
      <c r="E372" s="1011"/>
      <c r="F372" s="262"/>
      <c r="G372" s="1011"/>
      <c r="H372" s="262"/>
      <c r="I372" s="1011"/>
      <c r="J372" s="262"/>
      <c r="K372" s="1011"/>
      <c r="L372" s="262"/>
      <c r="M372" s="1011"/>
      <c r="N372" s="262"/>
      <c r="O372" s="1011"/>
      <c r="P372" s="262"/>
      <c r="Q372" s="1011"/>
      <c r="R372" s="1012"/>
      <c r="S372" s="1011"/>
      <c r="T372" s="1012"/>
      <c r="U372" s="1010"/>
      <c r="V372" s="1012"/>
      <c r="W372" s="1010"/>
      <c r="X372" s="1012"/>
      <c r="Y372" s="1010"/>
      <c r="Z372" s="262"/>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row>
    <row r="373" spans="1:47" ht="12.75" hidden="1">
      <c r="A373" s="110"/>
      <c r="B373" s="1009"/>
      <c r="C373" s="1010"/>
      <c r="D373" s="253"/>
      <c r="E373" s="1011"/>
      <c r="F373" s="262"/>
      <c r="G373" s="1011"/>
      <c r="H373" s="262"/>
      <c r="I373" s="1011"/>
      <c r="J373" s="262"/>
      <c r="K373" s="1011"/>
      <c r="L373" s="262"/>
      <c r="M373" s="1011"/>
      <c r="N373" s="262"/>
      <c r="O373" s="1011"/>
      <c r="P373" s="262"/>
      <c r="Q373" s="1011"/>
      <c r="R373" s="1012"/>
      <c r="S373" s="1011"/>
      <c r="T373" s="1012"/>
      <c r="U373" s="1010"/>
      <c r="V373" s="1012"/>
      <c r="W373" s="1010"/>
      <c r="X373" s="1012"/>
      <c r="Y373" s="1010"/>
      <c r="Z373" s="262"/>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row>
    <row r="374" spans="1:47" ht="12.75" hidden="1">
      <c r="A374" s="110"/>
      <c r="B374" s="1009"/>
      <c r="C374" s="1010"/>
      <c r="D374" s="253"/>
      <c r="E374" s="1011"/>
      <c r="F374" s="262"/>
      <c r="G374" s="1011"/>
      <c r="H374" s="262"/>
      <c r="I374" s="1011"/>
      <c r="J374" s="262"/>
      <c r="K374" s="1011"/>
      <c r="L374" s="262"/>
      <c r="M374" s="1011"/>
      <c r="N374" s="262"/>
      <c r="O374" s="1011"/>
      <c r="P374" s="262"/>
      <c r="Q374" s="1011"/>
      <c r="R374" s="1012"/>
      <c r="S374" s="1011"/>
      <c r="T374" s="1012"/>
      <c r="U374" s="1010"/>
      <c r="V374" s="1012"/>
      <c r="W374" s="1010"/>
      <c r="X374" s="1012"/>
      <c r="Y374" s="1010"/>
      <c r="Z374" s="262"/>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row>
    <row r="375" spans="1:47" ht="12.75" hidden="1">
      <c r="A375" s="110"/>
      <c r="B375" s="1009"/>
      <c r="C375" s="1010"/>
      <c r="D375" s="253"/>
      <c r="E375" s="1011"/>
      <c r="F375" s="262"/>
      <c r="G375" s="1011"/>
      <c r="H375" s="262"/>
      <c r="I375" s="1011"/>
      <c r="J375" s="262"/>
      <c r="K375" s="1011"/>
      <c r="L375" s="262"/>
      <c r="M375" s="1011"/>
      <c r="N375" s="262"/>
      <c r="O375" s="1011"/>
      <c r="P375" s="262"/>
      <c r="Q375" s="1011"/>
      <c r="R375" s="1012"/>
      <c r="S375" s="1011"/>
      <c r="T375" s="1012"/>
      <c r="U375" s="1010"/>
      <c r="V375" s="1012"/>
      <c r="W375" s="1010"/>
      <c r="X375" s="1012"/>
      <c r="Y375" s="1010"/>
      <c r="Z375" s="262"/>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row>
    <row r="376" spans="1:47" ht="12.75" hidden="1">
      <c r="A376" s="110"/>
      <c r="B376" s="1009"/>
      <c r="C376" s="1010"/>
      <c r="D376" s="253"/>
      <c r="E376" s="1011"/>
      <c r="F376" s="262"/>
      <c r="G376" s="1011"/>
      <c r="H376" s="262"/>
      <c r="I376" s="1011"/>
      <c r="J376" s="262"/>
      <c r="K376" s="1011"/>
      <c r="L376" s="262"/>
      <c r="M376" s="1011"/>
      <c r="N376" s="262"/>
      <c r="O376" s="1011"/>
      <c r="P376" s="262"/>
      <c r="Q376" s="1011"/>
      <c r="R376" s="1012"/>
      <c r="S376" s="1011"/>
      <c r="T376" s="1012"/>
      <c r="U376" s="1010"/>
      <c r="V376" s="1012"/>
      <c r="W376" s="1010"/>
      <c r="X376" s="1012"/>
      <c r="Y376" s="1010"/>
      <c r="Z376" s="262"/>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row>
    <row r="377" spans="1:47" ht="12.75" hidden="1">
      <c r="A377" s="110"/>
      <c r="B377" s="1009"/>
      <c r="C377" s="1010"/>
      <c r="D377" s="253"/>
      <c r="E377" s="1011"/>
      <c r="F377" s="262"/>
      <c r="G377" s="1011"/>
      <c r="H377" s="262"/>
      <c r="I377" s="1011"/>
      <c r="J377" s="262"/>
      <c r="K377" s="1011"/>
      <c r="L377" s="262"/>
      <c r="M377" s="1011"/>
      <c r="N377" s="262"/>
      <c r="O377" s="1011"/>
      <c r="P377" s="262"/>
      <c r="Q377" s="1011"/>
      <c r="R377" s="1012"/>
      <c r="S377" s="1011"/>
      <c r="T377" s="1012"/>
      <c r="U377" s="1010"/>
      <c r="V377" s="1012"/>
      <c r="W377" s="1010"/>
      <c r="X377" s="1012"/>
      <c r="Y377" s="1010"/>
      <c r="Z377" s="262"/>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row>
    <row r="378" spans="1:47" ht="12.75" hidden="1">
      <c r="A378" s="110"/>
      <c r="B378" s="1009"/>
      <c r="C378" s="1010"/>
      <c r="D378" s="253"/>
      <c r="E378" s="1011"/>
      <c r="F378" s="262"/>
      <c r="G378" s="1011"/>
      <c r="H378" s="262"/>
      <c r="I378" s="1011"/>
      <c r="J378" s="262"/>
      <c r="K378" s="1011"/>
      <c r="L378" s="262"/>
      <c r="M378" s="1011"/>
      <c r="N378" s="262"/>
      <c r="O378" s="1011"/>
      <c r="P378" s="262"/>
      <c r="Q378" s="1011"/>
      <c r="R378" s="1012"/>
      <c r="S378" s="1011"/>
      <c r="T378" s="1012"/>
      <c r="U378" s="1010"/>
      <c r="V378" s="1012"/>
      <c r="W378" s="1010"/>
      <c r="X378" s="1012"/>
      <c r="Y378" s="1010"/>
      <c r="Z378" s="262"/>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row>
    <row r="379" spans="1:47" ht="12.75" hidden="1">
      <c r="A379" s="110"/>
      <c r="B379" s="1009"/>
      <c r="C379" s="1010"/>
      <c r="D379" s="253"/>
      <c r="E379" s="1011"/>
      <c r="F379" s="262"/>
      <c r="G379" s="1011"/>
      <c r="H379" s="262"/>
      <c r="I379" s="1011"/>
      <c r="J379" s="262"/>
      <c r="K379" s="1011"/>
      <c r="L379" s="262"/>
      <c r="M379" s="1011"/>
      <c r="N379" s="262"/>
      <c r="O379" s="1011"/>
      <c r="P379" s="262"/>
      <c r="Q379" s="1011"/>
      <c r="R379" s="1012"/>
      <c r="S379" s="1011"/>
      <c r="T379" s="1012"/>
      <c r="U379" s="1010"/>
      <c r="V379" s="1012"/>
      <c r="W379" s="1010"/>
      <c r="X379" s="1012"/>
      <c r="Y379" s="1010"/>
      <c r="Z379" s="262"/>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row>
    <row r="380" spans="1:47" ht="12.75" hidden="1">
      <c r="A380" s="110"/>
      <c r="B380" s="1009"/>
      <c r="C380" s="1010"/>
      <c r="D380" s="253"/>
      <c r="E380" s="1011"/>
      <c r="F380" s="262"/>
      <c r="G380" s="1011"/>
      <c r="H380" s="262"/>
      <c r="I380" s="1011"/>
      <c r="J380" s="262"/>
      <c r="K380" s="1011"/>
      <c r="L380" s="262"/>
      <c r="M380" s="1011"/>
      <c r="N380" s="262"/>
      <c r="O380" s="1011"/>
      <c r="P380" s="262"/>
      <c r="Q380" s="1011"/>
      <c r="R380" s="1012"/>
      <c r="S380" s="1011"/>
      <c r="T380" s="1012"/>
      <c r="U380" s="1010"/>
      <c r="V380" s="1012"/>
      <c r="W380" s="1010"/>
      <c r="X380" s="1012"/>
      <c r="Y380" s="1010"/>
      <c r="Z380" s="262"/>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row>
    <row r="381" spans="1:47" ht="12.75" hidden="1">
      <c r="A381" s="110"/>
      <c r="B381" s="1009"/>
      <c r="C381" s="1010"/>
      <c r="D381" s="253"/>
      <c r="E381" s="1011"/>
      <c r="F381" s="262"/>
      <c r="G381" s="1011"/>
      <c r="H381" s="262"/>
      <c r="I381" s="1011"/>
      <c r="J381" s="262"/>
      <c r="K381" s="1011"/>
      <c r="L381" s="262"/>
      <c r="M381" s="1011"/>
      <c r="N381" s="262"/>
      <c r="O381" s="1011"/>
      <c r="P381" s="262"/>
      <c r="Q381" s="1011"/>
      <c r="R381" s="1012"/>
      <c r="S381" s="1011"/>
      <c r="T381" s="1012"/>
      <c r="U381" s="1010"/>
      <c r="V381" s="1012"/>
      <c r="W381" s="1010"/>
      <c r="X381" s="1012"/>
      <c r="Y381" s="1010"/>
      <c r="Z381" s="262"/>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row>
    <row r="382" spans="1:47" ht="12.75" hidden="1">
      <c r="A382" s="110"/>
      <c r="B382" s="1009"/>
      <c r="C382" s="1010"/>
      <c r="D382" s="253"/>
      <c r="E382" s="1011"/>
      <c r="F382" s="262"/>
      <c r="G382" s="1011"/>
      <c r="H382" s="262"/>
      <c r="I382" s="1011"/>
      <c r="J382" s="262"/>
      <c r="K382" s="1011"/>
      <c r="L382" s="262"/>
      <c r="M382" s="1011"/>
      <c r="N382" s="262"/>
      <c r="O382" s="1011"/>
      <c r="P382" s="262"/>
      <c r="Q382" s="1011"/>
      <c r="R382" s="1012"/>
      <c r="S382" s="1011"/>
      <c r="T382" s="1012"/>
      <c r="U382" s="1010"/>
      <c r="V382" s="1012"/>
      <c r="W382" s="1010"/>
      <c r="X382" s="1012"/>
      <c r="Y382" s="1010"/>
      <c r="Z382" s="262"/>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row>
    <row r="383" spans="1:47" ht="12.75" hidden="1">
      <c r="A383" s="110"/>
      <c r="B383" s="1009"/>
      <c r="C383" s="1010"/>
      <c r="D383" s="253"/>
      <c r="E383" s="1011"/>
      <c r="F383" s="262"/>
      <c r="G383" s="1011"/>
      <c r="H383" s="262"/>
      <c r="I383" s="1011"/>
      <c r="J383" s="262"/>
      <c r="K383" s="1011"/>
      <c r="L383" s="262"/>
      <c r="M383" s="1011"/>
      <c r="N383" s="262"/>
      <c r="O383" s="1011"/>
      <c r="P383" s="262"/>
      <c r="Q383" s="1011"/>
      <c r="R383" s="1012"/>
      <c r="S383" s="1011"/>
      <c r="T383" s="1012"/>
      <c r="U383" s="1010"/>
      <c r="V383" s="1012"/>
      <c r="W383" s="1010"/>
      <c r="X383" s="1012"/>
      <c r="Y383" s="1010"/>
      <c r="Z383" s="262"/>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row>
    <row r="384" spans="1:47" ht="12.75" hidden="1">
      <c r="A384" s="110"/>
      <c r="B384" s="1009"/>
      <c r="C384" s="1010"/>
      <c r="D384" s="253"/>
      <c r="E384" s="1011"/>
      <c r="F384" s="262"/>
      <c r="G384" s="1011"/>
      <c r="H384" s="262"/>
      <c r="I384" s="1011"/>
      <c r="J384" s="262"/>
      <c r="K384" s="1011"/>
      <c r="L384" s="262"/>
      <c r="M384" s="1011"/>
      <c r="N384" s="262"/>
      <c r="O384" s="1011"/>
      <c r="P384" s="262"/>
      <c r="Q384" s="1011"/>
      <c r="R384" s="1012"/>
      <c r="S384" s="1011"/>
      <c r="T384" s="1012"/>
      <c r="U384" s="1010"/>
      <c r="V384" s="1012"/>
      <c r="W384" s="1010"/>
      <c r="X384" s="1012"/>
      <c r="Y384" s="1010"/>
      <c r="Z384" s="262"/>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row>
    <row r="385" spans="1:47" ht="12.75" hidden="1">
      <c r="A385" s="110"/>
      <c r="B385" s="1009"/>
      <c r="C385" s="1010"/>
      <c r="D385" s="253"/>
      <c r="E385" s="1011"/>
      <c r="F385" s="262"/>
      <c r="G385" s="1011"/>
      <c r="H385" s="262"/>
      <c r="I385" s="1011"/>
      <c r="J385" s="262"/>
      <c r="K385" s="1011"/>
      <c r="L385" s="262"/>
      <c r="M385" s="1011"/>
      <c r="N385" s="262"/>
      <c r="O385" s="1011"/>
      <c r="P385" s="262"/>
      <c r="Q385" s="1011"/>
      <c r="R385" s="1012"/>
      <c r="S385" s="1011"/>
      <c r="T385" s="1012"/>
      <c r="U385" s="1010"/>
      <c r="V385" s="1012"/>
      <c r="W385" s="1010"/>
      <c r="X385" s="1012"/>
      <c r="Y385" s="1010"/>
      <c r="Z385" s="262"/>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row>
    <row r="386" spans="1:47" ht="12.75" hidden="1">
      <c r="A386" s="110"/>
      <c r="B386" s="1009"/>
      <c r="C386" s="1010"/>
      <c r="D386" s="253"/>
      <c r="E386" s="1011"/>
      <c r="F386" s="262"/>
      <c r="G386" s="1011"/>
      <c r="H386" s="262"/>
      <c r="I386" s="1011"/>
      <c r="J386" s="262"/>
      <c r="K386" s="1011"/>
      <c r="L386" s="262"/>
      <c r="M386" s="1011"/>
      <c r="N386" s="262"/>
      <c r="O386" s="1011"/>
      <c r="P386" s="262"/>
      <c r="Q386" s="1011"/>
      <c r="R386" s="1012"/>
      <c r="S386" s="1011"/>
      <c r="T386" s="1012"/>
      <c r="U386" s="1010"/>
      <c r="V386" s="1012"/>
      <c r="W386" s="1010"/>
      <c r="X386" s="1012"/>
      <c r="Y386" s="1010"/>
      <c r="Z386" s="262"/>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row>
    <row r="387" spans="1:47" ht="12.75" hidden="1">
      <c r="A387" s="110"/>
      <c r="B387" s="1009"/>
      <c r="C387" s="1010"/>
      <c r="D387" s="253"/>
      <c r="E387" s="1011"/>
      <c r="F387" s="262"/>
      <c r="G387" s="1011"/>
      <c r="H387" s="262"/>
      <c r="I387" s="1011"/>
      <c r="J387" s="262"/>
      <c r="K387" s="1011"/>
      <c r="L387" s="262"/>
      <c r="M387" s="1011"/>
      <c r="N387" s="262"/>
      <c r="O387" s="1011"/>
      <c r="P387" s="262"/>
      <c r="Q387" s="1011"/>
      <c r="R387" s="1012"/>
      <c r="S387" s="1011"/>
      <c r="T387" s="1012"/>
      <c r="U387" s="1010"/>
      <c r="V387" s="1012"/>
      <c r="W387" s="1010"/>
      <c r="X387" s="1012"/>
      <c r="Y387" s="1010"/>
      <c r="Z387" s="262"/>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row>
    <row r="388" spans="1:47" ht="12.75" hidden="1">
      <c r="A388" s="110"/>
      <c r="B388" s="1009"/>
      <c r="C388" s="1010"/>
      <c r="D388" s="253"/>
      <c r="E388" s="1011"/>
      <c r="F388" s="262"/>
      <c r="G388" s="1011"/>
      <c r="H388" s="262"/>
      <c r="I388" s="1011"/>
      <c r="J388" s="262"/>
      <c r="K388" s="1011"/>
      <c r="L388" s="262"/>
      <c r="M388" s="1011"/>
      <c r="N388" s="262"/>
      <c r="O388" s="1011"/>
      <c r="P388" s="262"/>
      <c r="Q388" s="1011"/>
      <c r="R388" s="1012"/>
      <c r="S388" s="1011"/>
      <c r="T388" s="1012"/>
      <c r="U388" s="1010"/>
      <c r="V388" s="1012"/>
      <c r="W388" s="1010"/>
      <c r="X388" s="1012"/>
      <c r="Y388" s="1010"/>
      <c r="Z388" s="262"/>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row>
    <row r="389" spans="1:47" ht="12.75" hidden="1">
      <c r="A389" s="110"/>
      <c r="B389" s="1009"/>
      <c r="C389" s="1010"/>
      <c r="D389" s="253"/>
      <c r="E389" s="1011"/>
      <c r="F389" s="262"/>
      <c r="G389" s="1011"/>
      <c r="H389" s="262"/>
      <c r="I389" s="1011"/>
      <c r="J389" s="262"/>
      <c r="K389" s="1011"/>
      <c r="L389" s="262"/>
      <c r="M389" s="1011"/>
      <c r="N389" s="262"/>
      <c r="O389" s="1011"/>
      <c r="P389" s="262"/>
      <c r="Q389" s="1011"/>
      <c r="R389" s="1012"/>
      <c r="S389" s="1011"/>
      <c r="T389" s="1012"/>
      <c r="U389" s="1010"/>
      <c r="V389" s="1012"/>
      <c r="W389" s="1010"/>
      <c r="X389" s="1012"/>
      <c r="Y389" s="1010"/>
      <c r="Z389" s="262"/>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row>
    <row r="390" spans="1:47" ht="12.75" hidden="1">
      <c r="A390" s="110"/>
      <c r="B390" s="1009"/>
      <c r="C390" s="1010"/>
      <c r="D390" s="253"/>
      <c r="E390" s="1011"/>
      <c r="F390" s="262"/>
      <c r="G390" s="1011"/>
      <c r="H390" s="262"/>
      <c r="I390" s="1011"/>
      <c r="J390" s="262"/>
      <c r="K390" s="1011"/>
      <c r="L390" s="262"/>
      <c r="M390" s="1011"/>
      <c r="N390" s="262"/>
      <c r="O390" s="1011"/>
      <c r="P390" s="262"/>
      <c r="Q390" s="1011"/>
      <c r="R390" s="1012"/>
      <c r="S390" s="1011"/>
      <c r="T390" s="1012"/>
      <c r="U390" s="1010"/>
      <c r="V390" s="1012"/>
      <c r="W390" s="1010"/>
      <c r="X390" s="1012"/>
      <c r="Y390" s="1010"/>
      <c r="Z390" s="262"/>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row>
    <row r="391" spans="1:47" ht="12.75" hidden="1">
      <c r="A391" s="110"/>
      <c r="B391" s="1009"/>
      <c r="C391" s="1010"/>
      <c r="D391" s="253"/>
      <c r="E391" s="1011"/>
      <c r="F391" s="262"/>
      <c r="G391" s="1011"/>
      <c r="H391" s="262"/>
      <c r="I391" s="1011"/>
      <c r="J391" s="262"/>
      <c r="K391" s="1011"/>
      <c r="L391" s="262"/>
      <c r="M391" s="1011"/>
      <c r="N391" s="262"/>
      <c r="O391" s="1011"/>
      <c r="P391" s="262"/>
      <c r="Q391" s="1011"/>
      <c r="R391" s="1012"/>
      <c r="S391" s="1011"/>
      <c r="T391" s="1012"/>
      <c r="U391" s="1010"/>
      <c r="V391" s="1012"/>
      <c r="W391" s="1010"/>
      <c r="X391" s="1012"/>
      <c r="Y391" s="1010"/>
      <c r="Z391" s="262"/>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row>
    <row r="392" spans="1:47" ht="12.75" hidden="1">
      <c r="A392" s="110"/>
      <c r="B392" s="1009"/>
      <c r="C392" s="1010"/>
      <c r="D392" s="253"/>
      <c r="E392" s="1011"/>
      <c r="F392" s="262"/>
      <c r="G392" s="1011"/>
      <c r="H392" s="262"/>
      <c r="I392" s="1011"/>
      <c r="J392" s="262"/>
      <c r="K392" s="1011"/>
      <c r="L392" s="262"/>
      <c r="M392" s="1011"/>
      <c r="N392" s="262"/>
      <c r="O392" s="1011"/>
      <c r="P392" s="262"/>
      <c r="Q392" s="1011"/>
      <c r="R392" s="1012"/>
      <c r="S392" s="1011"/>
      <c r="T392" s="1012"/>
      <c r="U392" s="1010"/>
      <c r="V392" s="1012"/>
      <c r="W392" s="1010"/>
      <c r="X392" s="1012"/>
      <c r="Y392" s="1010"/>
      <c r="Z392" s="262"/>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row>
    <row r="393" spans="1:47" ht="12.75" hidden="1">
      <c r="A393" s="110"/>
      <c r="B393" s="1009"/>
      <c r="C393" s="1010"/>
      <c r="D393" s="253"/>
      <c r="E393" s="1011"/>
      <c r="F393" s="262"/>
      <c r="G393" s="1011"/>
      <c r="H393" s="262"/>
      <c r="I393" s="1011"/>
      <c r="J393" s="262"/>
      <c r="K393" s="1011"/>
      <c r="L393" s="262"/>
      <c r="M393" s="1011"/>
      <c r="N393" s="262"/>
      <c r="O393" s="1011"/>
      <c r="P393" s="262"/>
      <c r="Q393" s="1011"/>
      <c r="R393" s="1012"/>
      <c r="S393" s="1011"/>
      <c r="T393" s="1012"/>
      <c r="U393" s="1010"/>
      <c r="V393" s="1012"/>
      <c r="W393" s="1010"/>
      <c r="X393" s="1012"/>
      <c r="Y393" s="1010"/>
      <c r="Z393" s="262"/>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row>
    <row r="394" spans="1:47" ht="12.75" hidden="1">
      <c r="A394" s="110"/>
      <c r="B394" s="1009"/>
      <c r="C394" s="1010"/>
      <c r="D394" s="253"/>
      <c r="E394" s="1011"/>
      <c r="F394" s="262"/>
      <c r="G394" s="1011"/>
      <c r="H394" s="262"/>
      <c r="I394" s="1011"/>
      <c r="J394" s="262"/>
      <c r="K394" s="1011"/>
      <c r="L394" s="262"/>
      <c r="M394" s="1011"/>
      <c r="N394" s="262"/>
      <c r="O394" s="1011"/>
      <c r="P394" s="262"/>
      <c r="Q394" s="1011"/>
      <c r="R394" s="1012"/>
      <c r="S394" s="1011"/>
      <c r="T394" s="1012"/>
      <c r="U394" s="1010"/>
      <c r="V394" s="1012"/>
      <c r="W394" s="1010"/>
      <c r="X394" s="1012"/>
      <c r="Y394" s="1010"/>
      <c r="Z394" s="262"/>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row>
    <row r="395" spans="1:47" ht="12.75" hidden="1">
      <c r="A395" s="110"/>
      <c r="B395" s="1009"/>
      <c r="C395" s="1010"/>
      <c r="D395" s="253"/>
      <c r="E395" s="1011"/>
      <c r="F395" s="262"/>
      <c r="G395" s="1011"/>
      <c r="H395" s="262"/>
      <c r="I395" s="1011"/>
      <c r="J395" s="262"/>
      <c r="K395" s="1011"/>
      <c r="L395" s="262"/>
      <c r="M395" s="1011"/>
      <c r="N395" s="262"/>
      <c r="O395" s="1011"/>
      <c r="P395" s="262"/>
      <c r="Q395" s="1011"/>
      <c r="R395" s="1012"/>
      <c r="S395" s="1011"/>
      <c r="T395" s="1012"/>
      <c r="U395" s="1010"/>
      <c r="V395" s="1012"/>
      <c r="W395" s="1010"/>
      <c r="X395" s="1012"/>
      <c r="Y395" s="1010"/>
      <c r="Z395" s="262"/>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row>
    <row r="396" spans="1:47" ht="12.75" hidden="1">
      <c r="A396" s="110"/>
      <c r="B396" s="1009"/>
      <c r="C396" s="1010"/>
      <c r="D396" s="253"/>
      <c r="E396" s="1011"/>
      <c r="F396" s="262"/>
      <c r="G396" s="1011"/>
      <c r="H396" s="262"/>
      <c r="I396" s="1011"/>
      <c r="J396" s="262"/>
      <c r="K396" s="1011"/>
      <c r="L396" s="262"/>
      <c r="M396" s="1011"/>
      <c r="N396" s="262"/>
      <c r="O396" s="1011"/>
      <c r="P396" s="262"/>
      <c r="Q396" s="1011"/>
      <c r="R396" s="1012"/>
      <c r="S396" s="1011"/>
      <c r="T396" s="1012"/>
      <c r="U396" s="1010"/>
      <c r="V396" s="1012"/>
      <c r="W396" s="1010"/>
      <c r="X396" s="1012"/>
      <c r="Y396" s="1010"/>
      <c r="Z396" s="262"/>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row>
    <row r="397" spans="1:47" ht="12.75" hidden="1">
      <c r="A397" s="110"/>
      <c r="B397" s="1009"/>
      <c r="C397" s="1010"/>
      <c r="D397" s="253"/>
      <c r="E397" s="1011"/>
      <c r="F397" s="262"/>
      <c r="G397" s="1011"/>
      <c r="H397" s="262"/>
      <c r="I397" s="1011"/>
      <c r="J397" s="262"/>
      <c r="K397" s="1011"/>
      <c r="L397" s="262"/>
      <c r="M397" s="1011"/>
      <c r="N397" s="262"/>
      <c r="O397" s="1011"/>
      <c r="P397" s="262"/>
      <c r="Q397" s="1011"/>
      <c r="R397" s="1012"/>
      <c r="S397" s="1011"/>
      <c r="T397" s="1012"/>
      <c r="U397" s="1010"/>
      <c r="V397" s="1012"/>
      <c r="W397" s="1010"/>
      <c r="X397" s="1012"/>
      <c r="Y397" s="1010"/>
      <c r="Z397" s="262"/>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row>
    <row r="398" spans="1:47" ht="12.75" hidden="1">
      <c r="A398" s="110"/>
      <c r="B398" s="1009"/>
      <c r="C398" s="1010"/>
      <c r="D398" s="253"/>
      <c r="E398" s="1011"/>
      <c r="F398" s="262"/>
      <c r="G398" s="1011"/>
      <c r="H398" s="262"/>
      <c r="I398" s="1011"/>
      <c r="J398" s="262"/>
      <c r="K398" s="1011"/>
      <c r="L398" s="262"/>
      <c r="M398" s="1011"/>
      <c r="N398" s="262"/>
      <c r="O398" s="1011"/>
      <c r="P398" s="262"/>
      <c r="Q398" s="1011"/>
      <c r="R398" s="1012"/>
      <c r="S398" s="1011"/>
      <c r="T398" s="1012"/>
      <c r="U398" s="1010"/>
      <c r="V398" s="1012"/>
      <c r="W398" s="1010"/>
      <c r="X398" s="1012"/>
      <c r="Y398" s="1010"/>
      <c r="Z398" s="262"/>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row>
    <row r="399" spans="1:47" ht="12.75" hidden="1">
      <c r="A399" s="110"/>
      <c r="B399" s="1009"/>
      <c r="C399" s="1010"/>
      <c r="D399" s="253"/>
      <c r="E399" s="1011"/>
      <c r="F399" s="262"/>
      <c r="G399" s="1011"/>
      <c r="H399" s="262"/>
      <c r="I399" s="1011"/>
      <c r="J399" s="262"/>
      <c r="K399" s="1011"/>
      <c r="L399" s="262"/>
      <c r="M399" s="1011"/>
      <c r="N399" s="262"/>
      <c r="O399" s="1011"/>
      <c r="P399" s="262"/>
      <c r="Q399" s="1011"/>
      <c r="R399" s="1012"/>
      <c r="S399" s="1011"/>
      <c r="T399" s="1012"/>
      <c r="U399" s="1010"/>
      <c r="V399" s="1012"/>
      <c r="W399" s="1010"/>
      <c r="X399" s="1012"/>
      <c r="Y399" s="1010"/>
      <c r="Z399" s="262"/>
      <c r="AA399" s="110"/>
      <c r="AB399" s="110"/>
      <c r="AC399" s="110"/>
      <c r="AD399" s="110"/>
      <c r="AE399" s="110"/>
      <c r="AF399" s="110"/>
      <c r="AG399" s="110"/>
      <c r="AH399" s="110"/>
      <c r="AI399" s="110"/>
      <c r="AJ399" s="110"/>
      <c r="AK399" s="110"/>
      <c r="AL399" s="110"/>
      <c r="AM399" s="110"/>
      <c r="AN399" s="110"/>
      <c r="AO399" s="110"/>
      <c r="AP399" s="110"/>
      <c r="AQ399" s="110"/>
      <c r="AR399" s="110"/>
      <c r="AS399" s="110"/>
      <c r="AT399" s="110"/>
      <c r="AU399" s="110"/>
    </row>
    <row r="400" spans="1:47" ht="12.75" hidden="1">
      <c r="A400" s="110"/>
      <c r="B400" s="1009"/>
      <c r="C400" s="1010"/>
      <c r="D400" s="253"/>
      <c r="E400" s="1011"/>
      <c r="F400" s="262"/>
      <c r="G400" s="1011"/>
      <c r="H400" s="262"/>
      <c r="I400" s="1011"/>
      <c r="J400" s="262"/>
      <c r="K400" s="1011"/>
      <c r="L400" s="262"/>
      <c r="M400" s="1011"/>
      <c r="N400" s="262"/>
      <c r="O400" s="1011"/>
      <c r="P400" s="262"/>
      <c r="Q400" s="1011"/>
      <c r="R400" s="1012"/>
      <c r="S400" s="1011"/>
      <c r="T400" s="1012"/>
      <c r="U400" s="1010"/>
      <c r="V400" s="1012"/>
      <c r="W400" s="1010"/>
      <c r="X400" s="1012"/>
      <c r="Y400" s="1010"/>
      <c r="Z400" s="262"/>
      <c r="AA400" s="110"/>
      <c r="AB400" s="110"/>
      <c r="AC400" s="110"/>
      <c r="AD400" s="110"/>
      <c r="AE400" s="110"/>
      <c r="AF400" s="110"/>
      <c r="AG400" s="110"/>
      <c r="AH400" s="110"/>
      <c r="AI400" s="110"/>
      <c r="AJ400" s="110"/>
      <c r="AK400" s="110"/>
      <c r="AL400" s="110"/>
      <c r="AM400" s="110"/>
      <c r="AN400" s="110"/>
      <c r="AO400" s="110"/>
      <c r="AP400" s="110"/>
      <c r="AQ400" s="110"/>
      <c r="AR400" s="110"/>
      <c r="AS400" s="110"/>
      <c r="AT400" s="110"/>
      <c r="AU400" s="110"/>
    </row>
    <row r="401" spans="1:47" ht="12.75" hidden="1">
      <c r="A401" s="110"/>
      <c r="B401" s="1009"/>
      <c r="C401" s="1010"/>
      <c r="D401" s="253"/>
      <c r="E401" s="1011"/>
      <c r="F401" s="262"/>
      <c r="G401" s="1011"/>
      <c r="H401" s="262"/>
      <c r="I401" s="1011"/>
      <c r="J401" s="262"/>
      <c r="K401" s="1011"/>
      <c r="L401" s="262"/>
      <c r="M401" s="1011"/>
      <c r="N401" s="262"/>
      <c r="O401" s="1011"/>
      <c r="P401" s="262"/>
      <c r="Q401" s="1011"/>
      <c r="R401" s="1012"/>
      <c r="S401" s="1011"/>
      <c r="T401" s="1012"/>
      <c r="U401" s="1010"/>
      <c r="V401" s="1012"/>
      <c r="W401" s="1010"/>
      <c r="X401" s="1012"/>
      <c r="Y401" s="1010"/>
      <c r="Z401" s="262"/>
      <c r="AA401" s="110"/>
      <c r="AB401" s="110"/>
      <c r="AC401" s="110"/>
      <c r="AD401" s="110"/>
      <c r="AE401" s="110"/>
      <c r="AF401" s="110"/>
      <c r="AG401" s="110"/>
      <c r="AH401" s="110"/>
      <c r="AI401" s="110"/>
      <c r="AJ401" s="110"/>
      <c r="AK401" s="110"/>
      <c r="AL401" s="110"/>
      <c r="AM401" s="110"/>
      <c r="AN401" s="110"/>
      <c r="AO401" s="110"/>
      <c r="AP401" s="110"/>
      <c r="AQ401" s="110"/>
      <c r="AR401" s="110"/>
      <c r="AS401" s="110"/>
      <c r="AT401" s="110"/>
      <c r="AU401" s="110"/>
    </row>
    <row r="402" spans="1:47" ht="12.75" hidden="1">
      <c r="A402" s="110"/>
      <c r="B402" s="1009"/>
      <c r="C402" s="1010"/>
      <c r="D402" s="253"/>
      <c r="E402" s="1011"/>
      <c r="F402" s="262"/>
      <c r="G402" s="1011"/>
      <c r="H402" s="262"/>
      <c r="I402" s="1011"/>
      <c r="J402" s="262"/>
      <c r="K402" s="1011"/>
      <c r="L402" s="262"/>
      <c r="M402" s="1011"/>
      <c r="N402" s="262"/>
      <c r="O402" s="1011"/>
      <c r="P402" s="262"/>
      <c r="Q402" s="1011"/>
      <c r="R402" s="1012"/>
      <c r="S402" s="1011"/>
      <c r="T402" s="1012"/>
      <c r="U402" s="1010"/>
      <c r="V402" s="1012"/>
      <c r="W402" s="1010"/>
      <c r="X402" s="1012"/>
      <c r="Y402" s="1010"/>
      <c r="Z402" s="262"/>
      <c r="AA402" s="110"/>
      <c r="AB402" s="110"/>
      <c r="AC402" s="110"/>
      <c r="AD402" s="110"/>
      <c r="AE402" s="110"/>
      <c r="AF402" s="110"/>
      <c r="AG402" s="110"/>
      <c r="AH402" s="110"/>
      <c r="AI402" s="110"/>
      <c r="AJ402" s="110"/>
      <c r="AK402" s="110"/>
      <c r="AL402" s="110"/>
      <c r="AM402" s="110"/>
      <c r="AN402" s="110"/>
      <c r="AO402" s="110"/>
      <c r="AP402" s="110"/>
      <c r="AQ402" s="110"/>
      <c r="AR402" s="110"/>
      <c r="AS402" s="110"/>
      <c r="AT402" s="110"/>
      <c r="AU402" s="110"/>
    </row>
    <row r="403" spans="1:47" ht="12.75" hidden="1">
      <c r="A403" s="110"/>
      <c r="B403" s="1009"/>
      <c r="C403" s="1010"/>
      <c r="D403" s="253"/>
      <c r="E403" s="1011"/>
      <c r="F403" s="262"/>
      <c r="G403" s="1011"/>
      <c r="H403" s="262"/>
      <c r="I403" s="1011"/>
      <c r="J403" s="262"/>
      <c r="K403" s="1011"/>
      <c r="L403" s="262"/>
      <c r="M403" s="1011"/>
      <c r="N403" s="262"/>
      <c r="O403" s="1011"/>
      <c r="P403" s="262"/>
      <c r="Q403" s="1011"/>
      <c r="R403" s="1012"/>
      <c r="S403" s="1011"/>
      <c r="T403" s="1012"/>
      <c r="U403" s="1010"/>
      <c r="V403" s="1012"/>
      <c r="W403" s="1010"/>
      <c r="X403" s="1012"/>
      <c r="Y403" s="1010"/>
      <c r="Z403" s="262"/>
      <c r="AA403" s="110"/>
      <c r="AB403" s="110"/>
      <c r="AC403" s="110"/>
      <c r="AD403" s="110"/>
      <c r="AE403" s="110"/>
      <c r="AF403" s="110"/>
      <c r="AG403" s="110"/>
      <c r="AH403" s="110"/>
      <c r="AI403" s="110"/>
      <c r="AJ403" s="110"/>
      <c r="AK403" s="110"/>
      <c r="AL403" s="110"/>
      <c r="AM403" s="110"/>
      <c r="AN403" s="110"/>
      <c r="AO403" s="110"/>
      <c r="AP403" s="110"/>
      <c r="AQ403" s="110"/>
      <c r="AR403" s="110"/>
      <c r="AS403" s="110"/>
      <c r="AT403" s="110"/>
      <c r="AU403" s="110"/>
    </row>
    <row r="404" spans="1:47" ht="12.75" hidden="1">
      <c r="A404" s="110"/>
      <c r="B404" s="1009"/>
      <c r="C404" s="1010"/>
      <c r="D404" s="253"/>
      <c r="E404" s="1011"/>
      <c r="F404" s="262"/>
      <c r="G404" s="1011"/>
      <c r="H404" s="262"/>
      <c r="I404" s="1011"/>
      <c r="J404" s="262"/>
      <c r="K404" s="1011"/>
      <c r="L404" s="262"/>
      <c r="M404" s="1011"/>
      <c r="N404" s="262"/>
      <c r="O404" s="1011"/>
      <c r="P404" s="262"/>
      <c r="Q404" s="1011"/>
      <c r="R404" s="1012"/>
      <c r="S404" s="1011"/>
      <c r="T404" s="1012"/>
      <c r="U404" s="1010"/>
      <c r="V404" s="1012"/>
      <c r="W404" s="1010"/>
      <c r="X404" s="1012"/>
      <c r="Y404" s="1010"/>
      <c r="Z404" s="262"/>
      <c r="AA404" s="110"/>
      <c r="AB404" s="110"/>
      <c r="AC404" s="110"/>
      <c r="AD404" s="110"/>
      <c r="AE404" s="110"/>
      <c r="AF404" s="110"/>
      <c r="AG404" s="110"/>
      <c r="AH404" s="110"/>
      <c r="AI404" s="110"/>
      <c r="AJ404" s="110"/>
      <c r="AK404" s="110"/>
      <c r="AL404" s="110"/>
      <c r="AM404" s="110"/>
      <c r="AN404" s="110"/>
      <c r="AO404" s="110"/>
      <c r="AP404" s="110"/>
      <c r="AQ404" s="110"/>
      <c r="AR404" s="110"/>
      <c r="AS404" s="110"/>
      <c r="AT404" s="110"/>
      <c r="AU404" s="110"/>
    </row>
    <row r="405" spans="1:47" ht="12.75" hidden="1">
      <c r="A405" s="110"/>
      <c r="B405" s="1009"/>
      <c r="C405" s="1010"/>
      <c r="D405" s="253"/>
      <c r="E405" s="1011"/>
      <c r="F405" s="262"/>
      <c r="G405" s="1011"/>
      <c r="H405" s="262"/>
      <c r="I405" s="1011"/>
      <c r="J405" s="262"/>
      <c r="K405" s="1011"/>
      <c r="L405" s="262"/>
      <c r="M405" s="1011"/>
      <c r="N405" s="262"/>
      <c r="O405" s="1011"/>
      <c r="P405" s="262"/>
      <c r="Q405" s="1011"/>
      <c r="R405" s="1012"/>
      <c r="S405" s="1011"/>
      <c r="T405" s="1012"/>
      <c r="U405" s="1010"/>
      <c r="V405" s="1012"/>
      <c r="W405" s="1010"/>
      <c r="X405" s="1012"/>
      <c r="Y405" s="1010"/>
      <c r="Z405" s="262"/>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row>
    <row r="406" spans="1:47" ht="12.75" hidden="1">
      <c r="A406" s="110"/>
      <c r="B406" s="1009"/>
      <c r="C406" s="1010"/>
      <c r="D406" s="253"/>
      <c r="E406" s="1011"/>
      <c r="F406" s="262"/>
      <c r="G406" s="1011"/>
      <c r="H406" s="262"/>
      <c r="I406" s="1011"/>
      <c r="J406" s="262"/>
      <c r="K406" s="1011"/>
      <c r="L406" s="262"/>
      <c r="M406" s="1011"/>
      <c r="N406" s="262"/>
      <c r="O406" s="1011"/>
      <c r="P406" s="262"/>
      <c r="Q406" s="1011"/>
      <c r="R406" s="1012"/>
      <c r="S406" s="1011"/>
      <c r="T406" s="1012"/>
      <c r="U406" s="1010"/>
      <c r="V406" s="1012"/>
      <c r="W406" s="1010"/>
      <c r="X406" s="1012"/>
      <c r="Y406" s="1010"/>
      <c r="Z406" s="262"/>
      <c r="AA406" s="110"/>
      <c r="AB406" s="110"/>
      <c r="AC406" s="110"/>
      <c r="AD406" s="110"/>
      <c r="AE406" s="110"/>
      <c r="AF406" s="110"/>
      <c r="AG406" s="110"/>
      <c r="AH406" s="110"/>
      <c r="AI406" s="110"/>
      <c r="AJ406" s="110"/>
      <c r="AK406" s="110"/>
      <c r="AL406" s="110"/>
      <c r="AM406" s="110"/>
      <c r="AN406" s="110"/>
      <c r="AO406" s="110"/>
      <c r="AP406" s="110"/>
      <c r="AQ406" s="110"/>
      <c r="AR406" s="110"/>
      <c r="AS406" s="110"/>
      <c r="AT406" s="110"/>
      <c r="AU406" s="110"/>
    </row>
    <row r="407" spans="1:47" ht="12.75" hidden="1">
      <c r="A407" s="110"/>
      <c r="B407" s="1009"/>
      <c r="C407" s="1010"/>
      <c r="D407" s="253"/>
      <c r="E407" s="1011"/>
      <c r="F407" s="262"/>
      <c r="G407" s="1011"/>
      <c r="H407" s="262"/>
      <c r="I407" s="1011"/>
      <c r="J407" s="262"/>
      <c r="K407" s="1011"/>
      <c r="L407" s="262"/>
      <c r="M407" s="1011"/>
      <c r="N407" s="262"/>
      <c r="O407" s="1011"/>
      <c r="P407" s="262"/>
      <c r="Q407" s="1011"/>
      <c r="R407" s="1012"/>
      <c r="S407" s="1011"/>
      <c r="T407" s="1012"/>
      <c r="U407" s="1010"/>
      <c r="V407" s="1012"/>
      <c r="W407" s="1010"/>
      <c r="X407" s="1012"/>
      <c r="Y407" s="1010"/>
      <c r="Z407" s="262"/>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row>
    <row r="408" spans="1:47" ht="12.75" hidden="1">
      <c r="A408" s="110"/>
      <c r="B408" s="1009"/>
      <c r="C408" s="1010"/>
      <c r="D408" s="253"/>
      <c r="E408" s="1011"/>
      <c r="F408" s="262"/>
      <c r="G408" s="1011"/>
      <c r="H408" s="262"/>
      <c r="I408" s="1011"/>
      <c r="J408" s="262"/>
      <c r="K408" s="1011"/>
      <c r="L408" s="262"/>
      <c r="M408" s="1011"/>
      <c r="N408" s="262"/>
      <c r="O408" s="1011"/>
      <c r="P408" s="262"/>
      <c r="Q408" s="1011"/>
      <c r="R408" s="1012"/>
      <c r="S408" s="1011"/>
      <c r="T408" s="1012"/>
      <c r="U408" s="1010"/>
      <c r="V408" s="1012"/>
      <c r="W408" s="1010"/>
      <c r="X408" s="1012"/>
      <c r="Y408" s="1010"/>
      <c r="Z408" s="262"/>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row>
    <row r="409" spans="1:47" ht="12.75" hidden="1">
      <c r="A409" s="110"/>
      <c r="B409" s="1009"/>
      <c r="C409" s="1010"/>
      <c r="D409" s="253"/>
      <c r="E409" s="1011"/>
      <c r="F409" s="262"/>
      <c r="G409" s="1011"/>
      <c r="H409" s="262"/>
      <c r="I409" s="1011"/>
      <c r="J409" s="262"/>
      <c r="K409" s="1011"/>
      <c r="L409" s="262"/>
      <c r="M409" s="1011"/>
      <c r="N409" s="262"/>
      <c r="O409" s="1011"/>
      <c r="P409" s="262"/>
      <c r="Q409" s="1011"/>
      <c r="R409" s="1012"/>
      <c r="S409" s="1011"/>
      <c r="T409" s="1012"/>
      <c r="U409" s="1010"/>
      <c r="V409" s="1012"/>
      <c r="W409" s="1010"/>
      <c r="X409" s="1012"/>
      <c r="Y409" s="1010"/>
      <c r="Z409" s="262"/>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row>
    <row r="410" spans="1:47" ht="12.75" hidden="1">
      <c r="A410" s="110"/>
      <c r="B410" s="1009"/>
      <c r="C410" s="1010"/>
      <c r="D410" s="253"/>
      <c r="E410" s="1011"/>
      <c r="F410" s="262"/>
      <c r="G410" s="1011"/>
      <c r="H410" s="262"/>
      <c r="I410" s="1011"/>
      <c r="J410" s="262"/>
      <c r="K410" s="1011"/>
      <c r="L410" s="262"/>
      <c r="M410" s="1011"/>
      <c r="N410" s="262"/>
      <c r="O410" s="1011"/>
      <c r="P410" s="262"/>
      <c r="Q410" s="1011"/>
      <c r="R410" s="1012"/>
      <c r="S410" s="1011"/>
      <c r="T410" s="1012"/>
      <c r="U410" s="1010"/>
      <c r="V410" s="1012"/>
      <c r="W410" s="1010"/>
      <c r="X410" s="1012"/>
      <c r="Y410" s="1010"/>
      <c r="Z410" s="262"/>
      <c r="AA410" s="110"/>
      <c r="AB410" s="110"/>
      <c r="AC410" s="110"/>
      <c r="AD410" s="110"/>
      <c r="AE410" s="110"/>
      <c r="AF410" s="110"/>
      <c r="AG410" s="110"/>
      <c r="AH410" s="110"/>
      <c r="AI410" s="110"/>
      <c r="AJ410" s="110"/>
      <c r="AK410" s="110"/>
      <c r="AL410" s="110"/>
      <c r="AM410" s="110"/>
      <c r="AN410" s="110"/>
      <c r="AO410" s="110"/>
      <c r="AP410" s="110"/>
      <c r="AQ410" s="110"/>
      <c r="AR410" s="110"/>
      <c r="AS410" s="110"/>
      <c r="AT410" s="110"/>
      <c r="AU410" s="110"/>
    </row>
    <row r="411" spans="1:47" ht="12.75" hidden="1">
      <c r="A411" s="110"/>
      <c r="B411" s="1009"/>
      <c r="C411" s="1010"/>
      <c r="D411" s="253"/>
      <c r="E411" s="1011"/>
      <c r="F411" s="262"/>
      <c r="G411" s="1011"/>
      <c r="H411" s="262"/>
      <c r="I411" s="1011"/>
      <c r="J411" s="262"/>
      <c r="K411" s="1011"/>
      <c r="L411" s="262"/>
      <c r="M411" s="1011"/>
      <c r="N411" s="262"/>
      <c r="O411" s="1011"/>
      <c r="P411" s="262"/>
      <c r="Q411" s="1011"/>
      <c r="R411" s="1012"/>
      <c r="S411" s="1011"/>
      <c r="T411" s="1012"/>
      <c r="U411" s="1010"/>
      <c r="V411" s="1012"/>
      <c r="W411" s="1010"/>
      <c r="X411" s="1012"/>
      <c r="Y411" s="1010"/>
      <c r="Z411" s="262"/>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row>
    <row r="412" spans="1:47" ht="12.75" hidden="1">
      <c r="A412" s="110"/>
      <c r="B412" s="1009"/>
      <c r="C412" s="1010"/>
      <c r="D412" s="253"/>
      <c r="E412" s="1011"/>
      <c r="F412" s="262"/>
      <c r="G412" s="1011"/>
      <c r="H412" s="262"/>
      <c r="I412" s="1011"/>
      <c r="J412" s="262"/>
      <c r="K412" s="1011"/>
      <c r="L412" s="262"/>
      <c r="M412" s="1011"/>
      <c r="N412" s="262"/>
      <c r="O412" s="1011"/>
      <c r="P412" s="262"/>
      <c r="Q412" s="1011"/>
      <c r="R412" s="1012"/>
      <c r="S412" s="1011"/>
      <c r="T412" s="1012"/>
      <c r="U412" s="1010"/>
      <c r="V412" s="1012"/>
      <c r="W412" s="1010"/>
      <c r="X412" s="1012"/>
      <c r="Y412" s="1010"/>
      <c r="Z412" s="262"/>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row>
    <row r="413" spans="1:47" ht="12.75" hidden="1">
      <c r="A413" s="110"/>
      <c r="B413" s="1009"/>
      <c r="C413" s="1010"/>
      <c r="D413" s="253"/>
      <c r="E413" s="1011"/>
      <c r="F413" s="262"/>
      <c r="G413" s="1011"/>
      <c r="H413" s="262"/>
      <c r="I413" s="1011"/>
      <c r="J413" s="262"/>
      <c r="K413" s="1011"/>
      <c r="L413" s="262"/>
      <c r="M413" s="1011"/>
      <c r="N413" s="262"/>
      <c r="O413" s="1011"/>
      <c r="P413" s="262"/>
      <c r="Q413" s="1011"/>
      <c r="R413" s="1012"/>
      <c r="S413" s="1011"/>
      <c r="T413" s="1012"/>
      <c r="U413" s="1010"/>
      <c r="V413" s="1012"/>
      <c r="W413" s="1010"/>
      <c r="X413" s="1012"/>
      <c r="Y413" s="1010"/>
      <c r="Z413" s="262"/>
      <c r="AA413" s="110"/>
      <c r="AB413" s="110"/>
      <c r="AC413" s="110"/>
      <c r="AD413" s="110"/>
      <c r="AE413" s="110"/>
      <c r="AF413" s="110"/>
      <c r="AG413" s="110"/>
      <c r="AH413" s="110"/>
      <c r="AI413" s="110"/>
      <c r="AJ413" s="110"/>
      <c r="AK413" s="110"/>
      <c r="AL413" s="110"/>
      <c r="AM413" s="110"/>
      <c r="AN413" s="110"/>
      <c r="AO413" s="110"/>
      <c r="AP413" s="110"/>
      <c r="AQ413" s="110"/>
      <c r="AR413" s="110"/>
      <c r="AS413" s="110"/>
      <c r="AT413" s="110"/>
      <c r="AU413" s="110"/>
    </row>
    <row r="414" spans="1:47" ht="12.75" hidden="1">
      <c r="A414" s="110"/>
      <c r="B414" s="1009"/>
      <c r="C414" s="1010"/>
      <c r="D414" s="253"/>
      <c r="E414" s="1011"/>
      <c r="F414" s="262"/>
      <c r="G414" s="1011"/>
      <c r="H414" s="262"/>
      <c r="I414" s="1011"/>
      <c r="J414" s="262"/>
      <c r="K414" s="1011"/>
      <c r="L414" s="262"/>
      <c r="M414" s="1011"/>
      <c r="N414" s="262"/>
      <c r="O414" s="1011"/>
      <c r="P414" s="262"/>
      <c r="Q414" s="1011"/>
      <c r="R414" s="1012"/>
      <c r="S414" s="1011"/>
      <c r="T414" s="1012"/>
      <c r="U414" s="1010"/>
      <c r="V414" s="1012"/>
      <c r="W414" s="1010"/>
      <c r="X414" s="1012"/>
      <c r="Y414" s="1010"/>
      <c r="Z414" s="262"/>
      <c r="AA414" s="110"/>
      <c r="AB414" s="110"/>
      <c r="AC414" s="110"/>
      <c r="AD414" s="110"/>
      <c r="AE414" s="110"/>
      <c r="AF414" s="110"/>
      <c r="AG414" s="110"/>
      <c r="AH414" s="110"/>
      <c r="AI414" s="110"/>
      <c r="AJ414" s="110"/>
      <c r="AK414" s="110"/>
      <c r="AL414" s="110"/>
      <c r="AM414" s="110"/>
      <c r="AN414" s="110"/>
      <c r="AO414" s="110"/>
      <c r="AP414" s="110"/>
      <c r="AQ414" s="110"/>
      <c r="AR414" s="110"/>
      <c r="AS414" s="110"/>
      <c r="AT414" s="110"/>
      <c r="AU414" s="110"/>
    </row>
    <row r="415" spans="1:47" ht="12.75" hidden="1">
      <c r="A415" s="110"/>
      <c r="B415" s="1009"/>
      <c r="C415" s="1010"/>
      <c r="D415" s="253"/>
      <c r="E415" s="1011"/>
      <c r="F415" s="262"/>
      <c r="G415" s="1011"/>
      <c r="H415" s="262"/>
      <c r="I415" s="1011"/>
      <c r="J415" s="262"/>
      <c r="K415" s="1011"/>
      <c r="L415" s="262"/>
      <c r="M415" s="1011"/>
      <c r="N415" s="262"/>
      <c r="O415" s="1011"/>
      <c r="P415" s="262"/>
      <c r="Q415" s="1011"/>
      <c r="R415" s="1012"/>
      <c r="S415" s="1011"/>
      <c r="T415" s="1012"/>
      <c r="U415" s="1010"/>
      <c r="V415" s="1012"/>
      <c r="W415" s="1010"/>
      <c r="X415" s="1012"/>
      <c r="Y415" s="1010"/>
      <c r="Z415" s="262"/>
      <c r="AA415" s="110"/>
      <c r="AB415" s="110"/>
      <c r="AC415" s="110"/>
      <c r="AD415" s="110"/>
      <c r="AE415" s="110"/>
      <c r="AF415" s="110"/>
      <c r="AG415" s="110"/>
      <c r="AH415" s="110"/>
      <c r="AI415" s="110"/>
      <c r="AJ415" s="110"/>
      <c r="AK415" s="110"/>
      <c r="AL415" s="110"/>
      <c r="AM415" s="110"/>
      <c r="AN415" s="110"/>
      <c r="AO415" s="110"/>
      <c r="AP415" s="110"/>
      <c r="AQ415" s="110"/>
      <c r="AR415" s="110"/>
      <c r="AS415" s="110"/>
      <c r="AT415" s="110"/>
      <c r="AU415" s="110"/>
    </row>
    <row r="416" spans="1:47" ht="12.75" hidden="1">
      <c r="A416" s="110"/>
      <c r="B416" s="1009"/>
      <c r="C416" s="1010"/>
      <c r="D416" s="253"/>
      <c r="E416" s="1011"/>
      <c r="F416" s="262"/>
      <c r="G416" s="1011"/>
      <c r="H416" s="262"/>
      <c r="I416" s="1011"/>
      <c r="J416" s="262"/>
      <c r="K416" s="1011"/>
      <c r="L416" s="262"/>
      <c r="M416" s="1011"/>
      <c r="N416" s="262"/>
      <c r="O416" s="1011"/>
      <c r="P416" s="262"/>
      <c r="Q416" s="1011"/>
      <c r="R416" s="1012"/>
      <c r="S416" s="1011"/>
      <c r="T416" s="1012"/>
      <c r="U416" s="1010"/>
      <c r="V416" s="1012"/>
      <c r="W416" s="1010"/>
      <c r="X416" s="1012"/>
      <c r="Y416" s="1010"/>
      <c r="Z416" s="262"/>
      <c r="AA416" s="110"/>
      <c r="AB416" s="110"/>
      <c r="AC416" s="110"/>
      <c r="AD416" s="110"/>
      <c r="AE416" s="110"/>
      <c r="AF416" s="110"/>
      <c r="AG416" s="110"/>
      <c r="AH416" s="110"/>
      <c r="AI416" s="110"/>
      <c r="AJ416" s="110"/>
      <c r="AK416" s="110"/>
      <c r="AL416" s="110"/>
      <c r="AM416" s="110"/>
      <c r="AN416" s="110"/>
      <c r="AO416" s="110"/>
      <c r="AP416" s="110"/>
      <c r="AQ416" s="110"/>
      <c r="AR416" s="110"/>
      <c r="AS416" s="110"/>
      <c r="AT416" s="110"/>
      <c r="AU416" s="110"/>
    </row>
    <row r="417" spans="1:47" ht="12.75" hidden="1">
      <c r="A417" s="110"/>
      <c r="B417" s="1009"/>
      <c r="C417" s="1010"/>
      <c r="D417" s="253"/>
      <c r="E417" s="1011"/>
      <c r="F417" s="262"/>
      <c r="G417" s="1011"/>
      <c r="H417" s="262"/>
      <c r="I417" s="1011"/>
      <c r="J417" s="262"/>
      <c r="K417" s="1011"/>
      <c r="L417" s="262"/>
      <c r="M417" s="1011"/>
      <c r="N417" s="262"/>
      <c r="O417" s="1011"/>
      <c r="P417" s="262"/>
      <c r="Q417" s="1011"/>
      <c r="R417" s="1012"/>
      <c r="S417" s="1011"/>
      <c r="T417" s="1012"/>
      <c r="U417" s="1010"/>
      <c r="V417" s="1012"/>
      <c r="W417" s="1010"/>
      <c r="X417" s="1012"/>
      <c r="Y417" s="1010"/>
      <c r="Z417" s="262"/>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row>
    <row r="418" spans="1:47" ht="12.75" hidden="1">
      <c r="A418" s="110"/>
      <c r="B418" s="1009"/>
      <c r="C418" s="1010"/>
      <c r="D418" s="253"/>
      <c r="E418" s="1011"/>
      <c r="F418" s="262"/>
      <c r="G418" s="1011"/>
      <c r="H418" s="262"/>
      <c r="I418" s="1011"/>
      <c r="J418" s="262"/>
      <c r="K418" s="1011"/>
      <c r="L418" s="262"/>
      <c r="M418" s="1011"/>
      <c r="N418" s="262"/>
      <c r="O418" s="1011"/>
      <c r="P418" s="262"/>
      <c r="Q418" s="1011"/>
      <c r="R418" s="1012"/>
      <c r="S418" s="1011"/>
      <c r="T418" s="1012"/>
      <c r="U418" s="1010"/>
      <c r="V418" s="1012"/>
      <c r="W418" s="1010"/>
      <c r="X418" s="1012"/>
      <c r="Y418" s="1010"/>
      <c r="Z418" s="262"/>
      <c r="AA418" s="110"/>
      <c r="AB418" s="110"/>
      <c r="AC418" s="110"/>
      <c r="AD418" s="110"/>
      <c r="AE418" s="110"/>
      <c r="AF418" s="110"/>
      <c r="AG418" s="110"/>
      <c r="AH418" s="110"/>
      <c r="AI418" s="110"/>
      <c r="AJ418" s="110"/>
      <c r="AK418" s="110"/>
      <c r="AL418" s="110"/>
      <c r="AM418" s="110"/>
      <c r="AN418" s="110"/>
      <c r="AO418" s="110"/>
      <c r="AP418" s="110"/>
      <c r="AQ418" s="110"/>
      <c r="AR418" s="110"/>
      <c r="AS418" s="110"/>
      <c r="AT418" s="110"/>
      <c r="AU418" s="110"/>
    </row>
    <row r="419" spans="1:47" ht="12.75" hidden="1">
      <c r="A419" s="110"/>
      <c r="B419" s="1009"/>
      <c r="C419" s="1010"/>
      <c r="D419" s="253"/>
      <c r="E419" s="1011"/>
      <c r="F419" s="262"/>
      <c r="G419" s="1011"/>
      <c r="H419" s="262"/>
      <c r="I419" s="1011"/>
      <c r="J419" s="262"/>
      <c r="K419" s="1011"/>
      <c r="L419" s="262"/>
      <c r="M419" s="1011"/>
      <c r="N419" s="262"/>
      <c r="O419" s="1011"/>
      <c r="P419" s="262"/>
      <c r="Q419" s="1011"/>
      <c r="R419" s="1012"/>
      <c r="S419" s="1011"/>
      <c r="T419" s="1012"/>
      <c r="U419" s="1010"/>
      <c r="V419" s="1012"/>
      <c r="W419" s="1010"/>
      <c r="X419" s="1012"/>
      <c r="Y419" s="1010"/>
      <c r="Z419" s="262"/>
      <c r="AA419" s="110"/>
      <c r="AB419" s="110"/>
      <c r="AC419" s="110"/>
      <c r="AD419" s="110"/>
      <c r="AE419" s="110"/>
      <c r="AF419" s="110"/>
      <c r="AG419" s="110"/>
      <c r="AH419" s="110"/>
      <c r="AI419" s="110"/>
      <c r="AJ419" s="110"/>
      <c r="AK419" s="110"/>
      <c r="AL419" s="110"/>
      <c r="AM419" s="110"/>
      <c r="AN419" s="110"/>
      <c r="AO419" s="110"/>
      <c r="AP419" s="110"/>
      <c r="AQ419" s="110"/>
      <c r="AR419" s="110"/>
      <c r="AS419" s="110"/>
      <c r="AT419" s="110"/>
      <c r="AU419" s="110"/>
    </row>
    <row r="420" spans="1:47" ht="12.75" hidden="1">
      <c r="A420" s="110"/>
      <c r="B420" s="1009"/>
      <c r="C420" s="1010"/>
      <c r="D420" s="253"/>
      <c r="E420" s="1011"/>
      <c r="F420" s="262"/>
      <c r="G420" s="1011"/>
      <c r="H420" s="262"/>
      <c r="I420" s="1011"/>
      <c r="J420" s="262"/>
      <c r="K420" s="1011"/>
      <c r="L420" s="262"/>
      <c r="M420" s="1011"/>
      <c r="N420" s="262"/>
      <c r="O420" s="1011"/>
      <c r="P420" s="262"/>
      <c r="Q420" s="1011"/>
      <c r="R420" s="1012"/>
      <c r="S420" s="1011"/>
      <c r="T420" s="1012"/>
      <c r="U420" s="1010"/>
      <c r="V420" s="1012"/>
      <c r="W420" s="1010"/>
      <c r="X420" s="1012"/>
      <c r="Y420" s="1010"/>
      <c r="Z420" s="262"/>
      <c r="AA420" s="110"/>
      <c r="AB420" s="110"/>
      <c r="AC420" s="110"/>
      <c r="AD420" s="110"/>
      <c r="AE420" s="110"/>
      <c r="AF420" s="110"/>
      <c r="AG420" s="110"/>
      <c r="AH420" s="110"/>
      <c r="AI420" s="110"/>
      <c r="AJ420" s="110"/>
      <c r="AK420" s="110"/>
      <c r="AL420" s="110"/>
      <c r="AM420" s="110"/>
      <c r="AN420" s="110"/>
      <c r="AO420" s="110"/>
      <c r="AP420" s="110"/>
      <c r="AQ420" s="110"/>
      <c r="AR420" s="110"/>
      <c r="AS420" s="110"/>
      <c r="AT420" s="110"/>
      <c r="AU420" s="110"/>
    </row>
    <row r="421" spans="1:47" ht="12.75" hidden="1">
      <c r="A421" s="110"/>
      <c r="B421" s="1009"/>
      <c r="C421" s="1010"/>
      <c r="D421" s="253"/>
      <c r="E421" s="1011"/>
      <c r="F421" s="262"/>
      <c r="G421" s="1011"/>
      <c r="H421" s="262"/>
      <c r="I421" s="1011"/>
      <c r="J421" s="262"/>
      <c r="K421" s="1011"/>
      <c r="L421" s="262"/>
      <c r="M421" s="1011"/>
      <c r="N421" s="262"/>
      <c r="O421" s="1011"/>
      <c r="P421" s="262"/>
      <c r="Q421" s="1011"/>
      <c r="R421" s="1012"/>
      <c r="S421" s="1011"/>
      <c r="T421" s="1012"/>
      <c r="U421" s="1010"/>
      <c r="V421" s="1012"/>
      <c r="W421" s="1010"/>
      <c r="X421" s="1012"/>
      <c r="Y421" s="1010"/>
      <c r="Z421" s="262"/>
      <c r="AA421" s="110"/>
      <c r="AB421" s="110"/>
      <c r="AC421" s="110"/>
      <c r="AD421" s="110"/>
      <c r="AE421" s="110"/>
      <c r="AF421" s="110"/>
      <c r="AG421" s="110"/>
      <c r="AH421" s="110"/>
      <c r="AI421" s="110"/>
      <c r="AJ421" s="110"/>
      <c r="AK421" s="110"/>
      <c r="AL421" s="110"/>
      <c r="AM421" s="110"/>
      <c r="AN421" s="110"/>
      <c r="AO421" s="110"/>
      <c r="AP421" s="110"/>
      <c r="AQ421" s="110"/>
      <c r="AR421" s="110"/>
      <c r="AS421" s="110"/>
      <c r="AT421" s="110"/>
      <c r="AU421" s="110"/>
    </row>
    <row r="422" spans="1:47" ht="12.75" hidden="1">
      <c r="A422" s="110"/>
      <c r="B422" s="1009"/>
      <c r="C422" s="1010"/>
      <c r="D422" s="253"/>
      <c r="E422" s="1011"/>
      <c r="F422" s="262"/>
      <c r="G422" s="1011"/>
      <c r="H422" s="262"/>
      <c r="I422" s="1011"/>
      <c r="J422" s="262"/>
      <c r="K422" s="1011"/>
      <c r="L422" s="262"/>
      <c r="M422" s="1011"/>
      <c r="N422" s="262"/>
      <c r="O422" s="1011"/>
      <c r="P422" s="262"/>
      <c r="Q422" s="1011"/>
      <c r="R422" s="1012"/>
      <c r="S422" s="1011"/>
      <c r="T422" s="1012"/>
      <c r="U422" s="1010"/>
      <c r="V422" s="1012"/>
      <c r="W422" s="1010"/>
      <c r="X422" s="1012"/>
      <c r="Y422" s="1010"/>
      <c r="Z422" s="262"/>
      <c r="AA422" s="110"/>
      <c r="AB422" s="110"/>
      <c r="AC422" s="110"/>
      <c r="AD422" s="110"/>
      <c r="AE422" s="110"/>
      <c r="AF422" s="110"/>
      <c r="AG422" s="110"/>
      <c r="AH422" s="110"/>
      <c r="AI422" s="110"/>
      <c r="AJ422" s="110"/>
      <c r="AK422" s="110"/>
      <c r="AL422" s="110"/>
      <c r="AM422" s="110"/>
      <c r="AN422" s="110"/>
      <c r="AO422" s="110"/>
      <c r="AP422" s="110"/>
      <c r="AQ422" s="110"/>
      <c r="AR422" s="110"/>
      <c r="AS422" s="110"/>
      <c r="AT422" s="110"/>
      <c r="AU422" s="110"/>
    </row>
    <row r="423" spans="1:47" ht="12.75" hidden="1">
      <c r="A423" s="110"/>
      <c r="B423" s="1009"/>
      <c r="C423" s="1010"/>
      <c r="D423" s="253"/>
      <c r="E423" s="1011"/>
      <c r="F423" s="262"/>
      <c r="G423" s="1011"/>
      <c r="H423" s="262"/>
      <c r="I423" s="1011"/>
      <c r="J423" s="262"/>
      <c r="K423" s="1011"/>
      <c r="L423" s="262"/>
      <c r="M423" s="1011"/>
      <c r="N423" s="262"/>
      <c r="O423" s="1011"/>
      <c r="P423" s="262"/>
      <c r="Q423" s="1011"/>
      <c r="R423" s="1012"/>
      <c r="S423" s="1011"/>
      <c r="T423" s="1012"/>
      <c r="U423" s="1010"/>
      <c r="V423" s="1012"/>
      <c r="W423" s="1010"/>
      <c r="X423" s="1012"/>
      <c r="Y423" s="1010"/>
      <c r="Z423" s="262"/>
      <c r="AA423" s="110"/>
      <c r="AB423" s="110"/>
      <c r="AC423" s="110"/>
      <c r="AD423" s="110"/>
      <c r="AE423" s="110"/>
      <c r="AF423" s="110"/>
      <c r="AG423" s="110"/>
      <c r="AH423" s="110"/>
      <c r="AI423" s="110"/>
      <c r="AJ423" s="110"/>
      <c r="AK423" s="110"/>
      <c r="AL423" s="110"/>
      <c r="AM423" s="110"/>
      <c r="AN423" s="110"/>
      <c r="AO423" s="110"/>
      <c r="AP423" s="110"/>
      <c r="AQ423" s="110"/>
      <c r="AR423" s="110"/>
      <c r="AS423" s="110"/>
      <c r="AT423" s="110"/>
      <c r="AU423" s="110"/>
    </row>
    <row r="424" spans="1:47" ht="12.75" hidden="1">
      <c r="A424" s="110"/>
      <c r="B424" s="1009"/>
      <c r="C424" s="1010"/>
      <c r="D424" s="253"/>
      <c r="E424" s="1011"/>
      <c r="F424" s="262"/>
      <c r="G424" s="1011"/>
      <c r="H424" s="262"/>
      <c r="I424" s="1011"/>
      <c r="J424" s="262"/>
      <c r="K424" s="1011"/>
      <c r="L424" s="262"/>
      <c r="M424" s="1011"/>
      <c r="N424" s="262"/>
      <c r="O424" s="1011"/>
      <c r="P424" s="262"/>
      <c r="Q424" s="1011"/>
      <c r="R424" s="1012"/>
      <c r="S424" s="1011"/>
      <c r="T424" s="1012"/>
      <c r="U424" s="1010"/>
      <c r="V424" s="1012"/>
      <c r="W424" s="1010"/>
      <c r="X424" s="1012"/>
      <c r="Y424" s="1010"/>
      <c r="Z424" s="262"/>
      <c r="AA424" s="110"/>
      <c r="AB424" s="110"/>
      <c r="AC424" s="110"/>
      <c r="AD424" s="110"/>
      <c r="AE424" s="110"/>
      <c r="AF424" s="110"/>
      <c r="AG424" s="110"/>
      <c r="AH424" s="110"/>
      <c r="AI424" s="110"/>
      <c r="AJ424" s="110"/>
      <c r="AK424" s="110"/>
      <c r="AL424" s="110"/>
      <c r="AM424" s="110"/>
      <c r="AN424" s="110"/>
      <c r="AO424" s="110"/>
      <c r="AP424" s="110"/>
      <c r="AQ424" s="110"/>
      <c r="AR424" s="110"/>
      <c r="AS424" s="110"/>
      <c r="AT424" s="110"/>
      <c r="AU424" s="110"/>
    </row>
    <row r="425" spans="1:47" ht="12.75" hidden="1">
      <c r="A425" s="110"/>
      <c r="B425" s="1009"/>
      <c r="C425" s="1010"/>
      <c r="D425" s="253"/>
      <c r="E425" s="1011"/>
      <c r="F425" s="262"/>
      <c r="G425" s="1011"/>
      <c r="H425" s="262"/>
      <c r="I425" s="1011"/>
      <c r="J425" s="262"/>
      <c r="K425" s="1011"/>
      <c r="L425" s="262"/>
      <c r="M425" s="1011"/>
      <c r="N425" s="262"/>
      <c r="O425" s="1011"/>
      <c r="P425" s="262"/>
      <c r="Q425" s="1011"/>
      <c r="R425" s="1012"/>
      <c r="S425" s="1011"/>
      <c r="T425" s="1012"/>
      <c r="U425" s="1010"/>
      <c r="V425" s="1012"/>
      <c r="W425" s="1010"/>
      <c r="X425" s="1012"/>
      <c r="Y425" s="1010"/>
      <c r="Z425" s="262"/>
      <c r="AA425" s="110"/>
      <c r="AB425" s="110"/>
      <c r="AC425" s="110"/>
      <c r="AD425" s="110"/>
      <c r="AE425" s="110"/>
      <c r="AF425" s="110"/>
      <c r="AG425" s="110"/>
      <c r="AH425" s="110"/>
      <c r="AI425" s="110"/>
      <c r="AJ425" s="110"/>
      <c r="AK425" s="110"/>
      <c r="AL425" s="110"/>
      <c r="AM425" s="110"/>
      <c r="AN425" s="110"/>
      <c r="AO425" s="110"/>
      <c r="AP425" s="110"/>
      <c r="AQ425" s="110"/>
      <c r="AR425" s="110"/>
      <c r="AS425" s="110"/>
      <c r="AT425" s="110"/>
      <c r="AU425" s="110"/>
    </row>
    <row r="426" spans="1:47" ht="12.75" hidden="1">
      <c r="A426" s="110"/>
      <c r="B426" s="1009"/>
      <c r="C426" s="1010"/>
      <c r="D426" s="253"/>
      <c r="E426" s="1011"/>
      <c r="F426" s="262"/>
      <c r="G426" s="1011"/>
      <c r="H426" s="262"/>
      <c r="I426" s="1011"/>
      <c r="J426" s="262"/>
      <c r="K426" s="1011"/>
      <c r="L426" s="262"/>
      <c r="M426" s="1011"/>
      <c r="N426" s="262"/>
      <c r="O426" s="1011"/>
      <c r="P426" s="262"/>
      <c r="Q426" s="1011"/>
      <c r="R426" s="1012"/>
      <c r="S426" s="1011"/>
      <c r="T426" s="1012"/>
      <c r="U426" s="1010"/>
      <c r="V426" s="1012"/>
      <c r="W426" s="1010"/>
      <c r="X426" s="1012"/>
      <c r="Y426" s="1010"/>
      <c r="Z426" s="262"/>
      <c r="AA426" s="110"/>
      <c r="AB426" s="110"/>
      <c r="AC426" s="110"/>
      <c r="AD426" s="110"/>
      <c r="AE426" s="110"/>
      <c r="AF426" s="110"/>
      <c r="AG426" s="110"/>
      <c r="AH426" s="110"/>
      <c r="AI426" s="110"/>
      <c r="AJ426" s="110"/>
      <c r="AK426" s="110"/>
      <c r="AL426" s="110"/>
      <c r="AM426" s="110"/>
      <c r="AN426" s="110"/>
      <c r="AO426" s="110"/>
      <c r="AP426" s="110"/>
      <c r="AQ426" s="110"/>
      <c r="AR426" s="110"/>
      <c r="AS426" s="110"/>
      <c r="AT426" s="110"/>
      <c r="AU426" s="110"/>
    </row>
    <row r="427" spans="1:47" ht="12.75" hidden="1">
      <c r="A427" s="110"/>
      <c r="B427" s="1009"/>
      <c r="C427" s="1010"/>
      <c r="D427" s="253"/>
      <c r="E427" s="1011"/>
      <c r="F427" s="262"/>
      <c r="G427" s="1011"/>
      <c r="H427" s="262"/>
      <c r="I427" s="1011"/>
      <c r="J427" s="262"/>
      <c r="K427" s="1011"/>
      <c r="L427" s="262"/>
      <c r="M427" s="1011"/>
      <c r="N427" s="262"/>
      <c r="O427" s="1011"/>
      <c r="P427" s="262"/>
      <c r="Q427" s="1011"/>
      <c r="R427" s="1012"/>
      <c r="S427" s="1011"/>
      <c r="T427" s="1012"/>
      <c r="U427" s="1010"/>
      <c r="V427" s="1012"/>
      <c r="W427" s="1010"/>
      <c r="X427" s="1012"/>
      <c r="Y427" s="1010"/>
      <c r="Z427" s="262"/>
      <c r="AA427" s="110"/>
      <c r="AB427" s="110"/>
      <c r="AC427" s="110"/>
      <c r="AD427" s="110"/>
      <c r="AE427" s="110"/>
      <c r="AF427" s="110"/>
      <c r="AG427" s="110"/>
      <c r="AH427" s="110"/>
      <c r="AI427" s="110"/>
      <c r="AJ427" s="110"/>
      <c r="AK427" s="110"/>
      <c r="AL427" s="110"/>
      <c r="AM427" s="110"/>
      <c r="AN427" s="110"/>
      <c r="AO427" s="110"/>
      <c r="AP427" s="110"/>
      <c r="AQ427" s="110"/>
      <c r="AR427" s="110"/>
      <c r="AS427" s="110"/>
      <c r="AT427" s="110"/>
      <c r="AU427" s="110"/>
    </row>
    <row r="428" spans="1:47" ht="12.75" hidden="1">
      <c r="A428" s="110"/>
      <c r="B428" s="1009"/>
      <c r="C428" s="1010"/>
      <c r="D428" s="253"/>
      <c r="E428" s="1011"/>
      <c r="F428" s="262"/>
      <c r="G428" s="1011"/>
      <c r="H428" s="262"/>
      <c r="I428" s="1011"/>
      <c r="J428" s="262"/>
      <c r="K428" s="1011"/>
      <c r="L428" s="262"/>
      <c r="M428" s="1011"/>
      <c r="N428" s="262"/>
      <c r="O428" s="1011"/>
      <c r="P428" s="262"/>
      <c r="Q428" s="1011"/>
      <c r="R428" s="1012"/>
      <c r="S428" s="1011"/>
      <c r="T428" s="1012"/>
      <c r="U428" s="1010"/>
      <c r="V428" s="1012"/>
      <c r="W428" s="1010"/>
      <c r="X428" s="1012"/>
      <c r="Y428" s="1010"/>
      <c r="Z428" s="262"/>
      <c r="AA428" s="110"/>
      <c r="AB428" s="110"/>
      <c r="AC428" s="110"/>
      <c r="AD428" s="110"/>
      <c r="AE428" s="110"/>
      <c r="AF428" s="110"/>
      <c r="AG428" s="110"/>
      <c r="AH428" s="110"/>
      <c r="AI428" s="110"/>
      <c r="AJ428" s="110"/>
      <c r="AK428" s="110"/>
      <c r="AL428" s="110"/>
      <c r="AM428" s="110"/>
      <c r="AN428" s="110"/>
      <c r="AO428" s="110"/>
      <c r="AP428" s="110"/>
      <c r="AQ428" s="110"/>
      <c r="AR428" s="110"/>
      <c r="AS428" s="110"/>
      <c r="AT428" s="110"/>
      <c r="AU428" s="110"/>
    </row>
    <row r="429" spans="1:47" ht="12.75" hidden="1">
      <c r="A429" s="110"/>
      <c r="B429" s="1009"/>
      <c r="C429" s="1010"/>
      <c r="D429" s="253"/>
      <c r="E429" s="1011"/>
      <c r="F429" s="262"/>
      <c r="G429" s="1011"/>
      <c r="H429" s="262"/>
      <c r="I429" s="1011"/>
      <c r="J429" s="262"/>
      <c r="K429" s="1011"/>
      <c r="L429" s="262"/>
      <c r="M429" s="1011"/>
      <c r="N429" s="262"/>
      <c r="O429" s="1011"/>
      <c r="P429" s="262"/>
      <c r="Q429" s="1011"/>
      <c r="R429" s="1012"/>
      <c r="S429" s="1011"/>
      <c r="T429" s="1012"/>
      <c r="U429" s="1010"/>
      <c r="V429" s="1012"/>
      <c r="W429" s="1010"/>
      <c r="X429" s="1012"/>
      <c r="Y429" s="1010"/>
      <c r="Z429" s="262"/>
      <c r="AA429" s="110"/>
      <c r="AB429" s="110"/>
      <c r="AC429" s="110"/>
      <c r="AD429" s="110"/>
      <c r="AE429" s="110"/>
      <c r="AF429" s="110"/>
      <c r="AG429" s="110"/>
      <c r="AH429" s="110"/>
      <c r="AI429" s="110"/>
      <c r="AJ429" s="110"/>
      <c r="AK429" s="110"/>
      <c r="AL429" s="110"/>
      <c r="AM429" s="110"/>
      <c r="AN429" s="110"/>
      <c r="AO429" s="110"/>
      <c r="AP429" s="110"/>
      <c r="AQ429" s="110"/>
      <c r="AR429" s="110"/>
      <c r="AS429" s="110"/>
      <c r="AT429" s="110"/>
      <c r="AU429" s="110"/>
    </row>
    <row r="430" spans="1:47" ht="12.75" hidden="1">
      <c r="A430" s="110"/>
      <c r="B430" s="1009"/>
      <c r="C430" s="1010"/>
      <c r="D430" s="253"/>
      <c r="E430" s="1011"/>
      <c r="F430" s="262"/>
      <c r="G430" s="1011"/>
      <c r="H430" s="262"/>
      <c r="I430" s="1011"/>
      <c r="J430" s="262"/>
      <c r="K430" s="1011"/>
      <c r="L430" s="262"/>
      <c r="M430" s="1011"/>
      <c r="N430" s="262"/>
      <c r="O430" s="1011"/>
      <c r="P430" s="262"/>
      <c r="Q430" s="1011"/>
      <c r="R430" s="1012"/>
      <c r="S430" s="1011"/>
      <c r="T430" s="1012"/>
      <c r="U430" s="1010"/>
      <c r="V430" s="1012"/>
      <c r="W430" s="1010"/>
      <c r="X430" s="1012"/>
      <c r="Y430" s="1010"/>
      <c r="Z430" s="262"/>
      <c r="AA430" s="110"/>
      <c r="AB430" s="110"/>
      <c r="AC430" s="110"/>
      <c r="AD430" s="110"/>
      <c r="AE430" s="110"/>
      <c r="AF430" s="110"/>
      <c r="AG430" s="110"/>
      <c r="AH430" s="110"/>
      <c r="AI430" s="110"/>
      <c r="AJ430" s="110"/>
      <c r="AK430" s="110"/>
      <c r="AL430" s="110"/>
      <c r="AM430" s="110"/>
      <c r="AN430" s="110"/>
      <c r="AO430" s="110"/>
      <c r="AP430" s="110"/>
      <c r="AQ430" s="110"/>
      <c r="AR430" s="110"/>
      <c r="AS430" s="110"/>
      <c r="AT430" s="110"/>
      <c r="AU430" s="110"/>
    </row>
    <row r="431" spans="1:47" ht="12.75" hidden="1">
      <c r="A431" s="110"/>
      <c r="B431" s="1009"/>
      <c r="C431" s="1010"/>
      <c r="D431" s="253"/>
      <c r="E431" s="1011"/>
      <c r="F431" s="262"/>
      <c r="G431" s="1011"/>
      <c r="H431" s="262"/>
      <c r="I431" s="1011"/>
      <c r="J431" s="262"/>
      <c r="K431" s="1011"/>
      <c r="L431" s="262"/>
      <c r="M431" s="1011"/>
      <c r="N431" s="262"/>
      <c r="O431" s="1011"/>
      <c r="P431" s="262"/>
      <c r="Q431" s="1011"/>
      <c r="R431" s="1012"/>
      <c r="S431" s="1011"/>
      <c r="T431" s="1012"/>
      <c r="U431" s="1010"/>
      <c r="V431" s="1012"/>
      <c r="W431" s="1010"/>
      <c r="X431" s="1012"/>
      <c r="Y431" s="1010"/>
      <c r="Z431" s="262"/>
      <c r="AA431" s="110"/>
      <c r="AB431" s="110"/>
      <c r="AC431" s="110"/>
      <c r="AD431" s="110"/>
      <c r="AE431" s="110"/>
      <c r="AF431" s="110"/>
      <c r="AG431" s="110"/>
      <c r="AH431" s="110"/>
      <c r="AI431" s="110"/>
      <c r="AJ431" s="110"/>
      <c r="AK431" s="110"/>
      <c r="AL431" s="110"/>
      <c r="AM431" s="110"/>
      <c r="AN431" s="110"/>
      <c r="AO431" s="110"/>
      <c r="AP431" s="110"/>
      <c r="AQ431" s="110"/>
      <c r="AR431" s="110"/>
      <c r="AS431" s="110"/>
      <c r="AT431" s="110"/>
      <c r="AU431" s="110"/>
    </row>
    <row r="432" spans="1:47" ht="12.75" hidden="1">
      <c r="A432" s="110"/>
      <c r="B432" s="1009"/>
      <c r="C432" s="1010"/>
      <c r="D432" s="253"/>
      <c r="E432" s="1011"/>
      <c r="F432" s="262"/>
      <c r="G432" s="1011"/>
      <c r="H432" s="262"/>
      <c r="I432" s="1011"/>
      <c r="J432" s="262"/>
      <c r="K432" s="1011"/>
      <c r="L432" s="262"/>
      <c r="M432" s="1011"/>
      <c r="N432" s="262"/>
      <c r="O432" s="1011"/>
      <c r="P432" s="262"/>
      <c r="Q432" s="1011"/>
      <c r="R432" s="1012"/>
      <c r="S432" s="1011"/>
      <c r="T432" s="1012"/>
      <c r="U432" s="1010"/>
      <c r="V432" s="1012"/>
      <c r="W432" s="1010"/>
      <c r="X432" s="1012"/>
      <c r="Y432" s="1010"/>
      <c r="Z432" s="262"/>
      <c r="AA432" s="110"/>
      <c r="AB432" s="110"/>
      <c r="AC432" s="110"/>
      <c r="AD432" s="110"/>
      <c r="AE432" s="110"/>
      <c r="AF432" s="110"/>
      <c r="AG432" s="110"/>
      <c r="AH432" s="110"/>
      <c r="AI432" s="110"/>
      <c r="AJ432" s="110"/>
      <c r="AK432" s="110"/>
      <c r="AL432" s="110"/>
      <c r="AM432" s="110"/>
      <c r="AN432" s="110"/>
      <c r="AO432" s="110"/>
      <c r="AP432" s="110"/>
      <c r="AQ432" s="110"/>
      <c r="AR432" s="110"/>
      <c r="AS432" s="110"/>
      <c r="AT432" s="110"/>
      <c r="AU432" s="110"/>
    </row>
    <row r="433" spans="1:47" ht="12.75" hidden="1">
      <c r="A433" s="110"/>
      <c r="B433" s="1009"/>
      <c r="C433" s="1010"/>
      <c r="D433" s="253"/>
      <c r="E433" s="1011"/>
      <c r="F433" s="262"/>
      <c r="G433" s="1011"/>
      <c r="H433" s="262"/>
      <c r="I433" s="1011"/>
      <c r="J433" s="262"/>
      <c r="K433" s="1011"/>
      <c r="L433" s="262"/>
      <c r="M433" s="1011"/>
      <c r="N433" s="262"/>
      <c r="O433" s="1011"/>
      <c r="P433" s="262"/>
      <c r="Q433" s="1011"/>
      <c r="R433" s="1012"/>
      <c r="S433" s="1011"/>
      <c r="T433" s="1012"/>
      <c r="U433" s="1010"/>
      <c r="V433" s="1012"/>
      <c r="W433" s="1010"/>
      <c r="X433" s="1012"/>
      <c r="Y433" s="1010"/>
      <c r="Z433" s="262"/>
      <c r="AA433" s="110"/>
      <c r="AB433" s="110"/>
      <c r="AC433" s="110"/>
      <c r="AD433" s="110"/>
      <c r="AE433" s="110"/>
      <c r="AF433" s="110"/>
      <c r="AG433" s="110"/>
      <c r="AH433" s="110"/>
      <c r="AI433" s="110"/>
      <c r="AJ433" s="110"/>
      <c r="AK433" s="110"/>
      <c r="AL433" s="110"/>
      <c r="AM433" s="110"/>
      <c r="AN433" s="110"/>
      <c r="AO433" s="110"/>
      <c r="AP433" s="110"/>
      <c r="AQ433" s="110"/>
      <c r="AR433" s="110"/>
      <c r="AS433" s="110"/>
      <c r="AT433" s="110"/>
      <c r="AU433" s="110"/>
    </row>
    <row r="434" spans="1:47" ht="12.75" hidden="1">
      <c r="A434" s="110"/>
      <c r="B434" s="1009"/>
      <c r="C434" s="1010"/>
      <c r="D434" s="253"/>
      <c r="E434" s="1011"/>
      <c r="F434" s="262"/>
      <c r="G434" s="1011"/>
      <c r="H434" s="262"/>
      <c r="I434" s="1011"/>
      <c r="J434" s="262"/>
      <c r="K434" s="1011"/>
      <c r="L434" s="262"/>
      <c r="M434" s="1011"/>
      <c r="N434" s="262"/>
      <c r="O434" s="1011"/>
      <c r="P434" s="262"/>
      <c r="Q434" s="1011"/>
      <c r="R434" s="1012"/>
      <c r="S434" s="1011"/>
      <c r="T434" s="1012"/>
      <c r="U434" s="1010"/>
      <c r="V434" s="1012"/>
      <c r="W434" s="1010"/>
      <c r="X434" s="1012"/>
      <c r="Y434" s="1010"/>
      <c r="Z434" s="262"/>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row>
    <row r="435" spans="1:47" ht="12.75" hidden="1">
      <c r="A435" s="110"/>
      <c r="B435" s="1009"/>
      <c r="C435" s="1010"/>
      <c r="D435" s="253"/>
      <c r="E435" s="1011"/>
      <c r="F435" s="262"/>
      <c r="G435" s="1011"/>
      <c r="H435" s="262"/>
      <c r="I435" s="1011"/>
      <c r="J435" s="262"/>
      <c r="K435" s="1011"/>
      <c r="L435" s="262"/>
      <c r="M435" s="1011"/>
      <c r="N435" s="262"/>
      <c r="O435" s="1011"/>
      <c r="P435" s="262"/>
      <c r="Q435" s="1011"/>
      <c r="R435" s="1012"/>
      <c r="S435" s="1011"/>
      <c r="T435" s="1012"/>
      <c r="U435" s="1010"/>
      <c r="V435" s="1012"/>
      <c r="W435" s="1010"/>
      <c r="X435" s="1012"/>
      <c r="Y435" s="1010"/>
      <c r="Z435" s="262"/>
      <c r="AA435" s="110"/>
      <c r="AB435" s="110"/>
      <c r="AC435" s="110"/>
      <c r="AD435" s="110"/>
      <c r="AE435" s="110"/>
      <c r="AF435" s="110"/>
      <c r="AG435" s="110"/>
      <c r="AH435" s="110"/>
      <c r="AI435" s="110"/>
      <c r="AJ435" s="110"/>
      <c r="AK435" s="110"/>
      <c r="AL435" s="110"/>
      <c r="AM435" s="110"/>
      <c r="AN435" s="110"/>
      <c r="AO435" s="110"/>
      <c r="AP435" s="110"/>
      <c r="AQ435" s="110"/>
      <c r="AR435" s="110"/>
      <c r="AS435" s="110"/>
      <c r="AT435" s="110"/>
      <c r="AU435" s="110"/>
    </row>
    <row r="436" spans="1:47" ht="12.75" hidden="1">
      <c r="A436" s="110"/>
      <c r="B436" s="1009"/>
      <c r="C436" s="1010"/>
      <c r="D436" s="253"/>
      <c r="E436" s="1011"/>
      <c r="F436" s="262"/>
      <c r="G436" s="1011"/>
      <c r="H436" s="262"/>
      <c r="I436" s="1011"/>
      <c r="J436" s="262"/>
      <c r="K436" s="1011"/>
      <c r="L436" s="262"/>
      <c r="M436" s="1011"/>
      <c r="N436" s="262"/>
      <c r="O436" s="1011"/>
      <c r="P436" s="262"/>
      <c r="Q436" s="1011"/>
      <c r="R436" s="1012"/>
      <c r="S436" s="1011"/>
      <c r="T436" s="1012"/>
      <c r="U436" s="1010"/>
      <c r="V436" s="1012"/>
      <c r="W436" s="1010"/>
      <c r="X436" s="1012"/>
      <c r="Y436" s="1010"/>
      <c r="Z436" s="262"/>
      <c r="AA436" s="110"/>
      <c r="AB436" s="110"/>
      <c r="AC436" s="110"/>
      <c r="AD436" s="110"/>
      <c r="AE436" s="110"/>
      <c r="AF436" s="110"/>
      <c r="AG436" s="110"/>
      <c r="AH436" s="110"/>
      <c r="AI436" s="110"/>
      <c r="AJ436" s="110"/>
      <c r="AK436" s="110"/>
      <c r="AL436" s="110"/>
      <c r="AM436" s="110"/>
      <c r="AN436" s="110"/>
      <c r="AO436" s="110"/>
      <c r="AP436" s="110"/>
      <c r="AQ436" s="110"/>
      <c r="AR436" s="110"/>
      <c r="AS436" s="110"/>
      <c r="AT436" s="110"/>
      <c r="AU436" s="110"/>
    </row>
    <row r="437" spans="1:47" ht="12.75" hidden="1">
      <c r="A437" s="110"/>
      <c r="B437" s="1009"/>
      <c r="C437" s="1010"/>
      <c r="D437" s="253"/>
      <c r="E437" s="1011"/>
      <c r="F437" s="262"/>
      <c r="G437" s="1011"/>
      <c r="H437" s="262"/>
      <c r="I437" s="1011"/>
      <c r="J437" s="262"/>
      <c r="K437" s="1011"/>
      <c r="L437" s="262"/>
      <c r="M437" s="1011"/>
      <c r="N437" s="262"/>
      <c r="O437" s="1011"/>
      <c r="P437" s="262"/>
      <c r="Q437" s="1011"/>
      <c r="R437" s="1012"/>
      <c r="S437" s="1011"/>
      <c r="T437" s="1012"/>
      <c r="U437" s="1010"/>
      <c r="V437" s="1012"/>
      <c r="W437" s="1010"/>
      <c r="X437" s="1012"/>
      <c r="Y437" s="1010"/>
      <c r="Z437" s="262"/>
      <c r="AA437" s="110"/>
      <c r="AB437" s="110"/>
      <c r="AC437" s="110"/>
      <c r="AD437" s="110"/>
      <c r="AE437" s="110"/>
      <c r="AF437" s="110"/>
      <c r="AG437" s="110"/>
      <c r="AH437" s="110"/>
      <c r="AI437" s="110"/>
      <c r="AJ437" s="110"/>
      <c r="AK437" s="110"/>
      <c r="AL437" s="110"/>
      <c r="AM437" s="110"/>
      <c r="AN437" s="110"/>
      <c r="AO437" s="110"/>
      <c r="AP437" s="110"/>
      <c r="AQ437" s="110"/>
      <c r="AR437" s="110"/>
      <c r="AS437" s="110"/>
      <c r="AT437" s="110"/>
      <c r="AU437" s="110"/>
    </row>
    <row r="438" spans="1:47" ht="12.75" hidden="1">
      <c r="A438" s="110"/>
      <c r="B438" s="1009"/>
      <c r="C438" s="1010"/>
      <c r="D438" s="253"/>
      <c r="E438" s="1011"/>
      <c r="F438" s="262"/>
      <c r="G438" s="1011"/>
      <c r="H438" s="262"/>
      <c r="I438" s="1011"/>
      <c r="J438" s="262"/>
      <c r="K438" s="1011"/>
      <c r="L438" s="262"/>
      <c r="M438" s="1011"/>
      <c r="N438" s="262"/>
      <c r="O438" s="1011"/>
      <c r="P438" s="262"/>
      <c r="Q438" s="1011"/>
      <c r="R438" s="1012"/>
      <c r="S438" s="1011"/>
      <c r="T438" s="1012"/>
      <c r="U438" s="1010"/>
      <c r="V438" s="1012"/>
      <c r="W438" s="1010"/>
      <c r="X438" s="1012"/>
      <c r="Y438" s="1010"/>
      <c r="Z438" s="262"/>
      <c r="AA438" s="110"/>
      <c r="AB438" s="110"/>
      <c r="AC438" s="110"/>
      <c r="AD438" s="110"/>
      <c r="AE438" s="110"/>
      <c r="AF438" s="110"/>
      <c r="AG438" s="110"/>
      <c r="AH438" s="110"/>
      <c r="AI438" s="110"/>
      <c r="AJ438" s="110"/>
      <c r="AK438" s="110"/>
      <c r="AL438" s="110"/>
      <c r="AM438" s="110"/>
      <c r="AN438" s="110"/>
      <c r="AO438" s="110"/>
      <c r="AP438" s="110"/>
      <c r="AQ438" s="110"/>
      <c r="AR438" s="110"/>
      <c r="AS438" s="110"/>
      <c r="AT438" s="110"/>
      <c r="AU438" s="110"/>
    </row>
    <row r="439" spans="1:47" ht="12.75" hidden="1">
      <c r="A439" s="110"/>
      <c r="B439" s="1009"/>
      <c r="C439" s="1010"/>
      <c r="D439" s="253"/>
      <c r="E439" s="1011"/>
      <c r="F439" s="262"/>
      <c r="G439" s="1011"/>
      <c r="H439" s="262"/>
      <c r="I439" s="1011"/>
      <c r="J439" s="262"/>
      <c r="K439" s="1011"/>
      <c r="L439" s="262"/>
      <c r="M439" s="1011"/>
      <c r="N439" s="262"/>
      <c r="O439" s="1011"/>
      <c r="P439" s="262"/>
      <c r="Q439" s="1011"/>
      <c r="R439" s="1012"/>
      <c r="S439" s="1011"/>
      <c r="T439" s="1012"/>
      <c r="U439" s="1010"/>
      <c r="V439" s="1012"/>
      <c r="W439" s="1010"/>
      <c r="X439" s="1012"/>
      <c r="Y439" s="1010"/>
      <c r="Z439" s="262"/>
      <c r="AA439" s="110"/>
      <c r="AB439" s="110"/>
      <c r="AC439" s="110"/>
      <c r="AD439" s="110"/>
      <c r="AE439" s="110"/>
      <c r="AF439" s="110"/>
      <c r="AG439" s="110"/>
      <c r="AH439" s="110"/>
      <c r="AI439" s="110"/>
      <c r="AJ439" s="110"/>
      <c r="AK439" s="110"/>
      <c r="AL439" s="110"/>
      <c r="AM439" s="110"/>
      <c r="AN439" s="110"/>
      <c r="AO439" s="110"/>
      <c r="AP439" s="110"/>
      <c r="AQ439" s="110"/>
      <c r="AR439" s="110"/>
      <c r="AS439" s="110"/>
      <c r="AT439" s="110"/>
      <c r="AU439" s="110"/>
    </row>
    <row r="440" spans="1:47" ht="12.75" hidden="1">
      <c r="A440" s="110"/>
      <c r="B440" s="1009"/>
      <c r="C440" s="1010"/>
      <c r="D440" s="253"/>
      <c r="E440" s="1011"/>
      <c r="F440" s="262"/>
      <c r="G440" s="1011"/>
      <c r="H440" s="262"/>
      <c r="I440" s="1011"/>
      <c r="J440" s="262"/>
      <c r="K440" s="1011"/>
      <c r="L440" s="262"/>
      <c r="M440" s="1011"/>
      <c r="N440" s="262"/>
      <c r="O440" s="1011"/>
      <c r="P440" s="262"/>
      <c r="Q440" s="1011"/>
      <c r="R440" s="1012"/>
      <c r="S440" s="1011"/>
      <c r="T440" s="1012"/>
      <c r="U440" s="1010"/>
      <c r="V440" s="1012"/>
      <c r="W440" s="1010"/>
      <c r="X440" s="1012"/>
      <c r="Y440" s="1010"/>
      <c r="Z440" s="262"/>
      <c r="AA440" s="110"/>
      <c r="AB440" s="110"/>
      <c r="AC440" s="110"/>
      <c r="AD440" s="110"/>
      <c r="AE440" s="110"/>
      <c r="AF440" s="110"/>
      <c r="AG440" s="110"/>
      <c r="AH440" s="110"/>
      <c r="AI440" s="110"/>
      <c r="AJ440" s="110"/>
      <c r="AK440" s="110"/>
      <c r="AL440" s="110"/>
      <c r="AM440" s="110"/>
      <c r="AN440" s="110"/>
      <c r="AO440" s="110"/>
      <c r="AP440" s="110"/>
      <c r="AQ440" s="110"/>
      <c r="AR440" s="110"/>
      <c r="AS440" s="110"/>
      <c r="AT440" s="110"/>
      <c r="AU440" s="110"/>
    </row>
    <row r="441" spans="1:47" ht="12.75" hidden="1">
      <c r="A441" s="110"/>
      <c r="B441" s="1009"/>
      <c r="C441" s="1010"/>
      <c r="D441" s="253"/>
      <c r="E441" s="1011"/>
      <c r="F441" s="262"/>
      <c r="G441" s="1011"/>
      <c r="H441" s="262"/>
      <c r="I441" s="1011"/>
      <c r="J441" s="262"/>
      <c r="K441" s="1011"/>
      <c r="L441" s="262"/>
      <c r="M441" s="1011"/>
      <c r="N441" s="262"/>
      <c r="O441" s="1011"/>
      <c r="P441" s="262"/>
      <c r="Q441" s="1011"/>
      <c r="R441" s="1012"/>
      <c r="S441" s="1011"/>
      <c r="T441" s="1012"/>
      <c r="U441" s="1010"/>
      <c r="V441" s="1012"/>
      <c r="W441" s="1010"/>
      <c r="X441" s="1012"/>
      <c r="Y441" s="1010"/>
      <c r="Z441" s="262"/>
      <c r="AA441" s="110"/>
      <c r="AB441" s="110"/>
      <c r="AC441" s="110"/>
      <c r="AD441" s="110"/>
      <c r="AE441" s="110"/>
      <c r="AF441" s="110"/>
      <c r="AG441" s="110"/>
      <c r="AH441" s="110"/>
      <c r="AI441" s="110"/>
      <c r="AJ441" s="110"/>
      <c r="AK441" s="110"/>
      <c r="AL441" s="110"/>
      <c r="AM441" s="110"/>
      <c r="AN441" s="110"/>
      <c r="AO441" s="110"/>
      <c r="AP441" s="110"/>
      <c r="AQ441" s="110"/>
      <c r="AR441" s="110"/>
      <c r="AS441" s="110"/>
      <c r="AT441" s="110"/>
      <c r="AU441" s="110"/>
    </row>
    <row r="442" spans="1:47" ht="12.75" hidden="1">
      <c r="A442" s="110"/>
      <c r="B442" s="1009"/>
      <c r="C442" s="1010"/>
      <c r="D442" s="253"/>
      <c r="E442" s="1011"/>
      <c r="F442" s="262"/>
      <c r="G442" s="1011"/>
      <c r="H442" s="262"/>
      <c r="I442" s="1011"/>
      <c r="J442" s="262"/>
      <c r="K442" s="1011"/>
      <c r="L442" s="262"/>
      <c r="M442" s="1011"/>
      <c r="N442" s="262"/>
      <c r="O442" s="1011"/>
      <c r="P442" s="262"/>
      <c r="Q442" s="1011"/>
      <c r="R442" s="1012"/>
      <c r="S442" s="1011"/>
      <c r="T442" s="1012"/>
      <c r="U442" s="1010"/>
      <c r="V442" s="1012"/>
      <c r="W442" s="1010"/>
      <c r="X442" s="1012"/>
      <c r="Y442" s="1010"/>
      <c r="Z442" s="262"/>
      <c r="AA442" s="110"/>
      <c r="AB442" s="110"/>
      <c r="AC442" s="110"/>
      <c r="AD442" s="110"/>
      <c r="AE442" s="110"/>
      <c r="AF442" s="110"/>
      <c r="AG442" s="110"/>
      <c r="AH442" s="110"/>
      <c r="AI442" s="110"/>
      <c r="AJ442" s="110"/>
      <c r="AK442" s="110"/>
      <c r="AL442" s="110"/>
      <c r="AM442" s="110"/>
      <c r="AN442" s="110"/>
      <c r="AO442" s="110"/>
      <c r="AP442" s="110"/>
      <c r="AQ442" s="110"/>
      <c r="AR442" s="110"/>
      <c r="AS442" s="110"/>
      <c r="AT442" s="110"/>
      <c r="AU442" s="110"/>
    </row>
    <row r="443" spans="1:47" ht="12.75" hidden="1">
      <c r="A443" s="110"/>
      <c r="B443" s="1009"/>
      <c r="C443" s="1010"/>
      <c r="D443" s="253"/>
      <c r="E443" s="1011"/>
      <c r="F443" s="262"/>
      <c r="G443" s="1011"/>
      <c r="H443" s="262"/>
      <c r="I443" s="1011"/>
      <c r="J443" s="262"/>
      <c r="K443" s="1011"/>
      <c r="L443" s="262"/>
      <c r="M443" s="1011"/>
      <c r="N443" s="262"/>
      <c r="O443" s="1011"/>
      <c r="P443" s="262"/>
      <c r="Q443" s="1011"/>
      <c r="R443" s="1012"/>
      <c r="S443" s="1011"/>
      <c r="T443" s="1012"/>
      <c r="U443" s="1010"/>
      <c r="V443" s="1012"/>
      <c r="W443" s="1010"/>
      <c r="X443" s="1012"/>
      <c r="Y443" s="1010"/>
      <c r="Z443" s="262"/>
      <c r="AA443" s="110"/>
      <c r="AB443" s="110"/>
      <c r="AC443" s="110"/>
      <c r="AD443" s="110"/>
      <c r="AE443" s="110"/>
      <c r="AF443" s="110"/>
      <c r="AG443" s="110"/>
      <c r="AH443" s="110"/>
      <c r="AI443" s="110"/>
      <c r="AJ443" s="110"/>
      <c r="AK443" s="110"/>
      <c r="AL443" s="110"/>
      <c r="AM443" s="110"/>
      <c r="AN443" s="110"/>
      <c r="AO443" s="110"/>
      <c r="AP443" s="110"/>
      <c r="AQ443" s="110"/>
      <c r="AR443" s="110"/>
      <c r="AS443" s="110"/>
      <c r="AT443" s="110"/>
      <c r="AU443" s="110"/>
    </row>
    <row r="444" spans="1:47" ht="12.75" hidden="1">
      <c r="A444" s="110"/>
      <c r="B444" s="1009"/>
      <c r="C444" s="1010"/>
      <c r="D444" s="253"/>
      <c r="E444" s="1011"/>
      <c r="F444" s="262"/>
      <c r="G444" s="1011"/>
      <c r="H444" s="262"/>
      <c r="I444" s="1011"/>
      <c r="J444" s="262"/>
      <c r="K444" s="1011"/>
      <c r="L444" s="262"/>
      <c r="M444" s="1011"/>
      <c r="N444" s="262"/>
      <c r="O444" s="1011"/>
      <c r="P444" s="262"/>
      <c r="Q444" s="1011"/>
      <c r="R444" s="1012"/>
      <c r="S444" s="1011"/>
      <c r="T444" s="1012"/>
      <c r="U444" s="1010"/>
      <c r="V444" s="1012"/>
      <c r="W444" s="1010"/>
      <c r="X444" s="1012"/>
      <c r="Y444" s="1010"/>
      <c r="Z444" s="262"/>
      <c r="AA444" s="110"/>
      <c r="AB444" s="110"/>
      <c r="AC444" s="110"/>
      <c r="AD444" s="110"/>
      <c r="AE444" s="110"/>
      <c r="AF444" s="110"/>
      <c r="AG444" s="110"/>
      <c r="AH444" s="110"/>
      <c r="AI444" s="110"/>
      <c r="AJ444" s="110"/>
      <c r="AK444" s="110"/>
      <c r="AL444" s="110"/>
      <c r="AM444" s="110"/>
      <c r="AN444" s="110"/>
      <c r="AO444" s="110"/>
      <c r="AP444" s="110"/>
      <c r="AQ444" s="110"/>
      <c r="AR444" s="110"/>
      <c r="AS444" s="110"/>
      <c r="AT444" s="110"/>
      <c r="AU444" s="110"/>
    </row>
    <row r="445" spans="1:47" ht="12.75" hidden="1">
      <c r="A445" s="110"/>
      <c r="B445" s="1009"/>
      <c r="C445" s="1010"/>
      <c r="D445" s="253"/>
      <c r="E445" s="1011"/>
      <c r="F445" s="262"/>
      <c r="G445" s="1011"/>
      <c r="H445" s="262"/>
      <c r="I445" s="1011"/>
      <c r="J445" s="262"/>
      <c r="K445" s="1011"/>
      <c r="L445" s="262"/>
      <c r="M445" s="1011"/>
      <c r="N445" s="262"/>
      <c r="O445" s="1011"/>
      <c r="P445" s="262"/>
      <c r="Q445" s="1011"/>
      <c r="R445" s="1012"/>
      <c r="S445" s="1011"/>
      <c r="T445" s="1012"/>
      <c r="U445" s="1010"/>
      <c r="V445" s="1012"/>
      <c r="W445" s="1010"/>
      <c r="X445" s="1012"/>
      <c r="Y445" s="1010"/>
      <c r="Z445" s="262"/>
      <c r="AA445" s="110"/>
      <c r="AB445" s="110"/>
      <c r="AC445" s="110"/>
      <c r="AD445" s="110"/>
      <c r="AE445" s="110"/>
      <c r="AF445" s="110"/>
      <c r="AG445" s="110"/>
      <c r="AH445" s="110"/>
      <c r="AI445" s="110"/>
      <c r="AJ445" s="110"/>
      <c r="AK445" s="110"/>
      <c r="AL445" s="110"/>
      <c r="AM445" s="110"/>
      <c r="AN445" s="110"/>
      <c r="AO445" s="110"/>
      <c r="AP445" s="110"/>
      <c r="AQ445" s="110"/>
      <c r="AR445" s="110"/>
      <c r="AS445" s="110"/>
      <c r="AT445" s="110"/>
      <c r="AU445" s="110"/>
    </row>
    <row r="446" spans="1:47" ht="12.75" hidden="1">
      <c r="A446" s="110"/>
      <c r="B446" s="1009"/>
      <c r="C446" s="1010"/>
      <c r="D446" s="253"/>
      <c r="E446" s="1011"/>
      <c r="F446" s="262"/>
      <c r="G446" s="1011"/>
      <c r="H446" s="262"/>
      <c r="I446" s="1011"/>
      <c r="J446" s="262"/>
      <c r="K446" s="1011"/>
      <c r="L446" s="262"/>
      <c r="M446" s="1011"/>
      <c r="N446" s="262"/>
      <c r="O446" s="1011"/>
      <c r="P446" s="262"/>
      <c r="Q446" s="1011"/>
      <c r="R446" s="1012"/>
      <c r="S446" s="1011"/>
      <c r="T446" s="1012"/>
      <c r="U446" s="1010"/>
      <c r="V446" s="1012"/>
      <c r="W446" s="1010"/>
      <c r="X446" s="1012"/>
      <c r="Y446" s="1010"/>
      <c r="Z446" s="262"/>
      <c r="AA446" s="110"/>
      <c r="AB446" s="110"/>
      <c r="AC446" s="110"/>
      <c r="AD446" s="110"/>
      <c r="AE446" s="110"/>
      <c r="AF446" s="110"/>
      <c r="AG446" s="110"/>
      <c r="AH446" s="110"/>
      <c r="AI446" s="110"/>
      <c r="AJ446" s="110"/>
      <c r="AK446" s="110"/>
      <c r="AL446" s="110"/>
      <c r="AM446" s="110"/>
      <c r="AN446" s="110"/>
      <c r="AO446" s="110"/>
      <c r="AP446" s="110"/>
      <c r="AQ446" s="110"/>
      <c r="AR446" s="110"/>
      <c r="AS446" s="110"/>
      <c r="AT446" s="110"/>
      <c r="AU446" s="110"/>
    </row>
    <row r="447" spans="1:47" ht="12.75" hidden="1">
      <c r="A447" s="110"/>
      <c r="B447" s="1009"/>
      <c r="C447" s="1010"/>
      <c r="D447" s="253"/>
      <c r="E447" s="1011"/>
      <c r="F447" s="262"/>
      <c r="G447" s="1011"/>
      <c r="H447" s="262"/>
      <c r="I447" s="1011"/>
      <c r="J447" s="262"/>
      <c r="K447" s="1011"/>
      <c r="L447" s="262"/>
      <c r="M447" s="1011"/>
      <c r="N447" s="262"/>
      <c r="O447" s="1011"/>
      <c r="P447" s="262"/>
      <c r="Q447" s="1011"/>
      <c r="R447" s="1012"/>
      <c r="S447" s="1011"/>
      <c r="T447" s="1012"/>
      <c r="U447" s="1010"/>
      <c r="V447" s="1012"/>
      <c r="W447" s="1010"/>
      <c r="X447" s="1012"/>
      <c r="Y447" s="1010"/>
      <c r="Z447" s="262"/>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row>
    <row r="448" spans="1:47" ht="12.75" hidden="1">
      <c r="A448" s="110"/>
      <c r="B448" s="1009"/>
      <c r="C448" s="1010"/>
      <c r="D448" s="253"/>
      <c r="E448" s="1011"/>
      <c r="F448" s="262"/>
      <c r="G448" s="1011"/>
      <c r="H448" s="262"/>
      <c r="I448" s="1011"/>
      <c r="J448" s="262"/>
      <c r="K448" s="1011"/>
      <c r="L448" s="262"/>
      <c r="M448" s="1011"/>
      <c r="N448" s="262"/>
      <c r="O448" s="1011"/>
      <c r="P448" s="262"/>
      <c r="Q448" s="1011"/>
      <c r="R448" s="1012"/>
      <c r="S448" s="1011"/>
      <c r="T448" s="1012"/>
      <c r="U448" s="1010"/>
      <c r="V448" s="1012"/>
      <c r="W448" s="1010"/>
      <c r="X448" s="1012"/>
      <c r="Y448" s="1010"/>
      <c r="Z448" s="262"/>
      <c r="AA448" s="110"/>
      <c r="AB448" s="110"/>
      <c r="AC448" s="110"/>
      <c r="AD448" s="110"/>
      <c r="AE448" s="110"/>
      <c r="AF448" s="110"/>
      <c r="AG448" s="110"/>
      <c r="AH448" s="110"/>
      <c r="AI448" s="110"/>
      <c r="AJ448" s="110"/>
      <c r="AK448" s="110"/>
      <c r="AL448" s="110"/>
      <c r="AM448" s="110"/>
      <c r="AN448" s="110"/>
      <c r="AO448" s="110"/>
      <c r="AP448" s="110"/>
      <c r="AQ448" s="110"/>
      <c r="AR448" s="110"/>
      <c r="AS448" s="110"/>
      <c r="AT448" s="110"/>
      <c r="AU448" s="110"/>
    </row>
    <row r="449" spans="1:47" ht="12.75" hidden="1">
      <c r="A449" s="110"/>
      <c r="B449" s="1009"/>
      <c r="C449" s="1010"/>
      <c r="D449" s="253"/>
      <c r="E449" s="1011"/>
      <c r="F449" s="262"/>
      <c r="G449" s="1011"/>
      <c r="H449" s="262"/>
      <c r="I449" s="1011"/>
      <c r="J449" s="262"/>
      <c r="K449" s="1011"/>
      <c r="L449" s="262"/>
      <c r="M449" s="1011"/>
      <c r="N449" s="262"/>
      <c r="O449" s="1011"/>
      <c r="P449" s="262"/>
      <c r="Q449" s="1011"/>
      <c r="R449" s="1012"/>
      <c r="S449" s="1011"/>
      <c r="T449" s="1012"/>
      <c r="U449" s="1010"/>
      <c r="V449" s="1012"/>
      <c r="W449" s="1010"/>
      <c r="X449" s="1012"/>
      <c r="Y449" s="1010"/>
      <c r="Z449" s="262"/>
      <c r="AA449" s="110"/>
      <c r="AB449" s="110"/>
      <c r="AC449" s="110"/>
      <c r="AD449" s="110"/>
      <c r="AE449" s="110"/>
      <c r="AF449" s="110"/>
      <c r="AG449" s="110"/>
      <c r="AH449" s="110"/>
      <c r="AI449" s="110"/>
      <c r="AJ449" s="110"/>
      <c r="AK449" s="110"/>
      <c r="AL449" s="110"/>
      <c r="AM449" s="110"/>
      <c r="AN449" s="110"/>
      <c r="AO449" s="110"/>
      <c r="AP449" s="110"/>
      <c r="AQ449" s="110"/>
      <c r="AR449" s="110"/>
      <c r="AS449" s="110"/>
      <c r="AT449" s="110"/>
      <c r="AU449" s="110"/>
    </row>
    <row r="450" spans="1:47" ht="12.75" hidden="1">
      <c r="A450" s="110"/>
      <c r="B450" s="1009"/>
      <c r="C450" s="1010"/>
      <c r="D450" s="253"/>
      <c r="E450" s="1011"/>
      <c r="F450" s="262"/>
      <c r="G450" s="1011"/>
      <c r="H450" s="262"/>
      <c r="I450" s="1011"/>
      <c r="J450" s="262"/>
      <c r="K450" s="1011"/>
      <c r="L450" s="262"/>
      <c r="M450" s="1011"/>
      <c r="N450" s="262"/>
      <c r="O450" s="1011"/>
      <c r="P450" s="262"/>
      <c r="Q450" s="1011"/>
      <c r="R450" s="1012"/>
      <c r="S450" s="1011"/>
      <c r="T450" s="1012"/>
      <c r="U450" s="1010"/>
      <c r="V450" s="1012"/>
      <c r="W450" s="1010"/>
      <c r="X450" s="1012"/>
      <c r="Y450" s="1010"/>
      <c r="Z450" s="262"/>
      <c r="AA450" s="110"/>
      <c r="AB450" s="110"/>
      <c r="AC450" s="110"/>
      <c r="AD450" s="110"/>
      <c r="AE450" s="110"/>
      <c r="AF450" s="110"/>
      <c r="AG450" s="110"/>
      <c r="AH450" s="110"/>
      <c r="AI450" s="110"/>
      <c r="AJ450" s="110"/>
      <c r="AK450" s="110"/>
      <c r="AL450" s="110"/>
      <c r="AM450" s="110"/>
      <c r="AN450" s="110"/>
      <c r="AO450" s="110"/>
      <c r="AP450" s="110"/>
      <c r="AQ450" s="110"/>
      <c r="AR450" s="110"/>
      <c r="AS450" s="110"/>
      <c r="AT450" s="110"/>
      <c r="AU450" s="110"/>
    </row>
    <row r="451" spans="1:47" ht="12.75" hidden="1">
      <c r="A451" s="110"/>
      <c r="B451" s="1009"/>
      <c r="C451" s="1010"/>
      <c r="D451" s="253"/>
      <c r="E451" s="1011"/>
      <c r="F451" s="262"/>
      <c r="G451" s="1011"/>
      <c r="H451" s="262"/>
      <c r="I451" s="1011"/>
      <c r="J451" s="262"/>
      <c r="K451" s="1011"/>
      <c r="L451" s="262"/>
      <c r="M451" s="1011"/>
      <c r="N451" s="262"/>
      <c r="O451" s="1011"/>
      <c r="P451" s="262"/>
      <c r="Q451" s="1011"/>
      <c r="R451" s="1012"/>
      <c r="S451" s="1011"/>
      <c r="T451" s="1012"/>
      <c r="U451" s="1010"/>
      <c r="V451" s="1012"/>
      <c r="W451" s="1010"/>
      <c r="X451" s="1012"/>
      <c r="Y451" s="1010"/>
      <c r="Z451" s="262"/>
      <c r="AA451" s="110"/>
      <c r="AB451" s="110"/>
      <c r="AC451" s="110"/>
      <c r="AD451" s="110"/>
      <c r="AE451" s="110"/>
      <c r="AF451" s="110"/>
      <c r="AG451" s="110"/>
      <c r="AH451" s="110"/>
      <c r="AI451" s="110"/>
      <c r="AJ451" s="110"/>
      <c r="AK451" s="110"/>
      <c r="AL451" s="110"/>
      <c r="AM451" s="110"/>
      <c r="AN451" s="110"/>
      <c r="AO451" s="110"/>
      <c r="AP451" s="110"/>
      <c r="AQ451" s="110"/>
      <c r="AR451" s="110"/>
      <c r="AS451" s="110"/>
      <c r="AT451" s="110"/>
      <c r="AU451" s="110"/>
    </row>
    <row r="452" spans="1:47" ht="12.75" hidden="1">
      <c r="A452" s="110"/>
      <c r="B452" s="1009"/>
      <c r="C452" s="1010"/>
      <c r="D452" s="253"/>
      <c r="E452" s="1011"/>
      <c r="F452" s="262"/>
      <c r="G452" s="1011"/>
      <c r="H452" s="262"/>
      <c r="I452" s="1011"/>
      <c r="J452" s="262"/>
      <c r="K452" s="1011"/>
      <c r="L452" s="262"/>
      <c r="M452" s="1011"/>
      <c r="N452" s="262"/>
      <c r="O452" s="1011"/>
      <c r="P452" s="262"/>
      <c r="Q452" s="1011"/>
      <c r="R452" s="1012"/>
      <c r="S452" s="1011"/>
      <c r="T452" s="1012"/>
      <c r="U452" s="1010"/>
      <c r="V452" s="1012"/>
      <c r="W452" s="1010"/>
      <c r="X452" s="1012"/>
      <c r="Y452" s="1010"/>
      <c r="Z452" s="262"/>
      <c r="AA452" s="110"/>
      <c r="AB452" s="110"/>
      <c r="AC452" s="110"/>
      <c r="AD452" s="110"/>
      <c r="AE452" s="110"/>
      <c r="AF452" s="110"/>
      <c r="AG452" s="110"/>
      <c r="AH452" s="110"/>
      <c r="AI452" s="110"/>
      <c r="AJ452" s="110"/>
      <c r="AK452" s="110"/>
      <c r="AL452" s="110"/>
      <c r="AM452" s="110"/>
      <c r="AN452" s="110"/>
      <c r="AO452" s="110"/>
      <c r="AP452" s="110"/>
      <c r="AQ452" s="110"/>
      <c r="AR452" s="110"/>
      <c r="AS452" s="110"/>
      <c r="AT452" s="110"/>
      <c r="AU452" s="110"/>
    </row>
    <row r="453" spans="1:47" ht="12.75" hidden="1">
      <c r="A453" s="110"/>
      <c r="B453" s="1009"/>
      <c r="C453" s="1010"/>
      <c r="D453" s="253"/>
      <c r="E453" s="1011"/>
      <c r="F453" s="262"/>
      <c r="G453" s="1011"/>
      <c r="H453" s="262"/>
      <c r="I453" s="1011"/>
      <c r="J453" s="262"/>
      <c r="K453" s="1011"/>
      <c r="L453" s="262"/>
      <c r="M453" s="1011"/>
      <c r="N453" s="262"/>
      <c r="O453" s="1011"/>
      <c r="P453" s="262"/>
      <c r="Q453" s="1011"/>
      <c r="R453" s="1012"/>
      <c r="S453" s="1011"/>
      <c r="T453" s="1012"/>
      <c r="U453" s="1010"/>
      <c r="V453" s="1012"/>
      <c r="W453" s="1010"/>
      <c r="X453" s="1012"/>
      <c r="Y453" s="1010"/>
      <c r="Z453" s="262"/>
      <c r="AA453" s="110"/>
      <c r="AB453" s="110"/>
      <c r="AC453" s="110"/>
      <c r="AD453" s="110"/>
      <c r="AE453" s="110"/>
      <c r="AF453" s="110"/>
      <c r="AG453" s="110"/>
      <c r="AH453" s="110"/>
      <c r="AI453" s="110"/>
      <c r="AJ453" s="110"/>
      <c r="AK453" s="110"/>
      <c r="AL453" s="110"/>
      <c r="AM453" s="110"/>
      <c r="AN453" s="110"/>
      <c r="AO453" s="110"/>
      <c r="AP453" s="110"/>
      <c r="AQ453" s="110"/>
      <c r="AR453" s="110"/>
      <c r="AS453" s="110"/>
      <c r="AT453" s="110"/>
      <c r="AU453" s="110"/>
    </row>
    <row r="454" spans="1:47" ht="12.75" hidden="1">
      <c r="A454" s="110"/>
      <c r="B454" s="1009"/>
      <c r="C454" s="1010"/>
      <c r="D454" s="253"/>
      <c r="E454" s="1011"/>
      <c r="F454" s="262"/>
      <c r="G454" s="1011"/>
      <c r="H454" s="262"/>
      <c r="I454" s="1011"/>
      <c r="J454" s="262"/>
      <c r="K454" s="1011"/>
      <c r="L454" s="262"/>
      <c r="M454" s="1011"/>
      <c r="N454" s="262"/>
      <c r="O454" s="1011"/>
      <c r="P454" s="262"/>
      <c r="Q454" s="1011"/>
      <c r="R454" s="1012"/>
      <c r="S454" s="1011"/>
      <c r="T454" s="1012"/>
      <c r="U454" s="1010"/>
      <c r="V454" s="1012"/>
      <c r="W454" s="1010"/>
      <c r="X454" s="1012"/>
      <c r="Y454" s="1010"/>
      <c r="Z454" s="262"/>
      <c r="AA454" s="110"/>
      <c r="AB454" s="110"/>
      <c r="AC454" s="110"/>
      <c r="AD454" s="110"/>
      <c r="AE454" s="110"/>
      <c r="AF454" s="110"/>
      <c r="AG454" s="110"/>
      <c r="AH454" s="110"/>
      <c r="AI454" s="110"/>
      <c r="AJ454" s="110"/>
      <c r="AK454" s="110"/>
      <c r="AL454" s="110"/>
      <c r="AM454" s="110"/>
      <c r="AN454" s="110"/>
      <c r="AO454" s="110"/>
      <c r="AP454" s="110"/>
      <c r="AQ454" s="110"/>
      <c r="AR454" s="110"/>
      <c r="AS454" s="110"/>
      <c r="AT454" s="110"/>
      <c r="AU454" s="110"/>
    </row>
    <row r="455" spans="1:47" ht="12.75" hidden="1">
      <c r="A455" s="110"/>
      <c r="B455" s="1009"/>
      <c r="C455" s="1010"/>
      <c r="D455" s="253"/>
      <c r="E455" s="1011"/>
      <c r="F455" s="262"/>
      <c r="G455" s="1011"/>
      <c r="H455" s="262"/>
      <c r="I455" s="1011"/>
      <c r="J455" s="262"/>
      <c r="K455" s="1011"/>
      <c r="L455" s="262"/>
      <c r="M455" s="1011"/>
      <c r="N455" s="262"/>
      <c r="O455" s="1011"/>
      <c r="P455" s="262"/>
      <c r="Q455" s="1011"/>
      <c r="R455" s="1012"/>
      <c r="S455" s="1011"/>
      <c r="T455" s="1012"/>
      <c r="U455" s="1010"/>
      <c r="V455" s="1012"/>
      <c r="W455" s="1010"/>
      <c r="X455" s="1012"/>
      <c r="Y455" s="1010"/>
      <c r="Z455" s="262"/>
      <c r="AA455" s="110"/>
      <c r="AB455" s="110"/>
      <c r="AC455" s="110"/>
      <c r="AD455" s="110"/>
      <c r="AE455" s="110"/>
      <c r="AF455" s="110"/>
      <c r="AG455" s="110"/>
      <c r="AH455" s="110"/>
      <c r="AI455" s="110"/>
      <c r="AJ455" s="110"/>
      <c r="AK455" s="110"/>
      <c r="AL455" s="110"/>
      <c r="AM455" s="110"/>
      <c r="AN455" s="110"/>
      <c r="AO455" s="110"/>
      <c r="AP455" s="110"/>
      <c r="AQ455" s="110"/>
      <c r="AR455" s="110"/>
      <c r="AS455" s="110"/>
      <c r="AT455" s="110"/>
      <c r="AU455" s="110"/>
    </row>
    <row r="456" spans="1:47" ht="12.75" hidden="1">
      <c r="A456" s="110"/>
      <c r="B456" s="1009"/>
      <c r="C456" s="1010"/>
      <c r="D456" s="253"/>
      <c r="E456" s="1011"/>
      <c r="F456" s="262"/>
      <c r="G456" s="1011"/>
      <c r="H456" s="262"/>
      <c r="I456" s="1011"/>
      <c r="J456" s="262"/>
      <c r="K456" s="1011"/>
      <c r="L456" s="262"/>
      <c r="M456" s="1011"/>
      <c r="N456" s="262"/>
      <c r="O456" s="1011"/>
      <c r="P456" s="262"/>
      <c r="Q456" s="1011"/>
      <c r="R456" s="1012"/>
      <c r="S456" s="1011"/>
      <c r="T456" s="1012"/>
      <c r="U456" s="1010"/>
      <c r="V456" s="1012"/>
      <c r="W456" s="1010"/>
      <c r="X456" s="1012"/>
      <c r="Y456" s="1010"/>
      <c r="Z456" s="262"/>
      <c r="AA456" s="110"/>
      <c r="AB456" s="110"/>
      <c r="AC456" s="110"/>
      <c r="AD456" s="110"/>
      <c r="AE456" s="110"/>
      <c r="AF456" s="110"/>
      <c r="AG456" s="110"/>
      <c r="AH456" s="110"/>
      <c r="AI456" s="110"/>
      <c r="AJ456" s="110"/>
      <c r="AK456" s="110"/>
      <c r="AL456" s="110"/>
      <c r="AM456" s="110"/>
      <c r="AN456" s="110"/>
      <c r="AO456" s="110"/>
      <c r="AP456" s="110"/>
      <c r="AQ456" s="110"/>
      <c r="AR456" s="110"/>
      <c r="AS456" s="110"/>
      <c r="AT456" s="110"/>
      <c r="AU456" s="110"/>
    </row>
    <row r="457" spans="1:47" ht="12.75" hidden="1">
      <c r="A457" s="110"/>
      <c r="B457" s="1009"/>
      <c r="C457" s="1010"/>
      <c r="D457" s="253"/>
      <c r="E457" s="1011"/>
      <c r="F457" s="262"/>
      <c r="G457" s="1011"/>
      <c r="H457" s="262"/>
      <c r="I457" s="1011"/>
      <c r="J457" s="262"/>
      <c r="K457" s="1011"/>
      <c r="L457" s="262"/>
      <c r="M457" s="1011"/>
      <c r="N457" s="262"/>
      <c r="O457" s="1011"/>
      <c r="P457" s="262"/>
      <c r="Q457" s="1011"/>
      <c r="R457" s="1012"/>
      <c r="S457" s="1011"/>
      <c r="T457" s="1012"/>
      <c r="U457" s="1010"/>
      <c r="V457" s="1012"/>
      <c r="W457" s="1010"/>
      <c r="X457" s="1012"/>
      <c r="Y457" s="1010"/>
      <c r="Z457" s="262"/>
      <c r="AA457" s="110"/>
      <c r="AB457" s="110"/>
      <c r="AC457" s="110"/>
      <c r="AD457" s="110"/>
      <c r="AE457" s="110"/>
      <c r="AF457" s="110"/>
      <c r="AG457" s="110"/>
      <c r="AH457" s="110"/>
      <c r="AI457" s="110"/>
      <c r="AJ457" s="110"/>
      <c r="AK457" s="110"/>
      <c r="AL457" s="110"/>
      <c r="AM457" s="110"/>
      <c r="AN457" s="110"/>
      <c r="AO457" s="110"/>
      <c r="AP457" s="110"/>
      <c r="AQ457" s="110"/>
      <c r="AR457" s="110"/>
      <c r="AS457" s="110"/>
      <c r="AT457" s="110"/>
      <c r="AU457" s="110"/>
    </row>
    <row r="458" spans="1:47" ht="12.75" hidden="1">
      <c r="A458" s="110"/>
      <c r="B458" s="1009"/>
      <c r="C458" s="1010"/>
      <c r="D458" s="253"/>
      <c r="E458" s="1011"/>
      <c r="F458" s="262"/>
      <c r="G458" s="1011"/>
      <c r="H458" s="262"/>
      <c r="I458" s="1011"/>
      <c r="J458" s="262"/>
      <c r="K458" s="1011"/>
      <c r="L458" s="262"/>
      <c r="M458" s="1011"/>
      <c r="N458" s="262"/>
      <c r="O458" s="1011"/>
      <c r="P458" s="262"/>
      <c r="Q458" s="1011"/>
      <c r="R458" s="1012"/>
      <c r="S458" s="1011"/>
      <c r="T458" s="1012"/>
      <c r="U458" s="1010"/>
      <c r="V458" s="1012"/>
      <c r="W458" s="1010"/>
      <c r="X458" s="1012"/>
      <c r="Y458" s="1010"/>
      <c r="Z458" s="262"/>
      <c r="AA458" s="110"/>
      <c r="AB458" s="110"/>
      <c r="AC458" s="110"/>
      <c r="AD458" s="110"/>
      <c r="AE458" s="110"/>
      <c r="AF458" s="110"/>
      <c r="AG458" s="110"/>
      <c r="AH458" s="110"/>
      <c r="AI458" s="110"/>
      <c r="AJ458" s="110"/>
      <c r="AK458" s="110"/>
      <c r="AL458" s="110"/>
      <c r="AM458" s="110"/>
      <c r="AN458" s="110"/>
      <c r="AO458" s="110"/>
      <c r="AP458" s="110"/>
      <c r="AQ458" s="110"/>
      <c r="AR458" s="110"/>
      <c r="AS458" s="110"/>
      <c r="AT458" s="110"/>
      <c r="AU458" s="110"/>
    </row>
    <row r="459" spans="1:47" ht="12.75" hidden="1">
      <c r="A459" s="110"/>
      <c r="B459" s="1009"/>
      <c r="C459" s="1010"/>
      <c r="D459" s="253"/>
      <c r="E459" s="1011"/>
      <c r="F459" s="262"/>
      <c r="G459" s="1011"/>
      <c r="H459" s="262"/>
      <c r="I459" s="1011"/>
      <c r="J459" s="262"/>
      <c r="K459" s="1011"/>
      <c r="L459" s="262"/>
      <c r="M459" s="1011"/>
      <c r="N459" s="262"/>
      <c r="O459" s="1011"/>
      <c r="P459" s="262"/>
      <c r="Q459" s="1011"/>
      <c r="R459" s="1012"/>
      <c r="S459" s="1011"/>
      <c r="T459" s="1012"/>
      <c r="U459" s="1010"/>
      <c r="V459" s="1012"/>
      <c r="W459" s="1010"/>
      <c r="X459" s="1012"/>
      <c r="Y459" s="1010"/>
      <c r="Z459" s="262"/>
      <c r="AA459" s="110"/>
      <c r="AB459" s="110"/>
      <c r="AC459" s="110"/>
      <c r="AD459" s="110"/>
      <c r="AE459" s="110"/>
      <c r="AF459" s="110"/>
      <c r="AG459" s="110"/>
      <c r="AH459" s="110"/>
      <c r="AI459" s="110"/>
      <c r="AJ459" s="110"/>
      <c r="AK459" s="110"/>
      <c r="AL459" s="110"/>
      <c r="AM459" s="110"/>
      <c r="AN459" s="110"/>
      <c r="AO459" s="110"/>
      <c r="AP459" s="110"/>
      <c r="AQ459" s="110"/>
      <c r="AR459" s="110"/>
      <c r="AS459" s="110"/>
      <c r="AT459" s="110"/>
      <c r="AU459" s="110"/>
    </row>
    <row r="460" spans="1:47" ht="12.75" hidden="1">
      <c r="A460" s="110"/>
      <c r="B460" s="1009"/>
      <c r="C460" s="1010"/>
      <c r="D460" s="253"/>
      <c r="E460" s="1011"/>
      <c r="F460" s="262"/>
      <c r="G460" s="1011"/>
      <c r="H460" s="262"/>
      <c r="I460" s="1011"/>
      <c r="J460" s="262"/>
      <c r="K460" s="1011"/>
      <c r="L460" s="262"/>
      <c r="M460" s="1011"/>
      <c r="N460" s="262"/>
      <c r="O460" s="1011"/>
      <c r="P460" s="262"/>
      <c r="Q460" s="1011"/>
      <c r="R460" s="1012"/>
      <c r="S460" s="1011"/>
      <c r="T460" s="1012"/>
      <c r="U460" s="1010"/>
      <c r="V460" s="1012"/>
      <c r="W460" s="1010"/>
      <c r="X460" s="1012"/>
      <c r="Y460" s="1010"/>
      <c r="Z460" s="262"/>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row>
    <row r="461" spans="1:47" ht="12.75" hidden="1">
      <c r="A461" s="110"/>
      <c r="B461" s="1009"/>
      <c r="C461" s="1010"/>
      <c r="D461" s="253"/>
      <c r="E461" s="1011"/>
      <c r="F461" s="262"/>
      <c r="G461" s="1011"/>
      <c r="H461" s="262"/>
      <c r="I461" s="1011"/>
      <c r="J461" s="262"/>
      <c r="K461" s="1011"/>
      <c r="L461" s="262"/>
      <c r="M461" s="1011"/>
      <c r="N461" s="262"/>
      <c r="O461" s="1011"/>
      <c r="P461" s="262"/>
      <c r="Q461" s="1011"/>
      <c r="R461" s="1012"/>
      <c r="S461" s="1011"/>
      <c r="T461" s="1012"/>
      <c r="U461" s="1010"/>
      <c r="V461" s="1012"/>
      <c r="W461" s="1010"/>
      <c r="X461" s="1012"/>
      <c r="Y461" s="1010"/>
      <c r="Z461" s="262"/>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row>
    <row r="462" spans="1:47" ht="12.75" hidden="1">
      <c r="A462" s="110"/>
      <c r="B462" s="1009"/>
      <c r="C462" s="1010"/>
      <c r="D462" s="253"/>
      <c r="E462" s="1011"/>
      <c r="F462" s="262"/>
      <c r="G462" s="1011"/>
      <c r="H462" s="262"/>
      <c r="I462" s="1011"/>
      <c r="J462" s="262"/>
      <c r="K462" s="1011"/>
      <c r="L462" s="262"/>
      <c r="M462" s="1011"/>
      <c r="N462" s="262"/>
      <c r="O462" s="1011"/>
      <c r="P462" s="262"/>
      <c r="Q462" s="1011"/>
      <c r="R462" s="1012"/>
      <c r="S462" s="1011"/>
      <c r="T462" s="1012"/>
      <c r="U462" s="1010"/>
      <c r="V462" s="1012"/>
      <c r="W462" s="1010"/>
      <c r="X462" s="1012"/>
      <c r="Y462" s="1010"/>
      <c r="Z462" s="262"/>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row>
    <row r="463" spans="1:47" ht="12.75" hidden="1">
      <c r="A463" s="110"/>
      <c r="B463" s="1009"/>
      <c r="C463" s="1010"/>
      <c r="D463" s="253"/>
      <c r="E463" s="1011"/>
      <c r="F463" s="262"/>
      <c r="G463" s="1011"/>
      <c r="H463" s="262"/>
      <c r="I463" s="1011"/>
      <c r="J463" s="262"/>
      <c r="K463" s="1011"/>
      <c r="L463" s="262"/>
      <c r="M463" s="1011"/>
      <c r="N463" s="262"/>
      <c r="O463" s="1011"/>
      <c r="P463" s="262"/>
      <c r="Q463" s="1011"/>
      <c r="R463" s="1012"/>
      <c r="S463" s="1011"/>
      <c r="T463" s="1012"/>
      <c r="U463" s="1010"/>
      <c r="V463" s="1012"/>
      <c r="W463" s="1010"/>
      <c r="X463" s="1012"/>
      <c r="Y463" s="1010"/>
      <c r="Z463" s="262"/>
      <c r="AA463" s="110"/>
      <c r="AB463" s="110"/>
      <c r="AC463" s="110"/>
      <c r="AD463" s="110"/>
      <c r="AE463" s="110"/>
      <c r="AF463" s="110"/>
      <c r="AG463" s="110"/>
      <c r="AH463" s="110"/>
      <c r="AI463" s="110"/>
      <c r="AJ463" s="110"/>
      <c r="AK463" s="110"/>
      <c r="AL463" s="110"/>
      <c r="AM463" s="110"/>
      <c r="AN463" s="110"/>
      <c r="AO463" s="110"/>
      <c r="AP463" s="110"/>
      <c r="AQ463" s="110"/>
      <c r="AR463" s="110"/>
      <c r="AS463" s="110"/>
      <c r="AT463" s="110"/>
      <c r="AU463" s="110"/>
    </row>
    <row r="464" spans="1:47" ht="12.75" hidden="1">
      <c r="A464" s="110"/>
      <c r="B464" s="1009"/>
      <c r="C464" s="1010"/>
      <c r="D464" s="253"/>
      <c r="E464" s="1011"/>
      <c r="F464" s="262"/>
      <c r="G464" s="1011"/>
      <c r="H464" s="262"/>
      <c r="I464" s="1011"/>
      <c r="J464" s="262"/>
      <c r="K464" s="1011"/>
      <c r="L464" s="262"/>
      <c r="M464" s="1011"/>
      <c r="N464" s="262"/>
      <c r="O464" s="1011"/>
      <c r="P464" s="262"/>
      <c r="Q464" s="1011"/>
      <c r="R464" s="1012"/>
      <c r="S464" s="1011"/>
      <c r="T464" s="1012"/>
      <c r="U464" s="1010"/>
      <c r="V464" s="1012"/>
      <c r="W464" s="1010"/>
      <c r="X464" s="1012"/>
      <c r="Y464" s="1010"/>
      <c r="Z464" s="262"/>
      <c r="AA464" s="110"/>
      <c r="AB464" s="110"/>
      <c r="AC464" s="110"/>
      <c r="AD464" s="110"/>
      <c r="AE464" s="110"/>
      <c r="AF464" s="110"/>
      <c r="AG464" s="110"/>
      <c r="AH464" s="110"/>
      <c r="AI464" s="110"/>
      <c r="AJ464" s="110"/>
      <c r="AK464" s="110"/>
      <c r="AL464" s="110"/>
      <c r="AM464" s="110"/>
      <c r="AN464" s="110"/>
      <c r="AO464" s="110"/>
      <c r="AP464" s="110"/>
      <c r="AQ464" s="110"/>
      <c r="AR464" s="110"/>
      <c r="AS464" s="110"/>
      <c r="AT464" s="110"/>
      <c r="AU464" s="110"/>
    </row>
    <row r="465" spans="1:47" ht="12.75" hidden="1">
      <c r="A465" s="110"/>
      <c r="B465" s="1009"/>
      <c r="C465" s="1010"/>
      <c r="D465" s="253"/>
      <c r="E465" s="1011"/>
      <c r="F465" s="262"/>
      <c r="G465" s="1011"/>
      <c r="H465" s="262"/>
      <c r="I465" s="1011"/>
      <c r="J465" s="262"/>
      <c r="K465" s="1011"/>
      <c r="L465" s="262"/>
      <c r="M465" s="1011"/>
      <c r="N465" s="262"/>
      <c r="O465" s="1011"/>
      <c r="P465" s="262"/>
      <c r="Q465" s="1011"/>
      <c r="R465" s="1012"/>
      <c r="S465" s="1011"/>
      <c r="T465" s="1012"/>
      <c r="U465" s="1010"/>
      <c r="V465" s="1012"/>
      <c r="W465" s="1010"/>
      <c r="X465" s="1012"/>
      <c r="Y465" s="1010"/>
      <c r="Z465" s="262"/>
      <c r="AA465" s="110"/>
      <c r="AB465" s="110"/>
      <c r="AC465" s="110"/>
      <c r="AD465" s="110"/>
      <c r="AE465" s="110"/>
      <c r="AF465" s="110"/>
      <c r="AG465" s="110"/>
      <c r="AH465" s="110"/>
      <c r="AI465" s="110"/>
      <c r="AJ465" s="110"/>
      <c r="AK465" s="110"/>
      <c r="AL465" s="110"/>
      <c r="AM465" s="110"/>
      <c r="AN465" s="110"/>
      <c r="AO465" s="110"/>
      <c r="AP465" s="110"/>
      <c r="AQ465" s="110"/>
      <c r="AR465" s="110"/>
      <c r="AS465" s="110"/>
      <c r="AT465" s="110"/>
      <c r="AU465" s="110"/>
    </row>
    <row r="466" spans="1:47" ht="12.75" hidden="1">
      <c r="A466" s="110"/>
      <c r="B466" s="1009"/>
      <c r="C466" s="1010"/>
      <c r="D466" s="253"/>
      <c r="E466" s="1011"/>
      <c r="F466" s="262"/>
      <c r="G466" s="1011"/>
      <c r="H466" s="262"/>
      <c r="I466" s="1011"/>
      <c r="J466" s="262"/>
      <c r="K466" s="1011"/>
      <c r="L466" s="262"/>
      <c r="M466" s="1011"/>
      <c r="N466" s="262"/>
      <c r="O466" s="1011"/>
      <c r="P466" s="262"/>
      <c r="Q466" s="1011"/>
      <c r="R466" s="1012"/>
      <c r="S466" s="1011"/>
      <c r="T466" s="1012"/>
      <c r="U466" s="1010"/>
      <c r="V466" s="1012"/>
      <c r="W466" s="1010"/>
      <c r="X466" s="1012"/>
      <c r="Y466" s="1010"/>
      <c r="Z466" s="262"/>
      <c r="AA466" s="110"/>
      <c r="AB466" s="110"/>
      <c r="AC466" s="110"/>
      <c r="AD466" s="110"/>
      <c r="AE466" s="110"/>
      <c r="AF466" s="110"/>
      <c r="AG466" s="110"/>
      <c r="AH466" s="110"/>
      <c r="AI466" s="110"/>
      <c r="AJ466" s="110"/>
      <c r="AK466" s="110"/>
      <c r="AL466" s="110"/>
      <c r="AM466" s="110"/>
      <c r="AN466" s="110"/>
      <c r="AO466" s="110"/>
      <c r="AP466" s="110"/>
      <c r="AQ466" s="110"/>
      <c r="AR466" s="110"/>
      <c r="AS466" s="110"/>
      <c r="AT466" s="110"/>
      <c r="AU466" s="110"/>
    </row>
    <row r="467" spans="1:47" ht="12.75" hidden="1">
      <c r="A467" s="110"/>
      <c r="B467" s="1009"/>
      <c r="C467" s="1010"/>
      <c r="D467" s="253"/>
      <c r="E467" s="1011"/>
      <c r="F467" s="262"/>
      <c r="G467" s="1011"/>
      <c r="H467" s="262"/>
      <c r="I467" s="1011"/>
      <c r="J467" s="262"/>
      <c r="K467" s="1011"/>
      <c r="L467" s="262"/>
      <c r="M467" s="1011"/>
      <c r="N467" s="262"/>
      <c r="O467" s="1011"/>
      <c r="P467" s="262"/>
      <c r="Q467" s="1011"/>
      <c r="R467" s="1012"/>
      <c r="S467" s="1011"/>
      <c r="T467" s="1012"/>
      <c r="U467" s="1010"/>
      <c r="V467" s="1012"/>
      <c r="W467" s="1010"/>
      <c r="X467" s="1012"/>
      <c r="Y467" s="1010"/>
      <c r="Z467" s="262"/>
      <c r="AA467" s="110"/>
      <c r="AB467" s="110"/>
      <c r="AC467" s="110"/>
      <c r="AD467" s="110"/>
      <c r="AE467" s="110"/>
      <c r="AF467" s="110"/>
      <c r="AG467" s="110"/>
      <c r="AH467" s="110"/>
      <c r="AI467" s="110"/>
      <c r="AJ467" s="110"/>
      <c r="AK467" s="110"/>
      <c r="AL467" s="110"/>
      <c r="AM467" s="110"/>
      <c r="AN467" s="110"/>
      <c r="AO467" s="110"/>
      <c r="AP467" s="110"/>
      <c r="AQ467" s="110"/>
      <c r="AR467" s="110"/>
      <c r="AS467" s="110"/>
      <c r="AT467" s="110"/>
      <c r="AU467" s="110"/>
    </row>
    <row r="468" spans="1:47" ht="12.75" hidden="1">
      <c r="A468" s="110"/>
      <c r="B468" s="1009"/>
      <c r="C468" s="1010"/>
      <c r="D468" s="253"/>
      <c r="E468" s="1011"/>
      <c r="F468" s="262"/>
      <c r="G468" s="1011"/>
      <c r="H468" s="262"/>
      <c r="I468" s="1011"/>
      <c r="J468" s="262"/>
      <c r="K468" s="1011"/>
      <c r="L468" s="262"/>
      <c r="M468" s="1011"/>
      <c r="N468" s="262"/>
      <c r="O468" s="1011"/>
      <c r="P468" s="262"/>
      <c r="Q468" s="1011"/>
      <c r="R468" s="1012"/>
      <c r="S468" s="1011"/>
      <c r="T468" s="1012"/>
      <c r="U468" s="1010"/>
      <c r="V468" s="1012"/>
      <c r="W468" s="1010"/>
      <c r="X468" s="1012"/>
      <c r="Y468" s="1010"/>
      <c r="Z468" s="262"/>
      <c r="AA468" s="110"/>
      <c r="AB468" s="110"/>
      <c r="AC468" s="110"/>
      <c r="AD468" s="110"/>
      <c r="AE468" s="110"/>
      <c r="AF468" s="110"/>
      <c r="AG468" s="110"/>
      <c r="AH468" s="110"/>
      <c r="AI468" s="110"/>
      <c r="AJ468" s="110"/>
      <c r="AK468" s="110"/>
      <c r="AL468" s="110"/>
      <c r="AM468" s="110"/>
      <c r="AN468" s="110"/>
      <c r="AO468" s="110"/>
      <c r="AP468" s="110"/>
      <c r="AQ468" s="110"/>
      <c r="AR468" s="110"/>
      <c r="AS468" s="110"/>
      <c r="AT468" s="110"/>
      <c r="AU468" s="110"/>
    </row>
    <row r="469" spans="1:47" ht="12.75" hidden="1">
      <c r="A469" s="110"/>
      <c r="B469" s="1009"/>
      <c r="C469" s="1010"/>
      <c r="D469" s="253"/>
      <c r="E469" s="1011"/>
      <c r="F469" s="262"/>
      <c r="G469" s="1011"/>
      <c r="H469" s="262"/>
      <c r="I469" s="1011"/>
      <c r="J469" s="262"/>
      <c r="K469" s="1011"/>
      <c r="L469" s="262"/>
      <c r="M469" s="1011"/>
      <c r="N469" s="262"/>
      <c r="O469" s="1011"/>
      <c r="P469" s="262"/>
      <c r="Q469" s="1011"/>
      <c r="R469" s="1012"/>
      <c r="S469" s="1011"/>
      <c r="T469" s="1012"/>
      <c r="U469" s="1010"/>
      <c r="V469" s="1012"/>
      <c r="W469" s="1010"/>
      <c r="X469" s="1012"/>
      <c r="Y469" s="1010"/>
      <c r="Z469" s="262"/>
      <c r="AA469" s="110"/>
      <c r="AB469" s="110"/>
      <c r="AC469" s="110"/>
      <c r="AD469" s="110"/>
      <c r="AE469" s="110"/>
      <c r="AF469" s="110"/>
      <c r="AG469" s="110"/>
      <c r="AH469" s="110"/>
      <c r="AI469" s="110"/>
      <c r="AJ469" s="110"/>
      <c r="AK469" s="110"/>
      <c r="AL469" s="110"/>
      <c r="AM469" s="110"/>
      <c r="AN469" s="110"/>
      <c r="AO469" s="110"/>
      <c r="AP469" s="110"/>
      <c r="AQ469" s="110"/>
      <c r="AR469" s="110"/>
      <c r="AS469" s="110"/>
      <c r="AT469" s="110"/>
      <c r="AU469" s="110"/>
    </row>
    <row r="470" spans="1:47" ht="12.75" hidden="1">
      <c r="A470" s="110"/>
      <c r="B470" s="1009"/>
      <c r="C470" s="1010"/>
      <c r="D470" s="253"/>
      <c r="E470" s="1011"/>
      <c r="F470" s="262"/>
      <c r="G470" s="1011"/>
      <c r="H470" s="262"/>
      <c r="I470" s="1011"/>
      <c r="J470" s="262"/>
      <c r="K470" s="1011"/>
      <c r="L470" s="262"/>
      <c r="M470" s="1011"/>
      <c r="N470" s="262"/>
      <c r="O470" s="1011"/>
      <c r="P470" s="262"/>
      <c r="Q470" s="1011"/>
      <c r="R470" s="1012"/>
      <c r="S470" s="1011"/>
      <c r="T470" s="1012"/>
      <c r="U470" s="1010"/>
      <c r="V470" s="1012"/>
      <c r="W470" s="1010"/>
      <c r="X470" s="1012"/>
      <c r="Y470" s="1010"/>
      <c r="Z470" s="262"/>
      <c r="AA470" s="110"/>
      <c r="AB470" s="110"/>
      <c r="AC470" s="110"/>
      <c r="AD470" s="110"/>
      <c r="AE470" s="110"/>
      <c r="AF470" s="110"/>
      <c r="AG470" s="110"/>
      <c r="AH470" s="110"/>
      <c r="AI470" s="110"/>
      <c r="AJ470" s="110"/>
      <c r="AK470" s="110"/>
      <c r="AL470" s="110"/>
      <c r="AM470" s="110"/>
      <c r="AN470" s="110"/>
      <c r="AO470" s="110"/>
      <c r="AP470" s="110"/>
      <c r="AQ470" s="110"/>
      <c r="AR470" s="110"/>
      <c r="AS470" s="110"/>
      <c r="AT470" s="110"/>
      <c r="AU470" s="110"/>
    </row>
    <row r="471" spans="1:47" ht="12.75" hidden="1">
      <c r="A471" s="110"/>
      <c r="B471" s="1009"/>
      <c r="C471" s="1010"/>
      <c r="D471" s="253"/>
      <c r="E471" s="1011"/>
      <c r="F471" s="262"/>
      <c r="G471" s="1011"/>
      <c r="H471" s="262"/>
      <c r="I471" s="1011"/>
      <c r="J471" s="262"/>
      <c r="K471" s="1011"/>
      <c r="L471" s="262"/>
      <c r="M471" s="1011"/>
      <c r="N471" s="262"/>
      <c r="O471" s="1011"/>
      <c r="P471" s="262"/>
      <c r="Q471" s="1011"/>
      <c r="R471" s="1012"/>
      <c r="S471" s="1011"/>
      <c r="T471" s="1012"/>
      <c r="U471" s="1010"/>
      <c r="V471" s="1012"/>
      <c r="W471" s="1010"/>
      <c r="X471" s="1012"/>
      <c r="Y471" s="1010"/>
      <c r="Z471" s="262"/>
      <c r="AA471" s="110"/>
      <c r="AB471" s="110"/>
      <c r="AC471" s="110"/>
      <c r="AD471" s="110"/>
      <c r="AE471" s="110"/>
      <c r="AF471" s="110"/>
      <c r="AG471" s="110"/>
      <c r="AH471" s="110"/>
      <c r="AI471" s="110"/>
      <c r="AJ471" s="110"/>
      <c r="AK471" s="110"/>
      <c r="AL471" s="110"/>
      <c r="AM471" s="110"/>
      <c r="AN471" s="110"/>
      <c r="AO471" s="110"/>
      <c r="AP471" s="110"/>
      <c r="AQ471" s="110"/>
      <c r="AR471" s="110"/>
      <c r="AS471" s="110"/>
      <c r="AT471" s="110"/>
      <c r="AU471" s="110"/>
    </row>
    <row r="472" spans="1:47" ht="12.75" hidden="1">
      <c r="A472" s="110"/>
      <c r="B472" s="1009"/>
      <c r="C472" s="1010"/>
      <c r="D472" s="253"/>
      <c r="E472" s="1011"/>
      <c r="F472" s="262"/>
      <c r="G472" s="1011"/>
      <c r="H472" s="262"/>
      <c r="I472" s="1011"/>
      <c r="J472" s="262"/>
      <c r="K472" s="1011"/>
      <c r="L472" s="262"/>
      <c r="M472" s="1011"/>
      <c r="N472" s="262"/>
      <c r="O472" s="1011"/>
      <c r="P472" s="262"/>
      <c r="Q472" s="1011"/>
      <c r="R472" s="1012"/>
      <c r="S472" s="1011"/>
      <c r="T472" s="1012"/>
      <c r="U472" s="1010"/>
      <c r="V472" s="1012"/>
      <c r="W472" s="1010"/>
      <c r="X472" s="1012"/>
      <c r="Y472" s="1010"/>
      <c r="Z472" s="262"/>
      <c r="AA472" s="110"/>
      <c r="AB472" s="110"/>
      <c r="AC472" s="110"/>
      <c r="AD472" s="110"/>
      <c r="AE472" s="110"/>
      <c r="AF472" s="110"/>
      <c r="AG472" s="110"/>
      <c r="AH472" s="110"/>
      <c r="AI472" s="110"/>
      <c r="AJ472" s="110"/>
      <c r="AK472" s="110"/>
      <c r="AL472" s="110"/>
      <c r="AM472" s="110"/>
      <c r="AN472" s="110"/>
      <c r="AO472" s="110"/>
      <c r="AP472" s="110"/>
      <c r="AQ472" s="110"/>
      <c r="AR472" s="110"/>
      <c r="AS472" s="110"/>
      <c r="AT472" s="110"/>
      <c r="AU472" s="110"/>
    </row>
    <row r="473" spans="1:47" ht="12.75" hidden="1">
      <c r="A473" s="110"/>
      <c r="B473" s="1009"/>
      <c r="C473" s="1010"/>
      <c r="D473" s="253"/>
      <c r="E473" s="1011"/>
      <c r="F473" s="262"/>
      <c r="G473" s="1011"/>
      <c r="H473" s="262"/>
      <c r="I473" s="1011"/>
      <c r="J473" s="262"/>
      <c r="K473" s="1011"/>
      <c r="L473" s="262"/>
      <c r="M473" s="1011"/>
      <c r="N473" s="262"/>
      <c r="O473" s="1011"/>
      <c r="P473" s="262"/>
      <c r="Q473" s="1011"/>
      <c r="R473" s="1012"/>
      <c r="S473" s="1011"/>
      <c r="T473" s="1012"/>
      <c r="U473" s="1010"/>
      <c r="V473" s="1012"/>
      <c r="W473" s="1010"/>
      <c r="X473" s="1012"/>
      <c r="Y473" s="1010"/>
      <c r="Z473" s="262"/>
      <c r="AA473" s="110"/>
      <c r="AB473" s="110"/>
      <c r="AC473" s="110"/>
      <c r="AD473" s="110"/>
      <c r="AE473" s="110"/>
      <c r="AF473" s="110"/>
      <c r="AG473" s="110"/>
      <c r="AH473" s="110"/>
      <c r="AI473" s="110"/>
      <c r="AJ473" s="110"/>
      <c r="AK473" s="110"/>
      <c r="AL473" s="110"/>
      <c r="AM473" s="110"/>
      <c r="AN473" s="110"/>
      <c r="AO473" s="110"/>
      <c r="AP473" s="110"/>
      <c r="AQ473" s="110"/>
      <c r="AR473" s="110"/>
      <c r="AS473" s="110"/>
      <c r="AT473" s="110"/>
      <c r="AU473" s="110"/>
    </row>
    <row r="474" spans="1:47" ht="12.75" hidden="1">
      <c r="A474" s="110"/>
      <c r="B474" s="1009"/>
      <c r="C474" s="1010"/>
      <c r="D474" s="253"/>
      <c r="E474" s="1011"/>
      <c r="F474" s="262"/>
      <c r="G474" s="1011"/>
      <c r="H474" s="262"/>
      <c r="I474" s="1011"/>
      <c r="J474" s="262"/>
      <c r="K474" s="1011"/>
      <c r="L474" s="262"/>
      <c r="M474" s="1011"/>
      <c r="N474" s="262"/>
      <c r="O474" s="1011"/>
      <c r="P474" s="262"/>
      <c r="Q474" s="1011"/>
      <c r="R474" s="1012"/>
      <c r="S474" s="1011"/>
      <c r="T474" s="1012"/>
      <c r="U474" s="1010"/>
      <c r="V474" s="1012"/>
      <c r="W474" s="1010"/>
      <c r="X474" s="1012"/>
      <c r="Y474" s="1010"/>
      <c r="Z474" s="262"/>
      <c r="AA474" s="110"/>
      <c r="AB474" s="110"/>
      <c r="AC474" s="110"/>
      <c r="AD474" s="110"/>
      <c r="AE474" s="110"/>
      <c r="AF474" s="110"/>
      <c r="AG474" s="110"/>
      <c r="AH474" s="110"/>
      <c r="AI474" s="110"/>
      <c r="AJ474" s="110"/>
      <c r="AK474" s="110"/>
      <c r="AL474" s="110"/>
      <c r="AM474" s="110"/>
      <c r="AN474" s="110"/>
      <c r="AO474" s="110"/>
      <c r="AP474" s="110"/>
      <c r="AQ474" s="110"/>
      <c r="AR474" s="110"/>
      <c r="AS474" s="110"/>
      <c r="AT474" s="110"/>
      <c r="AU474" s="110"/>
    </row>
    <row r="475" spans="1:47" ht="12.75" hidden="1">
      <c r="A475" s="110"/>
      <c r="B475" s="1009"/>
      <c r="C475" s="1010"/>
      <c r="D475" s="253"/>
      <c r="E475" s="1011"/>
      <c r="F475" s="262"/>
      <c r="G475" s="1011"/>
      <c r="H475" s="262"/>
      <c r="I475" s="1011"/>
      <c r="J475" s="262"/>
      <c r="K475" s="1011"/>
      <c r="L475" s="262"/>
      <c r="M475" s="1011"/>
      <c r="N475" s="262"/>
      <c r="O475" s="1011"/>
      <c r="P475" s="262"/>
      <c r="Q475" s="1011"/>
      <c r="R475" s="1012"/>
      <c r="S475" s="1011"/>
      <c r="T475" s="1012"/>
      <c r="U475" s="1010"/>
      <c r="V475" s="1012"/>
      <c r="W475" s="1010"/>
      <c r="X475" s="1012"/>
      <c r="Y475" s="1010"/>
      <c r="Z475" s="262"/>
      <c r="AA475" s="110"/>
      <c r="AB475" s="110"/>
      <c r="AC475" s="110"/>
      <c r="AD475" s="110"/>
      <c r="AE475" s="110"/>
      <c r="AF475" s="110"/>
      <c r="AG475" s="110"/>
      <c r="AH475" s="110"/>
      <c r="AI475" s="110"/>
      <c r="AJ475" s="110"/>
      <c r="AK475" s="110"/>
      <c r="AL475" s="110"/>
      <c r="AM475" s="110"/>
      <c r="AN475" s="110"/>
      <c r="AO475" s="110"/>
      <c r="AP475" s="110"/>
      <c r="AQ475" s="110"/>
      <c r="AR475" s="110"/>
      <c r="AS475" s="110"/>
      <c r="AT475" s="110"/>
      <c r="AU475" s="110"/>
    </row>
    <row r="476" spans="1:47" ht="12.75" hidden="1">
      <c r="A476" s="110"/>
      <c r="B476" s="1009"/>
      <c r="C476" s="1010"/>
      <c r="D476" s="253"/>
      <c r="E476" s="1011"/>
      <c r="F476" s="262"/>
      <c r="G476" s="1011"/>
      <c r="H476" s="262"/>
      <c r="I476" s="1011"/>
      <c r="J476" s="262"/>
      <c r="K476" s="1011"/>
      <c r="L476" s="262"/>
      <c r="M476" s="1011"/>
      <c r="N476" s="262"/>
      <c r="O476" s="1011"/>
      <c r="P476" s="262"/>
      <c r="Q476" s="1011"/>
      <c r="R476" s="1012"/>
      <c r="S476" s="1011"/>
      <c r="T476" s="1012"/>
      <c r="U476" s="1010"/>
      <c r="V476" s="1012"/>
      <c r="W476" s="1010"/>
      <c r="X476" s="1012"/>
      <c r="Y476" s="1010"/>
      <c r="Z476" s="262"/>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row>
    <row r="477" spans="1:47" ht="12.75" hidden="1">
      <c r="A477" s="110"/>
      <c r="B477" s="1009"/>
      <c r="C477" s="1010"/>
      <c r="D477" s="253"/>
      <c r="E477" s="1011"/>
      <c r="F477" s="262"/>
      <c r="G477" s="1011"/>
      <c r="H477" s="262"/>
      <c r="I477" s="1011"/>
      <c r="J477" s="262"/>
      <c r="K477" s="1011"/>
      <c r="L477" s="262"/>
      <c r="M477" s="1011"/>
      <c r="N477" s="262"/>
      <c r="O477" s="1011"/>
      <c r="P477" s="262"/>
      <c r="Q477" s="1011"/>
      <c r="R477" s="1012"/>
      <c r="S477" s="1011"/>
      <c r="T477" s="1012"/>
      <c r="U477" s="1010"/>
      <c r="V477" s="1012"/>
      <c r="W477" s="1010"/>
      <c r="X477" s="1012"/>
      <c r="Y477" s="1010"/>
      <c r="Z477" s="262"/>
      <c r="AA477" s="110"/>
      <c r="AB477" s="110"/>
      <c r="AC477" s="110"/>
      <c r="AD477" s="110"/>
      <c r="AE477" s="110"/>
      <c r="AF477" s="110"/>
      <c r="AG477" s="110"/>
      <c r="AH477" s="110"/>
      <c r="AI477" s="110"/>
      <c r="AJ477" s="110"/>
      <c r="AK477" s="110"/>
      <c r="AL477" s="110"/>
      <c r="AM477" s="110"/>
      <c r="AN477" s="110"/>
      <c r="AO477" s="110"/>
      <c r="AP477" s="110"/>
      <c r="AQ477" s="110"/>
      <c r="AR477" s="110"/>
      <c r="AS477" s="110"/>
      <c r="AT477" s="110"/>
      <c r="AU477" s="110"/>
    </row>
    <row r="478" spans="1:47" ht="12.75" hidden="1">
      <c r="A478" s="110"/>
      <c r="B478" s="1009"/>
      <c r="C478" s="1010"/>
      <c r="D478" s="253"/>
      <c r="E478" s="1011"/>
      <c r="F478" s="262"/>
      <c r="G478" s="1011"/>
      <c r="H478" s="262"/>
      <c r="I478" s="1011"/>
      <c r="J478" s="262"/>
      <c r="K478" s="1011"/>
      <c r="L478" s="262"/>
      <c r="M478" s="1011"/>
      <c r="N478" s="262"/>
      <c r="O478" s="1011"/>
      <c r="P478" s="262"/>
      <c r="Q478" s="1011"/>
      <c r="R478" s="1012"/>
      <c r="S478" s="1011"/>
      <c r="T478" s="1012"/>
      <c r="U478" s="1010"/>
      <c r="V478" s="1012"/>
      <c r="W478" s="1010"/>
      <c r="X478" s="1012"/>
      <c r="Y478" s="1010"/>
      <c r="Z478" s="262"/>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row>
    <row r="479" spans="1:47" ht="12.75" hidden="1">
      <c r="A479" s="110"/>
      <c r="B479" s="1009"/>
      <c r="C479" s="1010"/>
      <c r="D479" s="253"/>
      <c r="E479" s="1011"/>
      <c r="F479" s="262"/>
      <c r="G479" s="1011"/>
      <c r="H479" s="262"/>
      <c r="I479" s="1011"/>
      <c r="J479" s="262"/>
      <c r="K479" s="1011"/>
      <c r="L479" s="262"/>
      <c r="M479" s="1011"/>
      <c r="N479" s="262"/>
      <c r="O479" s="1011"/>
      <c r="P479" s="262"/>
      <c r="Q479" s="1011"/>
      <c r="R479" s="1012"/>
      <c r="S479" s="1011"/>
      <c r="T479" s="1012"/>
      <c r="U479" s="1010"/>
      <c r="V479" s="1012"/>
      <c r="W479" s="1010"/>
      <c r="X479" s="1012"/>
      <c r="Y479" s="1010"/>
      <c r="Z479" s="262"/>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row>
    <row r="480" spans="1:47" ht="12.75" hidden="1">
      <c r="A480" s="110"/>
      <c r="B480" s="1009"/>
      <c r="C480" s="1010"/>
      <c r="D480" s="253"/>
      <c r="E480" s="1011"/>
      <c r="F480" s="262"/>
      <c r="G480" s="1011"/>
      <c r="H480" s="262"/>
      <c r="I480" s="1011"/>
      <c r="J480" s="262"/>
      <c r="K480" s="1011"/>
      <c r="L480" s="262"/>
      <c r="M480" s="1011"/>
      <c r="N480" s="262"/>
      <c r="O480" s="1011"/>
      <c r="P480" s="262"/>
      <c r="Q480" s="1011"/>
      <c r="R480" s="1012"/>
      <c r="S480" s="1011"/>
      <c r="T480" s="1012"/>
      <c r="U480" s="1010"/>
      <c r="V480" s="1012"/>
      <c r="W480" s="1010"/>
      <c r="X480" s="1012"/>
      <c r="Y480" s="1010"/>
      <c r="Z480" s="262"/>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row>
    <row r="481" spans="1:47" ht="12.75" hidden="1">
      <c r="A481" s="110"/>
      <c r="B481" s="1009"/>
      <c r="C481" s="1010"/>
      <c r="D481" s="253"/>
      <c r="E481" s="1011"/>
      <c r="F481" s="262"/>
      <c r="G481" s="1011"/>
      <c r="H481" s="262"/>
      <c r="I481" s="1011"/>
      <c r="J481" s="262"/>
      <c r="K481" s="1011"/>
      <c r="L481" s="262"/>
      <c r="M481" s="1011"/>
      <c r="N481" s="262"/>
      <c r="O481" s="1011"/>
      <c r="P481" s="262"/>
      <c r="Q481" s="1011"/>
      <c r="R481" s="1012"/>
      <c r="S481" s="1011"/>
      <c r="T481" s="1012"/>
      <c r="U481" s="1010"/>
      <c r="V481" s="1012"/>
      <c r="W481" s="1010"/>
      <c r="X481" s="1012"/>
      <c r="Y481" s="1010"/>
      <c r="Z481" s="262"/>
      <c r="AA481" s="110"/>
      <c r="AB481" s="110"/>
      <c r="AC481" s="110"/>
      <c r="AD481" s="110"/>
      <c r="AE481" s="110"/>
      <c r="AF481" s="110"/>
      <c r="AG481" s="110"/>
      <c r="AH481" s="110"/>
      <c r="AI481" s="110"/>
      <c r="AJ481" s="110"/>
      <c r="AK481" s="110"/>
      <c r="AL481" s="110"/>
      <c r="AM481" s="110"/>
      <c r="AN481" s="110"/>
      <c r="AO481" s="110"/>
      <c r="AP481" s="110"/>
      <c r="AQ481" s="110"/>
      <c r="AR481" s="110"/>
      <c r="AS481" s="110"/>
      <c r="AT481" s="110"/>
      <c r="AU481" s="110"/>
    </row>
    <row r="482" spans="1:47" ht="12.75" hidden="1">
      <c r="A482" s="110"/>
      <c r="B482" s="1009"/>
      <c r="C482" s="1010"/>
      <c r="D482" s="253"/>
      <c r="E482" s="1011"/>
      <c r="F482" s="262"/>
      <c r="G482" s="1011"/>
      <c r="H482" s="262"/>
      <c r="I482" s="1011"/>
      <c r="J482" s="262"/>
      <c r="K482" s="1011"/>
      <c r="L482" s="262"/>
      <c r="M482" s="1011"/>
      <c r="N482" s="262"/>
      <c r="O482" s="1011"/>
      <c r="P482" s="262"/>
      <c r="Q482" s="1011"/>
      <c r="R482" s="1012"/>
      <c r="S482" s="1011"/>
      <c r="T482" s="1012"/>
      <c r="U482" s="1010"/>
      <c r="V482" s="1012"/>
      <c r="W482" s="1010"/>
      <c r="X482" s="1012"/>
      <c r="Y482" s="1010"/>
      <c r="Z482" s="262"/>
      <c r="AA482" s="110"/>
      <c r="AB482" s="110"/>
      <c r="AC482" s="110"/>
      <c r="AD482" s="110"/>
      <c r="AE482" s="110"/>
      <c r="AF482" s="110"/>
      <c r="AG482" s="110"/>
      <c r="AH482" s="110"/>
      <c r="AI482" s="110"/>
      <c r="AJ482" s="110"/>
      <c r="AK482" s="110"/>
      <c r="AL482" s="110"/>
      <c r="AM482" s="110"/>
      <c r="AN482" s="110"/>
      <c r="AO482" s="110"/>
      <c r="AP482" s="110"/>
      <c r="AQ482" s="110"/>
      <c r="AR482" s="110"/>
      <c r="AS482" s="110"/>
      <c r="AT482" s="110"/>
      <c r="AU482" s="110"/>
    </row>
    <row r="483" spans="1:47" ht="12.75" hidden="1">
      <c r="A483" s="110"/>
      <c r="B483" s="1009"/>
      <c r="C483" s="1010"/>
      <c r="D483" s="253"/>
      <c r="E483" s="1011"/>
      <c r="F483" s="262"/>
      <c r="G483" s="1011"/>
      <c r="H483" s="262"/>
      <c r="I483" s="1011"/>
      <c r="J483" s="262"/>
      <c r="K483" s="1011"/>
      <c r="L483" s="262"/>
      <c r="M483" s="1011"/>
      <c r="N483" s="262"/>
      <c r="O483" s="1011"/>
      <c r="P483" s="262"/>
      <c r="Q483" s="1011"/>
      <c r="R483" s="1012"/>
      <c r="S483" s="1011"/>
      <c r="T483" s="1012"/>
      <c r="U483" s="1010"/>
      <c r="V483" s="1012"/>
      <c r="W483" s="1010"/>
      <c r="X483" s="1012"/>
      <c r="Y483" s="1010"/>
      <c r="Z483" s="262"/>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row>
    <row r="484" spans="1:47" ht="12.75" hidden="1">
      <c r="A484" s="110"/>
      <c r="B484" s="1009"/>
      <c r="C484" s="1010"/>
      <c r="D484" s="253"/>
      <c r="E484" s="1011"/>
      <c r="F484" s="262"/>
      <c r="G484" s="1011"/>
      <c r="H484" s="262"/>
      <c r="I484" s="1011"/>
      <c r="J484" s="262"/>
      <c r="K484" s="1011"/>
      <c r="L484" s="262"/>
      <c r="M484" s="1011"/>
      <c r="N484" s="262"/>
      <c r="O484" s="1011"/>
      <c r="P484" s="262"/>
      <c r="Q484" s="1011"/>
      <c r="R484" s="1012"/>
      <c r="S484" s="1011"/>
      <c r="T484" s="1012"/>
      <c r="U484" s="1010"/>
      <c r="V484" s="1012"/>
      <c r="W484" s="1010"/>
      <c r="X484" s="1012"/>
      <c r="Y484" s="1010"/>
      <c r="Z484" s="262"/>
      <c r="AA484" s="110"/>
      <c r="AB484" s="110"/>
      <c r="AC484" s="110"/>
      <c r="AD484" s="110"/>
      <c r="AE484" s="110"/>
      <c r="AF484" s="110"/>
      <c r="AG484" s="110"/>
      <c r="AH484" s="110"/>
      <c r="AI484" s="110"/>
      <c r="AJ484" s="110"/>
      <c r="AK484" s="110"/>
      <c r="AL484" s="110"/>
      <c r="AM484" s="110"/>
      <c r="AN484" s="110"/>
      <c r="AO484" s="110"/>
      <c r="AP484" s="110"/>
      <c r="AQ484" s="110"/>
      <c r="AR484" s="110"/>
      <c r="AS484" s="110"/>
      <c r="AT484" s="110"/>
      <c r="AU484" s="110"/>
    </row>
    <row r="485" spans="1:47" ht="12.75" hidden="1">
      <c r="A485" s="110"/>
      <c r="B485" s="1009"/>
      <c r="C485" s="1010"/>
      <c r="D485" s="253"/>
      <c r="E485" s="1011"/>
      <c r="F485" s="262"/>
      <c r="G485" s="1011"/>
      <c r="H485" s="262"/>
      <c r="I485" s="1011"/>
      <c r="J485" s="262"/>
      <c r="K485" s="1011"/>
      <c r="L485" s="262"/>
      <c r="M485" s="1011"/>
      <c r="N485" s="262"/>
      <c r="O485" s="1011"/>
      <c r="P485" s="262"/>
      <c r="Q485" s="1011"/>
      <c r="R485" s="1012"/>
      <c r="S485" s="1011"/>
      <c r="T485" s="1012"/>
      <c r="U485" s="1010"/>
      <c r="V485" s="1012"/>
      <c r="W485" s="1010"/>
      <c r="X485" s="1012"/>
      <c r="Y485" s="1010"/>
      <c r="Z485" s="262"/>
      <c r="AA485" s="110"/>
      <c r="AB485" s="110"/>
      <c r="AC485" s="110"/>
      <c r="AD485" s="110"/>
      <c r="AE485" s="110"/>
      <c r="AF485" s="110"/>
      <c r="AG485" s="110"/>
      <c r="AH485" s="110"/>
      <c r="AI485" s="110"/>
      <c r="AJ485" s="110"/>
      <c r="AK485" s="110"/>
      <c r="AL485" s="110"/>
      <c r="AM485" s="110"/>
      <c r="AN485" s="110"/>
      <c r="AO485" s="110"/>
      <c r="AP485" s="110"/>
      <c r="AQ485" s="110"/>
      <c r="AR485" s="110"/>
      <c r="AS485" s="110"/>
      <c r="AT485" s="110"/>
      <c r="AU485" s="110"/>
    </row>
    <row r="486" spans="1:47" ht="12.75" hidden="1">
      <c r="A486" s="110"/>
      <c r="B486" s="1009"/>
      <c r="C486" s="1010"/>
      <c r="D486" s="253"/>
      <c r="E486" s="1011"/>
      <c r="F486" s="262"/>
      <c r="G486" s="1011"/>
      <c r="H486" s="262"/>
      <c r="I486" s="1011"/>
      <c r="J486" s="262"/>
      <c r="K486" s="1011"/>
      <c r="L486" s="262"/>
      <c r="M486" s="1011"/>
      <c r="N486" s="262"/>
      <c r="O486" s="1011"/>
      <c r="P486" s="262"/>
      <c r="Q486" s="1011"/>
      <c r="R486" s="1012"/>
      <c r="S486" s="1011"/>
      <c r="T486" s="1012"/>
      <c r="U486" s="1010"/>
      <c r="V486" s="1012"/>
      <c r="W486" s="1010"/>
      <c r="X486" s="1012"/>
      <c r="Y486" s="1010"/>
      <c r="Z486" s="262"/>
      <c r="AA486" s="110"/>
      <c r="AB486" s="110"/>
      <c r="AC486" s="110"/>
      <c r="AD486" s="110"/>
      <c r="AE486" s="110"/>
      <c r="AF486" s="110"/>
      <c r="AG486" s="110"/>
      <c r="AH486" s="110"/>
      <c r="AI486" s="110"/>
      <c r="AJ486" s="110"/>
      <c r="AK486" s="110"/>
      <c r="AL486" s="110"/>
      <c r="AM486" s="110"/>
      <c r="AN486" s="110"/>
      <c r="AO486" s="110"/>
      <c r="AP486" s="110"/>
      <c r="AQ486" s="110"/>
      <c r="AR486" s="110"/>
      <c r="AS486" s="110"/>
      <c r="AT486" s="110"/>
      <c r="AU486" s="110"/>
    </row>
    <row r="487" spans="1:47" ht="12.75" hidden="1">
      <c r="A487" s="110"/>
      <c r="B487" s="1009"/>
      <c r="C487" s="1010"/>
      <c r="D487" s="253"/>
      <c r="E487" s="1011"/>
      <c r="F487" s="262"/>
      <c r="G487" s="1011"/>
      <c r="H487" s="262"/>
      <c r="I487" s="1011"/>
      <c r="J487" s="262"/>
      <c r="K487" s="1011"/>
      <c r="L487" s="262"/>
      <c r="M487" s="1011"/>
      <c r="N487" s="262"/>
      <c r="O487" s="1011"/>
      <c r="P487" s="262"/>
      <c r="Q487" s="1011"/>
      <c r="R487" s="1012"/>
      <c r="S487" s="1011"/>
      <c r="T487" s="1012"/>
      <c r="U487" s="1010"/>
      <c r="V487" s="1012"/>
      <c r="W487" s="1010"/>
      <c r="X487" s="1012"/>
      <c r="Y487" s="1010"/>
      <c r="Z487" s="262"/>
      <c r="AA487" s="110"/>
      <c r="AB487" s="110"/>
      <c r="AC487" s="110"/>
      <c r="AD487" s="110"/>
      <c r="AE487" s="110"/>
      <c r="AF487" s="110"/>
      <c r="AG487" s="110"/>
      <c r="AH487" s="110"/>
      <c r="AI487" s="110"/>
      <c r="AJ487" s="110"/>
      <c r="AK487" s="110"/>
      <c r="AL487" s="110"/>
      <c r="AM487" s="110"/>
      <c r="AN487" s="110"/>
      <c r="AO487" s="110"/>
      <c r="AP487" s="110"/>
      <c r="AQ487" s="110"/>
      <c r="AR487" s="110"/>
      <c r="AS487" s="110"/>
      <c r="AT487" s="110"/>
      <c r="AU487" s="110"/>
    </row>
    <row r="488" spans="1:47" ht="12.75" hidden="1">
      <c r="A488" s="110"/>
      <c r="B488" s="1009"/>
      <c r="C488" s="1010"/>
      <c r="D488" s="253"/>
      <c r="E488" s="1011"/>
      <c r="F488" s="262"/>
      <c r="G488" s="1011"/>
      <c r="H488" s="262"/>
      <c r="I488" s="1011"/>
      <c r="J488" s="262"/>
      <c r="K488" s="1011"/>
      <c r="L488" s="262"/>
      <c r="M488" s="1011"/>
      <c r="N488" s="262"/>
      <c r="O488" s="1011"/>
      <c r="P488" s="262"/>
      <c r="Q488" s="1011"/>
      <c r="R488" s="1012"/>
      <c r="S488" s="1011"/>
      <c r="T488" s="1012"/>
      <c r="U488" s="1010"/>
      <c r="V488" s="1012"/>
      <c r="W488" s="1010"/>
      <c r="X488" s="1012"/>
      <c r="Y488" s="1010"/>
      <c r="Z488" s="262"/>
      <c r="AA488" s="110"/>
      <c r="AB488" s="110"/>
      <c r="AC488" s="110"/>
      <c r="AD488" s="110"/>
      <c r="AE488" s="110"/>
      <c r="AF488" s="110"/>
      <c r="AG488" s="110"/>
      <c r="AH488" s="110"/>
      <c r="AI488" s="110"/>
      <c r="AJ488" s="110"/>
      <c r="AK488" s="110"/>
      <c r="AL488" s="110"/>
      <c r="AM488" s="110"/>
      <c r="AN488" s="110"/>
      <c r="AO488" s="110"/>
      <c r="AP488" s="110"/>
      <c r="AQ488" s="110"/>
      <c r="AR488" s="110"/>
      <c r="AS488" s="110"/>
      <c r="AT488" s="110"/>
      <c r="AU488" s="110"/>
    </row>
    <row r="489" spans="1:47" ht="12.75" hidden="1">
      <c r="A489" s="110"/>
      <c r="B489" s="1009"/>
      <c r="C489" s="1010"/>
      <c r="D489" s="253"/>
      <c r="E489" s="1011"/>
      <c r="F489" s="262"/>
      <c r="G489" s="1011"/>
      <c r="H489" s="262"/>
      <c r="I489" s="1011"/>
      <c r="J489" s="262"/>
      <c r="K489" s="1011"/>
      <c r="L489" s="262"/>
      <c r="M489" s="1011"/>
      <c r="N489" s="262"/>
      <c r="O489" s="1011"/>
      <c r="P489" s="262"/>
      <c r="Q489" s="1011"/>
      <c r="R489" s="1012"/>
      <c r="S489" s="1011"/>
      <c r="T489" s="1012"/>
      <c r="U489" s="1010"/>
      <c r="V489" s="1012"/>
      <c r="W489" s="1010"/>
      <c r="X489" s="1012"/>
      <c r="Y489" s="1010"/>
      <c r="Z489" s="262"/>
      <c r="AA489" s="110"/>
      <c r="AB489" s="110"/>
      <c r="AC489" s="110"/>
      <c r="AD489" s="110"/>
      <c r="AE489" s="110"/>
      <c r="AF489" s="110"/>
      <c r="AG489" s="110"/>
      <c r="AH489" s="110"/>
      <c r="AI489" s="110"/>
      <c r="AJ489" s="110"/>
      <c r="AK489" s="110"/>
      <c r="AL489" s="110"/>
      <c r="AM489" s="110"/>
      <c r="AN489" s="110"/>
      <c r="AO489" s="110"/>
      <c r="AP489" s="110"/>
      <c r="AQ489" s="110"/>
      <c r="AR489" s="110"/>
      <c r="AS489" s="110"/>
      <c r="AT489" s="110"/>
      <c r="AU489" s="110"/>
    </row>
    <row r="490" spans="1:47" ht="12.75" hidden="1">
      <c r="A490" s="110"/>
      <c r="B490" s="1009"/>
      <c r="C490" s="1010"/>
      <c r="D490" s="253"/>
      <c r="E490" s="1011"/>
      <c r="F490" s="262"/>
      <c r="G490" s="1011"/>
      <c r="H490" s="262"/>
      <c r="I490" s="1011"/>
      <c r="J490" s="262"/>
      <c r="K490" s="1011"/>
      <c r="L490" s="262"/>
      <c r="M490" s="1011"/>
      <c r="N490" s="262"/>
      <c r="O490" s="1011"/>
      <c r="P490" s="262"/>
      <c r="Q490" s="1011"/>
      <c r="R490" s="1012"/>
      <c r="S490" s="1011"/>
      <c r="T490" s="1012"/>
      <c r="U490" s="1010"/>
      <c r="V490" s="1012"/>
      <c r="W490" s="1010"/>
      <c r="X490" s="1012"/>
      <c r="Y490" s="1010"/>
      <c r="Z490" s="262"/>
      <c r="AA490" s="110"/>
      <c r="AB490" s="110"/>
      <c r="AC490" s="110"/>
      <c r="AD490" s="110"/>
      <c r="AE490" s="110"/>
      <c r="AF490" s="110"/>
      <c r="AG490" s="110"/>
      <c r="AH490" s="110"/>
      <c r="AI490" s="110"/>
      <c r="AJ490" s="110"/>
      <c r="AK490" s="110"/>
      <c r="AL490" s="110"/>
      <c r="AM490" s="110"/>
      <c r="AN490" s="110"/>
      <c r="AO490" s="110"/>
      <c r="AP490" s="110"/>
      <c r="AQ490" s="110"/>
      <c r="AR490" s="110"/>
      <c r="AS490" s="110"/>
      <c r="AT490" s="110"/>
      <c r="AU490" s="110"/>
    </row>
    <row r="491" spans="1:47" ht="12.75" hidden="1">
      <c r="A491" s="110"/>
      <c r="B491" s="1009"/>
      <c r="C491" s="1010"/>
      <c r="D491" s="253"/>
      <c r="E491" s="1011"/>
      <c r="F491" s="262"/>
      <c r="G491" s="1011"/>
      <c r="H491" s="262"/>
      <c r="I491" s="1011"/>
      <c r="J491" s="262"/>
      <c r="K491" s="1011"/>
      <c r="L491" s="262"/>
      <c r="M491" s="1011"/>
      <c r="N491" s="262"/>
      <c r="O491" s="1011"/>
      <c r="P491" s="262"/>
      <c r="Q491" s="1011"/>
      <c r="R491" s="1012"/>
      <c r="S491" s="1011"/>
      <c r="T491" s="1012"/>
      <c r="U491" s="1010"/>
      <c r="V491" s="1012"/>
      <c r="W491" s="1010"/>
      <c r="X491" s="1012"/>
      <c r="Y491" s="1010"/>
      <c r="Z491" s="262"/>
      <c r="AA491" s="110"/>
      <c r="AB491" s="110"/>
      <c r="AC491" s="110"/>
      <c r="AD491" s="110"/>
      <c r="AE491" s="110"/>
      <c r="AF491" s="110"/>
      <c r="AG491" s="110"/>
      <c r="AH491" s="110"/>
      <c r="AI491" s="110"/>
      <c r="AJ491" s="110"/>
      <c r="AK491" s="110"/>
      <c r="AL491" s="110"/>
      <c r="AM491" s="110"/>
      <c r="AN491" s="110"/>
      <c r="AO491" s="110"/>
      <c r="AP491" s="110"/>
      <c r="AQ491" s="110"/>
      <c r="AR491" s="110"/>
      <c r="AS491" s="110"/>
      <c r="AT491" s="110"/>
      <c r="AU491" s="110"/>
    </row>
    <row r="492" spans="1:47" ht="12.75" hidden="1">
      <c r="A492" s="110"/>
      <c r="B492" s="1009"/>
      <c r="C492" s="1010"/>
      <c r="D492" s="253"/>
      <c r="E492" s="1011"/>
      <c r="F492" s="262"/>
      <c r="G492" s="1011"/>
      <c r="H492" s="262"/>
      <c r="I492" s="1011"/>
      <c r="J492" s="262"/>
      <c r="K492" s="1011"/>
      <c r="L492" s="262"/>
      <c r="M492" s="1011"/>
      <c r="N492" s="262"/>
      <c r="O492" s="1011"/>
      <c r="P492" s="262"/>
      <c r="Q492" s="1011"/>
      <c r="R492" s="1012"/>
      <c r="S492" s="1011"/>
      <c r="T492" s="1012"/>
      <c r="U492" s="1010"/>
      <c r="V492" s="1012"/>
      <c r="W492" s="1010"/>
      <c r="X492" s="1012"/>
      <c r="Y492" s="1010"/>
      <c r="Z492" s="262"/>
      <c r="AA492" s="110"/>
      <c r="AB492" s="110"/>
      <c r="AC492" s="110"/>
      <c r="AD492" s="110"/>
      <c r="AE492" s="110"/>
      <c r="AF492" s="110"/>
      <c r="AG492" s="110"/>
      <c r="AH492" s="110"/>
      <c r="AI492" s="110"/>
      <c r="AJ492" s="110"/>
      <c r="AK492" s="110"/>
      <c r="AL492" s="110"/>
      <c r="AM492" s="110"/>
      <c r="AN492" s="110"/>
      <c r="AO492" s="110"/>
      <c r="AP492" s="110"/>
      <c r="AQ492" s="110"/>
      <c r="AR492" s="110"/>
      <c r="AS492" s="110"/>
      <c r="AT492" s="110"/>
      <c r="AU492" s="110"/>
    </row>
    <row r="493" spans="1:47" ht="12.75" hidden="1">
      <c r="A493" s="110"/>
      <c r="B493" s="1009"/>
      <c r="C493" s="1010"/>
      <c r="D493" s="253"/>
      <c r="E493" s="1011"/>
      <c r="F493" s="262"/>
      <c r="G493" s="1011"/>
      <c r="H493" s="262"/>
      <c r="I493" s="1011"/>
      <c r="J493" s="262"/>
      <c r="K493" s="1011"/>
      <c r="L493" s="262"/>
      <c r="M493" s="1011"/>
      <c r="N493" s="262"/>
      <c r="O493" s="1011"/>
      <c r="P493" s="262"/>
      <c r="Q493" s="1011"/>
      <c r="R493" s="1012"/>
      <c r="S493" s="1011"/>
      <c r="T493" s="1012"/>
      <c r="U493" s="1010"/>
      <c r="V493" s="1012"/>
      <c r="W493" s="1010"/>
      <c r="X493" s="1012"/>
      <c r="Y493" s="1010"/>
      <c r="Z493" s="262"/>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row>
    <row r="494" spans="1:47" ht="12.75" hidden="1">
      <c r="A494" s="110"/>
      <c r="B494" s="1009"/>
      <c r="C494" s="1010"/>
      <c r="D494" s="253"/>
      <c r="E494" s="1011"/>
      <c r="F494" s="262"/>
      <c r="G494" s="1011"/>
      <c r="H494" s="262"/>
      <c r="I494" s="1011"/>
      <c r="J494" s="262"/>
      <c r="K494" s="1011"/>
      <c r="L494" s="262"/>
      <c r="M494" s="1011"/>
      <c r="N494" s="262"/>
      <c r="O494" s="1011"/>
      <c r="P494" s="262"/>
      <c r="Q494" s="1011"/>
      <c r="R494" s="1012"/>
      <c r="S494" s="1011"/>
      <c r="T494" s="1012"/>
      <c r="U494" s="1010"/>
      <c r="V494" s="1012"/>
      <c r="W494" s="1010"/>
      <c r="X494" s="1012"/>
      <c r="Y494" s="1010"/>
      <c r="Z494" s="262"/>
      <c r="AA494" s="110"/>
      <c r="AB494" s="110"/>
      <c r="AC494" s="110"/>
      <c r="AD494" s="110"/>
      <c r="AE494" s="110"/>
      <c r="AF494" s="110"/>
      <c r="AG494" s="110"/>
      <c r="AH494" s="110"/>
      <c r="AI494" s="110"/>
      <c r="AJ494" s="110"/>
      <c r="AK494" s="110"/>
      <c r="AL494" s="110"/>
      <c r="AM494" s="110"/>
      <c r="AN494" s="110"/>
      <c r="AO494" s="110"/>
      <c r="AP494" s="110"/>
      <c r="AQ494" s="110"/>
      <c r="AR494" s="110"/>
      <c r="AS494" s="110"/>
      <c r="AT494" s="110"/>
      <c r="AU494" s="110"/>
    </row>
    <row r="495" spans="1:47" ht="12.75" hidden="1">
      <c r="A495" s="110"/>
      <c r="B495" s="1009"/>
      <c r="C495" s="1010"/>
      <c r="D495" s="253"/>
      <c r="E495" s="1011"/>
      <c r="F495" s="262"/>
      <c r="G495" s="1011"/>
      <c r="H495" s="262"/>
      <c r="I495" s="1011"/>
      <c r="J495" s="262"/>
      <c r="K495" s="1011"/>
      <c r="L495" s="262"/>
      <c r="M495" s="1011"/>
      <c r="N495" s="262"/>
      <c r="O495" s="1011"/>
      <c r="P495" s="262"/>
      <c r="Q495" s="1011"/>
      <c r="R495" s="1012"/>
      <c r="S495" s="1011"/>
      <c r="T495" s="1012"/>
      <c r="U495" s="1010"/>
      <c r="V495" s="1012"/>
      <c r="W495" s="1010"/>
      <c r="X495" s="1012"/>
      <c r="Y495" s="1010"/>
      <c r="Z495" s="262"/>
      <c r="AA495" s="110"/>
      <c r="AB495" s="110"/>
      <c r="AC495" s="110"/>
      <c r="AD495" s="110"/>
      <c r="AE495" s="110"/>
      <c r="AF495" s="110"/>
      <c r="AG495" s="110"/>
      <c r="AH495" s="110"/>
      <c r="AI495" s="110"/>
      <c r="AJ495" s="110"/>
      <c r="AK495" s="110"/>
      <c r="AL495" s="110"/>
      <c r="AM495" s="110"/>
      <c r="AN495" s="110"/>
      <c r="AO495" s="110"/>
      <c r="AP495" s="110"/>
      <c r="AQ495" s="110"/>
      <c r="AR495" s="110"/>
      <c r="AS495" s="110"/>
      <c r="AT495" s="110"/>
      <c r="AU495" s="110"/>
    </row>
    <row r="496" spans="1:47" ht="12.75" hidden="1">
      <c r="A496" s="110"/>
      <c r="B496" s="1009"/>
      <c r="C496" s="1010"/>
      <c r="D496" s="253"/>
      <c r="E496" s="1011"/>
      <c r="F496" s="262"/>
      <c r="G496" s="1011"/>
      <c r="H496" s="262"/>
      <c r="I496" s="1011"/>
      <c r="J496" s="262"/>
      <c r="K496" s="1011"/>
      <c r="L496" s="262"/>
      <c r="M496" s="1011"/>
      <c r="N496" s="262"/>
      <c r="O496" s="1011"/>
      <c r="P496" s="262"/>
      <c r="Q496" s="1011"/>
      <c r="R496" s="1012"/>
      <c r="S496" s="1011"/>
      <c r="T496" s="1012"/>
      <c r="U496" s="1010"/>
      <c r="V496" s="1012"/>
      <c r="W496" s="1010"/>
      <c r="X496" s="1012"/>
      <c r="Y496" s="1010"/>
      <c r="Z496" s="262"/>
      <c r="AA496" s="110"/>
      <c r="AB496" s="110"/>
      <c r="AC496" s="110"/>
      <c r="AD496" s="110"/>
      <c r="AE496" s="110"/>
      <c r="AF496" s="110"/>
      <c r="AG496" s="110"/>
      <c r="AH496" s="110"/>
      <c r="AI496" s="110"/>
      <c r="AJ496" s="110"/>
      <c r="AK496" s="110"/>
      <c r="AL496" s="110"/>
      <c r="AM496" s="110"/>
      <c r="AN496" s="110"/>
      <c r="AO496" s="110"/>
      <c r="AP496" s="110"/>
      <c r="AQ496" s="110"/>
      <c r="AR496" s="110"/>
      <c r="AS496" s="110"/>
      <c r="AT496" s="110"/>
      <c r="AU496" s="110"/>
    </row>
    <row r="497" spans="1:47" ht="12.75" hidden="1">
      <c r="A497" s="110"/>
      <c r="B497" s="1009"/>
      <c r="C497" s="1010"/>
      <c r="D497" s="253"/>
      <c r="E497" s="1011"/>
      <c r="F497" s="262"/>
      <c r="G497" s="1011"/>
      <c r="H497" s="262"/>
      <c r="I497" s="1011"/>
      <c r="J497" s="262"/>
      <c r="K497" s="1011"/>
      <c r="L497" s="262"/>
      <c r="M497" s="1011"/>
      <c r="N497" s="262"/>
      <c r="O497" s="1011"/>
      <c r="P497" s="262"/>
      <c r="Q497" s="1011"/>
      <c r="R497" s="1012"/>
      <c r="S497" s="1011"/>
      <c r="T497" s="1012"/>
      <c r="U497" s="1010"/>
      <c r="V497" s="1012"/>
      <c r="W497" s="1010"/>
      <c r="X497" s="1012"/>
      <c r="Y497" s="1010"/>
      <c r="Z497" s="262"/>
      <c r="AA497" s="110"/>
      <c r="AB497" s="110"/>
      <c r="AC497" s="110"/>
      <c r="AD497" s="110"/>
      <c r="AE497" s="110"/>
      <c r="AF497" s="110"/>
      <c r="AG497" s="110"/>
      <c r="AH497" s="110"/>
      <c r="AI497" s="110"/>
      <c r="AJ497" s="110"/>
      <c r="AK497" s="110"/>
      <c r="AL497" s="110"/>
      <c r="AM497" s="110"/>
      <c r="AN497" s="110"/>
      <c r="AO497" s="110"/>
      <c r="AP497" s="110"/>
      <c r="AQ497" s="110"/>
      <c r="AR497" s="110"/>
      <c r="AS497" s="110"/>
      <c r="AT497" s="110"/>
      <c r="AU497" s="110"/>
    </row>
    <row r="498" spans="1:47" ht="12.75" hidden="1">
      <c r="A498" s="110"/>
      <c r="B498" s="1009"/>
      <c r="C498" s="1010"/>
      <c r="D498" s="253"/>
      <c r="E498" s="1011"/>
      <c r="F498" s="262"/>
      <c r="G498" s="1011"/>
      <c r="H498" s="262"/>
      <c r="I498" s="1011"/>
      <c r="J498" s="262"/>
      <c r="K498" s="1011"/>
      <c r="L498" s="262"/>
      <c r="M498" s="1011"/>
      <c r="N498" s="262"/>
      <c r="O498" s="1011"/>
      <c r="P498" s="262"/>
      <c r="Q498" s="1011"/>
      <c r="R498" s="1012"/>
      <c r="S498" s="1011"/>
      <c r="T498" s="1012"/>
      <c r="U498" s="1010"/>
      <c r="V498" s="1012"/>
      <c r="W498" s="1010"/>
      <c r="X498" s="1012"/>
      <c r="Y498" s="1010"/>
      <c r="Z498" s="262"/>
      <c r="AA498" s="110"/>
      <c r="AB498" s="110"/>
      <c r="AC498" s="110"/>
      <c r="AD498" s="110"/>
      <c r="AE498" s="110"/>
      <c r="AF498" s="110"/>
      <c r="AG498" s="110"/>
      <c r="AH498" s="110"/>
      <c r="AI498" s="110"/>
      <c r="AJ498" s="110"/>
      <c r="AK498" s="110"/>
      <c r="AL498" s="110"/>
      <c r="AM498" s="110"/>
      <c r="AN498" s="110"/>
      <c r="AO498" s="110"/>
      <c r="AP498" s="110"/>
      <c r="AQ498" s="110"/>
      <c r="AR498" s="110"/>
      <c r="AS498" s="110"/>
      <c r="AT498" s="110"/>
      <c r="AU498" s="110"/>
    </row>
    <row r="499" spans="1:47" ht="12.75" hidden="1">
      <c r="A499" s="110"/>
      <c r="B499" s="1009"/>
      <c r="C499" s="1010"/>
      <c r="D499" s="253"/>
      <c r="E499" s="1011"/>
      <c r="F499" s="262"/>
      <c r="G499" s="1011"/>
      <c r="H499" s="262"/>
      <c r="I499" s="1011"/>
      <c r="J499" s="262"/>
      <c r="K499" s="1011"/>
      <c r="L499" s="262"/>
      <c r="M499" s="1011"/>
      <c r="N499" s="262"/>
      <c r="O499" s="1011"/>
      <c r="P499" s="262"/>
      <c r="Q499" s="1011"/>
      <c r="R499" s="1012"/>
      <c r="S499" s="1011"/>
      <c r="T499" s="1012"/>
      <c r="U499" s="1010"/>
      <c r="V499" s="1012"/>
      <c r="W499" s="1010"/>
      <c r="X499" s="1012"/>
      <c r="Y499" s="1010"/>
      <c r="Z499" s="262"/>
      <c r="AA499" s="110"/>
      <c r="AB499" s="110"/>
      <c r="AC499" s="110"/>
      <c r="AD499" s="110"/>
      <c r="AE499" s="110"/>
      <c r="AF499" s="110"/>
      <c r="AG499" s="110"/>
      <c r="AH499" s="110"/>
      <c r="AI499" s="110"/>
      <c r="AJ499" s="110"/>
      <c r="AK499" s="110"/>
      <c r="AL499" s="110"/>
      <c r="AM499" s="110"/>
      <c r="AN499" s="110"/>
      <c r="AO499" s="110"/>
      <c r="AP499" s="110"/>
      <c r="AQ499" s="110"/>
      <c r="AR499" s="110"/>
      <c r="AS499" s="110"/>
      <c r="AT499" s="110"/>
      <c r="AU499" s="110"/>
    </row>
    <row r="500" spans="1:47" ht="12.75" hidden="1">
      <c r="A500" s="110"/>
      <c r="B500" s="1009"/>
      <c r="C500" s="1010"/>
      <c r="D500" s="253"/>
      <c r="E500" s="1011"/>
      <c r="F500" s="262"/>
      <c r="G500" s="1011"/>
      <c r="H500" s="262"/>
      <c r="I500" s="1011"/>
      <c r="J500" s="262"/>
      <c r="K500" s="1011"/>
      <c r="L500" s="262"/>
      <c r="M500" s="1011"/>
      <c r="N500" s="262"/>
      <c r="O500" s="1011"/>
      <c r="P500" s="262"/>
      <c r="Q500" s="1011"/>
      <c r="R500" s="1012"/>
      <c r="S500" s="1011"/>
      <c r="T500" s="1012"/>
      <c r="U500" s="1010"/>
      <c r="V500" s="1012"/>
      <c r="W500" s="1010"/>
      <c r="X500" s="1012"/>
      <c r="Y500" s="1010"/>
      <c r="Z500" s="262"/>
      <c r="AA500" s="110"/>
      <c r="AB500" s="110"/>
      <c r="AC500" s="110"/>
      <c r="AD500" s="110"/>
      <c r="AE500" s="110"/>
      <c r="AF500" s="110"/>
      <c r="AG500" s="110"/>
      <c r="AH500" s="110"/>
      <c r="AI500" s="110"/>
      <c r="AJ500" s="110"/>
      <c r="AK500" s="110"/>
      <c r="AL500" s="110"/>
      <c r="AM500" s="110"/>
      <c r="AN500" s="110"/>
      <c r="AO500" s="110"/>
      <c r="AP500" s="110"/>
      <c r="AQ500" s="110"/>
      <c r="AR500" s="110"/>
      <c r="AS500" s="110"/>
      <c r="AT500" s="110"/>
      <c r="AU500" s="110"/>
    </row>
    <row r="501" spans="1:47" ht="12.75" hidden="1">
      <c r="A501" s="110"/>
      <c r="B501" s="1009"/>
      <c r="C501" s="1010"/>
      <c r="D501" s="253"/>
      <c r="E501" s="1011"/>
      <c r="F501" s="262"/>
      <c r="G501" s="1011"/>
      <c r="H501" s="262"/>
      <c r="I501" s="1011"/>
      <c r="J501" s="262"/>
      <c r="K501" s="1011"/>
      <c r="L501" s="262"/>
      <c r="M501" s="1011"/>
      <c r="N501" s="262"/>
      <c r="O501" s="1011"/>
      <c r="P501" s="262"/>
      <c r="Q501" s="1011"/>
      <c r="R501" s="1012"/>
      <c r="S501" s="1011"/>
      <c r="T501" s="1012"/>
      <c r="U501" s="1010"/>
      <c r="V501" s="1012"/>
      <c r="W501" s="1010"/>
      <c r="X501" s="1012"/>
      <c r="Y501" s="1010"/>
      <c r="Z501" s="262"/>
      <c r="AA501" s="110"/>
      <c r="AB501" s="110"/>
      <c r="AC501" s="110"/>
      <c r="AD501" s="110"/>
      <c r="AE501" s="110"/>
      <c r="AF501" s="110"/>
      <c r="AG501" s="110"/>
      <c r="AH501" s="110"/>
      <c r="AI501" s="110"/>
      <c r="AJ501" s="110"/>
      <c r="AK501" s="110"/>
      <c r="AL501" s="110"/>
      <c r="AM501" s="110"/>
      <c r="AN501" s="110"/>
      <c r="AO501" s="110"/>
      <c r="AP501" s="110"/>
      <c r="AQ501" s="110"/>
      <c r="AR501" s="110"/>
      <c r="AS501" s="110"/>
      <c r="AT501" s="110"/>
      <c r="AU501" s="110"/>
    </row>
    <row r="502" spans="1:47" ht="12.75" hidden="1">
      <c r="A502" s="110"/>
      <c r="B502" s="1009"/>
      <c r="C502" s="1010"/>
      <c r="D502" s="253"/>
      <c r="E502" s="1011"/>
      <c r="F502" s="262"/>
      <c r="G502" s="1011"/>
      <c r="H502" s="262"/>
      <c r="I502" s="1011"/>
      <c r="J502" s="262"/>
      <c r="K502" s="1011"/>
      <c r="L502" s="262"/>
      <c r="M502" s="1011"/>
      <c r="N502" s="262"/>
      <c r="O502" s="1011"/>
      <c r="P502" s="262"/>
      <c r="Q502" s="1011"/>
      <c r="R502" s="1012"/>
      <c r="S502" s="1011"/>
      <c r="T502" s="1012"/>
      <c r="U502" s="1010"/>
      <c r="V502" s="1012"/>
      <c r="W502" s="1010"/>
      <c r="X502" s="1012"/>
      <c r="Y502" s="1010"/>
      <c r="Z502" s="262"/>
      <c r="AA502" s="110"/>
      <c r="AB502" s="110"/>
      <c r="AC502" s="110"/>
      <c r="AD502" s="110"/>
      <c r="AE502" s="110"/>
      <c r="AF502" s="110"/>
      <c r="AG502" s="110"/>
      <c r="AH502" s="110"/>
      <c r="AI502" s="110"/>
      <c r="AJ502" s="110"/>
      <c r="AK502" s="110"/>
      <c r="AL502" s="110"/>
      <c r="AM502" s="110"/>
      <c r="AN502" s="110"/>
      <c r="AO502" s="110"/>
      <c r="AP502" s="110"/>
      <c r="AQ502" s="110"/>
      <c r="AR502" s="110"/>
      <c r="AS502" s="110"/>
      <c r="AT502" s="110"/>
      <c r="AU502" s="110"/>
    </row>
    <row r="503" spans="1:47" ht="12.75" hidden="1">
      <c r="A503" s="110"/>
      <c r="B503" s="1009"/>
      <c r="C503" s="1010"/>
      <c r="D503" s="253"/>
      <c r="E503" s="1011"/>
      <c r="F503" s="262"/>
      <c r="G503" s="1011"/>
      <c r="H503" s="262"/>
      <c r="I503" s="1011"/>
      <c r="J503" s="262"/>
      <c r="K503" s="1011"/>
      <c r="L503" s="262"/>
      <c r="M503" s="1011"/>
      <c r="N503" s="262"/>
      <c r="O503" s="1011"/>
      <c r="P503" s="262"/>
      <c r="Q503" s="1011"/>
      <c r="R503" s="1012"/>
      <c r="S503" s="1011"/>
      <c r="T503" s="1012"/>
      <c r="U503" s="1010"/>
      <c r="V503" s="1012"/>
      <c r="W503" s="1010"/>
      <c r="X503" s="1012"/>
      <c r="Y503" s="1010"/>
      <c r="Z503" s="262"/>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row>
    <row r="504" spans="1:47" ht="12.75" hidden="1">
      <c r="A504" s="110"/>
      <c r="B504" s="1009"/>
      <c r="C504" s="1010"/>
      <c r="D504" s="253"/>
      <c r="E504" s="1011"/>
      <c r="F504" s="262"/>
      <c r="G504" s="1011"/>
      <c r="H504" s="262"/>
      <c r="I504" s="1011"/>
      <c r="J504" s="262"/>
      <c r="K504" s="1011"/>
      <c r="L504" s="262"/>
      <c r="M504" s="1011"/>
      <c r="N504" s="262"/>
      <c r="O504" s="1011"/>
      <c r="P504" s="262"/>
      <c r="Q504" s="1011"/>
      <c r="R504" s="1012"/>
      <c r="S504" s="1011"/>
      <c r="T504" s="1012"/>
      <c r="U504" s="1010"/>
      <c r="V504" s="1012"/>
      <c r="W504" s="1010"/>
      <c r="X504" s="1012"/>
      <c r="Y504" s="1010"/>
      <c r="Z504" s="262"/>
      <c r="AA504" s="110"/>
      <c r="AB504" s="110"/>
      <c r="AC504" s="110"/>
      <c r="AD504" s="110"/>
      <c r="AE504" s="110"/>
      <c r="AF504" s="110"/>
      <c r="AG504" s="110"/>
      <c r="AH504" s="110"/>
      <c r="AI504" s="110"/>
      <c r="AJ504" s="110"/>
      <c r="AK504" s="110"/>
      <c r="AL504" s="110"/>
      <c r="AM504" s="110"/>
      <c r="AN504" s="110"/>
      <c r="AO504" s="110"/>
      <c r="AP504" s="110"/>
      <c r="AQ504" s="110"/>
      <c r="AR504" s="110"/>
      <c r="AS504" s="110"/>
      <c r="AT504" s="110"/>
      <c r="AU504" s="110"/>
    </row>
    <row r="505" spans="1:47" ht="12.75" hidden="1">
      <c r="A505" s="110"/>
      <c r="B505" s="1009"/>
      <c r="C505" s="1010"/>
      <c r="D505" s="253"/>
      <c r="E505" s="1011"/>
      <c r="F505" s="262"/>
      <c r="G505" s="1011"/>
      <c r="H505" s="262"/>
      <c r="I505" s="1011"/>
      <c r="J505" s="262"/>
      <c r="K505" s="1011"/>
      <c r="L505" s="262"/>
      <c r="M505" s="1011"/>
      <c r="N505" s="262"/>
      <c r="O505" s="1011"/>
      <c r="P505" s="262"/>
      <c r="Q505" s="1011"/>
      <c r="R505" s="1012"/>
      <c r="S505" s="1011"/>
      <c r="T505" s="1012"/>
      <c r="U505" s="1010"/>
      <c r="V505" s="1012"/>
      <c r="W505" s="1010"/>
      <c r="X505" s="1012"/>
      <c r="Y505" s="1010"/>
      <c r="Z505" s="262"/>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row>
    <row r="506" spans="1:47" ht="12.75" hidden="1">
      <c r="A506" s="110"/>
      <c r="B506" s="1009"/>
      <c r="C506" s="1010"/>
      <c r="D506" s="253"/>
      <c r="E506" s="1011"/>
      <c r="F506" s="262"/>
      <c r="G506" s="1011"/>
      <c r="H506" s="262"/>
      <c r="I506" s="1011"/>
      <c r="J506" s="262"/>
      <c r="K506" s="1011"/>
      <c r="L506" s="262"/>
      <c r="M506" s="1011"/>
      <c r="N506" s="262"/>
      <c r="O506" s="1011"/>
      <c r="P506" s="262"/>
      <c r="Q506" s="1011"/>
      <c r="R506" s="1012"/>
      <c r="S506" s="1011"/>
      <c r="T506" s="1012"/>
      <c r="U506" s="1010"/>
      <c r="V506" s="1012"/>
      <c r="W506" s="1010"/>
      <c r="X506" s="1012"/>
      <c r="Y506" s="1010"/>
      <c r="Z506" s="262"/>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row>
    <row r="507" spans="1:47" ht="12.75" hidden="1">
      <c r="A507" s="110"/>
      <c r="B507" s="1009"/>
      <c r="C507" s="1010"/>
      <c r="D507" s="253"/>
      <c r="E507" s="1011"/>
      <c r="F507" s="262"/>
      <c r="G507" s="1011"/>
      <c r="H507" s="262"/>
      <c r="I507" s="1011"/>
      <c r="J507" s="262"/>
      <c r="K507" s="1011"/>
      <c r="L507" s="262"/>
      <c r="M507" s="1011"/>
      <c r="N507" s="262"/>
      <c r="O507" s="1011"/>
      <c r="P507" s="262"/>
      <c r="Q507" s="1011"/>
      <c r="R507" s="1012"/>
      <c r="S507" s="1011"/>
      <c r="T507" s="1012"/>
      <c r="U507" s="1010"/>
      <c r="V507" s="1012"/>
      <c r="W507" s="1010"/>
      <c r="X507" s="1012"/>
      <c r="Y507" s="1010"/>
      <c r="Z507" s="262"/>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row>
    <row r="508" spans="1:47" ht="12.75" hidden="1">
      <c r="A508" s="110"/>
      <c r="B508" s="1009"/>
      <c r="C508" s="1010"/>
      <c r="D508" s="253"/>
      <c r="E508" s="1011"/>
      <c r="F508" s="262"/>
      <c r="G508" s="1011"/>
      <c r="H508" s="262"/>
      <c r="I508" s="1011"/>
      <c r="J508" s="262"/>
      <c r="K508" s="1011"/>
      <c r="L508" s="262"/>
      <c r="M508" s="1011"/>
      <c r="N508" s="262"/>
      <c r="O508" s="1011"/>
      <c r="P508" s="262"/>
      <c r="Q508" s="1011"/>
      <c r="R508" s="1012"/>
      <c r="S508" s="1011"/>
      <c r="T508" s="1012"/>
      <c r="U508" s="1010"/>
      <c r="V508" s="1012"/>
      <c r="W508" s="1010"/>
      <c r="X508" s="1012"/>
      <c r="Y508" s="1010"/>
      <c r="Z508" s="262"/>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row>
    <row r="509" spans="1:47" ht="12.75" hidden="1">
      <c r="A509" s="110"/>
      <c r="B509" s="1009"/>
      <c r="C509" s="1010"/>
      <c r="D509" s="253"/>
      <c r="E509" s="1011"/>
      <c r="F509" s="262"/>
      <c r="G509" s="1011"/>
      <c r="H509" s="262"/>
      <c r="I509" s="1011"/>
      <c r="J509" s="262"/>
      <c r="K509" s="1011"/>
      <c r="L509" s="262"/>
      <c r="M509" s="1011"/>
      <c r="N509" s="262"/>
      <c r="O509" s="1011"/>
      <c r="P509" s="262"/>
      <c r="Q509" s="1011"/>
      <c r="R509" s="1012"/>
      <c r="S509" s="1011"/>
      <c r="T509" s="1012"/>
      <c r="U509" s="1010"/>
      <c r="V509" s="1012"/>
      <c r="W509" s="1010"/>
      <c r="X509" s="1012"/>
      <c r="Y509" s="1010"/>
      <c r="Z509" s="262"/>
      <c r="AA509" s="110"/>
      <c r="AB509" s="110"/>
      <c r="AC509" s="110"/>
      <c r="AD509" s="110"/>
      <c r="AE509" s="110"/>
      <c r="AF509" s="110"/>
      <c r="AG509" s="110"/>
      <c r="AH509" s="110"/>
      <c r="AI509" s="110"/>
      <c r="AJ509" s="110"/>
      <c r="AK509" s="110"/>
      <c r="AL509" s="110"/>
      <c r="AM509" s="110"/>
      <c r="AN509" s="110"/>
      <c r="AO509" s="110"/>
      <c r="AP509" s="110"/>
      <c r="AQ509" s="110"/>
      <c r="AR509" s="110"/>
      <c r="AS509" s="110"/>
      <c r="AT509" s="110"/>
      <c r="AU509" s="110"/>
    </row>
    <row r="510" spans="1:47" ht="12.75" hidden="1">
      <c r="A510" s="110"/>
      <c r="B510" s="1009"/>
      <c r="C510" s="1010"/>
      <c r="D510" s="253"/>
      <c r="E510" s="1011"/>
      <c r="F510" s="262"/>
      <c r="G510" s="1011"/>
      <c r="H510" s="262"/>
      <c r="I510" s="1011"/>
      <c r="J510" s="262"/>
      <c r="K510" s="1011"/>
      <c r="L510" s="262"/>
      <c r="M510" s="1011"/>
      <c r="N510" s="262"/>
      <c r="O510" s="1011"/>
      <c r="P510" s="262"/>
      <c r="Q510" s="1011"/>
      <c r="R510" s="1012"/>
      <c r="S510" s="1011"/>
      <c r="T510" s="1012"/>
      <c r="U510" s="1010"/>
      <c r="V510" s="1012"/>
      <c r="W510" s="1010"/>
      <c r="X510" s="1012"/>
      <c r="Y510" s="1010"/>
      <c r="Z510" s="262"/>
      <c r="AA510" s="110"/>
      <c r="AB510" s="110"/>
      <c r="AC510" s="110"/>
      <c r="AD510" s="110"/>
      <c r="AE510" s="110"/>
      <c r="AF510" s="110"/>
      <c r="AG510" s="110"/>
      <c r="AH510" s="110"/>
      <c r="AI510" s="110"/>
      <c r="AJ510" s="110"/>
      <c r="AK510" s="110"/>
      <c r="AL510" s="110"/>
      <c r="AM510" s="110"/>
      <c r="AN510" s="110"/>
      <c r="AO510" s="110"/>
      <c r="AP510" s="110"/>
      <c r="AQ510" s="110"/>
      <c r="AR510" s="110"/>
      <c r="AS510" s="110"/>
      <c r="AT510" s="110"/>
      <c r="AU510" s="110"/>
    </row>
    <row r="511" spans="1:47" ht="12.75" hidden="1">
      <c r="A511" s="110"/>
      <c r="B511" s="1009"/>
      <c r="C511" s="1010"/>
      <c r="D511" s="253"/>
      <c r="E511" s="1011"/>
      <c r="F511" s="262"/>
      <c r="G511" s="1011"/>
      <c r="H511" s="262"/>
      <c r="I511" s="1011"/>
      <c r="J511" s="262"/>
      <c r="K511" s="1011"/>
      <c r="L511" s="262"/>
      <c r="M511" s="1011"/>
      <c r="N511" s="262"/>
      <c r="O511" s="1011"/>
      <c r="P511" s="262"/>
      <c r="Q511" s="1011"/>
      <c r="R511" s="1012"/>
      <c r="S511" s="1011"/>
      <c r="T511" s="1012"/>
      <c r="U511" s="1010"/>
      <c r="V511" s="1012"/>
      <c r="W511" s="1010"/>
      <c r="X511" s="1012"/>
      <c r="Y511" s="1010"/>
      <c r="Z511" s="262"/>
      <c r="AA511" s="110"/>
      <c r="AB511" s="110"/>
      <c r="AC511" s="110"/>
      <c r="AD511" s="110"/>
      <c r="AE511" s="110"/>
      <c r="AF511" s="110"/>
      <c r="AG511" s="110"/>
      <c r="AH511" s="110"/>
      <c r="AI511" s="110"/>
      <c r="AJ511" s="110"/>
      <c r="AK511" s="110"/>
      <c r="AL511" s="110"/>
      <c r="AM511" s="110"/>
      <c r="AN511" s="110"/>
      <c r="AO511" s="110"/>
      <c r="AP511" s="110"/>
      <c r="AQ511" s="110"/>
      <c r="AR511" s="110"/>
      <c r="AS511" s="110"/>
      <c r="AT511" s="110"/>
      <c r="AU511" s="110"/>
    </row>
    <row r="512" spans="1:47" ht="12.75" hidden="1">
      <c r="A512" s="110"/>
      <c r="B512" s="1009"/>
      <c r="C512" s="1010"/>
      <c r="D512" s="253"/>
      <c r="E512" s="1011"/>
      <c r="F512" s="262"/>
      <c r="G512" s="1011"/>
      <c r="H512" s="262"/>
      <c r="I512" s="1011"/>
      <c r="J512" s="262"/>
      <c r="K512" s="1011"/>
      <c r="L512" s="262"/>
      <c r="M512" s="1011"/>
      <c r="N512" s="262"/>
      <c r="O512" s="1011"/>
      <c r="P512" s="262"/>
      <c r="Q512" s="1011"/>
      <c r="R512" s="1012"/>
      <c r="S512" s="1011"/>
      <c r="T512" s="1012"/>
      <c r="U512" s="1010"/>
      <c r="V512" s="1012"/>
      <c r="W512" s="1010"/>
      <c r="X512" s="1012"/>
      <c r="Y512" s="1010"/>
      <c r="Z512" s="262"/>
      <c r="AA512" s="110"/>
      <c r="AB512" s="110"/>
      <c r="AC512" s="110"/>
      <c r="AD512" s="110"/>
      <c r="AE512" s="110"/>
      <c r="AF512" s="110"/>
      <c r="AG512" s="110"/>
      <c r="AH512" s="110"/>
      <c r="AI512" s="110"/>
      <c r="AJ512" s="110"/>
      <c r="AK512" s="110"/>
      <c r="AL512" s="110"/>
      <c r="AM512" s="110"/>
      <c r="AN512" s="110"/>
      <c r="AO512" s="110"/>
      <c r="AP512" s="110"/>
      <c r="AQ512" s="110"/>
      <c r="AR512" s="110"/>
      <c r="AS512" s="110"/>
      <c r="AT512" s="110"/>
      <c r="AU512" s="110"/>
    </row>
    <row r="513" spans="1:47" ht="12.75" hidden="1">
      <c r="A513" s="110"/>
      <c r="B513" s="1009"/>
      <c r="C513" s="1010"/>
      <c r="D513" s="253"/>
      <c r="E513" s="1011"/>
      <c r="F513" s="262"/>
      <c r="G513" s="1011"/>
      <c r="H513" s="262"/>
      <c r="I513" s="1011"/>
      <c r="J513" s="262"/>
      <c r="K513" s="1011"/>
      <c r="L513" s="262"/>
      <c r="M513" s="1011"/>
      <c r="N513" s="262"/>
      <c r="O513" s="1011"/>
      <c r="P513" s="262"/>
      <c r="Q513" s="1011"/>
      <c r="R513" s="1012"/>
      <c r="S513" s="1011"/>
      <c r="T513" s="1012"/>
      <c r="U513" s="1010"/>
      <c r="V513" s="1012"/>
      <c r="W513" s="1010"/>
      <c r="X513" s="1012"/>
      <c r="Y513" s="1010"/>
      <c r="Z513" s="262"/>
      <c r="AA513" s="110"/>
      <c r="AB513" s="110"/>
      <c r="AC513" s="110"/>
      <c r="AD513" s="110"/>
      <c r="AE513" s="110"/>
      <c r="AF513" s="110"/>
      <c r="AG513" s="110"/>
      <c r="AH513" s="110"/>
      <c r="AI513" s="110"/>
      <c r="AJ513" s="110"/>
      <c r="AK513" s="110"/>
      <c r="AL513" s="110"/>
      <c r="AM513" s="110"/>
      <c r="AN513" s="110"/>
      <c r="AO513" s="110"/>
      <c r="AP513" s="110"/>
      <c r="AQ513" s="110"/>
      <c r="AR513" s="110"/>
      <c r="AS513" s="110"/>
      <c r="AT513" s="110"/>
      <c r="AU513" s="110"/>
    </row>
    <row r="514" spans="1:47" ht="12.75" hidden="1">
      <c r="A514" s="110"/>
      <c r="B514" s="1009"/>
      <c r="C514" s="1010"/>
      <c r="D514" s="253"/>
      <c r="E514" s="1011"/>
      <c r="F514" s="262"/>
      <c r="G514" s="1011"/>
      <c r="H514" s="262"/>
      <c r="I514" s="1011"/>
      <c r="J514" s="262"/>
      <c r="K514" s="1011"/>
      <c r="L514" s="262"/>
      <c r="M514" s="1011"/>
      <c r="N514" s="262"/>
      <c r="O514" s="1011"/>
      <c r="P514" s="262"/>
      <c r="Q514" s="1011"/>
      <c r="R514" s="1012"/>
      <c r="S514" s="1011"/>
      <c r="T514" s="1012"/>
      <c r="U514" s="1010"/>
      <c r="V514" s="1012"/>
      <c r="W514" s="1010"/>
      <c r="X514" s="1012"/>
      <c r="Y514" s="1010"/>
      <c r="Z514" s="262"/>
      <c r="AA514" s="110"/>
      <c r="AB514" s="110"/>
      <c r="AC514" s="110"/>
      <c r="AD514" s="110"/>
      <c r="AE514" s="110"/>
      <c r="AF514" s="110"/>
      <c r="AG514" s="110"/>
      <c r="AH514" s="110"/>
      <c r="AI514" s="110"/>
      <c r="AJ514" s="110"/>
      <c r="AK514" s="110"/>
      <c r="AL514" s="110"/>
      <c r="AM514" s="110"/>
      <c r="AN514" s="110"/>
      <c r="AO514" s="110"/>
      <c r="AP514" s="110"/>
      <c r="AQ514" s="110"/>
      <c r="AR514" s="110"/>
      <c r="AS514" s="110"/>
      <c r="AT514" s="110"/>
      <c r="AU514" s="110"/>
    </row>
    <row r="515" spans="1:47" ht="12.75" hidden="1">
      <c r="A515" s="110"/>
      <c r="B515" s="1009"/>
      <c r="C515" s="1010"/>
      <c r="D515" s="253"/>
      <c r="E515" s="1011"/>
      <c r="F515" s="262"/>
      <c r="G515" s="1011"/>
      <c r="H515" s="262"/>
      <c r="I515" s="1011"/>
      <c r="J515" s="262"/>
      <c r="K515" s="1011"/>
      <c r="L515" s="262"/>
      <c r="M515" s="1011"/>
      <c r="N515" s="262"/>
      <c r="O515" s="1011"/>
      <c r="P515" s="262"/>
      <c r="Q515" s="1011"/>
      <c r="R515" s="1012"/>
      <c r="S515" s="1011"/>
      <c r="T515" s="1012"/>
      <c r="U515" s="1010"/>
      <c r="V515" s="1012"/>
      <c r="W515" s="1010"/>
      <c r="X515" s="1012"/>
      <c r="Y515" s="1010"/>
      <c r="Z515" s="262"/>
      <c r="AA515" s="110"/>
      <c r="AB515" s="110"/>
      <c r="AC515" s="110"/>
      <c r="AD515" s="110"/>
      <c r="AE515" s="110"/>
      <c r="AF515" s="110"/>
      <c r="AG515" s="110"/>
      <c r="AH515" s="110"/>
      <c r="AI515" s="110"/>
      <c r="AJ515" s="110"/>
      <c r="AK515" s="110"/>
      <c r="AL515" s="110"/>
      <c r="AM515" s="110"/>
      <c r="AN515" s="110"/>
      <c r="AO515" s="110"/>
      <c r="AP515" s="110"/>
      <c r="AQ515" s="110"/>
      <c r="AR515" s="110"/>
      <c r="AS515" s="110"/>
      <c r="AT515" s="110"/>
      <c r="AU515" s="110"/>
    </row>
    <row r="516" spans="1:47" ht="12.75" hidden="1">
      <c r="A516" s="110"/>
      <c r="B516" s="1009"/>
      <c r="C516" s="1010"/>
      <c r="D516" s="253"/>
      <c r="E516" s="1011"/>
      <c r="F516" s="262"/>
      <c r="G516" s="1011"/>
      <c r="H516" s="262"/>
      <c r="I516" s="1011"/>
      <c r="J516" s="262"/>
      <c r="K516" s="1011"/>
      <c r="L516" s="262"/>
      <c r="M516" s="1011"/>
      <c r="N516" s="262"/>
      <c r="O516" s="1011"/>
      <c r="P516" s="262"/>
      <c r="Q516" s="1011"/>
      <c r="R516" s="1012"/>
      <c r="S516" s="1011"/>
      <c r="T516" s="1012"/>
      <c r="U516" s="1010"/>
      <c r="V516" s="1012"/>
      <c r="W516" s="1010"/>
      <c r="X516" s="1012"/>
      <c r="Y516" s="1010"/>
      <c r="Z516" s="262"/>
      <c r="AA516" s="110"/>
      <c r="AB516" s="110"/>
      <c r="AC516" s="110"/>
      <c r="AD516" s="110"/>
      <c r="AE516" s="110"/>
      <c r="AF516" s="110"/>
      <c r="AG516" s="110"/>
      <c r="AH516" s="110"/>
      <c r="AI516" s="110"/>
      <c r="AJ516" s="110"/>
      <c r="AK516" s="110"/>
      <c r="AL516" s="110"/>
      <c r="AM516" s="110"/>
      <c r="AN516" s="110"/>
      <c r="AO516" s="110"/>
      <c r="AP516" s="110"/>
      <c r="AQ516" s="110"/>
      <c r="AR516" s="110"/>
      <c r="AS516" s="110"/>
      <c r="AT516" s="110"/>
      <c r="AU516" s="110"/>
    </row>
    <row r="517" spans="1:47" ht="12.75" hidden="1">
      <c r="A517" s="110"/>
      <c r="B517" s="1009"/>
      <c r="C517" s="1010"/>
      <c r="D517" s="253"/>
      <c r="E517" s="1011"/>
      <c r="F517" s="262"/>
      <c r="G517" s="1011"/>
      <c r="H517" s="262"/>
      <c r="I517" s="1011"/>
      <c r="J517" s="262"/>
      <c r="K517" s="1011"/>
      <c r="L517" s="262"/>
      <c r="M517" s="1011"/>
      <c r="N517" s="262"/>
      <c r="O517" s="1011"/>
      <c r="P517" s="262"/>
      <c r="Q517" s="1011"/>
      <c r="R517" s="1012"/>
      <c r="S517" s="1011"/>
      <c r="T517" s="1012"/>
      <c r="U517" s="1010"/>
      <c r="V517" s="1012"/>
      <c r="W517" s="1010"/>
      <c r="X517" s="1012"/>
      <c r="Y517" s="1010"/>
      <c r="Z517" s="262"/>
      <c r="AA517" s="110"/>
      <c r="AB517" s="110"/>
      <c r="AC517" s="110"/>
      <c r="AD517" s="110"/>
      <c r="AE517" s="110"/>
      <c r="AF517" s="110"/>
      <c r="AG517" s="110"/>
      <c r="AH517" s="110"/>
      <c r="AI517" s="110"/>
      <c r="AJ517" s="110"/>
      <c r="AK517" s="110"/>
      <c r="AL517" s="110"/>
      <c r="AM517" s="110"/>
      <c r="AN517" s="110"/>
      <c r="AO517" s="110"/>
      <c r="AP517" s="110"/>
      <c r="AQ517" s="110"/>
      <c r="AR517" s="110"/>
      <c r="AS517" s="110"/>
      <c r="AT517" s="110"/>
      <c r="AU517" s="110"/>
    </row>
    <row r="518" spans="1:47" ht="12.75" hidden="1">
      <c r="A518" s="110"/>
      <c r="B518" s="1009"/>
      <c r="C518" s="1010"/>
      <c r="D518" s="253"/>
      <c r="E518" s="1011"/>
      <c r="F518" s="262"/>
      <c r="G518" s="1011"/>
      <c r="H518" s="262"/>
      <c r="I518" s="1011"/>
      <c r="J518" s="262"/>
      <c r="K518" s="1011"/>
      <c r="L518" s="262"/>
      <c r="M518" s="1011"/>
      <c r="N518" s="262"/>
      <c r="O518" s="1011"/>
      <c r="P518" s="262"/>
      <c r="Q518" s="1011"/>
      <c r="R518" s="1012"/>
      <c r="S518" s="1011"/>
      <c r="T518" s="1012"/>
      <c r="U518" s="1010"/>
      <c r="V518" s="1012"/>
      <c r="W518" s="1010"/>
      <c r="X518" s="1012"/>
      <c r="Y518" s="1010"/>
      <c r="Z518" s="262"/>
      <c r="AA518" s="110"/>
      <c r="AB518" s="110"/>
      <c r="AC518" s="110"/>
      <c r="AD518" s="110"/>
      <c r="AE518" s="110"/>
      <c r="AF518" s="110"/>
      <c r="AG518" s="110"/>
      <c r="AH518" s="110"/>
      <c r="AI518" s="110"/>
      <c r="AJ518" s="110"/>
      <c r="AK518" s="110"/>
      <c r="AL518" s="110"/>
      <c r="AM518" s="110"/>
      <c r="AN518" s="110"/>
      <c r="AO518" s="110"/>
      <c r="AP518" s="110"/>
      <c r="AQ518" s="110"/>
      <c r="AR518" s="110"/>
      <c r="AS518" s="110"/>
      <c r="AT518" s="110"/>
      <c r="AU518" s="110"/>
    </row>
    <row r="519" spans="1:47" ht="12.75" hidden="1">
      <c r="A519" s="110"/>
      <c r="B519" s="1009"/>
      <c r="C519" s="1010"/>
      <c r="D519" s="253"/>
      <c r="E519" s="1011"/>
      <c r="F519" s="262"/>
      <c r="G519" s="1011"/>
      <c r="H519" s="262"/>
      <c r="I519" s="1011"/>
      <c r="J519" s="262"/>
      <c r="K519" s="1011"/>
      <c r="L519" s="262"/>
      <c r="M519" s="1011"/>
      <c r="N519" s="262"/>
      <c r="O519" s="1011"/>
      <c r="P519" s="262"/>
      <c r="Q519" s="1011"/>
      <c r="R519" s="1012"/>
      <c r="S519" s="1011"/>
      <c r="T519" s="1012"/>
      <c r="U519" s="1010"/>
      <c r="V519" s="1012"/>
      <c r="W519" s="1010"/>
      <c r="X519" s="1012"/>
      <c r="Y519" s="1010"/>
      <c r="Z519" s="262"/>
      <c r="AA519" s="110"/>
      <c r="AB519" s="110"/>
      <c r="AC519" s="110"/>
      <c r="AD519" s="110"/>
      <c r="AE519" s="110"/>
      <c r="AF519" s="110"/>
      <c r="AG519" s="110"/>
      <c r="AH519" s="110"/>
      <c r="AI519" s="110"/>
      <c r="AJ519" s="110"/>
      <c r="AK519" s="110"/>
      <c r="AL519" s="110"/>
      <c r="AM519" s="110"/>
      <c r="AN519" s="110"/>
      <c r="AO519" s="110"/>
      <c r="AP519" s="110"/>
      <c r="AQ519" s="110"/>
      <c r="AR519" s="110"/>
      <c r="AS519" s="110"/>
      <c r="AT519" s="110"/>
      <c r="AU519" s="110"/>
    </row>
    <row r="520" spans="1:47" ht="12.75" hidden="1">
      <c r="A520" s="110"/>
      <c r="B520" s="1009"/>
      <c r="C520" s="1010"/>
      <c r="D520" s="253"/>
      <c r="E520" s="1011"/>
      <c r="F520" s="262"/>
      <c r="G520" s="1011"/>
      <c r="H520" s="262"/>
      <c r="I520" s="1011"/>
      <c r="J520" s="262"/>
      <c r="K520" s="1011"/>
      <c r="L520" s="262"/>
      <c r="M520" s="1011"/>
      <c r="N520" s="262"/>
      <c r="O520" s="1011"/>
      <c r="P520" s="262"/>
      <c r="Q520" s="1011"/>
      <c r="R520" s="1012"/>
      <c r="S520" s="1011"/>
      <c r="T520" s="1012"/>
      <c r="U520" s="1010"/>
      <c r="V520" s="1012"/>
      <c r="W520" s="1010"/>
      <c r="X520" s="1012"/>
      <c r="Y520" s="1010"/>
      <c r="Z520" s="262"/>
      <c r="AA520" s="110"/>
      <c r="AB520" s="110"/>
      <c r="AC520" s="110"/>
      <c r="AD520" s="110"/>
      <c r="AE520" s="110"/>
      <c r="AF520" s="110"/>
      <c r="AG520" s="110"/>
      <c r="AH520" s="110"/>
      <c r="AI520" s="110"/>
      <c r="AJ520" s="110"/>
      <c r="AK520" s="110"/>
      <c r="AL520" s="110"/>
      <c r="AM520" s="110"/>
      <c r="AN520" s="110"/>
      <c r="AO520" s="110"/>
      <c r="AP520" s="110"/>
      <c r="AQ520" s="110"/>
      <c r="AR520" s="110"/>
      <c r="AS520" s="110"/>
      <c r="AT520" s="110"/>
      <c r="AU520" s="110"/>
    </row>
    <row r="521" spans="1:47" ht="12.75" hidden="1">
      <c r="A521" s="110"/>
      <c r="B521" s="1009"/>
      <c r="C521" s="1010"/>
      <c r="D521" s="253"/>
      <c r="E521" s="1011"/>
      <c r="F521" s="262"/>
      <c r="G521" s="1011"/>
      <c r="H521" s="262"/>
      <c r="I521" s="1011"/>
      <c r="J521" s="262"/>
      <c r="K521" s="1011"/>
      <c r="L521" s="262"/>
      <c r="M521" s="1011"/>
      <c r="N521" s="262"/>
      <c r="O521" s="1011"/>
      <c r="P521" s="262"/>
      <c r="Q521" s="1011"/>
      <c r="R521" s="1012"/>
      <c r="S521" s="1011"/>
      <c r="T521" s="1012"/>
      <c r="U521" s="1010"/>
      <c r="V521" s="1012"/>
      <c r="W521" s="1010"/>
      <c r="X521" s="1012"/>
      <c r="Y521" s="1010"/>
      <c r="Z521" s="262"/>
      <c r="AA521" s="110"/>
      <c r="AB521" s="110"/>
      <c r="AC521" s="110"/>
      <c r="AD521" s="110"/>
      <c r="AE521" s="110"/>
      <c r="AF521" s="110"/>
      <c r="AG521" s="110"/>
      <c r="AH521" s="110"/>
      <c r="AI521" s="110"/>
      <c r="AJ521" s="110"/>
      <c r="AK521" s="110"/>
      <c r="AL521" s="110"/>
      <c r="AM521" s="110"/>
      <c r="AN521" s="110"/>
      <c r="AO521" s="110"/>
      <c r="AP521" s="110"/>
      <c r="AQ521" s="110"/>
      <c r="AR521" s="110"/>
      <c r="AS521" s="110"/>
      <c r="AT521" s="110"/>
      <c r="AU521" s="110"/>
    </row>
    <row r="522" spans="1:47" ht="12.75" hidden="1">
      <c r="A522" s="110"/>
      <c r="B522" s="1009"/>
      <c r="C522" s="1010"/>
      <c r="D522" s="253"/>
      <c r="E522" s="1011"/>
      <c r="F522" s="262"/>
      <c r="G522" s="1011"/>
      <c r="H522" s="262"/>
      <c r="I522" s="1011"/>
      <c r="J522" s="262"/>
      <c r="K522" s="1011"/>
      <c r="L522" s="262"/>
      <c r="M522" s="1011"/>
      <c r="N522" s="262"/>
      <c r="O522" s="1011"/>
      <c r="P522" s="262"/>
      <c r="Q522" s="1011"/>
      <c r="R522" s="1012"/>
      <c r="S522" s="1011"/>
      <c r="T522" s="1012"/>
      <c r="U522" s="1010"/>
      <c r="V522" s="1012"/>
      <c r="W522" s="1010"/>
      <c r="X522" s="1012"/>
      <c r="Y522" s="1010"/>
      <c r="Z522" s="262"/>
      <c r="AA522" s="110"/>
      <c r="AB522" s="110"/>
      <c r="AC522" s="110"/>
      <c r="AD522" s="110"/>
      <c r="AE522" s="110"/>
      <c r="AF522" s="110"/>
      <c r="AG522" s="110"/>
      <c r="AH522" s="110"/>
      <c r="AI522" s="110"/>
      <c r="AJ522" s="110"/>
      <c r="AK522" s="110"/>
      <c r="AL522" s="110"/>
      <c r="AM522" s="110"/>
      <c r="AN522" s="110"/>
      <c r="AO522" s="110"/>
      <c r="AP522" s="110"/>
      <c r="AQ522" s="110"/>
      <c r="AR522" s="110"/>
      <c r="AS522" s="110"/>
      <c r="AT522" s="110"/>
      <c r="AU522" s="110"/>
    </row>
    <row r="523" spans="1:47" ht="12.75" hidden="1">
      <c r="A523" s="110"/>
      <c r="B523" s="1009"/>
      <c r="C523" s="1010"/>
      <c r="D523" s="253"/>
      <c r="E523" s="1011"/>
      <c r="F523" s="262"/>
      <c r="G523" s="1011"/>
      <c r="H523" s="262"/>
      <c r="I523" s="1011"/>
      <c r="J523" s="262"/>
      <c r="K523" s="1011"/>
      <c r="L523" s="262"/>
      <c r="M523" s="1011"/>
      <c r="N523" s="262"/>
      <c r="O523" s="1011"/>
      <c r="P523" s="262"/>
      <c r="Q523" s="1011"/>
      <c r="R523" s="1012"/>
      <c r="S523" s="1011"/>
      <c r="T523" s="1012"/>
      <c r="U523" s="1010"/>
      <c r="V523" s="1012"/>
      <c r="W523" s="1010"/>
      <c r="X523" s="1012"/>
      <c r="Y523" s="1010"/>
      <c r="Z523" s="262"/>
      <c r="AA523" s="110"/>
      <c r="AB523" s="110"/>
      <c r="AC523" s="110"/>
      <c r="AD523" s="110"/>
      <c r="AE523" s="110"/>
      <c r="AF523" s="110"/>
      <c r="AG523" s="110"/>
      <c r="AH523" s="110"/>
      <c r="AI523" s="110"/>
      <c r="AJ523" s="110"/>
      <c r="AK523" s="110"/>
      <c r="AL523" s="110"/>
      <c r="AM523" s="110"/>
      <c r="AN523" s="110"/>
      <c r="AO523" s="110"/>
      <c r="AP523" s="110"/>
      <c r="AQ523" s="110"/>
      <c r="AR523" s="110"/>
      <c r="AS523" s="110"/>
      <c r="AT523" s="110"/>
      <c r="AU523" s="110"/>
    </row>
    <row r="524" spans="1:47" ht="12.75" hidden="1">
      <c r="A524" s="110"/>
      <c r="B524" s="1009"/>
      <c r="C524" s="1010"/>
      <c r="D524" s="253"/>
      <c r="E524" s="1011"/>
      <c r="F524" s="262"/>
      <c r="G524" s="1011"/>
      <c r="H524" s="262"/>
      <c r="I524" s="1011"/>
      <c r="J524" s="262"/>
      <c r="K524" s="1011"/>
      <c r="L524" s="262"/>
      <c r="M524" s="1011"/>
      <c r="N524" s="262"/>
      <c r="O524" s="1011"/>
      <c r="P524" s="262"/>
      <c r="Q524" s="1011"/>
      <c r="R524" s="1012"/>
      <c r="S524" s="1011"/>
      <c r="T524" s="1012"/>
      <c r="U524" s="1010"/>
      <c r="V524" s="1012"/>
      <c r="W524" s="1010"/>
      <c r="X524" s="1012"/>
      <c r="Y524" s="1010"/>
      <c r="Z524" s="262"/>
      <c r="AA524" s="110"/>
      <c r="AB524" s="110"/>
      <c r="AC524" s="110"/>
      <c r="AD524" s="110"/>
      <c r="AE524" s="110"/>
      <c r="AF524" s="110"/>
      <c r="AG524" s="110"/>
      <c r="AH524" s="110"/>
      <c r="AI524" s="110"/>
      <c r="AJ524" s="110"/>
      <c r="AK524" s="110"/>
      <c r="AL524" s="110"/>
      <c r="AM524" s="110"/>
      <c r="AN524" s="110"/>
      <c r="AO524" s="110"/>
      <c r="AP524" s="110"/>
      <c r="AQ524" s="110"/>
      <c r="AR524" s="110"/>
      <c r="AS524" s="110"/>
      <c r="AT524" s="110"/>
      <c r="AU524" s="110"/>
    </row>
    <row r="525" spans="1:47" ht="12.75" hidden="1">
      <c r="A525" s="110"/>
      <c r="B525" s="1009"/>
      <c r="C525" s="1010"/>
      <c r="D525" s="253"/>
      <c r="E525" s="1011"/>
      <c r="F525" s="262"/>
      <c r="G525" s="1011"/>
      <c r="H525" s="262"/>
      <c r="I525" s="1011"/>
      <c r="J525" s="262"/>
      <c r="K525" s="1011"/>
      <c r="L525" s="262"/>
      <c r="M525" s="1011"/>
      <c r="N525" s="262"/>
      <c r="O525" s="1011"/>
      <c r="P525" s="262"/>
      <c r="Q525" s="1011"/>
      <c r="R525" s="1012"/>
      <c r="S525" s="1011"/>
      <c r="T525" s="1012"/>
      <c r="U525" s="1010"/>
      <c r="V525" s="1012"/>
      <c r="W525" s="1010"/>
      <c r="X525" s="1012"/>
      <c r="Y525" s="1010"/>
      <c r="Z525" s="262"/>
      <c r="AA525" s="110"/>
      <c r="AB525" s="110"/>
      <c r="AC525" s="110"/>
      <c r="AD525" s="110"/>
      <c r="AE525" s="110"/>
      <c r="AF525" s="110"/>
      <c r="AG525" s="110"/>
      <c r="AH525" s="110"/>
      <c r="AI525" s="110"/>
      <c r="AJ525" s="110"/>
      <c r="AK525" s="110"/>
      <c r="AL525" s="110"/>
      <c r="AM525" s="110"/>
      <c r="AN525" s="110"/>
      <c r="AO525" s="110"/>
      <c r="AP525" s="110"/>
      <c r="AQ525" s="110"/>
      <c r="AR525" s="110"/>
      <c r="AS525" s="110"/>
      <c r="AT525" s="110"/>
      <c r="AU525" s="110"/>
    </row>
    <row r="526" spans="1:47" ht="12.75" hidden="1">
      <c r="A526" s="110"/>
      <c r="B526" s="1009"/>
      <c r="C526" s="1010"/>
      <c r="D526" s="253"/>
      <c r="E526" s="1011"/>
      <c r="F526" s="262"/>
      <c r="G526" s="1011"/>
      <c r="H526" s="262"/>
      <c r="I526" s="1011"/>
      <c r="J526" s="262"/>
      <c r="K526" s="1011"/>
      <c r="L526" s="262"/>
      <c r="M526" s="1011"/>
      <c r="N526" s="262"/>
      <c r="O526" s="1011"/>
      <c r="P526" s="262"/>
      <c r="Q526" s="1011"/>
      <c r="R526" s="1012"/>
      <c r="S526" s="1011"/>
      <c r="T526" s="1012"/>
      <c r="U526" s="1010"/>
      <c r="V526" s="1012"/>
      <c r="W526" s="1010"/>
      <c r="X526" s="1012"/>
      <c r="Y526" s="1010"/>
      <c r="Z526" s="262"/>
      <c r="AA526" s="110"/>
      <c r="AB526" s="110"/>
      <c r="AC526" s="110"/>
      <c r="AD526" s="110"/>
      <c r="AE526" s="110"/>
      <c r="AF526" s="110"/>
      <c r="AG526" s="110"/>
      <c r="AH526" s="110"/>
      <c r="AI526" s="110"/>
      <c r="AJ526" s="110"/>
      <c r="AK526" s="110"/>
      <c r="AL526" s="110"/>
      <c r="AM526" s="110"/>
      <c r="AN526" s="110"/>
      <c r="AO526" s="110"/>
      <c r="AP526" s="110"/>
      <c r="AQ526" s="110"/>
      <c r="AR526" s="110"/>
      <c r="AS526" s="110"/>
      <c r="AT526" s="110"/>
      <c r="AU526" s="110"/>
    </row>
    <row r="527" spans="1:47" ht="12.75" hidden="1">
      <c r="A527" s="110"/>
      <c r="B527" s="1009"/>
      <c r="C527" s="1010"/>
      <c r="D527" s="253"/>
      <c r="E527" s="1011"/>
      <c r="F527" s="262"/>
      <c r="G527" s="1011"/>
      <c r="H527" s="262"/>
      <c r="I527" s="1011"/>
      <c r="J527" s="262"/>
      <c r="K527" s="1011"/>
      <c r="L527" s="262"/>
      <c r="M527" s="1011"/>
      <c r="N527" s="262"/>
      <c r="O527" s="1011"/>
      <c r="P527" s="262"/>
      <c r="Q527" s="1011"/>
      <c r="R527" s="1012"/>
      <c r="S527" s="1011"/>
      <c r="T527" s="1012"/>
      <c r="U527" s="1010"/>
      <c r="V527" s="1012"/>
      <c r="W527" s="1010"/>
      <c r="X527" s="1012"/>
      <c r="Y527" s="1010"/>
      <c r="Z527" s="262"/>
      <c r="AA527" s="110"/>
      <c r="AB527" s="110"/>
      <c r="AC527" s="110"/>
      <c r="AD527" s="110"/>
      <c r="AE527" s="110"/>
      <c r="AF527" s="110"/>
      <c r="AG527" s="110"/>
      <c r="AH527" s="110"/>
      <c r="AI527" s="110"/>
      <c r="AJ527" s="110"/>
      <c r="AK527" s="110"/>
      <c r="AL527" s="110"/>
      <c r="AM527" s="110"/>
      <c r="AN527" s="110"/>
      <c r="AO527" s="110"/>
      <c r="AP527" s="110"/>
      <c r="AQ527" s="110"/>
      <c r="AR527" s="110"/>
      <c r="AS527" s="110"/>
      <c r="AT527" s="110"/>
      <c r="AU527" s="110"/>
    </row>
    <row r="528" spans="1:47" ht="12.75" hidden="1">
      <c r="A528" s="110"/>
      <c r="B528" s="1009"/>
      <c r="C528" s="1010"/>
      <c r="D528" s="253"/>
      <c r="E528" s="1011"/>
      <c r="F528" s="262"/>
      <c r="G528" s="1011"/>
      <c r="H528" s="262"/>
      <c r="I528" s="1011"/>
      <c r="J528" s="262"/>
      <c r="K528" s="1011"/>
      <c r="L528" s="262"/>
      <c r="M528" s="1011"/>
      <c r="N528" s="262"/>
      <c r="O528" s="1011"/>
      <c r="P528" s="262"/>
      <c r="Q528" s="1011"/>
      <c r="R528" s="1012"/>
      <c r="S528" s="1011"/>
      <c r="T528" s="1012"/>
      <c r="U528" s="1010"/>
      <c r="V528" s="1012"/>
      <c r="W528" s="1010"/>
      <c r="X528" s="1012"/>
      <c r="Y528" s="1010"/>
      <c r="Z528" s="262"/>
      <c r="AA528" s="110"/>
      <c r="AB528" s="110"/>
      <c r="AC528" s="110"/>
      <c r="AD528" s="110"/>
      <c r="AE528" s="110"/>
      <c r="AF528" s="110"/>
      <c r="AG528" s="110"/>
      <c r="AH528" s="110"/>
      <c r="AI528" s="110"/>
      <c r="AJ528" s="110"/>
      <c r="AK528" s="110"/>
      <c r="AL528" s="110"/>
      <c r="AM528" s="110"/>
      <c r="AN528" s="110"/>
      <c r="AO528" s="110"/>
      <c r="AP528" s="110"/>
      <c r="AQ528" s="110"/>
      <c r="AR528" s="110"/>
      <c r="AS528" s="110"/>
      <c r="AT528" s="110"/>
      <c r="AU528" s="110"/>
    </row>
    <row r="529" spans="1:47" ht="12.75" hidden="1">
      <c r="A529" s="110"/>
      <c r="B529" s="1009"/>
      <c r="C529" s="1010"/>
      <c r="D529" s="253"/>
      <c r="E529" s="1011"/>
      <c r="F529" s="262"/>
      <c r="G529" s="1011"/>
      <c r="H529" s="262"/>
      <c r="I529" s="1011"/>
      <c r="J529" s="262"/>
      <c r="K529" s="1011"/>
      <c r="L529" s="262"/>
      <c r="M529" s="1011"/>
      <c r="N529" s="262"/>
      <c r="O529" s="1011"/>
      <c r="P529" s="262"/>
      <c r="Q529" s="1011"/>
      <c r="R529" s="1012"/>
      <c r="S529" s="1011"/>
      <c r="T529" s="1012"/>
      <c r="U529" s="1010"/>
      <c r="V529" s="1012"/>
      <c r="W529" s="1010"/>
      <c r="X529" s="1012"/>
      <c r="Y529" s="1010"/>
      <c r="Z529" s="262"/>
      <c r="AA529" s="110"/>
      <c r="AB529" s="110"/>
      <c r="AC529" s="110"/>
      <c r="AD529" s="110"/>
      <c r="AE529" s="110"/>
      <c r="AF529" s="110"/>
      <c r="AG529" s="110"/>
      <c r="AH529" s="110"/>
      <c r="AI529" s="110"/>
      <c r="AJ529" s="110"/>
      <c r="AK529" s="110"/>
      <c r="AL529" s="110"/>
      <c r="AM529" s="110"/>
      <c r="AN529" s="110"/>
      <c r="AO529" s="110"/>
      <c r="AP529" s="110"/>
      <c r="AQ529" s="110"/>
      <c r="AR529" s="110"/>
      <c r="AS529" s="110"/>
      <c r="AT529" s="110"/>
      <c r="AU529" s="110"/>
    </row>
    <row r="530" spans="1:47" ht="12.75" hidden="1">
      <c r="A530" s="110"/>
      <c r="B530" s="1009"/>
      <c r="C530" s="1010"/>
      <c r="D530" s="253"/>
      <c r="E530" s="1011"/>
      <c r="F530" s="262"/>
      <c r="G530" s="1011"/>
      <c r="H530" s="262"/>
      <c r="I530" s="1011"/>
      <c r="J530" s="262"/>
      <c r="K530" s="1011"/>
      <c r="L530" s="262"/>
      <c r="M530" s="1011"/>
      <c r="N530" s="262"/>
      <c r="O530" s="1011"/>
      <c r="P530" s="262"/>
      <c r="Q530" s="1011"/>
      <c r="R530" s="1012"/>
      <c r="S530" s="1011"/>
      <c r="T530" s="1012"/>
      <c r="U530" s="1010"/>
      <c r="V530" s="1012"/>
      <c r="W530" s="1010"/>
      <c r="X530" s="1012"/>
      <c r="Y530" s="1010"/>
      <c r="Z530" s="262"/>
      <c r="AA530" s="110"/>
      <c r="AB530" s="110"/>
      <c r="AC530" s="110"/>
      <c r="AD530" s="110"/>
      <c r="AE530" s="110"/>
      <c r="AF530" s="110"/>
      <c r="AG530" s="110"/>
      <c r="AH530" s="110"/>
      <c r="AI530" s="110"/>
      <c r="AJ530" s="110"/>
      <c r="AK530" s="110"/>
      <c r="AL530" s="110"/>
      <c r="AM530" s="110"/>
      <c r="AN530" s="110"/>
      <c r="AO530" s="110"/>
      <c r="AP530" s="110"/>
      <c r="AQ530" s="110"/>
      <c r="AR530" s="110"/>
      <c r="AS530" s="110"/>
      <c r="AT530" s="110"/>
      <c r="AU530" s="110"/>
    </row>
    <row r="531" spans="1:47" ht="12.75" hidden="1">
      <c r="A531" s="110"/>
      <c r="B531" s="1009"/>
      <c r="C531" s="1010"/>
      <c r="D531" s="253"/>
      <c r="E531" s="1011"/>
      <c r="F531" s="262"/>
      <c r="G531" s="1011"/>
      <c r="H531" s="262"/>
      <c r="I531" s="1011"/>
      <c r="J531" s="262"/>
      <c r="K531" s="1011"/>
      <c r="L531" s="262"/>
      <c r="M531" s="1011"/>
      <c r="N531" s="262"/>
      <c r="O531" s="1011"/>
      <c r="P531" s="262"/>
      <c r="Q531" s="1011"/>
      <c r="R531" s="1012"/>
      <c r="S531" s="1011"/>
      <c r="T531" s="1012"/>
      <c r="U531" s="1010"/>
      <c r="V531" s="1012"/>
      <c r="W531" s="1010"/>
      <c r="X531" s="1012"/>
      <c r="Y531" s="1010"/>
      <c r="Z531" s="262"/>
      <c r="AA531" s="110"/>
      <c r="AB531" s="110"/>
      <c r="AC531" s="110"/>
      <c r="AD531" s="110"/>
      <c r="AE531" s="110"/>
      <c r="AF531" s="110"/>
      <c r="AG531" s="110"/>
      <c r="AH531" s="110"/>
      <c r="AI531" s="110"/>
      <c r="AJ531" s="110"/>
      <c r="AK531" s="110"/>
      <c r="AL531" s="110"/>
      <c r="AM531" s="110"/>
      <c r="AN531" s="110"/>
      <c r="AO531" s="110"/>
      <c r="AP531" s="110"/>
      <c r="AQ531" s="110"/>
      <c r="AR531" s="110"/>
      <c r="AS531" s="110"/>
      <c r="AT531" s="110"/>
      <c r="AU531" s="110"/>
    </row>
    <row r="532" spans="1:47" ht="12.75" hidden="1">
      <c r="A532" s="110"/>
      <c r="B532" s="1009"/>
      <c r="C532" s="1010"/>
      <c r="D532" s="253"/>
      <c r="E532" s="1011"/>
      <c r="F532" s="262"/>
      <c r="G532" s="1011"/>
      <c r="H532" s="262"/>
      <c r="I532" s="1011"/>
      <c r="J532" s="262"/>
      <c r="K532" s="1011"/>
      <c r="L532" s="262"/>
      <c r="M532" s="1011"/>
      <c r="N532" s="262"/>
      <c r="O532" s="1011"/>
      <c r="P532" s="262"/>
      <c r="Q532" s="1011"/>
      <c r="R532" s="1012"/>
      <c r="S532" s="1011"/>
      <c r="T532" s="1012"/>
      <c r="U532" s="1010"/>
      <c r="V532" s="1012"/>
      <c r="W532" s="1010"/>
      <c r="X532" s="1012"/>
      <c r="Y532" s="1010"/>
      <c r="Z532" s="262"/>
      <c r="AA532" s="110"/>
      <c r="AB532" s="110"/>
      <c r="AC532" s="110"/>
      <c r="AD532" s="110"/>
      <c r="AE532" s="110"/>
      <c r="AF532" s="110"/>
      <c r="AG532" s="110"/>
      <c r="AH532" s="110"/>
      <c r="AI532" s="110"/>
      <c r="AJ532" s="110"/>
      <c r="AK532" s="110"/>
      <c r="AL532" s="110"/>
      <c r="AM532" s="110"/>
      <c r="AN532" s="110"/>
      <c r="AO532" s="110"/>
      <c r="AP532" s="110"/>
      <c r="AQ532" s="110"/>
      <c r="AR532" s="110"/>
      <c r="AS532" s="110"/>
      <c r="AT532" s="110"/>
      <c r="AU532" s="110"/>
    </row>
    <row r="533" spans="1:47" ht="12.75" hidden="1">
      <c r="A533" s="110"/>
      <c r="B533" s="1009"/>
      <c r="C533" s="1010"/>
      <c r="D533" s="253"/>
      <c r="E533" s="1011"/>
      <c r="F533" s="262"/>
      <c r="G533" s="1011"/>
      <c r="H533" s="262"/>
      <c r="I533" s="1011"/>
      <c r="J533" s="262"/>
      <c r="K533" s="1011"/>
      <c r="L533" s="262"/>
      <c r="M533" s="1011"/>
      <c r="N533" s="262"/>
      <c r="O533" s="1011"/>
      <c r="P533" s="262"/>
      <c r="Q533" s="1011"/>
      <c r="R533" s="1012"/>
      <c r="S533" s="1011"/>
      <c r="T533" s="1012"/>
      <c r="U533" s="1010"/>
      <c r="V533" s="1012"/>
      <c r="W533" s="1010"/>
      <c r="X533" s="1012"/>
      <c r="Y533" s="1010"/>
      <c r="Z533" s="262"/>
      <c r="AA533" s="110"/>
      <c r="AB533" s="110"/>
      <c r="AC533" s="110"/>
      <c r="AD533" s="110"/>
      <c r="AE533" s="110"/>
      <c r="AF533" s="110"/>
      <c r="AG533" s="110"/>
      <c r="AH533" s="110"/>
      <c r="AI533" s="110"/>
      <c r="AJ533" s="110"/>
      <c r="AK533" s="110"/>
      <c r="AL533" s="110"/>
      <c r="AM533" s="110"/>
      <c r="AN533" s="110"/>
      <c r="AO533" s="110"/>
      <c r="AP533" s="110"/>
      <c r="AQ533" s="110"/>
      <c r="AR533" s="110"/>
      <c r="AS533" s="110"/>
      <c r="AT533" s="110"/>
      <c r="AU533" s="110"/>
    </row>
    <row r="534" spans="1:47" ht="12.75" hidden="1">
      <c r="A534" s="110"/>
      <c r="B534" s="1009"/>
      <c r="C534" s="1010"/>
      <c r="D534" s="253"/>
      <c r="E534" s="1011"/>
      <c r="F534" s="262"/>
      <c r="G534" s="1011"/>
      <c r="H534" s="262"/>
      <c r="I534" s="1011"/>
      <c r="J534" s="262"/>
      <c r="K534" s="1011"/>
      <c r="L534" s="262"/>
      <c r="M534" s="1011"/>
      <c r="N534" s="262"/>
      <c r="O534" s="1011"/>
      <c r="P534" s="262"/>
      <c r="Q534" s="1011"/>
      <c r="R534" s="1012"/>
      <c r="S534" s="1011"/>
      <c r="T534" s="1012"/>
      <c r="U534" s="1010"/>
      <c r="V534" s="1012"/>
      <c r="W534" s="1010"/>
      <c r="X534" s="1012"/>
      <c r="Y534" s="1010"/>
      <c r="Z534" s="262"/>
      <c r="AA534" s="110"/>
      <c r="AB534" s="110"/>
      <c r="AC534" s="110"/>
      <c r="AD534" s="110"/>
      <c r="AE534" s="110"/>
      <c r="AF534" s="110"/>
      <c r="AG534" s="110"/>
      <c r="AH534" s="110"/>
      <c r="AI534" s="110"/>
      <c r="AJ534" s="110"/>
      <c r="AK534" s="110"/>
      <c r="AL534" s="110"/>
      <c r="AM534" s="110"/>
      <c r="AN534" s="110"/>
      <c r="AO534" s="110"/>
      <c r="AP534" s="110"/>
      <c r="AQ534" s="110"/>
      <c r="AR534" s="110"/>
      <c r="AS534" s="110"/>
      <c r="AT534" s="110"/>
      <c r="AU534" s="110"/>
    </row>
    <row r="535" spans="1:47" ht="12.75" hidden="1">
      <c r="A535" s="110"/>
      <c r="B535" s="1009"/>
      <c r="C535" s="1010"/>
      <c r="D535" s="253"/>
      <c r="E535" s="1011"/>
      <c r="F535" s="262"/>
      <c r="G535" s="1011"/>
      <c r="H535" s="262"/>
      <c r="I535" s="1011"/>
      <c r="J535" s="262"/>
      <c r="K535" s="1011"/>
      <c r="L535" s="262"/>
      <c r="M535" s="1011"/>
      <c r="N535" s="262"/>
      <c r="O535" s="1011"/>
      <c r="P535" s="262"/>
      <c r="Q535" s="1011"/>
      <c r="R535" s="1012"/>
      <c r="S535" s="1011"/>
      <c r="T535" s="1012"/>
      <c r="U535" s="1010"/>
      <c r="V535" s="1012"/>
      <c r="W535" s="1010"/>
      <c r="X535" s="1012"/>
      <c r="Y535" s="1010"/>
      <c r="Z535" s="262"/>
      <c r="AA535" s="110"/>
      <c r="AB535" s="110"/>
      <c r="AC535" s="110"/>
      <c r="AD535" s="110"/>
      <c r="AE535" s="110"/>
      <c r="AF535" s="110"/>
      <c r="AG535" s="110"/>
      <c r="AH535" s="110"/>
      <c r="AI535" s="110"/>
      <c r="AJ535" s="110"/>
      <c r="AK535" s="110"/>
      <c r="AL535" s="110"/>
      <c r="AM535" s="110"/>
      <c r="AN535" s="110"/>
      <c r="AO535" s="110"/>
      <c r="AP535" s="110"/>
      <c r="AQ535" s="110"/>
      <c r="AR535" s="110"/>
      <c r="AS535" s="110"/>
      <c r="AT535" s="110"/>
      <c r="AU535" s="110"/>
    </row>
    <row r="536" spans="1:47" ht="12.75" hidden="1">
      <c r="A536" s="110"/>
      <c r="B536" s="1009"/>
      <c r="C536" s="1010"/>
      <c r="D536" s="253"/>
      <c r="E536" s="1011"/>
      <c r="F536" s="262"/>
      <c r="G536" s="1011"/>
      <c r="H536" s="262"/>
      <c r="I536" s="1011"/>
      <c r="J536" s="262"/>
      <c r="K536" s="1011"/>
      <c r="L536" s="262"/>
      <c r="M536" s="1011"/>
      <c r="N536" s="262"/>
      <c r="O536" s="1011"/>
      <c r="P536" s="262"/>
      <c r="Q536" s="1011"/>
      <c r="R536" s="1012"/>
      <c r="S536" s="1011"/>
      <c r="T536" s="1012"/>
      <c r="U536" s="1010"/>
      <c r="V536" s="1012"/>
      <c r="W536" s="1010"/>
      <c r="X536" s="1012"/>
      <c r="Y536" s="1010"/>
      <c r="Z536" s="262"/>
      <c r="AA536" s="110"/>
      <c r="AB536" s="110"/>
      <c r="AC536" s="110"/>
      <c r="AD536" s="110"/>
      <c r="AE536" s="110"/>
      <c r="AF536" s="110"/>
      <c r="AG536" s="110"/>
      <c r="AH536" s="110"/>
      <c r="AI536" s="110"/>
      <c r="AJ536" s="110"/>
      <c r="AK536" s="110"/>
      <c r="AL536" s="110"/>
      <c r="AM536" s="110"/>
      <c r="AN536" s="110"/>
      <c r="AO536" s="110"/>
      <c r="AP536" s="110"/>
      <c r="AQ536" s="110"/>
      <c r="AR536" s="110"/>
      <c r="AS536" s="110"/>
      <c r="AT536" s="110"/>
      <c r="AU536" s="110"/>
    </row>
    <row r="537" spans="1:47" ht="12.75" hidden="1">
      <c r="A537" s="110"/>
      <c r="B537" s="1009"/>
      <c r="C537" s="1010"/>
      <c r="D537" s="253"/>
      <c r="E537" s="1011"/>
      <c r="F537" s="262"/>
      <c r="G537" s="1011"/>
      <c r="H537" s="262"/>
      <c r="I537" s="1011"/>
      <c r="J537" s="262"/>
      <c r="K537" s="1011"/>
      <c r="L537" s="262"/>
      <c r="M537" s="1011"/>
      <c r="N537" s="262"/>
      <c r="O537" s="1011"/>
      <c r="P537" s="262"/>
      <c r="Q537" s="1011"/>
      <c r="R537" s="1012"/>
      <c r="S537" s="1011"/>
      <c r="T537" s="1012"/>
      <c r="U537" s="1010"/>
      <c r="V537" s="1012"/>
      <c r="W537" s="1010"/>
      <c r="X537" s="1012"/>
      <c r="Y537" s="1010"/>
      <c r="Z537" s="262"/>
      <c r="AA537" s="110"/>
      <c r="AB537" s="110"/>
      <c r="AC537" s="110"/>
      <c r="AD537" s="110"/>
      <c r="AE537" s="110"/>
      <c r="AF537" s="110"/>
      <c r="AG537" s="110"/>
      <c r="AH537" s="110"/>
      <c r="AI537" s="110"/>
      <c r="AJ537" s="110"/>
      <c r="AK537" s="110"/>
      <c r="AL537" s="110"/>
      <c r="AM537" s="110"/>
      <c r="AN537" s="110"/>
      <c r="AO537" s="110"/>
      <c r="AP537" s="110"/>
      <c r="AQ537" s="110"/>
      <c r="AR537" s="110"/>
      <c r="AS537" s="110"/>
      <c r="AT537" s="110"/>
      <c r="AU537" s="110"/>
    </row>
    <row r="538" spans="1:47" ht="12.75" hidden="1">
      <c r="A538" s="110"/>
      <c r="B538" s="1009"/>
      <c r="C538" s="1010"/>
      <c r="D538" s="253"/>
      <c r="E538" s="1011"/>
      <c r="F538" s="262"/>
      <c r="G538" s="1011"/>
      <c r="H538" s="262"/>
      <c r="I538" s="1011"/>
      <c r="J538" s="262"/>
      <c r="K538" s="1011"/>
      <c r="L538" s="262"/>
      <c r="M538" s="1011"/>
      <c r="N538" s="262"/>
      <c r="O538" s="1011"/>
      <c r="P538" s="262"/>
      <c r="Q538" s="1011"/>
      <c r="R538" s="1012"/>
      <c r="S538" s="1011"/>
      <c r="T538" s="1012"/>
      <c r="U538" s="1010"/>
      <c r="V538" s="1012"/>
      <c r="W538" s="1010"/>
      <c r="X538" s="1012"/>
      <c r="Y538" s="1010"/>
      <c r="Z538" s="262"/>
      <c r="AA538" s="110"/>
      <c r="AB538" s="110"/>
      <c r="AC538" s="110"/>
      <c r="AD538" s="110"/>
      <c r="AE538" s="110"/>
      <c r="AF538" s="110"/>
      <c r="AG538" s="110"/>
      <c r="AH538" s="110"/>
      <c r="AI538" s="110"/>
      <c r="AJ538" s="110"/>
      <c r="AK538" s="110"/>
      <c r="AL538" s="110"/>
      <c r="AM538" s="110"/>
      <c r="AN538" s="110"/>
      <c r="AO538" s="110"/>
      <c r="AP538" s="110"/>
      <c r="AQ538" s="110"/>
      <c r="AR538" s="110"/>
      <c r="AS538" s="110"/>
      <c r="AT538" s="110"/>
      <c r="AU538" s="110"/>
    </row>
    <row r="539" spans="1:47" ht="12.75" hidden="1">
      <c r="A539" s="110"/>
      <c r="B539" s="1009"/>
      <c r="C539" s="1010"/>
      <c r="D539" s="253"/>
      <c r="E539" s="1011"/>
      <c r="F539" s="262"/>
      <c r="G539" s="1011"/>
      <c r="H539" s="262"/>
      <c r="I539" s="1011"/>
      <c r="J539" s="262"/>
      <c r="K539" s="1011"/>
      <c r="L539" s="262"/>
      <c r="M539" s="1011"/>
      <c r="N539" s="262"/>
      <c r="O539" s="1011"/>
      <c r="P539" s="262"/>
      <c r="Q539" s="1011"/>
      <c r="R539" s="1012"/>
      <c r="S539" s="1011"/>
      <c r="T539" s="1012"/>
      <c r="U539" s="1010"/>
      <c r="V539" s="1012"/>
      <c r="W539" s="1010"/>
      <c r="X539" s="1012"/>
      <c r="Y539" s="1010"/>
      <c r="Z539" s="262"/>
      <c r="AA539" s="110"/>
      <c r="AB539" s="110"/>
      <c r="AC539" s="110"/>
      <c r="AD539" s="110"/>
      <c r="AE539" s="110"/>
      <c r="AF539" s="110"/>
      <c r="AG539" s="110"/>
      <c r="AH539" s="110"/>
      <c r="AI539" s="110"/>
      <c r="AJ539" s="110"/>
      <c r="AK539" s="110"/>
      <c r="AL539" s="110"/>
      <c r="AM539" s="110"/>
      <c r="AN539" s="110"/>
      <c r="AO539" s="110"/>
      <c r="AP539" s="110"/>
      <c r="AQ539" s="110"/>
      <c r="AR539" s="110"/>
      <c r="AS539" s="110"/>
      <c r="AT539" s="110"/>
      <c r="AU539" s="110"/>
    </row>
    <row r="540" spans="1:47" ht="12.75" hidden="1">
      <c r="A540" s="110"/>
      <c r="B540" s="1009"/>
      <c r="C540" s="1010"/>
      <c r="D540" s="253"/>
      <c r="E540" s="1011"/>
      <c r="F540" s="262"/>
      <c r="G540" s="1011"/>
      <c r="H540" s="262"/>
      <c r="I540" s="1011"/>
      <c r="J540" s="262"/>
      <c r="K540" s="1011"/>
      <c r="L540" s="262"/>
      <c r="M540" s="1011"/>
      <c r="N540" s="262"/>
      <c r="O540" s="1011"/>
      <c r="P540" s="262"/>
      <c r="Q540" s="1011"/>
      <c r="R540" s="1012"/>
      <c r="S540" s="1011"/>
      <c r="T540" s="1012"/>
      <c r="U540" s="1010"/>
      <c r="V540" s="1012"/>
      <c r="W540" s="1010"/>
      <c r="X540" s="1012"/>
      <c r="Y540" s="1010"/>
      <c r="Z540" s="262"/>
      <c r="AA540" s="110"/>
      <c r="AB540" s="110"/>
      <c r="AC540" s="110"/>
      <c r="AD540" s="110"/>
      <c r="AE540" s="110"/>
      <c r="AF540" s="110"/>
      <c r="AG540" s="110"/>
      <c r="AH540" s="110"/>
      <c r="AI540" s="110"/>
      <c r="AJ540" s="110"/>
      <c r="AK540" s="110"/>
      <c r="AL540" s="110"/>
      <c r="AM540" s="110"/>
      <c r="AN540" s="110"/>
      <c r="AO540" s="110"/>
      <c r="AP540" s="110"/>
      <c r="AQ540" s="110"/>
      <c r="AR540" s="110"/>
      <c r="AS540" s="110"/>
      <c r="AT540" s="110"/>
      <c r="AU540" s="110"/>
    </row>
    <row r="541" spans="1:47" ht="12.75" hidden="1">
      <c r="A541" s="110"/>
      <c r="B541" s="1009"/>
      <c r="C541" s="1010"/>
      <c r="D541" s="253"/>
      <c r="E541" s="1011"/>
      <c r="F541" s="262"/>
      <c r="G541" s="1011"/>
      <c r="H541" s="262"/>
      <c r="I541" s="1011"/>
      <c r="J541" s="262"/>
      <c r="K541" s="1011"/>
      <c r="L541" s="262"/>
      <c r="M541" s="1011"/>
      <c r="N541" s="262"/>
      <c r="O541" s="1011"/>
      <c r="P541" s="262"/>
      <c r="Q541" s="1011"/>
      <c r="R541" s="1012"/>
      <c r="S541" s="1011"/>
      <c r="T541" s="1012"/>
      <c r="U541" s="1010"/>
      <c r="V541" s="1012"/>
      <c r="W541" s="1010"/>
      <c r="X541" s="1012"/>
      <c r="Y541" s="1010"/>
      <c r="Z541" s="262"/>
      <c r="AA541" s="110"/>
      <c r="AB541" s="110"/>
      <c r="AC541" s="110"/>
      <c r="AD541" s="110"/>
      <c r="AE541" s="110"/>
      <c r="AF541" s="110"/>
      <c r="AG541" s="110"/>
      <c r="AH541" s="110"/>
      <c r="AI541" s="110"/>
      <c r="AJ541" s="110"/>
      <c r="AK541" s="110"/>
      <c r="AL541" s="110"/>
      <c r="AM541" s="110"/>
      <c r="AN541" s="110"/>
      <c r="AO541" s="110"/>
      <c r="AP541" s="110"/>
      <c r="AQ541" s="110"/>
      <c r="AR541" s="110"/>
      <c r="AS541" s="110"/>
      <c r="AT541" s="110"/>
      <c r="AU541" s="110"/>
    </row>
    <row r="542" spans="1:47" ht="12.75" hidden="1">
      <c r="A542" s="110"/>
      <c r="B542" s="1009"/>
      <c r="C542" s="1010"/>
      <c r="D542" s="253"/>
      <c r="E542" s="1011"/>
      <c r="F542" s="262"/>
      <c r="G542" s="1011"/>
      <c r="H542" s="262"/>
      <c r="I542" s="1011"/>
      <c r="J542" s="262"/>
      <c r="K542" s="1011"/>
      <c r="L542" s="262"/>
      <c r="M542" s="1011"/>
      <c r="N542" s="262"/>
      <c r="O542" s="1011"/>
      <c r="P542" s="262"/>
      <c r="Q542" s="1011"/>
      <c r="R542" s="1012"/>
      <c r="S542" s="1011"/>
      <c r="T542" s="1012"/>
      <c r="U542" s="1010"/>
      <c r="V542" s="1012"/>
      <c r="W542" s="1010"/>
      <c r="X542" s="1012"/>
      <c r="Y542" s="1010"/>
      <c r="Z542" s="262"/>
      <c r="AA542" s="110"/>
      <c r="AB542" s="110"/>
      <c r="AC542" s="110"/>
      <c r="AD542" s="110"/>
      <c r="AE542" s="110"/>
      <c r="AF542" s="110"/>
      <c r="AG542" s="110"/>
      <c r="AH542" s="110"/>
      <c r="AI542" s="110"/>
      <c r="AJ542" s="110"/>
      <c r="AK542" s="110"/>
      <c r="AL542" s="110"/>
      <c r="AM542" s="110"/>
      <c r="AN542" s="110"/>
      <c r="AO542" s="110"/>
      <c r="AP542" s="110"/>
      <c r="AQ542" s="110"/>
      <c r="AR542" s="110"/>
      <c r="AS542" s="110"/>
      <c r="AT542" s="110"/>
      <c r="AU542" s="110"/>
    </row>
    <row r="543" spans="1:47" ht="12.75" hidden="1">
      <c r="A543" s="110"/>
      <c r="B543" s="1009"/>
      <c r="C543" s="1010"/>
      <c r="D543" s="253"/>
      <c r="E543" s="1011"/>
      <c r="F543" s="262"/>
      <c r="G543" s="1011"/>
      <c r="H543" s="262"/>
      <c r="I543" s="1011"/>
      <c r="J543" s="262"/>
      <c r="K543" s="1011"/>
      <c r="L543" s="262"/>
      <c r="M543" s="1011"/>
      <c r="N543" s="262"/>
      <c r="O543" s="1011"/>
      <c r="P543" s="262"/>
      <c r="Q543" s="1011"/>
      <c r="R543" s="1012"/>
      <c r="S543" s="1011"/>
      <c r="T543" s="1012"/>
      <c r="U543" s="1010"/>
      <c r="V543" s="1012"/>
      <c r="W543" s="1010"/>
      <c r="X543" s="1012"/>
      <c r="Y543" s="1010"/>
      <c r="Z543" s="262"/>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row>
    <row r="544" spans="1:47" ht="12.75" hidden="1">
      <c r="A544" s="110"/>
      <c r="B544" s="1009"/>
      <c r="C544" s="1010"/>
      <c r="D544" s="253"/>
      <c r="E544" s="1011"/>
      <c r="F544" s="262"/>
      <c r="G544" s="1011"/>
      <c r="H544" s="262"/>
      <c r="I544" s="1011"/>
      <c r="J544" s="262"/>
      <c r="K544" s="1011"/>
      <c r="L544" s="262"/>
      <c r="M544" s="1011"/>
      <c r="N544" s="262"/>
      <c r="O544" s="1011"/>
      <c r="P544" s="262"/>
      <c r="Q544" s="1011"/>
      <c r="R544" s="1012"/>
      <c r="S544" s="1011"/>
      <c r="T544" s="1012"/>
      <c r="U544" s="1010"/>
      <c r="V544" s="1012"/>
      <c r="W544" s="1010"/>
      <c r="X544" s="1012"/>
      <c r="Y544" s="1010"/>
      <c r="Z544" s="262"/>
      <c r="AA544" s="110"/>
      <c r="AB544" s="110"/>
      <c r="AC544" s="110"/>
      <c r="AD544" s="110"/>
      <c r="AE544" s="110"/>
      <c r="AF544" s="110"/>
      <c r="AG544" s="110"/>
      <c r="AH544" s="110"/>
      <c r="AI544" s="110"/>
      <c r="AJ544" s="110"/>
      <c r="AK544" s="110"/>
      <c r="AL544" s="110"/>
      <c r="AM544" s="110"/>
      <c r="AN544" s="110"/>
      <c r="AO544" s="110"/>
      <c r="AP544" s="110"/>
      <c r="AQ544" s="110"/>
      <c r="AR544" s="110"/>
      <c r="AS544" s="110"/>
      <c r="AT544" s="110"/>
      <c r="AU544" s="110"/>
    </row>
    <row r="545" spans="1:47" ht="12.75" hidden="1">
      <c r="A545" s="110"/>
      <c r="B545" s="1009"/>
      <c r="C545" s="1010"/>
      <c r="D545" s="253"/>
      <c r="E545" s="1011"/>
      <c r="F545" s="262"/>
      <c r="G545" s="1011"/>
      <c r="H545" s="262"/>
      <c r="I545" s="1011"/>
      <c r="J545" s="262"/>
      <c r="K545" s="1011"/>
      <c r="L545" s="262"/>
      <c r="M545" s="1011"/>
      <c r="N545" s="262"/>
      <c r="O545" s="1011"/>
      <c r="P545" s="262"/>
      <c r="Q545" s="1011"/>
      <c r="R545" s="1012"/>
      <c r="S545" s="1011"/>
      <c r="T545" s="1012"/>
      <c r="U545" s="1010"/>
      <c r="V545" s="1012"/>
      <c r="W545" s="1010"/>
      <c r="X545" s="1012"/>
      <c r="Y545" s="1010"/>
      <c r="Z545" s="262"/>
      <c r="AA545" s="110"/>
      <c r="AB545" s="110"/>
      <c r="AC545" s="110"/>
      <c r="AD545" s="110"/>
      <c r="AE545" s="110"/>
      <c r="AF545" s="110"/>
      <c r="AG545" s="110"/>
      <c r="AH545" s="110"/>
      <c r="AI545" s="110"/>
      <c r="AJ545" s="110"/>
      <c r="AK545" s="110"/>
      <c r="AL545" s="110"/>
      <c r="AM545" s="110"/>
      <c r="AN545" s="110"/>
      <c r="AO545" s="110"/>
      <c r="AP545" s="110"/>
      <c r="AQ545" s="110"/>
      <c r="AR545" s="110"/>
      <c r="AS545" s="110"/>
      <c r="AT545" s="110"/>
      <c r="AU545" s="110"/>
    </row>
    <row r="546" spans="1:47" ht="12.75" hidden="1">
      <c r="A546" s="110"/>
      <c r="B546" s="1009"/>
      <c r="C546" s="1010"/>
      <c r="D546" s="253"/>
      <c r="E546" s="1011"/>
      <c r="F546" s="262"/>
      <c r="G546" s="1011"/>
      <c r="H546" s="262"/>
      <c r="I546" s="1011"/>
      <c r="J546" s="262"/>
      <c r="K546" s="1011"/>
      <c r="L546" s="262"/>
      <c r="M546" s="1011"/>
      <c r="N546" s="262"/>
      <c r="O546" s="1011"/>
      <c r="P546" s="262"/>
      <c r="Q546" s="1011"/>
      <c r="R546" s="1012"/>
      <c r="S546" s="1011"/>
      <c r="T546" s="1012"/>
      <c r="U546" s="1010"/>
      <c r="V546" s="1012"/>
      <c r="W546" s="1010"/>
      <c r="X546" s="1012"/>
      <c r="Y546" s="1010"/>
      <c r="Z546" s="262"/>
      <c r="AA546" s="110"/>
      <c r="AB546" s="110"/>
      <c r="AC546" s="110"/>
      <c r="AD546" s="110"/>
      <c r="AE546" s="110"/>
      <c r="AF546" s="110"/>
      <c r="AG546" s="110"/>
      <c r="AH546" s="110"/>
      <c r="AI546" s="110"/>
      <c r="AJ546" s="110"/>
      <c r="AK546" s="110"/>
      <c r="AL546" s="110"/>
      <c r="AM546" s="110"/>
      <c r="AN546" s="110"/>
      <c r="AO546" s="110"/>
      <c r="AP546" s="110"/>
      <c r="AQ546" s="110"/>
      <c r="AR546" s="110"/>
      <c r="AS546" s="110"/>
      <c r="AT546" s="110"/>
      <c r="AU546" s="110"/>
    </row>
    <row r="547" spans="1:47" ht="12.75" hidden="1">
      <c r="A547" s="110"/>
      <c r="B547" s="1009"/>
      <c r="C547" s="1010"/>
      <c r="D547" s="253"/>
      <c r="E547" s="1011"/>
      <c r="F547" s="262"/>
      <c r="G547" s="1011"/>
      <c r="H547" s="262"/>
      <c r="I547" s="1011"/>
      <c r="J547" s="262"/>
      <c r="K547" s="1011"/>
      <c r="L547" s="262"/>
      <c r="M547" s="1011"/>
      <c r="N547" s="262"/>
      <c r="O547" s="1011"/>
      <c r="P547" s="262"/>
      <c r="Q547" s="1011"/>
      <c r="R547" s="1012"/>
      <c r="S547" s="1011"/>
      <c r="T547" s="1012"/>
      <c r="U547" s="1010"/>
      <c r="V547" s="1012"/>
      <c r="W547" s="1010"/>
      <c r="X547" s="1012"/>
      <c r="Y547" s="1010"/>
      <c r="Z547" s="262"/>
      <c r="AA547" s="110"/>
      <c r="AB547" s="110"/>
      <c r="AC547" s="110"/>
      <c r="AD547" s="110"/>
      <c r="AE547" s="110"/>
      <c r="AF547" s="110"/>
      <c r="AG547" s="110"/>
      <c r="AH547" s="110"/>
      <c r="AI547" s="110"/>
      <c r="AJ547" s="110"/>
      <c r="AK547" s="110"/>
      <c r="AL547" s="110"/>
      <c r="AM547" s="110"/>
      <c r="AN547" s="110"/>
      <c r="AO547" s="110"/>
      <c r="AP547" s="110"/>
      <c r="AQ547" s="110"/>
      <c r="AR547" s="110"/>
      <c r="AS547" s="110"/>
      <c r="AT547" s="110"/>
      <c r="AU547" s="110"/>
    </row>
    <row r="548" spans="1:47" ht="12.75" hidden="1">
      <c r="A548" s="110"/>
      <c r="B548" s="1009"/>
      <c r="C548" s="1010"/>
      <c r="D548" s="253"/>
      <c r="E548" s="1011"/>
      <c r="F548" s="262"/>
      <c r="G548" s="1011"/>
      <c r="H548" s="262"/>
      <c r="I548" s="1011"/>
      <c r="J548" s="262"/>
      <c r="K548" s="1011"/>
      <c r="L548" s="262"/>
      <c r="M548" s="1011"/>
      <c r="N548" s="262"/>
      <c r="O548" s="1011"/>
      <c r="P548" s="262"/>
      <c r="Q548" s="1011"/>
      <c r="R548" s="1012"/>
      <c r="S548" s="1011"/>
      <c r="T548" s="1012"/>
      <c r="U548" s="1010"/>
      <c r="V548" s="1012"/>
      <c r="W548" s="1010"/>
      <c r="X548" s="1012"/>
      <c r="Y548" s="1010"/>
      <c r="Z548" s="262"/>
      <c r="AA548" s="110"/>
      <c r="AB548" s="110"/>
      <c r="AC548" s="110"/>
      <c r="AD548" s="110"/>
      <c r="AE548" s="110"/>
      <c r="AF548" s="110"/>
      <c r="AG548" s="110"/>
      <c r="AH548" s="110"/>
      <c r="AI548" s="110"/>
      <c r="AJ548" s="110"/>
      <c r="AK548" s="110"/>
      <c r="AL548" s="110"/>
      <c r="AM548" s="110"/>
      <c r="AN548" s="110"/>
      <c r="AO548" s="110"/>
      <c r="AP548" s="110"/>
      <c r="AQ548" s="110"/>
      <c r="AR548" s="110"/>
      <c r="AS548" s="110"/>
      <c r="AT548" s="110"/>
      <c r="AU548" s="110"/>
    </row>
    <row r="549" spans="1:47" ht="12.75" hidden="1">
      <c r="A549" s="110"/>
      <c r="B549" s="1009"/>
      <c r="C549" s="1010"/>
      <c r="D549" s="253"/>
      <c r="E549" s="1011"/>
      <c r="F549" s="262"/>
      <c r="G549" s="1011"/>
      <c r="H549" s="262"/>
      <c r="I549" s="1011"/>
      <c r="J549" s="262"/>
      <c r="K549" s="1011"/>
      <c r="L549" s="262"/>
      <c r="M549" s="1011"/>
      <c r="N549" s="262"/>
      <c r="O549" s="1011"/>
      <c r="P549" s="262"/>
      <c r="Q549" s="1011"/>
      <c r="R549" s="1012"/>
      <c r="S549" s="1011"/>
      <c r="T549" s="1012"/>
      <c r="U549" s="1010"/>
      <c r="V549" s="1012"/>
      <c r="W549" s="1010"/>
      <c r="X549" s="1012"/>
      <c r="Y549" s="1010"/>
      <c r="Z549" s="262"/>
      <c r="AA549" s="110"/>
      <c r="AB549" s="110"/>
      <c r="AC549" s="110"/>
      <c r="AD549" s="110"/>
      <c r="AE549" s="110"/>
      <c r="AF549" s="110"/>
      <c r="AG549" s="110"/>
      <c r="AH549" s="110"/>
      <c r="AI549" s="110"/>
      <c r="AJ549" s="110"/>
      <c r="AK549" s="110"/>
      <c r="AL549" s="110"/>
      <c r="AM549" s="110"/>
      <c r="AN549" s="110"/>
      <c r="AO549" s="110"/>
      <c r="AP549" s="110"/>
      <c r="AQ549" s="110"/>
      <c r="AR549" s="110"/>
      <c r="AS549" s="110"/>
      <c r="AT549" s="110"/>
      <c r="AU549" s="110"/>
    </row>
    <row r="550" spans="1:47" ht="12.75" hidden="1">
      <c r="A550" s="110"/>
      <c r="B550" s="1009"/>
      <c r="C550" s="1010"/>
      <c r="D550" s="253"/>
      <c r="E550" s="1011"/>
      <c r="F550" s="262"/>
      <c r="G550" s="1011"/>
      <c r="H550" s="262"/>
      <c r="I550" s="1011"/>
      <c r="J550" s="262"/>
      <c r="K550" s="1011"/>
      <c r="L550" s="262"/>
      <c r="M550" s="1011"/>
      <c r="N550" s="262"/>
      <c r="O550" s="1011"/>
      <c r="P550" s="262"/>
      <c r="Q550" s="1011"/>
      <c r="R550" s="1012"/>
      <c r="S550" s="1011"/>
      <c r="T550" s="1012"/>
      <c r="U550" s="1010"/>
      <c r="V550" s="1012"/>
      <c r="W550" s="1010"/>
      <c r="X550" s="1012"/>
      <c r="Y550" s="1010"/>
      <c r="Z550" s="262"/>
      <c r="AA550" s="110"/>
      <c r="AB550" s="110"/>
      <c r="AC550" s="110"/>
      <c r="AD550" s="110"/>
      <c r="AE550" s="110"/>
      <c r="AF550" s="110"/>
      <c r="AG550" s="110"/>
      <c r="AH550" s="110"/>
      <c r="AI550" s="110"/>
      <c r="AJ550" s="110"/>
      <c r="AK550" s="110"/>
      <c r="AL550" s="110"/>
      <c r="AM550" s="110"/>
      <c r="AN550" s="110"/>
      <c r="AO550" s="110"/>
      <c r="AP550" s="110"/>
      <c r="AQ550" s="110"/>
      <c r="AR550" s="110"/>
      <c r="AS550" s="110"/>
      <c r="AT550" s="110"/>
      <c r="AU550" s="110"/>
    </row>
    <row r="551" spans="1:47" ht="12.75" hidden="1">
      <c r="A551" s="110"/>
      <c r="B551" s="1009"/>
      <c r="C551" s="1010"/>
      <c r="D551" s="253"/>
      <c r="E551" s="1011"/>
      <c r="F551" s="262"/>
      <c r="G551" s="1011"/>
      <c r="H551" s="262"/>
      <c r="I551" s="1011"/>
      <c r="J551" s="262"/>
      <c r="K551" s="1011"/>
      <c r="L551" s="262"/>
      <c r="M551" s="1011"/>
      <c r="N551" s="262"/>
      <c r="O551" s="1011"/>
      <c r="P551" s="262"/>
      <c r="Q551" s="1011"/>
      <c r="R551" s="1012"/>
      <c r="S551" s="1011"/>
      <c r="T551" s="1012"/>
      <c r="U551" s="1010"/>
      <c r="V551" s="1012"/>
      <c r="W551" s="1010"/>
      <c r="X551" s="1012"/>
      <c r="Y551" s="1010"/>
      <c r="Z551" s="262"/>
      <c r="AA551" s="110"/>
      <c r="AB551" s="110"/>
      <c r="AC551" s="110"/>
      <c r="AD551" s="110"/>
      <c r="AE551" s="110"/>
      <c r="AF551" s="110"/>
      <c r="AG551" s="110"/>
      <c r="AH551" s="110"/>
      <c r="AI551" s="110"/>
      <c r="AJ551" s="110"/>
      <c r="AK551" s="110"/>
      <c r="AL551" s="110"/>
      <c r="AM551" s="110"/>
      <c r="AN551" s="110"/>
      <c r="AO551" s="110"/>
      <c r="AP551" s="110"/>
      <c r="AQ551" s="110"/>
      <c r="AR551" s="110"/>
      <c r="AS551" s="110"/>
      <c r="AT551" s="110"/>
      <c r="AU551" s="110"/>
    </row>
    <row r="552" spans="1:47" ht="12.75" hidden="1">
      <c r="A552" s="110"/>
      <c r="B552" s="1009"/>
      <c r="C552" s="1010"/>
      <c r="D552" s="253"/>
      <c r="E552" s="1011"/>
      <c r="F552" s="262"/>
      <c r="G552" s="1011"/>
      <c r="H552" s="262"/>
      <c r="I552" s="1011"/>
      <c r="J552" s="262"/>
      <c r="K552" s="1011"/>
      <c r="L552" s="262"/>
      <c r="M552" s="1011"/>
      <c r="N552" s="262"/>
      <c r="O552" s="1011"/>
      <c r="P552" s="262"/>
      <c r="Q552" s="1011"/>
      <c r="R552" s="1012"/>
      <c r="S552" s="1011"/>
      <c r="T552" s="1012"/>
      <c r="U552" s="1010"/>
      <c r="V552" s="1012"/>
      <c r="W552" s="1010"/>
      <c r="X552" s="1012"/>
      <c r="Y552" s="1010"/>
      <c r="Z552" s="262"/>
      <c r="AA552" s="110"/>
      <c r="AB552" s="110"/>
      <c r="AC552" s="110"/>
      <c r="AD552" s="110"/>
      <c r="AE552" s="110"/>
      <c r="AF552" s="110"/>
      <c r="AG552" s="110"/>
      <c r="AH552" s="110"/>
      <c r="AI552" s="110"/>
      <c r="AJ552" s="110"/>
      <c r="AK552" s="110"/>
      <c r="AL552" s="110"/>
      <c r="AM552" s="110"/>
      <c r="AN552" s="110"/>
      <c r="AO552" s="110"/>
      <c r="AP552" s="110"/>
      <c r="AQ552" s="110"/>
      <c r="AR552" s="110"/>
      <c r="AS552" s="110"/>
      <c r="AT552" s="110"/>
      <c r="AU552" s="110"/>
    </row>
    <row r="553" spans="1:47" ht="12.75" hidden="1">
      <c r="A553" s="110"/>
      <c r="B553" s="1009"/>
      <c r="C553" s="1010"/>
      <c r="D553" s="253"/>
      <c r="E553" s="1011"/>
      <c r="F553" s="262"/>
      <c r="G553" s="1011"/>
      <c r="H553" s="262"/>
      <c r="I553" s="1011"/>
      <c r="J553" s="262"/>
      <c r="K553" s="1011"/>
      <c r="L553" s="262"/>
      <c r="M553" s="1011"/>
      <c r="N553" s="262"/>
      <c r="O553" s="1011"/>
      <c r="P553" s="262"/>
      <c r="Q553" s="1011"/>
      <c r="R553" s="1012"/>
      <c r="S553" s="1011"/>
      <c r="T553" s="1012"/>
      <c r="U553" s="1010"/>
      <c r="V553" s="1012"/>
      <c r="W553" s="1010"/>
      <c r="X553" s="1012"/>
      <c r="Y553" s="1010"/>
      <c r="Z553" s="262"/>
      <c r="AA553" s="110"/>
      <c r="AB553" s="110"/>
      <c r="AC553" s="110"/>
      <c r="AD553" s="110"/>
      <c r="AE553" s="110"/>
      <c r="AF553" s="110"/>
      <c r="AG553" s="110"/>
      <c r="AH553" s="110"/>
      <c r="AI553" s="110"/>
      <c r="AJ553" s="110"/>
      <c r="AK553" s="110"/>
      <c r="AL553" s="110"/>
      <c r="AM553" s="110"/>
      <c r="AN553" s="110"/>
      <c r="AO553" s="110"/>
      <c r="AP553" s="110"/>
      <c r="AQ553" s="110"/>
      <c r="AR553" s="110"/>
      <c r="AS553" s="110"/>
      <c r="AT553" s="110"/>
      <c r="AU553" s="110"/>
    </row>
    <row r="554" spans="1:47" ht="12.75" hidden="1">
      <c r="A554" s="110"/>
      <c r="B554" s="1009"/>
      <c r="C554" s="1010"/>
      <c r="D554" s="253"/>
      <c r="E554" s="1011"/>
      <c r="F554" s="262"/>
      <c r="G554" s="1011"/>
      <c r="H554" s="262"/>
      <c r="I554" s="1011"/>
      <c r="J554" s="262"/>
      <c r="K554" s="1011"/>
      <c r="L554" s="262"/>
      <c r="M554" s="1011"/>
      <c r="N554" s="262"/>
      <c r="O554" s="1011"/>
      <c r="P554" s="262"/>
      <c r="Q554" s="1011"/>
      <c r="R554" s="1012"/>
      <c r="S554" s="1011"/>
      <c r="T554" s="1012"/>
      <c r="U554" s="1010"/>
      <c r="V554" s="1012"/>
      <c r="W554" s="1010"/>
      <c r="X554" s="1012"/>
      <c r="Y554" s="1010"/>
      <c r="Z554" s="262"/>
      <c r="AA554" s="110"/>
      <c r="AB554" s="110"/>
      <c r="AC554" s="110"/>
      <c r="AD554" s="110"/>
      <c r="AE554" s="110"/>
      <c r="AF554" s="110"/>
      <c r="AG554" s="110"/>
      <c r="AH554" s="110"/>
      <c r="AI554" s="110"/>
      <c r="AJ554" s="110"/>
      <c r="AK554" s="110"/>
      <c r="AL554" s="110"/>
      <c r="AM554" s="110"/>
      <c r="AN554" s="110"/>
      <c r="AO554" s="110"/>
      <c r="AP554" s="110"/>
      <c r="AQ554" s="110"/>
      <c r="AR554" s="110"/>
      <c r="AS554" s="110"/>
      <c r="AT554" s="110"/>
      <c r="AU554" s="110"/>
    </row>
    <row r="555" spans="1:47" ht="12.75" hidden="1">
      <c r="A555" s="110"/>
      <c r="B555" s="1009"/>
      <c r="C555" s="1010"/>
      <c r="D555" s="253"/>
      <c r="E555" s="1011"/>
      <c r="F555" s="262"/>
      <c r="G555" s="1011"/>
      <c r="H555" s="262"/>
      <c r="I555" s="1011"/>
      <c r="J555" s="262"/>
      <c r="K555" s="1011"/>
      <c r="L555" s="262"/>
      <c r="M555" s="1011"/>
      <c r="N555" s="262"/>
      <c r="O555" s="1011"/>
      <c r="P555" s="262"/>
      <c r="Q555" s="1011"/>
      <c r="R555" s="1012"/>
      <c r="S555" s="1011"/>
      <c r="T555" s="1012"/>
      <c r="U555" s="1010"/>
      <c r="V555" s="1012"/>
      <c r="W555" s="1010"/>
      <c r="X555" s="1012"/>
      <c r="Y555" s="1010"/>
      <c r="Z555" s="262"/>
      <c r="AA555" s="110"/>
      <c r="AB555" s="110"/>
      <c r="AC555" s="110"/>
      <c r="AD555" s="110"/>
      <c r="AE555" s="110"/>
      <c r="AF555" s="110"/>
      <c r="AG555" s="110"/>
      <c r="AH555" s="110"/>
      <c r="AI555" s="110"/>
      <c r="AJ555" s="110"/>
      <c r="AK555" s="110"/>
      <c r="AL555" s="110"/>
      <c r="AM555" s="110"/>
      <c r="AN555" s="110"/>
      <c r="AO555" s="110"/>
      <c r="AP555" s="110"/>
      <c r="AQ555" s="110"/>
      <c r="AR555" s="110"/>
      <c r="AS555" s="110"/>
      <c r="AT555" s="110"/>
      <c r="AU555" s="110"/>
    </row>
    <row r="556" spans="1:47" ht="12.75" hidden="1">
      <c r="A556" s="110"/>
      <c r="B556" s="1009"/>
      <c r="C556" s="1010"/>
      <c r="D556" s="253"/>
      <c r="E556" s="1011"/>
      <c r="F556" s="262"/>
      <c r="G556" s="1011"/>
      <c r="H556" s="262"/>
      <c r="I556" s="1011"/>
      <c r="J556" s="262"/>
      <c r="K556" s="1011"/>
      <c r="L556" s="262"/>
      <c r="M556" s="1011"/>
      <c r="N556" s="262"/>
      <c r="O556" s="1011"/>
      <c r="P556" s="262"/>
      <c r="Q556" s="1011"/>
      <c r="R556" s="1012"/>
      <c r="S556" s="1011"/>
      <c r="T556" s="1012"/>
      <c r="U556" s="1010"/>
      <c r="V556" s="1012"/>
      <c r="W556" s="1010"/>
      <c r="X556" s="1012"/>
      <c r="Y556" s="1010"/>
      <c r="Z556" s="262"/>
      <c r="AA556" s="110"/>
      <c r="AB556" s="110"/>
      <c r="AC556" s="110"/>
      <c r="AD556" s="110"/>
      <c r="AE556" s="110"/>
      <c r="AF556" s="110"/>
      <c r="AG556" s="110"/>
      <c r="AH556" s="110"/>
      <c r="AI556" s="110"/>
      <c r="AJ556" s="110"/>
      <c r="AK556" s="110"/>
      <c r="AL556" s="110"/>
      <c r="AM556" s="110"/>
      <c r="AN556" s="110"/>
      <c r="AO556" s="110"/>
      <c r="AP556" s="110"/>
      <c r="AQ556" s="110"/>
      <c r="AR556" s="110"/>
      <c r="AS556" s="110"/>
      <c r="AT556" s="110"/>
      <c r="AU556" s="110"/>
    </row>
    <row r="557" spans="1:47" ht="12.75" hidden="1">
      <c r="A557" s="110"/>
      <c r="B557" s="1009"/>
      <c r="C557" s="1010"/>
      <c r="D557" s="253"/>
      <c r="E557" s="1011"/>
      <c r="F557" s="262"/>
      <c r="G557" s="1011"/>
      <c r="H557" s="262"/>
      <c r="I557" s="1011"/>
      <c r="J557" s="262"/>
      <c r="K557" s="1011"/>
      <c r="L557" s="262"/>
      <c r="M557" s="1011"/>
      <c r="N557" s="262"/>
      <c r="O557" s="1011"/>
      <c r="P557" s="262"/>
      <c r="Q557" s="1011"/>
      <c r="R557" s="1012"/>
      <c r="S557" s="1011"/>
      <c r="T557" s="1012"/>
      <c r="U557" s="1010"/>
      <c r="V557" s="1012"/>
      <c r="W557" s="1010"/>
      <c r="X557" s="1012"/>
      <c r="Y557" s="1010"/>
      <c r="Z557" s="262"/>
      <c r="AA557" s="110"/>
      <c r="AB557" s="110"/>
      <c r="AC557" s="110"/>
      <c r="AD557" s="110"/>
      <c r="AE557" s="110"/>
      <c r="AF557" s="110"/>
      <c r="AG557" s="110"/>
      <c r="AH557" s="110"/>
      <c r="AI557" s="110"/>
      <c r="AJ557" s="110"/>
      <c r="AK557" s="110"/>
      <c r="AL557" s="110"/>
      <c r="AM557" s="110"/>
      <c r="AN557" s="110"/>
      <c r="AO557" s="110"/>
      <c r="AP557" s="110"/>
      <c r="AQ557" s="110"/>
      <c r="AR557" s="110"/>
      <c r="AS557" s="110"/>
      <c r="AT557" s="110"/>
      <c r="AU557" s="110"/>
    </row>
    <row r="558" spans="1:47" ht="12.75" hidden="1">
      <c r="A558" s="110"/>
      <c r="B558" s="1009"/>
      <c r="C558" s="1010"/>
      <c r="D558" s="253"/>
      <c r="E558" s="1011"/>
      <c r="F558" s="262"/>
      <c r="G558" s="1011"/>
      <c r="H558" s="262"/>
      <c r="I558" s="1011"/>
      <c r="J558" s="262"/>
      <c r="K558" s="1011"/>
      <c r="L558" s="262"/>
      <c r="M558" s="1011"/>
      <c r="N558" s="262"/>
      <c r="O558" s="1011"/>
      <c r="P558" s="262"/>
      <c r="Q558" s="1011"/>
      <c r="R558" s="1012"/>
      <c r="S558" s="1011"/>
      <c r="T558" s="1012"/>
      <c r="U558" s="1010"/>
      <c r="V558" s="1012"/>
      <c r="W558" s="1010"/>
      <c r="X558" s="1012"/>
      <c r="Y558" s="1010"/>
      <c r="Z558" s="262"/>
      <c r="AA558" s="110"/>
      <c r="AB558" s="110"/>
      <c r="AC558" s="110"/>
      <c r="AD558" s="110"/>
      <c r="AE558" s="110"/>
      <c r="AF558" s="110"/>
      <c r="AG558" s="110"/>
      <c r="AH558" s="110"/>
      <c r="AI558" s="110"/>
      <c r="AJ558" s="110"/>
      <c r="AK558" s="110"/>
      <c r="AL558" s="110"/>
      <c r="AM558" s="110"/>
      <c r="AN558" s="110"/>
      <c r="AO558" s="110"/>
      <c r="AP558" s="110"/>
      <c r="AQ558" s="110"/>
      <c r="AR558" s="110"/>
      <c r="AS558" s="110"/>
      <c r="AT558" s="110"/>
      <c r="AU558" s="110"/>
    </row>
    <row r="559" spans="1:47" ht="12.75" hidden="1">
      <c r="A559" s="110"/>
      <c r="B559" s="1009"/>
      <c r="C559" s="1010"/>
      <c r="D559" s="253"/>
      <c r="E559" s="1011"/>
      <c r="F559" s="262"/>
      <c r="G559" s="1011"/>
      <c r="H559" s="262"/>
      <c r="I559" s="1011"/>
      <c r="J559" s="262"/>
      <c r="K559" s="1011"/>
      <c r="L559" s="262"/>
      <c r="M559" s="1011"/>
      <c r="N559" s="262"/>
      <c r="O559" s="1011"/>
      <c r="P559" s="262"/>
      <c r="Q559" s="1011"/>
      <c r="R559" s="1012"/>
      <c r="S559" s="1011"/>
      <c r="T559" s="1012"/>
      <c r="U559" s="1010"/>
      <c r="V559" s="1012"/>
      <c r="W559" s="1010"/>
      <c r="X559" s="1012"/>
      <c r="Y559" s="1010"/>
      <c r="Z559" s="262"/>
      <c r="AA559" s="110"/>
      <c r="AB559" s="110"/>
      <c r="AC559" s="110"/>
      <c r="AD559" s="110"/>
      <c r="AE559" s="110"/>
      <c r="AF559" s="110"/>
      <c r="AG559" s="110"/>
      <c r="AH559" s="110"/>
      <c r="AI559" s="110"/>
      <c r="AJ559" s="110"/>
      <c r="AK559" s="110"/>
      <c r="AL559" s="110"/>
      <c r="AM559" s="110"/>
      <c r="AN559" s="110"/>
      <c r="AO559" s="110"/>
      <c r="AP559" s="110"/>
      <c r="AQ559" s="110"/>
      <c r="AR559" s="110"/>
      <c r="AS559" s="110"/>
      <c r="AT559" s="110"/>
      <c r="AU559" s="110"/>
    </row>
    <row r="560" spans="1:47" ht="12.75" hidden="1">
      <c r="A560" s="110"/>
      <c r="B560" s="1009"/>
      <c r="C560" s="1010"/>
      <c r="D560" s="253"/>
      <c r="E560" s="1011"/>
      <c r="F560" s="262"/>
      <c r="G560" s="1011"/>
      <c r="H560" s="262"/>
      <c r="I560" s="1011"/>
      <c r="J560" s="262"/>
      <c r="K560" s="1011"/>
      <c r="L560" s="262"/>
      <c r="M560" s="1011"/>
      <c r="N560" s="262"/>
      <c r="O560" s="1011"/>
      <c r="P560" s="262"/>
      <c r="Q560" s="1011"/>
      <c r="R560" s="1012"/>
      <c r="S560" s="1011"/>
      <c r="T560" s="1012"/>
      <c r="U560" s="1010"/>
      <c r="V560" s="1012"/>
      <c r="W560" s="1010"/>
      <c r="X560" s="1012"/>
      <c r="Y560" s="1010"/>
      <c r="Z560" s="262"/>
      <c r="AA560" s="110"/>
      <c r="AB560" s="110"/>
      <c r="AC560" s="110"/>
      <c r="AD560" s="110"/>
      <c r="AE560" s="110"/>
      <c r="AF560" s="110"/>
      <c r="AG560" s="110"/>
      <c r="AH560" s="110"/>
      <c r="AI560" s="110"/>
      <c r="AJ560" s="110"/>
      <c r="AK560" s="110"/>
      <c r="AL560" s="110"/>
      <c r="AM560" s="110"/>
      <c r="AN560" s="110"/>
      <c r="AO560" s="110"/>
      <c r="AP560" s="110"/>
      <c r="AQ560" s="110"/>
      <c r="AR560" s="110"/>
      <c r="AS560" s="110"/>
      <c r="AT560" s="110"/>
      <c r="AU560" s="110"/>
    </row>
    <row r="561" spans="1:47" ht="12.75" hidden="1">
      <c r="A561" s="110"/>
      <c r="B561" s="1009"/>
      <c r="C561" s="1010"/>
      <c r="D561" s="253"/>
      <c r="E561" s="1011"/>
      <c r="F561" s="262"/>
      <c r="G561" s="1011"/>
      <c r="H561" s="262"/>
      <c r="I561" s="1011"/>
      <c r="J561" s="262"/>
      <c r="K561" s="1011"/>
      <c r="L561" s="262"/>
      <c r="M561" s="1011"/>
      <c r="N561" s="262"/>
      <c r="O561" s="1011"/>
      <c r="P561" s="262"/>
      <c r="Q561" s="1011"/>
      <c r="R561" s="1012"/>
      <c r="S561" s="1011"/>
      <c r="T561" s="1012"/>
      <c r="U561" s="1010"/>
      <c r="V561" s="1012"/>
      <c r="W561" s="1010"/>
      <c r="X561" s="1012"/>
      <c r="Y561" s="1010"/>
      <c r="Z561" s="262"/>
      <c r="AA561" s="110"/>
      <c r="AB561" s="110"/>
      <c r="AC561" s="110"/>
      <c r="AD561" s="110"/>
      <c r="AE561" s="110"/>
      <c r="AF561" s="110"/>
      <c r="AG561" s="110"/>
      <c r="AH561" s="110"/>
      <c r="AI561" s="110"/>
      <c r="AJ561" s="110"/>
      <c r="AK561" s="110"/>
      <c r="AL561" s="110"/>
      <c r="AM561" s="110"/>
      <c r="AN561" s="110"/>
      <c r="AO561" s="110"/>
      <c r="AP561" s="110"/>
      <c r="AQ561" s="110"/>
      <c r="AR561" s="110"/>
      <c r="AS561" s="110"/>
      <c r="AT561" s="110"/>
      <c r="AU561" s="110"/>
    </row>
    <row r="562" spans="1:47" ht="12.75" hidden="1">
      <c r="A562" s="110"/>
      <c r="B562" s="1009"/>
      <c r="C562" s="1010"/>
      <c r="D562" s="253"/>
      <c r="E562" s="1011"/>
      <c r="F562" s="262"/>
      <c r="G562" s="1011"/>
      <c r="H562" s="262"/>
      <c r="I562" s="1011"/>
      <c r="J562" s="262"/>
      <c r="K562" s="1011"/>
      <c r="L562" s="262"/>
      <c r="M562" s="1011"/>
      <c r="N562" s="262"/>
      <c r="O562" s="1011"/>
      <c r="P562" s="262"/>
      <c r="Q562" s="1011"/>
      <c r="R562" s="1012"/>
      <c r="S562" s="1011"/>
      <c r="T562" s="1012"/>
      <c r="U562" s="1010"/>
      <c r="V562" s="1012"/>
      <c r="W562" s="1010"/>
      <c r="X562" s="1012"/>
      <c r="Y562" s="1010"/>
      <c r="Z562" s="262"/>
      <c r="AA562" s="110"/>
      <c r="AB562" s="110"/>
      <c r="AC562" s="110"/>
      <c r="AD562" s="110"/>
      <c r="AE562" s="110"/>
      <c r="AF562" s="110"/>
      <c r="AG562" s="110"/>
      <c r="AH562" s="110"/>
      <c r="AI562" s="110"/>
      <c r="AJ562" s="110"/>
      <c r="AK562" s="110"/>
      <c r="AL562" s="110"/>
      <c r="AM562" s="110"/>
      <c r="AN562" s="110"/>
      <c r="AO562" s="110"/>
      <c r="AP562" s="110"/>
      <c r="AQ562" s="110"/>
      <c r="AR562" s="110"/>
      <c r="AS562" s="110"/>
      <c r="AT562" s="110"/>
      <c r="AU562" s="110"/>
    </row>
    <row r="563" spans="1:47" ht="12.75" hidden="1">
      <c r="A563" s="110"/>
      <c r="B563" s="1009"/>
      <c r="C563" s="1010"/>
      <c r="D563" s="253"/>
      <c r="E563" s="1011"/>
      <c r="F563" s="262"/>
      <c r="G563" s="1011"/>
      <c r="H563" s="262"/>
      <c r="I563" s="1011"/>
      <c r="J563" s="262"/>
      <c r="K563" s="1011"/>
      <c r="L563" s="262"/>
      <c r="M563" s="1011"/>
      <c r="N563" s="262"/>
      <c r="O563" s="1011"/>
      <c r="P563" s="262"/>
      <c r="Q563" s="1011"/>
      <c r="R563" s="1012"/>
      <c r="S563" s="1011"/>
      <c r="T563" s="1012"/>
      <c r="U563" s="1010"/>
      <c r="V563" s="1012"/>
      <c r="W563" s="1010"/>
      <c r="X563" s="1012"/>
      <c r="Y563" s="1010"/>
      <c r="Z563" s="262"/>
      <c r="AA563" s="110"/>
      <c r="AB563" s="110"/>
      <c r="AC563" s="110"/>
      <c r="AD563" s="110"/>
      <c r="AE563" s="110"/>
      <c r="AF563" s="110"/>
      <c r="AG563" s="110"/>
      <c r="AH563" s="110"/>
      <c r="AI563" s="110"/>
      <c r="AJ563" s="110"/>
      <c r="AK563" s="110"/>
      <c r="AL563" s="110"/>
      <c r="AM563" s="110"/>
      <c r="AN563" s="110"/>
      <c r="AO563" s="110"/>
      <c r="AP563" s="110"/>
      <c r="AQ563" s="110"/>
      <c r="AR563" s="110"/>
      <c r="AS563" s="110"/>
      <c r="AT563" s="110"/>
      <c r="AU563" s="110"/>
    </row>
    <row r="564" spans="1:47" ht="12.75" hidden="1">
      <c r="A564" s="110"/>
      <c r="B564" s="1009"/>
      <c r="C564" s="1010"/>
      <c r="D564" s="253"/>
      <c r="E564" s="1011"/>
      <c r="F564" s="262"/>
      <c r="G564" s="1011"/>
      <c r="H564" s="262"/>
      <c r="I564" s="1011"/>
      <c r="J564" s="262"/>
      <c r="K564" s="1011"/>
      <c r="L564" s="262"/>
      <c r="M564" s="1011"/>
      <c r="N564" s="262"/>
      <c r="O564" s="1011"/>
      <c r="P564" s="262"/>
      <c r="Q564" s="1011"/>
      <c r="R564" s="1012"/>
      <c r="S564" s="1011"/>
      <c r="T564" s="1012"/>
      <c r="U564" s="1010"/>
      <c r="V564" s="1012"/>
      <c r="W564" s="1010"/>
      <c r="X564" s="1012"/>
      <c r="Y564" s="1010"/>
      <c r="Z564" s="262"/>
      <c r="AA564" s="110"/>
      <c r="AB564" s="110"/>
      <c r="AC564" s="110"/>
      <c r="AD564" s="110"/>
      <c r="AE564" s="110"/>
      <c r="AF564" s="110"/>
      <c r="AG564" s="110"/>
      <c r="AH564" s="110"/>
      <c r="AI564" s="110"/>
      <c r="AJ564" s="110"/>
      <c r="AK564" s="110"/>
      <c r="AL564" s="110"/>
      <c r="AM564" s="110"/>
      <c r="AN564" s="110"/>
      <c r="AO564" s="110"/>
      <c r="AP564" s="110"/>
      <c r="AQ564" s="110"/>
      <c r="AR564" s="110"/>
      <c r="AS564" s="110"/>
      <c r="AT564" s="110"/>
      <c r="AU564" s="110"/>
    </row>
    <row r="565" spans="1:47" ht="12.75" hidden="1">
      <c r="A565" s="110"/>
      <c r="B565" s="1009"/>
      <c r="C565" s="1010"/>
      <c r="D565" s="253"/>
      <c r="E565" s="1011"/>
      <c r="F565" s="262"/>
      <c r="G565" s="1011"/>
      <c r="H565" s="262"/>
      <c r="I565" s="1011"/>
      <c r="J565" s="262"/>
      <c r="K565" s="1011"/>
      <c r="L565" s="262"/>
      <c r="M565" s="1011"/>
      <c r="N565" s="262"/>
      <c r="O565" s="1011"/>
      <c r="P565" s="262"/>
      <c r="Q565" s="1011"/>
      <c r="R565" s="1012"/>
      <c r="S565" s="1011"/>
      <c r="T565" s="1012"/>
      <c r="U565" s="1010"/>
      <c r="V565" s="1012"/>
      <c r="W565" s="1010"/>
      <c r="X565" s="1012"/>
      <c r="Y565" s="1010"/>
      <c r="Z565" s="262"/>
      <c r="AA565" s="110"/>
      <c r="AB565" s="110"/>
      <c r="AC565" s="110"/>
      <c r="AD565" s="110"/>
      <c r="AE565" s="110"/>
      <c r="AF565" s="110"/>
      <c r="AG565" s="110"/>
      <c r="AH565" s="110"/>
      <c r="AI565" s="110"/>
      <c r="AJ565" s="110"/>
      <c r="AK565" s="110"/>
      <c r="AL565" s="110"/>
      <c r="AM565" s="110"/>
      <c r="AN565" s="110"/>
      <c r="AO565" s="110"/>
      <c r="AP565" s="110"/>
      <c r="AQ565" s="110"/>
      <c r="AR565" s="110"/>
      <c r="AS565" s="110"/>
      <c r="AT565" s="110"/>
      <c r="AU565" s="110"/>
    </row>
    <row r="566" spans="1:47" ht="12.75" hidden="1">
      <c r="A566" s="110"/>
      <c r="B566" s="1009"/>
      <c r="C566" s="1010"/>
      <c r="D566" s="253"/>
      <c r="E566" s="1011"/>
      <c r="F566" s="262"/>
      <c r="G566" s="1011"/>
      <c r="H566" s="262"/>
      <c r="I566" s="1011"/>
      <c r="J566" s="262"/>
      <c r="K566" s="1011"/>
      <c r="L566" s="262"/>
      <c r="M566" s="1011"/>
      <c r="N566" s="262"/>
      <c r="O566" s="1011"/>
      <c r="P566" s="262"/>
      <c r="Q566" s="1011"/>
      <c r="R566" s="1012"/>
      <c r="S566" s="1011"/>
      <c r="T566" s="1012"/>
      <c r="U566" s="1010"/>
      <c r="V566" s="1012"/>
      <c r="W566" s="1010"/>
      <c r="X566" s="1012"/>
      <c r="Y566" s="1010"/>
      <c r="Z566" s="262"/>
      <c r="AA566" s="110"/>
      <c r="AB566" s="110"/>
      <c r="AC566" s="110"/>
      <c r="AD566" s="110"/>
      <c r="AE566" s="110"/>
      <c r="AF566" s="110"/>
      <c r="AG566" s="110"/>
      <c r="AH566" s="110"/>
      <c r="AI566" s="110"/>
      <c r="AJ566" s="110"/>
      <c r="AK566" s="110"/>
      <c r="AL566" s="110"/>
      <c r="AM566" s="110"/>
      <c r="AN566" s="110"/>
      <c r="AO566" s="110"/>
      <c r="AP566" s="110"/>
      <c r="AQ566" s="110"/>
      <c r="AR566" s="110"/>
      <c r="AS566" s="110"/>
      <c r="AT566" s="110"/>
      <c r="AU566" s="110"/>
    </row>
    <row r="567" spans="1:47" ht="12.75" hidden="1">
      <c r="A567" s="110"/>
      <c r="B567" s="1009"/>
      <c r="C567" s="1010"/>
      <c r="D567" s="253"/>
      <c r="E567" s="1011"/>
      <c r="F567" s="262"/>
      <c r="G567" s="1011"/>
      <c r="H567" s="262"/>
      <c r="I567" s="1011"/>
      <c r="J567" s="262"/>
      <c r="K567" s="1011"/>
      <c r="L567" s="262"/>
      <c r="M567" s="1011"/>
      <c r="N567" s="262"/>
      <c r="O567" s="1011"/>
      <c r="P567" s="262"/>
      <c r="Q567" s="1011"/>
      <c r="R567" s="1012"/>
      <c r="S567" s="1011"/>
      <c r="T567" s="1012"/>
      <c r="U567" s="1010"/>
      <c r="V567" s="1012"/>
      <c r="W567" s="1010"/>
      <c r="X567" s="1012"/>
      <c r="Y567" s="1010"/>
      <c r="Z567" s="262"/>
      <c r="AA567" s="110"/>
      <c r="AB567" s="110"/>
      <c r="AC567" s="110"/>
      <c r="AD567" s="110"/>
      <c r="AE567" s="110"/>
      <c r="AF567" s="110"/>
      <c r="AG567" s="110"/>
      <c r="AH567" s="110"/>
      <c r="AI567" s="110"/>
      <c r="AJ567" s="110"/>
      <c r="AK567" s="110"/>
      <c r="AL567" s="110"/>
      <c r="AM567" s="110"/>
      <c r="AN567" s="110"/>
      <c r="AO567" s="110"/>
      <c r="AP567" s="110"/>
      <c r="AQ567" s="110"/>
      <c r="AR567" s="110"/>
      <c r="AS567" s="110"/>
      <c r="AT567" s="110"/>
      <c r="AU567" s="110"/>
    </row>
    <row r="568" spans="1:47" ht="12.75" hidden="1">
      <c r="A568" s="110"/>
      <c r="B568" s="1009"/>
      <c r="C568" s="1010"/>
      <c r="D568" s="253"/>
      <c r="E568" s="1011"/>
      <c r="F568" s="262"/>
      <c r="G568" s="1011"/>
      <c r="H568" s="262"/>
      <c r="I568" s="1011"/>
      <c r="J568" s="262"/>
      <c r="K568" s="1011"/>
      <c r="L568" s="262"/>
      <c r="M568" s="1011"/>
      <c r="N568" s="262"/>
      <c r="O568" s="1011"/>
      <c r="P568" s="262"/>
      <c r="Q568" s="1011"/>
      <c r="R568" s="1012"/>
      <c r="S568" s="1011"/>
      <c r="T568" s="1012"/>
      <c r="U568" s="1010"/>
      <c r="V568" s="1012"/>
      <c r="W568" s="1010"/>
      <c r="X568" s="1012"/>
      <c r="Y568" s="1010"/>
      <c r="Z568" s="262"/>
      <c r="AA568" s="110"/>
      <c r="AB568" s="110"/>
      <c r="AC568" s="110"/>
      <c r="AD568" s="110"/>
      <c r="AE568" s="110"/>
      <c r="AF568" s="110"/>
      <c r="AG568" s="110"/>
      <c r="AH568" s="110"/>
      <c r="AI568" s="110"/>
      <c r="AJ568" s="110"/>
      <c r="AK568" s="110"/>
      <c r="AL568" s="110"/>
      <c r="AM568" s="110"/>
      <c r="AN568" s="110"/>
      <c r="AO568" s="110"/>
      <c r="AP568" s="110"/>
      <c r="AQ568" s="110"/>
      <c r="AR568" s="110"/>
      <c r="AS568" s="110"/>
      <c r="AT568" s="110"/>
      <c r="AU568" s="110"/>
    </row>
    <row r="569" spans="1:47" ht="12.75" hidden="1">
      <c r="A569" s="110"/>
      <c r="B569" s="1009"/>
      <c r="C569" s="1010"/>
      <c r="D569" s="253"/>
      <c r="E569" s="1011"/>
      <c r="F569" s="262"/>
      <c r="G569" s="1011"/>
      <c r="H569" s="262"/>
      <c r="I569" s="1011"/>
      <c r="J569" s="262"/>
      <c r="K569" s="1011"/>
      <c r="L569" s="262"/>
      <c r="M569" s="1011"/>
      <c r="N569" s="262"/>
      <c r="O569" s="1011"/>
      <c r="P569" s="262"/>
      <c r="Q569" s="1011"/>
      <c r="R569" s="1012"/>
      <c r="S569" s="1011"/>
      <c r="T569" s="1012"/>
      <c r="U569" s="1010"/>
      <c r="V569" s="1012"/>
      <c r="W569" s="1010"/>
      <c r="X569" s="1012"/>
      <c r="Y569" s="1010"/>
      <c r="Z569" s="262"/>
      <c r="AA569" s="110"/>
      <c r="AB569" s="110"/>
      <c r="AC569" s="110"/>
      <c r="AD569" s="110"/>
      <c r="AE569" s="110"/>
      <c r="AF569" s="110"/>
      <c r="AG569" s="110"/>
      <c r="AH569" s="110"/>
      <c r="AI569" s="110"/>
      <c r="AJ569" s="110"/>
      <c r="AK569" s="110"/>
      <c r="AL569" s="110"/>
      <c r="AM569" s="110"/>
      <c r="AN569" s="110"/>
      <c r="AO569" s="110"/>
      <c r="AP569" s="110"/>
      <c r="AQ569" s="110"/>
      <c r="AR569" s="110"/>
      <c r="AS569" s="110"/>
      <c r="AT569" s="110"/>
      <c r="AU569" s="110"/>
    </row>
    <row r="570" spans="1:47" ht="12.75" hidden="1">
      <c r="A570" s="110"/>
      <c r="B570" s="1009"/>
      <c r="C570" s="1010"/>
      <c r="D570" s="253"/>
      <c r="E570" s="1011"/>
      <c r="F570" s="262"/>
      <c r="G570" s="1011"/>
      <c r="H570" s="262"/>
      <c r="I570" s="1011"/>
      <c r="J570" s="262"/>
      <c r="K570" s="1011"/>
      <c r="L570" s="262"/>
      <c r="M570" s="1011"/>
      <c r="N570" s="262"/>
      <c r="O570" s="1011"/>
      <c r="P570" s="262"/>
      <c r="Q570" s="1011"/>
      <c r="R570" s="1012"/>
      <c r="S570" s="1011"/>
      <c r="T570" s="1012"/>
      <c r="U570" s="1010"/>
      <c r="V570" s="1012"/>
      <c r="W570" s="1010"/>
      <c r="X570" s="1012"/>
      <c r="Y570" s="1010"/>
      <c r="Z570" s="262"/>
      <c r="AA570" s="110"/>
      <c r="AB570" s="110"/>
      <c r="AC570" s="110"/>
      <c r="AD570" s="110"/>
      <c r="AE570" s="110"/>
      <c r="AF570" s="110"/>
      <c r="AG570" s="110"/>
      <c r="AH570" s="110"/>
      <c r="AI570" s="110"/>
      <c r="AJ570" s="110"/>
      <c r="AK570" s="110"/>
      <c r="AL570" s="110"/>
      <c r="AM570" s="110"/>
      <c r="AN570" s="110"/>
      <c r="AO570" s="110"/>
      <c r="AP570" s="110"/>
      <c r="AQ570" s="110"/>
      <c r="AR570" s="110"/>
      <c r="AS570" s="110"/>
      <c r="AT570" s="110"/>
      <c r="AU570" s="110"/>
    </row>
    <row r="571" spans="1:47" ht="12.75" hidden="1">
      <c r="A571" s="110"/>
      <c r="B571" s="1009"/>
      <c r="C571" s="1010"/>
      <c r="D571" s="253"/>
      <c r="E571" s="1011"/>
      <c r="F571" s="262"/>
      <c r="G571" s="1011"/>
      <c r="H571" s="262"/>
      <c r="I571" s="1011"/>
      <c r="J571" s="262"/>
      <c r="K571" s="1011"/>
      <c r="L571" s="262"/>
      <c r="M571" s="1011"/>
      <c r="N571" s="262"/>
      <c r="O571" s="1011"/>
      <c r="P571" s="262"/>
      <c r="Q571" s="1011"/>
      <c r="R571" s="1012"/>
      <c r="S571" s="1011"/>
      <c r="T571" s="1012"/>
      <c r="U571" s="1010"/>
      <c r="V571" s="1012"/>
      <c r="W571" s="1010"/>
      <c r="X571" s="1012"/>
      <c r="Y571" s="1010"/>
      <c r="Z571" s="262"/>
      <c r="AA571" s="110"/>
      <c r="AB571" s="110"/>
      <c r="AC571" s="110"/>
      <c r="AD571" s="110"/>
      <c r="AE571" s="110"/>
      <c r="AF571" s="110"/>
      <c r="AG571" s="110"/>
      <c r="AH571" s="110"/>
      <c r="AI571" s="110"/>
      <c r="AJ571" s="110"/>
      <c r="AK571" s="110"/>
      <c r="AL571" s="110"/>
      <c r="AM571" s="110"/>
      <c r="AN571" s="110"/>
      <c r="AO571" s="110"/>
      <c r="AP571" s="110"/>
      <c r="AQ571" s="110"/>
      <c r="AR571" s="110"/>
      <c r="AS571" s="110"/>
      <c r="AT571" s="110"/>
      <c r="AU571" s="110"/>
    </row>
    <row r="572" spans="1:47" ht="12.75" hidden="1">
      <c r="A572" s="110"/>
      <c r="B572" s="1009"/>
      <c r="C572" s="1010"/>
      <c r="D572" s="253"/>
      <c r="E572" s="1011"/>
      <c r="F572" s="262"/>
      <c r="G572" s="1011"/>
      <c r="H572" s="262"/>
      <c r="I572" s="1011"/>
      <c r="J572" s="262"/>
      <c r="K572" s="1011"/>
      <c r="L572" s="262"/>
      <c r="M572" s="1011"/>
      <c r="N572" s="262"/>
      <c r="O572" s="1011"/>
      <c r="P572" s="262"/>
      <c r="Q572" s="1011"/>
      <c r="R572" s="1012"/>
      <c r="S572" s="1011"/>
      <c r="T572" s="1012"/>
      <c r="U572" s="1010"/>
      <c r="V572" s="1012"/>
      <c r="W572" s="1010"/>
      <c r="X572" s="1012"/>
      <c r="Y572" s="1010"/>
      <c r="Z572" s="262"/>
      <c r="AA572" s="110"/>
      <c r="AB572" s="110"/>
      <c r="AC572" s="110"/>
      <c r="AD572" s="110"/>
      <c r="AE572" s="110"/>
      <c r="AF572" s="110"/>
      <c r="AG572" s="110"/>
      <c r="AH572" s="110"/>
      <c r="AI572" s="110"/>
      <c r="AJ572" s="110"/>
      <c r="AK572" s="110"/>
      <c r="AL572" s="110"/>
      <c r="AM572" s="110"/>
      <c r="AN572" s="110"/>
      <c r="AO572" s="110"/>
      <c r="AP572" s="110"/>
      <c r="AQ572" s="110"/>
      <c r="AR572" s="110"/>
      <c r="AS572" s="110"/>
      <c r="AT572" s="110"/>
      <c r="AU572" s="110"/>
    </row>
    <row r="573" spans="1:47" ht="12.75" hidden="1">
      <c r="A573" s="110"/>
      <c r="B573" s="1009"/>
      <c r="C573" s="1010"/>
      <c r="D573" s="253"/>
      <c r="E573" s="1011"/>
      <c r="F573" s="262"/>
      <c r="G573" s="1011"/>
      <c r="H573" s="262"/>
      <c r="I573" s="1011"/>
      <c r="J573" s="262"/>
      <c r="K573" s="1011"/>
      <c r="L573" s="262"/>
      <c r="M573" s="1011"/>
      <c r="N573" s="262"/>
      <c r="O573" s="1011"/>
      <c r="P573" s="262"/>
      <c r="Q573" s="1011"/>
      <c r="R573" s="1012"/>
      <c r="S573" s="1011"/>
      <c r="T573" s="1012"/>
      <c r="U573" s="1010"/>
      <c r="V573" s="1012"/>
      <c r="W573" s="1010"/>
      <c r="X573" s="1012"/>
      <c r="Y573" s="1010"/>
      <c r="Z573" s="262"/>
      <c r="AA573" s="110"/>
      <c r="AB573" s="110"/>
      <c r="AC573" s="110"/>
      <c r="AD573" s="110"/>
      <c r="AE573" s="110"/>
      <c r="AF573" s="110"/>
      <c r="AG573" s="110"/>
      <c r="AH573" s="110"/>
      <c r="AI573" s="110"/>
      <c r="AJ573" s="110"/>
      <c r="AK573" s="110"/>
      <c r="AL573" s="110"/>
      <c r="AM573" s="110"/>
      <c r="AN573" s="110"/>
      <c r="AO573" s="110"/>
      <c r="AP573" s="110"/>
      <c r="AQ573" s="110"/>
      <c r="AR573" s="110"/>
      <c r="AS573" s="110"/>
      <c r="AT573" s="110"/>
      <c r="AU573" s="110"/>
    </row>
    <row r="574" spans="1:47" ht="12.75" hidden="1">
      <c r="A574" s="110"/>
      <c r="B574" s="1009"/>
      <c r="C574" s="1010"/>
      <c r="D574" s="253"/>
      <c r="E574" s="1011"/>
      <c r="F574" s="262"/>
      <c r="G574" s="1011"/>
      <c r="H574" s="262"/>
      <c r="I574" s="1011"/>
      <c r="J574" s="262"/>
      <c r="K574" s="1011"/>
      <c r="L574" s="262"/>
      <c r="M574" s="1011"/>
      <c r="N574" s="262"/>
      <c r="O574" s="1011"/>
      <c r="P574" s="262"/>
      <c r="Q574" s="1011"/>
      <c r="R574" s="1012"/>
      <c r="S574" s="1011"/>
      <c r="T574" s="1012"/>
      <c r="U574" s="1010"/>
      <c r="V574" s="1012"/>
      <c r="W574" s="1010"/>
      <c r="X574" s="1012"/>
      <c r="Y574" s="1010"/>
      <c r="Z574" s="262"/>
      <c r="AA574" s="110"/>
      <c r="AB574" s="110"/>
      <c r="AC574" s="110"/>
      <c r="AD574" s="110"/>
      <c r="AE574" s="110"/>
      <c r="AF574" s="110"/>
      <c r="AG574" s="110"/>
      <c r="AH574" s="110"/>
      <c r="AI574" s="110"/>
      <c r="AJ574" s="110"/>
      <c r="AK574" s="110"/>
      <c r="AL574" s="110"/>
      <c r="AM574" s="110"/>
      <c r="AN574" s="110"/>
      <c r="AO574" s="110"/>
      <c r="AP574" s="110"/>
      <c r="AQ574" s="110"/>
      <c r="AR574" s="110"/>
      <c r="AS574" s="110"/>
      <c r="AT574" s="110"/>
      <c r="AU574" s="110"/>
    </row>
    <row r="575" spans="1:47" ht="12.75" hidden="1">
      <c r="A575" s="110"/>
      <c r="B575" s="1009"/>
      <c r="C575" s="1010"/>
      <c r="D575" s="253"/>
      <c r="E575" s="1011"/>
      <c r="F575" s="262"/>
      <c r="G575" s="1011"/>
      <c r="H575" s="262"/>
      <c r="I575" s="1011"/>
      <c r="J575" s="262"/>
      <c r="K575" s="1011"/>
      <c r="L575" s="262"/>
      <c r="M575" s="1011"/>
      <c r="N575" s="262"/>
      <c r="O575" s="1011"/>
      <c r="P575" s="262"/>
      <c r="Q575" s="1011"/>
      <c r="R575" s="1012"/>
      <c r="S575" s="1011"/>
      <c r="T575" s="1012"/>
      <c r="U575" s="1010"/>
      <c r="V575" s="1012"/>
      <c r="W575" s="1010"/>
      <c r="X575" s="1012"/>
      <c r="Y575" s="1010"/>
      <c r="Z575" s="262"/>
      <c r="AA575" s="110"/>
      <c r="AB575" s="110"/>
      <c r="AC575" s="110"/>
      <c r="AD575" s="110"/>
      <c r="AE575" s="110"/>
      <c r="AF575" s="110"/>
      <c r="AG575" s="110"/>
      <c r="AH575" s="110"/>
      <c r="AI575" s="110"/>
      <c r="AJ575" s="110"/>
      <c r="AK575" s="110"/>
      <c r="AL575" s="110"/>
      <c r="AM575" s="110"/>
      <c r="AN575" s="110"/>
      <c r="AO575" s="110"/>
      <c r="AP575" s="110"/>
      <c r="AQ575" s="110"/>
      <c r="AR575" s="110"/>
      <c r="AS575" s="110"/>
      <c r="AT575" s="110"/>
      <c r="AU575" s="110"/>
    </row>
    <row r="576" spans="1:47" ht="12.75" hidden="1">
      <c r="A576" s="110"/>
      <c r="B576" s="1009"/>
      <c r="C576" s="1010"/>
      <c r="D576" s="253"/>
      <c r="E576" s="1011"/>
      <c r="F576" s="262"/>
      <c r="G576" s="1011"/>
      <c r="H576" s="262"/>
      <c r="I576" s="1011"/>
      <c r="J576" s="262"/>
      <c r="K576" s="1011"/>
      <c r="L576" s="262"/>
      <c r="M576" s="1011"/>
      <c r="N576" s="262"/>
      <c r="O576" s="1011"/>
      <c r="P576" s="262"/>
      <c r="Q576" s="1011"/>
      <c r="R576" s="1012"/>
      <c r="S576" s="1011"/>
      <c r="T576" s="1012"/>
      <c r="U576" s="1010"/>
      <c r="V576" s="1012"/>
      <c r="W576" s="1010"/>
      <c r="X576" s="1012"/>
      <c r="Y576" s="1010"/>
      <c r="Z576" s="262"/>
      <c r="AA576" s="110"/>
      <c r="AB576" s="110"/>
      <c r="AC576" s="110"/>
      <c r="AD576" s="110"/>
      <c r="AE576" s="110"/>
      <c r="AF576" s="110"/>
      <c r="AG576" s="110"/>
      <c r="AH576" s="110"/>
      <c r="AI576" s="110"/>
      <c r="AJ576" s="110"/>
      <c r="AK576" s="110"/>
      <c r="AL576" s="110"/>
      <c r="AM576" s="110"/>
      <c r="AN576" s="110"/>
      <c r="AO576" s="110"/>
      <c r="AP576" s="110"/>
      <c r="AQ576" s="110"/>
      <c r="AR576" s="110"/>
      <c r="AS576" s="110"/>
      <c r="AT576" s="110"/>
      <c r="AU576" s="110"/>
    </row>
    <row r="577" spans="1:47" ht="12.75" hidden="1">
      <c r="A577" s="110"/>
      <c r="B577" s="1009"/>
      <c r="C577" s="1010"/>
      <c r="D577" s="253"/>
      <c r="E577" s="1011"/>
      <c r="F577" s="262"/>
      <c r="G577" s="1011"/>
      <c r="H577" s="262"/>
      <c r="I577" s="1011"/>
      <c r="J577" s="262"/>
      <c r="K577" s="1011"/>
      <c r="L577" s="262"/>
      <c r="M577" s="1011"/>
      <c r="N577" s="262"/>
      <c r="O577" s="1011"/>
      <c r="P577" s="262"/>
      <c r="Q577" s="1011"/>
      <c r="R577" s="1012"/>
      <c r="S577" s="1011"/>
      <c r="T577" s="1012"/>
      <c r="U577" s="1010"/>
      <c r="V577" s="1012"/>
      <c r="W577" s="1010"/>
      <c r="X577" s="1012"/>
      <c r="Y577" s="1010"/>
      <c r="Z577" s="262"/>
      <c r="AA577" s="110"/>
      <c r="AB577" s="110"/>
      <c r="AC577" s="110"/>
      <c r="AD577" s="110"/>
      <c r="AE577" s="110"/>
      <c r="AF577" s="110"/>
      <c r="AG577" s="110"/>
      <c r="AH577" s="110"/>
      <c r="AI577" s="110"/>
      <c r="AJ577" s="110"/>
      <c r="AK577" s="110"/>
      <c r="AL577" s="110"/>
      <c r="AM577" s="110"/>
      <c r="AN577" s="110"/>
      <c r="AO577" s="110"/>
      <c r="AP577" s="110"/>
      <c r="AQ577" s="110"/>
      <c r="AR577" s="110"/>
      <c r="AS577" s="110"/>
      <c r="AT577" s="110"/>
      <c r="AU577" s="110"/>
    </row>
    <row r="578" spans="1:47" ht="12.75" hidden="1">
      <c r="A578" s="110"/>
      <c r="B578" s="1009"/>
      <c r="C578" s="1010"/>
      <c r="D578" s="253"/>
      <c r="E578" s="1011"/>
      <c r="F578" s="262"/>
      <c r="G578" s="1011"/>
      <c r="H578" s="262"/>
      <c r="I578" s="1011"/>
      <c r="J578" s="262"/>
      <c r="K578" s="1011"/>
      <c r="L578" s="262"/>
      <c r="M578" s="1011"/>
      <c r="N578" s="262"/>
      <c r="O578" s="1011"/>
      <c r="P578" s="262"/>
      <c r="Q578" s="1011"/>
      <c r="R578" s="1012"/>
      <c r="S578" s="1011"/>
      <c r="T578" s="1012"/>
      <c r="U578" s="1010"/>
      <c r="V578" s="1012"/>
      <c r="W578" s="1010"/>
      <c r="X578" s="1012"/>
      <c r="Y578" s="1010"/>
      <c r="Z578" s="262"/>
      <c r="AA578" s="110"/>
      <c r="AB578" s="110"/>
      <c r="AC578" s="110"/>
      <c r="AD578" s="110"/>
      <c r="AE578" s="110"/>
      <c r="AF578" s="110"/>
      <c r="AG578" s="110"/>
      <c r="AH578" s="110"/>
      <c r="AI578" s="110"/>
      <c r="AJ578" s="110"/>
      <c r="AK578" s="110"/>
      <c r="AL578" s="110"/>
      <c r="AM578" s="110"/>
      <c r="AN578" s="110"/>
      <c r="AO578" s="110"/>
      <c r="AP578" s="110"/>
      <c r="AQ578" s="110"/>
      <c r="AR578" s="110"/>
      <c r="AS578" s="110"/>
      <c r="AT578" s="110"/>
      <c r="AU578" s="110"/>
    </row>
    <row r="579" spans="1:47" ht="12.75" hidden="1">
      <c r="A579" s="110"/>
      <c r="B579" s="1009"/>
      <c r="C579" s="1010"/>
      <c r="D579" s="253"/>
      <c r="E579" s="1011"/>
      <c r="F579" s="262"/>
      <c r="G579" s="1011"/>
      <c r="H579" s="262"/>
      <c r="I579" s="1011"/>
      <c r="J579" s="262"/>
      <c r="K579" s="1011"/>
      <c r="L579" s="262"/>
      <c r="M579" s="1011"/>
      <c r="N579" s="262"/>
      <c r="O579" s="1011"/>
      <c r="P579" s="262"/>
      <c r="Q579" s="1011"/>
      <c r="R579" s="1012"/>
      <c r="S579" s="1011"/>
      <c r="T579" s="1012"/>
      <c r="U579" s="1010"/>
      <c r="V579" s="1012"/>
      <c r="W579" s="1010"/>
      <c r="X579" s="1012"/>
      <c r="Y579" s="1010"/>
      <c r="Z579" s="262"/>
      <c r="AA579" s="110"/>
      <c r="AB579" s="110"/>
      <c r="AC579" s="110"/>
      <c r="AD579" s="110"/>
      <c r="AE579" s="110"/>
      <c r="AF579" s="110"/>
      <c r="AG579" s="110"/>
      <c r="AH579" s="110"/>
      <c r="AI579" s="110"/>
      <c r="AJ579" s="110"/>
      <c r="AK579" s="110"/>
      <c r="AL579" s="110"/>
      <c r="AM579" s="110"/>
      <c r="AN579" s="110"/>
      <c r="AO579" s="110"/>
      <c r="AP579" s="110"/>
      <c r="AQ579" s="110"/>
      <c r="AR579" s="110"/>
      <c r="AS579" s="110"/>
      <c r="AT579" s="110"/>
      <c r="AU579" s="110"/>
    </row>
    <row r="580" spans="1:47" ht="12.75" hidden="1">
      <c r="A580" s="110"/>
      <c r="B580" s="1009"/>
      <c r="C580" s="1010"/>
      <c r="D580" s="253"/>
      <c r="E580" s="1011"/>
      <c r="F580" s="262"/>
      <c r="G580" s="1011"/>
      <c r="H580" s="262"/>
      <c r="I580" s="1011"/>
      <c r="J580" s="262"/>
      <c r="K580" s="1011"/>
      <c r="L580" s="262"/>
      <c r="M580" s="1011"/>
      <c r="N580" s="262"/>
      <c r="O580" s="1011"/>
      <c r="P580" s="262"/>
      <c r="Q580" s="1011"/>
      <c r="R580" s="1012"/>
      <c r="S580" s="1011"/>
      <c r="T580" s="1012"/>
      <c r="U580" s="1010"/>
      <c r="V580" s="1012"/>
      <c r="W580" s="1010"/>
      <c r="X580" s="1012"/>
      <c r="Y580" s="1010"/>
      <c r="Z580" s="262"/>
      <c r="AA580" s="110"/>
      <c r="AB580" s="110"/>
      <c r="AC580" s="110"/>
      <c r="AD580" s="110"/>
      <c r="AE580" s="110"/>
      <c r="AF580" s="110"/>
      <c r="AG580" s="110"/>
      <c r="AH580" s="110"/>
      <c r="AI580" s="110"/>
      <c r="AJ580" s="110"/>
      <c r="AK580" s="110"/>
      <c r="AL580" s="110"/>
      <c r="AM580" s="110"/>
      <c r="AN580" s="110"/>
      <c r="AO580" s="110"/>
      <c r="AP580" s="110"/>
      <c r="AQ580" s="110"/>
      <c r="AR580" s="110"/>
      <c r="AS580" s="110"/>
      <c r="AT580" s="110"/>
      <c r="AU580" s="110"/>
    </row>
    <row r="581" spans="1:47" ht="12.75" hidden="1">
      <c r="A581" s="110"/>
      <c r="B581" s="1009"/>
      <c r="C581" s="1010"/>
      <c r="D581" s="253"/>
      <c r="E581" s="1011"/>
      <c r="F581" s="262"/>
      <c r="G581" s="1011"/>
      <c r="H581" s="262"/>
      <c r="I581" s="1011"/>
      <c r="J581" s="262"/>
      <c r="K581" s="1011"/>
      <c r="L581" s="262"/>
      <c r="M581" s="1011"/>
      <c r="N581" s="262"/>
      <c r="O581" s="1011"/>
      <c r="P581" s="262"/>
      <c r="Q581" s="1011"/>
      <c r="R581" s="1012"/>
      <c r="S581" s="1011"/>
      <c r="T581" s="1012"/>
      <c r="U581" s="1010"/>
      <c r="V581" s="1012"/>
      <c r="W581" s="1010"/>
      <c r="X581" s="1012"/>
      <c r="Y581" s="1010"/>
      <c r="Z581" s="262"/>
      <c r="AA581" s="110"/>
      <c r="AB581" s="110"/>
      <c r="AC581" s="110"/>
      <c r="AD581" s="110"/>
      <c r="AE581" s="110"/>
      <c r="AF581" s="110"/>
      <c r="AG581" s="110"/>
      <c r="AH581" s="110"/>
      <c r="AI581" s="110"/>
      <c r="AJ581" s="110"/>
      <c r="AK581" s="110"/>
      <c r="AL581" s="110"/>
      <c r="AM581" s="110"/>
      <c r="AN581" s="110"/>
      <c r="AO581" s="110"/>
      <c r="AP581" s="110"/>
      <c r="AQ581" s="110"/>
      <c r="AR581" s="110"/>
      <c r="AS581" s="110"/>
      <c r="AT581" s="110"/>
      <c r="AU581" s="110"/>
    </row>
    <row r="582" spans="1:47" ht="12.75" hidden="1">
      <c r="A582" s="110"/>
      <c r="B582" s="1009"/>
      <c r="C582" s="1010"/>
      <c r="D582" s="253"/>
      <c r="E582" s="1011"/>
      <c r="F582" s="262"/>
      <c r="G582" s="1011"/>
      <c r="H582" s="262"/>
      <c r="I582" s="1011"/>
      <c r="J582" s="262"/>
      <c r="K582" s="1011"/>
      <c r="L582" s="262"/>
      <c r="M582" s="1011"/>
      <c r="N582" s="262"/>
      <c r="O582" s="1011"/>
      <c r="P582" s="262"/>
      <c r="Q582" s="1011"/>
      <c r="R582" s="1012"/>
      <c r="S582" s="1011"/>
      <c r="T582" s="1012"/>
      <c r="U582" s="1010"/>
      <c r="V582" s="1012"/>
      <c r="W582" s="1010"/>
      <c r="X582" s="1012"/>
      <c r="Y582" s="1010"/>
      <c r="Z582" s="262"/>
      <c r="AA582" s="110"/>
      <c r="AB582" s="110"/>
      <c r="AC582" s="110"/>
      <c r="AD582" s="110"/>
      <c r="AE582" s="110"/>
      <c r="AF582" s="110"/>
      <c r="AG582" s="110"/>
      <c r="AH582" s="110"/>
      <c r="AI582" s="110"/>
      <c r="AJ582" s="110"/>
      <c r="AK582" s="110"/>
      <c r="AL582" s="110"/>
      <c r="AM582" s="110"/>
      <c r="AN582" s="110"/>
      <c r="AO582" s="110"/>
      <c r="AP582" s="110"/>
      <c r="AQ582" s="110"/>
      <c r="AR582" s="110"/>
      <c r="AS582" s="110"/>
      <c r="AT582" s="110"/>
      <c r="AU582" s="110"/>
    </row>
    <row r="583" spans="1:47" ht="12.75" hidden="1">
      <c r="A583" s="110"/>
      <c r="B583" s="1009"/>
      <c r="C583" s="1010"/>
      <c r="D583" s="253"/>
      <c r="E583" s="1011"/>
      <c r="F583" s="262"/>
      <c r="G583" s="1011"/>
      <c r="H583" s="262"/>
      <c r="I583" s="1011"/>
      <c r="J583" s="262"/>
      <c r="K583" s="1011"/>
      <c r="L583" s="262"/>
      <c r="M583" s="1011"/>
      <c r="N583" s="262"/>
      <c r="O583" s="1011"/>
      <c r="P583" s="262"/>
      <c r="Q583" s="1011"/>
      <c r="R583" s="1012"/>
      <c r="S583" s="1011"/>
      <c r="T583" s="1012"/>
      <c r="U583" s="1010"/>
      <c r="V583" s="1012"/>
      <c r="W583" s="1010"/>
      <c r="X583" s="1012"/>
      <c r="Y583" s="1010"/>
      <c r="Z583" s="262"/>
      <c r="AA583" s="110"/>
      <c r="AB583" s="110"/>
      <c r="AC583" s="110"/>
      <c r="AD583" s="110"/>
      <c r="AE583" s="110"/>
      <c r="AF583" s="110"/>
      <c r="AG583" s="110"/>
      <c r="AH583" s="110"/>
      <c r="AI583" s="110"/>
      <c r="AJ583" s="110"/>
      <c r="AK583" s="110"/>
      <c r="AL583" s="110"/>
      <c r="AM583" s="110"/>
      <c r="AN583" s="110"/>
      <c r="AO583" s="110"/>
      <c r="AP583" s="110"/>
      <c r="AQ583" s="110"/>
      <c r="AR583" s="110"/>
      <c r="AS583" s="110"/>
      <c r="AT583" s="110"/>
      <c r="AU583" s="110"/>
    </row>
    <row r="584" spans="1:47" ht="12.75" hidden="1">
      <c r="A584" s="110"/>
      <c r="B584" s="1009"/>
      <c r="C584" s="1010"/>
      <c r="D584" s="253"/>
      <c r="E584" s="1011"/>
      <c r="F584" s="262"/>
      <c r="G584" s="1011"/>
      <c r="H584" s="262"/>
      <c r="I584" s="1011"/>
      <c r="J584" s="262"/>
      <c r="K584" s="1011"/>
      <c r="L584" s="262"/>
      <c r="M584" s="1011"/>
      <c r="N584" s="262"/>
      <c r="O584" s="1011"/>
      <c r="P584" s="262"/>
      <c r="Q584" s="1011"/>
      <c r="R584" s="1012"/>
      <c r="S584" s="1011"/>
      <c r="T584" s="1012"/>
      <c r="U584" s="1010"/>
      <c r="V584" s="1012"/>
      <c r="W584" s="1010"/>
      <c r="X584" s="1012"/>
      <c r="Y584" s="1010"/>
      <c r="Z584" s="262"/>
      <c r="AA584" s="110"/>
      <c r="AB584" s="110"/>
      <c r="AC584" s="110"/>
      <c r="AD584" s="110"/>
      <c r="AE584" s="110"/>
      <c r="AF584" s="110"/>
      <c r="AG584" s="110"/>
      <c r="AH584" s="110"/>
      <c r="AI584" s="110"/>
      <c r="AJ584" s="110"/>
      <c r="AK584" s="110"/>
      <c r="AL584" s="110"/>
      <c r="AM584" s="110"/>
      <c r="AN584" s="110"/>
      <c r="AO584" s="110"/>
      <c r="AP584" s="110"/>
      <c r="AQ584" s="110"/>
      <c r="AR584" s="110"/>
      <c r="AS584" s="110"/>
      <c r="AT584" s="110"/>
      <c r="AU584" s="110"/>
    </row>
    <row r="585" spans="1:47" ht="12.75" hidden="1">
      <c r="A585" s="110"/>
      <c r="B585" s="1009"/>
      <c r="C585" s="1010"/>
      <c r="D585" s="253"/>
      <c r="E585" s="1011"/>
      <c r="F585" s="262"/>
      <c r="G585" s="1011"/>
      <c r="H585" s="262"/>
      <c r="I585" s="1011"/>
      <c r="J585" s="262"/>
      <c r="K585" s="1011"/>
      <c r="L585" s="262"/>
      <c r="M585" s="1011"/>
      <c r="N585" s="262"/>
      <c r="O585" s="1011"/>
      <c r="P585" s="262"/>
      <c r="Q585" s="1011"/>
      <c r="R585" s="1012"/>
      <c r="S585" s="1011"/>
      <c r="T585" s="1012"/>
      <c r="U585" s="1010"/>
      <c r="V585" s="1012"/>
      <c r="W585" s="1010"/>
      <c r="X585" s="1012"/>
      <c r="Y585" s="1010"/>
      <c r="Z585" s="262"/>
      <c r="AA585" s="110"/>
      <c r="AB585" s="110"/>
      <c r="AC585" s="110"/>
      <c r="AD585" s="110"/>
      <c r="AE585" s="110"/>
      <c r="AF585" s="110"/>
      <c r="AG585" s="110"/>
      <c r="AH585" s="110"/>
      <c r="AI585" s="110"/>
      <c r="AJ585" s="110"/>
      <c r="AK585" s="110"/>
      <c r="AL585" s="110"/>
      <c r="AM585" s="110"/>
      <c r="AN585" s="110"/>
      <c r="AO585" s="110"/>
      <c r="AP585" s="110"/>
      <c r="AQ585" s="110"/>
      <c r="AR585" s="110"/>
      <c r="AS585" s="110"/>
      <c r="AT585" s="110"/>
      <c r="AU585" s="110"/>
    </row>
    <row r="586" spans="1:47" ht="12.75" hidden="1">
      <c r="A586" s="110"/>
      <c r="B586" s="1009"/>
      <c r="C586" s="1010"/>
      <c r="D586" s="253"/>
      <c r="E586" s="1011"/>
      <c r="F586" s="262"/>
      <c r="G586" s="1011"/>
      <c r="H586" s="262"/>
      <c r="I586" s="1011"/>
      <c r="J586" s="262"/>
      <c r="K586" s="1011"/>
      <c r="L586" s="262"/>
      <c r="M586" s="1011"/>
      <c r="N586" s="262"/>
      <c r="O586" s="1011"/>
      <c r="P586" s="262"/>
      <c r="Q586" s="1011"/>
      <c r="R586" s="1012"/>
      <c r="S586" s="1011"/>
      <c r="T586" s="1012"/>
      <c r="U586" s="1010"/>
      <c r="V586" s="1012"/>
      <c r="W586" s="1010"/>
      <c r="X586" s="1012"/>
      <c r="Y586" s="1010"/>
      <c r="Z586" s="262"/>
      <c r="AA586" s="110"/>
      <c r="AB586" s="110"/>
      <c r="AC586" s="110"/>
      <c r="AD586" s="110"/>
      <c r="AE586" s="110"/>
      <c r="AF586" s="110"/>
      <c r="AG586" s="110"/>
      <c r="AH586" s="110"/>
      <c r="AI586" s="110"/>
      <c r="AJ586" s="110"/>
      <c r="AK586" s="110"/>
      <c r="AL586" s="110"/>
      <c r="AM586" s="110"/>
      <c r="AN586" s="110"/>
      <c r="AO586" s="110"/>
      <c r="AP586" s="110"/>
      <c r="AQ586" s="110"/>
      <c r="AR586" s="110"/>
      <c r="AS586" s="110"/>
      <c r="AT586" s="110"/>
      <c r="AU586" s="110"/>
    </row>
    <row r="587" spans="1:47" ht="12.75" hidden="1">
      <c r="A587" s="110"/>
      <c r="B587" s="1009"/>
      <c r="C587" s="1010"/>
      <c r="D587" s="253"/>
      <c r="E587" s="1011"/>
      <c r="F587" s="262"/>
      <c r="G587" s="1011"/>
      <c r="H587" s="262"/>
      <c r="I587" s="1011"/>
      <c r="J587" s="262"/>
      <c r="K587" s="1011"/>
      <c r="L587" s="262"/>
      <c r="M587" s="1011"/>
      <c r="N587" s="262"/>
      <c r="O587" s="1011"/>
      <c r="P587" s="262"/>
      <c r="Q587" s="1011"/>
      <c r="R587" s="1012"/>
      <c r="S587" s="1011"/>
      <c r="T587" s="1012"/>
      <c r="U587" s="1010"/>
      <c r="V587" s="1012"/>
      <c r="W587" s="1010"/>
      <c r="X587" s="1012"/>
      <c r="Y587" s="1010"/>
      <c r="Z587" s="262"/>
      <c r="AA587" s="110"/>
      <c r="AB587" s="110"/>
      <c r="AC587" s="110"/>
      <c r="AD587" s="110"/>
      <c r="AE587" s="110"/>
      <c r="AF587" s="110"/>
      <c r="AG587" s="110"/>
      <c r="AH587" s="110"/>
      <c r="AI587" s="110"/>
      <c r="AJ587" s="110"/>
      <c r="AK587" s="110"/>
      <c r="AL587" s="110"/>
      <c r="AM587" s="110"/>
      <c r="AN587" s="110"/>
      <c r="AO587" s="110"/>
      <c r="AP587" s="110"/>
      <c r="AQ587" s="110"/>
      <c r="AR587" s="110"/>
      <c r="AS587" s="110"/>
      <c r="AT587" s="110"/>
      <c r="AU587" s="110"/>
    </row>
    <row r="588" spans="1:47" ht="12.75" hidden="1">
      <c r="A588" s="110"/>
      <c r="B588" s="1009"/>
      <c r="C588" s="1010"/>
      <c r="D588" s="253"/>
      <c r="E588" s="1011"/>
      <c r="F588" s="262"/>
      <c r="G588" s="1011"/>
      <c r="H588" s="262"/>
      <c r="I588" s="1011"/>
      <c r="J588" s="262"/>
      <c r="K588" s="1011"/>
      <c r="L588" s="262"/>
      <c r="M588" s="1011"/>
      <c r="N588" s="262"/>
      <c r="O588" s="1011"/>
      <c r="P588" s="262"/>
      <c r="Q588" s="1011"/>
      <c r="R588" s="1012"/>
      <c r="S588" s="1011"/>
      <c r="T588" s="1012"/>
      <c r="U588" s="1010"/>
      <c r="V588" s="1012"/>
      <c r="W588" s="1010"/>
      <c r="X588" s="1012"/>
      <c r="Y588" s="1010"/>
      <c r="Z588" s="262"/>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row>
    <row r="589" spans="1:47" ht="12.75" hidden="1">
      <c r="A589" s="110"/>
      <c r="B589" s="1009"/>
      <c r="C589" s="1010"/>
      <c r="D589" s="253"/>
      <c r="E589" s="1011"/>
      <c r="F589" s="262"/>
      <c r="G589" s="1011"/>
      <c r="H589" s="262"/>
      <c r="I589" s="1011"/>
      <c r="J589" s="262"/>
      <c r="K589" s="1011"/>
      <c r="L589" s="262"/>
      <c r="M589" s="1011"/>
      <c r="N589" s="262"/>
      <c r="O589" s="1011"/>
      <c r="P589" s="262"/>
      <c r="Q589" s="1011"/>
      <c r="R589" s="1012"/>
      <c r="S589" s="1011"/>
      <c r="T589" s="1012"/>
      <c r="U589" s="1010"/>
      <c r="V589" s="1012"/>
      <c r="W589" s="1010"/>
      <c r="X589" s="1012"/>
      <c r="Y589" s="1010"/>
      <c r="Z589" s="262"/>
      <c r="AA589" s="110"/>
      <c r="AB589" s="110"/>
      <c r="AC589" s="110"/>
      <c r="AD589" s="110"/>
      <c r="AE589" s="110"/>
      <c r="AF589" s="110"/>
      <c r="AG589" s="110"/>
      <c r="AH589" s="110"/>
      <c r="AI589" s="110"/>
      <c r="AJ589" s="110"/>
      <c r="AK589" s="110"/>
      <c r="AL589" s="110"/>
      <c r="AM589" s="110"/>
      <c r="AN589" s="110"/>
      <c r="AO589" s="110"/>
      <c r="AP589" s="110"/>
      <c r="AQ589" s="110"/>
      <c r="AR589" s="110"/>
      <c r="AS589" s="110"/>
      <c r="AT589" s="110"/>
      <c r="AU589" s="110"/>
    </row>
    <row r="590" spans="1:47" ht="12.75" hidden="1">
      <c r="A590" s="110"/>
      <c r="B590" s="1009"/>
      <c r="C590" s="1010"/>
      <c r="D590" s="253"/>
      <c r="E590" s="1011"/>
      <c r="F590" s="262"/>
      <c r="G590" s="1011"/>
      <c r="H590" s="262"/>
      <c r="I590" s="1011"/>
      <c r="J590" s="262"/>
      <c r="K590" s="1011"/>
      <c r="L590" s="262"/>
      <c r="M590" s="1011"/>
      <c r="N590" s="262"/>
      <c r="O590" s="1011"/>
      <c r="P590" s="262"/>
      <c r="Q590" s="1011"/>
      <c r="R590" s="1012"/>
      <c r="S590" s="1011"/>
      <c r="T590" s="1012"/>
      <c r="U590" s="1010"/>
      <c r="V590" s="1012"/>
      <c r="W590" s="1010"/>
      <c r="X590" s="1012"/>
      <c r="Y590" s="1010"/>
      <c r="Z590" s="262"/>
      <c r="AA590" s="110"/>
      <c r="AB590" s="110"/>
      <c r="AC590" s="110"/>
      <c r="AD590" s="110"/>
      <c r="AE590" s="110"/>
      <c r="AF590" s="110"/>
      <c r="AG590" s="110"/>
      <c r="AH590" s="110"/>
      <c r="AI590" s="110"/>
      <c r="AJ590" s="110"/>
      <c r="AK590" s="110"/>
      <c r="AL590" s="110"/>
      <c r="AM590" s="110"/>
      <c r="AN590" s="110"/>
      <c r="AO590" s="110"/>
      <c r="AP590" s="110"/>
      <c r="AQ590" s="110"/>
      <c r="AR590" s="110"/>
      <c r="AS590" s="110"/>
      <c r="AT590" s="110"/>
      <c r="AU590" s="110"/>
    </row>
    <row r="591" spans="1:47" ht="12.75" hidden="1">
      <c r="A591" s="110"/>
      <c r="B591" s="1009"/>
      <c r="C591" s="1010"/>
      <c r="D591" s="253"/>
      <c r="E591" s="1011"/>
      <c r="F591" s="262"/>
      <c r="G591" s="1011"/>
      <c r="H591" s="262"/>
      <c r="I591" s="1011"/>
      <c r="J591" s="262"/>
      <c r="K591" s="1011"/>
      <c r="L591" s="262"/>
      <c r="M591" s="1011"/>
      <c r="N591" s="262"/>
      <c r="O591" s="1011"/>
      <c r="P591" s="262"/>
      <c r="Q591" s="1011"/>
      <c r="R591" s="1012"/>
      <c r="S591" s="1011"/>
      <c r="T591" s="1012"/>
      <c r="U591" s="1010"/>
      <c r="V591" s="1012"/>
      <c r="W591" s="1010"/>
      <c r="X591" s="1012"/>
      <c r="Y591" s="1010"/>
      <c r="Z591" s="262"/>
      <c r="AA591" s="110"/>
      <c r="AB591" s="110"/>
      <c r="AC591" s="110"/>
      <c r="AD591" s="110"/>
      <c r="AE591" s="110"/>
      <c r="AF591" s="110"/>
      <c r="AG591" s="110"/>
      <c r="AH591" s="110"/>
      <c r="AI591" s="110"/>
      <c r="AJ591" s="110"/>
      <c r="AK591" s="110"/>
      <c r="AL591" s="110"/>
      <c r="AM591" s="110"/>
      <c r="AN591" s="110"/>
      <c r="AO591" s="110"/>
      <c r="AP591" s="110"/>
      <c r="AQ591" s="110"/>
      <c r="AR591" s="110"/>
      <c r="AS591" s="110"/>
      <c r="AT591" s="110"/>
      <c r="AU591" s="110"/>
    </row>
    <row r="592" spans="1:47" ht="12.75" hidden="1">
      <c r="A592" s="110"/>
      <c r="B592" s="1009"/>
      <c r="C592" s="1010"/>
      <c r="D592" s="253"/>
      <c r="E592" s="1011"/>
      <c r="F592" s="262"/>
      <c r="G592" s="1011"/>
      <c r="H592" s="262"/>
      <c r="I592" s="1011"/>
      <c r="J592" s="262"/>
      <c r="K592" s="1011"/>
      <c r="L592" s="262"/>
      <c r="M592" s="1011"/>
      <c r="N592" s="262"/>
      <c r="O592" s="1011"/>
      <c r="P592" s="262"/>
      <c r="Q592" s="1011"/>
      <c r="R592" s="1012"/>
      <c r="S592" s="1011"/>
      <c r="T592" s="1012"/>
      <c r="U592" s="1010"/>
      <c r="V592" s="1012"/>
      <c r="W592" s="1010"/>
      <c r="X592" s="1012"/>
      <c r="Y592" s="1010"/>
      <c r="Z592" s="262"/>
      <c r="AA592" s="110"/>
      <c r="AB592" s="110"/>
      <c r="AC592" s="110"/>
      <c r="AD592" s="110"/>
      <c r="AE592" s="110"/>
      <c r="AF592" s="110"/>
      <c r="AG592" s="110"/>
      <c r="AH592" s="110"/>
      <c r="AI592" s="110"/>
      <c r="AJ592" s="110"/>
      <c r="AK592" s="110"/>
      <c r="AL592" s="110"/>
      <c r="AM592" s="110"/>
      <c r="AN592" s="110"/>
      <c r="AO592" s="110"/>
      <c r="AP592" s="110"/>
      <c r="AQ592" s="110"/>
      <c r="AR592" s="110"/>
      <c r="AS592" s="110"/>
      <c r="AT592" s="110"/>
      <c r="AU592" s="110"/>
    </row>
    <row r="593" spans="1:47" ht="12.75" hidden="1">
      <c r="A593" s="110"/>
      <c r="B593" s="1009"/>
      <c r="C593" s="1010"/>
      <c r="D593" s="253"/>
      <c r="E593" s="1011"/>
      <c r="F593" s="262"/>
      <c r="G593" s="1011"/>
      <c r="H593" s="262"/>
      <c r="I593" s="1011"/>
      <c r="J593" s="262"/>
      <c r="K593" s="1011"/>
      <c r="L593" s="262"/>
      <c r="M593" s="1011"/>
      <c r="N593" s="262"/>
      <c r="O593" s="1011"/>
      <c r="P593" s="262"/>
      <c r="Q593" s="1011"/>
      <c r="R593" s="1012"/>
      <c r="S593" s="1011"/>
      <c r="T593" s="1012"/>
      <c r="U593" s="1010"/>
      <c r="V593" s="1012"/>
      <c r="W593" s="1010"/>
      <c r="X593" s="1012"/>
      <c r="Y593" s="1010"/>
      <c r="Z593" s="262"/>
      <c r="AA593" s="110"/>
      <c r="AB593" s="110"/>
      <c r="AC593" s="110"/>
      <c r="AD593" s="110"/>
      <c r="AE593" s="110"/>
      <c r="AF593" s="110"/>
      <c r="AG593" s="110"/>
      <c r="AH593" s="110"/>
      <c r="AI593" s="110"/>
      <c r="AJ593" s="110"/>
      <c r="AK593" s="110"/>
      <c r="AL593" s="110"/>
      <c r="AM593" s="110"/>
      <c r="AN593" s="110"/>
      <c r="AO593" s="110"/>
      <c r="AP593" s="110"/>
      <c r="AQ593" s="110"/>
      <c r="AR593" s="110"/>
      <c r="AS593" s="110"/>
      <c r="AT593" s="110"/>
      <c r="AU593" s="110"/>
    </row>
    <row r="594" spans="1:47" ht="12.75" hidden="1">
      <c r="A594" s="110"/>
      <c r="B594" s="1009"/>
      <c r="C594" s="1010"/>
      <c r="D594" s="253"/>
      <c r="E594" s="1011"/>
      <c r="F594" s="262"/>
      <c r="G594" s="1011"/>
      <c r="H594" s="262"/>
      <c r="I594" s="1011"/>
      <c r="J594" s="262"/>
      <c r="K594" s="1011"/>
      <c r="L594" s="262"/>
      <c r="M594" s="1011"/>
      <c r="N594" s="262"/>
      <c r="O594" s="1011"/>
      <c r="P594" s="262"/>
      <c r="Q594" s="1011"/>
      <c r="R594" s="1012"/>
      <c r="S594" s="1011"/>
      <c r="T594" s="1012"/>
      <c r="U594" s="1010"/>
      <c r="V594" s="1012"/>
      <c r="W594" s="1010"/>
      <c r="X594" s="1012"/>
      <c r="Y594" s="1010"/>
      <c r="Z594" s="262"/>
      <c r="AA594" s="110"/>
      <c r="AB594" s="110"/>
      <c r="AC594" s="110"/>
      <c r="AD594" s="110"/>
      <c r="AE594" s="110"/>
      <c r="AF594" s="110"/>
      <c r="AG594" s="110"/>
      <c r="AH594" s="110"/>
      <c r="AI594" s="110"/>
      <c r="AJ594" s="110"/>
      <c r="AK594" s="110"/>
      <c r="AL594" s="110"/>
      <c r="AM594" s="110"/>
      <c r="AN594" s="110"/>
      <c r="AO594" s="110"/>
      <c r="AP594" s="110"/>
      <c r="AQ594" s="110"/>
      <c r="AR594" s="110"/>
      <c r="AS594" s="110"/>
      <c r="AT594" s="110"/>
      <c r="AU594" s="110"/>
    </row>
    <row r="595" spans="1:47" ht="12.75" hidden="1">
      <c r="A595" s="110"/>
      <c r="B595" s="1009"/>
      <c r="C595" s="1010"/>
      <c r="D595" s="253"/>
      <c r="E595" s="1011"/>
      <c r="F595" s="262"/>
      <c r="G595" s="1011"/>
      <c r="H595" s="262"/>
      <c r="I595" s="1011"/>
      <c r="J595" s="262"/>
      <c r="K595" s="1011"/>
      <c r="L595" s="262"/>
      <c r="M595" s="1011"/>
      <c r="N595" s="262"/>
      <c r="O595" s="1011"/>
      <c r="P595" s="262"/>
      <c r="Q595" s="1011"/>
      <c r="R595" s="1012"/>
      <c r="S595" s="1011"/>
      <c r="T595" s="1012"/>
      <c r="U595" s="1010"/>
      <c r="V595" s="1012"/>
      <c r="W595" s="1010"/>
      <c r="X595" s="1012"/>
      <c r="Y595" s="1010"/>
      <c r="Z595" s="262"/>
      <c r="AA595" s="110"/>
      <c r="AB595" s="110"/>
      <c r="AC595" s="110"/>
      <c r="AD595" s="110"/>
      <c r="AE595" s="110"/>
      <c r="AF595" s="110"/>
      <c r="AG595" s="110"/>
      <c r="AH595" s="110"/>
      <c r="AI595" s="110"/>
      <c r="AJ595" s="110"/>
      <c r="AK595" s="110"/>
      <c r="AL595" s="110"/>
      <c r="AM595" s="110"/>
      <c r="AN595" s="110"/>
      <c r="AO595" s="110"/>
      <c r="AP595" s="110"/>
      <c r="AQ595" s="110"/>
      <c r="AR595" s="110"/>
      <c r="AS595" s="110"/>
      <c r="AT595" s="110"/>
      <c r="AU595" s="110"/>
    </row>
    <row r="596" spans="1:47" ht="12.75" hidden="1">
      <c r="A596" s="110"/>
      <c r="B596" s="1009"/>
      <c r="C596" s="1010"/>
      <c r="D596" s="253"/>
      <c r="E596" s="1011"/>
      <c r="F596" s="262"/>
      <c r="G596" s="1011"/>
      <c r="H596" s="262"/>
      <c r="I596" s="1011"/>
      <c r="J596" s="262"/>
      <c r="K596" s="1011"/>
      <c r="L596" s="262"/>
      <c r="M596" s="1011"/>
      <c r="N596" s="262"/>
      <c r="O596" s="1011"/>
      <c r="P596" s="262"/>
      <c r="Q596" s="1011"/>
      <c r="R596" s="1012"/>
      <c r="S596" s="1011"/>
      <c r="T596" s="1012"/>
      <c r="U596" s="1010"/>
      <c r="V596" s="1012"/>
      <c r="W596" s="1010"/>
      <c r="X596" s="1012"/>
      <c r="Y596" s="1010"/>
      <c r="Z596" s="262"/>
      <c r="AA596" s="110"/>
      <c r="AB596" s="110"/>
      <c r="AC596" s="110"/>
      <c r="AD596" s="110"/>
      <c r="AE596" s="110"/>
      <c r="AF596" s="110"/>
      <c r="AG596" s="110"/>
      <c r="AH596" s="110"/>
      <c r="AI596" s="110"/>
      <c r="AJ596" s="110"/>
      <c r="AK596" s="110"/>
      <c r="AL596" s="110"/>
      <c r="AM596" s="110"/>
      <c r="AN596" s="110"/>
      <c r="AO596" s="110"/>
      <c r="AP596" s="110"/>
      <c r="AQ596" s="110"/>
      <c r="AR596" s="110"/>
      <c r="AS596" s="110"/>
      <c r="AT596" s="110"/>
      <c r="AU596" s="110"/>
    </row>
    <row r="597" spans="1:47" ht="12.75" hidden="1">
      <c r="A597" s="110"/>
      <c r="B597" s="1009"/>
      <c r="C597" s="1010"/>
      <c r="D597" s="253"/>
      <c r="E597" s="1011"/>
      <c r="F597" s="262"/>
      <c r="G597" s="1011"/>
      <c r="H597" s="262"/>
      <c r="I597" s="1011"/>
      <c r="J597" s="262"/>
      <c r="K597" s="1011"/>
      <c r="L597" s="262"/>
      <c r="M597" s="1011"/>
      <c r="N597" s="262"/>
      <c r="O597" s="1011"/>
      <c r="P597" s="262"/>
      <c r="Q597" s="1011"/>
      <c r="R597" s="1012"/>
      <c r="S597" s="1011"/>
      <c r="T597" s="1012"/>
      <c r="U597" s="1010"/>
      <c r="V597" s="1012"/>
      <c r="W597" s="1010"/>
      <c r="X597" s="1012"/>
      <c r="Y597" s="1010"/>
      <c r="Z597" s="262"/>
      <c r="AA597" s="110"/>
      <c r="AB597" s="110"/>
      <c r="AC597" s="110"/>
      <c r="AD597" s="110"/>
      <c r="AE597" s="110"/>
      <c r="AF597" s="110"/>
      <c r="AG597" s="110"/>
      <c r="AH597" s="110"/>
      <c r="AI597" s="110"/>
      <c r="AJ597" s="110"/>
      <c r="AK597" s="110"/>
      <c r="AL597" s="110"/>
      <c r="AM597" s="110"/>
      <c r="AN597" s="110"/>
      <c r="AO597" s="110"/>
      <c r="AP597" s="110"/>
      <c r="AQ597" s="110"/>
      <c r="AR597" s="110"/>
      <c r="AS597" s="110"/>
      <c r="AT597" s="110"/>
      <c r="AU597" s="110"/>
    </row>
    <row r="598" spans="1:47" ht="12.75" hidden="1">
      <c r="A598" s="110"/>
      <c r="B598" s="1009"/>
      <c r="C598" s="1010"/>
      <c r="D598" s="253"/>
      <c r="E598" s="1011"/>
      <c r="F598" s="262"/>
      <c r="G598" s="1011"/>
      <c r="H598" s="262"/>
      <c r="I598" s="1011"/>
      <c r="J598" s="262"/>
      <c r="K598" s="1011"/>
      <c r="L598" s="262"/>
      <c r="M598" s="1011"/>
      <c r="N598" s="262"/>
      <c r="O598" s="1011"/>
      <c r="P598" s="262"/>
      <c r="Q598" s="1011"/>
      <c r="R598" s="1012"/>
      <c r="S598" s="1011"/>
      <c r="T598" s="1012"/>
      <c r="U598" s="1010"/>
      <c r="V598" s="1012"/>
      <c r="W598" s="1010"/>
      <c r="X598" s="1012"/>
      <c r="Y598" s="1010"/>
      <c r="Z598" s="262"/>
      <c r="AA598" s="110"/>
      <c r="AB598" s="110"/>
      <c r="AC598" s="110"/>
      <c r="AD598" s="110"/>
      <c r="AE598" s="110"/>
      <c r="AF598" s="110"/>
      <c r="AG598" s="110"/>
      <c r="AH598" s="110"/>
      <c r="AI598" s="110"/>
      <c r="AJ598" s="110"/>
      <c r="AK598" s="110"/>
      <c r="AL598" s="110"/>
      <c r="AM598" s="110"/>
      <c r="AN598" s="110"/>
      <c r="AO598" s="110"/>
      <c r="AP598" s="110"/>
      <c r="AQ598" s="110"/>
      <c r="AR598" s="110"/>
      <c r="AS598" s="110"/>
      <c r="AT598" s="110"/>
      <c r="AU598" s="110"/>
    </row>
    <row r="599" spans="1:47" ht="12.75" hidden="1">
      <c r="A599" s="110"/>
      <c r="B599" s="1009"/>
      <c r="C599" s="1010"/>
      <c r="D599" s="253"/>
      <c r="E599" s="1011"/>
      <c r="F599" s="262"/>
      <c r="G599" s="1011"/>
      <c r="H599" s="262"/>
      <c r="I599" s="1011"/>
      <c r="J599" s="262"/>
      <c r="K599" s="1011"/>
      <c r="L599" s="262"/>
      <c r="M599" s="1011"/>
      <c r="N599" s="262"/>
      <c r="O599" s="1011"/>
      <c r="P599" s="262"/>
      <c r="Q599" s="1011"/>
      <c r="R599" s="1012"/>
      <c r="S599" s="1011"/>
      <c r="T599" s="1012"/>
      <c r="U599" s="1010"/>
      <c r="V599" s="1012"/>
      <c r="W599" s="1010"/>
      <c r="X599" s="1012"/>
      <c r="Y599" s="1010"/>
      <c r="Z599" s="262"/>
      <c r="AA599" s="110"/>
      <c r="AB599" s="110"/>
      <c r="AC599" s="110"/>
      <c r="AD599" s="110"/>
      <c r="AE599" s="110"/>
      <c r="AF599" s="110"/>
      <c r="AG599" s="110"/>
      <c r="AH599" s="110"/>
      <c r="AI599" s="110"/>
      <c r="AJ599" s="110"/>
      <c r="AK599" s="110"/>
      <c r="AL599" s="110"/>
      <c r="AM599" s="110"/>
      <c r="AN599" s="110"/>
      <c r="AO599" s="110"/>
      <c r="AP599" s="110"/>
      <c r="AQ599" s="110"/>
      <c r="AR599" s="110"/>
      <c r="AS599" s="110"/>
      <c r="AT599" s="110"/>
      <c r="AU599" s="110"/>
    </row>
    <row r="600" spans="1:47" ht="12.75" hidden="1">
      <c r="A600" s="110"/>
      <c r="B600" s="1009"/>
      <c r="C600" s="1010"/>
      <c r="D600" s="253"/>
      <c r="E600" s="1011"/>
      <c r="F600" s="262"/>
      <c r="G600" s="1011"/>
      <c r="H600" s="262"/>
      <c r="I600" s="1011"/>
      <c r="J600" s="262"/>
      <c r="K600" s="1011"/>
      <c r="L600" s="262"/>
      <c r="M600" s="1011"/>
      <c r="N600" s="262"/>
      <c r="O600" s="1011"/>
      <c r="P600" s="262"/>
      <c r="Q600" s="1011"/>
      <c r="R600" s="1012"/>
      <c r="S600" s="1011"/>
      <c r="T600" s="1012"/>
      <c r="U600" s="1010"/>
      <c r="V600" s="1012"/>
      <c r="W600" s="1010"/>
      <c r="X600" s="1012"/>
      <c r="Y600" s="1010"/>
      <c r="Z600" s="262"/>
      <c r="AA600" s="110"/>
      <c r="AB600" s="110"/>
      <c r="AC600" s="110"/>
      <c r="AD600" s="110"/>
      <c r="AE600" s="110"/>
      <c r="AF600" s="110"/>
      <c r="AG600" s="110"/>
      <c r="AH600" s="110"/>
      <c r="AI600" s="110"/>
      <c r="AJ600" s="110"/>
      <c r="AK600" s="110"/>
      <c r="AL600" s="110"/>
      <c r="AM600" s="110"/>
      <c r="AN600" s="110"/>
      <c r="AO600" s="110"/>
      <c r="AP600" s="110"/>
      <c r="AQ600" s="110"/>
      <c r="AR600" s="110"/>
      <c r="AS600" s="110"/>
      <c r="AT600" s="110"/>
      <c r="AU600" s="110"/>
    </row>
    <row r="601" spans="1:47" ht="12.75" hidden="1">
      <c r="A601" s="110"/>
      <c r="B601" s="1009"/>
      <c r="C601" s="1010"/>
      <c r="D601" s="253"/>
      <c r="E601" s="1011"/>
      <c r="F601" s="262"/>
      <c r="G601" s="1011"/>
      <c r="H601" s="262"/>
      <c r="I601" s="1011"/>
      <c r="J601" s="262"/>
      <c r="K601" s="1011"/>
      <c r="L601" s="262"/>
      <c r="M601" s="1011"/>
      <c r="N601" s="262"/>
      <c r="O601" s="1011"/>
      <c r="P601" s="262"/>
      <c r="Q601" s="1011"/>
      <c r="R601" s="1012"/>
      <c r="S601" s="1011"/>
      <c r="T601" s="1012"/>
      <c r="U601" s="1010"/>
      <c r="V601" s="1012"/>
      <c r="W601" s="1010"/>
      <c r="X601" s="1012"/>
      <c r="Y601" s="1010"/>
      <c r="Z601" s="262"/>
      <c r="AA601" s="110"/>
      <c r="AB601" s="110"/>
      <c r="AC601" s="110"/>
      <c r="AD601" s="110"/>
      <c r="AE601" s="110"/>
      <c r="AF601" s="110"/>
      <c r="AG601" s="110"/>
      <c r="AH601" s="110"/>
      <c r="AI601" s="110"/>
      <c r="AJ601" s="110"/>
      <c r="AK601" s="110"/>
      <c r="AL601" s="110"/>
      <c r="AM601" s="110"/>
      <c r="AN601" s="110"/>
      <c r="AO601" s="110"/>
      <c r="AP601" s="110"/>
      <c r="AQ601" s="110"/>
      <c r="AR601" s="110"/>
      <c r="AS601" s="110"/>
      <c r="AT601" s="110"/>
      <c r="AU601" s="110"/>
    </row>
    <row r="602" spans="1:47" ht="12.75" hidden="1">
      <c r="A602" s="110"/>
      <c r="B602" s="1009"/>
      <c r="C602" s="1010"/>
      <c r="D602" s="253"/>
      <c r="E602" s="1011"/>
      <c r="F602" s="262"/>
      <c r="G602" s="1011"/>
      <c r="H602" s="262"/>
      <c r="I602" s="1011"/>
      <c r="J602" s="262"/>
      <c r="K602" s="1011"/>
      <c r="L602" s="262"/>
      <c r="M602" s="1011"/>
      <c r="N602" s="262"/>
      <c r="O602" s="1011"/>
      <c r="P602" s="262"/>
      <c r="Q602" s="1011"/>
      <c r="R602" s="1012"/>
      <c r="S602" s="1011"/>
      <c r="T602" s="1012"/>
      <c r="U602" s="1010"/>
      <c r="V602" s="1012"/>
      <c r="W602" s="1010"/>
      <c r="X602" s="1012"/>
      <c r="Y602" s="1010"/>
      <c r="Z602" s="262"/>
      <c r="AA602" s="110"/>
      <c r="AB602" s="110"/>
      <c r="AC602" s="110"/>
      <c r="AD602" s="110"/>
      <c r="AE602" s="110"/>
      <c r="AF602" s="110"/>
      <c r="AG602" s="110"/>
      <c r="AH602" s="110"/>
      <c r="AI602" s="110"/>
      <c r="AJ602" s="110"/>
      <c r="AK602" s="110"/>
      <c r="AL602" s="110"/>
      <c r="AM602" s="110"/>
      <c r="AN602" s="110"/>
      <c r="AO602" s="110"/>
      <c r="AP602" s="110"/>
      <c r="AQ602" s="110"/>
      <c r="AR602" s="110"/>
      <c r="AS602" s="110"/>
      <c r="AT602" s="110"/>
      <c r="AU602" s="110"/>
    </row>
    <row r="603" spans="1:47" ht="12.75" hidden="1">
      <c r="A603" s="110"/>
      <c r="B603" s="1009"/>
      <c r="C603" s="1010"/>
      <c r="D603" s="253"/>
      <c r="E603" s="1011"/>
      <c r="F603" s="262"/>
      <c r="G603" s="1011"/>
      <c r="H603" s="262"/>
      <c r="I603" s="1011"/>
      <c r="J603" s="262"/>
      <c r="K603" s="1011"/>
      <c r="L603" s="262"/>
      <c r="M603" s="1011"/>
      <c r="N603" s="262"/>
      <c r="O603" s="1011"/>
      <c r="P603" s="262"/>
      <c r="Q603" s="1011"/>
      <c r="R603" s="1012"/>
      <c r="S603" s="1011"/>
      <c r="T603" s="1012"/>
      <c r="U603" s="1010"/>
      <c r="V603" s="1012"/>
      <c r="W603" s="1010"/>
      <c r="X603" s="1012"/>
      <c r="Y603" s="1010"/>
      <c r="Z603" s="262"/>
      <c r="AA603" s="110"/>
      <c r="AB603" s="110"/>
      <c r="AC603" s="110"/>
      <c r="AD603" s="110"/>
      <c r="AE603" s="110"/>
      <c r="AF603" s="110"/>
      <c r="AG603" s="110"/>
      <c r="AH603" s="110"/>
      <c r="AI603" s="110"/>
      <c r="AJ603" s="110"/>
      <c r="AK603" s="110"/>
      <c r="AL603" s="110"/>
      <c r="AM603" s="110"/>
      <c r="AN603" s="110"/>
      <c r="AO603" s="110"/>
      <c r="AP603" s="110"/>
      <c r="AQ603" s="110"/>
      <c r="AR603" s="110"/>
      <c r="AS603" s="110"/>
      <c r="AT603" s="110"/>
      <c r="AU603" s="110"/>
    </row>
    <row r="604" spans="1:47" ht="12.75" hidden="1">
      <c r="A604" s="110"/>
      <c r="B604" s="1009"/>
      <c r="C604" s="1010"/>
      <c r="D604" s="253"/>
      <c r="E604" s="1011"/>
      <c r="F604" s="262"/>
      <c r="G604" s="1011"/>
      <c r="H604" s="262"/>
      <c r="I604" s="1011"/>
      <c r="J604" s="262"/>
      <c r="K604" s="1011"/>
      <c r="L604" s="262"/>
      <c r="M604" s="1011"/>
      <c r="N604" s="262"/>
      <c r="O604" s="1011"/>
      <c r="P604" s="262"/>
      <c r="Q604" s="1011"/>
      <c r="R604" s="1012"/>
      <c r="S604" s="1011"/>
      <c r="T604" s="1012"/>
      <c r="U604" s="1010"/>
      <c r="V604" s="1012"/>
      <c r="W604" s="1010"/>
      <c r="X604" s="1012"/>
      <c r="Y604" s="1010"/>
      <c r="Z604" s="262"/>
      <c r="AA604" s="110"/>
      <c r="AB604" s="110"/>
      <c r="AC604" s="110"/>
      <c r="AD604" s="110"/>
      <c r="AE604" s="110"/>
      <c r="AF604" s="110"/>
      <c r="AG604" s="110"/>
      <c r="AH604" s="110"/>
      <c r="AI604" s="110"/>
      <c r="AJ604" s="110"/>
      <c r="AK604" s="110"/>
      <c r="AL604" s="110"/>
      <c r="AM604" s="110"/>
      <c r="AN604" s="110"/>
      <c r="AO604" s="110"/>
      <c r="AP604" s="110"/>
      <c r="AQ604" s="110"/>
      <c r="AR604" s="110"/>
      <c r="AS604" s="110"/>
      <c r="AT604" s="110"/>
      <c r="AU604" s="110"/>
    </row>
    <row r="605" spans="1:47" ht="12.75" hidden="1">
      <c r="A605" s="110"/>
      <c r="B605" s="1009"/>
      <c r="C605" s="1010"/>
      <c r="D605" s="253"/>
      <c r="E605" s="1011"/>
      <c r="F605" s="262"/>
      <c r="G605" s="1011"/>
      <c r="H605" s="262"/>
      <c r="I605" s="1011"/>
      <c r="J605" s="262"/>
      <c r="K605" s="1011"/>
      <c r="L605" s="262"/>
      <c r="M605" s="1011"/>
      <c r="N605" s="262"/>
      <c r="O605" s="1011"/>
      <c r="P605" s="262"/>
      <c r="Q605" s="1011"/>
      <c r="R605" s="1012"/>
      <c r="S605" s="1011"/>
      <c r="T605" s="1012"/>
      <c r="U605" s="1010"/>
      <c r="V605" s="1012"/>
      <c r="W605" s="1010"/>
      <c r="X605" s="1012"/>
      <c r="Y605" s="1010"/>
      <c r="Z605" s="262"/>
      <c r="AA605" s="110"/>
      <c r="AB605" s="110"/>
      <c r="AC605" s="110"/>
      <c r="AD605" s="110"/>
      <c r="AE605" s="110"/>
      <c r="AF605" s="110"/>
      <c r="AG605" s="110"/>
      <c r="AH605" s="110"/>
      <c r="AI605" s="110"/>
      <c r="AJ605" s="110"/>
      <c r="AK605" s="110"/>
      <c r="AL605" s="110"/>
      <c r="AM605" s="110"/>
      <c r="AN605" s="110"/>
      <c r="AO605" s="110"/>
      <c r="AP605" s="110"/>
      <c r="AQ605" s="110"/>
      <c r="AR605" s="110"/>
      <c r="AS605" s="110"/>
      <c r="AT605" s="110"/>
      <c r="AU605" s="110"/>
    </row>
    <row r="606" spans="1:47" ht="12.75" hidden="1">
      <c r="A606" s="110"/>
      <c r="B606" s="1009"/>
      <c r="C606" s="1010"/>
      <c r="D606" s="253"/>
      <c r="E606" s="1011"/>
      <c r="F606" s="262"/>
      <c r="G606" s="1011"/>
      <c r="H606" s="262"/>
      <c r="I606" s="1011"/>
      <c r="J606" s="262"/>
      <c r="K606" s="1011"/>
      <c r="L606" s="262"/>
      <c r="M606" s="1011"/>
      <c r="N606" s="262"/>
      <c r="O606" s="1011"/>
      <c r="P606" s="262"/>
      <c r="Q606" s="1011"/>
      <c r="R606" s="1012"/>
      <c r="S606" s="1011"/>
      <c r="T606" s="1012"/>
      <c r="U606" s="1010"/>
      <c r="V606" s="1012"/>
      <c r="W606" s="1010"/>
      <c r="X606" s="1012"/>
      <c r="Y606" s="1010"/>
      <c r="Z606" s="262"/>
      <c r="AA606" s="110"/>
      <c r="AB606" s="110"/>
      <c r="AC606" s="110"/>
      <c r="AD606" s="110"/>
      <c r="AE606" s="110"/>
      <c r="AF606" s="110"/>
      <c r="AG606" s="110"/>
      <c r="AH606" s="110"/>
      <c r="AI606" s="110"/>
      <c r="AJ606" s="110"/>
      <c r="AK606" s="110"/>
      <c r="AL606" s="110"/>
      <c r="AM606" s="110"/>
      <c r="AN606" s="110"/>
      <c r="AO606" s="110"/>
      <c r="AP606" s="110"/>
      <c r="AQ606" s="110"/>
      <c r="AR606" s="110"/>
      <c r="AS606" s="110"/>
      <c r="AT606" s="110"/>
      <c r="AU606" s="110"/>
    </row>
    <row r="607" spans="1:47" ht="12.75" hidden="1">
      <c r="A607" s="110"/>
      <c r="B607" s="1009"/>
      <c r="C607" s="1010"/>
      <c r="D607" s="253"/>
      <c r="E607" s="1011"/>
      <c r="F607" s="262"/>
      <c r="G607" s="1011"/>
      <c r="H607" s="262"/>
      <c r="I607" s="1011"/>
      <c r="J607" s="262"/>
      <c r="K607" s="1011"/>
      <c r="L607" s="262"/>
      <c r="M607" s="1011"/>
      <c r="N607" s="262"/>
      <c r="O607" s="1011"/>
      <c r="P607" s="262"/>
      <c r="Q607" s="1011"/>
      <c r="R607" s="1012"/>
      <c r="S607" s="1011"/>
      <c r="T607" s="1012"/>
      <c r="U607" s="1010"/>
      <c r="V607" s="1012"/>
      <c r="W607" s="1010"/>
      <c r="X607" s="1012"/>
      <c r="Y607" s="1010"/>
      <c r="Z607" s="262"/>
      <c r="AA607" s="110"/>
      <c r="AB607" s="110"/>
      <c r="AC607" s="110"/>
      <c r="AD607" s="110"/>
      <c r="AE607" s="110"/>
      <c r="AF607" s="110"/>
      <c r="AG607" s="110"/>
      <c r="AH607" s="110"/>
      <c r="AI607" s="110"/>
      <c r="AJ607" s="110"/>
      <c r="AK607" s="110"/>
      <c r="AL607" s="110"/>
      <c r="AM607" s="110"/>
      <c r="AN607" s="110"/>
      <c r="AO607" s="110"/>
      <c r="AP607" s="110"/>
      <c r="AQ607" s="110"/>
      <c r="AR607" s="110"/>
      <c r="AS607" s="110"/>
      <c r="AT607" s="110"/>
      <c r="AU607" s="110"/>
    </row>
    <row r="608" spans="1:47" ht="12.75" hidden="1">
      <c r="A608" s="110"/>
      <c r="B608" s="1009"/>
      <c r="C608" s="1010"/>
      <c r="D608" s="253"/>
      <c r="E608" s="1011"/>
      <c r="F608" s="262"/>
      <c r="G608" s="1011"/>
      <c r="H608" s="262"/>
      <c r="I608" s="1011"/>
      <c r="J608" s="262"/>
      <c r="K608" s="1011"/>
      <c r="L608" s="262"/>
      <c r="M608" s="1011"/>
      <c r="N608" s="262"/>
      <c r="O608" s="1011"/>
      <c r="P608" s="262"/>
      <c r="Q608" s="1011"/>
      <c r="R608" s="1012"/>
      <c r="S608" s="1011"/>
      <c r="T608" s="1012"/>
      <c r="U608" s="1010"/>
      <c r="V608" s="1012"/>
      <c r="W608" s="1010"/>
      <c r="X608" s="1012"/>
      <c r="Y608" s="1010"/>
      <c r="Z608" s="262"/>
      <c r="AA608" s="110"/>
      <c r="AB608" s="110"/>
      <c r="AC608" s="110"/>
      <c r="AD608" s="110"/>
      <c r="AE608" s="110"/>
      <c r="AF608" s="110"/>
      <c r="AG608" s="110"/>
      <c r="AH608" s="110"/>
      <c r="AI608" s="110"/>
      <c r="AJ608" s="110"/>
      <c r="AK608" s="110"/>
      <c r="AL608" s="110"/>
      <c r="AM608" s="110"/>
      <c r="AN608" s="110"/>
      <c r="AO608" s="110"/>
      <c r="AP608" s="110"/>
      <c r="AQ608" s="110"/>
      <c r="AR608" s="110"/>
      <c r="AS608" s="110"/>
      <c r="AT608" s="110"/>
      <c r="AU608" s="110"/>
    </row>
    <row r="609" spans="1:47" ht="12.75" hidden="1">
      <c r="A609" s="110"/>
      <c r="B609" s="1009"/>
      <c r="C609" s="1010"/>
      <c r="D609" s="253"/>
      <c r="E609" s="1011"/>
      <c r="F609" s="262"/>
      <c r="G609" s="1011"/>
      <c r="H609" s="262"/>
      <c r="I609" s="1011"/>
      <c r="J609" s="262"/>
      <c r="K609" s="1011"/>
      <c r="L609" s="262"/>
      <c r="M609" s="1011"/>
      <c r="N609" s="262"/>
      <c r="O609" s="1011"/>
      <c r="P609" s="262"/>
      <c r="Q609" s="1011"/>
      <c r="R609" s="1012"/>
      <c r="S609" s="1011"/>
      <c r="T609" s="1012"/>
      <c r="U609" s="1010"/>
      <c r="V609" s="1012"/>
      <c r="W609" s="1010"/>
      <c r="X609" s="1012"/>
      <c r="Y609" s="1010"/>
      <c r="Z609" s="262"/>
      <c r="AA609" s="110"/>
      <c r="AB609" s="110"/>
      <c r="AC609" s="110"/>
      <c r="AD609" s="110"/>
      <c r="AE609" s="110"/>
      <c r="AF609" s="110"/>
      <c r="AG609" s="110"/>
      <c r="AH609" s="110"/>
      <c r="AI609" s="110"/>
      <c r="AJ609" s="110"/>
      <c r="AK609" s="110"/>
      <c r="AL609" s="110"/>
      <c r="AM609" s="110"/>
      <c r="AN609" s="110"/>
      <c r="AO609" s="110"/>
      <c r="AP609" s="110"/>
      <c r="AQ609" s="110"/>
      <c r="AR609" s="110"/>
      <c r="AS609" s="110"/>
      <c r="AT609" s="110"/>
      <c r="AU609" s="110"/>
    </row>
    <row r="610" spans="1:47" ht="12.75" hidden="1">
      <c r="A610" s="110"/>
      <c r="B610" s="1009"/>
      <c r="C610" s="1010"/>
      <c r="D610" s="253"/>
      <c r="E610" s="1011"/>
      <c r="F610" s="262"/>
      <c r="G610" s="1011"/>
      <c r="H610" s="262"/>
      <c r="I610" s="1011"/>
      <c r="J610" s="262"/>
      <c r="K610" s="1011"/>
      <c r="L610" s="262"/>
      <c r="M610" s="1011"/>
      <c r="N610" s="262"/>
      <c r="O610" s="1011"/>
      <c r="P610" s="262"/>
      <c r="Q610" s="1011"/>
      <c r="R610" s="1012"/>
      <c r="S610" s="1011"/>
      <c r="T610" s="1012"/>
      <c r="U610" s="1010"/>
      <c r="V610" s="1012"/>
      <c r="W610" s="1010"/>
      <c r="X610" s="1012"/>
      <c r="Y610" s="1010"/>
      <c r="Z610" s="262"/>
      <c r="AA610" s="110"/>
      <c r="AB610" s="110"/>
      <c r="AC610" s="110"/>
      <c r="AD610" s="110"/>
      <c r="AE610" s="110"/>
      <c r="AF610" s="110"/>
      <c r="AG610" s="110"/>
      <c r="AH610" s="110"/>
      <c r="AI610" s="110"/>
      <c r="AJ610" s="110"/>
      <c r="AK610" s="110"/>
      <c r="AL610" s="110"/>
      <c r="AM610" s="110"/>
      <c r="AN610" s="110"/>
      <c r="AO610" s="110"/>
      <c r="AP610" s="110"/>
      <c r="AQ610" s="110"/>
      <c r="AR610" s="110"/>
      <c r="AS610" s="110"/>
      <c r="AT610" s="110"/>
      <c r="AU610" s="110"/>
    </row>
    <row r="611" spans="1:47" ht="12.75" hidden="1">
      <c r="A611" s="110"/>
      <c r="B611" s="1009"/>
      <c r="C611" s="1010"/>
      <c r="D611" s="253"/>
      <c r="E611" s="1011"/>
      <c r="F611" s="262"/>
      <c r="G611" s="1011"/>
      <c r="H611" s="262"/>
      <c r="I611" s="1011"/>
      <c r="J611" s="262"/>
      <c r="K611" s="1011"/>
      <c r="L611" s="262"/>
      <c r="M611" s="1011"/>
      <c r="N611" s="262"/>
      <c r="O611" s="1011"/>
      <c r="P611" s="262"/>
      <c r="Q611" s="1011"/>
      <c r="R611" s="1012"/>
      <c r="S611" s="1011"/>
      <c r="T611" s="1012"/>
      <c r="U611" s="1010"/>
      <c r="V611" s="1012"/>
      <c r="W611" s="1010"/>
      <c r="X611" s="1012"/>
      <c r="Y611" s="1010"/>
      <c r="Z611" s="262"/>
      <c r="AA611" s="110"/>
      <c r="AB611" s="110"/>
      <c r="AC611" s="110"/>
      <c r="AD611" s="110"/>
      <c r="AE611" s="110"/>
      <c r="AF611" s="110"/>
      <c r="AG611" s="110"/>
      <c r="AH611" s="110"/>
      <c r="AI611" s="110"/>
      <c r="AJ611" s="110"/>
      <c r="AK611" s="110"/>
      <c r="AL611" s="110"/>
      <c r="AM611" s="110"/>
      <c r="AN611" s="110"/>
      <c r="AO611" s="110"/>
      <c r="AP611" s="110"/>
      <c r="AQ611" s="110"/>
      <c r="AR611" s="110"/>
      <c r="AS611" s="110"/>
      <c r="AT611" s="110"/>
      <c r="AU611" s="110"/>
    </row>
    <row r="612" spans="1:47" ht="12.75" hidden="1">
      <c r="A612" s="110"/>
      <c r="B612" s="1009"/>
      <c r="C612" s="1010"/>
      <c r="D612" s="253"/>
      <c r="E612" s="1011"/>
      <c r="F612" s="262"/>
      <c r="G612" s="1011"/>
      <c r="H612" s="262"/>
      <c r="I612" s="1011"/>
      <c r="J612" s="262"/>
      <c r="K612" s="1011"/>
      <c r="L612" s="262"/>
      <c r="M612" s="1011"/>
      <c r="N612" s="262"/>
      <c r="O612" s="1011"/>
      <c r="P612" s="262"/>
      <c r="Q612" s="1011"/>
      <c r="R612" s="1012"/>
      <c r="S612" s="1011"/>
      <c r="T612" s="1012"/>
      <c r="U612" s="1010"/>
      <c r="V612" s="1012"/>
      <c r="W612" s="1010"/>
      <c r="X612" s="1012"/>
      <c r="Y612" s="1010"/>
      <c r="Z612" s="262"/>
      <c r="AA612" s="110"/>
      <c r="AB612" s="110"/>
      <c r="AC612" s="110"/>
      <c r="AD612" s="110"/>
      <c r="AE612" s="110"/>
      <c r="AF612" s="110"/>
      <c r="AG612" s="110"/>
      <c r="AH612" s="110"/>
      <c r="AI612" s="110"/>
      <c r="AJ612" s="110"/>
      <c r="AK612" s="110"/>
      <c r="AL612" s="110"/>
      <c r="AM612" s="110"/>
      <c r="AN612" s="110"/>
      <c r="AO612" s="110"/>
      <c r="AP612" s="110"/>
      <c r="AQ612" s="110"/>
      <c r="AR612" s="110"/>
      <c r="AS612" s="110"/>
      <c r="AT612" s="110"/>
      <c r="AU612" s="110"/>
    </row>
    <row r="613" spans="1:47" ht="12.75" hidden="1">
      <c r="A613" s="110"/>
      <c r="B613" s="1009"/>
      <c r="C613" s="1010"/>
      <c r="D613" s="253"/>
      <c r="E613" s="1011"/>
      <c r="F613" s="262"/>
      <c r="G613" s="1011"/>
      <c r="H613" s="262"/>
      <c r="I613" s="1011"/>
      <c r="J613" s="262"/>
      <c r="K613" s="1011"/>
      <c r="L613" s="262"/>
      <c r="M613" s="1011"/>
      <c r="N613" s="262"/>
      <c r="O613" s="1011"/>
      <c r="P613" s="262"/>
      <c r="Q613" s="1011"/>
      <c r="R613" s="1012"/>
      <c r="S613" s="1011"/>
      <c r="T613" s="1012"/>
      <c r="U613" s="1010"/>
      <c r="V613" s="1012"/>
      <c r="W613" s="1010"/>
      <c r="X613" s="1012"/>
      <c r="Y613" s="1010"/>
      <c r="Z613" s="262"/>
      <c r="AA613" s="110"/>
      <c r="AB613" s="110"/>
      <c r="AC613" s="110"/>
      <c r="AD613" s="110"/>
      <c r="AE613" s="110"/>
      <c r="AF613" s="110"/>
      <c r="AG613" s="110"/>
      <c r="AH613" s="110"/>
      <c r="AI613" s="110"/>
      <c r="AJ613" s="110"/>
      <c r="AK613" s="110"/>
      <c r="AL613" s="110"/>
      <c r="AM613" s="110"/>
      <c r="AN613" s="110"/>
      <c r="AO613" s="110"/>
      <c r="AP613" s="110"/>
      <c r="AQ613" s="110"/>
      <c r="AR613" s="110"/>
      <c r="AS613" s="110"/>
      <c r="AT613" s="110"/>
      <c r="AU613" s="110"/>
    </row>
    <row r="614" spans="1:47" ht="12.75" hidden="1">
      <c r="A614" s="110"/>
      <c r="B614" s="1009"/>
      <c r="C614" s="1010"/>
      <c r="D614" s="253"/>
      <c r="E614" s="1011"/>
      <c r="F614" s="262"/>
      <c r="G614" s="1011"/>
      <c r="H614" s="262"/>
      <c r="I614" s="1011"/>
      <c r="J614" s="262"/>
      <c r="K614" s="1011"/>
      <c r="L614" s="262"/>
      <c r="M614" s="1011"/>
      <c r="N614" s="262"/>
      <c r="O614" s="1011"/>
      <c r="P614" s="262"/>
      <c r="Q614" s="1011"/>
      <c r="R614" s="1012"/>
      <c r="S614" s="1011"/>
      <c r="T614" s="1012"/>
      <c r="U614" s="1010"/>
      <c r="V614" s="1012"/>
      <c r="W614" s="1010"/>
      <c r="X614" s="1012"/>
      <c r="Y614" s="1010"/>
      <c r="Z614" s="262"/>
      <c r="AA614" s="110"/>
      <c r="AB614" s="110"/>
      <c r="AC614" s="110"/>
      <c r="AD614" s="110"/>
      <c r="AE614" s="110"/>
      <c r="AF614" s="110"/>
      <c r="AG614" s="110"/>
      <c r="AH614" s="110"/>
      <c r="AI614" s="110"/>
      <c r="AJ614" s="110"/>
      <c r="AK614" s="110"/>
      <c r="AL614" s="110"/>
      <c r="AM614" s="110"/>
      <c r="AN614" s="110"/>
      <c r="AO614" s="110"/>
      <c r="AP614" s="110"/>
      <c r="AQ614" s="110"/>
      <c r="AR614" s="110"/>
      <c r="AS614" s="110"/>
      <c r="AT614" s="110"/>
      <c r="AU614" s="110"/>
    </row>
    <row r="615" spans="1:47" ht="12.75" hidden="1">
      <c r="A615" s="110"/>
      <c r="B615" s="1009"/>
      <c r="C615" s="1010"/>
      <c r="D615" s="253"/>
      <c r="E615" s="1011"/>
      <c r="F615" s="262"/>
      <c r="G615" s="1011"/>
      <c r="H615" s="262"/>
      <c r="I615" s="1011"/>
      <c r="J615" s="262"/>
      <c r="K615" s="1011"/>
      <c r="L615" s="262"/>
      <c r="M615" s="1011"/>
      <c r="N615" s="262"/>
      <c r="O615" s="1011"/>
      <c r="P615" s="262"/>
      <c r="Q615" s="1011"/>
      <c r="R615" s="1012"/>
      <c r="S615" s="1011"/>
      <c r="T615" s="1012"/>
      <c r="U615" s="1010"/>
      <c r="V615" s="1012"/>
      <c r="W615" s="1010"/>
      <c r="X615" s="1012"/>
      <c r="Y615" s="1010"/>
      <c r="Z615" s="262"/>
      <c r="AA615" s="110"/>
      <c r="AB615" s="110"/>
      <c r="AC615" s="110"/>
      <c r="AD615" s="110"/>
      <c r="AE615" s="110"/>
      <c r="AF615" s="110"/>
      <c r="AG615" s="110"/>
      <c r="AH615" s="110"/>
      <c r="AI615" s="110"/>
      <c r="AJ615" s="110"/>
      <c r="AK615" s="110"/>
      <c r="AL615" s="110"/>
      <c r="AM615" s="110"/>
      <c r="AN615" s="110"/>
      <c r="AO615" s="110"/>
      <c r="AP615" s="110"/>
      <c r="AQ615" s="110"/>
      <c r="AR615" s="110"/>
      <c r="AS615" s="110"/>
      <c r="AT615" s="110"/>
      <c r="AU615" s="110"/>
    </row>
    <row r="616" spans="1:47" ht="12.75" hidden="1">
      <c r="A616" s="110"/>
      <c r="B616" s="1009"/>
      <c r="C616" s="1010"/>
      <c r="D616" s="253"/>
      <c r="E616" s="1011"/>
      <c r="F616" s="262"/>
      <c r="G616" s="1011"/>
      <c r="H616" s="262"/>
      <c r="I616" s="1011"/>
      <c r="J616" s="262"/>
      <c r="K616" s="1011"/>
      <c r="L616" s="262"/>
      <c r="M616" s="1011"/>
      <c r="N616" s="262"/>
      <c r="O616" s="1011"/>
      <c r="P616" s="262"/>
      <c r="Q616" s="1011"/>
      <c r="R616" s="1012"/>
      <c r="S616" s="1011"/>
      <c r="T616" s="1012"/>
      <c r="U616" s="1010"/>
      <c r="V616" s="1012"/>
      <c r="W616" s="1010"/>
      <c r="X616" s="1012"/>
      <c r="Y616" s="1010"/>
      <c r="Z616" s="262"/>
      <c r="AA616" s="110"/>
      <c r="AB616" s="110"/>
      <c r="AC616" s="110"/>
      <c r="AD616" s="110"/>
      <c r="AE616" s="110"/>
      <c r="AF616" s="110"/>
      <c r="AG616" s="110"/>
      <c r="AH616" s="110"/>
      <c r="AI616" s="110"/>
      <c r="AJ616" s="110"/>
      <c r="AK616" s="110"/>
      <c r="AL616" s="110"/>
      <c r="AM616" s="110"/>
      <c r="AN616" s="110"/>
      <c r="AO616" s="110"/>
      <c r="AP616" s="110"/>
      <c r="AQ616" s="110"/>
      <c r="AR616" s="110"/>
      <c r="AS616" s="110"/>
      <c r="AT616" s="110"/>
      <c r="AU616" s="110"/>
    </row>
    <row r="617" spans="1:47" ht="12.75" hidden="1">
      <c r="A617" s="110"/>
      <c r="B617" s="1009"/>
      <c r="C617" s="1010"/>
      <c r="D617" s="253"/>
      <c r="E617" s="1011"/>
      <c r="F617" s="262"/>
      <c r="G617" s="1011"/>
      <c r="H617" s="262"/>
      <c r="I617" s="1011"/>
      <c r="J617" s="262"/>
      <c r="K617" s="1011"/>
      <c r="L617" s="262"/>
      <c r="M617" s="1011"/>
      <c r="N617" s="262"/>
      <c r="O617" s="1011"/>
      <c r="P617" s="262"/>
      <c r="Q617" s="1011"/>
      <c r="R617" s="1012"/>
      <c r="S617" s="1011"/>
      <c r="T617" s="1012"/>
      <c r="U617" s="1010"/>
      <c r="V617" s="1012"/>
      <c r="W617" s="1010"/>
      <c r="X617" s="1012"/>
      <c r="Y617" s="1010"/>
      <c r="Z617" s="262"/>
      <c r="AA617" s="110"/>
      <c r="AB617" s="110"/>
      <c r="AC617" s="110"/>
      <c r="AD617" s="110"/>
      <c r="AE617" s="110"/>
      <c r="AF617" s="110"/>
      <c r="AG617" s="110"/>
      <c r="AH617" s="110"/>
      <c r="AI617" s="110"/>
      <c r="AJ617" s="110"/>
      <c r="AK617" s="110"/>
      <c r="AL617" s="110"/>
      <c r="AM617" s="110"/>
      <c r="AN617" s="110"/>
      <c r="AO617" s="110"/>
      <c r="AP617" s="110"/>
      <c r="AQ617" s="110"/>
      <c r="AR617" s="110"/>
      <c r="AS617" s="110"/>
      <c r="AT617" s="110"/>
      <c r="AU617" s="110"/>
    </row>
    <row r="618" spans="1:47" ht="12.75" hidden="1">
      <c r="A618" s="110"/>
      <c r="B618" s="1009"/>
      <c r="C618" s="1010"/>
      <c r="D618" s="253"/>
      <c r="E618" s="1011"/>
      <c r="F618" s="262"/>
      <c r="G618" s="1011"/>
      <c r="H618" s="262"/>
      <c r="I618" s="1011"/>
      <c r="J618" s="262"/>
      <c r="K618" s="1011"/>
      <c r="L618" s="262"/>
      <c r="M618" s="1011"/>
      <c r="N618" s="262"/>
      <c r="O618" s="1011"/>
      <c r="P618" s="262"/>
      <c r="Q618" s="1011"/>
      <c r="R618" s="1012"/>
      <c r="S618" s="1011"/>
      <c r="T618" s="1012"/>
      <c r="U618" s="1010"/>
      <c r="V618" s="1012"/>
      <c r="W618" s="1010"/>
      <c r="X618" s="1012"/>
      <c r="Y618" s="1010"/>
      <c r="Z618" s="262"/>
      <c r="AA618" s="110"/>
      <c r="AB618" s="110"/>
      <c r="AC618" s="110"/>
      <c r="AD618" s="110"/>
      <c r="AE618" s="110"/>
      <c r="AF618" s="110"/>
      <c r="AG618" s="110"/>
      <c r="AH618" s="110"/>
      <c r="AI618" s="110"/>
      <c r="AJ618" s="110"/>
      <c r="AK618" s="110"/>
      <c r="AL618" s="110"/>
      <c r="AM618" s="110"/>
      <c r="AN618" s="110"/>
      <c r="AO618" s="110"/>
      <c r="AP618" s="110"/>
      <c r="AQ618" s="110"/>
      <c r="AR618" s="110"/>
      <c r="AS618" s="110"/>
      <c r="AT618" s="110"/>
      <c r="AU618" s="110"/>
    </row>
    <row r="619" spans="1:47" ht="12.75" hidden="1">
      <c r="A619" s="110"/>
      <c r="B619" s="1009"/>
      <c r="C619" s="1010"/>
      <c r="D619" s="253"/>
      <c r="E619" s="1011"/>
      <c r="F619" s="262"/>
      <c r="G619" s="1011"/>
      <c r="H619" s="262"/>
      <c r="I619" s="1011"/>
      <c r="J619" s="262"/>
      <c r="K619" s="1011"/>
      <c r="L619" s="262"/>
      <c r="M619" s="1011"/>
      <c r="N619" s="262"/>
      <c r="O619" s="1011"/>
      <c r="P619" s="262"/>
      <c r="Q619" s="1011"/>
      <c r="R619" s="1012"/>
      <c r="S619" s="1011"/>
      <c r="T619" s="1012"/>
      <c r="U619" s="1010"/>
      <c r="V619" s="1012"/>
      <c r="W619" s="1010"/>
      <c r="X619" s="1012"/>
      <c r="Y619" s="1010"/>
      <c r="Z619" s="262"/>
      <c r="AA619" s="110"/>
      <c r="AB619" s="110"/>
      <c r="AC619" s="110"/>
      <c r="AD619" s="110"/>
      <c r="AE619" s="110"/>
      <c r="AF619" s="110"/>
      <c r="AG619" s="110"/>
      <c r="AH619" s="110"/>
      <c r="AI619" s="110"/>
      <c r="AJ619" s="110"/>
      <c r="AK619" s="110"/>
      <c r="AL619" s="110"/>
      <c r="AM619" s="110"/>
      <c r="AN619" s="110"/>
      <c r="AO619" s="110"/>
      <c r="AP619" s="110"/>
      <c r="AQ619" s="110"/>
      <c r="AR619" s="110"/>
      <c r="AS619" s="110"/>
      <c r="AT619" s="110"/>
      <c r="AU619" s="110"/>
    </row>
    <row r="620" spans="1:47" ht="12.75" hidden="1">
      <c r="A620" s="110"/>
      <c r="B620" s="1009"/>
      <c r="C620" s="1010"/>
      <c r="D620" s="253"/>
      <c r="E620" s="1011"/>
      <c r="F620" s="262"/>
      <c r="G620" s="1011"/>
      <c r="H620" s="262"/>
      <c r="I620" s="1011"/>
      <c r="J620" s="262"/>
      <c r="K620" s="1011"/>
      <c r="L620" s="262"/>
      <c r="M620" s="1011"/>
      <c r="N620" s="262"/>
      <c r="O620" s="1011"/>
      <c r="P620" s="262"/>
      <c r="Q620" s="1011"/>
      <c r="R620" s="1012"/>
      <c r="S620" s="1011"/>
      <c r="T620" s="1012"/>
      <c r="U620" s="1010"/>
      <c r="V620" s="1012"/>
      <c r="W620" s="1010"/>
      <c r="X620" s="1012"/>
      <c r="Y620" s="1010"/>
      <c r="Z620" s="262"/>
      <c r="AA620" s="110"/>
      <c r="AB620" s="110"/>
      <c r="AC620" s="110"/>
      <c r="AD620" s="110"/>
      <c r="AE620" s="110"/>
      <c r="AF620" s="110"/>
      <c r="AG620" s="110"/>
      <c r="AH620" s="110"/>
      <c r="AI620" s="110"/>
      <c r="AJ620" s="110"/>
      <c r="AK620" s="110"/>
      <c r="AL620" s="110"/>
      <c r="AM620" s="110"/>
      <c r="AN620" s="110"/>
      <c r="AO620" s="110"/>
      <c r="AP620" s="110"/>
      <c r="AQ620" s="110"/>
      <c r="AR620" s="110"/>
      <c r="AS620" s="110"/>
      <c r="AT620" s="110"/>
      <c r="AU620" s="110"/>
    </row>
    <row r="621" spans="1:47" ht="12.75" hidden="1">
      <c r="A621" s="110"/>
      <c r="B621" s="1009"/>
      <c r="C621" s="1010"/>
      <c r="D621" s="253"/>
      <c r="E621" s="1011"/>
      <c r="F621" s="262"/>
      <c r="G621" s="1011"/>
      <c r="H621" s="262"/>
      <c r="I621" s="1011"/>
      <c r="J621" s="262"/>
      <c r="K621" s="1011"/>
      <c r="L621" s="262"/>
      <c r="M621" s="1011"/>
      <c r="N621" s="262"/>
      <c r="O621" s="1011"/>
      <c r="P621" s="262"/>
      <c r="Q621" s="1011"/>
      <c r="R621" s="1012"/>
      <c r="S621" s="1011"/>
      <c r="T621" s="1012"/>
      <c r="U621" s="1010"/>
      <c r="V621" s="1012"/>
      <c r="W621" s="1010"/>
      <c r="X621" s="1012"/>
      <c r="Y621" s="1010"/>
      <c r="Z621" s="262"/>
      <c r="AA621" s="110"/>
      <c r="AB621" s="110"/>
      <c r="AC621" s="110"/>
      <c r="AD621" s="110"/>
      <c r="AE621" s="110"/>
      <c r="AF621" s="110"/>
      <c r="AG621" s="110"/>
      <c r="AH621" s="110"/>
      <c r="AI621" s="110"/>
      <c r="AJ621" s="110"/>
      <c r="AK621" s="110"/>
      <c r="AL621" s="110"/>
      <c r="AM621" s="110"/>
      <c r="AN621" s="110"/>
      <c r="AO621" s="110"/>
      <c r="AP621" s="110"/>
      <c r="AQ621" s="110"/>
      <c r="AR621" s="110"/>
      <c r="AS621" s="110"/>
      <c r="AT621" s="110"/>
      <c r="AU621" s="110"/>
    </row>
    <row r="622" spans="1:47" ht="12.75" hidden="1">
      <c r="A622" s="110"/>
      <c r="B622" s="1009"/>
      <c r="C622" s="1010"/>
      <c r="D622" s="253"/>
      <c r="E622" s="1011"/>
      <c r="F622" s="262"/>
      <c r="G622" s="1011"/>
      <c r="H622" s="262"/>
      <c r="I622" s="1011"/>
      <c r="J622" s="262"/>
      <c r="K622" s="1011"/>
      <c r="L622" s="262"/>
      <c r="M622" s="1011"/>
      <c r="N622" s="262"/>
      <c r="O622" s="1011"/>
      <c r="P622" s="262"/>
      <c r="Q622" s="1011"/>
      <c r="R622" s="1012"/>
      <c r="S622" s="1011"/>
      <c r="T622" s="1012"/>
      <c r="U622" s="1010"/>
      <c r="V622" s="1012"/>
      <c r="W622" s="1010"/>
      <c r="X622" s="1012"/>
      <c r="Y622" s="1010"/>
      <c r="Z622" s="262"/>
      <c r="AA622" s="110"/>
      <c r="AB622" s="110"/>
      <c r="AC622" s="110"/>
      <c r="AD622" s="110"/>
      <c r="AE622" s="110"/>
      <c r="AF622" s="110"/>
      <c r="AG622" s="110"/>
      <c r="AH622" s="110"/>
      <c r="AI622" s="110"/>
      <c r="AJ622" s="110"/>
      <c r="AK622" s="110"/>
      <c r="AL622" s="110"/>
      <c r="AM622" s="110"/>
      <c r="AN622" s="110"/>
      <c r="AO622" s="110"/>
      <c r="AP622" s="110"/>
      <c r="AQ622" s="110"/>
      <c r="AR622" s="110"/>
      <c r="AS622" s="110"/>
      <c r="AT622" s="110"/>
      <c r="AU622" s="110"/>
    </row>
    <row r="623" spans="1:47" ht="12.75" hidden="1">
      <c r="A623" s="110"/>
      <c r="B623" s="1009"/>
      <c r="C623" s="1010"/>
      <c r="D623" s="253"/>
      <c r="E623" s="1011"/>
      <c r="F623" s="262"/>
      <c r="G623" s="1011"/>
      <c r="H623" s="262"/>
      <c r="I623" s="1011"/>
      <c r="J623" s="262"/>
      <c r="K623" s="1011"/>
      <c r="L623" s="262"/>
      <c r="M623" s="1011"/>
      <c r="N623" s="262"/>
      <c r="O623" s="1011"/>
      <c r="P623" s="262"/>
      <c r="Q623" s="1011"/>
      <c r="R623" s="1012"/>
      <c r="S623" s="1011"/>
      <c r="T623" s="1012"/>
      <c r="U623" s="1010"/>
      <c r="V623" s="1012"/>
      <c r="W623" s="1010"/>
      <c r="X623" s="1012"/>
      <c r="Y623" s="1010"/>
      <c r="Z623" s="262"/>
      <c r="AA623" s="110"/>
      <c r="AB623" s="110"/>
      <c r="AC623" s="110"/>
      <c r="AD623" s="110"/>
      <c r="AE623" s="110"/>
      <c r="AF623" s="110"/>
      <c r="AG623" s="110"/>
      <c r="AH623" s="110"/>
      <c r="AI623" s="110"/>
      <c r="AJ623" s="110"/>
      <c r="AK623" s="110"/>
      <c r="AL623" s="110"/>
      <c r="AM623" s="110"/>
      <c r="AN623" s="110"/>
      <c r="AO623" s="110"/>
      <c r="AP623" s="110"/>
      <c r="AQ623" s="110"/>
      <c r="AR623" s="110"/>
      <c r="AS623" s="110"/>
      <c r="AT623" s="110"/>
      <c r="AU623" s="110"/>
    </row>
    <row r="624" spans="1:47" ht="12.75" hidden="1">
      <c r="A624" s="110"/>
      <c r="B624" s="1009"/>
      <c r="C624" s="1010"/>
      <c r="D624" s="253"/>
      <c r="E624" s="1011"/>
      <c r="F624" s="262"/>
      <c r="G624" s="1011"/>
      <c r="H624" s="262"/>
      <c r="I624" s="1011"/>
      <c r="J624" s="262"/>
      <c r="K624" s="1011"/>
      <c r="L624" s="262"/>
      <c r="M624" s="1011"/>
      <c r="N624" s="262"/>
      <c r="O624" s="1011"/>
      <c r="P624" s="262"/>
      <c r="Q624" s="1011"/>
      <c r="R624" s="1012"/>
      <c r="S624" s="1011"/>
      <c r="T624" s="1012"/>
      <c r="U624" s="1010"/>
      <c r="V624" s="1012"/>
      <c r="W624" s="1010"/>
      <c r="X624" s="1012"/>
      <c r="Y624" s="1010"/>
      <c r="Z624" s="262"/>
      <c r="AA624" s="110"/>
      <c r="AB624" s="110"/>
      <c r="AC624" s="110"/>
      <c r="AD624" s="110"/>
      <c r="AE624" s="110"/>
      <c r="AF624" s="110"/>
      <c r="AG624" s="110"/>
      <c r="AH624" s="110"/>
      <c r="AI624" s="110"/>
      <c r="AJ624" s="110"/>
      <c r="AK624" s="110"/>
      <c r="AL624" s="110"/>
      <c r="AM624" s="110"/>
      <c r="AN624" s="110"/>
      <c r="AO624" s="110"/>
      <c r="AP624" s="110"/>
      <c r="AQ624" s="110"/>
      <c r="AR624" s="110"/>
      <c r="AS624" s="110"/>
      <c r="AT624" s="110"/>
      <c r="AU624" s="110"/>
    </row>
    <row r="625" spans="1:47" ht="12.75" hidden="1">
      <c r="A625" s="110"/>
      <c r="B625" s="1009"/>
      <c r="C625" s="1010"/>
      <c r="D625" s="253"/>
      <c r="E625" s="1011"/>
      <c r="F625" s="262"/>
      <c r="G625" s="1011"/>
      <c r="H625" s="262"/>
      <c r="I625" s="1011"/>
      <c r="J625" s="262"/>
      <c r="K625" s="1011"/>
      <c r="L625" s="262"/>
      <c r="M625" s="1011"/>
      <c r="N625" s="262"/>
      <c r="O625" s="1011"/>
      <c r="P625" s="262"/>
      <c r="Q625" s="1011"/>
      <c r="R625" s="1012"/>
      <c r="S625" s="1011"/>
      <c r="T625" s="1012"/>
      <c r="U625" s="1010"/>
      <c r="V625" s="1012"/>
      <c r="W625" s="1010"/>
      <c r="X625" s="1012"/>
      <c r="Y625" s="1010"/>
      <c r="Z625" s="262"/>
      <c r="AA625" s="110"/>
      <c r="AB625" s="110"/>
      <c r="AC625" s="110"/>
      <c r="AD625" s="110"/>
      <c r="AE625" s="110"/>
      <c r="AF625" s="110"/>
      <c r="AG625" s="110"/>
      <c r="AH625" s="110"/>
      <c r="AI625" s="110"/>
      <c r="AJ625" s="110"/>
      <c r="AK625" s="110"/>
      <c r="AL625" s="110"/>
      <c r="AM625" s="110"/>
      <c r="AN625" s="110"/>
      <c r="AO625" s="110"/>
      <c r="AP625" s="110"/>
      <c r="AQ625" s="110"/>
      <c r="AR625" s="110"/>
      <c r="AS625" s="110"/>
      <c r="AT625" s="110"/>
      <c r="AU625" s="110"/>
    </row>
    <row r="626" spans="1:47" ht="12.75" hidden="1">
      <c r="A626" s="110"/>
      <c r="B626" s="1009"/>
      <c r="C626" s="1010"/>
      <c r="D626" s="253"/>
      <c r="E626" s="1011"/>
      <c r="F626" s="262"/>
      <c r="G626" s="1011"/>
      <c r="H626" s="262"/>
      <c r="I626" s="1011"/>
      <c r="J626" s="262"/>
      <c r="K626" s="1011"/>
      <c r="L626" s="262"/>
      <c r="M626" s="1011"/>
      <c r="N626" s="262"/>
      <c r="O626" s="1011"/>
      <c r="P626" s="262"/>
      <c r="Q626" s="1011"/>
      <c r="R626" s="1012"/>
      <c r="S626" s="1011"/>
      <c r="T626" s="1012"/>
      <c r="U626" s="1010"/>
      <c r="V626" s="1012"/>
      <c r="W626" s="1010"/>
      <c r="X626" s="1012"/>
      <c r="Y626" s="1010"/>
      <c r="Z626" s="262"/>
      <c r="AA626" s="110"/>
      <c r="AB626" s="110"/>
      <c r="AC626" s="110"/>
      <c r="AD626" s="110"/>
      <c r="AE626" s="110"/>
      <c r="AF626" s="110"/>
      <c r="AG626" s="110"/>
      <c r="AH626" s="110"/>
      <c r="AI626" s="110"/>
      <c r="AJ626" s="110"/>
      <c r="AK626" s="110"/>
      <c r="AL626" s="110"/>
      <c r="AM626" s="110"/>
      <c r="AN626" s="110"/>
      <c r="AO626" s="110"/>
      <c r="AP626" s="110"/>
      <c r="AQ626" s="110"/>
      <c r="AR626" s="110"/>
      <c r="AS626" s="110"/>
      <c r="AT626" s="110"/>
      <c r="AU626" s="110"/>
    </row>
    <row r="627" spans="1:47" ht="12.75" hidden="1">
      <c r="A627" s="110"/>
      <c r="B627" s="1009"/>
      <c r="C627" s="1010"/>
      <c r="D627" s="253"/>
      <c r="E627" s="1011"/>
      <c r="F627" s="262"/>
      <c r="G627" s="1011"/>
      <c r="H627" s="262"/>
      <c r="I627" s="1011"/>
      <c r="J627" s="262"/>
      <c r="K627" s="1011"/>
      <c r="L627" s="262"/>
      <c r="M627" s="1011"/>
      <c r="N627" s="262"/>
      <c r="O627" s="1011"/>
      <c r="P627" s="262"/>
      <c r="Q627" s="1011"/>
      <c r="R627" s="1012"/>
      <c r="S627" s="1011"/>
      <c r="T627" s="1012"/>
      <c r="U627" s="1010"/>
      <c r="V627" s="1012"/>
      <c r="W627" s="1010"/>
      <c r="X627" s="1012"/>
      <c r="Y627" s="1010"/>
      <c r="Z627" s="262"/>
      <c r="AA627" s="110"/>
      <c r="AB627" s="110"/>
      <c r="AC627" s="110"/>
      <c r="AD627" s="110"/>
      <c r="AE627" s="110"/>
      <c r="AF627" s="110"/>
      <c r="AG627" s="110"/>
      <c r="AH627" s="110"/>
      <c r="AI627" s="110"/>
      <c r="AJ627" s="110"/>
      <c r="AK627" s="110"/>
      <c r="AL627" s="110"/>
      <c r="AM627" s="110"/>
      <c r="AN627" s="110"/>
      <c r="AO627" s="110"/>
      <c r="AP627" s="110"/>
      <c r="AQ627" s="110"/>
      <c r="AR627" s="110"/>
      <c r="AS627" s="110"/>
      <c r="AT627" s="110"/>
      <c r="AU627" s="110"/>
    </row>
    <row r="628" spans="1:47" ht="12.75" hidden="1">
      <c r="A628" s="110"/>
      <c r="B628" s="1009"/>
      <c r="C628" s="1010"/>
      <c r="D628" s="253"/>
      <c r="E628" s="1011"/>
      <c r="F628" s="262"/>
      <c r="G628" s="1011"/>
      <c r="H628" s="262"/>
      <c r="I628" s="1011"/>
      <c r="J628" s="262"/>
      <c r="K628" s="1011"/>
      <c r="L628" s="262"/>
      <c r="M628" s="1011"/>
      <c r="N628" s="262"/>
      <c r="O628" s="1011"/>
      <c r="P628" s="262"/>
      <c r="Q628" s="1011"/>
      <c r="R628" s="1012"/>
      <c r="S628" s="1011"/>
      <c r="T628" s="1012"/>
      <c r="U628" s="1010"/>
      <c r="V628" s="1012"/>
      <c r="W628" s="1010"/>
      <c r="X628" s="1012"/>
      <c r="Y628" s="1010"/>
      <c r="Z628" s="262"/>
      <c r="AA628" s="110"/>
      <c r="AB628" s="110"/>
      <c r="AC628" s="110"/>
      <c r="AD628" s="110"/>
      <c r="AE628" s="110"/>
      <c r="AF628" s="110"/>
      <c r="AG628" s="110"/>
      <c r="AH628" s="110"/>
      <c r="AI628" s="110"/>
      <c r="AJ628" s="110"/>
      <c r="AK628" s="110"/>
      <c r="AL628" s="110"/>
      <c r="AM628" s="110"/>
      <c r="AN628" s="110"/>
      <c r="AO628" s="110"/>
      <c r="AP628" s="110"/>
      <c r="AQ628" s="110"/>
      <c r="AR628" s="110"/>
      <c r="AS628" s="110"/>
      <c r="AT628" s="110"/>
      <c r="AU628" s="110"/>
    </row>
    <row r="629" spans="1:47" ht="12.75" hidden="1">
      <c r="A629" s="110"/>
      <c r="B629" s="1009"/>
      <c r="C629" s="1010"/>
      <c r="D629" s="253"/>
      <c r="E629" s="1011"/>
      <c r="F629" s="262"/>
      <c r="G629" s="1011"/>
      <c r="H629" s="262"/>
      <c r="I629" s="1011"/>
      <c r="J629" s="262"/>
      <c r="K629" s="1011"/>
      <c r="L629" s="262"/>
      <c r="M629" s="1011"/>
      <c r="N629" s="262"/>
      <c r="O629" s="1011"/>
      <c r="P629" s="262"/>
      <c r="Q629" s="1011"/>
      <c r="R629" s="1012"/>
      <c r="S629" s="1011"/>
      <c r="T629" s="1012"/>
      <c r="U629" s="1010"/>
      <c r="V629" s="1012"/>
      <c r="W629" s="1010"/>
      <c r="X629" s="1012"/>
      <c r="Y629" s="1010"/>
      <c r="Z629" s="262"/>
      <c r="AA629" s="110"/>
      <c r="AB629" s="110"/>
      <c r="AC629" s="110"/>
      <c r="AD629" s="110"/>
      <c r="AE629" s="110"/>
      <c r="AF629" s="110"/>
      <c r="AG629" s="110"/>
      <c r="AH629" s="110"/>
      <c r="AI629" s="110"/>
      <c r="AJ629" s="110"/>
      <c r="AK629" s="110"/>
      <c r="AL629" s="110"/>
      <c r="AM629" s="110"/>
      <c r="AN629" s="110"/>
      <c r="AO629" s="110"/>
      <c r="AP629" s="110"/>
      <c r="AQ629" s="110"/>
      <c r="AR629" s="110"/>
      <c r="AS629" s="110"/>
      <c r="AT629" s="110"/>
      <c r="AU629" s="110"/>
    </row>
    <row r="630" spans="1:47" ht="12.75" hidden="1">
      <c r="A630" s="110"/>
      <c r="B630" s="1009"/>
      <c r="C630" s="1010"/>
      <c r="D630" s="253"/>
      <c r="E630" s="1011"/>
      <c r="F630" s="262"/>
      <c r="G630" s="1011"/>
      <c r="H630" s="262"/>
      <c r="I630" s="1011"/>
      <c r="J630" s="262"/>
      <c r="K630" s="1011"/>
      <c r="L630" s="262"/>
      <c r="M630" s="1011"/>
      <c r="N630" s="262"/>
      <c r="O630" s="1011"/>
      <c r="P630" s="262"/>
      <c r="Q630" s="1011"/>
      <c r="R630" s="1012"/>
      <c r="S630" s="1011"/>
      <c r="T630" s="1012"/>
      <c r="U630" s="1010"/>
      <c r="V630" s="1012"/>
      <c r="W630" s="1010"/>
      <c r="X630" s="1012"/>
      <c r="Y630" s="1010"/>
      <c r="Z630" s="262"/>
      <c r="AA630" s="110"/>
      <c r="AB630" s="110"/>
      <c r="AC630" s="110"/>
      <c r="AD630" s="110"/>
      <c r="AE630" s="110"/>
      <c r="AF630" s="110"/>
      <c r="AG630" s="110"/>
      <c r="AH630" s="110"/>
      <c r="AI630" s="110"/>
      <c r="AJ630" s="110"/>
      <c r="AK630" s="110"/>
      <c r="AL630" s="110"/>
      <c r="AM630" s="110"/>
      <c r="AN630" s="110"/>
      <c r="AO630" s="110"/>
      <c r="AP630" s="110"/>
      <c r="AQ630" s="110"/>
      <c r="AR630" s="110"/>
      <c r="AS630" s="110"/>
      <c r="AT630" s="110"/>
      <c r="AU630" s="110"/>
    </row>
    <row r="631" spans="1:47" ht="12.75" hidden="1">
      <c r="A631" s="110"/>
      <c r="B631" s="1009"/>
      <c r="C631" s="1010"/>
      <c r="D631" s="253"/>
      <c r="E631" s="1011"/>
      <c r="F631" s="262"/>
      <c r="G631" s="1011"/>
      <c r="H631" s="262"/>
      <c r="I631" s="1011"/>
      <c r="J631" s="262"/>
      <c r="K631" s="1011"/>
      <c r="L631" s="262"/>
      <c r="M631" s="1011"/>
      <c r="N631" s="262"/>
      <c r="O631" s="1011"/>
      <c r="P631" s="262"/>
      <c r="Q631" s="1011"/>
      <c r="R631" s="1012"/>
      <c r="S631" s="1011"/>
      <c r="T631" s="1012"/>
      <c r="U631" s="1010"/>
      <c r="V631" s="1012"/>
      <c r="W631" s="1010"/>
      <c r="X631" s="1012"/>
      <c r="Y631" s="1010"/>
      <c r="Z631" s="262"/>
      <c r="AA631" s="110"/>
      <c r="AB631" s="110"/>
      <c r="AC631" s="110"/>
      <c r="AD631" s="110"/>
      <c r="AE631" s="110"/>
      <c r="AF631" s="110"/>
      <c r="AG631" s="110"/>
      <c r="AH631" s="110"/>
      <c r="AI631" s="110"/>
      <c r="AJ631" s="110"/>
      <c r="AK631" s="110"/>
      <c r="AL631" s="110"/>
      <c r="AM631" s="110"/>
      <c r="AN631" s="110"/>
      <c r="AO631" s="110"/>
      <c r="AP631" s="110"/>
      <c r="AQ631" s="110"/>
      <c r="AR631" s="110"/>
      <c r="AS631" s="110"/>
      <c r="AT631" s="110"/>
      <c r="AU631" s="110"/>
    </row>
    <row r="632" spans="1:47" ht="12.75" hidden="1">
      <c r="A632" s="110"/>
      <c r="B632" s="1009"/>
      <c r="C632" s="1010"/>
      <c r="D632" s="253"/>
      <c r="E632" s="1011"/>
      <c r="F632" s="262"/>
      <c r="G632" s="1011"/>
      <c r="H632" s="262"/>
      <c r="I632" s="1011"/>
      <c r="J632" s="262"/>
      <c r="K632" s="1011"/>
      <c r="L632" s="262"/>
      <c r="M632" s="1011"/>
      <c r="N632" s="262"/>
      <c r="O632" s="1011"/>
      <c r="P632" s="262"/>
      <c r="Q632" s="1011"/>
      <c r="R632" s="1012"/>
      <c r="S632" s="1011"/>
      <c r="T632" s="1012"/>
      <c r="U632" s="1010"/>
      <c r="V632" s="1012"/>
      <c r="W632" s="1010"/>
      <c r="X632" s="1012"/>
      <c r="Y632" s="1010"/>
      <c r="Z632" s="262"/>
      <c r="AA632" s="110"/>
      <c r="AB632" s="110"/>
      <c r="AC632" s="110"/>
      <c r="AD632" s="110"/>
      <c r="AE632" s="110"/>
      <c r="AF632" s="110"/>
      <c r="AG632" s="110"/>
      <c r="AH632" s="110"/>
      <c r="AI632" s="110"/>
      <c r="AJ632" s="110"/>
      <c r="AK632" s="110"/>
      <c r="AL632" s="110"/>
      <c r="AM632" s="110"/>
      <c r="AN632" s="110"/>
      <c r="AO632" s="110"/>
      <c r="AP632" s="110"/>
      <c r="AQ632" s="110"/>
      <c r="AR632" s="110"/>
      <c r="AS632" s="110"/>
      <c r="AT632" s="110"/>
      <c r="AU632" s="110"/>
    </row>
    <row r="633" spans="1:47" ht="12.75" hidden="1">
      <c r="A633" s="110"/>
      <c r="B633" s="1009"/>
      <c r="C633" s="1010"/>
      <c r="D633" s="253"/>
      <c r="E633" s="1011"/>
      <c r="F633" s="262"/>
      <c r="G633" s="1011"/>
      <c r="H633" s="262"/>
      <c r="I633" s="1011"/>
      <c r="J633" s="262"/>
      <c r="K633" s="1011"/>
      <c r="L633" s="262"/>
      <c r="M633" s="1011"/>
      <c r="N633" s="262"/>
      <c r="O633" s="1011"/>
      <c r="P633" s="262"/>
      <c r="Q633" s="1011"/>
      <c r="R633" s="1012"/>
      <c r="S633" s="1011"/>
      <c r="T633" s="1012"/>
      <c r="U633" s="1010"/>
      <c r="V633" s="1012"/>
      <c r="W633" s="1010"/>
      <c r="X633" s="1012"/>
      <c r="Y633" s="1010"/>
      <c r="Z633" s="262"/>
      <c r="AA633" s="110"/>
      <c r="AB633" s="110"/>
      <c r="AC633" s="110"/>
      <c r="AD633" s="110"/>
      <c r="AE633" s="110"/>
      <c r="AF633" s="110"/>
      <c r="AG633" s="110"/>
      <c r="AH633" s="110"/>
      <c r="AI633" s="110"/>
      <c r="AJ633" s="110"/>
      <c r="AK633" s="110"/>
      <c r="AL633" s="110"/>
      <c r="AM633" s="110"/>
      <c r="AN633" s="110"/>
      <c r="AO633" s="110"/>
      <c r="AP633" s="110"/>
      <c r="AQ633" s="110"/>
      <c r="AR633" s="110"/>
      <c r="AS633" s="110"/>
      <c r="AT633" s="110"/>
      <c r="AU633" s="110"/>
    </row>
    <row r="634" spans="1:47" ht="12.75" hidden="1">
      <c r="A634" s="110"/>
      <c r="B634" s="1009"/>
      <c r="C634" s="1010"/>
      <c r="D634" s="253"/>
      <c r="E634" s="1011"/>
      <c r="F634" s="262"/>
      <c r="G634" s="1011"/>
      <c r="H634" s="262"/>
      <c r="I634" s="1011"/>
      <c r="J634" s="262"/>
      <c r="K634" s="1011"/>
      <c r="L634" s="262"/>
      <c r="M634" s="1011"/>
      <c r="N634" s="262"/>
      <c r="O634" s="1011"/>
      <c r="P634" s="262"/>
      <c r="Q634" s="1011"/>
      <c r="R634" s="1012"/>
      <c r="S634" s="1011"/>
      <c r="T634" s="1012"/>
      <c r="U634" s="1010"/>
      <c r="V634" s="1012"/>
      <c r="W634" s="1010"/>
      <c r="X634" s="1012"/>
      <c r="Y634" s="1010"/>
      <c r="Z634" s="262"/>
      <c r="AA634" s="110"/>
      <c r="AB634" s="110"/>
      <c r="AC634" s="110"/>
      <c r="AD634" s="110"/>
      <c r="AE634" s="110"/>
      <c r="AF634" s="110"/>
      <c r="AG634" s="110"/>
      <c r="AH634" s="110"/>
      <c r="AI634" s="110"/>
      <c r="AJ634" s="110"/>
      <c r="AK634" s="110"/>
      <c r="AL634" s="110"/>
      <c r="AM634" s="110"/>
      <c r="AN634" s="110"/>
      <c r="AO634" s="110"/>
      <c r="AP634" s="110"/>
      <c r="AQ634" s="110"/>
      <c r="AR634" s="110"/>
      <c r="AS634" s="110"/>
      <c r="AT634" s="110"/>
      <c r="AU634" s="110"/>
    </row>
    <row r="635" spans="1:47" ht="12.75" hidden="1">
      <c r="A635" s="110"/>
      <c r="B635" s="1009"/>
      <c r="C635" s="1010"/>
      <c r="D635" s="253"/>
      <c r="E635" s="1011"/>
      <c r="F635" s="262"/>
      <c r="G635" s="1011"/>
      <c r="H635" s="262"/>
      <c r="I635" s="1011"/>
      <c r="J635" s="262"/>
      <c r="K635" s="1011"/>
      <c r="L635" s="262"/>
      <c r="M635" s="1011"/>
      <c r="N635" s="262"/>
      <c r="O635" s="1011"/>
      <c r="P635" s="262"/>
      <c r="Q635" s="1011"/>
      <c r="R635" s="1012"/>
      <c r="S635" s="1011"/>
      <c r="T635" s="1012"/>
      <c r="U635" s="1010"/>
      <c r="V635" s="1012"/>
      <c r="W635" s="1010"/>
      <c r="X635" s="1012"/>
      <c r="Y635" s="1010"/>
      <c r="Z635" s="262"/>
      <c r="AA635" s="110"/>
      <c r="AB635" s="110"/>
      <c r="AC635" s="110"/>
      <c r="AD635" s="110"/>
      <c r="AE635" s="110"/>
      <c r="AF635" s="110"/>
      <c r="AG635" s="110"/>
      <c r="AH635" s="110"/>
      <c r="AI635" s="110"/>
      <c r="AJ635" s="110"/>
      <c r="AK635" s="110"/>
      <c r="AL635" s="110"/>
      <c r="AM635" s="110"/>
      <c r="AN635" s="110"/>
      <c r="AO635" s="110"/>
      <c r="AP635" s="110"/>
      <c r="AQ635" s="110"/>
      <c r="AR635" s="110"/>
      <c r="AS635" s="110"/>
      <c r="AT635" s="110"/>
      <c r="AU635" s="110"/>
    </row>
    <row r="636" spans="1:47" ht="12.75" hidden="1">
      <c r="A636" s="110"/>
      <c r="B636" s="1009"/>
      <c r="C636" s="1010"/>
      <c r="D636" s="253"/>
      <c r="E636" s="1011"/>
      <c r="F636" s="262"/>
      <c r="G636" s="1011"/>
      <c r="H636" s="262"/>
      <c r="I636" s="1011"/>
      <c r="J636" s="262"/>
      <c r="K636" s="1011"/>
      <c r="L636" s="262"/>
      <c r="M636" s="1011"/>
      <c r="N636" s="262"/>
      <c r="O636" s="1011"/>
      <c r="P636" s="262"/>
      <c r="Q636" s="1011"/>
      <c r="R636" s="1012"/>
      <c r="S636" s="1011"/>
      <c r="T636" s="1012"/>
      <c r="U636" s="1010"/>
      <c r="V636" s="1012"/>
      <c r="W636" s="1010"/>
      <c r="X636" s="1012"/>
      <c r="Y636" s="1010"/>
      <c r="Z636" s="262"/>
      <c r="AA636" s="110"/>
      <c r="AB636" s="110"/>
      <c r="AC636" s="110"/>
      <c r="AD636" s="110"/>
      <c r="AE636" s="110"/>
      <c r="AF636" s="110"/>
      <c r="AG636" s="110"/>
      <c r="AH636" s="110"/>
      <c r="AI636" s="110"/>
      <c r="AJ636" s="110"/>
      <c r="AK636" s="110"/>
      <c r="AL636" s="110"/>
      <c r="AM636" s="110"/>
      <c r="AN636" s="110"/>
      <c r="AO636" s="110"/>
      <c r="AP636" s="110"/>
      <c r="AQ636" s="110"/>
      <c r="AR636" s="110"/>
      <c r="AS636" s="110"/>
      <c r="AT636" s="110"/>
      <c r="AU636" s="110"/>
    </row>
    <row r="637" spans="1:47" ht="12.75" hidden="1">
      <c r="A637" s="110"/>
      <c r="B637" s="1009"/>
      <c r="C637" s="1010"/>
      <c r="D637" s="253"/>
      <c r="E637" s="1011"/>
      <c r="F637" s="262"/>
      <c r="G637" s="1011"/>
      <c r="H637" s="262"/>
      <c r="I637" s="1011"/>
      <c r="J637" s="262"/>
      <c r="K637" s="1011"/>
      <c r="L637" s="262"/>
      <c r="M637" s="1011"/>
      <c r="N637" s="262"/>
      <c r="O637" s="1011"/>
      <c r="P637" s="262"/>
      <c r="Q637" s="1011"/>
      <c r="R637" s="1012"/>
      <c r="S637" s="1011"/>
      <c r="T637" s="1012"/>
      <c r="U637" s="1010"/>
      <c r="V637" s="1012"/>
      <c r="W637" s="1010"/>
      <c r="X637" s="1012"/>
      <c r="Y637" s="1010"/>
      <c r="Z637" s="262"/>
      <c r="AA637" s="110"/>
      <c r="AB637" s="110"/>
      <c r="AC637" s="110"/>
      <c r="AD637" s="110"/>
      <c r="AE637" s="110"/>
      <c r="AF637" s="110"/>
      <c r="AG637" s="110"/>
      <c r="AH637" s="110"/>
      <c r="AI637" s="110"/>
      <c r="AJ637" s="110"/>
      <c r="AK637" s="110"/>
      <c r="AL637" s="110"/>
      <c r="AM637" s="110"/>
      <c r="AN637" s="110"/>
      <c r="AO637" s="110"/>
      <c r="AP637" s="110"/>
      <c r="AQ637" s="110"/>
      <c r="AR637" s="110"/>
      <c r="AS637" s="110"/>
      <c r="AT637" s="110"/>
      <c r="AU637" s="110"/>
    </row>
    <row r="638" spans="1:47" ht="12.75" hidden="1">
      <c r="A638" s="110"/>
      <c r="B638" s="1009"/>
      <c r="C638" s="1010"/>
      <c r="D638" s="253"/>
      <c r="E638" s="1011"/>
      <c r="F638" s="262"/>
      <c r="G638" s="1011"/>
      <c r="H638" s="262"/>
      <c r="I638" s="1011"/>
      <c r="J638" s="262"/>
      <c r="K638" s="1011"/>
      <c r="L638" s="262"/>
      <c r="M638" s="1011"/>
      <c r="N638" s="262"/>
      <c r="O638" s="1011"/>
      <c r="P638" s="262"/>
      <c r="Q638" s="1011"/>
      <c r="R638" s="1012"/>
      <c r="S638" s="1011"/>
      <c r="T638" s="1012"/>
      <c r="U638" s="1010"/>
      <c r="V638" s="1012"/>
      <c r="W638" s="1010"/>
      <c r="X638" s="1012"/>
      <c r="Y638" s="1010"/>
      <c r="Z638" s="262"/>
      <c r="AA638" s="110"/>
      <c r="AB638" s="110"/>
      <c r="AC638" s="110"/>
      <c r="AD638" s="110"/>
      <c r="AE638" s="110"/>
      <c r="AF638" s="110"/>
      <c r="AG638" s="110"/>
      <c r="AH638" s="110"/>
      <c r="AI638" s="110"/>
      <c r="AJ638" s="110"/>
      <c r="AK638" s="110"/>
      <c r="AL638" s="110"/>
      <c r="AM638" s="110"/>
      <c r="AN638" s="110"/>
      <c r="AO638" s="110"/>
      <c r="AP638" s="110"/>
      <c r="AQ638" s="110"/>
      <c r="AR638" s="110"/>
      <c r="AS638" s="110"/>
      <c r="AT638" s="110"/>
      <c r="AU638" s="110"/>
    </row>
    <row r="639" spans="1:47" ht="12.75" hidden="1">
      <c r="A639" s="110"/>
      <c r="B639" s="1009"/>
      <c r="C639" s="1010"/>
      <c r="D639" s="253"/>
      <c r="E639" s="1011"/>
      <c r="F639" s="262"/>
      <c r="G639" s="1011"/>
      <c r="H639" s="262"/>
      <c r="I639" s="1011"/>
      <c r="J639" s="262"/>
      <c r="K639" s="1011"/>
      <c r="L639" s="262"/>
      <c r="M639" s="1011"/>
      <c r="N639" s="262"/>
      <c r="O639" s="1011"/>
      <c r="P639" s="262"/>
      <c r="Q639" s="1011"/>
      <c r="R639" s="1012"/>
      <c r="S639" s="1011"/>
      <c r="T639" s="1012"/>
      <c r="U639" s="1010"/>
      <c r="V639" s="1012"/>
      <c r="W639" s="1010"/>
      <c r="X639" s="1012"/>
      <c r="Y639" s="1010"/>
      <c r="Z639" s="262"/>
      <c r="AA639" s="110"/>
      <c r="AB639" s="110"/>
      <c r="AC639" s="110"/>
      <c r="AD639" s="110"/>
      <c r="AE639" s="110"/>
      <c r="AF639" s="110"/>
      <c r="AG639" s="110"/>
      <c r="AH639" s="110"/>
      <c r="AI639" s="110"/>
      <c r="AJ639" s="110"/>
      <c r="AK639" s="110"/>
      <c r="AL639" s="110"/>
      <c r="AM639" s="110"/>
      <c r="AN639" s="110"/>
      <c r="AO639" s="110"/>
      <c r="AP639" s="110"/>
      <c r="AQ639" s="110"/>
      <c r="AR639" s="110"/>
      <c r="AS639" s="110"/>
      <c r="AT639" s="110"/>
      <c r="AU639" s="110"/>
    </row>
    <row r="640" spans="1:47" ht="12.75" hidden="1">
      <c r="A640" s="110"/>
      <c r="B640" s="1009"/>
      <c r="C640" s="1010"/>
      <c r="D640" s="253"/>
      <c r="E640" s="1011"/>
      <c r="F640" s="262"/>
      <c r="G640" s="1011"/>
      <c r="H640" s="262"/>
      <c r="I640" s="1011"/>
      <c r="J640" s="262"/>
      <c r="K640" s="1011"/>
      <c r="L640" s="262"/>
      <c r="M640" s="1011"/>
      <c r="N640" s="262"/>
      <c r="O640" s="1011"/>
      <c r="P640" s="262"/>
      <c r="Q640" s="1011"/>
      <c r="R640" s="1012"/>
      <c r="S640" s="1011"/>
      <c r="T640" s="1012"/>
      <c r="U640" s="1010"/>
      <c r="V640" s="1012"/>
      <c r="W640" s="1010"/>
      <c r="X640" s="1012"/>
      <c r="Y640" s="1010"/>
      <c r="Z640" s="262"/>
      <c r="AA640" s="110"/>
      <c r="AB640" s="110"/>
      <c r="AC640" s="110"/>
      <c r="AD640" s="110"/>
      <c r="AE640" s="110"/>
      <c r="AF640" s="110"/>
      <c r="AG640" s="110"/>
      <c r="AH640" s="110"/>
      <c r="AI640" s="110"/>
      <c r="AJ640" s="110"/>
      <c r="AK640" s="110"/>
      <c r="AL640" s="110"/>
      <c r="AM640" s="110"/>
      <c r="AN640" s="110"/>
      <c r="AO640" s="110"/>
      <c r="AP640" s="110"/>
      <c r="AQ640" s="110"/>
      <c r="AR640" s="110"/>
      <c r="AS640" s="110"/>
      <c r="AT640" s="110"/>
      <c r="AU640" s="110"/>
    </row>
    <row r="641" spans="1:47" ht="12.75" hidden="1">
      <c r="A641" s="110"/>
      <c r="B641" s="1009"/>
      <c r="C641" s="1010"/>
      <c r="D641" s="253"/>
      <c r="E641" s="1011"/>
      <c r="F641" s="262"/>
      <c r="G641" s="1011"/>
      <c r="H641" s="262"/>
      <c r="I641" s="1011"/>
      <c r="J641" s="262"/>
      <c r="K641" s="1011"/>
      <c r="L641" s="262"/>
      <c r="M641" s="1011"/>
      <c r="N641" s="262"/>
      <c r="O641" s="1011"/>
      <c r="P641" s="262"/>
      <c r="Q641" s="1011"/>
      <c r="R641" s="1012"/>
      <c r="S641" s="1011"/>
      <c r="T641" s="1012"/>
      <c r="U641" s="1010"/>
      <c r="V641" s="1012"/>
      <c r="W641" s="1010"/>
      <c r="X641" s="1012"/>
      <c r="Y641" s="1010"/>
      <c r="Z641" s="262"/>
      <c r="AA641" s="110"/>
      <c r="AB641" s="110"/>
      <c r="AC641" s="110"/>
      <c r="AD641" s="110"/>
      <c r="AE641" s="110"/>
      <c r="AF641" s="110"/>
      <c r="AG641" s="110"/>
      <c r="AH641" s="110"/>
      <c r="AI641" s="110"/>
      <c r="AJ641" s="110"/>
      <c r="AK641" s="110"/>
      <c r="AL641" s="110"/>
      <c r="AM641" s="110"/>
      <c r="AN641" s="110"/>
      <c r="AO641" s="110"/>
      <c r="AP641" s="110"/>
      <c r="AQ641" s="110"/>
      <c r="AR641" s="110"/>
      <c r="AS641" s="110"/>
      <c r="AT641" s="110"/>
      <c r="AU641" s="110"/>
    </row>
    <row r="642" spans="1:47" ht="12.75" hidden="1">
      <c r="A642" s="110"/>
      <c r="B642" s="1009"/>
      <c r="C642" s="1010"/>
      <c r="D642" s="253"/>
      <c r="E642" s="1011"/>
      <c r="F642" s="262"/>
      <c r="G642" s="1011"/>
      <c r="H642" s="262"/>
      <c r="I642" s="1011"/>
      <c r="J642" s="262"/>
      <c r="K642" s="1011"/>
      <c r="L642" s="262"/>
      <c r="M642" s="1011"/>
      <c r="N642" s="262"/>
      <c r="O642" s="1011"/>
      <c r="P642" s="262"/>
      <c r="Q642" s="1011"/>
      <c r="R642" s="1012"/>
      <c r="S642" s="1011"/>
      <c r="T642" s="1012"/>
      <c r="U642" s="1010"/>
      <c r="V642" s="1012"/>
      <c r="W642" s="1010"/>
      <c r="X642" s="1012"/>
      <c r="Y642" s="1010"/>
      <c r="Z642" s="262"/>
      <c r="AA642" s="110"/>
      <c r="AB642" s="110"/>
      <c r="AC642" s="110"/>
      <c r="AD642" s="110"/>
      <c r="AE642" s="110"/>
      <c r="AF642" s="110"/>
      <c r="AG642" s="110"/>
      <c r="AH642" s="110"/>
      <c r="AI642" s="110"/>
      <c r="AJ642" s="110"/>
      <c r="AK642" s="110"/>
      <c r="AL642" s="110"/>
      <c r="AM642" s="110"/>
      <c r="AN642" s="110"/>
      <c r="AO642" s="110"/>
      <c r="AP642" s="110"/>
      <c r="AQ642" s="110"/>
      <c r="AR642" s="110"/>
      <c r="AS642" s="110"/>
      <c r="AT642" s="110"/>
      <c r="AU642" s="110"/>
    </row>
    <row r="643" spans="1:47" ht="12.75" hidden="1">
      <c r="A643" s="110"/>
      <c r="B643" s="1009"/>
      <c r="C643" s="1010"/>
      <c r="D643" s="253"/>
      <c r="E643" s="1011"/>
      <c r="F643" s="262"/>
      <c r="G643" s="1011"/>
      <c r="H643" s="262"/>
      <c r="I643" s="1011"/>
      <c r="J643" s="262"/>
      <c r="K643" s="1011"/>
      <c r="L643" s="262"/>
      <c r="M643" s="1011"/>
      <c r="N643" s="262"/>
      <c r="O643" s="1011"/>
      <c r="P643" s="262"/>
      <c r="Q643" s="1011"/>
      <c r="R643" s="1012"/>
      <c r="S643" s="1011"/>
      <c r="T643" s="1012"/>
      <c r="U643" s="1010"/>
      <c r="V643" s="1012"/>
      <c r="W643" s="1010"/>
      <c r="X643" s="1012"/>
      <c r="Y643" s="1010"/>
      <c r="Z643" s="262"/>
      <c r="AA643" s="110"/>
      <c r="AB643" s="110"/>
      <c r="AC643" s="110"/>
      <c r="AD643" s="110"/>
      <c r="AE643" s="110"/>
      <c r="AF643" s="110"/>
      <c r="AG643" s="110"/>
      <c r="AH643" s="110"/>
      <c r="AI643" s="110"/>
      <c r="AJ643" s="110"/>
      <c r="AK643" s="110"/>
      <c r="AL643" s="110"/>
      <c r="AM643" s="110"/>
      <c r="AN643" s="110"/>
      <c r="AO643" s="110"/>
      <c r="AP643" s="110"/>
      <c r="AQ643" s="110"/>
      <c r="AR643" s="110"/>
      <c r="AS643" s="110"/>
      <c r="AT643" s="110"/>
      <c r="AU643" s="110"/>
    </row>
    <row r="644" spans="1:47" ht="12.75" hidden="1">
      <c r="A644" s="110"/>
      <c r="B644" s="1009"/>
      <c r="C644" s="1010"/>
      <c r="D644" s="253"/>
      <c r="E644" s="1011"/>
      <c r="F644" s="262"/>
      <c r="G644" s="1011"/>
      <c r="H644" s="262"/>
      <c r="I644" s="1011"/>
      <c r="J644" s="262"/>
      <c r="K644" s="1011"/>
      <c r="L644" s="262"/>
      <c r="M644" s="1011"/>
      <c r="N644" s="262"/>
      <c r="O644" s="1011"/>
      <c r="P644" s="262"/>
      <c r="Q644" s="1011"/>
      <c r="R644" s="1012"/>
      <c r="S644" s="1011"/>
      <c r="T644" s="1012"/>
      <c r="U644" s="1010"/>
      <c r="V644" s="1012"/>
      <c r="W644" s="1010"/>
      <c r="X644" s="1012"/>
      <c r="Y644" s="1010"/>
      <c r="Z644" s="262"/>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row>
    <row r="645" spans="1:47" ht="12.75" hidden="1">
      <c r="A645" s="110"/>
      <c r="B645" s="1009"/>
      <c r="C645" s="1010"/>
      <c r="D645" s="253"/>
      <c r="E645" s="1011"/>
      <c r="F645" s="262"/>
      <c r="G645" s="1011"/>
      <c r="H645" s="262"/>
      <c r="I645" s="1011"/>
      <c r="J645" s="262"/>
      <c r="K645" s="1011"/>
      <c r="L645" s="262"/>
      <c r="M645" s="1011"/>
      <c r="N645" s="262"/>
      <c r="O645" s="1011"/>
      <c r="P645" s="262"/>
      <c r="Q645" s="1011"/>
      <c r="R645" s="1012"/>
      <c r="S645" s="1011"/>
      <c r="T645" s="1012"/>
      <c r="U645" s="1010"/>
      <c r="V645" s="1012"/>
      <c r="W645" s="1010"/>
      <c r="X645" s="1012"/>
      <c r="Y645" s="1010"/>
      <c r="Z645" s="262"/>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row>
    <row r="646" spans="1:47" ht="12.75" hidden="1">
      <c r="A646" s="110"/>
      <c r="B646" s="1009"/>
      <c r="C646" s="1010"/>
      <c r="D646" s="253"/>
      <c r="E646" s="1011"/>
      <c r="F646" s="262"/>
      <c r="G646" s="1011"/>
      <c r="H646" s="262"/>
      <c r="I646" s="1011"/>
      <c r="J646" s="262"/>
      <c r="K646" s="1011"/>
      <c r="L646" s="262"/>
      <c r="M646" s="1011"/>
      <c r="N646" s="262"/>
      <c r="O646" s="1011"/>
      <c r="P646" s="262"/>
      <c r="Q646" s="1011"/>
      <c r="R646" s="1012"/>
      <c r="S646" s="1011"/>
      <c r="T646" s="1012"/>
      <c r="U646" s="1010"/>
      <c r="V646" s="1012"/>
      <c r="W646" s="1010"/>
      <c r="X646" s="1012"/>
      <c r="Y646" s="1010"/>
      <c r="Z646" s="262"/>
      <c r="AA646" s="110"/>
      <c r="AB646" s="110"/>
      <c r="AC646" s="110"/>
      <c r="AD646" s="110"/>
      <c r="AE646" s="110"/>
      <c r="AF646" s="110"/>
      <c r="AG646" s="110"/>
      <c r="AH646" s="110"/>
      <c r="AI646" s="110"/>
      <c r="AJ646" s="110"/>
      <c r="AK646" s="110"/>
      <c r="AL646" s="110"/>
      <c r="AM646" s="110"/>
      <c r="AN646" s="110"/>
      <c r="AO646" s="110"/>
      <c r="AP646" s="110"/>
      <c r="AQ646" s="110"/>
      <c r="AR646" s="110"/>
      <c r="AS646" s="110"/>
      <c r="AT646" s="110"/>
      <c r="AU646" s="110"/>
    </row>
    <row r="647" spans="1:47" ht="12.75" hidden="1">
      <c r="A647" s="110"/>
      <c r="B647" s="1009"/>
      <c r="C647" s="1010"/>
      <c r="D647" s="253"/>
      <c r="E647" s="1011"/>
      <c r="F647" s="262"/>
      <c r="G647" s="1011"/>
      <c r="H647" s="262"/>
      <c r="I647" s="1011"/>
      <c r="J647" s="262"/>
      <c r="K647" s="1011"/>
      <c r="L647" s="262"/>
      <c r="M647" s="1011"/>
      <c r="N647" s="262"/>
      <c r="O647" s="1011"/>
      <c r="P647" s="262"/>
      <c r="Q647" s="1011"/>
      <c r="R647" s="1012"/>
      <c r="S647" s="1011"/>
      <c r="T647" s="1012"/>
      <c r="U647" s="1010"/>
      <c r="V647" s="1012"/>
      <c r="W647" s="1010"/>
      <c r="X647" s="1012"/>
      <c r="Y647" s="1010"/>
      <c r="Z647" s="262"/>
      <c r="AA647" s="110"/>
      <c r="AB647" s="110"/>
      <c r="AC647" s="110"/>
      <c r="AD647" s="110"/>
      <c r="AE647" s="110"/>
      <c r="AF647" s="110"/>
      <c r="AG647" s="110"/>
      <c r="AH647" s="110"/>
      <c r="AI647" s="110"/>
      <c r="AJ647" s="110"/>
      <c r="AK647" s="110"/>
      <c r="AL647" s="110"/>
      <c r="AM647" s="110"/>
      <c r="AN647" s="110"/>
      <c r="AO647" s="110"/>
      <c r="AP647" s="110"/>
      <c r="AQ647" s="110"/>
      <c r="AR647" s="110"/>
      <c r="AS647" s="110"/>
      <c r="AT647" s="110"/>
      <c r="AU647" s="110"/>
    </row>
    <row r="648" spans="1:47" ht="12.75" hidden="1">
      <c r="A648" s="110"/>
      <c r="B648" s="1009"/>
      <c r="C648" s="1010"/>
      <c r="D648" s="253"/>
      <c r="E648" s="1011"/>
      <c r="F648" s="262"/>
      <c r="G648" s="1011"/>
      <c r="H648" s="262"/>
      <c r="I648" s="1011"/>
      <c r="J648" s="262"/>
      <c r="K648" s="1011"/>
      <c r="L648" s="262"/>
      <c r="M648" s="1011"/>
      <c r="N648" s="262"/>
      <c r="O648" s="1011"/>
      <c r="P648" s="262"/>
      <c r="Q648" s="1011"/>
      <c r="R648" s="1012"/>
      <c r="S648" s="1011"/>
      <c r="T648" s="1012"/>
      <c r="U648" s="1010"/>
      <c r="V648" s="1012"/>
      <c r="W648" s="1010"/>
      <c r="X648" s="1012"/>
      <c r="Y648" s="1010"/>
      <c r="Z648" s="262"/>
      <c r="AA648" s="110"/>
      <c r="AB648" s="110"/>
      <c r="AC648" s="110"/>
      <c r="AD648" s="110"/>
      <c r="AE648" s="110"/>
      <c r="AF648" s="110"/>
      <c r="AG648" s="110"/>
      <c r="AH648" s="110"/>
      <c r="AI648" s="110"/>
      <c r="AJ648" s="110"/>
      <c r="AK648" s="110"/>
      <c r="AL648" s="110"/>
      <c r="AM648" s="110"/>
      <c r="AN648" s="110"/>
      <c r="AO648" s="110"/>
      <c r="AP648" s="110"/>
      <c r="AQ648" s="110"/>
      <c r="AR648" s="110"/>
      <c r="AS648" s="110"/>
      <c r="AT648" s="110"/>
      <c r="AU648" s="110"/>
    </row>
    <row r="649" spans="1:47" ht="12.75" hidden="1">
      <c r="A649" s="110"/>
      <c r="B649" s="1009"/>
      <c r="C649" s="1010"/>
      <c r="D649" s="253"/>
      <c r="E649" s="1011"/>
      <c r="F649" s="262"/>
      <c r="G649" s="1011"/>
      <c r="H649" s="262"/>
      <c r="I649" s="1011"/>
      <c r="J649" s="262"/>
      <c r="K649" s="1011"/>
      <c r="L649" s="262"/>
      <c r="M649" s="1011"/>
      <c r="N649" s="262"/>
      <c r="O649" s="1011"/>
      <c r="P649" s="262"/>
      <c r="Q649" s="1011"/>
      <c r="R649" s="1012"/>
      <c r="S649" s="1011"/>
      <c r="T649" s="1012"/>
      <c r="U649" s="1010"/>
      <c r="V649" s="1012"/>
      <c r="W649" s="1010"/>
      <c r="X649" s="1012"/>
      <c r="Y649" s="1010"/>
      <c r="Z649" s="262"/>
      <c r="AA649" s="110"/>
      <c r="AB649" s="110"/>
      <c r="AC649" s="110"/>
      <c r="AD649" s="110"/>
      <c r="AE649" s="110"/>
      <c r="AF649" s="110"/>
      <c r="AG649" s="110"/>
      <c r="AH649" s="110"/>
      <c r="AI649" s="110"/>
      <c r="AJ649" s="110"/>
      <c r="AK649" s="110"/>
      <c r="AL649" s="110"/>
      <c r="AM649" s="110"/>
      <c r="AN649" s="110"/>
      <c r="AO649" s="110"/>
      <c r="AP649" s="110"/>
      <c r="AQ649" s="110"/>
      <c r="AR649" s="110"/>
      <c r="AS649" s="110"/>
      <c r="AT649" s="110"/>
      <c r="AU649" s="110"/>
    </row>
    <row r="650" spans="1:47" ht="12.75" hidden="1">
      <c r="A650" s="110"/>
      <c r="B650" s="1009"/>
      <c r="C650" s="1010"/>
      <c r="D650" s="253"/>
      <c r="E650" s="1011"/>
      <c r="F650" s="262"/>
      <c r="G650" s="1011"/>
      <c r="H650" s="262"/>
      <c r="I650" s="1011"/>
      <c r="J650" s="262"/>
      <c r="K650" s="1011"/>
      <c r="L650" s="262"/>
      <c r="M650" s="1011"/>
      <c r="N650" s="262"/>
      <c r="O650" s="1011"/>
      <c r="P650" s="262"/>
      <c r="Q650" s="1011"/>
      <c r="R650" s="1012"/>
      <c r="S650" s="1011"/>
      <c r="T650" s="1012"/>
      <c r="U650" s="1010"/>
      <c r="V650" s="1012"/>
      <c r="W650" s="1010"/>
      <c r="X650" s="1012"/>
      <c r="Y650" s="1010"/>
      <c r="Z650" s="262"/>
      <c r="AA650" s="110"/>
      <c r="AB650" s="110"/>
      <c r="AC650" s="110"/>
      <c r="AD650" s="110"/>
      <c r="AE650" s="110"/>
      <c r="AF650" s="110"/>
      <c r="AG650" s="110"/>
      <c r="AH650" s="110"/>
      <c r="AI650" s="110"/>
      <c r="AJ650" s="110"/>
      <c r="AK650" s="110"/>
      <c r="AL650" s="110"/>
      <c r="AM650" s="110"/>
      <c r="AN650" s="110"/>
      <c r="AO650" s="110"/>
      <c r="AP650" s="110"/>
      <c r="AQ650" s="110"/>
      <c r="AR650" s="110"/>
      <c r="AS650" s="110"/>
      <c r="AT650" s="110"/>
      <c r="AU650" s="110"/>
    </row>
    <row r="651" spans="1:47" ht="12.75" hidden="1">
      <c r="A651" s="110"/>
      <c r="B651" s="1009"/>
      <c r="C651" s="1010"/>
      <c r="D651" s="253"/>
      <c r="E651" s="1011"/>
      <c r="F651" s="262"/>
      <c r="G651" s="1011"/>
      <c r="H651" s="262"/>
      <c r="I651" s="1011"/>
      <c r="J651" s="262"/>
      <c r="K651" s="1011"/>
      <c r="L651" s="262"/>
      <c r="M651" s="1011"/>
      <c r="N651" s="262"/>
      <c r="O651" s="1011"/>
      <c r="P651" s="262"/>
      <c r="Q651" s="1011"/>
      <c r="R651" s="1012"/>
      <c r="S651" s="1011"/>
      <c r="T651" s="1012"/>
      <c r="U651" s="1010"/>
      <c r="V651" s="1012"/>
      <c r="W651" s="1010"/>
      <c r="X651" s="1012"/>
      <c r="Y651" s="1010"/>
      <c r="Z651" s="262"/>
      <c r="AA651" s="110"/>
      <c r="AB651" s="110"/>
      <c r="AC651" s="110"/>
      <c r="AD651" s="110"/>
      <c r="AE651" s="110"/>
      <c r="AF651" s="110"/>
      <c r="AG651" s="110"/>
      <c r="AH651" s="110"/>
      <c r="AI651" s="110"/>
      <c r="AJ651" s="110"/>
      <c r="AK651" s="110"/>
      <c r="AL651" s="110"/>
      <c r="AM651" s="110"/>
      <c r="AN651" s="110"/>
      <c r="AO651" s="110"/>
      <c r="AP651" s="110"/>
      <c r="AQ651" s="110"/>
      <c r="AR651" s="110"/>
      <c r="AS651" s="110"/>
      <c r="AT651" s="110"/>
      <c r="AU651" s="110"/>
    </row>
    <row r="652" spans="1:47" ht="12.75" hidden="1">
      <c r="A652" s="110"/>
      <c r="B652" s="1009"/>
      <c r="C652" s="1010"/>
      <c r="D652" s="253"/>
      <c r="E652" s="1011"/>
      <c r="F652" s="262"/>
      <c r="G652" s="1011"/>
      <c r="H652" s="262"/>
      <c r="I652" s="1011"/>
      <c r="J652" s="262"/>
      <c r="K652" s="1011"/>
      <c r="L652" s="262"/>
      <c r="M652" s="1011"/>
      <c r="N652" s="262"/>
      <c r="O652" s="1011"/>
      <c r="P652" s="262"/>
      <c r="Q652" s="1011"/>
      <c r="R652" s="1012"/>
      <c r="S652" s="1011"/>
      <c r="T652" s="1012"/>
      <c r="U652" s="1010"/>
      <c r="V652" s="1012"/>
      <c r="W652" s="1010"/>
      <c r="X652" s="1012"/>
      <c r="Y652" s="1010"/>
      <c r="Z652" s="262"/>
      <c r="AA652" s="110"/>
      <c r="AB652" s="110"/>
      <c r="AC652" s="110"/>
      <c r="AD652" s="110"/>
      <c r="AE652" s="110"/>
      <c r="AF652" s="110"/>
      <c r="AG652" s="110"/>
      <c r="AH652" s="110"/>
      <c r="AI652" s="110"/>
      <c r="AJ652" s="110"/>
      <c r="AK652" s="110"/>
      <c r="AL652" s="110"/>
      <c r="AM652" s="110"/>
      <c r="AN652" s="110"/>
      <c r="AO652" s="110"/>
      <c r="AP652" s="110"/>
      <c r="AQ652" s="110"/>
      <c r="AR652" s="110"/>
      <c r="AS652" s="110"/>
      <c r="AT652" s="110"/>
      <c r="AU652" s="110"/>
    </row>
    <row r="653" spans="1:47" ht="12.75" hidden="1">
      <c r="A653" s="110"/>
      <c r="B653" s="1009"/>
      <c r="C653" s="1010"/>
      <c r="D653" s="253"/>
      <c r="E653" s="1011"/>
      <c r="F653" s="262"/>
      <c r="G653" s="1011"/>
      <c r="H653" s="262"/>
      <c r="I653" s="1011"/>
      <c r="J653" s="262"/>
      <c r="K653" s="1011"/>
      <c r="L653" s="262"/>
      <c r="M653" s="1011"/>
      <c r="N653" s="262"/>
      <c r="O653" s="1011"/>
      <c r="P653" s="262"/>
      <c r="Q653" s="1011"/>
      <c r="R653" s="1012"/>
      <c r="S653" s="1011"/>
      <c r="T653" s="1012"/>
      <c r="U653" s="1010"/>
      <c r="V653" s="1012"/>
      <c r="W653" s="1010"/>
      <c r="X653" s="1012"/>
      <c r="Y653" s="1010"/>
      <c r="Z653" s="262"/>
      <c r="AA653" s="110"/>
      <c r="AB653" s="110"/>
      <c r="AC653" s="110"/>
      <c r="AD653" s="110"/>
      <c r="AE653" s="110"/>
      <c r="AF653" s="110"/>
      <c r="AG653" s="110"/>
      <c r="AH653" s="110"/>
      <c r="AI653" s="110"/>
      <c r="AJ653" s="110"/>
      <c r="AK653" s="110"/>
      <c r="AL653" s="110"/>
      <c r="AM653" s="110"/>
      <c r="AN653" s="110"/>
      <c r="AO653" s="110"/>
      <c r="AP653" s="110"/>
      <c r="AQ653" s="110"/>
      <c r="AR653" s="110"/>
      <c r="AS653" s="110"/>
      <c r="AT653" s="110"/>
      <c r="AU653" s="110"/>
    </row>
    <row r="654" spans="1:47" ht="12.75" hidden="1">
      <c r="A654" s="110"/>
      <c r="B654" s="1009"/>
      <c r="C654" s="1010"/>
      <c r="D654" s="253"/>
      <c r="E654" s="1011"/>
      <c r="F654" s="262"/>
      <c r="G654" s="1011"/>
      <c r="H654" s="262"/>
      <c r="I654" s="1011"/>
      <c r="J654" s="262"/>
      <c r="K654" s="1011"/>
      <c r="L654" s="262"/>
      <c r="M654" s="1011"/>
      <c r="N654" s="262"/>
      <c r="O654" s="1011"/>
      <c r="P654" s="262"/>
      <c r="Q654" s="1011"/>
      <c r="R654" s="1012"/>
      <c r="S654" s="1011"/>
      <c r="T654" s="1012"/>
      <c r="U654" s="1010"/>
      <c r="V654" s="1012"/>
      <c r="W654" s="1010"/>
      <c r="X654" s="1012"/>
      <c r="Y654" s="1010"/>
      <c r="Z654" s="262"/>
      <c r="AA654" s="110"/>
      <c r="AB654" s="110"/>
      <c r="AC654" s="110"/>
      <c r="AD654" s="110"/>
      <c r="AE654" s="110"/>
      <c r="AF654" s="110"/>
      <c r="AG654" s="110"/>
      <c r="AH654" s="110"/>
      <c r="AI654" s="110"/>
      <c r="AJ654" s="110"/>
      <c r="AK654" s="110"/>
      <c r="AL654" s="110"/>
      <c r="AM654" s="110"/>
      <c r="AN654" s="110"/>
      <c r="AO654" s="110"/>
      <c r="AP654" s="110"/>
      <c r="AQ654" s="110"/>
      <c r="AR654" s="110"/>
      <c r="AS654" s="110"/>
      <c r="AT654" s="110"/>
      <c r="AU654" s="110"/>
    </row>
    <row r="655" spans="1:47" ht="12.75" hidden="1">
      <c r="A655" s="110"/>
      <c r="B655" s="1009"/>
      <c r="C655" s="1010"/>
      <c r="D655" s="253"/>
      <c r="E655" s="1011"/>
      <c r="F655" s="262"/>
      <c r="G655" s="1011"/>
      <c r="H655" s="262"/>
      <c r="I655" s="1011"/>
      <c r="J655" s="262"/>
      <c r="K655" s="1011"/>
      <c r="L655" s="262"/>
      <c r="M655" s="1011"/>
      <c r="N655" s="262"/>
      <c r="O655" s="1011"/>
      <c r="P655" s="262"/>
      <c r="Q655" s="1011"/>
      <c r="R655" s="1012"/>
      <c r="S655" s="1011"/>
      <c r="T655" s="1012"/>
      <c r="U655" s="1010"/>
      <c r="V655" s="1012"/>
      <c r="W655" s="1010"/>
      <c r="X655" s="1012"/>
      <c r="Y655" s="1010"/>
      <c r="Z655" s="262"/>
      <c r="AA655" s="110"/>
      <c r="AB655" s="110"/>
      <c r="AC655" s="110"/>
      <c r="AD655" s="110"/>
      <c r="AE655" s="110"/>
      <c r="AF655" s="110"/>
      <c r="AG655" s="110"/>
      <c r="AH655" s="110"/>
      <c r="AI655" s="110"/>
      <c r="AJ655" s="110"/>
      <c r="AK655" s="110"/>
      <c r="AL655" s="110"/>
      <c r="AM655" s="110"/>
      <c r="AN655" s="110"/>
      <c r="AO655" s="110"/>
      <c r="AP655" s="110"/>
      <c r="AQ655" s="110"/>
      <c r="AR655" s="110"/>
      <c r="AS655" s="110"/>
      <c r="AT655" s="110"/>
      <c r="AU655" s="110"/>
    </row>
    <row r="656" spans="1:47" ht="12.75" hidden="1">
      <c r="A656" s="110"/>
      <c r="B656" s="1009"/>
      <c r="C656" s="1010"/>
      <c r="D656" s="253"/>
      <c r="E656" s="1011"/>
      <c r="F656" s="262"/>
      <c r="G656" s="1011"/>
      <c r="H656" s="262"/>
      <c r="I656" s="1011"/>
      <c r="J656" s="262"/>
      <c r="K656" s="1011"/>
      <c r="L656" s="262"/>
      <c r="M656" s="1011"/>
      <c r="N656" s="262"/>
      <c r="O656" s="1011"/>
      <c r="P656" s="262"/>
      <c r="Q656" s="1011"/>
      <c r="R656" s="1012"/>
      <c r="S656" s="1011"/>
      <c r="T656" s="1012"/>
      <c r="U656" s="1010"/>
      <c r="V656" s="1012"/>
      <c r="W656" s="1010"/>
      <c r="X656" s="1012"/>
      <c r="Y656" s="1010"/>
      <c r="Z656" s="262"/>
      <c r="AA656" s="110"/>
      <c r="AB656" s="110"/>
      <c r="AC656" s="110"/>
      <c r="AD656" s="110"/>
      <c r="AE656" s="110"/>
      <c r="AF656" s="110"/>
      <c r="AG656" s="110"/>
      <c r="AH656" s="110"/>
      <c r="AI656" s="110"/>
      <c r="AJ656" s="110"/>
      <c r="AK656" s="110"/>
      <c r="AL656" s="110"/>
      <c r="AM656" s="110"/>
      <c r="AN656" s="110"/>
      <c r="AO656" s="110"/>
      <c r="AP656" s="110"/>
      <c r="AQ656" s="110"/>
      <c r="AR656" s="110"/>
      <c r="AS656" s="110"/>
      <c r="AT656" s="110"/>
      <c r="AU656" s="110"/>
    </row>
    <row r="657" spans="1:47" ht="12.75" hidden="1">
      <c r="A657" s="110"/>
      <c r="B657" s="1009"/>
      <c r="C657" s="1010"/>
      <c r="D657" s="253"/>
      <c r="E657" s="1011"/>
      <c r="F657" s="262"/>
      <c r="G657" s="1011"/>
      <c r="H657" s="262"/>
      <c r="I657" s="1011"/>
      <c r="J657" s="262"/>
      <c r="K657" s="1011"/>
      <c r="L657" s="262"/>
      <c r="M657" s="1011"/>
      <c r="N657" s="262"/>
      <c r="O657" s="1011"/>
      <c r="P657" s="262"/>
      <c r="Q657" s="1011"/>
      <c r="R657" s="1012"/>
      <c r="S657" s="1011"/>
      <c r="T657" s="1012"/>
      <c r="U657" s="1010"/>
      <c r="V657" s="1012"/>
      <c r="W657" s="1010"/>
      <c r="X657" s="1012"/>
      <c r="Y657" s="1010"/>
      <c r="Z657" s="262"/>
      <c r="AA657" s="110"/>
      <c r="AB657" s="110"/>
      <c r="AC657" s="110"/>
      <c r="AD657" s="110"/>
      <c r="AE657" s="110"/>
      <c r="AF657" s="110"/>
      <c r="AG657" s="110"/>
      <c r="AH657" s="110"/>
      <c r="AI657" s="110"/>
      <c r="AJ657" s="110"/>
      <c r="AK657" s="110"/>
      <c r="AL657" s="110"/>
      <c r="AM657" s="110"/>
      <c r="AN657" s="110"/>
      <c r="AO657" s="110"/>
      <c r="AP657" s="110"/>
      <c r="AQ657" s="110"/>
      <c r="AR657" s="110"/>
      <c r="AS657" s="110"/>
      <c r="AT657" s="110"/>
      <c r="AU657" s="110"/>
    </row>
    <row r="658" spans="1:47" ht="12.75" hidden="1">
      <c r="A658" s="110"/>
      <c r="B658" s="1009"/>
      <c r="C658" s="1010"/>
      <c r="D658" s="253"/>
      <c r="E658" s="1011"/>
      <c r="F658" s="262"/>
      <c r="G658" s="1011"/>
      <c r="H658" s="262"/>
      <c r="I658" s="1011"/>
      <c r="J658" s="262"/>
      <c r="K658" s="1011"/>
      <c r="L658" s="262"/>
      <c r="M658" s="1011"/>
      <c r="N658" s="262"/>
      <c r="O658" s="1011"/>
      <c r="P658" s="262"/>
      <c r="Q658" s="1011"/>
      <c r="R658" s="1012"/>
      <c r="S658" s="1011"/>
      <c r="T658" s="1012"/>
      <c r="U658" s="1010"/>
      <c r="V658" s="1012"/>
      <c r="W658" s="1010"/>
      <c r="X658" s="1012"/>
      <c r="Y658" s="1010"/>
      <c r="Z658" s="262"/>
      <c r="AA658" s="110"/>
      <c r="AB658" s="110"/>
      <c r="AC658" s="110"/>
      <c r="AD658" s="110"/>
      <c r="AE658" s="110"/>
      <c r="AF658" s="110"/>
      <c r="AG658" s="110"/>
      <c r="AH658" s="110"/>
      <c r="AI658" s="110"/>
      <c r="AJ658" s="110"/>
      <c r="AK658" s="110"/>
      <c r="AL658" s="110"/>
      <c r="AM658" s="110"/>
      <c r="AN658" s="110"/>
      <c r="AO658" s="110"/>
      <c r="AP658" s="110"/>
      <c r="AQ658" s="110"/>
      <c r="AR658" s="110"/>
      <c r="AS658" s="110"/>
      <c r="AT658" s="110"/>
      <c r="AU658" s="110"/>
    </row>
    <row r="659" spans="1:47" ht="12.75" hidden="1">
      <c r="A659" s="110"/>
      <c r="B659" s="1009"/>
      <c r="C659" s="1010"/>
      <c r="D659" s="253"/>
      <c r="E659" s="1011"/>
      <c r="F659" s="262"/>
      <c r="G659" s="1011"/>
      <c r="H659" s="262"/>
      <c r="I659" s="1011"/>
      <c r="J659" s="262"/>
      <c r="K659" s="1011"/>
      <c r="L659" s="262"/>
      <c r="M659" s="1011"/>
      <c r="N659" s="262"/>
      <c r="O659" s="1011"/>
      <c r="P659" s="262"/>
      <c r="Q659" s="1011"/>
      <c r="R659" s="1012"/>
      <c r="S659" s="1011"/>
      <c r="T659" s="1012"/>
      <c r="U659" s="1010"/>
      <c r="V659" s="1012"/>
      <c r="W659" s="1010"/>
      <c r="X659" s="1012"/>
      <c r="Y659" s="1010"/>
      <c r="Z659" s="262"/>
      <c r="AA659" s="110"/>
      <c r="AB659" s="110"/>
      <c r="AC659" s="110"/>
      <c r="AD659" s="110"/>
      <c r="AE659" s="110"/>
      <c r="AF659" s="110"/>
      <c r="AG659" s="110"/>
      <c r="AH659" s="110"/>
      <c r="AI659" s="110"/>
      <c r="AJ659" s="110"/>
      <c r="AK659" s="110"/>
      <c r="AL659" s="110"/>
      <c r="AM659" s="110"/>
      <c r="AN659" s="110"/>
      <c r="AO659" s="110"/>
      <c r="AP659" s="110"/>
      <c r="AQ659" s="110"/>
      <c r="AR659" s="110"/>
      <c r="AS659" s="110"/>
      <c r="AT659" s="110"/>
      <c r="AU659" s="110"/>
    </row>
    <row r="660" spans="1:47" ht="12.75" hidden="1">
      <c r="A660" s="110"/>
      <c r="B660" s="1009"/>
      <c r="C660" s="1010"/>
      <c r="D660" s="253"/>
      <c r="E660" s="1011"/>
      <c r="F660" s="262"/>
      <c r="G660" s="1011"/>
      <c r="H660" s="262"/>
      <c r="I660" s="1011"/>
      <c r="J660" s="262"/>
      <c r="K660" s="1011"/>
      <c r="L660" s="262"/>
      <c r="M660" s="1011"/>
      <c r="N660" s="262"/>
      <c r="O660" s="1011"/>
      <c r="P660" s="262"/>
      <c r="Q660" s="1011"/>
      <c r="R660" s="1012"/>
      <c r="S660" s="1011"/>
      <c r="T660" s="1012"/>
      <c r="U660" s="1010"/>
      <c r="V660" s="1012"/>
      <c r="W660" s="1010"/>
      <c r="X660" s="1012"/>
      <c r="Y660" s="1010"/>
      <c r="Z660" s="262"/>
      <c r="AA660" s="110"/>
      <c r="AB660" s="110"/>
      <c r="AC660" s="110"/>
      <c r="AD660" s="110"/>
      <c r="AE660" s="110"/>
      <c r="AF660" s="110"/>
      <c r="AG660" s="110"/>
      <c r="AH660" s="110"/>
      <c r="AI660" s="110"/>
      <c r="AJ660" s="110"/>
      <c r="AK660" s="110"/>
      <c r="AL660" s="110"/>
      <c r="AM660" s="110"/>
      <c r="AN660" s="110"/>
      <c r="AO660" s="110"/>
      <c r="AP660" s="110"/>
      <c r="AQ660" s="110"/>
      <c r="AR660" s="110"/>
      <c r="AS660" s="110"/>
      <c r="AT660" s="110"/>
      <c r="AU660" s="110"/>
    </row>
    <row r="661" spans="1:47" ht="12.75" hidden="1">
      <c r="A661" s="110"/>
      <c r="B661" s="1009"/>
      <c r="C661" s="1010"/>
      <c r="D661" s="253"/>
      <c r="E661" s="1011"/>
      <c r="F661" s="262"/>
      <c r="G661" s="1011"/>
      <c r="H661" s="262"/>
      <c r="I661" s="1011"/>
      <c r="J661" s="262"/>
      <c r="K661" s="1011"/>
      <c r="L661" s="262"/>
      <c r="M661" s="1011"/>
      <c r="N661" s="262"/>
      <c r="O661" s="1011"/>
      <c r="P661" s="262"/>
      <c r="Q661" s="1011"/>
      <c r="R661" s="1012"/>
      <c r="S661" s="1011"/>
      <c r="T661" s="1012"/>
      <c r="U661" s="1010"/>
      <c r="V661" s="1012"/>
      <c r="W661" s="1010"/>
      <c r="X661" s="1012"/>
      <c r="Y661" s="1010"/>
      <c r="Z661" s="262"/>
      <c r="AA661" s="110"/>
      <c r="AB661" s="110"/>
      <c r="AC661" s="110"/>
      <c r="AD661" s="110"/>
      <c r="AE661" s="110"/>
      <c r="AF661" s="110"/>
      <c r="AG661" s="110"/>
      <c r="AH661" s="110"/>
      <c r="AI661" s="110"/>
      <c r="AJ661" s="110"/>
      <c r="AK661" s="110"/>
      <c r="AL661" s="110"/>
      <c r="AM661" s="110"/>
      <c r="AN661" s="110"/>
      <c r="AO661" s="110"/>
      <c r="AP661" s="110"/>
      <c r="AQ661" s="110"/>
      <c r="AR661" s="110"/>
      <c r="AS661" s="110"/>
      <c r="AT661" s="110"/>
      <c r="AU661" s="110"/>
    </row>
    <row r="662" spans="1:47" ht="12.75" hidden="1">
      <c r="A662" s="110"/>
      <c r="B662" s="1009"/>
      <c r="C662" s="1010"/>
      <c r="D662" s="253"/>
      <c r="E662" s="1011"/>
      <c r="F662" s="262"/>
      <c r="G662" s="1011"/>
      <c r="H662" s="262"/>
      <c r="I662" s="1011"/>
      <c r="J662" s="262"/>
      <c r="K662" s="1011"/>
      <c r="L662" s="262"/>
      <c r="M662" s="1011"/>
      <c r="N662" s="262"/>
      <c r="O662" s="1011"/>
      <c r="P662" s="262"/>
      <c r="Q662" s="1011"/>
      <c r="R662" s="1012"/>
      <c r="S662" s="1011"/>
      <c r="T662" s="1012"/>
      <c r="U662" s="1010"/>
      <c r="V662" s="1012"/>
      <c r="W662" s="1010"/>
      <c r="X662" s="1012"/>
      <c r="Y662" s="1010"/>
      <c r="Z662" s="262"/>
      <c r="AA662" s="110"/>
      <c r="AB662" s="110"/>
      <c r="AC662" s="110"/>
      <c r="AD662" s="110"/>
      <c r="AE662" s="110"/>
      <c r="AF662" s="110"/>
      <c r="AG662" s="110"/>
      <c r="AH662" s="110"/>
      <c r="AI662" s="110"/>
      <c r="AJ662" s="110"/>
      <c r="AK662" s="110"/>
      <c r="AL662" s="110"/>
      <c r="AM662" s="110"/>
      <c r="AN662" s="110"/>
      <c r="AO662" s="110"/>
      <c r="AP662" s="110"/>
      <c r="AQ662" s="110"/>
      <c r="AR662" s="110"/>
      <c r="AS662" s="110"/>
      <c r="AT662" s="110"/>
      <c r="AU662" s="110"/>
    </row>
    <row r="663" spans="1:47" ht="12.75" hidden="1">
      <c r="A663" s="110"/>
      <c r="B663" s="1009"/>
      <c r="C663" s="1010"/>
      <c r="D663" s="253"/>
      <c r="E663" s="1011"/>
      <c r="F663" s="262"/>
      <c r="G663" s="1011"/>
      <c r="H663" s="262"/>
      <c r="I663" s="1011"/>
      <c r="J663" s="262"/>
      <c r="K663" s="1011"/>
      <c r="L663" s="262"/>
      <c r="M663" s="1011"/>
      <c r="N663" s="262"/>
      <c r="O663" s="1011"/>
      <c r="P663" s="262"/>
      <c r="Q663" s="1011"/>
      <c r="R663" s="1012"/>
      <c r="S663" s="1011"/>
      <c r="T663" s="1012"/>
      <c r="U663" s="1010"/>
      <c r="V663" s="1012"/>
      <c r="W663" s="1010"/>
      <c r="X663" s="1012"/>
      <c r="Y663" s="1010"/>
      <c r="Z663" s="262"/>
      <c r="AA663" s="110"/>
      <c r="AB663" s="110"/>
      <c r="AC663" s="110"/>
      <c r="AD663" s="110"/>
      <c r="AE663" s="110"/>
      <c r="AF663" s="110"/>
      <c r="AG663" s="110"/>
      <c r="AH663" s="110"/>
      <c r="AI663" s="110"/>
      <c r="AJ663" s="110"/>
      <c r="AK663" s="110"/>
      <c r="AL663" s="110"/>
      <c r="AM663" s="110"/>
      <c r="AN663" s="110"/>
      <c r="AO663" s="110"/>
      <c r="AP663" s="110"/>
      <c r="AQ663" s="110"/>
      <c r="AR663" s="110"/>
      <c r="AS663" s="110"/>
      <c r="AT663" s="110"/>
      <c r="AU663" s="110"/>
    </row>
    <row r="664" spans="1:47" ht="12.75" hidden="1">
      <c r="A664" s="110"/>
      <c r="B664" s="1009"/>
      <c r="C664" s="1010"/>
      <c r="D664" s="253"/>
      <c r="E664" s="1011"/>
      <c r="F664" s="262"/>
      <c r="G664" s="1011"/>
      <c r="H664" s="262"/>
      <c r="I664" s="1011"/>
      <c r="J664" s="262"/>
      <c r="K664" s="1011"/>
      <c r="L664" s="262"/>
      <c r="M664" s="1011"/>
      <c r="N664" s="262"/>
      <c r="O664" s="1011"/>
      <c r="P664" s="262"/>
      <c r="Q664" s="1011"/>
      <c r="R664" s="1012"/>
      <c r="S664" s="1011"/>
      <c r="T664" s="1012"/>
      <c r="U664" s="1010"/>
      <c r="V664" s="1012"/>
      <c r="W664" s="1010"/>
      <c r="X664" s="1012"/>
      <c r="Y664" s="1010"/>
      <c r="Z664" s="262"/>
      <c r="AA664" s="110"/>
      <c r="AB664" s="110"/>
      <c r="AC664" s="110"/>
      <c r="AD664" s="110"/>
      <c r="AE664" s="110"/>
      <c r="AF664" s="110"/>
      <c r="AG664" s="110"/>
      <c r="AH664" s="110"/>
      <c r="AI664" s="110"/>
      <c r="AJ664" s="110"/>
      <c r="AK664" s="110"/>
      <c r="AL664" s="110"/>
      <c r="AM664" s="110"/>
      <c r="AN664" s="110"/>
      <c r="AO664" s="110"/>
      <c r="AP664" s="110"/>
      <c r="AQ664" s="110"/>
      <c r="AR664" s="110"/>
      <c r="AS664" s="110"/>
      <c r="AT664" s="110"/>
      <c r="AU664" s="110"/>
    </row>
    <row r="665" spans="1:47" ht="12.75" hidden="1">
      <c r="A665" s="110"/>
      <c r="B665" s="1009"/>
      <c r="C665" s="1010"/>
      <c r="D665" s="253"/>
      <c r="E665" s="1011"/>
      <c r="F665" s="262"/>
      <c r="G665" s="1011"/>
      <c r="H665" s="262"/>
      <c r="I665" s="1011"/>
      <c r="J665" s="262"/>
      <c r="K665" s="1011"/>
      <c r="L665" s="262"/>
      <c r="M665" s="1011"/>
      <c r="N665" s="262"/>
      <c r="O665" s="1011"/>
      <c r="P665" s="262"/>
      <c r="Q665" s="1011"/>
      <c r="R665" s="1012"/>
      <c r="S665" s="1011"/>
      <c r="T665" s="1012"/>
      <c r="U665" s="1010"/>
      <c r="V665" s="1012"/>
      <c r="W665" s="1010"/>
      <c r="X665" s="1012"/>
      <c r="Y665" s="1010"/>
      <c r="Z665" s="262"/>
      <c r="AA665" s="110"/>
      <c r="AB665" s="110"/>
      <c r="AC665" s="110"/>
      <c r="AD665" s="110"/>
      <c r="AE665" s="110"/>
      <c r="AF665" s="110"/>
      <c r="AG665" s="110"/>
      <c r="AH665" s="110"/>
      <c r="AI665" s="110"/>
      <c r="AJ665" s="110"/>
      <c r="AK665" s="110"/>
      <c r="AL665" s="110"/>
      <c r="AM665" s="110"/>
      <c r="AN665" s="110"/>
      <c r="AO665" s="110"/>
      <c r="AP665" s="110"/>
      <c r="AQ665" s="110"/>
      <c r="AR665" s="110"/>
      <c r="AS665" s="110"/>
      <c r="AT665" s="110"/>
      <c r="AU665" s="110"/>
    </row>
    <row r="666" spans="1:47" ht="12.75" hidden="1">
      <c r="A666" s="110"/>
      <c r="B666" s="1009"/>
      <c r="C666" s="1010"/>
      <c r="D666" s="253"/>
      <c r="E666" s="1011"/>
      <c r="F666" s="262"/>
      <c r="G666" s="1011"/>
      <c r="H666" s="262"/>
      <c r="I666" s="1011"/>
      <c r="J666" s="262"/>
      <c r="K666" s="1011"/>
      <c r="L666" s="262"/>
      <c r="M666" s="1011"/>
      <c r="N666" s="262"/>
      <c r="O666" s="1011"/>
      <c r="P666" s="262"/>
      <c r="Q666" s="1011"/>
      <c r="R666" s="1012"/>
      <c r="S666" s="1011"/>
      <c r="T666" s="1012"/>
      <c r="U666" s="1010"/>
      <c r="V666" s="1012"/>
      <c r="W666" s="1010"/>
      <c r="X666" s="1012"/>
      <c r="Y666" s="1010"/>
      <c r="Z666" s="262"/>
      <c r="AA666" s="110"/>
      <c r="AB666" s="110"/>
      <c r="AC666" s="110"/>
      <c r="AD666" s="110"/>
      <c r="AE666" s="110"/>
      <c r="AF666" s="110"/>
      <c r="AG666" s="110"/>
      <c r="AH666" s="110"/>
      <c r="AI666" s="110"/>
      <c r="AJ666" s="110"/>
      <c r="AK666" s="110"/>
      <c r="AL666" s="110"/>
      <c r="AM666" s="110"/>
      <c r="AN666" s="110"/>
      <c r="AO666" s="110"/>
      <c r="AP666" s="110"/>
      <c r="AQ666" s="110"/>
      <c r="AR666" s="110"/>
      <c r="AS666" s="110"/>
      <c r="AT666" s="110"/>
      <c r="AU666" s="110"/>
    </row>
    <row r="667" spans="1:47" ht="12.75" hidden="1">
      <c r="A667" s="110"/>
      <c r="B667" s="1009"/>
      <c r="C667" s="1010"/>
      <c r="D667" s="253"/>
      <c r="E667" s="1011"/>
      <c r="F667" s="262"/>
      <c r="G667" s="1011"/>
      <c r="H667" s="262"/>
      <c r="I667" s="1011"/>
      <c r="J667" s="262"/>
      <c r="K667" s="1011"/>
      <c r="L667" s="262"/>
      <c r="M667" s="1011"/>
      <c r="N667" s="262"/>
      <c r="O667" s="1011"/>
      <c r="P667" s="262"/>
      <c r="Q667" s="1011"/>
      <c r="R667" s="1012"/>
      <c r="S667" s="1011"/>
      <c r="T667" s="1012"/>
      <c r="U667" s="1010"/>
      <c r="V667" s="1012"/>
      <c r="W667" s="1010"/>
      <c r="X667" s="1012"/>
      <c r="Y667" s="1010"/>
      <c r="Z667" s="262"/>
      <c r="AA667" s="110"/>
      <c r="AB667" s="110"/>
      <c r="AC667" s="110"/>
      <c r="AD667" s="110"/>
      <c r="AE667" s="110"/>
      <c r="AF667" s="110"/>
      <c r="AG667" s="110"/>
      <c r="AH667" s="110"/>
      <c r="AI667" s="110"/>
      <c r="AJ667" s="110"/>
      <c r="AK667" s="110"/>
      <c r="AL667" s="110"/>
      <c r="AM667" s="110"/>
      <c r="AN667" s="110"/>
      <c r="AO667" s="110"/>
      <c r="AP667" s="110"/>
      <c r="AQ667" s="110"/>
      <c r="AR667" s="110"/>
      <c r="AS667" s="110"/>
      <c r="AT667" s="110"/>
      <c r="AU667" s="110"/>
    </row>
    <row r="668" spans="1:47" ht="12.75" hidden="1">
      <c r="A668" s="110"/>
      <c r="B668" s="1009"/>
      <c r="C668" s="1010"/>
      <c r="D668" s="253"/>
      <c r="E668" s="1011"/>
      <c r="F668" s="262"/>
      <c r="G668" s="1011"/>
      <c r="H668" s="262"/>
      <c r="I668" s="1011"/>
      <c r="J668" s="262"/>
      <c r="K668" s="1011"/>
      <c r="L668" s="262"/>
      <c r="M668" s="1011"/>
      <c r="N668" s="262"/>
      <c r="O668" s="1011"/>
      <c r="P668" s="262"/>
      <c r="Q668" s="1011"/>
      <c r="R668" s="1012"/>
      <c r="S668" s="1011"/>
      <c r="T668" s="1012"/>
      <c r="U668" s="1010"/>
      <c r="V668" s="1012"/>
      <c r="W668" s="1010"/>
      <c r="X668" s="1012"/>
      <c r="Y668" s="1010"/>
      <c r="Z668" s="262"/>
      <c r="AA668" s="110"/>
      <c r="AB668" s="110"/>
      <c r="AC668" s="110"/>
      <c r="AD668" s="110"/>
      <c r="AE668" s="110"/>
      <c r="AF668" s="110"/>
      <c r="AG668" s="110"/>
      <c r="AH668" s="110"/>
      <c r="AI668" s="110"/>
      <c r="AJ668" s="110"/>
      <c r="AK668" s="110"/>
      <c r="AL668" s="110"/>
      <c r="AM668" s="110"/>
      <c r="AN668" s="110"/>
      <c r="AO668" s="110"/>
      <c r="AP668" s="110"/>
      <c r="AQ668" s="110"/>
      <c r="AR668" s="110"/>
      <c r="AS668" s="110"/>
      <c r="AT668" s="110"/>
      <c r="AU668" s="110"/>
    </row>
    <row r="669" spans="1:47" ht="12.75" hidden="1">
      <c r="A669" s="110"/>
      <c r="B669" s="1009"/>
      <c r="C669" s="1010"/>
      <c r="D669" s="253"/>
      <c r="E669" s="1011"/>
      <c r="F669" s="262"/>
      <c r="G669" s="1011"/>
      <c r="H669" s="262"/>
      <c r="I669" s="1011"/>
      <c r="J669" s="262"/>
      <c r="K669" s="1011"/>
      <c r="L669" s="262"/>
      <c r="M669" s="1011"/>
      <c r="N669" s="262"/>
      <c r="O669" s="1011"/>
      <c r="P669" s="262"/>
      <c r="Q669" s="1011"/>
      <c r="R669" s="1012"/>
      <c r="S669" s="1011"/>
      <c r="T669" s="1012"/>
      <c r="U669" s="1010"/>
      <c r="V669" s="1012"/>
      <c r="W669" s="1010"/>
      <c r="X669" s="1012"/>
      <c r="Y669" s="1010"/>
      <c r="Z669" s="262"/>
      <c r="AA669" s="110"/>
      <c r="AB669" s="110"/>
      <c r="AC669" s="110"/>
      <c r="AD669" s="110"/>
      <c r="AE669" s="110"/>
      <c r="AF669" s="110"/>
      <c r="AG669" s="110"/>
      <c r="AH669" s="110"/>
      <c r="AI669" s="110"/>
      <c r="AJ669" s="110"/>
      <c r="AK669" s="110"/>
      <c r="AL669" s="110"/>
      <c r="AM669" s="110"/>
      <c r="AN669" s="110"/>
      <c r="AO669" s="110"/>
      <c r="AP669" s="110"/>
      <c r="AQ669" s="110"/>
      <c r="AR669" s="110"/>
      <c r="AS669" s="110"/>
      <c r="AT669" s="110"/>
      <c r="AU669" s="110"/>
    </row>
    <row r="670" spans="1:47" ht="12.75" hidden="1">
      <c r="A670" s="110"/>
      <c r="B670" s="1009"/>
      <c r="C670" s="1010"/>
      <c r="D670" s="253"/>
      <c r="E670" s="1011"/>
      <c r="F670" s="262"/>
      <c r="G670" s="1011"/>
      <c r="H670" s="262"/>
      <c r="I670" s="1011"/>
      <c r="J670" s="262"/>
      <c r="K670" s="1011"/>
      <c r="L670" s="262"/>
      <c r="M670" s="1011"/>
      <c r="N670" s="262"/>
      <c r="O670" s="1011"/>
      <c r="P670" s="262"/>
      <c r="Q670" s="1011"/>
      <c r="R670" s="1012"/>
      <c r="S670" s="1011"/>
      <c r="T670" s="1012"/>
      <c r="U670" s="1010"/>
      <c r="V670" s="1012"/>
      <c r="W670" s="1010"/>
      <c r="X670" s="1012"/>
      <c r="Y670" s="1010"/>
      <c r="Z670" s="262"/>
      <c r="AA670" s="110"/>
      <c r="AB670" s="110"/>
      <c r="AC670" s="110"/>
      <c r="AD670" s="110"/>
      <c r="AE670" s="110"/>
      <c r="AF670" s="110"/>
      <c r="AG670" s="110"/>
      <c r="AH670" s="110"/>
      <c r="AI670" s="110"/>
      <c r="AJ670" s="110"/>
      <c r="AK670" s="110"/>
      <c r="AL670" s="110"/>
      <c r="AM670" s="110"/>
      <c r="AN670" s="110"/>
      <c r="AO670" s="110"/>
      <c r="AP670" s="110"/>
      <c r="AQ670" s="110"/>
      <c r="AR670" s="110"/>
      <c r="AS670" s="110"/>
      <c r="AT670" s="110"/>
      <c r="AU670" s="110"/>
    </row>
    <row r="671" spans="1:47" ht="12.75" hidden="1">
      <c r="A671" s="110"/>
      <c r="B671" s="1009"/>
      <c r="C671" s="1010"/>
      <c r="D671" s="253"/>
      <c r="E671" s="1011"/>
      <c r="F671" s="262"/>
      <c r="G671" s="1011"/>
      <c r="H671" s="262"/>
      <c r="I671" s="1011"/>
      <c r="J671" s="262"/>
      <c r="K671" s="1011"/>
      <c r="L671" s="262"/>
      <c r="M671" s="1011"/>
      <c r="N671" s="262"/>
      <c r="O671" s="1011"/>
      <c r="P671" s="262"/>
      <c r="Q671" s="1011"/>
      <c r="R671" s="1012"/>
      <c r="S671" s="1011"/>
      <c r="T671" s="1012"/>
      <c r="U671" s="1010"/>
      <c r="V671" s="1012"/>
      <c r="W671" s="1010"/>
      <c r="X671" s="1012"/>
      <c r="Y671" s="1010"/>
      <c r="Z671" s="262"/>
      <c r="AA671" s="110"/>
      <c r="AB671" s="110"/>
      <c r="AC671" s="110"/>
      <c r="AD671" s="110"/>
      <c r="AE671" s="110"/>
      <c r="AF671" s="110"/>
      <c r="AG671" s="110"/>
      <c r="AH671" s="110"/>
      <c r="AI671" s="110"/>
      <c r="AJ671" s="110"/>
      <c r="AK671" s="110"/>
      <c r="AL671" s="110"/>
      <c r="AM671" s="110"/>
      <c r="AN671" s="110"/>
      <c r="AO671" s="110"/>
      <c r="AP671" s="110"/>
      <c r="AQ671" s="110"/>
      <c r="AR671" s="110"/>
      <c r="AS671" s="110"/>
      <c r="AT671" s="110"/>
      <c r="AU671" s="110"/>
    </row>
    <row r="672" spans="1:47" ht="12.75" hidden="1">
      <c r="A672" s="110"/>
      <c r="B672" s="1009"/>
      <c r="C672" s="1010"/>
      <c r="D672" s="253"/>
      <c r="E672" s="1011"/>
      <c r="F672" s="262"/>
      <c r="G672" s="1011"/>
      <c r="H672" s="262"/>
      <c r="I672" s="1011"/>
      <c r="J672" s="262"/>
      <c r="K672" s="1011"/>
      <c r="L672" s="262"/>
      <c r="M672" s="1011"/>
      <c r="N672" s="262"/>
      <c r="O672" s="1011"/>
      <c r="P672" s="262"/>
      <c r="Q672" s="1011"/>
      <c r="R672" s="1012"/>
      <c r="S672" s="1011"/>
      <c r="T672" s="1012"/>
      <c r="U672" s="1010"/>
      <c r="V672" s="1012"/>
      <c r="W672" s="1010"/>
      <c r="X672" s="1012"/>
      <c r="Y672" s="1010"/>
      <c r="Z672" s="262"/>
      <c r="AA672" s="110"/>
      <c r="AB672" s="110"/>
      <c r="AC672" s="110"/>
      <c r="AD672" s="110"/>
      <c r="AE672" s="110"/>
      <c r="AF672" s="110"/>
      <c r="AG672" s="110"/>
      <c r="AH672" s="110"/>
      <c r="AI672" s="110"/>
      <c r="AJ672" s="110"/>
      <c r="AK672" s="110"/>
      <c r="AL672" s="110"/>
      <c r="AM672" s="110"/>
      <c r="AN672" s="110"/>
      <c r="AO672" s="110"/>
      <c r="AP672" s="110"/>
      <c r="AQ672" s="110"/>
      <c r="AR672" s="110"/>
      <c r="AS672" s="110"/>
      <c r="AT672" s="110"/>
      <c r="AU672" s="110"/>
    </row>
    <row r="673" spans="1:47" ht="12.75" hidden="1">
      <c r="A673" s="110"/>
      <c r="B673" s="1009"/>
      <c r="C673" s="1010"/>
      <c r="D673" s="253"/>
      <c r="E673" s="1011"/>
      <c r="F673" s="262"/>
      <c r="G673" s="1011"/>
      <c r="H673" s="262"/>
      <c r="I673" s="1011"/>
      <c r="J673" s="262"/>
      <c r="K673" s="1011"/>
      <c r="L673" s="262"/>
      <c r="M673" s="1011"/>
      <c r="N673" s="262"/>
      <c r="O673" s="1011"/>
      <c r="P673" s="262"/>
      <c r="Q673" s="1011"/>
      <c r="R673" s="1012"/>
      <c r="S673" s="1011"/>
      <c r="T673" s="1012"/>
      <c r="U673" s="1010"/>
      <c r="V673" s="1012"/>
      <c r="W673" s="1010"/>
      <c r="X673" s="1012"/>
      <c r="Y673" s="1010"/>
      <c r="Z673" s="262"/>
      <c r="AA673" s="110"/>
      <c r="AB673" s="110"/>
      <c r="AC673" s="110"/>
      <c r="AD673" s="110"/>
      <c r="AE673" s="110"/>
      <c r="AF673" s="110"/>
      <c r="AG673" s="110"/>
      <c r="AH673" s="110"/>
      <c r="AI673" s="110"/>
      <c r="AJ673" s="110"/>
      <c r="AK673" s="110"/>
      <c r="AL673" s="110"/>
      <c r="AM673" s="110"/>
      <c r="AN673" s="110"/>
      <c r="AO673" s="110"/>
      <c r="AP673" s="110"/>
      <c r="AQ673" s="110"/>
      <c r="AR673" s="110"/>
      <c r="AS673" s="110"/>
      <c r="AT673" s="110"/>
      <c r="AU673" s="110"/>
    </row>
    <row r="674" spans="1:47" ht="12.75" hidden="1">
      <c r="A674" s="110"/>
      <c r="B674" s="1009"/>
      <c r="C674" s="1010"/>
      <c r="D674" s="253"/>
      <c r="E674" s="1011"/>
      <c r="F674" s="262"/>
      <c r="G674" s="1011"/>
      <c r="H674" s="262"/>
      <c r="I674" s="1011"/>
      <c r="J674" s="262"/>
      <c r="K674" s="1011"/>
      <c r="L674" s="262"/>
      <c r="M674" s="1011"/>
      <c r="N674" s="262"/>
      <c r="O674" s="1011"/>
      <c r="P674" s="262"/>
      <c r="Q674" s="1011"/>
      <c r="R674" s="1012"/>
      <c r="S674" s="1011"/>
      <c r="T674" s="1012"/>
      <c r="U674" s="1010"/>
      <c r="V674" s="1012"/>
      <c r="W674" s="1010"/>
      <c r="X674" s="1012"/>
      <c r="Y674" s="1010"/>
      <c r="Z674" s="262"/>
      <c r="AA674" s="110"/>
      <c r="AB674" s="110"/>
      <c r="AC674" s="110"/>
      <c r="AD674" s="110"/>
      <c r="AE674" s="110"/>
      <c r="AF674" s="110"/>
      <c r="AG674" s="110"/>
      <c r="AH674" s="110"/>
      <c r="AI674" s="110"/>
      <c r="AJ674" s="110"/>
      <c r="AK674" s="110"/>
      <c r="AL674" s="110"/>
      <c r="AM674" s="110"/>
      <c r="AN674" s="110"/>
      <c r="AO674" s="110"/>
      <c r="AP674" s="110"/>
      <c r="AQ674" s="110"/>
      <c r="AR674" s="110"/>
      <c r="AS674" s="110"/>
      <c r="AT674" s="110"/>
      <c r="AU674" s="110"/>
    </row>
    <row r="675" spans="1:47" ht="12.75" hidden="1">
      <c r="A675" s="110"/>
      <c r="B675" s="1009"/>
      <c r="C675" s="1010"/>
      <c r="D675" s="253"/>
      <c r="E675" s="1011"/>
      <c r="F675" s="262"/>
      <c r="G675" s="1011"/>
      <c r="H675" s="262"/>
      <c r="I675" s="1011"/>
      <c r="J675" s="262"/>
      <c r="K675" s="1011"/>
      <c r="L675" s="262"/>
      <c r="M675" s="1011"/>
      <c r="N675" s="262"/>
      <c r="O675" s="1011"/>
      <c r="P675" s="262"/>
      <c r="Q675" s="1011"/>
      <c r="R675" s="1012"/>
      <c r="S675" s="1011"/>
      <c r="T675" s="1012"/>
      <c r="U675" s="1010"/>
      <c r="V675" s="1012"/>
      <c r="W675" s="1010"/>
      <c r="X675" s="1012"/>
      <c r="Y675" s="1010"/>
      <c r="Z675" s="262"/>
      <c r="AA675" s="110"/>
      <c r="AB675" s="110"/>
      <c r="AC675" s="110"/>
      <c r="AD675" s="110"/>
      <c r="AE675" s="110"/>
      <c r="AF675" s="110"/>
      <c r="AG675" s="110"/>
      <c r="AH675" s="110"/>
      <c r="AI675" s="110"/>
      <c r="AJ675" s="110"/>
      <c r="AK675" s="110"/>
      <c r="AL675" s="110"/>
      <c r="AM675" s="110"/>
      <c r="AN675" s="110"/>
      <c r="AO675" s="110"/>
      <c r="AP675" s="110"/>
      <c r="AQ675" s="110"/>
      <c r="AR675" s="110"/>
      <c r="AS675" s="110"/>
      <c r="AT675" s="110"/>
      <c r="AU675" s="110"/>
    </row>
    <row r="676" spans="1:47" ht="12.75" hidden="1">
      <c r="A676" s="110"/>
      <c r="B676" s="1009"/>
      <c r="C676" s="1010"/>
      <c r="D676" s="253"/>
      <c r="E676" s="1011"/>
      <c r="F676" s="262"/>
      <c r="G676" s="1011"/>
      <c r="H676" s="262"/>
      <c r="I676" s="1011"/>
      <c r="J676" s="262"/>
      <c r="K676" s="1011"/>
      <c r="L676" s="262"/>
      <c r="M676" s="1011"/>
      <c r="N676" s="262"/>
      <c r="O676" s="1011"/>
      <c r="P676" s="262"/>
      <c r="Q676" s="1011"/>
      <c r="R676" s="1012"/>
      <c r="S676" s="1011"/>
      <c r="T676" s="1012"/>
      <c r="U676" s="1010"/>
      <c r="V676" s="1012"/>
      <c r="W676" s="1010"/>
      <c r="X676" s="1012"/>
      <c r="Y676" s="1010"/>
      <c r="Z676" s="262"/>
      <c r="AA676" s="110"/>
      <c r="AB676" s="110"/>
      <c r="AC676" s="110"/>
      <c r="AD676" s="110"/>
      <c r="AE676" s="110"/>
      <c r="AF676" s="110"/>
      <c r="AG676" s="110"/>
      <c r="AH676" s="110"/>
      <c r="AI676" s="110"/>
      <c r="AJ676" s="110"/>
      <c r="AK676" s="110"/>
      <c r="AL676" s="110"/>
      <c r="AM676" s="110"/>
      <c r="AN676" s="110"/>
      <c r="AO676" s="110"/>
      <c r="AP676" s="110"/>
      <c r="AQ676" s="110"/>
      <c r="AR676" s="110"/>
      <c r="AS676" s="110"/>
      <c r="AT676" s="110"/>
      <c r="AU676" s="110"/>
    </row>
    <row r="677" spans="1:47" ht="12.75" hidden="1">
      <c r="A677" s="110"/>
      <c r="B677" s="1009"/>
      <c r="C677" s="1010"/>
      <c r="D677" s="253"/>
      <c r="E677" s="1011"/>
      <c r="F677" s="262"/>
      <c r="G677" s="1011"/>
      <c r="H677" s="262"/>
      <c r="I677" s="1011"/>
      <c r="J677" s="262"/>
      <c r="K677" s="1011"/>
      <c r="L677" s="262"/>
      <c r="M677" s="1011"/>
      <c r="N677" s="262"/>
      <c r="O677" s="1011"/>
      <c r="P677" s="262"/>
      <c r="Q677" s="1011"/>
      <c r="R677" s="1012"/>
      <c r="S677" s="1011"/>
      <c r="T677" s="1012"/>
      <c r="U677" s="1010"/>
      <c r="V677" s="1012"/>
      <c r="W677" s="1010"/>
      <c r="X677" s="1012"/>
      <c r="Y677" s="1010"/>
      <c r="Z677" s="262"/>
      <c r="AA677" s="110"/>
      <c r="AB677" s="110"/>
      <c r="AC677" s="110"/>
      <c r="AD677" s="110"/>
      <c r="AE677" s="110"/>
      <c r="AF677" s="110"/>
      <c r="AG677" s="110"/>
      <c r="AH677" s="110"/>
      <c r="AI677" s="110"/>
      <c r="AJ677" s="110"/>
      <c r="AK677" s="110"/>
      <c r="AL677" s="110"/>
      <c r="AM677" s="110"/>
      <c r="AN677" s="110"/>
      <c r="AO677" s="110"/>
      <c r="AP677" s="110"/>
      <c r="AQ677" s="110"/>
      <c r="AR677" s="110"/>
      <c r="AS677" s="110"/>
      <c r="AT677" s="110"/>
      <c r="AU677" s="110"/>
    </row>
    <row r="678" spans="1:47" ht="12.75" hidden="1">
      <c r="A678" s="110"/>
      <c r="B678" s="1009"/>
      <c r="C678" s="1010"/>
      <c r="D678" s="253"/>
      <c r="E678" s="1011"/>
      <c r="F678" s="262"/>
      <c r="G678" s="1011"/>
      <c r="H678" s="262"/>
      <c r="I678" s="1011"/>
      <c r="J678" s="262"/>
      <c r="K678" s="1011"/>
      <c r="L678" s="262"/>
      <c r="M678" s="1011"/>
      <c r="N678" s="262"/>
      <c r="O678" s="1011"/>
      <c r="P678" s="262"/>
      <c r="Q678" s="1011"/>
      <c r="R678" s="1012"/>
      <c r="S678" s="1011"/>
      <c r="T678" s="1012"/>
      <c r="U678" s="1010"/>
      <c r="V678" s="1012"/>
      <c r="W678" s="1010"/>
      <c r="X678" s="1012"/>
      <c r="Y678" s="1010"/>
      <c r="Z678" s="262"/>
      <c r="AA678" s="110"/>
      <c r="AB678" s="110"/>
      <c r="AC678" s="110"/>
      <c r="AD678" s="110"/>
      <c r="AE678" s="110"/>
      <c r="AF678" s="110"/>
      <c r="AG678" s="110"/>
      <c r="AH678" s="110"/>
      <c r="AI678" s="110"/>
      <c r="AJ678" s="110"/>
      <c r="AK678" s="110"/>
      <c r="AL678" s="110"/>
      <c r="AM678" s="110"/>
      <c r="AN678" s="110"/>
      <c r="AO678" s="110"/>
      <c r="AP678" s="110"/>
      <c r="AQ678" s="110"/>
      <c r="AR678" s="110"/>
      <c r="AS678" s="110"/>
      <c r="AT678" s="110"/>
      <c r="AU678" s="110"/>
    </row>
    <row r="679" spans="1:47" ht="12.75" hidden="1">
      <c r="A679" s="110"/>
      <c r="B679" s="1009"/>
      <c r="C679" s="1010"/>
      <c r="D679" s="253"/>
      <c r="E679" s="1011"/>
      <c r="F679" s="262"/>
      <c r="G679" s="1011"/>
      <c r="H679" s="262"/>
      <c r="I679" s="1011"/>
      <c r="J679" s="262"/>
      <c r="K679" s="1011"/>
      <c r="L679" s="262"/>
      <c r="M679" s="1011"/>
      <c r="N679" s="262"/>
      <c r="O679" s="1011"/>
      <c r="P679" s="262"/>
      <c r="Q679" s="1011"/>
      <c r="R679" s="1012"/>
      <c r="S679" s="1011"/>
      <c r="T679" s="1012"/>
      <c r="U679" s="1010"/>
      <c r="V679" s="1012"/>
      <c r="W679" s="1010"/>
      <c r="X679" s="1012"/>
      <c r="Y679" s="1010"/>
      <c r="Z679" s="262"/>
      <c r="AA679" s="110"/>
      <c r="AB679" s="110"/>
      <c r="AC679" s="110"/>
      <c r="AD679" s="110"/>
      <c r="AE679" s="110"/>
      <c r="AF679" s="110"/>
      <c r="AG679" s="110"/>
      <c r="AH679" s="110"/>
      <c r="AI679" s="110"/>
      <c r="AJ679" s="110"/>
      <c r="AK679" s="110"/>
      <c r="AL679" s="110"/>
      <c r="AM679" s="110"/>
      <c r="AN679" s="110"/>
      <c r="AO679" s="110"/>
      <c r="AP679" s="110"/>
      <c r="AQ679" s="110"/>
      <c r="AR679" s="110"/>
      <c r="AS679" s="110"/>
      <c r="AT679" s="110"/>
      <c r="AU679" s="110"/>
    </row>
    <row r="680" spans="1:47" ht="12.75" hidden="1">
      <c r="A680" s="110"/>
      <c r="B680" s="1009"/>
      <c r="C680" s="1010"/>
      <c r="D680" s="253"/>
      <c r="E680" s="1011"/>
      <c r="F680" s="262"/>
      <c r="G680" s="1011"/>
      <c r="H680" s="262"/>
      <c r="I680" s="1011"/>
      <c r="J680" s="262"/>
      <c r="K680" s="1011"/>
      <c r="L680" s="262"/>
      <c r="M680" s="1011"/>
      <c r="N680" s="262"/>
      <c r="O680" s="1011"/>
      <c r="P680" s="262"/>
      <c r="Q680" s="1011"/>
      <c r="R680" s="1012"/>
      <c r="S680" s="1011"/>
      <c r="T680" s="1012"/>
      <c r="U680" s="1010"/>
      <c r="V680" s="1012"/>
      <c r="W680" s="1010"/>
      <c r="X680" s="1012"/>
      <c r="Y680" s="1010"/>
      <c r="Z680" s="262"/>
      <c r="AA680" s="110"/>
      <c r="AB680" s="110"/>
      <c r="AC680" s="110"/>
      <c r="AD680" s="110"/>
      <c r="AE680" s="110"/>
      <c r="AF680" s="110"/>
      <c r="AG680" s="110"/>
      <c r="AH680" s="110"/>
      <c r="AI680" s="110"/>
      <c r="AJ680" s="110"/>
      <c r="AK680" s="110"/>
      <c r="AL680" s="110"/>
      <c r="AM680" s="110"/>
      <c r="AN680" s="110"/>
      <c r="AO680" s="110"/>
      <c r="AP680" s="110"/>
      <c r="AQ680" s="110"/>
      <c r="AR680" s="110"/>
      <c r="AS680" s="110"/>
      <c r="AT680" s="110"/>
      <c r="AU680" s="110"/>
    </row>
    <row r="681" spans="1:47" ht="12.75" hidden="1">
      <c r="A681" s="110"/>
      <c r="B681" s="1009"/>
      <c r="C681" s="1010"/>
      <c r="D681" s="253"/>
      <c r="E681" s="1011"/>
      <c r="F681" s="262"/>
      <c r="G681" s="1011"/>
      <c r="H681" s="262"/>
      <c r="I681" s="1011"/>
      <c r="J681" s="262"/>
      <c r="K681" s="1011"/>
      <c r="L681" s="262"/>
      <c r="M681" s="1011"/>
      <c r="N681" s="262"/>
      <c r="O681" s="1011"/>
      <c r="P681" s="262"/>
      <c r="Q681" s="1011"/>
      <c r="R681" s="1012"/>
      <c r="S681" s="1011"/>
      <c r="T681" s="1012"/>
      <c r="U681" s="1010"/>
      <c r="V681" s="1012"/>
      <c r="W681" s="1010"/>
      <c r="X681" s="1012"/>
      <c r="Y681" s="1010"/>
      <c r="Z681" s="262"/>
      <c r="AA681" s="110"/>
      <c r="AB681" s="110"/>
      <c r="AC681" s="110"/>
      <c r="AD681" s="110"/>
      <c r="AE681" s="110"/>
      <c r="AF681" s="110"/>
      <c r="AG681" s="110"/>
      <c r="AH681" s="110"/>
      <c r="AI681" s="110"/>
      <c r="AJ681" s="110"/>
      <c r="AK681" s="110"/>
      <c r="AL681" s="110"/>
      <c r="AM681" s="110"/>
      <c r="AN681" s="110"/>
      <c r="AO681" s="110"/>
      <c r="AP681" s="110"/>
      <c r="AQ681" s="110"/>
      <c r="AR681" s="110"/>
      <c r="AS681" s="110"/>
      <c r="AT681" s="110"/>
      <c r="AU681" s="110"/>
    </row>
    <row r="682" spans="1:47" ht="12.75" hidden="1">
      <c r="A682" s="110"/>
      <c r="B682" s="1009"/>
      <c r="C682" s="1010"/>
      <c r="D682" s="253"/>
      <c r="E682" s="1011"/>
      <c r="F682" s="262"/>
      <c r="G682" s="1011"/>
      <c r="H682" s="262"/>
      <c r="I682" s="1011"/>
      <c r="J682" s="262"/>
      <c r="K682" s="1011"/>
      <c r="L682" s="262"/>
      <c r="M682" s="1011"/>
      <c r="N682" s="262"/>
      <c r="O682" s="1011"/>
      <c r="P682" s="262"/>
      <c r="Q682" s="1011"/>
      <c r="R682" s="1012"/>
      <c r="S682" s="1011"/>
      <c r="T682" s="1012"/>
      <c r="U682" s="1010"/>
      <c r="V682" s="1012"/>
      <c r="W682" s="1010"/>
      <c r="X682" s="1012"/>
      <c r="Y682" s="1010"/>
      <c r="Z682" s="262"/>
      <c r="AA682" s="110"/>
      <c r="AB682" s="110"/>
      <c r="AC682" s="110"/>
      <c r="AD682" s="110"/>
      <c r="AE682" s="110"/>
      <c r="AF682" s="110"/>
      <c r="AG682" s="110"/>
      <c r="AH682" s="110"/>
      <c r="AI682" s="110"/>
      <c r="AJ682" s="110"/>
      <c r="AK682" s="110"/>
      <c r="AL682" s="110"/>
      <c r="AM682" s="110"/>
      <c r="AN682" s="110"/>
      <c r="AO682" s="110"/>
      <c r="AP682" s="110"/>
      <c r="AQ682" s="110"/>
      <c r="AR682" s="110"/>
      <c r="AS682" s="110"/>
      <c r="AT682" s="110"/>
      <c r="AU682" s="110"/>
    </row>
    <row r="683" spans="1:47" ht="12.75" hidden="1">
      <c r="A683" s="110"/>
      <c r="B683" s="1009"/>
      <c r="C683" s="1010"/>
      <c r="D683" s="253"/>
      <c r="E683" s="1011"/>
      <c r="F683" s="262"/>
      <c r="G683" s="1011"/>
      <c r="H683" s="262"/>
      <c r="I683" s="1011"/>
      <c r="J683" s="262"/>
      <c r="K683" s="1011"/>
      <c r="L683" s="262"/>
      <c r="M683" s="1011"/>
      <c r="N683" s="262"/>
      <c r="O683" s="1011"/>
      <c r="P683" s="262"/>
      <c r="Q683" s="1011"/>
      <c r="R683" s="1012"/>
      <c r="S683" s="1011"/>
      <c r="T683" s="1012"/>
      <c r="U683" s="1010"/>
      <c r="V683" s="1012"/>
      <c r="W683" s="1010"/>
      <c r="X683" s="1012"/>
      <c r="Y683" s="1010"/>
      <c r="Z683" s="262"/>
      <c r="AA683" s="110"/>
      <c r="AB683" s="110"/>
      <c r="AC683" s="110"/>
      <c r="AD683" s="110"/>
      <c r="AE683" s="110"/>
      <c r="AF683" s="110"/>
      <c r="AG683" s="110"/>
      <c r="AH683" s="110"/>
      <c r="AI683" s="110"/>
      <c r="AJ683" s="110"/>
      <c r="AK683" s="110"/>
      <c r="AL683" s="110"/>
      <c r="AM683" s="110"/>
      <c r="AN683" s="110"/>
      <c r="AO683" s="110"/>
      <c r="AP683" s="110"/>
      <c r="AQ683" s="110"/>
      <c r="AR683" s="110"/>
      <c r="AS683" s="110"/>
      <c r="AT683" s="110"/>
      <c r="AU683" s="110"/>
    </row>
    <row r="684" spans="1:47" ht="12.75" hidden="1">
      <c r="A684" s="110"/>
      <c r="B684" s="1009"/>
      <c r="C684" s="1010"/>
      <c r="D684" s="253"/>
      <c r="E684" s="1011"/>
      <c r="F684" s="262"/>
      <c r="G684" s="1011"/>
      <c r="H684" s="262"/>
      <c r="I684" s="1011"/>
      <c r="J684" s="262"/>
      <c r="K684" s="1011"/>
      <c r="L684" s="262"/>
      <c r="M684" s="1011"/>
      <c r="N684" s="262"/>
      <c r="O684" s="1011"/>
      <c r="P684" s="262"/>
      <c r="Q684" s="1011"/>
      <c r="R684" s="1012"/>
      <c r="S684" s="1011"/>
      <c r="T684" s="1012"/>
      <c r="U684" s="1010"/>
      <c r="V684" s="1012"/>
      <c r="W684" s="1010"/>
      <c r="X684" s="1012"/>
      <c r="Y684" s="1010"/>
      <c r="Z684" s="262"/>
      <c r="AA684" s="110"/>
      <c r="AB684" s="110"/>
      <c r="AC684" s="110"/>
      <c r="AD684" s="110"/>
      <c r="AE684" s="110"/>
      <c r="AF684" s="110"/>
      <c r="AG684" s="110"/>
      <c r="AH684" s="110"/>
      <c r="AI684" s="110"/>
      <c r="AJ684" s="110"/>
      <c r="AK684" s="110"/>
      <c r="AL684" s="110"/>
      <c r="AM684" s="110"/>
      <c r="AN684" s="110"/>
      <c r="AO684" s="110"/>
      <c r="AP684" s="110"/>
      <c r="AQ684" s="110"/>
      <c r="AR684" s="110"/>
      <c r="AS684" s="110"/>
      <c r="AT684" s="110"/>
      <c r="AU684" s="110"/>
    </row>
    <row r="685" spans="1:47" ht="12.75" hidden="1">
      <c r="A685" s="110"/>
      <c r="B685" s="1009"/>
      <c r="C685" s="1010"/>
      <c r="D685" s="253"/>
      <c r="E685" s="1011"/>
      <c r="F685" s="262"/>
      <c r="G685" s="1011"/>
      <c r="H685" s="262"/>
      <c r="I685" s="1011"/>
      <c r="J685" s="262"/>
      <c r="K685" s="1011"/>
      <c r="L685" s="262"/>
      <c r="M685" s="1011"/>
      <c r="N685" s="262"/>
      <c r="O685" s="1011"/>
      <c r="P685" s="262"/>
      <c r="Q685" s="1011"/>
      <c r="R685" s="1012"/>
      <c r="S685" s="1011"/>
      <c r="T685" s="1012"/>
      <c r="U685" s="1010"/>
      <c r="V685" s="1012"/>
      <c r="W685" s="1010"/>
      <c r="X685" s="1012"/>
      <c r="Y685" s="1010"/>
      <c r="Z685" s="262"/>
      <c r="AA685" s="110"/>
      <c r="AB685" s="110"/>
      <c r="AC685" s="110"/>
      <c r="AD685" s="110"/>
      <c r="AE685" s="110"/>
      <c r="AF685" s="110"/>
      <c r="AG685" s="110"/>
      <c r="AH685" s="110"/>
      <c r="AI685" s="110"/>
      <c r="AJ685" s="110"/>
      <c r="AK685" s="110"/>
      <c r="AL685" s="110"/>
      <c r="AM685" s="110"/>
      <c r="AN685" s="110"/>
      <c r="AO685" s="110"/>
      <c r="AP685" s="110"/>
      <c r="AQ685" s="110"/>
      <c r="AR685" s="110"/>
      <c r="AS685" s="110"/>
      <c r="AT685" s="110"/>
      <c r="AU685" s="110"/>
    </row>
    <row r="686" spans="1:47" ht="12.75" hidden="1">
      <c r="A686" s="110"/>
      <c r="B686" s="1009"/>
      <c r="C686" s="1010"/>
      <c r="D686" s="253"/>
      <c r="E686" s="1011"/>
      <c r="F686" s="262"/>
      <c r="G686" s="1011"/>
      <c r="H686" s="262"/>
      <c r="I686" s="1011"/>
      <c r="J686" s="262"/>
      <c r="K686" s="1011"/>
      <c r="L686" s="262"/>
      <c r="M686" s="1011"/>
      <c r="N686" s="262"/>
      <c r="O686" s="1011"/>
      <c r="P686" s="262"/>
      <c r="Q686" s="1011"/>
      <c r="R686" s="1012"/>
      <c r="S686" s="1011"/>
      <c r="T686" s="1012"/>
      <c r="U686" s="1010"/>
      <c r="V686" s="1012"/>
      <c r="W686" s="1010"/>
      <c r="X686" s="1012"/>
      <c r="Y686" s="1010"/>
      <c r="Z686" s="262"/>
      <c r="AA686" s="110"/>
      <c r="AB686" s="110"/>
      <c r="AC686" s="110"/>
      <c r="AD686" s="110"/>
      <c r="AE686" s="110"/>
      <c r="AF686" s="110"/>
      <c r="AG686" s="110"/>
      <c r="AH686" s="110"/>
      <c r="AI686" s="110"/>
      <c r="AJ686" s="110"/>
      <c r="AK686" s="110"/>
      <c r="AL686" s="110"/>
      <c r="AM686" s="110"/>
      <c r="AN686" s="110"/>
      <c r="AO686" s="110"/>
      <c r="AP686" s="110"/>
      <c r="AQ686" s="110"/>
      <c r="AR686" s="110"/>
      <c r="AS686" s="110"/>
      <c r="AT686" s="110"/>
      <c r="AU686" s="110"/>
    </row>
    <row r="687" spans="1:47" ht="12.75" hidden="1">
      <c r="A687" s="110"/>
      <c r="B687" s="1009"/>
      <c r="C687" s="1010"/>
      <c r="D687" s="253"/>
      <c r="E687" s="1011"/>
      <c r="F687" s="262"/>
      <c r="G687" s="1011"/>
      <c r="H687" s="262"/>
      <c r="I687" s="1011"/>
      <c r="J687" s="262"/>
      <c r="K687" s="1011"/>
      <c r="L687" s="262"/>
      <c r="M687" s="1011"/>
      <c r="N687" s="262"/>
      <c r="O687" s="1011"/>
      <c r="P687" s="262"/>
      <c r="Q687" s="1011"/>
      <c r="R687" s="1012"/>
      <c r="S687" s="1011"/>
      <c r="T687" s="1012"/>
      <c r="U687" s="1010"/>
      <c r="V687" s="1012"/>
      <c r="W687" s="1010"/>
      <c r="X687" s="1012"/>
      <c r="Y687" s="1010"/>
      <c r="Z687" s="262"/>
      <c r="AA687" s="110"/>
      <c r="AB687" s="110"/>
      <c r="AC687" s="110"/>
      <c r="AD687" s="110"/>
      <c r="AE687" s="110"/>
      <c r="AF687" s="110"/>
      <c r="AG687" s="110"/>
      <c r="AH687" s="110"/>
      <c r="AI687" s="110"/>
      <c r="AJ687" s="110"/>
      <c r="AK687" s="110"/>
      <c r="AL687" s="110"/>
      <c r="AM687" s="110"/>
      <c r="AN687" s="110"/>
      <c r="AO687" s="110"/>
      <c r="AP687" s="110"/>
      <c r="AQ687" s="110"/>
      <c r="AR687" s="110"/>
      <c r="AS687" s="110"/>
      <c r="AT687" s="110"/>
      <c r="AU687" s="110"/>
    </row>
    <row r="688" spans="1:47" ht="12.75" hidden="1">
      <c r="A688" s="110"/>
      <c r="B688" s="1009"/>
      <c r="C688" s="1010"/>
      <c r="D688" s="253"/>
      <c r="E688" s="1011"/>
      <c r="F688" s="262"/>
      <c r="G688" s="1011"/>
      <c r="H688" s="262"/>
      <c r="I688" s="1011"/>
      <c r="J688" s="262"/>
      <c r="K688" s="1011"/>
      <c r="L688" s="262"/>
      <c r="M688" s="1011"/>
      <c r="N688" s="262"/>
      <c r="O688" s="1011"/>
      <c r="P688" s="262"/>
      <c r="Q688" s="1011"/>
      <c r="R688" s="1012"/>
      <c r="S688" s="1011"/>
      <c r="T688" s="1012"/>
      <c r="U688" s="1010"/>
      <c r="V688" s="1012"/>
      <c r="W688" s="1010"/>
      <c r="X688" s="1012"/>
      <c r="Y688" s="1010"/>
      <c r="Z688" s="262"/>
      <c r="AA688" s="110"/>
      <c r="AB688" s="110"/>
      <c r="AC688" s="110"/>
      <c r="AD688" s="110"/>
      <c r="AE688" s="110"/>
      <c r="AF688" s="110"/>
      <c r="AG688" s="110"/>
      <c r="AH688" s="110"/>
      <c r="AI688" s="110"/>
      <c r="AJ688" s="110"/>
      <c r="AK688" s="110"/>
      <c r="AL688" s="110"/>
      <c r="AM688" s="110"/>
      <c r="AN688" s="110"/>
      <c r="AO688" s="110"/>
      <c r="AP688" s="110"/>
      <c r="AQ688" s="110"/>
      <c r="AR688" s="110"/>
      <c r="AS688" s="110"/>
      <c r="AT688" s="110"/>
      <c r="AU688" s="110"/>
    </row>
    <row r="689" spans="1:47" ht="12.75" hidden="1">
      <c r="A689" s="110"/>
      <c r="B689" s="1009"/>
      <c r="C689" s="1010"/>
      <c r="D689" s="253"/>
      <c r="E689" s="1011"/>
      <c r="F689" s="262"/>
      <c r="G689" s="1011"/>
      <c r="H689" s="262"/>
      <c r="I689" s="1011"/>
      <c r="J689" s="262"/>
      <c r="K689" s="1011"/>
      <c r="L689" s="262"/>
      <c r="M689" s="1011"/>
      <c r="N689" s="262"/>
      <c r="O689" s="1011"/>
      <c r="P689" s="262"/>
      <c r="Q689" s="1011"/>
      <c r="R689" s="1012"/>
      <c r="S689" s="1011"/>
      <c r="T689" s="1012"/>
      <c r="U689" s="1010"/>
      <c r="V689" s="1012"/>
      <c r="W689" s="1010"/>
      <c r="X689" s="1012"/>
      <c r="Y689" s="1010"/>
      <c r="Z689" s="262"/>
      <c r="AA689" s="110"/>
      <c r="AB689" s="110"/>
      <c r="AC689" s="110"/>
      <c r="AD689" s="110"/>
      <c r="AE689" s="110"/>
      <c r="AF689" s="110"/>
      <c r="AG689" s="110"/>
      <c r="AH689" s="110"/>
      <c r="AI689" s="110"/>
      <c r="AJ689" s="110"/>
      <c r="AK689" s="110"/>
      <c r="AL689" s="110"/>
      <c r="AM689" s="110"/>
      <c r="AN689" s="110"/>
      <c r="AO689" s="110"/>
      <c r="AP689" s="110"/>
      <c r="AQ689" s="110"/>
      <c r="AR689" s="110"/>
      <c r="AS689" s="110"/>
      <c r="AT689" s="110"/>
      <c r="AU689" s="110"/>
    </row>
    <row r="690" spans="1:47" ht="12.75" hidden="1">
      <c r="A690" s="110"/>
      <c r="B690" s="1009"/>
      <c r="C690" s="1010"/>
      <c r="D690" s="253"/>
      <c r="E690" s="1011"/>
      <c r="F690" s="262"/>
      <c r="G690" s="1011"/>
      <c r="H690" s="262"/>
      <c r="I690" s="1011"/>
      <c r="J690" s="262"/>
      <c r="K690" s="1011"/>
      <c r="L690" s="262"/>
      <c r="M690" s="1011"/>
      <c r="N690" s="262"/>
      <c r="O690" s="1011"/>
      <c r="P690" s="262"/>
      <c r="Q690" s="1011"/>
      <c r="R690" s="1012"/>
      <c r="S690" s="1011"/>
      <c r="T690" s="1012"/>
      <c r="U690" s="1010"/>
      <c r="V690" s="1012"/>
      <c r="W690" s="1010"/>
      <c r="X690" s="1012"/>
      <c r="Y690" s="1010"/>
      <c r="Z690" s="262"/>
      <c r="AA690" s="110"/>
      <c r="AB690" s="110"/>
      <c r="AC690" s="110"/>
      <c r="AD690" s="110"/>
      <c r="AE690" s="110"/>
      <c r="AF690" s="110"/>
      <c r="AG690" s="110"/>
      <c r="AH690" s="110"/>
      <c r="AI690" s="110"/>
      <c r="AJ690" s="110"/>
      <c r="AK690" s="110"/>
      <c r="AL690" s="110"/>
      <c r="AM690" s="110"/>
      <c r="AN690" s="110"/>
      <c r="AO690" s="110"/>
      <c r="AP690" s="110"/>
      <c r="AQ690" s="110"/>
      <c r="AR690" s="110"/>
      <c r="AS690" s="110"/>
      <c r="AT690" s="110"/>
      <c r="AU690" s="110"/>
    </row>
    <row r="691" spans="1:47" ht="12.75" hidden="1">
      <c r="A691" s="110"/>
      <c r="B691" s="1009"/>
      <c r="C691" s="1010"/>
      <c r="D691" s="253"/>
      <c r="E691" s="1011"/>
      <c r="F691" s="262"/>
      <c r="G691" s="1011"/>
      <c r="H691" s="262"/>
      <c r="I691" s="1011"/>
      <c r="J691" s="262"/>
      <c r="K691" s="1011"/>
      <c r="L691" s="262"/>
      <c r="M691" s="1011"/>
      <c r="N691" s="262"/>
      <c r="O691" s="1011"/>
      <c r="P691" s="262"/>
      <c r="Q691" s="1011"/>
      <c r="R691" s="1012"/>
      <c r="S691" s="1011"/>
      <c r="T691" s="1012"/>
      <c r="U691" s="1010"/>
      <c r="V691" s="1012"/>
      <c r="W691" s="1010"/>
      <c r="X691" s="1012"/>
      <c r="Y691" s="1010"/>
      <c r="Z691" s="262"/>
      <c r="AA691" s="110"/>
      <c r="AB691" s="110"/>
      <c r="AC691" s="110"/>
      <c r="AD691" s="110"/>
      <c r="AE691" s="110"/>
      <c r="AF691" s="110"/>
      <c r="AG691" s="110"/>
      <c r="AH691" s="110"/>
      <c r="AI691" s="110"/>
      <c r="AJ691" s="110"/>
      <c r="AK691" s="110"/>
      <c r="AL691" s="110"/>
      <c r="AM691" s="110"/>
      <c r="AN691" s="110"/>
      <c r="AO691" s="110"/>
      <c r="AP691" s="110"/>
      <c r="AQ691" s="110"/>
      <c r="AR691" s="110"/>
      <c r="AS691" s="110"/>
      <c r="AT691" s="110"/>
      <c r="AU691" s="110"/>
    </row>
    <row r="692" spans="1:47" ht="12.75" hidden="1">
      <c r="A692" s="110"/>
      <c r="B692" s="1009"/>
      <c r="C692" s="1010"/>
      <c r="D692" s="253"/>
      <c r="E692" s="1011"/>
      <c r="F692" s="262"/>
      <c r="G692" s="1011"/>
      <c r="H692" s="262"/>
      <c r="I692" s="1011"/>
      <c r="J692" s="262"/>
      <c r="K692" s="1011"/>
      <c r="L692" s="262"/>
      <c r="M692" s="1011"/>
      <c r="N692" s="262"/>
      <c r="O692" s="1011"/>
      <c r="P692" s="262"/>
      <c r="Q692" s="1011"/>
      <c r="R692" s="1012"/>
      <c r="S692" s="1011"/>
      <c r="T692" s="1012"/>
      <c r="U692" s="1010"/>
      <c r="V692" s="1012"/>
      <c r="W692" s="1010"/>
      <c r="X692" s="1012"/>
      <c r="Y692" s="1010"/>
      <c r="Z692" s="262"/>
      <c r="AA692" s="110"/>
      <c r="AB692" s="110"/>
      <c r="AC692" s="110"/>
      <c r="AD692" s="110"/>
      <c r="AE692" s="110"/>
      <c r="AF692" s="110"/>
      <c r="AG692" s="110"/>
      <c r="AH692" s="110"/>
      <c r="AI692" s="110"/>
      <c r="AJ692" s="110"/>
      <c r="AK692" s="110"/>
      <c r="AL692" s="110"/>
      <c r="AM692" s="110"/>
      <c r="AN692" s="110"/>
      <c r="AO692" s="110"/>
      <c r="AP692" s="110"/>
      <c r="AQ692" s="110"/>
      <c r="AR692" s="110"/>
      <c r="AS692" s="110"/>
      <c r="AT692" s="110"/>
      <c r="AU692" s="110"/>
    </row>
    <row r="693" spans="1:47" ht="12.75" hidden="1">
      <c r="A693" s="110"/>
      <c r="B693" s="1009"/>
      <c r="C693" s="1010"/>
      <c r="D693" s="253"/>
      <c r="E693" s="1011"/>
      <c r="F693" s="262"/>
      <c r="G693" s="1011"/>
      <c r="H693" s="262"/>
      <c r="I693" s="1011"/>
      <c r="J693" s="262"/>
      <c r="K693" s="1011"/>
      <c r="L693" s="262"/>
      <c r="M693" s="1011"/>
      <c r="N693" s="262"/>
      <c r="O693" s="1011"/>
      <c r="P693" s="262"/>
      <c r="Q693" s="1011"/>
      <c r="R693" s="1012"/>
      <c r="S693" s="1011"/>
      <c r="T693" s="1012"/>
      <c r="U693" s="1010"/>
      <c r="V693" s="1012"/>
      <c r="W693" s="1010"/>
      <c r="X693" s="1012"/>
      <c r="Y693" s="1010"/>
      <c r="Z693" s="262"/>
      <c r="AA693" s="110"/>
      <c r="AB693" s="110"/>
      <c r="AC693" s="110"/>
      <c r="AD693" s="110"/>
      <c r="AE693" s="110"/>
      <c r="AF693" s="110"/>
      <c r="AG693" s="110"/>
      <c r="AH693" s="110"/>
      <c r="AI693" s="110"/>
      <c r="AJ693" s="110"/>
      <c r="AK693" s="110"/>
      <c r="AL693" s="110"/>
      <c r="AM693" s="110"/>
      <c r="AN693" s="110"/>
      <c r="AO693" s="110"/>
      <c r="AP693" s="110"/>
      <c r="AQ693" s="110"/>
      <c r="AR693" s="110"/>
      <c r="AS693" s="110"/>
      <c r="AT693" s="110"/>
      <c r="AU693" s="110"/>
    </row>
    <row r="694" spans="1:47" ht="12.75" hidden="1">
      <c r="A694" s="110"/>
      <c r="B694" s="1009"/>
      <c r="C694" s="1010"/>
      <c r="D694" s="253"/>
      <c r="E694" s="1011"/>
      <c r="F694" s="262"/>
      <c r="G694" s="1011"/>
      <c r="H694" s="262"/>
      <c r="I694" s="1011"/>
      <c r="J694" s="262"/>
      <c r="K694" s="1011"/>
      <c r="L694" s="262"/>
      <c r="M694" s="1011"/>
      <c r="N694" s="262"/>
      <c r="O694" s="1011"/>
      <c r="P694" s="262"/>
      <c r="Q694" s="1011"/>
      <c r="R694" s="1012"/>
      <c r="S694" s="1011"/>
      <c r="T694" s="1012"/>
      <c r="U694" s="1010"/>
      <c r="V694" s="1012"/>
      <c r="W694" s="1010"/>
      <c r="X694" s="1012"/>
      <c r="Y694" s="1010"/>
      <c r="Z694" s="262"/>
      <c r="AA694" s="110"/>
      <c r="AB694" s="110"/>
      <c r="AC694" s="110"/>
      <c r="AD694" s="110"/>
      <c r="AE694" s="110"/>
      <c r="AF694" s="110"/>
      <c r="AG694" s="110"/>
      <c r="AH694" s="110"/>
      <c r="AI694" s="110"/>
      <c r="AJ694" s="110"/>
      <c r="AK694" s="110"/>
      <c r="AL694" s="110"/>
      <c r="AM694" s="110"/>
      <c r="AN694" s="110"/>
      <c r="AO694" s="110"/>
      <c r="AP694" s="110"/>
      <c r="AQ694" s="110"/>
      <c r="AR694" s="110"/>
      <c r="AS694" s="110"/>
      <c r="AT694" s="110"/>
      <c r="AU694" s="110"/>
    </row>
    <row r="695" spans="1:47" ht="12.75" hidden="1">
      <c r="A695" s="110"/>
      <c r="B695" s="1009"/>
      <c r="C695" s="1010"/>
      <c r="D695" s="253"/>
      <c r="E695" s="1011"/>
      <c r="F695" s="262"/>
      <c r="G695" s="1011"/>
      <c r="H695" s="262"/>
      <c r="I695" s="1011"/>
      <c r="J695" s="262"/>
      <c r="K695" s="1011"/>
      <c r="L695" s="262"/>
      <c r="M695" s="1011"/>
      <c r="N695" s="262"/>
      <c r="O695" s="1011"/>
      <c r="P695" s="262"/>
      <c r="Q695" s="1011"/>
      <c r="R695" s="1012"/>
      <c r="S695" s="1011"/>
      <c r="T695" s="1012"/>
      <c r="U695" s="1010"/>
      <c r="V695" s="1012"/>
      <c r="W695" s="1010"/>
      <c r="X695" s="1012"/>
      <c r="Y695" s="1010"/>
      <c r="Z695" s="262"/>
      <c r="AA695" s="110"/>
      <c r="AB695" s="110"/>
      <c r="AC695" s="110"/>
      <c r="AD695" s="110"/>
      <c r="AE695" s="110"/>
      <c r="AF695" s="110"/>
      <c r="AG695" s="110"/>
      <c r="AH695" s="110"/>
      <c r="AI695" s="110"/>
      <c r="AJ695" s="110"/>
      <c r="AK695" s="110"/>
      <c r="AL695" s="110"/>
      <c r="AM695" s="110"/>
      <c r="AN695" s="110"/>
      <c r="AO695" s="110"/>
      <c r="AP695" s="110"/>
      <c r="AQ695" s="110"/>
      <c r="AR695" s="110"/>
      <c r="AS695" s="110"/>
      <c r="AT695" s="110"/>
      <c r="AU695" s="110"/>
    </row>
    <row r="696" spans="1:47" ht="12.75" hidden="1">
      <c r="A696" s="110"/>
      <c r="B696" s="1009"/>
      <c r="C696" s="1010"/>
      <c r="D696" s="253"/>
      <c r="E696" s="1011"/>
      <c r="F696" s="262"/>
      <c r="G696" s="1011"/>
      <c r="H696" s="262"/>
      <c r="I696" s="1011"/>
      <c r="J696" s="262"/>
      <c r="K696" s="1011"/>
      <c r="L696" s="262"/>
      <c r="M696" s="1011"/>
      <c r="N696" s="262"/>
      <c r="O696" s="1011"/>
      <c r="P696" s="262"/>
      <c r="Q696" s="1011"/>
      <c r="R696" s="1012"/>
      <c r="S696" s="1011"/>
      <c r="T696" s="1012"/>
      <c r="U696" s="1010"/>
      <c r="V696" s="1012"/>
      <c r="W696" s="1010"/>
      <c r="X696" s="1012"/>
      <c r="Y696" s="1010"/>
      <c r="Z696" s="262"/>
      <c r="AA696" s="110"/>
      <c r="AB696" s="110"/>
      <c r="AC696" s="110"/>
      <c r="AD696" s="110"/>
      <c r="AE696" s="110"/>
      <c r="AF696" s="110"/>
      <c r="AG696" s="110"/>
      <c r="AH696" s="110"/>
      <c r="AI696" s="110"/>
      <c r="AJ696" s="110"/>
      <c r="AK696" s="110"/>
      <c r="AL696" s="110"/>
      <c r="AM696" s="110"/>
      <c r="AN696" s="110"/>
      <c r="AO696" s="110"/>
      <c r="AP696" s="110"/>
      <c r="AQ696" s="110"/>
      <c r="AR696" s="110"/>
      <c r="AS696" s="110"/>
      <c r="AT696" s="110"/>
      <c r="AU696" s="110"/>
    </row>
    <row r="697" spans="1:47" ht="12.75" hidden="1">
      <c r="A697" s="110"/>
      <c r="B697" s="1009"/>
      <c r="C697" s="1010"/>
      <c r="D697" s="253"/>
      <c r="E697" s="1011"/>
      <c r="F697" s="262"/>
      <c r="G697" s="1011"/>
      <c r="H697" s="262"/>
      <c r="I697" s="1011"/>
      <c r="J697" s="262"/>
      <c r="K697" s="1011"/>
      <c r="L697" s="262"/>
      <c r="M697" s="1011"/>
      <c r="N697" s="262"/>
      <c r="O697" s="1011"/>
      <c r="P697" s="262"/>
      <c r="Q697" s="1011"/>
      <c r="R697" s="1012"/>
      <c r="S697" s="1011"/>
      <c r="T697" s="1012"/>
      <c r="U697" s="1010"/>
      <c r="V697" s="1012"/>
      <c r="W697" s="1010"/>
      <c r="X697" s="1012"/>
      <c r="Y697" s="1010"/>
      <c r="Z697" s="262"/>
      <c r="AA697" s="110"/>
      <c r="AB697" s="110"/>
      <c r="AC697" s="110"/>
      <c r="AD697" s="110"/>
      <c r="AE697" s="110"/>
      <c r="AF697" s="110"/>
      <c r="AG697" s="110"/>
      <c r="AH697" s="110"/>
      <c r="AI697" s="110"/>
      <c r="AJ697" s="110"/>
      <c r="AK697" s="110"/>
      <c r="AL697" s="110"/>
      <c r="AM697" s="110"/>
      <c r="AN697" s="110"/>
      <c r="AO697" s="110"/>
      <c r="AP697" s="110"/>
      <c r="AQ697" s="110"/>
      <c r="AR697" s="110"/>
      <c r="AS697" s="110"/>
      <c r="AT697" s="110"/>
      <c r="AU697" s="110"/>
    </row>
    <row r="698" spans="1:47" ht="12.75" hidden="1">
      <c r="A698" s="110"/>
      <c r="B698" s="1009"/>
      <c r="C698" s="1010"/>
      <c r="D698" s="253"/>
      <c r="E698" s="1011"/>
      <c r="F698" s="262"/>
      <c r="G698" s="1011"/>
      <c r="H698" s="262"/>
      <c r="I698" s="1011"/>
      <c r="J698" s="262"/>
      <c r="K698" s="1011"/>
      <c r="L698" s="262"/>
      <c r="M698" s="1011"/>
      <c r="N698" s="262"/>
      <c r="O698" s="1011"/>
      <c r="P698" s="262"/>
      <c r="Q698" s="1011"/>
      <c r="R698" s="1012"/>
      <c r="S698" s="1011"/>
      <c r="T698" s="1012"/>
      <c r="U698" s="1010"/>
      <c r="V698" s="1012"/>
      <c r="W698" s="1010"/>
      <c r="X698" s="1012"/>
      <c r="Y698" s="1010"/>
      <c r="Z698" s="262"/>
      <c r="AA698" s="110"/>
      <c r="AB698" s="110"/>
      <c r="AC698" s="110"/>
      <c r="AD698" s="110"/>
      <c r="AE698" s="110"/>
      <c r="AF698" s="110"/>
      <c r="AG698" s="110"/>
      <c r="AH698" s="110"/>
      <c r="AI698" s="110"/>
      <c r="AJ698" s="110"/>
      <c r="AK698" s="110"/>
      <c r="AL698" s="110"/>
      <c r="AM698" s="110"/>
      <c r="AN698" s="110"/>
      <c r="AO698" s="110"/>
      <c r="AP698" s="110"/>
      <c r="AQ698" s="110"/>
      <c r="AR698" s="110"/>
      <c r="AS698" s="110"/>
      <c r="AT698" s="110"/>
      <c r="AU698" s="110"/>
    </row>
    <row r="699" spans="1:47" ht="12.75" hidden="1">
      <c r="A699" s="110"/>
      <c r="B699" s="1009"/>
      <c r="C699" s="1010"/>
      <c r="D699" s="253"/>
      <c r="E699" s="1011"/>
      <c r="F699" s="262"/>
      <c r="G699" s="1011"/>
      <c r="H699" s="262"/>
      <c r="I699" s="1011"/>
      <c r="J699" s="262"/>
      <c r="K699" s="1011"/>
      <c r="L699" s="262"/>
      <c r="M699" s="1011"/>
      <c r="N699" s="262"/>
      <c r="O699" s="1011"/>
      <c r="P699" s="262"/>
      <c r="Q699" s="1011"/>
      <c r="R699" s="1012"/>
      <c r="S699" s="1011"/>
      <c r="T699" s="1012"/>
      <c r="U699" s="1010"/>
      <c r="V699" s="1012"/>
      <c r="W699" s="1010"/>
      <c r="X699" s="1012"/>
      <c r="Y699" s="1010"/>
      <c r="Z699" s="262"/>
      <c r="AA699" s="110"/>
      <c r="AB699" s="110"/>
      <c r="AC699" s="110"/>
      <c r="AD699" s="110"/>
      <c r="AE699" s="110"/>
      <c r="AF699" s="110"/>
      <c r="AG699" s="110"/>
      <c r="AH699" s="110"/>
      <c r="AI699" s="110"/>
      <c r="AJ699" s="110"/>
      <c r="AK699" s="110"/>
      <c r="AL699" s="110"/>
      <c r="AM699" s="110"/>
      <c r="AN699" s="110"/>
      <c r="AO699" s="110"/>
      <c r="AP699" s="110"/>
      <c r="AQ699" s="110"/>
      <c r="AR699" s="110"/>
      <c r="AS699" s="110"/>
      <c r="AT699" s="110"/>
      <c r="AU699" s="110"/>
    </row>
    <row r="700" spans="1:47" ht="12.75" hidden="1">
      <c r="A700" s="110"/>
      <c r="B700" s="1009"/>
      <c r="C700" s="1010"/>
      <c r="D700" s="253"/>
      <c r="E700" s="1011"/>
      <c r="F700" s="262"/>
      <c r="G700" s="1011"/>
      <c r="H700" s="262"/>
      <c r="I700" s="1011"/>
      <c r="J700" s="262"/>
      <c r="K700" s="1011"/>
      <c r="L700" s="262"/>
      <c r="M700" s="1011"/>
      <c r="N700" s="262"/>
      <c r="O700" s="1011"/>
      <c r="P700" s="262"/>
      <c r="Q700" s="1011"/>
      <c r="R700" s="1012"/>
      <c r="S700" s="1011"/>
      <c r="T700" s="1012"/>
      <c r="U700" s="1010"/>
      <c r="V700" s="1012"/>
      <c r="W700" s="1010"/>
      <c r="X700" s="1012"/>
      <c r="Y700" s="1010"/>
      <c r="Z700" s="262"/>
      <c r="AA700" s="110"/>
      <c r="AB700" s="110"/>
      <c r="AC700" s="110"/>
      <c r="AD700" s="110"/>
      <c r="AE700" s="110"/>
      <c r="AF700" s="110"/>
      <c r="AG700" s="110"/>
      <c r="AH700" s="110"/>
      <c r="AI700" s="110"/>
      <c r="AJ700" s="110"/>
      <c r="AK700" s="110"/>
      <c r="AL700" s="110"/>
      <c r="AM700" s="110"/>
      <c r="AN700" s="110"/>
      <c r="AO700" s="110"/>
      <c r="AP700" s="110"/>
      <c r="AQ700" s="110"/>
      <c r="AR700" s="110"/>
      <c r="AS700" s="110"/>
      <c r="AT700" s="110"/>
      <c r="AU700" s="110"/>
    </row>
    <row r="701" spans="1:47" ht="12.75" hidden="1">
      <c r="A701" s="110"/>
      <c r="B701" s="1009"/>
      <c r="C701" s="1010"/>
      <c r="D701" s="253"/>
      <c r="E701" s="1011"/>
      <c r="F701" s="262"/>
      <c r="G701" s="1011"/>
      <c r="H701" s="262"/>
      <c r="I701" s="1011"/>
      <c r="J701" s="262"/>
      <c r="K701" s="1011"/>
      <c r="L701" s="262"/>
      <c r="M701" s="1011"/>
      <c r="N701" s="262"/>
      <c r="O701" s="1011"/>
      <c r="P701" s="262"/>
      <c r="Q701" s="1011"/>
      <c r="R701" s="1012"/>
      <c r="S701" s="1011"/>
      <c r="T701" s="1012"/>
      <c r="U701" s="1010"/>
      <c r="V701" s="1012"/>
      <c r="W701" s="1010"/>
      <c r="X701" s="1012"/>
      <c r="Y701" s="1010"/>
      <c r="Z701" s="262"/>
      <c r="AA701" s="110"/>
      <c r="AB701" s="110"/>
      <c r="AC701" s="110"/>
      <c r="AD701" s="110"/>
      <c r="AE701" s="110"/>
      <c r="AF701" s="110"/>
      <c r="AG701" s="110"/>
      <c r="AH701" s="110"/>
      <c r="AI701" s="110"/>
      <c r="AJ701" s="110"/>
      <c r="AK701" s="110"/>
      <c r="AL701" s="110"/>
      <c r="AM701" s="110"/>
      <c r="AN701" s="110"/>
      <c r="AO701" s="110"/>
      <c r="AP701" s="110"/>
      <c r="AQ701" s="110"/>
      <c r="AR701" s="110"/>
      <c r="AS701" s="110"/>
      <c r="AT701" s="110"/>
      <c r="AU701" s="110"/>
    </row>
    <row r="702" spans="1:47" ht="12.75" hidden="1">
      <c r="A702" s="110"/>
      <c r="B702" s="1009"/>
      <c r="C702" s="1010"/>
      <c r="D702" s="253"/>
      <c r="E702" s="1011"/>
      <c r="F702" s="262"/>
      <c r="G702" s="1011"/>
      <c r="H702" s="262"/>
      <c r="I702" s="1011"/>
      <c r="J702" s="262"/>
      <c r="K702" s="1011"/>
      <c r="L702" s="262"/>
      <c r="M702" s="1011"/>
      <c r="N702" s="262"/>
      <c r="O702" s="1011"/>
      <c r="P702" s="262"/>
      <c r="Q702" s="1011"/>
      <c r="R702" s="1012"/>
      <c r="S702" s="1011"/>
      <c r="T702" s="1012"/>
      <c r="U702" s="1010"/>
      <c r="V702" s="1012"/>
      <c r="W702" s="1010"/>
      <c r="X702" s="1012"/>
      <c r="Y702" s="1010"/>
      <c r="Z702" s="262"/>
      <c r="AA702" s="110"/>
      <c r="AB702" s="110"/>
      <c r="AC702" s="110"/>
      <c r="AD702" s="110"/>
      <c r="AE702" s="110"/>
      <c r="AF702" s="110"/>
      <c r="AG702" s="110"/>
      <c r="AH702" s="110"/>
      <c r="AI702" s="110"/>
      <c r="AJ702" s="110"/>
      <c r="AK702" s="110"/>
      <c r="AL702" s="110"/>
      <c r="AM702" s="110"/>
      <c r="AN702" s="110"/>
      <c r="AO702" s="110"/>
      <c r="AP702" s="110"/>
      <c r="AQ702" s="110"/>
      <c r="AR702" s="110"/>
      <c r="AS702" s="110"/>
      <c r="AT702" s="110"/>
      <c r="AU702" s="110"/>
    </row>
    <row r="703" spans="1:47" ht="12.75" hidden="1">
      <c r="A703" s="110"/>
      <c r="B703" s="1009"/>
      <c r="C703" s="1010"/>
      <c r="D703" s="253"/>
      <c r="E703" s="1011"/>
      <c r="F703" s="262"/>
      <c r="G703" s="1011"/>
      <c r="H703" s="262"/>
      <c r="I703" s="1011"/>
      <c r="J703" s="262"/>
      <c r="K703" s="1011"/>
      <c r="L703" s="262"/>
      <c r="M703" s="1011"/>
      <c r="N703" s="262"/>
      <c r="O703" s="1011"/>
      <c r="P703" s="262"/>
      <c r="Q703" s="1011"/>
      <c r="R703" s="1012"/>
      <c r="S703" s="1011"/>
      <c r="T703" s="1012"/>
      <c r="U703" s="1010"/>
      <c r="V703" s="1012"/>
      <c r="W703" s="1010"/>
      <c r="X703" s="1012"/>
      <c r="Y703" s="1010"/>
      <c r="Z703" s="262"/>
      <c r="AA703" s="110"/>
      <c r="AB703" s="110"/>
      <c r="AC703" s="110"/>
      <c r="AD703" s="110"/>
      <c r="AE703" s="110"/>
      <c r="AF703" s="110"/>
      <c r="AG703" s="110"/>
      <c r="AH703" s="110"/>
      <c r="AI703" s="110"/>
      <c r="AJ703" s="110"/>
      <c r="AK703" s="110"/>
      <c r="AL703" s="110"/>
      <c r="AM703" s="110"/>
      <c r="AN703" s="110"/>
      <c r="AO703" s="110"/>
      <c r="AP703" s="110"/>
      <c r="AQ703" s="110"/>
      <c r="AR703" s="110"/>
      <c r="AS703" s="110"/>
      <c r="AT703" s="110"/>
      <c r="AU703" s="110"/>
    </row>
    <row r="704" spans="1:47" ht="12.75" hidden="1">
      <c r="A704" s="110"/>
      <c r="B704" s="1009"/>
      <c r="C704" s="1010"/>
      <c r="D704" s="253"/>
      <c r="E704" s="1011"/>
      <c r="F704" s="262"/>
      <c r="G704" s="1011"/>
      <c r="H704" s="262"/>
      <c r="I704" s="1011"/>
      <c r="J704" s="262"/>
      <c r="K704" s="1011"/>
      <c r="L704" s="262"/>
      <c r="M704" s="1011"/>
      <c r="N704" s="262"/>
      <c r="O704" s="1011"/>
      <c r="P704" s="262"/>
      <c r="Q704" s="1011"/>
      <c r="R704" s="1012"/>
      <c r="S704" s="1011"/>
      <c r="T704" s="1012"/>
      <c r="U704" s="1010"/>
      <c r="V704" s="1012"/>
      <c r="W704" s="1010"/>
      <c r="X704" s="1012"/>
      <c r="Y704" s="1010"/>
      <c r="Z704" s="262"/>
      <c r="AA704" s="110"/>
      <c r="AB704" s="110"/>
      <c r="AC704" s="110"/>
      <c r="AD704" s="110"/>
      <c r="AE704" s="110"/>
      <c r="AF704" s="110"/>
      <c r="AG704" s="110"/>
      <c r="AH704" s="110"/>
      <c r="AI704" s="110"/>
      <c r="AJ704" s="110"/>
      <c r="AK704" s="110"/>
      <c r="AL704" s="110"/>
      <c r="AM704" s="110"/>
      <c r="AN704" s="110"/>
      <c r="AO704" s="110"/>
      <c r="AP704" s="110"/>
      <c r="AQ704" s="110"/>
      <c r="AR704" s="110"/>
      <c r="AS704" s="110"/>
      <c r="AT704" s="110"/>
      <c r="AU704" s="110"/>
    </row>
    <row r="705" spans="1:47" ht="12.75" hidden="1">
      <c r="A705" s="110"/>
      <c r="B705" s="1009"/>
      <c r="C705" s="1010"/>
      <c r="D705" s="253"/>
      <c r="E705" s="1011"/>
      <c r="F705" s="262"/>
      <c r="G705" s="1011"/>
      <c r="H705" s="262"/>
      <c r="I705" s="1011"/>
      <c r="J705" s="262"/>
      <c r="K705" s="1011"/>
      <c r="L705" s="262"/>
      <c r="M705" s="1011"/>
      <c r="N705" s="262"/>
      <c r="O705" s="1011"/>
      <c r="P705" s="262"/>
      <c r="Q705" s="1011"/>
      <c r="R705" s="1012"/>
      <c r="S705" s="1011"/>
      <c r="T705" s="1012"/>
      <c r="U705" s="1010"/>
      <c r="V705" s="1012"/>
      <c r="W705" s="1010"/>
      <c r="X705" s="1012"/>
      <c r="Y705" s="1010"/>
      <c r="Z705" s="262"/>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row>
    <row r="706" spans="1:47" ht="12.75" hidden="1">
      <c r="A706" s="110"/>
      <c r="B706" s="1009"/>
      <c r="C706" s="1010"/>
      <c r="D706" s="253"/>
      <c r="E706" s="1011"/>
      <c r="F706" s="262"/>
      <c r="G706" s="1011"/>
      <c r="H706" s="262"/>
      <c r="I706" s="1011"/>
      <c r="J706" s="262"/>
      <c r="K706" s="1011"/>
      <c r="L706" s="262"/>
      <c r="M706" s="1011"/>
      <c r="N706" s="262"/>
      <c r="O706" s="1011"/>
      <c r="P706" s="262"/>
      <c r="Q706" s="1011"/>
      <c r="R706" s="1012"/>
      <c r="S706" s="1011"/>
      <c r="T706" s="1012"/>
      <c r="U706" s="1010"/>
      <c r="V706" s="1012"/>
      <c r="W706" s="1010"/>
      <c r="X706" s="1012"/>
      <c r="Y706" s="1010"/>
      <c r="Z706" s="262"/>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row>
    <row r="707" spans="1:47" ht="12.75" hidden="1">
      <c r="A707" s="110"/>
      <c r="B707" s="1009"/>
      <c r="C707" s="1010"/>
      <c r="D707" s="253"/>
      <c r="E707" s="1011"/>
      <c r="F707" s="262"/>
      <c r="G707" s="1011"/>
      <c r="H707" s="262"/>
      <c r="I707" s="1011"/>
      <c r="J707" s="262"/>
      <c r="K707" s="1011"/>
      <c r="L707" s="262"/>
      <c r="M707" s="1011"/>
      <c r="N707" s="262"/>
      <c r="O707" s="1011"/>
      <c r="P707" s="262"/>
      <c r="Q707" s="1011"/>
      <c r="R707" s="1012"/>
      <c r="S707" s="1011"/>
      <c r="T707" s="1012"/>
      <c r="U707" s="1010"/>
      <c r="V707" s="1012"/>
      <c r="W707" s="1010"/>
      <c r="X707" s="1012"/>
      <c r="Y707" s="1010"/>
      <c r="Z707" s="262"/>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row>
    <row r="708" spans="1:47" ht="12.75" hidden="1">
      <c r="A708" s="110"/>
      <c r="B708" s="1009"/>
      <c r="C708" s="1010"/>
      <c r="D708" s="253"/>
      <c r="E708" s="1011"/>
      <c r="F708" s="262"/>
      <c r="G708" s="1011"/>
      <c r="H708" s="262"/>
      <c r="I708" s="1011"/>
      <c r="J708" s="262"/>
      <c r="K708" s="1011"/>
      <c r="L708" s="262"/>
      <c r="M708" s="1011"/>
      <c r="N708" s="262"/>
      <c r="O708" s="1011"/>
      <c r="P708" s="262"/>
      <c r="Q708" s="1011"/>
      <c r="R708" s="1012"/>
      <c r="S708" s="1011"/>
      <c r="T708" s="1012"/>
      <c r="U708" s="1010"/>
      <c r="V708" s="1012"/>
      <c r="W708" s="1010"/>
      <c r="X708" s="1012"/>
      <c r="Y708" s="1010"/>
      <c r="Z708" s="262"/>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row>
    <row r="709" spans="1:47" ht="12.75" hidden="1">
      <c r="A709" s="110"/>
      <c r="B709" s="1009"/>
      <c r="C709" s="1010"/>
      <c r="D709" s="253"/>
      <c r="E709" s="1011"/>
      <c r="F709" s="262"/>
      <c r="G709" s="1011"/>
      <c r="H709" s="262"/>
      <c r="I709" s="1011"/>
      <c r="J709" s="262"/>
      <c r="K709" s="1011"/>
      <c r="L709" s="262"/>
      <c r="M709" s="1011"/>
      <c r="N709" s="262"/>
      <c r="O709" s="1011"/>
      <c r="P709" s="262"/>
      <c r="Q709" s="1011"/>
      <c r="R709" s="1012"/>
      <c r="S709" s="1011"/>
      <c r="T709" s="1012"/>
      <c r="U709" s="1010"/>
      <c r="V709" s="1012"/>
      <c r="W709" s="1010"/>
      <c r="X709" s="1012"/>
      <c r="Y709" s="1010"/>
      <c r="Z709" s="262"/>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row>
    <row r="710" spans="1:47" ht="12.75" hidden="1">
      <c r="A710" s="110"/>
      <c r="B710" s="1009"/>
      <c r="C710" s="1010"/>
      <c r="D710" s="253"/>
      <c r="E710" s="1011"/>
      <c r="F710" s="262"/>
      <c r="G710" s="1011"/>
      <c r="H710" s="262"/>
      <c r="I710" s="1011"/>
      <c r="J710" s="262"/>
      <c r="K710" s="1011"/>
      <c r="L710" s="262"/>
      <c r="M710" s="1011"/>
      <c r="N710" s="262"/>
      <c r="O710" s="1011"/>
      <c r="P710" s="262"/>
      <c r="Q710" s="1011"/>
      <c r="R710" s="1012"/>
      <c r="S710" s="1011"/>
      <c r="T710" s="1012"/>
      <c r="U710" s="1010"/>
      <c r="V710" s="1012"/>
      <c r="W710" s="1010"/>
      <c r="X710" s="1012"/>
      <c r="Y710" s="1010"/>
      <c r="Z710" s="262"/>
      <c r="AA710" s="110"/>
      <c r="AB710" s="110"/>
      <c r="AC710" s="110"/>
      <c r="AD710" s="110"/>
      <c r="AE710" s="110"/>
      <c r="AF710" s="110"/>
      <c r="AG710" s="110"/>
      <c r="AH710" s="110"/>
      <c r="AI710" s="110"/>
      <c r="AJ710" s="110"/>
      <c r="AK710" s="110"/>
      <c r="AL710" s="110"/>
      <c r="AM710" s="110"/>
      <c r="AN710" s="110"/>
      <c r="AO710" s="110"/>
      <c r="AP710" s="110"/>
      <c r="AQ710" s="110"/>
      <c r="AR710" s="110"/>
      <c r="AS710" s="110"/>
      <c r="AT710" s="110"/>
      <c r="AU710" s="110"/>
    </row>
    <row r="711" spans="1:47" ht="12.75" hidden="1">
      <c r="A711" s="110"/>
      <c r="B711" s="1009"/>
      <c r="C711" s="1010"/>
      <c r="D711" s="253"/>
      <c r="E711" s="1011"/>
      <c r="F711" s="262"/>
      <c r="G711" s="1011"/>
      <c r="H711" s="262"/>
      <c r="I711" s="1011"/>
      <c r="J711" s="262"/>
      <c r="K711" s="1011"/>
      <c r="L711" s="262"/>
      <c r="M711" s="1011"/>
      <c r="N711" s="262"/>
      <c r="O711" s="1011"/>
      <c r="P711" s="262"/>
      <c r="Q711" s="1011"/>
      <c r="R711" s="1012"/>
      <c r="S711" s="1011"/>
      <c r="T711" s="1012"/>
      <c r="U711" s="1010"/>
      <c r="V711" s="1012"/>
      <c r="W711" s="1010"/>
      <c r="X711" s="1012"/>
      <c r="Y711" s="1010"/>
      <c r="Z711" s="262"/>
      <c r="AA711" s="110"/>
      <c r="AB711" s="110"/>
      <c r="AC711" s="110"/>
      <c r="AD711" s="110"/>
      <c r="AE711" s="110"/>
      <c r="AF711" s="110"/>
      <c r="AG711" s="110"/>
      <c r="AH711" s="110"/>
      <c r="AI711" s="110"/>
      <c r="AJ711" s="110"/>
      <c r="AK711" s="110"/>
      <c r="AL711" s="110"/>
      <c r="AM711" s="110"/>
      <c r="AN711" s="110"/>
      <c r="AO711" s="110"/>
      <c r="AP711" s="110"/>
      <c r="AQ711" s="110"/>
      <c r="AR711" s="110"/>
      <c r="AS711" s="110"/>
      <c r="AT711" s="110"/>
      <c r="AU711" s="110"/>
    </row>
    <row r="712" spans="1:47" ht="12.75" hidden="1">
      <c r="A712" s="110"/>
      <c r="B712" s="1009"/>
      <c r="C712" s="1010"/>
      <c r="D712" s="253"/>
      <c r="E712" s="1011"/>
      <c r="F712" s="262"/>
      <c r="G712" s="1011"/>
      <c r="H712" s="262"/>
      <c r="I712" s="1011"/>
      <c r="J712" s="262"/>
      <c r="K712" s="1011"/>
      <c r="L712" s="262"/>
      <c r="M712" s="1011"/>
      <c r="N712" s="262"/>
      <c r="O712" s="1011"/>
      <c r="P712" s="262"/>
      <c r="Q712" s="1011"/>
      <c r="R712" s="1012"/>
      <c r="S712" s="1011"/>
      <c r="T712" s="1012"/>
      <c r="U712" s="1010"/>
      <c r="V712" s="1012"/>
      <c r="W712" s="1010"/>
      <c r="X712" s="1012"/>
      <c r="Y712" s="1010"/>
      <c r="Z712" s="262"/>
      <c r="AA712" s="110"/>
      <c r="AB712" s="110"/>
      <c r="AC712" s="110"/>
      <c r="AD712" s="110"/>
      <c r="AE712" s="110"/>
      <c r="AF712" s="110"/>
      <c r="AG712" s="110"/>
      <c r="AH712" s="110"/>
      <c r="AI712" s="110"/>
      <c r="AJ712" s="110"/>
      <c r="AK712" s="110"/>
      <c r="AL712" s="110"/>
      <c r="AM712" s="110"/>
      <c r="AN712" s="110"/>
      <c r="AO712" s="110"/>
      <c r="AP712" s="110"/>
      <c r="AQ712" s="110"/>
      <c r="AR712" s="110"/>
      <c r="AS712" s="110"/>
      <c r="AT712" s="110"/>
      <c r="AU712" s="110"/>
    </row>
    <row r="713" spans="1:47" ht="12.75" hidden="1">
      <c r="A713" s="110"/>
      <c r="B713" s="1009"/>
      <c r="C713" s="1010"/>
      <c r="D713" s="253"/>
      <c r="E713" s="1011"/>
      <c r="F713" s="262"/>
      <c r="G713" s="1011"/>
      <c r="H713" s="262"/>
      <c r="I713" s="1011"/>
      <c r="J713" s="262"/>
      <c r="K713" s="1011"/>
      <c r="L713" s="262"/>
      <c r="M713" s="1011"/>
      <c r="N713" s="262"/>
      <c r="O713" s="1011"/>
      <c r="P713" s="262"/>
      <c r="Q713" s="1011"/>
      <c r="R713" s="1012"/>
      <c r="S713" s="1011"/>
      <c r="T713" s="1012"/>
      <c r="U713" s="1010"/>
      <c r="V713" s="1012"/>
      <c r="W713" s="1010"/>
      <c r="X713" s="1012"/>
      <c r="Y713" s="1010"/>
      <c r="Z713" s="262"/>
      <c r="AA713" s="110"/>
      <c r="AB713" s="110"/>
      <c r="AC713" s="110"/>
      <c r="AD713" s="110"/>
      <c r="AE713" s="110"/>
      <c r="AF713" s="110"/>
      <c r="AG713" s="110"/>
      <c r="AH713" s="110"/>
      <c r="AI713" s="110"/>
      <c r="AJ713" s="110"/>
      <c r="AK713" s="110"/>
      <c r="AL713" s="110"/>
      <c r="AM713" s="110"/>
      <c r="AN713" s="110"/>
      <c r="AO713" s="110"/>
      <c r="AP713" s="110"/>
      <c r="AQ713" s="110"/>
      <c r="AR713" s="110"/>
      <c r="AS713" s="110"/>
      <c r="AT713" s="110"/>
      <c r="AU713" s="110"/>
    </row>
    <row r="714" spans="1:47" ht="12.75" hidden="1">
      <c r="A714" s="110"/>
      <c r="B714" s="1009"/>
      <c r="C714" s="1010"/>
      <c r="D714" s="253"/>
      <c r="E714" s="1011"/>
      <c r="F714" s="262"/>
      <c r="G714" s="1011"/>
      <c r="H714" s="262"/>
      <c r="I714" s="1011"/>
      <c r="J714" s="262"/>
      <c r="K714" s="1011"/>
      <c r="L714" s="262"/>
      <c r="M714" s="1011"/>
      <c r="N714" s="262"/>
      <c r="O714" s="1011"/>
      <c r="P714" s="262"/>
      <c r="Q714" s="1011"/>
      <c r="R714" s="1012"/>
      <c r="S714" s="1011"/>
      <c r="T714" s="1012"/>
      <c r="U714" s="1010"/>
      <c r="V714" s="1012"/>
      <c r="W714" s="1010"/>
      <c r="X714" s="1012"/>
      <c r="Y714" s="1010"/>
      <c r="Z714" s="262"/>
      <c r="AA714" s="110"/>
      <c r="AB714" s="110"/>
      <c r="AC714" s="110"/>
      <c r="AD714" s="110"/>
      <c r="AE714" s="110"/>
      <c r="AF714" s="110"/>
      <c r="AG714" s="110"/>
      <c r="AH714" s="110"/>
      <c r="AI714" s="110"/>
      <c r="AJ714" s="110"/>
      <c r="AK714" s="110"/>
      <c r="AL714" s="110"/>
      <c r="AM714" s="110"/>
      <c r="AN714" s="110"/>
      <c r="AO714" s="110"/>
      <c r="AP714" s="110"/>
      <c r="AQ714" s="110"/>
      <c r="AR714" s="110"/>
      <c r="AS714" s="110"/>
      <c r="AT714" s="110"/>
      <c r="AU714" s="110"/>
    </row>
    <row r="715" spans="1:47" ht="12.75" hidden="1">
      <c r="A715" s="110"/>
      <c r="B715" s="1009"/>
      <c r="C715" s="1010"/>
      <c r="D715" s="253"/>
      <c r="E715" s="1011"/>
      <c r="F715" s="262"/>
      <c r="G715" s="1011"/>
      <c r="H715" s="262"/>
      <c r="I715" s="1011"/>
      <c r="J715" s="262"/>
      <c r="K715" s="1011"/>
      <c r="L715" s="262"/>
      <c r="M715" s="1011"/>
      <c r="N715" s="262"/>
      <c r="O715" s="1011"/>
      <c r="P715" s="262"/>
      <c r="Q715" s="1011"/>
      <c r="R715" s="1012"/>
      <c r="S715" s="1011"/>
      <c r="T715" s="1012"/>
      <c r="U715" s="1010"/>
      <c r="V715" s="1012"/>
      <c r="W715" s="1010"/>
      <c r="X715" s="1012"/>
      <c r="Y715" s="1010"/>
      <c r="Z715" s="262"/>
      <c r="AA715" s="110"/>
      <c r="AB715" s="110"/>
      <c r="AC715" s="110"/>
      <c r="AD715" s="110"/>
      <c r="AE715" s="110"/>
      <c r="AF715" s="110"/>
      <c r="AG715" s="110"/>
      <c r="AH715" s="110"/>
      <c r="AI715" s="110"/>
      <c r="AJ715" s="110"/>
      <c r="AK715" s="110"/>
      <c r="AL715" s="110"/>
      <c r="AM715" s="110"/>
      <c r="AN715" s="110"/>
      <c r="AO715" s="110"/>
      <c r="AP715" s="110"/>
      <c r="AQ715" s="110"/>
      <c r="AR715" s="110"/>
      <c r="AS715" s="110"/>
      <c r="AT715" s="110"/>
      <c r="AU715" s="110"/>
    </row>
    <row r="716" spans="1:47" ht="12.75" hidden="1">
      <c r="A716" s="110"/>
      <c r="B716" s="1009"/>
      <c r="C716" s="1010"/>
      <c r="D716" s="253"/>
      <c r="E716" s="1011"/>
      <c r="F716" s="262"/>
      <c r="G716" s="1011"/>
      <c r="H716" s="262"/>
      <c r="I716" s="1011"/>
      <c r="J716" s="262"/>
      <c r="K716" s="1011"/>
      <c r="L716" s="262"/>
      <c r="M716" s="1011"/>
      <c r="N716" s="262"/>
      <c r="O716" s="1011"/>
      <c r="P716" s="262"/>
      <c r="Q716" s="1011"/>
      <c r="R716" s="1012"/>
      <c r="S716" s="1011"/>
      <c r="T716" s="1012"/>
      <c r="U716" s="1010"/>
      <c r="V716" s="1012"/>
      <c r="W716" s="1010"/>
      <c r="X716" s="1012"/>
      <c r="Y716" s="1010"/>
      <c r="Z716" s="262"/>
      <c r="AA716" s="110"/>
      <c r="AB716" s="110"/>
      <c r="AC716" s="110"/>
      <c r="AD716" s="110"/>
      <c r="AE716" s="110"/>
      <c r="AF716" s="110"/>
      <c r="AG716" s="110"/>
      <c r="AH716" s="110"/>
      <c r="AI716" s="110"/>
      <c r="AJ716" s="110"/>
      <c r="AK716" s="110"/>
      <c r="AL716" s="110"/>
      <c r="AM716" s="110"/>
      <c r="AN716" s="110"/>
      <c r="AO716" s="110"/>
      <c r="AP716" s="110"/>
      <c r="AQ716" s="110"/>
      <c r="AR716" s="110"/>
      <c r="AS716" s="110"/>
      <c r="AT716" s="110"/>
      <c r="AU716" s="110"/>
    </row>
    <row r="717" spans="1:47" ht="12.75" hidden="1">
      <c r="A717" s="110"/>
      <c r="B717" s="1009"/>
      <c r="C717" s="1010"/>
      <c r="D717" s="253"/>
      <c r="E717" s="1011"/>
      <c r="F717" s="262"/>
      <c r="G717" s="1011"/>
      <c r="H717" s="262"/>
      <c r="I717" s="1011"/>
      <c r="J717" s="262"/>
      <c r="K717" s="1011"/>
      <c r="L717" s="262"/>
      <c r="M717" s="1011"/>
      <c r="N717" s="262"/>
      <c r="O717" s="1011"/>
      <c r="P717" s="262"/>
      <c r="Q717" s="1011"/>
      <c r="R717" s="1012"/>
      <c r="S717" s="1011"/>
      <c r="T717" s="1012"/>
      <c r="U717" s="1010"/>
      <c r="V717" s="1012"/>
      <c r="W717" s="1010"/>
      <c r="X717" s="1012"/>
      <c r="Y717" s="1010"/>
      <c r="Z717" s="262"/>
      <c r="AA717" s="110"/>
      <c r="AB717" s="110"/>
      <c r="AC717" s="110"/>
      <c r="AD717" s="110"/>
      <c r="AE717" s="110"/>
      <c r="AF717" s="110"/>
      <c r="AG717" s="110"/>
      <c r="AH717" s="110"/>
      <c r="AI717" s="110"/>
      <c r="AJ717" s="110"/>
      <c r="AK717" s="110"/>
      <c r="AL717" s="110"/>
      <c r="AM717" s="110"/>
      <c r="AN717" s="110"/>
      <c r="AO717" s="110"/>
      <c r="AP717" s="110"/>
      <c r="AQ717" s="110"/>
      <c r="AR717" s="110"/>
      <c r="AS717" s="110"/>
      <c r="AT717" s="110"/>
      <c r="AU717" s="110"/>
    </row>
    <row r="718" spans="1:47" ht="12.75" hidden="1">
      <c r="A718" s="110"/>
      <c r="B718" s="1009"/>
      <c r="C718" s="1010"/>
      <c r="D718" s="253"/>
      <c r="E718" s="1011"/>
      <c r="F718" s="262"/>
      <c r="G718" s="1011"/>
      <c r="H718" s="262"/>
      <c r="I718" s="1011"/>
      <c r="J718" s="262"/>
      <c r="K718" s="1011"/>
      <c r="L718" s="262"/>
      <c r="M718" s="1011"/>
      <c r="N718" s="262"/>
      <c r="O718" s="1011"/>
      <c r="P718" s="262"/>
      <c r="Q718" s="1011"/>
      <c r="R718" s="1012"/>
      <c r="S718" s="1011"/>
      <c r="T718" s="1012"/>
      <c r="U718" s="1010"/>
      <c r="V718" s="1012"/>
      <c r="W718" s="1010"/>
      <c r="X718" s="1012"/>
      <c r="Y718" s="1010"/>
      <c r="Z718" s="262"/>
      <c r="AA718" s="110"/>
      <c r="AB718" s="110"/>
      <c r="AC718" s="110"/>
      <c r="AD718" s="110"/>
      <c r="AE718" s="110"/>
      <c r="AF718" s="110"/>
      <c r="AG718" s="110"/>
      <c r="AH718" s="110"/>
      <c r="AI718" s="110"/>
      <c r="AJ718" s="110"/>
      <c r="AK718" s="110"/>
      <c r="AL718" s="110"/>
      <c r="AM718" s="110"/>
      <c r="AN718" s="110"/>
      <c r="AO718" s="110"/>
      <c r="AP718" s="110"/>
      <c r="AQ718" s="110"/>
      <c r="AR718" s="110"/>
      <c r="AS718" s="110"/>
      <c r="AT718" s="110"/>
      <c r="AU718" s="110"/>
    </row>
    <row r="719" spans="1:47" ht="12.75" hidden="1">
      <c r="A719" s="110"/>
      <c r="B719" s="1009"/>
      <c r="C719" s="1010"/>
      <c r="D719" s="253"/>
      <c r="E719" s="1011"/>
      <c r="F719" s="262"/>
      <c r="G719" s="1011"/>
      <c r="H719" s="262"/>
      <c r="I719" s="1011"/>
      <c r="J719" s="262"/>
      <c r="K719" s="1011"/>
      <c r="L719" s="262"/>
      <c r="M719" s="1011"/>
      <c r="N719" s="262"/>
      <c r="O719" s="1011"/>
      <c r="P719" s="262"/>
      <c r="Q719" s="1011"/>
      <c r="R719" s="1012"/>
      <c r="S719" s="1011"/>
      <c r="T719" s="1012"/>
      <c r="U719" s="1010"/>
      <c r="V719" s="1012"/>
      <c r="W719" s="1010"/>
      <c r="X719" s="1012"/>
      <c r="Y719" s="1010"/>
      <c r="Z719" s="262"/>
      <c r="AA719" s="110"/>
      <c r="AB719" s="110"/>
      <c r="AC719" s="110"/>
      <c r="AD719" s="110"/>
      <c r="AE719" s="110"/>
      <c r="AF719" s="110"/>
      <c r="AG719" s="110"/>
      <c r="AH719" s="110"/>
      <c r="AI719" s="110"/>
      <c r="AJ719" s="110"/>
      <c r="AK719" s="110"/>
      <c r="AL719" s="110"/>
      <c r="AM719" s="110"/>
      <c r="AN719" s="110"/>
      <c r="AO719" s="110"/>
      <c r="AP719" s="110"/>
      <c r="AQ719" s="110"/>
      <c r="AR719" s="110"/>
      <c r="AS719" s="110"/>
      <c r="AT719" s="110"/>
      <c r="AU719" s="110"/>
    </row>
    <row r="720" spans="1:47" ht="12.75" hidden="1">
      <c r="A720" s="110"/>
      <c r="B720" s="1009"/>
      <c r="C720" s="1010"/>
      <c r="D720" s="253"/>
      <c r="E720" s="1011"/>
      <c r="F720" s="262"/>
      <c r="G720" s="1011"/>
      <c r="H720" s="262"/>
      <c r="I720" s="1011"/>
      <c r="J720" s="262"/>
      <c r="K720" s="1011"/>
      <c r="L720" s="262"/>
      <c r="M720" s="1011"/>
      <c r="N720" s="262"/>
      <c r="O720" s="1011"/>
      <c r="P720" s="262"/>
      <c r="Q720" s="1011"/>
      <c r="R720" s="1012"/>
      <c r="S720" s="1011"/>
      <c r="T720" s="1012"/>
      <c r="U720" s="1010"/>
      <c r="V720" s="1012"/>
      <c r="W720" s="1010"/>
      <c r="X720" s="1012"/>
      <c r="Y720" s="1010"/>
      <c r="Z720" s="262"/>
      <c r="AA720" s="110"/>
      <c r="AB720" s="110"/>
      <c r="AC720" s="110"/>
      <c r="AD720" s="110"/>
      <c r="AE720" s="110"/>
      <c r="AF720" s="110"/>
      <c r="AG720" s="110"/>
      <c r="AH720" s="110"/>
      <c r="AI720" s="110"/>
      <c r="AJ720" s="110"/>
      <c r="AK720" s="110"/>
      <c r="AL720" s="110"/>
      <c r="AM720" s="110"/>
      <c r="AN720" s="110"/>
      <c r="AO720" s="110"/>
      <c r="AP720" s="110"/>
      <c r="AQ720" s="110"/>
      <c r="AR720" s="110"/>
      <c r="AS720" s="110"/>
      <c r="AT720" s="110"/>
      <c r="AU720" s="110"/>
    </row>
    <row r="721" spans="1:47" ht="12.75" hidden="1">
      <c r="A721" s="110"/>
      <c r="B721" s="1009"/>
      <c r="C721" s="1010"/>
      <c r="D721" s="253"/>
      <c r="E721" s="1011"/>
      <c r="F721" s="262"/>
      <c r="G721" s="1011"/>
      <c r="H721" s="262"/>
      <c r="I721" s="1011"/>
      <c r="J721" s="262"/>
      <c r="K721" s="1011"/>
      <c r="L721" s="262"/>
      <c r="M721" s="1011"/>
      <c r="N721" s="262"/>
      <c r="O721" s="1011"/>
      <c r="P721" s="262"/>
      <c r="Q721" s="1011"/>
      <c r="R721" s="1012"/>
      <c r="S721" s="1011"/>
      <c r="T721" s="1012"/>
      <c r="U721" s="1010"/>
      <c r="V721" s="1012"/>
      <c r="W721" s="1010"/>
      <c r="X721" s="1012"/>
      <c r="Y721" s="1010"/>
      <c r="Z721" s="262"/>
      <c r="AA721" s="110"/>
      <c r="AB721" s="110"/>
      <c r="AC721" s="110"/>
      <c r="AD721" s="110"/>
      <c r="AE721" s="110"/>
      <c r="AF721" s="110"/>
      <c r="AG721" s="110"/>
      <c r="AH721" s="110"/>
      <c r="AI721" s="110"/>
      <c r="AJ721" s="110"/>
      <c r="AK721" s="110"/>
      <c r="AL721" s="110"/>
      <c r="AM721" s="110"/>
      <c r="AN721" s="110"/>
      <c r="AO721" s="110"/>
      <c r="AP721" s="110"/>
      <c r="AQ721" s="110"/>
      <c r="AR721" s="110"/>
      <c r="AS721" s="110"/>
      <c r="AT721" s="110"/>
      <c r="AU721" s="110"/>
    </row>
    <row r="722" spans="1:47" ht="12.75" hidden="1">
      <c r="A722" s="110"/>
      <c r="B722" s="1009"/>
      <c r="C722" s="1010"/>
      <c r="D722" s="253"/>
      <c r="E722" s="1011"/>
      <c r="F722" s="262"/>
      <c r="G722" s="1011"/>
      <c r="H722" s="262"/>
      <c r="I722" s="1011"/>
      <c r="J722" s="262"/>
      <c r="K722" s="1011"/>
      <c r="L722" s="262"/>
      <c r="M722" s="1011"/>
      <c r="N722" s="262"/>
      <c r="O722" s="1011"/>
      <c r="P722" s="262"/>
      <c r="Q722" s="1011"/>
      <c r="R722" s="1012"/>
      <c r="S722" s="1011"/>
      <c r="T722" s="1012"/>
      <c r="U722" s="1010"/>
      <c r="V722" s="1012"/>
      <c r="W722" s="1010"/>
      <c r="X722" s="1012"/>
      <c r="Y722" s="1010"/>
      <c r="Z722" s="262"/>
      <c r="AA722" s="110"/>
      <c r="AB722" s="110"/>
      <c r="AC722" s="110"/>
      <c r="AD722" s="110"/>
      <c r="AE722" s="110"/>
      <c r="AF722" s="110"/>
      <c r="AG722" s="110"/>
      <c r="AH722" s="110"/>
      <c r="AI722" s="110"/>
      <c r="AJ722" s="110"/>
      <c r="AK722" s="110"/>
      <c r="AL722" s="110"/>
      <c r="AM722" s="110"/>
      <c r="AN722" s="110"/>
      <c r="AO722" s="110"/>
      <c r="AP722" s="110"/>
      <c r="AQ722" s="110"/>
      <c r="AR722" s="110"/>
      <c r="AS722" s="110"/>
      <c r="AT722" s="110"/>
      <c r="AU722" s="110"/>
    </row>
    <row r="723" spans="1:47" ht="12.75" hidden="1">
      <c r="A723" s="110"/>
      <c r="B723" s="1009"/>
      <c r="C723" s="1010"/>
      <c r="D723" s="253"/>
      <c r="E723" s="1011"/>
      <c r="F723" s="262"/>
      <c r="G723" s="1011"/>
      <c r="H723" s="262"/>
      <c r="I723" s="1011"/>
      <c r="J723" s="262"/>
      <c r="K723" s="1011"/>
      <c r="L723" s="262"/>
      <c r="M723" s="1011"/>
      <c r="N723" s="262"/>
      <c r="O723" s="1011"/>
      <c r="P723" s="262"/>
      <c r="Q723" s="1011"/>
      <c r="R723" s="1012"/>
      <c r="S723" s="1011"/>
      <c r="T723" s="1012"/>
      <c r="U723" s="1010"/>
      <c r="V723" s="1012"/>
      <c r="W723" s="1010"/>
      <c r="X723" s="1012"/>
      <c r="Y723" s="1010"/>
      <c r="Z723" s="262"/>
      <c r="AA723" s="110"/>
      <c r="AB723" s="110"/>
      <c r="AC723" s="110"/>
      <c r="AD723" s="110"/>
      <c r="AE723" s="110"/>
      <c r="AF723" s="110"/>
      <c r="AG723" s="110"/>
      <c r="AH723" s="110"/>
      <c r="AI723" s="110"/>
      <c r="AJ723" s="110"/>
      <c r="AK723" s="110"/>
      <c r="AL723" s="110"/>
      <c r="AM723" s="110"/>
      <c r="AN723" s="110"/>
      <c r="AO723" s="110"/>
      <c r="AP723" s="110"/>
      <c r="AQ723" s="110"/>
      <c r="AR723" s="110"/>
      <c r="AS723" s="110"/>
      <c r="AT723" s="110"/>
      <c r="AU723" s="110"/>
    </row>
    <row r="724" spans="1:47" ht="12.75" hidden="1">
      <c r="A724" s="110"/>
      <c r="B724" s="1009"/>
      <c r="C724" s="1010"/>
      <c r="D724" s="253"/>
      <c r="E724" s="1011"/>
      <c r="F724" s="262"/>
      <c r="G724" s="1011"/>
      <c r="H724" s="262"/>
      <c r="I724" s="1011"/>
      <c r="J724" s="262"/>
      <c r="K724" s="1011"/>
      <c r="L724" s="262"/>
      <c r="M724" s="1011"/>
      <c r="N724" s="262"/>
      <c r="O724" s="1011"/>
      <c r="P724" s="262"/>
      <c r="Q724" s="1011"/>
      <c r="R724" s="1012"/>
      <c r="S724" s="1011"/>
      <c r="T724" s="1012"/>
      <c r="U724" s="1010"/>
      <c r="V724" s="1012"/>
      <c r="W724" s="1010"/>
      <c r="X724" s="1012"/>
      <c r="Y724" s="1010"/>
      <c r="Z724" s="262"/>
      <c r="AA724" s="110"/>
      <c r="AB724" s="110"/>
      <c r="AC724" s="110"/>
      <c r="AD724" s="110"/>
      <c r="AE724" s="110"/>
      <c r="AF724" s="110"/>
      <c r="AG724" s="110"/>
      <c r="AH724" s="110"/>
      <c r="AI724" s="110"/>
      <c r="AJ724" s="110"/>
      <c r="AK724" s="110"/>
      <c r="AL724" s="110"/>
      <c r="AM724" s="110"/>
      <c r="AN724" s="110"/>
      <c r="AO724" s="110"/>
      <c r="AP724" s="110"/>
      <c r="AQ724" s="110"/>
      <c r="AR724" s="110"/>
      <c r="AS724" s="110"/>
      <c r="AT724" s="110"/>
      <c r="AU724" s="110"/>
    </row>
    <row r="725" spans="1:47" ht="12.75" hidden="1">
      <c r="A725" s="110"/>
      <c r="B725" s="1009"/>
      <c r="C725" s="1010"/>
      <c r="D725" s="253"/>
      <c r="E725" s="1011"/>
      <c r="F725" s="262"/>
      <c r="G725" s="1011"/>
      <c r="H725" s="262"/>
      <c r="I725" s="1011"/>
      <c r="J725" s="262"/>
      <c r="K725" s="1011"/>
      <c r="L725" s="262"/>
      <c r="M725" s="1011"/>
      <c r="N725" s="262"/>
      <c r="O725" s="1011"/>
      <c r="P725" s="262"/>
      <c r="Q725" s="1011"/>
      <c r="R725" s="1012"/>
      <c r="S725" s="1011"/>
      <c r="T725" s="1012"/>
      <c r="U725" s="1010"/>
      <c r="V725" s="1012"/>
      <c r="W725" s="1010"/>
      <c r="X725" s="1012"/>
      <c r="Y725" s="1010"/>
      <c r="Z725" s="262"/>
      <c r="AA725" s="110"/>
      <c r="AB725" s="110"/>
      <c r="AC725" s="110"/>
      <c r="AD725" s="110"/>
      <c r="AE725" s="110"/>
      <c r="AF725" s="110"/>
      <c r="AG725" s="110"/>
      <c r="AH725" s="110"/>
      <c r="AI725" s="110"/>
      <c r="AJ725" s="110"/>
      <c r="AK725" s="110"/>
      <c r="AL725" s="110"/>
      <c r="AM725" s="110"/>
      <c r="AN725" s="110"/>
      <c r="AO725" s="110"/>
      <c r="AP725" s="110"/>
      <c r="AQ725" s="110"/>
      <c r="AR725" s="110"/>
      <c r="AS725" s="110"/>
      <c r="AT725" s="110"/>
      <c r="AU725" s="110"/>
    </row>
    <row r="726" spans="1:47" ht="12.75" hidden="1">
      <c r="A726" s="110"/>
      <c r="B726" s="1009"/>
      <c r="C726" s="1010"/>
      <c r="D726" s="253"/>
      <c r="E726" s="1011"/>
      <c r="F726" s="262"/>
      <c r="G726" s="1011"/>
      <c r="H726" s="262"/>
      <c r="I726" s="1011"/>
      <c r="J726" s="262"/>
      <c r="K726" s="1011"/>
      <c r="L726" s="262"/>
      <c r="M726" s="1011"/>
      <c r="N726" s="262"/>
      <c r="O726" s="1011"/>
      <c r="P726" s="262"/>
      <c r="Q726" s="1011"/>
      <c r="R726" s="1012"/>
      <c r="S726" s="1011"/>
      <c r="T726" s="1012"/>
      <c r="U726" s="1010"/>
      <c r="V726" s="1012"/>
      <c r="W726" s="1010"/>
      <c r="X726" s="1012"/>
      <c r="Y726" s="1010"/>
      <c r="Z726" s="262"/>
      <c r="AA726" s="110"/>
      <c r="AB726" s="110"/>
      <c r="AC726" s="110"/>
      <c r="AD726" s="110"/>
      <c r="AE726" s="110"/>
      <c r="AF726" s="110"/>
      <c r="AG726" s="110"/>
      <c r="AH726" s="110"/>
      <c r="AI726" s="110"/>
      <c r="AJ726" s="110"/>
      <c r="AK726" s="110"/>
      <c r="AL726" s="110"/>
      <c r="AM726" s="110"/>
      <c r="AN726" s="110"/>
      <c r="AO726" s="110"/>
      <c r="AP726" s="110"/>
      <c r="AQ726" s="110"/>
      <c r="AR726" s="110"/>
      <c r="AS726" s="110"/>
      <c r="AT726" s="110"/>
      <c r="AU726" s="110"/>
    </row>
    <row r="727" spans="1:47" ht="12.75" hidden="1">
      <c r="A727" s="110"/>
      <c r="B727" s="1009"/>
      <c r="C727" s="1010"/>
      <c r="D727" s="253"/>
      <c r="E727" s="1011"/>
      <c r="F727" s="262"/>
      <c r="G727" s="1011"/>
      <c r="H727" s="262"/>
      <c r="I727" s="1011"/>
      <c r="J727" s="262"/>
      <c r="K727" s="1011"/>
      <c r="L727" s="262"/>
      <c r="M727" s="1011"/>
      <c r="N727" s="262"/>
      <c r="O727" s="1011"/>
      <c r="P727" s="262"/>
      <c r="Q727" s="1011"/>
      <c r="R727" s="1012"/>
      <c r="S727" s="1011"/>
      <c r="T727" s="1012"/>
      <c r="U727" s="1010"/>
      <c r="V727" s="1012"/>
      <c r="W727" s="1010"/>
      <c r="X727" s="1012"/>
      <c r="Y727" s="1010"/>
      <c r="Z727" s="262"/>
      <c r="AA727" s="110"/>
      <c r="AB727" s="110"/>
      <c r="AC727" s="110"/>
      <c r="AD727" s="110"/>
      <c r="AE727" s="110"/>
      <c r="AF727" s="110"/>
      <c r="AG727" s="110"/>
      <c r="AH727" s="110"/>
      <c r="AI727" s="110"/>
      <c r="AJ727" s="110"/>
      <c r="AK727" s="110"/>
      <c r="AL727" s="110"/>
      <c r="AM727" s="110"/>
      <c r="AN727" s="110"/>
      <c r="AO727" s="110"/>
      <c r="AP727" s="110"/>
      <c r="AQ727" s="110"/>
      <c r="AR727" s="110"/>
      <c r="AS727" s="110"/>
      <c r="AT727" s="110"/>
      <c r="AU727" s="110"/>
    </row>
    <row r="728" spans="1:47" ht="12.75" hidden="1">
      <c r="A728" s="110"/>
      <c r="B728" s="1009"/>
      <c r="C728" s="1010"/>
      <c r="D728" s="253"/>
      <c r="E728" s="1011"/>
      <c r="F728" s="262"/>
      <c r="G728" s="1011"/>
      <c r="H728" s="262"/>
      <c r="I728" s="1011"/>
      <c r="J728" s="262"/>
      <c r="K728" s="1011"/>
      <c r="L728" s="262"/>
      <c r="M728" s="1011"/>
      <c r="N728" s="262"/>
      <c r="O728" s="1011"/>
      <c r="P728" s="262"/>
      <c r="Q728" s="1011"/>
      <c r="R728" s="1012"/>
      <c r="S728" s="1011"/>
      <c r="T728" s="1012"/>
      <c r="U728" s="1010"/>
      <c r="V728" s="1012"/>
      <c r="W728" s="1010"/>
      <c r="X728" s="1012"/>
      <c r="Y728" s="1010"/>
      <c r="Z728" s="262"/>
      <c r="AA728" s="110"/>
      <c r="AB728" s="110"/>
      <c r="AC728" s="110"/>
      <c r="AD728" s="110"/>
      <c r="AE728" s="110"/>
      <c r="AF728" s="110"/>
      <c r="AG728" s="110"/>
      <c r="AH728" s="110"/>
      <c r="AI728" s="110"/>
      <c r="AJ728" s="110"/>
      <c r="AK728" s="110"/>
      <c r="AL728" s="110"/>
      <c r="AM728" s="110"/>
      <c r="AN728" s="110"/>
      <c r="AO728" s="110"/>
      <c r="AP728" s="110"/>
      <c r="AQ728" s="110"/>
      <c r="AR728" s="110"/>
      <c r="AS728" s="110"/>
      <c r="AT728" s="110"/>
      <c r="AU728" s="110"/>
    </row>
    <row r="729" spans="1:47" ht="12.75" hidden="1">
      <c r="A729" s="110"/>
      <c r="B729" s="1009"/>
      <c r="C729" s="1010"/>
      <c r="D729" s="253"/>
      <c r="E729" s="1011"/>
      <c r="F729" s="262"/>
      <c r="G729" s="1011"/>
      <c r="H729" s="262"/>
      <c r="I729" s="1011"/>
      <c r="J729" s="262"/>
      <c r="K729" s="1011"/>
      <c r="L729" s="262"/>
      <c r="M729" s="1011"/>
      <c r="N729" s="262"/>
      <c r="O729" s="1011"/>
      <c r="P729" s="262"/>
      <c r="Q729" s="1011"/>
      <c r="R729" s="1012"/>
      <c r="S729" s="1011"/>
      <c r="T729" s="1012"/>
      <c r="U729" s="1010"/>
      <c r="V729" s="1012"/>
      <c r="W729" s="1010"/>
      <c r="X729" s="1012"/>
      <c r="Y729" s="1010"/>
      <c r="Z729" s="262"/>
      <c r="AA729" s="110"/>
      <c r="AB729" s="110"/>
      <c r="AC729" s="110"/>
      <c r="AD729" s="110"/>
      <c r="AE729" s="110"/>
      <c r="AF729" s="110"/>
      <c r="AG729" s="110"/>
      <c r="AH729" s="110"/>
      <c r="AI729" s="110"/>
      <c r="AJ729" s="110"/>
      <c r="AK729" s="110"/>
      <c r="AL729" s="110"/>
      <c r="AM729" s="110"/>
      <c r="AN729" s="110"/>
      <c r="AO729" s="110"/>
      <c r="AP729" s="110"/>
      <c r="AQ729" s="110"/>
      <c r="AR729" s="110"/>
      <c r="AS729" s="110"/>
      <c r="AT729" s="110"/>
      <c r="AU729" s="110"/>
    </row>
    <row r="730" spans="1:47" ht="12.75" hidden="1">
      <c r="A730" s="110"/>
      <c r="B730" s="1009"/>
      <c r="C730" s="1010"/>
      <c r="D730" s="253"/>
      <c r="E730" s="1011"/>
      <c r="F730" s="262"/>
      <c r="G730" s="1011"/>
      <c r="H730" s="262"/>
      <c r="I730" s="1011"/>
      <c r="J730" s="262"/>
      <c r="K730" s="1011"/>
      <c r="L730" s="262"/>
      <c r="M730" s="1011"/>
      <c r="N730" s="262"/>
      <c r="O730" s="1011"/>
      <c r="P730" s="262"/>
      <c r="Q730" s="1011"/>
      <c r="R730" s="1012"/>
      <c r="S730" s="1011"/>
      <c r="T730" s="1012"/>
      <c r="U730" s="1010"/>
      <c r="V730" s="1012"/>
      <c r="W730" s="1010"/>
      <c r="X730" s="1012"/>
      <c r="Y730" s="1010"/>
      <c r="Z730" s="262"/>
      <c r="AA730" s="110"/>
      <c r="AB730" s="110"/>
      <c r="AC730" s="110"/>
      <c r="AD730" s="110"/>
      <c r="AE730" s="110"/>
      <c r="AF730" s="110"/>
      <c r="AG730" s="110"/>
      <c r="AH730" s="110"/>
      <c r="AI730" s="110"/>
      <c r="AJ730" s="110"/>
      <c r="AK730" s="110"/>
      <c r="AL730" s="110"/>
      <c r="AM730" s="110"/>
      <c r="AN730" s="110"/>
      <c r="AO730" s="110"/>
      <c r="AP730" s="110"/>
      <c r="AQ730" s="110"/>
      <c r="AR730" s="110"/>
      <c r="AS730" s="110"/>
      <c r="AT730" s="110"/>
      <c r="AU730" s="110"/>
    </row>
    <row r="731" spans="1:47" ht="12.75" hidden="1">
      <c r="A731" s="110"/>
      <c r="B731" s="1009"/>
      <c r="C731" s="1010"/>
      <c r="D731" s="253"/>
      <c r="E731" s="1011"/>
      <c r="F731" s="262"/>
      <c r="G731" s="1011"/>
      <c r="H731" s="262"/>
      <c r="I731" s="1011"/>
      <c r="J731" s="262"/>
      <c r="K731" s="1011"/>
      <c r="L731" s="262"/>
      <c r="M731" s="1011"/>
      <c r="N731" s="262"/>
      <c r="O731" s="1011"/>
      <c r="P731" s="262"/>
      <c r="Q731" s="1011"/>
      <c r="R731" s="1012"/>
      <c r="S731" s="1011"/>
      <c r="T731" s="1012"/>
      <c r="U731" s="1010"/>
      <c r="V731" s="1012"/>
      <c r="W731" s="1010"/>
      <c r="X731" s="1012"/>
      <c r="Y731" s="1010"/>
      <c r="Z731" s="262"/>
      <c r="AA731" s="110"/>
      <c r="AB731" s="110"/>
      <c r="AC731" s="110"/>
      <c r="AD731" s="110"/>
      <c r="AE731" s="110"/>
      <c r="AF731" s="110"/>
      <c r="AG731" s="110"/>
      <c r="AH731" s="110"/>
      <c r="AI731" s="110"/>
      <c r="AJ731" s="110"/>
      <c r="AK731" s="110"/>
      <c r="AL731" s="110"/>
      <c r="AM731" s="110"/>
      <c r="AN731" s="110"/>
      <c r="AO731" s="110"/>
      <c r="AP731" s="110"/>
      <c r="AQ731" s="110"/>
      <c r="AR731" s="110"/>
      <c r="AS731" s="110"/>
      <c r="AT731" s="110"/>
      <c r="AU731" s="110"/>
    </row>
    <row r="732" spans="1:47" ht="12.75" hidden="1">
      <c r="A732" s="110"/>
      <c r="B732" s="1009"/>
      <c r="C732" s="1010"/>
      <c r="D732" s="253"/>
      <c r="E732" s="1011"/>
      <c r="F732" s="262"/>
      <c r="G732" s="1011"/>
      <c r="H732" s="262"/>
      <c r="I732" s="1011"/>
      <c r="J732" s="262"/>
      <c r="K732" s="1011"/>
      <c r="L732" s="262"/>
      <c r="M732" s="1011"/>
      <c r="N732" s="262"/>
      <c r="O732" s="1011"/>
      <c r="P732" s="262"/>
      <c r="Q732" s="1011"/>
      <c r="R732" s="1012"/>
      <c r="S732" s="1011"/>
      <c r="T732" s="1012"/>
      <c r="U732" s="1010"/>
      <c r="V732" s="1012"/>
      <c r="W732" s="1010"/>
      <c r="X732" s="1012"/>
      <c r="Y732" s="1010"/>
      <c r="Z732" s="262"/>
      <c r="AA732" s="110"/>
      <c r="AB732" s="110"/>
      <c r="AC732" s="110"/>
      <c r="AD732" s="110"/>
      <c r="AE732" s="110"/>
      <c r="AF732" s="110"/>
      <c r="AG732" s="110"/>
      <c r="AH732" s="110"/>
      <c r="AI732" s="110"/>
      <c r="AJ732" s="110"/>
      <c r="AK732" s="110"/>
      <c r="AL732" s="110"/>
      <c r="AM732" s="110"/>
      <c r="AN732" s="110"/>
      <c r="AO732" s="110"/>
      <c r="AP732" s="110"/>
      <c r="AQ732" s="110"/>
      <c r="AR732" s="110"/>
      <c r="AS732" s="110"/>
      <c r="AT732" s="110"/>
      <c r="AU732" s="110"/>
    </row>
    <row r="733" spans="1:47" ht="12.75" hidden="1">
      <c r="A733" s="110"/>
      <c r="B733" s="1009"/>
      <c r="C733" s="1010"/>
      <c r="D733" s="253"/>
      <c r="E733" s="1011"/>
      <c r="F733" s="262"/>
      <c r="G733" s="1011"/>
      <c r="H733" s="262"/>
      <c r="I733" s="1011"/>
      <c r="J733" s="262"/>
      <c r="K733" s="1011"/>
      <c r="L733" s="262"/>
      <c r="M733" s="1011"/>
      <c r="N733" s="262"/>
      <c r="O733" s="1011"/>
      <c r="P733" s="262"/>
      <c r="Q733" s="1011"/>
      <c r="R733" s="1012"/>
      <c r="S733" s="1011"/>
      <c r="T733" s="1012"/>
      <c r="U733" s="1010"/>
      <c r="V733" s="1012"/>
      <c r="W733" s="1010"/>
      <c r="X733" s="1012"/>
      <c r="Y733" s="1010"/>
      <c r="Z733" s="262"/>
      <c r="AA733" s="110"/>
      <c r="AB733" s="110"/>
      <c r="AC733" s="110"/>
      <c r="AD733" s="110"/>
      <c r="AE733" s="110"/>
      <c r="AF733" s="110"/>
      <c r="AG733" s="110"/>
      <c r="AH733" s="110"/>
      <c r="AI733" s="110"/>
      <c r="AJ733" s="110"/>
      <c r="AK733" s="110"/>
      <c r="AL733" s="110"/>
      <c r="AM733" s="110"/>
      <c r="AN733" s="110"/>
      <c r="AO733" s="110"/>
      <c r="AP733" s="110"/>
      <c r="AQ733" s="110"/>
      <c r="AR733" s="110"/>
      <c r="AS733" s="110"/>
      <c r="AT733" s="110"/>
      <c r="AU733" s="110"/>
    </row>
    <row r="734" spans="1:47" ht="12.75" hidden="1">
      <c r="A734" s="110"/>
      <c r="B734" s="1009"/>
      <c r="C734" s="1010"/>
      <c r="D734" s="253"/>
      <c r="E734" s="1011"/>
      <c r="F734" s="262"/>
      <c r="G734" s="1011"/>
      <c r="H734" s="262"/>
      <c r="I734" s="1011"/>
      <c r="J734" s="262"/>
      <c r="K734" s="1011"/>
      <c r="L734" s="262"/>
      <c r="M734" s="1011"/>
      <c r="N734" s="262"/>
      <c r="O734" s="1011"/>
      <c r="P734" s="262"/>
      <c r="Q734" s="1011"/>
      <c r="R734" s="1012"/>
      <c r="S734" s="1011"/>
      <c r="T734" s="1012"/>
      <c r="U734" s="1010"/>
      <c r="V734" s="1012"/>
      <c r="W734" s="1010"/>
      <c r="X734" s="1012"/>
      <c r="Y734" s="1010"/>
      <c r="Z734" s="262"/>
      <c r="AA734" s="110"/>
      <c r="AB734" s="110"/>
      <c r="AC734" s="110"/>
      <c r="AD734" s="110"/>
      <c r="AE734" s="110"/>
      <c r="AF734" s="110"/>
      <c r="AG734" s="110"/>
      <c r="AH734" s="110"/>
      <c r="AI734" s="110"/>
      <c r="AJ734" s="110"/>
      <c r="AK734" s="110"/>
      <c r="AL734" s="110"/>
      <c r="AM734" s="110"/>
      <c r="AN734" s="110"/>
      <c r="AO734" s="110"/>
      <c r="AP734" s="110"/>
      <c r="AQ734" s="110"/>
      <c r="AR734" s="110"/>
      <c r="AS734" s="110"/>
      <c r="AT734" s="110"/>
      <c r="AU734" s="110"/>
    </row>
    <row r="735" spans="1:47" ht="12.75" hidden="1">
      <c r="A735" s="110"/>
      <c r="B735" s="1009"/>
      <c r="C735" s="1010"/>
      <c r="D735" s="253"/>
      <c r="E735" s="1011"/>
      <c r="F735" s="262"/>
      <c r="G735" s="1011"/>
      <c r="H735" s="262"/>
      <c r="I735" s="1011"/>
      <c r="J735" s="262"/>
      <c r="K735" s="1011"/>
      <c r="L735" s="262"/>
      <c r="M735" s="1011"/>
      <c r="N735" s="262"/>
      <c r="O735" s="1011"/>
      <c r="P735" s="262"/>
      <c r="Q735" s="1011"/>
      <c r="R735" s="1012"/>
      <c r="S735" s="1011"/>
      <c r="T735" s="1012"/>
      <c r="U735" s="1010"/>
      <c r="V735" s="1012"/>
      <c r="W735" s="1010"/>
      <c r="X735" s="1012"/>
      <c r="Y735" s="1010"/>
      <c r="Z735" s="262"/>
      <c r="AA735" s="110"/>
      <c r="AB735" s="110"/>
      <c r="AC735" s="110"/>
      <c r="AD735" s="110"/>
      <c r="AE735" s="110"/>
      <c r="AF735" s="110"/>
      <c r="AG735" s="110"/>
      <c r="AH735" s="110"/>
      <c r="AI735" s="110"/>
      <c r="AJ735" s="110"/>
      <c r="AK735" s="110"/>
      <c r="AL735" s="110"/>
      <c r="AM735" s="110"/>
      <c r="AN735" s="110"/>
      <c r="AO735" s="110"/>
      <c r="AP735" s="110"/>
      <c r="AQ735" s="110"/>
      <c r="AR735" s="110"/>
      <c r="AS735" s="110"/>
      <c r="AT735" s="110"/>
      <c r="AU735" s="110"/>
    </row>
    <row r="736" spans="1:47" ht="12.75" hidden="1">
      <c r="A736" s="110"/>
      <c r="B736" s="1009"/>
      <c r="C736" s="1010"/>
      <c r="D736" s="253"/>
      <c r="E736" s="1011"/>
      <c r="F736" s="262"/>
      <c r="G736" s="1011"/>
      <c r="H736" s="262"/>
      <c r="I736" s="1011"/>
      <c r="J736" s="262"/>
      <c r="K736" s="1011"/>
      <c r="L736" s="262"/>
      <c r="M736" s="1011"/>
      <c r="N736" s="262"/>
      <c r="O736" s="1011"/>
      <c r="P736" s="262"/>
      <c r="Q736" s="1011"/>
      <c r="R736" s="1012"/>
      <c r="S736" s="1011"/>
      <c r="T736" s="1012"/>
      <c r="U736" s="1010"/>
      <c r="V736" s="1012"/>
      <c r="W736" s="1010"/>
      <c r="X736" s="1012"/>
      <c r="Y736" s="1010"/>
      <c r="Z736" s="262"/>
      <c r="AA736" s="110"/>
      <c r="AB736" s="110"/>
      <c r="AC736" s="110"/>
      <c r="AD736" s="110"/>
      <c r="AE736" s="110"/>
      <c r="AF736" s="110"/>
      <c r="AG736" s="110"/>
      <c r="AH736" s="110"/>
      <c r="AI736" s="110"/>
      <c r="AJ736" s="110"/>
      <c r="AK736" s="110"/>
      <c r="AL736" s="110"/>
      <c r="AM736" s="110"/>
      <c r="AN736" s="110"/>
      <c r="AO736" s="110"/>
      <c r="AP736" s="110"/>
      <c r="AQ736" s="110"/>
      <c r="AR736" s="110"/>
      <c r="AS736" s="110"/>
      <c r="AT736" s="110"/>
      <c r="AU736" s="110"/>
    </row>
    <row r="737" spans="1:47" ht="12.75" hidden="1">
      <c r="A737" s="110"/>
      <c r="B737" s="1009"/>
      <c r="C737" s="1010"/>
      <c r="D737" s="253"/>
      <c r="E737" s="1011"/>
      <c r="F737" s="262"/>
      <c r="G737" s="1011"/>
      <c r="H737" s="262"/>
      <c r="I737" s="1011"/>
      <c r="J737" s="262"/>
      <c r="K737" s="1011"/>
      <c r="L737" s="262"/>
      <c r="M737" s="1011"/>
      <c r="N737" s="262"/>
      <c r="O737" s="1011"/>
      <c r="P737" s="262"/>
      <c r="Q737" s="1011"/>
      <c r="R737" s="1012"/>
      <c r="S737" s="1011"/>
      <c r="T737" s="1012"/>
      <c r="U737" s="1010"/>
      <c r="V737" s="1012"/>
      <c r="W737" s="1010"/>
      <c r="X737" s="1012"/>
      <c r="Y737" s="1010"/>
      <c r="Z737" s="262"/>
      <c r="AA737" s="110"/>
      <c r="AB737" s="110"/>
      <c r="AC737" s="110"/>
      <c r="AD737" s="110"/>
      <c r="AE737" s="110"/>
      <c r="AF737" s="110"/>
      <c r="AG737" s="110"/>
      <c r="AH737" s="110"/>
      <c r="AI737" s="110"/>
      <c r="AJ737" s="110"/>
      <c r="AK737" s="110"/>
      <c r="AL737" s="110"/>
      <c r="AM737" s="110"/>
      <c r="AN737" s="110"/>
      <c r="AO737" s="110"/>
      <c r="AP737" s="110"/>
      <c r="AQ737" s="110"/>
      <c r="AR737" s="110"/>
      <c r="AS737" s="110"/>
      <c r="AT737" s="110"/>
      <c r="AU737" s="110"/>
    </row>
    <row r="738" spans="1:47" ht="12.75" hidden="1">
      <c r="A738" s="110"/>
      <c r="B738" s="1009"/>
      <c r="C738" s="1010"/>
      <c r="D738" s="253"/>
      <c r="E738" s="1011"/>
      <c r="F738" s="262"/>
      <c r="G738" s="1011"/>
      <c r="H738" s="262"/>
      <c r="I738" s="1011"/>
      <c r="J738" s="262"/>
      <c r="K738" s="1011"/>
      <c r="L738" s="262"/>
      <c r="M738" s="1011"/>
      <c r="N738" s="262"/>
      <c r="O738" s="1011"/>
      <c r="P738" s="262"/>
      <c r="Q738" s="1011"/>
      <c r="R738" s="1012"/>
      <c r="S738" s="1011"/>
      <c r="T738" s="1012"/>
      <c r="U738" s="1010"/>
      <c r="V738" s="1012"/>
      <c r="W738" s="1010"/>
      <c r="X738" s="1012"/>
      <c r="Y738" s="1010"/>
      <c r="Z738" s="262"/>
      <c r="AA738" s="110"/>
      <c r="AB738" s="110"/>
      <c r="AC738" s="110"/>
      <c r="AD738" s="110"/>
      <c r="AE738" s="110"/>
      <c r="AF738" s="110"/>
      <c r="AG738" s="110"/>
      <c r="AH738" s="110"/>
      <c r="AI738" s="110"/>
      <c r="AJ738" s="110"/>
      <c r="AK738" s="110"/>
      <c r="AL738" s="110"/>
      <c r="AM738" s="110"/>
      <c r="AN738" s="110"/>
      <c r="AO738" s="110"/>
      <c r="AP738" s="110"/>
      <c r="AQ738" s="110"/>
      <c r="AR738" s="110"/>
      <c r="AS738" s="110"/>
      <c r="AT738" s="110"/>
      <c r="AU738" s="110"/>
    </row>
    <row r="739" spans="1:47" ht="12.75" hidden="1">
      <c r="A739" s="110"/>
      <c r="B739" s="1009"/>
      <c r="C739" s="1010"/>
      <c r="D739" s="253"/>
      <c r="E739" s="1011"/>
      <c r="F739" s="262"/>
      <c r="G739" s="1011"/>
      <c r="H739" s="262"/>
      <c r="I739" s="1011"/>
      <c r="J739" s="262"/>
      <c r="K739" s="1011"/>
      <c r="L739" s="262"/>
      <c r="M739" s="1011"/>
      <c r="N739" s="262"/>
      <c r="O739" s="1011"/>
      <c r="P739" s="262"/>
      <c r="Q739" s="1011"/>
      <c r="R739" s="1012"/>
      <c r="S739" s="1011"/>
      <c r="T739" s="1012"/>
      <c r="U739" s="1010"/>
      <c r="V739" s="1012"/>
      <c r="W739" s="1010"/>
      <c r="X739" s="1012"/>
      <c r="Y739" s="1010"/>
      <c r="Z739" s="262"/>
      <c r="AA739" s="110"/>
      <c r="AB739" s="110"/>
      <c r="AC739" s="110"/>
      <c r="AD739" s="110"/>
      <c r="AE739" s="110"/>
      <c r="AF739" s="110"/>
      <c r="AG739" s="110"/>
      <c r="AH739" s="110"/>
      <c r="AI739" s="110"/>
      <c r="AJ739" s="110"/>
      <c r="AK739" s="110"/>
      <c r="AL739" s="110"/>
      <c r="AM739" s="110"/>
      <c r="AN739" s="110"/>
      <c r="AO739" s="110"/>
      <c r="AP739" s="110"/>
      <c r="AQ739" s="110"/>
      <c r="AR739" s="110"/>
      <c r="AS739" s="110"/>
      <c r="AT739" s="110"/>
      <c r="AU739" s="110"/>
    </row>
    <row r="740" spans="1:47" ht="12.75" hidden="1">
      <c r="A740" s="110"/>
      <c r="B740" s="1009"/>
      <c r="C740" s="1010"/>
      <c r="D740" s="253"/>
      <c r="E740" s="1011"/>
      <c r="F740" s="262"/>
      <c r="G740" s="1011"/>
      <c r="H740" s="262"/>
      <c r="I740" s="1011"/>
      <c r="J740" s="262"/>
      <c r="K740" s="1011"/>
      <c r="L740" s="262"/>
      <c r="M740" s="1011"/>
      <c r="N740" s="262"/>
      <c r="O740" s="1011"/>
      <c r="P740" s="262"/>
      <c r="Q740" s="1011"/>
      <c r="R740" s="1012"/>
      <c r="S740" s="1011"/>
      <c r="T740" s="1012"/>
      <c r="U740" s="1010"/>
      <c r="V740" s="1012"/>
      <c r="W740" s="1010"/>
      <c r="X740" s="1012"/>
      <c r="Y740" s="1010"/>
      <c r="Z740" s="262"/>
      <c r="AA740" s="110"/>
      <c r="AB740" s="110"/>
      <c r="AC740" s="110"/>
      <c r="AD740" s="110"/>
      <c r="AE740" s="110"/>
      <c r="AF740" s="110"/>
      <c r="AG740" s="110"/>
      <c r="AH740" s="110"/>
      <c r="AI740" s="110"/>
      <c r="AJ740" s="110"/>
      <c r="AK740" s="110"/>
      <c r="AL740" s="110"/>
      <c r="AM740" s="110"/>
      <c r="AN740" s="110"/>
      <c r="AO740" s="110"/>
      <c r="AP740" s="110"/>
      <c r="AQ740" s="110"/>
      <c r="AR740" s="110"/>
      <c r="AS740" s="110"/>
      <c r="AT740" s="110"/>
      <c r="AU740" s="110"/>
    </row>
    <row r="741" spans="1:47" ht="12.75" hidden="1">
      <c r="A741" s="110"/>
      <c r="B741" s="1009"/>
      <c r="C741" s="1010"/>
      <c r="D741" s="253"/>
      <c r="E741" s="1011"/>
      <c r="F741" s="262"/>
      <c r="G741" s="1011"/>
      <c r="H741" s="262"/>
      <c r="I741" s="1011"/>
      <c r="J741" s="262"/>
      <c r="K741" s="1011"/>
      <c r="L741" s="262"/>
      <c r="M741" s="1011"/>
      <c r="N741" s="262"/>
      <c r="O741" s="1011"/>
      <c r="P741" s="262"/>
      <c r="Q741" s="1011"/>
      <c r="R741" s="1012"/>
      <c r="S741" s="1011"/>
      <c r="T741" s="1012"/>
      <c r="U741" s="1010"/>
      <c r="V741" s="1012"/>
      <c r="W741" s="1010"/>
      <c r="X741" s="1012"/>
      <c r="Y741" s="1010"/>
      <c r="Z741" s="262"/>
      <c r="AA741" s="110"/>
      <c r="AB741" s="110"/>
      <c r="AC741" s="110"/>
      <c r="AD741" s="110"/>
      <c r="AE741" s="110"/>
      <c r="AF741" s="110"/>
      <c r="AG741" s="110"/>
      <c r="AH741" s="110"/>
      <c r="AI741" s="110"/>
      <c r="AJ741" s="110"/>
      <c r="AK741" s="110"/>
      <c r="AL741" s="110"/>
      <c r="AM741" s="110"/>
      <c r="AN741" s="110"/>
      <c r="AO741" s="110"/>
      <c r="AP741" s="110"/>
      <c r="AQ741" s="110"/>
      <c r="AR741" s="110"/>
      <c r="AS741" s="110"/>
      <c r="AT741" s="110"/>
      <c r="AU741" s="110"/>
    </row>
    <row r="742" spans="1:47" ht="12.75" hidden="1">
      <c r="A742" s="110"/>
      <c r="B742" s="1009"/>
      <c r="C742" s="1010"/>
      <c r="D742" s="253"/>
      <c r="E742" s="1011"/>
      <c r="F742" s="262"/>
      <c r="G742" s="1011"/>
      <c r="H742" s="262"/>
      <c r="I742" s="1011"/>
      <c r="J742" s="262"/>
      <c r="K742" s="1011"/>
      <c r="L742" s="262"/>
      <c r="M742" s="1011"/>
      <c r="N742" s="262"/>
      <c r="O742" s="1011"/>
      <c r="P742" s="262"/>
      <c r="Q742" s="1011"/>
      <c r="R742" s="1012"/>
      <c r="S742" s="1011"/>
      <c r="T742" s="1012"/>
      <c r="U742" s="1010"/>
      <c r="V742" s="1012"/>
      <c r="W742" s="1010"/>
      <c r="X742" s="1012"/>
      <c r="Y742" s="1010"/>
      <c r="Z742" s="262"/>
      <c r="AA742" s="110"/>
      <c r="AB742" s="110"/>
      <c r="AC742" s="110"/>
      <c r="AD742" s="110"/>
      <c r="AE742" s="110"/>
      <c r="AF742" s="110"/>
      <c r="AG742" s="110"/>
      <c r="AH742" s="110"/>
      <c r="AI742" s="110"/>
      <c r="AJ742" s="110"/>
      <c r="AK742" s="110"/>
      <c r="AL742" s="110"/>
      <c r="AM742" s="110"/>
      <c r="AN742" s="110"/>
      <c r="AO742" s="110"/>
      <c r="AP742" s="110"/>
      <c r="AQ742" s="110"/>
      <c r="AR742" s="110"/>
      <c r="AS742" s="110"/>
      <c r="AT742" s="110"/>
      <c r="AU742" s="110"/>
    </row>
    <row r="743" spans="1:47" ht="12.75" hidden="1">
      <c r="A743" s="110"/>
      <c r="B743" s="1009"/>
      <c r="C743" s="1010"/>
      <c r="D743" s="253"/>
      <c r="E743" s="1011"/>
      <c r="F743" s="262"/>
      <c r="G743" s="1011"/>
      <c r="H743" s="262"/>
      <c r="I743" s="1011"/>
      <c r="J743" s="262"/>
      <c r="K743" s="1011"/>
      <c r="L743" s="262"/>
      <c r="M743" s="1011"/>
      <c r="N743" s="262"/>
      <c r="O743" s="1011"/>
      <c r="P743" s="262"/>
      <c r="Q743" s="1011"/>
      <c r="R743" s="1012"/>
      <c r="S743" s="1011"/>
      <c r="T743" s="1012"/>
      <c r="U743" s="1010"/>
      <c r="V743" s="1012"/>
      <c r="W743" s="1010"/>
      <c r="X743" s="1012"/>
      <c r="Y743" s="1010"/>
      <c r="Z743" s="262"/>
      <c r="AA743" s="110"/>
      <c r="AB743" s="110"/>
      <c r="AC743" s="110"/>
      <c r="AD743" s="110"/>
      <c r="AE743" s="110"/>
      <c r="AF743" s="110"/>
      <c r="AG743" s="110"/>
      <c r="AH743" s="110"/>
      <c r="AI743" s="110"/>
      <c r="AJ743" s="110"/>
      <c r="AK743" s="110"/>
      <c r="AL743" s="110"/>
      <c r="AM743" s="110"/>
      <c r="AN743" s="110"/>
      <c r="AO743" s="110"/>
      <c r="AP743" s="110"/>
      <c r="AQ743" s="110"/>
      <c r="AR743" s="110"/>
      <c r="AS743" s="110"/>
      <c r="AT743" s="110"/>
      <c r="AU743" s="110"/>
    </row>
    <row r="744" spans="1:47" ht="12.75" hidden="1">
      <c r="A744" s="110"/>
      <c r="B744" s="1009"/>
      <c r="C744" s="1010"/>
      <c r="D744" s="253"/>
      <c r="E744" s="1011"/>
      <c r="F744" s="262"/>
      <c r="G744" s="1011"/>
      <c r="H744" s="262"/>
      <c r="I744" s="1011"/>
      <c r="J744" s="262"/>
      <c r="K744" s="1011"/>
      <c r="L744" s="262"/>
      <c r="M744" s="1011"/>
      <c r="N744" s="262"/>
      <c r="O744" s="1011"/>
      <c r="P744" s="262"/>
      <c r="Q744" s="1011"/>
      <c r="R744" s="1012"/>
      <c r="S744" s="1011"/>
      <c r="T744" s="1012"/>
      <c r="U744" s="1010"/>
      <c r="V744" s="1012"/>
      <c r="W744" s="1010"/>
      <c r="X744" s="1012"/>
      <c r="Y744" s="1010"/>
      <c r="Z744" s="262"/>
      <c r="AA744" s="110"/>
      <c r="AB744" s="110"/>
      <c r="AC744" s="110"/>
      <c r="AD744" s="110"/>
      <c r="AE744" s="110"/>
      <c r="AF744" s="110"/>
      <c r="AG744" s="110"/>
      <c r="AH744" s="110"/>
      <c r="AI744" s="110"/>
      <c r="AJ744" s="110"/>
      <c r="AK744" s="110"/>
      <c r="AL744" s="110"/>
      <c r="AM744" s="110"/>
      <c r="AN744" s="110"/>
      <c r="AO744" s="110"/>
      <c r="AP744" s="110"/>
      <c r="AQ744" s="110"/>
      <c r="AR744" s="110"/>
      <c r="AS744" s="110"/>
      <c r="AT744" s="110"/>
      <c r="AU744" s="110"/>
    </row>
    <row r="745" spans="1:47" ht="12.75" hidden="1">
      <c r="A745" s="110"/>
      <c r="B745" s="1009"/>
      <c r="C745" s="1010"/>
      <c r="D745" s="253"/>
      <c r="E745" s="1011"/>
      <c r="F745" s="262"/>
      <c r="G745" s="1011"/>
      <c r="H745" s="262"/>
      <c r="I745" s="1011"/>
      <c r="J745" s="262"/>
      <c r="K745" s="1011"/>
      <c r="L745" s="262"/>
      <c r="M745" s="1011"/>
      <c r="N745" s="262"/>
      <c r="O745" s="1011"/>
      <c r="P745" s="262"/>
      <c r="Q745" s="1011"/>
      <c r="R745" s="1012"/>
      <c r="S745" s="1011"/>
      <c r="T745" s="1012"/>
      <c r="U745" s="1010"/>
      <c r="V745" s="1012"/>
      <c r="W745" s="1010"/>
      <c r="X745" s="1012"/>
      <c r="Y745" s="1010"/>
      <c r="Z745" s="262"/>
      <c r="AA745" s="110"/>
      <c r="AB745" s="110"/>
      <c r="AC745" s="110"/>
      <c r="AD745" s="110"/>
      <c r="AE745" s="110"/>
      <c r="AF745" s="110"/>
      <c r="AG745" s="110"/>
      <c r="AH745" s="110"/>
      <c r="AI745" s="110"/>
      <c r="AJ745" s="110"/>
      <c r="AK745" s="110"/>
      <c r="AL745" s="110"/>
      <c r="AM745" s="110"/>
      <c r="AN745" s="110"/>
      <c r="AO745" s="110"/>
      <c r="AP745" s="110"/>
      <c r="AQ745" s="110"/>
      <c r="AR745" s="110"/>
      <c r="AS745" s="110"/>
      <c r="AT745" s="110"/>
      <c r="AU745" s="110"/>
    </row>
    <row r="746" spans="1:47" ht="12.75" hidden="1">
      <c r="A746" s="110"/>
      <c r="B746" s="1009"/>
      <c r="C746" s="1010"/>
      <c r="D746" s="253"/>
      <c r="E746" s="1011"/>
      <c r="F746" s="262"/>
      <c r="G746" s="1011"/>
      <c r="H746" s="262"/>
      <c r="I746" s="1011"/>
      <c r="J746" s="262"/>
      <c r="K746" s="1011"/>
      <c r="L746" s="262"/>
      <c r="M746" s="1011"/>
      <c r="N746" s="262"/>
      <c r="O746" s="1011"/>
      <c r="P746" s="262"/>
      <c r="Q746" s="1011"/>
      <c r="R746" s="1012"/>
      <c r="S746" s="1011"/>
      <c r="T746" s="1012"/>
      <c r="U746" s="1010"/>
      <c r="V746" s="1012"/>
      <c r="W746" s="1010"/>
      <c r="X746" s="1012"/>
      <c r="Y746" s="1010"/>
      <c r="Z746" s="262"/>
      <c r="AA746" s="110"/>
      <c r="AB746" s="110"/>
      <c r="AC746" s="110"/>
      <c r="AD746" s="110"/>
      <c r="AE746" s="110"/>
      <c r="AF746" s="110"/>
      <c r="AG746" s="110"/>
      <c r="AH746" s="110"/>
      <c r="AI746" s="110"/>
      <c r="AJ746" s="110"/>
      <c r="AK746" s="110"/>
      <c r="AL746" s="110"/>
      <c r="AM746" s="110"/>
      <c r="AN746" s="110"/>
      <c r="AO746" s="110"/>
      <c r="AP746" s="110"/>
      <c r="AQ746" s="110"/>
      <c r="AR746" s="110"/>
      <c r="AS746" s="110"/>
      <c r="AT746" s="110"/>
      <c r="AU746" s="110"/>
    </row>
    <row r="747" spans="1:47" ht="12.75" hidden="1">
      <c r="A747" s="110"/>
      <c r="B747" s="1009"/>
      <c r="C747" s="1010"/>
      <c r="D747" s="253"/>
      <c r="E747" s="1011"/>
      <c r="F747" s="262"/>
      <c r="G747" s="1011"/>
      <c r="H747" s="262"/>
      <c r="I747" s="1011"/>
      <c r="J747" s="262"/>
      <c r="K747" s="1011"/>
      <c r="L747" s="262"/>
      <c r="M747" s="1011"/>
      <c r="N747" s="262"/>
      <c r="O747" s="1011"/>
      <c r="P747" s="262"/>
      <c r="Q747" s="1011"/>
      <c r="R747" s="1012"/>
      <c r="S747" s="1011"/>
      <c r="T747" s="1012"/>
      <c r="U747" s="1010"/>
      <c r="V747" s="1012"/>
      <c r="W747" s="1010"/>
      <c r="X747" s="1012"/>
      <c r="Y747" s="1010"/>
      <c r="Z747" s="262"/>
      <c r="AA747" s="110"/>
      <c r="AB747" s="110"/>
      <c r="AC747" s="110"/>
      <c r="AD747" s="110"/>
      <c r="AE747" s="110"/>
      <c r="AF747" s="110"/>
      <c r="AG747" s="110"/>
      <c r="AH747" s="110"/>
      <c r="AI747" s="110"/>
      <c r="AJ747" s="110"/>
      <c r="AK747" s="110"/>
      <c r="AL747" s="110"/>
      <c r="AM747" s="110"/>
      <c r="AN747" s="110"/>
      <c r="AO747" s="110"/>
      <c r="AP747" s="110"/>
      <c r="AQ747" s="110"/>
      <c r="AR747" s="110"/>
      <c r="AS747" s="110"/>
      <c r="AT747" s="110"/>
      <c r="AU747" s="110"/>
    </row>
    <row r="748" spans="1:47" ht="12.75" hidden="1">
      <c r="A748" s="110"/>
      <c r="B748" s="1009"/>
      <c r="C748" s="1010"/>
      <c r="D748" s="253"/>
      <c r="E748" s="1011"/>
      <c r="F748" s="262"/>
      <c r="G748" s="1011"/>
      <c r="H748" s="262"/>
      <c r="I748" s="1011"/>
      <c r="J748" s="262"/>
      <c r="K748" s="1011"/>
      <c r="L748" s="262"/>
      <c r="M748" s="1011"/>
      <c r="N748" s="262"/>
      <c r="O748" s="1011"/>
      <c r="P748" s="262"/>
      <c r="Q748" s="1011"/>
      <c r="R748" s="1012"/>
      <c r="S748" s="1011"/>
      <c r="T748" s="1012"/>
      <c r="U748" s="1010"/>
      <c r="V748" s="1012"/>
      <c r="W748" s="1010"/>
      <c r="X748" s="1012"/>
      <c r="Y748" s="1010"/>
      <c r="Z748" s="262"/>
      <c r="AA748" s="110"/>
      <c r="AB748" s="110"/>
      <c r="AC748" s="110"/>
      <c r="AD748" s="110"/>
      <c r="AE748" s="110"/>
      <c r="AF748" s="110"/>
      <c r="AG748" s="110"/>
      <c r="AH748" s="110"/>
      <c r="AI748" s="110"/>
      <c r="AJ748" s="110"/>
      <c r="AK748" s="110"/>
      <c r="AL748" s="110"/>
      <c r="AM748" s="110"/>
      <c r="AN748" s="110"/>
      <c r="AO748" s="110"/>
      <c r="AP748" s="110"/>
      <c r="AQ748" s="110"/>
      <c r="AR748" s="110"/>
      <c r="AS748" s="110"/>
      <c r="AT748" s="110"/>
      <c r="AU748" s="110"/>
    </row>
    <row r="749" spans="1:47" ht="12.75" hidden="1">
      <c r="A749" s="110"/>
      <c r="B749" s="1009"/>
      <c r="C749" s="1010"/>
      <c r="D749" s="253"/>
      <c r="E749" s="1011"/>
      <c r="F749" s="262"/>
      <c r="G749" s="1011"/>
      <c r="H749" s="262"/>
      <c r="I749" s="1011"/>
      <c r="J749" s="262"/>
      <c r="K749" s="1011"/>
      <c r="L749" s="262"/>
      <c r="M749" s="1011"/>
      <c r="N749" s="262"/>
      <c r="O749" s="1011"/>
      <c r="P749" s="262"/>
      <c r="Q749" s="1011"/>
      <c r="R749" s="1012"/>
      <c r="S749" s="1011"/>
      <c r="T749" s="1012"/>
      <c r="U749" s="1010"/>
      <c r="V749" s="1012"/>
      <c r="W749" s="1010"/>
      <c r="X749" s="1012"/>
      <c r="Y749" s="1010"/>
      <c r="Z749" s="262"/>
      <c r="AA749" s="110"/>
      <c r="AB749" s="110"/>
      <c r="AC749" s="110"/>
      <c r="AD749" s="110"/>
      <c r="AE749" s="110"/>
      <c r="AF749" s="110"/>
      <c r="AG749" s="110"/>
      <c r="AH749" s="110"/>
      <c r="AI749" s="110"/>
      <c r="AJ749" s="110"/>
      <c r="AK749" s="110"/>
      <c r="AL749" s="110"/>
      <c r="AM749" s="110"/>
      <c r="AN749" s="110"/>
      <c r="AO749" s="110"/>
      <c r="AP749" s="110"/>
      <c r="AQ749" s="110"/>
      <c r="AR749" s="110"/>
      <c r="AS749" s="110"/>
      <c r="AT749" s="110"/>
      <c r="AU749" s="110"/>
    </row>
    <row r="750" spans="1:47" ht="12.75" hidden="1">
      <c r="A750" s="110"/>
      <c r="B750" s="1009"/>
      <c r="C750" s="1010"/>
      <c r="D750" s="253"/>
      <c r="E750" s="1011"/>
      <c r="F750" s="262"/>
      <c r="G750" s="1011"/>
      <c r="H750" s="262"/>
      <c r="I750" s="1011"/>
      <c r="J750" s="262"/>
      <c r="K750" s="1011"/>
      <c r="L750" s="262"/>
      <c r="M750" s="1011"/>
      <c r="N750" s="262"/>
      <c r="O750" s="1011"/>
      <c r="P750" s="262"/>
      <c r="Q750" s="1011"/>
      <c r="R750" s="1012"/>
      <c r="S750" s="1011"/>
      <c r="T750" s="1012"/>
      <c r="U750" s="1010"/>
      <c r="V750" s="1012"/>
      <c r="W750" s="1010"/>
      <c r="X750" s="1012"/>
      <c r="Y750" s="1010"/>
      <c r="Z750" s="262"/>
      <c r="AA750" s="110"/>
      <c r="AB750" s="110"/>
      <c r="AC750" s="110"/>
      <c r="AD750" s="110"/>
      <c r="AE750" s="110"/>
      <c r="AF750" s="110"/>
      <c r="AG750" s="110"/>
      <c r="AH750" s="110"/>
      <c r="AI750" s="110"/>
      <c r="AJ750" s="110"/>
      <c r="AK750" s="110"/>
      <c r="AL750" s="110"/>
      <c r="AM750" s="110"/>
      <c r="AN750" s="110"/>
      <c r="AO750" s="110"/>
      <c r="AP750" s="110"/>
      <c r="AQ750" s="110"/>
      <c r="AR750" s="110"/>
      <c r="AS750" s="110"/>
      <c r="AT750" s="110"/>
      <c r="AU750" s="110"/>
    </row>
    <row r="751" spans="1:47" ht="12.75" hidden="1">
      <c r="A751" s="110"/>
      <c r="B751" s="1009"/>
      <c r="C751" s="1010"/>
      <c r="D751" s="253"/>
      <c r="E751" s="1011"/>
      <c r="F751" s="262"/>
      <c r="G751" s="1011"/>
      <c r="H751" s="262"/>
      <c r="I751" s="1011"/>
      <c r="J751" s="262"/>
      <c r="K751" s="1011"/>
      <c r="L751" s="262"/>
      <c r="M751" s="1011"/>
      <c r="N751" s="262"/>
      <c r="O751" s="1011"/>
      <c r="P751" s="262"/>
      <c r="Q751" s="1011"/>
      <c r="R751" s="1012"/>
      <c r="S751" s="1011"/>
      <c r="T751" s="1012"/>
      <c r="U751" s="1010"/>
      <c r="V751" s="1012"/>
      <c r="W751" s="1010"/>
      <c r="X751" s="1012"/>
      <c r="Y751" s="1010"/>
      <c r="Z751" s="262"/>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row>
    <row r="752" spans="1:47" ht="12.75" hidden="1">
      <c r="A752" s="110"/>
      <c r="B752" s="1009"/>
      <c r="C752" s="1010"/>
      <c r="D752" s="253"/>
      <c r="E752" s="1011"/>
      <c r="F752" s="262"/>
      <c r="G752" s="1011"/>
      <c r="H752" s="262"/>
      <c r="I752" s="1011"/>
      <c r="J752" s="262"/>
      <c r="K752" s="1011"/>
      <c r="L752" s="262"/>
      <c r="M752" s="1011"/>
      <c r="N752" s="262"/>
      <c r="O752" s="1011"/>
      <c r="P752" s="262"/>
      <c r="Q752" s="1011"/>
      <c r="R752" s="1012"/>
      <c r="S752" s="1011"/>
      <c r="T752" s="1012"/>
      <c r="U752" s="1010"/>
      <c r="V752" s="1012"/>
      <c r="W752" s="1010"/>
      <c r="X752" s="1012"/>
      <c r="Y752" s="1010"/>
      <c r="Z752" s="262"/>
      <c r="AA752" s="110"/>
      <c r="AB752" s="110"/>
      <c r="AC752" s="110"/>
      <c r="AD752" s="110"/>
      <c r="AE752" s="110"/>
      <c r="AF752" s="110"/>
      <c r="AG752" s="110"/>
      <c r="AH752" s="110"/>
      <c r="AI752" s="110"/>
      <c r="AJ752" s="110"/>
      <c r="AK752" s="110"/>
      <c r="AL752" s="110"/>
      <c r="AM752" s="110"/>
      <c r="AN752" s="110"/>
      <c r="AO752" s="110"/>
      <c r="AP752" s="110"/>
      <c r="AQ752" s="110"/>
      <c r="AR752" s="110"/>
      <c r="AS752" s="110"/>
      <c r="AT752" s="110"/>
      <c r="AU752" s="110"/>
    </row>
    <row r="753" spans="1:47" ht="12.75" hidden="1">
      <c r="A753" s="110"/>
      <c r="B753" s="1009"/>
      <c r="C753" s="1010"/>
      <c r="D753" s="253"/>
      <c r="E753" s="1011"/>
      <c r="F753" s="262"/>
      <c r="G753" s="1011"/>
      <c r="H753" s="262"/>
      <c r="I753" s="1011"/>
      <c r="J753" s="262"/>
      <c r="K753" s="1011"/>
      <c r="L753" s="262"/>
      <c r="M753" s="1011"/>
      <c r="N753" s="262"/>
      <c r="O753" s="1011"/>
      <c r="P753" s="262"/>
      <c r="Q753" s="1011"/>
      <c r="R753" s="1012"/>
      <c r="S753" s="1011"/>
      <c r="T753" s="1012"/>
      <c r="U753" s="1010"/>
      <c r="V753" s="1012"/>
      <c r="W753" s="1010"/>
      <c r="X753" s="1012"/>
      <c r="Y753" s="1010"/>
      <c r="Z753" s="262"/>
      <c r="AA753" s="110"/>
      <c r="AB753" s="110"/>
      <c r="AC753" s="110"/>
      <c r="AD753" s="110"/>
      <c r="AE753" s="110"/>
      <c r="AF753" s="110"/>
      <c r="AG753" s="110"/>
      <c r="AH753" s="110"/>
      <c r="AI753" s="110"/>
      <c r="AJ753" s="110"/>
      <c r="AK753" s="110"/>
      <c r="AL753" s="110"/>
      <c r="AM753" s="110"/>
      <c r="AN753" s="110"/>
      <c r="AO753" s="110"/>
      <c r="AP753" s="110"/>
      <c r="AQ753" s="110"/>
      <c r="AR753" s="110"/>
      <c r="AS753" s="110"/>
      <c r="AT753" s="110"/>
      <c r="AU753" s="110"/>
    </row>
    <row r="754" spans="1:47" ht="12.75" hidden="1">
      <c r="A754" s="110"/>
      <c r="B754" s="1009"/>
      <c r="C754" s="1010"/>
      <c r="D754" s="253"/>
      <c r="E754" s="1011"/>
      <c r="F754" s="262"/>
      <c r="G754" s="1011"/>
      <c r="H754" s="262"/>
      <c r="I754" s="1011"/>
      <c r="J754" s="262"/>
      <c r="K754" s="1011"/>
      <c r="L754" s="262"/>
      <c r="M754" s="1011"/>
      <c r="N754" s="262"/>
      <c r="O754" s="1011"/>
      <c r="P754" s="262"/>
      <c r="Q754" s="1011"/>
      <c r="R754" s="1012"/>
      <c r="S754" s="1011"/>
      <c r="T754" s="1012"/>
      <c r="U754" s="1010"/>
      <c r="V754" s="1012"/>
      <c r="W754" s="1010"/>
      <c r="X754" s="1012"/>
      <c r="Y754" s="1010"/>
      <c r="Z754" s="262"/>
      <c r="AA754" s="110"/>
      <c r="AB754" s="110"/>
      <c r="AC754" s="110"/>
      <c r="AD754" s="110"/>
      <c r="AE754" s="110"/>
      <c r="AF754" s="110"/>
      <c r="AG754" s="110"/>
      <c r="AH754" s="110"/>
      <c r="AI754" s="110"/>
      <c r="AJ754" s="110"/>
      <c r="AK754" s="110"/>
      <c r="AL754" s="110"/>
      <c r="AM754" s="110"/>
      <c r="AN754" s="110"/>
      <c r="AO754" s="110"/>
      <c r="AP754" s="110"/>
      <c r="AQ754" s="110"/>
      <c r="AR754" s="110"/>
      <c r="AS754" s="110"/>
      <c r="AT754" s="110"/>
      <c r="AU754" s="110"/>
    </row>
    <row r="755" spans="1:47" ht="12.75" hidden="1">
      <c r="A755" s="110"/>
      <c r="B755" s="1009"/>
      <c r="C755" s="1010"/>
      <c r="D755" s="253"/>
      <c r="E755" s="1011"/>
      <c r="F755" s="262"/>
      <c r="G755" s="1011"/>
      <c r="H755" s="262"/>
      <c r="I755" s="1011"/>
      <c r="J755" s="262"/>
      <c r="K755" s="1011"/>
      <c r="L755" s="262"/>
      <c r="M755" s="1011"/>
      <c r="N755" s="262"/>
      <c r="O755" s="1011"/>
      <c r="P755" s="262"/>
      <c r="Q755" s="1011"/>
      <c r="R755" s="1012"/>
      <c r="S755" s="1011"/>
      <c r="T755" s="1012"/>
      <c r="U755" s="1010"/>
      <c r="V755" s="1012"/>
      <c r="W755" s="1010"/>
      <c r="X755" s="1012"/>
      <c r="Y755" s="1010"/>
      <c r="Z755" s="262"/>
      <c r="AA755" s="110"/>
      <c r="AB755" s="110"/>
      <c r="AC755" s="110"/>
      <c r="AD755" s="110"/>
      <c r="AE755" s="110"/>
      <c r="AF755" s="110"/>
      <c r="AG755" s="110"/>
      <c r="AH755" s="110"/>
      <c r="AI755" s="110"/>
      <c r="AJ755" s="110"/>
      <c r="AK755" s="110"/>
      <c r="AL755" s="110"/>
      <c r="AM755" s="110"/>
      <c r="AN755" s="110"/>
      <c r="AO755" s="110"/>
      <c r="AP755" s="110"/>
      <c r="AQ755" s="110"/>
      <c r="AR755" s="110"/>
      <c r="AS755" s="110"/>
      <c r="AT755" s="110"/>
      <c r="AU755" s="110"/>
    </row>
    <row r="756" spans="1:47" ht="12.75" hidden="1">
      <c r="A756" s="110"/>
      <c r="B756" s="1009"/>
      <c r="C756" s="1010"/>
      <c r="D756" s="253"/>
      <c r="E756" s="1011"/>
      <c r="F756" s="262"/>
      <c r="G756" s="1011"/>
      <c r="H756" s="262"/>
      <c r="I756" s="1011"/>
      <c r="J756" s="262"/>
      <c r="K756" s="1011"/>
      <c r="L756" s="262"/>
      <c r="M756" s="1011"/>
      <c r="N756" s="262"/>
      <c r="O756" s="1011"/>
      <c r="P756" s="262"/>
      <c r="Q756" s="1011"/>
      <c r="R756" s="1012"/>
      <c r="S756" s="1011"/>
      <c r="T756" s="1012"/>
      <c r="U756" s="1010"/>
      <c r="V756" s="1012"/>
      <c r="W756" s="1010"/>
      <c r="X756" s="1012"/>
      <c r="Y756" s="1010"/>
      <c r="Z756" s="262"/>
      <c r="AA756" s="110"/>
      <c r="AB756" s="110"/>
      <c r="AC756" s="110"/>
      <c r="AD756" s="110"/>
      <c r="AE756" s="110"/>
      <c r="AF756" s="110"/>
      <c r="AG756" s="110"/>
      <c r="AH756" s="110"/>
      <c r="AI756" s="110"/>
      <c r="AJ756" s="110"/>
      <c r="AK756" s="110"/>
      <c r="AL756" s="110"/>
      <c r="AM756" s="110"/>
      <c r="AN756" s="110"/>
      <c r="AO756" s="110"/>
      <c r="AP756" s="110"/>
      <c r="AQ756" s="110"/>
      <c r="AR756" s="110"/>
      <c r="AS756" s="110"/>
      <c r="AT756" s="110"/>
      <c r="AU756" s="110"/>
    </row>
    <row r="757" spans="1:47" ht="12.75" hidden="1">
      <c r="A757" s="110"/>
      <c r="B757" s="1009"/>
      <c r="C757" s="1010"/>
      <c r="D757" s="253"/>
      <c r="E757" s="1011"/>
      <c r="F757" s="262"/>
      <c r="G757" s="1011"/>
      <c r="H757" s="262"/>
      <c r="I757" s="1011"/>
      <c r="J757" s="262"/>
      <c r="K757" s="1011"/>
      <c r="L757" s="262"/>
      <c r="M757" s="1011"/>
      <c r="N757" s="262"/>
      <c r="O757" s="1011"/>
      <c r="P757" s="262"/>
      <c r="Q757" s="1011"/>
      <c r="R757" s="1012"/>
      <c r="S757" s="1011"/>
      <c r="T757" s="1012"/>
      <c r="U757" s="1010"/>
      <c r="V757" s="1012"/>
      <c r="W757" s="1010"/>
      <c r="X757" s="1012"/>
      <c r="Y757" s="1010"/>
      <c r="Z757" s="262"/>
      <c r="AA757" s="110"/>
      <c r="AB757" s="110"/>
      <c r="AC757" s="110"/>
      <c r="AD757" s="110"/>
      <c r="AE757" s="110"/>
      <c r="AF757" s="110"/>
      <c r="AG757" s="110"/>
      <c r="AH757" s="110"/>
      <c r="AI757" s="110"/>
      <c r="AJ757" s="110"/>
      <c r="AK757" s="110"/>
      <c r="AL757" s="110"/>
      <c r="AM757" s="110"/>
      <c r="AN757" s="110"/>
      <c r="AO757" s="110"/>
      <c r="AP757" s="110"/>
      <c r="AQ757" s="110"/>
      <c r="AR757" s="110"/>
      <c r="AS757" s="110"/>
      <c r="AT757" s="110"/>
      <c r="AU757" s="110"/>
    </row>
    <row r="758" spans="1:47" ht="12.75" hidden="1">
      <c r="A758" s="110"/>
      <c r="B758" s="1009"/>
      <c r="C758" s="1010"/>
      <c r="D758" s="253"/>
      <c r="E758" s="1011"/>
      <c r="F758" s="262"/>
      <c r="G758" s="1011"/>
      <c r="H758" s="262"/>
      <c r="I758" s="1011"/>
      <c r="J758" s="262"/>
      <c r="K758" s="1011"/>
      <c r="L758" s="262"/>
      <c r="M758" s="1011"/>
      <c r="N758" s="262"/>
      <c r="O758" s="1011"/>
      <c r="P758" s="262"/>
      <c r="Q758" s="1011"/>
      <c r="R758" s="1012"/>
      <c r="S758" s="1011"/>
      <c r="T758" s="1012"/>
      <c r="U758" s="1010"/>
      <c r="V758" s="1012"/>
      <c r="W758" s="1010"/>
      <c r="X758" s="1012"/>
      <c r="Y758" s="1010"/>
      <c r="Z758" s="262"/>
      <c r="AA758" s="110"/>
      <c r="AB758" s="110"/>
      <c r="AC758" s="110"/>
      <c r="AD758" s="110"/>
      <c r="AE758" s="110"/>
      <c r="AF758" s="110"/>
      <c r="AG758" s="110"/>
      <c r="AH758" s="110"/>
      <c r="AI758" s="110"/>
      <c r="AJ758" s="110"/>
      <c r="AK758" s="110"/>
      <c r="AL758" s="110"/>
      <c r="AM758" s="110"/>
      <c r="AN758" s="110"/>
      <c r="AO758" s="110"/>
      <c r="AP758" s="110"/>
      <c r="AQ758" s="110"/>
      <c r="AR758" s="110"/>
      <c r="AS758" s="110"/>
      <c r="AT758" s="110"/>
      <c r="AU758" s="110"/>
    </row>
    <row r="759" spans="1:47" ht="12.75" hidden="1">
      <c r="A759" s="110"/>
      <c r="B759" s="1009"/>
      <c r="C759" s="1010"/>
      <c r="D759" s="253"/>
      <c r="E759" s="1011"/>
      <c r="F759" s="262"/>
      <c r="G759" s="1011"/>
      <c r="H759" s="262"/>
      <c r="I759" s="1011"/>
      <c r="J759" s="262"/>
      <c r="K759" s="1011"/>
      <c r="L759" s="262"/>
      <c r="M759" s="1011"/>
      <c r="N759" s="262"/>
      <c r="O759" s="1011"/>
      <c r="P759" s="262"/>
      <c r="Q759" s="1011"/>
      <c r="R759" s="1012"/>
      <c r="S759" s="1011"/>
      <c r="T759" s="1012"/>
      <c r="U759" s="1010"/>
      <c r="V759" s="1012"/>
      <c r="W759" s="1010"/>
      <c r="X759" s="1012"/>
      <c r="Y759" s="1010"/>
      <c r="Z759" s="262"/>
      <c r="AA759" s="110"/>
      <c r="AB759" s="110"/>
      <c r="AC759" s="110"/>
      <c r="AD759" s="110"/>
      <c r="AE759" s="110"/>
      <c r="AF759" s="110"/>
      <c r="AG759" s="110"/>
      <c r="AH759" s="110"/>
      <c r="AI759" s="110"/>
      <c r="AJ759" s="110"/>
      <c r="AK759" s="110"/>
      <c r="AL759" s="110"/>
      <c r="AM759" s="110"/>
      <c r="AN759" s="110"/>
      <c r="AO759" s="110"/>
      <c r="AP759" s="110"/>
      <c r="AQ759" s="110"/>
      <c r="AR759" s="110"/>
      <c r="AS759" s="110"/>
      <c r="AT759" s="110"/>
      <c r="AU759" s="110"/>
    </row>
    <row r="760" spans="1:47" ht="12.75" hidden="1">
      <c r="A760" s="110"/>
      <c r="B760" s="1009"/>
      <c r="C760" s="1010"/>
      <c r="D760" s="253"/>
      <c r="E760" s="1011"/>
      <c r="F760" s="262"/>
      <c r="G760" s="1011"/>
      <c r="H760" s="262"/>
      <c r="I760" s="1011"/>
      <c r="J760" s="262"/>
      <c r="K760" s="1011"/>
      <c r="L760" s="262"/>
      <c r="M760" s="1011"/>
      <c r="N760" s="262"/>
      <c r="O760" s="1011"/>
      <c r="P760" s="262"/>
      <c r="Q760" s="1011"/>
      <c r="R760" s="1012"/>
      <c r="S760" s="1011"/>
      <c r="T760" s="1012"/>
      <c r="U760" s="1010"/>
      <c r="V760" s="1012"/>
      <c r="W760" s="1010"/>
      <c r="X760" s="1012"/>
      <c r="Y760" s="1010"/>
      <c r="Z760" s="262"/>
      <c r="AA760" s="110"/>
      <c r="AB760" s="110"/>
      <c r="AC760" s="110"/>
      <c r="AD760" s="110"/>
      <c r="AE760" s="110"/>
      <c r="AF760" s="110"/>
      <c r="AG760" s="110"/>
      <c r="AH760" s="110"/>
      <c r="AI760" s="110"/>
      <c r="AJ760" s="110"/>
      <c r="AK760" s="110"/>
      <c r="AL760" s="110"/>
      <c r="AM760" s="110"/>
      <c r="AN760" s="110"/>
      <c r="AO760" s="110"/>
      <c r="AP760" s="110"/>
      <c r="AQ760" s="110"/>
      <c r="AR760" s="110"/>
      <c r="AS760" s="110"/>
      <c r="AT760" s="110"/>
      <c r="AU760" s="110"/>
    </row>
    <row r="761" spans="1:47" ht="12.75" hidden="1">
      <c r="A761" s="110"/>
      <c r="B761" s="1009"/>
      <c r="C761" s="1010"/>
      <c r="D761" s="253"/>
      <c r="E761" s="1011"/>
      <c r="F761" s="262"/>
      <c r="G761" s="1011"/>
      <c r="H761" s="262"/>
      <c r="I761" s="1011"/>
      <c r="J761" s="262"/>
      <c r="K761" s="1011"/>
      <c r="L761" s="262"/>
      <c r="M761" s="1011"/>
      <c r="N761" s="262"/>
      <c r="O761" s="1011"/>
      <c r="P761" s="262"/>
      <c r="Q761" s="1011"/>
      <c r="R761" s="1012"/>
      <c r="S761" s="1011"/>
      <c r="T761" s="1012"/>
      <c r="U761" s="1010"/>
      <c r="V761" s="1012"/>
      <c r="W761" s="1010"/>
      <c r="X761" s="1012"/>
      <c r="Y761" s="1010"/>
      <c r="Z761" s="262"/>
      <c r="AA761" s="110"/>
      <c r="AB761" s="110"/>
      <c r="AC761" s="110"/>
      <c r="AD761" s="110"/>
      <c r="AE761" s="110"/>
      <c r="AF761" s="110"/>
      <c r="AG761" s="110"/>
      <c r="AH761" s="110"/>
      <c r="AI761" s="110"/>
      <c r="AJ761" s="110"/>
      <c r="AK761" s="110"/>
      <c r="AL761" s="110"/>
      <c r="AM761" s="110"/>
      <c r="AN761" s="110"/>
      <c r="AO761" s="110"/>
      <c r="AP761" s="110"/>
      <c r="AQ761" s="110"/>
      <c r="AR761" s="110"/>
      <c r="AS761" s="110"/>
      <c r="AT761" s="110"/>
      <c r="AU761" s="110"/>
    </row>
    <row r="762" spans="1:47" ht="12.75" hidden="1">
      <c r="A762" s="110"/>
      <c r="B762" s="1009"/>
      <c r="C762" s="1010"/>
      <c r="D762" s="253"/>
      <c r="E762" s="1011"/>
      <c r="F762" s="262"/>
      <c r="G762" s="1011"/>
      <c r="H762" s="262"/>
      <c r="I762" s="1011"/>
      <c r="J762" s="262"/>
      <c r="K762" s="1011"/>
      <c r="L762" s="262"/>
      <c r="M762" s="1011"/>
      <c r="N762" s="262"/>
      <c r="O762" s="1011"/>
      <c r="P762" s="262"/>
      <c r="Q762" s="1011"/>
      <c r="R762" s="1012"/>
      <c r="S762" s="1011"/>
      <c r="T762" s="1012"/>
      <c r="U762" s="1010"/>
      <c r="V762" s="1012"/>
      <c r="W762" s="1010"/>
      <c r="X762" s="1012"/>
      <c r="Y762" s="1010"/>
      <c r="Z762" s="262"/>
      <c r="AA762" s="110"/>
      <c r="AB762" s="110"/>
      <c r="AC762" s="110"/>
      <c r="AD762" s="110"/>
      <c r="AE762" s="110"/>
      <c r="AF762" s="110"/>
      <c r="AG762" s="110"/>
      <c r="AH762" s="110"/>
      <c r="AI762" s="110"/>
      <c r="AJ762" s="110"/>
      <c r="AK762" s="110"/>
      <c r="AL762" s="110"/>
      <c r="AM762" s="110"/>
      <c r="AN762" s="110"/>
      <c r="AO762" s="110"/>
      <c r="AP762" s="110"/>
      <c r="AQ762" s="110"/>
      <c r="AR762" s="110"/>
      <c r="AS762" s="110"/>
      <c r="AT762" s="110"/>
      <c r="AU762" s="110"/>
    </row>
    <row r="763" spans="1:47" ht="12.75" hidden="1">
      <c r="A763" s="110"/>
      <c r="B763" s="1009"/>
      <c r="C763" s="1010"/>
      <c r="D763" s="253"/>
      <c r="E763" s="1011"/>
      <c r="F763" s="262"/>
      <c r="G763" s="1011"/>
      <c r="H763" s="262"/>
      <c r="I763" s="1011"/>
      <c r="J763" s="262"/>
      <c r="K763" s="1011"/>
      <c r="L763" s="262"/>
      <c r="M763" s="1011"/>
      <c r="N763" s="262"/>
      <c r="O763" s="1011"/>
      <c r="P763" s="262"/>
      <c r="Q763" s="1011"/>
      <c r="R763" s="1012"/>
      <c r="S763" s="1011"/>
      <c r="T763" s="1012"/>
      <c r="U763" s="1010"/>
      <c r="V763" s="1012"/>
      <c r="W763" s="1010"/>
      <c r="X763" s="1012"/>
      <c r="Y763" s="1010"/>
      <c r="Z763" s="262"/>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row>
    <row r="764" spans="1:47" ht="12.75" hidden="1">
      <c r="A764" s="110"/>
      <c r="B764" s="1009"/>
      <c r="C764" s="1010"/>
      <c r="D764" s="253"/>
      <c r="E764" s="1011"/>
      <c r="F764" s="262"/>
      <c r="G764" s="1011"/>
      <c r="H764" s="262"/>
      <c r="I764" s="1011"/>
      <c r="J764" s="262"/>
      <c r="K764" s="1011"/>
      <c r="L764" s="262"/>
      <c r="M764" s="1011"/>
      <c r="N764" s="262"/>
      <c r="O764" s="1011"/>
      <c r="P764" s="262"/>
      <c r="Q764" s="1011"/>
      <c r="R764" s="1012"/>
      <c r="S764" s="1011"/>
      <c r="T764" s="1012"/>
      <c r="U764" s="1010"/>
      <c r="V764" s="1012"/>
      <c r="W764" s="1010"/>
      <c r="X764" s="1012"/>
      <c r="Y764" s="1010"/>
      <c r="Z764" s="262"/>
      <c r="AA764" s="110"/>
      <c r="AB764" s="110"/>
      <c r="AC764" s="110"/>
      <c r="AD764" s="110"/>
      <c r="AE764" s="110"/>
      <c r="AF764" s="110"/>
      <c r="AG764" s="110"/>
      <c r="AH764" s="110"/>
      <c r="AI764" s="110"/>
      <c r="AJ764" s="110"/>
      <c r="AK764" s="110"/>
      <c r="AL764" s="110"/>
      <c r="AM764" s="110"/>
      <c r="AN764" s="110"/>
      <c r="AO764" s="110"/>
      <c r="AP764" s="110"/>
      <c r="AQ764" s="110"/>
      <c r="AR764" s="110"/>
      <c r="AS764" s="110"/>
      <c r="AT764" s="110"/>
      <c r="AU764" s="110"/>
    </row>
    <row r="765" spans="1:47" ht="12.75" hidden="1">
      <c r="A765" s="110"/>
      <c r="B765" s="1009"/>
      <c r="C765" s="1010"/>
      <c r="D765" s="253"/>
      <c r="E765" s="1011"/>
      <c r="F765" s="262"/>
      <c r="G765" s="1011"/>
      <c r="H765" s="262"/>
      <c r="I765" s="1011"/>
      <c r="J765" s="262"/>
      <c r="K765" s="1011"/>
      <c r="L765" s="262"/>
      <c r="M765" s="1011"/>
      <c r="N765" s="262"/>
      <c r="O765" s="1011"/>
      <c r="P765" s="262"/>
      <c r="Q765" s="1011"/>
      <c r="R765" s="1012"/>
      <c r="S765" s="1011"/>
      <c r="T765" s="1012"/>
      <c r="U765" s="1010"/>
      <c r="V765" s="1012"/>
      <c r="W765" s="1010"/>
      <c r="X765" s="1012"/>
      <c r="Y765" s="1010"/>
      <c r="Z765" s="262"/>
      <c r="AA765" s="110"/>
      <c r="AB765" s="110"/>
      <c r="AC765" s="110"/>
      <c r="AD765" s="110"/>
      <c r="AE765" s="110"/>
      <c r="AF765" s="110"/>
      <c r="AG765" s="110"/>
      <c r="AH765" s="110"/>
      <c r="AI765" s="110"/>
      <c r="AJ765" s="110"/>
      <c r="AK765" s="110"/>
      <c r="AL765" s="110"/>
      <c r="AM765" s="110"/>
      <c r="AN765" s="110"/>
      <c r="AO765" s="110"/>
      <c r="AP765" s="110"/>
      <c r="AQ765" s="110"/>
      <c r="AR765" s="110"/>
      <c r="AS765" s="110"/>
      <c r="AT765" s="110"/>
      <c r="AU765" s="110"/>
    </row>
    <row r="766" spans="1:47" ht="12.75" hidden="1">
      <c r="A766" s="110"/>
      <c r="B766" s="1009"/>
      <c r="C766" s="1010"/>
      <c r="D766" s="253"/>
      <c r="E766" s="1011"/>
      <c r="F766" s="262"/>
      <c r="G766" s="1011"/>
      <c r="H766" s="262"/>
      <c r="I766" s="1011"/>
      <c r="J766" s="262"/>
      <c r="K766" s="1011"/>
      <c r="L766" s="262"/>
      <c r="M766" s="1011"/>
      <c r="N766" s="262"/>
      <c r="O766" s="1011"/>
      <c r="P766" s="262"/>
      <c r="Q766" s="1011"/>
      <c r="R766" s="1012"/>
      <c r="S766" s="1011"/>
      <c r="T766" s="1012"/>
      <c r="U766" s="1010"/>
      <c r="V766" s="1012"/>
      <c r="W766" s="1010"/>
      <c r="X766" s="1012"/>
      <c r="Y766" s="1010"/>
      <c r="Z766" s="262"/>
      <c r="AA766" s="110"/>
      <c r="AB766" s="110"/>
      <c r="AC766" s="110"/>
      <c r="AD766" s="110"/>
      <c r="AE766" s="110"/>
      <c r="AF766" s="110"/>
      <c r="AG766" s="110"/>
      <c r="AH766" s="110"/>
      <c r="AI766" s="110"/>
      <c r="AJ766" s="110"/>
      <c r="AK766" s="110"/>
      <c r="AL766" s="110"/>
      <c r="AM766" s="110"/>
      <c r="AN766" s="110"/>
      <c r="AO766" s="110"/>
      <c r="AP766" s="110"/>
      <c r="AQ766" s="110"/>
      <c r="AR766" s="110"/>
      <c r="AS766" s="110"/>
      <c r="AT766" s="110"/>
      <c r="AU766" s="110"/>
    </row>
    <row r="767" spans="1:47" ht="12.75" hidden="1">
      <c r="A767" s="110"/>
      <c r="B767" s="1009"/>
      <c r="C767" s="1010"/>
      <c r="D767" s="253"/>
      <c r="E767" s="1011"/>
      <c r="F767" s="262"/>
      <c r="G767" s="1011"/>
      <c r="H767" s="262"/>
      <c r="I767" s="1011"/>
      <c r="J767" s="262"/>
      <c r="K767" s="1011"/>
      <c r="L767" s="262"/>
      <c r="M767" s="1011"/>
      <c r="N767" s="262"/>
      <c r="O767" s="1011"/>
      <c r="P767" s="262"/>
      <c r="Q767" s="1011"/>
      <c r="R767" s="1012"/>
      <c r="S767" s="1011"/>
      <c r="T767" s="1012"/>
      <c r="U767" s="1010"/>
      <c r="V767" s="1012"/>
      <c r="W767" s="1010"/>
      <c r="X767" s="1012"/>
      <c r="Y767" s="1010"/>
      <c r="Z767" s="262"/>
      <c r="AA767" s="110"/>
      <c r="AB767" s="110"/>
      <c r="AC767" s="110"/>
      <c r="AD767" s="110"/>
      <c r="AE767" s="110"/>
      <c r="AF767" s="110"/>
      <c r="AG767" s="110"/>
      <c r="AH767" s="110"/>
      <c r="AI767" s="110"/>
      <c r="AJ767" s="110"/>
      <c r="AK767" s="110"/>
      <c r="AL767" s="110"/>
      <c r="AM767" s="110"/>
      <c r="AN767" s="110"/>
      <c r="AO767" s="110"/>
      <c r="AP767" s="110"/>
      <c r="AQ767" s="110"/>
      <c r="AR767" s="110"/>
      <c r="AS767" s="110"/>
      <c r="AT767" s="110"/>
      <c r="AU767" s="110"/>
    </row>
    <row r="768" spans="1:47" ht="12.75" hidden="1">
      <c r="A768" s="110"/>
      <c r="B768" s="1009"/>
      <c r="C768" s="1010"/>
      <c r="D768" s="253"/>
      <c r="E768" s="1011"/>
      <c r="F768" s="262"/>
      <c r="G768" s="1011"/>
      <c r="H768" s="262"/>
      <c r="I768" s="1011"/>
      <c r="J768" s="262"/>
      <c r="K768" s="1011"/>
      <c r="L768" s="262"/>
      <c r="M768" s="1011"/>
      <c r="N768" s="262"/>
      <c r="O768" s="1011"/>
      <c r="P768" s="262"/>
      <c r="Q768" s="1011"/>
      <c r="R768" s="1012"/>
      <c r="S768" s="1011"/>
      <c r="T768" s="1012"/>
      <c r="U768" s="1010"/>
      <c r="V768" s="1012"/>
      <c r="W768" s="1010"/>
      <c r="X768" s="1012"/>
      <c r="Y768" s="1010"/>
      <c r="Z768" s="262"/>
      <c r="AA768" s="110"/>
      <c r="AB768" s="110"/>
      <c r="AC768" s="110"/>
      <c r="AD768" s="110"/>
      <c r="AE768" s="110"/>
      <c r="AF768" s="110"/>
      <c r="AG768" s="110"/>
      <c r="AH768" s="110"/>
      <c r="AI768" s="110"/>
      <c r="AJ768" s="110"/>
      <c r="AK768" s="110"/>
      <c r="AL768" s="110"/>
      <c r="AM768" s="110"/>
      <c r="AN768" s="110"/>
      <c r="AO768" s="110"/>
      <c r="AP768" s="110"/>
      <c r="AQ768" s="110"/>
      <c r="AR768" s="110"/>
      <c r="AS768" s="110"/>
      <c r="AT768" s="110"/>
      <c r="AU768" s="110"/>
    </row>
    <row r="769" spans="1:47" ht="12.75" hidden="1">
      <c r="A769" s="110"/>
      <c r="B769" s="1009"/>
      <c r="C769" s="1010"/>
      <c r="D769" s="253"/>
      <c r="E769" s="1011"/>
      <c r="F769" s="262"/>
      <c r="G769" s="1011"/>
      <c r="H769" s="262"/>
      <c r="I769" s="1011"/>
      <c r="J769" s="262"/>
      <c r="K769" s="1011"/>
      <c r="L769" s="262"/>
      <c r="M769" s="1011"/>
      <c r="N769" s="262"/>
      <c r="O769" s="1011"/>
      <c r="P769" s="262"/>
      <c r="Q769" s="1011"/>
      <c r="R769" s="1012"/>
      <c r="S769" s="1011"/>
      <c r="T769" s="1012"/>
      <c r="U769" s="1010"/>
      <c r="V769" s="1012"/>
      <c r="W769" s="1010"/>
      <c r="X769" s="1012"/>
      <c r="Y769" s="1010"/>
      <c r="Z769" s="262"/>
      <c r="AA769" s="110"/>
      <c r="AB769" s="110"/>
      <c r="AC769" s="110"/>
      <c r="AD769" s="110"/>
      <c r="AE769" s="110"/>
      <c r="AF769" s="110"/>
      <c r="AG769" s="110"/>
      <c r="AH769" s="110"/>
      <c r="AI769" s="110"/>
      <c r="AJ769" s="110"/>
      <c r="AK769" s="110"/>
      <c r="AL769" s="110"/>
      <c r="AM769" s="110"/>
      <c r="AN769" s="110"/>
      <c r="AO769" s="110"/>
      <c r="AP769" s="110"/>
      <c r="AQ769" s="110"/>
      <c r="AR769" s="110"/>
      <c r="AS769" s="110"/>
      <c r="AT769" s="110"/>
      <c r="AU769" s="110"/>
    </row>
    <row r="770" spans="1:47" ht="12.75" hidden="1">
      <c r="A770" s="110"/>
      <c r="B770" s="1009"/>
      <c r="C770" s="1010"/>
      <c r="D770" s="253"/>
      <c r="E770" s="1011"/>
      <c r="F770" s="262"/>
      <c r="G770" s="1011"/>
      <c r="H770" s="262"/>
      <c r="I770" s="1011"/>
      <c r="J770" s="262"/>
      <c r="K770" s="1011"/>
      <c r="L770" s="262"/>
      <c r="M770" s="1011"/>
      <c r="N770" s="262"/>
      <c r="O770" s="1011"/>
      <c r="P770" s="262"/>
      <c r="Q770" s="1011"/>
      <c r="R770" s="1012"/>
      <c r="S770" s="1011"/>
      <c r="T770" s="1012"/>
      <c r="U770" s="1010"/>
      <c r="V770" s="1012"/>
      <c r="W770" s="1010"/>
      <c r="X770" s="1012"/>
      <c r="Y770" s="1010"/>
      <c r="Z770" s="262"/>
      <c r="AA770" s="110"/>
      <c r="AB770" s="110"/>
      <c r="AC770" s="110"/>
      <c r="AD770" s="110"/>
      <c r="AE770" s="110"/>
      <c r="AF770" s="110"/>
      <c r="AG770" s="110"/>
      <c r="AH770" s="110"/>
      <c r="AI770" s="110"/>
      <c r="AJ770" s="110"/>
      <c r="AK770" s="110"/>
      <c r="AL770" s="110"/>
      <c r="AM770" s="110"/>
      <c r="AN770" s="110"/>
      <c r="AO770" s="110"/>
      <c r="AP770" s="110"/>
      <c r="AQ770" s="110"/>
      <c r="AR770" s="110"/>
      <c r="AS770" s="110"/>
      <c r="AT770" s="110"/>
      <c r="AU770" s="110"/>
    </row>
    <row r="771" spans="1:47" ht="12.75" hidden="1">
      <c r="A771" s="110"/>
      <c r="B771" s="1009"/>
      <c r="C771" s="1010"/>
      <c r="D771" s="253"/>
      <c r="E771" s="1011"/>
      <c r="F771" s="262"/>
      <c r="G771" s="1011"/>
      <c r="H771" s="262"/>
      <c r="I771" s="1011"/>
      <c r="J771" s="262"/>
      <c r="K771" s="1011"/>
      <c r="L771" s="262"/>
      <c r="M771" s="1011"/>
      <c r="N771" s="262"/>
      <c r="O771" s="1011"/>
      <c r="P771" s="262"/>
      <c r="Q771" s="1011"/>
      <c r="R771" s="1012"/>
      <c r="S771" s="1011"/>
      <c r="T771" s="1012"/>
      <c r="U771" s="1010"/>
      <c r="V771" s="1012"/>
      <c r="W771" s="1010"/>
      <c r="X771" s="1012"/>
      <c r="Y771" s="1010"/>
      <c r="Z771" s="262"/>
      <c r="AA771" s="110"/>
      <c r="AB771" s="110"/>
      <c r="AC771" s="110"/>
      <c r="AD771" s="110"/>
      <c r="AE771" s="110"/>
      <c r="AF771" s="110"/>
      <c r="AG771" s="110"/>
      <c r="AH771" s="110"/>
      <c r="AI771" s="110"/>
      <c r="AJ771" s="110"/>
      <c r="AK771" s="110"/>
      <c r="AL771" s="110"/>
      <c r="AM771" s="110"/>
      <c r="AN771" s="110"/>
      <c r="AO771" s="110"/>
      <c r="AP771" s="110"/>
      <c r="AQ771" s="110"/>
      <c r="AR771" s="110"/>
      <c r="AS771" s="110"/>
      <c r="AT771" s="110"/>
      <c r="AU771" s="110"/>
    </row>
    <row r="772" spans="1:47" ht="12.75" hidden="1">
      <c r="A772" s="110"/>
      <c r="B772" s="1009"/>
      <c r="C772" s="1010"/>
      <c r="D772" s="253"/>
      <c r="E772" s="1011"/>
      <c r="F772" s="262"/>
      <c r="G772" s="1011"/>
      <c r="H772" s="262"/>
      <c r="I772" s="1011"/>
      <c r="J772" s="262"/>
      <c r="K772" s="1011"/>
      <c r="L772" s="262"/>
      <c r="M772" s="1011"/>
      <c r="N772" s="262"/>
      <c r="O772" s="1011"/>
      <c r="P772" s="262"/>
      <c r="Q772" s="1011"/>
      <c r="R772" s="1012"/>
      <c r="S772" s="1011"/>
      <c r="T772" s="1012"/>
      <c r="U772" s="1010"/>
      <c r="V772" s="1012"/>
      <c r="W772" s="1010"/>
      <c r="X772" s="1012"/>
      <c r="Y772" s="1010"/>
      <c r="Z772" s="262"/>
      <c r="AA772" s="110"/>
      <c r="AB772" s="110"/>
      <c r="AC772" s="110"/>
      <c r="AD772" s="110"/>
      <c r="AE772" s="110"/>
      <c r="AF772" s="110"/>
      <c r="AG772" s="110"/>
      <c r="AH772" s="110"/>
      <c r="AI772" s="110"/>
      <c r="AJ772" s="110"/>
      <c r="AK772" s="110"/>
      <c r="AL772" s="110"/>
      <c r="AM772" s="110"/>
      <c r="AN772" s="110"/>
      <c r="AO772" s="110"/>
      <c r="AP772" s="110"/>
      <c r="AQ772" s="110"/>
      <c r="AR772" s="110"/>
      <c r="AS772" s="110"/>
      <c r="AT772" s="110"/>
      <c r="AU772" s="110"/>
    </row>
    <row r="773" spans="1:47" ht="12.75" hidden="1">
      <c r="A773" s="110"/>
      <c r="B773" s="1009"/>
      <c r="C773" s="1010"/>
      <c r="D773" s="253"/>
      <c r="E773" s="1011"/>
      <c r="F773" s="262"/>
      <c r="G773" s="1011"/>
      <c r="H773" s="262"/>
      <c r="I773" s="1011"/>
      <c r="J773" s="262"/>
      <c r="K773" s="1011"/>
      <c r="L773" s="262"/>
      <c r="M773" s="1011"/>
      <c r="N773" s="262"/>
      <c r="O773" s="1011"/>
      <c r="P773" s="262"/>
      <c r="Q773" s="1011"/>
      <c r="R773" s="1012"/>
      <c r="S773" s="1011"/>
      <c r="T773" s="1012"/>
      <c r="U773" s="1010"/>
      <c r="V773" s="1012"/>
      <c r="W773" s="1010"/>
      <c r="X773" s="1012"/>
      <c r="Y773" s="1010"/>
      <c r="Z773" s="262"/>
      <c r="AA773" s="110"/>
      <c r="AB773" s="110"/>
      <c r="AC773" s="110"/>
      <c r="AD773" s="110"/>
      <c r="AE773" s="110"/>
      <c r="AF773" s="110"/>
      <c r="AG773" s="110"/>
      <c r="AH773" s="110"/>
      <c r="AI773" s="110"/>
      <c r="AJ773" s="110"/>
      <c r="AK773" s="110"/>
      <c r="AL773" s="110"/>
      <c r="AM773" s="110"/>
      <c r="AN773" s="110"/>
      <c r="AO773" s="110"/>
      <c r="AP773" s="110"/>
      <c r="AQ773" s="110"/>
      <c r="AR773" s="110"/>
      <c r="AS773" s="110"/>
      <c r="AT773" s="110"/>
      <c r="AU773" s="110"/>
    </row>
    <row r="774" spans="1:47" ht="12.75" hidden="1">
      <c r="A774" s="110"/>
      <c r="B774" s="1009"/>
      <c r="C774" s="1010"/>
      <c r="D774" s="253"/>
      <c r="E774" s="1011"/>
      <c r="F774" s="262"/>
      <c r="G774" s="1011"/>
      <c r="H774" s="262"/>
      <c r="I774" s="1011"/>
      <c r="J774" s="262"/>
      <c r="K774" s="1011"/>
      <c r="L774" s="262"/>
      <c r="M774" s="1011"/>
      <c r="N774" s="262"/>
      <c r="O774" s="1011"/>
      <c r="P774" s="262"/>
      <c r="Q774" s="1011"/>
      <c r="R774" s="1012"/>
      <c r="S774" s="1011"/>
      <c r="T774" s="1012"/>
      <c r="U774" s="1010"/>
      <c r="V774" s="1012"/>
      <c r="W774" s="1010"/>
      <c r="X774" s="1012"/>
      <c r="Y774" s="1010"/>
      <c r="Z774" s="262"/>
      <c r="AA774" s="110"/>
      <c r="AB774" s="110"/>
      <c r="AC774" s="110"/>
      <c r="AD774" s="110"/>
      <c r="AE774" s="110"/>
      <c r="AF774" s="110"/>
      <c r="AG774" s="110"/>
      <c r="AH774" s="110"/>
      <c r="AI774" s="110"/>
      <c r="AJ774" s="110"/>
      <c r="AK774" s="110"/>
      <c r="AL774" s="110"/>
      <c r="AM774" s="110"/>
      <c r="AN774" s="110"/>
      <c r="AO774" s="110"/>
      <c r="AP774" s="110"/>
      <c r="AQ774" s="110"/>
      <c r="AR774" s="110"/>
      <c r="AS774" s="110"/>
      <c r="AT774" s="110"/>
      <c r="AU774" s="110"/>
    </row>
    <row r="775" spans="1:47" ht="12.75" hidden="1">
      <c r="A775" s="110"/>
      <c r="B775" s="1009"/>
      <c r="C775" s="1010"/>
      <c r="D775" s="253"/>
      <c r="E775" s="1011"/>
      <c r="F775" s="262"/>
      <c r="G775" s="1011"/>
      <c r="H775" s="262"/>
      <c r="I775" s="1011"/>
      <c r="J775" s="262"/>
      <c r="K775" s="1011"/>
      <c r="L775" s="262"/>
      <c r="M775" s="1011"/>
      <c r="N775" s="262"/>
      <c r="O775" s="1011"/>
      <c r="P775" s="262"/>
      <c r="Q775" s="1011"/>
      <c r="R775" s="1012"/>
      <c r="S775" s="1011"/>
      <c r="T775" s="1012"/>
      <c r="U775" s="1010"/>
      <c r="V775" s="1012"/>
      <c r="W775" s="1010"/>
      <c r="X775" s="1012"/>
      <c r="Y775" s="1010"/>
      <c r="Z775" s="262"/>
      <c r="AA775" s="110"/>
      <c r="AB775" s="110"/>
      <c r="AC775" s="110"/>
      <c r="AD775" s="110"/>
      <c r="AE775" s="110"/>
      <c r="AF775" s="110"/>
      <c r="AG775" s="110"/>
      <c r="AH775" s="110"/>
      <c r="AI775" s="110"/>
      <c r="AJ775" s="110"/>
      <c r="AK775" s="110"/>
      <c r="AL775" s="110"/>
      <c r="AM775" s="110"/>
      <c r="AN775" s="110"/>
      <c r="AO775" s="110"/>
      <c r="AP775" s="110"/>
      <c r="AQ775" s="110"/>
      <c r="AR775" s="110"/>
      <c r="AS775" s="110"/>
      <c r="AT775" s="110"/>
      <c r="AU775" s="110"/>
    </row>
    <row r="776" spans="1:47" ht="12.75" hidden="1">
      <c r="A776" s="110"/>
      <c r="B776" s="1009"/>
      <c r="C776" s="1010"/>
      <c r="D776" s="253"/>
      <c r="E776" s="1011"/>
      <c r="F776" s="262"/>
      <c r="G776" s="1011"/>
      <c r="H776" s="262"/>
      <c r="I776" s="1011"/>
      <c r="J776" s="262"/>
      <c r="K776" s="1011"/>
      <c r="L776" s="262"/>
      <c r="M776" s="1011"/>
      <c r="N776" s="262"/>
      <c r="O776" s="1011"/>
      <c r="P776" s="262"/>
      <c r="Q776" s="1011"/>
      <c r="R776" s="1012"/>
      <c r="S776" s="1011"/>
      <c r="T776" s="1012"/>
      <c r="U776" s="1010"/>
      <c r="V776" s="1012"/>
      <c r="W776" s="1010"/>
      <c r="X776" s="1012"/>
      <c r="Y776" s="1010"/>
      <c r="Z776" s="262"/>
      <c r="AA776" s="110"/>
      <c r="AB776" s="110"/>
      <c r="AC776" s="110"/>
      <c r="AD776" s="110"/>
      <c r="AE776" s="110"/>
      <c r="AF776" s="110"/>
      <c r="AG776" s="110"/>
      <c r="AH776" s="110"/>
      <c r="AI776" s="110"/>
      <c r="AJ776" s="110"/>
      <c r="AK776" s="110"/>
      <c r="AL776" s="110"/>
      <c r="AM776" s="110"/>
      <c r="AN776" s="110"/>
      <c r="AO776" s="110"/>
      <c r="AP776" s="110"/>
      <c r="AQ776" s="110"/>
      <c r="AR776" s="110"/>
      <c r="AS776" s="110"/>
      <c r="AT776" s="110"/>
      <c r="AU776" s="110"/>
    </row>
    <row r="777" spans="1:47" ht="12.75" hidden="1">
      <c r="A777" s="110"/>
      <c r="B777" s="1009"/>
      <c r="C777" s="1010"/>
      <c r="D777" s="253"/>
      <c r="E777" s="1011"/>
      <c r="F777" s="262"/>
      <c r="G777" s="1011"/>
      <c r="H777" s="262"/>
      <c r="I777" s="1011"/>
      <c r="J777" s="262"/>
      <c r="K777" s="1011"/>
      <c r="L777" s="262"/>
      <c r="M777" s="1011"/>
      <c r="N777" s="262"/>
      <c r="O777" s="1011"/>
      <c r="P777" s="262"/>
      <c r="Q777" s="1011"/>
      <c r="R777" s="1012"/>
      <c r="S777" s="1011"/>
      <c r="T777" s="1012"/>
      <c r="U777" s="1010"/>
      <c r="V777" s="1012"/>
      <c r="W777" s="1010"/>
      <c r="X777" s="1012"/>
      <c r="Y777" s="1010"/>
      <c r="Z777" s="262"/>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row>
    <row r="778" spans="1:47" ht="12.75" hidden="1">
      <c r="A778" s="110"/>
      <c r="B778" s="1009"/>
      <c r="C778" s="1010"/>
      <c r="D778" s="253"/>
      <c r="E778" s="1011"/>
      <c r="F778" s="262"/>
      <c r="G778" s="1011"/>
      <c r="H778" s="262"/>
      <c r="I778" s="1011"/>
      <c r="J778" s="262"/>
      <c r="K778" s="1011"/>
      <c r="L778" s="262"/>
      <c r="M778" s="1011"/>
      <c r="N778" s="262"/>
      <c r="O778" s="1011"/>
      <c r="P778" s="262"/>
      <c r="Q778" s="1011"/>
      <c r="R778" s="1012"/>
      <c r="S778" s="1011"/>
      <c r="T778" s="1012"/>
      <c r="U778" s="1010"/>
      <c r="V778" s="1012"/>
      <c r="W778" s="1010"/>
      <c r="X778" s="1012"/>
      <c r="Y778" s="1010"/>
      <c r="Z778" s="262"/>
      <c r="AA778" s="110"/>
      <c r="AB778" s="110"/>
      <c r="AC778" s="110"/>
      <c r="AD778" s="110"/>
      <c r="AE778" s="110"/>
      <c r="AF778" s="110"/>
      <c r="AG778" s="110"/>
      <c r="AH778" s="110"/>
      <c r="AI778" s="110"/>
      <c r="AJ778" s="110"/>
      <c r="AK778" s="110"/>
      <c r="AL778" s="110"/>
      <c r="AM778" s="110"/>
      <c r="AN778" s="110"/>
      <c r="AO778" s="110"/>
      <c r="AP778" s="110"/>
      <c r="AQ778" s="110"/>
      <c r="AR778" s="110"/>
      <c r="AS778" s="110"/>
      <c r="AT778" s="110"/>
      <c r="AU778" s="110"/>
    </row>
    <row r="779" spans="1:47" ht="12.75" hidden="1">
      <c r="A779" s="110"/>
      <c r="B779" s="1009"/>
      <c r="C779" s="1010"/>
      <c r="D779" s="253"/>
      <c r="E779" s="1011"/>
      <c r="F779" s="262"/>
      <c r="G779" s="1011"/>
      <c r="H779" s="262"/>
      <c r="I779" s="1011"/>
      <c r="J779" s="262"/>
      <c r="K779" s="1011"/>
      <c r="L779" s="262"/>
      <c r="M779" s="1011"/>
      <c r="N779" s="262"/>
      <c r="O779" s="1011"/>
      <c r="P779" s="262"/>
      <c r="Q779" s="1011"/>
      <c r="R779" s="1012"/>
      <c r="S779" s="1011"/>
      <c r="T779" s="1012"/>
      <c r="U779" s="1010"/>
      <c r="V779" s="1012"/>
      <c r="W779" s="1010"/>
      <c r="X779" s="1012"/>
      <c r="Y779" s="1010"/>
      <c r="Z779" s="262"/>
      <c r="AA779" s="110"/>
      <c r="AB779" s="110"/>
      <c r="AC779" s="110"/>
      <c r="AD779" s="110"/>
      <c r="AE779" s="110"/>
      <c r="AF779" s="110"/>
      <c r="AG779" s="110"/>
      <c r="AH779" s="110"/>
      <c r="AI779" s="110"/>
      <c r="AJ779" s="110"/>
      <c r="AK779" s="110"/>
      <c r="AL779" s="110"/>
      <c r="AM779" s="110"/>
      <c r="AN779" s="110"/>
      <c r="AO779" s="110"/>
      <c r="AP779" s="110"/>
      <c r="AQ779" s="110"/>
      <c r="AR779" s="110"/>
      <c r="AS779" s="110"/>
      <c r="AT779" s="110"/>
      <c r="AU779" s="110"/>
    </row>
    <row r="780" spans="1:47" ht="12.75" hidden="1">
      <c r="A780" s="110"/>
      <c r="B780" s="1009"/>
      <c r="C780" s="1010"/>
      <c r="D780" s="253"/>
      <c r="E780" s="1011"/>
      <c r="F780" s="262"/>
      <c r="G780" s="1011"/>
      <c r="H780" s="262"/>
      <c r="I780" s="1011"/>
      <c r="J780" s="262"/>
      <c r="K780" s="1011"/>
      <c r="L780" s="262"/>
      <c r="M780" s="1011"/>
      <c r="N780" s="262"/>
      <c r="O780" s="1011"/>
      <c r="P780" s="262"/>
      <c r="Q780" s="1011"/>
      <c r="R780" s="1012"/>
      <c r="S780" s="1011"/>
      <c r="T780" s="1012"/>
      <c r="U780" s="1010"/>
      <c r="V780" s="1012"/>
      <c r="W780" s="1010"/>
      <c r="X780" s="1012"/>
      <c r="Y780" s="1010"/>
      <c r="Z780" s="262"/>
      <c r="AA780" s="110"/>
      <c r="AB780" s="110"/>
      <c r="AC780" s="110"/>
      <c r="AD780" s="110"/>
      <c r="AE780" s="110"/>
      <c r="AF780" s="110"/>
      <c r="AG780" s="110"/>
      <c r="AH780" s="110"/>
      <c r="AI780" s="110"/>
      <c r="AJ780" s="110"/>
      <c r="AK780" s="110"/>
      <c r="AL780" s="110"/>
      <c r="AM780" s="110"/>
      <c r="AN780" s="110"/>
      <c r="AO780" s="110"/>
      <c r="AP780" s="110"/>
      <c r="AQ780" s="110"/>
      <c r="AR780" s="110"/>
      <c r="AS780" s="110"/>
      <c r="AT780" s="110"/>
      <c r="AU780" s="110"/>
    </row>
    <row r="781" spans="1:47" ht="12.75" hidden="1">
      <c r="A781" s="110"/>
      <c r="B781" s="1009"/>
      <c r="C781" s="1010"/>
      <c r="D781" s="253"/>
      <c r="E781" s="1011"/>
      <c r="F781" s="262"/>
      <c r="G781" s="1011"/>
      <c r="H781" s="262"/>
      <c r="I781" s="1011"/>
      <c r="J781" s="262"/>
      <c r="K781" s="1011"/>
      <c r="L781" s="262"/>
      <c r="M781" s="1011"/>
      <c r="N781" s="262"/>
      <c r="O781" s="1011"/>
      <c r="P781" s="262"/>
      <c r="Q781" s="1011"/>
      <c r="R781" s="1012"/>
      <c r="S781" s="1011"/>
      <c r="T781" s="1012"/>
      <c r="U781" s="1010"/>
      <c r="V781" s="1012"/>
      <c r="W781" s="1010"/>
      <c r="X781" s="1012"/>
      <c r="Y781" s="1010"/>
      <c r="Z781" s="262"/>
      <c r="AA781" s="110"/>
      <c r="AB781" s="110"/>
      <c r="AC781" s="110"/>
      <c r="AD781" s="110"/>
      <c r="AE781" s="110"/>
      <c r="AF781" s="110"/>
      <c r="AG781" s="110"/>
      <c r="AH781" s="110"/>
      <c r="AI781" s="110"/>
      <c r="AJ781" s="110"/>
      <c r="AK781" s="110"/>
      <c r="AL781" s="110"/>
      <c r="AM781" s="110"/>
      <c r="AN781" s="110"/>
      <c r="AO781" s="110"/>
      <c r="AP781" s="110"/>
      <c r="AQ781" s="110"/>
      <c r="AR781" s="110"/>
      <c r="AS781" s="110"/>
      <c r="AT781" s="110"/>
      <c r="AU781" s="110"/>
    </row>
    <row r="782" spans="1:47" ht="12.75" hidden="1">
      <c r="A782" s="110"/>
      <c r="B782" s="1009"/>
      <c r="C782" s="1010"/>
      <c r="D782" s="253"/>
      <c r="E782" s="1011"/>
      <c r="F782" s="262"/>
      <c r="G782" s="1011"/>
      <c r="H782" s="262"/>
      <c r="I782" s="1011"/>
      <c r="J782" s="262"/>
      <c r="K782" s="1011"/>
      <c r="L782" s="262"/>
      <c r="M782" s="1011"/>
      <c r="N782" s="262"/>
      <c r="O782" s="1011"/>
      <c r="P782" s="262"/>
      <c r="Q782" s="1011"/>
      <c r="R782" s="1012"/>
      <c r="S782" s="1011"/>
      <c r="T782" s="1012"/>
      <c r="U782" s="1010"/>
      <c r="V782" s="1012"/>
      <c r="W782" s="1010"/>
      <c r="X782" s="1012"/>
      <c r="Y782" s="1010"/>
      <c r="Z782" s="262"/>
      <c r="AA782" s="110"/>
      <c r="AB782" s="110"/>
      <c r="AC782" s="110"/>
      <c r="AD782" s="110"/>
      <c r="AE782" s="110"/>
      <c r="AF782" s="110"/>
      <c r="AG782" s="110"/>
      <c r="AH782" s="110"/>
      <c r="AI782" s="110"/>
      <c r="AJ782" s="110"/>
      <c r="AK782" s="110"/>
      <c r="AL782" s="110"/>
      <c r="AM782" s="110"/>
      <c r="AN782" s="110"/>
      <c r="AO782" s="110"/>
      <c r="AP782" s="110"/>
      <c r="AQ782" s="110"/>
      <c r="AR782" s="110"/>
      <c r="AS782" s="110"/>
      <c r="AT782" s="110"/>
      <c r="AU782" s="110"/>
    </row>
    <row r="783" spans="1:47" ht="12.75" hidden="1">
      <c r="A783" s="110"/>
      <c r="B783" s="1009"/>
      <c r="C783" s="1010"/>
      <c r="D783" s="253"/>
      <c r="E783" s="1011"/>
      <c r="F783" s="262"/>
      <c r="G783" s="1011"/>
      <c r="H783" s="262"/>
      <c r="I783" s="1011"/>
      <c r="J783" s="262"/>
      <c r="K783" s="1011"/>
      <c r="L783" s="262"/>
      <c r="M783" s="1011"/>
      <c r="N783" s="262"/>
      <c r="O783" s="1011"/>
      <c r="P783" s="262"/>
      <c r="Q783" s="1011"/>
      <c r="R783" s="1012"/>
      <c r="S783" s="1011"/>
      <c r="T783" s="1012"/>
      <c r="U783" s="1010"/>
      <c r="V783" s="1012"/>
      <c r="W783" s="1010"/>
      <c r="X783" s="1012"/>
      <c r="Y783" s="1010"/>
      <c r="Z783" s="262"/>
      <c r="AA783" s="110"/>
      <c r="AB783" s="110"/>
      <c r="AC783" s="110"/>
      <c r="AD783" s="110"/>
      <c r="AE783" s="110"/>
      <c r="AF783" s="110"/>
      <c r="AG783" s="110"/>
      <c r="AH783" s="110"/>
      <c r="AI783" s="110"/>
      <c r="AJ783" s="110"/>
      <c r="AK783" s="110"/>
      <c r="AL783" s="110"/>
      <c r="AM783" s="110"/>
      <c r="AN783" s="110"/>
      <c r="AO783" s="110"/>
      <c r="AP783" s="110"/>
      <c r="AQ783" s="110"/>
      <c r="AR783" s="110"/>
      <c r="AS783" s="110"/>
      <c r="AT783" s="110"/>
      <c r="AU783" s="110"/>
    </row>
    <row r="784" spans="1:47" ht="12.75" hidden="1">
      <c r="A784" s="110"/>
      <c r="B784" s="1009"/>
      <c r="C784" s="1010"/>
      <c r="D784" s="253"/>
      <c r="E784" s="1011"/>
      <c r="F784" s="262"/>
      <c r="G784" s="1011"/>
      <c r="H784" s="262"/>
      <c r="I784" s="1011"/>
      <c r="J784" s="262"/>
      <c r="K784" s="1011"/>
      <c r="L784" s="262"/>
      <c r="M784" s="1011"/>
      <c r="N784" s="262"/>
      <c r="O784" s="1011"/>
      <c r="P784" s="262"/>
      <c r="Q784" s="1011"/>
      <c r="R784" s="1012"/>
      <c r="S784" s="1011"/>
      <c r="T784" s="1012"/>
      <c r="U784" s="1010"/>
      <c r="V784" s="1012"/>
      <c r="W784" s="1010"/>
      <c r="X784" s="1012"/>
      <c r="Y784" s="1010"/>
      <c r="Z784" s="262"/>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row>
    <row r="785" spans="1:47" ht="12.75" hidden="1">
      <c r="A785" s="110"/>
      <c r="B785" s="1009"/>
      <c r="C785" s="1010"/>
      <c r="D785" s="253"/>
      <c r="E785" s="1011"/>
      <c r="F785" s="262"/>
      <c r="G785" s="1011"/>
      <c r="H785" s="262"/>
      <c r="I785" s="1011"/>
      <c r="J785" s="262"/>
      <c r="K785" s="1011"/>
      <c r="L785" s="262"/>
      <c r="M785" s="1011"/>
      <c r="N785" s="262"/>
      <c r="O785" s="1011"/>
      <c r="P785" s="262"/>
      <c r="Q785" s="1011"/>
      <c r="R785" s="1012"/>
      <c r="S785" s="1011"/>
      <c r="T785" s="1012"/>
      <c r="U785" s="1010"/>
      <c r="V785" s="1012"/>
      <c r="W785" s="1010"/>
      <c r="X785" s="1012"/>
      <c r="Y785" s="1010"/>
      <c r="Z785" s="262"/>
      <c r="AA785" s="110"/>
      <c r="AB785" s="110"/>
      <c r="AC785" s="110"/>
      <c r="AD785" s="110"/>
      <c r="AE785" s="110"/>
      <c r="AF785" s="110"/>
      <c r="AG785" s="110"/>
      <c r="AH785" s="110"/>
      <c r="AI785" s="110"/>
      <c r="AJ785" s="110"/>
      <c r="AK785" s="110"/>
      <c r="AL785" s="110"/>
      <c r="AM785" s="110"/>
      <c r="AN785" s="110"/>
      <c r="AO785" s="110"/>
      <c r="AP785" s="110"/>
      <c r="AQ785" s="110"/>
      <c r="AR785" s="110"/>
      <c r="AS785" s="110"/>
      <c r="AT785" s="110"/>
      <c r="AU785" s="110"/>
    </row>
    <row r="786" spans="1:47" ht="12.75" hidden="1">
      <c r="A786" s="110"/>
      <c r="B786" s="1009"/>
      <c r="C786" s="1010"/>
      <c r="D786" s="253"/>
      <c r="E786" s="1011"/>
      <c r="F786" s="262"/>
      <c r="G786" s="1011"/>
      <c r="H786" s="262"/>
      <c r="I786" s="1011"/>
      <c r="J786" s="262"/>
      <c r="K786" s="1011"/>
      <c r="L786" s="262"/>
      <c r="M786" s="1011"/>
      <c r="N786" s="262"/>
      <c r="O786" s="1011"/>
      <c r="P786" s="262"/>
      <c r="Q786" s="1011"/>
      <c r="R786" s="1012"/>
      <c r="S786" s="1011"/>
      <c r="T786" s="1012"/>
      <c r="U786" s="1010"/>
      <c r="V786" s="1012"/>
      <c r="W786" s="1010"/>
      <c r="X786" s="1012"/>
      <c r="Y786" s="1010"/>
      <c r="Z786" s="262"/>
      <c r="AA786" s="110"/>
      <c r="AB786" s="110"/>
      <c r="AC786" s="110"/>
      <c r="AD786" s="110"/>
      <c r="AE786" s="110"/>
      <c r="AF786" s="110"/>
      <c r="AG786" s="110"/>
      <c r="AH786" s="110"/>
      <c r="AI786" s="110"/>
      <c r="AJ786" s="110"/>
      <c r="AK786" s="110"/>
      <c r="AL786" s="110"/>
      <c r="AM786" s="110"/>
      <c r="AN786" s="110"/>
      <c r="AO786" s="110"/>
      <c r="AP786" s="110"/>
      <c r="AQ786" s="110"/>
      <c r="AR786" s="110"/>
      <c r="AS786" s="110"/>
      <c r="AT786" s="110"/>
      <c r="AU786" s="110"/>
    </row>
    <row r="787" spans="1:47" ht="12.75" hidden="1">
      <c r="A787" s="110"/>
      <c r="B787" s="1009"/>
      <c r="C787" s="1010"/>
      <c r="D787" s="253"/>
      <c r="E787" s="1011"/>
      <c r="F787" s="262"/>
      <c r="G787" s="1011"/>
      <c r="H787" s="262"/>
      <c r="I787" s="1011"/>
      <c r="J787" s="262"/>
      <c r="K787" s="1011"/>
      <c r="L787" s="262"/>
      <c r="M787" s="1011"/>
      <c r="N787" s="262"/>
      <c r="O787" s="1011"/>
      <c r="P787" s="262"/>
      <c r="Q787" s="1011"/>
      <c r="R787" s="1012"/>
      <c r="S787" s="1011"/>
      <c r="T787" s="1012"/>
      <c r="U787" s="1010"/>
      <c r="V787" s="1012"/>
      <c r="W787" s="1010"/>
      <c r="X787" s="1012"/>
      <c r="Y787" s="1010"/>
      <c r="Z787" s="262"/>
      <c r="AA787" s="110"/>
      <c r="AB787" s="110"/>
      <c r="AC787" s="110"/>
      <c r="AD787" s="110"/>
      <c r="AE787" s="110"/>
      <c r="AF787" s="110"/>
      <c r="AG787" s="110"/>
      <c r="AH787" s="110"/>
      <c r="AI787" s="110"/>
      <c r="AJ787" s="110"/>
      <c r="AK787" s="110"/>
      <c r="AL787" s="110"/>
      <c r="AM787" s="110"/>
      <c r="AN787" s="110"/>
      <c r="AO787" s="110"/>
      <c r="AP787" s="110"/>
      <c r="AQ787" s="110"/>
      <c r="AR787" s="110"/>
      <c r="AS787" s="110"/>
      <c r="AT787" s="110"/>
      <c r="AU787" s="110"/>
    </row>
    <row r="788" spans="1:47" ht="12.75" hidden="1">
      <c r="A788" s="110"/>
      <c r="B788" s="1009"/>
      <c r="C788" s="1010"/>
      <c r="D788" s="253"/>
      <c r="E788" s="1011"/>
      <c r="F788" s="262"/>
      <c r="G788" s="1011"/>
      <c r="H788" s="262"/>
      <c r="I788" s="1011"/>
      <c r="J788" s="262"/>
      <c r="K788" s="1011"/>
      <c r="L788" s="262"/>
      <c r="M788" s="1011"/>
      <c r="N788" s="262"/>
      <c r="O788" s="1011"/>
      <c r="P788" s="262"/>
      <c r="Q788" s="1011"/>
      <c r="R788" s="1012"/>
      <c r="S788" s="1011"/>
      <c r="T788" s="1012"/>
      <c r="U788" s="1010"/>
      <c r="V788" s="1012"/>
      <c r="W788" s="1010"/>
      <c r="X788" s="1012"/>
      <c r="Y788" s="1010"/>
      <c r="Z788" s="262"/>
      <c r="AA788" s="110"/>
      <c r="AB788" s="110"/>
      <c r="AC788" s="110"/>
      <c r="AD788" s="110"/>
      <c r="AE788" s="110"/>
      <c r="AF788" s="110"/>
      <c r="AG788" s="110"/>
      <c r="AH788" s="110"/>
      <c r="AI788" s="110"/>
      <c r="AJ788" s="110"/>
      <c r="AK788" s="110"/>
      <c r="AL788" s="110"/>
      <c r="AM788" s="110"/>
      <c r="AN788" s="110"/>
      <c r="AO788" s="110"/>
      <c r="AP788" s="110"/>
      <c r="AQ788" s="110"/>
      <c r="AR788" s="110"/>
      <c r="AS788" s="110"/>
      <c r="AT788" s="110"/>
      <c r="AU788" s="110"/>
    </row>
    <row r="789" spans="1:47" ht="12.75" hidden="1">
      <c r="A789" s="110"/>
      <c r="B789" s="1009"/>
      <c r="C789" s="1010"/>
      <c r="D789" s="253"/>
      <c r="E789" s="1011"/>
      <c r="F789" s="262"/>
      <c r="G789" s="1011"/>
      <c r="H789" s="262"/>
      <c r="I789" s="1011"/>
      <c r="J789" s="262"/>
      <c r="K789" s="1011"/>
      <c r="L789" s="262"/>
      <c r="M789" s="1011"/>
      <c r="N789" s="262"/>
      <c r="O789" s="1011"/>
      <c r="P789" s="262"/>
      <c r="Q789" s="1011"/>
      <c r="R789" s="1012"/>
      <c r="S789" s="1011"/>
      <c r="T789" s="1012"/>
      <c r="U789" s="1010"/>
      <c r="V789" s="1012"/>
      <c r="W789" s="1010"/>
      <c r="X789" s="1012"/>
      <c r="Y789" s="1010"/>
      <c r="Z789" s="262"/>
      <c r="AA789" s="110"/>
      <c r="AB789" s="110"/>
      <c r="AC789" s="110"/>
      <c r="AD789" s="110"/>
      <c r="AE789" s="110"/>
      <c r="AF789" s="110"/>
      <c r="AG789" s="110"/>
      <c r="AH789" s="110"/>
      <c r="AI789" s="110"/>
      <c r="AJ789" s="110"/>
      <c r="AK789" s="110"/>
      <c r="AL789" s="110"/>
      <c r="AM789" s="110"/>
      <c r="AN789" s="110"/>
      <c r="AO789" s="110"/>
      <c r="AP789" s="110"/>
      <c r="AQ789" s="110"/>
      <c r="AR789" s="110"/>
      <c r="AS789" s="110"/>
      <c r="AT789" s="110"/>
      <c r="AU789" s="110"/>
    </row>
    <row r="790" spans="1:47" ht="12.75" hidden="1">
      <c r="A790" s="110"/>
      <c r="B790" s="1009"/>
      <c r="C790" s="1010"/>
      <c r="D790" s="253"/>
      <c r="E790" s="1011"/>
      <c r="F790" s="262"/>
      <c r="G790" s="1011"/>
      <c r="H790" s="262"/>
      <c r="I790" s="1011"/>
      <c r="J790" s="262"/>
      <c r="K790" s="1011"/>
      <c r="L790" s="262"/>
      <c r="M790" s="1011"/>
      <c r="N790" s="262"/>
      <c r="O790" s="1011"/>
      <c r="P790" s="262"/>
      <c r="Q790" s="1011"/>
      <c r="R790" s="1012"/>
      <c r="S790" s="1011"/>
      <c r="T790" s="1012"/>
      <c r="U790" s="1010"/>
      <c r="V790" s="1012"/>
      <c r="W790" s="1010"/>
      <c r="X790" s="1012"/>
      <c r="Y790" s="1010"/>
      <c r="Z790" s="262"/>
      <c r="AA790" s="110"/>
      <c r="AB790" s="110"/>
      <c r="AC790" s="110"/>
      <c r="AD790" s="110"/>
      <c r="AE790" s="110"/>
      <c r="AF790" s="110"/>
      <c r="AG790" s="110"/>
      <c r="AH790" s="110"/>
      <c r="AI790" s="110"/>
      <c r="AJ790" s="110"/>
      <c r="AK790" s="110"/>
      <c r="AL790" s="110"/>
      <c r="AM790" s="110"/>
      <c r="AN790" s="110"/>
      <c r="AO790" s="110"/>
      <c r="AP790" s="110"/>
      <c r="AQ790" s="110"/>
      <c r="AR790" s="110"/>
      <c r="AS790" s="110"/>
      <c r="AT790" s="110"/>
      <c r="AU790" s="110"/>
    </row>
    <row r="791" spans="1:47" ht="12.75" hidden="1">
      <c r="A791" s="110"/>
      <c r="B791" s="1009"/>
      <c r="C791" s="1010"/>
      <c r="D791" s="253"/>
      <c r="E791" s="1011"/>
      <c r="F791" s="262"/>
      <c r="G791" s="1011"/>
      <c r="H791" s="262"/>
      <c r="I791" s="1011"/>
      <c r="J791" s="262"/>
      <c r="K791" s="1011"/>
      <c r="L791" s="262"/>
      <c r="M791" s="1011"/>
      <c r="N791" s="262"/>
      <c r="O791" s="1011"/>
      <c r="P791" s="262"/>
      <c r="Q791" s="1011"/>
      <c r="R791" s="1012"/>
      <c r="S791" s="1011"/>
      <c r="T791" s="1012"/>
      <c r="U791" s="1010"/>
      <c r="V791" s="1012"/>
      <c r="W791" s="1010"/>
      <c r="X791" s="1012"/>
      <c r="Y791" s="1010"/>
      <c r="Z791" s="262"/>
      <c r="AA791" s="110"/>
      <c r="AB791" s="110"/>
      <c r="AC791" s="110"/>
      <c r="AD791" s="110"/>
      <c r="AE791" s="110"/>
      <c r="AF791" s="110"/>
      <c r="AG791" s="110"/>
      <c r="AH791" s="110"/>
      <c r="AI791" s="110"/>
      <c r="AJ791" s="110"/>
      <c r="AK791" s="110"/>
      <c r="AL791" s="110"/>
      <c r="AM791" s="110"/>
      <c r="AN791" s="110"/>
      <c r="AO791" s="110"/>
      <c r="AP791" s="110"/>
      <c r="AQ791" s="110"/>
      <c r="AR791" s="110"/>
      <c r="AS791" s="110"/>
      <c r="AT791" s="110"/>
      <c r="AU791" s="110"/>
    </row>
    <row r="792" spans="1:47" ht="12.75" hidden="1">
      <c r="A792" s="110"/>
      <c r="B792" s="1009"/>
      <c r="C792" s="1010"/>
      <c r="D792" s="253"/>
      <c r="E792" s="1011"/>
      <c r="F792" s="262"/>
      <c r="G792" s="1011"/>
      <c r="H792" s="262"/>
      <c r="I792" s="1011"/>
      <c r="J792" s="262"/>
      <c r="K792" s="1011"/>
      <c r="L792" s="262"/>
      <c r="M792" s="1011"/>
      <c r="N792" s="262"/>
      <c r="O792" s="1011"/>
      <c r="P792" s="262"/>
      <c r="Q792" s="1011"/>
      <c r="R792" s="1012"/>
      <c r="S792" s="1011"/>
      <c r="T792" s="1012"/>
      <c r="U792" s="1010"/>
      <c r="V792" s="1012"/>
      <c r="W792" s="1010"/>
      <c r="X792" s="1012"/>
      <c r="Y792" s="1010"/>
      <c r="Z792" s="262"/>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row>
    <row r="793" spans="1:47" ht="12.75" hidden="1">
      <c r="A793" s="110"/>
      <c r="B793" s="1009"/>
      <c r="C793" s="1010"/>
      <c r="D793" s="253"/>
      <c r="E793" s="1011"/>
      <c r="F793" s="262"/>
      <c r="G793" s="1011"/>
      <c r="H793" s="262"/>
      <c r="I793" s="1011"/>
      <c r="J793" s="262"/>
      <c r="K793" s="1011"/>
      <c r="L793" s="262"/>
      <c r="M793" s="1011"/>
      <c r="N793" s="262"/>
      <c r="O793" s="1011"/>
      <c r="P793" s="262"/>
      <c r="Q793" s="1011"/>
      <c r="R793" s="1012"/>
      <c r="S793" s="1011"/>
      <c r="T793" s="1012"/>
      <c r="U793" s="1010"/>
      <c r="V793" s="1012"/>
      <c r="W793" s="1010"/>
      <c r="X793" s="1012"/>
      <c r="Y793" s="1010"/>
      <c r="Z793" s="262"/>
      <c r="AA793" s="110"/>
      <c r="AB793" s="110"/>
      <c r="AC793" s="110"/>
      <c r="AD793" s="110"/>
      <c r="AE793" s="110"/>
      <c r="AF793" s="110"/>
      <c r="AG793" s="110"/>
      <c r="AH793" s="110"/>
      <c r="AI793" s="110"/>
      <c r="AJ793" s="110"/>
      <c r="AK793" s="110"/>
      <c r="AL793" s="110"/>
      <c r="AM793" s="110"/>
      <c r="AN793" s="110"/>
      <c r="AO793" s="110"/>
      <c r="AP793" s="110"/>
      <c r="AQ793" s="110"/>
      <c r="AR793" s="110"/>
      <c r="AS793" s="110"/>
      <c r="AT793" s="110"/>
      <c r="AU793" s="110"/>
    </row>
    <row r="794" spans="1:47" ht="12.75" hidden="1">
      <c r="A794" s="110"/>
      <c r="B794" s="1009"/>
      <c r="C794" s="1010"/>
      <c r="D794" s="253"/>
      <c r="E794" s="1011"/>
      <c r="F794" s="262"/>
      <c r="G794" s="1011"/>
      <c r="H794" s="262"/>
      <c r="I794" s="1011"/>
      <c r="J794" s="262"/>
      <c r="K794" s="1011"/>
      <c r="L794" s="262"/>
      <c r="M794" s="1011"/>
      <c r="N794" s="262"/>
      <c r="O794" s="1011"/>
      <c r="P794" s="262"/>
      <c r="Q794" s="1011"/>
      <c r="R794" s="1012"/>
      <c r="S794" s="1011"/>
      <c r="T794" s="1012"/>
      <c r="U794" s="1010"/>
      <c r="V794" s="1012"/>
      <c r="W794" s="1010"/>
      <c r="X794" s="1012"/>
      <c r="Y794" s="1010"/>
      <c r="Z794" s="262"/>
      <c r="AA794" s="110"/>
      <c r="AB794" s="110"/>
      <c r="AC794" s="110"/>
      <c r="AD794" s="110"/>
      <c r="AE794" s="110"/>
      <c r="AF794" s="110"/>
      <c r="AG794" s="110"/>
      <c r="AH794" s="110"/>
      <c r="AI794" s="110"/>
      <c r="AJ794" s="110"/>
      <c r="AK794" s="110"/>
      <c r="AL794" s="110"/>
      <c r="AM794" s="110"/>
      <c r="AN794" s="110"/>
      <c r="AO794" s="110"/>
      <c r="AP794" s="110"/>
      <c r="AQ794" s="110"/>
      <c r="AR794" s="110"/>
      <c r="AS794" s="110"/>
      <c r="AT794" s="110"/>
      <c r="AU794" s="110"/>
    </row>
    <row r="795" spans="1:47" ht="12.75" hidden="1">
      <c r="A795" s="110"/>
      <c r="B795" s="1009"/>
      <c r="C795" s="1010"/>
      <c r="D795" s="253"/>
      <c r="E795" s="1011"/>
      <c r="F795" s="262"/>
      <c r="G795" s="1011"/>
      <c r="H795" s="262"/>
      <c r="I795" s="1011"/>
      <c r="J795" s="262"/>
      <c r="K795" s="1011"/>
      <c r="L795" s="262"/>
      <c r="M795" s="1011"/>
      <c r="N795" s="262"/>
      <c r="O795" s="1011"/>
      <c r="P795" s="262"/>
      <c r="Q795" s="1011"/>
      <c r="R795" s="1012"/>
      <c r="S795" s="1011"/>
      <c r="T795" s="1012"/>
      <c r="U795" s="1010"/>
      <c r="V795" s="1012"/>
      <c r="W795" s="1010"/>
      <c r="X795" s="1012"/>
      <c r="Y795" s="1010"/>
      <c r="Z795" s="262"/>
      <c r="AA795" s="110"/>
      <c r="AB795" s="110"/>
      <c r="AC795" s="110"/>
      <c r="AD795" s="110"/>
      <c r="AE795" s="110"/>
      <c r="AF795" s="110"/>
      <c r="AG795" s="110"/>
      <c r="AH795" s="110"/>
      <c r="AI795" s="110"/>
      <c r="AJ795" s="110"/>
      <c r="AK795" s="110"/>
      <c r="AL795" s="110"/>
      <c r="AM795" s="110"/>
      <c r="AN795" s="110"/>
      <c r="AO795" s="110"/>
      <c r="AP795" s="110"/>
      <c r="AQ795" s="110"/>
      <c r="AR795" s="110"/>
      <c r="AS795" s="110"/>
      <c r="AT795" s="110"/>
      <c r="AU795" s="110"/>
    </row>
    <row r="796" spans="1:47" ht="12.75" hidden="1">
      <c r="A796" s="110"/>
      <c r="B796" s="1009"/>
      <c r="C796" s="1010"/>
      <c r="D796" s="253"/>
      <c r="E796" s="1011"/>
      <c r="F796" s="262"/>
      <c r="G796" s="1011"/>
      <c r="H796" s="262"/>
      <c r="I796" s="1011"/>
      <c r="J796" s="262"/>
      <c r="K796" s="1011"/>
      <c r="L796" s="262"/>
      <c r="M796" s="1011"/>
      <c r="N796" s="262"/>
      <c r="O796" s="1011"/>
      <c r="P796" s="262"/>
      <c r="Q796" s="1011"/>
      <c r="R796" s="1012"/>
      <c r="S796" s="1011"/>
      <c r="T796" s="1012"/>
      <c r="U796" s="1010"/>
      <c r="V796" s="1012"/>
      <c r="W796" s="1010"/>
      <c r="X796" s="1012"/>
      <c r="Y796" s="1010"/>
      <c r="Z796" s="262"/>
      <c r="AA796" s="110"/>
      <c r="AB796" s="110"/>
      <c r="AC796" s="110"/>
      <c r="AD796" s="110"/>
      <c r="AE796" s="110"/>
      <c r="AF796" s="110"/>
      <c r="AG796" s="110"/>
      <c r="AH796" s="110"/>
      <c r="AI796" s="110"/>
      <c r="AJ796" s="110"/>
      <c r="AK796" s="110"/>
      <c r="AL796" s="110"/>
      <c r="AM796" s="110"/>
      <c r="AN796" s="110"/>
      <c r="AO796" s="110"/>
      <c r="AP796" s="110"/>
      <c r="AQ796" s="110"/>
      <c r="AR796" s="110"/>
      <c r="AS796" s="110"/>
      <c r="AT796" s="110"/>
      <c r="AU796" s="110"/>
    </row>
    <row r="797" spans="1:47" ht="12.75" hidden="1">
      <c r="A797" s="110"/>
      <c r="B797" s="1009"/>
      <c r="C797" s="1010"/>
      <c r="D797" s="253"/>
      <c r="E797" s="1011"/>
      <c r="F797" s="262"/>
      <c r="G797" s="1011"/>
      <c r="H797" s="262"/>
      <c r="I797" s="1011"/>
      <c r="J797" s="262"/>
      <c r="K797" s="1011"/>
      <c r="L797" s="262"/>
      <c r="M797" s="1011"/>
      <c r="N797" s="262"/>
      <c r="O797" s="1011"/>
      <c r="P797" s="262"/>
      <c r="Q797" s="1011"/>
      <c r="R797" s="1012"/>
      <c r="S797" s="1011"/>
      <c r="T797" s="1012"/>
      <c r="U797" s="1010"/>
      <c r="V797" s="1012"/>
      <c r="W797" s="1010"/>
      <c r="X797" s="1012"/>
      <c r="Y797" s="1010"/>
      <c r="Z797" s="262"/>
      <c r="AA797" s="110"/>
      <c r="AB797" s="110"/>
      <c r="AC797" s="110"/>
      <c r="AD797" s="110"/>
      <c r="AE797" s="110"/>
      <c r="AF797" s="110"/>
      <c r="AG797" s="110"/>
      <c r="AH797" s="110"/>
      <c r="AI797" s="110"/>
      <c r="AJ797" s="110"/>
      <c r="AK797" s="110"/>
      <c r="AL797" s="110"/>
      <c r="AM797" s="110"/>
      <c r="AN797" s="110"/>
      <c r="AO797" s="110"/>
      <c r="AP797" s="110"/>
      <c r="AQ797" s="110"/>
      <c r="AR797" s="110"/>
      <c r="AS797" s="110"/>
      <c r="AT797" s="110"/>
      <c r="AU797" s="110"/>
    </row>
    <row r="798" spans="1:47" ht="12.75" hidden="1">
      <c r="A798" s="110"/>
      <c r="B798" s="1009"/>
      <c r="C798" s="1010"/>
      <c r="D798" s="253"/>
      <c r="E798" s="1011"/>
      <c r="F798" s="262"/>
      <c r="G798" s="1011"/>
      <c r="H798" s="262"/>
      <c r="I798" s="1011"/>
      <c r="J798" s="262"/>
      <c r="K798" s="1011"/>
      <c r="L798" s="262"/>
      <c r="M798" s="1011"/>
      <c r="N798" s="262"/>
      <c r="O798" s="1011"/>
      <c r="P798" s="262"/>
      <c r="Q798" s="1011"/>
      <c r="R798" s="1012"/>
      <c r="S798" s="1011"/>
      <c r="T798" s="1012"/>
      <c r="U798" s="1010"/>
      <c r="V798" s="1012"/>
      <c r="W798" s="1010"/>
      <c r="X798" s="1012"/>
      <c r="Y798" s="1010"/>
      <c r="Z798" s="262"/>
      <c r="AA798" s="110"/>
      <c r="AB798" s="110"/>
      <c r="AC798" s="110"/>
      <c r="AD798" s="110"/>
      <c r="AE798" s="110"/>
      <c r="AF798" s="110"/>
      <c r="AG798" s="110"/>
      <c r="AH798" s="110"/>
      <c r="AI798" s="110"/>
      <c r="AJ798" s="110"/>
      <c r="AK798" s="110"/>
      <c r="AL798" s="110"/>
      <c r="AM798" s="110"/>
      <c r="AN798" s="110"/>
      <c r="AO798" s="110"/>
      <c r="AP798" s="110"/>
      <c r="AQ798" s="110"/>
      <c r="AR798" s="110"/>
      <c r="AS798" s="110"/>
      <c r="AT798" s="110"/>
      <c r="AU798" s="110"/>
    </row>
    <row r="799" spans="1:47" ht="12.75" hidden="1">
      <c r="A799" s="110"/>
      <c r="B799" s="1009"/>
      <c r="C799" s="1010"/>
      <c r="D799" s="253"/>
      <c r="E799" s="1011"/>
      <c r="F799" s="262"/>
      <c r="G799" s="1011"/>
      <c r="H799" s="262"/>
      <c r="I799" s="1011"/>
      <c r="J799" s="262"/>
      <c r="K799" s="1011"/>
      <c r="L799" s="262"/>
      <c r="M799" s="1011"/>
      <c r="N799" s="262"/>
      <c r="O799" s="1011"/>
      <c r="P799" s="262"/>
      <c r="Q799" s="1011"/>
      <c r="R799" s="1012"/>
      <c r="S799" s="1011"/>
      <c r="T799" s="1012"/>
      <c r="U799" s="1010"/>
      <c r="V799" s="1012"/>
      <c r="W799" s="1010"/>
      <c r="X799" s="1012"/>
      <c r="Y799" s="1010"/>
      <c r="Z799" s="262"/>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row>
    <row r="800" spans="1:47" ht="12.75" hidden="1">
      <c r="A800" s="110"/>
      <c r="B800" s="1009"/>
      <c r="C800" s="1010"/>
      <c r="D800" s="253"/>
      <c r="E800" s="1011"/>
      <c r="F800" s="262"/>
      <c r="G800" s="1011"/>
      <c r="H800" s="262"/>
      <c r="I800" s="1011"/>
      <c r="J800" s="262"/>
      <c r="K800" s="1011"/>
      <c r="L800" s="262"/>
      <c r="M800" s="1011"/>
      <c r="N800" s="262"/>
      <c r="O800" s="1011"/>
      <c r="P800" s="262"/>
      <c r="Q800" s="1011"/>
      <c r="R800" s="1012"/>
      <c r="S800" s="1011"/>
      <c r="T800" s="1012"/>
      <c r="U800" s="1010"/>
      <c r="V800" s="1012"/>
      <c r="W800" s="1010"/>
      <c r="X800" s="1012"/>
      <c r="Y800" s="1010"/>
      <c r="Z800" s="262"/>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row>
    <row r="801" spans="1:47" ht="12.75" hidden="1">
      <c r="A801" s="110"/>
      <c r="B801" s="1009"/>
      <c r="C801" s="1010"/>
      <c r="D801" s="253"/>
      <c r="E801" s="1011"/>
      <c r="F801" s="262"/>
      <c r="G801" s="1011"/>
      <c r="H801" s="262"/>
      <c r="I801" s="1011"/>
      <c r="J801" s="262"/>
      <c r="K801" s="1011"/>
      <c r="L801" s="262"/>
      <c r="M801" s="1011"/>
      <c r="N801" s="262"/>
      <c r="O801" s="1011"/>
      <c r="P801" s="262"/>
      <c r="Q801" s="1011"/>
      <c r="R801" s="1012"/>
      <c r="S801" s="1011"/>
      <c r="T801" s="1012"/>
      <c r="U801" s="1010"/>
      <c r="V801" s="1012"/>
      <c r="W801" s="1010"/>
      <c r="X801" s="1012"/>
      <c r="Y801" s="1010"/>
      <c r="Z801" s="262"/>
      <c r="AA801" s="110"/>
      <c r="AB801" s="110"/>
      <c r="AC801" s="110"/>
      <c r="AD801" s="110"/>
      <c r="AE801" s="110"/>
      <c r="AF801" s="110"/>
      <c r="AG801" s="110"/>
      <c r="AH801" s="110"/>
      <c r="AI801" s="110"/>
      <c r="AJ801" s="110"/>
      <c r="AK801" s="110"/>
      <c r="AL801" s="110"/>
      <c r="AM801" s="110"/>
      <c r="AN801" s="110"/>
      <c r="AO801" s="110"/>
      <c r="AP801" s="110"/>
      <c r="AQ801" s="110"/>
      <c r="AR801" s="110"/>
      <c r="AS801" s="110"/>
      <c r="AT801" s="110"/>
      <c r="AU801" s="110"/>
    </row>
    <row r="802" spans="1:47" ht="12.75" hidden="1">
      <c r="A802" s="110"/>
      <c r="B802" s="1009"/>
      <c r="C802" s="1010"/>
      <c r="D802" s="253"/>
      <c r="E802" s="1011"/>
      <c r="F802" s="262"/>
      <c r="G802" s="1011"/>
      <c r="H802" s="262"/>
      <c r="I802" s="1011"/>
      <c r="J802" s="262"/>
      <c r="K802" s="1011"/>
      <c r="L802" s="262"/>
      <c r="M802" s="1011"/>
      <c r="N802" s="262"/>
      <c r="O802" s="1011"/>
      <c r="P802" s="262"/>
      <c r="Q802" s="1011"/>
      <c r="R802" s="1012"/>
      <c r="S802" s="1011"/>
      <c r="T802" s="1012"/>
      <c r="U802" s="1010"/>
      <c r="V802" s="1012"/>
      <c r="W802" s="1010"/>
      <c r="X802" s="1012"/>
      <c r="Y802" s="1010"/>
      <c r="Z802" s="262"/>
      <c r="AA802" s="110"/>
      <c r="AB802" s="110"/>
      <c r="AC802" s="110"/>
      <c r="AD802" s="110"/>
      <c r="AE802" s="110"/>
      <c r="AF802" s="110"/>
      <c r="AG802" s="110"/>
      <c r="AH802" s="110"/>
      <c r="AI802" s="110"/>
      <c r="AJ802" s="110"/>
      <c r="AK802" s="110"/>
      <c r="AL802" s="110"/>
      <c r="AM802" s="110"/>
      <c r="AN802" s="110"/>
      <c r="AO802" s="110"/>
      <c r="AP802" s="110"/>
      <c r="AQ802" s="110"/>
      <c r="AR802" s="110"/>
      <c r="AS802" s="110"/>
      <c r="AT802" s="110"/>
      <c r="AU802" s="110"/>
    </row>
    <row r="803" spans="1:47" ht="12.75" hidden="1">
      <c r="A803" s="110"/>
      <c r="B803" s="1009"/>
      <c r="C803" s="1010"/>
      <c r="D803" s="253"/>
      <c r="E803" s="1011"/>
      <c r="F803" s="262"/>
      <c r="G803" s="1011"/>
      <c r="H803" s="262"/>
      <c r="I803" s="1011"/>
      <c r="J803" s="262"/>
      <c r="K803" s="1011"/>
      <c r="L803" s="262"/>
      <c r="M803" s="1011"/>
      <c r="N803" s="262"/>
      <c r="O803" s="1011"/>
      <c r="P803" s="262"/>
      <c r="Q803" s="1011"/>
      <c r="R803" s="1012"/>
      <c r="S803" s="1011"/>
      <c r="T803" s="1012"/>
      <c r="U803" s="1010"/>
      <c r="V803" s="1012"/>
      <c r="W803" s="1010"/>
      <c r="X803" s="1012"/>
      <c r="Y803" s="1010"/>
      <c r="Z803" s="262"/>
      <c r="AA803" s="110"/>
      <c r="AB803" s="110"/>
      <c r="AC803" s="110"/>
      <c r="AD803" s="110"/>
      <c r="AE803" s="110"/>
      <c r="AF803" s="110"/>
      <c r="AG803" s="110"/>
      <c r="AH803" s="110"/>
      <c r="AI803" s="110"/>
      <c r="AJ803" s="110"/>
      <c r="AK803" s="110"/>
      <c r="AL803" s="110"/>
      <c r="AM803" s="110"/>
      <c r="AN803" s="110"/>
      <c r="AO803" s="110"/>
      <c r="AP803" s="110"/>
      <c r="AQ803" s="110"/>
      <c r="AR803" s="110"/>
      <c r="AS803" s="110"/>
      <c r="AT803" s="110"/>
      <c r="AU803" s="110"/>
    </row>
    <row r="804" spans="1:47" ht="12.75" hidden="1">
      <c r="A804" s="110"/>
      <c r="B804" s="1009"/>
      <c r="C804" s="1010"/>
      <c r="D804" s="253"/>
      <c r="E804" s="1011"/>
      <c r="F804" s="262"/>
      <c r="G804" s="1011"/>
      <c r="H804" s="262"/>
      <c r="I804" s="1011"/>
      <c r="J804" s="262"/>
      <c r="K804" s="1011"/>
      <c r="L804" s="262"/>
      <c r="M804" s="1011"/>
      <c r="N804" s="262"/>
      <c r="O804" s="1011"/>
      <c r="P804" s="262"/>
      <c r="Q804" s="1011"/>
      <c r="R804" s="1012"/>
      <c r="S804" s="1011"/>
      <c r="T804" s="1012"/>
      <c r="U804" s="1010"/>
      <c r="V804" s="1012"/>
      <c r="W804" s="1010"/>
      <c r="X804" s="1012"/>
      <c r="Y804" s="1010"/>
      <c r="Z804" s="262"/>
      <c r="AA804" s="110"/>
      <c r="AB804" s="110"/>
      <c r="AC804" s="110"/>
      <c r="AD804" s="110"/>
      <c r="AE804" s="110"/>
      <c r="AF804" s="110"/>
      <c r="AG804" s="110"/>
      <c r="AH804" s="110"/>
      <c r="AI804" s="110"/>
      <c r="AJ804" s="110"/>
      <c r="AK804" s="110"/>
      <c r="AL804" s="110"/>
      <c r="AM804" s="110"/>
      <c r="AN804" s="110"/>
      <c r="AO804" s="110"/>
      <c r="AP804" s="110"/>
      <c r="AQ804" s="110"/>
      <c r="AR804" s="110"/>
      <c r="AS804" s="110"/>
      <c r="AT804" s="110"/>
      <c r="AU804" s="110"/>
    </row>
    <row r="805" spans="1:47" ht="12.75" hidden="1">
      <c r="A805" s="110"/>
      <c r="B805" s="1009"/>
      <c r="C805" s="1010"/>
      <c r="D805" s="253"/>
      <c r="E805" s="1011"/>
      <c r="F805" s="262"/>
      <c r="G805" s="1011"/>
      <c r="H805" s="262"/>
      <c r="I805" s="1011"/>
      <c r="J805" s="262"/>
      <c r="K805" s="1011"/>
      <c r="L805" s="262"/>
      <c r="M805" s="1011"/>
      <c r="N805" s="262"/>
      <c r="O805" s="1011"/>
      <c r="P805" s="262"/>
      <c r="Q805" s="1011"/>
      <c r="R805" s="1012"/>
      <c r="S805" s="1011"/>
      <c r="T805" s="1012"/>
      <c r="U805" s="1010"/>
      <c r="V805" s="1012"/>
      <c r="W805" s="1010"/>
      <c r="X805" s="1012"/>
      <c r="Y805" s="1010"/>
      <c r="Z805" s="262"/>
      <c r="AA805" s="110"/>
      <c r="AB805" s="110"/>
      <c r="AC805" s="110"/>
      <c r="AD805" s="110"/>
      <c r="AE805" s="110"/>
      <c r="AF805" s="110"/>
      <c r="AG805" s="110"/>
      <c r="AH805" s="110"/>
      <c r="AI805" s="110"/>
      <c r="AJ805" s="110"/>
      <c r="AK805" s="110"/>
      <c r="AL805" s="110"/>
      <c r="AM805" s="110"/>
      <c r="AN805" s="110"/>
      <c r="AO805" s="110"/>
      <c r="AP805" s="110"/>
      <c r="AQ805" s="110"/>
      <c r="AR805" s="110"/>
      <c r="AS805" s="110"/>
      <c r="AT805" s="110"/>
      <c r="AU805" s="110"/>
    </row>
    <row r="806" spans="1:47" ht="12.75" hidden="1">
      <c r="A806" s="110"/>
      <c r="B806" s="1009"/>
      <c r="C806" s="1010"/>
      <c r="D806" s="253"/>
      <c r="E806" s="1011"/>
      <c r="F806" s="262"/>
      <c r="G806" s="1011"/>
      <c r="H806" s="262"/>
      <c r="I806" s="1011"/>
      <c r="J806" s="262"/>
      <c r="K806" s="1011"/>
      <c r="L806" s="262"/>
      <c r="M806" s="1011"/>
      <c r="N806" s="262"/>
      <c r="O806" s="1011"/>
      <c r="P806" s="262"/>
      <c r="Q806" s="1011"/>
      <c r="R806" s="1012"/>
      <c r="S806" s="1011"/>
      <c r="T806" s="1012"/>
      <c r="U806" s="1010"/>
      <c r="V806" s="1012"/>
      <c r="W806" s="1010"/>
      <c r="X806" s="1012"/>
      <c r="Y806" s="1010"/>
      <c r="Z806" s="262"/>
      <c r="AA806" s="110"/>
      <c r="AB806" s="110"/>
      <c r="AC806" s="110"/>
      <c r="AD806" s="110"/>
      <c r="AE806" s="110"/>
      <c r="AF806" s="110"/>
      <c r="AG806" s="110"/>
      <c r="AH806" s="110"/>
      <c r="AI806" s="110"/>
      <c r="AJ806" s="110"/>
      <c r="AK806" s="110"/>
      <c r="AL806" s="110"/>
      <c r="AM806" s="110"/>
      <c r="AN806" s="110"/>
      <c r="AO806" s="110"/>
      <c r="AP806" s="110"/>
      <c r="AQ806" s="110"/>
      <c r="AR806" s="110"/>
      <c r="AS806" s="110"/>
      <c r="AT806" s="110"/>
      <c r="AU806" s="110"/>
    </row>
    <row r="807" spans="1:47" ht="12.75" hidden="1">
      <c r="A807" s="110"/>
      <c r="B807" s="1009"/>
      <c r="C807" s="1010"/>
      <c r="D807" s="253"/>
      <c r="E807" s="1011"/>
      <c r="F807" s="262"/>
      <c r="G807" s="1011"/>
      <c r="H807" s="262"/>
      <c r="I807" s="1011"/>
      <c r="J807" s="262"/>
      <c r="K807" s="1011"/>
      <c r="L807" s="262"/>
      <c r="M807" s="1011"/>
      <c r="N807" s="262"/>
      <c r="O807" s="1011"/>
      <c r="P807" s="262"/>
      <c r="Q807" s="1011"/>
      <c r="R807" s="1012"/>
      <c r="S807" s="1011"/>
      <c r="T807" s="1012"/>
      <c r="U807" s="1010"/>
      <c r="V807" s="1012"/>
      <c r="W807" s="1010"/>
      <c r="X807" s="1012"/>
      <c r="Y807" s="1010"/>
      <c r="Z807" s="262"/>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row>
    <row r="808" spans="1:47" ht="12.75" hidden="1">
      <c r="A808" s="110"/>
      <c r="B808" s="1009"/>
      <c r="C808" s="1010"/>
      <c r="D808" s="253"/>
      <c r="E808" s="1011"/>
      <c r="F808" s="262"/>
      <c r="G808" s="1011"/>
      <c r="H808" s="262"/>
      <c r="I808" s="1011"/>
      <c r="J808" s="262"/>
      <c r="K808" s="1011"/>
      <c r="L808" s="262"/>
      <c r="M808" s="1011"/>
      <c r="N808" s="262"/>
      <c r="O808" s="1011"/>
      <c r="P808" s="262"/>
      <c r="Q808" s="1011"/>
      <c r="R808" s="1012"/>
      <c r="S808" s="1011"/>
      <c r="T808" s="1012"/>
      <c r="U808" s="1010"/>
      <c r="V808" s="1012"/>
      <c r="W808" s="1010"/>
      <c r="X808" s="1012"/>
      <c r="Y808" s="1010"/>
      <c r="Z808" s="262"/>
      <c r="AA808" s="110"/>
      <c r="AB808" s="110"/>
      <c r="AC808" s="110"/>
      <c r="AD808" s="110"/>
      <c r="AE808" s="110"/>
      <c r="AF808" s="110"/>
      <c r="AG808" s="110"/>
      <c r="AH808" s="110"/>
      <c r="AI808" s="110"/>
      <c r="AJ808" s="110"/>
      <c r="AK808" s="110"/>
      <c r="AL808" s="110"/>
      <c r="AM808" s="110"/>
      <c r="AN808" s="110"/>
      <c r="AO808" s="110"/>
      <c r="AP808" s="110"/>
      <c r="AQ808" s="110"/>
      <c r="AR808" s="110"/>
      <c r="AS808" s="110"/>
      <c r="AT808" s="110"/>
      <c r="AU808" s="110"/>
    </row>
    <row r="809" spans="1:47" ht="12.75" hidden="1">
      <c r="A809" s="110"/>
      <c r="B809" s="1009"/>
      <c r="C809" s="1010"/>
      <c r="D809" s="253"/>
      <c r="E809" s="1011"/>
      <c r="F809" s="262"/>
      <c r="G809" s="1011"/>
      <c r="H809" s="262"/>
      <c r="I809" s="1011"/>
      <c r="J809" s="262"/>
      <c r="K809" s="1011"/>
      <c r="L809" s="262"/>
      <c r="M809" s="1011"/>
      <c r="N809" s="262"/>
      <c r="O809" s="1011"/>
      <c r="P809" s="262"/>
      <c r="Q809" s="1011"/>
      <c r="R809" s="1012"/>
      <c r="S809" s="1011"/>
      <c r="T809" s="1012"/>
      <c r="U809" s="1010"/>
      <c r="V809" s="1012"/>
      <c r="W809" s="1010"/>
      <c r="X809" s="1012"/>
      <c r="Y809" s="1010"/>
      <c r="Z809" s="262"/>
      <c r="AA809" s="110"/>
      <c r="AB809" s="110"/>
      <c r="AC809" s="110"/>
      <c r="AD809" s="110"/>
      <c r="AE809" s="110"/>
      <c r="AF809" s="110"/>
      <c r="AG809" s="110"/>
      <c r="AH809" s="110"/>
      <c r="AI809" s="110"/>
      <c r="AJ809" s="110"/>
      <c r="AK809" s="110"/>
      <c r="AL809" s="110"/>
      <c r="AM809" s="110"/>
      <c r="AN809" s="110"/>
      <c r="AO809" s="110"/>
      <c r="AP809" s="110"/>
      <c r="AQ809" s="110"/>
      <c r="AR809" s="110"/>
      <c r="AS809" s="110"/>
      <c r="AT809" s="110"/>
      <c r="AU809" s="110"/>
    </row>
    <row r="810" spans="1:47" ht="12.75" hidden="1">
      <c r="A810" s="110"/>
      <c r="B810" s="1009"/>
      <c r="C810" s="1010"/>
      <c r="D810" s="253"/>
      <c r="E810" s="1011"/>
      <c r="F810" s="262"/>
      <c r="G810" s="1011"/>
      <c r="H810" s="262"/>
      <c r="I810" s="1011"/>
      <c r="J810" s="262"/>
      <c r="K810" s="1011"/>
      <c r="L810" s="262"/>
      <c r="M810" s="1011"/>
      <c r="N810" s="262"/>
      <c r="O810" s="1011"/>
      <c r="P810" s="262"/>
      <c r="Q810" s="1011"/>
      <c r="R810" s="1012"/>
      <c r="S810" s="1011"/>
      <c r="T810" s="1012"/>
      <c r="U810" s="1010"/>
      <c r="V810" s="1012"/>
      <c r="W810" s="1010"/>
      <c r="X810" s="1012"/>
      <c r="Y810" s="1010"/>
      <c r="Z810" s="262"/>
      <c r="AA810" s="110"/>
      <c r="AB810" s="110"/>
      <c r="AC810" s="110"/>
      <c r="AD810" s="110"/>
      <c r="AE810" s="110"/>
      <c r="AF810" s="110"/>
      <c r="AG810" s="110"/>
      <c r="AH810" s="110"/>
      <c r="AI810" s="110"/>
      <c r="AJ810" s="110"/>
      <c r="AK810" s="110"/>
      <c r="AL810" s="110"/>
      <c r="AM810" s="110"/>
      <c r="AN810" s="110"/>
      <c r="AO810" s="110"/>
      <c r="AP810" s="110"/>
      <c r="AQ810" s="110"/>
      <c r="AR810" s="110"/>
      <c r="AS810" s="110"/>
      <c r="AT810" s="110"/>
      <c r="AU810" s="110"/>
    </row>
    <row r="811" spans="1:47" ht="12.75" hidden="1">
      <c r="A811" s="110"/>
      <c r="B811" s="1009"/>
      <c r="C811" s="1010"/>
      <c r="D811" s="253"/>
      <c r="E811" s="1011"/>
      <c r="F811" s="262"/>
      <c r="G811" s="1011"/>
      <c r="H811" s="262"/>
      <c r="I811" s="1011"/>
      <c r="J811" s="262"/>
      <c r="K811" s="1011"/>
      <c r="L811" s="262"/>
      <c r="M811" s="1011"/>
      <c r="N811" s="262"/>
      <c r="O811" s="1011"/>
      <c r="P811" s="262"/>
      <c r="Q811" s="1011"/>
      <c r="R811" s="1012"/>
      <c r="S811" s="1011"/>
      <c r="T811" s="1012"/>
      <c r="U811" s="1010"/>
      <c r="V811" s="1012"/>
      <c r="W811" s="1010"/>
      <c r="X811" s="1012"/>
      <c r="Y811" s="1010"/>
      <c r="Z811" s="262"/>
      <c r="AA811" s="110"/>
      <c r="AB811" s="110"/>
      <c r="AC811" s="110"/>
      <c r="AD811" s="110"/>
      <c r="AE811" s="110"/>
      <c r="AF811" s="110"/>
      <c r="AG811" s="110"/>
      <c r="AH811" s="110"/>
      <c r="AI811" s="110"/>
      <c r="AJ811" s="110"/>
      <c r="AK811" s="110"/>
      <c r="AL811" s="110"/>
      <c r="AM811" s="110"/>
      <c r="AN811" s="110"/>
      <c r="AO811" s="110"/>
      <c r="AP811" s="110"/>
      <c r="AQ811" s="110"/>
      <c r="AR811" s="110"/>
      <c r="AS811" s="110"/>
      <c r="AT811" s="110"/>
      <c r="AU811" s="110"/>
    </row>
    <row r="812" spans="1:47" ht="12.75" hidden="1">
      <c r="A812" s="110"/>
      <c r="B812" s="1009"/>
      <c r="C812" s="1010"/>
      <c r="D812" s="253"/>
      <c r="E812" s="1011"/>
      <c r="F812" s="262"/>
      <c r="G812" s="1011"/>
      <c r="H812" s="262"/>
      <c r="I812" s="1011"/>
      <c r="J812" s="262"/>
      <c r="K812" s="1011"/>
      <c r="L812" s="262"/>
      <c r="M812" s="1011"/>
      <c r="N812" s="262"/>
      <c r="O812" s="1011"/>
      <c r="P812" s="262"/>
      <c r="Q812" s="1011"/>
      <c r="R812" s="1012"/>
      <c r="S812" s="1011"/>
      <c r="T812" s="1012"/>
      <c r="U812" s="1010"/>
      <c r="V812" s="1012"/>
      <c r="W812" s="1010"/>
      <c r="X812" s="1012"/>
      <c r="Y812" s="1010"/>
      <c r="Z812" s="262"/>
      <c r="AA812" s="110"/>
      <c r="AB812" s="110"/>
      <c r="AC812" s="110"/>
      <c r="AD812" s="110"/>
      <c r="AE812" s="110"/>
      <c r="AF812" s="110"/>
      <c r="AG812" s="110"/>
      <c r="AH812" s="110"/>
      <c r="AI812" s="110"/>
      <c r="AJ812" s="110"/>
      <c r="AK812" s="110"/>
      <c r="AL812" s="110"/>
      <c r="AM812" s="110"/>
      <c r="AN812" s="110"/>
      <c r="AO812" s="110"/>
      <c r="AP812" s="110"/>
      <c r="AQ812" s="110"/>
      <c r="AR812" s="110"/>
      <c r="AS812" s="110"/>
      <c r="AT812" s="110"/>
      <c r="AU812" s="110"/>
    </row>
    <row r="813" spans="1:47" ht="12.75" hidden="1">
      <c r="A813" s="110"/>
      <c r="B813" s="1009"/>
      <c r="C813" s="1010"/>
      <c r="D813" s="253"/>
      <c r="E813" s="1011"/>
      <c r="F813" s="262"/>
      <c r="G813" s="1011"/>
      <c r="H813" s="262"/>
      <c r="I813" s="1011"/>
      <c r="J813" s="262"/>
      <c r="K813" s="1011"/>
      <c r="L813" s="262"/>
      <c r="M813" s="1011"/>
      <c r="N813" s="262"/>
      <c r="O813" s="1011"/>
      <c r="P813" s="262"/>
      <c r="Q813" s="1011"/>
      <c r="R813" s="1012"/>
      <c r="S813" s="1011"/>
      <c r="T813" s="1012"/>
      <c r="U813" s="1010"/>
      <c r="V813" s="1012"/>
      <c r="W813" s="1010"/>
      <c r="X813" s="1012"/>
      <c r="Y813" s="1010"/>
      <c r="Z813" s="262"/>
      <c r="AA813" s="110"/>
      <c r="AB813" s="110"/>
      <c r="AC813" s="110"/>
      <c r="AD813" s="110"/>
      <c r="AE813" s="110"/>
      <c r="AF813" s="110"/>
      <c r="AG813" s="110"/>
      <c r="AH813" s="110"/>
      <c r="AI813" s="110"/>
      <c r="AJ813" s="110"/>
      <c r="AK813" s="110"/>
      <c r="AL813" s="110"/>
      <c r="AM813" s="110"/>
      <c r="AN813" s="110"/>
      <c r="AO813" s="110"/>
      <c r="AP813" s="110"/>
      <c r="AQ813" s="110"/>
      <c r="AR813" s="110"/>
      <c r="AS813" s="110"/>
      <c r="AT813" s="110"/>
      <c r="AU813" s="110"/>
    </row>
    <row r="814" spans="1:47" ht="12.75" hidden="1">
      <c r="A814" s="110"/>
      <c r="B814" s="1009"/>
      <c r="C814" s="1010"/>
      <c r="D814" s="253"/>
      <c r="E814" s="1011"/>
      <c r="F814" s="262"/>
      <c r="G814" s="1011"/>
      <c r="H814" s="262"/>
      <c r="I814" s="1011"/>
      <c r="J814" s="262"/>
      <c r="K814" s="1011"/>
      <c r="L814" s="262"/>
      <c r="M814" s="1011"/>
      <c r="N814" s="262"/>
      <c r="O814" s="1011"/>
      <c r="P814" s="262"/>
      <c r="Q814" s="1011"/>
      <c r="R814" s="1012"/>
      <c r="S814" s="1011"/>
      <c r="T814" s="1012"/>
      <c r="U814" s="1010"/>
      <c r="V814" s="1012"/>
      <c r="W814" s="1010"/>
      <c r="X814" s="1012"/>
      <c r="Y814" s="1010"/>
      <c r="Z814" s="262"/>
      <c r="AA814" s="110"/>
      <c r="AB814" s="110"/>
      <c r="AC814" s="110"/>
      <c r="AD814" s="110"/>
      <c r="AE814" s="110"/>
      <c r="AF814" s="110"/>
      <c r="AG814" s="110"/>
      <c r="AH814" s="110"/>
      <c r="AI814" s="110"/>
      <c r="AJ814" s="110"/>
      <c r="AK814" s="110"/>
      <c r="AL814" s="110"/>
      <c r="AM814" s="110"/>
      <c r="AN814" s="110"/>
      <c r="AO814" s="110"/>
      <c r="AP814" s="110"/>
      <c r="AQ814" s="110"/>
      <c r="AR814" s="110"/>
      <c r="AS814" s="110"/>
      <c r="AT814" s="110"/>
      <c r="AU814" s="110"/>
    </row>
    <row r="815" spans="1:47" ht="12.75" hidden="1">
      <c r="A815" s="110"/>
      <c r="B815" s="1009"/>
      <c r="C815" s="1010"/>
      <c r="D815" s="253"/>
      <c r="E815" s="1011"/>
      <c r="F815" s="262"/>
      <c r="G815" s="1011"/>
      <c r="H815" s="262"/>
      <c r="I815" s="1011"/>
      <c r="J815" s="262"/>
      <c r="K815" s="1011"/>
      <c r="L815" s="262"/>
      <c r="M815" s="1011"/>
      <c r="N815" s="262"/>
      <c r="O815" s="1011"/>
      <c r="P815" s="262"/>
      <c r="Q815" s="1011"/>
      <c r="R815" s="1012"/>
      <c r="S815" s="1011"/>
      <c r="T815" s="1012"/>
      <c r="U815" s="1010"/>
      <c r="V815" s="1012"/>
      <c r="W815" s="1010"/>
      <c r="X815" s="1012"/>
      <c r="Y815" s="1010"/>
      <c r="Z815" s="262"/>
      <c r="AA815" s="110"/>
      <c r="AB815" s="110"/>
      <c r="AC815" s="110"/>
      <c r="AD815" s="110"/>
      <c r="AE815" s="110"/>
      <c r="AF815" s="110"/>
      <c r="AG815" s="110"/>
      <c r="AH815" s="110"/>
      <c r="AI815" s="110"/>
      <c r="AJ815" s="110"/>
      <c r="AK815" s="110"/>
      <c r="AL815" s="110"/>
      <c r="AM815" s="110"/>
      <c r="AN815" s="110"/>
      <c r="AO815" s="110"/>
      <c r="AP815" s="110"/>
      <c r="AQ815" s="110"/>
      <c r="AR815" s="110"/>
      <c r="AS815" s="110"/>
      <c r="AT815" s="110"/>
      <c r="AU815" s="110"/>
    </row>
    <row r="816" spans="1:47" ht="12.75" hidden="1">
      <c r="A816" s="110"/>
      <c r="B816" s="1009"/>
      <c r="C816" s="1010"/>
      <c r="D816" s="253"/>
      <c r="E816" s="1011"/>
      <c r="F816" s="262"/>
      <c r="G816" s="1011"/>
      <c r="H816" s="262"/>
      <c r="I816" s="1011"/>
      <c r="J816" s="262"/>
      <c r="K816" s="1011"/>
      <c r="L816" s="262"/>
      <c r="M816" s="1011"/>
      <c r="N816" s="262"/>
      <c r="O816" s="1011"/>
      <c r="P816" s="262"/>
      <c r="Q816" s="1011"/>
      <c r="R816" s="1012"/>
      <c r="S816" s="1011"/>
      <c r="T816" s="1012"/>
      <c r="U816" s="1010"/>
      <c r="V816" s="1012"/>
      <c r="W816" s="1010"/>
      <c r="X816" s="1012"/>
      <c r="Y816" s="1010"/>
      <c r="Z816" s="262"/>
      <c r="AA816" s="110"/>
      <c r="AB816" s="110"/>
      <c r="AC816" s="110"/>
      <c r="AD816" s="110"/>
      <c r="AE816" s="110"/>
      <c r="AF816" s="110"/>
      <c r="AG816" s="110"/>
      <c r="AH816" s="110"/>
      <c r="AI816" s="110"/>
      <c r="AJ816" s="110"/>
      <c r="AK816" s="110"/>
      <c r="AL816" s="110"/>
      <c r="AM816" s="110"/>
      <c r="AN816" s="110"/>
      <c r="AO816" s="110"/>
      <c r="AP816" s="110"/>
      <c r="AQ816" s="110"/>
      <c r="AR816" s="110"/>
      <c r="AS816" s="110"/>
      <c r="AT816" s="110"/>
      <c r="AU816" s="110"/>
    </row>
    <row r="817" spans="1:47" ht="12.75" hidden="1">
      <c r="A817" s="110"/>
      <c r="B817" s="1009"/>
      <c r="C817" s="1010"/>
      <c r="D817" s="253"/>
      <c r="E817" s="1011"/>
      <c r="F817" s="262"/>
      <c r="G817" s="1011"/>
      <c r="H817" s="262"/>
      <c r="I817" s="1011"/>
      <c r="J817" s="262"/>
      <c r="K817" s="1011"/>
      <c r="L817" s="262"/>
      <c r="M817" s="1011"/>
      <c r="N817" s="262"/>
      <c r="O817" s="1011"/>
      <c r="P817" s="262"/>
      <c r="Q817" s="1011"/>
      <c r="R817" s="1012"/>
      <c r="S817" s="1011"/>
      <c r="T817" s="1012"/>
      <c r="U817" s="1010"/>
      <c r="V817" s="1012"/>
      <c r="W817" s="1010"/>
      <c r="X817" s="1012"/>
      <c r="Y817" s="1010"/>
      <c r="Z817" s="262"/>
      <c r="AA817" s="110"/>
      <c r="AB817" s="110"/>
      <c r="AC817" s="110"/>
      <c r="AD817" s="110"/>
      <c r="AE817" s="110"/>
      <c r="AF817" s="110"/>
      <c r="AG817" s="110"/>
      <c r="AH817" s="110"/>
      <c r="AI817" s="110"/>
      <c r="AJ817" s="110"/>
      <c r="AK817" s="110"/>
      <c r="AL817" s="110"/>
      <c r="AM817" s="110"/>
      <c r="AN817" s="110"/>
      <c r="AO817" s="110"/>
      <c r="AP817" s="110"/>
      <c r="AQ817" s="110"/>
      <c r="AR817" s="110"/>
      <c r="AS817" s="110"/>
      <c r="AT817" s="110"/>
      <c r="AU817" s="110"/>
    </row>
    <row r="818" spans="1:47" ht="12.75" hidden="1">
      <c r="A818" s="110"/>
      <c r="B818" s="1009"/>
      <c r="C818" s="1010"/>
      <c r="D818" s="253"/>
      <c r="E818" s="1011"/>
      <c r="F818" s="262"/>
      <c r="G818" s="1011"/>
      <c r="H818" s="262"/>
      <c r="I818" s="1011"/>
      <c r="J818" s="262"/>
      <c r="K818" s="1011"/>
      <c r="L818" s="262"/>
      <c r="M818" s="1011"/>
      <c r="N818" s="262"/>
      <c r="O818" s="1011"/>
      <c r="P818" s="262"/>
      <c r="Q818" s="1011"/>
      <c r="R818" s="1012"/>
      <c r="S818" s="1011"/>
      <c r="T818" s="1012"/>
      <c r="U818" s="1010"/>
      <c r="V818" s="1012"/>
      <c r="W818" s="1010"/>
      <c r="X818" s="1012"/>
      <c r="Y818" s="1010"/>
      <c r="Z818" s="262"/>
      <c r="AA818" s="110"/>
      <c r="AB818" s="110"/>
      <c r="AC818" s="110"/>
      <c r="AD818" s="110"/>
      <c r="AE818" s="110"/>
      <c r="AF818" s="110"/>
      <c r="AG818" s="110"/>
      <c r="AH818" s="110"/>
      <c r="AI818" s="110"/>
      <c r="AJ818" s="110"/>
      <c r="AK818" s="110"/>
      <c r="AL818" s="110"/>
      <c r="AM818" s="110"/>
      <c r="AN818" s="110"/>
      <c r="AO818" s="110"/>
      <c r="AP818" s="110"/>
      <c r="AQ818" s="110"/>
      <c r="AR818" s="110"/>
      <c r="AS818" s="110"/>
      <c r="AT818" s="110"/>
      <c r="AU818" s="110"/>
    </row>
    <row r="819" spans="1:47" ht="12.75" hidden="1">
      <c r="A819" s="110"/>
      <c r="B819" s="1009"/>
      <c r="C819" s="1010"/>
      <c r="D819" s="253"/>
      <c r="E819" s="1011"/>
      <c r="F819" s="262"/>
      <c r="G819" s="1011"/>
      <c r="H819" s="262"/>
      <c r="I819" s="1011"/>
      <c r="J819" s="262"/>
      <c r="K819" s="1011"/>
      <c r="L819" s="262"/>
      <c r="M819" s="1011"/>
      <c r="N819" s="262"/>
      <c r="O819" s="1011"/>
      <c r="P819" s="262"/>
      <c r="Q819" s="1011"/>
      <c r="R819" s="1012"/>
      <c r="S819" s="1011"/>
      <c r="T819" s="1012"/>
      <c r="U819" s="1010"/>
      <c r="V819" s="1012"/>
      <c r="W819" s="1010"/>
      <c r="X819" s="1012"/>
      <c r="Y819" s="1010"/>
      <c r="Z819" s="262"/>
      <c r="AA819" s="110"/>
      <c r="AB819" s="110"/>
      <c r="AC819" s="110"/>
      <c r="AD819" s="110"/>
      <c r="AE819" s="110"/>
      <c r="AF819" s="110"/>
      <c r="AG819" s="110"/>
      <c r="AH819" s="110"/>
      <c r="AI819" s="110"/>
      <c r="AJ819" s="110"/>
      <c r="AK819" s="110"/>
      <c r="AL819" s="110"/>
      <c r="AM819" s="110"/>
      <c r="AN819" s="110"/>
      <c r="AO819" s="110"/>
      <c r="AP819" s="110"/>
      <c r="AQ819" s="110"/>
      <c r="AR819" s="110"/>
      <c r="AS819" s="110"/>
      <c r="AT819" s="110"/>
      <c r="AU819" s="110"/>
    </row>
    <row r="820" spans="1:47" ht="12.75" hidden="1">
      <c r="A820" s="110"/>
      <c r="B820" s="1009"/>
      <c r="C820" s="1010"/>
      <c r="D820" s="253"/>
      <c r="E820" s="1011"/>
      <c r="F820" s="262"/>
      <c r="G820" s="1011"/>
      <c r="H820" s="262"/>
      <c r="I820" s="1011"/>
      <c r="J820" s="262"/>
      <c r="K820" s="1011"/>
      <c r="L820" s="262"/>
      <c r="M820" s="1011"/>
      <c r="N820" s="262"/>
      <c r="O820" s="1011"/>
      <c r="P820" s="262"/>
      <c r="Q820" s="1011"/>
      <c r="R820" s="1012"/>
      <c r="S820" s="1011"/>
      <c r="T820" s="1012"/>
      <c r="U820" s="1010"/>
      <c r="V820" s="1012"/>
      <c r="W820" s="1010"/>
      <c r="X820" s="1012"/>
      <c r="Y820" s="1010"/>
      <c r="Z820" s="262"/>
      <c r="AA820" s="110"/>
      <c r="AB820" s="110"/>
      <c r="AC820" s="110"/>
      <c r="AD820" s="110"/>
      <c r="AE820" s="110"/>
      <c r="AF820" s="110"/>
      <c r="AG820" s="110"/>
      <c r="AH820" s="110"/>
      <c r="AI820" s="110"/>
      <c r="AJ820" s="110"/>
      <c r="AK820" s="110"/>
      <c r="AL820" s="110"/>
      <c r="AM820" s="110"/>
      <c r="AN820" s="110"/>
      <c r="AO820" s="110"/>
      <c r="AP820" s="110"/>
      <c r="AQ820" s="110"/>
      <c r="AR820" s="110"/>
      <c r="AS820" s="110"/>
      <c r="AT820" s="110"/>
      <c r="AU820" s="110"/>
    </row>
    <row r="821" spans="1:47" ht="12.75" hidden="1">
      <c r="A821" s="110"/>
      <c r="B821" s="1009"/>
      <c r="C821" s="1010"/>
      <c r="D821" s="253"/>
      <c r="E821" s="1011"/>
      <c r="F821" s="262"/>
      <c r="G821" s="1011"/>
      <c r="H821" s="262"/>
      <c r="I821" s="1011"/>
      <c r="J821" s="262"/>
      <c r="K821" s="1011"/>
      <c r="L821" s="262"/>
      <c r="M821" s="1011"/>
      <c r="N821" s="262"/>
      <c r="O821" s="1011"/>
      <c r="P821" s="262"/>
      <c r="Q821" s="1011"/>
      <c r="R821" s="1012"/>
      <c r="S821" s="1011"/>
      <c r="T821" s="1012"/>
      <c r="U821" s="1010"/>
      <c r="V821" s="1012"/>
      <c r="W821" s="1010"/>
      <c r="X821" s="1012"/>
      <c r="Y821" s="1010"/>
      <c r="Z821" s="262"/>
      <c r="AA821" s="110"/>
      <c r="AB821" s="110"/>
      <c r="AC821" s="110"/>
      <c r="AD821" s="110"/>
      <c r="AE821" s="110"/>
      <c r="AF821" s="110"/>
      <c r="AG821" s="110"/>
      <c r="AH821" s="110"/>
      <c r="AI821" s="110"/>
      <c r="AJ821" s="110"/>
      <c r="AK821" s="110"/>
      <c r="AL821" s="110"/>
      <c r="AM821" s="110"/>
      <c r="AN821" s="110"/>
      <c r="AO821" s="110"/>
      <c r="AP821" s="110"/>
      <c r="AQ821" s="110"/>
      <c r="AR821" s="110"/>
      <c r="AS821" s="110"/>
      <c r="AT821" s="110"/>
      <c r="AU821" s="110"/>
    </row>
    <row r="822" spans="1:47" ht="12.75" hidden="1">
      <c r="A822" s="110"/>
      <c r="B822" s="1009"/>
      <c r="C822" s="1010"/>
      <c r="D822" s="253"/>
      <c r="E822" s="1011"/>
      <c r="F822" s="262"/>
      <c r="G822" s="1011"/>
      <c r="H822" s="262"/>
      <c r="I822" s="1011"/>
      <c r="J822" s="262"/>
      <c r="K822" s="1011"/>
      <c r="L822" s="262"/>
      <c r="M822" s="1011"/>
      <c r="N822" s="262"/>
      <c r="O822" s="1011"/>
      <c r="P822" s="262"/>
      <c r="Q822" s="1011"/>
      <c r="R822" s="1012"/>
      <c r="S822" s="1011"/>
      <c r="T822" s="1012"/>
      <c r="U822" s="1010"/>
      <c r="V822" s="1012"/>
      <c r="W822" s="1010"/>
      <c r="X822" s="1012"/>
      <c r="Y822" s="1010"/>
      <c r="Z822" s="262"/>
      <c r="AA822" s="110"/>
      <c r="AB822" s="110"/>
      <c r="AC822" s="110"/>
      <c r="AD822" s="110"/>
      <c r="AE822" s="110"/>
      <c r="AF822" s="110"/>
      <c r="AG822" s="110"/>
      <c r="AH822" s="110"/>
      <c r="AI822" s="110"/>
      <c r="AJ822" s="110"/>
      <c r="AK822" s="110"/>
      <c r="AL822" s="110"/>
      <c r="AM822" s="110"/>
      <c r="AN822" s="110"/>
      <c r="AO822" s="110"/>
      <c r="AP822" s="110"/>
      <c r="AQ822" s="110"/>
      <c r="AR822" s="110"/>
      <c r="AS822" s="110"/>
      <c r="AT822" s="110"/>
      <c r="AU822" s="110"/>
    </row>
    <row r="823" spans="1:47" ht="12.75" hidden="1">
      <c r="A823" s="110"/>
      <c r="B823" s="1009"/>
      <c r="C823" s="1010"/>
      <c r="D823" s="253"/>
      <c r="E823" s="1011"/>
      <c r="F823" s="262"/>
      <c r="G823" s="1011"/>
      <c r="H823" s="262"/>
      <c r="I823" s="1011"/>
      <c r="J823" s="262"/>
      <c r="K823" s="1011"/>
      <c r="L823" s="262"/>
      <c r="M823" s="1011"/>
      <c r="N823" s="262"/>
      <c r="O823" s="1011"/>
      <c r="P823" s="262"/>
      <c r="Q823" s="1011"/>
      <c r="R823" s="1012"/>
      <c r="S823" s="1011"/>
      <c r="T823" s="1012"/>
      <c r="U823" s="1010"/>
      <c r="V823" s="1012"/>
      <c r="W823" s="1010"/>
      <c r="X823" s="1012"/>
      <c r="Y823" s="1010"/>
      <c r="Z823" s="262"/>
      <c r="AA823" s="110"/>
      <c r="AB823" s="110"/>
      <c r="AC823" s="110"/>
      <c r="AD823" s="110"/>
      <c r="AE823" s="110"/>
      <c r="AF823" s="110"/>
      <c r="AG823" s="110"/>
      <c r="AH823" s="110"/>
      <c r="AI823" s="110"/>
      <c r="AJ823" s="110"/>
      <c r="AK823" s="110"/>
      <c r="AL823" s="110"/>
      <c r="AM823" s="110"/>
      <c r="AN823" s="110"/>
      <c r="AO823" s="110"/>
      <c r="AP823" s="110"/>
      <c r="AQ823" s="110"/>
      <c r="AR823" s="110"/>
      <c r="AS823" s="110"/>
      <c r="AT823" s="110"/>
      <c r="AU823" s="110"/>
    </row>
    <row r="824" spans="1:47" ht="12.75" hidden="1">
      <c r="A824" s="110"/>
      <c r="B824" s="1009"/>
      <c r="C824" s="1010"/>
      <c r="D824" s="253"/>
      <c r="E824" s="1011"/>
      <c r="F824" s="262"/>
      <c r="G824" s="1011"/>
      <c r="H824" s="262"/>
      <c r="I824" s="1011"/>
      <c r="J824" s="262"/>
      <c r="K824" s="1011"/>
      <c r="L824" s="262"/>
      <c r="M824" s="1011"/>
      <c r="N824" s="262"/>
      <c r="O824" s="1011"/>
      <c r="P824" s="262"/>
      <c r="Q824" s="1011"/>
      <c r="R824" s="1012"/>
      <c r="S824" s="1011"/>
      <c r="T824" s="1012"/>
      <c r="U824" s="1010"/>
      <c r="V824" s="1012"/>
      <c r="W824" s="1010"/>
      <c r="X824" s="1012"/>
      <c r="Y824" s="1010"/>
      <c r="Z824" s="262"/>
      <c r="AA824" s="110"/>
      <c r="AB824" s="110"/>
      <c r="AC824" s="110"/>
      <c r="AD824" s="110"/>
      <c r="AE824" s="110"/>
      <c r="AF824" s="110"/>
      <c r="AG824" s="110"/>
      <c r="AH824" s="110"/>
      <c r="AI824" s="110"/>
      <c r="AJ824" s="110"/>
      <c r="AK824" s="110"/>
      <c r="AL824" s="110"/>
      <c r="AM824" s="110"/>
      <c r="AN824" s="110"/>
      <c r="AO824" s="110"/>
      <c r="AP824" s="110"/>
      <c r="AQ824" s="110"/>
      <c r="AR824" s="110"/>
      <c r="AS824" s="110"/>
      <c r="AT824" s="110"/>
      <c r="AU824" s="110"/>
    </row>
    <row r="825" spans="1:47" ht="12.75" hidden="1">
      <c r="A825" s="110"/>
      <c r="B825" s="1009"/>
      <c r="C825" s="1010"/>
      <c r="D825" s="253"/>
      <c r="E825" s="1011"/>
      <c r="F825" s="262"/>
      <c r="G825" s="1011"/>
      <c r="H825" s="262"/>
      <c r="I825" s="1011"/>
      <c r="J825" s="262"/>
      <c r="K825" s="1011"/>
      <c r="L825" s="262"/>
      <c r="M825" s="1011"/>
      <c r="N825" s="262"/>
      <c r="O825" s="1011"/>
      <c r="P825" s="262"/>
      <c r="Q825" s="1011"/>
      <c r="R825" s="1012"/>
      <c r="S825" s="1011"/>
      <c r="T825" s="1012"/>
      <c r="U825" s="1010"/>
      <c r="V825" s="1012"/>
      <c r="W825" s="1010"/>
      <c r="X825" s="1012"/>
      <c r="Y825" s="1010"/>
      <c r="Z825" s="262"/>
      <c r="AA825" s="110"/>
      <c r="AB825" s="110"/>
      <c r="AC825" s="110"/>
      <c r="AD825" s="110"/>
      <c r="AE825" s="110"/>
      <c r="AF825" s="110"/>
      <c r="AG825" s="110"/>
      <c r="AH825" s="110"/>
      <c r="AI825" s="110"/>
      <c r="AJ825" s="110"/>
      <c r="AK825" s="110"/>
      <c r="AL825" s="110"/>
      <c r="AM825" s="110"/>
      <c r="AN825" s="110"/>
      <c r="AO825" s="110"/>
      <c r="AP825" s="110"/>
      <c r="AQ825" s="110"/>
      <c r="AR825" s="110"/>
      <c r="AS825" s="110"/>
      <c r="AT825" s="110"/>
      <c r="AU825" s="110"/>
    </row>
    <row r="826" spans="1:47" ht="12.75" hidden="1">
      <c r="A826" s="110"/>
      <c r="B826" s="1009"/>
      <c r="C826" s="1010"/>
      <c r="D826" s="253"/>
      <c r="E826" s="1011"/>
      <c r="F826" s="262"/>
      <c r="G826" s="1011"/>
      <c r="H826" s="262"/>
      <c r="I826" s="1011"/>
      <c r="J826" s="262"/>
      <c r="K826" s="1011"/>
      <c r="L826" s="262"/>
      <c r="M826" s="1011"/>
      <c r="N826" s="262"/>
      <c r="O826" s="1011"/>
      <c r="P826" s="262"/>
      <c r="Q826" s="1011"/>
      <c r="R826" s="1012"/>
      <c r="S826" s="1011"/>
      <c r="T826" s="1012"/>
      <c r="U826" s="1010"/>
      <c r="V826" s="1012"/>
      <c r="W826" s="1010"/>
      <c r="X826" s="1012"/>
      <c r="Y826" s="1010"/>
      <c r="Z826" s="262"/>
      <c r="AA826" s="110"/>
      <c r="AB826" s="110"/>
      <c r="AC826" s="110"/>
      <c r="AD826" s="110"/>
      <c r="AE826" s="110"/>
      <c r="AF826" s="110"/>
      <c r="AG826" s="110"/>
      <c r="AH826" s="110"/>
      <c r="AI826" s="110"/>
      <c r="AJ826" s="110"/>
      <c r="AK826" s="110"/>
      <c r="AL826" s="110"/>
      <c r="AM826" s="110"/>
      <c r="AN826" s="110"/>
      <c r="AO826" s="110"/>
      <c r="AP826" s="110"/>
      <c r="AQ826" s="110"/>
      <c r="AR826" s="110"/>
      <c r="AS826" s="110"/>
      <c r="AT826" s="110"/>
      <c r="AU826" s="110"/>
    </row>
    <row r="827" spans="1:47" ht="12.75" hidden="1">
      <c r="A827" s="110"/>
      <c r="B827" s="1009"/>
      <c r="C827" s="1010"/>
      <c r="D827" s="253"/>
      <c r="E827" s="1011"/>
      <c r="F827" s="262"/>
      <c r="G827" s="1011"/>
      <c r="H827" s="262"/>
      <c r="I827" s="1011"/>
      <c r="J827" s="262"/>
      <c r="K827" s="1011"/>
      <c r="L827" s="262"/>
      <c r="M827" s="1011"/>
      <c r="N827" s="262"/>
      <c r="O827" s="1011"/>
      <c r="P827" s="262"/>
      <c r="Q827" s="1011"/>
      <c r="R827" s="1012"/>
      <c r="S827" s="1011"/>
      <c r="T827" s="1012"/>
      <c r="U827" s="1010"/>
      <c r="V827" s="1012"/>
      <c r="W827" s="1010"/>
      <c r="X827" s="1012"/>
      <c r="Y827" s="1010"/>
      <c r="Z827" s="262"/>
      <c r="AA827" s="110"/>
      <c r="AB827" s="110"/>
      <c r="AC827" s="110"/>
      <c r="AD827" s="110"/>
      <c r="AE827" s="110"/>
      <c r="AF827" s="110"/>
      <c r="AG827" s="110"/>
      <c r="AH827" s="110"/>
      <c r="AI827" s="110"/>
      <c r="AJ827" s="110"/>
      <c r="AK827" s="110"/>
      <c r="AL827" s="110"/>
      <c r="AM827" s="110"/>
      <c r="AN827" s="110"/>
      <c r="AO827" s="110"/>
      <c r="AP827" s="110"/>
      <c r="AQ827" s="110"/>
      <c r="AR827" s="110"/>
      <c r="AS827" s="110"/>
      <c r="AT827" s="110"/>
      <c r="AU827" s="110"/>
    </row>
    <row r="828" spans="1:47" ht="12.75" hidden="1">
      <c r="A828" s="110"/>
      <c r="B828" s="1009"/>
      <c r="C828" s="1010"/>
      <c r="D828" s="253"/>
      <c r="E828" s="1011"/>
      <c r="F828" s="262"/>
      <c r="G828" s="1011"/>
      <c r="H828" s="262"/>
      <c r="I828" s="1011"/>
      <c r="J828" s="262"/>
      <c r="K828" s="1011"/>
      <c r="L828" s="262"/>
      <c r="M828" s="1011"/>
      <c r="N828" s="262"/>
      <c r="O828" s="1011"/>
      <c r="P828" s="262"/>
      <c r="Q828" s="1011"/>
      <c r="R828" s="1012"/>
      <c r="S828" s="1011"/>
      <c r="T828" s="1012"/>
      <c r="U828" s="1010"/>
      <c r="V828" s="1012"/>
      <c r="W828" s="1010"/>
      <c r="X828" s="1012"/>
      <c r="Y828" s="1010"/>
      <c r="Z828" s="262"/>
      <c r="AA828" s="110"/>
      <c r="AB828" s="110"/>
      <c r="AC828" s="110"/>
      <c r="AD828" s="110"/>
      <c r="AE828" s="110"/>
      <c r="AF828" s="110"/>
      <c r="AG828" s="110"/>
      <c r="AH828" s="110"/>
      <c r="AI828" s="110"/>
      <c r="AJ828" s="110"/>
      <c r="AK828" s="110"/>
      <c r="AL828" s="110"/>
      <c r="AM828" s="110"/>
      <c r="AN828" s="110"/>
      <c r="AO828" s="110"/>
      <c r="AP828" s="110"/>
      <c r="AQ828" s="110"/>
      <c r="AR828" s="110"/>
      <c r="AS828" s="110"/>
      <c r="AT828" s="110"/>
      <c r="AU828" s="110"/>
    </row>
    <row r="829" spans="1:47" ht="12.75" hidden="1">
      <c r="A829" s="110"/>
      <c r="B829" s="1009"/>
      <c r="C829" s="1010"/>
      <c r="D829" s="253"/>
      <c r="E829" s="1011"/>
      <c r="F829" s="262"/>
      <c r="G829" s="1011"/>
      <c r="H829" s="262"/>
      <c r="I829" s="1011"/>
      <c r="J829" s="262"/>
      <c r="K829" s="1011"/>
      <c r="L829" s="262"/>
      <c r="M829" s="1011"/>
      <c r="N829" s="262"/>
      <c r="O829" s="1011"/>
      <c r="P829" s="262"/>
      <c r="Q829" s="1011"/>
      <c r="R829" s="1012"/>
      <c r="S829" s="1011"/>
      <c r="T829" s="1012"/>
      <c r="U829" s="1010"/>
      <c r="V829" s="1012"/>
      <c r="W829" s="1010"/>
      <c r="X829" s="1012"/>
      <c r="Y829" s="1010"/>
      <c r="Z829" s="262"/>
      <c r="AA829" s="110"/>
      <c r="AB829" s="110"/>
      <c r="AC829" s="110"/>
      <c r="AD829" s="110"/>
      <c r="AE829" s="110"/>
      <c r="AF829" s="110"/>
      <c r="AG829" s="110"/>
      <c r="AH829" s="110"/>
      <c r="AI829" s="110"/>
      <c r="AJ829" s="110"/>
      <c r="AK829" s="110"/>
      <c r="AL829" s="110"/>
      <c r="AM829" s="110"/>
      <c r="AN829" s="110"/>
      <c r="AO829" s="110"/>
      <c r="AP829" s="110"/>
      <c r="AQ829" s="110"/>
      <c r="AR829" s="110"/>
      <c r="AS829" s="110"/>
      <c r="AT829" s="110"/>
      <c r="AU829" s="110"/>
    </row>
    <row r="830" spans="1:47" ht="12.75" hidden="1">
      <c r="A830" s="110"/>
      <c r="B830" s="1009"/>
      <c r="C830" s="1010"/>
      <c r="D830" s="253"/>
      <c r="E830" s="1011"/>
      <c r="F830" s="262"/>
      <c r="G830" s="1011"/>
      <c r="H830" s="262"/>
      <c r="I830" s="1011"/>
      <c r="J830" s="262"/>
      <c r="K830" s="1011"/>
      <c r="L830" s="262"/>
      <c r="M830" s="1011"/>
      <c r="N830" s="262"/>
      <c r="O830" s="1011"/>
      <c r="P830" s="262"/>
      <c r="Q830" s="1011"/>
      <c r="R830" s="1012"/>
      <c r="S830" s="1011"/>
      <c r="T830" s="1012"/>
      <c r="U830" s="1010"/>
      <c r="V830" s="1012"/>
      <c r="W830" s="1010"/>
      <c r="X830" s="1012"/>
      <c r="Y830" s="1010"/>
      <c r="Z830" s="262"/>
      <c r="AA830" s="110"/>
      <c r="AB830" s="110"/>
      <c r="AC830" s="110"/>
      <c r="AD830" s="110"/>
      <c r="AE830" s="110"/>
      <c r="AF830" s="110"/>
      <c r="AG830" s="110"/>
      <c r="AH830" s="110"/>
      <c r="AI830" s="110"/>
      <c r="AJ830" s="110"/>
      <c r="AK830" s="110"/>
      <c r="AL830" s="110"/>
      <c r="AM830" s="110"/>
      <c r="AN830" s="110"/>
      <c r="AO830" s="110"/>
      <c r="AP830" s="110"/>
      <c r="AQ830" s="110"/>
      <c r="AR830" s="110"/>
      <c r="AS830" s="110"/>
      <c r="AT830" s="110"/>
      <c r="AU830" s="110"/>
    </row>
    <row r="831" spans="1:47" ht="12.75" hidden="1">
      <c r="A831" s="110"/>
      <c r="B831" s="1009"/>
      <c r="C831" s="1010"/>
      <c r="D831" s="253"/>
      <c r="E831" s="1011"/>
      <c r="F831" s="262"/>
      <c r="G831" s="1011"/>
      <c r="H831" s="262"/>
      <c r="I831" s="1011"/>
      <c r="J831" s="262"/>
      <c r="K831" s="1011"/>
      <c r="L831" s="262"/>
      <c r="M831" s="1011"/>
      <c r="N831" s="262"/>
      <c r="O831" s="1011"/>
      <c r="P831" s="262"/>
      <c r="Q831" s="1011"/>
      <c r="R831" s="1012"/>
      <c r="S831" s="1011"/>
      <c r="T831" s="1012"/>
      <c r="U831" s="1010"/>
      <c r="V831" s="1012"/>
      <c r="W831" s="1010"/>
      <c r="X831" s="1012"/>
      <c r="Y831" s="1010"/>
      <c r="Z831" s="262"/>
      <c r="AA831" s="110"/>
      <c r="AB831" s="110"/>
      <c r="AC831" s="110"/>
      <c r="AD831" s="110"/>
      <c r="AE831" s="110"/>
      <c r="AF831" s="110"/>
      <c r="AG831" s="110"/>
      <c r="AH831" s="110"/>
      <c r="AI831" s="110"/>
      <c r="AJ831" s="110"/>
      <c r="AK831" s="110"/>
      <c r="AL831" s="110"/>
      <c r="AM831" s="110"/>
      <c r="AN831" s="110"/>
      <c r="AO831" s="110"/>
      <c r="AP831" s="110"/>
      <c r="AQ831" s="110"/>
      <c r="AR831" s="110"/>
      <c r="AS831" s="110"/>
      <c r="AT831" s="110"/>
      <c r="AU831" s="110"/>
    </row>
    <row r="832" spans="1:47" ht="12.75" hidden="1">
      <c r="A832" s="110"/>
      <c r="B832" s="1009"/>
      <c r="C832" s="1010"/>
      <c r="D832" s="253"/>
      <c r="E832" s="1011"/>
      <c r="F832" s="262"/>
      <c r="G832" s="1011"/>
      <c r="H832" s="262"/>
      <c r="I832" s="1011"/>
      <c r="J832" s="262"/>
      <c r="K832" s="1011"/>
      <c r="L832" s="262"/>
      <c r="M832" s="1011"/>
      <c r="N832" s="262"/>
      <c r="O832" s="1011"/>
      <c r="P832" s="262"/>
      <c r="Q832" s="1011"/>
      <c r="R832" s="1012"/>
      <c r="S832" s="1011"/>
      <c r="T832" s="1012"/>
      <c r="U832" s="1010"/>
      <c r="V832" s="1012"/>
      <c r="W832" s="1010"/>
      <c r="X832" s="1012"/>
      <c r="Y832" s="1010"/>
      <c r="Z832" s="262"/>
      <c r="AA832" s="110"/>
      <c r="AB832" s="110"/>
      <c r="AC832" s="110"/>
      <c r="AD832" s="110"/>
      <c r="AE832" s="110"/>
      <c r="AF832" s="110"/>
      <c r="AG832" s="110"/>
      <c r="AH832" s="110"/>
      <c r="AI832" s="110"/>
      <c r="AJ832" s="110"/>
      <c r="AK832" s="110"/>
      <c r="AL832" s="110"/>
      <c r="AM832" s="110"/>
      <c r="AN832" s="110"/>
      <c r="AO832" s="110"/>
      <c r="AP832" s="110"/>
      <c r="AQ832" s="110"/>
      <c r="AR832" s="110"/>
      <c r="AS832" s="110"/>
      <c r="AT832" s="110"/>
      <c r="AU832" s="110"/>
    </row>
    <row r="833" spans="1:47" ht="12.75" hidden="1">
      <c r="A833" s="110"/>
      <c r="B833" s="1009"/>
      <c r="C833" s="1010"/>
      <c r="D833" s="253"/>
      <c r="E833" s="1011"/>
      <c r="F833" s="262"/>
      <c r="G833" s="1011"/>
      <c r="H833" s="262"/>
      <c r="I833" s="1011"/>
      <c r="J833" s="262"/>
      <c r="K833" s="1011"/>
      <c r="L833" s="262"/>
      <c r="M833" s="1011"/>
      <c r="N833" s="262"/>
      <c r="O833" s="1011"/>
      <c r="P833" s="262"/>
      <c r="Q833" s="1011"/>
      <c r="R833" s="1012"/>
      <c r="S833" s="1011"/>
      <c r="T833" s="1012"/>
      <c r="U833" s="1010"/>
      <c r="V833" s="1012"/>
      <c r="W833" s="1010"/>
      <c r="X833" s="1012"/>
      <c r="Y833" s="1010"/>
      <c r="Z833" s="262"/>
      <c r="AA833" s="110"/>
      <c r="AB833" s="110"/>
      <c r="AC833" s="110"/>
      <c r="AD833" s="110"/>
      <c r="AE833" s="110"/>
      <c r="AF833" s="110"/>
      <c r="AG833" s="110"/>
      <c r="AH833" s="110"/>
      <c r="AI833" s="110"/>
      <c r="AJ833" s="110"/>
      <c r="AK833" s="110"/>
      <c r="AL833" s="110"/>
      <c r="AM833" s="110"/>
      <c r="AN833" s="110"/>
      <c r="AO833" s="110"/>
      <c r="AP833" s="110"/>
      <c r="AQ833" s="110"/>
      <c r="AR833" s="110"/>
      <c r="AS833" s="110"/>
      <c r="AT833" s="110"/>
      <c r="AU833" s="110"/>
    </row>
    <row r="834" spans="1:47" ht="12.75" hidden="1">
      <c r="A834" s="110"/>
      <c r="B834" s="1009"/>
      <c r="C834" s="1010"/>
      <c r="D834" s="253"/>
      <c r="E834" s="1011"/>
      <c r="F834" s="262"/>
      <c r="G834" s="1011"/>
      <c r="H834" s="262"/>
      <c r="I834" s="1011"/>
      <c r="J834" s="262"/>
      <c r="K834" s="1011"/>
      <c r="L834" s="262"/>
      <c r="M834" s="1011"/>
      <c r="N834" s="262"/>
      <c r="O834" s="1011"/>
      <c r="P834" s="262"/>
      <c r="Q834" s="1011"/>
      <c r="R834" s="1012"/>
      <c r="S834" s="1011"/>
      <c r="T834" s="1012"/>
      <c r="U834" s="1010"/>
      <c r="V834" s="1012"/>
      <c r="W834" s="1010"/>
      <c r="X834" s="1012"/>
      <c r="Y834" s="1010"/>
      <c r="Z834" s="262"/>
      <c r="AA834" s="110"/>
      <c r="AB834" s="110"/>
      <c r="AC834" s="110"/>
      <c r="AD834" s="110"/>
      <c r="AE834" s="110"/>
      <c r="AF834" s="110"/>
      <c r="AG834" s="110"/>
      <c r="AH834" s="110"/>
      <c r="AI834" s="110"/>
      <c r="AJ834" s="110"/>
      <c r="AK834" s="110"/>
      <c r="AL834" s="110"/>
      <c r="AM834" s="110"/>
      <c r="AN834" s="110"/>
      <c r="AO834" s="110"/>
      <c r="AP834" s="110"/>
      <c r="AQ834" s="110"/>
      <c r="AR834" s="110"/>
      <c r="AS834" s="110"/>
      <c r="AT834" s="110"/>
      <c r="AU834" s="110"/>
    </row>
    <row r="835" spans="1:47" ht="12.75" hidden="1">
      <c r="A835" s="110"/>
      <c r="B835" s="1009"/>
      <c r="C835" s="1010"/>
      <c r="D835" s="253"/>
      <c r="E835" s="1011"/>
      <c r="F835" s="262"/>
      <c r="G835" s="1011"/>
      <c r="H835" s="262"/>
      <c r="I835" s="1011"/>
      <c r="J835" s="262"/>
      <c r="K835" s="1011"/>
      <c r="L835" s="262"/>
      <c r="M835" s="1011"/>
      <c r="N835" s="262"/>
      <c r="O835" s="1011"/>
      <c r="P835" s="262"/>
      <c r="Q835" s="1011"/>
      <c r="R835" s="1012"/>
      <c r="S835" s="1011"/>
      <c r="T835" s="1012"/>
      <c r="U835" s="1010"/>
      <c r="V835" s="1012"/>
      <c r="W835" s="1010"/>
      <c r="X835" s="1012"/>
      <c r="Y835" s="1010"/>
      <c r="Z835" s="262"/>
      <c r="AA835" s="110"/>
      <c r="AB835" s="110"/>
      <c r="AC835" s="110"/>
      <c r="AD835" s="110"/>
      <c r="AE835" s="110"/>
      <c r="AF835" s="110"/>
      <c r="AG835" s="110"/>
      <c r="AH835" s="110"/>
      <c r="AI835" s="110"/>
      <c r="AJ835" s="110"/>
      <c r="AK835" s="110"/>
      <c r="AL835" s="110"/>
      <c r="AM835" s="110"/>
      <c r="AN835" s="110"/>
      <c r="AO835" s="110"/>
      <c r="AP835" s="110"/>
      <c r="AQ835" s="110"/>
      <c r="AR835" s="110"/>
      <c r="AS835" s="110"/>
      <c r="AT835" s="110"/>
      <c r="AU835" s="110"/>
    </row>
    <row r="836" spans="1:47" ht="12.75" hidden="1">
      <c r="A836" s="110"/>
      <c r="B836" s="1009"/>
      <c r="C836" s="1010"/>
      <c r="D836" s="253"/>
      <c r="E836" s="1011"/>
      <c r="F836" s="262"/>
      <c r="G836" s="1011"/>
      <c r="H836" s="262"/>
      <c r="I836" s="1011"/>
      <c r="J836" s="262"/>
      <c r="K836" s="1011"/>
      <c r="L836" s="262"/>
      <c r="M836" s="1011"/>
      <c r="N836" s="262"/>
      <c r="O836" s="1011"/>
      <c r="P836" s="262"/>
      <c r="Q836" s="1011"/>
      <c r="R836" s="1012"/>
      <c r="S836" s="1011"/>
      <c r="T836" s="1012"/>
      <c r="U836" s="1010"/>
      <c r="V836" s="1012"/>
      <c r="W836" s="1010"/>
      <c r="X836" s="1012"/>
      <c r="Y836" s="1010"/>
      <c r="Z836" s="262"/>
      <c r="AA836" s="110"/>
      <c r="AB836" s="110"/>
      <c r="AC836" s="110"/>
      <c r="AD836" s="110"/>
      <c r="AE836" s="110"/>
      <c r="AF836" s="110"/>
      <c r="AG836" s="110"/>
      <c r="AH836" s="110"/>
      <c r="AI836" s="110"/>
      <c r="AJ836" s="110"/>
      <c r="AK836" s="110"/>
      <c r="AL836" s="110"/>
      <c r="AM836" s="110"/>
      <c r="AN836" s="110"/>
      <c r="AO836" s="110"/>
      <c r="AP836" s="110"/>
      <c r="AQ836" s="110"/>
      <c r="AR836" s="110"/>
      <c r="AS836" s="110"/>
      <c r="AT836" s="110"/>
      <c r="AU836" s="110"/>
    </row>
    <row r="837" spans="1:47" ht="12.75" hidden="1">
      <c r="A837" s="110"/>
      <c r="B837" s="1009"/>
      <c r="C837" s="1010"/>
      <c r="D837" s="253"/>
      <c r="E837" s="1011"/>
      <c r="F837" s="262"/>
      <c r="G837" s="1011"/>
      <c r="H837" s="262"/>
      <c r="I837" s="1011"/>
      <c r="J837" s="262"/>
      <c r="K837" s="1011"/>
      <c r="L837" s="262"/>
      <c r="M837" s="1011"/>
      <c r="N837" s="262"/>
      <c r="O837" s="1011"/>
      <c r="P837" s="262"/>
      <c r="Q837" s="1011"/>
      <c r="R837" s="1012"/>
      <c r="S837" s="1011"/>
      <c r="T837" s="1012"/>
      <c r="U837" s="1010"/>
      <c r="V837" s="1012"/>
      <c r="W837" s="1010"/>
      <c r="X837" s="1012"/>
      <c r="Y837" s="1010"/>
      <c r="Z837" s="262"/>
      <c r="AA837" s="110"/>
      <c r="AB837" s="110"/>
      <c r="AC837" s="110"/>
      <c r="AD837" s="110"/>
      <c r="AE837" s="110"/>
      <c r="AF837" s="110"/>
      <c r="AG837" s="110"/>
      <c r="AH837" s="110"/>
      <c r="AI837" s="110"/>
      <c r="AJ837" s="110"/>
      <c r="AK837" s="110"/>
      <c r="AL837" s="110"/>
      <c r="AM837" s="110"/>
      <c r="AN837" s="110"/>
      <c r="AO837" s="110"/>
      <c r="AP837" s="110"/>
      <c r="AQ837" s="110"/>
      <c r="AR837" s="110"/>
      <c r="AS837" s="110"/>
      <c r="AT837" s="110"/>
      <c r="AU837" s="110"/>
    </row>
    <row r="838" spans="1:47" ht="12.75" hidden="1">
      <c r="A838" s="110"/>
      <c r="B838" s="1009"/>
      <c r="C838" s="1010"/>
      <c r="D838" s="253"/>
      <c r="E838" s="1011"/>
      <c r="F838" s="262"/>
      <c r="G838" s="1011"/>
      <c r="H838" s="262"/>
      <c r="I838" s="1011"/>
      <c r="J838" s="262"/>
      <c r="K838" s="1011"/>
      <c r="L838" s="262"/>
      <c r="M838" s="1011"/>
      <c r="N838" s="262"/>
      <c r="O838" s="1011"/>
      <c r="P838" s="262"/>
      <c r="Q838" s="1011"/>
      <c r="R838" s="1012"/>
      <c r="S838" s="1011"/>
      <c r="T838" s="1012"/>
      <c r="U838" s="1010"/>
      <c r="V838" s="1012"/>
      <c r="W838" s="1010"/>
      <c r="X838" s="1012"/>
      <c r="Y838" s="1010"/>
      <c r="Z838" s="262"/>
      <c r="AA838" s="110"/>
      <c r="AB838" s="110"/>
      <c r="AC838" s="110"/>
      <c r="AD838" s="110"/>
      <c r="AE838" s="110"/>
      <c r="AF838" s="110"/>
      <c r="AG838" s="110"/>
      <c r="AH838" s="110"/>
      <c r="AI838" s="110"/>
      <c r="AJ838" s="110"/>
      <c r="AK838" s="110"/>
      <c r="AL838" s="110"/>
      <c r="AM838" s="110"/>
      <c r="AN838" s="110"/>
      <c r="AO838" s="110"/>
      <c r="AP838" s="110"/>
      <c r="AQ838" s="110"/>
      <c r="AR838" s="110"/>
      <c r="AS838" s="110"/>
      <c r="AT838" s="110"/>
      <c r="AU838" s="110"/>
    </row>
    <row r="839" spans="1:47" ht="12.75" hidden="1">
      <c r="A839" s="110"/>
      <c r="B839" s="1009"/>
      <c r="C839" s="1010"/>
      <c r="D839" s="253"/>
      <c r="E839" s="1011"/>
      <c r="F839" s="262"/>
      <c r="G839" s="1011"/>
      <c r="H839" s="262"/>
      <c r="I839" s="1011"/>
      <c r="J839" s="262"/>
      <c r="K839" s="1011"/>
      <c r="L839" s="262"/>
      <c r="M839" s="1011"/>
      <c r="N839" s="262"/>
      <c r="O839" s="1011"/>
      <c r="P839" s="262"/>
      <c r="Q839" s="1011"/>
      <c r="R839" s="1012"/>
      <c r="S839" s="1011"/>
      <c r="T839" s="1012"/>
      <c r="U839" s="1010"/>
      <c r="V839" s="1012"/>
      <c r="W839" s="1010"/>
      <c r="X839" s="1012"/>
      <c r="Y839" s="1010"/>
      <c r="Z839" s="262"/>
      <c r="AA839" s="110"/>
      <c r="AB839" s="110"/>
      <c r="AC839" s="110"/>
      <c r="AD839" s="110"/>
      <c r="AE839" s="110"/>
      <c r="AF839" s="110"/>
      <c r="AG839" s="110"/>
      <c r="AH839" s="110"/>
      <c r="AI839" s="110"/>
      <c r="AJ839" s="110"/>
      <c r="AK839" s="110"/>
      <c r="AL839" s="110"/>
      <c r="AM839" s="110"/>
      <c r="AN839" s="110"/>
      <c r="AO839" s="110"/>
      <c r="AP839" s="110"/>
      <c r="AQ839" s="110"/>
      <c r="AR839" s="110"/>
      <c r="AS839" s="110"/>
      <c r="AT839" s="110"/>
      <c r="AU839" s="110"/>
    </row>
    <row r="840" spans="1:47" ht="12.75" hidden="1">
      <c r="A840" s="110"/>
      <c r="B840" s="1009"/>
      <c r="C840" s="1010"/>
      <c r="D840" s="253"/>
      <c r="E840" s="1011"/>
      <c r="F840" s="262"/>
      <c r="G840" s="1011"/>
      <c r="H840" s="262"/>
      <c r="I840" s="1011"/>
      <c r="J840" s="262"/>
      <c r="K840" s="1011"/>
      <c r="L840" s="262"/>
      <c r="M840" s="1011"/>
      <c r="N840" s="262"/>
      <c r="O840" s="1011"/>
      <c r="P840" s="262"/>
      <c r="Q840" s="1011"/>
      <c r="R840" s="1012"/>
      <c r="S840" s="1011"/>
      <c r="T840" s="1012"/>
      <c r="U840" s="1010"/>
      <c r="V840" s="1012"/>
      <c r="W840" s="1010"/>
      <c r="X840" s="1012"/>
      <c r="Y840" s="1010"/>
      <c r="Z840" s="262"/>
      <c r="AA840" s="110"/>
      <c r="AB840" s="110"/>
      <c r="AC840" s="110"/>
      <c r="AD840" s="110"/>
      <c r="AE840" s="110"/>
      <c r="AF840" s="110"/>
      <c r="AG840" s="110"/>
      <c r="AH840" s="110"/>
      <c r="AI840" s="110"/>
      <c r="AJ840" s="110"/>
      <c r="AK840" s="110"/>
      <c r="AL840" s="110"/>
      <c r="AM840" s="110"/>
      <c r="AN840" s="110"/>
      <c r="AO840" s="110"/>
      <c r="AP840" s="110"/>
      <c r="AQ840" s="110"/>
      <c r="AR840" s="110"/>
      <c r="AS840" s="110"/>
      <c r="AT840" s="110"/>
      <c r="AU840" s="110"/>
    </row>
    <row r="841" spans="1:47" ht="12.75" hidden="1">
      <c r="A841" s="110"/>
      <c r="B841" s="1009"/>
      <c r="C841" s="1010"/>
      <c r="D841" s="253"/>
      <c r="E841" s="1011"/>
      <c r="F841" s="262"/>
      <c r="G841" s="1011"/>
      <c r="H841" s="262"/>
      <c r="I841" s="1011"/>
      <c r="J841" s="262"/>
      <c r="K841" s="1011"/>
      <c r="L841" s="262"/>
      <c r="M841" s="1011"/>
      <c r="N841" s="262"/>
      <c r="O841" s="1011"/>
      <c r="P841" s="262"/>
      <c r="Q841" s="1011"/>
      <c r="R841" s="1012"/>
      <c r="S841" s="1011"/>
      <c r="T841" s="1012"/>
      <c r="U841" s="1010"/>
      <c r="V841" s="1012"/>
      <c r="W841" s="1010"/>
      <c r="X841" s="1012"/>
      <c r="Y841" s="1010"/>
      <c r="Z841" s="262"/>
      <c r="AA841" s="110"/>
      <c r="AB841" s="110"/>
      <c r="AC841" s="110"/>
      <c r="AD841" s="110"/>
      <c r="AE841" s="110"/>
      <c r="AF841" s="110"/>
      <c r="AG841" s="110"/>
      <c r="AH841" s="110"/>
      <c r="AI841" s="110"/>
      <c r="AJ841" s="110"/>
      <c r="AK841" s="110"/>
      <c r="AL841" s="110"/>
      <c r="AM841" s="110"/>
      <c r="AN841" s="110"/>
      <c r="AO841" s="110"/>
      <c r="AP841" s="110"/>
      <c r="AQ841" s="110"/>
      <c r="AR841" s="110"/>
      <c r="AS841" s="110"/>
      <c r="AT841" s="110"/>
      <c r="AU841" s="110"/>
    </row>
    <row r="842" spans="1:47" ht="12.75" hidden="1">
      <c r="A842" s="110"/>
      <c r="B842" s="1009"/>
      <c r="C842" s="1010"/>
      <c r="D842" s="253"/>
      <c r="E842" s="1011"/>
      <c r="F842" s="262"/>
      <c r="G842" s="1011"/>
      <c r="H842" s="262"/>
      <c r="I842" s="1011"/>
      <c r="J842" s="262"/>
      <c r="K842" s="1011"/>
      <c r="L842" s="262"/>
      <c r="M842" s="1011"/>
      <c r="N842" s="262"/>
      <c r="O842" s="1011"/>
      <c r="P842" s="262"/>
      <c r="Q842" s="1011"/>
      <c r="R842" s="1012"/>
      <c r="S842" s="1011"/>
      <c r="T842" s="1012"/>
      <c r="U842" s="1010"/>
      <c r="V842" s="1012"/>
      <c r="W842" s="1010"/>
      <c r="X842" s="1012"/>
      <c r="Y842" s="1010"/>
      <c r="Z842" s="262"/>
      <c r="AA842" s="110"/>
      <c r="AB842" s="110"/>
      <c r="AC842" s="110"/>
      <c r="AD842" s="110"/>
      <c r="AE842" s="110"/>
      <c r="AF842" s="110"/>
      <c r="AG842" s="110"/>
      <c r="AH842" s="110"/>
      <c r="AI842" s="110"/>
      <c r="AJ842" s="110"/>
      <c r="AK842" s="110"/>
      <c r="AL842" s="110"/>
      <c r="AM842" s="110"/>
      <c r="AN842" s="110"/>
      <c r="AO842" s="110"/>
      <c r="AP842" s="110"/>
      <c r="AQ842" s="110"/>
      <c r="AR842" s="110"/>
      <c r="AS842" s="110"/>
      <c r="AT842" s="110"/>
      <c r="AU842" s="110"/>
    </row>
    <row r="843" spans="1:47" ht="12.75" hidden="1">
      <c r="A843" s="110"/>
      <c r="B843" s="1009"/>
      <c r="C843" s="1010"/>
      <c r="D843" s="253"/>
      <c r="E843" s="1011"/>
      <c r="F843" s="262"/>
      <c r="G843" s="1011"/>
      <c r="H843" s="262"/>
      <c r="I843" s="1011"/>
      <c r="J843" s="262"/>
      <c r="K843" s="1011"/>
      <c r="L843" s="262"/>
      <c r="M843" s="1011"/>
      <c r="N843" s="262"/>
      <c r="O843" s="1011"/>
      <c r="P843" s="262"/>
      <c r="Q843" s="1011"/>
      <c r="R843" s="1012"/>
      <c r="S843" s="1011"/>
      <c r="T843" s="1012"/>
      <c r="U843" s="1010"/>
      <c r="V843" s="1012"/>
      <c r="W843" s="1010"/>
      <c r="X843" s="1012"/>
      <c r="Y843" s="1010"/>
      <c r="Z843" s="262"/>
      <c r="AA843" s="110"/>
      <c r="AB843" s="110"/>
      <c r="AC843" s="110"/>
      <c r="AD843" s="110"/>
      <c r="AE843" s="110"/>
      <c r="AF843" s="110"/>
      <c r="AG843" s="110"/>
      <c r="AH843" s="110"/>
      <c r="AI843" s="110"/>
      <c r="AJ843" s="110"/>
      <c r="AK843" s="110"/>
      <c r="AL843" s="110"/>
      <c r="AM843" s="110"/>
      <c r="AN843" s="110"/>
      <c r="AO843" s="110"/>
      <c r="AP843" s="110"/>
      <c r="AQ843" s="110"/>
      <c r="AR843" s="110"/>
      <c r="AS843" s="110"/>
      <c r="AT843" s="110"/>
      <c r="AU843" s="110"/>
    </row>
    <row r="844" spans="1:47" ht="12.75" hidden="1">
      <c r="A844" s="110"/>
      <c r="B844" s="1009"/>
      <c r="C844" s="1010"/>
      <c r="D844" s="253"/>
      <c r="E844" s="1011"/>
      <c r="F844" s="262"/>
      <c r="G844" s="1011"/>
      <c r="H844" s="262"/>
      <c r="I844" s="1011"/>
      <c r="J844" s="262"/>
      <c r="K844" s="1011"/>
      <c r="L844" s="262"/>
      <c r="M844" s="1011"/>
      <c r="N844" s="262"/>
      <c r="O844" s="1011"/>
      <c r="P844" s="262"/>
      <c r="Q844" s="1011"/>
      <c r="R844" s="1012"/>
      <c r="S844" s="1011"/>
      <c r="T844" s="1012"/>
      <c r="U844" s="1010"/>
      <c r="V844" s="1012"/>
      <c r="W844" s="1010"/>
      <c r="X844" s="1012"/>
      <c r="Y844" s="1010"/>
      <c r="Z844" s="262"/>
      <c r="AA844" s="110"/>
      <c r="AB844" s="110"/>
      <c r="AC844" s="110"/>
      <c r="AD844" s="110"/>
      <c r="AE844" s="110"/>
      <c r="AF844" s="110"/>
      <c r="AG844" s="110"/>
      <c r="AH844" s="110"/>
      <c r="AI844" s="110"/>
      <c r="AJ844" s="110"/>
      <c r="AK844" s="110"/>
      <c r="AL844" s="110"/>
      <c r="AM844" s="110"/>
      <c r="AN844" s="110"/>
      <c r="AO844" s="110"/>
      <c r="AP844" s="110"/>
      <c r="AQ844" s="110"/>
      <c r="AR844" s="110"/>
      <c r="AS844" s="110"/>
      <c r="AT844" s="110"/>
      <c r="AU844" s="110"/>
    </row>
    <row r="845" spans="1:47" ht="12.75" hidden="1">
      <c r="A845" s="110"/>
      <c r="B845" s="1009"/>
      <c r="C845" s="1010"/>
      <c r="D845" s="253"/>
      <c r="E845" s="1011"/>
      <c r="F845" s="262"/>
      <c r="G845" s="1011"/>
      <c r="H845" s="262"/>
      <c r="I845" s="1011"/>
      <c r="J845" s="262"/>
      <c r="K845" s="1011"/>
      <c r="L845" s="262"/>
      <c r="M845" s="1011"/>
      <c r="N845" s="262"/>
      <c r="O845" s="1011"/>
      <c r="P845" s="262"/>
      <c r="Q845" s="1011"/>
      <c r="R845" s="1012"/>
      <c r="S845" s="1011"/>
      <c r="T845" s="1012"/>
      <c r="U845" s="1010"/>
      <c r="V845" s="1012"/>
      <c r="W845" s="1010"/>
      <c r="X845" s="1012"/>
      <c r="Y845" s="1010"/>
      <c r="Z845" s="262"/>
      <c r="AA845" s="110"/>
      <c r="AB845" s="110"/>
      <c r="AC845" s="110"/>
      <c r="AD845" s="110"/>
      <c r="AE845" s="110"/>
      <c r="AF845" s="110"/>
      <c r="AG845" s="110"/>
      <c r="AH845" s="110"/>
      <c r="AI845" s="110"/>
      <c r="AJ845" s="110"/>
      <c r="AK845" s="110"/>
      <c r="AL845" s="110"/>
      <c r="AM845" s="110"/>
      <c r="AN845" s="110"/>
      <c r="AO845" s="110"/>
      <c r="AP845" s="110"/>
      <c r="AQ845" s="110"/>
      <c r="AR845" s="110"/>
      <c r="AS845" s="110"/>
      <c r="AT845" s="110"/>
      <c r="AU845" s="110"/>
    </row>
    <row r="846" spans="1:47" ht="12.75" hidden="1">
      <c r="A846" s="110"/>
      <c r="B846" s="1009"/>
      <c r="C846" s="1010"/>
      <c r="D846" s="253"/>
      <c r="E846" s="1011"/>
      <c r="F846" s="262"/>
      <c r="G846" s="1011"/>
      <c r="H846" s="262"/>
      <c r="I846" s="1011"/>
      <c r="J846" s="262"/>
      <c r="K846" s="1011"/>
      <c r="L846" s="262"/>
      <c r="M846" s="1011"/>
      <c r="N846" s="262"/>
      <c r="O846" s="1011"/>
      <c r="P846" s="262"/>
      <c r="Q846" s="1011"/>
      <c r="R846" s="1012"/>
      <c r="S846" s="1011"/>
      <c r="T846" s="1012"/>
      <c r="U846" s="1010"/>
      <c r="V846" s="1012"/>
      <c r="W846" s="1010"/>
      <c r="X846" s="1012"/>
      <c r="Y846" s="1010"/>
      <c r="Z846" s="262"/>
      <c r="AA846" s="110"/>
      <c r="AB846" s="110"/>
      <c r="AC846" s="110"/>
      <c r="AD846" s="110"/>
      <c r="AE846" s="110"/>
      <c r="AF846" s="110"/>
      <c r="AG846" s="110"/>
      <c r="AH846" s="110"/>
      <c r="AI846" s="110"/>
      <c r="AJ846" s="110"/>
      <c r="AK846" s="110"/>
      <c r="AL846" s="110"/>
      <c r="AM846" s="110"/>
      <c r="AN846" s="110"/>
      <c r="AO846" s="110"/>
      <c r="AP846" s="110"/>
      <c r="AQ846" s="110"/>
      <c r="AR846" s="110"/>
      <c r="AS846" s="110"/>
      <c r="AT846" s="110"/>
      <c r="AU846" s="110"/>
    </row>
    <row r="847" spans="1:47" ht="12.75" hidden="1">
      <c r="A847" s="110"/>
      <c r="B847" s="1009"/>
      <c r="C847" s="1010"/>
      <c r="D847" s="253"/>
      <c r="E847" s="1011"/>
      <c r="F847" s="262"/>
      <c r="G847" s="1011"/>
      <c r="H847" s="262"/>
      <c r="I847" s="1011"/>
      <c r="J847" s="262"/>
      <c r="K847" s="1011"/>
      <c r="L847" s="262"/>
      <c r="M847" s="1011"/>
      <c r="N847" s="262"/>
      <c r="O847" s="1011"/>
      <c r="P847" s="262"/>
      <c r="Q847" s="1011"/>
      <c r="R847" s="1012"/>
      <c r="S847" s="1011"/>
      <c r="T847" s="1012"/>
      <c r="U847" s="1010"/>
      <c r="V847" s="1012"/>
      <c r="W847" s="1010"/>
      <c r="X847" s="1012"/>
      <c r="Y847" s="1010"/>
      <c r="Z847" s="262"/>
      <c r="AA847" s="110"/>
      <c r="AB847" s="110"/>
      <c r="AC847" s="110"/>
      <c r="AD847" s="110"/>
      <c r="AE847" s="110"/>
      <c r="AF847" s="110"/>
      <c r="AG847" s="110"/>
      <c r="AH847" s="110"/>
      <c r="AI847" s="110"/>
      <c r="AJ847" s="110"/>
      <c r="AK847" s="110"/>
      <c r="AL847" s="110"/>
      <c r="AM847" s="110"/>
      <c r="AN847" s="110"/>
      <c r="AO847" s="110"/>
      <c r="AP847" s="110"/>
      <c r="AQ847" s="110"/>
      <c r="AR847" s="110"/>
      <c r="AS847" s="110"/>
      <c r="AT847" s="110"/>
      <c r="AU847" s="110"/>
    </row>
    <row r="848" spans="1:47" ht="12.75" hidden="1">
      <c r="A848" s="110"/>
      <c r="B848" s="1009"/>
      <c r="C848" s="1010"/>
      <c r="D848" s="253"/>
      <c r="E848" s="1011"/>
      <c r="F848" s="262"/>
      <c r="G848" s="1011"/>
      <c r="H848" s="262"/>
      <c r="I848" s="1011"/>
      <c r="J848" s="262"/>
      <c r="K848" s="1011"/>
      <c r="L848" s="262"/>
      <c r="M848" s="1011"/>
      <c r="N848" s="262"/>
      <c r="O848" s="1011"/>
      <c r="P848" s="262"/>
      <c r="Q848" s="1011"/>
      <c r="R848" s="1012"/>
      <c r="S848" s="1011"/>
      <c r="T848" s="1012"/>
      <c r="U848" s="1010"/>
      <c r="V848" s="1012"/>
      <c r="W848" s="1010"/>
      <c r="X848" s="1012"/>
      <c r="Y848" s="1010"/>
      <c r="Z848" s="262"/>
      <c r="AA848" s="110"/>
      <c r="AB848" s="110"/>
      <c r="AC848" s="110"/>
      <c r="AD848" s="110"/>
      <c r="AE848" s="110"/>
      <c r="AF848" s="110"/>
      <c r="AG848" s="110"/>
      <c r="AH848" s="110"/>
      <c r="AI848" s="110"/>
      <c r="AJ848" s="110"/>
      <c r="AK848" s="110"/>
      <c r="AL848" s="110"/>
      <c r="AM848" s="110"/>
      <c r="AN848" s="110"/>
      <c r="AO848" s="110"/>
      <c r="AP848" s="110"/>
      <c r="AQ848" s="110"/>
      <c r="AR848" s="110"/>
      <c r="AS848" s="110"/>
      <c r="AT848" s="110"/>
      <c r="AU848" s="110"/>
    </row>
    <row r="849" spans="1:47" ht="12.75" hidden="1">
      <c r="A849" s="110"/>
      <c r="B849" s="1009"/>
      <c r="C849" s="1010"/>
      <c r="D849" s="253"/>
      <c r="E849" s="1011"/>
      <c r="F849" s="262"/>
      <c r="G849" s="1011"/>
      <c r="H849" s="262"/>
      <c r="I849" s="1011"/>
      <c r="J849" s="262"/>
      <c r="K849" s="1011"/>
      <c r="L849" s="262"/>
      <c r="M849" s="1011"/>
      <c r="N849" s="262"/>
      <c r="O849" s="1011"/>
      <c r="P849" s="262"/>
      <c r="Q849" s="1011"/>
      <c r="R849" s="1012"/>
      <c r="S849" s="1011"/>
      <c r="T849" s="1012"/>
      <c r="U849" s="1010"/>
      <c r="V849" s="1012"/>
      <c r="W849" s="1010"/>
      <c r="X849" s="1012"/>
      <c r="Y849" s="1010"/>
      <c r="Z849" s="262"/>
      <c r="AA849" s="110"/>
      <c r="AB849" s="110"/>
      <c r="AC849" s="110"/>
      <c r="AD849" s="110"/>
      <c r="AE849" s="110"/>
      <c r="AF849" s="110"/>
      <c r="AG849" s="110"/>
      <c r="AH849" s="110"/>
      <c r="AI849" s="110"/>
      <c r="AJ849" s="110"/>
      <c r="AK849" s="110"/>
      <c r="AL849" s="110"/>
      <c r="AM849" s="110"/>
      <c r="AN849" s="110"/>
      <c r="AO849" s="110"/>
      <c r="AP849" s="110"/>
      <c r="AQ849" s="110"/>
      <c r="AR849" s="110"/>
      <c r="AS849" s="110"/>
      <c r="AT849" s="110"/>
      <c r="AU849" s="110"/>
    </row>
    <row r="850" spans="1:47" ht="12.75" hidden="1">
      <c r="A850" s="110"/>
      <c r="B850" s="1009"/>
      <c r="C850" s="1010"/>
      <c r="D850" s="253"/>
      <c r="E850" s="1011"/>
      <c r="F850" s="262"/>
      <c r="G850" s="1011"/>
      <c r="H850" s="262"/>
      <c r="I850" s="1011"/>
      <c r="J850" s="262"/>
      <c r="K850" s="1011"/>
      <c r="L850" s="262"/>
      <c r="M850" s="1011"/>
      <c r="N850" s="262"/>
      <c r="O850" s="1011"/>
      <c r="P850" s="262"/>
      <c r="Q850" s="1011"/>
      <c r="R850" s="1012"/>
      <c r="S850" s="1011"/>
      <c r="T850" s="1012"/>
      <c r="U850" s="1010"/>
      <c r="V850" s="1012"/>
      <c r="W850" s="1010"/>
      <c r="X850" s="1012"/>
      <c r="Y850" s="1010"/>
      <c r="Z850" s="262"/>
      <c r="AA850" s="110"/>
      <c r="AB850" s="110"/>
      <c r="AC850" s="110"/>
      <c r="AD850" s="110"/>
      <c r="AE850" s="110"/>
      <c r="AF850" s="110"/>
      <c r="AG850" s="110"/>
      <c r="AH850" s="110"/>
      <c r="AI850" s="110"/>
      <c r="AJ850" s="110"/>
      <c r="AK850" s="110"/>
      <c r="AL850" s="110"/>
      <c r="AM850" s="110"/>
      <c r="AN850" s="110"/>
      <c r="AO850" s="110"/>
      <c r="AP850" s="110"/>
      <c r="AQ850" s="110"/>
      <c r="AR850" s="110"/>
      <c r="AS850" s="110"/>
      <c r="AT850" s="110"/>
      <c r="AU850" s="110"/>
    </row>
    <row r="851" spans="1:47" ht="12.75" hidden="1">
      <c r="A851" s="110"/>
      <c r="B851" s="1009"/>
      <c r="C851" s="1010"/>
      <c r="D851" s="253"/>
      <c r="E851" s="1011"/>
      <c r="F851" s="262"/>
      <c r="G851" s="1011"/>
      <c r="H851" s="262"/>
      <c r="I851" s="1011"/>
      <c r="J851" s="262"/>
      <c r="K851" s="1011"/>
      <c r="L851" s="262"/>
      <c r="M851" s="1011"/>
      <c r="N851" s="262"/>
      <c r="O851" s="1011"/>
      <c r="P851" s="262"/>
      <c r="Q851" s="1011"/>
      <c r="R851" s="1012"/>
      <c r="S851" s="1011"/>
      <c r="T851" s="1012"/>
      <c r="U851" s="1010"/>
      <c r="V851" s="1012"/>
      <c r="W851" s="1010"/>
      <c r="X851" s="1012"/>
      <c r="Y851" s="1010"/>
      <c r="Z851" s="262"/>
      <c r="AA851" s="110"/>
      <c r="AB851" s="110"/>
      <c r="AC851" s="110"/>
      <c r="AD851" s="110"/>
      <c r="AE851" s="110"/>
      <c r="AF851" s="110"/>
      <c r="AG851" s="110"/>
      <c r="AH851" s="110"/>
      <c r="AI851" s="110"/>
      <c r="AJ851" s="110"/>
      <c r="AK851" s="110"/>
      <c r="AL851" s="110"/>
      <c r="AM851" s="110"/>
      <c r="AN851" s="110"/>
      <c r="AO851" s="110"/>
      <c r="AP851" s="110"/>
      <c r="AQ851" s="110"/>
      <c r="AR851" s="110"/>
      <c r="AS851" s="110"/>
      <c r="AT851" s="110"/>
      <c r="AU851" s="110"/>
    </row>
    <row r="852" spans="1:47" ht="12.75" hidden="1">
      <c r="A852" s="110"/>
      <c r="B852" s="1009"/>
      <c r="C852" s="1010"/>
      <c r="D852" s="253"/>
      <c r="E852" s="1011"/>
      <c r="F852" s="262"/>
      <c r="G852" s="1011"/>
      <c r="H852" s="262"/>
      <c r="I852" s="1011"/>
      <c r="J852" s="262"/>
      <c r="K852" s="1011"/>
      <c r="L852" s="262"/>
      <c r="M852" s="1011"/>
      <c r="N852" s="262"/>
      <c r="O852" s="1011"/>
      <c r="P852" s="262"/>
      <c r="Q852" s="1011"/>
      <c r="R852" s="1012"/>
      <c r="S852" s="1011"/>
      <c r="T852" s="1012"/>
      <c r="U852" s="1010"/>
      <c r="V852" s="1012"/>
      <c r="W852" s="1010"/>
      <c r="X852" s="1012"/>
      <c r="Y852" s="1010"/>
      <c r="Z852" s="262"/>
      <c r="AA852" s="110"/>
      <c r="AB852" s="110"/>
      <c r="AC852" s="110"/>
      <c r="AD852" s="110"/>
      <c r="AE852" s="110"/>
      <c r="AF852" s="110"/>
      <c r="AG852" s="110"/>
      <c r="AH852" s="110"/>
      <c r="AI852" s="110"/>
      <c r="AJ852" s="110"/>
      <c r="AK852" s="110"/>
      <c r="AL852" s="110"/>
      <c r="AM852" s="110"/>
      <c r="AN852" s="110"/>
      <c r="AO852" s="110"/>
      <c r="AP852" s="110"/>
      <c r="AQ852" s="110"/>
      <c r="AR852" s="110"/>
      <c r="AS852" s="110"/>
      <c r="AT852" s="110"/>
      <c r="AU852" s="110"/>
    </row>
    <row r="853" spans="1:47" ht="12.75" hidden="1">
      <c r="A853" s="110"/>
      <c r="B853" s="1009"/>
      <c r="C853" s="1010"/>
      <c r="D853" s="253"/>
      <c r="E853" s="1011"/>
      <c r="F853" s="262"/>
      <c r="G853" s="1011"/>
      <c r="H853" s="262"/>
      <c r="I853" s="1011"/>
      <c r="J853" s="262"/>
      <c r="K853" s="1011"/>
      <c r="L853" s="262"/>
      <c r="M853" s="1011"/>
      <c r="N853" s="262"/>
      <c r="O853" s="1011"/>
      <c r="P853" s="262"/>
      <c r="Q853" s="1011"/>
      <c r="R853" s="1012"/>
      <c r="S853" s="1011"/>
      <c r="T853" s="1012"/>
      <c r="U853" s="1010"/>
      <c r="V853" s="1012"/>
      <c r="W853" s="1010"/>
      <c r="X853" s="1012"/>
      <c r="Y853" s="1010"/>
      <c r="Z853" s="262"/>
      <c r="AA853" s="110"/>
      <c r="AB853" s="110"/>
      <c r="AC853" s="110"/>
      <c r="AD853" s="110"/>
      <c r="AE853" s="110"/>
      <c r="AF853" s="110"/>
      <c r="AG853" s="110"/>
      <c r="AH853" s="110"/>
      <c r="AI853" s="110"/>
      <c r="AJ853" s="110"/>
      <c r="AK853" s="110"/>
      <c r="AL853" s="110"/>
      <c r="AM853" s="110"/>
      <c r="AN853" s="110"/>
      <c r="AO853" s="110"/>
      <c r="AP853" s="110"/>
      <c r="AQ853" s="110"/>
      <c r="AR853" s="110"/>
      <c r="AS853" s="110"/>
      <c r="AT853" s="110"/>
      <c r="AU853" s="110"/>
    </row>
    <row r="854" spans="1:47" ht="12.75" hidden="1">
      <c r="A854" s="110"/>
      <c r="B854" s="1009"/>
      <c r="C854" s="1010"/>
      <c r="D854" s="253"/>
      <c r="E854" s="1011"/>
      <c r="F854" s="262"/>
      <c r="G854" s="1011"/>
      <c r="H854" s="262"/>
      <c r="I854" s="1011"/>
      <c r="J854" s="262"/>
      <c r="K854" s="1011"/>
      <c r="L854" s="262"/>
      <c r="M854" s="1011"/>
      <c r="N854" s="262"/>
      <c r="O854" s="1011"/>
      <c r="P854" s="262"/>
      <c r="Q854" s="1011"/>
      <c r="R854" s="1012"/>
      <c r="S854" s="1011"/>
      <c r="T854" s="1012"/>
      <c r="U854" s="1010"/>
      <c r="V854" s="1012"/>
      <c r="W854" s="1010"/>
      <c r="X854" s="1012"/>
      <c r="Y854" s="1010"/>
      <c r="Z854" s="262"/>
      <c r="AA854" s="110"/>
      <c r="AB854" s="110"/>
      <c r="AC854" s="110"/>
      <c r="AD854" s="110"/>
      <c r="AE854" s="110"/>
      <c r="AF854" s="110"/>
      <c r="AG854" s="110"/>
      <c r="AH854" s="110"/>
      <c r="AI854" s="110"/>
      <c r="AJ854" s="110"/>
      <c r="AK854" s="110"/>
      <c r="AL854" s="110"/>
      <c r="AM854" s="110"/>
      <c r="AN854" s="110"/>
      <c r="AO854" s="110"/>
      <c r="AP854" s="110"/>
      <c r="AQ854" s="110"/>
      <c r="AR854" s="110"/>
      <c r="AS854" s="110"/>
      <c r="AT854" s="110"/>
      <c r="AU854" s="110"/>
    </row>
    <row r="855" spans="1:47" ht="12.75" hidden="1">
      <c r="A855" s="110"/>
      <c r="B855" s="1009"/>
      <c r="C855" s="1010"/>
      <c r="D855" s="253"/>
      <c r="E855" s="1011"/>
      <c r="F855" s="262"/>
      <c r="G855" s="1011"/>
      <c r="H855" s="262"/>
      <c r="I855" s="1011"/>
      <c r="J855" s="262"/>
      <c r="K855" s="1011"/>
      <c r="L855" s="262"/>
      <c r="M855" s="1011"/>
      <c r="N855" s="262"/>
      <c r="O855" s="1011"/>
      <c r="P855" s="262"/>
      <c r="Q855" s="1011"/>
      <c r="R855" s="1012"/>
      <c r="S855" s="1011"/>
      <c r="T855" s="1012"/>
      <c r="U855" s="1010"/>
      <c r="V855" s="1012"/>
      <c r="W855" s="1010"/>
      <c r="X855" s="1012"/>
      <c r="Y855" s="1010"/>
      <c r="Z855" s="262"/>
      <c r="AA855" s="110"/>
      <c r="AB855" s="110"/>
      <c r="AC855" s="110"/>
      <c r="AD855" s="110"/>
      <c r="AE855" s="110"/>
      <c r="AF855" s="110"/>
      <c r="AG855" s="110"/>
      <c r="AH855" s="110"/>
      <c r="AI855" s="110"/>
      <c r="AJ855" s="110"/>
      <c r="AK855" s="110"/>
      <c r="AL855" s="110"/>
      <c r="AM855" s="110"/>
      <c r="AN855" s="110"/>
      <c r="AO855" s="110"/>
      <c r="AP855" s="110"/>
      <c r="AQ855" s="110"/>
      <c r="AR855" s="110"/>
      <c r="AS855" s="110"/>
      <c r="AT855" s="110"/>
      <c r="AU855" s="110"/>
    </row>
    <row r="856" spans="1:47" ht="12.75" hidden="1">
      <c r="A856" s="110"/>
      <c r="B856" s="1009"/>
      <c r="C856" s="1010"/>
      <c r="D856" s="253"/>
      <c r="E856" s="1011"/>
      <c r="F856" s="262"/>
      <c r="G856" s="1011"/>
      <c r="H856" s="262"/>
      <c r="I856" s="1011"/>
      <c r="J856" s="262"/>
      <c r="K856" s="1011"/>
      <c r="L856" s="262"/>
      <c r="M856" s="1011"/>
      <c r="N856" s="262"/>
      <c r="O856" s="1011"/>
      <c r="P856" s="262"/>
      <c r="Q856" s="1011"/>
      <c r="R856" s="1012"/>
      <c r="S856" s="1011"/>
      <c r="T856" s="1012"/>
      <c r="U856" s="1010"/>
      <c r="V856" s="1012"/>
      <c r="W856" s="1010"/>
      <c r="X856" s="1012"/>
      <c r="Y856" s="1010"/>
      <c r="Z856" s="262"/>
      <c r="AA856" s="110"/>
      <c r="AB856" s="110"/>
      <c r="AC856" s="110"/>
      <c r="AD856" s="110"/>
      <c r="AE856" s="110"/>
      <c r="AF856" s="110"/>
      <c r="AG856" s="110"/>
      <c r="AH856" s="110"/>
      <c r="AI856" s="110"/>
      <c r="AJ856" s="110"/>
      <c r="AK856" s="110"/>
      <c r="AL856" s="110"/>
      <c r="AM856" s="110"/>
      <c r="AN856" s="110"/>
      <c r="AO856" s="110"/>
      <c r="AP856" s="110"/>
      <c r="AQ856" s="110"/>
      <c r="AR856" s="110"/>
      <c r="AS856" s="110"/>
      <c r="AT856" s="110"/>
      <c r="AU856" s="110"/>
    </row>
    <row r="857" spans="1:47" ht="12.75" hidden="1">
      <c r="A857" s="110"/>
      <c r="B857" s="1009"/>
      <c r="C857" s="1010"/>
      <c r="D857" s="253"/>
      <c r="E857" s="1011"/>
      <c r="F857" s="262"/>
      <c r="G857" s="1011"/>
      <c r="H857" s="262"/>
      <c r="I857" s="1011"/>
      <c r="J857" s="262"/>
      <c r="K857" s="1011"/>
      <c r="L857" s="262"/>
      <c r="M857" s="1011"/>
      <c r="N857" s="262"/>
      <c r="O857" s="1011"/>
      <c r="P857" s="262"/>
      <c r="Q857" s="1011"/>
      <c r="R857" s="1012"/>
      <c r="S857" s="1011"/>
      <c r="T857" s="1012"/>
      <c r="U857" s="1010"/>
      <c r="V857" s="1012"/>
      <c r="W857" s="1010"/>
      <c r="X857" s="1012"/>
      <c r="Y857" s="1010"/>
      <c r="Z857" s="262"/>
      <c r="AA857" s="110"/>
      <c r="AB857" s="110"/>
      <c r="AC857" s="110"/>
      <c r="AD857" s="110"/>
      <c r="AE857" s="110"/>
      <c r="AF857" s="110"/>
      <c r="AG857" s="110"/>
      <c r="AH857" s="110"/>
      <c r="AI857" s="110"/>
      <c r="AJ857" s="110"/>
      <c r="AK857" s="110"/>
      <c r="AL857" s="110"/>
      <c r="AM857" s="110"/>
      <c r="AN857" s="110"/>
      <c r="AO857" s="110"/>
      <c r="AP857" s="110"/>
      <c r="AQ857" s="110"/>
      <c r="AR857" s="110"/>
      <c r="AS857" s="110"/>
      <c r="AT857" s="110"/>
      <c r="AU857" s="110"/>
    </row>
    <row r="858" spans="1:47" ht="12.75" hidden="1">
      <c r="A858" s="110"/>
      <c r="B858" s="1009"/>
      <c r="C858" s="1010"/>
      <c r="D858" s="253"/>
      <c r="E858" s="1011"/>
      <c r="F858" s="262"/>
      <c r="G858" s="1011"/>
      <c r="H858" s="262"/>
      <c r="I858" s="1011"/>
      <c r="J858" s="262"/>
      <c r="K858" s="1011"/>
      <c r="L858" s="262"/>
      <c r="M858" s="1011"/>
      <c r="N858" s="262"/>
      <c r="O858" s="1011"/>
      <c r="P858" s="262"/>
      <c r="Q858" s="1011"/>
      <c r="R858" s="1012"/>
      <c r="S858" s="1011"/>
      <c r="T858" s="1012"/>
      <c r="U858" s="1010"/>
      <c r="V858" s="1012"/>
      <c r="W858" s="1010"/>
      <c r="X858" s="1012"/>
      <c r="Y858" s="1010"/>
      <c r="Z858" s="262"/>
      <c r="AA858" s="110"/>
      <c r="AB858" s="110"/>
      <c r="AC858" s="110"/>
      <c r="AD858" s="110"/>
      <c r="AE858" s="110"/>
      <c r="AF858" s="110"/>
      <c r="AG858" s="110"/>
      <c r="AH858" s="110"/>
      <c r="AI858" s="110"/>
      <c r="AJ858" s="110"/>
      <c r="AK858" s="110"/>
      <c r="AL858" s="110"/>
      <c r="AM858" s="110"/>
      <c r="AN858" s="110"/>
      <c r="AO858" s="110"/>
      <c r="AP858" s="110"/>
      <c r="AQ858" s="110"/>
      <c r="AR858" s="110"/>
      <c r="AS858" s="110"/>
      <c r="AT858" s="110"/>
      <c r="AU858" s="110"/>
    </row>
    <row r="859" spans="1:47" ht="12.75" hidden="1">
      <c r="A859" s="110"/>
      <c r="B859" s="1009"/>
      <c r="C859" s="1010"/>
      <c r="D859" s="253"/>
      <c r="E859" s="1011"/>
      <c r="F859" s="262"/>
      <c r="G859" s="1011"/>
      <c r="H859" s="262"/>
      <c r="I859" s="1011"/>
      <c r="J859" s="262"/>
      <c r="K859" s="1011"/>
      <c r="L859" s="262"/>
      <c r="M859" s="1011"/>
      <c r="N859" s="262"/>
      <c r="O859" s="1011"/>
      <c r="P859" s="262"/>
      <c r="Q859" s="1011"/>
      <c r="R859" s="1012"/>
      <c r="S859" s="1011"/>
      <c r="T859" s="1012"/>
      <c r="U859" s="1010"/>
      <c r="V859" s="1012"/>
      <c r="W859" s="1010"/>
      <c r="X859" s="1012"/>
      <c r="Y859" s="1010"/>
      <c r="Z859" s="262"/>
      <c r="AA859" s="110"/>
      <c r="AB859" s="110"/>
      <c r="AC859" s="110"/>
      <c r="AD859" s="110"/>
      <c r="AE859" s="110"/>
      <c r="AF859" s="110"/>
      <c r="AG859" s="110"/>
      <c r="AH859" s="110"/>
      <c r="AI859" s="110"/>
      <c r="AJ859" s="110"/>
      <c r="AK859" s="110"/>
      <c r="AL859" s="110"/>
      <c r="AM859" s="110"/>
      <c r="AN859" s="110"/>
      <c r="AO859" s="110"/>
      <c r="AP859" s="110"/>
      <c r="AQ859" s="110"/>
      <c r="AR859" s="110"/>
      <c r="AS859" s="110"/>
      <c r="AT859" s="110"/>
      <c r="AU859" s="110"/>
    </row>
    <row r="860" spans="1:47" ht="12.75" hidden="1">
      <c r="A860" s="110"/>
      <c r="B860" s="1009"/>
      <c r="C860" s="1010"/>
      <c r="D860" s="253"/>
      <c r="E860" s="1011"/>
      <c r="F860" s="262"/>
      <c r="G860" s="1011"/>
      <c r="H860" s="262"/>
      <c r="I860" s="1011"/>
      <c r="J860" s="262"/>
      <c r="K860" s="1011"/>
      <c r="L860" s="262"/>
      <c r="M860" s="1011"/>
      <c r="N860" s="262"/>
      <c r="O860" s="1011"/>
      <c r="P860" s="262"/>
      <c r="Q860" s="1011"/>
      <c r="R860" s="1012"/>
      <c r="S860" s="1011"/>
      <c r="T860" s="1012"/>
      <c r="U860" s="1010"/>
      <c r="V860" s="1012"/>
      <c r="W860" s="1010"/>
      <c r="X860" s="1012"/>
      <c r="Y860" s="1010"/>
      <c r="Z860" s="262"/>
      <c r="AA860" s="110"/>
      <c r="AB860" s="110"/>
      <c r="AC860" s="110"/>
      <c r="AD860" s="110"/>
      <c r="AE860" s="110"/>
      <c r="AF860" s="110"/>
      <c r="AG860" s="110"/>
      <c r="AH860" s="110"/>
      <c r="AI860" s="110"/>
      <c r="AJ860" s="110"/>
      <c r="AK860" s="110"/>
      <c r="AL860" s="110"/>
      <c r="AM860" s="110"/>
      <c r="AN860" s="110"/>
      <c r="AO860" s="110"/>
      <c r="AP860" s="110"/>
      <c r="AQ860" s="110"/>
      <c r="AR860" s="110"/>
      <c r="AS860" s="110"/>
      <c r="AT860" s="110"/>
      <c r="AU860" s="110"/>
    </row>
    <row r="861" spans="1:47" ht="12.75" hidden="1">
      <c r="A861" s="110"/>
      <c r="B861" s="1009"/>
      <c r="C861" s="1010"/>
      <c r="D861" s="253"/>
      <c r="E861" s="1011"/>
      <c r="F861" s="262"/>
      <c r="G861" s="1011"/>
      <c r="H861" s="262"/>
      <c r="I861" s="1011"/>
      <c r="J861" s="262"/>
      <c r="K861" s="1011"/>
      <c r="L861" s="262"/>
      <c r="M861" s="1011"/>
      <c r="N861" s="262"/>
      <c r="O861" s="1011"/>
      <c r="P861" s="262"/>
      <c r="Q861" s="1011"/>
      <c r="R861" s="1012"/>
      <c r="S861" s="1011"/>
      <c r="T861" s="1012"/>
      <c r="U861" s="1010"/>
      <c r="V861" s="1012"/>
      <c r="W861" s="1010"/>
      <c r="X861" s="1012"/>
      <c r="Y861" s="1010"/>
      <c r="Z861" s="262"/>
      <c r="AA861" s="110"/>
      <c r="AB861" s="110"/>
      <c r="AC861" s="110"/>
      <c r="AD861" s="110"/>
      <c r="AE861" s="110"/>
      <c r="AF861" s="110"/>
      <c r="AG861" s="110"/>
      <c r="AH861" s="110"/>
      <c r="AI861" s="110"/>
      <c r="AJ861" s="110"/>
      <c r="AK861" s="110"/>
      <c r="AL861" s="110"/>
      <c r="AM861" s="110"/>
      <c r="AN861" s="110"/>
      <c r="AO861" s="110"/>
      <c r="AP861" s="110"/>
      <c r="AQ861" s="110"/>
      <c r="AR861" s="110"/>
      <c r="AS861" s="110"/>
      <c r="AT861" s="110"/>
      <c r="AU861" s="110"/>
    </row>
    <row r="862" spans="1:47" ht="12.75" hidden="1">
      <c r="A862" s="110"/>
      <c r="B862" s="1009"/>
      <c r="C862" s="1010"/>
      <c r="D862" s="253"/>
      <c r="E862" s="1011"/>
      <c r="F862" s="262"/>
      <c r="G862" s="1011"/>
      <c r="H862" s="262"/>
      <c r="I862" s="1011"/>
      <c r="J862" s="262"/>
      <c r="K862" s="1011"/>
      <c r="L862" s="262"/>
      <c r="M862" s="1011"/>
      <c r="N862" s="262"/>
      <c r="O862" s="1011"/>
      <c r="P862" s="262"/>
      <c r="Q862" s="1011"/>
      <c r="R862" s="1012"/>
      <c r="S862" s="1011"/>
      <c r="T862" s="1012"/>
      <c r="U862" s="1010"/>
      <c r="V862" s="1012"/>
      <c r="W862" s="1010"/>
      <c r="X862" s="1012"/>
      <c r="Y862" s="1010"/>
      <c r="Z862" s="262"/>
      <c r="AA862" s="110"/>
      <c r="AB862" s="110"/>
      <c r="AC862" s="110"/>
      <c r="AD862" s="110"/>
      <c r="AE862" s="110"/>
      <c r="AF862" s="110"/>
      <c r="AG862" s="110"/>
      <c r="AH862" s="110"/>
      <c r="AI862" s="110"/>
      <c r="AJ862" s="110"/>
      <c r="AK862" s="110"/>
      <c r="AL862" s="110"/>
      <c r="AM862" s="110"/>
      <c r="AN862" s="110"/>
      <c r="AO862" s="110"/>
      <c r="AP862" s="110"/>
      <c r="AQ862" s="110"/>
      <c r="AR862" s="110"/>
      <c r="AS862" s="110"/>
      <c r="AT862" s="110"/>
      <c r="AU862" s="110"/>
    </row>
    <row r="863" spans="1:47" ht="12.75" hidden="1">
      <c r="A863" s="110"/>
      <c r="B863" s="1009"/>
      <c r="C863" s="1010"/>
      <c r="D863" s="253"/>
      <c r="E863" s="1011"/>
      <c r="F863" s="262"/>
      <c r="G863" s="1011"/>
      <c r="H863" s="262"/>
      <c r="I863" s="1011"/>
      <c r="J863" s="262"/>
      <c r="K863" s="1011"/>
      <c r="L863" s="262"/>
      <c r="M863" s="1011"/>
      <c r="N863" s="262"/>
      <c r="O863" s="1011"/>
      <c r="P863" s="262"/>
      <c r="Q863" s="1011"/>
      <c r="R863" s="1012"/>
      <c r="S863" s="1011"/>
      <c r="T863" s="1012"/>
      <c r="U863" s="1010"/>
      <c r="V863" s="1012"/>
      <c r="W863" s="1010"/>
      <c r="X863" s="1012"/>
      <c r="Y863" s="1010"/>
      <c r="Z863" s="262"/>
      <c r="AA863" s="110"/>
      <c r="AB863" s="110"/>
      <c r="AC863" s="110"/>
      <c r="AD863" s="110"/>
      <c r="AE863" s="110"/>
      <c r="AF863" s="110"/>
      <c r="AG863" s="110"/>
      <c r="AH863" s="110"/>
      <c r="AI863" s="110"/>
      <c r="AJ863" s="110"/>
      <c r="AK863" s="110"/>
      <c r="AL863" s="110"/>
      <c r="AM863" s="110"/>
      <c r="AN863" s="110"/>
      <c r="AO863" s="110"/>
      <c r="AP863" s="110"/>
      <c r="AQ863" s="110"/>
      <c r="AR863" s="110"/>
      <c r="AS863" s="110"/>
      <c r="AT863" s="110"/>
      <c r="AU863" s="110"/>
    </row>
    <row r="864" spans="1:47" ht="12.75" hidden="1">
      <c r="A864" s="110"/>
      <c r="B864" s="1009"/>
      <c r="C864" s="1010"/>
      <c r="D864" s="253"/>
      <c r="E864" s="1011"/>
      <c r="F864" s="262"/>
      <c r="G864" s="1011"/>
      <c r="H864" s="262"/>
      <c r="I864" s="1011"/>
      <c r="J864" s="262"/>
      <c r="K864" s="1011"/>
      <c r="L864" s="262"/>
      <c r="M864" s="1011"/>
      <c r="N864" s="262"/>
      <c r="O864" s="1011"/>
      <c r="P864" s="262"/>
      <c r="Q864" s="1011"/>
      <c r="R864" s="1012"/>
      <c r="S864" s="1011"/>
      <c r="T864" s="1012"/>
      <c r="U864" s="1010"/>
      <c r="V864" s="1012"/>
      <c r="W864" s="1010"/>
      <c r="X864" s="1012"/>
      <c r="Y864" s="1010"/>
      <c r="Z864" s="262"/>
      <c r="AA864" s="110"/>
      <c r="AB864" s="110"/>
      <c r="AC864" s="110"/>
      <c r="AD864" s="110"/>
      <c r="AE864" s="110"/>
      <c r="AF864" s="110"/>
      <c r="AG864" s="110"/>
      <c r="AH864" s="110"/>
      <c r="AI864" s="110"/>
      <c r="AJ864" s="110"/>
      <c r="AK864" s="110"/>
      <c r="AL864" s="110"/>
      <c r="AM864" s="110"/>
      <c r="AN864" s="110"/>
      <c r="AO864" s="110"/>
      <c r="AP864" s="110"/>
      <c r="AQ864" s="110"/>
      <c r="AR864" s="110"/>
      <c r="AS864" s="110"/>
      <c r="AT864" s="110"/>
      <c r="AU864" s="110"/>
    </row>
    <row r="865" spans="1:47" ht="12.75" hidden="1">
      <c r="A865" s="110"/>
      <c r="B865" s="1009"/>
      <c r="C865" s="1010"/>
      <c r="D865" s="253"/>
      <c r="E865" s="1011"/>
      <c r="F865" s="262"/>
      <c r="G865" s="1011"/>
      <c r="H865" s="262"/>
      <c r="I865" s="1011"/>
      <c r="J865" s="262"/>
      <c r="K865" s="1011"/>
      <c r="L865" s="262"/>
      <c r="M865" s="1011"/>
      <c r="N865" s="262"/>
      <c r="O865" s="1011"/>
      <c r="P865" s="262"/>
      <c r="Q865" s="1011"/>
      <c r="R865" s="1012"/>
      <c r="S865" s="1011"/>
      <c r="T865" s="1012"/>
      <c r="U865" s="1010"/>
      <c r="V865" s="1012"/>
      <c r="W865" s="1010"/>
      <c r="X865" s="1012"/>
      <c r="Y865" s="1010"/>
      <c r="Z865" s="262"/>
      <c r="AA865" s="110"/>
      <c r="AB865" s="110"/>
      <c r="AC865" s="110"/>
      <c r="AD865" s="110"/>
      <c r="AE865" s="110"/>
      <c r="AF865" s="110"/>
      <c r="AG865" s="110"/>
      <c r="AH865" s="110"/>
      <c r="AI865" s="110"/>
      <c r="AJ865" s="110"/>
      <c r="AK865" s="110"/>
      <c r="AL865" s="110"/>
      <c r="AM865" s="110"/>
      <c r="AN865" s="110"/>
      <c r="AO865" s="110"/>
      <c r="AP865" s="110"/>
      <c r="AQ865" s="110"/>
      <c r="AR865" s="110"/>
      <c r="AS865" s="110"/>
      <c r="AT865" s="110"/>
      <c r="AU865" s="110"/>
    </row>
    <row r="866" spans="1:47" ht="12.75" hidden="1">
      <c r="A866" s="110"/>
      <c r="B866" s="1009"/>
      <c r="C866" s="1010"/>
      <c r="D866" s="253"/>
      <c r="E866" s="1011"/>
      <c r="F866" s="262"/>
      <c r="G866" s="1011"/>
      <c r="H866" s="262"/>
      <c r="I866" s="1011"/>
      <c r="J866" s="262"/>
      <c r="K866" s="1011"/>
      <c r="L866" s="262"/>
      <c r="M866" s="1011"/>
      <c r="N866" s="262"/>
      <c r="O866" s="1011"/>
      <c r="P866" s="262"/>
      <c r="Q866" s="1011"/>
      <c r="R866" s="1012"/>
      <c r="S866" s="1011"/>
      <c r="T866" s="1012"/>
      <c r="U866" s="1010"/>
      <c r="V866" s="1012"/>
      <c r="W866" s="1010"/>
      <c r="X866" s="1012"/>
      <c r="Y866" s="1010"/>
      <c r="Z866" s="262"/>
      <c r="AA866" s="110"/>
      <c r="AB866" s="110"/>
      <c r="AC866" s="110"/>
      <c r="AD866" s="110"/>
      <c r="AE866" s="110"/>
      <c r="AF866" s="110"/>
      <c r="AG866" s="110"/>
      <c r="AH866" s="110"/>
      <c r="AI866" s="110"/>
      <c r="AJ866" s="110"/>
      <c r="AK866" s="110"/>
      <c r="AL866" s="110"/>
      <c r="AM866" s="110"/>
      <c r="AN866" s="110"/>
      <c r="AO866" s="110"/>
      <c r="AP866" s="110"/>
      <c r="AQ866" s="110"/>
      <c r="AR866" s="110"/>
      <c r="AS866" s="110"/>
      <c r="AT866" s="110"/>
      <c r="AU866" s="110"/>
    </row>
    <row r="867" spans="1:47" ht="12.75" hidden="1">
      <c r="A867" s="110"/>
      <c r="B867" s="1009"/>
      <c r="C867" s="1010"/>
      <c r="D867" s="253"/>
      <c r="E867" s="1011"/>
      <c r="F867" s="262"/>
      <c r="G867" s="1011"/>
      <c r="H867" s="262"/>
      <c r="I867" s="1011"/>
      <c r="J867" s="262"/>
      <c r="K867" s="1011"/>
      <c r="L867" s="262"/>
      <c r="M867" s="1011"/>
      <c r="N867" s="262"/>
      <c r="O867" s="1011"/>
      <c r="P867" s="262"/>
      <c r="Q867" s="1011"/>
      <c r="R867" s="1012"/>
      <c r="S867" s="1011"/>
      <c r="T867" s="1012"/>
      <c r="U867" s="1010"/>
      <c r="V867" s="1012"/>
      <c r="W867" s="1010"/>
      <c r="X867" s="1012"/>
      <c r="Y867" s="1010"/>
      <c r="Z867" s="262"/>
      <c r="AA867" s="110"/>
      <c r="AB867" s="110"/>
      <c r="AC867" s="110"/>
      <c r="AD867" s="110"/>
      <c r="AE867" s="110"/>
      <c r="AF867" s="110"/>
      <c r="AG867" s="110"/>
      <c r="AH867" s="110"/>
      <c r="AI867" s="110"/>
      <c r="AJ867" s="110"/>
      <c r="AK867" s="110"/>
      <c r="AL867" s="110"/>
      <c r="AM867" s="110"/>
      <c r="AN867" s="110"/>
      <c r="AO867" s="110"/>
      <c r="AP867" s="110"/>
      <c r="AQ867" s="110"/>
      <c r="AR867" s="110"/>
      <c r="AS867" s="110"/>
      <c r="AT867" s="110"/>
      <c r="AU867" s="110"/>
    </row>
    <row r="868" spans="1:47" ht="12.75" hidden="1">
      <c r="A868" s="110"/>
      <c r="B868" s="1009"/>
      <c r="C868" s="1010"/>
      <c r="D868" s="253"/>
      <c r="E868" s="1011"/>
      <c r="F868" s="262"/>
      <c r="G868" s="1011"/>
      <c r="H868" s="262"/>
      <c r="I868" s="1011"/>
      <c r="J868" s="262"/>
      <c r="K868" s="1011"/>
      <c r="L868" s="262"/>
      <c r="M868" s="1011"/>
      <c r="N868" s="262"/>
      <c r="O868" s="1011"/>
      <c r="P868" s="262"/>
      <c r="Q868" s="1011"/>
      <c r="R868" s="1012"/>
      <c r="S868" s="1011"/>
      <c r="T868" s="1012"/>
      <c r="U868" s="1010"/>
      <c r="V868" s="1012"/>
      <c r="W868" s="1010"/>
      <c r="X868" s="1012"/>
      <c r="Y868" s="1010"/>
      <c r="Z868" s="262"/>
      <c r="AA868" s="110"/>
      <c r="AB868" s="110"/>
      <c r="AC868" s="110"/>
      <c r="AD868" s="110"/>
      <c r="AE868" s="110"/>
      <c r="AF868" s="110"/>
      <c r="AG868" s="110"/>
      <c r="AH868" s="110"/>
      <c r="AI868" s="110"/>
      <c r="AJ868" s="110"/>
      <c r="AK868" s="110"/>
      <c r="AL868" s="110"/>
      <c r="AM868" s="110"/>
      <c r="AN868" s="110"/>
      <c r="AO868" s="110"/>
      <c r="AP868" s="110"/>
      <c r="AQ868" s="110"/>
      <c r="AR868" s="110"/>
      <c r="AS868" s="110"/>
      <c r="AT868" s="110"/>
      <c r="AU868" s="110"/>
    </row>
    <row r="869" spans="1:47" ht="12.75" hidden="1">
      <c r="A869" s="110"/>
      <c r="B869" s="1009"/>
      <c r="C869" s="1010"/>
      <c r="D869" s="253"/>
      <c r="E869" s="1011"/>
      <c r="F869" s="262"/>
      <c r="G869" s="1011"/>
      <c r="H869" s="262"/>
      <c r="I869" s="1011"/>
      <c r="J869" s="262"/>
      <c r="K869" s="1011"/>
      <c r="L869" s="262"/>
      <c r="M869" s="1011"/>
      <c r="N869" s="262"/>
      <c r="O869" s="1011"/>
      <c r="P869" s="262"/>
      <c r="Q869" s="1011"/>
      <c r="R869" s="1012"/>
      <c r="S869" s="1011"/>
      <c r="T869" s="1012"/>
      <c r="U869" s="1010"/>
      <c r="V869" s="1012"/>
      <c r="W869" s="1010"/>
      <c r="X869" s="1012"/>
      <c r="Y869" s="1010"/>
      <c r="Z869" s="262"/>
      <c r="AA869" s="110"/>
      <c r="AB869" s="110"/>
      <c r="AC869" s="110"/>
      <c r="AD869" s="110"/>
      <c r="AE869" s="110"/>
      <c r="AF869" s="110"/>
      <c r="AG869" s="110"/>
      <c r="AH869" s="110"/>
      <c r="AI869" s="110"/>
      <c r="AJ869" s="110"/>
      <c r="AK869" s="110"/>
      <c r="AL869" s="110"/>
      <c r="AM869" s="110"/>
      <c r="AN869" s="110"/>
      <c r="AO869" s="110"/>
      <c r="AP869" s="110"/>
      <c r="AQ869" s="110"/>
      <c r="AR869" s="110"/>
      <c r="AS869" s="110"/>
      <c r="AT869" s="110"/>
      <c r="AU869" s="110"/>
    </row>
    <row r="870" spans="1:47" ht="12.75" hidden="1">
      <c r="A870" s="110"/>
      <c r="B870" s="1009"/>
      <c r="C870" s="1010"/>
      <c r="D870" s="253"/>
      <c r="E870" s="1011"/>
      <c r="F870" s="262"/>
      <c r="G870" s="1011"/>
      <c r="H870" s="262"/>
      <c r="I870" s="1011"/>
      <c r="J870" s="262"/>
      <c r="K870" s="1011"/>
      <c r="L870" s="262"/>
      <c r="M870" s="1011"/>
      <c r="N870" s="262"/>
      <c r="O870" s="1011"/>
      <c r="P870" s="262"/>
      <c r="Q870" s="1011"/>
      <c r="R870" s="1012"/>
      <c r="S870" s="1011"/>
      <c r="T870" s="1012"/>
      <c r="U870" s="1010"/>
      <c r="V870" s="1012"/>
      <c r="W870" s="1010"/>
      <c r="X870" s="1012"/>
      <c r="Y870" s="1010"/>
      <c r="Z870" s="262"/>
      <c r="AA870" s="110"/>
      <c r="AB870" s="110"/>
      <c r="AC870" s="110"/>
      <c r="AD870" s="110"/>
      <c r="AE870" s="110"/>
      <c r="AF870" s="110"/>
      <c r="AG870" s="110"/>
      <c r="AH870" s="110"/>
      <c r="AI870" s="110"/>
      <c r="AJ870" s="110"/>
      <c r="AK870" s="110"/>
      <c r="AL870" s="110"/>
      <c r="AM870" s="110"/>
      <c r="AN870" s="110"/>
      <c r="AO870" s="110"/>
      <c r="AP870" s="110"/>
      <c r="AQ870" s="110"/>
      <c r="AR870" s="110"/>
      <c r="AS870" s="110"/>
      <c r="AT870" s="110"/>
      <c r="AU870" s="110"/>
    </row>
    <row r="871" spans="1:47" ht="12.75" hidden="1">
      <c r="A871" s="110"/>
      <c r="B871" s="1009"/>
      <c r="C871" s="1010"/>
      <c r="D871" s="253"/>
      <c r="E871" s="1011"/>
      <c r="F871" s="262"/>
      <c r="G871" s="1011"/>
      <c r="H871" s="262"/>
      <c r="I871" s="1011"/>
      <c r="J871" s="262"/>
      <c r="K871" s="1011"/>
      <c r="L871" s="262"/>
      <c r="M871" s="1011"/>
      <c r="N871" s="262"/>
      <c r="O871" s="1011"/>
      <c r="P871" s="262"/>
      <c r="Q871" s="1011"/>
      <c r="R871" s="1012"/>
      <c r="S871" s="1011"/>
      <c r="T871" s="1012"/>
      <c r="U871" s="1010"/>
      <c r="V871" s="1012"/>
      <c r="W871" s="1010"/>
      <c r="X871" s="1012"/>
      <c r="Y871" s="1010"/>
      <c r="Z871" s="262"/>
      <c r="AA871" s="110"/>
      <c r="AB871" s="110"/>
      <c r="AC871" s="110"/>
      <c r="AD871" s="110"/>
      <c r="AE871" s="110"/>
      <c r="AF871" s="110"/>
      <c r="AG871" s="110"/>
      <c r="AH871" s="110"/>
      <c r="AI871" s="110"/>
      <c r="AJ871" s="110"/>
      <c r="AK871" s="110"/>
      <c r="AL871" s="110"/>
      <c r="AM871" s="110"/>
      <c r="AN871" s="110"/>
      <c r="AO871" s="110"/>
      <c r="AP871" s="110"/>
      <c r="AQ871" s="110"/>
      <c r="AR871" s="110"/>
      <c r="AS871" s="110"/>
      <c r="AT871" s="110"/>
      <c r="AU871" s="110"/>
    </row>
    <row r="872" spans="1:47" ht="12.75" hidden="1">
      <c r="A872" s="110"/>
      <c r="B872" s="1009"/>
      <c r="C872" s="1010"/>
      <c r="D872" s="253"/>
      <c r="E872" s="1011"/>
      <c r="F872" s="262"/>
      <c r="G872" s="1011"/>
      <c r="H872" s="262"/>
      <c r="I872" s="1011"/>
      <c r="J872" s="262"/>
      <c r="K872" s="1011"/>
      <c r="L872" s="262"/>
      <c r="M872" s="1011"/>
      <c r="N872" s="262"/>
      <c r="O872" s="1011"/>
      <c r="P872" s="262"/>
      <c r="Q872" s="1011"/>
      <c r="R872" s="1012"/>
      <c r="S872" s="1011"/>
      <c r="T872" s="1012"/>
      <c r="U872" s="1010"/>
      <c r="V872" s="1012"/>
      <c r="W872" s="1010"/>
      <c r="X872" s="1012"/>
      <c r="Y872" s="1010"/>
      <c r="Z872" s="262"/>
      <c r="AA872" s="110"/>
      <c r="AB872" s="110"/>
      <c r="AC872" s="110"/>
      <c r="AD872" s="110"/>
      <c r="AE872" s="110"/>
      <c r="AF872" s="110"/>
      <c r="AG872" s="110"/>
      <c r="AH872" s="110"/>
      <c r="AI872" s="110"/>
      <c r="AJ872" s="110"/>
      <c r="AK872" s="110"/>
      <c r="AL872" s="110"/>
      <c r="AM872" s="110"/>
      <c r="AN872" s="110"/>
      <c r="AO872" s="110"/>
      <c r="AP872" s="110"/>
      <c r="AQ872" s="110"/>
      <c r="AR872" s="110"/>
      <c r="AS872" s="110"/>
      <c r="AT872" s="110"/>
      <c r="AU872" s="110"/>
    </row>
    <row r="873" spans="1:47" ht="12.75" hidden="1">
      <c r="A873" s="110"/>
      <c r="B873" s="1009"/>
      <c r="C873" s="1010"/>
      <c r="D873" s="253"/>
      <c r="E873" s="1011"/>
      <c r="F873" s="262"/>
      <c r="G873" s="1011"/>
      <c r="H873" s="262"/>
      <c r="I873" s="1011"/>
      <c r="J873" s="262"/>
      <c r="K873" s="1011"/>
      <c r="L873" s="262"/>
      <c r="M873" s="1011"/>
      <c r="N873" s="262"/>
      <c r="O873" s="1011"/>
      <c r="P873" s="262"/>
      <c r="Q873" s="1011"/>
      <c r="R873" s="1012"/>
      <c r="S873" s="1011"/>
      <c r="T873" s="1012"/>
      <c r="U873" s="1010"/>
      <c r="V873" s="1012"/>
      <c r="W873" s="1010"/>
      <c r="X873" s="1012"/>
      <c r="Y873" s="1010"/>
      <c r="Z873" s="262"/>
      <c r="AA873" s="110"/>
      <c r="AB873" s="110"/>
      <c r="AC873" s="110"/>
      <c r="AD873" s="110"/>
      <c r="AE873" s="110"/>
      <c r="AF873" s="110"/>
      <c r="AG873" s="110"/>
      <c r="AH873" s="110"/>
      <c r="AI873" s="110"/>
      <c r="AJ873" s="110"/>
      <c r="AK873" s="110"/>
      <c r="AL873" s="110"/>
      <c r="AM873" s="110"/>
      <c r="AN873" s="110"/>
      <c r="AO873" s="110"/>
      <c r="AP873" s="110"/>
      <c r="AQ873" s="110"/>
      <c r="AR873" s="110"/>
      <c r="AS873" s="110"/>
      <c r="AT873" s="110"/>
      <c r="AU873" s="110"/>
    </row>
    <row r="874" spans="1:47" ht="12.75" hidden="1">
      <c r="A874" s="110"/>
      <c r="B874" s="1009"/>
      <c r="C874" s="1010"/>
      <c r="D874" s="253"/>
      <c r="E874" s="1011"/>
      <c r="F874" s="262"/>
      <c r="G874" s="1011"/>
      <c r="H874" s="262"/>
      <c r="I874" s="1011"/>
      <c r="J874" s="262"/>
      <c r="K874" s="1011"/>
      <c r="L874" s="262"/>
      <c r="M874" s="1011"/>
      <c r="N874" s="262"/>
      <c r="O874" s="1011"/>
      <c r="P874" s="262"/>
      <c r="Q874" s="1011"/>
      <c r="R874" s="1012"/>
      <c r="S874" s="1011"/>
      <c r="T874" s="1012"/>
      <c r="U874" s="1010"/>
      <c r="V874" s="1012"/>
      <c r="W874" s="1010"/>
      <c r="X874" s="1012"/>
      <c r="Y874" s="1010"/>
      <c r="Z874" s="262"/>
      <c r="AA874" s="110"/>
      <c r="AB874" s="110"/>
      <c r="AC874" s="110"/>
      <c r="AD874" s="110"/>
      <c r="AE874" s="110"/>
      <c r="AF874" s="110"/>
      <c r="AG874" s="110"/>
      <c r="AH874" s="110"/>
      <c r="AI874" s="110"/>
      <c r="AJ874" s="110"/>
      <c r="AK874" s="110"/>
      <c r="AL874" s="110"/>
      <c r="AM874" s="110"/>
      <c r="AN874" s="110"/>
      <c r="AO874" s="110"/>
      <c r="AP874" s="110"/>
      <c r="AQ874" s="110"/>
      <c r="AR874" s="110"/>
      <c r="AS874" s="110"/>
      <c r="AT874" s="110"/>
      <c r="AU874" s="110"/>
    </row>
    <row r="875" spans="1:47" ht="12.75" hidden="1">
      <c r="A875" s="110"/>
      <c r="B875" s="1009"/>
      <c r="C875" s="1010"/>
      <c r="D875" s="253"/>
      <c r="E875" s="1011"/>
      <c r="F875" s="262"/>
      <c r="G875" s="1011"/>
      <c r="H875" s="262"/>
      <c r="I875" s="1011"/>
      <c r="J875" s="262"/>
      <c r="K875" s="1011"/>
      <c r="L875" s="262"/>
      <c r="M875" s="1011"/>
      <c r="N875" s="262"/>
      <c r="O875" s="1011"/>
      <c r="P875" s="262"/>
      <c r="Q875" s="1011"/>
      <c r="R875" s="1012"/>
      <c r="S875" s="1011"/>
      <c r="T875" s="1012"/>
      <c r="U875" s="1010"/>
      <c r="V875" s="1012"/>
      <c r="W875" s="1010"/>
      <c r="X875" s="1012"/>
      <c r="Y875" s="1010"/>
      <c r="Z875" s="262"/>
      <c r="AA875" s="110"/>
      <c r="AB875" s="110"/>
      <c r="AC875" s="110"/>
      <c r="AD875" s="110"/>
      <c r="AE875" s="110"/>
      <c r="AF875" s="110"/>
      <c r="AG875" s="110"/>
      <c r="AH875" s="110"/>
      <c r="AI875" s="110"/>
      <c r="AJ875" s="110"/>
      <c r="AK875" s="110"/>
      <c r="AL875" s="110"/>
      <c r="AM875" s="110"/>
      <c r="AN875" s="110"/>
      <c r="AO875" s="110"/>
      <c r="AP875" s="110"/>
      <c r="AQ875" s="110"/>
      <c r="AR875" s="110"/>
      <c r="AS875" s="110"/>
      <c r="AT875" s="110"/>
      <c r="AU875" s="110"/>
    </row>
    <row r="876" spans="1:47" ht="12.75" hidden="1">
      <c r="A876" s="110"/>
      <c r="B876" s="1009"/>
      <c r="C876" s="1010"/>
      <c r="D876" s="253"/>
      <c r="E876" s="1011"/>
      <c r="F876" s="262"/>
      <c r="G876" s="1011"/>
      <c r="H876" s="262"/>
      <c r="I876" s="1011"/>
      <c r="J876" s="262"/>
      <c r="K876" s="1011"/>
      <c r="L876" s="262"/>
      <c r="M876" s="1011"/>
      <c r="N876" s="262"/>
      <c r="O876" s="1011"/>
      <c r="P876" s="262"/>
      <c r="Q876" s="1011"/>
      <c r="R876" s="1012"/>
      <c r="S876" s="1011"/>
      <c r="T876" s="1012"/>
      <c r="U876" s="1010"/>
      <c r="V876" s="1012"/>
      <c r="W876" s="1010"/>
      <c r="X876" s="1012"/>
      <c r="Y876" s="1010"/>
      <c r="Z876" s="262"/>
      <c r="AA876" s="110"/>
      <c r="AB876" s="110"/>
      <c r="AC876" s="110"/>
      <c r="AD876" s="110"/>
      <c r="AE876" s="110"/>
      <c r="AF876" s="110"/>
      <c r="AG876" s="110"/>
      <c r="AH876" s="110"/>
      <c r="AI876" s="110"/>
      <c r="AJ876" s="110"/>
      <c r="AK876" s="110"/>
      <c r="AL876" s="110"/>
      <c r="AM876" s="110"/>
      <c r="AN876" s="110"/>
      <c r="AO876" s="110"/>
      <c r="AP876" s="110"/>
      <c r="AQ876" s="110"/>
      <c r="AR876" s="110"/>
      <c r="AS876" s="110"/>
      <c r="AT876" s="110"/>
      <c r="AU876" s="110"/>
    </row>
    <row r="877" spans="1:47" ht="12.75" hidden="1">
      <c r="A877" s="110"/>
      <c r="B877" s="1009"/>
      <c r="C877" s="1010"/>
      <c r="D877" s="253"/>
      <c r="E877" s="1011"/>
      <c r="F877" s="262"/>
      <c r="G877" s="1011"/>
      <c r="H877" s="262"/>
      <c r="I877" s="1011"/>
      <c r="J877" s="262"/>
      <c r="K877" s="1011"/>
      <c r="L877" s="262"/>
      <c r="M877" s="1011"/>
      <c r="N877" s="262"/>
      <c r="O877" s="1011"/>
      <c r="P877" s="262"/>
      <c r="Q877" s="1011"/>
      <c r="R877" s="1012"/>
      <c r="S877" s="1011"/>
      <c r="T877" s="1012"/>
      <c r="U877" s="1010"/>
      <c r="V877" s="1012"/>
      <c r="W877" s="1010"/>
      <c r="X877" s="1012"/>
      <c r="Y877" s="1010"/>
      <c r="Z877" s="262"/>
      <c r="AA877" s="110"/>
      <c r="AB877" s="110"/>
      <c r="AC877" s="110"/>
      <c r="AD877" s="110"/>
      <c r="AE877" s="110"/>
      <c r="AF877" s="110"/>
      <c r="AG877" s="110"/>
      <c r="AH877" s="110"/>
      <c r="AI877" s="110"/>
      <c r="AJ877" s="110"/>
      <c r="AK877" s="110"/>
      <c r="AL877" s="110"/>
      <c r="AM877" s="110"/>
      <c r="AN877" s="110"/>
      <c r="AO877" s="110"/>
      <c r="AP877" s="110"/>
      <c r="AQ877" s="110"/>
      <c r="AR877" s="110"/>
      <c r="AS877" s="110"/>
      <c r="AT877" s="110"/>
      <c r="AU877" s="110"/>
    </row>
    <row r="878" spans="1:47" ht="12.75" hidden="1">
      <c r="A878" s="110"/>
      <c r="B878" s="1009"/>
      <c r="C878" s="1010"/>
      <c r="D878" s="253"/>
      <c r="E878" s="1011"/>
      <c r="F878" s="262"/>
      <c r="G878" s="1011"/>
      <c r="H878" s="262"/>
      <c r="I878" s="1011"/>
      <c r="J878" s="262"/>
      <c r="K878" s="1011"/>
      <c r="L878" s="262"/>
      <c r="M878" s="1011"/>
      <c r="N878" s="262"/>
      <c r="O878" s="1011"/>
      <c r="P878" s="262"/>
      <c r="Q878" s="1011"/>
      <c r="R878" s="1012"/>
      <c r="S878" s="1011"/>
      <c r="T878" s="1012"/>
      <c r="U878" s="1010"/>
      <c r="V878" s="1012"/>
      <c r="W878" s="1010"/>
      <c r="X878" s="1012"/>
      <c r="Y878" s="1010"/>
      <c r="Z878" s="262"/>
      <c r="AA878" s="110"/>
      <c r="AB878" s="110"/>
      <c r="AC878" s="110"/>
      <c r="AD878" s="110"/>
      <c r="AE878" s="110"/>
      <c r="AF878" s="110"/>
      <c r="AG878" s="110"/>
      <c r="AH878" s="110"/>
      <c r="AI878" s="110"/>
      <c r="AJ878" s="110"/>
      <c r="AK878" s="110"/>
      <c r="AL878" s="110"/>
      <c r="AM878" s="110"/>
      <c r="AN878" s="110"/>
      <c r="AO878" s="110"/>
      <c r="AP878" s="110"/>
      <c r="AQ878" s="110"/>
      <c r="AR878" s="110"/>
      <c r="AS878" s="110"/>
      <c r="AT878" s="110"/>
      <c r="AU878" s="110"/>
    </row>
    <row r="879" spans="1:47" ht="12.75" hidden="1">
      <c r="A879" s="110"/>
      <c r="B879" s="1009"/>
      <c r="C879" s="1010"/>
      <c r="D879" s="253"/>
      <c r="E879" s="1011"/>
      <c r="F879" s="262"/>
      <c r="G879" s="1011"/>
      <c r="H879" s="262"/>
      <c r="I879" s="1011"/>
      <c r="J879" s="262"/>
      <c r="K879" s="1011"/>
      <c r="L879" s="262"/>
      <c r="M879" s="1011"/>
      <c r="N879" s="262"/>
      <c r="O879" s="1011"/>
      <c r="P879" s="262"/>
      <c r="Q879" s="1011"/>
      <c r="R879" s="1012"/>
      <c r="S879" s="1011"/>
      <c r="T879" s="1012"/>
      <c r="U879" s="1010"/>
      <c r="V879" s="1012"/>
      <c r="W879" s="1010"/>
      <c r="X879" s="1012"/>
      <c r="Y879" s="1010"/>
      <c r="Z879" s="262"/>
      <c r="AA879" s="110"/>
      <c r="AB879" s="110"/>
      <c r="AC879" s="110"/>
      <c r="AD879" s="110"/>
      <c r="AE879" s="110"/>
      <c r="AF879" s="110"/>
      <c r="AG879" s="110"/>
      <c r="AH879" s="110"/>
      <c r="AI879" s="110"/>
      <c r="AJ879" s="110"/>
      <c r="AK879" s="110"/>
      <c r="AL879" s="110"/>
      <c r="AM879" s="110"/>
      <c r="AN879" s="110"/>
      <c r="AO879" s="110"/>
      <c r="AP879" s="110"/>
      <c r="AQ879" s="110"/>
      <c r="AR879" s="110"/>
      <c r="AS879" s="110"/>
      <c r="AT879" s="110"/>
      <c r="AU879" s="110"/>
    </row>
    <row r="880" spans="1:47" ht="12.75" hidden="1">
      <c r="A880" s="110"/>
      <c r="B880" s="1009"/>
      <c r="C880" s="1010"/>
      <c r="D880" s="253"/>
      <c r="E880" s="1011"/>
      <c r="F880" s="262"/>
      <c r="G880" s="1011"/>
      <c r="H880" s="262"/>
      <c r="I880" s="1011"/>
      <c r="J880" s="262"/>
      <c r="K880" s="1011"/>
      <c r="L880" s="262"/>
      <c r="M880" s="1011"/>
      <c r="N880" s="262"/>
      <c r="O880" s="1011"/>
      <c r="P880" s="262"/>
      <c r="Q880" s="1011"/>
      <c r="R880" s="1012"/>
      <c r="S880" s="1011"/>
      <c r="T880" s="1012"/>
      <c r="U880" s="1010"/>
      <c r="V880" s="1012"/>
      <c r="W880" s="1010"/>
      <c r="X880" s="1012"/>
      <c r="Y880" s="1010"/>
      <c r="Z880" s="262"/>
      <c r="AA880" s="110"/>
      <c r="AB880" s="110"/>
      <c r="AC880" s="110"/>
      <c r="AD880" s="110"/>
      <c r="AE880" s="110"/>
      <c r="AF880" s="110"/>
      <c r="AG880" s="110"/>
      <c r="AH880" s="110"/>
      <c r="AI880" s="110"/>
      <c r="AJ880" s="110"/>
      <c r="AK880" s="110"/>
      <c r="AL880" s="110"/>
      <c r="AM880" s="110"/>
      <c r="AN880" s="110"/>
      <c r="AO880" s="110"/>
      <c r="AP880" s="110"/>
      <c r="AQ880" s="110"/>
      <c r="AR880" s="110"/>
      <c r="AS880" s="110"/>
      <c r="AT880" s="110"/>
      <c r="AU880" s="110"/>
    </row>
    <row r="881" spans="1:47" ht="12.75" hidden="1">
      <c r="A881" s="110"/>
      <c r="B881" s="1009"/>
      <c r="C881" s="1010"/>
      <c r="D881" s="253"/>
      <c r="E881" s="1011"/>
      <c r="F881" s="262"/>
      <c r="G881" s="1011"/>
      <c r="H881" s="262"/>
      <c r="I881" s="1011"/>
      <c r="J881" s="262"/>
      <c r="K881" s="1011"/>
      <c r="L881" s="262"/>
      <c r="M881" s="1011"/>
      <c r="N881" s="262"/>
      <c r="O881" s="1011"/>
      <c r="P881" s="262"/>
      <c r="Q881" s="1011"/>
      <c r="R881" s="1012"/>
      <c r="S881" s="1011"/>
      <c r="T881" s="1012"/>
      <c r="U881" s="1010"/>
      <c r="V881" s="1012"/>
      <c r="W881" s="1010"/>
      <c r="X881" s="1012"/>
      <c r="Y881" s="1010"/>
      <c r="Z881" s="262"/>
      <c r="AA881" s="110"/>
      <c r="AB881" s="110"/>
      <c r="AC881" s="110"/>
      <c r="AD881" s="110"/>
      <c r="AE881" s="110"/>
      <c r="AF881" s="110"/>
      <c r="AG881" s="110"/>
      <c r="AH881" s="110"/>
      <c r="AI881" s="110"/>
      <c r="AJ881" s="110"/>
      <c r="AK881" s="110"/>
      <c r="AL881" s="110"/>
      <c r="AM881" s="110"/>
      <c r="AN881" s="110"/>
      <c r="AO881" s="110"/>
      <c r="AP881" s="110"/>
      <c r="AQ881" s="110"/>
      <c r="AR881" s="110"/>
      <c r="AS881" s="110"/>
      <c r="AT881" s="110"/>
      <c r="AU881" s="110"/>
    </row>
    <row r="882" spans="1:47" ht="12.75" hidden="1">
      <c r="A882" s="110"/>
      <c r="B882" s="1009"/>
      <c r="C882" s="1010"/>
      <c r="D882" s="253"/>
      <c r="E882" s="1011"/>
      <c r="F882" s="262"/>
      <c r="G882" s="1011"/>
      <c r="H882" s="262"/>
      <c r="I882" s="1011"/>
      <c r="J882" s="262"/>
      <c r="K882" s="1011"/>
      <c r="L882" s="262"/>
      <c r="M882" s="1011"/>
      <c r="N882" s="262"/>
      <c r="O882" s="1011"/>
      <c r="P882" s="262"/>
      <c r="Q882" s="1011"/>
      <c r="R882" s="1012"/>
      <c r="S882" s="1011"/>
      <c r="T882" s="1012"/>
      <c r="U882" s="1010"/>
      <c r="V882" s="1012"/>
      <c r="W882" s="1010"/>
      <c r="X882" s="1012"/>
      <c r="Y882" s="1010"/>
      <c r="Z882" s="262"/>
      <c r="AA882" s="110"/>
      <c r="AB882" s="110"/>
      <c r="AC882" s="110"/>
      <c r="AD882" s="110"/>
      <c r="AE882" s="110"/>
      <c r="AF882" s="110"/>
      <c r="AG882" s="110"/>
      <c r="AH882" s="110"/>
      <c r="AI882" s="110"/>
      <c r="AJ882" s="110"/>
      <c r="AK882" s="110"/>
      <c r="AL882" s="110"/>
      <c r="AM882" s="110"/>
      <c r="AN882" s="110"/>
      <c r="AO882" s="110"/>
      <c r="AP882" s="110"/>
      <c r="AQ882" s="110"/>
      <c r="AR882" s="110"/>
      <c r="AS882" s="110"/>
      <c r="AT882" s="110"/>
      <c r="AU882" s="110"/>
    </row>
    <row r="883" spans="1:47" ht="12.75" hidden="1">
      <c r="A883" s="110"/>
      <c r="B883" s="1009"/>
      <c r="C883" s="1010"/>
      <c r="D883" s="253"/>
      <c r="E883" s="1011"/>
      <c r="F883" s="262"/>
      <c r="G883" s="1011"/>
      <c r="H883" s="262"/>
      <c r="I883" s="1011"/>
      <c r="J883" s="262"/>
      <c r="K883" s="1011"/>
      <c r="L883" s="262"/>
      <c r="M883" s="1011"/>
      <c r="N883" s="262"/>
      <c r="O883" s="1011"/>
      <c r="P883" s="262"/>
      <c r="Q883" s="1011"/>
      <c r="R883" s="1012"/>
      <c r="S883" s="1011"/>
      <c r="T883" s="1012"/>
      <c r="U883" s="1010"/>
      <c r="V883" s="1012"/>
      <c r="W883" s="1010"/>
      <c r="X883" s="1012"/>
      <c r="Y883" s="1010"/>
      <c r="Z883" s="26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row>
    <row r="884" spans="1:47" ht="12.75" hidden="1">
      <c r="A884" s="110"/>
      <c r="B884" s="1009"/>
      <c r="C884" s="1010"/>
      <c r="D884" s="253"/>
      <c r="E884" s="1011"/>
      <c r="F884" s="262"/>
      <c r="G884" s="1011"/>
      <c r="H884" s="262"/>
      <c r="I884" s="1011"/>
      <c r="J884" s="262"/>
      <c r="K884" s="1011"/>
      <c r="L884" s="262"/>
      <c r="M884" s="1011"/>
      <c r="N884" s="262"/>
      <c r="O884" s="1011"/>
      <c r="P884" s="262"/>
      <c r="Q884" s="1011"/>
      <c r="R884" s="1012"/>
      <c r="S884" s="1011"/>
      <c r="T884" s="1012"/>
      <c r="U884" s="1010"/>
      <c r="V884" s="1012"/>
      <c r="W884" s="1010"/>
      <c r="X884" s="1012"/>
      <c r="Y884" s="1010"/>
      <c r="Z884" s="262"/>
      <c r="AA884" s="110"/>
      <c r="AB884" s="110"/>
      <c r="AC884" s="110"/>
      <c r="AD884" s="110"/>
      <c r="AE884" s="110"/>
      <c r="AF884" s="110"/>
      <c r="AG884" s="110"/>
      <c r="AH884" s="110"/>
      <c r="AI884" s="110"/>
      <c r="AJ884" s="110"/>
      <c r="AK884" s="110"/>
      <c r="AL884" s="110"/>
      <c r="AM884" s="110"/>
      <c r="AN884" s="110"/>
      <c r="AO884" s="110"/>
      <c r="AP884" s="110"/>
      <c r="AQ884" s="110"/>
      <c r="AR884" s="110"/>
      <c r="AS884" s="110"/>
      <c r="AT884" s="110"/>
      <c r="AU884" s="110"/>
    </row>
    <row r="885" spans="1:47" ht="12.75" hidden="1">
      <c r="A885" s="110"/>
      <c r="B885" s="1009"/>
      <c r="C885" s="1010"/>
      <c r="D885" s="253"/>
      <c r="E885" s="1011"/>
      <c r="F885" s="262"/>
      <c r="G885" s="1011"/>
      <c r="H885" s="262"/>
      <c r="I885" s="1011"/>
      <c r="J885" s="262"/>
      <c r="K885" s="1011"/>
      <c r="L885" s="262"/>
      <c r="M885" s="1011"/>
      <c r="N885" s="262"/>
      <c r="O885" s="1011"/>
      <c r="P885" s="262"/>
      <c r="Q885" s="1011"/>
      <c r="R885" s="1012"/>
      <c r="S885" s="1011"/>
      <c r="T885" s="1012"/>
      <c r="U885" s="1010"/>
      <c r="V885" s="1012"/>
      <c r="W885" s="1010"/>
      <c r="X885" s="1012"/>
      <c r="Y885" s="1010"/>
      <c r="Z885" s="262"/>
      <c r="AA885" s="110"/>
      <c r="AB885" s="110"/>
      <c r="AC885" s="110"/>
      <c r="AD885" s="110"/>
      <c r="AE885" s="110"/>
      <c r="AF885" s="110"/>
      <c r="AG885" s="110"/>
      <c r="AH885" s="110"/>
      <c r="AI885" s="110"/>
      <c r="AJ885" s="110"/>
      <c r="AK885" s="110"/>
      <c r="AL885" s="110"/>
      <c r="AM885" s="110"/>
      <c r="AN885" s="110"/>
      <c r="AO885" s="110"/>
      <c r="AP885" s="110"/>
      <c r="AQ885" s="110"/>
      <c r="AR885" s="110"/>
      <c r="AS885" s="110"/>
      <c r="AT885" s="110"/>
      <c r="AU885" s="110"/>
    </row>
    <row r="886" spans="1:47" ht="12.75" hidden="1">
      <c r="A886" s="110"/>
      <c r="B886" s="1009"/>
      <c r="C886" s="1010"/>
      <c r="D886" s="253"/>
      <c r="E886" s="1011"/>
      <c r="F886" s="262"/>
      <c r="G886" s="1011"/>
      <c r="H886" s="262"/>
      <c r="I886" s="1011"/>
      <c r="J886" s="262"/>
      <c r="K886" s="1011"/>
      <c r="L886" s="262"/>
      <c r="M886" s="1011"/>
      <c r="N886" s="262"/>
      <c r="O886" s="1011"/>
      <c r="P886" s="262"/>
      <c r="Q886" s="1011"/>
      <c r="R886" s="1012"/>
      <c r="S886" s="1011"/>
      <c r="T886" s="1012"/>
      <c r="U886" s="1010"/>
      <c r="V886" s="1012"/>
      <c r="W886" s="1010"/>
      <c r="X886" s="1012"/>
      <c r="Y886" s="1010"/>
      <c r="Z886" s="262"/>
      <c r="AA886" s="110"/>
      <c r="AB886" s="110"/>
      <c r="AC886" s="110"/>
      <c r="AD886" s="110"/>
      <c r="AE886" s="110"/>
      <c r="AF886" s="110"/>
      <c r="AG886" s="110"/>
      <c r="AH886" s="110"/>
      <c r="AI886" s="110"/>
      <c r="AJ886" s="110"/>
      <c r="AK886" s="110"/>
      <c r="AL886" s="110"/>
      <c r="AM886" s="110"/>
      <c r="AN886" s="110"/>
      <c r="AO886" s="110"/>
      <c r="AP886" s="110"/>
      <c r="AQ886" s="110"/>
      <c r="AR886" s="110"/>
      <c r="AS886" s="110"/>
      <c r="AT886" s="110"/>
      <c r="AU886" s="110"/>
    </row>
    <row r="887" spans="1:47" ht="12.75" hidden="1">
      <c r="A887" s="110"/>
      <c r="B887" s="1009"/>
      <c r="C887" s="1010"/>
      <c r="D887" s="253"/>
      <c r="E887" s="1011"/>
      <c r="F887" s="262"/>
      <c r="G887" s="1011"/>
      <c r="H887" s="262"/>
      <c r="I887" s="1011"/>
      <c r="J887" s="262"/>
      <c r="K887" s="1011"/>
      <c r="L887" s="262"/>
      <c r="M887" s="1011"/>
      <c r="N887" s="262"/>
      <c r="O887" s="1011"/>
      <c r="P887" s="262"/>
      <c r="Q887" s="1011"/>
      <c r="R887" s="1012"/>
      <c r="S887" s="1011"/>
      <c r="T887" s="1012"/>
      <c r="U887" s="1010"/>
      <c r="V887" s="1012"/>
      <c r="W887" s="1010"/>
      <c r="X887" s="1012"/>
      <c r="Y887" s="1010"/>
      <c r="Z887" s="262"/>
      <c r="AA887" s="110"/>
      <c r="AB887" s="110"/>
      <c r="AC887" s="110"/>
      <c r="AD887" s="110"/>
      <c r="AE887" s="110"/>
      <c r="AF887" s="110"/>
      <c r="AG887" s="110"/>
      <c r="AH887" s="110"/>
      <c r="AI887" s="110"/>
      <c r="AJ887" s="110"/>
      <c r="AK887" s="110"/>
      <c r="AL887" s="110"/>
      <c r="AM887" s="110"/>
      <c r="AN887" s="110"/>
      <c r="AO887" s="110"/>
      <c r="AP887" s="110"/>
      <c r="AQ887" s="110"/>
      <c r="AR887" s="110"/>
      <c r="AS887" s="110"/>
      <c r="AT887" s="110"/>
      <c r="AU887" s="110"/>
    </row>
    <row r="888" spans="1:47" ht="12.75" hidden="1">
      <c r="A888" s="110"/>
      <c r="B888" s="1009"/>
      <c r="C888" s="1010"/>
      <c r="D888" s="253"/>
      <c r="E888" s="1011"/>
      <c r="F888" s="262"/>
      <c r="G888" s="1011"/>
      <c r="H888" s="262"/>
      <c r="I888" s="1011"/>
      <c r="J888" s="262"/>
      <c r="K888" s="1011"/>
      <c r="L888" s="262"/>
      <c r="M888" s="1011"/>
      <c r="N888" s="262"/>
      <c r="O888" s="1011"/>
      <c r="P888" s="262"/>
      <c r="Q888" s="1011"/>
      <c r="R888" s="1012"/>
      <c r="S888" s="1011"/>
      <c r="T888" s="1012"/>
      <c r="U888" s="1010"/>
      <c r="V888" s="1012"/>
      <c r="W888" s="1010"/>
      <c r="X888" s="1012"/>
      <c r="Y888" s="1010"/>
      <c r="Z888" s="262"/>
      <c r="AA888" s="110"/>
      <c r="AB888" s="110"/>
      <c r="AC888" s="110"/>
      <c r="AD888" s="110"/>
      <c r="AE888" s="110"/>
      <c r="AF888" s="110"/>
      <c r="AG888" s="110"/>
      <c r="AH888" s="110"/>
      <c r="AI888" s="110"/>
      <c r="AJ888" s="110"/>
      <c r="AK888" s="110"/>
      <c r="AL888" s="110"/>
      <c r="AM888" s="110"/>
      <c r="AN888" s="110"/>
      <c r="AO888" s="110"/>
      <c r="AP888" s="110"/>
      <c r="AQ888" s="110"/>
      <c r="AR888" s="110"/>
      <c r="AS888" s="110"/>
      <c r="AT888" s="110"/>
      <c r="AU888" s="110"/>
    </row>
    <row r="889" spans="1:47" ht="12.75" hidden="1">
      <c r="A889" s="110"/>
      <c r="B889" s="1009"/>
      <c r="C889" s="1010"/>
      <c r="D889" s="253"/>
      <c r="E889" s="1011"/>
      <c r="F889" s="262"/>
      <c r="G889" s="1011"/>
      <c r="H889" s="262"/>
      <c r="I889" s="1011"/>
      <c r="J889" s="262"/>
      <c r="K889" s="1011"/>
      <c r="L889" s="262"/>
      <c r="M889" s="1011"/>
      <c r="N889" s="262"/>
      <c r="O889" s="1011"/>
      <c r="P889" s="262"/>
      <c r="Q889" s="1011"/>
      <c r="R889" s="1012"/>
      <c r="S889" s="1011"/>
      <c r="T889" s="1012"/>
      <c r="U889" s="1010"/>
      <c r="V889" s="1012"/>
      <c r="W889" s="1010"/>
      <c r="X889" s="1012"/>
      <c r="Y889" s="1010"/>
      <c r="Z889" s="262"/>
      <c r="AA889" s="110"/>
      <c r="AB889" s="110"/>
      <c r="AC889" s="110"/>
      <c r="AD889" s="110"/>
      <c r="AE889" s="110"/>
      <c r="AF889" s="110"/>
      <c r="AG889" s="110"/>
      <c r="AH889" s="110"/>
      <c r="AI889" s="110"/>
      <c r="AJ889" s="110"/>
      <c r="AK889" s="110"/>
      <c r="AL889" s="110"/>
      <c r="AM889" s="110"/>
      <c r="AN889" s="110"/>
      <c r="AO889" s="110"/>
      <c r="AP889" s="110"/>
      <c r="AQ889" s="110"/>
      <c r="AR889" s="110"/>
      <c r="AS889" s="110"/>
      <c r="AT889" s="110"/>
      <c r="AU889" s="110"/>
    </row>
    <row r="890" spans="1:47" ht="12.75" hidden="1">
      <c r="A890" s="110"/>
      <c r="B890" s="1009"/>
      <c r="C890" s="1010"/>
      <c r="D890" s="253"/>
      <c r="E890" s="1011"/>
      <c r="F890" s="262"/>
      <c r="G890" s="1011"/>
      <c r="H890" s="262"/>
      <c r="I890" s="1011"/>
      <c r="J890" s="262"/>
      <c r="K890" s="1011"/>
      <c r="L890" s="262"/>
      <c r="M890" s="1011"/>
      <c r="N890" s="262"/>
      <c r="O890" s="1011"/>
      <c r="P890" s="262"/>
      <c r="Q890" s="1011"/>
      <c r="R890" s="1012"/>
      <c r="S890" s="1011"/>
      <c r="T890" s="1012"/>
      <c r="U890" s="1010"/>
      <c r="V890" s="1012"/>
      <c r="W890" s="1010"/>
      <c r="X890" s="1012"/>
      <c r="Y890" s="1010"/>
      <c r="Z890" s="262"/>
      <c r="AA890" s="110"/>
      <c r="AB890" s="110"/>
      <c r="AC890" s="110"/>
      <c r="AD890" s="110"/>
      <c r="AE890" s="110"/>
      <c r="AF890" s="110"/>
      <c r="AG890" s="110"/>
      <c r="AH890" s="110"/>
      <c r="AI890" s="110"/>
      <c r="AJ890" s="110"/>
      <c r="AK890" s="110"/>
      <c r="AL890" s="110"/>
      <c r="AM890" s="110"/>
      <c r="AN890" s="110"/>
      <c r="AO890" s="110"/>
      <c r="AP890" s="110"/>
      <c r="AQ890" s="110"/>
      <c r="AR890" s="110"/>
      <c r="AS890" s="110"/>
      <c r="AT890" s="110"/>
      <c r="AU890" s="110"/>
    </row>
    <row r="891" spans="1:47" ht="12.75" hidden="1">
      <c r="A891" s="110"/>
      <c r="B891" s="1009"/>
      <c r="C891" s="1010"/>
      <c r="D891" s="253"/>
      <c r="E891" s="1011"/>
      <c r="F891" s="262"/>
      <c r="G891" s="1011"/>
      <c r="H891" s="262"/>
      <c r="I891" s="1011"/>
      <c r="J891" s="262"/>
      <c r="K891" s="1011"/>
      <c r="L891" s="262"/>
      <c r="M891" s="1011"/>
      <c r="N891" s="262"/>
      <c r="O891" s="1011"/>
      <c r="P891" s="262"/>
      <c r="Q891" s="1011"/>
      <c r="R891" s="1012"/>
      <c r="S891" s="1011"/>
      <c r="T891" s="1012"/>
      <c r="U891" s="1010"/>
      <c r="V891" s="1012"/>
      <c r="W891" s="1010"/>
      <c r="X891" s="1012"/>
      <c r="Y891" s="1010"/>
      <c r="Z891" s="262"/>
      <c r="AA891" s="110"/>
      <c r="AB891" s="110"/>
      <c r="AC891" s="110"/>
      <c r="AD891" s="110"/>
      <c r="AE891" s="110"/>
      <c r="AF891" s="110"/>
      <c r="AG891" s="110"/>
      <c r="AH891" s="110"/>
      <c r="AI891" s="110"/>
      <c r="AJ891" s="110"/>
      <c r="AK891" s="110"/>
      <c r="AL891" s="110"/>
      <c r="AM891" s="110"/>
      <c r="AN891" s="110"/>
      <c r="AO891" s="110"/>
      <c r="AP891" s="110"/>
      <c r="AQ891" s="110"/>
      <c r="AR891" s="110"/>
      <c r="AS891" s="110"/>
      <c r="AT891" s="110"/>
      <c r="AU891" s="110"/>
    </row>
    <row r="892" spans="1:47" ht="12.75" hidden="1">
      <c r="A892" s="110"/>
      <c r="B892" s="1009"/>
      <c r="C892" s="1010"/>
      <c r="D892" s="253"/>
      <c r="E892" s="1011"/>
      <c r="F892" s="262"/>
      <c r="G892" s="1011"/>
      <c r="H892" s="262"/>
      <c r="I892" s="1011"/>
      <c r="J892" s="262"/>
      <c r="K892" s="1011"/>
      <c r="L892" s="262"/>
      <c r="M892" s="1011"/>
      <c r="N892" s="262"/>
      <c r="O892" s="1011"/>
      <c r="P892" s="262"/>
      <c r="Q892" s="1011"/>
      <c r="R892" s="1012"/>
      <c r="S892" s="1011"/>
      <c r="T892" s="1012"/>
      <c r="U892" s="1010"/>
      <c r="V892" s="1012"/>
      <c r="W892" s="1010"/>
      <c r="X892" s="1012"/>
      <c r="Y892" s="1010"/>
      <c r="Z892" s="262"/>
      <c r="AA892" s="110"/>
      <c r="AB892" s="110"/>
      <c r="AC892" s="110"/>
      <c r="AD892" s="110"/>
      <c r="AE892" s="110"/>
      <c r="AF892" s="110"/>
      <c r="AG892" s="110"/>
      <c r="AH892" s="110"/>
      <c r="AI892" s="110"/>
      <c r="AJ892" s="110"/>
      <c r="AK892" s="110"/>
      <c r="AL892" s="110"/>
      <c r="AM892" s="110"/>
      <c r="AN892" s="110"/>
      <c r="AO892" s="110"/>
      <c r="AP892" s="110"/>
      <c r="AQ892" s="110"/>
      <c r="AR892" s="110"/>
      <c r="AS892" s="110"/>
      <c r="AT892" s="110"/>
      <c r="AU892" s="110"/>
    </row>
    <row r="893" spans="1:47" ht="12.75" hidden="1">
      <c r="A893" s="110"/>
      <c r="B893" s="1009"/>
      <c r="C893" s="1010"/>
      <c r="D893" s="253"/>
      <c r="E893" s="1011"/>
      <c r="F893" s="262"/>
      <c r="G893" s="1011"/>
      <c r="H893" s="262"/>
      <c r="I893" s="1011"/>
      <c r="J893" s="262"/>
      <c r="K893" s="1011"/>
      <c r="L893" s="262"/>
      <c r="M893" s="1011"/>
      <c r="N893" s="262"/>
      <c r="O893" s="1011"/>
      <c r="P893" s="262"/>
      <c r="Q893" s="1011"/>
      <c r="R893" s="1012"/>
      <c r="S893" s="1011"/>
      <c r="T893" s="1012"/>
      <c r="U893" s="1010"/>
      <c r="V893" s="1012"/>
      <c r="W893" s="1010"/>
      <c r="X893" s="1012"/>
      <c r="Y893" s="1010"/>
      <c r="Z893" s="262"/>
      <c r="AA893" s="110"/>
      <c r="AB893" s="110"/>
      <c r="AC893" s="110"/>
      <c r="AD893" s="110"/>
      <c r="AE893" s="110"/>
      <c r="AF893" s="110"/>
      <c r="AG893" s="110"/>
      <c r="AH893" s="110"/>
      <c r="AI893" s="110"/>
      <c r="AJ893" s="110"/>
      <c r="AK893" s="110"/>
      <c r="AL893" s="110"/>
      <c r="AM893" s="110"/>
      <c r="AN893" s="110"/>
      <c r="AO893" s="110"/>
      <c r="AP893" s="110"/>
      <c r="AQ893" s="110"/>
      <c r="AR893" s="110"/>
      <c r="AS893" s="110"/>
      <c r="AT893" s="110"/>
      <c r="AU893" s="110"/>
    </row>
    <row r="894" spans="1:47" ht="12.75" hidden="1">
      <c r="A894" s="110"/>
      <c r="B894" s="1009"/>
      <c r="C894" s="1010"/>
      <c r="D894" s="253"/>
      <c r="E894" s="1011"/>
      <c r="F894" s="262"/>
      <c r="G894" s="1011"/>
      <c r="H894" s="262"/>
      <c r="I894" s="1011"/>
      <c r="J894" s="262"/>
      <c r="K894" s="1011"/>
      <c r="L894" s="262"/>
      <c r="M894" s="1011"/>
      <c r="N894" s="262"/>
      <c r="O894" s="1011"/>
      <c r="P894" s="262"/>
      <c r="Q894" s="1011"/>
      <c r="R894" s="1012"/>
      <c r="S894" s="1011"/>
      <c r="T894" s="1012"/>
      <c r="U894" s="1010"/>
      <c r="V894" s="1012"/>
      <c r="W894" s="1010"/>
      <c r="X894" s="1012"/>
      <c r="Y894" s="1010"/>
      <c r="Z894" s="262"/>
      <c r="AA894" s="110"/>
      <c r="AB894" s="110"/>
      <c r="AC894" s="110"/>
      <c r="AD894" s="110"/>
      <c r="AE894" s="110"/>
      <c r="AF894" s="110"/>
      <c r="AG894" s="110"/>
      <c r="AH894" s="110"/>
      <c r="AI894" s="110"/>
      <c r="AJ894" s="110"/>
      <c r="AK894" s="110"/>
      <c r="AL894" s="110"/>
      <c r="AM894" s="110"/>
      <c r="AN894" s="110"/>
      <c r="AO894" s="110"/>
      <c r="AP894" s="110"/>
      <c r="AQ894" s="110"/>
      <c r="AR894" s="110"/>
      <c r="AS894" s="110"/>
      <c r="AT894" s="110"/>
      <c r="AU894" s="110"/>
    </row>
    <row r="895" spans="1:47" ht="12.75" hidden="1">
      <c r="A895" s="110"/>
      <c r="B895" s="1009"/>
      <c r="C895" s="1010"/>
      <c r="D895" s="253"/>
      <c r="E895" s="1011"/>
      <c r="F895" s="262"/>
      <c r="G895" s="1011"/>
      <c r="H895" s="262"/>
      <c r="I895" s="1011"/>
      <c r="J895" s="262"/>
      <c r="K895" s="1011"/>
      <c r="L895" s="262"/>
      <c r="M895" s="1011"/>
      <c r="N895" s="262"/>
      <c r="O895" s="1011"/>
      <c r="P895" s="262"/>
      <c r="Q895" s="1011"/>
      <c r="R895" s="1012"/>
      <c r="S895" s="1011"/>
      <c r="T895" s="1012"/>
      <c r="U895" s="1010"/>
      <c r="V895" s="1012"/>
      <c r="W895" s="1010"/>
      <c r="X895" s="1012"/>
      <c r="Y895" s="1010"/>
      <c r="Z895" s="262"/>
      <c r="AA895" s="110"/>
      <c r="AB895" s="110"/>
      <c r="AC895" s="110"/>
      <c r="AD895" s="110"/>
      <c r="AE895" s="110"/>
      <c r="AF895" s="110"/>
      <c r="AG895" s="110"/>
      <c r="AH895" s="110"/>
      <c r="AI895" s="110"/>
      <c r="AJ895" s="110"/>
      <c r="AK895" s="110"/>
      <c r="AL895" s="110"/>
      <c r="AM895" s="110"/>
      <c r="AN895" s="110"/>
      <c r="AO895" s="110"/>
      <c r="AP895" s="110"/>
      <c r="AQ895" s="110"/>
      <c r="AR895" s="110"/>
      <c r="AS895" s="110"/>
      <c r="AT895" s="110"/>
      <c r="AU895" s="110"/>
    </row>
    <row r="896" spans="1:47" ht="12.75" hidden="1">
      <c r="A896" s="110"/>
      <c r="B896" s="1009"/>
      <c r="C896" s="1010"/>
      <c r="D896" s="253"/>
      <c r="E896" s="1011"/>
      <c r="F896" s="262"/>
      <c r="G896" s="1011"/>
      <c r="H896" s="262"/>
      <c r="I896" s="1011"/>
      <c r="J896" s="262"/>
      <c r="K896" s="1011"/>
      <c r="L896" s="262"/>
      <c r="M896" s="1011"/>
      <c r="N896" s="262"/>
      <c r="O896" s="1011"/>
      <c r="P896" s="262"/>
      <c r="Q896" s="1011"/>
      <c r="R896" s="1012"/>
      <c r="S896" s="1011"/>
      <c r="T896" s="1012"/>
      <c r="U896" s="1010"/>
      <c r="V896" s="1012"/>
      <c r="W896" s="1010"/>
      <c r="X896" s="1012"/>
      <c r="Y896" s="1010"/>
      <c r="Z896" s="262"/>
      <c r="AA896" s="110"/>
      <c r="AB896" s="110"/>
      <c r="AC896" s="110"/>
      <c r="AD896" s="110"/>
      <c r="AE896" s="110"/>
      <c r="AF896" s="110"/>
      <c r="AG896" s="110"/>
      <c r="AH896" s="110"/>
      <c r="AI896" s="110"/>
      <c r="AJ896" s="110"/>
      <c r="AK896" s="110"/>
      <c r="AL896" s="110"/>
      <c r="AM896" s="110"/>
      <c r="AN896" s="110"/>
      <c r="AO896" s="110"/>
      <c r="AP896" s="110"/>
      <c r="AQ896" s="110"/>
      <c r="AR896" s="110"/>
      <c r="AS896" s="110"/>
      <c r="AT896" s="110"/>
      <c r="AU896" s="110"/>
    </row>
    <row r="897" spans="1:47" ht="12.75" hidden="1">
      <c r="A897" s="110"/>
      <c r="B897" s="1009"/>
      <c r="C897" s="1010"/>
      <c r="D897" s="253"/>
      <c r="E897" s="1011"/>
      <c r="F897" s="262"/>
      <c r="G897" s="1011"/>
      <c r="H897" s="262"/>
      <c r="I897" s="1011"/>
      <c r="J897" s="262"/>
      <c r="K897" s="1011"/>
      <c r="L897" s="262"/>
      <c r="M897" s="1011"/>
      <c r="N897" s="262"/>
      <c r="O897" s="1011"/>
      <c r="P897" s="262"/>
      <c r="Q897" s="1011"/>
      <c r="R897" s="1012"/>
      <c r="S897" s="1011"/>
      <c r="T897" s="1012"/>
      <c r="U897" s="1010"/>
      <c r="V897" s="1012"/>
      <c r="W897" s="1010"/>
      <c r="X897" s="1012"/>
      <c r="Y897" s="1010"/>
      <c r="Z897" s="262"/>
      <c r="AA897" s="110"/>
      <c r="AB897" s="110"/>
      <c r="AC897" s="110"/>
      <c r="AD897" s="110"/>
      <c r="AE897" s="110"/>
      <c r="AF897" s="110"/>
      <c r="AG897" s="110"/>
      <c r="AH897" s="110"/>
      <c r="AI897" s="110"/>
      <c r="AJ897" s="110"/>
      <c r="AK897" s="110"/>
      <c r="AL897" s="110"/>
      <c r="AM897" s="110"/>
      <c r="AN897" s="110"/>
      <c r="AO897" s="110"/>
      <c r="AP897" s="110"/>
      <c r="AQ897" s="110"/>
      <c r="AR897" s="110"/>
      <c r="AS897" s="110"/>
      <c r="AT897" s="110"/>
      <c r="AU897" s="110"/>
    </row>
    <row r="898" spans="1:47" ht="12.75" hidden="1">
      <c r="A898" s="110"/>
      <c r="B898" s="1009"/>
      <c r="C898" s="1010"/>
      <c r="D898" s="253"/>
      <c r="E898" s="1011"/>
      <c r="F898" s="262"/>
      <c r="G898" s="1011"/>
      <c r="H898" s="262"/>
      <c r="I898" s="1011"/>
      <c r="J898" s="262"/>
      <c r="K898" s="1011"/>
      <c r="L898" s="262"/>
      <c r="M898" s="1011"/>
      <c r="N898" s="262"/>
      <c r="O898" s="1011"/>
      <c r="P898" s="262"/>
      <c r="Q898" s="1011"/>
      <c r="R898" s="1012"/>
      <c r="S898" s="1011"/>
      <c r="T898" s="1012"/>
      <c r="U898" s="1010"/>
      <c r="V898" s="1012"/>
      <c r="W898" s="1010"/>
      <c r="X898" s="1012"/>
      <c r="Y898" s="1010"/>
      <c r="Z898" s="262"/>
      <c r="AA898" s="110"/>
      <c r="AB898" s="110"/>
      <c r="AC898" s="110"/>
      <c r="AD898" s="110"/>
      <c r="AE898" s="110"/>
      <c r="AF898" s="110"/>
      <c r="AG898" s="110"/>
      <c r="AH898" s="110"/>
      <c r="AI898" s="110"/>
      <c r="AJ898" s="110"/>
      <c r="AK898" s="110"/>
      <c r="AL898" s="110"/>
      <c r="AM898" s="110"/>
      <c r="AN898" s="110"/>
      <c r="AO898" s="110"/>
      <c r="AP898" s="110"/>
      <c r="AQ898" s="110"/>
      <c r="AR898" s="110"/>
      <c r="AS898" s="110"/>
      <c r="AT898" s="110"/>
      <c r="AU898" s="110"/>
    </row>
    <row r="899" spans="1:47" ht="12.75" hidden="1">
      <c r="A899" s="110"/>
      <c r="B899" s="1009"/>
      <c r="C899" s="1010"/>
      <c r="D899" s="253"/>
      <c r="E899" s="1011"/>
      <c r="F899" s="262"/>
      <c r="G899" s="1011"/>
      <c r="H899" s="262"/>
      <c r="I899" s="1011"/>
      <c r="J899" s="262"/>
      <c r="K899" s="1011"/>
      <c r="L899" s="262"/>
      <c r="M899" s="1011"/>
      <c r="N899" s="262"/>
      <c r="O899" s="1011"/>
      <c r="P899" s="262"/>
      <c r="Q899" s="1011"/>
      <c r="R899" s="1012"/>
      <c r="S899" s="1011"/>
      <c r="T899" s="1012"/>
      <c r="U899" s="1010"/>
      <c r="V899" s="1012"/>
      <c r="W899" s="1010"/>
      <c r="X899" s="1012"/>
      <c r="Y899" s="1010"/>
      <c r="Z899" s="262"/>
      <c r="AA899" s="110"/>
      <c r="AB899" s="110"/>
      <c r="AC899" s="110"/>
      <c r="AD899" s="110"/>
      <c r="AE899" s="110"/>
      <c r="AF899" s="110"/>
      <c r="AG899" s="110"/>
      <c r="AH899" s="110"/>
      <c r="AI899" s="110"/>
      <c r="AJ899" s="110"/>
      <c r="AK899" s="110"/>
      <c r="AL899" s="110"/>
      <c r="AM899" s="110"/>
      <c r="AN899" s="110"/>
      <c r="AO899" s="110"/>
      <c r="AP899" s="110"/>
      <c r="AQ899" s="110"/>
      <c r="AR899" s="110"/>
      <c r="AS899" s="110"/>
      <c r="AT899" s="110"/>
      <c r="AU899" s="110"/>
    </row>
    <row r="900" spans="1:47" ht="12.75" hidden="1">
      <c r="A900" s="110"/>
      <c r="B900" s="1009"/>
      <c r="C900" s="1010"/>
      <c r="D900" s="253"/>
      <c r="E900" s="1011"/>
      <c r="F900" s="262"/>
      <c r="G900" s="1011"/>
      <c r="H900" s="262"/>
      <c r="I900" s="1011"/>
      <c r="J900" s="262"/>
      <c r="K900" s="1011"/>
      <c r="L900" s="262"/>
      <c r="M900" s="1011"/>
      <c r="N900" s="262"/>
      <c r="O900" s="1011"/>
      <c r="P900" s="262"/>
      <c r="Q900" s="1011"/>
      <c r="R900" s="1012"/>
      <c r="S900" s="1011"/>
      <c r="T900" s="1012"/>
      <c r="U900" s="1010"/>
      <c r="V900" s="1012"/>
      <c r="W900" s="1010"/>
      <c r="X900" s="1012"/>
      <c r="Y900" s="1010"/>
      <c r="Z900" s="262"/>
      <c r="AA900" s="110"/>
      <c r="AB900" s="110"/>
      <c r="AC900" s="110"/>
      <c r="AD900" s="110"/>
      <c r="AE900" s="110"/>
      <c r="AF900" s="110"/>
      <c r="AG900" s="110"/>
      <c r="AH900" s="110"/>
      <c r="AI900" s="110"/>
      <c r="AJ900" s="110"/>
      <c r="AK900" s="110"/>
      <c r="AL900" s="110"/>
      <c r="AM900" s="110"/>
      <c r="AN900" s="110"/>
      <c r="AO900" s="110"/>
      <c r="AP900" s="110"/>
      <c r="AQ900" s="110"/>
      <c r="AR900" s="110"/>
      <c r="AS900" s="110"/>
      <c r="AT900" s="110"/>
      <c r="AU900" s="110"/>
    </row>
    <row r="901" spans="1:47" ht="12.75" hidden="1">
      <c r="A901" s="110"/>
      <c r="B901" s="1009"/>
      <c r="C901" s="1010"/>
      <c r="D901" s="253"/>
      <c r="E901" s="1011"/>
      <c r="F901" s="262"/>
      <c r="G901" s="1011"/>
      <c r="H901" s="262"/>
      <c r="I901" s="1011"/>
      <c r="J901" s="262"/>
      <c r="K901" s="1011"/>
      <c r="L901" s="262"/>
      <c r="M901" s="1011"/>
      <c r="N901" s="262"/>
      <c r="O901" s="1011"/>
      <c r="P901" s="262"/>
      <c r="Q901" s="1011"/>
      <c r="R901" s="1012"/>
      <c r="S901" s="1011"/>
      <c r="T901" s="1012"/>
      <c r="U901" s="1010"/>
      <c r="V901" s="1012"/>
      <c r="W901" s="1010"/>
      <c r="X901" s="1012"/>
      <c r="Y901" s="1010"/>
      <c r="Z901" s="262"/>
      <c r="AA901" s="110"/>
      <c r="AB901" s="110"/>
      <c r="AC901" s="110"/>
      <c r="AD901" s="110"/>
      <c r="AE901" s="110"/>
      <c r="AF901" s="110"/>
      <c r="AG901" s="110"/>
      <c r="AH901" s="110"/>
      <c r="AI901" s="110"/>
      <c r="AJ901" s="110"/>
      <c r="AK901" s="110"/>
      <c r="AL901" s="110"/>
      <c r="AM901" s="110"/>
      <c r="AN901" s="110"/>
      <c r="AO901" s="110"/>
      <c r="AP901" s="110"/>
      <c r="AQ901" s="110"/>
      <c r="AR901" s="110"/>
      <c r="AS901" s="110"/>
      <c r="AT901" s="110"/>
      <c r="AU901" s="110"/>
    </row>
    <row r="902" spans="1:47" ht="12.75" hidden="1">
      <c r="A902" s="110"/>
      <c r="B902" s="1009"/>
      <c r="C902" s="1010"/>
      <c r="D902" s="253"/>
      <c r="E902" s="1011"/>
      <c r="F902" s="262"/>
      <c r="G902" s="1011"/>
      <c r="H902" s="262"/>
      <c r="I902" s="1011"/>
      <c r="J902" s="262"/>
      <c r="K902" s="1011"/>
      <c r="L902" s="262"/>
      <c r="M902" s="1011"/>
      <c r="N902" s="262"/>
      <c r="O902" s="1011"/>
      <c r="P902" s="262"/>
      <c r="Q902" s="1011"/>
      <c r="R902" s="1012"/>
      <c r="S902" s="1011"/>
      <c r="T902" s="1012"/>
      <c r="U902" s="1010"/>
      <c r="V902" s="1012"/>
      <c r="W902" s="1010"/>
      <c r="X902" s="1012"/>
      <c r="Y902" s="1010"/>
      <c r="Z902" s="262"/>
      <c r="AA902" s="110"/>
      <c r="AB902" s="110"/>
      <c r="AC902" s="110"/>
      <c r="AD902" s="110"/>
      <c r="AE902" s="110"/>
      <c r="AF902" s="110"/>
      <c r="AG902" s="110"/>
      <c r="AH902" s="110"/>
      <c r="AI902" s="110"/>
      <c r="AJ902" s="110"/>
      <c r="AK902" s="110"/>
      <c r="AL902" s="110"/>
      <c r="AM902" s="110"/>
      <c r="AN902" s="110"/>
      <c r="AO902" s="110"/>
      <c r="AP902" s="110"/>
      <c r="AQ902" s="110"/>
      <c r="AR902" s="110"/>
      <c r="AS902" s="110"/>
      <c r="AT902" s="110"/>
      <c r="AU902" s="110"/>
    </row>
    <row r="903" spans="1:47" ht="12.75" hidden="1">
      <c r="A903" s="110"/>
      <c r="B903" s="1009"/>
      <c r="C903" s="1010"/>
      <c r="D903" s="253"/>
      <c r="E903" s="1011"/>
      <c r="F903" s="262"/>
      <c r="G903" s="1011"/>
      <c r="H903" s="262"/>
      <c r="I903" s="1011"/>
      <c r="J903" s="262"/>
      <c r="K903" s="1011"/>
      <c r="L903" s="262"/>
      <c r="M903" s="1011"/>
      <c r="N903" s="262"/>
      <c r="O903" s="1011"/>
      <c r="P903" s="262"/>
      <c r="Q903" s="1011"/>
      <c r="R903" s="1012"/>
      <c r="S903" s="1011"/>
      <c r="T903" s="1012"/>
      <c r="U903" s="1010"/>
      <c r="V903" s="1012"/>
      <c r="W903" s="1010"/>
      <c r="X903" s="1012"/>
      <c r="Y903" s="1010"/>
      <c r="Z903" s="262"/>
      <c r="AA903" s="110"/>
      <c r="AB903" s="110"/>
      <c r="AC903" s="110"/>
      <c r="AD903" s="110"/>
      <c r="AE903" s="110"/>
      <c r="AF903" s="110"/>
      <c r="AG903" s="110"/>
      <c r="AH903" s="110"/>
      <c r="AI903" s="110"/>
      <c r="AJ903" s="110"/>
      <c r="AK903" s="110"/>
      <c r="AL903" s="110"/>
      <c r="AM903" s="110"/>
      <c r="AN903" s="110"/>
      <c r="AO903" s="110"/>
      <c r="AP903" s="110"/>
      <c r="AQ903" s="110"/>
      <c r="AR903" s="110"/>
      <c r="AS903" s="110"/>
      <c r="AT903" s="110"/>
      <c r="AU903" s="110"/>
    </row>
    <row r="904" spans="1:47" ht="12.75" hidden="1">
      <c r="A904" s="110"/>
      <c r="B904" s="1009"/>
      <c r="C904" s="1010"/>
      <c r="D904" s="253"/>
      <c r="E904" s="1011"/>
      <c r="F904" s="262"/>
      <c r="G904" s="1011"/>
      <c r="H904" s="262"/>
      <c r="I904" s="1011"/>
      <c r="J904" s="262"/>
      <c r="K904" s="1011"/>
      <c r="L904" s="262"/>
      <c r="M904" s="1011"/>
      <c r="N904" s="262"/>
      <c r="O904" s="1011"/>
      <c r="P904" s="262"/>
      <c r="Q904" s="1011"/>
      <c r="R904" s="1012"/>
      <c r="S904" s="1011"/>
      <c r="T904" s="1012"/>
      <c r="U904" s="1010"/>
      <c r="V904" s="1012"/>
      <c r="W904" s="1010"/>
      <c r="X904" s="1012"/>
      <c r="Y904" s="1010"/>
      <c r="Z904" s="262"/>
      <c r="AA904" s="110"/>
      <c r="AB904" s="110"/>
      <c r="AC904" s="110"/>
      <c r="AD904" s="110"/>
      <c r="AE904" s="110"/>
      <c r="AF904" s="110"/>
      <c r="AG904" s="110"/>
      <c r="AH904" s="110"/>
      <c r="AI904" s="110"/>
      <c r="AJ904" s="110"/>
      <c r="AK904" s="110"/>
      <c r="AL904" s="110"/>
      <c r="AM904" s="110"/>
      <c r="AN904" s="110"/>
      <c r="AO904" s="110"/>
      <c r="AP904" s="110"/>
      <c r="AQ904" s="110"/>
      <c r="AR904" s="110"/>
      <c r="AS904" s="110"/>
      <c r="AT904" s="110"/>
      <c r="AU904" s="110"/>
    </row>
    <row r="905" spans="1:47" ht="12.75" hidden="1">
      <c r="A905" s="110"/>
      <c r="B905" s="1009"/>
      <c r="C905" s="1010"/>
      <c r="D905" s="253"/>
      <c r="E905" s="1011"/>
      <c r="F905" s="262"/>
      <c r="G905" s="1011"/>
      <c r="H905" s="262"/>
      <c r="I905" s="1011"/>
      <c r="J905" s="262"/>
      <c r="K905" s="1011"/>
      <c r="L905" s="262"/>
      <c r="M905" s="1011"/>
      <c r="N905" s="262"/>
      <c r="O905" s="1011"/>
      <c r="P905" s="262"/>
      <c r="Q905" s="1011"/>
      <c r="R905" s="1012"/>
      <c r="S905" s="1011"/>
      <c r="T905" s="1012"/>
      <c r="U905" s="1010"/>
      <c r="V905" s="1012"/>
      <c r="W905" s="1010"/>
      <c r="X905" s="1012"/>
      <c r="Y905" s="1010"/>
      <c r="Z905" s="262"/>
      <c r="AA905" s="110"/>
      <c r="AB905" s="110"/>
      <c r="AC905" s="110"/>
      <c r="AD905" s="110"/>
      <c r="AE905" s="110"/>
      <c r="AF905" s="110"/>
      <c r="AG905" s="110"/>
      <c r="AH905" s="110"/>
      <c r="AI905" s="110"/>
      <c r="AJ905" s="110"/>
      <c r="AK905" s="110"/>
      <c r="AL905" s="110"/>
      <c r="AM905" s="110"/>
      <c r="AN905" s="110"/>
      <c r="AO905" s="110"/>
      <c r="AP905" s="110"/>
      <c r="AQ905" s="110"/>
      <c r="AR905" s="110"/>
      <c r="AS905" s="110"/>
      <c r="AT905" s="110"/>
      <c r="AU905" s="110"/>
    </row>
    <row r="906" spans="1:47" ht="12.75" hidden="1">
      <c r="A906" s="110"/>
      <c r="B906" s="1009"/>
      <c r="C906" s="1010"/>
      <c r="D906" s="253"/>
      <c r="E906" s="1011"/>
      <c r="F906" s="262"/>
      <c r="G906" s="1011"/>
      <c r="H906" s="262"/>
      <c r="I906" s="1011"/>
      <c r="J906" s="262"/>
      <c r="K906" s="1011"/>
      <c r="L906" s="262"/>
      <c r="M906" s="1011"/>
      <c r="N906" s="262"/>
      <c r="O906" s="1011"/>
      <c r="P906" s="262"/>
      <c r="Q906" s="1011"/>
      <c r="R906" s="1012"/>
      <c r="S906" s="1011"/>
      <c r="T906" s="1012"/>
      <c r="U906" s="1010"/>
      <c r="V906" s="1012"/>
      <c r="W906" s="1010"/>
      <c r="X906" s="1012"/>
      <c r="Y906" s="1010"/>
      <c r="Z906" s="262"/>
      <c r="AA906" s="110"/>
      <c r="AB906" s="110"/>
      <c r="AC906" s="110"/>
      <c r="AD906" s="110"/>
      <c r="AE906" s="110"/>
      <c r="AF906" s="110"/>
      <c r="AG906" s="110"/>
      <c r="AH906" s="110"/>
      <c r="AI906" s="110"/>
      <c r="AJ906" s="110"/>
      <c r="AK906" s="110"/>
      <c r="AL906" s="110"/>
      <c r="AM906" s="110"/>
      <c r="AN906" s="110"/>
      <c r="AO906" s="110"/>
      <c r="AP906" s="110"/>
      <c r="AQ906" s="110"/>
      <c r="AR906" s="110"/>
      <c r="AS906" s="110"/>
      <c r="AT906" s="110"/>
      <c r="AU906" s="110"/>
    </row>
    <row r="907" spans="1:47" ht="12.75" hidden="1">
      <c r="A907" s="110"/>
      <c r="B907" s="1009"/>
      <c r="C907" s="1010"/>
      <c r="D907" s="253"/>
      <c r="E907" s="1011"/>
      <c r="F907" s="262"/>
      <c r="G907" s="1011"/>
      <c r="H907" s="262"/>
      <c r="I907" s="1011"/>
      <c r="J907" s="262"/>
      <c r="K907" s="1011"/>
      <c r="L907" s="262"/>
      <c r="M907" s="1011"/>
      <c r="N907" s="262"/>
      <c r="O907" s="1011"/>
      <c r="P907" s="262"/>
      <c r="Q907" s="1011"/>
      <c r="R907" s="1012"/>
      <c r="S907" s="1011"/>
      <c r="T907" s="1012"/>
      <c r="U907" s="1010"/>
      <c r="V907" s="1012"/>
      <c r="W907" s="1010"/>
      <c r="X907" s="1012"/>
      <c r="Y907" s="1010"/>
      <c r="Z907" s="262"/>
      <c r="AA907" s="110"/>
      <c r="AB907" s="110"/>
      <c r="AC907" s="110"/>
      <c r="AD907" s="110"/>
      <c r="AE907" s="110"/>
      <c r="AF907" s="110"/>
      <c r="AG907" s="110"/>
      <c r="AH907" s="110"/>
      <c r="AI907" s="110"/>
      <c r="AJ907" s="110"/>
      <c r="AK907" s="110"/>
      <c r="AL907" s="110"/>
      <c r="AM907" s="110"/>
      <c r="AN907" s="110"/>
      <c r="AO907" s="110"/>
      <c r="AP907" s="110"/>
      <c r="AQ907" s="110"/>
      <c r="AR907" s="110"/>
      <c r="AS907" s="110"/>
      <c r="AT907" s="110"/>
      <c r="AU907" s="110"/>
    </row>
    <row r="908" spans="1:47" ht="12.75" hidden="1">
      <c r="A908" s="110"/>
      <c r="B908" s="1009"/>
      <c r="C908" s="1010"/>
      <c r="D908" s="253"/>
      <c r="E908" s="1011"/>
      <c r="F908" s="262"/>
      <c r="G908" s="1011"/>
      <c r="H908" s="262"/>
      <c r="I908" s="1011"/>
      <c r="J908" s="262"/>
      <c r="K908" s="1011"/>
      <c r="L908" s="262"/>
      <c r="M908" s="1011"/>
      <c r="N908" s="262"/>
      <c r="O908" s="1011"/>
      <c r="P908" s="262"/>
      <c r="Q908" s="1011"/>
      <c r="R908" s="1012"/>
      <c r="S908" s="1011"/>
      <c r="T908" s="1012"/>
      <c r="U908" s="1010"/>
      <c r="V908" s="1012"/>
      <c r="W908" s="1010"/>
      <c r="X908" s="1012"/>
      <c r="Y908" s="1010"/>
      <c r="Z908" s="262"/>
      <c r="AA908" s="110"/>
      <c r="AB908" s="110"/>
      <c r="AC908" s="110"/>
      <c r="AD908" s="110"/>
      <c r="AE908" s="110"/>
      <c r="AF908" s="110"/>
      <c r="AG908" s="110"/>
      <c r="AH908" s="110"/>
      <c r="AI908" s="110"/>
      <c r="AJ908" s="110"/>
      <c r="AK908" s="110"/>
      <c r="AL908" s="110"/>
      <c r="AM908" s="110"/>
      <c r="AN908" s="110"/>
      <c r="AO908" s="110"/>
      <c r="AP908" s="110"/>
      <c r="AQ908" s="110"/>
      <c r="AR908" s="110"/>
      <c r="AS908" s="110"/>
      <c r="AT908" s="110"/>
      <c r="AU908" s="110"/>
    </row>
    <row r="909" spans="1:47" ht="12.75" hidden="1">
      <c r="A909" s="110"/>
      <c r="B909" s="1009"/>
      <c r="C909" s="1010"/>
      <c r="D909" s="253"/>
      <c r="E909" s="1011"/>
      <c r="F909" s="262"/>
      <c r="G909" s="1011"/>
      <c r="H909" s="262"/>
      <c r="I909" s="1011"/>
      <c r="J909" s="262"/>
      <c r="K909" s="1011"/>
      <c r="L909" s="262"/>
      <c r="M909" s="1011"/>
      <c r="N909" s="262"/>
      <c r="O909" s="1011"/>
      <c r="P909" s="262"/>
      <c r="Q909" s="1011"/>
      <c r="R909" s="1012"/>
      <c r="S909" s="1011"/>
      <c r="T909" s="1012"/>
      <c r="U909" s="1010"/>
      <c r="V909" s="1012"/>
      <c r="W909" s="1010"/>
      <c r="X909" s="1012"/>
      <c r="Y909" s="1010"/>
      <c r="Z909" s="262"/>
      <c r="AA909" s="110"/>
      <c r="AB909" s="110"/>
      <c r="AC909" s="110"/>
      <c r="AD909" s="110"/>
      <c r="AE909" s="110"/>
      <c r="AF909" s="110"/>
      <c r="AG909" s="110"/>
      <c r="AH909" s="110"/>
      <c r="AI909" s="110"/>
      <c r="AJ909" s="110"/>
      <c r="AK909" s="110"/>
      <c r="AL909" s="110"/>
      <c r="AM909" s="110"/>
      <c r="AN909" s="110"/>
      <c r="AO909" s="110"/>
      <c r="AP909" s="110"/>
      <c r="AQ909" s="110"/>
      <c r="AR909" s="110"/>
      <c r="AS909" s="110"/>
      <c r="AT909" s="110"/>
      <c r="AU909" s="110"/>
    </row>
    <row r="910" spans="1:47" ht="12.75" hidden="1">
      <c r="A910" s="110"/>
      <c r="B910" s="1009"/>
      <c r="C910" s="1010"/>
      <c r="D910" s="253"/>
      <c r="E910" s="1011"/>
      <c r="F910" s="262"/>
      <c r="G910" s="1011"/>
      <c r="H910" s="262"/>
      <c r="I910" s="1011"/>
      <c r="J910" s="262"/>
      <c r="K910" s="1011"/>
      <c r="L910" s="262"/>
      <c r="M910" s="1011"/>
      <c r="N910" s="262"/>
      <c r="O910" s="1011"/>
      <c r="P910" s="262"/>
      <c r="Q910" s="1011"/>
      <c r="R910" s="1012"/>
      <c r="S910" s="1011"/>
      <c r="T910" s="1012"/>
      <c r="U910" s="1010"/>
      <c r="V910" s="1012"/>
      <c r="W910" s="1010"/>
      <c r="X910" s="1012"/>
      <c r="Y910" s="1010"/>
      <c r="Z910" s="262"/>
      <c r="AA910" s="110"/>
      <c r="AB910" s="110"/>
      <c r="AC910" s="110"/>
      <c r="AD910" s="110"/>
      <c r="AE910" s="110"/>
      <c r="AF910" s="110"/>
      <c r="AG910" s="110"/>
      <c r="AH910" s="110"/>
      <c r="AI910" s="110"/>
      <c r="AJ910" s="110"/>
      <c r="AK910" s="110"/>
      <c r="AL910" s="110"/>
      <c r="AM910" s="110"/>
      <c r="AN910" s="110"/>
      <c r="AO910" s="110"/>
      <c r="AP910" s="110"/>
      <c r="AQ910" s="110"/>
      <c r="AR910" s="110"/>
      <c r="AS910" s="110"/>
      <c r="AT910" s="110"/>
      <c r="AU910" s="110"/>
    </row>
    <row r="911" spans="1:47" ht="12.75" hidden="1">
      <c r="A911" s="110"/>
      <c r="B911" s="1009"/>
      <c r="C911" s="1010"/>
      <c r="D911" s="253"/>
      <c r="E911" s="1011"/>
      <c r="F911" s="262"/>
      <c r="G911" s="1011"/>
      <c r="H911" s="262"/>
      <c r="I911" s="1011"/>
      <c r="J911" s="262"/>
      <c r="K911" s="1011"/>
      <c r="L911" s="262"/>
      <c r="M911" s="1011"/>
      <c r="N911" s="262"/>
      <c r="O911" s="1011"/>
      <c r="P911" s="262"/>
      <c r="Q911" s="1011"/>
      <c r="R911" s="1012"/>
      <c r="S911" s="1011"/>
      <c r="T911" s="1012"/>
      <c r="U911" s="1010"/>
      <c r="V911" s="1012"/>
      <c r="W911" s="1010"/>
      <c r="X911" s="1012"/>
      <c r="Y911" s="1010"/>
      <c r="Z911" s="262"/>
      <c r="AA911" s="110"/>
      <c r="AB911" s="110"/>
      <c r="AC911" s="110"/>
      <c r="AD911" s="110"/>
      <c r="AE911" s="110"/>
      <c r="AF911" s="110"/>
      <c r="AG911" s="110"/>
      <c r="AH911" s="110"/>
      <c r="AI911" s="110"/>
      <c r="AJ911" s="110"/>
      <c r="AK911" s="110"/>
      <c r="AL911" s="110"/>
      <c r="AM911" s="110"/>
      <c r="AN911" s="110"/>
      <c r="AO911" s="110"/>
      <c r="AP911" s="110"/>
      <c r="AQ911" s="110"/>
      <c r="AR911" s="110"/>
      <c r="AS911" s="110"/>
      <c r="AT911" s="110"/>
      <c r="AU911" s="110"/>
    </row>
    <row r="912" spans="1:47" ht="12.75" hidden="1">
      <c r="A912" s="110"/>
      <c r="B912" s="1009"/>
      <c r="C912" s="1010"/>
      <c r="D912" s="253"/>
      <c r="E912" s="1011"/>
      <c r="F912" s="262"/>
      <c r="G912" s="1011"/>
      <c r="H912" s="262"/>
      <c r="I912" s="1011"/>
      <c r="J912" s="262"/>
      <c r="K912" s="1011"/>
      <c r="L912" s="262"/>
      <c r="M912" s="1011"/>
      <c r="N912" s="262"/>
      <c r="O912" s="1011"/>
      <c r="P912" s="262"/>
      <c r="Q912" s="1011"/>
      <c r="R912" s="1012"/>
      <c r="S912" s="1011"/>
      <c r="T912" s="1012"/>
      <c r="U912" s="1010"/>
      <c r="V912" s="1012"/>
      <c r="W912" s="1010"/>
      <c r="X912" s="1012"/>
      <c r="Y912" s="1010"/>
      <c r="Z912" s="262"/>
      <c r="AA912" s="110"/>
      <c r="AB912" s="110"/>
      <c r="AC912" s="110"/>
      <c r="AD912" s="110"/>
      <c r="AE912" s="110"/>
      <c r="AF912" s="110"/>
      <c r="AG912" s="110"/>
      <c r="AH912" s="110"/>
      <c r="AI912" s="110"/>
      <c r="AJ912" s="110"/>
      <c r="AK912" s="110"/>
      <c r="AL912" s="110"/>
      <c r="AM912" s="110"/>
      <c r="AN912" s="110"/>
      <c r="AO912" s="110"/>
      <c r="AP912" s="110"/>
      <c r="AQ912" s="110"/>
      <c r="AR912" s="110"/>
      <c r="AS912" s="110"/>
      <c r="AT912" s="110"/>
      <c r="AU912" s="110"/>
    </row>
    <row r="913" spans="1:47" ht="12.75" hidden="1">
      <c r="A913" s="110"/>
      <c r="B913" s="1009"/>
      <c r="C913" s="1010"/>
      <c r="D913" s="253"/>
      <c r="E913" s="1011"/>
      <c r="F913" s="262"/>
      <c r="G913" s="1011"/>
      <c r="H913" s="262"/>
      <c r="I913" s="1011"/>
      <c r="J913" s="262"/>
      <c r="K913" s="1011"/>
      <c r="L913" s="262"/>
      <c r="M913" s="1011"/>
      <c r="N913" s="262"/>
      <c r="O913" s="1011"/>
      <c r="P913" s="262"/>
      <c r="Q913" s="1011"/>
      <c r="R913" s="1012"/>
      <c r="S913" s="1011"/>
      <c r="T913" s="1012"/>
      <c r="U913" s="1010"/>
      <c r="V913" s="1012"/>
      <c r="W913" s="1010"/>
      <c r="X913" s="1012"/>
      <c r="Y913" s="1010"/>
      <c r="Z913" s="262"/>
      <c r="AA913" s="110"/>
      <c r="AB913" s="110"/>
      <c r="AC913" s="110"/>
      <c r="AD913" s="110"/>
      <c r="AE913" s="110"/>
      <c r="AF913" s="110"/>
      <c r="AG913" s="110"/>
      <c r="AH913" s="110"/>
      <c r="AI913" s="110"/>
      <c r="AJ913" s="110"/>
      <c r="AK913" s="110"/>
      <c r="AL913" s="110"/>
      <c r="AM913" s="110"/>
      <c r="AN913" s="110"/>
      <c r="AO913" s="110"/>
      <c r="AP913" s="110"/>
      <c r="AQ913" s="110"/>
      <c r="AR913" s="110"/>
      <c r="AS913" s="110"/>
      <c r="AT913" s="110"/>
      <c r="AU913" s="110"/>
    </row>
    <row r="914" spans="1:47" ht="12.75" hidden="1">
      <c r="A914" s="110"/>
      <c r="B914" s="1009"/>
      <c r="C914" s="1010"/>
      <c r="D914" s="253"/>
      <c r="E914" s="1011"/>
      <c r="F914" s="262"/>
      <c r="G914" s="1011"/>
      <c r="H914" s="262"/>
      <c r="I914" s="1011"/>
      <c r="J914" s="262"/>
      <c r="K914" s="1011"/>
      <c r="L914" s="262"/>
      <c r="M914" s="1011"/>
      <c r="N914" s="262"/>
      <c r="O914" s="1011"/>
      <c r="P914" s="262"/>
      <c r="Q914" s="1011"/>
      <c r="R914" s="1012"/>
      <c r="S914" s="1011"/>
      <c r="T914" s="1012"/>
      <c r="U914" s="1010"/>
      <c r="V914" s="1012"/>
      <c r="W914" s="1010"/>
      <c r="X914" s="1012"/>
      <c r="Y914" s="1010"/>
      <c r="Z914" s="262"/>
      <c r="AA914" s="110"/>
      <c r="AB914" s="110"/>
      <c r="AC914" s="110"/>
      <c r="AD914" s="110"/>
      <c r="AE914" s="110"/>
      <c r="AF914" s="110"/>
      <c r="AG914" s="110"/>
      <c r="AH914" s="110"/>
      <c r="AI914" s="110"/>
      <c r="AJ914" s="110"/>
      <c r="AK914" s="110"/>
      <c r="AL914" s="110"/>
      <c r="AM914" s="110"/>
      <c r="AN914" s="110"/>
      <c r="AO914" s="110"/>
      <c r="AP914" s="110"/>
      <c r="AQ914" s="110"/>
      <c r="AR914" s="110"/>
      <c r="AS914" s="110"/>
      <c r="AT914" s="110"/>
      <c r="AU914" s="110"/>
    </row>
    <row r="915" spans="1:47" ht="12.75" hidden="1">
      <c r="A915" s="110"/>
      <c r="B915" s="1009"/>
      <c r="C915" s="1010"/>
      <c r="D915" s="253"/>
      <c r="E915" s="1011"/>
      <c r="F915" s="262"/>
      <c r="G915" s="1011"/>
      <c r="H915" s="262"/>
      <c r="I915" s="1011"/>
      <c r="J915" s="262"/>
      <c r="K915" s="1011"/>
      <c r="L915" s="262"/>
      <c r="M915" s="1011"/>
      <c r="N915" s="262"/>
      <c r="O915" s="1011"/>
      <c r="P915" s="262"/>
      <c r="Q915" s="1011"/>
      <c r="R915" s="1012"/>
      <c r="S915" s="1011"/>
      <c r="T915" s="1012"/>
      <c r="U915" s="1010"/>
      <c r="V915" s="1012"/>
      <c r="W915" s="1010"/>
      <c r="X915" s="1012"/>
      <c r="Y915" s="1010"/>
      <c r="Z915" s="262"/>
      <c r="AA915" s="110"/>
      <c r="AB915" s="110"/>
      <c r="AC915" s="110"/>
      <c r="AD915" s="110"/>
      <c r="AE915" s="110"/>
      <c r="AF915" s="110"/>
      <c r="AG915" s="110"/>
      <c r="AH915" s="110"/>
      <c r="AI915" s="110"/>
      <c r="AJ915" s="110"/>
      <c r="AK915" s="110"/>
      <c r="AL915" s="110"/>
      <c r="AM915" s="110"/>
      <c r="AN915" s="110"/>
      <c r="AO915" s="110"/>
      <c r="AP915" s="110"/>
      <c r="AQ915" s="110"/>
      <c r="AR915" s="110"/>
      <c r="AS915" s="110"/>
      <c r="AT915" s="110"/>
      <c r="AU915" s="110"/>
    </row>
    <row r="916" spans="1:47" ht="12.75" hidden="1">
      <c r="A916" s="110"/>
      <c r="B916" s="1009"/>
      <c r="C916" s="1010"/>
      <c r="D916" s="253"/>
      <c r="E916" s="1011"/>
      <c r="F916" s="262"/>
      <c r="G916" s="1011"/>
      <c r="H916" s="262"/>
      <c r="I916" s="1011"/>
      <c r="J916" s="262"/>
      <c r="K916" s="1011"/>
      <c r="L916" s="262"/>
      <c r="M916" s="1011"/>
      <c r="N916" s="262"/>
      <c r="O916" s="1011"/>
      <c r="P916" s="262"/>
      <c r="Q916" s="1011"/>
      <c r="R916" s="1012"/>
      <c r="S916" s="1011"/>
      <c r="T916" s="1012"/>
      <c r="U916" s="1010"/>
      <c r="V916" s="1012"/>
      <c r="W916" s="1010"/>
      <c r="X916" s="1012"/>
      <c r="Y916" s="1010"/>
      <c r="Z916" s="262"/>
      <c r="AA916" s="110"/>
      <c r="AB916" s="110"/>
      <c r="AC916" s="110"/>
      <c r="AD916" s="110"/>
      <c r="AE916" s="110"/>
      <c r="AF916" s="110"/>
      <c r="AG916" s="110"/>
      <c r="AH916" s="110"/>
      <c r="AI916" s="110"/>
      <c r="AJ916" s="110"/>
      <c r="AK916" s="110"/>
      <c r="AL916" s="110"/>
      <c r="AM916" s="110"/>
      <c r="AN916" s="110"/>
      <c r="AO916" s="110"/>
      <c r="AP916" s="110"/>
      <c r="AQ916" s="110"/>
      <c r="AR916" s="110"/>
      <c r="AS916" s="110"/>
      <c r="AT916" s="110"/>
      <c r="AU916" s="110"/>
    </row>
    <row r="917" spans="1:47" ht="12.75" hidden="1">
      <c r="A917" s="110"/>
      <c r="B917" s="1009"/>
      <c r="C917" s="1010"/>
      <c r="D917" s="253"/>
      <c r="E917" s="1011"/>
      <c r="F917" s="262"/>
      <c r="G917" s="1011"/>
      <c r="H917" s="262"/>
      <c r="I917" s="1011"/>
      <c r="J917" s="262"/>
      <c r="K917" s="1011"/>
      <c r="L917" s="262"/>
      <c r="M917" s="1011"/>
      <c r="N917" s="262"/>
      <c r="O917" s="1011"/>
      <c r="P917" s="262"/>
      <c r="Q917" s="1011"/>
      <c r="R917" s="1012"/>
      <c r="S917" s="1011"/>
      <c r="T917" s="1012"/>
      <c r="U917" s="1010"/>
      <c r="V917" s="1012"/>
      <c r="W917" s="1010"/>
      <c r="X917" s="1012"/>
      <c r="Y917" s="1010"/>
      <c r="Z917" s="262"/>
      <c r="AA917" s="110"/>
      <c r="AB917" s="110"/>
      <c r="AC917" s="110"/>
      <c r="AD917" s="110"/>
      <c r="AE917" s="110"/>
      <c r="AF917" s="110"/>
      <c r="AG917" s="110"/>
      <c r="AH917" s="110"/>
      <c r="AI917" s="110"/>
      <c r="AJ917" s="110"/>
      <c r="AK917" s="110"/>
      <c r="AL917" s="110"/>
      <c r="AM917" s="110"/>
      <c r="AN917" s="110"/>
      <c r="AO917" s="110"/>
      <c r="AP917" s="110"/>
      <c r="AQ917" s="110"/>
      <c r="AR917" s="110"/>
      <c r="AS917" s="110"/>
      <c r="AT917" s="110"/>
      <c r="AU917" s="110"/>
    </row>
    <row r="918" spans="1:47" ht="12.75" hidden="1">
      <c r="A918" s="110"/>
      <c r="B918" s="1009"/>
      <c r="C918" s="1010"/>
      <c r="D918" s="253"/>
      <c r="E918" s="1011"/>
      <c r="F918" s="262"/>
      <c r="G918" s="1011"/>
      <c r="H918" s="262"/>
      <c r="I918" s="1011"/>
      <c r="J918" s="262"/>
      <c r="K918" s="1011"/>
      <c r="L918" s="262"/>
      <c r="M918" s="1011"/>
      <c r="N918" s="262"/>
      <c r="O918" s="1011"/>
      <c r="P918" s="262"/>
      <c r="Q918" s="1011"/>
      <c r="R918" s="1012"/>
      <c r="S918" s="1011"/>
      <c r="T918" s="1012"/>
      <c r="U918" s="1010"/>
      <c r="V918" s="1012"/>
      <c r="W918" s="1010"/>
      <c r="X918" s="1012"/>
      <c r="Y918" s="1010"/>
      <c r="Z918" s="262"/>
      <c r="AA918" s="110"/>
      <c r="AB918" s="110"/>
      <c r="AC918" s="110"/>
      <c r="AD918" s="110"/>
      <c r="AE918" s="110"/>
      <c r="AF918" s="110"/>
      <c r="AG918" s="110"/>
      <c r="AH918" s="110"/>
      <c r="AI918" s="110"/>
      <c r="AJ918" s="110"/>
      <c r="AK918" s="110"/>
      <c r="AL918" s="110"/>
      <c r="AM918" s="110"/>
      <c r="AN918" s="110"/>
      <c r="AO918" s="110"/>
      <c r="AP918" s="110"/>
      <c r="AQ918" s="110"/>
      <c r="AR918" s="110"/>
      <c r="AS918" s="110"/>
      <c r="AT918" s="110"/>
      <c r="AU918" s="110"/>
    </row>
    <row r="919" spans="1:47" ht="12.75" hidden="1">
      <c r="A919" s="110"/>
      <c r="B919" s="1009"/>
      <c r="C919" s="1010"/>
      <c r="D919" s="253"/>
      <c r="E919" s="1011"/>
      <c r="F919" s="262"/>
      <c r="G919" s="1011"/>
      <c r="H919" s="262"/>
      <c r="I919" s="1011"/>
      <c r="J919" s="262"/>
      <c r="K919" s="1011"/>
      <c r="L919" s="262"/>
      <c r="M919" s="1011"/>
      <c r="N919" s="262"/>
      <c r="O919" s="1011"/>
      <c r="P919" s="262"/>
      <c r="Q919" s="1011"/>
      <c r="R919" s="1012"/>
      <c r="S919" s="1011"/>
      <c r="T919" s="1012"/>
      <c r="U919" s="1010"/>
      <c r="V919" s="1012"/>
      <c r="W919" s="1010"/>
      <c r="X919" s="1012"/>
      <c r="Y919" s="1010"/>
      <c r="Z919" s="262"/>
      <c r="AA919" s="110"/>
      <c r="AB919" s="110"/>
      <c r="AC919" s="110"/>
      <c r="AD919" s="110"/>
      <c r="AE919" s="110"/>
      <c r="AF919" s="110"/>
      <c r="AG919" s="110"/>
      <c r="AH919" s="110"/>
      <c r="AI919" s="110"/>
      <c r="AJ919" s="110"/>
      <c r="AK919" s="110"/>
      <c r="AL919" s="110"/>
      <c r="AM919" s="110"/>
      <c r="AN919" s="110"/>
      <c r="AO919" s="110"/>
      <c r="AP919" s="110"/>
      <c r="AQ919" s="110"/>
      <c r="AR919" s="110"/>
      <c r="AS919" s="110"/>
      <c r="AT919" s="110"/>
      <c r="AU919" s="110"/>
    </row>
    <row r="920" spans="1:47" ht="12.75" hidden="1">
      <c r="A920" s="110"/>
      <c r="B920" s="1009"/>
      <c r="C920" s="1010"/>
      <c r="D920" s="253"/>
      <c r="E920" s="1011"/>
      <c r="F920" s="262"/>
      <c r="G920" s="1011"/>
      <c r="H920" s="262"/>
      <c r="I920" s="1011"/>
      <c r="J920" s="262"/>
      <c r="K920" s="1011"/>
      <c r="L920" s="262"/>
      <c r="M920" s="1011"/>
      <c r="N920" s="262"/>
      <c r="O920" s="1011"/>
      <c r="P920" s="262"/>
      <c r="Q920" s="1011"/>
      <c r="R920" s="1012"/>
      <c r="S920" s="1011"/>
      <c r="T920" s="1012"/>
      <c r="U920" s="1010"/>
      <c r="V920" s="1012"/>
      <c r="W920" s="1010"/>
      <c r="X920" s="1012"/>
      <c r="Y920" s="1010"/>
      <c r="Z920" s="262"/>
      <c r="AA920" s="110"/>
      <c r="AB920" s="110"/>
      <c r="AC920" s="110"/>
      <c r="AD920" s="110"/>
      <c r="AE920" s="110"/>
      <c r="AF920" s="110"/>
      <c r="AG920" s="110"/>
      <c r="AH920" s="110"/>
      <c r="AI920" s="110"/>
      <c r="AJ920" s="110"/>
      <c r="AK920" s="110"/>
      <c r="AL920" s="110"/>
      <c r="AM920" s="110"/>
      <c r="AN920" s="110"/>
      <c r="AO920" s="110"/>
      <c r="AP920" s="110"/>
      <c r="AQ920" s="110"/>
      <c r="AR920" s="110"/>
      <c r="AS920" s="110"/>
      <c r="AT920" s="110"/>
      <c r="AU920" s="110"/>
    </row>
    <row r="921" spans="1:47" ht="12.75" hidden="1">
      <c r="A921" s="110"/>
      <c r="B921" s="1009"/>
      <c r="C921" s="1010"/>
      <c r="D921" s="253"/>
      <c r="E921" s="1011"/>
      <c r="F921" s="262"/>
      <c r="G921" s="1011"/>
      <c r="H921" s="262"/>
      <c r="I921" s="1011"/>
      <c r="J921" s="262"/>
      <c r="K921" s="1011"/>
      <c r="L921" s="262"/>
      <c r="M921" s="1011"/>
      <c r="N921" s="262"/>
      <c r="O921" s="1011"/>
      <c r="P921" s="262"/>
      <c r="Q921" s="1011"/>
      <c r="R921" s="1012"/>
      <c r="S921" s="1011"/>
      <c r="T921" s="1012"/>
      <c r="U921" s="1010"/>
      <c r="V921" s="1012"/>
      <c r="W921" s="1010"/>
      <c r="X921" s="1012"/>
      <c r="Y921" s="1010"/>
      <c r="Z921" s="262"/>
      <c r="AA921" s="110"/>
      <c r="AB921" s="110"/>
      <c r="AC921" s="110"/>
      <c r="AD921" s="110"/>
      <c r="AE921" s="110"/>
      <c r="AF921" s="110"/>
      <c r="AG921" s="110"/>
      <c r="AH921" s="110"/>
      <c r="AI921" s="110"/>
      <c r="AJ921" s="110"/>
      <c r="AK921" s="110"/>
      <c r="AL921" s="110"/>
      <c r="AM921" s="110"/>
      <c r="AN921" s="110"/>
      <c r="AO921" s="110"/>
      <c r="AP921" s="110"/>
      <c r="AQ921" s="110"/>
      <c r="AR921" s="110"/>
      <c r="AS921" s="110"/>
      <c r="AT921" s="110"/>
      <c r="AU921" s="110"/>
    </row>
    <row r="922" spans="1:47" ht="12.75" hidden="1">
      <c r="A922" s="110"/>
      <c r="B922" s="1009"/>
      <c r="C922" s="1010"/>
      <c r="D922" s="253"/>
      <c r="E922" s="1011"/>
      <c r="F922" s="262"/>
      <c r="G922" s="1011"/>
      <c r="H922" s="262"/>
      <c r="I922" s="1011"/>
      <c r="J922" s="262"/>
      <c r="K922" s="1011"/>
      <c r="L922" s="262"/>
      <c r="M922" s="1011"/>
      <c r="N922" s="262"/>
      <c r="O922" s="1011"/>
      <c r="P922" s="262"/>
      <c r="Q922" s="1011"/>
      <c r="R922" s="1012"/>
      <c r="S922" s="1011"/>
      <c r="T922" s="1012"/>
      <c r="U922" s="1010"/>
      <c r="V922" s="1012"/>
      <c r="W922" s="1010"/>
      <c r="X922" s="1012"/>
      <c r="Y922" s="1010"/>
      <c r="Z922" s="262"/>
      <c r="AA922" s="110"/>
      <c r="AB922" s="110"/>
      <c r="AC922" s="110"/>
      <c r="AD922" s="110"/>
      <c r="AE922" s="110"/>
      <c r="AF922" s="110"/>
      <c r="AG922" s="110"/>
      <c r="AH922" s="110"/>
      <c r="AI922" s="110"/>
      <c r="AJ922" s="110"/>
      <c r="AK922" s="110"/>
      <c r="AL922" s="110"/>
      <c r="AM922" s="110"/>
      <c r="AN922" s="110"/>
      <c r="AO922" s="110"/>
      <c r="AP922" s="110"/>
      <c r="AQ922" s="110"/>
      <c r="AR922" s="110"/>
      <c r="AS922" s="110"/>
      <c r="AT922" s="110"/>
      <c r="AU922" s="110"/>
    </row>
    <row r="923" spans="1:47" ht="12.75" hidden="1">
      <c r="A923" s="110"/>
      <c r="B923" s="1009"/>
      <c r="C923" s="1010"/>
      <c r="D923" s="253"/>
      <c r="E923" s="1011"/>
      <c r="F923" s="262"/>
      <c r="G923" s="1011"/>
      <c r="H923" s="262"/>
      <c r="I923" s="1011"/>
      <c r="J923" s="262"/>
      <c r="K923" s="1011"/>
      <c r="L923" s="262"/>
      <c r="M923" s="1011"/>
      <c r="N923" s="262"/>
      <c r="O923" s="1011"/>
      <c r="P923" s="262"/>
      <c r="Q923" s="1011"/>
      <c r="R923" s="1012"/>
      <c r="S923" s="1011"/>
      <c r="T923" s="1012"/>
      <c r="U923" s="1010"/>
      <c r="V923" s="1012"/>
      <c r="W923" s="1010"/>
      <c r="X923" s="1012"/>
      <c r="Y923" s="1010"/>
      <c r="Z923" s="262"/>
      <c r="AA923" s="110"/>
      <c r="AB923" s="110"/>
      <c r="AC923" s="110"/>
      <c r="AD923" s="110"/>
      <c r="AE923" s="110"/>
      <c r="AF923" s="110"/>
      <c r="AG923" s="110"/>
      <c r="AH923" s="110"/>
      <c r="AI923" s="110"/>
      <c r="AJ923" s="110"/>
      <c r="AK923" s="110"/>
      <c r="AL923" s="110"/>
      <c r="AM923" s="110"/>
      <c r="AN923" s="110"/>
      <c r="AO923" s="110"/>
      <c r="AP923" s="110"/>
      <c r="AQ923" s="110"/>
      <c r="AR923" s="110"/>
      <c r="AS923" s="110"/>
      <c r="AT923" s="110"/>
      <c r="AU923" s="110"/>
    </row>
    <row r="924" spans="1:47" ht="12.75" hidden="1">
      <c r="A924" s="110"/>
      <c r="B924" s="1009"/>
      <c r="C924" s="1010"/>
      <c r="D924" s="253"/>
      <c r="E924" s="1011"/>
      <c r="F924" s="262"/>
      <c r="G924" s="1011"/>
      <c r="H924" s="262"/>
      <c r="I924" s="1011"/>
      <c r="J924" s="262"/>
      <c r="K924" s="1011"/>
      <c r="L924" s="262"/>
      <c r="M924" s="1011"/>
      <c r="N924" s="262"/>
      <c r="O924" s="1011"/>
      <c r="P924" s="262"/>
      <c r="Q924" s="1011"/>
      <c r="R924" s="1012"/>
      <c r="S924" s="1011"/>
      <c r="T924" s="1012"/>
      <c r="U924" s="1010"/>
      <c r="V924" s="1012"/>
      <c r="W924" s="1010"/>
      <c r="X924" s="1012"/>
      <c r="Y924" s="1010"/>
      <c r="Z924" s="262"/>
      <c r="AA924" s="110"/>
      <c r="AB924" s="110"/>
      <c r="AC924" s="110"/>
      <c r="AD924" s="110"/>
      <c r="AE924" s="110"/>
      <c r="AF924" s="110"/>
      <c r="AG924" s="110"/>
      <c r="AH924" s="110"/>
      <c r="AI924" s="110"/>
      <c r="AJ924" s="110"/>
      <c r="AK924" s="110"/>
      <c r="AL924" s="110"/>
      <c r="AM924" s="110"/>
      <c r="AN924" s="110"/>
      <c r="AO924" s="110"/>
      <c r="AP924" s="110"/>
      <c r="AQ924" s="110"/>
      <c r="AR924" s="110"/>
      <c r="AS924" s="110"/>
      <c r="AT924" s="110"/>
      <c r="AU924" s="110"/>
    </row>
    <row r="925" spans="1:47" ht="12.75" hidden="1">
      <c r="A925" s="110"/>
      <c r="B925" s="1009"/>
      <c r="C925" s="1010"/>
      <c r="D925" s="253"/>
      <c r="E925" s="1011"/>
      <c r="F925" s="262"/>
      <c r="G925" s="1011"/>
      <c r="H925" s="262"/>
      <c r="I925" s="1011"/>
      <c r="J925" s="262"/>
      <c r="K925" s="1011"/>
      <c r="L925" s="262"/>
      <c r="M925" s="1011"/>
      <c r="N925" s="262"/>
      <c r="O925" s="1011"/>
      <c r="P925" s="262"/>
      <c r="Q925" s="1011"/>
      <c r="R925" s="1012"/>
      <c r="S925" s="1011"/>
      <c r="T925" s="1012"/>
      <c r="U925" s="1010"/>
      <c r="V925" s="1012"/>
      <c r="W925" s="1010"/>
      <c r="X925" s="1012"/>
      <c r="Y925" s="1010"/>
      <c r="Z925" s="262"/>
      <c r="AA925" s="110"/>
      <c r="AB925" s="110"/>
      <c r="AC925" s="110"/>
      <c r="AD925" s="110"/>
      <c r="AE925" s="110"/>
      <c r="AF925" s="110"/>
      <c r="AG925" s="110"/>
      <c r="AH925" s="110"/>
      <c r="AI925" s="110"/>
      <c r="AJ925" s="110"/>
      <c r="AK925" s="110"/>
      <c r="AL925" s="110"/>
      <c r="AM925" s="110"/>
      <c r="AN925" s="110"/>
      <c r="AO925" s="110"/>
      <c r="AP925" s="110"/>
      <c r="AQ925" s="110"/>
      <c r="AR925" s="110"/>
      <c r="AS925" s="110"/>
      <c r="AT925" s="110"/>
      <c r="AU925" s="110"/>
    </row>
    <row r="926" spans="1:47" ht="12.75" hidden="1">
      <c r="A926" s="110"/>
      <c r="B926" s="1009"/>
      <c r="C926" s="1010"/>
      <c r="D926" s="253"/>
      <c r="E926" s="1011"/>
      <c r="F926" s="262"/>
      <c r="G926" s="1011"/>
      <c r="H926" s="262"/>
      <c r="I926" s="1011"/>
      <c r="J926" s="262"/>
      <c r="K926" s="1011"/>
      <c r="L926" s="262"/>
      <c r="M926" s="1011"/>
      <c r="N926" s="262"/>
      <c r="O926" s="1011"/>
      <c r="P926" s="262"/>
      <c r="Q926" s="1011"/>
      <c r="R926" s="1012"/>
      <c r="S926" s="1011"/>
      <c r="T926" s="1012"/>
      <c r="U926" s="1010"/>
      <c r="V926" s="1012"/>
      <c r="W926" s="1010"/>
      <c r="X926" s="1012"/>
      <c r="Y926" s="1010"/>
      <c r="Z926" s="262"/>
      <c r="AA926" s="110"/>
      <c r="AB926" s="110"/>
      <c r="AC926" s="110"/>
      <c r="AD926" s="110"/>
      <c r="AE926" s="110"/>
      <c r="AF926" s="110"/>
      <c r="AG926" s="110"/>
      <c r="AH926" s="110"/>
      <c r="AI926" s="110"/>
      <c r="AJ926" s="110"/>
      <c r="AK926" s="110"/>
      <c r="AL926" s="110"/>
      <c r="AM926" s="110"/>
      <c r="AN926" s="110"/>
      <c r="AO926" s="110"/>
      <c r="AP926" s="110"/>
      <c r="AQ926" s="110"/>
      <c r="AR926" s="110"/>
      <c r="AS926" s="110"/>
      <c r="AT926" s="110"/>
      <c r="AU926" s="110"/>
    </row>
    <row r="927" spans="1:47" ht="12.75" hidden="1">
      <c r="A927" s="110"/>
      <c r="B927" s="1009"/>
      <c r="C927" s="1010"/>
      <c r="D927" s="253"/>
      <c r="E927" s="1011"/>
      <c r="F927" s="262"/>
      <c r="G927" s="1011"/>
      <c r="H927" s="262"/>
      <c r="I927" s="1011"/>
      <c r="J927" s="262"/>
      <c r="K927" s="1011"/>
      <c r="L927" s="262"/>
      <c r="M927" s="1011"/>
      <c r="N927" s="262"/>
      <c r="O927" s="1011"/>
      <c r="P927" s="262"/>
      <c r="Q927" s="1011"/>
      <c r="R927" s="1012"/>
      <c r="S927" s="1011"/>
      <c r="T927" s="1012"/>
      <c r="U927" s="1010"/>
      <c r="V927" s="1012"/>
      <c r="W927" s="1010"/>
      <c r="X927" s="1012"/>
      <c r="Y927" s="1010"/>
      <c r="Z927" s="262"/>
      <c r="AA927" s="110"/>
      <c r="AB927" s="110"/>
      <c r="AC927" s="110"/>
      <c r="AD927" s="110"/>
      <c r="AE927" s="110"/>
      <c r="AF927" s="110"/>
      <c r="AG927" s="110"/>
      <c r="AH927" s="110"/>
      <c r="AI927" s="110"/>
      <c r="AJ927" s="110"/>
      <c r="AK927" s="110"/>
      <c r="AL927" s="110"/>
      <c r="AM927" s="110"/>
      <c r="AN927" s="110"/>
      <c r="AO927" s="110"/>
      <c r="AP927" s="110"/>
      <c r="AQ927" s="110"/>
      <c r="AR927" s="110"/>
      <c r="AS927" s="110"/>
      <c r="AT927" s="110"/>
      <c r="AU927" s="110"/>
    </row>
    <row r="928" spans="1:47" ht="12.75" hidden="1">
      <c r="A928" s="110"/>
      <c r="B928" s="1009"/>
      <c r="C928" s="1010"/>
      <c r="D928" s="253"/>
      <c r="E928" s="1011"/>
      <c r="F928" s="262"/>
      <c r="G928" s="1011"/>
      <c r="H928" s="262"/>
      <c r="I928" s="1011"/>
      <c r="J928" s="262"/>
      <c r="K928" s="1011"/>
      <c r="L928" s="262"/>
      <c r="M928" s="1011"/>
      <c r="N928" s="262"/>
      <c r="O928" s="1011"/>
      <c r="P928" s="262"/>
      <c r="Q928" s="1011"/>
      <c r="R928" s="1012"/>
      <c r="S928" s="1011"/>
      <c r="T928" s="1012"/>
      <c r="U928" s="1010"/>
      <c r="V928" s="1012"/>
      <c r="W928" s="1010"/>
      <c r="X928" s="1012"/>
      <c r="Y928" s="1010"/>
      <c r="Z928" s="262"/>
      <c r="AA928" s="110"/>
      <c r="AB928" s="110"/>
      <c r="AC928" s="110"/>
      <c r="AD928" s="110"/>
      <c r="AE928" s="110"/>
      <c r="AF928" s="110"/>
      <c r="AG928" s="110"/>
      <c r="AH928" s="110"/>
      <c r="AI928" s="110"/>
      <c r="AJ928" s="110"/>
      <c r="AK928" s="110"/>
      <c r="AL928" s="110"/>
      <c r="AM928" s="110"/>
      <c r="AN928" s="110"/>
      <c r="AO928" s="110"/>
      <c r="AP928" s="110"/>
      <c r="AQ928" s="110"/>
      <c r="AR928" s="110"/>
      <c r="AS928" s="110"/>
      <c r="AT928" s="110"/>
      <c r="AU928" s="110"/>
    </row>
    <row r="929" spans="1:47" ht="12.75" hidden="1">
      <c r="A929" s="110"/>
      <c r="B929" s="1009"/>
      <c r="C929" s="1010"/>
      <c r="D929" s="253"/>
      <c r="E929" s="1011"/>
      <c r="F929" s="262"/>
      <c r="G929" s="1011"/>
      <c r="H929" s="262"/>
      <c r="I929" s="1011"/>
      <c r="J929" s="262"/>
      <c r="K929" s="1011"/>
      <c r="L929" s="262"/>
      <c r="M929" s="1011"/>
      <c r="N929" s="262"/>
      <c r="O929" s="1011"/>
      <c r="P929" s="262"/>
      <c r="Q929" s="1011"/>
      <c r="R929" s="1012"/>
      <c r="S929" s="1011"/>
      <c r="T929" s="1012"/>
      <c r="U929" s="1010"/>
      <c r="V929" s="1012"/>
      <c r="W929" s="1010"/>
      <c r="X929" s="1012"/>
      <c r="Y929" s="1010"/>
      <c r="Z929" s="262"/>
      <c r="AA929" s="110"/>
      <c r="AB929" s="110"/>
      <c r="AC929" s="110"/>
      <c r="AD929" s="110"/>
      <c r="AE929" s="110"/>
      <c r="AF929" s="110"/>
      <c r="AG929" s="110"/>
      <c r="AH929" s="110"/>
      <c r="AI929" s="110"/>
      <c r="AJ929" s="110"/>
      <c r="AK929" s="110"/>
      <c r="AL929" s="110"/>
      <c r="AM929" s="110"/>
      <c r="AN929" s="110"/>
      <c r="AO929" s="110"/>
      <c r="AP929" s="110"/>
      <c r="AQ929" s="110"/>
      <c r="AR929" s="110"/>
      <c r="AS929" s="110"/>
      <c r="AT929" s="110"/>
      <c r="AU929" s="110"/>
    </row>
    <row r="930" spans="1:47" ht="12.75" hidden="1">
      <c r="A930" s="110"/>
      <c r="B930" s="1009"/>
      <c r="C930" s="1010"/>
      <c r="D930" s="253"/>
      <c r="E930" s="1011"/>
      <c r="F930" s="262"/>
      <c r="G930" s="1011"/>
      <c r="H930" s="262"/>
      <c r="I930" s="1011"/>
      <c r="J930" s="262"/>
      <c r="K930" s="1011"/>
      <c r="L930" s="262"/>
      <c r="M930" s="1011"/>
      <c r="N930" s="262"/>
      <c r="O930" s="1011"/>
      <c r="P930" s="262"/>
      <c r="Q930" s="1011"/>
      <c r="R930" s="1012"/>
      <c r="S930" s="1011"/>
      <c r="T930" s="1012"/>
      <c r="U930" s="1010"/>
      <c r="V930" s="1012"/>
      <c r="W930" s="1010"/>
      <c r="X930" s="1012"/>
      <c r="Y930" s="1010"/>
      <c r="Z930" s="262"/>
      <c r="AA930" s="110"/>
      <c r="AB930" s="110"/>
      <c r="AC930" s="110"/>
      <c r="AD930" s="110"/>
      <c r="AE930" s="110"/>
      <c r="AF930" s="110"/>
      <c r="AG930" s="110"/>
      <c r="AH930" s="110"/>
      <c r="AI930" s="110"/>
      <c r="AJ930" s="110"/>
      <c r="AK930" s="110"/>
      <c r="AL930" s="110"/>
      <c r="AM930" s="110"/>
      <c r="AN930" s="110"/>
      <c r="AO930" s="110"/>
      <c r="AP930" s="110"/>
      <c r="AQ930" s="110"/>
      <c r="AR930" s="110"/>
      <c r="AS930" s="110"/>
      <c r="AT930" s="110"/>
      <c r="AU930" s="110"/>
    </row>
    <row r="931" spans="1:47" ht="12.75" hidden="1">
      <c r="A931" s="110"/>
      <c r="B931" s="1009"/>
      <c r="C931" s="1010"/>
      <c r="D931" s="253"/>
      <c r="E931" s="1011"/>
      <c r="F931" s="262"/>
      <c r="G931" s="1011"/>
      <c r="H931" s="262"/>
      <c r="I931" s="1011"/>
      <c r="J931" s="262"/>
      <c r="K931" s="1011"/>
      <c r="L931" s="262"/>
      <c r="M931" s="1011"/>
      <c r="N931" s="262"/>
      <c r="O931" s="1011"/>
      <c r="P931" s="262"/>
      <c r="Q931" s="1011"/>
      <c r="R931" s="1012"/>
      <c r="S931" s="1011"/>
      <c r="T931" s="1012"/>
      <c r="U931" s="1010"/>
      <c r="V931" s="1012"/>
      <c r="W931" s="1010"/>
      <c r="X931" s="1012"/>
      <c r="Y931" s="1010"/>
      <c r="Z931" s="262"/>
      <c r="AA931" s="110"/>
      <c r="AB931" s="110"/>
      <c r="AC931" s="110"/>
      <c r="AD931" s="110"/>
      <c r="AE931" s="110"/>
      <c r="AF931" s="110"/>
      <c r="AG931" s="110"/>
      <c r="AH931" s="110"/>
      <c r="AI931" s="110"/>
      <c r="AJ931" s="110"/>
      <c r="AK931" s="110"/>
      <c r="AL931" s="110"/>
      <c r="AM931" s="110"/>
      <c r="AN931" s="110"/>
      <c r="AO931" s="110"/>
      <c r="AP931" s="110"/>
      <c r="AQ931" s="110"/>
      <c r="AR931" s="110"/>
      <c r="AS931" s="110"/>
      <c r="AT931" s="110"/>
      <c r="AU931" s="110"/>
    </row>
    <row r="932" spans="1:47" ht="12.75" hidden="1">
      <c r="A932" s="110"/>
      <c r="B932" s="1009"/>
      <c r="C932" s="1010"/>
      <c r="D932" s="253"/>
      <c r="E932" s="1011"/>
      <c r="F932" s="262"/>
      <c r="G932" s="1011"/>
      <c r="H932" s="262"/>
      <c r="I932" s="1011"/>
      <c r="J932" s="262"/>
      <c r="K932" s="1011"/>
      <c r="L932" s="262"/>
      <c r="M932" s="1011"/>
      <c r="N932" s="262"/>
      <c r="O932" s="1011"/>
      <c r="P932" s="262"/>
      <c r="Q932" s="1011"/>
      <c r="R932" s="1012"/>
      <c r="S932" s="1011"/>
      <c r="T932" s="1012"/>
      <c r="U932" s="1010"/>
      <c r="V932" s="1012"/>
      <c r="W932" s="1010"/>
      <c r="X932" s="1012"/>
      <c r="Y932" s="1010"/>
      <c r="Z932" s="262"/>
      <c r="AA932" s="110"/>
      <c r="AB932" s="110"/>
      <c r="AC932" s="110"/>
      <c r="AD932" s="110"/>
      <c r="AE932" s="110"/>
      <c r="AF932" s="110"/>
      <c r="AG932" s="110"/>
      <c r="AH932" s="110"/>
      <c r="AI932" s="110"/>
      <c r="AJ932" s="110"/>
      <c r="AK932" s="110"/>
      <c r="AL932" s="110"/>
      <c r="AM932" s="110"/>
      <c r="AN932" s="110"/>
      <c r="AO932" s="110"/>
      <c r="AP932" s="110"/>
      <c r="AQ932" s="110"/>
      <c r="AR932" s="110"/>
      <c r="AS932" s="110"/>
      <c r="AT932" s="110"/>
      <c r="AU932" s="110"/>
    </row>
    <row r="933" spans="1:47" ht="12.75" hidden="1">
      <c r="A933" s="110"/>
      <c r="B933" s="1009"/>
      <c r="C933" s="1010"/>
      <c r="D933" s="253"/>
      <c r="E933" s="1011"/>
      <c r="F933" s="262"/>
      <c r="G933" s="1011"/>
      <c r="H933" s="262"/>
      <c r="I933" s="1011"/>
      <c r="J933" s="262"/>
      <c r="K933" s="1011"/>
      <c r="L933" s="262"/>
      <c r="M933" s="1011"/>
      <c r="N933" s="262"/>
      <c r="O933" s="1011"/>
      <c r="P933" s="262"/>
      <c r="Q933" s="1011"/>
      <c r="R933" s="1012"/>
      <c r="S933" s="1011"/>
      <c r="T933" s="1012"/>
      <c r="U933" s="1010"/>
      <c r="V933" s="1012"/>
      <c r="W933" s="1010"/>
      <c r="X933" s="1012"/>
      <c r="Y933" s="1010"/>
      <c r="Z933" s="262"/>
      <c r="AA933" s="110"/>
      <c r="AB933" s="110"/>
      <c r="AC933" s="110"/>
      <c r="AD933" s="110"/>
      <c r="AE933" s="110"/>
      <c r="AF933" s="110"/>
      <c r="AG933" s="110"/>
      <c r="AH933" s="110"/>
      <c r="AI933" s="110"/>
      <c r="AJ933" s="110"/>
      <c r="AK933" s="110"/>
      <c r="AL933" s="110"/>
      <c r="AM933" s="110"/>
      <c r="AN933" s="110"/>
      <c r="AO933" s="110"/>
      <c r="AP933" s="110"/>
      <c r="AQ933" s="110"/>
      <c r="AR933" s="110"/>
      <c r="AS933" s="110"/>
      <c r="AT933" s="110"/>
      <c r="AU933" s="110"/>
    </row>
    <row r="934" spans="1:47" ht="12.75" hidden="1">
      <c r="A934" s="110"/>
      <c r="B934" s="1009"/>
      <c r="C934" s="1010"/>
      <c r="D934" s="253"/>
      <c r="E934" s="1011"/>
      <c r="F934" s="262"/>
      <c r="G934" s="1011"/>
      <c r="H934" s="262"/>
      <c r="I934" s="1011"/>
      <c r="J934" s="262"/>
      <c r="K934" s="1011"/>
      <c r="L934" s="262"/>
      <c r="M934" s="1011"/>
      <c r="N934" s="262"/>
      <c r="O934" s="1011"/>
      <c r="P934" s="262"/>
      <c r="Q934" s="1011"/>
      <c r="R934" s="1012"/>
      <c r="S934" s="1011"/>
      <c r="T934" s="1012"/>
      <c r="U934" s="1010"/>
      <c r="V934" s="1012"/>
      <c r="W934" s="1010"/>
      <c r="X934" s="1012"/>
      <c r="Y934" s="1010"/>
      <c r="Z934" s="262"/>
      <c r="AA934" s="110"/>
      <c r="AB934" s="110"/>
      <c r="AC934" s="110"/>
      <c r="AD934" s="110"/>
      <c r="AE934" s="110"/>
      <c r="AF934" s="110"/>
      <c r="AG934" s="110"/>
      <c r="AH934" s="110"/>
      <c r="AI934" s="110"/>
      <c r="AJ934" s="110"/>
      <c r="AK934" s="110"/>
      <c r="AL934" s="110"/>
      <c r="AM934" s="110"/>
      <c r="AN934" s="110"/>
      <c r="AO934" s="110"/>
      <c r="AP934" s="110"/>
      <c r="AQ934" s="110"/>
      <c r="AR934" s="110"/>
      <c r="AS934" s="110"/>
      <c r="AT934" s="110"/>
      <c r="AU934" s="110"/>
    </row>
    <row r="935" spans="1:47" ht="12.75" hidden="1">
      <c r="A935" s="110"/>
      <c r="B935" s="1009"/>
      <c r="C935" s="1010"/>
      <c r="D935" s="253"/>
      <c r="E935" s="1011"/>
      <c r="F935" s="262"/>
      <c r="G935" s="1011"/>
      <c r="H935" s="262"/>
      <c r="I935" s="1011"/>
      <c r="J935" s="262"/>
      <c r="K935" s="1011"/>
      <c r="L935" s="262"/>
      <c r="M935" s="1011"/>
      <c r="N935" s="262"/>
      <c r="O935" s="1011"/>
      <c r="P935" s="262"/>
      <c r="Q935" s="1011"/>
      <c r="R935" s="1012"/>
      <c r="S935" s="1011"/>
      <c r="T935" s="1012"/>
      <c r="U935" s="1010"/>
      <c r="V935" s="1012"/>
      <c r="W935" s="1010"/>
      <c r="X935" s="1012"/>
      <c r="Y935" s="1010"/>
      <c r="Z935" s="262"/>
      <c r="AA935" s="110"/>
      <c r="AB935" s="110"/>
      <c r="AC935" s="110"/>
      <c r="AD935" s="110"/>
      <c r="AE935" s="110"/>
      <c r="AF935" s="110"/>
      <c r="AG935" s="110"/>
      <c r="AH935" s="110"/>
      <c r="AI935" s="110"/>
      <c r="AJ935" s="110"/>
      <c r="AK935" s="110"/>
      <c r="AL935" s="110"/>
      <c r="AM935" s="110"/>
      <c r="AN935" s="110"/>
      <c r="AO935" s="110"/>
      <c r="AP935" s="110"/>
      <c r="AQ935" s="110"/>
      <c r="AR935" s="110"/>
      <c r="AS935" s="110"/>
      <c r="AT935" s="110"/>
      <c r="AU935" s="110"/>
    </row>
    <row r="936" spans="1:47" ht="12.75" hidden="1">
      <c r="A936" s="110"/>
      <c r="B936" s="1009"/>
      <c r="C936" s="1010"/>
      <c r="D936" s="253"/>
      <c r="E936" s="1011"/>
      <c r="F936" s="262"/>
      <c r="G936" s="1011"/>
      <c r="H936" s="262"/>
      <c r="I936" s="1011"/>
      <c r="J936" s="262"/>
      <c r="K936" s="1011"/>
      <c r="L936" s="262"/>
      <c r="M936" s="1011"/>
      <c r="N936" s="262"/>
      <c r="O936" s="1011"/>
      <c r="P936" s="262"/>
      <c r="Q936" s="1011"/>
      <c r="R936" s="1012"/>
      <c r="S936" s="1011"/>
      <c r="T936" s="1012"/>
      <c r="U936" s="1010"/>
      <c r="V936" s="1012"/>
      <c r="W936" s="1010"/>
      <c r="X936" s="1012"/>
      <c r="Y936" s="1010"/>
      <c r="Z936" s="262"/>
      <c r="AA936" s="110"/>
      <c r="AB936" s="110"/>
      <c r="AC936" s="110"/>
      <c r="AD936" s="110"/>
      <c r="AE936" s="110"/>
      <c r="AF936" s="110"/>
      <c r="AG936" s="110"/>
      <c r="AH936" s="110"/>
      <c r="AI936" s="110"/>
      <c r="AJ936" s="110"/>
      <c r="AK936" s="110"/>
      <c r="AL936" s="110"/>
      <c r="AM936" s="110"/>
      <c r="AN936" s="110"/>
      <c r="AO936" s="110"/>
      <c r="AP936" s="110"/>
      <c r="AQ936" s="110"/>
      <c r="AR936" s="110"/>
      <c r="AS936" s="110"/>
      <c r="AT936" s="110"/>
      <c r="AU936" s="110"/>
    </row>
    <row r="937" spans="1:47" ht="12.75" hidden="1">
      <c r="A937" s="110"/>
      <c r="B937" s="1009"/>
      <c r="C937" s="1010"/>
      <c r="D937" s="253"/>
      <c r="E937" s="1011"/>
      <c r="F937" s="262"/>
      <c r="G937" s="1011"/>
      <c r="H937" s="262"/>
      <c r="I937" s="1011"/>
      <c r="J937" s="262"/>
      <c r="K937" s="1011"/>
      <c r="L937" s="262"/>
      <c r="M937" s="1011"/>
      <c r="N937" s="262"/>
      <c r="O937" s="1011"/>
      <c r="P937" s="262"/>
      <c r="Q937" s="1011"/>
      <c r="R937" s="1012"/>
      <c r="S937" s="1011"/>
      <c r="T937" s="1012"/>
      <c r="U937" s="1010"/>
      <c r="V937" s="1012"/>
      <c r="W937" s="1010"/>
      <c r="X937" s="1012"/>
      <c r="Y937" s="1010"/>
      <c r="Z937" s="262"/>
      <c r="AA937" s="110"/>
      <c r="AB937" s="110"/>
      <c r="AC937" s="110"/>
      <c r="AD937" s="110"/>
      <c r="AE937" s="110"/>
      <c r="AF937" s="110"/>
      <c r="AG937" s="110"/>
      <c r="AH937" s="110"/>
      <c r="AI937" s="110"/>
      <c r="AJ937" s="110"/>
      <c r="AK937" s="110"/>
      <c r="AL937" s="110"/>
      <c r="AM937" s="110"/>
      <c r="AN937" s="110"/>
      <c r="AO937" s="110"/>
      <c r="AP937" s="110"/>
      <c r="AQ937" s="110"/>
      <c r="AR937" s="110"/>
      <c r="AS937" s="110"/>
      <c r="AT937" s="110"/>
      <c r="AU937" s="110"/>
    </row>
    <row r="938" spans="1:47" ht="12.75" hidden="1">
      <c r="A938" s="110"/>
      <c r="B938" s="1009"/>
      <c r="C938" s="1010"/>
      <c r="D938" s="253"/>
      <c r="E938" s="1011"/>
      <c r="F938" s="262"/>
      <c r="G938" s="1011"/>
      <c r="H938" s="262"/>
      <c r="I938" s="1011"/>
      <c r="J938" s="262"/>
      <c r="K938" s="1011"/>
      <c r="L938" s="262"/>
      <c r="M938" s="1011"/>
      <c r="N938" s="262"/>
      <c r="O938" s="1011"/>
      <c r="P938" s="262"/>
      <c r="Q938" s="1011"/>
      <c r="R938" s="1012"/>
      <c r="S938" s="1011"/>
      <c r="T938" s="1012"/>
      <c r="U938" s="1010"/>
      <c r="V938" s="1012"/>
      <c r="W938" s="1010"/>
      <c r="X938" s="1012"/>
      <c r="Y938" s="1010"/>
      <c r="Z938" s="262"/>
      <c r="AA938" s="110"/>
      <c r="AB938" s="110"/>
      <c r="AC938" s="110"/>
      <c r="AD938" s="110"/>
      <c r="AE938" s="110"/>
      <c r="AF938" s="110"/>
      <c r="AG938" s="110"/>
      <c r="AH938" s="110"/>
      <c r="AI938" s="110"/>
      <c r="AJ938" s="110"/>
      <c r="AK938" s="110"/>
      <c r="AL938" s="110"/>
      <c r="AM938" s="110"/>
      <c r="AN938" s="110"/>
      <c r="AO938" s="110"/>
      <c r="AP938" s="110"/>
      <c r="AQ938" s="110"/>
      <c r="AR938" s="110"/>
      <c r="AS938" s="110"/>
      <c r="AT938" s="110"/>
      <c r="AU938" s="110"/>
    </row>
    <row r="939" spans="1:47" ht="12.75" hidden="1">
      <c r="A939" s="110"/>
      <c r="B939" s="1009"/>
      <c r="C939" s="1010"/>
      <c r="D939" s="253"/>
      <c r="E939" s="1011"/>
      <c r="F939" s="262"/>
      <c r="G939" s="1011"/>
      <c r="H939" s="262"/>
      <c r="I939" s="1011"/>
      <c r="J939" s="262"/>
      <c r="K939" s="1011"/>
      <c r="L939" s="262"/>
      <c r="M939" s="1011"/>
      <c r="N939" s="262"/>
      <c r="O939" s="1011"/>
      <c r="P939" s="262"/>
      <c r="Q939" s="1011"/>
      <c r="R939" s="1012"/>
      <c r="S939" s="1011"/>
      <c r="T939" s="1012"/>
      <c r="U939" s="1010"/>
      <c r="V939" s="1012"/>
      <c r="W939" s="1010"/>
      <c r="X939" s="1012"/>
      <c r="Y939" s="1010"/>
      <c r="Z939" s="262"/>
      <c r="AA939" s="110"/>
      <c r="AB939" s="110"/>
      <c r="AC939" s="110"/>
      <c r="AD939" s="110"/>
      <c r="AE939" s="110"/>
      <c r="AF939" s="110"/>
      <c r="AG939" s="110"/>
      <c r="AH939" s="110"/>
      <c r="AI939" s="110"/>
      <c r="AJ939" s="110"/>
      <c r="AK939" s="110"/>
      <c r="AL939" s="110"/>
      <c r="AM939" s="110"/>
      <c r="AN939" s="110"/>
      <c r="AO939" s="110"/>
      <c r="AP939" s="110"/>
      <c r="AQ939" s="110"/>
      <c r="AR939" s="110"/>
      <c r="AS939" s="110"/>
      <c r="AT939" s="110"/>
      <c r="AU939" s="110"/>
    </row>
    <row r="940" spans="1:47" ht="12.75" hidden="1">
      <c r="A940" s="110"/>
      <c r="B940" s="1009"/>
      <c r="C940" s="1010"/>
      <c r="D940" s="253"/>
      <c r="E940" s="1011"/>
      <c r="F940" s="262"/>
      <c r="G940" s="1011"/>
      <c r="H940" s="262"/>
      <c r="I940" s="1011"/>
      <c r="J940" s="262"/>
      <c r="K940" s="1011"/>
      <c r="L940" s="262"/>
      <c r="M940" s="1011"/>
      <c r="N940" s="262"/>
      <c r="O940" s="1011"/>
      <c r="P940" s="262"/>
      <c r="Q940" s="1011"/>
      <c r="R940" s="1012"/>
      <c r="S940" s="1011"/>
      <c r="T940" s="1012"/>
      <c r="U940" s="1010"/>
      <c r="V940" s="1012"/>
      <c r="W940" s="1010"/>
      <c r="X940" s="1012"/>
      <c r="Y940" s="1010"/>
      <c r="Z940" s="262"/>
      <c r="AA940" s="110"/>
      <c r="AB940" s="110"/>
      <c r="AC940" s="110"/>
      <c r="AD940" s="110"/>
      <c r="AE940" s="110"/>
      <c r="AF940" s="110"/>
      <c r="AG940" s="110"/>
      <c r="AH940" s="110"/>
      <c r="AI940" s="110"/>
      <c r="AJ940" s="110"/>
      <c r="AK940" s="110"/>
      <c r="AL940" s="110"/>
      <c r="AM940" s="110"/>
      <c r="AN940" s="110"/>
      <c r="AO940" s="110"/>
      <c r="AP940" s="110"/>
      <c r="AQ940" s="110"/>
      <c r="AR940" s="110"/>
      <c r="AS940" s="110"/>
      <c r="AT940" s="110"/>
      <c r="AU940" s="110"/>
    </row>
    <row r="941" spans="1:47" ht="12.75" hidden="1">
      <c r="A941" s="110"/>
      <c r="B941" s="1009"/>
      <c r="C941" s="1010"/>
      <c r="D941" s="253"/>
      <c r="E941" s="1011"/>
      <c r="F941" s="262"/>
      <c r="G941" s="1011"/>
      <c r="H941" s="262"/>
      <c r="I941" s="1011"/>
      <c r="J941" s="262"/>
      <c r="K941" s="1011"/>
      <c r="L941" s="262"/>
      <c r="M941" s="1011"/>
      <c r="N941" s="262"/>
      <c r="O941" s="1011"/>
      <c r="P941" s="262"/>
      <c r="Q941" s="1011"/>
      <c r="R941" s="1012"/>
      <c r="S941" s="1011"/>
      <c r="T941" s="1012"/>
      <c r="U941" s="1010"/>
      <c r="V941" s="1012"/>
      <c r="W941" s="1010"/>
      <c r="X941" s="1012"/>
      <c r="Y941" s="1010"/>
      <c r="Z941" s="262"/>
      <c r="AA941" s="110"/>
      <c r="AB941" s="110"/>
      <c r="AC941" s="110"/>
      <c r="AD941" s="110"/>
      <c r="AE941" s="110"/>
      <c r="AF941" s="110"/>
      <c r="AG941" s="110"/>
      <c r="AH941" s="110"/>
      <c r="AI941" s="110"/>
      <c r="AJ941" s="110"/>
      <c r="AK941" s="110"/>
      <c r="AL941" s="110"/>
      <c r="AM941" s="110"/>
      <c r="AN941" s="110"/>
      <c r="AO941" s="110"/>
      <c r="AP941" s="110"/>
      <c r="AQ941" s="110"/>
      <c r="AR941" s="110"/>
      <c r="AS941" s="110"/>
      <c r="AT941" s="110"/>
      <c r="AU941" s="110"/>
    </row>
    <row r="942" spans="1:47" ht="12.75" hidden="1">
      <c r="A942" s="110"/>
      <c r="B942" s="1009"/>
      <c r="C942" s="1010"/>
      <c r="D942" s="253"/>
      <c r="E942" s="1011"/>
      <c r="F942" s="262"/>
      <c r="G942" s="1011"/>
      <c r="H942" s="262"/>
      <c r="I942" s="1011"/>
      <c r="J942" s="262"/>
      <c r="K942" s="1011"/>
      <c r="L942" s="262"/>
      <c r="M942" s="1011"/>
      <c r="N942" s="262"/>
      <c r="O942" s="1011"/>
      <c r="P942" s="262"/>
      <c r="Q942" s="1011"/>
      <c r="R942" s="1012"/>
      <c r="S942" s="1011"/>
      <c r="T942" s="1012"/>
      <c r="U942" s="1010"/>
      <c r="V942" s="1012"/>
      <c r="W942" s="1010"/>
      <c r="X942" s="1012"/>
      <c r="Y942" s="1010"/>
      <c r="Z942" s="262"/>
      <c r="AA942" s="110"/>
      <c r="AB942" s="110"/>
      <c r="AC942" s="110"/>
      <c r="AD942" s="110"/>
      <c r="AE942" s="110"/>
      <c r="AF942" s="110"/>
      <c r="AG942" s="110"/>
      <c r="AH942" s="110"/>
      <c r="AI942" s="110"/>
      <c r="AJ942" s="110"/>
      <c r="AK942" s="110"/>
      <c r="AL942" s="110"/>
      <c r="AM942" s="110"/>
      <c r="AN942" s="110"/>
      <c r="AO942" s="110"/>
      <c r="AP942" s="110"/>
      <c r="AQ942" s="110"/>
      <c r="AR942" s="110"/>
      <c r="AS942" s="110"/>
      <c r="AT942" s="110"/>
      <c r="AU942" s="110"/>
    </row>
    <row r="943" spans="1:47" ht="12.75" hidden="1">
      <c r="A943" s="110"/>
      <c r="B943" s="1009"/>
      <c r="C943" s="1010"/>
      <c r="D943" s="253"/>
      <c r="E943" s="1011"/>
      <c r="F943" s="262"/>
      <c r="G943" s="1011"/>
      <c r="H943" s="262"/>
      <c r="I943" s="1011"/>
      <c r="J943" s="262"/>
      <c r="K943" s="1011"/>
      <c r="L943" s="262"/>
      <c r="M943" s="1011"/>
      <c r="N943" s="262"/>
      <c r="O943" s="1011"/>
      <c r="P943" s="262"/>
      <c r="Q943" s="1011"/>
      <c r="R943" s="1012"/>
      <c r="S943" s="1011"/>
      <c r="T943" s="1012"/>
      <c r="U943" s="1010"/>
      <c r="V943" s="1012"/>
      <c r="W943" s="1010"/>
      <c r="X943" s="1012"/>
      <c r="Y943" s="1010"/>
      <c r="Z943" s="262"/>
      <c r="AA943" s="110"/>
      <c r="AB943" s="110"/>
      <c r="AC943" s="110"/>
      <c r="AD943" s="110"/>
      <c r="AE943" s="110"/>
      <c r="AF943" s="110"/>
      <c r="AG943" s="110"/>
      <c r="AH943" s="110"/>
      <c r="AI943" s="110"/>
      <c r="AJ943" s="110"/>
      <c r="AK943" s="110"/>
      <c r="AL943" s="110"/>
      <c r="AM943" s="110"/>
      <c r="AN943" s="110"/>
      <c r="AO943" s="110"/>
      <c r="AP943" s="110"/>
      <c r="AQ943" s="110"/>
      <c r="AR943" s="110"/>
      <c r="AS943" s="110"/>
      <c r="AT943" s="110"/>
      <c r="AU943" s="110"/>
    </row>
    <row r="944" spans="1:47" ht="12.75" hidden="1">
      <c r="A944" s="110"/>
      <c r="B944" s="1009"/>
      <c r="C944" s="1010"/>
      <c r="D944" s="253"/>
      <c r="E944" s="1011"/>
      <c r="F944" s="262"/>
      <c r="G944" s="1011"/>
      <c r="H944" s="262"/>
      <c r="I944" s="1011"/>
      <c r="J944" s="262"/>
      <c r="K944" s="1011"/>
      <c r="L944" s="262"/>
      <c r="M944" s="1011"/>
      <c r="N944" s="262"/>
      <c r="O944" s="1011"/>
      <c r="P944" s="262"/>
      <c r="Q944" s="1011"/>
      <c r="R944" s="1012"/>
      <c r="S944" s="1011"/>
      <c r="T944" s="1012"/>
      <c r="U944" s="1010"/>
      <c r="V944" s="1012"/>
      <c r="W944" s="1010"/>
      <c r="X944" s="1012"/>
      <c r="Y944" s="1010"/>
      <c r="Z944" s="262"/>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row>
    <row r="945" spans="1:47" ht="12.75" hidden="1">
      <c r="A945" s="110"/>
      <c r="B945" s="1009"/>
      <c r="C945" s="1010"/>
      <c r="D945" s="253"/>
      <c r="E945" s="1011"/>
      <c r="F945" s="262"/>
      <c r="G945" s="1011"/>
      <c r="H945" s="262"/>
      <c r="I945" s="1011"/>
      <c r="J945" s="262"/>
      <c r="K945" s="1011"/>
      <c r="L945" s="262"/>
      <c r="M945" s="1011"/>
      <c r="N945" s="262"/>
      <c r="O945" s="1011"/>
      <c r="P945" s="262"/>
      <c r="Q945" s="1011"/>
      <c r="R945" s="1012"/>
      <c r="S945" s="1011"/>
      <c r="T945" s="1012"/>
      <c r="U945" s="1010"/>
      <c r="V945" s="1012"/>
      <c r="W945" s="1010"/>
      <c r="X945" s="1012"/>
      <c r="Y945" s="1010"/>
      <c r="Z945" s="262"/>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row>
    <row r="946" spans="1:47" ht="12.75" hidden="1">
      <c r="A946" s="110"/>
      <c r="B946" s="1009"/>
      <c r="C946" s="1010"/>
      <c r="D946" s="253"/>
      <c r="E946" s="1011"/>
      <c r="F946" s="262"/>
      <c r="G946" s="1011"/>
      <c r="H946" s="262"/>
      <c r="I946" s="1011"/>
      <c r="J946" s="262"/>
      <c r="K946" s="1011"/>
      <c r="L946" s="262"/>
      <c r="M946" s="1011"/>
      <c r="N946" s="262"/>
      <c r="O946" s="1011"/>
      <c r="P946" s="262"/>
      <c r="Q946" s="1011"/>
      <c r="R946" s="1012"/>
      <c r="S946" s="1011"/>
      <c r="T946" s="1012"/>
      <c r="U946" s="1010"/>
      <c r="V946" s="1012"/>
      <c r="W946" s="1010"/>
      <c r="X946" s="1012"/>
      <c r="Y946" s="1010"/>
      <c r="Z946" s="262"/>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row>
    <row r="947" spans="1:47" ht="12.75" hidden="1">
      <c r="A947" s="110"/>
      <c r="B947" s="1009"/>
      <c r="C947" s="1010"/>
      <c r="D947" s="253"/>
      <c r="E947" s="1011"/>
      <c r="F947" s="262"/>
      <c r="G947" s="1011"/>
      <c r="H947" s="262"/>
      <c r="I947" s="1011"/>
      <c r="J947" s="262"/>
      <c r="K947" s="1011"/>
      <c r="L947" s="262"/>
      <c r="M947" s="1011"/>
      <c r="N947" s="262"/>
      <c r="O947" s="1011"/>
      <c r="P947" s="262"/>
      <c r="Q947" s="1011"/>
      <c r="R947" s="1012"/>
      <c r="S947" s="1011"/>
      <c r="T947" s="1012"/>
      <c r="U947" s="1010"/>
      <c r="V947" s="1012"/>
      <c r="W947" s="1010"/>
      <c r="X947" s="1012"/>
      <c r="Y947" s="1010"/>
      <c r="Z947" s="262"/>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row>
    <row r="948" spans="1:47" ht="12.75" hidden="1">
      <c r="A948" s="110"/>
      <c r="B948" s="1009"/>
      <c r="C948" s="1010"/>
      <c r="D948" s="253"/>
      <c r="E948" s="1011"/>
      <c r="F948" s="262"/>
      <c r="G948" s="1011"/>
      <c r="H948" s="262"/>
      <c r="I948" s="1011"/>
      <c r="J948" s="262"/>
      <c r="K948" s="1011"/>
      <c r="L948" s="262"/>
      <c r="M948" s="1011"/>
      <c r="N948" s="262"/>
      <c r="O948" s="1011"/>
      <c r="P948" s="262"/>
      <c r="Q948" s="1011"/>
      <c r="R948" s="1012"/>
      <c r="S948" s="1011"/>
      <c r="T948" s="1012"/>
      <c r="U948" s="1010"/>
      <c r="V948" s="1012"/>
      <c r="W948" s="1010"/>
      <c r="X948" s="1012"/>
      <c r="Y948" s="1010"/>
      <c r="Z948" s="262"/>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row>
    <row r="949" spans="1:47" ht="12.75" hidden="1">
      <c r="A949" s="110"/>
      <c r="B949" s="1009"/>
      <c r="C949" s="1010"/>
      <c r="D949" s="253"/>
      <c r="E949" s="1011"/>
      <c r="F949" s="262"/>
      <c r="G949" s="1011"/>
      <c r="H949" s="262"/>
      <c r="I949" s="1011"/>
      <c r="J949" s="262"/>
      <c r="K949" s="1011"/>
      <c r="L949" s="262"/>
      <c r="M949" s="1011"/>
      <c r="N949" s="262"/>
      <c r="O949" s="1011"/>
      <c r="P949" s="262"/>
      <c r="Q949" s="1011"/>
      <c r="R949" s="1012"/>
      <c r="S949" s="1011"/>
      <c r="T949" s="1012"/>
      <c r="U949" s="1010"/>
      <c r="V949" s="1012"/>
      <c r="W949" s="1010"/>
      <c r="X949" s="1012"/>
      <c r="Y949" s="1010"/>
      <c r="Z949" s="262"/>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row>
    <row r="950" spans="1:47" ht="12.75" hidden="1">
      <c r="A950" s="110"/>
      <c r="B950" s="1009"/>
      <c r="C950" s="1010"/>
      <c r="D950" s="253"/>
      <c r="E950" s="1011"/>
      <c r="F950" s="262"/>
      <c r="G950" s="1011"/>
      <c r="H950" s="262"/>
      <c r="I950" s="1011"/>
      <c r="J950" s="262"/>
      <c r="K950" s="1011"/>
      <c r="L950" s="262"/>
      <c r="M950" s="1011"/>
      <c r="N950" s="262"/>
      <c r="O950" s="1011"/>
      <c r="P950" s="262"/>
      <c r="Q950" s="1011"/>
      <c r="R950" s="1012"/>
      <c r="S950" s="1011"/>
      <c r="T950" s="1012"/>
      <c r="U950" s="1010"/>
      <c r="V950" s="1012"/>
      <c r="W950" s="1010"/>
      <c r="X950" s="1012"/>
      <c r="Y950" s="1010"/>
      <c r="Z950" s="262"/>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row>
    <row r="951" spans="1:47" ht="12.75" hidden="1">
      <c r="A951" s="110"/>
      <c r="B951" s="1009"/>
      <c r="C951" s="1010"/>
      <c r="D951" s="253"/>
      <c r="E951" s="1011"/>
      <c r="F951" s="262"/>
      <c r="G951" s="1011"/>
      <c r="H951" s="262"/>
      <c r="I951" s="1011"/>
      <c r="J951" s="262"/>
      <c r="K951" s="1011"/>
      <c r="L951" s="262"/>
      <c r="M951" s="1011"/>
      <c r="N951" s="262"/>
      <c r="O951" s="1011"/>
      <c r="P951" s="262"/>
      <c r="Q951" s="1011"/>
      <c r="R951" s="1012"/>
      <c r="S951" s="1011"/>
      <c r="T951" s="1012"/>
      <c r="U951" s="1010"/>
      <c r="V951" s="1012"/>
      <c r="W951" s="1010"/>
      <c r="X951" s="1012"/>
      <c r="Y951" s="1010"/>
      <c r="Z951" s="262"/>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row>
    <row r="952" spans="1:47" ht="12.75" hidden="1">
      <c r="A952" s="110"/>
      <c r="B952" s="1009"/>
      <c r="C952" s="1010"/>
      <c r="D952" s="253"/>
      <c r="E952" s="1011"/>
      <c r="F952" s="262"/>
      <c r="G952" s="1011"/>
      <c r="H952" s="262"/>
      <c r="I952" s="1011"/>
      <c r="J952" s="262"/>
      <c r="K952" s="1011"/>
      <c r="L952" s="262"/>
      <c r="M952" s="1011"/>
      <c r="N952" s="262"/>
      <c r="O952" s="1011"/>
      <c r="P952" s="262"/>
      <c r="Q952" s="1011"/>
      <c r="R952" s="1012"/>
      <c r="S952" s="1011"/>
      <c r="T952" s="1012"/>
      <c r="U952" s="1010"/>
      <c r="V952" s="1012"/>
      <c r="W952" s="1010"/>
      <c r="X952" s="1012"/>
      <c r="Y952" s="1010"/>
      <c r="Z952" s="262"/>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row>
    <row r="953" spans="1:47" ht="12.75" hidden="1">
      <c r="A953" s="110"/>
      <c r="B953" s="1009"/>
      <c r="C953" s="1010"/>
      <c r="D953" s="253"/>
      <c r="E953" s="1011"/>
      <c r="F953" s="262"/>
      <c r="G953" s="1011"/>
      <c r="H953" s="262"/>
      <c r="I953" s="1011"/>
      <c r="J953" s="262"/>
      <c r="K953" s="1011"/>
      <c r="L953" s="262"/>
      <c r="M953" s="1011"/>
      <c r="N953" s="262"/>
      <c r="O953" s="1011"/>
      <c r="P953" s="262"/>
      <c r="Q953" s="1011"/>
      <c r="R953" s="1012"/>
      <c r="S953" s="1011"/>
      <c r="T953" s="1012"/>
      <c r="U953" s="1010"/>
      <c r="V953" s="1012"/>
      <c r="W953" s="1010"/>
      <c r="X953" s="1012"/>
      <c r="Y953" s="1010"/>
      <c r="Z953" s="262"/>
      <c r="AA953" s="110"/>
      <c r="AB953" s="110"/>
      <c r="AC953" s="110"/>
      <c r="AD953" s="110"/>
      <c r="AE953" s="110"/>
      <c r="AF953" s="110"/>
      <c r="AG953" s="110"/>
      <c r="AH953" s="110"/>
      <c r="AI953" s="110"/>
      <c r="AJ953" s="110"/>
      <c r="AK953" s="110"/>
      <c r="AL953" s="110"/>
      <c r="AM953" s="110"/>
      <c r="AN953" s="110"/>
      <c r="AO953" s="110"/>
      <c r="AP953" s="110"/>
      <c r="AQ953" s="110"/>
      <c r="AR953" s="110"/>
      <c r="AS953" s="110"/>
      <c r="AT953" s="110"/>
      <c r="AU953" s="110"/>
    </row>
    <row r="954" spans="1:47" ht="12.75" hidden="1">
      <c r="A954" s="110"/>
      <c r="B954" s="1009"/>
      <c r="C954" s="1010"/>
      <c r="D954" s="253"/>
      <c r="E954" s="1011"/>
      <c r="F954" s="262"/>
      <c r="G954" s="1011"/>
      <c r="H954" s="262"/>
      <c r="I954" s="1011"/>
      <c r="J954" s="262"/>
      <c r="K954" s="1011"/>
      <c r="L954" s="262"/>
      <c r="M954" s="1011"/>
      <c r="N954" s="262"/>
      <c r="O954" s="1011"/>
      <c r="P954" s="262"/>
      <c r="Q954" s="1011"/>
      <c r="R954" s="1012"/>
      <c r="S954" s="1011"/>
      <c r="T954" s="1012"/>
      <c r="U954" s="1010"/>
      <c r="V954" s="1012"/>
      <c r="W954" s="1010"/>
      <c r="X954" s="1012"/>
      <c r="Y954" s="1010"/>
      <c r="Z954" s="262"/>
      <c r="AA954" s="110"/>
      <c r="AB954" s="110"/>
      <c r="AC954" s="110"/>
      <c r="AD954" s="110"/>
      <c r="AE954" s="110"/>
      <c r="AF954" s="110"/>
      <c r="AG954" s="110"/>
      <c r="AH954" s="110"/>
      <c r="AI954" s="110"/>
      <c r="AJ954" s="110"/>
      <c r="AK954" s="110"/>
      <c r="AL954" s="110"/>
      <c r="AM954" s="110"/>
      <c r="AN954" s="110"/>
      <c r="AO954" s="110"/>
      <c r="AP954" s="110"/>
      <c r="AQ954" s="110"/>
      <c r="AR954" s="110"/>
      <c r="AS954" s="110"/>
      <c r="AT954" s="110"/>
      <c r="AU954" s="110"/>
    </row>
    <row r="955" spans="1:47" ht="12.75" hidden="1">
      <c r="A955" s="110"/>
      <c r="B955" s="1009"/>
      <c r="C955" s="1010"/>
      <c r="D955" s="253"/>
      <c r="E955" s="1011"/>
      <c r="F955" s="262"/>
      <c r="G955" s="1011"/>
      <c r="H955" s="262"/>
      <c r="I955" s="1011"/>
      <c r="J955" s="262"/>
      <c r="K955" s="1011"/>
      <c r="L955" s="262"/>
      <c r="M955" s="1011"/>
      <c r="N955" s="262"/>
      <c r="O955" s="1011"/>
      <c r="P955" s="262"/>
      <c r="Q955" s="1011"/>
      <c r="R955" s="1012"/>
      <c r="S955" s="1011"/>
      <c r="T955" s="1012"/>
      <c r="U955" s="1010"/>
      <c r="V955" s="1012"/>
      <c r="W955" s="1010"/>
      <c r="X955" s="1012"/>
      <c r="Y955" s="1010"/>
      <c r="Z955" s="262"/>
      <c r="AA955" s="110"/>
      <c r="AB955" s="110"/>
      <c r="AC955" s="110"/>
      <c r="AD955" s="110"/>
      <c r="AE955" s="110"/>
      <c r="AF955" s="110"/>
      <c r="AG955" s="110"/>
      <c r="AH955" s="110"/>
      <c r="AI955" s="110"/>
      <c r="AJ955" s="110"/>
      <c r="AK955" s="110"/>
      <c r="AL955" s="110"/>
      <c r="AM955" s="110"/>
      <c r="AN955" s="110"/>
      <c r="AO955" s="110"/>
      <c r="AP955" s="110"/>
      <c r="AQ955" s="110"/>
      <c r="AR955" s="110"/>
      <c r="AS955" s="110"/>
      <c r="AT955" s="110"/>
      <c r="AU955" s="110"/>
    </row>
    <row r="956" spans="1:47" ht="12.75" hidden="1">
      <c r="A956" s="110"/>
      <c r="B956" s="1009"/>
      <c r="C956" s="1010"/>
      <c r="D956" s="253"/>
      <c r="E956" s="1011"/>
      <c r="F956" s="262"/>
      <c r="G956" s="1011"/>
      <c r="H956" s="262"/>
      <c r="I956" s="1011"/>
      <c r="J956" s="262"/>
      <c r="K956" s="1011"/>
      <c r="L956" s="262"/>
      <c r="M956" s="1011"/>
      <c r="N956" s="262"/>
      <c r="O956" s="1011"/>
      <c r="P956" s="262"/>
      <c r="Q956" s="1011"/>
      <c r="R956" s="1012"/>
      <c r="S956" s="1011"/>
      <c r="T956" s="1012"/>
      <c r="U956" s="1010"/>
      <c r="V956" s="1012"/>
      <c r="W956" s="1010"/>
      <c r="X956" s="1012"/>
      <c r="Y956" s="1010"/>
      <c r="Z956" s="262"/>
      <c r="AA956" s="110"/>
      <c r="AB956" s="110"/>
      <c r="AC956" s="110"/>
      <c r="AD956" s="110"/>
      <c r="AE956" s="110"/>
      <c r="AF956" s="110"/>
      <c r="AG956" s="110"/>
      <c r="AH956" s="110"/>
      <c r="AI956" s="110"/>
      <c r="AJ956" s="110"/>
      <c r="AK956" s="110"/>
      <c r="AL956" s="110"/>
      <c r="AM956" s="110"/>
      <c r="AN956" s="110"/>
      <c r="AO956" s="110"/>
      <c r="AP956" s="110"/>
      <c r="AQ956" s="110"/>
      <c r="AR956" s="110"/>
      <c r="AS956" s="110"/>
      <c r="AT956" s="110"/>
      <c r="AU956" s="110"/>
    </row>
    <row r="957" spans="1:47" ht="12.75" hidden="1">
      <c r="A957" s="110"/>
      <c r="B957" s="1009"/>
      <c r="C957" s="1010"/>
      <c r="D957" s="253"/>
      <c r="E957" s="1011"/>
      <c r="F957" s="262"/>
      <c r="G957" s="1011"/>
      <c r="H957" s="262"/>
      <c r="I957" s="1011"/>
      <c r="J957" s="262"/>
      <c r="K957" s="1011"/>
      <c r="L957" s="262"/>
      <c r="M957" s="1011"/>
      <c r="N957" s="262"/>
      <c r="O957" s="1011"/>
      <c r="P957" s="262"/>
      <c r="Q957" s="1011"/>
      <c r="R957" s="1012"/>
      <c r="S957" s="1011"/>
      <c r="T957" s="1012"/>
      <c r="U957" s="1010"/>
      <c r="V957" s="1012"/>
      <c r="W957" s="1010"/>
      <c r="X957" s="1012"/>
      <c r="Y957" s="1010"/>
      <c r="Z957" s="262"/>
      <c r="AA957" s="110"/>
      <c r="AB957" s="110"/>
      <c r="AC957" s="110"/>
      <c r="AD957" s="110"/>
      <c r="AE957" s="110"/>
      <c r="AF957" s="110"/>
      <c r="AG957" s="110"/>
      <c r="AH957" s="110"/>
      <c r="AI957" s="110"/>
      <c r="AJ957" s="110"/>
      <c r="AK957" s="110"/>
      <c r="AL957" s="110"/>
      <c r="AM957" s="110"/>
      <c r="AN957" s="110"/>
      <c r="AO957" s="110"/>
      <c r="AP957" s="110"/>
      <c r="AQ957" s="110"/>
      <c r="AR957" s="110"/>
      <c r="AS957" s="110"/>
      <c r="AT957" s="110"/>
      <c r="AU957" s="110"/>
    </row>
    <row r="958" spans="1:47" ht="12.75" hidden="1">
      <c r="A958" s="110"/>
      <c r="B958" s="1009"/>
      <c r="C958" s="1010"/>
      <c r="D958" s="253"/>
      <c r="E958" s="1011"/>
      <c r="F958" s="262"/>
      <c r="G958" s="1011"/>
      <c r="H958" s="262"/>
      <c r="I958" s="1011"/>
      <c r="J958" s="262"/>
      <c r="K958" s="1011"/>
      <c r="L958" s="262"/>
      <c r="M958" s="1011"/>
      <c r="N958" s="262"/>
      <c r="O958" s="1011"/>
      <c r="P958" s="262"/>
      <c r="Q958" s="1011"/>
      <c r="R958" s="1012"/>
      <c r="S958" s="1011"/>
      <c r="T958" s="1012"/>
      <c r="U958" s="1010"/>
      <c r="V958" s="1012"/>
      <c r="W958" s="1010"/>
      <c r="X958" s="1012"/>
      <c r="Y958" s="1010"/>
      <c r="Z958" s="262"/>
      <c r="AA958" s="110"/>
      <c r="AB958" s="110"/>
      <c r="AC958" s="110"/>
      <c r="AD958" s="110"/>
      <c r="AE958" s="110"/>
      <c r="AF958" s="110"/>
      <c r="AG958" s="110"/>
      <c r="AH958" s="110"/>
      <c r="AI958" s="110"/>
      <c r="AJ958" s="110"/>
      <c r="AK958" s="110"/>
      <c r="AL958" s="110"/>
      <c r="AM958" s="110"/>
      <c r="AN958" s="110"/>
      <c r="AO958" s="110"/>
      <c r="AP958" s="110"/>
      <c r="AQ958" s="110"/>
      <c r="AR958" s="110"/>
      <c r="AS958" s="110"/>
      <c r="AT958" s="110"/>
      <c r="AU958" s="110"/>
    </row>
    <row r="959" spans="1:47" ht="12.75" hidden="1">
      <c r="A959" s="110"/>
      <c r="B959" s="1009"/>
      <c r="C959" s="1010"/>
      <c r="D959" s="253"/>
      <c r="E959" s="1011"/>
      <c r="F959" s="262"/>
      <c r="G959" s="1011"/>
      <c r="H959" s="262"/>
      <c r="I959" s="1011"/>
      <c r="J959" s="262"/>
      <c r="K959" s="1011"/>
      <c r="L959" s="262"/>
      <c r="M959" s="1011"/>
      <c r="N959" s="262"/>
      <c r="O959" s="1011"/>
      <c r="P959" s="262"/>
      <c r="Q959" s="1011"/>
      <c r="R959" s="1012"/>
      <c r="S959" s="1011"/>
      <c r="T959" s="1012"/>
      <c r="U959" s="1010"/>
      <c r="V959" s="1012"/>
      <c r="W959" s="1010"/>
      <c r="X959" s="1012"/>
      <c r="Y959" s="1010"/>
      <c r="Z959" s="262"/>
      <c r="AA959" s="110"/>
      <c r="AB959" s="110"/>
      <c r="AC959" s="110"/>
      <c r="AD959" s="110"/>
      <c r="AE959" s="110"/>
      <c r="AF959" s="110"/>
      <c r="AG959" s="110"/>
      <c r="AH959" s="110"/>
      <c r="AI959" s="110"/>
      <c r="AJ959" s="110"/>
      <c r="AK959" s="110"/>
      <c r="AL959" s="110"/>
      <c r="AM959" s="110"/>
      <c r="AN959" s="110"/>
      <c r="AO959" s="110"/>
      <c r="AP959" s="110"/>
      <c r="AQ959" s="110"/>
      <c r="AR959" s="110"/>
      <c r="AS959" s="110"/>
      <c r="AT959" s="110"/>
      <c r="AU959" s="110"/>
    </row>
    <row r="960" spans="1:47" ht="12.75" hidden="1">
      <c r="A960" s="110"/>
      <c r="B960" s="1009"/>
      <c r="C960" s="1010"/>
      <c r="D960" s="253"/>
      <c r="E960" s="1011"/>
      <c r="F960" s="262"/>
      <c r="G960" s="1011"/>
      <c r="H960" s="262"/>
      <c r="I960" s="1011"/>
      <c r="J960" s="262"/>
      <c r="K960" s="1011"/>
      <c r="L960" s="262"/>
      <c r="M960" s="1011"/>
      <c r="N960" s="262"/>
      <c r="O960" s="1011"/>
      <c r="P960" s="262"/>
      <c r="Q960" s="1011"/>
      <c r="R960" s="1012"/>
      <c r="S960" s="1011"/>
      <c r="T960" s="1012"/>
      <c r="U960" s="1010"/>
      <c r="V960" s="1012"/>
      <c r="W960" s="1010"/>
      <c r="X960" s="1012"/>
      <c r="Y960" s="1010"/>
      <c r="Z960" s="262"/>
      <c r="AA960" s="110"/>
      <c r="AB960" s="110"/>
      <c r="AC960" s="110"/>
      <c r="AD960" s="110"/>
      <c r="AE960" s="110"/>
      <c r="AF960" s="110"/>
      <c r="AG960" s="110"/>
      <c r="AH960" s="110"/>
      <c r="AI960" s="110"/>
      <c r="AJ960" s="110"/>
      <c r="AK960" s="110"/>
      <c r="AL960" s="110"/>
      <c r="AM960" s="110"/>
      <c r="AN960" s="110"/>
      <c r="AO960" s="110"/>
      <c r="AP960" s="110"/>
      <c r="AQ960" s="110"/>
      <c r="AR960" s="110"/>
      <c r="AS960" s="110"/>
      <c r="AT960" s="110"/>
      <c r="AU960" s="110"/>
    </row>
    <row r="961" spans="1:47" ht="12.75" hidden="1">
      <c r="A961" s="110"/>
      <c r="B961" s="1009"/>
      <c r="C961" s="1010"/>
      <c r="D961" s="253"/>
      <c r="E961" s="1011"/>
      <c r="F961" s="262"/>
      <c r="G961" s="1011"/>
      <c r="H961" s="262"/>
      <c r="I961" s="1011"/>
      <c r="J961" s="262"/>
      <c r="K961" s="1011"/>
      <c r="L961" s="262"/>
      <c r="M961" s="1011"/>
      <c r="N961" s="262"/>
      <c r="O961" s="1011"/>
      <c r="P961" s="262"/>
      <c r="Q961" s="1011"/>
      <c r="R961" s="1012"/>
      <c r="S961" s="1011"/>
      <c r="T961" s="1012"/>
      <c r="U961" s="1010"/>
      <c r="V961" s="1012"/>
      <c r="W961" s="1010"/>
      <c r="X961" s="1012"/>
      <c r="Y961" s="1010"/>
      <c r="Z961" s="262"/>
      <c r="AA961" s="110"/>
      <c r="AB961" s="110"/>
      <c r="AC961" s="110"/>
      <c r="AD961" s="110"/>
      <c r="AE961" s="110"/>
      <c r="AF961" s="110"/>
      <c r="AG961" s="110"/>
      <c r="AH961" s="110"/>
      <c r="AI961" s="110"/>
      <c r="AJ961" s="110"/>
      <c r="AK961" s="110"/>
      <c r="AL961" s="110"/>
      <c r="AM961" s="110"/>
      <c r="AN961" s="110"/>
      <c r="AO961" s="110"/>
      <c r="AP961" s="110"/>
      <c r="AQ961" s="110"/>
      <c r="AR961" s="110"/>
      <c r="AS961" s="110"/>
      <c r="AT961" s="110"/>
      <c r="AU961" s="110"/>
    </row>
    <row r="962" spans="1:47" ht="12.75" hidden="1">
      <c r="A962" s="110"/>
      <c r="B962" s="1009"/>
      <c r="C962" s="1010"/>
      <c r="D962" s="253"/>
      <c r="E962" s="1011"/>
      <c r="F962" s="262"/>
      <c r="G962" s="1011"/>
      <c r="H962" s="262"/>
      <c r="I962" s="1011"/>
      <c r="J962" s="262"/>
      <c r="K962" s="1011"/>
      <c r="L962" s="262"/>
      <c r="M962" s="1011"/>
      <c r="N962" s="262"/>
      <c r="O962" s="1011"/>
      <c r="P962" s="262"/>
      <c r="Q962" s="1011"/>
      <c r="R962" s="1012"/>
      <c r="S962" s="1011"/>
      <c r="T962" s="1012"/>
      <c r="U962" s="1010"/>
      <c r="V962" s="1012"/>
      <c r="W962" s="1010"/>
      <c r="X962" s="1012"/>
      <c r="Y962" s="1010"/>
      <c r="Z962" s="262"/>
      <c r="AA962" s="110"/>
      <c r="AB962" s="110"/>
      <c r="AC962" s="110"/>
      <c r="AD962" s="110"/>
      <c r="AE962" s="110"/>
      <c r="AF962" s="110"/>
      <c r="AG962" s="110"/>
      <c r="AH962" s="110"/>
      <c r="AI962" s="110"/>
      <c r="AJ962" s="110"/>
      <c r="AK962" s="110"/>
      <c r="AL962" s="110"/>
      <c r="AM962" s="110"/>
      <c r="AN962" s="110"/>
      <c r="AO962" s="110"/>
      <c r="AP962" s="110"/>
      <c r="AQ962" s="110"/>
      <c r="AR962" s="110"/>
      <c r="AS962" s="110"/>
      <c r="AT962" s="110"/>
      <c r="AU962" s="110"/>
    </row>
    <row r="963" spans="1:47" ht="12.75" hidden="1">
      <c r="A963" s="110"/>
      <c r="B963" s="1009"/>
      <c r="C963" s="1010"/>
      <c r="D963" s="253"/>
      <c r="E963" s="1011"/>
      <c r="F963" s="262"/>
      <c r="G963" s="1011"/>
      <c r="H963" s="262"/>
      <c r="I963" s="1011"/>
      <c r="J963" s="262"/>
      <c r="K963" s="1011"/>
      <c r="L963" s="262"/>
      <c r="M963" s="1011"/>
      <c r="N963" s="262"/>
      <c r="O963" s="1011"/>
      <c r="P963" s="262"/>
      <c r="Q963" s="1011"/>
      <c r="R963" s="1012"/>
      <c r="S963" s="1011"/>
      <c r="T963" s="1012"/>
      <c r="U963" s="1010"/>
      <c r="V963" s="1012"/>
      <c r="W963" s="1010"/>
      <c r="X963" s="1012"/>
      <c r="Y963" s="1010"/>
      <c r="Z963" s="262"/>
      <c r="AA963" s="110"/>
      <c r="AB963" s="110"/>
      <c r="AC963" s="110"/>
      <c r="AD963" s="110"/>
      <c r="AE963" s="110"/>
      <c r="AF963" s="110"/>
      <c r="AG963" s="110"/>
      <c r="AH963" s="110"/>
      <c r="AI963" s="110"/>
      <c r="AJ963" s="110"/>
      <c r="AK963" s="110"/>
      <c r="AL963" s="110"/>
      <c r="AM963" s="110"/>
      <c r="AN963" s="110"/>
      <c r="AO963" s="110"/>
      <c r="AP963" s="110"/>
      <c r="AQ963" s="110"/>
      <c r="AR963" s="110"/>
      <c r="AS963" s="110"/>
      <c r="AT963" s="110"/>
      <c r="AU963" s="110"/>
    </row>
    <row r="964" spans="1:47" ht="12.75" hidden="1">
      <c r="A964" s="110"/>
      <c r="B964" s="1009"/>
      <c r="C964" s="1010"/>
      <c r="D964" s="253"/>
      <c r="E964" s="1011"/>
      <c r="F964" s="262"/>
      <c r="G964" s="1011"/>
      <c r="H964" s="262"/>
      <c r="I964" s="1011"/>
      <c r="J964" s="262"/>
      <c r="K964" s="1011"/>
      <c r="L964" s="262"/>
      <c r="M964" s="1011"/>
      <c r="N964" s="262"/>
      <c r="O964" s="1011"/>
      <c r="P964" s="262"/>
      <c r="Q964" s="1011"/>
      <c r="R964" s="1012"/>
      <c r="S964" s="1011"/>
      <c r="T964" s="1012"/>
      <c r="U964" s="1010"/>
      <c r="V964" s="1012"/>
      <c r="W964" s="1010"/>
      <c r="X964" s="1012"/>
      <c r="Y964" s="1010"/>
      <c r="Z964" s="262"/>
      <c r="AA964" s="110"/>
      <c r="AB964" s="110"/>
      <c r="AC964" s="110"/>
      <c r="AD964" s="110"/>
      <c r="AE964" s="110"/>
      <c r="AF964" s="110"/>
      <c r="AG964" s="110"/>
      <c r="AH964" s="110"/>
      <c r="AI964" s="110"/>
      <c r="AJ964" s="110"/>
      <c r="AK964" s="110"/>
      <c r="AL964" s="110"/>
      <c r="AM964" s="110"/>
      <c r="AN964" s="110"/>
      <c r="AO964" s="110"/>
      <c r="AP964" s="110"/>
      <c r="AQ964" s="110"/>
      <c r="AR964" s="110"/>
      <c r="AS964" s="110"/>
      <c r="AT964" s="110"/>
      <c r="AU964" s="110"/>
    </row>
    <row r="965" spans="1:47" ht="12.75" hidden="1">
      <c r="A965" s="110"/>
      <c r="B965" s="1009"/>
      <c r="C965" s="1010"/>
      <c r="D965" s="253"/>
      <c r="E965" s="1011"/>
      <c r="F965" s="262"/>
      <c r="G965" s="1011"/>
      <c r="H965" s="262"/>
      <c r="I965" s="1011"/>
      <c r="J965" s="262"/>
      <c r="K965" s="1011"/>
      <c r="L965" s="262"/>
      <c r="M965" s="1011"/>
      <c r="N965" s="262"/>
      <c r="O965" s="1011"/>
      <c r="P965" s="262"/>
      <c r="Q965" s="1011"/>
      <c r="R965" s="1012"/>
      <c r="S965" s="1011"/>
      <c r="T965" s="1012"/>
      <c r="U965" s="1010"/>
      <c r="V965" s="1012"/>
      <c r="W965" s="1010"/>
      <c r="X965" s="1012"/>
      <c r="Y965" s="1010"/>
      <c r="Z965" s="262"/>
      <c r="AA965" s="110"/>
      <c r="AB965" s="110"/>
      <c r="AC965" s="110"/>
      <c r="AD965" s="110"/>
      <c r="AE965" s="110"/>
      <c r="AF965" s="110"/>
      <c r="AG965" s="110"/>
      <c r="AH965" s="110"/>
      <c r="AI965" s="110"/>
      <c r="AJ965" s="110"/>
      <c r="AK965" s="110"/>
      <c r="AL965" s="110"/>
      <c r="AM965" s="110"/>
      <c r="AN965" s="110"/>
      <c r="AO965" s="110"/>
      <c r="AP965" s="110"/>
      <c r="AQ965" s="110"/>
      <c r="AR965" s="110"/>
      <c r="AS965" s="110"/>
      <c r="AT965" s="110"/>
      <c r="AU965" s="110"/>
    </row>
    <row r="966" spans="1:47" ht="12.75" hidden="1">
      <c r="A966" s="110"/>
      <c r="B966" s="1009"/>
      <c r="C966" s="1010"/>
      <c r="D966" s="253"/>
      <c r="E966" s="1011"/>
      <c r="F966" s="262"/>
      <c r="G966" s="1011"/>
      <c r="H966" s="262"/>
      <c r="I966" s="1011"/>
      <c r="J966" s="262"/>
      <c r="K966" s="1011"/>
      <c r="L966" s="262"/>
      <c r="M966" s="1011"/>
      <c r="N966" s="262"/>
      <c r="O966" s="1011"/>
      <c r="P966" s="262"/>
      <c r="Q966" s="1011"/>
      <c r="R966" s="1012"/>
      <c r="S966" s="1011"/>
      <c r="T966" s="1012"/>
      <c r="U966" s="1010"/>
      <c r="V966" s="1012"/>
      <c r="W966" s="1010"/>
      <c r="X966" s="1012"/>
      <c r="Y966" s="1010"/>
      <c r="Z966" s="262"/>
      <c r="AA966" s="110"/>
      <c r="AB966" s="110"/>
      <c r="AC966" s="110"/>
      <c r="AD966" s="110"/>
      <c r="AE966" s="110"/>
      <c r="AF966" s="110"/>
      <c r="AG966" s="110"/>
      <c r="AH966" s="110"/>
      <c r="AI966" s="110"/>
      <c r="AJ966" s="110"/>
      <c r="AK966" s="110"/>
      <c r="AL966" s="110"/>
      <c r="AM966" s="110"/>
      <c r="AN966" s="110"/>
      <c r="AO966" s="110"/>
      <c r="AP966" s="110"/>
      <c r="AQ966" s="110"/>
      <c r="AR966" s="110"/>
      <c r="AS966" s="110"/>
      <c r="AT966" s="110"/>
      <c r="AU966" s="110"/>
    </row>
    <row r="967" spans="1:47" ht="12.75" hidden="1">
      <c r="A967" s="110"/>
      <c r="B967" s="1009"/>
      <c r="C967" s="1010"/>
      <c r="D967" s="253"/>
      <c r="E967" s="1011"/>
      <c r="F967" s="262"/>
      <c r="G967" s="1011"/>
      <c r="H967" s="262"/>
      <c r="I967" s="1011"/>
      <c r="J967" s="262"/>
      <c r="K967" s="1011"/>
      <c r="L967" s="262"/>
      <c r="M967" s="1011"/>
      <c r="N967" s="262"/>
      <c r="O967" s="1011"/>
      <c r="P967" s="262"/>
      <c r="Q967" s="1011"/>
      <c r="R967" s="1012"/>
      <c r="S967" s="1011"/>
      <c r="T967" s="1012"/>
      <c r="U967" s="1010"/>
      <c r="V967" s="1012"/>
      <c r="W967" s="1010"/>
      <c r="X967" s="1012"/>
      <c r="Y967" s="1010"/>
      <c r="Z967" s="262"/>
      <c r="AA967" s="110"/>
      <c r="AB967" s="110"/>
      <c r="AC967" s="110"/>
      <c r="AD967" s="110"/>
      <c r="AE967" s="110"/>
      <c r="AF967" s="110"/>
      <c r="AG967" s="110"/>
      <c r="AH967" s="110"/>
      <c r="AI967" s="110"/>
      <c r="AJ967" s="110"/>
      <c r="AK967" s="110"/>
      <c r="AL967" s="110"/>
      <c r="AM967" s="110"/>
      <c r="AN967" s="110"/>
      <c r="AO967" s="110"/>
      <c r="AP967" s="110"/>
      <c r="AQ967" s="110"/>
      <c r="AR967" s="110"/>
      <c r="AS967" s="110"/>
      <c r="AT967" s="110"/>
      <c r="AU967" s="110"/>
    </row>
    <row r="968" spans="1:47" ht="12.75" hidden="1">
      <c r="A968" s="110"/>
      <c r="B968" s="1009"/>
      <c r="C968" s="1010"/>
      <c r="D968" s="253"/>
      <c r="E968" s="1011"/>
      <c r="F968" s="262"/>
      <c r="G968" s="1011"/>
      <c r="H968" s="262"/>
      <c r="I968" s="1011"/>
      <c r="J968" s="262"/>
      <c r="K968" s="1011"/>
      <c r="L968" s="262"/>
      <c r="M968" s="1011"/>
      <c r="N968" s="262"/>
      <c r="O968" s="1011"/>
      <c r="P968" s="262"/>
      <c r="Q968" s="1011"/>
      <c r="R968" s="1012"/>
      <c r="S968" s="1011"/>
      <c r="T968" s="1012"/>
      <c r="U968" s="1010"/>
      <c r="V968" s="1012"/>
      <c r="W968" s="1010"/>
      <c r="X968" s="1012"/>
      <c r="Y968" s="1010"/>
      <c r="Z968" s="262"/>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row>
    <row r="969" spans="1:47" ht="12.75" hidden="1">
      <c r="A969" s="110"/>
      <c r="B969" s="1009"/>
      <c r="C969" s="1010"/>
      <c r="D969" s="253"/>
      <c r="E969" s="1011"/>
      <c r="F969" s="262"/>
      <c r="G969" s="1011"/>
      <c r="H969" s="262"/>
      <c r="I969" s="1011"/>
      <c r="J969" s="262"/>
      <c r="K969" s="1011"/>
      <c r="L969" s="262"/>
      <c r="M969" s="1011"/>
      <c r="N969" s="262"/>
      <c r="O969" s="1011"/>
      <c r="P969" s="262"/>
      <c r="Q969" s="1011"/>
      <c r="R969" s="1012"/>
      <c r="S969" s="1011"/>
      <c r="T969" s="1012"/>
      <c r="U969" s="1010"/>
      <c r="V969" s="1012"/>
      <c r="W969" s="1010"/>
      <c r="X969" s="1012"/>
      <c r="Y969" s="1010"/>
      <c r="Z969" s="262"/>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row>
    <row r="970" spans="1:47" ht="12.75" hidden="1">
      <c r="A970" s="110"/>
      <c r="B970" s="1009"/>
      <c r="C970" s="1010"/>
      <c r="D970" s="253"/>
      <c r="E970" s="1011"/>
      <c r="F970" s="262"/>
      <c r="G970" s="1011"/>
      <c r="H970" s="262"/>
      <c r="I970" s="1011"/>
      <c r="J970" s="262"/>
      <c r="K970" s="1011"/>
      <c r="L970" s="262"/>
      <c r="M970" s="1011"/>
      <c r="N970" s="262"/>
      <c r="O970" s="1011"/>
      <c r="P970" s="262"/>
      <c r="Q970" s="1011"/>
      <c r="R970" s="1012"/>
      <c r="S970" s="1011"/>
      <c r="T970" s="1012"/>
      <c r="U970" s="1010"/>
      <c r="V970" s="1012"/>
      <c r="W970" s="1010"/>
      <c r="X970" s="1012"/>
      <c r="Y970" s="1010"/>
      <c r="Z970" s="262"/>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row>
    <row r="971" spans="1:47" ht="12.75" hidden="1">
      <c r="A971" s="110"/>
      <c r="B971" s="1009"/>
      <c r="C971" s="1010"/>
      <c r="D971" s="253"/>
      <c r="E971" s="1011"/>
      <c r="F971" s="262"/>
      <c r="G971" s="1011"/>
      <c r="H971" s="262"/>
      <c r="I971" s="1011"/>
      <c r="J971" s="262"/>
      <c r="K971" s="1011"/>
      <c r="L971" s="262"/>
      <c r="M971" s="1011"/>
      <c r="N971" s="262"/>
      <c r="O971" s="1011"/>
      <c r="P971" s="262"/>
      <c r="Q971" s="1011"/>
      <c r="R971" s="1012"/>
      <c r="S971" s="1011"/>
      <c r="T971" s="1012"/>
      <c r="U971" s="1010"/>
      <c r="V971" s="1012"/>
      <c r="W971" s="1010"/>
      <c r="X971" s="1012"/>
      <c r="Y971" s="1010"/>
      <c r="Z971" s="262"/>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row>
    <row r="972" spans="1:47" ht="12.75" hidden="1">
      <c r="A972" s="110"/>
      <c r="B972" s="1009"/>
      <c r="C972" s="1010"/>
      <c r="D972" s="253"/>
      <c r="E972" s="1011"/>
      <c r="F972" s="262"/>
      <c r="G972" s="1011"/>
      <c r="H972" s="262"/>
      <c r="I972" s="1011"/>
      <c r="J972" s="262"/>
      <c r="K972" s="1011"/>
      <c r="L972" s="262"/>
      <c r="M972" s="1011"/>
      <c r="N972" s="262"/>
      <c r="O972" s="1011"/>
      <c r="P972" s="262"/>
      <c r="Q972" s="1011"/>
      <c r="R972" s="1012"/>
      <c r="S972" s="1011"/>
      <c r="T972" s="1012"/>
      <c r="U972" s="1010"/>
      <c r="V972" s="1012"/>
      <c r="W972" s="1010"/>
      <c r="X972" s="1012"/>
      <c r="Y972" s="1010"/>
      <c r="Z972" s="262"/>
      <c r="AA972" s="110"/>
      <c r="AB972" s="110"/>
      <c r="AC972" s="110"/>
      <c r="AD972" s="110"/>
      <c r="AE972" s="110"/>
      <c r="AF972" s="110"/>
      <c r="AG972" s="110"/>
      <c r="AH972" s="110"/>
      <c r="AI972" s="110"/>
      <c r="AJ972" s="110"/>
      <c r="AK972" s="110"/>
      <c r="AL972" s="110"/>
      <c r="AM972" s="110"/>
      <c r="AN972" s="110"/>
      <c r="AO972" s="110"/>
      <c r="AP972" s="110"/>
      <c r="AQ972" s="110"/>
      <c r="AR972" s="110"/>
      <c r="AS972" s="110"/>
      <c r="AT972" s="110"/>
      <c r="AU972" s="110"/>
    </row>
    <row r="973" spans="1:47" ht="12.75" hidden="1">
      <c r="A973" s="110"/>
      <c r="B973" s="1009"/>
      <c r="C973" s="1010"/>
      <c r="D973" s="253"/>
      <c r="E973" s="1011"/>
      <c r="F973" s="262"/>
      <c r="G973" s="1011"/>
      <c r="H973" s="262"/>
      <c r="I973" s="1011"/>
      <c r="J973" s="262"/>
      <c r="K973" s="1011"/>
      <c r="L973" s="262"/>
      <c r="M973" s="1011"/>
      <c r="N973" s="262"/>
      <c r="O973" s="1011"/>
      <c r="P973" s="262"/>
      <c r="Q973" s="1011"/>
      <c r="R973" s="1012"/>
      <c r="S973" s="1011"/>
      <c r="T973" s="1012"/>
      <c r="U973" s="1010"/>
      <c r="V973" s="1012"/>
      <c r="W973" s="1010"/>
      <c r="X973" s="1012"/>
      <c r="Y973" s="1010"/>
      <c r="Z973" s="262"/>
      <c r="AA973" s="110"/>
      <c r="AB973" s="110"/>
      <c r="AC973" s="110"/>
      <c r="AD973" s="110"/>
      <c r="AE973" s="110"/>
      <c r="AF973" s="110"/>
      <c r="AG973" s="110"/>
      <c r="AH973" s="110"/>
      <c r="AI973" s="110"/>
      <c r="AJ973" s="110"/>
      <c r="AK973" s="110"/>
      <c r="AL973" s="110"/>
      <c r="AM973" s="110"/>
      <c r="AN973" s="110"/>
      <c r="AO973" s="110"/>
      <c r="AP973" s="110"/>
      <c r="AQ973" s="110"/>
      <c r="AR973" s="110"/>
      <c r="AS973" s="110"/>
      <c r="AT973" s="110"/>
      <c r="AU973" s="110"/>
    </row>
    <row r="974" spans="1:47" ht="12.75" hidden="1">
      <c r="A974" s="110"/>
      <c r="B974" s="1009"/>
      <c r="C974" s="1010"/>
      <c r="D974" s="253"/>
      <c r="E974" s="1011"/>
      <c r="F974" s="262"/>
      <c r="G974" s="1011"/>
      <c r="H974" s="262"/>
      <c r="I974" s="1011"/>
      <c r="J974" s="262"/>
      <c r="K974" s="1011"/>
      <c r="L974" s="262"/>
      <c r="M974" s="1011"/>
      <c r="N974" s="262"/>
      <c r="O974" s="1011"/>
      <c r="P974" s="262"/>
      <c r="Q974" s="1011"/>
      <c r="R974" s="1012"/>
      <c r="S974" s="1011"/>
      <c r="T974" s="1012"/>
      <c r="U974" s="1010"/>
      <c r="V974" s="1012"/>
      <c r="W974" s="1010"/>
      <c r="X974" s="1012"/>
      <c r="Y974" s="1010"/>
      <c r="Z974" s="262"/>
      <c r="AA974" s="110"/>
      <c r="AB974" s="110"/>
      <c r="AC974" s="110"/>
      <c r="AD974" s="110"/>
      <c r="AE974" s="110"/>
      <c r="AF974" s="110"/>
      <c r="AG974" s="110"/>
      <c r="AH974" s="110"/>
      <c r="AI974" s="110"/>
      <c r="AJ974" s="110"/>
      <c r="AK974" s="110"/>
      <c r="AL974" s="110"/>
      <c r="AM974" s="110"/>
      <c r="AN974" s="110"/>
      <c r="AO974" s="110"/>
      <c r="AP974" s="110"/>
      <c r="AQ974" s="110"/>
      <c r="AR974" s="110"/>
      <c r="AS974" s="110"/>
      <c r="AT974" s="110"/>
      <c r="AU974" s="110"/>
    </row>
    <row r="975" spans="1:47" ht="12.75" hidden="1">
      <c r="A975" s="110"/>
      <c r="B975" s="1009"/>
      <c r="C975" s="1010"/>
      <c r="D975" s="253"/>
      <c r="E975" s="1011"/>
      <c r="F975" s="262"/>
      <c r="G975" s="1011"/>
      <c r="H975" s="262"/>
      <c r="I975" s="1011"/>
      <c r="J975" s="262"/>
      <c r="K975" s="1011"/>
      <c r="L975" s="262"/>
      <c r="M975" s="1011"/>
      <c r="N975" s="262"/>
      <c r="O975" s="1011"/>
      <c r="P975" s="262"/>
      <c r="Q975" s="1011"/>
      <c r="R975" s="1012"/>
      <c r="S975" s="1011"/>
      <c r="T975" s="1012"/>
      <c r="U975" s="1010"/>
      <c r="V975" s="1012"/>
      <c r="W975" s="1010"/>
      <c r="X975" s="1012"/>
      <c r="Y975" s="1010"/>
      <c r="Z975" s="262"/>
      <c r="AA975" s="110"/>
      <c r="AB975" s="110"/>
      <c r="AC975" s="110"/>
      <c r="AD975" s="110"/>
      <c r="AE975" s="110"/>
      <c r="AF975" s="110"/>
      <c r="AG975" s="110"/>
      <c r="AH975" s="110"/>
      <c r="AI975" s="110"/>
      <c r="AJ975" s="110"/>
      <c r="AK975" s="110"/>
      <c r="AL975" s="110"/>
      <c r="AM975" s="110"/>
      <c r="AN975" s="110"/>
      <c r="AO975" s="110"/>
      <c r="AP975" s="110"/>
      <c r="AQ975" s="110"/>
      <c r="AR975" s="110"/>
      <c r="AS975" s="110"/>
      <c r="AT975" s="110"/>
      <c r="AU975" s="110"/>
    </row>
    <row r="976" spans="1:47" ht="12.75" hidden="1">
      <c r="A976" s="110"/>
      <c r="B976" s="1009"/>
      <c r="C976" s="1010"/>
      <c r="D976" s="253"/>
      <c r="E976" s="1011"/>
      <c r="F976" s="262"/>
      <c r="G976" s="1011"/>
      <c r="H976" s="262"/>
      <c r="I976" s="1011"/>
      <c r="J976" s="262"/>
      <c r="K976" s="1011"/>
      <c r="L976" s="262"/>
      <c r="M976" s="1011"/>
      <c r="N976" s="262"/>
      <c r="O976" s="1011"/>
      <c r="P976" s="262"/>
      <c r="Q976" s="1011"/>
      <c r="R976" s="1012"/>
      <c r="S976" s="1011"/>
      <c r="T976" s="1012"/>
      <c r="U976" s="1010"/>
      <c r="V976" s="1012"/>
      <c r="W976" s="1010"/>
      <c r="X976" s="1012"/>
      <c r="Y976" s="1010"/>
      <c r="Z976" s="262"/>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row>
    <row r="977" spans="1:47" ht="12.75" hidden="1">
      <c r="A977" s="110"/>
      <c r="B977" s="1009"/>
      <c r="C977" s="1010"/>
      <c r="D977" s="253"/>
      <c r="E977" s="1011"/>
      <c r="F977" s="262"/>
      <c r="G977" s="1011"/>
      <c r="H977" s="262"/>
      <c r="I977" s="1011"/>
      <c r="J977" s="262"/>
      <c r="K977" s="1011"/>
      <c r="L977" s="262"/>
      <c r="M977" s="1011"/>
      <c r="N977" s="262"/>
      <c r="O977" s="1011"/>
      <c r="P977" s="262"/>
      <c r="Q977" s="1011"/>
      <c r="R977" s="1012"/>
      <c r="S977" s="1011"/>
      <c r="T977" s="1012"/>
      <c r="U977" s="1010"/>
      <c r="V977" s="1012"/>
      <c r="W977" s="1010"/>
      <c r="X977" s="1012"/>
      <c r="Y977" s="1010"/>
      <c r="Z977" s="262"/>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row>
    <row r="978" spans="1:47" ht="12.75" hidden="1">
      <c r="A978" s="110"/>
      <c r="B978" s="1009"/>
      <c r="C978" s="1010"/>
      <c r="D978" s="253"/>
      <c r="E978" s="1011"/>
      <c r="F978" s="262"/>
      <c r="G978" s="1011"/>
      <c r="H978" s="262"/>
      <c r="I978" s="1011"/>
      <c r="J978" s="262"/>
      <c r="K978" s="1011"/>
      <c r="L978" s="262"/>
      <c r="M978" s="1011"/>
      <c r="N978" s="262"/>
      <c r="O978" s="1011"/>
      <c r="P978" s="262"/>
      <c r="Q978" s="1011"/>
      <c r="R978" s="1012"/>
      <c r="S978" s="1011"/>
      <c r="T978" s="1012"/>
      <c r="U978" s="1010"/>
      <c r="V978" s="1012"/>
      <c r="W978" s="1010"/>
      <c r="X978" s="1012"/>
      <c r="Y978" s="1010"/>
      <c r="Z978" s="262"/>
      <c r="AA978" s="110"/>
      <c r="AB978" s="110"/>
      <c r="AC978" s="110"/>
      <c r="AD978" s="110"/>
      <c r="AE978" s="110"/>
      <c r="AF978" s="110"/>
      <c r="AG978" s="110"/>
      <c r="AH978" s="110"/>
      <c r="AI978" s="110"/>
      <c r="AJ978" s="110"/>
      <c r="AK978" s="110"/>
      <c r="AL978" s="110"/>
      <c r="AM978" s="110"/>
      <c r="AN978" s="110"/>
      <c r="AO978" s="110"/>
      <c r="AP978" s="110"/>
      <c r="AQ978" s="110"/>
      <c r="AR978" s="110"/>
      <c r="AS978" s="110"/>
      <c r="AT978" s="110"/>
      <c r="AU978" s="110"/>
    </row>
    <row r="979" spans="1:47" ht="12.75" hidden="1">
      <c r="A979" s="110"/>
      <c r="B979" s="1009"/>
      <c r="C979" s="1010"/>
      <c r="D979" s="253"/>
      <c r="E979" s="1011"/>
      <c r="F979" s="262"/>
      <c r="G979" s="1011"/>
      <c r="H979" s="262"/>
      <c r="I979" s="1011"/>
      <c r="J979" s="262"/>
      <c r="K979" s="1011"/>
      <c r="L979" s="262"/>
      <c r="M979" s="1011"/>
      <c r="N979" s="262"/>
      <c r="O979" s="1011"/>
      <c r="P979" s="262"/>
      <c r="Q979" s="1011"/>
      <c r="R979" s="1012"/>
      <c r="S979" s="1011"/>
      <c r="T979" s="1012"/>
      <c r="U979" s="1010"/>
      <c r="V979" s="1012"/>
      <c r="W979" s="1010"/>
      <c r="X979" s="1012"/>
      <c r="Y979" s="1010"/>
      <c r="Z979" s="262"/>
      <c r="AA979" s="110"/>
      <c r="AB979" s="110"/>
      <c r="AC979" s="110"/>
      <c r="AD979" s="110"/>
      <c r="AE979" s="110"/>
      <c r="AF979" s="110"/>
      <c r="AG979" s="110"/>
      <c r="AH979" s="110"/>
      <c r="AI979" s="110"/>
      <c r="AJ979" s="110"/>
      <c r="AK979" s="110"/>
      <c r="AL979" s="110"/>
      <c r="AM979" s="110"/>
      <c r="AN979" s="110"/>
      <c r="AO979" s="110"/>
      <c r="AP979" s="110"/>
      <c r="AQ979" s="110"/>
      <c r="AR979" s="110"/>
      <c r="AS979" s="110"/>
      <c r="AT979" s="110"/>
      <c r="AU979" s="110"/>
    </row>
    <row r="980" spans="1:47" ht="12.75" hidden="1">
      <c r="A980" s="110"/>
      <c r="B980" s="1009"/>
      <c r="C980" s="1010"/>
      <c r="D980" s="253"/>
      <c r="E980" s="1011"/>
      <c r="F980" s="262"/>
      <c r="G980" s="1011"/>
      <c r="H980" s="262"/>
      <c r="I980" s="1011"/>
      <c r="J980" s="262"/>
      <c r="K980" s="1011"/>
      <c r="L980" s="262"/>
      <c r="M980" s="1011"/>
      <c r="N980" s="262"/>
      <c r="O980" s="1011"/>
      <c r="P980" s="262"/>
      <c r="Q980" s="1011"/>
      <c r="R980" s="1012"/>
      <c r="S980" s="1011"/>
      <c r="T980" s="1012"/>
      <c r="U980" s="1010"/>
      <c r="V980" s="1012"/>
      <c r="W980" s="1010"/>
      <c r="X980" s="1012"/>
      <c r="Y980" s="1010"/>
      <c r="Z980" s="262"/>
      <c r="AA980" s="110"/>
      <c r="AB980" s="110"/>
      <c r="AC980" s="110"/>
      <c r="AD980" s="110"/>
      <c r="AE980" s="110"/>
      <c r="AF980" s="110"/>
      <c r="AG980" s="110"/>
      <c r="AH980" s="110"/>
      <c r="AI980" s="110"/>
      <c r="AJ980" s="110"/>
      <c r="AK980" s="110"/>
      <c r="AL980" s="110"/>
      <c r="AM980" s="110"/>
      <c r="AN980" s="110"/>
      <c r="AO980" s="110"/>
      <c r="AP980" s="110"/>
      <c r="AQ980" s="110"/>
      <c r="AR980" s="110"/>
      <c r="AS980" s="110"/>
      <c r="AT980" s="110"/>
      <c r="AU980" s="110"/>
    </row>
    <row r="981" spans="1:47" ht="12.75" hidden="1">
      <c r="A981" s="110"/>
      <c r="B981" s="1009"/>
      <c r="C981" s="1010"/>
      <c r="D981" s="253"/>
      <c r="E981" s="1011"/>
      <c r="F981" s="262"/>
      <c r="G981" s="1011"/>
      <c r="H981" s="262"/>
      <c r="I981" s="1011"/>
      <c r="J981" s="262"/>
      <c r="K981" s="1011"/>
      <c r="L981" s="262"/>
      <c r="M981" s="1011"/>
      <c r="N981" s="262"/>
      <c r="O981" s="1011"/>
      <c r="P981" s="262"/>
      <c r="Q981" s="1011"/>
      <c r="R981" s="1012"/>
      <c r="S981" s="1011"/>
      <c r="T981" s="1012"/>
      <c r="U981" s="1010"/>
      <c r="V981" s="1012"/>
      <c r="W981" s="1010"/>
      <c r="X981" s="1012"/>
      <c r="Y981" s="1010"/>
      <c r="Z981" s="262"/>
      <c r="AA981" s="110"/>
      <c r="AB981" s="110"/>
      <c r="AC981" s="110"/>
      <c r="AD981" s="110"/>
      <c r="AE981" s="110"/>
      <c r="AF981" s="110"/>
      <c r="AG981" s="110"/>
      <c r="AH981" s="110"/>
      <c r="AI981" s="110"/>
      <c r="AJ981" s="110"/>
      <c r="AK981" s="110"/>
      <c r="AL981" s="110"/>
      <c r="AM981" s="110"/>
      <c r="AN981" s="110"/>
      <c r="AO981" s="110"/>
      <c r="AP981" s="110"/>
      <c r="AQ981" s="110"/>
      <c r="AR981" s="110"/>
      <c r="AS981" s="110"/>
      <c r="AT981" s="110"/>
      <c r="AU981" s="110"/>
    </row>
    <row r="982" spans="1:47" ht="12.75" hidden="1">
      <c r="A982" s="110"/>
      <c r="B982" s="1009"/>
      <c r="C982" s="1010"/>
      <c r="D982" s="253"/>
      <c r="E982" s="1011"/>
      <c r="F982" s="262"/>
      <c r="G982" s="1011"/>
      <c r="H982" s="262"/>
      <c r="I982" s="1011"/>
      <c r="J982" s="262"/>
      <c r="K982" s="1011"/>
      <c r="L982" s="262"/>
      <c r="M982" s="1011"/>
      <c r="N982" s="262"/>
      <c r="O982" s="1011"/>
      <c r="P982" s="262"/>
      <c r="Q982" s="1011"/>
      <c r="R982" s="1012"/>
      <c r="S982" s="1011"/>
      <c r="T982" s="1012"/>
      <c r="U982" s="1010"/>
      <c r="V982" s="1012"/>
      <c r="W982" s="1010"/>
      <c r="X982" s="1012"/>
      <c r="Y982" s="1010"/>
      <c r="Z982" s="262"/>
      <c r="AA982" s="110"/>
      <c r="AB982" s="110"/>
      <c r="AC982" s="110"/>
      <c r="AD982" s="110"/>
      <c r="AE982" s="110"/>
      <c r="AF982" s="110"/>
      <c r="AG982" s="110"/>
      <c r="AH982" s="110"/>
      <c r="AI982" s="110"/>
      <c r="AJ982" s="110"/>
      <c r="AK982" s="110"/>
      <c r="AL982" s="110"/>
      <c r="AM982" s="110"/>
      <c r="AN982" s="110"/>
      <c r="AO982" s="110"/>
      <c r="AP982" s="110"/>
      <c r="AQ982" s="110"/>
      <c r="AR982" s="110"/>
      <c r="AS982" s="110"/>
      <c r="AT982" s="110"/>
      <c r="AU982" s="110"/>
    </row>
    <row r="983" spans="1:47" ht="12.75" hidden="1">
      <c r="A983" s="110"/>
      <c r="B983" s="1009"/>
      <c r="C983" s="1010"/>
      <c r="D983" s="253"/>
      <c r="E983" s="1011"/>
      <c r="F983" s="262"/>
      <c r="G983" s="1011"/>
      <c r="H983" s="262"/>
      <c r="I983" s="1011"/>
      <c r="J983" s="262"/>
      <c r="K983" s="1011"/>
      <c r="L983" s="262"/>
      <c r="M983" s="1011"/>
      <c r="N983" s="262"/>
      <c r="O983" s="1011"/>
      <c r="P983" s="262"/>
      <c r="Q983" s="1011"/>
      <c r="R983" s="1012"/>
      <c r="S983" s="1011"/>
      <c r="T983" s="1012"/>
      <c r="U983" s="1010"/>
      <c r="V983" s="1012"/>
      <c r="W983" s="1010"/>
      <c r="X983" s="1012"/>
      <c r="Y983" s="1010"/>
      <c r="Z983" s="262"/>
      <c r="AA983" s="110"/>
      <c r="AB983" s="110"/>
      <c r="AC983" s="110"/>
      <c r="AD983" s="110"/>
      <c r="AE983" s="110"/>
      <c r="AF983" s="110"/>
      <c r="AG983" s="110"/>
      <c r="AH983" s="110"/>
      <c r="AI983" s="110"/>
      <c r="AJ983" s="110"/>
      <c r="AK983" s="110"/>
      <c r="AL983" s="110"/>
      <c r="AM983" s="110"/>
      <c r="AN983" s="110"/>
      <c r="AO983" s="110"/>
      <c r="AP983" s="110"/>
      <c r="AQ983" s="110"/>
      <c r="AR983" s="110"/>
      <c r="AS983" s="110"/>
      <c r="AT983" s="110"/>
      <c r="AU983" s="110"/>
    </row>
    <row r="984" spans="1:47" ht="12.75" hidden="1">
      <c r="A984" s="110"/>
      <c r="B984" s="1009"/>
      <c r="C984" s="1010"/>
      <c r="D984" s="253"/>
      <c r="E984" s="1011"/>
      <c r="F984" s="262"/>
      <c r="G984" s="1011"/>
      <c r="H984" s="262"/>
      <c r="I984" s="1011"/>
      <c r="J984" s="262"/>
      <c r="K984" s="1011"/>
      <c r="L984" s="262"/>
      <c r="M984" s="1011"/>
      <c r="N984" s="262"/>
      <c r="O984" s="1011"/>
      <c r="P984" s="262"/>
      <c r="Q984" s="1011"/>
      <c r="R984" s="1012"/>
      <c r="S984" s="1011"/>
      <c r="T984" s="1012"/>
      <c r="U984" s="1010"/>
      <c r="V984" s="1012"/>
      <c r="W984" s="1010"/>
      <c r="X984" s="1012"/>
      <c r="Y984" s="1010"/>
      <c r="Z984" s="262"/>
      <c r="AA984" s="110"/>
      <c r="AB984" s="110"/>
      <c r="AC984" s="110"/>
      <c r="AD984" s="110"/>
      <c r="AE984" s="110"/>
      <c r="AF984" s="110"/>
      <c r="AG984" s="110"/>
      <c r="AH984" s="110"/>
      <c r="AI984" s="110"/>
      <c r="AJ984" s="110"/>
      <c r="AK984" s="110"/>
      <c r="AL984" s="110"/>
      <c r="AM984" s="110"/>
      <c r="AN984" s="110"/>
      <c r="AO984" s="110"/>
      <c r="AP984" s="110"/>
      <c r="AQ984" s="110"/>
      <c r="AR984" s="110"/>
      <c r="AS984" s="110"/>
      <c r="AT984" s="110"/>
      <c r="AU984" s="110"/>
    </row>
    <row r="985" spans="1:47" ht="12.75" hidden="1">
      <c r="A985" s="110"/>
      <c r="B985" s="1009"/>
      <c r="C985" s="1010"/>
      <c r="D985" s="253"/>
      <c r="E985" s="1011"/>
      <c r="F985" s="262"/>
      <c r="G985" s="1011"/>
      <c r="H985" s="262"/>
      <c r="I985" s="1011"/>
      <c r="J985" s="262"/>
      <c r="K985" s="1011"/>
      <c r="L985" s="262"/>
      <c r="M985" s="1011"/>
      <c r="N985" s="262"/>
      <c r="O985" s="1011"/>
      <c r="P985" s="262"/>
      <c r="Q985" s="1011"/>
      <c r="R985" s="1012"/>
      <c r="S985" s="1011"/>
      <c r="T985" s="1012"/>
      <c r="U985" s="1010"/>
      <c r="V985" s="1012"/>
      <c r="W985" s="1010"/>
      <c r="X985" s="1012"/>
      <c r="Y985" s="1010"/>
      <c r="Z985" s="262"/>
      <c r="AA985" s="110"/>
      <c r="AB985" s="110"/>
      <c r="AC985" s="110"/>
      <c r="AD985" s="110"/>
      <c r="AE985" s="110"/>
      <c r="AF985" s="110"/>
      <c r="AG985" s="110"/>
      <c r="AH985" s="110"/>
      <c r="AI985" s="110"/>
      <c r="AJ985" s="110"/>
      <c r="AK985" s="110"/>
      <c r="AL985" s="110"/>
      <c r="AM985" s="110"/>
      <c r="AN985" s="110"/>
      <c r="AO985" s="110"/>
      <c r="AP985" s="110"/>
      <c r="AQ985" s="110"/>
      <c r="AR985" s="110"/>
      <c r="AS985" s="110"/>
      <c r="AT985" s="110"/>
      <c r="AU985" s="110"/>
    </row>
    <row r="986" spans="1:47" ht="12.75" hidden="1">
      <c r="A986" s="110"/>
      <c r="B986" s="1009"/>
      <c r="C986" s="1010"/>
      <c r="D986" s="253"/>
      <c r="E986" s="1011"/>
      <c r="F986" s="262"/>
      <c r="G986" s="1011"/>
      <c r="H986" s="262"/>
      <c r="I986" s="1011"/>
      <c r="J986" s="262"/>
      <c r="K986" s="1011"/>
      <c r="L986" s="262"/>
      <c r="M986" s="1011"/>
      <c r="N986" s="262"/>
      <c r="O986" s="1011"/>
      <c r="P986" s="262"/>
      <c r="Q986" s="1011"/>
      <c r="R986" s="1012"/>
      <c r="S986" s="1011"/>
      <c r="T986" s="1012"/>
      <c r="U986" s="1010"/>
      <c r="V986" s="1012"/>
      <c r="W986" s="1010"/>
      <c r="X986" s="1012"/>
      <c r="Y986" s="1010"/>
      <c r="Z986" s="262"/>
      <c r="AA986" s="110"/>
      <c r="AB986" s="110"/>
      <c r="AC986" s="110"/>
      <c r="AD986" s="110"/>
      <c r="AE986" s="110"/>
      <c r="AF986" s="110"/>
      <c r="AG986" s="110"/>
      <c r="AH986" s="110"/>
      <c r="AI986" s="110"/>
      <c r="AJ986" s="110"/>
      <c r="AK986" s="110"/>
      <c r="AL986" s="110"/>
      <c r="AM986" s="110"/>
      <c r="AN986" s="110"/>
      <c r="AO986" s="110"/>
      <c r="AP986" s="110"/>
      <c r="AQ986" s="110"/>
      <c r="AR986" s="110"/>
      <c r="AS986" s="110"/>
      <c r="AT986" s="110"/>
      <c r="AU986" s="110"/>
    </row>
    <row r="987" spans="1:47" ht="12.75" hidden="1">
      <c r="A987" s="110"/>
      <c r="B987" s="1009"/>
      <c r="C987" s="1010"/>
      <c r="D987" s="253"/>
      <c r="E987" s="1011"/>
      <c r="F987" s="262"/>
      <c r="G987" s="1011"/>
      <c r="H987" s="262"/>
      <c r="I987" s="1011"/>
      <c r="J987" s="262"/>
      <c r="K987" s="1011"/>
      <c r="L987" s="262"/>
      <c r="M987" s="1011"/>
      <c r="N987" s="262"/>
      <c r="O987" s="1011"/>
      <c r="P987" s="262"/>
      <c r="Q987" s="1011"/>
      <c r="R987" s="1012"/>
      <c r="S987" s="1011"/>
      <c r="T987" s="1012"/>
      <c r="U987" s="1010"/>
      <c r="V987" s="1012"/>
      <c r="W987" s="1010"/>
      <c r="X987" s="1012"/>
      <c r="Y987" s="1010"/>
      <c r="Z987" s="262"/>
      <c r="AA987" s="110"/>
      <c r="AB987" s="110"/>
      <c r="AC987" s="110"/>
      <c r="AD987" s="110"/>
      <c r="AE987" s="110"/>
      <c r="AF987" s="110"/>
      <c r="AG987" s="110"/>
      <c r="AH987" s="110"/>
      <c r="AI987" s="110"/>
      <c r="AJ987" s="110"/>
      <c r="AK987" s="110"/>
      <c r="AL987" s="110"/>
      <c r="AM987" s="110"/>
      <c r="AN987" s="110"/>
      <c r="AO987" s="110"/>
      <c r="AP987" s="110"/>
      <c r="AQ987" s="110"/>
      <c r="AR987" s="110"/>
      <c r="AS987" s="110"/>
      <c r="AT987" s="110"/>
      <c r="AU987" s="110"/>
    </row>
    <row r="988" spans="1:47" ht="12.75" hidden="1">
      <c r="A988" s="110"/>
      <c r="B988" s="1009"/>
      <c r="C988" s="1010"/>
      <c r="D988" s="253"/>
      <c r="E988" s="1011"/>
      <c r="F988" s="262"/>
      <c r="G988" s="1011"/>
      <c r="H988" s="262"/>
      <c r="I988" s="1011"/>
      <c r="J988" s="262"/>
      <c r="K988" s="1011"/>
      <c r="L988" s="262"/>
      <c r="M988" s="1011"/>
      <c r="N988" s="262"/>
      <c r="O988" s="1011"/>
      <c r="P988" s="262"/>
      <c r="Q988" s="1011"/>
      <c r="R988" s="1012"/>
      <c r="S988" s="1011"/>
      <c r="T988" s="1012"/>
      <c r="U988" s="1010"/>
      <c r="V988" s="1012"/>
      <c r="W988" s="1010"/>
      <c r="X988" s="1012"/>
      <c r="Y988" s="1010"/>
      <c r="Z988" s="262"/>
      <c r="AA988" s="110"/>
      <c r="AB988" s="110"/>
      <c r="AC988" s="110"/>
      <c r="AD988" s="110"/>
      <c r="AE988" s="110"/>
      <c r="AF988" s="110"/>
      <c r="AG988" s="110"/>
      <c r="AH988" s="110"/>
      <c r="AI988" s="110"/>
      <c r="AJ988" s="110"/>
      <c r="AK988" s="110"/>
      <c r="AL988" s="110"/>
      <c r="AM988" s="110"/>
      <c r="AN988" s="110"/>
      <c r="AO988" s="110"/>
      <c r="AP988" s="110"/>
      <c r="AQ988" s="110"/>
      <c r="AR988" s="110"/>
      <c r="AS988" s="110"/>
      <c r="AT988" s="110"/>
      <c r="AU988" s="110"/>
    </row>
    <row r="989" spans="1:47" ht="12.75" hidden="1">
      <c r="A989" s="110"/>
      <c r="B989" s="1009"/>
      <c r="C989" s="1010"/>
      <c r="D989" s="253"/>
      <c r="E989" s="1011"/>
      <c r="F989" s="262"/>
      <c r="G989" s="1011"/>
      <c r="H989" s="262"/>
      <c r="I989" s="1011"/>
      <c r="J989" s="262"/>
      <c r="K989" s="1011"/>
      <c r="L989" s="262"/>
      <c r="M989" s="1011"/>
      <c r="N989" s="262"/>
      <c r="O989" s="1011"/>
      <c r="P989" s="262"/>
      <c r="Q989" s="1011"/>
      <c r="R989" s="1012"/>
      <c r="S989" s="1011"/>
      <c r="T989" s="1012"/>
      <c r="U989" s="1010"/>
      <c r="V989" s="1012"/>
      <c r="W989" s="1010"/>
      <c r="X989" s="1012"/>
      <c r="Y989" s="1010"/>
      <c r="Z989" s="262"/>
      <c r="AA989" s="110"/>
      <c r="AB989" s="110"/>
      <c r="AC989" s="110"/>
      <c r="AD989" s="110"/>
      <c r="AE989" s="110"/>
      <c r="AF989" s="110"/>
      <c r="AG989" s="110"/>
      <c r="AH989" s="110"/>
      <c r="AI989" s="110"/>
      <c r="AJ989" s="110"/>
      <c r="AK989" s="110"/>
      <c r="AL989" s="110"/>
      <c r="AM989" s="110"/>
      <c r="AN989" s="110"/>
      <c r="AO989" s="110"/>
      <c r="AP989" s="110"/>
      <c r="AQ989" s="110"/>
      <c r="AR989" s="110"/>
      <c r="AS989" s="110"/>
      <c r="AT989" s="110"/>
      <c r="AU989" s="110"/>
    </row>
    <row r="990" spans="1:47" ht="12.75" hidden="1">
      <c r="A990" s="110"/>
      <c r="B990" s="1009"/>
      <c r="C990" s="1010"/>
      <c r="D990" s="253"/>
      <c r="E990" s="1011"/>
      <c r="F990" s="262"/>
      <c r="G990" s="1011"/>
      <c r="H990" s="262"/>
      <c r="I990" s="1011"/>
      <c r="J990" s="262"/>
      <c r="K990" s="1011"/>
      <c r="L990" s="262"/>
      <c r="M990" s="1011"/>
      <c r="N990" s="262"/>
      <c r="O990" s="1011"/>
      <c r="P990" s="262"/>
      <c r="Q990" s="1011"/>
      <c r="R990" s="1012"/>
      <c r="S990" s="1011"/>
      <c r="T990" s="1012"/>
      <c r="U990" s="1010"/>
      <c r="V990" s="1012"/>
      <c r="W990" s="1010"/>
      <c r="X990" s="1012"/>
      <c r="Y990" s="1010"/>
      <c r="Z990" s="262"/>
      <c r="AA990" s="110"/>
      <c r="AB990" s="110"/>
      <c r="AC990" s="110"/>
      <c r="AD990" s="110"/>
      <c r="AE990" s="110"/>
      <c r="AF990" s="110"/>
      <c r="AG990" s="110"/>
      <c r="AH990" s="110"/>
      <c r="AI990" s="110"/>
      <c r="AJ990" s="110"/>
      <c r="AK990" s="110"/>
      <c r="AL990" s="110"/>
      <c r="AM990" s="110"/>
      <c r="AN990" s="110"/>
      <c r="AO990" s="110"/>
      <c r="AP990" s="110"/>
      <c r="AQ990" s="110"/>
      <c r="AR990" s="110"/>
      <c r="AS990" s="110"/>
      <c r="AT990" s="110"/>
      <c r="AU990" s="110"/>
    </row>
    <row r="991" spans="1:47" ht="12.75" hidden="1">
      <c r="A991" s="110"/>
      <c r="B991" s="1009"/>
      <c r="C991" s="1010"/>
      <c r="D991" s="253"/>
      <c r="E991" s="1011"/>
      <c r="F991" s="262"/>
      <c r="G991" s="1011"/>
      <c r="H991" s="262"/>
      <c r="I991" s="1011"/>
      <c r="J991" s="262"/>
      <c r="K991" s="1011"/>
      <c r="L991" s="262"/>
      <c r="M991" s="1011"/>
      <c r="N991" s="262"/>
      <c r="O991" s="1011"/>
      <c r="P991" s="262"/>
      <c r="Q991" s="1011"/>
      <c r="R991" s="1012"/>
      <c r="S991" s="1011"/>
      <c r="T991" s="1012"/>
      <c r="U991" s="1010"/>
      <c r="V991" s="1012"/>
      <c r="W991" s="1010"/>
      <c r="X991" s="1012"/>
      <c r="Y991" s="1010"/>
      <c r="Z991" s="262"/>
      <c r="AA991" s="110"/>
      <c r="AB991" s="110"/>
      <c r="AC991" s="110"/>
      <c r="AD991" s="110"/>
      <c r="AE991" s="110"/>
      <c r="AF991" s="110"/>
      <c r="AG991" s="110"/>
      <c r="AH991" s="110"/>
      <c r="AI991" s="110"/>
      <c r="AJ991" s="110"/>
      <c r="AK991" s="110"/>
      <c r="AL991" s="110"/>
      <c r="AM991" s="110"/>
      <c r="AN991" s="110"/>
      <c r="AO991" s="110"/>
      <c r="AP991" s="110"/>
      <c r="AQ991" s="110"/>
      <c r="AR991" s="110"/>
      <c r="AS991" s="110"/>
      <c r="AT991" s="110"/>
      <c r="AU991" s="110"/>
    </row>
    <row r="992" spans="1:47" ht="12.75" hidden="1">
      <c r="A992" s="110"/>
      <c r="B992" s="1009"/>
      <c r="C992" s="1010"/>
      <c r="D992" s="253"/>
      <c r="E992" s="1011"/>
      <c r="F992" s="262"/>
      <c r="G992" s="1011"/>
      <c r="H992" s="262"/>
      <c r="I992" s="1011"/>
      <c r="J992" s="262"/>
      <c r="K992" s="1011"/>
      <c r="L992" s="262"/>
      <c r="M992" s="1011"/>
      <c r="N992" s="262"/>
      <c r="O992" s="1011"/>
      <c r="P992" s="262"/>
      <c r="Q992" s="1011"/>
      <c r="R992" s="1012"/>
      <c r="S992" s="1011"/>
      <c r="T992" s="1012"/>
      <c r="U992" s="1010"/>
      <c r="V992" s="1012"/>
      <c r="W992" s="1010"/>
      <c r="X992" s="1012"/>
      <c r="Y992" s="1010"/>
      <c r="Z992" s="262"/>
      <c r="AA992" s="110"/>
      <c r="AB992" s="110"/>
      <c r="AC992" s="110"/>
      <c r="AD992" s="110"/>
      <c r="AE992" s="110"/>
      <c r="AF992" s="110"/>
      <c r="AG992" s="110"/>
      <c r="AH992" s="110"/>
      <c r="AI992" s="110"/>
      <c r="AJ992" s="110"/>
      <c r="AK992" s="110"/>
      <c r="AL992" s="110"/>
      <c r="AM992" s="110"/>
      <c r="AN992" s="110"/>
      <c r="AO992" s="110"/>
      <c r="AP992" s="110"/>
      <c r="AQ992" s="110"/>
      <c r="AR992" s="110"/>
      <c r="AS992" s="110"/>
      <c r="AT992" s="110"/>
      <c r="AU992" s="110"/>
    </row>
    <row r="993" spans="1:47" ht="12.75" hidden="1">
      <c r="A993" s="110"/>
      <c r="B993" s="1009"/>
      <c r="C993" s="1010"/>
      <c r="D993" s="253"/>
      <c r="E993" s="1011"/>
      <c r="F993" s="262"/>
      <c r="G993" s="1011"/>
      <c r="H993" s="262"/>
      <c r="I993" s="1011"/>
      <c r="J993" s="262"/>
      <c r="K993" s="1011"/>
      <c r="L993" s="262"/>
      <c r="M993" s="1011"/>
      <c r="N993" s="262"/>
      <c r="O993" s="1011"/>
      <c r="P993" s="262"/>
      <c r="Q993" s="1011"/>
      <c r="R993" s="1012"/>
      <c r="S993" s="1011"/>
      <c r="T993" s="1012"/>
      <c r="U993" s="1010"/>
      <c r="V993" s="1012"/>
      <c r="W993" s="1010"/>
      <c r="X993" s="1012"/>
      <c r="Y993" s="1010"/>
      <c r="Z993" s="262"/>
      <c r="AA993" s="110"/>
      <c r="AB993" s="110"/>
      <c r="AC993" s="110"/>
      <c r="AD993" s="110"/>
      <c r="AE993" s="110"/>
      <c r="AF993" s="110"/>
      <c r="AG993" s="110"/>
      <c r="AH993" s="110"/>
      <c r="AI993" s="110"/>
      <c r="AJ993" s="110"/>
      <c r="AK993" s="110"/>
      <c r="AL993" s="110"/>
      <c r="AM993" s="110"/>
      <c r="AN993" s="110"/>
      <c r="AO993" s="110"/>
      <c r="AP993" s="110"/>
      <c r="AQ993" s="110"/>
      <c r="AR993" s="110"/>
      <c r="AS993" s="110"/>
      <c r="AT993" s="110"/>
      <c r="AU993" s="110"/>
    </row>
    <row r="994" spans="1:47" ht="12.75" hidden="1">
      <c r="A994" s="110"/>
      <c r="B994" s="1009"/>
      <c r="C994" s="1010"/>
      <c r="D994" s="253"/>
      <c r="E994" s="1011"/>
      <c r="F994" s="262"/>
      <c r="G994" s="1011"/>
      <c r="H994" s="262"/>
      <c r="I994" s="1011"/>
      <c r="J994" s="262"/>
      <c r="K994" s="1011"/>
      <c r="L994" s="262"/>
      <c r="M994" s="1011"/>
      <c r="N994" s="262"/>
      <c r="O994" s="1011"/>
      <c r="P994" s="262"/>
      <c r="Q994" s="1011"/>
      <c r="R994" s="1012"/>
      <c r="S994" s="1011"/>
      <c r="T994" s="1012"/>
      <c r="U994" s="1010"/>
      <c r="V994" s="1012"/>
      <c r="W994" s="1010"/>
      <c r="X994" s="1012"/>
      <c r="Y994" s="1010"/>
      <c r="Z994" s="262"/>
      <c r="AA994" s="110"/>
      <c r="AB994" s="110"/>
      <c r="AC994" s="110"/>
      <c r="AD994" s="110"/>
      <c r="AE994" s="110"/>
      <c r="AF994" s="110"/>
      <c r="AG994" s="110"/>
      <c r="AH994" s="110"/>
      <c r="AI994" s="110"/>
      <c r="AJ994" s="110"/>
      <c r="AK994" s="110"/>
      <c r="AL994" s="110"/>
      <c r="AM994" s="110"/>
      <c r="AN994" s="110"/>
      <c r="AO994" s="110"/>
      <c r="AP994" s="110"/>
      <c r="AQ994" s="110"/>
      <c r="AR994" s="110"/>
      <c r="AS994" s="110"/>
      <c r="AT994" s="110"/>
      <c r="AU994" s="110"/>
    </row>
    <row r="995" spans="1:47" ht="12.75" hidden="1">
      <c r="A995" s="110"/>
      <c r="B995" s="1009"/>
      <c r="C995" s="1010"/>
      <c r="D995" s="253"/>
      <c r="E995" s="1011"/>
      <c r="F995" s="262"/>
      <c r="G995" s="1011"/>
      <c r="H995" s="262"/>
      <c r="I995" s="1011"/>
      <c r="J995" s="262"/>
      <c r="K995" s="1011"/>
      <c r="L995" s="262"/>
      <c r="M995" s="1011"/>
      <c r="N995" s="262"/>
      <c r="O995" s="1011"/>
      <c r="P995" s="262"/>
      <c r="Q995" s="1011"/>
      <c r="R995" s="1012"/>
      <c r="S995" s="1011"/>
      <c r="T995" s="1012"/>
      <c r="U995" s="1010"/>
      <c r="V995" s="1012"/>
      <c r="W995" s="1010"/>
      <c r="X995" s="1012"/>
      <c r="Y995" s="1010"/>
      <c r="Z995" s="262"/>
      <c r="AA995" s="110"/>
      <c r="AB995" s="110"/>
      <c r="AC995" s="110"/>
      <c r="AD995" s="110"/>
      <c r="AE995" s="110"/>
      <c r="AF995" s="110"/>
      <c r="AG995" s="110"/>
      <c r="AH995" s="110"/>
      <c r="AI995" s="110"/>
      <c r="AJ995" s="110"/>
      <c r="AK995" s="110"/>
      <c r="AL995" s="110"/>
      <c r="AM995" s="110"/>
      <c r="AN995" s="110"/>
      <c r="AO995" s="110"/>
      <c r="AP995" s="110"/>
      <c r="AQ995" s="110"/>
      <c r="AR995" s="110"/>
      <c r="AS995" s="110"/>
      <c r="AT995" s="110"/>
      <c r="AU995" s="110"/>
    </row>
    <row r="996" spans="1:47" ht="12.75" hidden="1">
      <c r="A996" s="110"/>
      <c r="B996" s="1009"/>
      <c r="C996" s="1010"/>
      <c r="D996" s="253"/>
      <c r="E996" s="1011"/>
      <c r="F996" s="262"/>
      <c r="G996" s="1011"/>
      <c r="H996" s="262"/>
      <c r="I996" s="1011"/>
      <c r="J996" s="262"/>
      <c r="K996" s="1011"/>
      <c r="L996" s="262"/>
      <c r="M996" s="1011"/>
      <c r="N996" s="262"/>
      <c r="O996" s="1011"/>
      <c r="P996" s="262"/>
      <c r="Q996" s="1011"/>
      <c r="R996" s="1012"/>
      <c r="S996" s="1011"/>
      <c r="T996" s="1012"/>
      <c r="U996" s="1010"/>
      <c r="V996" s="1012"/>
      <c r="W996" s="1010"/>
      <c r="X996" s="1012"/>
      <c r="Y996" s="1010"/>
      <c r="Z996" s="262"/>
      <c r="AA996" s="110"/>
      <c r="AB996" s="110"/>
      <c r="AC996" s="110"/>
      <c r="AD996" s="110"/>
      <c r="AE996" s="110"/>
      <c r="AF996" s="110"/>
      <c r="AG996" s="110"/>
      <c r="AH996" s="110"/>
      <c r="AI996" s="110"/>
      <c r="AJ996" s="110"/>
      <c r="AK996" s="110"/>
      <c r="AL996" s="110"/>
      <c r="AM996" s="110"/>
      <c r="AN996" s="110"/>
      <c r="AO996" s="110"/>
      <c r="AP996" s="110"/>
      <c r="AQ996" s="110"/>
      <c r="AR996" s="110"/>
      <c r="AS996" s="110"/>
      <c r="AT996" s="110"/>
      <c r="AU996" s="110"/>
    </row>
    <row r="997" spans="1:47" ht="12.75" hidden="1">
      <c r="A997" s="110"/>
      <c r="B997" s="1009"/>
      <c r="C997" s="1010"/>
      <c r="D997" s="253"/>
      <c r="E997" s="1011"/>
      <c r="F997" s="262"/>
      <c r="G997" s="1011"/>
      <c r="H997" s="262"/>
      <c r="I997" s="1011"/>
      <c r="J997" s="262"/>
      <c r="K997" s="1011"/>
      <c r="L997" s="262"/>
      <c r="M997" s="1011"/>
      <c r="N997" s="262"/>
      <c r="O997" s="1011"/>
      <c r="P997" s="262"/>
      <c r="Q997" s="1011"/>
      <c r="R997" s="1012"/>
      <c r="S997" s="1011"/>
      <c r="T997" s="1012"/>
      <c r="U997" s="1010"/>
      <c r="V997" s="1012"/>
      <c r="W997" s="1010"/>
      <c r="X997" s="1012"/>
      <c r="Y997" s="1010"/>
      <c r="Z997" s="262"/>
      <c r="AA997" s="110"/>
      <c r="AB997" s="110"/>
      <c r="AC997" s="110"/>
      <c r="AD997" s="110"/>
      <c r="AE997" s="110"/>
      <c r="AF997" s="110"/>
      <c r="AG997" s="110"/>
      <c r="AH997" s="110"/>
      <c r="AI997" s="110"/>
      <c r="AJ997" s="110"/>
      <c r="AK997" s="110"/>
      <c r="AL997" s="110"/>
      <c r="AM997" s="110"/>
      <c r="AN997" s="110"/>
      <c r="AO997" s="110"/>
      <c r="AP997" s="110"/>
      <c r="AQ997" s="110"/>
      <c r="AR997" s="110"/>
      <c r="AS997" s="110"/>
      <c r="AT997" s="110"/>
      <c r="AU997" s="110"/>
    </row>
    <row r="998" spans="1:47" ht="12.75" hidden="1">
      <c r="A998" s="110"/>
      <c r="B998" s="1009"/>
      <c r="C998" s="1010"/>
      <c r="D998" s="253"/>
      <c r="E998" s="1011"/>
      <c r="F998" s="262"/>
      <c r="G998" s="1011"/>
      <c r="H998" s="262"/>
      <c r="I998" s="1011"/>
      <c r="J998" s="262"/>
      <c r="K998" s="1011"/>
      <c r="L998" s="262"/>
      <c r="M998" s="1011"/>
      <c r="N998" s="262"/>
      <c r="O998" s="1011"/>
      <c r="P998" s="262"/>
      <c r="Q998" s="1011"/>
      <c r="R998" s="1012"/>
      <c r="S998" s="1011"/>
      <c r="T998" s="1012"/>
      <c r="U998" s="1010"/>
      <c r="V998" s="1012"/>
      <c r="W998" s="1010"/>
      <c r="X998" s="1012"/>
      <c r="Y998" s="1010"/>
      <c r="Z998" s="262"/>
      <c r="AA998" s="110"/>
      <c r="AB998" s="110"/>
      <c r="AC998" s="110"/>
      <c r="AD998" s="110"/>
      <c r="AE998" s="110"/>
      <c r="AF998" s="110"/>
      <c r="AG998" s="110"/>
      <c r="AH998" s="110"/>
      <c r="AI998" s="110"/>
      <c r="AJ998" s="110"/>
      <c r="AK998" s="110"/>
      <c r="AL998" s="110"/>
      <c r="AM998" s="110"/>
      <c r="AN998" s="110"/>
      <c r="AO998" s="110"/>
      <c r="AP998" s="110"/>
      <c r="AQ998" s="110"/>
      <c r="AR998" s="110"/>
      <c r="AS998" s="110"/>
      <c r="AT998" s="110"/>
      <c r="AU998" s="110"/>
    </row>
    <row r="999" spans="1:47" ht="12.75" hidden="1">
      <c r="A999" s="110"/>
      <c r="B999" s="1009"/>
      <c r="C999" s="1010"/>
      <c r="D999" s="253"/>
      <c r="E999" s="1011"/>
      <c r="F999" s="262"/>
      <c r="G999" s="1011"/>
      <c r="H999" s="262"/>
      <c r="I999" s="1011"/>
      <c r="J999" s="262"/>
      <c r="K999" s="1011"/>
      <c r="L999" s="262"/>
      <c r="M999" s="1011"/>
      <c r="N999" s="262"/>
      <c r="O999" s="1011"/>
      <c r="P999" s="262"/>
      <c r="Q999" s="1011"/>
      <c r="R999" s="1012"/>
      <c r="S999" s="1011"/>
      <c r="T999" s="1012"/>
      <c r="U999" s="1010"/>
      <c r="V999" s="1012"/>
      <c r="W999" s="1010"/>
      <c r="X999" s="1012"/>
      <c r="Y999" s="1010"/>
      <c r="Z999" s="262"/>
      <c r="AA999" s="110"/>
      <c r="AB999" s="110"/>
      <c r="AC999" s="110"/>
      <c r="AD999" s="110"/>
      <c r="AE999" s="110"/>
      <c r="AF999" s="110"/>
      <c r="AG999" s="110"/>
      <c r="AH999" s="110"/>
      <c r="AI999" s="110"/>
      <c r="AJ999" s="110"/>
      <c r="AK999" s="110"/>
      <c r="AL999" s="110"/>
      <c r="AM999" s="110"/>
      <c r="AN999" s="110"/>
      <c r="AO999" s="110"/>
      <c r="AP999" s="110"/>
      <c r="AQ999" s="110"/>
      <c r="AR999" s="110"/>
      <c r="AS999" s="110"/>
      <c r="AT999" s="110"/>
      <c r="AU999" s="110"/>
    </row>
    <row r="1000" spans="1:47" ht="12.75" hidden="1">
      <c r="A1000" s="110"/>
      <c r="B1000" s="1009"/>
      <c r="C1000" s="1010"/>
      <c r="D1000" s="253"/>
      <c r="E1000" s="1011"/>
      <c r="F1000" s="262"/>
      <c r="G1000" s="1011"/>
      <c r="H1000" s="262"/>
      <c r="I1000" s="1011"/>
      <c r="J1000" s="262"/>
      <c r="K1000" s="1011"/>
      <c r="L1000" s="262"/>
      <c r="M1000" s="1011"/>
      <c r="N1000" s="262"/>
      <c r="O1000" s="1011"/>
      <c r="P1000" s="262"/>
      <c r="Q1000" s="1011"/>
      <c r="R1000" s="1012"/>
      <c r="S1000" s="1011"/>
      <c r="T1000" s="1012"/>
      <c r="U1000" s="1010"/>
      <c r="V1000" s="1012"/>
      <c r="W1000" s="1010"/>
      <c r="X1000" s="1012"/>
      <c r="Y1000" s="1010"/>
      <c r="Z1000" s="262"/>
      <c r="AA1000" s="110"/>
      <c r="AB1000" s="110"/>
      <c r="AC1000" s="110"/>
      <c r="AD1000" s="110"/>
      <c r="AE1000" s="110"/>
      <c r="AF1000" s="110"/>
      <c r="AG1000" s="110"/>
      <c r="AH1000" s="110"/>
      <c r="AI1000" s="110"/>
      <c r="AJ1000" s="110"/>
      <c r="AK1000" s="110"/>
      <c r="AL1000" s="110"/>
      <c r="AM1000" s="110"/>
      <c r="AN1000" s="110"/>
      <c r="AO1000" s="110"/>
      <c r="AP1000" s="110"/>
      <c r="AQ1000" s="110"/>
      <c r="AR1000" s="110"/>
      <c r="AS1000" s="110"/>
      <c r="AT1000" s="110"/>
      <c r="AU1000" s="110"/>
    </row>
    <row r="1001" spans="1:47" ht="12.75" hidden="1">
      <c r="A1001" s="110"/>
      <c r="B1001" s="1009"/>
      <c r="C1001" s="1010"/>
      <c r="D1001" s="253"/>
      <c r="E1001" s="1011"/>
      <c r="F1001" s="262"/>
      <c r="G1001" s="1011"/>
      <c r="H1001" s="262"/>
      <c r="I1001" s="1011"/>
      <c r="J1001" s="262"/>
      <c r="K1001" s="1011"/>
      <c r="L1001" s="262"/>
      <c r="M1001" s="1011"/>
      <c r="N1001" s="262"/>
      <c r="O1001" s="1011"/>
      <c r="P1001" s="262"/>
      <c r="Q1001" s="1011"/>
      <c r="R1001" s="1012"/>
      <c r="S1001" s="1011"/>
      <c r="T1001" s="1012"/>
      <c r="U1001" s="1010"/>
      <c r="V1001" s="1012"/>
      <c r="W1001" s="1010"/>
      <c r="X1001" s="1012"/>
      <c r="Y1001" s="1010"/>
      <c r="Z1001" s="262"/>
      <c r="AA1001" s="110"/>
      <c r="AB1001" s="110"/>
      <c r="AC1001" s="110"/>
      <c r="AD1001" s="110"/>
      <c r="AE1001" s="110"/>
      <c r="AF1001" s="110"/>
      <c r="AG1001" s="110"/>
      <c r="AH1001" s="110"/>
      <c r="AI1001" s="110"/>
      <c r="AJ1001" s="110"/>
      <c r="AK1001" s="110"/>
      <c r="AL1001" s="110"/>
      <c r="AM1001" s="110"/>
      <c r="AN1001" s="110"/>
      <c r="AO1001" s="110"/>
      <c r="AP1001" s="110"/>
      <c r="AQ1001" s="110"/>
      <c r="AR1001" s="110"/>
      <c r="AS1001" s="110"/>
      <c r="AT1001" s="110"/>
      <c r="AU1001" s="110"/>
    </row>
    <row r="1002" spans="1:47" ht="12.75" hidden="1">
      <c r="A1002" s="110"/>
      <c r="B1002" s="1009"/>
      <c r="C1002" s="1010"/>
      <c r="D1002" s="253"/>
      <c r="E1002" s="1011"/>
      <c r="F1002" s="262"/>
      <c r="G1002" s="1011"/>
      <c r="H1002" s="262"/>
      <c r="I1002" s="1011"/>
      <c r="J1002" s="262"/>
      <c r="K1002" s="1011"/>
      <c r="L1002" s="262"/>
      <c r="M1002" s="1011"/>
      <c r="N1002" s="262"/>
      <c r="O1002" s="1011"/>
      <c r="P1002" s="262"/>
      <c r="Q1002" s="1011"/>
      <c r="R1002" s="1012"/>
      <c r="S1002" s="1011"/>
      <c r="T1002" s="1012"/>
      <c r="U1002" s="1010"/>
      <c r="V1002" s="1012"/>
      <c r="W1002" s="1010"/>
      <c r="X1002" s="1012"/>
      <c r="Y1002" s="1010"/>
      <c r="Z1002" s="262"/>
      <c r="AA1002" s="110"/>
      <c r="AB1002" s="110"/>
      <c r="AC1002" s="110"/>
      <c r="AD1002" s="110"/>
      <c r="AE1002" s="110"/>
      <c r="AF1002" s="110"/>
      <c r="AG1002" s="110"/>
      <c r="AH1002" s="110"/>
      <c r="AI1002" s="110"/>
      <c r="AJ1002" s="110"/>
      <c r="AK1002" s="110"/>
      <c r="AL1002" s="110"/>
      <c r="AM1002" s="110"/>
      <c r="AN1002" s="110"/>
      <c r="AO1002" s="110"/>
      <c r="AP1002" s="110"/>
      <c r="AQ1002" s="110"/>
      <c r="AR1002" s="110"/>
      <c r="AS1002" s="110"/>
      <c r="AT1002" s="110"/>
      <c r="AU1002" s="110"/>
    </row>
    <row r="1003" spans="1:47" ht="12.75" hidden="1">
      <c r="A1003" s="110"/>
      <c r="B1003" s="1009"/>
      <c r="C1003" s="1010"/>
      <c r="D1003" s="253"/>
      <c r="E1003" s="1011"/>
      <c r="F1003" s="262"/>
      <c r="G1003" s="1011"/>
      <c r="H1003" s="262"/>
      <c r="I1003" s="1011"/>
      <c r="J1003" s="262"/>
      <c r="K1003" s="1011"/>
      <c r="L1003" s="262"/>
      <c r="M1003" s="1011"/>
      <c r="N1003" s="262"/>
      <c r="O1003" s="1011"/>
      <c r="P1003" s="262"/>
      <c r="Q1003" s="1011"/>
      <c r="R1003" s="1012"/>
      <c r="S1003" s="1011"/>
      <c r="T1003" s="1012"/>
      <c r="U1003" s="1010"/>
      <c r="V1003" s="1012"/>
      <c r="W1003" s="1010"/>
      <c r="X1003" s="1012"/>
      <c r="Y1003" s="1010"/>
      <c r="Z1003" s="262"/>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row>
    <row r="1004" spans="1:47" ht="12.75" hidden="1">
      <c r="A1004" s="110"/>
      <c r="B1004" s="1009"/>
      <c r="C1004" s="1010"/>
      <c r="D1004" s="253"/>
      <c r="E1004" s="1011"/>
      <c r="F1004" s="262"/>
      <c r="G1004" s="1011"/>
      <c r="H1004" s="262"/>
      <c r="I1004" s="1011"/>
      <c r="J1004" s="262"/>
      <c r="K1004" s="1011"/>
      <c r="L1004" s="262"/>
      <c r="M1004" s="1011"/>
      <c r="N1004" s="262"/>
      <c r="O1004" s="1011"/>
      <c r="P1004" s="262"/>
      <c r="Q1004" s="1011"/>
      <c r="R1004" s="1012"/>
      <c r="S1004" s="1011"/>
      <c r="T1004" s="1012"/>
      <c r="U1004" s="1010"/>
      <c r="V1004" s="1012"/>
      <c r="W1004" s="1010"/>
      <c r="X1004" s="1012"/>
      <c r="Y1004" s="1010"/>
      <c r="Z1004" s="262"/>
      <c r="AA1004" s="110"/>
      <c r="AB1004" s="110"/>
      <c r="AC1004" s="110"/>
      <c r="AD1004" s="110"/>
      <c r="AE1004" s="110"/>
      <c r="AF1004" s="110"/>
      <c r="AG1004" s="110"/>
      <c r="AH1004" s="110"/>
      <c r="AI1004" s="110"/>
      <c r="AJ1004" s="110"/>
      <c r="AK1004" s="110"/>
      <c r="AL1004" s="110"/>
      <c r="AM1004" s="110"/>
      <c r="AN1004" s="110"/>
      <c r="AO1004" s="110"/>
      <c r="AP1004" s="110"/>
      <c r="AQ1004" s="110"/>
      <c r="AR1004" s="110"/>
      <c r="AS1004" s="110"/>
      <c r="AT1004" s="110"/>
      <c r="AU1004" s="110"/>
    </row>
    <row r="1005" spans="1:47" ht="12.75" hidden="1">
      <c r="A1005" s="110"/>
      <c r="B1005" s="1009"/>
      <c r="C1005" s="1010"/>
      <c r="D1005" s="253"/>
      <c r="E1005" s="1011"/>
      <c r="F1005" s="262"/>
      <c r="G1005" s="1011"/>
      <c r="H1005" s="262"/>
      <c r="I1005" s="1011"/>
      <c r="J1005" s="262"/>
      <c r="K1005" s="1011"/>
      <c r="L1005" s="262"/>
      <c r="M1005" s="1011"/>
      <c r="N1005" s="262"/>
      <c r="O1005" s="1011"/>
      <c r="P1005" s="262"/>
      <c r="Q1005" s="1011"/>
      <c r="R1005" s="1012"/>
      <c r="S1005" s="1011"/>
      <c r="T1005" s="1012"/>
      <c r="U1005" s="1010"/>
      <c r="V1005" s="1012"/>
      <c r="W1005" s="1010"/>
      <c r="X1005" s="1012"/>
      <c r="Y1005" s="1010"/>
      <c r="Z1005" s="262"/>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row>
    <row r="1006" spans="1:47" ht="12.75" hidden="1">
      <c r="A1006" s="110"/>
      <c r="B1006" s="1009"/>
      <c r="C1006" s="1010"/>
      <c r="D1006" s="253"/>
      <c r="E1006" s="1011"/>
      <c r="F1006" s="262"/>
      <c r="G1006" s="1011"/>
      <c r="H1006" s="262"/>
      <c r="I1006" s="1011"/>
      <c r="J1006" s="262"/>
      <c r="K1006" s="1011"/>
      <c r="L1006" s="262"/>
      <c r="M1006" s="1011"/>
      <c r="N1006" s="262"/>
      <c r="O1006" s="1011"/>
      <c r="P1006" s="262"/>
      <c r="Q1006" s="1011"/>
      <c r="R1006" s="1012"/>
      <c r="S1006" s="1011"/>
      <c r="T1006" s="1012"/>
      <c r="U1006" s="1010"/>
      <c r="V1006" s="1012"/>
      <c r="W1006" s="1010"/>
      <c r="X1006" s="1012"/>
      <c r="Y1006" s="1010"/>
      <c r="Z1006" s="262"/>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row>
    <row r="1007" spans="1:47" ht="12.75" hidden="1">
      <c r="A1007" s="110"/>
      <c r="B1007" s="1009"/>
      <c r="C1007" s="1010"/>
      <c r="D1007" s="253"/>
      <c r="E1007" s="1011"/>
      <c r="F1007" s="262"/>
      <c r="G1007" s="1011"/>
      <c r="H1007" s="262"/>
      <c r="I1007" s="1011"/>
      <c r="J1007" s="262"/>
      <c r="K1007" s="1011"/>
      <c r="L1007" s="262"/>
      <c r="M1007" s="1011"/>
      <c r="N1007" s="262"/>
      <c r="O1007" s="1011"/>
      <c r="P1007" s="262"/>
      <c r="Q1007" s="1011"/>
      <c r="R1007" s="1012"/>
      <c r="S1007" s="1011"/>
      <c r="T1007" s="1012"/>
      <c r="U1007" s="1010"/>
      <c r="V1007" s="1012"/>
      <c r="W1007" s="1010"/>
      <c r="X1007" s="1012"/>
      <c r="Y1007" s="1010"/>
      <c r="Z1007" s="262"/>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row>
    <row r="1008" spans="1:47" ht="12.75" hidden="1">
      <c r="A1008" s="110"/>
      <c r="B1008" s="1009"/>
      <c r="C1008" s="1010"/>
      <c r="D1008" s="253"/>
      <c r="E1008" s="1011"/>
      <c r="F1008" s="262"/>
      <c r="G1008" s="1011"/>
      <c r="H1008" s="262"/>
      <c r="I1008" s="1011"/>
      <c r="J1008" s="262"/>
      <c r="K1008" s="1011"/>
      <c r="L1008" s="262"/>
      <c r="M1008" s="1011"/>
      <c r="N1008" s="262"/>
      <c r="O1008" s="1011"/>
      <c r="P1008" s="262"/>
      <c r="Q1008" s="1011"/>
      <c r="R1008" s="1012"/>
      <c r="S1008" s="1011"/>
      <c r="T1008" s="1012"/>
      <c r="U1008" s="1010"/>
      <c r="V1008" s="1012"/>
      <c r="W1008" s="1010"/>
      <c r="X1008" s="1012"/>
      <c r="Y1008" s="1010"/>
      <c r="Z1008" s="262"/>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row>
    <row r="1009" spans="1:47" ht="12.75" hidden="1">
      <c r="A1009" s="110"/>
      <c r="B1009" s="1009"/>
      <c r="C1009" s="1010"/>
      <c r="D1009" s="253"/>
      <c r="E1009" s="1011"/>
      <c r="F1009" s="262"/>
      <c r="G1009" s="1011"/>
      <c r="H1009" s="262"/>
      <c r="I1009" s="1011"/>
      <c r="J1009" s="262"/>
      <c r="K1009" s="1011"/>
      <c r="L1009" s="262"/>
      <c r="M1009" s="1011"/>
      <c r="N1009" s="262"/>
      <c r="O1009" s="1011"/>
      <c r="P1009" s="262"/>
      <c r="Q1009" s="1011"/>
      <c r="R1009" s="1012"/>
      <c r="S1009" s="1011"/>
      <c r="T1009" s="1012"/>
      <c r="U1009" s="1010"/>
      <c r="V1009" s="1012"/>
      <c r="W1009" s="1010"/>
      <c r="X1009" s="1012"/>
      <c r="Y1009" s="1010"/>
      <c r="Z1009" s="262"/>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row>
    <row r="1010" spans="1:47" ht="12.75" hidden="1">
      <c r="A1010" s="110"/>
      <c r="B1010" s="1009"/>
      <c r="C1010" s="1010"/>
      <c r="D1010" s="253"/>
      <c r="E1010" s="1011"/>
      <c r="F1010" s="262"/>
      <c r="G1010" s="1011"/>
      <c r="H1010" s="262"/>
      <c r="I1010" s="1011"/>
      <c r="J1010" s="262"/>
      <c r="K1010" s="1011"/>
      <c r="L1010" s="262"/>
      <c r="M1010" s="1011"/>
      <c r="N1010" s="262"/>
      <c r="O1010" s="1011"/>
      <c r="P1010" s="262"/>
      <c r="Q1010" s="1011"/>
      <c r="R1010" s="1012"/>
      <c r="S1010" s="1011"/>
      <c r="T1010" s="1012"/>
      <c r="U1010" s="1010"/>
      <c r="V1010" s="1012"/>
      <c r="W1010" s="1010"/>
      <c r="X1010" s="1012"/>
      <c r="Y1010" s="1010"/>
      <c r="Z1010" s="262"/>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row>
    <row r="1011" spans="1:47" ht="12.75" hidden="1">
      <c r="A1011" s="110"/>
      <c r="B1011" s="1009"/>
      <c r="C1011" s="1010"/>
      <c r="D1011" s="253"/>
      <c r="E1011" s="1011"/>
      <c r="F1011" s="262"/>
      <c r="G1011" s="1011"/>
      <c r="H1011" s="262"/>
      <c r="I1011" s="1011"/>
      <c r="J1011" s="262"/>
      <c r="K1011" s="1011"/>
      <c r="L1011" s="262"/>
      <c r="M1011" s="1011"/>
      <c r="N1011" s="262"/>
      <c r="O1011" s="1011"/>
      <c r="P1011" s="262"/>
      <c r="Q1011" s="1011"/>
      <c r="R1011" s="1012"/>
      <c r="S1011" s="1011"/>
      <c r="T1011" s="1012"/>
      <c r="U1011" s="1010"/>
      <c r="V1011" s="1012"/>
      <c r="W1011" s="1010"/>
      <c r="X1011" s="1012"/>
      <c r="Y1011" s="1010"/>
      <c r="Z1011" s="262"/>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row>
    <row r="1012" spans="1:47" ht="12.75" hidden="1">
      <c r="A1012" s="110"/>
      <c r="B1012" s="1009"/>
      <c r="C1012" s="1010"/>
      <c r="D1012" s="253"/>
      <c r="E1012" s="1011"/>
      <c r="F1012" s="262"/>
      <c r="G1012" s="1011"/>
      <c r="H1012" s="262"/>
      <c r="I1012" s="1011"/>
      <c r="J1012" s="262"/>
      <c r="K1012" s="1011"/>
      <c r="L1012" s="262"/>
      <c r="M1012" s="1011"/>
      <c r="N1012" s="262"/>
      <c r="O1012" s="1011"/>
      <c r="P1012" s="262"/>
      <c r="Q1012" s="1011"/>
      <c r="R1012" s="1012"/>
      <c r="S1012" s="1011"/>
      <c r="T1012" s="1012"/>
      <c r="U1012" s="1010"/>
      <c r="V1012" s="1012"/>
      <c r="W1012" s="1010"/>
      <c r="X1012" s="1012"/>
      <c r="Y1012" s="1010"/>
      <c r="Z1012" s="262"/>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row>
    <row r="1013" spans="1:47" ht="12.75" hidden="1">
      <c r="A1013" s="110"/>
      <c r="B1013" s="1009"/>
      <c r="C1013" s="1010"/>
      <c r="D1013" s="253"/>
      <c r="E1013" s="1011"/>
      <c r="F1013" s="262"/>
      <c r="G1013" s="1011"/>
      <c r="H1013" s="262"/>
      <c r="I1013" s="1011"/>
      <c r="J1013" s="262"/>
      <c r="K1013" s="1011"/>
      <c r="L1013" s="262"/>
      <c r="M1013" s="1011"/>
      <c r="N1013" s="262"/>
      <c r="O1013" s="1011"/>
      <c r="P1013" s="262"/>
      <c r="Q1013" s="1011"/>
      <c r="R1013" s="1012"/>
      <c r="S1013" s="1011"/>
      <c r="T1013" s="1012"/>
      <c r="U1013" s="1010"/>
      <c r="V1013" s="1012"/>
      <c r="W1013" s="1010"/>
      <c r="X1013" s="1012"/>
      <c r="Y1013" s="1010"/>
      <c r="Z1013" s="262"/>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row>
    <row r="1014" spans="1:47" ht="12.75" hidden="1">
      <c r="A1014" s="110"/>
      <c r="B1014" s="1009"/>
      <c r="C1014" s="1010"/>
      <c r="D1014" s="253"/>
      <c r="E1014" s="1011"/>
      <c r="F1014" s="262"/>
      <c r="G1014" s="1011"/>
      <c r="H1014" s="262"/>
      <c r="I1014" s="1011"/>
      <c r="J1014" s="262"/>
      <c r="K1014" s="1011"/>
      <c r="L1014" s="262"/>
      <c r="M1014" s="1011"/>
      <c r="N1014" s="262"/>
      <c r="O1014" s="1011"/>
      <c r="P1014" s="262"/>
      <c r="Q1014" s="1011"/>
      <c r="R1014" s="1012"/>
      <c r="S1014" s="1011"/>
      <c r="T1014" s="1012"/>
      <c r="U1014" s="1010"/>
      <c r="V1014" s="1012"/>
      <c r="W1014" s="1010"/>
      <c r="X1014" s="1012"/>
      <c r="Y1014" s="1010"/>
      <c r="Z1014" s="262"/>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row>
    <row r="1015" spans="1:47" ht="12.75" hidden="1">
      <c r="A1015" s="110"/>
      <c r="B1015" s="1009"/>
      <c r="C1015" s="1010"/>
      <c r="D1015" s="253"/>
      <c r="E1015" s="1011"/>
      <c r="F1015" s="262"/>
      <c r="G1015" s="1011"/>
      <c r="H1015" s="262"/>
      <c r="I1015" s="1011"/>
      <c r="J1015" s="262"/>
      <c r="K1015" s="1011"/>
      <c r="L1015" s="262"/>
      <c r="M1015" s="1011"/>
      <c r="N1015" s="262"/>
      <c r="O1015" s="1011"/>
      <c r="P1015" s="262"/>
      <c r="Q1015" s="1011"/>
      <c r="R1015" s="1012"/>
      <c r="S1015" s="1011"/>
      <c r="T1015" s="1012"/>
      <c r="U1015" s="1010"/>
      <c r="V1015" s="1012"/>
      <c r="W1015" s="1010"/>
      <c r="X1015" s="1012"/>
      <c r="Y1015" s="1010"/>
      <c r="Z1015" s="262"/>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row>
    <row r="1016" spans="1:47" ht="12.75" hidden="1">
      <c r="A1016" s="110"/>
      <c r="B1016" s="1009"/>
      <c r="C1016" s="1010"/>
      <c r="D1016" s="253"/>
      <c r="E1016" s="1011"/>
      <c r="F1016" s="262"/>
      <c r="G1016" s="1011"/>
      <c r="H1016" s="262"/>
      <c r="I1016" s="1011"/>
      <c r="J1016" s="262"/>
      <c r="K1016" s="1011"/>
      <c r="L1016" s="262"/>
      <c r="M1016" s="1011"/>
      <c r="N1016" s="262"/>
      <c r="O1016" s="1011"/>
      <c r="P1016" s="262"/>
      <c r="Q1016" s="1011"/>
      <c r="R1016" s="1012"/>
      <c r="S1016" s="1011"/>
      <c r="T1016" s="1012"/>
      <c r="U1016" s="1010"/>
      <c r="V1016" s="1012"/>
      <c r="W1016" s="1010"/>
      <c r="X1016" s="1012"/>
      <c r="Y1016" s="1010"/>
      <c r="Z1016" s="262"/>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row>
    <row r="1017" spans="1:47" ht="12.75" hidden="1">
      <c r="A1017" s="110"/>
      <c r="B1017" s="1009"/>
      <c r="C1017" s="1010"/>
      <c r="D1017" s="253"/>
      <c r="E1017" s="1011"/>
      <c r="F1017" s="262"/>
      <c r="G1017" s="1011"/>
      <c r="H1017" s="262"/>
      <c r="I1017" s="1011"/>
      <c r="J1017" s="262"/>
      <c r="K1017" s="1011"/>
      <c r="L1017" s="262"/>
      <c r="M1017" s="1011"/>
      <c r="N1017" s="262"/>
      <c r="O1017" s="1011"/>
      <c r="P1017" s="262"/>
      <c r="Q1017" s="1011"/>
      <c r="R1017" s="1012"/>
      <c r="S1017" s="1011"/>
      <c r="T1017" s="1012"/>
      <c r="U1017" s="1010"/>
      <c r="V1017" s="1012"/>
      <c r="W1017" s="1010"/>
      <c r="X1017" s="1012"/>
      <c r="Y1017" s="1010"/>
      <c r="Z1017" s="262"/>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row>
    <row r="1018" spans="1:47" ht="12.75" hidden="1">
      <c r="A1018" s="110"/>
      <c r="B1018" s="1009"/>
      <c r="C1018" s="1010"/>
      <c r="D1018" s="253"/>
      <c r="E1018" s="1011"/>
      <c r="F1018" s="262"/>
      <c r="G1018" s="1011"/>
      <c r="H1018" s="262"/>
      <c r="I1018" s="1011"/>
      <c r="J1018" s="262"/>
      <c r="K1018" s="1011"/>
      <c r="L1018" s="262"/>
      <c r="M1018" s="1011"/>
      <c r="N1018" s="262"/>
      <c r="O1018" s="1011"/>
      <c r="P1018" s="262"/>
      <c r="Q1018" s="1011"/>
      <c r="R1018" s="1012"/>
      <c r="S1018" s="1011"/>
      <c r="T1018" s="1012"/>
      <c r="U1018" s="1010"/>
      <c r="V1018" s="1012"/>
      <c r="W1018" s="1010"/>
      <c r="X1018" s="1012"/>
      <c r="Y1018" s="1010"/>
      <c r="Z1018" s="262"/>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row>
    <row r="1019" spans="1:47" ht="12.75" hidden="1">
      <c r="A1019" s="110"/>
      <c r="B1019" s="1009"/>
      <c r="C1019" s="1010"/>
      <c r="D1019" s="253"/>
      <c r="E1019" s="1011"/>
      <c r="F1019" s="262"/>
      <c r="G1019" s="1011"/>
      <c r="H1019" s="262"/>
      <c r="I1019" s="1011"/>
      <c r="J1019" s="262"/>
      <c r="K1019" s="1011"/>
      <c r="L1019" s="262"/>
      <c r="M1019" s="1011"/>
      <c r="N1019" s="262"/>
      <c r="O1019" s="1011"/>
      <c r="P1019" s="262"/>
      <c r="Q1019" s="1011"/>
      <c r="R1019" s="1012"/>
      <c r="S1019" s="1011"/>
      <c r="T1019" s="1012"/>
      <c r="U1019" s="1010"/>
      <c r="V1019" s="1012"/>
      <c r="W1019" s="1010"/>
      <c r="X1019" s="1012"/>
      <c r="Y1019" s="1010"/>
      <c r="Z1019" s="262"/>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row>
    <row r="1020" spans="1:47" ht="12.75" hidden="1">
      <c r="A1020" s="110"/>
      <c r="B1020" s="1009"/>
      <c r="C1020" s="1010"/>
      <c r="D1020" s="253"/>
      <c r="E1020" s="1011"/>
      <c r="F1020" s="262"/>
      <c r="G1020" s="1011"/>
      <c r="H1020" s="262"/>
      <c r="I1020" s="1011"/>
      <c r="J1020" s="262"/>
      <c r="K1020" s="1011"/>
      <c r="L1020" s="262"/>
      <c r="M1020" s="1011"/>
      <c r="N1020" s="262"/>
      <c r="O1020" s="1011"/>
      <c r="P1020" s="262"/>
      <c r="Q1020" s="1011"/>
      <c r="R1020" s="1012"/>
      <c r="S1020" s="1011"/>
      <c r="T1020" s="1012"/>
      <c r="U1020" s="1010"/>
      <c r="V1020" s="1012"/>
      <c r="W1020" s="1010"/>
      <c r="X1020" s="1012"/>
      <c r="Y1020" s="1010"/>
      <c r="Z1020" s="262"/>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row>
    <row r="1021" spans="1:47" ht="12.75" hidden="1">
      <c r="A1021" s="110"/>
      <c r="B1021" s="1009"/>
      <c r="C1021" s="1010"/>
      <c r="D1021" s="253"/>
      <c r="E1021" s="1011"/>
      <c r="F1021" s="262"/>
      <c r="G1021" s="1011"/>
      <c r="H1021" s="262"/>
      <c r="I1021" s="1011"/>
      <c r="J1021" s="262"/>
      <c r="K1021" s="1011"/>
      <c r="L1021" s="262"/>
      <c r="M1021" s="1011"/>
      <c r="N1021" s="262"/>
      <c r="O1021" s="1011"/>
      <c r="P1021" s="262"/>
      <c r="Q1021" s="1011"/>
      <c r="R1021" s="1012"/>
      <c r="S1021" s="1011"/>
      <c r="T1021" s="1012"/>
      <c r="U1021" s="1010"/>
      <c r="V1021" s="1012"/>
      <c r="W1021" s="1010"/>
      <c r="X1021" s="1012"/>
      <c r="Y1021" s="1010"/>
      <c r="Z1021" s="262"/>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row>
    <row r="1022" spans="1:47" ht="12.75" hidden="1">
      <c r="A1022" s="110"/>
      <c r="B1022" s="1009"/>
      <c r="C1022" s="1010"/>
      <c r="D1022" s="253"/>
      <c r="E1022" s="1011"/>
      <c r="F1022" s="262"/>
      <c r="G1022" s="1011"/>
      <c r="H1022" s="262"/>
      <c r="I1022" s="1011"/>
      <c r="J1022" s="262"/>
      <c r="K1022" s="1011"/>
      <c r="L1022" s="262"/>
      <c r="M1022" s="1011"/>
      <c r="N1022" s="262"/>
      <c r="O1022" s="1011"/>
      <c r="P1022" s="262"/>
      <c r="Q1022" s="1011"/>
      <c r="R1022" s="1012"/>
      <c r="S1022" s="1011"/>
      <c r="T1022" s="1012"/>
      <c r="U1022" s="1010"/>
      <c r="V1022" s="1012"/>
      <c r="W1022" s="1010"/>
      <c r="X1022" s="1012"/>
      <c r="Y1022" s="1010"/>
      <c r="Z1022" s="262"/>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row>
    <row r="1023" spans="1:47" ht="12.75" hidden="1">
      <c r="A1023" s="110"/>
      <c r="B1023" s="1009"/>
      <c r="C1023" s="1010"/>
      <c r="D1023" s="253"/>
      <c r="E1023" s="1011"/>
      <c r="F1023" s="262"/>
      <c r="G1023" s="1011"/>
      <c r="H1023" s="262"/>
      <c r="I1023" s="1011"/>
      <c r="J1023" s="262"/>
      <c r="K1023" s="1011"/>
      <c r="L1023" s="262"/>
      <c r="M1023" s="1011"/>
      <c r="N1023" s="262"/>
      <c r="O1023" s="1011"/>
      <c r="P1023" s="262"/>
      <c r="Q1023" s="1011"/>
      <c r="R1023" s="1012"/>
      <c r="S1023" s="1011"/>
      <c r="T1023" s="1012"/>
      <c r="U1023" s="1010"/>
      <c r="V1023" s="1012"/>
      <c r="W1023" s="1010"/>
      <c r="X1023" s="1012"/>
      <c r="Y1023" s="1010"/>
      <c r="Z1023" s="262"/>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row>
    <row r="1024" spans="1:47" ht="12.75" hidden="1">
      <c r="A1024" s="110"/>
      <c r="B1024" s="1009"/>
      <c r="C1024" s="1010"/>
      <c r="D1024" s="253"/>
      <c r="E1024" s="1011"/>
      <c r="F1024" s="262"/>
      <c r="G1024" s="1011"/>
      <c r="H1024" s="262"/>
      <c r="I1024" s="1011"/>
      <c r="J1024" s="262"/>
      <c r="K1024" s="1011"/>
      <c r="L1024" s="262"/>
      <c r="M1024" s="1011"/>
      <c r="N1024" s="262"/>
      <c r="O1024" s="1011"/>
      <c r="P1024" s="262"/>
      <c r="Q1024" s="1011"/>
      <c r="R1024" s="1012"/>
      <c r="S1024" s="1011"/>
      <c r="T1024" s="1012"/>
      <c r="U1024" s="1010"/>
      <c r="V1024" s="1012"/>
      <c r="W1024" s="1010"/>
      <c r="X1024" s="1012"/>
      <c r="Y1024" s="1010"/>
      <c r="Z1024" s="262"/>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row>
    <row r="1025" spans="1:47" ht="12.75" hidden="1">
      <c r="A1025" s="110"/>
      <c r="B1025" s="1009"/>
      <c r="C1025" s="1010"/>
      <c r="D1025" s="253"/>
      <c r="E1025" s="1011"/>
      <c r="F1025" s="262"/>
      <c r="G1025" s="1011"/>
      <c r="H1025" s="262"/>
      <c r="I1025" s="1011"/>
      <c r="J1025" s="262"/>
      <c r="K1025" s="1011"/>
      <c r="L1025" s="262"/>
      <c r="M1025" s="1011"/>
      <c r="N1025" s="262"/>
      <c r="O1025" s="1011"/>
      <c r="P1025" s="262"/>
      <c r="Q1025" s="1011"/>
      <c r="R1025" s="1012"/>
      <c r="S1025" s="1011"/>
      <c r="T1025" s="1012"/>
      <c r="U1025" s="1010"/>
      <c r="V1025" s="1012"/>
      <c r="W1025" s="1010"/>
      <c r="X1025" s="1012"/>
      <c r="Y1025" s="1010"/>
      <c r="Z1025" s="262"/>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row>
    <row r="1026" spans="1:47" ht="12.75" hidden="1">
      <c r="A1026" s="110"/>
      <c r="B1026" s="1009"/>
      <c r="C1026" s="1010"/>
      <c r="D1026" s="253"/>
      <c r="E1026" s="1011"/>
      <c r="F1026" s="262"/>
      <c r="G1026" s="1011"/>
      <c r="H1026" s="262"/>
      <c r="I1026" s="1011"/>
      <c r="J1026" s="262"/>
      <c r="K1026" s="1011"/>
      <c r="L1026" s="262"/>
      <c r="M1026" s="1011"/>
      <c r="N1026" s="262"/>
      <c r="O1026" s="1011"/>
      <c r="P1026" s="262"/>
      <c r="Q1026" s="1011"/>
      <c r="R1026" s="1012"/>
      <c r="S1026" s="1011"/>
      <c r="T1026" s="1012"/>
      <c r="U1026" s="1010"/>
      <c r="V1026" s="1012"/>
      <c r="W1026" s="1010"/>
      <c r="X1026" s="1012"/>
      <c r="Y1026" s="1010"/>
      <c r="Z1026" s="262"/>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row>
    <row r="1027" spans="1:47" ht="12.75" hidden="1">
      <c r="A1027" s="110"/>
      <c r="B1027" s="1009"/>
      <c r="C1027" s="1010"/>
      <c r="D1027" s="253"/>
      <c r="E1027" s="1011"/>
      <c r="F1027" s="262"/>
      <c r="G1027" s="1011"/>
      <c r="H1027" s="262"/>
      <c r="I1027" s="1011"/>
      <c r="J1027" s="262"/>
      <c r="K1027" s="1011"/>
      <c r="L1027" s="262"/>
      <c r="M1027" s="1011"/>
      <c r="N1027" s="262"/>
      <c r="O1027" s="1011"/>
      <c r="P1027" s="262"/>
      <c r="Q1027" s="1011"/>
      <c r="R1027" s="1012"/>
      <c r="S1027" s="1011"/>
      <c r="T1027" s="1012"/>
      <c r="U1027" s="1010"/>
      <c r="V1027" s="1012"/>
      <c r="W1027" s="1010"/>
      <c r="X1027" s="1012"/>
      <c r="Y1027" s="1010"/>
      <c r="Z1027" s="262"/>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row>
    <row r="1028" spans="1:47" ht="12.75" hidden="1">
      <c r="A1028" s="110"/>
      <c r="B1028" s="1009"/>
      <c r="C1028" s="1010"/>
      <c r="D1028" s="253"/>
      <c r="E1028" s="1011"/>
      <c r="F1028" s="262"/>
      <c r="G1028" s="1011"/>
      <c r="H1028" s="262"/>
      <c r="I1028" s="1011"/>
      <c r="J1028" s="262"/>
      <c r="K1028" s="1011"/>
      <c r="L1028" s="262"/>
      <c r="M1028" s="1011"/>
      <c r="N1028" s="262"/>
      <c r="O1028" s="1011"/>
      <c r="P1028" s="262"/>
      <c r="Q1028" s="1011"/>
      <c r="R1028" s="1012"/>
      <c r="S1028" s="1011"/>
      <c r="T1028" s="1012"/>
      <c r="U1028" s="1010"/>
      <c r="V1028" s="1012"/>
      <c r="W1028" s="1010"/>
      <c r="X1028" s="1012"/>
      <c r="Y1028" s="1010"/>
      <c r="Z1028" s="262"/>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row>
    <row r="1029" spans="1:47" ht="12.75" hidden="1">
      <c r="A1029" s="110"/>
      <c r="B1029" s="1009"/>
      <c r="C1029" s="1010"/>
      <c r="D1029" s="253"/>
      <c r="E1029" s="1011"/>
      <c r="F1029" s="262"/>
      <c r="G1029" s="1011"/>
      <c r="H1029" s="262"/>
      <c r="I1029" s="1011"/>
      <c r="J1029" s="262"/>
      <c r="K1029" s="1011"/>
      <c r="L1029" s="262"/>
      <c r="M1029" s="1011"/>
      <c r="N1029" s="262"/>
      <c r="O1029" s="1011"/>
      <c r="P1029" s="262"/>
      <c r="Q1029" s="1011"/>
      <c r="R1029" s="1012"/>
      <c r="S1029" s="1011"/>
      <c r="T1029" s="1012"/>
      <c r="U1029" s="1010"/>
      <c r="V1029" s="1012"/>
      <c r="W1029" s="1010"/>
      <c r="X1029" s="1012"/>
      <c r="Y1029" s="1010"/>
      <c r="Z1029" s="262"/>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row>
    <row r="1030" spans="1:47" ht="12.75" hidden="1">
      <c r="A1030" s="110"/>
      <c r="B1030" s="1009"/>
      <c r="C1030" s="1010"/>
      <c r="D1030" s="253"/>
      <c r="E1030" s="1011"/>
      <c r="F1030" s="262"/>
      <c r="G1030" s="1011"/>
      <c r="H1030" s="262"/>
      <c r="I1030" s="1011"/>
      <c r="J1030" s="262"/>
      <c r="K1030" s="1011"/>
      <c r="L1030" s="262"/>
      <c r="M1030" s="1011"/>
      <c r="N1030" s="262"/>
      <c r="O1030" s="1011"/>
      <c r="P1030" s="262"/>
      <c r="Q1030" s="1011"/>
      <c r="R1030" s="1012"/>
      <c r="S1030" s="1011"/>
      <c r="T1030" s="1012"/>
      <c r="U1030" s="1010"/>
      <c r="V1030" s="1012"/>
      <c r="W1030" s="1010"/>
      <c r="X1030" s="1012"/>
      <c r="Y1030" s="1010"/>
      <c r="Z1030" s="262"/>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row>
    <row r="1031" spans="1:47" ht="12.75" hidden="1">
      <c r="A1031" s="110"/>
      <c r="B1031" s="1009"/>
      <c r="C1031" s="1010"/>
      <c r="D1031" s="253"/>
      <c r="E1031" s="1011"/>
      <c r="F1031" s="262"/>
      <c r="G1031" s="1011"/>
      <c r="H1031" s="262"/>
      <c r="I1031" s="1011"/>
      <c r="J1031" s="262"/>
      <c r="K1031" s="1011"/>
      <c r="L1031" s="262"/>
      <c r="M1031" s="1011"/>
      <c r="N1031" s="262"/>
      <c r="O1031" s="1011"/>
      <c r="P1031" s="262"/>
      <c r="Q1031" s="1011"/>
      <c r="R1031" s="1012"/>
      <c r="S1031" s="1011"/>
      <c r="T1031" s="1012"/>
      <c r="U1031" s="1010"/>
      <c r="V1031" s="1012"/>
      <c r="W1031" s="1010"/>
      <c r="X1031" s="1012"/>
      <c r="Y1031" s="1010"/>
      <c r="Z1031" s="262"/>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row>
    <row r="1032" spans="1:47" ht="12.75" hidden="1">
      <c r="A1032" s="110"/>
      <c r="B1032" s="1009"/>
      <c r="C1032" s="1010"/>
      <c r="D1032" s="253"/>
      <c r="E1032" s="1011"/>
      <c r="F1032" s="262"/>
      <c r="G1032" s="1011"/>
      <c r="H1032" s="262"/>
      <c r="I1032" s="1011"/>
      <c r="J1032" s="262"/>
      <c r="K1032" s="1011"/>
      <c r="L1032" s="262"/>
      <c r="M1032" s="1011"/>
      <c r="N1032" s="262"/>
      <c r="O1032" s="1011"/>
      <c r="P1032" s="262"/>
      <c r="Q1032" s="1011"/>
      <c r="R1032" s="1012"/>
      <c r="S1032" s="1011"/>
      <c r="T1032" s="1012"/>
      <c r="U1032" s="1010"/>
      <c r="V1032" s="1012"/>
      <c r="W1032" s="1010"/>
      <c r="X1032" s="1012"/>
      <c r="Y1032" s="1010"/>
      <c r="Z1032" s="262"/>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row>
    <row r="1033" spans="1:47" ht="12.75" hidden="1">
      <c r="A1033" s="110"/>
      <c r="B1033" s="1009"/>
      <c r="C1033" s="1010"/>
      <c r="D1033" s="253"/>
      <c r="E1033" s="1011"/>
      <c r="F1033" s="262"/>
      <c r="G1033" s="1011"/>
      <c r="H1033" s="262"/>
      <c r="I1033" s="1011"/>
      <c r="J1033" s="262"/>
      <c r="K1033" s="1011"/>
      <c r="L1033" s="262"/>
      <c r="M1033" s="1011"/>
      <c r="N1033" s="262"/>
      <c r="O1033" s="1011"/>
      <c r="P1033" s="262"/>
      <c r="Q1033" s="1011"/>
      <c r="R1033" s="1012"/>
      <c r="S1033" s="1011"/>
      <c r="T1033" s="1012"/>
      <c r="U1033" s="1010"/>
      <c r="V1033" s="1012"/>
      <c r="W1033" s="1010"/>
      <c r="X1033" s="1012"/>
      <c r="Y1033" s="1010"/>
      <c r="Z1033" s="262"/>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row>
    <row r="1034" spans="1:47" ht="12.75" hidden="1">
      <c r="A1034" s="110"/>
      <c r="B1034" s="1009"/>
      <c r="C1034" s="1010"/>
      <c r="D1034" s="253"/>
      <c r="E1034" s="1011"/>
      <c r="F1034" s="262"/>
      <c r="G1034" s="1011"/>
      <c r="H1034" s="262"/>
      <c r="I1034" s="1011"/>
      <c r="J1034" s="262"/>
      <c r="K1034" s="1011"/>
      <c r="L1034" s="262"/>
      <c r="M1034" s="1011"/>
      <c r="N1034" s="262"/>
      <c r="O1034" s="1011"/>
      <c r="P1034" s="262"/>
      <c r="Q1034" s="1011"/>
      <c r="R1034" s="1012"/>
      <c r="S1034" s="1011"/>
      <c r="T1034" s="1012"/>
      <c r="U1034" s="1010"/>
      <c r="V1034" s="1012"/>
      <c r="W1034" s="1010"/>
      <c r="X1034" s="1012"/>
      <c r="Y1034" s="1010"/>
      <c r="Z1034" s="262"/>
      <c r="AA1034" s="110"/>
      <c r="AB1034" s="110"/>
      <c r="AC1034" s="110"/>
      <c r="AD1034" s="110"/>
      <c r="AE1034" s="110"/>
      <c r="AF1034" s="110"/>
      <c r="AG1034" s="110"/>
      <c r="AH1034" s="110"/>
      <c r="AI1034" s="110"/>
      <c r="AJ1034" s="110"/>
      <c r="AK1034" s="110"/>
      <c r="AL1034" s="110"/>
      <c r="AM1034" s="110"/>
      <c r="AN1034" s="110"/>
      <c r="AO1034" s="110"/>
      <c r="AP1034" s="110"/>
      <c r="AQ1034" s="110"/>
      <c r="AR1034" s="110"/>
      <c r="AS1034" s="110"/>
      <c r="AT1034" s="110"/>
      <c r="AU1034" s="110"/>
    </row>
    <row r="1035" spans="1:47" ht="12.75" hidden="1">
      <c r="A1035" s="110"/>
      <c r="B1035" s="1009"/>
      <c r="C1035" s="1010"/>
      <c r="D1035" s="253"/>
      <c r="E1035" s="1011"/>
      <c r="F1035" s="262"/>
      <c r="G1035" s="1011"/>
      <c r="H1035" s="262"/>
      <c r="I1035" s="1011"/>
      <c r="J1035" s="262"/>
      <c r="K1035" s="1011"/>
      <c r="L1035" s="262"/>
      <c r="M1035" s="1011"/>
      <c r="N1035" s="262"/>
      <c r="O1035" s="1011"/>
      <c r="P1035" s="262"/>
      <c r="Q1035" s="1011"/>
      <c r="R1035" s="1012"/>
      <c r="S1035" s="1011"/>
      <c r="T1035" s="1012"/>
      <c r="U1035" s="1010"/>
      <c r="V1035" s="1012"/>
      <c r="W1035" s="1010"/>
      <c r="X1035" s="1012"/>
      <c r="Y1035" s="1010"/>
      <c r="Z1035" s="262"/>
      <c r="AA1035" s="110"/>
      <c r="AB1035" s="110"/>
      <c r="AC1035" s="110"/>
      <c r="AD1035" s="110"/>
      <c r="AE1035" s="110"/>
      <c r="AF1035" s="110"/>
      <c r="AG1035" s="110"/>
      <c r="AH1035" s="110"/>
      <c r="AI1035" s="110"/>
      <c r="AJ1035" s="110"/>
      <c r="AK1035" s="110"/>
      <c r="AL1035" s="110"/>
      <c r="AM1035" s="110"/>
      <c r="AN1035" s="110"/>
      <c r="AO1035" s="110"/>
      <c r="AP1035" s="110"/>
      <c r="AQ1035" s="110"/>
      <c r="AR1035" s="110"/>
      <c r="AS1035" s="110"/>
      <c r="AT1035" s="110"/>
      <c r="AU1035" s="110"/>
    </row>
    <row r="1036" spans="1:47" ht="12.75" hidden="1">
      <c r="A1036" s="110"/>
      <c r="B1036" s="1009"/>
      <c r="C1036" s="1010"/>
      <c r="D1036" s="253"/>
      <c r="E1036" s="1011"/>
      <c r="F1036" s="262"/>
      <c r="G1036" s="1011"/>
      <c r="H1036" s="262"/>
      <c r="I1036" s="1011"/>
      <c r="J1036" s="262"/>
      <c r="K1036" s="1011"/>
      <c r="L1036" s="262"/>
      <c r="M1036" s="1011"/>
      <c r="N1036" s="262"/>
      <c r="O1036" s="1011"/>
      <c r="P1036" s="262"/>
      <c r="Q1036" s="1011"/>
      <c r="R1036" s="1012"/>
      <c r="S1036" s="1011"/>
      <c r="T1036" s="1012"/>
      <c r="U1036" s="1010"/>
      <c r="V1036" s="1012"/>
      <c r="W1036" s="1010"/>
      <c r="X1036" s="1012"/>
      <c r="Y1036" s="1010"/>
      <c r="Z1036" s="262"/>
      <c r="AA1036" s="110"/>
      <c r="AB1036" s="110"/>
      <c r="AC1036" s="110"/>
      <c r="AD1036" s="110"/>
      <c r="AE1036" s="110"/>
      <c r="AF1036" s="110"/>
      <c r="AG1036" s="110"/>
      <c r="AH1036" s="110"/>
      <c r="AI1036" s="110"/>
      <c r="AJ1036" s="110"/>
      <c r="AK1036" s="110"/>
      <c r="AL1036" s="110"/>
      <c r="AM1036" s="110"/>
      <c r="AN1036" s="110"/>
      <c r="AO1036" s="110"/>
      <c r="AP1036" s="110"/>
      <c r="AQ1036" s="110"/>
      <c r="AR1036" s="110"/>
      <c r="AS1036" s="110"/>
      <c r="AT1036" s="110"/>
      <c r="AU1036" s="110"/>
    </row>
    <row r="1037" spans="1:47" ht="12.75" hidden="1">
      <c r="A1037" s="110"/>
      <c r="B1037" s="1009"/>
      <c r="C1037" s="1010"/>
      <c r="D1037" s="253"/>
      <c r="E1037" s="1011"/>
      <c r="F1037" s="262"/>
      <c r="G1037" s="1011"/>
      <c r="H1037" s="262"/>
      <c r="I1037" s="1011"/>
      <c r="J1037" s="262"/>
      <c r="K1037" s="1011"/>
      <c r="L1037" s="262"/>
      <c r="M1037" s="1011"/>
      <c r="N1037" s="262"/>
      <c r="O1037" s="1011"/>
      <c r="P1037" s="262"/>
      <c r="Q1037" s="1011"/>
      <c r="R1037" s="1012"/>
      <c r="S1037" s="1011"/>
      <c r="T1037" s="1012"/>
      <c r="U1037" s="1010"/>
      <c r="V1037" s="1012"/>
      <c r="W1037" s="1010"/>
      <c r="X1037" s="1012"/>
      <c r="Y1037" s="1010"/>
      <c r="Z1037" s="262"/>
      <c r="AA1037" s="110"/>
      <c r="AB1037" s="110"/>
      <c r="AC1037" s="110"/>
      <c r="AD1037" s="110"/>
      <c r="AE1037" s="110"/>
      <c r="AF1037" s="110"/>
      <c r="AG1037" s="110"/>
      <c r="AH1037" s="110"/>
      <c r="AI1037" s="110"/>
      <c r="AJ1037" s="110"/>
      <c r="AK1037" s="110"/>
      <c r="AL1037" s="110"/>
      <c r="AM1037" s="110"/>
      <c r="AN1037" s="110"/>
      <c r="AO1037" s="110"/>
      <c r="AP1037" s="110"/>
      <c r="AQ1037" s="110"/>
      <c r="AR1037" s="110"/>
      <c r="AS1037" s="110"/>
      <c r="AT1037" s="110"/>
      <c r="AU1037" s="110"/>
    </row>
    <row r="1038" spans="1:47" ht="12.75" hidden="1">
      <c r="A1038" s="110"/>
      <c r="B1038" s="1009"/>
      <c r="C1038" s="1010"/>
      <c r="D1038" s="253"/>
      <c r="E1038" s="1011"/>
      <c r="F1038" s="262"/>
      <c r="G1038" s="1011"/>
      <c r="H1038" s="262"/>
      <c r="I1038" s="1011"/>
      <c r="J1038" s="262"/>
      <c r="K1038" s="1011"/>
      <c r="L1038" s="262"/>
      <c r="M1038" s="1011"/>
      <c r="N1038" s="262"/>
      <c r="O1038" s="1011"/>
      <c r="P1038" s="262"/>
      <c r="Q1038" s="1011"/>
      <c r="R1038" s="1012"/>
      <c r="S1038" s="1011"/>
      <c r="T1038" s="1012"/>
      <c r="U1038" s="1010"/>
      <c r="V1038" s="1012"/>
      <c r="W1038" s="1010"/>
      <c r="X1038" s="1012"/>
      <c r="Y1038" s="1010"/>
      <c r="Z1038" s="262"/>
      <c r="AA1038" s="110"/>
      <c r="AB1038" s="110"/>
      <c r="AC1038" s="110"/>
      <c r="AD1038" s="110"/>
      <c r="AE1038" s="110"/>
      <c r="AF1038" s="110"/>
      <c r="AG1038" s="110"/>
      <c r="AH1038" s="110"/>
      <c r="AI1038" s="110"/>
      <c r="AJ1038" s="110"/>
      <c r="AK1038" s="110"/>
      <c r="AL1038" s="110"/>
      <c r="AM1038" s="110"/>
      <c r="AN1038" s="110"/>
      <c r="AO1038" s="110"/>
      <c r="AP1038" s="110"/>
      <c r="AQ1038" s="110"/>
      <c r="AR1038" s="110"/>
      <c r="AS1038" s="110"/>
      <c r="AT1038" s="110"/>
      <c r="AU1038" s="110"/>
    </row>
    <row r="1039" spans="1:47" ht="12.75" hidden="1">
      <c r="A1039" s="110"/>
      <c r="B1039" s="1009"/>
      <c r="C1039" s="1010"/>
      <c r="D1039" s="253"/>
      <c r="E1039" s="1011"/>
      <c r="F1039" s="262"/>
      <c r="G1039" s="1011"/>
      <c r="H1039" s="262"/>
      <c r="I1039" s="1011"/>
      <c r="J1039" s="262"/>
      <c r="K1039" s="1011"/>
      <c r="L1039" s="262"/>
      <c r="M1039" s="1011"/>
      <c r="N1039" s="262"/>
      <c r="O1039" s="1011"/>
      <c r="P1039" s="262"/>
      <c r="Q1039" s="1011"/>
      <c r="R1039" s="1012"/>
      <c r="S1039" s="1011"/>
      <c r="T1039" s="1012"/>
      <c r="U1039" s="1010"/>
      <c r="V1039" s="1012"/>
      <c r="W1039" s="1010"/>
      <c r="X1039" s="1012"/>
      <c r="Y1039" s="1010"/>
      <c r="Z1039" s="262"/>
      <c r="AA1039" s="110"/>
      <c r="AB1039" s="110"/>
      <c r="AC1039" s="110"/>
      <c r="AD1039" s="110"/>
      <c r="AE1039" s="110"/>
      <c r="AF1039" s="110"/>
      <c r="AG1039" s="110"/>
      <c r="AH1039" s="110"/>
      <c r="AI1039" s="110"/>
      <c r="AJ1039" s="110"/>
      <c r="AK1039" s="110"/>
      <c r="AL1039" s="110"/>
      <c r="AM1039" s="110"/>
      <c r="AN1039" s="110"/>
      <c r="AO1039" s="110"/>
      <c r="AP1039" s="110"/>
      <c r="AQ1039" s="110"/>
      <c r="AR1039" s="110"/>
      <c r="AS1039" s="110"/>
      <c r="AT1039" s="110"/>
      <c r="AU1039" s="110"/>
    </row>
    <row r="1040" spans="1:47" ht="12.75" hidden="1">
      <c r="A1040" s="110"/>
      <c r="B1040" s="1009"/>
      <c r="C1040" s="1010"/>
      <c r="D1040" s="253"/>
      <c r="E1040" s="1011"/>
      <c r="F1040" s="262"/>
      <c r="G1040" s="1011"/>
      <c r="H1040" s="262"/>
      <c r="I1040" s="1011"/>
      <c r="J1040" s="262"/>
      <c r="K1040" s="1011"/>
      <c r="L1040" s="262"/>
      <c r="M1040" s="1011"/>
      <c r="N1040" s="262"/>
      <c r="O1040" s="1011"/>
      <c r="P1040" s="262"/>
      <c r="Q1040" s="1011"/>
      <c r="R1040" s="1012"/>
      <c r="S1040" s="1011"/>
      <c r="T1040" s="1012"/>
      <c r="U1040" s="1010"/>
      <c r="V1040" s="1012"/>
      <c r="W1040" s="1010"/>
      <c r="X1040" s="1012"/>
      <c r="Y1040" s="1010"/>
      <c r="Z1040" s="262"/>
      <c r="AA1040" s="110"/>
      <c r="AB1040" s="110"/>
      <c r="AC1040" s="110"/>
      <c r="AD1040" s="110"/>
      <c r="AE1040" s="110"/>
      <c r="AF1040" s="110"/>
      <c r="AG1040" s="110"/>
      <c r="AH1040" s="110"/>
      <c r="AI1040" s="110"/>
      <c r="AJ1040" s="110"/>
      <c r="AK1040" s="110"/>
      <c r="AL1040" s="110"/>
      <c r="AM1040" s="110"/>
      <c r="AN1040" s="110"/>
      <c r="AO1040" s="110"/>
      <c r="AP1040" s="110"/>
      <c r="AQ1040" s="110"/>
      <c r="AR1040" s="110"/>
      <c r="AS1040" s="110"/>
      <c r="AT1040" s="110"/>
      <c r="AU1040" s="110"/>
    </row>
    <row r="1041" spans="1:47" ht="12.75" hidden="1">
      <c r="A1041" s="110"/>
      <c r="B1041" s="1009"/>
      <c r="C1041" s="1010"/>
      <c r="D1041" s="253"/>
      <c r="E1041" s="1011"/>
      <c r="F1041" s="262"/>
      <c r="G1041" s="1011"/>
      <c r="H1041" s="262"/>
      <c r="I1041" s="1011"/>
      <c r="J1041" s="262"/>
      <c r="K1041" s="1011"/>
      <c r="L1041" s="262"/>
      <c r="M1041" s="1011"/>
      <c r="N1041" s="262"/>
      <c r="O1041" s="1011"/>
      <c r="P1041" s="262"/>
      <c r="Q1041" s="1011"/>
      <c r="R1041" s="1012"/>
      <c r="S1041" s="1011"/>
      <c r="T1041" s="1012"/>
      <c r="U1041" s="1010"/>
      <c r="V1041" s="1012"/>
      <c r="W1041" s="1010"/>
      <c r="X1041" s="1012"/>
      <c r="Y1041" s="1010"/>
      <c r="Z1041" s="262"/>
      <c r="AA1041" s="110"/>
      <c r="AB1041" s="110"/>
      <c r="AC1041" s="110"/>
      <c r="AD1041" s="110"/>
      <c r="AE1041" s="110"/>
      <c r="AF1041" s="110"/>
      <c r="AG1041" s="110"/>
      <c r="AH1041" s="110"/>
      <c r="AI1041" s="110"/>
      <c r="AJ1041" s="110"/>
      <c r="AK1041" s="110"/>
      <c r="AL1041" s="110"/>
      <c r="AM1041" s="110"/>
      <c r="AN1041" s="110"/>
      <c r="AO1041" s="110"/>
      <c r="AP1041" s="110"/>
      <c r="AQ1041" s="110"/>
      <c r="AR1041" s="110"/>
      <c r="AS1041" s="110"/>
      <c r="AT1041" s="110"/>
      <c r="AU1041" s="110"/>
    </row>
    <row r="1042" spans="1:47" ht="12.75" hidden="1">
      <c r="A1042" s="110"/>
      <c r="B1042" s="1009"/>
      <c r="C1042" s="1010"/>
      <c r="D1042" s="253"/>
      <c r="E1042" s="1011"/>
      <c r="F1042" s="262"/>
      <c r="G1042" s="1011"/>
      <c r="H1042" s="262"/>
      <c r="I1042" s="1011"/>
      <c r="J1042" s="262"/>
      <c r="K1042" s="1011"/>
      <c r="L1042" s="262"/>
      <c r="M1042" s="1011"/>
      <c r="N1042" s="262"/>
      <c r="O1042" s="1011"/>
      <c r="P1042" s="262"/>
      <c r="Q1042" s="1011"/>
      <c r="R1042" s="1012"/>
      <c r="S1042" s="1011"/>
      <c r="T1042" s="1012"/>
      <c r="U1042" s="1010"/>
      <c r="V1042" s="1012"/>
      <c r="W1042" s="1010"/>
      <c r="X1042" s="1012"/>
      <c r="Y1042" s="1010"/>
      <c r="Z1042" s="262"/>
      <c r="AA1042" s="110"/>
      <c r="AB1042" s="110"/>
      <c r="AC1042" s="110"/>
      <c r="AD1042" s="110"/>
      <c r="AE1042" s="110"/>
      <c r="AF1042" s="110"/>
      <c r="AG1042" s="110"/>
      <c r="AH1042" s="110"/>
      <c r="AI1042" s="110"/>
      <c r="AJ1042" s="110"/>
      <c r="AK1042" s="110"/>
      <c r="AL1042" s="110"/>
      <c r="AM1042" s="110"/>
      <c r="AN1042" s="110"/>
      <c r="AO1042" s="110"/>
      <c r="AP1042" s="110"/>
      <c r="AQ1042" s="110"/>
      <c r="AR1042" s="110"/>
      <c r="AS1042" s="110"/>
      <c r="AT1042" s="110"/>
      <c r="AU1042" s="110"/>
    </row>
    <row r="1043" spans="1:47" ht="12.75" hidden="1">
      <c r="A1043" s="110"/>
      <c r="B1043" s="1009"/>
      <c r="C1043" s="1010"/>
      <c r="D1043" s="253"/>
      <c r="E1043" s="1011"/>
      <c r="F1043" s="262"/>
      <c r="G1043" s="1011"/>
      <c r="H1043" s="262"/>
      <c r="I1043" s="1011"/>
      <c r="J1043" s="262"/>
      <c r="K1043" s="1011"/>
      <c r="L1043" s="262"/>
      <c r="M1043" s="1011"/>
      <c r="N1043" s="262"/>
      <c r="O1043" s="1011"/>
      <c r="P1043" s="262"/>
      <c r="Q1043" s="1011"/>
      <c r="R1043" s="1012"/>
      <c r="S1043" s="1011"/>
      <c r="T1043" s="1012"/>
      <c r="U1043" s="1010"/>
      <c r="V1043" s="1012"/>
      <c r="W1043" s="1010"/>
      <c r="X1043" s="1012"/>
      <c r="Y1043" s="1010"/>
      <c r="Z1043" s="262"/>
      <c r="AA1043" s="110"/>
      <c r="AB1043" s="110"/>
      <c r="AC1043" s="110"/>
      <c r="AD1043" s="110"/>
      <c r="AE1043" s="110"/>
      <c r="AF1043" s="110"/>
      <c r="AG1043" s="110"/>
      <c r="AH1043" s="110"/>
      <c r="AI1043" s="110"/>
      <c r="AJ1043" s="110"/>
      <c r="AK1043" s="110"/>
      <c r="AL1043" s="110"/>
      <c r="AM1043" s="110"/>
      <c r="AN1043" s="110"/>
      <c r="AO1043" s="110"/>
      <c r="AP1043" s="110"/>
      <c r="AQ1043" s="110"/>
      <c r="AR1043" s="110"/>
      <c r="AS1043" s="110"/>
      <c r="AT1043" s="110"/>
      <c r="AU1043" s="110"/>
    </row>
    <row r="1044" spans="1:47" ht="12.75" hidden="1">
      <c r="A1044" s="110"/>
      <c r="B1044" s="1009"/>
      <c r="C1044" s="1010"/>
      <c r="D1044" s="253"/>
      <c r="E1044" s="1011"/>
      <c r="F1044" s="262"/>
      <c r="G1044" s="1011"/>
      <c r="H1044" s="262"/>
      <c r="I1044" s="1011"/>
      <c r="J1044" s="262"/>
      <c r="K1044" s="1011"/>
      <c r="L1044" s="262"/>
      <c r="M1044" s="1011"/>
      <c r="N1044" s="262"/>
      <c r="O1044" s="1011"/>
      <c r="P1044" s="262"/>
      <c r="Q1044" s="1011"/>
      <c r="R1044" s="1012"/>
      <c r="S1044" s="1011"/>
      <c r="T1044" s="1012"/>
      <c r="U1044" s="1010"/>
      <c r="V1044" s="1012"/>
      <c r="W1044" s="1010"/>
      <c r="X1044" s="1012"/>
      <c r="Y1044" s="1010"/>
      <c r="Z1044" s="262"/>
      <c r="AA1044" s="110"/>
      <c r="AB1044" s="110"/>
      <c r="AC1044" s="110"/>
      <c r="AD1044" s="110"/>
      <c r="AE1044" s="110"/>
      <c r="AF1044" s="110"/>
      <c r="AG1044" s="110"/>
      <c r="AH1044" s="110"/>
      <c r="AI1044" s="110"/>
      <c r="AJ1044" s="110"/>
      <c r="AK1044" s="110"/>
      <c r="AL1044" s="110"/>
      <c r="AM1044" s="110"/>
      <c r="AN1044" s="110"/>
      <c r="AO1044" s="110"/>
      <c r="AP1044" s="110"/>
      <c r="AQ1044" s="110"/>
      <c r="AR1044" s="110"/>
      <c r="AS1044" s="110"/>
      <c r="AT1044" s="110"/>
      <c r="AU1044" s="110"/>
    </row>
    <row r="1045" spans="1:47" ht="12.75" hidden="1">
      <c r="A1045" s="110"/>
      <c r="B1045" s="1009"/>
      <c r="C1045" s="1010"/>
      <c r="D1045" s="253"/>
      <c r="E1045" s="1011"/>
      <c r="F1045" s="262"/>
      <c r="G1045" s="1011"/>
      <c r="H1045" s="262"/>
      <c r="I1045" s="1011"/>
      <c r="J1045" s="262"/>
      <c r="K1045" s="1011"/>
      <c r="L1045" s="262"/>
      <c r="M1045" s="1011"/>
      <c r="N1045" s="262"/>
      <c r="O1045" s="1011"/>
      <c r="P1045" s="262"/>
      <c r="Q1045" s="1011"/>
      <c r="R1045" s="1012"/>
      <c r="S1045" s="1011"/>
      <c r="T1045" s="1012"/>
      <c r="U1045" s="1010"/>
      <c r="V1045" s="1012"/>
      <c r="W1045" s="1010"/>
      <c r="X1045" s="1012"/>
      <c r="Y1045" s="1010"/>
      <c r="Z1045" s="262"/>
      <c r="AA1045" s="110"/>
      <c r="AB1045" s="110"/>
      <c r="AC1045" s="110"/>
      <c r="AD1045" s="110"/>
      <c r="AE1045" s="110"/>
      <c r="AF1045" s="110"/>
      <c r="AG1045" s="110"/>
      <c r="AH1045" s="110"/>
      <c r="AI1045" s="110"/>
      <c r="AJ1045" s="110"/>
      <c r="AK1045" s="110"/>
      <c r="AL1045" s="110"/>
      <c r="AM1045" s="110"/>
      <c r="AN1045" s="110"/>
      <c r="AO1045" s="110"/>
      <c r="AP1045" s="110"/>
      <c r="AQ1045" s="110"/>
      <c r="AR1045" s="110"/>
      <c r="AS1045" s="110"/>
      <c r="AT1045" s="110"/>
      <c r="AU1045" s="110"/>
    </row>
    <row r="1046" spans="1:47" ht="12.75" hidden="1">
      <c r="A1046" s="110"/>
      <c r="B1046" s="1009"/>
      <c r="C1046" s="1010"/>
      <c r="D1046" s="253"/>
      <c r="E1046" s="1011"/>
      <c r="F1046" s="262"/>
      <c r="G1046" s="1011"/>
      <c r="H1046" s="262"/>
      <c r="I1046" s="1011"/>
      <c r="J1046" s="262"/>
      <c r="K1046" s="1011"/>
      <c r="L1046" s="262"/>
      <c r="M1046" s="1011"/>
      <c r="N1046" s="262"/>
      <c r="O1046" s="1011"/>
      <c r="P1046" s="262"/>
      <c r="Q1046" s="1011"/>
      <c r="R1046" s="1012"/>
      <c r="S1046" s="1011"/>
      <c r="T1046" s="1012"/>
      <c r="U1046" s="1010"/>
      <c r="V1046" s="1012"/>
      <c r="W1046" s="1010"/>
      <c r="X1046" s="1012"/>
      <c r="Y1046" s="1010"/>
      <c r="Z1046" s="262"/>
      <c r="AA1046" s="110"/>
      <c r="AB1046" s="110"/>
      <c r="AC1046" s="110"/>
      <c r="AD1046" s="110"/>
      <c r="AE1046" s="110"/>
      <c r="AF1046" s="110"/>
      <c r="AG1046" s="110"/>
      <c r="AH1046" s="110"/>
      <c r="AI1046" s="110"/>
      <c r="AJ1046" s="110"/>
      <c r="AK1046" s="110"/>
      <c r="AL1046" s="110"/>
      <c r="AM1046" s="110"/>
      <c r="AN1046" s="110"/>
      <c r="AO1046" s="110"/>
      <c r="AP1046" s="110"/>
      <c r="AQ1046" s="110"/>
      <c r="AR1046" s="110"/>
      <c r="AS1046" s="110"/>
      <c r="AT1046" s="110"/>
      <c r="AU1046" s="110"/>
    </row>
    <row r="1047" spans="1:47" ht="12.75" hidden="1">
      <c r="A1047" s="110"/>
      <c r="B1047" s="1009"/>
      <c r="C1047" s="1010"/>
      <c r="D1047" s="253"/>
      <c r="E1047" s="1011"/>
      <c r="F1047" s="262"/>
      <c r="G1047" s="1011"/>
      <c r="H1047" s="262"/>
      <c r="I1047" s="1011"/>
      <c r="J1047" s="262"/>
      <c r="K1047" s="1011"/>
      <c r="L1047" s="262"/>
      <c r="M1047" s="1011"/>
      <c r="N1047" s="262"/>
      <c r="O1047" s="1011"/>
      <c r="P1047" s="262"/>
      <c r="Q1047" s="1011"/>
      <c r="R1047" s="1012"/>
      <c r="S1047" s="1011"/>
      <c r="T1047" s="1012"/>
      <c r="U1047" s="1010"/>
      <c r="V1047" s="1012"/>
      <c r="W1047" s="1010"/>
      <c r="X1047" s="1012"/>
      <c r="Y1047" s="1010"/>
      <c r="Z1047" s="262"/>
      <c r="AA1047" s="110"/>
      <c r="AB1047" s="110"/>
      <c r="AC1047" s="110"/>
      <c r="AD1047" s="110"/>
      <c r="AE1047" s="110"/>
      <c r="AF1047" s="110"/>
      <c r="AG1047" s="110"/>
      <c r="AH1047" s="110"/>
      <c r="AI1047" s="110"/>
      <c r="AJ1047" s="110"/>
      <c r="AK1047" s="110"/>
      <c r="AL1047" s="110"/>
      <c r="AM1047" s="110"/>
      <c r="AN1047" s="110"/>
      <c r="AO1047" s="110"/>
      <c r="AP1047" s="110"/>
      <c r="AQ1047" s="110"/>
      <c r="AR1047" s="110"/>
      <c r="AS1047" s="110"/>
      <c r="AT1047" s="110"/>
      <c r="AU1047" s="110"/>
    </row>
    <row r="1048" spans="1:47" ht="12.75" hidden="1">
      <c r="A1048" s="110"/>
      <c r="B1048" s="1009"/>
      <c r="C1048" s="1010"/>
      <c r="D1048" s="253"/>
      <c r="E1048" s="1011"/>
      <c r="F1048" s="262"/>
      <c r="G1048" s="1011"/>
      <c r="H1048" s="262"/>
      <c r="I1048" s="1011"/>
      <c r="J1048" s="262"/>
      <c r="K1048" s="1011"/>
      <c r="L1048" s="262"/>
      <c r="M1048" s="1011"/>
      <c r="N1048" s="262"/>
      <c r="O1048" s="1011"/>
      <c r="P1048" s="262"/>
      <c r="Q1048" s="1011"/>
      <c r="R1048" s="1012"/>
      <c r="S1048" s="1011"/>
      <c r="T1048" s="1012"/>
      <c r="U1048" s="1010"/>
      <c r="V1048" s="1012"/>
      <c r="W1048" s="1010"/>
      <c r="X1048" s="1012"/>
      <c r="Y1048" s="1010"/>
      <c r="Z1048" s="262"/>
      <c r="AA1048" s="110"/>
      <c r="AB1048" s="110"/>
      <c r="AC1048" s="110"/>
      <c r="AD1048" s="110"/>
      <c r="AE1048" s="110"/>
      <c r="AF1048" s="110"/>
      <c r="AG1048" s="110"/>
      <c r="AH1048" s="110"/>
      <c r="AI1048" s="110"/>
      <c r="AJ1048" s="110"/>
      <c r="AK1048" s="110"/>
      <c r="AL1048" s="110"/>
      <c r="AM1048" s="110"/>
      <c r="AN1048" s="110"/>
      <c r="AO1048" s="110"/>
      <c r="AP1048" s="110"/>
      <c r="AQ1048" s="110"/>
      <c r="AR1048" s="110"/>
      <c r="AS1048" s="110"/>
      <c r="AT1048" s="110"/>
      <c r="AU1048" s="110"/>
    </row>
    <row r="1049" spans="1:47" ht="12.75" hidden="1">
      <c r="A1049" s="110"/>
      <c r="B1049" s="1009"/>
      <c r="C1049" s="1010"/>
      <c r="D1049" s="253"/>
      <c r="E1049" s="1011"/>
      <c r="F1049" s="262"/>
      <c r="G1049" s="1011"/>
      <c r="H1049" s="262"/>
      <c r="I1049" s="1011"/>
      <c r="J1049" s="262"/>
      <c r="K1049" s="1011"/>
      <c r="L1049" s="262"/>
      <c r="M1049" s="1011"/>
      <c r="N1049" s="262"/>
      <c r="O1049" s="1011"/>
      <c r="P1049" s="262"/>
      <c r="Q1049" s="1011"/>
      <c r="R1049" s="1012"/>
      <c r="S1049" s="1011"/>
      <c r="T1049" s="1012"/>
      <c r="U1049" s="1010"/>
      <c r="V1049" s="1012"/>
      <c r="W1049" s="1010"/>
      <c r="X1049" s="1012"/>
      <c r="Y1049" s="1010"/>
      <c r="Z1049" s="262"/>
      <c r="AA1049" s="110"/>
      <c r="AB1049" s="110"/>
      <c r="AC1049" s="110"/>
      <c r="AD1049" s="110"/>
      <c r="AE1049" s="110"/>
      <c r="AF1049" s="110"/>
      <c r="AG1049" s="110"/>
      <c r="AH1049" s="110"/>
      <c r="AI1049" s="110"/>
      <c r="AJ1049" s="110"/>
      <c r="AK1049" s="110"/>
      <c r="AL1049" s="110"/>
      <c r="AM1049" s="110"/>
      <c r="AN1049" s="110"/>
      <c r="AO1049" s="110"/>
      <c r="AP1049" s="110"/>
      <c r="AQ1049" s="110"/>
      <c r="AR1049" s="110"/>
      <c r="AS1049" s="110"/>
      <c r="AT1049" s="110"/>
      <c r="AU1049" s="110"/>
    </row>
    <row r="1050" spans="1:47" ht="12.75" hidden="1">
      <c r="A1050" s="110"/>
      <c r="B1050" s="1009"/>
      <c r="C1050" s="1010"/>
      <c r="D1050" s="253"/>
      <c r="E1050" s="1011"/>
      <c r="F1050" s="262"/>
      <c r="G1050" s="1011"/>
      <c r="H1050" s="262"/>
      <c r="I1050" s="1011"/>
      <c r="J1050" s="262"/>
      <c r="K1050" s="1011"/>
      <c r="L1050" s="262"/>
      <c r="M1050" s="1011"/>
      <c r="N1050" s="262"/>
      <c r="O1050" s="1011"/>
      <c r="P1050" s="262"/>
      <c r="Q1050" s="1011"/>
      <c r="R1050" s="1012"/>
      <c r="S1050" s="1011"/>
      <c r="T1050" s="1012"/>
      <c r="U1050" s="1010"/>
      <c r="V1050" s="1012"/>
      <c r="W1050" s="1010"/>
      <c r="X1050" s="1012"/>
      <c r="Y1050" s="1010"/>
      <c r="Z1050" s="262"/>
      <c r="AA1050" s="110"/>
      <c r="AB1050" s="110"/>
      <c r="AC1050" s="110"/>
      <c r="AD1050" s="110"/>
      <c r="AE1050" s="110"/>
      <c r="AF1050" s="110"/>
      <c r="AG1050" s="110"/>
      <c r="AH1050" s="110"/>
      <c r="AI1050" s="110"/>
      <c r="AJ1050" s="110"/>
      <c r="AK1050" s="110"/>
      <c r="AL1050" s="110"/>
      <c r="AM1050" s="110"/>
      <c r="AN1050" s="110"/>
      <c r="AO1050" s="110"/>
      <c r="AP1050" s="110"/>
      <c r="AQ1050" s="110"/>
      <c r="AR1050" s="110"/>
      <c r="AS1050" s="110"/>
      <c r="AT1050" s="110"/>
      <c r="AU1050" s="110"/>
    </row>
    <row r="1051" spans="1:47" ht="12.75" hidden="1">
      <c r="A1051" s="110"/>
      <c r="B1051" s="1009"/>
      <c r="C1051" s="1010"/>
      <c r="D1051" s="253"/>
      <c r="E1051" s="1011"/>
      <c r="F1051" s="262"/>
      <c r="G1051" s="1011"/>
      <c r="H1051" s="262"/>
      <c r="I1051" s="1011"/>
      <c r="J1051" s="262"/>
      <c r="K1051" s="1011"/>
      <c r="L1051" s="262"/>
      <c r="M1051" s="1011"/>
      <c r="N1051" s="262"/>
      <c r="O1051" s="1011"/>
      <c r="P1051" s="262"/>
      <c r="Q1051" s="1011"/>
      <c r="R1051" s="1012"/>
      <c r="S1051" s="1011"/>
      <c r="T1051" s="1012"/>
      <c r="U1051" s="1010"/>
      <c r="V1051" s="1012"/>
      <c r="W1051" s="1010"/>
      <c r="X1051" s="1012"/>
      <c r="Y1051" s="1010"/>
      <c r="Z1051" s="262"/>
      <c r="AA1051" s="110"/>
      <c r="AB1051" s="110"/>
      <c r="AC1051" s="110"/>
      <c r="AD1051" s="110"/>
      <c r="AE1051" s="110"/>
      <c r="AF1051" s="110"/>
      <c r="AG1051" s="110"/>
      <c r="AH1051" s="110"/>
      <c r="AI1051" s="110"/>
      <c r="AJ1051" s="110"/>
      <c r="AK1051" s="110"/>
      <c r="AL1051" s="110"/>
      <c r="AM1051" s="110"/>
      <c r="AN1051" s="110"/>
      <c r="AO1051" s="110"/>
      <c r="AP1051" s="110"/>
      <c r="AQ1051" s="110"/>
      <c r="AR1051" s="110"/>
      <c r="AS1051" s="110"/>
      <c r="AT1051" s="110"/>
      <c r="AU1051" s="110"/>
    </row>
    <row r="1052" spans="1:47" ht="12.75" hidden="1">
      <c r="A1052" s="110"/>
      <c r="B1052" s="1009"/>
      <c r="C1052" s="1010"/>
      <c r="D1052" s="253"/>
      <c r="E1052" s="1011"/>
      <c r="F1052" s="262"/>
      <c r="G1052" s="1011"/>
      <c r="H1052" s="262"/>
      <c r="I1052" s="1011"/>
      <c r="J1052" s="262"/>
      <c r="K1052" s="1011"/>
      <c r="L1052" s="262"/>
      <c r="M1052" s="1011"/>
      <c r="N1052" s="262"/>
      <c r="O1052" s="1011"/>
      <c r="P1052" s="262"/>
      <c r="Q1052" s="1011"/>
      <c r="R1052" s="1012"/>
      <c r="S1052" s="1011"/>
      <c r="T1052" s="1012"/>
      <c r="U1052" s="1010"/>
      <c r="V1052" s="1012"/>
      <c r="W1052" s="1010"/>
      <c r="X1052" s="1012"/>
      <c r="Y1052" s="1010"/>
      <c r="Z1052" s="262"/>
      <c r="AA1052" s="110"/>
      <c r="AB1052" s="110"/>
      <c r="AC1052" s="110"/>
      <c r="AD1052" s="110"/>
      <c r="AE1052" s="110"/>
      <c r="AF1052" s="110"/>
      <c r="AG1052" s="110"/>
      <c r="AH1052" s="110"/>
      <c r="AI1052" s="110"/>
      <c r="AJ1052" s="110"/>
      <c r="AK1052" s="110"/>
      <c r="AL1052" s="110"/>
      <c r="AM1052" s="110"/>
      <c r="AN1052" s="110"/>
      <c r="AO1052" s="110"/>
      <c r="AP1052" s="110"/>
      <c r="AQ1052" s="110"/>
      <c r="AR1052" s="110"/>
      <c r="AS1052" s="110"/>
      <c r="AT1052" s="110"/>
      <c r="AU1052" s="110"/>
    </row>
    <row r="1053" spans="1:47" ht="12.75" hidden="1">
      <c r="A1053" s="110"/>
      <c r="B1053" s="1009"/>
      <c r="C1053" s="1010"/>
      <c r="D1053" s="253"/>
      <c r="E1053" s="1011"/>
      <c r="F1053" s="262"/>
      <c r="G1053" s="1011"/>
      <c r="H1053" s="262"/>
      <c r="I1053" s="1011"/>
      <c r="J1053" s="262"/>
      <c r="K1053" s="1011"/>
      <c r="L1053" s="262"/>
      <c r="M1053" s="1011"/>
      <c r="N1053" s="262"/>
      <c r="O1053" s="1011"/>
      <c r="P1053" s="262"/>
      <c r="Q1053" s="1011"/>
      <c r="R1053" s="1012"/>
      <c r="S1053" s="1011"/>
      <c r="T1053" s="1012"/>
      <c r="U1053" s="1010"/>
      <c r="V1053" s="1012"/>
      <c r="W1053" s="1010"/>
      <c r="X1053" s="1012"/>
      <c r="Y1053" s="1010"/>
      <c r="Z1053" s="262"/>
      <c r="AA1053" s="110"/>
      <c r="AB1053" s="110"/>
      <c r="AC1053" s="110"/>
      <c r="AD1053" s="110"/>
      <c r="AE1053" s="110"/>
      <c r="AF1053" s="110"/>
      <c r="AG1053" s="110"/>
      <c r="AH1053" s="110"/>
      <c r="AI1053" s="110"/>
      <c r="AJ1053" s="110"/>
      <c r="AK1053" s="110"/>
      <c r="AL1053" s="110"/>
      <c r="AM1053" s="110"/>
      <c r="AN1053" s="110"/>
      <c r="AO1053" s="110"/>
      <c r="AP1053" s="110"/>
      <c r="AQ1053" s="110"/>
      <c r="AR1053" s="110"/>
      <c r="AS1053" s="110"/>
      <c r="AT1053" s="110"/>
      <c r="AU1053" s="110"/>
    </row>
    <row r="1054" spans="1:47" ht="12.75" hidden="1">
      <c r="A1054" s="110"/>
      <c r="B1054" s="1009"/>
      <c r="C1054" s="1010"/>
      <c r="D1054" s="253"/>
      <c r="E1054" s="1011"/>
      <c r="F1054" s="262"/>
      <c r="G1054" s="1011"/>
      <c r="H1054" s="262"/>
      <c r="I1054" s="1011"/>
      <c r="J1054" s="262"/>
      <c r="K1054" s="1011"/>
      <c r="L1054" s="262"/>
      <c r="M1054" s="1011"/>
      <c r="N1054" s="262"/>
      <c r="O1054" s="1011"/>
      <c r="P1054" s="262"/>
      <c r="Q1054" s="1011"/>
      <c r="R1054" s="1012"/>
      <c r="S1054" s="1011"/>
      <c r="T1054" s="1012"/>
      <c r="U1054" s="1010"/>
      <c r="V1054" s="1012"/>
      <c r="W1054" s="1010"/>
      <c r="X1054" s="1012"/>
      <c r="Y1054" s="1010"/>
      <c r="Z1054" s="262"/>
      <c r="AA1054" s="110"/>
      <c r="AB1054" s="110"/>
      <c r="AC1054" s="110"/>
      <c r="AD1054" s="110"/>
      <c r="AE1054" s="110"/>
      <c r="AF1054" s="110"/>
      <c r="AG1054" s="110"/>
      <c r="AH1054" s="110"/>
      <c r="AI1054" s="110"/>
      <c r="AJ1054" s="110"/>
      <c r="AK1054" s="110"/>
      <c r="AL1054" s="110"/>
      <c r="AM1054" s="110"/>
      <c r="AN1054" s="110"/>
      <c r="AO1054" s="110"/>
      <c r="AP1054" s="110"/>
      <c r="AQ1054" s="110"/>
      <c r="AR1054" s="110"/>
      <c r="AS1054" s="110"/>
      <c r="AT1054" s="110"/>
      <c r="AU1054" s="110"/>
    </row>
    <row r="1055" spans="1:47" ht="12.75" hidden="1">
      <c r="A1055" s="110"/>
      <c r="B1055" s="1009"/>
      <c r="C1055" s="1010"/>
      <c r="D1055" s="253"/>
      <c r="E1055" s="1011"/>
      <c r="F1055" s="262"/>
      <c r="G1055" s="1011"/>
      <c r="H1055" s="262"/>
      <c r="I1055" s="1011"/>
      <c r="J1055" s="262"/>
      <c r="K1055" s="1011"/>
      <c r="L1055" s="262"/>
      <c r="M1055" s="1011"/>
      <c r="N1055" s="262"/>
      <c r="O1055" s="1011"/>
      <c r="P1055" s="262"/>
      <c r="Q1055" s="1011"/>
      <c r="R1055" s="1012"/>
      <c r="S1055" s="1011"/>
      <c r="T1055" s="1012"/>
      <c r="U1055" s="1010"/>
      <c r="V1055" s="1012"/>
      <c r="W1055" s="1010"/>
      <c r="X1055" s="1012"/>
      <c r="Y1055" s="1010"/>
      <c r="Z1055" s="262"/>
      <c r="AA1055" s="110"/>
      <c r="AB1055" s="110"/>
      <c r="AC1055" s="110"/>
      <c r="AD1055" s="110"/>
      <c r="AE1055" s="110"/>
      <c r="AF1055" s="110"/>
      <c r="AG1055" s="110"/>
      <c r="AH1055" s="110"/>
      <c r="AI1055" s="110"/>
      <c r="AJ1055" s="110"/>
      <c r="AK1055" s="110"/>
      <c r="AL1055" s="110"/>
      <c r="AM1055" s="110"/>
      <c r="AN1055" s="110"/>
      <c r="AO1055" s="110"/>
      <c r="AP1055" s="110"/>
      <c r="AQ1055" s="110"/>
      <c r="AR1055" s="110"/>
      <c r="AS1055" s="110"/>
      <c r="AT1055" s="110"/>
      <c r="AU1055" s="110"/>
    </row>
    <row r="1056" spans="1:47" ht="12.75" hidden="1">
      <c r="A1056" s="110"/>
      <c r="B1056" s="1009"/>
      <c r="C1056" s="1010"/>
      <c r="D1056" s="253"/>
      <c r="E1056" s="1011"/>
      <c r="F1056" s="262"/>
      <c r="G1056" s="1011"/>
      <c r="H1056" s="262"/>
      <c r="I1056" s="1011"/>
      <c r="J1056" s="262"/>
      <c r="K1056" s="1011"/>
      <c r="L1056" s="262"/>
      <c r="M1056" s="1011"/>
      <c r="N1056" s="262"/>
      <c r="O1056" s="1011"/>
      <c r="P1056" s="262"/>
      <c r="Q1056" s="1011"/>
      <c r="R1056" s="1012"/>
      <c r="S1056" s="1011"/>
      <c r="T1056" s="1012"/>
      <c r="U1056" s="1010"/>
      <c r="V1056" s="1012"/>
      <c r="W1056" s="1010"/>
      <c r="X1056" s="1012"/>
      <c r="Y1056" s="1010"/>
      <c r="Z1056" s="262"/>
      <c r="AA1056" s="110"/>
      <c r="AB1056" s="110"/>
      <c r="AC1056" s="110"/>
      <c r="AD1056" s="110"/>
      <c r="AE1056" s="110"/>
      <c r="AF1056" s="110"/>
      <c r="AG1056" s="110"/>
      <c r="AH1056" s="110"/>
      <c r="AI1056" s="110"/>
      <c r="AJ1056" s="110"/>
      <c r="AK1056" s="110"/>
      <c r="AL1056" s="110"/>
      <c r="AM1056" s="110"/>
      <c r="AN1056" s="110"/>
      <c r="AO1056" s="110"/>
      <c r="AP1056" s="110"/>
      <c r="AQ1056" s="110"/>
      <c r="AR1056" s="110"/>
      <c r="AS1056" s="110"/>
      <c r="AT1056" s="110"/>
      <c r="AU1056" s="110"/>
    </row>
    <row r="1057" spans="1:47" ht="12.75" hidden="1">
      <c r="A1057" s="110"/>
      <c r="B1057" s="1009"/>
      <c r="C1057" s="1010"/>
      <c r="D1057" s="253"/>
      <c r="E1057" s="1011"/>
      <c r="F1057" s="262"/>
      <c r="G1057" s="1011"/>
      <c r="H1057" s="262"/>
      <c r="I1057" s="1011"/>
      <c r="J1057" s="262"/>
      <c r="K1057" s="1011"/>
      <c r="L1057" s="262"/>
      <c r="M1057" s="1011"/>
      <c r="N1057" s="262"/>
      <c r="O1057" s="1011"/>
      <c r="P1057" s="262"/>
      <c r="Q1057" s="1011"/>
      <c r="R1057" s="1012"/>
      <c r="S1057" s="1011"/>
      <c r="T1057" s="1012"/>
      <c r="U1057" s="1010"/>
      <c r="V1057" s="1012"/>
      <c r="W1057" s="1010"/>
      <c r="X1057" s="1012"/>
      <c r="Y1057" s="1010"/>
      <c r="Z1057" s="262"/>
      <c r="AA1057" s="110"/>
      <c r="AB1057" s="110"/>
      <c r="AC1057" s="110"/>
      <c r="AD1057" s="110"/>
      <c r="AE1057" s="110"/>
      <c r="AF1057" s="110"/>
      <c r="AG1057" s="110"/>
      <c r="AH1057" s="110"/>
      <c r="AI1057" s="110"/>
      <c r="AJ1057" s="110"/>
      <c r="AK1057" s="110"/>
      <c r="AL1057" s="110"/>
      <c r="AM1057" s="110"/>
      <c r="AN1057" s="110"/>
      <c r="AO1057" s="110"/>
      <c r="AP1057" s="110"/>
      <c r="AQ1057" s="110"/>
      <c r="AR1057" s="110"/>
      <c r="AS1057" s="110"/>
      <c r="AT1057" s="110"/>
      <c r="AU1057" s="110"/>
    </row>
    <row r="1058" spans="1:47" ht="12.75" hidden="1">
      <c r="A1058" s="110"/>
      <c r="B1058" s="1009"/>
      <c r="C1058" s="1010"/>
      <c r="D1058" s="253"/>
      <c r="E1058" s="1011"/>
      <c r="F1058" s="262"/>
      <c r="G1058" s="1011"/>
      <c r="H1058" s="262"/>
      <c r="I1058" s="1011"/>
      <c r="J1058" s="262"/>
      <c r="K1058" s="1011"/>
      <c r="L1058" s="262"/>
      <c r="M1058" s="1011"/>
      <c r="N1058" s="262"/>
      <c r="O1058" s="1011"/>
      <c r="P1058" s="262"/>
      <c r="Q1058" s="1011"/>
      <c r="R1058" s="1012"/>
      <c r="S1058" s="1011"/>
      <c r="T1058" s="1012"/>
      <c r="U1058" s="1010"/>
      <c r="V1058" s="1012"/>
      <c r="W1058" s="1010"/>
      <c r="X1058" s="1012"/>
      <c r="Y1058" s="1010"/>
      <c r="Z1058" s="262"/>
      <c r="AA1058" s="110"/>
      <c r="AB1058" s="110"/>
      <c r="AC1058" s="110"/>
      <c r="AD1058" s="110"/>
      <c r="AE1058" s="110"/>
      <c r="AF1058" s="110"/>
      <c r="AG1058" s="110"/>
      <c r="AH1058" s="110"/>
      <c r="AI1058" s="110"/>
      <c r="AJ1058" s="110"/>
      <c r="AK1058" s="110"/>
      <c r="AL1058" s="110"/>
      <c r="AM1058" s="110"/>
      <c r="AN1058" s="110"/>
      <c r="AO1058" s="110"/>
      <c r="AP1058" s="110"/>
      <c r="AQ1058" s="110"/>
      <c r="AR1058" s="110"/>
      <c r="AS1058" s="110"/>
      <c r="AT1058" s="110"/>
      <c r="AU1058" s="110"/>
    </row>
    <row r="1059" spans="1:47" ht="12.75" hidden="1">
      <c r="A1059" s="110"/>
      <c r="B1059" s="1009"/>
      <c r="C1059" s="1010"/>
      <c r="D1059" s="253"/>
      <c r="E1059" s="1011"/>
      <c r="F1059" s="262"/>
      <c r="G1059" s="1011"/>
      <c r="H1059" s="262"/>
      <c r="I1059" s="1011"/>
      <c r="J1059" s="262"/>
      <c r="K1059" s="1011"/>
      <c r="L1059" s="262"/>
      <c r="M1059" s="1011"/>
      <c r="N1059" s="262"/>
      <c r="O1059" s="1011"/>
      <c r="P1059" s="262"/>
      <c r="Q1059" s="1011"/>
      <c r="R1059" s="1012"/>
      <c r="S1059" s="1011"/>
      <c r="T1059" s="1012"/>
      <c r="U1059" s="1010"/>
      <c r="V1059" s="1012"/>
      <c r="W1059" s="1010"/>
      <c r="X1059" s="1012"/>
      <c r="Y1059" s="1010"/>
      <c r="Z1059" s="262"/>
      <c r="AA1059" s="110"/>
      <c r="AB1059" s="110"/>
      <c r="AC1059" s="110"/>
      <c r="AD1059" s="110"/>
      <c r="AE1059" s="110"/>
      <c r="AF1059" s="110"/>
      <c r="AG1059" s="110"/>
      <c r="AH1059" s="110"/>
      <c r="AI1059" s="110"/>
      <c r="AJ1059" s="110"/>
      <c r="AK1059" s="110"/>
      <c r="AL1059" s="110"/>
      <c r="AM1059" s="110"/>
      <c r="AN1059" s="110"/>
      <c r="AO1059" s="110"/>
      <c r="AP1059" s="110"/>
      <c r="AQ1059" s="110"/>
      <c r="AR1059" s="110"/>
      <c r="AS1059" s="110"/>
      <c r="AT1059" s="110"/>
      <c r="AU1059" s="110"/>
    </row>
    <row r="1060" spans="1:47" ht="12.75" hidden="1">
      <c r="A1060" s="110"/>
      <c r="B1060" s="1009"/>
      <c r="C1060" s="1010"/>
      <c r="D1060" s="253"/>
      <c r="E1060" s="1011"/>
      <c r="F1060" s="262"/>
      <c r="G1060" s="1011"/>
      <c r="H1060" s="262"/>
      <c r="I1060" s="1011"/>
      <c r="J1060" s="262"/>
      <c r="K1060" s="1011"/>
      <c r="L1060" s="262"/>
      <c r="M1060" s="1011"/>
      <c r="N1060" s="262"/>
      <c r="O1060" s="1011"/>
      <c r="P1060" s="262"/>
      <c r="Q1060" s="1011"/>
      <c r="R1060" s="1012"/>
      <c r="S1060" s="1011"/>
      <c r="T1060" s="1012"/>
      <c r="U1060" s="1010"/>
      <c r="V1060" s="1012"/>
      <c r="W1060" s="1010"/>
      <c r="X1060" s="1012"/>
      <c r="Y1060" s="1010"/>
      <c r="Z1060" s="262"/>
      <c r="AA1060" s="110"/>
      <c r="AB1060" s="110"/>
      <c r="AC1060" s="110"/>
      <c r="AD1060" s="110"/>
      <c r="AE1060" s="110"/>
      <c r="AF1060" s="110"/>
      <c r="AG1060" s="110"/>
      <c r="AH1060" s="110"/>
      <c r="AI1060" s="110"/>
      <c r="AJ1060" s="110"/>
      <c r="AK1060" s="110"/>
      <c r="AL1060" s="110"/>
      <c r="AM1060" s="110"/>
      <c r="AN1060" s="110"/>
      <c r="AO1060" s="110"/>
      <c r="AP1060" s="110"/>
      <c r="AQ1060" s="110"/>
      <c r="AR1060" s="110"/>
      <c r="AS1060" s="110"/>
      <c r="AT1060" s="110"/>
      <c r="AU1060" s="110"/>
    </row>
    <row r="1061" spans="1:47" ht="12.75" hidden="1">
      <c r="A1061" s="110"/>
      <c r="B1061" s="1009"/>
      <c r="C1061" s="1010"/>
      <c r="D1061" s="253"/>
      <c r="E1061" s="1011"/>
      <c r="F1061" s="262"/>
      <c r="G1061" s="1011"/>
      <c r="H1061" s="262"/>
      <c r="I1061" s="1011"/>
      <c r="J1061" s="262"/>
      <c r="K1061" s="1011"/>
      <c r="L1061" s="262"/>
      <c r="M1061" s="1011"/>
      <c r="N1061" s="262"/>
      <c r="O1061" s="1011"/>
      <c r="P1061" s="262"/>
      <c r="Q1061" s="1011"/>
      <c r="R1061" s="1012"/>
      <c r="S1061" s="1011"/>
      <c r="T1061" s="1012"/>
      <c r="U1061" s="1010"/>
      <c r="V1061" s="1012"/>
      <c r="W1061" s="1010"/>
      <c r="X1061" s="1012"/>
      <c r="Y1061" s="1010"/>
      <c r="Z1061" s="262"/>
      <c r="AA1061" s="110"/>
      <c r="AB1061" s="110"/>
      <c r="AC1061" s="110"/>
      <c r="AD1061" s="110"/>
      <c r="AE1061" s="110"/>
      <c r="AF1061" s="110"/>
      <c r="AG1061" s="110"/>
      <c r="AH1061" s="110"/>
      <c r="AI1061" s="110"/>
      <c r="AJ1061" s="110"/>
      <c r="AK1061" s="110"/>
      <c r="AL1061" s="110"/>
      <c r="AM1061" s="110"/>
      <c r="AN1061" s="110"/>
      <c r="AO1061" s="110"/>
      <c r="AP1061" s="110"/>
      <c r="AQ1061" s="110"/>
      <c r="AR1061" s="110"/>
      <c r="AS1061" s="110"/>
      <c r="AT1061" s="110"/>
      <c r="AU1061" s="110"/>
    </row>
    <row r="1062" spans="1:47" ht="12.75" hidden="1">
      <c r="A1062" s="110"/>
      <c r="B1062" s="1009"/>
      <c r="C1062" s="1010"/>
      <c r="D1062" s="253"/>
      <c r="E1062" s="1011"/>
      <c r="F1062" s="262"/>
      <c r="G1062" s="1011"/>
      <c r="H1062" s="262"/>
      <c r="I1062" s="1011"/>
      <c r="J1062" s="262"/>
      <c r="K1062" s="1011"/>
      <c r="L1062" s="262"/>
      <c r="M1062" s="1011"/>
      <c r="N1062" s="262"/>
      <c r="O1062" s="1011"/>
      <c r="P1062" s="262"/>
      <c r="Q1062" s="1011"/>
      <c r="R1062" s="1012"/>
      <c r="S1062" s="1011"/>
      <c r="T1062" s="1012"/>
      <c r="U1062" s="1010"/>
      <c r="V1062" s="1012"/>
      <c r="W1062" s="1010"/>
      <c r="X1062" s="1012"/>
      <c r="Y1062" s="1010"/>
      <c r="Z1062" s="262"/>
      <c r="AA1062" s="110"/>
      <c r="AB1062" s="110"/>
      <c r="AC1062" s="110"/>
      <c r="AD1062" s="110"/>
      <c r="AE1062" s="110"/>
      <c r="AF1062" s="110"/>
      <c r="AG1062" s="110"/>
      <c r="AH1062" s="110"/>
      <c r="AI1062" s="110"/>
      <c r="AJ1062" s="110"/>
      <c r="AK1062" s="110"/>
      <c r="AL1062" s="110"/>
      <c r="AM1062" s="110"/>
      <c r="AN1062" s="110"/>
      <c r="AO1062" s="110"/>
      <c r="AP1062" s="110"/>
      <c r="AQ1062" s="110"/>
      <c r="AR1062" s="110"/>
      <c r="AS1062" s="110"/>
      <c r="AT1062" s="110"/>
      <c r="AU1062" s="110"/>
    </row>
    <row r="1063" spans="1:47" ht="12.75" hidden="1">
      <c r="A1063" s="110"/>
      <c r="B1063" s="1009"/>
      <c r="C1063" s="1010"/>
      <c r="D1063" s="253"/>
      <c r="E1063" s="1011"/>
      <c r="F1063" s="262"/>
      <c r="G1063" s="1011"/>
      <c r="H1063" s="262"/>
      <c r="I1063" s="1011"/>
      <c r="J1063" s="262"/>
      <c r="K1063" s="1011"/>
      <c r="L1063" s="262"/>
      <c r="M1063" s="1011"/>
      <c r="N1063" s="262"/>
      <c r="O1063" s="1011"/>
      <c r="P1063" s="262"/>
      <c r="Q1063" s="1011"/>
      <c r="R1063" s="1012"/>
      <c r="S1063" s="1011"/>
      <c r="T1063" s="1012"/>
      <c r="U1063" s="1010"/>
      <c r="V1063" s="1012"/>
      <c r="W1063" s="1010"/>
      <c r="X1063" s="1012"/>
      <c r="Y1063" s="1010"/>
      <c r="Z1063" s="262"/>
      <c r="AA1063" s="110"/>
      <c r="AB1063" s="110"/>
      <c r="AC1063" s="110"/>
      <c r="AD1063" s="110"/>
      <c r="AE1063" s="110"/>
      <c r="AF1063" s="110"/>
      <c r="AG1063" s="110"/>
      <c r="AH1063" s="110"/>
      <c r="AI1063" s="110"/>
      <c r="AJ1063" s="110"/>
      <c r="AK1063" s="110"/>
      <c r="AL1063" s="110"/>
      <c r="AM1063" s="110"/>
      <c r="AN1063" s="110"/>
      <c r="AO1063" s="110"/>
      <c r="AP1063" s="110"/>
      <c r="AQ1063" s="110"/>
      <c r="AR1063" s="110"/>
      <c r="AS1063" s="110"/>
      <c r="AT1063" s="110"/>
      <c r="AU1063" s="110"/>
    </row>
    <row r="1064" spans="1:47" ht="12.75" hidden="1">
      <c r="A1064" s="110"/>
      <c r="B1064" s="1009"/>
      <c r="C1064" s="1010"/>
      <c r="D1064" s="253"/>
      <c r="E1064" s="1011"/>
      <c r="F1064" s="262"/>
      <c r="G1064" s="1011"/>
      <c r="H1064" s="262"/>
      <c r="I1064" s="1011"/>
      <c r="J1064" s="262"/>
      <c r="K1064" s="1011"/>
      <c r="L1064" s="262"/>
      <c r="M1064" s="1011"/>
      <c r="N1064" s="262"/>
      <c r="O1064" s="1011"/>
      <c r="P1064" s="262"/>
      <c r="Q1064" s="1011"/>
      <c r="R1064" s="1012"/>
      <c r="S1064" s="1011"/>
      <c r="T1064" s="1012"/>
      <c r="U1064" s="1010"/>
      <c r="V1064" s="1012"/>
      <c r="W1064" s="1010"/>
      <c r="X1064" s="1012"/>
      <c r="Y1064" s="1010"/>
      <c r="Z1064" s="262"/>
      <c r="AA1064" s="110"/>
      <c r="AB1064" s="110"/>
      <c r="AC1064" s="110"/>
      <c r="AD1064" s="110"/>
      <c r="AE1064" s="110"/>
      <c r="AF1064" s="110"/>
      <c r="AG1064" s="110"/>
      <c r="AH1064" s="110"/>
      <c r="AI1064" s="110"/>
      <c r="AJ1064" s="110"/>
      <c r="AK1064" s="110"/>
      <c r="AL1064" s="110"/>
      <c r="AM1064" s="110"/>
      <c r="AN1064" s="110"/>
      <c r="AO1064" s="110"/>
      <c r="AP1064" s="110"/>
      <c r="AQ1064" s="110"/>
      <c r="AR1064" s="110"/>
      <c r="AS1064" s="110"/>
      <c r="AT1064" s="110"/>
      <c r="AU1064" s="110"/>
    </row>
    <row r="1065" spans="1:47" ht="12.75" hidden="1">
      <c r="A1065" s="110"/>
      <c r="B1065" s="1009"/>
      <c r="C1065" s="1010"/>
      <c r="D1065" s="253"/>
      <c r="E1065" s="1011"/>
      <c r="F1065" s="262"/>
      <c r="G1065" s="1011"/>
      <c r="H1065" s="262"/>
      <c r="I1065" s="1011"/>
      <c r="J1065" s="262"/>
      <c r="K1065" s="1011"/>
      <c r="L1065" s="262"/>
      <c r="M1065" s="1011"/>
      <c r="N1065" s="262"/>
      <c r="O1065" s="1011"/>
      <c r="P1065" s="262"/>
      <c r="Q1065" s="1011"/>
      <c r="R1065" s="1012"/>
      <c r="S1065" s="1011"/>
      <c r="T1065" s="1012"/>
      <c r="U1065" s="1010"/>
      <c r="V1065" s="1012"/>
      <c r="W1065" s="1010"/>
      <c r="X1065" s="1012"/>
      <c r="Y1065" s="1010"/>
      <c r="Z1065" s="262"/>
      <c r="AA1065" s="110"/>
      <c r="AB1065" s="110"/>
      <c r="AC1065" s="110"/>
      <c r="AD1065" s="110"/>
      <c r="AE1065" s="110"/>
      <c r="AF1065" s="110"/>
      <c r="AG1065" s="110"/>
      <c r="AH1065" s="110"/>
      <c r="AI1065" s="110"/>
      <c r="AJ1065" s="110"/>
      <c r="AK1065" s="110"/>
      <c r="AL1065" s="110"/>
      <c r="AM1065" s="110"/>
      <c r="AN1065" s="110"/>
      <c r="AO1065" s="110"/>
      <c r="AP1065" s="110"/>
      <c r="AQ1065" s="110"/>
      <c r="AR1065" s="110"/>
      <c r="AS1065" s="110"/>
      <c r="AT1065" s="110"/>
      <c r="AU1065" s="110"/>
    </row>
    <row r="1066" spans="1:47" ht="12.75" hidden="1">
      <c r="A1066" s="110"/>
      <c r="B1066" s="1009"/>
      <c r="C1066" s="1010"/>
      <c r="D1066" s="253"/>
      <c r="E1066" s="1011"/>
      <c r="F1066" s="262"/>
      <c r="G1066" s="1011"/>
      <c r="H1066" s="262"/>
      <c r="I1066" s="1011"/>
      <c r="J1066" s="262"/>
      <c r="K1066" s="1011"/>
      <c r="L1066" s="262"/>
      <c r="M1066" s="1011"/>
      <c r="N1066" s="262"/>
      <c r="O1066" s="1011"/>
      <c r="P1066" s="262"/>
      <c r="Q1066" s="1011"/>
      <c r="R1066" s="1012"/>
      <c r="S1066" s="1011"/>
      <c r="T1066" s="1012"/>
      <c r="U1066" s="1010"/>
      <c r="V1066" s="1012"/>
      <c r="W1066" s="1010"/>
      <c r="X1066" s="1012"/>
      <c r="Y1066" s="1010"/>
      <c r="Z1066" s="262"/>
      <c r="AA1066" s="110"/>
      <c r="AB1066" s="110"/>
      <c r="AC1066" s="110"/>
      <c r="AD1066" s="110"/>
      <c r="AE1066" s="110"/>
      <c r="AF1066" s="110"/>
      <c r="AG1066" s="110"/>
      <c r="AH1066" s="110"/>
      <c r="AI1066" s="110"/>
      <c r="AJ1066" s="110"/>
      <c r="AK1066" s="110"/>
      <c r="AL1066" s="110"/>
      <c r="AM1066" s="110"/>
      <c r="AN1066" s="110"/>
      <c r="AO1066" s="110"/>
      <c r="AP1066" s="110"/>
      <c r="AQ1066" s="110"/>
      <c r="AR1066" s="110"/>
      <c r="AS1066" s="110"/>
      <c r="AT1066" s="110"/>
      <c r="AU1066" s="110"/>
    </row>
    <row r="1067" spans="1:47" ht="12.75" hidden="1">
      <c r="A1067" s="110"/>
      <c r="B1067" s="1009"/>
      <c r="C1067" s="1010"/>
      <c r="D1067" s="253"/>
      <c r="E1067" s="1011"/>
      <c r="F1067" s="262"/>
      <c r="G1067" s="1011"/>
      <c r="H1067" s="262"/>
      <c r="I1067" s="1011"/>
      <c r="J1067" s="262"/>
      <c r="K1067" s="1011"/>
      <c r="L1067" s="262"/>
      <c r="M1067" s="1011"/>
      <c r="N1067" s="262"/>
      <c r="O1067" s="1011"/>
      <c r="P1067" s="262"/>
      <c r="Q1067" s="1011"/>
      <c r="R1067" s="1012"/>
      <c r="S1067" s="1011"/>
      <c r="T1067" s="1012"/>
      <c r="U1067" s="1010"/>
      <c r="V1067" s="1012"/>
      <c r="W1067" s="1010"/>
      <c r="X1067" s="1012"/>
      <c r="Y1067" s="1010"/>
      <c r="Z1067" s="262"/>
      <c r="AA1067" s="110"/>
      <c r="AB1067" s="110"/>
      <c r="AC1067" s="110"/>
      <c r="AD1067" s="110"/>
      <c r="AE1067" s="110"/>
      <c r="AF1067" s="110"/>
      <c r="AG1067" s="110"/>
      <c r="AH1067" s="110"/>
      <c r="AI1067" s="110"/>
      <c r="AJ1067" s="110"/>
      <c r="AK1067" s="110"/>
      <c r="AL1067" s="110"/>
      <c r="AM1067" s="110"/>
      <c r="AN1067" s="110"/>
      <c r="AO1067" s="110"/>
      <c r="AP1067" s="110"/>
      <c r="AQ1067" s="110"/>
      <c r="AR1067" s="110"/>
      <c r="AS1067" s="110"/>
      <c r="AT1067" s="110"/>
      <c r="AU1067" s="110"/>
    </row>
    <row r="1068" spans="1:47" ht="12.75" hidden="1">
      <c r="A1068" s="110"/>
      <c r="B1068" s="1009"/>
      <c r="C1068" s="1010"/>
      <c r="D1068" s="253"/>
      <c r="E1068" s="1011"/>
      <c r="F1068" s="262"/>
      <c r="G1068" s="1011"/>
      <c r="H1068" s="262"/>
      <c r="I1068" s="1011"/>
      <c r="J1068" s="262"/>
      <c r="K1068" s="1011"/>
      <c r="L1068" s="262"/>
      <c r="M1068" s="1011"/>
      <c r="N1068" s="262"/>
      <c r="O1068" s="1011"/>
      <c r="P1068" s="262"/>
      <c r="Q1068" s="1011"/>
      <c r="R1068" s="1012"/>
      <c r="S1068" s="1011"/>
      <c r="T1068" s="1012"/>
      <c r="U1068" s="1010"/>
      <c r="V1068" s="1012"/>
      <c r="W1068" s="1010"/>
      <c r="X1068" s="1012"/>
      <c r="Y1068" s="1010"/>
      <c r="Z1068" s="262"/>
      <c r="AA1068" s="110"/>
      <c r="AB1068" s="110"/>
      <c r="AC1068" s="110"/>
      <c r="AD1068" s="110"/>
      <c r="AE1068" s="110"/>
      <c r="AF1068" s="110"/>
      <c r="AG1068" s="110"/>
      <c r="AH1068" s="110"/>
      <c r="AI1068" s="110"/>
      <c r="AJ1068" s="110"/>
      <c r="AK1068" s="110"/>
      <c r="AL1068" s="110"/>
      <c r="AM1068" s="110"/>
      <c r="AN1068" s="110"/>
      <c r="AO1068" s="110"/>
      <c r="AP1068" s="110"/>
      <c r="AQ1068" s="110"/>
      <c r="AR1068" s="110"/>
      <c r="AS1068" s="110"/>
      <c r="AT1068" s="110"/>
      <c r="AU1068" s="110"/>
    </row>
    <row r="1069" spans="1:47" ht="12.75" hidden="1">
      <c r="A1069" s="110"/>
      <c r="B1069" s="1009"/>
      <c r="C1069" s="1010"/>
      <c r="D1069" s="253"/>
      <c r="E1069" s="1011"/>
      <c r="F1069" s="262"/>
      <c r="G1069" s="1011"/>
      <c r="H1069" s="262"/>
      <c r="I1069" s="1011"/>
      <c r="J1069" s="262"/>
      <c r="K1069" s="1011"/>
      <c r="L1069" s="262"/>
      <c r="M1069" s="1011"/>
      <c r="N1069" s="262"/>
      <c r="O1069" s="1011"/>
      <c r="P1069" s="262"/>
      <c r="Q1069" s="1011"/>
      <c r="R1069" s="1012"/>
      <c r="S1069" s="1011"/>
      <c r="T1069" s="1012"/>
      <c r="U1069" s="1010"/>
      <c r="V1069" s="1012"/>
      <c r="W1069" s="1010"/>
      <c r="X1069" s="1012"/>
      <c r="Y1069" s="1010"/>
      <c r="Z1069" s="262"/>
      <c r="AA1069" s="110"/>
      <c r="AB1069" s="110"/>
      <c r="AC1069" s="110"/>
      <c r="AD1069" s="110"/>
      <c r="AE1069" s="110"/>
      <c r="AF1069" s="110"/>
      <c r="AG1069" s="110"/>
      <c r="AH1069" s="110"/>
      <c r="AI1069" s="110"/>
      <c r="AJ1069" s="110"/>
      <c r="AK1069" s="110"/>
      <c r="AL1069" s="110"/>
      <c r="AM1069" s="110"/>
      <c r="AN1069" s="110"/>
      <c r="AO1069" s="110"/>
      <c r="AP1069" s="110"/>
      <c r="AQ1069" s="110"/>
      <c r="AR1069" s="110"/>
      <c r="AS1069" s="110"/>
      <c r="AT1069" s="110"/>
      <c r="AU1069" s="110"/>
    </row>
    <row r="1070" spans="1:47" ht="12.75" hidden="1">
      <c r="A1070" s="110"/>
      <c r="B1070" s="1009"/>
      <c r="C1070" s="1010"/>
      <c r="D1070" s="253"/>
      <c r="E1070" s="1011"/>
      <c r="F1070" s="262"/>
      <c r="G1070" s="1011"/>
      <c r="H1070" s="262"/>
      <c r="I1070" s="1011"/>
      <c r="J1070" s="262"/>
      <c r="K1070" s="1011"/>
      <c r="L1070" s="262"/>
      <c r="M1070" s="1011"/>
      <c r="N1070" s="262"/>
      <c r="O1070" s="1011"/>
      <c r="P1070" s="262"/>
      <c r="Q1070" s="1011"/>
      <c r="R1070" s="1012"/>
      <c r="S1070" s="1011"/>
      <c r="T1070" s="1012"/>
      <c r="U1070" s="1010"/>
      <c r="V1070" s="1012"/>
      <c r="W1070" s="1010"/>
      <c r="X1070" s="1012"/>
      <c r="Y1070" s="1010"/>
      <c r="Z1070" s="262"/>
      <c r="AA1070" s="110"/>
      <c r="AB1070" s="110"/>
      <c r="AC1070" s="110"/>
      <c r="AD1070" s="110"/>
      <c r="AE1070" s="110"/>
      <c r="AF1070" s="110"/>
      <c r="AG1070" s="110"/>
      <c r="AH1070" s="110"/>
      <c r="AI1070" s="110"/>
      <c r="AJ1070" s="110"/>
      <c r="AK1070" s="110"/>
      <c r="AL1070" s="110"/>
      <c r="AM1070" s="110"/>
      <c r="AN1070" s="110"/>
      <c r="AO1070" s="110"/>
      <c r="AP1070" s="110"/>
      <c r="AQ1070" s="110"/>
      <c r="AR1070" s="110"/>
      <c r="AS1070" s="110"/>
      <c r="AT1070" s="110"/>
      <c r="AU1070" s="110"/>
    </row>
    <row r="1071" spans="1:47" ht="12.75" hidden="1">
      <c r="A1071" s="110"/>
      <c r="B1071" s="1009"/>
      <c r="C1071" s="1010"/>
      <c r="D1071" s="253"/>
      <c r="E1071" s="1011"/>
      <c r="F1071" s="262"/>
      <c r="G1071" s="1011"/>
      <c r="H1071" s="262"/>
      <c r="I1071" s="1011"/>
      <c r="J1071" s="262"/>
      <c r="K1071" s="1011"/>
      <c r="L1071" s="262"/>
      <c r="M1071" s="1011"/>
      <c r="N1071" s="262"/>
      <c r="O1071" s="1011"/>
      <c r="P1071" s="262"/>
      <c r="Q1071" s="1011"/>
      <c r="R1071" s="1012"/>
      <c r="S1071" s="1011"/>
      <c r="T1071" s="1012"/>
      <c r="U1071" s="1010"/>
      <c r="V1071" s="1012"/>
      <c r="W1071" s="1010"/>
      <c r="X1071" s="1012"/>
      <c r="Y1071" s="1010"/>
      <c r="Z1071" s="262"/>
      <c r="AA1071" s="110"/>
      <c r="AB1071" s="110"/>
      <c r="AC1071" s="110"/>
      <c r="AD1071" s="110"/>
      <c r="AE1071" s="110"/>
      <c r="AF1071" s="110"/>
      <c r="AG1071" s="110"/>
      <c r="AH1071" s="110"/>
      <c r="AI1071" s="110"/>
      <c r="AJ1071" s="110"/>
      <c r="AK1071" s="110"/>
      <c r="AL1071" s="110"/>
      <c r="AM1071" s="110"/>
      <c r="AN1071" s="110"/>
      <c r="AO1071" s="110"/>
      <c r="AP1071" s="110"/>
      <c r="AQ1071" s="110"/>
      <c r="AR1071" s="110"/>
      <c r="AS1071" s="110"/>
      <c r="AT1071" s="110"/>
      <c r="AU1071" s="110"/>
    </row>
    <row r="1072" spans="1:47" ht="12.75" hidden="1">
      <c r="A1072" s="110"/>
      <c r="B1072" s="1009"/>
      <c r="C1072" s="1010"/>
      <c r="D1072" s="253"/>
      <c r="E1072" s="1011"/>
      <c r="F1072" s="262"/>
      <c r="G1072" s="1011"/>
      <c r="H1072" s="262"/>
      <c r="I1072" s="1011"/>
      <c r="J1072" s="262"/>
      <c r="K1072" s="1011"/>
      <c r="L1072" s="262"/>
      <c r="M1072" s="1011"/>
      <c r="N1072" s="262"/>
      <c r="O1072" s="1011"/>
      <c r="P1072" s="262"/>
      <c r="Q1072" s="1011"/>
      <c r="R1072" s="1012"/>
      <c r="S1072" s="1011"/>
      <c r="T1072" s="1012"/>
      <c r="U1072" s="1010"/>
      <c r="V1072" s="1012"/>
      <c r="W1072" s="1010"/>
      <c r="X1072" s="1012"/>
      <c r="Y1072" s="1010"/>
      <c r="Z1072" s="262"/>
      <c r="AA1072" s="110"/>
      <c r="AB1072" s="110"/>
      <c r="AC1072" s="110"/>
      <c r="AD1072" s="110"/>
      <c r="AE1072" s="110"/>
      <c r="AF1072" s="110"/>
      <c r="AG1072" s="110"/>
      <c r="AH1072" s="110"/>
      <c r="AI1072" s="110"/>
      <c r="AJ1072" s="110"/>
      <c r="AK1072" s="110"/>
      <c r="AL1072" s="110"/>
      <c r="AM1072" s="110"/>
      <c r="AN1072" s="110"/>
      <c r="AO1072" s="110"/>
      <c r="AP1072" s="110"/>
      <c r="AQ1072" s="110"/>
      <c r="AR1072" s="110"/>
      <c r="AS1072" s="110"/>
      <c r="AT1072" s="110"/>
      <c r="AU1072" s="110"/>
    </row>
    <row r="1073" spans="1:47" ht="12.75" hidden="1">
      <c r="A1073" s="110"/>
      <c r="B1073" s="1009"/>
      <c r="C1073" s="1010"/>
      <c r="D1073" s="253"/>
      <c r="E1073" s="1011"/>
      <c r="F1073" s="262"/>
      <c r="G1073" s="1011"/>
      <c r="H1073" s="262"/>
      <c r="I1073" s="1011"/>
      <c r="J1073" s="262"/>
      <c r="K1073" s="1011"/>
      <c r="L1073" s="262"/>
      <c r="M1073" s="1011"/>
      <c r="N1073" s="262"/>
      <c r="O1073" s="1011"/>
      <c r="P1073" s="262"/>
      <c r="Q1073" s="1011"/>
      <c r="R1073" s="1012"/>
      <c r="S1073" s="1011"/>
      <c r="T1073" s="1012"/>
      <c r="U1073" s="1010"/>
      <c r="V1073" s="1012"/>
      <c r="W1073" s="1010"/>
      <c r="X1073" s="1012"/>
      <c r="Y1073" s="1010"/>
      <c r="Z1073" s="262"/>
      <c r="AA1073" s="110"/>
      <c r="AB1073" s="110"/>
      <c r="AC1073" s="110"/>
      <c r="AD1073" s="110"/>
      <c r="AE1073" s="110"/>
      <c r="AF1073" s="110"/>
      <c r="AG1073" s="110"/>
      <c r="AH1073" s="110"/>
      <c r="AI1073" s="110"/>
      <c r="AJ1073" s="110"/>
      <c r="AK1073" s="110"/>
      <c r="AL1073" s="110"/>
      <c r="AM1073" s="110"/>
      <c r="AN1073" s="110"/>
      <c r="AO1073" s="110"/>
      <c r="AP1073" s="110"/>
      <c r="AQ1073" s="110"/>
      <c r="AR1073" s="110"/>
      <c r="AS1073" s="110"/>
      <c r="AT1073" s="110"/>
      <c r="AU1073" s="110"/>
    </row>
    <row r="1074" spans="1:47" ht="12.75" hidden="1">
      <c r="A1074" s="110"/>
      <c r="B1074" s="1009"/>
      <c r="C1074" s="1010"/>
      <c r="D1074" s="253"/>
      <c r="E1074" s="1011"/>
      <c r="F1074" s="262"/>
      <c r="G1074" s="1011"/>
      <c r="H1074" s="262"/>
      <c r="I1074" s="1011"/>
      <c r="J1074" s="262"/>
      <c r="K1074" s="1011"/>
      <c r="L1074" s="262"/>
      <c r="M1074" s="1011"/>
      <c r="N1074" s="262"/>
      <c r="O1074" s="1011"/>
      <c r="P1074" s="262"/>
      <c r="Q1074" s="1011"/>
      <c r="R1074" s="1012"/>
      <c r="S1074" s="1011"/>
      <c r="T1074" s="1012"/>
      <c r="U1074" s="1010"/>
      <c r="V1074" s="1012"/>
      <c r="W1074" s="1010"/>
      <c r="X1074" s="1012"/>
      <c r="Y1074" s="1010"/>
      <c r="Z1074" s="262"/>
      <c r="AA1074" s="110"/>
      <c r="AB1074" s="110"/>
      <c r="AC1074" s="110"/>
      <c r="AD1074" s="110"/>
      <c r="AE1074" s="110"/>
      <c r="AF1074" s="110"/>
      <c r="AG1074" s="110"/>
      <c r="AH1074" s="110"/>
      <c r="AI1074" s="110"/>
      <c r="AJ1074" s="110"/>
      <c r="AK1074" s="110"/>
      <c r="AL1074" s="110"/>
      <c r="AM1074" s="110"/>
      <c r="AN1074" s="110"/>
      <c r="AO1074" s="110"/>
      <c r="AP1074" s="110"/>
      <c r="AQ1074" s="110"/>
      <c r="AR1074" s="110"/>
      <c r="AS1074" s="110"/>
      <c r="AT1074" s="110"/>
      <c r="AU1074" s="110"/>
    </row>
    <row r="1075" spans="1:47" ht="12.75" hidden="1">
      <c r="A1075" s="110"/>
      <c r="B1075" s="1009"/>
      <c r="C1075" s="1010"/>
      <c r="D1075" s="253"/>
      <c r="E1075" s="1011"/>
      <c r="F1075" s="262"/>
      <c r="G1075" s="1011"/>
      <c r="H1075" s="262"/>
      <c r="I1075" s="1011"/>
      <c r="J1075" s="262"/>
      <c r="K1075" s="1011"/>
      <c r="L1075" s="262"/>
      <c r="M1075" s="1011"/>
      <c r="N1075" s="262"/>
      <c r="O1075" s="1011"/>
      <c r="P1075" s="262"/>
      <c r="Q1075" s="1011"/>
      <c r="R1075" s="1012"/>
      <c r="S1075" s="1011"/>
      <c r="T1075" s="1012"/>
      <c r="U1075" s="1010"/>
      <c r="V1075" s="1012"/>
      <c r="W1075" s="1010"/>
      <c r="X1075" s="1012"/>
      <c r="Y1075" s="1010"/>
      <c r="Z1075" s="262"/>
      <c r="AA1075" s="110"/>
      <c r="AB1075" s="110"/>
      <c r="AC1075" s="110"/>
      <c r="AD1075" s="110"/>
      <c r="AE1075" s="110"/>
      <c r="AF1075" s="110"/>
      <c r="AG1075" s="110"/>
      <c r="AH1075" s="110"/>
      <c r="AI1075" s="110"/>
      <c r="AJ1075" s="110"/>
      <c r="AK1075" s="110"/>
      <c r="AL1075" s="110"/>
      <c r="AM1075" s="110"/>
      <c r="AN1075" s="110"/>
      <c r="AO1075" s="110"/>
      <c r="AP1075" s="110"/>
      <c r="AQ1075" s="110"/>
      <c r="AR1075" s="110"/>
      <c r="AS1075" s="110"/>
      <c r="AT1075" s="110"/>
      <c r="AU1075" s="110"/>
    </row>
    <row r="1076" spans="1:47" ht="12.75" hidden="1">
      <c r="A1076" s="110"/>
      <c r="B1076" s="1009"/>
      <c r="C1076" s="1010"/>
      <c r="D1076" s="253"/>
      <c r="E1076" s="1011"/>
      <c r="F1076" s="262"/>
      <c r="G1076" s="1011"/>
      <c r="H1076" s="262"/>
      <c r="I1076" s="1011"/>
      <c r="J1076" s="262"/>
      <c r="K1076" s="1011"/>
      <c r="L1076" s="262"/>
      <c r="M1076" s="1011"/>
      <c r="N1076" s="262"/>
      <c r="O1076" s="1011"/>
      <c r="P1076" s="262"/>
      <c r="Q1076" s="1011"/>
      <c r="R1076" s="1012"/>
      <c r="S1076" s="1011"/>
      <c r="T1076" s="1012"/>
      <c r="U1076" s="1010"/>
      <c r="V1076" s="1012"/>
      <c r="W1076" s="1010"/>
      <c r="X1076" s="1012"/>
      <c r="Y1076" s="1010"/>
      <c r="Z1076" s="262"/>
      <c r="AA1076" s="110"/>
      <c r="AB1076" s="110"/>
      <c r="AC1076" s="110"/>
      <c r="AD1076" s="110"/>
      <c r="AE1076" s="110"/>
      <c r="AF1076" s="110"/>
      <c r="AG1076" s="110"/>
      <c r="AH1076" s="110"/>
      <c r="AI1076" s="110"/>
      <c r="AJ1076" s="110"/>
      <c r="AK1076" s="110"/>
      <c r="AL1076" s="110"/>
      <c r="AM1076" s="110"/>
      <c r="AN1076" s="110"/>
      <c r="AO1076" s="110"/>
      <c r="AP1076" s="110"/>
      <c r="AQ1076" s="110"/>
      <c r="AR1076" s="110"/>
      <c r="AS1076" s="110"/>
      <c r="AT1076" s="110"/>
      <c r="AU1076" s="110"/>
    </row>
    <row r="1077" spans="1:47" ht="12.75" hidden="1">
      <c r="A1077" s="110"/>
      <c r="B1077" s="1009"/>
      <c r="C1077" s="1010"/>
      <c r="D1077" s="253"/>
      <c r="E1077" s="1011"/>
      <c r="F1077" s="262"/>
      <c r="G1077" s="1011"/>
      <c r="H1077" s="262"/>
      <c r="I1077" s="1011"/>
      <c r="J1077" s="262"/>
      <c r="K1077" s="1011"/>
      <c r="L1077" s="262"/>
      <c r="M1077" s="1011"/>
      <c r="N1077" s="262"/>
      <c r="O1077" s="1011"/>
      <c r="P1077" s="262"/>
      <c r="Q1077" s="1011"/>
      <c r="R1077" s="1012"/>
      <c r="S1077" s="1011"/>
      <c r="T1077" s="1012"/>
      <c r="U1077" s="1010"/>
      <c r="V1077" s="1012"/>
      <c r="W1077" s="1010"/>
      <c r="X1077" s="1012"/>
      <c r="Y1077" s="1010"/>
      <c r="Z1077" s="262"/>
      <c r="AA1077" s="110"/>
      <c r="AB1077" s="110"/>
      <c r="AC1077" s="110"/>
      <c r="AD1077" s="110"/>
      <c r="AE1077" s="110"/>
      <c r="AF1077" s="110"/>
      <c r="AG1077" s="110"/>
      <c r="AH1077" s="110"/>
      <c r="AI1077" s="110"/>
      <c r="AJ1077" s="110"/>
      <c r="AK1077" s="110"/>
      <c r="AL1077" s="110"/>
      <c r="AM1077" s="110"/>
      <c r="AN1077" s="110"/>
      <c r="AO1077" s="110"/>
      <c r="AP1077" s="110"/>
      <c r="AQ1077" s="110"/>
      <c r="AR1077" s="110"/>
      <c r="AS1077" s="110"/>
      <c r="AT1077" s="110"/>
      <c r="AU1077" s="110"/>
    </row>
    <row r="1078" spans="1:47" ht="12.75" hidden="1">
      <c r="A1078" s="110"/>
      <c r="B1078" s="1009"/>
      <c r="C1078" s="1010"/>
      <c r="D1078" s="253"/>
      <c r="E1078" s="1011"/>
      <c r="F1078" s="262"/>
      <c r="G1078" s="1011"/>
      <c r="H1078" s="262"/>
      <c r="I1078" s="1011"/>
      <c r="J1078" s="262"/>
      <c r="K1078" s="1011"/>
      <c r="L1078" s="262"/>
      <c r="M1078" s="1011"/>
      <c r="N1078" s="262"/>
      <c r="O1078" s="1011"/>
      <c r="P1078" s="262"/>
      <c r="Q1078" s="1011"/>
      <c r="R1078" s="1012"/>
      <c r="S1078" s="1011"/>
      <c r="T1078" s="1012"/>
      <c r="U1078" s="1010"/>
      <c r="V1078" s="1012"/>
      <c r="W1078" s="1010"/>
      <c r="X1078" s="1012"/>
      <c r="Y1078" s="1010"/>
      <c r="Z1078" s="262"/>
      <c r="AA1078" s="110"/>
      <c r="AB1078" s="110"/>
      <c r="AC1078" s="110"/>
      <c r="AD1078" s="110"/>
      <c r="AE1078" s="110"/>
      <c r="AF1078" s="110"/>
      <c r="AG1078" s="110"/>
      <c r="AH1078" s="110"/>
      <c r="AI1078" s="110"/>
      <c r="AJ1078" s="110"/>
      <c r="AK1078" s="110"/>
      <c r="AL1078" s="110"/>
      <c r="AM1078" s="110"/>
      <c r="AN1078" s="110"/>
      <c r="AO1078" s="110"/>
      <c r="AP1078" s="110"/>
      <c r="AQ1078" s="110"/>
      <c r="AR1078" s="110"/>
      <c r="AS1078" s="110"/>
      <c r="AT1078" s="110"/>
      <c r="AU1078" s="110"/>
    </row>
    <row r="1079" spans="1:47" ht="12.75" hidden="1">
      <c r="A1079" s="110"/>
      <c r="B1079" s="1009"/>
      <c r="C1079" s="1010"/>
      <c r="D1079" s="253"/>
      <c r="E1079" s="1011"/>
      <c r="F1079" s="262"/>
      <c r="G1079" s="1011"/>
      <c r="H1079" s="262"/>
      <c r="I1079" s="1011"/>
      <c r="J1079" s="262"/>
      <c r="K1079" s="1011"/>
      <c r="L1079" s="262"/>
      <c r="M1079" s="1011"/>
      <c r="N1079" s="262"/>
      <c r="O1079" s="1011"/>
      <c r="P1079" s="262"/>
      <c r="Q1079" s="1011"/>
      <c r="R1079" s="1012"/>
      <c r="S1079" s="1011"/>
      <c r="T1079" s="1012"/>
      <c r="U1079" s="1010"/>
      <c r="V1079" s="1012"/>
      <c r="W1079" s="1010"/>
      <c r="X1079" s="1012"/>
      <c r="Y1079" s="1010"/>
      <c r="Z1079" s="262"/>
      <c r="AA1079" s="110"/>
      <c r="AB1079" s="110"/>
      <c r="AC1079" s="110"/>
      <c r="AD1079" s="110"/>
      <c r="AE1079" s="110"/>
      <c r="AF1079" s="110"/>
      <c r="AG1079" s="110"/>
      <c r="AH1079" s="110"/>
      <c r="AI1079" s="110"/>
      <c r="AJ1079" s="110"/>
      <c r="AK1079" s="110"/>
      <c r="AL1079" s="110"/>
      <c r="AM1079" s="110"/>
      <c r="AN1079" s="110"/>
      <c r="AO1079" s="110"/>
      <c r="AP1079" s="110"/>
      <c r="AQ1079" s="110"/>
      <c r="AR1079" s="110"/>
      <c r="AS1079" s="110"/>
      <c r="AT1079" s="110"/>
      <c r="AU1079" s="110"/>
    </row>
    <row r="1080" spans="1:47" ht="12.75" hidden="1">
      <c r="A1080" s="110"/>
      <c r="B1080" s="1009"/>
      <c r="C1080" s="1010"/>
      <c r="D1080" s="253"/>
      <c r="E1080" s="1011"/>
      <c r="F1080" s="262"/>
      <c r="G1080" s="1011"/>
      <c r="H1080" s="262"/>
      <c r="I1080" s="1011"/>
      <c r="J1080" s="262"/>
      <c r="K1080" s="1011"/>
      <c r="L1080" s="262"/>
      <c r="M1080" s="1011"/>
      <c r="N1080" s="262"/>
      <c r="O1080" s="1011"/>
      <c r="P1080" s="262"/>
      <c r="Q1080" s="1011"/>
      <c r="R1080" s="1012"/>
      <c r="S1080" s="1011"/>
      <c r="T1080" s="1012"/>
      <c r="U1080" s="1010"/>
      <c r="V1080" s="1012"/>
      <c r="W1080" s="1010"/>
      <c r="X1080" s="1012"/>
      <c r="Y1080" s="1010"/>
      <c r="Z1080" s="262"/>
      <c r="AA1080" s="110"/>
      <c r="AB1080" s="110"/>
      <c r="AC1080" s="110"/>
      <c r="AD1080" s="110"/>
      <c r="AE1080" s="110"/>
      <c r="AF1080" s="110"/>
      <c r="AG1080" s="110"/>
      <c r="AH1080" s="110"/>
      <c r="AI1080" s="110"/>
      <c r="AJ1080" s="110"/>
      <c r="AK1080" s="110"/>
      <c r="AL1080" s="110"/>
      <c r="AM1080" s="110"/>
      <c r="AN1080" s="110"/>
      <c r="AO1080" s="110"/>
      <c r="AP1080" s="110"/>
      <c r="AQ1080" s="110"/>
      <c r="AR1080" s="110"/>
      <c r="AS1080" s="110"/>
      <c r="AT1080" s="110"/>
      <c r="AU1080" s="110"/>
    </row>
    <row r="1081" spans="1:47" ht="12.75" hidden="1">
      <c r="A1081" s="110"/>
      <c r="B1081" s="1009"/>
      <c r="C1081" s="1010"/>
      <c r="D1081" s="253"/>
      <c r="E1081" s="1011"/>
      <c r="F1081" s="262"/>
      <c r="G1081" s="1011"/>
      <c r="H1081" s="262"/>
      <c r="I1081" s="1011"/>
      <c r="J1081" s="262"/>
      <c r="K1081" s="1011"/>
      <c r="L1081" s="262"/>
      <c r="M1081" s="1011"/>
      <c r="N1081" s="262"/>
      <c r="O1081" s="1011"/>
      <c r="P1081" s="262"/>
      <c r="Q1081" s="1011"/>
      <c r="R1081" s="1012"/>
      <c r="S1081" s="1011"/>
      <c r="T1081" s="1012"/>
      <c r="U1081" s="1010"/>
      <c r="V1081" s="1012"/>
      <c r="W1081" s="1010"/>
      <c r="X1081" s="1012"/>
      <c r="Y1081" s="1010"/>
      <c r="Z1081" s="262"/>
      <c r="AA1081" s="110"/>
      <c r="AB1081" s="110"/>
      <c r="AC1081" s="110"/>
      <c r="AD1081" s="110"/>
      <c r="AE1081" s="110"/>
      <c r="AF1081" s="110"/>
      <c r="AG1081" s="110"/>
      <c r="AH1081" s="110"/>
      <c r="AI1081" s="110"/>
      <c r="AJ1081" s="110"/>
      <c r="AK1081" s="110"/>
      <c r="AL1081" s="110"/>
      <c r="AM1081" s="110"/>
      <c r="AN1081" s="110"/>
      <c r="AO1081" s="110"/>
      <c r="AP1081" s="110"/>
      <c r="AQ1081" s="110"/>
      <c r="AR1081" s="110"/>
      <c r="AS1081" s="110"/>
      <c r="AT1081" s="110"/>
      <c r="AU1081" s="110"/>
    </row>
    <row r="1082" spans="1:47" ht="12.75" hidden="1">
      <c r="A1082" s="110"/>
      <c r="B1082" s="1009"/>
      <c r="C1082" s="1010"/>
      <c r="D1082" s="253"/>
      <c r="E1082" s="1011"/>
      <c r="F1082" s="262"/>
      <c r="G1082" s="1011"/>
      <c r="H1082" s="262"/>
      <c r="I1082" s="1011"/>
      <c r="J1082" s="262"/>
      <c r="K1082" s="1011"/>
      <c r="L1082" s="262"/>
      <c r="M1082" s="1011"/>
      <c r="N1082" s="262"/>
      <c r="O1082" s="1011"/>
      <c r="P1082" s="262"/>
      <c r="Q1082" s="1011"/>
      <c r="R1082" s="1012"/>
      <c r="S1082" s="1011"/>
      <c r="T1082" s="1012"/>
      <c r="U1082" s="1010"/>
      <c r="V1082" s="1012"/>
      <c r="W1082" s="1010"/>
      <c r="X1082" s="1012"/>
      <c r="Y1082" s="1010"/>
      <c r="Z1082" s="262"/>
      <c r="AA1082" s="110"/>
      <c r="AB1082" s="110"/>
      <c r="AC1082" s="110"/>
      <c r="AD1082" s="110"/>
      <c r="AE1082" s="110"/>
      <c r="AF1082" s="110"/>
      <c r="AG1082" s="110"/>
      <c r="AH1082" s="110"/>
      <c r="AI1082" s="110"/>
      <c r="AJ1082" s="110"/>
      <c r="AK1082" s="110"/>
      <c r="AL1082" s="110"/>
      <c r="AM1082" s="110"/>
      <c r="AN1082" s="110"/>
      <c r="AO1082" s="110"/>
      <c r="AP1082" s="110"/>
      <c r="AQ1082" s="110"/>
      <c r="AR1082" s="110"/>
      <c r="AS1082" s="110"/>
      <c r="AT1082" s="110"/>
      <c r="AU1082" s="110"/>
    </row>
    <row r="1083" spans="1:47" ht="12.75" hidden="1">
      <c r="A1083" s="110"/>
      <c r="B1083" s="1009"/>
      <c r="C1083" s="1010"/>
      <c r="D1083" s="253"/>
      <c r="E1083" s="1011"/>
      <c r="F1083" s="262"/>
      <c r="G1083" s="1011"/>
      <c r="H1083" s="262"/>
      <c r="I1083" s="1011"/>
      <c r="J1083" s="262"/>
      <c r="K1083" s="1011"/>
      <c r="L1083" s="262"/>
      <c r="M1083" s="1011"/>
      <c r="N1083" s="262"/>
      <c r="O1083" s="1011"/>
      <c r="P1083" s="262"/>
      <c r="Q1083" s="1011"/>
      <c r="R1083" s="1012"/>
      <c r="S1083" s="1011"/>
      <c r="T1083" s="1012"/>
      <c r="U1083" s="1010"/>
      <c r="V1083" s="1012"/>
      <c r="W1083" s="1010"/>
      <c r="X1083" s="1012"/>
      <c r="Y1083" s="1010"/>
      <c r="Z1083" s="262"/>
      <c r="AA1083" s="110"/>
      <c r="AB1083" s="110"/>
      <c r="AC1083" s="110"/>
      <c r="AD1083" s="110"/>
      <c r="AE1083" s="110"/>
      <c r="AF1083" s="110"/>
      <c r="AG1083" s="110"/>
      <c r="AH1083" s="110"/>
      <c r="AI1083" s="110"/>
      <c r="AJ1083" s="110"/>
      <c r="AK1083" s="110"/>
      <c r="AL1083" s="110"/>
      <c r="AM1083" s="110"/>
      <c r="AN1083" s="110"/>
      <c r="AO1083" s="110"/>
      <c r="AP1083" s="110"/>
      <c r="AQ1083" s="110"/>
      <c r="AR1083" s="110"/>
      <c r="AS1083" s="110"/>
      <c r="AT1083" s="110"/>
      <c r="AU1083" s="110"/>
    </row>
    <row r="1084" spans="1:47" ht="12.75" hidden="1">
      <c r="A1084" s="110"/>
      <c r="B1084" s="1009"/>
      <c r="C1084" s="1010"/>
      <c r="D1084" s="253"/>
      <c r="E1084" s="1011"/>
      <c r="F1084" s="262"/>
      <c r="G1084" s="1011"/>
      <c r="H1084" s="262"/>
      <c r="I1084" s="1011"/>
      <c r="J1084" s="262"/>
      <c r="K1084" s="1011"/>
      <c r="L1084" s="262"/>
      <c r="M1084" s="1011"/>
      <c r="N1084" s="262"/>
      <c r="O1084" s="1011"/>
      <c r="P1084" s="262"/>
      <c r="Q1084" s="1011"/>
      <c r="R1084" s="1012"/>
      <c r="S1084" s="1011"/>
      <c r="T1084" s="1012"/>
      <c r="U1084" s="1010"/>
      <c r="V1084" s="1012"/>
      <c r="W1084" s="1010"/>
      <c r="X1084" s="1012"/>
      <c r="Y1084" s="1010"/>
      <c r="Z1084" s="262"/>
      <c r="AA1084" s="110"/>
      <c r="AB1084" s="110"/>
      <c r="AC1084" s="110"/>
      <c r="AD1084" s="110"/>
      <c r="AE1084" s="110"/>
      <c r="AF1084" s="110"/>
      <c r="AG1084" s="110"/>
      <c r="AH1084" s="110"/>
      <c r="AI1084" s="110"/>
      <c r="AJ1084" s="110"/>
      <c r="AK1084" s="110"/>
      <c r="AL1084" s="110"/>
      <c r="AM1084" s="110"/>
      <c r="AN1084" s="110"/>
      <c r="AO1084" s="110"/>
      <c r="AP1084" s="110"/>
      <c r="AQ1084" s="110"/>
      <c r="AR1084" s="110"/>
      <c r="AS1084" s="110"/>
      <c r="AT1084" s="110"/>
      <c r="AU1084" s="110"/>
    </row>
    <row r="1085" spans="1:47" ht="12.75" hidden="1">
      <c r="A1085" s="110"/>
      <c r="B1085" s="1009"/>
      <c r="C1085" s="1010"/>
      <c r="D1085" s="253"/>
      <c r="E1085" s="1011"/>
      <c r="F1085" s="262"/>
      <c r="G1085" s="1011"/>
      <c r="H1085" s="262"/>
      <c r="I1085" s="1011"/>
      <c r="J1085" s="262"/>
      <c r="K1085" s="1011"/>
      <c r="L1085" s="262"/>
      <c r="M1085" s="1011"/>
      <c r="N1085" s="262"/>
      <c r="O1085" s="1011"/>
      <c r="P1085" s="262"/>
      <c r="Q1085" s="1011"/>
      <c r="R1085" s="1012"/>
      <c r="S1085" s="1011"/>
      <c r="T1085" s="1012"/>
      <c r="U1085" s="1010"/>
      <c r="V1085" s="1012"/>
      <c r="W1085" s="1010"/>
      <c r="X1085" s="1012"/>
      <c r="Y1085" s="1010"/>
      <c r="Z1085" s="262"/>
      <c r="AA1085" s="110"/>
      <c r="AB1085" s="110"/>
      <c r="AC1085" s="110"/>
      <c r="AD1085" s="110"/>
      <c r="AE1085" s="110"/>
      <c r="AF1085" s="110"/>
      <c r="AG1085" s="110"/>
      <c r="AH1085" s="110"/>
      <c r="AI1085" s="110"/>
      <c r="AJ1085" s="110"/>
      <c r="AK1085" s="110"/>
      <c r="AL1085" s="110"/>
      <c r="AM1085" s="110"/>
      <c r="AN1085" s="110"/>
      <c r="AO1085" s="110"/>
      <c r="AP1085" s="110"/>
      <c r="AQ1085" s="110"/>
      <c r="AR1085" s="110"/>
      <c r="AS1085" s="110"/>
      <c r="AT1085" s="110"/>
      <c r="AU1085" s="110"/>
    </row>
    <row r="1086" spans="1:47" ht="12.75" hidden="1">
      <c r="A1086" s="110"/>
      <c r="B1086" s="1009"/>
      <c r="C1086" s="1010"/>
      <c r="D1086" s="253"/>
      <c r="E1086" s="1011"/>
      <c r="F1086" s="262"/>
      <c r="G1086" s="1011"/>
      <c r="H1086" s="262"/>
      <c r="I1086" s="1011"/>
      <c r="J1086" s="262"/>
      <c r="K1086" s="1011"/>
      <c r="L1086" s="262"/>
      <c r="M1086" s="1011"/>
      <c r="N1086" s="262"/>
      <c r="O1086" s="1011"/>
      <c r="P1086" s="262"/>
      <c r="Q1086" s="1011"/>
      <c r="R1086" s="1012"/>
      <c r="S1086" s="1011"/>
      <c r="T1086" s="1012"/>
      <c r="U1086" s="1010"/>
      <c r="V1086" s="1012"/>
      <c r="W1086" s="1010"/>
      <c r="X1086" s="1012"/>
      <c r="Y1086" s="1010"/>
      <c r="Z1086" s="262"/>
      <c r="AA1086" s="110"/>
      <c r="AB1086" s="110"/>
      <c r="AC1086" s="110"/>
      <c r="AD1086" s="110"/>
      <c r="AE1086" s="110"/>
      <c r="AF1086" s="110"/>
      <c r="AG1086" s="110"/>
      <c r="AH1086" s="110"/>
      <c r="AI1086" s="110"/>
      <c r="AJ1086" s="110"/>
      <c r="AK1086" s="110"/>
      <c r="AL1086" s="110"/>
      <c r="AM1086" s="110"/>
      <c r="AN1086" s="110"/>
      <c r="AO1086" s="110"/>
      <c r="AP1086" s="110"/>
      <c r="AQ1086" s="110"/>
      <c r="AR1086" s="110"/>
      <c r="AS1086" s="110"/>
      <c r="AT1086" s="110"/>
      <c r="AU1086" s="110"/>
    </row>
    <row r="1087" spans="1:47" ht="12.75" hidden="1">
      <c r="A1087" s="110"/>
      <c r="B1087" s="1009"/>
      <c r="C1087" s="1010"/>
      <c r="D1087" s="253"/>
      <c r="E1087" s="1011"/>
      <c r="F1087" s="262"/>
      <c r="G1087" s="1011"/>
      <c r="H1087" s="262"/>
      <c r="I1087" s="1011"/>
      <c r="J1087" s="262"/>
      <c r="K1087" s="1011"/>
      <c r="L1087" s="262"/>
      <c r="M1087" s="1011"/>
      <c r="N1087" s="262"/>
      <c r="O1087" s="1011"/>
      <c r="P1087" s="262"/>
      <c r="Q1087" s="1011"/>
      <c r="R1087" s="1012"/>
      <c r="S1087" s="1011"/>
      <c r="T1087" s="1012"/>
      <c r="U1087" s="1010"/>
      <c r="V1087" s="1012"/>
      <c r="W1087" s="1010"/>
      <c r="X1087" s="1012"/>
      <c r="Y1087" s="1010"/>
      <c r="Z1087" s="262"/>
      <c r="AA1087" s="110"/>
      <c r="AB1087" s="110"/>
      <c r="AC1087" s="110"/>
      <c r="AD1087" s="110"/>
      <c r="AE1087" s="110"/>
      <c r="AF1087" s="110"/>
      <c r="AG1087" s="110"/>
      <c r="AH1087" s="110"/>
      <c r="AI1087" s="110"/>
      <c r="AJ1087" s="110"/>
      <c r="AK1087" s="110"/>
      <c r="AL1087" s="110"/>
      <c r="AM1087" s="110"/>
      <c r="AN1087" s="110"/>
      <c r="AO1087" s="110"/>
      <c r="AP1087" s="110"/>
      <c r="AQ1087" s="110"/>
      <c r="AR1087" s="110"/>
      <c r="AS1087" s="110"/>
      <c r="AT1087" s="110"/>
      <c r="AU1087" s="110"/>
    </row>
    <row r="1088" spans="1:47" ht="12.75" hidden="1">
      <c r="A1088" s="110"/>
      <c r="B1088" s="1009"/>
      <c r="C1088" s="1010"/>
      <c r="D1088" s="253"/>
      <c r="E1088" s="1011"/>
      <c r="F1088" s="262"/>
      <c r="G1088" s="1011"/>
      <c r="H1088" s="262"/>
      <c r="I1088" s="1011"/>
      <c r="J1088" s="262"/>
      <c r="K1088" s="1011"/>
      <c r="L1088" s="262"/>
      <c r="M1088" s="1011"/>
      <c r="N1088" s="262"/>
      <c r="O1088" s="1011"/>
      <c r="P1088" s="262"/>
      <c r="Q1088" s="1011"/>
      <c r="R1088" s="1012"/>
      <c r="S1088" s="1011"/>
      <c r="T1088" s="1012"/>
      <c r="U1088" s="1010"/>
      <c r="V1088" s="1012"/>
      <c r="W1088" s="1010"/>
      <c r="X1088" s="1012"/>
      <c r="Y1088" s="1010"/>
      <c r="Z1088" s="262"/>
      <c r="AA1088" s="110"/>
      <c r="AB1088" s="110"/>
      <c r="AC1088" s="110"/>
      <c r="AD1088" s="110"/>
      <c r="AE1088" s="110"/>
      <c r="AF1088" s="110"/>
      <c r="AG1088" s="110"/>
      <c r="AH1088" s="110"/>
      <c r="AI1088" s="110"/>
      <c r="AJ1088" s="110"/>
      <c r="AK1088" s="110"/>
      <c r="AL1088" s="110"/>
      <c r="AM1088" s="110"/>
      <c r="AN1088" s="110"/>
      <c r="AO1088" s="110"/>
      <c r="AP1088" s="110"/>
      <c r="AQ1088" s="110"/>
      <c r="AR1088" s="110"/>
      <c r="AS1088" s="110"/>
      <c r="AT1088" s="110"/>
      <c r="AU1088" s="110"/>
    </row>
    <row r="1089" spans="1:47" ht="12.75" hidden="1">
      <c r="A1089" s="110"/>
      <c r="B1089" s="1009"/>
      <c r="C1089" s="1010"/>
      <c r="D1089" s="253"/>
      <c r="E1089" s="1011"/>
      <c r="F1089" s="262"/>
      <c r="G1089" s="1011"/>
      <c r="H1089" s="262"/>
      <c r="I1089" s="1011"/>
      <c r="J1089" s="262"/>
      <c r="K1089" s="1011"/>
      <c r="L1089" s="262"/>
      <c r="M1089" s="1011"/>
      <c r="N1089" s="262"/>
      <c r="O1089" s="1011"/>
      <c r="P1089" s="262"/>
      <c r="Q1089" s="1011"/>
      <c r="R1089" s="1012"/>
      <c r="S1089" s="1011"/>
      <c r="T1089" s="1012"/>
      <c r="U1089" s="1010"/>
      <c r="V1089" s="1012"/>
      <c r="W1089" s="1010"/>
      <c r="X1089" s="1012"/>
      <c r="Y1089" s="1010"/>
      <c r="Z1089" s="262"/>
      <c r="AA1089" s="110"/>
      <c r="AB1089" s="110"/>
      <c r="AC1089" s="110"/>
      <c r="AD1089" s="110"/>
      <c r="AE1089" s="110"/>
      <c r="AF1089" s="110"/>
      <c r="AG1089" s="110"/>
      <c r="AH1089" s="110"/>
      <c r="AI1089" s="110"/>
      <c r="AJ1089" s="110"/>
      <c r="AK1089" s="110"/>
      <c r="AL1089" s="110"/>
      <c r="AM1089" s="110"/>
      <c r="AN1089" s="110"/>
      <c r="AO1089" s="110"/>
      <c r="AP1089" s="110"/>
      <c r="AQ1089" s="110"/>
      <c r="AR1089" s="110"/>
      <c r="AS1089" s="110"/>
      <c r="AT1089" s="110"/>
      <c r="AU1089" s="110"/>
    </row>
    <row r="1090" spans="1:47" ht="12.75" hidden="1">
      <c r="A1090" s="110"/>
      <c r="B1090" s="1009"/>
      <c r="C1090" s="1010"/>
      <c r="D1090" s="253"/>
      <c r="E1090" s="1011"/>
      <c r="F1090" s="262"/>
      <c r="G1090" s="1011"/>
      <c r="H1090" s="262"/>
      <c r="I1090" s="1011"/>
      <c r="J1090" s="262"/>
      <c r="K1090" s="1011"/>
      <c r="L1090" s="262"/>
      <c r="M1090" s="1011"/>
      <c r="N1090" s="262"/>
      <c r="O1090" s="1011"/>
      <c r="P1090" s="262"/>
      <c r="Q1090" s="1011"/>
      <c r="R1090" s="1012"/>
      <c r="S1090" s="1011"/>
      <c r="T1090" s="1012"/>
      <c r="U1090" s="1010"/>
      <c r="V1090" s="1012"/>
      <c r="W1090" s="1010"/>
      <c r="X1090" s="1012"/>
      <c r="Y1090" s="1010"/>
      <c r="Z1090" s="262"/>
      <c r="AA1090" s="110"/>
      <c r="AB1090" s="110"/>
      <c r="AC1090" s="110"/>
      <c r="AD1090" s="110"/>
      <c r="AE1090" s="110"/>
      <c r="AF1090" s="110"/>
      <c r="AG1090" s="110"/>
      <c r="AH1090" s="110"/>
      <c r="AI1090" s="110"/>
      <c r="AJ1090" s="110"/>
      <c r="AK1090" s="110"/>
      <c r="AL1090" s="110"/>
      <c r="AM1090" s="110"/>
      <c r="AN1090" s="110"/>
      <c r="AO1090" s="110"/>
      <c r="AP1090" s="110"/>
      <c r="AQ1090" s="110"/>
      <c r="AR1090" s="110"/>
      <c r="AS1090" s="110"/>
      <c r="AT1090" s="110"/>
      <c r="AU1090" s="110"/>
    </row>
    <row r="1091" spans="1:47" ht="12.75" hidden="1">
      <c r="A1091" s="110"/>
      <c r="B1091" s="1009"/>
      <c r="C1091" s="1010"/>
      <c r="D1091" s="253"/>
      <c r="E1091" s="1011"/>
      <c r="F1091" s="262"/>
      <c r="G1091" s="1011"/>
      <c r="H1091" s="262"/>
      <c r="I1091" s="1011"/>
      <c r="J1091" s="262"/>
      <c r="K1091" s="1011"/>
      <c r="L1091" s="262"/>
      <c r="M1091" s="1011"/>
      <c r="N1091" s="262"/>
      <c r="O1091" s="1011"/>
      <c r="P1091" s="262"/>
      <c r="Q1091" s="1011"/>
      <c r="R1091" s="1012"/>
      <c r="S1091" s="1011"/>
      <c r="T1091" s="1012"/>
      <c r="U1091" s="1010"/>
      <c r="V1091" s="1012"/>
      <c r="W1091" s="1010"/>
      <c r="X1091" s="1012"/>
      <c r="Y1091" s="1010"/>
      <c r="Z1091" s="262"/>
      <c r="AA1091" s="110"/>
      <c r="AB1091" s="110"/>
      <c r="AC1091" s="110"/>
      <c r="AD1091" s="110"/>
      <c r="AE1091" s="110"/>
      <c r="AF1091" s="110"/>
      <c r="AG1091" s="110"/>
      <c r="AH1091" s="110"/>
      <c r="AI1091" s="110"/>
      <c r="AJ1091" s="110"/>
      <c r="AK1091" s="110"/>
      <c r="AL1091" s="110"/>
      <c r="AM1091" s="110"/>
      <c r="AN1091" s="110"/>
      <c r="AO1091" s="110"/>
      <c r="AP1091" s="110"/>
      <c r="AQ1091" s="110"/>
      <c r="AR1091" s="110"/>
      <c r="AS1091" s="110"/>
      <c r="AT1091" s="110"/>
      <c r="AU1091" s="110"/>
    </row>
    <row r="1092" spans="1:47" ht="12.75" hidden="1">
      <c r="A1092" s="110"/>
      <c r="B1092" s="1009"/>
      <c r="C1092" s="1010"/>
      <c r="D1092" s="253"/>
      <c r="E1092" s="1011"/>
      <c r="F1092" s="262"/>
      <c r="G1092" s="1011"/>
      <c r="H1092" s="262"/>
      <c r="I1092" s="1011"/>
      <c r="J1092" s="262"/>
      <c r="K1092" s="1011"/>
      <c r="L1092" s="262"/>
      <c r="M1092" s="1011"/>
      <c r="N1092" s="262"/>
      <c r="O1092" s="1011"/>
      <c r="P1092" s="262"/>
      <c r="Q1092" s="1011"/>
      <c r="R1092" s="1012"/>
      <c r="S1092" s="1011"/>
      <c r="T1092" s="1012"/>
      <c r="U1092" s="1010"/>
      <c r="V1092" s="1012"/>
      <c r="W1092" s="1010"/>
      <c r="X1092" s="1012"/>
      <c r="Y1092" s="1010"/>
      <c r="Z1092" s="262"/>
      <c r="AA1092" s="110"/>
      <c r="AB1092" s="110"/>
      <c r="AC1092" s="110"/>
      <c r="AD1092" s="110"/>
      <c r="AE1092" s="110"/>
      <c r="AF1092" s="110"/>
      <c r="AG1092" s="110"/>
      <c r="AH1092" s="110"/>
      <c r="AI1092" s="110"/>
      <c r="AJ1092" s="110"/>
      <c r="AK1092" s="110"/>
      <c r="AL1092" s="110"/>
      <c r="AM1092" s="110"/>
      <c r="AN1092" s="110"/>
      <c r="AO1092" s="110"/>
      <c r="AP1092" s="110"/>
      <c r="AQ1092" s="110"/>
      <c r="AR1092" s="110"/>
      <c r="AS1092" s="110"/>
      <c r="AT1092" s="110"/>
      <c r="AU1092" s="110"/>
    </row>
    <row r="1093" spans="1:47" ht="12.75" hidden="1">
      <c r="A1093" s="110"/>
      <c r="B1093" s="1009"/>
      <c r="C1093" s="1010"/>
      <c r="D1093" s="253"/>
      <c r="E1093" s="1011"/>
      <c r="F1093" s="262"/>
      <c r="G1093" s="1011"/>
      <c r="H1093" s="262"/>
      <c r="I1093" s="1011"/>
      <c r="J1093" s="262"/>
      <c r="K1093" s="1011"/>
      <c r="L1093" s="262"/>
      <c r="M1093" s="1011"/>
      <c r="N1093" s="262"/>
      <c r="O1093" s="1011"/>
      <c r="P1093" s="262"/>
      <c r="Q1093" s="1011"/>
      <c r="R1093" s="1012"/>
      <c r="S1093" s="1011"/>
      <c r="T1093" s="1012"/>
      <c r="U1093" s="1010"/>
      <c r="V1093" s="1012"/>
      <c r="W1093" s="1010"/>
      <c r="X1093" s="1012"/>
      <c r="Y1093" s="1010"/>
      <c r="Z1093" s="262"/>
      <c r="AA1093" s="110"/>
      <c r="AB1093" s="110"/>
      <c r="AC1093" s="110"/>
      <c r="AD1093" s="110"/>
      <c r="AE1093" s="110"/>
      <c r="AF1093" s="110"/>
      <c r="AG1093" s="110"/>
      <c r="AH1093" s="110"/>
      <c r="AI1093" s="110"/>
      <c r="AJ1093" s="110"/>
      <c r="AK1093" s="110"/>
      <c r="AL1093" s="110"/>
      <c r="AM1093" s="110"/>
      <c r="AN1093" s="110"/>
      <c r="AO1093" s="110"/>
      <c r="AP1093" s="110"/>
      <c r="AQ1093" s="110"/>
      <c r="AR1093" s="110"/>
      <c r="AS1093" s="110"/>
      <c r="AT1093" s="110"/>
      <c r="AU1093" s="110"/>
    </row>
    <row r="1094" spans="1:47" ht="12.75" hidden="1">
      <c r="A1094" s="110"/>
      <c r="B1094" s="1009"/>
      <c r="C1094" s="1010"/>
      <c r="D1094" s="253"/>
      <c r="E1094" s="1011"/>
      <c r="F1094" s="262"/>
      <c r="G1094" s="1011"/>
      <c r="H1094" s="262"/>
      <c r="I1094" s="1011"/>
      <c r="J1094" s="262"/>
      <c r="K1094" s="1011"/>
      <c r="L1094" s="262"/>
      <c r="M1094" s="1011"/>
      <c r="N1094" s="262"/>
      <c r="O1094" s="1011"/>
      <c r="P1094" s="262"/>
      <c r="Q1094" s="1011"/>
      <c r="R1094" s="1012"/>
      <c r="S1094" s="1011"/>
      <c r="T1094" s="1012"/>
      <c r="U1094" s="1010"/>
      <c r="V1094" s="1012"/>
      <c r="W1094" s="1010"/>
      <c r="X1094" s="1012"/>
      <c r="Y1094" s="1010"/>
      <c r="Z1094" s="262"/>
      <c r="AA1094" s="110"/>
      <c r="AB1094" s="110"/>
      <c r="AC1094" s="110"/>
      <c r="AD1094" s="110"/>
      <c r="AE1094" s="110"/>
      <c r="AF1094" s="110"/>
      <c r="AG1094" s="110"/>
      <c r="AH1094" s="110"/>
      <c r="AI1094" s="110"/>
      <c r="AJ1094" s="110"/>
      <c r="AK1094" s="110"/>
      <c r="AL1094" s="110"/>
      <c r="AM1094" s="110"/>
      <c r="AN1094" s="110"/>
      <c r="AO1094" s="110"/>
      <c r="AP1094" s="110"/>
      <c r="AQ1094" s="110"/>
      <c r="AR1094" s="110"/>
      <c r="AS1094" s="110"/>
      <c r="AT1094" s="110"/>
      <c r="AU1094" s="110"/>
    </row>
    <row r="1095" spans="1:47" ht="12.75" hidden="1">
      <c r="A1095" s="110"/>
      <c r="B1095" s="1009"/>
      <c r="C1095" s="1010"/>
      <c r="D1095" s="253"/>
      <c r="E1095" s="1011"/>
      <c r="F1095" s="262"/>
      <c r="G1095" s="1011"/>
      <c r="H1095" s="262"/>
      <c r="I1095" s="1011"/>
      <c r="J1095" s="262"/>
      <c r="K1095" s="1011"/>
      <c r="L1095" s="262"/>
      <c r="M1095" s="1011"/>
      <c r="N1095" s="262"/>
      <c r="O1095" s="1011"/>
      <c r="P1095" s="262"/>
      <c r="Q1095" s="1011"/>
      <c r="R1095" s="1012"/>
      <c r="S1095" s="1011"/>
      <c r="T1095" s="1012"/>
      <c r="U1095" s="1010"/>
      <c r="V1095" s="1012"/>
      <c r="W1095" s="1010"/>
      <c r="X1095" s="1012"/>
      <c r="Y1095" s="1010"/>
      <c r="Z1095" s="262"/>
      <c r="AA1095" s="110"/>
      <c r="AB1095" s="110"/>
      <c r="AC1095" s="110"/>
      <c r="AD1095" s="110"/>
      <c r="AE1095" s="110"/>
      <c r="AF1095" s="110"/>
      <c r="AG1095" s="110"/>
      <c r="AH1095" s="110"/>
      <c r="AI1095" s="110"/>
      <c r="AJ1095" s="110"/>
      <c r="AK1095" s="110"/>
      <c r="AL1095" s="110"/>
      <c r="AM1095" s="110"/>
      <c r="AN1095" s="110"/>
      <c r="AO1095" s="110"/>
      <c r="AP1095" s="110"/>
      <c r="AQ1095" s="110"/>
      <c r="AR1095" s="110"/>
      <c r="AS1095" s="110"/>
      <c r="AT1095" s="110"/>
      <c r="AU1095" s="110"/>
    </row>
    <row r="1096" spans="1:47" ht="12.75" hidden="1">
      <c r="A1096" s="110"/>
      <c r="B1096" s="1009"/>
      <c r="C1096" s="1010"/>
      <c r="D1096" s="253"/>
      <c r="E1096" s="1011"/>
      <c r="F1096" s="262"/>
      <c r="G1096" s="1011"/>
      <c r="H1096" s="262"/>
      <c r="I1096" s="1011"/>
      <c r="J1096" s="262"/>
      <c r="K1096" s="1011"/>
      <c r="L1096" s="262"/>
      <c r="M1096" s="1011"/>
      <c r="N1096" s="262"/>
      <c r="O1096" s="1011"/>
      <c r="P1096" s="262"/>
      <c r="Q1096" s="1011"/>
      <c r="R1096" s="1012"/>
      <c r="S1096" s="1011"/>
      <c r="T1096" s="1012"/>
      <c r="U1096" s="1010"/>
      <c r="V1096" s="1012"/>
      <c r="W1096" s="1010"/>
      <c r="X1096" s="1012"/>
      <c r="Y1096" s="1010"/>
      <c r="Z1096" s="262"/>
      <c r="AA1096" s="110"/>
      <c r="AB1096" s="110"/>
      <c r="AC1096" s="110"/>
      <c r="AD1096" s="110"/>
      <c r="AE1096" s="110"/>
      <c r="AF1096" s="110"/>
      <c r="AG1096" s="110"/>
      <c r="AH1096" s="110"/>
      <c r="AI1096" s="110"/>
      <c r="AJ1096" s="110"/>
      <c r="AK1096" s="110"/>
      <c r="AL1096" s="110"/>
      <c r="AM1096" s="110"/>
      <c r="AN1096" s="110"/>
      <c r="AO1096" s="110"/>
      <c r="AP1096" s="110"/>
      <c r="AQ1096" s="110"/>
      <c r="AR1096" s="110"/>
      <c r="AS1096" s="110"/>
      <c r="AT1096" s="110"/>
      <c r="AU1096" s="110"/>
    </row>
    <row r="1097" spans="1:47" ht="12.75" hidden="1">
      <c r="A1097" s="110"/>
      <c r="B1097" s="1009"/>
      <c r="C1097" s="1010"/>
      <c r="D1097" s="253"/>
      <c r="E1097" s="1011"/>
      <c r="F1097" s="262"/>
      <c r="G1097" s="1011"/>
      <c r="H1097" s="262"/>
      <c r="I1097" s="1011"/>
      <c r="J1097" s="262"/>
      <c r="K1097" s="1011"/>
      <c r="L1097" s="262"/>
      <c r="M1097" s="1011"/>
      <c r="N1097" s="262"/>
      <c r="O1097" s="1011"/>
      <c r="P1097" s="262"/>
      <c r="Q1097" s="1011"/>
      <c r="R1097" s="1012"/>
      <c r="S1097" s="1011"/>
      <c r="T1097" s="1012"/>
      <c r="U1097" s="1010"/>
      <c r="V1097" s="1012"/>
      <c r="W1097" s="1010"/>
      <c r="X1097" s="1012"/>
      <c r="Y1097" s="1010"/>
      <c r="Z1097" s="262"/>
      <c r="AA1097" s="110"/>
      <c r="AB1097" s="110"/>
      <c r="AC1097" s="110"/>
      <c r="AD1097" s="110"/>
      <c r="AE1097" s="110"/>
      <c r="AF1097" s="110"/>
      <c r="AG1097" s="110"/>
      <c r="AH1097" s="110"/>
      <c r="AI1097" s="110"/>
      <c r="AJ1097" s="110"/>
      <c r="AK1097" s="110"/>
      <c r="AL1097" s="110"/>
      <c r="AM1097" s="110"/>
      <c r="AN1097" s="110"/>
      <c r="AO1097" s="110"/>
      <c r="AP1097" s="110"/>
      <c r="AQ1097" s="110"/>
      <c r="AR1097" s="110"/>
      <c r="AS1097" s="110"/>
      <c r="AT1097" s="110"/>
      <c r="AU1097" s="110"/>
    </row>
    <row r="1098" spans="1:47" ht="12.75" hidden="1">
      <c r="A1098" s="110"/>
      <c r="B1098" s="1009"/>
      <c r="C1098" s="1010"/>
      <c r="D1098" s="253"/>
      <c r="E1098" s="1011"/>
      <c r="F1098" s="262"/>
      <c r="G1098" s="1011"/>
      <c r="H1098" s="262"/>
      <c r="I1098" s="1011"/>
      <c r="J1098" s="262"/>
      <c r="K1098" s="1011"/>
      <c r="L1098" s="262"/>
      <c r="M1098" s="1011"/>
      <c r="N1098" s="262"/>
      <c r="O1098" s="1011"/>
      <c r="P1098" s="262"/>
      <c r="Q1098" s="1011"/>
      <c r="R1098" s="1012"/>
      <c r="S1098" s="1011"/>
      <c r="T1098" s="1012"/>
      <c r="U1098" s="1010"/>
      <c r="V1098" s="1012"/>
      <c r="W1098" s="1010"/>
      <c r="X1098" s="1012"/>
      <c r="Y1098" s="1010"/>
      <c r="Z1098" s="262"/>
      <c r="AA1098" s="110"/>
      <c r="AB1098" s="110"/>
      <c r="AC1098" s="110"/>
      <c r="AD1098" s="110"/>
      <c r="AE1098" s="110"/>
      <c r="AF1098" s="110"/>
      <c r="AG1098" s="110"/>
      <c r="AH1098" s="110"/>
      <c r="AI1098" s="110"/>
      <c r="AJ1098" s="110"/>
      <c r="AK1098" s="110"/>
      <c r="AL1098" s="110"/>
      <c r="AM1098" s="110"/>
      <c r="AN1098" s="110"/>
      <c r="AO1098" s="110"/>
      <c r="AP1098" s="110"/>
      <c r="AQ1098" s="110"/>
      <c r="AR1098" s="110"/>
      <c r="AS1098" s="110"/>
      <c r="AT1098" s="110"/>
      <c r="AU1098" s="110"/>
    </row>
    <row r="1099" spans="1:47" ht="12.75" hidden="1">
      <c r="A1099" s="110"/>
      <c r="B1099" s="1009"/>
      <c r="C1099" s="1010"/>
      <c r="D1099" s="253"/>
      <c r="E1099" s="1011"/>
      <c r="F1099" s="262"/>
      <c r="G1099" s="1011"/>
      <c r="H1099" s="262"/>
      <c r="I1099" s="1011"/>
      <c r="J1099" s="262"/>
      <c r="K1099" s="1011"/>
      <c r="L1099" s="262"/>
      <c r="M1099" s="1011"/>
      <c r="N1099" s="262"/>
      <c r="O1099" s="1011"/>
      <c r="P1099" s="262"/>
      <c r="Q1099" s="1011"/>
      <c r="R1099" s="1012"/>
      <c r="S1099" s="1011"/>
      <c r="T1099" s="1012"/>
      <c r="U1099" s="1010"/>
      <c r="V1099" s="1012"/>
      <c r="W1099" s="1010"/>
      <c r="X1099" s="1012"/>
      <c r="Y1099" s="1010"/>
      <c r="Z1099" s="262"/>
      <c r="AA1099" s="110"/>
      <c r="AB1099" s="110"/>
      <c r="AC1099" s="110"/>
      <c r="AD1099" s="110"/>
      <c r="AE1099" s="110"/>
      <c r="AF1099" s="110"/>
      <c r="AG1099" s="110"/>
      <c r="AH1099" s="110"/>
      <c r="AI1099" s="110"/>
      <c r="AJ1099" s="110"/>
      <c r="AK1099" s="110"/>
      <c r="AL1099" s="110"/>
      <c r="AM1099" s="110"/>
      <c r="AN1099" s="110"/>
      <c r="AO1099" s="110"/>
      <c r="AP1099" s="110"/>
      <c r="AQ1099" s="110"/>
      <c r="AR1099" s="110"/>
      <c r="AS1099" s="110"/>
      <c r="AT1099" s="110"/>
      <c r="AU1099" s="110"/>
    </row>
    <row r="1100" spans="1:47" ht="12.75" hidden="1">
      <c r="A1100" s="110"/>
      <c r="B1100" s="1009"/>
      <c r="C1100" s="1010"/>
      <c r="D1100" s="253"/>
      <c r="E1100" s="1011"/>
      <c r="F1100" s="262"/>
      <c r="G1100" s="1011"/>
      <c r="H1100" s="262"/>
      <c r="I1100" s="1011"/>
      <c r="J1100" s="262"/>
      <c r="K1100" s="1011"/>
      <c r="L1100" s="262"/>
      <c r="M1100" s="1011"/>
      <c r="N1100" s="262"/>
      <c r="O1100" s="1011"/>
      <c r="P1100" s="262"/>
      <c r="Q1100" s="1011"/>
      <c r="R1100" s="1012"/>
      <c r="S1100" s="1011"/>
      <c r="T1100" s="1012"/>
      <c r="U1100" s="1010"/>
      <c r="V1100" s="1012"/>
      <c r="W1100" s="1010"/>
      <c r="X1100" s="1012"/>
      <c r="Y1100" s="1010"/>
      <c r="Z1100" s="262"/>
      <c r="AA1100" s="110"/>
      <c r="AB1100" s="110"/>
      <c r="AC1100" s="110"/>
      <c r="AD1100" s="110"/>
      <c r="AE1100" s="110"/>
      <c r="AF1100" s="110"/>
      <c r="AG1100" s="110"/>
      <c r="AH1100" s="110"/>
      <c r="AI1100" s="110"/>
      <c r="AJ1100" s="110"/>
      <c r="AK1100" s="110"/>
      <c r="AL1100" s="110"/>
      <c r="AM1100" s="110"/>
      <c r="AN1100" s="110"/>
      <c r="AO1100" s="110"/>
      <c r="AP1100" s="110"/>
      <c r="AQ1100" s="110"/>
      <c r="AR1100" s="110"/>
      <c r="AS1100" s="110"/>
      <c r="AT1100" s="110"/>
      <c r="AU1100" s="110"/>
    </row>
    <row r="1101" spans="1:47" ht="12.75" hidden="1">
      <c r="A1101" s="110"/>
      <c r="B1101" s="1009"/>
      <c r="C1101" s="1010"/>
      <c r="D1101" s="253"/>
      <c r="E1101" s="1011"/>
      <c r="F1101" s="262"/>
      <c r="G1101" s="1011"/>
      <c r="H1101" s="262"/>
      <c r="I1101" s="1011"/>
      <c r="J1101" s="262"/>
      <c r="K1101" s="1011"/>
      <c r="L1101" s="262"/>
      <c r="M1101" s="1011"/>
      <c r="N1101" s="262"/>
      <c r="O1101" s="1011"/>
      <c r="P1101" s="262"/>
      <c r="Q1101" s="1011"/>
      <c r="R1101" s="1012"/>
      <c r="S1101" s="1011"/>
      <c r="T1101" s="1012"/>
      <c r="U1101" s="1010"/>
      <c r="V1101" s="1012"/>
      <c r="W1101" s="1010"/>
      <c r="X1101" s="1012"/>
      <c r="Y1101" s="1010"/>
      <c r="Z1101" s="262"/>
      <c r="AA1101" s="110"/>
      <c r="AB1101" s="110"/>
      <c r="AC1101" s="110"/>
      <c r="AD1101" s="110"/>
      <c r="AE1101" s="110"/>
      <c r="AF1101" s="110"/>
      <c r="AG1101" s="110"/>
      <c r="AH1101" s="110"/>
      <c r="AI1101" s="110"/>
      <c r="AJ1101" s="110"/>
      <c r="AK1101" s="110"/>
      <c r="AL1101" s="110"/>
      <c r="AM1101" s="110"/>
      <c r="AN1101" s="110"/>
      <c r="AO1101" s="110"/>
      <c r="AP1101" s="110"/>
      <c r="AQ1101" s="110"/>
      <c r="AR1101" s="110"/>
      <c r="AS1101" s="110"/>
      <c r="AT1101" s="110"/>
      <c r="AU1101" s="110"/>
    </row>
    <row r="1102" spans="1:47" ht="12.75" hidden="1">
      <c r="A1102" s="110"/>
      <c r="B1102" s="1009"/>
      <c r="C1102" s="1010"/>
      <c r="D1102" s="253"/>
      <c r="E1102" s="1011"/>
      <c r="F1102" s="262"/>
      <c r="G1102" s="1011"/>
      <c r="H1102" s="262"/>
      <c r="I1102" s="1011"/>
      <c r="J1102" s="262"/>
      <c r="K1102" s="1011"/>
      <c r="L1102" s="262"/>
      <c r="M1102" s="1011"/>
      <c r="N1102" s="262"/>
      <c r="O1102" s="1011"/>
      <c r="P1102" s="262"/>
      <c r="Q1102" s="1011"/>
      <c r="R1102" s="1012"/>
      <c r="S1102" s="1011"/>
      <c r="T1102" s="1012"/>
      <c r="U1102" s="1010"/>
      <c r="V1102" s="1012"/>
      <c r="W1102" s="1010"/>
      <c r="X1102" s="1012"/>
      <c r="Y1102" s="1010"/>
      <c r="Z1102" s="262"/>
      <c r="AA1102" s="110"/>
      <c r="AB1102" s="110"/>
      <c r="AC1102" s="110"/>
      <c r="AD1102" s="110"/>
      <c r="AE1102" s="110"/>
      <c r="AF1102" s="110"/>
      <c r="AG1102" s="110"/>
      <c r="AH1102" s="110"/>
      <c r="AI1102" s="110"/>
      <c r="AJ1102" s="110"/>
      <c r="AK1102" s="110"/>
      <c r="AL1102" s="110"/>
      <c r="AM1102" s="110"/>
      <c r="AN1102" s="110"/>
      <c r="AO1102" s="110"/>
      <c r="AP1102" s="110"/>
      <c r="AQ1102" s="110"/>
      <c r="AR1102" s="110"/>
      <c r="AS1102" s="110"/>
      <c r="AT1102" s="110"/>
      <c r="AU1102" s="110"/>
    </row>
    <row r="1103" spans="1:47" ht="12.75" hidden="1">
      <c r="A1103" s="110"/>
      <c r="B1103" s="1009"/>
      <c r="C1103" s="1010"/>
      <c r="D1103" s="253"/>
      <c r="E1103" s="1011"/>
      <c r="F1103" s="262"/>
      <c r="G1103" s="1011"/>
      <c r="H1103" s="262"/>
      <c r="I1103" s="1011"/>
      <c r="J1103" s="262"/>
      <c r="K1103" s="1011"/>
      <c r="L1103" s="262"/>
      <c r="M1103" s="1011"/>
      <c r="N1103" s="262"/>
      <c r="O1103" s="1011"/>
      <c r="P1103" s="262"/>
      <c r="Q1103" s="1011"/>
      <c r="R1103" s="1012"/>
      <c r="S1103" s="1011"/>
      <c r="T1103" s="1012"/>
      <c r="U1103" s="1010"/>
      <c r="V1103" s="1012"/>
      <c r="W1103" s="1010"/>
      <c r="X1103" s="1012"/>
      <c r="Y1103" s="1010"/>
      <c r="Z1103" s="262"/>
      <c r="AA1103" s="110"/>
      <c r="AB1103" s="110"/>
      <c r="AC1103" s="110"/>
      <c r="AD1103" s="110"/>
      <c r="AE1103" s="110"/>
      <c r="AF1103" s="110"/>
      <c r="AG1103" s="110"/>
      <c r="AH1103" s="110"/>
      <c r="AI1103" s="110"/>
      <c r="AJ1103" s="110"/>
      <c r="AK1103" s="110"/>
      <c r="AL1103" s="110"/>
      <c r="AM1103" s="110"/>
      <c r="AN1103" s="110"/>
      <c r="AO1103" s="110"/>
      <c r="AP1103" s="110"/>
      <c r="AQ1103" s="110"/>
      <c r="AR1103" s="110"/>
      <c r="AS1103" s="110"/>
      <c r="AT1103" s="110"/>
      <c r="AU1103" s="110"/>
    </row>
    <row r="1104" spans="1:47" ht="12.75" hidden="1">
      <c r="A1104" s="110"/>
      <c r="B1104" s="1009"/>
      <c r="C1104" s="1010"/>
      <c r="D1104" s="253"/>
      <c r="E1104" s="1011"/>
      <c r="F1104" s="262"/>
      <c r="G1104" s="1011"/>
      <c r="H1104" s="262"/>
      <c r="I1104" s="1011"/>
      <c r="J1104" s="262"/>
      <c r="K1104" s="1011"/>
      <c r="L1104" s="262"/>
      <c r="M1104" s="1011"/>
      <c r="N1104" s="262"/>
      <c r="O1104" s="1011"/>
      <c r="P1104" s="262"/>
      <c r="Q1104" s="1011"/>
      <c r="R1104" s="1012"/>
      <c r="S1104" s="1011"/>
      <c r="T1104" s="1012"/>
      <c r="U1104" s="1010"/>
      <c r="V1104" s="1012"/>
      <c r="W1104" s="1010"/>
      <c r="X1104" s="1012"/>
      <c r="Y1104" s="1010"/>
      <c r="Z1104" s="262"/>
      <c r="AA1104" s="110"/>
      <c r="AB1104" s="110"/>
      <c r="AC1104" s="110"/>
      <c r="AD1104" s="110"/>
      <c r="AE1104" s="110"/>
      <c r="AF1104" s="110"/>
      <c r="AG1104" s="110"/>
      <c r="AH1104" s="110"/>
      <c r="AI1104" s="110"/>
      <c r="AJ1104" s="110"/>
      <c r="AK1104" s="110"/>
      <c r="AL1104" s="110"/>
      <c r="AM1104" s="110"/>
      <c r="AN1104" s="110"/>
      <c r="AO1104" s="110"/>
      <c r="AP1104" s="110"/>
      <c r="AQ1104" s="110"/>
      <c r="AR1104" s="110"/>
      <c r="AS1104" s="110"/>
      <c r="AT1104" s="110"/>
      <c r="AU1104" s="110"/>
    </row>
    <row r="1105" spans="1:47" ht="12.75" hidden="1">
      <c r="A1105" s="110"/>
      <c r="B1105" s="1009"/>
      <c r="C1105" s="1010"/>
      <c r="D1105" s="253"/>
      <c r="E1105" s="1011"/>
      <c r="F1105" s="262"/>
      <c r="G1105" s="1011"/>
      <c r="H1105" s="262"/>
      <c r="I1105" s="1011"/>
      <c r="J1105" s="262"/>
      <c r="K1105" s="1011"/>
      <c r="L1105" s="262"/>
      <c r="M1105" s="1011"/>
      <c r="N1105" s="262"/>
      <c r="O1105" s="1011"/>
      <c r="P1105" s="262"/>
      <c r="Q1105" s="1011"/>
      <c r="R1105" s="1012"/>
      <c r="S1105" s="1011"/>
      <c r="T1105" s="1012"/>
      <c r="U1105" s="1010"/>
      <c r="V1105" s="1012"/>
      <c r="W1105" s="1010"/>
      <c r="X1105" s="1012"/>
      <c r="Y1105" s="1010"/>
      <c r="Z1105" s="262"/>
      <c r="AA1105" s="110"/>
      <c r="AB1105" s="110"/>
      <c r="AC1105" s="110"/>
      <c r="AD1105" s="110"/>
      <c r="AE1105" s="110"/>
      <c r="AF1105" s="110"/>
      <c r="AG1105" s="110"/>
      <c r="AH1105" s="110"/>
      <c r="AI1105" s="110"/>
      <c r="AJ1105" s="110"/>
      <c r="AK1105" s="110"/>
      <c r="AL1105" s="110"/>
      <c r="AM1105" s="110"/>
      <c r="AN1105" s="110"/>
      <c r="AO1105" s="110"/>
      <c r="AP1105" s="110"/>
      <c r="AQ1105" s="110"/>
      <c r="AR1105" s="110"/>
      <c r="AS1105" s="110"/>
      <c r="AT1105" s="110"/>
      <c r="AU1105" s="110"/>
    </row>
    <row r="1106" spans="1:47" ht="12.75" hidden="1">
      <c r="A1106" s="110"/>
      <c r="B1106" s="1009"/>
      <c r="C1106" s="1010"/>
      <c r="D1106" s="253"/>
      <c r="E1106" s="1011"/>
      <c r="F1106" s="262"/>
      <c r="G1106" s="1011"/>
      <c r="H1106" s="262"/>
      <c r="I1106" s="1011"/>
      <c r="J1106" s="262"/>
      <c r="K1106" s="1011"/>
      <c r="L1106" s="262"/>
      <c r="M1106" s="1011"/>
      <c r="N1106" s="262"/>
      <c r="O1106" s="1011"/>
      <c r="P1106" s="262"/>
      <c r="Q1106" s="1011"/>
      <c r="R1106" s="1012"/>
      <c r="S1106" s="1011"/>
      <c r="T1106" s="1012"/>
      <c r="U1106" s="1010"/>
      <c r="V1106" s="1012"/>
      <c r="W1106" s="1010"/>
      <c r="X1106" s="1012"/>
      <c r="Y1106" s="1010"/>
      <c r="Z1106" s="262"/>
      <c r="AA1106" s="110"/>
      <c r="AB1106" s="110"/>
      <c r="AC1106" s="110"/>
      <c r="AD1106" s="110"/>
      <c r="AE1106" s="110"/>
      <c r="AF1106" s="110"/>
      <c r="AG1106" s="110"/>
      <c r="AH1106" s="110"/>
      <c r="AI1106" s="110"/>
      <c r="AJ1106" s="110"/>
      <c r="AK1106" s="110"/>
      <c r="AL1106" s="110"/>
      <c r="AM1106" s="110"/>
      <c r="AN1106" s="110"/>
      <c r="AO1106" s="110"/>
      <c r="AP1106" s="110"/>
      <c r="AQ1106" s="110"/>
      <c r="AR1106" s="110"/>
      <c r="AS1106" s="110"/>
      <c r="AT1106" s="110"/>
      <c r="AU1106" s="110"/>
    </row>
    <row r="1107" spans="1:47" ht="12.75" hidden="1">
      <c r="A1107" s="110"/>
      <c r="B1107" s="1009"/>
      <c r="C1107" s="1010"/>
      <c r="D1107" s="253"/>
      <c r="E1107" s="1011"/>
      <c r="F1107" s="262"/>
      <c r="G1107" s="1011"/>
      <c r="H1107" s="262"/>
      <c r="I1107" s="1011"/>
      <c r="J1107" s="262"/>
      <c r="K1107" s="1011"/>
      <c r="L1107" s="262"/>
      <c r="M1107" s="1011"/>
      <c r="N1107" s="262"/>
      <c r="O1107" s="1011"/>
      <c r="P1107" s="262"/>
      <c r="Q1107" s="1011"/>
      <c r="R1107" s="1012"/>
      <c r="S1107" s="1011"/>
      <c r="T1107" s="1012"/>
      <c r="U1107" s="1010"/>
      <c r="V1107" s="1012"/>
      <c r="W1107" s="1010"/>
      <c r="X1107" s="1012"/>
      <c r="Y1107" s="1010"/>
      <c r="Z1107" s="262"/>
      <c r="AA1107" s="110"/>
      <c r="AB1107" s="110"/>
      <c r="AC1107" s="110"/>
      <c r="AD1107" s="110"/>
      <c r="AE1107" s="110"/>
      <c r="AF1107" s="110"/>
      <c r="AG1107" s="110"/>
      <c r="AH1107" s="110"/>
      <c r="AI1107" s="110"/>
      <c r="AJ1107" s="110"/>
      <c r="AK1107" s="110"/>
      <c r="AL1107" s="110"/>
      <c r="AM1107" s="110"/>
      <c r="AN1107" s="110"/>
      <c r="AO1107" s="110"/>
      <c r="AP1107" s="110"/>
      <c r="AQ1107" s="110"/>
      <c r="AR1107" s="110"/>
      <c r="AS1107" s="110"/>
      <c r="AT1107" s="110"/>
      <c r="AU1107" s="110"/>
    </row>
    <row r="1108" spans="1:47" ht="12.75" hidden="1">
      <c r="A1108" s="110"/>
      <c r="B1108" s="1009"/>
      <c r="C1108" s="1010"/>
      <c r="D1108" s="253"/>
      <c r="E1108" s="1011"/>
      <c r="F1108" s="262"/>
      <c r="G1108" s="1011"/>
      <c r="H1108" s="262"/>
      <c r="I1108" s="1011"/>
      <c r="J1108" s="262"/>
      <c r="K1108" s="1011"/>
      <c r="L1108" s="262"/>
      <c r="M1108" s="1011"/>
      <c r="N1108" s="262"/>
      <c r="O1108" s="1011"/>
      <c r="P1108" s="262"/>
      <c r="Q1108" s="1011"/>
      <c r="R1108" s="1012"/>
      <c r="S1108" s="1011"/>
      <c r="T1108" s="1012"/>
      <c r="U1108" s="1010"/>
      <c r="V1108" s="1012"/>
      <c r="W1108" s="1010"/>
      <c r="X1108" s="1012"/>
      <c r="Y1108" s="1010"/>
      <c r="Z1108" s="262"/>
      <c r="AA1108" s="110"/>
      <c r="AB1108" s="110"/>
      <c r="AC1108" s="110"/>
      <c r="AD1108" s="110"/>
      <c r="AE1108" s="110"/>
      <c r="AF1108" s="110"/>
      <c r="AG1108" s="110"/>
      <c r="AH1108" s="110"/>
      <c r="AI1108" s="110"/>
      <c r="AJ1108" s="110"/>
      <c r="AK1108" s="110"/>
      <c r="AL1108" s="110"/>
      <c r="AM1108" s="110"/>
      <c r="AN1108" s="110"/>
      <c r="AO1108" s="110"/>
      <c r="AP1108" s="110"/>
      <c r="AQ1108" s="110"/>
      <c r="AR1108" s="110"/>
      <c r="AS1108" s="110"/>
      <c r="AT1108" s="110"/>
      <c r="AU1108" s="110"/>
    </row>
    <row r="1109" spans="1:47" ht="12.75" hidden="1">
      <c r="A1109" s="110"/>
      <c r="B1109" s="1009"/>
      <c r="C1109" s="1010"/>
      <c r="D1109" s="253"/>
      <c r="E1109" s="1011"/>
      <c r="F1109" s="262"/>
      <c r="G1109" s="1011"/>
      <c r="H1109" s="262"/>
      <c r="I1109" s="1011"/>
      <c r="J1109" s="262"/>
      <c r="K1109" s="1011"/>
      <c r="L1109" s="262"/>
      <c r="M1109" s="1011"/>
      <c r="N1109" s="262"/>
      <c r="O1109" s="1011"/>
      <c r="P1109" s="262"/>
      <c r="Q1109" s="1011"/>
      <c r="R1109" s="1012"/>
      <c r="S1109" s="1011"/>
      <c r="T1109" s="1012"/>
      <c r="U1109" s="1010"/>
      <c r="V1109" s="1012"/>
      <c r="W1109" s="1010"/>
      <c r="X1109" s="1012"/>
      <c r="Y1109" s="1010"/>
      <c r="Z1109" s="262"/>
      <c r="AA1109" s="110"/>
      <c r="AB1109" s="110"/>
      <c r="AC1109" s="110"/>
      <c r="AD1109" s="110"/>
      <c r="AE1109" s="110"/>
      <c r="AF1109" s="110"/>
      <c r="AG1109" s="110"/>
      <c r="AH1109" s="110"/>
      <c r="AI1109" s="110"/>
      <c r="AJ1109" s="110"/>
      <c r="AK1109" s="110"/>
      <c r="AL1109" s="110"/>
      <c r="AM1109" s="110"/>
      <c r="AN1109" s="110"/>
      <c r="AO1109" s="110"/>
      <c r="AP1109" s="110"/>
      <c r="AQ1109" s="110"/>
      <c r="AR1109" s="110"/>
      <c r="AS1109" s="110"/>
      <c r="AT1109" s="110"/>
      <c r="AU1109" s="110"/>
    </row>
    <row r="1110" spans="1:47" ht="12.75" hidden="1">
      <c r="A1110" s="110"/>
      <c r="B1110" s="1009"/>
      <c r="C1110" s="1010"/>
      <c r="D1110" s="253"/>
      <c r="E1110" s="1011"/>
      <c r="F1110" s="262"/>
      <c r="G1110" s="1011"/>
      <c r="H1110" s="262"/>
      <c r="I1110" s="1011"/>
      <c r="J1110" s="262"/>
      <c r="K1110" s="1011"/>
      <c r="L1110" s="262"/>
      <c r="M1110" s="1011"/>
      <c r="N1110" s="262"/>
      <c r="O1110" s="1011"/>
      <c r="P1110" s="262"/>
      <c r="Q1110" s="1011"/>
      <c r="R1110" s="1012"/>
      <c r="S1110" s="1011"/>
      <c r="T1110" s="1012"/>
      <c r="U1110" s="1010"/>
      <c r="V1110" s="1012"/>
      <c r="W1110" s="1010"/>
      <c r="X1110" s="1012"/>
      <c r="Y1110" s="1010"/>
      <c r="Z1110" s="262"/>
      <c r="AA1110" s="110"/>
      <c r="AB1110" s="110"/>
      <c r="AC1110" s="110"/>
      <c r="AD1110" s="110"/>
      <c r="AE1110" s="110"/>
      <c r="AF1110" s="110"/>
      <c r="AG1110" s="110"/>
      <c r="AH1110" s="110"/>
      <c r="AI1110" s="110"/>
      <c r="AJ1110" s="110"/>
      <c r="AK1110" s="110"/>
      <c r="AL1110" s="110"/>
      <c r="AM1110" s="110"/>
      <c r="AN1110" s="110"/>
      <c r="AO1110" s="110"/>
      <c r="AP1110" s="110"/>
      <c r="AQ1110" s="110"/>
      <c r="AR1110" s="110"/>
      <c r="AS1110" s="110"/>
      <c r="AT1110" s="110"/>
      <c r="AU1110" s="110"/>
    </row>
    <row r="1111" spans="1:47" ht="12.75" hidden="1">
      <c r="A1111" s="110"/>
      <c r="B1111" s="1009"/>
      <c r="C1111" s="1010"/>
      <c r="D1111" s="253"/>
      <c r="E1111" s="1011"/>
      <c r="F1111" s="262"/>
      <c r="G1111" s="1011"/>
      <c r="H1111" s="262"/>
      <c r="I1111" s="1011"/>
      <c r="J1111" s="262"/>
      <c r="K1111" s="1011"/>
      <c r="L1111" s="262"/>
      <c r="M1111" s="1011"/>
      <c r="N1111" s="262"/>
      <c r="O1111" s="1011"/>
      <c r="P1111" s="262"/>
      <c r="Q1111" s="1011"/>
      <c r="R1111" s="1012"/>
      <c r="S1111" s="1011"/>
      <c r="T1111" s="1012"/>
      <c r="U1111" s="1010"/>
      <c r="V1111" s="1012"/>
      <c r="W1111" s="1010"/>
      <c r="X1111" s="1012"/>
      <c r="Y1111" s="1010"/>
      <c r="Z1111" s="262"/>
      <c r="AA1111" s="110"/>
      <c r="AB1111" s="110"/>
      <c r="AC1111" s="110"/>
      <c r="AD1111" s="110"/>
      <c r="AE1111" s="110"/>
      <c r="AF1111" s="110"/>
      <c r="AG1111" s="110"/>
      <c r="AH1111" s="110"/>
      <c r="AI1111" s="110"/>
      <c r="AJ1111" s="110"/>
      <c r="AK1111" s="110"/>
      <c r="AL1111" s="110"/>
      <c r="AM1111" s="110"/>
      <c r="AN1111" s="110"/>
      <c r="AO1111" s="110"/>
      <c r="AP1111" s="110"/>
      <c r="AQ1111" s="110"/>
      <c r="AR1111" s="110"/>
      <c r="AS1111" s="110"/>
      <c r="AT1111" s="110"/>
      <c r="AU1111" s="110"/>
    </row>
    <row r="1112" spans="1:47" ht="12.75" hidden="1">
      <c r="A1112" s="110"/>
      <c r="B1112" s="1009"/>
      <c r="C1112" s="1010"/>
      <c r="D1112" s="253"/>
      <c r="E1112" s="1011"/>
      <c r="F1112" s="262"/>
      <c r="G1112" s="1011"/>
      <c r="H1112" s="262"/>
      <c r="I1112" s="1011"/>
      <c r="J1112" s="262"/>
      <c r="K1112" s="1011"/>
      <c r="L1112" s="262"/>
      <c r="M1112" s="1011"/>
      <c r="N1112" s="262"/>
      <c r="O1112" s="1011"/>
      <c r="P1112" s="262"/>
      <c r="Q1112" s="1011"/>
      <c r="R1112" s="1012"/>
      <c r="S1112" s="1011"/>
      <c r="T1112" s="1012"/>
      <c r="U1112" s="1010"/>
      <c r="V1112" s="1012"/>
      <c r="W1112" s="1010"/>
      <c r="X1112" s="1012"/>
      <c r="Y1112" s="1010"/>
      <c r="Z1112" s="262"/>
      <c r="AA1112" s="110"/>
      <c r="AB1112" s="110"/>
      <c r="AC1112" s="110"/>
      <c r="AD1112" s="110"/>
      <c r="AE1112" s="110"/>
      <c r="AF1112" s="110"/>
      <c r="AG1112" s="110"/>
      <c r="AH1112" s="110"/>
      <c r="AI1112" s="110"/>
      <c r="AJ1112" s="110"/>
      <c r="AK1112" s="110"/>
      <c r="AL1112" s="110"/>
      <c r="AM1112" s="110"/>
      <c r="AN1112" s="110"/>
      <c r="AO1112" s="110"/>
      <c r="AP1112" s="110"/>
      <c r="AQ1112" s="110"/>
      <c r="AR1112" s="110"/>
      <c r="AS1112" s="110"/>
      <c r="AT1112" s="110"/>
      <c r="AU1112" s="110"/>
    </row>
    <row r="1113" spans="1:47" ht="12.75" hidden="1">
      <c r="A1113" s="110"/>
      <c r="B1113" s="1009"/>
      <c r="C1113" s="1010"/>
      <c r="D1113" s="253"/>
      <c r="E1113" s="1011"/>
      <c r="F1113" s="262"/>
      <c r="G1113" s="1011"/>
      <c r="H1113" s="262"/>
      <c r="I1113" s="1011"/>
      <c r="J1113" s="262"/>
      <c r="K1113" s="1011"/>
      <c r="L1113" s="262"/>
      <c r="M1113" s="1011"/>
      <c r="N1113" s="262"/>
      <c r="O1113" s="1011"/>
      <c r="P1113" s="262"/>
      <c r="Q1113" s="1011"/>
      <c r="R1113" s="1012"/>
      <c r="S1113" s="1011"/>
      <c r="T1113" s="1012"/>
      <c r="U1113" s="1010"/>
      <c r="V1113" s="1012"/>
      <c r="W1113" s="1010"/>
      <c r="X1113" s="1012"/>
      <c r="Y1113" s="1010"/>
      <c r="Z1113" s="262"/>
      <c r="AA1113" s="110"/>
      <c r="AB1113" s="110"/>
      <c r="AC1113" s="110"/>
      <c r="AD1113" s="110"/>
      <c r="AE1113" s="110"/>
      <c r="AF1113" s="110"/>
      <c r="AG1113" s="110"/>
      <c r="AH1113" s="110"/>
      <c r="AI1113" s="110"/>
      <c r="AJ1113" s="110"/>
      <c r="AK1113" s="110"/>
      <c r="AL1113" s="110"/>
      <c r="AM1113" s="110"/>
      <c r="AN1113" s="110"/>
      <c r="AO1113" s="110"/>
      <c r="AP1113" s="110"/>
      <c r="AQ1113" s="110"/>
      <c r="AR1113" s="110"/>
      <c r="AS1113" s="110"/>
      <c r="AT1113" s="110"/>
      <c r="AU1113" s="110"/>
    </row>
    <row r="1114" spans="1:47" ht="12.75" hidden="1">
      <c r="A1114" s="110"/>
      <c r="B1114" s="1009"/>
      <c r="C1114" s="1010"/>
      <c r="D1114" s="253"/>
      <c r="E1114" s="1011"/>
      <c r="F1114" s="262"/>
      <c r="G1114" s="1011"/>
      <c r="H1114" s="262"/>
      <c r="I1114" s="1011"/>
      <c r="J1114" s="262"/>
      <c r="K1114" s="1011"/>
      <c r="L1114" s="262"/>
      <c r="M1114" s="1011"/>
      <c r="N1114" s="262"/>
      <c r="O1114" s="1011"/>
      <c r="P1114" s="262"/>
      <c r="Q1114" s="1011"/>
      <c r="R1114" s="1012"/>
      <c r="S1114" s="1011"/>
      <c r="T1114" s="1012"/>
      <c r="U1114" s="1010"/>
      <c r="V1114" s="1012"/>
      <c r="W1114" s="1010"/>
      <c r="X1114" s="1012"/>
      <c r="Y1114" s="1010"/>
      <c r="Z1114" s="262"/>
      <c r="AA1114" s="110"/>
      <c r="AB1114" s="110"/>
      <c r="AC1114" s="110"/>
      <c r="AD1114" s="110"/>
      <c r="AE1114" s="110"/>
      <c r="AF1114" s="110"/>
      <c r="AG1114" s="110"/>
      <c r="AH1114" s="110"/>
      <c r="AI1114" s="110"/>
      <c r="AJ1114" s="110"/>
      <c r="AK1114" s="110"/>
      <c r="AL1114" s="110"/>
      <c r="AM1114" s="110"/>
      <c r="AN1114" s="110"/>
      <c r="AO1114" s="110"/>
      <c r="AP1114" s="110"/>
      <c r="AQ1114" s="110"/>
      <c r="AR1114" s="110"/>
      <c r="AS1114" s="110"/>
      <c r="AT1114" s="110"/>
      <c r="AU1114" s="110"/>
    </row>
    <row r="1115" spans="1:47" ht="12.75" hidden="1">
      <c r="A1115" s="110"/>
      <c r="B1115" s="1009"/>
      <c r="C1115" s="1010"/>
      <c r="D1115" s="253"/>
      <c r="E1115" s="1011"/>
      <c r="F1115" s="262"/>
      <c r="G1115" s="1011"/>
      <c r="H1115" s="262"/>
      <c r="I1115" s="1011"/>
      <c r="J1115" s="262"/>
      <c r="K1115" s="1011"/>
      <c r="L1115" s="262"/>
      <c r="M1115" s="1011"/>
      <c r="N1115" s="262"/>
      <c r="O1115" s="1011"/>
      <c r="P1115" s="262"/>
      <c r="Q1115" s="1011"/>
      <c r="R1115" s="1012"/>
      <c r="S1115" s="1011"/>
      <c r="T1115" s="1012"/>
      <c r="U1115" s="1010"/>
      <c r="V1115" s="1012"/>
      <c r="W1115" s="1010"/>
      <c r="X1115" s="1012"/>
      <c r="Y1115" s="1010"/>
      <c r="Z1115" s="262"/>
      <c r="AA1115" s="110"/>
      <c r="AB1115" s="110"/>
      <c r="AC1115" s="110"/>
      <c r="AD1115" s="110"/>
      <c r="AE1115" s="110"/>
      <c r="AF1115" s="110"/>
      <c r="AG1115" s="110"/>
      <c r="AH1115" s="110"/>
      <c r="AI1115" s="110"/>
      <c r="AJ1115" s="110"/>
      <c r="AK1115" s="110"/>
      <c r="AL1115" s="110"/>
      <c r="AM1115" s="110"/>
      <c r="AN1115" s="110"/>
      <c r="AO1115" s="110"/>
      <c r="AP1115" s="110"/>
      <c r="AQ1115" s="110"/>
      <c r="AR1115" s="110"/>
      <c r="AS1115" s="110"/>
      <c r="AT1115" s="110"/>
      <c r="AU1115" s="110"/>
    </row>
    <row r="1116" spans="1:47" ht="12.75" hidden="1">
      <c r="A1116" s="110"/>
      <c r="B1116" s="1009"/>
      <c r="C1116" s="1010"/>
      <c r="D1116" s="253"/>
      <c r="E1116" s="1011"/>
      <c r="F1116" s="262"/>
      <c r="G1116" s="1011"/>
      <c r="H1116" s="262"/>
      <c r="I1116" s="1011"/>
      <c r="J1116" s="262"/>
      <c r="K1116" s="1011"/>
      <c r="L1116" s="262"/>
      <c r="M1116" s="1011"/>
      <c r="N1116" s="262"/>
      <c r="O1116" s="1011"/>
      <c r="P1116" s="262"/>
      <c r="Q1116" s="1011"/>
      <c r="R1116" s="1012"/>
      <c r="S1116" s="1011"/>
      <c r="T1116" s="1012"/>
      <c r="U1116" s="1010"/>
      <c r="V1116" s="1012"/>
      <c r="W1116" s="1010"/>
      <c r="X1116" s="1012"/>
      <c r="Y1116" s="1010"/>
      <c r="Z1116" s="262"/>
      <c r="AA1116" s="110"/>
      <c r="AB1116" s="110"/>
      <c r="AC1116" s="110"/>
      <c r="AD1116" s="110"/>
      <c r="AE1116" s="110"/>
      <c r="AF1116" s="110"/>
      <c r="AG1116" s="110"/>
      <c r="AH1116" s="110"/>
      <c r="AI1116" s="110"/>
      <c r="AJ1116" s="110"/>
      <c r="AK1116" s="110"/>
      <c r="AL1116" s="110"/>
      <c r="AM1116" s="110"/>
      <c r="AN1116" s="110"/>
      <c r="AO1116" s="110"/>
      <c r="AP1116" s="110"/>
      <c r="AQ1116" s="110"/>
      <c r="AR1116" s="110"/>
      <c r="AS1116" s="110"/>
      <c r="AT1116" s="110"/>
      <c r="AU1116" s="110"/>
    </row>
    <row r="1117" spans="1:47" ht="12.75" hidden="1">
      <c r="A1117" s="110"/>
      <c r="B1117" s="1009"/>
      <c r="C1117" s="1010"/>
      <c r="D1117" s="253"/>
      <c r="E1117" s="1011"/>
      <c r="F1117" s="262"/>
      <c r="G1117" s="1011"/>
      <c r="H1117" s="262"/>
      <c r="I1117" s="1011"/>
      <c r="J1117" s="262"/>
      <c r="K1117" s="1011"/>
      <c r="L1117" s="262"/>
      <c r="M1117" s="1011"/>
      <c r="N1117" s="262"/>
      <c r="O1117" s="1011"/>
      <c r="P1117" s="262"/>
      <c r="Q1117" s="1011"/>
      <c r="R1117" s="1012"/>
      <c r="S1117" s="1011"/>
      <c r="T1117" s="1012"/>
      <c r="U1117" s="1010"/>
      <c r="V1117" s="1012"/>
      <c r="W1117" s="1010"/>
      <c r="X1117" s="1012"/>
      <c r="Y1117" s="1010"/>
      <c r="Z1117" s="262"/>
      <c r="AA1117" s="110"/>
      <c r="AB1117" s="110"/>
      <c r="AC1117" s="110"/>
      <c r="AD1117" s="110"/>
      <c r="AE1117" s="110"/>
      <c r="AF1117" s="110"/>
      <c r="AG1117" s="110"/>
      <c r="AH1117" s="110"/>
      <c r="AI1117" s="110"/>
      <c r="AJ1117" s="110"/>
      <c r="AK1117" s="110"/>
      <c r="AL1117" s="110"/>
      <c r="AM1117" s="110"/>
      <c r="AN1117" s="110"/>
      <c r="AO1117" s="110"/>
      <c r="AP1117" s="110"/>
      <c r="AQ1117" s="110"/>
      <c r="AR1117" s="110"/>
      <c r="AS1117" s="110"/>
      <c r="AT1117" s="110"/>
      <c r="AU1117" s="110"/>
    </row>
    <row r="1118" spans="1:47" ht="12.75" hidden="1">
      <c r="A1118" s="110"/>
      <c r="B1118" s="1009"/>
      <c r="C1118" s="1010"/>
      <c r="D1118" s="253"/>
      <c r="E1118" s="1011"/>
      <c r="F1118" s="262"/>
      <c r="G1118" s="1011"/>
      <c r="H1118" s="262"/>
      <c r="I1118" s="1011"/>
      <c r="J1118" s="262"/>
      <c r="K1118" s="1011"/>
      <c r="L1118" s="262"/>
      <c r="M1118" s="1011"/>
      <c r="N1118" s="262"/>
      <c r="O1118" s="1011"/>
      <c r="P1118" s="262"/>
      <c r="Q1118" s="1011"/>
      <c r="R1118" s="1012"/>
      <c r="S1118" s="1011"/>
      <c r="T1118" s="1012"/>
      <c r="U1118" s="1010"/>
      <c r="V1118" s="1012"/>
      <c r="W1118" s="1010"/>
      <c r="X1118" s="1012"/>
      <c r="Y1118" s="1010"/>
      <c r="Z1118" s="262"/>
      <c r="AA1118" s="110"/>
      <c r="AB1118" s="110"/>
      <c r="AC1118" s="110"/>
      <c r="AD1118" s="110"/>
      <c r="AE1118" s="110"/>
      <c r="AF1118" s="110"/>
      <c r="AG1118" s="110"/>
      <c r="AH1118" s="110"/>
      <c r="AI1118" s="110"/>
      <c r="AJ1118" s="110"/>
      <c r="AK1118" s="110"/>
      <c r="AL1118" s="110"/>
      <c r="AM1118" s="110"/>
      <c r="AN1118" s="110"/>
      <c r="AO1118" s="110"/>
      <c r="AP1118" s="110"/>
      <c r="AQ1118" s="110"/>
      <c r="AR1118" s="110"/>
      <c r="AS1118" s="110"/>
      <c r="AT1118" s="110"/>
      <c r="AU1118" s="110"/>
    </row>
    <row r="1119" spans="1:47" ht="12.75" hidden="1">
      <c r="A1119" s="110"/>
      <c r="B1119" s="1009"/>
      <c r="C1119" s="1010"/>
      <c r="D1119" s="253"/>
      <c r="E1119" s="1011"/>
      <c r="F1119" s="262"/>
      <c r="G1119" s="1011"/>
      <c r="H1119" s="262"/>
      <c r="I1119" s="1011"/>
      <c r="J1119" s="262"/>
      <c r="K1119" s="1011"/>
      <c r="L1119" s="262"/>
      <c r="M1119" s="1011"/>
      <c r="N1119" s="262"/>
      <c r="O1119" s="1011"/>
      <c r="P1119" s="262"/>
      <c r="Q1119" s="1011"/>
      <c r="R1119" s="1012"/>
      <c r="S1119" s="1011"/>
      <c r="T1119" s="1012"/>
      <c r="U1119" s="1010"/>
      <c r="V1119" s="1012"/>
      <c r="W1119" s="1010"/>
      <c r="X1119" s="1012"/>
      <c r="Y1119" s="1010"/>
      <c r="Z1119" s="262"/>
      <c r="AA1119" s="110"/>
      <c r="AB1119" s="110"/>
      <c r="AC1119" s="110"/>
      <c r="AD1119" s="110"/>
      <c r="AE1119" s="110"/>
      <c r="AF1119" s="110"/>
      <c r="AG1119" s="110"/>
      <c r="AH1119" s="110"/>
      <c r="AI1119" s="110"/>
      <c r="AJ1119" s="110"/>
      <c r="AK1119" s="110"/>
      <c r="AL1119" s="110"/>
      <c r="AM1119" s="110"/>
      <c r="AN1119" s="110"/>
      <c r="AO1119" s="110"/>
      <c r="AP1119" s="110"/>
      <c r="AQ1119" s="110"/>
      <c r="AR1119" s="110"/>
      <c r="AS1119" s="110"/>
      <c r="AT1119" s="110"/>
      <c r="AU1119" s="110"/>
    </row>
    <row r="1120" spans="1:47" ht="12.75" hidden="1">
      <c r="A1120" s="110"/>
      <c r="B1120" s="1009"/>
      <c r="C1120" s="1010"/>
      <c r="D1120" s="253"/>
      <c r="E1120" s="1011"/>
      <c r="F1120" s="262"/>
      <c r="G1120" s="1011"/>
      <c r="H1120" s="262"/>
      <c r="I1120" s="1011"/>
      <c r="J1120" s="262"/>
      <c r="K1120" s="1011"/>
      <c r="L1120" s="262"/>
      <c r="M1120" s="1011"/>
      <c r="N1120" s="262"/>
      <c r="O1120" s="1011"/>
      <c r="P1120" s="262"/>
      <c r="Q1120" s="1011"/>
      <c r="R1120" s="1012"/>
      <c r="S1120" s="1011"/>
      <c r="T1120" s="1012"/>
      <c r="U1120" s="1010"/>
      <c r="V1120" s="1012"/>
      <c r="W1120" s="1010"/>
      <c r="X1120" s="1012"/>
      <c r="Y1120" s="1010"/>
      <c r="Z1120" s="262"/>
      <c r="AA1120" s="110"/>
      <c r="AB1120" s="110"/>
      <c r="AC1120" s="110"/>
      <c r="AD1120" s="110"/>
      <c r="AE1120" s="110"/>
      <c r="AF1120" s="110"/>
      <c r="AG1120" s="110"/>
      <c r="AH1120" s="110"/>
      <c r="AI1120" s="110"/>
      <c r="AJ1120" s="110"/>
      <c r="AK1120" s="110"/>
      <c r="AL1120" s="110"/>
      <c r="AM1120" s="110"/>
      <c r="AN1120" s="110"/>
      <c r="AO1120" s="110"/>
      <c r="AP1120" s="110"/>
      <c r="AQ1120" s="110"/>
      <c r="AR1120" s="110"/>
      <c r="AS1120" s="110"/>
      <c r="AT1120" s="110"/>
      <c r="AU1120" s="110"/>
    </row>
    <row r="1121" spans="1:47" ht="12.75" hidden="1">
      <c r="A1121" s="110"/>
      <c r="B1121" s="1009"/>
      <c r="C1121" s="1010"/>
      <c r="D1121" s="253"/>
      <c r="E1121" s="1011"/>
      <c r="F1121" s="262"/>
      <c r="G1121" s="1011"/>
      <c r="H1121" s="262"/>
      <c r="I1121" s="1011"/>
      <c r="J1121" s="262"/>
      <c r="K1121" s="1011"/>
      <c r="L1121" s="262"/>
      <c r="M1121" s="1011"/>
      <c r="N1121" s="262"/>
      <c r="O1121" s="1011"/>
      <c r="P1121" s="262"/>
      <c r="Q1121" s="1011"/>
      <c r="R1121" s="1012"/>
      <c r="S1121" s="1011"/>
      <c r="T1121" s="1012"/>
      <c r="U1121" s="1010"/>
      <c r="V1121" s="1012"/>
      <c r="W1121" s="1010"/>
      <c r="X1121" s="1012"/>
      <c r="Y1121" s="1010"/>
      <c r="Z1121" s="262"/>
      <c r="AA1121" s="110"/>
      <c r="AB1121" s="110"/>
      <c r="AC1121" s="110"/>
      <c r="AD1121" s="110"/>
      <c r="AE1121" s="110"/>
      <c r="AF1121" s="110"/>
      <c r="AG1121" s="110"/>
      <c r="AH1121" s="110"/>
      <c r="AI1121" s="110"/>
      <c r="AJ1121" s="110"/>
      <c r="AK1121" s="110"/>
      <c r="AL1121" s="110"/>
      <c r="AM1121" s="110"/>
      <c r="AN1121" s="110"/>
      <c r="AO1121" s="110"/>
      <c r="AP1121" s="110"/>
      <c r="AQ1121" s="110"/>
      <c r="AR1121" s="110"/>
      <c r="AS1121" s="110"/>
      <c r="AT1121" s="110"/>
      <c r="AU1121" s="110"/>
    </row>
    <row r="1122" spans="1:47" ht="12.75" hidden="1">
      <c r="A1122" s="110"/>
      <c r="B1122" s="1009"/>
      <c r="C1122" s="1010"/>
      <c r="D1122" s="253"/>
      <c r="E1122" s="1011"/>
      <c r="F1122" s="262"/>
      <c r="G1122" s="1011"/>
      <c r="H1122" s="262"/>
      <c r="I1122" s="1011"/>
      <c r="J1122" s="262"/>
      <c r="K1122" s="1011"/>
      <c r="L1122" s="262"/>
      <c r="M1122" s="1011"/>
      <c r="N1122" s="262"/>
      <c r="O1122" s="1011"/>
      <c r="P1122" s="262"/>
      <c r="Q1122" s="1011"/>
      <c r="R1122" s="1012"/>
      <c r="S1122" s="1011"/>
      <c r="T1122" s="1012"/>
      <c r="U1122" s="1010"/>
      <c r="V1122" s="1012"/>
      <c r="W1122" s="1010"/>
      <c r="X1122" s="1012"/>
      <c r="Y1122" s="1010"/>
      <c r="Z1122" s="262"/>
      <c r="AA1122" s="110"/>
      <c r="AB1122" s="110"/>
      <c r="AC1122" s="110"/>
      <c r="AD1122" s="110"/>
      <c r="AE1122" s="110"/>
      <c r="AF1122" s="110"/>
      <c r="AG1122" s="110"/>
      <c r="AH1122" s="110"/>
      <c r="AI1122" s="110"/>
      <c r="AJ1122" s="110"/>
      <c r="AK1122" s="110"/>
      <c r="AL1122" s="110"/>
      <c r="AM1122" s="110"/>
      <c r="AN1122" s="110"/>
      <c r="AO1122" s="110"/>
      <c r="AP1122" s="110"/>
      <c r="AQ1122" s="110"/>
      <c r="AR1122" s="110"/>
      <c r="AS1122" s="110"/>
      <c r="AT1122" s="110"/>
      <c r="AU1122" s="110"/>
    </row>
    <row r="1123" spans="1:47" ht="12.75" hidden="1">
      <c r="A1123" s="110"/>
      <c r="B1123" s="1009"/>
      <c r="C1123" s="1010"/>
      <c r="D1123" s="253"/>
      <c r="E1123" s="1011"/>
      <c r="F1123" s="262"/>
      <c r="G1123" s="1011"/>
      <c r="H1123" s="262"/>
      <c r="I1123" s="1011"/>
      <c r="J1123" s="262"/>
      <c r="K1123" s="1011"/>
      <c r="L1123" s="262"/>
      <c r="M1123" s="1011"/>
      <c r="N1123" s="262"/>
      <c r="O1123" s="1011"/>
      <c r="P1123" s="262"/>
      <c r="Q1123" s="1011"/>
      <c r="R1123" s="1012"/>
      <c r="S1123" s="1011"/>
      <c r="T1123" s="1012"/>
      <c r="U1123" s="1010"/>
      <c r="V1123" s="1012"/>
      <c r="W1123" s="1010"/>
      <c r="X1123" s="1012"/>
      <c r="Y1123" s="1010"/>
      <c r="Z1123" s="262"/>
      <c r="AA1123" s="110"/>
      <c r="AB1123" s="110"/>
      <c r="AC1123" s="110"/>
      <c r="AD1123" s="110"/>
      <c r="AE1123" s="110"/>
      <c r="AF1123" s="110"/>
      <c r="AG1123" s="110"/>
      <c r="AH1123" s="110"/>
      <c r="AI1123" s="110"/>
      <c r="AJ1123" s="110"/>
      <c r="AK1123" s="110"/>
      <c r="AL1123" s="110"/>
      <c r="AM1123" s="110"/>
      <c r="AN1123" s="110"/>
      <c r="AO1123" s="110"/>
      <c r="AP1123" s="110"/>
      <c r="AQ1123" s="110"/>
      <c r="AR1123" s="110"/>
      <c r="AS1123" s="110"/>
      <c r="AT1123" s="110"/>
      <c r="AU1123" s="110"/>
    </row>
    <row r="1124" spans="1:47" ht="12.75" hidden="1">
      <c r="A1124" s="110"/>
      <c r="B1124" s="1009"/>
      <c r="C1124" s="1010"/>
      <c r="D1124" s="253"/>
      <c r="E1124" s="1011"/>
      <c r="F1124" s="262"/>
      <c r="G1124" s="1011"/>
      <c r="H1124" s="262"/>
      <c r="I1124" s="1011"/>
      <c r="J1124" s="262"/>
      <c r="K1124" s="1011"/>
      <c r="L1124" s="262"/>
      <c r="M1124" s="1011"/>
      <c r="N1124" s="262"/>
      <c r="O1124" s="1011"/>
      <c r="P1124" s="262"/>
      <c r="Q1124" s="1011"/>
      <c r="R1124" s="1012"/>
      <c r="S1124" s="1011"/>
      <c r="T1124" s="1012"/>
      <c r="U1124" s="1010"/>
      <c r="V1124" s="1012"/>
      <c r="W1124" s="1010"/>
      <c r="X1124" s="1012"/>
      <c r="Y1124" s="1010"/>
      <c r="Z1124" s="262"/>
      <c r="AA1124" s="110"/>
      <c r="AB1124" s="110"/>
      <c r="AC1124" s="110"/>
      <c r="AD1124" s="110"/>
      <c r="AE1124" s="110"/>
      <c r="AF1124" s="110"/>
      <c r="AG1124" s="110"/>
      <c r="AH1124" s="110"/>
      <c r="AI1124" s="110"/>
      <c r="AJ1124" s="110"/>
      <c r="AK1124" s="110"/>
      <c r="AL1124" s="110"/>
      <c r="AM1124" s="110"/>
      <c r="AN1124" s="110"/>
      <c r="AO1124" s="110"/>
      <c r="AP1124" s="110"/>
      <c r="AQ1124" s="110"/>
      <c r="AR1124" s="110"/>
      <c r="AS1124" s="110"/>
      <c r="AT1124" s="110"/>
      <c r="AU1124" s="110"/>
    </row>
    <row r="1125" spans="1:47" ht="12.75" hidden="1">
      <c r="A1125" s="110"/>
      <c r="B1125" s="1009"/>
      <c r="C1125" s="1010"/>
      <c r="D1125" s="253"/>
      <c r="E1125" s="1011"/>
      <c r="F1125" s="262"/>
      <c r="G1125" s="1011"/>
      <c r="H1125" s="262"/>
      <c r="I1125" s="1011"/>
      <c r="J1125" s="262"/>
      <c r="K1125" s="1011"/>
      <c r="L1125" s="262"/>
      <c r="M1125" s="1011"/>
      <c r="N1125" s="262"/>
      <c r="O1125" s="1011"/>
      <c r="P1125" s="262"/>
      <c r="Q1125" s="1011"/>
      <c r="R1125" s="1012"/>
      <c r="S1125" s="1011"/>
      <c r="T1125" s="1012"/>
      <c r="U1125" s="1010"/>
      <c r="V1125" s="1012"/>
      <c r="W1125" s="1010"/>
      <c r="X1125" s="1012"/>
      <c r="Y1125" s="1010"/>
      <c r="Z1125" s="262"/>
      <c r="AA1125" s="110"/>
      <c r="AB1125" s="110"/>
      <c r="AC1125" s="110"/>
      <c r="AD1125" s="110"/>
      <c r="AE1125" s="110"/>
      <c r="AF1125" s="110"/>
      <c r="AG1125" s="110"/>
      <c r="AH1125" s="110"/>
      <c r="AI1125" s="110"/>
      <c r="AJ1125" s="110"/>
      <c r="AK1125" s="110"/>
      <c r="AL1125" s="110"/>
      <c r="AM1125" s="110"/>
      <c r="AN1125" s="110"/>
      <c r="AO1125" s="110"/>
      <c r="AP1125" s="110"/>
      <c r="AQ1125" s="110"/>
      <c r="AR1125" s="110"/>
      <c r="AS1125" s="110"/>
      <c r="AT1125" s="110"/>
      <c r="AU1125" s="110"/>
    </row>
    <row r="1126" spans="1:47" ht="12.75" hidden="1">
      <c r="A1126" s="110"/>
      <c r="B1126" s="1009"/>
      <c r="C1126" s="1010"/>
      <c r="D1126" s="253"/>
      <c r="E1126" s="1011"/>
      <c r="F1126" s="262"/>
      <c r="G1126" s="1011"/>
      <c r="H1126" s="262"/>
      <c r="I1126" s="1011"/>
      <c r="J1126" s="262"/>
      <c r="K1126" s="1011"/>
      <c r="L1126" s="262"/>
      <c r="M1126" s="1011"/>
      <c r="N1126" s="262"/>
      <c r="O1126" s="1011"/>
      <c r="P1126" s="262"/>
      <c r="Q1126" s="1011"/>
      <c r="R1126" s="1012"/>
      <c r="S1126" s="1011"/>
      <c r="T1126" s="1012"/>
      <c r="U1126" s="1010"/>
      <c r="V1126" s="1012"/>
      <c r="W1126" s="1010"/>
      <c r="X1126" s="1012"/>
      <c r="Y1126" s="1010"/>
      <c r="Z1126" s="262"/>
      <c r="AA1126" s="110"/>
      <c r="AB1126" s="110"/>
      <c r="AC1126" s="110"/>
      <c r="AD1126" s="110"/>
      <c r="AE1126" s="110"/>
      <c r="AF1126" s="110"/>
      <c r="AG1126" s="110"/>
      <c r="AH1126" s="110"/>
      <c r="AI1126" s="110"/>
      <c r="AJ1126" s="110"/>
      <c r="AK1126" s="110"/>
      <c r="AL1126" s="110"/>
      <c r="AM1126" s="110"/>
      <c r="AN1126" s="110"/>
      <c r="AO1126" s="110"/>
      <c r="AP1126" s="110"/>
      <c r="AQ1126" s="110"/>
      <c r="AR1126" s="110"/>
      <c r="AS1126" s="110"/>
      <c r="AT1126" s="110"/>
      <c r="AU1126" s="110"/>
    </row>
    <row r="1127" spans="1:47" ht="12.75" hidden="1">
      <c r="A1127" s="110"/>
      <c r="B1127" s="1009"/>
      <c r="C1127" s="1010"/>
      <c r="D1127" s="253"/>
      <c r="E1127" s="1011"/>
      <c r="F1127" s="262"/>
      <c r="G1127" s="1011"/>
      <c r="H1127" s="262"/>
      <c r="I1127" s="1011"/>
      <c r="J1127" s="262"/>
      <c r="K1127" s="1011"/>
      <c r="L1127" s="262"/>
      <c r="M1127" s="1011"/>
      <c r="N1127" s="262"/>
      <c r="O1127" s="1011"/>
      <c r="P1127" s="262"/>
      <c r="Q1127" s="1011"/>
      <c r="R1127" s="1012"/>
      <c r="S1127" s="1011"/>
      <c r="T1127" s="1012"/>
      <c r="U1127" s="1010"/>
      <c r="V1127" s="1012"/>
      <c r="W1127" s="1010"/>
      <c r="X1127" s="1012"/>
      <c r="Y1127" s="1010"/>
      <c r="Z1127" s="262"/>
      <c r="AA1127" s="110"/>
      <c r="AB1127" s="110"/>
      <c r="AC1127" s="110"/>
      <c r="AD1127" s="110"/>
      <c r="AE1127" s="110"/>
      <c r="AF1127" s="110"/>
      <c r="AG1127" s="110"/>
      <c r="AH1127" s="110"/>
      <c r="AI1127" s="110"/>
      <c r="AJ1127" s="110"/>
      <c r="AK1127" s="110"/>
      <c r="AL1127" s="110"/>
      <c r="AM1127" s="110"/>
      <c r="AN1127" s="110"/>
      <c r="AO1127" s="110"/>
      <c r="AP1127" s="110"/>
      <c r="AQ1127" s="110"/>
      <c r="AR1127" s="110"/>
      <c r="AS1127" s="110"/>
      <c r="AT1127" s="110"/>
      <c r="AU1127" s="110"/>
    </row>
    <row r="1128" spans="1:47" ht="12.75" hidden="1">
      <c r="A1128" s="110"/>
      <c r="B1128" s="1009"/>
      <c r="C1128" s="1010"/>
      <c r="D1128" s="253"/>
      <c r="E1128" s="1011"/>
      <c r="F1128" s="262"/>
      <c r="G1128" s="1011"/>
      <c r="H1128" s="262"/>
      <c r="I1128" s="1011"/>
      <c r="J1128" s="262"/>
      <c r="K1128" s="1011"/>
      <c r="L1128" s="262"/>
      <c r="M1128" s="1011"/>
      <c r="N1128" s="262"/>
      <c r="O1128" s="1011"/>
      <c r="P1128" s="262"/>
      <c r="Q1128" s="1011"/>
      <c r="R1128" s="1012"/>
      <c r="S1128" s="1011"/>
      <c r="T1128" s="1012"/>
      <c r="U1128" s="1010"/>
      <c r="V1128" s="1012"/>
      <c r="W1128" s="1010"/>
      <c r="X1128" s="1012"/>
      <c r="Y1128" s="1010"/>
      <c r="Z1128" s="262"/>
      <c r="AA1128" s="110"/>
      <c r="AB1128" s="110"/>
      <c r="AC1128" s="110"/>
      <c r="AD1128" s="110"/>
      <c r="AE1128" s="110"/>
      <c r="AF1128" s="110"/>
      <c r="AG1128" s="110"/>
      <c r="AH1128" s="110"/>
      <c r="AI1128" s="110"/>
      <c r="AJ1128" s="110"/>
      <c r="AK1128" s="110"/>
      <c r="AL1128" s="110"/>
      <c r="AM1128" s="110"/>
      <c r="AN1128" s="110"/>
      <c r="AO1128" s="110"/>
      <c r="AP1128" s="110"/>
      <c r="AQ1128" s="110"/>
      <c r="AR1128" s="110"/>
      <c r="AS1128" s="110"/>
      <c r="AT1128" s="110"/>
      <c r="AU1128" s="110"/>
    </row>
    <row r="1129" spans="1:47" ht="12.75" hidden="1">
      <c r="A1129" s="110"/>
      <c r="B1129" s="1009"/>
      <c r="C1129" s="1010"/>
      <c r="D1129" s="253"/>
      <c r="E1129" s="1011"/>
      <c r="F1129" s="262"/>
      <c r="G1129" s="1011"/>
      <c r="H1129" s="262"/>
      <c r="I1129" s="1011"/>
      <c r="J1129" s="262"/>
      <c r="K1129" s="1011"/>
      <c r="L1129" s="262"/>
      <c r="M1129" s="1011"/>
      <c r="N1129" s="262"/>
      <c r="O1129" s="1011"/>
      <c r="P1129" s="262"/>
      <c r="Q1129" s="1011"/>
      <c r="R1129" s="1012"/>
      <c r="S1129" s="1011"/>
      <c r="T1129" s="1012"/>
      <c r="U1129" s="1010"/>
      <c r="V1129" s="1012"/>
      <c r="W1129" s="1010"/>
      <c r="X1129" s="1012"/>
      <c r="Y1129" s="1010"/>
      <c r="Z1129" s="262"/>
      <c r="AA1129" s="110"/>
      <c r="AB1129" s="110"/>
      <c r="AC1129" s="110"/>
      <c r="AD1129" s="110"/>
      <c r="AE1129" s="110"/>
      <c r="AF1129" s="110"/>
      <c r="AG1129" s="110"/>
      <c r="AH1129" s="110"/>
      <c r="AI1129" s="110"/>
      <c r="AJ1129" s="110"/>
      <c r="AK1129" s="110"/>
      <c r="AL1129" s="110"/>
      <c r="AM1129" s="110"/>
      <c r="AN1129" s="110"/>
      <c r="AO1129" s="110"/>
      <c r="AP1129" s="110"/>
      <c r="AQ1129" s="110"/>
      <c r="AR1129" s="110"/>
      <c r="AS1129" s="110"/>
      <c r="AT1129" s="110"/>
      <c r="AU1129" s="110"/>
    </row>
    <row r="1130" spans="1:47" ht="12.75" hidden="1">
      <c r="A1130" s="110"/>
      <c r="B1130" s="1009"/>
      <c r="C1130" s="1010"/>
      <c r="D1130" s="253"/>
      <c r="E1130" s="1011"/>
      <c r="F1130" s="262"/>
      <c r="G1130" s="1011"/>
      <c r="H1130" s="262"/>
      <c r="I1130" s="1011"/>
      <c r="J1130" s="262"/>
      <c r="K1130" s="1011"/>
      <c r="L1130" s="262"/>
      <c r="M1130" s="1011"/>
      <c r="N1130" s="262"/>
      <c r="O1130" s="1011"/>
      <c r="P1130" s="262"/>
      <c r="Q1130" s="1011"/>
      <c r="R1130" s="1012"/>
      <c r="S1130" s="1011"/>
      <c r="T1130" s="1012"/>
      <c r="U1130" s="1010"/>
      <c r="V1130" s="1012"/>
      <c r="W1130" s="1010"/>
      <c r="X1130" s="1012"/>
      <c r="Y1130" s="1010"/>
      <c r="Z1130" s="262"/>
      <c r="AA1130" s="110"/>
      <c r="AB1130" s="110"/>
      <c r="AC1130" s="110"/>
      <c r="AD1130" s="110"/>
      <c r="AE1130" s="110"/>
      <c r="AF1130" s="110"/>
      <c r="AG1130" s="110"/>
      <c r="AH1130" s="110"/>
      <c r="AI1130" s="110"/>
      <c r="AJ1130" s="110"/>
      <c r="AK1130" s="110"/>
      <c r="AL1130" s="110"/>
      <c r="AM1130" s="110"/>
      <c r="AN1130" s="110"/>
      <c r="AO1130" s="110"/>
      <c r="AP1130" s="110"/>
      <c r="AQ1130" s="110"/>
      <c r="AR1130" s="110"/>
      <c r="AS1130" s="110"/>
      <c r="AT1130" s="110"/>
      <c r="AU1130" s="110"/>
    </row>
    <row r="1131" spans="1:47" ht="12.75" hidden="1">
      <c r="A1131" s="110"/>
      <c r="B1131" s="1009"/>
      <c r="C1131" s="1010"/>
      <c r="D1131" s="253"/>
      <c r="E1131" s="1011"/>
      <c r="F1131" s="262"/>
      <c r="G1131" s="1011"/>
      <c r="H1131" s="262"/>
      <c r="I1131" s="1011"/>
      <c r="J1131" s="262"/>
      <c r="K1131" s="1011"/>
      <c r="L1131" s="262"/>
      <c r="M1131" s="1011"/>
      <c r="N1131" s="262"/>
      <c r="O1131" s="1011"/>
      <c r="P1131" s="262"/>
      <c r="Q1131" s="1011"/>
      <c r="R1131" s="1012"/>
      <c r="S1131" s="1011"/>
      <c r="T1131" s="1012"/>
      <c r="U1131" s="1010"/>
      <c r="V1131" s="1012"/>
      <c r="W1131" s="1010"/>
      <c r="X1131" s="1012"/>
      <c r="Y1131" s="1010"/>
      <c r="Z1131" s="262"/>
      <c r="AA1131" s="110"/>
      <c r="AB1131" s="110"/>
      <c r="AC1131" s="110"/>
      <c r="AD1131" s="110"/>
      <c r="AE1131" s="110"/>
      <c r="AF1131" s="110"/>
      <c r="AG1131" s="110"/>
      <c r="AH1131" s="110"/>
      <c r="AI1131" s="110"/>
      <c r="AJ1131" s="110"/>
      <c r="AK1131" s="110"/>
      <c r="AL1131" s="110"/>
      <c r="AM1131" s="110"/>
      <c r="AN1131" s="110"/>
      <c r="AO1131" s="110"/>
      <c r="AP1131" s="110"/>
      <c r="AQ1131" s="110"/>
      <c r="AR1131" s="110"/>
      <c r="AS1131" s="110"/>
      <c r="AT1131" s="110"/>
      <c r="AU1131" s="110"/>
    </row>
    <row r="1132" spans="1:47" ht="12.75" hidden="1">
      <c r="A1132" s="110"/>
      <c r="B1132" s="1009"/>
      <c r="C1132" s="1010"/>
      <c r="D1132" s="253"/>
      <c r="E1132" s="1011"/>
      <c r="F1132" s="262"/>
      <c r="G1132" s="1011"/>
      <c r="H1132" s="262"/>
      <c r="I1132" s="1011"/>
      <c r="J1132" s="262"/>
      <c r="K1132" s="1011"/>
      <c r="L1132" s="262"/>
      <c r="M1132" s="1011"/>
      <c r="N1132" s="262"/>
      <c r="O1132" s="1011"/>
      <c r="P1132" s="262"/>
      <c r="Q1132" s="1011"/>
      <c r="R1132" s="1012"/>
      <c r="S1132" s="1011"/>
      <c r="T1132" s="1012"/>
      <c r="U1132" s="1010"/>
      <c r="V1132" s="1012"/>
      <c r="W1132" s="1010"/>
      <c r="X1132" s="1012"/>
      <c r="Y1132" s="1010"/>
      <c r="Z1132" s="262"/>
      <c r="AA1132" s="110"/>
      <c r="AB1132" s="110"/>
      <c r="AC1132" s="110"/>
      <c r="AD1132" s="110"/>
      <c r="AE1132" s="110"/>
      <c r="AF1132" s="110"/>
      <c r="AG1132" s="110"/>
      <c r="AH1132" s="110"/>
      <c r="AI1132" s="110"/>
      <c r="AJ1132" s="110"/>
      <c r="AK1132" s="110"/>
      <c r="AL1132" s="110"/>
      <c r="AM1132" s="110"/>
      <c r="AN1132" s="110"/>
      <c r="AO1132" s="110"/>
      <c r="AP1132" s="110"/>
      <c r="AQ1132" s="110"/>
      <c r="AR1132" s="110"/>
      <c r="AS1132" s="110"/>
      <c r="AT1132" s="110"/>
      <c r="AU1132" s="110"/>
    </row>
    <row r="1133" spans="1:47" ht="12.75" hidden="1">
      <c r="A1133" s="110"/>
      <c r="B1133" s="1009"/>
      <c r="C1133" s="1010"/>
      <c r="D1133" s="253"/>
      <c r="E1133" s="1011"/>
      <c r="F1133" s="262"/>
      <c r="G1133" s="1011"/>
      <c r="H1133" s="262"/>
      <c r="I1133" s="1011"/>
      <c r="J1133" s="262"/>
      <c r="K1133" s="1011"/>
      <c r="L1133" s="262"/>
      <c r="M1133" s="1011"/>
      <c r="N1133" s="262"/>
      <c r="O1133" s="1011"/>
      <c r="P1133" s="262"/>
      <c r="Q1133" s="1011"/>
      <c r="R1133" s="1012"/>
      <c r="S1133" s="1011"/>
      <c r="T1133" s="1012"/>
      <c r="U1133" s="1010"/>
      <c r="V1133" s="1012"/>
      <c r="W1133" s="1010"/>
      <c r="X1133" s="1012"/>
      <c r="Y1133" s="1010"/>
      <c r="Z1133" s="262"/>
      <c r="AA1133" s="110"/>
      <c r="AB1133" s="110"/>
      <c r="AC1133" s="110"/>
      <c r="AD1133" s="110"/>
      <c r="AE1133" s="110"/>
      <c r="AF1133" s="110"/>
      <c r="AG1133" s="110"/>
      <c r="AH1133" s="110"/>
      <c r="AI1133" s="110"/>
      <c r="AJ1133" s="110"/>
      <c r="AK1133" s="110"/>
      <c r="AL1133" s="110"/>
      <c r="AM1133" s="110"/>
      <c r="AN1133" s="110"/>
      <c r="AO1133" s="110"/>
      <c r="AP1133" s="110"/>
      <c r="AQ1133" s="110"/>
      <c r="AR1133" s="110"/>
      <c r="AS1133" s="110"/>
      <c r="AT1133" s="110"/>
      <c r="AU1133" s="110"/>
    </row>
    <row r="1134" spans="1:47" ht="12.75" hidden="1">
      <c r="A1134" s="110"/>
      <c r="B1134" s="1009"/>
      <c r="C1134" s="1010"/>
      <c r="D1134" s="253"/>
      <c r="E1134" s="1011"/>
      <c r="F1134" s="262"/>
      <c r="G1134" s="1011"/>
      <c r="H1134" s="262"/>
      <c r="I1134" s="1011"/>
      <c r="J1134" s="262"/>
      <c r="K1134" s="1011"/>
      <c r="L1134" s="262"/>
      <c r="M1134" s="1011"/>
      <c r="N1134" s="262"/>
      <c r="O1134" s="1011"/>
      <c r="P1134" s="262"/>
      <c r="Q1134" s="1011"/>
      <c r="R1134" s="1012"/>
      <c r="S1134" s="1011"/>
      <c r="T1134" s="1012"/>
      <c r="U1134" s="1010"/>
      <c r="V1134" s="1012"/>
      <c r="W1134" s="1010"/>
      <c r="X1134" s="1012"/>
      <c r="Y1134" s="1010"/>
      <c r="Z1134" s="262"/>
      <c r="AA1134" s="110"/>
      <c r="AB1134" s="110"/>
      <c r="AC1134" s="110"/>
      <c r="AD1134" s="110"/>
      <c r="AE1134" s="110"/>
      <c r="AF1134" s="110"/>
      <c r="AG1134" s="110"/>
      <c r="AH1134" s="110"/>
      <c r="AI1134" s="110"/>
      <c r="AJ1134" s="110"/>
      <c r="AK1134" s="110"/>
      <c r="AL1134" s="110"/>
      <c r="AM1134" s="110"/>
      <c r="AN1134" s="110"/>
      <c r="AO1134" s="110"/>
      <c r="AP1134" s="110"/>
      <c r="AQ1134" s="110"/>
      <c r="AR1134" s="110"/>
      <c r="AS1134" s="110"/>
      <c r="AT1134" s="110"/>
      <c r="AU1134" s="110"/>
    </row>
    <row r="1135" spans="1:47" ht="12.75" hidden="1">
      <c r="A1135" s="110"/>
      <c r="B1135" s="1009"/>
      <c r="C1135" s="1010"/>
      <c r="D1135" s="253"/>
      <c r="E1135" s="1011"/>
      <c r="F1135" s="262"/>
      <c r="G1135" s="1011"/>
      <c r="H1135" s="262"/>
      <c r="I1135" s="1011"/>
      <c r="J1135" s="262"/>
      <c r="K1135" s="1011"/>
      <c r="L1135" s="262"/>
      <c r="M1135" s="1011"/>
      <c r="N1135" s="262"/>
      <c r="O1135" s="1011"/>
      <c r="P1135" s="262"/>
      <c r="Q1135" s="1011"/>
      <c r="R1135" s="1012"/>
      <c r="S1135" s="1011"/>
      <c r="T1135" s="1012"/>
      <c r="U1135" s="1010"/>
      <c r="V1135" s="1012"/>
      <c r="W1135" s="1010"/>
      <c r="X1135" s="1012"/>
      <c r="Y1135" s="1010"/>
      <c r="Z1135" s="262"/>
      <c r="AA1135" s="110"/>
      <c r="AB1135" s="110"/>
      <c r="AC1135" s="110"/>
      <c r="AD1135" s="110"/>
      <c r="AE1135" s="110"/>
      <c r="AF1135" s="110"/>
      <c r="AG1135" s="110"/>
      <c r="AH1135" s="110"/>
      <c r="AI1135" s="110"/>
      <c r="AJ1135" s="110"/>
      <c r="AK1135" s="110"/>
      <c r="AL1135" s="110"/>
      <c r="AM1135" s="110"/>
      <c r="AN1135" s="110"/>
      <c r="AO1135" s="110"/>
      <c r="AP1135" s="110"/>
      <c r="AQ1135" s="110"/>
      <c r="AR1135" s="110"/>
      <c r="AS1135" s="110"/>
      <c r="AT1135" s="110"/>
      <c r="AU1135" s="110"/>
    </row>
    <row r="1136" spans="1:47" ht="12.75" hidden="1">
      <c r="A1136" s="110"/>
      <c r="B1136" s="1009"/>
      <c r="C1136" s="1010"/>
      <c r="D1136" s="253"/>
      <c r="E1136" s="1011"/>
      <c r="F1136" s="262"/>
      <c r="G1136" s="1011"/>
      <c r="H1136" s="262"/>
      <c r="I1136" s="1011"/>
      <c r="J1136" s="262"/>
      <c r="K1136" s="1011"/>
      <c r="L1136" s="262"/>
      <c r="M1136" s="1011"/>
      <c r="N1136" s="262"/>
      <c r="O1136" s="1011"/>
      <c r="P1136" s="262"/>
      <c r="Q1136" s="1011"/>
      <c r="R1136" s="1012"/>
      <c r="S1136" s="1011"/>
      <c r="T1136" s="1012"/>
      <c r="U1136" s="1010"/>
      <c r="V1136" s="1012"/>
      <c r="W1136" s="1010"/>
      <c r="X1136" s="1012"/>
      <c r="Y1136" s="1010"/>
      <c r="Z1136" s="262"/>
      <c r="AA1136" s="110"/>
      <c r="AB1136" s="110"/>
      <c r="AC1136" s="110"/>
      <c r="AD1136" s="110"/>
      <c r="AE1136" s="110"/>
      <c r="AF1136" s="110"/>
      <c r="AG1136" s="110"/>
      <c r="AH1136" s="110"/>
      <c r="AI1136" s="110"/>
      <c r="AJ1136" s="110"/>
      <c r="AK1136" s="110"/>
      <c r="AL1136" s="110"/>
      <c r="AM1136" s="110"/>
      <c r="AN1136" s="110"/>
      <c r="AO1136" s="110"/>
      <c r="AP1136" s="110"/>
      <c r="AQ1136" s="110"/>
      <c r="AR1136" s="110"/>
      <c r="AS1136" s="110"/>
      <c r="AT1136" s="110"/>
      <c r="AU1136" s="110"/>
    </row>
    <row r="1137" spans="1:47" ht="12.75" hidden="1">
      <c r="A1137" s="110"/>
      <c r="B1137" s="1009"/>
      <c r="C1137" s="1010"/>
      <c r="D1137" s="253"/>
      <c r="E1137" s="1011"/>
      <c r="F1137" s="262"/>
      <c r="G1137" s="1011"/>
      <c r="H1137" s="262"/>
      <c r="I1137" s="1011"/>
      <c r="J1137" s="262"/>
      <c r="K1137" s="1011"/>
      <c r="L1137" s="262"/>
      <c r="M1137" s="1011"/>
      <c r="N1137" s="262"/>
      <c r="O1137" s="1011"/>
      <c r="P1137" s="262"/>
      <c r="Q1137" s="1011"/>
      <c r="R1137" s="1012"/>
      <c r="S1137" s="1011"/>
      <c r="T1137" s="1012"/>
      <c r="U1137" s="1010"/>
      <c r="V1137" s="1012"/>
      <c r="W1137" s="1010"/>
      <c r="X1137" s="1012"/>
      <c r="Y1137" s="1010"/>
      <c r="Z1137" s="262"/>
      <c r="AA1137" s="110"/>
      <c r="AB1137" s="110"/>
      <c r="AC1137" s="110"/>
      <c r="AD1137" s="110"/>
      <c r="AE1137" s="110"/>
      <c r="AF1137" s="110"/>
      <c r="AG1137" s="110"/>
      <c r="AH1137" s="110"/>
      <c r="AI1137" s="110"/>
      <c r="AJ1137" s="110"/>
      <c r="AK1137" s="110"/>
      <c r="AL1137" s="110"/>
      <c r="AM1137" s="110"/>
      <c r="AN1137" s="110"/>
      <c r="AO1137" s="110"/>
      <c r="AP1137" s="110"/>
      <c r="AQ1137" s="110"/>
      <c r="AR1137" s="110"/>
      <c r="AS1137" s="110"/>
      <c r="AT1137" s="110"/>
      <c r="AU1137" s="110"/>
    </row>
    <row r="1138" spans="1:47" ht="12.75" hidden="1">
      <c r="A1138" s="110"/>
      <c r="B1138" s="1009"/>
      <c r="C1138" s="1010"/>
      <c r="D1138" s="253"/>
      <c r="E1138" s="1011"/>
      <c r="F1138" s="262"/>
      <c r="G1138" s="1011"/>
      <c r="H1138" s="262"/>
      <c r="I1138" s="1011"/>
      <c r="J1138" s="262"/>
      <c r="K1138" s="1011"/>
      <c r="L1138" s="262"/>
      <c r="M1138" s="1011"/>
      <c r="N1138" s="262"/>
      <c r="O1138" s="1011"/>
      <c r="P1138" s="262"/>
      <c r="Q1138" s="1011"/>
      <c r="R1138" s="1012"/>
      <c r="S1138" s="1011"/>
      <c r="T1138" s="1012"/>
      <c r="U1138" s="1010"/>
      <c r="V1138" s="1012"/>
      <c r="W1138" s="1010"/>
      <c r="X1138" s="1012"/>
      <c r="Y1138" s="1010"/>
      <c r="Z1138" s="262"/>
      <c r="AA1138" s="110"/>
      <c r="AB1138" s="110"/>
      <c r="AC1138" s="110"/>
      <c r="AD1138" s="110"/>
      <c r="AE1138" s="110"/>
      <c r="AF1138" s="110"/>
      <c r="AG1138" s="110"/>
      <c r="AH1138" s="110"/>
      <c r="AI1138" s="110"/>
      <c r="AJ1138" s="110"/>
      <c r="AK1138" s="110"/>
      <c r="AL1138" s="110"/>
      <c r="AM1138" s="110"/>
      <c r="AN1138" s="110"/>
      <c r="AO1138" s="110"/>
      <c r="AP1138" s="110"/>
      <c r="AQ1138" s="110"/>
      <c r="AR1138" s="110"/>
      <c r="AS1138" s="110"/>
      <c r="AT1138" s="110"/>
      <c r="AU1138" s="110"/>
    </row>
    <row r="1139" spans="1:47" ht="12.75" hidden="1">
      <c r="A1139" s="110"/>
      <c r="B1139" s="1009"/>
      <c r="C1139" s="1010"/>
      <c r="D1139" s="253"/>
      <c r="E1139" s="1011"/>
      <c r="F1139" s="262"/>
      <c r="G1139" s="1011"/>
      <c r="H1139" s="262"/>
      <c r="I1139" s="1011"/>
      <c r="J1139" s="262"/>
      <c r="K1139" s="1011"/>
      <c r="L1139" s="262"/>
      <c r="M1139" s="1011"/>
      <c r="N1139" s="262"/>
      <c r="O1139" s="1011"/>
      <c r="P1139" s="262"/>
      <c r="Q1139" s="1011"/>
      <c r="R1139" s="1012"/>
      <c r="S1139" s="1011"/>
      <c r="T1139" s="1012"/>
      <c r="U1139" s="1010"/>
      <c r="V1139" s="1012"/>
      <c r="W1139" s="1010"/>
      <c r="X1139" s="1012"/>
      <c r="Y1139" s="1010"/>
      <c r="Z1139" s="262"/>
      <c r="AA1139" s="110"/>
      <c r="AB1139" s="110"/>
      <c r="AC1139" s="110"/>
      <c r="AD1139" s="110"/>
      <c r="AE1139" s="110"/>
      <c r="AF1139" s="110"/>
      <c r="AG1139" s="110"/>
      <c r="AH1139" s="110"/>
      <c r="AI1139" s="110"/>
      <c r="AJ1139" s="110"/>
      <c r="AK1139" s="110"/>
      <c r="AL1139" s="110"/>
      <c r="AM1139" s="110"/>
      <c r="AN1139" s="110"/>
      <c r="AO1139" s="110"/>
      <c r="AP1139" s="110"/>
      <c r="AQ1139" s="110"/>
      <c r="AR1139" s="110"/>
      <c r="AS1139" s="110"/>
      <c r="AT1139" s="110"/>
      <c r="AU1139" s="110"/>
    </row>
    <row r="1140" spans="1:47" ht="12.75" hidden="1">
      <c r="A1140" s="110"/>
      <c r="B1140" s="1009"/>
      <c r="C1140" s="1010"/>
      <c r="D1140" s="253"/>
      <c r="E1140" s="1011"/>
      <c r="F1140" s="262"/>
      <c r="G1140" s="1011"/>
      <c r="H1140" s="262"/>
      <c r="I1140" s="1011"/>
      <c r="J1140" s="262"/>
      <c r="K1140" s="1011"/>
      <c r="L1140" s="262"/>
      <c r="M1140" s="1011"/>
      <c r="N1140" s="262"/>
      <c r="O1140" s="1011"/>
      <c r="P1140" s="262"/>
      <c r="Q1140" s="1011"/>
      <c r="R1140" s="1012"/>
      <c r="S1140" s="1011"/>
      <c r="T1140" s="1012"/>
      <c r="U1140" s="1010"/>
      <c r="V1140" s="1012"/>
      <c r="W1140" s="1010"/>
      <c r="X1140" s="1012"/>
      <c r="Y1140" s="1010"/>
      <c r="Z1140" s="262"/>
      <c r="AA1140" s="110"/>
      <c r="AB1140" s="110"/>
      <c r="AC1140" s="110"/>
      <c r="AD1140" s="110"/>
      <c r="AE1140" s="110"/>
      <c r="AF1140" s="110"/>
      <c r="AG1140" s="110"/>
      <c r="AH1140" s="110"/>
      <c r="AI1140" s="110"/>
      <c r="AJ1140" s="110"/>
      <c r="AK1140" s="110"/>
      <c r="AL1140" s="110"/>
      <c r="AM1140" s="110"/>
      <c r="AN1140" s="110"/>
      <c r="AO1140" s="110"/>
      <c r="AP1140" s="110"/>
      <c r="AQ1140" s="110"/>
      <c r="AR1140" s="110"/>
      <c r="AS1140" s="110"/>
      <c r="AT1140" s="110"/>
      <c r="AU1140" s="110"/>
    </row>
    <row r="1141" spans="1:47" ht="12.75" hidden="1">
      <c r="A1141" s="110"/>
      <c r="B1141" s="1009"/>
      <c r="C1141" s="1010"/>
      <c r="D1141" s="253"/>
      <c r="E1141" s="1011"/>
      <c r="F1141" s="262"/>
      <c r="G1141" s="1011"/>
      <c r="H1141" s="262"/>
      <c r="I1141" s="1011"/>
      <c r="J1141" s="262"/>
      <c r="K1141" s="1011"/>
      <c r="L1141" s="262"/>
      <c r="M1141" s="1011"/>
      <c r="N1141" s="262"/>
      <c r="O1141" s="1011"/>
      <c r="P1141" s="262"/>
      <c r="Q1141" s="1011"/>
      <c r="R1141" s="1012"/>
      <c r="S1141" s="1011"/>
      <c r="T1141" s="1012"/>
      <c r="U1141" s="1010"/>
      <c r="V1141" s="1012"/>
      <c r="W1141" s="1010"/>
      <c r="X1141" s="1012"/>
      <c r="Y1141" s="1010"/>
      <c r="Z1141" s="262"/>
      <c r="AA1141" s="110"/>
      <c r="AB1141" s="110"/>
      <c r="AC1141" s="110"/>
      <c r="AD1141" s="110"/>
      <c r="AE1141" s="110"/>
      <c r="AF1141" s="110"/>
      <c r="AG1141" s="110"/>
      <c r="AH1141" s="110"/>
      <c r="AI1141" s="110"/>
      <c r="AJ1141" s="110"/>
      <c r="AK1141" s="110"/>
      <c r="AL1141" s="110"/>
      <c r="AM1141" s="110"/>
      <c r="AN1141" s="110"/>
      <c r="AO1141" s="110"/>
      <c r="AP1141" s="110"/>
      <c r="AQ1141" s="110"/>
      <c r="AR1141" s="110"/>
      <c r="AS1141" s="110"/>
      <c r="AT1141" s="110"/>
      <c r="AU1141" s="110"/>
    </row>
    <row r="1142" spans="1:47" ht="12.75" hidden="1">
      <c r="A1142" s="110"/>
      <c r="B1142" s="1009"/>
      <c r="C1142" s="1010"/>
      <c r="D1142" s="253"/>
      <c r="E1142" s="1011"/>
      <c r="F1142" s="262"/>
      <c r="G1142" s="1011"/>
      <c r="H1142" s="262"/>
      <c r="I1142" s="1011"/>
      <c r="J1142" s="262"/>
      <c r="K1142" s="1011"/>
      <c r="L1142" s="262"/>
      <c r="M1142" s="1011"/>
      <c r="N1142" s="262"/>
      <c r="O1142" s="1011"/>
      <c r="P1142" s="262"/>
      <c r="Q1142" s="1011"/>
      <c r="R1142" s="1012"/>
      <c r="S1142" s="1011"/>
      <c r="T1142" s="1012"/>
      <c r="U1142" s="1010"/>
      <c r="V1142" s="1012"/>
      <c r="W1142" s="1010"/>
      <c r="X1142" s="1012"/>
      <c r="Y1142" s="1010"/>
      <c r="Z1142" s="262"/>
      <c r="AA1142" s="110"/>
      <c r="AB1142" s="110"/>
      <c r="AC1142" s="110"/>
      <c r="AD1142" s="110"/>
      <c r="AE1142" s="110"/>
      <c r="AF1142" s="110"/>
      <c r="AG1142" s="110"/>
      <c r="AH1142" s="110"/>
      <c r="AI1142" s="110"/>
      <c r="AJ1142" s="110"/>
      <c r="AK1142" s="110"/>
      <c r="AL1142" s="110"/>
      <c r="AM1142" s="110"/>
      <c r="AN1142" s="110"/>
      <c r="AO1142" s="110"/>
      <c r="AP1142" s="110"/>
      <c r="AQ1142" s="110"/>
      <c r="AR1142" s="110"/>
      <c r="AS1142" s="110"/>
      <c r="AT1142" s="110"/>
      <c r="AU1142" s="110"/>
    </row>
    <row r="1143" spans="1:47" ht="12.75" hidden="1">
      <c r="A1143" s="110"/>
      <c r="B1143" s="1009"/>
      <c r="C1143" s="1010"/>
      <c r="D1143" s="253"/>
      <c r="E1143" s="1011"/>
      <c r="F1143" s="262"/>
      <c r="G1143" s="1011"/>
      <c r="H1143" s="262"/>
      <c r="I1143" s="1011"/>
      <c r="J1143" s="262"/>
      <c r="K1143" s="1011"/>
      <c r="L1143" s="262"/>
      <c r="M1143" s="1011"/>
      <c r="N1143" s="262"/>
      <c r="O1143" s="1011"/>
      <c r="P1143" s="262"/>
      <c r="Q1143" s="1011"/>
      <c r="R1143" s="1012"/>
      <c r="S1143" s="1011"/>
      <c r="T1143" s="1012"/>
      <c r="U1143" s="1010"/>
      <c r="V1143" s="1012"/>
      <c r="W1143" s="1010"/>
      <c r="X1143" s="1012"/>
      <c r="Y1143" s="1010"/>
      <c r="Z1143" s="262"/>
      <c r="AA1143" s="110"/>
      <c r="AB1143" s="110"/>
      <c r="AC1143" s="110"/>
      <c r="AD1143" s="110"/>
      <c r="AE1143" s="110"/>
      <c r="AF1143" s="110"/>
      <c r="AG1143" s="110"/>
      <c r="AH1143" s="110"/>
      <c r="AI1143" s="110"/>
      <c r="AJ1143" s="110"/>
      <c r="AK1143" s="110"/>
      <c r="AL1143" s="110"/>
      <c r="AM1143" s="110"/>
      <c r="AN1143" s="110"/>
      <c r="AO1143" s="110"/>
      <c r="AP1143" s="110"/>
      <c r="AQ1143" s="110"/>
      <c r="AR1143" s="110"/>
      <c r="AS1143" s="110"/>
      <c r="AT1143" s="110"/>
      <c r="AU1143" s="110"/>
    </row>
    <row r="1144" spans="1:47" ht="12.75" hidden="1">
      <c r="A1144" s="110"/>
      <c r="B1144" s="1009"/>
      <c r="C1144" s="1010"/>
      <c r="D1144" s="253"/>
      <c r="E1144" s="1011"/>
      <c r="F1144" s="262"/>
      <c r="G1144" s="1011"/>
      <c r="H1144" s="262"/>
      <c r="I1144" s="1011"/>
      <c r="J1144" s="262"/>
      <c r="K1144" s="1011"/>
      <c r="L1144" s="262"/>
      <c r="M1144" s="1011"/>
      <c r="N1144" s="262"/>
      <c r="O1144" s="1011"/>
      <c r="P1144" s="262"/>
      <c r="Q1144" s="1011"/>
      <c r="R1144" s="1012"/>
      <c r="S1144" s="1011"/>
      <c r="T1144" s="1012"/>
      <c r="U1144" s="1010"/>
      <c r="V1144" s="1012"/>
      <c r="W1144" s="1010"/>
      <c r="X1144" s="1012"/>
      <c r="Y1144" s="1010"/>
      <c r="Z1144" s="262"/>
      <c r="AA1144" s="110"/>
      <c r="AB1144" s="110"/>
      <c r="AC1144" s="110"/>
      <c r="AD1144" s="110"/>
      <c r="AE1144" s="110"/>
      <c r="AF1144" s="110"/>
      <c r="AG1144" s="110"/>
      <c r="AH1144" s="110"/>
      <c r="AI1144" s="110"/>
      <c r="AJ1144" s="110"/>
      <c r="AK1144" s="110"/>
      <c r="AL1144" s="110"/>
      <c r="AM1144" s="110"/>
      <c r="AN1144" s="110"/>
      <c r="AO1144" s="110"/>
      <c r="AP1144" s="110"/>
      <c r="AQ1144" s="110"/>
      <c r="AR1144" s="110"/>
      <c r="AS1144" s="110"/>
      <c r="AT1144" s="110"/>
      <c r="AU1144" s="110"/>
    </row>
    <row r="1145" spans="1:47" ht="12.75" hidden="1">
      <c r="A1145" s="110"/>
      <c r="B1145" s="1009"/>
      <c r="C1145" s="1010"/>
      <c r="D1145" s="253"/>
      <c r="E1145" s="1011"/>
      <c r="F1145" s="262"/>
      <c r="G1145" s="1011"/>
      <c r="H1145" s="262"/>
      <c r="I1145" s="1011"/>
      <c r="J1145" s="262"/>
      <c r="K1145" s="1011"/>
      <c r="L1145" s="262"/>
      <c r="M1145" s="1011"/>
      <c r="N1145" s="262"/>
      <c r="O1145" s="1011"/>
      <c r="P1145" s="262"/>
      <c r="Q1145" s="1011"/>
      <c r="R1145" s="1012"/>
      <c r="S1145" s="1011"/>
      <c r="T1145" s="1012"/>
      <c r="U1145" s="1010"/>
      <c r="V1145" s="1012"/>
      <c r="W1145" s="1010"/>
      <c r="X1145" s="1012"/>
      <c r="Y1145" s="1010"/>
      <c r="Z1145" s="262"/>
      <c r="AA1145" s="110"/>
      <c r="AB1145" s="110"/>
      <c r="AC1145" s="110"/>
      <c r="AD1145" s="110"/>
      <c r="AE1145" s="110"/>
      <c r="AF1145" s="110"/>
      <c r="AG1145" s="110"/>
      <c r="AH1145" s="110"/>
      <c r="AI1145" s="110"/>
      <c r="AJ1145" s="110"/>
      <c r="AK1145" s="110"/>
      <c r="AL1145" s="110"/>
      <c r="AM1145" s="110"/>
      <c r="AN1145" s="110"/>
      <c r="AO1145" s="110"/>
      <c r="AP1145" s="110"/>
      <c r="AQ1145" s="110"/>
      <c r="AR1145" s="110"/>
      <c r="AS1145" s="110"/>
      <c r="AT1145" s="110"/>
      <c r="AU1145" s="110"/>
    </row>
    <row r="1146" spans="1:47" ht="12.75" hidden="1">
      <c r="A1146" s="110"/>
      <c r="B1146" s="1009"/>
      <c r="C1146" s="1010"/>
      <c r="D1146" s="253"/>
      <c r="E1146" s="1011"/>
      <c r="F1146" s="262"/>
      <c r="G1146" s="1011"/>
      <c r="H1146" s="262"/>
      <c r="I1146" s="1011"/>
      <c r="J1146" s="262"/>
      <c r="K1146" s="1011"/>
      <c r="L1146" s="262"/>
      <c r="M1146" s="1011"/>
      <c r="N1146" s="262"/>
      <c r="O1146" s="1011"/>
      <c r="P1146" s="262"/>
      <c r="Q1146" s="1011"/>
      <c r="R1146" s="1012"/>
      <c r="S1146" s="1011"/>
      <c r="T1146" s="1012"/>
      <c r="U1146" s="1010"/>
      <c r="V1146" s="1012"/>
      <c r="W1146" s="1010"/>
      <c r="X1146" s="1012"/>
      <c r="Y1146" s="1010"/>
      <c r="Z1146" s="262"/>
      <c r="AA1146" s="110"/>
      <c r="AB1146" s="110"/>
      <c r="AC1146" s="110"/>
      <c r="AD1146" s="110"/>
      <c r="AE1146" s="110"/>
      <c r="AF1146" s="110"/>
      <c r="AG1146" s="110"/>
      <c r="AH1146" s="110"/>
      <c r="AI1146" s="110"/>
      <c r="AJ1146" s="110"/>
      <c r="AK1146" s="110"/>
      <c r="AL1146" s="110"/>
      <c r="AM1146" s="110"/>
      <c r="AN1146" s="110"/>
      <c r="AO1146" s="110"/>
      <c r="AP1146" s="110"/>
      <c r="AQ1146" s="110"/>
      <c r="AR1146" s="110"/>
      <c r="AS1146" s="110"/>
      <c r="AT1146" s="110"/>
      <c r="AU1146" s="110"/>
    </row>
    <row r="1147" spans="1:47" ht="12.75" hidden="1">
      <c r="A1147" s="110"/>
      <c r="B1147" s="1009"/>
      <c r="C1147" s="1010"/>
      <c r="D1147" s="253"/>
      <c r="E1147" s="1011"/>
      <c r="F1147" s="262"/>
      <c r="G1147" s="1011"/>
      <c r="H1147" s="262"/>
      <c r="I1147" s="1011"/>
      <c r="J1147" s="262"/>
      <c r="K1147" s="1011"/>
      <c r="L1147" s="262"/>
      <c r="M1147" s="1011"/>
      <c r="N1147" s="262"/>
      <c r="O1147" s="1011"/>
      <c r="P1147" s="262"/>
      <c r="Q1147" s="1011"/>
      <c r="R1147" s="1012"/>
      <c r="S1147" s="1011"/>
      <c r="T1147" s="1012"/>
      <c r="U1147" s="1010"/>
      <c r="V1147" s="1012"/>
      <c r="W1147" s="1010"/>
      <c r="X1147" s="1012"/>
      <c r="Y1147" s="1010"/>
      <c r="Z1147" s="262"/>
      <c r="AA1147" s="110"/>
      <c r="AB1147" s="110"/>
      <c r="AC1147" s="110"/>
      <c r="AD1147" s="110"/>
      <c r="AE1147" s="110"/>
      <c r="AF1147" s="110"/>
      <c r="AG1147" s="110"/>
      <c r="AH1147" s="110"/>
      <c r="AI1147" s="110"/>
      <c r="AJ1147" s="110"/>
      <c r="AK1147" s="110"/>
      <c r="AL1147" s="110"/>
      <c r="AM1147" s="110"/>
      <c r="AN1147" s="110"/>
      <c r="AO1147" s="110"/>
      <c r="AP1147" s="110"/>
      <c r="AQ1147" s="110"/>
      <c r="AR1147" s="110"/>
      <c r="AS1147" s="110"/>
      <c r="AT1147" s="110"/>
      <c r="AU1147" s="110"/>
    </row>
    <row r="1148" spans="1:47" ht="12.75" hidden="1">
      <c r="A1148" s="110"/>
      <c r="B1148" s="1009"/>
      <c r="C1148" s="1010"/>
      <c r="D1148" s="253"/>
      <c r="E1148" s="1011"/>
      <c r="F1148" s="262"/>
      <c r="G1148" s="1011"/>
      <c r="H1148" s="262"/>
      <c r="I1148" s="1011"/>
      <c r="J1148" s="262"/>
      <c r="K1148" s="1011"/>
      <c r="L1148" s="262"/>
      <c r="M1148" s="1011"/>
      <c r="N1148" s="262"/>
      <c r="O1148" s="1011"/>
      <c r="P1148" s="262"/>
      <c r="Q1148" s="1011"/>
      <c r="R1148" s="1012"/>
      <c r="S1148" s="1011"/>
      <c r="T1148" s="1012"/>
      <c r="U1148" s="1010"/>
      <c r="V1148" s="1012"/>
      <c r="W1148" s="1010"/>
      <c r="X1148" s="1012"/>
      <c r="Y1148" s="1010"/>
      <c r="Z1148" s="262"/>
      <c r="AA1148" s="110"/>
      <c r="AB1148" s="110"/>
      <c r="AC1148" s="110"/>
      <c r="AD1148" s="110"/>
      <c r="AE1148" s="110"/>
      <c r="AF1148" s="110"/>
      <c r="AG1148" s="110"/>
      <c r="AH1148" s="110"/>
      <c r="AI1148" s="110"/>
      <c r="AJ1148" s="110"/>
      <c r="AK1148" s="110"/>
      <c r="AL1148" s="110"/>
      <c r="AM1148" s="110"/>
      <c r="AN1148" s="110"/>
      <c r="AO1148" s="110"/>
      <c r="AP1148" s="110"/>
      <c r="AQ1148" s="110"/>
      <c r="AR1148" s="110"/>
      <c r="AS1148" s="110"/>
      <c r="AT1148" s="110"/>
      <c r="AU1148" s="110"/>
    </row>
    <row r="1149" spans="1:47" ht="12.75" hidden="1">
      <c r="A1149" s="110"/>
      <c r="B1149" s="1009"/>
      <c r="C1149" s="1010"/>
      <c r="D1149" s="253"/>
      <c r="E1149" s="1011"/>
      <c r="F1149" s="262"/>
      <c r="G1149" s="1011"/>
      <c r="H1149" s="262"/>
      <c r="I1149" s="1011"/>
      <c r="J1149" s="262"/>
      <c r="K1149" s="1011"/>
      <c r="L1149" s="262"/>
      <c r="M1149" s="1011"/>
      <c r="N1149" s="262"/>
      <c r="O1149" s="1011"/>
      <c r="P1149" s="262"/>
      <c r="Q1149" s="1011"/>
      <c r="R1149" s="1012"/>
      <c r="S1149" s="1011"/>
      <c r="T1149" s="1012"/>
      <c r="U1149" s="1010"/>
      <c r="V1149" s="1012"/>
      <c r="W1149" s="1010"/>
      <c r="X1149" s="1012"/>
      <c r="Y1149" s="1010"/>
      <c r="Z1149" s="262"/>
      <c r="AA1149" s="110"/>
      <c r="AB1149" s="110"/>
      <c r="AC1149" s="110"/>
      <c r="AD1149" s="110"/>
      <c r="AE1149" s="110"/>
      <c r="AF1149" s="110"/>
      <c r="AG1149" s="110"/>
      <c r="AH1149" s="110"/>
      <c r="AI1149" s="110"/>
      <c r="AJ1149" s="110"/>
      <c r="AK1149" s="110"/>
      <c r="AL1149" s="110"/>
      <c r="AM1149" s="110"/>
      <c r="AN1149" s="110"/>
      <c r="AO1149" s="110"/>
      <c r="AP1149" s="110"/>
      <c r="AQ1149" s="110"/>
      <c r="AR1149" s="110"/>
      <c r="AS1149" s="110"/>
      <c r="AT1149" s="110"/>
      <c r="AU1149" s="110"/>
    </row>
    <row r="1150" spans="1:47" ht="12.75" hidden="1">
      <c r="A1150" s="110"/>
      <c r="B1150" s="1009"/>
      <c r="C1150" s="1010"/>
      <c r="D1150" s="253"/>
      <c r="E1150" s="1011"/>
      <c r="F1150" s="262"/>
      <c r="G1150" s="1011"/>
      <c r="H1150" s="262"/>
      <c r="I1150" s="1011"/>
      <c r="J1150" s="262"/>
      <c r="K1150" s="1011"/>
      <c r="L1150" s="262"/>
      <c r="M1150" s="1011"/>
      <c r="N1150" s="262"/>
      <c r="O1150" s="1011"/>
      <c r="P1150" s="262"/>
      <c r="Q1150" s="1011"/>
      <c r="R1150" s="1012"/>
      <c r="S1150" s="1011"/>
      <c r="T1150" s="1012"/>
      <c r="U1150" s="1010"/>
      <c r="V1150" s="1012"/>
      <c r="W1150" s="1010"/>
      <c r="X1150" s="1012"/>
      <c r="Y1150" s="1010"/>
      <c r="Z1150" s="262"/>
      <c r="AA1150" s="110"/>
      <c r="AB1150" s="110"/>
      <c r="AC1150" s="110"/>
      <c r="AD1150" s="110"/>
      <c r="AE1150" s="110"/>
      <c r="AF1150" s="110"/>
      <c r="AG1150" s="110"/>
      <c r="AH1150" s="110"/>
      <c r="AI1150" s="110"/>
      <c r="AJ1150" s="110"/>
      <c r="AK1150" s="110"/>
      <c r="AL1150" s="110"/>
      <c r="AM1150" s="110"/>
      <c r="AN1150" s="110"/>
      <c r="AO1150" s="110"/>
      <c r="AP1150" s="110"/>
      <c r="AQ1150" s="110"/>
      <c r="AR1150" s="110"/>
      <c r="AS1150" s="110"/>
      <c r="AT1150" s="110"/>
      <c r="AU1150" s="110"/>
    </row>
    <row r="1151" spans="1:47" ht="12.75" hidden="1">
      <c r="A1151" s="110"/>
      <c r="B1151" s="1009"/>
      <c r="C1151" s="1010"/>
      <c r="D1151" s="253"/>
      <c r="E1151" s="1011"/>
      <c r="F1151" s="262"/>
      <c r="G1151" s="1011"/>
      <c r="H1151" s="262"/>
      <c r="I1151" s="1011"/>
      <c r="J1151" s="262"/>
      <c r="K1151" s="1011"/>
      <c r="L1151" s="262"/>
      <c r="M1151" s="1011"/>
      <c r="N1151" s="262"/>
      <c r="O1151" s="1011"/>
      <c r="P1151" s="262"/>
      <c r="Q1151" s="1011"/>
      <c r="R1151" s="1012"/>
      <c r="S1151" s="1011"/>
      <c r="T1151" s="1012"/>
      <c r="U1151" s="1010"/>
      <c r="V1151" s="1012"/>
      <c r="W1151" s="1010"/>
      <c r="X1151" s="1012"/>
      <c r="Y1151" s="1010"/>
      <c r="Z1151" s="262"/>
      <c r="AA1151" s="110"/>
      <c r="AB1151" s="110"/>
      <c r="AC1151" s="110"/>
      <c r="AD1151" s="110"/>
      <c r="AE1151" s="110"/>
      <c r="AF1151" s="110"/>
      <c r="AG1151" s="110"/>
      <c r="AH1151" s="110"/>
      <c r="AI1151" s="110"/>
      <c r="AJ1151" s="110"/>
      <c r="AK1151" s="110"/>
      <c r="AL1151" s="110"/>
      <c r="AM1151" s="110"/>
      <c r="AN1151" s="110"/>
      <c r="AO1151" s="110"/>
      <c r="AP1151" s="110"/>
      <c r="AQ1151" s="110"/>
      <c r="AR1151" s="110"/>
      <c r="AS1151" s="110"/>
      <c r="AT1151" s="110"/>
      <c r="AU1151" s="110"/>
    </row>
    <row r="1152" spans="1:47" ht="12.75" hidden="1">
      <c r="A1152" s="110"/>
      <c r="B1152" s="1009"/>
      <c r="C1152" s="1010"/>
      <c r="D1152" s="253"/>
      <c r="E1152" s="1011"/>
      <c r="F1152" s="262"/>
      <c r="G1152" s="1011"/>
      <c r="H1152" s="262"/>
      <c r="I1152" s="1011"/>
      <c r="J1152" s="262"/>
      <c r="K1152" s="1011"/>
      <c r="L1152" s="262"/>
      <c r="M1152" s="1011"/>
      <c r="N1152" s="262"/>
      <c r="O1152" s="1011"/>
      <c r="P1152" s="262"/>
      <c r="Q1152" s="1011"/>
      <c r="R1152" s="1012"/>
      <c r="S1152" s="1011"/>
      <c r="T1152" s="1012"/>
      <c r="U1152" s="1010"/>
      <c r="V1152" s="1012"/>
      <c r="W1152" s="1010"/>
      <c r="X1152" s="1012"/>
      <c r="Y1152" s="1010"/>
      <c r="Z1152" s="262"/>
      <c r="AA1152" s="110"/>
      <c r="AB1152" s="110"/>
      <c r="AC1152" s="110"/>
      <c r="AD1152" s="110"/>
      <c r="AE1152" s="110"/>
      <c r="AF1152" s="110"/>
      <c r="AG1152" s="110"/>
      <c r="AH1152" s="110"/>
      <c r="AI1152" s="110"/>
      <c r="AJ1152" s="110"/>
      <c r="AK1152" s="110"/>
      <c r="AL1152" s="110"/>
      <c r="AM1152" s="110"/>
      <c r="AN1152" s="110"/>
      <c r="AO1152" s="110"/>
      <c r="AP1152" s="110"/>
      <c r="AQ1152" s="110"/>
      <c r="AR1152" s="110"/>
      <c r="AS1152" s="110"/>
      <c r="AT1152" s="110"/>
      <c r="AU1152" s="110"/>
    </row>
    <row r="1153" spans="1:47" ht="12.75" hidden="1">
      <c r="A1153" s="110"/>
      <c r="B1153" s="1009"/>
      <c r="C1153" s="1010"/>
      <c r="D1153" s="253"/>
      <c r="E1153" s="1011"/>
      <c r="F1153" s="262"/>
      <c r="G1153" s="1011"/>
      <c r="H1153" s="262"/>
      <c r="I1153" s="1011"/>
      <c r="J1153" s="262"/>
      <c r="K1153" s="1011"/>
      <c r="L1153" s="262"/>
      <c r="M1153" s="1011"/>
      <c r="N1153" s="262"/>
      <c r="O1153" s="1011"/>
      <c r="P1153" s="262"/>
      <c r="Q1153" s="1011"/>
      <c r="R1153" s="1012"/>
      <c r="S1153" s="1011"/>
      <c r="T1153" s="1012"/>
      <c r="U1153" s="1010"/>
      <c r="V1153" s="1012"/>
      <c r="W1153" s="1010"/>
      <c r="X1153" s="1012"/>
      <c r="Y1153" s="1010"/>
      <c r="Z1153" s="262"/>
      <c r="AA1153" s="110"/>
      <c r="AB1153" s="110"/>
      <c r="AC1153" s="110"/>
      <c r="AD1153" s="110"/>
      <c r="AE1153" s="110"/>
      <c r="AF1153" s="110"/>
      <c r="AG1153" s="110"/>
      <c r="AH1153" s="110"/>
      <c r="AI1153" s="110"/>
      <c r="AJ1153" s="110"/>
      <c r="AK1153" s="110"/>
      <c r="AL1153" s="110"/>
      <c r="AM1153" s="110"/>
      <c r="AN1153" s="110"/>
      <c r="AO1153" s="110"/>
      <c r="AP1153" s="110"/>
      <c r="AQ1153" s="110"/>
      <c r="AR1153" s="110"/>
      <c r="AS1153" s="110"/>
      <c r="AT1153" s="110"/>
      <c r="AU1153" s="110"/>
    </row>
    <row r="1154" spans="1:47" ht="12.75" hidden="1">
      <c r="A1154" s="110"/>
      <c r="B1154" s="1009"/>
      <c r="C1154" s="1010"/>
      <c r="D1154" s="253"/>
      <c r="E1154" s="1011"/>
      <c r="F1154" s="262"/>
      <c r="G1154" s="1011"/>
      <c r="H1154" s="262"/>
      <c r="I1154" s="1011"/>
      <c r="J1154" s="262"/>
      <c r="K1154" s="1011"/>
      <c r="L1154" s="262"/>
      <c r="M1154" s="1011"/>
      <c r="N1154" s="262"/>
      <c r="O1154" s="1011"/>
      <c r="P1154" s="262"/>
      <c r="Q1154" s="1011"/>
      <c r="R1154" s="1012"/>
      <c r="S1154" s="1011"/>
      <c r="T1154" s="1012"/>
      <c r="U1154" s="1010"/>
      <c r="V1154" s="1012"/>
      <c r="W1154" s="1010"/>
      <c r="X1154" s="1012"/>
      <c r="Y1154" s="1010"/>
      <c r="Z1154" s="262"/>
      <c r="AA1154" s="110"/>
      <c r="AB1154" s="110"/>
      <c r="AC1154" s="110"/>
      <c r="AD1154" s="110"/>
      <c r="AE1154" s="110"/>
      <c r="AF1154" s="110"/>
      <c r="AG1154" s="110"/>
      <c r="AH1154" s="110"/>
      <c r="AI1154" s="110"/>
      <c r="AJ1154" s="110"/>
      <c r="AK1154" s="110"/>
      <c r="AL1154" s="110"/>
      <c r="AM1154" s="110"/>
      <c r="AN1154" s="110"/>
      <c r="AO1154" s="110"/>
      <c r="AP1154" s="110"/>
      <c r="AQ1154" s="110"/>
      <c r="AR1154" s="110"/>
      <c r="AS1154" s="110"/>
      <c r="AT1154" s="110"/>
      <c r="AU1154" s="110"/>
    </row>
    <row r="1155" spans="1:47" ht="12.75" hidden="1">
      <c r="A1155" s="110"/>
      <c r="B1155" s="1009"/>
      <c r="C1155" s="1010"/>
      <c r="D1155" s="253"/>
      <c r="E1155" s="1011"/>
      <c r="F1155" s="262"/>
      <c r="G1155" s="1011"/>
      <c r="H1155" s="262"/>
      <c r="I1155" s="1011"/>
      <c r="J1155" s="262"/>
      <c r="K1155" s="1011"/>
      <c r="L1155" s="262"/>
      <c r="M1155" s="1011"/>
      <c r="N1155" s="262"/>
      <c r="O1155" s="1011"/>
      <c r="P1155" s="262"/>
      <c r="Q1155" s="1011"/>
      <c r="R1155" s="1012"/>
      <c r="S1155" s="1011"/>
      <c r="T1155" s="1012"/>
      <c r="U1155" s="1010"/>
      <c r="V1155" s="1012"/>
      <c r="W1155" s="1010"/>
      <c r="X1155" s="1012"/>
      <c r="Y1155" s="1010"/>
      <c r="Z1155" s="262"/>
      <c r="AA1155" s="110"/>
      <c r="AB1155" s="110"/>
      <c r="AC1155" s="110"/>
      <c r="AD1155" s="110"/>
      <c r="AE1155" s="110"/>
      <c r="AF1155" s="110"/>
      <c r="AG1155" s="110"/>
      <c r="AH1155" s="110"/>
      <c r="AI1155" s="110"/>
      <c r="AJ1155" s="110"/>
      <c r="AK1155" s="110"/>
      <c r="AL1155" s="110"/>
      <c r="AM1155" s="110"/>
      <c r="AN1155" s="110"/>
      <c r="AO1155" s="110"/>
      <c r="AP1155" s="110"/>
      <c r="AQ1155" s="110"/>
      <c r="AR1155" s="110"/>
      <c r="AS1155" s="110"/>
      <c r="AT1155" s="110"/>
      <c r="AU1155" s="110"/>
    </row>
    <row r="1156" spans="1:47" ht="12.75" hidden="1">
      <c r="A1156" s="110"/>
      <c r="B1156" s="1009"/>
      <c r="C1156" s="1010"/>
      <c r="D1156" s="253"/>
      <c r="E1156" s="1011"/>
      <c r="F1156" s="262"/>
      <c r="G1156" s="1011"/>
      <c r="H1156" s="262"/>
      <c r="I1156" s="1011"/>
      <c r="J1156" s="262"/>
      <c r="K1156" s="1011"/>
      <c r="L1156" s="262"/>
      <c r="M1156" s="1011"/>
      <c r="N1156" s="262"/>
      <c r="O1156" s="1011"/>
      <c r="P1156" s="262"/>
      <c r="Q1156" s="1011"/>
      <c r="R1156" s="1012"/>
      <c r="S1156" s="1011"/>
      <c r="T1156" s="1012"/>
      <c r="U1156" s="1010"/>
      <c r="V1156" s="1012"/>
      <c r="W1156" s="1010"/>
      <c r="X1156" s="1012"/>
      <c r="Y1156" s="1010"/>
      <c r="Z1156" s="262"/>
      <c r="AA1156" s="110"/>
      <c r="AB1156" s="110"/>
      <c r="AC1156" s="110"/>
      <c r="AD1156" s="110"/>
      <c r="AE1156" s="110"/>
      <c r="AF1156" s="110"/>
      <c r="AG1156" s="110"/>
      <c r="AH1156" s="110"/>
      <c r="AI1156" s="110"/>
      <c r="AJ1156" s="110"/>
      <c r="AK1156" s="110"/>
      <c r="AL1156" s="110"/>
      <c r="AM1156" s="110"/>
      <c r="AN1156" s="110"/>
      <c r="AO1156" s="110"/>
      <c r="AP1156" s="110"/>
      <c r="AQ1156" s="110"/>
      <c r="AR1156" s="110"/>
      <c r="AS1156" s="110"/>
      <c r="AT1156" s="110"/>
      <c r="AU1156" s="110"/>
    </row>
    <row r="1157" spans="1:47" ht="12.75" hidden="1">
      <c r="A1157" s="110"/>
      <c r="B1157" s="1009"/>
      <c r="C1157" s="1010"/>
      <c r="D1157" s="253"/>
      <c r="E1157" s="1011"/>
      <c r="F1157" s="262"/>
      <c r="G1157" s="1011"/>
      <c r="H1157" s="262"/>
      <c r="I1157" s="1011"/>
      <c r="J1157" s="262"/>
      <c r="K1157" s="1011"/>
      <c r="L1157" s="262"/>
      <c r="M1157" s="1011"/>
      <c r="N1157" s="262"/>
      <c r="O1157" s="1011"/>
      <c r="P1157" s="262"/>
      <c r="Q1157" s="1011"/>
      <c r="R1157" s="1012"/>
      <c r="S1157" s="1011"/>
      <c r="T1157" s="1012"/>
      <c r="U1157" s="1010"/>
      <c r="V1157" s="1012"/>
      <c r="W1157" s="1010"/>
      <c r="X1157" s="1012"/>
      <c r="Y1157" s="1010"/>
      <c r="Z1157" s="262"/>
      <c r="AA1157" s="110"/>
      <c r="AB1157" s="110"/>
      <c r="AC1157" s="110"/>
      <c r="AD1157" s="110"/>
      <c r="AE1157" s="110"/>
      <c r="AF1157" s="110"/>
      <c r="AG1157" s="110"/>
      <c r="AH1157" s="110"/>
      <c r="AI1157" s="110"/>
      <c r="AJ1157" s="110"/>
      <c r="AK1157" s="110"/>
      <c r="AL1157" s="110"/>
      <c r="AM1157" s="110"/>
      <c r="AN1157" s="110"/>
      <c r="AO1157" s="110"/>
      <c r="AP1157" s="110"/>
      <c r="AQ1157" s="110"/>
      <c r="AR1157" s="110"/>
      <c r="AS1157" s="110"/>
      <c r="AT1157" s="110"/>
      <c r="AU1157" s="110"/>
    </row>
    <row r="1158" spans="1:47" ht="12.75" hidden="1">
      <c r="A1158" s="110"/>
      <c r="B1158" s="1009"/>
      <c r="C1158" s="1010"/>
      <c r="D1158" s="253"/>
      <c r="E1158" s="1011"/>
      <c r="F1158" s="262"/>
      <c r="G1158" s="1011"/>
      <c r="H1158" s="262"/>
      <c r="I1158" s="1011"/>
      <c r="J1158" s="262"/>
      <c r="K1158" s="1011"/>
      <c r="L1158" s="262"/>
      <c r="M1158" s="1011"/>
      <c r="N1158" s="262"/>
      <c r="O1158" s="1011"/>
      <c r="P1158" s="262"/>
      <c r="Q1158" s="1011"/>
      <c r="R1158" s="1012"/>
      <c r="S1158" s="1011"/>
      <c r="T1158" s="1012"/>
      <c r="U1158" s="1010"/>
      <c r="V1158" s="1012"/>
      <c r="W1158" s="1010"/>
      <c r="X1158" s="1012"/>
      <c r="Y1158" s="1010"/>
      <c r="Z1158" s="262"/>
      <c r="AA1158" s="110"/>
      <c r="AB1158" s="110"/>
      <c r="AC1158" s="110"/>
      <c r="AD1158" s="110"/>
      <c r="AE1158" s="110"/>
      <c r="AF1158" s="110"/>
      <c r="AG1158" s="110"/>
      <c r="AH1158" s="110"/>
      <c r="AI1158" s="110"/>
      <c r="AJ1158" s="110"/>
      <c r="AK1158" s="110"/>
      <c r="AL1158" s="110"/>
      <c r="AM1158" s="110"/>
      <c r="AN1158" s="110"/>
      <c r="AO1158" s="110"/>
      <c r="AP1158" s="110"/>
      <c r="AQ1158" s="110"/>
      <c r="AR1158" s="110"/>
      <c r="AS1158" s="110"/>
      <c r="AT1158" s="110"/>
      <c r="AU1158" s="110"/>
    </row>
    <row r="1159" spans="1:47" ht="12.75" hidden="1">
      <c r="A1159" s="110"/>
      <c r="B1159" s="1009"/>
      <c r="C1159" s="1010"/>
      <c r="D1159" s="253"/>
      <c r="E1159" s="1011"/>
      <c r="F1159" s="262"/>
      <c r="G1159" s="1011"/>
      <c r="H1159" s="262"/>
      <c r="I1159" s="1011"/>
      <c r="J1159" s="262"/>
      <c r="K1159" s="1011"/>
      <c r="L1159" s="262"/>
      <c r="M1159" s="1011"/>
      <c r="N1159" s="262"/>
      <c r="O1159" s="1011"/>
      <c r="P1159" s="262"/>
      <c r="Q1159" s="1011"/>
      <c r="R1159" s="1012"/>
      <c r="S1159" s="1011"/>
      <c r="T1159" s="1012"/>
      <c r="U1159" s="1010"/>
      <c r="V1159" s="1012"/>
      <c r="W1159" s="1010"/>
      <c r="X1159" s="1012"/>
      <c r="Y1159" s="1010"/>
      <c r="Z1159" s="262"/>
      <c r="AA1159" s="110"/>
      <c r="AB1159" s="110"/>
      <c r="AC1159" s="110"/>
      <c r="AD1159" s="110"/>
      <c r="AE1159" s="110"/>
      <c r="AF1159" s="110"/>
      <c r="AG1159" s="110"/>
      <c r="AH1159" s="110"/>
      <c r="AI1159" s="110"/>
      <c r="AJ1159" s="110"/>
      <c r="AK1159" s="110"/>
      <c r="AL1159" s="110"/>
      <c r="AM1159" s="110"/>
      <c r="AN1159" s="110"/>
      <c r="AO1159" s="110"/>
      <c r="AP1159" s="110"/>
      <c r="AQ1159" s="110"/>
      <c r="AR1159" s="110"/>
      <c r="AS1159" s="110"/>
      <c r="AT1159" s="110"/>
      <c r="AU1159" s="110"/>
    </row>
    <row r="1160" spans="1:47" ht="12.75" hidden="1">
      <c r="A1160" s="110"/>
      <c r="B1160" s="1009"/>
      <c r="C1160" s="1010"/>
      <c r="D1160" s="253"/>
      <c r="E1160" s="1011"/>
      <c r="F1160" s="262"/>
      <c r="G1160" s="1011"/>
      <c r="H1160" s="262"/>
      <c r="I1160" s="1011"/>
      <c r="J1160" s="262"/>
      <c r="K1160" s="1011"/>
      <c r="L1160" s="262"/>
      <c r="M1160" s="1011"/>
      <c r="N1160" s="262"/>
      <c r="O1160" s="1011"/>
      <c r="P1160" s="262"/>
      <c r="Q1160" s="1011"/>
      <c r="R1160" s="1012"/>
      <c r="S1160" s="1011"/>
      <c r="T1160" s="1012"/>
      <c r="U1160" s="1010"/>
      <c r="V1160" s="1012"/>
      <c r="W1160" s="1010"/>
      <c r="X1160" s="1012"/>
      <c r="Y1160" s="1010"/>
      <c r="Z1160" s="262"/>
      <c r="AA1160" s="110"/>
      <c r="AB1160" s="110"/>
      <c r="AC1160" s="110"/>
      <c r="AD1160" s="110"/>
      <c r="AE1160" s="110"/>
      <c r="AF1160" s="110"/>
      <c r="AG1160" s="110"/>
      <c r="AH1160" s="110"/>
      <c r="AI1160" s="110"/>
      <c r="AJ1160" s="110"/>
      <c r="AK1160" s="110"/>
      <c r="AL1160" s="110"/>
      <c r="AM1160" s="110"/>
      <c r="AN1160" s="110"/>
      <c r="AO1160" s="110"/>
      <c r="AP1160" s="110"/>
      <c r="AQ1160" s="110"/>
      <c r="AR1160" s="110"/>
      <c r="AS1160" s="110"/>
      <c r="AT1160" s="110"/>
      <c r="AU1160" s="110"/>
    </row>
    <row r="1161" spans="1:47" ht="12.75" hidden="1">
      <c r="A1161" s="110"/>
      <c r="B1161" s="1009"/>
      <c r="C1161" s="1010"/>
      <c r="D1161" s="253"/>
      <c r="E1161" s="1011"/>
      <c r="F1161" s="262"/>
      <c r="G1161" s="1011"/>
      <c r="H1161" s="262"/>
      <c r="I1161" s="1011"/>
      <c r="J1161" s="262"/>
      <c r="K1161" s="1011"/>
      <c r="L1161" s="262"/>
      <c r="M1161" s="1011"/>
      <c r="N1161" s="262"/>
      <c r="O1161" s="1011"/>
      <c r="P1161" s="262"/>
      <c r="Q1161" s="1011"/>
      <c r="R1161" s="1012"/>
      <c r="S1161" s="1011"/>
      <c r="T1161" s="1012"/>
      <c r="U1161" s="1010"/>
      <c r="V1161" s="1012"/>
      <c r="W1161" s="1010"/>
      <c r="X1161" s="1012"/>
      <c r="Y1161" s="1010"/>
      <c r="Z1161" s="262"/>
      <c r="AA1161" s="110"/>
      <c r="AB1161" s="110"/>
      <c r="AC1161" s="110"/>
      <c r="AD1161" s="110"/>
      <c r="AE1161" s="110"/>
      <c r="AF1161" s="110"/>
      <c r="AG1161" s="110"/>
      <c r="AH1161" s="110"/>
      <c r="AI1161" s="110"/>
      <c r="AJ1161" s="110"/>
      <c r="AK1161" s="110"/>
      <c r="AL1161" s="110"/>
      <c r="AM1161" s="110"/>
      <c r="AN1161" s="110"/>
      <c r="AO1161" s="110"/>
      <c r="AP1161" s="110"/>
      <c r="AQ1161" s="110"/>
      <c r="AR1161" s="110"/>
      <c r="AS1161" s="110"/>
      <c r="AT1161" s="110"/>
      <c r="AU1161" s="110"/>
    </row>
    <row r="1162" spans="1:47" ht="12.75" hidden="1">
      <c r="A1162" s="110"/>
      <c r="B1162" s="1009"/>
      <c r="C1162" s="1010"/>
      <c r="D1162" s="253"/>
      <c r="E1162" s="1011"/>
      <c r="F1162" s="262"/>
      <c r="G1162" s="1011"/>
      <c r="H1162" s="262"/>
      <c r="I1162" s="1011"/>
      <c r="J1162" s="262"/>
      <c r="K1162" s="1011"/>
      <c r="L1162" s="262"/>
      <c r="M1162" s="1011"/>
      <c r="N1162" s="262"/>
      <c r="O1162" s="1011"/>
      <c r="P1162" s="262"/>
      <c r="Q1162" s="1011"/>
      <c r="R1162" s="1012"/>
      <c r="S1162" s="1011"/>
      <c r="T1162" s="1012"/>
      <c r="U1162" s="1010"/>
      <c r="V1162" s="1012"/>
      <c r="W1162" s="1010"/>
      <c r="X1162" s="1012"/>
      <c r="Y1162" s="1010"/>
      <c r="Z1162" s="262"/>
      <c r="AA1162" s="110"/>
      <c r="AB1162" s="110"/>
      <c r="AC1162" s="110"/>
      <c r="AD1162" s="110"/>
      <c r="AE1162" s="110"/>
      <c r="AF1162" s="110"/>
      <c r="AG1162" s="110"/>
      <c r="AH1162" s="110"/>
      <c r="AI1162" s="110"/>
      <c r="AJ1162" s="110"/>
      <c r="AK1162" s="110"/>
      <c r="AL1162" s="110"/>
      <c r="AM1162" s="110"/>
      <c r="AN1162" s="110"/>
      <c r="AO1162" s="110"/>
      <c r="AP1162" s="110"/>
      <c r="AQ1162" s="110"/>
      <c r="AR1162" s="110"/>
      <c r="AS1162" s="110"/>
      <c r="AT1162" s="110"/>
      <c r="AU1162" s="110"/>
    </row>
    <row r="1163" spans="1:47" ht="12.75" hidden="1">
      <c r="A1163" s="110"/>
      <c r="B1163" s="1009"/>
      <c r="C1163" s="1010"/>
      <c r="D1163" s="253"/>
      <c r="E1163" s="1011"/>
      <c r="F1163" s="262"/>
      <c r="G1163" s="1011"/>
      <c r="H1163" s="262"/>
      <c r="I1163" s="1011"/>
      <c r="J1163" s="262"/>
      <c r="K1163" s="1011"/>
      <c r="L1163" s="262"/>
      <c r="M1163" s="1011"/>
      <c r="N1163" s="262"/>
      <c r="O1163" s="1011"/>
      <c r="P1163" s="262"/>
      <c r="Q1163" s="1011"/>
      <c r="R1163" s="1012"/>
      <c r="S1163" s="1011"/>
      <c r="T1163" s="1012"/>
      <c r="U1163" s="1010"/>
      <c r="V1163" s="1012"/>
      <c r="W1163" s="1010"/>
      <c r="X1163" s="1012"/>
      <c r="Y1163" s="1010"/>
      <c r="Z1163" s="262"/>
      <c r="AA1163" s="110"/>
      <c r="AB1163" s="110"/>
      <c r="AC1163" s="110"/>
      <c r="AD1163" s="110"/>
      <c r="AE1163" s="110"/>
      <c r="AF1163" s="110"/>
      <c r="AG1163" s="110"/>
      <c r="AH1163" s="110"/>
      <c r="AI1163" s="110"/>
      <c r="AJ1163" s="110"/>
      <c r="AK1163" s="110"/>
      <c r="AL1163" s="110"/>
      <c r="AM1163" s="110"/>
      <c r="AN1163" s="110"/>
      <c r="AO1163" s="110"/>
      <c r="AP1163" s="110"/>
      <c r="AQ1163" s="110"/>
      <c r="AR1163" s="110"/>
      <c r="AS1163" s="110"/>
      <c r="AT1163" s="110"/>
      <c r="AU1163" s="110"/>
    </row>
    <row r="1164" spans="1:47" ht="12.75" hidden="1">
      <c r="A1164" s="110"/>
      <c r="B1164" s="1009"/>
      <c r="C1164" s="1010"/>
      <c r="D1164" s="253"/>
      <c r="E1164" s="1011"/>
      <c r="F1164" s="262"/>
      <c r="G1164" s="1011"/>
      <c r="H1164" s="262"/>
      <c r="I1164" s="1011"/>
      <c r="J1164" s="262"/>
      <c r="K1164" s="1011"/>
      <c r="L1164" s="262"/>
      <c r="M1164" s="1011"/>
      <c r="N1164" s="262"/>
      <c r="O1164" s="1011"/>
      <c r="P1164" s="262"/>
      <c r="Q1164" s="1011"/>
      <c r="R1164" s="1012"/>
      <c r="S1164" s="1011"/>
      <c r="T1164" s="1012"/>
      <c r="U1164" s="1010"/>
      <c r="V1164" s="1012"/>
      <c r="W1164" s="1010"/>
      <c r="X1164" s="1012"/>
      <c r="Y1164" s="1010"/>
      <c r="Z1164" s="262"/>
      <c r="AA1164" s="110"/>
      <c r="AB1164" s="110"/>
      <c r="AC1164" s="110"/>
      <c r="AD1164" s="110"/>
      <c r="AE1164" s="110"/>
      <c r="AF1164" s="110"/>
      <c r="AG1164" s="110"/>
      <c r="AH1164" s="110"/>
      <c r="AI1164" s="110"/>
      <c r="AJ1164" s="110"/>
      <c r="AK1164" s="110"/>
      <c r="AL1164" s="110"/>
      <c r="AM1164" s="110"/>
      <c r="AN1164" s="110"/>
      <c r="AO1164" s="110"/>
      <c r="AP1164" s="110"/>
      <c r="AQ1164" s="110"/>
      <c r="AR1164" s="110"/>
      <c r="AS1164" s="110"/>
      <c r="AT1164" s="110"/>
      <c r="AU1164" s="110"/>
    </row>
    <row r="1165" spans="1:47" ht="12.75" hidden="1">
      <c r="A1165" s="110"/>
      <c r="B1165" s="1009"/>
      <c r="C1165" s="1010"/>
      <c r="D1165" s="253"/>
      <c r="E1165" s="1011"/>
      <c r="F1165" s="262"/>
      <c r="G1165" s="1011"/>
      <c r="H1165" s="262"/>
      <c r="I1165" s="1011"/>
      <c r="J1165" s="262"/>
      <c r="K1165" s="1011"/>
      <c r="L1165" s="262"/>
      <c r="M1165" s="1011"/>
      <c r="N1165" s="262"/>
      <c r="O1165" s="1011"/>
      <c r="P1165" s="262"/>
      <c r="Q1165" s="1011"/>
      <c r="R1165" s="1012"/>
      <c r="S1165" s="1011"/>
      <c r="T1165" s="1012"/>
      <c r="U1165" s="1010"/>
      <c r="V1165" s="1012"/>
      <c r="W1165" s="1010"/>
      <c r="X1165" s="1012"/>
      <c r="Y1165" s="1010"/>
      <c r="Z1165" s="262"/>
      <c r="AA1165" s="110"/>
      <c r="AB1165" s="110"/>
      <c r="AC1165" s="110"/>
      <c r="AD1165" s="110"/>
      <c r="AE1165" s="110"/>
      <c r="AF1165" s="110"/>
      <c r="AG1165" s="110"/>
      <c r="AH1165" s="110"/>
      <c r="AI1165" s="110"/>
      <c r="AJ1165" s="110"/>
      <c r="AK1165" s="110"/>
      <c r="AL1165" s="110"/>
      <c r="AM1165" s="110"/>
      <c r="AN1165" s="110"/>
      <c r="AO1165" s="110"/>
      <c r="AP1165" s="110"/>
      <c r="AQ1165" s="110"/>
      <c r="AR1165" s="110"/>
      <c r="AS1165" s="110"/>
      <c r="AT1165" s="110"/>
      <c r="AU1165" s="110"/>
    </row>
    <row r="1166" spans="1:47" ht="12.75" hidden="1">
      <c r="A1166" s="110"/>
      <c r="B1166" s="1009"/>
      <c r="C1166" s="1010"/>
      <c r="D1166" s="253"/>
      <c r="E1166" s="1011"/>
      <c r="F1166" s="262"/>
      <c r="G1166" s="1011"/>
      <c r="H1166" s="262"/>
      <c r="I1166" s="1011"/>
      <c r="J1166" s="262"/>
      <c r="K1166" s="1011"/>
      <c r="L1166" s="262"/>
      <c r="M1166" s="1011"/>
      <c r="N1166" s="262"/>
      <c r="O1166" s="1011"/>
      <c r="P1166" s="262"/>
      <c r="Q1166" s="1011"/>
      <c r="R1166" s="1012"/>
      <c r="S1166" s="1011"/>
      <c r="T1166" s="1012"/>
      <c r="U1166" s="1010"/>
      <c r="V1166" s="1012"/>
      <c r="W1166" s="1010"/>
      <c r="X1166" s="1012"/>
      <c r="Y1166" s="1010"/>
      <c r="Z1166" s="262"/>
      <c r="AA1166" s="110"/>
      <c r="AB1166" s="110"/>
      <c r="AC1166" s="110"/>
      <c r="AD1166" s="110"/>
      <c r="AE1166" s="110"/>
      <c r="AF1166" s="110"/>
      <c r="AG1166" s="110"/>
      <c r="AH1166" s="110"/>
      <c r="AI1166" s="110"/>
      <c r="AJ1166" s="110"/>
      <c r="AK1166" s="110"/>
      <c r="AL1166" s="110"/>
      <c r="AM1166" s="110"/>
      <c r="AN1166" s="110"/>
      <c r="AO1166" s="110"/>
      <c r="AP1166" s="110"/>
      <c r="AQ1166" s="110"/>
      <c r="AR1166" s="110"/>
      <c r="AS1166" s="110"/>
      <c r="AT1166" s="110"/>
      <c r="AU1166" s="110"/>
    </row>
    <row r="1167" spans="1:47" ht="12.75" hidden="1">
      <c r="A1167" s="110"/>
      <c r="B1167" s="1009"/>
      <c r="C1167" s="1010"/>
      <c r="D1167" s="253"/>
      <c r="E1167" s="1011"/>
      <c r="F1167" s="262"/>
      <c r="G1167" s="1011"/>
      <c r="H1167" s="262"/>
      <c r="I1167" s="1011"/>
      <c r="J1167" s="262"/>
      <c r="K1167" s="1011"/>
      <c r="L1167" s="262"/>
      <c r="M1167" s="1011"/>
      <c r="N1167" s="262"/>
      <c r="O1167" s="1011"/>
      <c r="P1167" s="262"/>
      <c r="Q1167" s="1011"/>
      <c r="R1167" s="1012"/>
      <c r="S1167" s="1011"/>
      <c r="T1167" s="1012"/>
      <c r="U1167" s="1010"/>
      <c r="V1167" s="1012"/>
      <c r="W1167" s="1010"/>
      <c r="X1167" s="1012"/>
      <c r="Y1167" s="1010"/>
      <c r="Z1167" s="262"/>
      <c r="AA1167" s="110"/>
      <c r="AB1167" s="110"/>
      <c r="AC1167" s="110"/>
      <c r="AD1167" s="110"/>
      <c r="AE1167" s="110"/>
      <c r="AF1167" s="110"/>
      <c r="AG1167" s="110"/>
      <c r="AH1167" s="110"/>
      <c r="AI1167" s="110"/>
      <c r="AJ1167" s="110"/>
      <c r="AK1167" s="110"/>
      <c r="AL1167" s="110"/>
      <c r="AM1167" s="110"/>
      <c r="AN1167" s="110"/>
      <c r="AO1167" s="110"/>
      <c r="AP1167" s="110"/>
      <c r="AQ1167" s="110"/>
      <c r="AR1167" s="110"/>
      <c r="AS1167" s="110"/>
      <c r="AT1167" s="110"/>
      <c r="AU1167" s="110"/>
    </row>
    <row r="1168" spans="1:47" ht="12.75" hidden="1">
      <c r="A1168" s="110"/>
      <c r="B1168" s="1009"/>
      <c r="C1168" s="1010"/>
      <c r="D1168" s="253"/>
      <c r="E1168" s="1011"/>
      <c r="F1168" s="262"/>
      <c r="G1168" s="1011"/>
      <c r="H1168" s="262"/>
      <c r="I1168" s="1011"/>
      <c r="J1168" s="262"/>
      <c r="K1168" s="1011"/>
      <c r="L1168" s="262"/>
      <c r="M1168" s="1011"/>
      <c r="N1168" s="262"/>
      <c r="O1168" s="1011"/>
      <c r="P1168" s="262"/>
      <c r="Q1168" s="1011"/>
      <c r="R1168" s="1012"/>
      <c r="S1168" s="1011"/>
      <c r="T1168" s="1012"/>
      <c r="U1168" s="1010"/>
      <c r="V1168" s="1012"/>
      <c r="W1168" s="1010"/>
      <c r="X1168" s="1012"/>
      <c r="Y1168" s="1010"/>
      <c r="Z1168" s="262"/>
      <c r="AA1168" s="110"/>
      <c r="AB1168" s="110"/>
      <c r="AC1168" s="110"/>
      <c r="AD1168" s="110"/>
      <c r="AE1168" s="110"/>
      <c r="AF1168" s="110"/>
      <c r="AG1168" s="110"/>
      <c r="AH1168" s="110"/>
      <c r="AI1168" s="110"/>
      <c r="AJ1168" s="110"/>
      <c r="AK1168" s="110"/>
      <c r="AL1168" s="110"/>
      <c r="AM1168" s="110"/>
      <c r="AN1168" s="110"/>
      <c r="AO1168" s="110"/>
      <c r="AP1168" s="110"/>
      <c r="AQ1168" s="110"/>
      <c r="AR1168" s="110"/>
      <c r="AS1168" s="110"/>
      <c r="AT1168" s="110"/>
      <c r="AU1168" s="110"/>
    </row>
    <row r="1169" spans="1:47" ht="12.75" hidden="1">
      <c r="A1169" s="110"/>
      <c r="B1169" s="1009"/>
      <c r="C1169" s="1010"/>
      <c r="D1169" s="253"/>
      <c r="E1169" s="1011"/>
      <c r="F1169" s="262"/>
      <c r="G1169" s="1011"/>
      <c r="H1169" s="262"/>
      <c r="I1169" s="1011"/>
      <c r="J1169" s="262"/>
      <c r="K1169" s="1011"/>
      <c r="L1169" s="262"/>
      <c r="M1169" s="1011"/>
      <c r="N1169" s="262"/>
      <c r="O1169" s="1011"/>
      <c r="P1169" s="262"/>
      <c r="Q1169" s="1011"/>
      <c r="R1169" s="1012"/>
      <c r="S1169" s="1011"/>
      <c r="T1169" s="1012"/>
      <c r="U1169" s="1010"/>
      <c r="V1169" s="1012"/>
      <c r="W1169" s="1010"/>
      <c r="X1169" s="1012"/>
      <c r="Y1169" s="1010"/>
      <c r="Z1169" s="262"/>
      <c r="AA1169" s="110"/>
      <c r="AB1169" s="110"/>
      <c r="AC1169" s="110"/>
      <c r="AD1169" s="110"/>
      <c r="AE1169" s="110"/>
      <c r="AF1169" s="110"/>
      <c r="AG1169" s="110"/>
      <c r="AH1169" s="110"/>
      <c r="AI1169" s="110"/>
      <c r="AJ1169" s="110"/>
      <c r="AK1169" s="110"/>
      <c r="AL1169" s="110"/>
      <c r="AM1169" s="110"/>
      <c r="AN1169" s="110"/>
      <c r="AO1169" s="110"/>
      <c r="AP1169" s="110"/>
      <c r="AQ1169" s="110"/>
      <c r="AR1169" s="110"/>
      <c r="AS1169" s="110"/>
      <c r="AT1169" s="110"/>
      <c r="AU1169" s="110"/>
    </row>
    <row r="1170" spans="1:47" ht="12.75" hidden="1">
      <c r="A1170" s="110"/>
      <c r="B1170" s="1009"/>
      <c r="C1170" s="1010"/>
      <c r="D1170" s="253"/>
      <c r="E1170" s="1011"/>
      <c r="F1170" s="262"/>
      <c r="G1170" s="1011"/>
      <c r="H1170" s="262"/>
      <c r="I1170" s="1011"/>
      <c r="J1170" s="262"/>
      <c r="K1170" s="1011"/>
      <c r="L1170" s="262"/>
      <c r="M1170" s="1011"/>
      <c r="N1170" s="262"/>
      <c r="O1170" s="1011"/>
      <c r="P1170" s="262"/>
      <c r="Q1170" s="1011"/>
      <c r="R1170" s="1012"/>
      <c r="S1170" s="1011"/>
      <c r="T1170" s="1012"/>
      <c r="U1170" s="1010"/>
      <c r="V1170" s="1012"/>
      <c r="W1170" s="1010"/>
      <c r="X1170" s="1012"/>
      <c r="Y1170" s="1010"/>
      <c r="Z1170" s="262"/>
      <c r="AA1170" s="110"/>
      <c r="AB1170" s="110"/>
      <c r="AC1170" s="110"/>
      <c r="AD1170" s="110"/>
      <c r="AE1170" s="110"/>
      <c r="AF1170" s="110"/>
      <c r="AG1170" s="110"/>
      <c r="AH1170" s="110"/>
      <c r="AI1170" s="110"/>
      <c r="AJ1170" s="110"/>
      <c r="AK1170" s="110"/>
      <c r="AL1170" s="110"/>
      <c r="AM1170" s="110"/>
      <c r="AN1170" s="110"/>
      <c r="AO1170" s="110"/>
      <c r="AP1170" s="110"/>
      <c r="AQ1170" s="110"/>
      <c r="AR1170" s="110"/>
      <c r="AS1170" s="110"/>
      <c r="AT1170" s="110"/>
      <c r="AU1170" s="110"/>
    </row>
    <row r="1171" spans="1:47" ht="12.75" hidden="1">
      <c r="A1171" s="110"/>
      <c r="B1171" s="1009"/>
      <c r="C1171" s="1010"/>
      <c r="D1171" s="253"/>
      <c r="E1171" s="1011"/>
      <c r="F1171" s="262"/>
      <c r="G1171" s="1011"/>
      <c r="H1171" s="262"/>
      <c r="I1171" s="1011"/>
      <c r="J1171" s="262"/>
      <c r="K1171" s="1011"/>
      <c r="L1171" s="262"/>
      <c r="M1171" s="1011"/>
      <c r="N1171" s="262"/>
      <c r="O1171" s="1011"/>
      <c r="P1171" s="262"/>
      <c r="Q1171" s="1011"/>
      <c r="R1171" s="1012"/>
      <c r="S1171" s="1011"/>
      <c r="T1171" s="1012"/>
      <c r="U1171" s="1010"/>
      <c r="V1171" s="1012"/>
      <c r="W1171" s="1010"/>
      <c r="X1171" s="1012"/>
      <c r="Y1171" s="1010"/>
      <c r="Z1171" s="262"/>
      <c r="AA1171" s="110"/>
      <c r="AB1171" s="110"/>
      <c r="AC1171" s="110"/>
      <c r="AD1171" s="110"/>
      <c r="AE1171" s="110"/>
      <c r="AF1171" s="110"/>
      <c r="AG1171" s="110"/>
      <c r="AH1171" s="110"/>
      <c r="AI1171" s="110"/>
      <c r="AJ1171" s="110"/>
      <c r="AK1171" s="110"/>
      <c r="AL1171" s="110"/>
      <c r="AM1171" s="110"/>
      <c r="AN1171" s="110"/>
      <c r="AO1171" s="110"/>
      <c r="AP1171" s="110"/>
      <c r="AQ1171" s="110"/>
      <c r="AR1171" s="110"/>
      <c r="AS1171" s="110"/>
      <c r="AT1171" s="110"/>
      <c r="AU1171" s="110"/>
    </row>
    <row r="1172" spans="1:47" ht="12.75" hidden="1">
      <c r="A1172" s="110"/>
      <c r="B1172" s="1009"/>
      <c r="C1172" s="1010"/>
      <c r="D1172" s="253"/>
      <c r="E1172" s="1011"/>
      <c r="F1172" s="262"/>
      <c r="G1172" s="1011"/>
      <c r="H1172" s="262"/>
      <c r="I1172" s="1011"/>
      <c r="J1172" s="262"/>
      <c r="K1172" s="1011"/>
      <c r="L1172" s="262"/>
      <c r="M1172" s="1011"/>
      <c r="N1172" s="262"/>
      <c r="O1172" s="1011"/>
      <c r="P1172" s="262"/>
      <c r="Q1172" s="1011"/>
      <c r="R1172" s="1012"/>
      <c r="S1172" s="1011"/>
      <c r="T1172" s="1012"/>
      <c r="U1172" s="1010"/>
      <c r="V1172" s="1012"/>
      <c r="W1172" s="1010"/>
      <c r="X1172" s="1012"/>
      <c r="Y1172" s="1010"/>
      <c r="Z1172" s="262"/>
      <c r="AA1172" s="110"/>
      <c r="AB1172" s="110"/>
      <c r="AC1172" s="110"/>
      <c r="AD1172" s="110"/>
      <c r="AE1172" s="110"/>
      <c r="AF1172" s="110"/>
      <c r="AG1172" s="110"/>
      <c r="AH1172" s="110"/>
      <c r="AI1172" s="110"/>
      <c r="AJ1172" s="110"/>
      <c r="AK1172" s="110"/>
      <c r="AL1172" s="110"/>
      <c r="AM1172" s="110"/>
      <c r="AN1172" s="110"/>
      <c r="AO1172" s="110"/>
      <c r="AP1172" s="110"/>
      <c r="AQ1172" s="110"/>
      <c r="AR1172" s="110"/>
      <c r="AS1172" s="110"/>
      <c r="AT1172" s="110"/>
      <c r="AU1172" s="110"/>
    </row>
    <row r="1173" spans="1:47" ht="12.75" hidden="1">
      <c r="A1173" s="110"/>
      <c r="B1173" s="1009"/>
      <c r="C1173" s="1010"/>
      <c r="D1173" s="253"/>
      <c r="E1173" s="1011"/>
      <c r="F1173" s="262"/>
      <c r="G1173" s="1011"/>
      <c r="H1173" s="262"/>
      <c r="I1173" s="1011"/>
      <c r="J1173" s="262"/>
      <c r="K1173" s="1011"/>
      <c r="L1173" s="262"/>
      <c r="M1173" s="1011"/>
      <c r="N1173" s="262"/>
      <c r="O1173" s="1011"/>
      <c r="P1173" s="262"/>
      <c r="Q1173" s="1011"/>
      <c r="R1173" s="1012"/>
      <c r="S1173" s="1011"/>
      <c r="T1173" s="1012"/>
      <c r="U1173" s="1010"/>
      <c r="V1173" s="1012"/>
      <c r="W1173" s="1010"/>
      <c r="X1173" s="1012"/>
      <c r="Y1173" s="1010"/>
      <c r="Z1173" s="262"/>
      <c r="AA1173" s="110"/>
      <c r="AB1173" s="110"/>
      <c r="AC1173" s="110"/>
      <c r="AD1173" s="110"/>
      <c r="AE1173" s="110"/>
      <c r="AF1173" s="110"/>
      <c r="AG1173" s="110"/>
      <c r="AH1173" s="110"/>
      <c r="AI1173" s="110"/>
      <c r="AJ1173" s="110"/>
      <c r="AK1173" s="110"/>
      <c r="AL1173" s="110"/>
      <c r="AM1173" s="110"/>
      <c r="AN1173" s="110"/>
      <c r="AO1173" s="110"/>
      <c r="AP1173" s="110"/>
      <c r="AQ1173" s="110"/>
      <c r="AR1173" s="110"/>
      <c r="AS1173" s="110"/>
      <c r="AT1173" s="110"/>
      <c r="AU1173" s="110"/>
    </row>
    <row r="1174" spans="1:47" ht="12.75" hidden="1">
      <c r="A1174" s="110"/>
      <c r="B1174" s="1009"/>
      <c r="C1174" s="1010"/>
      <c r="D1174" s="253"/>
      <c r="E1174" s="1011"/>
      <c r="F1174" s="262"/>
      <c r="G1174" s="1011"/>
      <c r="H1174" s="262"/>
      <c r="I1174" s="1011"/>
      <c r="J1174" s="262"/>
      <c r="K1174" s="1011"/>
      <c r="L1174" s="262"/>
      <c r="M1174" s="1011"/>
      <c r="N1174" s="262"/>
      <c r="O1174" s="1011"/>
      <c r="P1174" s="262"/>
      <c r="Q1174" s="1011"/>
      <c r="R1174" s="1012"/>
      <c r="S1174" s="1011"/>
      <c r="T1174" s="1012"/>
      <c r="U1174" s="1010"/>
      <c r="V1174" s="1012"/>
      <c r="W1174" s="1010"/>
      <c r="X1174" s="1012"/>
      <c r="Y1174" s="1010"/>
      <c r="Z1174" s="262"/>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row>
    <row r="1175" spans="1:47" ht="12.75" hidden="1">
      <c r="A1175" s="110"/>
      <c r="B1175" s="1009"/>
      <c r="C1175" s="1010"/>
      <c r="D1175" s="253"/>
      <c r="E1175" s="1011"/>
      <c r="F1175" s="262"/>
      <c r="G1175" s="1011"/>
      <c r="H1175" s="262"/>
      <c r="I1175" s="1011"/>
      <c r="J1175" s="262"/>
      <c r="K1175" s="1011"/>
      <c r="L1175" s="262"/>
      <c r="M1175" s="1011"/>
      <c r="N1175" s="262"/>
      <c r="O1175" s="1011"/>
      <c r="P1175" s="262"/>
      <c r="Q1175" s="1011"/>
      <c r="R1175" s="1012"/>
      <c r="S1175" s="1011"/>
      <c r="T1175" s="1012"/>
      <c r="U1175" s="1010"/>
      <c r="V1175" s="1012"/>
      <c r="W1175" s="1010"/>
      <c r="X1175" s="1012"/>
      <c r="Y1175" s="1010"/>
      <c r="Z1175" s="262"/>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row>
    <row r="1176" spans="1:47" ht="12.75" hidden="1">
      <c r="A1176" s="110"/>
      <c r="B1176" s="1009"/>
      <c r="C1176" s="1010"/>
      <c r="D1176" s="253"/>
      <c r="E1176" s="1011"/>
      <c r="F1176" s="262"/>
      <c r="G1176" s="1011"/>
      <c r="H1176" s="262"/>
      <c r="I1176" s="1011"/>
      <c r="J1176" s="262"/>
      <c r="K1176" s="1011"/>
      <c r="L1176" s="262"/>
      <c r="M1176" s="1011"/>
      <c r="N1176" s="262"/>
      <c r="O1176" s="1011"/>
      <c r="P1176" s="262"/>
      <c r="Q1176" s="1011"/>
      <c r="R1176" s="1012"/>
      <c r="S1176" s="1011"/>
      <c r="T1176" s="1012"/>
      <c r="U1176" s="1010"/>
      <c r="V1176" s="1012"/>
      <c r="W1176" s="1010"/>
      <c r="X1176" s="1012"/>
      <c r="Y1176" s="1010"/>
      <c r="Z1176" s="262"/>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row>
    <row r="1177" spans="1:47" ht="12.75" hidden="1">
      <c r="A1177" s="110"/>
      <c r="B1177" s="1009"/>
      <c r="C1177" s="1010"/>
      <c r="D1177" s="253"/>
      <c r="E1177" s="1011"/>
      <c r="F1177" s="262"/>
      <c r="G1177" s="1011"/>
      <c r="H1177" s="262"/>
      <c r="I1177" s="1011"/>
      <c r="J1177" s="262"/>
      <c r="K1177" s="1011"/>
      <c r="L1177" s="262"/>
      <c r="M1177" s="1011"/>
      <c r="N1177" s="262"/>
      <c r="O1177" s="1011"/>
      <c r="P1177" s="262"/>
      <c r="Q1177" s="1011"/>
      <c r="R1177" s="1012"/>
      <c r="S1177" s="1011"/>
      <c r="T1177" s="1012"/>
      <c r="U1177" s="1010"/>
      <c r="V1177" s="1012"/>
      <c r="W1177" s="1010"/>
      <c r="X1177" s="1012"/>
      <c r="Y1177" s="1010"/>
      <c r="Z1177" s="262"/>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row>
    <row r="1178" spans="1:47" ht="12.75" hidden="1">
      <c r="A1178" s="110"/>
      <c r="B1178" s="1009"/>
      <c r="C1178" s="1010"/>
      <c r="D1178" s="253"/>
      <c r="E1178" s="1011"/>
      <c r="F1178" s="262"/>
      <c r="G1178" s="1011"/>
      <c r="H1178" s="262"/>
      <c r="I1178" s="1011"/>
      <c r="J1178" s="262"/>
      <c r="K1178" s="1011"/>
      <c r="L1178" s="262"/>
      <c r="M1178" s="1011"/>
      <c r="N1178" s="262"/>
      <c r="O1178" s="1011"/>
      <c r="P1178" s="262"/>
      <c r="Q1178" s="1011"/>
      <c r="R1178" s="1012"/>
      <c r="S1178" s="1011"/>
      <c r="T1178" s="1012"/>
      <c r="U1178" s="1010"/>
      <c r="V1178" s="1012"/>
      <c r="W1178" s="1010"/>
      <c r="X1178" s="1012"/>
      <c r="Y1178" s="1010"/>
      <c r="Z1178" s="262"/>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row>
    <row r="1179" spans="1:47" ht="12.75" hidden="1">
      <c r="A1179" s="110"/>
      <c r="B1179" s="1009"/>
      <c r="C1179" s="1010"/>
      <c r="D1179" s="253"/>
      <c r="E1179" s="1011"/>
      <c r="F1179" s="262"/>
      <c r="G1179" s="1011"/>
      <c r="H1179" s="262"/>
      <c r="I1179" s="1011"/>
      <c r="J1179" s="262"/>
      <c r="K1179" s="1011"/>
      <c r="L1179" s="262"/>
      <c r="M1179" s="1011"/>
      <c r="N1179" s="262"/>
      <c r="O1179" s="1011"/>
      <c r="P1179" s="262"/>
      <c r="Q1179" s="1011"/>
      <c r="R1179" s="1012"/>
      <c r="S1179" s="1011"/>
      <c r="T1179" s="1012"/>
      <c r="U1179" s="1010"/>
      <c r="V1179" s="1012"/>
      <c r="W1179" s="1010"/>
      <c r="X1179" s="1012"/>
      <c r="Y1179" s="1010"/>
      <c r="Z1179" s="262"/>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row>
    <row r="1180" spans="1:47" ht="12.75" hidden="1">
      <c r="A1180" s="110"/>
      <c r="B1180" s="1009"/>
      <c r="C1180" s="1010"/>
      <c r="D1180" s="253"/>
      <c r="E1180" s="1011"/>
      <c r="F1180" s="262"/>
      <c r="G1180" s="1011"/>
      <c r="H1180" s="262"/>
      <c r="I1180" s="1011"/>
      <c r="J1180" s="262"/>
      <c r="K1180" s="1011"/>
      <c r="L1180" s="262"/>
      <c r="M1180" s="1011"/>
      <c r="N1180" s="262"/>
      <c r="O1180" s="1011"/>
      <c r="P1180" s="262"/>
      <c r="Q1180" s="1011"/>
      <c r="R1180" s="1012"/>
      <c r="S1180" s="1011"/>
      <c r="T1180" s="1012"/>
      <c r="U1180" s="1010"/>
      <c r="V1180" s="1012"/>
      <c r="W1180" s="1010"/>
      <c r="X1180" s="1012"/>
      <c r="Y1180" s="1010"/>
      <c r="Z1180" s="262"/>
      <c r="AA1180" s="110"/>
      <c r="AB1180" s="110"/>
      <c r="AC1180" s="110"/>
      <c r="AD1180" s="110"/>
      <c r="AE1180" s="110"/>
      <c r="AF1180" s="110"/>
      <c r="AG1180" s="110"/>
      <c r="AH1180" s="110"/>
      <c r="AI1180" s="110"/>
      <c r="AJ1180" s="110"/>
      <c r="AK1180" s="110"/>
      <c r="AL1180" s="110"/>
      <c r="AM1180" s="110"/>
      <c r="AN1180" s="110"/>
      <c r="AO1180" s="110"/>
      <c r="AP1180" s="110"/>
      <c r="AQ1180" s="110"/>
      <c r="AR1180" s="110"/>
      <c r="AS1180" s="110"/>
      <c r="AT1180" s="110"/>
      <c r="AU1180" s="110"/>
    </row>
    <row r="1181" spans="1:47" ht="12.75" hidden="1">
      <c r="A1181" s="110"/>
      <c r="B1181" s="1009"/>
      <c r="C1181" s="1010"/>
      <c r="D1181" s="253"/>
      <c r="E1181" s="1011"/>
      <c r="F1181" s="262"/>
      <c r="G1181" s="1011"/>
      <c r="H1181" s="262"/>
      <c r="I1181" s="1011"/>
      <c r="J1181" s="262"/>
      <c r="K1181" s="1011"/>
      <c r="L1181" s="262"/>
      <c r="M1181" s="1011"/>
      <c r="N1181" s="262"/>
      <c r="O1181" s="1011"/>
      <c r="P1181" s="262"/>
      <c r="Q1181" s="1011"/>
      <c r="R1181" s="1012"/>
      <c r="S1181" s="1011"/>
      <c r="T1181" s="1012"/>
      <c r="U1181" s="1010"/>
      <c r="V1181" s="1012"/>
      <c r="W1181" s="1010"/>
      <c r="X1181" s="1012"/>
      <c r="Y1181" s="1010"/>
      <c r="Z1181" s="262"/>
      <c r="AA1181" s="110"/>
      <c r="AB1181" s="110"/>
      <c r="AC1181" s="110"/>
      <c r="AD1181" s="110"/>
      <c r="AE1181" s="110"/>
      <c r="AF1181" s="110"/>
      <c r="AG1181" s="110"/>
      <c r="AH1181" s="110"/>
      <c r="AI1181" s="110"/>
      <c r="AJ1181" s="110"/>
      <c r="AK1181" s="110"/>
      <c r="AL1181" s="110"/>
      <c r="AM1181" s="110"/>
      <c r="AN1181" s="110"/>
      <c r="AO1181" s="110"/>
      <c r="AP1181" s="110"/>
      <c r="AQ1181" s="110"/>
      <c r="AR1181" s="110"/>
      <c r="AS1181" s="110"/>
      <c r="AT1181" s="110"/>
      <c r="AU1181" s="110"/>
    </row>
    <row r="1182" spans="1:47" ht="12.75" hidden="1">
      <c r="A1182" s="110"/>
      <c r="B1182" s="1009"/>
      <c r="C1182" s="1010"/>
      <c r="D1182" s="253"/>
      <c r="E1182" s="1011"/>
      <c r="F1182" s="262"/>
      <c r="G1182" s="1011"/>
      <c r="H1182" s="262"/>
      <c r="I1182" s="1011"/>
      <c r="J1182" s="262"/>
      <c r="K1182" s="1011"/>
      <c r="L1182" s="262"/>
      <c r="M1182" s="1011"/>
      <c r="N1182" s="262"/>
      <c r="O1182" s="1011"/>
      <c r="P1182" s="262"/>
      <c r="Q1182" s="1011"/>
      <c r="R1182" s="1012"/>
      <c r="S1182" s="1011"/>
      <c r="T1182" s="1012"/>
      <c r="U1182" s="1010"/>
      <c r="V1182" s="1012"/>
      <c r="W1182" s="1010"/>
      <c r="X1182" s="1012"/>
      <c r="Y1182" s="1010"/>
      <c r="Z1182" s="262"/>
      <c r="AA1182" s="110"/>
      <c r="AB1182" s="110"/>
      <c r="AC1182" s="110"/>
      <c r="AD1182" s="110"/>
      <c r="AE1182" s="110"/>
      <c r="AF1182" s="110"/>
      <c r="AG1182" s="110"/>
      <c r="AH1182" s="110"/>
      <c r="AI1182" s="110"/>
      <c r="AJ1182" s="110"/>
      <c r="AK1182" s="110"/>
      <c r="AL1182" s="110"/>
      <c r="AM1182" s="110"/>
      <c r="AN1182" s="110"/>
      <c r="AO1182" s="110"/>
      <c r="AP1182" s="110"/>
      <c r="AQ1182" s="110"/>
      <c r="AR1182" s="110"/>
      <c r="AS1182" s="110"/>
      <c r="AT1182" s="110"/>
      <c r="AU1182" s="110"/>
    </row>
    <row r="1183" spans="1:47" ht="12.75" hidden="1">
      <c r="A1183" s="110"/>
      <c r="B1183" s="1009"/>
      <c r="C1183" s="1010"/>
      <c r="D1183" s="253"/>
      <c r="E1183" s="1011"/>
      <c r="F1183" s="262"/>
      <c r="G1183" s="1011"/>
      <c r="H1183" s="262"/>
      <c r="I1183" s="1011"/>
      <c r="J1183" s="262"/>
      <c r="K1183" s="1011"/>
      <c r="L1183" s="262"/>
      <c r="M1183" s="1011"/>
      <c r="N1183" s="262"/>
      <c r="O1183" s="1011"/>
      <c r="P1183" s="262"/>
      <c r="Q1183" s="1011"/>
      <c r="R1183" s="1012"/>
      <c r="S1183" s="1011"/>
      <c r="T1183" s="1012"/>
      <c r="U1183" s="1010"/>
      <c r="V1183" s="1012"/>
      <c r="W1183" s="1010"/>
      <c r="X1183" s="1012"/>
      <c r="Y1183" s="1010"/>
      <c r="Z1183" s="262"/>
      <c r="AA1183" s="110"/>
      <c r="AB1183" s="110"/>
      <c r="AC1183" s="110"/>
      <c r="AD1183" s="110"/>
      <c r="AE1183" s="110"/>
      <c r="AF1183" s="110"/>
      <c r="AG1183" s="110"/>
      <c r="AH1183" s="110"/>
      <c r="AI1183" s="110"/>
      <c r="AJ1183" s="110"/>
      <c r="AK1183" s="110"/>
      <c r="AL1183" s="110"/>
      <c r="AM1183" s="110"/>
      <c r="AN1183" s="110"/>
      <c r="AO1183" s="110"/>
      <c r="AP1183" s="110"/>
      <c r="AQ1183" s="110"/>
      <c r="AR1183" s="110"/>
      <c r="AS1183" s="110"/>
      <c r="AT1183" s="110"/>
      <c r="AU1183" s="110"/>
    </row>
    <row r="1184" spans="1:47" ht="12.75" hidden="1">
      <c r="A1184" s="110"/>
      <c r="B1184" s="1009"/>
      <c r="C1184" s="1010"/>
      <c r="D1184" s="253"/>
      <c r="E1184" s="1011"/>
      <c r="F1184" s="262"/>
      <c r="G1184" s="1011"/>
      <c r="H1184" s="262"/>
      <c r="I1184" s="1011"/>
      <c r="J1184" s="262"/>
      <c r="K1184" s="1011"/>
      <c r="L1184" s="262"/>
      <c r="M1184" s="1011"/>
      <c r="N1184" s="262"/>
      <c r="O1184" s="1011"/>
      <c r="P1184" s="262"/>
      <c r="Q1184" s="1011"/>
      <c r="R1184" s="1012"/>
      <c r="S1184" s="1011"/>
      <c r="T1184" s="1012"/>
      <c r="U1184" s="1010"/>
      <c r="V1184" s="1012"/>
      <c r="W1184" s="1010"/>
      <c r="X1184" s="1012"/>
      <c r="Y1184" s="1010"/>
      <c r="Z1184" s="262"/>
      <c r="AA1184" s="110"/>
      <c r="AB1184" s="110"/>
      <c r="AC1184" s="110"/>
      <c r="AD1184" s="110"/>
      <c r="AE1184" s="110"/>
      <c r="AF1184" s="110"/>
      <c r="AG1184" s="110"/>
      <c r="AH1184" s="110"/>
      <c r="AI1184" s="110"/>
      <c r="AJ1184" s="110"/>
      <c r="AK1184" s="110"/>
      <c r="AL1184" s="110"/>
      <c r="AM1184" s="110"/>
      <c r="AN1184" s="110"/>
      <c r="AO1184" s="110"/>
      <c r="AP1184" s="110"/>
      <c r="AQ1184" s="110"/>
      <c r="AR1184" s="110"/>
      <c r="AS1184" s="110"/>
      <c r="AT1184" s="110"/>
      <c r="AU1184" s="110"/>
    </row>
    <row r="1185" spans="1:47" ht="12.75" hidden="1">
      <c r="A1185" s="110"/>
      <c r="B1185" s="1009"/>
      <c r="C1185" s="1010"/>
      <c r="D1185" s="253"/>
      <c r="E1185" s="1011"/>
      <c r="F1185" s="262"/>
      <c r="G1185" s="1011"/>
      <c r="H1185" s="262"/>
      <c r="I1185" s="1011"/>
      <c r="J1185" s="262"/>
      <c r="K1185" s="1011"/>
      <c r="L1185" s="262"/>
      <c r="M1185" s="1011"/>
      <c r="N1185" s="262"/>
      <c r="O1185" s="1011"/>
      <c r="P1185" s="262"/>
      <c r="Q1185" s="1011"/>
      <c r="R1185" s="1012"/>
      <c r="S1185" s="1011"/>
      <c r="T1185" s="1012"/>
      <c r="U1185" s="1010"/>
      <c r="V1185" s="1012"/>
      <c r="W1185" s="1010"/>
      <c r="X1185" s="1012"/>
      <c r="Y1185" s="1010"/>
      <c r="Z1185" s="262"/>
      <c r="AA1185" s="110"/>
      <c r="AB1185" s="110"/>
      <c r="AC1185" s="110"/>
      <c r="AD1185" s="110"/>
      <c r="AE1185" s="110"/>
      <c r="AF1185" s="110"/>
      <c r="AG1185" s="110"/>
      <c r="AH1185" s="110"/>
      <c r="AI1185" s="110"/>
      <c r="AJ1185" s="110"/>
      <c r="AK1185" s="110"/>
      <c r="AL1185" s="110"/>
      <c r="AM1185" s="110"/>
      <c r="AN1185" s="110"/>
      <c r="AO1185" s="110"/>
      <c r="AP1185" s="110"/>
      <c r="AQ1185" s="110"/>
      <c r="AR1185" s="110"/>
      <c r="AS1185" s="110"/>
      <c r="AT1185" s="110"/>
      <c r="AU1185" s="110"/>
    </row>
    <row r="1186" spans="1:47" ht="12.75" hidden="1">
      <c r="A1186" s="110"/>
      <c r="B1186" s="1009"/>
      <c r="C1186" s="1010"/>
      <c r="D1186" s="253"/>
      <c r="E1186" s="1011"/>
      <c r="F1186" s="262"/>
      <c r="G1186" s="1011"/>
      <c r="H1186" s="262"/>
      <c r="I1186" s="1011"/>
      <c r="J1186" s="262"/>
      <c r="K1186" s="1011"/>
      <c r="L1186" s="262"/>
      <c r="M1186" s="1011"/>
      <c r="N1186" s="262"/>
      <c r="O1186" s="1011"/>
      <c r="P1186" s="262"/>
      <c r="Q1186" s="1011"/>
      <c r="R1186" s="1012"/>
      <c r="S1186" s="1011"/>
      <c r="T1186" s="1012"/>
      <c r="U1186" s="1010"/>
      <c r="V1186" s="1012"/>
      <c r="W1186" s="1010"/>
      <c r="X1186" s="1012"/>
      <c r="Y1186" s="1010"/>
      <c r="Z1186" s="262"/>
      <c r="AA1186" s="110"/>
      <c r="AB1186" s="110"/>
      <c r="AC1186" s="110"/>
      <c r="AD1186" s="110"/>
      <c r="AE1186" s="110"/>
      <c r="AF1186" s="110"/>
      <c r="AG1186" s="110"/>
      <c r="AH1186" s="110"/>
      <c r="AI1186" s="110"/>
      <c r="AJ1186" s="110"/>
      <c r="AK1186" s="110"/>
      <c r="AL1186" s="110"/>
      <c r="AM1186" s="110"/>
      <c r="AN1186" s="110"/>
      <c r="AO1186" s="110"/>
      <c r="AP1186" s="110"/>
      <c r="AQ1186" s="110"/>
      <c r="AR1186" s="110"/>
      <c r="AS1186" s="110"/>
      <c r="AT1186" s="110"/>
      <c r="AU1186" s="110"/>
    </row>
    <row r="1190" spans="1:47" ht="15" customHeight="1">
      <c r="B1190" s="1795"/>
    </row>
    <row r="1191" spans="1:47" ht="15" customHeight="1">
      <c r="B1191" s="1796"/>
    </row>
    <row r="1192" spans="1:47" ht="15" customHeight="1">
      <c r="B1192" s="1796"/>
    </row>
    <row r="1193" spans="1:47" ht="15" customHeight="1">
      <c r="B1193" s="1796"/>
    </row>
    <row r="1194" spans="1:47" ht="15" customHeight="1">
      <c r="B1194" s="1796"/>
    </row>
  </sheetData>
  <mergeCells count="24">
    <mergeCell ref="B235:D235"/>
    <mergeCell ref="B236:D236"/>
    <mergeCell ref="E7:F8"/>
    <mergeCell ref="G7:H8"/>
    <mergeCell ref="I7:J8"/>
    <mergeCell ref="A6:Z6"/>
    <mergeCell ref="B7:D7"/>
    <mergeCell ref="S7:T8"/>
    <mergeCell ref="U7:V8"/>
    <mergeCell ref="W7:X8"/>
    <mergeCell ref="Y7:Y9"/>
    <mergeCell ref="Z7:Z9"/>
    <mergeCell ref="A8:A9"/>
    <mergeCell ref="B8:B9"/>
    <mergeCell ref="D8:D9"/>
    <mergeCell ref="K7:L8"/>
    <mergeCell ref="M7:N8"/>
    <mergeCell ref="O7:P8"/>
    <mergeCell ref="Q7:R8"/>
    <mergeCell ref="B1:Z1"/>
    <mergeCell ref="B2:Z2"/>
    <mergeCell ref="B3:Z3"/>
    <mergeCell ref="B4:Z4"/>
    <mergeCell ref="A5:AT5"/>
  </mergeCells>
  <conditionalFormatting sqref="Z7:Z10 Z12:Z23 Z25:Z1186 AA234">
    <cfRule type="cellIs" dxfId="8" priority="1" operator="equal">
      <formula>"100%"</formula>
    </cfRule>
  </conditionalFormatting>
  <printOptions horizontalCentered="1"/>
  <pageMargins left="0.39370078740157483" right="0.39370078740157483" top="0.39370078740157483" bottom="0.39370078740157483" header="0" footer="0"/>
  <pageSetup paperSize="8" scale="52" fitToHeight="0" orientation="landscape" r:id="rId1"/>
  <headerFooter>
    <oddFooter>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92D050"/>
    <outlinePr summaryBelow="0" summaryRight="0"/>
    <pageSetUpPr fitToPage="1"/>
  </sheetPr>
  <dimension ref="A1:M291"/>
  <sheetViews>
    <sheetView workbookViewId="0">
      <selection sqref="A1:H1"/>
    </sheetView>
  </sheetViews>
  <sheetFormatPr defaultColWidth="12.5703125" defaultRowHeight="15" customHeight="1"/>
  <cols>
    <col min="1" max="1" width="12.28515625" customWidth="1"/>
    <col min="2" max="2" width="57" customWidth="1"/>
    <col min="3" max="3" width="8" customWidth="1"/>
    <col min="4" max="4" width="10.42578125" bestFit="1" customWidth="1"/>
    <col min="5" max="5" width="12.85546875" customWidth="1"/>
    <col min="6" max="6" width="14.7109375" customWidth="1"/>
    <col min="7" max="7" width="17.42578125" customWidth="1"/>
    <col min="8" max="8" width="78.85546875" customWidth="1"/>
    <col min="13" max="13" width="14" bestFit="1" customWidth="1"/>
  </cols>
  <sheetData>
    <row r="1" spans="1:12" ht="12.75">
      <c r="A1" s="3423" t="s">
        <v>15484</v>
      </c>
      <c r="B1" s="2607"/>
      <c r="C1" s="2607"/>
      <c r="D1" s="2607"/>
      <c r="E1" s="2607"/>
      <c r="F1" s="2607"/>
      <c r="G1" s="2607"/>
      <c r="H1" s="3400"/>
    </row>
    <row r="2" spans="1:12" ht="12.75">
      <c r="A2" s="1013" t="s">
        <v>12663</v>
      </c>
      <c r="B2" s="3424" t="str">
        <f>'Medição '!W5</f>
        <v>COMPLEXO SUNSET DO PARQUE NOVO MATO GROSSO</v>
      </c>
      <c r="C2" s="2590"/>
      <c r="D2" s="2590"/>
      <c r="E2" s="2590"/>
      <c r="F2" s="2590"/>
      <c r="G2" s="2590"/>
      <c r="H2" s="2618"/>
    </row>
    <row r="3" spans="1:12" ht="12.75">
      <c r="A3" s="1013" t="s">
        <v>12667</v>
      </c>
      <c r="B3" s="3424" t="str">
        <f>'Medição '!W6</f>
        <v>MT 251, KM 11, S/N, ÁREA RURAL - PARQUE NOVO MATO GROSSO, CEP 78099-899</v>
      </c>
      <c r="C3" s="2590"/>
      <c r="D3" s="2590"/>
      <c r="E3" s="2590"/>
      <c r="F3" s="2590"/>
      <c r="G3" s="2590"/>
      <c r="H3" s="2618"/>
    </row>
    <row r="4" spans="1:12" ht="12.75">
      <c r="A4" s="1013" t="s">
        <v>12671</v>
      </c>
      <c r="B4" s="3424" t="str">
        <f>'Medição '!W7</f>
        <v>CUIABÁ - MT</v>
      </c>
      <c r="C4" s="2590"/>
      <c r="D4" s="2590"/>
      <c r="E4" s="2590"/>
      <c r="F4" s="2590"/>
      <c r="G4" s="2590"/>
      <c r="H4" s="2618"/>
    </row>
    <row r="5" spans="1:12" ht="12.75">
      <c r="A5" s="1014" t="s">
        <v>12676</v>
      </c>
      <c r="B5" s="3424" t="str">
        <f>'Medição '!W8</f>
        <v>CONTRATAÇÃO DE EMPRESA ESPECIALIZADA PARA EXECUÇÃO DAS OBRAS DO "COMPLEXO SUNSET (WAKE BAR, PRAÇA SUNSET, QUIOSQUE, BANHEIROS DE APOIO E INFRA DE CONTÊINER) DO PARQUE NOVO MATO GROSSO"</v>
      </c>
      <c r="C5" s="2590"/>
      <c r="D5" s="2590"/>
      <c r="E5" s="2590"/>
      <c r="F5" s="2590"/>
      <c r="G5" s="2590"/>
      <c r="H5" s="2618"/>
    </row>
    <row r="6" spans="1:12" ht="12.75">
      <c r="A6" s="3421" t="s">
        <v>15485</v>
      </c>
      <c r="B6" s="2588"/>
      <c r="C6" s="2588"/>
      <c r="D6" s="2588"/>
      <c r="E6" s="2588"/>
      <c r="F6" s="2588"/>
      <c r="G6" s="2588"/>
      <c r="H6" s="2621"/>
    </row>
    <row r="7" spans="1:12" ht="53.25" customHeight="1">
      <c r="A7" s="3421" t="s">
        <v>15486</v>
      </c>
      <c r="B7" s="2588"/>
      <c r="C7" s="2588"/>
      <c r="D7" s="2588"/>
      <c r="E7" s="2588"/>
      <c r="F7" s="2588"/>
      <c r="G7" s="2588"/>
      <c r="H7" s="2621"/>
    </row>
    <row r="8" spans="1:12" ht="37.5" customHeight="1">
      <c r="A8" s="3422" t="s">
        <v>15487</v>
      </c>
      <c r="B8" s="2631"/>
      <c r="C8" s="2631"/>
      <c r="D8" s="2631"/>
      <c r="E8" s="2631"/>
      <c r="F8" s="2631"/>
      <c r="G8" s="2631"/>
      <c r="H8" s="2632"/>
    </row>
    <row r="9" spans="1:12" ht="12.75">
      <c r="A9" s="1015" t="s">
        <v>15488</v>
      </c>
      <c r="B9" s="1016" t="s">
        <v>15489</v>
      </c>
      <c r="C9" s="1017" t="s">
        <v>15490</v>
      </c>
      <c r="D9" s="1017" t="s">
        <v>15491</v>
      </c>
      <c r="E9" s="1018" t="s">
        <v>15492</v>
      </c>
      <c r="F9" s="1018" t="s">
        <v>15493</v>
      </c>
      <c r="G9" s="1017" t="s">
        <v>15494</v>
      </c>
      <c r="H9" s="1019" t="s">
        <v>15495</v>
      </c>
    </row>
    <row r="10" spans="1:12" ht="12.75">
      <c r="A10" s="1020" t="s">
        <v>14805</v>
      </c>
      <c r="B10" s="1021" t="s">
        <v>15496</v>
      </c>
      <c r="C10" s="1022" t="s">
        <v>409</v>
      </c>
      <c r="D10" s="1023">
        <v>45552</v>
      </c>
      <c r="E10" s="1024">
        <v>64.2</v>
      </c>
      <c r="F10" s="1024">
        <f>L10</f>
        <v>71.959999999999994</v>
      </c>
      <c r="G10" s="1020" t="s">
        <v>15497</v>
      </c>
      <c r="H10" s="1025" t="s">
        <v>15498</v>
      </c>
      <c r="J10" s="1792">
        <v>79</v>
      </c>
      <c r="K10" s="1789">
        <v>8.8999999999999996E-2</v>
      </c>
      <c r="L10">
        <f>TRUNC((1-K10)*J10,2)</f>
        <v>71.959999999999994</v>
      </c>
    </row>
    <row r="11" spans="1:12" ht="12.75" hidden="1">
      <c r="A11" s="1020" t="s">
        <v>14805</v>
      </c>
      <c r="B11" s="1021" t="s">
        <v>15496</v>
      </c>
      <c r="C11" s="1022" t="s">
        <v>409</v>
      </c>
      <c r="D11" s="1023">
        <v>45552</v>
      </c>
      <c r="E11" s="1024">
        <v>86.04</v>
      </c>
      <c r="F11" s="1024"/>
      <c r="G11" s="1020" t="s">
        <v>15499</v>
      </c>
      <c r="H11" s="1025" t="s">
        <v>15500</v>
      </c>
    </row>
    <row r="12" spans="1:12" ht="12.75" hidden="1">
      <c r="A12" s="1020" t="s">
        <v>14805</v>
      </c>
      <c r="B12" s="1021" t="s">
        <v>15496</v>
      </c>
      <c r="C12" s="1022" t="s">
        <v>409</v>
      </c>
      <c r="D12" s="1023">
        <v>45552</v>
      </c>
      <c r="E12" s="1024">
        <v>79</v>
      </c>
      <c r="F12" s="1024"/>
      <c r="G12" s="1020" t="s">
        <v>15501</v>
      </c>
      <c r="H12" s="1025" t="s">
        <v>15502</v>
      </c>
    </row>
    <row r="13" spans="1:12" ht="12.75">
      <c r="A13" s="1026" t="s">
        <v>14779</v>
      </c>
      <c r="B13" s="1027" t="s">
        <v>15503</v>
      </c>
      <c r="C13" s="1026" t="s">
        <v>409</v>
      </c>
      <c r="D13" s="1028">
        <v>45541</v>
      </c>
      <c r="E13" s="1029">
        <v>690</v>
      </c>
      <c r="F13" s="1024">
        <f>L13</f>
        <v>628.59</v>
      </c>
      <c r="G13" s="1026" t="s">
        <v>15504</v>
      </c>
      <c r="H13" s="1030" t="s">
        <v>15505</v>
      </c>
      <c r="J13" s="1792">
        <v>690</v>
      </c>
      <c r="K13" s="1789">
        <v>8.8999999999999996E-2</v>
      </c>
      <c r="L13">
        <f>TRUNC((1-K13)*J13,2)</f>
        <v>628.59</v>
      </c>
    </row>
    <row r="14" spans="1:12" ht="12.75" hidden="1">
      <c r="A14" s="1026" t="s">
        <v>14779</v>
      </c>
      <c r="B14" s="1027" t="s">
        <v>15503</v>
      </c>
      <c r="C14" s="1026" t="s">
        <v>409</v>
      </c>
      <c r="D14" s="1028">
        <v>45540</v>
      </c>
      <c r="E14" s="1029">
        <v>826.41</v>
      </c>
      <c r="F14" s="1029"/>
      <c r="G14" s="1026" t="s">
        <v>15506</v>
      </c>
      <c r="H14" s="1030" t="s">
        <v>15507</v>
      </c>
    </row>
    <row r="15" spans="1:12" ht="12.75" hidden="1">
      <c r="A15" s="1026" t="s">
        <v>14779</v>
      </c>
      <c r="B15" s="1027" t="s">
        <v>15503</v>
      </c>
      <c r="C15" s="1026" t="s">
        <v>409</v>
      </c>
      <c r="D15" s="1028">
        <v>45539</v>
      </c>
      <c r="E15" s="1029">
        <v>600</v>
      </c>
      <c r="F15" s="1029"/>
      <c r="G15" s="1026" t="s">
        <v>15508</v>
      </c>
      <c r="H15" s="1030" t="s">
        <v>15509</v>
      </c>
    </row>
    <row r="16" spans="1:12" ht="25.5">
      <c r="A16" s="1020" t="s">
        <v>14810</v>
      </c>
      <c r="B16" s="1021" t="s">
        <v>15510</v>
      </c>
      <c r="C16" s="1022" t="s">
        <v>6</v>
      </c>
      <c r="D16" s="1023">
        <v>45552</v>
      </c>
      <c r="E16" s="1024">
        <v>889.86</v>
      </c>
      <c r="F16" s="1024">
        <f>L16</f>
        <v>810.66</v>
      </c>
      <c r="G16" s="1020" t="s">
        <v>15511</v>
      </c>
      <c r="H16" s="1025" t="s">
        <v>15512</v>
      </c>
      <c r="J16" s="1792">
        <v>889.86</v>
      </c>
      <c r="K16" s="1789">
        <v>8.8999999999999996E-2</v>
      </c>
      <c r="L16">
        <f>TRUNC((1-K16)*J16,2)</f>
        <v>810.66</v>
      </c>
    </row>
    <row r="17" spans="1:12" ht="25.5" hidden="1">
      <c r="A17" s="1020" t="s">
        <v>14810</v>
      </c>
      <c r="B17" s="1021" t="s">
        <v>15510</v>
      </c>
      <c r="C17" s="1022" t="s">
        <v>6</v>
      </c>
      <c r="D17" s="1023">
        <v>45552</v>
      </c>
      <c r="E17" s="1024">
        <v>599.9</v>
      </c>
      <c r="F17" s="1024"/>
      <c r="G17" s="1020" t="s">
        <v>15513</v>
      </c>
      <c r="H17" s="1025" t="s">
        <v>15514</v>
      </c>
    </row>
    <row r="18" spans="1:12" ht="25.5" hidden="1">
      <c r="A18" s="1020" t="s">
        <v>14810</v>
      </c>
      <c r="B18" s="1021" t="s">
        <v>15510</v>
      </c>
      <c r="C18" s="1022" t="s">
        <v>6</v>
      </c>
      <c r="D18" s="1023">
        <v>45552</v>
      </c>
      <c r="E18" s="1024">
        <v>895.09</v>
      </c>
      <c r="F18" s="1024"/>
      <c r="G18" s="1020" t="s">
        <v>15515</v>
      </c>
      <c r="H18" s="1025" t="s">
        <v>15516</v>
      </c>
    </row>
    <row r="19" spans="1:12" ht="12.75">
      <c r="A19" s="1026" t="s">
        <v>14922</v>
      </c>
      <c r="B19" s="1027" t="s">
        <v>15517</v>
      </c>
      <c r="C19" s="1026" t="s">
        <v>409</v>
      </c>
      <c r="D19" s="1028">
        <v>45469</v>
      </c>
      <c r="E19" s="1029">
        <v>378.66</v>
      </c>
      <c r="F19" s="1024">
        <f>L19</f>
        <v>363.63</v>
      </c>
      <c r="G19" s="1026" t="s">
        <v>15518</v>
      </c>
      <c r="H19" s="1030" t="s">
        <v>15519</v>
      </c>
      <c r="J19" s="1792">
        <v>399.16</v>
      </c>
      <c r="K19" s="1789">
        <v>8.8999999999999996E-2</v>
      </c>
      <c r="L19">
        <f>TRUNC((1-K19)*J19,2)</f>
        <v>363.63</v>
      </c>
    </row>
    <row r="20" spans="1:12" ht="12.75" hidden="1">
      <c r="A20" s="1026" t="s">
        <v>14922</v>
      </c>
      <c r="B20" s="1027" t="s">
        <v>15517</v>
      </c>
      <c r="C20" s="1026" t="s">
        <v>409</v>
      </c>
      <c r="D20" s="1028">
        <v>45469</v>
      </c>
      <c r="E20" s="1029">
        <v>399.16</v>
      </c>
      <c r="F20" s="1029"/>
      <c r="G20" s="1026" t="s">
        <v>15511</v>
      </c>
      <c r="H20" s="1030" t="s">
        <v>15512</v>
      </c>
    </row>
    <row r="21" spans="1:12" ht="12.75" hidden="1">
      <c r="A21" s="1026" t="s">
        <v>14922</v>
      </c>
      <c r="B21" s="1027" t="s">
        <v>15517</v>
      </c>
      <c r="C21" s="1026" t="s">
        <v>409</v>
      </c>
      <c r="D21" s="1028">
        <v>45469</v>
      </c>
      <c r="E21" s="1029">
        <v>414.29</v>
      </c>
      <c r="F21" s="1029"/>
      <c r="G21" s="1026" t="s">
        <v>15520</v>
      </c>
      <c r="H21" s="1030" t="s">
        <v>15521</v>
      </c>
    </row>
    <row r="22" spans="1:12" ht="12.75">
      <c r="A22" s="1020" t="s">
        <v>14821</v>
      </c>
      <c r="B22" s="1021" t="s">
        <v>15522</v>
      </c>
      <c r="C22" s="1022" t="s">
        <v>6</v>
      </c>
      <c r="D22" s="1023">
        <v>45538</v>
      </c>
      <c r="E22" s="1024">
        <v>48.05</v>
      </c>
      <c r="F22" s="1024">
        <f>L22</f>
        <v>79.22</v>
      </c>
      <c r="G22" s="1020" t="s">
        <v>15523</v>
      </c>
      <c r="H22" s="1025" t="s">
        <v>15524</v>
      </c>
      <c r="J22" s="1792">
        <v>86.97</v>
      </c>
      <c r="K22" s="1789">
        <v>8.8999999999999996E-2</v>
      </c>
      <c r="L22">
        <f>TRUNC((1-K22)*J22,2)</f>
        <v>79.22</v>
      </c>
    </row>
    <row r="23" spans="1:12" ht="12.75" hidden="1">
      <c r="A23" s="1020" t="s">
        <v>14821</v>
      </c>
      <c r="B23" s="1021" t="s">
        <v>15522</v>
      </c>
      <c r="C23" s="1022" t="s">
        <v>6</v>
      </c>
      <c r="D23" s="1023">
        <v>45538</v>
      </c>
      <c r="E23" s="1024">
        <v>130.84</v>
      </c>
      <c r="F23" s="1024"/>
      <c r="G23" s="1020" t="s">
        <v>15525</v>
      </c>
      <c r="H23" s="1025" t="s">
        <v>15526</v>
      </c>
    </row>
    <row r="24" spans="1:12" ht="12.75" hidden="1">
      <c r="A24" s="1020" t="s">
        <v>14821</v>
      </c>
      <c r="B24" s="1021" t="s">
        <v>15522</v>
      </c>
      <c r="C24" s="1022" t="s">
        <v>6</v>
      </c>
      <c r="D24" s="1023">
        <v>45538</v>
      </c>
      <c r="E24" s="1024">
        <v>86.97</v>
      </c>
      <c r="F24" s="1024"/>
      <c r="G24" s="1020" t="s">
        <v>15527</v>
      </c>
      <c r="H24" s="1025" t="s">
        <v>15528</v>
      </c>
    </row>
    <row r="25" spans="1:12" ht="12.75">
      <c r="A25" s="1026" t="s">
        <v>15203</v>
      </c>
      <c r="B25" s="1027" t="s">
        <v>15529</v>
      </c>
      <c r="C25" s="1031" t="s">
        <v>6</v>
      </c>
      <c r="D25" s="1028">
        <v>45453</v>
      </c>
      <c r="E25" s="1029">
        <v>145.19999999999999</v>
      </c>
      <c r="F25" s="1024">
        <f>L25</f>
        <v>132.27000000000001</v>
      </c>
      <c r="G25" s="1026" t="s">
        <v>15530</v>
      </c>
      <c r="H25" s="1030" t="s">
        <v>15531</v>
      </c>
      <c r="J25" s="1792">
        <v>145.19999999999999</v>
      </c>
      <c r="K25" s="1789">
        <v>8.8999999999999996E-2</v>
      </c>
      <c r="L25">
        <f>TRUNC((1-K25)*J25,2)</f>
        <v>132.27000000000001</v>
      </c>
    </row>
    <row r="26" spans="1:12" ht="12.75" hidden="1">
      <c r="A26" s="1026" t="s">
        <v>15203</v>
      </c>
      <c r="B26" s="1027" t="s">
        <v>15529</v>
      </c>
      <c r="C26" s="1031" t="s">
        <v>6</v>
      </c>
      <c r="D26" s="1028">
        <v>45453</v>
      </c>
      <c r="E26" s="1029">
        <v>139.31</v>
      </c>
      <c r="F26" s="1029"/>
      <c r="G26" s="1026" t="s">
        <v>15532</v>
      </c>
      <c r="H26" s="1030" t="s">
        <v>15533</v>
      </c>
    </row>
    <row r="27" spans="1:12" ht="12.75" hidden="1">
      <c r="A27" s="1026" t="s">
        <v>15203</v>
      </c>
      <c r="B27" s="1027" t="s">
        <v>15529</v>
      </c>
      <c r="C27" s="1031" t="s">
        <v>6</v>
      </c>
      <c r="D27" s="1028">
        <v>45453</v>
      </c>
      <c r="E27" s="1029">
        <v>201.51600000000002</v>
      </c>
      <c r="F27" s="1029"/>
      <c r="G27" s="1026" t="s">
        <v>15534</v>
      </c>
      <c r="H27" s="1030" t="s">
        <v>15535</v>
      </c>
    </row>
    <row r="28" spans="1:12" ht="12.75">
      <c r="A28" s="1020" t="s">
        <v>15536</v>
      </c>
      <c r="B28" s="1021" t="s">
        <v>15537</v>
      </c>
      <c r="C28" s="1020" t="s">
        <v>6</v>
      </c>
      <c r="D28" s="1023">
        <v>45457</v>
      </c>
      <c r="E28" s="1024">
        <v>250</v>
      </c>
      <c r="F28" s="1024">
        <f>L28</f>
        <v>273.3</v>
      </c>
      <c r="G28" s="1020" t="s">
        <v>15538</v>
      </c>
      <c r="H28" s="1025" t="s">
        <v>15539</v>
      </c>
      <c r="J28" s="1792">
        <v>300</v>
      </c>
      <c r="K28" s="1789">
        <v>8.8999999999999996E-2</v>
      </c>
      <c r="L28">
        <f>TRUNC((1-K28)*J28,2)</f>
        <v>273.3</v>
      </c>
    </row>
    <row r="29" spans="1:12" ht="12.75" hidden="1">
      <c r="A29" s="1020" t="s">
        <v>15536</v>
      </c>
      <c r="B29" s="1021" t="s">
        <v>15537</v>
      </c>
      <c r="C29" s="1020" t="s">
        <v>6</v>
      </c>
      <c r="D29" s="1023">
        <v>45462</v>
      </c>
      <c r="E29" s="1024">
        <v>750</v>
      </c>
      <c r="F29" s="1024"/>
      <c r="G29" s="1020" t="s">
        <v>15540</v>
      </c>
      <c r="H29" s="1025" t="s">
        <v>15541</v>
      </c>
    </row>
    <row r="30" spans="1:12" ht="12.75" hidden="1">
      <c r="A30" s="1020" t="s">
        <v>15536</v>
      </c>
      <c r="B30" s="1021" t="s">
        <v>15537</v>
      </c>
      <c r="C30" s="1020" t="s">
        <v>6</v>
      </c>
      <c r="D30" s="1023">
        <v>45462</v>
      </c>
      <c r="E30" s="1024">
        <v>300</v>
      </c>
      <c r="F30" s="1024"/>
      <c r="G30" s="1020" t="s">
        <v>15542</v>
      </c>
      <c r="H30" s="1025" t="s">
        <v>15543</v>
      </c>
    </row>
    <row r="31" spans="1:12" ht="12.75">
      <c r="A31" s="1026" t="s">
        <v>15544</v>
      </c>
      <c r="B31" s="1027" t="s">
        <v>15545</v>
      </c>
      <c r="C31" s="1026" t="s">
        <v>6</v>
      </c>
      <c r="D31" s="1028">
        <v>45457</v>
      </c>
      <c r="E31" s="1029">
        <v>170</v>
      </c>
      <c r="F31" s="1024">
        <f>L31</f>
        <v>200.42</v>
      </c>
      <c r="G31" s="1026" t="s">
        <v>15538</v>
      </c>
      <c r="H31" s="1030" t="s">
        <v>15539</v>
      </c>
      <c r="J31" s="1792">
        <v>220</v>
      </c>
      <c r="K31" s="1789">
        <v>8.8999999999999996E-2</v>
      </c>
      <c r="L31">
        <f>TRUNC((1-K31)*J31,2)</f>
        <v>200.42</v>
      </c>
    </row>
    <row r="32" spans="1:12" ht="12.75" hidden="1">
      <c r="A32" s="1026" t="s">
        <v>15544</v>
      </c>
      <c r="B32" s="1027" t="s">
        <v>15545</v>
      </c>
      <c r="C32" s="1026" t="s">
        <v>6</v>
      </c>
      <c r="D32" s="1028">
        <v>45462</v>
      </c>
      <c r="E32" s="1029">
        <v>225</v>
      </c>
      <c r="F32" s="1029"/>
      <c r="G32" s="1026" t="s">
        <v>15540</v>
      </c>
      <c r="H32" s="1030" t="s">
        <v>15541</v>
      </c>
    </row>
    <row r="33" spans="1:12" ht="12.75" hidden="1">
      <c r="A33" s="1026" t="s">
        <v>15544</v>
      </c>
      <c r="B33" s="1027" t="s">
        <v>15545</v>
      </c>
      <c r="C33" s="1026" t="s">
        <v>6</v>
      </c>
      <c r="D33" s="1028">
        <v>45462</v>
      </c>
      <c r="E33" s="1029">
        <v>220</v>
      </c>
      <c r="F33" s="1029"/>
      <c r="G33" s="1026" t="s">
        <v>15542</v>
      </c>
      <c r="H33" s="1030" t="s">
        <v>15543</v>
      </c>
    </row>
    <row r="34" spans="1:12" ht="12.75">
      <c r="A34" s="1020" t="s">
        <v>15088</v>
      </c>
      <c r="B34" s="1021" t="s">
        <v>15546</v>
      </c>
      <c r="C34" s="1020" t="s">
        <v>6</v>
      </c>
      <c r="D34" s="1023">
        <v>45457</v>
      </c>
      <c r="E34" s="1024">
        <v>60</v>
      </c>
      <c r="F34" s="1024">
        <f>L34</f>
        <v>81.99</v>
      </c>
      <c r="G34" s="1020" t="s">
        <v>15538</v>
      </c>
      <c r="H34" s="1025" t="s">
        <v>15539</v>
      </c>
      <c r="J34" s="1792">
        <v>90</v>
      </c>
      <c r="K34" s="1789">
        <v>8.8999999999999996E-2</v>
      </c>
      <c r="L34">
        <f>TRUNC((1-K34)*J34,2)</f>
        <v>81.99</v>
      </c>
    </row>
    <row r="35" spans="1:12" ht="12.75" hidden="1">
      <c r="A35" s="1020" t="s">
        <v>15088</v>
      </c>
      <c r="B35" s="1021" t="s">
        <v>15546</v>
      </c>
      <c r="C35" s="1020" t="s">
        <v>6</v>
      </c>
      <c r="D35" s="1023">
        <v>45462</v>
      </c>
      <c r="E35" s="1024">
        <v>150</v>
      </c>
      <c r="F35" s="1024"/>
      <c r="G35" s="1020" t="s">
        <v>15540</v>
      </c>
      <c r="H35" s="1025" t="s">
        <v>15541</v>
      </c>
    </row>
    <row r="36" spans="1:12" ht="12.75" hidden="1">
      <c r="A36" s="1020" t="s">
        <v>15088</v>
      </c>
      <c r="B36" s="1021" t="s">
        <v>15546</v>
      </c>
      <c r="C36" s="1020" t="s">
        <v>6</v>
      </c>
      <c r="D36" s="1023">
        <v>45462</v>
      </c>
      <c r="E36" s="1024">
        <v>90</v>
      </c>
      <c r="F36" s="1024"/>
      <c r="G36" s="1020" t="s">
        <v>15542</v>
      </c>
      <c r="H36" s="1025" t="s">
        <v>15543</v>
      </c>
    </row>
    <row r="37" spans="1:12" ht="12.75">
      <c r="A37" s="1026" t="s">
        <v>15034</v>
      </c>
      <c r="B37" s="1027" t="s">
        <v>15547</v>
      </c>
      <c r="C37" s="1026" t="s">
        <v>409</v>
      </c>
      <c r="D37" s="1028">
        <v>45464</v>
      </c>
      <c r="E37" s="1029">
        <v>130.59</v>
      </c>
      <c r="F37" s="1024">
        <f>L37</f>
        <v>118.96</v>
      </c>
      <c r="G37" s="1026" t="s">
        <v>15548</v>
      </c>
      <c r="H37" s="1030" t="s">
        <v>15549</v>
      </c>
      <c r="J37" s="1792">
        <v>130.59</v>
      </c>
      <c r="K37" s="1789">
        <v>8.8999999999999996E-2</v>
      </c>
      <c r="L37">
        <f>TRUNC((1-K37)*J37,2)</f>
        <v>118.96</v>
      </c>
    </row>
    <row r="38" spans="1:12" ht="12.75" hidden="1">
      <c r="A38" s="1026" t="s">
        <v>15034</v>
      </c>
      <c r="B38" s="1027" t="s">
        <v>15547</v>
      </c>
      <c r="C38" s="1026" t="s">
        <v>409</v>
      </c>
      <c r="D38" s="1028">
        <v>45463</v>
      </c>
      <c r="E38" s="1029">
        <v>173.25</v>
      </c>
      <c r="F38" s="1029"/>
      <c r="G38" s="1026" t="s">
        <v>15550</v>
      </c>
      <c r="H38" s="1030" t="s">
        <v>15551</v>
      </c>
    </row>
    <row r="39" spans="1:12" ht="12.75" hidden="1">
      <c r="A39" s="1026" t="s">
        <v>15034</v>
      </c>
      <c r="B39" s="1027" t="s">
        <v>15547</v>
      </c>
      <c r="C39" s="1026" t="s">
        <v>409</v>
      </c>
      <c r="D39" s="1028">
        <v>45464</v>
      </c>
      <c r="E39" s="1029">
        <v>84.95</v>
      </c>
      <c r="F39" s="1029"/>
      <c r="G39" s="1026" t="s">
        <v>15552</v>
      </c>
      <c r="H39" s="1030" t="s">
        <v>15553</v>
      </c>
    </row>
    <row r="40" spans="1:12" ht="25.5">
      <c r="A40" s="1020" t="s">
        <v>15197</v>
      </c>
      <c r="B40" s="1021" t="s">
        <v>15554</v>
      </c>
      <c r="C40" s="1022" t="s">
        <v>6</v>
      </c>
      <c r="D40" s="1023">
        <v>45465</v>
      </c>
      <c r="E40" s="1024">
        <v>603.86</v>
      </c>
      <c r="F40" s="1024">
        <f>L40</f>
        <v>504.75</v>
      </c>
      <c r="G40" s="1020" t="s">
        <v>15555</v>
      </c>
      <c r="H40" s="1025" t="s">
        <v>15556</v>
      </c>
      <c r="J40" s="1792">
        <v>554.06999999999994</v>
      </c>
      <c r="K40" s="1789">
        <v>8.8999999999999996E-2</v>
      </c>
      <c r="L40">
        <f>TRUNC((1-K40)*J40,2)</f>
        <v>504.75</v>
      </c>
    </row>
    <row r="41" spans="1:12" ht="25.5" hidden="1">
      <c r="A41" s="1020" t="s">
        <v>15197</v>
      </c>
      <c r="B41" s="1021" t="s">
        <v>15554</v>
      </c>
      <c r="C41" s="1022" t="s">
        <v>6</v>
      </c>
      <c r="D41" s="1023">
        <v>45465</v>
      </c>
      <c r="E41" s="1024">
        <v>554.06999999999994</v>
      </c>
      <c r="F41" s="1024"/>
      <c r="G41" s="1020" t="s">
        <v>15557</v>
      </c>
      <c r="H41" s="1025" t="s">
        <v>15558</v>
      </c>
    </row>
    <row r="42" spans="1:12" ht="25.5" hidden="1">
      <c r="A42" s="1020" t="s">
        <v>15197</v>
      </c>
      <c r="B42" s="1021" t="s">
        <v>15554</v>
      </c>
      <c r="C42" s="1022" t="s">
        <v>6</v>
      </c>
      <c r="D42" s="1023">
        <v>45465</v>
      </c>
      <c r="E42" s="1024">
        <v>507.51000000000005</v>
      </c>
      <c r="F42" s="1024"/>
      <c r="G42" s="1020" t="s">
        <v>15559</v>
      </c>
      <c r="H42" s="1025" t="s">
        <v>15560</v>
      </c>
    </row>
    <row r="43" spans="1:12" ht="12.75">
      <c r="A43" s="1026" t="s">
        <v>14875</v>
      </c>
      <c r="B43" s="1027" t="s">
        <v>15561</v>
      </c>
      <c r="C43" s="1026" t="s">
        <v>50</v>
      </c>
      <c r="D43" s="1028">
        <v>45465</v>
      </c>
      <c r="E43" s="1029">
        <v>49.83</v>
      </c>
      <c r="F43" s="1024">
        <f>L43</f>
        <v>25.3</v>
      </c>
      <c r="G43" s="1026" t="s">
        <v>15562</v>
      </c>
      <c r="H43" s="1030" t="s">
        <v>15563</v>
      </c>
      <c r="J43" s="1792">
        <v>27.78</v>
      </c>
      <c r="K43" s="1789">
        <v>8.8999999999999996E-2</v>
      </c>
      <c r="L43">
        <f>TRUNC((1-K43)*J43,2)</f>
        <v>25.3</v>
      </c>
    </row>
    <row r="44" spans="1:12" ht="12.75" hidden="1">
      <c r="A44" s="1026" t="s">
        <v>14875</v>
      </c>
      <c r="B44" s="1027" t="s">
        <v>15561</v>
      </c>
      <c r="C44" s="1026" t="s">
        <v>50</v>
      </c>
      <c r="D44" s="1028">
        <v>45465</v>
      </c>
      <c r="E44" s="1029">
        <v>27.78</v>
      </c>
      <c r="F44" s="1029"/>
      <c r="G44" s="1026" t="s">
        <v>15564</v>
      </c>
      <c r="H44" s="1030" t="s">
        <v>15565</v>
      </c>
    </row>
    <row r="45" spans="1:12" ht="12.75" hidden="1">
      <c r="A45" s="1026" t="s">
        <v>14875</v>
      </c>
      <c r="B45" s="1027" t="s">
        <v>15561</v>
      </c>
      <c r="C45" s="1026" t="s">
        <v>50</v>
      </c>
      <c r="D45" s="1028">
        <v>45465</v>
      </c>
      <c r="E45" s="1029">
        <v>20</v>
      </c>
      <c r="F45" s="1029"/>
      <c r="G45" s="1026" t="s">
        <v>15566</v>
      </c>
      <c r="H45" s="1030" t="s">
        <v>15567</v>
      </c>
    </row>
    <row r="46" spans="1:12" ht="12.75">
      <c r="A46" s="1020" t="s">
        <v>15037</v>
      </c>
      <c r="B46" s="1021" t="s">
        <v>15568</v>
      </c>
      <c r="C46" s="1020" t="s">
        <v>6</v>
      </c>
      <c r="D46" s="1023">
        <v>45378</v>
      </c>
      <c r="E46" s="1024">
        <v>2497.41</v>
      </c>
      <c r="F46" s="1024">
        <f>L46</f>
        <v>2239.83</v>
      </c>
      <c r="G46" s="1020" t="s">
        <v>15569</v>
      </c>
      <c r="H46" s="1025" t="s">
        <v>15570</v>
      </c>
      <c r="J46" s="1792">
        <v>2458.65</v>
      </c>
      <c r="K46" s="1789">
        <v>8.8999999999999996E-2</v>
      </c>
      <c r="L46">
        <f>TRUNC((1-K46)*J46,2)</f>
        <v>2239.83</v>
      </c>
    </row>
    <row r="47" spans="1:12" ht="12.75" hidden="1">
      <c r="A47" s="1020" t="s">
        <v>15037</v>
      </c>
      <c r="B47" s="1021" t="s">
        <v>15568</v>
      </c>
      <c r="C47" s="1020" t="s">
        <v>6</v>
      </c>
      <c r="D47" s="1023">
        <v>45378</v>
      </c>
      <c r="E47" s="1024">
        <v>2337.98</v>
      </c>
      <c r="F47" s="1024"/>
      <c r="G47" s="1020" t="s">
        <v>15571</v>
      </c>
      <c r="H47" s="1025" t="s">
        <v>15572</v>
      </c>
    </row>
    <row r="48" spans="1:12" ht="12.75" hidden="1">
      <c r="A48" s="1020" t="s">
        <v>15037</v>
      </c>
      <c r="B48" s="1021" t="s">
        <v>15568</v>
      </c>
      <c r="C48" s="1020" t="s">
        <v>6</v>
      </c>
      <c r="D48" s="1023">
        <v>45378</v>
      </c>
      <c r="E48" s="1024">
        <v>2458.65</v>
      </c>
      <c r="F48" s="1024"/>
      <c r="G48" s="1020" t="s">
        <v>15513</v>
      </c>
      <c r="H48" s="1025" t="s">
        <v>15573</v>
      </c>
    </row>
    <row r="49" spans="1:12" ht="25.5">
      <c r="A49" s="1026" t="s">
        <v>15213</v>
      </c>
      <c r="B49" s="1027" t="s">
        <v>15574</v>
      </c>
      <c r="C49" s="1031" t="s">
        <v>6</v>
      </c>
      <c r="D49" s="1028">
        <v>45389</v>
      </c>
      <c r="E49" s="1029">
        <v>49.5</v>
      </c>
      <c r="F49" s="1024">
        <f>L49</f>
        <v>48.56</v>
      </c>
      <c r="G49" s="1026" t="s">
        <v>15575</v>
      </c>
      <c r="H49" s="1030" t="s">
        <v>15576</v>
      </c>
      <c r="J49" s="1792">
        <v>53.308000000000007</v>
      </c>
      <c r="K49" s="1789">
        <v>8.8999999999999996E-2</v>
      </c>
      <c r="L49">
        <f>TRUNC((1-K49)*J49,2)</f>
        <v>48.56</v>
      </c>
    </row>
    <row r="50" spans="1:12" ht="25.5" hidden="1">
      <c r="A50" s="1026" t="s">
        <v>15213</v>
      </c>
      <c r="B50" s="1027" t="s">
        <v>15574</v>
      </c>
      <c r="C50" s="1031" t="s">
        <v>6</v>
      </c>
      <c r="D50" s="1028">
        <v>45389</v>
      </c>
      <c r="E50" s="1029">
        <v>53.308000000000007</v>
      </c>
      <c r="F50" s="1029"/>
      <c r="G50" s="1026" t="s">
        <v>15577</v>
      </c>
      <c r="H50" s="1030" t="s">
        <v>15578</v>
      </c>
    </row>
    <row r="51" spans="1:12" ht="25.5" hidden="1">
      <c r="A51" s="1026" t="s">
        <v>15213</v>
      </c>
      <c r="B51" s="1027" t="s">
        <v>15574</v>
      </c>
      <c r="C51" s="1031" t="s">
        <v>6</v>
      </c>
      <c r="D51" s="1028">
        <v>45389</v>
      </c>
      <c r="E51" s="1029">
        <v>54.939</v>
      </c>
      <c r="F51" s="1029"/>
      <c r="G51" s="1026" t="s">
        <v>15534</v>
      </c>
      <c r="H51" s="1030" t="s">
        <v>15535</v>
      </c>
    </row>
    <row r="52" spans="1:12" ht="12.75">
      <c r="A52" s="1020" t="s">
        <v>15357</v>
      </c>
      <c r="B52" s="1021" t="s">
        <v>15579</v>
      </c>
      <c r="C52" s="1022" t="s">
        <v>6</v>
      </c>
      <c r="D52" s="1023">
        <v>45527</v>
      </c>
      <c r="E52" s="1024">
        <v>101.23</v>
      </c>
      <c r="F52" s="1024">
        <f>L52</f>
        <v>91.35</v>
      </c>
      <c r="G52" s="1020" t="s">
        <v>15580</v>
      </c>
      <c r="H52" s="1025" t="s">
        <v>15581</v>
      </c>
      <c r="J52" s="1792">
        <v>100.28</v>
      </c>
      <c r="K52" s="1789">
        <v>8.8999999999999996E-2</v>
      </c>
      <c r="L52">
        <f>TRUNC((1-K52)*J52,2)</f>
        <v>91.35</v>
      </c>
    </row>
    <row r="53" spans="1:12" ht="12.75" hidden="1">
      <c r="A53" s="1020" t="s">
        <v>15357</v>
      </c>
      <c r="B53" s="1021" t="s">
        <v>15579</v>
      </c>
      <c r="C53" s="1022" t="s">
        <v>6</v>
      </c>
      <c r="D53" s="1023">
        <v>45527</v>
      </c>
      <c r="E53" s="1024">
        <v>77.599999999999994</v>
      </c>
      <c r="F53" s="1024"/>
      <c r="G53" s="1020" t="s">
        <v>15582</v>
      </c>
      <c r="H53" s="1025" t="s">
        <v>15583</v>
      </c>
    </row>
    <row r="54" spans="1:12" ht="12.75" hidden="1">
      <c r="A54" s="1020" t="s">
        <v>15357</v>
      </c>
      <c r="B54" s="1021" t="s">
        <v>15579</v>
      </c>
      <c r="C54" s="1022" t="s">
        <v>6</v>
      </c>
      <c r="D54" s="1023">
        <v>45527</v>
      </c>
      <c r="E54" s="1024">
        <v>100.28</v>
      </c>
      <c r="F54" s="1024"/>
      <c r="G54" s="1020" t="s">
        <v>15584</v>
      </c>
      <c r="H54" s="1025" t="s">
        <v>15585</v>
      </c>
    </row>
    <row r="55" spans="1:12" ht="12.75">
      <c r="A55" s="1026" t="s">
        <v>15343</v>
      </c>
      <c r="B55" s="1027" t="s">
        <v>15586</v>
      </c>
      <c r="C55" s="1031" t="s">
        <v>6</v>
      </c>
      <c r="D55" s="1028">
        <v>45527</v>
      </c>
      <c r="E55" s="1029">
        <v>578.69000000000005</v>
      </c>
      <c r="F55" s="1024">
        <f>L55</f>
        <v>477.91</v>
      </c>
      <c r="G55" s="1026" t="s">
        <v>15587</v>
      </c>
      <c r="H55" s="1030" t="s">
        <v>15588</v>
      </c>
      <c r="J55" s="1792">
        <v>524.6</v>
      </c>
      <c r="K55" s="1789">
        <v>8.8999999999999996E-2</v>
      </c>
      <c r="L55">
        <f>TRUNC((1-K55)*J55,2)</f>
        <v>477.91</v>
      </c>
    </row>
    <row r="56" spans="1:12" ht="12.75" hidden="1">
      <c r="A56" s="1026" t="s">
        <v>15343</v>
      </c>
      <c r="B56" s="1027" t="s">
        <v>15586</v>
      </c>
      <c r="C56" s="1031" t="s">
        <v>6</v>
      </c>
      <c r="D56" s="1028">
        <v>45528</v>
      </c>
      <c r="E56" s="1029">
        <v>433.07</v>
      </c>
      <c r="F56" s="1029"/>
      <c r="G56" s="1026" t="s">
        <v>15589</v>
      </c>
      <c r="H56" s="1030" t="s">
        <v>15590</v>
      </c>
    </row>
    <row r="57" spans="1:12" ht="12.75" hidden="1">
      <c r="A57" s="1026" t="s">
        <v>15343</v>
      </c>
      <c r="B57" s="1027" t="s">
        <v>15586</v>
      </c>
      <c r="C57" s="1031" t="s">
        <v>6</v>
      </c>
      <c r="D57" s="1028">
        <v>45528</v>
      </c>
      <c r="E57" s="1029">
        <v>524.6</v>
      </c>
      <c r="F57" s="1029"/>
      <c r="G57" s="1026" t="s">
        <v>15582</v>
      </c>
      <c r="H57" s="1030" t="s">
        <v>15583</v>
      </c>
    </row>
    <row r="58" spans="1:12" ht="12.75">
      <c r="A58" s="1020" t="s">
        <v>14991</v>
      </c>
      <c r="B58" s="1021" t="s">
        <v>15591</v>
      </c>
      <c r="C58" s="1020" t="s">
        <v>409</v>
      </c>
      <c r="D58" s="1023">
        <v>45540</v>
      </c>
      <c r="E58" s="1024">
        <v>178</v>
      </c>
      <c r="F58" s="1024">
        <f>L58</f>
        <v>249.43</v>
      </c>
      <c r="G58" s="1020" t="s">
        <v>15592</v>
      </c>
      <c r="H58" s="1025" t="s">
        <v>15593</v>
      </c>
      <c r="J58" s="1792">
        <v>273.8</v>
      </c>
      <c r="K58" s="1789">
        <v>8.8999999999999996E-2</v>
      </c>
      <c r="L58">
        <f>TRUNC((1-K58)*J58,2)</f>
        <v>249.43</v>
      </c>
    </row>
    <row r="59" spans="1:12" ht="12.75" hidden="1">
      <c r="A59" s="1020" t="s">
        <v>14991</v>
      </c>
      <c r="B59" s="1021" t="s">
        <v>15591</v>
      </c>
      <c r="C59" s="1020" t="s">
        <v>409</v>
      </c>
      <c r="D59" s="1023">
        <v>45540</v>
      </c>
      <c r="E59" s="1024">
        <v>273.8</v>
      </c>
      <c r="F59" s="1024"/>
      <c r="G59" s="1020" t="s">
        <v>15594</v>
      </c>
      <c r="H59" s="1025" t="s">
        <v>15595</v>
      </c>
    </row>
    <row r="60" spans="1:12" ht="12.75" hidden="1">
      <c r="A60" s="1020" t="s">
        <v>14991</v>
      </c>
      <c r="B60" s="1021" t="s">
        <v>15591</v>
      </c>
      <c r="C60" s="1020" t="s">
        <v>409</v>
      </c>
      <c r="D60" s="1023">
        <v>45540</v>
      </c>
      <c r="E60" s="1024">
        <v>453.99</v>
      </c>
      <c r="F60" s="1024"/>
      <c r="G60" s="1020" t="s">
        <v>15596</v>
      </c>
      <c r="H60" s="1025" t="s">
        <v>15597</v>
      </c>
    </row>
    <row r="61" spans="1:12" ht="12.75">
      <c r="A61" s="1026" t="s">
        <v>14992</v>
      </c>
      <c r="B61" s="1027" t="s">
        <v>15598</v>
      </c>
      <c r="C61" s="1026" t="s">
        <v>56</v>
      </c>
      <c r="D61" s="1028">
        <v>45539</v>
      </c>
      <c r="E61" s="1029">
        <v>68.98</v>
      </c>
      <c r="F61" s="1024">
        <f>L61</f>
        <v>79.959999999999994</v>
      </c>
      <c r="G61" s="1026" t="s">
        <v>15599</v>
      </c>
      <c r="H61" s="1030" t="s">
        <v>15600</v>
      </c>
      <c r="J61" s="1792">
        <v>87.78</v>
      </c>
      <c r="K61" s="1789">
        <v>8.8999999999999996E-2</v>
      </c>
      <c r="L61">
        <f>TRUNC((1-K61)*J61,2)</f>
        <v>79.959999999999994</v>
      </c>
    </row>
    <row r="62" spans="1:12" ht="12.75" hidden="1">
      <c r="A62" s="1026" t="s">
        <v>14992</v>
      </c>
      <c r="B62" s="1027" t="s">
        <v>15598</v>
      </c>
      <c r="C62" s="1026" t="s">
        <v>56</v>
      </c>
      <c r="D62" s="1028">
        <v>45539</v>
      </c>
      <c r="E62" s="1029">
        <v>87.78</v>
      </c>
      <c r="F62" s="1029"/>
      <c r="G62" s="1026" t="s">
        <v>15601</v>
      </c>
      <c r="H62" s="1030" t="s">
        <v>15602</v>
      </c>
    </row>
    <row r="63" spans="1:12" ht="12.75" hidden="1">
      <c r="A63" s="1026" t="s">
        <v>14992</v>
      </c>
      <c r="B63" s="1027" t="s">
        <v>15598</v>
      </c>
      <c r="C63" s="1026" t="s">
        <v>56</v>
      </c>
      <c r="D63" s="1028">
        <v>45539</v>
      </c>
      <c r="E63" s="1029">
        <v>168.62</v>
      </c>
      <c r="F63" s="1029"/>
      <c r="G63" s="1026" t="s">
        <v>15603</v>
      </c>
      <c r="H63" s="1030" t="s">
        <v>15604</v>
      </c>
    </row>
    <row r="64" spans="1:12" ht="12.75">
      <c r="A64" s="1020" t="s">
        <v>14762</v>
      </c>
      <c r="B64" s="1021" t="s">
        <v>15605</v>
      </c>
      <c r="C64" s="1020" t="s">
        <v>54</v>
      </c>
      <c r="D64" s="1023">
        <v>45542</v>
      </c>
      <c r="E64" s="1024">
        <v>83.38</v>
      </c>
      <c r="F64" s="1024">
        <f>L64</f>
        <v>41.39</v>
      </c>
      <c r="G64" s="1020" t="s">
        <v>15606</v>
      </c>
      <c r="H64" s="1025" t="s">
        <v>15607</v>
      </c>
      <c r="J64" s="1792">
        <v>45.44</v>
      </c>
      <c r="K64" s="1789">
        <v>8.8999999999999996E-2</v>
      </c>
      <c r="L64">
        <f>TRUNC((1-K64)*J64,2)</f>
        <v>41.39</v>
      </c>
    </row>
    <row r="65" spans="1:12" ht="12.75" hidden="1">
      <c r="A65" s="1020" t="s">
        <v>14762</v>
      </c>
      <c r="B65" s="1021" t="s">
        <v>15605</v>
      </c>
      <c r="C65" s="1020" t="s">
        <v>54</v>
      </c>
      <c r="D65" s="1023">
        <v>45542</v>
      </c>
      <c r="E65" s="1024">
        <v>45.44</v>
      </c>
      <c r="F65" s="1024"/>
      <c r="G65" s="1020" t="s">
        <v>15608</v>
      </c>
      <c r="H65" s="1025" t="s">
        <v>15609</v>
      </c>
    </row>
    <row r="66" spans="1:12" ht="12.75" hidden="1">
      <c r="A66" s="1020" t="s">
        <v>14762</v>
      </c>
      <c r="B66" s="1021" t="s">
        <v>15605</v>
      </c>
      <c r="C66" s="1020" t="s">
        <v>54</v>
      </c>
      <c r="D66" s="1023">
        <v>45542</v>
      </c>
      <c r="E66" s="1024">
        <v>28.1</v>
      </c>
      <c r="F66" s="1024"/>
      <c r="G66" s="1020" t="s">
        <v>15610</v>
      </c>
      <c r="H66" s="1025" t="s">
        <v>15611</v>
      </c>
    </row>
    <row r="67" spans="1:12" ht="12.75">
      <c r="A67" s="1026" t="s">
        <v>15183</v>
      </c>
      <c r="B67" s="1027" t="s">
        <v>15612</v>
      </c>
      <c r="C67" s="1031" t="s">
        <v>6</v>
      </c>
      <c r="D67" s="1028">
        <v>45544</v>
      </c>
      <c r="E67" s="1029">
        <v>238.49</v>
      </c>
      <c r="F67" s="1024">
        <f>L67</f>
        <v>163.97</v>
      </c>
      <c r="G67" s="1026" t="s">
        <v>15613</v>
      </c>
      <c r="H67" s="1030" t="s">
        <v>15614</v>
      </c>
      <c r="J67" s="1792">
        <v>179.99</v>
      </c>
      <c r="K67" s="1789">
        <v>8.8999999999999996E-2</v>
      </c>
      <c r="L67">
        <f>TRUNC((1-K67)*J67,2)</f>
        <v>163.97</v>
      </c>
    </row>
    <row r="68" spans="1:12" ht="12.75" hidden="1">
      <c r="A68" s="1026" t="s">
        <v>15183</v>
      </c>
      <c r="B68" s="1027" t="s">
        <v>15612</v>
      </c>
      <c r="C68" s="1031" t="s">
        <v>6</v>
      </c>
      <c r="D68" s="1028">
        <v>45544</v>
      </c>
      <c r="E68" s="1029">
        <v>142.16999999999999</v>
      </c>
      <c r="F68" s="1029"/>
      <c r="G68" s="1026" t="s">
        <v>15615</v>
      </c>
      <c r="H68" s="1030" t="s">
        <v>15616</v>
      </c>
    </row>
    <row r="69" spans="1:12" ht="12.75" hidden="1">
      <c r="A69" s="1026" t="s">
        <v>15183</v>
      </c>
      <c r="B69" s="1027" t="s">
        <v>15612</v>
      </c>
      <c r="C69" s="1031" t="s">
        <v>6</v>
      </c>
      <c r="D69" s="1028">
        <v>45544</v>
      </c>
      <c r="E69" s="1029">
        <v>179.99</v>
      </c>
      <c r="F69" s="1029"/>
      <c r="G69" s="1026" t="s">
        <v>15617</v>
      </c>
      <c r="H69" s="1030" t="s">
        <v>15618</v>
      </c>
    </row>
    <row r="70" spans="1:12" ht="12.75">
      <c r="A70" s="1020" t="s">
        <v>15619</v>
      </c>
      <c r="B70" s="1021" t="s">
        <v>15620</v>
      </c>
      <c r="C70" s="1022" t="s">
        <v>6</v>
      </c>
      <c r="D70" s="1023">
        <v>45544</v>
      </c>
      <c r="E70" s="1024">
        <v>262.92</v>
      </c>
      <c r="F70" s="1024">
        <f>L70</f>
        <v>239.52</v>
      </c>
      <c r="G70" s="1020" t="s">
        <v>15621</v>
      </c>
      <c r="H70" s="1025" t="s">
        <v>15622</v>
      </c>
      <c r="J70" s="1792">
        <v>262.92</v>
      </c>
      <c r="K70" s="1789">
        <v>8.8999999999999996E-2</v>
      </c>
      <c r="L70">
        <f>TRUNC((1-K70)*J70,2)</f>
        <v>239.52</v>
      </c>
    </row>
    <row r="71" spans="1:12" ht="12.75" hidden="1">
      <c r="A71" s="1020" t="s">
        <v>15619</v>
      </c>
      <c r="B71" s="1021" t="s">
        <v>15620</v>
      </c>
      <c r="C71" s="1022" t="s">
        <v>6</v>
      </c>
      <c r="D71" s="1023">
        <v>45544</v>
      </c>
      <c r="E71" s="1024">
        <v>273.82</v>
      </c>
      <c r="F71" s="1024"/>
      <c r="G71" s="1020" t="s">
        <v>15534</v>
      </c>
      <c r="H71" s="1025" t="s">
        <v>15535</v>
      </c>
    </row>
    <row r="72" spans="1:12" ht="12.75" hidden="1">
      <c r="A72" s="1020" t="s">
        <v>15619</v>
      </c>
      <c r="B72" s="1021" t="s">
        <v>15620</v>
      </c>
      <c r="C72" s="1022" t="s">
        <v>6</v>
      </c>
      <c r="D72" s="1023">
        <v>45544</v>
      </c>
      <c r="E72" s="1024">
        <v>137.47</v>
      </c>
      <c r="F72" s="1024"/>
      <c r="G72" s="1020" t="s">
        <v>15623</v>
      </c>
      <c r="H72" s="1025" t="s">
        <v>15624</v>
      </c>
    </row>
    <row r="73" spans="1:12" ht="12.75">
      <c r="A73" s="1026" t="s">
        <v>14774</v>
      </c>
      <c r="B73" s="1027" t="s">
        <v>15625</v>
      </c>
      <c r="C73" s="1031" t="s">
        <v>409</v>
      </c>
      <c r="D73" s="1028">
        <v>45541</v>
      </c>
      <c r="E73" s="1029">
        <v>690</v>
      </c>
      <c r="F73" s="1024">
        <f>L73</f>
        <v>628.59</v>
      </c>
      <c r="G73" s="1026" t="s">
        <v>15504</v>
      </c>
      <c r="H73" s="1030" t="s">
        <v>15505</v>
      </c>
      <c r="J73" s="1792">
        <v>690</v>
      </c>
      <c r="K73" s="1789">
        <v>8.8999999999999996E-2</v>
      </c>
      <c r="L73">
        <f>TRUNC((1-K73)*J73,2)</f>
        <v>628.59</v>
      </c>
    </row>
    <row r="74" spans="1:12" ht="12.75" hidden="1">
      <c r="A74" s="1026" t="s">
        <v>14774</v>
      </c>
      <c r="B74" s="1027" t="s">
        <v>15625</v>
      </c>
      <c r="C74" s="1031" t="s">
        <v>409</v>
      </c>
      <c r="D74" s="1028">
        <v>45540</v>
      </c>
      <c r="E74" s="1029">
        <v>826.41</v>
      </c>
      <c r="F74" s="1029"/>
      <c r="G74" s="1026" t="s">
        <v>15506</v>
      </c>
      <c r="H74" s="1030" t="s">
        <v>15507</v>
      </c>
    </row>
    <row r="75" spans="1:12" ht="12.75" hidden="1">
      <c r="A75" s="1026" t="s">
        <v>14774</v>
      </c>
      <c r="B75" s="1027" t="s">
        <v>15625</v>
      </c>
      <c r="C75" s="1031" t="s">
        <v>409</v>
      </c>
      <c r="D75" s="1028">
        <v>45539</v>
      </c>
      <c r="E75" s="1029">
        <v>600</v>
      </c>
      <c r="F75" s="1029"/>
      <c r="G75" s="1026" t="s">
        <v>15508</v>
      </c>
      <c r="H75" s="1030" t="s">
        <v>15509</v>
      </c>
    </row>
    <row r="76" spans="1:12" ht="12.75">
      <c r="A76" s="1020" t="s">
        <v>14978</v>
      </c>
      <c r="B76" s="1021" t="s">
        <v>15626</v>
      </c>
      <c r="C76" s="1022" t="s">
        <v>409</v>
      </c>
      <c r="D76" s="1023">
        <v>45541</v>
      </c>
      <c r="E76" s="1024">
        <v>390</v>
      </c>
      <c r="F76" s="1024">
        <f>L76</f>
        <v>485.29</v>
      </c>
      <c r="G76" s="1020" t="s">
        <v>15504</v>
      </c>
      <c r="H76" s="1025" t="s">
        <v>15505</v>
      </c>
      <c r="J76" s="1792">
        <v>532.71</v>
      </c>
      <c r="K76" s="1789">
        <v>8.8999999999999996E-2</v>
      </c>
      <c r="L76">
        <f>TRUNC((1-K76)*J76,2)</f>
        <v>485.29</v>
      </c>
    </row>
    <row r="77" spans="1:12" ht="12.75" hidden="1">
      <c r="A77" s="1020" t="s">
        <v>14978</v>
      </c>
      <c r="B77" s="1021" t="s">
        <v>15626</v>
      </c>
      <c r="C77" s="1022" t="s">
        <v>409</v>
      </c>
      <c r="D77" s="1023">
        <v>45540</v>
      </c>
      <c r="E77" s="1024">
        <v>532.71</v>
      </c>
      <c r="F77" s="1024"/>
      <c r="G77" s="1020" t="s">
        <v>15506</v>
      </c>
      <c r="H77" s="1025" t="s">
        <v>15507</v>
      </c>
    </row>
    <row r="78" spans="1:12" ht="12.75" hidden="1">
      <c r="A78" s="1020" t="s">
        <v>14978</v>
      </c>
      <c r="B78" s="1021" t="s">
        <v>15626</v>
      </c>
      <c r="C78" s="1022" t="s">
        <v>409</v>
      </c>
      <c r="D78" s="1023">
        <v>45539</v>
      </c>
      <c r="E78" s="1024">
        <v>550</v>
      </c>
      <c r="F78" s="1024"/>
      <c r="G78" s="1020" t="s">
        <v>15508</v>
      </c>
      <c r="H78" s="1025" t="s">
        <v>15509</v>
      </c>
    </row>
    <row r="79" spans="1:12" ht="12.75">
      <c r="A79" s="1026" t="s">
        <v>15163</v>
      </c>
      <c r="B79" s="1027" t="s">
        <v>15627</v>
      </c>
      <c r="C79" s="1026" t="s">
        <v>6</v>
      </c>
      <c r="D79" s="1028">
        <v>45551</v>
      </c>
      <c r="E79" s="1029">
        <v>16.5</v>
      </c>
      <c r="F79" s="1024">
        <f>L79</f>
        <v>17.760000000000002</v>
      </c>
      <c r="G79" s="1026" t="s">
        <v>15628</v>
      </c>
      <c r="H79" s="1030" t="s">
        <v>15629</v>
      </c>
      <c r="J79" s="1792">
        <v>19.5</v>
      </c>
      <c r="K79" s="1789">
        <v>8.8999999999999996E-2</v>
      </c>
      <c r="L79">
        <f>TRUNC((1-K79)*J79,2)</f>
        <v>17.760000000000002</v>
      </c>
    </row>
    <row r="80" spans="1:12" ht="12.75" hidden="1">
      <c r="A80" s="1026" t="s">
        <v>15163</v>
      </c>
      <c r="B80" s="1027" t="s">
        <v>15627</v>
      </c>
      <c r="C80" s="1026" t="s">
        <v>6</v>
      </c>
      <c r="D80" s="1028">
        <v>45551</v>
      </c>
      <c r="E80" s="1029">
        <v>24.9</v>
      </c>
      <c r="F80" s="1029"/>
      <c r="G80" s="1026" t="s">
        <v>15630</v>
      </c>
      <c r="H80" s="1030" t="s">
        <v>15631</v>
      </c>
    </row>
    <row r="81" spans="1:12" ht="12.75" hidden="1">
      <c r="A81" s="1026" t="s">
        <v>15163</v>
      </c>
      <c r="B81" s="1027" t="s">
        <v>15627</v>
      </c>
      <c r="C81" s="1026" t="s">
        <v>6</v>
      </c>
      <c r="D81" s="1028">
        <v>45551</v>
      </c>
      <c r="E81" s="1029">
        <v>19.5</v>
      </c>
      <c r="F81" s="1029"/>
      <c r="G81" s="1026" t="s">
        <v>15632</v>
      </c>
      <c r="H81" s="1030" t="s">
        <v>15633</v>
      </c>
    </row>
    <row r="82" spans="1:12" ht="25.5">
      <c r="A82" s="1020" t="s">
        <v>15173</v>
      </c>
      <c r="B82" s="1021" t="s">
        <v>15634</v>
      </c>
      <c r="C82" s="1020" t="s">
        <v>6</v>
      </c>
      <c r="D82" s="1023">
        <v>45552</v>
      </c>
      <c r="E82" s="1024">
        <v>543.15</v>
      </c>
      <c r="F82" s="1024">
        <f>L82</f>
        <v>494.8</v>
      </c>
      <c r="G82" s="1020" t="s">
        <v>15635</v>
      </c>
      <c r="H82" s="1025" t="s">
        <v>15636</v>
      </c>
      <c r="J82" s="1792">
        <v>543.15</v>
      </c>
      <c r="K82" s="1789">
        <v>8.8999999999999996E-2</v>
      </c>
      <c r="L82">
        <f>TRUNC((1-K82)*J82,2)</f>
        <v>494.8</v>
      </c>
    </row>
    <row r="83" spans="1:12" ht="25.5" hidden="1">
      <c r="A83" s="1020" t="s">
        <v>15173</v>
      </c>
      <c r="B83" s="1021" t="s">
        <v>15634</v>
      </c>
      <c r="C83" s="1020" t="s">
        <v>6</v>
      </c>
      <c r="D83" s="1023">
        <v>45552</v>
      </c>
      <c r="E83" s="1024">
        <v>437.94</v>
      </c>
      <c r="F83" s="1024"/>
      <c r="G83" s="1020" t="s">
        <v>15637</v>
      </c>
      <c r="H83" s="1025" t="s">
        <v>15638</v>
      </c>
    </row>
    <row r="84" spans="1:12" ht="25.5" hidden="1">
      <c r="A84" s="1020" t="s">
        <v>15173</v>
      </c>
      <c r="B84" s="1021" t="s">
        <v>15634</v>
      </c>
      <c r="C84" s="1020" t="s">
        <v>6</v>
      </c>
      <c r="D84" s="1023">
        <v>45552</v>
      </c>
      <c r="E84" s="1024">
        <v>623.74</v>
      </c>
      <c r="F84" s="1024"/>
      <c r="G84" s="1020" t="s">
        <v>15534</v>
      </c>
      <c r="H84" s="1025" t="s">
        <v>15535</v>
      </c>
    </row>
    <row r="85" spans="1:12" ht="12.75">
      <c r="A85" s="1026" t="s">
        <v>15176</v>
      </c>
      <c r="B85" s="1027" t="s">
        <v>15639</v>
      </c>
      <c r="C85" s="1026" t="s">
        <v>6</v>
      </c>
      <c r="D85" s="1028">
        <v>45552</v>
      </c>
      <c r="E85" s="1029">
        <v>110.16</v>
      </c>
      <c r="F85" s="1024">
        <f>L85</f>
        <v>79.12</v>
      </c>
      <c r="G85" s="1026" t="s">
        <v>15534</v>
      </c>
      <c r="H85" s="1030" t="s">
        <v>15535</v>
      </c>
      <c r="J85" s="1792">
        <v>86.86</v>
      </c>
      <c r="K85" s="1789">
        <v>8.8999999999999996E-2</v>
      </c>
      <c r="L85">
        <f>TRUNC((1-K85)*J85,2)</f>
        <v>79.12</v>
      </c>
    </row>
    <row r="86" spans="1:12" ht="12.75" hidden="1">
      <c r="A86" s="1026" t="s">
        <v>15176</v>
      </c>
      <c r="B86" s="1027" t="s">
        <v>15639</v>
      </c>
      <c r="C86" s="1026" t="s">
        <v>6</v>
      </c>
      <c r="D86" s="1028">
        <v>45552</v>
      </c>
      <c r="E86" s="1029">
        <v>85.36</v>
      </c>
      <c r="F86" s="1029"/>
      <c r="G86" s="1026" t="s">
        <v>15640</v>
      </c>
      <c r="H86" s="1030" t="s">
        <v>15641</v>
      </c>
    </row>
    <row r="87" spans="1:12" ht="12.75" hidden="1">
      <c r="A87" s="1026" t="s">
        <v>15176</v>
      </c>
      <c r="B87" s="1027" t="s">
        <v>15639</v>
      </c>
      <c r="C87" s="1026" t="s">
        <v>6</v>
      </c>
      <c r="D87" s="1028">
        <v>45552</v>
      </c>
      <c r="E87" s="1029">
        <v>86.86</v>
      </c>
      <c r="F87" s="1029"/>
      <c r="G87" s="1026" t="s">
        <v>15577</v>
      </c>
      <c r="H87" s="1030" t="s">
        <v>15578</v>
      </c>
    </row>
    <row r="88" spans="1:12" ht="12.75">
      <c r="A88" s="1020" t="s">
        <v>15180</v>
      </c>
      <c r="B88" s="1021" t="s">
        <v>15642</v>
      </c>
      <c r="C88" s="1020" t="s">
        <v>6</v>
      </c>
      <c r="D88" s="1023">
        <v>45552</v>
      </c>
      <c r="E88" s="1024">
        <v>255.9</v>
      </c>
      <c r="F88" s="1024">
        <f>L88</f>
        <v>256.77</v>
      </c>
      <c r="G88" s="1020" t="s">
        <v>15534</v>
      </c>
      <c r="H88" s="1025" t="s">
        <v>15535</v>
      </c>
      <c r="J88" s="1792">
        <v>281.86</v>
      </c>
      <c r="K88" s="1789">
        <v>8.8999999999999996E-2</v>
      </c>
      <c r="L88">
        <f>TRUNC((1-K88)*J88,2)</f>
        <v>256.77</v>
      </c>
    </row>
    <row r="89" spans="1:12" ht="12.75" hidden="1">
      <c r="A89" s="1020" t="s">
        <v>15180</v>
      </c>
      <c r="B89" s="1021" t="s">
        <v>15642</v>
      </c>
      <c r="C89" s="1020" t="s">
        <v>6</v>
      </c>
      <c r="D89" s="1023">
        <v>45552</v>
      </c>
      <c r="E89" s="1024">
        <v>326.05</v>
      </c>
      <c r="F89" s="1024"/>
      <c r="G89" s="1020" t="s">
        <v>15557</v>
      </c>
      <c r="H89" s="1025" t="s">
        <v>15558</v>
      </c>
    </row>
    <row r="90" spans="1:12" ht="12.75" hidden="1">
      <c r="A90" s="1020" t="s">
        <v>15180</v>
      </c>
      <c r="B90" s="1021" t="s">
        <v>15642</v>
      </c>
      <c r="C90" s="1020" t="s">
        <v>6</v>
      </c>
      <c r="D90" s="1023">
        <v>45552</v>
      </c>
      <c r="E90" s="1024">
        <v>281.86</v>
      </c>
      <c r="F90" s="1024"/>
      <c r="G90" s="1020" t="s">
        <v>15643</v>
      </c>
      <c r="H90" s="1025" t="s">
        <v>15644</v>
      </c>
    </row>
    <row r="91" spans="1:12" ht="12.75">
      <c r="A91" s="1026" t="s">
        <v>15186</v>
      </c>
      <c r="B91" s="1027" t="s">
        <v>15645</v>
      </c>
      <c r="C91" s="1031" t="s">
        <v>6</v>
      </c>
      <c r="D91" s="1028">
        <v>45552</v>
      </c>
      <c r="E91" s="1029">
        <v>120.8</v>
      </c>
      <c r="F91" s="1024">
        <f>L91</f>
        <v>96.53</v>
      </c>
      <c r="G91" s="1026" t="s">
        <v>15646</v>
      </c>
      <c r="H91" s="1030" t="s">
        <v>15647</v>
      </c>
      <c r="J91" s="1792">
        <v>105.97</v>
      </c>
      <c r="K91" s="1789">
        <v>8.8999999999999996E-2</v>
      </c>
      <c r="L91">
        <f>TRUNC((1-K91)*J91,2)</f>
        <v>96.53</v>
      </c>
    </row>
    <row r="92" spans="1:12" ht="12.75" hidden="1">
      <c r="A92" s="1026" t="s">
        <v>15186</v>
      </c>
      <c r="B92" s="1027" t="s">
        <v>15645</v>
      </c>
      <c r="C92" s="1031" t="s">
        <v>6</v>
      </c>
      <c r="D92" s="1028">
        <v>45552</v>
      </c>
      <c r="E92" s="1029">
        <v>105.97</v>
      </c>
      <c r="F92" s="1029"/>
      <c r="G92" s="1026" t="s">
        <v>15615</v>
      </c>
      <c r="H92" s="1030" t="s">
        <v>15616</v>
      </c>
    </row>
    <row r="93" spans="1:12" ht="12.75" hidden="1">
      <c r="A93" s="1026" t="s">
        <v>15186</v>
      </c>
      <c r="B93" s="1027" t="s">
        <v>15645</v>
      </c>
      <c r="C93" s="1031" t="s">
        <v>6</v>
      </c>
      <c r="D93" s="1028">
        <v>45552</v>
      </c>
      <c r="E93" s="1029">
        <v>105.79</v>
      </c>
      <c r="F93" s="1029"/>
      <c r="G93" s="1026" t="s">
        <v>15643</v>
      </c>
      <c r="H93" s="1030" t="s">
        <v>15644</v>
      </c>
    </row>
    <row r="94" spans="1:12" ht="12.75">
      <c r="A94" s="1020" t="s">
        <v>15189</v>
      </c>
      <c r="B94" s="1021" t="s">
        <v>15648</v>
      </c>
      <c r="C94" s="1022" t="s">
        <v>6</v>
      </c>
      <c r="D94" s="1023">
        <v>45552</v>
      </c>
      <c r="E94" s="1024">
        <v>91.37</v>
      </c>
      <c r="F94" s="1024">
        <f>L94</f>
        <v>77.37</v>
      </c>
      <c r="G94" s="1020" t="s">
        <v>15649</v>
      </c>
      <c r="H94" s="1025" t="s">
        <v>15650</v>
      </c>
      <c r="J94" s="1792">
        <v>84.93</v>
      </c>
      <c r="K94" s="1789">
        <v>8.8999999999999996E-2</v>
      </c>
      <c r="L94">
        <f>TRUNC((1-K94)*J94,2)</f>
        <v>77.37</v>
      </c>
    </row>
    <row r="95" spans="1:12" ht="12.75" hidden="1">
      <c r="A95" s="1020" t="s">
        <v>15189</v>
      </c>
      <c r="B95" s="1021" t="s">
        <v>15651</v>
      </c>
      <c r="C95" s="1022" t="s">
        <v>6</v>
      </c>
      <c r="D95" s="1023">
        <v>45552</v>
      </c>
      <c r="E95" s="1024">
        <v>84.93</v>
      </c>
      <c r="F95" s="1024"/>
      <c r="G95" s="1020" t="s">
        <v>15534</v>
      </c>
      <c r="H95" s="1025" t="s">
        <v>15535</v>
      </c>
    </row>
    <row r="96" spans="1:12" ht="12.75" hidden="1">
      <c r="A96" s="1020" t="s">
        <v>15189</v>
      </c>
      <c r="B96" s="1021" t="s">
        <v>15652</v>
      </c>
      <c r="C96" s="1022" t="s">
        <v>6</v>
      </c>
      <c r="D96" s="1023">
        <v>45552</v>
      </c>
      <c r="E96" s="1024">
        <v>46.83</v>
      </c>
      <c r="F96" s="1024"/>
      <c r="G96" s="1020" t="s">
        <v>15653</v>
      </c>
      <c r="H96" s="1025" t="s">
        <v>15654</v>
      </c>
    </row>
    <row r="97" spans="1:12" ht="12.75">
      <c r="A97" s="1026" t="s">
        <v>15189</v>
      </c>
      <c r="B97" s="1027" t="s">
        <v>15648</v>
      </c>
      <c r="C97" s="1031" t="s">
        <v>6</v>
      </c>
      <c r="D97" s="1028">
        <v>45552</v>
      </c>
      <c r="E97" s="1029">
        <v>91.37</v>
      </c>
      <c r="F97" s="1024">
        <f>L97</f>
        <v>77.37</v>
      </c>
      <c r="G97" s="1026" t="s">
        <v>15649</v>
      </c>
      <c r="H97" s="1030" t="s">
        <v>15650</v>
      </c>
      <c r="J97" s="1792">
        <v>84.93</v>
      </c>
      <c r="K97" s="1789">
        <v>8.8999999999999996E-2</v>
      </c>
      <c r="L97">
        <f>TRUNC((1-K97)*J97,2)</f>
        <v>77.37</v>
      </c>
    </row>
    <row r="98" spans="1:12" ht="12.75" hidden="1">
      <c r="A98" s="1026" t="s">
        <v>15189</v>
      </c>
      <c r="B98" s="1027" t="s">
        <v>15651</v>
      </c>
      <c r="C98" s="1031" t="s">
        <v>6</v>
      </c>
      <c r="D98" s="1028">
        <v>45552</v>
      </c>
      <c r="E98" s="1029">
        <v>84.93</v>
      </c>
      <c r="F98" s="1029"/>
      <c r="G98" s="1026" t="s">
        <v>15534</v>
      </c>
      <c r="H98" s="1030" t="s">
        <v>15535</v>
      </c>
    </row>
    <row r="99" spans="1:12" ht="12.75" hidden="1">
      <c r="A99" s="1026" t="s">
        <v>15189</v>
      </c>
      <c r="B99" s="1027" t="s">
        <v>15652</v>
      </c>
      <c r="C99" s="1031" t="s">
        <v>6</v>
      </c>
      <c r="D99" s="1028">
        <v>45552</v>
      </c>
      <c r="E99" s="1029">
        <v>46.83</v>
      </c>
      <c r="F99" s="1029"/>
      <c r="G99" s="1026" t="s">
        <v>15653</v>
      </c>
      <c r="H99" s="1030" t="s">
        <v>15654</v>
      </c>
    </row>
    <row r="100" spans="1:12" ht="12.75">
      <c r="A100" s="1020" t="s">
        <v>15190</v>
      </c>
      <c r="B100" s="1021" t="s">
        <v>15655</v>
      </c>
      <c r="C100" s="1022" t="s">
        <v>6</v>
      </c>
      <c r="D100" s="1023">
        <v>45552</v>
      </c>
      <c r="E100" s="1024">
        <v>34.020000000000003</v>
      </c>
      <c r="F100" s="1024">
        <f>L100</f>
        <v>30.66</v>
      </c>
      <c r="G100" s="1020" t="s">
        <v>15656</v>
      </c>
      <c r="H100" s="1025" t="s">
        <v>15657</v>
      </c>
      <c r="J100" s="1792">
        <v>33.659999999999997</v>
      </c>
      <c r="K100" s="1789">
        <v>8.8999999999999996E-2</v>
      </c>
      <c r="L100">
        <f>TRUNC((1-K100)*J100,2)</f>
        <v>30.66</v>
      </c>
    </row>
    <row r="101" spans="1:12" ht="12.75" hidden="1">
      <c r="A101" s="1020" t="s">
        <v>15190</v>
      </c>
      <c r="B101" s="1021" t="s">
        <v>15655</v>
      </c>
      <c r="C101" s="1022" t="s">
        <v>6</v>
      </c>
      <c r="D101" s="1023">
        <v>45552</v>
      </c>
      <c r="E101" s="1024">
        <v>33.659999999999997</v>
      </c>
      <c r="F101" s="1024"/>
      <c r="G101" s="1020" t="s">
        <v>15534</v>
      </c>
      <c r="H101" s="1025" t="s">
        <v>15535</v>
      </c>
    </row>
    <row r="102" spans="1:12" ht="12.75" hidden="1">
      <c r="A102" s="1020" t="s">
        <v>15190</v>
      </c>
      <c r="B102" s="1021" t="s">
        <v>15655</v>
      </c>
      <c r="C102" s="1022" t="s">
        <v>6</v>
      </c>
      <c r="D102" s="1023">
        <v>45552</v>
      </c>
      <c r="E102" s="1024">
        <v>32.72</v>
      </c>
      <c r="F102" s="1024"/>
      <c r="G102" s="1020" t="s">
        <v>15656</v>
      </c>
      <c r="H102" s="1025" t="s">
        <v>15657</v>
      </c>
    </row>
    <row r="103" spans="1:12" ht="25.5">
      <c r="A103" s="1026" t="s">
        <v>15193</v>
      </c>
      <c r="B103" s="1027" t="s">
        <v>15658</v>
      </c>
      <c r="C103" s="1031" t="s">
        <v>6</v>
      </c>
      <c r="D103" s="1028">
        <v>45552</v>
      </c>
      <c r="E103" s="1029">
        <v>42.51</v>
      </c>
      <c r="F103" s="1024">
        <f>L103</f>
        <v>38.72</v>
      </c>
      <c r="G103" s="1026" t="s">
        <v>15659</v>
      </c>
      <c r="H103" s="1030" t="s">
        <v>15660</v>
      </c>
      <c r="J103" s="1792">
        <v>42.51</v>
      </c>
      <c r="K103" s="1789">
        <v>8.8999999999999996E-2</v>
      </c>
      <c r="L103">
        <f>TRUNC((1-K103)*J103,2)</f>
        <v>38.72</v>
      </c>
    </row>
    <row r="104" spans="1:12" ht="25.5" hidden="1">
      <c r="A104" s="1026" t="s">
        <v>15193</v>
      </c>
      <c r="B104" s="1027" t="s">
        <v>15658</v>
      </c>
      <c r="C104" s="1031" t="s">
        <v>6</v>
      </c>
      <c r="D104" s="1028">
        <v>45552</v>
      </c>
      <c r="E104" s="1029">
        <v>47.81</v>
      </c>
      <c r="F104" s="1029"/>
      <c r="G104" s="1026" t="s">
        <v>15534</v>
      </c>
      <c r="H104" s="1030" t="s">
        <v>15535</v>
      </c>
    </row>
    <row r="105" spans="1:12" ht="25.5" hidden="1">
      <c r="A105" s="1026" t="s">
        <v>15193</v>
      </c>
      <c r="B105" s="1027" t="s">
        <v>15658</v>
      </c>
      <c r="C105" s="1031" t="s">
        <v>6</v>
      </c>
      <c r="D105" s="1028">
        <v>45552</v>
      </c>
      <c r="E105" s="1029">
        <v>38.01</v>
      </c>
      <c r="F105" s="1029"/>
      <c r="G105" s="1026" t="s">
        <v>15661</v>
      </c>
      <c r="H105" s="1030" t="s">
        <v>15662</v>
      </c>
    </row>
    <row r="106" spans="1:12" ht="12.75">
      <c r="A106" s="1020" t="s">
        <v>15194</v>
      </c>
      <c r="B106" s="1021" t="s">
        <v>15663</v>
      </c>
      <c r="C106" s="1022" t="s">
        <v>6</v>
      </c>
      <c r="D106" s="1023">
        <v>45552</v>
      </c>
      <c r="E106" s="1024">
        <v>13.26</v>
      </c>
      <c r="F106" s="1024">
        <f>L106</f>
        <v>12.07</v>
      </c>
      <c r="G106" s="1020" t="s">
        <v>15664</v>
      </c>
      <c r="H106" s="1025" t="s">
        <v>15665</v>
      </c>
      <c r="J106" s="1792">
        <v>13.26</v>
      </c>
      <c r="K106" s="1789">
        <v>8.8999999999999996E-2</v>
      </c>
      <c r="L106">
        <f>TRUNC((1-K106)*J106,2)</f>
        <v>12.07</v>
      </c>
    </row>
    <row r="107" spans="1:12" ht="12.75" hidden="1">
      <c r="A107" s="1020" t="s">
        <v>15194</v>
      </c>
      <c r="B107" s="1021" t="s">
        <v>15663</v>
      </c>
      <c r="C107" s="1022" t="s">
        <v>6</v>
      </c>
      <c r="D107" s="1023">
        <v>45552</v>
      </c>
      <c r="E107" s="1024">
        <v>13.96</v>
      </c>
      <c r="F107" s="1024"/>
      <c r="G107" s="1020" t="s">
        <v>15555</v>
      </c>
      <c r="H107" s="1025" t="s">
        <v>15556</v>
      </c>
    </row>
    <row r="108" spans="1:12" ht="12.75" hidden="1">
      <c r="A108" s="1020" t="s">
        <v>15194</v>
      </c>
      <c r="B108" s="1021" t="s">
        <v>15663</v>
      </c>
      <c r="C108" s="1022" t="s">
        <v>6</v>
      </c>
      <c r="D108" s="1023">
        <v>45552</v>
      </c>
      <c r="E108" s="1024">
        <v>12.45</v>
      </c>
      <c r="F108" s="1024"/>
      <c r="G108" s="1020" t="s">
        <v>15534</v>
      </c>
      <c r="H108" s="1025" t="s">
        <v>15535</v>
      </c>
    </row>
    <row r="109" spans="1:12" ht="25.5">
      <c r="A109" s="1026" t="s">
        <v>15200</v>
      </c>
      <c r="B109" s="1027" t="s">
        <v>15666</v>
      </c>
      <c r="C109" s="1031" t="s">
        <v>6</v>
      </c>
      <c r="D109" s="1028">
        <v>45552</v>
      </c>
      <c r="E109" s="1029">
        <v>658.48</v>
      </c>
      <c r="F109" s="1024">
        <f>L109</f>
        <v>599.87</v>
      </c>
      <c r="G109" s="1026" t="s">
        <v>15667</v>
      </c>
      <c r="H109" s="1030" t="s">
        <v>15668</v>
      </c>
      <c r="J109" s="1792">
        <v>658.48</v>
      </c>
      <c r="K109" s="1789">
        <v>8.8999999999999996E-2</v>
      </c>
      <c r="L109">
        <f>TRUNC((1-K109)*J109,2)</f>
        <v>599.87</v>
      </c>
    </row>
    <row r="110" spans="1:12" ht="25.5" hidden="1">
      <c r="A110" s="1026" t="s">
        <v>15200</v>
      </c>
      <c r="B110" s="1027" t="s">
        <v>15666</v>
      </c>
      <c r="C110" s="1031" t="s">
        <v>6</v>
      </c>
      <c r="D110" s="1028">
        <v>45552</v>
      </c>
      <c r="E110" s="1029">
        <v>651.72</v>
      </c>
      <c r="F110" s="1029"/>
      <c r="G110" s="1026" t="s">
        <v>15534</v>
      </c>
      <c r="H110" s="1030" t="s">
        <v>15535</v>
      </c>
    </row>
    <row r="111" spans="1:12" ht="25.5" hidden="1">
      <c r="A111" s="1026" t="s">
        <v>15200</v>
      </c>
      <c r="B111" s="1027" t="s">
        <v>15666</v>
      </c>
      <c r="C111" s="1031" t="s">
        <v>6</v>
      </c>
      <c r="D111" s="1028">
        <v>45552</v>
      </c>
      <c r="E111" s="1029">
        <v>695.01</v>
      </c>
      <c r="F111" s="1029"/>
      <c r="G111" s="1026" t="s">
        <v>15669</v>
      </c>
      <c r="H111" s="1030" t="s">
        <v>15670</v>
      </c>
    </row>
    <row r="112" spans="1:12" ht="25.5">
      <c r="A112" s="1020" t="s">
        <v>15207</v>
      </c>
      <c r="B112" s="1021" t="s">
        <v>15671</v>
      </c>
      <c r="C112" s="1022" t="s">
        <v>6</v>
      </c>
      <c r="D112" s="1023">
        <v>45552</v>
      </c>
      <c r="E112" s="1024">
        <v>102.3</v>
      </c>
      <c r="F112" s="1024">
        <f>L112</f>
        <v>93.19</v>
      </c>
      <c r="G112" s="1020" t="s">
        <v>15672</v>
      </c>
      <c r="H112" s="1025" t="s">
        <v>15673</v>
      </c>
      <c r="J112" s="1792">
        <v>102.3</v>
      </c>
      <c r="K112" s="1789">
        <v>8.8999999999999996E-2</v>
      </c>
      <c r="L112">
        <f>TRUNC((1-K112)*J112,2)</f>
        <v>93.19</v>
      </c>
    </row>
    <row r="113" spans="1:12" ht="25.5" hidden="1">
      <c r="A113" s="1020" t="s">
        <v>15207</v>
      </c>
      <c r="B113" s="1021" t="s">
        <v>15671</v>
      </c>
      <c r="C113" s="1022" t="s">
        <v>6</v>
      </c>
      <c r="D113" s="1023">
        <v>45552</v>
      </c>
      <c r="E113" s="1024">
        <v>86</v>
      </c>
      <c r="F113" s="1024"/>
      <c r="G113" s="1020" t="s">
        <v>15674</v>
      </c>
      <c r="H113" s="1025" t="s">
        <v>15675</v>
      </c>
    </row>
    <row r="114" spans="1:12" ht="25.5" hidden="1">
      <c r="A114" s="1020" t="s">
        <v>15207</v>
      </c>
      <c r="B114" s="1021" t="s">
        <v>15671</v>
      </c>
      <c r="C114" s="1022" t="s">
        <v>6</v>
      </c>
      <c r="D114" s="1023">
        <v>45552</v>
      </c>
      <c r="E114" s="1024">
        <v>119.13</v>
      </c>
      <c r="F114" s="1024"/>
      <c r="G114" s="1020" t="s">
        <v>15676</v>
      </c>
      <c r="H114" s="1025" t="s">
        <v>15677</v>
      </c>
    </row>
    <row r="115" spans="1:12" ht="12.75">
      <c r="A115" s="1026" t="s">
        <v>15210</v>
      </c>
      <c r="B115" s="1027" t="s">
        <v>15678</v>
      </c>
      <c r="C115" s="1031" t="s">
        <v>6</v>
      </c>
      <c r="D115" s="1028">
        <v>45552</v>
      </c>
      <c r="E115" s="1029">
        <v>101.92</v>
      </c>
      <c r="F115" s="1024">
        <f>L115</f>
        <v>75.180000000000007</v>
      </c>
      <c r="G115" s="1026" t="s">
        <v>15646</v>
      </c>
      <c r="H115" s="1030" t="s">
        <v>15647</v>
      </c>
      <c r="J115" s="1792">
        <v>82.53</v>
      </c>
      <c r="K115" s="1789">
        <v>8.8999999999999996E-2</v>
      </c>
      <c r="L115">
        <f>TRUNC((1-K115)*J115,2)</f>
        <v>75.180000000000007</v>
      </c>
    </row>
    <row r="116" spans="1:12" ht="12.75" hidden="1">
      <c r="A116" s="1026" t="s">
        <v>15210</v>
      </c>
      <c r="B116" s="1027" t="s">
        <v>15678</v>
      </c>
      <c r="C116" s="1031" t="s">
        <v>6</v>
      </c>
      <c r="D116" s="1028">
        <v>45552</v>
      </c>
      <c r="E116" s="1029">
        <v>82.53</v>
      </c>
      <c r="F116" s="1029"/>
      <c r="G116" s="1026" t="s">
        <v>15534</v>
      </c>
      <c r="H116" s="1030" t="s">
        <v>15535</v>
      </c>
    </row>
    <row r="117" spans="1:12" ht="12.75" hidden="1">
      <c r="A117" s="1026" t="s">
        <v>15210</v>
      </c>
      <c r="B117" s="1027" t="s">
        <v>15678</v>
      </c>
      <c r="C117" s="1031" t="s">
        <v>6</v>
      </c>
      <c r="D117" s="1028">
        <v>45552</v>
      </c>
      <c r="E117" s="1029">
        <v>59.9</v>
      </c>
      <c r="F117" s="1029"/>
      <c r="G117" s="1026" t="s">
        <v>15679</v>
      </c>
      <c r="H117" s="1030" t="s">
        <v>15680</v>
      </c>
    </row>
    <row r="118" spans="1:12" ht="12.75">
      <c r="A118" s="1020" t="s">
        <v>15216</v>
      </c>
      <c r="B118" s="1021" t="s">
        <v>15681</v>
      </c>
      <c r="C118" s="1022" t="s">
        <v>6</v>
      </c>
      <c r="D118" s="1023">
        <v>45552</v>
      </c>
      <c r="E118" s="1024">
        <v>208.44</v>
      </c>
      <c r="F118" s="1024">
        <f>L118</f>
        <v>189.88</v>
      </c>
      <c r="G118" s="1020" t="s">
        <v>15682</v>
      </c>
      <c r="H118" s="1025" t="s">
        <v>15683</v>
      </c>
      <c r="J118" s="1792">
        <v>208.44</v>
      </c>
      <c r="K118" s="1789">
        <v>8.8999999999999996E-2</v>
      </c>
      <c r="L118">
        <f>TRUNC((1-K118)*J118,2)</f>
        <v>189.88</v>
      </c>
    </row>
    <row r="119" spans="1:12" ht="12.75" hidden="1">
      <c r="A119" s="1020" t="s">
        <v>15216</v>
      </c>
      <c r="B119" s="1021" t="s">
        <v>15681</v>
      </c>
      <c r="C119" s="1022" t="s">
        <v>6</v>
      </c>
      <c r="D119" s="1023">
        <v>45552</v>
      </c>
      <c r="E119" s="1024">
        <v>204.13</v>
      </c>
      <c r="F119" s="1024"/>
      <c r="G119" s="1020" t="s">
        <v>15684</v>
      </c>
      <c r="H119" s="1025" t="s">
        <v>15685</v>
      </c>
    </row>
    <row r="120" spans="1:12" ht="12.75" hidden="1">
      <c r="A120" s="1020" t="s">
        <v>15216</v>
      </c>
      <c r="B120" s="1021" t="s">
        <v>15681</v>
      </c>
      <c r="C120" s="1022" t="s">
        <v>6</v>
      </c>
      <c r="D120" s="1023">
        <v>45552</v>
      </c>
      <c r="E120" s="1024">
        <v>217.94</v>
      </c>
      <c r="F120" s="1024"/>
      <c r="G120" s="1020" t="s">
        <v>15534</v>
      </c>
      <c r="H120" s="1025" t="s">
        <v>15535</v>
      </c>
    </row>
    <row r="121" spans="1:12" ht="12.75">
      <c r="A121" s="1026" t="s">
        <v>14815</v>
      </c>
      <c r="B121" s="1027" t="s">
        <v>15686</v>
      </c>
      <c r="C121" s="1031" t="s">
        <v>6</v>
      </c>
      <c r="D121" s="1028">
        <v>45553</v>
      </c>
      <c r="E121" s="1029">
        <v>519.9</v>
      </c>
      <c r="F121" s="1024">
        <f>L121</f>
        <v>537.76</v>
      </c>
      <c r="G121" s="1026" t="s">
        <v>15513</v>
      </c>
      <c r="H121" s="1030" t="s">
        <v>15573</v>
      </c>
      <c r="J121" s="1792">
        <v>590.29999999999995</v>
      </c>
      <c r="K121" s="1789">
        <v>8.8999999999999996E-2</v>
      </c>
      <c r="L121">
        <f>TRUNC((1-K121)*J121,2)</f>
        <v>537.76</v>
      </c>
    </row>
    <row r="122" spans="1:12" ht="12.75" hidden="1">
      <c r="A122" s="1026" t="s">
        <v>14815</v>
      </c>
      <c r="B122" s="1027" t="s">
        <v>15686</v>
      </c>
      <c r="C122" s="1031" t="s">
        <v>6</v>
      </c>
      <c r="D122" s="1028">
        <v>45553</v>
      </c>
      <c r="E122" s="1029">
        <v>614.85</v>
      </c>
      <c r="F122" s="1029"/>
      <c r="G122" s="1026" t="s">
        <v>15687</v>
      </c>
      <c r="H122" s="1030" t="s">
        <v>15688</v>
      </c>
    </row>
    <row r="123" spans="1:12" ht="12.75" hidden="1">
      <c r="A123" s="1026" t="s">
        <v>14815</v>
      </c>
      <c r="B123" s="1027" t="s">
        <v>15686</v>
      </c>
      <c r="C123" s="1031" t="s">
        <v>6</v>
      </c>
      <c r="D123" s="1028">
        <v>45553</v>
      </c>
      <c r="E123" s="1029">
        <v>590.29999999999995</v>
      </c>
      <c r="F123" s="1029"/>
      <c r="G123" s="1026" t="s">
        <v>15569</v>
      </c>
      <c r="H123" s="1030" t="s">
        <v>15570</v>
      </c>
    </row>
    <row r="124" spans="1:12" ht="12.75">
      <c r="A124" s="1020" t="s">
        <v>14837</v>
      </c>
      <c r="B124" s="1021" t="s">
        <v>15689</v>
      </c>
      <c r="C124" s="1022" t="s">
        <v>6</v>
      </c>
      <c r="D124" s="1023">
        <v>45554</v>
      </c>
      <c r="E124" s="1024">
        <v>326.5</v>
      </c>
      <c r="F124" s="1024">
        <f>L124</f>
        <v>320.36</v>
      </c>
      <c r="G124" s="1020" t="s">
        <v>15515</v>
      </c>
      <c r="H124" s="1025" t="s">
        <v>15516</v>
      </c>
      <c r="J124" s="1792">
        <v>351.66</v>
      </c>
      <c r="K124" s="1789">
        <v>8.8999999999999996E-2</v>
      </c>
      <c r="L124">
        <f>TRUNC((1-K124)*J124,2)</f>
        <v>320.36</v>
      </c>
    </row>
    <row r="125" spans="1:12" ht="12.75" hidden="1">
      <c r="A125" s="1020" t="s">
        <v>14837</v>
      </c>
      <c r="B125" s="1021" t="s">
        <v>15689</v>
      </c>
      <c r="C125" s="1022" t="s">
        <v>6</v>
      </c>
      <c r="D125" s="1023">
        <v>45554</v>
      </c>
      <c r="E125" s="1024">
        <v>351.66</v>
      </c>
      <c r="F125" s="1024"/>
      <c r="G125" s="1020" t="s">
        <v>15690</v>
      </c>
      <c r="H125" s="1025" t="s">
        <v>15691</v>
      </c>
    </row>
    <row r="126" spans="1:12" ht="12.75" hidden="1">
      <c r="A126" s="1020" t="s">
        <v>14837</v>
      </c>
      <c r="B126" s="1021" t="s">
        <v>15689</v>
      </c>
      <c r="C126" s="1022" t="s">
        <v>6</v>
      </c>
      <c r="D126" s="1023">
        <v>45554</v>
      </c>
      <c r="E126" s="1024">
        <v>406.51</v>
      </c>
      <c r="F126" s="1024"/>
      <c r="G126" s="1020" t="s">
        <v>15513</v>
      </c>
      <c r="H126" s="1025" t="s">
        <v>15573</v>
      </c>
    </row>
    <row r="127" spans="1:12" ht="25.5">
      <c r="A127" s="1026" t="s">
        <v>14840</v>
      </c>
      <c r="B127" s="1027" t="s">
        <v>15692</v>
      </c>
      <c r="C127" s="1031" t="s">
        <v>6</v>
      </c>
      <c r="D127" s="1028">
        <v>45554</v>
      </c>
      <c r="E127" s="1029">
        <v>503.14</v>
      </c>
      <c r="F127" s="1024">
        <f>L127</f>
        <v>386.09</v>
      </c>
      <c r="G127" s="1026" t="s">
        <v>15569</v>
      </c>
      <c r="H127" s="1030" t="s">
        <v>15570</v>
      </c>
      <c r="J127" s="1792">
        <v>423.81</v>
      </c>
      <c r="K127" s="1789">
        <v>8.8999999999999996E-2</v>
      </c>
      <c r="L127">
        <f>TRUNC((1-K127)*J127,2)</f>
        <v>386.09</v>
      </c>
    </row>
    <row r="128" spans="1:12" ht="25.5" hidden="1">
      <c r="A128" s="1026" t="s">
        <v>14840</v>
      </c>
      <c r="B128" s="1027" t="s">
        <v>15692</v>
      </c>
      <c r="C128" s="1031" t="s">
        <v>6</v>
      </c>
      <c r="D128" s="1028">
        <v>45554</v>
      </c>
      <c r="E128" s="1029">
        <v>423.81</v>
      </c>
      <c r="F128" s="1029"/>
      <c r="G128" s="1026" t="s">
        <v>15511</v>
      </c>
      <c r="H128" s="1030" t="s">
        <v>15512</v>
      </c>
    </row>
    <row r="129" spans="1:13" ht="25.5" hidden="1">
      <c r="A129" s="1026" t="s">
        <v>14840</v>
      </c>
      <c r="B129" s="1027" t="s">
        <v>15692</v>
      </c>
      <c r="C129" s="1031" t="s">
        <v>6</v>
      </c>
      <c r="D129" s="1028">
        <v>45554</v>
      </c>
      <c r="E129" s="1029">
        <v>418.46</v>
      </c>
      <c r="F129" s="1029"/>
      <c r="G129" s="1026" t="s">
        <v>15693</v>
      </c>
      <c r="H129" s="1030" t="s">
        <v>15694</v>
      </c>
    </row>
    <row r="130" spans="1:13" ht="12.75">
      <c r="A130" s="1020" t="s">
        <v>14847</v>
      </c>
      <c r="B130" s="1021" t="s">
        <v>15695</v>
      </c>
      <c r="C130" s="1022" t="s">
        <v>6</v>
      </c>
      <c r="D130" s="1023">
        <v>45554</v>
      </c>
      <c r="E130" s="1024">
        <v>270.77999999999997</v>
      </c>
      <c r="F130" s="1024">
        <f>L130</f>
        <v>245.01</v>
      </c>
      <c r="G130" s="1020" t="s">
        <v>15696</v>
      </c>
      <c r="H130" s="1025" t="s">
        <v>15697</v>
      </c>
      <c r="J130" s="1792">
        <v>270.77999999999997</v>
      </c>
      <c r="K130" s="1789">
        <v>8.8999999999999996E-2</v>
      </c>
      <c r="L130">
        <v>245.01</v>
      </c>
      <c r="M130" s="1864" t="e">
        <f>M244</f>
        <v>#REF!</v>
      </c>
    </row>
    <row r="131" spans="1:13" ht="12.75" hidden="1">
      <c r="A131" s="1020" t="s">
        <v>14847</v>
      </c>
      <c r="B131" s="1021" t="s">
        <v>15695</v>
      </c>
      <c r="C131" s="1022" t="s">
        <v>6</v>
      </c>
      <c r="D131" s="1023">
        <v>45554</v>
      </c>
      <c r="E131" s="1024">
        <v>209.14</v>
      </c>
      <c r="F131" s="1024"/>
      <c r="G131" s="1020" t="s">
        <v>15698</v>
      </c>
      <c r="H131" s="1025" t="s">
        <v>15699</v>
      </c>
    </row>
    <row r="132" spans="1:13" ht="12.75" hidden="1">
      <c r="A132" s="1020" t="s">
        <v>14847</v>
      </c>
      <c r="B132" s="1021" t="s">
        <v>15695</v>
      </c>
      <c r="C132" s="1022" t="s">
        <v>6</v>
      </c>
      <c r="D132" s="1023">
        <v>45554</v>
      </c>
      <c r="E132" s="1024">
        <v>292.47000000000003</v>
      </c>
      <c r="F132" s="1024"/>
      <c r="G132" s="1020" t="s">
        <v>15700</v>
      </c>
      <c r="H132" s="1025" t="s">
        <v>15701</v>
      </c>
    </row>
    <row r="133" spans="1:13" ht="12.75">
      <c r="A133" s="1026" t="s">
        <v>14855</v>
      </c>
      <c r="B133" s="1027" t="s">
        <v>15702</v>
      </c>
      <c r="C133" s="1031" t="s">
        <v>6</v>
      </c>
      <c r="D133" s="1028">
        <v>45555</v>
      </c>
      <c r="E133" s="1029">
        <v>68.45</v>
      </c>
      <c r="F133" s="1024">
        <f>L133</f>
        <v>77.86</v>
      </c>
      <c r="G133" s="1026" t="s">
        <v>15513</v>
      </c>
      <c r="H133" s="1030" t="s">
        <v>15573</v>
      </c>
      <c r="J133" s="1792">
        <v>85.47</v>
      </c>
      <c r="K133" s="1789">
        <v>8.8999999999999996E-2</v>
      </c>
      <c r="L133">
        <f>TRUNC((1-K133)*J133,2)</f>
        <v>77.86</v>
      </c>
    </row>
    <row r="134" spans="1:13" ht="12.75" hidden="1">
      <c r="A134" s="1026" t="s">
        <v>14855</v>
      </c>
      <c r="B134" s="1027" t="s">
        <v>15702</v>
      </c>
      <c r="C134" s="1031" t="s">
        <v>6</v>
      </c>
      <c r="D134" s="1028">
        <v>45555</v>
      </c>
      <c r="E134" s="1029">
        <v>85.47</v>
      </c>
      <c r="F134" s="1029"/>
      <c r="G134" s="1026" t="s">
        <v>15703</v>
      </c>
      <c r="H134" s="1030" t="s">
        <v>15704</v>
      </c>
    </row>
    <row r="135" spans="1:13" ht="12.75" hidden="1">
      <c r="A135" s="1026" t="s">
        <v>14855</v>
      </c>
      <c r="B135" s="1027" t="s">
        <v>15702</v>
      </c>
      <c r="C135" s="1031" t="s">
        <v>6</v>
      </c>
      <c r="D135" s="1028">
        <v>45555</v>
      </c>
      <c r="E135" s="1029">
        <v>86.13</v>
      </c>
      <c r="F135" s="1029"/>
      <c r="G135" s="1026" t="s">
        <v>15515</v>
      </c>
      <c r="H135" s="1030" t="s">
        <v>15516</v>
      </c>
    </row>
    <row r="136" spans="1:13" ht="12.75">
      <c r="A136" s="1020" t="s">
        <v>14863</v>
      </c>
      <c r="B136" s="1021" t="s">
        <v>15705</v>
      </c>
      <c r="C136" s="1022" t="s">
        <v>6</v>
      </c>
      <c r="D136" s="1023">
        <v>45555</v>
      </c>
      <c r="E136" s="1024">
        <v>331.61</v>
      </c>
      <c r="F136" s="1024">
        <f>L136</f>
        <v>302.08999999999997</v>
      </c>
      <c r="G136" s="1020" t="s">
        <v>15706</v>
      </c>
      <c r="H136" s="1025" t="s">
        <v>15707</v>
      </c>
      <c r="J136" s="1792">
        <v>331.61</v>
      </c>
      <c r="K136" s="1789">
        <v>8.8999999999999996E-2</v>
      </c>
      <c r="L136">
        <f>TRUNC((1-K136)*J136,2)</f>
        <v>302.08999999999997</v>
      </c>
    </row>
    <row r="137" spans="1:13" ht="12.75" hidden="1">
      <c r="A137" s="1020" t="s">
        <v>14863</v>
      </c>
      <c r="B137" s="1021" t="s">
        <v>15705</v>
      </c>
      <c r="C137" s="1022" t="s">
        <v>6</v>
      </c>
      <c r="D137" s="1023">
        <v>45555</v>
      </c>
      <c r="E137" s="1024">
        <v>302.45999999999998</v>
      </c>
      <c r="F137" s="1024"/>
      <c r="G137" s="1020" t="s">
        <v>15708</v>
      </c>
      <c r="H137" s="1025" t="s">
        <v>15709</v>
      </c>
    </row>
    <row r="138" spans="1:13" ht="12.75" hidden="1">
      <c r="A138" s="1020" t="s">
        <v>14863</v>
      </c>
      <c r="B138" s="1021" t="s">
        <v>15705</v>
      </c>
      <c r="C138" s="1022" t="s">
        <v>6</v>
      </c>
      <c r="D138" s="1023">
        <v>45555</v>
      </c>
      <c r="E138" s="1024">
        <v>353.32</v>
      </c>
      <c r="F138" s="1024"/>
      <c r="G138" s="1020" t="s">
        <v>15710</v>
      </c>
      <c r="H138" s="1025" t="s">
        <v>15711</v>
      </c>
    </row>
    <row r="139" spans="1:13" ht="12.75">
      <c r="A139" s="1026" t="s">
        <v>14866</v>
      </c>
      <c r="B139" s="1027" t="s">
        <v>15712</v>
      </c>
      <c r="C139" s="1031" t="s">
        <v>6</v>
      </c>
      <c r="D139" s="1028">
        <v>45555</v>
      </c>
      <c r="E139" s="1029">
        <v>16.34</v>
      </c>
      <c r="F139" s="1024">
        <f>L139</f>
        <v>14.88</v>
      </c>
      <c r="G139" s="1026" t="s">
        <v>15713</v>
      </c>
      <c r="H139" s="1030" t="s">
        <v>15714</v>
      </c>
      <c r="J139" s="1792">
        <v>16.34</v>
      </c>
      <c r="K139" s="1789">
        <v>8.8999999999999996E-2</v>
      </c>
      <c r="L139">
        <f>TRUNC((1-K139)*J139,2)</f>
        <v>14.88</v>
      </c>
    </row>
    <row r="140" spans="1:13" ht="12.75" hidden="1">
      <c r="A140" s="1026" t="s">
        <v>14866</v>
      </c>
      <c r="B140" s="1027" t="s">
        <v>15712</v>
      </c>
      <c r="C140" s="1031" t="s">
        <v>6</v>
      </c>
      <c r="D140" s="1028">
        <v>45555</v>
      </c>
      <c r="E140" s="1029">
        <v>11.51</v>
      </c>
      <c r="F140" s="1029"/>
      <c r="G140" s="1026" t="s">
        <v>15708</v>
      </c>
      <c r="H140" s="1030" t="s">
        <v>15709</v>
      </c>
    </row>
    <row r="141" spans="1:13" ht="12.75" hidden="1">
      <c r="A141" s="1026" t="s">
        <v>14866</v>
      </c>
      <c r="B141" s="1027" t="s">
        <v>15712</v>
      </c>
      <c r="C141" s="1031" t="s">
        <v>6</v>
      </c>
      <c r="D141" s="1028">
        <v>45555</v>
      </c>
      <c r="E141" s="1029">
        <v>28.42</v>
      </c>
      <c r="F141" s="1029"/>
      <c r="G141" s="1026" t="s">
        <v>15715</v>
      </c>
      <c r="H141" s="1030" t="s">
        <v>15716</v>
      </c>
    </row>
    <row r="142" spans="1:13" ht="12.75">
      <c r="A142" s="1020" t="s">
        <v>14869</v>
      </c>
      <c r="B142" s="1021" t="s">
        <v>15717</v>
      </c>
      <c r="C142" s="1022" t="s">
        <v>6</v>
      </c>
      <c r="D142" s="1023">
        <v>45555</v>
      </c>
      <c r="E142" s="1024">
        <v>254.32</v>
      </c>
      <c r="F142" s="1024">
        <f>L142</f>
        <v>218.21</v>
      </c>
      <c r="G142" s="1020" t="s">
        <v>15513</v>
      </c>
      <c r="H142" s="1025" t="s">
        <v>15573</v>
      </c>
      <c r="J142" s="1792">
        <v>239.53</v>
      </c>
      <c r="K142" s="1789">
        <v>8.8999999999999996E-2</v>
      </c>
      <c r="L142">
        <f>TRUNC((1-K142)*J142,2)</f>
        <v>218.21</v>
      </c>
    </row>
    <row r="143" spans="1:13" ht="12.75" hidden="1">
      <c r="A143" s="1020" t="s">
        <v>14869</v>
      </c>
      <c r="B143" s="1021" t="s">
        <v>15717</v>
      </c>
      <c r="C143" s="1022" t="s">
        <v>6</v>
      </c>
      <c r="D143" s="1023">
        <v>45555</v>
      </c>
      <c r="E143" s="1024">
        <v>181.92</v>
      </c>
      <c r="F143" s="1024"/>
      <c r="G143" s="1020" t="s">
        <v>15718</v>
      </c>
      <c r="H143" s="1025" t="s">
        <v>15719</v>
      </c>
    </row>
    <row r="144" spans="1:13" ht="12.75" hidden="1">
      <c r="A144" s="1020" t="s">
        <v>14869</v>
      </c>
      <c r="B144" s="1021" t="s">
        <v>15717</v>
      </c>
      <c r="C144" s="1022" t="s">
        <v>6</v>
      </c>
      <c r="D144" s="1023">
        <v>45555</v>
      </c>
      <c r="E144" s="1024">
        <v>239.53</v>
      </c>
      <c r="F144" s="1024"/>
      <c r="G144" s="1020" t="s">
        <v>15515</v>
      </c>
      <c r="H144" s="1025" t="s">
        <v>15516</v>
      </c>
    </row>
    <row r="145" spans="1:12" ht="12.75">
      <c r="A145" s="1026" t="s">
        <v>15236</v>
      </c>
      <c r="B145" s="1027" t="s">
        <v>15720</v>
      </c>
      <c r="C145" s="1031" t="s">
        <v>6</v>
      </c>
      <c r="D145" s="1028">
        <v>45558</v>
      </c>
      <c r="E145" s="1029">
        <v>329.39</v>
      </c>
      <c r="F145" s="1024">
        <f>L145</f>
        <v>244.93</v>
      </c>
      <c r="G145" s="1026" t="s">
        <v>15721</v>
      </c>
      <c r="H145" s="1030" t="s">
        <v>15722</v>
      </c>
      <c r="J145" s="1792">
        <v>268.86</v>
      </c>
      <c r="K145" s="1789">
        <v>8.8999999999999996E-2</v>
      </c>
      <c r="L145">
        <f>TRUNC((1-K145)*J145,2)</f>
        <v>244.93</v>
      </c>
    </row>
    <row r="146" spans="1:12" ht="12.75" hidden="1">
      <c r="A146" s="1026" t="s">
        <v>15236</v>
      </c>
      <c r="B146" s="1027" t="s">
        <v>15720</v>
      </c>
      <c r="C146" s="1031" t="s">
        <v>6</v>
      </c>
      <c r="D146" s="1028">
        <v>45558</v>
      </c>
      <c r="E146" s="1029">
        <v>268.86</v>
      </c>
      <c r="F146" s="1029"/>
      <c r="G146" s="1026" t="s">
        <v>15723</v>
      </c>
      <c r="H146" s="1030" t="s">
        <v>15724</v>
      </c>
    </row>
    <row r="147" spans="1:12" ht="12.75" hidden="1">
      <c r="A147" s="1026" t="s">
        <v>15236</v>
      </c>
      <c r="B147" s="1027" t="s">
        <v>15720</v>
      </c>
      <c r="C147" s="1031" t="s">
        <v>6</v>
      </c>
      <c r="D147" s="1028">
        <v>45558</v>
      </c>
      <c r="E147" s="1029">
        <v>209.3</v>
      </c>
      <c r="F147" s="1029"/>
      <c r="G147" s="1026" t="s">
        <v>15725</v>
      </c>
      <c r="H147" s="1030" t="s">
        <v>15726</v>
      </c>
    </row>
    <row r="148" spans="1:12" ht="12.75">
      <c r="A148" s="1020" t="s">
        <v>14903</v>
      </c>
      <c r="B148" s="1021" t="s">
        <v>15727</v>
      </c>
      <c r="C148" s="1022" t="s">
        <v>6</v>
      </c>
      <c r="D148" s="1023">
        <v>45559</v>
      </c>
      <c r="E148" s="1024">
        <v>505.45</v>
      </c>
      <c r="F148" s="1024">
        <f>L148</f>
        <v>486.87</v>
      </c>
      <c r="G148" s="1020" t="s">
        <v>15728</v>
      </c>
      <c r="H148" s="1025" t="s">
        <v>15729</v>
      </c>
      <c r="J148" s="1792">
        <v>534.44000000000005</v>
      </c>
      <c r="K148" s="1789">
        <v>8.8999999999999996E-2</v>
      </c>
      <c r="L148">
        <f>TRUNC((1-K148)*J148,2)</f>
        <v>486.87</v>
      </c>
    </row>
    <row r="149" spans="1:12" ht="12.75" hidden="1">
      <c r="A149" s="1020" t="s">
        <v>14903</v>
      </c>
      <c r="B149" s="1021" t="s">
        <v>15727</v>
      </c>
      <c r="C149" s="1022" t="s">
        <v>6</v>
      </c>
      <c r="D149" s="1023">
        <v>45559</v>
      </c>
      <c r="E149" s="1024">
        <v>534.44000000000005</v>
      </c>
      <c r="F149" s="1024"/>
      <c r="G149" s="1020" t="s">
        <v>15730</v>
      </c>
      <c r="H149" s="1025" t="s">
        <v>15731</v>
      </c>
    </row>
    <row r="150" spans="1:12" ht="12.75" hidden="1">
      <c r="A150" s="1020" t="s">
        <v>14903</v>
      </c>
      <c r="B150" s="1021" t="s">
        <v>15727</v>
      </c>
      <c r="C150" s="1022" t="s">
        <v>6</v>
      </c>
      <c r="D150" s="1023">
        <v>45559</v>
      </c>
      <c r="E150" s="1024">
        <v>544.15</v>
      </c>
      <c r="F150" s="1024"/>
      <c r="G150" s="1020" t="s">
        <v>15732</v>
      </c>
      <c r="H150" s="1025" t="s">
        <v>15733</v>
      </c>
    </row>
    <row r="151" spans="1:12" ht="12.75">
      <c r="A151" s="1026" t="s">
        <v>14906</v>
      </c>
      <c r="B151" s="1027" t="s">
        <v>15734</v>
      </c>
      <c r="C151" s="1031" t="s">
        <v>6</v>
      </c>
      <c r="D151" s="1028">
        <v>45559</v>
      </c>
      <c r="E151" s="1029">
        <v>113.55</v>
      </c>
      <c r="F151" s="1024">
        <f>L151</f>
        <v>129.97999999999999</v>
      </c>
      <c r="G151" s="1026" t="s">
        <v>15735</v>
      </c>
      <c r="H151" s="1030" t="s">
        <v>15736</v>
      </c>
      <c r="J151" s="1792">
        <v>142.68</v>
      </c>
      <c r="K151" s="1789">
        <v>8.8999999999999996E-2</v>
      </c>
      <c r="L151">
        <f>TRUNC((1-K151)*J151,2)</f>
        <v>129.97999999999999</v>
      </c>
    </row>
    <row r="152" spans="1:12" ht="12.75" hidden="1">
      <c r="A152" s="1026" t="s">
        <v>14906</v>
      </c>
      <c r="B152" s="1027" t="s">
        <v>15734</v>
      </c>
      <c r="C152" s="1031" t="s">
        <v>6</v>
      </c>
      <c r="D152" s="1028">
        <v>45559</v>
      </c>
      <c r="E152" s="1029">
        <v>142.68</v>
      </c>
      <c r="F152" s="1029"/>
      <c r="G152" s="1026" t="s">
        <v>15737</v>
      </c>
      <c r="H152" s="1030" t="s">
        <v>15738</v>
      </c>
    </row>
    <row r="153" spans="1:12" ht="12.75" hidden="1">
      <c r="A153" s="1026" t="s">
        <v>14906</v>
      </c>
      <c r="B153" s="1027" t="s">
        <v>15734</v>
      </c>
      <c r="C153" s="1031" t="s">
        <v>6</v>
      </c>
      <c r="D153" s="1028">
        <v>45559</v>
      </c>
      <c r="E153" s="1029">
        <v>144.27000000000001</v>
      </c>
      <c r="F153" s="1029"/>
      <c r="G153" s="1026" t="s">
        <v>15739</v>
      </c>
      <c r="H153" s="1030" t="s">
        <v>15740</v>
      </c>
    </row>
    <row r="154" spans="1:12" ht="12.75">
      <c r="A154" s="1020" t="s">
        <v>15239</v>
      </c>
      <c r="B154" s="1021" t="s">
        <v>15741</v>
      </c>
      <c r="C154" s="1022" t="s">
        <v>6</v>
      </c>
      <c r="D154" s="1023">
        <v>45560</v>
      </c>
      <c r="E154" s="1024">
        <v>85.64</v>
      </c>
      <c r="F154" s="1024">
        <f>L154</f>
        <v>84.85</v>
      </c>
      <c r="G154" s="1020" t="s">
        <v>15742</v>
      </c>
      <c r="H154" s="1025" t="s">
        <v>15743</v>
      </c>
      <c r="J154" s="1792">
        <v>93.15</v>
      </c>
      <c r="K154" s="1789">
        <v>8.8999999999999996E-2</v>
      </c>
      <c r="L154">
        <f>TRUNC((1-K154)*J154,2)</f>
        <v>84.85</v>
      </c>
    </row>
    <row r="155" spans="1:12" ht="12.75" hidden="1">
      <c r="A155" s="1020" t="s">
        <v>15239</v>
      </c>
      <c r="B155" s="1021" t="s">
        <v>15741</v>
      </c>
      <c r="C155" s="1022" t="s">
        <v>6</v>
      </c>
      <c r="D155" s="1023">
        <v>45560</v>
      </c>
      <c r="E155" s="1024">
        <v>93.15</v>
      </c>
      <c r="F155" s="1024"/>
      <c r="G155" s="1020" t="s">
        <v>15744</v>
      </c>
      <c r="H155" s="1025" t="s">
        <v>15745</v>
      </c>
    </row>
    <row r="156" spans="1:12" ht="12.75" hidden="1">
      <c r="A156" s="1020" t="s">
        <v>15239</v>
      </c>
      <c r="B156" s="1021" t="s">
        <v>15741</v>
      </c>
      <c r="C156" s="1022" t="s">
        <v>6</v>
      </c>
      <c r="D156" s="1023">
        <v>45560</v>
      </c>
      <c r="E156" s="1024">
        <v>99.37</v>
      </c>
      <c r="F156" s="1024"/>
      <c r="G156" s="1020" t="s">
        <v>15746</v>
      </c>
      <c r="H156" s="1025" t="s">
        <v>15747</v>
      </c>
    </row>
    <row r="157" spans="1:12" ht="25.5">
      <c r="A157" s="1026" t="s">
        <v>15245</v>
      </c>
      <c r="B157" s="1027" t="s">
        <v>15748</v>
      </c>
      <c r="C157" s="1031" t="s">
        <v>6</v>
      </c>
      <c r="D157" s="1028">
        <v>45560</v>
      </c>
      <c r="E157" s="1029">
        <v>221.5</v>
      </c>
      <c r="F157" s="1024">
        <f>L157</f>
        <v>201.78</v>
      </c>
      <c r="G157" s="1026" t="s">
        <v>15534</v>
      </c>
      <c r="H157" s="1030" t="s">
        <v>15535</v>
      </c>
      <c r="J157" s="1792">
        <v>221.5</v>
      </c>
      <c r="K157" s="1789">
        <v>8.8999999999999996E-2</v>
      </c>
      <c r="L157">
        <f>TRUNC((1-K157)*J157,2)</f>
        <v>201.78</v>
      </c>
    </row>
    <row r="158" spans="1:12" ht="25.5" hidden="1">
      <c r="A158" s="1026" t="s">
        <v>15245</v>
      </c>
      <c r="B158" s="1027" t="s">
        <v>15748</v>
      </c>
      <c r="C158" s="1031" t="s">
        <v>6</v>
      </c>
      <c r="D158" s="1028">
        <v>45560</v>
      </c>
      <c r="E158" s="1029">
        <v>232.29</v>
      </c>
      <c r="F158" s="1029"/>
      <c r="G158" s="1026" t="s">
        <v>15749</v>
      </c>
      <c r="H158" s="1030" t="s">
        <v>15750</v>
      </c>
    </row>
    <row r="159" spans="1:12" ht="25.5" hidden="1">
      <c r="A159" s="1026" t="s">
        <v>15245</v>
      </c>
      <c r="B159" s="1027" t="s">
        <v>15748</v>
      </c>
      <c r="C159" s="1031" t="s">
        <v>6</v>
      </c>
      <c r="D159" s="1028">
        <v>45560</v>
      </c>
      <c r="E159" s="1029">
        <v>220.35</v>
      </c>
      <c r="F159" s="1029"/>
      <c r="G159" s="1026" t="s">
        <v>15559</v>
      </c>
      <c r="H159" s="1030" t="s">
        <v>15560</v>
      </c>
    </row>
    <row r="160" spans="1:12" ht="12.75">
      <c r="A160" s="1020" t="s">
        <v>15248</v>
      </c>
      <c r="B160" s="1021" t="s">
        <v>15751</v>
      </c>
      <c r="C160" s="1022" t="s">
        <v>6</v>
      </c>
      <c r="D160" s="1023">
        <v>45560</v>
      </c>
      <c r="E160" s="1024">
        <v>272.8</v>
      </c>
      <c r="F160" s="1024">
        <f>L160</f>
        <v>248.52</v>
      </c>
      <c r="G160" s="1020" t="s">
        <v>15646</v>
      </c>
      <c r="H160" s="1025" t="s">
        <v>15647</v>
      </c>
      <c r="J160" s="1792">
        <v>272.8</v>
      </c>
      <c r="K160" s="1789">
        <v>8.8999999999999996E-2</v>
      </c>
      <c r="L160">
        <f>TRUNC((1-K160)*J160,2)</f>
        <v>248.52</v>
      </c>
    </row>
    <row r="161" spans="1:12" ht="12.75" hidden="1">
      <c r="A161" s="1020" t="s">
        <v>15248</v>
      </c>
      <c r="B161" s="1021" t="s">
        <v>15751</v>
      </c>
      <c r="C161" s="1022" t="s">
        <v>6</v>
      </c>
      <c r="D161" s="1023">
        <v>45560</v>
      </c>
      <c r="E161" s="1024">
        <v>227.31</v>
      </c>
      <c r="F161" s="1024"/>
      <c r="G161" s="1020" t="s">
        <v>15575</v>
      </c>
      <c r="H161" s="1025" t="s">
        <v>15576</v>
      </c>
    </row>
    <row r="162" spans="1:12" ht="12.75" hidden="1">
      <c r="A162" s="1020" t="s">
        <v>15248</v>
      </c>
      <c r="B162" s="1021" t="s">
        <v>15751</v>
      </c>
      <c r="C162" s="1022" t="s">
        <v>6</v>
      </c>
      <c r="D162" s="1023">
        <v>45560</v>
      </c>
      <c r="E162" s="1024">
        <v>276.48</v>
      </c>
      <c r="F162" s="1024"/>
      <c r="G162" s="1020" t="s">
        <v>15534</v>
      </c>
      <c r="H162" s="1025" t="s">
        <v>15535</v>
      </c>
    </row>
    <row r="163" spans="1:12" ht="12.75">
      <c r="A163" s="1026" t="s">
        <v>15251</v>
      </c>
      <c r="B163" s="1027" t="s">
        <v>15752</v>
      </c>
      <c r="C163" s="1031" t="s">
        <v>6</v>
      </c>
      <c r="D163" s="1028">
        <v>45560</v>
      </c>
      <c r="E163" s="1029">
        <v>522.23</v>
      </c>
      <c r="F163" s="1024">
        <f>L163</f>
        <v>480.38</v>
      </c>
      <c r="G163" s="1026" t="s">
        <v>15646</v>
      </c>
      <c r="H163" s="1030" t="s">
        <v>15647</v>
      </c>
      <c r="J163" s="1792">
        <v>527.32000000000005</v>
      </c>
      <c r="K163" s="1789">
        <v>8.8999999999999996E-2</v>
      </c>
      <c r="L163">
        <f>TRUNC((1-K163)*J163,2)</f>
        <v>480.38</v>
      </c>
    </row>
    <row r="164" spans="1:12" ht="12.75" hidden="1">
      <c r="A164" s="1026" t="s">
        <v>15251</v>
      </c>
      <c r="B164" s="1027" t="s">
        <v>15752</v>
      </c>
      <c r="C164" s="1031" t="s">
        <v>6</v>
      </c>
      <c r="D164" s="1028">
        <v>45560</v>
      </c>
      <c r="E164" s="1029">
        <v>527.32000000000005</v>
      </c>
      <c r="F164" s="1029"/>
      <c r="G164" s="1026" t="s">
        <v>15534</v>
      </c>
      <c r="H164" s="1030" t="s">
        <v>15535</v>
      </c>
    </row>
    <row r="165" spans="1:12" ht="12.75" hidden="1">
      <c r="A165" s="1026" t="s">
        <v>15251</v>
      </c>
      <c r="B165" s="1027" t="s">
        <v>15752</v>
      </c>
      <c r="C165" s="1031" t="s">
        <v>6</v>
      </c>
      <c r="D165" s="1028">
        <v>45560</v>
      </c>
      <c r="E165" s="1029">
        <v>586.36</v>
      </c>
      <c r="F165" s="1029"/>
      <c r="G165" s="1026" t="s">
        <v>15635</v>
      </c>
      <c r="H165" s="1030" t="s">
        <v>15636</v>
      </c>
    </row>
    <row r="166" spans="1:12" ht="25.5">
      <c r="A166" s="1020" t="s">
        <v>15254</v>
      </c>
      <c r="B166" s="1021" t="s">
        <v>15753</v>
      </c>
      <c r="C166" s="1022" t="s">
        <v>6</v>
      </c>
      <c r="D166" s="1023">
        <v>45560</v>
      </c>
      <c r="E166" s="1024">
        <v>169.05</v>
      </c>
      <c r="F166" s="1024">
        <f>L166</f>
        <v>146.62</v>
      </c>
      <c r="G166" s="1020" t="s">
        <v>15534</v>
      </c>
      <c r="H166" s="1025" t="s">
        <v>15535</v>
      </c>
      <c r="J166" s="1792">
        <v>160.94999999999999</v>
      </c>
      <c r="K166" s="1789">
        <v>8.8999999999999996E-2</v>
      </c>
      <c r="L166">
        <f>TRUNC((1-K166)*J166,2)</f>
        <v>146.62</v>
      </c>
    </row>
    <row r="167" spans="1:12" ht="25.5" hidden="1">
      <c r="A167" s="1020" t="s">
        <v>15254</v>
      </c>
      <c r="B167" s="1021" t="s">
        <v>15753</v>
      </c>
      <c r="C167" s="1022" t="s">
        <v>6</v>
      </c>
      <c r="D167" s="1023">
        <v>45560</v>
      </c>
      <c r="E167" s="1024">
        <v>152.9</v>
      </c>
      <c r="F167" s="1024"/>
      <c r="G167" s="1020" t="s">
        <v>15679</v>
      </c>
      <c r="H167" s="1025" t="s">
        <v>15680</v>
      </c>
    </row>
    <row r="168" spans="1:12" ht="25.5" hidden="1">
      <c r="A168" s="1020" t="s">
        <v>15254</v>
      </c>
      <c r="B168" s="1021" t="s">
        <v>15753</v>
      </c>
      <c r="C168" s="1022" t="s">
        <v>6</v>
      </c>
      <c r="D168" s="1023">
        <v>45560</v>
      </c>
      <c r="E168" s="1024">
        <v>160.94999999999999</v>
      </c>
      <c r="F168" s="1024"/>
      <c r="G168" s="1020" t="s">
        <v>15643</v>
      </c>
      <c r="H168" s="1025" t="s">
        <v>15754</v>
      </c>
    </row>
    <row r="169" spans="1:12" ht="12.75">
      <c r="A169" s="1026" t="s">
        <v>15258</v>
      </c>
      <c r="B169" s="1027" t="s">
        <v>15755</v>
      </c>
      <c r="C169" s="1031" t="s">
        <v>6</v>
      </c>
      <c r="D169" s="1028">
        <v>45560</v>
      </c>
      <c r="E169" s="1029">
        <v>112.5</v>
      </c>
      <c r="F169" s="1024">
        <f>L169</f>
        <v>102.48</v>
      </c>
      <c r="G169" s="1026" t="s">
        <v>15756</v>
      </c>
      <c r="H169" s="1030" t="s">
        <v>15757</v>
      </c>
      <c r="J169" s="1792">
        <v>112.5</v>
      </c>
      <c r="K169" s="1789">
        <v>8.8999999999999996E-2</v>
      </c>
      <c r="L169">
        <f>TRUNC((1-K169)*J169,2)</f>
        <v>102.48</v>
      </c>
    </row>
    <row r="170" spans="1:12" ht="12.75" hidden="1">
      <c r="A170" s="1026" t="s">
        <v>15258</v>
      </c>
      <c r="B170" s="1027" t="s">
        <v>15755</v>
      </c>
      <c r="C170" s="1031" t="s">
        <v>6</v>
      </c>
      <c r="D170" s="1028">
        <v>45560</v>
      </c>
      <c r="E170" s="1029">
        <v>78.45</v>
      </c>
      <c r="F170" s="1029"/>
      <c r="G170" s="1026" t="s">
        <v>15758</v>
      </c>
      <c r="H170" s="1030" t="s">
        <v>15759</v>
      </c>
    </row>
    <row r="171" spans="1:12" ht="12.75" hidden="1">
      <c r="A171" s="1026" t="s">
        <v>15258</v>
      </c>
      <c r="B171" s="1027" t="s">
        <v>15755</v>
      </c>
      <c r="C171" s="1031" t="s">
        <v>6</v>
      </c>
      <c r="D171" s="1028">
        <v>45560</v>
      </c>
      <c r="E171" s="1029">
        <v>132.94999999999999</v>
      </c>
      <c r="F171" s="1029"/>
      <c r="G171" s="1026" t="s">
        <v>15749</v>
      </c>
      <c r="H171" s="1030" t="s">
        <v>15750</v>
      </c>
    </row>
    <row r="172" spans="1:12" ht="25.5">
      <c r="A172" s="1020" t="s">
        <v>15261</v>
      </c>
      <c r="B172" s="1021" t="s">
        <v>15760</v>
      </c>
      <c r="C172" s="1022" t="s">
        <v>6</v>
      </c>
      <c r="D172" s="1023">
        <v>45561</v>
      </c>
      <c r="E172" s="1024">
        <v>1390</v>
      </c>
      <c r="F172" s="1024">
        <f>L172</f>
        <v>1432.57</v>
      </c>
      <c r="G172" s="1020" t="s">
        <v>15635</v>
      </c>
      <c r="H172" s="1025" t="s">
        <v>15636</v>
      </c>
      <c r="J172" s="1792">
        <v>1572.53</v>
      </c>
      <c r="K172" s="1789">
        <v>8.8999999999999996E-2</v>
      </c>
      <c r="L172">
        <f>TRUNC((1-K172)*J172,2)</f>
        <v>1432.57</v>
      </c>
    </row>
    <row r="173" spans="1:12" ht="25.5" hidden="1">
      <c r="A173" s="1020" t="s">
        <v>15261</v>
      </c>
      <c r="B173" s="1021" t="s">
        <v>15760</v>
      </c>
      <c r="C173" s="1022" t="s">
        <v>6</v>
      </c>
      <c r="D173" s="1023">
        <v>45561</v>
      </c>
      <c r="E173" s="1024">
        <v>1590</v>
      </c>
      <c r="F173" s="1024"/>
      <c r="G173" s="1020" t="s">
        <v>15761</v>
      </c>
      <c r="H173" s="1025" t="s">
        <v>15762</v>
      </c>
    </row>
    <row r="174" spans="1:12" ht="25.5" hidden="1">
      <c r="A174" s="1020" t="s">
        <v>15261</v>
      </c>
      <c r="B174" s="1021" t="s">
        <v>15760</v>
      </c>
      <c r="C174" s="1022" t="s">
        <v>6</v>
      </c>
      <c r="D174" s="1023">
        <v>45561</v>
      </c>
      <c r="E174" s="1024">
        <v>1572.53</v>
      </c>
      <c r="F174" s="1024"/>
      <c r="G174" s="1020" t="s">
        <v>15763</v>
      </c>
      <c r="H174" s="1025" t="s">
        <v>15764</v>
      </c>
    </row>
    <row r="175" spans="1:12" ht="25.5">
      <c r="A175" s="1026" t="s">
        <v>15264</v>
      </c>
      <c r="B175" s="1027" t="s">
        <v>15765</v>
      </c>
      <c r="C175" s="1031" t="s">
        <v>6</v>
      </c>
      <c r="D175" s="1028">
        <v>45561</v>
      </c>
      <c r="E175" s="1029">
        <v>1890</v>
      </c>
      <c r="F175" s="1024">
        <f>L175</f>
        <v>1835.66</v>
      </c>
      <c r="G175" s="1026" t="s">
        <v>15635</v>
      </c>
      <c r="H175" s="1030" t="s">
        <v>15636</v>
      </c>
      <c r="J175" s="1792">
        <v>2015</v>
      </c>
      <c r="K175" s="1789">
        <v>8.8999999999999996E-2</v>
      </c>
      <c r="L175">
        <f>TRUNC((1-K175)*J175,2)</f>
        <v>1835.66</v>
      </c>
    </row>
    <row r="176" spans="1:12" ht="25.5" hidden="1">
      <c r="A176" s="1026" t="s">
        <v>15264</v>
      </c>
      <c r="B176" s="1027" t="s">
        <v>15765</v>
      </c>
      <c r="C176" s="1031" t="s">
        <v>6</v>
      </c>
      <c r="D176" s="1028">
        <v>45561</v>
      </c>
      <c r="E176" s="1029">
        <v>2015</v>
      </c>
      <c r="F176" s="1029"/>
      <c r="G176" s="1026" t="s">
        <v>15761</v>
      </c>
      <c r="H176" s="1030" t="s">
        <v>15762</v>
      </c>
    </row>
    <row r="177" spans="1:12" ht="25.5" hidden="1">
      <c r="A177" s="1026" t="s">
        <v>15264</v>
      </c>
      <c r="B177" s="1027" t="s">
        <v>15765</v>
      </c>
      <c r="C177" s="1031" t="s">
        <v>6</v>
      </c>
      <c r="D177" s="1028">
        <v>45561</v>
      </c>
      <c r="E177" s="1029">
        <v>2168.73</v>
      </c>
      <c r="F177" s="1029"/>
      <c r="G177" s="1026" t="s">
        <v>15763</v>
      </c>
      <c r="H177" s="1030" t="s">
        <v>15764</v>
      </c>
    </row>
    <row r="178" spans="1:12" ht="25.5">
      <c r="A178" s="1020" t="s">
        <v>15267</v>
      </c>
      <c r="B178" s="1021" t="s">
        <v>15766</v>
      </c>
      <c r="C178" s="1020" t="s">
        <v>6</v>
      </c>
      <c r="D178" s="1023">
        <v>45561</v>
      </c>
      <c r="E178" s="1024">
        <v>577.03</v>
      </c>
      <c r="F178" s="1024">
        <f>L178</f>
        <v>414.9</v>
      </c>
      <c r="G178" s="1020" t="s">
        <v>15767</v>
      </c>
      <c r="H178" s="1025" t="s">
        <v>15768</v>
      </c>
      <c r="J178" s="1792">
        <v>455.44</v>
      </c>
      <c r="K178" s="1789">
        <v>8.8999999999999996E-2</v>
      </c>
      <c r="L178">
        <f>TRUNC((1-K178)*J178,2)</f>
        <v>414.9</v>
      </c>
    </row>
    <row r="179" spans="1:12" ht="25.5" hidden="1">
      <c r="A179" s="1020" t="s">
        <v>15267</v>
      </c>
      <c r="B179" s="1021" t="s">
        <v>15766</v>
      </c>
      <c r="C179" s="1020" t="s">
        <v>6</v>
      </c>
      <c r="D179" s="1023">
        <v>45561</v>
      </c>
      <c r="E179" s="1024">
        <v>412.52</v>
      </c>
      <c r="F179" s="1024"/>
      <c r="G179" s="1020" t="s">
        <v>15769</v>
      </c>
      <c r="H179" s="1025" t="s">
        <v>15770</v>
      </c>
    </row>
    <row r="180" spans="1:12" ht="25.5" hidden="1">
      <c r="A180" s="1020" t="s">
        <v>15267</v>
      </c>
      <c r="B180" s="1021" t="s">
        <v>15766</v>
      </c>
      <c r="C180" s="1020" t="s">
        <v>6</v>
      </c>
      <c r="D180" s="1023">
        <v>45561</v>
      </c>
      <c r="E180" s="1024">
        <v>455.44</v>
      </c>
      <c r="F180" s="1024"/>
      <c r="G180" s="1020" t="s">
        <v>15640</v>
      </c>
      <c r="H180" s="1025" t="s">
        <v>15641</v>
      </c>
    </row>
    <row r="181" spans="1:12" ht="25.5">
      <c r="A181" s="1026" t="s">
        <v>15279</v>
      </c>
      <c r="B181" s="1027" t="s">
        <v>15771</v>
      </c>
      <c r="C181" s="1031" t="s">
        <v>6</v>
      </c>
      <c r="D181" s="1028">
        <v>45561</v>
      </c>
      <c r="E181" s="1029">
        <v>206.89</v>
      </c>
      <c r="F181" s="1024">
        <f>L181</f>
        <v>188.47</v>
      </c>
      <c r="G181" s="1026" t="s">
        <v>15749</v>
      </c>
      <c r="H181" s="1030" t="s">
        <v>15750</v>
      </c>
      <c r="J181" s="1792">
        <v>206.89</v>
      </c>
      <c r="K181" s="1789">
        <v>8.8999999999999996E-2</v>
      </c>
      <c r="L181">
        <f>TRUNC((1-K181)*J181,2)</f>
        <v>188.47</v>
      </c>
    </row>
    <row r="182" spans="1:12" ht="25.5" hidden="1">
      <c r="A182" s="1026" t="s">
        <v>15279</v>
      </c>
      <c r="B182" s="1027" t="s">
        <v>15771</v>
      </c>
      <c r="C182" s="1031" t="s">
        <v>6</v>
      </c>
      <c r="D182" s="1028">
        <v>45561</v>
      </c>
      <c r="E182" s="1029">
        <v>221.58</v>
      </c>
      <c r="F182" s="1029"/>
      <c r="G182" s="1026" t="s">
        <v>15643</v>
      </c>
      <c r="H182" s="1030" t="s">
        <v>15754</v>
      </c>
    </row>
    <row r="183" spans="1:12" ht="25.5" hidden="1">
      <c r="A183" s="1026" t="s">
        <v>15279</v>
      </c>
      <c r="B183" s="1027" t="s">
        <v>15771</v>
      </c>
      <c r="C183" s="1031" t="s">
        <v>6</v>
      </c>
      <c r="D183" s="1028">
        <v>45561</v>
      </c>
      <c r="E183" s="1029">
        <v>182.56</v>
      </c>
      <c r="F183" s="1029"/>
      <c r="G183" s="1026" t="s">
        <v>15575</v>
      </c>
      <c r="H183" s="1030" t="s">
        <v>15576</v>
      </c>
    </row>
    <row r="184" spans="1:12" ht="12.75">
      <c r="A184" s="1020" t="s">
        <v>15291</v>
      </c>
      <c r="B184" s="1021" t="s">
        <v>15772</v>
      </c>
      <c r="C184" s="1022" t="s">
        <v>50</v>
      </c>
      <c r="D184" s="1023">
        <v>45561</v>
      </c>
      <c r="E184" s="1024">
        <v>63.21</v>
      </c>
      <c r="F184" s="1024">
        <f>L184</f>
        <v>65.31</v>
      </c>
      <c r="G184" s="1020" t="s">
        <v>15769</v>
      </c>
      <c r="H184" s="1025" t="s">
        <v>15770</v>
      </c>
      <c r="J184" s="1792">
        <v>71.7</v>
      </c>
      <c r="K184" s="1789">
        <v>8.8999999999999996E-2</v>
      </c>
      <c r="L184">
        <f>TRUNC((1-K184)*J184,2)</f>
        <v>65.31</v>
      </c>
    </row>
    <row r="185" spans="1:12" ht="12.75" hidden="1">
      <c r="A185" s="1020" t="s">
        <v>15291</v>
      </c>
      <c r="B185" s="1021" t="s">
        <v>15772</v>
      </c>
      <c r="C185" s="1022" t="s">
        <v>50</v>
      </c>
      <c r="D185" s="1023">
        <v>45561</v>
      </c>
      <c r="E185" s="1024">
        <v>71.7</v>
      </c>
      <c r="F185" s="1024"/>
      <c r="G185" s="1020" t="s">
        <v>15643</v>
      </c>
      <c r="H185" s="1025" t="s">
        <v>15754</v>
      </c>
    </row>
    <row r="186" spans="1:12" ht="12.75" hidden="1">
      <c r="A186" s="1020" t="s">
        <v>15291</v>
      </c>
      <c r="B186" s="1021" t="s">
        <v>15772</v>
      </c>
      <c r="C186" s="1022" t="s">
        <v>50</v>
      </c>
      <c r="D186" s="1023">
        <v>45561</v>
      </c>
      <c r="E186" s="1024">
        <v>77.349999999999994</v>
      </c>
      <c r="F186" s="1024"/>
      <c r="G186" s="1020" t="s">
        <v>15749</v>
      </c>
      <c r="H186" s="1025" t="s">
        <v>15750</v>
      </c>
    </row>
    <row r="187" spans="1:12" ht="12.75">
      <c r="A187" s="1026" t="s">
        <v>15294</v>
      </c>
      <c r="B187" s="1027" t="s">
        <v>15773</v>
      </c>
      <c r="C187" s="1031" t="s">
        <v>50</v>
      </c>
      <c r="D187" s="1028">
        <v>45561</v>
      </c>
      <c r="E187" s="1029">
        <v>50.79</v>
      </c>
      <c r="F187" s="1024">
        <f>L187</f>
        <v>46.47</v>
      </c>
      <c r="G187" s="1026" t="s">
        <v>15667</v>
      </c>
      <c r="H187" s="1030" t="s">
        <v>15668</v>
      </c>
      <c r="J187" s="1792">
        <v>51.02</v>
      </c>
      <c r="K187" s="1789">
        <v>8.8999999999999996E-2</v>
      </c>
      <c r="L187">
        <f>TRUNC((1-K187)*J187,2)</f>
        <v>46.47</v>
      </c>
    </row>
    <row r="188" spans="1:12" ht="12.75" hidden="1">
      <c r="A188" s="1026" t="s">
        <v>15294</v>
      </c>
      <c r="B188" s="1027" t="s">
        <v>15773</v>
      </c>
      <c r="C188" s="1031" t="s">
        <v>50</v>
      </c>
      <c r="D188" s="1028">
        <v>45561</v>
      </c>
      <c r="E188" s="1029">
        <v>56.95</v>
      </c>
      <c r="F188" s="1029"/>
      <c r="G188" s="1026" t="s">
        <v>15749</v>
      </c>
      <c r="H188" s="1030" t="s">
        <v>15750</v>
      </c>
    </row>
    <row r="189" spans="1:12" ht="12.75" hidden="1">
      <c r="A189" s="1026" t="s">
        <v>15294</v>
      </c>
      <c r="B189" s="1027" t="s">
        <v>15773</v>
      </c>
      <c r="C189" s="1031" t="s">
        <v>50</v>
      </c>
      <c r="D189" s="1028">
        <v>45561</v>
      </c>
      <c r="E189" s="1029">
        <v>51.02</v>
      </c>
      <c r="F189" s="1029"/>
      <c r="G189" s="1026" t="s">
        <v>15646</v>
      </c>
      <c r="H189" s="1030" t="s">
        <v>15647</v>
      </c>
    </row>
    <row r="190" spans="1:12" ht="12.75">
      <c r="A190" s="1020" t="s">
        <v>15288</v>
      </c>
      <c r="B190" s="1021" t="s">
        <v>15774</v>
      </c>
      <c r="C190" s="1020" t="s">
        <v>6</v>
      </c>
      <c r="D190" s="1023">
        <v>45561</v>
      </c>
      <c r="E190" s="1024">
        <v>21.63</v>
      </c>
      <c r="F190" s="1024">
        <f>L190</f>
        <v>19.7</v>
      </c>
      <c r="G190" s="1020" t="s">
        <v>15775</v>
      </c>
      <c r="H190" s="1025" t="s">
        <v>15776</v>
      </c>
      <c r="J190" s="1792">
        <v>21.63</v>
      </c>
      <c r="K190" s="1789">
        <v>8.8999999999999996E-2</v>
      </c>
      <c r="L190">
        <f>TRUNC((1-K190)*J190,2)</f>
        <v>19.7</v>
      </c>
    </row>
    <row r="191" spans="1:12" ht="12.75" hidden="1">
      <c r="A191" s="1020" t="s">
        <v>15288</v>
      </c>
      <c r="B191" s="1021" t="s">
        <v>15774</v>
      </c>
      <c r="C191" s="1020" t="s">
        <v>6</v>
      </c>
      <c r="D191" s="1023">
        <v>45561</v>
      </c>
      <c r="E191" s="1024">
        <v>25.52</v>
      </c>
      <c r="F191" s="1024"/>
      <c r="G191" s="1020" t="s">
        <v>15534</v>
      </c>
      <c r="H191" s="1025" t="s">
        <v>15535</v>
      </c>
    </row>
    <row r="192" spans="1:12" ht="12.75" hidden="1">
      <c r="A192" s="1020" t="s">
        <v>15288</v>
      </c>
      <c r="B192" s="1021" t="s">
        <v>15774</v>
      </c>
      <c r="C192" s="1020" t="s">
        <v>6</v>
      </c>
      <c r="D192" s="1023">
        <v>45561</v>
      </c>
      <c r="E192" s="1024">
        <v>18.29</v>
      </c>
      <c r="F192" s="1024"/>
      <c r="G192" s="1020" t="s">
        <v>15777</v>
      </c>
      <c r="H192" s="1025" t="s">
        <v>15778</v>
      </c>
    </row>
    <row r="193" spans="1:12" ht="12.75">
      <c r="A193" s="1026" t="s">
        <v>14982</v>
      </c>
      <c r="B193" s="1027" t="s">
        <v>15779</v>
      </c>
      <c r="C193" s="1031" t="s">
        <v>409</v>
      </c>
      <c r="D193" s="1028">
        <v>45541</v>
      </c>
      <c r="E193" s="1029">
        <v>690</v>
      </c>
      <c r="F193" s="1024">
        <f>L193</f>
        <v>610.55999999999995</v>
      </c>
      <c r="G193" s="1026" t="s">
        <v>15504</v>
      </c>
      <c r="H193" s="1030" t="s">
        <v>15505</v>
      </c>
      <c r="J193" s="1792">
        <v>670.21</v>
      </c>
      <c r="K193" s="1789">
        <v>8.8999999999999996E-2</v>
      </c>
      <c r="L193">
        <f>TRUNC((1-K193)*J193,2)</f>
        <v>610.55999999999995</v>
      </c>
    </row>
    <row r="194" spans="1:12" ht="12.75" hidden="1">
      <c r="A194" s="1026" t="s">
        <v>14982</v>
      </c>
      <c r="B194" s="1027" t="s">
        <v>15779</v>
      </c>
      <c r="C194" s="1031" t="s">
        <v>409</v>
      </c>
      <c r="D194" s="1028">
        <v>45540</v>
      </c>
      <c r="E194" s="1029">
        <v>670.21</v>
      </c>
      <c r="F194" s="1029"/>
      <c r="G194" s="1026" t="s">
        <v>15506</v>
      </c>
      <c r="H194" s="1030" t="s">
        <v>15507</v>
      </c>
    </row>
    <row r="195" spans="1:12" ht="12.75" hidden="1">
      <c r="A195" s="1026" t="s">
        <v>14982</v>
      </c>
      <c r="B195" s="1027" t="s">
        <v>15779</v>
      </c>
      <c r="C195" s="1031" t="s">
        <v>409</v>
      </c>
      <c r="D195" s="1028">
        <v>45545</v>
      </c>
      <c r="E195" s="1029">
        <v>500</v>
      </c>
      <c r="F195" s="1029"/>
      <c r="G195" s="1026" t="s">
        <v>15508</v>
      </c>
      <c r="H195" s="1030" t="s">
        <v>15509</v>
      </c>
    </row>
    <row r="196" spans="1:12" ht="12.75">
      <c r="A196" s="1026" t="s">
        <v>15297</v>
      </c>
      <c r="B196" s="1027" t="s">
        <v>15780</v>
      </c>
      <c r="C196" s="1026" t="s">
        <v>6</v>
      </c>
      <c r="D196" s="1028">
        <v>45561</v>
      </c>
      <c r="E196" s="1029">
        <v>147.02000000000001</v>
      </c>
      <c r="F196" s="1024">
        <f>L196</f>
        <v>133.93</v>
      </c>
      <c r="G196" s="1026" t="s">
        <v>15781</v>
      </c>
      <c r="H196" s="1030" t="s">
        <v>15782</v>
      </c>
      <c r="J196" s="1792">
        <v>147.02000000000001</v>
      </c>
      <c r="K196" s="1789">
        <v>8.8999999999999996E-2</v>
      </c>
      <c r="L196">
        <f>TRUNC((1-K196)*J196,2)</f>
        <v>133.93</v>
      </c>
    </row>
    <row r="197" spans="1:12" ht="12.75" hidden="1">
      <c r="A197" s="1026" t="s">
        <v>15297</v>
      </c>
      <c r="B197" s="1027" t="s">
        <v>15780</v>
      </c>
      <c r="C197" s="1026" t="s">
        <v>6</v>
      </c>
      <c r="D197" s="1028">
        <v>45561</v>
      </c>
      <c r="E197" s="1029">
        <v>152.76</v>
      </c>
      <c r="F197" s="1029"/>
      <c r="G197" s="1026" t="s">
        <v>15783</v>
      </c>
      <c r="H197" s="1030" t="s">
        <v>15784</v>
      </c>
    </row>
    <row r="198" spans="1:12" ht="12.75" hidden="1">
      <c r="A198" s="1026" t="s">
        <v>15297</v>
      </c>
      <c r="B198" s="1027" t="s">
        <v>15780</v>
      </c>
      <c r="C198" s="1026" t="s">
        <v>6</v>
      </c>
      <c r="D198" s="1028">
        <v>45561</v>
      </c>
      <c r="E198" s="1029">
        <v>143.88999999999999</v>
      </c>
      <c r="F198" s="1029"/>
      <c r="G198" s="1026" t="s">
        <v>15758</v>
      </c>
      <c r="H198" s="1030" t="s">
        <v>15759</v>
      </c>
    </row>
    <row r="199" spans="1:12" ht="12.75">
      <c r="A199" s="1020" t="s">
        <v>15300</v>
      </c>
      <c r="B199" s="1021" t="s">
        <v>15785</v>
      </c>
      <c r="C199" s="1020" t="s">
        <v>6</v>
      </c>
      <c r="D199" s="1023">
        <v>45561</v>
      </c>
      <c r="E199" s="1024">
        <v>225.26</v>
      </c>
      <c r="F199" s="1024">
        <f>L199</f>
        <v>205.21</v>
      </c>
      <c r="G199" s="1020" t="s">
        <v>15744</v>
      </c>
      <c r="H199" s="1025" t="s">
        <v>15745</v>
      </c>
      <c r="J199" s="1792">
        <v>225.26</v>
      </c>
      <c r="K199" s="1789">
        <v>8.8999999999999996E-2</v>
      </c>
      <c r="L199">
        <f>TRUNC((1-K199)*J199,2)</f>
        <v>205.21</v>
      </c>
    </row>
    <row r="200" spans="1:12" ht="12.75" hidden="1">
      <c r="A200" s="1020" t="s">
        <v>15300</v>
      </c>
      <c r="B200" s="1021" t="s">
        <v>15785</v>
      </c>
      <c r="C200" s="1020" t="s">
        <v>6</v>
      </c>
      <c r="D200" s="1023">
        <v>45561</v>
      </c>
      <c r="E200" s="1024">
        <v>296.60000000000002</v>
      </c>
      <c r="F200" s="1024"/>
      <c r="G200" s="1020" t="s">
        <v>15721</v>
      </c>
      <c r="H200" s="1025" t="s">
        <v>15722</v>
      </c>
    </row>
    <row r="201" spans="1:12" ht="12.75" hidden="1">
      <c r="A201" s="1020" t="s">
        <v>15300</v>
      </c>
      <c r="B201" s="1021" t="s">
        <v>15785</v>
      </c>
      <c r="C201" s="1020" t="s">
        <v>6</v>
      </c>
      <c r="D201" s="1023">
        <v>45561</v>
      </c>
      <c r="E201" s="1024">
        <v>217.64</v>
      </c>
      <c r="F201" s="1024"/>
      <c r="G201" s="1020" t="s">
        <v>15557</v>
      </c>
      <c r="H201" s="1025" t="s">
        <v>15558</v>
      </c>
    </row>
    <row r="202" spans="1:12" ht="25.5">
      <c r="A202" s="1026" t="s">
        <v>14642</v>
      </c>
      <c r="B202" s="1027" t="s">
        <v>15786</v>
      </c>
      <c r="C202" s="1026" t="s">
        <v>409</v>
      </c>
      <c r="D202" s="1028">
        <v>45560</v>
      </c>
      <c r="E202" s="1029">
        <v>132.35</v>
      </c>
      <c r="F202" s="1024">
        <f>L202</f>
        <v>109.01</v>
      </c>
      <c r="G202" s="1026" t="s">
        <v>15787</v>
      </c>
      <c r="H202" s="1030" t="s">
        <v>15788</v>
      </c>
      <c r="J202" s="1792">
        <v>119.66</v>
      </c>
      <c r="K202" s="1789">
        <v>8.8999999999999996E-2</v>
      </c>
      <c r="L202">
        <f>TRUNC((1-K202)*J202,2)</f>
        <v>109.01</v>
      </c>
    </row>
    <row r="203" spans="1:12" ht="25.5" hidden="1">
      <c r="A203" s="1026" t="s">
        <v>14642</v>
      </c>
      <c r="B203" s="1027" t="s">
        <v>15786</v>
      </c>
      <c r="C203" s="1026" t="s">
        <v>409</v>
      </c>
      <c r="D203" s="1028">
        <v>45560</v>
      </c>
      <c r="E203" s="1029">
        <v>119.66</v>
      </c>
      <c r="F203" s="1029"/>
      <c r="G203" s="1026" t="s">
        <v>15789</v>
      </c>
      <c r="H203" s="1030" t="s">
        <v>15790</v>
      </c>
    </row>
    <row r="204" spans="1:12" ht="25.5" hidden="1">
      <c r="A204" s="1026" t="s">
        <v>14642</v>
      </c>
      <c r="B204" s="1027" t="s">
        <v>15786</v>
      </c>
      <c r="C204" s="1026" t="s">
        <v>409</v>
      </c>
      <c r="D204" s="1028">
        <v>45562</v>
      </c>
      <c r="E204" s="1029">
        <v>109.6</v>
      </c>
      <c r="F204" s="1029"/>
      <c r="G204" s="1026" t="s">
        <v>15791</v>
      </c>
      <c r="H204" s="1030" t="s">
        <v>15792</v>
      </c>
    </row>
    <row r="205" spans="1:12" ht="25.5">
      <c r="A205" s="1020" t="s">
        <v>15317</v>
      </c>
      <c r="B205" s="1021" t="s">
        <v>15793</v>
      </c>
      <c r="C205" s="1020" t="s">
        <v>6</v>
      </c>
      <c r="D205" s="1023">
        <v>45562</v>
      </c>
      <c r="E205" s="1024">
        <v>670.76</v>
      </c>
      <c r="F205" s="1024">
        <f>L205</f>
        <v>570.05999999999995</v>
      </c>
      <c r="G205" s="1020" t="s">
        <v>15794</v>
      </c>
      <c r="H205" s="1025" t="s">
        <v>15795</v>
      </c>
      <c r="J205" s="1792">
        <v>625.76</v>
      </c>
      <c r="K205" s="1789">
        <v>8.8999999999999996E-2</v>
      </c>
      <c r="L205">
        <f>TRUNC((1-K205)*J205,2)</f>
        <v>570.05999999999995</v>
      </c>
    </row>
    <row r="206" spans="1:12" ht="25.5" hidden="1">
      <c r="A206" s="1020" t="s">
        <v>15317</v>
      </c>
      <c r="B206" s="1021" t="s">
        <v>15793</v>
      </c>
      <c r="C206" s="1020" t="s">
        <v>6</v>
      </c>
      <c r="D206" s="1023">
        <v>45562</v>
      </c>
      <c r="E206" s="1024">
        <v>625.76</v>
      </c>
      <c r="F206" s="1024"/>
      <c r="G206" s="1020" t="s">
        <v>15796</v>
      </c>
      <c r="H206" s="1025" t="s">
        <v>15797</v>
      </c>
    </row>
    <row r="207" spans="1:12" ht="25.5" hidden="1">
      <c r="A207" s="1020" t="s">
        <v>15317</v>
      </c>
      <c r="B207" s="1021" t="s">
        <v>15793</v>
      </c>
      <c r="C207" s="1020" t="s">
        <v>6</v>
      </c>
      <c r="D207" s="1023">
        <v>45562</v>
      </c>
      <c r="E207" s="1024">
        <v>587.04</v>
      </c>
      <c r="F207" s="1024"/>
      <c r="G207" s="1020" t="s">
        <v>15749</v>
      </c>
      <c r="H207" s="1025" t="s">
        <v>15750</v>
      </c>
    </row>
    <row r="208" spans="1:12" ht="12.75">
      <c r="A208" s="1026" t="s">
        <v>15101</v>
      </c>
      <c r="B208" s="1027" t="s">
        <v>15798</v>
      </c>
      <c r="C208" s="1026" t="s">
        <v>6</v>
      </c>
      <c r="D208" s="1028">
        <v>45562</v>
      </c>
      <c r="E208" s="1029">
        <v>1500</v>
      </c>
      <c r="F208" s="1024">
        <f>L208</f>
        <v>1366.5</v>
      </c>
      <c r="G208" s="1026" t="s">
        <v>15799</v>
      </c>
      <c r="H208" s="1030" t="s">
        <v>15800</v>
      </c>
      <c r="J208" s="1792">
        <v>1500</v>
      </c>
      <c r="K208" s="1789">
        <v>8.8999999999999996E-2</v>
      </c>
      <c r="L208">
        <f>TRUNC((1-K208)*J208,2)</f>
        <v>1366.5</v>
      </c>
    </row>
    <row r="209" spans="1:12" ht="12.75" hidden="1">
      <c r="A209" s="1026" t="s">
        <v>15101</v>
      </c>
      <c r="B209" s="1027" t="s">
        <v>15798</v>
      </c>
      <c r="C209" s="1026" t="s">
        <v>6</v>
      </c>
      <c r="D209" s="1028">
        <v>45562</v>
      </c>
      <c r="E209" s="1029">
        <v>1000</v>
      </c>
      <c r="F209" s="1029"/>
      <c r="G209" s="1026" t="s">
        <v>15538</v>
      </c>
      <c r="H209" s="1030" t="s">
        <v>15539</v>
      </c>
    </row>
    <row r="210" spans="1:12" ht="12.75" hidden="1">
      <c r="A210" s="1026" t="s">
        <v>15101</v>
      </c>
      <c r="B210" s="1027" t="s">
        <v>15798</v>
      </c>
      <c r="C210" s="1026" t="s">
        <v>6</v>
      </c>
      <c r="D210" s="1028">
        <v>45568</v>
      </c>
      <c r="E210" s="1029">
        <v>1500</v>
      </c>
      <c r="F210" s="1029"/>
      <c r="G210" s="1026" t="s">
        <v>15801</v>
      </c>
      <c r="H210" s="1030" t="s">
        <v>15802</v>
      </c>
    </row>
    <row r="211" spans="1:12" ht="12.75">
      <c r="A211" s="1020" t="s">
        <v>15104</v>
      </c>
      <c r="B211" s="1021" t="s">
        <v>15803</v>
      </c>
      <c r="C211" s="1020" t="s">
        <v>6</v>
      </c>
      <c r="D211" s="1023">
        <v>45562</v>
      </c>
      <c r="E211" s="1024">
        <v>400</v>
      </c>
      <c r="F211" s="1024">
        <f>L211</f>
        <v>318.85000000000002</v>
      </c>
      <c r="G211" s="1020" t="s">
        <v>15799</v>
      </c>
      <c r="H211" s="1025" t="s">
        <v>15800</v>
      </c>
      <c r="J211" s="1792">
        <v>350</v>
      </c>
      <c r="K211" s="1789">
        <v>8.8999999999999996E-2</v>
      </c>
      <c r="L211">
        <f>TRUNC((1-K211)*J211,2)</f>
        <v>318.85000000000002</v>
      </c>
    </row>
    <row r="212" spans="1:12" ht="12.75" hidden="1">
      <c r="A212" s="1020" t="s">
        <v>15104</v>
      </c>
      <c r="B212" s="1021" t="s">
        <v>15803</v>
      </c>
      <c r="C212" s="1020" t="s">
        <v>6</v>
      </c>
      <c r="D212" s="1023">
        <v>45562</v>
      </c>
      <c r="E212" s="1024">
        <v>300</v>
      </c>
      <c r="F212" s="1024"/>
      <c r="G212" s="1020" t="s">
        <v>15538</v>
      </c>
      <c r="H212" s="1025" t="s">
        <v>15539</v>
      </c>
    </row>
    <row r="213" spans="1:12" ht="12.75" hidden="1">
      <c r="A213" s="1020" t="s">
        <v>15104</v>
      </c>
      <c r="B213" s="1021" t="s">
        <v>15803</v>
      </c>
      <c r="C213" s="1020" t="s">
        <v>6</v>
      </c>
      <c r="D213" s="1023">
        <v>45568</v>
      </c>
      <c r="E213" s="1024">
        <v>350</v>
      </c>
      <c r="F213" s="1024"/>
      <c r="G213" s="1020" t="s">
        <v>15801</v>
      </c>
      <c r="H213" s="1025" t="s">
        <v>15802</v>
      </c>
    </row>
    <row r="214" spans="1:12" ht="12.75">
      <c r="A214" s="1026" t="s">
        <v>15107</v>
      </c>
      <c r="B214" s="1027" t="s">
        <v>15804</v>
      </c>
      <c r="C214" s="1026" t="s">
        <v>6</v>
      </c>
      <c r="D214" s="1028">
        <v>45562</v>
      </c>
      <c r="E214" s="1029">
        <v>7000</v>
      </c>
      <c r="F214" s="1024">
        <f>L214</f>
        <v>6377</v>
      </c>
      <c r="G214" s="1026" t="s">
        <v>15799</v>
      </c>
      <c r="H214" s="1030" t="s">
        <v>15800</v>
      </c>
      <c r="J214" s="1792">
        <v>7000</v>
      </c>
      <c r="K214" s="1789">
        <v>8.8999999999999996E-2</v>
      </c>
      <c r="L214">
        <f>TRUNC((1-K214)*J214,2)</f>
        <v>6377</v>
      </c>
    </row>
    <row r="215" spans="1:12" ht="12.75" hidden="1">
      <c r="A215" s="1026" t="s">
        <v>15107</v>
      </c>
      <c r="B215" s="1027" t="s">
        <v>15804</v>
      </c>
      <c r="C215" s="1026" t="s">
        <v>6</v>
      </c>
      <c r="D215" s="1028">
        <v>45562</v>
      </c>
      <c r="E215" s="1029">
        <v>8000</v>
      </c>
      <c r="F215" s="1029"/>
      <c r="G215" s="1026" t="s">
        <v>15538</v>
      </c>
      <c r="H215" s="1030" t="s">
        <v>15539</v>
      </c>
    </row>
    <row r="216" spans="1:12" ht="12.75" hidden="1">
      <c r="A216" s="1026" t="s">
        <v>15107</v>
      </c>
      <c r="B216" s="1027" t="s">
        <v>15804</v>
      </c>
      <c r="C216" s="1026" t="s">
        <v>6</v>
      </c>
      <c r="D216" s="1028">
        <v>45568</v>
      </c>
      <c r="E216" s="1029">
        <v>5000</v>
      </c>
      <c r="F216" s="1029"/>
      <c r="G216" s="1026" t="s">
        <v>15801</v>
      </c>
      <c r="H216" s="1030" t="s">
        <v>15802</v>
      </c>
    </row>
    <row r="217" spans="1:12" ht="12.75">
      <c r="A217" s="1020" t="s">
        <v>15110</v>
      </c>
      <c r="B217" s="1021" t="s">
        <v>15805</v>
      </c>
      <c r="C217" s="1020" t="s">
        <v>6</v>
      </c>
      <c r="D217" s="1023">
        <v>45562</v>
      </c>
      <c r="E217" s="1024">
        <v>400</v>
      </c>
      <c r="F217" s="1024">
        <f>L217</f>
        <v>318.85000000000002</v>
      </c>
      <c r="G217" s="1020" t="s">
        <v>15799</v>
      </c>
      <c r="H217" s="1025" t="s">
        <v>15800</v>
      </c>
      <c r="J217" s="1792">
        <v>350</v>
      </c>
      <c r="K217" s="1789">
        <v>8.8999999999999996E-2</v>
      </c>
      <c r="L217">
        <f>TRUNC((1-K217)*J217,2)</f>
        <v>318.85000000000002</v>
      </c>
    </row>
    <row r="218" spans="1:12" ht="12.75" hidden="1">
      <c r="A218" s="1020" t="s">
        <v>15110</v>
      </c>
      <c r="B218" s="1021" t="s">
        <v>15805</v>
      </c>
      <c r="C218" s="1020" t="s">
        <v>6</v>
      </c>
      <c r="D218" s="1023">
        <v>45562</v>
      </c>
      <c r="E218" s="1024">
        <v>350</v>
      </c>
      <c r="F218" s="1024"/>
      <c r="G218" s="1020" t="s">
        <v>15538</v>
      </c>
      <c r="H218" s="1025" t="s">
        <v>15539</v>
      </c>
    </row>
    <row r="219" spans="1:12" ht="12.75" hidden="1">
      <c r="A219" s="1020" t="s">
        <v>15110</v>
      </c>
      <c r="B219" s="1021" t="s">
        <v>15805</v>
      </c>
      <c r="C219" s="1020" t="s">
        <v>6</v>
      </c>
      <c r="D219" s="1023">
        <v>45568</v>
      </c>
      <c r="E219" s="1024">
        <v>320</v>
      </c>
      <c r="F219" s="1024"/>
      <c r="G219" s="1020" t="s">
        <v>15801</v>
      </c>
      <c r="H219" s="1025" t="s">
        <v>15802</v>
      </c>
    </row>
    <row r="220" spans="1:12" ht="12.75">
      <c r="A220" s="1026" t="s">
        <v>15047</v>
      </c>
      <c r="B220" s="1027" t="s">
        <v>15806</v>
      </c>
      <c r="C220" s="1026" t="s">
        <v>6</v>
      </c>
      <c r="D220" s="1028">
        <v>45566</v>
      </c>
      <c r="E220" s="1029">
        <v>726.25</v>
      </c>
      <c r="F220" s="1024">
        <f>L220</f>
        <v>609.78</v>
      </c>
      <c r="G220" s="1026" t="s">
        <v>15513</v>
      </c>
      <c r="H220" s="1030" t="s">
        <v>15573</v>
      </c>
      <c r="J220" s="1792">
        <v>669.36</v>
      </c>
      <c r="K220" s="1789">
        <v>8.8999999999999996E-2</v>
      </c>
      <c r="L220">
        <f>TRUNC((1-K220)*J220,2)</f>
        <v>609.78</v>
      </c>
    </row>
    <row r="221" spans="1:12" ht="12.75" hidden="1">
      <c r="A221" s="1026" t="s">
        <v>15047</v>
      </c>
      <c r="B221" s="1027" t="s">
        <v>15806</v>
      </c>
      <c r="C221" s="1026" t="s">
        <v>6</v>
      </c>
      <c r="D221" s="1028">
        <v>45566</v>
      </c>
      <c r="E221" s="1029">
        <v>669.36</v>
      </c>
      <c r="F221" s="1029"/>
      <c r="G221" s="1026" t="s">
        <v>15693</v>
      </c>
      <c r="H221" s="1030" t="s">
        <v>15694</v>
      </c>
    </row>
    <row r="222" spans="1:12" ht="12.75" hidden="1">
      <c r="A222" s="1026" t="s">
        <v>15047</v>
      </c>
      <c r="B222" s="1027" t="s">
        <v>15806</v>
      </c>
      <c r="C222" s="1026" t="s">
        <v>6</v>
      </c>
      <c r="D222" s="1028">
        <v>45566</v>
      </c>
      <c r="E222" s="1029">
        <v>600.09</v>
      </c>
      <c r="F222" s="1029"/>
      <c r="G222" s="1026" t="s">
        <v>15515</v>
      </c>
      <c r="H222" s="1030" t="s">
        <v>15516</v>
      </c>
    </row>
    <row r="223" spans="1:12" ht="25.5">
      <c r="A223" s="1020" t="s">
        <v>15325</v>
      </c>
      <c r="B223" s="1021" t="s">
        <v>15807</v>
      </c>
      <c r="C223" s="1020" t="s">
        <v>6</v>
      </c>
      <c r="D223" s="1023">
        <v>45567</v>
      </c>
      <c r="E223" s="1024">
        <v>571.79999999999995</v>
      </c>
      <c r="F223" s="1024">
        <f>L223</f>
        <v>520.9</v>
      </c>
      <c r="G223" s="1020" t="s">
        <v>15721</v>
      </c>
      <c r="H223" s="1025" t="s">
        <v>15722</v>
      </c>
      <c r="J223" s="1792">
        <v>571.79999999999995</v>
      </c>
      <c r="K223" s="1789">
        <v>8.8999999999999996E-2</v>
      </c>
      <c r="L223">
        <f>TRUNC((1-K223)*J223,2)</f>
        <v>520.9</v>
      </c>
    </row>
    <row r="224" spans="1:12" ht="25.5" hidden="1">
      <c r="A224" s="1020" t="s">
        <v>15325</v>
      </c>
      <c r="B224" s="1021" t="s">
        <v>15808</v>
      </c>
      <c r="C224" s="1020" t="s">
        <v>6</v>
      </c>
      <c r="D224" s="1023">
        <v>45567</v>
      </c>
      <c r="E224" s="1024">
        <v>464.83000000000004</v>
      </c>
      <c r="F224" s="1024"/>
      <c r="G224" s="1020" t="s">
        <v>15809</v>
      </c>
      <c r="H224" s="1025" t="s">
        <v>15810</v>
      </c>
    </row>
    <row r="225" spans="1:12" ht="25.5" hidden="1">
      <c r="A225" s="1020" t="s">
        <v>15325</v>
      </c>
      <c r="B225" s="1021" t="s">
        <v>15808</v>
      </c>
      <c r="C225" s="1020" t="s">
        <v>6</v>
      </c>
      <c r="D225" s="1023">
        <v>45567</v>
      </c>
      <c r="E225" s="1024">
        <v>660.09999999999991</v>
      </c>
      <c r="F225" s="1024"/>
      <c r="G225" s="1020" t="s">
        <v>15749</v>
      </c>
      <c r="H225" s="1025" t="s">
        <v>15750</v>
      </c>
    </row>
    <row r="226" spans="1:12" ht="12.75">
      <c r="A226" s="1026" t="s">
        <v>14661</v>
      </c>
      <c r="B226" s="1027" t="s">
        <v>15811</v>
      </c>
      <c r="C226" s="1026" t="s">
        <v>50</v>
      </c>
      <c r="D226" s="1028">
        <v>45567</v>
      </c>
      <c r="E226" s="1029">
        <v>39.06</v>
      </c>
      <c r="F226" s="1024">
        <f>L226</f>
        <v>30.56</v>
      </c>
      <c r="G226" s="1026" t="s">
        <v>15812</v>
      </c>
      <c r="H226" s="1030" t="s">
        <v>15813</v>
      </c>
      <c r="J226" s="1792">
        <v>33.549999999999997</v>
      </c>
      <c r="K226" s="1789">
        <v>8.8999999999999996E-2</v>
      </c>
      <c r="L226">
        <f>TRUNC((1-K226)*J226,2)</f>
        <v>30.56</v>
      </c>
    </row>
    <row r="227" spans="1:12" ht="12.75" hidden="1">
      <c r="A227" s="1026" t="s">
        <v>14661</v>
      </c>
      <c r="B227" s="1027" t="s">
        <v>15811</v>
      </c>
      <c r="C227" s="1026" t="s">
        <v>50</v>
      </c>
      <c r="D227" s="1028">
        <v>45567</v>
      </c>
      <c r="E227" s="1029">
        <v>33.549999999999997</v>
      </c>
      <c r="F227" s="1029"/>
      <c r="G227" s="1026" t="s">
        <v>15814</v>
      </c>
      <c r="H227" s="1030" t="s">
        <v>15815</v>
      </c>
    </row>
    <row r="228" spans="1:12" ht="12.75" hidden="1">
      <c r="A228" s="1026" t="s">
        <v>14661</v>
      </c>
      <c r="B228" s="1027" t="s">
        <v>15811</v>
      </c>
      <c r="C228" s="1026" t="s">
        <v>50</v>
      </c>
      <c r="D228" s="1028">
        <v>45567</v>
      </c>
      <c r="E228" s="1029">
        <v>24.47</v>
      </c>
      <c r="F228" s="1029"/>
      <c r="G228" s="1026" t="s">
        <v>15816</v>
      </c>
      <c r="H228" s="1030" t="s">
        <v>15817</v>
      </c>
    </row>
    <row r="229" spans="1:12" ht="12.75">
      <c r="A229" s="1020" t="s">
        <v>15444</v>
      </c>
      <c r="B229" s="1021" t="s">
        <v>15818</v>
      </c>
      <c r="C229" s="1020" t="s">
        <v>6</v>
      </c>
      <c r="D229" s="1023">
        <v>45567</v>
      </c>
      <c r="E229" s="1024">
        <v>3187.3399999999997</v>
      </c>
      <c r="F229" s="1024">
        <f>L229</f>
        <v>2498.5</v>
      </c>
      <c r="G229" s="1020" t="s">
        <v>15819</v>
      </c>
      <c r="H229" s="1025" t="s">
        <v>15820</v>
      </c>
      <c r="J229" s="1792">
        <v>2742.6</v>
      </c>
      <c r="K229" s="1789">
        <v>8.8999999999999996E-2</v>
      </c>
      <c r="L229">
        <f>TRUNC((1-K229)*J229,2)</f>
        <v>2498.5</v>
      </c>
    </row>
    <row r="230" spans="1:12" ht="12.75" hidden="1">
      <c r="A230" s="1020" t="s">
        <v>15444</v>
      </c>
      <c r="B230" s="1021" t="s">
        <v>15818</v>
      </c>
      <c r="C230" s="1020" t="s">
        <v>6</v>
      </c>
      <c r="D230" s="1023">
        <v>45567</v>
      </c>
      <c r="E230" s="1024">
        <v>2581.5300000000002</v>
      </c>
      <c r="F230" s="1024"/>
      <c r="G230" s="1020" t="s">
        <v>15821</v>
      </c>
      <c r="H230" s="1025" t="s">
        <v>15822</v>
      </c>
    </row>
    <row r="231" spans="1:12" ht="12.75" hidden="1">
      <c r="A231" s="1020" t="s">
        <v>15444</v>
      </c>
      <c r="B231" s="1021" t="s">
        <v>15818</v>
      </c>
      <c r="C231" s="1020" t="s">
        <v>6</v>
      </c>
      <c r="D231" s="1023">
        <v>45567</v>
      </c>
      <c r="E231" s="1024">
        <v>2742.6</v>
      </c>
      <c r="F231" s="1024"/>
      <c r="G231" s="1020" t="s">
        <v>15823</v>
      </c>
      <c r="H231" s="1025" t="s">
        <v>15824</v>
      </c>
    </row>
    <row r="232" spans="1:12" ht="12.75">
      <c r="A232" s="1026" t="s">
        <v>15054</v>
      </c>
      <c r="B232" s="1027" t="s">
        <v>15053</v>
      </c>
      <c r="C232" s="1026" t="s">
        <v>6</v>
      </c>
      <c r="D232" s="1028">
        <v>45566</v>
      </c>
      <c r="E232" s="1029">
        <v>614.54</v>
      </c>
      <c r="F232" s="1024">
        <f>L232</f>
        <v>559.84</v>
      </c>
      <c r="G232" s="1026" t="s">
        <v>15825</v>
      </c>
      <c r="H232" s="1030" t="s">
        <v>15826</v>
      </c>
      <c r="J232" s="1792">
        <v>614.54</v>
      </c>
      <c r="K232" s="1789">
        <v>8.8999999999999996E-2</v>
      </c>
      <c r="L232">
        <f>TRUNC((1-K232)*J232,2)</f>
        <v>559.84</v>
      </c>
    </row>
    <row r="233" spans="1:12" ht="12.75" hidden="1">
      <c r="A233" s="1026" t="s">
        <v>15054</v>
      </c>
      <c r="B233" s="1027" t="s">
        <v>15053</v>
      </c>
      <c r="C233" s="1026" t="s">
        <v>6</v>
      </c>
      <c r="D233" s="1028">
        <v>45566</v>
      </c>
      <c r="E233" s="1029">
        <v>628.03</v>
      </c>
      <c r="F233" s="1029"/>
      <c r="G233" s="1026" t="s">
        <v>15728</v>
      </c>
      <c r="H233" s="1030" t="s">
        <v>15729</v>
      </c>
    </row>
    <row r="234" spans="1:12" ht="12.75" hidden="1">
      <c r="A234" s="1026" t="s">
        <v>15054</v>
      </c>
      <c r="B234" s="1027" t="s">
        <v>15053</v>
      </c>
      <c r="C234" s="1026" t="s">
        <v>6</v>
      </c>
      <c r="D234" s="1028">
        <v>45566</v>
      </c>
      <c r="E234" s="1029">
        <v>494.84</v>
      </c>
      <c r="F234" s="1029"/>
      <c r="G234" s="1026" t="s">
        <v>15827</v>
      </c>
      <c r="H234" s="1030" t="s">
        <v>15828</v>
      </c>
    </row>
    <row r="235" spans="1:12" ht="12.75">
      <c r="A235" s="1020" t="s">
        <v>15257</v>
      </c>
      <c r="B235" s="1021" t="s">
        <v>15829</v>
      </c>
      <c r="C235" s="1022" t="s">
        <v>6</v>
      </c>
      <c r="D235" s="1023">
        <v>45560</v>
      </c>
      <c r="E235" s="1024">
        <v>26.14</v>
      </c>
      <c r="F235" s="1024">
        <f>L235</f>
        <v>17</v>
      </c>
      <c r="G235" s="1020" t="s">
        <v>15830</v>
      </c>
      <c r="H235" s="1025" t="s">
        <v>15831</v>
      </c>
      <c r="J235" s="1792">
        <v>18.670000000000002</v>
      </c>
      <c r="K235" s="1789">
        <v>8.8999999999999996E-2</v>
      </c>
      <c r="L235">
        <f>TRUNC((1-K235)*J235,2)</f>
        <v>17</v>
      </c>
    </row>
    <row r="236" spans="1:12" ht="12.75" hidden="1">
      <c r="A236" s="1020" t="s">
        <v>15257</v>
      </c>
      <c r="B236" s="1021" t="s">
        <v>15829</v>
      </c>
      <c r="C236" s="1022" t="s">
        <v>6</v>
      </c>
      <c r="D236" s="1023">
        <v>45560</v>
      </c>
      <c r="E236" s="1024">
        <v>17.489999999999998</v>
      </c>
      <c r="F236" s="1024"/>
      <c r="G236" s="1020" t="s">
        <v>15664</v>
      </c>
      <c r="H236" s="1025" t="s">
        <v>15665</v>
      </c>
    </row>
    <row r="237" spans="1:12" ht="12.75" hidden="1">
      <c r="A237" s="1020" t="s">
        <v>15257</v>
      </c>
      <c r="B237" s="1021" t="s">
        <v>15829</v>
      </c>
      <c r="C237" s="1022" t="s">
        <v>6</v>
      </c>
      <c r="D237" s="1023">
        <v>45560</v>
      </c>
      <c r="E237" s="1024">
        <v>18.670000000000002</v>
      </c>
      <c r="F237" s="1024"/>
      <c r="G237" s="1020" t="s">
        <v>15679</v>
      </c>
      <c r="H237" s="1025" t="s">
        <v>15680</v>
      </c>
    </row>
    <row r="238" spans="1:12" ht="12.75">
      <c r="A238" s="1026" t="s">
        <v>15832</v>
      </c>
      <c r="B238" s="1027" t="s">
        <v>15829</v>
      </c>
      <c r="C238" s="1031" t="s">
        <v>6</v>
      </c>
      <c r="D238" s="1028">
        <v>45560</v>
      </c>
      <c r="E238" s="1029">
        <v>26.14</v>
      </c>
      <c r="F238" s="1024">
        <f>L238</f>
        <v>17</v>
      </c>
      <c r="G238" s="1026" t="s">
        <v>15830</v>
      </c>
      <c r="H238" s="1030" t="s">
        <v>15831</v>
      </c>
      <c r="J238" s="1792">
        <v>18.670000000000002</v>
      </c>
      <c r="K238" s="1789">
        <v>8.8999999999999996E-2</v>
      </c>
      <c r="L238">
        <f>TRUNC((1-K238)*J238,2)</f>
        <v>17</v>
      </c>
    </row>
    <row r="239" spans="1:12" ht="12.75" hidden="1">
      <c r="A239" s="1026" t="s">
        <v>15832</v>
      </c>
      <c r="B239" s="1027" t="s">
        <v>15829</v>
      </c>
      <c r="C239" s="1031" t="s">
        <v>6</v>
      </c>
      <c r="D239" s="1028">
        <v>45560</v>
      </c>
      <c r="E239" s="1029">
        <v>17.489999999999998</v>
      </c>
      <c r="F239" s="1029"/>
      <c r="G239" s="1026" t="s">
        <v>15664</v>
      </c>
      <c r="H239" s="1030" t="s">
        <v>15665</v>
      </c>
    </row>
    <row r="240" spans="1:12" ht="12.75" hidden="1">
      <c r="A240" s="1026" t="s">
        <v>15832</v>
      </c>
      <c r="B240" s="1027" t="s">
        <v>15829</v>
      </c>
      <c r="C240" s="1031" t="s">
        <v>6</v>
      </c>
      <c r="D240" s="1028">
        <v>45560</v>
      </c>
      <c r="E240" s="1029">
        <v>18.670000000000002</v>
      </c>
      <c r="F240" s="1029"/>
      <c r="G240" s="1026" t="s">
        <v>15679</v>
      </c>
      <c r="H240" s="1030" t="s">
        <v>15680</v>
      </c>
    </row>
    <row r="241" spans="1:13" ht="12.75">
      <c r="A241" s="1020" t="s">
        <v>14782</v>
      </c>
      <c r="B241" s="1021" t="s">
        <v>15833</v>
      </c>
      <c r="C241" s="1020" t="s">
        <v>409</v>
      </c>
      <c r="D241" s="1023">
        <v>45541</v>
      </c>
      <c r="E241" s="1024">
        <v>345</v>
      </c>
      <c r="F241" s="1024">
        <f>L241</f>
        <v>364.4</v>
      </c>
      <c r="G241" s="1020" t="s">
        <v>15504</v>
      </c>
      <c r="H241" s="1025" t="s">
        <v>15505</v>
      </c>
      <c r="J241" s="1792">
        <v>400</v>
      </c>
      <c r="K241" s="1789">
        <v>8.8999999999999996E-2</v>
      </c>
      <c r="L241">
        <f>TRUNC((1-K241)*J241,2)</f>
        <v>364.4</v>
      </c>
    </row>
    <row r="242" spans="1:13" ht="12.75" hidden="1">
      <c r="A242" s="1020" t="s">
        <v>14782</v>
      </c>
      <c r="B242" s="1021" t="s">
        <v>15833</v>
      </c>
      <c r="C242" s="1020" t="s">
        <v>409</v>
      </c>
      <c r="D242" s="1023">
        <v>45540</v>
      </c>
      <c r="E242" s="1024">
        <v>428.21</v>
      </c>
      <c r="F242" s="1024"/>
      <c r="G242" s="1020" t="s">
        <v>15506</v>
      </c>
      <c r="H242" s="1025" t="s">
        <v>15507</v>
      </c>
    </row>
    <row r="243" spans="1:13" ht="12.75" hidden="1">
      <c r="A243" s="1020" t="s">
        <v>14782</v>
      </c>
      <c r="B243" s="1021" t="s">
        <v>15833</v>
      </c>
      <c r="C243" s="1020" t="s">
        <v>409</v>
      </c>
      <c r="D243" s="1023">
        <v>45539</v>
      </c>
      <c r="E243" s="1024">
        <v>400</v>
      </c>
      <c r="F243" s="1024"/>
      <c r="G243" s="1020" t="s">
        <v>15508</v>
      </c>
      <c r="H243" s="1025" t="s">
        <v>15509</v>
      </c>
    </row>
    <row r="244" spans="1:13" ht="12.75">
      <c r="A244" s="1026" t="s">
        <v>14492</v>
      </c>
      <c r="B244" s="1027" t="s">
        <v>15834</v>
      </c>
      <c r="C244" s="1026" t="s">
        <v>6</v>
      </c>
      <c r="D244" s="1028">
        <v>45374</v>
      </c>
      <c r="E244" s="1029">
        <v>700</v>
      </c>
      <c r="F244" s="1024">
        <f>L244</f>
        <v>637.25</v>
      </c>
      <c r="G244" s="1026" t="s">
        <v>15835</v>
      </c>
      <c r="H244" s="1030" t="s">
        <v>15836</v>
      </c>
      <c r="J244" s="1792">
        <v>700</v>
      </c>
      <c r="K244" s="1789">
        <v>8.8999999999999996E-2</v>
      </c>
      <c r="L244">
        <v>637.25</v>
      </c>
      <c r="M244" s="1860" t="e">
        <f>'Medição '!#REF!</f>
        <v>#REF!</v>
      </c>
    </row>
    <row r="245" spans="1:13" ht="12.75" hidden="1">
      <c r="A245" s="1026" t="s">
        <v>14492</v>
      </c>
      <c r="B245" s="1027" t="s">
        <v>15834</v>
      </c>
      <c r="C245" s="1026" t="s">
        <v>6</v>
      </c>
      <c r="D245" s="1028">
        <v>45376</v>
      </c>
      <c r="E245" s="1029">
        <v>600</v>
      </c>
      <c r="F245" s="1029"/>
      <c r="G245" s="1026" t="s">
        <v>15837</v>
      </c>
      <c r="H245" s="1030" t="s">
        <v>15838</v>
      </c>
    </row>
    <row r="246" spans="1:13" ht="12.75" hidden="1">
      <c r="A246" s="1026" t="s">
        <v>14492</v>
      </c>
      <c r="B246" s="1027" t="s">
        <v>15834</v>
      </c>
      <c r="C246" s="1026" t="s">
        <v>6</v>
      </c>
      <c r="D246" s="1028">
        <v>45376</v>
      </c>
      <c r="E246" s="1029">
        <v>1000</v>
      </c>
      <c r="F246" s="1029"/>
      <c r="G246" s="1026" t="s">
        <v>15839</v>
      </c>
      <c r="H246" s="1030" t="s">
        <v>15840</v>
      </c>
    </row>
    <row r="247" spans="1:13" ht="25.5">
      <c r="A247" s="1026" t="s">
        <v>14910</v>
      </c>
      <c r="B247" s="1032" t="s">
        <v>15841</v>
      </c>
      <c r="C247" s="1026" t="s">
        <v>6</v>
      </c>
      <c r="D247" s="1028">
        <v>45443</v>
      </c>
      <c r="E247" s="1029">
        <v>42</v>
      </c>
      <c r="F247" s="1024">
        <f>L247</f>
        <v>47.66</v>
      </c>
      <c r="G247" s="1026" t="s">
        <v>15842</v>
      </c>
      <c r="H247" s="1033" t="s">
        <v>15843</v>
      </c>
      <c r="J247" s="1792">
        <v>52.32</v>
      </c>
      <c r="K247" s="1789">
        <v>8.8999999999999996E-2</v>
      </c>
      <c r="L247">
        <f>TRUNC((1-K247)*J247,2)</f>
        <v>47.66</v>
      </c>
    </row>
    <row r="248" spans="1:13" ht="25.5" hidden="1">
      <c r="A248" s="1026" t="s">
        <v>14910</v>
      </c>
      <c r="B248" s="1032" t="s">
        <v>15841</v>
      </c>
      <c r="C248" s="1026" t="s">
        <v>6</v>
      </c>
      <c r="D248" s="1028">
        <v>45443</v>
      </c>
      <c r="E248" s="1029">
        <v>52.32</v>
      </c>
      <c r="F248" s="1029"/>
      <c r="G248" s="1026" t="s">
        <v>15844</v>
      </c>
      <c r="H248" s="1033" t="s">
        <v>15845</v>
      </c>
    </row>
    <row r="249" spans="1:13" ht="25.5" hidden="1">
      <c r="A249" s="1026" t="s">
        <v>14910</v>
      </c>
      <c r="B249" s="1032" t="s">
        <v>15841</v>
      </c>
      <c r="C249" s="1026" t="s">
        <v>6</v>
      </c>
      <c r="D249" s="1028">
        <v>45443</v>
      </c>
      <c r="E249" s="1029">
        <v>65</v>
      </c>
      <c r="F249" s="1029"/>
      <c r="G249" s="1026" t="s">
        <v>15846</v>
      </c>
      <c r="H249" s="1033" t="s">
        <v>15847</v>
      </c>
    </row>
    <row r="250" spans="1:13" ht="12.75">
      <c r="A250" s="1020" t="s">
        <v>15285</v>
      </c>
      <c r="B250" s="1034" t="s">
        <v>15848</v>
      </c>
      <c r="C250" s="1022" t="s">
        <v>6</v>
      </c>
      <c r="D250" s="1023">
        <v>45520</v>
      </c>
      <c r="E250" s="1024">
        <v>63.56</v>
      </c>
      <c r="F250" s="1024">
        <f>L250</f>
        <v>57.9</v>
      </c>
      <c r="G250" s="1020" t="s">
        <v>15849</v>
      </c>
      <c r="H250" s="1035" t="s">
        <v>15850</v>
      </c>
      <c r="J250" s="1792">
        <v>63.56</v>
      </c>
      <c r="K250" s="1789">
        <v>8.8999999999999996E-2</v>
      </c>
      <c r="L250">
        <f>TRUNC((1-K250)*J250,2)</f>
        <v>57.9</v>
      </c>
    </row>
    <row r="251" spans="1:13" ht="12.75" hidden="1">
      <c r="A251" s="1020" t="s">
        <v>15285</v>
      </c>
      <c r="B251" s="1034" t="s">
        <v>15848</v>
      </c>
      <c r="C251" s="1022" t="s">
        <v>6</v>
      </c>
      <c r="D251" s="1023">
        <v>45520</v>
      </c>
      <c r="E251" s="1024">
        <v>139.75</v>
      </c>
      <c r="F251" s="1024"/>
      <c r="G251" s="1020" t="s">
        <v>15851</v>
      </c>
      <c r="H251" s="1035" t="s">
        <v>15852</v>
      </c>
    </row>
    <row r="252" spans="1:13" ht="12.75" hidden="1">
      <c r="A252" s="1020" t="s">
        <v>15285</v>
      </c>
      <c r="B252" s="1034" t="s">
        <v>15848</v>
      </c>
      <c r="C252" s="1022" t="s">
        <v>6</v>
      </c>
      <c r="D252" s="1023">
        <v>45520</v>
      </c>
      <c r="E252" s="1024">
        <v>61.44</v>
      </c>
      <c r="F252" s="1024"/>
      <c r="G252" s="1020" t="s">
        <v>15853</v>
      </c>
      <c r="H252" s="1035" t="s">
        <v>15854</v>
      </c>
    </row>
    <row r="253" spans="1:13" ht="12.75">
      <c r="A253" s="1026" t="s">
        <v>15284</v>
      </c>
      <c r="B253" s="1032" t="s">
        <v>15855</v>
      </c>
      <c r="C253" s="1031" t="s">
        <v>6</v>
      </c>
      <c r="D253" s="1028">
        <v>45520</v>
      </c>
      <c r="E253" s="1029">
        <v>21.672999999999998</v>
      </c>
      <c r="F253" s="1024">
        <f>L253</f>
        <v>23.34</v>
      </c>
      <c r="G253" s="1026" t="s">
        <v>15849</v>
      </c>
      <c r="H253" s="1033" t="s">
        <v>15850</v>
      </c>
      <c r="J253" s="1792">
        <v>25.623000000000001</v>
      </c>
      <c r="K253" s="1789">
        <v>8.8999999999999996E-2</v>
      </c>
      <c r="L253">
        <f>TRUNC((1-K253)*J253,2)</f>
        <v>23.34</v>
      </c>
    </row>
    <row r="254" spans="1:13" ht="12.75" hidden="1">
      <c r="A254" s="1026" t="s">
        <v>15284</v>
      </c>
      <c r="B254" s="1032" t="s">
        <v>15855</v>
      </c>
      <c r="C254" s="1031" t="s">
        <v>6</v>
      </c>
      <c r="D254" s="1028">
        <v>45520</v>
      </c>
      <c r="E254" s="1029">
        <v>26.766999999999999</v>
      </c>
      <c r="F254" s="1029"/>
      <c r="G254" s="1026" t="s">
        <v>15856</v>
      </c>
      <c r="H254" s="1033" t="s">
        <v>15857</v>
      </c>
    </row>
    <row r="255" spans="1:13" ht="12.75" hidden="1">
      <c r="A255" s="1026" t="s">
        <v>15284</v>
      </c>
      <c r="B255" s="1032" t="s">
        <v>15855</v>
      </c>
      <c r="C255" s="1031" t="s">
        <v>6</v>
      </c>
      <c r="D255" s="1028">
        <v>45520</v>
      </c>
      <c r="E255" s="1029">
        <v>25.623000000000001</v>
      </c>
      <c r="F255" s="1029"/>
      <c r="G255" s="1026" t="s">
        <v>15858</v>
      </c>
      <c r="H255" s="1033" t="s">
        <v>15859</v>
      </c>
    </row>
    <row r="256" spans="1:13" ht="12.75">
      <c r="A256" s="1020" t="s">
        <v>14618</v>
      </c>
      <c r="B256" s="1034" t="s">
        <v>15860</v>
      </c>
      <c r="C256" s="1022" t="s">
        <v>6</v>
      </c>
      <c r="D256" s="1023">
        <v>45441</v>
      </c>
      <c r="E256" s="1024">
        <v>3.35</v>
      </c>
      <c r="F256" s="1024">
        <f>L256</f>
        <v>2.76</v>
      </c>
      <c r="G256" s="1020" t="s">
        <v>15861</v>
      </c>
      <c r="H256" s="1035" t="s">
        <v>15862</v>
      </c>
      <c r="J256" s="1792">
        <v>3.03</v>
      </c>
      <c r="K256" s="1789">
        <v>8.8999999999999996E-2</v>
      </c>
      <c r="L256">
        <f>TRUNC((1-K256)*J256,2)</f>
        <v>2.76</v>
      </c>
    </row>
    <row r="257" spans="1:12" ht="12.75" hidden="1">
      <c r="A257" s="1020" t="s">
        <v>14618</v>
      </c>
      <c r="B257" s="1034" t="s">
        <v>15860</v>
      </c>
      <c r="C257" s="1022" t="s">
        <v>6</v>
      </c>
      <c r="D257" s="1023">
        <v>45441</v>
      </c>
      <c r="E257" s="1024">
        <v>3.03</v>
      </c>
      <c r="F257" s="1024"/>
      <c r="G257" s="1020" t="s">
        <v>15863</v>
      </c>
      <c r="H257" s="1035" t="s">
        <v>15864</v>
      </c>
    </row>
    <row r="258" spans="1:12" ht="12.75" hidden="1">
      <c r="A258" s="1020" t="s">
        <v>14618</v>
      </c>
      <c r="B258" s="1034" t="s">
        <v>15860</v>
      </c>
      <c r="C258" s="1022" t="s">
        <v>6</v>
      </c>
      <c r="D258" s="1023">
        <v>45441</v>
      </c>
      <c r="E258" s="1024">
        <v>2.93</v>
      </c>
      <c r="F258" s="1024"/>
      <c r="G258" s="1020" t="s">
        <v>15865</v>
      </c>
      <c r="H258" s="1035" t="s">
        <v>15866</v>
      </c>
    </row>
    <row r="259" spans="1:12" ht="25.5">
      <c r="A259" s="1026" t="s">
        <v>15008</v>
      </c>
      <c r="B259" s="1032" t="s">
        <v>15867</v>
      </c>
      <c r="C259" s="1026" t="s">
        <v>6</v>
      </c>
      <c r="D259" s="1028">
        <v>45469</v>
      </c>
      <c r="E259" s="1029">
        <v>242.15</v>
      </c>
      <c r="F259" s="1024">
        <f>L259</f>
        <v>220.59</v>
      </c>
      <c r="G259" s="1026" t="s">
        <v>15693</v>
      </c>
      <c r="H259" s="1033" t="s">
        <v>15694</v>
      </c>
      <c r="J259" s="1792">
        <v>242.15</v>
      </c>
      <c r="K259" s="1789">
        <v>8.8999999999999996E-2</v>
      </c>
      <c r="L259">
        <f>TRUNC((1-K259)*J259,2)</f>
        <v>220.59</v>
      </c>
    </row>
    <row r="260" spans="1:12" ht="25.5" hidden="1">
      <c r="A260" s="1026" t="s">
        <v>15008</v>
      </c>
      <c r="B260" s="1032" t="s">
        <v>15867</v>
      </c>
      <c r="C260" s="1026" t="s">
        <v>6</v>
      </c>
      <c r="D260" s="1028">
        <v>45469</v>
      </c>
      <c r="E260" s="1029">
        <v>253.08</v>
      </c>
      <c r="F260" s="1029"/>
      <c r="G260" s="1026" t="s">
        <v>15868</v>
      </c>
      <c r="H260" s="1033" t="s">
        <v>15869</v>
      </c>
    </row>
    <row r="261" spans="1:12" ht="25.5" hidden="1">
      <c r="A261" s="1026" t="s">
        <v>15008</v>
      </c>
      <c r="B261" s="1032" t="s">
        <v>15867</v>
      </c>
      <c r="C261" s="1026" t="s">
        <v>6</v>
      </c>
      <c r="D261" s="1028">
        <v>45469</v>
      </c>
      <c r="E261" s="1029">
        <v>239.87</v>
      </c>
      <c r="F261" s="1029"/>
      <c r="G261" s="1026" t="s">
        <v>15569</v>
      </c>
      <c r="H261" s="1033" t="s">
        <v>15570</v>
      </c>
    </row>
    <row r="262" spans="1:12" ht="12.75">
      <c r="A262" s="1020" t="s">
        <v>15019</v>
      </c>
      <c r="B262" s="1034" t="s">
        <v>15870</v>
      </c>
      <c r="C262" s="1020" t="s">
        <v>409</v>
      </c>
      <c r="D262" s="1023">
        <v>45566</v>
      </c>
      <c r="E262" s="1024">
        <v>608.89</v>
      </c>
      <c r="F262" s="1024">
        <f>L262</f>
        <v>554.69000000000005</v>
      </c>
      <c r="G262" s="1020" t="s">
        <v>15871</v>
      </c>
      <c r="H262" s="1035" t="s">
        <v>15872</v>
      </c>
      <c r="J262" s="1792">
        <v>608.89</v>
      </c>
      <c r="K262" s="1789">
        <v>8.8999999999999996E-2</v>
      </c>
      <c r="L262">
        <f>TRUNC((1-K262)*J262,2)</f>
        <v>554.69000000000005</v>
      </c>
    </row>
    <row r="263" spans="1:12" ht="12.75" hidden="1">
      <c r="A263" s="1020" t="s">
        <v>15019</v>
      </c>
      <c r="B263" s="1034" t="s">
        <v>15870</v>
      </c>
      <c r="C263" s="1020" t="s">
        <v>409</v>
      </c>
      <c r="D263" s="1023">
        <v>45566</v>
      </c>
      <c r="E263" s="1024">
        <v>650</v>
      </c>
      <c r="F263" s="1024"/>
      <c r="G263" s="1020" t="s">
        <v>15873</v>
      </c>
      <c r="H263" s="1035" t="s">
        <v>15874</v>
      </c>
    </row>
    <row r="264" spans="1:12" ht="12.75" hidden="1">
      <c r="A264" s="1020" t="s">
        <v>15019</v>
      </c>
      <c r="B264" s="1034" t="s">
        <v>15870</v>
      </c>
      <c r="C264" s="1020" t="s">
        <v>409</v>
      </c>
      <c r="D264" s="1023">
        <v>45566</v>
      </c>
      <c r="E264" s="1024">
        <v>433.31</v>
      </c>
      <c r="F264" s="1024"/>
      <c r="G264" s="1020" t="s">
        <v>15875</v>
      </c>
      <c r="H264" s="1035" t="s">
        <v>15876</v>
      </c>
    </row>
    <row r="265" spans="1:12" ht="12.75">
      <c r="A265" s="1026" t="s">
        <v>15877</v>
      </c>
      <c r="B265" s="1032" t="s">
        <v>15878</v>
      </c>
      <c r="C265" s="1026" t="s">
        <v>6</v>
      </c>
      <c r="D265" s="1028">
        <v>45566</v>
      </c>
      <c r="E265" s="1029">
        <v>1924.69</v>
      </c>
      <c r="F265" s="1024">
        <f>L265</f>
        <v>1986.55</v>
      </c>
      <c r="G265" s="1026" t="s">
        <v>15879</v>
      </c>
      <c r="H265" s="1033" t="s">
        <v>15880</v>
      </c>
      <c r="J265" s="1792">
        <v>2180.63</v>
      </c>
      <c r="K265" s="1789">
        <v>8.8999999999999996E-2</v>
      </c>
      <c r="L265">
        <f>TRUNC((1-K265)*J265,2)</f>
        <v>1986.55</v>
      </c>
    </row>
    <row r="266" spans="1:12" ht="12.75" hidden="1">
      <c r="A266" s="1026" t="s">
        <v>15877</v>
      </c>
      <c r="B266" s="1032" t="s">
        <v>15878</v>
      </c>
      <c r="C266" s="1026" t="s">
        <v>6</v>
      </c>
      <c r="D266" s="1028">
        <v>45566</v>
      </c>
      <c r="E266" s="1029">
        <v>3241.13</v>
      </c>
      <c r="F266" s="1029"/>
      <c r="G266" s="1026" t="s">
        <v>15881</v>
      </c>
      <c r="H266" s="1033" t="s">
        <v>15882</v>
      </c>
    </row>
    <row r="267" spans="1:12" ht="12.75" hidden="1">
      <c r="A267" s="1026" t="s">
        <v>15877</v>
      </c>
      <c r="B267" s="1032" t="s">
        <v>15878</v>
      </c>
      <c r="C267" s="1026" t="s">
        <v>6</v>
      </c>
      <c r="D267" s="1028">
        <v>45566</v>
      </c>
      <c r="E267" s="1029">
        <v>2180.63</v>
      </c>
      <c r="F267" s="1029"/>
      <c r="G267" s="1026" t="s">
        <v>15883</v>
      </c>
      <c r="H267" s="1033" t="s">
        <v>15884</v>
      </c>
    </row>
    <row r="268" spans="1:12" ht="12.75">
      <c r="A268" s="1020" t="s">
        <v>15885</v>
      </c>
      <c r="B268" s="1034" t="s">
        <v>15886</v>
      </c>
      <c r="C268" s="1020" t="s">
        <v>6</v>
      </c>
      <c r="D268" s="1023">
        <v>45566</v>
      </c>
      <c r="E268" s="1024">
        <v>1546.87</v>
      </c>
      <c r="F268" s="1024">
        <f>L268</f>
        <v>983.78</v>
      </c>
      <c r="G268" s="1020" t="s">
        <v>15887</v>
      </c>
      <c r="H268" s="1035" t="s">
        <v>15888</v>
      </c>
      <c r="J268" s="1792">
        <v>1079.9000000000001</v>
      </c>
      <c r="K268" s="1789">
        <v>8.8999999999999996E-2</v>
      </c>
      <c r="L268">
        <f>TRUNC((1-K268)*J268,2)</f>
        <v>983.78</v>
      </c>
    </row>
    <row r="269" spans="1:12" ht="12.75" hidden="1">
      <c r="A269" s="1020" t="s">
        <v>15885</v>
      </c>
      <c r="B269" s="1034" t="s">
        <v>15886</v>
      </c>
      <c r="C269" s="1020" t="s">
        <v>6</v>
      </c>
      <c r="D269" s="1023">
        <v>45566</v>
      </c>
      <c r="E269" s="1024">
        <v>1079.9000000000001</v>
      </c>
      <c r="F269" s="1024"/>
      <c r="G269" s="1020" t="s">
        <v>15889</v>
      </c>
      <c r="H269" s="1035" t="s">
        <v>15890</v>
      </c>
    </row>
    <row r="270" spans="1:12" ht="12.75" hidden="1">
      <c r="A270" s="1020" t="s">
        <v>15885</v>
      </c>
      <c r="B270" s="1034" t="s">
        <v>15886</v>
      </c>
      <c r="C270" s="1020" t="s">
        <v>6</v>
      </c>
      <c r="D270" s="1023">
        <v>45566</v>
      </c>
      <c r="E270" s="1024">
        <v>993.33</v>
      </c>
      <c r="F270" s="1024"/>
      <c r="G270" s="1020" t="s">
        <v>15883</v>
      </c>
      <c r="H270" s="1035" t="s">
        <v>15884</v>
      </c>
    </row>
    <row r="271" spans="1:12" ht="12.75">
      <c r="A271" s="1026" t="s">
        <v>14743</v>
      </c>
      <c r="B271" s="1032" t="s">
        <v>15891</v>
      </c>
      <c r="C271" s="1026" t="s">
        <v>409</v>
      </c>
      <c r="D271" s="1028">
        <v>45496</v>
      </c>
      <c r="E271" s="1029">
        <v>270</v>
      </c>
      <c r="F271" s="1024">
        <f>L271</f>
        <v>318.85000000000002</v>
      </c>
      <c r="G271" s="1026" t="s">
        <v>15892</v>
      </c>
      <c r="H271" s="1033" t="s">
        <v>15893</v>
      </c>
      <c r="J271" s="1792">
        <v>350</v>
      </c>
      <c r="K271" s="1789">
        <v>8.8999999999999996E-2</v>
      </c>
      <c r="L271">
        <f>TRUNC((1-K271)*J271,2)</f>
        <v>318.85000000000002</v>
      </c>
    </row>
    <row r="272" spans="1:12" ht="12.75" hidden="1">
      <c r="A272" s="1026" t="s">
        <v>14743</v>
      </c>
      <c r="B272" s="1032" t="s">
        <v>15891</v>
      </c>
      <c r="C272" s="1026" t="s">
        <v>409</v>
      </c>
      <c r="D272" s="1028">
        <v>45565</v>
      </c>
      <c r="E272" s="1029">
        <v>350</v>
      </c>
      <c r="F272" s="1029"/>
      <c r="G272" s="1026" t="s">
        <v>15894</v>
      </c>
      <c r="H272" s="1033" t="s">
        <v>15895</v>
      </c>
    </row>
    <row r="273" spans="1:12" ht="12.75" hidden="1">
      <c r="A273" s="1026" t="s">
        <v>14743</v>
      </c>
      <c r="B273" s="1032" t="s">
        <v>15891</v>
      </c>
      <c r="C273" s="1026" t="s">
        <v>409</v>
      </c>
      <c r="D273" s="1028">
        <v>45565</v>
      </c>
      <c r="E273" s="1029">
        <v>390</v>
      </c>
      <c r="F273" s="1029"/>
      <c r="G273" s="1026" t="s">
        <v>15896</v>
      </c>
      <c r="H273" s="1033" t="s">
        <v>15897</v>
      </c>
    </row>
    <row r="274" spans="1:12" ht="12.75">
      <c r="A274" s="1020" t="s">
        <v>15423</v>
      </c>
      <c r="B274" s="1034" t="s">
        <v>15898</v>
      </c>
      <c r="C274" s="1020" t="s">
        <v>6</v>
      </c>
      <c r="D274" s="1023">
        <v>45566</v>
      </c>
      <c r="E274" s="1024">
        <v>2850</v>
      </c>
      <c r="F274" s="1024">
        <f>L274</f>
        <v>2596.35</v>
      </c>
      <c r="G274" s="1020" t="s">
        <v>15899</v>
      </c>
      <c r="H274" s="1035" t="s">
        <v>15900</v>
      </c>
      <c r="J274" s="1792">
        <v>2850</v>
      </c>
      <c r="K274" s="1789">
        <v>8.8999999999999996E-2</v>
      </c>
      <c r="L274">
        <f>TRUNC((1-K274)*J274,2)</f>
        <v>2596.35</v>
      </c>
    </row>
    <row r="275" spans="1:12" ht="12.75" hidden="1">
      <c r="A275" s="1020" t="s">
        <v>15423</v>
      </c>
      <c r="B275" s="1034" t="s">
        <v>15898</v>
      </c>
      <c r="C275" s="1020" t="s">
        <v>6</v>
      </c>
      <c r="D275" s="1023">
        <v>45566</v>
      </c>
      <c r="E275" s="1024">
        <v>2380</v>
      </c>
      <c r="F275" s="1024"/>
      <c r="G275" s="1020" t="s">
        <v>15901</v>
      </c>
      <c r="H275" s="1035" t="s">
        <v>15902</v>
      </c>
    </row>
    <row r="276" spans="1:12" ht="12.75" hidden="1">
      <c r="A276" s="1020" t="s">
        <v>15423</v>
      </c>
      <c r="B276" s="1034" t="s">
        <v>15898</v>
      </c>
      <c r="C276" s="1020" t="s">
        <v>6</v>
      </c>
      <c r="D276" s="1023">
        <v>45566</v>
      </c>
      <c r="E276" s="1024">
        <v>3450</v>
      </c>
      <c r="F276" s="1024"/>
      <c r="G276" s="1020" t="s">
        <v>15903</v>
      </c>
      <c r="H276" s="1035" t="s">
        <v>15904</v>
      </c>
    </row>
    <row r="277" spans="1:12" ht="12.75">
      <c r="A277" s="1026" t="s">
        <v>15334</v>
      </c>
      <c r="B277" s="1032" t="s">
        <v>15905</v>
      </c>
      <c r="C277" s="1026" t="s">
        <v>6</v>
      </c>
      <c r="D277" s="1028">
        <v>45568</v>
      </c>
      <c r="E277" s="1029">
        <v>572.91</v>
      </c>
      <c r="F277" s="1024">
        <f>L277</f>
        <v>586.45000000000005</v>
      </c>
      <c r="G277" s="1026" t="s">
        <v>15906</v>
      </c>
      <c r="H277" s="1033" t="s">
        <v>15907</v>
      </c>
      <c r="J277" s="1792">
        <v>643.75</v>
      </c>
      <c r="K277" s="1789">
        <v>8.8999999999999996E-2</v>
      </c>
      <c r="L277">
        <f>TRUNC((1-K277)*J277,2)</f>
        <v>586.45000000000005</v>
      </c>
    </row>
    <row r="278" spans="1:12" ht="12.75" hidden="1">
      <c r="A278" s="1026" t="s">
        <v>15334</v>
      </c>
      <c r="B278" s="1032" t="s">
        <v>15905</v>
      </c>
      <c r="C278" s="1026" t="s">
        <v>6</v>
      </c>
      <c r="D278" s="1028">
        <v>45568</v>
      </c>
      <c r="E278" s="1029">
        <v>643.75</v>
      </c>
      <c r="F278" s="1029"/>
      <c r="G278" s="1026" t="s">
        <v>15908</v>
      </c>
      <c r="H278" s="1033" t="s">
        <v>15909</v>
      </c>
    </row>
    <row r="279" spans="1:12" ht="12.75" hidden="1">
      <c r="A279" s="1026" t="s">
        <v>15334</v>
      </c>
      <c r="B279" s="1032" t="s">
        <v>15905</v>
      </c>
      <c r="C279" s="1026" t="s">
        <v>6</v>
      </c>
      <c r="D279" s="1028">
        <v>45568</v>
      </c>
      <c r="E279" s="1029">
        <v>751.44</v>
      </c>
      <c r="F279" s="1029"/>
      <c r="G279" s="1026" t="s">
        <v>15721</v>
      </c>
      <c r="H279" s="1033" t="s">
        <v>15722</v>
      </c>
    </row>
    <row r="280" spans="1:12" ht="12.75">
      <c r="A280" s="1020" t="s">
        <v>15459</v>
      </c>
      <c r="B280" s="1034" t="s">
        <v>15910</v>
      </c>
      <c r="C280" s="1020" t="s">
        <v>6</v>
      </c>
      <c r="D280" s="1023">
        <v>45568</v>
      </c>
      <c r="E280" s="1024">
        <v>230</v>
      </c>
      <c r="F280" s="1024">
        <f>L280</f>
        <v>273.3</v>
      </c>
      <c r="G280" s="1020" t="s">
        <v>15903</v>
      </c>
      <c r="H280" s="1035" t="s">
        <v>15904</v>
      </c>
      <c r="J280" s="1792">
        <v>300</v>
      </c>
      <c r="K280" s="1789">
        <v>8.8999999999999996E-2</v>
      </c>
      <c r="L280">
        <f>TRUNC((1-K280)*J280,2)</f>
        <v>273.3</v>
      </c>
    </row>
    <row r="281" spans="1:12" ht="12.75" hidden="1">
      <c r="A281" s="1020" t="s">
        <v>15459</v>
      </c>
      <c r="B281" s="1034" t="s">
        <v>15910</v>
      </c>
      <c r="C281" s="1020" t="s">
        <v>6</v>
      </c>
      <c r="D281" s="1023">
        <v>45568</v>
      </c>
      <c r="E281" s="1024">
        <v>300</v>
      </c>
      <c r="F281" s="1024"/>
      <c r="G281" s="1020" t="s">
        <v>15901</v>
      </c>
      <c r="H281" s="1035" t="s">
        <v>15902</v>
      </c>
    </row>
    <row r="282" spans="1:12" ht="12.75" hidden="1">
      <c r="A282" s="1020" t="s">
        <v>15459</v>
      </c>
      <c r="B282" s="1034" t="s">
        <v>15910</v>
      </c>
      <c r="C282" s="1020" t="s">
        <v>6</v>
      </c>
      <c r="D282" s="1023">
        <v>45568</v>
      </c>
      <c r="E282" s="1024">
        <v>400</v>
      </c>
      <c r="F282" s="1024"/>
      <c r="G282" s="1020" t="s">
        <v>15899</v>
      </c>
      <c r="H282" s="1035" t="s">
        <v>15900</v>
      </c>
    </row>
    <row r="283" spans="1:12" ht="12.75">
      <c r="A283" s="1026" t="s">
        <v>15453</v>
      </c>
      <c r="B283" s="1032" t="s">
        <v>15911</v>
      </c>
      <c r="C283" s="1026" t="s">
        <v>6</v>
      </c>
      <c r="D283" s="1028">
        <v>45568</v>
      </c>
      <c r="E283" s="1029">
        <v>2550</v>
      </c>
      <c r="F283" s="1024">
        <f>L283</f>
        <v>2350.38</v>
      </c>
      <c r="G283" s="1026" t="s">
        <v>15903</v>
      </c>
      <c r="H283" s="1033" t="s">
        <v>15904</v>
      </c>
      <c r="J283" s="1792">
        <v>2580</v>
      </c>
      <c r="K283" s="1789">
        <v>8.8999999999999996E-2</v>
      </c>
      <c r="L283">
        <f>TRUNC((1-K283)*J283,2)</f>
        <v>2350.38</v>
      </c>
    </row>
    <row r="284" spans="1:12" ht="12.75" hidden="1">
      <c r="A284" s="1026" t="s">
        <v>15453</v>
      </c>
      <c r="B284" s="1032" t="s">
        <v>15911</v>
      </c>
      <c r="C284" s="1026" t="s">
        <v>6</v>
      </c>
      <c r="D284" s="1028">
        <v>45568</v>
      </c>
      <c r="E284" s="1029">
        <v>2580</v>
      </c>
      <c r="F284" s="1029"/>
      <c r="G284" s="1026" t="s">
        <v>15901</v>
      </c>
      <c r="H284" s="1033" t="s">
        <v>15902</v>
      </c>
    </row>
    <row r="285" spans="1:12" ht="12.75" hidden="1">
      <c r="A285" s="1026" t="s">
        <v>15453</v>
      </c>
      <c r="B285" s="1032" t="s">
        <v>15911</v>
      </c>
      <c r="C285" s="1026" t="s">
        <v>6</v>
      </c>
      <c r="D285" s="1028">
        <v>45568</v>
      </c>
      <c r="E285" s="1029">
        <v>3000</v>
      </c>
      <c r="F285" s="1029"/>
      <c r="G285" s="1026" t="s">
        <v>15899</v>
      </c>
      <c r="H285" s="1033" t="s">
        <v>15900</v>
      </c>
    </row>
    <row r="286" spans="1:12" ht="12.75">
      <c r="A286" s="1020" t="s">
        <v>15456</v>
      </c>
      <c r="B286" s="1034" t="s">
        <v>15912</v>
      </c>
      <c r="C286" s="1020" t="s">
        <v>6</v>
      </c>
      <c r="D286" s="1023">
        <v>45568</v>
      </c>
      <c r="E286" s="1024">
        <v>2990</v>
      </c>
      <c r="F286" s="1024">
        <f>L286</f>
        <v>2723.89</v>
      </c>
      <c r="G286" s="1020" t="s">
        <v>15903</v>
      </c>
      <c r="H286" s="1035" t="s">
        <v>15904</v>
      </c>
      <c r="J286" s="1792">
        <v>2990</v>
      </c>
      <c r="K286" s="1789">
        <v>8.8999999999999996E-2</v>
      </c>
      <c r="L286">
        <f>TRUNC((1-K286)*J286,2)</f>
        <v>2723.89</v>
      </c>
    </row>
    <row r="287" spans="1:12" ht="12.75" hidden="1">
      <c r="A287" s="1020" t="s">
        <v>15456</v>
      </c>
      <c r="B287" s="1034" t="s">
        <v>15912</v>
      </c>
      <c r="C287" s="1020" t="s">
        <v>6</v>
      </c>
      <c r="D287" s="1023">
        <v>45568</v>
      </c>
      <c r="E287" s="1024">
        <v>2780</v>
      </c>
      <c r="F287" s="1024"/>
      <c r="G287" s="1020" t="s">
        <v>15901</v>
      </c>
      <c r="H287" s="1035" t="s">
        <v>15902</v>
      </c>
    </row>
    <row r="288" spans="1:12" ht="12.75" hidden="1">
      <c r="A288" s="1020" t="s">
        <v>15456</v>
      </c>
      <c r="B288" s="1034" t="s">
        <v>15912</v>
      </c>
      <c r="C288" s="1020" t="s">
        <v>6</v>
      </c>
      <c r="D288" s="1023">
        <v>45568</v>
      </c>
      <c r="E288" s="1024">
        <v>3550</v>
      </c>
      <c r="F288" s="1024"/>
      <c r="G288" s="1020" t="s">
        <v>15899</v>
      </c>
      <c r="H288" s="1035" t="s">
        <v>15900</v>
      </c>
    </row>
    <row r="289" spans="1:12" ht="12.75">
      <c r="A289" s="1026" t="s">
        <v>14980</v>
      </c>
      <c r="B289" s="1032" t="s">
        <v>15913</v>
      </c>
      <c r="C289" s="1026" t="s">
        <v>409</v>
      </c>
      <c r="D289" s="1028">
        <v>45573</v>
      </c>
      <c r="E289" s="1029">
        <v>540</v>
      </c>
      <c r="F289" s="1024">
        <f>L289</f>
        <v>491.94</v>
      </c>
      <c r="G289" s="1026" t="s">
        <v>15914</v>
      </c>
      <c r="H289" s="1033" t="s">
        <v>15915</v>
      </c>
      <c r="J289" s="1792">
        <v>540</v>
      </c>
      <c r="K289" s="1789">
        <v>8.8999999999999996E-2</v>
      </c>
      <c r="L289">
        <f>TRUNC((1-K289)*J289,2)</f>
        <v>491.94</v>
      </c>
    </row>
    <row r="290" spans="1:12" ht="12.75" hidden="1">
      <c r="A290" s="1026" t="s">
        <v>14980</v>
      </c>
      <c r="B290" s="1032" t="s">
        <v>15913</v>
      </c>
      <c r="C290" s="1026" t="s">
        <v>409</v>
      </c>
      <c r="D290" s="1028">
        <v>45573</v>
      </c>
      <c r="E290" s="1029">
        <v>550</v>
      </c>
      <c r="F290" s="1029"/>
      <c r="G290" s="1026" t="s">
        <v>15916</v>
      </c>
      <c r="H290" s="1033" t="s">
        <v>15917</v>
      </c>
    </row>
    <row r="291" spans="1:12" ht="12.75" hidden="1">
      <c r="A291" s="1026" t="s">
        <v>14980</v>
      </c>
      <c r="B291" s="1032" t="s">
        <v>15913</v>
      </c>
      <c r="C291" s="1026" t="s">
        <v>409</v>
      </c>
      <c r="D291" s="1028">
        <v>45573</v>
      </c>
      <c r="E291" s="1029">
        <v>530</v>
      </c>
      <c r="F291" s="1029"/>
      <c r="G291" s="1026" t="s">
        <v>15918</v>
      </c>
      <c r="H291" s="1033" t="s">
        <v>15919</v>
      </c>
    </row>
  </sheetData>
  <autoFilter ref="A9:H291" xr:uid="{00000000-0009-0000-0000-000009000000}">
    <filterColumn colId="5">
      <customFilters>
        <customFilter operator="notEqual" val=" "/>
      </customFilters>
    </filterColumn>
    <sortState xmlns:xlrd2="http://schemas.microsoft.com/office/spreadsheetml/2017/richdata2" ref="A9:H243">
      <sortCondition ref="A9:A243"/>
    </sortState>
  </autoFilter>
  <mergeCells count="8">
    <mergeCell ref="A6:H6"/>
    <mergeCell ref="A7:H7"/>
    <mergeCell ref="A8:H8"/>
    <mergeCell ref="A1:H1"/>
    <mergeCell ref="B2:H2"/>
    <mergeCell ref="B3:H3"/>
    <mergeCell ref="B4:H4"/>
    <mergeCell ref="B5:H5"/>
  </mergeCells>
  <hyperlinks>
    <hyperlink ref="A7" r:id="rId1" xr:uid="{00000000-0004-0000-0900-000000000000}"/>
  </hyperlinks>
  <printOptions horizontalCentered="1"/>
  <pageMargins left="0.19685039370078738" right="0.19685039370078738" top="0.19685039370078738" bottom="0.19685039370078738" header="0" footer="0"/>
  <pageSetup paperSize="9"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pageSetUpPr fitToPage="1"/>
  </sheetPr>
  <dimension ref="A1:Z1604"/>
  <sheetViews>
    <sheetView workbookViewId="0">
      <selection sqref="A1:J1"/>
    </sheetView>
  </sheetViews>
  <sheetFormatPr defaultColWidth="12.5703125" defaultRowHeight="15" customHeight="1"/>
  <cols>
    <col min="1" max="1" width="12.7109375" customWidth="1"/>
    <col min="2" max="2" width="12.5703125" customWidth="1"/>
    <col min="3" max="3" width="44.7109375" customWidth="1"/>
    <col min="4" max="4" width="12.5703125" customWidth="1"/>
    <col min="5" max="5" width="12.7109375" customWidth="1"/>
    <col min="6" max="6" width="14.7109375" customWidth="1"/>
    <col min="7" max="7" width="17.28515625" customWidth="1"/>
    <col min="8" max="9" width="12.7109375" customWidth="1"/>
    <col min="11" max="26" width="12.5703125" hidden="1" customWidth="1"/>
  </cols>
  <sheetData>
    <row r="1" spans="1:26" ht="14.25">
      <c r="A1" s="3434" t="s">
        <v>15920</v>
      </c>
      <c r="B1" s="2607"/>
      <c r="C1" s="2607"/>
      <c r="D1" s="2607"/>
      <c r="E1" s="2607"/>
      <c r="F1" s="2607"/>
      <c r="G1" s="2607"/>
      <c r="H1" s="2607"/>
      <c r="I1" s="2607"/>
      <c r="J1" s="3400"/>
      <c r="K1" s="1036"/>
      <c r="L1" s="1036"/>
      <c r="M1" s="1036"/>
      <c r="N1" s="1036"/>
      <c r="O1" s="1036"/>
      <c r="P1" s="1036"/>
      <c r="Q1" s="1036"/>
      <c r="R1" s="1036"/>
      <c r="S1" s="1036"/>
      <c r="T1" s="1036"/>
      <c r="U1" s="1036"/>
      <c r="V1" s="1036"/>
      <c r="W1" s="1036"/>
      <c r="X1" s="1036"/>
      <c r="Y1" s="1036"/>
      <c r="Z1" s="1036"/>
    </row>
    <row r="2" spans="1:26" ht="21" customHeight="1">
      <c r="A2" s="1037" t="e">
        <f>'Medição '!$V$5:$AB$5</f>
        <v>#VALUE!</v>
      </c>
      <c r="B2" s="3435" t="str">
        <f>'Medição '!W5</f>
        <v>COMPLEXO SUNSET DO PARQUE NOVO MATO GROSSO</v>
      </c>
      <c r="C2" s="2590"/>
      <c r="D2" s="2590"/>
      <c r="E2" s="2590"/>
      <c r="F2" s="2590"/>
      <c r="G2" s="2590"/>
      <c r="H2" s="2590"/>
      <c r="I2" s="2590"/>
      <c r="J2" s="2618"/>
      <c r="K2" s="1038"/>
      <c r="L2" s="1038"/>
      <c r="M2" s="1038"/>
      <c r="N2" s="1038"/>
      <c r="O2" s="1038"/>
      <c r="P2" s="1038"/>
      <c r="Q2" s="1038"/>
      <c r="R2" s="1038"/>
      <c r="S2" s="1038"/>
      <c r="T2" s="1038"/>
      <c r="U2" s="1038"/>
      <c r="V2" s="1038"/>
      <c r="W2" s="1038"/>
      <c r="X2" s="1038"/>
      <c r="Y2" s="1038"/>
      <c r="Z2" s="1038"/>
    </row>
    <row r="3" spans="1:26" ht="21" customHeight="1">
      <c r="A3" s="1039" t="e">
        <f>'Medição '!$V$6:$AB$6</f>
        <v>#VALUE!</v>
      </c>
      <c r="B3" s="3435" t="str">
        <f>'Medição '!W6</f>
        <v>MT 251, KM 11, S/N, ÁREA RURAL - PARQUE NOVO MATO GROSSO, CEP 78099-899</v>
      </c>
      <c r="C3" s="2590"/>
      <c r="D3" s="2590"/>
      <c r="E3" s="2590"/>
      <c r="F3" s="2590"/>
      <c r="G3" s="2590"/>
      <c r="H3" s="2590"/>
      <c r="I3" s="2590"/>
      <c r="J3" s="2618"/>
      <c r="K3" s="1038"/>
      <c r="L3" s="1038"/>
      <c r="M3" s="1038"/>
      <c r="N3" s="1038"/>
      <c r="O3" s="1038"/>
      <c r="P3" s="1038"/>
      <c r="Q3" s="1038"/>
      <c r="R3" s="1038"/>
      <c r="S3" s="1038"/>
      <c r="T3" s="1038"/>
      <c r="U3" s="1038"/>
      <c r="V3" s="1038"/>
      <c r="W3" s="1038"/>
      <c r="X3" s="1038"/>
      <c r="Y3" s="1038"/>
      <c r="Z3" s="1038"/>
    </row>
    <row r="4" spans="1:26" ht="21" customHeight="1">
      <c r="A4" s="1039" t="e">
        <f>'Medição '!$V$7:$AB$7</f>
        <v>#VALUE!</v>
      </c>
      <c r="B4" s="3435" t="str">
        <f>'Medição '!W7</f>
        <v>CUIABÁ - MT</v>
      </c>
      <c r="C4" s="2590"/>
      <c r="D4" s="2590"/>
      <c r="E4" s="2590"/>
      <c r="F4" s="2590"/>
      <c r="G4" s="2590"/>
      <c r="H4" s="2590"/>
      <c r="I4" s="2590"/>
      <c r="J4" s="2618"/>
      <c r="K4" s="1038"/>
      <c r="L4" s="1038"/>
      <c r="M4" s="1038"/>
      <c r="N4" s="1038"/>
      <c r="O4" s="1038"/>
      <c r="P4" s="1038"/>
      <c r="Q4" s="1038"/>
      <c r="R4" s="1038"/>
      <c r="S4" s="1038"/>
      <c r="T4" s="1038"/>
      <c r="U4" s="1038"/>
      <c r="V4" s="1038"/>
      <c r="W4" s="1038"/>
      <c r="X4" s="1038"/>
      <c r="Y4" s="1038"/>
      <c r="Z4" s="1038"/>
    </row>
    <row r="5" spans="1:26">
      <c r="A5" s="1039" t="e">
        <f>'Medição '!$V$8:$AB$8</f>
        <v>#VALUE!</v>
      </c>
      <c r="B5" s="3435" t="str">
        <f>'Medição '!W8</f>
        <v>CONTRATAÇÃO DE EMPRESA ESPECIALIZADA PARA EXECUÇÃO DAS OBRAS DO "COMPLEXO SUNSET (WAKE BAR, PRAÇA SUNSET, QUIOSQUE, BANHEIROS DE APOIO E INFRA DE CONTÊINER) DO PARQUE NOVO MATO GROSSO"</v>
      </c>
      <c r="C5" s="2590"/>
      <c r="D5" s="2590"/>
      <c r="E5" s="2590"/>
      <c r="F5" s="2590"/>
      <c r="G5" s="2590"/>
      <c r="H5" s="2590"/>
      <c r="I5" s="2590"/>
      <c r="J5" s="2618"/>
      <c r="K5" s="1038"/>
      <c r="L5" s="1038"/>
      <c r="M5" s="1038"/>
      <c r="N5" s="1038"/>
      <c r="O5" s="1038"/>
      <c r="P5" s="1038"/>
      <c r="Q5" s="1038"/>
      <c r="R5" s="1038"/>
      <c r="S5" s="1038"/>
      <c r="T5" s="1038"/>
      <c r="U5" s="1038"/>
      <c r="V5" s="1038"/>
      <c r="W5" s="1038"/>
      <c r="X5" s="1038"/>
      <c r="Y5" s="1038"/>
      <c r="Z5" s="1038"/>
    </row>
    <row r="6" spans="1:26" ht="223.5" customHeight="1">
      <c r="A6" s="3431" t="s">
        <v>15921</v>
      </c>
      <c r="B6" s="2610"/>
      <c r="C6" s="2610"/>
      <c r="D6" s="2610"/>
      <c r="E6" s="2610"/>
      <c r="F6" s="2610"/>
      <c r="G6" s="2610"/>
      <c r="H6" s="2610"/>
      <c r="I6" s="2610"/>
      <c r="J6" s="3432"/>
      <c r="K6" s="1038"/>
      <c r="L6" s="1038"/>
      <c r="M6" s="1038"/>
      <c r="N6" s="1038"/>
      <c r="O6" s="1038"/>
      <c r="P6" s="1038"/>
      <c r="Q6" s="1038"/>
      <c r="R6" s="1038"/>
      <c r="S6" s="1038"/>
      <c r="T6" s="1038"/>
      <c r="U6" s="1038"/>
      <c r="V6" s="1038"/>
      <c r="W6" s="1038"/>
      <c r="X6" s="1038"/>
      <c r="Y6" s="1038"/>
      <c r="Z6" s="1038"/>
    </row>
    <row r="7" spans="1:26" ht="35.25" customHeight="1">
      <c r="A7" s="3433" t="s">
        <v>15922</v>
      </c>
      <c r="B7" s="2607"/>
      <c r="C7" s="2607"/>
      <c r="D7" s="2607"/>
      <c r="E7" s="2607"/>
      <c r="F7" s="2607"/>
      <c r="G7" s="2607"/>
      <c r="H7" s="2607"/>
      <c r="I7" s="2607"/>
      <c r="J7" s="3400"/>
      <c r="K7" s="1036"/>
      <c r="L7" s="1036"/>
      <c r="M7" s="1036"/>
      <c r="N7" s="1036"/>
      <c r="O7" s="1036"/>
      <c r="P7" s="1036"/>
      <c r="Q7" s="1036"/>
      <c r="R7" s="1036"/>
      <c r="S7" s="1036"/>
      <c r="T7" s="1036"/>
      <c r="U7" s="1036"/>
      <c r="V7" s="1036"/>
      <c r="W7" s="1036"/>
      <c r="X7" s="1036"/>
      <c r="Y7" s="1036"/>
      <c r="Z7" s="1036"/>
    </row>
    <row r="8" spans="1:26" ht="15" customHeight="1">
      <c r="A8" s="3425" t="s">
        <v>15923</v>
      </c>
      <c r="B8" s="2615"/>
      <c r="C8" s="2615"/>
      <c r="D8" s="2615"/>
      <c r="E8" s="2615"/>
      <c r="F8" s="2615"/>
      <c r="G8" s="2615"/>
      <c r="H8" s="3369"/>
      <c r="I8" s="3426">
        <f>I1604</f>
        <v>14723152.640000001</v>
      </c>
      <c r="J8" s="2616"/>
      <c r="K8" s="1036"/>
      <c r="L8" s="1036"/>
      <c r="M8" s="1036"/>
      <c r="N8" s="1036"/>
      <c r="O8" s="1036"/>
      <c r="P8" s="1036"/>
      <c r="Q8" s="1036"/>
      <c r="R8" s="1036"/>
      <c r="S8" s="1036"/>
      <c r="T8" s="1036"/>
      <c r="U8" s="1036"/>
      <c r="V8" s="1036"/>
      <c r="W8" s="1036"/>
      <c r="X8" s="1036"/>
      <c r="Y8" s="1036"/>
      <c r="Z8" s="1036"/>
    </row>
    <row r="9" spans="1:26" ht="14.25" hidden="1">
      <c r="A9" s="1040"/>
      <c r="B9" s="1041"/>
      <c r="C9" s="1041"/>
      <c r="D9" s="1041"/>
      <c r="E9" s="1042"/>
      <c r="F9" s="1043"/>
      <c r="G9" s="1043"/>
      <c r="H9" s="1044"/>
      <c r="I9" s="1044"/>
      <c r="J9" s="1045"/>
      <c r="K9" s="1036"/>
      <c r="L9" s="1036"/>
      <c r="M9" s="1036"/>
      <c r="N9" s="1036"/>
      <c r="O9" s="1036"/>
      <c r="P9" s="1036"/>
      <c r="Q9" s="1036"/>
      <c r="R9" s="1036"/>
      <c r="S9" s="1036"/>
      <c r="T9" s="1036"/>
      <c r="U9" s="1036"/>
      <c r="V9" s="1036"/>
      <c r="W9" s="1036"/>
      <c r="X9" s="1036"/>
      <c r="Y9" s="1036"/>
      <c r="Z9" s="1036"/>
    </row>
    <row r="10" spans="1:26" ht="15" hidden="1" customHeight="1">
      <c r="A10" s="1046">
        <v>0.8</v>
      </c>
      <c r="B10" s="1047" t="s">
        <v>15924</v>
      </c>
      <c r="C10" s="1041"/>
      <c r="D10" s="1041"/>
      <c r="E10" s="1042"/>
      <c r="F10" s="1043"/>
      <c r="G10" s="1043"/>
      <c r="H10" s="1044"/>
      <c r="I10" s="1044"/>
      <c r="J10" s="1045"/>
      <c r="K10" s="1036"/>
      <c r="L10" s="1036"/>
      <c r="M10" s="1036"/>
      <c r="N10" s="1036"/>
      <c r="O10" s="1036"/>
      <c r="P10" s="1036"/>
      <c r="Q10" s="1036"/>
      <c r="R10" s="1036"/>
      <c r="S10" s="1036"/>
      <c r="T10" s="1036"/>
      <c r="U10" s="1036"/>
      <c r="V10" s="1036"/>
      <c r="W10" s="1036"/>
      <c r="X10" s="1036"/>
      <c r="Y10" s="1036"/>
      <c r="Z10" s="1036"/>
    </row>
    <row r="11" spans="1:26" ht="15" hidden="1" customHeight="1">
      <c r="A11" s="1048">
        <v>0.95</v>
      </c>
      <c r="B11" s="1047" t="s">
        <v>15925</v>
      </c>
      <c r="C11" s="1041"/>
      <c r="D11" s="1041"/>
      <c r="E11" s="1042"/>
      <c r="F11" s="1043"/>
      <c r="G11" s="1043"/>
      <c r="H11" s="1044"/>
      <c r="I11" s="1044"/>
      <c r="J11" s="1045"/>
      <c r="K11" s="1036"/>
      <c r="L11" s="1036"/>
      <c r="M11" s="1036"/>
      <c r="N11" s="1036"/>
      <c r="O11" s="1036"/>
      <c r="P11" s="1036"/>
      <c r="Q11" s="1036"/>
      <c r="R11" s="1036"/>
      <c r="S11" s="1036"/>
      <c r="T11" s="1036"/>
      <c r="U11" s="1036"/>
      <c r="V11" s="1036"/>
      <c r="W11" s="1036"/>
      <c r="X11" s="1036"/>
      <c r="Y11" s="1036"/>
      <c r="Z11" s="1036"/>
    </row>
    <row r="12" spans="1:26" ht="15" hidden="1" customHeight="1">
      <c r="A12" s="1049">
        <v>1</v>
      </c>
      <c r="B12" s="1047" t="s">
        <v>15926</v>
      </c>
      <c r="C12" s="1041"/>
      <c r="D12" s="1041"/>
      <c r="E12" s="1042"/>
      <c r="F12" s="1043"/>
      <c r="G12" s="1043"/>
      <c r="H12" s="1044"/>
      <c r="I12" s="1044"/>
      <c r="J12" s="1045"/>
      <c r="K12" s="1036"/>
      <c r="L12" s="1036"/>
      <c r="M12" s="1036"/>
      <c r="N12" s="1036"/>
      <c r="O12" s="1036"/>
      <c r="P12" s="1036"/>
      <c r="Q12" s="1036"/>
      <c r="R12" s="1036"/>
      <c r="S12" s="1036"/>
      <c r="T12" s="1036"/>
      <c r="U12" s="1036"/>
      <c r="V12" s="1036"/>
      <c r="W12" s="1036"/>
      <c r="X12" s="1036"/>
      <c r="Y12" s="1036"/>
      <c r="Z12" s="1036"/>
    </row>
    <row r="13" spans="1:26" ht="14.25" hidden="1">
      <c r="A13" s="3427"/>
      <c r="B13" s="2590"/>
      <c r="C13" s="2590"/>
      <c r="D13" s="2590"/>
      <c r="E13" s="2590"/>
      <c r="F13" s="2590"/>
      <c r="G13" s="2590"/>
      <c r="H13" s="2590"/>
      <c r="I13" s="2590"/>
      <c r="J13" s="2618"/>
      <c r="K13" s="1036"/>
      <c r="L13" s="1036"/>
      <c r="M13" s="1036"/>
      <c r="N13" s="1036"/>
      <c r="O13" s="1036"/>
      <c r="P13" s="1036"/>
      <c r="Q13" s="1036"/>
      <c r="R13" s="1036"/>
      <c r="S13" s="1036"/>
      <c r="T13" s="1036"/>
      <c r="U13" s="1036"/>
      <c r="V13" s="1036"/>
      <c r="W13" s="1036"/>
      <c r="X13" s="1036"/>
      <c r="Y13" s="1036"/>
      <c r="Z13" s="1036"/>
    </row>
    <row r="14" spans="1:26" ht="21.75" customHeight="1">
      <c r="A14" s="1050" t="s">
        <v>15488</v>
      </c>
      <c r="B14" s="1051" t="s">
        <v>15927</v>
      </c>
      <c r="C14" s="1051" t="s">
        <v>15928</v>
      </c>
      <c r="D14" s="1051" t="s">
        <v>15490</v>
      </c>
      <c r="E14" s="1052" t="s">
        <v>15929</v>
      </c>
      <c r="F14" s="1053" t="s">
        <v>15930</v>
      </c>
      <c r="G14" s="1053" t="s">
        <v>15931</v>
      </c>
      <c r="H14" s="1054" t="s">
        <v>15932</v>
      </c>
      <c r="I14" s="1054" t="s">
        <v>15933</v>
      </c>
      <c r="J14" s="1055" t="s">
        <v>15934</v>
      </c>
      <c r="K14" s="1056"/>
      <c r="L14" s="1056"/>
      <c r="M14" s="1056"/>
      <c r="N14" s="1056"/>
      <c r="O14" s="1056"/>
      <c r="P14" s="1056"/>
      <c r="Q14" s="1056"/>
      <c r="R14" s="1056"/>
      <c r="S14" s="1056"/>
      <c r="T14" s="1056"/>
      <c r="U14" s="1056"/>
      <c r="V14" s="1056"/>
      <c r="W14" s="1056"/>
      <c r="X14" s="1056"/>
      <c r="Y14" s="1056"/>
      <c r="Z14" s="1056"/>
    </row>
    <row r="15" spans="1:26" ht="38.25">
      <c r="A15" s="1057" t="s">
        <v>12601</v>
      </c>
      <c r="B15" s="1058" t="s">
        <v>14472</v>
      </c>
      <c r="C15" s="1058" t="s">
        <v>15935</v>
      </c>
      <c r="D15" s="1059" t="s">
        <v>409</v>
      </c>
      <c r="E15" s="1060">
        <v>2784.33</v>
      </c>
      <c r="F15" s="1061">
        <v>781.66</v>
      </c>
      <c r="G15" s="1061">
        <v>2176399.38</v>
      </c>
      <c r="H15" s="1062">
        <f t="shared" ref="H15:H269" si="0">G15/$I$8</f>
        <v>0.1478215592282279</v>
      </c>
      <c r="I15" s="1063">
        <f>H15</f>
        <v>0.1478215592282279</v>
      </c>
      <c r="J15" s="1063" t="str">
        <f t="shared" ref="J15:J269" si="1">IF(I15&lt;$A$10,"A",IF(I15&lt;$A$11,"B","C"))</f>
        <v>A</v>
      </c>
      <c r="K15" s="1036"/>
      <c r="L15" s="1036"/>
      <c r="M15" s="1036"/>
      <c r="N15" s="1064"/>
      <c r="O15" s="1036"/>
      <c r="P15" s="1036"/>
      <c r="Q15" s="1036"/>
      <c r="R15" s="1036"/>
      <c r="S15" s="1036"/>
      <c r="T15" s="1036"/>
      <c r="U15" s="1036"/>
      <c r="V15" s="1036"/>
      <c r="W15" s="1036"/>
      <c r="X15" s="1036"/>
      <c r="Y15" s="1036"/>
      <c r="Z15" s="1036"/>
    </row>
    <row r="16" spans="1:26" ht="38.25">
      <c r="A16" s="1065" t="s">
        <v>12600</v>
      </c>
      <c r="B16" s="1066" t="s">
        <v>14472</v>
      </c>
      <c r="C16" s="1066" t="s">
        <v>15936</v>
      </c>
      <c r="D16" s="1067" t="s">
        <v>409</v>
      </c>
      <c r="E16" s="1068">
        <v>2750.69</v>
      </c>
      <c r="F16" s="1069">
        <v>606.66</v>
      </c>
      <c r="G16" s="1069">
        <v>1668733.59</v>
      </c>
      <c r="H16" s="1070">
        <f t="shared" si="0"/>
        <v>0.11334077903032594</v>
      </c>
      <c r="I16" s="1071">
        <f t="shared" ref="I16:I270" si="2">I15+H16</f>
        <v>0.26116233825855384</v>
      </c>
      <c r="J16" s="1071" t="str">
        <f t="shared" si="1"/>
        <v>A</v>
      </c>
      <c r="K16" s="1036"/>
      <c r="L16" s="1036"/>
      <c r="M16" s="1036"/>
      <c r="N16" s="1036"/>
      <c r="O16" s="1036"/>
      <c r="P16" s="1036"/>
      <c r="Q16" s="1036"/>
      <c r="R16" s="1036"/>
      <c r="S16" s="1036"/>
      <c r="T16" s="1036"/>
      <c r="U16" s="1036"/>
      <c r="V16" s="1036"/>
      <c r="W16" s="1036"/>
      <c r="X16" s="1036"/>
      <c r="Y16" s="1036"/>
      <c r="Z16" s="1036"/>
    </row>
    <row r="17" spans="1:26" ht="51">
      <c r="A17" s="1065" t="s">
        <v>12604</v>
      </c>
      <c r="B17" s="1066" t="s">
        <v>14472</v>
      </c>
      <c r="C17" s="1066" t="s">
        <v>15937</v>
      </c>
      <c r="D17" s="1067" t="s">
        <v>409</v>
      </c>
      <c r="E17" s="1068">
        <v>3717.6</v>
      </c>
      <c r="F17" s="1069">
        <v>142.27000000000001</v>
      </c>
      <c r="G17" s="1069">
        <v>528902.94999999995</v>
      </c>
      <c r="H17" s="1070">
        <f t="shared" si="0"/>
        <v>3.5923213114226055E-2</v>
      </c>
      <c r="I17" s="1071">
        <f t="shared" si="2"/>
        <v>0.29708555137277992</v>
      </c>
      <c r="J17" s="1071" t="str">
        <f t="shared" si="1"/>
        <v>A</v>
      </c>
      <c r="K17" s="1036"/>
      <c r="L17" s="1036"/>
      <c r="M17" s="1036"/>
      <c r="N17" s="1036"/>
      <c r="O17" s="1036"/>
      <c r="P17" s="1036"/>
      <c r="Q17" s="1036"/>
      <c r="R17" s="1036"/>
      <c r="S17" s="1036"/>
      <c r="T17" s="1036"/>
      <c r="U17" s="1036"/>
      <c r="V17" s="1036"/>
      <c r="W17" s="1036"/>
      <c r="X17" s="1036"/>
      <c r="Y17" s="1036"/>
      <c r="Z17" s="1036"/>
    </row>
    <row r="18" spans="1:26" ht="38.25">
      <c r="A18" s="1065" t="s">
        <v>12602</v>
      </c>
      <c r="B18" s="1066" t="s">
        <v>14472</v>
      </c>
      <c r="C18" s="1066" t="s">
        <v>15938</v>
      </c>
      <c r="D18" s="1067" t="s">
        <v>409</v>
      </c>
      <c r="E18" s="1068">
        <v>476.53</v>
      </c>
      <c r="F18" s="1069">
        <v>945.28</v>
      </c>
      <c r="G18" s="1069">
        <v>450454.27</v>
      </c>
      <c r="H18" s="1070">
        <f t="shared" si="0"/>
        <v>3.0594960265249278E-2</v>
      </c>
      <c r="I18" s="1071">
        <f t="shared" si="2"/>
        <v>0.32768051163802919</v>
      </c>
      <c r="J18" s="1071" t="str">
        <f t="shared" si="1"/>
        <v>A</v>
      </c>
      <c r="K18" s="1036"/>
      <c r="L18" s="1036"/>
      <c r="M18" s="1036"/>
      <c r="N18" s="1036"/>
      <c r="O18" s="1036"/>
      <c r="P18" s="1036"/>
      <c r="Q18" s="1036"/>
      <c r="R18" s="1036"/>
      <c r="S18" s="1036"/>
      <c r="T18" s="1036"/>
      <c r="U18" s="1036"/>
      <c r="V18" s="1036"/>
      <c r="W18" s="1036"/>
      <c r="X18" s="1036"/>
      <c r="Y18" s="1036"/>
      <c r="Z18" s="1036"/>
    </row>
    <row r="19" spans="1:26" ht="63.75">
      <c r="A19" s="1065">
        <v>5928</v>
      </c>
      <c r="B19" s="1066" t="s">
        <v>14476</v>
      </c>
      <c r="C19" s="1066" t="s">
        <v>5375</v>
      </c>
      <c r="D19" s="1067" t="s">
        <v>5350</v>
      </c>
      <c r="E19" s="1068">
        <v>1200</v>
      </c>
      <c r="F19" s="1069">
        <v>350.7</v>
      </c>
      <c r="G19" s="1069">
        <v>420840</v>
      </c>
      <c r="H19" s="1070">
        <f t="shared" si="0"/>
        <v>2.8583552061849708E-2</v>
      </c>
      <c r="I19" s="1071">
        <f t="shared" si="2"/>
        <v>0.3562640636998789</v>
      </c>
      <c r="J19" s="1071" t="str">
        <f t="shared" si="1"/>
        <v>A</v>
      </c>
      <c r="K19" s="1036"/>
      <c r="L19" s="1036"/>
      <c r="M19" s="1036"/>
      <c r="N19" s="1036"/>
      <c r="O19" s="1036"/>
      <c r="P19" s="1036"/>
      <c r="Q19" s="1036"/>
      <c r="R19" s="1036"/>
      <c r="S19" s="1036"/>
      <c r="T19" s="1036"/>
      <c r="U19" s="1036"/>
      <c r="V19" s="1036"/>
      <c r="W19" s="1036"/>
      <c r="X19" s="1036"/>
      <c r="Y19" s="1036"/>
      <c r="Z19" s="1036"/>
    </row>
    <row r="20" spans="1:26" ht="25.5">
      <c r="A20" s="1065" t="s">
        <v>14554</v>
      </c>
      <c r="B20" s="1066" t="s">
        <v>14472</v>
      </c>
      <c r="C20" s="1066" t="s">
        <v>14555</v>
      </c>
      <c r="D20" s="1067" t="s">
        <v>154</v>
      </c>
      <c r="E20" s="1068">
        <v>2160</v>
      </c>
      <c r="F20" s="1069">
        <v>173.2</v>
      </c>
      <c r="G20" s="1069">
        <v>374112</v>
      </c>
      <c r="H20" s="1070">
        <f t="shared" si="0"/>
        <v>2.5409775280303009E-2</v>
      </c>
      <c r="I20" s="1071">
        <f t="shared" si="2"/>
        <v>0.38167383898018192</v>
      </c>
      <c r="J20" s="1071" t="str">
        <f t="shared" si="1"/>
        <v>A</v>
      </c>
      <c r="K20" s="1036"/>
      <c r="L20" s="1036"/>
      <c r="M20" s="1036"/>
      <c r="N20" s="1036"/>
      <c r="O20" s="1036"/>
      <c r="P20" s="1036"/>
      <c r="Q20" s="1036"/>
      <c r="R20" s="1036"/>
      <c r="S20" s="1036"/>
      <c r="T20" s="1036"/>
      <c r="U20" s="1036"/>
      <c r="V20" s="1036"/>
      <c r="W20" s="1036"/>
      <c r="X20" s="1036"/>
      <c r="Y20" s="1036"/>
      <c r="Z20" s="1036"/>
    </row>
    <row r="21" spans="1:26" ht="25.5">
      <c r="A21" s="1065">
        <v>93567</v>
      </c>
      <c r="B21" s="1066" t="s">
        <v>14476</v>
      </c>
      <c r="C21" s="1066" t="s">
        <v>12201</v>
      </c>
      <c r="D21" s="1067" t="s">
        <v>156</v>
      </c>
      <c r="E21" s="1068">
        <v>10</v>
      </c>
      <c r="F21" s="1069">
        <v>27031.33</v>
      </c>
      <c r="G21" s="1069">
        <v>270313.3</v>
      </c>
      <c r="H21" s="1070">
        <f t="shared" si="0"/>
        <v>1.8359743093718274E-2</v>
      </c>
      <c r="I21" s="1071">
        <f t="shared" si="2"/>
        <v>0.40003358207390022</v>
      </c>
      <c r="J21" s="1071" t="str">
        <f t="shared" si="1"/>
        <v>A</v>
      </c>
      <c r="K21" s="1036"/>
      <c r="L21" s="1036"/>
      <c r="M21" s="1036"/>
      <c r="N21" s="1036"/>
      <c r="O21" s="1036"/>
      <c r="P21" s="1036"/>
      <c r="Q21" s="1036"/>
      <c r="R21" s="1036"/>
      <c r="S21" s="1036"/>
      <c r="T21" s="1036"/>
      <c r="U21" s="1036"/>
      <c r="V21" s="1036"/>
      <c r="W21" s="1036"/>
      <c r="X21" s="1036"/>
      <c r="Y21" s="1036"/>
      <c r="Z21" s="1036"/>
    </row>
    <row r="22" spans="1:26" ht="14.25">
      <c r="A22" s="1065">
        <v>94295</v>
      </c>
      <c r="B22" s="1066" t="s">
        <v>14476</v>
      </c>
      <c r="C22" s="1066" t="s">
        <v>12203</v>
      </c>
      <c r="D22" s="1067" t="s">
        <v>156</v>
      </c>
      <c r="E22" s="1068">
        <v>20</v>
      </c>
      <c r="F22" s="1069">
        <v>13437.98</v>
      </c>
      <c r="G22" s="1069">
        <v>268759.59999999998</v>
      </c>
      <c r="H22" s="1070">
        <f t="shared" si="0"/>
        <v>1.825421542325326E-2</v>
      </c>
      <c r="I22" s="1071">
        <f t="shared" si="2"/>
        <v>0.4182877974971535</v>
      </c>
      <c r="J22" s="1071" t="str">
        <f t="shared" si="1"/>
        <v>A</v>
      </c>
      <c r="K22" s="1036"/>
      <c r="L22" s="1036"/>
      <c r="M22" s="1036"/>
      <c r="N22" s="1036"/>
      <c r="O22" s="1036"/>
      <c r="P22" s="1036"/>
      <c r="Q22" s="1036"/>
      <c r="R22" s="1036"/>
      <c r="S22" s="1036"/>
      <c r="T22" s="1036"/>
      <c r="U22" s="1036"/>
      <c r="V22" s="1036"/>
      <c r="W22" s="1036"/>
      <c r="X22" s="1036"/>
      <c r="Y22" s="1036"/>
      <c r="Z22" s="1036"/>
    </row>
    <row r="23" spans="1:26" ht="51">
      <c r="A23" s="1065" t="s">
        <v>14624</v>
      </c>
      <c r="B23" s="1066" t="s">
        <v>14472</v>
      </c>
      <c r="C23" s="1066" t="s">
        <v>15939</v>
      </c>
      <c r="D23" s="1067" t="s">
        <v>54</v>
      </c>
      <c r="E23" s="1068">
        <v>10042.129999999999</v>
      </c>
      <c r="F23" s="1069">
        <v>26.38</v>
      </c>
      <c r="G23" s="1069">
        <v>264911.38</v>
      </c>
      <c r="H23" s="1070">
        <f t="shared" si="0"/>
        <v>1.7992843413188984E-2</v>
      </c>
      <c r="I23" s="1071">
        <f t="shared" si="2"/>
        <v>0.43628064091034247</v>
      </c>
      <c r="J23" s="1071" t="str">
        <f t="shared" si="1"/>
        <v>A</v>
      </c>
      <c r="K23" s="1036"/>
      <c r="L23" s="1036"/>
      <c r="M23" s="1036"/>
      <c r="N23" s="1036"/>
      <c r="O23" s="1036"/>
      <c r="P23" s="1036"/>
      <c r="Q23" s="1036"/>
      <c r="R23" s="1036"/>
      <c r="S23" s="1036"/>
      <c r="T23" s="1036"/>
      <c r="U23" s="1036"/>
      <c r="V23" s="1036"/>
      <c r="W23" s="1036"/>
      <c r="X23" s="1036"/>
      <c r="Y23" s="1036"/>
      <c r="Z23" s="1036"/>
    </row>
    <row r="24" spans="1:26" ht="51">
      <c r="A24" s="1065">
        <v>98575</v>
      </c>
      <c r="B24" s="1066" t="s">
        <v>14476</v>
      </c>
      <c r="C24" s="1066" t="s">
        <v>7603</v>
      </c>
      <c r="D24" s="1067" t="s">
        <v>50</v>
      </c>
      <c r="E24" s="1068">
        <v>2683</v>
      </c>
      <c r="F24" s="1069">
        <v>85.05</v>
      </c>
      <c r="G24" s="1069">
        <v>228189.15</v>
      </c>
      <c r="H24" s="1070">
        <f t="shared" si="0"/>
        <v>1.5498660890063284E-2</v>
      </c>
      <c r="I24" s="1071">
        <f t="shared" si="2"/>
        <v>0.45177930180040576</v>
      </c>
      <c r="J24" s="1071" t="str">
        <f t="shared" si="1"/>
        <v>A</v>
      </c>
      <c r="K24" s="1036"/>
      <c r="L24" s="1036"/>
      <c r="M24" s="1036"/>
      <c r="N24" s="1036"/>
      <c r="O24" s="1036"/>
      <c r="P24" s="1036"/>
      <c r="Q24" s="1036"/>
      <c r="R24" s="1036"/>
      <c r="S24" s="1036"/>
      <c r="T24" s="1036"/>
      <c r="U24" s="1036"/>
      <c r="V24" s="1036"/>
      <c r="W24" s="1036"/>
      <c r="X24" s="1036"/>
      <c r="Y24" s="1036"/>
      <c r="Z24" s="1036"/>
    </row>
    <row r="25" spans="1:26" ht="25.5">
      <c r="A25" s="1065" t="s">
        <v>14822</v>
      </c>
      <c r="B25" s="1066" t="s">
        <v>14472</v>
      </c>
      <c r="C25" s="1066" t="s">
        <v>14823</v>
      </c>
      <c r="D25" s="1067" t="s">
        <v>409</v>
      </c>
      <c r="E25" s="1068">
        <v>220.16</v>
      </c>
      <c r="F25" s="1069">
        <v>979.63</v>
      </c>
      <c r="G25" s="1069">
        <v>215675.34</v>
      </c>
      <c r="H25" s="1070">
        <f t="shared" si="0"/>
        <v>1.4648719963280907E-2</v>
      </c>
      <c r="I25" s="1071">
        <f t="shared" si="2"/>
        <v>0.4664280217636867</v>
      </c>
      <c r="J25" s="1071" t="str">
        <f t="shared" si="1"/>
        <v>A</v>
      </c>
      <c r="K25" s="1036"/>
      <c r="L25" s="1036"/>
      <c r="M25" s="1036"/>
      <c r="N25" s="1036"/>
      <c r="O25" s="1036"/>
      <c r="P25" s="1036"/>
      <c r="Q25" s="1036"/>
      <c r="R25" s="1036"/>
      <c r="S25" s="1036"/>
      <c r="T25" s="1036"/>
      <c r="U25" s="1036"/>
      <c r="V25" s="1036"/>
      <c r="W25" s="1036"/>
      <c r="X25" s="1036"/>
      <c r="Y25" s="1036"/>
      <c r="Z25" s="1036"/>
    </row>
    <row r="26" spans="1:26" ht="89.25">
      <c r="A26" s="1065" t="s">
        <v>14920</v>
      </c>
      <c r="B26" s="1066" t="s">
        <v>14472</v>
      </c>
      <c r="C26" s="1066" t="s">
        <v>14921</v>
      </c>
      <c r="D26" s="1067" t="s">
        <v>50</v>
      </c>
      <c r="E26" s="1068">
        <v>146.34</v>
      </c>
      <c r="F26" s="1069">
        <v>1310.27</v>
      </c>
      <c r="G26" s="1069">
        <v>191744.91</v>
      </c>
      <c r="H26" s="1070">
        <f t="shared" si="0"/>
        <v>1.3023359513305976E-2</v>
      </c>
      <c r="I26" s="1071">
        <f t="shared" si="2"/>
        <v>0.47945138127699266</v>
      </c>
      <c r="J26" s="1071" t="str">
        <f t="shared" si="1"/>
        <v>A</v>
      </c>
      <c r="K26" s="1036"/>
      <c r="L26" s="1036"/>
      <c r="M26" s="1036"/>
      <c r="N26" s="1036"/>
      <c r="O26" s="1036"/>
      <c r="P26" s="1036"/>
      <c r="Q26" s="1036"/>
      <c r="R26" s="1036"/>
      <c r="S26" s="1036"/>
      <c r="T26" s="1036"/>
      <c r="U26" s="1036"/>
      <c r="V26" s="1036"/>
      <c r="W26" s="1036"/>
      <c r="X26" s="1036"/>
      <c r="Y26" s="1036"/>
      <c r="Z26" s="1036"/>
    </row>
    <row r="27" spans="1:26" ht="25.5">
      <c r="A27" s="1065" t="s">
        <v>14819</v>
      </c>
      <c r="B27" s="1066" t="s">
        <v>14472</v>
      </c>
      <c r="C27" s="1066" t="s">
        <v>14820</v>
      </c>
      <c r="D27" s="1067" t="s">
        <v>409</v>
      </c>
      <c r="E27" s="1068">
        <v>52.85</v>
      </c>
      <c r="F27" s="1069">
        <v>2877.2</v>
      </c>
      <c r="G27" s="1069">
        <v>152058.85999999999</v>
      </c>
      <c r="H27" s="1070">
        <f t="shared" si="0"/>
        <v>1.0327873636715891E-2</v>
      </c>
      <c r="I27" s="1071">
        <f t="shared" si="2"/>
        <v>0.48977925491370855</v>
      </c>
      <c r="J27" s="1071" t="str">
        <f t="shared" si="1"/>
        <v>A</v>
      </c>
      <c r="K27" s="1036"/>
      <c r="L27" s="1036"/>
      <c r="M27" s="1036"/>
      <c r="N27" s="1036"/>
      <c r="O27" s="1036"/>
      <c r="P27" s="1036"/>
      <c r="Q27" s="1036"/>
      <c r="R27" s="1036"/>
      <c r="S27" s="1036"/>
      <c r="T27" s="1036"/>
      <c r="U27" s="1036"/>
      <c r="V27" s="1036"/>
      <c r="W27" s="1036"/>
      <c r="X27" s="1036"/>
      <c r="Y27" s="1036"/>
      <c r="Z27" s="1036"/>
    </row>
    <row r="28" spans="1:26" ht="63.75">
      <c r="A28" s="1065" t="s">
        <v>14683</v>
      </c>
      <c r="B28" s="1066" t="s">
        <v>14472</v>
      </c>
      <c r="C28" s="1066" t="s">
        <v>15940</v>
      </c>
      <c r="D28" s="1067" t="s">
        <v>54</v>
      </c>
      <c r="E28" s="1068">
        <v>4384.01</v>
      </c>
      <c r="F28" s="1069">
        <v>29.48</v>
      </c>
      <c r="G28" s="1069">
        <v>129240.61</v>
      </c>
      <c r="H28" s="1070">
        <f t="shared" si="0"/>
        <v>8.7780527146664143E-3</v>
      </c>
      <c r="I28" s="1071">
        <f t="shared" si="2"/>
        <v>0.49855730762837497</v>
      </c>
      <c r="J28" s="1071" t="str">
        <f t="shared" si="1"/>
        <v>A</v>
      </c>
      <c r="K28" s="1036"/>
      <c r="L28" s="1036"/>
      <c r="M28" s="1036"/>
      <c r="N28" s="1036"/>
      <c r="O28" s="1036"/>
      <c r="P28" s="1036"/>
      <c r="Q28" s="1036"/>
      <c r="R28" s="1036"/>
      <c r="S28" s="1036"/>
      <c r="T28" s="1036"/>
      <c r="U28" s="1036"/>
      <c r="V28" s="1036"/>
      <c r="W28" s="1036"/>
      <c r="X28" s="1036"/>
      <c r="Y28" s="1036"/>
      <c r="Z28" s="1036"/>
    </row>
    <row r="29" spans="1:26" ht="25.5">
      <c r="A29" s="1065" t="s">
        <v>14995</v>
      </c>
      <c r="B29" s="1066" t="s">
        <v>14472</v>
      </c>
      <c r="C29" s="1066" t="s">
        <v>14996</v>
      </c>
      <c r="D29" s="1067" t="s">
        <v>409</v>
      </c>
      <c r="E29" s="1068">
        <v>174.41</v>
      </c>
      <c r="F29" s="1069">
        <v>705.37</v>
      </c>
      <c r="G29" s="1069">
        <v>123023.01</v>
      </c>
      <c r="H29" s="1070">
        <f t="shared" si="0"/>
        <v>8.3557518561459387E-3</v>
      </c>
      <c r="I29" s="1071">
        <f t="shared" si="2"/>
        <v>0.50691305948452092</v>
      </c>
      <c r="J29" s="1071" t="str">
        <f t="shared" si="1"/>
        <v>A</v>
      </c>
      <c r="K29" s="1036"/>
      <c r="L29" s="1036"/>
      <c r="M29" s="1036"/>
      <c r="N29" s="1036"/>
      <c r="O29" s="1036"/>
      <c r="P29" s="1036"/>
      <c r="Q29" s="1036"/>
      <c r="R29" s="1036"/>
      <c r="S29" s="1036"/>
      <c r="T29" s="1036"/>
      <c r="U29" s="1036"/>
      <c r="V29" s="1036"/>
      <c r="W29" s="1036"/>
      <c r="X29" s="1036"/>
      <c r="Y29" s="1036"/>
      <c r="Z29" s="1036"/>
    </row>
    <row r="30" spans="1:26" ht="25.5">
      <c r="A30" s="1065" t="s">
        <v>14581</v>
      </c>
      <c r="B30" s="1066" t="s">
        <v>14472</v>
      </c>
      <c r="C30" s="1066" t="s">
        <v>14582</v>
      </c>
      <c r="D30" s="1067" t="s">
        <v>154</v>
      </c>
      <c r="E30" s="1068">
        <v>3600</v>
      </c>
      <c r="F30" s="1069">
        <v>33.42</v>
      </c>
      <c r="G30" s="1069">
        <v>120312</v>
      </c>
      <c r="H30" s="1070">
        <f t="shared" si="0"/>
        <v>8.1716194175108399E-3</v>
      </c>
      <c r="I30" s="1071">
        <f t="shared" si="2"/>
        <v>0.5150846789020318</v>
      </c>
      <c r="J30" s="1071" t="str">
        <f t="shared" si="1"/>
        <v>A</v>
      </c>
      <c r="K30" s="1036"/>
      <c r="L30" s="1036"/>
      <c r="M30" s="1036"/>
      <c r="N30" s="1036"/>
      <c r="O30" s="1036"/>
      <c r="P30" s="1036"/>
      <c r="Q30" s="1036"/>
      <c r="R30" s="1036"/>
      <c r="S30" s="1036"/>
      <c r="T30" s="1036"/>
      <c r="U30" s="1036"/>
      <c r="V30" s="1036"/>
      <c r="W30" s="1036"/>
      <c r="X30" s="1036"/>
      <c r="Y30" s="1036"/>
      <c r="Z30" s="1036"/>
    </row>
    <row r="31" spans="1:26" ht="38.25">
      <c r="A31" s="1065" t="s">
        <v>14493</v>
      </c>
      <c r="B31" s="1066" t="s">
        <v>14472</v>
      </c>
      <c r="C31" s="1066" t="s">
        <v>14494</v>
      </c>
      <c r="D31" s="1067" t="s">
        <v>6</v>
      </c>
      <c r="E31" s="1068">
        <v>160</v>
      </c>
      <c r="F31" s="1069">
        <v>741.25</v>
      </c>
      <c r="G31" s="1069">
        <v>118600</v>
      </c>
      <c r="H31" s="1070">
        <f t="shared" si="0"/>
        <v>8.0553399737082389E-3</v>
      </c>
      <c r="I31" s="1071">
        <f t="shared" si="2"/>
        <v>0.52314001887574002</v>
      </c>
      <c r="J31" s="1071" t="str">
        <f t="shared" si="1"/>
        <v>A</v>
      </c>
      <c r="K31" s="1036"/>
      <c r="L31" s="1036"/>
      <c r="M31" s="1036"/>
      <c r="N31" s="1036"/>
      <c r="O31" s="1036"/>
      <c r="P31" s="1036"/>
      <c r="Q31" s="1036"/>
      <c r="R31" s="1036"/>
      <c r="S31" s="1036"/>
      <c r="T31" s="1036"/>
      <c r="U31" s="1036"/>
      <c r="V31" s="1036"/>
      <c r="W31" s="1036"/>
      <c r="X31" s="1036"/>
      <c r="Y31" s="1036"/>
      <c r="Z31" s="1036"/>
    </row>
    <row r="32" spans="1:26" ht="38.25">
      <c r="A32" s="1065">
        <v>92264</v>
      </c>
      <c r="B32" s="1066" t="s">
        <v>14476</v>
      </c>
      <c r="C32" s="1066" t="s">
        <v>7200</v>
      </c>
      <c r="D32" s="1067" t="s">
        <v>409</v>
      </c>
      <c r="E32" s="1068">
        <v>330.48</v>
      </c>
      <c r="F32" s="1069">
        <v>341.17</v>
      </c>
      <c r="G32" s="1069">
        <v>112749.86</v>
      </c>
      <c r="H32" s="1070">
        <f t="shared" si="0"/>
        <v>7.6579970850590862E-3</v>
      </c>
      <c r="I32" s="1071">
        <f t="shared" si="2"/>
        <v>0.53079801596079912</v>
      </c>
      <c r="J32" s="1071" t="str">
        <f t="shared" si="1"/>
        <v>A</v>
      </c>
      <c r="K32" s="1036"/>
      <c r="L32" s="1036"/>
      <c r="M32" s="1036"/>
      <c r="N32" s="1036"/>
      <c r="O32" s="1036"/>
      <c r="P32" s="1036"/>
      <c r="Q32" s="1036"/>
      <c r="R32" s="1036"/>
      <c r="S32" s="1036"/>
      <c r="T32" s="1036"/>
      <c r="U32" s="1036"/>
      <c r="V32" s="1036"/>
      <c r="W32" s="1036"/>
      <c r="X32" s="1036"/>
      <c r="Y32" s="1036"/>
      <c r="Z32" s="1036"/>
    </row>
    <row r="33" spans="1:26" ht="63.75">
      <c r="A33" s="1065" t="s">
        <v>14651</v>
      </c>
      <c r="B33" s="1066" t="s">
        <v>14472</v>
      </c>
      <c r="C33" s="1066" t="s">
        <v>14652</v>
      </c>
      <c r="D33" s="1067" t="s">
        <v>54</v>
      </c>
      <c r="E33" s="1068">
        <v>3402.77</v>
      </c>
      <c r="F33" s="1069">
        <v>32.72</v>
      </c>
      <c r="G33" s="1069">
        <v>111338.63</v>
      </c>
      <c r="H33" s="1070">
        <f t="shared" si="0"/>
        <v>7.5621460105979041E-3</v>
      </c>
      <c r="I33" s="1071">
        <f t="shared" si="2"/>
        <v>0.53836016197139702</v>
      </c>
      <c r="J33" s="1071" t="str">
        <f t="shared" si="1"/>
        <v>A</v>
      </c>
      <c r="K33" s="1036"/>
      <c r="L33" s="1036"/>
      <c r="M33" s="1036"/>
      <c r="N33" s="1036"/>
      <c r="O33" s="1036"/>
      <c r="P33" s="1036"/>
      <c r="Q33" s="1036"/>
      <c r="R33" s="1036"/>
      <c r="S33" s="1036"/>
      <c r="T33" s="1036"/>
      <c r="U33" s="1036"/>
      <c r="V33" s="1036"/>
      <c r="W33" s="1036"/>
      <c r="X33" s="1036"/>
      <c r="Y33" s="1036"/>
      <c r="Z33" s="1036"/>
    </row>
    <row r="34" spans="1:26" ht="51">
      <c r="A34" s="1065" t="s">
        <v>14754</v>
      </c>
      <c r="B34" s="1066" t="s">
        <v>14472</v>
      </c>
      <c r="C34" s="1066" t="s">
        <v>14755</v>
      </c>
      <c r="D34" s="1067" t="s">
        <v>409</v>
      </c>
      <c r="E34" s="1068">
        <v>51.09</v>
      </c>
      <c r="F34" s="1069">
        <v>2141.85</v>
      </c>
      <c r="G34" s="1069">
        <v>109419.19</v>
      </c>
      <c r="H34" s="1070">
        <f t="shared" si="0"/>
        <v>7.4317771930672589E-3</v>
      </c>
      <c r="I34" s="1071">
        <f t="shared" si="2"/>
        <v>0.54579193916446433</v>
      </c>
      <c r="J34" s="1071" t="str">
        <f t="shared" si="1"/>
        <v>A</v>
      </c>
      <c r="K34" s="1036"/>
      <c r="L34" s="1036"/>
      <c r="M34" s="1036"/>
      <c r="N34" s="1036"/>
      <c r="O34" s="1036"/>
      <c r="P34" s="1036"/>
      <c r="Q34" s="1036"/>
      <c r="R34" s="1036"/>
      <c r="S34" s="1036"/>
      <c r="T34" s="1036"/>
      <c r="U34" s="1036"/>
      <c r="V34" s="1036"/>
      <c r="W34" s="1036"/>
      <c r="X34" s="1036"/>
      <c r="Y34" s="1036"/>
      <c r="Z34" s="1036"/>
    </row>
    <row r="35" spans="1:26" ht="51">
      <c r="A35" s="1065" t="s">
        <v>15060</v>
      </c>
      <c r="B35" s="1066" t="s">
        <v>14472</v>
      </c>
      <c r="C35" s="1066" t="s">
        <v>15941</v>
      </c>
      <c r="D35" s="1067" t="s">
        <v>409</v>
      </c>
      <c r="E35" s="1068">
        <v>171.81</v>
      </c>
      <c r="F35" s="1069">
        <v>619.25</v>
      </c>
      <c r="G35" s="1069">
        <v>106392.1</v>
      </c>
      <c r="H35" s="1070">
        <f t="shared" si="0"/>
        <v>7.2261765262796327E-3</v>
      </c>
      <c r="I35" s="1071">
        <f t="shared" si="2"/>
        <v>0.55301811569074399</v>
      </c>
      <c r="J35" s="1071" t="str">
        <f t="shared" si="1"/>
        <v>A</v>
      </c>
      <c r="K35" s="1036"/>
      <c r="L35" s="1036"/>
      <c r="M35" s="1036"/>
      <c r="N35" s="1036"/>
      <c r="O35" s="1036"/>
      <c r="P35" s="1036"/>
      <c r="Q35" s="1036"/>
      <c r="R35" s="1036"/>
      <c r="S35" s="1036"/>
      <c r="T35" s="1036"/>
      <c r="U35" s="1036"/>
      <c r="V35" s="1036"/>
      <c r="W35" s="1036"/>
      <c r="X35" s="1036"/>
      <c r="Y35" s="1036"/>
      <c r="Z35" s="1036"/>
    </row>
    <row r="36" spans="1:26" ht="51">
      <c r="A36" s="1065" t="s">
        <v>14960</v>
      </c>
      <c r="B36" s="1066" t="s">
        <v>14472</v>
      </c>
      <c r="C36" s="1066" t="s">
        <v>15942</v>
      </c>
      <c r="D36" s="1067" t="s">
        <v>409</v>
      </c>
      <c r="E36" s="1068">
        <v>269.74</v>
      </c>
      <c r="F36" s="1069">
        <v>358.16</v>
      </c>
      <c r="G36" s="1069">
        <v>96608.28</v>
      </c>
      <c r="H36" s="1070">
        <f t="shared" si="0"/>
        <v>6.561657164209091E-3</v>
      </c>
      <c r="I36" s="1071">
        <f t="shared" si="2"/>
        <v>0.55957977285495308</v>
      </c>
      <c r="J36" s="1071" t="str">
        <f t="shared" si="1"/>
        <v>A</v>
      </c>
      <c r="K36" s="1036"/>
      <c r="L36" s="1036"/>
      <c r="M36" s="1036"/>
      <c r="N36" s="1036"/>
      <c r="O36" s="1036"/>
      <c r="P36" s="1036"/>
      <c r="Q36" s="1036"/>
      <c r="R36" s="1036"/>
      <c r="S36" s="1036"/>
      <c r="T36" s="1036"/>
      <c r="U36" s="1036"/>
      <c r="V36" s="1036"/>
      <c r="W36" s="1036"/>
      <c r="X36" s="1036"/>
      <c r="Y36" s="1036"/>
      <c r="Z36" s="1036"/>
    </row>
    <row r="37" spans="1:26" ht="51">
      <c r="A37" s="1065" t="s">
        <v>14960</v>
      </c>
      <c r="B37" s="1066" t="s">
        <v>14472</v>
      </c>
      <c r="C37" s="1066" t="s">
        <v>15942</v>
      </c>
      <c r="D37" s="1067" t="s">
        <v>409</v>
      </c>
      <c r="E37" s="1068">
        <v>244.67</v>
      </c>
      <c r="F37" s="1069">
        <v>358.16</v>
      </c>
      <c r="G37" s="1069">
        <v>87631</v>
      </c>
      <c r="H37" s="1070">
        <f t="shared" si="0"/>
        <v>5.9519181891739183E-3</v>
      </c>
      <c r="I37" s="1071">
        <f t="shared" si="2"/>
        <v>0.56553169104412704</v>
      </c>
      <c r="J37" s="1071" t="str">
        <f t="shared" si="1"/>
        <v>A</v>
      </c>
      <c r="K37" s="1036"/>
      <c r="L37" s="1036"/>
      <c r="M37" s="1036"/>
      <c r="N37" s="1036"/>
      <c r="O37" s="1036"/>
      <c r="P37" s="1036"/>
      <c r="Q37" s="1036"/>
      <c r="R37" s="1036"/>
      <c r="S37" s="1036"/>
      <c r="T37" s="1036"/>
      <c r="U37" s="1036"/>
      <c r="V37" s="1036"/>
      <c r="W37" s="1036"/>
      <c r="X37" s="1036"/>
      <c r="Y37" s="1036"/>
      <c r="Z37" s="1036"/>
    </row>
    <row r="38" spans="1:26" ht="38.25">
      <c r="A38" s="1065">
        <v>99059</v>
      </c>
      <c r="B38" s="1066" t="s">
        <v>14476</v>
      </c>
      <c r="C38" s="1066" t="s">
        <v>15943</v>
      </c>
      <c r="D38" s="1067" t="s">
        <v>50</v>
      </c>
      <c r="E38" s="1068">
        <v>1139.8</v>
      </c>
      <c r="F38" s="1069">
        <v>75.959999999999994</v>
      </c>
      <c r="G38" s="1069">
        <v>86579.199999999997</v>
      </c>
      <c r="H38" s="1070">
        <f t="shared" si="0"/>
        <v>5.8804796850900534E-3</v>
      </c>
      <c r="I38" s="1071">
        <f t="shared" si="2"/>
        <v>0.57141217072921713</v>
      </c>
      <c r="J38" s="1071" t="str">
        <f t="shared" si="1"/>
        <v>A</v>
      </c>
      <c r="K38" s="1036"/>
      <c r="L38" s="1036"/>
      <c r="M38" s="1036"/>
      <c r="N38" s="1036"/>
      <c r="O38" s="1036"/>
      <c r="P38" s="1036"/>
      <c r="Q38" s="1036"/>
      <c r="R38" s="1036"/>
      <c r="S38" s="1036"/>
      <c r="T38" s="1036"/>
      <c r="U38" s="1036"/>
      <c r="V38" s="1036"/>
      <c r="W38" s="1036"/>
      <c r="X38" s="1036"/>
      <c r="Y38" s="1036"/>
      <c r="Z38" s="1036"/>
    </row>
    <row r="39" spans="1:26" ht="51">
      <c r="A39" s="1065" t="s">
        <v>14746</v>
      </c>
      <c r="B39" s="1066" t="s">
        <v>14472</v>
      </c>
      <c r="C39" s="1066" t="s">
        <v>15944</v>
      </c>
      <c r="D39" s="1067" t="s">
        <v>409</v>
      </c>
      <c r="E39" s="1068">
        <v>216.16</v>
      </c>
      <c r="F39" s="1069">
        <v>358.16</v>
      </c>
      <c r="G39" s="1069">
        <v>77419.86</v>
      </c>
      <c r="H39" s="1070">
        <f t="shared" si="0"/>
        <v>5.2583751519131158E-3</v>
      </c>
      <c r="I39" s="1071">
        <f t="shared" si="2"/>
        <v>0.5766705458811302</v>
      </c>
      <c r="J39" s="1071" t="str">
        <f t="shared" si="1"/>
        <v>A</v>
      </c>
      <c r="K39" s="1036"/>
      <c r="L39" s="1036"/>
      <c r="M39" s="1036"/>
      <c r="N39" s="1036"/>
      <c r="O39" s="1036"/>
      <c r="P39" s="1036"/>
      <c r="Q39" s="1036"/>
      <c r="R39" s="1036"/>
      <c r="S39" s="1036"/>
      <c r="T39" s="1036"/>
      <c r="U39" s="1036"/>
      <c r="V39" s="1036"/>
      <c r="W39" s="1036"/>
      <c r="X39" s="1036"/>
      <c r="Y39" s="1036"/>
      <c r="Z39" s="1036"/>
    </row>
    <row r="40" spans="1:26" ht="76.5">
      <c r="A40" s="1065" t="s">
        <v>14986</v>
      </c>
      <c r="B40" s="1066" t="s">
        <v>14472</v>
      </c>
      <c r="C40" s="1066" t="s">
        <v>14987</v>
      </c>
      <c r="D40" s="1067" t="s">
        <v>6</v>
      </c>
      <c r="E40" s="1068">
        <v>87</v>
      </c>
      <c r="F40" s="1069">
        <v>851.68</v>
      </c>
      <c r="G40" s="1069">
        <v>74096.160000000003</v>
      </c>
      <c r="H40" s="1070">
        <f t="shared" si="0"/>
        <v>5.0326286639652742E-3</v>
      </c>
      <c r="I40" s="1071">
        <f t="shared" si="2"/>
        <v>0.58170317454509546</v>
      </c>
      <c r="J40" s="1071" t="str">
        <f t="shared" si="1"/>
        <v>A</v>
      </c>
      <c r="K40" s="1036"/>
      <c r="L40" s="1036"/>
      <c r="M40" s="1036"/>
      <c r="N40" s="1036"/>
      <c r="O40" s="1036"/>
      <c r="P40" s="1036"/>
      <c r="Q40" s="1036"/>
      <c r="R40" s="1036"/>
      <c r="S40" s="1036"/>
      <c r="T40" s="1036"/>
      <c r="U40" s="1036"/>
      <c r="V40" s="1036"/>
      <c r="W40" s="1036"/>
      <c r="X40" s="1036"/>
      <c r="Y40" s="1036"/>
      <c r="Z40" s="1036"/>
    </row>
    <row r="41" spans="1:26" ht="63.75">
      <c r="A41" s="1065">
        <v>87775</v>
      </c>
      <c r="B41" s="1066" t="s">
        <v>14476</v>
      </c>
      <c r="C41" s="1066" t="s">
        <v>11326</v>
      </c>
      <c r="D41" s="1067" t="s">
        <v>409</v>
      </c>
      <c r="E41" s="1068">
        <v>1102.3800000000001</v>
      </c>
      <c r="F41" s="1069">
        <v>65.150000000000006</v>
      </c>
      <c r="G41" s="1069">
        <v>71820.05</v>
      </c>
      <c r="H41" s="1070">
        <f t="shared" si="0"/>
        <v>4.8780347359083003E-3</v>
      </c>
      <c r="I41" s="1071">
        <f t="shared" si="2"/>
        <v>0.58658120928100377</v>
      </c>
      <c r="J41" s="1071" t="str">
        <f t="shared" si="1"/>
        <v>A</v>
      </c>
      <c r="K41" s="1036"/>
      <c r="L41" s="1036"/>
      <c r="M41" s="1036"/>
      <c r="N41" s="1036"/>
      <c r="O41" s="1036"/>
      <c r="P41" s="1036"/>
      <c r="Q41" s="1036"/>
      <c r="R41" s="1036"/>
      <c r="S41" s="1036"/>
      <c r="T41" s="1036"/>
      <c r="U41" s="1036"/>
      <c r="V41" s="1036"/>
      <c r="W41" s="1036"/>
      <c r="X41" s="1036"/>
      <c r="Y41" s="1036"/>
      <c r="Z41" s="1036"/>
    </row>
    <row r="42" spans="1:26" ht="51">
      <c r="A42" s="1065" t="s">
        <v>14598</v>
      </c>
      <c r="B42" s="1066" t="s">
        <v>14472</v>
      </c>
      <c r="C42" s="1066" t="s">
        <v>14599</v>
      </c>
      <c r="D42" s="1067" t="s">
        <v>409</v>
      </c>
      <c r="E42" s="1068">
        <v>3717.6</v>
      </c>
      <c r="F42" s="1069">
        <v>17.95</v>
      </c>
      <c r="G42" s="1069">
        <v>66730.92</v>
      </c>
      <c r="H42" s="1070">
        <f t="shared" si="0"/>
        <v>4.5323798259555362E-3</v>
      </c>
      <c r="I42" s="1071">
        <f t="shared" si="2"/>
        <v>0.59111358910695933</v>
      </c>
      <c r="J42" s="1071" t="str">
        <f t="shared" si="1"/>
        <v>A</v>
      </c>
      <c r="K42" s="1036"/>
      <c r="L42" s="1036"/>
      <c r="M42" s="1036"/>
      <c r="N42" s="1036"/>
      <c r="O42" s="1036"/>
      <c r="P42" s="1036"/>
      <c r="Q42" s="1036"/>
      <c r="R42" s="1036"/>
      <c r="S42" s="1036"/>
      <c r="T42" s="1036"/>
      <c r="U42" s="1036"/>
      <c r="V42" s="1036"/>
      <c r="W42" s="1036"/>
      <c r="X42" s="1036"/>
      <c r="Y42" s="1036"/>
      <c r="Z42" s="1036"/>
    </row>
    <row r="43" spans="1:26" ht="25.5">
      <c r="A43" s="1065">
        <v>93572</v>
      </c>
      <c r="B43" s="1066" t="s">
        <v>14476</v>
      </c>
      <c r="C43" s="1066" t="s">
        <v>12209</v>
      </c>
      <c r="D43" s="1067" t="s">
        <v>156</v>
      </c>
      <c r="E43" s="1068">
        <v>10</v>
      </c>
      <c r="F43" s="1069">
        <v>6571.22</v>
      </c>
      <c r="G43" s="1069">
        <v>65712.2</v>
      </c>
      <c r="H43" s="1070">
        <f t="shared" si="0"/>
        <v>4.4631881232741191E-3</v>
      </c>
      <c r="I43" s="1071">
        <f t="shared" si="2"/>
        <v>0.59557677723023339</v>
      </c>
      <c r="J43" s="1071" t="str">
        <f t="shared" si="1"/>
        <v>A</v>
      </c>
      <c r="K43" s="1036"/>
      <c r="L43" s="1036"/>
      <c r="M43" s="1036"/>
      <c r="N43" s="1036"/>
      <c r="O43" s="1036"/>
      <c r="P43" s="1036"/>
      <c r="Q43" s="1036"/>
      <c r="R43" s="1036"/>
      <c r="S43" s="1036"/>
      <c r="T43" s="1036"/>
      <c r="U43" s="1036"/>
      <c r="V43" s="1036"/>
      <c r="W43" s="1036"/>
      <c r="X43" s="1036"/>
      <c r="Y43" s="1036"/>
      <c r="Z43" s="1036"/>
    </row>
    <row r="44" spans="1:26" ht="25.5">
      <c r="A44" s="1065">
        <v>100321</v>
      </c>
      <c r="B44" s="1066" t="s">
        <v>14476</v>
      </c>
      <c r="C44" s="1066" t="s">
        <v>12322</v>
      </c>
      <c r="D44" s="1067" t="s">
        <v>156</v>
      </c>
      <c r="E44" s="1068">
        <v>10</v>
      </c>
      <c r="F44" s="1069">
        <v>6541.25</v>
      </c>
      <c r="G44" s="1069">
        <v>65412.5</v>
      </c>
      <c r="H44" s="1070">
        <f t="shared" si="0"/>
        <v>4.4428324285850779E-3</v>
      </c>
      <c r="I44" s="1071">
        <f t="shared" si="2"/>
        <v>0.60001960965881851</v>
      </c>
      <c r="J44" s="1071" t="str">
        <f t="shared" si="1"/>
        <v>A</v>
      </c>
      <c r="K44" s="1036"/>
      <c r="L44" s="1036"/>
      <c r="M44" s="1036"/>
      <c r="N44" s="1036"/>
      <c r="O44" s="1036"/>
      <c r="P44" s="1036"/>
      <c r="Q44" s="1036"/>
      <c r="R44" s="1036"/>
      <c r="S44" s="1036"/>
      <c r="T44" s="1036"/>
      <c r="U44" s="1036"/>
      <c r="V44" s="1036"/>
      <c r="W44" s="1036"/>
      <c r="X44" s="1036"/>
      <c r="Y44" s="1036"/>
      <c r="Z44" s="1036"/>
    </row>
    <row r="45" spans="1:26" ht="51">
      <c r="A45" s="1065" t="s">
        <v>15060</v>
      </c>
      <c r="B45" s="1066" t="s">
        <v>14472</v>
      </c>
      <c r="C45" s="1066" t="s">
        <v>15941</v>
      </c>
      <c r="D45" s="1067" t="s">
        <v>409</v>
      </c>
      <c r="E45" s="1068">
        <v>102.91</v>
      </c>
      <c r="F45" s="1069">
        <v>619.25</v>
      </c>
      <c r="G45" s="1069">
        <v>63727.01</v>
      </c>
      <c r="H45" s="1070">
        <f t="shared" si="0"/>
        <v>4.3283535502352845E-3</v>
      </c>
      <c r="I45" s="1071">
        <f t="shared" si="2"/>
        <v>0.60434796320905382</v>
      </c>
      <c r="J45" s="1071" t="str">
        <f t="shared" si="1"/>
        <v>A</v>
      </c>
      <c r="K45" s="1036"/>
      <c r="L45" s="1036"/>
      <c r="M45" s="1036"/>
      <c r="N45" s="1036"/>
      <c r="O45" s="1036"/>
      <c r="P45" s="1036"/>
      <c r="Q45" s="1036"/>
      <c r="R45" s="1036"/>
      <c r="S45" s="1036"/>
      <c r="T45" s="1036"/>
      <c r="U45" s="1036"/>
      <c r="V45" s="1036"/>
      <c r="W45" s="1036"/>
      <c r="X45" s="1036"/>
      <c r="Y45" s="1036"/>
      <c r="Z45" s="1036"/>
    </row>
    <row r="46" spans="1:26" ht="38.25">
      <c r="A46" s="1065">
        <v>96622</v>
      </c>
      <c r="B46" s="1066" t="s">
        <v>14476</v>
      </c>
      <c r="C46" s="1066" t="s">
        <v>7168</v>
      </c>
      <c r="D46" s="1067" t="s">
        <v>152</v>
      </c>
      <c r="E46" s="1068">
        <v>185.88</v>
      </c>
      <c r="F46" s="1069">
        <v>340.78</v>
      </c>
      <c r="G46" s="1069">
        <v>63344.18</v>
      </c>
      <c r="H46" s="1070">
        <f t="shared" si="0"/>
        <v>4.3023516463387016E-3</v>
      </c>
      <c r="I46" s="1071">
        <f t="shared" si="2"/>
        <v>0.60865031485539256</v>
      </c>
      <c r="J46" s="1071" t="str">
        <f t="shared" si="1"/>
        <v>A</v>
      </c>
      <c r="K46" s="1036"/>
      <c r="L46" s="1036"/>
      <c r="M46" s="1036"/>
      <c r="N46" s="1036"/>
      <c r="O46" s="1036"/>
      <c r="P46" s="1036"/>
      <c r="Q46" s="1036"/>
      <c r="R46" s="1036"/>
      <c r="S46" s="1036"/>
      <c r="T46" s="1036"/>
      <c r="U46" s="1036"/>
      <c r="V46" s="1036"/>
      <c r="W46" s="1036"/>
      <c r="X46" s="1036"/>
      <c r="Y46" s="1036"/>
      <c r="Z46" s="1036"/>
    </row>
    <row r="47" spans="1:26" ht="25.5">
      <c r="A47" s="1065" t="s">
        <v>15099</v>
      </c>
      <c r="B47" s="1066" t="s">
        <v>14472</v>
      </c>
      <c r="C47" s="1066" t="s">
        <v>15100</v>
      </c>
      <c r="D47" s="1067" t="s">
        <v>6</v>
      </c>
      <c r="E47" s="1068">
        <v>32</v>
      </c>
      <c r="F47" s="1069">
        <v>1974.03</v>
      </c>
      <c r="G47" s="1069">
        <v>63168.959999999999</v>
      </c>
      <c r="H47" s="1070">
        <f t="shared" si="0"/>
        <v>4.2904506626102595E-3</v>
      </c>
      <c r="I47" s="1071">
        <f t="shared" si="2"/>
        <v>0.61294076551800281</v>
      </c>
      <c r="J47" s="1071" t="str">
        <f t="shared" si="1"/>
        <v>A</v>
      </c>
      <c r="K47" s="1036"/>
      <c r="L47" s="1036"/>
      <c r="M47" s="1036"/>
      <c r="N47" s="1036"/>
      <c r="O47" s="1036"/>
      <c r="P47" s="1036"/>
      <c r="Q47" s="1036"/>
      <c r="R47" s="1036"/>
      <c r="S47" s="1036"/>
      <c r="T47" s="1036"/>
      <c r="U47" s="1036"/>
      <c r="V47" s="1036"/>
      <c r="W47" s="1036"/>
      <c r="X47" s="1036"/>
      <c r="Y47" s="1036"/>
      <c r="Z47" s="1036"/>
    </row>
    <row r="48" spans="1:26" ht="76.5">
      <c r="A48" s="1065" t="s">
        <v>14993</v>
      </c>
      <c r="B48" s="1066" t="s">
        <v>14472</v>
      </c>
      <c r="C48" s="1066" t="s">
        <v>14994</v>
      </c>
      <c r="D48" s="1067" t="s">
        <v>50</v>
      </c>
      <c r="E48" s="1068">
        <v>68</v>
      </c>
      <c r="F48" s="1069">
        <v>918.93</v>
      </c>
      <c r="G48" s="1069">
        <v>62487.24</v>
      </c>
      <c r="H48" s="1070">
        <f t="shared" si="0"/>
        <v>4.2441480794156864E-3</v>
      </c>
      <c r="I48" s="1071">
        <f t="shared" si="2"/>
        <v>0.61718491359741845</v>
      </c>
      <c r="J48" s="1071" t="str">
        <f t="shared" si="1"/>
        <v>A</v>
      </c>
      <c r="K48" s="1036"/>
      <c r="L48" s="1036"/>
      <c r="M48" s="1036"/>
      <c r="N48" s="1036"/>
      <c r="O48" s="1036"/>
      <c r="P48" s="1036"/>
      <c r="Q48" s="1036"/>
      <c r="R48" s="1036"/>
      <c r="S48" s="1036"/>
      <c r="T48" s="1036"/>
      <c r="U48" s="1036"/>
      <c r="V48" s="1036"/>
      <c r="W48" s="1036"/>
      <c r="X48" s="1036"/>
      <c r="Y48" s="1036"/>
      <c r="Z48" s="1036"/>
    </row>
    <row r="49" spans="1:26" ht="38.25">
      <c r="A49" s="1065" t="s">
        <v>14885</v>
      </c>
      <c r="B49" s="1066" t="s">
        <v>14472</v>
      </c>
      <c r="C49" s="1066" t="s">
        <v>14886</v>
      </c>
      <c r="D49" s="1067" t="s">
        <v>409</v>
      </c>
      <c r="E49" s="1068">
        <v>320.43</v>
      </c>
      <c r="F49" s="1069">
        <v>186.75</v>
      </c>
      <c r="G49" s="1069">
        <v>59840.3</v>
      </c>
      <c r="H49" s="1070">
        <f t="shared" si="0"/>
        <v>4.0643672902925228E-3</v>
      </c>
      <c r="I49" s="1071">
        <f t="shared" si="2"/>
        <v>0.62124928088771092</v>
      </c>
      <c r="J49" s="1071" t="str">
        <f t="shared" si="1"/>
        <v>A</v>
      </c>
      <c r="K49" s="1036"/>
      <c r="L49" s="1036"/>
      <c r="M49" s="1036"/>
      <c r="N49" s="1036"/>
      <c r="O49" s="1036"/>
      <c r="P49" s="1036"/>
      <c r="Q49" s="1036"/>
      <c r="R49" s="1036"/>
      <c r="S49" s="1036"/>
      <c r="T49" s="1036"/>
      <c r="U49" s="1036"/>
      <c r="V49" s="1036"/>
      <c r="W49" s="1036"/>
      <c r="X49" s="1036"/>
      <c r="Y49" s="1036"/>
      <c r="Z49" s="1036"/>
    </row>
    <row r="50" spans="1:26" ht="63.75">
      <c r="A50" s="1065">
        <v>87775</v>
      </c>
      <c r="B50" s="1066" t="s">
        <v>14476</v>
      </c>
      <c r="C50" s="1066" t="s">
        <v>11326</v>
      </c>
      <c r="D50" s="1067" t="s">
        <v>409</v>
      </c>
      <c r="E50" s="1068">
        <v>830.08</v>
      </c>
      <c r="F50" s="1069">
        <v>65.150000000000006</v>
      </c>
      <c r="G50" s="1069">
        <v>54079.71</v>
      </c>
      <c r="H50" s="1070">
        <f t="shared" si="0"/>
        <v>3.6731066587651702E-3</v>
      </c>
      <c r="I50" s="1071">
        <f t="shared" si="2"/>
        <v>0.62492238754647611</v>
      </c>
      <c r="J50" s="1071" t="str">
        <f t="shared" si="1"/>
        <v>A</v>
      </c>
      <c r="K50" s="1036"/>
      <c r="L50" s="1036"/>
      <c r="M50" s="1036"/>
      <c r="N50" s="1036"/>
      <c r="O50" s="1036"/>
      <c r="P50" s="1036"/>
      <c r="Q50" s="1036"/>
      <c r="R50" s="1036"/>
      <c r="S50" s="1036"/>
      <c r="T50" s="1036"/>
      <c r="U50" s="1036"/>
      <c r="V50" s="1036"/>
      <c r="W50" s="1036"/>
      <c r="X50" s="1036"/>
      <c r="Y50" s="1036"/>
      <c r="Z50" s="1036"/>
    </row>
    <row r="51" spans="1:26" ht="38.25">
      <c r="A51" s="1065" t="s">
        <v>14729</v>
      </c>
      <c r="B51" s="1066" t="s">
        <v>14472</v>
      </c>
      <c r="C51" s="1066" t="s">
        <v>14730</v>
      </c>
      <c r="D51" s="1067" t="s">
        <v>409</v>
      </c>
      <c r="E51" s="1068">
        <v>173.43</v>
      </c>
      <c r="F51" s="1069">
        <v>304.16000000000003</v>
      </c>
      <c r="G51" s="1069">
        <v>52750.46</v>
      </c>
      <c r="H51" s="1070">
        <f t="shared" si="0"/>
        <v>3.5828236852402827E-3</v>
      </c>
      <c r="I51" s="1071">
        <f t="shared" si="2"/>
        <v>0.62850521123171643</v>
      </c>
      <c r="J51" s="1071" t="str">
        <f t="shared" si="1"/>
        <v>A</v>
      </c>
      <c r="K51" s="1036"/>
      <c r="L51" s="1036"/>
      <c r="M51" s="1036"/>
      <c r="N51" s="1036"/>
      <c r="O51" s="1036"/>
      <c r="P51" s="1036"/>
      <c r="Q51" s="1036"/>
      <c r="R51" s="1036"/>
      <c r="S51" s="1036"/>
      <c r="T51" s="1036"/>
      <c r="U51" s="1036"/>
      <c r="V51" s="1036"/>
      <c r="W51" s="1036"/>
      <c r="X51" s="1036"/>
      <c r="Y51" s="1036"/>
      <c r="Z51" s="1036"/>
    </row>
    <row r="52" spans="1:26" ht="51">
      <c r="A52" s="1065">
        <v>92466</v>
      </c>
      <c r="B52" s="1066" t="s">
        <v>14476</v>
      </c>
      <c r="C52" s="1066" t="s">
        <v>7249</v>
      </c>
      <c r="D52" s="1067" t="s">
        <v>409</v>
      </c>
      <c r="E52" s="1068">
        <v>131.62</v>
      </c>
      <c r="F52" s="1069">
        <v>397.87</v>
      </c>
      <c r="G52" s="1069">
        <v>52367.64</v>
      </c>
      <c r="H52" s="1070">
        <f t="shared" si="0"/>
        <v>3.5568224605460586E-3</v>
      </c>
      <c r="I52" s="1071">
        <f t="shared" si="2"/>
        <v>0.63206203369226244</v>
      </c>
      <c r="J52" s="1071" t="str">
        <f t="shared" si="1"/>
        <v>A</v>
      </c>
      <c r="K52" s="1036"/>
      <c r="L52" s="1036"/>
      <c r="M52" s="1036"/>
      <c r="N52" s="1036"/>
      <c r="O52" s="1036"/>
      <c r="P52" s="1036"/>
      <c r="Q52" s="1036"/>
      <c r="R52" s="1036"/>
      <c r="S52" s="1036"/>
      <c r="T52" s="1036"/>
      <c r="U52" s="1036"/>
      <c r="V52" s="1036"/>
      <c r="W52" s="1036"/>
      <c r="X52" s="1036"/>
      <c r="Y52" s="1036"/>
      <c r="Z52" s="1036"/>
    </row>
    <row r="53" spans="1:26" ht="25.5">
      <c r="A53" s="1065" t="s">
        <v>14571</v>
      </c>
      <c r="B53" s="1066" t="s">
        <v>14472</v>
      </c>
      <c r="C53" s="1066" t="s">
        <v>14572</v>
      </c>
      <c r="D53" s="1067" t="s">
        <v>156</v>
      </c>
      <c r="E53" s="1068">
        <v>2</v>
      </c>
      <c r="F53" s="1069">
        <v>25992.9</v>
      </c>
      <c r="G53" s="1069">
        <v>51985.8</v>
      </c>
      <c r="H53" s="1070">
        <f t="shared" si="0"/>
        <v>3.5308877976829834E-3</v>
      </c>
      <c r="I53" s="1071">
        <f t="shared" si="2"/>
        <v>0.63559292148994539</v>
      </c>
      <c r="J53" s="1071" t="str">
        <f t="shared" si="1"/>
        <v>A</v>
      </c>
      <c r="K53" s="1036"/>
      <c r="L53" s="1036"/>
      <c r="M53" s="1036"/>
      <c r="N53" s="1036"/>
      <c r="O53" s="1036"/>
      <c r="P53" s="1036"/>
      <c r="Q53" s="1036"/>
      <c r="R53" s="1036"/>
      <c r="S53" s="1036"/>
      <c r="T53" s="1036"/>
      <c r="U53" s="1036"/>
      <c r="V53" s="1036"/>
      <c r="W53" s="1036"/>
      <c r="X53" s="1036"/>
      <c r="Y53" s="1036"/>
      <c r="Z53" s="1036"/>
    </row>
    <row r="54" spans="1:26" ht="25.5">
      <c r="A54" s="1065" t="s">
        <v>14576</v>
      </c>
      <c r="B54" s="1066" t="s">
        <v>14472</v>
      </c>
      <c r="C54" s="1066" t="s">
        <v>14577</v>
      </c>
      <c r="D54" s="1067" t="s">
        <v>156</v>
      </c>
      <c r="E54" s="1068">
        <v>2</v>
      </c>
      <c r="F54" s="1069">
        <v>25992.9</v>
      </c>
      <c r="G54" s="1069">
        <v>51985.8</v>
      </c>
      <c r="H54" s="1070">
        <f t="shared" si="0"/>
        <v>3.5308877976829834E-3</v>
      </c>
      <c r="I54" s="1071">
        <f t="shared" si="2"/>
        <v>0.63912380928762835</v>
      </c>
      <c r="J54" s="1071" t="str">
        <f t="shared" si="1"/>
        <v>A</v>
      </c>
      <c r="K54" s="1036"/>
      <c r="L54" s="1036"/>
      <c r="M54" s="1036"/>
      <c r="N54" s="1036"/>
      <c r="O54" s="1036"/>
      <c r="P54" s="1036"/>
      <c r="Q54" s="1036"/>
      <c r="R54" s="1036"/>
      <c r="S54" s="1036"/>
      <c r="T54" s="1036"/>
      <c r="U54" s="1036"/>
      <c r="V54" s="1036"/>
      <c r="W54" s="1036"/>
      <c r="X54" s="1036"/>
      <c r="Y54" s="1036"/>
      <c r="Z54" s="1036"/>
    </row>
    <row r="55" spans="1:26" ht="38.25">
      <c r="A55" s="1065" t="s">
        <v>15024</v>
      </c>
      <c r="B55" s="1066" t="s">
        <v>14472</v>
      </c>
      <c r="C55" s="1066" t="s">
        <v>15025</v>
      </c>
      <c r="D55" s="1067" t="s">
        <v>409</v>
      </c>
      <c r="E55" s="1068">
        <v>53.01</v>
      </c>
      <c r="F55" s="1069">
        <v>977.08</v>
      </c>
      <c r="G55" s="1069">
        <v>51795.01</v>
      </c>
      <c r="H55" s="1070">
        <f t="shared" si="0"/>
        <v>3.5179292958821078E-3</v>
      </c>
      <c r="I55" s="1071">
        <f t="shared" si="2"/>
        <v>0.64264173858351048</v>
      </c>
      <c r="J55" s="1071" t="str">
        <f t="shared" si="1"/>
        <v>A</v>
      </c>
      <c r="K55" s="1036"/>
      <c r="L55" s="1036"/>
      <c r="M55" s="1036"/>
      <c r="N55" s="1036"/>
      <c r="O55" s="1036"/>
      <c r="P55" s="1036"/>
      <c r="Q55" s="1036"/>
      <c r="R55" s="1036"/>
      <c r="S55" s="1036"/>
      <c r="T55" s="1036"/>
      <c r="U55" s="1036"/>
      <c r="V55" s="1036"/>
      <c r="W55" s="1036"/>
      <c r="X55" s="1036"/>
      <c r="Y55" s="1036"/>
      <c r="Z55" s="1036"/>
    </row>
    <row r="56" spans="1:26" ht="38.25">
      <c r="A56" s="1065" t="s">
        <v>15259</v>
      </c>
      <c r="B56" s="1066" t="s">
        <v>14472</v>
      </c>
      <c r="C56" s="1066" t="s">
        <v>15260</v>
      </c>
      <c r="D56" s="1067" t="s">
        <v>6</v>
      </c>
      <c r="E56" s="1068">
        <v>23</v>
      </c>
      <c r="F56" s="1069">
        <v>2233.9</v>
      </c>
      <c r="G56" s="1069">
        <v>51379.7</v>
      </c>
      <c r="H56" s="1070">
        <f t="shared" si="0"/>
        <v>3.4897213427245968E-3</v>
      </c>
      <c r="I56" s="1071">
        <f t="shared" si="2"/>
        <v>0.64613145992623511</v>
      </c>
      <c r="J56" s="1071" t="str">
        <f t="shared" si="1"/>
        <v>A</v>
      </c>
      <c r="K56" s="1036"/>
      <c r="L56" s="1036"/>
      <c r="M56" s="1036"/>
      <c r="N56" s="1036"/>
      <c r="O56" s="1036"/>
      <c r="P56" s="1036"/>
      <c r="Q56" s="1036"/>
      <c r="R56" s="1036"/>
      <c r="S56" s="1036"/>
      <c r="T56" s="1036"/>
      <c r="U56" s="1036"/>
      <c r="V56" s="1036"/>
      <c r="W56" s="1036"/>
      <c r="X56" s="1036"/>
      <c r="Y56" s="1036"/>
      <c r="Z56" s="1036"/>
    </row>
    <row r="57" spans="1:26" ht="51">
      <c r="A57" s="1065">
        <v>94995</v>
      </c>
      <c r="B57" s="1066" t="s">
        <v>14476</v>
      </c>
      <c r="C57" s="1066" t="s">
        <v>11200</v>
      </c>
      <c r="D57" s="1067" t="s">
        <v>409</v>
      </c>
      <c r="E57" s="1068">
        <v>366.82</v>
      </c>
      <c r="F57" s="1069">
        <v>139.91999999999999</v>
      </c>
      <c r="G57" s="1069">
        <v>51325.45</v>
      </c>
      <c r="H57" s="1070">
        <f t="shared" si="0"/>
        <v>3.4860366699288664E-3</v>
      </c>
      <c r="I57" s="1071">
        <f t="shared" si="2"/>
        <v>0.64961749659616397</v>
      </c>
      <c r="J57" s="1071" t="str">
        <f t="shared" si="1"/>
        <v>A</v>
      </c>
      <c r="K57" s="1036"/>
      <c r="L57" s="1036"/>
      <c r="M57" s="1036"/>
      <c r="N57" s="1036"/>
      <c r="O57" s="1036"/>
      <c r="P57" s="1036"/>
      <c r="Q57" s="1036"/>
      <c r="R57" s="1036"/>
      <c r="S57" s="1036"/>
      <c r="T57" s="1036"/>
      <c r="U57" s="1036"/>
      <c r="V57" s="1036"/>
      <c r="W57" s="1036"/>
      <c r="X57" s="1036"/>
      <c r="Y57" s="1036"/>
      <c r="Z57" s="1036"/>
    </row>
    <row r="58" spans="1:26" ht="38.25">
      <c r="A58" s="1065" t="s">
        <v>14885</v>
      </c>
      <c r="B58" s="1066" t="s">
        <v>14472</v>
      </c>
      <c r="C58" s="1066" t="s">
        <v>14886</v>
      </c>
      <c r="D58" s="1067" t="s">
        <v>409</v>
      </c>
      <c r="E58" s="1068">
        <v>271.85000000000002</v>
      </c>
      <c r="F58" s="1069">
        <v>186.75</v>
      </c>
      <c r="G58" s="1069">
        <v>50768.73</v>
      </c>
      <c r="H58" s="1070">
        <f t="shared" si="0"/>
        <v>3.448224116217544E-3</v>
      </c>
      <c r="I58" s="1071">
        <f t="shared" si="2"/>
        <v>0.65306572071238156</v>
      </c>
      <c r="J58" s="1071" t="str">
        <f t="shared" si="1"/>
        <v>A</v>
      </c>
      <c r="K58" s="1036"/>
      <c r="L58" s="1036"/>
      <c r="M58" s="1036"/>
      <c r="N58" s="1036"/>
      <c r="O58" s="1036"/>
      <c r="P58" s="1036"/>
      <c r="Q58" s="1036"/>
      <c r="R58" s="1036"/>
      <c r="S58" s="1036"/>
      <c r="T58" s="1036"/>
      <c r="U58" s="1036"/>
      <c r="V58" s="1036"/>
      <c r="W58" s="1036"/>
      <c r="X58" s="1036"/>
      <c r="Y58" s="1036"/>
      <c r="Z58" s="1036"/>
    </row>
    <row r="59" spans="1:26" ht="63.75">
      <c r="A59" s="1065">
        <v>87775</v>
      </c>
      <c r="B59" s="1066" t="s">
        <v>14476</v>
      </c>
      <c r="C59" s="1066" t="s">
        <v>11326</v>
      </c>
      <c r="D59" s="1067" t="s">
        <v>409</v>
      </c>
      <c r="E59" s="1068">
        <v>759.04</v>
      </c>
      <c r="F59" s="1069">
        <v>65.150000000000006</v>
      </c>
      <c r="G59" s="1069">
        <v>49451.58</v>
      </c>
      <c r="H59" s="1070">
        <f t="shared" si="0"/>
        <v>3.3587629775466352E-3</v>
      </c>
      <c r="I59" s="1071">
        <f t="shared" si="2"/>
        <v>0.65642448368992823</v>
      </c>
      <c r="J59" s="1071" t="str">
        <f t="shared" si="1"/>
        <v>A</v>
      </c>
      <c r="K59" s="1036"/>
      <c r="L59" s="1036"/>
      <c r="M59" s="1036"/>
      <c r="N59" s="1036"/>
      <c r="O59" s="1036"/>
      <c r="P59" s="1036"/>
      <c r="Q59" s="1036"/>
      <c r="R59" s="1036"/>
      <c r="S59" s="1036"/>
      <c r="T59" s="1036"/>
      <c r="U59" s="1036"/>
      <c r="V59" s="1036"/>
      <c r="W59" s="1036"/>
      <c r="X59" s="1036"/>
      <c r="Y59" s="1036"/>
      <c r="Z59" s="1036"/>
    </row>
    <row r="60" spans="1:26" ht="14.25">
      <c r="A60" s="1065">
        <v>93563</v>
      </c>
      <c r="B60" s="1066" t="s">
        <v>14476</v>
      </c>
      <c r="C60" s="1066" t="s">
        <v>12192</v>
      </c>
      <c r="D60" s="1067" t="s">
        <v>156</v>
      </c>
      <c r="E60" s="1068">
        <v>10</v>
      </c>
      <c r="F60" s="1069">
        <v>4894.87</v>
      </c>
      <c r="G60" s="1069">
        <v>48948.7</v>
      </c>
      <c r="H60" s="1070">
        <f t="shared" si="0"/>
        <v>3.3246072493343377E-3</v>
      </c>
      <c r="I60" s="1071">
        <f t="shared" si="2"/>
        <v>0.65974909093926259</v>
      </c>
      <c r="J60" s="1071" t="str">
        <f t="shared" si="1"/>
        <v>A</v>
      </c>
      <c r="K60" s="1036"/>
      <c r="L60" s="1036"/>
      <c r="M60" s="1036"/>
      <c r="N60" s="1036"/>
      <c r="O60" s="1036"/>
      <c r="P60" s="1036"/>
      <c r="Q60" s="1036"/>
      <c r="R60" s="1036"/>
      <c r="S60" s="1036"/>
      <c r="T60" s="1036"/>
      <c r="U60" s="1036"/>
      <c r="V60" s="1036"/>
      <c r="W60" s="1036"/>
      <c r="X60" s="1036"/>
      <c r="Y60" s="1036"/>
      <c r="Z60" s="1036"/>
    </row>
    <row r="61" spans="1:26" ht="14.25">
      <c r="A61" s="1065">
        <v>94296</v>
      </c>
      <c r="B61" s="1066" t="s">
        <v>14476</v>
      </c>
      <c r="C61" s="1066" t="s">
        <v>12204</v>
      </c>
      <c r="D61" s="1067" t="s">
        <v>156</v>
      </c>
      <c r="E61" s="1068">
        <v>10</v>
      </c>
      <c r="F61" s="1069">
        <v>4890.45</v>
      </c>
      <c r="G61" s="1069">
        <v>48904.5</v>
      </c>
      <c r="H61" s="1070">
        <f t="shared" si="0"/>
        <v>3.3216051749090608E-3</v>
      </c>
      <c r="I61" s="1071">
        <f t="shared" si="2"/>
        <v>0.66307069611417169</v>
      </c>
      <c r="J61" s="1071" t="str">
        <f t="shared" si="1"/>
        <v>A</v>
      </c>
      <c r="K61" s="1036"/>
      <c r="L61" s="1036"/>
      <c r="M61" s="1036"/>
      <c r="N61" s="1036"/>
      <c r="O61" s="1036"/>
      <c r="P61" s="1036"/>
      <c r="Q61" s="1036"/>
      <c r="R61" s="1036"/>
      <c r="S61" s="1036"/>
      <c r="T61" s="1036"/>
      <c r="U61" s="1036"/>
      <c r="V61" s="1036"/>
      <c r="W61" s="1036"/>
      <c r="X61" s="1036"/>
      <c r="Y61" s="1036"/>
      <c r="Z61" s="1036"/>
    </row>
    <row r="62" spans="1:26" ht="51">
      <c r="A62" s="1065" t="s">
        <v>14748</v>
      </c>
      <c r="B62" s="1066" t="s">
        <v>14472</v>
      </c>
      <c r="C62" s="1066" t="s">
        <v>15945</v>
      </c>
      <c r="D62" s="1067" t="s">
        <v>409</v>
      </c>
      <c r="E62" s="1068">
        <v>218.08</v>
      </c>
      <c r="F62" s="1069">
        <v>218.8</v>
      </c>
      <c r="G62" s="1069">
        <v>47715.9</v>
      </c>
      <c r="H62" s="1070">
        <f t="shared" si="0"/>
        <v>3.2408751825587266E-3</v>
      </c>
      <c r="I62" s="1071">
        <f t="shared" si="2"/>
        <v>0.66631157129673046</v>
      </c>
      <c r="J62" s="1071" t="str">
        <f t="shared" si="1"/>
        <v>A</v>
      </c>
      <c r="K62" s="1036"/>
      <c r="L62" s="1036"/>
      <c r="M62" s="1036"/>
      <c r="N62" s="1036"/>
      <c r="O62" s="1036"/>
      <c r="P62" s="1036"/>
      <c r="Q62" s="1036"/>
      <c r="R62" s="1036"/>
      <c r="S62" s="1036"/>
      <c r="T62" s="1036"/>
      <c r="U62" s="1036"/>
      <c r="V62" s="1036"/>
      <c r="W62" s="1036"/>
      <c r="X62" s="1036"/>
      <c r="Y62" s="1036"/>
      <c r="Z62" s="1036"/>
    </row>
    <row r="63" spans="1:26" ht="38.25">
      <c r="A63" s="1065">
        <v>96558</v>
      </c>
      <c r="B63" s="1066" t="s">
        <v>14476</v>
      </c>
      <c r="C63" s="1066" t="s">
        <v>7548</v>
      </c>
      <c r="D63" s="1067" t="s">
        <v>152</v>
      </c>
      <c r="E63" s="1068">
        <v>37.78</v>
      </c>
      <c r="F63" s="1069">
        <v>1262.0999999999999</v>
      </c>
      <c r="G63" s="1069">
        <v>47682.13</v>
      </c>
      <c r="H63" s="1070">
        <f t="shared" si="0"/>
        <v>3.2385815161935314E-3</v>
      </c>
      <c r="I63" s="1071">
        <f t="shared" si="2"/>
        <v>0.66955015281292396</v>
      </c>
      <c r="J63" s="1071" t="str">
        <f t="shared" si="1"/>
        <v>A</v>
      </c>
      <c r="K63" s="1036"/>
      <c r="L63" s="1036"/>
      <c r="M63" s="1036"/>
      <c r="N63" s="1036"/>
      <c r="O63" s="1036"/>
      <c r="P63" s="1036"/>
      <c r="Q63" s="1036"/>
      <c r="R63" s="1036"/>
      <c r="S63" s="1036"/>
      <c r="T63" s="1036"/>
      <c r="U63" s="1036"/>
      <c r="V63" s="1036"/>
      <c r="W63" s="1036"/>
      <c r="X63" s="1036"/>
      <c r="Y63" s="1036"/>
      <c r="Z63" s="1036"/>
    </row>
    <row r="64" spans="1:26" ht="38.25">
      <c r="A64" s="1065" t="s">
        <v>15024</v>
      </c>
      <c r="B64" s="1066" t="s">
        <v>14472</v>
      </c>
      <c r="C64" s="1066" t="s">
        <v>15025</v>
      </c>
      <c r="D64" s="1067" t="s">
        <v>409</v>
      </c>
      <c r="E64" s="1068">
        <v>47.73</v>
      </c>
      <c r="F64" s="1069">
        <v>977.08</v>
      </c>
      <c r="G64" s="1069">
        <v>46634.07</v>
      </c>
      <c r="H64" s="1070">
        <f t="shared" si="0"/>
        <v>3.1673970337918059E-3</v>
      </c>
      <c r="I64" s="1071">
        <f t="shared" si="2"/>
        <v>0.67271754984671572</v>
      </c>
      <c r="J64" s="1071" t="str">
        <f t="shared" si="1"/>
        <v>A</v>
      </c>
      <c r="K64" s="1036"/>
      <c r="L64" s="1036"/>
      <c r="M64" s="1036"/>
      <c r="N64" s="1036"/>
      <c r="O64" s="1036"/>
      <c r="P64" s="1036"/>
      <c r="Q64" s="1036"/>
      <c r="R64" s="1036"/>
      <c r="S64" s="1036"/>
      <c r="T64" s="1036"/>
      <c r="U64" s="1036"/>
      <c r="V64" s="1036"/>
      <c r="W64" s="1036"/>
      <c r="X64" s="1036"/>
      <c r="Y64" s="1036"/>
      <c r="Z64" s="1036"/>
    </row>
    <row r="65" spans="1:26" ht="51">
      <c r="A65" s="1065">
        <v>100757</v>
      </c>
      <c r="B65" s="1066" t="s">
        <v>14476</v>
      </c>
      <c r="C65" s="1066" t="s">
        <v>11097</v>
      </c>
      <c r="D65" s="1067" t="s">
        <v>409</v>
      </c>
      <c r="E65" s="1068">
        <v>818.08</v>
      </c>
      <c r="F65" s="1069">
        <v>56.73</v>
      </c>
      <c r="G65" s="1069">
        <v>46409.67</v>
      </c>
      <c r="H65" s="1070">
        <f t="shared" si="0"/>
        <v>3.1521557328634741E-3</v>
      </c>
      <c r="I65" s="1071">
        <f t="shared" si="2"/>
        <v>0.67586970557957915</v>
      </c>
      <c r="J65" s="1071" t="str">
        <f t="shared" si="1"/>
        <v>A</v>
      </c>
      <c r="K65" s="1036"/>
      <c r="L65" s="1036"/>
      <c r="M65" s="1036"/>
      <c r="N65" s="1036"/>
      <c r="O65" s="1036"/>
      <c r="P65" s="1036"/>
      <c r="Q65" s="1036"/>
      <c r="R65" s="1036"/>
      <c r="S65" s="1036"/>
      <c r="T65" s="1036"/>
      <c r="U65" s="1036"/>
      <c r="V65" s="1036"/>
      <c r="W65" s="1036"/>
      <c r="X65" s="1036"/>
      <c r="Y65" s="1036"/>
      <c r="Z65" s="1036"/>
    </row>
    <row r="66" spans="1:26" ht="38.25">
      <c r="A66" s="1065" t="s">
        <v>15311</v>
      </c>
      <c r="B66" s="1066" t="s">
        <v>14472</v>
      </c>
      <c r="C66" s="1066" t="s">
        <v>15312</v>
      </c>
      <c r="D66" s="1067" t="s">
        <v>6</v>
      </c>
      <c r="E66" s="1068">
        <v>13</v>
      </c>
      <c r="F66" s="1069">
        <v>3533.76</v>
      </c>
      <c r="G66" s="1069">
        <v>45938.879999999997</v>
      </c>
      <c r="H66" s="1070">
        <f t="shared" si="0"/>
        <v>3.1201795650201178E-3</v>
      </c>
      <c r="I66" s="1071">
        <f t="shared" si="2"/>
        <v>0.67898988514459924</v>
      </c>
      <c r="J66" s="1071" t="str">
        <f t="shared" si="1"/>
        <v>A</v>
      </c>
      <c r="K66" s="1036"/>
      <c r="L66" s="1036"/>
      <c r="M66" s="1036"/>
      <c r="N66" s="1036"/>
      <c r="O66" s="1036"/>
      <c r="P66" s="1036"/>
      <c r="Q66" s="1036"/>
      <c r="R66" s="1036"/>
      <c r="S66" s="1036"/>
      <c r="T66" s="1036"/>
      <c r="U66" s="1036"/>
      <c r="V66" s="1036"/>
      <c r="W66" s="1036"/>
      <c r="X66" s="1036"/>
      <c r="Y66" s="1036"/>
      <c r="Z66" s="1036"/>
    </row>
    <row r="67" spans="1:26" ht="51">
      <c r="A67" s="1065" t="s">
        <v>14746</v>
      </c>
      <c r="B67" s="1066" t="s">
        <v>14472</v>
      </c>
      <c r="C67" s="1066" t="s">
        <v>15944</v>
      </c>
      <c r="D67" s="1067" t="s">
        <v>409</v>
      </c>
      <c r="E67" s="1068">
        <v>126.75</v>
      </c>
      <c r="F67" s="1069">
        <v>358.16</v>
      </c>
      <c r="G67" s="1069">
        <v>45396.78</v>
      </c>
      <c r="H67" s="1070">
        <f t="shared" si="0"/>
        <v>3.0833600051571562E-3</v>
      </c>
      <c r="I67" s="1071">
        <f t="shared" si="2"/>
        <v>0.68207324514975642</v>
      </c>
      <c r="J67" s="1071" t="str">
        <f t="shared" si="1"/>
        <v>A</v>
      </c>
      <c r="K67" s="1036"/>
      <c r="L67" s="1036"/>
      <c r="M67" s="1036"/>
      <c r="N67" s="1036"/>
      <c r="O67" s="1036"/>
      <c r="P67" s="1036"/>
      <c r="Q67" s="1036"/>
      <c r="R67" s="1036"/>
      <c r="S67" s="1036"/>
      <c r="T67" s="1036"/>
      <c r="U67" s="1036"/>
      <c r="V67" s="1036"/>
      <c r="W67" s="1036"/>
      <c r="X67" s="1036"/>
      <c r="Y67" s="1036"/>
      <c r="Z67" s="1036"/>
    </row>
    <row r="68" spans="1:26" ht="14.25">
      <c r="A68" s="1065">
        <v>100289</v>
      </c>
      <c r="B68" s="1066" t="s">
        <v>14476</v>
      </c>
      <c r="C68" s="1066" t="s">
        <v>12312</v>
      </c>
      <c r="D68" s="1067" t="s">
        <v>154</v>
      </c>
      <c r="E68" s="1068">
        <v>1760</v>
      </c>
      <c r="F68" s="1069">
        <v>25.73</v>
      </c>
      <c r="G68" s="1069">
        <v>45284.800000000003</v>
      </c>
      <c r="H68" s="1070">
        <f t="shared" si="0"/>
        <v>3.0757542971448812E-3</v>
      </c>
      <c r="I68" s="1071">
        <f t="shared" si="2"/>
        <v>0.68514899944690133</v>
      </c>
      <c r="J68" s="1071" t="str">
        <f t="shared" si="1"/>
        <v>A</v>
      </c>
      <c r="K68" s="1036"/>
      <c r="L68" s="1036"/>
      <c r="M68" s="1036"/>
      <c r="N68" s="1036"/>
      <c r="O68" s="1036"/>
      <c r="P68" s="1036"/>
      <c r="Q68" s="1036"/>
      <c r="R68" s="1036"/>
      <c r="S68" s="1036"/>
      <c r="T68" s="1036"/>
      <c r="U68" s="1036"/>
      <c r="V68" s="1036"/>
      <c r="W68" s="1036"/>
      <c r="X68" s="1036"/>
      <c r="Y68" s="1036"/>
      <c r="Z68" s="1036"/>
    </row>
    <row r="69" spans="1:26" ht="76.5">
      <c r="A69" s="1065" t="s">
        <v>14926</v>
      </c>
      <c r="B69" s="1066" t="s">
        <v>14472</v>
      </c>
      <c r="C69" s="1066" t="s">
        <v>14927</v>
      </c>
      <c r="D69" s="1067" t="s">
        <v>50</v>
      </c>
      <c r="E69" s="1068">
        <v>141.65</v>
      </c>
      <c r="F69" s="1069">
        <v>318.75</v>
      </c>
      <c r="G69" s="1069">
        <v>45150.93</v>
      </c>
      <c r="H69" s="1070">
        <f t="shared" si="0"/>
        <v>3.0666618151694988E-3</v>
      </c>
      <c r="I69" s="1071">
        <f t="shared" si="2"/>
        <v>0.68821566126207079</v>
      </c>
      <c r="J69" s="1071" t="str">
        <f t="shared" si="1"/>
        <v>A</v>
      </c>
      <c r="K69" s="1036"/>
      <c r="L69" s="1036"/>
      <c r="M69" s="1036"/>
      <c r="N69" s="1036"/>
      <c r="O69" s="1036"/>
      <c r="P69" s="1036"/>
      <c r="Q69" s="1036"/>
      <c r="R69" s="1036"/>
      <c r="S69" s="1036"/>
      <c r="T69" s="1036"/>
      <c r="U69" s="1036"/>
      <c r="V69" s="1036"/>
      <c r="W69" s="1036"/>
      <c r="X69" s="1036"/>
      <c r="Y69" s="1036"/>
      <c r="Z69" s="1036"/>
    </row>
    <row r="70" spans="1:26" ht="38.25">
      <c r="A70" s="1065">
        <v>103685</v>
      </c>
      <c r="B70" s="1066" t="s">
        <v>14476</v>
      </c>
      <c r="C70" s="1066" t="s">
        <v>7592</v>
      </c>
      <c r="D70" s="1067" t="s">
        <v>152</v>
      </c>
      <c r="E70" s="1068">
        <v>39.81</v>
      </c>
      <c r="F70" s="1069">
        <v>1091.23</v>
      </c>
      <c r="G70" s="1069">
        <v>43441.86</v>
      </c>
      <c r="H70" s="1070">
        <f t="shared" si="0"/>
        <v>2.950581377657985E-3</v>
      </c>
      <c r="I70" s="1071">
        <f t="shared" si="2"/>
        <v>0.69116624263972881</v>
      </c>
      <c r="J70" s="1071" t="str">
        <f t="shared" si="1"/>
        <v>A</v>
      </c>
      <c r="K70" s="1036"/>
      <c r="L70" s="1036"/>
      <c r="M70" s="1036"/>
      <c r="N70" s="1036"/>
      <c r="O70" s="1036"/>
      <c r="P70" s="1036"/>
      <c r="Q70" s="1036"/>
      <c r="R70" s="1036"/>
      <c r="S70" s="1036"/>
      <c r="T70" s="1036"/>
      <c r="U70" s="1036"/>
      <c r="V70" s="1036"/>
      <c r="W70" s="1036"/>
      <c r="X70" s="1036"/>
      <c r="Y70" s="1036"/>
      <c r="Z70" s="1036"/>
    </row>
    <row r="71" spans="1:26" ht="38.25">
      <c r="A71" s="1065" t="s">
        <v>14911</v>
      </c>
      <c r="B71" s="1066" t="s">
        <v>14472</v>
      </c>
      <c r="C71" s="1066" t="s">
        <v>15946</v>
      </c>
      <c r="D71" s="1067" t="s">
        <v>409</v>
      </c>
      <c r="E71" s="1068">
        <v>47.91</v>
      </c>
      <c r="F71" s="1069">
        <v>890.03</v>
      </c>
      <c r="G71" s="1069">
        <v>42641.33</v>
      </c>
      <c r="H71" s="1070">
        <f t="shared" si="0"/>
        <v>2.896209191240172E-3</v>
      </c>
      <c r="I71" s="1071">
        <f t="shared" si="2"/>
        <v>0.69406245183096893</v>
      </c>
      <c r="J71" s="1071" t="str">
        <f t="shared" si="1"/>
        <v>A</v>
      </c>
      <c r="K71" s="1036"/>
      <c r="L71" s="1036"/>
      <c r="M71" s="1036"/>
      <c r="N71" s="1036"/>
      <c r="O71" s="1036"/>
      <c r="P71" s="1036"/>
      <c r="Q71" s="1036"/>
      <c r="R71" s="1036"/>
      <c r="S71" s="1036"/>
      <c r="T71" s="1036"/>
      <c r="U71" s="1036"/>
      <c r="V71" s="1036"/>
      <c r="W71" s="1036"/>
      <c r="X71" s="1036"/>
      <c r="Y71" s="1036"/>
      <c r="Z71" s="1036"/>
    </row>
    <row r="72" spans="1:26" ht="51">
      <c r="A72" s="1065">
        <v>103324</v>
      </c>
      <c r="B72" s="1066" t="s">
        <v>14476</v>
      </c>
      <c r="C72" s="1066" t="s">
        <v>10760</v>
      </c>
      <c r="D72" s="1067" t="s">
        <v>409</v>
      </c>
      <c r="E72" s="1068">
        <v>379.56</v>
      </c>
      <c r="F72" s="1069">
        <v>110.11</v>
      </c>
      <c r="G72" s="1069">
        <v>41793.35</v>
      </c>
      <c r="H72" s="1070">
        <f t="shared" si="0"/>
        <v>2.8386141896305163E-3</v>
      </c>
      <c r="I72" s="1071">
        <f t="shared" si="2"/>
        <v>0.69690106602059942</v>
      </c>
      <c r="J72" s="1071" t="str">
        <f t="shared" si="1"/>
        <v>A</v>
      </c>
      <c r="K72" s="1036"/>
      <c r="L72" s="1036"/>
      <c r="M72" s="1036"/>
      <c r="N72" s="1036"/>
      <c r="O72" s="1036"/>
      <c r="P72" s="1036"/>
      <c r="Q72" s="1036"/>
      <c r="R72" s="1036"/>
      <c r="S72" s="1036"/>
      <c r="T72" s="1036"/>
      <c r="U72" s="1036"/>
      <c r="V72" s="1036"/>
      <c r="W72" s="1036"/>
      <c r="X72" s="1036"/>
      <c r="Y72" s="1036"/>
      <c r="Z72" s="1036"/>
    </row>
    <row r="73" spans="1:26" ht="51">
      <c r="A73" s="1065" t="s">
        <v>14511</v>
      </c>
      <c r="B73" s="1066" t="s">
        <v>14472</v>
      </c>
      <c r="C73" s="1066" t="s">
        <v>14512</v>
      </c>
      <c r="D73" s="1067" t="s">
        <v>6</v>
      </c>
      <c r="E73" s="1068">
        <v>2</v>
      </c>
      <c r="F73" s="1069">
        <v>20856.25</v>
      </c>
      <c r="G73" s="1069">
        <v>41712.5</v>
      </c>
      <c r="H73" s="1070">
        <f t="shared" si="0"/>
        <v>2.8331228385607499E-3</v>
      </c>
      <c r="I73" s="1071">
        <f t="shared" si="2"/>
        <v>0.69973418885916017</v>
      </c>
      <c r="J73" s="1071" t="str">
        <f t="shared" si="1"/>
        <v>A</v>
      </c>
      <c r="K73" s="1036"/>
      <c r="L73" s="1036"/>
      <c r="M73" s="1036"/>
      <c r="N73" s="1036"/>
      <c r="O73" s="1036"/>
      <c r="P73" s="1036"/>
      <c r="Q73" s="1036"/>
      <c r="R73" s="1036"/>
      <c r="S73" s="1036"/>
      <c r="T73" s="1036"/>
      <c r="U73" s="1036"/>
      <c r="V73" s="1036"/>
      <c r="W73" s="1036"/>
      <c r="X73" s="1036"/>
      <c r="Y73" s="1036"/>
      <c r="Z73" s="1036"/>
    </row>
    <row r="74" spans="1:26" ht="51">
      <c r="A74" s="1065" t="s">
        <v>12604</v>
      </c>
      <c r="B74" s="1066" t="s">
        <v>14472</v>
      </c>
      <c r="C74" s="1066" t="s">
        <v>15937</v>
      </c>
      <c r="D74" s="1067" t="s">
        <v>409</v>
      </c>
      <c r="E74" s="1068">
        <v>290.11</v>
      </c>
      <c r="F74" s="1069">
        <v>142.27000000000001</v>
      </c>
      <c r="G74" s="1069">
        <v>41273.94</v>
      </c>
      <c r="H74" s="1070">
        <f t="shared" si="0"/>
        <v>2.8033357399193546E-3</v>
      </c>
      <c r="I74" s="1071">
        <f t="shared" si="2"/>
        <v>0.70253752459907948</v>
      </c>
      <c r="J74" s="1071" t="str">
        <f t="shared" si="1"/>
        <v>A</v>
      </c>
      <c r="K74" s="1036"/>
      <c r="L74" s="1036"/>
      <c r="M74" s="1036"/>
      <c r="N74" s="1036"/>
      <c r="O74" s="1036"/>
      <c r="P74" s="1036"/>
      <c r="Q74" s="1036"/>
      <c r="R74" s="1036"/>
      <c r="S74" s="1036"/>
      <c r="T74" s="1036"/>
      <c r="U74" s="1036"/>
      <c r="V74" s="1036"/>
      <c r="W74" s="1036"/>
      <c r="X74" s="1036"/>
      <c r="Y74" s="1036"/>
      <c r="Z74" s="1036"/>
    </row>
    <row r="75" spans="1:26" ht="76.5">
      <c r="A75" s="1065" t="s">
        <v>15414</v>
      </c>
      <c r="B75" s="1066" t="s">
        <v>14472</v>
      </c>
      <c r="C75" s="1066" t="s">
        <v>15415</v>
      </c>
      <c r="D75" s="1067" t="s">
        <v>50</v>
      </c>
      <c r="E75" s="1068">
        <v>90</v>
      </c>
      <c r="F75" s="1069">
        <v>452.16</v>
      </c>
      <c r="G75" s="1069">
        <v>40694.400000000001</v>
      </c>
      <c r="H75" s="1070">
        <f t="shared" si="0"/>
        <v>2.7639732464255699E-3</v>
      </c>
      <c r="I75" s="1071">
        <f t="shared" si="2"/>
        <v>0.705301497845505</v>
      </c>
      <c r="J75" s="1071" t="str">
        <f t="shared" si="1"/>
        <v>A</v>
      </c>
      <c r="K75" s="1036"/>
      <c r="L75" s="1036"/>
      <c r="M75" s="1036"/>
      <c r="N75" s="1036"/>
      <c r="O75" s="1036"/>
      <c r="P75" s="1036"/>
      <c r="Q75" s="1036"/>
      <c r="R75" s="1036"/>
      <c r="S75" s="1036"/>
      <c r="T75" s="1036"/>
      <c r="U75" s="1036"/>
      <c r="V75" s="1036"/>
      <c r="W75" s="1036"/>
      <c r="X75" s="1036"/>
      <c r="Y75" s="1036"/>
      <c r="Z75" s="1036"/>
    </row>
    <row r="76" spans="1:26" ht="25.5">
      <c r="A76" s="1065" t="s">
        <v>15032</v>
      </c>
      <c r="B76" s="1066" t="s">
        <v>14472</v>
      </c>
      <c r="C76" s="1066" t="s">
        <v>15033</v>
      </c>
      <c r="D76" s="1067" t="s">
        <v>409</v>
      </c>
      <c r="E76" s="1068">
        <v>186.04</v>
      </c>
      <c r="F76" s="1069">
        <v>217.43</v>
      </c>
      <c r="G76" s="1069">
        <v>40450.67</v>
      </c>
      <c r="H76" s="1070">
        <f t="shared" si="0"/>
        <v>2.7474190473379483E-3</v>
      </c>
      <c r="I76" s="1071">
        <f t="shared" si="2"/>
        <v>0.70804891689284299</v>
      </c>
      <c r="J76" s="1071" t="str">
        <f t="shared" si="1"/>
        <v>A</v>
      </c>
      <c r="K76" s="1036"/>
      <c r="L76" s="1036"/>
      <c r="M76" s="1036"/>
      <c r="N76" s="1036"/>
      <c r="O76" s="1036"/>
      <c r="P76" s="1036"/>
      <c r="Q76" s="1036"/>
      <c r="R76" s="1036"/>
      <c r="S76" s="1036"/>
      <c r="T76" s="1036"/>
      <c r="U76" s="1036"/>
      <c r="V76" s="1036"/>
      <c r="W76" s="1036"/>
      <c r="X76" s="1036"/>
      <c r="Y76" s="1036"/>
      <c r="Z76" s="1036"/>
    </row>
    <row r="77" spans="1:26" ht="25.5">
      <c r="A77" s="1065">
        <v>100534</v>
      </c>
      <c r="B77" s="1066" t="s">
        <v>14476</v>
      </c>
      <c r="C77" s="1066" t="s">
        <v>12324</v>
      </c>
      <c r="D77" s="1067" t="s">
        <v>156</v>
      </c>
      <c r="E77" s="1068">
        <v>10</v>
      </c>
      <c r="F77" s="1069">
        <v>4015.51</v>
      </c>
      <c r="G77" s="1069">
        <v>40155.1</v>
      </c>
      <c r="H77" s="1070">
        <f t="shared" si="0"/>
        <v>2.7273438632230331E-3</v>
      </c>
      <c r="I77" s="1071">
        <f t="shared" si="2"/>
        <v>0.71077626075606604</v>
      </c>
      <c r="J77" s="1071" t="str">
        <f t="shared" si="1"/>
        <v>A</v>
      </c>
      <c r="K77" s="1036"/>
      <c r="L77" s="1036"/>
      <c r="M77" s="1036"/>
      <c r="N77" s="1036"/>
      <c r="O77" s="1036"/>
      <c r="P77" s="1036"/>
      <c r="Q77" s="1036"/>
      <c r="R77" s="1036"/>
      <c r="S77" s="1036"/>
      <c r="T77" s="1036"/>
      <c r="U77" s="1036"/>
      <c r="V77" s="1036"/>
      <c r="W77" s="1036"/>
      <c r="X77" s="1036"/>
      <c r="Y77" s="1036"/>
      <c r="Z77" s="1036"/>
    </row>
    <row r="78" spans="1:26" ht="63.75">
      <c r="A78" s="1065">
        <v>87775</v>
      </c>
      <c r="B78" s="1066" t="s">
        <v>14476</v>
      </c>
      <c r="C78" s="1066" t="s">
        <v>11326</v>
      </c>
      <c r="D78" s="1067" t="s">
        <v>409</v>
      </c>
      <c r="E78" s="1068">
        <v>601.62</v>
      </c>
      <c r="F78" s="1069">
        <v>65.150000000000006</v>
      </c>
      <c r="G78" s="1069">
        <v>39195.54</v>
      </c>
      <c r="H78" s="1070">
        <f t="shared" si="0"/>
        <v>2.6621703216954491E-3</v>
      </c>
      <c r="I78" s="1071">
        <f t="shared" si="2"/>
        <v>0.7134384310777615</v>
      </c>
      <c r="J78" s="1071" t="str">
        <f t="shared" si="1"/>
        <v>A</v>
      </c>
      <c r="K78" s="1036"/>
      <c r="L78" s="1036"/>
      <c r="M78" s="1036"/>
      <c r="N78" s="1036"/>
      <c r="O78" s="1036"/>
      <c r="P78" s="1036"/>
      <c r="Q78" s="1036"/>
      <c r="R78" s="1036"/>
      <c r="S78" s="1036"/>
      <c r="T78" s="1036"/>
      <c r="U78" s="1036"/>
      <c r="V78" s="1036"/>
      <c r="W78" s="1036"/>
      <c r="X78" s="1036"/>
      <c r="Y78" s="1036"/>
      <c r="Z78" s="1036"/>
    </row>
    <row r="79" spans="1:26" ht="51">
      <c r="A79" s="1065">
        <v>103324</v>
      </c>
      <c r="B79" s="1066" t="s">
        <v>14476</v>
      </c>
      <c r="C79" s="1066" t="s">
        <v>10760</v>
      </c>
      <c r="D79" s="1067" t="s">
        <v>409</v>
      </c>
      <c r="E79" s="1068">
        <v>353.61</v>
      </c>
      <c r="F79" s="1069">
        <v>110.11</v>
      </c>
      <c r="G79" s="1069">
        <v>38935.550000000003</v>
      </c>
      <c r="H79" s="1070">
        <f t="shared" si="0"/>
        <v>2.6445117395726466E-3</v>
      </c>
      <c r="I79" s="1071">
        <f t="shared" si="2"/>
        <v>0.7160829428173342</v>
      </c>
      <c r="J79" s="1071" t="str">
        <f t="shared" si="1"/>
        <v>A</v>
      </c>
      <c r="K79" s="1036"/>
      <c r="L79" s="1036"/>
      <c r="M79" s="1036"/>
      <c r="N79" s="1036"/>
      <c r="O79" s="1036"/>
      <c r="P79" s="1036"/>
      <c r="Q79" s="1036"/>
      <c r="R79" s="1036"/>
      <c r="S79" s="1036"/>
      <c r="T79" s="1036"/>
      <c r="U79" s="1036"/>
      <c r="V79" s="1036"/>
      <c r="W79" s="1036"/>
      <c r="X79" s="1036"/>
      <c r="Y79" s="1036"/>
      <c r="Z79" s="1036"/>
    </row>
    <row r="80" spans="1:26" ht="38.25">
      <c r="A80" s="1065" t="s">
        <v>15062</v>
      </c>
      <c r="B80" s="1066" t="s">
        <v>14472</v>
      </c>
      <c r="C80" s="1066" t="s">
        <v>15063</v>
      </c>
      <c r="D80" s="1067" t="s">
        <v>409</v>
      </c>
      <c r="E80" s="1068">
        <v>21.76</v>
      </c>
      <c r="F80" s="1069">
        <v>1782.33</v>
      </c>
      <c r="G80" s="1069">
        <v>38783.5</v>
      </c>
      <c r="H80" s="1070">
        <f t="shared" si="0"/>
        <v>2.6341844677092202E-3</v>
      </c>
      <c r="I80" s="1071">
        <f t="shared" si="2"/>
        <v>0.71871712728504344</v>
      </c>
      <c r="J80" s="1071" t="str">
        <f t="shared" si="1"/>
        <v>A</v>
      </c>
      <c r="K80" s="1036"/>
      <c r="L80" s="1036"/>
      <c r="M80" s="1036"/>
      <c r="N80" s="1036"/>
      <c r="O80" s="1036"/>
      <c r="P80" s="1036"/>
      <c r="Q80" s="1036"/>
      <c r="R80" s="1036"/>
      <c r="S80" s="1036"/>
      <c r="T80" s="1036"/>
      <c r="U80" s="1036"/>
      <c r="V80" s="1036"/>
      <c r="W80" s="1036"/>
      <c r="X80" s="1036"/>
      <c r="Y80" s="1036"/>
      <c r="Z80" s="1036"/>
    </row>
    <row r="81" spans="1:26" ht="38.25">
      <c r="A81" s="1065" t="s">
        <v>15062</v>
      </c>
      <c r="B81" s="1066" t="s">
        <v>14472</v>
      </c>
      <c r="C81" s="1066" t="s">
        <v>15063</v>
      </c>
      <c r="D81" s="1067" t="s">
        <v>409</v>
      </c>
      <c r="E81" s="1068">
        <v>21.76</v>
      </c>
      <c r="F81" s="1069">
        <v>1782.33</v>
      </c>
      <c r="G81" s="1069">
        <v>38783.5</v>
      </c>
      <c r="H81" s="1070">
        <f t="shared" si="0"/>
        <v>2.6341844677092202E-3</v>
      </c>
      <c r="I81" s="1071">
        <f t="shared" si="2"/>
        <v>0.72135131175275269</v>
      </c>
      <c r="J81" s="1071" t="str">
        <f t="shared" si="1"/>
        <v>A</v>
      </c>
      <c r="K81" s="1036"/>
      <c r="L81" s="1036"/>
      <c r="M81" s="1036"/>
      <c r="N81" s="1036"/>
      <c r="O81" s="1036"/>
      <c r="P81" s="1036"/>
      <c r="Q81" s="1036"/>
      <c r="R81" s="1036"/>
      <c r="S81" s="1036"/>
      <c r="T81" s="1036"/>
      <c r="U81" s="1036"/>
      <c r="V81" s="1036"/>
      <c r="W81" s="1036"/>
      <c r="X81" s="1036"/>
      <c r="Y81" s="1036"/>
      <c r="Z81" s="1036"/>
    </row>
    <row r="82" spans="1:26" ht="38.25">
      <c r="A82" s="1065" t="s">
        <v>14885</v>
      </c>
      <c r="B82" s="1066" t="s">
        <v>14472</v>
      </c>
      <c r="C82" s="1066" t="s">
        <v>14886</v>
      </c>
      <c r="D82" s="1067" t="s">
        <v>409</v>
      </c>
      <c r="E82" s="1068">
        <v>198.71</v>
      </c>
      <c r="F82" s="1069">
        <v>186.75</v>
      </c>
      <c r="G82" s="1069">
        <v>37109.089999999997</v>
      </c>
      <c r="H82" s="1070">
        <f t="shared" si="0"/>
        <v>2.5204581455728218E-3</v>
      </c>
      <c r="I82" s="1071">
        <f t="shared" si="2"/>
        <v>0.72387176989832547</v>
      </c>
      <c r="J82" s="1071" t="str">
        <f t="shared" si="1"/>
        <v>A</v>
      </c>
      <c r="K82" s="1036"/>
      <c r="L82" s="1036"/>
      <c r="M82" s="1036"/>
      <c r="N82" s="1036"/>
      <c r="O82" s="1036"/>
      <c r="P82" s="1036"/>
      <c r="Q82" s="1036"/>
      <c r="R82" s="1036"/>
      <c r="S82" s="1036"/>
      <c r="T82" s="1036"/>
      <c r="U82" s="1036"/>
      <c r="V82" s="1036"/>
      <c r="W82" s="1036"/>
      <c r="X82" s="1036"/>
      <c r="Y82" s="1036"/>
      <c r="Z82" s="1036"/>
    </row>
    <row r="83" spans="1:26" ht="51">
      <c r="A83" s="1065">
        <v>94995</v>
      </c>
      <c r="B83" s="1066" t="s">
        <v>14476</v>
      </c>
      <c r="C83" s="1066" t="s">
        <v>11200</v>
      </c>
      <c r="D83" s="1067" t="s">
        <v>409</v>
      </c>
      <c r="E83" s="1068">
        <v>248.17</v>
      </c>
      <c r="F83" s="1069">
        <v>139.91999999999999</v>
      </c>
      <c r="G83" s="1069">
        <v>34723.94</v>
      </c>
      <c r="H83" s="1070">
        <f t="shared" si="0"/>
        <v>2.3584581949970193E-3</v>
      </c>
      <c r="I83" s="1071">
        <f t="shared" si="2"/>
        <v>0.72623022809332249</v>
      </c>
      <c r="J83" s="1071" t="str">
        <f t="shared" si="1"/>
        <v>A</v>
      </c>
      <c r="K83" s="1036"/>
      <c r="L83" s="1036"/>
      <c r="M83" s="1036"/>
      <c r="N83" s="1036"/>
      <c r="O83" s="1036"/>
      <c r="P83" s="1036"/>
      <c r="Q83" s="1036"/>
      <c r="R83" s="1036"/>
      <c r="S83" s="1036"/>
      <c r="T83" s="1036"/>
      <c r="U83" s="1036"/>
      <c r="V83" s="1036"/>
      <c r="W83" s="1036"/>
      <c r="X83" s="1036"/>
      <c r="Y83" s="1036"/>
      <c r="Z83" s="1036"/>
    </row>
    <row r="84" spans="1:26" ht="25.5">
      <c r="A84" s="1065" t="s">
        <v>14590</v>
      </c>
      <c r="B84" s="1066" t="s">
        <v>14472</v>
      </c>
      <c r="C84" s="1066" t="s">
        <v>14591</v>
      </c>
      <c r="D84" s="1067" t="s">
        <v>152</v>
      </c>
      <c r="E84" s="1068">
        <v>31.59</v>
      </c>
      <c r="F84" s="1069">
        <v>1085.23</v>
      </c>
      <c r="G84" s="1069">
        <v>34282.410000000003</v>
      </c>
      <c r="H84" s="1070">
        <f t="shared" si="0"/>
        <v>2.3284693732551023E-3</v>
      </c>
      <c r="I84" s="1071">
        <f t="shared" si="2"/>
        <v>0.72855869746657764</v>
      </c>
      <c r="J84" s="1071" t="str">
        <f t="shared" si="1"/>
        <v>A</v>
      </c>
      <c r="K84" s="1036"/>
      <c r="L84" s="1036"/>
      <c r="M84" s="1036"/>
      <c r="N84" s="1036"/>
      <c r="O84" s="1036"/>
      <c r="P84" s="1036"/>
      <c r="Q84" s="1036"/>
      <c r="R84" s="1036"/>
      <c r="S84" s="1036"/>
      <c r="T84" s="1036"/>
      <c r="U84" s="1036"/>
      <c r="V84" s="1036"/>
      <c r="W84" s="1036"/>
      <c r="X84" s="1036"/>
      <c r="Y84" s="1036"/>
      <c r="Z84" s="1036"/>
    </row>
    <row r="85" spans="1:26" ht="38.25">
      <c r="A85" s="1065" t="s">
        <v>14744</v>
      </c>
      <c r="B85" s="1066" t="s">
        <v>14472</v>
      </c>
      <c r="C85" s="1066" t="s">
        <v>14745</v>
      </c>
      <c r="D85" s="1067" t="s">
        <v>409</v>
      </c>
      <c r="E85" s="1068">
        <v>92.19</v>
      </c>
      <c r="F85" s="1069">
        <v>367.27</v>
      </c>
      <c r="G85" s="1069">
        <v>33858.620000000003</v>
      </c>
      <c r="H85" s="1070">
        <f t="shared" si="0"/>
        <v>2.2996854564974476E-3</v>
      </c>
      <c r="I85" s="1071">
        <f t="shared" si="2"/>
        <v>0.73085838292307514</v>
      </c>
      <c r="J85" s="1071" t="str">
        <f t="shared" si="1"/>
        <v>A</v>
      </c>
      <c r="K85" s="1036"/>
      <c r="L85" s="1036"/>
      <c r="M85" s="1036"/>
      <c r="N85" s="1036"/>
      <c r="O85" s="1036"/>
      <c r="P85" s="1036"/>
      <c r="Q85" s="1036"/>
      <c r="R85" s="1036"/>
      <c r="S85" s="1036"/>
      <c r="T85" s="1036"/>
      <c r="U85" s="1036"/>
      <c r="V85" s="1036"/>
      <c r="W85" s="1036"/>
      <c r="X85" s="1036"/>
      <c r="Y85" s="1036"/>
      <c r="Z85" s="1036"/>
    </row>
    <row r="86" spans="1:26" ht="25.5">
      <c r="A86" s="1065" t="s">
        <v>15246</v>
      </c>
      <c r="B86" s="1066" t="s">
        <v>14472</v>
      </c>
      <c r="C86" s="1066" t="s">
        <v>15247</v>
      </c>
      <c r="D86" s="1067" t="s">
        <v>6</v>
      </c>
      <c r="E86" s="1068">
        <v>83</v>
      </c>
      <c r="F86" s="1069">
        <v>389.86</v>
      </c>
      <c r="G86" s="1069">
        <v>32358.38</v>
      </c>
      <c r="H86" s="1070">
        <f t="shared" si="0"/>
        <v>2.1977888018418316E-3</v>
      </c>
      <c r="I86" s="1071">
        <f t="shared" si="2"/>
        <v>0.73305617172491699</v>
      </c>
      <c r="J86" s="1071" t="str">
        <f t="shared" si="1"/>
        <v>A</v>
      </c>
      <c r="K86" s="1036"/>
      <c r="L86" s="1036"/>
      <c r="M86" s="1036"/>
      <c r="N86" s="1036"/>
      <c r="O86" s="1036"/>
      <c r="P86" s="1036"/>
      <c r="Q86" s="1036"/>
      <c r="R86" s="1036"/>
      <c r="S86" s="1036"/>
      <c r="T86" s="1036"/>
      <c r="U86" s="1036"/>
      <c r="V86" s="1036"/>
      <c r="W86" s="1036"/>
      <c r="X86" s="1036"/>
      <c r="Y86" s="1036"/>
      <c r="Z86" s="1036"/>
    </row>
    <row r="87" spans="1:26" ht="25.5">
      <c r="A87" s="1065">
        <v>96135</v>
      </c>
      <c r="B87" s="1066" t="s">
        <v>14476</v>
      </c>
      <c r="C87" s="1066" t="s">
        <v>11028</v>
      </c>
      <c r="D87" s="1067" t="s">
        <v>409</v>
      </c>
      <c r="E87" s="1068">
        <v>925.57</v>
      </c>
      <c r="F87" s="1069">
        <v>34.909999999999997</v>
      </c>
      <c r="G87" s="1069">
        <v>32311.64</v>
      </c>
      <c r="H87" s="1070">
        <f t="shared" si="0"/>
        <v>2.1946142100174545E-3</v>
      </c>
      <c r="I87" s="1071">
        <f t="shared" si="2"/>
        <v>0.73525078593493443</v>
      </c>
      <c r="J87" s="1071" t="str">
        <f t="shared" si="1"/>
        <v>A</v>
      </c>
      <c r="K87" s="1036"/>
      <c r="L87" s="1036"/>
      <c r="M87" s="1036"/>
      <c r="N87" s="1036"/>
      <c r="O87" s="1036"/>
      <c r="P87" s="1036"/>
      <c r="Q87" s="1036"/>
      <c r="R87" s="1036"/>
      <c r="S87" s="1036"/>
      <c r="T87" s="1036"/>
      <c r="U87" s="1036"/>
      <c r="V87" s="1036"/>
      <c r="W87" s="1036"/>
      <c r="X87" s="1036"/>
      <c r="Y87" s="1036"/>
      <c r="Z87" s="1036"/>
    </row>
    <row r="88" spans="1:26" ht="51">
      <c r="A88" s="1065">
        <v>103324</v>
      </c>
      <c r="B88" s="1066" t="s">
        <v>14476</v>
      </c>
      <c r="C88" s="1066" t="s">
        <v>10760</v>
      </c>
      <c r="D88" s="1067" t="s">
        <v>409</v>
      </c>
      <c r="E88" s="1068">
        <v>290.95</v>
      </c>
      <c r="F88" s="1069">
        <v>110.11</v>
      </c>
      <c r="G88" s="1069">
        <v>32036.5</v>
      </c>
      <c r="H88" s="1070">
        <f t="shared" si="0"/>
        <v>2.1759266363212816E-3</v>
      </c>
      <c r="I88" s="1071">
        <f t="shared" si="2"/>
        <v>0.73742671257125569</v>
      </c>
      <c r="J88" s="1071" t="str">
        <f t="shared" si="1"/>
        <v>A</v>
      </c>
      <c r="K88" s="1036"/>
      <c r="L88" s="1036"/>
      <c r="M88" s="1036"/>
      <c r="N88" s="1036"/>
      <c r="O88" s="1036"/>
      <c r="P88" s="1036"/>
      <c r="Q88" s="1036"/>
      <c r="R88" s="1036"/>
      <c r="S88" s="1036"/>
      <c r="T88" s="1036"/>
      <c r="U88" s="1036"/>
      <c r="V88" s="1036"/>
      <c r="W88" s="1036"/>
      <c r="X88" s="1036"/>
      <c r="Y88" s="1036"/>
      <c r="Z88" s="1036"/>
    </row>
    <row r="89" spans="1:26" ht="51">
      <c r="A89" s="1065">
        <v>92916</v>
      </c>
      <c r="B89" s="1066" t="s">
        <v>14476</v>
      </c>
      <c r="C89" s="1066" t="s">
        <v>7468</v>
      </c>
      <c r="D89" s="1067" t="s">
        <v>54</v>
      </c>
      <c r="E89" s="1068">
        <v>1546.36</v>
      </c>
      <c r="F89" s="1069">
        <v>20.37</v>
      </c>
      <c r="G89" s="1069">
        <v>31499.35</v>
      </c>
      <c r="H89" s="1070">
        <f t="shared" si="0"/>
        <v>2.1394432816258567E-3</v>
      </c>
      <c r="I89" s="1071">
        <f t="shared" si="2"/>
        <v>0.73956615585288155</v>
      </c>
      <c r="J89" s="1071" t="str">
        <f t="shared" si="1"/>
        <v>A</v>
      </c>
      <c r="K89" s="1036"/>
      <c r="L89" s="1036"/>
      <c r="M89" s="1036"/>
      <c r="N89" s="1036"/>
      <c r="O89" s="1036"/>
      <c r="P89" s="1036"/>
      <c r="Q89" s="1036"/>
      <c r="R89" s="1036"/>
      <c r="S89" s="1036"/>
      <c r="T89" s="1036"/>
      <c r="U89" s="1036"/>
      <c r="V89" s="1036"/>
      <c r="W89" s="1036"/>
      <c r="X89" s="1036"/>
      <c r="Y89" s="1036"/>
      <c r="Z89" s="1036"/>
    </row>
    <row r="90" spans="1:26" ht="51">
      <c r="A90" s="1065">
        <v>92466</v>
      </c>
      <c r="B90" s="1066" t="s">
        <v>14476</v>
      </c>
      <c r="C90" s="1066" t="s">
        <v>7249</v>
      </c>
      <c r="D90" s="1067" t="s">
        <v>409</v>
      </c>
      <c r="E90" s="1068">
        <v>74.61</v>
      </c>
      <c r="F90" s="1069">
        <v>397.87</v>
      </c>
      <c r="G90" s="1069">
        <v>29685.08</v>
      </c>
      <c r="H90" s="1070">
        <f t="shared" si="0"/>
        <v>2.0162176353012394E-3</v>
      </c>
      <c r="I90" s="1071">
        <f t="shared" si="2"/>
        <v>0.74158237348818279</v>
      </c>
      <c r="J90" s="1071" t="str">
        <f t="shared" si="1"/>
        <v>A</v>
      </c>
      <c r="K90" s="1036"/>
      <c r="L90" s="1036"/>
      <c r="M90" s="1036"/>
      <c r="N90" s="1036"/>
      <c r="O90" s="1036"/>
      <c r="P90" s="1036"/>
      <c r="Q90" s="1036"/>
      <c r="R90" s="1036"/>
      <c r="S90" s="1036"/>
      <c r="T90" s="1036"/>
      <c r="U90" s="1036"/>
      <c r="V90" s="1036"/>
      <c r="W90" s="1036"/>
      <c r="X90" s="1036"/>
      <c r="Y90" s="1036"/>
      <c r="Z90" s="1036"/>
    </row>
    <row r="91" spans="1:26" ht="38.25">
      <c r="A91" s="1065" t="s">
        <v>14956</v>
      </c>
      <c r="B91" s="1066" t="s">
        <v>14472</v>
      </c>
      <c r="C91" s="1066" t="s">
        <v>14957</v>
      </c>
      <c r="D91" s="1067" t="s">
        <v>409</v>
      </c>
      <c r="E91" s="1068">
        <v>122.39</v>
      </c>
      <c r="F91" s="1069">
        <v>236.85</v>
      </c>
      <c r="G91" s="1069">
        <v>28987.02</v>
      </c>
      <c r="H91" s="1070">
        <f t="shared" si="0"/>
        <v>1.9688052354526154E-3</v>
      </c>
      <c r="I91" s="1071">
        <f t="shared" si="2"/>
        <v>0.74355117872363541</v>
      </c>
      <c r="J91" s="1071" t="str">
        <f t="shared" si="1"/>
        <v>A</v>
      </c>
      <c r="K91" s="1036"/>
      <c r="L91" s="1036"/>
      <c r="M91" s="1036"/>
      <c r="N91" s="1036"/>
      <c r="O91" s="1036"/>
      <c r="P91" s="1036"/>
      <c r="Q91" s="1036"/>
      <c r="R91" s="1036"/>
      <c r="S91" s="1036"/>
      <c r="T91" s="1036"/>
      <c r="U91" s="1036"/>
      <c r="V91" s="1036"/>
      <c r="W91" s="1036"/>
      <c r="X91" s="1036"/>
      <c r="Y91" s="1036"/>
      <c r="Z91" s="1036"/>
    </row>
    <row r="92" spans="1:26" ht="38.25">
      <c r="A92" s="1065" t="s">
        <v>14997</v>
      </c>
      <c r="B92" s="1066" t="s">
        <v>14472</v>
      </c>
      <c r="C92" s="1066" t="s">
        <v>14998</v>
      </c>
      <c r="D92" s="1067" t="s">
        <v>409</v>
      </c>
      <c r="E92" s="1068">
        <v>21.62</v>
      </c>
      <c r="F92" s="1069">
        <v>1318.57</v>
      </c>
      <c r="G92" s="1069">
        <v>28507.48</v>
      </c>
      <c r="H92" s="1070">
        <f t="shared" si="0"/>
        <v>1.9362347655454313E-3</v>
      </c>
      <c r="I92" s="1071">
        <f t="shared" si="2"/>
        <v>0.74548741348918079</v>
      </c>
      <c r="J92" s="1071" t="str">
        <f t="shared" si="1"/>
        <v>A</v>
      </c>
      <c r="K92" s="1036"/>
      <c r="L92" s="1036"/>
      <c r="M92" s="1036"/>
      <c r="N92" s="1036"/>
      <c r="O92" s="1036"/>
      <c r="P92" s="1036"/>
      <c r="Q92" s="1036"/>
      <c r="R92" s="1036"/>
      <c r="S92" s="1036"/>
      <c r="T92" s="1036"/>
      <c r="U92" s="1036"/>
      <c r="V92" s="1036"/>
      <c r="W92" s="1036"/>
      <c r="X92" s="1036"/>
      <c r="Y92" s="1036"/>
      <c r="Z92" s="1036"/>
    </row>
    <row r="93" spans="1:26" ht="51">
      <c r="A93" s="1065" t="s">
        <v>14487</v>
      </c>
      <c r="B93" s="1066" t="s">
        <v>14472</v>
      </c>
      <c r="C93" s="1066" t="s">
        <v>14488</v>
      </c>
      <c r="D93" s="1067" t="s">
        <v>2562</v>
      </c>
      <c r="E93" s="1068">
        <v>30</v>
      </c>
      <c r="F93" s="1069">
        <v>941.25</v>
      </c>
      <c r="G93" s="1069">
        <v>28237.5</v>
      </c>
      <c r="H93" s="1070">
        <f t="shared" si="0"/>
        <v>1.9178976602663273E-3</v>
      </c>
      <c r="I93" s="1071">
        <f t="shared" si="2"/>
        <v>0.74740531114944708</v>
      </c>
      <c r="J93" s="1071" t="str">
        <f t="shared" si="1"/>
        <v>A</v>
      </c>
      <c r="K93" s="1036"/>
      <c r="L93" s="1036"/>
      <c r="M93" s="1036"/>
      <c r="N93" s="1036"/>
      <c r="O93" s="1036"/>
      <c r="P93" s="1036"/>
      <c r="Q93" s="1036"/>
      <c r="R93" s="1036"/>
      <c r="S93" s="1036"/>
      <c r="T93" s="1036"/>
      <c r="U93" s="1036"/>
      <c r="V93" s="1036"/>
      <c r="W93" s="1036"/>
      <c r="X93" s="1036"/>
      <c r="Y93" s="1036"/>
      <c r="Z93" s="1036"/>
    </row>
    <row r="94" spans="1:26" ht="38.25">
      <c r="A94" s="1065">
        <v>96536</v>
      </c>
      <c r="B94" s="1066" t="s">
        <v>14476</v>
      </c>
      <c r="C94" s="1066" t="s">
        <v>7302</v>
      </c>
      <c r="D94" s="1067" t="s">
        <v>409</v>
      </c>
      <c r="E94" s="1068">
        <v>309.08</v>
      </c>
      <c r="F94" s="1069">
        <v>89.68</v>
      </c>
      <c r="G94" s="1069">
        <v>27718.29</v>
      </c>
      <c r="H94" s="1070">
        <f t="shared" si="0"/>
        <v>1.8826327946023385E-3</v>
      </c>
      <c r="I94" s="1071">
        <f t="shared" si="2"/>
        <v>0.74928794394404941</v>
      </c>
      <c r="J94" s="1071" t="str">
        <f t="shared" si="1"/>
        <v>A</v>
      </c>
      <c r="K94" s="1036"/>
      <c r="L94" s="1036"/>
      <c r="M94" s="1036"/>
      <c r="N94" s="1036"/>
      <c r="O94" s="1036"/>
      <c r="P94" s="1036"/>
      <c r="Q94" s="1036"/>
      <c r="R94" s="1036"/>
      <c r="S94" s="1036"/>
      <c r="T94" s="1036"/>
      <c r="U94" s="1036"/>
      <c r="V94" s="1036"/>
      <c r="W94" s="1036"/>
      <c r="X94" s="1036"/>
      <c r="Y94" s="1036"/>
      <c r="Z94" s="1036"/>
    </row>
    <row r="95" spans="1:26" ht="25.5">
      <c r="A95" s="1065" t="s">
        <v>15105</v>
      </c>
      <c r="B95" s="1066" t="s">
        <v>14472</v>
      </c>
      <c r="C95" s="1066" t="s">
        <v>15106</v>
      </c>
      <c r="D95" s="1067" t="s">
        <v>6</v>
      </c>
      <c r="E95" s="1068">
        <v>3</v>
      </c>
      <c r="F95" s="1069">
        <v>9234.2000000000007</v>
      </c>
      <c r="G95" s="1069">
        <v>27702.6</v>
      </c>
      <c r="H95" s="1070">
        <f t="shared" si="0"/>
        <v>1.881567126101601E-3</v>
      </c>
      <c r="I95" s="1071">
        <f t="shared" si="2"/>
        <v>0.75116951107015095</v>
      </c>
      <c r="J95" s="1071" t="str">
        <f t="shared" si="1"/>
        <v>A</v>
      </c>
      <c r="K95" s="1036"/>
      <c r="L95" s="1036"/>
      <c r="M95" s="1036"/>
      <c r="N95" s="1036"/>
      <c r="O95" s="1036"/>
      <c r="P95" s="1036"/>
      <c r="Q95" s="1036"/>
      <c r="R95" s="1036"/>
      <c r="S95" s="1036"/>
      <c r="T95" s="1036"/>
      <c r="U95" s="1036"/>
      <c r="V95" s="1036"/>
      <c r="W95" s="1036"/>
      <c r="X95" s="1036"/>
      <c r="Y95" s="1036"/>
      <c r="Z95" s="1036"/>
    </row>
    <row r="96" spans="1:26" ht="38.25">
      <c r="A96" s="1065">
        <v>92760</v>
      </c>
      <c r="B96" s="1066" t="s">
        <v>14476</v>
      </c>
      <c r="C96" s="1066" t="s">
        <v>7429</v>
      </c>
      <c r="D96" s="1067" t="s">
        <v>54</v>
      </c>
      <c r="E96" s="1068">
        <v>1504.01</v>
      </c>
      <c r="F96" s="1069">
        <v>18.059999999999999</v>
      </c>
      <c r="G96" s="1069">
        <v>27162.42</v>
      </c>
      <c r="H96" s="1070">
        <f t="shared" si="0"/>
        <v>1.8448779730915021E-3</v>
      </c>
      <c r="I96" s="1071">
        <f t="shared" si="2"/>
        <v>0.75301438904324247</v>
      </c>
      <c r="J96" s="1071" t="str">
        <f t="shared" si="1"/>
        <v>A</v>
      </c>
      <c r="K96" s="1036"/>
      <c r="L96" s="1036"/>
      <c r="M96" s="1036"/>
      <c r="N96" s="1036"/>
      <c r="O96" s="1036"/>
      <c r="P96" s="1036"/>
      <c r="Q96" s="1036"/>
      <c r="R96" s="1036"/>
      <c r="S96" s="1036"/>
      <c r="T96" s="1036"/>
      <c r="U96" s="1036"/>
      <c r="V96" s="1036"/>
      <c r="W96" s="1036"/>
      <c r="X96" s="1036"/>
      <c r="Y96" s="1036"/>
      <c r="Z96" s="1036"/>
    </row>
    <row r="97" spans="1:26" ht="51">
      <c r="A97" s="1065" t="s">
        <v>14989</v>
      </c>
      <c r="B97" s="1066" t="s">
        <v>14472</v>
      </c>
      <c r="C97" s="1066" t="s">
        <v>15947</v>
      </c>
      <c r="D97" s="1067" t="s">
        <v>409</v>
      </c>
      <c r="E97" s="1068">
        <v>55.55</v>
      </c>
      <c r="F97" s="1069">
        <v>469.96</v>
      </c>
      <c r="G97" s="1069">
        <v>26107.45</v>
      </c>
      <c r="H97" s="1070">
        <f t="shared" si="0"/>
        <v>1.7732241618599424E-3</v>
      </c>
      <c r="I97" s="1071">
        <f t="shared" si="2"/>
        <v>0.75478761320510246</v>
      </c>
      <c r="J97" s="1071" t="str">
        <f t="shared" si="1"/>
        <v>A</v>
      </c>
      <c r="K97" s="1036"/>
      <c r="L97" s="1036"/>
      <c r="M97" s="1036"/>
      <c r="N97" s="1036"/>
      <c r="O97" s="1036"/>
      <c r="P97" s="1036"/>
      <c r="Q97" s="1036"/>
      <c r="R97" s="1036"/>
      <c r="S97" s="1036"/>
      <c r="T97" s="1036"/>
      <c r="U97" s="1036"/>
      <c r="V97" s="1036"/>
      <c r="W97" s="1036"/>
      <c r="X97" s="1036"/>
      <c r="Y97" s="1036"/>
      <c r="Z97" s="1036"/>
    </row>
    <row r="98" spans="1:26" ht="38.25">
      <c r="A98" s="1065">
        <v>92264</v>
      </c>
      <c r="B98" s="1066" t="s">
        <v>14476</v>
      </c>
      <c r="C98" s="1066" t="s">
        <v>7200</v>
      </c>
      <c r="D98" s="1067" t="s">
        <v>409</v>
      </c>
      <c r="E98" s="1068">
        <v>75.239999999999995</v>
      </c>
      <c r="F98" s="1069">
        <v>341.17</v>
      </c>
      <c r="G98" s="1069">
        <v>25669.63</v>
      </c>
      <c r="H98" s="1070">
        <f t="shared" si="0"/>
        <v>1.7434873241930881E-3</v>
      </c>
      <c r="I98" s="1071">
        <f t="shared" si="2"/>
        <v>0.75653110052929551</v>
      </c>
      <c r="J98" s="1071" t="str">
        <f t="shared" si="1"/>
        <v>A</v>
      </c>
      <c r="K98" s="1036"/>
      <c r="L98" s="1036"/>
      <c r="M98" s="1036"/>
      <c r="N98" s="1036"/>
      <c r="O98" s="1036"/>
      <c r="P98" s="1036"/>
      <c r="Q98" s="1036"/>
      <c r="R98" s="1036"/>
      <c r="S98" s="1036"/>
      <c r="T98" s="1036"/>
      <c r="U98" s="1036"/>
      <c r="V98" s="1036"/>
      <c r="W98" s="1036"/>
      <c r="X98" s="1036"/>
      <c r="Y98" s="1036"/>
      <c r="Z98" s="1036"/>
    </row>
    <row r="99" spans="1:26" ht="25.5">
      <c r="A99" s="1065">
        <v>101389</v>
      </c>
      <c r="B99" s="1066" t="s">
        <v>14476</v>
      </c>
      <c r="C99" s="1066" t="s">
        <v>12132</v>
      </c>
      <c r="D99" s="1067" t="s">
        <v>156</v>
      </c>
      <c r="E99" s="1068">
        <v>10</v>
      </c>
      <c r="F99" s="1069">
        <v>2479.3200000000002</v>
      </c>
      <c r="G99" s="1069">
        <v>24793.200000000001</v>
      </c>
      <c r="H99" s="1070">
        <f t="shared" si="0"/>
        <v>1.6839599918730449E-3</v>
      </c>
      <c r="I99" s="1071">
        <f t="shared" si="2"/>
        <v>0.7582150605211686</v>
      </c>
      <c r="J99" s="1071" t="str">
        <f t="shared" si="1"/>
        <v>A</v>
      </c>
      <c r="K99" s="1036"/>
      <c r="L99" s="1036"/>
      <c r="M99" s="1036"/>
      <c r="N99" s="1036"/>
      <c r="O99" s="1036"/>
      <c r="P99" s="1036"/>
      <c r="Q99" s="1036"/>
      <c r="R99" s="1036"/>
      <c r="S99" s="1036"/>
      <c r="T99" s="1036"/>
      <c r="U99" s="1036"/>
      <c r="V99" s="1036"/>
      <c r="W99" s="1036"/>
      <c r="X99" s="1036"/>
      <c r="Y99" s="1036"/>
      <c r="Z99" s="1036"/>
    </row>
    <row r="100" spans="1:26" ht="25.5">
      <c r="A100" s="1065" t="s">
        <v>14551</v>
      </c>
      <c r="B100" s="1066" t="s">
        <v>14472</v>
      </c>
      <c r="C100" s="1066" t="s">
        <v>14552</v>
      </c>
      <c r="D100" s="1067" t="s">
        <v>156</v>
      </c>
      <c r="E100" s="1068">
        <v>20</v>
      </c>
      <c r="F100" s="1069">
        <v>1225</v>
      </c>
      <c r="G100" s="1069">
        <v>24500</v>
      </c>
      <c r="H100" s="1070">
        <f t="shared" si="0"/>
        <v>1.6640457787171321E-3</v>
      </c>
      <c r="I100" s="1071">
        <f t="shared" si="2"/>
        <v>0.75987910629988575</v>
      </c>
      <c r="J100" s="1071" t="str">
        <f t="shared" si="1"/>
        <v>A</v>
      </c>
      <c r="K100" s="1036"/>
      <c r="L100" s="1036"/>
      <c r="M100" s="1036"/>
      <c r="N100" s="1036"/>
      <c r="O100" s="1036"/>
      <c r="P100" s="1036"/>
      <c r="Q100" s="1036"/>
      <c r="R100" s="1036"/>
      <c r="S100" s="1036"/>
      <c r="T100" s="1036"/>
      <c r="U100" s="1036"/>
      <c r="V100" s="1036"/>
      <c r="W100" s="1036"/>
      <c r="X100" s="1036"/>
      <c r="Y100" s="1036"/>
      <c r="Z100" s="1036"/>
    </row>
    <row r="101" spans="1:26" ht="51">
      <c r="A101" s="1065">
        <v>94995</v>
      </c>
      <c r="B101" s="1066" t="s">
        <v>14476</v>
      </c>
      <c r="C101" s="1066" t="s">
        <v>11200</v>
      </c>
      <c r="D101" s="1067" t="s">
        <v>409</v>
      </c>
      <c r="E101" s="1068">
        <v>173.27</v>
      </c>
      <c r="F101" s="1069">
        <v>139.91999999999999</v>
      </c>
      <c r="G101" s="1069">
        <v>24243.93</v>
      </c>
      <c r="H101" s="1070">
        <f t="shared" si="0"/>
        <v>1.6466534439189241E-3</v>
      </c>
      <c r="I101" s="1071">
        <f t="shared" si="2"/>
        <v>0.76152575974380465</v>
      </c>
      <c r="J101" s="1071" t="str">
        <f t="shared" si="1"/>
        <v>A</v>
      </c>
      <c r="K101" s="1036"/>
      <c r="L101" s="1036"/>
      <c r="M101" s="1036"/>
      <c r="N101" s="1036"/>
      <c r="O101" s="1036"/>
      <c r="P101" s="1036"/>
      <c r="Q101" s="1036"/>
      <c r="R101" s="1036"/>
      <c r="S101" s="1036"/>
      <c r="T101" s="1036"/>
      <c r="U101" s="1036"/>
      <c r="V101" s="1036"/>
      <c r="W101" s="1036"/>
      <c r="X101" s="1036"/>
      <c r="Y101" s="1036"/>
      <c r="Z101" s="1036"/>
    </row>
    <row r="102" spans="1:26" ht="25.5">
      <c r="A102" s="1065" t="s">
        <v>14590</v>
      </c>
      <c r="B102" s="1066" t="s">
        <v>14472</v>
      </c>
      <c r="C102" s="1066" t="s">
        <v>14591</v>
      </c>
      <c r="D102" s="1067" t="s">
        <v>152</v>
      </c>
      <c r="E102" s="1068">
        <v>21.79</v>
      </c>
      <c r="F102" s="1069">
        <v>1085.23</v>
      </c>
      <c r="G102" s="1069">
        <v>23647.16</v>
      </c>
      <c r="H102" s="1070">
        <f t="shared" si="0"/>
        <v>1.6061206847611681E-3</v>
      </c>
      <c r="I102" s="1071">
        <f t="shared" si="2"/>
        <v>0.76313188042856583</v>
      </c>
      <c r="J102" s="1071" t="str">
        <f t="shared" si="1"/>
        <v>A</v>
      </c>
      <c r="K102" s="1036"/>
      <c r="L102" s="1036"/>
      <c r="M102" s="1036"/>
      <c r="N102" s="1036"/>
      <c r="O102" s="1036"/>
      <c r="P102" s="1036"/>
      <c r="Q102" s="1036"/>
      <c r="R102" s="1036"/>
      <c r="S102" s="1036"/>
      <c r="T102" s="1036"/>
      <c r="U102" s="1036"/>
      <c r="V102" s="1036"/>
      <c r="W102" s="1036"/>
      <c r="X102" s="1036"/>
      <c r="Y102" s="1036"/>
      <c r="Z102" s="1036"/>
    </row>
    <row r="103" spans="1:26" ht="51">
      <c r="A103" s="1065">
        <v>100721</v>
      </c>
      <c r="B103" s="1066" t="s">
        <v>14476</v>
      </c>
      <c r="C103" s="1066" t="s">
        <v>11067</v>
      </c>
      <c r="D103" s="1067" t="s">
        <v>409</v>
      </c>
      <c r="E103" s="1068">
        <v>818.08</v>
      </c>
      <c r="F103" s="1069">
        <v>28.77</v>
      </c>
      <c r="G103" s="1069">
        <v>23536.16</v>
      </c>
      <c r="H103" s="1070">
        <f t="shared" si="0"/>
        <v>1.5985815385800414E-3</v>
      </c>
      <c r="I103" s="1071">
        <f t="shared" si="2"/>
        <v>0.76473046196714589</v>
      </c>
      <c r="J103" s="1071" t="str">
        <f t="shared" si="1"/>
        <v>A</v>
      </c>
      <c r="K103" s="1036"/>
      <c r="L103" s="1036"/>
      <c r="M103" s="1036"/>
      <c r="N103" s="1036"/>
      <c r="O103" s="1036"/>
      <c r="P103" s="1036"/>
      <c r="Q103" s="1036"/>
      <c r="R103" s="1036"/>
      <c r="S103" s="1036"/>
      <c r="T103" s="1036"/>
      <c r="U103" s="1036"/>
      <c r="V103" s="1036"/>
      <c r="W103" s="1036"/>
      <c r="X103" s="1036"/>
      <c r="Y103" s="1036"/>
      <c r="Z103" s="1036"/>
    </row>
    <row r="104" spans="1:26" ht="38.25">
      <c r="A104" s="1065">
        <v>104166</v>
      </c>
      <c r="B104" s="1066" t="s">
        <v>14476</v>
      </c>
      <c r="C104" s="1066" t="s">
        <v>8651</v>
      </c>
      <c r="D104" s="1067" t="s">
        <v>50</v>
      </c>
      <c r="E104" s="1068">
        <v>266</v>
      </c>
      <c r="F104" s="1069">
        <v>86.07</v>
      </c>
      <c r="G104" s="1069">
        <v>22894.62</v>
      </c>
      <c r="H104" s="1070">
        <f t="shared" si="0"/>
        <v>1.5550079904625644E-3</v>
      </c>
      <c r="I104" s="1071">
        <f t="shared" si="2"/>
        <v>0.76628546995760849</v>
      </c>
      <c r="J104" s="1071" t="str">
        <f t="shared" si="1"/>
        <v>A</v>
      </c>
      <c r="K104" s="1036"/>
      <c r="L104" s="1036"/>
      <c r="M104" s="1036"/>
      <c r="N104" s="1036"/>
      <c r="O104" s="1036"/>
      <c r="P104" s="1036"/>
      <c r="Q104" s="1036"/>
      <c r="R104" s="1036"/>
      <c r="S104" s="1036"/>
      <c r="T104" s="1036"/>
      <c r="U104" s="1036"/>
      <c r="V104" s="1036"/>
      <c r="W104" s="1036"/>
      <c r="X104" s="1036"/>
      <c r="Y104" s="1036"/>
      <c r="Z104" s="1036"/>
    </row>
    <row r="105" spans="1:26" ht="51">
      <c r="A105" s="1065">
        <v>94271</v>
      </c>
      <c r="B105" s="1066" t="s">
        <v>14476</v>
      </c>
      <c r="C105" s="1066" t="s">
        <v>15948</v>
      </c>
      <c r="D105" s="1067" t="s">
        <v>50</v>
      </c>
      <c r="E105" s="1068">
        <v>149.62</v>
      </c>
      <c r="F105" s="1069">
        <v>151.55000000000001</v>
      </c>
      <c r="G105" s="1069">
        <v>22674.91</v>
      </c>
      <c r="H105" s="1070">
        <f t="shared" si="0"/>
        <v>1.5400852354404443E-3</v>
      </c>
      <c r="I105" s="1071">
        <f t="shared" si="2"/>
        <v>0.76782555519304896</v>
      </c>
      <c r="J105" s="1071" t="str">
        <f t="shared" si="1"/>
        <v>A</v>
      </c>
      <c r="K105" s="1036"/>
      <c r="L105" s="1036"/>
      <c r="M105" s="1036"/>
      <c r="N105" s="1036"/>
      <c r="O105" s="1036"/>
      <c r="P105" s="1036"/>
      <c r="Q105" s="1036"/>
      <c r="R105" s="1036"/>
      <c r="S105" s="1036"/>
      <c r="T105" s="1036"/>
      <c r="U105" s="1036"/>
      <c r="V105" s="1036"/>
      <c r="W105" s="1036"/>
      <c r="X105" s="1036"/>
      <c r="Y105" s="1036"/>
      <c r="Z105" s="1036"/>
    </row>
    <row r="106" spans="1:26" ht="25.5">
      <c r="A106" s="1065" t="s">
        <v>14569</v>
      </c>
      <c r="B106" s="1066" t="s">
        <v>14472</v>
      </c>
      <c r="C106" s="1066" t="s">
        <v>14570</v>
      </c>
      <c r="D106" s="1067" t="s">
        <v>154</v>
      </c>
      <c r="E106" s="1068">
        <v>640</v>
      </c>
      <c r="F106" s="1069">
        <v>34.619999999999997</v>
      </c>
      <c r="G106" s="1069">
        <v>22156.799999999999</v>
      </c>
      <c r="H106" s="1070">
        <f t="shared" si="0"/>
        <v>1.5048950820359082E-3</v>
      </c>
      <c r="I106" s="1071">
        <f t="shared" si="2"/>
        <v>0.76933045027508484</v>
      </c>
      <c r="J106" s="1071" t="str">
        <f t="shared" si="1"/>
        <v>A</v>
      </c>
      <c r="K106" s="1036"/>
      <c r="L106" s="1036"/>
      <c r="M106" s="1036"/>
      <c r="N106" s="1036"/>
      <c r="O106" s="1036"/>
      <c r="P106" s="1036"/>
      <c r="Q106" s="1036"/>
      <c r="R106" s="1036"/>
      <c r="S106" s="1036"/>
      <c r="T106" s="1036"/>
      <c r="U106" s="1036"/>
      <c r="V106" s="1036"/>
      <c r="W106" s="1036"/>
      <c r="X106" s="1036"/>
      <c r="Y106" s="1036"/>
      <c r="Z106" s="1036"/>
    </row>
    <row r="107" spans="1:26" ht="25.5">
      <c r="A107" s="1065">
        <v>103946</v>
      </c>
      <c r="B107" s="1066" t="s">
        <v>14476</v>
      </c>
      <c r="C107" s="1066" t="s">
        <v>12077</v>
      </c>
      <c r="D107" s="1067" t="s">
        <v>409</v>
      </c>
      <c r="E107" s="1068">
        <v>838.83</v>
      </c>
      <c r="F107" s="1069">
        <v>24.23</v>
      </c>
      <c r="G107" s="1069">
        <v>20324.849999999999</v>
      </c>
      <c r="H107" s="1070">
        <f t="shared" si="0"/>
        <v>1.3804686059411795E-3</v>
      </c>
      <c r="I107" s="1071">
        <f t="shared" si="2"/>
        <v>0.77071091888102605</v>
      </c>
      <c r="J107" s="1071" t="str">
        <f t="shared" si="1"/>
        <v>A</v>
      </c>
      <c r="K107" s="1036"/>
      <c r="L107" s="1036"/>
      <c r="M107" s="1036"/>
      <c r="N107" s="1036"/>
      <c r="O107" s="1036"/>
      <c r="P107" s="1036"/>
      <c r="Q107" s="1036"/>
      <c r="R107" s="1036"/>
      <c r="S107" s="1036"/>
      <c r="T107" s="1036"/>
      <c r="U107" s="1036"/>
      <c r="V107" s="1036"/>
      <c r="W107" s="1036"/>
      <c r="X107" s="1036"/>
      <c r="Y107" s="1036"/>
      <c r="Z107" s="1036"/>
    </row>
    <row r="108" spans="1:26" ht="76.5">
      <c r="A108" s="1065" t="s">
        <v>15066</v>
      </c>
      <c r="B108" s="1066" t="s">
        <v>14472</v>
      </c>
      <c r="C108" s="1066" t="s">
        <v>15067</v>
      </c>
      <c r="D108" s="1067" t="s">
        <v>409</v>
      </c>
      <c r="E108" s="1068">
        <v>22.68</v>
      </c>
      <c r="F108" s="1069">
        <v>889.67</v>
      </c>
      <c r="G108" s="1069">
        <v>20177.71</v>
      </c>
      <c r="H108" s="1070">
        <f t="shared" si="0"/>
        <v>1.3704748224358555E-3</v>
      </c>
      <c r="I108" s="1071">
        <f t="shared" si="2"/>
        <v>0.77208139370346196</v>
      </c>
      <c r="J108" s="1071" t="str">
        <f t="shared" si="1"/>
        <v>A</v>
      </c>
      <c r="K108" s="1036"/>
      <c r="L108" s="1036"/>
      <c r="M108" s="1036"/>
      <c r="N108" s="1036"/>
      <c r="O108" s="1036"/>
      <c r="P108" s="1036"/>
      <c r="Q108" s="1036"/>
      <c r="R108" s="1036"/>
      <c r="S108" s="1036"/>
      <c r="T108" s="1036"/>
      <c r="U108" s="1036"/>
      <c r="V108" s="1036"/>
      <c r="W108" s="1036"/>
      <c r="X108" s="1036"/>
      <c r="Y108" s="1036"/>
      <c r="Z108" s="1036"/>
    </row>
    <row r="109" spans="1:26" ht="25.5">
      <c r="A109" s="1065" t="s">
        <v>15086</v>
      </c>
      <c r="B109" s="1066" t="s">
        <v>14472</v>
      </c>
      <c r="C109" s="1066" t="s">
        <v>15087</v>
      </c>
      <c r="D109" s="1067" t="s">
        <v>6</v>
      </c>
      <c r="E109" s="1068">
        <v>168</v>
      </c>
      <c r="F109" s="1069">
        <v>119.27</v>
      </c>
      <c r="G109" s="1069">
        <v>20037.36</v>
      </c>
      <c r="H109" s="1070">
        <f t="shared" si="0"/>
        <v>1.3609422173320618E-3</v>
      </c>
      <c r="I109" s="1071">
        <f t="shared" si="2"/>
        <v>0.77344233592079403</v>
      </c>
      <c r="J109" s="1071" t="str">
        <f t="shared" si="1"/>
        <v>A</v>
      </c>
      <c r="K109" s="1036"/>
      <c r="L109" s="1036"/>
      <c r="M109" s="1036"/>
      <c r="N109" s="1036"/>
      <c r="O109" s="1036"/>
      <c r="P109" s="1036"/>
      <c r="Q109" s="1036"/>
      <c r="R109" s="1036"/>
      <c r="S109" s="1036"/>
      <c r="T109" s="1036"/>
      <c r="U109" s="1036"/>
      <c r="V109" s="1036"/>
      <c r="W109" s="1036"/>
      <c r="X109" s="1036"/>
      <c r="Y109" s="1036"/>
      <c r="Z109" s="1036"/>
    </row>
    <row r="110" spans="1:26" ht="63.75">
      <c r="A110" s="1065" t="s">
        <v>14913</v>
      </c>
      <c r="B110" s="1066" t="s">
        <v>14472</v>
      </c>
      <c r="C110" s="1066" t="s">
        <v>15949</v>
      </c>
      <c r="D110" s="1067" t="s">
        <v>50</v>
      </c>
      <c r="E110" s="1068">
        <v>26</v>
      </c>
      <c r="F110" s="1069">
        <v>769.52</v>
      </c>
      <c r="G110" s="1069">
        <v>20007.52</v>
      </c>
      <c r="H110" s="1070">
        <f t="shared" si="0"/>
        <v>1.3589154774938201E-3</v>
      </c>
      <c r="I110" s="1071">
        <f t="shared" si="2"/>
        <v>0.77480125139828782</v>
      </c>
      <c r="J110" s="1071" t="str">
        <f t="shared" si="1"/>
        <v>A</v>
      </c>
      <c r="K110" s="1036"/>
      <c r="L110" s="1036"/>
      <c r="M110" s="1036"/>
      <c r="N110" s="1036"/>
      <c r="O110" s="1036"/>
      <c r="P110" s="1036"/>
      <c r="Q110" s="1036"/>
      <c r="R110" s="1036"/>
      <c r="S110" s="1036"/>
      <c r="T110" s="1036"/>
      <c r="U110" s="1036"/>
      <c r="V110" s="1036"/>
      <c r="W110" s="1036"/>
      <c r="X110" s="1036"/>
      <c r="Y110" s="1036"/>
      <c r="Z110" s="1036"/>
    </row>
    <row r="111" spans="1:26" ht="38.25">
      <c r="A111" s="1065">
        <v>104920</v>
      </c>
      <c r="B111" s="1066" t="s">
        <v>14476</v>
      </c>
      <c r="C111" s="1066" t="s">
        <v>7517</v>
      </c>
      <c r="D111" s="1067" t="s">
        <v>54</v>
      </c>
      <c r="E111" s="1068">
        <v>1329.83</v>
      </c>
      <c r="F111" s="1069">
        <v>14.85</v>
      </c>
      <c r="G111" s="1069">
        <v>19747.97</v>
      </c>
      <c r="H111" s="1070">
        <f t="shared" si="0"/>
        <v>1.3412867802747985E-3</v>
      </c>
      <c r="I111" s="1071">
        <f t="shared" si="2"/>
        <v>0.7761425381785626</v>
      </c>
      <c r="J111" s="1071" t="str">
        <f t="shared" si="1"/>
        <v>A</v>
      </c>
      <c r="K111" s="1036"/>
      <c r="L111" s="1036"/>
      <c r="M111" s="1036"/>
      <c r="N111" s="1036"/>
      <c r="O111" s="1036"/>
      <c r="P111" s="1036"/>
      <c r="Q111" s="1036"/>
      <c r="R111" s="1036"/>
      <c r="S111" s="1036"/>
      <c r="T111" s="1036"/>
      <c r="U111" s="1036"/>
      <c r="V111" s="1036"/>
      <c r="W111" s="1036"/>
      <c r="X111" s="1036"/>
      <c r="Y111" s="1036"/>
      <c r="Z111" s="1036"/>
    </row>
    <row r="112" spans="1:26" ht="38.25">
      <c r="A112" s="1065" t="s">
        <v>14956</v>
      </c>
      <c r="B112" s="1066" t="s">
        <v>14472</v>
      </c>
      <c r="C112" s="1066" t="s">
        <v>14957</v>
      </c>
      <c r="D112" s="1067" t="s">
        <v>409</v>
      </c>
      <c r="E112" s="1068">
        <v>82.38</v>
      </c>
      <c r="F112" s="1069">
        <v>236.85</v>
      </c>
      <c r="G112" s="1069">
        <v>19511.93</v>
      </c>
      <c r="H112" s="1070">
        <f t="shared" si="0"/>
        <v>1.3252548878009867E-3</v>
      </c>
      <c r="I112" s="1071">
        <f t="shared" si="2"/>
        <v>0.7774677930663636</v>
      </c>
      <c r="J112" s="1071" t="str">
        <f t="shared" si="1"/>
        <v>A</v>
      </c>
      <c r="K112" s="1036"/>
      <c r="L112" s="1036"/>
      <c r="M112" s="1036"/>
      <c r="N112" s="1036"/>
      <c r="O112" s="1036"/>
      <c r="P112" s="1036"/>
      <c r="Q112" s="1036"/>
      <c r="R112" s="1036"/>
      <c r="S112" s="1036"/>
      <c r="T112" s="1036"/>
      <c r="U112" s="1036"/>
      <c r="V112" s="1036"/>
      <c r="W112" s="1036"/>
      <c r="X112" s="1036"/>
      <c r="Y112" s="1036"/>
      <c r="Z112" s="1036"/>
    </row>
    <row r="113" spans="1:26" ht="25.5">
      <c r="A113" s="1065" t="s">
        <v>14983</v>
      </c>
      <c r="B113" s="1066" t="s">
        <v>14472</v>
      </c>
      <c r="C113" s="1066" t="s">
        <v>15950</v>
      </c>
      <c r="D113" s="1067" t="s">
        <v>6</v>
      </c>
      <c r="E113" s="1068">
        <v>6</v>
      </c>
      <c r="F113" s="1069">
        <v>3216.21</v>
      </c>
      <c r="G113" s="1069">
        <v>19297.259999999998</v>
      </c>
      <c r="H113" s="1070">
        <f t="shared" si="0"/>
        <v>1.3106744507676311E-3</v>
      </c>
      <c r="I113" s="1071">
        <f t="shared" si="2"/>
        <v>0.7787784675171312</v>
      </c>
      <c r="J113" s="1071" t="str">
        <f t="shared" si="1"/>
        <v>A</v>
      </c>
      <c r="K113" s="1036"/>
      <c r="L113" s="1036"/>
      <c r="M113" s="1036"/>
      <c r="N113" s="1036"/>
      <c r="O113" s="1036"/>
      <c r="P113" s="1036"/>
      <c r="Q113" s="1036"/>
      <c r="R113" s="1036"/>
      <c r="S113" s="1036"/>
      <c r="T113" s="1036"/>
      <c r="U113" s="1036"/>
      <c r="V113" s="1036"/>
      <c r="W113" s="1036"/>
      <c r="X113" s="1036"/>
      <c r="Y113" s="1036"/>
      <c r="Z113" s="1036"/>
    </row>
    <row r="114" spans="1:26" ht="14.25">
      <c r="A114" s="1065" t="s">
        <v>15410</v>
      </c>
      <c r="B114" s="1066" t="s">
        <v>14472</v>
      </c>
      <c r="C114" s="1066" t="s">
        <v>15951</v>
      </c>
      <c r="D114" s="1067" t="s">
        <v>6</v>
      </c>
      <c r="E114" s="1068">
        <v>18</v>
      </c>
      <c r="F114" s="1069">
        <v>1041.83</v>
      </c>
      <c r="G114" s="1069">
        <v>18752.939999999999</v>
      </c>
      <c r="H114" s="1070">
        <f t="shared" si="0"/>
        <v>1.2737041079810471E-3</v>
      </c>
      <c r="I114" s="1071">
        <f t="shared" si="2"/>
        <v>0.7800521716251122</v>
      </c>
      <c r="J114" s="1071" t="str">
        <f t="shared" si="1"/>
        <v>A</v>
      </c>
      <c r="K114" s="1036"/>
      <c r="L114" s="1036"/>
      <c r="M114" s="1036"/>
      <c r="N114" s="1036"/>
      <c r="O114" s="1036"/>
      <c r="P114" s="1036"/>
      <c r="Q114" s="1036"/>
      <c r="R114" s="1036"/>
      <c r="S114" s="1036"/>
      <c r="T114" s="1036"/>
      <c r="U114" s="1036"/>
      <c r="V114" s="1036"/>
      <c r="W114" s="1036"/>
      <c r="X114" s="1036"/>
      <c r="Y114" s="1036"/>
      <c r="Z114" s="1036"/>
    </row>
    <row r="115" spans="1:26" ht="14.25">
      <c r="A115" s="1065" t="s">
        <v>15410</v>
      </c>
      <c r="B115" s="1066" t="s">
        <v>14472</v>
      </c>
      <c r="C115" s="1066" t="s">
        <v>15951</v>
      </c>
      <c r="D115" s="1067" t="s">
        <v>6</v>
      </c>
      <c r="E115" s="1068">
        <v>18</v>
      </c>
      <c r="F115" s="1069">
        <v>1041.83</v>
      </c>
      <c r="G115" s="1069">
        <v>18752.939999999999</v>
      </c>
      <c r="H115" s="1070">
        <f t="shared" si="0"/>
        <v>1.2737041079810471E-3</v>
      </c>
      <c r="I115" s="1071">
        <f t="shared" si="2"/>
        <v>0.7813258757330932</v>
      </c>
      <c r="J115" s="1071" t="str">
        <f t="shared" si="1"/>
        <v>A</v>
      </c>
      <c r="K115" s="1036"/>
      <c r="L115" s="1036"/>
      <c r="M115" s="1036"/>
      <c r="N115" s="1036"/>
      <c r="O115" s="1036"/>
      <c r="P115" s="1036"/>
      <c r="Q115" s="1036"/>
      <c r="R115" s="1036"/>
      <c r="S115" s="1036"/>
      <c r="T115" s="1036"/>
      <c r="U115" s="1036"/>
      <c r="V115" s="1036"/>
      <c r="W115" s="1036"/>
      <c r="X115" s="1036"/>
      <c r="Y115" s="1036"/>
      <c r="Z115" s="1036"/>
    </row>
    <row r="116" spans="1:26" ht="25.5">
      <c r="A116" s="1065" t="s">
        <v>15434</v>
      </c>
      <c r="B116" s="1066" t="s">
        <v>14472</v>
      </c>
      <c r="C116" s="1066" t="s">
        <v>15435</v>
      </c>
      <c r="D116" s="1067" t="s">
        <v>50</v>
      </c>
      <c r="E116" s="1068">
        <v>81</v>
      </c>
      <c r="F116" s="1069">
        <v>229.82</v>
      </c>
      <c r="G116" s="1069">
        <v>18615.419999999998</v>
      </c>
      <c r="H116" s="1070">
        <f t="shared" si="0"/>
        <v>1.2643637171447539E-3</v>
      </c>
      <c r="I116" s="1071">
        <f t="shared" si="2"/>
        <v>0.78259023945023798</v>
      </c>
      <c r="J116" s="1071" t="str">
        <f t="shared" si="1"/>
        <v>A</v>
      </c>
      <c r="K116" s="1036"/>
      <c r="L116" s="1036"/>
      <c r="M116" s="1036"/>
      <c r="N116" s="1036"/>
      <c r="O116" s="1036"/>
      <c r="P116" s="1036"/>
      <c r="Q116" s="1036"/>
      <c r="R116" s="1036"/>
      <c r="S116" s="1036"/>
      <c r="T116" s="1036"/>
      <c r="U116" s="1036"/>
      <c r="V116" s="1036"/>
      <c r="W116" s="1036"/>
      <c r="X116" s="1036"/>
      <c r="Y116" s="1036"/>
      <c r="Z116" s="1036"/>
    </row>
    <row r="117" spans="1:26" ht="25.5">
      <c r="A117" s="1065" t="s">
        <v>15249</v>
      </c>
      <c r="B117" s="1066" t="s">
        <v>14472</v>
      </c>
      <c r="C117" s="1066" t="s">
        <v>15952</v>
      </c>
      <c r="D117" s="1067" t="s">
        <v>6</v>
      </c>
      <c r="E117" s="1068">
        <v>26</v>
      </c>
      <c r="F117" s="1069">
        <v>708.01</v>
      </c>
      <c r="G117" s="1069">
        <v>18408.259999999998</v>
      </c>
      <c r="H117" s="1070">
        <f t="shared" si="0"/>
        <v>1.2502933610827522E-3</v>
      </c>
      <c r="I117" s="1071">
        <f t="shared" si="2"/>
        <v>0.78384053281132071</v>
      </c>
      <c r="J117" s="1071" t="str">
        <f t="shared" si="1"/>
        <v>A</v>
      </c>
      <c r="K117" s="1036"/>
      <c r="L117" s="1036"/>
      <c r="M117" s="1036"/>
      <c r="N117" s="1036"/>
      <c r="O117" s="1036"/>
      <c r="P117" s="1036"/>
      <c r="Q117" s="1036"/>
      <c r="R117" s="1036"/>
      <c r="S117" s="1036"/>
      <c r="T117" s="1036"/>
      <c r="U117" s="1036"/>
      <c r="V117" s="1036"/>
      <c r="W117" s="1036"/>
      <c r="X117" s="1036"/>
      <c r="Y117" s="1036"/>
      <c r="Z117" s="1036"/>
    </row>
    <row r="118" spans="1:26" ht="38.25">
      <c r="A118" s="1065" t="s">
        <v>14790</v>
      </c>
      <c r="B118" s="1066" t="s">
        <v>14472</v>
      </c>
      <c r="C118" s="1066" t="s">
        <v>14791</v>
      </c>
      <c r="D118" s="1067" t="s">
        <v>409</v>
      </c>
      <c r="E118" s="1068">
        <v>17.25</v>
      </c>
      <c r="F118" s="1069">
        <v>1059.3800000000001</v>
      </c>
      <c r="G118" s="1069">
        <v>18274.3</v>
      </c>
      <c r="H118" s="1070">
        <f t="shared" si="0"/>
        <v>1.2411947662861423E-3</v>
      </c>
      <c r="I118" s="1071">
        <f t="shared" si="2"/>
        <v>0.78508172757760686</v>
      </c>
      <c r="J118" s="1071" t="str">
        <f t="shared" si="1"/>
        <v>A</v>
      </c>
      <c r="K118" s="1036"/>
      <c r="L118" s="1036"/>
      <c r="M118" s="1036"/>
      <c r="N118" s="1036"/>
      <c r="O118" s="1036"/>
      <c r="P118" s="1036"/>
      <c r="Q118" s="1036"/>
      <c r="R118" s="1036"/>
      <c r="S118" s="1036"/>
      <c r="T118" s="1036"/>
      <c r="U118" s="1036"/>
      <c r="V118" s="1036"/>
      <c r="W118" s="1036"/>
      <c r="X118" s="1036"/>
      <c r="Y118" s="1036"/>
      <c r="Z118" s="1036"/>
    </row>
    <row r="119" spans="1:26" ht="25.5">
      <c r="A119" s="1065">
        <v>99814</v>
      </c>
      <c r="B119" s="1066" t="s">
        <v>14476</v>
      </c>
      <c r="C119" s="1066" t="s">
        <v>11795</v>
      </c>
      <c r="D119" s="1067" t="s">
        <v>409</v>
      </c>
      <c r="E119" s="1068">
        <v>7825.91</v>
      </c>
      <c r="F119" s="1069">
        <v>2.2799999999999998</v>
      </c>
      <c r="G119" s="1069">
        <v>17843.07</v>
      </c>
      <c r="H119" s="1070">
        <f t="shared" si="0"/>
        <v>1.2119055229736447E-3</v>
      </c>
      <c r="I119" s="1071">
        <f t="shared" si="2"/>
        <v>0.78629363310058054</v>
      </c>
      <c r="J119" s="1071" t="str">
        <f t="shared" si="1"/>
        <v>A</v>
      </c>
      <c r="K119" s="1036"/>
      <c r="L119" s="1036"/>
      <c r="M119" s="1036"/>
      <c r="N119" s="1036"/>
      <c r="O119" s="1036"/>
      <c r="P119" s="1036"/>
      <c r="Q119" s="1036"/>
      <c r="R119" s="1036"/>
      <c r="S119" s="1036"/>
      <c r="T119" s="1036"/>
      <c r="U119" s="1036"/>
      <c r="V119" s="1036"/>
      <c r="W119" s="1036"/>
      <c r="X119" s="1036"/>
      <c r="Y119" s="1036"/>
      <c r="Z119" s="1036"/>
    </row>
    <row r="120" spans="1:26" ht="38.25">
      <c r="A120" s="1065" t="s">
        <v>14560</v>
      </c>
      <c r="B120" s="1066" t="s">
        <v>14472</v>
      </c>
      <c r="C120" s="1066" t="s">
        <v>14561</v>
      </c>
      <c r="D120" s="1067" t="s">
        <v>2559</v>
      </c>
      <c r="E120" s="1068">
        <v>240</v>
      </c>
      <c r="F120" s="1069">
        <v>74.17</v>
      </c>
      <c r="G120" s="1069">
        <v>17800.8</v>
      </c>
      <c r="H120" s="1070">
        <f t="shared" si="0"/>
        <v>1.2090345346035887E-3</v>
      </c>
      <c r="I120" s="1071">
        <f t="shared" si="2"/>
        <v>0.78750266763518417</v>
      </c>
      <c r="J120" s="1071" t="str">
        <f t="shared" si="1"/>
        <v>A</v>
      </c>
      <c r="K120" s="1036"/>
      <c r="L120" s="1036"/>
      <c r="M120" s="1036"/>
      <c r="N120" s="1036"/>
      <c r="O120" s="1036"/>
      <c r="P120" s="1036"/>
      <c r="Q120" s="1036"/>
      <c r="R120" s="1036"/>
      <c r="S120" s="1036"/>
      <c r="T120" s="1036"/>
      <c r="U120" s="1036"/>
      <c r="V120" s="1036"/>
      <c r="W120" s="1036"/>
      <c r="X120" s="1036"/>
      <c r="Y120" s="1036"/>
      <c r="Z120" s="1036"/>
    </row>
    <row r="121" spans="1:26" ht="25.5">
      <c r="A121" s="1065" t="s">
        <v>14590</v>
      </c>
      <c r="B121" s="1066" t="s">
        <v>14472</v>
      </c>
      <c r="C121" s="1066" t="s">
        <v>14591</v>
      </c>
      <c r="D121" s="1067" t="s">
        <v>152</v>
      </c>
      <c r="E121" s="1068">
        <v>15.84</v>
      </c>
      <c r="F121" s="1069">
        <v>1085.23</v>
      </c>
      <c r="G121" s="1069">
        <v>17190.04</v>
      </c>
      <c r="H121" s="1070">
        <f t="shared" si="0"/>
        <v>1.1675515713460674E-3</v>
      </c>
      <c r="I121" s="1071">
        <f t="shared" si="2"/>
        <v>0.78867021920653024</v>
      </c>
      <c r="J121" s="1071" t="str">
        <f t="shared" si="1"/>
        <v>A</v>
      </c>
      <c r="K121" s="1036"/>
      <c r="L121" s="1036"/>
      <c r="M121" s="1036"/>
      <c r="N121" s="1036"/>
      <c r="O121" s="1036"/>
      <c r="P121" s="1036"/>
      <c r="Q121" s="1036"/>
      <c r="R121" s="1036"/>
      <c r="S121" s="1036"/>
      <c r="T121" s="1036"/>
      <c r="U121" s="1036"/>
      <c r="V121" s="1036"/>
      <c r="W121" s="1036"/>
      <c r="X121" s="1036"/>
      <c r="Y121" s="1036"/>
      <c r="Z121" s="1036"/>
    </row>
    <row r="122" spans="1:26" ht="25.5">
      <c r="A122" s="1065" t="s">
        <v>15064</v>
      </c>
      <c r="B122" s="1066" t="s">
        <v>14472</v>
      </c>
      <c r="C122" s="1066" t="s">
        <v>15065</v>
      </c>
      <c r="D122" s="1067" t="s">
        <v>409</v>
      </c>
      <c r="E122" s="1068">
        <v>12.39</v>
      </c>
      <c r="F122" s="1069">
        <v>1382.05</v>
      </c>
      <c r="G122" s="1069">
        <v>17123.59</v>
      </c>
      <c r="H122" s="1070">
        <f t="shared" si="0"/>
        <v>1.1630382716727712E-3</v>
      </c>
      <c r="I122" s="1071">
        <f t="shared" si="2"/>
        <v>0.78983325747820299</v>
      </c>
      <c r="J122" s="1071" t="str">
        <f t="shared" si="1"/>
        <v>A</v>
      </c>
      <c r="K122" s="1036"/>
      <c r="L122" s="1036"/>
      <c r="M122" s="1036"/>
      <c r="N122" s="1036"/>
      <c r="O122" s="1036"/>
      <c r="P122" s="1036"/>
      <c r="Q122" s="1036"/>
      <c r="R122" s="1036"/>
      <c r="S122" s="1036"/>
      <c r="T122" s="1036"/>
      <c r="U122" s="1036"/>
      <c r="V122" s="1036"/>
      <c r="W122" s="1036"/>
      <c r="X122" s="1036"/>
      <c r="Y122" s="1036"/>
      <c r="Z122" s="1036"/>
    </row>
    <row r="123" spans="1:26" ht="38.25">
      <c r="A123" s="1065">
        <v>97087</v>
      </c>
      <c r="B123" s="1066" t="s">
        <v>14476</v>
      </c>
      <c r="C123" s="1066" t="s">
        <v>7175</v>
      </c>
      <c r="D123" s="1067" t="s">
        <v>409</v>
      </c>
      <c r="E123" s="1068">
        <v>4089.36</v>
      </c>
      <c r="F123" s="1069">
        <v>4.16</v>
      </c>
      <c r="G123" s="1069">
        <v>17011.73</v>
      </c>
      <c r="H123" s="1070">
        <f t="shared" si="0"/>
        <v>1.1554407140887998E-3</v>
      </c>
      <c r="I123" s="1071">
        <f t="shared" si="2"/>
        <v>0.79098869819229178</v>
      </c>
      <c r="J123" s="1071" t="str">
        <f t="shared" si="1"/>
        <v>A</v>
      </c>
      <c r="K123" s="1036"/>
      <c r="L123" s="1036"/>
      <c r="M123" s="1036"/>
      <c r="N123" s="1036"/>
      <c r="O123" s="1036"/>
      <c r="P123" s="1036"/>
      <c r="Q123" s="1036"/>
      <c r="R123" s="1036"/>
      <c r="S123" s="1036"/>
      <c r="T123" s="1036"/>
      <c r="U123" s="1036"/>
      <c r="V123" s="1036"/>
      <c r="W123" s="1036"/>
      <c r="X123" s="1036"/>
      <c r="Y123" s="1036"/>
      <c r="Z123" s="1036"/>
    </row>
    <row r="124" spans="1:26" ht="63.75">
      <c r="A124" s="1065" t="s">
        <v>14832</v>
      </c>
      <c r="B124" s="1066" t="s">
        <v>14472</v>
      </c>
      <c r="C124" s="1066" t="s">
        <v>15953</v>
      </c>
      <c r="D124" s="1067" t="s">
        <v>409</v>
      </c>
      <c r="E124" s="1068">
        <v>44.31</v>
      </c>
      <c r="F124" s="1069">
        <v>382.06</v>
      </c>
      <c r="G124" s="1069">
        <v>16927.93</v>
      </c>
      <c r="H124" s="1070">
        <f t="shared" si="0"/>
        <v>1.1497489983232287E-3</v>
      </c>
      <c r="I124" s="1071">
        <f t="shared" si="2"/>
        <v>0.79213844719061499</v>
      </c>
      <c r="J124" s="1071" t="str">
        <f t="shared" si="1"/>
        <v>A</v>
      </c>
      <c r="K124" s="1036"/>
      <c r="L124" s="1036"/>
      <c r="M124" s="1036"/>
      <c r="N124" s="1036"/>
      <c r="O124" s="1036"/>
      <c r="P124" s="1036"/>
      <c r="Q124" s="1036"/>
      <c r="R124" s="1036"/>
      <c r="S124" s="1036"/>
      <c r="T124" s="1036"/>
      <c r="U124" s="1036"/>
      <c r="V124" s="1036"/>
      <c r="W124" s="1036"/>
      <c r="X124" s="1036"/>
      <c r="Y124" s="1036"/>
      <c r="Z124" s="1036"/>
    </row>
    <row r="125" spans="1:26" ht="25.5">
      <c r="A125" s="1065" t="s">
        <v>15022</v>
      </c>
      <c r="B125" s="1066" t="s">
        <v>14472</v>
      </c>
      <c r="C125" s="1066" t="s">
        <v>15023</v>
      </c>
      <c r="D125" s="1067" t="s">
        <v>409</v>
      </c>
      <c r="E125" s="1068">
        <v>14.49</v>
      </c>
      <c r="F125" s="1069">
        <v>1164.76</v>
      </c>
      <c r="G125" s="1069">
        <v>16877.37</v>
      </c>
      <c r="H125" s="1070">
        <f t="shared" si="0"/>
        <v>1.1463149511978434E-3</v>
      </c>
      <c r="I125" s="1071">
        <f t="shared" si="2"/>
        <v>0.79328476214181287</v>
      </c>
      <c r="J125" s="1071" t="str">
        <f t="shared" si="1"/>
        <v>A</v>
      </c>
      <c r="K125" s="1036"/>
      <c r="L125" s="1036"/>
      <c r="M125" s="1036"/>
      <c r="N125" s="1036"/>
      <c r="O125" s="1036"/>
      <c r="P125" s="1036"/>
      <c r="Q125" s="1036"/>
      <c r="R125" s="1036"/>
      <c r="S125" s="1036"/>
      <c r="T125" s="1036"/>
      <c r="U125" s="1036"/>
      <c r="V125" s="1036"/>
      <c r="W125" s="1036"/>
      <c r="X125" s="1036"/>
      <c r="Y125" s="1036"/>
      <c r="Z125" s="1036"/>
    </row>
    <row r="126" spans="1:26" ht="63.75">
      <c r="A126" s="1065">
        <v>95472</v>
      </c>
      <c r="B126" s="1066" t="s">
        <v>14476</v>
      </c>
      <c r="C126" s="1066" t="s">
        <v>10151</v>
      </c>
      <c r="D126" s="1067" t="s">
        <v>6</v>
      </c>
      <c r="E126" s="1068">
        <v>18</v>
      </c>
      <c r="F126" s="1069">
        <v>936.22</v>
      </c>
      <c r="G126" s="1069">
        <v>16851.96</v>
      </c>
      <c r="H126" s="1070">
        <f t="shared" si="0"/>
        <v>1.1445890980044881E-3</v>
      </c>
      <c r="I126" s="1071">
        <f t="shared" si="2"/>
        <v>0.79442935123981739</v>
      </c>
      <c r="J126" s="1071" t="str">
        <f t="shared" si="1"/>
        <v>A</v>
      </c>
      <c r="K126" s="1036"/>
      <c r="L126" s="1036"/>
      <c r="M126" s="1036"/>
      <c r="N126" s="1036"/>
      <c r="O126" s="1036"/>
      <c r="P126" s="1036"/>
      <c r="Q126" s="1036"/>
      <c r="R126" s="1036"/>
      <c r="S126" s="1036"/>
      <c r="T126" s="1036"/>
      <c r="U126" s="1036"/>
      <c r="V126" s="1036"/>
      <c r="W126" s="1036"/>
      <c r="X126" s="1036"/>
      <c r="Y126" s="1036"/>
      <c r="Z126" s="1036"/>
    </row>
    <row r="127" spans="1:26" ht="63.75">
      <c r="A127" s="1065">
        <v>95472</v>
      </c>
      <c r="B127" s="1066" t="s">
        <v>14476</v>
      </c>
      <c r="C127" s="1066" t="s">
        <v>10151</v>
      </c>
      <c r="D127" s="1067" t="s">
        <v>6</v>
      </c>
      <c r="E127" s="1068">
        <v>18</v>
      </c>
      <c r="F127" s="1069">
        <v>936.22</v>
      </c>
      <c r="G127" s="1069">
        <v>16851.96</v>
      </c>
      <c r="H127" s="1070">
        <f t="shared" si="0"/>
        <v>1.1445890980044881E-3</v>
      </c>
      <c r="I127" s="1071">
        <f t="shared" si="2"/>
        <v>0.79557394033782192</v>
      </c>
      <c r="J127" s="1071" t="str">
        <f t="shared" si="1"/>
        <v>A</v>
      </c>
      <c r="K127" s="1036"/>
      <c r="L127" s="1036"/>
      <c r="M127" s="1036"/>
      <c r="N127" s="1036"/>
      <c r="O127" s="1036"/>
      <c r="P127" s="1036"/>
      <c r="Q127" s="1036"/>
      <c r="R127" s="1036"/>
      <c r="S127" s="1036"/>
      <c r="T127" s="1036"/>
      <c r="U127" s="1036"/>
      <c r="V127" s="1036"/>
      <c r="W127" s="1036"/>
      <c r="X127" s="1036"/>
      <c r="Y127" s="1036"/>
      <c r="Z127" s="1036"/>
    </row>
    <row r="128" spans="1:26" ht="25.5">
      <c r="A128" s="1065" t="s">
        <v>15102</v>
      </c>
      <c r="B128" s="1066" t="s">
        <v>14472</v>
      </c>
      <c r="C128" s="1066" t="s">
        <v>15954</v>
      </c>
      <c r="D128" s="1067" t="s">
        <v>6</v>
      </c>
      <c r="E128" s="1068">
        <v>28</v>
      </c>
      <c r="F128" s="1069">
        <v>601.4</v>
      </c>
      <c r="G128" s="1069">
        <v>16839.2</v>
      </c>
      <c r="H128" s="1070">
        <f t="shared" si="0"/>
        <v>1.1437224357948379E-3</v>
      </c>
      <c r="I128" s="1071">
        <f t="shared" si="2"/>
        <v>0.79671766277361677</v>
      </c>
      <c r="J128" s="1071" t="str">
        <f t="shared" si="1"/>
        <v>A</v>
      </c>
      <c r="K128" s="1036"/>
      <c r="L128" s="1036"/>
      <c r="M128" s="1036"/>
      <c r="N128" s="1036"/>
      <c r="O128" s="1036"/>
      <c r="P128" s="1036"/>
      <c r="Q128" s="1036"/>
      <c r="R128" s="1036"/>
      <c r="S128" s="1036"/>
      <c r="T128" s="1036"/>
      <c r="U128" s="1036"/>
      <c r="V128" s="1036"/>
      <c r="W128" s="1036"/>
      <c r="X128" s="1036"/>
      <c r="Y128" s="1036"/>
      <c r="Z128" s="1036"/>
    </row>
    <row r="129" spans="1:26" ht="38.25">
      <c r="A129" s="1065">
        <v>103686</v>
      </c>
      <c r="B129" s="1066" t="s">
        <v>14476</v>
      </c>
      <c r="C129" s="1066" t="s">
        <v>7593</v>
      </c>
      <c r="D129" s="1067" t="s">
        <v>152</v>
      </c>
      <c r="E129" s="1068">
        <v>14.5</v>
      </c>
      <c r="F129" s="1069">
        <v>1161.31</v>
      </c>
      <c r="G129" s="1069">
        <v>16838.990000000002</v>
      </c>
      <c r="H129" s="1070">
        <f t="shared" si="0"/>
        <v>1.1437081725453062E-3</v>
      </c>
      <c r="I129" s="1071">
        <f t="shared" si="2"/>
        <v>0.79786137094616205</v>
      </c>
      <c r="J129" s="1071" t="str">
        <f t="shared" si="1"/>
        <v>A</v>
      </c>
      <c r="K129" s="1036"/>
      <c r="L129" s="1036"/>
      <c r="M129" s="1036"/>
      <c r="N129" s="1036"/>
      <c r="O129" s="1036"/>
      <c r="P129" s="1036"/>
      <c r="Q129" s="1036"/>
      <c r="R129" s="1036"/>
      <c r="S129" s="1036"/>
      <c r="T129" s="1036"/>
      <c r="U129" s="1036"/>
      <c r="V129" s="1036"/>
      <c r="W129" s="1036"/>
      <c r="X129" s="1036"/>
      <c r="Y129" s="1036"/>
      <c r="Z129" s="1036"/>
    </row>
    <row r="130" spans="1:26" ht="38.25">
      <c r="A130" s="1065">
        <v>92982</v>
      </c>
      <c r="B130" s="1066" t="s">
        <v>14476</v>
      </c>
      <c r="C130" s="1066" t="s">
        <v>7866</v>
      </c>
      <c r="D130" s="1067" t="s">
        <v>50</v>
      </c>
      <c r="E130" s="1068">
        <v>750</v>
      </c>
      <c r="F130" s="1069">
        <v>22.23</v>
      </c>
      <c r="G130" s="1069">
        <v>16672.5</v>
      </c>
      <c r="H130" s="1070">
        <f t="shared" si="0"/>
        <v>1.1324001324759748E-3</v>
      </c>
      <c r="I130" s="1071">
        <f t="shared" si="2"/>
        <v>0.798993771078638</v>
      </c>
      <c r="J130" s="1071" t="str">
        <f t="shared" si="1"/>
        <v>A</v>
      </c>
      <c r="K130" s="1036"/>
      <c r="L130" s="1036"/>
      <c r="M130" s="1036"/>
      <c r="N130" s="1036"/>
      <c r="O130" s="1036"/>
      <c r="P130" s="1036"/>
      <c r="Q130" s="1036"/>
      <c r="R130" s="1036"/>
      <c r="S130" s="1036"/>
      <c r="T130" s="1036"/>
      <c r="U130" s="1036"/>
      <c r="V130" s="1036"/>
      <c r="W130" s="1036"/>
      <c r="X130" s="1036"/>
      <c r="Y130" s="1036"/>
      <c r="Z130" s="1036"/>
    </row>
    <row r="131" spans="1:26" ht="38.25">
      <c r="A131" s="1072">
        <v>102492</v>
      </c>
      <c r="B131" s="1073" t="s">
        <v>14476</v>
      </c>
      <c r="C131" s="1073" t="s">
        <v>11106</v>
      </c>
      <c r="D131" s="1074" t="s">
        <v>409</v>
      </c>
      <c r="E131" s="1075">
        <v>546.32000000000005</v>
      </c>
      <c r="F131" s="1076">
        <v>30.3</v>
      </c>
      <c r="G131" s="1076">
        <v>16553.490000000002</v>
      </c>
      <c r="H131" s="1077">
        <f t="shared" si="0"/>
        <v>1.1243169452055616E-3</v>
      </c>
      <c r="I131" s="1078">
        <f t="shared" si="2"/>
        <v>0.80011808802384354</v>
      </c>
      <c r="J131" s="1078" t="str">
        <f t="shared" si="1"/>
        <v>B</v>
      </c>
      <c r="K131" s="1036"/>
      <c r="L131" s="1036"/>
      <c r="M131" s="1036"/>
      <c r="N131" s="1036"/>
      <c r="O131" s="1036"/>
      <c r="P131" s="1036"/>
      <c r="Q131" s="1036"/>
      <c r="R131" s="1036"/>
      <c r="S131" s="1036"/>
      <c r="T131" s="1036"/>
      <c r="U131" s="1036"/>
      <c r="V131" s="1036"/>
      <c r="W131" s="1036"/>
      <c r="X131" s="1036"/>
      <c r="Y131" s="1036"/>
      <c r="Z131" s="1036"/>
    </row>
    <row r="132" spans="1:26" ht="25.5">
      <c r="A132" s="1072" t="s">
        <v>15032</v>
      </c>
      <c r="B132" s="1073" t="s">
        <v>14472</v>
      </c>
      <c r="C132" s="1073" t="s">
        <v>15033</v>
      </c>
      <c r="D132" s="1074" t="s">
        <v>409</v>
      </c>
      <c r="E132" s="1075">
        <v>76.010000000000005</v>
      </c>
      <c r="F132" s="1076">
        <v>217.43</v>
      </c>
      <c r="G132" s="1076">
        <v>16526.849999999999</v>
      </c>
      <c r="H132" s="1077">
        <f t="shared" si="0"/>
        <v>1.1225075501220911E-3</v>
      </c>
      <c r="I132" s="1078">
        <f t="shared" si="2"/>
        <v>0.80124059557396565</v>
      </c>
      <c r="J132" s="1078" t="str">
        <f t="shared" si="1"/>
        <v>B</v>
      </c>
      <c r="K132" s="1036"/>
      <c r="L132" s="1036"/>
      <c r="M132" s="1036"/>
      <c r="N132" s="1036"/>
      <c r="O132" s="1036"/>
      <c r="P132" s="1036"/>
      <c r="Q132" s="1036"/>
      <c r="R132" s="1036"/>
      <c r="S132" s="1036"/>
      <c r="T132" s="1036"/>
      <c r="U132" s="1036"/>
      <c r="V132" s="1036"/>
      <c r="W132" s="1036"/>
      <c r="X132" s="1036"/>
      <c r="Y132" s="1036"/>
      <c r="Z132" s="1036"/>
    </row>
    <row r="133" spans="1:26" ht="38.25">
      <c r="A133" s="1072">
        <v>91601</v>
      </c>
      <c r="B133" s="1073" t="s">
        <v>14476</v>
      </c>
      <c r="C133" s="1073" t="s">
        <v>7425</v>
      </c>
      <c r="D133" s="1074" t="s">
        <v>54</v>
      </c>
      <c r="E133" s="1075">
        <v>922.92</v>
      </c>
      <c r="F133" s="1076">
        <v>17.010000000000002</v>
      </c>
      <c r="G133" s="1076">
        <v>15698.86</v>
      </c>
      <c r="H133" s="1077">
        <f t="shared" si="0"/>
        <v>1.0662702740273974E-3</v>
      </c>
      <c r="I133" s="1078">
        <f t="shared" si="2"/>
        <v>0.80230686584799304</v>
      </c>
      <c r="J133" s="1078" t="str">
        <f t="shared" si="1"/>
        <v>B</v>
      </c>
      <c r="K133" s="1036"/>
      <c r="L133" s="1036"/>
      <c r="M133" s="1036"/>
      <c r="N133" s="1036"/>
      <c r="O133" s="1036"/>
      <c r="P133" s="1036"/>
      <c r="Q133" s="1036"/>
      <c r="R133" s="1036"/>
      <c r="S133" s="1036"/>
      <c r="T133" s="1036"/>
      <c r="U133" s="1036"/>
      <c r="V133" s="1036"/>
      <c r="W133" s="1036"/>
      <c r="X133" s="1036"/>
      <c r="Y133" s="1036"/>
      <c r="Z133" s="1036"/>
    </row>
    <row r="134" spans="1:26" ht="25.5">
      <c r="A134" s="1072" t="s">
        <v>15035</v>
      </c>
      <c r="B134" s="1073" t="s">
        <v>14472</v>
      </c>
      <c r="C134" s="1073" t="s">
        <v>15036</v>
      </c>
      <c r="D134" s="1074" t="s">
        <v>6</v>
      </c>
      <c r="E134" s="1075">
        <v>5</v>
      </c>
      <c r="F134" s="1076">
        <v>3124.3</v>
      </c>
      <c r="G134" s="1076">
        <v>15621.5</v>
      </c>
      <c r="H134" s="1077">
        <f t="shared" si="0"/>
        <v>1.0610159645808033E-3</v>
      </c>
      <c r="I134" s="1078">
        <f t="shared" si="2"/>
        <v>0.8033678818125739</v>
      </c>
      <c r="J134" s="1078" t="str">
        <f t="shared" si="1"/>
        <v>B</v>
      </c>
      <c r="K134" s="1036"/>
      <c r="L134" s="1036"/>
      <c r="M134" s="1036"/>
      <c r="N134" s="1036"/>
      <c r="O134" s="1036"/>
      <c r="P134" s="1036"/>
      <c r="Q134" s="1036"/>
      <c r="R134" s="1036"/>
      <c r="S134" s="1036"/>
      <c r="T134" s="1036"/>
      <c r="U134" s="1036"/>
      <c r="V134" s="1036"/>
      <c r="W134" s="1036"/>
      <c r="X134" s="1036"/>
      <c r="Y134" s="1036"/>
      <c r="Z134" s="1036"/>
    </row>
    <row r="135" spans="1:26" ht="25.5">
      <c r="A135" s="1072" t="s">
        <v>15035</v>
      </c>
      <c r="B135" s="1073" t="s">
        <v>14472</v>
      </c>
      <c r="C135" s="1073" t="s">
        <v>15036</v>
      </c>
      <c r="D135" s="1074" t="s">
        <v>6</v>
      </c>
      <c r="E135" s="1075">
        <v>5</v>
      </c>
      <c r="F135" s="1076">
        <v>3124.3</v>
      </c>
      <c r="G135" s="1076">
        <v>15621.5</v>
      </c>
      <c r="H135" s="1077">
        <f t="shared" si="0"/>
        <v>1.0610159645808033E-3</v>
      </c>
      <c r="I135" s="1078">
        <f t="shared" si="2"/>
        <v>0.80442889777715476</v>
      </c>
      <c r="J135" s="1078" t="str">
        <f t="shared" si="1"/>
        <v>B</v>
      </c>
      <c r="K135" s="1036"/>
      <c r="L135" s="1036"/>
      <c r="M135" s="1036"/>
      <c r="N135" s="1036"/>
      <c r="O135" s="1036"/>
      <c r="P135" s="1036"/>
      <c r="Q135" s="1036"/>
      <c r="R135" s="1036"/>
      <c r="S135" s="1036"/>
      <c r="T135" s="1036"/>
      <c r="U135" s="1036"/>
      <c r="V135" s="1036"/>
      <c r="W135" s="1036"/>
      <c r="X135" s="1036"/>
      <c r="Y135" s="1036"/>
      <c r="Z135" s="1036"/>
    </row>
    <row r="136" spans="1:26" ht="63.75">
      <c r="A136" s="1072">
        <v>87775</v>
      </c>
      <c r="B136" s="1073" t="s">
        <v>14476</v>
      </c>
      <c r="C136" s="1073" t="s">
        <v>11326</v>
      </c>
      <c r="D136" s="1074" t="s">
        <v>409</v>
      </c>
      <c r="E136" s="1075">
        <v>237.69</v>
      </c>
      <c r="F136" s="1076">
        <v>65.150000000000006</v>
      </c>
      <c r="G136" s="1076">
        <v>15485.5</v>
      </c>
      <c r="H136" s="1077">
        <f t="shared" si="0"/>
        <v>1.0517788125030264E-3</v>
      </c>
      <c r="I136" s="1078">
        <f t="shared" si="2"/>
        <v>0.80548067658965783</v>
      </c>
      <c r="J136" s="1078" t="str">
        <f t="shared" si="1"/>
        <v>B</v>
      </c>
      <c r="K136" s="1036"/>
      <c r="L136" s="1036"/>
      <c r="M136" s="1036"/>
      <c r="N136" s="1036"/>
      <c r="O136" s="1036"/>
      <c r="P136" s="1036"/>
      <c r="Q136" s="1036"/>
      <c r="R136" s="1036"/>
      <c r="S136" s="1036"/>
      <c r="T136" s="1036"/>
      <c r="U136" s="1036"/>
      <c r="V136" s="1036"/>
      <c r="W136" s="1036"/>
      <c r="X136" s="1036"/>
      <c r="Y136" s="1036"/>
      <c r="Z136" s="1036"/>
    </row>
    <row r="137" spans="1:26" ht="38.25">
      <c r="A137" s="1072">
        <v>91926</v>
      </c>
      <c r="B137" s="1073" t="s">
        <v>14476</v>
      </c>
      <c r="C137" s="1073" t="s">
        <v>7853</v>
      </c>
      <c r="D137" s="1074" t="s">
        <v>50</v>
      </c>
      <c r="E137" s="1075">
        <v>2800</v>
      </c>
      <c r="F137" s="1076">
        <v>5.53</v>
      </c>
      <c r="G137" s="1076">
        <v>15484</v>
      </c>
      <c r="H137" s="1077">
        <f t="shared" si="0"/>
        <v>1.0516769321492275E-3</v>
      </c>
      <c r="I137" s="1078">
        <f t="shared" si="2"/>
        <v>0.80653235352180708</v>
      </c>
      <c r="J137" s="1078" t="str">
        <f t="shared" si="1"/>
        <v>B</v>
      </c>
      <c r="K137" s="1036"/>
      <c r="L137" s="1036"/>
      <c r="M137" s="1036"/>
      <c r="N137" s="1036"/>
      <c r="O137" s="1036"/>
      <c r="P137" s="1036"/>
      <c r="Q137" s="1036"/>
      <c r="R137" s="1036"/>
      <c r="S137" s="1036"/>
      <c r="T137" s="1036"/>
      <c r="U137" s="1036"/>
      <c r="V137" s="1036"/>
      <c r="W137" s="1036"/>
      <c r="X137" s="1036"/>
      <c r="Y137" s="1036"/>
      <c r="Z137" s="1036"/>
    </row>
    <row r="138" spans="1:26" ht="38.25">
      <c r="A138" s="1072" t="s">
        <v>15242</v>
      </c>
      <c r="B138" s="1073" t="s">
        <v>14472</v>
      </c>
      <c r="C138" s="1073" t="s">
        <v>15955</v>
      </c>
      <c r="D138" s="1074" t="s">
        <v>6</v>
      </c>
      <c r="E138" s="1075">
        <v>45</v>
      </c>
      <c r="F138" s="1076">
        <v>331.92</v>
      </c>
      <c r="G138" s="1076">
        <v>14936.4</v>
      </c>
      <c r="H138" s="1077">
        <f t="shared" si="0"/>
        <v>1.014483810989003E-3</v>
      </c>
      <c r="I138" s="1078">
        <f t="shared" si="2"/>
        <v>0.80754683733279609</v>
      </c>
      <c r="J138" s="1078" t="str">
        <f t="shared" si="1"/>
        <v>B</v>
      </c>
      <c r="K138" s="1036"/>
      <c r="L138" s="1036"/>
      <c r="M138" s="1036"/>
      <c r="N138" s="1036"/>
      <c r="O138" s="1036"/>
      <c r="P138" s="1036"/>
      <c r="Q138" s="1036"/>
      <c r="R138" s="1036"/>
      <c r="S138" s="1036"/>
      <c r="T138" s="1036"/>
      <c r="U138" s="1036"/>
      <c r="V138" s="1036"/>
      <c r="W138" s="1036"/>
      <c r="X138" s="1036"/>
      <c r="Y138" s="1036"/>
      <c r="Z138" s="1036"/>
    </row>
    <row r="139" spans="1:26" ht="38.25">
      <c r="A139" s="1072">
        <v>96558</v>
      </c>
      <c r="B139" s="1073" t="s">
        <v>14476</v>
      </c>
      <c r="C139" s="1073" t="s">
        <v>7548</v>
      </c>
      <c r="D139" s="1074" t="s">
        <v>152</v>
      </c>
      <c r="E139" s="1075">
        <v>11.82</v>
      </c>
      <c r="F139" s="1076">
        <v>1262.0999999999999</v>
      </c>
      <c r="G139" s="1076">
        <v>14918.02</v>
      </c>
      <c r="H139" s="1077">
        <f t="shared" si="0"/>
        <v>1.0132354370537859E-3</v>
      </c>
      <c r="I139" s="1078">
        <f t="shared" si="2"/>
        <v>0.80856007276984987</v>
      </c>
      <c r="J139" s="1078" t="str">
        <f t="shared" si="1"/>
        <v>B</v>
      </c>
      <c r="K139" s="1036"/>
      <c r="L139" s="1036"/>
      <c r="M139" s="1036"/>
      <c r="N139" s="1036"/>
      <c r="O139" s="1036"/>
      <c r="P139" s="1036"/>
      <c r="Q139" s="1036"/>
      <c r="R139" s="1036"/>
      <c r="S139" s="1036"/>
      <c r="T139" s="1036"/>
      <c r="U139" s="1036"/>
      <c r="V139" s="1036"/>
      <c r="W139" s="1036"/>
      <c r="X139" s="1036"/>
      <c r="Y139" s="1036"/>
      <c r="Z139" s="1036"/>
    </row>
    <row r="140" spans="1:26" ht="38.25">
      <c r="A140" s="1072">
        <v>96536</v>
      </c>
      <c r="B140" s="1073" t="s">
        <v>14476</v>
      </c>
      <c r="C140" s="1073" t="s">
        <v>7302</v>
      </c>
      <c r="D140" s="1074" t="s">
        <v>409</v>
      </c>
      <c r="E140" s="1075">
        <v>164.82</v>
      </c>
      <c r="F140" s="1076">
        <v>89.68</v>
      </c>
      <c r="G140" s="1076">
        <v>14781.05</v>
      </c>
      <c r="H140" s="1077">
        <f t="shared" si="0"/>
        <v>1.003932402347219E-3</v>
      </c>
      <c r="I140" s="1078">
        <f t="shared" si="2"/>
        <v>0.80956400517219707</v>
      </c>
      <c r="J140" s="1078" t="str">
        <f t="shared" si="1"/>
        <v>B</v>
      </c>
      <c r="K140" s="1036"/>
      <c r="L140" s="1036"/>
      <c r="M140" s="1036"/>
      <c r="N140" s="1036"/>
      <c r="O140" s="1036"/>
      <c r="P140" s="1036"/>
      <c r="Q140" s="1036"/>
      <c r="R140" s="1036"/>
      <c r="S140" s="1036"/>
      <c r="T140" s="1036"/>
      <c r="U140" s="1036"/>
      <c r="V140" s="1036"/>
      <c r="W140" s="1036"/>
      <c r="X140" s="1036"/>
      <c r="Y140" s="1036"/>
      <c r="Z140" s="1036"/>
    </row>
    <row r="141" spans="1:26" ht="51">
      <c r="A141" s="1072">
        <v>92988</v>
      </c>
      <c r="B141" s="1073" t="s">
        <v>14476</v>
      </c>
      <c r="C141" s="1073" t="s">
        <v>7869</v>
      </c>
      <c r="D141" s="1074" t="s">
        <v>50</v>
      </c>
      <c r="E141" s="1075">
        <v>200</v>
      </c>
      <c r="F141" s="1076">
        <v>73.67</v>
      </c>
      <c r="G141" s="1076">
        <v>14734</v>
      </c>
      <c r="H141" s="1077">
        <f t="shared" si="0"/>
        <v>1.0007367552497233E-3</v>
      </c>
      <c r="I141" s="1078">
        <f t="shared" si="2"/>
        <v>0.81056474192744676</v>
      </c>
      <c r="J141" s="1078" t="str">
        <f t="shared" si="1"/>
        <v>B</v>
      </c>
      <c r="K141" s="1036"/>
      <c r="L141" s="1036"/>
      <c r="M141" s="1036"/>
      <c r="N141" s="1036"/>
      <c r="O141" s="1036"/>
      <c r="P141" s="1036"/>
      <c r="Q141" s="1036"/>
      <c r="R141" s="1036"/>
      <c r="S141" s="1036"/>
      <c r="T141" s="1036"/>
      <c r="U141" s="1036"/>
      <c r="V141" s="1036"/>
      <c r="W141" s="1036"/>
      <c r="X141" s="1036"/>
      <c r="Y141" s="1036"/>
      <c r="Z141" s="1036"/>
    </row>
    <row r="142" spans="1:26" ht="63.75">
      <c r="A142" s="1072" t="s">
        <v>15020</v>
      </c>
      <c r="B142" s="1073" t="s">
        <v>14472</v>
      </c>
      <c r="C142" s="1073" t="s">
        <v>15021</v>
      </c>
      <c r="D142" s="1074" t="s">
        <v>409</v>
      </c>
      <c r="E142" s="1075">
        <v>14.25</v>
      </c>
      <c r="F142" s="1076">
        <v>1026.93</v>
      </c>
      <c r="G142" s="1076">
        <v>14633.75</v>
      </c>
      <c r="H142" s="1077">
        <f t="shared" si="0"/>
        <v>9.9392775160415643E-4</v>
      </c>
      <c r="I142" s="1078">
        <f t="shared" si="2"/>
        <v>0.81155866967905088</v>
      </c>
      <c r="J142" s="1078" t="str">
        <f t="shared" si="1"/>
        <v>B</v>
      </c>
      <c r="K142" s="1036"/>
      <c r="L142" s="1036"/>
      <c r="M142" s="1036"/>
      <c r="N142" s="1036"/>
      <c r="O142" s="1036"/>
      <c r="P142" s="1036"/>
      <c r="Q142" s="1036"/>
      <c r="R142" s="1036"/>
      <c r="S142" s="1036"/>
      <c r="T142" s="1036"/>
      <c r="U142" s="1036"/>
      <c r="V142" s="1036"/>
      <c r="W142" s="1036"/>
      <c r="X142" s="1036"/>
      <c r="Y142" s="1036"/>
      <c r="Z142" s="1036"/>
    </row>
    <row r="143" spans="1:26" ht="14.25">
      <c r="A143" s="1072">
        <v>98504</v>
      </c>
      <c r="B143" s="1073" t="s">
        <v>14476</v>
      </c>
      <c r="C143" s="1073" t="s">
        <v>12075</v>
      </c>
      <c r="D143" s="1074" t="s">
        <v>409</v>
      </c>
      <c r="E143" s="1075">
        <v>766.28</v>
      </c>
      <c r="F143" s="1076">
        <v>18.510000000000002</v>
      </c>
      <c r="G143" s="1076">
        <v>14183.84</v>
      </c>
      <c r="H143" s="1077">
        <f t="shared" si="0"/>
        <v>9.6336975828568191E-4</v>
      </c>
      <c r="I143" s="1078">
        <f t="shared" si="2"/>
        <v>0.81252203943733659</v>
      </c>
      <c r="J143" s="1078" t="str">
        <f t="shared" si="1"/>
        <v>B</v>
      </c>
      <c r="K143" s="1036"/>
      <c r="L143" s="1036"/>
      <c r="M143" s="1036"/>
      <c r="N143" s="1036"/>
      <c r="O143" s="1036"/>
      <c r="P143" s="1036"/>
      <c r="Q143" s="1036"/>
      <c r="R143" s="1036"/>
      <c r="S143" s="1036"/>
      <c r="T143" s="1036"/>
      <c r="U143" s="1036"/>
      <c r="V143" s="1036"/>
      <c r="W143" s="1036"/>
      <c r="X143" s="1036"/>
      <c r="Y143" s="1036"/>
      <c r="Z143" s="1036"/>
    </row>
    <row r="144" spans="1:26" ht="51">
      <c r="A144" s="1072" t="s">
        <v>14536</v>
      </c>
      <c r="B144" s="1073" t="s">
        <v>14472</v>
      </c>
      <c r="C144" s="1073" t="s">
        <v>15956</v>
      </c>
      <c r="D144" s="1074" t="s">
        <v>409</v>
      </c>
      <c r="E144" s="1075">
        <v>50</v>
      </c>
      <c r="F144" s="1076">
        <v>282.37</v>
      </c>
      <c r="G144" s="1076">
        <v>14118.5</v>
      </c>
      <c r="H144" s="1077">
        <f t="shared" si="0"/>
        <v>9.5893185007419712E-4</v>
      </c>
      <c r="I144" s="1078">
        <f t="shared" si="2"/>
        <v>0.81348097128741081</v>
      </c>
      <c r="J144" s="1078" t="str">
        <f t="shared" si="1"/>
        <v>B</v>
      </c>
      <c r="K144" s="1036"/>
      <c r="L144" s="1036"/>
      <c r="M144" s="1036"/>
      <c r="N144" s="1036"/>
      <c r="O144" s="1036"/>
      <c r="P144" s="1036"/>
      <c r="Q144" s="1036"/>
      <c r="R144" s="1036"/>
      <c r="S144" s="1036"/>
      <c r="T144" s="1036"/>
      <c r="U144" s="1036"/>
      <c r="V144" s="1036"/>
      <c r="W144" s="1036"/>
      <c r="X144" s="1036"/>
      <c r="Y144" s="1036"/>
      <c r="Z144" s="1036"/>
    </row>
    <row r="145" spans="1:26" ht="51">
      <c r="A145" s="1072">
        <v>102012</v>
      </c>
      <c r="B145" s="1073" t="s">
        <v>14476</v>
      </c>
      <c r="C145" s="1073" t="s">
        <v>7350</v>
      </c>
      <c r="D145" s="1074" t="s">
        <v>409</v>
      </c>
      <c r="E145" s="1075">
        <v>44.45</v>
      </c>
      <c r="F145" s="1076">
        <v>317.11</v>
      </c>
      <c r="G145" s="1076">
        <v>14095.53</v>
      </c>
      <c r="H145" s="1077">
        <f t="shared" si="0"/>
        <v>9.5737172225635503E-4</v>
      </c>
      <c r="I145" s="1078">
        <f t="shared" si="2"/>
        <v>0.81443834300966722</v>
      </c>
      <c r="J145" s="1078" t="str">
        <f t="shared" si="1"/>
        <v>B</v>
      </c>
      <c r="K145" s="1036"/>
      <c r="L145" s="1036"/>
      <c r="M145" s="1036"/>
      <c r="N145" s="1036"/>
      <c r="O145" s="1036"/>
      <c r="P145" s="1036"/>
      <c r="Q145" s="1036"/>
      <c r="R145" s="1036"/>
      <c r="S145" s="1036"/>
      <c r="T145" s="1036"/>
      <c r="U145" s="1036"/>
      <c r="V145" s="1036"/>
      <c r="W145" s="1036"/>
      <c r="X145" s="1036"/>
      <c r="Y145" s="1036"/>
      <c r="Z145" s="1036"/>
    </row>
    <row r="146" spans="1:26" ht="51">
      <c r="A146" s="1072" t="s">
        <v>14585</v>
      </c>
      <c r="B146" s="1073" t="s">
        <v>14472</v>
      </c>
      <c r="C146" s="1073" t="s">
        <v>15957</v>
      </c>
      <c r="D146" s="1074" t="s">
        <v>50</v>
      </c>
      <c r="E146" s="1075">
        <v>163</v>
      </c>
      <c r="F146" s="1076">
        <v>86.37</v>
      </c>
      <c r="G146" s="1076">
        <v>14078.31</v>
      </c>
      <c r="H146" s="1077">
        <f t="shared" si="0"/>
        <v>9.5620213579474228E-4</v>
      </c>
      <c r="I146" s="1078">
        <f t="shared" si="2"/>
        <v>0.81539454514546195</v>
      </c>
      <c r="J146" s="1078" t="str">
        <f t="shared" si="1"/>
        <v>B</v>
      </c>
      <c r="K146" s="1036"/>
      <c r="L146" s="1036"/>
      <c r="M146" s="1036"/>
      <c r="N146" s="1036"/>
      <c r="O146" s="1036"/>
      <c r="P146" s="1036"/>
      <c r="Q146" s="1036"/>
      <c r="R146" s="1036"/>
      <c r="S146" s="1036"/>
      <c r="T146" s="1036"/>
      <c r="U146" s="1036"/>
      <c r="V146" s="1036"/>
      <c r="W146" s="1036"/>
      <c r="X146" s="1036"/>
      <c r="Y146" s="1036"/>
      <c r="Z146" s="1036"/>
    </row>
    <row r="147" spans="1:26" ht="25.5">
      <c r="A147" s="1072" t="s">
        <v>14741</v>
      </c>
      <c r="B147" s="1073" t="s">
        <v>14472</v>
      </c>
      <c r="C147" s="1073" t="s">
        <v>14742</v>
      </c>
      <c r="D147" s="1074" t="s">
        <v>409</v>
      </c>
      <c r="E147" s="1075">
        <v>25.85</v>
      </c>
      <c r="F147" s="1076">
        <v>536.67999999999995</v>
      </c>
      <c r="G147" s="1076">
        <v>13873.17</v>
      </c>
      <c r="H147" s="1077">
        <f t="shared" si="0"/>
        <v>9.4226897860919001E-4</v>
      </c>
      <c r="I147" s="1078">
        <f t="shared" si="2"/>
        <v>0.81633681412407111</v>
      </c>
      <c r="J147" s="1078" t="str">
        <f t="shared" si="1"/>
        <v>B</v>
      </c>
      <c r="K147" s="1036"/>
      <c r="L147" s="1036"/>
      <c r="M147" s="1036"/>
      <c r="N147" s="1036"/>
      <c r="O147" s="1036"/>
      <c r="P147" s="1036"/>
      <c r="Q147" s="1036"/>
      <c r="R147" s="1036"/>
      <c r="S147" s="1036"/>
      <c r="T147" s="1036"/>
      <c r="U147" s="1036"/>
      <c r="V147" s="1036"/>
      <c r="W147" s="1036"/>
      <c r="X147" s="1036"/>
      <c r="Y147" s="1036"/>
      <c r="Z147" s="1036"/>
    </row>
    <row r="148" spans="1:26" ht="63.75">
      <c r="A148" s="1072" t="s">
        <v>14557</v>
      </c>
      <c r="B148" s="1073" t="s">
        <v>14472</v>
      </c>
      <c r="C148" s="1073" t="s">
        <v>14558</v>
      </c>
      <c r="D148" s="1074" t="s">
        <v>2557</v>
      </c>
      <c r="E148" s="1075">
        <v>300</v>
      </c>
      <c r="F148" s="1076">
        <v>46.1</v>
      </c>
      <c r="G148" s="1076">
        <v>13830</v>
      </c>
      <c r="H148" s="1077">
        <f t="shared" si="0"/>
        <v>9.3933686202685455E-4</v>
      </c>
      <c r="I148" s="1078">
        <f t="shared" si="2"/>
        <v>0.81727615098609796</v>
      </c>
      <c r="J148" s="1078" t="str">
        <f t="shared" si="1"/>
        <v>B</v>
      </c>
      <c r="K148" s="1036"/>
      <c r="L148" s="1036"/>
      <c r="M148" s="1036"/>
      <c r="N148" s="1036"/>
      <c r="O148" s="1036"/>
      <c r="P148" s="1036"/>
      <c r="Q148" s="1036"/>
      <c r="R148" s="1036"/>
      <c r="S148" s="1036"/>
      <c r="T148" s="1036"/>
      <c r="U148" s="1036"/>
      <c r="V148" s="1036"/>
      <c r="W148" s="1036"/>
      <c r="X148" s="1036"/>
      <c r="Y148" s="1036"/>
      <c r="Z148" s="1036"/>
    </row>
    <row r="149" spans="1:26" ht="51">
      <c r="A149" s="1072" t="s">
        <v>14605</v>
      </c>
      <c r="B149" s="1073" t="s">
        <v>14472</v>
      </c>
      <c r="C149" s="1073" t="s">
        <v>14606</v>
      </c>
      <c r="D149" s="1074" t="s">
        <v>409</v>
      </c>
      <c r="E149" s="1075">
        <v>76.88</v>
      </c>
      <c r="F149" s="1076">
        <v>179.08</v>
      </c>
      <c r="G149" s="1076">
        <v>13767.67</v>
      </c>
      <c r="H149" s="1077">
        <f t="shared" si="0"/>
        <v>9.3510339372532649E-4</v>
      </c>
      <c r="I149" s="1078">
        <f t="shared" si="2"/>
        <v>0.81821125437982334</v>
      </c>
      <c r="J149" s="1078" t="str">
        <f t="shared" si="1"/>
        <v>B</v>
      </c>
      <c r="K149" s="1036"/>
      <c r="L149" s="1036"/>
      <c r="M149" s="1036"/>
      <c r="N149" s="1036"/>
      <c r="O149" s="1036"/>
      <c r="P149" s="1036"/>
      <c r="Q149" s="1036"/>
      <c r="R149" s="1036"/>
      <c r="S149" s="1036"/>
      <c r="T149" s="1036"/>
      <c r="U149" s="1036"/>
      <c r="V149" s="1036"/>
      <c r="W149" s="1036"/>
      <c r="X149" s="1036"/>
      <c r="Y149" s="1036"/>
      <c r="Z149" s="1036"/>
    </row>
    <row r="150" spans="1:26" ht="76.5">
      <c r="A150" s="1072" t="s">
        <v>14986</v>
      </c>
      <c r="B150" s="1073" t="s">
        <v>14472</v>
      </c>
      <c r="C150" s="1073" t="s">
        <v>14987</v>
      </c>
      <c r="D150" s="1074" t="s">
        <v>6</v>
      </c>
      <c r="E150" s="1075">
        <v>16</v>
      </c>
      <c r="F150" s="1076">
        <v>851.68</v>
      </c>
      <c r="G150" s="1076">
        <v>13626.88</v>
      </c>
      <c r="H150" s="1077">
        <f t="shared" si="0"/>
        <v>9.2554090371775144E-4</v>
      </c>
      <c r="I150" s="1078">
        <f t="shared" si="2"/>
        <v>0.81913679528354111</v>
      </c>
      <c r="J150" s="1078" t="str">
        <f t="shared" si="1"/>
        <v>B</v>
      </c>
      <c r="K150" s="1036"/>
      <c r="L150" s="1036"/>
      <c r="M150" s="1036"/>
      <c r="N150" s="1036"/>
      <c r="O150" s="1036"/>
      <c r="P150" s="1036"/>
      <c r="Q150" s="1036"/>
      <c r="R150" s="1036"/>
      <c r="S150" s="1036"/>
      <c r="T150" s="1036"/>
      <c r="U150" s="1036"/>
      <c r="V150" s="1036"/>
      <c r="W150" s="1036"/>
      <c r="X150" s="1036"/>
      <c r="Y150" s="1036"/>
      <c r="Z150" s="1036"/>
    </row>
    <row r="151" spans="1:26" ht="51">
      <c r="A151" s="1072">
        <v>92468</v>
      </c>
      <c r="B151" s="1073" t="s">
        <v>14476</v>
      </c>
      <c r="C151" s="1073" t="s">
        <v>7251</v>
      </c>
      <c r="D151" s="1074" t="s">
        <v>409</v>
      </c>
      <c r="E151" s="1075">
        <v>77.930000000000007</v>
      </c>
      <c r="F151" s="1076">
        <v>174.35</v>
      </c>
      <c r="G151" s="1076">
        <v>13587.09</v>
      </c>
      <c r="H151" s="1077">
        <f t="shared" si="0"/>
        <v>9.2283835753264318E-4</v>
      </c>
      <c r="I151" s="1078">
        <f t="shared" si="2"/>
        <v>0.8200596336410737</v>
      </c>
      <c r="J151" s="1078" t="str">
        <f t="shared" si="1"/>
        <v>B</v>
      </c>
      <c r="K151" s="1036"/>
      <c r="L151" s="1036"/>
      <c r="M151" s="1036"/>
      <c r="N151" s="1036"/>
      <c r="O151" s="1036"/>
      <c r="P151" s="1036"/>
      <c r="Q151" s="1036"/>
      <c r="R151" s="1036"/>
      <c r="S151" s="1036"/>
      <c r="T151" s="1036"/>
      <c r="U151" s="1036"/>
      <c r="V151" s="1036"/>
      <c r="W151" s="1036"/>
      <c r="X151" s="1036"/>
      <c r="Y151" s="1036"/>
      <c r="Z151" s="1036"/>
    </row>
    <row r="152" spans="1:26" ht="25.5">
      <c r="A152" s="1072" t="s">
        <v>15289</v>
      </c>
      <c r="B152" s="1073" t="s">
        <v>14472</v>
      </c>
      <c r="C152" s="1073" t="s">
        <v>15958</v>
      </c>
      <c r="D152" s="1074" t="s">
        <v>50</v>
      </c>
      <c r="E152" s="1075">
        <v>125.52</v>
      </c>
      <c r="F152" s="1076">
        <v>107.85</v>
      </c>
      <c r="G152" s="1076">
        <v>13537.33</v>
      </c>
      <c r="H152" s="1077">
        <f t="shared" si="0"/>
        <v>9.1945864659595078E-4</v>
      </c>
      <c r="I152" s="1078">
        <f t="shared" si="2"/>
        <v>0.82097909228766963</v>
      </c>
      <c r="J152" s="1078" t="str">
        <f t="shared" si="1"/>
        <v>B</v>
      </c>
      <c r="K152" s="1036"/>
      <c r="L152" s="1036"/>
      <c r="M152" s="1036"/>
      <c r="N152" s="1036"/>
      <c r="O152" s="1036"/>
      <c r="P152" s="1036"/>
      <c r="Q152" s="1036"/>
      <c r="R152" s="1036"/>
      <c r="S152" s="1036"/>
      <c r="T152" s="1036"/>
      <c r="U152" s="1036"/>
      <c r="V152" s="1036"/>
      <c r="W152" s="1036"/>
      <c r="X152" s="1036"/>
      <c r="Y152" s="1036"/>
      <c r="Z152" s="1036"/>
    </row>
    <row r="153" spans="1:26" ht="25.5">
      <c r="A153" s="1072" t="s">
        <v>14514</v>
      </c>
      <c r="B153" s="1073" t="s">
        <v>14472</v>
      </c>
      <c r="C153" s="1073" t="s">
        <v>14515</v>
      </c>
      <c r="D153" s="1074" t="s">
        <v>6</v>
      </c>
      <c r="E153" s="1075">
        <v>20</v>
      </c>
      <c r="F153" s="1076">
        <v>671.37</v>
      </c>
      <c r="G153" s="1076">
        <v>13427.4</v>
      </c>
      <c r="H153" s="1077">
        <f t="shared" si="0"/>
        <v>9.1199217506720079E-4</v>
      </c>
      <c r="I153" s="1078">
        <f t="shared" si="2"/>
        <v>0.82189108446273684</v>
      </c>
      <c r="J153" s="1078" t="str">
        <f t="shared" si="1"/>
        <v>B</v>
      </c>
      <c r="K153" s="1036"/>
      <c r="L153" s="1036"/>
      <c r="M153" s="1036"/>
      <c r="N153" s="1036"/>
      <c r="O153" s="1036"/>
      <c r="P153" s="1036"/>
      <c r="Q153" s="1036"/>
      <c r="R153" s="1036"/>
      <c r="S153" s="1036"/>
      <c r="T153" s="1036"/>
      <c r="U153" s="1036"/>
      <c r="V153" s="1036"/>
      <c r="W153" s="1036"/>
      <c r="X153" s="1036"/>
      <c r="Y153" s="1036"/>
      <c r="Z153" s="1036"/>
    </row>
    <row r="154" spans="1:26" ht="38.25">
      <c r="A154" s="1072">
        <v>100324</v>
      </c>
      <c r="B154" s="1073" t="s">
        <v>14476</v>
      </c>
      <c r="C154" s="1073" t="s">
        <v>7189</v>
      </c>
      <c r="D154" s="1074" t="s">
        <v>152</v>
      </c>
      <c r="E154" s="1075">
        <v>46</v>
      </c>
      <c r="F154" s="1076">
        <v>289.61</v>
      </c>
      <c r="G154" s="1076">
        <v>13322.06</v>
      </c>
      <c r="H154" s="1077">
        <f t="shared" si="0"/>
        <v>9.0483745742107576E-4</v>
      </c>
      <c r="I154" s="1078">
        <f t="shared" si="2"/>
        <v>0.82279592192015794</v>
      </c>
      <c r="J154" s="1078" t="str">
        <f t="shared" si="1"/>
        <v>B</v>
      </c>
      <c r="K154" s="1036"/>
      <c r="L154" s="1036"/>
      <c r="M154" s="1036"/>
      <c r="N154" s="1036"/>
      <c r="O154" s="1036"/>
      <c r="P154" s="1036"/>
      <c r="Q154" s="1036"/>
      <c r="R154" s="1036"/>
      <c r="S154" s="1036"/>
      <c r="T154" s="1036"/>
      <c r="U154" s="1036"/>
      <c r="V154" s="1036"/>
      <c r="W154" s="1036"/>
      <c r="X154" s="1036"/>
      <c r="Y154" s="1036"/>
      <c r="Z154" s="1036"/>
    </row>
    <row r="155" spans="1:26" ht="38.25">
      <c r="A155" s="1072" t="s">
        <v>14534</v>
      </c>
      <c r="B155" s="1073" t="s">
        <v>14472</v>
      </c>
      <c r="C155" s="1073" t="s">
        <v>14535</v>
      </c>
      <c r="D155" s="1074" t="s">
        <v>6</v>
      </c>
      <c r="E155" s="1075">
        <v>1</v>
      </c>
      <c r="F155" s="1076">
        <v>13127.32</v>
      </c>
      <c r="G155" s="1076">
        <v>13127.32</v>
      </c>
      <c r="H155" s="1077">
        <f t="shared" si="0"/>
        <v>8.9161067068852992E-4</v>
      </c>
      <c r="I155" s="1078">
        <f t="shared" si="2"/>
        <v>0.82368753259084648</v>
      </c>
      <c r="J155" s="1078" t="str">
        <f t="shared" si="1"/>
        <v>B</v>
      </c>
      <c r="K155" s="1036"/>
      <c r="L155" s="1036"/>
      <c r="M155" s="1036"/>
      <c r="N155" s="1036"/>
      <c r="O155" s="1036"/>
      <c r="P155" s="1036"/>
      <c r="Q155" s="1036"/>
      <c r="R155" s="1036"/>
      <c r="S155" s="1036"/>
      <c r="T155" s="1036"/>
      <c r="U155" s="1036"/>
      <c r="V155" s="1036"/>
      <c r="W155" s="1036"/>
      <c r="X155" s="1036"/>
      <c r="Y155" s="1036"/>
      <c r="Z155" s="1036"/>
    </row>
    <row r="156" spans="1:26" ht="38.25">
      <c r="A156" s="1072" t="s">
        <v>15314</v>
      </c>
      <c r="B156" s="1073" t="s">
        <v>14472</v>
      </c>
      <c r="C156" s="1073" t="s">
        <v>15315</v>
      </c>
      <c r="D156" s="1074" t="s">
        <v>6</v>
      </c>
      <c r="E156" s="1075">
        <v>13</v>
      </c>
      <c r="F156" s="1076">
        <v>1001.33</v>
      </c>
      <c r="G156" s="1076">
        <v>13017.29</v>
      </c>
      <c r="H156" s="1077">
        <f t="shared" si="0"/>
        <v>8.8413740713619337E-4</v>
      </c>
      <c r="I156" s="1078">
        <f t="shared" si="2"/>
        <v>0.8245716699979827</v>
      </c>
      <c r="J156" s="1078" t="str">
        <f t="shared" si="1"/>
        <v>B</v>
      </c>
      <c r="K156" s="1036"/>
      <c r="L156" s="1036"/>
      <c r="M156" s="1036"/>
      <c r="N156" s="1036"/>
      <c r="O156" s="1036"/>
      <c r="P156" s="1036"/>
      <c r="Q156" s="1036"/>
      <c r="R156" s="1036"/>
      <c r="S156" s="1036"/>
      <c r="T156" s="1036"/>
      <c r="U156" s="1036"/>
      <c r="V156" s="1036"/>
      <c r="W156" s="1036"/>
      <c r="X156" s="1036"/>
      <c r="Y156" s="1036"/>
      <c r="Z156" s="1036"/>
    </row>
    <row r="157" spans="1:26" ht="51">
      <c r="A157" s="1072" t="s">
        <v>14507</v>
      </c>
      <c r="B157" s="1073" t="s">
        <v>14472</v>
      </c>
      <c r="C157" s="1073" t="s">
        <v>14508</v>
      </c>
      <c r="D157" s="1074" t="s">
        <v>156</v>
      </c>
      <c r="E157" s="1075">
        <v>10</v>
      </c>
      <c r="F157" s="1076">
        <v>1300</v>
      </c>
      <c r="G157" s="1076">
        <v>13000</v>
      </c>
      <c r="H157" s="1077">
        <f t="shared" si="0"/>
        <v>8.8296306625807006E-4</v>
      </c>
      <c r="I157" s="1078">
        <f t="shared" si="2"/>
        <v>0.82545463306424083</v>
      </c>
      <c r="J157" s="1078" t="str">
        <f t="shared" si="1"/>
        <v>B</v>
      </c>
      <c r="K157" s="1036"/>
      <c r="L157" s="1036"/>
      <c r="M157" s="1036"/>
      <c r="N157" s="1036"/>
      <c r="O157" s="1036"/>
      <c r="P157" s="1036"/>
      <c r="Q157" s="1036"/>
      <c r="R157" s="1036"/>
      <c r="S157" s="1036"/>
      <c r="T157" s="1036"/>
      <c r="U157" s="1036"/>
      <c r="V157" s="1036"/>
      <c r="W157" s="1036"/>
      <c r="X157" s="1036"/>
      <c r="Y157" s="1036"/>
      <c r="Z157" s="1036"/>
    </row>
    <row r="158" spans="1:26" ht="38.25">
      <c r="A158" s="1072" t="s">
        <v>14517</v>
      </c>
      <c r="B158" s="1073" t="s">
        <v>14472</v>
      </c>
      <c r="C158" s="1073" t="s">
        <v>14518</v>
      </c>
      <c r="D158" s="1074" t="s">
        <v>409</v>
      </c>
      <c r="E158" s="1075">
        <v>10</v>
      </c>
      <c r="F158" s="1076">
        <v>1294.33</v>
      </c>
      <c r="G158" s="1076">
        <v>12943.3</v>
      </c>
      <c r="H158" s="1077">
        <f t="shared" si="0"/>
        <v>8.791119888844675E-4</v>
      </c>
      <c r="I158" s="1078">
        <f t="shared" si="2"/>
        <v>0.82633374505312529</v>
      </c>
      <c r="J158" s="1078" t="str">
        <f t="shared" si="1"/>
        <v>B</v>
      </c>
      <c r="K158" s="1036"/>
      <c r="L158" s="1036"/>
      <c r="M158" s="1036"/>
      <c r="N158" s="1036"/>
      <c r="O158" s="1036"/>
      <c r="P158" s="1036"/>
      <c r="Q158" s="1036"/>
      <c r="R158" s="1036"/>
      <c r="S158" s="1036"/>
      <c r="T158" s="1036"/>
      <c r="U158" s="1036"/>
      <c r="V158" s="1036"/>
      <c r="W158" s="1036"/>
      <c r="X158" s="1036"/>
      <c r="Y158" s="1036"/>
      <c r="Z158" s="1036"/>
    </row>
    <row r="159" spans="1:26" ht="38.25">
      <c r="A159" s="1072">
        <v>91928</v>
      </c>
      <c r="B159" s="1073" t="s">
        <v>14476</v>
      </c>
      <c r="C159" s="1073" t="s">
        <v>7855</v>
      </c>
      <c r="D159" s="1074" t="s">
        <v>50</v>
      </c>
      <c r="E159" s="1075">
        <v>1500</v>
      </c>
      <c r="F159" s="1076">
        <v>8.6199999999999992</v>
      </c>
      <c r="G159" s="1076">
        <v>12930</v>
      </c>
      <c r="H159" s="1077">
        <f t="shared" si="0"/>
        <v>8.7820864974744975E-4</v>
      </c>
      <c r="I159" s="1078">
        <f t="shared" si="2"/>
        <v>0.8272119537028727</v>
      </c>
      <c r="J159" s="1078" t="str">
        <f t="shared" si="1"/>
        <v>B</v>
      </c>
      <c r="K159" s="1036"/>
      <c r="L159" s="1036"/>
      <c r="M159" s="1036"/>
      <c r="N159" s="1036"/>
      <c r="O159" s="1036"/>
      <c r="P159" s="1036"/>
      <c r="Q159" s="1036"/>
      <c r="R159" s="1036"/>
      <c r="S159" s="1036"/>
      <c r="T159" s="1036"/>
      <c r="U159" s="1036"/>
      <c r="V159" s="1036"/>
      <c r="W159" s="1036"/>
      <c r="X159" s="1036"/>
      <c r="Y159" s="1036"/>
      <c r="Z159" s="1036"/>
    </row>
    <row r="160" spans="1:26" ht="38.25">
      <c r="A160" s="1072">
        <v>91928</v>
      </c>
      <c r="B160" s="1073" t="s">
        <v>14476</v>
      </c>
      <c r="C160" s="1073" t="s">
        <v>7855</v>
      </c>
      <c r="D160" s="1074" t="s">
        <v>50</v>
      </c>
      <c r="E160" s="1075">
        <v>1500</v>
      </c>
      <c r="F160" s="1076">
        <v>8.6199999999999992</v>
      </c>
      <c r="G160" s="1076">
        <v>12930</v>
      </c>
      <c r="H160" s="1077">
        <f t="shared" si="0"/>
        <v>8.7820864974744975E-4</v>
      </c>
      <c r="I160" s="1078">
        <f t="shared" si="2"/>
        <v>0.82809016235262012</v>
      </c>
      <c r="J160" s="1078" t="str">
        <f t="shared" si="1"/>
        <v>B</v>
      </c>
      <c r="K160" s="1036"/>
      <c r="L160" s="1036"/>
      <c r="M160" s="1036"/>
      <c r="N160" s="1036"/>
      <c r="O160" s="1036"/>
      <c r="P160" s="1036"/>
      <c r="Q160" s="1036"/>
      <c r="R160" s="1036"/>
      <c r="S160" s="1036"/>
      <c r="T160" s="1036"/>
      <c r="U160" s="1036"/>
      <c r="V160" s="1036"/>
      <c r="W160" s="1036"/>
      <c r="X160" s="1036"/>
      <c r="Y160" s="1036"/>
      <c r="Z160" s="1036"/>
    </row>
    <row r="161" spans="1:26" ht="38.25">
      <c r="A161" s="1072" t="s">
        <v>14771</v>
      </c>
      <c r="B161" s="1073" t="s">
        <v>14472</v>
      </c>
      <c r="C161" s="1073" t="s">
        <v>14772</v>
      </c>
      <c r="D161" s="1074" t="s">
        <v>409</v>
      </c>
      <c r="E161" s="1075">
        <v>10.87</v>
      </c>
      <c r="F161" s="1076">
        <v>1189.5</v>
      </c>
      <c r="G161" s="1076">
        <v>12929.86</v>
      </c>
      <c r="H161" s="1077">
        <f t="shared" si="0"/>
        <v>8.7819914091442854E-4</v>
      </c>
      <c r="I161" s="1078">
        <f t="shared" si="2"/>
        <v>0.82896836149353459</v>
      </c>
      <c r="J161" s="1078" t="str">
        <f t="shared" si="1"/>
        <v>B</v>
      </c>
      <c r="K161" s="1036"/>
      <c r="L161" s="1036"/>
      <c r="M161" s="1036"/>
      <c r="N161" s="1036"/>
      <c r="O161" s="1036"/>
      <c r="P161" s="1036"/>
      <c r="Q161" s="1036"/>
      <c r="R161" s="1036"/>
      <c r="S161" s="1036"/>
      <c r="T161" s="1036"/>
      <c r="U161" s="1036"/>
      <c r="V161" s="1036"/>
      <c r="W161" s="1036"/>
      <c r="X161" s="1036"/>
      <c r="Y161" s="1036"/>
      <c r="Z161" s="1036"/>
    </row>
    <row r="162" spans="1:26" ht="25.5">
      <c r="A162" s="1072" t="s">
        <v>15064</v>
      </c>
      <c r="B162" s="1073" t="s">
        <v>14472</v>
      </c>
      <c r="C162" s="1073" t="s">
        <v>15065</v>
      </c>
      <c r="D162" s="1074" t="s">
        <v>409</v>
      </c>
      <c r="E162" s="1075">
        <v>9.0299999999999994</v>
      </c>
      <c r="F162" s="1076">
        <v>1382.05</v>
      </c>
      <c r="G162" s="1076">
        <v>12479.91</v>
      </c>
      <c r="H162" s="1077">
        <f t="shared" si="0"/>
        <v>8.4763843078651936E-4</v>
      </c>
      <c r="I162" s="1078">
        <f t="shared" si="2"/>
        <v>0.82981599992432109</v>
      </c>
      <c r="J162" s="1078" t="str">
        <f t="shared" si="1"/>
        <v>B</v>
      </c>
      <c r="K162" s="1036"/>
      <c r="L162" s="1036"/>
      <c r="M162" s="1036"/>
      <c r="N162" s="1036"/>
      <c r="O162" s="1036"/>
      <c r="P162" s="1036"/>
      <c r="Q162" s="1036"/>
      <c r="R162" s="1036"/>
      <c r="S162" s="1036"/>
      <c r="T162" s="1036"/>
      <c r="U162" s="1036"/>
      <c r="V162" s="1036"/>
      <c r="W162" s="1036"/>
      <c r="X162" s="1036"/>
      <c r="Y162" s="1036"/>
      <c r="Z162" s="1036"/>
    </row>
    <row r="163" spans="1:26" ht="38.25">
      <c r="A163" s="1072">
        <v>91933</v>
      </c>
      <c r="B163" s="1073" t="s">
        <v>14476</v>
      </c>
      <c r="C163" s="1073" t="s">
        <v>7860</v>
      </c>
      <c r="D163" s="1074" t="s">
        <v>50</v>
      </c>
      <c r="E163" s="1075">
        <v>585</v>
      </c>
      <c r="F163" s="1076">
        <v>20.93</v>
      </c>
      <c r="G163" s="1076">
        <v>12244.05</v>
      </c>
      <c r="H163" s="1077">
        <f t="shared" si="0"/>
        <v>8.3161876395516324E-4</v>
      </c>
      <c r="I163" s="1078">
        <f t="shared" si="2"/>
        <v>0.8306476186882763</v>
      </c>
      <c r="J163" s="1078" t="str">
        <f t="shared" si="1"/>
        <v>B</v>
      </c>
      <c r="K163" s="1036"/>
      <c r="L163" s="1036"/>
      <c r="M163" s="1036"/>
      <c r="N163" s="1036"/>
      <c r="O163" s="1036"/>
      <c r="P163" s="1036"/>
      <c r="Q163" s="1036"/>
      <c r="R163" s="1036"/>
      <c r="S163" s="1036"/>
      <c r="T163" s="1036"/>
      <c r="U163" s="1036"/>
      <c r="V163" s="1036"/>
      <c r="W163" s="1036"/>
      <c r="X163" s="1036"/>
      <c r="Y163" s="1036"/>
      <c r="Z163" s="1036"/>
    </row>
    <row r="164" spans="1:26" ht="25.5">
      <c r="A164" s="1072">
        <v>93358</v>
      </c>
      <c r="B164" s="1073" t="s">
        <v>14476</v>
      </c>
      <c r="C164" s="1073" t="s">
        <v>10648</v>
      </c>
      <c r="D164" s="1074" t="s">
        <v>152</v>
      </c>
      <c r="E164" s="1075">
        <v>121.4</v>
      </c>
      <c r="F164" s="1076">
        <v>100.47</v>
      </c>
      <c r="G164" s="1076">
        <v>12197.05</v>
      </c>
      <c r="H164" s="1077">
        <f t="shared" si="0"/>
        <v>8.2842651286946104E-4</v>
      </c>
      <c r="I164" s="1078">
        <f t="shared" si="2"/>
        <v>0.83147604520114571</v>
      </c>
      <c r="J164" s="1078" t="str">
        <f t="shared" si="1"/>
        <v>B</v>
      </c>
      <c r="K164" s="1036"/>
      <c r="L164" s="1036"/>
      <c r="M164" s="1036"/>
      <c r="N164" s="1036"/>
      <c r="O164" s="1036"/>
      <c r="P164" s="1036"/>
      <c r="Q164" s="1036"/>
      <c r="R164" s="1036"/>
      <c r="S164" s="1036"/>
      <c r="T164" s="1036"/>
      <c r="U164" s="1036"/>
      <c r="V164" s="1036"/>
      <c r="W164" s="1036"/>
      <c r="X164" s="1036"/>
      <c r="Y164" s="1036"/>
      <c r="Z164" s="1036"/>
    </row>
    <row r="165" spans="1:26" ht="25.5">
      <c r="A165" s="1072" t="s">
        <v>15332</v>
      </c>
      <c r="B165" s="1073" t="s">
        <v>14472</v>
      </c>
      <c r="C165" s="1073" t="s">
        <v>15333</v>
      </c>
      <c r="D165" s="1074" t="s">
        <v>6</v>
      </c>
      <c r="E165" s="1075">
        <v>14</v>
      </c>
      <c r="F165" s="1076">
        <v>865.48</v>
      </c>
      <c r="G165" s="1076">
        <v>12116.72</v>
      </c>
      <c r="H165" s="1077">
        <f t="shared" si="0"/>
        <v>8.2297048032234485E-4</v>
      </c>
      <c r="I165" s="1078">
        <f t="shared" si="2"/>
        <v>0.83229901568146802</v>
      </c>
      <c r="J165" s="1078" t="str">
        <f t="shared" si="1"/>
        <v>B</v>
      </c>
      <c r="K165" s="1036"/>
      <c r="L165" s="1036"/>
      <c r="M165" s="1036"/>
      <c r="N165" s="1036"/>
      <c r="O165" s="1036"/>
      <c r="P165" s="1036"/>
      <c r="Q165" s="1036"/>
      <c r="R165" s="1036"/>
      <c r="S165" s="1036"/>
      <c r="T165" s="1036"/>
      <c r="U165" s="1036"/>
      <c r="V165" s="1036"/>
      <c r="W165" s="1036"/>
      <c r="X165" s="1036"/>
      <c r="Y165" s="1036"/>
      <c r="Z165" s="1036"/>
    </row>
    <row r="166" spans="1:26" ht="25.5">
      <c r="A166" s="1072" t="s">
        <v>14765</v>
      </c>
      <c r="B166" s="1073" t="s">
        <v>14472</v>
      </c>
      <c r="C166" s="1073" t="s">
        <v>14766</v>
      </c>
      <c r="D166" s="1074" t="s">
        <v>409</v>
      </c>
      <c r="E166" s="1075">
        <v>379.25</v>
      </c>
      <c r="F166" s="1076">
        <v>31.7</v>
      </c>
      <c r="G166" s="1076">
        <v>12022.22</v>
      </c>
      <c r="H166" s="1077">
        <f t="shared" si="0"/>
        <v>8.1655201803300728E-4</v>
      </c>
      <c r="I166" s="1078">
        <f t="shared" si="2"/>
        <v>0.83311556769950101</v>
      </c>
      <c r="J166" s="1078" t="str">
        <f t="shared" si="1"/>
        <v>B</v>
      </c>
      <c r="K166" s="1036"/>
      <c r="L166" s="1036"/>
      <c r="M166" s="1036"/>
      <c r="N166" s="1036"/>
      <c r="O166" s="1036"/>
      <c r="P166" s="1036"/>
      <c r="Q166" s="1036"/>
      <c r="R166" s="1036"/>
      <c r="S166" s="1036"/>
      <c r="T166" s="1036"/>
      <c r="U166" s="1036"/>
      <c r="V166" s="1036"/>
      <c r="W166" s="1036"/>
      <c r="X166" s="1036"/>
      <c r="Y166" s="1036"/>
      <c r="Z166" s="1036"/>
    </row>
    <row r="167" spans="1:26" ht="51">
      <c r="A167" s="1072" t="s">
        <v>14504</v>
      </c>
      <c r="B167" s="1073" t="s">
        <v>14472</v>
      </c>
      <c r="C167" s="1073" t="s">
        <v>14505</v>
      </c>
      <c r="D167" s="1074" t="s">
        <v>156</v>
      </c>
      <c r="E167" s="1075">
        <v>10</v>
      </c>
      <c r="F167" s="1076">
        <v>1181.25</v>
      </c>
      <c r="G167" s="1076">
        <v>11812.5</v>
      </c>
      <c r="H167" s="1077">
        <f t="shared" si="0"/>
        <v>8.0230778616718868E-4</v>
      </c>
      <c r="I167" s="1078">
        <f t="shared" si="2"/>
        <v>0.8339178754856682</v>
      </c>
      <c r="J167" s="1078" t="str">
        <f t="shared" si="1"/>
        <v>B</v>
      </c>
      <c r="K167" s="1036"/>
      <c r="L167" s="1036"/>
      <c r="M167" s="1036"/>
      <c r="N167" s="1036"/>
      <c r="O167" s="1036"/>
      <c r="P167" s="1036"/>
      <c r="Q167" s="1036"/>
      <c r="R167" s="1036"/>
      <c r="S167" s="1036"/>
      <c r="T167" s="1036"/>
      <c r="U167" s="1036"/>
      <c r="V167" s="1036"/>
      <c r="W167" s="1036"/>
      <c r="X167" s="1036"/>
      <c r="Y167" s="1036"/>
      <c r="Z167" s="1036"/>
    </row>
    <row r="168" spans="1:26" ht="51">
      <c r="A168" s="1072" t="s">
        <v>14746</v>
      </c>
      <c r="B168" s="1073" t="s">
        <v>14472</v>
      </c>
      <c r="C168" s="1073" t="s">
        <v>15944</v>
      </c>
      <c r="D168" s="1074" t="s">
        <v>409</v>
      </c>
      <c r="E168" s="1075">
        <v>32.33</v>
      </c>
      <c r="F168" s="1076">
        <v>358.16</v>
      </c>
      <c r="G168" s="1076">
        <v>11579.31</v>
      </c>
      <c r="H168" s="1077">
        <f t="shared" si="0"/>
        <v>7.8646946636559483E-4</v>
      </c>
      <c r="I168" s="1078">
        <f t="shared" si="2"/>
        <v>0.83470434495203383</v>
      </c>
      <c r="J168" s="1078" t="str">
        <f t="shared" si="1"/>
        <v>B</v>
      </c>
      <c r="K168" s="1036"/>
      <c r="L168" s="1036"/>
      <c r="M168" s="1036"/>
      <c r="N168" s="1036"/>
      <c r="O168" s="1036"/>
      <c r="P168" s="1036"/>
      <c r="Q168" s="1036"/>
      <c r="R168" s="1036"/>
      <c r="S168" s="1036"/>
      <c r="T168" s="1036"/>
      <c r="U168" s="1036"/>
      <c r="V168" s="1036"/>
      <c r="W168" s="1036"/>
      <c r="X168" s="1036"/>
      <c r="Y168" s="1036"/>
      <c r="Z168" s="1036"/>
    </row>
    <row r="169" spans="1:26" ht="25.5">
      <c r="A169" s="1072">
        <v>89993</v>
      </c>
      <c r="B169" s="1073" t="s">
        <v>14476</v>
      </c>
      <c r="C169" s="1073" t="s">
        <v>7520</v>
      </c>
      <c r="D169" s="1074" t="s">
        <v>152</v>
      </c>
      <c r="E169" s="1075">
        <v>8.4499999999999993</v>
      </c>
      <c r="F169" s="1076">
        <v>1355.43</v>
      </c>
      <c r="G169" s="1076">
        <v>11453.38</v>
      </c>
      <c r="H169" s="1077">
        <f t="shared" si="0"/>
        <v>7.7791627106298881E-4</v>
      </c>
      <c r="I169" s="1078">
        <f t="shared" si="2"/>
        <v>0.83548226122309677</v>
      </c>
      <c r="J169" s="1078" t="str">
        <f t="shared" si="1"/>
        <v>B</v>
      </c>
      <c r="K169" s="1036"/>
      <c r="L169" s="1036"/>
      <c r="M169" s="1036"/>
      <c r="N169" s="1036"/>
      <c r="O169" s="1036"/>
      <c r="P169" s="1036"/>
      <c r="Q169" s="1036"/>
      <c r="R169" s="1036"/>
      <c r="S169" s="1036"/>
      <c r="T169" s="1036"/>
      <c r="U169" s="1036"/>
      <c r="V169" s="1036"/>
      <c r="W169" s="1036"/>
      <c r="X169" s="1036"/>
      <c r="Y169" s="1036"/>
      <c r="Z169" s="1036"/>
    </row>
    <row r="170" spans="1:26" ht="25.5">
      <c r="A170" s="1072" t="s">
        <v>15442</v>
      </c>
      <c r="B170" s="1073" t="s">
        <v>14472</v>
      </c>
      <c r="C170" s="1073" t="s">
        <v>15959</v>
      </c>
      <c r="D170" s="1074" t="s">
        <v>6</v>
      </c>
      <c r="E170" s="1075">
        <v>3</v>
      </c>
      <c r="F170" s="1076">
        <v>3794</v>
      </c>
      <c r="G170" s="1076">
        <v>11382</v>
      </c>
      <c r="H170" s="1077">
        <f t="shared" si="0"/>
        <v>7.730681246268734E-4</v>
      </c>
      <c r="I170" s="1078">
        <f t="shared" si="2"/>
        <v>0.83625532934772362</v>
      </c>
      <c r="J170" s="1078" t="str">
        <f t="shared" si="1"/>
        <v>B</v>
      </c>
      <c r="K170" s="1036"/>
      <c r="L170" s="1036"/>
      <c r="M170" s="1036"/>
      <c r="N170" s="1036"/>
      <c r="O170" s="1036"/>
      <c r="P170" s="1036"/>
      <c r="Q170" s="1036"/>
      <c r="R170" s="1036"/>
      <c r="S170" s="1036"/>
      <c r="T170" s="1036"/>
      <c r="U170" s="1036"/>
      <c r="V170" s="1036"/>
      <c r="W170" s="1036"/>
      <c r="X170" s="1036"/>
      <c r="Y170" s="1036"/>
      <c r="Z170" s="1036"/>
    </row>
    <row r="171" spans="1:26" ht="25.5">
      <c r="A171" s="1072" t="s">
        <v>15072</v>
      </c>
      <c r="B171" s="1073" t="s">
        <v>14472</v>
      </c>
      <c r="C171" s="1073" t="s">
        <v>15073</v>
      </c>
      <c r="D171" s="1074" t="s">
        <v>50</v>
      </c>
      <c r="E171" s="1075">
        <v>58</v>
      </c>
      <c r="F171" s="1076">
        <v>195.31</v>
      </c>
      <c r="G171" s="1076">
        <v>11327.98</v>
      </c>
      <c r="H171" s="1077">
        <f t="shared" si="0"/>
        <v>7.6939907348539175E-4</v>
      </c>
      <c r="I171" s="1078">
        <f t="shared" si="2"/>
        <v>0.83702472842120901</v>
      </c>
      <c r="J171" s="1078" t="str">
        <f t="shared" si="1"/>
        <v>B</v>
      </c>
      <c r="K171" s="1036"/>
      <c r="L171" s="1036"/>
      <c r="M171" s="1036"/>
      <c r="N171" s="1036"/>
      <c r="O171" s="1036"/>
      <c r="P171" s="1036"/>
      <c r="Q171" s="1036"/>
      <c r="R171" s="1036"/>
      <c r="S171" s="1036"/>
      <c r="T171" s="1036"/>
      <c r="U171" s="1036"/>
      <c r="V171" s="1036"/>
      <c r="W171" s="1036"/>
      <c r="X171" s="1036"/>
      <c r="Y171" s="1036"/>
      <c r="Z171" s="1036"/>
    </row>
    <row r="172" spans="1:26" ht="38.25">
      <c r="A172" s="1072">
        <v>104916</v>
      </c>
      <c r="B172" s="1073" t="s">
        <v>14476</v>
      </c>
      <c r="C172" s="1073" t="s">
        <v>7596</v>
      </c>
      <c r="D172" s="1074" t="s">
        <v>54</v>
      </c>
      <c r="E172" s="1075">
        <v>519.26</v>
      </c>
      <c r="F172" s="1076">
        <v>21.8</v>
      </c>
      <c r="G172" s="1076">
        <v>11319.86</v>
      </c>
      <c r="H172" s="1077">
        <f t="shared" si="0"/>
        <v>7.6884756117015984E-4</v>
      </c>
      <c r="I172" s="1078">
        <f t="shared" si="2"/>
        <v>0.83779357598237914</v>
      </c>
      <c r="J172" s="1078" t="str">
        <f t="shared" si="1"/>
        <v>B</v>
      </c>
      <c r="K172" s="1036"/>
      <c r="L172" s="1036"/>
      <c r="M172" s="1036"/>
      <c r="N172" s="1036"/>
      <c r="O172" s="1036"/>
      <c r="P172" s="1036"/>
      <c r="Q172" s="1036"/>
      <c r="R172" s="1036"/>
      <c r="S172" s="1036"/>
      <c r="T172" s="1036"/>
      <c r="U172" s="1036"/>
      <c r="V172" s="1036"/>
      <c r="W172" s="1036"/>
      <c r="X172" s="1036"/>
      <c r="Y172" s="1036"/>
      <c r="Z172" s="1036"/>
    </row>
    <row r="173" spans="1:26" ht="25.5">
      <c r="A173" s="1072">
        <v>100576</v>
      </c>
      <c r="B173" s="1073" t="s">
        <v>14476</v>
      </c>
      <c r="C173" s="1073" t="s">
        <v>15960</v>
      </c>
      <c r="D173" s="1074" t="s">
        <v>409</v>
      </c>
      <c r="E173" s="1075">
        <v>3717.6</v>
      </c>
      <c r="F173" s="1076">
        <v>3.02</v>
      </c>
      <c r="G173" s="1076">
        <v>11227.15</v>
      </c>
      <c r="H173" s="1077">
        <f t="shared" si="0"/>
        <v>7.6255067610302239E-4</v>
      </c>
      <c r="I173" s="1078">
        <f t="shared" si="2"/>
        <v>0.83855612665848211</v>
      </c>
      <c r="J173" s="1078" t="str">
        <f t="shared" si="1"/>
        <v>B</v>
      </c>
      <c r="K173" s="1036"/>
      <c r="L173" s="1036"/>
      <c r="M173" s="1036"/>
      <c r="N173" s="1036"/>
      <c r="O173" s="1036"/>
      <c r="P173" s="1036"/>
      <c r="Q173" s="1036"/>
      <c r="R173" s="1036"/>
      <c r="S173" s="1036"/>
      <c r="T173" s="1036"/>
      <c r="U173" s="1036"/>
      <c r="V173" s="1036"/>
      <c r="W173" s="1036"/>
      <c r="X173" s="1036"/>
      <c r="Y173" s="1036"/>
      <c r="Z173" s="1036"/>
    </row>
    <row r="174" spans="1:26" ht="14.25">
      <c r="A174" s="1072">
        <v>98509</v>
      </c>
      <c r="B174" s="1073" t="s">
        <v>14476</v>
      </c>
      <c r="C174" s="1073" t="s">
        <v>15961</v>
      </c>
      <c r="D174" s="1074" t="s">
        <v>6</v>
      </c>
      <c r="E174" s="1075">
        <v>108</v>
      </c>
      <c r="F174" s="1076">
        <v>101.86</v>
      </c>
      <c r="G174" s="1076">
        <v>11000.88</v>
      </c>
      <c r="H174" s="1077">
        <f t="shared" si="0"/>
        <v>7.4718236433362131E-4</v>
      </c>
      <c r="I174" s="1078">
        <f t="shared" si="2"/>
        <v>0.83930330902281569</v>
      </c>
      <c r="J174" s="1078" t="str">
        <f t="shared" si="1"/>
        <v>B</v>
      </c>
      <c r="K174" s="1036"/>
      <c r="L174" s="1036"/>
      <c r="M174" s="1036"/>
      <c r="N174" s="1036"/>
      <c r="O174" s="1036"/>
      <c r="P174" s="1036"/>
      <c r="Q174" s="1036"/>
      <c r="R174" s="1036"/>
      <c r="S174" s="1036"/>
      <c r="T174" s="1036"/>
      <c r="U174" s="1036"/>
      <c r="V174" s="1036"/>
      <c r="W174" s="1036"/>
      <c r="X174" s="1036"/>
      <c r="Y174" s="1036"/>
      <c r="Z174" s="1036"/>
    </row>
    <row r="175" spans="1:26" ht="51">
      <c r="A175" s="1072">
        <v>97886</v>
      </c>
      <c r="B175" s="1073" t="s">
        <v>14476</v>
      </c>
      <c r="C175" s="1073" t="s">
        <v>7935</v>
      </c>
      <c r="D175" s="1074" t="s">
        <v>6</v>
      </c>
      <c r="E175" s="1075">
        <v>50</v>
      </c>
      <c r="F175" s="1076">
        <v>219.11</v>
      </c>
      <c r="G175" s="1076">
        <v>10955.5</v>
      </c>
      <c r="H175" s="1077">
        <f t="shared" si="0"/>
        <v>7.441001440300221E-4</v>
      </c>
      <c r="I175" s="1078">
        <f t="shared" si="2"/>
        <v>0.84004740916684573</v>
      </c>
      <c r="J175" s="1078" t="str">
        <f t="shared" si="1"/>
        <v>B</v>
      </c>
      <c r="K175" s="1036"/>
      <c r="L175" s="1036"/>
      <c r="M175" s="1036"/>
      <c r="N175" s="1036"/>
      <c r="O175" s="1036"/>
      <c r="P175" s="1036"/>
      <c r="Q175" s="1036"/>
      <c r="R175" s="1036"/>
      <c r="S175" s="1036"/>
      <c r="T175" s="1036"/>
      <c r="U175" s="1036"/>
      <c r="V175" s="1036"/>
      <c r="W175" s="1036"/>
      <c r="X175" s="1036"/>
      <c r="Y175" s="1036"/>
      <c r="Z175" s="1036"/>
    </row>
    <row r="176" spans="1:26" ht="114.75">
      <c r="A176" s="1072" t="s">
        <v>14496</v>
      </c>
      <c r="B176" s="1073" t="s">
        <v>14472</v>
      </c>
      <c r="C176" s="1073" t="s">
        <v>14497</v>
      </c>
      <c r="D176" s="1074" t="s">
        <v>6</v>
      </c>
      <c r="E176" s="1075">
        <v>1</v>
      </c>
      <c r="F176" s="1076">
        <v>10942.16</v>
      </c>
      <c r="G176" s="1076">
        <v>10942.16</v>
      </c>
      <c r="H176" s="1077">
        <f t="shared" si="0"/>
        <v>7.4319408808356949E-4</v>
      </c>
      <c r="I176" s="1078">
        <f t="shared" si="2"/>
        <v>0.84079060325492927</v>
      </c>
      <c r="J176" s="1078" t="str">
        <f t="shared" si="1"/>
        <v>B</v>
      </c>
      <c r="K176" s="1036"/>
      <c r="L176" s="1036"/>
      <c r="M176" s="1036"/>
      <c r="N176" s="1036"/>
      <c r="O176" s="1036"/>
      <c r="P176" s="1036"/>
      <c r="Q176" s="1036"/>
      <c r="R176" s="1036"/>
      <c r="S176" s="1036"/>
      <c r="T176" s="1036"/>
      <c r="U176" s="1036"/>
      <c r="V176" s="1036"/>
      <c r="W176" s="1036"/>
      <c r="X176" s="1036"/>
      <c r="Y176" s="1036"/>
      <c r="Z176" s="1036"/>
    </row>
    <row r="177" spans="1:26" ht="38.25">
      <c r="A177" s="1072" t="s">
        <v>15217</v>
      </c>
      <c r="B177" s="1073" t="s">
        <v>14472</v>
      </c>
      <c r="C177" s="1073" t="s">
        <v>15218</v>
      </c>
      <c r="D177" s="1074" t="s">
        <v>50</v>
      </c>
      <c r="E177" s="1075">
        <v>1200</v>
      </c>
      <c r="F177" s="1076">
        <v>9.07</v>
      </c>
      <c r="G177" s="1076">
        <v>10884</v>
      </c>
      <c r="H177" s="1077">
        <f t="shared" si="0"/>
        <v>7.3924384716560264E-4</v>
      </c>
      <c r="I177" s="1078">
        <f t="shared" si="2"/>
        <v>0.84152984710209489</v>
      </c>
      <c r="J177" s="1078" t="str">
        <f t="shared" si="1"/>
        <v>B</v>
      </c>
      <c r="K177" s="1036"/>
      <c r="L177" s="1036"/>
      <c r="M177" s="1036"/>
      <c r="N177" s="1036"/>
      <c r="O177" s="1036"/>
      <c r="P177" s="1036"/>
      <c r="Q177" s="1036"/>
      <c r="R177" s="1036"/>
      <c r="S177" s="1036"/>
      <c r="T177" s="1036"/>
      <c r="U177" s="1036"/>
      <c r="V177" s="1036"/>
      <c r="W177" s="1036"/>
      <c r="X177" s="1036"/>
      <c r="Y177" s="1036"/>
      <c r="Z177" s="1036"/>
    </row>
    <row r="178" spans="1:26" ht="51">
      <c r="A178" s="1072">
        <v>103324</v>
      </c>
      <c r="B178" s="1073" t="s">
        <v>14476</v>
      </c>
      <c r="C178" s="1073" t="s">
        <v>10760</v>
      </c>
      <c r="D178" s="1074" t="s">
        <v>409</v>
      </c>
      <c r="E178" s="1075">
        <v>98.3</v>
      </c>
      <c r="F178" s="1076">
        <v>110.11</v>
      </c>
      <c r="G178" s="1076">
        <v>10823.81</v>
      </c>
      <c r="H178" s="1077">
        <f t="shared" si="0"/>
        <v>7.3515572816882778E-4</v>
      </c>
      <c r="I178" s="1078">
        <f t="shared" si="2"/>
        <v>0.84226500283026373</v>
      </c>
      <c r="J178" s="1078" t="str">
        <f t="shared" si="1"/>
        <v>B</v>
      </c>
      <c r="K178" s="1036"/>
      <c r="L178" s="1036"/>
      <c r="M178" s="1036"/>
      <c r="N178" s="1036"/>
      <c r="O178" s="1036"/>
      <c r="P178" s="1036"/>
      <c r="Q178" s="1036"/>
      <c r="R178" s="1036"/>
      <c r="S178" s="1036"/>
      <c r="T178" s="1036"/>
      <c r="U178" s="1036"/>
      <c r="V178" s="1036"/>
      <c r="W178" s="1036"/>
      <c r="X178" s="1036"/>
      <c r="Y178" s="1036"/>
      <c r="Z178" s="1036"/>
    </row>
    <row r="179" spans="1:26" ht="38.25">
      <c r="A179" s="1072">
        <v>94229</v>
      </c>
      <c r="B179" s="1073" t="s">
        <v>14476</v>
      </c>
      <c r="C179" s="1073" t="s">
        <v>6370</v>
      </c>
      <c r="D179" s="1074" t="s">
        <v>50</v>
      </c>
      <c r="E179" s="1075">
        <v>45.06</v>
      </c>
      <c r="F179" s="1076">
        <v>237.86</v>
      </c>
      <c r="G179" s="1076">
        <v>10717.97</v>
      </c>
      <c r="H179" s="1077">
        <f t="shared" si="0"/>
        <v>7.279670504047697E-4</v>
      </c>
      <c r="I179" s="1078">
        <f t="shared" si="2"/>
        <v>0.84299296988066852</v>
      </c>
      <c r="J179" s="1078" t="str">
        <f t="shared" si="1"/>
        <v>B</v>
      </c>
      <c r="K179" s="1036"/>
      <c r="L179" s="1036"/>
      <c r="M179" s="1036"/>
      <c r="N179" s="1036"/>
      <c r="O179" s="1036"/>
      <c r="P179" s="1036"/>
      <c r="Q179" s="1036"/>
      <c r="R179" s="1036"/>
      <c r="S179" s="1036"/>
      <c r="T179" s="1036"/>
      <c r="U179" s="1036"/>
      <c r="V179" s="1036"/>
      <c r="W179" s="1036"/>
      <c r="X179" s="1036"/>
      <c r="Y179" s="1036"/>
      <c r="Z179" s="1036"/>
    </row>
    <row r="180" spans="1:26" ht="25.5">
      <c r="A180" s="1072">
        <v>98557</v>
      </c>
      <c r="B180" s="1073" t="s">
        <v>14476</v>
      </c>
      <c r="C180" s="1073" t="s">
        <v>7741</v>
      </c>
      <c r="D180" s="1074" t="s">
        <v>409</v>
      </c>
      <c r="E180" s="1075">
        <v>200.4</v>
      </c>
      <c r="F180" s="1076">
        <v>53.38</v>
      </c>
      <c r="G180" s="1076">
        <v>10697.35</v>
      </c>
      <c r="H180" s="1077">
        <f t="shared" si="0"/>
        <v>7.2656653514121281E-4</v>
      </c>
      <c r="I180" s="1078">
        <f t="shared" si="2"/>
        <v>0.84371953641580977</v>
      </c>
      <c r="J180" s="1078" t="str">
        <f t="shared" si="1"/>
        <v>B</v>
      </c>
      <c r="K180" s="1036"/>
      <c r="L180" s="1036"/>
      <c r="M180" s="1036"/>
      <c r="N180" s="1036"/>
      <c r="O180" s="1036"/>
      <c r="P180" s="1036"/>
      <c r="Q180" s="1036"/>
      <c r="R180" s="1036"/>
      <c r="S180" s="1036"/>
      <c r="T180" s="1036"/>
      <c r="U180" s="1036"/>
      <c r="V180" s="1036"/>
      <c r="W180" s="1036"/>
      <c r="X180" s="1036"/>
      <c r="Y180" s="1036"/>
      <c r="Z180" s="1036"/>
    </row>
    <row r="181" spans="1:26" ht="25.5">
      <c r="A181" s="1072" t="s">
        <v>15014</v>
      </c>
      <c r="B181" s="1073" t="s">
        <v>14472</v>
      </c>
      <c r="C181" s="1073" t="s">
        <v>15015</v>
      </c>
      <c r="D181" s="1074" t="s">
        <v>409</v>
      </c>
      <c r="E181" s="1075">
        <v>5.4</v>
      </c>
      <c r="F181" s="1076">
        <v>1943.85</v>
      </c>
      <c r="G181" s="1076">
        <v>10496.79</v>
      </c>
      <c r="H181" s="1077">
        <f t="shared" si="0"/>
        <v>7.1294445263592676E-4</v>
      </c>
      <c r="I181" s="1078">
        <f t="shared" si="2"/>
        <v>0.84443248086844569</v>
      </c>
      <c r="J181" s="1078" t="str">
        <f t="shared" si="1"/>
        <v>B</v>
      </c>
      <c r="K181" s="1036"/>
      <c r="L181" s="1036"/>
      <c r="M181" s="1036"/>
      <c r="N181" s="1036"/>
      <c r="O181" s="1036"/>
      <c r="P181" s="1036"/>
      <c r="Q181" s="1036"/>
      <c r="R181" s="1036"/>
      <c r="S181" s="1036"/>
      <c r="T181" s="1036"/>
      <c r="U181" s="1036"/>
      <c r="V181" s="1036"/>
      <c r="W181" s="1036"/>
      <c r="X181" s="1036"/>
      <c r="Y181" s="1036"/>
      <c r="Z181" s="1036"/>
    </row>
    <row r="182" spans="1:26" ht="38.25">
      <c r="A182" s="1072">
        <v>91933</v>
      </c>
      <c r="B182" s="1073" t="s">
        <v>14476</v>
      </c>
      <c r="C182" s="1073" t="s">
        <v>7860</v>
      </c>
      <c r="D182" s="1074" t="s">
        <v>50</v>
      </c>
      <c r="E182" s="1075">
        <v>500</v>
      </c>
      <c r="F182" s="1076">
        <v>20.93</v>
      </c>
      <c r="G182" s="1076">
        <v>10465</v>
      </c>
      <c r="H182" s="1077">
        <f t="shared" si="0"/>
        <v>7.1078526833774646E-4</v>
      </c>
      <c r="I182" s="1078">
        <f t="shared" si="2"/>
        <v>0.84514326613678348</v>
      </c>
      <c r="J182" s="1078" t="str">
        <f t="shared" si="1"/>
        <v>B</v>
      </c>
      <c r="K182" s="1036"/>
      <c r="L182" s="1036"/>
      <c r="M182" s="1036"/>
      <c r="N182" s="1036"/>
      <c r="O182" s="1036"/>
      <c r="P182" s="1036"/>
      <c r="Q182" s="1036"/>
      <c r="R182" s="1036"/>
      <c r="S182" s="1036"/>
      <c r="T182" s="1036"/>
      <c r="U182" s="1036"/>
      <c r="V182" s="1036"/>
      <c r="W182" s="1036"/>
      <c r="X182" s="1036"/>
      <c r="Y182" s="1036"/>
      <c r="Z182" s="1036"/>
    </row>
    <row r="183" spans="1:26" ht="38.25">
      <c r="A183" s="1072" t="s">
        <v>14500</v>
      </c>
      <c r="B183" s="1073" t="s">
        <v>14472</v>
      </c>
      <c r="C183" s="1073" t="s">
        <v>14501</v>
      </c>
      <c r="D183" s="1074" t="s">
        <v>156</v>
      </c>
      <c r="E183" s="1075">
        <v>10</v>
      </c>
      <c r="F183" s="1076">
        <v>1040</v>
      </c>
      <c r="G183" s="1076">
        <v>10400</v>
      </c>
      <c r="H183" s="1077">
        <f t="shared" si="0"/>
        <v>7.0637045300645602E-4</v>
      </c>
      <c r="I183" s="1078">
        <f t="shared" si="2"/>
        <v>0.84584963658978995</v>
      </c>
      <c r="J183" s="1078" t="str">
        <f t="shared" si="1"/>
        <v>B</v>
      </c>
      <c r="K183" s="1036"/>
      <c r="L183" s="1036"/>
      <c r="M183" s="1036"/>
      <c r="N183" s="1036"/>
      <c r="O183" s="1036"/>
      <c r="P183" s="1036"/>
      <c r="Q183" s="1036"/>
      <c r="R183" s="1036"/>
      <c r="S183" s="1036"/>
      <c r="T183" s="1036"/>
      <c r="U183" s="1036"/>
      <c r="V183" s="1036"/>
      <c r="W183" s="1036"/>
      <c r="X183" s="1036"/>
      <c r="Y183" s="1036"/>
      <c r="Z183" s="1036"/>
    </row>
    <row r="184" spans="1:26" ht="38.25">
      <c r="A184" s="1072" t="s">
        <v>14500</v>
      </c>
      <c r="B184" s="1073" t="s">
        <v>14472</v>
      </c>
      <c r="C184" s="1073" t="s">
        <v>14501</v>
      </c>
      <c r="D184" s="1074" t="s">
        <v>156</v>
      </c>
      <c r="E184" s="1075">
        <v>10</v>
      </c>
      <c r="F184" s="1076">
        <v>1040</v>
      </c>
      <c r="G184" s="1076">
        <v>10400</v>
      </c>
      <c r="H184" s="1077">
        <f t="shared" si="0"/>
        <v>7.0637045300645602E-4</v>
      </c>
      <c r="I184" s="1078">
        <f t="shared" si="2"/>
        <v>0.84655600704279643</v>
      </c>
      <c r="J184" s="1078" t="str">
        <f t="shared" si="1"/>
        <v>B</v>
      </c>
      <c r="K184" s="1036"/>
      <c r="L184" s="1036"/>
      <c r="M184" s="1036"/>
      <c r="N184" s="1036"/>
      <c r="O184" s="1036"/>
      <c r="P184" s="1036"/>
      <c r="Q184" s="1036"/>
      <c r="R184" s="1036"/>
      <c r="S184" s="1036"/>
      <c r="T184" s="1036"/>
      <c r="U184" s="1036"/>
      <c r="V184" s="1036"/>
      <c r="W184" s="1036"/>
      <c r="X184" s="1036"/>
      <c r="Y184" s="1036"/>
      <c r="Z184" s="1036"/>
    </row>
    <row r="185" spans="1:26" ht="38.25">
      <c r="A185" s="1072">
        <v>89512</v>
      </c>
      <c r="B185" s="1073" t="s">
        <v>14476</v>
      </c>
      <c r="C185" s="1073" t="s">
        <v>8434</v>
      </c>
      <c r="D185" s="1074" t="s">
        <v>50</v>
      </c>
      <c r="E185" s="1075">
        <v>180</v>
      </c>
      <c r="F185" s="1076">
        <v>57.21</v>
      </c>
      <c r="G185" s="1076">
        <v>10297.799999999999</v>
      </c>
      <c r="H185" s="1077">
        <f t="shared" si="0"/>
        <v>6.9942900490095031E-4</v>
      </c>
      <c r="I185" s="1078">
        <f t="shared" si="2"/>
        <v>0.84725543604769737</v>
      </c>
      <c r="J185" s="1078" t="str">
        <f t="shared" si="1"/>
        <v>B</v>
      </c>
      <c r="K185" s="1036"/>
      <c r="L185" s="1036"/>
      <c r="M185" s="1036"/>
      <c r="N185" s="1036"/>
      <c r="O185" s="1036"/>
      <c r="P185" s="1036"/>
      <c r="Q185" s="1036"/>
      <c r="R185" s="1036"/>
      <c r="S185" s="1036"/>
      <c r="T185" s="1036"/>
      <c r="U185" s="1036"/>
      <c r="V185" s="1036"/>
      <c r="W185" s="1036"/>
      <c r="X185" s="1036"/>
      <c r="Y185" s="1036"/>
      <c r="Z185" s="1036"/>
    </row>
    <row r="186" spans="1:26" ht="51">
      <c r="A186" s="1072" t="s">
        <v>14930</v>
      </c>
      <c r="B186" s="1073" t="s">
        <v>14472</v>
      </c>
      <c r="C186" s="1073" t="s">
        <v>15962</v>
      </c>
      <c r="D186" s="1074" t="s">
        <v>409</v>
      </c>
      <c r="E186" s="1075">
        <v>50.75</v>
      </c>
      <c r="F186" s="1076">
        <v>200.92</v>
      </c>
      <c r="G186" s="1076">
        <v>10196.69</v>
      </c>
      <c r="H186" s="1077">
        <f t="shared" si="0"/>
        <v>6.9256158985253852E-4</v>
      </c>
      <c r="I186" s="1078">
        <f t="shared" si="2"/>
        <v>0.84794799763754991</v>
      </c>
      <c r="J186" s="1078" t="str">
        <f t="shared" si="1"/>
        <v>B</v>
      </c>
      <c r="K186" s="1036"/>
      <c r="L186" s="1036"/>
      <c r="M186" s="1036"/>
      <c r="N186" s="1036"/>
      <c r="O186" s="1036"/>
      <c r="P186" s="1036"/>
      <c r="Q186" s="1036"/>
      <c r="R186" s="1036"/>
      <c r="S186" s="1036"/>
      <c r="T186" s="1036"/>
      <c r="U186" s="1036"/>
      <c r="V186" s="1036"/>
      <c r="W186" s="1036"/>
      <c r="X186" s="1036"/>
      <c r="Y186" s="1036"/>
      <c r="Z186" s="1036"/>
    </row>
    <row r="187" spans="1:26" ht="51">
      <c r="A187" s="1072">
        <v>96521</v>
      </c>
      <c r="B187" s="1073" t="s">
        <v>14476</v>
      </c>
      <c r="C187" s="1073" t="s">
        <v>10506</v>
      </c>
      <c r="D187" s="1074" t="s">
        <v>152</v>
      </c>
      <c r="E187" s="1075">
        <v>214.93</v>
      </c>
      <c r="F187" s="1076">
        <v>47.02</v>
      </c>
      <c r="G187" s="1076">
        <v>10106</v>
      </c>
      <c r="H187" s="1077">
        <f t="shared" si="0"/>
        <v>6.8640190366185043E-4</v>
      </c>
      <c r="I187" s="1078">
        <f t="shared" si="2"/>
        <v>0.84863439954121178</v>
      </c>
      <c r="J187" s="1078" t="str">
        <f t="shared" si="1"/>
        <v>B</v>
      </c>
      <c r="K187" s="1036"/>
      <c r="L187" s="1036"/>
      <c r="M187" s="1036"/>
      <c r="N187" s="1036"/>
      <c r="O187" s="1036"/>
      <c r="P187" s="1036"/>
      <c r="Q187" s="1036"/>
      <c r="R187" s="1036"/>
      <c r="S187" s="1036"/>
      <c r="T187" s="1036"/>
      <c r="U187" s="1036"/>
      <c r="V187" s="1036"/>
      <c r="W187" s="1036"/>
      <c r="X187" s="1036"/>
      <c r="Y187" s="1036"/>
      <c r="Z187" s="1036"/>
    </row>
    <row r="188" spans="1:26" ht="76.5">
      <c r="A188" s="1072" t="s">
        <v>15066</v>
      </c>
      <c r="B188" s="1073" t="s">
        <v>14472</v>
      </c>
      <c r="C188" s="1073" t="s">
        <v>15067</v>
      </c>
      <c r="D188" s="1074" t="s">
        <v>409</v>
      </c>
      <c r="E188" s="1075">
        <v>11.34</v>
      </c>
      <c r="F188" s="1076">
        <v>889.67</v>
      </c>
      <c r="G188" s="1076">
        <v>10088.85</v>
      </c>
      <c r="H188" s="1077">
        <f t="shared" si="0"/>
        <v>6.8523707161674855E-4</v>
      </c>
      <c r="I188" s="1078">
        <f t="shared" si="2"/>
        <v>0.8493196366128285</v>
      </c>
      <c r="J188" s="1078" t="str">
        <f t="shared" si="1"/>
        <v>B</v>
      </c>
      <c r="K188" s="1036"/>
      <c r="L188" s="1036"/>
      <c r="M188" s="1036"/>
      <c r="N188" s="1036"/>
      <c r="O188" s="1036"/>
      <c r="P188" s="1036"/>
      <c r="Q188" s="1036"/>
      <c r="R188" s="1036"/>
      <c r="S188" s="1036"/>
      <c r="T188" s="1036"/>
      <c r="U188" s="1036"/>
      <c r="V188" s="1036"/>
      <c r="W188" s="1036"/>
      <c r="X188" s="1036"/>
      <c r="Y188" s="1036"/>
      <c r="Z188" s="1036"/>
    </row>
    <row r="189" spans="1:26" ht="25.5">
      <c r="A189" s="1072" t="s">
        <v>15099</v>
      </c>
      <c r="B189" s="1073" t="s">
        <v>14472</v>
      </c>
      <c r="C189" s="1073" t="s">
        <v>15100</v>
      </c>
      <c r="D189" s="1074" t="s">
        <v>6</v>
      </c>
      <c r="E189" s="1075">
        <v>5</v>
      </c>
      <c r="F189" s="1076">
        <v>1974.03</v>
      </c>
      <c r="G189" s="1076">
        <v>9870.15</v>
      </c>
      <c r="H189" s="1077">
        <f t="shared" si="0"/>
        <v>6.7038291603285305E-4</v>
      </c>
      <c r="I189" s="1078">
        <f t="shared" si="2"/>
        <v>0.84999001952886133</v>
      </c>
      <c r="J189" s="1078" t="str">
        <f t="shared" si="1"/>
        <v>B</v>
      </c>
      <c r="K189" s="1036"/>
      <c r="L189" s="1036"/>
      <c r="M189" s="1036"/>
      <c r="N189" s="1036"/>
      <c r="O189" s="1036"/>
      <c r="P189" s="1036"/>
      <c r="Q189" s="1036"/>
      <c r="R189" s="1036"/>
      <c r="S189" s="1036"/>
      <c r="T189" s="1036"/>
      <c r="U189" s="1036"/>
      <c r="V189" s="1036"/>
      <c r="W189" s="1036"/>
      <c r="X189" s="1036"/>
      <c r="Y189" s="1036"/>
      <c r="Z189" s="1036"/>
    </row>
    <row r="190" spans="1:26" ht="63.75">
      <c r="A190" s="1072" t="s">
        <v>14832</v>
      </c>
      <c r="B190" s="1073" t="s">
        <v>14472</v>
      </c>
      <c r="C190" s="1073" t="s">
        <v>15953</v>
      </c>
      <c r="D190" s="1074" t="s">
        <v>409</v>
      </c>
      <c r="E190" s="1075">
        <v>25.81</v>
      </c>
      <c r="F190" s="1076">
        <v>382.06</v>
      </c>
      <c r="G190" s="1076">
        <v>9859.44</v>
      </c>
      <c r="H190" s="1077">
        <f t="shared" si="0"/>
        <v>6.6965549030672828E-4</v>
      </c>
      <c r="I190" s="1078">
        <f t="shared" si="2"/>
        <v>0.85065967501916806</v>
      </c>
      <c r="J190" s="1078" t="str">
        <f t="shared" si="1"/>
        <v>B</v>
      </c>
      <c r="K190" s="1036"/>
      <c r="L190" s="1036"/>
      <c r="M190" s="1036"/>
      <c r="N190" s="1036"/>
      <c r="O190" s="1036"/>
      <c r="P190" s="1036"/>
      <c r="Q190" s="1036"/>
      <c r="R190" s="1036"/>
      <c r="S190" s="1036"/>
      <c r="T190" s="1036"/>
      <c r="U190" s="1036"/>
      <c r="V190" s="1036"/>
      <c r="W190" s="1036"/>
      <c r="X190" s="1036"/>
      <c r="Y190" s="1036"/>
      <c r="Z190" s="1036"/>
    </row>
    <row r="191" spans="1:26" ht="38.25">
      <c r="A191" s="1072">
        <v>98562</v>
      </c>
      <c r="B191" s="1073" t="s">
        <v>14476</v>
      </c>
      <c r="C191" s="1073" t="s">
        <v>7732</v>
      </c>
      <c r="D191" s="1074" t="s">
        <v>409</v>
      </c>
      <c r="E191" s="1075">
        <v>164.24</v>
      </c>
      <c r="F191" s="1076">
        <v>59.86</v>
      </c>
      <c r="G191" s="1076">
        <v>9831.4</v>
      </c>
      <c r="H191" s="1077">
        <f t="shared" si="0"/>
        <v>6.6775100689304534E-4</v>
      </c>
      <c r="I191" s="1078">
        <f t="shared" si="2"/>
        <v>0.85132742602606115</v>
      </c>
      <c r="J191" s="1078" t="str">
        <f t="shared" si="1"/>
        <v>B</v>
      </c>
      <c r="K191" s="1036"/>
      <c r="L191" s="1036"/>
      <c r="M191" s="1036"/>
      <c r="N191" s="1036"/>
      <c r="O191" s="1036"/>
      <c r="P191" s="1036"/>
      <c r="Q191" s="1036"/>
      <c r="R191" s="1036"/>
      <c r="S191" s="1036"/>
      <c r="T191" s="1036"/>
      <c r="U191" s="1036"/>
      <c r="V191" s="1036"/>
      <c r="W191" s="1036"/>
      <c r="X191" s="1036"/>
      <c r="Y191" s="1036"/>
      <c r="Z191" s="1036"/>
    </row>
    <row r="192" spans="1:26" ht="38.25">
      <c r="A192" s="1072">
        <v>91931</v>
      </c>
      <c r="B192" s="1073" t="s">
        <v>14476</v>
      </c>
      <c r="C192" s="1073" t="s">
        <v>7858</v>
      </c>
      <c r="D192" s="1074" t="s">
        <v>50</v>
      </c>
      <c r="E192" s="1075">
        <v>750</v>
      </c>
      <c r="F192" s="1076">
        <v>13.06</v>
      </c>
      <c r="G192" s="1076">
        <v>9795</v>
      </c>
      <c r="H192" s="1077">
        <f t="shared" si="0"/>
        <v>6.6527871030752281E-4</v>
      </c>
      <c r="I192" s="1078">
        <f t="shared" si="2"/>
        <v>0.85199270473636868</v>
      </c>
      <c r="J192" s="1078" t="str">
        <f t="shared" si="1"/>
        <v>B</v>
      </c>
      <c r="K192" s="1036"/>
      <c r="L192" s="1036"/>
      <c r="M192" s="1036"/>
      <c r="N192" s="1036"/>
      <c r="O192" s="1036"/>
      <c r="P192" s="1036"/>
      <c r="Q192" s="1036"/>
      <c r="R192" s="1036"/>
      <c r="S192" s="1036"/>
      <c r="T192" s="1036"/>
      <c r="U192" s="1036"/>
      <c r="V192" s="1036"/>
      <c r="W192" s="1036"/>
      <c r="X192" s="1036"/>
      <c r="Y192" s="1036"/>
      <c r="Z192" s="1036"/>
    </row>
    <row r="193" spans="1:26" ht="38.25">
      <c r="A193" s="1072">
        <v>96523</v>
      </c>
      <c r="B193" s="1073" t="s">
        <v>14476</v>
      </c>
      <c r="C193" s="1073" t="s">
        <v>10508</v>
      </c>
      <c r="D193" s="1074" t="s">
        <v>152</v>
      </c>
      <c r="E193" s="1075">
        <v>88.7</v>
      </c>
      <c r="F193" s="1076">
        <v>110.32</v>
      </c>
      <c r="G193" s="1076">
        <v>9785.3799999999992</v>
      </c>
      <c r="H193" s="1077">
        <f t="shared" si="0"/>
        <v>6.6462531763849175E-4</v>
      </c>
      <c r="I193" s="1078">
        <f t="shared" si="2"/>
        <v>0.85265733005400712</v>
      </c>
      <c r="J193" s="1078" t="str">
        <f t="shared" si="1"/>
        <v>B</v>
      </c>
      <c r="K193" s="1036"/>
      <c r="L193" s="1036"/>
      <c r="M193" s="1036"/>
      <c r="N193" s="1036"/>
      <c r="O193" s="1036"/>
      <c r="P193" s="1036"/>
      <c r="Q193" s="1036"/>
      <c r="R193" s="1036"/>
      <c r="S193" s="1036"/>
      <c r="T193" s="1036"/>
      <c r="U193" s="1036"/>
      <c r="V193" s="1036"/>
      <c r="W193" s="1036"/>
      <c r="X193" s="1036"/>
      <c r="Y193" s="1036"/>
      <c r="Z193" s="1036"/>
    </row>
    <row r="194" spans="1:26" ht="63.75">
      <c r="A194" s="1072" t="s">
        <v>14918</v>
      </c>
      <c r="B194" s="1073" t="s">
        <v>14472</v>
      </c>
      <c r="C194" s="1073" t="s">
        <v>15963</v>
      </c>
      <c r="D194" s="1074" t="s">
        <v>409</v>
      </c>
      <c r="E194" s="1075">
        <v>276.92</v>
      </c>
      <c r="F194" s="1076">
        <v>34.869999999999997</v>
      </c>
      <c r="G194" s="1076">
        <v>9656.2000000000007</v>
      </c>
      <c r="H194" s="1077">
        <f t="shared" si="0"/>
        <v>6.5585138156932133E-4</v>
      </c>
      <c r="I194" s="1078">
        <f t="shared" si="2"/>
        <v>0.85331318143557644</v>
      </c>
      <c r="J194" s="1078" t="str">
        <f t="shared" si="1"/>
        <v>B</v>
      </c>
      <c r="K194" s="1036"/>
      <c r="L194" s="1036"/>
      <c r="M194" s="1036"/>
      <c r="N194" s="1036"/>
      <c r="O194" s="1036"/>
      <c r="P194" s="1036"/>
      <c r="Q194" s="1036"/>
      <c r="R194" s="1036"/>
      <c r="S194" s="1036"/>
      <c r="T194" s="1036"/>
      <c r="U194" s="1036"/>
      <c r="V194" s="1036"/>
      <c r="W194" s="1036"/>
      <c r="X194" s="1036"/>
      <c r="Y194" s="1036"/>
      <c r="Z194" s="1036"/>
    </row>
    <row r="195" spans="1:26" ht="51">
      <c r="A195" s="1072" t="s">
        <v>14605</v>
      </c>
      <c r="B195" s="1073" t="s">
        <v>14472</v>
      </c>
      <c r="C195" s="1073" t="s">
        <v>14606</v>
      </c>
      <c r="D195" s="1074" t="s">
        <v>409</v>
      </c>
      <c r="E195" s="1075">
        <v>53.68</v>
      </c>
      <c r="F195" s="1076">
        <v>179.08</v>
      </c>
      <c r="G195" s="1076">
        <v>9613.01</v>
      </c>
      <c r="H195" s="1077">
        <f t="shared" si="0"/>
        <v>6.5291790658226849E-4</v>
      </c>
      <c r="I195" s="1078">
        <f t="shared" si="2"/>
        <v>0.85396609934215872</v>
      </c>
      <c r="J195" s="1078" t="str">
        <f t="shared" si="1"/>
        <v>B</v>
      </c>
      <c r="K195" s="1036"/>
      <c r="L195" s="1036"/>
      <c r="M195" s="1036"/>
      <c r="N195" s="1036"/>
      <c r="O195" s="1036"/>
      <c r="P195" s="1036"/>
      <c r="Q195" s="1036"/>
      <c r="R195" s="1036"/>
      <c r="S195" s="1036"/>
      <c r="T195" s="1036"/>
      <c r="U195" s="1036"/>
      <c r="V195" s="1036"/>
      <c r="W195" s="1036"/>
      <c r="X195" s="1036"/>
      <c r="Y195" s="1036"/>
      <c r="Z195" s="1036"/>
    </row>
    <row r="196" spans="1:26" ht="38.25">
      <c r="A196" s="1072" t="s">
        <v>14780</v>
      </c>
      <c r="B196" s="1073" t="s">
        <v>14472</v>
      </c>
      <c r="C196" s="1073" t="s">
        <v>14781</v>
      </c>
      <c r="D196" s="1074" t="s">
        <v>50</v>
      </c>
      <c r="E196" s="1075">
        <v>65.42</v>
      </c>
      <c r="F196" s="1076">
        <v>145.57</v>
      </c>
      <c r="G196" s="1076">
        <v>9523.18</v>
      </c>
      <c r="H196" s="1077">
        <f t="shared" si="0"/>
        <v>6.4681663179442519E-4</v>
      </c>
      <c r="I196" s="1078">
        <f t="shared" si="2"/>
        <v>0.85461291597395317</v>
      </c>
      <c r="J196" s="1078" t="str">
        <f t="shared" si="1"/>
        <v>B</v>
      </c>
      <c r="K196" s="1036"/>
      <c r="L196" s="1036"/>
      <c r="M196" s="1036"/>
      <c r="N196" s="1036"/>
      <c r="O196" s="1036"/>
      <c r="P196" s="1036"/>
      <c r="Q196" s="1036"/>
      <c r="R196" s="1036"/>
      <c r="S196" s="1036"/>
      <c r="T196" s="1036"/>
      <c r="U196" s="1036"/>
      <c r="V196" s="1036"/>
      <c r="W196" s="1036"/>
      <c r="X196" s="1036"/>
      <c r="Y196" s="1036"/>
      <c r="Z196" s="1036"/>
    </row>
    <row r="197" spans="1:26" ht="51">
      <c r="A197" s="1072">
        <v>92413</v>
      </c>
      <c r="B197" s="1073" t="s">
        <v>14476</v>
      </c>
      <c r="C197" s="1073" t="s">
        <v>7212</v>
      </c>
      <c r="D197" s="1074" t="s">
        <v>409</v>
      </c>
      <c r="E197" s="1075">
        <v>70.819999999999993</v>
      </c>
      <c r="F197" s="1076">
        <v>133.55000000000001</v>
      </c>
      <c r="G197" s="1076">
        <v>9458.01</v>
      </c>
      <c r="H197" s="1077">
        <f t="shared" si="0"/>
        <v>6.4239027002303763E-4</v>
      </c>
      <c r="I197" s="1078">
        <f t="shared" si="2"/>
        <v>0.85525530624397617</v>
      </c>
      <c r="J197" s="1078" t="str">
        <f t="shared" si="1"/>
        <v>B</v>
      </c>
      <c r="K197" s="1036"/>
      <c r="L197" s="1036"/>
      <c r="M197" s="1036"/>
      <c r="N197" s="1036"/>
      <c r="O197" s="1036"/>
      <c r="P197" s="1036"/>
      <c r="Q197" s="1036"/>
      <c r="R197" s="1036"/>
      <c r="S197" s="1036"/>
      <c r="T197" s="1036"/>
      <c r="U197" s="1036"/>
      <c r="V197" s="1036"/>
      <c r="W197" s="1036"/>
      <c r="X197" s="1036"/>
      <c r="Y197" s="1036"/>
      <c r="Z197" s="1036"/>
    </row>
    <row r="198" spans="1:26" ht="51">
      <c r="A198" s="1072" t="s">
        <v>14640</v>
      </c>
      <c r="B198" s="1073" t="s">
        <v>14472</v>
      </c>
      <c r="C198" s="1073" t="s">
        <v>14641</v>
      </c>
      <c r="D198" s="1074" t="s">
        <v>409</v>
      </c>
      <c r="E198" s="1075">
        <v>24.87</v>
      </c>
      <c r="F198" s="1076">
        <v>380.05</v>
      </c>
      <c r="G198" s="1076">
        <v>9451.84</v>
      </c>
      <c r="H198" s="1077">
        <f t="shared" si="0"/>
        <v>6.4197120216774443E-4</v>
      </c>
      <c r="I198" s="1078">
        <f t="shared" si="2"/>
        <v>0.85589727744614386</v>
      </c>
      <c r="J198" s="1078" t="str">
        <f t="shared" si="1"/>
        <v>B</v>
      </c>
      <c r="K198" s="1036"/>
      <c r="L198" s="1036"/>
      <c r="M198" s="1036"/>
      <c r="N198" s="1036"/>
      <c r="O198" s="1036"/>
      <c r="P198" s="1036"/>
      <c r="Q198" s="1036"/>
      <c r="R198" s="1036"/>
      <c r="S198" s="1036"/>
      <c r="T198" s="1036"/>
      <c r="U198" s="1036"/>
      <c r="V198" s="1036"/>
      <c r="W198" s="1036"/>
      <c r="X198" s="1036"/>
      <c r="Y198" s="1036"/>
      <c r="Z198" s="1036"/>
    </row>
    <row r="199" spans="1:26" ht="38.25">
      <c r="A199" s="1072" t="s">
        <v>14750</v>
      </c>
      <c r="B199" s="1073" t="s">
        <v>14472</v>
      </c>
      <c r="C199" s="1073" t="s">
        <v>14751</v>
      </c>
      <c r="D199" s="1074" t="s">
        <v>409</v>
      </c>
      <c r="E199" s="1075">
        <v>6.08</v>
      </c>
      <c r="F199" s="1076">
        <v>1549.17</v>
      </c>
      <c r="G199" s="1076">
        <v>9418.9500000000007</v>
      </c>
      <c r="H199" s="1077">
        <f t="shared" si="0"/>
        <v>6.3973730561011158E-4</v>
      </c>
      <c r="I199" s="1078">
        <f t="shared" si="2"/>
        <v>0.85653701475175392</v>
      </c>
      <c r="J199" s="1078" t="str">
        <f t="shared" si="1"/>
        <v>B</v>
      </c>
      <c r="K199" s="1036"/>
      <c r="L199" s="1036"/>
      <c r="M199" s="1036"/>
      <c r="N199" s="1036"/>
      <c r="O199" s="1036"/>
      <c r="P199" s="1036"/>
      <c r="Q199" s="1036"/>
      <c r="R199" s="1036"/>
      <c r="S199" s="1036"/>
      <c r="T199" s="1036"/>
      <c r="U199" s="1036"/>
      <c r="V199" s="1036"/>
      <c r="W199" s="1036"/>
      <c r="X199" s="1036"/>
      <c r="Y199" s="1036"/>
      <c r="Z199" s="1036"/>
    </row>
    <row r="200" spans="1:26" ht="38.25">
      <c r="A200" s="1072" t="s">
        <v>14622</v>
      </c>
      <c r="B200" s="1073" t="s">
        <v>14472</v>
      </c>
      <c r="C200" s="1073" t="s">
        <v>15964</v>
      </c>
      <c r="D200" s="1074" t="s">
        <v>152</v>
      </c>
      <c r="E200" s="1075">
        <v>8.34</v>
      </c>
      <c r="F200" s="1076">
        <v>1117.8</v>
      </c>
      <c r="G200" s="1076">
        <v>9322.4500000000007</v>
      </c>
      <c r="H200" s="1077">
        <f t="shared" si="0"/>
        <v>6.3318300284904202E-4</v>
      </c>
      <c r="I200" s="1078">
        <f t="shared" si="2"/>
        <v>0.85717019775460301</v>
      </c>
      <c r="J200" s="1078" t="str">
        <f t="shared" si="1"/>
        <v>B</v>
      </c>
      <c r="K200" s="1036"/>
      <c r="L200" s="1036"/>
      <c r="M200" s="1036"/>
      <c r="N200" s="1036"/>
      <c r="O200" s="1036"/>
      <c r="P200" s="1036"/>
      <c r="Q200" s="1036"/>
      <c r="R200" s="1036"/>
      <c r="S200" s="1036"/>
      <c r="T200" s="1036"/>
      <c r="U200" s="1036"/>
      <c r="V200" s="1036"/>
      <c r="W200" s="1036"/>
      <c r="X200" s="1036"/>
      <c r="Y200" s="1036"/>
      <c r="Z200" s="1036"/>
    </row>
    <row r="201" spans="1:26" ht="38.25">
      <c r="A201" s="1072" t="s">
        <v>14622</v>
      </c>
      <c r="B201" s="1073" t="s">
        <v>14472</v>
      </c>
      <c r="C201" s="1073" t="s">
        <v>15964</v>
      </c>
      <c r="D201" s="1074" t="s">
        <v>152</v>
      </c>
      <c r="E201" s="1075">
        <v>8.34</v>
      </c>
      <c r="F201" s="1076">
        <v>1117.8</v>
      </c>
      <c r="G201" s="1076">
        <v>9322.4500000000007</v>
      </c>
      <c r="H201" s="1077">
        <f t="shared" si="0"/>
        <v>6.3318300284904202E-4</v>
      </c>
      <c r="I201" s="1078">
        <f t="shared" si="2"/>
        <v>0.85780338075745211</v>
      </c>
      <c r="J201" s="1078" t="str">
        <f t="shared" si="1"/>
        <v>B</v>
      </c>
      <c r="K201" s="1036"/>
      <c r="L201" s="1036"/>
      <c r="M201" s="1036"/>
      <c r="N201" s="1036"/>
      <c r="O201" s="1036"/>
      <c r="P201" s="1036"/>
      <c r="Q201" s="1036"/>
      <c r="R201" s="1036"/>
      <c r="S201" s="1036"/>
      <c r="T201" s="1036"/>
      <c r="U201" s="1036"/>
      <c r="V201" s="1036"/>
      <c r="W201" s="1036"/>
      <c r="X201" s="1036"/>
      <c r="Y201" s="1036"/>
      <c r="Z201" s="1036"/>
    </row>
    <row r="202" spans="1:26" ht="51">
      <c r="A202" s="1072">
        <v>92466</v>
      </c>
      <c r="B202" s="1073" t="s">
        <v>14476</v>
      </c>
      <c r="C202" s="1073" t="s">
        <v>7249</v>
      </c>
      <c r="D202" s="1074" t="s">
        <v>409</v>
      </c>
      <c r="E202" s="1075">
        <v>23.34</v>
      </c>
      <c r="F202" s="1076">
        <v>397.87</v>
      </c>
      <c r="G202" s="1076">
        <v>9286.2800000000007</v>
      </c>
      <c r="H202" s="1077">
        <f t="shared" si="0"/>
        <v>6.3072632791776864E-4</v>
      </c>
      <c r="I202" s="1078">
        <f t="shared" si="2"/>
        <v>0.85843410708536982</v>
      </c>
      <c r="J202" s="1078" t="str">
        <f t="shared" si="1"/>
        <v>B</v>
      </c>
      <c r="K202" s="1036"/>
      <c r="L202" s="1036"/>
      <c r="M202" s="1036"/>
      <c r="N202" s="1036"/>
      <c r="O202" s="1036"/>
      <c r="P202" s="1036"/>
      <c r="Q202" s="1036"/>
      <c r="R202" s="1036"/>
      <c r="S202" s="1036"/>
      <c r="T202" s="1036"/>
      <c r="U202" s="1036"/>
      <c r="V202" s="1036"/>
      <c r="W202" s="1036"/>
      <c r="X202" s="1036"/>
      <c r="Y202" s="1036"/>
      <c r="Z202" s="1036"/>
    </row>
    <row r="203" spans="1:26" ht="63.75">
      <c r="A203" s="1072" t="s">
        <v>15020</v>
      </c>
      <c r="B203" s="1073" t="s">
        <v>14472</v>
      </c>
      <c r="C203" s="1073" t="s">
        <v>15021</v>
      </c>
      <c r="D203" s="1074" t="s">
        <v>409</v>
      </c>
      <c r="E203" s="1075">
        <v>9</v>
      </c>
      <c r="F203" s="1076">
        <v>1026.93</v>
      </c>
      <c r="G203" s="1076">
        <v>9242.3700000000008</v>
      </c>
      <c r="H203" s="1077">
        <f t="shared" si="0"/>
        <v>6.2774395036089225E-4</v>
      </c>
      <c r="I203" s="1078">
        <f t="shared" si="2"/>
        <v>0.85906185103573074</v>
      </c>
      <c r="J203" s="1078" t="str">
        <f t="shared" si="1"/>
        <v>B</v>
      </c>
      <c r="K203" s="1036"/>
      <c r="L203" s="1036"/>
      <c r="M203" s="1036"/>
      <c r="N203" s="1036"/>
      <c r="O203" s="1036"/>
      <c r="P203" s="1036"/>
      <c r="Q203" s="1036"/>
      <c r="R203" s="1036"/>
      <c r="S203" s="1036"/>
      <c r="T203" s="1036"/>
      <c r="U203" s="1036"/>
      <c r="V203" s="1036"/>
      <c r="W203" s="1036"/>
      <c r="X203" s="1036"/>
      <c r="Y203" s="1036"/>
      <c r="Z203" s="1036"/>
    </row>
    <row r="204" spans="1:26" ht="25.5">
      <c r="A204" s="1072" t="s">
        <v>15384</v>
      </c>
      <c r="B204" s="1073" t="s">
        <v>14472</v>
      </c>
      <c r="C204" s="1073" t="s">
        <v>15385</v>
      </c>
      <c r="D204" s="1074" t="s">
        <v>50</v>
      </c>
      <c r="E204" s="1075">
        <v>160</v>
      </c>
      <c r="F204" s="1076">
        <v>57.21</v>
      </c>
      <c r="G204" s="1076">
        <v>9153.6</v>
      </c>
      <c r="H204" s="1077">
        <f t="shared" si="0"/>
        <v>6.2171467102306696E-4</v>
      </c>
      <c r="I204" s="1078">
        <f t="shared" si="2"/>
        <v>0.85968356570675386</v>
      </c>
      <c r="J204" s="1078" t="str">
        <f t="shared" si="1"/>
        <v>B</v>
      </c>
      <c r="K204" s="1036"/>
      <c r="L204" s="1036"/>
      <c r="M204" s="1036"/>
      <c r="N204" s="1036"/>
      <c r="O204" s="1036"/>
      <c r="P204" s="1036"/>
      <c r="Q204" s="1036"/>
      <c r="R204" s="1036"/>
      <c r="S204" s="1036"/>
      <c r="T204" s="1036"/>
      <c r="U204" s="1036"/>
      <c r="V204" s="1036"/>
      <c r="W204" s="1036"/>
      <c r="X204" s="1036"/>
      <c r="Y204" s="1036"/>
      <c r="Z204" s="1036"/>
    </row>
    <row r="205" spans="1:26" ht="14.25">
      <c r="A205" s="1072" t="s">
        <v>15108</v>
      </c>
      <c r="B205" s="1073" t="s">
        <v>14472</v>
      </c>
      <c r="C205" s="1073" t="s">
        <v>15109</v>
      </c>
      <c r="D205" s="1074" t="s">
        <v>6</v>
      </c>
      <c r="E205" s="1075">
        <v>16</v>
      </c>
      <c r="F205" s="1076">
        <v>567.53</v>
      </c>
      <c r="G205" s="1076">
        <v>9080.48</v>
      </c>
      <c r="H205" s="1077">
        <f t="shared" si="0"/>
        <v>6.1674834337654462E-4</v>
      </c>
      <c r="I205" s="1078">
        <f t="shared" si="2"/>
        <v>0.86030031405013041</v>
      </c>
      <c r="J205" s="1078" t="str">
        <f t="shared" si="1"/>
        <v>B</v>
      </c>
      <c r="K205" s="1036"/>
      <c r="L205" s="1036"/>
      <c r="M205" s="1036"/>
      <c r="N205" s="1036"/>
      <c r="O205" s="1036"/>
      <c r="P205" s="1036"/>
      <c r="Q205" s="1036"/>
      <c r="R205" s="1036"/>
      <c r="S205" s="1036"/>
      <c r="T205" s="1036"/>
      <c r="U205" s="1036"/>
      <c r="V205" s="1036"/>
      <c r="W205" s="1036"/>
      <c r="X205" s="1036"/>
      <c r="Y205" s="1036"/>
      <c r="Z205" s="1036"/>
    </row>
    <row r="206" spans="1:26" ht="51">
      <c r="A206" s="1072">
        <v>92431</v>
      </c>
      <c r="B206" s="1073" t="s">
        <v>14476</v>
      </c>
      <c r="C206" s="1073" t="s">
        <v>7221</v>
      </c>
      <c r="D206" s="1074" t="s">
        <v>409</v>
      </c>
      <c r="E206" s="1075">
        <v>96.34</v>
      </c>
      <c r="F206" s="1076">
        <v>91.75</v>
      </c>
      <c r="G206" s="1076">
        <v>8839.19</v>
      </c>
      <c r="H206" s="1077">
        <f t="shared" si="0"/>
        <v>6.0035986966443624E-4</v>
      </c>
      <c r="I206" s="1078">
        <f t="shared" si="2"/>
        <v>0.86090067391979486</v>
      </c>
      <c r="J206" s="1078" t="str">
        <f t="shared" si="1"/>
        <v>B</v>
      </c>
      <c r="K206" s="1036"/>
      <c r="L206" s="1036"/>
      <c r="M206" s="1036"/>
      <c r="N206" s="1036"/>
      <c r="O206" s="1036"/>
      <c r="P206" s="1036"/>
      <c r="Q206" s="1036"/>
      <c r="R206" s="1036"/>
      <c r="S206" s="1036"/>
      <c r="T206" s="1036"/>
      <c r="U206" s="1036"/>
      <c r="V206" s="1036"/>
      <c r="W206" s="1036"/>
      <c r="X206" s="1036"/>
      <c r="Y206" s="1036"/>
      <c r="Z206" s="1036"/>
    </row>
    <row r="207" spans="1:26" ht="38.25">
      <c r="A207" s="1072">
        <v>104918</v>
      </c>
      <c r="B207" s="1073" t="s">
        <v>14476</v>
      </c>
      <c r="C207" s="1073" t="s">
        <v>7515</v>
      </c>
      <c r="D207" s="1074" t="s">
        <v>54</v>
      </c>
      <c r="E207" s="1075">
        <v>453.47</v>
      </c>
      <c r="F207" s="1076">
        <v>19.420000000000002</v>
      </c>
      <c r="G207" s="1076">
        <v>8806.3799999999992</v>
      </c>
      <c r="H207" s="1077">
        <f t="shared" si="0"/>
        <v>5.9813140672567247E-4</v>
      </c>
      <c r="I207" s="1078">
        <f t="shared" si="2"/>
        <v>0.86149880532652057</v>
      </c>
      <c r="J207" s="1078" t="str">
        <f t="shared" si="1"/>
        <v>B</v>
      </c>
      <c r="K207" s="1036"/>
      <c r="L207" s="1036"/>
      <c r="M207" s="1036"/>
      <c r="N207" s="1036"/>
      <c r="O207" s="1036"/>
      <c r="P207" s="1036"/>
      <c r="Q207" s="1036"/>
      <c r="R207" s="1036"/>
      <c r="S207" s="1036"/>
      <c r="T207" s="1036"/>
      <c r="U207" s="1036"/>
      <c r="V207" s="1036"/>
      <c r="W207" s="1036"/>
      <c r="X207" s="1036"/>
      <c r="Y207" s="1036"/>
      <c r="Z207" s="1036"/>
    </row>
    <row r="208" spans="1:26" ht="25.5">
      <c r="A208" s="1072" t="s">
        <v>15022</v>
      </c>
      <c r="B208" s="1073" t="s">
        <v>14472</v>
      </c>
      <c r="C208" s="1073" t="s">
        <v>15023</v>
      </c>
      <c r="D208" s="1074" t="s">
        <v>409</v>
      </c>
      <c r="E208" s="1075">
        <v>7.54</v>
      </c>
      <c r="F208" s="1076">
        <v>1164.76</v>
      </c>
      <c r="G208" s="1076">
        <v>8782.75</v>
      </c>
      <c r="H208" s="1077">
        <f t="shared" si="0"/>
        <v>5.9652645155215884E-4</v>
      </c>
      <c r="I208" s="1078">
        <f t="shared" si="2"/>
        <v>0.86209533177807274</v>
      </c>
      <c r="J208" s="1078" t="str">
        <f t="shared" si="1"/>
        <v>B</v>
      </c>
      <c r="K208" s="1036"/>
      <c r="L208" s="1036"/>
      <c r="M208" s="1036"/>
      <c r="N208" s="1036"/>
      <c r="O208" s="1036"/>
      <c r="P208" s="1036"/>
      <c r="Q208" s="1036"/>
      <c r="R208" s="1036"/>
      <c r="S208" s="1036"/>
      <c r="T208" s="1036"/>
      <c r="U208" s="1036"/>
      <c r="V208" s="1036"/>
      <c r="W208" s="1036"/>
      <c r="X208" s="1036"/>
      <c r="Y208" s="1036"/>
      <c r="Z208" s="1036"/>
    </row>
    <row r="209" spans="1:26" ht="25.5">
      <c r="A209" s="1072" t="s">
        <v>14765</v>
      </c>
      <c r="B209" s="1073" t="s">
        <v>14472</v>
      </c>
      <c r="C209" s="1073" t="s">
        <v>14766</v>
      </c>
      <c r="D209" s="1074" t="s">
        <v>409</v>
      </c>
      <c r="E209" s="1075">
        <v>273.47000000000003</v>
      </c>
      <c r="F209" s="1076">
        <v>31.7</v>
      </c>
      <c r="G209" s="1076">
        <v>8668.99</v>
      </c>
      <c r="H209" s="1077">
        <f t="shared" si="0"/>
        <v>5.8879984552004209E-4</v>
      </c>
      <c r="I209" s="1078">
        <f t="shared" si="2"/>
        <v>0.86268413162359281</v>
      </c>
      <c r="J209" s="1078" t="str">
        <f t="shared" si="1"/>
        <v>B</v>
      </c>
      <c r="K209" s="1036"/>
      <c r="L209" s="1036"/>
      <c r="M209" s="1036"/>
      <c r="N209" s="1036"/>
      <c r="O209" s="1036"/>
      <c r="P209" s="1036"/>
      <c r="Q209" s="1036"/>
      <c r="R209" s="1036"/>
      <c r="S209" s="1036"/>
      <c r="T209" s="1036"/>
      <c r="U209" s="1036"/>
      <c r="V209" s="1036"/>
      <c r="W209" s="1036"/>
      <c r="X209" s="1036"/>
      <c r="Y209" s="1036"/>
      <c r="Z209" s="1036"/>
    </row>
    <row r="210" spans="1:26" ht="25.5">
      <c r="A210" s="1072" t="s">
        <v>15017</v>
      </c>
      <c r="B210" s="1073" t="s">
        <v>14472</v>
      </c>
      <c r="C210" s="1073" t="s">
        <v>15018</v>
      </c>
      <c r="D210" s="1074" t="s">
        <v>409</v>
      </c>
      <c r="E210" s="1075">
        <v>10.8</v>
      </c>
      <c r="F210" s="1076">
        <v>800.68</v>
      </c>
      <c r="G210" s="1076">
        <v>8647.34</v>
      </c>
      <c r="H210" s="1077">
        <f t="shared" si="0"/>
        <v>5.8732937241354308E-4</v>
      </c>
      <c r="I210" s="1078">
        <f t="shared" si="2"/>
        <v>0.86327146099600638</v>
      </c>
      <c r="J210" s="1078" t="str">
        <f t="shared" si="1"/>
        <v>B</v>
      </c>
      <c r="K210" s="1036"/>
      <c r="L210" s="1036"/>
      <c r="M210" s="1036"/>
      <c r="N210" s="1036"/>
      <c r="O210" s="1036"/>
      <c r="P210" s="1036"/>
      <c r="Q210" s="1036"/>
      <c r="R210" s="1036"/>
      <c r="S210" s="1036"/>
      <c r="T210" s="1036"/>
      <c r="U210" s="1036"/>
      <c r="V210" s="1036"/>
      <c r="W210" s="1036"/>
      <c r="X210" s="1036"/>
      <c r="Y210" s="1036"/>
      <c r="Z210" s="1036"/>
    </row>
    <row r="211" spans="1:26" ht="25.5">
      <c r="A211" s="1072" t="s">
        <v>15289</v>
      </c>
      <c r="B211" s="1073" t="s">
        <v>14472</v>
      </c>
      <c r="C211" s="1073" t="s">
        <v>15958</v>
      </c>
      <c r="D211" s="1074" t="s">
        <v>50</v>
      </c>
      <c r="E211" s="1075">
        <v>80.099999999999994</v>
      </c>
      <c r="F211" s="1076">
        <v>107.85</v>
      </c>
      <c r="G211" s="1076">
        <v>8638.7800000000007</v>
      </c>
      <c r="H211" s="1077">
        <f t="shared" si="0"/>
        <v>5.8674797519453015E-4</v>
      </c>
      <c r="I211" s="1078">
        <f t="shared" si="2"/>
        <v>0.86385820897120091</v>
      </c>
      <c r="J211" s="1078" t="str">
        <f t="shared" si="1"/>
        <v>B</v>
      </c>
      <c r="K211" s="1036"/>
      <c r="L211" s="1036"/>
      <c r="M211" s="1036"/>
      <c r="N211" s="1036"/>
      <c r="O211" s="1036"/>
      <c r="P211" s="1036"/>
      <c r="Q211" s="1036"/>
      <c r="R211" s="1036"/>
      <c r="S211" s="1036"/>
      <c r="T211" s="1036"/>
      <c r="U211" s="1036"/>
      <c r="V211" s="1036"/>
      <c r="W211" s="1036"/>
      <c r="X211" s="1036"/>
      <c r="Y211" s="1036"/>
      <c r="Z211" s="1036"/>
    </row>
    <row r="212" spans="1:26" ht="25.5">
      <c r="A212" s="1072" t="s">
        <v>14765</v>
      </c>
      <c r="B212" s="1073" t="s">
        <v>14472</v>
      </c>
      <c r="C212" s="1073" t="s">
        <v>14766</v>
      </c>
      <c r="D212" s="1074" t="s">
        <v>409</v>
      </c>
      <c r="E212" s="1075">
        <v>272.12</v>
      </c>
      <c r="F212" s="1076">
        <v>31.7</v>
      </c>
      <c r="G212" s="1076">
        <v>8626.2000000000007</v>
      </c>
      <c r="H212" s="1077">
        <f t="shared" si="0"/>
        <v>5.8589353862733575E-4</v>
      </c>
      <c r="I212" s="1078">
        <f t="shared" si="2"/>
        <v>0.86444410250982828</v>
      </c>
      <c r="J212" s="1078" t="str">
        <f t="shared" si="1"/>
        <v>B</v>
      </c>
      <c r="K212" s="1036"/>
      <c r="L212" s="1036"/>
      <c r="M212" s="1036"/>
      <c r="N212" s="1036"/>
      <c r="O212" s="1036"/>
      <c r="P212" s="1036"/>
      <c r="Q212" s="1036"/>
      <c r="R212" s="1036"/>
      <c r="S212" s="1036"/>
      <c r="T212" s="1036"/>
      <c r="U212" s="1036"/>
      <c r="V212" s="1036"/>
      <c r="W212" s="1036"/>
      <c r="X212" s="1036"/>
      <c r="Y212" s="1036"/>
      <c r="Z212" s="1036"/>
    </row>
    <row r="213" spans="1:26" ht="51">
      <c r="A213" s="1072">
        <v>92986</v>
      </c>
      <c r="B213" s="1073" t="s">
        <v>14476</v>
      </c>
      <c r="C213" s="1073" t="s">
        <v>7868</v>
      </c>
      <c r="D213" s="1074" t="s">
        <v>50</v>
      </c>
      <c r="E213" s="1075">
        <v>170</v>
      </c>
      <c r="F213" s="1076">
        <v>50.65</v>
      </c>
      <c r="G213" s="1076">
        <v>8610.5</v>
      </c>
      <c r="H213" s="1077">
        <f t="shared" si="0"/>
        <v>5.8482719092423942E-4</v>
      </c>
      <c r="I213" s="1078">
        <f t="shared" si="2"/>
        <v>0.86502892970075251</v>
      </c>
      <c r="J213" s="1078" t="str">
        <f t="shared" si="1"/>
        <v>B</v>
      </c>
      <c r="K213" s="1036"/>
      <c r="L213" s="1036"/>
      <c r="M213" s="1036"/>
      <c r="N213" s="1036"/>
      <c r="O213" s="1036"/>
      <c r="P213" s="1036"/>
      <c r="Q213" s="1036"/>
      <c r="R213" s="1036"/>
      <c r="S213" s="1036"/>
      <c r="T213" s="1036"/>
      <c r="U213" s="1036"/>
      <c r="V213" s="1036"/>
      <c r="W213" s="1036"/>
      <c r="X213" s="1036"/>
      <c r="Y213" s="1036"/>
      <c r="Z213" s="1036"/>
    </row>
    <row r="214" spans="1:26" ht="51">
      <c r="A214" s="1072">
        <v>101562</v>
      </c>
      <c r="B214" s="1073" t="s">
        <v>14476</v>
      </c>
      <c r="C214" s="1073" t="s">
        <v>8173</v>
      </c>
      <c r="D214" s="1074" t="s">
        <v>50</v>
      </c>
      <c r="E214" s="1075">
        <v>255</v>
      </c>
      <c r="F214" s="1076">
        <v>33.71</v>
      </c>
      <c r="G214" s="1076">
        <v>8596.0499999999993</v>
      </c>
      <c r="H214" s="1077">
        <f t="shared" si="0"/>
        <v>5.8384574351597561E-4</v>
      </c>
      <c r="I214" s="1078">
        <f t="shared" si="2"/>
        <v>0.86561277544426851</v>
      </c>
      <c r="J214" s="1078" t="str">
        <f t="shared" si="1"/>
        <v>B</v>
      </c>
      <c r="K214" s="1036"/>
      <c r="L214" s="1036"/>
      <c r="M214" s="1036"/>
      <c r="N214" s="1036"/>
      <c r="O214" s="1036"/>
      <c r="P214" s="1036"/>
      <c r="Q214" s="1036"/>
      <c r="R214" s="1036"/>
      <c r="S214" s="1036"/>
      <c r="T214" s="1036"/>
      <c r="U214" s="1036"/>
      <c r="V214" s="1036"/>
      <c r="W214" s="1036"/>
      <c r="X214" s="1036"/>
      <c r="Y214" s="1036"/>
      <c r="Z214" s="1036"/>
    </row>
    <row r="215" spans="1:26" ht="38.25">
      <c r="A215" s="1072">
        <v>96535</v>
      </c>
      <c r="B215" s="1073" t="s">
        <v>14476</v>
      </c>
      <c r="C215" s="1073" t="s">
        <v>7301</v>
      </c>
      <c r="D215" s="1074" t="s">
        <v>409</v>
      </c>
      <c r="E215" s="1075">
        <v>52.33</v>
      </c>
      <c r="F215" s="1076">
        <v>164.12</v>
      </c>
      <c r="G215" s="1076">
        <v>8588.39</v>
      </c>
      <c r="H215" s="1077">
        <f t="shared" si="0"/>
        <v>5.83325474509242E-4</v>
      </c>
      <c r="I215" s="1078">
        <f t="shared" si="2"/>
        <v>0.86619610091877774</v>
      </c>
      <c r="J215" s="1078" t="str">
        <f t="shared" si="1"/>
        <v>B</v>
      </c>
      <c r="K215" s="1036"/>
      <c r="L215" s="1036"/>
      <c r="M215" s="1036"/>
      <c r="N215" s="1036"/>
      <c r="O215" s="1036"/>
      <c r="P215" s="1036"/>
      <c r="Q215" s="1036"/>
      <c r="R215" s="1036"/>
      <c r="S215" s="1036"/>
      <c r="T215" s="1036"/>
      <c r="U215" s="1036"/>
      <c r="V215" s="1036"/>
      <c r="W215" s="1036"/>
      <c r="X215" s="1036"/>
      <c r="Y215" s="1036"/>
      <c r="Z215" s="1036"/>
    </row>
    <row r="216" spans="1:26" ht="25.5">
      <c r="A216" s="1072" t="s">
        <v>14765</v>
      </c>
      <c r="B216" s="1073" t="s">
        <v>14472</v>
      </c>
      <c r="C216" s="1073" t="s">
        <v>14766</v>
      </c>
      <c r="D216" s="1074" t="s">
        <v>409</v>
      </c>
      <c r="E216" s="1075">
        <v>270.86</v>
      </c>
      <c r="F216" s="1076">
        <v>31.7</v>
      </c>
      <c r="G216" s="1076">
        <v>8586.3799999999992</v>
      </c>
      <c r="H216" s="1077">
        <f t="shared" si="0"/>
        <v>5.8318895483515127E-4</v>
      </c>
      <c r="I216" s="1078">
        <f t="shared" si="2"/>
        <v>0.86677928987361286</v>
      </c>
      <c r="J216" s="1078" t="str">
        <f t="shared" si="1"/>
        <v>B</v>
      </c>
      <c r="K216" s="1036"/>
      <c r="L216" s="1036"/>
      <c r="M216" s="1036"/>
      <c r="N216" s="1036"/>
      <c r="O216" s="1036"/>
      <c r="P216" s="1036"/>
      <c r="Q216" s="1036"/>
      <c r="R216" s="1036"/>
      <c r="S216" s="1036"/>
      <c r="T216" s="1036"/>
      <c r="U216" s="1036"/>
      <c r="V216" s="1036"/>
      <c r="W216" s="1036"/>
      <c r="X216" s="1036"/>
      <c r="Y216" s="1036"/>
      <c r="Z216" s="1036"/>
    </row>
    <row r="217" spans="1:26" ht="63.75">
      <c r="A217" s="1072" t="s">
        <v>15020</v>
      </c>
      <c r="B217" s="1073" t="s">
        <v>14472</v>
      </c>
      <c r="C217" s="1073" t="s">
        <v>15021</v>
      </c>
      <c r="D217" s="1074" t="s">
        <v>409</v>
      </c>
      <c r="E217" s="1075">
        <v>8.24</v>
      </c>
      <c r="F217" s="1076">
        <v>1026.93</v>
      </c>
      <c r="G217" s="1076">
        <v>8463.9500000000007</v>
      </c>
      <c r="H217" s="1077">
        <f t="shared" si="0"/>
        <v>5.7487348035807639E-4</v>
      </c>
      <c r="I217" s="1078">
        <f t="shared" si="2"/>
        <v>0.86735416335397097</v>
      </c>
      <c r="J217" s="1078" t="str">
        <f t="shared" si="1"/>
        <v>B</v>
      </c>
      <c r="K217" s="1036"/>
      <c r="L217" s="1036"/>
      <c r="M217" s="1036"/>
      <c r="N217" s="1036"/>
      <c r="O217" s="1036"/>
      <c r="P217" s="1036"/>
      <c r="Q217" s="1036"/>
      <c r="R217" s="1036"/>
      <c r="S217" s="1036"/>
      <c r="T217" s="1036"/>
      <c r="U217" s="1036"/>
      <c r="V217" s="1036"/>
      <c r="W217" s="1036"/>
      <c r="X217" s="1036"/>
      <c r="Y217" s="1036"/>
      <c r="Z217" s="1036"/>
    </row>
    <row r="218" spans="1:26" ht="25.5">
      <c r="A218" s="1072" t="s">
        <v>14788</v>
      </c>
      <c r="B218" s="1073" t="s">
        <v>14472</v>
      </c>
      <c r="C218" s="1073" t="s">
        <v>14789</v>
      </c>
      <c r="D218" s="1074" t="s">
        <v>50</v>
      </c>
      <c r="E218" s="1075">
        <v>30.19</v>
      </c>
      <c r="F218" s="1076">
        <v>278.5</v>
      </c>
      <c r="G218" s="1076">
        <v>8407.91</v>
      </c>
      <c r="H218" s="1077">
        <f t="shared" si="0"/>
        <v>5.7106723034014537E-4</v>
      </c>
      <c r="I218" s="1078">
        <f t="shared" si="2"/>
        <v>0.86792523058431115</v>
      </c>
      <c r="J218" s="1078" t="str">
        <f t="shared" si="1"/>
        <v>B</v>
      </c>
      <c r="K218" s="1036"/>
      <c r="L218" s="1036"/>
      <c r="M218" s="1036"/>
      <c r="N218" s="1036"/>
      <c r="O218" s="1036"/>
      <c r="P218" s="1036"/>
      <c r="Q218" s="1036"/>
      <c r="R218" s="1036"/>
      <c r="S218" s="1036"/>
      <c r="T218" s="1036"/>
      <c r="U218" s="1036"/>
      <c r="V218" s="1036"/>
      <c r="W218" s="1036"/>
      <c r="X218" s="1036"/>
      <c r="Y218" s="1036"/>
      <c r="Z218" s="1036"/>
    </row>
    <row r="219" spans="1:26" ht="38.25">
      <c r="A219" s="1072">
        <v>96536</v>
      </c>
      <c r="B219" s="1073" t="s">
        <v>14476</v>
      </c>
      <c r="C219" s="1073" t="s">
        <v>7302</v>
      </c>
      <c r="D219" s="1074" t="s">
        <v>409</v>
      </c>
      <c r="E219" s="1075">
        <v>93.73</v>
      </c>
      <c r="F219" s="1076">
        <v>89.68</v>
      </c>
      <c r="G219" s="1076">
        <v>8405.7000000000007</v>
      </c>
      <c r="H219" s="1077">
        <f t="shared" si="0"/>
        <v>5.7091712661888161E-4</v>
      </c>
      <c r="I219" s="1078">
        <f t="shared" si="2"/>
        <v>0.86849614771092998</v>
      </c>
      <c r="J219" s="1078" t="str">
        <f t="shared" si="1"/>
        <v>B</v>
      </c>
      <c r="K219" s="1036"/>
      <c r="L219" s="1036"/>
      <c r="M219" s="1036"/>
      <c r="N219" s="1036"/>
      <c r="O219" s="1036"/>
      <c r="P219" s="1036"/>
      <c r="Q219" s="1036"/>
      <c r="R219" s="1036"/>
      <c r="S219" s="1036"/>
      <c r="T219" s="1036"/>
      <c r="U219" s="1036"/>
      <c r="V219" s="1036"/>
      <c r="W219" s="1036"/>
      <c r="X219" s="1036"/>
      <c r="Y219" s="1036"/>
      <c r="Z219" s="1036"/>
    </row>
    <row r="220" spans="1:26" ht="14.25">
      <c r="A220" s="1072" t="s">
        <v>14473</v>
      </c>
      <c r="B220" s="1073" t="s">
        <v>14472</v>
      </c>
      <c r="C220" s="1073" t="s">
        <v>14474</v>
      </c>
      <c r="D220" s="1074" t="s">
        <v>409</v>
      </c>
      <c r="E220" s="1075">
        <v>12.5</v>
      </c>
      <c r="F220" s="1076">
        <v>664.01</v>
      </c>
      <c r="G220" s="1076">
        <v>8300.1200000000008</v>
      </c>
      <c r="H220" s="1077">
        <f t="shared" si="0"/>
        <v>5.6374610811614869E-4</v>
      </c>
      <c r="I220" s="1078">
        <f t="shared" si="2"/>
        <v>0.86905989381904614</v>
      </c>
      <c r="J220" s="1078" t="str">
        <f t="shared" si="1"/>
        <v>B</v>
      </c>
      <c r="K220" s="1036"/>
      <c r="L220" s="1036"/>
      <c r="M220" s="1036"/>
      <c r="N220" s="1036"/>
      <c r="O220" s="1036"/>
      <c r="P220" s="1036"/>
      <c r="Q220" s="1036"/>
      <c r="R220" s="1036"/>
      <c r="S220" s="1036"/>
      <c r="T220" s="1036"/>
      <c r="U220" s="1036"/>
      <c r="V220" s="1036"/>
      <c r="W220" s="1036"/>
      <c r="X220" s="1036"/>
      <c r="Y220" s="1036"/>
      <c r="Z220" s="1036"/>
    </row>
    <row r="221" spans="1:26" ht="76.5">
      <c r="A221" s="1072" t="s">
        <v>14973</v>
      </c>
      <c r="B221" s="1073" t="s">
        <v>14472</v>
      </c>
      <c r="C221" s="1073" t="s">
        <v>14974</v>
      </c>
      <c r="D221" s="1074" t="s">
        <v>6</v>
      </c>
      <c r="E221" s="1075">
        <v>3</v>
      </c>
      <c r="F221" s="1076">
        <v>2745</v>
      </c>
      <c r="G221" s="1076">
        <v>8235</v>
      </c>
      <c r="H221" s="1077">
        <f t="shared" si="0"/>
        <v>5.5932314235655441E-4</v>
      </c>
      <c r="I221" s="1078">
        <f t="shared" si="2"/>
        <v>0.86961921696140265</v>
      </c>
      <c r="J221" s="1078" t="str">
        <f t="shared" si="1"/>
        <v>B</v>
      </c>
      <c r="K221" s="1036"/>
      <c r="L221" s="1036"/>
      <c r="M221" s="1036"/>
      <c r="N221" s="1036"/>
      <c r="O221" s="1036"/>
      <c r="P221" s="1036"/>
      <c r="Q221" s="1036"/>
      <c r="R221" s="1036"/>
      <c r="S221" s="1036"/>
      <c r="T221" s="1036"/>
      <c r="U221" s="1036"/>
      <c r="V221" s="1036"/>
      <c r="W221" s="1036"/>
      <c r="X221" s="1036"/>
      <c r="Y221" s="1036"/>
      <c r="Z221" s="1036"/>
    </row>
    <row r="222" spans="1:26" ht="25.5">
      <c r="A222" s="1072" t="s">
        <v>14590</v>
      </c>
      <c r="B222" s="1073" t="s">
        <v>14472</v>
      </c>
      <c r="C222" s="1073" t="s">
        <v>14591</v>
      </c>
      <c r="D222" s="1074" t="s">
        <v>152</v>
      </c>
      <c r="E222" s="1075">
        <v>7.54</v>
      </c>
      <c r="F222" s="1076">
        <v>1085.23</v>
      </c>
      <c r="G222" s="1076">
        <v>8182.63</v>
      </c>
      <c r="H222" s="1077">
        <f t="shared" si="0"/>
        <v>5.5576615960425165E-4</v>
      </c>
      <c r="I222" s="1078">
        <f t="shared" si="2"/>
        <v>0.87017498312100694</v>
      </c>
      <c r="J222" s="1078" t="str">
        <f t="shared" si="1"/>
        <v>B</v>
      </c>
      <c r="K222" s="1036"/>
      <c r="L222" s="1036"/>
      <c r="M222" s="1036"/>
      <c r="N222" s="1036"/>
      <c r="O222" s="1036"/>
      <c r="P222" s="1036"/>
      <c r="Q222" s="1036"/>
      <c r="R222" s="1036"/>
      <c r="S222" s="1036"/>
      <c r="T222" s="1036"/>
      <c r="U222" s="1036"/>
      <c r="V222" s="1036"/>
      <c r="W222" s="1036"/>
      <c r="X222" s="1036"/>
      <c r="Y222" s="1036"/>
      <c r="Z222" s="1036"/>
    </row>
    <row r="223" spans="1:26" ht="51">
      <c r="A223" s="1072">
        <v>96520</v>
      </c>
      <c r="B223" s="1073" t="s">
        <v>14476</v>
      </c>
      <c r="C223" s="1073" t="s">
        <v>10505</v>
      </c>
      <c r="D223" s="1074" t="s">
        <v>152</v>
      </c>
      <c r="E223" s="1075">
        <v>77.84</v>
      </c>
      <c r="F223" s="1076">
        <v>104.8</v>
      </c>
      <c r="G223" s="1076">
        <v>8157.63</v>
      </c>
      <c r="H223" s="1077">
        <f t="shared" si="0"/>
        <v>5.5406815370760156E-4</v>
      </c>
      <c r="I223" s="1078">
        <f t="shared" si="2"/>
        <v>0.87072905127471456</v>
      </c>
      <c r="J223" s="1078" t="str">
        <f t="shared" si="1"/>
        <v>B</v>
      </c>
      <c r="K223" s="1036"/>
      <c r="L223" s="1036"/>
      <c r="M223" s="1036"/>
      <c r="N223" s="1036"/>
      <c r="O223" s="1036"/>
      <c r="P223" s="1036"/>
      <c r="Q223" s="1036"/>
      <c r="R223" s="1036"/>
      <c r="S223" s="1036"/>
      <c r="T223" s="1036"/>
      <c r="U223" s="1036"/>
      <c r="V223" s="1036"/>
      <c r="W223" s="1036"/>
      <c r="X223" s="1036"/>
      <c r="Y223" s="1036"/>
      <c r="Z223" s="1036"/>
    </row>
    <row r="224" spans="1:26" ht="25.5">
      <c r="A224" s="1072">
        <v>100533</v>
      </c>
      <c r="B224" s="1073" t="s">
        <v>14476</v>
      </c>
      <c r="C224" s="1073" t="s">
        <v>12324</v>
      </c>
      <c r="D224" s="1074" t="s">
        <v>154</v>
      </c>
      <c r="E224" s="1075">
        <v>360</v>
      </c>
      <c r="F224" s="1076">
        <v>22.63</v>
      </c>
      <c r="G224" s="1076">
        <v>8146.8</v>
      </c>
      <c r="H224" s="1077">
        <f t="shared" si="0"/>
        <v>5.5333257755317273E-4</v>
      </c>
      <c r="I224" s="1078">
        <f t="shared" si="2"/>
        <v>0.87128238385226775</v>
      </c>
      <c r="J224" s="1078" t="str">
        <f t="shared" si="1"/>
        <v>B</v>
      </c>
      <c r="K224" s="1036"/>
      <c r="L224" s="1036"/>
      <c r="M224" s="1036"/>
      <c r="N224" s="1036"/>
      <c r="O224" s="1036"/>
      <c r="P224" s="1036"/>
      <c r="Q224" s="1036"/>
      <c r="R224" s="1036"/>
      <c r="S224" s="1036"/>
      <c r="T224" s="1036"/>
      <c r="U224" s="1036"/>
      <c r="V224" s="1036"/>
      <c r="W224" s="1036"/>
      <c r="X224" s="1036"/>
      <c r="Y224" s="1036"/>
      <c r="Z224" s="1036"/>
    </row>
    <row r="225" spans="1:26" ht="76.5">
      <c r="A225" s="1072" t="s">
        <v>15414</v>
      </c>
      <c r="B225" s="1073" t="s">
        <v>14472</v>
      </c>
      <c r="C225" s="1073" t="s">
        <v>15415</v>
      </c>
      <c r="D225" s="1074" t="s">
        <v>50</v>
      </c>
      <c r="E225" s="1075">
        <v>18</v>
      </c>
      <c r="F225" s="1076">
        <v>452.16</v>
      </c>
      <c r="G225" s="1076">
        <v>8138.88</v>
      </c>
      <c r="H225" s="1077">
        <f t="shared" si="0"/>
        <v>5.5279464928511396E-4</v>
      </c>
      <c r="I225" s="1078">
        <f t="shared" si="2"/>
        <v>0.8718351785015529</v>
      </c>
      <c r="J225" s="1078" t="str">
        <f t="shared" si="1"/>
        <v>B</v>
      </c>
      <c r="K225" s="1036"/>
      <c r="L225" s="1036"/>
      <c r="M225" s="1036"/>
      <c r="N225" s="1036"/>
      <c r="O225" s="1036"/>
      <c r="P225" s="1036"/>
      <c r="Q225" s="1036"/>
      <c r="R225" s="1036"/>
      <c r="S225" s="1036"/>
      <c r="T225" s="1036"/>
      <c r="U225" s="1036"/>
      <c r="V225" s="1036"/>
      <c r="W225" s="1036"/>
      <c r="X225" s="1036"/>
      <c r="Y225" s="1036"/>
      <c r="Z225" s="1036"/>
    </row>
    <row r="226" spans="1:26" ht="38.25">
      <c r="A226" s="1072">
        <v>95943</v>
      </c>
      <c r="B226" s="1073" t="s">
        <v>14476</v>
      </c>
      <c r="C226" s="1073" t="s">
        <v>7487</v>
      </c>
      <c r="D226" s="1074" t="s">
        <v>54</v>
      </c>
      <c r="E226" s="1075">
        <v>290.27</v>
      </c>
      <c r="F226" s="1076">
        <v>28.03</v>
      </c>
      <c r="G226" s="1076">
        <v>8136.26</v>
      </c>
      <c r="H226" s="1077">
        <f t="shared" si="0"/>
        <v>5.5261669826714508E-4</v>
      </c>
      <c r="I226" s="1078">
        <f t="shared" si="2"/>
        <v>0.87238779519982002</v>
      </c>
      <c r="J226" s="1078" t="str">
        <f t="shared" si="1"/>
        <v>B</v>
      </c>
      <c r="K226" s="1036"/>
      <c r="L226" s="1036"/>
      <c r="M226" s="1036"/>
      <c r="N226" s="1036"/>
      <c r="O226" s="1036"/>
      <c r="P226" s="1036"/>
      <c r="Q226" s="1036"/>
      <c r="R226" s="1036"/>
      <c r="S226" s="1036"/>
      <c r="T226" s="1036"/>
      <c r="U226" s="1036"/>
      <c r="V226" s="1036"/>
      <c r="W226" s="1036"/>
      <c r="X226" s="1036"/>
      <c r="Y226" s="1036"/>
      <c r="Z226" s="1036"/>
    </row>
    <row r="227" spans="1:26" ht="51">
      <c r="A227" s="1072" t="s">
        <v>14509</v>
      </c>
      <c r="B227" s="1073" t="s">
        <v>14472</v>
      </c>
      <c r="C227" s="1073" t="s">
        <v>14510</v>
      </c>
      <c r="D227" s="1074" t="s">
        <v>156</v>
      </c>
      <c r="E227" s="1075">
        <v>10</v>
      </c>
      <c r="F227" s="1076">
        <v>812.5</v>
      </c>
      <c r="G227" s="1076">
        <v>8125</v>
      </c>
      <c r="H227" s="1077">
        <f t="shared" si="0"/>
        <v>5.5185191641129376E-4</v>
      </c>
      <c r="I227" s="1078">
        <f t="shared" si="2"/>
        <v>0.87293964711623129</v>
      </c>
      <c r="J227" s="1078" t="str">
        <f t="shared" si="1"/>
        <v>B</v>
      </c>
      <c r="K227" s="1036"/>
      <c r="L227" s="1036"/>
      <c r="M227" s="1036"/>
      <c r="N227" s="1036"/>
      <c r="O227" s="1036"/>
      <c r="P227" s="1036"/>
      <c r="Q227" s="1036"/>
      <c r="R227" s="1036"/>
      <c r="S227" s="1036"/>
      <c r="T227" s="1036"/>
      <c r="U227" s="1036"/>
      <c r="V227" s="1036"/>
      <c r="W227" s="1036"/>
      <c r="X227" s="1036"/>
      <c r="Y227" s="1036"/>
      <c r="Z227" s="1036"/>
    </row>
    <row r="228" spans="1:26" ht="25.5">
      <c r="A228" s="1072">
        <v>96135</v>
      </c>
      <c r="B228" s="1073" t="s">
        <v>14476</v>
      </c>
      <c r="C228" s="1073" t="s">
        <v>11028</v>
      </c>
      <c r="D228" s="1074" t="s">
        <v>409</v>
      </c>
      <c r="E228" s="1075">
        <v>229.73</v>
      </c>
      <c r="F228" s="1076">
        <v>34.909999999999997</v>
      </c>
      <c r="G228" s="1076">
        <v>8019.87</v>
      </c>
      <c r="H228" s="1077">
        <f t="shared" si="0"/>
        <v>5.4471146201470061E-4</v>
      </c>
      <c r="I228" s="1078">
        <f t="shared" si="2"/>
        <v>0.87348435857824602</v>
      </c>
      <c r="J228" s="1078" t="str">
        <f t="shared" si="1"/>
        <v>B</v>
      </c>
      <c r="K228" s="1036"/>
      <c r="L228" s="1036"/>
      <c r="M228" s="1036"/>
      <c r="N228" s="1036"/>
      <c r="O228" s="1036"/>
      <c r="P228" s="1036"/>
      <c r="Q228" s="1036"/>
      <c r="R228" s="1036"/>
      <c r="S228" s="1036"/>
      <c r="T228" s="1036"/>
      <c r="U228" s="1036"/>
      <c r="V228" s="1036"/>
      <c r="W228" s="1036"/>
      <c r="X228" s="1036"/>
      <c r="Y228" s="1036"/>
      <c r="Z228" s="1036"/>
    </row>
    <row r="229" spans="1:26" ht="38.25">
      <c r="A229" s="1072">
        <v>89512</v>
      </c>
      <c r="B229" s="1073" t="s">
        <v>14476</v>
      </c>
      <c r="C229" s="1073" t="s">
        <v>8434</v>
      </c>
      <c r="D229" s="1074" t="s">
        <v>50</v>
      </c>
      <c r="E229" s="1075">
        <v>140</v>
      </c>
      <c r="F229" s="1076">
        <v>57.21</v>
      </c>
      <c r="G229" s="1076">
        <v>8009.4</v>
      </c>
      <c r="H229" s="1077">
        <f t="shared" si="0"/>
        <v>5.4400033714518351E-4</v>
      </c>
      <c r="I229" s="1078">
        <f t="shared" si="2"/>
        <v>0.87402835891539121</v>
      </c>
      <c r="J229" s="1078" t="str">
        <f t="shared" si="1"/>
        <v>B</v>
      </c>
      <c r="K229" s="1036"/>
      <c r="L229" s="1036"/>
      <c r="M229" s="1036"/>
      <c r="N229" s="1036"/>
      <c r="O229" s="1036"/>
      <c r="P229" s="1036"/>
      <c r="Q229" s="1036"/>
      <c r="R229" s="1036"/>
      <c r="S229" s="1036"/>
      <c r="T229" s="1036"/>
      <c r="U229" s="1036"/>
      <c r="V229" s="1036"/>
      <c r="W229" s="1036"/>
      <c r="X229" s="1036"/>
      <c r="Y229" s="1036"/>
      <c r="Z229" s="1036"/>
    </row>
    <row r="230" spans="1:26" ht="38.25">
      <c r="A230" s="1072" t="s">
        <v>15402</v>
      </c>
      <c r="B230" s="1073" t="s">
        <v>14472</v>
      </c>
      <c r="C230" s="1073" t="s">
        <v>15403</v>
      </c>
      <c r="D230" s="1074" t="s">
        <v>6</v>
      </c>
      <c r="E230" s="1075">
        <v>1</v>
      </c>
      <c r="F230" s="1076">
        <v>7993.47</v>
      </c>
      <c r="G230" s="1076">
        <v>7993.47</v>
      </c>
      <c r="H230" s="1077">
        <f t="shared" si="0"/>
        <v>5.4291836778783814E-4</v>
      </c>
      <c r="I230" s="1078">
        <f t="shared" si="2"/>
        <v>0.87457127728317907</v>
      </c>
      <c r="J230" s="1078" t="str">
        <f t="shared" si="1"/>
        <v>B</v>
      </c>
      <c r="K230" s="1036"/>
      <c r="L230" s="1036"/>
      <c r="M230" s="1036"/>
      <c r="N230" s="1036"/>
      <c r="O230" s="1036"/>
      <c r="P230" s="1036"/>
      <c r="Q230" s="1036"/>
      <c r="R230" s="1036"/>
      <c r="S230" s="1036"/>
      <c r="T230" s="1036"/>
      <c r="U230" s="1036"/>
      <c r="V230" s="1036"/>
      <c r="W230" s="1036"/>
      <c r="X230" s="1036"/>
      <c r="Y230" s="1036"/>
      <c r="Z230" s="1036"/>
    </row>
    <row r="231" spans="1:26" ht="25.5">
      <c r="A231" s="1072" t="s">
        <v>15014</v>
      </c>
      <c r="B231" s="1073" t="s">
        <v>14472</v>
      </c>
      <c r="C231" s="1073" t="s">
        <v>15015</v>
      </c>
      <c r="D231" s="1074" t="s">
        <v>409</v>
      </c>
      <c r="E231" s="1075">
        <v>4.08</v>
      </c>
      <c r="F231" s="1076">
        <v>1943.85</v>
      </c>
      <c r="G231" s="1076">
        <v>7930.9</v>
      </c>
      <c r="H231" s="1077">
        <f t="shared" si="0"/>
        <v>5.3866859862970208E-4</v>
      </c>
      <c r="I231" s="1078">
        <f t="shared" si="2"/>
        <v>0.87510994588180879</v>
      </c>
      <c r="J231" s="1078" t="str">
        <f t="shared" si="1"/>
        <v>B</v>
      </c>
      <c r="K231" s="1036"/>
      <c r="L231" s="1036"/>
      <c r="M231" s="1036"/>
      <c r="N231" s="1036"/>
      <c r="O231" s="1036"/>
      <c r="P231" s="1036"/>
      <c r="Q231" s="1036"/>
      <c r="R231" s="1036"/>
      <c r="S231" s="1036"/>
      <c r="T231" s="1036"/>
      <c r="U231" s="1036"/>
      <c r="V231" s="1036"/>
      <c r="W231" s="1036"/>
      <c r="X231" s="1036"/>
      <c r="Y231" s="1036"/>
      <c r="Z231" s="1036"/>
    </row>
    <row r="232" spans="1:26" ht="25.5">
      <c r="A232" s="1072" t="s">
        <v>14803</v>
      </c>
      <c r="B232" s="1073" t="s">
        <v>14472</v>
      </c>
      <c r="C232" s="1073" t="s">
        <v>14804</v>
      </c>
      <c r="D232" s="1074" t="s">
        <v>409</v>
      </c>
      <c r="E232" s="1075">
        <v>52.28</v>
      </c>
      <c r="F232" s="1076">
        <v>151.22999999999999</v>
      </c>
      <c r="G232" s="1076">
        <v>7906.3</v>
      </c>
      <c r="H232" s="1077">
        <f t="shared" si="0"/>
        <v>5.3699776082739847E-4</v>
      </c>
      <c r="I232" s="1078">
        <f t="shared" si="2"/>
        <v>0.87564694364263618</v>
      </c>
      <c r="J232" s="1078" t="str">
        <f t="shared" si="1"/>
        <v>B</v>
      </c>
      <c r="K232" s="1036"/>
      <c r="L232" s="1036"/>
      <c r="M232" s="1036"/>
      <c r="N232" s="1036"/>
      <c r="O232" s="1036"/>
      <c r="P232" s="1036"/>
      <c r="Q232" s="1036"/>
      <c r="R232" s="1036"/>
      <c r="S232" s="1036"/>
      <c r="T232" s="1036"/>
      <c r="U232" s="1036"/>
      <c r="V232" s="1036"/>
      <c r="W232" s="1036"/>
      <c r="X232" s="1036"/>
      <c r="Y232" s="1036"/>
      <c r="Z232" s="1036"/>
    </row>
    <row r="233" spans="1:26" ht="38.25">
      <c r="A233" s="1072">
        <v>89512</v>
      </c>
      <c r="B233" s="1073" t="s">
        <v>14476</v>
      </c>
      <c r="C233" s="1073" t="s">
        <v>8434</v>
      </c>
      <c r="D233" s="1074" t="s">
        <v>50</v>
      </c>
      <c r="E233" s="1075">
        <v>138</v>
      </c>
      <c r="F233" s="1076">
        <v>57.21</v>
      </c>
      <c r="G233" s="1076">
        <v>7894.98</v>
      </c>
      <c r="H233" s="1077">
        <f t="shared" si="0"/>
        <v>5.3622890375739523E-4</v>
      </c>
      <c r="I233" s="1078">
        <f t="shared" si="2"/>
        <v>0.87618317254639355</v>
      </c>
      <c r="J233" s="1078" t="str">
        <f t="shared" si="1"/>
        <v>B</v>
      </c>
      <c r="K233" s="1036"/>
      <c r="L233" s="1036"/>
      <c r="M233" s="1036"/>
      <c r="N233" s="1036"/>
      <c r="O233" s="1036"/>
      <c r="P233" s="1036"/>
      <c r="Q233" s="1036"/>
      <c r="R233" s="1036"/>
      <c r="S233" s="1036"/>
      <c r="T233" s="1036"/>
      <c r="U233" s="1036"/>
      <c r="V233" s="1036"/>
      <c r="W233" s="1036"/>
      <c r="X233" s="1036"/>
      <c r="Y233" s="1036"/>
      <c r="Z233" s="1036"/>
    </row>
    <row r="234" spans="1:26" ht="25.5">
      <c r="A234" s="1072">
        <v>93358</v>
      </c>
      <c r="B234" s="1073" t="s">
        <v>14476</v>
      </c>
      <c r="C234" s="1073" t="s">
        <v>10648</v>
      </c>
      <c r="D234" s="1074" t="s">
        <v>152</v>
      </c>
      <c r="E234" s="1075">
        <v>78.099999999999994</v>
      </c>
      <c r="F234" s="1076">
        <v>100.47</v>
      </c>
      <c r="G234" s="1076">
        <v>7846.7</v>
      </c>
      <c r="H234" s="1077">
        <f t="shared" si="0"/>
        <v>5.3294971476978449E-4</v>
      </c>
      <c r="I234" s="1078">
        <f t="shared" si="2"/>
        <v>0.87671612226116336</v>
      </c>
      <c r="J234" s="1078" t="str">
        <f t="shared" si="1"/>
        <v>B</v>
      </c>
      <c r="K234" s="1036"/>
      <c r="L234" s="1036"/>
      <c r="M234" s="1036"/>
      <c r="N234" s="1036"/>
      <c r="O234" s="1036"/>
      <c r="P234" s="1036"/>
      <c r="Q234" s="1036"/>
      <c r="R234" s="1036"/>
      <c r="S234" s="1036"/>
      <c r="T234" s="1036"/>
      <c r="U234" s="1036"/>
      <c r="V234" s="1036"/>
      <c r="W234" s="1036"/>
      <c r="X234" s="1036"/>
      <c r="Y234" s="1036"/>
      <c r="Z234" s="1036"/>
    </row>
    <row r="235" spans="1:26" ht="25.5">
      <c r="A235" s="1072">
        <v>93358</v>
      </c>
      <c r="B235" s="1073" t="s">
        <v>14476</v>
      </c>
      <c r="C235" s="1073" t="s">
        <v>10648</v>
      </c>
      <c r="D235" s="1074" t="s">
        <v>152</v>
      </c>
      <c r="E235" s="1075">
        <v>78</v>
      </c>
      <c r="F235" s="1076">
        <v>100.47</v>
      </c>
      <c r="G235" s="1076">
        <v>7836.66</v>
      </c>
      <c r="H235" s="1077">
        <f t="shared" si="0"/>
        <v>5.3226779560168979E-4</v>
      </c>
      <c r="I235" s="1078">
        <f t="shared" si="2"/>
        <v>0.87724839005676503</v>
      </c>
      <c r="J235" s="1078" t="str">
        <f t="shared" si="1"/>
        <v>B</v>
      </c>
      <c r="K235" s="1036"/>
      <c r="L235" s="1036"/>
      <c r="M235" s="1036"/>
      <c r="N235" s="1036"/>
      <c r="O235" s="1036"/>
      <c r="P235" s="1036"/>
      <c r="Q235" s="1036"/>
      <c r="R235" s="1036"/>
      <c r="S235" s="1036"/>
      <c r="T235" s="1036"/>
      <c r="U235" s="1036"/>
      <c r="V235" s="1036"/>
      <c r="W235" s="1036"/>
      <c r="X235" s="1036"/>
      <c r="Y235" s="1036"/>
      <c r="Z235" s="1036"/>
    </row>
    <row r="236" spans="1:26" ht="25.5">
      <c r="A236" s="1072" t="s">
        <v>15095</v>
      </c>
      <c r="B236" s="1073" t="s">
        <v>14472</v>
      </c>
      <c r="C236" s="1073" t="s">
        <v>15096</v>
      </c>
      <c r="D236" s="1074" t="s">
        <v>6</v>
      </c>
      <c r="E236" s="1075">
        <v>248</v>
      </c>
      <c r="F236" s="1076">
        <v>30.41</v>
      </c>
      <c r="G236" s="1076">
        <v>7541.68</v>
      </c>
      <c r="H236" s="1077">
        <f t="shared" si="0"/>
        <v>5.1223268442593557E-4</v>
      </c>
      <c r="I236" s="1078">
        <f t="shared" si="2"/>
        <v>0.87776062274119093</v>
      </c>
      <c r="J236" s="1078" t="str">
        <f t="shared" si="1"/>
        <v>B</v>
      </c>
      <c r="K236" s="1036"/>
      <c r="L236" s="1036"/>
      <c r="M236" s="1036"/>
      <c r="N236" s="1036"/>
      <c r="O236" s="1036"/>
      <c r="P236" s="1036"/>
      <c r="Q236" s="1036"/>
      <c r="R236" s="1036"/>
      <c r="S236" s="1036"/>
      <c r="T236" s="1036"/>
      <c r="U236" s="1036"/>
      <c r="V236" s="1036"/>
      <c r="W236" s="1036"/>
      <c r="X236" s="1036"/>
      <c r="Y236" s="1036"/>
      <c r="Z236" s="1036"/>
    </row>
    <row r="237" spans="1:26" ht="25.5">
      <c r="A237" s="1072">
        <v>93358</v>
      </c>
      <c r="B237" s="1073" t="s">
        <v>14476</v>
      </c>
      <c r="C237" s="1073" t="s">
        <v>10648</v>
      </c>
      <c r="D237" s="1074" t="s">
        <v>152</v>
      </c>
      <c r="E237" s="1075">
        <v>74.5</v>
      </c>
      <c r="F237" s="1076">
        <v>100.47</v>
      </c>
      <c r="G237" s="1076">
        <v>7485.01</v>
      </c>
      <c r="H237" s="1077">
        <f t="shared" si="0"/>
        <v>5.0838364465940903E-4</v>
      </c>
      <c r="I237" s="1078">
        <f t="shared" si="2"/>
        <v>0.87826900638585037</v>
      </c>
      <c r="J237" s="1078" t="str">
        <f t="shared" si="1"/>
        <v>B</v>
      </c>
      <c r="K237" s="1036"/>
      <c r="L237" s="1036"/>
      <c r="M237" s="1036"/>
      <c r="N237" s="1036"/>
      <c r="O237" s="1036"/>
      <c r="P237" s="1036"/>
      <c r="Q237" s="1036"/>
      <c r="R237" s="1036"/>
      <c r="S237" s="1036"/>
      <c r="T237" s="1036"/>
      <c r="U237" s="1036"/>
      <c r="V237" s="1036"/>
      <c r="W237" s="1036"/>
      <c r="X237" s="1036"/>
      <c r="Y237" s="1036"/>
      <c r="Z237" s="1036"/>
    </row>
    <row r="238" spans="1:26" ht="38.25">
      <c r="A238" s="1072">
        <v>91926</v>
      </c>
      <c r="B238" s="1073" t="s">
        <v>14476</v>
      </c>
      <c r="C238" s="1073" t="s">
        <v>7853</v>
      </c>
      <c r="D238" s="1074" t="s">
        <v>50</v>
      </c>
      <c r="E238" s="1075">
        <v>1345</v>
      </c>
      <c r="F238" s="1076">
        <v>5.53</v>
      </c>
      <c r="G238" s="1076">
        <v>7437.85</v>
      </c>
      <c r="H238" s="1077">
        <f t="shared" si="0"/>
        <v>5.0518052633596823E-4</v>
      </c>
      <c r="I238" s="1078">
        <f t="shared" si="2"/>
        <v>0.87877418691218634</v>
      </c>
      <c r="J238" s="1078" t="str">
        <f t="shared" si="1"/>
        <v>B</v>
      </c>
      <c r="K238" s="1036"/>
      <c r="L238" s="1036"/>
      <c r="M238" s="1036"/>
      <c r="N238" s="1036"/>
      <c r="O238" s="1036"/>
      <c r="P238" s="1036"/>
      <c r="Q238" s="1036"/>
      <c r="R238" s="1036"/>
      <c r="S238" s="1036"/>
      <c r="T238" s="1036"/>
      <c r="U238" s="1036"/>
      <c r="V238" s="1036"/>
      <c r="W238" s="1036"/>
      <c r="X238" s="1036"/>
      <c r="Y238" s="1036"/>
      <c r="Z238" s="1036"/>
    </row>
    <row r="239" spans="1:26" ht="51">
      <c r="A239" s="1072">
        <v>102043</v>
      </c>
      <c r="B239" s="1073" t="s">
        <v>14476</v>
      </c>
      <c r="C239" s="1073" t="s">
        <v>7363</v>
      </c>
      <c r="D239" s="1074" t="s">
        <v>409</v>
      </c>
      <c r="E239" s="1075">
        <v>20.73</v>
      </c>
      <c r="F239" s="1076">
        <v>357.93</v>
      </c>
      <c r="G239" s="1076">
        <v>7419.88</v>
      </c>
      <c r="H239" s="1077">
        <f t="shared" si="0"/>
        <v>5.0395999969745611E-4</v>
      </c>
      <c r="I239" s="1078">
        <f t="shared" si="2"/>
        <v>0.87927814691188377</v>
      </c>
      <c r="J239" s="1078" t="str">
        <f t="shared" si="1"/>
        <v>B</v>
      </c>
      <c r="K239" s="1036"/>
      <c r="L239" s="1036"/>
      <c r="M239" s="1036"/>
      <c r="N239" s="1036"/>
      <c r="O239" s="1036"/>
      <c r="P239" s="1036"/>
      <c r="Q239" s="1036"/>
      <c r="R239" s="1036"/>
      <c r="S239" s="1036"/>
      <c r="T239" s="1036"/>
      <c r="U239" s="1036"/>
      <c r="V239" s="1036"/>
      <c r="W239" s="1036"/>
      <c r="X239" s="1036"/>
      <c r="Y239" s="1036"/>
      <c r="Z239" s="1036"/>
    </row>
    <row r="240" spans="1:26" ht="51">
      <c r="A240" s="1072">
        <v>94995</v>
      </c>
      <c r="B240" s="1073" t="s">
        <v>14476</v>
      </c>
      <c r="C240" s="1073" t="s">
        <v>11200</v>
      </c>
      <c r="D240" s="1074" t="s">
        <v>409</v>
      </c>
      <c r="E240" s="1075">
        <v>52.79</v>
      </c>
      <c r="F240" s="1076">
        <v>139.91999999999999</v>
      </c>
      <c r="G240" s="1076">
        <v>7386.37</v>
      </c>
      <c r="H240" s="1077">
        <f t="shared" si="0"/>
        <v>5.0168399259358626E-4</v>
      </c>
      <c r="I240" s="1078">
        <f t="shared" si="2"/>
        <v>0.87977983090447731</v>
      </c>
      <c r="J240" s="1078" t="str">
        <f t="shared" si="1"/>
        <v>B</v>
      </c>
      <c r="K240" s="1036"/>
      <c r="L240" s="1036"/>
      <c r="M240" s="1036"/>
      <c r="N240" s="1036"/>
      <c r="O240" s="1036"/>
      <c r="P240" s="1036"/>
      <c r="Q240" s="1036"/>
      <c r="R240" s="1036"/>
      <c r="S240" s="1036"/>
      <c r="T240" s="1036"/>
      <c r="U240" s="1036"/>
      <c r="V240" s="1036"/>
      <c r="W240" s="1036"/>
      <c r="X240" s="1036"/>
      <c r="Y240" s="1036"/>
      <c r="Z240" s="1036"/>
    </row>
    <row r="241" spans="1:26" ht="14.25">
      <c r="A241" s="1072" t="s">
        <v>14763</v>
      </c>
      <c r="B241" s="1073" t="s">
        <v>14472</v>
      </c>
      <c r="C241" s="1073" t="s">
        <v>15965</v>
      </c>
      <c r="D241" s="1074" t="s">
        <v>409</v>
      </c>
      <c r="E241" s="1075">
        <v>74.739999999999995</v>
      </c>
      <c r="F241" s="1076">
        <v>98.31</v>
      </c>
      <c r="G241" s="1076">
        <v>7347.68</v>
      </c>
      <c r="H241" s="1077">
        <f t="shared" si="0"/>
        <v>4.9905615866793047E-4</v>
      </c>
      <c r="I241" s="1078">
        <f t="shared" si="2"/>
        <v>0.88027888706314528</v>
      </c>
      <c r="J241" s="1078" t="str">
        <f t="shared" si="1"/>
        <v>B</v>
      </c>
      <c r="K241" s="1036"/>
      <c r="L241" s="1036"/>
      <c r="M241" s="1036"/>
      <c r="N241" s="1036"/>
      <c r="O241" s="1036"/>
      <c r="P241" s="1036"/>
      <c r="Q241" s="1036"/>
      <c r="R241" s="1036"/>
      <c r="S241" s="1036"/>
      <c r="T241" s="1036"/>
      <c r="U241" s="1036"/>
      <c r="V241" s="1036"/>
      <c r="W241" s="1036"/>
      <c r="X241" s="1036"/>
      <c r="Y241" s="1036"/>
      <c r="Z241" s="1036"/>
    </row>
    <row r="242" spans="1:26" ht="38.25">
      <c r="A242" s="1072">
        <v>96558</v>
      </c>
      <c r="B242" s="1073" t="s">
        <v>14476</v>
      </c>
      <c r="C242" s="1073" t="s">
        <v>7548</v>
      </c>
      <c r="D242" s="1074" t="s">
        <v>152</v>
      </c>
      <c r="E242" s="1075">
        <v>5.82</v>
      </c>
      <c r="F242" s="1076">
        <v>1262.0999999999999</v>
      </c>
      <c r="G242" s="1076">
        <v>7345.42</v>
      </c>
      <c r="H242" s="1077">
        <f t="shared" si="0"/>
        <v>4.9890265893487331E-4</v>
      </c>
      <c r="I242" s="1078">
        <f t="shared" si="2"/>
        <v>0.8807777897220801</v>
      </c>
      <c r="J242" s="1078" t="str">
        <f t="shared" si="1"/>
        <v>B</v>
      </c>
      <c r="K242" s="1036"/>
      <c r="L242" s="1036"/>
      <c r="M242" s="1036"/>
      <c r="N242" s="1036"/>
      <c r="O242" s="1036"/>
      <c r="P242" s="1036"/>
      <c r="Q242" s="1036"/>
      <c r="R242" s="1036"/>
      <c r="S242" s="1036"/>
      <c r="T242" s="1036"/>
      <c r="U242" s="1036"/>
      <c r="V242" s="1036"/>
      <c r="W242" s="1036"/>
      <c r="X242" s="1036"/>
      <c r="Y242" s="1036"/>
      <c r="Z242" s="1036"/>
    </row>
    <row r="243" spans="1:26" ht="25.5">
      <c r="A243" s="1072" t="s">
        <v>14808</v>
      </c>
      <c r="B243" s="1073" t="s">
        <v>14472</v>
      </c>
      <c r="C243" s="1073" t="s">
        <v>14809</v>
      </c>
      <c r="D243" s="1074" t="s">
        <v>6</v>
      </c>
      <c r="E243" s="1075">
        <v>6</v>
      </c>
      <c r="F243" s="1076">
        <v>1220.8499999999999</v>
      </c>
      <c r="G243" s="1076">
        <v>7325.1</v>
      </c>
      <c r="H243" s="1077">
        <f t="shared" si="0"/>
        <v>4.9752251974207612E-4</v>
      </c>
      <c r="I243" s="1078">
        <f t="shared" si="2"/>
        <v>0.88127531224182221</v>
      </c>
      <c r="J243" s="1078" t="str">
        <f t="shared" si="1"/>
        <v>B</v>
      </c>
      <c r="K243" s="1036"/>
      <c r="L243" s="1036"/>
      <c r="M243" s="1036"/>
      <c r="N243" s="1036"/>
      <c r="O243" s="1036"/>
      <c r="P243" s="1036"/>
      <c r="Q243" s="1036"/>
      <c r="R243" s="1036"/>
      <c r="S243" s="1036"/>
      <c r="T243" s="1036"/>
      <c r="U243" s="1036"/>
      <c r="V243" s="1036"/>
      <c r="W243" s="1036"/>
      <c r="X243" s="1036"/>
      <c r="Y243" s="1036"/>
      <c r="Z243" s="1036"/>
    </row>
    <row r="244" spans="1:26" ht="51">
      <c r="A244" s="1072">
        <v>92468</v>
      </c>
      <c r="B244" s="1073" t="s">
        <v>14476</v>
      </c>
      <c r="C244" s="1073" t="s">
        <v>7251</v>
      </c>
      <c r="D244" s="1074" t="s">
        <v>409</v>
      </c>
      <c r="E244" s="1075">
        <v>41.69</v>
      </c>
      <c r="F244" s="1076">
        <v>174.35</v>
      </c>
      <c r="G244" s="1076">
        <v>7268.65</v>
      </c>
      <c r="H244" s="1077">
        <f t="shared" si="0"/>
        <v>4.9368842242744008E-4</v>
      </c>
      <c r="I244" s="1078">
        <f t="shared" si="2"/>
        <v>0.88176900066424968</v>
      </c>
      <c r="J244" s="1078" t="str">
        <f t="shared" si="1"/>
        <v>B</v>
      </c>
      <c r="K244" s="1036"/>
      <c r="L244" s="1036"/>
      <c r="M244" s="1036"/>
      <c r="N244" s="1036"/>
      <c r="O244" s="1036"/>
      <c r="P244" s="1036"/>
      <c r="Q244" s="1036"/>
      <c r="R244" s="1036"/>
      <c r="S244" s="1036"/>
      <c r="T244" s="1036"/>
      <c r="U244" s="1036"/>
      <c r="V244" s="1036"/>
      <c r="W244" s="1036"/>
      <c r="X244" s="1036"/>
      <c r="Y244" s="1036"/>
      <c r="Z244" s="1036"/>
    </row>
    <row r="245" spans="1:26" ht="51">
      <c r="A245" s="1072">
        <v>98575</v>
      </c>
      <c r="B245" s="1073" t="s">
        <v>14476</v>
      </c>
      <c r="C245" s="1073" t="s">
        <v>7603</v>
      </c>
      <c r="D245" s="1074" t="s">
        <v>50</v>
      </c>
      <c r="E245" s="1075">
        <v>85</v>
      </c>
      <c r="F245" s="1076">
        <v>85.05</v>
      </c>
      <c r="G245" s="1076">
        <v>7229.25</v>
      </c>
      <c r="H245" s="1077">
        <f t="shared" si="0"/>
        <v>4.9101236513431946E-4</v>
      </c>
      <c r="I245" s="1078">
        <f t="shared" si="2"/>
        <v>0.88226001302938395</v>
      </c>
      <c r="J245" s="1078" t="str">
        <f t="shared" si="1"/>
        <v>B</v>
      </c>
      <c r="K245" s="1036"/>
      <c r="L245" s="1036"/>
      <c r="M245" s="1036"/>
      <c r="N245" s="1036"/>
      <c r="O245" s="1036"/>
      <c r="P245" s="1036"/>
      <c r="Q245" s="1036"/>
      <c r="R245" s="1036"/>
      <c r="S245" s="1036"/>
      <c r="T245" s="1036"/>
      <c r="U245" s="1036"/>
      <c r="V245" s="1036"/>
      <c r="W245" s="1036"/>
      <c r="X245" s="1036"/>
      <c r="Y245" s="1036"/>
      <c r="Z245" s="1036"/>
    </row>
    <row r="246" spans="1:26" ht="51">
      <c r="A246" s="1072">
        <v>92431</v>
      </c>
      <c r="B246" s="1073" t="s">
        <v>14476</v>
      </c>
      <c r="C246" s="1073" t="s">
        <v>7221</v>
      </c>
      <c r="D246" s="1074" t="s">
        <v>409</v>
      </c>
      <c r="E246" s="1075">
        <v>78.39</v>
      </c>
      <c r="F246" s="1076">
        <v>91.75</v>
      </c>
      <c r="G246" s="1076">
        <v>7192.28</v>
      </c>
      <c r="H246" s="1077">
        <f t="shared" si="0"/>
        <v>4.8850135401435322E-4</v>
      </c>
      <c r="I246" s="1078">
        <f t="shared" si="2"/>
        <v>0.8827485143833983</v>
      </c>
      <c r="J246" s="1078" t="str">
        <f t="shared" si="1"/>
        <v>B</v>
      </c>
      <c r="K246" s="1036"/>
      <c r="L246" s="1036"/>
      <c r="M246" s="1036"/>
      <c r="N246" s="1036"/>
      <c r="O246" s="1036"/>
      <c r="P246" s="1036"/>
      <c r="Q246" s="1036"/>
      <c r="R246" s="1036"/>
      <c r="S246" s="1036"/>
      <c r="T246" s="1036"/>
      <c r="U246" s="1036"/>
      <c r="V246" s="1036"/>
      <c r="W246" s="1036"/>
      <c r="X246" s="1036"/>
      <c r="Y246" s="1036"/>
      <c r="Z246" s="1036"/>
    </row>
    <row r="247" spans="1:26" ht="25.5">
      <c r="A247" s="1072" t="s">
        <v>15298</v>
      </c>
      <c r="B247" s="1073" t="s">
        <v>14472</v>
      </c>
      <c r="C247" s="1073" t="s">
        <v>15333</v>
      </c>
      <c r="D247" s="1074" t="s">
        <v>6</v>
      </c>
      <c r="E247" s="1075">
        <v>21</v>
      </c>
      <c r="F247" s="1076">
        <v>342.37</v>
      </c>
      <c r="G247" s="1076">
        <v>7189.77</v>
      </c>
      <c r="H247" s="1077">
        <f t="shared" si="0"/>
        <v>4.8833087422232965E-4</v>
      </c>
      <c r="I247" s="1078">
        <f t="shared" si="2"/>
        <v>0.88323684525762058</v>
      </c>
      <c r="J247" s="1078" t="str">
        <f t="shared" si="1"/>
        <v>B</v>
      </c>
      <c r="K247" s="1036"/>
      <c r="L247" s="1036"/>
      <c r="M247" s="1036"/>
      <c r="N247" s="1036"/>
      <c r="O247" s="1036"/>
      <c r="P247" s="1036"/>
      <c r="Q247" s="1036"/>
      <c r="R247" s="1036"/>
      <c r="S247" s="1036"/>
      <c r="T247" s="1036"/>
      <c r="U247" s="1036"/>
      <c r="V247" s="1036"/>
      <c r="W247" s="1036"/>
      <c r="X247" s="1036"/>
      <c r="Y247" s="1036"/>
      <c r="Z247" s="1036"/>
    </row>
    <row r="248" spans="1:26" ht="38.25">
      <c r="A248" s="1072">
        <v>96536</v>
      </c>
      <c r="B248" s="1073" t="s">
        <v>14476</v>
      </c>
      <c r="C248" s="1073" t="s">
        <v>7302</v>
      </c>
      <c r="D248" s="1074" t="s">
        <v>409</v>
      </c>
      <c r="E248" s="1075">
        <v>78.569999999999993</v>
      </c>
      <c r="F248" s="1076">
        <v>89.68</v>
      </c>
      <c r="G248" s="1076">
        <v>7046.15</v>
      </c>
      <c r="H248" s="1077">
        <f t="shared" si="0"/>
        <v>4.7857616994725384E-4</v>
      </c>
      <c r="I248" s="1078">
        <f t="shared" si="2"/>
        <v>0.88371542142756787</v>
      </c>
      <c r="J248" s="1078" t="str">
        <f t="shared" si="1"/>
        <v>B</v>
      </c>
      <c r="K248" s="1036"/>
      <c r="L248" s="1036"/>
      <c r="M248" s="1036"/>
      <c r="N248" s="1036"/>
      <c r="O248" s="1036"/>
      <c r="P248" s="1036"/>
      <c r="Q248" s="1036"/>
      <c r="R248" s="1036"/>
      <c r="S248" s="1036"/>
      <c r="T248" s="1036"/>
      <c r="U248" s="1036"/>
      <c r="V248" s="1036"/>
      <c r="W248" s="1036"/>
      <c r="X248" s="1036"/>
      <c r="Y248" s="1036"/>
      <c r="Z248" s="1036"/>
    </row>
    <row r="249" spans="1:26" ht="25.5">
      <c r="A249" s="1072">
        <v>89993</v>
      </c>
      <c r="B249" s="1073" t="s">
        <v>14476</v>
      </c>
      <c r="C249" s="1073" t="s">
        <v>7520</v>
      </c>
      <c r="D249" s="1074" t="s">
        <v>152</v>
      </c>
      <c r="E249" s="1075">
        <v>5.12</v>
      </c>
      <c r="F249" s="1076">
        <v>1355.43</v>
      </c>
      <c r="G249" s="1076">
        <v>6939.8</v>
      </c>
      <c r="H249" s="1077">
        <f t="shared" si="0"/>
        <v>4.7135285286290424E-4</v>
      </c>
      <c r="I249" s="1078">
        <f t="shared" si="2"/>
        <v>0.8841867742804308</v>
      </c>
      <c r="J249" s="1078" t="str">
        <f t="shared" si="1"/>
        <v>B</v>
      </c>
      <c r="K249" s="1036"/>
      <c r="L249" s="1036"/>
      <c r="M249" s="1036"/>
      <c r="N249" s="1036"/>
      <c r="O249" s="1036"/>
      <c r="P249" s="1036"/>
      <c r="Q249" s="1036"/>
      <c r="R249" s="1036"/>
      <c r="S249" s="1036"/>
      <c r="T249" s="1036"/>
      <c r="U249" s="1036"/>
      <c r="V249" s="1036"/>
      <c r="W249" s="1036"/>
      <c r="X249" s="1036"/>
      <c r="Y249" s="1036"/>
      <c r="Z249" s="1036"/>
    </row>
    <row r="250" spans="1:26" ht="38.25">
      <c r="A250" s="1072" t="s">
        <v>14737</v>
      </c>
      <c r="B250" s="1073" t="s">
        <v>14472</v>
      </c>
      <c r="C250" s="1073" t="s">
        <v>14738</v>
      </c>
      <c r="D250" s="1074" t="s">
        <v>409</v>
      </c>
      <c r="E250" s="1075">
        <v>40.78</v>
      </c>
      <c r="F250" s="1076">
        <v>167.61</v>
      </c>
      <c r="G250" s="1076">
        <v>6835.13</v>
      </c>
      <c r="H250" s="1077">
        <f t="shared" si="0"/>
        <v>4.6424364177480944E-4</v>
      </c>
      <c r="I250" s="1078">
        <f t="shared" si="2"/>
        <v>0.88465101792220557</v>
      </c>
      <c r="J250" s="1078" t="str">
        <f t="shared" si="1"/>
        <v>B</v>
      </c>
      <c r="K250" s="1036"/>
      <c r="L250" s="1036"/>
      <c r="M250" s="1036"/>
      <c r="N250" s="1036"/>
      <c r="O250" s="1036"/>
      <c r="P250" s="1036"/>
      <c r="Q250" s="1036"/>
      <c r="R250" s="1036"/>
      <c r="S250" s="1036"/>
      <c r="T250" s="1036"/>
      <c r="U250" s="1036"/>
      <c r="V250" s="1036"/>
      <c r="W250" s="1036"/>
      <c r="X250" s="1036"/>
      <c r="Y250" s="1036"/>
      <c r="Z250" s="1036"/>
    </row>
    <row r="251" spans="1:26" ht="25.5">
      <c r="A251" s="1072" t="s">
        <v>15045</v>
      </c>
      <c r="B251" s="1073" t="s">
        <v>14472</v>
      </c>
      <c r="C251" s="1073" t="s">
        <v>15046</v>
      </c>
      <c r="D251" s="1074" t="s">
        <v>6</v>
      </c>
      <c r="E251" s="1075">
        <v>8</v>
      </c>
      <c r="F251" s="1076">
        <v>849.53</v>
      </c>
      <c r="G251" s="1076">
        <v>6796.24</v>
      </c>
      <c r="H251" s="1077">
        <f t="shared" si="0"/>
        <v>4.6160222380198045E-4</v>
      </c>
      <c r="I251" s="1078">
        <f t="shared" si="2"/>
        <v>0.88511262014600756</v>
      </c>
      <c r="J251" s="1078" t="str">
        <f t="shared" si="1"/>
        <v>B</v>
      </c>
      <c r="K251" s="1036"/>
      <c r="L251" s="1036"/>
      <c r="M251" s="1036"/>
      <c r="N251" s="1036"/>
      <c r="O251" s="1036"/>
      <c r="P251" s="1036"/>
      <c r="Q251" s="1036"/>
      <c r="R251" s="1036"/>
      <c r="S251" s="1036"/>
      <c r="T251" s="1036"/>
      <c r="U251" s="1036"/>
      <c r="V251" s="1036"/>
      <c r="W251" s="1036"/>
      <c r="X251" s="1036"/>
      <c r="Y251" s="1036"/>
      <c r="Z251" s="1036"/>
    </row>
    <row r="252" spans="1:26" ht="25.5">
      <c r="A252" s="1072" t="s">
        <v>15045</v>
      </c>
      <c r="B252" s="1073" t="s">
        <v>14472</v>
      </c>
      <c r="C252" s="1073" t="s">
        <v>15046</v>
      </c>
      <c r="D252" s="1074" t="s">
        <v>6</v>
      </c>
      <c r="E252" s="1075">
        <v>8</v>
      </c>
      <c r="F252" s="1076">
        <v>849.53</v>
      </c>
      <c r="G252" s="1076">
        <v>6796.24</v>
      </c>
      <c r="H252" s="1077">
        <f t="shared" si="0"/>
        <v>4.6160222380198045E-4</v>
      </c>
      <c r="I252" s="1078">
        <f t="shared" si="2"/>
        <v>0.88557422236980954</v>
      </c>
      <c r="J252" s="1078" t="str">
        <f t="shared" si="1"/>
        <v>B</v>
      </c>
      <c r="K252" s="1036"/>
      <c r="L252" s="1036"/>
      <c r="M252" s="1036"/>
      <c r="N252" s="1036"/>
      <c r="O252" s="1036"/>
      <c r="P252" s="1036"/>
      <c r="Q252" s="1036"/>
      <c r="R252" s="1036"/>
      <c r="S252" s="1036"/>
      <c r="T252" s="1036"/>
      <c r="U252" s="1036"/>
      <c r="V252" s="1036"/>
      <c r="W252" s="1036"/>
      <c r="X252" s="1036"/>
      <c r="Y252" s="1036"/>
      <c r="Z252" s="1036"/>
    </row>
    <row r="253" spans="1:26" ht="51">
      <c r="A253" s="1072">
        <v>96557</v>
      </c>
      <c r="B253" s="1073" t="s">
        <v>14476</v>
      </c>
      <c r="C253" s="1073" t="s">
        <v>7547</v>
      </c>
      <c r="D253" s="1074" t="s">
        <v>152</v>
      </c>
      <c r="E253" s="1075">
        <v>5.56</v>
      </c>
      <c r="F253" s="1076">
        <v>1215.1300000000001</v>
      </c>
      <c r="G253" s="1076">
        <v>6756.12</v>
      </c>
      <c r="H253" s="1077">
        <f t="shared" si="0"/>
        <v>4.5887726393903632E-4</v>
      </c>
      <c r="I253" s="1078">
        <f t="shared" si="2"/>
        <v>0.88603309963374854</v>
      </c>
      <c r="J253" s="1078" t="str">
        <f t="shared" si="1"/>
        <v>B</v>
      </c>
      <c r="K253" s="1036"/>
      <c r="L253" s="1036"/>
      <c r="M253" s="1036"/>
      <c r="N253" s="1036"/>
      <c r="O253" s="1036"/>
      <c r="P253" s="1036"/>
      <c r="Q253" s="1036"/>
      <c r="R253" s="1036"/>
      <c r="S253" s="1036"/>
      <c r="T253" s="1036"/>
      <c r="U253" s="1036"/>
      <c r="V253" s="1036"/>
      <c r="W253" s="1036"/>
      <c r="X253" s="1036"/>
      <c r="Y253" s="1036"/>
      <c r="Z253" s="1036"/>
    </row>
    <row r="254" spans="1:26" ht="25.5">
      <c r="A254" s="1072">
        <v>93358</v>
      </c>
      <c r="B254" s="1073" t="s">
        <v>14476</v>
      </c>
      <c r="C254" s="1073" t="s">
        <v>10648</v>
      </c>
      <c r="D254" s="1074" t="s">
        <v>152</v>
      </c>
      <c r="E254" s="1075">
        <v>67.2</v>
      </c>
      <c r="F254" s="1076">
        <v>100.47</v>
      </c>
      <c r="G254" s="1076">
        <v>6751.58</v>
      </c>
      <c r="H254" s="1077">
        <f t="shared" si="0"/>
        <v>4.585689060682047E-4</v>
      </c>
      <c r="I254" s="1078">
        <f t="shared" si="2"/>
        <v>0.88649166853981676</v>
      </c>
      <c r="J254" s="1078" t="str">
        <f t="shared" si="1"/>
        <v>B</v>
      </c>
      <c r="K254" s="1036"/>
      <c r="L254" s="1036"/>
      <c r="M254" s="1036"/>
      <c r="N254" s="1036"/>
      <c r="O254" s="1036"/>
      <c r="P254" s="1036"/>
      <c r="Q254" s="1036"/>
      <c r="R254" s="1036"/>
      <c r="S254" s="1036"/>
      <c r="T254" s="1036"/>
      <c r="U254" s="1036"/>
      <c r="V254" s="1036"/>
      <c r="W254" s="1036"/>
      <c r="X254" s="1036"/>
      <c r="Y254" s="1036"/>
      <c r="Z254" s="1036"/>
    </row>
    <row r="255" spans="1:26" ht="14.25">
      <c r="A255" s="1072" t="s">
        <v>14607</v>
      </c>
      <c r="B255" s="1073" t="s">
        <v>14472</v>
      </c>
      <c r="C255" s="1073" t="s">
        <v>14608</v>
      </c>
      <c r="D255" s="1074" t="s">
        <v>409</v>
      </c>
      <c r="E255" s="1075">
        <v>164.24</v>
      </c>
      <c r="F255" s="1076">
        <v>40.85</v>
      </c>
      <c r="G255" s="1076">
        <v>6709.2</v>
      </c>
      <c r="H255" s="1077">
        <f t="shared" si="0"/>
        <v>4.5569044647220336E-4</v>
      </c>
      <c r="I255" s="1078">
        <f t="shared" si="2"/>
        <v>0.88694735898628896</v>
      </c>
      <c r="J255" s="1078" t="str">
        <f t="shared" si="1"/>
        <v>B</v>
      </c>
      <c r="K255" s="1036"/>
      <c r="L255" s="1036"/>
      <c r="M255" s="1036"/>
      <c r="N255" s="1036"/>
      <c r="O255" s="1036"/>
      <c r="P255" s="1036"/>
      <c r="Q255" s="1036"/>
      <c r="R255" s="1036"/>
      <c r="S255" s="1036"/>
      <c r="T255" s="1036"/>
      <c r="U255" s="1036"/>
      <c r="V255" s="1036"/>
      <c r="W255" s="1036"/>
      <c r="X255" s="1036"/>
      <c r="Y255" s="1036"/>
      <c r="Z255" s="1036"/>
    </row>
    <row r="256" spans="1:26" ht="25.5">
      <c r="A256" s="1072" t="s">
        <v>15438</v>
      </c>
      <c r="B256" s="1073" t="s">
        <v>14472</v>
      </c>
      <c r="C256" s="1073" t="s">
        <v>15966</v>
      </c>
      <c r="D256" s="1074" t="s">
        <v>6</v>
      </c>
      <c r="E256" s="1075">
        <v>8</v>
      </c>
      <c r="F256" s="1076">
        <v>837.57</v>
      </c>
      <c r="G256" s="1076">
        <v>6700.56</v>
      </c>
      <c r="H256" s="1077">
        <f t="shared" si="0"/>
        <v>4.5510361563432113E-4</v>
      </c>
      <c r="I256" s="1078">
        <f t="shared" si="2"/>
        <v>0.88740246260192324</v>
      </c>
      <c r="J256" s="1078" t="str">
        <f t="shared" si="1"/>
        <v>B</v>
      </c>
      <c r="K256" s="1036"/>
      <c r="L256" s="1036"/>
      <c r="M256" s="1036"/>
      <c r="N256" s="1036"/>
      <c r="O256" s="1036"/>
      <c r="P256" s="1036"/>
      <c r="Q256" s="1036"/>
      <c r="R256" s="1036"/>
      <c r="S256" s="1036"/>
      <c r="T256" s="1036"/>
      <c r="U256" s="1036"/>
      <c r="V256" s="1036"/>
      <c r="W256" s="1036"/>
      <c r="X256" s="1036"/>
      <c r="Y256" s="1036"/>
      <c r="Z256" s="1036"/>
    </row>
    <row r="257" spans="1:26" ht="51">
      <c r="A257" s="1072">
        <v>96557</v>
      </c>
      <c r="B257" s="1073" t="s">
        <v>14476</v>
      </c>
      <c r="C257" s="1073" t="s">
        <v>7547</v>
      </c>
      <c r="D257" s="1074" t="s">
        <v>152</v>
      </c>
      <c r="E257" s="1075">
        <v>5.5</v>
      </c>
      <c r="F257" s="1076">
        <v>1215.1300000000001</v>
      </c>
      <c r="G257" s="1076">
        <v>6683.21</v>
      </c>
      <c r="H257" s="1077">
        <f t="shared" si="0"/>
        <v>4.5392519954204591E-4</v>
      </c>
      <c r="I257" s="1078">
        <f t="shared" si="2"/>
        <v>0.88785638780146525</v>
      </c>
      <c r="J257" s="1078" t="str">
        <f t="shared" si="1"/>
        <v>B</v>
      </c>
      <c r="K257" s="1036"/>
      <c r="L257" s="1036"/>
      <c r="M257" s="1036"/>
      <c r="N257" s="1036"/>
      <c r="O257" s="1036"/>
      <c r="P257" s="1036"/>
      <c r="Q257" s="1036"/>
      <c r="R257" s="1036"/>
      <c r="S257" s="1036"/>
      <c r="T257" s="1036"/>
      <c r="U257" s="1036"/>
      <c r="V257" s="1036"/>
      <c r="W257" s="1036"/>
      <c r="X257" s="1036"/>
      <c r="Y257" s="1036"/>
      <c r="Z257" s="1036"/>
    </row>
    <row r="258" spans="1:26" ht="25.5">
      <c r="A258" s="1072" t="s">
        <v>15038</v>
      </c>
      <c r="B258" s="1073" t="s">
        <v>14472</v>
      </c>
      <c r="C258" s="1073" t="s">
        <v>15039</v>
      </c>
      <c r="D258" s="1074" t="s">
        <v>6</v>
      </c>
      <c r="E258" s="1075">
        <v>18</v>
      </c>
      <c r="F258" s="1076">
        <v>370.01</v>
      </c>
      <c r="G258" s="1076">
        <v>6660.18</v>
      </c>
      <c r="H258" s="1077">
        <f t="shared" si="0"/>
        <v>4.5236099651005179E-4</v>
      </c>
      <c r="I258" s="1078">
        <f t="shared" si="2"/>
        <v>0.88830874879797528</v>
      </c>
      <c r="J258" s="1078" t="str">
        <f t="shared" si="1"/>
        <v>B</v>
      </c>
      <c r="K258" s="1036"/>
      <c r="L258" s="1036"/>
      <c r="M258" s="1036"/>
      <c r="N258" s="1036"/>
      <c r="O258" s="1036"/>
      <c r="P258" s="1036"/>
      <c r="Q258" s="1036"/>
      <c r="R258" s="1036"/>
      <c r="S258" s="1036"/>
      <c r="T258" s="1036"/>
      <c r="U258" s="1036"/>
      <c r="V258" s="1036"/>
      <c r="W258" s="1036"/>
      <c r="X258" s="1036"/>
      <c r="Y258" s="1036"/>
      <c r="Z258" s="1036"/>
    </row>
    <row r="259" spans="1:26" ht="25.5">
      <c r="A259" s="1072" t="s">
        <v>15038</v>
      </c>
      <c r="B259" s="1073" t="s">
        <v>14472</v>
      </c>
      <c r="C259" s="1073" t="s">
        <v>15039</v>
      </c>
      <c r="D259" s="1074" t="s">
        <v>6</v>
      </c>
      <c r="E259" s="1075">
        <v>18</v>
      </c>
      <c r="F259" s="1076">
        <v>370.01</v>
      </c>
      <c r="G259" s="1076">
        <v>6660.18</v>
      </c>
      <c r="H259" s="1077">
        <f t="shared" si="0"/>
        <v>4.5236099651005179E-4</v>
      </c>
      <c r="I259" s="1078">
        <f t="shared" si="2"/>
        <v>0.8887611097944853</v>
      </c>
      <c r="J259" s="1078" t="str">
        <f t="shared" si="1"/>
        <v>B</v>
      </c>
      <c r="K259" s="1036"/>
      <c r="L259" s="1036"/>
      <c r="M259" s="1036"/>
      <c r="N259" s="1036"/>
      <c r="O259" s="1036"/>
      <c r="P259" s="1036"/>
      <c r="Q259" s="1036"/>
      <c r="R259" s="1036"/>
      <c r="S259" s="1036"/>
      <c r="T259" s="1036"/>
      <c r="U259" s="1036"/>
      <c r="V259" s="1036"/>
      <c r="W259" s="1036"/>
      <c r="X259" s="1036"/>
      <c r="Y259" s="1036"/>
      <c r="Z259" s="1036"/>
    </row>
    <row r="260" spans="1:26" ht="51">
      <c r="A260" s="1072">
        <v>91835</v>
      </c>
      <c r="B260" s="1073" t="s">
        <v>14476</v>
      </c>
      <c r="C260" s="1073" t="s">
        <v>7756</v>
      </c>
      <c r="D260" s="1074" t="s">
        <v>50</v>
      </c>
      <c r="E260" s="1075">
        <v>280</v>
      </c>
      <c r="F260" s="1076">
        <v>23.53</v>
      </c>
      <c r="G260" s="1076">
        <v>6588.4</v>
      </c>
      <c r="H260" s="1077">
        <f t="shared" si="0"/>
        <v>4.474856819795899E-4</v>
      </c>
      <c r="I260" s="1078">
        <f t="shared" si="2"/>
        <v>0.88920859547646491</v>
      </c>
      <c r="J260" s="1078" t="str">
        <f t="shared" si="1"/>
        <v>B</v>
      </c>
      <c r="K260" s="1036"/>
      <c r="L260" s="1036"/>
      <c r="M260" s="1036"/>
      <c r="N260" s="1036"/>
      <c r="O260" s="1036"/>
      <c r="P260" s="1036"/>
      <c r="Q260" s="1036"/>
      <c r="R260" s="1036"/>
      <c r="S260" s="1036"/>
      <c r="T260" s="1036"/>
      <c r="U260" s="1036"/>
      <c r="V260" s="1036"/>
      <c r="W260" s="1036"/>
      <c r="X260" s="1036"/>
      <c r="Y260" s="1036"/>
      <c r="Z260" s="1036"/>
    </row>
    <row r="261" spans="1:26" ht="38.25">
      <c r="A261" s="1072">
        <v>102713</v>
      </c>
      <c r="B261" s="1073" t="s">
        <v>14476</v>
      </c>
      <c r="C261" s="1073" t="s">
        <v>6478</v>
      </c>
      <c r="D261" s="1074" t="s">
        <v>409</v>
      </c>
      <c r="E261" s="1075">
        <v>382</v>
      </c>
      <c r="F261" s="1076">
        <v>16.920000000000002</v>
      </c>
      <c r="G261" s="1076">
        <v>6463.44</v>
      </c>
      <c r="H261" s="1077">
        <f t="shared" si="0"/>
        <v>4.3899836930577386E-4</v>
      </c>
      <c r="I261" s="1078">
        <f t="shared" si="2"/>
        <v>0.88964759384577063</v>
      </c>
      <c r="J261" s="1078" t="str">
        <f t="shared" si="1"/>
        <v>B</v>
      </c>
      <c r="K261" s="1036"/>
      <c r="L261" s="1036"/>
      <c r="M261" s="1036"/>
      <c r="N261" s="1036"/>
      <c r="O261" s="1036"/>
      <c r="P261" s="1036"/>
      <c r="Q261" s="1036"/>
      <c r="R261" s="1036"/>
      <c r="S261" s="1036"/>
      <c r="T261" s="1036"/>
      <c r="U261" s="1036"/>
      <c r="V261" s="1036"/>
      <c r="W261" s="1036"/>
      <c r="X261" s="1036"/>
      <c r="Y261" s="1036"/>
      <c r="Z261" s="1036"/>
    </row>
    <row r="262" spans="1:26" ht="25.5">
      <c r="A262" s="1072" t="s">
        <v>14958</v>
      </c>
      <c r="B262" s="1073" t="s">
        <v>14472</v>
      </c>
      <c r="C262" s="1073" t="s">
        <v>14959</v>
      </c>
      <c r="D262" s="1074" t="s">
        <v>409</v>
      </c>
      <c r="E262" s="1075">
        <v>7.5</v>
      </c>
      <c r="F262" s="1076">
        <v>857.62</v>
      </c>
      <c r="G262" s="1076">
        <v>6432.15</v>
      </c>
      <c r="H262" s="1077">
        <f t="shared" si="0"/>
        <v>4.3687314512552656E-4</v>
      </c>
      <c r="I262" s="1078">
        <f t="shared" si="2"/>
        <v>0.89008446699089616</v>
      </c>
      <c r="J262" s="1078" t="str">
        <f t="shared" si="1"/>
        <v>B</v>
      </c>
      <c r="K262" s="1036"/>
      <c r="L262" s="1036"/>
      <c r="M262" s="1036"/>
      <c r="N262" s="1036"/>
      <c r="O262" s="1036"/>
      <c r="P262" s="1036"/>
      <c r="Q262" s="1036"/>
      <c r="R262" s="1036"/>
      <c r="S262" s="1036"/>
      <c r="T262" s="1036"/>
      <c r="U262" s="1036"/>
      <c r="V262" s="1036"/>
      <c r="W262" s="1036"/>
      <c r="X262" s="1036"/>
      <c r="Y262" s="1036"/>
      <c r="Z262" s="1036"/>
    </row>
    <row r="263" spans="1:26" ht="25.5">
      <c r="A263" s="1072" t="s">
        <v>14958</v>
      </c>
      <c r="B263" s="1073" t="s">
        <v>14472</v>
      </c>
      <c r="C263" s="1073" t="s">
        <v>14959</v>
      </c>
      <c r="D263" s="1074" t="s">
        <v>409</v>
      </c>
      <c r="E263" s="1075">
        <v>7.5</v>
      </c>
      <c r="F263" s="1076">
        <v>857.62</v>
      </c>
      <c r="G263" s="1076">
        <v>6432.15</v>
      </c>
      <c r="H263" s="1077">
        <f t="shared" si="0"/>
        <v>4.3687314512552656E-4</v>
      </c>
      <c r="I263" s="1078">
        <f t="shared" si="2"/>
        <v>0.89052134013602169</v>
      </c>
      <c r="J263" s="1078" t="str">
        <f t="shared" si="1"/>
        <v>B</v>
      </c>
      <c r="K263" s="1036"/>
      <c r="L263" s="1036"/>
      <c r="M263" s="1036"/>
      <c r="N263" s="1036"/>
      <c r="O263" s="1036"/>
      <c r="P263" s="1036"/>
      <c r="Q263" s="1036"/>
      <c r="R263" s="1036"/>
      <c r="S263" s="1036"/>
      <c r="T263" s="1036"/>
      <c r="U263" s="1036"/>
      <c r="V263" s="1036"/>
      <c r="W263" s="1036"/>
      <c r="X263" s="1036"/>
      <c r="Y263" s="1036"/>
      <c r="Z263" s="1036"/>
    </row>
    <row r="264" spans="1:26" ht="14.25">
      <c r="A264" s="1072">
        <v>98509</v>
      </c>
      <c r="B264" s="1073" t="s">
        <v>14476</v>
      </c>
      <c r="C264" s="1073" t="s">
        <v>15961</v>
      </c>
      <c r="D264" s="1074" t="s">
        <v>6</v>
      </c>
      <c r="E264" s="1075">
        <v>63</v>
      </c>
      <c r="F264" s="1076">
        <v>101.86</v>
      </c>
      <c r="G264" s="1076">
        <v>6417.18</v>
      </c>
      <c r="H264" s="1077">
        <f t="shared" si="0"/>
        <v>4.3585637919461249E-4</v>
      </c>
      <c r="I264" s="1078">
        <f t="shared" si="2"/>
        <v>0.89095719651521632</v>
      </c>
      <c r="J264" s="1078" t="str">
        <f t="shared" si="1"/>
        <v>B</v>
      </c>
      <c r="K264" s="1036"/>
      <c r="L264" s="1036"/>
      <c r="M264" s="1036"/>
      <c r="N264" s="1036"/>
      <c r="O264" s="1036"/>
      <c r="P264" s="1036"/>
      <c r="Q264" s="1036"/>
      <c r="R264" s="1036"/>
      <c r="S264" s="1036"/>
      <c r="T264" s="1036"/>
      <c r="U264" s="1036"/>
      <c r="V264" s="1036"/>
      <c r="W264" s="1036"/>
      <c r="X264" s="1036"/>
      <c r="Y264" s="1036"/>
      <c r="Z264" s="1036"/>
    </row>
    <row r="265" spans="1:26" ht="38.25">
      <c r="A265" s="1072">
        <v>98555</v>
      </c>
      <c r="B265" s="1073" t="s">
        <v>14476</v>
      </c>
      <c r="C265" s="1073" t="s">
        <v>7733</v>
      </c>
      <c r="D265" s="1074" t="s">
        <v>409</v>
      </c>
      <c r="E265" s="1075">
        <v>174.41</v>
      </c>
      <c r="F265" s="1076">
        <v>36.58</v>
      </c>
      <c r="G265" s="1076">
        <v>6379.91</v>
      </c>
      <c r="H265" s="1077">
        <f t="shared" si="0"/>
        <v>4.3332499200388644E-4</v>
      </c>
      <c r="I265" s="1078">
        <f t="shared" si="2"/>
        <v>0.8913905215072202</v>
      </c>
      <c r="J265" s="1078" t="str">
        <f t="shared" si="1"/>
        <v>B</v>
      </c>
      <c r="K265" s="1036"/>
      <c r="L265" s="1036"/>
      <c r="M265" s="1036"/>
      <c r="N265" s="1036"/>
      <c r="O265" s="1036"/>
      <c r="P265" s="1036"/>
      <c r="Q265" s="1036"/>
      <c r="R265" s="1036"/>
      <c r="S265" s="1036"/>
      <c r="T265" s="1036"/>
      <c r="U265" s="1036"/>
      <c r="V265" s="1036"/>
      <c r="W265" s="1036"/>
      <c r="X265" s="1036"/>
      <c r="Y265" s="1036"/>
      <c r="Z265" s="1036"/>
    </row>
    <row r="266" spans="1:26" ht="25.5">
      <c r="A266" s="1072">
        <v>93358</v>
      </c>
      <c r="B266" s="1073" t="s">
        <v>14476</v>
      </c>
      <c r="C266" s="1073" t="s">
        <v>10648</v>
      </c>
      <c r="D266" s="1074" t="s">
        <v>152</v>
      </c>
      <c r="E266" s="1075">
        <v>63</v>
      </c>
      <c r="F266" s="1076">
        <v>100.47</v>
      </c>
      <c r="G266" s="1076">
        <v>6329.61</v>
      </c>
      <c r="H266" s="1077">
        <f t="shared" si="0"/>
        <v>4.2990860413982639E-4</v>
      </c>
      <c r="I266" s="1078">
        <f t="shared" si="2"/>
        <v>0.89182043011136003</v>
      </c>
      <c r="J266" s="1078" t="str">
        <f t="shared" si="1"/>
        <v>B</v>
      </c>
      <c r="K266" s="1036"/>
      <c r="L266" s="1036"/>
      <c r="M266" s="1036"/>
      <c r="N266" s="1036"/>
      <c r="O266" s="1036"/>
      <c r="P266" s="1036"/>
      <c r="Q266" s="1036"/>
      <c r="R266" s="1036"/>
      <c r="S266" s="1036"/>
      <c r="T266" s="1036"/>
      <c r="U266" s="1036"/>
      <c r="V266" s="1036"/>
      <c r="W266" s="1036"/>
      <c r="X266" s="1036"/>
      <c r="Y266" s="1036"/>
      <c r="Z266" s="1036"/>
    </row>
    <row r="267" spans="1:26" ht="51">
      <c r="A267" s="1072">
        <v>90701</v>
      </c>
      <c r="B267" s="1073" t="s">
        <v>14476</v>
      </c>
      <c r="C267" s="1073" t="s">
        <v>4996</v>
      </c>
      <c r="D267" s="1074" t="s">
        <v>50</v>
      </c>
      <c r="E267" s="1075">
        <v>80</v>
      </c>
      <c r="F267" s="1076">
        <v>79.069999999999993</v>
      </c>
      <c r="G267" s="1076">
        <v>6325.6</v>
      </c>
      <c r="H267" s="1077">
        <f t="shared" si="0"/>
        <v>4.2963624399400372E-4</v>
      </c>
      <c r="I267" s="1078">
        <f t="shared" si="2"/>
        <v>0.89225006635535409</v>
      </c>
      <c r="J267" s="1078" t="str">
        <f t="shared" si="1"/>
        <v>B</v>
      </c>
      <c r="K267" s="1036"/>
      <c r="L267" s="1036"/>
      <c r="M267" s="1036"/>
      <c r="N267" s="1036"/>
      <c r="O267" s="1036"/>
      <c r="P267" s="1036"/>
      <c r="Q267" s="1036"/>
      <c r="R267" s="1036"/>
      <c r="S267" s="1036"/>
      <c r="T267" s="1036"/>
      <c r="U267" s="1036"/>
      <c r="V267" s="1036"/>
      <c r="W267" s="1036"/>
      <c r="X267" s="1036"/>
      <c r="Y267" s="1036"/>
      <c r="Z267" s="1036"/>
    </row>
    <row r="268" spans="1:26" ht="38.25">
      <c r="A268" s="1072">
        <v>96558</v>
      </c>
      <c r="B268" s="1073" t="s">
        <v>14476</v>
      </c>
      <c r="C268" s="1073" t="s">
        <v>7548</v>
      </c>
      <c r="D268" s="1074" t="s">
        <v>152</v>
      </c>
      <c r="E268" s="1075">
        <v>4.9800000000000004</v>
      </c>
      <c r="F268" s="1076">
        <v>1262.0999999999999</v>
      </c>
      <c r="G268" s="1076">
        <v>6285.25</v>
      </c>
      <c r="H268" s="1077">
        <f t="shared" si="0"/>
        <v>4.2689566247681039E-4</v>
      </c>
      <c r="I268" s="1078">
        <f t="shared" si="2"/>
        <v>0.89267696201783087</v>
      </c>
      <c r="J268" s="1078" t="str">
        <f t="shared" si="1"/>
        <v>B</v>
      </c>
      <c r="K268" s="1036"/>
      <c r="L268" s="1036"/>
      <c r="M268" s="1036"/>
      <c r="N268" s="1036"/>
      <c r="O268" s="1036"/>
      <c r="P268" s="1036"/>
      <c r="Q268" s="1036"/>
      <c r="R268" s="1036"/>
      <c r="S268" s="1036"/>
      <c r="T268" s="1036"/>
      <c r="U268" s="1036"/>
      <c r="V268" s="1036"/>
      <c r="W268" s="1036"/>
      <c r="X268" s="1036"/>
      <c r="Y268" s="1036"/>
      <c r="Z268" s="1036"/>
    </row>
    <row r="269" spans="1:26" ht="25.5">
      <c r="A269" s="1072">
        <v>93358</v>
      </c>
      <c r="B269" s="1073" t="s">
        <v>14476</v>
      </c>
      <c r="C269" s="1073" t="s">
        <v>10648</v>
      </c>
      <c r="D269" s="1074" t="s">
        <v>152</v>
      </c>
      <c r="E269" s="1075">
        <v>62</v>
      </c>
      <c r="F269" s="1076">
        <v>100.47</v>
      </c>
      <c r="G269" s="1076">
        <v>6229.14</v>
      </c>
      <c r="H269" s="1077">
        <f t="shared" si="0"/>
        <v>4.2308465804236886E-4</v>
      </c>
      <c r="I269" s="1078">
        <f t="shared" si="2"/>
        <v>0.89310004667587328</v>
      </c>
      <c r="J269" s="1078" t="str">
        <f t="shared" si="1"/>
        <v>B</v>
      </c>
      <c r="K269" s="1036"/>
      <c r="L269" s="1036"/>
      <c r="M269" s="1036"/>
      <c r="N269" s="1036"/>
      <c r="O269" s="1036"/>
      <c r="P269" s="1036"/>
      <c r="Q269" s="1036"/>
      <c r="R269" s="1036"/>
      <c r="S269" s="1036"/>
      <c r="T269" s="1036"/>
      <c r="U269" s="1036"/>
      <c r="V269" s="1036"/>
      <c r="W269" s="1036"/>
      <c r="X269" s="1036"/>
      <c r="Y269" s="1036"/>
      <c r="Z269" s="1036"/>
    </row>
    <row r="270" spans="1:26" ht="51">
      <c r="A270" s="1072">
        <v>97906</v>
      </c>
      <c r="B270" s="1073" t="s">
        <v>14476</v>
      </c>
      <c r="C270" s="1073" t="s">
        <v>10017</v>
      </c>
      <c r="D270" s="1074" t="s">
        <v>6</v>
      </c>
      <c r="E270" s="1075">
        <v>11</v>
      </c>
      <c r="F270" s="1076">
        <v>559.72</v>
      </c>
      <c r="G270" s="1076">
        <v>6156.92</v>
      </c>
      <c r="H270" s="1077">
        <f t="shared" ref="H270:H524" si="3">G270/$I$8</f>
        <v>4.1817945860812594E-4</v>
      </c>
      <c r="I270" s="1078">
        <f t="shared" si="2"/>
        <v>0.8935182261344814</v>
      </c>
      <c r="J270" s="1078" t="str">
        <f t="shared" ref="J270:J524" si="4">IF(I270&lt;$A$10,"A",IF(I270&lt;$A$11,"B","C"))</f>
        <v>B</v>
      </c>
      <c r="K270" s="1036"/>
      <c r="L270" s="1036"/>
      <c r="M270" s="1036"/>
      <c r="N270" s="1036"/>
      <c r="O270" s="1036"/>
      <c r="P270" s="1036"/>
      <c r="Q270" s="1036"/>
      <c r="R270" s="1036"/>
      <c r="S270" s="1036"/>
      <c r="T270" s="1036"/>
      <c r="U270" s="1036"/>
      <c r="V270" s="1036"/>
      <c r="W270" s="1036"/>
      <c r="X270" s="1036"/>
      <c r="Y270" s="1036"/>
      <c r="Z270" s="1036"/>
    </row>
    <row r="271" spans="1:26" ht="51">
      <c r="A271" s="1072">
        <v>92466</v>
      </c>
      <c r="B271" s="1073" t="s">
        <v>14476</v>
      </c>
      <c r="C271" s="1073" t="s">
        <v>7249</v>
      </c>
      <c r="D271" s="1074" t="s">
        <v>409</v>
      </c>
      <c r="E271" s="1075">
        <v>15.29</v>
      </c>
      <c r="F271" s="1076">
        <v>397.87</v>
      </c>
      <c r="G271" s="1076">
        <v>6083.43</v>
      </c>
      <c r="H271" s="1077">
        <f t="shared" si="3"/>
        <v>4.1318800047433318E-4</v>
      </c>
      <c r="I271" s="1078">
        <f t="shared" ref="I271:I525" si="5">I270+H271</f>
        <v>0.89393141413495569</v>
      </c>
      <c r="J271" s="1078" t="str">
        <f t="shared" si="4"/>
        <v>B</v>
      </c>
      <c r="K271" s="1036"/>
      <c r="L271" s="1036"/>
      <c r="M271" s="1036"/>
      <c r="N271" s="1036"/>
      <c r="O271" s="1036"/>
      <c r="P271" s="1036"/>
      <c r="Q271" s="1036"/>
      <c r="R271" s="1036"/>
      <c r="S271" s="1036"/>
      <c r="T271" s="1036"/>
      <c r="U271" s="1036"/>
      <c r="V271" s="1036"/>
      <c r="W271" s="1036"/>
      <c r="X271" s="1036"/>
      <c r="Y271" s="1036"/>
      <c r="Z271" s="1036"/>
    </row>
    <row r="272" spans="1:26" ht="25.5">
      <c r="A272" s="1072">
        <v>98510</v>
      </c>
      <c r="B272" s="1073" t="s">
        <v>14476</v>
      </c>
      <c r="C272" s="1073" t="s">
        <v>12065</v>
      </c>
      <c r="D272" s="1074" t="s">
        <v>6</v>
      </c>
      <c r="E272" s="1075">
        <v>40</v>
      </c>
      <c r="F272" s="1076">
        <v>152.05000000000001</v>
      </c>
      <c r="G272" s="1076">
        <v>6082</v>
      </c>
      <c r="H272" s="1077">
        <f t="shared" si="3"/>
        <v>4.130908745370448E-4</v>
      </c>
      <c r="I272" s="1078">
        <f t="shared" si="5"/>
        <v>0.8943445050094927</v>
      </c>
      <c r="J272" s="1078" t="str">
        <f t="shared" si="4"/>
        <v>B</v>
      </c>
      <c r="K272" s="1036"/>
      <c r="L272" s="1036"/>
      <c r="M272" s="1036"/>
      <c r="N272" s="1036"/>
      <c r="O272" s="1036"/>
      <c r="P272" s="1036"/>
      <c r="Q272" s="1036"/>
      <c r="R272" s="1036"/>
      <c r="S272" s="1036"/>
      <c r="T272" s="1036"/>
      <c r="U272" s="1036"/>
      <c r="V272" s="1036"/>
      <c r="W272" s="1036"/>
      <c r="X272" s="1036"/>
      <c r="Y272" s="1036"/>
      <c r="Z272" s="1036"/>
    </row>
    <row r="273" spans="1:26" ht="38.25">
      <c r="A273" s="1072">
        <v>100859</v>
      </c>
      <c r="B273" s="1073" t="s">
        <v>14476</v>
      </c>
      <c r="C273" s="1073" t="s">
        <v>10167</v>
      </c>
      <c r="D273" s="1074" t="s">
        <v>6</v>
      </c>
      <c r="E273" s="1075">
        <v>5</v>
      </c>
      <c r="F273" s="1076">
        <v>1211.8699999999999</v>
      </c>
      <c r="G273" s="1076">
        <v>6059.35</v>
      </c>
      <c r="H273" s="1077">
        <f t="shared" si="3"/>
        <v>4.1155248119467978E-4</v>
      </c>
      <c r="I273" s="1078">
        <f t="shared" si="5"/>
        <v>0.89475605749068743</v>
      </c>
      <c r="J273" s="1078" t="str">
        <f t="shared" si="4"/>
        <v>B</v>
      </c>
      <c r="K273" s="1036"/>
      <c r="L273" s="1036"/>
      <c r="M273" s="1036"/>
      <c r="N273" s="1036"/>
      <c r="O273" s="1036"/>
      <c r="P273" s="1036"/>
      <c r="Q273" s="1036"/>
      <c r="R273" s="1036"/>
      <c r="S273" s="1036"/>
      <c r="T273" s="1036"/>
      <c r="U273" s="1036"/>
      <c r="V273" s="1036"/>
      <c r="W273" s="1036"/>
      <c r="X273" s="1036"/>
      <c r="Y273" s="1036"/>
      <c r="Z273" s="1036"/>
    </row>
    <row r="274" spans="1:26" ht="38.25">
      <c r="A274" s="1072">
        <v>100859</v>
      </c>
      <c r="B274" s="1073" t="s">
        <v>14476</v>
      </c>
      <c r="C274" s="1073" t="s">
        <v>10167</v>
      </c>
      <c r="D274" s="1074" t="s">
        <v>6</v>
      </c>
      <c r="E274" s="1075">
        <v>5</v>
      </c>
      <c r="F274" s="1076">
        <v>1211.8699999999999</v>
      </c>
      <c r="G274" s="1076">
        <v>6059.35</v>
      </c>
      <c r="H274" s="1077">
        <f t="shared" si="3"/>
        <v>4.1155248119467978E-4</v>
      </c>
      <c r="I274" s="1078">
        <f t="shared" si="5"/>
        <v>0.89516760997188216</v>
      </c>
      <c r="J274" s="1078" t="str">
        <f t="shared" si="4"/>
        <v>B</v>
      </c>
      <c r="K274" s="1036"/>
      <c r="L274" s="1036"/>
      <c r="M274" s="1036"/>
      <c r="N274" s="1036"/>
      <c r="O274" s="1036"/>
      <c r="P274" s="1036"/>
      <c r="Q274" s="1036"/>
      <c r="R274" s="1036"/>
      <c r="S274" s="1036"/>
      <c r="T274" s="1036"/>
      <c r="U274" s="1036"/>
      <c r="V274" s="1036"/>
      <c r="W274" s="1036"/>
      <c r="X274" s="1036"/>
      <c r="Y274" s="1036"/>
      <c r="Z274" s="1036"/>
    </row>
    <row r="275" spans="1:26" ht="25.5">
      <c r="A275" s="1072">
        <v>98557</v>
      </c>
      <c r="B275" s="1073" t="s">
        <v>14476</v>
      </c>
      <c r="C275" s="1073" t="s">
        <v>7741</v>
      </c>
      <c r="D275" s="1074" t="s">
        <v>409</v>
      </c>
      <c r="E275" s="1075">
        <v>112.64</v>
      </c>
      <c r="F275" s="1076">
        <v>53.38</v>
      </c>
      <c r="G275" s="1076">
        <v>6012.72</v>
      </c>
      <c r="H275" s="1077">
        <f t="shared" si="3"/>
        <v>4.0838536059624794E-4</v>
      </c>
      <c r="I275" s="1078">
        <f t="shared" si="5"/>
        <v>0.89557599533247845</v>
      </c>
      <c r="J275" s="1078" t="str">
        <f t="shared" si="4"/>
        <v>B</v>
      </c>
      <c r="K275" s="1036"/>
      <c r="L275" s="1036"/>
      <c r="M275" s="1036"/>
      <c r="N275" s="1036"/>
      <c r="O275" s="1036"/>
      <c r="P275" s="1036"/>
      <c r="Q275" s="1036"/>
      <c r="R275" s="1036"/>
      <c r="S275" s="1036"/>
      <c r="T275" s="1036"/>
      <c r="U275" s="1036"/>
      <c r="V275" s="1036"/>
      <c r="W275" s="1036"/>
      <c r="X275" s="1036"/>
      <c r="Y275" s="1036"/>
      <c r="Z275" s="1036"/>
    </row>
    <row r="276" spans="1:26" ht="38.25">
      <c r="A276" s="1072">
        <v>98555</v>
      </c>
      <c r="B276" s="1073" t="s">
        <v>14476</v>
      </c>
      <c r="C276" s="1073" t="s">
        <v>7733</v>
      </c>
      <c r="D276" s="1074" t="s">
        <v>409</v>
      </c>
      <c r="E276" s="1075">
        <v>164.24</v>
      </c>
      <c r="F276" s="1076">
        <v>36.58</v>
      </c>
      <c r="G276" s="1076">
        <v>6007.89</v>
      </c>
      <c r="H276" s="1077">
        <f t="shared" si="3"/>
        <v>4.0805730585701514E-4</v>
      </c>
      <c r="I276" s="1078">
        <f t="shared" si="5"/>
        <v>0.89598405263833547</v>
      </c>
      <c r="J276" s="1078" t="str">
        <f t="shared" si="4"/>
        <v>B</v>
      </c>
      <c r="K276" s="1036"/>
      <c r="L276" s="1036"/>
      <c r="M276" s="1036"/>
      <c r="N276" s="1036"/>
      <c r="O276" s="1036"/>
      <c r="P276" s="1036"/>
      <c r="Q276" s="1036"/>
      <c r="R276" s="1036"/>
      <c r="S276" s="1036"/>
      <c r="T276" s="1036"/>
      <c r="U276" s="1036"/>
      <c r="V276" s="1036"/>
      <c r="W276" s="1036"/>
      <c r="X276" s="1036"/>
      <c r="Y276" s="1036"/>
      <c r="Z276" s="1036"/>
    </row>
    <row r="277" spans="1:26" ht="25.5">
      <c r="A277" s="1072" t="s">
        <v>14620</v>
      </c>
      <c r="B277" s="1073" t="s">
        <v>14472</v>
      </c>
      <c r="C277" s="1073" t="s">
        <v>14621</v>
      </c>
      <c r="D277" s="1074" t="s">
        <v>152</v>
      </c>
      <c r="E277" s="1075">
        <v>4.71</v>
      </c>
      <c r="F277" s="1076">
        <v>1274.5</v>
      </c>
      <c r="G277" s="1076">
        <v>6002.89</v>
      </c>
      <c r="H277" s="1077">
        <f t="shared" si="3"/>
        <v>4.0771770467768511E-4</v>
      </c>
      <c r="I277" s="1078">
        <f t="shared" si="5"/>
        <v>0.89639177034301321</v>
      </c>
      <c r="J277" s="1078" t="str">
        <f t="shared" si="4"/>
        <v>B</v>
      </c>
      <c r="K277" s="1036"/>
      <c r="L277" s="1036"/>
      <c r="M277" s="1036"/>
      <c r="N277" s="1036"/>
      <c r="O277" s="1036"/>
      <c r="P277" s="1036"/>
      <c r="Q277" s="1036"/>
      <c r="R277" s="1036"/>
      <c r="S277" s="1036"/>
      <c r="T277" s="1036"/>
      <c r="U277" s="1036"/>
      <c r="V277" s="1036"/>
      <c r="W277" s="1036"/>
      <c r="X277" s="1036"/>
      <c r="Y277" s="1036"/>
      <c r="Z277" s="1036"/>
    </row>
    <row r="278" spans="1:26" ht="38.25">
      <c r="A278" s="1072" t="s">
        <v>15198</v>
      </c>
      <c r="B278" s="1073" t="s">
        <v>14472</v>
      </c>
      <c r="C278" s="1073" t="s">
        <v>15967</v>
      </c>
      <c r="D278" s="1074" t="s">
        <v>6</v>
      </c>
      <c r="E278" s="1075">
        <v>7</v>
      </c>
      <c r="F278" s="1076">
        <v>855.32</v>
      </c>
      <c r="G278" s="1076">
        <v>5987.24</v>
      </c>
      <c r="H278" s="1077">
        <f t="shared" si="3"/>
        <v>4.0665475298638212E-4</v>
      </c>
      <c r="I278" s="1078">
        <f t="shared" si="5"/>
        <v>0.89679842509599961</v>
      </c>
      <c r="J278" s="1078" t="str">
        <f t="shared" si="4"/>
        <v>B</v>
      </c>
      <c r="K278" s="1036"/>
      <c r="L278" s="1036"/>
      <c r="M278" s="1036"/>
      <c r="N278" s="1036"/>
      <c r="O278" s="1036"/>
      <c r="P278" s="1036"/>
      <c r="Q278" s="1036"/>
      <c r="R278" s="1036"/>
      <c r="S278" s="1036"/>
      <c r="T278" s="1036"/>
      <c r="U278" s="1036"/>
      <c r="V278" s="1036"/>
      <c r="W278" s="1036"/>
      <c r="X278" s="1036"/>
      <c r="Y278" s="1036"/>
      <c r="Z278" s="1036"/>
    </row>
    <row r="279" spans="1:26" ht="38.25">
      <c r="A279" s="1072" t="s">
        <v>15009</v>
      </c>
      <c r="B279" s="1073" t="s">
        <v>14472</v>
      </c>
      <c r="C279" s="1073" t="s">
        <v>15010</v>
      </c>
      <c r="D279" s="1074" t="s">
        <v>409</v>
      </c>
      <c r="E279" s="1075">
        <v>4.62</v>
      </c>
      <c r="F279" s="1076">
        <v>1295.53</v>
      </c>
      <c r="G279" s="1076">
        <v>5985.34</v>
      </c>
      <c r="H279" s="1077">
        <f t="shared" si="3"/>
        <v>4.065257045382367E-4</v>
      </c>
      <c r="I279" s="1078">
        <f t="shared" si="5"/>
        <v>0.89720495080053786</v>
      </c>
      <c r="J279" s="1078" t="str">
        <f t="shared" si="4"/>
        <v>B</v>
      </c>
      <c r="K279" s="1036"/>
      <c r="L279" s="1036"/>
      <c r="M279" s="1036"/>
      <c r="N279" s="1036"/>
      <c r="O279" s="1036"/>
      <c r="P279" s="1036"/>
      <c r="Q279" s="1036"/>
      <c r="R279" s="1036"/>
      <c r="S279" s="1036"/>
      <c r="T279" s="1036"/>
      <c r="U279" s="1036"/>
      <c r="V279" s="1036"/>
      <c r="W279" s="1036"/>
      <c r="X279" s="1036"/>
      <c r="Y279" s="1036"/>
      <c r="Z279" s="1036"/>
    </row>
    <row r="280" spans="1:26" ht="38.25">
      <c r="A280" s="1072">
        <v>96558</v>
      </c>
      <c r="B280" s="1073" t="s">
        <v>14476</v>
      </c>
      <c r="C280" s="1073" t="s">
        <v>7548</v>
      </c>
      <c r="D280" s="1074" t="s">
        <v>152</v>
      </c>
      <c r="E280" s="1075">
        <v>4.72</v>
      </c>
      <c r="F280" s="1076">
        <v>1262.0999999999999</v>
      </c>
      <c r="G280" s="1076">
        <v>5957.11</v>
      </c>
      <c r="H280" s="1077">
        <f t="shared" si="3"/>
        <v>4.0460831627973936E-4</v>
      </c>
      <c r="I280" s="1078">
        <f t="shared" si="5"/>
        <v>0.89760955911681761</v>
      </c>
      <c r="J280" s="1078" t="str">
        <f t="shared" si="4"/>
        <v>B</v>
      </c>
      <c r="K280" s="1036"/>
      <c r="L280" s="1036"/>
      <c r="M280" s="1036"/>
      <c r="N280" s="1036"/>
      <c r="O280" s="1036"/>
      <c r="P280" s="1036"/>
      <c r="Q280" s="1036"/>
      <c r="R280" s="1036"/>
      <c r="S280" s="1036"/>
      <c r="T280" s="1036"/>
      <c r="U280" s="1036"/>
      <c r="V280" s="1036"/>
      <c r="W280" s="1036"/>
      <c r="X280" s="1036"/>
      <c r="Y280" s="1036"/>
      <c r="Z280" s="1036"/>
    </row>
    <row r="281" spans="1:26" ht="25.5">
      <c r="A281" s="1072" t="s">
        <v>15220</v>
      </c>
      <c r="B281" s="1073" t="s">
        <v>14472</v>
      </c>
      <c r="C281" s="1073" t="s">
        <v>15221</v>
      </c>
      <c r="D281" s="1074" t="s">
        <v>50</v>
      </c>
      <c r="E281" s="1075">
        <v>330</v>
      </c>
      <c r="F281" s="1076">
        <v>18.03</v>
      </c>
      <c r="G281" s="1076">
        <v>5949.9</v>
      </c>
      <c r="H281" s="1077">
        <f t="shared" si="3"/>
        <v>4.0411861137914547E-4</v>
      </c>
      <c r="I281" s="1078">
        <f t="shared" si="5"/>
        <v>0.89801367772819674</v>
      </c>
      <c r="J281" s="1078" t="str">
        <f t="shared" si="4"/>
        <v>B</v>
      </c>
      <c r="K281" s="1036"/>
      <c r="L281" s="1036"/>
      <c r="M281" s="1036"/>
      <c r="N281" s="1036"/>
      <c r="O281" s="1036"/>
      <c r="P281" s="1036"/>
      <c r="Q281" s="1036"/>
      <c r="R281" s="1036"/>
      <c r="S281" s="1036"/>
      <c r="T281" s="1036"/>
      <c r="U281" s="1036"/>
      <c r="V281" s="1036"/>
      <c r="W281" s="1036"/>
      <c r="X281" s="1036"/>
      <c r="Y281" s="1036"/>
      <c r="Z281" s="1036"/>
    </row>
    <row r="282" spans="1:26" ht="38.25">
      <c r="A282" s="1072">
        <v>96523</v>
      </c>
      <c r="B282" s="1073" t="s">
        <v>14476</v>
      </c>
      <c r="C282" s="1073" t="s">
        <v>10508</v>
      </c>
      <c r="D282" s="1074" t="s">
        <v>152</v>
      </c>
      <c r="E282" s="1075">
        <v>53.6</v>
      </c>
      <c r="F282" s="1076">
        <v>110.32</v>
      </c>
      <c r="G282" s="1076">
        <v>5913.15</v>
      </c>
      <c r="H282" s="1077">
        <f t="shared" si="3"/>
        <v>4.0162254271106974E-4</v>
      </c>
      <c r="I282" s="1078">
        <f t="shared" si="5"/>
        <v>0.89841530027090777</v>
      </c>
      <c r="J282" s="1078" t="str">
        <f t="shared" si="4"/>
        <v>B</v>
      </c>
      <c r="K282" s="1036"/>
      <c r="L282" s="1036"/>
      <c r="M282" s="1036"/>
      <c r="N282" s="1036"/>
      <c r="O282" s="1036"/>
      <c r="P282" s="1036"/>
      <c r="Q282" s="1036"/>
      <c r="R282" s="1036"/>
      <c r="S282" s="1036"/>
      <c r="T282" s="1036"/>
      <c r="U282" s="1036"/>
      <c r="V282" s="1036"/>
      <c r="W282" s="1036"/>
      <c r="X282" s="1036"/>
      <c r="Y282" s="1036"/>
      <c r="Z282" s="1036"/>
    </row>
    <row r="283" spans="1:26" ht="38.25">
      <c r="A283" s="1072" t="s">
        <v>14622</v>
      </c>
      <c r="B283" s="1073" t="s">
        <v>14472</v>
      </c>
      <c r="C283" s="1073" t="s">
        <v>15964</v>
      </c>
      <c r="D283" s="1074" t="s">
        <v>152</v>
      </c>
      <c r="E283" s="1075">
        <v>5.23</v>
      </c>
      <c r="F283" s="1076">
        <v>1117.8</v>
      </c>
      <c r="G283" s="1076">
        <v>5846.09</v>
      </c>
      <c r="H283" s="1077">
        <f t="shared" si="3"/>
        <v>3.9706781169389545E-4</v>
      </c>
      <c r="I283" s="1078">
        <f t="shared" si="5"/>
        <v>0.89881236808260168</v>
      </c>
      <c r="J283" s="1078" t="str">
        <f t="shared" si="4"/>
        <v>B</v>
      </c>
      <c r="K283" s="1036"/>
      <c r="L283" s="1036"/>
      <c r="M283" s="1036"/>
      <c r="N283" s="1036"/>
      <c r="O283" s="1036"/>
      <c r="P283" s="1036"/>
      <c r="Q283" s="1036"/>
      <c r="R283" s="1036"/>
      <c r="S283" s="1036"/>
      <c r="T283" s="1036"/>
      <c r="U283" s="1036"/>
      <c r="V283" s="1036"/>
      <c r="W283" s="1036"/>
      <c r="X283" s="1036"/>
      <c r="Y283" s="1036"/>
      <c r="Z283" s="1036"/>
    </row>
    <row r="284" spans="1:26" ht="51">
      <c r="A284" s="1072">
        <v>92431</v>
      </c>
      <c r="B284" s="1073" t="s">
        <v>14476</v>
      </c>
      <c r="C284" s="1073" t="s">
        <v>7221</v>
      </c>
      <c r="D284" s="1074" t="s">
        <v>409</v>
      </c>
      <c r="E284" s="1075">
        <v>63.6</v>
      </c>
      <c r="F284" s="1076">
        <v>91.75</v>
      </c>
      <c r="G284" s="1076">
        <v>5835.3</v>
      </c>
      <c r="H284" s="1077">
        <f t="shared" si="3"/>
        <v>3.9633495234890127E-4</v>
      </c>
      <c r="I284" s="1078">
        <f t="shared" si="5"/>
        <v>0.8992087030349506</v>
      </c>
      <c r="J284" s="1078" t="str">
        <f t="shared" si="4"/>
        <v>B</v>
      </c>
      <c r="K284" s="1036"/>
      <c r="L284" s="1036"/>
      <c r="M284" s="1036"/>
      <c r="N284" s="1036"/>
      <c r="O284" s="1036"/>
      <c r="P284" s="1036"/>
      <c r="Q284" s="1036"/>
      <c r="R284" s="1036"/>
      <c r="S284" s="1036"/>
      <c r="T284" s="1036"/>
      <c r="U284" s="1036"/>
      <c r="V284" s="1036"/>
      <c r="W284" s="1036"/>
      <c r="X284" s="1036"/>
      <c r="Y284" s="1036"/>
      <c r="Z284" s="1036"/>
    </row>
    <row r="285" spans="1:26" ht="38.25">
      <c r="A285" s="1072">
        <v>103979</v>
      </c>
      <c r="B285" s="1073" t="s">
        <v>14476</v>
      </c>
      <c r="C285" s="1073" t="s">
        <v>8649</v>
      </c>
      <c r="D285" s="1074" t="s">
        <v>50</v>
      </c>
      <c r="E285" s="1075">
        <v>175</v>
      </c>
      <c r="F285" s="1076">
        <v>33.03</v>
      </c>
      <c r="G285" s="1076">
        <v>5780.25</v>
      </c>
      <c r="H285" s="1077">
        <f t="shared" si="3"/>
        <v>3.9259594336447766E-4</v>
      </c>
      <c r="I285" s="1078">
        <f t="shared" si="5"/>
        <v>0.89960129897831509</v>
      </c>
      <c r="J285" s="1078" t="str">
        <f t="shared" si="4"/>
        <v>B</v>
      </c>
      <c r="K285" s="1036"/>
      <c r="L285" s="1036"/>
      <c r="M285" s="1036"/>
      <c r="N285" s="1036"/>
      <c r="O285" s="1036"/>
      <c r="P285" s="1036"/>
      <c r="Q285" s="1036"/>
      <c r="R285" s="1036"/>
      <c r="S285" s="1036"/>
      <c r="T285" s="1036"/>
      <c r="U285" s="1036"/>
      <c r="V285" s="1036"/>
      <c r="W285" s="1036"/>
      <c r="X285" s="1036"/>
      <c r="Y285" s="1036"/>
      <c r="Z285" s="1036"/>
    </row>
    <row r="286" spans="1:26" ht="38.25">
      <c r="A286" s="1072">
        <v>91928</v>
      </c>
      <c r="B286" s="1073" t="s">
        <v>14476</v>
      </c>
      <c r="C286" s="1073" t="s">
        <v>7855</v>
      </c>
      <c r="D286" s="1074" t="s">
        <v>50</v>
      </c>
      <c r="E286" s="1075">
        <v>670</v>
      </c>
      <c r="F286" s="1076">
        <v>8.6199999999999992</v>
      </c>
      <c r="G286" s="1076">
        <v>5775.4</v>
      </c>
      <c r="H286" s="1077">
        <f t="shared" si="3"/>
        <v>3.9226653022052753E-4</v>
      </c>
      <c r="I286" s="1078">
        <f t="shared" si="5"/>
        <v>0.8999935655085356</v>
      </c>
      <c r="J286" s="1078" t="str">
        <f t="shared" si="4"/>
        <v>B</v>
      </c>
      <c r="K286" s="1036"/>
      <c r="L286" s="1036"/>
      <c r="M286" s="1036"/>
      <c r="N286" s="1036"/>
      <c r="O286" s="1036"/>
      <c r="P286" s="1036"/>
      <c r="Q286" s="1036"/>
      <c r="R286" s="1036"/>
      <c r="S286" s="1036"/>
      <c r="T286" s="1036"/>
      <c r="U286" s="1036"/>
      <c r="V286" s="1036"/>
      <c r="W286" s="1036"/>
      <c r="X286" s="1036"/>
      <c r="Y286" s="1036"/>
      <c r="Z286" s="1036"/>
    </row>
    <row r="287" spans="1:26" ht="25.5">
      <c r="A287" s="1072">
        <v>93382</v>
      </c>
      <c r="B287" s="1073" t="s">
        <v>14476</v>
      </c>
      <c r="C287" s="1073" t="s">
        <v>10726</v>
      </c>
      <c r="D287" s="1074" t="s">
        <v>152</v>
      </c>
      <c r="E287" s="1075">
        <v>194.87</v>
      </c>
      <c r="F287" s="1076">
        <v>29.52</v>
      </c>
      <c r="G287" s="1076">
        <v>5752.41</v>
      </c>
      <c r="H287" s="1077">
        <f t="shared" si="3"/>
        <v>3.9070504399796806E-4</v>
      </c>
      <c r="I287" s="1078">
        <f t="shared" si="5"/>
        <v>0.90038427055253356</v>
      </c>
      <c r="J287" s="1078" t="str">
        <f t="shared" si="4"/>
        <v>B</v>
      </c>
      <c r="K287" s="1036"/>
      <c r="L287" s="1036"/>
      <c r="M287" s="1036"/>
      <c r="N287" s="1036"/>
      <c r="O287" s="1036"/>
      <c r="P287" s="1036"/>
      <c r="Q287" s="1036"/>
      <c r="R287" s="1036"/>
      <c r="S287" s="1036"/>
      <c r="T287" s="1036"/>
      <c r="U287" s="1036"/>
      <c r="V287" s="1036"/>
      <c r="W287" s="1036"/>
      <c r="X287" s="1036"/>
      <c r="Y287" s="1036"/>
      <c r="Z287" s="1036"/>
    </row>
    <row r="288" spans="1:26" ht="51">
      <c r="A288" s="1072">
        <v>89714</v>
      </c>
      <c r="B288" s="1073" t="s">
        <v>14476</v>
      </c>
      <c r="C288" s="1073" t="s">
        <v>8445</v>
      </c>
      <c r="D288" s="1074" t="s">
        <v>50</v>
      </c>
      <c r="E288" s="1075">
        <v>130</v>
      </c>
      <c r="F288" s="1076">
        <v>44.15</v>
      </c>
      <c r="G288" s="1076">
        <v>5739.5</v>
      </c>
      <c r="H288" s="1077">
        <f t="shared" si="3"/>
        <v>3.8982819375293795E-4</v>
      </c>
      <c r="I288" s="1078">
        <f t="shared" si="5"/>
        <v>0.90077409874628644</v>
      </c>
      <c r="J288" s="1078" t="str">
        <f t="shared" si="4"/>
        <v>B</v>
      </c>
      <c r="K288" s="1036"/>
      <c r="L288" s="1036"/>
      <c r="M288" s="1036"/>
      <c r="N288" s="1036"/>
      <c r="O288" s="1036"/>
      <c r="P288" s="1036"/>
      <c r="Q288" s="1036"/>
      <c r="R288" s="1036"/>
      <c r="S288" s="1036"/>
      <c r="T288" s="1036"/>
      <c r="U288" s="1036"/>
      <c r="V288" s="1036"/>
      <c r="W288" s="1036"/>
      <c r="X288" s="1036"/>
      <c r="Y288" s="1036"/>
      <c r="Z288" s="1036"/>
    </row>
    <row r="289" spans="1:26" ht="38.25">
      <c r="A289" s="1072">
        <v>104918</v>
      </c>
      <c r="B289" s="1073" t="s">
        <v>14476</v>
      </c>
      <c r="C289" s="1073" t="s">
        <v>7515</v>
      </c>
      <c r="D289" s="1074" t="s">
        <v>54</v>
      </c>
      <c r="E289" s="1075">
        <v>292.39999999999998</v>
      </c>
      <c r="F289" s="1076">
        <v>19.420000000000002</v>
      </c>
      <c r="G289" s="1076">
        <v>5678.4</v>
      </c>
      <c r="H289" s="1077">
        <f t="shared" si="3"/>
        <v>3.8567826734152498E-4</v>
      </c>
      <c r="I289" s="1078">
        <f t="shared" si="5"/>
        <v>0.90115977701362793</v>
      </c>
      <c r="J289" s="1078" t="str">
        <f t="shared" si="4"/>
        <v>B</v>
      </c>
      <c r="K289" s="1036"/>
      <c r="L289" s="1036"/>
      <c r="M289" s="1036"/>
      <c r="N289" s="1036"/>
      <c r="O289" s="1036"/>
      <c r="P289" s="1036"/>
      <c r="Q289" s="1036"/>
      <c r="R289" s="1036"/>
      <c r="S289" s="1036"/>
      <c r="T289" s="1036"/>
      <c r="U289" s="1036"/>
      <c r="V289" s="1036"/>
      <c r="W289" s="1036"/>
      <c r="X289" s="1036"/>
      <c r="Y289" s="1036"/>
      <c r="Z289" s="1036"/>
    </row>
    <row r="290" spans="1:26" ht="51">
      <c r="A290" s="1072">
        <v>92468</v>
      </c>
      <c r="B290" s="1073" t="s">
        <v>14476</v>
      </c>
      <c r="C290" s="1073" t="s">
        <v>7251</v>
      </c>
      <c r="D290" s="1074" t="s">
        <v>409</v>
      </c>
      <c r="E290" s="1075">
        <v>32.54</v>
      </c>
      <c r="F290" s="1076">
        <v>174.35</v>
      </c>
      <c r="G290" s="1076">
        <v>5673.34</v>
      </c>
      <c r="H290" s="1077">
        <f t="shared" si="3"/>
        <v>3.8533459094804303E-4</v>
      </c>
      <c r="I290" s="1078">
        <f t="shared" si="5"/>
        <v>0.90154511160457595</v>
      </c>
      <c r="J290" s="1078" t="str">
        <f t="shared" si="4"/>
        <v>B</v>
      </c>
      <c r="K290" s="1036"/>
      <c r="L290" s="1036"/>
      <c r="M290" s="1036"/>
      <c r="N290" s="1036"/>
      <c r="O290" s="1036"/>
      <c r="P290" s="1036"/>
      <c r="Q290" s="1036"/>
      <c r="R290" s="1036"/>
      <c r="S290" s="1036"/>
      <c r="T290" s="1036"/>
      <c r="U290" s="1036"/>
      <c r="V290" s="1036"/>
      <c r="W290" s="1036"/>
      <c r="X290" s="1036"/>
      <c r="Y290" s="1036"/>
      <c r="Z290" s="1036"/>
    </row>
    <row r="291" spans="1:26" ht="51">
      <c r="A291" s="1072">
        <v>97906</v>
      </c>
      <c r="B291" s="1073" t="s">
        <v>14476</v>
      </c>
      <c r="C291" s="1073" t="s">
        <v>10017</v>
      </c>
      <c r="D291" s="1074" t="s">
        <v>6</v>
      </c>
      <c r="E291" s="1075">
        <v>10</v>
      </c>
      <c r="F291" s="1076">
        <v>559.72</v>
      </c>
      <c r="G291" s="1076">
        <v>5597.2</v>
      </c>
      <c r="H291" s="1077">
        <f t="shared" si="3"/>
        <v>3.8016314418920537E-4</v>
      </c>
      <c r="I291" s="1078">
        <f t="shared" si="5"/>
        <v>0.90192527474876516</v>
      </c>
      <c r="J291" s="1078" t="str">
        <f t="shared" si="4"/>
        <v>B</v>
      </c>
      <c r="K291" s="1036"/>
      <c r="L291" s="1036"/>
      <c r="M291" s="1036"/>
      <c r="N291" s="1036"/>
      <c r="O291" s="1036"/>
      <c r="P291" s="1036"/>
      <c r="Q291" s="1036"/>
      <c r="R291" s="1036"/>
      <c r="S291" s="1036"/>
      <c r="T291" s="1036"/>
      <c r="U291" s="1036"/>
      <c r="V291" s="1036"/>
      <c r="W291" s="1036"/>
      <c r="X291" s="1036"/>
      <c r="Y291" s="1036"/>
      <c r="Z291" s="1036"/>
    </row>
    <row r="292" spans="1:26" ht="38.25">
      <c r="A292" s="1072" t="s">
        <v>15262</v>
      </c>
      <c r="B292" s="1073" t="s">
        <v>14472</v>
      </c>
      <c r="C292" s="1073" t="s">
        <v>15263</v>
      </c>
      <c r="D292" s="1074" t="s">
        <v>6</v>
      </c>
      <c r="E292" s="1075">
        <v>2</v>
      </c>
      <c r="F292" s="1076">
        <v>2786.98</v>
      </c>
      <c r="G292" s="1076">
        <v>5573.96</v>
      </c>
      <c r="H292" s="1077">
        <f t="shared" si="3"/>
        <v>3.7858467790767943E-4</v>
      </c>
      <c r="I292" s="1078">
        <f t="shared" si="5"/>
        <v>0.90230385942667279</v>
      </c>
      <c r="J292" s="1078" t="str">
        <f t="shared" si="4"/>
        <v>B</v>
      </c>
      <c r="K292" s="1036"/>
      <c r="L292" s="1036"/>
      <c r="M292" s="1036"/>
      <c r="N292" s="1036"/>
      <c r="O292" s="1036"/>
      <c r="P292" s="1036"/>
      <c r="Q292" s="1036"/>
      <c r="R292" s="1036"/>
      <c r="S292" s="1036"/>
      <c r="T292" s="1036"/>
      <c r="U292" s="1036"/>
      <c r="V292" s="1036"/>
      <c r="W292" s="1036"/>
      <c r="X292" s="1036"/>
      <c r="Y292" s="1036"/>
      <c r="Z292" s="1036"/>
    </row>
    <row r="293" spans="1:26" ht="38.25">
      <c r="A293" s="1072" t="s">
        <v>15277</v>
      </c>
      <c r="B293" s="1073" t="s">
        <v>14472</v>
      </c>
      <c r="C293" s="1073" t="s">
        <v>15968</v>
      </c>
      <c r="D293" s="1074" t="s">
        <v>6</v>
      </c>
      <c r="E293" s="1075">
        <v>18</v>
      </c>
      <c r="F293" s="1076">
        <v>307.47000000000003</v>
      </c>
      <c r="G293" s="1076">
        <v>5534.46</v>
      </c>
      <c r="H293" s="1077">
        <f t="shared" si="3"/>
        <v>3.7590182859097219E-4</v>
      </c>
      <c r="I293" s="1078">
        <f t="shared" si="5"/>
        <v>0.90267976125526372</v>
      </c>
      <c r="J293" s="1078" t="str">
        <f t="shared" si="4"/>
        <v>B</v>
      </c>
      <c r="K293" s="1036"/>
      <c r="L293" s="1036"/>
      <c r="M293" s="1036"/>
      <c r="N293" s="1036"/>
      <c r="O293" s="1036"/>
      <c r="P293" s="1036"/>
      <c r="Q293" s="1036"/>
      <c r="R293" s="1036"/>
      <c r="S293" s="1036"/>
      <c r="T293" s="1036"/>
      <c r="U293" s="1036"/>
      <c r="V293" s="1036"/>
      <c r="W293" s="1036"/>
      <c r="X293" s="1036"/>
      <c r="Y293" s="1036"/>
      <c r="Z293" s="1036"/>
    </row>
    <row r="294" spans="1:26" ht="25.5">
      <c r="A294" s="1072">
        <v>93358</v>
      </c>
      <c r="B294" s="1073" t="s">
        <v>14476</v>
      </c>
      <c r="C294" s="1073" t="s">
        <v>10648</v>
      </c>
      <c r="D294" s="1074" t="s">
        <v>152</v>
      </c>
      <c r="E294" s="1075">
        <v>55</v>
      </c>
      <c r="F294" s="1076">
        <v>100.47</v>
      </c>
      <c r="G294" s="1076">
        <v>5525.85</v>
      </c>
      <c r="H294" s="1077">
        <f t="shared" si="3"/>
        <v>3.7531703536016592E-4</v>
      </c>
      <c r="I294" s="1078">
        <f t="shared" si="5"/>
        <v>0.90305507829062392</v>
      </c>
      <c r="J294" s="1078" t="str">
        <f t="shared" si="4"/>
        <v>B</v>
      </c>
      <c r="K294" s="1036"/>
      <c r="L294" s="1036"/>
      <c r="M294" s="1036"/>
      <c r="N294" s="1036"/>
      <c r="O294" s="1036"/>
      <c r="P294" s="1036"/>
      <c r="Q294" s="1036"/>
      <c r="R294" s="1036"/>
      <c r="S294" s="1036"/>
      <c r="T294" s="1036"/>
      <c r="U294" s="1036"/>
      <c r="V294" s="1036"/>
      <c r="W294" s="1036"/>
      <c r="X294" s="1036"/>
      <c r="Y294" s="1036"/>
      <c r="Z294" s="1036"/>
    </row>
    <row r="295" spans="1:26" ht="25.5">
      <c r="A295" s="1072" t="s">
        <v>14590</v>
      </c>
      <c r="B295" s="1073" t="s">
        <v>14472</v>
      </c>
      <c r="C295" s="1073" t="s">
        <v>14591</v>
      </c>
      <c r="D295" s="1074" t="s">
        <v>152</v>
      </c>
      <c r="E295" s="1075">
        <v>5.08</v>
      </c>
      <c r="F295" s="1076">
        <v>1085.23</v>
      </c>
      <c r="G295" s="1076">
        <v>5512.96</v>
      </c>
      <c r="H295" s="1077">
        <f t="shared" si="3"/>
        <v>3.7444154351985308E-4</v>
      </c>
      <c r="I295" s="1078">
        <f t="shared" si="5"/>
        <v>0.90342951983414377</v>
      </c>
      <c r="J295" s="1078" t="str">
        <f t="shared" si="4"/>
        <v>B</v>
      </c>
      <c r="K295" s="1036"/>
      <c r="L295" s="1036"/>
      <c r="M295" s="1036"/>
      <c r="N295" s="1036"/>
      <c r="O295" s="1036"/>
      <c r="P295" s="1036"/>
      <c r="Q295" s="1036"/>
      <c r="R295" s="1036"/>
      <c r="S295" s="1036"/>
      <c r="T295" s="1036"/>
      <c r="U295" s="1036"/>
      <c r="V295" s="1036"/>
      <c r="W295" s="1036"/>
      <c r="X295" s="1036"/>
      <c r="Y295" s="1036"/>
      <c r="Z295" s="1036"/>
    </row>
    <row r="296" spans="1:26" ht="25.5">
      <c r="A296" s="1072">
        <v>101979</v>
      </c>
      <c r="B296" s="1073" t="s">
        <v>14476</v>
      </c>
      <c r="C296" s="1073" t="s">
        <v>11502</v>
      </c>
      <c r="D296" s="1074" t="s">
        <v>50</v>
      </c>
      <c r="E296" s="1075">
        <v>84.7</v>
      </c>
      <c r="F296" s="1076">
        <v>64.83</v>
      </c>
      <c r="G296" s="1076">
        <v>5491.1</v>
      </c>
      <c r="H296" s="1077">
        <f t="shared" si="3"/>
        <v>3.7295680716382224E-4</v>
      </c>
      <c r="I296" s="1078">
        <f t="shared" si="5"/>
        <v>0.90380247664130764</v>
      </c>
      <c r="J296" s="1078" t="str">
        <f t="shared" si="4"/>
        <v>B</v>
      </c>
      <c r="K296" s="1036"/>
      <c r="L296" s="1036"/>
      <c r="M296" s="1036"/>
      <c r="N296" s="1036"/>
      <c r="O296" s="1036"/>
      <c r="P296" s="1036"/>
      <c r="Q296" s="1036"/>
      <c r="R296" s="1036"/>
      <c r="S296" s="1036"/>
      <c r="T296" s="1036"/>
      <c r="U296" s="1036"/>
      <c r="V296" s="1036"/>
      <c r="W296" s="1036"/>
      <c r="X296" s="1036"/>
      <c r="Y296" s="1036"/>
      <c r="Z296" s="1036"/>
    </row>
    <row r="297" spans="1:26" ht="51">
      <c r="A297" s="1072">
        <v>89714</v>
      </c>
      <c r="B297" s="1073" t="s">
        <v>14476</v>
      </c>
      <c r="C297" s="1073" t="s">
        <v>8445</v>
      </c>
      <c r="D297" s="1074" t="s">
        <v>50</v>
      </c>
      <c r="E297" s="1075">
        <v>124.2</v>
      </c>
      <c r="F297" s="1076">
        <v>44.15</v>
      </c>
      <c r="G297" s="1076">
        <v>5483.43</v>
      </c>
      <c r="H297" s="1077">
        <f t="shared" si="3"/>
        <v>3.7243585895472994E-4</v>
      </c>
      <c r="I297" s="1078">
        <f t="shared" si="5"/>
        <v>0.90417491250026238</v>
      </c>
      <c r="J297" s="1078" t="str">
        <f t="shared" si="4"/>
        <v>B</v>
      </c>
      <c r="K297" s="1036"/>
      <c r="L297" s="1036"/>
      <c r="M297" s="1036"/>
      <c r="N297" s="1036"/>
      <c r="O297" s="1036"/>
      <c r="P297" s="1036"/>
      <c r="Q297" s="1036"/>
      <c r="R297" s="1036"/>
      <c r="S297" s="1036"/>
      <c r="T297" s="1036"/>
      <c r="U297" s="1036"/>
      <c r="V297" s="1036"/>
      <c r="W297" s="1036"/>
      <c r="X297" s="1036"/>
      <c r="Y297" s="1036"/>
      <c r="Z297" s="1036"/>
    </row>
    <row r="298" spans="1:26" ht="25.5">
      <c r="A298" s="1072" t="s">
        <v>14603</v>
      </c>
      <c r="B298" s="1073" t="s">
        <v>14472</v>
      </c>
      <c r="C298" s="1073" t="s">
        <v>14604</v>
      </c>
      <c r="D298" s="1074" t="s">
        <v>409</v>
      </c>
      <c r="E298" s="1075">
        <v>343.8</v>
      </c>
      <c r="F298" s="1076">
        <v>15.36</v>
      </c>
      <c r="G298" s="1076">
        <v>5280.76</v>
      </c>
      <c r="H298" s="1077">
        <f t="shared" si="3"/>
        <v>3.5867046475176665E-4</v>
      </c>
      <c r="I298" s="1078">
        <f t="shared" si="5"/>
        <v>0.90453358296501418</v>
      </c>
      <c r="J298" s="1078" t="str">
        <f t="shared" si="4"/>
        <v>B</v>
      </c>
      <c r="K298" s="1036"/>
      <c r="L298" s="1036"/>
      <c r="M298" s="1036"/>
      <c r="N298" s="1036"/>
      <c r="O298" s="1036"/>
      <c r="P298" s="1036"/>
      <c r="Q298" s="1036"/>
      <c r="R298" s="1036"/>
      <c r="S298" s="1036"/>
      <c r="T298" s="1036"/>
      <c r="U298" s="1036"/>
      <c r="V298" s="1036"/>
      <c r="W298" s="1036"/>
      <c r="X298" s="1036"/>
      <c r="Y298" s="1036"/>
      <c r="Z298" s="1036"/>
    </row>
    <row r="299" spans="1:26" ht="38.25">
      <c r="A299" s="1072">
        <v>104919</v>
      </c>
      <c r="B299" s="1073" t="s">
        <v>14476</v>
      </c>
      <c r="C299" s="1073" t="s">
        <v>7516</v>
      </c>
      <c r="D299" s="1074" t="s">
        <v>54</v>
      </c>
      <c r="E299" s="1075">
        <v>302.60000000000002</v>
      </c>
      <c r="F299" s="1076">
        <v>17.45</v>
      </c>
      <c r="G299" s="1076">
        <v>5280.37</v>
      </c>
      <c r="H299" s="1077">
        <f t="shared" si="3"/>
        <v>3.586439758597789E-4</v>
      </c>
      <c r="I299" s="1078">
        <f t="shared" si="5"/>
        <v>0.90489222694087401</v>
      </c>
      <c r="J299" s="1078" t="str">
        <f t="shared" si="4"/>
        <v>B</v>
      </c>
      <c r="K299" s="1036"/>
      <c r="L299" s="1036"/>
      <c r="M299" s="1036"/>
      <c r="N299" s="1036"/>
      <c r="O299" s="1036"/>
      <c r="P299" s="1036"/>
      <c r="Q299" s="1036"/>
      <c r="R299" s="1036"/>
      <c r="S299" s="1036"/>
      <c r="T299" s="1036"/>
      <c r="U299" s="1036"/>
      <c r="V299" s="1036"/>
      <c r="W299" s="1036"/>
      <c r="X299" s="1036"/>
      <c r="Y299" s="1036"/>
      <c r="Z299" s="1036"/>
    </row>
    <row r="300" spans="1:26" ht="38.25">
      <c r="A300" s="1072">
        <v>98555</v>
      </c>
      <c r="B300" s="1073" t="s">
        <v>14476</v>
      </c>
      <c r="C300" s="1073" t="s">
        <v>7733</v>
      </c>
      <c r="D300" s="1074" t="s">
        <v>409</v>
      </c>
      <c r="E300" s="1075">
        <v>143.58000000000001</v>
      </c>
      <c r="F300" s="1076">
        <v>36.58</v>
      </c>
      <c r="G300" s="1076">
        <v>5252.15</v>
      </c>
      <c r="H300" s="1077">
        <f t="shared" si="3"/>
        <v>3.567272668036402E-4</v>
      </c>
      <c r="I300" s="1078">
        <f t="shared" si="5"/>
        <v>0.9052489542076777</v>
      </c>
      <c r="J300" s="1078" t="str">
        <f t="shared" si="4"/>
        <v>B</v>
      </c>
      <c r="K300" s="1036"/>
      <c r="L300" s="1036"/>
      <c r="M300" s="1036"/>
      <c r="N300" s="1036"/>
      <c r="O300" s="1036"/>
      <c r="P300" s="1036"/>
      <c r="Q300" s="1036"/>
      <c r="R300" s="1036"/>
      <c r="S300" s="1036"/>
      <c r="T300" s="1036"/>
      <c r="U300" s="1036"/>
      <c r="V300" s="1036"/>
      <c r="W300" s="1036"/>
      <c r="X300" s="1036"/>
      <c r="Y300" s="1036"/>
      <c r="Z300" s="1036"/>
    </row>
    <row r="301" spans="1:26" ht="38.25">
      <c r="A301" s="1072">
        <v>91931</v>
      </c>
      <c r="B301" s="1073" t="s">
        <v>14476</v>
      </c>
      <c r="C301" s="1073" t="s">
        <v>7858</v>
      </c>
      <c r="D301" s="1074" t="s">
        <v>50</v>
      </c>
      <c r="E301" s="1075">
        <v>400</v>
      </c>
      <c r="F301" s="1076">
        <v>13.06</v>
      </c>
      <c r="G301" s="1076">
        <v>5224</v>
      </c>
      <c r="H301" s="1077">
        <f t="shared" si="3"/>
        <v>3.5481531216401217E-4</v>
      </c>
      <c r="I301" s="1078">
        <f t="shared" si="5"/>
        <v>0.90560376951984167</v>
      </c>
      <c r="J301" s="1078" t="str">
        <f t="shared" si="4"/>
        <v>B</v>
      </c>
      <c r="K301" s="1036"/>
      <c r="L301" s="1036"/>
      <c r="M301" s="1036"/>
      <c r="N301" s="1036"/>
      <c r="O301" s="1036"/>
      <c r="P301" s="1036"/>
      <c r="Q301" s="1036"/>
      <c r="R301" s="1036"/>
      <c r="S301" s="1036"/>
      <c r="T301" s="1036"/>
      <c r="U301" s="1036"/>
      <c r="V301" s="1036"/>
      <c r="W301" s="1036"/>
      <c r="X301" s="1036"/>
      <c r="Y301" s="1036"/>
      <c r="Z301" s="1036"/>
    </row>
    <row r="302" spans="1:26" ht="38.25">
      <c r="A302" s="1072">
        <v>92760</v>
      </c>
      <c r="B302" s="1073" t="s">
        <v>14476</v>
      </c>
      <c r="C302" s="1073" t="s">
        <v>7429</v>
      </c>
      <c r="D302" s="1074" t="s">
        <v>54</v>
      </c>
      <c r="E302" s="1075">
        <v>289.22000000000003</v>
      </c>
      <c r="F302" s="1076">
        <v>18.059999999999999</v>
      </c>
      <c r="G302" s="1076">
        <v>5223.3100000000004</v>
      </c>
      <c r="H302" s="1077">
        <f t="shared" si="3"/>
        <v>3.5476844720126467E-4</v>
      </c>
      <c r="I302" s="1078">
        <f t="shared" si="5"/>
        <v>0.90595853796704295</v>
      </c>
      <c r="J302" s="1078" t="str">
        <f t="shared" si="4"/>
        <v>B</v>
      </c>
      <c r="K302" s="1036"/>
      <c r="L302" s="1036"/>
      <c r="M302" s="1036"/>
      <c r="N302" s="1036"/>
      <c r="O302" s="1036"/>
      <c r="P302" s="1036"/>
      <c r="Q302" s="1036"/>
      <c r="R302" s="1036"/>
      <c r="S302" s="1036"/>
      <c r="T302" s="1036"/>
      <c r="U302" s="1036"/>
      <c r="V302" s="1036"/>
      <c r="W302" s="1036"/>
      <c r="X302" s="1036"/>
      <c r="Y302" s="1036"/>
      <c r="Z302" s="1036"/>
    </row>
    <row r="303" spans="1:26" ht="51">
      <c r="A303" s="1072" t="s">
        <v>14598</v>
      </c>
      <c r="B303" s="1073" t="s">
        <v>14472</v>
      </c>
      <c r="C303" s="1073" t="s">
        <v>14599</v>
      </c>
      <c r="D303" s="1074" t="s">
        <v>409</v>
      </c>
      <c r="E303" s="1075">
        <v>290.11</v>
      </c>
      <c r="F303" s="1076">
        <v>17.95</v>
      </c>
      <c r="G303" s="1076">
        <v>5207.47</v>
      </c>
      <c r="H303" s="1077">
        <f t="shared" si="3"/>
        <v>3.5369259066514712E-4</v>
      </c>
      <c r="I303" s="1078">
        <f t="shared" si="5"/>
        <v>0.90631223055770815</v>
      </c>
      <c r="J303" s="1078" t="str">
        <f t="shared" si="4"/>
        <v>B</v>
      </c>
      <c r="K303" s="1036"/>
      <c r="L303" s="1036"/>
      <c r="M303" s="1036"/>
      <c r="N303" s="1036"/>
      <c r="O303" s="1036"/>
      <c r="P303" s="1036"/>
      <c r="Q303" s="1036"/>
      <c r="R303" s="1036"/>
      <c r="S303" s="1036"/>
      <c r="T303" s="1036"/>
      <c r="U303" s="1036"/>
      <c r="V303" s="1036"/>
      <c r="W303" s="1036"/>
      <c r="X303" s="1036"/>
      <c r="Y303" s="1036"/>
      <c r="Z303" s="1036"/>
    </row>
    <row r="304" spans="1:26" ht="51">
      <c r="A304" s="1072">
        <v>92468</v>
      </c>
      <c r="B304" s="1073" t="s">
        <v>14476</v>
      </c>
      <c r="C304" s="1073" t="s">
        <v>7251</v>
      </c>
      <c r="D304" s="1074" t="s">
        <v>409</v>
      </c>
      <c r="E304" s="1075">
        <v>29.84</v>
      </c>
      <c r="F304" s="1076">
        <v>174.35</v>
      </c>
      <c r="G304" s="1076">
        <v>5202.6000000000004</v>
      </c>
      <c r="H304" s="1077">
        <f t="shared" si="3"/>
        <v>3.5336181911647968E-4</v>
      </c>
      <c r="I304" s="1078">
        <f t="shared" si="5"/>
        <v>0.90666559237682465</v>
      </c>
      <c r="J304" s="1078" t="str">
        <f t="shared" si="4"/>
        <v>B</v>
      </c>
      <c r="K304" s="1036"/>
      <c r="L304" s="1036"/>
      <c r="M304" s="1036"/>
      <c r="N304" s="1036"/>
      <c r="O304" s="1036"/>
      <c r="P304" s="1036"/>
      <c r="Q304" s="1036"/>
      <c r="R304" s="1036"/>
      <c r="S304" s="1036"/>
      <c r="T304" s="1036"/>
      <c r="U304" s="1036"/>
      <c r="V304" s="1036"/>
      <c r="W304" s="1036"/>
      <c r="X304" s="1036"/>
      <c r="Y304" s="1036"/>
      <c r="Z304" s="1036"/>
    </row>
    <row r="305" spans="1:26" ht="25.5">
      <c r="A305" s="1072">
        <v>96113</v>
      </c>
      <c r="B305" s="1073" t="s">
        <v>14476</v>
      </c>
      <c r="C305" s="1073" t="s">
        <v>11508</v>
      </c>
      <c r="D305" s="1074" t="s">
        <v>409</v>
      </c>
      <c r="E305" s="1075">
        <v>88.84</v>
      </c>
      <c r="F305" s="1076">
        <v>57.92</v>
      </c>
      <c r="G305" s="1076">
        <v>5145.6099999999997</v>
      </c>
      <c r="H305" s="1077">
        <f t="shared" si="3"/>
        <v>3.4949104487447599E-4</v>
      </c>
      <c r="I305" s="1078">
        <f t="shared" si="5"/>
        <v>0.90701508342169912</v>
      </c>
      <c r="J305" s="1078" t="str">
        <f t="shared" si="4"/>
        <v>B</v>
      </c>
      <c r="K305" s="1036"/>
      <c r="L305" s="1036"/>
      <c r="M305" s="1036"/>
      <c r="N305" s="1036"/>
      <c r="O305" s="1036"/>
      <c r="P305" s="1036"/>
      <c r="Q305" s="1036"/>
      <c r="R305" s="1036"/>
      <c r="S305" s="1036"/>
      <c r="T305" s="1036"/>
      <c r="U305" s="1036"/>
      <c r="V305" s="1036"/>
      <c r="W305" s="1036"/>
      <c r="X305" s="1036"/>
      <c r="Y305" s="1036"/>
      <c r="Z305" s="1036"/>
    </row>
    <row r="306" spans="1:26" ht="51">
      <c r="A306" s="1072" t="s">
        <v>14610</v>
      </c>
      <c r="B306" s="1073" t="s">
        <v>14472</v>
      </c>
      <c r="C306" s="1073" t="s">
        <v>15969</v>
      </c>
      <c r="D306" s="1074" t="s">
        <v>54</v>
      </c>
      <c r="E306" s="1075">
        <v>157.25</v>
      </c>
      <c r="F306" s="1076">
        <v>32.68</v>
      </c>
      <c r="G306" s="1076">
        <v>5138.93</v>
      </c>
      <c r="H306" s="1077">
        <f t="shared" si="3"/>
        <v>3.4903733769889111E-4</v>
      </c>
      <c r="I306" s="1078">
        <f t="shared" si="5"/>
        <v>0.90736412075939799</v>
      </c>
      <c r="J306" s="1078" t="str">
        <f t="shared" si="4"/>
        <v>B</v>
      </c>
      <c r="K306" s="1036"/>
      <c r="L306" s="1036"/>
      <c r="M306" s="1036"/>
      <c r="N306" s="1036"/>
      <c r="O306" s="1036"/>
      <c r="P306" s="1036"/>
      <c r="Q306" s="1036"/>
      <c r="R306" s="1036"/>
      <c r="S306" s="1036"/>
      <c r="T306" s="1036"/>
      <c r="U306" s="1036"/>
      <c r="V306" s="1036"/>
      <c r="W306" s="1036"/>
      <c r="X306" s="1036"/>
      <c r="Y306" s="1036"/>
      <c r="Z306" s="1036"/>
    </row>
    <row r="307" spans="1:26" ht="38.25">
      <c r="A307" s="1072">
        <v>103685</v>
      </c>
      <c r="B307" s="1073" t="s">
        <v>14476</v>
      </c>
      <c r="C307" s="1073" t="s">
        <v>7592</v>
      </c>
      <c r="D307" s="1074" t="s">
        <v>152</v>
      </c>
      <c r="E307" s="1075">
        <v>4.7</v>
      </c>
      <c r="F307" s="1076">
        <v>1091.23</v>
      </c>
      <c r="G307" s="1076">
        <v>5128.78</v>
      </c>
      <c r="H307" s="1077">
        <f t="shared" si="3"/>
        <v>3.4834794730485109E-4</v>
      </c>
      <c r="I307" s="1078">
        <f t="shared" si="5"/>
        <v>0.90771246870670286</v>
      </c>
      <c r="J307" s="1078" t="str">
        <f t="shared" si="4"/>
        <v>B</v>
      </c>
      <c r="K307" s="1036"/>
      <c r="L307" s="1036"/>
      <c r="M307" s="1036"/>
      <c r="N307" s="1036"/>
      <c r="O307" s="1036"/>
      <c r="P307" s="1036"/>
      <c r="Q307" s="1036"/>
      <c r="R307" s="1036"/>
      <c r="S307" s="1036"/>
      <c r="T307" s="1036"/>
      <c r="U307" s="1036"/>
      <c r="V307" s="1036"/>
      <c r="W307" s="1036"/>
      <c r="X307" s="1036"/>
      <c r="Y307" s="1036"/>
      <c r="Z307" s="1036"/>
    </row>
    <row r="308" spans="1:26" ht="25.5">
      <c r="A308" s="1072" t="s">
        <v>15072</v>
      </c>
      <c r="B308" s="1073" t="s">
        <v>14472</v>
      </c>
      <c r="C308" s="1073" t="s">
        <v>15073</v>
      </c>
      <c r="D308" s="1074" t="s">
        <v>50</v>
      </c>
      <c r="E308" s="1075">
        <v>26.25</v>
      </c>
      <c r="F308" s="1076">
        <v>195.31</v>
      </c>
      <c r="G308" s="1076">
        <v>5126.88</v>
      </c>
      <c r="H308" s="1077">
        <f t="shared" si="3"/>
        <v>3.4821889885670572E-4</v>
      </c>
      <c r="I308" s="1078">
        <f t="shared" si="5"/>
        <v>0.90806068760555958</v>
      </c>
      <c r="J308" s="1078" t="str">
        <f t="shared" si="4"/>
        <v>B</v>
      </c>
      <c r="K308" s="1036"/>
      <c r="L308" s="1036"/>
      <c r="M308" s="1036"/>
      <c r="N308" s="1036"/>
      <c r="O308" s="1036"/>
      <c r="P308" s="1036"/>
      <c r="Q308" s="1036"/>
      <c r="R308" s="1036"/>
      <c r="S308" s="1036"/>
      <c r="T308" s="1036"/>
      <c r="U308" s="1036"/>
      <c r="V308" s="1036"/>
      <c r="W308" s="1036"/>
      <c r="X308" s="1036"/>
      <c r="Y308" s="1036"/>
      <c r="Z308" s="1036"/>
    </row>
    <row r="309" spans="1:26" ht="76.5">
      <c r="A309" s="1072" t="s">
        <v>14971</v>
      </c>
      <c r="B309" s="1073" t="s">
        <v>14472</v>
      </c>
      <c r="C309" s="1073" t="s">
        <v>14972</v>
      </c>
      <c r="D309" s="1074" t="s">
        <v>6</v>
      </c>
      <c r="E309" s="1075">
        <v>2</v>
      </c>
      <c r="F309" s="1076">
        <v>2550</v>
      </c>
      <c r="G309" s="1076">
        <v>5100</v>
      </c>
      <c r="H309" s="1077">
        <f t="shared" si="3"/>
        <v>3.4639320291662747E-4</v>
      </c>
      <c r="I309" s="1078">
        <f t="shared" si="5"/>
        <v>0.90840708080847621</v>
      </c>
      <c r="J309" s="1078" t="str">
        <f t="shared" si="4"/>
        <v>B</v>
      </c>
      <c r="K309" s="1036"/>
      <c r="L309" s="1036"/>
      <c r="M309" s="1036"/>
      <c r="N309" s="1036"/>
      <c r="O309" s="1036"/>
      <c r="P309" s="1036"/>
      <c r="Q309" s="1036"/>
      <c r="R309" s="1036"/>
      <c r="S309" s="1036"/>
      <c r="T309" s="1036"/>
      <c r="U309" s="1036"/>
      <c r="V309" s="1036"/>
      <c r="W309" s="1036"/>
      <c r="X309" s="1036"/>
      <c r="Y309" s="1036"/>
      <c r="Z309" s="1036"/>
    </row>
    <row r="310" spans="1:26" ht="25.5">
      <c r="A310" s="1072" t="s">
        <v>15447</v>
      </c>
      <c r="B310" s="1073" t="s">
        <v>14472</v>
      </c>
      <c r="C310" s="1073" t="s">
        <v>15448</v>
      </c>
      <c r="D310" s="1074" t="s">
        <v>6</v>
      </c>
      <c r="E310" s="1075">
        <v>13</v>
      </c>
      <c r="F310" s="1076">
        <v>391.87</v>
      </c>
      <c r="G310" s="1076">
        <v>5094.3100000000004</v>
      </c>
      <c r="H310" s="1077">
        <f t="shared" si="3"/>
        <v>3.4600673677454995E-4</v>
      </c>
      <c r="I310" s="1078">
        <f t="shared" si="5"/>
        <v>0.90875308754525075</v>
      </c>
      <c r="J310" s="1078" t="str">
        <f t="shared" si="4"/>
        <v>B</v>
      </c>
      <c r="K310" s="1036"/>
      <c r="L310" s="1036"/>
      <c r="M310" s="1036"/>
      <c r="N310" s="1036"/>
      <c r="O310" s="1036"/>
      <c r="P310" s="1036"/>
      <c r="Q310" s="1036"/>
      <c r="R310" s="1036"/>
      <c r="S310" s="1036"/>
      <c r="T310" s="1036"/>
      <c r="U310" s="1036"/>
      <c r="V310" s="1036"/>
      <c r="W310" s="1036"/>
      <c r="X310" s="1036"/>
      <c r="Y310" s="1036"/>
      <c r="Z310" s="1036"/>
    </row>
    <row r="311" spans="1:26" ht="38.25">
      <c r="A311" s="1072" t="s">
        <v>14780</v>
      </c>
      <c r="B311" s="1073" t="s">
        <v>14472</v>
      </c>
      <c r="C311" s="1073" t="s">
        <v>14781</v>
      </c>
      <c r="D311" s="1074" t="s">
        <v>50</v>
      </c>
      <c r="E311" s="1075">
        <v>34.94</v>
      </c>
      <c r="F311" s="1076">
        <v>145.57</v>
      </c>
      <c r="G311" s="1076">
        <v>5086.21</v>
      </c>
      <c r="H311" s="1077">
        <f t="shared" si="3"/>
        <v>3.4545658286403526E-4</v>
      </c>
      <c r="I311" s="1078">
        <f t="shared" si="5"/>
        <v>0.90909854412811475</v>
      </c>
      <c r="J311" s="1078" t="str">
        <f t="shared" si="4"/>
        <v>B</v>
      </c>
      <c r="K311" s="1036"/>
      <c r="L311" s="1036"/>
      <c r="M311" s="1036"/>
      <c r="N311" s="1036"/>
      <c r="O311" s="1036"/>
      <c r="P311" s="1036"/>
      <c r="Q311" s="1036"/>
      <c r="R311" s="1036"/>
      <c r="S311" s="1036"/>
      <c r="T311" s="1036"/>
      <c r="U311" s="1036"/>
      <c r="V311" s="1036"/>
      <c r="W311" s="1036"/>
      <c r="X311" s="1036"/>
      <c r="Y311" s="1036"/>
      <c r="Z311" s="1036"/>
    </row>
    <row r="312" spans="1:26" ht="38.25">
      <c r="A312" s="1072" t="s">
        <v>14827</v>
      </c>
      <c r="B312" s="1073" t="s">
        <v>14472</v>
      </c>
      <c r="C312" s="1073" t="s">
        <v>14828</v>
      </c>
      <c r="D312" s="1074" t="s">
        <v>409</v>
      </c>
      <c r="E312" s="1075">
        <v>42.32</v>
      </c>
      <c r="F312" s="1076">
        <v>119.83</v>
      </c>
      <c r="G312" s="1076">
        <v>5071.2</v>
      </c>
      <c r="H312" s="1077">
        <f t="shared" si="3"/>
        <v>3.4443710012368653E-4</v>
      </c>
      <c r="I312" s="1078">
        <f t="shared" si="5"/>
        <v>0.90944298122823841</v>
      </c>
      <c r="J312" s="1078" t="str">
        <f t="shared" si="4"/>
        <v>B</v>
      </c>
      <c r="K312" s="1036"/>
      <c r="L312" s="1036"/>
      <c r="M312" s="1036"/>
      <c r="N312" s="1036"/>
      <c r="O312" s="1036"/>
      <c r="P312" s="1036"/>
      <c r="Q312" s="1036"/>
      <c r="R312" s="1036"/>
      <c r="S312" s="1036"/>
      <c r="T312" s="1036"/>
      <c r="U312" s="1036"/>
      <c r="V312" s="1036"/>
      <c r="W312" s="1036"/>
      <c r="X312" s="1036"/>
      <c r="Y312" s="1036"/>
      <c r="Z312" s="1036"/>
    </row>
    <row r="313" spans="1:26" ht="38.25">
      <c r="A313" s="1072">
        <v>91933</v>
      </c>
      <c r="B313" s="1073" t="s">
        <v>14476</v>
      </c>
      <c r="C313" s="1073" t="s">
        <v>7860</v>
      </c>
      <c r="D313" s="1074" t="s">
        <v>50</v>
      </c>
      <c r="E313" s="1075">
        <v>240</v>
      </c>
      <c r="F313" s="1076">
        <v>20.93</v>
      </c>
      <c r="G313" s="1076">
        <v>5023.2</v>
      </c>
      <c r="H313" s="1077">
        <f t="shared" si="3"/>
        <v>3.4117692880211828E-4</v>
      </c>
      <c r="I313" s="1078">
        <f t="shared" si="5"/>
        <v>0.9097841581570405</v>
      </c>
      <c r="J313" s="1078" t="str">
        <f t="shared" si="4"/>
        <v>B</v>
      </c>
      <c r="K313" s="1036"/>
      <c r="L313" s="1036"/>
      <c r="M313" s="1036"/>
      <c r="N313" s="1036"/>
      <c r="O313" s="1036"/>
      <c r="P313" s="1036"/>
      <c r="Q313" s="1036"/>
      <c r="R313" s="1036"/>
      <c r="S313" s="1036"/>
      <c r="T313" s="1036"/>
      <c r="U313" s="1036"/>
      <c r="V313" s="1036"/>
      <c r="W313" s="1036"/>
      <c r="X313" s="1036"/>
      <c r="Y313" s="1036"/>
      <c r="Z313" s="1036"/>
    </row>
    <row r="314" spans="1:26" ht="51">
      <c r="A314" s="1072">
        <v>87879</v>
      </c>
      <c r="B314" s="1073" t="s">
        <v>14476</v>
      </c>
      <c r="C314" s="1073" t="s">
        <v>15970</v>
      </c>
      <c r="D314" s="1074" t="s">
        <v>409</v>
      </c>
      <c r="E314" s="1075">
        <v>925.57</v>
      </c>
      <c r="F314" s="1076">
        <v>5.42</v>
      </c>
      <c r="G314" s="1076">
        <v>5016.58</v>
      </c>
      <c r="H314" s="1077">
        <f t="shared" si="3"/>
        <v>3.4072729684068531E-4</v>
      </c>
      <c r="I314" s="1078">
        <f t="shared" si="5"/>
        <v>0.91012488545388115</v>
      </c>
      <c r="J314" s="1078" t="str">
        <f t="shared" si="4"/>
        <v>B</v>
      </c>
      <c r="K314" s="1036"/>
      <c r="L314" s="1036"/>
      <c r="M314" s="1036"/>
      <c r="N314" s="1036"/>
      <c r="O314" s="1036"/>
      <c r="P314" s="1036"/>
      <c r="Q314" s="1036"/>
      <c r="R314" s="1036"/>
      <c r="S314" s="1036"/>
      <c r="T314" s="1036"/>
      <c r="U314" s="1036"/>
      <c r="V314" s="1036"/>
      <c r="W314" s="1036"/>
      <c r="X314" s="1036"/>
      <c r="Y314" s="1036"/>
      <c r="Z314" s="1036"/>
    </row>
    <row r="315" spans="1:26" ht="14.25">
      <c r="A315" s="1072" t="s">
        <v>15292</v>
      </c>
      <c r="B315" s="1073" t="s">
        <v>14472</v>
      </c>
      <c r="C315" s="1073" t="s">
        <v>15971</v>
      </c>
      <c r="D315" s="1074" t="s">
        <v>50</v>
      </c>
      <c r="E315" s="1075">
        <v>60.68</v>
      </c>
      <c r="F315" s="1076">
        <v>82</v>
      </c>
      <c r="G315" s="1076">
        <v>4975.76</v>
      </c>
      <c r="H315" s="1077">
        <f t="shared" si="3"/>
        <v>3.37954792812635E-4</v>
      </c>
      <c r="I315" s="1078">
        <f t="shared" si="5"/>
        <v>0.91046284024669377</v>
      </c>
      <c r="J315" s="1078" t="str">
        <f t="shared" si="4"/>
        <v>B</v>
      </c>
      <c r="K315" s="1036"/>
      <c r="L315" s="1036"/>
      <c r="M315" s="1036"/>
      <c r="N315" s="1036"/>
      <c r="O315" s="1036"/>
      <c r="P315" s="1036"/>
      <c r="Q315" s="1036"/>
      <c r="R315" s="1036"/>
      <c r="S315" s="1036"/>
      <c r="T315" s="1036"/>
      <c r="U315" s="1036"/>
      <c r="V315" s="1036"/>
      <c r="W315" s="1036"/>
      <c r="X315" s="1036"/>
      <c r="Y315" s="1036"/>
      <c r="Z315" s="1036"/>
    </row>
    <row r="316" spans="1:26" ht="38.25">
      <c r="A316" s="1072">
        <v>91928</v>
      </c>
      <c r="B316" s="1073" t="s">
        <v>14476</v>
      </c>
      <c r="C316" s="1073" t="s">
        <v>7855</v>
      </c>
      <c r="D316" s="1074" t="s">
        <v>50</v>
      </c>
      <c r="E316" s="1075">
        <v>575</v>
      </c>
      <c r="F316" s="1076">
        <v>8.6199999999999992</v>
      </c>
      <c r="G316" s="1076">
        <v>4956.5</v>
      </c>
      <c r="H316" s="1077">
        <f t="shared" si="3"/>
        <v>3.3664664906985571E-4</v>
      </c>
      <c r="I316" s="1078">
        <f t="shared" si="5"/>
        <v>0.91079948689576362</v>
      </c>
      <c r="J316" s="1078" t="str">
        <f t="shared" si="4"/>
        <v>B</v>
      </c>
      <c r="K316" s="1036"/>
      <c r="L316" s="1036"/>
      <c r="M316" s="1036"/>
      <c r="N316" s="1036"/>
      <c r="O316" s="1036"/>
      <c r="P316" s="1036"/>
      <c r="Q316" s="1036"/>
      <c r="R316" s="1036"/>
      <c r="S316" s="1036"/>
      <c r="T316" s="1036"/>
      <c r="U316" s="1036"/>
      <c r="V316" s="1036"/>
      <c r="W316" s="1036"/>
      <c r="X316" s="1036"/>
      <c r="Y316" s="1036"/>
      <c r="Z316" s="1036"/>
    </row>
    <row r="317" spans="1:26" ht="51">
      <c r="A317" s="1072">
        <v>89714</v>
      </c>
      <c r="B317" s="1073" t="s">
        <v>14476</v>
      </c>
      <c r="C317" s="1073" t="s">
        <v>8445</v>
      </c>
      <c r="D317" s="1074" t="s">
        <v>50</v>
      </c>
      <c r="E317" s="1075">
        <v>112</v>
      </c>
      <c r="F317" s="1076">
        <v>44.15</v>
      </c>
      <c r="G317" s="1076">
        <v>4944.8</v>
      </c>
      <c r="H317" s="1077">
        <f t="shared" si="3"/>
        <v>3.3585198231022347E-4</v>
      </c>
      <c r="I317" s="1078">
        <f t="shared" si="5"/>
        <v>0.91113533887807385</v>
      </c>
      <c r="J317" s="1078" t="str">
        <f t="shared" si="4"/>
        <v>B</v>
      </c>
      <c r="K317" s="1036"/>
      <c r="L317" s="1036"/>
      <c r="M317" s="1036"/>
      <c r="N317" s="1036"/>
      <c r="O317" s="1036"/>
      <c r="P317" s="1036"/>
      <c r="Q317" s="1036"/>
      <c r="R317" s="1036"/>
      <c r="S317" s="1036"/>
      <c r="T317" s="1036"/>
      <c r="U317" s="1036"/>
      <c r="V317" s="1036"/>
      <c r="W317" s="1036"/>
      <c r="X317" s="1036"/>
      <c r="Y317" s="1036"/>
      <c r="Z317" s="1036"/>
    </row>
    <row r="318" spans="1:26" ht="38.25">
      <c r="A318" s="1072">
        <v>96622</v>
      </c>
      <c r="B318" s="1073" t="s">
        <v>14476</v>
      </c>
      <c r="C318" s="1073" t="s">
        <v>7168</v>
      </c>
      <c r="D318" s="1074" t="s">
        <v>152</v>
      </c>
      <c r="E318" s="1075">
        <v>14.51</v>
      </c>
      <c r="F318" s="1076">
        <v>340.78</v>
      </c>
      <c r="G318" s="1076">
        <v>4944.71</v>
      </c>
      <c r="H318" s="1077">
        <f t="shared" si="3"/>
        <v>3.3584586948899554E-4</v>
      </c>
      <c r="I318" s="1078">
        <f t="shared" si="5"/>
        <v>0.91147118474756283</v>
      </c>
      <c r="J318" s="1078" t="str">
        <f t="shared" si="4"/>
        <v>B</v>
      </c>
      <c r="K318" s="1036"/>
      <c r="L318" s="1036"/>
      <c r="M318" s="1036"/>
      <c r="N318" s="1036"/>
      <c r="O318" s="1036"/>
      <c r="P318" s="1036"/>
      <c r="Q318" s="1036"/>
      <c r="R318" s="1036"/>
      <c r="S318" s="1036"/>
      <c r="T318" s="1036"/>
      <c r="U318" s="1036"/>
      <c r="V318" s="1036"/>
      <c r="W318" s="1036"/>
      <c r="X318" s="1036"/>
      <c r="Y318" s="1036"/>
      <c r="Z318" s="1036"/>
    </row>
    <row r="319" spans="1:26" ht="25.5">
      <c r="A319" s="1072">
        <v>104737</v>
      </c>
      <c r="B319" s="1073" t="s">
        <v>14476</v>
      </c>
      <c r="C319" s="1073" t="s">
        <v>10736</v>
      </c>
      <c r="D319" s="1074" t="s">
        <v>152</v>
      </c>
      <c r="E319" s="1075">
        <v>191.62</v>
      </c>
      <c r="F319" s="1076">
        <v>25.73</v>
      </c>
      <c r="G319" s="1076">
        <v>4930.38</v>
      </c>
      <c r="H319" s="1077">
        <f t="shared" si="3"/>
        <v>3.3487257250903568E-4</v>
      </c>
      <c r="I319" s="1078">
        <f t="shared" si="5"/>
        <v>0.91180605732007192</v>
      </c>
      <c r="J319" s="1078" t="str">
        <f t="shared" si="4"/>
        <v>B</v>
      </c>
      <c r="K319" s="1036"/>
      <c r="L319" s="1036"/>
      <c r="M319" s="1036"/>
      <c r="N319" s="1036"/>
      <c r="O319" s="1036"/>
      <c r="P319" s="1036"/>
      <c r="Q319" s="1036"/>
      <c r="R319" s="1036"/>
      <c r="S319" s="1036"/>
      <c r="T319" s="1036"/>
      <c r="U319" s="1036"/>
      <c r="V319" s="1036"/>
      <c r="W319" s="1036"/>
      <c r="X319" s="1036"/>
      <c r="Y319" s="1036"/>
      <c r="Z319" s="1036"/>
    </row>
    <row r="320" spans="1:26" ht="25.5">
      <c r="A320" s="1072">
        <v>98557</v>
      </c>
      <c r="B320" s="1073" t="s">
        <v>14476</v>
      </c>
      <c r="C320" s="1073" t="s">
        <v>7741</v>
      </c>
      <c r="D320" s="1074" t="s">
        <v>409</v>
      </c>
      <c r="E320" s="1075">
        <v>92.32</v>
      </c>
      <c r="F320" s="1076">
        <v>53.38</v>
      </c>
      <c r="G320" s="1076">
        <v>4928.04</v>
      </c>
      <c r="H320" s="1077">
        <f t="shared" si="3"/>
        <v>3.3471363915710923E-4</v>
      </c>
      <c r="I320" s="1078">
        <f t="shared" si="5"/>
        <v>0.91214077095922907</v>
      </c>
      <c r="J320" s="1078" t="str">
        <f t="shared" si="4"/>
        <v>B</v>
      </c>
      <c r="K320" s="1036"/>
      <c r="L320" s="1036"/>
      <c r="M320" s="1036"/>
      <c r="N320" s="1036"/>
      <c r="O320" s="1036"/>
      <c r="P320" s="1036"/>
      <c r="Q320" s="1036"/>
      <c r="R320" s="1036"/>
      <c r="S320" s="1036"/>
      <c r="T320" s="1036"/>
      <c r="U320" s="1036"/>
      <c r="V320" s="1036"/>
      <c r="W320" s="1036"/>
      <c r="X320" s="1036"/>
      <c r="Y320" s="1036"/>
      <c r="Z320" s="1036"/>
    </row>
    <row r="321" spans="1:26" ht="51">
      <c r="A321" s="1072" t="s">
        <v>14640</v>
      </c>
      <c r="B321" s="1073" t="s">
        <v>14472</v>
      </c>
      <c r="C321" s="1073" t="s">
        <v>14641</v>
      </c>
      <c r="D321" s="1074" t="s">
        <v>409</v>
      </c>
      <c r="E321" s="1075">
        <v>12.93</v>
      </c>
      <c r="F321" s="1076">
        <v>380.05</v>
      </c>
      <c r="G321" s="1076">
        <v>4914.04</v>
      </c>
      <c r="H321" s="1077">
        <f t="shared" si="3"/>
        <v>3.3376275585498514E-4</v>
      </c>
      <c r="I321" s="1078">
        <f t="shared" si="5"/>
        <v>0.91247453371508402</v>
      </c>
      <c r="J321" s="1078" t="str">
        <f t="shared" si="4"/>
        <v>B</v>
      </c>
      <c r="K321" s="1036"/>
      <c r="L321" s="1036"/>
      <c r="M321" s="1036"/>
      <c r="N321" s="1036"/>
      <c r="O321" s="1036"/>
      <c r="P321" s="1036"/>
      <c r="Q321" s="1036"/>
      <c r="R321" s="1036"/>
      <c r="S321" s="1036"/>
      <c r="T321" s="1036"/>
      <c r="U321" s="1036"/>
      <c r="V321" s="1036"/>
      <c r="W321" s="1036"/>
      <c r="X321" s="1036"/>
      <c r="Y321" s="1036"/>
      <c r="Z321" s="1036"/>
    </row>
    <row r="322" spans="1:26" ht="38.25">
      <c r="A322" s="1072">
        <v>104916</v>
      </c>
      <c r="B322" s="1073" t="s">
        <v>14476</v>
      </c>
      <c r="C322" s="1073" t="s">
        <v>7596</v>
      </c>
      <c r="D322" s="1074" t="s">
        <v>54</v>
      </c>
      <c r="E322" s="1075">
        <v>224</v>
      </c>
      <c r="F322" s="1076">
        <v>21.8</v>
      </c>
      <c r="G322" s="1076">
        <v>4883.2</v>
      </c>
      <c r="H322" s="1077">
        <f t="shared" si="3"/>
        <v>3.316680957808775E-4</v>
      </c>
      <c r="I322" s="1078">
        <f t="shared" si="5"/>
        <v>0.91280620181086491</v>
      </c>
      <c r="J322" s="1078" t="str">
        <f t="shared" si="4"/>
        <v>B</v>
      </c>
      <c r="K322" s="1036"/>
      <c r="L322" s="1036"/>
      <c r="M322" s="1036"/>
      <c r="N322" s="1036"/>
      <c r="O322" s="1036"/>
      <c r="P322" s="1036"/>
      <c r="Q322" s="1036"/>
      <c r="R322" s="1036"/>
      <c r="S322" s="1036"/>
      <c r="T322" s="1036"/>
      <c r="U322" s="1036"/>
      <c r="V322" s="1036"/>
      <c r="W322" s="1036"/>
      <c r="X322" s="1036"/>
      <c r="Y322" s="1036"/>
      <c r="Z322" s="1036"/>
    </row>
    <row r="323" spans="1:26" ht="38.25">
      <c r="A323" s="1072" t="s">
        <v>14739</v>
      </c>
      <c r="B323" s="1073" t="s">
        <v>14472</v>
      </c>
      <c r="C323" s="1073" t="s">
        <v>14740</v>
      </c>
      <c r="D323" s="1074" t="s">
        <v>409</v>
      </c>
      <c r="E323" s="1075">
        <v>28.88</v>
      </c>
      <c r="F323" s="1076">
        <v>167.61</v>
      </c>
      <c r="G323" s="1076">
        <v>4840.57</v>
      </c>
      <c r="H323" s="1077">
        <f t="shared" si="3"/>
        <v>3.287726561259097E-4</v>
      </c>
      <c r="I323" s="1078">
        <f t="shared" si="5"/>
        <v>0.91313497446699088</v>
      </c>
      <c r="J323" s="1078" t="str">
        <f t="shared" si="4"/>
        <v>B</v>
      </c>
      <c r="K323" s="1036"/>
      <c r="L323" s="1036"/>
      <c r="M323" s="1036"/>
      <c r="N323" s="1036"/>
      <c r="O323" s="1036"/>
      <c r="P323" s="1036"/>
      <c r="Q323" s="1036"/>
      <c r="R323" s="1036"/>
      <c r="S323" s="1036"/>
      <c r="T323" s="1036"/>
      <c r="U323" s="1036"/>
      <c r="V323" s="1036"/>
      <c r="W323" s="1036"/>
      <c r="X323" s="1036"/>
      <c r="Y323" s="1036"/>
      <c r="Z323" s="1036"/>
    </row>
    <row r="324" spans="1:26" ht="38.25">
      <c r="A324" s="1072">
        <v>96535</v>
      </c>
      <c r="B324" s="1073" t="s">
        <v>14476</v>
      </c>
      <c r="C324" s="1073" t="s">
        <v>7301</v>
      </c>
      <c r="D324" s="1074" t="s">
        <v>409</v>
      </c>
      <c r="E324" s="1075">
        <v>29.12</v>
      </c>
      <c r="F324" s="1076">
        <v>164.12</v>
      </c>
      <c r="G324" s="1076">
        <v>4779.17</v>
      </c>
      <c r="H324" s="1077">
        <f t="shared" si="3"/>
        <v>3.2460235364373697E-4</v>
      </c>
      <c r="I324" s="1078">
        <f t="shared" si="5"/>
        <v>0.91345957682063461</v>
      </c>
      <c r="J324" s="1078" t="str">
        <f t="shared" si="4"/>
        <v>B</v>
      </c>
      <c r="K324" s="1036"/>
      <c r="L324" s="1036"/>
      <c r="M324" s="1036"/>
      <c r="N324" s="1036"/>
      <c r="O324" s="1036"/>
      <c r="P324" s="1036"/>
      <c r="Q324" s="1036"/>
      <c r="R324" s="1036"/>
      <c r="S324" s="1036"/>
      <c r="T324" s="1036"/>
      <c r="U324" s="1036"/>
      <c r="V324" s="1036"/>
      <c r="W324" s="1036"/>
      <c r="X324" s="1036"/>
      <c r="Y324" s="1036"/>
      <c r="Z324" s="1036"/>
    </row>
    <row r="325" spans="1:26" ht="25.5">
      <c r="A325" s="1072">
        <v>96135</v>
      </c>
      <c r="B325" s="1073" t="s">
        <v>14476</v>
      </c>
      <c r="C325" s="1073" t="s">
        <v>11028</v>
      </c>
      <c r="D325" s="1074" t="s">
        <v>409</v>
      </c>
      <c r="E325" s="1075">
        <v>136.16999999999999</v>
      </c>
      <c r="F325" s="1076">
        <v>34.909999999999997</v>
      </c>
      <c r="G325" s="1076">
        <v>4753.6899999999996</v>
      </c>
      <c r="H325" s="1077">
        <f t="shared" si="3"/>
        <v>3.2287174603387115E-4</v>
      </c>
      <c r="I325" s="1078">
        <f t="shared" si="5"/>
        <v>0.91378244856666846</v>
      </c>
      <c r="J325" s="1078" t="str">
        <f t="shared" si="4"/>
        <v>B</v>
      </c>
      <c r="K325" s="1036"/>
      <c r="L325" s="1036"/>
      <c r="M325" s="1036"/>
      <c r="N325" s="1036"/>
      <c r="O325" s="1036"/>
      <c r="P325" s="1036"/>
      <c r="Q325" s="1036"/>
      <c r="R325" s="1036"/>
      <c r="S325" s="1036"/>
      <c r="T325" s="1036"/>
      <c r="U325" s="1036"/>
      <c r="V325" s="1036"/>
      <c r="W325" s="1036"/>
      <c r="X325" s="1036"/>
      <c r="Y325" s="1036"/>
      <c r="Z325" s="1036"/>
    </row>
    <row r="326" spans="1:26" ht="38.25">
      <c r="A326" s="1072" t="s">
        <v>14734</v>
      </c>
      <c r="B326" s="1073" t="s">
        <v>14472</v>
      </c>
      <c r="C326" s="1073" t="s">
        <v>14735</v>
      </c>
      <c r="D326" s="1074" t="s">
        <v>409</v>
      </c>
      <c r="E326" s="1075">
        <v>28.22</v>
      </c>
      <c r="F326" s="1076">
        <v>167.61</v>
      </c>
      <c r="G326" s="1076">
        <v>4729.95</v>
      </c>
      <c r="H326" s="1077">
        <f t="shared" si="3"/>
        <v>3.2125931963441221E-4</v>
      </c>
      <c r="I326" s="1078">
        <f t="shared" si="5"/>
        <v>0.91410370788630291</v>
      </c>
      <c r="J326" s="1078" t="str">
        <f t="shared" si="4"/>
        <v>B</v>
      </c>
      <c r="K326" s="1036"/>
      <c r="L326" s="1036"/>
      <c r="M326" s="1036"/>
      <c r="N326" s="1036"/>
      <c r="O326" s="1036"/>
      <c r="P326" s="1036"/>
      <c r="Q326" s="1036"/>
      <c r="R326" s="1036"/>
      <c r="S326" s="1036"/>
      <c r="T326" s="1036"/>
      <c r="U326" s="1036"/>
      <c r="V326" s="1036"/>
      <c r="W326" s="1036"/>
      <c r="X326" s="1036"/>
      <c r="Y326" s="1036"/>
      <c r="Z326" s="1036"/>
    </row>
    <row r="327" spans="1:26" ht="38.25">
      <c r="A327" s="1072" t="s">
        <v>15282</v>
      </c>
      <c r="B327" s="1073" t="s">
        <v>14472</v>
      </c>
      <c r="C327" s="1073" t="s">
        <v>15283</v>
      </c>
      <c r="D327" s="1074" t="s">
        <v>6</v>
      </c>
      <c r="E327" s="1075">
        <v>26</v>
      </c>
      <c r="F327" s="1076">
        <v>180.45</v>
      </c>
      <c r="G327" s="1076">
        <v>4691.7</v>
      </c>
      <c r="H327" s="1077">
        <f t="shared" si="3"/>
        <v>3.1866137061253749E-4</v>
      </c>
      <c r="I327" s="1078">
        <f t="shared" si="5"/>
        <v>0.91442236925691545</v>
      </c>
      <c r="J327" s="1078" t="str">
        <f t="shared" si="4"/>
        <v>B</v>
      </c>
      <c r="K327" s="1036"/>
      <c r="L327" s="1036"/>
      <c r="M327" s="1036"/>
      <c r="N327" s="1036"/>
      <c r="O327" s="1036"/>
      <c r="P327" s="1036"/>
      <c r="Q327" s="1036"/>
      <c r="R327" s="1036"/>
      <c r="S327" s="1036"/>
      <c r="T327" s="1036"/>
      <c r="U327" s="1036"/>
      <c r="V327" s="1036"/>
      <c r="W327" s="1036"/>
      <c r="X327" s="1036"/>
      <c r="Y327" s="1036"/>
      <c r="Z327" s="1036"/>
    </row>
    <row r="328" spans="1:26" ht="25.5">
      <c r="A328" s="1072" t="s">
        <v>15187</v>
      </c>
      <c r="B328" s="1073" t="s">
        <v>14472</v>
      </c>
      <c r="C328" s="1073" t="s">
        <v>15972</v>
      </c>
      <c r="D328" s="1074" t="s">
        <v>6</v>
      </c>
      <c r="E328" s="1075">
        <v>26</v>
      </c>
      <c r="F328" s="1076">
        <v>178.87</v>
      </c>
      <c r="G328" s="1076">
        <v>4650.62</v>
      </c>
      <c r="H328" s="1077">
        <f t="shared" si="3"/>
        <v>3.1587120732316196E-4</v>
      </c>
      <c r="I328" s="1078">
        <f t="shared" si="5"/>
        <v>0.91473824046423857</v>
      </c>
      <c r="J328" s="1078" t="str">
        <f t="shared" si="4"/>
        <v>B</v>
      </c>
      <c r="K328" s="1036"/>
      <c r="L328" s="1036"/>
      <c r="M328" s="1036"/>
      <c r="N328" s="1036"/>
      <c r="O328" s="1036"/>
      <c r="P328" s="1036"/>
      <c r="Q328" s="1036"/>
      <c r="R328" s="1036"/>
      <c r="S328" s="1036"/>
      <c r="T328" s="1036"/>
      <c r="U328" s="1036"/>
      <c r="V328" s="1036"/>
      <c r="W328" s="1036"/>
      <c r="X328" s="1036"/>
      <c r="Y328" s="1036"/>
      <c r="Z328" s="1036"/>
    </row>
    <row r="329" spans="1:26" ht="38.25">
      <c r="A329" s="1072">
        <v>96536</v>
      </c>
      <c r="B329" s="1073" t="s">
        <v>14476</v>
      </c>
      <c r="C329" s="1073" t="s">
        <v>7302</v>
      </c>
      <c r="D329" s="1074" t="s">
        <v>409</v>
      </c>
      <c r="E329" s="1075">
        <v>50.75</v>
      </c>
      <c r="F329" s="1076">
        <v>89.68</v>
      </c>
      <c r="G329" s="1076">
        <v>4551.26</v>
      </c>
      <c r="H329" s="1077">
        <f t="shared" si="3"/>
        <v>3.0912265268751569E-4</v>
      </c>
      <c r="I329" s="1078">
        <f t="shared" si="5"/>
        <v>0.91504736311692614</v>
      </c>
      <c r="J329" s="1078" t="str">
        <f t="shared" si="4"/>
        <v>B</v>
      </c>
      <c r="K329" s="1036"/>
      <c r="L329" s="1036"/>
      <c r="M329" s="1036"/>
      <c r="N329" s="1036"/>
      <c r="O329" s="1036"/>
      <c r="P329" s="1036"/>
      <c r="Q329" s="1036"/>
      <c r="R329" s="1036"/>
      <c r="S329" s="1036"/>
      <c r="T329" s="1036"/>
      <c r="U329" s="1036"/>
      <c r="V329" s="1036"/>
      <c r="W329" s="1036"/>
      <c r="X329" s="1036"/>
      <c r="Y329" s="1036"/>
      <c r="Z329" s="1036"/>
    </row>
    <row r="330" spans="1:26" ht="25.5">
      <c r="A330" s="1072">
        <v>96113</v>
      </c>
      <c r="B330" s="1073" t="s">
        <v>14476</v>
      </c>
      <c r="C330" s="1073" t="s">
        <v>11508</v>
      </c>
      <c r="D330" s="1074" t="s">
        <v>409</v>
      </c>
      <c r="E330" s="1075">
        <v>78.22</v>
      </c>
      <c r="F330" s="1076">
        <v>57.92</v>
      </c>
      <c r="G330" s="1076">
        <v>4530.5</v>
      </c>
      <c r="H330" s="1077">
        <f t="shared" si="3"/>
        <v>3.0771262859093741E-4</v>
      </c>
      <c r="I330" s="1078">
        <f t="shared" si="5"/>
        <v>0.91535507574551711</v>
      </c>
      <c r="J330" s="1078" t="str">
        <f t="shared" si="4"/>
        <v>B</v>
      </c>
      <c r="K330" s="1036"/>
      <c r="L330" s="1036"/>
      <c r="M330" s="1036"/>
      <c r="N330" s="1036"/>
      <c r="O330" s="1036"/>
      <c r="P330" s="1036"/>
      <c r="Q330" s="1036"/>
      <c r="R330" s="1036"/>
      <c r="S330" s="1036"/>
      <c r="T330" s="1036"/>
      <c r="U330" s="1036"/>
      <c r="V330" s="1036"/>
      <c r="W330" s="1036"/>
      <c r="X330" s="1036"/>
      <c r="Y330" s="1036"/>
      <c r="Z330" s="1036"/>
    </row>
    <row r="331" spans="1:26" ht="38.25">
      <c r="A331" s="1072">
        <v>98511</v>
      </c>
      <c r="B331" s="1073" t="s">
        <v>14476</v>
      </c>
      <c r="C331" s="1073" t="s">
        <v>12066</v>
      </c>
      <c r="D331" s="1074" t="s">
        <v>6</v>
      </c>
      <c r="E331" s="1075">
        <v>16</v>
      </c>
      <c r="F331" s="1076">
        <v>282.81</v>
      </c>
      <c r="G331" s="1076">
        <v>4524.96</v>
      </c>
      <c r="H331" s="1077">
        <f t="shared" si="3"/>
        <v>3.0733635048423973E-4</v>
      </c>
      <c r="I331" s="1078">
        <f t="shared" si="5"/>
        <v>0.9156624120960013</v>
      </c>
      <c r="J331" s="1078" t="str">
        <f t="shared" si="4"/>
        <v>B</v>
      </c>
      <c r="K331" s="1036"/>
      <c r="L331" s="1036"/>
      <c r="M331" s="1036"/>
      <c r="N331" s="1036"/>
      <c r="O331" s="1036"/>
      <c r="P331" s="1036"/>
      <c r="Q331" s="1036"/>
      <c r="R331" s="1036"/>
      <c r="S331" s="1036"/>
      <c r="T331" s="1036"/>
      <c r="U331" s="1036"/>
      <c r="V331" s="1036"/>
      <c r="W331" s="1036"/>
      <c r="X331" s="1036"/>
      <c r="Y331" s="1036"/>
      <c r="Z331" s="1036"/>
    </row>
    <row r="332" spans="1:26" ht="25.5">
      <c r="A332" s="1072">
        <v>93358</v>
      </c>
      <c r="B332" s="1073" t="s">
        <v>14476</v>
      </c>
      <c r="C332" s="1073" t="s">
        <v>10648</v>
      </c>
      <c r="D332" s="1074" t="s">
        <v>152</v>
      </c>
      <c r="E332" s="1075">
        <v>45.02</v>
      </c>
      <c r="F332" s="1076">
        <v>100.47</v>
      </c>
      <c r="G332" s="1076">
        <v>4523.5600000000004</v>
      </c>
      <c r="H332" s="1077">
        <f t="shared" si="3"/>
        <v>3.0724126215402736E-4</v>
      </c>
      <c r="I332" s="1078">
        <f t="shared" si="5"/>
        <v>0.91596965335815528</v>
      </c>
      <c r="J332" s="1078" t="str">
        <f t="shared" si="4"/>
        <v>B</v>
      </c>
      <c r="K332" s="1036"/>
      <c r="L332" s="1036"/>
      <c r="M332" s="1036"/>
      <c r="N332" s="1036"/>
      <c r="O332" s="1036"/>
      <c r="P332" s="1036"/>
      <c r="Q332" s="1036"/>
      <c r="R332" s="1036"/>
      <c r="S332" s="1036"/>
      <c r="T332" s="1036"/>
      <c r="U332" s="1036"/>
      <c r="V332" s="1036"/>
      <c r="W332" s="1036"/>
      <c r="X332" s="1036"/>
      <c r="Y332" s="1036"/>
      <c r="Z332" s="1036"/>
    </row>
    <row r="333" spans="1:26" ht="51">
      <c r="A333" s="1072">
        <v>87879</v>
      </c>
      <c r="B333" s="1073" t="s">
        <v>14476</v>
      </c>
      <c r="C333" s="1073" t="s">
        <v>15970</v>
      </c>
      <c r="D333" s="1074" t="s">
        <v>409</v>
      </c>
      <c r="E333" s="1075">
        <v>830.08</v>
      </c>
      <c r="F333" s="1076">
        <v>5.42</v>
      </c>
      <c r="G333" s="1076">
        <v>4499.03</v>
      </c>
      <c r="H333" s="1077">
        <f t="shared" si="3"/>
        <v>3.055751787682342E-4</v>
      </c>
      <c r="I333" s="1078">
        <f t="shared" si="5"/>
        <v>0.91627522853692356</v>
      </c>
      <c r="J333" s="1078" t="str">
        <f t="shared" si="4"/>
        <v>B</v>
      </c>
      <c r="K333" s="1036"/>
      <c r="L333" s="1036"/>
      <c r="M333" s="1036"/>
      <c r="N333" s="1036"/>
      <c r="O333" s="1036"/>
      <c r="P333" s="1036"/>
      <c r="Q333" s="1036"/>
      <c r="R333" s="1036"/>
      <c r="S333" s="1036"/>
      <c r="T333" s="1036"/>
      <c r="U333" s="1036"/>
      <c r="V333" s="1036"/>
      <c r="W333" s="1036"/>
      <c r="X333" s="1036"/>
      <c r="Y333" s="1036"/>
      <c r="Z333" s="1036"/>
    </row>
    <row r="334" spans="1:26" ht="25.5">
      <c r="A334" s="1072" t="s">
        <v>14765</v>
      </c>
      <c r="B334" s="1073" t="s">
        <v>14472</v>
      </c>
      <c r="C334" s="1073" t="s">
        <v>14766</v>
      </c>
      <c r="D334" s="1074" t="s">
        <v>409</v>
      </c>
      <c r="E334" s="1075">
        <v>139.72</v>
      </c>
      <c r="F334" s="1076">
        <v>31.7</v>
      </c>
      <c r="G334" s="1076">
        <v>4429.12</v>
      </c>
      <c r="H334" s="1077">
        <f t="shared" si="3"/>
        <v>3.0082687507884177E-4</v>
      </c>
      <c r="I334" s="1078">
        <f t="shared" si="5"/>
        <v>0.91657605541200238</v>
      </c>
      <c r="J334" s="1078" t="str">
        <f t="shared" si="4"/>
        <v>B</v>
      </c>
      <c r="K334" s="1036"/>
      <c r="L334" s="1036"/>
      <c r="M334" s="1036"/>
      <c r="N334" s="1036"/>
      <c r="O334" s="1036"/>
      <c r="P334" s="1036"/>
      <c r="Q334" s="1036"/>
      <c r="R334" s="1036"/>
      <c r="S334" s="1036"/>
      <c r="T334" s="1036"/>
      <c r="U334" s="1036"/>
      <c r="V334" s="1036"/>
      <c r="W334" s="1036"/>
      <c r="X334" s="1036"/>
      <c r="Y334" s="1036"/>
      <c r="Z334" s="1036"/>
    </row>
    <row r="335" spans="1:26" ht="38.25">
      <c r="A335" s="1072">
        <v>96619</v>
      </c>
      <c r="B335" s="1073" t="s">
        <v>14476</v>
      </c>
      <c r="C335" s="1073" t="s">
        <v>7165</v>
      </c>
      <c r="D335" s="1074" t="s">
        <v>409</v>
      </c>
      <c r="E335" s="1075">
        <v>84.39</v>
      </c>
      <c r="F335" s="1076">
        <v>52.41</v>
      </c>
      <c r="G335" s="1076">
        <v>4422.87</v>
      </c>
      <c r="H335" s="1077">
        <f t="shared" si="3"/>
        <v>3.0040237360467927E-4</v>
      </c>
      <c r="I335" s="1078">
        <f t="shared" si="5"/>
        <v>0.916876457785607</v>
      </c>
      <c r="J335" s="1078" t="str">
        <f t="shared" si="4"/>
        <v>B</v>
      </c>
      <c r="K335" s="1036"/>
      <c r="L335" s="1036"/>
      <c r="M335" s="1036"/>
      <c r="N335" s="1036"/>
      <c r="O335" s="1036"/>
      <c r="P335" s="1036"/>
      <c r="Q335" s="1036"/>
      <c r="R335" s="1036"/>
      <c r="S335" s="1036"/>
      <c r="T335" s="1036"/>
      <c r="U335" s="1036"/>
      <c r="V335" s="1036"/>
      <c r="W335" s="1036"/>
      <c r="X335" s="1036"/>
      <c r="Y335" s="1036"/>
      <c r="Z335" s="1036"/>
    </row>
    <row r="336" spans="1:26" ht="25.5">
      <c r="A336" s="1072" t="s">
        <v>15097</v>
      </c>
      <c r="B336" s="1073" t="s">
        <v>14472</v>
      </c>
      <c r="C336" s="1073" t="s">
        <v>15098</v>
      </c>
      <c r="D336" s="1074" t="s">
        <v>152</v>
      </c>
      <c r="E336" s="1075">
        <v>20</v>
      </c>
      <c r="F336" s="1076">
        <v>220.1</v>
      </c>
      <c r="G336" s="1076">
        <v>4402</v>
      </c>
      <c r="H336" s="1077">
        <f t="shared" si="3"/>
        <v>2.9898487828215574E-4</v>
      </c>
      <c r="I336" s="1078">
        <f t="shared" si="5"/>
        <v>0.91717544266388917</v>
      </c>
      <c r="J336" s="1078" t="str">
        <f t="shared" si="4"/>
        <v>B</v>
      </c>
      <c r="K336" s="1036"/>
      <c r="L336" s="1036"/>
      <c r="M336" s="1036"/>
      <c r="N336" s="1036"/>
      <c r="O336" s="1036"/>
      <c r="P336" s="1036"/>
      <c r="Q336" s="1036"/>
      <c r="R336" s="1036"/>
      <c r="S336" s="1036"/>
      <c r="T336" s="1036"/>
      <c r="U336" s="1036"/>
      <c r="V336" s="1036"/>
      <c r="W336" s="1036"/>
      <c r="X336" s="1036"/>
      <c r="Y336" s="1036"/>
      <c r="Z336" s="1036"/>
    </row>
    <row r="337" spans="1:26" ht="25.5">
      <c r="A337" s="1072">
        <v>93358</v>
      </c>
      <c r="B337" s="1073" t="s">
        <v>14476</v>
      </c>
      <c r="C337" s="1073" t="s">
        <v>10648</v>
      </c>
      <c r="D337" s="1074" t="s">
        <v>152</v>
      </c>
      <c r="E337" s="1075">
        <v>43.8</v>
      </c>
      <c r="F337" s="1076">
        <v>100.47</v>
      </c>
      <c r="G337" s="1076">
        <v>4400.58</v>
      </c>
      <c r="H337" s="1077">
        <f t="shared" si="3"/>
        <v>2.9888843154722599E-4</v>
      </c>
      <c r="I337" s="1078">
        <f t="shared" si="5"/>
        <v>0.91747433109543641</v>
      </c>
      <c r="J337" s="1078" t="str">
        <f t="shared" si="4"/>
        <v>B</v>
      </c>
      <c r="K337" s="1036"/>
      <c r="L337" s="1036"/>
      <c r="M337" s="1036"/>
      <c r="N337" s="1036"/>
      <c r="O337" s="1036"/>
      <c r="P337" s="1036"/>
      <c r="Q337" s="1036"/>
      <c r="R337" s="1036"/>
      <c r="S337" s="1036"/>
      <c r="T337" s="1036"/>
      <c r="U337" s="1036"/>
      <c r="V337" s="1036"/>
      <c r="W337" s="1036"/>
      <c r="X337" s="1036"/>
      <c r="Y337" s="1036"/>
      <c r="Z337" s="1036"/>
    </row>
    <row r="338" spans="1:26" ht="51">
      <c r="A338" s="1072">
        <v>92431</v>
      </c>
      <c r="B338" s="1073" t="s">
        <v>14476</v>
      </c>
      <c r="C338" s="1073" t="s">
        <v>7221</v>
      </c>
      <c r="D338" s="1074" t="s">
        <v>409</v>
      </c>
      <c r="E338" s="1075">
        <v>47.95</v>
      </c>
      <c r="F338" s="1076">
        <v>91.75</v>
      </c>
      <c r="G338" s="1076">
        <v>4399.41</v>
      </c>
      <c r="H338" s="1077">
        <f t="shared" si="3"/>
        <v>2.9880896487126276E-4</v>
      </c>
      <c r="I338" s="1078">
        <f t="shared" si="5"/>
        <v>0.91777314006030764</v>
      </c>
      <c r="J338" s="1078" t="str">
        <f t="shared" si="4"/>
        <v>B</v>
      </c>
      <c r="K338" s="1036"/>
      <c r="L338" s="1036"/>
      <c r="M338" s="1036"/>
      <c r="N338" s="1036"/>
      <c r="O338" s="1036"/>
      <c r="P338" s="1036"/>
      <c r="Q338" s="1036"/>
      <c r="R338" s="1036"/>
      <c r="S338" s="1036"/>
      <c r="T338" s="1036"/>
      <c r="U338" s="1036"/>
      <c r="V338" s="1036"/>
      <c r="W338" s="1036"/>
      <c r="X338" s="1036"/>
      <c r="Y338" s="1036"/>
      <c r="Z338" s="1036"/>
    </row>
    <row r="339" spans="1:26" ht="25.5">
      <c r="A339" s="1072" t="s">
        <v>15421</v>
      </c>
      <c r="B339" s="1073" t="s">
        <v>14472</v>
      </c>
      <c r="C339" s="1073" t="s">
        <v>15422</v>
      </c>
      <c r="D339" s="1074" t="s">
        <v>6</v>
      </c>
      <c r="E339" s="1075">
        <v>1</v>
      </c>
      <c r="F339" s="1076">
        <v>4375.72</v>
      </c>
      <c r="G339" s="1076">
        <v>4375.72</v>
      </c>
      <c r="H339" s="1077">
        <f t="shared" si="3"/>
        <v>2.9719993448359711E-4</v>
      </c>
      <c r="I339" s="1078">
        <f t="shared" si="5"/>
        <v>0.91807033999479126</v>
      </c>
      <c r="J339" s="1078" t="str">
        <f t="shared" si="4"/>
        <v>B</v>
      </c>
      <c r="K339" s="1036"/>
      <c r="L339" s="1036"/>
      <c r="M339" s="1036"/>
      <c r="N339" s="1036"/>
      <c r="O339" s="1036"/>
      <c r="P339" s="1036"/>
      <c r="Q339" s="1036"/>
      <c r="R339" s="1036"/>
      <c r="S339" s="1036"/>
      <c r="T339" s="1036"/>
      <c r="U339" s="1036"/>
      <c r="V339" s="1036"/>
      <c r="W339" s="1036"/>
      <c r="X339" s="1036"/>
      <c r="Y339" s="1036"/>
      <c r="Z339" s="1036"/>
    </row>
    <row r="340" spans="1:26" ht="51">
      <c r="A340" s="1072" t="s">
        <v>14596</v>
      </c>
      <c r="B340" s="1073" t="s">
        <v>14472</v>
      </c>
      <c r="C340" s="1073" t="s">
        <v>14597</v>
      </c>
      <c r="D340" s="1074" t="s">
        <v>152</v>
      </c>
      <c r="E340" s="1075">
        <v>539.42999999999995</v>
      </c>
      <c r="F340" s="1076">
        <v>8.1</v>
      </c>
      <c r="G340" s="1076">
        <v>4369.38</v>
      </c>
      <c r="H340" s="1077">
        <f t="shared" si="3"/>
        <v>2.9676932018820663E-4</v>
      </c>
      <c r="I340" s="1078">
        <f t="shared" si="5"/>
        <v>0.91836710931497945</v>
      </c>
      <c r="J340" s="1078" t="str">
        <f t="shared" si="4"/>
        <v>B</v>
      </c>
      <c r="K340" s="1036"/>
      <c r="L340" s="1036"/>
      <c r="M340" s="1036"/>
      <c r="N340" s="1036"/>
      <c r="O340" s="1036"/>
      <c r="P340" s="1036"/>
      <c r="Q340" s="1036"/>
      <c r="R340" s="1036"/>
      <c r="S340" s="1036"/>
      <c r="T340" s="1036"/>
      <c r="U340" s="1036"/>
      <c r="V340" s="1036"/>
      <c r="W340" s="1036"/>
      <c r="X340" s="1036"/>
      <c r="Y340" s="1036"/>
      <c r="Z340" s="1036"/>
    </row>
    <row r="341" spans="1:26" ht="51">
      <c r="A341" s="1072">
        <v>91835</v>
      </c>
      <c r="B341" s="1073" t="s">
        <v>14476</v>
      </c>
      <c r="C341" s="1073" t="s">
        <v>7756</v>
      </c>
      <c r="D341" s="1074" t="s">
        <v>50</v>
      </c>
      <c r="E341" s="1075">
        <v>185</v>
      </c>
      <c r="F341" s="1076">
        <v>23.53</v>
      </c>
      <c r="G341" s="1076">
        <v>4353.05</v>
      </c>
      <c r="H341" s="1077">
        <f t="shared" si="3"/>
        <v>2.9566018273651477E-4</v>
      </c>
      <c r="I341" s="1078">
        <f t="shared" si="5"/>
        <v>0.91866276949771597</v>
      </c>
      <c r="J341" s="1078" t="str">
        <f t="shared" si="4"/>
        <v>B</v>
      </c>
      <c r="K341" s="1036"/>
      <c r="L341" s="1036"/>
      <c r="M341" s="1036"/>
      <c r="N341" s="1036"/>
      <c r="O341" s="1036"/>
      <c r="P341" s="1036"/>
      <c r="Q341" s="1036"/>
      <c r="R341" s="1036"/>
      <c r="S341" s="1036"/>
      <c r="T341" s="1036"/>
      <c r="U341" s="1036"/>
      <c r="V341" s="1036"/>
      <c r="W341" s="1036"/>
      <c r="X341" s="1036"/>
      <c r="Y341" s="1036"/>
      <c r="Z341" s="1036"/>
    </row>
    <row r="342" spans="1:26" ht="51">
      <c r="A342" s="1072">
        <v>89712</v>
      </c>
      <c r="B342" s="1073" t="s">
        <v>14476</v>
      </c>
      <c r="C342" s="1073" t="s">
        <v>8443</v>
      </c>
      <c r="D342" s="1074" t="s">
        <v>50</v>
      </c>
      <c r="E342" s="1075">
        <v>136</v>
      </c>
      <c r="F342" s="1076">
        <v>31.7</v>
      </c>
      <c r="G342" s="1076">
        <v>4311.2</v>
      </c>
      <c r="H342" s="1077">
        <f t="shared" si="3"/>
        <v>2.9281772086552245E-4</v>
      </c>
      <c r="I342" s="1078">
        <f t="shared" si="5"/>
        <v>0.9189555872185815</v>
      </c>
      <c r="J342" s="1078" t="str">
        <f t="shared" si="4"/>
        <v>B</v>
      </c>
      <c r="K342" s="1036"/>
      <c r="L342" s="1036"/>
      <c r="M342" s="1036"/>
      <c r="N342" s="1036"/>
      <c r="O342" s="1036"/>
      <c r="P342" s="1036"/>
      <c r="Q342" s="1036"/>
      <c r="R342" s="1036"/>
      <c r="S342" s="1036"/>
      <c r="T342" s="1036"/>
      <c r="U342" s="1036"/>
      <c r="V342" s="1036"/>
      <c r="W342" s="1036"/>
      <c r="X342" s="1036"/>
      <c r="Y342" s="1036"/>
      <c r="Z342" s="1036"/>
    </row>
    <row r="343" spans="1:26" ht="38.25">
      <c r="A343" s="1072">
        <v>91931</v>
      </c>
      <c r="B343" s="1073" t="s">
        <v>14476</v>
      </c>
      <c r="C343" s="1073" t="s">
        <v>7858</v>
      </c>
      <c r="D343" s="1074" t="s">
        <v>50</v>
      </c>
      <c r="E343" s="1075">
        <v>330</v>
      </c>
      <c r="F343" s="1076">
        <v>13.06</v>
      </c>
      <c r="G343" s="1076">
        <v>4309.8</v>
      </c>
      <c r="H343" s="1077">
        <f t="shared" si="3"/>
        <v>2.9272263253531003E-4</v>
      </c>
      <c r="I343" s="1078">
        <f t="shared" si="5"/>
        <v>0.91924830985111683</v>
      </c>
      <c r="J343" s="1078" t="str">
        <f t="shared" si="4"/>
        <v>B</v>
      </c>
      <c r="K343" s="1036"/>
      <c r="L343" s="1036"/>
      <c r="M343" s="1036"/>
      <c r="N343" s="1036"/>
      <c r="O343" s="1036"/>
      <c r="P343" s="1036"/>
      <c r="Q343" s="1036"/>
      <c r="R343" s="1036"/>
      <c r="S343" s="1036"/>
      <c r="T343" s="1036"/>
      <c r="U343" s="1036"/>
      <c r="V343" s="1036"/>
      <c r="W343" s="1036"/>
      <c r="X343" s="1036"/>
      <c r="Y343" s="1036"/>
      <c r="Z343" s="1036"/>
    </row>
    <row r="344" spans="1:26" ht="38.25">
      <c r="A344" s="1072">
        <v>104166</v>
      </c>
      <c r="B344" s="1073" t="s">
        <v>14476</v>
      </c>
      <c r="C344" s="1073" t="s">
        <v>8651</v>
      </c>
      <c r="D344" s="1074" t="s">
        <v>50</v>
      </c>
      <c r="E344" s="1075">
        <v>50</v>
      </c>
      <c r="F344" s="1076">
        <v>86.07</v>
      </c>
      <c r="G344" s="1076">
        <v>4303.5</v>
      </c>
      <c r="H344" s="1077">
        <f t="shared" si="3"/>
        <v>2.9229473504935419E-4</v>
      </c>
      <c r="I344" s="1078">
        <f t="shared" si="5"/>
        <v>0.91954060458616615</v>
      </c>
      <c r="J344" s="1078" t="str">
        <f t="shared" si="4"/>
        <v>B</v>
      </c>
      <c r="K344" s="1036"/>
      <c r="L344" s="1036"/>
      <c r="M344" s="1036"/>
      <c r="N344" s="1036"/>
      <c r="O344" s="1036"/>
      <c r="P344" s="1036"/>
      <c r="Q344" s="1036"/>
      <c r="R344" s="1036"/>
      <c r="S344" s="1036"/>
      <c r="T344" s="1036"/>
      <c r="U344" s="1036"/>
      <c r="V344" s="1036"/>
      <c r="W344" s="1036"/>
      <c r="X344" s="1036"/>
      <c r="Y344" s="1036"/>
      <c r="Z344" s="1036"/>
    </row>
    <row r="345" spans="1:26" ht="38.25">
      <c r="A345" s="1072" t="s">
        <v>14878</v>
      </c>
      <c r="B345" s="1073" t="s">
        <v>14472</v>
      </c>
      <c r="C345" s="1073" t="s">
        <v>14879</v>
      </c>
      <c r="D345" s="1074" t="s">
        <v>50</v>
      </c>
      <c r="E345" s="1075">
        <v>45.06</v>
      </c>
      <c r="F345" s="1076">
        <v>95.18</v>
      </c>
      <c r="G345" s="1076">
        <v>4288.8100000000004</v>
      </c>
      <c r="H345" s="1077">
        <f t="shared" si="3"/>
        <v>2.912969867844826E-4</v>
      </c>
      <c r="I345" s="1078">
        <f t="shared" si="5"/>
        <v>0.91983190157295058</v>
      </c>
      <c r="J345" s="1078" t="str">
        <f t="shared" si="4"/>
        <v>B</v>
      </c>
      <c r="K345" s="1036"/>
      <c r="L345" s="1036"/>
      <c r="M345" s="1036"/>
      <c r="N345" s="1036"/>
      <c r="O345" s="1036"/>
      <c r="P345" s="1036"/>
      <c r="Q345" s="1036"/>
      <c r="R345" s="1036"/>
      <c r="S345" s="1036"/>
      <c r="T345" s="1036"/>
      <c r="U345" s="1036"/>
      <c r="V345" s="1036"/>
      <c r="W345" s="1036"/>
      <c r="X345" s="1036"/>
      <c r="Y345" s="1036"/>
      <c r="Z345" s="1036"/>
    </row>
    <row r="346" spans="1:26" ht="51">
      <c r="A346" s="1072">
        <v>89712</v>
      </c>
      <c r="B346" s="1073" t="s">
        <v>14476</v>
      </c>
      <c r="C346" s="1073" t="s">
        <v>8443</v>
      </c>
      <c r="D346" s="1074" t="s">
        <v>50</v>
      </c>
      <c r="E346" s="1075">
        <v>135</v>
      </c>
      <c r="F346" s="1076">
        <v>31.7</v>
      </c>
      <c r="G346" s="1076">
        <v>4279.5</v>
      </c>
      <c r="H346" s="1077">
        <f t="shared" si="3"/>
        <v>2.9066464938857009E-4</v>
      </c>
      <c r="I346" s="1078">
        <f t="shared" si="5"/>
        <v>0.92012256622233912</v>
      </c>
      <c r="J346" s="1078" t="str">
        <f t="shared" si="4"/>
        <v>B</v>
      </c>
      <c r="K346" s="1036"/>
      <c r="L346" s="1036"/>
      <c r="M346" s="1036"/>
      <c r="N346" s="1036"/>
      <c r="O346" s="1036"/>
      <c r="P346" s="1036"/>
      <c r="Q346" s="1036"/>
      <c r="R346" s="1036"/>
      <c r="S346" s="1036"/>
      <c r="T346" s="1036"/>
      <c r="U346" s="1036"/>
      <c r="V346" s="1036"/>
      <c r="W346" s="1036"/>
      <c r="X346" s="1036"/>
      <c r="Y346" s="1036"/>
      <c r="Z346" s="1036"/>
    </row>
    <row r="347" spans="1:26" ht="51">
      <c r="A347" s="1072">
        <v>92468</v>
      </c>
      <c r="B347" s="1073" t="s">
        <v>14476</v>
      </c>
      <c r="C347" s="1073" t="s">
        <v>7251</v>
      </c>
      <c r="D347" s="1074" t="s">
        <v>409</v>
      </c>
      <c r="E347" s="1075">
        <v>24.54</v>
      </c>
      <c r="F347" s="1076">
        <v>174.35</v>
      </c>
      <c r="G347" s="1076">
        <v>4278.54</v>
      </c>
      <c r="H347" s="1077">
        <f t="shared" si="3"/>
        <v>2.9059944596213869E-4</v>
      </c>
      <c r="I347" s="1078">
        <f t="shared" si="5"/>
        <v>0.92041316566830123</v>
      </c>
      <c r="J347" s="1078" t="str">
        <f t="shared" si="4"/>
        <v>B</v>
      </c>
      <c r="K347" s="1036"/>
      <c r="L347" s="1036"/>
      <c r="M347" s="1036"/>
      <c r="N347" s="1036"/>
      <c r="O347" s="1036"/>
      <c r="P347" s="1036"/>
      <c r="Q347" s="1036"/>
      <c r="R347" s="1036"/>
      <c r="S347" s="1036"/>
      <c r="T347" s="1036"/>
      <c r="U347" s="1036"/>
      <c r="V347" s="1036"/>
      <c r="W347" s="1036"/>
      <c r="X347" s="1036"/>
      <c r="Y347" s="1036"/>
      <c r="Z347" s="1036"/>
    </row>
    <row r="348" spans="1:26" ht="51">
      <c r="A348" s="1072">
        <v>92413</v>
      </c>
      <c r="B348" s="1073" t="s">
        <v>14476</v>
      </c>
      <c r="C348" s="1073" t="s">
        <v>7212</v>
      </c>
      <c r="D348" s="1074" t="s">
        <v>409</v>
      </c>
      <c r="E348" s="1075">
        <v>31.87</v>
      </c>
      <c r="F348" s="1076">
        <v>133.55000000000001</v>
      </c>
      <c r="G348" s="1076">
        <v>4256.2299999999996</v>
      </c>
      <c r="H348" s="1077">
        <f t="shared" si="3"/>
        <v>2.8908414549996808E-4</v>
      </c>
      <c r="I348" s="1078">
        <f t="shared" si="5"/>
        <v>0.92070224981380122</v>
      </c>
      <c r="J348" s="1078" t="str">
        <f t="shared" si="4"/>
        <v>B</v>
      </c>
      <c r="K348" s="1036"/>
      <c r="L348" s="1036"/>
      <c r="M348" s="1036"/>
      <c r="N348" s="1036"/>
      <c r="O348" s="1036"/>
      <c r="P348" s="1036"/>
      <c r="Q348" s="1036"/>
      <c r="R348" s="1036"/>
      <c r="S348" s="1036"/>
      <c r="T348" s="1036"/>
      <c r="U348" s="1036"/>
      <c r="V348" s="1036"/>
      <c r="W348" s="1036"/>
      <c r="X348" s="1036"/>
      <c r="Y348" s="1036"/>
      <c r="Z348" s="1036"/>
    </row>
    <row r="349" spans="1:26" ht="25.5">
      <c r="A349" s="1072" t="s">
        <v>15150</v>
      </c>
      <c r="B349" s="1073" t="s">
        <v>14472</v>
      </c>
      <c r="C349" s="1073" t="s">
        <v>15151</v>
      </c>
      <c r="D349" s="1074" t="s">
        <v>50</v>
      </c>
      <c r="E349" s="1075">
        <v>290</v>
      </c>
      <c r="F349" s="1076">
        <v>14.66</v>
      </c>
      <c r="G349" s="1076">
        <v>4251.3999999999996</v>
      </c>
      <c r="H349" s="1077">
        <f t="shared" si="3"/>
        <v>2.8875609076073528E-4</v>
      </c>
      <c r="I349" s="1078">
        <f t="shared" si="5"/>
        <v>0.92099100590456195</v>
      </c>
      <c r="J349" s="1078" t="str">
        <f t="shared" si="4"/>
        <v>B</v>
      </c>
      <c r="K349" s="1036"/>
      <c r="L349" s="1036"/>
      <c r="M349" s="1036"/>
      <c r="N349" s="1036"/>
      <c r="O349" s="1036"/>
      <c r="P349" s="1036"/>
      <c r="Q349" s="1036"/>
      <c r="R349" s="1036"/>
      <c r="S349" s="1036"/>
      <c r="T349" s="1036"/>
      <c r="U349" s="1036"/>
      <c r="V349" s="1036"/>
      <c r="W349" s="1036"/>
      <c r="X349" s="1036"/>
      <c r="Y349" s="1036"/>
      <c r="Z349" s="1036"/>
    </row>
    <row r="350" spans="1:26" ht="38.25">
      <c r="A350" s="1072" t="s">
        <v>14956</v>
      </c>
      <c r="B350" s="1073" t="s">
        <v>14472</v>
      </c>
      <c r="C350" s="1073" t="s">
        <v>14957</v>
      </c>
      <c r="D350" s="1074" t="s">
        <v>409</v>
      </c>
      <c r="E350" s="1075">
        <v>17.89</v>
      </c>
      <c r="F350" s="1076">
        <v>236.85</v>
      </c>
      <c r="G350" s="1076">
        <v>4236.8900000000003</v>
      </c>
      <c r="H350" s="1077">
        <f t="shared" si="3"/>
        <v>2.8777056813831961E-4</v>
      </c>
      <c r="I350" s="1078">
        <f t="shared" si="5"/>
        <v>0.92127877647270029</v>
      </c>
      <c r="J350" s="1078" t="str">
        <f t="shared" si="4"/>
        <v>B</v>
      </c>
      <c r="K350" s="1036"/>
      <c r="L350" s="1036"/>
      <c r="M350" s="1036"/>
      <c r="N350" s="1036"/>
      <c r="O350" s="1036"/>
      <c r="P350" s="1036"/>
      <c r="Q350" s="1036"/>
      <c r="R350" s="1036"/>
      <c r="S350" s="1036"/>
      <c r="T350" s="1036"/>
      <c r="U350" s="1036"/>
      <c r="V350" s="1036"/>
      <c r="W350" s="1036"/>
      <c r="X350" s="1036"/>
      <c r="Y350" s="1036"/>
      <c r="Z350" s="1036"/>
    </row>
    <row r="351" spans="1:26" ht="38.25">
      <c r="A351" s="1072">
        <v>87299</v>
      </c>
      <c r="B351" s="1073" t="s">
        <v>14476</v>
      </c>
      <c r="C351" s="1073" t="s">
        <v>11550</v>
      </c>
      <c r="D351" s="1074" t="s">
        <v>152</v>
      </c>
      <c r="E351" s="1075">
        <v>7.01</v>
      </c>
      <c r="F351" s="1076">
        <v>601.86</v>
      </c>
      <c r="G351" s="1076">
        <v>4220.8999999999996</v>
      </c>
      <c r="H351" s="1077">
        <f t="shared" si="3"/>
        <v>2.8668452356682211E-4</v>
      </c>
      <c r="I351" s="1078">
        <f t="shared" si="5"/>
        <v>0.92156546099626713</v>
      </c>
      <c r="J351" s="1078" t="str">
        <f t="shared" si="4"/>
        <v>B</v>
      </c>
      <c r="K351" s="1036"/>
      <c r="L351" s="1036"/>
      <c r="M351" s="1036"/>
      <c r="N351" s="1036"/>
      <c r="O351" s="1036"/>
      <c r="P351" s="1036"/>
      <c r="Q351" s="1036"/>
      <c r="R351" s="1036"/>
      <c r="S351" s="1036"/>
      <c r="T351" s="1036"/>
      <c r="U351" s="1036"/>
      <c r="V351" s="1036"/>
      <c r="W351" s="1036"/>
      <c r="X351" s="1036"/>
      <c r="Y351" s="1036"/>
      <c r="Z351" s="1036"/>
    </row>
    <row r="352" spans="1:26" ht="38.25">
      <c r="A352" s="1072" t="s">
        <v>14885</v>
      </c>
      <c r="B352" s="1073" t="s">
        <v>14472</v>
      </c>
      <c r="C352" s="1073" t="s">
        <v>14886</v>
      </c>
      <c r="D352" s="1074" t="s">
        <v>409</v>
      </c>
      <c r="E352" s="1075">
        <v>22.49</v>
      </c>
      <c r="F352" s="1076">
        <v>186.75</v>
      </c>
      <c r="G352" s="1076">
        <v>4200</v>
      </c>
      <c r="H352" s="1077">
        <f t="shared" si="3"/>
        <v>2.8526499063722267E-4</v>
      </c>
      <c r="I352" s="1078">
        <f t="shared" si="5"/>
        <v>0.92185072598690432</v>
      </c>
      <c r="J352" s="1078" t="str">
        <f t="shared" si="4"/>
        <v>B</v>
      </c>
      <c r="K352" s="1036"/>
      <c r="L352" s="1036"/>
      <c r="M352" s="1036"/>
      <c r="N352" s="1036"/>
      <c r="O352" s="1036"/>
      <c r="P352" s="1036"/>
      <c r="Q352" s="1036"/>
      <c r="R352" s="1036"/>
      <c r="S352" s="1036"/>
      <c r="T352" s="1036"/>
      <c r="U352" s="1036"/>
      <c r="V352" s="1036"/>
      <c r="W352" s="1036"/>
      <c r="X352" s="1036"/>
      <c r="Y352" s="1036"/>
      <c r="Z352" s="1036"/>
    </row>
    <row r="353" spans="1:26" ht="25.5">
      <c r="A353" s="1072" t="s">
        <v>15201</v>
      </c>
      <c r="B353" s="1073" t="s">
        <v>14472</v>
      </c>
      <c r="C353" s="1073" t="s">
        <v>15973</v>
      </c>
      <c r="D353" s="1074" t="s">
        <v>6</v>
      </c>
      <c r="E353" s="1075">
        <v>18</v>
      </c>
      <c r="F353" s="1076">
        <v>230.36</v>
      </c>
      <c r="G353" s="1076">
        <v>4146.4799999999996</v>
      </c>
      <c r="H353" s="1077">
        <f t="shared" si="3"/>
        <v>2.8162989961367401E-4</v>
      </c>
      <c r="I353" s="1078">
        <f t="shared" si="5"/>
        <v>0.92213235588651798</v>
      </c>
      <c r="J353" s="1078" t="str">
        <f t="shared" si="4"/>
        <v>B</v>
      </c>
      <c r="K353" s="1036"/>
      <c r="L353" s="1036"/>
      <c r="M353" s="1036"/>
      <c r="N353" s="1036"/>
      <c r="O353" s="1036"/>
      <c r="P353" s="1036"/>
      <c r="Q353" s="1036"/>
      <c r="R353" s="1036"/>
      <c r="S353" s="1036"/>
      <c r="T353" s="1036"/>
      <c r="U353" s="1036"/>
      <c r="V353" s="1036"/>
      <c r="W353" s="1036"/>
      <c r="X353" s="1036"/>
      <c r="Y353" s="1036"/>
      <c r="Z353" s="1036"/>
    </row>
    <row r="354" spans="1:26" ht="51">
      <c r="A354" s="1072">
        <v>89712</v>
      </c>
      <c r="B354" s="1073" t="s">
        <v>14476</v>
      </c>
      <c r="C354" s="1073" t="s">
        <v>8443</v>
      </c>
      <c r="D354" s="1074" t="s">
        <v>50</v>
      </c>
      <c r="E354" s="1075">
        <v>130</v>
      </c>
      <c r="F354" s="1076">
        <v>31.7</v>
      </c>
      <c r="G354" s="1076">
        <v>4121</v>
      </c>
      <c r="H354" s="1077">
        <f t="shared" si="3"/>
        <v>2.7989929200380824E-4</v>
      </c>
      <c r="I354" s="1078">
        <f t="shared" si="5"/>
        <v>0.92241225517852177</v>
      </c>
      <c r="J354" s="1078" t="str">
        <f t="shared" si="4"/>
        <v>B</v>
      </c>
      <c r="K354" s="1036"/>
      <c r="L354" s="1036"/>
      <c r="M354" s="1036"/>
      <c r="N354" s="1036"/>
      <c r="O354" s="1036"/>
      <c r="P354" s="1036"/>
      <c r="Q354" s="1036"/>
      <c r="R354" s="1036"/>
      <c r="S354" s="1036"/>
      <c r="T354" s="1036"/>
      <c r="U354" s="1036"/>
      <c r="V354" s="1036"/>
      <c r="W354" s="1036"/>
      <c r="X354" s="1036"/>
      <c r="Y354" s="1036"/>
      <c r="Z354" s="1036"/>
    </row>
    <row r="355" spans="1:26" ht="51">
      <c r="A355" s="1072">
        <v>87879</v>
      </c>
      <c r="B355" s="1073" t="s">
        <v>14476</v>
      </c>
      <c r="C355" s="1073" t="s">
        <v>15970</v>
      </c>
      <c r="D355" s="1074" t="s">
        <v>409</v>
      </c>
      <c r="E355" s="1075">
        <v>759.04</v>
      </c>
      <c r="F355" s="1076">
        <v>5.42</v>
      </c>
      <c r="G355" s="1076">
        <v>4114</v>
      </c>
      <c r="H355" s="1077">
        <f t="shared" si="3"/>
        <v>2.7942385035274617E-4</v>
      </c>
      <c r="I355" s="1078">
        <f t="shared" si="5"/>
        <v>0.9226916790288745</v>
      </c>
      <c r="J355" s="1078" t="str">
        <f t="shared" si="4"/>
        <v>B</v>
      </c>
      <c r="K355" s="1036"/>
      <c r="L355" s="1036"/>
      <c r="M355" s="1036"/>
      <c r="N355" s="1036"/>
      <c r="O355" s="1036"/>
      <c r="P355" s="1036"/>
      <c r="Q355" s="1036"/>
      <c r="R355" s="1036"/>
      <c r="S355" s="1036"/>
      <c r="T355" s="1036"/>
      <c r="U355" s="1036"/>
      <c r="V355" s="1036"/>
      <c r="W355" s="1036"/>
      <c r="X355" s="1036"/>
      <c r="Y355" s="1036"/>
      <c r="Z355" s="1036"/>
    </row>
    <row r="356" spans="1:26" ht="51">
      <c r="A356" s="1072">
        <v>90466</v>
      </c>
      <c r="B356" s="1073" t="s">
        <v>14476</v>
      </c>
      <c r="C356" s="1073" t="s">
        <v>10391</v>
      </c>
      <c r="D356" s="1074" t="s">
        <v>50</v>
      </c>
      <c r="E356" s="1075">
        <v>222</v>
      </c>
      <c r="F356" s="1076">
        <v>18.350000000000001</v>
      </c>
      <c r="G356" s="1076">
        <v>4073.7</v>
      </c>
      <c r="H356" s="1077">
        <f t="shared" si="3"/>
        <v>2.7668666484734612E-4</v>
      </c>
      <c r="I356" s="1078">
        <f t="shared" si="5"/>
        <v>0.92296836569372187</v>
      </c>
      <c r="J356" s="1078" t="str">
        <f t="shared" si="4"/>
        <v>B</v>
      </c>
      <c r="K356" s="1036"/>
      <c r="L356" s="1036"/>
      <c r="M356" s="1036"/>
      <c r="N356" s="1036"/>
      <c r="O356" s="1036"/>
      <c r="P356" s="1036"/>
      <c r="Q356" s="1036"/>
      <c r="R356" s="1036"/>
      <c r="S356" s="1036"/>
      <c r="T356" s="1036"/>
      <c r="U356" s="1036"/>
      <c r="V356" s="1036"/>
      <c r="W356" s="1036"/>
      <c r="X356" s="1036"/>
      <c r="Y356" s="1036"/>
      <c r="Z356" s="1036"/>
    </row>
    <row r="357" spans="1:26" ht="25.5">
      <c r="A357" s="1072" t="s">
        <v>14620</v>
      </c>
      <c r="B357" s="1073" t="s">
        <v>14472</v>
      </c>
      <c r="C357" s="1073" t="s">
        <v>14621</v>
      </c>
      <c r="D357" s="1074" t="s">
        <v>152</v>
      </c>
      <c r="E357" s="1075">
        <v>3.19</v>
      </c>
      <c r="F357" s="1076">
        <v>1274.5</v>
      </c>
      <c r="G357" s="1076">
        <v>4065.65</v>
      </c>
      <c r="H357" s="1077">
        <f t="shared" si="3"/>
        <v>2.7613990694862482E-4</v>
      </c>
      <c r="I357" s="1078">
        <f t="shared" si="5"/>
        <v>0.92324450560067051</v>
      </c>
      <c r="J357" s="1078" t="str">
        <f t="shared" si="4"/>
        <v>B</v>
      </c>
      <c r="K357" s="1036"/>
      <c r="L357" s="1036"/>
      <c r="M357" s="1036"/>
      <c r="N357" s="1036"/>
      <c r="O357" s="1036"/>
      <c r="P357" s="1036"/>
      <c r="Q357" s="1036"/>
      <c r="R357" s="1036"/>
      <c r="S357" s="1036"/>
      <c r="T357" s="1036"/>
      <c r="U357" s="1036"/>
      <c r="V357" s="1036"/>
      <c r="W357" s="1036"/>
      <c r="X357" s="1036"/>
      <c r="Y357" s="1036"/>
      <c r="Z357" s="1036"/>
    </row>
    <row r="358" spans="1:26" ht="25.5">
      <c r="A358" s="1072">
        <v>96985</v>
      </c>
      <c r="B358" s="1073" t="s">
        <v>14476</v>
      </c>
      <c r="C358" s="1073" t="s">
        <v>8265</v>
      </c>
      <c r="D358" s="1074" t="s">
        <v>6</v>
      </c>
      <c r="E358" s="1075">
        <v>43</v>
      </c>
      <c r="F358" s="1076">
        <v>93.82</v>
      </c>
      <c r="G358" s="1076">
        <v>4034.26</v>
      </c>
      <c r="H358" s="1077">
        <f t="shared" si="3"/>
        <v>2.7400789074479091E-4</v>
      </c>
      <c r="I358" s="1078">
        <f t="shared" si="5"/>
        <v>0.92351851349141534</v>
      </c>
      <c r="J358" s="1078" t="str">
        <f t="shared" si="4"/>
        <v>B</v>
      </c>
      <c r="K358" s="1036"/>
      <c r="L358" s="1036"/>
      <c r="M358" s="1036"/>
      <c r="N358" s="1036"/>
      <c r="O358" s="1036"/>
      <c r="P358" s="1036"/>
      <c r="Q358" s="1036"/>
      <c r="R358" s="1036"/>
      <c r="S358" s="1036"/>
      <c r="T358" s="1036"/>
      <c r="U358" s="1036"/>
      <c r="V358" s="1036"/>
      <c r="W358" s="1036"/>
      <c r="X358" s="1036"/>
      <c r="Y358" s="1036"/>
      <c r="Z358" s="1036"/>
    </row>
    <row r="359" spans="1:26" ht="51">
      <c r="A359" s="1072">
        <v>89714</v>
      </c>
      <c r="B359" s="1073" t="s">
        <v>14476</v>
      </c>
      <c r="C359" s="1073" t="s">
        <v>8445</v>
      </c>
      <c r="D359" s="1074" t="s">
        <v>50</v>
      </c>
      <c r="E359" s="1075">
        <v>91</v>
      </c>
      <c r="F359" s="1076">
        <v>44.15</v>
      </c>
      <c r="G359" s="1076">
        <v>4017.65</v>
      </c>
      <c r="H359" s="1077">
        <f t="shared" si="3"/>
        <v>2.7287973562705657E-4</v>
      </c>
      <c r="I359" s="1078">
        <f t="shared" si="5"/>
        <v>0.9237913932270424</v>
      </c>
      <c r="J359" s="1078" t="str">
        <f t="shared" si="4"/>
        <v>B</v>
      </c>
      <c r="K359" s="1036"/>
      <c r="L359" s="1036"/>
      <c r="M359" s="1036"/>
      <c r="N359" s="1036"/>
      <c r="O359" s="1036"/>
      <c r="P359" s="1036"/>
      <c r="Q359" s="1036"/>
      <c r="R359" s="1036"/>
      <c r="S359" s="1036"/>
      <c r="T359" s="1036"/>
      <c r="U359" s="1036"/>
      <c r="V359" s="1036"/>
      <c r="W359" s="1036"/>
      <c r="X359" s="1036"/>
      <c r="Y359" s="1036"/>
      <c r="Z359" s="1036"/>
    </row>
    <row r="360" spans="1:26" ht="38.25">
      <c r="A360" s="1072" t="s">
        <v>15286</v>
      </c>
      <c r="B360" s="1073" t="s">
        <v>14472</v>
      </c>
      <c r="C360" s="1073" t="s">
        <v>15287</v>
      </c>
      <c r="D360" s="1074" t="s">
        <v>6</v>
      </c>
      <c r="E360" s="1075">
        <v>46</v>
      </c>
      <c r="F360" s="1076">
        <v>87.07</v>
      </c>
      <c r="G360" s="1076">
        <v>4005.22</v>
      </c>
      <c r="H360" s="1077">
        <f t="shared" si="3"/>
        <v>2.7203548709524208E-4</v>
      </c>
      <c r="I360" s="1078">
        <f t="shared" si="5"/>
        <v>0.9240634287141376</v>
      </c>
      <c r="J360" s="1078" t="str">
        <f t="shared" si="4"/>
        <v>B</v>
      </c>
      <c r="K360" s="1036"/>
      <c r="L360" s="1036"/>
      <c r="M360" s="1036"/>
      <c r="N360" s="1036"/>
      <c r="O360" s="1036"/>
      <c r="P360" s="1036"/>
      <c r="Q360" s="1036"/>
      <c r="R360" s="1036"/>
      <c r="S360" s="1036"/>
      <c r="T360" s="1036"/>
      <c r="U360" s="1036"/>
      <c r="V360" s="1036"/>
      <c r="W360" s="1036"/>
      <c r="X360" s="1036"/>
      <c r="Y360" s="1036"/>
      <c r="Z360" s="1036"/>
    </row>
    <row r="361" spans="1:26" ht="25.5">
      <c r="A361" s="1072" t="s">
        <v>15454</v>
      </c>
      <c r="B361" s="1073" t="s">
        <v>14472</v>
      </c>
      <c r="C361" s="1073" t="s">
        <v>15455</v>
      </c>
      <c r="D361" s="1074" t="s">
        <v>6</v>
      </c>
      <c r="E361" s="1075">
        <v>1</v>
      </c>
      <c r="F361" s="1076">
        <v>3986.8</v>
      </c>
      <c r="G361" s="1076">
        <v>3986.8</v>
      </c>
      <c r="H361" s="1077">
        <f t="shared" si="3"/>
        <v>2.707843963505903E-4</v>
      </c>
      <c r="I361" s="1078">
        <f t="shared" si="5"/>
        <v>0.92433421311048825</v>
      </c>
      <c r="J361" s="1078" t="str">
        <f t="shared" si="4"/>
        <v>B</v>
      </c>
      <c r="K361" s="1036"/>
      <c r="L361" s="1036"/>
      <c r="M361" s="1036"/>
      <c r="N361" s="1036"/>
      <c r="O361" s="1036"/>
      <c r="P361" s="1036"/>
      <c r="Q361" s="1036"/>
      <c r="R361" s="1036"/>
      <c r="S361" s="1036"/>
      <c r="T361" s="1036"/>
      <c r="U361" s="1036"/>
      <c r="V361" s="1036"/>
      <c r="W361" s="1036"/>
      <c r="X361" s="1036"/>
      <c r="Y361" s="1036"/>
      <c r="Z361" s="1036"/>
    </row>
    <row r="362" spans="1:26" ht="38.25">
      <c r="A362" s="1072" t="s">
        <v>14732</v>
      </c>
      <c r="B362" s="1073" t="s">
        <v>14472</v>
      </c>
      <c r="C362" s="1073" t="s">
        <v>14733</v>
      </c>
      <c r="D362" s="1074" t="s">
        <v>409</v>
      </c>
      <c r="E362" s="1075">
        <v>13.09</v>
      </c>
      <c r="F362" s="1076">
        <v>304.16000000000003</v>
      </c>
      <c r="G362" s="1076">
        <v>3981.45</v>
      </c>
      <c r="H362" s="1077">
        <f t="shared" si="3"/>
        <v>2.7042102308870713E-4</v>
      </c>
      <c r="I362" s="1078">
        <f t="shared" si="5"/>
        <v>0.92460463413357696</v>
      </c>
      <c r="J362" s="1078" t="str">
        <f t="shared" si="4"/>
        <v>B</v>
      </c>
      <c r="K362" s="1036"/>
      <c r="L362" s="1036"/>
      <c r="M362" s="1036"/>
      <c r="N362" s="1036"/>
      <c r="O362" s="1036"/>
      <c r="P362" s="1036"/>
      <c r="Q362" s="1036"/>
      <c r="R362" s="1036"/>
      <c r="S362" s="1036"/>
      <c r="T362" s="1036"/>
      <c r="U362" s="1036"/>
      <c r="V362" s="1036"/>
      <c r="W362" s="1036"/>
      <c r="X362" s="1036"/>
      <c r="Y362" s="1036"/>
      <c r="Z362" s="1036"/>
    </row>
    <row r="363" spans="1:26" ht="38.25">
      <c r="A363" s="1072">
        <v>92764</v>
      </c>
      <c r="B363" s="1073" t="s">
        <v>14476</v>
      </c>
      <c r="C363" s="1073" t="s">
        <v>7433</v>
      </c>
      <c r="D363" s="1074" t="s">
        <v>54</v>
      </c>
      <c r="E363" s="1075">
        <v>311.14999999999998</v>
      </c>
      <c r="F363" s="1076">
        <v>12.73</v>
      </c>
      <c r="G363" s="1076">
        <v>3960.93</v>
      </c>
      <c r="H363" s="1077">
        <f t="shared" si="3"/>
        <v>2.6902729984873674E-4</v>
      </c>
      <c r="I363" s="1078">
        <f t="shared" si="5"/>
        <v>0.92487366143342575</v>
      </c>
      <c r="J363" s="1078" t="str">
        <f t="shared" si="4"/>
        <v>B</v>
      </c>
      <c r="K363" s="1036"/>
      <c r="L363" s="1036"/>
      <c r="M363" s="1036"/>
      <c r="N363" s="1036"/>
      <c r="O363" s="1036"/>
      <c r="P363" s="1036"/>
      <c r="Q363" s="1036"/>
      <c r="R363" s="1036"/>
      <c r="S363" s="1036"/>
      <c r="T363" s="1036"/>
      <c r="U363" s="1036"/>
      <c r="V363" s="1036"/>
      <c r="W363" s="1036"/>
      <c r="X363" s="1036"/>
      <c r="Y363" s="1036"/>
      <c r="Z363" s="1036"/>
    </row>
    <row r="364" spans="1:26" ht="25.5">
      <c r="A364" s="1072">
        <v>102609</v>
      </c>
      <c r="B364" s="1073" t="s">
        <v>14476</v>
      </c>
      <c r="C364" s="1073" t="s">
        <v>10057</v>
      </c>
      <c r="D364" s="1074" t="s">
        <v>6</v>
      </c>
      <c r="E364" s="1075">
        <v>3</v>
      </c>
      <c r="F364" s="1076">
        <v>1316.21</v>
      </c>
      <c r="G364" s="1076">
        <v>3948.63</v>
      </c>
      <c r="H364" s="1077">
        <f t="shared" si="3"/>
        <v>2.6819188094758488E-4</v>
      </c>
      <c r="I364" s="1078">
        <f t="shared" si="5"/>
        <v>0.92514185331437337</v>
      </c>
      <c r="J364" s="1078" t="str">
        <f t="shared" si="4"/>
        <v>B</v>
      </c>
      <c r="K364" s="1036"/>
      <c r="L364" s="1036"/>
      <c r="M364" s="1036"/>
      <c r="N364" s="1036"/>
      <c r="O364" s="1036"/>
      <c r="P364" s="1036"/>
      <c r="Q364" s="1036"/>
      <c r="R364" s="1036"/>
      <c r="S364" s="1036"/>
      <c r="T364" s="1036"/>
      <c r="U364" s="1036"/>
      <c r="V364" s="1036"/>
      <c r="W364" s="1036"/>
      <c r="X364" s="1036"/>
      <c r="Y364" s="1036"/>
      <c r="Z364" s="1036"/>
    </row>
    <row r="365" spans="1:26" ht="25.5">
      <c r="A365" s="1072">
        <v>102609</v>
      </c>
      <c r="B365" s="1073" t="s">
        <v>14476</v>
      </c>
      <c r="C365" s="1073" t="s">
        <v>10057</v>
      </c>
      <c r="D365" s="1074" t="s">
        <v>6</v>
      </c>
      <c r="E365" s="1075">
        <v>3</v>
      </c>
      <c r="F365" s="1076">
        <v>1316.21</v>
      </c>
      <c r="G365" s="1076">
        <v>3948.63</v>
      </c>
      <c r="H365" s="1077">
        <f t="shared" si="3"/>
        <v>2.6819188094758488E-4</v>
      </c>
      <c r="I365" s="1078">
        <f t="shared" si="5"/>
        <v>0.925410045195321</v>
      </c>
      <c r="J365" s="1078" t="str">
        <f t="shared" si="4"/>
        <v>B</v>
      </c>
      <c r="K365" s="1036"/>
      <c r="L365" s="1036"/>
      <c r="M365" s="1036"/>
      <c r="N365" s="1036"/>
      <c r="O365" s="1036"/>
      <c r="P365" s="1036"/>
      <c r="Q365" s="1036"/>
      <c r="R365" s="1036"/>
      <c r="S365" s="1036"/>
      <c r="T365" s="1036"/>
      <c r="U365" s="1036"/>
      <c r="V365" s="1036"/>
      <c r="W365" s="1036"/>
      <c r="X365" s="1036"/>
      <c r="Y365" s="1036"/>
      <c r="Z365" s="1036"/>
    </row>
    <row r="366" spans="1:26" ht="14.25">
      <c r="A366" s="1072" t="s">
        <v>15091</v>
      </c>
      <c r="B366" s="1073" t="s">
        <v>14472</v>
      </c>
      <c r="C366" s="1073" t="s">
        <v>15092</v>
      </c>
      <c r="D366" s="1074" t="s">
        <v>6</v>
      </c>
      <c r="E366" s="1075">
        <v>84</v>
      </c>
      <c r="F366" s="1076">
        <v>46.72</v>
      </c>
      <c r="G366" s="1076">
        <v>3924.48</v>
      </c>
      <c r="H366" s="1077">
        <f t="shared" si="3"/>
        <v>2.6655160725142082E-4</v>
      </c>
      <c r="I366" s="1078">
        <f t="shared" si="5"/>
        <v>0.92567659680257242</v>
      </c>
      <c r="J366" s="1078" t="str">
        <f t="shared" si="4"/>
        <v>B</v>
      </c>
      <c r="K366" s="1036"/>
      <c r="L366" s="1036"/>
      <c r="M366" s="1036"/>
      <c r="N366" s="1036"/>
      <c r="O366" s="1036"/>
      <c r="P366" s="1036"/>
      <c r="Q366" s="1036"/>
      <c r="R366" s="1036"/>
      <c r="S366" s="1036"/>
      <c r="T366" s="1036"/>
      <c r="U366" s="1036"/>
      <c r="V366" s="1036"/>
      <c r="W366" s="1036"/>
      <c r="X366" s="1036"/>
      <c r="Y366" s="1036"/>
      <c r="Z366" s="1036"/>
    </row>
    <row r="367" spans="1:26" ht="51">
      <c r="A367" s="1072">
        <v>97906</v>
      </c>
      <c r="B367" s="1073" t="s">
        <v>14476</v>
      </c>
      <c r="C367" s="1073" t="s">
        <v>10017</v>
      </c>
      <c r="D367" s="1074" t="s">
        <v>6</v>
      </c>
      <c r="E367" s="1075">
        <v>7</v>
      </c>
      <c r="F367" s="1076">
        <v>559.72</v>
      </c>
      <c r="G367" s="1076">
        <v>3918.04</v>
      </c>
      <c r="H367" s="1077">
        <f t="shared" si="3"/>
        <v>2.6611420093244377E-4</v>
      </c>
      <c r="I367" s="1078">
        <f t="shared" si="5"/>
        <v>0.92594271100350489</v>
      </c>
      <c r="J367" s="1078" t="str">
        <f t="shared" si="4"/>
        <v>B</v>
      </c>
      <c r="K367" s="1036"/>
      <c r="L367" s="1036"/>
      <c r="M367" s="1036"/>
      <c r="N367" s="1036"/>
      <c r="O367" s="1036"/>
      <c r="P367" s="1036"/>
      <c r="Q367" s="1036"/>
      <c r="R367" s="1036"/>
      <c r="S367" s="1036"/>
      <c r="T367" s="1036"/>
      <c r="U367" s="1036"/>
      <c r="V367" s="1036"/>
      <c r="W367" s="1036"/>
      <c r="X367" s="1036"/>
      <c r="Y367" s="1036"/>
      <c r="Z367" s="1036"/>
    </row>
    <row r="368" spans="1:26" ht="25.5">
      <c r="A368" s="1072" t="s">
        <v>15076</v>
      </c>
      <c r="B368" s="1073" t="s">
        <v>14472</v>
      </c>
      <c r="C368" s="1073" t="s">
        <v>15974</v>
      </c>
      <c r="D368" s="1074" t="s">
        <v>50</v>
      </c>
      <c r="E368" s="1075">
        <v>18.5</v>
      </c>
      <c r="F368" s="1076">
        <v>211.46</v>
      </c>
      <c r="G368" s="1076">
        <v>3912.01</v>
      </c>
      <c r="H368" s="1077">
        <f t="shared" si="3"/>
        <v>2.6570464191017179E-4</v>
      </c>
      <c r="I368" s="1078">
        <f t="shared" si="5"/>
        <v>0.92620841564541512</v>
      </c>
      <c r="J368" s="1078" t="str">
        <f t="shared" si="4"/>
        <v>B</v>
      </c>
      <c r="K368" s="1036"/>
      <c r="L368" s="1036"/>
      <c r="M368" s="1036"/>
      <c r="N368" s="1036"/>
      <c r="O368" s="1036"/>
      <c r="P368" s="1036"/>
      <c r="Q368" s="1036"/>
      <c r="R368" s="1036"/>
      <c r="S368" s="1036"/>
      <c r="T368" s="1036"/>
      <c r="U368" s="1036"/>
      <c r="V368" s="1036"/>
      <c r="W368" s="1036"/>
      <c r="X368" s="1036"/>
      <c r="Y368" s="1036"/>
      <c r="Z368" s="1036"/>
    </row>
    <row r="369" spans="1:26" ht="25.5">
      <c r="A369" s="1072">
        <v>95305</v>
      </c>
      <c r="B369" s="1073" t="s">
        <v>14476</v>
      </c>
      <c r="C369" s="1073" t="s">
        <v>11012</v>
      </c>
      <c r="D369" s="1074" t="s">
        <v>409</v>
      </c>
      <c r="E369" s="1075">
        <v>243.5</v>
      </c>
      <c r="F369" s="1076">
        <v>15.93</v>
      </c>
      <c r="G369" s="1076">
        <v>3879.01</v>
      </c>
      <c r="H369" s="1077">
        <f t="shared" si="3"/>
        <v>2.6346327412659357E-4</v>
      </c>
      <c r="I369" s="1078">
        <f t="shared" si="5"/>
        <v>0.92647187891954175</v>
      </c>
      <c r="J369" s="1078" t="str">
        <f t="shared" si="4"/>
        <v>B</v>
      </c>
      <c r="K369" s="1036"/>
      <c r="L369" s="1036"/>
      <c r="M369" s="1036"/>
      <c r="N369" s="1036"/>
      <c r="O369" s="1036"/>
      <c r="P369" s="1036"/>
      <c r="Q369" s="1036"/>
      <c r="R369" s="1036"/>
      <c r="S369" s="1036"/>
      <c r="T369" s="1036"/>
      <c r="U369" s="1036"/>
      <c r="V369" s="1036"/>
      <c r="W369" s="1036"/>
      <c r="X369" s="1036"/>
      <c r="Y369" s="1036"/>
      <c r="Z369" s="1036"/>
    </row>
    <row r="370" spans="1:26" ht="38.25">
      <c r="A370" s="1072">
        <v>92764</v>
      </c>
      <c r="B370" s="1073" t="s">
        <v>14476</v>
      </c>
      <c r="C370" s="1073" t="s">
        <v>7433</v>
      </c>
      <c r="D370" s="1074" t="s">
        <v>54</v>
      </c>
      <c r="E370" s="1075">
        <v>301.2</v>
      </c>
      <c r="F370" s="1076">
        <v>12.73</v>
      </c>
      <c r="G370" s="1076">
        <v>3834.27</v>
      </c>
      <c r="H370" s="1077">
        <f t="shared" si="3"/>
        <v>2.6042452277394846E-4</v>
      </c>
      <c r="I370" s="1078">
        <f t="shared" si="5"/>
        <v>0.92673230344231572</v>
      </c>
      <c r="J370" s="1078" t="str">
        <f t="shared" si="4"/>
        <v>B</v>
      </c>
      <c r="K370" s="1036"/>
      <c r="L370" s="1036"/>
      <c r="M370" s="1036"/>
      <c r="N370" s="1036"/>
      <c r="O370" s="1036"/>
      <c r="P370" s="1036"/>
      <c r="Q370" s="1036"/>
      <c r="R370" s="1036"/>
      <c r="S370" s="1036"/>
      <c r="T370" s="1036"/>
      <c r="U370" s="1036"/>
      <c r="V370" s="1036"/>
      <c r="W370" s="1036"/>
      <c r="X370" s="1036"/>
      <c r="Y370" s="1036"/>
      <c r="Z370" s="1036"/>
    </row>
    <row r="371" spans="1:26" ht="63.75">
      <c r="A371" s="1072" t="s">
        <v>15399</v>
      </c>
      <c r="B371" s="1073" t="s">
        <v>14472</v>
      </c>
      <c r="C371" s="1073" t="s">
        <v>15400</v>
      </c>
      <c r="D371" s="1074" t="s">
        <v>6</v>
      </c>
      <c r="E371" s="1075">
        <v>1</v>
      </c>
      <c r="F371" s="1076">
        <v>3814.52</v>
      </c>
      <c r="G371" s="1076">
        <v>3814.52</v>
      </c>
      <c r="H371" s="1077">
        <f t="shared" si="3"/>
        <v>2.5908309811559487E-4</v>
      </c>
      <c r="I371" s="1078">
        <f t="shared" si="5"/>
        <v>0.92699138654043134</v>
      </c>
      <c r="J371" s="1078" t="str">
        <f t="shared" si="4"/>
        <v>B</v>
      </c>
      <c r="K371" s="1036"/>
      <c r="L371" s="1036"/>
      <c r="M371" s="1036"/>
      <c r="N371" s="1036"/>
      <c r="O371" s="1036"/>
      <c r="P371" s="1036"/>
      <c r="Q371" s="1036"/>
      <c r="R371" s="1036"/>
      <c r="S371" s="1036"/>
      <c r="T371" s="1036"/>
      <c r="U371" s="1036"/>
      <c r="V371" s="1036"/>
      <c r="W371" s="1036"/>
      <c r="X371" s="1036"/>
      <c r="Y371" s="1036"/>
      <c r="Z371" s="1036"/>
    </row>
    <row r="372" spans="1:26" ht="51">
      <c r="A372" s="1072">
        <v>92524</v>
      </c>
      <c r="B372" s="1073" t="s">
        <v>14476</v>
      </c>
      <c r="C372" s="1073" t="s">
        <v>7285</v>
      </c>
      <c r="D372" s="1074" t="s">
        <v>409</v>
      </c>
      <c r="E372" s="1075">
        <v>32.880000000000003</v>
      </c>
      <c r="F372" s="1076">
        <v>115.63</v>
      </c>
      <c r="G372" s="1076">
        <v>3801.91</v>
      </c>
      <c r="H372" s="1077">
        <f t="shared" si="3"/>
        <v>2.5822662394132457E-4</v>
      </c>
      <c r="I372" s="1078">
        <f t="shared" si="5"/>
        <v>0.92724961316437271</v>
      </c>
      <c r="J372" s="1078" t="str">
        <f t="shared" si="4"/>
        <v>B</v>
      </c>
      <c r="K372" s="1036"/>
      <c r="L372" s="1036"/>
      <c r="M372" s="1036"/>
      <c r="N372" s="1036"/>
      <c r="O372" s="1036"/>
      <c r="P372" s="1036"/>
      <c r="Q372" s="1036"/>
      <c r="R372" s="1036"/>
      <c r="S372" s="1036"/>
      <c r="T372" s="1036"/>
      <c r="U372" s="1036"/>
      <c r="V372" s="1036"/>
      <c r="W372" s="1036"/>
      <c r="X372" s="1036"/>
      <c r="Y372" s="1036"/>
      <c r="Z372" s="1036"/>
    </row>
    <row r="373" spans="1:26" ht="25.5">
      <c r="A373" s="1072" t="s">
        <v>15442</v>
      </c>
      <c r="B373" s="1073" t="s">
        <v>14472</v>
      </c>
      <c r="C373" s="1073" t="s">
        <v>15959</v>
      </c>
      <c r="D373" s="1074" t="s">
        <v>6</v>
      </c>
      <c r="E373" s="1075">
        <v>1</v>
      </c>
      <c r="F373" s="1076">
        <v>3794</v>
      </c>
      <c r="G373" s="1076">
        <v>3794</v>
      </c>
      <c r="H373" s="1077">
        <f t="shared" si="3"/>
        <v>2.5768937487562443E-4</v>
      </c>
      <c r="I373" s="1078">
        <f t="shared" si="5"/>
        <v>0.92750730253924829</v>
      </c>
      <c r="J373" s="1078" t="str">
        <f t="shared" si="4"/>
        <v>B</v>
      </c>
      <c r="K373" s="1036"/>
      <c r="L373" s="1036"/>
      <c r="M373" s="1036"/>
      <c r="N373" s="1036"/>
      <c r="O373" s="1036"/>
      <c r="P373" s="1036"/>
      <c r="Q373" s="1036"/>
      <c r="R373" s="1036"/>
      <c r="S373" s="1036"/>
      <c r="T373" s="1036"/>
      <c r="U373" s="1036"/>
      <c r="V373" s="1036"/>
      <c r="W373" s="1036"/>
      <c r="X373" s="1036"/>
      <c r="Y373" s="1036"/>
      <c r="Z373" s="1036"/>
    </row>
    <row r="374" spans="1:26" ht="25.5">
      <c r="A374" s="1072">
        <v>95577</v>
      </c>
      <c r="B374" s="1073" t="s">
        <v>14476</v>
      </c>
      <c r="C374" s="1073" t="s">
        <v>7477</v>
      </c>
      <c r="D374" s="1074" t="s">
        <v>54</v>
      </c>
      <c r="E374" s="1075">
        <v>250.5</v>
      </c>
      <c r="F374" s="1076">
        <v>15.06</v>
      </c>
      <c r="G374" s="1076">
        <v>3772.53</v>
      </c>
      <c r="H374" s="1077">
        <f t="shared" si="3"/>
        <v>2.5623112741158133E-4</v>
      </c>
      <c r="I374" s="1078">
        <f t="shared" si="5"/>
        <v>0.92776353366665987</v>
      </c>
      <c r="J374" s="1078" t="str">
        <f t="shared" si="4"/>
        <v>B</v>
      </c>
      <c r="K374" s="1036"/>
      <c r="L374" s="1036"/>
      <c r="M374" s="1036"/>
      <c r="N374" s="1036"/>
      <c r="O374" s="1036"/>
      <c r="P374" s="1036"/>
      <c r="Q374" s="1036"/>
      <c r="R374" s="1036"/>
      <c r="S374" s="1036"/>
      <c r="T374" s="1036"/>
      <c r="U374" s="1036"/>
      <c r="V374" s="1036"/>
      <c r="W374" s="1036"/>
      <c r="X374" s="1036"/>
      <c r="Y374" s="1036"/>
      <c r="Z374" s="1036"/>
    </row>
    <row r="375" spans="1:26" ht="51">
      <c r="A375" s="1072">
        <v>98062</v>
      </c>
      <c r="B375" s="1073" t="s">
        <v>14476</v>
      </c>
      <c r="C375" s="1073" t="s">
        <v>10195</v>
      </c>
      <c r="D375" s="1074" t="s">
        <v>6</v>
      </c>
      <c r="E375" s="1075">
        <v>1</v>
      </c>
      <c r="F375" s="1076">
        <v>3759.25</v>
      </c>
      <c r="G375" s="1076">
        <v>3759.25</v>
      </c>
      <c r="H375" s="1077">
        <f t="shared" si="3"/>
        <v>2.5532914667928075E-4</v>
      </c>
      <c r="I375" s="1078">
        <f t="shared" si="5"/>
        <v>0.92801886281333912</v>
      </c>
      <c r="J375" s="1078" t="str">
        <f t="shared" si="4"/>
        <v>B</v>
      </c>
      <c r="K375" s="1036"/>
      <c r="L375" s="1036"/>
      <c r="M375" s="1036"/>
      <c r="N375" s="1036"/>
      <c r="O375" s="1036"/>
      <c r="P375" s="1036"/>
      <c r="Q375" s="1036"/>
      <c r="R375" s="1036"/>
      <c r="S375" s="1036"/>
      <c r="T375" s="1036"/>
      <c r="U375" s="1036"/>
      <c r="V375" s="1036"/>
      <c r="W375" s="1036"/>
      <c r="X375" s="1036"/>
      <c r="Y375" s="1036"/>
      <c r="Z375" s="1036"/>
    </row>
    <row r="376" spans="1:26" ht="25.5">
      <c r="A376" s="1072" t="s">
        <v>14870</v>
      </c>
      <c r="B376" s="1073" t="s">
        <v>14472</v>
      </c>
      <c r="C376" s="1073" t="s">
        <v>14871</v>
      </c>
      <c r="D376" s="1074" t="s">
        <v>409</v>
      </c>
      <c r="E376" s="1075">
        <v>17.920000000000002</v>
      </c>
      <c r="F376" s="1076">
        <v>208.93</v>
      </c>
      <c r="G376" s="1076">
        <v>3744.02</v>
      </c>
      <c r="H376" s="1077">
        <f t="shared" si="3"/>
        <v>2.5429472148704151E-4</v>
      </c>
      <c r="I376" s="1078">
        <f t="shared" si="5"/>
        <v>0.9282731575348262</v>
      </c>
      <c r="J376" s="1078" t="str">
        <f t="shared" si="4"/>
        <v>B</v>
      </c>
      <c r="K376" s="1036"/>
      <c r="L376" s="1036"/>
      <c r="M376" s="1036"/>
      <c r="N376" s="1036"/>
      <c r="O376" s="1036"/>
      <c r="P376" s="1036"/>
      <c r="Q376" s="1036"/>
      <c r="R376" s="1036"/>
      <c r="S376" s="1036"/>
      <c r="T376" s="1036"/>
      <c r="U376" s="1036"/>
      <c r="V376" s="1036"/>
      <c r="W376" s="1036"/>
      <c r="X376" s="1036"/>
      <c r="Y376" s="1036"/>
      <c r="Z376" s="1036"/>
    </row>
    <row r="377" spans="1:26" ht="38.25">
      <c r="A377" s="1072">
        <v>104918</v>
      </c>
      <c r="B377" s="1073" t="s">
        <v>14476</v>
      </c>
      <c r="C377" s="1073" t="s">
        <v>7515</v>
      </c>
      <c r="D377" s="1074" t="s">
        <v>54</v>
      </c>
      <c r="E377" s="1075">
        <v>192.2</v>
      </c>
      <c r="F377" s="1076">
        <v>19.420000000000002</v>
      </c>
      <c r="G377" s="1076">
        <v>3732.52</v>
      </c>
      <c r="H377" s="1077">
        <f t="shared" si="3"/>
        <v>2.5351363877458246E-4</v>
      </c>
      <c r="I377" s="1078">
        <f t="shared" si="5"/>
        <v>0.92852667117360077</v>
      </c>
      <c r="J377" s="1078" t="str">
        <f t="shared" si="4"/>
        <v>B</v>
      </c>
      <c r="K377" s="1036"/>
      <c r="L377" s="1036"/>
      <c r="M377" s="1036"/>
      <c r="N377" s="1036"/>
      <c r="O377" s="1036"/>
      <c r="P377" s="1036"/>
      <c r="Q377" s="1036"/>
      <c r="R377" s="1036"/>
      <c r="S377" s="1036"/>
      <c r="T377" s="1036"/>
      <c r="U377" s="1036"/>
      <c r="V377" s="1036"/>
      <c r="W377" s="1036"/>
      <c r="X377" s="1036"/>
      <c r="Y377" s="1036"/>
      <c r="Z377" s="1036"/>
    </row>
    <row r="378" spans="1:26" ht="25.5">
      <c r="A378" s="1072">
        <v>88485</v>
      </c>
      <c r="B378" s="1073" t="s">
        <v>14476</v>
      </c>
      <c r="C378" s="1073" t="s">
        <v>11005</v>
      </c>
      <c r="D378" s="1074" t="s">
        <v>409</v>
      </c>
      <c r="E378" s="1075">
        <v>925.57</v>
      </c>
      <c r="F378" s="1076">
        <v>4.03</v>
      </c>
      <c r="G378" s="1076">
        <v>3730.04</v>
      </c>
      <c r="H378" s="1077">
        <f t="shared" si="3"/>
        <v>2.5334519658963474E-4</v>
      </c>
      <c r="I378" s="1078">
        <f t="shared" si="5"/>
        <v>0.92878001637019036</v>
      </c>
      <c r="J378" s="1078" t="str">
        <f t="shared" si="4"/>
        <v>B</v>
      </c>
      <c r="K378" s="1036"/>
      <c r="L378" s="1036"/>
      <c r="M378" s="1036"/>
      <c r="N378" s="1036"/>
      <c r="O378" s="1036"/>
      <c r="P378" s="1036"/>
      <c r="Q378" s="1036"/>
      <c r="R378" s="1036"/>
      <c r="S378" s="1036"/>
      <c r="T378" s="1036"/>
      <c r="U378" s="1036"/>
      <c r="V378" s="1036"/>
      <c r="W378" s="1036"/>
      <c r="X378" s="1036"/>
      <c r="Y378" s="1036"/>
      <c r="Z378" s="1036"/>
    </row>
    <row r="379" spans="1:26" ht="38.25">
      <c r="A379" s="1072">
        <v>92760</v>
      </c>
      <c r="B379" s="1073" t="s">
        <v>14476</v>
      </c>
      <c r="C379" s="1073" t="s">
        <v>7429</v>
      </c>
      <c r="D379" s="1074" t="s">
        <v>54</v>
      </c>
      <c r="E379" s="1075">
        <v>206.4</v>
      </c>
      <c r="F379" s="1076">
        <v>18.059999999999999</v>
      </c>
      <c r="G379" s="1076">
        <v>3727.58</v>
      </c>
      <c r="H379" s="1077">
        <f t="shared" si="3"/>
        <v>2.5317811280940435E-4</v>
      </c>
      <c r="I379" s="1078">
        <f t="shared" si="5"/>
        <v>0.92903319448299981</v>
      </c>
      <c r="J379" s="1078" t="str">
        <f t="shared" si="4"/>
        <v>B</v>
      </c>
      <c r="K379" s="1036"/>
      <c r="L379" s="1036"/>
      <c r="M379" s="1036"/>
      <c r="N379" s="1036"/>
      <c r="O379" s="1036"/>
      <c r="P379" s="1036"/>
      <c r="Q379" s="1036"/>
      <c r="R379" s="1036"/>
      <c r="S379" s="1036"/>
      <c r="T379" s="1036"/>
      <c r="U379" s="1036"/>
      <c r="V379" s="1036"/>
      <c r="W379" s="1036"/>
      <c r="X379" s="1036"/>
      <c r="Y379" s="1036"/>
      <c r="Z379" s="1036"/>
    </row>
    <row r="380" spans="1:26" ht="38.25">
      <c r="A380" s="1072" t="s">
        <v>14622</v>
      </c>
      <c r="B380" s="1073" t="s">
        <v>14472</v>
      </c>
      <c r="C380" s="1073" t="s">
        <v>15964</v>
      </c>
      <c r="D380" s="1074" t="s">
        <v>152</v>
      </c>
      <c r="E380" s="1075">
        <v>3.33</v>
      </c>
      <c r="F380" s="1076">
        <v>1117.8</v>
      </c>
      <c r="G380" s="1076">
        <v>3722.27</v>
      </c>
      <c r="H380" s="1077">
        <f t="shared" si="3"/>
        <v>2.5281745635695588E-4</v>
      </c>
      <c r="I380" s="1078">
        <f t="shared" si="5"/>
        <v>0.92928601193935678</v>
      </c>
      <c r="J380" s="1078" t="str">
        <f t="shared" si="4"/>
        <v>B</v>
      </c>
      <c r="K380" s="1036"/>
      <c r="L380" s="1036"/>
      <c r="M380" s="1036"/>
      <c r="N380" s="1036"/>
      <c r="O380" s="1036"/>
      <c r="P380" s="1036"/>
      <c r="Q380" s="1036"/>
      <c r="R380" s="1036"/>
      <c r="S380" s="1036"/>
      <c r="T380" s="1036"/>
      <c r="U380" s="1036"/>
      <c r="V380" s="1036"/>
      <c r="W380" s="1036"/>
      <c r="X380" s="1036"/>
      <c r="Y380" s="1036"/>
      <c r="Z380" s="1036"/>
    </row>
    <row r="381" spans="1:26" ht="38.25">
      <c r="A381" s="1072">
        <v>91926</v>
      </c>
      <c r="B381" s="1073" t="s">
        <v>14476</v>
      </c>
      <c r="C381" s="1073" t="s">
        <v>7853</v>
      </c>
      <c r="D381" s="1074" t="s">
        <v>50</v>
      </c>
      <c r="E381" s="1075">
        <v>671</v>
      </c>
      <c r="F381" s="1076">
        <v>5.53</v>
      </c>
      <c r="G381" s="1076">
        <v>3710.63</v>
      </c>
      <c r="H381" s="1077">
        <f t="shared" si="3"/>
        <v>2.5202686481147561E-4</v>
      </c>
      <c r="I381" s="1078">
        <f t="shared" si="5"/>
        <v>0.9295380388041683</v>
      </c>
      <c r="J381" s="1078" t="str">
        <f t="shared" si="4"/>
        <v>B</v>
      </c>
      <c r="K381" s="1036"/>
      <c r="L381" s="1036"/>
      <c r="M381" s="1036"/>
      <c r="N381" s="1036"/>
      <c r="O381" s="1036"/>
      <c r="P381" s="1036"/>
      <c r="Q381" s="1036"/>
      <c r="R381" s="1036"/>
      <c r="S381" s="1036"/>
      <c r="T381" s="1036"/>
      <c r="U381" s="1036"/>
      <c r="V381" s="1036"/>
      <c r="W381" s="1036"/>
      <c r="X381" s="1036"/>
      <c r="Y381" s="1036"/>
      <c r="Z381" s="1036"/>
    </row>
    <row r="382" spans="1:26" ht="38.25">
      <c r="A382" s="1072" t="s">
        <v>15277</v>
      </c>
      <c r="B382" s="1073" t="s">
        <v>14472</v>
      </c>
      <c r="C382" s="1073" t="s">
        <v>15968</v>
      </c>
      <c r="D382" s="1074" t="s">
        <v>6</v>
      </c>
      <c r="E382" s="1075">
        <v>12</v>
      </c>
      <c r="F382" s="1076">
        <v>307.47000000000003</v>
      </c>
      <c r="G382" s="1076">
        <v>3689.64</v>
      </c>
      <c r="H382" s="1077">
        <f t="shared" si="3"/>
        <v>2.5060121906064813E-4</v>
      </c>
      <c r="I382" s="1078">
        <f t="shared" si="5"/>
        <v>0.92978864002322892</v>
      </c>
      <c r="J382" s="1078" t="str">
        <f t="shared" si="4"/>
        <v>B</v>
      </c>
      <c r="K382" s="1036"/>
      <c r="L382" s="1036"/>
      <c r="M382" s="1036"/>
      <c r="N382" s="1036"/>
      <c r="O382" s="1036"/>
      <c r="P382" s="1036"/>
      <c r="Q382" s="1036"/>
      <c r="R382" s="1036"/>
      <c r="S382" s="1036"/>
      <c r="T382" s="1036"/>
      <c r="U382" s="1036"/>
      <c r="V382" s="1036"/>
      <c r="W382" s="1036"/>
      <c r="X382" s="1036"/>
      <c r="Y382" s="1036"/>
      <c r="Z382" s="1036"/>
    </row>
    <row r="383" spans="1:26" ht="38.25">
      <c r="A383" s="1072">
        <v>96535</v>
      </c>
      <c r="B383" s="1073" t="s">
        <v>14476</v>
      </c>
      <c r="C383" s="1073" t="s">
        <v>7301</v>
      </c>
      <c r="D383" s="1074" t="s">
        <v>409</v>
      </c>
      <c r="E383" s="1075">
        <v>22.32</v>
      </c>
      <c r="F383" s="1076">
        <v>164.12</v>
      </c>
      <c r="G383" s="1076">
        <v>3663.15</v>
      </c>
      <c r="H383" s="1077">
        <f t="shared" si="3"/>
        <v>2.4880201201255768E-4</v>
      </c>
      <c r="I383" s="1078">
        <f t="shared" si="5"/>
        <v>0.93003744203524152</v>
      </c>
      <c r="J383" s="1078" t="str">
        <f t="shared" si="4"/>
        <v>B</v>
      </c>
      <c r="K383" s="1036"/>
      <c r="L383" s="1036"/>
      <c r="M383" s="1036"/>
      <c r="N383" s="1036"/>
      <c r="O383" s="1036"/>
      <c r="P383" s="1036"/>
      <c r="Q383" s="1036"/>
      <c r="R383" s="1036"/>
      <c r="S383" s="1036"/>
      <c r="T383" s="1036"/>
      <c r="U383" s="1036"/>
      <c r="V383" s="1036"/>
      <c r="W383" s="1036"/>
      <c r="X383" s="1036"/>
      <c r="Y383" s="1036"/>
      <c r="Z383" s="1036"/>
    </row>
    <row r="384" spans="1:26" ht="25.5">
      <c r="A384" s="1072" t="s">
        <v>14938</v>
      </c>
      <c r="B384" s="1073" t="s">
        <v>14472</v>
      </c>
      <c r="C384" s="1073" t="s">
        <v>15975</v>
      </c>
      <c r="D384" s="1074" t="s">
        <v>409</v>
      </c>
      <c r="E384" s="1075">
        <v>90.64</v>
      </c>
      <c r="F384" s="1076">
        <v>40.33</v>
      </c>
      <c r="G384" s="1076">
        <v>3655.51</v>
      </c>
      <c r="H384" s="1077">
        <f t="shared" si="3"/>
        <v>2.4828310141054139E-4</v>
      </c>
      <c r="I384" s="1078">
        <f t="shared" si="5"/>
        <v>0.93028572513665209</v>
      </c>
      <c r="J384" s="1078" t="str">
        <f t="shared" si="4"/>
        <v>B</v>
      </c>
      <c r="K384" s="1036"/>
      <c r="L384" s="1036"/>
      <c r="M384" s="1036"/>
      <c r="N384" s="1036"/>
      <c r="O384" s="1036"/>
      <c r="P384" s="1036"/>
      <c r="Q384" s="1036"/>
      <c r="R384" s="1036"/>
      <c r="S384" s="1036"/>
      <c r="T384" s="1036"/>
      <c r="U384" s="1036"/>
      <c r="V384" s="1036"/>
      <c r="W384" s="1036"/>
      <c r="X384" s="1036"/>
      <c r="Y384" s="1036"/>
      <c r="Z384" s="1036"/>
    </row>
    <row r="385" spans="1:26" ht="38.25">
      <c r="A385" s="1072">
        <v>96558</v>
      </c>
      <c r="B385" s="1073" t="s">
        <v>14476</v>
      </c>
      <c r="C385" s="1073" t="s">
        <v>7548</v>
      </c>
      <c r="D385" s="1074" t="s">
        <v>152</v>
      </c>
      <c r="E385" s="1075">
        <v>2.89</v>
      </c>
      <c r="F385" s="1076">
        <v>1262.0999999999999</v>
      </c>
      <c r="G385" s="1076">
        <v>3647.46</v>
      </c>
      <c r="H385" s="1077">
        <f t="shared" si="3"/>
        <v>2.4773634351182004E-4</v>
      </c>
      <c r="I385" s="1078">
        <f t="shared" si="5"/>
        <v>0.93053346148016391</v>
      </c>
      <c r="J385" s="1078" t="str">
        <f t="shared" si="4"/>
        <v>B</v>
      </c>
      <c r="K385" s="1036"/>
      <c r="L385" s="1036"/>
      <c r="M385" s="1036"/>
      <c r="N385" s="1036"/>
      <c r="O385" s="1036"/>
      <c r="P385" s="1036"/>
      <c r="Q385" s="1036"/>
      <c r="R385" s="1036"/>
      <c r="S385" s="1036"/>
      <c r="T385" s="1036"/>
      <c r="U385" s="1036"/>
      <c r="V385" s="1036"/>
      <c r="W385" s="1036"/>
      <c r="X385" s="1036"/>
      <c r="Y385" s="1036"/>
      <c r="Z385" s="1036"/>
    </row>
    <row r="386" spans="1:26" ht="14.25">
      <c r="A386" s="1072" t="s">
        <v>14760</v>
      </c>
      <c r="B386" s="1073" t="s">
        <v>14472</v>
      </c>
      <c r="C386" s="1073" t="s">
        <v>14761</v>
      </c>
      <c r="D386" s="1074" t="s">
        <v>409</v>
      </c>
      <c r="E386" s="1075">
        <v>34.24</v>
      </c>
      <c r="F386" s="1076">
        <v>106.51</v>
      </c>
      <c r="G386" s="1076">
        <v>3646.9</v>
      </c>
      <c r="H386" s="1077">
        <f t="shared" si="3"/>
        <v>2.4769830817973507E-4</v>
      </c>
      <c r="I386" s="1078">
        <f t="shared" si="5"/>
        <v>0.93078115978834364</v>
      </c>
      <c r="J386" s="1078" t="str">
        <f t="shared" si="4"/>
        <v>B</v>
      </c>
      <c r="K386" s="1036"/>
      <c r="L386" s="1036"/>
      <c r="M386" s="1036"/>
      <c r="N386" s="1036"/>
      <c r="O386" s="1036"/>
      <c r="P386" s="1036"/>
      <c r="Q386" s="1036"/>
      <c r="R386" s="1036"/>
      <c r="S386" s="1036"/>
      <c r="T386" s="1036"/>
      <c r="U386" s="1036"/>
      <c r="V386" s="1036"/>
      <c r="W386" s="1036"/>
      <c r="X386" s="1036"/>
      <c r="Y386" s="1036"/>
      <c r="Z386" s="1036"/>
    </row>
    <row r="387" spans="1:26" ht="38.25">
      <c r="A387" s="1072">
        <v>103979</v>
      </c>
      <c r="B387" s="1073" t="s">
        <v>14476</v>
      </c>
      <c r="C387" s="1073" t="s">
        <v>8649</v>
      </c>
      <c r="D387" s="1074" t="s">
        <v>50</v>
      </c>
      <c r="E387" s="1075">
        <v>110</v>
      </c>
      <c r="F387" s="1076">
        <v>33.03</v>
      </c>
      <c r="G387" s="1076">
        <v>3633.3</v>
      </c>
      <c r="H387" s="1077">
        <f t="shared" si="3"/>
        <v>2.467745929719574E-4</v>
      </c>
      <c r="I387" s="1078">
        <f t="shared" si="5"/>
        <v>0.93102793438131559</v>
      </c>
      <c r="J387" s="1078" t="str">
        <f t="shared" si="4"/>
        <v>B</v>
      </c>
      <c r="K387" s="1036"/>
      <c r="L387" s="1036"/>
      <c r="M387" s="1036"/>
      <c r="N387" s="1036"/>
      <c r="O387" s="1036"/>
      <c r="P387" s="1036"/>
      <c r="Q387" s="1036"/>
      <c r="R387" s="1036"/>
      <c r="S387" s="1036"/>
      <c r="T387" s="1036"/>
      <c r="U387" s="1036"/>
      <c r="V387" s="1036"/>
      <c r="W387" s="1036"/>
      <c r="X387" s="1036"/>
      <c r="Y387" s="1036"/>
      <c r="Z387" s="1036"/>
    </row>
    <row r="388" spans="1:26" ht="38.25">
      <c r="A388" s="1072" t="s">
        <v>14622</v>
      </c>
      <c r="B388" s="1073" t="s">
        <v>14472</v>
      </c>
      <c r="C388" s="1073" t="s">
        <v>15964</v>
      </c>
      <c r="D388" s="1074" t="s">
        <v>152</v>
      </c>
      <c r="E388" s="1075">
        <v>3.25</v>
      </c>
      <c r="F388" s="1076">
        <v>1117.8</v>
      </c>
      <c r="G388" s="1076">
        <v>3632.85</v>
      </c>
      <c r="H388" s="1077">
        <f t="shared" si="3"/>
        <v>2.4674402886581769E-4</v>
      </c>
      <c r="I388" s="1078">
        <f t="shared" si="5"/>
        <v>0.93127467841018141</v>
      </c>
      <c r="J388" s="1078" t="str">
        <f t="shared" si="4"/>
        <v>B</v>
      </c>
      <c r="K388" s="1036"/>
      <c r="L388" s="1036"/>
      <c r="M388" s="1036"/>
      <c r="N388" s="1036"/>
      <c r="O388" s="1036"/>
      <c r="P388" s="1036"/>
      <c r="Q388" s="1036"/>
      <c r="R388" s="1036"/>
      <c r="S388" s="1036"/>
      <c r="T388" s="1036"/>
      <c r="U388" s="1036"/>
      <c r="V388" s="1036"/>
      <c r="W388" s="1036"/>
      <c r="X388" s="1036"/>
      <c r="Y388" s="1036"/>
      <c r="Z388" s="1036"/>
    </row>
    <row r="389" spans="1:26" ht="51">
      <c r="A389" s="1072" t="s">
        <v>12604</v>
      </c>
      <c r="B389" s="1073" t="s">
        <v>14472</v>
      </c>
      <c r="C389" s="1073" t="s">
        <v>15937</v>
      </c>
      <c r="D389" s="1074" t="s">
        <v>409</v>
      </c>
      <c r="E389" s="1075">
        <v>25.51</v>
      </c>
      <c r="F389" s="1076">
        <v>142.27000000000001</v>
      </c>
      <c r="G389" s="1076">
        <v>3629.3</v>
      </c>
      <c r="H389" s="1077">
        <f t="shared" si="3"/>
        <v>2.4650291202849337E-4</v>
      </c>
      <c r="I389" s="1078">
        <f t="shared" si="5"/>
        <v>0.93152118132220996</v>
      </c>
      <c r="J389" s="1078" t="str">
        <f t="shared" si="4"/>
        <v>B</v>
      </c>
      <c r="K389" s="1036"/>
      <c r="L389" s="1036"/>
      <c r="M389" s="1036"/>
      <c r="N389" s="1036"/>
      <c r="O389" s="1036"/>
      <c r="P389" s="1036"/>
      <c r="Q389" s="1036"/>
      <c r="R389" s="1036"/>
      <c r="S389" s="1036"/>
      <c r="T389" s="1036"/>
      <c r="U389" s="1036"/>
      <c r="V389" s="1036"/>
      <c r="W389" s="1036"/>
      <c r="X389" s="1036"/>
      <c r="Y389" s="1036"/>
      <c r="Z389" s="1036"/>
    </row>
    <row r="390" spans="1:26" ht="38.25">
      <c r="A390" s="1072">
        <v>92762</v>
      </c>
      <c r="B390" s="1073" t="s">
        <v>14476</v>
      </c>
      <c r="C390" s="1073" t="s">
        <v>7431</v>
      </c>
      <c r="D390" s="1074" t="s">
        <v>54</v>
      </c>
      <c r="E390" s="1075">
        <v>234</v>
      </c>
      <c r="F390" s="1076">
        <v>15.5</v>
      </c>
      <c r="G390" s="1076">
        <v>3627</v>
      </c>
      <c r="H390" s="1077">
        <f t="shared" si="3"/>
        <v>2.4634669548600157E-4</v>
      </c>
      <c r="I390" s="1078">
        <f t="shared" si="5"/>
        <v>0.93176752801769591</v>
      </c>
      <c r="J390" s="1078" t="str">
        <f t="shared" si="4"/>
        <v>B</v>
      </c>
      <c r="K390" s="1036"/>
      <c r="L390" s="1036"/>
      <c r="M390" s="1036"/>
      <c r="N390" s="1036"/>
      <c r="O390" s="1036"/>
      <c r="P390" s="1036"/>
      <c r="Q390" s="1036"/>
      <c r="R390" s="1036"/>
      <c r="S390" s="1036"/>
      <c r="T390" s="1036"/>
      <c r="U390" s="1036"/>
      <c r="V390" s="1036"/>
      <c r="W390" s="1036"/>
      <c r="X390" s="1036"/>
      <c r="Y390" s="1036"/>
      <c r="Z390" s="1036"/>
    </row>
    <row r="391" spans="1:26" ht="25.5">
      <c r="A391" s="1072" t="s">
        <v>14590</v>
      </c>
      <c r="B391" s="1073" t="s">
        <v>14472</v>
      </c>
      <c r="C391" s="1073" t="s">
        <v>14591</v>
      </c>
      <c r="D391" s="1074" t="s">
        <v>152</v>
      </c>
      <c r="E391" s="1075">
        <v>3.27</v>
      </c>
      <c r="F391" s="1076">
        <v>1085.23</v>
      </c>
      <c r="G391" s="1076">
        <v>3548.7</v>
      </c>
      <c r="H391" s="1077">
        <f t="shared" si="3"/>
        <v>2.4102854101769333E-4</v>
      </c>
      <c r="I391" s="1078">
        <f t="shared" si="5"/>
        <v>0.93200855655871362</v>
      </c>
      <c r="J391" s="1078" t="str">
        <f t="shared" si="4"/>
        <v>B</v>
      </c>
      <c r="K391" s="1036"/>
      <c r="L391" s="1036"/>
      <c r="M391" s="1036"/>
      <c r="N391" s="1036"/>
      <c r="O391" s="1036"/>
      <c r="P391" s="1036"/>
      <c r="Q391" s="1036"/>
      <c r="R391" s="1036"/>
      <c r="S391" s="1036"/>
      <c r="T391" s="1036"/>
      <c r="U391" s="1036"/>
      <c r="V391" s="1036"/>
      <c r="W391" s="1036"/>
      <c r="X391" s="1036"/>
      <c r="Y391" s="1036"/>
      <c r="Z391" s="1036"/>
    </row>
    <row r="392" spans="1:26" ht="25.5">
      <c r="A392" s="1072" t="s">
        <v>15012</v>
      </c>
      <c r="B392" s="1073" t="s">
        <v>14472</v>
      </c>
      <c r="C392" s="1073" t="s">
        <v>15013</v>
      </c>
      <c r="D392" s="1074" t="s">
        <v>409</v>
      </c>
      <c r="E392" s="1075">
        <v>4.96</v>
      </c>
      <c r="F392" s="1076">
        <v>712.07</v>
      </c>
      <c r="G392" s="1076">
        <v>3531.86</v>
      </c>
      <c r="H392" s="1077">
        <f t="shared" si="3"/>
        <v>2.3988476424570982E-4</v>
      </c>
      <c r="I392" s="1078">
        <f t="shared" si="5"/>
        <v>0.93224844132295936</v>
      </c>
      <c r="J392" s="1078" t="str">
        <f t="shared" si="4"/>
        <v>B</v>
      </c>
      <c r="K392" s="1036"/>
      <c r="L392" s="1036"/>
      <c r="M392" s="1036"/>
      <c r="N392" s="1036"/>
      <c r="O392" s="1036"/>
      <c r="P392" s="1036"/>
      <c r="Q392" s="1036"/>
      <c r="R392" s="1036"/>
      <c r="S392" s="1036"/>
      <c r="T392" s="1036"/>
      <c r="U392" s="1036"/>
      <c r="V392" s="1036"/>
      <c r="W392" s="1036"/>
      <c r="X392" s="1036"/>
      <c r="Y392" s="1036"/>
      <c r="Z392" s="1036"/>
    </row>
    <row r="393" spans="1:26" ht="38.25">
      <c r="A393" s="1072">
        <v>104919</v>
      </c>
      <c r="B393" s="1073" t="s">
        <v>14476</v>
      </c>
      <c r="C393" s="1073" t="s">
        <v>7516</v>
      </c>
      <c r="D393" s="1074" t="s">
        <v>54</v>
      </c>
      <c r="E393" s="1075">
        <v>202.2</v>
      </c>
      <c r="F393" s="1076">
        <v>17.45</v>
      </c>
      <c r="G393" s="1076">
        <v>3528.39</v>
      </c>
      <c r="H393" s="1077">
        <f t="shared" si="3"/>
        <v>2.3964908102725477E-4</v>
      </c>
      <c r="I393" s="1078">
        <f t="shared" si="5"/>
        <v>0.93248809040398661</v>
      </c>
      <c r="J393" s="1078" t="str">
        <f t="shared" si="4"/>
        <v>B</v>
      </c>
      <c r="K393" s="1036"/>
      <c r="L393" s="1036"/>
      <c r="M393" s="1036"/>
      <c r="N393" s="1036"/>
      <c r="O393" s="1036"/>
      <c r="P393" s="1036"/>
      <c r="Q393" s="1036"/>
      <c r="R393" s="1036"/>
      <c r="S393" s="1036"/>
      <c r="T393" s="1036"/>
      <c r="U393" s="1036"/>
      <c r="V393" s="1036"/>
      <c r="W393" s="1036"/>
      <c r="X393" s="1036"/>
      <c r="Y393" s="1036"/>
      <c r="Z393" s="1036"/>
    </row>
    <row r="394" spans="1:26" ht="25.5">
      <c r="A394" s="1072">
        <v>93358</v>
      </c>
      <c r="B394" s="1073" t="s">
        <v>14476</v>
      </c>
      <c r="C394" s="1073" t="s">
        <v>10648</v>
      </c>
      <c r="D394" s="1074" t="s">
        <v>152</v>
      </c>
      <c r="E394" s="1075">
        <v>35</v>
      </c>
      <c r="F394" s="1076">
        <v>100.47</v>
      </c>
      <c r="G394" s="1076">
        <v>3516.45</v>
      </c>
      <c r="H394" s="1077">
        <f t="shared" si="3"/>
        <v>2.3883811341101463E-4</v>
      </c>
      <c r="I394" s="1078">
        <f t="shared" si="5"/>
        <v>0.93272692851739758</v>
      </c>
      <c r="J394" s="1078" t="str">
        <f t="shared" si="4"/>
        <v>B</v>
      </c>
      <c r="K394" s="1036"/>
      <c r="L394" s="1036"/>
      <c r="M394" s="1036"/>
      <c r="N394" s="1036"/>
      <c r="O394" s="1036"/>
      <c r="P394" s="1036"/>
      <c r="Q394" s="1036"/>
      <c r="R394" s="1036"/>
      <c r="S394" s="1036"/>
      <c r="T394" s="1036"/>
      <c r="U394" s="1036"/>
      <c r="V394" s="1036"/>
      <c r="W394" s="1036"/>
      <c r="X394" s="1036"/>
      <c r="Y394" s="1036"/>
      <c r="Z394" s="1036"/>
    </row>
    <row r="395" spans="1:26" ht="38.25">
      <c r="A395" s="1072">
        <v>97668</v>
      </c>
      <c r="B395" s="1073" t="s">
        <v>14476</v>
      </c>
      <c r="C395" s="1073" t="s">
        <v>7798</v>
      </c>
      <c r="D395" s="1074" t="s">
        <v>50</v>
      </c>
      <c r="E395" s="1075">
        <v>251</v>
      </c>
      <c r="F395" s="1076">
        <v>13.98</v>
      </c>
      <c r="G395" s="1076">
        <v>3508.98</v>
      </c>
      <c r="H395" s="1077">
        <f t="shared" si="3"/>
        <v>2.383307492490956E-4</v>
      </c>
      <c r="I395" s="1078">
        <f t="shared" si="5"/>
        <v>0.93296525926664664</v>
      </c>
      <c r="J395" s="1078" t="str">
        <f t="shared" si="4"/>
        <v>B</v>
      </c>
      <c r="K395" s="1036"/>
      <c r="L395" s="1036"/>
      <c r="M395" s="1036"/>
      <c r="N395" s="1036"/>
      <c r="O395" s="1036"/>
      <c r="P395" s="1036"/>
      <c r="Q395" s="1036"/>
      <c r="R395" s="1036"/>
      <c r="S395" s="1036"/>
      <c r="T395" s="1036"/>
      <c r="U395" s="1036"/>
      <c r="V395" s="1036"/>
      <c r="W395" s="1036"/>
      <c r="X395" s="1036"/>
      <c r="Y395" s="1036"/>
      <c r="Z395" s="1036"/>
    </row>
    <row r="396" spans="1:26" ht="38.25">
      <c r="A396" s="1072">
        <v>96527</v>
      </c>
      <c r="B396" s="1073" t="s">
        <v>14476</v>
      </c>
      <c r="C396" s="1073" t="s">
        <v>10512</v>
      </c>
      <c r="D396" s="1074" t="s">
        <v>152</v>
      </c>
      <c r="E396" s="1075">
        <v>28.84</v>
      </c>
      <c r="F396" s="1076">
        <v>121.42</v>
      </c>
      <c r="G396" s="1076">
        <v>3501.75</v>
      </c>
      <c r="H396" s="1077">
        <f t="shared" si="3"/>
        <v>2.3783968594378438E-4</v>
      </c>
      <c r="I396" s="1078">
        <f t="shared" si="5"/>
        <v>0.93320309895259046</v>
      </c>
      <c r="J396" s="1078" t="str">
        <f t="shared" si="4"/>
        <v>B</v>
      </c>
      <c r="K396" s="1036"/>
      <c r="L396" s="1036"/>
      <c r="M396" s="1036"/>
      <c r="N396" s="1036"/>
      <c r="O396" s="1036"/>
      <c r="P396" s="1036"/>
      <c r="Q396" s="1036"/>
      <c r="R396" s="1036"/>
      <c r="S396" s="1036"/>
      <c r="T396" s="1036"/>
      <c r="U396" s="1036"/>
      <c r="V396" s="1036"/>
      <c r="W396" s="1036"/>
      <c r="X396" s="1036"/>
      <c r="Y396" s="1036"/>
      <c r="Z396" s="1036"/>
    </row>
    <row r="397" spans="1:26" ht="25.5">
      <c r="A397" s="1072">
        <v>96113</v>
      </c>
      <c r="B397" s="1073" t="s">
        <v>14476</v>
      </c>
      <c r="C397" s="1073" t="s">
        <v>11508</v>
      </c>
      <c r="D397" s="1074" t="s">
        <v>409</v>
      </c>
      <c r="E397" s="1075">
        <v>60.35</v>
      </c>
      <c r="F397" s="1076">
        <v>57.92</v>
      </c>
      <c r="G397" s="1076">
        <v>3495.47</v>
      </c>
      <c r="H397" s="1077">
        <f t="shared" si="3"/>
        <v>2.3741314686254585E-4</v>
      </c>
      <c r="I397" s="1078">
        <f t="shared" si="5"/>
        <v>0.933440512099453</v>
      </c>
      <c r="J397" s="1078" t="str">
        <f t="shared" si="4"/>
        <v>B</v>
      </c>
      <c r="K397" s="1036"/>
      <c r="L397" s="1036"/>
      <c r="M397" s="1036"/>
      <c r="N397" s="1036"/>
      <c r="O397" s="1036"/>
      <c r="P397" s="1036"/>
      <c r="Q397" s="1036"/>
      <c r="R397" s="1036"/>
      <c r="S397" s="1036"/>
      <c r="T397" s="1036"/>
      <c r="U397" s="1036"/>
      <c r="V397" s="1036"/>
      <c r="W397" s="1036"/>
      <c r="X397" s="1036"/>
      <c r="Y397" s="1036"/>
      <c r="Z397" s="1036"/>
    </row>
    <row r="398" spans="1:26" ht="25.5">
      <c r="A398" s="1072" t="s">
        <v>15451</v>
      </c>
      <c r="B398" s="1073" t="s">
        <v>14472</v>
      </c>
      <c r="C398" s="1073" t="s">
        <v>15452</v>
      </c>
      <c r="D398" s="1074" t="s">
        <v>6</v>
      </c>
      <c r="E398" s="1075">
        <v>1</v>
      </c>
      <c r="F398" s="1076">
        <v>3474.3</v>
      </c>
      <c r="G398" s="1076">
        <v>3474.3</v>
      </c>
      <c r="H398" s="1077">
        <f t="shared" si="3"/>
        <v>2.3597527546926253E-4</v>
      </c>
      <c r="I398" s="1078">
        <f t="shared" si="5"/>
        <v>0.93367648737492226</v>
      </c>
      <c r="J398" s="1078" t="str">
        <f t="shared" si="4"/>
        <v>B</v>
      </c>
      <c r="K398" s="1036"/>
      <c r="L398" s="1036"/>
      <c r="M398" s="1036"/>
      <c r="N398" s="1036"/>
      <c r="O398" s="1036"/>
      <c r="P398" s="1036"/>
      <c r="Q398" s="1036"/>
      <c r="R398" s="1036"/>
      <c r="S398" s="1036"/>
      <c r="T398" s="1036"/>
      <c r="U398" s="1036"/>
      <c r="V398" s="1036"/>
      <c r="W398" s="1036"/>
      <c r="X398" s="1036"/>
      <c r="Y398" s="1036"/>
      <c r="Z398" s="1036"/>
    </row>
    <row r="399" spans="1:26" ht="51">
      <c r="A399" s="1072">
        <v>98053</v>
      </c>
      <c r="B399" s="1073" t="s">
        <v>14476</v>
      </c>
      <c r="C399" s="1073" t="s">
        <v>10186</v>
      </c>
      <c r="D399" s="1074" t="s">
        <v>6</v>
      </c>
      <c r="E399" s="1075">
        <v>1</v>
      </c>
      <c r="F399" s="1076">
        <v>3454.48</v>
      </c>
      <c r="G399" s="1076">
        <v>3454.48</v>
      </c>
      <c r="H399" s="1077">
        <f t="shared" si="3"/>
        <v>2.346290963943983E-4</v>
      </c>
      <c r="I399" s="1078">
        <f t="shared" si="5"/>
        <v>0.93391111647131664</v>
      </c>
      <c r="J399" s="1078" t="str">
        <f t="shared" si="4"/>
        <v>B</v>
      </c>
      <c r="K399" s="1036"/>
      <c r="L399" s="1036"/>
      <c r="M399" s="1036"/>
      <c r="N399" s="1036"/>
      <c r="O399" s="1036"/>
      <c r="P399" s="1036"/>
      <c r="Q399" s="1036"/>
      <c r="R399" s="1036"/>
      <c r="S399" s="1036"/>
      <c r="T399" s="1036"/>
      <c r="U399" s="1036"/>
      <c r="V399" s="1036"/>
      <c r="W399" s="1036"/>
      <c r="X399" s="1036"/>
      <c r="Y399" s="1036"/>
      <c r="Z399" s="1036"/>
    </row>
    <row r="400" spans="1:26" ht="25.5">
      <c r="A400" s="1072" t="s">
        <v>15434</v>
      </c>
      <c r="B400" s="1073" t="s">
        <v>14472</v>
      </c>
      <c r="C400" s="1073" t="s">
        <v>15435</v>
      </c>
      <c r="D400" s="1074" t="s">
        <v>50</v>
      </c>
      <c r="E400" s="1075">
        <v>15</v>
      </c>
      <c r="F400" s="1076">
        <v>229.82</v>
      </c>
      <c r="G400" s="1076">
        <v>3447.3</v>
      </c>
      <c r="H400" s="1077">
        <f t="shared" si="3"/>
        <v>2.3414142910088039E-4</v>
      </c>
      <c r="I400" s="1078">
        <f t="shared" si="5"/>
        <v>0.93414525790041747</v>
      </c>
      <c r="J400" s="1078" t="str">
        <f t="shared" si="4"/>
        <v>B</v>
      </c>
      <c r="K400" s="1036"/>
      <c r="L400" s="1036"/>
      <c r="M400" s="1036"/>
      <c r="N400" s="1036"/>
      <c r="O400" s="1036"/>
      <c r="P400" s="1036"/>
      <c r="Q400" s="1036"/>
      <c r="R400" s="1036"/>
      <c r="S400" s="1036"/>
      <c r="T400" s="1036"/>
      <c r="U400" s="1036"/>
      <c r="V400" s="1036"/>
      <c r="W400" s="1036"/>
      <c r="X400" s="1036"/>
      <c r="Y400" s="1036"/>
      <c r="Z400" s="1036"/>
    </row>
    <row r="401" spans="1:26" ht="51">
      <c r="A401" s="1072">
        <v>96557</v>
      </c>
      <c r="B401" s="1073" t="s">
        <v>14476</v>
      </c>
      <c r="C401" s="1073" t="s">
        <v>7547</v>
      </c>
      <c r="D401" s="1074" t="s">
        <v>152</v>
      </c>
      <c r="E401" s="1075">
        <v>2.8</v>
      </c>
      <c r="F401" s="1076">
        <v>1215.1300000000001</v>
      </c>
      <c r="G401" s="1076">
        <v>3402.36</v>
      </c>
      <c r="H401" s="1077">
        <f t="shared" si="3"/>
        <v>2.3108909370106212E-4</v>
      </c>
      <c r="I401" s="1078">
        <f t="shared" si="5"/>
        <v>0.93437634699411853</v>
      </c>
      <c r="J401" s="1078" t="str">
        <f t="shared" si="4"/>
        <v>B</v>
      </c>
      <c r="K401" s="1036"/>
      <c r="L401" s="1036"/>
      <c r="M401" s="1036"/>
      <c r="N401" s="1036"/>
      <c r="O401" s="1036"/>
      <c r="P401" s="1036"/>
      <c r="Q401" s="1036"/>
      <c r="R401" s="1036"/>
      <c r="S401" s="1036"/>
      <c r="T401" s="1036"/>
      <c r="U401" s="1036"/>
      <c r="V401" s="1036"/>
      <c r="W401" s="1036"/>
      <c r="X401" s="1036"/>
      <c r="Y401" s="1036"/>
      <c r="Z401" s="1036"/>
    </row>
    <row r="402" spans="1:26" ht="51">
      <c r="A402" s="1072">
        <v>89714</v>
      </c>
      <c r="B402" s="1073" t="s">
        <v>14476</v>
      </c>
      <c r="C402" s="1073" t="s">
        <v>8445</v>
      </c>
      <c r="D402" s="1074" t="s">
        <v>50</v>
      </c>
      <c r="E402" s="1075">
        <v>77</v>
      </c>
      <c r="F402" s="1076">
        <v>44.15</v>
      </c>
      <c r="G402" s="1076">
        <v>3399.55</v>
      </c>
      <c r="H402" s="1077">
        <f t="shared" si="3"/>
        <v>2.3089823783827864E-4</v>
      </c>
      <c r="I402" s="1078">
        <f t="shared" si="5"/>
        <v>0.93460724523195682</v>
      </c>
      <c r="J402" s="1078" t="str">
        <f t="shared" si="4"/>
        <v>B</v>
      </c>
      <c r="K402" s="1036"/>
      <c r="L402" s="1036"/>
      <c r="M402" s="1036"/>
      <c r="N402" s="1036"/>
      <c r="O402" s="1036"/>
      <c r="P402" s="1036"/>
      <c r="Q402" s="1036"/>
      <c r="R402" s="1036"/>
      <c r="S402" s="1036"/>
      <c r="T402" s="1036"/>
      <c r="U402" s="1036"/>
      <c r="V402" s="1036"/>
      <c r="W402" s="1036"/>
      <c r="X402" s="1036"/>
      <c r="Y402" s="1036"/>
      <c r="Z402" s="1036"/>
    </row>
    <row r="403" spans="1:26" ht="25.5">
      <c r="A403" s="1072">
        <v>102718</v>
      </c>
      <c r="B403" s="1073" t="s">
        <v>14476</v>
      </c>
      <c r="C403" s="1073" t="s">
        <v>6482</v>
      </c>
      <c r="D403" s="1074" t="s">
        <v>152</v>
      </c>
      <c r="E403" s="1075">
        <v>15</v>
      </c>
      <c r="F403" s="1076">
        <v>224.71</v>
      </c>
      <c r="G403" s="1076">
        <v>3370.65</v>
      </c>
      <c r="H403" s="1077">
        <f t="shared" si="3"/>
        <v>2.2893534302175108E-4</v>
      </c>
      <c r="I403" s="1078">
        <f t="shared" si="5"/>
        <v>0.93483618057497853</v>
      </c>
      <c r="J403" s="1078" t="str">
        <f t="shared" si="4"/>
        <v>B</v>
      </c>
      <c r="K403" s="1036"/>
      <c r="L403" s="1036"/>
      <c r="M403" s="1036"/>
      <c r="N403" s="1036"/>
      <c r="O403" s="1036"/>
      <c r="P403" s="1036"/>
      <c r="Q403" s="1036"/>
      <c r="R403" s="1036"/>
      <c r="S403" s="1036"/>
      <c r="T403" s="1036"/>
      <c r="U403" s="1036"/>
      <c r="V403" s="1036"/>
      <c r="W403" s="1036"/>
      <c r="X403" s="1036"/>
      <c r="Y403" s="1036"/>
      <c r="Z403" s="1036"/>
    </row>
    <row r="404" spans="1:26" ht="25.5">
      <c r="A404" s="1072">
        <v>102718</v>
      </c>
      <c r="B404" s="1073" t="s">
        <v>14476</v>
      </c>
      <c r="C404" s="1073" t="s">
        <v>6482</v>
      </c>
      <c r="D404" s="1074" t="s">
        <v>152</v>
      </c>
      <c r="E404" s="1075">
        <v>15</v>
      </c>
      <c r="F404" s="1076">
        <v>224.71</v>
      </c>
      <c r="G404" s="1076">
        <v>3370.65</v>
      </c>
      <c r="H404" s="1077">
        <f t="shared" si="3"/>
        <v>2.2893534302175108E-4</v>
      </c>
      <c r="I404" s="1078">
        <f t="shared" si="5"/>
        <v>0.93506511591800023</v>
      </c>
      <c r="J404" s="1078" t="str">
        <f t="shared" si="4"/>
        <v>B</v>
      </c>
      <c r="K404" s="1036"/>
      <c r="L404" s="1036"/>
      <c r="M404" s="1036"/>
      <c r="N404" s="1036"/>
      <c r="O404" s="1036"/>
      <c r="P404" s="1036"/>
      <c r="Q404" s="1036"/>
      <c r="R404" s="1036"/>
      <c r="S404" s="1036"/>
      <c r="T404" s="1036"/>
      <c r="U404" s="1036"/>
      <c r="V404" s="1036"/>
      <c r="W404" s="1036"/>
      <c r="X404" s="1036"/>
      <c r="Y404" s="1036"/>
      <c r="Z404" s="1036"/>
    </row>
    <row r="405" spans="1:26" ht="51">
      <c r="A405" s="1072">
        <v>97906</v>
      </c>
      <c r="B405" s="1073" t="s">
        <v>14476</v>
      </c>
      <c r="C405" s="1073" t="s">
        <v>10017</v>
      </c>
      <c r="D405" s="1074" t="s">
        <v>6</v>
      </c>
      <c r="E405" s="1075">
        <v>6</v>
      </c>
      <c r="F405" s="1076">
        <v>559.72</v>
      </c>
      <c r="G405" s="1076">
        <v>3358.32</v>
      </c>
      <c r="H405" s="1077">
        <f t="shared" si="3"/>
        <v>2.2809788651352323E-4</v>
      </c>
      <c r="I405" s="1078">
        <f t="shared" si="5"/>
        <v>0.9352932138045138</v>
      </c>
      <c r="J405" s="1078" t="str">
        <f t="shared" si="4"/>
        <v>B</v>
      </c>
      <c r="K405" s="1036"/>
      <c r="L405" s="1036"/>
      <c r="M405" s="1036"/>
      <c r="N405" s="1036"/>
      <c r="O405" s="1036"/>
      <c r="P405" s="1036"/>
      <c r="Q405" s="1036"/>
      <c r="R405" s="1036"/>
      <c r="S405" s="1036"/>
      <c r="T405" s="1036"/>
      <c r="U405" s="1036"/>
      <c r="V405" s="1036"/>
      <c r="W405" s="1036"/>
      <c r="X405" s="1036"/>
      <c r="Y405" s="1036"/>
      <c r="Z405" s="1036"/>
    </row>
    <row r="406" spans="1:26" ht="38.25">
      <c r="A406" s="1072" t="s">
        <v>14880</v>
      </c>
      <c r="B406" s="1073" t="s">
        <v>14472</v>
      </c>
      <c r="C406" s="1073" t="s">
        <v>14881</v>
      </c>
      <c r="D406" s="1074" t="s">
        <v>50</v>
      </c>
      <c r="E406" s="1075">
        <v>17.920000000000002</v>
      </c>
      <c r="F406" s="1076">
        <v>186.28</v>
      </c>
      <c r="G406" s="1076">
        <v>3338.13</v>
      </c>
      <c r="H406" s="1077">
        <f t="shared" si="3"/>
        <v>2.2672657695138859E-4</v>
      </c>
      <c r="I406" s="1078">
        <f t="shared" si="5"/>
        <v>0.93551994038146524</v>
      </c>
      <c r="J406" s="1078" t="str">
        <f t="shared" si="4"/>
        <v>B</v>
      </c>
      <c r="K406" s="1036"/>
      <c r="L406" s="1036"/>
      <c r="M406" s="1036"/>
      <c r="N406" s="1036"/>
      <c r="O406" s="1036"/>
      <c r="P406" s="1036"/>
      <c r="Q406" s="1036"/>
      <c r="R406" s="1036"/>
      <c r="S406" s="1036"/>
      <c r="T406" s="1036"/>
      <c r="U406" s="1036"/>
      <c r="V406" s="1036"/>
      <c r="W406" s="1036"/>
      <c r="X406" s="1036"/>
      <c r="Y406" s="1036"/>
      <c r="Z406" s="1036"/>
    </row>
    <row r="407" spans="1:26" ht="25.5">
      <c r="A407" s="1072" t="s">
        <v>14775</v>
      </c>
      <c r="B407" s="1073" t="s">
        <v>14472</v>
      </c>
      <c r="C407" s="1073" t="s">
        <v>14776</v>
      </c>
      <c r="D407" s="1074" t="s">
        <v>409</v>
      </c>
      <c r="E407" s="1075">
        <v>16.059999999999999</v>
      </c>
      <c r="F407" s="1076">
        <v>207.15</v>
      </c>
      <c r="G407" s="1076">
        <v>3326.82</v>
      </c>
      <c r="H407" s="1077">
        <f t="shared" si="3"/>
        <v>2.2595839908374406E-4</v>
      </c>
      <c r="I407" s="1078">
        <f t="shared" si="5"/>
        <v>0.93574589878054903</v>
      </c>
      <c r="J407" s="1078" t="str">
        <f t="shared" si="4"/>
        <v>B</v>
      </c>
      <c r="K407" s="1036"/>
      <c r="L407" s="1036"/>
      <c r="M407" s="1036"/>
      <c r="N407" s="1036"/>
      <c r="O407" s="1036"/>
      <c r="P407" s="1036"/>
      <c r="Q407" s="1036"/>
      <c r="R407" s="1036"/>
      <c r="S407" s="1036"/>
      <c r="T407" s="1036"/>
      <c r="U407" s="1036"/>
      <c r="V407" s="1036"/>
      <c r="W407" s="1036"/>
      <c r="X407" s="1036"/>
      <c r="Y407" s="1036"/>
      <c r="Z407" s="1036"/>
    </row>
    <row r="408" spans="1:26" ht="51">
      <c r="A408" s="1072">
        <v>89714</v>
      </c>
      <c r="B408" s="1073" t="s">
        <v>14476</v>
      </c>
      <c r="C408" s="1073" t="s">
        <v>8445</v>
      </c>
      <c r="D408" s="1074" t="s">
        <v>50</v>
      </c>
      <c r="E408" s="1075">
        <v>75</v>
      </c>
      <c r="F408" s="1076">
        <v>44.15</v>
      </c>
      <c r="G408" s="1076">
        <v>3311.25</v>
      </c>
      <c r="H408" s="1077">
        <f t="shared" si="3"/>
        <v>2.2490088101131034E-4</v>
      </c>
      <c r="I408" s="1078">
        <f t="shared" si="5"/>
        <v>0.93597079966156038</v>
      </c>
      <c r="J408" s="1078" t="str">
        <f t="shared" si="4"/>
        <v>B</v>
      </c>
      <c r="K408" s="1036"/>
      <c r="L408" s="1036"/>
      <c r="M408" s="1036"/>
      <c r="N408" s="1036"/>
      <c r="O408" s="1036"/>
      <c r="P408" s="1036"/>
      <c r="Q408" s="1036"/>
      <c r="R408" s="1036"/>
      <c r="S408" s="1036"/>
      <c r="T408" s="1036"/>
      <c r="U408" s="1036"/>
      <c r="V408" s="1036"/>
      <c r="W408" s="1036"/>
      <c r="X408" s="1036"/>
      <c r="Y408" s="1036"/>
      <c r="Z408" s="1036"/>
    </row>
    <row r="409" spans="1:26" ht="51">
      <c r="A409" s="1072">
        <v>102043</v>
      </c>
      <c r="B409" s="1073" t="s">
        <v>14476</v>
      </c>
      <c r="C409" s="1073" t="s">
        <v>7363</v>
      </c>
      <c r="D409" s="1074" t="s">
        <v>409</v>
      </c>
      <c r="E409" s="1075">
        <v>9.25</v>
      </c>
      <c r="F409" s="1076">
        <v>357.93</v>
      </c>
      <c r="G409" s="1076">
        <v>3310.85</v>
      </c>
      <c r="H409" s="1077">
        <f t="shared" si="3"/>
        <v>2.2487371291696393E-4</v>
      </c>
      <c r="I409" s="1078">
        <f t="shared" si="5"/>
        <v>0.9361956733744774</v>
      </c>
      <c r="J409" s="1078" t="str">
        <f t="shared" si="4"/>
        <v>B</v>
      </c>
      <c r="K409" s="1036"/>
      <c r="L409" s="1036"/>
      <c r="M409" s="1036"/>
      <c r="N409" s="1036"/>
      <c r="O409" s="1036"/>
      <c r="P409" s="1036"/>
      <c r="Q409" s="1036"/>
      <c r="R409" s="1036"/>
      <c r="S409" s="1036"/>
      <c r="T409" s="1036"/>
      <c r="U409" s="1036"/>
      <c r="V409" s="1036"/>
      <c r="W409" s="1036"/>
      <c r="X409" s="1036"/>
      <c r="Y409" s="1036"/>
      <c r="Z409" s="1036"/>
    </row>
    <row r="410" spans="1:26" ht="63.75">
      <c r="A410" s="1072">
        <v>102306</v>
      </c>
      <c r="B410" s="1073" t="s">
        <v>14476</v>
      </c>
      <c r="C410" s="1073" t="s">
        <v>15976</v>
      </c>
      <c r="D410" s="1074" t="s">
        <v>152</v>
      </c>
      <c r="E410" s="1075">
        <v>174.2</v>
      </c>
      <c r="F410" s="1076">
        <v>18.899999999999999</v>
      </c>
      <c r="G410" s="1076">
        <v>3292.38</v>
      </c>
      <c r="H410" s="1077">
        <f t="shared" si="3"/>
        <v>2.2361922616051885E-4</v>
      </c>
      <c r="I410" s="1078">
        <f t="shared" si="5"/>
        <v>0.93641929260063794</v>
      </c>
      <c r="J410" s="1078" t="str">
        <f t="shared" si="4"/>
        <v>B</v>
      </c>
      <c r="K410" s="1036"/>
      <c r="L410" s="1036"/>
      <c r="M410" s="1036"/>
      <c r="N410" s="1036"/>
      <c r="O410" s="1036"/>
      <c r="P410" s="1036"/>
      <c r="Q410" s="1036"/>
      <c r="R410" s="1036"/>
      <c r="S410" s="1036"/>
      <c r="T410" s="1036"/>
      <c r="U410" s="1036"/>
      <c r="V410" s="1036"/>
      <c r="W410" s="1036"/>
      <c r="X410" s="1036"/>
      <c r="Y410" s="1036"/>
      <c r="Z410" s="1036"/>
    </row>
    <row r="411" spans="1:26" ht="38.25">
      <c r="A411" s="1072">
        <v>98555</v>
      </c>
      <c r="B411" s="1073" t="s">
        <v>14476</v>
      </c>
      <c r="C411" s="1073" t="s">
        <v>7733</v>
      </c>
      <c r="D411" s="1074" t="s">
        <v>409</v>
      </c>
      <c r="E411" s="1075">
        <v>90</v>
      </c>
      <c r="F411" s="1076">
        <v>36.58</v>
      </c>
      <c r="G411" s="1076">
        <v>3292.2</v>
      </c>
      <c r="H411" s="1077">
        <f t="shared" si="3"/>
        <v>2.2360700051806293E-4</v>
      </c>
      <c r="I411" s="1078">
        <f t="shared" si="5"/>
        <v>0.93664289960115599</v>
      </c>
      <c r="J411" s="1078" t="str">
        <f t="shared" si="4"/>
        <v>B</v>
      </c>
      <c r="K411" s="1036"/>
      <c r="L411" s="1036"/>
      <c r="M411" s="1036"/>
      <c r="N411" s="1036"/>
      <c r="O411" s="1036"/>
      <c r="P411" s="1036"/>
      <c r="Q411" s="1036"/>
      <c r="R411" s="1036"/>
      <c r="S411" s="1036"/>
      <c r="T411" s="1036"/>
      <c r="U411" s="1036"/>
      <c r="V411" s="1036"/>
      <c r="W411" s="1036"/>
      <c r="X411" s="1036"/>
      <c r="Y411" s="1036"/>
      <c r="Z411" s="1036"/>
    </row>
    <row r="412" spans="1:26" ht="14.25">
      <c r="A412" s="1072">
        <v>98505</v>
      </c>
      <c r="B412" s="1073" t="s">
        <v>14476</v>
      </c>
      <c r="C412" s="1073" t="s">
        <v>12076</v>
      </c>
      <c r="D412" s="1074" t="s">
        <v>409</v>
      </c>
      <c r="E412" s="1075">
        <v>22.17</v>
      </c>
      <c r="F412" s="1076">
        <v>148.38</v>
      </c>
      <c r="G412" s="1076">
        <v>3289.58</v>
      </c>
      <c r="H412" s="1077">
        <f t="shared" si="3"/>
        <v>2.23429049500094E-4</v>
      </c>
      <c r="I412" s="1078">
        <f t="shared" si="5"/>
        <v>0.93686632865065611</v>
      </c>
      <c r="J412" s="1078" t="str">
        <f t="shared" si="4"/>
        <v>B</v>
      </c>
      <c r="K412" s="1036"/>
      <c r="L412" s="1036"/>
      <c r="M412" s="1036"/>
      <c r="N412" s="1036"/>
      <c r="O412" s="1036"/>
      <c r="P412" s="1036"/>
      <c r="Q412" s="1036"/>
      <c r="R412" s="1036"/>
      <c r="S412" s="1036"/>
      <c r="T412" s="1036"/>
      <c r="U412" s="1036"/>
      <c r="V412" s="1036"/>
      <c r="W412" s="1036"/>
      <c r="X412" s="1036"/>
      <c r="Y412" s="1036"/>
      <c r="Z412" s="1036"/>
    </row>
    <row r="413" spans="1:26" ht="38.25">
      <c r="A413" s="1072">
        <v>92770</v>
      </c>
      <c r="B413" s="1073" t="s">
        <v>14476</v>
      </c>
      <c r="C413" s="1073" t="s">
        <v>7439</v>
      </c>
      <c r="D413" s="1074" t="s">
        <v>54</v>
      </c>
      <c r="E413" s="1075">
        <v>197.1</v>
      </c>
      <c r="F413" s="1076">
        <v>16.66</v>
      </c>
      <c r="G413" s="1076">
        <v>3283.68</v>
      </c>
      <c r="H413" s="1077">
        <f t="shared" si="3"/>
        <v>2.2302832010848457E-4</v>
      </c>
      <c r="I413" s="1078">
        <f t="shared" si="5"/>
        <v>0.93708935697076456</v>
      </c>
      <c r="J413" s="1078" t="str">
        <f t="shared" si="4"/>
        <v>B</v>
      </c>
      <c r="K413" s="1036"/>
      <c r="L413" s="1036"/>
      <c r="M413" s="1036"/>
      <c r="N413" s="1036"/>
      <c r="O413" s="1036"/>
      <c r="P413" s="1036"/>
      <c r="Q413" s="1036"/>
      <c r="R413" s="1036"/>
      <c r="S413" s="1036"/>
      <c r="T413" s="1036"/>
      <c r="U413" s="1036"/>
      <c r="V413" s="1036"/>
      <c r="W413" s="1036"/>
      <c r="X413" s="1036"/>
      <c r="Y413" s="1036"/>
      <c r="Z413" s="1036"/>
    </row>
    <row r="414" spans="1:26" ht="25.5">
      <c r="A414" s="1072">
        <v>88631</v>
      </c>
      <c r="B414" s="1073" t="s">
        <v>14476</v>
      </c>
      <c r="C414" s="1073" t="s">
        <v>11653</v>
      </c>
      <c r="D414" s="1074" t="s">
        <v>152</v>
      </c>
      <c r="E414" s="1075">
        <v>4.0999999999999996</v>
      </c>
      <c r="F414" s="1076">
        <v>800.3</v>
      </c>
      <c r="G414" s="1076">
        <v>3281.23</v>
      </c>
      <c r="H414" s="1077">
        <f t="shared" si="3"/>
        <v>2.2286191553061286E-4</v>
      </c>
      <c r="I414" s="1078">
        <f t="shared" si="5"/>
        <v>0.93731221888629512</v>
      </c>
      <c r="J414" s="1078" t="str">
        <f t="shared" si="4"/>
        <v>B</v>
      </c>
      <c r="K414" s="1036"/>
      <c r="L414" s="1036"/>
      <c r="M414" s="1036"/>
      <c r="N414" s="1036"/>
      <c r="O414" s="1036"/>
      <c r="P414" s="1036"/>
      <c r="Q414" s="1036"/>
      <c r="R414" s="1036"/>
      <c r="S414" s="1036"/>
      <c r="T414" s="1036"/>
      <c r="U414" s="1036"/>
      <c r="V414" s="1036"/>
      <c r="W414" s="1036"/>
      <c r="X414" s="1036"/>
      <c r="Y414" s="1036"/>
      <c r="Z414" s="1036"/>
    </row>
    <row r="415" spans="1:26" ht="51">
      <c r="A415" s="1072">
        <v>87879</v>
      </c>
      <c r="B415" s="1073" t="s">
        <v>14476</v>
      </c>
      <c r="C415" s="1073" t="s">
        <v>15970</v>
      </c>
      <c r="D415" s="1074" t="s">
        <v>409</v>
      </c>
      <c r="E415" s="1075">
        <v>601.62</v>
      </c>
      <c r="F415" s="1076">
        <v>5.42</v>
      </c>
      <c r="G415" s="1076">
        <v>3260.78</v>
      </c>
      <c r="H415" s="1077">
        <f t="shared" si="3"/>
        <v>2.2147294670715308E-4</v>
      </c>
      <c r="I415" s="1078">
        <f t="shared" si="5"/>
        <v>0.93753369183300228</v>
      </c>
      <c r="J415" s="1078" t="str">
        <f t="shared" si="4"/>
        <v>B</v>
      </c>
      <c r="K415" s="1036"/>
      <c r="L415" s="1036"/>
      <c r="M415" s="1036"/>
      <c r="N415" s="1036"/>
      <c r="O415" s="1036"/>
      <c r="P415" s="1036"/>
      <c r="Q415" s="1036"/>
      <c r="R415" s="1036"/>
      <c r="S415" s="1036"/>
      <c r="T415" s="1036"/>
      <c r="U415" s="1036"/>
      <c r="V415" s="1036"/>
      <c r="W415" s="1036"/>
      <c r="X415" s="1036"/>
      <c r="Y415" s="1036"/>
      <c r="Z415" s="1036"/>
    </row>
    <row r="416" spans="1:26" ht="25.5">
      <c r="A416" s="1072">
        <v>93382</v>
      </c>
      <c r="B416" s="1073" t="s">
        <v>14476</v>
      </c>
      <c r="C416" s="1073" t="s">
        <v>10726</v>
      </c>
      <c r="D416" s="1074" t="s">
        <v>152</v>
      </c>
      <c r="E416" s="1075">
        <v>109.8</v>
      </c>
      <c r="F416" s="1076">
        <v>29.52</v>
      </c>
      <c r="G416" s="1076">
        <v>3241.29</v>
      </c>
      <c r="H416" s="1077">
        <f t="shared" si="3"/>
        <v>2.2014918131012462E-4</v>
      </c>
      <c r="I416" s="1078">
        <f t="shared" si="5"/>
        <v>0.93775384101431236</v>
      </c>
      <c r="J416" s="1078" t="str">
        <f t="shared" si="4"/>
        <v>B</v>
      </c>
      <c r="K416" s="1036"/>
      <c r="L416" s="1036"/>
      <c r="M416" s="1036"/>
      <c r="N416" s="1036"/>
      <c r="O416" s="1036"/>
      <c r="P416" s="1036"/>
      <c r="Q416" s="1036"/>
      <c r="R416" s="1036"/>
      <c r="S416" s="1036"/>
      <c r="T416" s="1036"/>
      <c r="U416" s="1036"/>
      <c r="V416" s="1036"/>
      <c r="W416" s="1036"/>
      <c r="X416" s="1036"/>
      <c r="Y416" s="1036"/>
      <c r="Z416" s="1036"/>
    </row>
    <row r="417" spans="1:26" ht="25.5">
      <c r="A417" s="1072" t="s">
        <v>14620</v>
      </c>
      <c r="B417" s="1073" t="s">
        <v>14472</v>
      </c>
      <c r="C417" s="1073" t="s">
        <v>14621</v>
      </c>
      <c r="D417" s="1074" t="s">
        <v>152</v>
      </c>
      <c r="E417" s="1075">
        <v>2.5299999999999998</v>
      </c>
      <c r="F417" s="1076">
        <v>1274.5</v>
      </c>
      <c r="G417" s="1076">
        <v>3224.48</v>
      </c>
      <c r="H417" s="1077">
        <f t="shared" si="3"/>
        <v>2.1900744214521707E-4</v>
      </c>
      <c r="I417" s="1078">
        <f t="shared" si="5"/>
        <v>0.93797284845645756</v>
      </c>
      <c r="J417" s="1078" t="str">
        <f t="shared" si="4"/>
        <v>B</v>
      </c>
      <c r="K417" s="1036"/>
      <c r="L417" s="1036"/>
      <c r="M417" s="1036"/>
      <c r="N417" s="1036"/>
      <c r="O417" s="1036"/>
      <c r="P417" s="1036"/>
      <c r="Q417" s="1036"/>
      <c r="R417" s="1036"/>
      <c r="S417" s="1036"/>
      <c r="T417" s="1036"/>
      <c r="U417" s="1036"/>
      <c r="V417" s="1036"/>
      <c r="W417" s="1036"/>
      <c r="X417" s="1036"/>
      <c r="Y417" s="1036"/>
      <c r="Z417" s="1036"/>
    </row>
    <row r="418" spans="1:26" ht="25.5">
      <c r="A418" s="1072">
        <v>93382</v>
      </c>
      <c r="B418" s="1073" t="s">
        <v>14476</v>
      </c>
      <c r="C418" s="1073" t="s">
        <v>10726</v>
      </c>
      <c r="D418" s="1074" t="s">
        <v>152</v>
      </c>
      <c r="E418" s="1075">
        <v>109.2</v>
      </c>
      <c r="F418" s="1076">
        <v>29.52</v>
      </c>
      <c r="G418" s="1076">
        <v>3223.58</v>
      </c>
      <c r="H418" s="1077">
        <f t="shared" si="3"/>
        <v>2.1894631393293764E-4</v>
      </c>
      <c r="I418" s="1078">
        <f t="shared" si="5"/>
        <v>0.9381917947703905</v>
      </c>
      <c r="J418" s="1078" t="str">
        <f t="shared" si="4"/>
        <v>B</v>
      </c>
      <c r="K418" s="1036"/>
      <c r="L418" s="1036"/>
      <c r="M418" s="1036"/>
      <c r="N418" s="1036"/>
      <c r="O418" s="1036"/>
      <c r="P418" s="1036"/>
      <c r="Q418" s="1036"/>
      <c r="R418" s="1036"/>
      <c r="S418" s="1036"/>
      <c r="T418" s="1036"/>
      <c r="U418" s="1036"/>
      <c r="V418" s="1036"/>
      <c r="W418" s="1036"/>
      <c r="X418" s="1036"/>
      <c r="Y418" s="1036"/>
      <c r="Z418" s="1036"/>
    </row>
    <row r="419" spans="1:26" ht="38.25">
      <c r="A419" s="1072">
        <v>98555</v>
      </c>
      <c r="B419" s="1073" t="s">
        <v>14476</v>
      </c>
      <c r="C419" s="1073" t="s">
        <v>7733</v>
      </c>
      <c r="D419" s="1074" t="s">
        <v>409</v>
      </c>
      <c r="E419" s="1075">
        <v>88.12</v>
      </c>
      <c r="F419" s="1076">
        <v>36.58</v>
      </c>
      <c r="G419" s="1076">
        <v>3223.42</v>
      </c>
      <c r="H419" s="1077">
        <f t="shared" si="3"/>
        <v>2.189354466951991E-4</v>
      </c>
      <c r="I419" s="1078">
        <f t="shared" si="5"/>
        <v>0.93841073021708565</v>
      </c>
      <c r="J419" s="1078" t="str">
        <f t="shared" si="4"/>
        <v>B</v>
      </c>
      <c r="K419" s="1036"/>
      <c r="L419" s="1036"/>
      <c r="M419" s="1036"/>
      <c r="N419" s="1036"/>
      <c r="O419" s="1036"/>
      <c r="P419" s="1036"/>
      <c r="Q419" s="1036"/>
      <c r="R419" s="1036"/>
      <c r="S419" s="1036"/>
      <c r="T419" s="1036"/>
      <c r="U419" s="1036"/>
      <c r="V419" s="1036"/>
      <c r="W419" s="1036"/>
      <c r="X419" s="1036"/>
      <c r="Y419" s="1036"/>
      <c r="Z419" s="1036"/>
    </row>
    <row r="420" spans="1:26" ht="51">
      <c r="A420" s="1072">
        <v>89714</v>
      </c>
      <c r="B420" s="1073" t="s">
        <v>14476</v>
      </c>
      <c r="C420" s="1073" t="s">
        <v>8445</v>
      </c>
      <c r="D420" s="1074" t="s">
        <v>50</v>
      </c>
      <c r="E420" s="1075">
        <v>73</v>
      </c>
      <c r="F420" s="1076">
        <v>44.15</v>
      </c>
      <c r="G420" s="1076">
        <v>3222.95</v>
      </c>
      <c r="H420" s="1077">
        <f t="shared" si="3"/>
        <v>2.1890352418434207E-4</v>
      </c>
      <c r="I420" s="1078">
        <f t="shared" si="5"/>
        <v>0.93862963374126995</v>
      </c>
      <c r="J420" s="1078" t="str">
        <f t="shared" si="4"/>
        <v>B</v>
      </c>
      <c r="K420" s="1036"/>
      <c r="L420" s="1036"/>
      <c r="M420" s="1036"/>
      <c r="N420" s="1036"/>
      <c r="O420" s="1036"/>
      <c r="P420" s="1036"/>
      <c r="Q420" s="1036"/>
      <c r="R420" s="1036"/>
      <c r="S420" s="1036"/>
      <c r="T420" s="1036"/>
      <c r="U420" s="1036"/>
      <c r="V420" s="1036"/>
      <c r="W420" s="1036"/>
      <c r="X420" s="1036"/>
      <c r="Y420" s="1036"/>
      <c r="Z420" s="1036"/>
    </row>
    <row r="421" spans="1:26" ht="51">
      <c r="A421" s="1072">
        <v>89732</v>
      </c>
      <c r="B421" s="1073" t="s">
        <v>14476</v>
      </c>
      <c r="C421" s="1073" t="s">
        <v>8945</v>
      </c>
      <c r="D421" s="1074" t="s">
        <v>6</v>
      </c>
      <c r="E421" s="1075">
        <v>170</v>
      </c>
      <c r="F421" s="1076">
        <v>18.95</v>
      </c>
      <c r="G421" s="1076">
        <v>3221.5</v>
      </c>
      <c r="H421" s="1077">
        <f t="shared" si="3"/>
        <v>2.1880503984233636E-4</v>
      </c>
      <c r="I421" s="1078">
        <f t="shared" si="5"/>
        <v>0.93884843878111224</v>
      </c>
      <c r="J421" s="1078" t="str">
        <f t="shared" si="4"/>
        <v>B</v>
      </c>
      <c r="K421" s="1036"/>
      <c r="L421" s="1036"/>
      <c r="M421" s="1036"/>
      <c r="N421" s="1036"/>
      <c r="O421" s="1036"/>
      <c r="P421" s="1036"/>
      <c r="Q421" s="1036"/>
      <c r="R421" s="1036"/>
      <c r="S421" s="1036"/>
      <c r="T421" s="1036"/>
      <c r="U421" s="1036"/>
      <c r="V421" s="1036"/>
      <c r="W421" s="1036"/>
      <c r="X421" s="1036"/>
      <c r="Y421" s="1036"/>
      <c r="Z421" s="1036"/>
    </row>
    <row r="422" spans="1:26" ht="14.25">
      <c r="A422" s="1072" t="s">
        <v>14952</v>
      </c>
      <c r="B422" s="1073" t="s">
        <v>14472</v>
      </c>
      <c r="C422" s="1073" t="s">
        <v>14953</v>
      </c>
      <c r="D422" s="1074" t="s">
        <v>6</v>
      </c>
      <c r="E422" s="1075">
        <v>18</v>
      </c>
      <c r="F422" s="1076">
        <v>178.67</v>
      </c>
      <c r="G422" s="1076">
        <v>3216.06</v>
      </c>
      <c r="H422" s="1077">
        <f t="shared" si="3"/>
        <v>2.184355537592253E-4</v>
      </c>
      <c r="I422" s="1078">
        <f t="shared" si="5"/>
        <v>0.93906687433487146</v>
      </c>
      <c r="J422" s="1078" t="str">
        <f t="shared" si="4"/>
        <v>B</v>
      </c>
      <c r="K422" s="1036"/>
      <c r="L422" s="1036"/>
      <c r="M422" s="1036"/>
      <c r="N422" s="1036"/>
      <c r="O422" s="1036"/>
      <c r="P422" s="1036"/>
      <c r="Q422" s="1036"/>
      <c r="R422" s="1036"/>
      <c r="S422" s="1036"/>
      <c r="T422" s="1036"/>
      <c r="U422" s="1036"/>
      <c r="V422" s="1036"/>
      <c r="W422" s="1036"/>
      <c r="X422" s="1036"/>
      <c r="Y422" s="1036"/>
      <c r="Z422" s="1036"/>
    </row>
    <row r="423" spans="1:26" ht="14.25">
      <c r="A423" s="1072" t="s">
        <v>14952</v>
      </c>
      <c r="B423" s="1073" t="s">
        <v>14472</v>
      </c>
      <c r="C423" s="1073" t="s">
        <v>14953</v>
      </c>
      <c r="D423" s="1074" t="s">
        <v>6</v>
      </c>
      <c r="E423" s="1075">
        <v>18</v>
      </c>
      <c r="F423" s="1076">
        <v>178.67</v>
      </c>
      <c r="G423" s="1076">
        <v>3216.06</v>
      </c>
      <c r="H423" s="1077">
        <f t="shared" si="3"/>
        <v>2.184355537592253E-4</v>
      </c>
      <c r="I423" s="1078">
        <f t="shared" si="5"/>
        <v>0.93928530988863068</v>
      </c>
      <c r="J423" s="1078" t="str">
        <f t="shared" si="4"/>
        <v>B</v>
      </c>
      <c r="K423" s="1036"/>
      <c r="L423" s="1036"/>
      <c r="M423" s="1036"/>
      <c r="N423" s="1036"/>
      <c r="O423" s="1036"/>
      <c r="P423" s="1036"/>
      <c r="Q423" s="1036"/>
      <c r="R423" s="1036"/>
      <c r="S423" s="1036"/>
      <c r="T423" s="1036"/>
      <c r="U423" s="1036"/>
      <c r="V423" s="1036"/>
      <c r="W423" s="1036"/>
      <c r="X423" s="1036"/>
      <c r="Y423" s="1036"/>
      <c r="Z423" s="1036"/>
    </row>
    <row r="424" spans="1:26" ht="38.25">
      <c r="A424" s="1072">
        <v>97668</v>
      </c>
      <c r="B424" s="1073" t="s">
        <v>14476</v>
      </c>
      <c r="C424" s="1073" t="s">
        <v>7798</v>
      </c>
      <c r="D424" s="1074" t="s">
        <v>50</v>
      </c>
      <c r="E424" s="1075">
        <v>230</v>
      </c>
      <c r="F424" s="1076">
        <v>13.98</v>
      </c>
      <c r="G424" s="1076">
        <v>3215.4</v>
      </c>
      <c r="H424" s="1077">
        <f t="shared" si="3"/>
        <v>2.1839072640355374E-4</v>
      </c>
      <c r="I424" s="1078">
        <f t="shared" si="5"/>
        <v>0.93950370061503419</v>
      </c>
      <c r="J424" s="1078" t="str">
        <f t="shared" si="4"/>
        <v>B</v>
      </c>
      <c r="K424" s="1036"/>
      <c r="L424" s="1036"/>
      <c r="M424" s="1036"/>
      <c r="N424" s="1036"/>
      <c r="O424" s="1036"/>
      <c r="P424" s="1036"/>
      <c r="Q424" s="1036"/>
      <c r="R424" s="1036"/>
      <c r="S424" s="1036"/>
      <c r="T424" s="1036"/>
      <c r="U424" s="1036"/>
      <c r="V424" s="1036"/>
      <c r="W424" s="1036"/>
      <c r="X424" s="1036"/>
      <c r="Y424" s="1036"/>
      <c r="Z424" s="1036"/>
    </row>
    <row r="425" spans="1:26" ht="25.5">
      <c r="A425" s="1072">
        <v>93358</v>
      </c>
      <c r="B425" s="1073" t="s">
        <v>14476</v>
      </c>
      <c r="C425" s="1073" t="s">
        <v>10648</v>
      </c>
      <c r="D425" s="1074" t="s">
        <v>152</v>
      </c>
      <c r="E425" s="1075">
        <v>32</v>
      </c>
      <c r="F425" s="1076">
        <v>100.47</v>
      </c>
      <c r="G425" s="1076">
        <v>3215.04</v>
      </c>
      <c r="H425" s="1077">
        <f t="shared" si="3"/>
        <v>2.1836627511864198E-4</v>
      </c>
      <c r="I425" s="1078">
        <f t="shared" si="5"/>
        <v>0.93972206689015281</v>
      </c>
      <c r="J425" s="1078" t="str">
        <f t="shared" si="4"/>
        <v>B</v>
      </c>
      <c r="K425" s="1036"/>
      <c r="L425" s="1036"/>
      <c r="M425" s="1036"/>
      <c r="N425" s="1036"/>
      <c r="O425" s="1036"/>
      <c r="P425" s="1036"/>
      <c r="Q425" s="1036"/>
      <c r="R425" s="1036"/>
      <c r="S425" s="1036"/>
      <c r="T425" s="1036"/>
      <c r="U425" s="1036"/>
      <c r="V425" s="1036"/>
      <c r="W425" s="1036"/>
      <c r="X425" s="1036"/>
      <c r="Y425" s="1036"/>
      <c r="Z425" s="1036"/>
    </row>
    <row r="426" spans="1:26" ht="38.25">
      <c r="A426" s="1072">
        <v>98562</v>
      </c>
      <c r="B426" s="1073" t="s">
        <v>14476</v>
      </c>
      <c r="C426" s="1073" t="s">
        <v>7732</v>
      </c>
      <c r="D426" s="1074" t="s">
        <v>409</v>
      </c>
      <c r="E426" s="1075">
        <v>53.68</v>
      </c>
      <c r="F426" s="1076">
        <v>59.86</v>
      </c>
      <c r="G426" s="1076">
        <v>3213.28</v>
      </c>
      <c r="H426" s="1077">
        <f t="shared" si="3"/>
        <v>2.1824673550351783E-4</v>
      </c>
      <c r="I426" s="1078">
        <f t="shared" si="5"/>
        <v>0.93994031362565633</v>
      </c>
      <c r="J426" s="1078" t="str">
        <f t="shared" si="4"/>
        <v>B</v>
      </c>
      <c r="K426" s="1036"/>
      <c r="L426" s="1036"/>
      <c r="M426" s="1036"/>
      <c r="N426" s="1036"/>
      <c r="O426" s="1036"/>
      <c r="P426" s="1036"/>
      <c r="Q426" s="1036"/>
      <c r="R426" s="1036"/>
      <c r="S426" s="1036"/>
      <c r="T426" s="1036"/>
      <c r="U426" s="1036"/>
      <c r="V426" s="1036"/>
      <c r="W426" s="1036"/>
      <c r="X426" s="1036"/>
      <c r="Y426" s="1036"/>
      <c r="Z426" s="1036"/>
    </row>
    <row r="427" spans="1:26" ht="25.5">
      <c r="A427" s="1072" t="s">
        <v>14838</v>
      </c>
      <c r="B427" s="1073" t="s">
        <v>14472</v>
      </c>
      <c r="C427" s="1073" t="s">
        <v>15977</v>
      </c>
      <c r="D427" s="1074" t="s">
        <v>6</v>
      </c>
      <c r="E427" s="1075">
        <v>6</v>
      </c>
      <c r="F427" s="1076">
        <v>534.5</v>
      </c>
      <c r="G427" s="1076">
        <v>3207</v>
      </c>
      <c r="H427" s="1077">
        <f t="shared" si="3"/>
        <v>2.1782019642227929E-4</v>
      </c>
      <c r="I427" s="1078">
        <f t="shared" si="5"/>
        <v>0.94015813382207858</v>
      </c>
      <c r="J427" s="1078" t="str">
        <f t="shared" si="4"/>
        <v>B</v>
      </c>
      <c r="K427" s="1036"/>
      <c r="L427" s="1036"/>
      <c r="M427" s="1036"/>
      <c r="N427" s="1036"/>
      <c r="O427" s="1036"/>
      <c r="P427" s="1036"/>
      <c r="Q427" s="1036"/>
      <c r="R427" s="1036"/>
      <c r="S427" s="1036"/>
      <c r="T427" s="1036"/>
      <c r="U427" s="1036"/>
      <c r="V427" s="1036"/>
      <c r="W427" s="1036"/>
      <c r="X427" s="1036"/>
      <c r="Y427" s="1036"/>
      <c r="Z427" s="1036"/>
    </row>
    <row r="428" spans="1:26" ht="38.25">
      <c r="A428" s="1072">
        <v>100878</v>
      </c>
      <c r="B428" s="1073" t="s">
        <v>14476</v>
      </c>
      <c r="C428" s="1073" t="s">
        <v>10184</v>
      </c>
      <c r="D428" s="1074" t="s">
        <v>6</v>
      </c>
      <c r="E428" s="1075">
        <v>4</v>
      </c>
      <c r="F428" s="1076">
        <v>793.46</v>
      </c>
      <c r="G428" s="1076">
        <v>3173.84</v>
      </c>
      <c r="H428" s="1077">
        <f t="shared" si="3"/>
        <v>2.1556796140096256E-4</v>
      </c>
      <c r="I428" s="1078">
        <f t="shared" si="5"/>
        <v>0.94037370178347957</v>
      </c>
      <c r="J428" s="1078" t="str">
        <f t="shared" si="4"/>
        <v>B</v>
      </c>
      <c r="K428" s="1036"/>
      <c r="L428" s="1036"/>
      <c r="M428" s="1036"/>
      <c r="N428" s="1036"/>
      <c r="O428" s="1036"/>
      <c r="P428" s="1036"/>
      <c r="Q428" s="1036"/>
      <c r="R428" s="1036"/>
      <c r="S428" s="1036"/>
      <c r="T428" s="1036"/>
      <c r="U428" s="1036"/>
      <c r="V428" s="1036"/>
      <c r="W428" s="1036"/>
      <c r="X428" s="1036"/>
      <c r="Y428" s="1036"/>
      <c r="Z428" s="1036"/>
    </row>
    <row r="429" spans="1:26" ht="38.25">
      <c r="A429" s="1072">
        <v>92762</v>
      </c>
      <c r="B429" s="1073" t="s">
        <v>14476</v>
      </c>
      <c r="C429" s="1073" t="s">
        <v>7431</v>
      </c>
      <c r="D429" s="1074" t="s">
        <v>54</v>
      </c>
      <c r="E429" s="1075">
        <v>204.7</v>
      </c>
      <c r="F429" s="1076">
        <v>15.5</v>
      </c>
      <c r="G429" s="1076">
        <v>3172.85</v>
      </c>
      <c r="H429" s="1077">
        <f t="shared" si="3"/>
        <v>2.155007203674552E-4</v>
      </c>
      <c r="I429" s="1078">
        <f t="shared" si="5"/>
        <v>0.94058920250384703</v>
      </c>
      <c r="J429" s="1078" t="str">
        <f t="shared" si="4"/>
        <v>B</v>
      </c>
      <c r="K429" s="1036"/>
      <c r="L429" s="1036"/>
      <c r="M429" s="1036"/>
      <c r="N429" s="1036"/>
      <c r="O429" s="1036"/>
      <c r="P429" s="1036"/>
      <c r="Q429" s="1036"/>
      <c r="R429" s="1036"/>
      <c r="S429" s="1036"/>
      <c r="T429" s="1036"/>
      <c r="U429" s="1036"/>
      <c r="V429" s="1036"/>
      <c r="W429" s="1036"/>
      <c r="X429" s="1036"/>
      <c r="Y429" s="1036"/>
      <c r="Z429" s="1036"/>
    </row>
    <row r="430" spans="1:26" ht="25.5">
      <c r="A430" s="1072" t="s">
        <v>14767</v>
      </c>
      <c r="B430" s="1073" t="s">
        <v>14472</v>
      </c>
      <c r="C430" s="1073" t="s">
        <v>15978</v>
      </c>
      <c r="D430" s="1074" t="s">
        <v>409</v>
      </c>
      <c r="E430" s="1075">
        <v>45.1</v>
      </c>
      <c r="F430" s="1076">
        <v>70.25</v>
      </c>
      <c r="G430" s="1076">
        <v>3168.27</v>
      </c>
      <c r="H430" s="1077">
        <f t="shared" si="3"/>
        <v>2.151896456871889E-4</v>
      </c>
      <c r="I430" s="1078">
        <f t="shared" si="5"/>
        <v>0.94080439214953426</v>
      </c>
      <c r="J430" s="1078" t="str">
        <f t="shared" si="4"/>
        <v>B</v>
      </c>
      <c r="K430" s="1036"/>
      <c r="L430" s="1036"/>
      <c r="M430" s="1036"/>
      <c r="N430" s="1036"/>
      <c r="O430" s="1036"/>
      <c r="P430" s="1036"/>
      <c r="Q430" s="1036"/>
      <c r="R430" s="1036"/>
      <c r="S430" s="1036"/>
      <c r="T430" s="1036"/>
      <c r="U430" s="1036"/>
      <c r="V430" s="1036"/>
      <c r="W430" s="1036"/>
      <c r="X430" s="1036"/>
      <c r="Y430" s="1036"/>
      <c r="Z430" s="1036"/>
    </row>
    <row r="431" spans="1:26" ht="25.5">
      <c r="A431" s="1072" t="s">
        <v>14603</v>
      </c>
      <c r="B431" s="1073" t="s">
        <v>14472</v>
      </c>
      <c r="C431" s="1073" t="s">
        <v>14604</v>
      </c>
      <c r="D431" s="1074" t="s">
        <v>409</v>
      </c>
      <c r="E431" s="1075">
        <v>203.82</v>
      </c>
      <c r="F431" s="1076">
        <v>15.36</v>
      </c>
      <c r="G431" s="1076">
        <v>3130.67</v>
      </c>
      <c r="H431" s="1077">
        <f t="shared" si="3"/>
        <v>2.1263584481862711E-4</v>
      </c>
      <c r="I431" s="1078">
        <f t="shared" si="5"/>
        <v>0.94101702799435294</v>
      </c>
      <c r="J431" s="1078" t="str">
        <f t="shared" si="4"/>
        <v>B</v>
      </c>
      <c r="K431" s="1036"/>
      <c r="L431" s="1036"/>
      <c r="M431" s="1036"/>
      <c r="N431" s="1036"/>
      <c r="O431" s="1036"/>
      <c r="P431" s="1036"/>
      <c r="Q431" s="1036"/>
      <c r="R431" s="1036"/>
      <c r="S431" s="1036"/>
      <c r="T431" s="1036"/>
      <c r="U431" s="1036"/>
      <c r="V431" s="1036"/>
      <c r="W431" s="1036"/>
      <c r="X431" s="1036"/>
      <c r="Y431" s="1036"/>
      <c r="Z431" s="1036"/>
    </row>
    <row r="432" spans="1:26" ht="38.25">
      <c r="A432" s="1072">
        <v>102704</v>
      </c>
      <c r="B432" s="1073" t="s">
        <v>14476</v>
      </c>
      <c r="C432" s="1073" t="s">
        <v>6471</v>
      </c>
      <c r="D432" s="1074" t="s">
        <v>50</v>
      </c>
      <c r="E432" s="1075">
        <v>191</v>
      </c>
      <c r="F432" s="1076">
        <v>16.38</v>
      </c>
      <c r="G432" s="1076">
        <v>3128.58</v>
      </c>
      <c r="H432" s="1077">
        <f t="shared" si="3"/>
        <v>2.1249389152566713E-4</v>
      </c>
      <c r="I432" s="1078">
        <f t="shared" si="5"/>
        <v>0.94122952188587861</v>
      </c>
      <c r="J432" s="1078" t="str">
        <f t="shared" si="4"/>
        <v>B</v>
      </c>
      <c r="K432" s="1036"/>
      <c r="L432" s="1036"/>
      <c r="M432" s="1036"/>
      <c r="N432" s="1036"/>
      <c r="O432" s="1036"/>
      <c r="P432" s="1036"/>
      <c r="Q432" s="1036"/>
      <c r="R432" s="1036"/>
      <c r="S432" s="1036"/>
      <c r="T432" s="1036"/>
      <c r="U432" s="1036"/>
      <c r="V432" s="1036"/>
      <c r="W432" s="1036"/>
      <c r="X432" s="1036"/>
      <c r="Y432" s="1036"/>
      <c r="Z432" s="1036"/>
    </row>
    <row r="433" spans="1:26" ht="38.25">
      <c r="A433" s="1072">
        <v>96527</v>
      </c>
      <c r="B433" s="1073" t="s">
        <v>14476</v>
      </c>
      <c r="C433" s="1073" t="s">
        <v>10512</v>
      </c>
      <c r="D433" s="1074" t="s">
        <v>152</v>
      </c>
      <c r="E433" s="1075">
        <v>25.53</v>
      </c>
      <c r="F433" s="1076">
        <v>121.42</v>
      </c>
      <c r="G433" s="1076">
        <v>3099.85</v>
      </c>
      <c r="H433" s="1077">
        <f t="shared" si="3"/>
        <v>2.105425431492368E-4</v>
      </c>
      <c r="I433" s="1078">
        <f t="shared" si="5"/>
        <v>0.94144006442902783</v>
      </c>
      <c r="J433" s="1078" t="str">
        <f t="shared" si="4"/>
        <v>B</v>
      </c>
      <c r="K433" s="1036"/>
      <c r="L433" s="1036"/>
      <c r="M433" s="1036"/>
      <c r="N433" s="1036"/>
      <c r="O433" s="1036"/>
      <c r="P433" s="1036"/>
      <c r="Q433" s="1036"/>
      <c r="R433" s="1036"/>
      <c r="S433" s="1036"/>
      <c r="T433" s="1036"/>
      <c r="U433" s="1036"/>
      <c r="V433" s="1036"/>
      <c r="W433" s="1036"/>
      <c r="X433" s="1036"/>
      <c r="Y433" s="1036"/>
      <c r="Z433" s="1036"/>
    </row>
    <row r="434" spans="1:26" ht="14.25">
      <c r="A434" s="1072" t="s">
        <v>15052</v>
      </c>
      <c r="B434" s="1073" t="s">
        <v>14472</v>
      </c>
      <c r="C434" s="1073" t="s">
        <v>15053</v>
      </c>
      <c r="D434" s="1074" t="s">
        <v>6</v>
      </c>
      <c r="E434" s="1075">
        <v>4</v>
      </c>
      <c r="F434" s="1076">
        <v>774.52</v>
      </c>
      <c r="G434" s="1076">
        <v>3098.08</v>
      </c>
      <c r="H434" s="1077">
        <f t="shared" si="3"/>
        <v>2.1042232433175398E-4</v>
      </c>
      <c r="I434" s="1078">
        <f t="shared" si="5"/>
        <v>0.94165048675335961</v>
      </c>
      <c r="J434" s="1078" t="str">
        <f t="shared" si="4"/>
        <v>B</v>
      </c>
      <c r="K434" s="1036"/>
      <c r="L434" s="1036"/>
      <c r="M434" s="1036"/>
      <c r="N434" s="1036"/>
      <c r="O434" s="1036"/>
      <c r="P434" s="1036"/>
      <c r="Q434" s="1036"/>
      <c r="R434" s="1036"/>
      <c r="S434" s="1036"/>
      <c r="T434" s="1036"/>
      <c r="U434" s="1036"/>
      <c r="V434" s="1036"/>
      <c r="W434" s="1036"/>
      <c r="X434" s="1036"/>
      <c r="Y434" s="1036"/>
      <c r="Z434" s="1036"/>
    </row>
    <row r="435" spans="1:26" ht="14.25">
      <c r="A435" s="1072" t="s">
        <v>15052</v>
      </c>
      <c r="B435" s="1073" t="s">
        <v>14472</v>
      </c>
      <c r="C435" s="1073" t="s">
        <v>15053</v>
      </c>
      <c r="D435" s="1074" t="s">
        <v>6</v>
      </c>
      <c r="E435" s="1075">
        <v>4</v>
      </c>
      <c r="F435" s="1076">
        <v>774.52</v>
      </c>
      <c r="G435" s="1076">
        <v>3098.08</v>
      </c>
      <c r="H435" s="1077">
        <f t="shared" si="3"/>
        <v>2.1042232433175398E-4</v>
      </c>
      <c r="I435" s="1078">
        <f t="shared" si="5"/>
        <v>0.94186090907769138</v>
      </c>
      <c r="J435" s="1078" t="str">
        <f t="shared" si="4"/>
        <v>B</v>
      </c>
      <c r="K435" s="1036"/>
      <c r="L435" s="1036"/>
      <c r="M435" s="1036"/>
      <c r="N435" s="1036"/>
      <c r="O435" s="1036"/>
      <c r="P435" s="1036"/>
      <c r="Q435" s="1036"/>
      <c r="R435" s="1036"/>
      <c r="S435" s="1036"/>
      <c r="T435" s="1036"/>
      <c r="U435" s="1036"/>
      <c r="V435" s="1036"/>
      <c r="W435" s="1036"/>
      <c r="X435" s="1036"/>
      <c r="Y435" s="1036"/>
      <c r="Z435" s="1036"/>
    </row>
    <row r="436" spans="1:26" ht="38.25">
      <c r="A436" s="1072">
        <v>94794</v>
      </c>
      <c r="B436" s="1073" t="s">
        <v>14476</v>
      </c>
      <c r="C436" s="1073" t="s">
        <v>10261</v>
      </c>
      <c r="D436" s="1074" t="s">
        <v>6</v>
      </c>
      <c r="E436" s="1075">
        <v>18</v>
      </c>
      <c r="F436" s="1076">
        <v>171.13</v>
      </c>
      <c r="G436" s="1076">
        <v>3080.34</v>
      </c>
      <c r="H436" s="1077">
        <f t="shared" si="3"/>
        <v>2.0921741934749104E-4</v>
      </c>
      <c r="I436" s="1078">
        <f t="shared" si="5"/>
        <v>0.94207012649703892</v>
      </c>
      <c r="J436" s="1078" t="str">
        <f t="shared" si="4"/>
        <v>B</v>
      </c>
      <c r="K436" s="1036"/>
      <c r="L436" s="1036"/>
      <c r="M436" s="1036"/>
      <c r="N436" s="1036"/>
      <c r="O436" s="1036"/>
      <c r="P436" s="1036"/>
      <c r="Q436" s="1036"/>
      <c r="R436" s="1036"/>
      <c r="S436" s="1036"/>
      <c r="T436" s="1036"/>
      <c r="U436" s="1036"/>
      <c r="V436" s="1036"/>
      <c r="W436" s="1036"/>
      <c r="X436" s="1036"/>
      <c r="Y436" s="1036"/>
      <c r="Z436" s="1036"/>
    </row>
    <row r="437" spans="1:26" ht="38.25">
      <c r="A437" s="1072">
        <v>94794</v>
      </c>
      <c r="B437" s="1073" t="s">
        <v>14476</v>
      </c>
      <c r="C437" s="1073" t="s">
        <v>10261</v>
      </c>
      <c r="D437" s="1074" t="s">
        <v>6</v>
      </c>
      <c r="E437" s="1075">
        <v>18</v>
      </c>
      <c r="F437" s="1076">
        <v>171.13</v>
      </c>
      <c r="G437" s="1076">
        <v>3080.34</v>
      </c>
      <c r="H437" s="1077">
        <f t="shared" si="3"/>
        <v>2.0921741934749104E-4</v>
      </c>
      <c r="I437" s="1078">
        <f t="shared" si="5"/>
        <v>0.94227934391638646</v>
      </c>
      <c r="J437" s="1078" t="str">
        <f t="shared" si="4"/>
        <v>B</v>
      </c>
      <c r="K437" s="1036"/>
      <c r="L437" s="1036"/>
      <c r="M437" s="1036"/>
      <c r="N437" s="1036"/>
      <c r="O437" s="1036"/>
      <c r="P437" s="1036"/>
      <c r="Q437" s="1036"/>
      <c r="R437" s="1036"/>
      <c r="S437" s="1036"/>
      <c r="T437" s="1036"/>
      <c r="U437" s="1036"/>
      <c r="V437" s="1036"/>
      <c r="W437" s="1036"/>
      <c r="X437" s="1036"/>
      <c r="Y437" s="1036"/>
      <c r="Z437" s="1036"/>
    </row>
    <row r="438" spans="1:26" ht="25.5">
      <c r="A438" s="1072">
        <v>93382</v>
      </c>
      <c r="B438" s="1073" t="s">
        <v>14476</v>
      </c>
      <c r="C438" s="1073" t="s">
        <v>10726</v>
      </c>
      <c r="D438" s="1074" t="s">
        <v>152</v>
      </c>
      <c r="E438" s="1075">
        <v>104.3</v>
      </c>
      <c r="F438" s="1076">
        <v>29.52</v>
      </c>
      <c r="G438" s="1076">
        <v>3078.93</v>
      </c>
      <c r="H438" s="1077">
        <f t="shared" si="3"/>
        <v>2.0912165181491996E-4</v>
      </c>
      <c r="I438" s="1078">
        <f t="shared" si="5"/>
        <v>0.94248846556820143</v>
      </c>
      <c r="J438" s="1078" t="str">
        <f t="shared" si="4"/>
        <v>B</v>
      </c>
      <c r="K438" s="1036"/>
      <c r="L438" s="1036"/>
      <c r="M438" s="1036"/>
      <c r="N438" s="1036"/>
      <c r="O438" s="1036"/>
      <c r="P438" s="1036"/>
      <c r="Q438" s="1036"/>
      <c r="R438" s="1036"/>
      <c r="S438" s="1036"/>
      <c r="T438" s="1036"/>
      <c r="U438" s="1036"/>
      <c r="V438" s="1036"/>
      <c r="W438" s="1036"/>
      <c r="X438" s="1036"/>
      <c r="Y438" s="1036"/>
      <c r="Z438" s="1036"/>
    </row>
    <row r="439" spans="1:26" ht="38.25">
      <c r="A439" s="1072">
        <v>92762</v>
      </c>
      <c r="B439" s="1073" t="s">
        <v>14476</v>
      </c>
      <c r="C439" s="1073" t="s">
        <v>7431</v>
      </c>
      <c r="D439" s="1074" t="s">
        <v>54</v>
      </c>
      <c r="E439" s="1075">
        <v>198</v>
      </c>
      <c r="F439" s="1076">
        <v>15.5</v>
      </c>
      <c r="G439" s="1076">
        <v>3069</v>
      </c>
      <c r="H439" s="1077">
        <f t="shared" si="3"/>
        <v>2.0844720387277056E-4</v>
      </c>
      <c r="I439" s="1078">
        <f t="shared" si="5"/>
        <v>0.94269691277207424</v>
      </c>
      <c r="J439" s="1078" t="str">
        <f t="shared" si="4"/>
        <v>B</v>
      </c>
      <c r="K439" s="1036"/>
      <c r="L439" s="1036"/>
      <c r="M439" s="1036"/>
      <c r="N439" s="1036"/>
      <c r="O439" s="1036"/>
      <c r="P439" s="1036"/>
      <c r="Q439" s="1036"/>
      <c r="R439" s="1036"/>
      <c r="S439" s="1036"/>
      <c r="T439" s="1036"/>
      <c r="U439" s="1036"/>
      <c r="V439" s="1036"/>
      <c r="W439" s="1036"/>
      <c r="X439" s="1036"/>
      <c r="Y439" s="1036"/>
      <c r="Z439" s="1036"/>
    </row>
    <row r="440" spans="1:26" ht="25.5">
      <c r="A440" s="1072">
        <v>93358</v>
      </c>
      <c r="B440" s="1073" t="s">
        <v>14476</v>
      </c>
      <c r="C440" s="1073" t="s">
        <v>10648</v>
      </c>
      <c r="D440" s="1074" t="s">
        <v>152</v>
      </c>
      <c r="E440" s="1075">
        <v>30</v>
      </c>
      <c r="F440" s="1076">
        <v>100.47</v>
      </c>
      <c r="G440" s="1076">
        <v>3014.1</v>
      </c>
      <c r="H440" s="1077">
        <f t="shared" si="3"/>
        <v>2.0471838292372685E-4</v>
      </c>
      <c r="I440" s="1078">
        <f t="shared" si="5"/>
        <v>0.94290163115499792</v>
      </c>
      <c r="J440" s="1078" t="str">
        <f t="shared" si="4"/>
        <v>B</v>
      </c>
      <c r="K440" s="1036"/>
      <c r="L440" s="1036"/>
      <c r="M440" s="1036"/>
      <c r="N440" s="1036"/>
      <c r="O440" s="1036"/>
      <c r="P440" s="1036"/>
      <c r="Q440" s="1036"/>
      <c r="R440" s="1036"/>
      <c r="S440" s="1036"/>
      <c r="T440" s="1036"/>
      <c r="U440" s="1036"/>
      <c r="V440" s="1036"/>
      <c r="W440" s="1036"/>
      <c r="X440" s="1036"/>
      <c r="Y440" s="1036"/>
      <c r="Z440" s="1036"/>
    </row>
    <row r="441" spans="1:26" ht="38.25">
      <c r="A441" s="1072" t="s">
        <v>15191</v>
      </c>
      <c r="B441" s="1073" t="s">
        <v>14472</v>
      </c>
      <c r="C441" s="1073" t="s">
        <v>15192</v>
      </c>
      <c r="D441" s="1074" t="s">
        <v>6</v>
      </c>
      <c r="E441" s="1075">
        <v>30</v>
      </c>
      <c r="F441" s="1076">
        <v>100.35</v>
      </c>
      <c r="G441" s="1076">
        <v>3010.5</v>
      </c>
      <c r="H441" s="1077">
        <f t="shared" si="3"/>
        <v>2.0447387007460922E-4</v>
      </c>
      <c r="I441" s="1078">
        <f t="shared" si="5"/>
        <v>0.94310610502507253</v>
      </c>
      <c r="J441" s="1078" t="str">
        <f t="shared" si="4"/>
        <v>B</v>
      </c>
      <c r="K441" s="1036"/>
      <c r="L441" s="1036"/>
      <c r="M441" s="1036"/>
      <c r="N441" s="1036"/>
      <c r="O441" s="1036"/>
      <c r="P441" s="1036"/>
      <c r="Q441" s="1036"/>
      <c r="R441" s="1036"/>
      <c r="S441" s="1036"/>
      <c r="T441" s="1036"/>
      <c r="U441" s="1036"/>
      <c r="V441" s="1036"/>
      <c r="W441" s="1036"/>
      <c r="X441" s="1036"/>
      <c r="Y441" s="1036"/>
      <c r="Z441" s="1036"/>
    </row>
    <row r="442" spans="1:26" ht="25.5">
      <c r="A442" s="1072" t="s">
        <v>14590</v>
      </c>
      <c r="B442" s="1073" t="s">
        <v>14472</v>
      </c>
      <c r="C442" s="1073" t="s">
        <v>14591</v>
      </c>
      <c r="D442" s="1074" t="s">
        <v>152</v>
      </c>
      <c r="E442" s="1075">
        <v>2.76</v>
      </c>
      <c r="F442" s="1076">
        <v>1085.23</v>
      </c>
      <c r="G442" s="1076">
        <v>2995.23</v>
      </c>
      <c r="H442" s="1077">
        <f t="shared" si="3"/>
        <v>2.0343672807293534E-4</v>
      </c>
      <c r="I442" s="1078">
        <f t="shared" si="5"/>
        <v>0.94330954175314541</v>
      </c>
      <c r="J442" s="1078" t="str">
        <f t="shared" si="4"/>
        <v>B</v>
      </c>
      <c r="K442" s="1036"/>
      <c r="L442" s="1036"/>
      <c r="M442" s="1036"/>
      <c r="N442" s="1036"/>
      <c r="O442" s="1036"/>
      <c r="P442" s="1036"/>
      <c r="Q442" s="1036"/>
      <c r="R442" s="1036"/>
      <c r="S442" s="1036"/>
      <c r="T442" s="1036"/>
      <c r="U442" s="1036"/>
      <c r="V442" s="1036"/>
      <c r="W442" s="1036"/>
      <c r="X442" s="1036"/>
      <c r="Y442" s="1036"/>
      <c r="Z442" s="1036"/>
    </row>
    <row r="443" spans="1:26" ht="38.25">
      <c r="A443" s="1072" t="s">
        <v>15026</v>
      </c>
      <c r="B443" s="1073" t="s">
        <v>14472</v>
      </c>
      <c r="C443" s="1073" t="s">
        <v>15027</v>
      </c>
      <c r="D443" s="1074" t="s">
        <v>409</v>
      </c>
      <c r="E443" s="1075">
        <v>2.88</v>
      </c>
      <c r="F443" s="1076">
        <v>1038.25</v>
      </c>
      <c r="G443" s="1076">
        <v>2990.16</v>
      </c>
      <c r="H443" s="1077">
        <f t="shared" si="3"/>
        <v>2.0309237247709467E-4</v>
      </c>
      <c r="I443" s="1078">
        <f t="shared" si="5"/>
        <v>0.94351263412562247</v>
      </c>
      <c r="J443" s="1078" t="str">
        <f t="shared" si="4"/>
        <v>B</v>
      </c>
      <c r="K443" s="1036"/>
      <c r="L443" s="1036"/>
      <c r="M443" s="1036"/>
      <c r="N443" s="1036"/>
      <c r="O443" s="1036"/>
      <c r="P443" s="1036"/>
      <c r="Q443" s="1036"/>
      <c r="R443" s="1036"/>
      <c r="S443" s="1036"/>
      <c r="T443" s="1036"/>
      <c r="U443" s="1036"/>
      <c r="V443" s="1036"/>
      <c r="W443" s="1036"/>
      <c r="X443" s="1036"/>
      <c r="Y443" s="1036"/>
      <c r="Z443" s="1036"/>
    </row>
    <row r="444" spans="1:26" ht="51">
      <c r="A444" s="1072">
        <v>89753</v>
      </c>
      <c r="B444" s="1073" t="s">
        <v>14476</v>
      </c>
      <c r="C444" s="1073" t="s">
        <v>8964</v>
      </c>
      <c r="D444" s="1074" t="s">
        <v>6</v>
      </c>
      <c r="E444" s="1075">
        <v>266</v>
      </c>
      <c r="F444" s="1076">
        <v>11.17</v>
      </c>
      <c r="G444" s="1076">
        <v>2971.22</v>
      </c>
      <c r="H444" s="1077">
        <f t="shared" si="3"/>
        <v>2.0180596320979252E-4</v>
      </c>
      <c r="I444" s="1078">
        <f t="shared" si="5"/>
        <v>0.94371444008883232</v>
      </c>
      <c r="J444" s="1078" t="str">
        <f t="shared" si="4"/>
        <v>B</v>
      </c>
      <c r="K444" s="1036"/>
      <c r="L444" s="1036"/>
      <c r="M444" s="1036"/>
      <c r="N444" s="1036"/>
      <c r="O444" s="1036"/>
      <c r="P444" s="1036"/>
      <c r="Q444" s="1036"/>
      <c r="R444" s="1036"/>
      <c r="S444" s="1036"/>
      <c r="T444" s="1036"/>
      <c r="U444" s="1036"/>
      <c r="V444" s="1036"/>
      <c r="W444" s="1036"/>
      <c r="X444" s="1036"/>
      <c r="Y444" s="1036"/>
      <c r="Z444" s="1036"/>
    </row>
    <row r="445" spans="1:26" ht="25.5">
      <c r="A445" s="1072" t="s">
        <v>14938</v>
      </c>
      <c r="B445" s="1073" t="s">
        <v>14472</v>
      </c>
      <c r="C445" s="1073" t="s">
        <v>15975</v>
      </c>
      <c r="D445" s="1074" t="s">
        <v>409</v>
      </c>
      <c r="E445" s="1075">
        <v>73.55</v>
      </c>
      <c r="F445" s="1076">
        <v>40.33</v>
      </c>
      <c r="G445" s="1076">
        <v>2966.27</v>
      </c>
      <c r="H445" s="1077">
        <f t="shared" si="3"/>
        <v>2.014697580422558E-4</v>
      </c>
      <c r="I445" s="1078">
        <f t="shared" si="5"/>
        <v>0.94391590984687457</v>
      </c>
      <c r="J445" s="1078" t="str">
        <f t="shared" si="4"/>
        <v>B</v>
      </c>
      <c r="K445" s="1036"/>
      <c r="L445" s="1036"/>
      <c r="M445" s="1036"/>
      <c r="N445" s="1036"/>
      <c r="O445" s="1036"/>
      <c r="P445" s="1036"/>
      <c r="Q445" s="1036"/>
      <c r="R445" s="1036"/>
      <c r="S445" s="1036"/>
      <c r="T445" s="1036"/>
      <c r="U445" s="1036"/>
      <c r="V445" s="1036"/>
      <c r="W445" s="1036"/>
      <c r="X445" s="1036"/>
      <c r="Y445" s="1036"/>
      <c r="Z445" s="1036"/>
    </row>
    <row r="446" spans="1:26" ht="51">
      <c r="A446" s="1072">
        <v>89585</v>
      </c>
      <c r="B446" s="1073" t="s">
        <v>14476</v>
      </c>
      <c r="C446" s="1073" t="s">
        <v>8829</v>
      </c>
      <c r="D446" s="1074" t="s">
        <v>6</v>
      </c>
      <c r="E446" s="1075">
        <v>55</v>
      </c>
      <c r="F446" s="1076">
        <v>53.67</v>
      </c>
      <c r="G446" s="1076">
        <v>2951.85</v>
      </c>
      <c r="H446" s="1077">
        <f t="shared" si="3"/>
        <v>2.0049034824106801E-4</v>
      </c>
      <c r="I446" s="1078">
        <f t="shared" si="5"/>
        <v>0.94411640019511567</v>
      </c>
      <c r="J446" s="1078" t="str">
        <f t="shared" si="4"/>
        <v>B</v>
      </c>
      <c r="K446" s="1036"/>
      <c r="L446" s="1036"/>
      <c r="M446" s="1036"/>
      <c r="N446" s="1036"/>
      <c r="O446" s="1036"/>
      <c r="P446" s="1036"/>
      <c r="Q446" s="1036"/>
      <c r="R446" s="1036"/>
      <c r="S446" s="1036"/>
      <c r="T446" s="1036"/>
      <c r="U446" s="1036"/>
      <c r="V446" s="1036"/>
      <c r="W446" s="1036"/>
      <c r="X446" s="1036"/>
      <c r="Y446" s="1036"/>
      <c r="Z446" s="1036"/>
    </row>
    <row r="447" spans="1:26" ht="14.25">
      <c r="A447" s="1072" t="s">
        <v>15083</v>
      </c>
      <c r="B447" s="1073" t="s">
        <v>14472</v>
      </c>
      <c r="C447" s="1073" t="s">
        <v>15084</v>
      </c>
      <c r="D447" s="1074" t="s">
        <v>409</v>
      </c>
      <c r="E447" s="1075">
        <v>35.119999999999997</v>
      </c>
      <c r="F447" s="1076">
        <v>83.98</v>
      </c>
      <c r="G447" s="1076">
        <v>2949.37</v>
      </c>
      <c r="H447" s="1077">
        <f t="shared" si="3"/>
        <v>2.0032190605612032E-4</v>
      </c>
      <c r="I447" s="1078">
        <f t="shared" si="5"/>
        <v>0.94431672210117179</v>
      </c>
      <c r="J447" s="1078" t="str">
        <f t="shared" si="4"/>
        <v>B</v>
      </c>
      <c r="K447" s="1036"/>
      <c r="L447" s="1036"/>
      <c r="M447" s="1036"/>
      <c r="N447" s="1036"/>
      <c r="O447" s="1036"/>
      <c r="P447" s="1036"/>
      <c r="Q447" s="1036"/>
      <c r="R447" s="1036"/>
      <c r="S447" s="1036"/>
      <c r="T447" s="1036"/>
      <c r="U447" s="1036"/>
      <c r="V447" s="1036"/>
      <c r="W447" s="1036"/>
      <c r="X447" s="1036"/>
      <c r="Y447" s="1036"/>
      <c r="Z447" s="1036"/>
    </row>
    <row r="448" spans="1:26" ht="38.25">
      <c r="A448" s="1072">
        <v>98562</v>
      </c>
      <c r="B448" s="1073" t="s">
        <v>14476</v>
      </c>
      <c r="C448" s="1073" t="s">
        <v>7732</v>
      </c>
      <c r="D448" s="1074" t="s">
        <v>409</v>
      </c>
      <c r="E448" s="1075">
        <v>48.9</v>
      </c>
      <c r="F448" s="1076">
        <v>59.86</v>
      </c>
      <c r="G448" s="1076">
        <v>2927.15</v>
      </c>
      <c r="H448" s="1077">
        <f t="shared" si="3"/>
        <v>1.988127184151777E-4</v>
      </c>
      <c r="I448" s="1078">
        <f t="shared" si="5"/>
        <v>0.94451553481958694</v>
      </c>
      <c r="J448" s="1078" t="str">
        <f t="shared" si="4"/>
        <v>B</v>
      </c>
      <c r="K448" s="1036"/>
      <c r="L448" s="1036"/>
      <c r="M448" s="1036"/>
      <c r="N448" s="1036"/>
      <c r="O448" s="1036"/>
      <c r="P448" s="1036"/>
      <c r="Q448" s="1036"/>
      <c r="R448" s="1036"/>
      <c r="S448" s="1036"/>
      <c r="T448" s="1036"/>
      <c r="U448" s="1036"/>
      <c r="V448" s="1036"/>
      <c r="W448" s="1036"/>
      <c r="X448" s="1036"/>
      <c r="Y448" s="1036"/>
      <c r="Z448" s="1036"/>
    </row>
    <row r="449" spans="1:26" ht="25.5">
      <c r="A449" s="1072">
        <v>102718</v>
      </c>
      <c r="B449" s="1073" t="s">
        <v>14476</v>
      </c>
      <c r="C449" s="1073" t="s">
        <v>6482</v>
      </c>
      <c r="D449" s="1074" t="s">
        <v>152</v>
      </c>
      <c r="E449" s="1075">
        <v>13</v>
      </c>
      <c r="F449" s="1076">
        <v>224.71</v>
      </c>
      <c r="G449" s="1076">
        <v>2921.23</v>
      </c>
      <c r="H449" s="1077">
        <f t="shared" si="3"/>
        <v>1.9841063061885094E-4</v>
      </c>
      <c r="I449" s="1078">
        <f t="shared" si="5"/>
        <v>0.94471394545020582</v>
      </c>
      <c r="J449" s="1078" t="str">
        <f t="shared" si="4"/>
        <v>B</v>
      </c>
      <c r="K449" s="1036"/>
      <c r="L449" s="1036"/>
      <c r="M449" s="1036"/>
      <c r="N449" s="1036"/>
      <c r="O449" s="1036"/>
      <c r="P449" s="1036"/>
      <c r="Q449" s="1036"/>
      <c r="R449" s="1036"/>
      <c r="S449" s="1036"/>
      <c r="T449" s="1036"/>
      <c r="U449" s="1036"/>
      <c r="V449" s="1036"/>
      <c r="W449" s="1036"/>
      <c r="X449" s="1036"/>
      <c r="Y449" s="1036"/>
      <c r="Z449" s="1036"/>
    </row>
    <row r="450" spans="1:26" ht="38.25">
      <c r="A450" s="1072">
        <v>104919</v>
      </c>
      <c r="B450" s="1073" t="s">
        <v>14476</v>
      </c>
      <c r="C450" s="1073" t="s">
        <v>7516</v>
      </c>
      <c r="D450" s="1074" t="s">
        <v>54</v>
      </c>
      <c r="E450" s="1075">
        <v>167.4</v>
      </c>
      <c r="F450" s="1076">
        <v>17.45</v>
      </c>
      <c r="G450" s="1076">
        <v>2921.13</v>
      </c>
      <c r="H450" s="1077">
        <f t="shared" si="3"/>
        <v>1.9840383859526435E-4</v>
      </c>
      <c r="I450" s="1078">
        <f t="shared" si="5"/>
        <v>0.94491234928880108</v>
      </c>
      <c r="J450" s="1078" t="str">
        <f t="shared" si="4"/>
        <v>B</v>
      </c>
      <c r="K450" s="1036"/>
      <c r="L450" s="1036"/>
      <c r="M450" s="1036"/>
      <c r="N450" s="1036"/>
      <c r="O450" s="1036"/>
      <c r="P450" s="1036"/>
      <c r="Q450" s="1036"/>
      <c r="R450" s="1036"/>
      <c r="S450" s="1036"/>
      <c r="T450" s="1036"/>
      <c r="U450" s="1036"/>
      <c r="V450" s="1036"/>
      <c r="W450" s="1036"/>
      <c r="X450" s="1036"/>
      <c r="Y450" s="1036"/>
      <c r="Z450" s="1036"/>
    </row>
    <row r="451" spans="1:26" ht="38.25">
      <c r="A451" s="1072">
        <v>104919</v>
      </c>
      <c r="B451" s="1073" t="s">
        <v>14476</v>
      </c>
      <c r="C451" s="1073" t="s">
        <v>7516</v>
      </c>
      <c r="D451" s="1074" t="s">
        <v>54</v>
      </c>
      <c r="E451" s="1075">
        <v>167.32</v>
      </c>
      <c r="F451" s="1076">
        <v>17.45</v>
      </c>
      <c r="G451" s="1076">
        <v>2919.73</v>
      </c>
      <c r="H451" s="1077">
        <f t="shared" si="3"/>
        <v>1.9830875026505192E-4</v>
      </c>
      <c r="I451" s="1078">
        <f t="shared" si="5"/>
        <v>0.94511065803906613</v>
      </c>
      <c r="J451" s="1078" t="str">
        <f t="shared" si="4"/>
        <v>B</v>
      </c>
      <c r="K451" s="1036"/>
      <c r="L451" s="1036"/>
      <c r="M451" s="1036"/>
      <c r="N451" s="1036"/>
      <c r="O451" s="1036"/>
      <c r="P451" s="1036"/>
      <c r="Q451" s="1036"/>
      <c r="R451" s="1036"/>
      <c r="S451" s="1036"/>
      <c r="T451" s="1036"/>
      <c r="U451" s="1036"/>
      <c r="V451" s="1036"/>
      <c r="W451" s="1036"/>
      <c r="X451" s="1036"/>
      <c r="Y451" s="1036"/>
      <c r="Z451" s="1036"/>
    </row>
    <row r="452" spans="1:26" ht="38.25">
      <c r="A452" s="1072" t="s">
        <v>15217</v>
      </c>
      <c r="B452" s="1073" t="s">
        <v>14472</v>
      </c>
      <c r="C452" s="1073" t="s">
        <v>15218</v>
      </c>
      <c r="D452" s="1074" t="s">
        <v>50</v>
      </c>
      <c r="E452" s="1075">
        <v>320</v>
      </c>
      <c r="F452" s="1076">
        <v>9.07</v>
      </c>
      <c r="G452" s="1076">
        <v>2902.4</v>
      </c>
      <c r="H452" s="1077">
        <f t="shared" si="3"/>
        <v>1.9713169257749405E-4</v>
      </c>
      <c r="I452" s="1078">
        <f t="shared" si="5"/>
        <v>0.94530778973164364</v>
      </c>
      <c r="J452" s="1078" t="str">
        <f t="shared" si="4"/>
        <v>B</v>
      </c>
      <c r="K452" s="1036"/>
      <c r="L452" s="1036"/>
      <c r="M452" s="1036"/>
      <c r="N452" s="1036"/>
      <c r="O452" s="1036"/>
      <c r="P452" s="1036"/>
      <c r="Q452" s="1036"/>
      <c r="R452" s="1036"/>
      <c r="S452" s="1036"/>
      <c r="T452" s="1036"/>
      <c r="U452" s="1036"/>
      <c r="V452" s="1036"/>
      <c r="W452" s="1036"/>
      <c r="X452" s="1036"/>
      <c r="Y452" s="1036"/>
      <c r="Z452" s="1036"/>
    </row>
    <row r="453" spans="1:26" ht="38.25">
      <c r="A453" s="1072" t="s">
        <v>15195</v>
      </c>
      <c r="B453" s="1073" t="s">
        <v>14472</v>
      </c>
      <c r="C453" s="1073" t="s">
        <v>15979</v>
      </c>
      <c r="D453" s="1074" t="s">
        <v>6</v>
      </c>
      <c r="E453" s="1075">
        <v>4</v>
      </c>
      <c r="F453" s="1076">
        <v>724.81</v>
      </c>
      <c r="G453" s="1076">
        <v>2899.24</v>
      </c>
      <c r="H453" s="1077">
        <f t="shared" si="3"/>
        <v>1.9691706463215747E-4</v>
      </c>
      <c r="I453" s="1078">
        <f t="shared" si="5"/>
        <v>0.94550470679627585</v>
      </c>
      <c r="J453" s="1078" t="str">
        <f t="shared" si="4"/>
        <v>B</v>
      </c>
      <c r="K453" s="1036"/>
      <c r="L453" s="1036"/>
      <c r="M453" s="1036"/>
      <c r="N453" s="1036"/>
      <c r="O453" s="1036"/>
      <c r="P453" s="1036"/>
      <c r="Q453" s="1036"/>
      <c r="R453" s="1036"/>
      <c r="S453" s="1036"/>
      <c r="T453" s="1036"/>
      <c r="U453" s="1036"/>
      <c r="V453" s="1036"/>
      <c r="W453" s="1036"/>
      <c r="X453" s="1036"/>
      <c r="Y453" s="1036"/>
      <c r="Z453" s="1036"/>
    </row>
    <row r="454" spans="1:26" ht="38.25">
      <c r="A454" s="1072">
        <v>96527</v>
      </c>
      <c r="B454" s="1073" t="s">
        <v>14476</v>
      </c>
      <c r="C454" s="1073" t="s">
        <v>10512</v>
      </c>
      <c r="D454" s="1074" t="s">
        <v>152</v>
      </c>
      <c r="E454" s="1075">
        <v>23.87</v>
      </c>
      <c r="F454" s="1076">
        <v>121.42</v>
      </c>
      <c r="G454" s="1076">
        <v>2898.29</v>
      </c>
      <c r="H454" s="1077">
        <f t="shared" si="3"/>
        <v>1.9685254040808476E-4</v>
      </c>
      <c r="I454" s="1078">
        <f t="shared" si="5"/>
        <v>0.94570155933668398</v>
      </c>
      <c r="J454" s="1078" t="str">
        <f t="shared" si="4"/>
        <v>B</v>
      </c>
      <c r="K454" s="1036"/>
      <c r="L454" s="1036"/>
      <c r="M454" s="1036"/>
      <c r="N454" s="1036"/>
      <c r="O454" s="1036"/>
      <c r="P454" s="1036"/>
      <c r="Q454" s="1036"/>
      <c r="R454" s="1036"/>
      <c r="S454" s="1036"/>
      <c r="T454" s="1036"/>
      <c r="U454" s="1036"/>
      <c r="V454" s="1036"/>
      <c r="W454" s="1036"/>
      <c r="X454" s="1036"/>
      <c r="Y454" s="1036"/>
      <c r="Z454" s="1036"/>
    </row>
    <row r="455" spans="1:26" ht="38.25">
      <c r="A455" s="1072">
        <v>104918</v>
      </c>
      <c r="B455" s="1073" t="s">
        <v>14476</v>
      </c>
      <c r="C455" s="1073" t="s">
        <v>7515</v>
      </c>
      <c r="D455" s="1074" t="s">
        <v>54</v>
      </c>
      <c r="E455" s="1075">
        <v>149.07</v>
      </c>
      <c r="F455" s="1076">
        <v>19.420000000000002</v>
      </c>
      <c r="G455" s="1076">
        <v>2894.93</v>
      </c>
      <c r="H455" s="1077">
        <f t="shared" si="3"/>
        <v>1.9662432841557499E-4</v>
      </c>
      <c r="I455" s="1078">
        <f t="shared" si="5"/>
        <v>0.94589818366509959</v>
      </c>
      <c r="J455" s="1078" t="str">
        <f t="shared" si="4"/>
        <v>B</v>
      </c>
      <c r="K455" s="1036"/>
      <c r="L455" s="1036"/>
      <c r="M455" s="1036"/>
      <c r="N455" s="1036"/>
      <c r="O455" s="1036"/>
      <c r="P455" s="1036"/>
      <c r="Q455" s="1036"/>
      <c r="R455" s="1036"/>
      <c r="S455" s="1036"/>
      <c r="T455" s="1036"/>
      <c r="U455" s="1036"/>
      <c r="V455" s="1036"/>
      <c r="W455" s="1036"/>
      <c r="X455" s="1036"/>
      <c r="Y455" s="1036"/>
      <c r="Z455" s="1036"/>
    </row>
    <row r="456" spans="1:26" ht="25.5">
      <c r="A456" s="1072">
        <v>93358</v>
      </c>
      <c r="B456" s="1073" t="s">
        <v>14476</v>
      </c>
      <c r="C456" s="1073" t="s">
        <v>10648</v>
      </c>
      <c r="D456" s="1074" t="s">
        <v>152</v>
      </c>
      <c r="E456" s="1075">
        <v>28.8</v>
      </c>
      <c r="F456" s="1076">
        <v>100.47</v>
      </c>
      <c r="G456" s="1076">
        <v>2893.53</v>
      </c>
      <c r="H456" s="1077">
        <f t="shared" si="3"/>
        <v>1.9652924008536259E-4</v>
      </c>
      <c r="I456" s="1078">
        <f t="shared" si="5"/>
        <v>0.94609471290518499</v>
      </c>
      <c r="J456" s="1078" t="str">
        <f t="shared" si="4"/>
        <v>B</v>
      </c>
      <c r="K456" s="1036"/>
      <c r="L456" s="1036"/>
      <c r="M456" s="1036"/>
      <c r="N456" s="1036"/>
      <c r="O456" s="1036"/>
      <c r="P456" s="1036"/>
      <c r="Q456" s="1036"/>
      <c r="R456" s="1036"/>
      <c r="S456" s="1036"/>
      <c r="T456" s="1036"/>
      <c r="U456" s="1036"/>
      <c r="V456" s="1036"/>
      <c r="W456" s="1036"/>
      <c r="X456" s="1036"/>
      <c r="Y456" s="1036"/>
      <c r="Z456" s="1036"/>
    </row>
    <row r="457" spans="1:26" ht="38.25">
      <c r="A457" s="1072" t="s">
        <v>15282</v>
      </c>
      <c r="B457" s="1073" t="s">
        <v>14472</v>
      </c>
      <c r="C457" s="1073" t="s">
        <v>15283</v>
      </c>
      <c r="D457" s="1074" t="s">
        <v>6</v>
      </c>
      <c r="E457" s="1075">
        <v>16</v>
      </c>
      <c r="F457" s="1076">
        <v>180.45</v>
      </c>
      <c r="G457" s="1076">
        <v>2887.2</v>
      </c>
      <c r="H457" s="1077">
        <f t="shared" si="3"/>
        <v>1.9609930499233074E-4</v>
      </c>
      <c r="I457" s="1078">
        <f t="shared" si="5"/>
        <v>0.9462908122101773</v>
      </c>
      <c r="J457" s="1078" t="str">
        <f t="shared" si="4"/>
        <v>B</v>
      </c>
      <c r="K457" s="1036"/>
      <c r="L457" s="1036"/>
      <c r="M457" s="1036"/>
      <c r="N457" s="1036"/>
      <c r="O457" s="1036"/>
      <c r="P457" s="1036"/>
      <c r="Q457" s="1036"/>
      <c r="R457" s="1036"/>
      <c r="S457" s="1036"/>
      <c r="T457" s="1036"/>
      <c r="U457" s="1036"/>
      <c r="V457" s="1036"/>
      <c r="W457" s="1036"/>
      <c r="X457" s="1036"/>
      <c r="Y457" s="1036"/>
      <c r="Z457" s="1036"/>
    </row>
    <row r="458" spans="1:26" ht="38.25">
      <c r="A458" s="1072">
        <v>87299</v>
      </c>
      <c r="B458" s="1073" t="s">
        <v>14476</v>
      </c>
      <c r="C458" s="1073" t="s">
        <v>11550</v>
      </c>
      <c r="D458" s="1074" t="s">
        <v>152</v>
      </c>
      <c r="E458" s="1075">
        <v>4.79</v>
      </c>
      <c r="F458" s="1076">
        <v>601.86</v>
      </c>
      <c r="G458" s="1076">
        <v>2885.67</v>
      </c>
      <c r="H458" s="1077">
        <f t="shared" si="3"/>
        <v>1.9599538703145579E-4</v>
      </c>
      <c r="I458" s="1078">
        <f t="shared" si="5"/>
        <v>0.94648680759720871</v>
      </c>
      <c r="J458" s="1078" t="str">
        <f t="shared" si="4"/>
        <v>B</v>
      </c>
      <c r="K458" s="1036"/>
      <c r="L458" s="1036"/>
      <c r="M458" s="1036"/>
      <c r="N458" s="1036"/>
      <c r="O458" s="1036"/>
      <c r="P458" s="1036"/>
      <c r="Q458" s="1036"/>
      <c r="R458" s="1036"/>
      <c r="S458" s="1036"/>
      <c r="T458" s="1036"/>
      <c r="U458" s="1036"/>
      <c r="V458" s="1036"/>
      <c r="W458" s="1036"/>
      <c r="X458" s="1036"/>
      <c r="Y458" s="1036"/>
      <c r="Z458" s="1036"/>
    </row>
    <row r="459" spans="1:26" ht="51">
      <c r="A459" s="1072">
        <v>91855</v>
      </c>
      <c r="B459" s="1073" t="s">
        <v>14476</v>
      </c>
      <c r="C459" s="1073" t="s">
        <v>7771</v>
      </c>
      <c r="D459" s="1074" t="s">
        <v>50</v>
      </c>
      <c r="E459" s="1075">
        <v>217</v>
      </c>
      <c r="F459" s="1076">
        <v>13.26</v>
      </c>
      <c r="G459" s="1076">
        <v>2877.42</v>
      </c>
      <c r="H459" s="1077">
        <f t="shared" si="3"/>
        <v>1.9543504508556125E-4</v>
      </c>
      <c r="I459" s="1078">
        <f t="shared" si="5"/>
        <v>0.94668224264229428</v>
      </c>
      <c r="J459" s="1078" t="str">
        <f t="shared" si="4"/>
        <v>B</v>
      </c>
      <c r="K459" s="1036"/>
      <c r="L459" s="1036"/>
      <c r="M459" s="1036"/>
      <c r="N459" s="1036"/>
      <c r="O459" s="1036"/>
      <c r="P459" s="1036"/>
      <c r="Q459" s="1036"/>
      <c r="R459" s="1036"/>
      <c r="S459" s="1036"/>
      <c r="T459" s="1036"/>
      <c r="U459" s="1036"/>
      <c r="V459" s="1036"/>
      <c r="W459" s="1036"/>
      <c r="X459" s="1036"/>
      <c r="Y459" s="1036"/>
      <c r="Z459" s="1036"/>
    </row>
    <row r="460" spans="1:26" ht="38.25">
      <c r="A460" s="1072" t="s">
        <v>15440</v>
      </c>
      <c r="B460" s="1073" t="s">
        <v>14472</v>
      </c>
      <c r="C460" s="1073" t="s">
        <v>15441</v>
      </c>
      <c r="D460" s="1074" t="s">
        <v>6</v>
      </c>
      <c r="E460" s="1075">
        <v>10</v>
      </c>
      <c r="F460" s="1076">
        <v>286.22000000000003</v>
      </c>
      <c r="G460" s="1076">
        <v>2862.2</v>
      </c>
      <c r="H460" s="1077">
        <f t="shared" si="3"/>
        <v>1.9440129909568062E-4</v>
      </c>
      <c r="I460" s="1078">
        <f t="shared" si="5"/>
        <v>0.94687664394138993</v>
      </c>
      <c r="J460" s="1078" t="str">
        <f t="shared" si="4"/>
        <v>B</v>
      </c>
      <c r="K460" s="1036"/>
      <c r="L460" s="1036"/>
      <c r="M460" s="1036"/>
      <c r="N460" s="1036"/>
      <c r="O460" s="1036"/>
      <c r="P460" s="1036"/>
      <c r="Q460" s="1036"/>
      <c r="R460" s="1036"/>
      <c r="S460" s="1036"/>
      <c r="T460" s="1036"/>
      <c r="U460" s="1036"/>
      <c r="V460" s="1036"/>
      <c r="W460" s="1036"/>
      <c r="X460" s="1036"/>
      <c r="Y460" s="1036"/>
      <c r="Z460" s="1036"/>
    </row>
    <row r="461" spans="1:26" ht="38.25">
      <c r="A461" s="1072" t="s">
        <v>15440</v>
      </c>
      <c r="B461" s="1073" t="s">
        <v>14472</v>
      </c>
      <c r="C461" s="1073" t="s">
        <v>15441</v>
      </c>
      <c r="D461" s="1074" t="s">
        <v>6</v>
      </c>
      <c r="E461" s="1075">
        <v>10</v>
      </c>
      <c r="F461" s="1076">
        <v>286.22000000000003</v>
      </c>
      <c r="G461" s="1076">
        <v>2862.2</v>
      </c>
      <c r="H461" s="1077">
        <f t="shared" si="3"/>
        <v>1.9440129909568062E-4</v>
      </c>
      <c r="I461" s="1078">
        <f t="shared" si="5"/>
        <v>0.94707104524048558</v>
      </c>
      <c r="J461" s="1078" t="str">
        <f t="shared" si="4"/>
        <v>B</v>
      </c>
      <c r="K461" s="1036"/>
      <c r="L461" s="1036"/>
      <c r="M461" s="1036"/>
      <c r="N461" s="1036"/>
      <c r="O461" s="1036"/>
      <c r="P461" s="1036"/>
      <c r="Q461" s="1036"/>
      <c r="R461" s="1036"/>
      <c r="S461" s="1036"/>
      <c r="T461" s="1036"/>
      <c r="U461" s="1036"/>
      <c r="V461" s="1036"/>
      <c r="W461" s="1036"/>
      <c r="X461" s="1036"/>
      <c r="Y461" s="1036"/>
      <c r="Z461" s="1036"/>
    </row>
    <row r="462" spans="1:26" ht="25.5">
      <c r="A462" s="1072">
        <v>93358</v>
      </c>
      <c r="B462" s="1073" t="s">
        <v>14476</v>
      </c>
      <c r="C462" s="1073" t="s">
        <v>10648</v>
      </c>
      <c r="D462" s="1074" t="s">
        <v>152</v>
      </c>
      <c r="E462" s="1075">
        <v>28.3</v>
      </c>
      <c r="F462" s="1076">
        <v>100.47</v>
      </c>
      <c r="G462" s="1076">
        <v>2843.3</v>
      </c>
      <c r="H462" s="1077">
        <f t="shared" si="3"/>
        <v>1.9311760663781314E-4</v>
      </c>
      <c r="I462" s="1078">
        <f t="shared" si="5"/>
        <v>0.94726416284712334</v>
      </c>
      <c r="J462" s="1078" t="str">
        <f t="shared" si="4"/>
        <v>B</v>
      </c>
      <c r="K462" s="1036"/>
      <c r="L462" s="1036"/>
      <c r="M462" s="1036"/>
      <c r="N462" s="1036"/>
      <c r="O462" s="1036"/>
      <c r="P462" s="1036"/>
      <c r="Q462" s="1036"/>
      <c r="R462" s="1036"/>
      <c r="S462" s="1036"/>
      <c r="T462" s="1036"/>
      <c r="U462" s="1036"/>
      <c r="V462" s="1036"/>
      <c r="W462" s="1036"/>
      <c r="X462" s="1036"/>
      <c r="Y462" s="1036"/>
      <c r="Z462" s="1036"/>
    </row>
    <row r="463" spans="1:26" ht="25.5">
      <c r="A463" s="1072" t="s">
        <v>14590</v>
      </c>
      <c r="B463" s="1073" t="s">
        <v>14472</v>
      </c>
      <c r="C463" s="1073" t="s">
        <v>14591</v>
      </c>
      <c r="D463" s="1074" t="s">
        <v>152</v>
      </c>
      <c r="E463" s="1075">
        <v>2.6</v>
      </c>
      <c r="F463" s="1076">
        <v>1085.23</v>
      </c>
      <c r="G463" s="1076">
        <v>2821.59</v>
      </c>
      <c r="H463" s="1077">
        <f t="shared" si="3"/>
        <v>1.9164305831716216E-4</v>
      </c>
      <c r="I463" s="1078">
        <f t="shared" si="5"/>
        <v>0.94745580590544054</v>
      </c>
      <c r="J463" s="1078" t="str">
        <f t="shared" si="4"/>
        <v>B</v>
      </c>
      <c r="K463" s="1036"/>
      <c r="L463" s="1036"/>
      <c r="M463" s="1036"/>
      <c r="N463" s="1036"/>
      <c r="O463" s="1036"/>
      <c r="P463" s="1036"/>
      <c r="Q463" s="1036"/>
      <c r="R463" s="1036"/>
      <c r="S463" s="1036"/>
      <c r="T463" s="1036"/>
      <c r="U463" s="1036"/>
      <c r="V463" s="1036"/>
      <c r="W463" s="1036"/>
      <c r="X463" s="1036"/>
      <c r="Y463" s="1036"/>
      <c r="Z463" s="1036"/>
    </row>
    <row r="464" spans="1:26" ht="25.5">
      <c r="A464" s="1072">
        <v>95305</v>
      </c>
      <c r="B464" s="1073" t="s">
        <v>14476</v>
      </c>
      <c r="C464" s="1073" t="s">
        <v>11012</v>
      </c>
      <c r="D464" s="1074" t="s">
        <v>409</v>
      </c>
      <c r="E464" s="1075">
        <v>176.77</v>
      </c>
      <c r="F464" s="1076">
        <v>15.93</v>
      </c>
      <c r="G464" s="1076">
        <v>2815.94</v>
      </c>
      <c r="H464" s="1077">
        <f t="shared" si="3"/>
        <v>1.9125930898451922E-4</v>
      </c>
      <c r="I464" s="1078">
        <f t="shared" si="5"/>
        <v>0.9476470652144251</v>
      </c>
      <c r="J464" s="1078" t="str">
        <f t="shared" si="4"/>
        <v>B</v>
      </c>
      <c r="K464" s="1036"/>
      <c r="L464" s="1036"/>
      <c r="M464" s="1036"/>
      <c r="N464" s="1036"/>
      <c r="O464" s="1036"/>
      <c r="P464" s="1036"/>
      <c r="Q464" s="1036"/>
      <c r="R464" s="1036"/>
      <c r="S464" s="1036"/>
      <c r="T464" s="1036"/>
      <c r="U464" s="1036"/>
      <c r="V464" s="1036"/>
      <c r="W464" s="1036"/>
      <c r="X464" s="1036"/>
      <c r="Y464" s="1036"/>
      <c r="Z464" s="1036"/>
    </row>
    <row r="465" spans="1:26" ht="25.5">
      <c r="A465" s="1072">
        <v>93358</v>
      </c>
      <c r="B465" s="1073" t="s">
        <v>14476</v>
      </c>
      <c r="C465" s="1073" t="s">
        <v>10648</v>
      </c>
      <c r="D465" s="1074" t="s">
        <v>152</v>
      </c>
      <c r="E465" s="1075">
        <v>27.9</v>
      </c>
      <c r="F465" s="1076">
        <v>100.47</v>
      </c>
      <c r="G465" s="1076">
        <v>2803.11</v>
      </c>
      <c r="H465" s="1077">
        <f t="shared" si="3"/>
        <v>1.9038789235835838E-4</v>
      </c>
      <c r="I465" s="1078">
        <f t="shared" si="5"/>
        <v>0.94783745310678347</v>
      </c>
      <c r="J465" s="1078" t="str">
        <f t="shared" si="4"/>
        <v>B</v>
      </c>
      <c r="K465" s="1036"/>
      <c r="L465" s="1036"/>
      <c r="M465" s="1036"/>
      <c r="N465" s="1036"/>
      <c r="O465" s="1036"/>
      <c r="P465" s="1036"/>
      <c r="Q465" s="1036"/>
      <c r="R465" s="1036"/>
      <c r="S465" s="1036"/>
      <c r="T465" s="1036"/>
      <c r="U465" s="1036"/>
      <c r="V465" s="1036"/>
      <c r="W465" s="1036"/>
      <c r="X465" s="1036"/>
      <c r="Y465" s="1036"/>
      <c r="Z465" s="1036"/>
    </row>
    <row r="466" spans="1:26" ht="38.25">
      <c r="A466" s="1072">
        <v>91935</v>
      </c>
      <c r="B466" s="1073" t="s">
        <v>14476</v>
      </c>
      <c r="C466" s="1073" t="s">
        <v>7862</v>
      </c>
      <c r="D466" s="1074" t="s">
        <v>50</v>
      </c>
      <c r="E466" s="1075">
        <v>85</v>
      </c>
      <c r="F466" s="1076">
        <v>32.880000000000003</v>
      </c>
      <c r="G466" s="1076">
        <v>2794.8</v>
      </c>
      <c r="H466" s="1077">
        <f t="shared" si="3"/>
        <v>1.8982347519831187E-4</v>
      </c>
      <c r="I466" s="1078">
        <f t="shared" si="5"/>
        <v>0.94802727658198183</v>
      </c>
      <c r="J466" s="1078" t="str">
        <f t="shared" si="4"/>
        <v>B</v>
      </c>
      <c r="K466" s="1036"/>
      <c r="L466" s="1036"/>
      <c r="M466" s="1036"/>
      <c r="N466" s="1036"/>
      <c r="O466" s="1036"/>
      <c r="P466" s="1036"/>
      <c r="Q466" s="1036"/>
      <c r="R466" s="1036"/>
      <c r="S466" s="1036"/>
      <c r="T466" s="1036"/>
      <c r="U466" s="1036"/>
      <c r="V466" s="1036"/>
      <c r="W466" s="1036"/>
      <c r="X466" s="1036"/>
      <c r="Y466" s="1036"/>
      <c r="Z466" s="1036"/>
    </row>
    <row r="467" spans="1:26" ht="38.25">
      <c r="A467" s="1072">
        <v>91935</v>
      </c>
      <c r="B467" s="1073" t="s">
        <v>14476</v>
      </c>
      <c r="C467" s="1073" t="s">
        <v>7862</v>
      </c>
      <c r="D467" s="1074" t="s">
        <v>50</v>
      </c>
      <c r="E467" s="1075">
        <v>85</v>
      </c>
      <c r="F467" s="1076">
        <v>32.880000000000003</v>
      </c>
      <c r="G467" s="1076">
        <v>2794.8</v>
      </c>
      <c r="H467" s="1077">
        <f t="shared" si="3"/>
        <v>1.8982347519831187E-4</v>
      </c>
      <c r="I467" s="1078">
        <f t="shared" si="5"/>
        <v>0.94821710005718018</v>
      </c>
      <c r="J467" s="1078" t="str">
        <f t="shared" si="4"/>
        <v>B</v>
      </c>
      <c r="K467" s="1036"/>
      <c r="L467" s="1036"/>
      <c r="M467" s="1036"/>
      <c r="N467" s="1036"/>
      <c r="O467" s="1036"/>
      <c r="P467" s="1036"/>
      <c r="Q467" s="1036"/>
      <c r="R467" s="1036"/>
      <c r="S467" s="1036"/>
      <c r="T467" s="1036"/>
      <c r="U467" s="1036"/>
      <c r="V467" s="1036"/>
      <c r="W467" s="1036"/>
      <c r="X467" s="1036"/>
      <c r="Y467" s="1036"/>
      <c r="Z467" s="1036"/>
    </row>
    <row r="468" spans="1:26" ht="38.25">
      <c r="A468" s="1072" t="s">
        <v>14622</v>
      </c>
      <c r="B468" s="1073" t="s">
        <v>14472</v>
      </c>
      <c r="C468" s="1073" t="s">
        <v>15964</v>
      </c>
      <c r="D468" s="1074" t="s">
        <v>152</v>
      </c>
      <c r="E468" s="1075">
        <v>2.5</v>
      </c>
      <c r="F468" s="1076">
        <v>1117.8</v>
      </c>
      <c r="G468" s="1076">
        <v>2794.5</v>
      </c>
      <c r="H468" s="1077">
        <f t="shared" si="3"/>
        <v>1.8980309912755206E-4</v>
      </c>
      <c r="I468" s="1078">
        <f t="shared" si="5"/>
        <v>0.94840690315630771</v>
      </c>
      <c r="J468" s="1078" t="str">
        <f t="shared" si="4"/>
        <v>B</v>
      </c>
      <c r="K468" s="1036"/>
      <c r="L468" s="1036"/>
      <c r="M468" s="1036"/>
      <c r="N468" s="1036"/>
      <c r="O468" s="1036"/>
      <c r="P468" s="1036"/>
      <c r="Q468" s="1036"/>
      <c r="R468" s="1036"/>
      <c r="S468" s="1036"/>
      <c r="T468" s="1036"/>
      <c r="U468" s="1036"/>
      <c r="V468" s="1036"/>
      <c r="W468" s="1036"/>
      <c r="X468" s="1036"/>
      <c r="Y468" s="1036"/>
      <c r="Z468" s="1036"/>
    </row>
    <row r="469" spans="1:26" ht="25.5">
      <c r="A469" s="1072">
        <v>93382</v>
      </c>
      <c r="B469" s="1073" t="s">
        <v>14476</v>
      </c>
      <c r="C469" s="1073" t="s">
        <v>10726</v>
      </c>
      <c r="D469" s="1074" t="s">
        <v>152</v>
      </c>
      <c r="E469" s="1075">
        <v>94.39</v>
      </c>
      <c r="F469" s="1076">
        <v>29.52</v>
      </c>
      <c r="G469" s="1076">
        <v>2786.42</v>
      </c>
      <c r="H469" s="1077">
        <f t="shared" si="3"/>
        <v>1.8925430362175475E-4</v>
      </c>
      <c r="I469" s="1078">
        <f t="shared" si="5"/>
        <v>0.94859615745992942</v>
      </c>
      <c r="J469" s="1078" t="str">
        <f t="shared" si="4"/>
        <v>B</v>
      </c>
      <c r="K469" s="1036"/>
      <c r="L469" s="1036"/>
      <c r="M469" s="1036"/>
      <c r="N469" s="1036"/>
      <c r="O469" s="1036"/>
      <c r="P469" s="1036"/>
      <c r="Q469" s="1036"/>
      <c r="R469" s="1036"/>
      <c r="S469" s="1036"/>
      <c r="T469" s="1036"/>
      <c r="U469" s="1036"/>
      <c r="V469" s="1036"/>
      <c r="W469" s="1036"/>
      <c r="X469" s="1036"/>
      <c r="Y469" s="1036"/>
      <c r="Z469" s="1036"/>
    </row>
    <row r="470" spans="1:26" ht="25.5">
      <c r="A470" s="1072">
        <v>93382</v>
      </c>
      <c r="B470" s="1073" t="s">
        <v>14476</v>
      </c>
      <c r="C470" s="1073" t="s">
        <v>10726</v>
      </c>
      <c r="D470" s="1074" t="s">
        <v>152</v>
      </c>
      <c r="E470" s="1075">
        <v>94.1</v>
      </c>
      <c r="F470" s="1076">
        <v>29.52</v>
      </c>
      <c r="G470" s="1076">
        <v>2777.83</v>
      </c>
      <c r="H470" s="1077">
        <f t="shared" si="3"/>
        <v>1.8867086879566575E-4</v>
      </c>
      <c r="I470" s="1078">
        <f t="shared" si="5"/>
        <v>0.94878482832872513</v>
      </c>
      <c r="J470" s="1078" t="str">
        <f t="shared" si="4"/>
        <v>B</v>
      </c>
      <c r="K470" s="1036"/>
      <c r="L470" s="1036"/>
      <c r="M470" s="1036"/>
      <c r="N470" s="1036"/>
      <c r="O470" s="1036"/>
      <c r="P470" s="1036"/>
      <c r="Q470" s="1036"/>
      <c r="R470" s="1036"/>
      <c r="S470" s="1036"/>
      <c r="T470" s="1036"/>
      <c r="U470" s="1036"/>
      <c r="V470" s="1036"/>
      <c r="W470" s="1036"/>
      <c r="X470" s="1036"/>
      <c r="Y470" s="1036"/>
      <c r="Z470" s="1036"/>
    </row>
    <row r="471" spans="1:26" ht="38.25">
      <c r="A471" s="1072" t="s">
        <v>14962</v>
      </c>
      <c r="B471" s="1073" t="s">
        <v>14472</v>
      </c>
      <c r="C471" s="1073" t="s">
        <v>14963</v>
      </c>
      <c r="D471" s="1074" t="s">
        <v>409</v>
      </c>
      <c r="E471" s="1075">
        <v>8.89</v>
      </c>
      <c r="F471" s="1076">
        <v>312.27999999999997</v>
      </c>
      <c r="G471" s="1076">
        <v>2776.16</v>
      </c>
      <c r="H471" s="1077">
        <f t="shared" si="3"/>
        <v>1.8855744200176953E-4</v>
      </c>
      <c r="I471" s="1078">
        <f t="shared" si="5"/>
        <v>0.94897338577072687</v>
      </c>
      <c r="J471" s="1078" t="str">
        <f t="shared" si="4"/>
        <v>B</v>
      </c>
      <c r="K471" s="1036"/>
      <c r="L471" s="1036"/>
      <c r="M471" s="1036"/>
      <c r="N471" s="1036"/>
      <c r="O471" s="1036"/>
      <c r="P471" s="1036"/>
      <c r="Q471" s="1036"/>
      <c r="R471" s="1036"/>
      <c r="S471" s="1036"/>
      <c r="T471" s="1036"/>
      <c r="U471" s="1036"/>
      <c r="V471" s="1036"/>
      <c r="W471" s="1036"/>
      <c r="X471" s="1036"/>
      <c r="Y471" s="1036"/>
      <c r="Z471" s="1036"/>
    </row>
    <row r="472" spans="1:26" ht="38.25">
      <c r="A472" s="1072">
        <v>89554</v>
      </c>
      <c r="B472" s="1073" t="s">
        <v>14476</v>
      </c>
      <c r="C472" s="1073" t="s">
        <v>8801</v>
      </c>
      <c r="D472" s="1074" t="s">
        <v>6</v>
      </c>
      <c r="E472" s="1075">
        <v>80</v>
      </c>
      <c r="F472" s="1076">
        <v>34.6</v>
      </c>
      <c r="G472" s="1076">
        <v>2768</v>
      </c>
      <c r="H472" s="1077">
        <f t="shared" si="3"/>
        <v>1.8800321287710292E-4</v>
      </c>
      <c r="I472" s="1078">
        <f t="shared" si="5"/>
        <v>0.94916138898360403</v>
      </c>
      <c r="J472" s="1078" t="str">
        <f t="shared" si="4"/>
        <v>B</v>
      </c>
      <c r="K472" s="1036"/>
      <c r="L472" s="1036"/>
      <c r="M472" s="1036"/>
      <c r="N472" s="1036"/>
      <c r="O472" s="1036"/>
      <c r="P472" s="1036"/>
      <c r="Q472" s="1036"/>
      <c r="R472" s="1036"/>
      <c r="S472" s="1036"/>
      <c r="T472" s="1036"/>
      <c r="U472" s="1036"/>
      <c r="V472" s="1036"/>
      <c r="W472" s="1036"/>
      <c r="X472" s="1036"/>
      <c r="Y472" s="1036"/>
      <c r="Z472" s="1036"/>
    </row>
    <row r="473" spans="1:26" ht="25.5">
      <c r="A473" s="1072" t="s">
        <v>15043</v>
      </c>
      <c r="B473" s="1073" t="s">
        <v>14472</v>
      </c>
      <c r="C473" s="1073" t="s">
        <v>15980</v>
      </c>
      <c r="D473" s="1074" t="s">
        <v>6</v>
      </c>
      <c r="E473" s="1075">
        <v>27</v>
      </c>
      <c r="F473" s="1076">
        <v>102.2</v>
      </c>
      <c r="G473" s="1076">
        <v>2759.4</v>
      </c>
      <c r="H473" s="1077">
        <f t="shared" si="3"/>
        <v>1.8741909884865528E-4</v>
      </c>
      <c r="I473" s="1078">
        <f t="shared" si="5"/>
        <v>0.9493488080824527</v>
      </c>
      <c r="J473" s="1078" t="str">
        <f t="shared" si="4"/>
        <v>B</v>
      </c>
      <c r="K473" s="1036"/>
      <c r="L473" s="1036"/>
      <c r="M473" s="1036"/>
      <c r="N473" s="1036"/>
      <c r="O473" s="1036"/>
      <c r="P473" s="1036"/>
      <c r="Q473" s="1036"/>
      <c r="R473" s="1036"/>
      <c r="S473" s="1036"/>
      <c r="T473" s="1036"/>
      <c r="U473" s="1036"/>
      <c r="V473" s="1036"/>
      <c r="W473" s="1036"/>
      <c r="X473" s="1036"/>
      <c r="Y473" s="1036"/>
      <c r="Z473" s="1036"/>
    </row>
    <row r="474" spans="1:26" ht="38.25">
      <c r="A474" s="1072" t="s">
        <v>14622</v>
      </c>
      <c r="B474" s="1073" t="s">
        <v>14472</v>
      </c>
      <c r="C474" s="1073" t="s">
        <v>15964</v>
      </c>
      <c r="D474" s="1074" t="s">
        <v>152</v>
      </c>
      <c r="E474" s="1075">
        <v>2.4500000000000002</v>
      </c>
      <c r="F474" s="1076">
        <v>1117.8</v>
      </c>
      <c r="G474" s="1076">
        <v>2738.61</v>
      </c>
      <c r="H474" s="1077">
        <f t="shared" si="3"/>
        <v>1.8600703714500102E-4</v>
      </c>
      <c r="I474" s="1078">
        <f t="shared" si="5"/>
        <v>0.9495348151195977</v>
      </c>
      <c r="J474" s="1078" t="str">
        <f t="shared" si="4"/>
        <v>B</v>
      </c>
      <c r="K474" s="1036"/>
      <c r="L474" s="1036"/>
      <c r="M474" s="1036"/>
      <c r="N474" s="1036"/>
      <c r="O474" s="1036"/>
      <c r="P474" s="1036"/>
      <c r="Q474" s="1036"/>
      <c r="R474" s="1036"/>
      <c r="S474" s="1036"/>
      <c r="T474" s="1036"/>
      <c r="U474" s="1036"/>
      <c r="V474" s="1036"/>
      <c r="W474" s="1036"/>
      <c r="X474" s="1036"/>
      <c r="Y474" s="1036"/>
      <c r="Z474" s="1036"/>
    </row>
    <row r="475" spans="1:26" ht="25.5">
      <c r="A475" s="1072" t="s">
        <v>14873</v>
      </c>
      <c r="B475" s="1073" t="s">
        <v>14472</v>
      </c>
      <c r="C475" s="1073" t="s">
        <v>14874</v>
      </c>
      <c r="D475" s="1074" t="s">
        <v>50</v>
      </c>
      <c r="E475" s="1075">
        <v>47.25</v>
      </c>
      <c r="F475" s="1076">
        <v>57.86</v>
      </c>
      <c r="G475" s="1076">
        <v>2733.88</v>
      </c>
      <c r="H475" s="1077">
        <f t="shared" si="3"/>
        <v>1.8568577442935481E-4</v>
      </c>
      <c r="I475" s="1078">
        <f t="shared" si="5"/>
        <v>0.94972050089402704</v>
      </c>
      <c r="J475" s="1078" t="str">
        <f t="shared" si="4"/>
        <v>B</v>
      </c>
      <c r="K475" s="1036"/>
      <c r="L475" s="1036"/>
      <c r="M475" s="1036"/>
      <c r="N475" s="1036"/>
      <c r="O475" s="1036"/>
      <c r="P475" s="1036"/>
      <c r="Q475" s="1036"/>
      <c r="R475" s="1036"/>
      <c r="S475" s="1036"/>
      <c r="T475" s="1036"/>
      <c r="U475" s="1036"/>
      <c r="V475" s="1036"/>
      <c r="W475" s="1036"/>
      <c r="X475" s="1036"/>
      <c r="Y475" s="1036"/>
      <c r="Z475" s="1036"/>
    </row>
    <row r="476" spans="1:26" ht="114.75">
      <c r="A476" s="1072" t="s">
        <v>15326</v>
      </c>
      <c r="B476" s="1073" t="s">
        <v>14472</v>
      </c>
      <c r="C476" s="1073" t="s">
        <v>15327</v>
      </c>
      <c r="D476" s="1074" t="s">
        <v>15328</v>
      </c>
      <c r="E476" s="1075">
        <v>3.5</v>
      </c>
      <c r="F476" s="1076">
        <v>777.68</v>
      </c>
      <c r="G476" s="1076">
        <v>2721.88</v>
      </c>
      <c r="H476" s="1077">
        <f t="shared" si="3"/>
        <v>1.8487073159896276E-4</v>
      </c>
      <c r="I476" s="1078">
        <f t="shared" si="5"/>
        <v>0.94990537162562605</v>
      </c>
      <c r="J476" s="1078" t="str">
        <f t="shared" si="4"/>
        <v>B</v>
      </c>
      <c r="K476" s="1036"/>
      <c r="L476" s="1036"/>
      <c r="M476" s="1036"/>
      <c r="N476" s="1036"/>
      <c r="O476" s="1036"/>
      <c r="P476" s="1036"/>
      <c r="Q476" s="1036"/>
      <c r="R476" s="1036"/>
      <c r="S476" s="1036"/>
      <c r="T476" s="1036"/>
      <c r="U476" s="1036"/>
      <c r="V476" s="1036"/>
      <c r="W476" s="1036"/>
      <c r="X476" s="1036"/>
      <c r="Y476" s="1036"/>
      <c r="Z476" s="1036"/>
    </row>
    <row r="477" spans="1:26" ht="38.25">
      <c r="A477" s="1079" t="s">
        <v>15286</v>
      </c>
      <c r="B477" s="1080" t="s">
        <v>14472</v>
      </c>
      <c r="C477" s="1080" t="s">
        <v>15287</v>
      </c>
      <c r="D477" s="1081" t="s">
        <v>6</v>
      </c>
      <c r="E477" s="1082">
        <v>31</v>
      </c>
      <c r="F477" s="1083">
        <v>87.07</v>
      </c>
      <c r="G477" s="1083">
        <v>2699.17</v>
      </c>
      <c r="H477" s="1084">
        <f t="shared" si="3"/>
        <v>1.8332826304244578E-4</v>
      </c>
      <c r="I477" s="1085">
        <f t="shared" si="5"/>
        <v>0.95008869988866851</v>
      </c>
      <c r="J477" s="1085" t="str">
        <f t="shared" si="4"/>
        <v>C</v>
      </c>
      <c r="K477" s="1036"/>
      <c r="L477" s="1036"/>
      <c r="M477" s="1036"/>
      <c r="N477" s="1036"/>
      <c r="O477" s="1036"/>
      <c r="P477" s="1036"/>
      <c r="Q477" s="1036"/>
      <c r="R477" s="1036"/>
      <c r="S477" s="1036"/>
      <c r="T477" s="1036"/>
      <c r="U477" s="1036"/>
      <c r="V477" s="1036"/>
      <c r="W477" s="1036"/>
      <c r="X477" s="1036"/>
      <c r="Y477" s="1036"/>
      <c r="Z477" s="1036"/>
    </row>
    <row r="478" spans="1:26" ht="38.25">
      <c r="A478" s="1079" t="s">
        <v>14649</v>
      </c>
      <c r="B478" s="1080" t="s">
        <v>14472</v>
      </c>
      <c r="C478" s="1080" t="s">
        <v>14650</v>
      </c>
      <c r="D478" s="1081" t="s">
        <v>50</v>
      </c>
      <c r="E478" s="1082">
        <v>53</v>
      </c>
      <c r="F478" s="1083">
        <v>50.78</v>
      </c>
      <c r="G478" s="1083">
        <v>2691.34</v>
      </c>
      <c r="H478" s="1084">
        <f t="shared" si="3"/>
        <v>1.8279644759561497E-4</v>
      </c>
      <c r="I478" s="1085">
        <f t="shared" si="5"/>
        <v>0.95027149633626418</v>
      </c>
      <c r="J478" s="1085" t="str">
        <f t="shared" si="4"/>
        <v>C</v>
      </c>
      <c r="K478" s="1036"/>
      <c r="L478" s="1036"/>
      <c r="M478" s="1036"/>
      <c r="N478" s="1036"/>
      <c r="O478" s="1036"/>
      <c r="P478" s="1036"/>
      <c r="Q478" s="1036"/>
      <c r="R478" s="1036"/>
      <c r="S478" s="1036"/>
      <c r="T478" s="1036"/>
      <c r="U478" s="1036"/>
      <c r="V478" s="1036"/>
      <c r="W478" s="1036"/>
      <c r="X478" s="1036"/>
      <c r="Y478" s="1036"/>
      <c r="Z478" s="1036"/>
    </row>
    <row r="479" spans="1:26" ht="38.25">
      <c r="A479" s="1079">
        <v>97881</v>
      </c>
      <c r="B479" s="1080" t="s">
        <v>14476</v>
      </c>
      <c r="C479" s="1080" t="s">
        <v>7930</v>
      </c>
      <c r="D479" s="1081" t="s">
        <v>6</v>
      </c>
      <c r="E479" s="1082">
        <v>16</v>
      </c>
      <c r="F479" s="1083">
        <v>168.01</v>
      </c>
      <c r="G479" s="1083">
        <v>2688.16</v>
      </c>
      <c r="H479" s="1084">
        <f t="shared" si="3"/>
        <v>1.8258046124556104E-4</v>
      </c>
      <c r="I479" s="1085">
        <f t="shared" si="5"/>
        <v>0.95045407679750971</v>
      </c>
      <c r="J479" s="1085" t="str">
        <f t="shared" si="4"/>
        <v>C</v>
      </c>
      <c r="K479" s="1036"/>
      <c r="L479" s="1036"/>
      <c r="M479" s="1036"/>
      <c r="N479" s="1036"/>
      <c r="O479" s="1036"/>
      <c r="P479" s="1036"/>
      <c r="Q479" s="1036"/>
      <c r="R479" s="1036"/>
      <c r="S479" s="1036"/>
      <c r="T479" s="1036"/>
      <c r="U479" s="1036"/>
      <c r="V479" s="1036"/>
      <c r="W479" s="1036"/>
      <c r="X479" s="1036"/>
      <c r="Y479" s="1036"/>
      <c r="Z479" s="1036"/>
    </row>
    <row r="480" spans="1:26" ht="38.25">
      <c r="A480" s="1079">
        <v>92761</v>
      </c>
      <c r="B480" s="1080" t="s">
        <v>14476</v>
      </c>
      <c r="C480" s="1080" t="s">
        <v>7430</v>
      </c>
      <c r="D480" s="1081" t="s">
        <v>54</v>
      </c>
      <c r="E480" s="1082">
        <v>154.80000000000001</v>
      </c>
      <c r="F480" s="1083">
        <v>17.22</v>
      </c>
      <c r="G480" s="1083">
        <v>2665.65</v>
      </c>
      <c r="H480" s="1084">
        <f t="shared" si="3"/>
        <v>1.8105157673621727E-4</v>
      </c>
      <c r="I480" s="1085">
        <f t="shared" si="5"/>
        <v>0.95063512837424591</v>
      </c>
      <c r="J480" s="1085" t="str">
        <f t="shared" si="4"/>
        <v>C</v>
      </c>
      <c r="K480" s="1036"/>
      <c r="L480" s="1036"/>
      <c r="M480" s="1036"/>
      <c r="N480" s="1036"/>
      <c r="O480" s="1036"/>
      <c r="P480" s="1036"/>
      <c r="Q480" s="1036"/>
      <c r="R480" s="1036"/>
      <c r="S480" s="1036"/>
      <c r="T480" s="1036"/>
      <c r="U480" s="1036"/>
      <c r="V480" s="1036"/>
      <c r="W480" s="1036"/>
      <c r="X480" s="1036"/>
      <c r="Y480" s="1036"/>
      <c r="Z480" s="1036"/>
    </row>
    <row r="481" spans="1:26" ht="51">
      <c r="A481" s="1079" t="s">
        <v>14816</v>
      </c>
      <c r="B481" s="1080" t="s">
        <v>14472</v>
      </c>
      <c r="C481" s="1080" t="s">
        <v>14817</v>
      </c>
      <c r="D481" s="1081" t="s">
        <v>6</v>
      </c>
      <c r="E481" s="1082">
        <v>4</v>
      </c>
      <c r="F481" s="1083">
        <v>665.13</v>
      </c>
      <c r="G481" s="1083">
        <v>2660.52</v>
      </c>
      <c r="H481" s="1084">
        <f t="shared" si="3"/>
        <v>1.8070314592622466E-4</v>
      </c>
      <c r="I481" s="1085">
        <f t="shared" si="5"/>
        <v>0.95081583152017213</v>
      </c>
      <c r="J481" s="1085" t="str">
        <f t="shared" si="4"/>
        <v>C</v>
      </c>
      <c r="K481" s="1036"/>
      <c r="L481" s="1036"/>
      <c r="M481" s="1036"/>
      <c r="N481" s="1036"/>
      <c r="O481" s="1036"/>
      <c r="P481" s="1036"/>
      <c r="Q481" s="1036"/>
      <c r="R481" s="1036"/>
      <c r="S481" s="1036"/>
      <c r="T481" s="1036"/>
      <c r="U481" s="1036"/>
      <c r="V481" s="1036"/>
      <c r="W481" s="1036"/>
      <c r="X481" s="1036"/>
      <c r="Y481" s="1036"/>
      <c r="Z481" s="1036"/>
    </row>
    <row r="482" spans="1:26" ht="25.5">
      <c r="A482" s="1079" t="s">
        <v>15043</v>
      </c>
      <c r="B482" s="1080" t="s">
        <v>14472</v>
      </c>
      <c r="C482" s="1080" t="s">
        <v>15980</v>
      </c>
      <c r="D482" s="1081" t="s">
        <v>6</v>
      </c>
      <c r="E482" s="1082">
        <v>26</v>
      </c>
      <c r="F482" s="1083">
        <v>102.2</v>
      </c>
      <c r="G482" s="1083">
        <v>2657.2</v>
      </c>
      <c r="H482" s="1084">
        <f t="shared" si="3"/>
        <v>1.8047765074314951E-4</v>
      </c>
      <c r="I482" s="1085">
        <f t="shared" si="5"/>
        <v>0.95099630917091527</v>
      </c>
      <c r="J482" s="1085" t="str">
        <f t="shared" si="4"/>
        <v>C</v>
      </c>
      <c r="K482" s="1036"/>
      <c r="L482" s="1036"/>
      <c r="M482" s="1036"/>
      <c r="N482" s="1036"/>
      <c r="O482" s="1036"/>
      <c r="P482" s="1036"/>
      <c r="Q482" s="1036"/>
      <c r="R482" s="1036"/>
      <c r="S482" s="1036"/>
      <c r="T482" s="1036"/>
      <c r="U482" s="1036"/>
      <c r="V482" s="1036"/>
      <c r="W482" s="1036"/>
      <c r="X482" s="1036"/>
      <c r="Y482" s="1036"/>
      <c r="Z482" s="1036"/>
    </row>
    <row r="483" spans="1:26" ht="25.5">
      <c r="A483" s="1079">
        <v>93358</v>
      </c>
      <c r="B483" s="1080" t="s">
        <v>14476</v>
      </c>
      <c r="C483" s="1080" t="s">
        <v>10648</v>
      </c>
      <c r="D483" s="1081" t="s">
        <v>152</v>
      </c>
      <c r="E483" s="1082">
        <v>26.4</v>
      </c>
      <c r="F483" s="1083">
        <v>100.47</v>
      </c>
      <c r="G483" s="1083">
        <v>2652.4</v>
      </c>
      <c r="H483" s="1084">
        <f t="shared" si="3"/>
        <v>1.801516336109927E-4</v>
      </c>
      <c r="I483" s="1085">
        <f t="shared" si="5"/>
        <v>0.95117646080452622</v>
      </c>
      <c r="J483" s="1085" t="str">
        <f t="shared" si="4"/>
        <v>C</v>
      </c>
      <c r="K483" s="1036"/>
      <c r="L483" s="1036"/>
      <c r="M483" s="1036"/>
      <c r="N483" s="1036"/>
      <c r="O483" s="1036"/>
      <c r="P483" s="1036"/>
      <c r="Q483" s="1036"/>
      <c r="R483" s="1036"/>
      <c r="S483" s="1036"/>
      <c r="T483" s="1036"/>
      <c r="U483" s="1036"/>
      <c r="V483" s="1036"/>
      <c r="W483" s="1036"/>
      <c r="X483" s="1036"/>
      <c r="Y483" s="1036"/>
      <c r="Z483" s="1036"/>
    </row>
    <row r="484" spans="1:26" ht="51">
      <c r="A484" s="1079">
        <v>89714</v>
      </c>
      <c r="B484" s="1080" t="s">
        <v>14476</v>
      </c>
      <c r="C484" s="1080" t="s">
        <v>8445</v>
      </c>
      <c r="D484" s="1081" t="s">
        <v>50</v>
      </c>
      <c r="E484" s="1082">
        <v>60</v>
      </c>
      <c r="F484" s="1083">
        <v>44.15</v>
      </c>
      <c r="G484" s="1083">
        <v>2649</v>
      </c>
      <c r="H484" s="1084">
        <f t="shared" si="3"/>
        <v>1.7992070480904828E-4</v>
      </c>
      <c r="I484" s="1085">
        <f t="shared" si="5"/>
        <v>0.95135638150933532</v>
      </c>
      <c r="J484" s="1085" t="str">
        <f t="shared" si="4"/>
        <v>C</v>
      </c>
      <c r="K484" s="1036"/>
      <c r="L484" s="1036"/>
      <c r="M484" s="1036"/>
      <c r="N484" s="1036"/>
      <c r="O484" s="1036"/>
      <c r="P484" s="1036"/>
      <c r="Q484" s="1036"/>
      <c r="R484" s="1036"/>
      <c r="S484" s="1036"/>
      <c r="T484" s="1036"/>
      <c r="U484" s="1036"/>
      <c r="V484" s="1036"/>
      <c r="W484" s="1036"/>
      <c r="X484" s="1036"/>
      <c r="Y484" s="1036"/>
      <c r="Z484" s="1036"/>
    </row>
    <row r="485" spans="1:26" ht="38.25">
      <c r="A485" s="1079">
        <v>103979</v>
      </c>
      <c r="B485" s="1080" t="s">
        <v>14476</v>
      </c>
      <c r="C485" s="1080" t="s">
        <v>8649</v>
      </c>
      <c r="D485" s="1081" t="s">
        <v>50</v>
      </c>
      <c r="E485" s="1082">
        <v>80</v>
      </c>
      <c r="F485" s="1083">
        <v>33.03</v>
      </c>
      <c r="G485" s="1083">
        <v>2642.4</v>
      </c>
      <c r="H485" s="1084">
        <f t="shared" si="3"/>
        <v>1.7947243125233266E-4</v>
      </c>
      <c r="I485" s="1085">
        <f t="shared" si="5"/>
        <v>0.95153585394058771</v>
      </c>
      <c r="J485" s="1085" t="str">
        <f t="shared" si="4"/>
        <v>C</v>
      </c>
      <c r="K485" s="1036"/>
      <c r="L485" s="1036"/>
      <c r="M485" s="1036"/>
      <c r="N485" s="1036"/>
      <c r="O485" s="1036"/>
      <c r="P485" s="1036"/>
      <c r="Q485" s="1036"/>
      <c r="R485" s="1036"/>
      <c r="S485" s="1036"/>
      <c r="T485" s="1036"/>
      <c r="U485" s="1036"/>
      <c r="V485" s="1036"/>
      <c r="W485" s="1036"/>
      <c r="X485" s="1036"/>
      <c r="Y485" s="1036"/>
      <c r="Z485" s="1036"/>
    </row>
    <row r="486" spans="1:26" ht="25.5">
      <c r="A486" s="1079">
        <v>102609</v>
      </c>
      <c r="B486" s="1080" t="s">
        <v>14476</v>
      </c>
      <c r="C486" s="1080" t="s">
        <v>10057</v>
      </c>
      <c r="D486" s="1081" t="s">
        <v>6</v>
      </c>
      <c r="E486" s="1082">
        <v>2</v>
      </c>
      <c r="F486" s="1083">
        <v>1316.21</v>
      </c>
      <c r="G486" s="1083">
        <v>2632.42</v>
      </c>
      <c r="H486" s="1084">
        <f t="shared" si="3"/>
        <v>1.7879458729838993E-4</v>
      </c>
      <c r="I486" s="1085">
        <f t="shared" si="5"/>
        <v>0.95171464852788612</v>
      </c>
      <c r="J486" s="1085" t="str">
        <f t="shared" si="4"/>
        <v>C</v>
      </c>
      <c r="K486" s="1036"/>
      <c r="L486" s="1036"/>
      <c r="M486" s="1036"/>
      <c r="N486" s="1036"/>
      <c r="O486" s="1036"/>
      <c r="P486" s="1036"/>
      <c r="Q486" s="1036"/>
      <c r="R486" s="1036"/>
      <c r="S486" s="1036"/>
      <c r="T486" s="1036"/>
      <c r="U486" s="1036"/>
      <c r="V486" s="1036"/>
      <c r="W486" s="1036"/>
      <c r="X486" s="1036"/>
      <c r="Y486" s="1036"/>
      <c r="Z486" s="1036"/>
    </row>
    <row r="487" spans="1:26" ht="38.25">
      <c r="A487" s="1079">
        <v>91926</v>
      </c>
      <c r="B487" s="1080" t="s">
        <v>14476</v>
      </c>
      <c r="C487" s="1080" t="s">
        <v>7853</v>
      </c>
      <c r="D487" s="1081" t="s">
        <v>50</v>
      </c>
      <c r="E487" s="1082">
        <v>475</v>
      </c>
      <c r="F487" s="1083">
        <v>5.53</v>
      </c>
      <c r="G487" s="1083">
        <v>2626.75</v>
      </c>
      <c r="H487" s="1084">
        <f t="shared" si="3"/>
        <v>1.7840947956102967E-4</v>
      </c>
      <c r="I487" s="1085">
        <f t="shared" si="5"/>
        <v>0.95189305800744717</v>
      </c>
      <c r="J487" s="1085" t="str">
        <f t="shared" si="4"/>
        <v>C</v>
      </c>
      <c r="K487" s="1036"/>
      <c r="L487" s="1036"/>
      <c r="M487" s="1036"/>
      <c r="N487" s="1036"/>
      <c r="O487" s="1036"/>
      <c r="P487" s="1036"/>
      <c r="Q487" s="1036"/>
      <c r="R487" s="1036"/>
      <c r="S487" s="1036"/>
      <c r="T487" s="1036"/>
      <c r="U487" s="1036"/>
      <c r="V487" s="1036"/>
      <c r="W487" s="1036"/>
      <c r="X487" s="1036"/>
      <c r="Y487" s="1036"/>
      <c r="Z487" s="1036"/>
    </row>
    <row r="488" spans="1:26" ht="38.25">
      <c r="A488" s="1079">
        <v>104166</v>
      </c>
      <c r="B488" s="1080" t="s">
        <v>14476</v>
      </c>
      <c r="C488" s="1080" t="s">
        <v>8651</v>
      </c>
      <c r="D488" s="1081" t="s">
        <v>50</v>
      </c>
      <c r="E488" s="1082">
        <v>30</v>
      </c>
      <c r="F488" s="1083">
        <v>86.07</v>
      </c>
      <c r="G488" s="1083">
        <v>2582.1</v>
      </c>
      <c r="H488" s="1084">
        <f t="shared" si="3"/>
        <v>1.7537684102961253E-4</v>
      </c>
      <c r="I488" s="1085">
        <f t="shared" si="5"/>
        <v>0.95206843484847681</v>
      </c>
      <c r="J488" s="1085" t="str">
        <f t="shared" si="4"/>
        <v>C</v>
      </c>
      <c r="K488" s="1036"/>
      <c r="L488" s="1036"/>
      <c r="M488" s="1036"/>
      <c r="N488" s="1036"/>
      <c r="O488" s="1036"/>
      <c r="P488" s="1036"/>
      <c r="Q488" s="1036"/>
      <c r="R488" s="1036"/>
      <c r="S488" s="1036"/>
      <c r="T488" s="1036"/>
      <c r="U488" s="1036"/>
      <c r="V488" s="1036"/>
      <c r="W488" s="1036"/>
      <c r="X488" s="1036"/>
      <c r="Y488" s="1036"/>
      <c r="Z488" s="1036"/>
    </row>
    <row r="489" spans="1:26" ht="38.25">
      <c r="A489" s="1079">
        <v>103979</v>
      </c>
      <c r="B489" s="1080" t="s">
        <v>14476</v>
      </c>
      <c r="C489" s="1080" t="s">
        <v>8649</v>
      </c>
      <c r="D489" s="1081" t="s">
        <v>50</v>
      </c>
      <c r="E489" s="1082">
        <v>78</v>
      </c>
      <c r="F489" s="1083">
        <v>33.03</v>
      </c>
      <c r="G489" s="1083">
        <v>2576.34</v>
      </c>
      <c r="H489" s="1084">
        <f t="shared" si="3"/>
        <v>1.7498562047102434E-4</v>
      </c>
      <c r="I489" s="1085">
        <f t="shared" si="5"/>
        <v>0.95224342046894783</v>
      </c>
      <c r="J489" s="1085" t="str">
        <f t="shared" si="4"/>
        <v>C</v>
      </c>
      <c r="K489" s="1036"/>
      <c r="L489" s="1036"/>
      <c r="M489" s="1036"/>
      <c r="N489" s="1036"/>
      <c r="O489" s="1036"/>
      <c r="P489" s="1036"/>
      <c r="Q489" s="1036"/>
      <c r="R489" s="1036"/>
      <c r="S489" s="1036"/>
      <c r="T489" s="1036"/>
      <c r="U489" s="1036"/>
      <c r="V489" s="1036"/>
      <c r="W489" s="1036"/>
      <c r="X489" s="1036"/>
      <c r="Y489" s="1036"/>
      <c r="Z489" s="1036"/>
    </row>
    <row r="490" spans="1:26" ht="51">
      <c r="A490" s="1079">
        <v>89585</v>
      </c>
      <c r="B490" s="1080" t="s">
        <v>14476</v>
      </c>
      <c r="C490" s="1080" t="s">
        <v>8829</v>
      </c>
      <c r="D490" s="1081" t="s">
        <v>6</v>
      </c>
      <c r="E490" s="1082">
        <v>48</v>
      </c>
      <c r="F490" s="1083">
        <v>53.67</v>
      </c>
      <c r="G490" s="1083">
        <v>2576.16</v>
      </c>
      <c r="H490" s="1084">
        <f t="shared" si="3"/>
        <v>1.7497339482856845E-4</v>
      </c>
      <c r="I490" s="1085">
        <f t="shared" si="5"/>
        <v>0.95241839386377636</v>
      </c>
      <c r="J490" s="1085" t="str">
        <f t="shared" si="4"/>
        <v>C</v>
      </c>
      <c r="K490" s="1036"/>
      <c r="L490" s="1036"/>
      <c r="M490" s="1036"/>
      <c r="N490" s="1036"/>
      <c r="O490" s="1036"/>
      <c r="P490" s="1036"/>
      <c r="Q490" s="1036"/>
      <c r="R490" s="1036"/>
      <c r="S490" s="1036"/>
      <c r="T490" s="1036"/>
      <c r="U490" s="1036"/>
      <c r="V490" s="1036"/>
      <c r="W490" s="1036"/>
      <c r="X490" s="1036"/>
      <c r="Y490" s="1036"/>
      <c r="Z490" s="1036"/>
    </row>
    <row r="491" spans="1:26" ht="14.25">
      <c r="A491" s="1079" t="s">
        <v>15292</v>
      </c>
      <c r="B491" s="1080" t="s">
        <v>14472</v>
      </c>
      <c r="C491" s="1080" t="s">
        <v>15971</v>
      </c>
      <c r="D491" s="1081" t="s">
        <v>50</v>
      </c>
      <c r="E491" s="1082">
        <v>31.37</v>
      </c>
      <c r="F491" s="1083">
        <v>82</v>
      </c>
      <c r="G491" s="1083">
        <v>2572.34</v>
      </c>
      <c r="H491" s="1084">
        <f t="shared" si="3"/>
        <v>1.7471393952756033E-4</v>
      </c>
      <c r="I491" s="1085">
        <f t="shared" si="5"/>
        <v>0.95259310780330397</v>
      </c>
      <c r="J491" s="1085" t="str">
        <f t="shared" si="4"/>
        <v>C</v>
      </c>
      <c r="K491" s="1036"/>
      <c r="L491" s="1036"/>
      <c r="M491" s="1036"/>
      <c r="N491" s="1036"/>
      <c r="O491" s="1036"/>
      <c r="P491" s="1036"/>
      <c r="Q491" s="1036"/>
      <c r="R491" s="1036"/>
      <c r="S491" s="1036"/>
      <c r="T491" s="1036"/>
      <c r="U491" s="1036"/>
      <c r="V491" s="1036"/>
      <c r="W491" s="1036"/>
      <c r="X491" s="1036"/>
      <c r="Y491" s="1036"/>
      <c r="Z491" s="1036"/>
    </row>
    <row r="492" spans="1:26" ht="14.25">
      <c r="A492" s="1079" t="s">
        <v>15091</v>
      </c>
      <c r="B492" s="1080" t="s">
        <v>14472</v>
      </c>
      <c r="C492" s="1080" t="s">
        <v>15092</v>
      </c>
      <c r="D492" s="1081" t="s">
        <v>6</v>
      </c>
      <c r="E492" s="1082">
        <v>55</v>
      </c>
      <c r="F492" s="1083">
        <v>46.72</v>
      </c>
      <c r="G492" s="1083">
        <v>2569.6</v>
      </c>
      <c r="H492" s="1084">
        <f t="shared" si="3"/>
        <v>1.7452783808128745E-4</v>
      </c>
      <c r="I492" s="1085">
        <f t="shared" si="5"/>
        <v>0.95276763564138522</v>
      </c>
      <c r="J492" s="1085" t="str">
        <f t="shared" si="4"/>
        <v>C</v>
      </c>
      <c r="K492" s="1036"/>
      <c r="L492" s="1036"/>
      <c r="M492" s="1036"/>
      <c r="N492" s="1036"/>
      <c r="O492" s="1036"/>
      <c r="P492" s="1036"/>
      <c r="Q492" s="1036"/>
      <c r="R492" s="1036"/>
      <c r="S492" s="1036"/>
      <c r="T492" s="1036"/>
      <c r="U492" s="1036"/>
      <c r="V492" s="1036"/>
      <c r="W492" s="1036"/>
      <c r="X492" s="1036"/>
      <c r="Y492" s="1036"/>
      <c r="Z492" s="1036"/>
    </row>
    <row r="493" spans="1:26" ht="38.25">
      <c r="A493" s="1079">
        <v>100867</v>
      </c>
      <c r="B493" s="1080" t="s">
        <v>14476</v>
      </c>
      <c r="C493" s="1080" t="s">
        <v>15981</v>
      </c>
      <c r="D493" s="1081" t="s">
        <v>6</v>
      </c>
      <c r="E493" s="1082">
        <v>6</v>
      </c>
      <c r="F493" s="1083">
        <v>428.08</v>
      </c>
      <c r="G493" s="1083">
        <v>2568.48</v>
      </c>
      <c r="H493" s="1084">
        <f t="shared" si="3"/>
        <v>1.7445176741711754E-4</v>
      </c>
      <c r="I493" s="1085">
        <f t="shared" si="5"/>
        <v>0.95294208740880237</v>
      </c>
      <c r="J493" s="1085" t="str">
        <f t="shared" si="4"/>
        <v>C</v>
      </c>
      <c r="K493" s="1036"/>
      <c r="L493" s="1036"/>
      <c r="M493" s="1036"/>
      <c r="N493" s="1036"/>
      <c r="O493" s="1036"/>
      <c r="P493" s="1036"/>
      <c r="Q493" s="1036"/>
      <c r="R493" s="1036"/>
      <c r="S493" s="1036"/>
      <c r="T493" s="1036"/>
      <c r="U493" s="1036"/>
      <c r="V493" s="1036"/>
      <c r="W493" s="1036"/>
      <c r="X493" s="1036"/>
      <c r="Y493" s="1036"/>
      <c r="Z493" s="1036"/>
    </row>
    <row r="494" spans="1:26" ht="38.25">
      <c r="A494" s="1079" t="s">
        <v>15252</v>
      </c>
      <c r="B494" s="1080" t="s">
        <v>14472</v>
      </c>
      <c r="C494" s="1080" t="s">
        <v>15253</v>
      </c>
      <c r="D494" s="1081" t="s">
        <v>6</v>
      </c>
      <c r="E494" s="1082">
        <v>11</v>
      </c>
      <c r="F494" s="1083">
        <v>233.41</v>
      </c>
      <c r="G494" s="1083">
        <v>2567.5100000000002</v>
      </c>
      <c r="H494" s="1084">
        <f t="shared" si="3"/>
        <v>1.7438588478832753E-4</v>
      </c>
      <c r="I494" s="1085">
        <f t="shared" si="5"/>
        <v>0.95311647329359073</v>
      </c>
      <c r="J494" s="1085" t="str">
        <f t="shared" si="4"/>
        <v>C</v>
      </c>
      <c r="K494" s="1036"/>
      <c r="L494" s="1036"/>
      <c r="M494" s="1036"/>
      <c r="N494" s="1036"/>
      <c r="O494" s="1036"/>
      <c r="P494" s="1036"/>
      <c r="Q494" s="1036"/>
      <c r="R494" s="1036"/>
      <c r="S494" s="1036"/>
      <c r="T494" s="1036"/>
      <c r="U494" s="1036"/>
      <c r="V494" s="1036"/>
      <c r="W494" s="1036"/>
      <c r="X494" s="1036"/>
      <c r="Y494" s="1036"/>
      <c r="Z494" s="1036"/>
    </row>
    <row r="495" spans="1:26" ht="114.75">
      <c r="A495" s="1079" t="s">
        <v>15326</v>
      </c>
      <c r="B495" s="1080" t="s">
        <v>14472</v>
      </c>
      <c r="C495" s="1080" t="s">
        <v>15327</v>
      </c>
      <c r="D495" s="1081" t="s">
        <v>15328</v>
      </c>
      <c r="E495" s="1082">
        <v>3.3</v>
      </c>
      <c r="F495" s="1083">
        <v>777.68</v>
      </c>
      <c r="G495" s="1083">
        <v>2566.34</v>
      </c>
      <c r="H495" s="1084">
        <f t="shared" si="3"/>
        <v>1.7430641811236428E-4</v>
      </c>
      <c r="I495" s="1085">
        <f t="shared" si="5"/>
        <v>0.95329077971170306</v>
      </c>
      <c r="J495" s="1085" t="str">
        <f t="shared" si="4"/>
        <v>C</v>
      </c>
      <c r="K495" s="1036"/>
      <c r="L495" s="1036"/>
      <c r="M495" s="1036"/>
      <c r="N495" s="1036"/>
      <c r="O495" s="1036"/>
      <c r="P495" s="1036"/>
      <c r="Q495" s="1036"/>
      <c r="R495" s="1036"/>
      <c r="S495" s="1036"/>
      <c r="T495" s="1036"/>
      <c r="U495" s="1036"/>
      <c r="V495" s="1036"/>
      <c r="W495" s="1036"/>
      <c r="X495" s="1036"/>
      <c r="Y495" s="1036"/>
      <c r="Z495" s="1036"/>
    </row>
    <row r="496" spans="1:26" ht="25.5">
      <c r="A496" s="1079" t="s">
        <v>15255</v>
      </c>
      <c r="B496" s="1080" t="s">
        <v>14472</v>
      </c>
      <c r="C496" s="1080" t="s">
        <v>15256</v>
      </c>
      <c r="D496" s="1081" t="s">
        <v>6</v>
      </c>
      <c r="E496" s="1082">
        <v>12</v>
      </c>
      <c r="F496" s="1083">
        <v>212.82</v>
      </c>
      <c r="G496" s="1083">
        <v>2553.84</v>
      </c>
      <c r="H496" s="1084">
        <f t="shared" si="3"/>
        <v>1.7345741516403923E-4</v>
      </c>
      <c r="I496" s="1085">
        <f t="shared" si="5"/>
        <v>0.95346423712686712</v>
      </c>
      <c r="J496" s="1085" t="str">
        <f t="shared" si="4"/>
        <v>C</v>
      </c>
      <c r="K496" s="1036"/>
      <c r="L496" s="1036"/>
      <c r="M496" s="1036"/>
      <c r="N496" s="1036"/>
      <c r="O496" s="1036"/>
      <c r="P496" s="1036"/>
      <c r="Q496" s="1036"/>
      <c r="R496" s="1036"/>
      <c r="S496" s="1036"/>
      <c r="T496" s="1036"/>
      <c r="U496" s="1036"/>
      <c r="V496" s="1036"/>
      <c r="W496" s="1036"/>
      <c r="X496" s="1036"/>
      <c r="Y496" s="1036"/>
      <c r="Z496" s="1036"/>
    </row>
    <row r="497" spans="1:26" ht="38.25">
      <c r="A497" s="1079">
        <v>96535</v>
      </c>
      <c r="B497" s="1080" t="s">
        <v>14476</v>
      </c>
      <c r="C497" s="1080" t="s">
        <v>7301</v>
      </c>
      <c r="D497" s="1081" t="s">
        <v>409</v>
      </c>
      <c r="E497" s="1082">
        <v>15.54</v>
      </c>
      <c r="F497" s="1083">
        <v>164.12</v>
      </c>
      <c r="G497" s="1083">
        <v>2550.42</v>
      </c>
      <c r="H497" s="1084">
        <f t="shared" si="3"/>
        <v>1.7322512795737746E-4</v>
      </c>
      <c r="I497" s="1085">
        <f t="shared" si="5"/>
        <v>0.95363746225482449</v>
      </c>
      <c r="J497" s="1085" t="str">
        <f t="shared" si="4"/>
        <v>C</v>
      </c>
      <c r="K497" s="1036"/>
      <c r="L497" s="1036"/>
      <c r="M497" s="1036"/>
      <c r="N497" s="1036"/>
      <c r="O497" s="1036"/>
      <c r="P497" s="1036"/>
      <c r="Q497" s="1036"/>
      <c r="R497" s="1036"/>
      <c r="S497" s="1036"/>
      <c r="T497" s="1036"/>
      <c r="U497" s="1036"/>
      <c r="V497" s="1036"/>
      <c r="W497" s="1036"/>
      <c r="X497" s="1036"/>
      <c r="Y497" s="1036"/>
      <c r="Z497" s="1036"/>
    </row>
    <row r="498" spans="1:26" ht="38.25">
      <c r="A498" s="1079">
        <v>91928</v>
      </c>
      <c r="B498" s="1080" t="s">
        <v>14476</v>
      </c>
      <c r="C498" s="1080" t="s">
        <v>7855</v>
      </c>
      <c r="D498" s="1081" t="s">
        <v>50</v>
      </c>
      <c r="E498" s="1082">
        <v>295</v>
      </c>
      <c r="F498" s="1083">
        <v>8.6199999999999992</v>
      </c>
      <c r="G498" s="1083">
        <v>2542.9</v>
      </c>
      <c r="H498" s="1084">
        <f t="shared" si="3"/>
        <v>1.7271436778366512E-4</v>
      </c>
      <c r="I498" s="1085">
        <f t="shared" si="5"/>
        <v>0.95381017662260814</v>
      </c>
      <c r="J498" s="1085" t="str">
        <f t="shared" si="4"/>
        <v>C</v>
      </c>
      <c r="K498" s="1036"/>
      <c r="L498" s="1036"/>
      <c r="M498" s="1036"/>
      <c r="N498" s="1036"/>
      <c r="O498" s="1036"/>
      <c r="P498" s="1036"/>
      <c r="Q498" s="1036"/>
      <c r="R498" s="1036"/>
      <c r="S498" s="1036"/>
      <c r="T498" s="1036"/>
      <c r="U498" s="1036"/>
      <c r="V498" s="1036"/>
      <c r="W498" s="1036"/>
      <c r="X498" s="1036"/>
      <c r="Y498" s="1036"/>
      <c r="Z498" s="1036"/>
    </row>
    <row r="499" spans="1:26" ht="38.25">
      <c r="A499" s="1079">
        <v>92763</v>
      </c>
      <c r="B499" s="1080" t="s">
        <v>14476</v>
      </c>
      <c r="C499" s="1080" t="s">
        <v>7432</v>
      </c>
      <c r="D499" s="1081" t="s">
        <v>54</v>
      </c>
      <c r="E499" s="1082">
        <v>193.72</v>
      </c>
      <c r="F499" s="1083">
        <v>13.11</v>
      </c>
      <c r="G499" s="1083">
        <v>2539.66</v>
      </c>
      <c r="H499" s="1084">
        <f t="shared" si="3"/>
        <v>1.7249430621945925E-4</v>
      </c>
      <c r="I499" s="1085">
        <f t="shared" si="5"/>
        <v>0.9539826709288276</v>
      </c>
      <c r="J499" s="1085" t="str">
        <f t="shared" si="4"/>
        <v>C</v>
      </c>
      <c r="K499" s="1036"/>
      <c r="L499" s="1036"/>
      <c r="M499" s="1036"/>
      <c r="N499" s="1036"/>
      <c r="O499" s="1036"/>
      <c r="P499" s="1036"/>
      <c r="Q499" s="1036"/>
      <c r="R499" s="1036"/>
      <c r="S499" s="1036"/>
      <c r="T499" s="1036"/>
      <c r="U499" s="1036"/>
      <c r="V499" s="1036"/>
      <c r="W499" s="1036"/>
      <c r="X499" s="1036"/>
      <c r="Y499" s="1036"/>
      <c r="Z499" s="1036"/>
    </row>
    <row r="500" spans="1:26" ht="51">
      <c r="A500" s="1079">
        <v>89585</v>
      </c>
      <c r="B500" s="1080" t="s">
        <v>14476</v>
      </c>
      <c r="C500" s="1080" t="s">
        <v>8829</v>
      </c>
      <c r="D500" s="1081" t="s">
        <v>6</v>
      </c>
      <c r="E500" s="1082">
        <v>47</v>
      </c>
      <c r="F500" s="1083">
        <v>53.67</v>
      </c>
      <c r="G500" s="1083">
        <v>2522.4899999999998</v>
      </c>
      <c r="H500" s="1084">
        <f t="shared" si="3"/>
        <v>1.7132811576963991E-4</v>
      </c>
      <c r="I500" s="1085">
        <f t="shared" si="5"/>
        <v>0.95415399904459719</v>
      </c>
      <c r="J500" s="1085" t="str">
        <f t="shared" si="4"/>
        <v>C</v>
      </c>
      <c r="K500" s="1036"/>
      <c r="L500" s="1036"/>
      <c r="M500" s="1036"/>
      <c r="N500" s="1036"/>
      <c r="O500" s="1036"/>
      <c r="P500" s="1036"/>
      <c r="Q500" s="1036"/>
      <c r="R500" s="1036"/>
      <c r="S500" s="1036"/>
      <c r="T500" s="1036"/>
      <c r="U500" s="1036"/>
      <c r="V500" s="1036"/>
      <c r="W500" s="1036"/>
      <c r="X500" s="1036"/>
      <c r="Y500" s="1036"/>
      <c r="Z500" s="1036"/>
    </row>
    <row r="501" spans="1:26" ht="25.5">
      <c r="A501" s="1079" t="s">
        <v>14777</v>
      </c>
      <c r="B501" s="1080" t="s">
        <v>14472</v>
      </c>
      <c r="C501" s="1080" t="s">
        <v>14778</v>
      </c>
      <c r="D501" s="1081" t="s">
        <v>50</v>
      </c>
      <c r="E501" s="1082">
        <v>8.6999999999999993</v>
      </c>
      <c r="F501" s="1083">
        <v>288.11</v>
      </c>
      <c r="G501" s="1083">
        <v>2506.5500000000002</v>
      </c>
      <c r="H501" s="1084">
        <f t="shared" si="3"/>
        <v>1.7024546720993583E-4</v>
      </c>
      <c r="I501" s="1085">
        <f t="shared" si="5"/>
        <v>0.95432424451180708</v>
      </c>
      <c r="J501" s="1085" t="str">
        <f t="shared" si="4"/>
        <v>C</v>
      </c>
      <c r="K501" s="1036"/>
      <c r="L501" s="1036"/>
      <c r="M501" s="1036"/>
      <c r="N501" s="1036"/>
      <c r="O501" s="1036"/>
      <c r="P501" s="1036"/>
      <c r="Q501" s="1036"/>
      <c r="R501" s="1036"/>
      <c r="S501" s="1036"/>
      <c r="T501" s="1036"/>
      <c r="U501" s="1036"/>
      <c r="V501" s="1036"/>
      <c r="W501" s="1036"/>
      <c r="X501" s="1036"/>
      <c r="Y501" s="1036"/>
      <c r="Z501" s="1036"/>
    </row>
    <row r="502" spans="1:26" ht="51">
      <c r="A502" s="1079" t="s">
        <v>14799</v>
      </c>
      <c r="B502" s="1080" t="s">
        <v>14472</v>
      </c>
      <c r="C502" s="1080" t="s">
        <v>14800</v>
      </c>
      <c r="D502" s="1081" t="s">
        <v>50</v>
      </c>
      <c r="E502" s="1082">
        <v>131.29</v>
      </c>
      <c r="F502" s="1083">
        <v>19.07</v>
      </c>
      <c r="G502" s="1083">
        <v>2503.6999999999998</v>
      </c>
      <c r="H502" s="1084">
        <f t="shared" si="3"/>
        <v>1.7005189453771769E-4</v>
      </c>
      <c r="I502" s="1085">
        <f t="shared" si="5"/>
        <v>0.95449429640634476</v>
      </c>
      <c r="J502" s="1085" t="str">
        <f t="shared" si="4"/>
        <v>C</v>
      </c>
      <c r="K502" s="1036"/>
      <c r="L502" s="1036"/>
      <c r="M502" s="1036"/>
      <c r="N502" s="1036"/>
      <c r="O502" s="1036"/>
      <c r="P502" s="1036"/>
      <c r="Q502" s="1036"/>
      <c r="R502" s="1036"/>
      <c r="S502" s="1036"/>
      <c r="T502" s="1036"/>
      <c r="U502" s="1036"/>
      <c r="V502" s="1036"/>
      <c r="W502" s="1036"/>
      <c r="X502" s="1036"/>
      <c r="Y502" s="1036"/>
      <c r="Z502" s="1036"/>
    </row>
    <row r="503" spans="1:26" ht="38.25">
      <c r="A503" s="1079" t="s">
        <v>15026</v>
      </c>
      <c r="B503" s="1080" t="s">
        <v>14472</v>
      </c>
      <c r="C503" s="1080" t="s">
        <v>15027</v>
      </c>
      <c r="D503" s="1081" t="s">
        <v>409</v>
      </c>
      <c r="E503" s="1082">
        <v>2.4</v>
      </c>
      <c r="F503" s="1083">
        <v>1038.25</v>
      </c>
      <c r="G503" s="1083">
        <v>2491.8000000000002</v>
      </c>
      <c r="H503" s="1084">
        <f t="shared" si="3"/>
        <v>1.6924364373091224E-4</v>
      </c>
      <c r="I503" s="1085">
        <f t="shared" si="5"/>
        <v>0.9546635400500757</v>
      </c>
      <c r="J503" s="1085" t="str">
        <f t="shared" si="4"/>
        <v>C</v>
      </c>
      <c r="K503" s="1036"/>
      <c r="L503" s="1036"/>
      <c r="M503" s="1036"/>
      <c r="N503" s="1036"/>
      <c r="O503" s="1036"/>
      <c r="P503" s="1036"/>
      <c r="Q503" s="1036"/>
      <c r="R503" s="1036"/>
      <c r="S503" s="1036"/>
      <c r="T503" s="1036"/>
      <c r="U503" s="1036"/>
      <c r="V503" s="1036"/>
      <c r="W503" s="1036"/>
      <c r="X503" s="1036"/>
      <c r="Y503" s="1036"/>
      <c r="Z503" s="1036"/>
    </row>
    <row r="504" spans="1:26" ht="76.5">
      <c r="A504" s="1079" t="s">
        <v>14968</v>
      </c>
      <c r="B504" s="1080" t="s">
        <v>14472</v>
      </c>
      <c r="C504" s="1080" t="s">
        <v>14969</v>
      </c>
      <c r="D504" s="1081" t="s">
        <v>50</v>
      </c>
      <c r="E504" s="1082">
        <v>5.58</v>
      </c>
      <c r="F504" s="1083">
        <v>445</v>
      </c>
      <c r="G504" s="1083">
        <v>2483.1</v>
      </c>
      <c r="H504" s="1084">
        <f t="shared" si="3"/>
        <v>1.6865273767887798E-4</v>
      </c>
      <c r="I504" s="1085">
        <f t="shared" si="5"/>
        <v>0.95483219278775455</v>
      </c>
      <c r="J504" s="1085" t="str">
        <f t="shared" si="4"/>
        <v>C</v>
      </c>
      <c r="K504" s="1036"/>
      <c r="L504" s="1036"/>
      <c r="M504" s="1036"/>
      <c r="N504" s="1036"/>
      <c r="O504" s="1036"/>
      <c r="P504" s="1036"/>
      <c r="Q504" s="1036"/>
      <c r="R504" s="1036"/>
      <c r="S504" s="1036"/>
      <c r="T504" s="1036"/>
      <c r="U504" s="1036"/>
      <c r="V504" s="1036"/>
      <c r="W504" s="1036"/>
      <c r="X504" s="1036"/>
      <c r="Y504" s="1036"/>
      <c r="Z504" s="1036"/>
    </row>
    <row r="505" spans="1:26" ht="38.25">
      <c r="A505" s="1079">
        <v>96622</v>
      </c>
      <c r="B505" s="1080" t="s">
        <v>14476</v>
      </c>
      <c r="C505" s="1080" t="s">
        <v>7168</v>
      </c>
      <c r="D505" s="1081" t="s">
        <v>152</v>
      </c>
      <c r="E505" s="1082">
        <v>7.26</v>
      </c>
      <c r="F505" s="1083">
        <v>340.78</v>
      </c>
      <c r="G505" s="1083">
        <v>2474.06</v>
      </c>
      <c r="H505" s="1084">
        <f t="shared" si="3"/>
        <v>1.680387387466493E-4</v>
      </c>
      <c r="I505" s="1085">
        <f t="shared" si="5"/>
        <v>0.95500023152650115</v>
      </c>
      <c r="J505" s="1085" t="str">
        <f t="shared" si="4"/>
        <v>C</v>
      </c>
      <c r="K505" s="1036"/>
      <c r="L505" s="1036"/>
      <c r="M505" s="1036"/>
      <c r="N505" s="1036"/>
      <c r="O505" s="1036"/>
      <c r="P505" s="1036"/>
      <c r="Q505" s="1036"/>
      <c r="R505" s="1036"/>
      <c r="S505" s="1036"/>
      <c r="T505" s="1036"/>
      <c r="U505" s="1036"/>
      <c r="V505" s="1036"/>
      <c r="W505" s="1036"/>
      <c r="X505" s="1036"/>
      <c r="Y505" s="1036"/>
      <c r="Z505" s="1036"/>
    </row>
    <row r="506" spans="1:26" ht="51">
      <c r="A506" s="1079">
        <v>94569</v>
      </c>
      <c r="B506" s="1080" t="s">
        <v>14476</v>
      </c>
      <c r="C506" s="1080" t="s">
        <v>7102</v>
      </c>
      <c r="D506" s="1081" t="s">
        <v>409</v>
      </c>
      <c r="E506" s="1082">
        <v>3.2</v>
      </c>
      <c r="F506" s="1083">
        <v>772.57</v>
      </c>
      <c r="G506" s="1083">
        <v>2472.2199999999998</v>
      </c>
      <c r="H506" s="1084">
        <f t="shared" si="3"/>
        <v>1.6791376551265585E-4</v>
      </c>
      <c r="I506" s="1085">
        <f t="shared" si="5"/>
        <v>0.95516814529201377</v>
      </c>
      <c r="J506" s="1085" t="str">
        <f t="shared" si="4"/>
        <v>C</v>
      </c>
      <c r="K506" s="1036"/>
      <c r="L506" s="1036"/>
      <c r="M506" s="1036"/>
      <c r="N506" s="1036"/>
      <c r="O506" s="1036"/>
      <c r="P506" s="1036"/>
      <c r="Q506" s="1036"/>
      <c r="R506" s="1036"/>
      <c r="S506" s="1036"/>
      <c r="T506" s="1036"/>
      <c r="U506" s="1036"/>
      <c r="V506" s="1036"/>
      <c r="W506" s="1036"/>
      <c r="X506" s="1036"/>
      <c r="Y506" s="1036"/>
      <c r="Z506" s="1036"/>
    </row>
    <row r="507" spans="1:26" ht="38.25">
      <c r="A507" s="1079" t="s">
        <v>14622</v>
      </c>
      <c r="B507" s="1080" t="s">
        <v>14472</v>
      </c>
      <c r="C507" s="1080" t="s">
        <v>15964</v>
      </c>
      <c r="D507" s="1081" t="s">
        <v>152</v>
      </c>
      <c r="E507" s="1082">
        <v>2.21</v>
      </c>
      <c r="F507" s="1083">
        <v>1117.8</v>
      </c>
      <c r="G507" s="1083">
        <v>2470.33</v>
      </c>
      <c r="H507" s="1084">
        <f t="shared" si="3"/>
        <v>1.6778539626686908E-4</v>
      </c>
      <c r="I507" s="1085">
        <f t="shared" si="5"/>
        <v>0.9553359306882806</v>
      </c>
      <c r="J507" s="1085" t="str">
        <f t="shared" si="4"/>
        <v>C</v>
      </c>
      <c r="K507" s="1036"/>
      <c r="L507" s="1036"/>
      <c r="M507" s="1036"/>
      <c r="N507" s="1036"/>
      <c r="O507" s="1036"/>
      <c r="P507" s="1036"/>
      <c r="Q507" s="1036"/>
      <c r="R507" s="1036"/>
      <c r="S507" s="1036"/>
      <c r="T507" s="1036"/>
      <c r="U507" s="1036"/>
      <c r="V507" s="1036"/>
      <c r="W507" s="1036"/>
      <c r="X507" s="1036"/>
      <c r="Y507" s="1036"/>
      <c r="Z507" s="1036"/>
    </row>
    <row r="508" spans="1:26" ht="38.25">
      <c r="A508" s="1079">
        <v>100859</v>
      </c>
      <c r="B508" s="1080" t="s">
        <v>14476</v>
      </c>
      <c r="C508" s="1080" t="s">
        <v>10167</v>
      </c>
      <c r="D508" s="1081" t="s">
        <v>6</v>
      </c>
      <c r="E508" s="1082">
        <v>2</v>
      </c>
      <c r="F508" s="1083">
        <v>1211.8699999999999</v>
      </c>
      <c r="G508" s="1083">
        <v>2423.7399999999998</v>
      </c>
      <c r="H508" s="1084">
        <f t="shared" si="3"/>
        <v>1.6462099247787189E-4</v>
      </c>
      <c r="I508" s="1085">
        <f t="shared" si="5"/>
        <v>0.95550055168075843</v>
      </c>
      <c r="J508" s="1085" t="str">
        <f t="shared" si="4"/>
        <v>C</v>
      </c>
      <c r="K508" s="1036"/>
      <c r="L508" s="1036"/>
      <c r="M508" s="1036"/>
      <c r="N508" s="1036"/>
      <c r="O508" s="1036"/>
      <c r="P508" s="1036"/>
      <c r="Q508" s="1036"/>
      <c r="R508" s="1036"/>
      <c r="S508" s="1036"/>
      <c r="T508" s="1036"/>
      <c r="U508" s="1036"/>
      <c r="V508" s="1036"/>
      <c r="W508" s="1036"/>
      <c r="X508" s="1036"/>
      <c r="Y508" s="1036"/>
      <c r="Z508" s="1036"/>
    </row>
    <row r="509" spans="1:26" ht="25.5">
      <c r="A509" s="1079">
        <v>105023</v>
      </c>
      <c r="B509" s="1080" t="s">
        <v>14476</v>
      </c>
      <c r="C509" s="1080" t="s">
        <v>7618</v>
      </c>
      <c r="D509" s="1081" t="s">
        <v>50</v>
      </c>
      <c r="E509" s="1082">
        <v>30.12</v>
      </c>
      <c r="F509" s="1083">
        <v>80.260000000000005</v>
      </c>
      <c r="G509" s="1083">
        <v>2417.4299999999998</v>
      </c>
      <c r="H509" s="1084">
        <f t="shared" si="3"/>
        <v>1.641924157895574E-4</v>
      </c>
      <c r="I509" s="1085">
        <f t="shared" si="5"/>
        <v>0.955664744096548</v>
      </c>
      <c r="J509" s="1085" t="str">
        <f t="shared" si="4"/>
        <v>C</v>
      </c>
      <c r="K509" s="1036"/>
      <c r="L509" s="1036"/>
      <c r="M509" s="1036"/>
      <c r="N509" s="1036"/>
      <c r="O509" s="1036"/>
      <c r="P509" s="1036"/>
      <c r="Q509" s="1036"/>
      <c r="R509" s="1036"/>
      <c r="S509" s="1036"/>
      <c r="T509" s="1036"/>
      <c r="U509" s="1036"/>
      <c r="V509" s="1036"/>
      <c r="W509" s="1036"/>
      <c r="X509" s="1036"/>
      <c r="Y509" s="1036"/>
      <c r="Z509" s="1036"/>
    </row>
    <row r="510" spans="1:26" ht="38.25">
      <c r="A510" s="1079">
        <v>92759</v>
      </c>
      <c r="B510" s="1080" t="s">
        <v>14476</v>
      </c>
      <c r="C510" s="1080" t="s">
        <v>7428</v>
      </c>
      <c r="D510" s="1081" t="s">
        <v>54</v>
      </c>
      <c r="E510" s="1082">
        <v>128.69999999999999</v>
      </c>
      <c r="F510" s="1083">
        <v>18.77</v>
      </c>
      <c r="G510" s="1083">
        <v>2415.69</v>
      </c>
      <c r="H510" s="1084">
        <f t="shared" si="3"/>
        <v>1.6407423457915057E-4</v>
      </c>
      <c r="I510" s="1085">
        <f t="shared" si="5"/>
        <v>0.95582881833112721</v>
      </c>
      <c r="J510" s="1085" t="str">
        <f t="shared" si="4"/>
        <v>C</v>
      </c>
      <c r="K510" s="1036"/>
      <c r="L510" s="1036"/>
      <c r="M510" s="1036"/>
      <c r="N510" s="1036"/>
      <c r="O510" s="1036"/>
      <c r="P510" s="1036"/>
      <c r="Q510" s="1036"/>
      <c r="R510" s="1036"/>
      <c r="S510" s="1036"/>
      <c r="T510" s="1036"/>
      <c r="U510" s="1036"/>
      <c r="V510" s="1036"/>
      <c r="W510" s="1036"/>
      <c r="X510" s="1036"/>
      <c r="Y510" s="1036"/>
      <c r="Z510" s="1036"/>
    </row>
    <row r="511" spans="1:26" ht="51">
      <c r="A511" s="1079" t="s">
        <v>14645</v>
      </c>
      <c r="B511" s="1080" t="s">
        <v>14472</v>
      </c>
      <c r="C511" s="1080" t="s">
        <v>14646</v>
      </c>
      <c r="D511" s="1081" t="s">
        <v>409</v>
      </c>
      <c r="E511" s="1082">
        <v>6.24</v>
      </c>
      <c r="F511" s="1083">
        <v>386.97</v>
      </c>
      <c r="G511" s="1083">
        <v>2414.69</v>
      </c>
      <c r="H511" s="1084">
        <f t="shared" si="3"/>
        <v>1.6400631434328457E-4</v>
      </c>
      <c r="I511" s="1085">
        <f t="shared" si="5"/>
        <v>0.95599282464547053</v>
      </c>
      <c r="J511" s="1085" t="str">
        <f t="shared" si="4"/>
        <v>C</v>
      </c>
      <c r="K511" s="1036"/>
      <c r="L511" s="1036"/>
      <c r="M511" s="1036"/>
      <c r="N511" s="1036"/>
      <c r="O511" s="1036"/>
      <c r="P511" s="1036"/>
      <c r="Q511" s="1036"/>
      <c r="R511" s="1036"/>
      <c r="S511" s="1036"/>
      <c r="T511" s="1036"/>
      <c r="U511" s="1036"/>
      <c r="V511" s="1036"/>
      <c r="W511" s="1036"/>
      <c r="X511" s="1036"/>
      <c r="Y511" s="1036"/>
      <c r="Z511" s="1036"/>
    </row>
    <row r="512" spans="1:26" ht="25.5">
      <c r="A512" s="1079" t="s">
        <v>14811</v>
      </c>
      <c r="B512" s="1080" t="s">
        <v>14472</v>
      </c>
      <c r="C512" s="1080" t="s">
        <v>14812</v>
      </c>
      <c r="D512" s="1081" t="s">
        <v>6</v>
      </c>
      <c r="E512" s="1082">
        <v>10</v>
      </c>
      <c r="F512" s="1083">
        <v>236.9</v>
      </c>
      <c r="G512" s="1083">
        <v>2369</v>
      </c>
      <c r="H512" s="1084">
        <f t="shared" si="3"/>
        <v>1.6090303876656678E-4</v>
      </c>
      <c r="I512" s="1085">
        <f t="shared" si="5"/>
        <v>0.95615372768423712</v>
      </c>
      <c r="J512" s="1085" t="str">
        <f t="shared" si="4"/>
        <v>C</v>
      </c>
      <c r="K512" s="1036"/>
      <c r="L512" s="1036"/>
      <c r="M512" s="1036"/>
      <c r="N512" s="1036"/>
      <c r="O512" s="1036"/>
      <c r="P512" s="1036"/>
      <c r="Q512" s="1036"/>
      <c r="R512" s="1036"/>
      <c r="S512" s="1036"/>
      <c r="T512" s="1036"/>
      <c r="U512" s="1036"/>
      <c r="V512" s="1036"/>
      <c r="W512" s="1036"/>
      <c r="X512" s="1036"/>
      <c r="Y512" s="1036"/>
      <c r="Z512" s="1036"/>
    </row>
    <row r="513" spans="1:26" ht="25.5">
      <c r="A513" s="1079" t="s">
        <v>14811</v>
      </c>
      <c r="B513" s="1080" t="s">
        <v>14472</v>
      </c>
      <c r="C513" s="1080" t="s">
        <v>14812</v>
      </c>
      <c r="D513" s="1081" t="s">
        <v>6</v>
      </c>
      <c r="E513" s="1082">
        <v>10</v>
      </c>
      <c r="F513" s="1083">
        <v>236.9</v>
      </c>
      <c r="G513" s="1083">
        <v>2369</v>
      </c>
      <c r="H513" s="1084">
        <f t="shared" si="3"/>
        <v>1.6090303876656678E-4</v>
      </c>
      <c r="I513" s="1085">
        <f t="shared" si="5"/>
        <v>0.95631463072300371</v>
      </c>
      <c r="J513" s="1085" t="str">
        <f t="shared" si="4"/>
        <v>C</v>
      </c>
      <c r="K513" s="1036"/>
      <c r="L513" s="1036"/>
      <c r="M513" s="1036"/>
      <c r="N513" s="1036"/>
      <c r="O513" s="1036"/>
      <c r="P513" s="1036"/>
      <c r="Q513" s="1036"/>
      <c r="R513" s="1036"/>
      <c r="S513" s="1036"/>
      <c r="T513" s="1036"/>
      <c r="U513" s="1036"/>
      <c r="V513" s="1036"/>
      <c r="W513" s="1036"/>
      <c r="X513" s="1036"/>
      <c r="Y513" s="1036"/>
      <c r="Z513" s="1036"/>
    </row>
    <row r="514" spans="1:26" ht="25.5">
      <c r="A514" s="1079">
        <v>93382</v>
      </c>
      <c r="B514" s="1080" t="s">
        <v>14476</v>
      </c>
      <c r="C514" s="1080" t="s">
        <v>10726</v>
      </c>
      <c r="D514" s="1081" t="s">
        <v>152</v>
      </c>
      <c r="E514" s="1082">
        <v>80.150000000000006</v>
      </c>
      <c r="F514" s="1083">
        <v>29.52</v>
      </c>
      <c r="G514" s="1083">
        <v>2365.9</v>
      </c>
      <c r="H514" s="1084">
        <f t="shared" si="3"/>
        <v>1.6069248603538217E-4</v>
      </c>
      <c r="I514" s="1085">
        <f t="shared" si="5"/>
        <v>0.95647532320903905</v>
      </c>
      <c r="J514" s="1085" t="str">
        <f t="shared" si="4"/>
        <v>C</v>
      </c>
      <c r="K514" s="1036"/>
      <c r="L514" s="1036"/>
      <c r="M514" s="1036"/>
      <c r="N514" s="1036"/>
      <c r="O514" s="1036"/>
      <c r="P514" s="1036"/>
      <c r="Q514" s="1036"/>
      <c r="R514" s="1036"/>
      <c r="S514" s="1036"/>
      <c r="T514" s="1036"/>
      <c r="U514" s="1036"/>
      <c r="V514" s="1036"/>
      <c r="W514" s="1036"/>
      <c r="X514" s="1036"/>
      <c r="Y514" s="1036"/>
      <c r="Z514" s="1036"/>
    </row>
    <row r="515" spans="1:26" ht="25.5">
      <c r="A515" s="1079" t="s">
        <v>14784</v>
      </c>
      <c r="B515" s="1080" t="s">
        <v>14472</v>
      </c>
      <c r="C515" s="1080" t="s">
        <v>14785</v>
      </c>
      <c r="D515" s="1081" t="s">
        <v>50</v>
      </c>
      <c r="E515" s="1082">
        <v>10.210000000000001</v>
      </c>
      <c r="F515" s="1083">
        <v>231.61</v>
      </c>
      <c r="G515" s="1083">
        <v>2364.73</v>
      </c>
      <c r="H515" s="1084">
        <f t="shared" si="3"/>
        <v>1.6061301935941892E-4</v>
      </c>
      <c r="I515" s="1085">
        <f t="shared" si="5"/>
        <v>0.95663593622839849</v>
      </c>
      <c r="J515" s="1085" t="str">
        <f t="shared" si="4"/>
        <v>C</v>
      </c>
      <c r="K515" s="1036"/>
      <c r="L515" s="1036"/>
      <c r="M515" s="1036"/>
      <c r="N515" s="1036"/>
      <c r="O515" s="1036"/>
      <c r="P515" s="1036"/>
      <c r="Q515" s="1036"/>
      <c r="R515" s="1036"/>
      <c r="S515" s="1036"/>
      <c r="T515" s="1036"/>
      <c r="U515" s="1036"/>
      <c r="V515" s="1036"/>
      <c r="W515" s="1036"/>
      <c r="X515" s="1036"/>
      <c r="Y515" s="1036"/>
      <c r="Z515" s="1036"/>
    </row>
    <row r="516" spans="1:26" ht="51">
      <c r="A516" s="1079">
        <v>97667</v>
      </c>
      <c r="B516" s="1080" t="s">
        <v>14476</v>
      </c>
      <c r="C516" s="1080" t="s">
        <v>7797</v>
      </c>
      <c r="D516" s="1081" t="s">
        <v>50</v>
      </c>
      <c r="E516" s="1082">
        <v>240</v>
      </c>
      <c r="F516" s="1083">
        <v>9.81</v>
      </c>
      <c r="G516" s="1083">
        <v>2354.4</v>
      </c>
      <c r="H516" s="1084">
        <f t="shared" si="3"/>
        <v>1.5991140332292309E-4</v>
      </c>
      <c r="I516" s="1085">
        <f t="shared" si="5"/>
        <v>0.95679584763172143</v>
      </c>
      <c r="J516" s="1085" t="str">
        <f t="shared" si="4"/>
        <v>C</v>
      </c>
      <c r="K516" s="1036"/>
      <c r="L516" s="1036"/>
      <c r="M516" s="1036"/>
      <c r="N516" s="1036"/>
      <c r="O516" s="1036"/>
      <c r="P516" s="1036"/>
      <c r="Q516" s="1036"/>
      <c r="R516" s="1036"/>
      <c r="S516" s="1036"/>
      <c r="T516" s="1036"/>
      <c r="U516" s="1036"/>
      <c r="V516" s="1036"/>
      <c r="W516" s="1036"/>
      <c r="X516" s="1036"/>
      <c r="Y516" s="1036"/>
      <c r="Z516" s="1036"/>
    </row>
    <row r="517" spans="1:26" ht="51">
      <c r="A517" s="1079">
        <v>89753</v>
      </c>
      <c r="B517" s="1080" t="s">
        <v>14476</v>
      </c>
      <c r="C517" s="1080" t="s">
        <v>8964</v>
      </c>
      <c r="D517" s="1081" t="s">
        <v>6</v>
      </c>
      <c r="E517" s="1082">
        <v>210</v>
      </c>
      <c r="F517" s="1083">
        <v>11.17</v>
      </c>
      <c r="G517" s="1083">
        <v>2345.6999999999998</v>
      </c>
      <c r="H517" s="1084">
        <f t="shared" si="3"/>
        <v>1.5932049727088884E-4</v>
      </c>
      <c r="I517" s="1085">
        <f t="shared" si="5"/>
        <v>0.95695516812899228</v>
      </c>
      <c r="J517" s="1085" t="str">
        <f t="shared" si="4"/>
        <v>C</v>
      </c>
      <c r="K517" s="1036"/>
      <c r="L517" s="1036"/>
      <c r="M517" s="1036"/>
      <c r="N517" s="1036"/>
      <c r="O517" s="1036"/>
      <c r="P517" s="1036"/>
      <c r="Q517" s="1036"/>
      <c r="R517" s="1036"/>
      <c r="S517" s="1036"/>
      <c r="T517" s="1036"/>
      <c r="U517" s="1036"/>
      <c r="V517" s="1036"/>
      <c r="W517" s="1036"/>
      <c r="X517" s="1036"/>
      <c r="Y517" s="1036"/>
      <c r="Z517" s="1036"/>
    </row>
    <row r="518" spans="1:26" ht="25.5">
      <c r="A518" s="1079" t="s">
        <v>14898</v>
      </c>
      <c r="B518" s="1080" t="s">
        <v>14472</v>
      </c>
      <c r="C518" s="1080" t="s">
        <v>14899</v>
      </c>
      <c r="D518" s="1081" t="s">
        <v>409</v>
      </c>
      <c r="E518" s="1082">
        <v>2.88</v>
      </c>
      <c r="F518" s="1083">
        <v>813.51</v>
      </c>
      <c r="G518" s="1083">
        <v>2342.9</v>
      </c>
      <c r="H518" s="1084">
        <f t="shared" si="3"/>
        <v>1.5913032061046404E-4</v>
      </c>
      <c r="I518" s="1085">
        <f t="shared" si="5"/>
        <v>0.95711429844960272</v>
      </c>
      <c r="J518" s="1085" t="str">
        <f t="shared" si="4"/>
        <v>C</v>
      </c>
      <c r="K518" s="1036"/>
      <c r="L518" s="1036"/>
      <c r="M518" s="1036"/>
      <c r="N518" s="1036"/>
      <c r="O518" s="1036"/>
      <c r="P518" s="1036"/>
      <c r="Q518" s="1036"/>
      <c r="R518" s="1036"/>
      <c r="S518" s="1036"/>
      <c r="T518" s="1036"/>
      <c r="U518" s="1036"/>
      <c r="V518" s="1036"/>
      <c r="W518" s="1036"/>
      <c r="X518" s="1036"/>
      <c r="Y518" s="1036"/>
      <c r="Z518" s="1036"/>
    </row>
    <row r="519" spans="1:26" ht="38.25">
      <c r="A519" s="1079" t="s">
        <v>14622</v>
      </c>
      <c r="B519" s="1080" t="s">
        <v>14472</v>
      </c>
      <c r="C519" s="1080" t="s">
        <v>15964</v>
      </c>
      <c r="D519" s="1081" t="s">
        <v>152</v>
      </c>
      <c r="E519" s="1082">
        <v>2.09</v>
      </c>
      <c r="F519" s="1083">
        <v>1117.8</v>
      </c>
      <c r="G519" s="1083">
        <v>2336.1999999999998</v>
      </c>
      <c r="H519" s="1084">
        <f t="shared" si="3"/>
        <v>1.5867525503016178E-4</v>
      </c>
      <c r="I519" s="1085">
        <f t="shared" si="5"/>
        <v>0.95727297370463293</v>
      </c>
      <c r="J519" s="1085" t="str">
        <f t="shared" si="4"/>
        <v>C</v>
      </c>
      <c r="K519" s="1036"/>
      <c r="L519" s="1036"/>
      <c r="M519" s="1036"/>
      <c r="N519" s="1036"/>
      <c r="O519" s="1036"/>
      <c r="P519" s="1036"/>
      <c r="Q519" s="1036"/>
      <c r="R519" s="1036"/>
      <c r="S519" s="1036"/>
      <c r="T519" s="1036"/>
      <c r="U519" s="1036"/>
      <c r="V519" s="1036"/>
      <c r="W519" s="1036"/>
      <c r="X519" s="1036"/>
      <c r="Y519" s="1036"/>
      <c r="Z519" s="1036"/>
    </row>
    <row r="520" spans="1:26" ht="51">
      <c r="A520" s="1079">
        <v>89732</v>
      </c>
      <c r="B520" s="1080" t="s">
        <v>14476</v>
      </c>
      <c r="C520" s="1080" t="s">
        <v>8945</v>
      </c>
      <c r="D520" s="1081" t="s">
        <v>6</v>
      </c>
      <c r="E520" s="1082">
        <v>123</v>
      </c>
      <c r="F520" s="1083">
        <v>18.95</v>
      </c>
      <c r="G520" s="1083">
        <v>2330.85</v>
      </c>
      <c r="H520" s="1084">
        <f t="shared" si="3"/>
        <v>1.5831188176827866E-4</v>
      </c>
      <c r="I520" s="1085">
        <f t="shared" si="5"/>
        <v>0.95743128558640123</v>
      </c>
      <c r="J520" s="1085" t="str">
        <f t="shared" si="4"/>
        <v>C</v>
      </c>
      <c r="K520" s="1036"/>
      <c r="L520" s="1036"/>
      <c r="M520" s="1036"/>
      <c r="N520" s="1036"/>
      <c r="O520" s="1036"/>
      <c r="P520" s="1036"/>
      <c r="Q520" s="1036"/>
      <c r="R520" s="1036"/>
      <c r="S520" s="1036"/>
      <c r="T520" s="1036"/>
      <c r="U520" s="1036"/>
      <c r="V520" s="1036"/>
      <c r="W520" s="1036"/>
      <c r="X520" s="1036"/>
      <c r="Y520" s="1036"/>
      <c r="Z520" s="1036"/>
    </row>
    <row r="521" spans="1:26" ht="25.5">
      <c r="A521" s="1079">
        <v>93358</v>
      </c>
      <c r="B521" s="1080" t="s">
        <v>14476</v>
      </c>
      <c r="C521" s="1080" t="s">
        <v>10648</v>
      </c>
      <c r="D521" s="1081" t="s">
        <v>152</v>
      </c>
      <c r="E521" s="1082">
        <v>23.07</v>
      </c>
      <c r="F521" s="1083">
        <v>100.47</v>
      </c>
      <c r="G521" s="1083">
        <v>2317.84</v>
      </c>
      <c r="H521" s="1084">
        <f t="shared" si="3"/>
        <v>1.5742823949966195E-4</v>
      </c>
      <c r="I521" s="1085">
        <f t="shared" si="5"/>
        <v>0.95758871382590094</v>
      </c>
      <c r="J521" s="1085" t="str">
        <f t="shared" si="4"/>
        <v>C</v>
      </c>
      <c r="K521" s="1036"/>
      <c r="L521" s="1036"/>
      <c r="M521" s="1036"/>
      <c r="N521" s="1036"/>
      <c r="O521" s="1036"/>
      <c r="P521" s="1036"/>
      <c r="Q521" s="1036"/>
      <c r="R521" s="1036"/>
      <c r="S521" s="1036"/>
      <c r="T521" s="1036"/>
      <c r="U521" s="1036"/>
      <c r="V521" s="1036"/>
      <c r="W521" s="1036"/>
      <c r="X521" s="1036"/>
      <c r="Y521" s="1036"/>
      <c r="Z521" s="1036"/>
    </row>
    <row r="522" spans="1:26" ht="51">
      <c r="A522" s="1079" t="s">
        <v>14588</v>
      </c>
      <c r="B522" s="1080" t="s">
        <v>14472</v>
      </c>
      <c r="C522" s="1080" t="s">
        <v>14589</v>
      </c>
      <c r="D522" s="1081" t="s">
        <v>50</v>
      </c>
      <c r="E522" s="1082">
        <v>60</v>
      </c>
      <c r="F522" s="1083">
        <v>38.32</v>
      </c>
      <c r="G522" s="1083">
        <v>2299.1999999999998</v>
      </c>
      <c r="H522" s="1084">
        <f t="shared" si="3"/>
        <v>1.5616220630311958E-4</v>
      </c>
      <c r="I522" s="1085">
        <f t="shared" si="5"/>
        <v>0.95774487603220404</v>
      </c>
      <c r="J522" s="1085" t="str">
        <f t="shared" si="4"/>
        <v>C</v>
      </c>
      <c r="K522" s="1036"/>
      <c r="L522" s="1036"/>
      <c r="M522" s="1036"/>
      <c r="N522" s="1036"/>
      <c r="O522" s="1036"/>
      <c r="P522" s="1036"/>
      <c r="Q522" s="1036"/>
      <c r="R522" s="1036"/>
      <c r="S522" s="1036"/>
      <c r="T522" s="1036"/>
      <c r="U522" s="1036"/>
      <c r="V522" s="1036"/>
      <c r="W522" s="1036"/>
      <c r="X522" s="1036"/>
      <c r="Y522" s="1036"/>
      <c r="Z522" s="1036"/>
    </row>
    <row r="523" spans="1:26" ht="51">
      <c r="A523" s="1079" t="s">
        <v>14643</v>
      </c>
      <c r="B523" s="1080" t="s">
        <v>14472</v>
      </c>
      <c r="C523" s="1080" t="s">
        <v>14644</v>
      </c>
      <c r="D523" s="1081" t="s">
        <v>50</v>
      </c>
      <c r="E523" s="1082">
        <v>15</v>
      </c>
      <c r="F523" s="1083">
        <v>152.38</v>
      </c>
      <c r="G523" s="1083">
        <v>2285.6999999999998</v>
      </c>
      <c r="H523" s="1084">
        <f t="shared" si="3"/>
        <v>1.5524528311892851E-4</v>
      </c>
      <c r="I523" s="1085">
        <f t="shared" si="5"/>
        <v>0.95790012131532298</v>
      </c>
      <c r="J523" s="1085" t="str">
        <f t="shared" si="4"/>
        <v>C</v>
      </c>
      <c r="K523" s="1036"/>
      <c r="L523" s="1036"/>
      <c r="M523" s="1036"/>
      <c r="N523" s="1036"/>
      <c r="O523" s="1036"/>
      <c r="P523" s="1036"/>
      <c r="Q523" s="1036"/>
      <c r="R523" s="1036"/>
      <c r="S523" s="1036"/>
      <c r="T523" s="1036"/>
      <c r="U523" s="1036"/>
      <c r="V523" s="1036"/>
      <c r="W523" s="1036"/>
      <c r="X523" s="1036"/>
      <c r="Y523" s="1036"/>
      <c r="Z523" s="1036"/>
    </row>
    <row r="524" spans="1:26" ht="38.25">
      <c r="A524" s="1079">
        <v>92764</v>
      </c>
      <c r="B524" s="1080" t="s">
        <v>14476</v>
      </c>
      <c r="C524" s="1080" t="s">
        <v>7433</v>
      </c>
      <c r="D524" s="1081" t="s">
        <v>54</v>
      </c>
      <c r="E524" s="1082">
        <v>178.8</v>
      </c>
      <c r="F524" s="1083">
        <v>12.73</v>
      </c>
      <c r="G524" s="1083">
        <v>2276.12</v>
      </c>
      <c r="H524" s="1084">
        <f t="shared" si="3"/>
        <v>1.5459460725933218E-4</v>
      </c>
      <c r="I524" s="1085">
        <f t="shared" si="5"/>
        <v>0.95805471592258229</v>
      </c>
      <c r="J524" s="1085" t="str">
        <f t="shared" si="4"/>
        <v>C</v>
      </c>
      <c r="K524" s="1036"/>
      <c r="L524" s="1036"/>
      <c r="M524" s="1036"/>
      <c r="N524" s="1036"/>
      <c r="O524" s="1036"/>
      <c r="P524" s="1036"/>
      <c r="Q524" s="1036"/>
      <c r="R524" s="1036"/>
      <c r="S524" s="1036"/>
      <c r="T524" s="1036"/>
      <c r="U524" s="1036"/>
      <c r="V524" s="1036"/>
      <c r="W524" s="1036"/>
      <c r="X524" s="1036"/>
      <c r="Y524" s="1036"/>
      <c r="Z524" s="1036"/>
    </row>
    <row r="525" spans="1:26" ht="25.5">
      <c r="A525" s="1079">
        <v>93382</v>
      </c>
      <c r="B525" s="1080" t="s">
        <v>14476</v>
      </c>
      <c r="C525" s="1080" t="s">
        <v>10726</v>
      </c>
      <c r="D525" s="1081" t="s">
        <v>152</v>
      </c>
      <c r="E525" s="1082">
        <v>77</v>
      </c>
      <c r="F525" s="1083">
        <v>29.52</v>
      </c>
      <c r="G525" s="1083">
        <v>2273.04</v>
      </c>
      <c r="H525" s="1084">
        <f t="shared" ref="H525:H779" si="6">G525/$I$8</f>
        <v>1.543854129328649E-4</v>
      </c>
      <c r="I525" s="1085">
        <f t="shared" si="5"/>
        <v>0.95820910133551518</v>
      </c>
      <c r="J525" s="1085" t="str">
        <f t="shared" ref="J525:J779" si="7">IF(I525&lt;$A$10,"A",IF(I525&lt;$A$11,"B","C"))</f>
        <v>C</v>
      </c>
      <c r="K525" s="1036"/>
      <c r="L525" s="1036"/>
      <c r="M525" s="1036"/>
      <c r="N525" s="1036"/>
      <c r="O525" s="1036"/>
      <c r="P525" s="1036"/>
      <c r="Q525" s="1036"/>
      <c r="R525" s="1036"/>
      <c r="S525" s="1036"/>
      <c r="T525" s="1036"/>
      <c r="U525" s="1036"/>
      <c r="V525" s="1036"/>
      <c r="W525" s="1036"/>
      <c r="X525" s="1036"/>
      <c r="Y525" s="1036"/>
      <c r="Z525" s="1036"/>
    </row>
    <row r="526" spans="1:26" ht="38.25">
      <c r="A526" s="1079">
        <v>96558</v>
      </c>
      <c r="B526" s="1080" t="s">
        <v>14476</v>
      </c>
      <c r="C526" s="1080" t="s">
        <v>7548</v>
      </c>
      <c r="D526" s="1081" t="s">
        <v>152</v>
      </c>
      <c r="E526" s="1082">
        <v>1.8</v>
      </c>
      <c r="F526" s="1083">
        <v>1262.0999999999999</v>
      </c>
      <c r="G526" s="1083">
        <v>2271.7800000000002</v>
      </c>
      <c r="H526" s="1084">
        <f t="shared" si="6"/>
        <v>1.5429983343567374E-4</v>
      </c>
      <c r="I526" s="1085">
        <f t="shared" ref="I526:I780" si="8">I525+H526</f>
        <v>0.9583634011689508</v>
      </c>
      <c r="J526" s="1085" t="str">
        <f t="shared" si="7"/>
        <v>C</v>
      </c>
      <c r="K526" s="1036"/>
      <c r="L526" s="1036"/>
      <c r="M526" s="1036"/>
      <c r="N526" s="1036"/>
      <c r="O526" s="1036"/>
      <c r="P526" s="1036"/>
      <c r="Q526" s="1036"/>
      <c r="R526" s="1036"/>
      <c r="S526" s="1036"/>
      <c r="T526" s="1036"/>
      <c r="U526" s="1036"/>
      <c r="V526" s="1036"/>
      <c r="W526" s="1036"/>
      <c r="X526" s="1036"/>
      <c r="Y526" s="1036"/>
      <c r="Z526" s="1036"/>
    </row>
    <row r="527" spans="1:26" ht="25.5">
      <c r="A527" s="1079" t="s">
        <v>15228</v>
      </c>
      <c r="B527" s="1080" t="s">
        <v>14472</v>
      </c>
      <c r="C527" s="1080" t="s">
        <v>15229</v>
      </c>
      <c r="D527" s="1081" t="s">
        <v>50</v>
      </c>
      <c r="E527" s="1082">
        <v>28</v>
      </c>
      <c r="F527" s="1083">
        <v>80.760000000000005</v>
      </c>
      <c r="G527" s="1083">
        <v>2261.2800000000002</v>
      </c>
      <c r="H527" s="1084">
        <f t="shared" si="6"/>
        <v>1.5358667095908068E-4</v>
      </c>
      <c r="I527" s="1085">
        <f t="shared" si="8"/>
        <v>0.95851698783990991</v>
      </c>
      <c r="J527" s="1085" t="str">
        <f t="shared" si="7"/>
        <v>C</v>
      </c>
      <c r="K527" s="1036"/>
      <c r="L527" s="1036"/>
      <c r="M527" s="1036"/>
      <c r="N527" s="1036"/>
      <c r="O527" s="1036"/>
      <c r="P527" s="1036"/>
      <c r="Q527" s="1036"/>
      <c r="R527" s="1036"/>
      <c r="S527" s="1036"/>
      <c r="T527" s="1036"/>
      <c r="U527" s="1036"/>
      <c r="V527" s="1036"/>
      <c r="W527" s="1036"/>
      <c r="X527" s="1036"/>
      <c r="Y527" s="1036"/>
      <c r="Z527" s="1036"/>
    </row>
    <row r="528" spans="1:26" ht="25.5">
      <c r="A528" s="1079">
        <v>86881</v>
      </c>
      <c r="B528" s="1080" t="s">
        <v>14476</v>
      </c>
      <c r="C528" s="1080" t="s">
        <v>10091</v>
      </c>
      <c r="D528" s="1081" t="s">
        <v>6</v>
      </c>
      <c r="E528" s="1082">
        <v>8</v>
      </c>
      <c r="F528" s="1083">
        <v>281.07</v>
      </c>
      <c r="G528" s="1083">
        <v>2248.56</v>
      </c>
      <c r="H528" s="1084">
        <f t="shared" si="6"/>
        <v>1.5272272555886507E-4</v>
      </c>
      <c r="I528" s="1085">
        <f t="shared" si="8"/>
        <v>0.95866971056546879</v>
      </c>
      <c r="J528" s="1085" t="str">
        <f t="shared" si="7"/>
        <v>C</v>
      </c>
      <c r="K528" s="1036"/>
      <c r="L528" s="1036"/>
      <c r="M528" s="1036"/>
      <c r="N528" s="1036"/>
      <c r="O528" s="1036"/>
      <c r="P528" s="1036"/>
      <c r="Q528" s="1036"/>
      <c r="R528" s="1036"/>
      <c r="S528" s="1036"/>
      <c r="T528" s="1036"/>
      <c r="U528" s="1036"/>
      <c r="V528" s="1036"/>
      <c r="W528" s="1036"/>
      <c r="X528" s="1036"/>
      <c r="Y528" s="1036"/>
      <c r="Z528" s="1036"/>
    </row>
    <row r="529" spans="1:26" ht="51">
      <c r="A529" s="1079">
        <v>97906</v>
      </c>
      <c r="B529" s="1080" t="s">
        <v>14476</v>
      </c>
      <c r="C529" s="1080" t="s">
        <v>10017</v>
      </c>
      <c r="D529" s="1081" t="s">
        <v>6</v>
      </c>
      <c r="E529" s="1082">
        <v>4</v>
      </c>
      <c r="F529" s="1083">
        <v>559.72</v>
      </c>
      <c r="G529" s="1083">
        <v>2238.88</v>
      </c>
      <c r="H529" s="1084">
        <f t="shared" si="6"/>
        <v>1.5206525767568214E-4</v>
      </c>
      <c r="I529" s="1085">
        <f t="shared" si="8"/>
        <v>0.95882177582314443</v>
      </c>
      <c r="J529" s="1085" t="str">
        <f t="shared" si="7"/>
        <v>C</v>
      </c>
      <c r="K529" s="1036"/>
      <c r="L529" s="1036"/>
      <c r="M529" s="1036"/>
      <c r="N529" s="1036"/>
      <c r="O529" s="1036"/>
      <c r="P529" s="1036"/>
      <c r="Q529" s="1036"/>
      <c r="R529" s="1036"/>
      <c r="S529" s="1036"/>
      <c r="T529" s="1036"/>
      <c r="U529" s="1036"/>
      <c r="V529" s="1036"/>
      <c r="W529" s="1036"/>
      <c r="X529" s="1036"/>
      <c r="Y529" s="1036"/>
      <c r="Z529" s="1036"/>
    </row>
    <row r="530" spans="1:26" ht="25.5">
      <c r="A530" s="1079">
        <v>105035</v>
      </c>
      <c r="B530" s="1080" t="s">
        <v>14476</v>
      </c>
      <c r="C530" s="1080" t="s">
        <v>7630</v>
      </c>
      <c r="D530" s="1081" t="s">
        <v>50</v>
      </c>
      <c r="E530" s="1082">
        <v>27.4</v>
      </c>
      <c r="F530" s="1083">
        <v>81.13</v>
      </c>
      <c r="G530" s="1083">
        <v>2222.96</v>
      </c>
      <c r="H530" s="1084">
        <f t="shared" si="6"/>
        <v>1.5098396752069536E-4</v>
      </c>
      <c r="I530" s="1085">
        <f t="shared" si="8"/>
        <v>0.9589727597906651</v>
      </c>
      <c r="J530" s="1085" t="str">
        <f t="shared" si="7"/>
        <v>C</v>
      </c>
      <c r="K530" s="1036"/>
      <c r="L530" s="1036"/>
      <c r="M530" s="1036"/>
      <c r="N530" s="1036"/>
      <c r="O530" s="1036"/>
      <c r="P530" s="1036"/>
      <c r="Q530" s="1036"/>
      <c r="R530" s="1036"/>
      <c r="S530" s="1036"/>
      <c r="T530" s="1036"/>
      <c r="U530" s="1036"/>
      <c r="V530" s="1036"/>
      <c r="W530" s="1036"/>
      <c r="X530" s="1036"/>
      <c r="Y530" s="1036"/>
      <c r="Z530" s="1036"/>
    </row>
    <row r="531" spans="1:26" ht="38.25">
      <c r="A531" s="1079">
        <v>89554</v>
      </c>
      <c r="B531" s="1080" t="s">
        <v>14476</v>
      </c>
      <c r="C531" s="1080" t="s">
        <v>8801</v>
      </c>
      <c r="D531" s="1081" t="s">
        <v>6</v>
      </c>
      <c r="E531" s="1082">
        <v>64</v>
      </c>
      <c r="F531" s="1083">
        <v>34.6</v>
      </c>
      <c r="G531" s="1083">
        <v>2214.4</v>
      </c>
      <c r="H531" s="1084">
        <f t="shared" si="6"/>
        <v>1.5040257030168234E-4</v>
      </c>
      <c r="I531" s="1085">
        <f t="shared" si="8"/>
        <v>0.95912316236096673</v>
      </c>
      <c r="J531" s="1085" t="str">
        <f t="shared" si="7"/>
        <v>C</v>
      </c>
      <c r="K531" s="1036"/>
      <c r="L531" s="1036"/>
      <c r="M531" s="1036"/>
      <c r="N531" s="1036"/>
      <c r="O531" s="1036"/>
      <c r="P531" s="1036"/>
      <c r="Q531" s="1036"/>
      <c r="R531" s="1036"/>
      <c r="S531" s="1036"/>
      <c r="T531" s="1036"/>
      <c r="U531" s="1036"/>
      <c r="V531" s="1036"/>
      <c r="W531" s="1036"/>
      <c r="X531" s="1036"/>
      <c r="Y531" s="1036"/>
      <c r="Z531" s="1036"/>
    </row>
    <row r="532" spans="1:26" ht="38.25">
      <c r="A532" s="1079">
        <v>104916</v>
      </c>
      <c r="B532" s="1080" t="s">
        <v>14476</v>
      </c>
      <c r="C532" s="1080" t="s">
        <v>7596</v>
      </c>
      <c r="D532" s="1081" t="s">
        <v>54</v>
      </c>
      <c r="E532" s="1082">
        <v>100.82</v>
      </c>
      <c r="F532" s="1083">
        <v>21.8</v>
      </c>
      <c r="G532" s="1083">
        <v>2197.87</v>
      </c>
      <c r="H532" s="1084">
        <f t="shared" si="6"/>
        <v>1.4927984880281725E-4</v>
      </c>
      <c r="I532" s="1085">
        <f t="shared" si="8"/>
        <v>0.95927244220976959</v>
      </c>
      <c r="J532" s="1085" t="str">
        <f t="shared" si="7"/>
        <v>C</v>
      </c>
      <c r="K532" s="1036"/>
      <c r="L532" s="1036"/>
      <c r="M532" s="1036"/>
      <c r="N532" s="1036"/>
      <c r="O532" s="1036"/>
      <c r="P532" s="1036"/>
      <c r="Q532" s="1036"/>
      <c r="R532" s="1036"/>
      <c r="S532" s="1036"/>
      <c r="T532" s="1036"/>
      <c r="U532" s="1036"/>
      <c r="V532" s="1036"/>
      <c r="W532" s="1036"/>
      <c r="X532" s="1036"/>
      <c r="Y532" s="1036"/>
      <c r="Z532" s="1036"/>
    </row>
    <row r="533" spans="1:26" ht="38.25">
      <c r="A533" s="1079">
        <v>104920</v>
      </c>
      <c r="B533" s="1080" t="s">
        <v>14476</v>
      </c>
      <c r="C533" s="1080" t="s">
        <v>7517</v>
      </c>
      <c r="D533" s="1081" t="s">
        <v>54</v>
      </c>
      <c r="E533" s="1082">
        <v>147.9</v>
      </c>
      <c r="F533" s="1083">
        <v>14.85</v>
      </c>
      <c r="G533" s="1083">
        <v>2196.31</v>
      </c>
      <c r="H533" s="1084">
        <f t="shared" si="6"/>
        <v>1.4917389323486628E-4</v>
      </c>
      <c r="I533" s="1085">
        <f t="shared" si="8"/>
        <v>0.95942161610300447</v>
      </c>
      <c r="J533" s="1085" t="str">
        <f t="shared" si="7"/>
        <v>C</v>
      </c>
      <c r="K533" s="1036"/>
      <c r="L533" s="1036"/>
      <c r="M533" s="1036"/>
      <c r="N533" s="1036"/>
      <c r="O533" s="1036"/>
      <c r="P533" s="1036"/>
      <c r="Q533" s="1036"/>
      <c r="R533" s="1036"/>
      <c r="S533" s="1036"/>
      <c r="T533" s="1036"/>
      <c r="U533" s="1036"/>
      <c r="V533" s="1036"/>
      <c r="W533" s="1036"/>
      <c r="X533" s="1036"/>
      <c r="Y533" s="1036"/>
      <c r="Z533" s="1036"/>
    </row>
    <row r="534" spans="1:26" ht="14.25">
      <c r="A534" s="1079" t="s">
        <v>14607</v>
      </c>
      <c r="B534" s="1080" t="s">
        <v>14472</v>
      </c>
      <c r="C534" s="1080" t="s">
        <v>14608</v>
      </c>
      <c r="D534" s="1081" t="s">
        <v>409</v>
      </c>
      <c r="E534" s="1082">
        <v>53.68</v>
      </c>
      <c r="F534" s="1083">
        <v>40.85</v>
      </c>
      <c r="G534" s="1083">
        <v>2192.8200000000002</v>
      </c>
      <c r="H534" s="1084">
        <f t="shared" si="6"/>
        <v>1.4893685161169396E-4</v>
      </c>
      <c r="I534" s="1085">
        <f t="shared" si="8"/>
        <v>0.95957055295461613</v>
      </c>
      <c r="J534" s="1085" t="str">
        <f t="shared" si="7"/>
        <v>C</v>
      </c>
      <c r="K534" s="1036"/>
      <c r="L534" s="1036"/>
      <c r="M534" s="1036"/>
      <c r="N534" s="1036"/>
      <c r="O534" s="1036"/>
      <c r="P534" s="1036"/>
      <c r="Q534" s="1036"/>
      <c r="R534" s="1036"/>
      <c r="S534" s="1036"/>
      <c r="T534" s="1036"/>
      <c r="U534" s="1036"/>
      <c r="V534" s="1036"/>
      <c r="W534" s="1036"/>
      <c r="X534" s="1036"/>
      <c r="Y534" s="1036"/>
      <c r="Z534" s="1036"/>
    </row>
    <row r="535" spans="1:26" ht="25.5">
      <c r="A535" s="1079">
        <v>93382</v>
      </c>
      <c r="B535" s="1080" t="s">
        <v>14476</v>
      </c>
      <c r="C535" s="1080" t="s">
        <v>10726</v>
      </c>
      <c r="D535" s="1081" t="s">
        <v>152</v>
      </c>
      <c r="E535" s="1082">
        <v>74.2</v>
      </c>
      <c r="F535" s="1083">
        <v>29.52</v>
      </c>
      <c r="G535" s="1083">
        <v>2190.38</v>
      </c>
      <c r="H535" s="1084">
        <f t="shared" si="6"/>
        <v>1.4877112623618089E-4</v>
      </c>
      <c r="I535" s="1085">
        <f t="shared" si="8"/>
        <v>0.95971932408085237</v>
      </c>
      <c r="J535" s="1085" t="str">
        <f t="shared" si="7"/>
        <v>C</v>
      </c>
      <c r="K535" s="1036"/>
      <c r="L535" s="1036"/>
      <c r="M535" s="1036"/>
      <c r="N535" s="1036"/>
      <c r="O535" s="1036"/>
      <c r="P535" s="1036"/>
      <c r="Q535" s="1036"/>
      <c r="R535" s="1036"/>
      <c r="S535" s="1036"/>
      <c r="T535" s="1036"/>
      <c r="U535" s="1036"/>
      <c r="V535" s="1036"/>
      <c r="W535" s="1036"/>
      <c r="X535" s="1036"/>
      <c r="Y535" s="1036"/>
      <c r="Z535" s="1036"/>
    </row>
    <row r="536" spans="1:26" ht="51">
      <c r="A536" s="1079">
        <v>89778</v>
      </c>
      <c r="B536" s="1080" t="s">
        <v>14476</v>
      </c>
      <c r="C536" s="1080" t="s">
        <v>8984</v>
      </c>
      <c r="D536" s="1081" t="s">
        <v>6</v>
      </c>
      <c r="E536" s="1082">
        <v>100</v>
      </c>
      <c r="F536" s="1083">
        <v>21.78</v>
      </c>
      <c r="G536" s="1083">
        <v>2178</v>
      </c>
      <c r="H536" s="1084">
        <f t="shared" si="6"/>
        <v>1.4793027371615974E-4</v>
      </c>
      <c r="I536" s="1085">
        <f t="shared" si="8"/>
        <v>0.95986725435456854</v>
      </c>
      <c r="J536" s="1085" t="str">
        <f t="shared" si="7"/>
        <v>C</v>
      </c>
      <c r="K536" s="1036"/>
      <c r="L536" s="1036"/>
      <c r="M536" s="1036"/>
      <c r="N536" s="1036"/>
      <c r="O536" s="1036"/>
      <c r="P536" s="1036"/>
      <c r="Q536" s="1036"/>
      <c r="R536" s="1036"/>
      <c r="S536" s="1036"/>
      <c r="T536" s="1036"/>
      <c r="U536" s="1036"/>
      <c r="V536" s="1036"/>
      <c r="W536" s="1036"/>
      <c r="X536" s="1036"/>
      <c r="Y536" s="1036"/>
      <c r="Z536" s="1036"/>
    </row>
    <row r="537" spans="1:26" ht="38.25">
      <c r="A537" s="1079">
        <v>89554</v>
      </c>
      <c r="B537" s="1080" t="s">
        <v>14476</v>
      </c>
      <c r="C537" s="1080" t="s">
        <v>8801</v>
      </c>
      <c r="D537" s="1081" t="s">
        <v>6</v>
      </c>
      <c r="E537" s="1082">
        <v>62</v>
      </c>
      <c r="F537" s="1083">
        <v>34.6</v>
      </c>
      <c r="G537" s="1083">
        <v>2145.1999999999998</v>
      </c>
      <c r="H537" s="1084">
        <f t="shared" si="6"/>
        <v>1.4570248997975476E-4</v>
      </c>
      <c r="I537" s="1085">
        <f t="shared" si="8"/>
        <v>0.96001295684454835</v>
      </c>
      <c r="J537" s="1085" t="str">
        <f t="shared" si="7"/>
        <v>C</v>
      </c>
      <c r="K537" s="1036"/>
      <c r="L537" s="1036"/>
      <c r="M537" s="1036"/>
      <c r="N537" s="1036"/>
      <c r="O537" s="1036"/>
      <c r="P537" s="1036"/>
      <c r="Q537" s="1036"/>
      <c r="R537" s="1036"/>
      <c r="S537" s="1036"/>
      <c r="T537" s="1036"/>
      <c r="U537" s="1036"/>
      <c r="V537" s="1036"/>
      <c r="W537" s="1036"/>
      <c r="X537" s="1036"/>
      <c r="Y537" s="1036"/>
      <c r="Z537" s="1036"/>
    </row>
    <row r="538" spans="1:26" ht="38.25">
      <c r="A538" s="1079" t="s">
        <v>14882</v>
      </c>
      <c r="B538" s="1080" t="s">
        <v>14472</v>
      </c>
      <c r="C538" s="1080" t="s">
        <v>14883</v>
      </c>
      <c r="D538" s="1081" t="s">
        <v>50</v>
      </c>
      <c r="E538" s="1082">
        <v>45.06</v>
      </c>
      <c r="F538" s="1083">
        <v>47.55</v>
      </c>
      <c r="G538" s="1083">
        <v>2142.6</v>
      </c>
      <c r="H538" s="1084">
        <f t="shared" si="6"/>
        <v>1.4552589736650315E-4</v>
      </c>
      <c r="I538" s="1085">
        <f t="shared" si="8"/>
        <v>0.96015848274191484</v>
      </c>
      <c r="J538" s="1085" t="str">
        <f t="shared" si="7"/>
        <v>C</v>
      </c>
      <c r="K538" s="1036"/>
      <c r="L538" s="1036"/>
      <c r="M538" s="1036"/>
      <c r="N538" s="1036"/>
      <c r="O538" s="1036"/>
      <c r="P538" s="1036"/>
      <c r="Q538" s="1036"/>
      <c r="R538" s="1036"/>
      <c r="S538" s="1036"/>
      <c r="T538" s="1036"/>
      <c r="U538" s="1036"/>
      <c r="V538" s="1036"/>
      <c r="W538" s="1036"/>
      <c r="X538" s="1036"/>
      <c r="Y538" s="1036"/>
      <c r="Z538" s="1036"/>
    </row>
    <row r="539" spans="1:26" ht="25.5">
      <c r="A539" s="1079">
        <v>97082</v>
      </c>
      <c r="B539" s="1080" t="s">
        <v>14476</v>
      </c>
      <c r="C539" s="1080" t="s">
        <v>7171</v>
      </c>
      <c r="D539" s="1081" t="s">
        <v>152</v>
      </c>
      <c r="E539" s="1082">
        <v>29.05</v>
      </c>
      <c r="F539" s="1083">
        <v>73.75</v>
      </c>
      <c r="G539" s="1083">
        <v>2142.4299999999998</v>
      </c>
      <c r="H539" s="1084">
        <f t="shared" si="6"/>
        <v>1.4551435092640593E-4</v>
      </c>
      <c r="I539" s="1085">
        <f t="shared" si="8"/>
        <v>0.9603039970928412</v>
      </c>
      <c r="J539" s="1085" t="str">
        <f t="shared" si="7"/>
        <v>C</v>
      </c>
      <c r="K539" s="1036"/>
      <c r="L539" s="1036"/>
      <c r="M539" s="1036"/>
      <c r="N539" s="1036"/>
      <c r="O539" s="1036"/>
      <c r="P539" s="1036"/>
      <c r="Q539" s="1036"/>
      <c r="R539" s="1036"/>
      <c r="S539" s="1036"/>
      <c r="T539" s="1036"/>
      <c r="U539" s="1036"/>
      <c r="V539" s="1036"/>
      <c r="W539" s="1036"/>
      <c r="X539" s="1036"/>
      <c r="Y539" s="1036"/>
      <c r="Z539" s="1036"/>
    </row>
    <row r="540" spans="1:26" ht="38.25">
      <c r="A540" s="1079">
        <v>90447</v>
      </c>
      <c r="B540" s="1080" t="s">
        <v>14476</v>
      </c>
      <c r="C540" s="1080" t="s">
        <v>10377</v>
      </c>
      <c r="D540" s="1081" t="s">
        <v>50</v>
      </c>
      <c r="E540" s="1082">
        <v>222</v>
      </c>
      <c r="F540" s="1083">
        <v>9.6199999999999992</v>
      </c>
      <c r="G540" s="1083">
        <v>2135.64</v>
      </c>
      <c r="H540" s="1084">
        <f t="shared" si="6"/>
        <v>1.4505317252487576E-4</v>
      </c>
      <c r="I540" s="1085">
        <f t="shared" si="8"/>
        <v>0.96044905026536609</v>
      </c>
      <c r="J540" s="1085" t="str">
        <f t="shared" si="7"/>
        <v>C</v>
      </c>
      <c r="K540" s="1036"/>
      <c r="L540" s="1036"/>
      <c r="M540" s="1036"/>
      <c r="N540" s="1036"/>
      <c r="O540" s="1036"/>
      <c r="P540" s="1036"/>
      <c r="Q540" s="1036"/>
      <c r="R540" s="1036"/>
      <c r="S540" s="1036"/>
      <c r="T540" s="1036"/>
      <c r="U540" s="1036"/>
      <c r="V540" s="1036"/>
      <c r="W540" s="1036"/>
      <c r="X540" s="1036"/>
      <c r="Y540" s="1036"/>
      <c r="Z540" s="1036"/>
    </row>
    <row r="541" spans="1:26" ht="51">
      <c r="A541" s="1079">
        <v>92524</v>
      </c>
      <c r="B541" s="1080" t="s">
        <v>14476</v>
      </c>
      <c r="C541" s="1080" t="s">
        <v>7285</v>
      </c>
      <c r="D541" s="1081" t="s">
        <v>409</v>
      </c>
      <c r="E541" s="1082">
        <v>18.45</v>
      </c>
      <c r="F541" s="1083">
        <v>115.63</v>
      </c>
      <c r="G541" s="1083">
        <v>2133.37</v>
      </c>
      <c r="H541" s="1084">
        <f t="shared" si="6"/>
        <v>1.4489899358945992E-4</v>
      </c>
      <c r="I541" s="1085">
        <f t="shared" si="8"/>
        <v>0.96059394925895558</v>
      </c>
      <c r="J541" s="1085" t="str">
        <f t="shared" si="7"/>
        <v>C</v>
      </c>
      <c r="K541" s="1036"/>
      <c r="L541" s="1036"/>
      <c r="M541" s="1036"/>
      <c r="N541" s="1036"/>
      <c r="O541" s="1036"/>
      <c r="P541" s="1036"/>
      <c r="Q541" s="1036"/>
      <c r="R541" s="1036"/>
      <c r="S541" s="1036"/>
      <c r="T541" s="1036"/>
      <c r="U541" s="1036"/>
      <c r="V541" s="1036"/>
      <c r="W541" s="1036"/>
      <c r="X541" s="1036"/>
      <c r="Y541" s="1036"/>
      <c r="Z541" s="1036"/>
    </row>
    <row r="542" spans="1:26" ht="38.25">
      <c r="A542" s="1079">
        <v>98555</v>
      </c>
      <c r="B542" s="1080" t="s">
        <v>14476</v>
      </c>
      <c r="C542" s="1080" t="s">
        <v>7733</v>
      </c>
      <c r="D542" s="1081" t="s">
        <v>409</v>
      </c>
      <c r="E542" s="1082">
        <v>58.17</v>
      </c>
      <c r="F542" s="1083">
        <v>36.58</v>
      </c>
      <c r="G542" s="1083">
        <v>2127.85</v>
      </c>
      <c r="H542" s="1084">
        <f t="shared" si="6"/>
        <v>1.4452407388747956E-4</v>
      </c>
      <c r="I542" s="1085">
        <f t="shared" si="8"/>
        <v>0.96073847333284301</v>
      </c>
      <c r="J542" s="1085" t="str">
        <f t="shared" si="7"/>
        <v>C</v>
      </c>
      <c r="K542" s="1036"/>
      <c r="L542" s="1036"/>
      <c r="M542" s="1036"/>
      <c r="N542" s="1036"/>
      <c r="O542" s="1036"/>
      <c r="P542" s="1036"/>
      <c r="Q542" s="1036"/>
      <c r="R542" s="1036"/>
      <c r="S542" s="1036"/>
      <c r="T542" s="1036"/>
      <c r="U542" s="1036"/>
      <c r="V542" s="1036"/>
      <c r="W542" s="1036"/>
      <c r="X542" s="1036"/>
      <c r="Y542" s="1036"/>
      <c r="Z542" s="1036"/>
    </row>
    <row r="543" spans="1:26" ht="25.5">
      <c r="A543" s="1079" t="s">
        <v>14590</v>
      </c>
      <c r="B543" s="1080" t="s">
        <v>14472</v>
      </c>
      <c r="C543" s="1080" t="s">
        <v>14591</v>
      </c>
      <c r="D543" s="1081" t="s">
        <v>152</v>
      </c>
      <c r="E543" s="1082">
        <v>1.96</v>
      </c>
      <c r="F543" s="1083">
        <v>1085.23</v>
      </c>
      <c r="G543" s="1083">
        <v>2127.0500000000002</v>
      </c>
      <c r="H543" s="1084">
        <f t="shared" si="6"/>
        <v>1.4446973769878678E-4</v>
      </c>
      <c r="I543" s="1085">
        <f t="shared" si="8"/>
        <v>0.96088294307054178</v>
      </c>
      <c r="J543" s="1085" t="str">
        <f t="shared" si="7"/>
        <v>C</v>
      </c>
      <c r="K543" s="1036"/>
      <c r="L543" s="1036"/>
      <c r="M543" s="1036"/>
      <c r="N543" s="1036"/>
      <c r="O543" s="1036"/>
      <c r="P543" s="1036"/>
      <c r="Q543" s="1036"/>
      <c r="R543" s="1036"/>
      <c r="S543" s="1036"/>
      <c r="T543" s="1036"/>
      <c r="U543" s="1036"/>
      <c r="V543" s="1036"/>
      <c r="W543" s="1036"/>
      <c r="X543" s="1036"/>
      <c r="Y543" s="1036"/>
      <c r="Z543" s="1036"/>
    </row>
    <row r="544" spans="1:26" ht="38.25">
      <c r="A544" s="1079">
        <v>94653</v>
      </c>
      <c r="B544" s="1080" t="s">
        <v>14476</v>
      </c>
      <c r="C544" s="1080" t="s">
        <v>8526</v>
      </c>
      <c r="D544" s="1081" t="s">
        <v>50</v>
      </c>
      <c r="E544" s="1082">
        <v>35</v>
      </c>
      <c r="F544" s="1083">
        <v>60.48</v>
      </c>
      <c r="G544" s="1083">
        <v>2116.8000000000002</v>
      </c>
      <c r="H544" s="1084">
        <f t="shared" si="6"/>
        <v>1.4377355528116023E-4</v>
      </c>
      <c r="I544" s="1085">
        <f t="shared" si="8"/>
        <v>0.96102671662582295</v>
      </c>
      <c r="J544" s="1085" t="str">
        <f t="shared" si="7"/>
        <v>C</v>
      </c>
      <c r="K544" s="1036"/>
      <c r="L544" s="1036"/>
      <c r="M544" s="1036"/>
      <c r="N544" s="1036"/>
      <c r="O544" s="1036"/>
      <c r="P544" s="1036"/>
      <c r="Q544" s="1036"/>
      <c r="R544" s="1036"/>
      <c r="S544" s="1036"/>
      <c r="T544" s="1036"/>
      <c r="U544" s="1036"/>
      <c r="V544" s="1036"/>
      <c r="W544" s="1036"/>
      <c r="X544" s="1036"/>
      <c r="Y544" s="1036"/>
      <c r="Z544" s="1036"/>
    </row>
    <row r="545" spans="1:26" ht="51">
      <c r="A545" s="1079">
        <v>89690</v>
      </c>
      <c r="B545" s="1080" t="s">
        <v>14476</v>
      </c>
      <c r="C545" s="1080" t="s">
        <v>8915</v>
      </c>
      <c r="D545" s="1081" t="s">
        <v>6</v>
      </c>
      <c r="E545" s="1082">
        <v>20</v>
      </c>
      <c r="F545" s="1083">
        <v>105.22</v>
      </c>
      <c r="G545" s="1083">
        <v>2104.4</v>
      </c>
      <c r="H545" s="1084">
        <f t="shared" si="6"/>
        <v>1.4293134435642175E-4</v>
      </c>
      <c r="I545" s="1085">
        <f t="shared" si="8"/>
        <v>0.96116964797017934</v>
      </c>
      <c r="J545" s="1085" t="str">
        <f t="shared" si="7"/>
        <v>C</v>
      </c>
      <c r="K545" s="1036"/>
      <c r="L545" s="1036"/>
      <c r="M545" s="1036"/>
      <c r="N545" s="1036"/>
      <c r="O545" s="1036"/>
      <c r="P545" s="1036"/>
      <c r="Q545" s="1036"/>
      <c r="R545" s="1036"/>
      <c r="S545" s="1036"/>
      <c r="T545" s="1036"/>
      <c r="U545" s="1036"/>
      <c r="V545" s="1036"/>
      <c r="W545" s="1036"/>
      <c r="X545" s="1036"/>
      <c r="Y545" s="1036"/>
      <c r="Z545" s="1036"/>
    </row>
    <row r="546" spans="1:26" ht="14.25">
      <c r="A546" s="1079" t="s">
        <v>15410</v>
      </c>
      <c r="B546" s="1080" t="s">
        <v>14472</v>
      </c>
      <c r="C546" s="1080" t="s">
        <v>15951</v>
      </c>
      <c r="D546" s="1081" t="s">
        <v>6</v>
      </c>
      <c r="E546" s="1082">
        <v>2</v>
      </c>
      <c r="F546" s="1083">
        <v>1041.83</v>
      </c>
      <c r="G546" s="1083">
        <v>2083.66</v>
      </c>
      <c r="H546" s="1084">
        <f t="shared" si="6"/>
        <v>1.4152267866456079E-4</v>
      </c>
      <c r="I546" s="1085">
        <f t="shared" si="8"/>
        <v>0.96131117064884386</v>
      </c>
      <c r="J546" s="1085" t="str">
        <f t="shared" si="7"/>
        <v>C</v>
      </c>
      <c r="K546" s="1036"/>
      <c r="L546" s="1036"/>
      <c r="M546" s="1036"/>
      <c r="N546" s="1036"/>
      <c r="O546" s="1036"/>
      <c r="P546" s="1036"/>
      <c r="Q546" s="1036"/>
      <c r="R546" s="1036"/>
      <c r="S546" s="1036"/>
      <c r="T546" s="1036"/>
      <c r="U546" s="1036"/>
      <c r="V546" s="1036"/>
      <c r="W546" s="1036"/>
      <c r="X546" s="1036"/>
      <c r="Y546" s="1036"/>
      <c r="Z546" s="1036"/>
    </row>
    <row r="547" spans="1:26" ht="25.5">
      <c r="A547" s="1079" t="s">
        <v>15211</v>
      </c>
      <c r="B547" s="1080" t="s">
        <v>14472</v>
      </c>
      <c r="C547" s="1080" t="s">
        <v>15982</v>
      </c>
      <c r="D547" s="1081" t="s">
        <v>6</v>
      </c>
      <c r="E547" s="1082">
        <v>20</v>
      </c>
      <c r="F547" s="1083">
        <v>103.32</v>
      </c>
      <c r="G547" s="1083">
        <v>2066.4</v>
      </c>
      <c r="H547" s="1084">
        <f t="shared" si="6"/>
        <v>1.4035037539351355E-4</v>
      </c>
      <c r="I547" s="1085">
        <f t="shared" si="8"/>
        <v>0.96145152102423737</v>
      </c>
      <c r="J547" s="1085" t="str">
        <f t="shared" si="7"/>
        <v>C</v>
      </c>
      <c r="K547" s="1036"/>
      <c r="L547" s="1036"/>
      <c r="M547" s="1036"/>
      <c r="N547" s="1036"/>
      <c r="O547" s="1036"/>
      <c r="P547" s="1036"/>
      <c r="Q547" s="1036"/>
      <c r="R547" s="1036"/>
      <c r="S547" s="1036"/>
      <c r="T547" s="1036"/>
      <c r="U547" s="1036"/>
      <c r="V547" s="1036"/>
      <c r="W547" s="1036"/>
      <c r="X547" s="1036"/>
      <c r="Y547" s="1036"/>
      <c r="Z547" s="1036"/>
    </row>
    <row r="548" spans="1:26" ht="38.25">
      <c r="A548" s="1079">
        <v>92762</v>
      </c>
      <c r="B548" s="1080" t="s">
        <v>14476</v>
      </c>
      <c r="C548" s="1080" t="s">
        <v>7431</v>
      </c>
      <c r="D548" s="1081" t="s">
        <v>54</v>
      </c>
      <c r="E548" s="1082">
        <v>133.30000000000001</v>
      </c>
      <c r="F548" s="1083">
        <v>15.5</v>
      </c>
      <c r="G548" s="1083">
        <v>2066.15</v>
      </c>
      <c r="H548" s="1084">
        <f t="shared" si="6"/>
        <v>1.4033339533454705E-4</v>
      </c>
      <c r="I548" s="1085">
        <f t="shared" si="8"/>
        <v>0.96159185441957196</v>
      </c>
      <c r="J548" s="1085" t="str">
        <f t="shared" si="7"/>
        <v>C</v>
      </c>
      <c r="K548" s="1036"/>
      <c r="L548" s="1036"/>
      <c r="M548" s="1036"/>
      <c r="N548" s="1036"/>
      <c r="O548" s="1036"/>
      <c r="P548" s="1036"/>
      <c r="Q548" s="1036"/>
      <c r="R548" s="1036"/>
      <c r="S548" s="1036"/>
      <c r="T548" s="1036"/>
      <c r="U548" s="1036"/>
      <c r="V548" s="1036"/>
      <c r="W548" s="1036"/>
      <c r="X548" s="1036"/>
      <c r="Y548" s="1036"/>
      <c r="Z548" s="1036"/>
    </row>
    <row r="549" spans="1:26" ht="25.5">
      <c r="A549" s="1079" t="s">
        <v>14786</v>
      </c>
      <c r="B549" s="1080" t="s">
        <v>14472</v>
      </c>
      <c r="C549" s="1080" t="s">
        <v>14787</v>
      </c>
      <c r="D549" s="1081" t="s">
        <v>50</v>
      </c>
      <c r="E549" s="1082">
        <v>33.22</v>
      </c>
      <c r="F549" s="1083">
        <v>62.1</v>
      </c>
      <c r="G549" s="1083">
        <v>2062.96</v>
      </c>
      <c r="H549" s="1084">
        <f t="shared" si="6"/>
        <v>1.4011672978213449E-4</v>
      </c>
      <c r="I549" s="1085">
        <f t="shared" si="8"/>
        <v>0.96173197114935405</v>
      </c>
      <c r="J549" s="1085" t="str">
        <f t="shared" si="7"/>
        <v>C</v>
      </c>
      <c r="K549" s="1036"/>
      <c r="L549" s="1036"/>
      <c r="M549" s="1036"/>
      <c r="N549" s="1036"/>
      <c r="O549" s="1036"/>
      <c r="P549" s="1036"/>
      <c r="Q549" s="1036"/>
      <c r="R549" s="1036"/>
      <c r="S549" s="1036"/>
      <c r="T549" s="1036"/>
      <c r="U549" s="1036"/>
      <c r="V549" s="1036"/>
      <c r="W549" s="1036"/>
      <c r="X549" s="1036"/>
      <c r="Y549" s="1036"/>
      <c r="Z549" s="1036"/>
    </row>
    <row r="550" spans="1:26" ht="25.5">
      <c r="A550" s="1079">
        <v>95577</v>
      </c>
      <c r="B550" s="1080" t="s">
        <v>14476</v>
      </c>
      <c r="C550" s="1080" t="s">
        <v>7477</v>
      </c>
      <c r="D550" s="1081" t="s">
        <v>54</v>
      </c>
      <c r="E550" s="1082">
        <v>136</v>
      </c>
      <c r="F550" s="1083">
        <v>15.06</v>
      </c>
      <c r="G550" s="1083">
        <v>2048.16</v>
      </c>
      <c r="H550" s="1084">
        <f t="shared" si="6"/>
        <v>1.3911151029131759E-4</v>
      </c>
      <c r="I550" s="1085">
        <f t="shared" si="8"/>
        <v>0.96187108265964538</v>
      </c>
      <c r="J550" s="1085" t="str">
        <f t="shared" si="7"/>
        <v>C</v>
      </c>
      <c r="K550" s="1036"/>
      <c r="L550" s="1036"/>
      <c r="M550" s="1036"/>
      <c r="N550" s="1036"/>
      <c r="O550" s="1036"/>
      <c r="P550" s="1036"/>
      <c r="Q550" s="1036"/>
      <c r="R550" s="1036"/>
      <c r="S550" s="1036"/>
      <c r="T550" s="1036"/>
      <c r="U550" s="1036"/>
      <c r="V550" s="1036"/>
      <c r="W550" s="1036"/>
      <c r="X550" s="1036"/>
      <c r="Y550" s="1036"/>
      <c r="Z550" s="1036"/>
    </row>
    <row r="551" spans="1:26" ht="38.25">
      <c r="A551" s="1079">
        <v>104918</v>
      </c>
      <c r="B551" s="1080" t="s">
        <v>14476</v>
      </c>
      <c r="C551" s="1080" t="s">
        <v>7515</v>
      </c>
      <c r="D551" s="1081" t="s">
        <v>54</v>
      </c>
      <c r="E551" s="1082">
        <v>104.82</v>
      </c>
      <c r="F551" s="1083">
        <v>19.420000000000002</v>
      </c>
      <c r="G551" s="1083">
        <v>2035.6</v>
      </c>
      <c r="H551" s="1084">
        <f t="shared" si="6"/>
        <v>1.3825843212884057E-4</v>
      </c>
      <c r="I551" s="1085">
        <f t="shared" si="8"/>
        <v>0.96200934109177427</v>
      </c>
      <c r="J551" s="1085" t="str">
        <f t="shared" si="7"/>
        <v>C</v>
      </c>
      <c r="K551" s="1036"/>
      <c r="L551" s="1036"/>
      <c r="M551" s="1036"/>
      <c r="N551" s="1036"/>
      <c r="O551" s="1036"/>
      <c r="P551" s="1036"/>
      <c r="Q551" s="1036"/>
      <c r="R551" s="1036"/>
      <c r="S551" s="1036"/>
      <c r="T551" s="1036"/>
      <c r="U551" s="1036"/>
      <c r="V551" s="1036"/>
      <c r="W551" s="1036"/>
      <c r="X551" s="1036"/>
      <c r="Y551" s="1036"/>
      <c r="Z551" s="1036"/>
    </row>
    <row r="552" spans="1:26" ht="38.25">
      <c r="A552" s="1079">
        <v>92763</v>
      </c>
      <c r="B552" s="1080" t="s">
        <v>14476</v>
      </c>
      <c r="C552" s="1080" t="s">
        <v>7432</v>
      </c>
      <c r="D552" s="1081" t="s">
        <v>54</v>
      </c>
      <c r="E552" s="1082">
        <v>154.4</v>
      </c>
      <c r="F552" s="1083">
        <v>13.11</v>
      </c>
      <c r="G552" s="1083">
        <v>2024.18</v>
      </c>
      <c r="H552" s="1084">
        <f t="shared" si="6"/>
        <v>1.3748278303525079E-4</v>
      </c>
      <c r="I552" s="1085">
        <f t="shared" si="8"/>
        <v>0.96214682387480954</v>
      </c>
      <c r="J552" s="1085" t="str">
        <f t="shared" si="7"/>
        <v>C</v>
      </c>
      <c r="K552" s="1036"/>
      <c r="L552" s="1036"/>
      <c r="M552" s="1036"/>
      <c r="N552" s="1036"/>
      <c r="O552" s="1036"/>
      <c r="P552" s="1036"/>
      <c r="Q552" s="1036"/>
      <c r="R552" s="1036"/>
      <c r="S552" s="1036"/>
      <c r="T552" s="1036"/>
      <c r="U552" s="1036"/>
      <c r="V552" s="1036"/>
      <c r="W552" s="1036"/>
      <c r="X552" s="1036"/>
      <c r="Y552" s="1036"/>
      <c r="Z552" s="1036"/>
    </row>
    <row r="553" spans="1:26" ht="114.75">
      <c r="A553" s="1079" t="s">
        <v>15326</v>
      </c>
      <c r="B553" s="1080" t="s">
        <v>14472</v>
      </c>
      <c r="C553" s="1080" t="s">
        <v>15327</v>
      </c>
      <c r="D553" s="1081" t="s">
        <v>15328</v>
      </c>
      <c r="E553" s="1082">
        <v>2.6</v>
      </c>
      <c r="F553" s="1083">
        <v>777.68</v>
      </c>
      <c r="G553" s="1083">
        <v>2021.96</v>
      </c>
      <c r="H553" s="1084">
        <f t="shared" si="6"/>
        <v>1.3733200011162826E-4</v>
      </c>
      <c r="I553" s="1085">
        <f t="shared" si="8"/>
        <v>0.96228415587492122</v>
      </c>
      <c r="J553" s="1085" t="str">
        <f t="shared" si="7"/>
        <v>C</v>
      </c>
      <c r="K553" s="1036"/>
      <c r="L553" s="1036"/>
      <c r="M553" s="1036"/>
      <c r="N553" s="1036"/>
      <c r="O553" s="1036"/>
      <c r="P553" s="1036"/>
      <c r="Q553" s="1036"/>
      <c r="R553" s="1036"/>
      <c r="S553" s="1036"/>
      <c r="T553" s="1036"/>
      <c r="U553" s="1036"/>
      <c r="V553" s="1036"/>
      <c r="W553" s="1036"/>
      <c r="X553" s="1036"/>
      <c r="Y553" s="1036"/>
      <c r="Z553" s="1036"/>
    </row>
    <row r="554" spans="1:26" ht="114.75">
      <c r="A554" s="1079" t="s">
        <v>15326</v>
      </c>
      <c r="B554" s="1080" t="s">
        <v>14472</v>
      </c>
      <c r="C554" s="1080" t="s">
        <v>15327</v>
      </c>
      <c r="D554" s="1081" t="s">
        <v>15328</v>
      </c>
      <c r="E554" s="1082">
        <v>2.6</v>
      </c>
      <c r="F554" s="1083">
        <v>777.68</v>
      </c>
      <c r="G554" s="1083">
        <v>2021.96</v>
      </c>
      <c r="H554" s="1084">
        <f t="shared" si="6"/>
        <v>1.3733200011162826E-4</v>
      </c>
      <c r="I554" s="1085">
        <f t="shared" si="8"/>
        <v>0.9624214878750329</v>
      </c>
      <c r="J554" s="1085" t="str">
        <f t="shared" si="7"/>
        <v>C</v>
      </c>
      <c r="K554" s="1036"/>
      <c r="L554" s="1036"/>
      <c r="M554" s="1036"/>
      <c r="N554" s="1036"/>
      <c r="O554" s="1036"/>
      <c r="P554" s="1036"/>
      <c r="Q554" s="1036"/>
      <c r="R554" s="1036"/>
      <c r="S554" s="1036"/>
      <c r="T554" s="1036"/>
      <c r="U554" s="1036"/>
      <c r="V554" s="1036"/>
      <c r="W554" s="1036"/>
      <c r="X554" s="1036"/>
      <c r="Y554" s="1036"/>
      <c r="Z554" s="1036"/>
    </row>
    <row r="555" spans="1:26" ht="25.5">
      <c r="A555" s="1079">
        <v>93358</v>
      </c>
      <c r="B555" s="1080" t="s">
        <v>14476</v>
      </c>
      <c r="C555" s="1080" t="s">
        <v>10648</v>
      </c>
      <c r="D555" s="1081" t="s">
        <v>152</v>
      </c>
      <c r="E555" s="1082">
        <v>20</v>
      </c>
      <c r="F555" s="1083">
        <v>100.47</v>
      </c>
      <c r="G555" s="1083">
        <v>2009.4</v>
      </c>
      <c r="H555" s="1084">
        <f t="shared" si="6"/>
        <v>1.3647892194915124E-4</v>
      </c>
      <c r="I555" s="1085">
        <f t="shared" si="8"/>
        <v>0.96255796679698202</v>
      </c>
      <c r="J555" s="1085" t="str">
        <f t="shared" si="7"/>
        <v>C</v>
      </c>
      <c r="K555" s="1036"/>
      <c r="L555" s="1036"/>
      <c r="M555" s="1036"/>
      <c r="N555" s="1036"/>
      <c r="O555" s="1036"/>
      <c r="P555" s="1036"/>
      <c r="Q555" s="1036"/>
      <c r="R555" s="1036"/>
      <c r="S555" s="1036"/>
      <c r="T555" s="1036"/>
      <c r="U555" s="1036"/>
      <c r="V555" s="1036"/>
      <c r="W555" s="1036"/>
      <c r="X555" s="1036"/>
      <c r="Y555" s="1036"/>
      <c r="Z555" s="1036"/>
    </row>
    <row r="556" spans="1:26" ht="51">
      <c r="A556" s="1079">
        <v>92413</v>
      </c>
      <c r="B556" s="1080" t="s">
        <v>14476</v>
      </c>
      <c r="C556" s="1080" t="s">
        <v>7212</v>
      </c>
      <c r="D556" s="1081" t="s">
        <v>409</v>
      </c>
      <c r="E556" s="1082">
        <v>15.03</v>
      </c>
      <c r="F556" s="1083">
        <v>133.55000000000001</v>
      </c>
      <c r="G556" s="1083">
        <v>2007.25</v>
      </c>
      <c r="H556" s="1084">
        <f t="shared" si="6"/>
        <v>1.3633289344203931E-4</v>
      </c>
      <c r="I556" s="1085">
        <f t="shared" si="8"/>
        <v>0.96269429969042408</v>
      </c>
      <c r="J556" s="1085" t="str">
        <f t="shared" si="7"/>
        <v>C</v>
      </c>
      <c r="K556" s="1036"/>
      <c r="L556" s="1036"/>
      <c r="M556" s="1036"/>
      <c r="N556" s="1036"/>
      <c r="O556" s="1036"/>
      <c r="P556" s="1036"/>
      <c r="Q556" s="1036"/>
      <c r="R556" s="1036"/>
      <c r="S556" s="1036"/>
      <c r="T556" s="1036"/>
      <c r="U556" s="1036"/>
      <c r="V556" s="1036"/>
      <c r="W556" s="1036"/>
      <c r="X556" s="1036"/>
      <c r="Y556" s="1036"/>
      <c r="Z556" s="1036"/>
    </row>
    <row r="557" spans="1:26" ht="14.25">
      <c r="A557" s="1079" t="s">
        <v>14607</v>
      </c>
      <c r="B557" s="1080" t="s">
        <v>14472</v>
      </c>
      <c r="C557" s="1080" t="s">
        <v>14608</v>
      </c>
      <c r="D557" s="1081" t="s">
        <v>409</v>
      </c>
      <c r="E557" s="1082">
        <v>48.9</v>
      </c>
      <c r="F557" s="1083">
        <v>40.85</v>
      </c>
      <c r="G557" s="1083">
        <v>1997.56</v>
      </c>
      <c r="H557" s="1084">
        <f t="shared" si="6"/>
        <v>1.3567474635649773E-4</v>
      </c>
      <c r="I557" s="1085">
        <f t="shared" si="8"/>
        <v>0.96282997443678053</v>
      </c>
      <c r="J557" s="1085" t="str">
        <f t="shared" si="7"/>
        <v>C</v>
      </c>
      <c r="K557" s="1036"/>
      <c r="L557" s="1036"/>
      <c r="M557" s="1036"/>
      <c r="N557" s="1036"/>
      <c r="O557" s="1036"/>
      <c r="P557" s="1036"/>
      <c r="Q557" s="1036"/>
      <c r="R557" s="1036"/>
      <c r="S557" s="1036"/>
      <c r="T557" s="1036"/>
      <c r="U557" s="1036"/>
      <c r="V557" s="1036"/>
      <c r="W557" s="1036"/>
      <c r="X557" s="1036"/>
      <c r="Y557" s="1036"/>
      <c r="Z557" s="1036"/>
    </row>
    <row r="558" spans="1:26" ht="51">
      <c r="A558" s="1079">
        <v>89591</v>
      </c>
      <c r="B558" s="1080" t="s">
        <v>14476</v>
      </c>
      <c r="C558" s="1080" t="s">
        <v>8832</v>
      </c>
      <c r="D558" s="1081" t="s">
        <v>6</v>
      </c>
      <c r="E558" s="1082">
        <v>13</v>
      </c>
      <c r="F558" s="1083">
        <v>153.22</v>
      </c>
      <c r="G558" s="1083">
        <v>1991.86</v>
      </c>
      <c r="H558" s="1084">
        <f t="shared" si="6"/>
        <v>1.3528760101206148E-4</v>
      </c>
      <c r="I558" s="1085">
        <f t="shared" si="8"/>
        <v>0.96296526203779265</v>
      </c>
      <c r="J558" s="1085" t="str">
        <f t="shared" si="7"/>
        <v>C</v>
      </c>
      <c r="K558" s="1036"/>
      <c r="L558" s="1036"/>
      <c r="M558" s="1036"/>
      <c r="N558" s="1036"/>
      <c r="O558" s="1036"/>
      <c r="P558" s="1036"/>
      <c r="Q558" s="1036"/>
      <c r="R558" s="1036"/>
      <c r="S558" s="1036"/>
      <c r="T558" s="1036"/>
      <c r="U558" s="1036"/>
      <c r="V558" s="1036"/>
      <c r="W558" s="1036"/>
      <c r="X558" s="1036"/>
      <c r="Y558" s="1036"/>
      <c r="Z558" s="1036"/>
    </row>
    <row r="559" spans="1:26" ht="38.25">
      <c r="A559" s="1079">
        <v>92761</v>
      </c>
      <c r="B559" s="1080" t="s">
        <v>14476</v>
      </c>
      <c r="C559" s="1080" t="s">
        <v>7430</v>
      </c>
      <c r="D559" s="1081" t="s">
        <v>54</v>
      </c>
      <c r="E559" s="1082">
        <v>114.7</v>
      </c>
      <c r="F559" s="1083">
        <v>17.22</v>
      </c>
      <c r="G559" s="1083">
        <v>1975.13</v>
      </c>
      <c r="H559" s="1084">
        <f t="shared" si="6"/>
        <v>1.3415129546602323E-4</v>
      </c>
      <c r="I559" s="1085">
        <f t="shared" si="8"/>
        <v>0.96309941333325866</v>
      </c>
      <c r="J559" s="1085" t="str">
        <f t="shared" si="7"/>
        <v>C</v>
      </c>
      <c r="K559" s="1036"/>
      <c r="L559" s="1036"/>
      <c r="M559" s="1036"/>
      <c r="N559" s="1036"/>
      <c r="O559" s="1036"/>
      <c r="P559" s="1036"/>
      <c r="Q559" s="1036"/>
      <c r="R559" s="1036"/>
      <c r="S559" s="1036"/>
      <c r="T559" s="1036"/>
      <c r="U559" s="1036"/>
      <c r="V559" s="1036"/>
      <c r="W559" s="1036"/>
      <c r="X559" s="1036"/>
      <c r="Y559" s="1036"/>
      <c r="Z559" s="1036"/>
    </row>
    <row r="560" spans="1:26" ht="38.25">
      <c r="A560" s="1079" t="s">
        <v>14622</v>
      </c>
      <c r="B560" s="1080" t="s">
        <v>14472</v>
      </c>
      <c r="C560" s="1080" t="s">
        <v>15964</v>
      </c>
      <c r="D560" s="1081" t="s">
        <v>152</v>
      </c>
      <c r="E560" s="1082">
        <v>1.76</v>
      </c>
      <c r="F560" s="1083">
        <v>1117.8</v>
      </c>
      <c r="G560" s="1083">
        <v>1967.32</v>
      </c>
      <c r="H560" s="1084">
        <f t="shared" si="6"/>
        <v>1.3362083842390971E-4</v>
      </c>
      <c r="I560" s="1085">
        <f t="shared" si="8"/>
        <v>0.9632330341716826</v>
      </c>
      <c r="J560" s="1085" t="str">
        <f t="shared" si="7"/>
        <v>C</v>
      </c>
      <c r="K560" s="1036"/>
      <c r="L560" s="1036"/>
      <c r="M560" s="1036"/>
      <c r="N560" s="1036"/>
      <c r="O560" s="1036"/>
      <c r="P560" s="1036"/>
      <c r="Q560" s="1036"/>
      <c r="R560" s="1036"/>
      <c r="S560" s="1036"/>
      <c r="T560" s="1036"/>
      <c r="U560" s="1036"/>
      <c r="V560" s="1036"/>
      <c r="W560" s="1036"/>
      <c r="X560" s="1036"/>
      <c r="Y560" s="1036"/>
      <c r="Z560" s="1036"/>
    </row>
    <row r="561" spans="1:26" ht="38.25">
      <c r="A561" s="1079">
        <v>98555</v>
      </c>
      <c r="B561" s="1080" t="s">
        <v>14476</v>
      </c>
      <c r="C561" s="1080" t="s">
        <v>7733</v>
      </c>
      <c r="D561" s="1081" t="s">
        <v>409</v>
      </c>
      <c r="E561" s="1082">
        <v>53.68</v>
      </c>
      <c r="F561" s="1083">
        <v>36.58</v>
      </c>
      <c r="G561" s="1083">
        <v>1963.61</v>
      </c>
      <c r="H561" s="1084">
        <f t="shared" si="6"/>
        <v>1.3336885434884685E-4</v>
      </c>
      <c r="I561" s="1085">
        <f t="shared" si="8"/>
        <v>0.96336640302603149</v>
      </c>
      <c r="J561" s="1085" t="str">
        <f t="shared" si="7"/>
        <v>C</v>
      </c>
      <c r="K561" s="1036"/>
      <c r="L561" s="1036"/>
      <c r="M561" s="1036"/>
      <c r="N561" s="1036"/>
      <c r="O561" s="1036"/>
      <c r="P561" s="1036"/>
      <c r="Q561" s="1036"/>
      <c r="R561" s="1036"/>
      <c r="S561" s="1036"/>
      <c r="T561" s="1036"/>
      <c r="U561" s="1036"/>
      <c r="V561" s="1036"/>
      <c r="W561" s="1036"/>
      <c r="X561" s="1036"/>
      <c r="Y561" s="1036"/>
      <c r="Z561" s="1036"/>
    </row>
    <row r="562" spans="1:26" ht="51">
      <c r="A562" s="1079">
        <v>89778</v>
      </c>
      <c r="B562" s="1080" t="s">
        <v>14476</v>
      </c>
      <c r="C562" s="1080" t="s">
        <v>8984</v>
      </c>
      <c r="D562" s="1081" t="s">
        <v>6</v>
      </c>
      <c r="E562" s="1082">
        <v>90</v>
      </c>
      <c r="F562" s="1083">
        <v>21.78</v>
      </c>
      <c r="G562" s="1083">
        <v>1960.2</v>
      </c>
      <c r="H562" s="1084">
        <f t="shared" si="6"/>
        <v>1.3313724634454377E-4</v>
      </c>
      <c r="I562" s="1085">
        <f t="shared" si="8"/>
        <v>0.96349954027237605</v>
      </c>
      <c r="J562" s="1085" t="str">
        <f t="shared" si="7"/>
        <v>C</v>
      </c>
      <c r="K562" s="1036"/>
      <c r="L562" s="1036"/>
      <c r="M562" s="1036"/>
      <c r="N562" s="1036"/>
      <c r="O562" s="1036"/>
      <c r="P562" s="1036"/>
      <c r="Q562" s="1036"/>
      <c r="R562" s="1036"/>
      <c r="S562" s="1036"/>
      <c r="T562" s="1036"/>
      <c r="U562" s="1036"/>
      <c r="V562" s="1036"/>
      <c r="W562" s="1036"/>
      <c r="X562" s="1036"/>
      <c r="Y562" s="1036"/>
      <c r="Z562" s="1036"/>
    </row>
    <row r="563" spans="1:26" ht="38.25">
      <c r="A563" s="1079" t="s">
        <v>15028</v>
      </c>
      <c r="B563" s="1080" t="s">
        <v>14472</v>
      </c>
      <c r="C563" s="1080" t="s">
        <v>15029</v>
      </c>
      <c r="D563" s="1081" t="s">
        <v>50</v>
      </c>
      <c r="E563" s="1082">
        <v>10.199999999999999</v>
      </c>
      <c r="F563" s="1083">
        <v>191.35</v>
      </c>
      <c r="G563" s="1083">
        <v>1951.77</v>
      </c>
      <c r="H563" s="1084">
        <f t="shared" si="6"/>
        <v>1.3256467875619334E-4</v>
      </c>
      <c r="I563" s="1085">
        <f t="shared" si="8"/>
        <v>0.96363210495113227</v>
      </c>
      <c r="J563" s="1085" t="str">
        <f t="shared" si="7"/>
        <v>C</v>
      </c>
      <c r="K563" s="1036"/>
      <c r="L563" s="1036"/>
      <c r="M563" s="1036"/>
      <c r="N563" s="1036"/>
      <c r="O563" s="1036"/>
      <c r="P563" s="1036"/>
      <c r="Q563" s="1036"/>
      <c r="R563" s="1036"/>
      <c r="S563" s="1036"/>
      <c r="T563" s="1036"/>
      <c r="U563" s="1036"/>
      <c r="V563" s="1036"/>
      <c r="W563" s="1036"/>
      <c r="X563" s="1036"/>
      <c r="Y563" s="1036"/>
      <c r="Z563" s="1036"/>
    </row>
    <row r="564" spans="1:26" ht="25.5">
      <c r="A564" s="1079">
        <v>91936</v>
      </c>
      <c r="B564" s="1080" t="s">
        <v>14476</v>
      </c>
      <c r="C564" s="1080" t="s">
        <v>7883</v>
      </c>
      <c r="D564" s="1081" t="s">
        <v>6</v>
      </c>
      <c r="E564" s="1082">
        <v>87</v>
      </c>
      <c r="F564" s="1083">
        <v>22.38</v>
      </c>
      <c r="G564" s="1083">
        <v>1947.06</v>
      </c>
      <c r="H564" s="1084">
        <f t="shared" si="6"/>
        <v>1.3224477444526446E-4</v>
      </c>
      <c r="I564" s="1085">
        <f t="shared" si="8"/>
        <v>0.96376434972557756</v>
      </c>
      <c r="J564" s="1085" t="str">
        <f t="shared" si="7"/>
        <v>C</v>
      </c>
      <c r="K564" s="1036"/>
      <c r="L564" s="1036"/>
      <c r="M564" s="1036"/>
      <c r="N564" s="1036"/>
      <c r="O564" s="1036"/>
      <c r="P564" s="1036"/>
      <c r="Q564" s="1036"/>
      <c r="R564" s="1036"/>
      <c r="S564" s="1036"/>
      <c r="T564" s="1036"/>
      <c r="U564" s="1036"/>
      <c r="V564" s="1036"/>
      <c r="W564" s="1036"/>
      <c r="X564" s="1036"/>
      <c r="Y564" s="1036"/>
      <c r="Z564" s="1036"/>
    </row>
    <row r="565" spans="1:26" ht="51">
      <c r="A565" s="1079">
        <v>89714</v>
      </c>
      <c r="B565" s="1080" t="s">
        <v>14476</v>
      </c>
      <c r="C565" s="1080" t="s">
        <v>8445</v>
      </c>
      <c r="D565" s="1081" t="s">
        <v>50</v>
      </c>
      <c r="E565" s="1082">
        <v>44</v>
      </c>
      <c r="F565" s="1083">
        <v>44.15</v>
      </c>
      <c r="G565" s="1083">
        <v>1942.6</v>
      </c>
      <c r="H565" s="1084">
        <f t="shared" si="6"/>
        <v>1.3194185019330207E-4</v>
      </c>
      <c r="I565" s="1085">
        <f t="shared" si="8"/>
        <v>0.96389629157577084</v>
      </c>
      <c r="J565" s="1085" t="str">
        <f t="shared" si="7"/>
        <v>C</v>
      </c>
      <c r="K565" s="1036"/>
      <c r="L565" s="1036"/>
      <c r="M565" s="1036"/>
      <c r="N565" s="1036"/>
      <c r="O565" s="1036"/>
      <c r="P565" s="1036"/>
      <c r="Q565" s="1036"/>
      <c r="R565" s="1036"/>
      <c r="S565" s="1036"/>
      <c r="T565" s="1036"/>
      <c r="U565" s="1036"/>
      <c r="V565" s="1036"/>
      <c r="W565" s="1036"/>
      <c r="X565" s="1036"/>
      <c r="Y565" s="1036"/>
      <c r="Z565" s="1036"/>
    </row>
    <row r="566" spans="1:26" ht="51">
      <c r="A566" s="1079">
        <v>87737</v>
      </c>
      <c r="B566" s="1080" t="s">
        <v>14476</v>
      </c>
      <c r="C566" s="1080" t="s">
        <v>11229</v>
      </c>
      <c r="D566" s="1081" t="s">
        <v>409</v>
      </c>
      <c r="E566" s="1082">
        <v>32.880000000000003</v>
      </c>
      <c r="F566" s="1083">
        <v>58.57</v>
      </c>
      <c r="G566" s="1083">
        <v>1925.78</v>
      </c>
      <c r="H566" s="1084">
        <f t="shared" si="6"/>
        <v>1.3079943182603586E-4</v>
      </c>
      <c r="I566" s="1085">
        <f t="shared" si="8"/>
        <v>0.96402709100759687</v>
      </c>
      <c r="J566" s="1085" t="str">
        <f t="shared" si="7"/>
        <v>C</v>
      </c>
      <c r="K566" s="1036"/>
      <c r="L566" s="1036"/>
      <c r="M566" s="1036"/>
      <c r="N566" s="1036"/>
      <c r="O566" s="1036"/>
      <c r="P566" s="1036"/>
      <c r="Q566" s="1036"/>
      <c r="R566" s="1036"/>
      <c r="S566" s="1036"/>
      <c r="T566" s="1036"/>
      <c r="U566" s="1036"/>
      <c r="V566" s="1036"/>
      <c r="W566" s="1036"/>
      <c r="X566" s="1036"/>
      <c r="Y566" s="1036"/>
      <c r="Z566" s="1036"/>
    </row>
    <row r="567" spans="1:26" ht="25.5">
      <c r="A567" s="1079">
        <v>98554</v>
      </c>
      <c r="B567" s="1080" t="s">
        <v>14476</v>
      </c>
      <c r="C567" s="1080" t="s">
        <v>7740</v>
      </c>
      <c r="D567" s="1081" t="s">
        <v>409</v>
      </c>
      <c r="E567" s="1082">
        <v>32.880000000000003</v>
      </c>
      <c r="F567" s="1083">
        <v>57.71</v>
      </c>
      <c r="G567" s="1083">
        <v>1897.5</v>
      </c>
      <c r="H567" s="1084">
        <f t="shared" si="6"/>
        <v>1.2887864755574524E-4</v>
      </c>
      <c r="I567" s="1085">
        <f t="shared" si="8"/>
        <v>0.9641559696551526</v>
      </c>
      <c r="J567" s="1085" t="str">
        <f t="shared" si="7"/>
        <v>C</v>
      </c>
      <c r="K567" s="1036"/>
      <c r="L567" s="1036"/>
      <c r="M567" s="1036"/>
      <c r="N567" s="1036"/>
      <c r="O567" s="1036"/>
      <c r="P567" s="1036"/>
      <c r="Q567" s="1036"/>
      <c r="R567" s="1036"/>
      <c r="S567" s="1036"/>
      <c r="T567" s="1036"/>
      <c r="U567" s="1036"/>
      <c r="V567" s="1036"/>
      <c r="W567" s="1036"/>
      <c r="X567" s="1036"/>
      <c r="Y567" s="1036"/>
      <c r="Z567" s="1036"/>
    </row>
    <row r="568" spans="1:26" ht="38.25">
      <c r="A568" s="1079">
        <v>89402</v>
      </c>
      <c r="B568" s="1080" t="s">
        <v>14476</v>
      </c>
      <c r="C568" s="1080" t="s">
        <v>8422</v>
      </c>
      <c r="D568" s="1081" t="s">
        <v>50</v>
      </c>
      <c r="E568" s="1082">
        <v>135</v>
      </c>
      <c r="F568" s="1083">
        <v>14</v>
      </c>
      <c r="G568" s="1083">
        <v>1890</v>
      </c>
      <c r="H568" s="1084">
        <f t="shared" si="6"/>
        <v>1.283692457867502E-4</v>
      </c>
      <c r="I568" s="1085">
        <f t="shared" si="8"/>
        <v>0.96428433890093934</v>
      </c>
      <c r="J568" s="1085" t="str">
        <f t="shared" si="7"/>
        <v>C</v>
      </c>
      <c r="K568" s="1036"/>
      <c r="L568" s="1036"/>
      <c r="M568" s="1036"/>
      <c r="N568" s="1036"/>
      <c r="O568" s="1036"/>
      <c r="P568" s="1036"/>
      <c r="Q568" s="1036"/>
      <c r="R568" s="1036"/>
      <c r="S568" s="1036"/>
      <c r="T568" s="1036"/>
      <c r="U568" s="1036"/>
      <c r="V568" s="1036"/>
      <c r="W568" s="1036"/>
      <c r="X568" s="1036"/>
      <c r="Y568" s="1036"/>
      <c r="Z568" s="1036"/>
    </row>
    <row r="569" spans="1:26" ht="51">
      <c r="A569" s="1079">
        <v>92431</v>
      </c>
      <c r="B569" s="1080" t="s">
        <v>14476</v>
      </c>
      <c r="C569" s="1080" t="s">
        <v>7221</v>
      </c>
      <c r="D569" s="1081" t="s">
        <v>409</v>
      </c>
      <c r="E569" s="1082">
        <v>20.55</v>
      </c>
      <c r="F569" s="1083">
        <v>91.75</v>
      </c>
      <c r="G569" s="1083">
        <v>1885.46</v>
      </c>
      <c r="H569" s="1084">
        <f t="shared" si="6"/>
        <v>1.2806088791591852E-4</v>
      </c>
      <c r="I569" s="1085">
        <f t="shared" si="8"/>
        <v>0.96441239978885529</v>
      </c>
      <c r="J569" s="1085" t="str">
        <f t="shared" si="7"/>
        <v>C</v>
      </c>
      <c r="K569" s="1036"/>
      <c r="L569" s="1036"/>
      <c r="M569" s="1036"/>
      <c r="N569" s="1036"/>
      <c r="O569" s="1036"/>
      <c r="P569" s="1036"/>
      <c r="Q569" s="1036"/>
      <c r="R569" s="1036"/>
      <c r="S569" s="1036"/>
      <c r="T569" s="1036"/>
      <c r="U569" s="1036"/>
      <c r="V569" s="1036"/>
      <c r="W569" s="1036"/>
      <c r="X569" s="1036"/>
      <c r="Y569" s="1036"/>
      <c r="Z569" s="1036"/>
    </row>
    <row r="570" spans="1:26" ht="38.25">
      <c r="A570" s="1079">
        <v>89402</v>
      </c>
      <c r="B570" s="1080" t="s">
        <v>14476</v>
      </c>
      <c r="C570" s="1080" t="s">
        <v>8422</v>
      </c>
      <c r="D570" s="1081" t="s">
        <v>50</v>
      </c>
      <c r="E570" s="1082">
        <v>134</v>
      </c>
      <c r="F570" s="1083">
        <v>14</v>
      </c>
      <c r="G570" s="1083">
        <v>1876</v>
      </c>
      <c r="H570" s="1084">
        <f t="shared" si="6"/>
        <v>1.274183624846261E-4</v>
      </c>
      <c r="I570" s="1085">
        <f t="shared" si="8"/>
        <v>0.96453981815133993</v>
      </c>
      <c r="J570" s="1085" t="str">
        <f t="shared" si="7"/>
        <v>C</v>
      </c>
      <c r="K570" s="1036"/>
      <c r="L570" s="1036"/>
      <c r="M570" s="1036"/>
      <c r="N570" s="1036"/>
      <c r="O570" s="1036"/>
      <c r="P570" s="1036"/>
      <c r="Q570" s="1036"/>
      <c r="R570" s="1036"/>
      <c r="S570" s="1036"/>
      <c r="T570" s="1036"/>
      <c r="U570" s="1036"/>
      <c r="V570" s="1036"/>
      <c r="W570" s="1036"/>
      <c r="X570" s="1036"/>
      <c r="Y570" s="1036"/>
      <c r="Z570" s="1036"/>
    </row>
    <row r="571" spans="1:26" ht="51">
      <c r="A571" s="1079" t="s">
        <v>14941</v>
      </c>
      <c r="B571" s="1080" t="s">
        <v>14472</v>
      </c>
      <c r="C571" s="1080" t="s">
        <v>14942</v>
      </c>
      <c r="D571" s="1081" t="s">
        <v>409</v>
      </c>
      <c r="E571" s="1082">
        <v>10.28</v>
      </c>
      <c r="F571" s="1083">
        <v>182.48</v>
      </c>
      <c r="G571" s="1083">
        <v>1875.89</v>
      </c>
      <c r="H571" s="1084">
        <f t="shared" si="6"/>
        <v>1.2741089125868087E-4</v>
      </c>
      <c r="I571" s="1085">
        <f t="shared" si="8"/>
        <v>0.96466722904259861</v>
      </c>
      <c r="J571" s="1085" t="str">
        <f t="shared" si="7"/>
        <v>C</v>
      </c>
      <c r="K571" s="1036"/>
      <c r="L571" s="1036"/>
      <c r="M571" s="1036"/>
      <c r="N571" s="1036"/>
      <c r="O571" s="1036"/>
      <c r="P571" s="1036"/>
      <c r="Q571" s="1036"/>
      <c r="R571" s="1036"/>
      <c r="S571" s="1036"/>
      <c r="T571" s="1036"/>
      <c r="U571" s="1036"/>
      <c r="V571" s="1036"/>
      <c r="W571" s="1036"/>
      <c r="X571" s="1036"/>
      <c r="Y571" s="1036"/>
      <c r="Z571" s="1036"/>
    </row>
    <row r="572" spans="1:26" ht="63.75">
      <c r="A572" s="1079">
        <v>95472</v>
      </c>
      <c r="B572" s="1080" t="s">
        <v>14476</v>
      </c>
      <c r="C572" s="1080" t="s">
        <v>10151</v>
      </c>
      <c r="D572" s="1081" t="s">
        <v>6</v>
      </c>
      <c r="E572" s="1082">
        <v>2</v>
      </c>
      <c r="F572" s="1083">
        <v>936.22</v>
      </c>
      <c r="G572" s="1083">
        <v>1872.44</v>
      </c>
      <c r="H572" s="1084">
        <f t="shared" si="6"/>
        <v>1.2717656644494315E-4</v>
      </c>
      <c r="I572" s="1085">
        <f t="shared" si="8"/>
        <v>0.9647944056090435</v>
      </c>
      <c r="J572" s="1085" t="str">
        <f t="shared" si="7"/>
        <v>C</v>
      </c>
      <c r="K572" s="1036"/>
      <c r="L572" s="1036"/>
      <c r="M572" s="1036"/>
      <c r="N572" s="1036"/>
      <c r="O572" s="1036"/>
      <c r="P572" s="1036"/>
      <c r="Q572" s="1036"/>
      <c r="R572" s="1036"/>
      <c r="S572" s="1036"/>
      <c r="T572" s="1036"/>
      <c r="U572" s="1036"/>
      <c r="V572" s="1036"/>
      <c r="W572" s="1036"/>
      <c r="X572" s="1036"/>
      <c r="Y572" s="1036"/>
      <c r="Z572" s="1036"/>
    </row>
    <row r="573" spans="1:26" ht="25.5">
      <c r="A573" s="1079">
        <v>93358</v>
      </c>
      <c r="B573" s="1080" t="s">
        <v>14476</v>
      </c>
      <c r="C573" s="1080" t="s">
        <v>10648</v>
      </c>
      <c r="D573" s="1081" t="s">
        <v>152</v>
      </c>
      <c r="E573" s="1082">
        <v>18.600000000000001</v>
      </c>
      <c r="F573" s="1083">
        <v>100.47</v>
      </c>
      <c r="G573" s="1083">
        <v>1868.74</v>
      </c>
      <c r="H573" s="1084">
        <f t="shared" si="6"/>
        <v>1.2692526157223892E-4</v>
      </c>
      <c r="I573" s="1085">
        <f t="shared" si="8"/>
        <v>0.96492133087061571</v>
      </c>
      <c r="J573" s="1085" t="str">
        <f t="shared" si="7"/>
        <v>C</v>
      </c>
      <c r="K573" s="1036"/>
      <c r="L573" s="1036"/>
      <c r="M573" s="1036"/>
      <c r="N573" s="1036"/>
      <c r="O573" s="1036"/>
      <c r="P573" s="1036"/>
      <c r="Q573" s="1036"/>
      <c r="R573" s="1036"/>
      <c r="S573" s="1036"/>
      <c r="T573" s="1036"/>
      <c r="U573" s="1036"/>
      <c r="V573" s="1036"/>
      <c r="W573" s="1036"/>
      <c r="X573" s="1036"/>
      <c r="Y573" s="1036"/>
      <c r="Z573" s="1036"/>
    </row>
    <row r="574" spans="1:26" ht="25.5">
      <c r="A574" s="1079">
        <v>96616</v>
      </c>
      <c r="B574" s="1080" t="s">
        <v>14476</v>
      </c>
      <c r="C574" s="1080" t="s">
        <v>7163</v>
      </c>
      <c r="D574" s="1081" t="s">
        <v>152</v>
      </c>
      <c r="E574" s="1082">
        <v>1.78</v>
      </c>
      <c r="F574" s="1083">
        <v>1048.5999999999999</v>
      </c>
      <c r="G574" s="1083">
        <v>1866.5</v>
      </c>
      <c r="H574" s="1084">
        <f t="shared" si="6"/>
        <v>1.2677312024389907E-4</v>
      </c>
      <c r="I574" s="1085">
        <f t="shared" si="8"/>
        <v>0.96504810399085961</v>
      </c>
      <c r="J574" s="1085" t="str">
        <f t="shared" si="7"/>
        <v>C</v>
      </c>
      <c r="K574" s="1036"/>
      <c r="L574" s="1036"/>
      <c r="M574" s="1036"/>
      <c r="N574" s="1036"/>
      <c r="O574" s="1036"/>
      <c r="P574" s="1036"/>
      <c r="Q574" s="1036"/>
      <c r="R574" s="1036"/>
      <c r="S574" s="1036"/>
      <c r="T574" s="1036"/>
      <c r="U574" s="1036"/>
      <c r="V574" s="1036"/>
      <c r="W574" s="1036"/>
      <c r="X574" s="1036"/>
      <c r="Y574" s="1036"/>
      <c r="Z574" s="1036"/>
    </row>
    <row r="575" spans="1:26" ht="25.5">
      <c r="A575" s="1079">
        <v>93382</v>
      </c>
      <c r="B575" s="1080" t="s">
        <v>14476</v>
      </c>
      <c r="C575" s="1080" t="s">
        <v>10726</v>
      </c>
      <c r="D575" s="1081" t="s">
        <v>152</v>
      </c>
      <c r="E575" s="1082">
        <v>63.03</v>
      </c>
      <c r="F575" s="1083">
        <v>29.52</v>
      </c>
      <c r="G575" s="1083">
        <v>1860.64</v>
      </c>
      <c r="H575" s="1084">
        <f t="shared" si="6"/>
        <v>1.2637510766172428E-4</v>
      </c>
      <c r="I575" s="1085">
        <f t="shared" si="8"/>
        <v>0.96517447909852128</v>
      </c>
      <c r="J575" s="1085" t="str">
        <f t="shared" si="7"/>
        <v>C</v>
      </c>
      <c r="K575" s="1036"/>
      <c r="L575" s="1036"/>
      <c r="M575" s="1036"/>
      <c r="N575" s="1036"/>
      <c r="O575" s="1036"/>
      <c r="P575" s="1036"/>
      <c r="Q575" s="1036"/>
      <c r="R575" s="1036"/>
      <c r="S575" s="1036"/>
      <c r="T575" s="1036"/>
      <c r="U575" s="1036"/>
      <c r="V575" s="1036"/>
      <c r="W575" s="1036"/>
      <c r="X575" s="1036"/>
      <c r="Y575" s="1036"/>
      <c r="Z575" s="1036"/>
    </row>
    <row r="576" spans="1:26" ht="38.25">
      <c r="A576" s="1079" t="s">
        <v>14962</v>
      </c>
      <c r="B576" s="1080" t="s">
        <v>14472</v>
      </c>
      <c r="C576" s="1080" t="s">
        <v>14963</v>
      </c>
      <c r="D576" s="1081" t="s">
        <v>409</v>
      </c>
      <c r="E576" s="1082">
        <v>5.94</v>
      </c>
      <c r="F576" s="1083">
        <v>312.27999999999997</v>
      </c>
      <c r="G576" s="1083">
        <v>1854.94</v>
      </c>
      <c r="H576" s="1084">
        <f t="shared" si="6"/>
        <v>1.2598796231728804E-4</v>
      </c>
      <c r="I576" s="1085">
        <f t="shared" si="8"/>
        <v>0.96530046706083861</v>
      </c>
      <c r="J576" s="1085" t="str">
        <f t="shared" si="7"/>
        <v>C</v>
      </c>
      <c r="K576" s="1036"/>
      <c r="L576" s="1036"/>
      <c r="M576" s="1036"/>
      <c r="N576" s="1036"/>
      <c r="O576" s="1036"/>
      <c r="P576" s="1036"/>
      <c r="Q576" s="1036"/>
      <c r="R576" s="1036"/>
      <c r="S576" s="1036"/>
      <c r="T576" s="1036"/>
      <c r="U576" s="1036"/>
      <c r="V576" s="1036"/>
      <c r="W576" s="1036"/>
      <c r="X576" s="1036"/>
      <c r="Y576" s="1036"/>
      <c r="Z576" s="1036"/>
    </row>
    <row r="577" spans="1:26" ht="38.25">
      <c r="A577" s="1079">
        <v>97881</v>
      </c>
      <c r="B577" s="1080" t="s">
        <v>14476</v>
      </c>
      <c r="C577" s="1080" t="s">
        <v>7930</v>
      </c>
      <c r="D577" s="1081" t="s">
        <v>6</v>
      </c>
      <c r="E577" s="1082">
        <v>11</v>
      </c>
      <c r="F577" s="1083">
        <v>168.01</v>
      </c>
      <c r="G577" s="1083">
        <v>1848.11</v>
      </c>
      <c r="H577" s="1084">
        <f t="shared" si="6"/>
        <v>1.2552406710632322E-4</v>
      </c>
      <c r="I577" s="1085">
        <f t="shared" si="8"/>
        <v>0.96542599112794492</v>
      </c>
      <c r="J577" s="1085" t="str">
        <f t="shared" si="7"/>
        <v>C</v>
      </c>
      <c r="K577" s="1036"/>
      <c r="L577" s="1036"/>
      <c r="M577" s="1036"/>
      <c r="N577" s="1036"/>
      <c r="O577" s="1036"/>
      <c r="P577" s="1036"/>
      <c r="Q577" s="1036"/>
      <c r="R577" s="1036"/>
      <c r="S577" s="1036"/>
      <c r="T577" s="1036"/>
      <c r="U577" s="1036"/>
      <c r="V577" s="1036"/>
      <c r="W577" s="1036"/>
      <c r="X577" s="1036"/>
      <c r="Y577" s="1036"/>
      <c r="Z577" s="1036"/>
    </row>
    <row r="578" spans="1:26" ht="38.25">
      <c r="A578" s="1079">
        <v>97881</v>
      </c>
      <c r="B578" s="1080" t="s">
        <v>14476</v>
      </c>
      <c r="C578" s="1080" t="s">
        <v>7930</v>
      </c>
      <c r="D578" s="1081" t="s">
        <v>6</v>
      </c>
      <c r="E578" s="1082">
        <v>11</v>
      </c>
      <c r="F578" s="1083">
        <v>168.01</v>
      </c>
      <c r="G578" s="1083">
        <v>1848.11</v>
      </c>
      <c r="H578" s="1084">
        <f t="shared" si="6"/>
        <v>1.2552406710632322E-4</v>
      </c>
      <c r="I578" s="1085">
        <f t="shared" si="8"/>
        <v>0.96555151519505122</v>
      </c>
      <c r="J578" s="1085" t="str">
        <f t="shared" si="7"/>
        <v>C</v>
      </c>
      <c r="K578" s="1036"/>
      <c r="L578" s="1036"/>
      <c r="M578" s="1036"/>
      <c r="N578" s="1036"/>
      <c r="O578" s="1036"/>
      <c r="P578" s="1036"/>
      <c r="Q578" s="1036"/>
      <c r="R578" s="1036"/>
      <c r="S578" s="1036"/>
      <c r="T578" s="1036"/>
      <c r="U578" s="1036"/>
      <c r="V578" s="1036"/>
      <c r="W578" s="1036"/>
      <c r="X578" s="1036"/>
      <c r="Y578" s="1036"/>
      <c r="Z578" s="1036"/>
    </row>
    <row r="579" spans="1:26" ht="38.25">
      <c r="A579" s="1079">
        <v>92759</v>
      </c>
      <c r="B579" s="1080" t="s">
        <v>14476</v>
      </c>
      <c r="C579" s="1080" t="s">
        <v>7428</v>
      </c>
      <c r="D579" s="1081" t="s">
        <v>54</v>
      </c>
      <c r="E579" s="1082">
        <v>98.2</v>
      </c>
      <c r="F579" s="1083">
        <v>18.77</v>
      </c>
      <c r="G579" s="1083">
        <v>1843.21</v>
      </c>
      <c r="H579" s="1084">
        <f t="shared" si="6"/>
        <v>1.2519125795057979E-4</v>
      </c>
      <c r="I579" s="1085">
        <f t="shared" si="8"/>
        <v>0.96567670645300185</v>
      </c>
      <c r="J579" s="1085" t="str">
        <f t="shared" si="7"/>
        <v>C</v>
      </c>
      <c r="K579" s="1036"/>
      <c r="L579" s="1036"/>
      <c r="M579" s="1036"/>
      <c r="N579" s="1036"/>
      <c r="O579" s="1036"/>
      <c r="P579" s="1036"/>
      <c r="Q579" s="1036"/>
      <c r="R579" s="1036"/>
      <c r="S579" s="1036"/>
      <c r="T579" s="1036"/>
      <c r="U579" s="1036"/>
      <c r="V579" s="1036"/>
      <c r="W579" s="1036"/>
      <c r="X579" s="1036"/>
      <c r="Y579" s="1036"/>
      <c r="Z579" s="1036"/>
    </row>
    <row r="580" spans="1:26" ht="51">
      <c r="A580" s="1079">
        <v>96366</v>
      </c>
      <c r="B580" s="1080" t="s">
        <v>14476</v>
      </c>
      <c r="C580" s="1080" t="s">
        <v>10820</v>
      </c>
      <c r="D580" s="1081" t="s">
        <v>409</v>
      </c>
      <c r="E580" s="1082">
        <v>9.01</v>
      </c>
      <c r="F580" s="1083">
        <v>201.17</v>
      </c>
      <c r="G580" s="1083">
        <v>1812.34</v>
      </c>
      <c r="H580" s="1084">
        <f t="shared" si="6"/>
        <v>1.230945602693962E-4</v>
      </c>
      <c r="I580" s="1085">
        <f t="shared" si="8"/>
        <v>0.96579980101327123</v>
      </c>
      <c r="J580" s="1085" t="str">
        <f t="shared" si="7"/>
        <v>C</v>
      </c>
      <c r="K580" s="1036"/>
      <c r="L580" s="1036"/>
      <c r="M580" s="1036"/>
      <c r="N580" s="1036"/>
      <c r="O580" s="1036"/>
      <c r="P580" s="1036"/>
      <c r="Q580" s="1036"/>
      <c r="R580" s="1036"/>
      <c r="S580" s="1036"/>
      <c r="T580" s="1036"/>
      <c r="U580" s="1036"/>
      <c r="V580" s="1036"/>
      <c r="W580" s="1036"/>
      <c r="X580" s="1036"/>
      <c r="Y580" s="1036"/>
      <c r="Z580" s="1036"/>
    </row>
    <row r="581" spans="1:26" ht="25.5">
      <c r="A581" s="1079">
        <v>93382</v>
      </c>
      <c r="B581" s="1080" t="s">
        <v>14476</v>
      </c>
      <c r="C581" s="1080" t="s">
        <v>10726</v>
      </c>
      <c r="D581" s="1081" t="s">
        <v>152</v>
      </c>
      <c r="E581" s="1082">
        <v>61.3</v>
      </c>
      <c r="F581" s="1083">
        <v>29.52</v>
      </c>
      <c r="G581" s="1083">
        <v>1809.57</v>
      </c>
      <c r="H581" s="1084">
        <f t="shared" si="6"/>
        <v>1.2290642121604736E-4</v>
      </c>
      <c r="I581" s="1085">
        <f t="shared" si="8"/>
        <v>0.96592270743448727</v>
      </c>
      <c r="J581" s="1085" t="str">
        <f t="shared" si="7"/>
        <v>C</v>
      </c>
      <c r="K581" s="1036"/>
      <c r="L581" s="1036"/>
      <c r="M581" s="1036"/>
      <c r="N581" s="1036"/>
      <c r="O581" s="1036"/>
      <c r="P581" s="1036"/>
      <c r="Q581" s="1036"/>
      <c r="R581" s="1036"/>
      <c r="S581" s="1036"/>
      <c r="T581" s="1036"/>
      <c r="U581" s="1036"/>
      <c r="V581" s="1036"/>
      <c r="W581" s="1036"/>
      <c r="X581" s="1036"/>
      <c r="Y581" s="1036"/>
      <c r="Z581" s="1036"/>
    </row>
    <row r="582" spans="1:26" ht="25.5">
      <c r="A582" s="1079" t="s">
        <v>15102</v>
      </c>
      <c r="B582" s="1080" t="s">
        <v>14472</v>
      </c>
      <c r="C582" s="1080" t="s">
        <v>15954</v>
      </c>
      <c r="D582" s="1081" t="s">
        <v>6</v>
      </c>
      <c r="E582" s="1082">
        <v>3</v>
      </c>
      <c r="F582" s="1083">
        <v>601.4</v>
      </c>
      <c r="G582" s="1083">
        <v>1804.2</v>
      </c>
      <c r="H582" s="1084">
        <f t="shared" si="6"/>
        <v>1.2254168954944694E-4</v>
      </c>
      <c r="I582" s="1085">
        <f t="shared" si="8"/>
        <v>0.96604524912403666</v>
      </c>
      <c r="J582" s="1085" t="str">
        <f t="shared" si="7"/>
        <v>C</v>
      </c>
      <c r="K582" s="1036"/>
      <c r="L582" s="1036"/>
      <c r="M582" s="1036"/>
      <c r="N582" s="1036"/>
      <c r="O582" s="1036"/>
      <c r="P582" s="1036"/>
      <c r="Q582" s="1036"/>
      <c r="R582" s="1036"/>
      <c r="S582" s="1036"/>
      <c r="T582" s="1036"/>
      <c r="U582" s="1036"/>
      <c r="V582" s="1036"/>
      <c r="W582" s="1036"/>
      <c r="X582" s="1036"/>
      <c r="Y582" s="1036"/>
      <c r="Z582" s="1036"/>
    </row>
    <row r="583" spans="1:26" ht="25.5">
      <c r="A583" s="1079" t="s">
        <v>14848</v>
      </c>
      <c r="B583" s="1080" t="s">
        <v>14472</v>
      </c>
      <c r="C583" s="1080" t="s">
        <v>14849</v>
      </c>
      <c r="D583" s="1081" t="s">
        <v>6</v>
      </c>
      <c r="E583" s="1082">
        <v>6</v>
      </c>
      <c r="F583" s="1083">
        <v>298.93</v>
      </c>
      <c r="G583" s="1083">
        <v>1793.58</v>
      </c>
      <c r="H583" s="1084">
        <f t="shared" si="6"/>
        <v>1.2182037664454995E-4</v>
      </c>
      <c r="I583" s="1085">
        <f t="shared" si="8"/>
        <v>0.96616706950068121</v>
      </c>
      <c r="J583" s="1085" t="str">
        <f t="shared" si="7"/>
        <v>C</v>
      </c>
      <c r="K583" s="1036"/>
      <c r="L583" s="1036"/>
      <c r="M583" s="1036"/>
      <c r="N583" s="1036"/>
      <c r="O583" s="1036"/>
      <c r="P583" s="1036"/>
      <c r="Q583" s="1036"/>
      <c r="R583" s="1036"/>
      <c r="S583" s="1036"/>
      <c r="T583" s="1036"/>
      <c r="U583" s="1036"/>
      <c r="V583" s="1036"/>
      <c r="W583" s="1036"/>
      <c r="X583" s="1036"/>
      <c r="Y583" s="1036"/>
      <c r="Z583" s="1036"/>
    </row>
    <row r="584" spans="1:26" ht="51">
      <c r="A584" s="1079">
        <v>89746</v>
      </c>
      <c r="B584" s="1080" t="s">
        <v>14476</v>
      </c>
      <c r="C584" s="1080" t="s">
        <v>8958</v>
      </c>
      <c r="D584" s="1081" t="s">
        <v>6</v>
      </c>
      <c r="E584" s="1082">
        <v>52</v>
      </c>
      <c r="F584" s="1083">
        <v>34.479999999999997</v>
      </c>
      <c r="G584" s="1083">
        <v>1792.96</v>
      </c>
      <c r="H584" s="1084">
        <f t="shared" si="6"/>
        <v>1.2177826609831303E-4</v>
      </c>
      <c r="I584" s="1085">
        <f t="shared" si="8"/>
        <v>0.96628884776677948</v>
      </c>
      <c r="J584" s="1085" t="str">
        <f t="shared" si="7"/>
        <v>C</v>
      </c>
      <c r="K584" s="1036"/>
      <c r="L584" s="1036"/>
      <c r="M584" s="1036"/>
      <c r="N584" s="1036"/>
      <c r="O584" s="1036"/>
      <c r="P584" s="1036"/>
      <c r="Q584" s="1036"/>
      <c r="R584" s="1036"/>
      <c r="S584" s="1036"/>
      <c r="T584" s="1036"/>
      <c r="U584" s="1036"/>
      <c r="V584" s="1036"/>
      <c r="W584" s="1036"/>
      <c r="X584" s="1036"/>
      <c r="Y584" s="1036"/>
      <c r="Z584" s="1036"/>
    </row>
    <row r="585" spans="1:26" ht="38.25">
      <c r="A585" s="1079">
        <v>92759</v>
      </c>
      <c r="B585" s="1080" t="s">
        <v>14476</v>
      </c>
      <c r="C585" s="1080" t="s">
        <v>7428</v>
      </c>
      <c r="D585" s="1081" t="s">
        <v>54</v>
      </c>
      <c r="E585" s="1082">
        <v>95.3</v>
      </c>
      <c r="F585" s="1083">
        <v>18.77</v>
      </c>
      <c r="G585" s="1083">
        <v>1788.78</v>
      </c>
      <c r="H585" s="1084">
        <f t="shared" si="6"/>
        <v>1.2149435951239312E-4</v>
      </c>
      <c r="I585" s="1085">
        <f t="shared" si="8"/>
        <v>0.96641034212629184</v>
      </c>
      <c r="J585" s="1085" t="str">
        <f t="shared" si="7"/>
        <v>C</v>
      </c>
      <c r="K585" s="1036"/>
      <c r="L585" s="1036"/>
      <c r="M585" s="1036"/>
      <c r="N585" s="1036"/>
      <c r="O585" s="1036"/>
      <c r="P585" s="1036"/>
      <c r="Q585" s="1036"/>
      <c r="R585" s="1036"/>
      <c r="S585" s="1036"/>
      <c r="T585" s="1036"/>
      <c r="U585" s="1036"/>
      <c r="V585" s="1036"/>
      <c r="W585" s="1036"/>
      <c r="X585" s="1036"/>
      <c r="Y585" s="1036"/>
      <c r="Z585" s="1036"/>
    </row>
    <row r="586" spans="1:26" ht="38.25">
      <c r="A586" s="1079">
        <v>98555</v>
      </c>
      <c r="B586" s="1080" t="s">
        <v>14476</v>
      </c>
      <c r="C586" s="1080" t="s">
        <v>7733</v>
      </c>
      <c r="D586" s="1081" t="s">
        <v>409</v>
      </c>
      <c r="E586" s="1082">
        <v>48.9</v>
      </c>
      <c r="F586" s="1083">
        <v>36.58</v>
      </c>
      <c r="G586" s="1083">
        <v>1788.76</v>
      </c>
      <c r="H586" s="1084">
        <f t="shared" si="6"/>
        <v>1.214930011076758E-4</v>
      </c>
      <c r="I586" s="1085">
        <f t="shared" si="8"/>
        <v>0.96653183512739949</v>
      </c>
      <c r="J586" s="1085" t="str">
        <f t="shared" si="7"/>
        <v>C</v>
      </c>
      <c r="K586" s="1036"/>
      <c r="L586" s="1036"/>
      <c r="M586" s="1036"/>
      <c r="N586" s="1036"/>
      <c r="O586" s="1036"/>
      <c r="P586" s="1036"/>
      <c r="Q586" s="1036"/>
      <c r="R586" s="1036"/>
      <c r="S586" s="1036"/>
      <c r="T586" s="1036"/>
      <c r="U586" s="1036"/>
      <c r="V586" s="1036"/>
      <c r="W586" s="1036"/>
      <c r="X586" s="1036"/>
      <c r="Y586" s="1036"/>
      <c r="Z586" s="1036"/>
    </row>
    <row r="587" spans="1:26" ht="25.5">
      <c r="A587" s="1079">
        <v>104737</v>
      </c>
      <c r="B587" s="1080" t="s">
        <v>14476</v>
      </c>
      <c r="C587" s="1080" t="s">
        <v>10736</v>
      </c>
      <c r="D587" s="1081" t="s">
        <v>152</v>
      </c>
      <c r="E587" s="1082">
        <v>69.3</v>
      </c>
      <c r="F587" s="1083">
        <v>25.73</v>
      </c>
      <c r="G587" s="1083">
        <v>1783.08</v>
      </c>
      <c r="H587" s="1084">
        <f t="shared" si="6"/>
        <v>1.2110721416795689E-4</v>
      </c>
      <c r="I587" s="1085">
        <f t="shared" si="8"/>
        <v>0.9666529423415674</v>
      </c>
      <c r="J587" s="1085" t="str">
        <f t="shared" si="7"/>
        <v>C</v>
      </c>
      <c r="K587" s="1036"/>
      <c r="L587" s="1036"/>
      <c r="M587" s="1036"/>
      <c r="N587" s="1036"/>
      <c r="O587" s="1036"/>
      <c r="P587" s="1036"/>
      <c r="Q587" s="1036"/>
      <c r="R587" s="1036"/>
      <c r="S587" s="1036"/>
      <c r="T587" s="1036"/>
      <c r="U587" s="1036"/>
      <c r="V587" s="1036"/>
      <c r="W587" s="1036"/>
      <c r="X587" s="1036"/>
      <c r="Y587" s="1036"/>
      <c r="Z587" s="1036"/>
    </row>
    <row r="588" spans="1:26" ht="38.25">
      <c r="A588" s="1079">
        <v>100868</v>
      </c>
      <c r="B588" s="1080" t="s">
        <v>14476</v>
      </c>
      <c r="C588" s="1080" t="s">
        <v>15983</v>
      </c>
      <c r="D588" s="1081" t="s">
        <v>6</v>
      </c>
      <c r="E588" s="1082">
        <v>4</v>
      </c>
      <c r="F588" s="1083">
        <v>445.17</v>
      </c>
      <c r="G588" s="1083">
        <v>1780.68</v>
      </c>
      <c r="H588" s="1084">
        <f t="shared" si="6"/>
        <v>1.2094420560187849E-4</v>
      </c>
      <c r="I588" s="1085">
        <f t="shared" si="8"/>
        <v>0.96677388654716923</v>
      </c>
      <c r="J588" s="1085" t="str">
        <f t="shared" si="7"/>
        <v>C</v>
      </c>
      <c r="K588" s="1036"/>
      <c r="L588" s="1036"/>
      <c r="M588" s="1036"/>
      <c r="N588" s="1036"/>
      <c r="O588" s="1036"/>
      <c r="P588" s="1036"/>
      <c r="Q588" s="1036"/>
      <c r="R588" s="1036"/>
      <c r="S588" s="1036"/>
      <c r="T588" s="1036"/>
      <c r="U588" s="1036"/>
      <c r="V588" s="1036"/>
      <c r="W588" s="1036"/>
      <c r="X588" s="1036"/>
      <c r="Y588" s="1036"/>
      <c r="Z588" s="1036"/>
    </row>
    <row r="589" spans="1:26" ht="38.25">
      <c r="A589" s="1079">
        <v>100868</v>
      </c>
      <c r="B589" s="1080" t="s">
        <v>14476</v>
      </c>
      <c r="C589" s="1080" t="s">
        <v>15983</v>
      </c>
      <c r="D589" s="1081" t="s">
        <v>6</v>
      </c>
      <c r="E589" s="1082">
        <v>4</v>
      </c>
      <c r="F589" s="1083">
        <v>445.17</v>
      </c>
      <c r="G589" s="1083">
        <v>1780.68</v>
      </c>
      <c r="H589" s="1084">
        <f t="shared" si="6"/>
        <v>1.2094420560187849E-4</v>
      </c>
      <c r="I589" s="1085">
        <f t="shared" si="8"/>
        <v>0.96689483075277105</v>
      </c>
      <c r="J589" s="1085" t="str">
        <f t="shared" si="7"/>
        <v>C</v>
      </c>
      <c r="K589" s="1036"/>
      <c r="L589" s="1036"/>
      <c r="M589" s="1036"/>
      <c r="N589" s="1036"/>
      <c r="O589" s="1036"/>
      <c r="P589" s="1036"/>
      <c r="Q589" s="1036"/>
      <c r="R589" s="1036"/>
      <c r="S589" s="1036"/>
      <c r="T589" s="1036"/>
      <c r="U589" s="1036"/>
      <c r="V589" s="1036"/>
      <c r="W589" s="1036"/>
      <c r="X589" s="1036"/>
      <c r="Y589" s="1036"/>
      <c r="Z589" s="1036"/>
    </row>
    <row r="590" spans="1:26" ht="25.5">
      <c r="A590" s="1079">
        <v>95576</v>
      </c>
      <c r="B590" s="1080" t="s">
        <v>14476</v>
      </c>
      <c r="C590" s="1080" t="s">
        <v>7476</v>
      </c>
      <c r="D590" s="1081" t="s">
        <v>54</v>
      </c>
      <c r="E590" s="1082">
        <v>102.16</v>
      </c>
      <c r="F590" s="1083">
        <v>17.420000000000002</v>
      </c>
      <c r="G590" s="1083">
        <v>1779.62</v>
      </c>
      <c r="H590" s="1084">
        <f t="shared" si="6"/>
        <v>1.208722101518605E-4</v>
      </c>
      <c r="I590" s="1085">
        <f t="shared" si="8"/>
        <v>0.96701570296292294</v>
      </c>
      <c r="J590" s="1085" t="str">
        <f t="shared" si="7"/>
        <v>C</v>
      </c>
      <c r="K590" s="1036"/>
      <c r="L590" s="1036"/>
      <c r="M590" s="1036"/>
      <c r="N590" s="1036"/>
      <c r="O590" s="1036"/>
      <c r="P590" s="1036"/>
      <c r="Q590" s="1036"/>
      <c r="R590" s="1036"/>
      <c r="S590" s="1036"/>
      <c r="T590" s="1036"/>
      <c r="U590" s="1036"/>
      <c r="V590" s="1036"/>
      <c r="W590" s="1036"/>
      <c r="X590" s="1036"/>
      <c r="Y590" s="1036"/>
      <c r="Z590" s="1036"/>
    </row>
    <row r="591" spans="1:26" ht="38.25">
      <c r="A591" s="1079">
        <v>96536</v>
      </c>
      <c r="B591" s="1080" t="s">
        <v>14476</v>
      </c>
      <c r="C591" s="1080" t="s">
        <v>7302</v>
      </c>
      <c r="D591" s="1081" t="s">
        <v>409</v>
      </c>
      <c r="E591" s="1082">
        <v>19.82</v>
      </c>
      <c r="F591" s="1083">
        <v>89.68</v>
      </c>
      <c r="G591" s="1083">
        <v>1777.45</v>
      </c>
      <c r="H591" s="1084">
        <f t="shared" si="6"/>
        <v>1.2072482324003128E-4</v>
      </c>
      <c r="I591" s="1085">
        <f t="shared" si="8"/>
        <v>0.96713642778616293</v>
      </c>
      <c r="J591" s="1085" t="str">
        <f t="shared" si="7"/>
        <v>C</v>
      </c>
      <c r="K591" s="1036"/>
      <c r="L591" s="1036"/>
      <c r="M591" s="1036"/>
      <c r="N591" s="1036"/>
      <c r="O591" s="1036"/>
      <c r="P591" s="1036"/>
      <c r="Q591" s="1036"/>
      <c r="R591" s="1036"/>
      <c r="S591" s="1036"/>
      <c r="T591" s="1036"/>
      <c r="U591" s="1036"/>
      <c r="V591" s="1036"/>
      <c r="W591" s="1036"/>
      <c r="X591" s="1036"/>
      <c r="Y591" s="1036"/>
      <c r="Z591" s="1036"/>
    </row>
    <row r="592" spans="1:26" ht="38.25">
      <c r="A592" s="1079">
        <v>92759</v>
      </c>
      <c r="B592" s="1080" t="s">
        <v>14476</v>
      </c>
      <c r="C592" s="1080" t="s">
        <v>7428</v>
      </c>
      <c r="D592" s="1081" t="s">
        <v>54</v>
      </c>
      <c r="E592" s="1082">
        <v>94.6</v>
      </c>
      <c r="F592" s="1083">
        <v>18.77</v>
      </c>
      <c r="G592" s="1083">
        <v>1775.64</v>
      </c>
      <c r="H592" s="1084">
        <f t="shared" si="6"/>
        <v>1.2060188761311382E-4</v>
      </c>
      <c r="I592" s="1085">
        <f t="shared" si="8"/>
        <v>0.96725702967377603</v>
      </c>
      <c r="J592" s="1085" t="str">
        <f t="shared" si="7"/>
        <v>C</v>
      </c>
      <c r="K592" s="1036"/>
      <c r="L592" s="1036"/>
      <c r="M592" s="1036"/>
      <c r="N592" s="1036"/>
      <c r="O592" s="1036"/>
      <c r="P592" s="1036"/>
      <c r="Q592" s="1036"/>
      <c r="R592" s="1036"/>
      <c r="S592" s="1036"/>
      <c r="T592" s="1036"/>
      <c r="U592" s="1036"/>
      <c r="V592" s="1036"/>
      <c r="W592" s="1036"/>
      <c r="X592" s="1036"/>
      <c r="Y592" s="1036"/>
      <c r="Z592" s="1036"/>
    </row>
    <row r="593" spans="1:26" ht="38.25">
      <c r="A593" s="1079">
        <v>104918</v>
      </c>
      <c r="B593" s="1080" t="s">
        <v>14476</v>
      </c>
      <c r="C593" s="1080" t="s">
        <v>7515</v>
      </c>
      <c r="D593" s="1081" t="s">
        <v>54</v>
      </c>
      <c r="E593" s="1082">
        <v>90.8</v>
      </c>
      <c r="F593" s="1083">
        <v>19.420000000000002</v>
      </c>
      <c r="G593" s="1083">
        <v>1763.33</v>
      </c>
      <c r="H593" s="1084">
        <f t="shared" si="6"/>
        <v>1.1976578950960329E-4</v>
      </c>
      <c r="I593" s="1085">
        <f t="shared" si="8"/>
        <v>0.96737679546328559</v>
      </c>
      <c r="J593" s="1085" t="str">
        <f t="shared" si="7"/>
        <v>C</v>
      </c>
      <c r="K593" s="1036"/>
      <c r="L593" s="1036"/>
      <c r="M593" s="1036"/>
      <c r="N593" s="1036"/>
      <c r="O593" s="1036"/>
      <c r="P593" s="1036"/>
      <c r="Q593" s="1036"/>
      <c r="R593" s="1036"/>
      <c r="S593" s="1036"/>
      <c r="T593" s="1036"/>
      <c r="U593" s="1036"/>
      <c r="V593" s="1036"/>
      <c r="W593" s="1036"/>
      <c r="X593" s="1036"/>
      <c r="Y593" s="1036"/>
      <c r="Z593" s="1036"/>
    </row>
    <row r="594" spans="1:26" ht="25.5">
      <c r="A594" s="1079">
        <v>93358</v>
      </c>
      <c r="B594" s="1080" t="s">
        <v>14476</v>
      </c>
      <c r="C594" s="1080" t="s">
        <v>10648</v>
      </c>
      <c r="D594" s="1081" t="s">
        <v>152</v>
      </c>
      <c r="E594" s="1082">
        <v>17.5</v>
      </c>
      <c r="F594" s="1083">
        <v>100.47</v>
      </c>
      <c r="G594" s="1083">
        <v>1758.22</v>
      </c>
      <c r="H594" s="1084">
        <f t="shared" si="6"/>
        <v>1.19418717104328E-4</v>
      </c>
      <c r="I594" s="1085">
        <f t="shared" si="8"/>
        <v>0.96749621418038989</v>
      </c>
      <c r="J594" s="1085" t="str">
        <f t="shared" si="7"/>
        <v>C</v>
      </c>
      <c r="K594" s="1036"/>
      <c r="L594" s="1036"/>
      <c r="M594" s="1036"/>
      <c r="N594" s="1036"/>
      <c r="O594" s="1036"/>
      <c r="P594" s="1036"/>
      <c r="Q594" s="1036"/>
      <c r="R594" s="1036"/>
      <c r="S594" s="1036"/>
      <c r="T594" s="1036"/>
      <c r="U594" s="1036"/>
      <c r="V594" s="1036"/>
      <c r="W594" s="1036"/>
      <c r="X594" s="1036"/>
      <c r="Y594" s="1036"/>
      <c r="Z594" s="1036"/>
    </row>
    <row r="595" spans="1:26" ht="14.25">
      <c r="A595" s="1079" t="s">
        <v>15408</v>
      </c>
      <c r="B595" s="1080" t="s">
        <v>14472</v>
      </c>
      <c r="C595" s="1080" t="s">
        <v>15409</v>
      </c>
      <c r="D595" s="1081" t="s">
        <v>6</v>
      </c>
      <c r="E595" s="1082">
        <v>20</v>
      </c>
      <c r="F595" s="1083">
        <v>87.71</v>
      </c>
      <c r="G595" s="1083">
        <v>1754.2</v>
      </c>
      <c r="H595" s="1084">
        <f t="shared" si="6"/>
        <v>1.1914567775614665E-4</v>
      </c>
      <c r="I595" s="1085">
        <f t="shared" si="8"/>
        <v>0.96761535985814606</v>
      </c>
      <c r="J595" s="1085" t="str">
        <f t="shared" si="7"/>
        <v>C</v>
      </c>
      <c r="K595" s="1036"/>
      <c r="L595" s="1036"/>
      <c r="M595" s="1036"/>
      <c r="N595" s="1036"/>
      <c r="O595" s="1036"/>
      <c r="P595" s="1036"/>
      <c r="Q595" s="1036"/>
      <c r="R595" s="1036"/>
      <c r="S595" s="1036"/>
      <c r="T595" s="1036"/>
      <c r="U595" s="1036"/>
      <c r="V595" s="1036"/>
      <c r="W595" s="1036"/>
      <c r="X595" s="1036"/>
      <c r="Y595" s="1036"/>
      <c r="Z595" s="1036"/>
    </row>
    <row r="596" spans="1:26" ht="25.5">
      <c r="A596" s="1079" t="s">
        <v>14525</v>
      </c>
      <c r="B596" s="1080" t="s">
        <v>14472</v>
      </c>
      <c r="C596" s="1080" t="s">
        <v>14526</v>
      </c>
      <c r="D596" s="1081" t="s">
        <v>409</v>
      </c>
      <c r="E596" s="1082">
        <v>1.44</v>
      </c>
      <c r="F596" s="1083">
        <v>1217.5</v>
      </c>
      <c r="G596" s="1083">
        <v>1753.2</v>
      </c>
      <c r="H596" s="1084">
        <f t="shared" si="6"/>
        <v>1.1907775752028066E-4</v>
      </c>
      <c r="I596" s="1085">
        <f t="shared" si="8"/>
        <v>0.96773443761566635</v>
      </c>
      <c r="J596" s="1085" t="str">
        <f t="shared" si="7"/>
        <v>C</v>
      </c>
      <c r="K596" s="1036"/>
      <c r="L596" s="1036"/>
      <c r="M596" s="1036"/>
      <c r="N596" s="1036"/>
      <c r="O596" s="1036"/>
      <c r="P596" s="1036"/>
      <c r="Q596" s="1036"/>
      <c r="R596" s="1036"/>
      <c r="S596" s="1036"/>
      <c r="T596" s="1036"/>
      <c r="U596" s="1036"/>
      <c r="V596" s="1036"/>
      <c r="W596" s="1036"/>
      <c r="X596" s="1036"/>
      <c r="Y596" s="1036"/>
      <c r="Z596" s="1036"/>
    </row>
    <row r="597" spans="1:26" ht="51">
      <c r="A597" s="1079">
        <v>89711</v>
      </c>
      <c r="B597" s="1080" t="s">
        <v>14476</v>
      </c>
      <c r="C597" s="1080" t="s">
        <v>8442</v>
      </c>
      <c r="D597" s="1081" t="s">
        <v>50</v>
      </c>
      <c r="E597" s="1082">
        <v>70</v>
      </c>
      <c r="F597" s="1083">
        <v>25.02</v>
      </c>
      <c r="G597" s="1083">
        <v>1751.4</v>
      </c>
      <c r="H597" s="1084">
        <f t="shared" si="6"/>
        <v>1.1895550109572184E-4</v>
      </c>
      <c r="I597" s="1085">
        <f t="shared" si="8"/>
        <v>0.96785339311676211</v>
      </c>
      <c r="J597" s="1085" t="str">
        <f t="shared" si="7"/>
        <v>C</v>
      </c>
      <c r="K597" s="1036"/>
      <c r="L597" s="1036"/>
      <c r="M597" s="1036"/>
      <c r="N597" s="1036"/>
      <c r="O597" s="1036"/>
      <c r="P597" s="1036"/>
      <c r="Q597" s="1036"/>
      <c r="R597" s="1036"/>
      <c r="S597" s="1036"/>
      <c r="T597" s="1036"/>
      <c r="U597" s="1036"/>
      <c r="V597" s="1036"/>
      <c r="W597" s="1036"/>
      <c r="X597" s="1036"/>
      <c r="Y597" s="1036"/>
      <c r="Z597" s="1036"/>
    </row>
    <row r="598" spans="1:26" ht="38.25">
      <c r="A598" s="1079" t="s">
        <v>15028</v>
      </c>
      <c r="B598" s="1080" t="s">
        <v>14472</v>
      </c>
      <c r="C598" s="1080" t="s">
        <v>15029</v>
      </c>
      <c r="D598" s="1081" t="s">
        <v>50</v>
      </c>
      <c r="E598" s="1082">
        <v>9</v>
      </c>
      <c r="F598" s="1083">
        <v>191.35</v>
      </c>
      <c r="G598" s="1083">
        <v>1722.15</v>
      </c>
      <c r="H598" s="1084">
        <f t="shared" si="6"/>
        <v>1.1696883419664119E-4</v>
      </c>
      <c r="I598" s="1085">
        <f t="shared" si="8"/>
        <v>0.96797036195095876</v>
      </c>
      <c r="J598" s="1085" t="str">
        <f t="shared" si="7"/>
        <v>C</v>
      </c>
      <c r="K598" s="1036"/>
      <c r="L598" s="1036"/>
      <c r="M598" s="1036"/>
      <c r="N598" s="1036"/>
      <c r="O598" s="1036"/>
      <c r="P598" s="1036"/>
      <c r="Q598" s="1036"/>
      <c r="R598" s="1036"/>
      <c r="S598" s="1036"/>
      <c r="T598" s="1036"/>
      <c r="U598" s="1036"/>
      <c r="V598" s="1036"/>
      <c r="W598" s="1036"/>
      <c r="X598" s="1036"/>
      <c r="Y598" s="1036"/>
      <c r="Z598" s="1036"/>
    </row>
    <row r="599" spans="1:26" ht="38.25">
      <c r="A599" s="1079" t="s">
        <v>15440</v>
      </c>
      <c r="B599" s="1080" t="s">
        <v>14472</v>
      </c>
      <c r="C599" s="1080" t="s">
        <v>15441</v>
      </c>
      <c r="D599" s="1081" t="s">
        <v>6</v>
      </c>
      <c r="E599" s="1082">
        <v>6</v>
      </c>
      <c r="F599" s="1083">
        <v>286.22000000000003</v>
      </c>
      <c r="G599" s="1083">
        <v>1717.32</v>
      </c>
      <c r="H599" s="1084">
        <f t="shared" si="6"/>
        <v>1.1664077945740837E-4</v>
      </c>
      <c r="I599" s="1085">
        <f t="shared" si="8"/>
        <v>0.96808700273041615</v>
      </c>
      <c r="J599" s="1085" t="str">
        <f t="shared" si="7"/>
        <v>C</v>
      </c>
      <c r="K599" s="1036"/>
      <c r="L599" s="1036"/>
      <c r="M599" s="1036"/>
      <c r="N599" s="1036"/>
      <c r="O599" s="1036"/>
      <c r="P599" s="1036"/>
      <c r="Q599" s="1036"/>
      <c r="R599" s="1036"/>
      <c r="S599" s="1036"/>
      <c r="T599" s="1036"/>
      <c r="U599" s="1036"/>
      <c r="V599" s="1036"/>
      <c r="W599" s="1036"/>
      <c r="X599" s="1036"/>
      <c r="Y599" s="1036"/>
      <c r="Z599" s="1036"/>
    </row>
    <row r="600" spans="1:26" ht="38.25">
      <c r="A600" s="1079" t="s">
        <v>15440</v>
      </c>
      <c r="B600" s="1080" t="s">
        <v>14472</v>
      </c>
      <c r="C600" s="1080" t="s">
        <v>15441</v>
      </c>
      <c r="D600" s="1081" t="s">
        <v>6</v>
      </c>
      <c r="E600" s="1082">
        <v>6</v>
      </c>
      <c r="F600" s="1083">
        <v>286.22000000000003</v>
      </c>
      <c r="G600" s="1083">
        <v>1717.32</v>
      </c>
      <c r="H600" s="1084">
        <f t="shared" si="6"/>
        <v>1.1664077945740837E-4</v>
      </c>
      <c r="I600" s="1085">
        <f t="shared" si="8"/>
        <v>0.96820364350987353</v>
      </c>
      <c r="J600" s="1085" t="str">
        <f t="shared" si="7"/>
        <v>C</v>
      </c>
      <c r="K600" s="1036"/>
      <c r="L600" s="1036"/>
      <c r="M600" s="1036"/>
      <c r="N600" s="1036"/>
      <c r="O600" s="1036"/>
      <c r="P600" s="1036"/>
      <c r="Q600" s="1036"/>
      <c r="R600" s="1036"/>
      <c r="S600" s="1036"/>
      <c r="T600" s="1036"/>
      <c r="U600" s="1036"/>
      <c r="V600" s="1036"/>
      <c r="W600" s="1036"/>
      <c r="X600" s="1036"/>
      <c r="Y600" s="1036"/>
      <c r="Z600" s="1036"/>
    </row>
    <row r="601" spans="1:26" ht="38.25">
      <c r="A601" s="1079" t="s">
        <v>15440</v>
      </c>
      <c r="B601" s="1080" t="s">
        <v>14472</v>
      </c>
      <c r="C601" s="1080" t="s">
        <v>15441</v>
      </c>
      <c r="D601" s="1081" t="s">
        <v>6</v>
      </c>
      <c r="E601" s="1082">
        <v>6</v>
      </c>
      <c r="F601" s="1083">
        <v>286.22000000000003</v>
      </c>
      <c r="G601" s="1083">
        <v>1717.32</v>
      </c>
      <c r="H601" s="1084">
        <f t="shared" si="6"/>
        <v>1.1664077945740837E-4</v>
      </c>
      <c r="I601" s="1085">
        <f t="shared" si="8"/>
        <v>0.96832028428933092</v>
      </c>
      <c r="J601" s="1085" t="str">
        <f t="shared" si="7"/>
        <v>C</v>
      </c>
      <c r="K601" s="1036"/>
      <c r="L601" s="1036"/>
      <c r="M601" s="1036"/>
      <c r="N601" s="1036"/>
      <c r="O601" s="1036"/>
      <c r="P601" s="1036"/>
      <c r="Q601" s="1036"/>
      <c r="R601" s="1036"/>
      <c r="S601" s="1036"/>
      <c r="T601" s="1036"/>
      <c r="U601" s="1036"/>
      <c r="V601" s="1036"/>
      <c r="W601" s="1036"/>
      <c r="X601" s="1036"/>
      <c r="Y601" s="1036"/>
      <c r="Z601" s="1036"/>
    </row>
    <row r="602" spans="1:26" ht="38.25">
      <c r="A602" s="1079">
        <v>100867</v>
      </c>
      <c r="B602" s="1080" t="s">
        <v>14476</v>
      </c>
      <c r="C602" s="1080" t="s">
        <v>15981</v>
      </c>
      <c r="D602" s="1081" t="s">
        <v>6</v>
      </c>
      <c r="E602" s="1082">
        <v>4</v>
      </c>
      <c r="F602" s="1083">
        <v>428.08</v>
      </c>
      <c r="G602" s="1083">
        <v>1712.32</v>
      </c>
      <c r="H602" s="1084">
        <f t="shared" si="6"/>
        <v>1.1630117827807835E-4</v>
      </c>
      <c r="I602" s="1085">
        <f t="shared" si="8"/>
        <v>0.96843658546760902</v>
      </c>
      <c r="J602" s="1085" t="str">
        <f t="shared" si="7"/>
        <v>C</v>
      </c>
      <c r="K602" s="1036"/>
      <c r="L602" s="1036"/>
      <c r="M602" s="1036"/>
      <c r="N602" s="1036"/>
      <c r="O602" s="1036"/>
      <c r="P602" s="1036"/>
      <c r="Q602" s="1036"/>
      <c r="R602" s="1036"/>
      <c r="S602" s="1036"/>
      <c r="T602" s="1036"/>
      <c r="U602" s="1036"/>
      <c r="V602" s="1036"/>
      <c r="W602" s="1036"/>
      <c r="X602" s="1036"/>
      <c r="Y602" s="1036"/>
      <c r="Z602" s="1036"/>
    </row>
    <row r="603" spans="1:26" ht="38.25">
      <c r="A603" s="1079">
        <v>100867</v>
      </c>
      <c r="B603" s="1080" t="s">
        <v>14476</v>
      </c>
      <c r="C603" s="1080" t="s">
        <v>15981</v>
      </c>
      <c r="D603" s="1081" t="s">
        <v>6</v>
      </c>
      <c r="E603" s="1082">
        <v>4</v>
      </c>
      <c r="F603" s="1083">
        <v>428.08</v>
      </c>
      <c r="G603" s="1083">
        <v>1712.32</v>
      </c>
      <c r="H603" s="1084">
        <f t="shared" si="6"/>
        <v>1.1630117827807835E-4</v>
      </c>
      <c r="I603" s="1085">
        <f t="shared" si="8"/>
        <v>0.96855288664588712</v>
      </c>
      <c r="J603" s="1085" t="str">
        <f t="shared" si="7"/>
        <v>C</v>
      </c>
      <c r="K603" s="1036"/>
      <c r="L603" s="1036"/>
      <c r="M603" s="1036"/>
      <c r="N603" s="1036"/>
      <c r="O603" s="1036"/>
      <c r="P603" s="1036"/>
      <c r="Q603" s="1036"/>
      <c r="R603" s="1036"/>
      <c r="S603" s="1036"/>
      <c r="T603" s="1036"/>
      <c r="U603" s="1036"/>
      <c r="V603" s="1036"/>
      <c r="W603" s="1036"/>
      <c r="X603" s="1036"/>
      <c r="Y603" s="1036"/>
      <c r="Z603" s="1036"/>
    </row>
    <row r="604" spans="1:26" ht="25.5">
      <c r="A604" s="1079">
        <v>93358</v>
      </c>
      <c r="B604" s="1080" t="s">
        <v>14476</v>
      </c>
      <c r="C604" s="1080" t="s">
        <v>10648</v>
      </c>
      <c r="D604" s="1081" t="s">
        <v>152</v>
      </c>
      <c r="E604" s="1082">
        <v>17</v>
      </c>
      <c r="F604" s="1083">
        <v>100.47</v>
      </c>
      <c r="G604" s="1083">
        <v>1707.99</v>
      </c>
      <c r="H604" s="1084">
        <f t="shared" si="6"/>
        <v>1.1600708365677854E-4</v>
      </c>
      <c r="I604" s="1085">
        <f t="shared" si="8"/>
        <v>0.9686688937295439</v>
      </c>
      <c r="J604" s="1085" t="str">
        <f t="shared" si="7"/>
        <v>C</v>
      </c>
      <c r="K604" s="1036"/>
      <c r="L604" s="1036"/>
      <c r="M604" s="1036"/>
      <c r="N604" s="1036"/>
      <c r="O604" s="1036"/>
      <c r="P604" s="1036"/>
      <c r="Q604" s="1036"/>
      <c r="R604" s="1036"/>
      <c r="S604" s="1036"/>
      <c r="T604" s="1036"/>
      <c r="U604" s="1036"/>
      <c r="V604" s="1036"/>
      <c r="W604" s="1036"/>
      <c r="X604" s="1036"/>
      <c r="Y604" s="1036"/>
      <c r="Z604" s="1036"/>
    </row>
    <row r="605" spans="1:26" ht="25.5">
      <c r="A605" s="1079" t="s">
        <v>15169</v>
      </c>
      <c r="B605" s="1080" t="s">
        <v>14472</v>
      </c>
      <c r="C605" s="1080" t="s">
        <v>15984</v>
      </c>
      <c r="D605" s="1081" t="s">
        <v>6</v>
      </c>
      <c r="E605" s="1082">
        <v>4</v>
      </c>
      <c r="F605" s="1083">
        <v>426.65</v>
      </c>
      <c r="G605" s="1083">
        <v>1706.6</v>
      </c>
      <c r="H605" s="1084">
        <f t="shared" si="6"/>
        <v>1.1591267452892479E-4</v>
      </c>
      <c r="I605" s="1085">
        <f t="shared" si="8"/>
        <v>0.96878480640407283</v>
      </c>
      <c r="J605" s="1085" t="str">
        <f t="shared" si="7"/>
        <v>C</v>
      </c>
      <c r="K605" s="1036"/>
      <c r="L605" s="1036"/>
      <c r="M605" s="1036"/>
      <c r="N605" s="1036"/>
      <c r="O605" s="1036"/>
      <c r="P605" s="1036"/>
      <c r="Q605" s="1036"/>
      <c r="R605" s="1036"/>
      <c r="S605" s="1036"/>
      <c r="T605" s="1036"/>
      <c r="U605" s="1036"/>
      <c r="V605" s="1036"/>
      <c r="W605" s="1036"/>
      <c r="X605" s="1036"/>
      <c r="Y605" s="1036"/>
      <c r="Z605" s="1036"/>
    </row>
    <row r="606" spans="1:26" ht="51">
      <c r="A606" s="1079">
        <v>89732</v>
      </c>
      <c r="B606" s="1080" t="s">
        <v>14476</v>
      </c>
      <c r="C606" s="1080" t="s">
        <v>8945</v>
      </c>
      <c r="D606" s="1081" t="s">
        <v>6</v>
      </c>
      <c r="E606" s="1082">
        <v>90</v>
      </c>
      <c r="F606" s="1083">
        <v>18.95</v>
      </c>
      <c r="G606" s="1083">
        <v>1705.5</v>
      </c>
      <c r="H606" s="1084">
        <f t="shared" si="6"/>
        <v>1.1583796226947219E-4</v>
      </c>
      <c r="I606" s="1085">
        <f t="shared" si="8"/>
        <v>0.96890064436634227</v>
      </c>
      <c r="J606" s="1085" t="str">
        <f t="shared" si="7"/>
        <v>C</v>
      </c>
      <c r="K606" s="1036"/>
      <c r="L606" s="1036"/>
      <c r="M606" s="1036"/>
      <c r="N606" s="1036"/>
      <c r="O606" s="1036"/>
      <c r="P606" s="1036"/>
      <c r="Q606" s="1036"/>
      <c r="R606" s="1036"/>
      <c r="S606" s="1036"/>
      <c r="T606" s="1036"/>
      <c r="U606" s="1036"/>
      <c r="V606" s="1036"/>
      <c r="W606" s="1036"/>
      <c r="X606" s="1036"/>
      <c r="Y606" s="1036"/>
      <c r="Z606" s="1036"/>
    </row>
    <row r="607" spans="1:26" ht="25.5">
      <c r="A607" s="1079">
        <v>93382</v>
      </c>
      <c r="B607" s="1080" t="s">
        <v>14476</v>
      </c>
      <c r="C607" s="1080" t="s">
        <v>10726</v>
      </c>
      <c r="D607" s="1081" t="s">
        <v>152</v>
      </c>
      <c r="E607" s="1082">
        <v>57.53</v>
      </c>
      <c r="F607" s="1083">
        <v>29.52</v>
      </c>
      <c r="G607" s="1083">
        <v>1698.28</v>
      </c>
      <c r="H607" s="1084">
        <f t="shared" si="6"/>
        <v>1.1534757816651963E-4</v>
      </c>
      <c r="I607" s="1085">
        <f t="shared" si="8"/>
        <v>0.96901599194450883</v>
      </c>
      <c r="J607" s="1085" t="str">
        <f t="shared" si="7"/>
        <v>C</v>
      </c>
      <c r="K607" s="1036"/>
      <c r="L607" s="1036"/>
      <c r="M607" s="1036"/>
      <c r="N607" s="1036"/>
      <c r="O607" s="1036"/>
      <c r="P607" s="1036"/>
      <c r="Q607" s="1036"/>
      <c r="R607" s="1036"/>
      <c r="S607" s="1036"/>
      <c r="T607" s="1036"/>
      <c r="U607" s="1036"/>
      <c r="V607" s="1036"/>
      <c r="W607" s="1036"/>
      <c r="X607" s="1036"/>
      <c r="Y607" s="1036"/>
      <c r="Z607" s="1036"/>
    </row>
    <row r="608" spans="1:26" ht="38.25">
      <c r="A608" s="1079" t="s">
        <v>15217</v>
      </c>
      <c r="B608" s="1080" t="s">
        <v>14472</v>
      </c>
      <c r="C608" s="1080" t="s">
        <v>15218</v>
      </c>
      <c r="D608" s="1081" t="s">
        <v>50</v>
      </c>
      <c r="E608" s="1082">
        <v>186</v>
      </c>
      <c r="F608" s="1083">
        <v>9.07</v>
      </c>
      <c r="G608" s="1083">
        <v>1687.02</v>
      </c>
      <c r="H608" s="1084">
        <f t="shared" si="6"/>
        <v>1.1458279631066841E-4</v>
      </c>
      <c r="I608" s="1085">
        <f t="shared" si="8"/>
        <v>0.96913057474081954</v>
      </c>
      <c r="J608" s="1085" t="str">
        <f t="shared" si="7"/>
        <v>C</v>
      </c>
      <c r="K608" s="1036"/>
      <c r="L608" s="1036"/>
      <c r="M608" s="1036"/>
      <c r="N608" s="1036"/>
      <c r="O608" s="1036"/>
      <c r="P608" s="1036"/>
      <c r="Q608" s="1036"/>
      <c r="R608" s="1036"/>
      <c r="S608" s="1036"/>
      <c r="T608" s="1036"/>
      <c r="U608" s="1036"/>
      <c r="V608" s="1036"/>
      <c r="W608" s="1036"/>
      <c r="X608" s="1036"/>
      <c r="Y608" s="1036"/>
      <c r="Z608" s="1036"/>
    </row>
    <row r="609" spans="1:26" ht="25.5">
      <c r="A609" s="1079" t="s">
        <v>15177</v>
      </c>
      <c r="B609" s="1080" t="s">
        <v>14472</v>
      </c>
      <c r="C609" s="1080" t="s">
        <v>15985</v>
      </c>
      <c r="D609" s="1081" t="s">
        <v>50</v>
      </c>
      <c r="E609" s="1082">
        <v>19</v>
      </c>
      <c r="F609" s="1083">
        <v>88.68</v>
      </c>
      <c r="G609" s="1083">
        <v>1684.92</v>
      </c>
      <c r="H609" s="1084">
        <f t="shared" si="6"/>
        <v>1.144401638153498E-4</v>
      </c>
      <c r="I609" s="1085">
        <f t="shared" si="8"/>
        <v>0.96924501490463488</v>
      </c>
      <c r="J609" s="1085" t="str">
        <f t="shared" si="7"/>
        <v>C</v>
      </c>
      <c r="K609" s="1036"/>
      <c r="L609" s="1036"/>
      <c r="M609" s="1036"/>
      <c r="N609" s="1036"/>
      <c r="O609" s="1036"/>
      <c r="P609" s="1036"/>
      <c r="Q609" s="1036"/>
      <c r="R609" s="1036"/>
      <c r="S609" s="1036"/>
      <c r="T609" s="1036"/>
      <c r="U609" s="1036"/>
      <c r="V609" s="1036"/>
      <c r="W609" s="1036"/>
      <c r="X609" s="1036"/>
      <c r="Y609" s="1036"/>
      <c r="Z609" s="1036"/>
    </row>
    <row r="610" spans="1:26" ht="38.25">
      <c r="A610" s="1079">
        <v>92770</v>
      </c>
      <c r="B610" s="1080" t="s">
        <v>14476</v>
      </c>
      <c r="C610" s="1080" t="s">
        <v>7439</v>
      </c>
      <c r="D610" s="1081" t="s">
        <v>54</v>
      </c>
      <c r="E610" s="1082">
        <v>100.9</v>
      </c>
      <c r="F610" s="1083">
        <v>16.66</v>
      </c>
      <c r="G610" s="1083">
        <v>1680.99</v>
      </c>
      <c r="H610" s="1084">
        <f t="shared" si="6"/>
        <v>1.141732372883964E-4</v>
      </c>
      <c r="I610" s="1085">
        <f t="shared" si="8"/>
        <v>0.96935918814192323</v>
      </c>
      <c r="J610" s="1085" t="str">
        <f t="shared" si="7"/>
        <v>C</v>
      </c>
      <c r="K610" s="1036"/>
      <c r="L610" s="1036"/>
      <c r="M610" s="1036"/>
      <c r="N610" s="1036"/>
      <c r="O610" s="1036"/>
      <c r="P610" s="1036"/>
      <c r="Q610" s="1036"/>
      <c r="R610" s="1036"/>
      <c r="S610" s="1036"/>
      <c r="T610" s="1036"/>
      <c r="U610" s="1036"/>
      <c r="V610" s="1036"/>
      <c r="W610" s="1036"/>
      <c r="X610" s="1036"/>
      <c r="Y610" s="1036"/>
      <c r="Z610" s="1036"/>
    </row>
    <row r="611" spans="1:26" ht="38.25">
      <c r="A611" s="1079">
        <v>97881</v>
      </c>
      <c r="B611" s="1080" t="s">
        <v>14476</v>
      </c>
      <c r="C611" s="1080" t="s">
        <v>7930</v>
      </c>
      <c r="D611" s="1081" t="s">
        <v>6</v>
      </c>
      <c r="E611" s="1082">
        <v>10</v>
      </c>
      <c r="F611" s="1083">
        <v>168.01</v>
      </c>
      <c r="G611" s="1083">
        <v>1680.1</v>
      </c>
      <c r="H611" s="1084">
        <f t="shared" si="6"/>
        <v>1.1411278827847565E-4</v>
      </c>
      <c r="I611" s="1085">
        <f t="shared" si="8"/>
        <v>0.96947330093020168</v>
      </c>
      <c r="J611" s="1085" t="str">
        <f t="shared" si="7"/>
        <v>C</v>
      </c>
      <c r="K611" s="1036"/>
      <c r="L611" s="1036"/>
      <c r="M611" s="1036"/>
      <c r="N611" s="1036"/>
      <c r="O611" s="1036"/>
      <c r="P611" s="1036"/>
      <c r="Q611" s="1036"/>
      <c r="R611" s="1036"/>
      <c r="S611" s="1036"/>
      <c r="T611" s="1036"/>
      <c r="U611" s="1036"/>
      <c r="V611" s="1036"/>
      <c r="W611" s="1036"/>
      <c r="X611" s="1036"/>
      <c r="Y611" s="1036"/>
      <c r="Z611" s="1036"/>
    </row>
    <row r="612" spans="1:26" ht="51">
      <c r="A612" s="1079">
        <v>97906</v>
      </c>
      <c r="B612" s="1080" t="s">
        <v>14476</v>
      </c>
      <c r="C612" s="1080" t="s">
        <v>10017</v>
      </c>
      <c r="D612" s="1081" t="s">
        <v>6</v>
      </c>
      <c r="E612" s="1082">
        <v>3</v>
      </c>
      <c r="F612" s="1083">
        <v>559.72</v>
      </c>
      <c r="G612" s="1083">
        <v>1679.16</v>
      </c>
      <c r="H612" s="1084">
        <f t="shared" si="6"/>
        <v>1.1404894325676161E-4</v>
      </c>
      <c r="I612" s="1085">
        <f t="shared" si="8"/>
        <v>0.9695873498734584</v>
      </c>
      <c r="J612" s="1085" t="str">
        <f t="shared" si="7"/>
        <v>C</v>
      </c>
      <c r="K612" s="1036"/>
      <c r="L612" s="1036"/>
      <c r="M612" s="1036"/>
      <c r="N612" s="1036"/>
      <c r="O612" s="1036"/>
      <c r="P612" s="1036"/>
      <c r="Q612" s="1036"/>
      <c r="R612" s="1036"/>
      <c r="S612" s="1036"/>
      <c r="T612" s="1036"/>
      <c r="U612" s="1036"/>
      <c r="V612" s="1036"/>
      <c r="W612" s="1036"/>
      <c r="X612" s="1036"/>
      <c r="Y612" s="1036"/>
      <c r="Z612" s="1036"/>
    </row>
    <row r="613" spans="1:26" ht="51">
      <c r="A613" s="1079">
        <v>89753</v>
      </c>
      <c r="B613" s="1080" t="s">
        <v>14476</v>
      </c>
      <c r="C613" s="1080" t="s">
        <v>8964</v>
      </c>
      <c r="D613" s="1081" t="s">
        <v>6</v>
      </c>
      <c r="E613" s="1082">
        <v>150</v>
      </c>
      <c r="F613" s="1083">
        <v>11.17</v>
      </c>
      <c r="G613" s="1083">
        <v>1675.5</v>
      </c>
      <c r="H613" s="1084">
        <f t="shared" si="6"/>
        <v>1.1380035519349204E-4</v>
      </c>
      <c r="I613" s="1085">
        <f t="shared" si="8"/>
        <v>0.96970115022865189</v>
      </c>
      <c r="J613" s="1085" t="str">
        <f t="shared" si="7"/>
        <v>C</v>
      </c>
      <c r="K613" s="1036"/>
      <c r="L613" s="1036"/>
      <c r="M613" s="1036"/>
      <c r="N613" s="1036"/>
      <c r="O613" s="1036"/>
      <c r="P613" s="1036"/>
      <c r="Q613" s="1036"/>
      <c r="R613" s="1036"/>
      <c r="S613" s="1036"/>
      <c r="T613" s="1036"/>
      <c r="U613" s="1036"/>
      <c r="V613" s="1036"/>
      <c r="W613" s="1036"/>
      <c r="X613" s="1036"/>
      <c r="Y613" s="1036"/>
      <c r="Z613" s="1036"/>
    </row>
    <row r="614" spans="1:26" ht="51">
      <c r="A614" s="1079" t="s">
        <v>14594</v>
      </c>
      <c r="B614" s="1080" t="s">
        <v>14472</v>
      </c>
      <c r="C614" s="1080" t="s">
        <v>14595</v>
      </c>
      <c r="D614" s="1081" t="s">
        <v>50</v>
      </c>
      <c r="E614" s="1082">
        <v>57</v>
      </c>
      <c r="F614" s="1083">
        <v>29.37</v>
      </c>
      <c r="G614" s="1083">
        <v>1674.09</v>
      </c>
      <c r="H614" s="1084">
        <f t="shared" si="6"/>
        <v>1.1370458766092096E-4</v>
      </c>
      <c r="I614" s="1085">
        <f t="shared" si="8"/>
        <v>0.9698148548163128</v>
      </c>
      <c r="J614" s="1085" t="str">
        <f t="shared" si="7"/>
        <v>C</v>
      </c>
      <c r="K614" s="1036"/>
      <c r="L614" s="1036"/>
      <c r="M614" s="1036"/>
      <c r="N614" s="1036"/>
      <c r="O614" s="1036"/>
      <c r="P614" s="1036"/>
      <c r="Q614" s="1036"/>
      <c r="R614" s="1036"/>
      <c r="S614" s="1036"/>
      <c r="T614" s="1036"/>
      <c r="U614" s="1036"/>
      <c r="V614" s="1036"/>
      <c r="W614" s="1036"/>
      <c r="X614" s="1036"/>
      <c r="Y614" s="1036"/>
      <c r="Z614" s="1036"/>
    </row>
    <row r="615" spans="1:26" ht="51">
      <c r="A615" s="1079">
        <v>100761</v>
      </c>
      <c r="B615" s="1080" t="s">
        <v>14476</v>
      </c>
      <c r="C615" s="1080" t="s">
        <v>11101</v>
      </c>
      <c r="D615" s="1081" t="s">
        <v>409</v>
      </c>
      <c r="E615" s="1082">
        <v>29.65</v>
      </c>
      <c r="F615" s="1083">
        <v>56.41</v>
      </c>
      <c r="G615" s="1083">
        <v>1672.27</v>
      </c>
      <c r="H615" s="1084">
        <f t="shared" si="6"/>
        <v>1.1358097283164484E-4</v>
      </c>
      <c r="I615" s="1085">
        <f t="shared" si="8"/>
        <v>0.96992843578914445</v>
      </c>
      <c r="J615" s="1085" t="str">
        <f t="shared" si="7"/>
        <v>C</v>
      </c>
      <c r="K615" s="1036"/>
      <c r="L615" s="1036"/>
      <c r="M615" s="1036"/>
      <c r="N615" s="1036"/>
      <c r="O615" s="1036"/>
      <c r="P615" s="1036"/>
      <c r="Q615" s="1036"/>
      <c r="R615" s="1036"/>
      <c r="S615" s="1036"/>
      <c r="T615" s="1036"/>
      <c r="U615" s="1036"/>
      <c r="V615" s="1036"/>
      <c r="W615" s="1036"/>
      <c r="X615" s="1036"/>
      <c r="Y615" s="1036"/>
      <c r="Z615" s="1036"/>
    </row>
    <row r="616" spans="1:26" ht="38.25">
      <c r="A616" s="1079" t="s">
        <v>14752</v>
      </c>
      <c r="B616" s="1080" t="s">
        <v>14472</v>
      </c>
      <c r="C616" s="1080" t="s">
        <v>14753</v>
      </c>
      <c r="D616" s="1081" t="s">
        <v>409</v>
      </c>
      <c r="E616" s="1082">
        <v>2</v>
      </c>
      <c r="F616" s="1083">
        <v>831.95</v>
      </c>
      <c r="G616" s="1083">
        <v>1663.9</v>
      </c>
      <c r="H616" s="1084">
        <f t="shared" si="6"/>
        <v>1.1301248045744638E-4</v>
      </c>
      <c r="I616" s="1085">
        <f t="shared" si="8"/>
        <v>0.97004144826960192</v>
      </c>
      <c r="J616" s="1085" t="str">
        <f t="shared" si="7"/>
        <v>C</v>
      </c>
      <c r="K616" s="1036"/>
      <c r="L616" s="1036"/>
      <c r="M616" s="1036"/>
      <c r="N616" s="1036"/>
      <c r="O616" s="1036"/>
      <c r="P616" s="1036"/>
      <c r="Q616" s="1036"/>
      <c r="R616" s="1036"/>
      <c r="S616" s="1036"/>
      <c r="T616" s="1036"/>
      <c r="U616" s="1036"/>
      <c r="V616" s="1036"/>
      <c r="W616" s="1036"/>
      <c r="X616" s="1036"/>
      <c r="Y616" s="1036"/>
      <c r="Z616" s="1036"/>
    </row>
    <row r="617" spans="1:26" ht="25.5">
      <c r="A617" s="1079">
        <v>93358</v>
      </c>
      <c r="B617" s="1080" t="s">
        <v>14476</v>
      </c>
      <c r="C617" s="1080" t="s">
        <v>10648</v>
      </c>
      <c r="D617" s="1081" t="s">
        <v>152</v>
      </c>
      <c r="E617" s="1082">
        <v>16.5</v>
      </c>
      <c r="F617" s="1083">
        <v>100.47</v>
      </c>
      <c r="G617" s="1083">
        <v>1657.75</v>
      </c>
      <c r="H617" s="1084">
        <f t="shared" si="6"/>
        <v>1.1259477100687044E-4</v>
      </c>
      <c r="I617" s="1085">
        <f t="shared" si="8"/>
        <v>0.97015404304060882</v>
      </c>
      <c r="J617" s="1085" t="str">
        <f t="shared" si="7"/>
        <v>C</v>
      </c>
      <c r="K617" s="1036"/>
      <c r="L617" s="1036"/>
      <c r="M617" s="1036"/>
      <c r="N617" s="1036"/>
      <c r="O617" s="1036"/>
      <c r="P617" s="1036"/>
      <c r="Q617" s="1036"/>
      <c r="R617" s="1036"/>
      <c r="S617" s="1036"/>
      <c r="T617" s="1036"/>
      <c r="U617" s="1036"/>
      <c r="V617" s="1036"/>
      <c r="W617" s="1036"/>
      <c r="X617" s="1036"/>
      <c r="Y617" s="1036"/>
      <c r="Z617" s="1036"/>
    </row>
    <row r="618" spans="1:26" ht="63.75">
      <c r="A618" s="1079" t="s">
        <v>15388</v>
      </c>
      <c r="B618" s="1080" t="s">
        <v>14472</v>
      </c>
      <c r="C618" s="1080" t="s">
        <v>15389</v>
      </c>
      <c r="D618" s="1081" t="s">
        <v>6</v>
      </c>
      <c r="E618" s="1082">
        <v>2</v>
      </c>
      <c r="F618" s="1083">
        <v>828.22</v>
      </c>
      <c r="G618" s="1083">
        <v>1656.44</v>
      </c>
      <c r="H618" s="1084">
        <f t="shared" si="6"/>
        <v>1.1250579549788597E-4</v>
      </c>
      <c r="I618" s="1085">
        <f t="shared" si="8"/>
        <v>0.97026654883610675</v>
      </c>
      <c r="J618" s="1085" t="str">
        <f t="shared" si="7"/>
        <v>C</v>
      </c>
      <c r="K618" s="1036"/>
      <c r="L618" s="1036"/>
      <c r="M618" s="1036"/>
      <c r="N618" s="1036"/>
      <c r="O618" s="1036"/>
      <c r="P618" s="1036"/>
      <c r="Q618" s="1036"/>
      <c r="R618" s="1036"/>
      <c r="S618" s="1036"/>
      <c r="T618" s="1036"/>
      <c r="U618" s="1036"/>
      <c r="V618" s="1036"/>
      <c r="W618" s="1036"/>
      <c r="X618" s="1036"/>
      <c r="Y618" s="1036"/>
      <c r="Z618" s="1036"/>
    </row>
    <row r="619" spans="1:26" ht="63.75">
      <c r="A619" s="1079" t="s">
        <v>15388</v>
      </c>
      <c r="B619" s="1080" t="s">
        <v>14472</v>
      </c>
      <c r="C619" s="1080" t="s">
        <v>15389</v>
      </c>
      <c r="D619" s="1081" t="s">
        <v>6</v>
      </c>
      <c r="E619" s="1082">
        <v>2</v>
      </c>
      <c r="F619" s="1083">
        <v>828.22</v>
      </c>
      <c r="G619" s="1083">
        <v>1656.44</v>
      </c>
      <c r="H619" s="1084">
        <f t="shared" si="6"/>
        <v>1.1250579549788597E-4</v>
      </c>
      <c r="I619" s="1085">
        <f t="shared" si="8"/>
        <v>0.97037905463160468</v>
      </c>
      <c r="J619" s="1085" t="str">
        <f t="shared" si="7"/>
        <v>C</v>
      </c>
      <c r="K619" s="1036"/>
      <c r="L619" s="1036"/>
      <c r="M619" s="1036"/>
      <c r="N619" s="1036"/>
      <c r="O619" s="1036"/>
      <c r="P619" s="1036"/>
      <c r="Q619" s="1036"/>
      <c r="R619" s="1036"/>
      <c r="S619" s="1036"/>
      <c r="T619" s="1036"/>
      <c r="U619" s="1036"/>
      <c r="V619" s="1036"/>
      <c r="W619" s="1036"/>
      <c r="X619" s="1036"/>
      <c r="Y619" s="1036"/>
      <c r="Z619" s="1036"/>
    </row>
    <row r="620" spans="1:26" ht="14.25">
      <c r="A620" s="1079" t="s">
        <v>15089</v>
      </c>
      <c r="B620" s="1080" t="s">
        <v>14472</v>
      </c>
      <c r="C620" s="1080" t="s">
        <v>15090</v>
      </c>
      <c r="D620" s="1081" t="s">
        <v>6</v>
      </c>
      <c r="E620" s="1082">
        <v>83</v>
      </c>
      <c r="F620" s="1083">
        <v>19.829999999999998</v>
      </c>
      <c r="G620" s="1083">
        <v>1645.89</v>
      </c>
      <c r="H620" s="1084">
        <f t="shared" si="6"/>
        <v>1.1178923700949961E-4</v>
      </c>
      <c r="I620" s="1085">
        <f t="shared" si="8"/>
        <v>0.97049084386861417</v>
      </c>
      <c r="J620" s="1085" t="str">
        <f t="shared" si="7"/>
        <v>C</v>
      </c>
      <c r="K620" s="1036"/>
      <c r="L620" s="1036"/>
      <c r="M620" s="1036"/>
      <c r="N620" s="1036"/>
      <c r="O620" s="1036"/>
      <c r="P620" s="1036"/>
      <c r="Q620" s="1036"/>
      <c r="R620" s="1036"/>
      <c r="S620" s="1036"/>
      <c r="T620" s="1036"/>
      <c r="U620" s="1036"/>
      <c r="V620" s="1036"/>
      <c r="W620" s="1036"/>
      <c r="X620" s="1036"/>
      <c r="Y620" s="1036"/>
      <c r="Z620" s="1036"/>
    </row>
    <row r="621" spans="1:26" ht="51">
      <c r="A621" s="1079">
        <v>99260</v>
      </c>
      <c r="B621" s="1080" t="s">
        <v>14476</v>
      </c>
      <c r="C621" s="1080" t="s">
        <v>10032</v>
      </c>
      <c r="D621" s="1081" t="s">
        <v>6</v>
      </c>
      <c r="E621" s="1082">
        <v>3</v>
      </c>
      <c r="F621" s="1083">
        <v>544.97</v>
      </c>
      <c r="G621" s="1083">
        <v>1634.91</v>
      </c>
      <c r="H621" s="1084">
        <f t="shared" si="6"/>
        <v>1.1104347281969088E-4</v>
      </c>
      <c r="I621" s="1085">
        <f t="shared" si="8"/>
        <v>0.97060188734143382</v>
      </c>
      <c r="J621" s="1085" t="str">
        <f t="shared" si="7"/>
        <v>C</v>
      </c>
      <c r="K621" s="1036"/>
      <c r="L621" s="1036"/>
      <c r="M621" s="1036"/>
      <c r="N621" s="1036"/>
      <c r="O621" s="1036"/>
      <c r="P621" s="1036"/>
      <c r="Q621" s="1036"/>
      <c r="R621" s="1036"/>
      <c r="S621" s="1036"/>
      <c r="T621" s="1036"/>
      <c r="U621" s="1036"/>
      <c r="V621" s="1036"/>
      <c r="W621" s="1036"/>
      <c r="X621" s="1036"/>
      <c r="Y621" s="1036"/>
      <c r="Z621" s="1036"/>
    </row>
    <row r="622" spans="1:26" ht="51">
      <c r="A622" s="1079">
        <v>89714</v>
      </c>
      <c r="B622" s="1080" t="s">
        <v>14476</v>
      </c>
      <c r="C622" s="1080" t="s">
        <v>8445</v>
      </c>
      <c r="D622" s="1081" t="s">
        <v>50</v>
      </c>
      <c r="E622" s="1082">
        <v>37</v>
      </c>
      <c r="F622" s="1083">
        <v>44.15</v>
      </c>
      <c r="G622" s="1083">
        <v>1633.55</v>
      </c>
      <c r="H622" s="1084">
        <f t="shared" si="6"/>
        <v>1.1095110129891311E-4</v>
      </c>
      <c r="I622" s="1085">
        <f t="shared" si="8"/>
        <v>0.97071283844273271</v>
      </c>
      <c r="J622" s="1085" t="str">
        <f t="shared" si="7"/>
        <v>C</v>
      </c>
      <c r="K622" s="1036"/>
      <c r="L622" s="1036"/>
      <c r="M622" s="1036"/>
      <c r="N622" s="1036"/>
      <c r="O622" s="1036"/>
      <c r="P622" s="1036"/>
      <c r="Q622" s="1036"/>
      <c r="R622" s="1036"/>
      <c r="S622" s="1036"/>
      <c r="T622" s="1036"/>
      <c r="U622" s="1036"/>
      <c r="V622" s="1036"/>
      <c r="W622" s="1036"/>
      <c r="X622" s="1036"/>
      <c r="Y622" s="1036"/>
      <c r="Z622" s="1036"/>
    </row>
    <row r="623" spans="1:26" ht="51">
      <c r="A623" s="1079">
        <v>92431</v>
      </c>
      <c r="B623" s="1080" t="s">
        <v>14476</v>
      </c>
      <c r="C623" s="1080" t="s">
        <v>7221</v>
      </c>
      <c r="D623" s="1081" t="s">
        <v>409</v>
      </c>
      <c r="E623" s="1082">
        <v>17.760000000000002</v>
      </c>
      <c r="F623" s="1083">
        <v>91.75</v>
      </c>
      <c r="G623" s="1083">
        <v>1629.48</v>
      </c>
      <c r="H623" s="1084">
        <f t="shared" si="6"/>
        <v>1.1067466593893847E-4</v>
      </c>
      <c r="I623" s="1085">
        <f t="shared" si="8"/>
        <v>0.97082351310867165</v>
      </c>
      <c r="J623" s="1085" t="str">
        <f t="shared" si="7"/>
        <v>C</v>
      </c>
      <c r="K623" s="1036"/>
      <c r="L623" s="1036"/>
      <c r="M623" s="1036"/>
      <c r="N623" s="1036"/>
      <c r="O623" s="1036"/>
      <c r="P623" s="1036"/>
      <c r="Q623" s="1036"/>
      <c r="R623" s="1036"/>
      <c r="S623" s="1036"/>
      <c r="T623" s="1036"/>
      <c r="U623" s="1036"/>
      <c r="V623" s="1036"/>
      <c r="W623" s="1036"/>
      <c r="X623" s="1036"/>
      <c r="Y623" s="1036"/>
      <c r="Z623" s="1036"/>
    </row>
    <row r="624" spans="1:26" ht="25.5">
      <c r="A624" s="1079">
        <v>93358</v>
      </c>
      <c r="B624" s="1080" t="s">
        <v>14476</v>
      </c>
      <c r="C624" s="1080" t="s">
        <v>10648</v>
      </c>
      <c r="D624" s="1081" t="s">
        <v>152</v>
      </c>
      <c r="E624" s="1082">
        <v>16.2</v>
      </c>
      <c r="F624" s="1083">
        <v>100.47</v>
      </c>
      <c r="G624" s="1083">
        <v>1627.61</v>
      </c>
      <c r="H624" s="1084">
        <f t="shared" si="6"/>
        <v>1.1054765509786903E-4</v>
      </c>
      <c r="I624" s="1085">
        <f t="shared" si="8"/>
        <v>0.97093406076376954</v>
      </c>
      <c r="J624" s="1085" t="str">
        <f t="shared" si="7"/>
        <v>C</v>
      </c>
      <c r="K624" s="1036"/>
      <c r="L624" s="1036"/>
      <c r="M624" s="1036"/>
      <c r="N624" s="1036"/>
      <c r="O624" s="1036"/>
      <c r="P624" s="1036"/>
      <c r="Q624" s="1036"/>
      <c r="R624" s="1036"/>
      <c r="S624" s="1036"/>
      <c r="T624" s="1036"/>
      <c r="U624" s="1036"/>
      <c r="V624" s="1036"/>
      <c r="W624" s="1036"/>
      <c r="X624" s="1036"/>
      <c r="Y624" s="1036"/>
      <c r="Z624" s="1036"/>
    </row>
    <row r="625" spans="1:26" ht="25.5">
      <c r="A625" s="1079">
        <v>105038</v>
      </c>
      <c r="B625" s="1080" t="s">
        <v>14476</v>
      </c>
      <c r="C625" s="1080" t="s">
        <v>7633</v>
      </c>
      <c r="D625" s="1081" t="s">
        <v>50</v>
      </c>
      <c r="E625" s="1082">
        <v>20.100000000000001</v>
      </c>
      <c r="F625" s="1083">
        <v>80.92</v>
      </c>
      <c r="G625" s="1083">
        <v>1626.49</v>
      </c>
      <c r="H625" s="1084">
        <f t="shared" si="6"/>
        <v>1.1047158443369911E-4</v>
      </c>
      <c r="I625" s="1085">
        <f t="shared" si="8"/>
        <v>0.9710445323482032</v>
      </c>
      <c r="J625" s="1085" t="str">
        <f t="shared" si="7"/>
        <v>C</v>
      </c>
      <c r="K625" s="1036"/>
      <c r="L625" s="1036"/>
      <c r="M625" s="1036"/>
      <c r="N625" s="1036"/>
      <c r="O625" s="1036"/>
      <c r="P625" s="1036"/>
      <c r="Q625" s="1036"/>
      <c r="R625" s="1036"/>
      <c r="S625" s="1036"/>
      <c r="T625" s="1036"/>
      <c r="U625" s="1036"/>
      <c r="V625" s="1036"/>
      <c r="W625" s="1036"/>
      <c r="X625" s="1036"/>
      <c r="Y625" s="1036"/>
      <c r="Z625" s="1036"/>
    </row>
    <row r="626" spans="1:26" ht="38.25">
      <c r="A626" s="1079">
        <v>93203</v>
      </c>
      <c r="B626" s="1080" t="s">
        <v>14476</v>
      </c>
      <c r="C626" s="1080" t="s">
        <v>7614</v>
      </c>
      <c r="D626" s="1081" t="s">
        <v>50</v>
      </c>
      <c r="E626" s="1082">
        <v>94.74</v>
      </c>
      <c r="F626" s="1083">
        <v>17.16</v>
      </c>
      <c r="G626" s="1083">
        <v>1625.73</v>
      </c>
      <c r="H626" s="1084">
        <f t="shared" si="6"/>
        <v>1.1041996505444094E-4</v>
      </c>
      <c r="I626" s="1085">
        <f t="shared" si="8"/>
        <v>0.97115495231325766</v>
      </c>
      <c r="J626" s="1085" t="str">
        <f t="shared" si="7"/>
        <v>C</v>
      </c>
      <c r="K626" s="1036"/>
      <c r="L626" s="1036"/>
      <c r="M626" s="1036"/>
      <c r="N626" s="1036"/>
      <c r="O626" s="1036"/>
      <c r="P626" s="1036"/>
      <c r="Q626" s="1036"/>
      <c r="R626" s="1036"/>
      <c r="S626" s="1036"/>
      <c r="T626" s="1036"/>
      <c r="U626" s="1036"/>
      <c r="V626" s="1036"/>
      <c r="W626" s="1036"/>
      <c r="X626" s="1036"/>
      <c r="Y626" s="1036"/>
      <c r="Z626" s="1036"/>
    </row>
    <row r="627" spans="1:26" ht="38.25">
      <c r="A627" s="1079">
        <v>104916</v>
      </c>
      <c r="B627" s="1080" t="s">
        <v>14476</v>
      </c>
      <c r="C627" s="1080" t="s">
        <v>7596</v>
      </c>
      <c r="D627" s="1081" t="s">
        <v>54</v>
      </c>
      <c r="E627" s="1082">
        <v>74.2</v>
      </c>
      <c r="F627" s="1083">
        <v>21.8</v>
      </c>
      <c r="G627" s="1083">
        <v>1617.56</v>
      </c>
      <c r="H627" s="1084">
        <f t="shared" si="6"/>
        <v>1.0986505672741567E-4</v>
      </c>
      <c r="I627" s="1085">
        <f t="shared" si="8"/>
        <v>0.97126481736998505</v>
      </c>
      <c r="J627" s="1085" t="str">
        <f t="shared" si="7"/>
        <v>C</v>
      </c>
      <c r="K627" s="1036"/>
      <c r="L627" s="1036"/>
      <c r="M627" s="1036"/>
      <c r="N627" s="1036"/>
      <c r="O627" s="1036"/>
      <c r="P627" s="1036"/>
      <c r="Q627" s="1036"/>
      <c r="R627" s="1036"/>
      <c r="S627" s="1036"/>
      <c r="T627" s="1036"/>
      <c r="U627" s="1036"/>
      <c r="V627" s="1036"/>
      <c r="W627" s="1036"/>
      <c r="X627" s="1036"/>
      <c r="Y627" s="1036"/>
      <c r="Z627" s="1036"/>
    </row>
    <row r="628" spans="1:26" ht="38.25">
      <c r="A628" s="1079">
        <v>92762</v>
      </c>
      <c r="B628" s="1080" t="s">
        <v>14476</v>
      </c>
      <c r="C628" s="1080" t="s">
        <v>7431</v>
      </c>
      <c r="D628" s="1081" t="s">
        <v>54</v>
      </c>
      <c r="E628" s="1082">
        <v>103.56</v>
      </c>
      <c r="F628" s="1083">
        <v>15.5</v>
      </c>
      <c r="G628" s="1083">
        <v>1605.18</v>
      </c>
      <c r="H628" s="1084">
        <f t="shared" si="6"/>
        <v>1.0902420420739454E-4</v>
      </c>
      <c r="I628" s="1085">
        <f t="shared" si="8"/>
        <v>0.97137384157419249</v>
      </c>
      <c r="J628" s="1085" t="str">
        <f t="shared" si="7"/>
        <v>C</v>
      </c>
      <c r="K628" s="1036"/>
      <c r="L628" s="1036"/>
      <c r="M628" s="1036"/>
      <c r="N628" s="1036"/>
      <c r="O628" s="1036"/>
      <c r="P628" s="1036"/>
      <c r="Q628" s="1036"/>
      <c r="R628" s="1036"/>
      <c r="S628" s="1036"/>
      <c r="T628" s="1036"/>
      <c r="U628" s="1036"/>
      <c r="V628" s="1036"/>
      <c r="W628" s="1036"/>
      <c r="X628" s="1036"/>
      <c r="Y628" s="1036"/>
      <c r="Z628" s="1036"/>
    </row>
    <row r="629" spans="1:26" ht="38.25">
      <c r="A629" s="1079">
        <v>98563</v>
      </c>
      <c r="B629" s="1080" t="s">
        <v>14476</v>
      </c>
      <c r="C629" s="1080" t="s">
        <v>7742</v>
      </c>
      <c r="D629" s="1081" t="s">
        <v>409</v>
      </c>
      <c r="E629" s="1082">
        <v>32.880000000000003</v>
      </c>
      <c r="F629" s="1083">
        <v>47.23</v>
      </c>
      <c r="G629" s="1083">
        <v>1552.92</v>
      </c>
      <c r="H629" s="1084">
        <f t="shared" si="6"/>
        <v>1.0547469268103709E-4</v>
      </c>
      <c r="I629" s="1085">
        <f t="shared" si="8"/>
        <v>0.97147931626687356</v>
      </c>
      <c r="J629" s="1085" t="str">
        <f t="shared" si="7"/>
        <v>C</v>
      </c>
      <c r="K629" s="1036"/>
      <c r="L629" s="1036"/>
      <c r="M629" s="1036"/>
      <c r="N629" s="1036"/>
      <c r="O629" s="1036"/>
      <c r="P629" s="1036"/>
      <c r="Q629" s="1036"/>
      <c r="R629" s="1036"/>
      <c r="S629" s="1036"/>
      <c r="T629" s="1036"/>
      <c r="U629" s="1036"/>
      <c r="V629" s="1036"/>
      <c r="W629" s="1036"/>
      <c r="X629" s="1036"/>
      <c r="Y629" s="1036"/>
      <c r="Z629" s="1036"/>
    </row>
    <row r="630" spans="1:26" ht="25.5">
      <c r="A630" s="1079">
        <v>93382</v>
      </c>
      <c r="B630" s="1080" t="s">
        <v>14476</v>
      </c>
      <c r="C630" s="1080" t="s">
        <v>10726</v>
      </c>
      <c r="D630" s="1081" t="s">
        <v>152</v>
      </c>
      <c r="E630" s="1082">
        <v>52.56</v>
      </c>
      <c r="F630" s="1083">
        <v>29.52</v>
      </c>
      <c r="G630" s="1083">
        <v>1551.51</v>
      </c>
      <c r="H630" s="1084">
        <f t="shared" si="6"/>
        <v>1.0537892514846602E-4</v>
      </c>
      <c r="I630" s="1085">
        <f t="shared" si="8"/>
        <v>0.97158469519202206</v>
      </c>
      <c r="J630" s="1085" t="str">
        <f t="shared" si="7"/>
        <v>C</v>
      </c>
      <c r="K630" s="1036"/>
      <c r="L630" s="1036"/>
      <c r="M630" s="1036"/>
      <c r="N630" s="1036"/>
      <c r="O630" s="1036"/>
      <c r="P630" s="1036"/>
      <c r="Q630" s="1036"/>
      <c r="R630" s="1036"/>
      <c r="S630" s="1036"/>
      <c r="T630" s="1036"/>
      <c r="U630" s="1036"/>
      <c r="V630" s="1036"/>
      <c r="W630" s="1036"/>
      <c r="X630" s="1036"/>
      <c r="Y630" s="1036"/>
      <c r="Z630" s="1036"/>
    </row>
    <row r="631" spans="1:26" ht="51">
      <c r="A631" s="1079">
        <v>103328</v>
      </c>
      <c r="B631" s="1080" t="s">
        <v>14476</v>
      </c>
      <c r="C631" s="1080" t="s">
        <v>10764</v>
      </c>
      <c r="D631" s="1081" t="s">
        <v>409</v>
      </c>
      <c r="E631" s="1082">
        <v>13.09</v>
      </c>
      <c r="F631" s="1083">
        <v>118.45</v>
      </c>
      <c r="G631" s="1083">
        <v>1550.51</v>
      </c>
      <c r="H631" s="1084">
        <f t="shared" si="6"/>
        <v>1.0531100491260001E-4</v>
      </c>
      <c r="I631" s="1085">
        <f t="shared" si="8"/>
        <v>0.97169000619693469</v>
      </c>
      <c r="J631" s="1085" t="str">
        <f t="shared" si="7"/>
        <v>C</v>
      </c>
      <c r="K631" s="1036"/>
      <c r="L631" s="1036"/>
      <c r="M631" s="1036"/>
      <c r="N631" s="1036"/>
      <c r="O631" s="1036"/>
      <c r="P631" s="1036"/>
      <c r="Q631" s="1036"/>
      <c r="R631" s="1036"/>
      <c r="S631" s="1036"/>
      <c r="T631" s="1036"/>
      <c r="U631" s="1036"/>
      <c r="V631" s="1036"/>
      <c r="W631" s="1036"/>
      <c r="X631" s="1036"/>
      <c r="Y631" s="1036"/>
      <c r="Z631" s="1036"/>
    </row>
    <row r="632" spans="1:26" ht="38.25">
      <c r="A632" s="1079" t="s">
        <v>14622</v>
      </c>
      <c r="B632" s="1080" t="s">
        <v>14472</v>
      </c>
      <c r="C632" s="1080" t="s">
        <v>15964</v>
      </c>
      <c r="D632" s="1081" t="s">
        <v>152</v>
      </c>
      <c r="E632" s="1082">
        <v>1.38</v>
      </c>
      <c r="F632" s="1083">
        <v>1117.8</v>
      </c>
      <c r="G632" s="1083">
        <v>1542.56</v>
      </c>
      <c r="H632" s="1084">
        <f t="shared" si="6"/>
        <v>1.0477103903746527E-4</v>
      </c>
      <c r="I632" s="1085">
        <f t="shared" si="8"/>
        <v>0.97179477723597218</v>
      </c>
      <c r="J632" s="1085" t="str">
        <f t="shared" si="7"/>
        <v>C</v>
      </c>
      <c r="K632" s="1036"/>
      <c r="L632" s="1036"/>
      <c r="M632" s="1036"/>
      <c r="N632" s="1036"/>
      <c r="O632" s="1036"/>
      <c r="P632" s="1036"/>
      <c r="Q632" s="1036"/>
      <c r="R632" s="1036"/>
      <c r="S632" s="1036"/>
      <c r="T632" s="1036"/>
      <c r="U632" s="1036"/>
      <c r="V632" s="1036"/>
      <c r="W632" s="1036"/>
      <c r="X632" s="1036"/>
      <c r="Y632" s="1036"/>
      <c r="Z632" s="1036"/>
    </row>
    <row r="633" spans="1:26" ht="38.25">
      <c r="A633" s="1079" t="s">
        <v>15217</v>
      </c>
      <c r="B633" s="1080" t="s">
        <v>14472</v>
      </c>
      <c r="C633" s="1080" t="s">
        <v>15218</v>
      </c>
      <c r="D633" s="1081" t="s">
        <v>50</v>
      </c>
      <c r="E633" s="1082">
        <v>170</v>
      </c>
      <c r="F633" s="1083">
        <v>9.07</v>
      </c>
      <c r="G633" s="1083">
        <v>1541.9</v>
      </c>
      <c r="H633" s="1084">
        <f t="shared" si="6"/>
        <v>1.0472621168179372E-4</v>
      </c>
      <c r="I633" s="1085">
        <f t="shared" si="8"/>
        <v>0.97189950344765397</v>
      </c>
      <c r="J633" s="1085" t="str">
        <f t="shared" si="7"/>
        <v>C</v>
      </c>
      <c r="K633" s="1036"/>
      <c r="L633" s="1036"/>
      <c r="M633" s="1036"/>
      <c r="N633" s="1036"/>
      <c r="O633" s="1036"/>
      <c r="P633" s="1036"/>
      <c r="Q633" s="1036"/>
      <c r="R633" s="1036"/>
      <c r="S633" s="1036"/>
      <c r="T633" s="1036"/>
      <c r="U633" s="1036"/>
      <c r="V633" s="1036"/>
      <c r="W633" s="1036"/>
      <c r="X633" s="1036"/>
      <c r="Y633" s="1036"/>
      <c r="Z633" s="1036"/>
    </row>
    <row r="634" spans="1:26" ht="51">
      <c r="A634" s="1079">
        <v>97891</v>
      </c>
      <c r="B634" s="1080" t="s">
        <v>14476</v>
      </c>
      <c r="C634" s="1080" t="s">
        <v>7940</v>
      </c>
      <c r="D634" s="1081" t="s">
        <v>6</v>
      </c>
      <c r="E634" s="1082">
        <v>6</v>
      </c>
      <c r="F634" s="1083">
        <v>256.60000000000002</v>
      </c>
      <c r="G634" s="1083">
        <v>1539.6</v>
      </c>
      <c r="H634" s="1084">
        <f t="shared" si="6"/>
        <v>1.0456999513930189E-4</v>
      </c>
      <c r="I634" s="1085">
        <f t="shared" si="8"/>
        <v>0.97200407344279327</v>
      </c>
      <c r="J634" s="1085" t="str">
        <f t="shared" si="7"/>
        <v>C</v>
      </c>
      <c r="K634" s="1036"/>
      <c r="L634" s="1036"/>
      <c r="M634" s="1036"/>
      <c r="N634" s="1036"/>
      <c r="O634" s="1036"/>
      <c r="P634" s="1036"/>
      <c r="Q634" s="1036"/>
      <c r="R634" s="1036"/>
      <c r="S634" s="1036"/>
      <c r="T634" s="1036"/>
      <c r="U634" s="1036"/>
      <c r="V634" s="1036"/>
      <c r="W634" s="1036"/>
      <c r="X634" s="1036"/>
      <c r="Y634" s="1036"/>
      <c r="Z634" s="1036"/>
    </row>
    <row r="635" spans="1:26" ht="38.25">
      <c r="A635" s="1079">
        <v>100865</v>
      </c>
      <c r="B635" s="1080" t="s">
        <v>14476</v>
      </c>
      <c r="C635" s="1080" t="s">
        <v>10173</v>
      </c>
      <c r="D635" s="1081" t="s">
        <v>6</v>
      </c>
      <c r="E635" s="1082">
        <v>2</v>
      </c>
      <c r="F635" s="1083">
        <v>768.41</v>
      </c>
      <c r="G635" s="1083">
        <v>1536.82</v>
      </c>
      <c r="H635" s="1084">
        <f t="shared" si="6"/>
        <v>1.043811768835944E-4</v>
      </c>
      <c r="I635" s="1085">
        <f t="shared" si="8"/>
        <v>0.97210845461967688</v>
      </c>
      <c r="J635" s="1085" t="str">
        <f t="shared" si="7"/>
        <v>C</v>
      </c>
      <c r="K635" s="1036"/>
      <c r="L635" s="1036"/>
      <c r="M635" s="1036"/>
      <c r="N635" s="1036"/>
      <c r="O635" s="1036"/>
      <c r="P635" s="1036"/>
      <c r="Q635" s="1036"/>
      <c r="R635" s="1036"/>
      <c r="S635" s="1036"/>
      <c r="T635" s="1036"/>
      <c r="U635" s="1036"/>
      <c r="V635" s="1036"/>
      <c r="W635" s="1036"/>
      <c r="X635" s="1036"/>
      <c r="Y635" s="1036"/>
      <c r="Z635" s="1036"/>
    </row>
    <row r="636" spans="1:26" ht="25.5">
      <c r="A636" s="1079">
        <v>93382</v>
      </c>
      <c r="B636" s="1080" t="s">
        <v>14476</v>
      </c>
      <c r="C636" s="1080" t="s">
        <v>10726</v>
      </c>
      <c r="D636" s="1081" t="s">
        <v>152</v>
      </c>
      <c r="E636" s="1082">
        <v>52</v>
      </c>
      <c r="F636" s="1083">
        <v>29.52</v>
      </c>
      <c r="G636" s="1083">
        <v>1535.04</v>
      </c>
      <c r="H636" s="1084">
        <f t="shared" si="6"/>
        <v>1.0426027886375291E-4</v>
      </c>
      <c r="I636" s="1085">
        <f t="shared" si="8"/>
        <v>0.97221271489854066</v>
      </c>
      <c r="J636" s="1085" t="str">
        <f t="shared" si="7"/>
        <v>C</v>
      </c>
      <c r="K636" s="1036"/>
      <c r="L636" s="1036"/>
      <c r="M636" s="1036"/>
      <c r="N636" s="1036"/>
      <c r="O636" s="1036"/>
      <c r="P636" s="1036"/>
      <c r="Q636" s="1036"/>
      <c r="R636" s="1036"/>
      <c r="S636" s="1036"/>
      <c r="T636" s="1036"/>
      <c r="U636" s="1036"/>
      <c r="V636" s="1036"/>
      <c r="W636" s="1036"/>
      <c r="X636" s="1036"/>
      <c r="Y636" s="1036"/>
      <c r="Z636" s="1036"/>
    </row>
    <row r="637" spans="1:26" ht="25.5">
      <c r="A637" s="1079" t="s">
        <v>14936</v>
      </c>
      <c r="B637" s="1080" t="s">
        <v>14472</v>
      </c>
      <c r="C637" s="1080" t="s">
        <v>14937</v>
      </c>
      <c r="D637" s="1081" t="s">
        <v>409</v>
      </c>
      <c r="E637" s="1082">
        <v>76.42</v>
      </c>
      <c r="F637" s="1083">
        <v>19.88</v>
      </c>
      <c r="G637" s="1083">
        <v>1519.22</v>
      </c>
      <c r="H637" s="1084">
        <f t="shared" si="6"/>
        <v>1.0318578073235272E-4</v>
      </c>
      <c r="I637" s="1085">
        <f t="shared" si="8"/>
        <v>0.97231590067927298</v>
      </c>
      <c r="J637" s="1085" t="str">
        <f t="shared" si="7"/>
        <v>C</v>
      </c>
      <c r="K637" s="1036"/>
      <c r="L637" s="1036"/>
      <c r="M637" s="1036"/>
      <c r="N637" s="1036"/>
      <c r="O637" s="1036"/>
      <c r="P637" s="1036"/>
      <c r="Q637" s="1036"/>
      <c r="R637" s="1036"/>
      <c r="S637" s="1036"/>
      <c r="T637" s="1036"/>
      <c r="U637" s="1036"/>
      <c r="V637" s="1036"/>
      <c r="W637" s="1036"/>
      <c r="X637" s="1036"/>
      <c r="Y637" s="1036"/>
      <c r="Z637" s="1036"/>
    </row>
    <row r="638" spans="1:26" ht="25.5">
      <c r="A638" s="1079" t="s">
        <v>14813</v>
      </c>
      <c r="B638" s="1080" t="s">
        <v>14472</v>
      </c>
      <c r="C638" s="1080" t="s">
        <v>15986</v>
      </c>
      <c r="D638" s="1081" t="s">
        <v>6</v>
      </c>
      <c r="E638" s="1082">
        <v>2</v>
      </c>
      <c r="F638" s="1083">
        <v>757.31</v>
      </c>
      <c r="G638" s="1083">
        <v>1514.62</v>
      </c>
      <c r="H638" s="1084">
        <f t="shared" si="6"/>
        <v>1.0287334764736908E-4</v>
      </c>
      <c r="I638" s="1085">
        <f t="shared" si="8"/>
        <v>0.97241877402692034</v>
      </c>
      <c r="J638" s="1085" t="str">
        <f t="shared" si="7"/>
        <v>C</v>
      </c>
      <c r="K638" s="1036"/>
      <c r="L638" s="1036"/>
      <c r="M638" s="1036"/>
      <c r="N638" s="1036"/>
      <c r="O638" s="1036"/>
      <c r="P638" s="1036"/>
      <c r="Q638" s="1036"/>
      <c r="R638" s="1036"/>
      <c r="S638" s="1036"/>
      <c r="T638" s="1036"/>
      <c r="U638" s="1036"/>
      <c r="V638" s="1036"/>
      <c r="W638" s="1036"/>
      <c r="X638" s="1036"/>
      <c r="Y638" s="1036"/>
      <c r="Z638" s="1036"/>
    </row>
    <row r="639" spans="1:26" ht="38.25">
      <c r="A639" s="1079">
        <v>94653</v>
      </c>
      <c r="B639" s="1080" t="s">
        <v>14476</v>
      </c>
      <c r="C639" s="1080" t="s">
        <v>8526</v>
      </c>
      <c r="D639" s="1081" t="s">
        <v>50</v>
      </c>
      <c r="E639" s="1082">
        <v>25</v>
      </c>
      <c r="F639" s="1083">
        <v>60.48</v>
      </c>
      <c r="G639" s="1083">
        <v>1512</v>
      </c>
      <c r="H639" s="1084">
        <f t="shared" si="6"/>
        <v>1.0269539662940015E-4</v>
      </c>
      <c r="I639" s="1085">
        <f t="shared" si="8"/>
        <v>0.97252146942354978</v>
      </c>
      <c r="J639" s="1085" t="str">
        <f t="shared" si="7"/>
        <v>C</v>
      </c>
      <c r="K639" s="1036"/>
      <c r="L639" s="1036"/>
      <c r="M639" s="1036"/>
      <c r="N639" s="1036"/>
      <c r="O639" s="1036"/>
      <c r="P639" s="1036"/>
      <c r="Q639" s="1036"/>
      <c r="R639" s="1036"/>
      <c r="S639" s="1036"/>
      <c r="T639" s="1036"/>
      <c r="U639" s="1036"/>
      <c r="V639" s="1036"/>
      <c r="W639" s="1036"/>
      <c r="X639" s="1036"/>
      <c r="Y639" s="1036"/>
      <c r="Z639" s="1036"/>
    </row>
    <row r="640" spans="1:26" ht="25.5">
      <c r="A640" s="1079">
        <v>88485</v>
      </c>
      <c r="B640" s="1080" t="s">
        <v>14476</v>
      </c>
      <c r="C640" s="1080" t="s">
        <v>11005</v>
      </c>
      <c r="D640" s="1081" t="s">
        <v>409</v>
      </c>
      <c r="E640" s="1082">
        <v>373.71</v>
      </c>
      <c r="F640" s="1083">
        <v>4.03</v>
      </c>
      <c r="G640" s="1083">
        <v>1506.05</v>
      </c>
      <c r="H640" s="1084">
        <f t="shared" si="6"/>
        <v>1.0229127122599742E-4</v>
      </c>
      <c r="I640" s="1085">
        <f t="shared" si="8"/>
        <v>0.97262376069477574</v>
      </c>
      <c r="J640" s="1085" t="str">
        <f t="shared" si="7"/>
        <v>C</v>
      </c>
      <c r="K640" s="1036"/>
      <c r="L640" s="1036"/>
      <c r="M640" s="1036"/>
      <c r="N640" s="1036"/>
      <c r="O640" s="1036"/>
      <c r="P640" s="1036"/>
      <c r="Q640" s="1036"/>
      <c r="R640" s="1036"/>
      <c r="S640" s="1036"/>
      <c r="T640" s="1036"/>
      <c r="U640" s="1036"/>
      <c r="V640" s="1036"/>
      <c r="W640" s="1036"/>
      <c r="X640" s="1036"/>
      <c r="Y640" s="1036"/>
      <c r="Z640" s="1036"/>
    </row>
    <row r="641" spans="1:26" ht="51">
      <c r="A641" s="1079">
        <v>92431</v>
      </c>
      <c r="B641" s="1080" t="s">
        <v>14476</v>
      </c>
      <c r="C641" s="1080" t="s">
        <v>7221</v>
      </c>
      <c r="D641" s="1081" t="s">
        <v>409</v>
      </c>
      <c r="E641" s="1082">
        <v>16.37</v>
      </c>
      <c r="F641" s="1083">
        <v>91.75</v>
      </c>
      <c r="G641" s="1083">
        <v>1501.94</v>
      </c>
      <c r="H641" s="1084">
        <f t="shared" si="6"/>
        <v>1.0201211905658814E-4</v>
      </c>
      <c r="I641" s="1085">
        <f t="shared" si="8"/>
        <v>0.97272577281383232</v>
      </c>
      <c r="J641" s="1085" t="str">
        <f t="shared" si="7"/>
        <v>C</v>
      </c>
      <c r="K641" s="1036"/>
      <c r="L641" s="1036"/>
      <c r="M641" s="1036"/>
      <c r="N641" s="1036"/>
      <c r="O641" s="1036"/>
      <c r="P641" s="1036"/>
      <c r="Q641" s="1036"/>
      <c r="R641" s="1036"/>
      <c r="S641" s="1036"/>
      <c r="T641" s="1036"/>
      <c r="U641" s="1036"/>
      <c r="V641" s="1036"/>
      <c r="W641" s="1036"/>
      <c r="X641" s="1036"/>
      <c r="Y641" s="1036"/>
      <c r="Z641" s="1036"/>
    </row>
    <row r="642" spans="1:26" ht="38.25">
      <c r="A642" s="1079">
        <v>95817</v>
      </c>
      <c r="B642" s="1080" t="s">
        <v>14476</v>
      </c>
      <c r="C642" s="1080" t="s">
        <v>7928</v>
      </c>
      <c r="D642" s="1081" t="s">
        <v>6</v>
      </c>
      <c r="E642" s="1082">
        <v>32</v>
      </c>
      <c r="F642" s="1083">
        <v>46.81</v>
      </c>
      <c r="G642" s="1083">
        <v>1497.92</v>
      </c>
      <c r="H642" s="1084">
        <f t="shared" si="6"/>
        <v>1.017390797084068E-4</v>
      </c>
      <c r="I642" s="1085">
        <f t="shared" si="8"/>
        <v>0.97282751189354078</v>
      </c>
      <c r="J642" s="1085" t="str">
        <f t="shared" si="7"/>
        <v>C</v>
      </c>
      <c r="K642" s="1036"/>
      <c r="L642" s="1036"/>
      <c r="M642" s="1036"/>
      <c r="N642" s="1036"/>
      <c r="O642" s="1036"/>
      <c r="P642" s="1036"/>
      <c r="Q642" s="1036"/>
      <c r="R642" s="1036"/>
      <c r="S642" s="1036"/>
      <c r="T642" s="1036"/>
      <c r="U642" s="1036"/>
      <c r="V642" s="1036"/>
      <c r="W642" s="1036"/>
      <c r="X642" s="1036"/>
      <c r="Y642" s="1036"/>
      <c r="Z642" s="1036"/>
    </row>
    <row r="643" spans="1:26" ht="38.25">
      <c r="A643" s="1079">
        <v>104920</v>
      </c>
      <c r="B643" s="1080" t="s">
        <v>14476</v>
      </c>
      <c r="C643" s="1080" t="s">
        <v>7517</v>
      </c>
      <c r="D643" s="1081" t="s">
        <v>54</v>
      </c>
      <c r="E643" s="1082">
        <v>100.6</v>
      </c>
      <c r="F643" s="1083">
        <v>14.85</v>
      </c>
      <c r="G643" s="1083">
        <v>1493.91</v>
      </c>
      <c r="H643" s="1084">
        <f t="shared" si="6"/>
        <v>1.0146671956258413E-4</v>
      </c>
      <c r="I643" s="1085">
        <f t="shared" si="8"/>
        <v>0.97292897861310335</v>
      </c>
      <c r="J643" s="1085" t="str">
        <f t="shared" si="7"/>
        <v>C</v>
      </c>
      <c r="K643" s="1036"/>
      <c r="L643" s="1036"/>
      <c r="M643" s="1036"/>
      <c r="N643" s="1036"/>
      <c r="O643" s="1036"/>
      <c r="P643" s="1036"/>
      <c r="Q643" s="1036"/>
      <c r="R643" s="1036"/>
      <c r="S643" s="1036"/>
      <c r="T643" s="1036"/>
      <c r="U643" s="1036"/>
      <c r="V643" s="1036"/>
      <c r="W643" s="1036"/>
      <c r="X643" s="1036"/>
      <c r="Y643" s="1036"/>
      <c r="Z643" s="1036"/>
    </row>
    <row r="644" spans="1:26" ht="38.25">
      <c r="A644" s="1079">
        <v>97669</v>
      </c>
      <c r="B644" s="1080" t="s">
        <v>14476</v>
      </c>
      <c r="C644" s="1080" t="s">
        <v>7799</v>
      </c>
      <c r="D644" s="1081" t="s">
        <v>50</v>
      </c>
      <c r="E644" s="1082">
        <v>72</v>
      </c>
      <c r="F644" s="1083">
        <v>20.72</v>
      </c>
      <c r="G644" s="1083">
        <v>1491.84</v>
      </c>
      <c r="H644" s="1084">
        <f t="shared" si="6"/>
        <v>1.0132612467434147E-4</v>
      </c>
      <c r="I644" s="1085">
        <f t="shared" si="8"/>
        <v>0.97303030473777774</v>
      </c>
      <c r="J644" s="1085" t="str">
        <f t="shared" si="7"/>
        <v>C</v>
      </c>
      <c r="K644" s="1036"/>
      <c r="L644" s="1036"/>
      <c r="M644" s="1036"/>
      <c r="N644" s="1036"/>
      <c r="O644" s="1036"/>
      <c r="P644" s="1036"/>
      <c r="Q644" s="1036"/>
      <c r="R644" s="1036"/>
      <c r="S644" s="1036"/>
      <c r="T644" s="1036"/>
      <c r="U644" s="1036"/>
      <c r="V644" s="1036"/>
      <c r="W644" s="1036"/>
      <c r="X644" s="1036"/>
      <c r="Y644" s="1036"/>
      <c r="Z644" s="1036"/>
    </row>
    <row r="645" spans="1:26" ht="51">
      <c r="A645" s="1079">
        <v>89797</v>
      </c>
      <c r="B645" s="1080" t="s">
        <v>14476</v>
      </c>
      <c r="C645" s="1080" t="s">
        <v>9003</v>
      </c>
      <c r="D645" s="1081" t="s">
        <v>6</v>
      </c>
      <c r="E645" s="1082">
        <v>24</v>
      </c>
      <c r="F645" s="1083">
        <v>61.86</v>
      </c>
      <c r="G645" s="1083">
        <v>1484.64</v>
      </c>
      <c r="H645" s="1084">
        <f t="shared" si="6"/>
        <v>1.0083709897610625E-4</v>
      </c>
      <c r="I645" s="1085">
        <f t="shared" si="8"/>
        <v>0.97313114183675387</v>
      </c>
      <c r="J645" s="1085" t="str">
        <f t="shared" si="7"/>
        <v>C</v>
      </c>
      <c r="K645" s="1036"/>
      <c r="L645" s="1036"/>
      <c r="M645" s="1036"/>
      <c r="N645" s="1036"/>
      <c r="O645" s="1036"/>
      <c r="P645" s="1036"/>
      <c r="Q645" s="1036"/>
      <c r="R645" s="1036"/>
      <c r="S645" s="1036"/>
      <c r="T645" s="1036"/>
      <c r="U645" s="1036"/>
      <c r="V645" s="1036"/>
      <c r="W645" s="1036"/>
      <c r="X645" s="1036"/>
      <c r="Y645" s="1036"/>
      <c r="Z645" s="1036"/>
    </row>
    <row r="646" spans="1:26" ht="14.25">
      <c r="A646" s="1079" t="s">
        <v>14964</v>
      </c>
      <c r="B646" s="1080" t="s">
        <v>14472</v>
      </c>
      <c r="C646" s="1080" t="s">
        <v>14965</v>
      </c>
      <c r="D646" s="1081" t="s">
        <v>50</v>
      </c>
      <c r="E646" s="1082">
        <v>48.15</v>
      </c>
      <c r="F646" s="1083">
        <v>30.71</v>
      </c>
      <c r="G646" s="1083">
        <v>1478.68</v>
      </c>
      <c r="H646" s="1084">
        <f t="shared" si="6"/>
        <v>1.0043229437034486E-4</v>
      </c>
      <c r="I646" s="1085">
        <f t="shared" si="8"/>
        <v>0.97323157413112416</v>
      </c>
      <c r="J646" s="1085" t="str">
        <f t="shared" si="7"/>
        <v>C</v>
      </c>
      <c r="K646" s="1036"/>
      <c r="L646" s="1036"/>
      <c r="M646" s="1036"/>
      <c r="N646" s="1036"/>
      <c r="O646" s="1036"/>
      <c r="P646" s="1036"/>
      <c r="Q646" s="1036"/>
      <c r="R646" s="1036"/>
      <c r="S646" s="1036"/>
      <c r="T646" s="1036"/>
      <c r="U646" s="1036"/>
      <c r="V646" s="1036"/>
      <c r="W646" s="1036"/>
      <c r="X646" s="1036"/>
      <c r="Y646" s="1036"/>
      <c r="Z646" s="1036"/>
    </row>
    <row r="647" spans="1:26" ht="25.5">
      <c r="A647" s="1079">
        <v>93358</v>
      </c>
      <c r="B647" s="1080" t="s">
        <v>14476</v>
      </c>
      <c r="C647" s="1080" t="s">
        <v>10648</v>
      </c>
      <c r="D647" s="1081" t="s">
        <v>152</v>
      </c>
      <c r="E647" s="1082">
        <v>14.7</v>
      </c>
      <c r="F647" s="1083">
        <v>100.47</v>
      </c>
      <c r="G647" s="1083">
        <v>1476.9</v>
      </c>
      <c r="H647" s="1084">
        <f t="shared" si="6"/>
        <v>1.0031139635050337E-4</v>
      </c>
      <c r="I647" s="1085">
        <f t="shared" si="8"/>
        <v>0.97333188552747463</v>
      </c>
      <c r="J647" s="1085" t="str">
        <f t="shared" si="7"/>
        <v>C</v>
      </c>
      <c r="K647" s="1036"/>
      <c r="L647" s="1036"/>
      <c r="M647" s="1036"/>
      <c r="N647" s="1036"/>
      <c r="O647" s="1036"/>
      <c r="P647" s="1036"/>
      <c r="Q647" s="1036"/>
      <c r="R647" s="1036"/>
      <c r="S647" s="1036"/>
      <c r="T647" s="1036"/>
      <c r="U647" s="1036"/>
      <c r="V647" s="1036"/>
      <c r="W647" s="1036"/>
      <c r="X647" s="1036"/>
      <c r="Y647" s="1036"/>
      <c r="Z647" s="1036"/>
    </row>
    <row r="648" spans="1:26" ht="38.25">
      <c r="A648" s="1079">
        <v>103672</v>
      </c>
      <c r="B648" s="1080" t="s">
        <v>14476</v>
      </c>
      <c r="C648" s="1080" t="s">
        <v>7579</v>
      </c>
      <c r="D648" s="1081" t="s">
        <v>152</v>
      </c>
      <c r="E648" s="1082">
        <v>1.36</v>
      </c>
      <c r="F648" s="1083">
        <v>1085.23</v>
      </c>
      <c r="G648" s="1083">
        <v>1475.91</v>
      </c>
      <c r="H648" s="1084">
        <f t="shared" si="6"/>
        <v>1.0024415531699602E-4</v>
      </c>
      <c r="I648" s="1085">
        <f t="shared" si="8"/>
        <v>0.97343212968279158</v>
      </c>
      <c r="J648" s="1085" t="str">
        <f t="shared" si="7"/>
        <v>C</v>
      </c>
      <c r="K648" s="1036"/>
      <c r="L648" s="1036"/>
      <c r="M648" s="1036"/>
      <c r="N648" s="1036"/>
      <c r="O648" s="1036"/>
      <c r="P648" s="1036"/>
      <c r="Q648" s="1036"/>
      <c r="R648" s="1036"/>
      <c r="S648" s="1036"/>
      <c r="T648" s="1036"/>
      <c r="U648" s="1036"/>
      <c r="V648" s="1036"/>
      <c r="W648" s="1036"/>
      <c r="X648" s="1036"/>
      <c r="Y648" s="1036"/>
      <c r="Z648" s="1036"/>
    </row>
    <row r="649" spans="1:26" ht="76.5">
      <c r="A649" s="1079">
        <v>90844</v>
      </c>
      <c r="B649" s="1080" t="s">
        <v>14476</v>
      </c>
      <c r="C649" s="1080" t="s">
        <v>6948</v>
      </c>
      <c r="D649" s="1081" t="s">
        <v>6</v>
      </c>
      <c r="E649" s="1082">
        <v>1</v>
      </c>
      <c r="F649" s="1083">
        <v>1474.72</v>
      </c>
      <c r="G649" s="1083">
        <v>1474.72</v>
      </c>
      <c r="H649" s="1084">
        <f t="shared" si="6"/>
        <v>1.0016333023631548E-4</v>
      </c>
      <c r="I649" s="1085">
        <f t="shared" si="8"/>
        <v>0.97353229301302791</v>
      </c>
      <c r="J649" s="1085" t="str">
        <f t="shared" si="7"/>
        <v>C</v>
      </c>
      <c r="K649" s="1036"/>
      <c r="L649" s="1036"/>
      <c r="M649" s="1036"/>
      <c r="N649" s="1036"/>
      <c r="O649" s="1036"/>
      <c r="P649" s="1036"/>
      <c r="Q649" s="1036"/>
      <c r="R649" s="1036"/>
      <c r="S649" s="1036"/>
      <c r="T649" s="1036"/>
      <c r="U649" s="1036"/>
      <c r="V649" s="1036"/>
      <c r="W649" s="1036"/>
      <c r="X649" s="1036"/>
      <c r="Y649" s="1036"/>
      <c r="Z649" s="1036"/>
    </row>
    <row r="650" spans="1:26" ht="25.5">
      <c r="A650" s="1079" t="s">
        <v>15295</v>
      </c>
      <c r="B650" s="1080" t="s">
        <v>14472</v>
      </c>
      <c r="C650" s="1080" t="s">
        <v>15296</v>
      </c>
      <c r="D650" s="1081" t="s">
        <v>6</v>
      </c>
      <c r="E650" s="1082">
        <v>6</v>
      </c>
      <c r="F650" s="1083">
        <v>244.57</v>
      </c>
      <c r="G650" s="1083">
        <v>1467.42</v>
      </c>
      <c r="H650" s="1084">
        <f t="shared" si="6"/>
        <v>9.9667512514493633E-5</v>
      </c>
      <c r="I650" s="1085">
        <f t="shared" si="8"/>
        <v>0.97363196052554235</v>
      </c>
      <c r="J650" s="1085" t="str">
        <f t="shared" si="7"/>
        <v>C</v>
      </c>
      <c r="K650" s="1036"/>
      <c r="L650" s="1036"/>
      <c r="M650" s="1036"/>
      <c r="N650" s="1036"/>
      <c r="O650" s="1036"/>
      <c r="P650" s="1036"/>
      <c r="Q650" s="1036"/>
      <c r="R650" s="1036"/>
      <c r="S650" s="1036"/>
      <c r="T650" s="1036"/>
      <c r="U650" s="1036"/>
      <c r="V650" s="1036"/>
      <c r="W650" s="1036"/>
      <c r="X650" s="1036"/>
      <c r="Y650" s="1036"/>
      <c r="Z650" s="1036"/>
    </row>
    <row r="651" spans="1:26" ht="38.25">
      <c r="A651" s="1079">
        <v>91933</v>
      </c>
      <c r="B651" s="1080" t="s">
        <v>14476</v>
      </c>
      <c r="C651" s="1080" t="s">
        <v>7860</v>
      </c>
      <c r="D651" s="1081" t="s">
        <v>50</v>
      </c>
      <c r="E651" s="1082">
        <v>70</v>
      </c>
      <c r="F651" s="1083">
        <v>20.93</v>
      </c>
      <c r="G651" s="1083">
        <v>1465.1</v>
      </c>
      <c r="H651" s="1084">
        <f t="shared" si="6"/>
        <v>9.9509937567284496E-5</v>
      </c>
      <c r="I651" s="1085">
        <f t="shared" si="8"/>
        <v>0.97373147046310959</v>
      </c>
      <c r="J651" s="1085" t="str">
        <f t="shared" si="7"/>
        <v>C</v>
      </c>
      <c r="K651" s="1036"/>
      <c r="L651" s="1036"/>
      <c r="M651" s="1036"/>
      <c r="N651" s="1036"/>
      <c r="O651" s="1036"/>
      <c r="P651" s="1036"/>
      <c r="Q651" s="1036"/>
      <c r="R651" s="1036"/>
      <c r="S651" s="1036"/>
      <c r="T651" s="1036"/>
      <c r="U651" s="1036"/>
      <c r="V651" s="1036"/>
      <c r="W651" s="1036"/>
      <c r="X651" s="1036"/>
      <c r="Y651" s="1036"/>
      <c r="Z651" s="1036"/>
    </row>
    <row r="652" spans="1:26" ht="38.25">
      <c r="A652" s="1079">
        <v>104167</v>
      </c>
      <c r="B652" s="1080" t="s">
        <v>14476</v>
      </c>
      <c r="C652" s="1080" t="s">
        <v>9873</v>
      </c>
      <c r="D652" s="1081" t="s">
        <v>6</v>
      </c>
      <c r="E652" s="1082">
        <v>10</v>
      </c>
      <c r="F652" s="1083">
        <v>144.6</v>
      </c>
      <c r="G652" s="1083">
        <v>1446</v>
      </c>
      <c r="H652" s="1084">
        <f t="shared" si="6"/>
        <v>9.8212661062243792E-5</v>
      </c>
      <c r="I652" s="1085">
        <f t="shared" si="8"/>
        <v>0.97382968312417184</v>
      </c>
      <c r="J652" s="1085" t="str">
        <f t="shared" si="7"/>
        <v>C</v>
      </c>
      <c r="K652" s="1036"/>
      <c r="L652" s="1036"/>
      <c r="M652" s="1036"/>
      <c r="N652" s="1036"/>
      <c r="O652" s="1036"/>
      <c r="P652" s="1036"/>
      <c r="Q652" s="1036"/>
      <c r="R652" s="1036"/>
      <c r="S652" s="1036"/>
      <c r="T652" s="1036"/>
      <c r="U652" s="1036"/>
      <c r="V652" s="1036"/>
      <c r="W652" s="1036"/>
      <c r="X652" s="1036"/>
      <c r="Y652" s="1036"/>
      <c r="Z652" s="1036"/>
    </row>
    <row r="653" spans="1:26" ht="51">
      <c r="A653" s="1079">
        <v>89797</v>
      </c>
      <c r="B653" s="1080" t="s">
        <v>14476</v>
      </c>
      <c r="C653" s="1080" t="s">
        <v>9003</v>
      </c>
      <c r="D653" s="1081" t="s">
        <v>6</v>
      </c>
      <c r="E653" s="1082">
        <v>23</v>
      </c>
      <c r="F653" s="1083">
        <v>61.86</v>
      </c>
      <c r="G653" s="1083">
        <v>1422.78</v>
      </c>
      <c r="H653" s="1084">
        <f t="shared" si="6"/>
        <v>9.6635553185435148E-5</v>
      </c>
      <c r="I653" s="1085">
        <f t="shared" si="8"/>
        <v>0.97392631867735724</v>
      </c>
      <c r="J653" s="1085" t="str">
        <f t="shared" si="7"/>
        <v>C</v>
      </c>
      <c r="K653" s="1036"/>
      <c r="L653" s="1036"/>
      <c r="M653" s="1036"/>
      <c r="N653" s="1036"/>
      <c r="O653" s="1036"/>
      <c r="P653" s="1036"/>
      <c r="Q653" s="1036"/>
      <c r="R653" s="1036"/>
      <c r="S653" s="1036"/>
      <c r="T653" s="1036"/>
      <c r="U653" s="1036"/>
      <c r="V653" s="1036"/>
      <c r="W653" s="1036"/>
      <c r="X653" s="1036"/>
      <c r="Y653" s="1036"/>
      <c r="Z653" s="1036"/>
    </row>
    <row r="654" spans="1:26" ht="38.25">
      <c r="A654" s="1079">
        <v>93203</v>
      </c>
      <c r="B654" s="1080" t="s">
        <v>14476</v>
      </c>
      <c r="C654" s="1080" t="s">
        <v>7614</v>
      </c>
      <c r="D654" s="1081" t="s">
        <v>50</v>
      </c>
      <c r="E654" s="1082">
        <v>82.88</v>
      </c>
      <c r="F654" s="1083">
        <v>17.16</v>
      </c>
      <c r="G654" s="1083">
        <v>1422.22</v>
      </c>
      <c r="H654" s="1084">
        <f t="shared" si="6"/>
        <v>9.6597517853350191E-5</v>
      </c>
      <c r="I654" s="1085">
        <f t="shared" si="8"/>
        <v>0.97402291619521064</v>
      </c>
      <c r="J654" s="1085" t="str">
        <f t="shared" si="7"/>
        <v>C</v>
      </c>
      <c r="K654" s="1036"/>
      <c r="L654" s="1036"/>
      <c r="M654" s="1036"/>
      <c r="N654" s="1036"/>
      <c r="O654" s="1036"/>
      <c r="P654" s="1036"/>
      <c r="Q654" s="1036"/>
      <c r="R654" s="1036"/>
      <c r="S654" s="1036"/>
      <c r="T654" s="1036"/>
      <c r="U654" s="1036"/>
      <c r="V654" s="1036"/>
      <c r="W654" s="1036"/>
      <c r="X654" s="1036"/>
      <c r="Y654" s="1036"/>
      <c r="Z654" s="1036"/>
    </row>
    <row r="655" spans="1:26" ht="51">
      <c r="A655" s="1079">
        <v>89778</v>
      </c>
      <c r="B655" s="1080" t="s">
        <v>14476</v>
      </c>
      <c r="C655" s="1080" t="s">
        <v>8984</v>
      </c>
      <c r="D655" s="1081" t="s">
        <v>6</v>
      </c>
      <c r="E655" s="1082">
        <v>65</v>
      </c>
      <c r="F655" s="1083">
        <v>21.78</v>
      </c>
      <c r="G655" s="1083">
        <v>1415.7</v>
      </c>
      <c r="H655" s="1084">
        <f t="shared" si="6"/>
        <v>9.6154677915503831E-5</v>
      </c>
      <c r="I655" s="1085">
        <f t="shared" si="8"/>
        <v>0.9741190708731261</v>
      </c>
      <c r="J655" s="1085" t="str">
        <f t="shared" si="7"/>
        <v>C</v>
      </c>
      <c r="K655" s="1036"/>
      <c r="L655" s="1036"/>
      <c r="M655" s="1036"/>
      <c r="N655" s="1036"/>
      <c r="O655" s="1036"/>
      <c r="P655" s="1036"/>
      <c r="Q655" s="1036"/>
      <c r="R655" s="1036"/>
      <c r="S655" s="1036"/>
      <c r="T655" s="1036"/>
      <c r="U655" s="1036"/>
      <c r="V655" s="1036"/>
      <c r="W655" s="1036"/>
      <c r="X655" s="1036"/>
      <c r="Y655" s="1036"/>
      <c r="Z655" s="1036"/>
    </row>
    <row r="656" spans="1:26" ht="25.5">
      <c r="A656" s="1079" t="s">
        <v>15204</v>
      </c>
      <c r="B656" s="1080" t="s">
        <v>14472</v>
      </c>
      <c r="C656" s="1080" t="s">
        <v>15987</v>
      </c>
      <c r="D656" s="1081" t="s">
        <v>6</v>
      </c>
      <c r="E656" s="1082">
        <v>8</v>
      </c>
      <c r="F656" s="1083">
        <v>176.73</v>
      </c>
      <c r="G656" s="1083">
        <v>1413.84</v>
      </c>
      <c r="H656" s="1084">
        <f t="shared" si="6"/>
        <v>9.6028346276793056E-5</v>
      </c>
      <c r="I656" s="1085">
        <f t="shared" si="8"/>
        <v>0.97421509921940286</v>
      </c>
      <c r="J656" s="1085" t="str">
        <f t="shared" si="7"/>
        <v>C</v>
      </c>
      <c r="K656" s="1036"/>
      <c r="L656" s="1036"/>
      <c r="M656" s="1036"/>
      <c r="N656" s="1036"/>
      <c r="O656" s="1036"/>
      <c r="P656" s="1036"/>
      <c r="Q656" s="1036"/>
      <c r="R656" s="1036"/>
      <c r="S656" s="1036"/>
      <c r="T656" s="1036"/>
      <c r="U656" s="1036"/>
      <c r="V656" s="1036"/>
      <c r="W656" s="1036"/>
      <c r="X656" s="1036"/>
      <c r="Y656" s="1036"/>
      <c r="Z656" s="1036"/>
    </row>
    <row r="657" spans="1:26" ht="25.5">
      <c r="A657" s="1079" t="s">
        <v>14856</v>
      </c>
      <c r="B657" s="1080" t="s">
        <v>14472</v>
      </c>
      <c r="C657" s="1080" t="s">
        <v>14857</v>
      </c>
      <c r="D657" s="1081" t="s">
        <v>6</v>
      </c>
      <c r="E657" s="1082">
        <v>2</v>
      </c>
      <c r="F657" s="1083">
        <v>706.85</v>
      </c>
      <c r="G657" s="1083">
        <v>1413.7</v>
      </c>
      <c r="H657" s="1084">
        <f t="shared" si="6"/>
        <v>9.6018837443771827E-5</v>
      </c>
      <c r="I657" s="1085">
        <f t="shared" si="8"/>
        <v>0.97431111805684667</v>
      </c>
      <c r="J657" s="1085" t="str">
        <f t="shared" si="7"/>
        <v>C</v>
      </c>
      <c r="K657" s="1036"/>
      <c r="L657" s="1036"/>
      <c r="M657" s="1036"/>
      <c r="N657" s="1036"/>
      <c r="O657" s="1036"/>
      <c r="P657" s="1036"/>
      <c r="Q657" s="1036"/>
      <c r="R657" s="1036"/>
      <c r="S657" s="1036"/>
      <c r="T657" s="1036"/>
      <c r="U657" s="1036"/>
      <c r="V657" s="1036"/>
      <c r="W657" s="1036"/>
      <c r="X657" s="1036"/>
      <c r="Y657" s="1036"/>
      <c r="Z657" s="1036"/>
    </row>
    <row r="658" spans="1:26" ht="25.5">
      <c r="A658" s="1079" t="s">
        <v>15234</v>
      </c>
      <c r="B658" s="1080" t="s">
        <v>14472</v>
      </c>
      <c r="C658" s="1080" t="s">
        <v>15988</v>
      </c>
      <c r="D658" s="1081" t="s">
        <v>6</v>
      </c>
      <c r="E658" s="1082">
        <v>4</v>
      </c>
      <c r="F658" s="1083">
        <v>352.1</v>
      </c>
      <c r="G658" s="1083">
        <v>1408.4</v>
      </c>
      <c r="H658" s="1084">
        <f t="shared" si="6"/>
        <v>9.5658860193682002E-5</v>
      </c>
      <c r="I658" s="1085">
        <f t="shared" si="8"/>
        <v>0.97440677691704036</v>
      </c>
      <c r="J658" s="1085" t="str">
        <f t="shared" si="7"/>
        <v>C</v>
      </c>
      <c r="K658" s="1036"/>
      <c r="L658" s="1036"/>
      <c r="M658" s="1036"/>
      <c r="N658" s="1036"/>
      <c r="O658" s="1036"/>
      <c r="P658" s="1036"/>
      <c r="Q658" s="1036"/>
      <c r="R658" s="1036"/>
      <c r="S658" s="1036"/>
      <c r="T658" s="1036"/>
      <c r="U658" s="1036"/>
      <c r="V658" s="1036"/>
      <c r="W658" s="1036"/>
      <c r="X658" s="1036"/>
      <c r="Y658" s="1036"/>
      <c r="Z658" s="1036"/>
    </row>
    <row r="659" spans="1:26" ht="38.25">
      <c r="A659" s="1079">
        <v>104916</v>
      </c>
      <c r="B659" s="1080" t="s">
        <v>14476</v>
      </c>
      <c r="C659" s="1080" t="s">
        <v>7596</v>
      </c>
      <c r="D659" s="1081" t="s">
        <v>54</v>
      </c>
      <c r="E659" s="1082">
        <v>64.31</v>
      </c>
      <c r="F659" s="1083">
        <v>21.8</v>
      </c>
      <c r="G659" s="1083">
        <v>1401.95</v>
      </c>
      <c r="H659" s="1084">
        <f t="shared" si="6"/>
        <v>9.5220774672346263E-5</v>
      </c>
      <c r="I659" s="1085">
        <f t="shared" si="8"/>
        <v>0.97450199769171275</v>
      </c>
      <c r="J659" s="1085" t="str">
        <f t="shared" si="7"/>
        <v>C</v>
      </c>
      <c r="K659" s="1036"/>
      <c r="L659" s="1036"/>
      <c r="M659" s="1036"/>
      <c r="N659" s="1036"/>
      <c r="O659" s="1036"/>
      <c r="P659" s="1036"/>
      <c r="Q659" s="1036"/>
      <c r="R659" s="1036"/>
      <c r="S659" s="1036"/>
      <c r="T659" s="1036"/>
      <c r="U659" s="1036"/>
      <c r="V659" s="1036"/>
      <c r="W659" s="1036"/>
      <c r="X659" s="1036"/>
      <c r="Y659" s="1036"/>
      <c r="Z659" s="1036"/>
    </row>
    <row r="660" spans="1:26" ht="25.5">
      <c r="A660" s="1079">
        <v>91936</v>
      </c>
      <c r="B660" s="1080" t="s">
        <v>14476</v>
      </c>
      <c r="C660" s="1080" t="s">
        <v>7883</v>
      </c>
      <c r="D660" s="1081" t="s">
        <v>6</v>
      </c>
      <c r="E660" s="1082">
        <v>62</v>
      </c>
      <c r="F660" s="1083">
        <v>22.38</v>
      </c>
      <c r="G660" s="1083">
        <v>1387.56</v>
      </c>
      <c r="H660" s="1084">
        <f t="shared" si="6"/>
        <v>9.4243402478234441E-5</v>
      </c>
      <c r="I660" s="1085">
        <f t="shared" si="8"/>
        <v>0.97459624109419096</v>
      </c>
      <c r="J660" s="1085" t="str">
        <f t="shared" si="7"/>
        <v>C</v>
      </c>
      <c r="K660" s="1036"/>
      <c r="L660" s="1036"/>
      <c r="M660" s="1036"/>
      <c r="N660" s="1036"/>
      <c r="O660" s="1036"/>
      <c r="P660" s="1036"/>
      <c r="Q660" s="1036"/>
      <c r="R660" s="1036"/>
      <c r="S660" s="1036"/>
      <c r="T660" s="1036"/>
      <c r="U660" s="1036"/>
      <c r="V660" s="1036"/>
      <c r="W660" s="1036"/>
      <c r="X660" s="1036"/>
      <c r="Y660" s="1036"/>
      <c r="Z660" s="1036"/>
    </row>
    <row r="661" spans="1:26" ht="38.25">
      <c r="A661" s="1079">
        <v>93203</v>
      </c>
      <c r="B661" s="1080" t="s">
        <v>14476</v>
      </c>
      <c r="C661" s="1080" t="s">
        <v>7614</v>
      </c>
      <c r="D661" s="1081" t="s">
        <v>50</v>
      </c>
      <c r="E661" s="1082">
        <v>80.67</v>
      </c>
      <c r="F661" s="1083">
        <v>17.16</v>
      </c>
      <c r="G661" s="1083">
        <v>1384.29</v>
      </c>
      <c r="H661" s="1084">
        <f t="shared" si="6"/>
        <v>9.4021303306952606E-5</v>
      </c>
      <c r="I661" s="1085">
        <f t="shared" si="8"/>
        <v>0.9746902623974979</v>
      </c>
      <c r="J661" s="1085" t="str">
        <f t="shared" si="7"/>
        <v>C</v>
      </c>
      <c r="K661" s="1036"/>
      <c r="L661" s="1036"/>
      <c r="M661" s="1036"/>
      <c r="N661" s="1036"/>
      <c r="O661" s="1036"/>
      <c r="P661" s="1036"/>
      <c r="Q661" s="1036"/>
      <c r="R661" s="1036"/>
      <c r="S661" s="1036"/>
      <c r="T661" s="1036"/>
      <c r="U661" s="1036"/>
      <c r="V661" s="1036"/>
      <c r="W661" s="1036"/>
      <c r="X661" s="1036"/>
      <c r="Y661" s="1036"/>
      <c r="Z661" s="1036"/>
    </row>
    <row r="662" spans="1:26" ht="38.25">
      <c r="A662" s="1079">
        <v>92763</v>
      </c>
      <c r="B662" s="1080" t="s">
        <v>14476</v>
      </c>
      <c r="C662" s="1080" t="s">
        <v>7432</v>
      </c>
      <c r="D662" s="1081" t="s">
        <v>54</v>
      </c>
      <c r="E662" s="1082">
        <v>105.5</v>
      </c>
      <c r="F662" s="1083">
        <v>13.11</v>
      </c>
      <c r="G662" s="1083">
        <v>1383.1</v>
      </c>
      <c r="H662" s="1084">
        <f t="shared" si="6"/>
        <v>9.3940478226272044E-5</v>
      </c>
      <c r="I662" s="1085">
        <f t="shared" si="8"/>
        <v>0.9747842028757242</v>
      </c>
      <c r="J662" s="1085" t="str">
        <f t="shared" si="7"/>
        <v>C</v>
      </c>
      <c r="K662" s="1036"/>
      <c r="L662" s="1036"/>
      <c r="M662" s="1036"/>
      <c r="N662" s="1036"/>
      <c r="O662" s="1036"/>
      <c r="P662" s="1036"/>
      <c r="Q662" s="1036"/>
      <c r="R662" s="1036"/>
      <c r="S662" s="1036"/>
      <c r="T662" s="1036"/>
      <c r="U662" s="1036"/>
      <c r="V662" s="1036"/>
      <c r="W662" s="1036"/>
      <c r="X662" s="1036"/>
      <c r="Y662" s="1036"/>
      <c r="Z662" s="1036"/>
    </row>
    <row r="663" spans="1:26" ht="51">
      <c r="A663" s="1079">
        <v>89746</v>
      </c>
      <c r="B663" s="1080" t="s">
        <v>14476</v>
      </c>
      <c r="C663" s="1080" t="s">
        <v>8958</v>
      </c>
      <c r="D663" s="1081" t="s">
        <v>6</v>
      </c>
      <c r="E663" s="1082">
        <v>40</v>
      </c>
      <c r="F663" s="1083">
        <v>34.479999999999997</v>
      </c>
      <c r="G663" s="1083">
        <v>1379.2</v>
      </c>
      <c r="H663" s="1084">
        <f t="shared" si="6"/>
        <v>9.3675589306394644E-5</v>
      </c>
      <c r="I663" s="1085">
        <f t="shared" si="8"/>
        <v>0.9748778784650306</v>
      </c>
      <c r="J663" s="1085" t="str">
        <f t="shared" si="7"/>
        <v>C</v>
      </c>
      <c r="K663" s="1036"/>
      <c r="L663" s="1036"/>
      <c r="M663" s="1036"/>
      <c r="N663" s="1036"/>
      <c r="O663" s="1036"/>
      <c r="P663" s="1036"/>
      <c r="Q663" s="1036"/>
      <c r="R663" s="1036"/>
      <c r="S663" s="1036"/>
      <c r="T663" s="1036"/>
      <c r="U663" s="1036"/>
      <c r="V663" s="1036"/>
      <c r="W663" s="1036"/>
      <c r="X663" s="1036"/>
      <c r="Y663" s="1036"/>
      <c r="Z663" s="1036"/>
    </row>
    <row r="664" spans="1:26" ht="51">
      <c r="A664" s="1079">
        <v>89711</v>
      </c>
      <c r="B664" s="1080" t="s">
        <v>14476</v>
      </c>
      <c r="C664" s="1080" t="s">
        <v>8442</v>
      </c>
      <c r="D664" s="1081" t="s">
        <v>50</v>
      </c>
      <c r="E664" s="1082">
        <v>55</v>
      </c>
      <c r="F664" s="1083">
        <v>25.02</v>
      </c>
      <c r="G664" s="1083">
        <v>1376.1</v>
      </c>
      <c r="H664" s="1084">
        <f t="shared" si="6"/>
        <v>9.3465036575210011E-5</v>
      </c>
      <c r="I664" s="1085">
        <f t="shared" si="8"/>
        <v>0.97497134350160586</v>
      </c>
      <c r="J664" s="1085" t="str">
        <f t="shared" si="7"/>
        <v>C</v>
      </c>
      <c r="K664" s="1036"/>
      <c r="L664" s="1036"/>
      <c r="M664" s="1036"/>
      <c r="N664" s="1036"/>
      <c r="O664" s="1036"/>
      <c r="P664" s="1036"/>
      <c r="Q664" s="1036"/>
      <c r="R664" s="1036"/>
      <c r="S664" s="1036"/>
      <c r="T664" s="1036"/>
      <c r="U664" s="1036"/>
      <c r="V664" s="1036"/>
      <c r="W664" s="1036"/>
      <c r="X664" s="1036"/>
      <c r="Y664" s="1036"/>
      <c r="Z664" s="1036"/>
    </row>
    <row r="665" spans="1:26" ht="76.5">
      <c r="A665" s="1079">
        <v>90843</v>
      </c>
      <c r="B665" s="1080" t="s">
        <v>14476</v>
      </c>
      <c r="C665" s="1080" t="s">
        <v>6947</v>
      </c>
      <c r="D665" s="1081" t="s">
        <v>6</v>
      </c>
      <c r="E665" s="1082">
        <v>1</v>
      </c>
      <c r="F665" s="1083">
        <v>1361.62</v>
      </c>
      <c r="G665" s="1083">
        <v>1361.62</v>
      </c>
      <c r="H665" s="1084">
        <f t="shared" si="6"/>
        <v>9.2481551559870257E-5</v>
      </c>
      <c r="I665" s="1085">
        <f t="shared" si="8"/>
        <v>0.97506382505316569</v>
      </c>
      <c r="J665" s="1085" t="str">
        <f t="shared" si="7"/>
        <v>C</v>
      </c>
      <c r="K665" s="1036"/>
      <c r="L665" s="1036"/>
      <c r="M665" s="1036"/>
      <c r="N665" s="1036"/>
      <c r="O665" s="1036"/>
      <c r="P665" s="1036"/>
      <c r="Q665" s="1036"/>
      <c r="R665" s="1036"/>
      <c r="S665" s="1036"/>
      <c r="T665" s="1036"/>
      <c r="U665" s="1036"/>
      <c r="V665" s="1036"/>
      <c r="W665" s="1036"/>
      <c r="X665" s="1036"/>
      <c r="Y665" s="1036"/>
      <c r="Z665" s="1036"/>
    </row>
    <row r="666" spans="1:26" ht="51">
      <c r="A666" s="1079">
        <v>96557</v>
      </c>
      <c r="B666" s="1080" t="s">
        <v>14476</v>
      </c>
      <c r="C666" s="1080" t="s">
        <v>7547</v>
      </c>
      <c r="D666" s="1081" t="s">
        <v>152</v>
      </c>
      <c r="E666" s="1082">
        <v>1.1200000000000001</v>
      </c>
      <c r="F666" s="1083">
        <v>1215.1300000000001</v>
      </c>
      <c r="G666" s="1083">
        <v>1360.94</v>
      </c>
      <c r="H666" s="1084">
        <f t="shared" si="6"/>
        <v>9.2435365799481382E-5</v>
      </c>
      <c r="I666" s="1085">
        <f t="shared" si="8"/>
        <v>0.97515626041896519</v>
      </c>
      <c r="J666" s="1085" t="str">
        <f t="shared" si="7"/>
        <v>C</v>
      </c>
      <c r="K666" s="1036"/>
      <c r="L666" s="1036"/>
      <c r="M666" s="1036"/>
      <c r="N666" s="1036"/>
      <c r="O666" s="1036"/>
      <c r="P666" s="1036"/>
      <c r="Q666" s="1036"/>
      <c r="R666" s="1036"/>
      <c r="S666" s="1036"/>
      <c r="T666" s="1036"/>
      <c r="U666" s="1036"/>
      <c r="V666" s="1036"/>
      <c r="W666" s="1036"/>
      <c r="X666" s="1036"/>
      <c r="Y666" s="1036"/>
      <c r="Z666" s="1036"/>
    </row>
    <row r="667" spans="1:26" ht="38.25">
      <c r="A667" s="1079">
        <v>94679</v>
      </c>
      <c r="B667" s="1080" t="s">
        <v>14476</v>
      </c>
      <c r="C667" s="1080" t="s">
        <v>9375</v>
      </c>
      <c r="D667" s="1081" t="s">
        <v>6</v>
      </c>
      <c r="E667" s="1082">
        <v>52</v>
      </c>
      <c r="F667" s="1083">
        <v>26.15</v>
      </c>
      <c r="G667" s="1083">
        <v>1359.8</v>
      </c>
      <c r="H667" s="1084">
        <f t="shared" si="6"/>
        <v>9.2357936730594131E-5</v>
      </c>
      <c r="I667" s="1085">
        <f t="shared" si="8"/>
        <v>0.97524861835569576</v>
      </c>
      <c r="J667" s="1085" t="str">
        <f t="shared" si="7"/>
        <v>C</v>
      </c>
      <c r="K667" s="1036"/>
      <c r="L667" s="1036"/>
      <c r="M667" s="1036"/>
      <c r="N667" s="1036"/>
      <c r="O667" s="1036"/>
      <c r="P667" s="1036"/>
      <c r="Q667" s="1036"/>
      <c r="R667" s="1036"/>
      <c r="S667" s="1036"/>
      <c r="T667" s="1036"/>
      <c r="U667" s="1036"/>
      <c r="V667" s="1036"/>
      <c r="W667" s="1036"/>
      <c r="X667" s="1036"/>
      <c r="Y667" s="1036"/>
      <c r="Z667" s="1036"/>
    </row>
    <row r="668" spans="1:26" ht="38.25">
      <c r="A668" s="1079" t="s">
        <v>15417</v>
      </c>
      <c r="B668" s="1080" t="s">
        <v>14472</v>
      </c>
      <c r="C668" s="1080" t="s">
        <v>15418</v>
      </c>
      <c r="D668" s="1081" t="s">
        <v>6</v>
      </c>
      <c r="E668" s="1082">
        <v>16</v>
      </c>
      <c r="F668" s="1083">
        <v>84.97</v>
      </c>
      <c r="G668" s="1083">
        <v>1359.52</v>
      </c>
      <c r="H668" s="1084">
        <f t="shared" si="6"/>
        <v>9.2338919064551645E-5</v>
      </c>
      <c r="I668" s="1085">
        <f t="shared" si="8"/>
        <v>0.97534095727476033</v>
      </c>
      <c r="J668" s="1085" t="str">
        <f t="shared" si="7"/>
        <v>C</v>
      </c>
      <c r="K668" s="1036"/>
      <c r="L668" s="1036"/>
      <c r="M668" s="1036"/>
      <c r="N668" s="1036"/>
      <c r="O668" s="1036"/>
      <c r="P668" s="1036"/>
      <c r="Q668" s="1036"/>
      <c r="R668" s="1036"/>
      <c r="S668" s="1036"/>
      <c r="T668" s="1036"/>
      <c r="U668" s="1036"/>
      <c r="V668" s="1036"/>
      <c r="W668" s="1036"/>
      <c r="X668" s="1036"/>
      <c r="Y668" s="1036"/>
      <c r="Z668" s="1036"/>
    </row>
    <row r="669" spans="1:26" ht="38.25">
      <c r="A669" s="1079" t="s">
        <v>15417</v>
      </c>
      <c r="B669" s="1080" t="s">
        <v>14472</v>
      </c>
      <c r="C669" s="1080" t="s">
        <v>15418</v>
      </c>
      <c r="D669" s="1081" t="s">
        <v>6</v>
      </c>
      <c r="E669" s="1082">
        <v>16</v>
      </c>
      <c r="F669" s="1083">
        <v>84.97</v>
      </c>
      <c r="G669" s="1083">
        <v>1359.52</v>
      </c>
      <c r="H669" s="1084">
        <f t="shared" si="6"/>
        <v>9.2338919064551645E-5</v>
      </c>
      <c r="I669" s="1085">
        <f t="shared" si="8"/>
        <v>0.97543329619382491</v>
      </c>
      <c r="J669" s="1085" t="str">
        <f t="shared" si="7"/>
        <v>C</v>
      </c>
      <c r="K669" s="1036"/>
      <c r="L669" s="1036"/>
      <c r="M669" s="1036"/>
      <c r="N669" s="1036"/>
      <c r="O669" s="1036"/>
      <c r="P669" s="1036"/>
      <c r="Q669" s="1036"/>
      <c r="R669" s="1036"/>
      <c r="S669" s="1036"/>
      <c r="T669" s="1036"/>
      <c r="U669" s="1036"/>
      <c r="V669" s="1036"/>
      <c r="W669" s="1036"/>
      <c r="X669" s="1036"/>
      <c r="Y669" s="1036"/>
      <c r="Z669" s="1036"/>
    </row>
    <row r="670" spans="1:26" ht="25.5">
      <c r="A670" s="1079">
        <v>95577</v>
      </c>
      <c r="B670" s="1080" t="s">
        <v>14476</v>
      </c>
      <c r="C670" s="1080" t="s">
        <v>7477</v>
      </c>
      <c r="D670" s="1081" t="s">
        <v>54</v>
      </c>
      <c r="E670" s="1082">
        <v>90.27</v>
      </c>
      <c r="F670" s="1083">
        <v>15.06</v>
      </c>
      <c r="G670" s="1083">
        <v>1359.46</v>
      </c>
      <c r="H670" s="1084">
        <f t="shared" si="6"/>
        <v>9.2334843850399686E-5</v>
      </c>
      <c r="I670" s="1085">
        <f t="shared" si="8"/>
        <v>0.97552563103767531</v>
      </c>
      <c r="J670" s="1085" t="str">
        <f t="shared" si="7"/>
        <v>C</v>
      </c>
      <c r="K670" s="1036"/>
      <c r="L670" s="1036"/>
      <c r="M670" s="1036"/>
      <c r="N670" s="1036"/>
      <c r="O670" s="1036"/>
      <c r="P670" s="1036"/>
      <c r="Q670" s="1036"/>
      <c r="R670" s="1036"/>
      <c r="S670" s="1036"/>
      <c r="T670" s="1036"/>
      <c r="U670" s="1036"/>
      <c r="V670" s="1036"/>
      <c r="W670" s="1036"/>
      <c r="X670" s="1036"/>
      <c r="Y670" s="1036"/>
      <c r="Z670" s="1036"/>
    </row>
    <row r="671" spans="1:26" ht="38.25">
      <c r="A671" s="1079">
        <v>104917</v>
      </c>
      <c r="B671" s="1080" t="s">
        <v>14476</v>
      </c>
      <c r="C671" s="1080" t="s">
        <v>7514</v>
      </c>
      <c r="D671" s="1081" t="s">
        <v>54</v>
      </c>
      <c r="E671" s="1082">
        <v>65.8</v>
      </c>
      <c r="F671" s="1083">
        <v>20.62</v>
      </c>
      <c r="G671" s="1083">
        <v>1356.79</v>
      </c>
      <c r="H671" s="1084">
        <f t="shared" si="6"/>
        <v>9.2153496820637456E-5</v>
      </c>
      <c r="I671" s="1085">
        <f t="shared" si="8"/>
        <v>0.97561778453449599</v>
      </c>
      <c r="J671" s="1085" t="str">
        <f t="shared" si="7"/>
        <v>C</v>
      </c>
      <c r="K671" s="1036"/>
      <c r="L671" s="1036"/>
      <c r="M671" s="1036"/>
      <c r="N671" s="1036"/>
      <c r="O671" s="1036"/>
      <c r="P671" s="1036"/>
      <c r="Q671" s="1036"/>
      <c r="R671" s="1036"/>
      <c r="S671" s="1036"/>
      <c r="T671" s="1036"/>
      <c r="U671" s="1036"/>
      <c r="V671" s="1036"/>
      <c r="W671" s="1036"/>
      <c r="X671" s="1036"/>
      <c r="Y671" s="1036"/>
      <c r="Z671" s="1036"/>
    </row>
    <row r="672" spans="1:26" ht="25.5">
      <c r="A672" s="1079">
        <v>102718</v>
      </c>
      <c r="B672" s="1080" t="s">
        <v>14476</v>
      </c>
      <c r="C672" s="1080" t="s">
        <v>6482</v>
      </c>
      <c r="D672" s="1081" t="s">
        <v>152</v>
      </c>
      <c r="E672" s="1082">
        <v>6</v>
      </c>
      <c r="F672" s="1083">
        <v>224.71</v>
      </c>
      <c r="G672" s="1083">
        <v>1348.26</v>
      </c>
      <c r="H672" s="1084">
        <f t="shared" si="6"/>
        <v>9.157413720870043E-5</v>
      </c>
      <c r="I672" s="1085">
        <f t="shared" si="8"/>
        <v>0.97570935867170472</v>
      </c>
      <c r="J672" s="1085" t="str">
        <f t="shared" si="7"/>
        <v>C</v>
      </c>
      <c r="K672" s="1036"/>
      <c r="L672" s="1036"/>
      <c r="M672" s="1036"/>
      <c r="N672" s="1036"/>
      <c r="O672" s="1036"/>
      <c r="P672" s="1036"/>
      <c r="Q672" s="1036"/>
      <c r="R672" s="1036"/>
      <c r="S672" s="1036"/>
      <c r="T672" s="1036"/>
      <c r="U672" s="1036"/>
      <c r="V672" s="1036"/>
      <c r="W672" s="1036"/>
      <c r="X672" s="1036"/>
      <c r="Y672" s="1036"/>
      <c r="Z672" s="1036"/>
    </row>
    <row r="673" spans="1:26" ht="25.5">
      <c r="A673" s="1079" t="s">
        <v>14901</v>
      </c>
      <c r="B673" s="1080" t="s">
        <v>14472</v>
      </c>
      <c r="C673" s="1080" t="s">
        <v>14902</v>
      </c>
      <c r="D673" s="1081" t="s">
        <v>6</v>
      </c>
      <c r="E673" s="1082">
        <v>2</v>
      </c>
      <c r="F673" s="1083">
        <v>672.36</v>
      </c>
      <c r="G673" s="1083">
        <v>1344.72</v>
      </c>
      <c r="H673" s="1084">
        <f t="shared" si="6"/>
        <v>9.1333699573734772E-5</v>
      </c>
      <c r="I673" s="1085">
        <f t="shared" si="8"/>
        <v>0.97580069237127842</v>
      </c>
      <c r="J673" s="1085" t="str">
        <f t="shared" si="7"/>
        <v>C</v>
      </c>
      <c r="K673" s="1036"/>
      <c r="L673" s="1036"/>
      <c r="M673" s="1036"/>
      <c r="N673" s="1036"/>
      <c r="O673" s="1036"/>
      <c r="P673" s="1036"/>
      <c r="Q673" s="1036"/>
      <c r="R673" s="1036"/>
      <c r="S673" s="1036"/>
      <c r="T673" s="1036"/>
      <c r="U673" s="1036"/>
      <c r="V673" s="1036"/>
      <c r="W673" s="1036"/>
      <c r="X673" s="1036"/>
      <c r="Y673" s="1036"/>
      <c r="Z673" s="1036"/>
    </row>
    <row r="674" spans="1:26" ht="25.5">
      <c r="A674" s="1079">
        <v>105035</v>
      </c>
      <c r="B674" s="1080" t="s">
        <v>14476</v>
      </c>
      <c r="C674" s="1080" t="s">
        <v>7630</v>
      </c>
      <c r="D674" s="1081" t="s">
        <v>50</v>
      </c>
      <c r="E674" s="1082">
        <v>16.399999999999999</v>
      </c>
      <c r="F674" s="1083">
        <v>81.13</v>
      </c>
      <c r="G674" s="1083">
        <v>1330.53</v>
      </c>
      <c r="H674" s="1084">
        <f t="shared" si="6"/>
        <v>9.0369911426796152E-5</v>
      </c>
      <c r="I674" s="1085">
        <f t="shared" si="8"/>
        <v>0.97589106228270517</v>
      </c>
      <c r="J674" s="1085" t="str">
        <f t="shared" si="7"/>
        <v>C</v>
      </c>
      <c r="K674" s="1036"/>
      <c r="L674" s="1036"/>
      <c r="M674" s="1036"/>
      <c r="N674" s="1036"/>
      <c r="O674" s="1036"/>
      <c r="P674" s="1036"/>
      <c r="Q674" s="1036"/>
      <c r="R674" s="1036"/>
      <c r="S674" s="1036"/>
      <c r="T674" s="1036"/>
      <c r="U674" s="1036"/>
      <c r="V674" s="1036"/>
      <c r="W674" s="1036"/>
      <c r="X674" s="1036"/>
      <c r="Y674" s="1036"/>
      <c r="Z674" s="1036"/>
    </row>
    <row r="675" spans="1:26" ht="38.25">
      <c r="A675" s="1079">
        <v>97087</v>
      </c>
      <c r="B675" s="1080" t="s">
        <v>14476</v>
      </c>
      <c r="C675" s="1080" t="s">
        <v>7175</v>
      </c>
      <c r="D675" s="1081" t="s">
        <v>409</v>
      </c>
      <c r="E675" s="1082">
        <v>319.10000000000002</v>
      </c>
      <c r="F675" s="1083">
        <v>4.16</v>
      </c>
      <c r="G675" s="1083">
        <v>1327.45</v>
      </c>
      <c r="H675" s="1084">
        <f t="shared" si="6"/>
        <v>9.0160717100328856E-5</v>
      </c>
      <c r="I675" s="1085">
        <f t="shared" si="8"/>
        <v>0.9759812229998055</v>
      </c>
      <c r="J675" s="1085" t="str">
        <f t="shared" si="7"/>
        <v>C</v>
      </c>
      <c r="K675" s="1036"/>
      <c r="L675" s="1036"/>
      <c r="M675" s="1036"/>
      <c r="N675" s="1036"/>
      <c r="O675" s="1036"/>
      <c r="P675" s="1036"/>
      <c r="Q675" s="1036"/>
      <c r="R675" s="1036"/>
      <c r="S675" s="1036"/>
      <c r="T675" s="1036"/>
      <c r="U675" s="1036"/>
      <c r="V675" s="1036"/>
      <c r="W675" s="1036"/>
      <c r="X675" s="1036"/>
      <c r="Y675" s="1036"/>
      <c r="Z675" s="1036"/>
    </row>
    <row r="676" spans="1:26" ht="38.25">
      <c r="A676" s="1079" t="s">
        <v>15224</v>
      </c>
      <c r="B676" s="1080" t="s">
        <v>14472</v>
      </c>
      <c r="C676" s="1080" t="s">
        <v>15225</v>
      </c>
      <c r="D676" s="1081" t="s">
        <v>6</v>
      </c>
      <c r="E676" s="1082">
        <v>41</v>
      </c>
      <c r="F676" s="1083">
        <v>32.28</v>
      </c>
      <c r="G676" s="1083">
        <v>1323.48</v>
      </c>
      <c r="H676" s="1084">
        <f t="shared" si="6"/>
        <v>8.9891073763940821E-5</v>
      </c>
      <c r="I676" s="1085">
        <f t="shared" si="8"/>
        <v>0.97607111407356939</v>
      </c>
      <c r="J676" s="1085" t="str">
        <f t="shared" si="7"/>
        <v>C</v>
      </c>
      <c r="K676" s="1036"/>
      <c r="L676" s="1036"/>
      <c r="M676" s="1036"/>
      <c r="N676" s="1036"/>
      <c r="O676" s="1036"/>
      <c r="P676" s="1036"/>
      <c r="Q676" s="1036"/>
      <c r="R676" s="1036"/>
      <c r="S676" s="1036"/>
      <c r="T676" s="1036"/>
      <c r="U676" s="1036"/>
      <c r="V676" s="1036"/>
      <c r="W676" s="1036"/>
      <c r="X676" s="1036"/>
      <c r="Y676" s="1036"/>
      <c r="Z676" s="1036"/>
    </row>
    <row r="677" spans="1:26" ht="25.5">
      <c r="A677" s="1079" t="s">
        <v>15122</v>
      </c>
      <c r="B677" s="1080" t="s">
        <v>14472</v>
      </c>
      <c r="C677" s="1080" t="s">
        <v>15123</v>
      </c>
      <c r="D677" s="1081" t="s">
        <v>50</v>
      </c>
      <c r="E677" s="1082">
        <v>33</v>
      </c>
      <c r="F677" s="1083">
        <v>39.96</v>
      </c>
      <c r="G677" s="1083">
        <v>1318.68</v>
      </c>
      <c r="H677" s="1084">
        <f t="shared" si="6"/>
        <v>8.9565056631783993E-5</v>
      </c>
      <c r="I677" s="1085">
        <f t="shared" si="8"/>
        <v>0.97616067913020121</v>
      </c>
      <c r="J677" s="1085" t="str">
        <f t="shared" si="7"/>
        <v>C</v>
      </c>
      <c r="K677" s="1036"/>
      <c r="L677" s="1036"/>
      <c r="M677" s="1036"/>
      <c r="N677" s="1036"/>
      <c r="O677" s="1036"/>
      <c r="P677" s="1036"/>
      <c r="Q677" s="1036"/>
      <c r="R677" s="1036"/>
      <c r="S677" s="1036"/>
      <c r="T677" s="1036"/>
      <c r="U677" s="1036"/>
      <c r="V677" s="1036"/>
      <c r="W677" s="1036"/>
      <c r="X677" s="1036"/>
      <c r="Y677" s="1036"/>
      <c r="Z677" s="1036"/>
    </row>
    <row r="678" spans="1:26" ht="38.25">
      <c r="A678" s="1079">
        <v>92759</v>
      </c>
      <c r="B678" s="1080" t="s">
        <v>14476</v>
      </c>
      <c r="C678" s="1080" t="s">
        <v>7428</v>
      </c>
      <c r="D678" s="1081" t="s">
        <v>54</v>
      </c>
      <c r="E678" s="1082">
        <v>69.900000000000006</v>
      </c>
      <c r="F678" s="1083">
        <v>18.77</v>
      </c>
      <c r="G678" s="1083">
        <v>1312.02</v>
      </c>
      <c r="H678" s="1084">
        <f t="shared" si="6"/>
        <v>8.911270786091639E-5</v>
      </c>
      <c r="I678" s="1085">
        <f t="shared" si="8"/>
        <v>0.97624979183806215</v>
      </c>
      <c r="J678" s="1085" t="str">
        <f t="shared" si="7"/>
        <v>C</v>
      </c>
      <c r="K678" s="1036"/>
      <c r="L678" s="1036"/>
      <c r="M678" s="1036"/>
      <c r="N678" s="1036"/>
      <c r="O678" s="1036"/>
      <c r="P678" s="1036"/>
      <c r="Q678" s="1036"/>
      <c r="R678" s="1036"/>
      <c r="S678" s="1036"/>
      <c r="T678" s="1036"/>
      <c r="U678" s="1036"/>
      <c r="V678" s="1036"/>
      <c r="W678" s="1036"/>
      <c r="X678" s="1036"/>
      <c r="Y678" s="1036"/>
      <c r="Z678" s="1036"/>
    </row>
    <row r="679" spans="1:26" ht="14.25">
      <c r="A679" s="1079" t="s">
        <v>14964</v>
      </c>
      <c r="B679" s="1080" t="s">
        <v>14472</v>
      </c>
      <c r="C679" s="1080" t="s">
        <v>14965</v>
      </c>
      <c r="D679" s="1081" t="s">
        <v>50</v>
      </c>
      <c r="E679" s="1082">
        <v>42.62</v>
      </c>
      <c r="F679" s="1083">
        <v>30.71</v>
      </c>
      <c r="G679" s="1083">
        <v>1308.8599999999999</v>
      </c>
      <c r="H679" s="1084">
        <f t="shared" si="6"/>
        <v>8.8898079915579811E-5</v>
      </c>
      <c r="I679" s="1085">
        <f t="shared" si="8"/>
        <v>0.97633868991797779</v>
      </c>
      <c r="J679" s="1085" t="str">
        <f t="shared" si="7"/>
        <v>C</v>
      </c>
      <c r="K679" s="1036"/>
      <c r="L679" s="1036"/>
      <c r="M679" s="1036"/>
      <c r="N679" s="1036"/>
      <c r="O679" s="1036"/>
      <c r="P679" s="1036"/>
      <c r="Q679" s="1036"/>
      <c r="R679" s="1036"/>
      <c r="S679" s="1036"/>
      <c r="T679" s="1036"/>
      <c r="U679" s="1036"/>
      <c r="V679" s="1036"/>
      <c r="W679" s="1036"/>
      <c r="X679" s="1036"/>
      <c r="Y679" s="1036"/>
      <c r="Z679" s="1036"/>
    </row>
    <row r="680" spans="1:26" ht="76.5">
      <c r="A680" s="1079">
        <v>90842</v>
      </c>
      <c r="B680" s="1080" t="s">
        <v>14476</v>
      </c>
      <c r="C680" s="1080" t="s">
        <v>6946</v>
      </c>
      <c r="D680" s="1081" t="s">
        <v>6</v>
      </c>
      <c r="E680" s="1082">
        <v>1</v>
      </c>
      <c r="F680" s="1083">
        <v>1301.82</v>
      </c>
      <c r="G680" s="1083">
        <v>1301.82</v>
      </c>
      <c r="H680" s="1084">
        <f t="shared" si="6"/>
        <v>8.8419921455083129E-5</v>
      </c>
      <c r="I680" s="1085">
        <f t="shared" si="8"/>
        <v>0.97642710983943282</v>
      </c>
      <c r="J680" s="1085" t="str">
        <f t="shared" si="7"/>
        <v>C</v>
      </c>
      <c r="K680" s="1036"/>
      <c r="L680" s="1036"/>
      <c r="M680" s="1036"/>
      <c r="N680" s="1036"/>
      <c r="O680" s="1036"/>
      <c r="P680" s="1036"/>
      <c r="Q680" s="1036"/>
      <c r="R680" s="1036"/>
      <c r="S680" s="1036"/>
      <c r="T680" s="1036"/>
      <c r="U680" s="1036"/>
      <c r="V680" s="1036"/>
      <c r="W680" s="1036"/>
      <c r="X680" s="1036"/>
      <c r="Y680" s="1036"/>
      <c r="Z680" s="1036"/>
    </row>
    <row r="681" spans="1:26" ht="38.25">
      <c r="A681" s="1079">
        <v>92762</v>
      </c>
      <c r="B681" s="1080" t="s">
        <v>14476</v>
      </c>
      <c r="C681" s="1080" t="s">
        <v>7431</v>
      </c>
      <c r="D681" s="1081" t="s">
        <v>54</v>
      </c>
      <c r="E681" s="1082">
        <v>83.6</v>
      </c>
      <c r="F681" s="1083">
        <v>15.5</v>
      </c>
      <c r="G681" s="1083">
        <v>1295.8</v>
      </c>
      <c r="H681" s="1084">
        <f t="shared" si="6"/>
        <v>8.801104163516978E-5</v>
      </c>
      <c r="I681" s="1085">
        <f t="shared" si="8"/>
        <v>0.97651512088106796</v>
      </c>
      <c r="J681" s="1085" t="str">
        <f t="shared" si="7"/>
        <v>C</v>
      </c>
      <c r="K681" s="1036"/>
      <c r="L681" s="1036"/>
      <c r="M681" s="1036"/>
      <c r="N681" s="1036"/>
      <c r="O681" s="1036"/>
      <c r="P681" s="1036"/>
      <c r="Q681" s="1036"/>
      <c r="R681" s="1036"/>
      <c r="S681" s="1036"/>
      <c r="T681" s="1036"/>
      <c r="U681" s="1036"/>
      <c r="V681" s="1036"/>
      <c r="W681" s="1036"/>
      <c r="X681" s="1036"/>
      <c r="Y681" s="1036"/>
      <c r="Z681" s="1036"/>
    </row>
    <row r="682" spans="1:26" ht="25.5">
      <c r="A682" s="1079">
        <v>100903</v>
      </c>
      <c r="B682" s="1080" t="s">
        <v>14476</v>
      </c>
      <c r="C682" s="1080" t="s">
        <v>8104</v>
      </c>
      <c r="D682" s="1081" t="s">
        <v>6</v>
      </c>
      <c r="E682" s="1082">
        <v>47</v>
      </c>
      <c r="F682" s="1083">
        <v>27.55</v>
      </c>
      <c r="G682" s="1083">
        <v>1294.8499999999999</v>
      </c>
      <c r="H682" s="1084">
        <f t="shared" si="6"/>
        <v>8.7946517411097069E-5</v>
      </c>
      <c r="I682" s="1085">
        <f t="shared" si="8"/>
        <v>0.97660306739847902</v>
      </c>
      <c r="J682" s="1085" t="str">
        <f t="shared" si="7"/>
        <v>C</v>
      </c>
      <c r="K682" s="1036"/>
      <c r="L682" s="1036"/>
      <c r="M682" s="1036"/>
      <c r="N682" s="1036"/>
      <c r="O682" s="1036"/>
      <c r="P682" s="1036"/>
      <c r="Q682" s="1036"/>
      <c r="R682" s="1036"/>
      <c r="S682" s="1036"/>
      <c r="T682" s="1036"/>
      <c r="U682" s="1036"/>
      <c r="V682" s="1036"/>
      <c r="W682" s="1036"/>
      <c r="X682" s="1036"/>
      <c r="Y682" s="1036"/>
      <c r="Z682" s="1036"/>
    </row>
    <row r="683" spans="1:26" ht="25.5">
      <c r="A683" s="1079" t="s">
        <v>15424</v>
      </c>
      <c r="B683" s="1080" t="s">
        <v>14472</v>
      </c>
      <c r="C683" s="1080" t="s">
        <v>15989</v>
      </c>
      <c r="D683" s="1081" t="s">
        <v>6</v>
      </c>
      <c r="E683" s="1082">
        <v>1</v>
      </c>
      <c r="F683" s="1083">
        <v>1290.71</v>
      </c>
      <c r="G683" s="1083">
        <v>1290.71</v>
      </c>
      <c r="H683" s="1084">
        <f t="shared" si="6"/>
        <v>8.7665327634611819E-5</v>
      </c>
      <c r="I683" s="1085">
        <f t="shared" si="8"/>
        <v>0.97669073272611362</v>
      </c>
      <c r="J683" s="1085" t="str">
        <f t="shared" si="7"/>
        <v>C</v>
      </c>
      <c r="K683" s="1036"/>
      <c r="L683" s="1036"/>
      <c r="M683" s="1036"/>
      <c r="N683" s="1036"/>
      <c r="O683" s="1036"/>
      <c r="P683" s="1036"/>
      <c r="Q683" s="1036"/>
      <c r="R683" s="1036"/>
      <c r="S683" s="1036"/>
      <c r="T683" s="1036"/>
      <c r="U683" s="1036"/>
      <c r="V683" s="1036"/>
      <c r="W683" s="1036"/>
      <c r="X683" s="1036"/>
      <c r="Y683" s="1036"/>
      <c r="Z683" s="1036"/>
    </row>
    <row r="684" spans="1:26" ht="51">
      <c r="A684" s="1079">
        <v>92413</v>
      </c>
      <c r="B684" s="1080" t="s">
        <v>14476</v>
      </c>
      <c r="C684" s="1080" t="s">
        <v>7212</v>
      </c>
      <c r="D684" s="1081" t="s">
        <v>409</v>
      </c>
      <c r="E684" s="1082">
        <v>9.6199999999999992</v>
      </c>
      <c r="F684" s="1083">
        <v>133.55000000000001</v>
      </c>
      <c r="G684" s="1083">
        <v>1284.75</v>
      </c>
      <c r="H684" s="1084">
        <f t="shared" si="6"/>
        <v>8.7260523028850429E-5</v>
      </c>
      <c r="I684" s="1085">
        <f t="shared" si="8"/>
        <v>0.9767779932491425</v>
      </c>
      <c r="J684" s="1085" t="str">
        <f t="shared" si="7"/>
        <v>C</v>
      </c>
      <c r="K684" s="1036"/>
      <c r="L684" s="1036"/>
      <c r="M684" s="1036"/>
      <c r="N684" s="1036"/>
      <c r="O684" s="1036"/>
      <c r="P684" s="1036"/>
      <c r="Q684" s="1036"/>
      <c r="R684" s="1036"/>
      <c r="S684" s="1036"/>
      <c r="T684" s="1036"/>
      <c r="U684" s="1036"/>
      <c r="V684" s="1036"/>
      <c r="W684" s="1036"/>
      <c r="X684" s="1036"/>
      <c r="Y684" s="1036"/>
      <c r="Z684" s="1036"/>
    </row>
    <row r="685" spans="1:26" ht="25.5">
      <c r="A685" s="1079">
        <v>98302</v>
      </c>
      <c r="B685" s="1080" t="s">
        <v>14476</v>
      </c>
      <c r="C685" s="1080" t="s">
        <v>8408</v>
      </c>
      <c r="D685" s="1081" t="s">
        <v>6</v>
      </c>
      <c r="E685" s="1082">
        <v>1</v>
      </c>
      <c r="F685" s="1083">
        <v>1278.6199999999999</v>
      </c>
      <c r="G685" s="1083">
        <v>1278.6199999999999</v>
      </c>
      <c r="H685" s="1084">
        <f t="shared" si="6"/>
        <v>8.684417198299181E-5</v>
      </c>
      <c r="I685" s="1085">
        <f t="shared" si="8"/>
        <v>0.97686483742112551</v>
      </c>
      <c r="J685" s="1085" t="str">
        <f t="shared" si="7"/>
        <v>C</v>
      </c>
      <c r="K685" s="1036"/>
      <c r="L685" s="1036"/>
      <c r="M685" s="1036"/>
      <c r="N685" s="1036"/>
      <c r="O685" s="1036"/>
      <c r="P685" s="1036"/>
      <c r="Q685" s="1036"/>
      <c r="R685" s="1036"/>
      <c r="S685" s="1036"/>
      <c r="T685" s="1036"/>
      <c r="U685" s="1036"/>
      <c r="V685" s="1036"/>
      <c r="W685" s="1036"/>
      <c r="X685" s="1036"/>
      <c r="Y685" s="1036"/>
      <c r="Z685" s="1036"/>
    </row>
    <row r="686" spans="1:26" ht="25.5">
      <c r="A686" s="1079">
        <v>103946</v>
      </c>
      <c r="B686" s="1080" t="s">
        <v>14476</v>
      </c>
      <c r="C686" s="1080" t="s">
        <v>12077</v>
      </c>
      <c r="D686" s="1081" t="s">
        <v>409</v>
      </c>
      <c r="E686" s="1082">
        <v>52.76</v>
      </c>
      <c r="F686" s="1083">
        <v>24.23</v>
      </c>
      <c r="G686" s="1083">
        <v>1278.3699999999999</v>
      </c>
      <c r="H686" s="1084">
        <f t="shared" si="6"/>
        <v>8.6827191924025298E-5</v>
      </c>
      <c r="I686" s="1085">
        <f t="shared" si="8"/>
        <v>0.9769516646130495</v>
      </c>
      <c r="J686" s="1085" t="str">
        <f t="shared" si="7"/>
        <v>C</v>
      </c>
      <c r="K686" s="1036"/>
      <c r="L686" s="1036"/>
      <c r="M686" s="1036"/>
      <c r="N686" s="1036"/>
      <c r="O686" s="1036"/>
      <c r="P686" s="1036"/>
      <c r="Q686" s="1036"/>
      <c r="R686" s="1036"/>
      <c r="S686" s="1036"/>
      <c r="T686" s="1036"/>
      <c r="U686" s="1036"/>
      <c r="V686" s="1036"/>
      <c r="W686" s="1036"/>
      <c r="X686" s="1036"/>
      <c r="Y686" s="1036"/>
      <c r="Z686" s="1036"/>
    </row>
    <row r="687" spans="1:26" ht="51">
      <c r="A687" s="1079">
        <v>97667</v>
      </c>
      <c r="B687" s="1080" t="s">
        <v>14476</v>
      </c>
      <c r="C687" s="1080" t="s">
        <v>7797</v>
      </c>
      <c r="D687" s="1081" t="s">
        <v>50</v>
      </c>
      <c r="E687" s="1082">
        <v>130</v>
      </c>
      <c r="F687" s="1083">
        <v>9.81</v>
      </c>
      <c r="G687" s="1083">
        <v>1275.3</v>
      </c>
      <c r="H687" s="1084">
        <f t="shared" si="6"/>
        <v>8.6618676799916678E-5</v>
      </c>
      <c r="I687" s="1085">
        <f t="shared" si="8"/>
        <v>0.97703828328984943</v>
      </c>
      <c r="J687" s="1085" t="str">
        <f t="shared" si="7"/>
        <v>C</v>
      </c>
      <c r="K687" s="1036"/>
      <c r="L687" s="1036"/>
      <c r="M687" s="1036"/>
      <c r="N687" s="1036"/>
      <c r="O687" s="1036"/>
      <c r="P687" s="1036"/>
      <c r="Q687" s="1036"/>
      <c r="R687" s="1036"/>
      <c r="S687" s="1036"/>
      <c r="T687" s="1036"/>
      <c r="U687" s="1036"/>
      <c r="V687" s="1036"/>
      <c r="W687" s="1036"/>
      <c r="X687" s="1036"/>
      <c r="Y687" s="1036"/>
      <c r="Z687" s="1036"/>
    </row>
    <row r="688" spans="1:26" ht="25.5">
      <c r="A688" s="1079" t="s">
        <v>14853</v>
      </c>
      <c r="B688" s="1080" t="s">
        <v>14472</v>
      </c>
      <c r="C688" s="1080" t="s">
        <v>14854</v>
      </c>
      <c r="D688" s="1081" t="s">
        <v>6</v>
      </c>
      <c r="E688" s="1082">
        <v>11</v>
      </c>
      <c r="F688" s="1083">
        <v>115.53</v>
      </c>
      <c r="G688" s="1083">
        <v>1270.83</v>
      </c>
      <c r="H688" s="1084">
        <f t="shared" si="6"/>
        <v>8.6315073345595632E-5</v>
      </c>
      <c r="I688" s="1085">
        <f t="shared" si="8"/>
        <v>0.97712459836319498</v>
      </c>
      <c r="J688" s="1085" t="str">
        <f t="shared" si="7"/>
        <v>C</v>
      </c>
      <c r="K688" s="1036"/>
      <c r="L688" s="1036"/>
      <c r="M688" s="1036"/>
      <c r="N688" s="1036"/>
      <c r="O688" s="1036"/>
      <c r="P688" s="1036"/>
      <c r="Q688" s="1036"/>
      <c r="R688" s="1036"/>
      <c r="S688" s="1036"/>
      <c r="T688" s="1036"/>
      <c r="U688" s="1036"/>
      <c r="V688" s="1036"/>
      <c r="W688" s="1036"/>
      <c r="X688" s="1036"/>
      <c r="Y688" s="1036"/>
      <c r="Z688" s="1036"/>
    </row>
    <row r="689" spans="1:26" ht="25.5">
      <c r="A689" s="1079">
        <v>98557</v>
      </c>
      <c r="B689" s="1080" t="s">
        <v>14476</v>
      </c>
      <c r="C689" s="1080" t="s">
        <v>7741</v>
      </c>
      <c r="D689" s="1081" t="s">
        <v>409</v>
      </c>
      <c r="E689" s="1082">
        <v>23.73</v>
      </c>
      <c r="F689" s="1083">
        <v>53.38</v>
      </c>
      <c r="G689" s="1083">
        <v>1266.7</v>
      </c>
      <c r="H689" s="1084">
        <f t="shared" si="6"/>
        <v>8.603456277146903E-5</v>
      </c>
      <c r="I689" s="1085">
        <f t="shared" si="8"/>
        <v>0.97721063292596644</v>
      </c>
      <c r="J689" s="1085" t="str">
        <f t="shared" si="7"/>
        <v>C</v>
      </c>
      <c r="K689" s="1036"/>
      <c r="L689" s="1036"/>
      <c r="M689" s="1036"/>
      <c r="N689" s="1036"/>
      <c r="O689" s="1036"/>
      <c r="P689" s="1036"/>
      <c r="Q689" s="1036"/>
      <c r="R689" s="1036"/>
      <c r="S689" s="1036"/>
      <c r="T689" s="1036"/>
      <c r="U689" s="1036"/>
      <c r="V689" s="1036"/>
      <c r="W689" s="1036"/>
      <c r="X689" s="1036"/>
      <c r="Y689" s="1036"/>
      <c r="Z689" s="1036"/>
    </row>
    <row r="690" spans="1:26" ht="38.25">
      <c r="A690" s="1079">
        <v>104170</v>
      </c>
      <c r="B690" s="1080" t="s">
        <v>14476</v>
      </c>
      <c r="C690" s="1080" t="s">
        <v>9876</v>
      </c>
      <c r="D690" s="1081" t="s">
        <v>6</v>
      </c>
      <c r="E690" s="1082">
        <v>15</v>
      </c>
      <c r="F690" s="1083">
        <v>83.88</v>
      </c>
      <c r="G690" s="1083">
        <v>1258.2</v>
      </c>
      <c r="H690" s="1084">
        <f t="shared" si="6"/>
        <v>8.5457240766607991E-5</v>
      </c>
      <c r="I690" s="1085">
        <f t="shared" si="8"/>
        <v>0.97729609016673302</v>
      </c>
      <c r="J690" s="1085" t="str">
        <f t="shared" si="7"/>
        <v>C</v>
      </c>
      <c r="K690" s="1036"/>
      <c r="L690" s="1036"/>
      <c r="M690" s="1036"/>
      <c r="N690" s="1036"/>
      <c r="O690" s="1036"/>
      <c r="P690" s="1036"/>
      <c r="Q690" s="1036"/>
      <c r="R690" s="1036"/>
      <c r="S690" s="1036"/>
      <c r="T690" s="1036"/>
      <c r="U690" s="1036"/>
      <c r="V690" s="1036"/>
      <c r="W690" s="1036"/>
      <c r="X690" s="1036"/>
      <c r="Y690" s="1036"/>
      <c r="Z690" s="1036"/>
    </row>
    <row r="691" spans="1:26" ht="38.25">
      <c r="A691" s="1079" t="s">
        <v>15048</v>
      </c>
      <c r="B691" s="1080" t="s">
        <v>14472</v>
      </c>
      <c r="C691" s="1080" t="s">
        <v>15990</v>
      </c>
      <c r="D691" s="1081" t="s">
        <v>6</v>
      </c>
      <c r="E691" s="1082">
        <v>4</v>
      </c>
      <c r="F691" s="1083">
        <v>314.22000000000003</v>
      </c>
      <c r="G691" s="1083">
        <v>1256.8800000000001</v>
      </c>
      <c r="H691" s="1084">
        <f t="shared" si="6"/>
        <v>8.5367586055264862E-5</v>
      </c>
      <c r="I691" s="1085">
        <f t="shared" si="8"/>
        <v>0.97738145775278829</v>
      </c>
      <c r="J691" s="1085" t="str">
        <f t="shared" si="7"/>
        <v>C</v>
      </c>
      <c r="K691" s="1036"/>
      <c r="L691" s="1036"/>
      <c r="M691" s="1036"/>
      <c r="N691" s="1036"/>
      <c r="O691" s="1036"/>
      <c r="P691" s="1036"/>
      <c r="Q691" s="1036"/>
      <c r="R691" s="1036"/>
      <c r="S691" s="1036"/>
      <c r="T691" s="1036"/>
      <c r="U691" s="1036"/>
      <c r="V691" s="1036"/>
      <c r="W691" s="1036"/>
      <c r="X691" s="1036"/>
      <c r="Y691" s="1036"/>
      <c r="Z691" s="1036"/>
    </row>
    <row r="692" spans="1:26" ht="38.25">
      <c r="A692" s="1079" t="s">
        <v>15048</v>
      </c>
      <c r="B692" s="1080" t="s">
        <v>14472</v>
      </c>
      <c r="C692" s="1080" t="s">
        <v>15990</v>
      </c>
      <c r="D692" s="1081" t="s">
        <v>6</v>
      </c>
      <c r="E692" s="1082">
        <v>4</v>
      </c>
      <c r="F692" s="1083">
        <v>314.22000000000003</v>
      </c>
      <c r="G692" s="1083">
        <v>1256.8800000000001</v>
      </c>
      <c r="H692" s="1084">
        <f t="shared" si="6"/>
        <v>8.5367586055264862E-5</v>
      </c>
      <c r="I692" s="1085">
        <f t="shared" si="8"/>
        <v>0.97746682533884355</v>
      </c>
      <c r="J692" s="1085" t="str">
        <f t="shared" si="7"/>
        <v>C</v>
      </c>
      <c r="K692" s="1036"/>
      <c r="L692" s="1036"/>
      <c r="M692" s="1036"/>
      <c r="N692" s="1036"/>
      <c r="O692" s="1036"/>
      <c r="P692" s="1036"/>
      <c r="Q692" s="1036"/>
      <c r="R692" s="1036"/>
      <c r="S692" s="1036"/>
      <c r="T692" s="1036"/>
      <c r="U692" s="1036"/>
      <c r="V692" s="1036"/>
      <c r="W692" s="1036"/>
      <c r="X692" s="1036"/>
      <c r="Y692" s="1036"/>
      <c r="Z692" s="1036"/>
    </row>
    <row r="693" spans="1:26" ht="38.25">
      <c r="A693" s="1079">
        <v>92759</v>
      </c>
      <c r="B693" s="1080" t="s">
        <v>14476</v>
      </c>
      <c r="C693" s="1080" t="s">
        <v>7428</v>
      </c>
      <c r="D693" s="1081" t="s">
        <v>54</v>
      </c>
      <c r="E693" s="1082">
        <v>66.77</v>
      </c>
      <c r="F693" s="1083">
        <v>18.77</v>
      </c>
      <c r="G693" s="1083">
        <v>1253.27</v>
      </c>
      <c r="H693" s="1084">
        <f t="shared" si="6"/>
        <v>8.5122394003788569E-5</v>
      </c>
      <c r="I693" s="1085">
        <f t="shared" si="8"/>
        <v>0.97755194773284737</v>
      </c>
      <c r="J693" s="1085" t="str">
        <f t="shared" si="7"/>
        <v>C</v>
      </c>
      <c r="K693" s="1036"/>
      <c r="L693" s="1036"/>
      <c r="M693" s="1036"/>
      <c r="N693" s="1036"/>
      <c r="O693" s="1036"/>
      <c r="P693" s="1036"/>
      <c r="Q693" s="1036"/>
      <c r="R693" s="1036"/>
      <c r="S693" s="1036"/>
      <c r="T693" s="1036"/>
      <c r="U693" s="1036"/>
      <c r="V693" s="1036"/>
      <c r="W693" s="1036"/>
      <c r="X693" s="1036"/>
      <c r="Y693" s="1036"/>
      <c r="Z693" s="1036"/>
    </row>
    <row r="694" spans="1:26" ht="25.5">
      <c r="A694" s="1079" t="s">
        <v>14867</v>
      </c>
      <c r="B694" s="1080" t="s">
        <v>14472</v>
      </c>
      <c r="C694" s="1080" t="s">
        <v>15991</v>
      </c>
      <c r="D694" s="1081" t="s">
        <v>6</v>
      </c>
      <c r="E694" s="1082">
        <v>4</v>
      </c>
      <c r="F694" s="1083">
        <v>312.26</v>
      </c>
      <c r="G694" s="1083">
        <v>1249.04</v>
      </c>
      <c r="H694" s="1084">
        <f t="shared" si="6"/>
        <v>8.4835091406075373E-5</v>
      </c>
      <c r="I694" s="1085">
        <f t="shared" si="8"/>
        <v>0.97763678282425348</v>
      </c>
      <c r="J694" s="1085" t="str">
        <f t="shared" si="7"/>
        <v>C</v>
      </c>
      <c r="K694" s="1036"/>
      <c r="L694" s="1036"/>
      <c r="M694" s="1036"/>
      <c r="N694" s="1036"/>
      <c r="O694" s="1036"/>
      <c r="P694" s="1036"/>
      <c r="Q694" s="1036"/>
      <c r="R694" s="1036"/>
      <c r="S694" s="1036"/>
      <c r="T694" s="1036"/>
      <c r="U694" s="1036"/>
      <c r="V694" s="1036"/>
      <c r="W694" s="1036"/>
      <c r="X694" s="1036"/>
      <c r="Y694" s="1036"/>
      <c r="Z694" s="1036"/>
    </row>
    <row r="695" spans="1:26" ht="25.5">
      <c r="A695" s="1079">
        <v>105038</v>
      </c>
      <c r="B695" s="1080" t="s">
        <v>14476</v>
      </c>
      <c r="C695" s="1080" t="s">
        <v>7633</v>
      </c>
      <c r="D695" s="1081" t="s">
        <v>50</v>
      </c>
      <c r="E695" s="1082">
        <v>15.3</v>
      </c>
      <c r="F695" s="1083">
        <v>80.92</v>
      </c>
      <c r="G695" s="1083">
        <v>1238.07</v>
      </c>
      <c r="H695" s="1084">
        <f t="shared" si="6"/>
        <v>8.4090006418625291E-5</v>
      </c>
      <c r="I695" s="1085">
        <f t="shared" si="8"/>
        <v>0.97772087283067211</v>
      </c>
      <c r="J695" s="1085" t="str">
        <f t="shared" si="7"/>
        <v>C</v>
      </c>
      <c r="K695" s="1036"/>
      <c r="L695" s="1036"/>
      <c r="M695" s="1036"/>
      <c r="N695" s="1036"/>
      <c r="O695" s="1036"/>
      <c r="P695" s="1036"/>
      <c r="Q695" s="1036"/>
      <c r="R695" s="1036"/>
      <c r="S695" s="1036"/>
      <c r="T695" s="1036"/>
      <c r="U695" s="1036"/>
      <c r="V695" s="1036"/>
      <c r="W695" s="1036"/>
      <c r="X695" s="1036"/>
      <c r="Y695" s="1036"/>
      <c r="Z695" s="1036"/>
    </row>
    <row r="696" spans="1:26" ht="38.25">
      <c r="A696" s="1079" t="s">
        <v>14887</v>
      </c>
      <c r="B696" s="1080" t="s">
        <v>14472</v>
      </c>
      <c r="C696" s="1080" t="s">
        <v>15992</v>
      </c>
      <c r="D696" s="1081" t="s">
        <v>6</v>
      </c>
      <c r="E696" s="1082">
        <v>4</v>
      </c>
      <c r="F696" s="1083">
        <v>307.67</v>
      </c>
      <c r="G696" s="1083">
        <v>1230.68</v>
      </c>
      <c r="H696" s="1084">
        <f t="shared" si="6"/>
        <v>8.3588075875575517E-5</v>
      </c>
      <c r="I696" s="1085">
        <f t="shared" si="8"/>
        <v>0.97780446090654771</v>
      </c>
      <c r="J696" s="1085" t="str">
        <f t="shared" si="7"/>
        <v>C</v>
      </c>
      <c r="K696" s="1036"/>
      <c r="L696" s="1036"/>
      <c r="M696" s="1036"/>
      <c r="N696" s="1036"/>
      <c r="O696" s="1036"/>
      <c r="P696" s="1036"/>
      <c r="Q696" s="1036"/>
      <c r="R696" s="1036"/>
      <c r="S696" s="1036"/>
      <c r="T696" s="1036"/>
      <c r="U696" s="1036"/>
      <c r="V696" s="1036"/>
      <c r="W696" s="1036"/>
      <c r="X696" s="1036"/>
      <c r="Y696" s="1036"/>
      <c r="Z696" s="1036"/>
    </row>
    <row r="697" spans="1:26" ht="38.25">
      <c r="A697" s="1079" t="s">
        <v>14887</v>
      </c>
      <c r="B697" s="1080" t="s">
        <v>14472</v>
      </c>
      <c r="C697" s="1080" t="s">
        <v>15992</v>
      </c>
      <c r="D697" s="1081" t="s">
        <v>6</v>
      </c>
      <c r="E697" s="1082">
        <v>4</v>
      </c>
      <c r="F697" s="1083">
        <v>307.67</v>
      </c>
      <c r="G697" s="1083">
        <v>1230.68</v>
      </c>
      <c r="H697" s="1084">
        <f t="shared" si="6"/>
        <v>8.3588075875575517E-5</v>
      </c>
      <c r="I697" s="1085">
        <f t="shared" si="8"/>
        <v>0.97788804898242332</v>
      </c>
      <c r="J697" s="1085" t="str">
        <f t="shared" si="7"/>
        <v>C</v>
      </c>
      <c r="K697" s="1036"/>
      <c r="L697" s="1036"/>
      <c r="M697" s="1036"/>
      <c r="N697" s="1036"/>
      <c r="O697" s="1036"/>
      <c r="P697" s="1036"/>
      <c r="Q697" s="1036"/>
      <c r="R697" s="1036"/>
      <c r="S697" s="1036"/>
      <c r="T697" s="1036"/>
      <c r="U697" s="1036"/>
      <c r="V697" s="1036"/>
      <c r="W697" s="1036"/>
      <c r="X697" s="1036"/>
      <c r="Y697" s="1036"/>
      <c r="Z697" s="1036"/>
    </row>
    <row r="698" spans="1:26" ht="38.25">
      <c r="A698" s="1079" t="s">
        <v>14887</v>
      </c>
      <c r="B698" s="1080" t="s">
        <v>14472</v>
      </c>
      <c r="C698" s="1080" t="s">
        <v>15992</v>
      </c>
      <c r="D698" s="1081" t="s">
        <v>6</v>
      </c>
      <c r="E698" s="1082">
        <v>4</v>
      </c>
      <c r="F698" s="1083">
        <v>307.67</v>
      </c>
      <c r="G698" s="1083">
        <v>1230.68</v>
      </c>
      <c r="H698" s="1084">
        <f t="shared" si="6"/>
        <v>8.3588075875575517E-5</v>
      </c>
      <c r="I698" s="1085">
        <f t="shared" si="8"/>
        <v>0.97797163705829893</v>
      </c>
      <c r="J698" s="1085" t="str">
        <f t="shared" si="7"/>
        <v>C</v>
      </c>
      <c r="K698" s="1036"/>
      <c r="L698" s="1036"/>
      <c r="M698" s="1036"/>
      <c r="N698" s="1036"/>
      <c r="O698" s="1036"/>
      <c r="P698" s="1036"/>
      <c r="Q698" s="1036"/>
      <c r="R698" s="1036"/>
      <c r="S698" s="1036"/>
      <c r="T698" s="1036"/>
      <c r="U698" s="1036"/>
      <c r="V698" s="1036"/>
      <c r="W698" s="1036"/>
      <c r="X698" s="1036"/>
      <c r="Y698" s="1036"/>
      <c r="Z698" s="1036"/>
    </row>
    <row r="699" spans="1:26" ht="38.25">
      <c r="A699" s="1079" t="s">
        <v>14622</v>
      </c>
      <c r="B699" s="1080" t="s">
        <v>14472</v>
      </c>
      <c r="C699" s="1080" t="s">
        <v>15964</v>
      </c>
      <c r="D699" s="1081" t="s">
        <v>152</v>
      </c>
      <c r="E699" s="1082">
        <v>1.1000000000000001</v>
      </c>
      <c r="F699" s="1083">
        <v>1117.8</v>
      </c>
      <c r="G699" s="1083">
        <v>1229.58</v>
      </c>
      <c r="H699" s="1084">
        <f t="shared" si="6"/>
        <v>8.35133636161229E-5</v>
      </c>
      <c r="I699" s="1085">
        <f t="shared" si="8"/>
        <v>0.97805515042191504</v>
      </c>
      <c r="J699" s="1085" t="str">
        <f t="shared" si="7"/>
        <v>C</v>
      </c>
      <c r="K699" s="1036"/>
      <c r="L699" s="1036"/>
      <c r="M699" s="1036"/>
      <c r="N699" s="1036"/>
      <c r="O699" s="1036"/>
      <c r="P699" s="1036"/>
      <c r="Q699" s="1036"/>
      <c r="R699" s="1036"/>
      <c r="S699" s="1036"/>
      <c r="T699" s="1036"/>
      <c r="U699" s="1036"/>
      <c r="V699" s="1036"/>
      <c r="W699" s="1036"/>
      <c r="X699" s="1036"/>
      <c r="Y699" s="1036"/>
      <c r="Z699" s="1036"/>
    </row>
    <row r="700" spans="1:26" ht="14.25">
      <c r="A700" s="1079" t="s">
        <v>15408</v>
      </c>
      <c r="B700" s="1080" t="s">
        <v>14472</v>
      </c>
      <c r="C700" s="1080" t="s">
        <v>15409</v>
      </c>
      <c r="D700" s="1081" t="s">
        <v>6</v>
      </c>
      <c r="E700" s="1082">
        <v>14</v>
      </c>
      <c r="F700" s="1083">
        <v>87.71</v>
      </c>
      <c r="G700" s="1083">
        <v>1227.94</v>
      </c>
      <c r="H700" s="1084">
        <f t="shared" si="6"/>
        <v>8.3401974429302665E-5</v>
      </c>
      <c r="I700" s="1085">
        <f t="shared" si="8"/>
        <v>0.9781385523963444</v>
      </c>
      <c r="J700" s="1085" t="str">
        <f t="shared" si="7"/>
        <v>C</v>
      </c>
      <c r="K700" s="1036"/>
      <c r="L700" s="1036"/>
      <c r="M700" s="1036"/>
      <c r="N700" s="1036"/>
      <c r="O700" s="1036"/>
      <c r="P700" s="1036"/>
      <c r="Q700" s="1036"/>
      <c r="R700" s="1036"/>
      <c r="S700" s="1036"/>
      <c r="T700" s="1036"/>
      <c r="U700" s="1036"/>
      <c r="V700" s="1036"/>
      <c r="W700" s="1036"/>
      <c r="X700" s="1036"/>
      <c r="Y700" s="1036"/>
      <c r="Z700" s="1036"/>
    </row>
    <row r="701" spans="1:26" ht="38.25">
      <c r="A701" s="1079">
        <v>92762</v>
      </c>
      <c r="B701" s="1080" t="s">
        <v>14476</v>
      </c>
      <c r="C701" s="1080" t="s">
        <v>7431</v>
      </c>
      <c r="D701" s="1081" t="s">
        <v>54</v>
      </c>
      <c r="E701" s="1082">
        <v>78.67</v>
      </c>
      <c r="F701" s="1083">
        <v>15.5</v>
      </c>
      <c r="G701" s="1083">
        <v>1219.3800000000001</v>
      </c>
      <c r="H701" s="1084">
        <f t="shared" si="6"/>
        <v>8.2820577210289666E-5</v>
      </c>
      <c r="I701" s="1085">
        <f t="shared" si="8"/>
        <v>0.97822137297355471</v>
      </c>
      <c r="J701" s="1085" t="str">
        <f t="shared" si="7"/>
        <v>C</v>
      </c>
      <c r="K701" s="1036"/>
      <c r="L701" s="1036"/>
      <c r="M701" s="1036"/>
      <c r="N701" s="1036"/>
      <c r="O701" s="1036"/>
      <c r="P701" s="1036"/>
      <c r="Q701" s="1036"/>
      <c r="R701" s="1036"/>
      <c r="S701" s="1036"/>
      <c r="T701" s="1036"/>
      <c r="U701" s="1036"/>
      <c r="V701" s="1036"/>
      <c r="W701" s="1036"/>
      <c r="X701" s="1036"/>
      <c r="Y701" s="1036"/>
      <c r="Z701" s="1036"/>
    </row>
    <row r="702" spans="1:26" ht="25.5">
      <c r="A702" s="1079" t="s">
        <v>15208</v>
      </c>
      <c r="B702" s="1080" t="s">
        <v>14472</v>
      </c>
      <c r="C702" s="1080" t="s">
        <v>15993</v>
      </c>
      <c r="D702" s="1081" t="s">
        <v>6</v>
      </c>
      <c r="E702" s="1082">
        <v>8</v>
      </c>
      <c r="F702" s="1083">
        <v>152.02000000000001</v>
      </c>
      <c r="G702" s="1083">
        <v>1216.1600000000001</v>
      </c>
      <c r="H702" s="1084">
        <f t="shared" si="6"/>
        <v>8.2601874050801128E-5</v>
      </c>
      <c r="I702" s="1085">
        <f t="shared" si="8"/>
        <v>0.97830397484760556</v>
      </c>
      <c r="J702" s="1085" t="str">
        <f t="shared" si="7"/>
        <v>C</v>
      </c>
      <c r="K702" s="1036"/>
      <c r="L702" s="1036"/>
      <c r="M702" s="1036"/>
      <c r="N702" s="1036"/>
      <c r="O702" s="1036"/>
      <c r="P702" s="1036"/>
      <c r="Q702" s="1036"/>
      <c r="R702" s="1036"/>
      <c r="S702" s="1036"/>
      <c r="T702" s="1036"/>
      <c r="U702" s="1036"/>
      <c r="V702" s="1036"/>
      <c r="W702" s="1036"/>
      <c r="X702" s="1036"/>
      <c r="Y702" s="1036"/>
      <c r="Z702" s="1036"/>
    </row>
    <row r="703" spans="1:26" ht="51">
      <c r="A703" s="1079">
        <v>92917</v>
      </c>
      <c r="B703" s="1080" t="s">
        <v>14476</v>
      </c>
      <c r="C703" s="1080" t="s">
        <v>7469</v>
      </c>
      <c r="D703" s="1081" t="s">
        <v>54</v>
      </c>
      <c r="E703" s="1082">
        <v>64.39</v>
      </c>
      <c r="F703" s="1083">
        <v>18.86</v>
      </c>
      <c r="G703" s="1083">
        <v>1214.3900000000001</v>
      </c>
      <c r="H703" s="1084">
        <f t="shared" si="6"/>
        <v>8.2481655233318299E-5</v>
      </c>
      <c r="I703" s="1085">
        <f t="shared" si="8"/>
        <v>0.97838645650283884</v>
      </c>
      <c r="J703" s="1085" t="str">
        <f t="shared" si="7"/>
        <v>C</v>
      </c>
      <c r="K703" s="1036"/>
      <c r="L703" s="1036"/>
      <c r="M703" s="1036"/>
      <c r="N703" s="1036"/>
      <c r="O703" s="1036"/>
      <c r="P703" s="1036"/>
      <c r="Q703" s="1036"/>
      <c r="R703" s="1036"/>
      <c r="S703" s="1036"/>
      <c r="T703" s="1036"/>
      <c r="U703" s="1036"/>
      <c r="V703" s="1036"/>
      <c r="W703" s="1036"/>
      <c r="X703" s="1036"/>
      <c r="Y703" s="1036"/>
      <c r="Z703" s="1036"/>
    </row>
    <row r="704" spans="1:26" ht="25.5">
      <c r="A704" s="1079" t="s">
        <v>15055</v>
      </c>
      <c r="B704" s="1080" t="s">
        <v>14472</v>
      </c>
      <c r="C704" s="1080" t="s">
        <v>15056</v>
      </c>
      <c r="D704" s="1081" t="s">
        <v>6</v>
      </c>
      <c r="E704" s="1082">
        <v>18</v>
      </c>
      <c r="F704" s="1083">
        <v>67.23</v>
      </c>
      <c r="G704" s="1083">
        <v>1210.1400000000001</v>
      </c>
      <c r="H704" s="1084">
        <f t="shared" si="6"/>
        <v>8.2192994230887765E-5</v>
      </c>
      <c r="I704" s="1085">
        <f t="shared" si="8"/>
        <v>0.97846864949706969</v>
      </c>
      <c r="J704" s="1085" t="str">
        <f t="shared" si="7"/>
        <v>C</v>
      </c>
      <c r="K704" s="1036"/>
      <c r="L704" s="1036"/>
      <c r="M704" s="1036"/>
      <c r="N704" s="1036"/>
      <c r="O704" s="1036"/>
      <c r="P704" s="1036"/>
      <c r="Q704" s="1036"/>
      <c r="R704" s="1036"/>
      <c r="S704" s="1036"/>
      <c r="T704" s="1036"/>
      <c r="U704" s="1036"/>
      <c r="V704" s="1036"/>
      <c r="W704" s="1036"/>
      <c r="X704" s="1036"/>
      <c r="Y704" s="1036"/>
      <c r="Z704" s="1036"/>
    </row>
    <row r="705" spans="1:26" ht="25.5">
      <c r="A705" s="1079" t="s">
        <v>15055</v>
      </c>
      <c r="B705" s="1080" t="s">
        <v>14472</v>
      </c>
      <c r="C705" s="1080" t="s">
        <v>15056</v>
      </c>
      <c r="D705" s="1081" t="s">
        <v>6</v>
      </c>
      <c r="E705" s="1082">
        <v>18</v>
      </c>
      <c r="F705" s="1083">
        <v>67.23</v>
      </c>
      <c r="G705" s="1083">
        <v>1210.1400000000001</v>
      </c>
      <c r="H705" s="1084">
        <f t="shared" si="6"/>
        <v>8.2192994230887765E-5</v>
      </c>
      <c r="I705" s="1085">
        <f t="shared" si="8"/>
        <v>0.97855084249130053</v>
      </c>
      <c r="J705" s="1085" t="str">
        <f t="shared" si="7"/>
        <v>C</v>
      </c>
      <c r="K705" s="1036"/>
      <c r="L705" s="1036"/>
      <c r="M705" s="1036"/>
      <c r="N705" s="1036"/>
      <c r="O705" s="1036"/>
      <c r="P705" s="1036"/>
      <c r="Q705" s="1036"/>
      <c r="R705" s="1036"/>
      <c r="S705" s="1036"/>
      <c r="T705" s="1036"/>
      <c r="U705" s="1036"/>
      <c r="V705" s="1036"/>
      <c r="W705" s="1036"/>
      <c r="X705" s="1036"/>
      <c r="Y705" s="1036"/>
      <c r="Z705" s="1036"/>
    </row>
    <row r="706" spans="1:26" ht="38.25">
      <c r="A706" s="1079">
        <v>92762</v>
      </c>
      <c r="B706" s="1080" t="s">
        <v>14476</v>
      </c>
      <c r="C706" s="1080" t="s">
        <v>7431</v>
      </c>
      <c r="D706" s="1081" t="s">
        <v>54</v>
      </c>
      <c r="E706" s="1082">
        <v>77.900000000000006</v>
      </c>
      <c r="F706" s="1083">
        <v>15.5</v>
      </c>
      <c r="G706" s="1083">
        <v>1207.45</v>
      </c>
      <c r="H706" s="1084">
        <f t="shared" si="6"/>
        <v>8.2010288796408211E-5</v>
      </c>
      <c r="I706" s="1085">
        <f t="shared" si="8"/>
        <v>0.97863285278009693</v>
      </c>
      <c r="J706" s="1085" t="str">
        <f t="shared" si="7"/>
        <v>C</v>
      </c>
      <c r="K706" s="1036"/>
      <c r="L706" s="1036"/>
      <c r="M706" s="1036"/>
      <c r="N706" s="1036"/>
      <c r="O706" s="1036"/>
      <c r="P706" s="1036"/>
      <c r="Q706" s="1036"/>
      <c r="R706" s="1036"/>
      <c r="S706" s="1036"/>
      <c r="T706" s="1036"/>
      <c r="U706" s="1036"/>
      <c r="V706" s="1036"/>
      <c r="W706" s="1036"/>
      <c r="X706" s="1036"/>
      <c r="Y706" s="1036"/>
      <c r="Z706" s="1036"/>
    </row>
    <row r="707" spans="1:26" ht="38.25">
      <c r="A707" s="1079">
        <v>96624</v>
      </c>
      <c r="B707" s="1080" t="s">
        <v>14476</v>
      </c>
      <c r="C707" s="1080" t="s">
        <v>7170</v>
      </c>
      <c r="D707" s="1081" t="s">
        <v>152</v>
      </c>
      <c r="E707" s="1082">
        <v>4.1399999999999997</v>
      </c>
      <c r="F707" s="1083">
        <v>290.20999999999998</v>
      </c>
      <c r="G707" s="1083">
        <v>1201.46</v>
      </c>
      <c r="H707" s="1084">
        <f t="shared" si="6"/>
        <v>8.1603446583570835E-5</v>
      </c>
      <c r="I707" s="1085">
        <f t="shared" si="8"/>
        <v>0.97871445622668052</v>
      </c>
      <c r="J707" s="1085" t="str">
        <f t="shared" si="7"/>
        <v>C</v>
      </c>
      <c r="K707" s="1036"/>
      <c r="L707" s="1036"/>
      <c r="M707" s="1036"/>
      <c r="N707" s="1036"/>
      <c r="O707" s="1036"/>
      <c r="P707" s="1036"/>
      <c r="Q707" s="1036"/>
      <c r="R707" s="1036"/>
      <c r="S707" s="1036"/>
      <c r="T707" s="1036"/>
      <c r="U707" s="1036"/>
      <c r="V707" s="1036"/>
      <c r="W707" s="1036"/>
      <c r="X707" s="1036"/>
      <c r="Y707" s="1036"/>
      <c r="Z707" s="1036"/>
    </row>
    <row r="708" spans="1:26" ht="25.5">
      <c r="A708" s="1079" t="s">
        <v>14936</v>
      </c>
      <c r="B708" s="1080" t="s">
        <v>14472</v>
      </c>
      <c r="C708" s="1080" t="s">
        <v>14937</v>
      </c>
      <c r="D708" s="1081" t="s">
        <v>409</v>
      </c>
      <c r="E708" s="1082">
        <v>60.35</v>
      </c>
      <c r="F708" s="1083">
        <v>19.88</v>
      </c>
      <c r="G708" s="1083">
        <v>1199.75</v>
      </c>
      <c r="H708" s="1084">
        <f t="shared" si="6"/>
        <v>8.1487302980239965E-5</v>
      </c>
      <c r="I708" s="1085">
        <f t="shared" si="8"/>
        <v>0.97879594352966071</v>
      </c>
      <c r="J708" s="1085" t="str">
        <f t="shared" si="7"/>
        <v>C</v>
      </c>
      <c r="K708" s="1036"/>
      <c r="L708" s="1036"/>
      <c r="M708" s="1036"/>
      <c r="N708" s="1036"/>
      <c r="O708" s="1036"/>
      <c r="P708" s="1036"/>
      <c r="Q708" s="1036"/>
      <c r="R708" s="1036"/>
      <c r="S708" s="1036"/>
      <c r="T708" s="1036"/>
      <c r="U708" s="1036"/>
      <c r="V708" s="1036"/>
      <c r="W708" s="1036"/>
      <c r="X708" s="1036"/>
      <c r="Y708" s="1036"/>
      <c r="Z708" s="1036"/>
    </row>
    <row r="709" spans="1:26" ht="25.5">
      <c r="A709" s="1079" t="s">
        <v>14620</v>
      </c>
      <c r="B709" s="1080" t="s">
        <v>14472</v>
      </c>
      <c r="C709" s="1080" t="s">
        <v>14621</v>
      </c>
      <c r="D709" s="1081" t="s">
        <v>152</v>
      </c>
      <c r="E709" s="1082">
        <v>0.94</v>
      </c>
      <c r="F709" s="1083">
        <v>1274.5</v>
      </c>
      <c r="G709" s="1083">
        <v>1198.03</v>
      </c>
      <c r="H709" s="1084">
        <f t="shared" si="6"/>
        <v>8.1370480174550432E-5</v>
      </c>
      <c r="I709" s="1085">
        <f t="shared" si="8"/>
        <v>0.97887731400983524</v>
      </c>
      <c r="J709" s="1085" t="str">
        <f t="shared" si="7"/>
        <v>C</v>
      </c>
      <c r="K709" s="1036"/>
      <c r="L709" s="1036"/>
      <c r="M709" s="1036"/>
      <c r="N709" s="1036"/>
      <c r="O709" s="1036"/>
      <c r="P709" s="1036"/>
      <c r="Q709" s="1036"/>
      <c r="R709" s="1036"/>
      <c r="S709" s="1036"/>
      <c r="T709" s="1036"/>
      <c r="U709" s="1036"/>
      <c r="V709" s="1036"/>
      <c r="W709" s="1036"/>
      <c r="X709" s="1036"/>
      <c r="Y709" s="1036"/>
      <c r="Z709" s="1036"/>
    </row>
    <row r="710" spans="1:26" ht="51">
      <c r="A710" s="1079">
        <v>89731</v>
      </c>
      <c r="B710" s="1080" t="s">
        <v>14476</v>
      </c>
      <c r="C710" s="1080" t="s">
        <v>8944</v>
      </c>
      <c r="D710" s="1081" t="s">
        <v>6</v>
      </c>
      <c r="E710" s="1082">
        <v>66</v>
      </c>
      <c r="F710" s="1083">
        <v>18.100000000000001</v>
      </c>
      <c r="G710" s="1083">
        <v>1194.5999999999999</v>
      </c>
      <c r="H710" s="1084">
        <f t="shared" si="6"/>
        <v>8.113751376553003E-5</v>
      </c>
      <c r="I710" s="1085">
        <f t="shared" si="8"/>
        <v>0.97895845152360073</v>
      </c>
      <c r="J710" s="1085" t="str">
        <f t="shared" si="7"/>
        <v>C</v>
      </c>
      <c r="K710" s="1036"/>
      <c r="L710" s="1036"/>
      <c r="M710" s="1036"/>
      <c r="N710" s="1036"/>
      <c r="O710" s="1036"/>
      <c r="P710" s="1036"/>
      <c r="Q710" s="1036"/>
      <c r="R710" s="1036"/>
      <c r="S710" s="1036"/>
      <c r="T710" s="1036"/>
      <c r="U710" s="1036"/>
      <c r="V710" s="1036"/>
      <c r="W710" s="1036"/>
      <c r="X710" s="1036"/>
      <c r="Y710" s="1036"/>
      <c r="Z710" s="1036"/>
    </row>
    <row r="711" spans="1:26" ht="51">
      <c r="A711" s="1079">
        <v>89731</v>
      </c>
      <c r="B711" s="1080" t="s">
        <v>14476</v>
      </c>
      <c r="C711" s="1080" t="s">
        <v>8944</v>
      </c>
      <c r="D711" s="1081" t="s">
        <v>6</v>
      </c>
      <c r="E711" s="1082">
        <v>66</v>
      </c>
      <c r="F711" s="1083">
        <v>18.100000000000001</v>
      </c>
      <c r="G711" s="1083">
        <v>1194.5999999999999</v>
      </c>
      <c r="H711" s="1084">
        <f t="shared" si="6"/>
        <v>8.113751376553003E-5</v>
      </c>
      <c r="I711" s="1085">
        <f t="shared" si="8"/>
        <v>0.97903958903736621</v>
      </c>
      <c r="J711" s="1085" t="str">
        <f t="shared" si="7"/>
        <v>C</v>
      </c>
      <c r="K711" s="1036"/>
      <c r="L711" s="1036"/>
      <c r="M711" s="1036"/>
      <c r="N711" s="1036"/>
      <c r="O711" s="1036"/>
      <c r="P711" s="1036"/>
      <c r="Q711" s="1036"/>
      <c r="R711" s="1036"/>
      <c r="S711" s="1036"/>
      <c r="T711" s="1036"/>
      <c r="U711" s="1036"/>
      <c r="V711" s="1036"/>
      <c r="W711" s="1036"/>
      <c r="X711" s="1036"/>
      <c r="Y711" s="1036"/>
      <c r="Z711" s="1036"/>
    </row>
    <row r="712" spans="1:26" ht="38.25">
      <c r="A712" s="1079">
        <v>89402</v>
      </c>
      <c r="B712" s="1080" t="s">
        <v>14476</v>
      </c>
      <c r="C712" s="1080" t="s">
        <v>8422</v>
      </c>
      <c r="D712" s="1081" t="s">
        <v>50</v>
      </c>
      <c r="E712" s="1082">
        <v>85</v>
      </c>
      <c r="F712" s="1083">
        <v>14</v>
      </c>
      <c r="G712" s="1083">
        <v>1190</v>
      </c>
      <c r="H712" s="1084">
        <f t="shared" si="6"/>
        <v>8.0825080680546417E-5</v>
      </c>
      <c r="I712" s="1085">
        <f t="shared" si="8"/>
        <v>0.97912041411804673</v>
      </c>
      <c r="J712" s="1085" t="str">
        <f t="shared" si="7"/>
        <v>C</v>
      </c>
      <c r="K712" s="1036"/>
      <c r="L712" s="1036"/>
      <c r="M712" s="1036"/>
      <c r="N712" s="1036"/>
      <c r="O712" s="1036"/>
      <c r="P712" s="1036"/>
      <c r="Q712" s="1036"/>
      <c r="R712" s="1036"/>
      <c r="S712" s="1036"/>
      <c r="T712" s="1036"/>
      <c r="U712" s="1036"/>
      <c r="V712" s="1036"/>
      <c r="W712" s="1036"/>
      <c r="X712" s="1036"/>
      <c r="Y712" s="1036"/>
      <c r="Z712" s="1036"/>
    </row>
    <row r="713" spans="1:26" ht="38.25">
      <c r="A713" s="1079">
        <v>92759</v>
      </c>
      <c r="B713" s="1080" t="s">
        <v>14476</v>
      </c>
      <c r="C713" s="1080" t="s">
        <v>7428</v>
      </c>
      <c r="D713" s="1081" t="s">
        <v>54</v>
      </c>
      <c r="E713" s="1082">
        <v>63.2</v>
      </c>
      <c r="F713" s="1083">
        <v>18.77</v>
      </c>
      <c r="G713" s="1083">
        <v>1186.26</v>
      </c>
      <c r="H713" s="1084">
        <f t="shared" si="6"/>
        <v>8.0571058998407557E-5</v>
      </c>
      <c r="I713" s="1085">
        <f t="shared" si="8"/>
        <v>0.97920098517704512</v>
      </c>
      <c r="J713" s="1085" t="str">
        <f t="shared" si="7"/>
        <v>C</v>
      </c>
      <c r="K713" s="1036"/>
      <c r="L713" s="1036"/>
      <c r="M713" s="1036"/>
      <c r="N713" s="1036"/>
      <c r="O713" s="1036"/>
      <c r="P713" s="1036"/>
      <c r="Q713" s="1036"/>
      <c r="R713" s="1036"/>
      <c r="S713" s="1036"/>
      <c r="T713" s="1036"/>
      <c r="U713" s="1036"/>
      <c r="V713" s="1036"/>
      <c r="W713" s="1036"/>
      <c r="X713" s="1036"/>
      <c r="Y713" s="1036"/>
      <c r="Z713" s="1036"/>
    </row>
    <row r="714" spans="1:26" ht="38.25">
      <c r="A714" s="1079">
        <v>89402</v>
      </c>
      <c r="B714" s="1080" t="s">
        <v>14476</v>
      </c>
      <c r="C714" s="1080" t="s">
        <v>8422</v>
      </c>
      <c r="D714" s="1081" t="s">
        <v>50</v>
      </c>
      <c r="E714" s="1082">
        <v>84.2</v>
      </c>
      <c r="F714" s="1083">
        <v>14</v>
      </c>
      <c r="G714" s="1083">
        <v>1178.8</v>
      </c>
      <c r="H714" s="1084">
        <f t="shared" si="6"/>
        <v>8.0064374038847148E-5</v>
      </c>
      <c r="I714" s="1085">
        <f t="shared" si="8"/>
        <v>0.97928104955108397</v>
      </c>
      <c r="J714" s="1085" t="str">
        <f t="shared" si="7"/>
        <v>C</v>
      </c>
      <c r="K714" s="1036"/>
      <c r="L714" s="1036"/>
      <c r="M714" s="1036"/>
      <c r="N714" s="1036"/>
      <c r="O714" s="1036"/>
      <c r="P714" s="1036"/>
      <c r="Q714" s="1036"/>
      <c r="R714" s="1036"/>
      <c r="S714" s="1036"/>
      <c r="T714" s="1036"/>
      <c r="U714" s="1036"/>
      <c r="V714" s="1036"/>
      <c r="W714" s="1036"/>
      <c r="X714" s="1036"/>
      <c r="Y714" s="1036"/>
      <c r="Z714" s="1036"/>
    </row>
    <row r="715" spans="1:26" ht="38.25">
      <c r="A715" s="1079">
        <v>89402</v>
      </c>
      <c r="B715" s="1080" t="s">
        <v>14476</v>
      </c>
      <c r="C715" s="1080" t="s">
        <v>8422</v>
      </c>
      <c r="D715" s="1081" t="s">
        <v>50</v>
      </c>
      <c r="E715" s="1082">
        <v>84</v>
      </c>
      <c r="F715" s="1083">
        <v>14</v>
      </c>
      <c r="G715" s="1083">
        <v>1176</v>
      </c>
      <c r="H715" s="1084">
        <f t="shared" si="6"/>
        <v>7.9874197378422337E-5</v>
      </c>
      <c r="I715" s="1085">
        <f t="shared" si="8"/>
        <v>0.9793609237484624</v>
      </c>
      <c r="J715" s="1085" t="str">
        <f t="shared" si="7"/>
        <v>C</v>
      </c>
      <c r="K715" s="1036"/>
      <c r="L715" s="1036"/>
      <c r="M715" s="1036"/>
      <c r="N715" s="1036"/>
      <c r="O715" s="1036"/>
      <c r="P715" s="1036"/>
      <c r="Q715" s="1036"/>
      <c r="R715" s="1036"/>
      <c r="S715" s="1036"/>
      <c r="T715" s="1036"/>
      <c r="U715" s="1036"/>
      <c r="V715" s="1036"/>
      <c r="W715" s="1036"/>
      <c r="X715" s="1036"/>
      <c r="Y715" s="1036"/>
      <c r="Z715" s="1036"/>
    </row>
    <row r="716" spans="1:26" ht="38.25">
      <c r="A716" s="1079">
        <v>104919</v>
      </c>
      <c r="B716" s="1080" t="s">
        <v>14476</v>
      </c>
      <c r="C716" s="1080" t="s">
        <v>7516</v>
      </c>
      <c r="D716" s="1081" t="s">
        <v>54</v>
      </c>
      <c r="E716" s="1082">
        <v>67.31</v>
      </c>
      <c r="F716" s="1083">
        <v>17.45</v>
      </c>
      <c r="G716" s="1083">
        <v>1174.55</v>
      </c>
      <c r="H716" s="1084">
        <f t="shared" si="6"/>
        <v>7.9775713036416628E-5</v>
      </c>
      <c r="I716" s="1085">
        <f t="shared" si="8"/>
        <v>0.97944069946149881</v>
      </c>
      <c r="J716" s="1085" t="str">
        <f t="shared" si="7"/>
        <v>C</v>
      </c>
      <c r="K716" s="1036"/>
      <c r="L716" s="1036"/>
      <c r="M716" s="1036"/>
      <c r="N716" s="1036"/>
      <c r="O716" s="1036"/>
      <c r="P716" s="1036"/>
      <c r="Q716" s="1036"/>
      <c r="R716" s="1036"/>
      <c r="S716" s="1036"/>
      <c r="T716" s="1036"/>
      <c r="U716" s="1036"/>
      <c r="V716" s="1036"/>
      <c r="W716" s="1036"/>
      <c r="X716" s="1036"/>
      <c r="Y716" s="1036"/>
      <c r="Z716" s="1036"/>
    </row>
    <row r="717" spans="1:26" ht="25.5">
      <c r="A717" s="1079">
        <v>93382</v>
      </c>
      <c r="B717" s="1080" t="s">
        <v>14476</v>
      </c>
      <c r="C717" s="1080" t="s">
        <v>10726</v>
      </c>
      <c r="D717" s="1081" t="s">
        <v>152</v>
      </c>
      <c r="E717" s="1082">
        <v>39.619999999999997</v>
      </c>
      <c r="F717" s="1083">
        <v>29.52</v>
      </c>
      <c r="G717" s="1083">
        <v>1169.58</v>
      </c>
      <c r="H717" s="1084">
        <f t="shared" si="6"/>
        <v>7.9438149464162585E-5</v>
      </c>
      <c r="I717" s="1085">
        <f t="shared" si="8"/>
        <v>0.97952013761096302</v>
      </c>
      <c r="J717" s="1085" t="str">
        <f t="shared" si="7"/>
        <v>C</v>
      </c>
      <c r="K717" s="1036"/>
      <c r="L717" s="1036"/>
      <c r="M717" s="1036"/>
      <c r="N717" s="1036"/>
      <c r="O717" s="1036"/>
      <c r="P717" s="1036"/>
      <c r="Q717" s="1036"/>
      <c r="R717" s="1036"/>
      <c r="S717" s="1036"/>
      <c r="T717" s="1036"/>
      <c r="U717" s="1036"/>
      <c r="V717" s="1036"/>
      <c r="W717" s="1036"/>
      <c r="X717" s="1036"/>
      <c r="Y717" s="1036"/>
      <c r="Z717" s="1036"/>
    </row>
    <row r="718" spans="1:26" ht="38.25">
      <c r="A718" s="1079">
        <v>91939</v>
      </c>
      <c r="B718" s="1080" t="s">
        <v>14476</v>
      </c>
      <c r="C718" s="1080" t="s">
        <v>7885</v>
      </c>
      <c r="D718" s="1081" t="s">
        <v>6</v>
      </c>
      <c r="E718" s="1082">
        <v>31</v>
      </c>
      <c r="F718" s="1083">
        <v>37.659999999999997</v>
      </c>
      <c r="G718" s="1083">
        <v>1167.46</v>
      </c>
      <c r="H718" s="1084">
        <f t="shared" si="6"/>
        <v>7.9294158564126662E-5</v>
      </c>
      <c r="I718" s="1085">
        <f t="shared" si="8"/>
        <v>0.97959943176952713</v>
      </c>
      <c r="J718" s="1085" t="str">
        <f t="shared" si="7"/>
        <v>C</v>
      </c>
      <c r="K718" s="1036"/>
      <c r="L718" s="1036"/>
      <c r="M718" s="1036"/>
      <c r="N718" s="1036"/>
      <c r="O718" s="1036"/>
      <c r="P718" s="1036"/>
      <c r="Q718" s="1036"/>
      <c r="R718" s="1036"/>
      <c r="S718" s="1036"/>
      <c r="T718" s="1036"/>
      <c r="U718" s="1036"/>
      <c r="V718" s="1036"/>
      <c r="W718" s="1036"/>
      <c r="X718" s="1036"/>
      <c r="Y718" s="1036"/>
      <c r="Z718" s="1036"/>
    </row>
    <row r="719" spans="1:26" ht="25.5">
      <c r="A719" s="1079" t="s">
        <v>15214</v>
      </c>
      <c r="B719" s="1080" t="s">
        <v>14472</v>
      </c>
      <c r="C719" s="1080" t="s">
        <v>15994</v>
      </c>
      <c r="D719" s="1081" t="s">
        <v>6</v>
      </c>
      <c r="E719" s="1082">
        <v>4</v>
      </c>
      <c r="F719" s="1083">
        <v>291.18</v>
      </c>
      <c r="G719" s="1083">
        <v>1164.72</v>
      </c>
      <c r="H719" s="1084">
        <f t="shared" si="6"/>
        <v>7.9108057117853797E-5</v>
      </c>
      <c r="I719" s="1085">
        <f t="shared" si="8"/>
        <v>0.97967853982664499</v>
      </c>
      <c r="J719" s="1085" t="str">
        <f t="shared" si="7"/>
        <v>C</v>
      </c>
      <c r="K719" s="1036"/>
      <c r="L719" s="1036"/>
      <c r="M719" s="1036"/>
      <c r="N719" s="1036"/>
      <c r="O719" s="1036"/>
      <c r="P719" s="1036"/>
      <c r="Q719" s="1036"/>
      <c r="R719" s="1036"/>
      <c r="S719" s="1036"/>
      <c r="T719" s="1036"/>
      <c r="U719" s="1036"/>
      <c r="V719" s="1036"/>
      <c r="W719" s="1036"/>
      <c r="X719" s="1036"/>
      <c r="Y719" s="1036"/>
      <c r="Z719" s="1036"/>
    </row>
    <row r="720" spans="1:26" ht="25.5">
      <c r="A720" s="1079">
        <v>96113</v>
      </c>
      <c r="B720" s="1080" t="s">
        <v>14476</v>
      </c>
      <c r="C720" s="1080" t="s">
        <v>11508</v>
      </c>
      <c r="D720" s="1081" t="s">
        <v>409</v>
      </c>
      <c r="E720" s="1082">
        <v>20.100000000000001</v>
      </c>
      <c r="F720" s="1083">
        <v>57.92</v>
      </c>
      <c r="G720" s="1083">
        <v>1164.19</v>
      </c>
      <c r="H720" s="1084">
        <f t="shared" si="6"/>
        <v>7.9072059392844814E-5</v>
      </c>
      <c r="I720" s="1085">
        <f t="shared" si="8"/>
        <v>0.97975761188603783</v>
      </c>
      <c r="J720" s="1085" t="str">
        <f t="shared" si="7"/>
        <v>C</v>
      </c>
      <c r="K720" s="1036"/>
      <c r="L720" s="1036"/>
      <c r="M720" s="1036"/>
      <c r="N720" s="1036"/>
      <c r="O720" s="1036"/>
      <c r="P720" s="1036"/>
      <c r="Q720" s="1036"/>
      <c r="R720" s="1036"/>
      <c r="S720" s="1036"/>
      <c r="T720" s="1036"/>
      <c r="U720" s="1036"/>
      <c r="V720" s="1036"/>
      <c r="W720" s="1036"/>
      <c r="X720" s="1036"/>
      <c r="Y720" s="1036"/>
      <c r="Z720" s="1036"/>
    </row>
    <row r="721" spans="1:26" ht="38.25">
      <c r="A721" s="1079">
        <v>89987</v>
      </c>
      <c r="B721" s="1080" t="s">
        <v>14476</v>
      </c>
      <c r="C721" s="1080" t="s">
        <v>10245</v>
      </c>
      <c r="D721" s="1081" t="s">
        <v>6</v>
      </c>
      <c r="E721" s="1082">
        <v>12</v>
      </c>
      <c r="F721" s="1083">
        <v>96.76</v>
      </c>
      <c r="G721" s="1083">
        <v>1161.1199999999999</v>
      </c>
      <c r="H721" s="1084">
        <f t="shared" si="6"/>
        <v>7.8863544268736166E-5</v>
      </c>
      <c r="I721" s="1085">
        <f t="shared" si="8"/>
        <v>0.97983647543030661</v>
      </c>
      <c r="J721" s="1085" t="str">
        <f t="shared" si="7"/>
        <v>C</v>
      </c>
      <c r="K721" s="1036"/>
      <c r="L721" s="1036"/>
      <c r="M721" s="1036"/>
      <c r="N721" s="1036"/>
      <c r="O721" s="1036"/>
      <c r="P721" s="1036"/>
      <c r="Q721" s="1036"/>
      <c r="R721" s="1036"/>
      <c r="S721" s="1036"/>
      <c r="T721" s="1036"/>
      <c r="U721" s="1036"/>
      <c r="V721" s="1036"/>
      <c r="W721" s="1036"/>
      <c r="X721" s="1036"/>
      <c r="Y721" s="1036"/>
      <c r="Z721" s="1036"/>
    </row>
    <row r="722" spans="1:26" ht="25.5">
      <c r="A722" s="1079">
        <v>95576</v>
      </c>
      <c r="B722" s="1080" t="s">
        <v>14476</v>
      </c>
      <c r="C722" s="1080" t="s">
        <v>7476</v>
      </c>
      <c r="D722" s="1081" t="s">
        <v>54</v>
      </c>
      <c r="E722" s="1082">
        <v>66.400000000000006</v>
      </c>
      <c r="F722" s="1083">
        <v>17.420000000000002</v>
      </c>
      <c r="G722" s="1083">
        <v>1156.68</v>
      </c>
      <c r="H722" s="1084">
        <f t="shared" si="6"/>
        <v>7.856197842149112E-5</v>
      </c>
      <c r="I722" s="1085">
        <f t="shared" si="8"/>
        <v>0.9799150374087281</v>
      </c>
      <c r="J722" s="1085" t="str">
        <f t="shared" si="7"/>
        <v>C</v>
      </c>
      <c r="K722" s="1036"/>
      <c r="L722" s="1036"/>
      <c r="M722" s="1036"/>
      <c r="N722" s="1036"/>
      <c r="O722" s="1036"/>
      <c r="P722" s="1036"/>
      <c r="Q722" s="1036"/>
      <c r="R722" s="1036"/>
      <c r="S722" s="1036"/>
      <c r="T722" s="1036"/>
      <c r="U722" s="1036"/>
      <c r="V722" s="1036"/>
      <c r="W722" s="1036"/>
      <c r="X722" s="1036"/>
      <c r="Y722" s="1036"/>
      <c r="Z722" s="1036"/>
    </row>
    <row r="723" spans="1:26" ht="25.5">
      <c r="A723" s="1079">
        <v>93382</v>
      </c>
      <c r="B723" s="1080" t="s">
        <v>14476</v>
      </c>
      <c r="C723" s="1080" t="s">
        <v>10726</v>
      </c>
      <c r="D723" s="1081" t="s">
        <v>152</v>
      </c>
      <c r="E723" s="1082">
        <v>39.01</v>
      </c>
      <c r="F723" s="1083">
        <v>29.52</v>
      </c>
      <c r="G723" s="1083">
        <v>1151.57</v>
      </c>
      <c r="H723" s="1084">
        <f t="shared" si="6"/>
        <v>7.8214906016215821E-5</v>
      </c>
      <c r="I723" s="1085">
        <f t="shared" si="8"/>
        <v>0.97999325231474432</v>
      </c>
      <c r="J723" s="1085" t="str">
        <f t="shared" si="7"/>
        <v>C</v>
      </c>
      <c r="K723" s="1036"/>
      <c r="L723" s="1036"/>
      <c r="M723" s="1036"/>
      <c r="N723" s="1036"/>
      <c r="O723" s="1036"/>
      <c r="P723" s="1036"/>
      <c r="Q723" s="1036"/>
      <c r="R723" s="1036"/>
      <c r="S723" s="1036"/>
      <c r="T723" s="1036"/>
      <c r="U723" s="1036"/>
      <c r="V723" s="1036"/>
      <c r="W723" s="1036"/>
      <c r="X723" s="1036"/>
      <c r="Y723" s="1036"/>
      <c r="Z723" s="1036"/>
    </row>
    <row r="724" spans="1:26" ht="38.25">
      <c r="A724" s="1079">
        <v>96558</v>
      </c>
      <c r="B724" s="1080" t="s">
        <v>14476</v>
      </c>
      <c r="C724" s="1080" t="s">
        <v>7548</v>
      </c>
      <c r="D724" s="1081" t="s">
        <v>152</v>
      </c>
      <c r="E724" s="1082">
        <v>0.91</v>
      </c>
      <c r="F724" s="1083">
        <v>1262.0999999999999</v>
      </c>
      <c r="G724" s="1083">
        <v>1148.51</v>
      </c>
      <c r="H724" s="1084">
        <f t="shared" si="6"/>
        <v>7.8007070094465849E-5</v>
      </c>
      <c r="I724" s="1085">
        <f t="shared" si="8"/>
        <v>0.98007125938483874</v>
      </c>
      <c r="J724" s="1085" t="str">
        <f t="shared" si="7"/>
        <v>C</v>
      </c>
      <c r="K724" s="1036"/>
      <c r="L724" s="1036"/>
      <c r="M724" s="1036"/>
      <c r="N724" s="1036"/>
      <c r="O724" s="1036"/>
      <c r="P724" s="1036"/>
      <c r="Q724" s="1036"/>
      <c r="R724" s="1036"/>
      <c r="S724" s="1036"/>
      <c r="T724" s="1036"/>
      <c r="U724" s="1036"/>
      <c r="V724" s="1036"/>
      <c r="W724" s="1036"/>
      <c r="X724" s="1036"/>
      <c r="Y724" s="1036"/>
      <c r="Z724" s="1036"/>
    </row>
    <row r="725" spans="1:26" ht="51">
      <c r="A725" s="1079">
        <v>97083</v>
      </c>
      <c r="B725" s="1080" t="s">
        <v>14476</v>
      </c>
      <c r="C725" s="1080" t="s">
        <v>7172</v>
      </c>
      <c r="D725" s="1081" t="s">
        <v>409</v>
      </c>
      <c r="E725" s="1082">
        <v>290.11</v>
      </c>
      <c r="F725" s="1083">
        <v>3.91</v>
      </c>
      <c r="G725" s="1083">
        <v>1134.33</v>
      </c>
      <c r="H725" s="1084">
        <f t="shared" si="6"/>
        <v>7.7043961149885891E-5</v>
      </c>
      <c r="I725" s="1085">
        <f t="shared" si="8"/>
        <v>0.98014830334598868</v>
      </c>
      <c r="J725" s="1085" t="str">
        <f t="shared" si="7"/>
        <v>C</v>
      </c>
      <c r="K725" s="1036"/>
      <c r="L725" s="1036"/>
      <c r="M725" s="1036"/>
      <c r="N725" s="1036"/>
      <c r="O725" s="1036"/>
      <c r="P725" s="1036"/>
      <c r="Q725" s="1036"/>
      <c r="R725" s="1036"/>
      <c r="S725" s="1036"/>
      <c r="T725" s="1036"/>
      <c r="U725" s="1036"/>
      <c r="V725" s="1036"/>
      <c r="W725" s="1036"/>
      <c r="X725" s="1036"/>
      <c r="Y725" s="1036"/>
      <c r="Z725" s="1036"/>
    </row>
    <row r="726" spans="1:26" ht="38.25">
      <c r="A726" s="1079">
        <v>89402</v>
      </c>
      <c r="B726" s="1080" t="s">
        <v>14476</v>
      </c>
      <c r="C726" s="1080" t="s">
        <v>8422</v>
      </c>
      <c r="D726" s="1081" t="s">
        <v>50</v>
      </c>
      <c r="E726" s="1082">
        <v>81</v>
      </c>
      <c r="F726" s="1083">
        <v>14</v>
      </c>
      <c r="G726" s="1083">
        <v>1134</v>
      </c>
      <c r="H726" s="1084">
        <f t="shared" si="6"/>
        <v>7.7021547472050109E-5</v>
      </c>
      <c r="I726" s="1085">
        <f t="shared" si="8"/>
        <v>0.9802253248934607</v>
      </c>
      <c r="J726" s="1085" t="str">
        <f t="shared" si="7"/>
        <v>C</v>
      </c>
      <c r="K726" s="1036"/>
      <c r="L726" s="1036"/>
      <c r="M726" s="1036"/>
      <c r="N726" s="1036"/>
      <c r="O726" s="1036"/>
      <c r="P726" s="1036"/>
      <c r="Q726" s="1036"/>
      <c r="R726" s="1036"/>
      <c r="S726" s="1036"/>
      <c r="T726" s="1036"/>
      <c r="U726" s="1036"/>
      <c r="V726" s="1036"/>
      <c r="W726" s="1036"/>
      <c r="X726" s="1036"/>
      <c r="Y726" s="1036"/>
      <c r="Z726" s="1036"/>
    </row>
    <row r="727" spans="1:26" ht="38.25">
      <c r="A727" s="1079">
        <v>94652</v>
      </c>
      <c r="B727" s="1080" t="s">
        <v>14476</v>
      </c>
      <c r="C727" s="1080" t="s">
        <v>8525</v>
      </c>
      <c r="D727" s="1081" t="s">
        <v>50</v>
      </c>
      <c r="E727" s="1082">
        <v>30</v>
      </c>
      <c r="F727" s="1083">
        <v>37.47</v>
      </c>
      <c r="G727" s="1083">
        <v>1124.0999999999999</v>
      </c>
      <c r="H727" s="1084">
        <f t="shared" si="6"/>
        <v>7.6349137136976658E-5</v>
      </c>
      <c r="I727" s="1085">
        <f t="shared" si="8"/>
        <v>0.98030167403059765</v>
      </c>
      <c r="J727" s="1085" t="str">
        <f t="shared" si="7"/>
        <v>C</v>
      </c>
      <c r="K727" s="1036"/>
      <c r="L727" s="1036"/>
      <c r="M727" s="1036"/>
      <c r="N727" s="1036"/>
      <c r="O727" s="1036"/>
      <c r="P727" s="1036"/>
      <c r="Q727" s="1036"/>
      <c r="R727" s="1036"/>
      <c r="S727" s="1036"/>
      <c r="T727" s="1036"/>
      <c r="U727" s="1036"/>
      <c r="V727" s="1036"/>
      <c r="W727" s="1036"/>
      <c r="X727" s="1036"/>
      <c r="Y727" s="1036"/>
      <c r="Z727" s="1036"/>
    </row>
    <row r="728" spans="1:26" ht="38.25">
      <c r="A728" s="1079">
        <v>92762</v>
      </c>
      <c r="B728" s="1080" t="s">
        <v>14476</v>
      </c>
      <c r="C728" s="1080" t="s">
        <v>7431</v>
      </c>
      <c r="D728" s="1081" t="s">
        <v>54</v>
      </c>
      <c r="E728" s="1082">
        <v>72.5</v>
      </c>
      <c r="F728" s="1083">
        <v>15.5</v>
      </c>
      <c r="G728" s="1083">
        <v>1123.75</v>
      </c>
      <c r="H728" s="1084">
        <f t="shared" si="6"/>
        <v>7.6325365054423565E-5</v>
      </c>
      <c r="I728" s="1085">
        <f t="shared" si="8"/>
        <v>0.98037799939565207</v>
      </c>
      <c r="J728" s="1085" t="str">
        <f t="shared" si="7"/>
        <v>C</v>
      </c>
      <c r="K728" s="1036"/>
      <c r="L728" s="1036"/>
      <c r="M728" s="1036"/>
      <c r="N728" s="1036"/>
      <c r="O728" s="1036"/>
      <c r="P728" s="1036"/>
      <c r="Q728" s="1036"/>
      <c r="R728" s="1036"/>
      <c r="S728" s="1036"/>
      <c r="T728" s="1036"/>
      <c r="U728" s="1036"/>
      <c r="V728" s="1036"/>
      <c r="W728" s="1036"/>
      <c r="X728" s="1036"/>
      <c r="Y728" s="1036"/>
      <c r="Z728" s="1036"/>
    </row>
    <row r="729" spans="1:26" ht="25.5">
      <c r="A729" s="1079">
        <v>102718</v>
      </c>
      <c r="B729" s="1080" t="s">
        <v>14476</v>
      </c>
      <c r="C729" s="1080" t="s">
        <v>6482</v>
      </c>
      <c r="D729" s="1081" t="s">
        <v>152</v>
      </c>
      <c r="E729" s="1082">
        <v>5</v>
      </c>
      <c r="F729" s="1083">
        <v>224.71</v>
      </c>
      <c r="G729" s="1083">
        <v>1123.55</v>
      </c>
      <c r="H729" s="1084">
        <f t="shared" si="6"/>
        <v>7.6311781007250349E-5</v>
      </c>
      <c r="I729" s="1085">
        <f t="shared" si="8"/>
        <v>0.98045431117665927</v>
      </c>
      <c r="J729" s="1085" t="str">
        <f t="shared" si="7"/>
        <v>C</v>
      </c>
      <c r="K729" s="1036"/>
      <c r="L729" s="1036"/>
      <c r="M729" s="1036"/>
      <c r="N729" s="1036"/>
      <c r="O729" s="1036"/>
      <c r="P729" s="1036"/>
      <c r="Q729" s="1036"/>
      <c r="R729" s="1036"/>
      <c r="S729" s="1036"/>
      <c r="T729" s="1036"/>
      <c r="U729" s="1036"/>
      <c r="V729" s="1036"/>
      <c r="W729" s="1036"/>
      <c r="X729" s="1036"/>
      <c r="Y729" s="1036"/>
      <c r="Z729" s="1036"/>
    </row>
    <row r="730" spans="1:26" ht="25.5">
      <c r="A730" s="1079" t="s">
        <v>14590</v>
      </c>
      <c r="B730" s="1080" t="s">
        <v>14472</v>
      </c>
      <c r="C730" s="1080" t="s">
        <v>14591</v>
      </c>
      <c r="D730" s="1081" t="s">
        <v>152</v>
      </c>
      <c r="E730" s="1082">
        <v>1.03</v>
      </c>
      <c r="F730" s="1083">
        <v>1085.23</v>
      </c>
      <c r="G730" s="1083">
        <v>1117.78</v>
      </c>
      <c r="H730" s="1084">
        <f t="shared" si="6"/>
        <v>7.5919881246303499E-5</v>
      </c>
      <c r="I730" s="1085">
        <f t="shared" si="8"/>
        <v>0.9805302310579056</v>
      </c>
      <c r="J730" s="1085" t="str">
        <f t="shared" si="7"/>
        <v>C</v>
      </c>
      <c r="K730" s="1036"/>
      <c r="L730" s="1036"/>
      <c r="M730" s="1036"/>
      <c r="N730" s="1036"/>
      <c r="O730" s="1036"/>
      <c r="P730" s="1036"/>
      <c r="Q730" s="1036"/>
      <c r="R730" s="1036"/>
      <c r="S730" s="1036"/>
      <c r="T730" s="1036"/>
      <c r="U730" s="1036"/>
      <c r="V730" s="1036"/>
      <c r="W730" s="1036"/>
      <c r="X730" s="1036"/>
      <c r="Y730" s="1036"/>
      <c r="Z730" s="1036"/>
    </row>
    <row r="731" spans="1:26" ht="51">
      <c r="A731" s="1079">
        <v>89746</v>
      </c>
      <c r="B731" s="1080" t="s">
        <v>14476</v>
      </c>
      <c r="C731" s="1080" t="s">
        <v>8958</v>
      </c>
      <c r="D731" s="1081" t="s">
        <v>6</v>
      </c>
      <c r="E731" s="1082">
        <v>32</v>
      </c>
      <c r="F731" s="1083">
        <v>34.479999999999997</v>
      </c>
      <c r="G731" s="1083">
        <v>1103.3599999999999</v>
      </c>
      <c r="H731" s="1084">
        <f t="shared" si="6"/>
        <v>7.4940471445115705E-5</v>
      </c>
      <c r="I731" s="1085">
        <f t="shared" si="8"/>
        <v>0.98060517152935067</v>
      </c>
      <c r="J731" s="1085" t="str">
        <f t="shared" si="7"/>
        <v>C</v>
      </c>
      <c r="K731" s="1036"/>
      <c r="L731" s="1036"/>
      <c r="M731" s="1036"/>
      <c r="N731" s="1036"/>
      <c r="O731" s="1036"/>
      <c r="P731" s="1036"/>
      <c r="Q731" s="1036"/>
      <c r="R731" s="1036"/>
      <c r="S731" s="1036"/>
      <c r="T731" s="1036"/>
      <c r="U731" s="1036"/>
      <c r="V731" s="1036"/>
      <c r="W731" s="1036"/>
      <c r="X731" s="1036"/>
      <c r="Y731" s="1036"/>
      <c r="Z731" s="1036"/>
    </row>
    <row r="732" spans="1:26" ht="38.25">
      <c r="A732" s="1079">
        <v>92759</v>
      </c>
      <c r="B732" s="1080" t="s">
        <v>14476</v>
      </c>
      <c r="C732" s="1080" t="s">
        <v>7428</v>
      </c>
      <c r="D732" s="1081" t="s">
        <v>54</v>
      </c>
      <c r="E732" s="1082">
        <v>58.7</v>
      </c>
      <c r="F732" s="1083">
        <v>18.77</v>
      </c>
      <c r="G732" s="1083">
        <v>1101.79</v>
      </c>
      <c r="H732" s="1084">
        <f t="shared" si="6"/>
        <v>7.4833836674806077E-5</v>
      </c>
      <c r="I732" s="1085">
        <f t="shared" si="8"/>
        <v>0.98068000536602551</v>
      </c>
      <c r="J732" s="1085" t="str">
        <f t="shared" si="7"/>
        <v>C</v>
      </c>
      <c r="K732" s="1036"/>
      <c r="L732" s="1036"/>
      <c r="M732" s="1036"/>
      <c r="N732" s="1036"/>
      <c r="O732" s="1036"/>
      <c r="P732" s="1036"/>
      <c r="Q732" s="1036"/>
      <c r="R732" s="1036"/>
      <c r="S732" s="1036"/>
      <c r="T732" s="1036"/>
      <c r="U732" s="1036"/>
      <c r="V732" s="1036"/>
      <c r="W732" s="1036"/>
      <c r="X732" s="1036"/>
      <c r="Y732" s="1036"/>
      <c r="Z732" s="1036"/>
    </row>
    <row r="733" spans="1:26" ht="25.5">
      <c r="A733" s="1079" t="s">
        <v>14904</v>
      </c>
      <c r="B733" s="1080" t="s">
        <v>14472</v>
      </c>
      <c r="C733" s="1080" t="s">
        <v>14905</v>
      </c>
      <c r="D733" s="1081" t="s">
        <v>6</v>
      </c>
      <c r="E733" s="1082">
        <v>6</v>
      </c>
      <c r="F733" s="1083">
        <v>182.66</v>
      </c>
      <c r="G733" s="1083">
        <v>1095.96</v>
      </c>
      <c r="H733" s="1084">
        <f t="shared" si="6"/>
        <v>7.4437861699707268E-5</v>
      </c>
      <c r="I733" s="1085">
        <f t="shared" si="8"/>
        <v>0.9807544432277252</v>
      </c>
      <c r="J733" s="1085" t="str">
        <f t="shared" si="7"/>
        <v>C</v>
      </c>
      <c r="K733" s="1036"/>
      <c r="L733" s="1036"/>
      <c r="M733" s="1036"/>
      <c r="N733" s="1036"/>
      <c r="O733" s="1036"/>
      <c r="P733" s="1036"/>
      <c r="Q733" s="1036"/>
      <c r="R733" s="1036"/>
      <c r="S733" s="1036"/>
      <c r="T733" s="1036"/>
      <c r="U733" s="1036"/>
      <c r="V733" s="1036"/>
      <c r="W733" s="1036"/>
      <c r="X733" s="1036"/>
      <c r="Y733" s="1036"/>
      <c r="Z733" s="1036"/>
    </row>
    <row r="734" spans="1:26" ht="25.5">
      <c r="A734" s="1079">
        <v>93382</v>
      </c>
      <c r="B734" s="1080" t="s">
        <v>14476</v>
      </c>
      <c r="C734" s="1080" t="s">
        <v>10726</v>
      </c>
      <c r="D734" s="1081" t="s">
        <v>152</v>
      </c>
      <c r="E734" s="1082">
        <v>37</v>
      </c>
      <c r="F734" s="1083">
        <v>29.52</v>
      </c>
      <c r="G734" s="1083">
        <v>1092.24</v>
      </c>
      <c r="H734" s="1084">
        <f t="shared" si="6"/>
        <v>7.4185198422285732E-5</v>
      </c>
      <c r="I734" s="1085">
        <f t="shared" si="8"/>
        <v>0.98082862842614749</v>
      </c>
      <c r="J734" s="1085" t="str">
        <f t="shared" si="7"/>
        <v>C</v>
      </c>
      <c r="K734" s="1036"/>
      <c r="L734" s="1036"/>
      <c r="M734" s="1036"/>
      <c r="N734" s="1036"/>
      <c r="O734" s="1036"/>
      <c r="P734" s="1036"/>
      <c r="Q734" s="1036"/>
      <c r="R734" s="1036"/>
      <c r="S734" s="1036"/>
      <c r="T734" s="1036"/>
      <c r="U734" s="1036"/>
      <c r="V734" s="1036"/>
      <c r="W734" s="1036"/>
      <c r="X734" s="1036"/>
      <c r="Y734" s="1036"/>
      <c r="Z734" s="1036"/>
    </row>
    <row r="735" spans="1:26" ht="25.5">
      <c r="A735" s="1079">
        <v>88485</v>
      </c>
      <c r="B735" s="1080" t="s">
        <v>14476</v>
      </c>
      <c r="C735" s="1080" t="s">
        <v>11005</v>
      </c>
      <c r="D735" s="1081" t="s">
        <v>409</v>
      </c>
      <c r="E735" s="1082">
        <v>270.86</v>
      </c>
      <c r="F735" s="1083">
        <v>4.03</v>
      </c>
      <c r="G735" s="1083">
        <v>1091.58</v>
      </c>
      <c r="H735" s="1084">
        <f t="shared" si="6"/>
        <v>7.4140371066614154E-5</v>
      </c>
      <c r="I735" s="1085">
        <f t="shared" si="8"/>
        <v>0.98090276879721405</v>
      </c>
      <c r="J735" s="1085" t="str">
        <f t="shared" si="7"/>
        <v>C</v>
      </c>
      <c r="K735" s="1036"/>
      <c r="L735" s="1036"/>
      <c r="M735" s="1036"/>
      <c r="N735" s="1036"/>
      <c r="O735" s="1036"/>
      <c r="P735" s="1036"/>
      <c r="Q735" s="1036"/>
      <c r="R735" s="1036"/>
      <c r="S735" s="1036"/>
      <c r="T735" s="1036"/>
      <c r="U735" s="1036"/>
      <c r="V735" s="1036"/>
      <c r="W735" s="1036"/>
      <c r="X735" s="1036"/>
      <c r="Y735" s="1036"/>
      <c r="Z735" s="1036"/>
    </row>
    <row r="736" spans="1:26" ht="51">
      <c r="A736" s="1079">
        <v>87737</v>
      </c>
      <c r="B736" s="1080" t="s">
        <v>14476</v>
      </c>
      <c r="C736" s="1080" t="s">
        <v>11229</v>
      </c>
      <c r="D736" s="1081" t="s">
        <v>409</v>
      </c>
      <c r="E736" s="1082">
        <v>18.45</v>
      </c>
      <c r="F736" s="1083">
        <v>58.57</v>
      </c>
      <c r="G736" s="1083">
        <v>1080.6099999999999</v>
      </c>
      <c r="H736" s="1084">
        <f t="shared" si="6"/>
        <v>7.3395286079164072E-5</v>
      </c>
      <c r="I736" s="1085">
        <f t="shared" si="8"/>
        <v>0.98097616408329324</v>
      </c>
      <c r="J736" s="1085" t="str">
        <f t="shared" si="7"/>
        <v>C</v>
      </c>
      <c r="K736" s="1036"/>
      <c r="L736" s="1036"/>
      <c r="M736" s="1036"/>
      <c r="N736" s="1036"/>
      <c r="O736" s="1036"/>
      <c r="P736" s="1036"/>
      <c r="Q736" s="1036"/>
      <c r="R736" s="1036"/>
      <c r="S736" s="1036"/>
      <c r="T736" s="1036"/>
      <c r="U736" s="1036"/>
      <c r="V736" s="1036"/>
      <c r="W736" s="1036"/>
      <c r="X736" s="1036"/>
      <c r="Y736" s="1036"/>
      <c r="Z736" s="1036"/>
    </row>
    <row r="737" spans="1:26" ht="38.25">
      <c r="A737" s="1079" t="s">
        <v>15030</v>
      </c>
      <c r="B737" s="1080" t="s">
        <v>14472</v>
      </c>
      <c r="C737" s="1080" t="s">
        <v>15031</v>
      </c>
      <c r="D737" s="1081" t="s">
        <v>50</v>
      </c>
      <c r="E737" s="1082">
        <v>5.9</v>
      </c>
      <c r="F737" s="1083">
        <v>181.73</v>
      </c>
      <c r="G737" s="1083">
        <v>1072.2</v>
      </c>
      <c r="H737" s="1084">
        <f t="shared" si="6"/>
        <v>7.2824076895530978E-5</v>
      </c>
      <c r="I737" s="1085">
        <f t="shared" si="8"/>
        <v>0.98104898816018882</v>
      </c>
      <c r="J737" s="1085" t="str">
        <f t="shared" si="7"/>
        <v>C</v>
      </c>
      <c r="K737" s="1036"/>
      <c r="L737" s="1036"/>
      <c r="M737" s="1036"/>
      <c r="N737" s="1036"/>
      <c r="O737" s="1036"/>
      <c r="P737" s="1036"/>
      <c r="Q737" s="1036"/>
      <c r="R737" s="1036"/>
      <c r="S737" s="1036"/>
      <c r="T737" s="1036"/>
      <c r="U737" s="1036"/>
      <c r="V737" s="1036"/>
      <c r="W737" s="1036"/>
      <c r="X737" s="1036"/>
      <c r="Y737" s="1036"/>
      <c r="Z737" s="1036"/>
    </row>
    <row r="738" spans="1:26" ht="51">
      <c r="A738" s="1079" t="s">
        <v>15003</v>
      </c>
      <c r="B738" s="1080" t="s">
        <v>14472</v>
      </c>
      <c r="C738" s="1080" t="s">
        <v>15004</v>
      </c>
      <c r="D738" s="1081" t="s">
        <v>6</v>
      </c>
      <c r="E738" s="1082">
        <v>3</v>
      </c>
      <c r="F738" s="1083">
        <v>355.43</v>
      </c>
      <c r="G738" s="1083">
        <v>1066.29</v>
      </c>
      <c r="H738" s="1084">
        <f t="shared" si="6"/>
        <v>7.2422668301562885E-5</v>
      </c>
      <c r="I738" s="1085">
        <f t="shared" si="8"/>
        <v>0.98112141082849036</v>
      </c>
      <c r="J738" s="1085" t="str">
        <f t="shared" si="7"/>
        <v>C</v>
      </c>
      <c r="K738" s="1036"/>
      <c r="L738" s="1036"/>
      <c r="M738" s="1036"/>
      <c r="N738" s="1036"/>
      <c r="O738" s="1036"/>
      <c r="P738" s="1036"/>
      <c r="Q738" s="1036"/>
      <c r="R738" s="1036"/>
      <c r="S738" s="1036"/>
      <c r="T738" s="1036"/>
      <c r="U738" s="1036"/>
      <c r="V738" s="1036"/>
      <c r="W738" s="1036"/>
      <c r="X738" s="1036"/>
      <c r="Y738" s="1036"/>
      <c r="Z738" s="1036"/>
    </row>
    <row r="739" spans="1:26" ht="51">
      <c r="A739" s="1079">
        <v>87879</v>
      </c>
      <c r="B739" s="1080" t="s">
        <v>14476</v>
      </c>
      <c r="C739" s="1080" t="s">
        <v>15970</v>
      </c>
      <c r="D739" s="1081" t="s">
        <v>409</v>
      </c>
      <c r="E739" s="1082">
        <v>196.6</v>
      </c>
      <c r="F739" s="1083">
        <v>5.42</v>
      </c>
      <c r="G739" s="1083">
        <v>1065.57</v>
      </c>
      <c r="H739" s="1084">
        <f t="shared" si="6"/>
        <v>7.2373765731739362E-5</v>
      </c>
      <c r="I739" s="1085">
        <f t="shared" si="8"/>
        <v>0.98119378459422213</v>
      </c>
      <c r="J739" s="1085" t="str">
        <f t="shared" si="7"/>
        <v>C</v>
      </c>
      <c r="K739" s="1036"/>
      <c r="L739" s="1036"/>
      <c r="M739" s="1036"/>
      <c r="N739" s="1036"/>
      <c r="O739" s="1036"/>
      <c r="P739" s="1036"/>
      <c r="Q739" s="1036"/>
      <c r="R739" s="1036"/>
      <c r="S739" s="1036"/>
      <c r="T739" s="1036"/>
      <c r="U739" s="1036"/>
      <c r="V739" s="1036"/>
      <c r="W739" s="1036"/>
      <c r="X739" s="1036"/>
      <c r="Y739" s="1036"/>
      <c r="Z739" s="1036"/>
    </row>
    <row r="740" spans="1:26" ht="63.75">
      <c r="A740" s="1079">
        <v>86939</v>
      </c>
      <c r="B740" s="1080" t="s">
        <v>14476</v>
      </c>
      <c r="C740" s="1080" t="s">
        <v>10139</v>
      </c>
      <c r="D740" s="1081" t="s">
        <v>6</v>
      </c>
      <c r="E740" s="1082">
        <v>2</v>
      </c>
      <c r="F740" s="1083">
        <v>532.70000000000005</v>
      </c>
      <c r="G740" s="1083">
        <v>1065.4000000000001</v>
      </c>
      <c r="H740" s="1084">
        <f t="shared" si="6"/>
        <v>7.2362219291642146E-5</v>
      </c>
      <c r="I740" s="1085">
        <f t="shared" si="8"/>
        <v>0.98126614681351376</v>
      </c>
      <c r="J740" s="1085" t="str">
        <f t="shared" si="7"/>
        <v>C</v>
      </c>
      <c r="K740" s="1036"/>
      <c r="L740" s="1036"/>
      <c r="M740" s="1036"/>
      <c r="N740" s="1036"/>
      <c r="O740" s="1036"/>
      <c r="P740" s="1036"/>
      <c r="Q740" s="1036"/>
      <c r="R740" s="1036"/>
      <c r="S740" s="1036"/>
      <c r="T740" s="1036"/>
      <c r="U740" s="1036"/>
      <c r="V740" s="1036"/>
      <c r="W740" s="1036"/>
      <c r="X740" s="1036"/>
      <c r="Y740" s="1036"/>
      <c r="Z740" s="1036"/>
    </row>
    <row r="741" spans="1:26" ht="25.5">
      <c r="A741" s="1079">
        <v>98554</v>
      </c>
      <c r="B741" s="1080" t="s">
        <v>14476</v>
      </c>
      <c r="C741" s="1080" t="s">
        <v>7740</v>
      </c>
      <c r="D741" s="1081" t="s">
        <v>409</v>
      </c>
      <c r="E741" s="1082">
        <v>18.45</v>
      </c>
      <c r="F741" s="1083">
        <v>57.71</v>
      </c>
      <c r="G741" s="1083">
        <v>1064.74</v>
      </c>
      <c r="H741" s="1084">
        <f t="shared" si="6"/>
        <v>7.2317391935970582E-5</v>
      </c>
      <c r="I741" s="1085">
        <f t="shared" si="8"/>
        <v>0.98133846420544968</v>
      </c>
      <c r="J741" s="1085" t="str">
        <f t="shared" si="7"/>
        <v>C</v>
      </c>
      <c r="K741" s="1036"/>
      <c r="L741" s="1036"/>
      <c r="M741" s="1036"/>
      <c r="N741" s="1036"/>
      <c r="O741" s="1036"/>
      <c r="P741" s="1036"/>
      <c r="Q741" s="1036"/>
      <c r="R741" s="1036"/>
      <c r="S741" s="1036"/>
      <c r="T741" s="1036"/>
      <c r="U741" s="1036"/>
      <c r="V741" s="1036"/>
      <c r="W741" s="1036"/>
      <c r="X741" s="1036"/>
      <c r="Y741" s="1036"/>
      <c r="Z741" s="1036"/>
    </row>
    <row r="742" spans="1:26" ht="25.5">
      <c r="A742" s="1079">
        <v>98510</v>
      </c>
      <c r="B742" s="1080" t="s">
        <v>14476</v>
      </c>
      <c r="C742" s="1080" t="s">
        <v>12065</v>
      </c>
      <c r="D742" s="1081" t="s">
        <v>6</v>
      </c>
      <c r="E742" s="1082">
        <v>7</v>
      </c>
      <c r="F742" s="1083">
        <v>152.05000000000001</v>
      </c>
      <c r="G742" s="1083">
        <v>1064.3499999999999</v>
      </c>
      <c r="H742" s="1084">
        <f t="shared" si="6"/>
        <v>7.2290903043982827E-5</v>
      </c>
      <c r="I742" s="1085">
        <f t="shared" si="8"/>
        <v>0.98141075510849363</v>
      </c>
      <c r="J742" s="1085" t="str">
        <f t="shared" si="7"/>
        <v>C</v>
      </c>
      <c r="K742" s="1036"/>
      <c r="L742" s="1036"/>
      <c r="M742" s="1036"/>
      <c r="N742" s="1036"/>
      <c r="O742" s="1036"/>
      <c r="P742" s="1036"/>
      <c r="Q742" s="1036"/>
      <c r="R742" s="1036"/>
      <c r="S742" s="1036"/>
      <c r="T742" s="1036"/>
      <c r="U742" s="1036"/>
      <c r="V742" s="1036"/>
      <c r="W742" s="1036"/>
      <c r="X742" s="1036"/>
      <c r="Y742" s="1036"/>
      <c r="Z742" s="1036"/>
    </row>
    <row r="743" spans="1:26" ht="25.5">
      <c r="A743" s="1079">
        <v>88485</v>
      </c>
      <c r="B743" s="1080" t="s">
        <v>14476</v>
      </c>
      <c r="C743" s="1080" t="s">
        <v>11005</v>
      </c>
      <c r="D743" s="1081" t="s">
        <v>409</v>
      </c>
      <c r="E743" s="1082">
        <v>263.97000000000003</v>
      </c>
      <c r="F743" s="1083">
        <v>4.03</v>
      </c>
      <c r="G743" s="1083">
        <v>1063.79</v>
      </c>
      <c r="H743" s="1084">
        <f t="shared" si="6"/>
        <v>7.225286771189787E-5</v>
      </c>
      <c r="I743" s="1085">
        <f t="shared" si="8"/>
        <v>0.98148300797620558</v>
      </c>
      <c r="J743" s="1085" t="str">
        <f t="shared" si="7"/>
        <v>C</v>
      </c>
      <c r="K743" s="1036"/>
      <c r="L743" s="1036"/>
      <c r="M743" s="1036"/>
      <c r="N743" s="1036"/>
      <c r="O743" s="1036"/>
      <c r="P743" s="1036"/>
      <c r="Q743" s="1036"/>
      <c r="R743" s="1036"/>
      <c r="S743" s="1036"/>
      <c r="T743" s="1036"/>
      <c r="U743" s="1036"/>
      <c r="V743" s="1036"/>
      <c r="W743" s="1036"/>
      <c r="X743" s="1036"/>
      <c r="Y743" s="1036"/>
      <c r="Z743" s="1036"/>
    </row>
    <row r="744" spans="1:26" ht="38.25">
      <c r="A744" s="1079" t="s">
        <v>14876</v>
      </c>
      <c r="B744" s="1080" t="s">
        <v>14472</v>
      </c>
      <c r="C744" s="1080" t="s">
        <v>14877</v>
      </c>
      <c r="D744" s="1081" t="s">
        <v>50</v>
      </c>
      <c r="E744" s="1082">
        <v>45.34</v>
      </c>
      <c r="F744" s="1083">
        <v>23.45</v>
      </c>
      <c r="G744" s="1083">
        <v>1063.22</v>
      </c>
      <c r="H744" s="1084">
        <f t="shared" si="6"/>
        <v>7.2214153177454251E-5</v>
      </c>
      <c r="I744" s="1085">
        <f t="shared" si="8"/>
        <v>0.98155522212938306</v>
      </c>
      <c r="J744" s="1085" t="str">
        <f t="shared" si="7"/>
        <v>C</v>
      </c>
      <c r="K744" s="1036"/>
      <c r="L744" s="1036"/>
      <c r="M744" s="1036"/>
      <c r="N744" s="1036"/>
      <c r="O744" s="1036"/>
      <c r="P744" s="1036"/>
      <c r="Q744" s="1036"/>
      <c r="R744" s="1036"/>
      <c r="S744" s="1036"/>
      <c r="T744" s="1036"/>
      <c r="U744" s="1036"/>
      <c r="V744" s="1036"/>
      <c r="W744" s="1036"/>
      <c r="X744" s="1036"/>
      <c r="Y744" s="1036"/>
      <c r="Z744" s="1036"/>
    </row>
    <row r="745" spans="1:26" ht="38.25">
      <c r="A745" s="1079" t="s">
        <v>14647</v>
      </c>
      <c r="B745" s="1080" t="s">
        <v>14472</v>
      </c>
      <c r="C745" s="1080" t="s">
        <v>14648</v>
      </c>
      <c r="D745" s="1081" t="s">
        <v>50</v>
      </c>
      <c r="E745" s="1082">
        <v>32.700000000000003</v>
      </c>
      <c r="F745" s="1083">
        <v>32.450000000000003</v>
      </c>
      <c r="G745" s="1083">
        <v>1061.1099999999999</v>
      </c>
      <c r="H745" s="1084">
        <f t="shared" si="6"/>
        <v>7.2070841479776978E-5</v>
      </c>
      <c r="I745" s="1085">
        <f t="shared" si="8"/>
        <v>0.98162729297086282</v>
      </c>
      <c r="J745" s="1085" t="str">
        <f t="shared" si="7"/>
        <v>C</v>
      </c>
      <c r="K745" s="1036"/>
      <c r="L745" s="1036"/>
      <c r="M745" s="1036"/>
      <c r="N745" s="1036"/>
      <c r="O745" s="1036"/>
      <c r="P745" s="1036"/>
      <c r="Q745" s="1036"/>
      <c r="R745" s="1036"/>
      <c r="S745" s="1036"/>
      <c r="T745" s="1036"/>
      <c r="U745" s="1036"/>
      <c r="V745" s="1036"/>
      <c r="W745" s="1036"/>
      <c r="X745" s="1036"/>
      <c r="Y745" s="1036"/>
      <c r="Z745" s="1036"/>
    </row>
    <row r="746" spans="1:26" ht="38.25">
      <c r="A746" s="1079">
        <v>92761</v>
      </c>
      <c r="B746" s="1080" t="s">
        <v>14476</v>
      </c>
      <c r="C746" s="1080" t="s">
        <v>7430</v>
      </c>
      <c r="D746" s="1081" t="s">
        <v>54</v>
      </c>
      <c r="E746" s="1082">
        <v>61.3</v>
      </c>
      <c r="F746" s="1083">
        <v>17.22</v>
      </c>
      <c r="G746" s="1083">
        <v>1055.58</v>
      </c>
      <c r="H746" s="1084">
        <f t="shared" si="6"/>
        <v>7.1695242575437964E-5</v>
      </c>
      <c r="I746" s="1085">
        <f t="shared" si="8"/>
        <v>0.98169898821343826</v>
      </c>
      <c r="J746" s="1085" t="str">
        <f t="shared" si="7"/>
        <v>C</v>
      </c>
      <c r="K746" s="1036"/>
      <c r="L746" s="1036"/>
      <c r="M746" s="1036"/>
      <c r="N746" s="1036"/>
      <c r="O746" s="1036"/>
      <c r="P746" s="1036"/>
      <c r="Q746" s="1036"/>
      <c r="R746" s="1036"/>
      <c r="S746" s="1036"/>
      <c r="T746" s="1036"/>
      <c r="U746" s="1036"/>
      <c r="V746" s="1036"/>
      <c r="W746" s="1036"/>
      <c r="X746" s="1036"/>
      <c r="Y746" s="1036"/>
      <c r="Z746" s="1036"/>
    </row>
    <row r="747" spans="1:26" ht="63.75">
      <c r="A747" s="1079" t="s">
        <v>14954</v>
      </c>
      <c r="B747" s="1080" t="s">
        <v>14472</v>
      </c>
      <c r="C747" s="1080" t="s">
        <v>15995</v>
      </c>
      <c r="D747" s="1081" t="s">
        <v>409</v>
      </c>
      <c r="E747" s="1082">
        <v>30.19</v>
      </c>
      <c r="F747" s="1083">
        <v>34.869999999999997</v>
      </c>
      <c r="G747" s="1083">
        <v>1052.72</v>
      </c>
      <c r="H747" s="1084">
        <f t="shared" si="6"/>
        <v>7.1500990700861195E-5</v>
      </c>
      <c r="I747" s="1085">
        <f t="shared" si="8"/>
        <v>0.98177048920413912</v>
      </c>
      <c r="J747" s="1085" t="str">
        <f t="shared" si="7"/>
        <v>C</v>
      </c>
      <c r="K747" s="1036"/>
      <c r="L747" s="1036"/>
      <c r="M747" s="1036"/>
      <c r="N747" s="1036"/>
      <c r="O747" s="1036"/>
      <c r="P747" s="1036"/>
      <c r="Q747" s="1036"/>
      <c r="R747" s="1036"/>
      <c r="S747" s="1036"/>
      <c r="T747" s="1036"/>
      <c r="U747" s="1036"/>
      <c r="V747" s="1036"/>
      <c r="W747" s="1036"/>
      <c r="X747" s="1036"/>
      <c r="Y747" s="1036"/>
      <c r="Z747" s="1036"/>
    </row>
    <row r="748" spans="1:26" ht="25.5">
      <c r="A748" s="1079">
        <v>93382</v>
      </c>
      <c r="B748" s="1080" t="s">
        <v>14476</v>
      </c>
      <c r="C748" s="1080" t="s">
        <v>10726</v>
      </c>
      <c r="D748" s="1081" t="s">
        <v>152</v>
      </c>
      <c r="E748" s="1082">
        <v>35.200000000000003</v>
      </c>
      <c r="F748" s="1083">
        <v>29.52</v>
      </c>
      <c r="G748" s="1083">
        <v>1039.0999999999999</v>
      </c>
      <c r="H748" s="1084">
        <f t="shared" si="6"/>
        <v>7.0575917088366193E-5</v>
      </c>
      <c r="I748" s="1085">
        <f t="shared" si="8"/>
        <v>0.98184106512122749</v>
      </c>
      <c r="J748" s="1085" t="str">
        <f t="shared" si="7"/>
        <v>C</v>
      </c>
      <c r="K748" s="1036"/>
      <c r="L748" s="1036"/>
      <c r="M748" s="1036"/>
      <c r="N748" s="1036"/>
      <c r="O748" s="1036"/>
      <c r="P748" s="1036"/>
      <c r="Q748" s="1036"/>
      <c r="R748" s="1036"/>
      <c r="S748" s="1036"/>
      <c r="T748" s="1036"/>
      <c r="U748" s="1036"/>
      <c r="V748" s="1036"/>
      <c r="W748" s="1036"/>
      <c r="X748" s="1036"/>
      <c r="Y748" s="1036"/>
      <c r="Z748" s="1036"/>
    </row>
    <row r="749" spans="1:26" ht="38.25">
      <c r="A749" s="1079">
        <v>96558</v>
      </c>
      <c r="B749" s="1080" t="s">
        <v>14476</v>
      </c>
      <c r="C749" s="1080" t="s">
        <v>7548</v>
      </c>
      <c r="D749" s="1081" t="s">
        <v>152</v>
      </c>
      <c r="E749" s="1082">
        <v>0.82</v>
      </c>
      <c r="F749" s="1083">
        <v>1262.0999999999999</v>
      </c>
      <c r="G749" s="1083">
        <v>1034.92</v>
      </c>
      <c r="H749" s="1084">
        <f t="shared" si="6"/>
        <v>7.0292010502446308E-5</v>
      </c>
      <c r="I749" s="1085">
        <f t="shared" si="8"/>
        <v>0.98191135713172994</v>
      </c>
      <c r="J749" s="1085" t="str">
        <f t="shared" si="7"/>
        <v>C</v>
      </c>
      <c r="K749" s="1036"/>
      <c r="L749" s="1036"/>
      <c r="M749" s="1036"/>
      <c r="N749" s="1036"/>
      <c r="O749" s="1036"/>
      <c r="P749" s="1036"/>
      <c r="Q749" s="1036"/>
      <c r="R749" s="1036"/>
      <c r="S749" s="1036"/>
      <c r="T749" s="1036"/>
      <c r="U749" s="1036"/>
      <c r="V749" s="1036"/>
      <c r="W749" s="1036"/>
      <c r="X749" s="1036"/>
      <c r="Y749" s="1036"/>
      <c r="Z749" s="1036"/>
    </row>
    <row r="750" spans="1:26" ht="38.25">
      <c r="A750" s="1079">
        <v>92762</v>
      </c>
      <c r="B750" s="1080" t="s">
        <v>14476</v>
      </c>
      <c r="C750" s="1080" t="s">
        <v>7431</v>
      </c>
      <c r="D750" s="1081" t="s">
        <v>54</v>
      </c>
      <c r="E750" s="1082">
        <v>66.400000000000006</v>
      </c>
      <c r="F750" s="1083">
        <v>15.5</v>
      </c>
      <c r="G750" s="1083">
        <v>1029.2</v>
      </c>
      <c r="H750" s="1084">
        <f t="shared" si="6"/>
        <v>6.9903506753292755E-5</v>
      </c>
      <c r="I750" s="1085">
        <f t="shared" si="8"/>
        <v>0.98198126063848323</v>
      </c>
      <c r="J750" s="1085" t="str">
        <f t="shared" si="7"/>
        <v>C</v>
      </c>
      <c r="K750" s="1036"/>
      <c r="L750" s="1036"/>
      <c r="M750" s="1036"/>
      <c r="N750" s="1036"/>
      <c r="O750" s="1036"/>
      <c r="P750" s="1036"/>
      <c r="Q750" s="1036"/>
      <c r="R750" s="1036"/>
      <c r="S750" s="1036"/>
      <c r="T750" s="1036"/>
      <c r="U750" s="1036"/>
      <c r="V750" s="1036"/>
      <c r="W750" s="1036"/>
      <c r="X750" s="1036"/>
      <c r="Y750" s="1036"/>
      <c r="Z750" s="1036"/>
    </row>
    <row r="751" spans="1:26" ht="38.25">
      <c r="A751" s="1079">
        <v>91871</v>
      </c>
      <c r="B751" s="1080" t="s">
        <v>14476</v>
      </c>
      <c r="C751" s="1080" t="s">
        <v>7786</v>
      </c>
      <c r="D751" s="1081" t="s">
        <v>50</v>
      </c>
      <c r="E751" s="1082">
        <v>60</v>
      </c>
      <c r="F751" s="1083">
        <v>17.149999999999999</v>
      </c>
      <c r="G751" s="1083">
        <v>1029</v>
      </c>
      <c r="H751" s="1084">
        <f t="shared" si="6"/>
        <v>6.9889922706119553E-5</v>
      </c>
      <c r="I751" s="1085">
        <f t="shared" si="8"/>
        <v>0.9820511505611893</v>
      </c>
      <c r="J751" s="1085" t="str">
        <f t="shared" si="7"/>
        <v>C</v>
      </c>
      <c r="K751" s="1036"/>
      <c r="L751" s="1036"/>
      <c r="M751" s="1036"/>
      <c r="N751" s="1036"/>
      <c r="O751" s="1036"/>
      <c r="P751" s="1036"/>
      <c r="Q751" s="1036"/>
      <c r="R751" s="1036"/>
      <c r="S751" s="1036"/>
      <c r="T751" s="1036"/>
      <c r="U751" s="1036"/>
      <c r="V751" s="1036"/>
      <c r="W751" s="1036"/>
      <c r="X751" s="1036"/>
      <c r="Y751" s="1036"/>
      <c r="Z751" s="1036"/>
    </row>
    <row r="752" spans="1:26" ht="25.5">
      <c r="A752" s="1079" t="s">
        <v>14843</v>
      </c>
      <c r="B752" s="1080" t="s">
        <v>14472</v>
      </c>
      <c r="C752" s="1080" t="s">
        <v>14844</v>
      </c>
      <c r="D752" s="1081" t="s">
        <v>6</v>
      </c>
      <c r="E752" s="1082">
        <v>2</v>
      </c>
      <c r="F752" s="1083">
        <v>513.66</v>
      </c>
      <c r="G752" s="1083">
        <v>1027.32</v>
      </c>
      <c r="H752" s="1084">
        <f t="shared" si="6"/>
        <v>6.9775816709864656E-5</v>
      </c>
      <c r="I752" s="1085">
        <f t="shared" si="8"/>
        <v>0.98212092637789916</v>
      </c>
      <c r="J752" s="1085" t="str">
        <f t="shared" si="7"/>
        <v>C</v>
      </c>
      <c r="K752" s="1036"/>
      <c r="L752" s="1036"/>
      <c r="M752" s="1036"/>
      <c r="N752" s="1036"/>
      <c r="O752" s="1036"/>
      <c r="P752" s="1036"/>
      <c r="Q752" s="1036"/>
      <c r="R752" s="1036"/>
      <c r="S752" s="1036"/>
      <c r="T752" s="1036"/>
      <c r="U752" s="1036"/>
      <c r="V752" s="1036"/>
      <c r="W752" s="1036"/>
      <c r="X752" s="1036"/>
      <c r="Y752" s="1036"/>
      <c r="Z752" s="1036"/>
    </row>
    <row r="753" spans="1:26" ht="25.5">
      <c r="A753" s="1079" t="s">
        <v>14895</v>
      </c>
      <c r="B753" s="1080" t="s">
        <v>14472</v>
      </c>
      <c r="C753" s="1080" t="s">
        <v>15996</v>
      </c>
      <c r="D753" s="1081" t="s">
        <v>6</v>
      </c>
      <c r="E753" s="1082">
        <v>4</v>
      </c>
      <c r="F753" s="1083">
        <v>255.83</v>
      </c>
      <c r="G753" s="1083">
        <v>1023.32</v>
      </c>
      <c r="H753" s="1084">
        <f t="shared" si="6"/>
        <v>6.9504135766400635E-5</v>
      </c>
      <c r="I753" s="1085">
        <f t="shared" si="8"/>
        <v>0.98219043051366561</v>
      </c>
      <c r="J753" s="1085" t="str">
        <f t="shared" si="7"/>
        <v>C</v>
      </c>
      <c r="K753" s="1036"/>
      <c r="L753" s="1036"/>
      <c r="M753" s="1036"/>
      <c r="N753" s="1036"/>
      <c r="O753" s="1036"/>
      <c r="P753" s="1036"/>
      <c r="Q753" s="1036"/>
      <c r="R753" s="1036"/>
      <c r="S753" s="1036"/>
      <c r="T753" s="1036"/>
      <c r="U753" s="1036"/>
      <c r="V753" s="1036"/>
      <c r="W753" s="1036"/>
      <c r="X753" s="1036"/>
      <c r="Y753" s="1036"/>
      <c r="Z753" s="1036"/>
    </row>
    <row r="754" spans="1:26" ht="38.25">
      <c r="A754" s="1079">
        <v>97881</v>
      </c>
      <c r="B754" s="1080" t="s">
        <v>14476</v>
      </c>
      <c r="C754" s="1080" t="s">
        <v>7930</v>
      </c>
      <c r="D754" s="1081" t="s">
        <v>6</v>
      </c>
      <c r="E754" s="1082">
        <v>6</v>
      </c>
      <c r="F754" s="1083">
        <v>168.01</v>
      </c>
      <c r="G754" s="1083">
        <v>1008.06</v>
      </c>
      <c r="H754" s="1084">
        <f t="shared" si="6"/>
        <v>6.8467672967085385E-5</v>
      </c>
      <c r="I754" s="1085">
        <f t="shared" si="8"/>
        <v>0.9822588981866327</v>
      </c>
      <c r="J754" s="1085" t="str">
        <f t="shared" si="7"/>
        <v>C</v>
      </c>
      <c r="K754" s="1036"/>
      <c r="L754" s="1036"/>
      <c r="M754" s="1036"/>
      <c r="N754" s="1036"/>
      <c r="O754" s="1036"/>
      <c r="P754" s="1036"/>
      <c r="Q754" s="1036"/>
      <c r="R754" s="1036"/>
      <c r="S754" s="1036"/>
      <c r="T754" s="1036"/>
      <c r="U754" s="1036"/>
      <c r="V754" s="1036"/>
      <c r="W754" s="1036"/>
      <c r="X754" s="1036"/>
      <c r="Y754" s="1036"/>
      <c r="Z754" s="1036"/>
    </row>
    <row r="755" spans="1:26" ht="51">
      <c r="A755" s="1079">
        <v>101880</v>
      </c>
      <c r="B755" s="1080" t="s">
        <v>14476</v>
      </c>
      <c r="C755" s="1080" t="s">
        <v>7984</v>
      </c>
      <c r="D755" s="1081" t="s">
        <v>6</v>
      </c>
      <c r="E755" s="1082">
        <v>1</v>
      </c>
      <c r="F755" s="1083">
        <v>1006.92</v>
      </c>
      <c r="G755" s="1083">
        <v>1006.92</v>
      </c>
      <c r="H755" s="1084">
        <f t="shared" si="6"/>
        <v>6.8390243898198147E-5</v>
      </c>
      <c r="I755" s="1085">
        <f t="shared" si="8"/>
        <v>0.98232728843053085</v>
      </c>
      <c r="J755" s="1085" t="str">
        <f t="shared" si="7"/>
        <v>C</v>
      </c>
      <c r="K755" s="1036"/>
      <c r="L755" s="1036"/>
      <c r="M755" s="1036"/>
      <c r="N755" s="1036"/>
      <c r="O755" s="1036"/>
      <c r="P755" s="1036"/>
      <c r="Q755" s="1036"/>
      <c r="R755" s="1036"/>
      <c r="S755" s="1036"/>
      <c r="T755" s="1036"/>
      <c r="U755" s="1036"/>
      <c r="V755" s="1036"/>
      <c r="W755" s="1036"/>
      <c r="X755" s="1036"/>
      <c r="Y755" s="1036"/>
      <c r="Z755" s="1036"/>
    </row>
    <row r="756" spans="1:26" ht="25.5">
      <c r="A756" s="1079">
        <v>93358</v>
      </c>
      <c r="B756" s="1080" t="s">
        <v>14476</v>
      </c>
      <c r="C756" s="1080" t="s">
        <v>10648</v>
      </c>
      <c r="D756" s="1081" t="s">
        <v>152</v>
      </c>
      <c r="E756" s="1082">
        <v>10</v>
      </c>
      <c r="F756" s="1083">
        <v>100.47</v>
      </c>
      <c r="G756" s="1083">
        <v>1004.7</v>
      </c>
      <c r="H756" s="1084">
        <f t="shared" si="6"/>
        <v>6.8239460974575618E-5</v>
      </c>
      <c r="I756" s="1085">
        <f t="shared" si="8"/>
        <v>0.98239552789150542</v>
      </c>
      <c r="J756" s="1085" t="str">
        <f t="shared" si="7"/>
        <v>C</v>
      </c>
      <c r="K756" s="1036"/>
      <c r="L756" s="1036"/>
      <c r="M756" s="1036"/>
      <c r="N756" s="1036"/>
      <c r="O756" s="1036"/>
      <c r="P756" s="1036"/>
      <c r="Q756" s="1036"/>
      <c r="R756" s="1036"/>
      <c r="S756" s="1036"/>
      <c r="T756" s="1036"/>
      <c r="U756" s="1036"/>
      <c r="V756" s="1036"/>
      <c r="W756" s="1036"/>
      <c r="X756" s="1036"/>
      <c r="Y756" s="1036"/>
      <c r="Z756" s="1036"/>
    </row>
    <row r="757" spans="1:26" ht="38.25">
      <c r="A757" s="1079">
        <v>98297</v>
      </c>
      <c r="B757" s="1080" t="s">
        <v>14476</v>
      </c>
      <c r="C757" s="1080" t="s">
        <v>8403</v>
      </c>
      <c r="D757" s="1081" t="s">
        <v>50</v>
      </c>
      <c r="E757" s="1082">
        <v>70</v>
      </c>
      <c r="F757" s="1083">
        <v>14.32</v>
      </c>
      <c r="G757" s="1083">
        <v>1002.4</v>
      </c>
      <c r="H757" s="1084">
        <f t="shared" si="6"/>
        <v>6.8083244432083805E-5</v>
      </c>
      <c r="I757" s="1085">
        <f t="shared" si="8"/>
        <v>0.9824636111359375</v>
      </c>
      <c r="J757" s="1085" t="str">
        <f t="shared" si="7"/>
        <v>C</v>
      </c>
      <c r="K757" s="1036"/>
      <c r="L757" s="1036"/>
      <c r="M757" s="1036"/>
      <c r="N757" s="1036"/>
      <c r="O757" s="1036"/>
      <c r="P757" s="1036"/>
      <c r="Q757" s="1036"/>
      <c r="R757" s="1036"/>
      <c r="S757" s="1036"/>
      <c r="T757" s="1036"/>
      <c r="U757" s="1036"/>
      <c r="V757" s="1036"/>
      <c r="W757" s="1036"/>
      <c r="X757" s="1036"/>
      <c r="Y757" s="1036"/>
      <c r="Z757" s="1036"/>
    </row>
    <row r="758" spans="1:26" ht="38.25">
      <c r="A758" s="1079">
        <v>92759</v>
      </c>
      <c r="B758" s="1080" t="s">
        <v>14476</v>
      </c>
      <c r="C758" s="1080" t="s">
        <v>7428</v>
      </c>
      <c r="D758" s="1081" t="s">
        <v>54</v>
      </c>
      <c r="E758" s="1082">
        <v>53.2</v>
      </c>
      <c r="F758" s="1083">
        <v>18.77</v>
      </c>
      <c r="G758" s="1083">
        <v>998.56</v>
      </c>
      <c r="H758" s="1084">
        <f t="shared" si="6"/>
        <v>6.7822430726358337E-5</v>
      </c>
      <c r="I758" s="1085">
        <f t="shared" si="8"/>
        <v>0.98253143356666384</v>
      </c>
      <c r="J758" s="1085" t="str">
        <f t="shared" si="7"/>
        <v>C</v>
      </c>
      <c r="K758" s="1036"/>
      <c r="L758" s="1036"/>
      <c r="M758" s="1036"/>
      <c r="N758" s="1036"/>
      <c r="O758" s="1036"/>
      <c r="P758" s="1036"/>
      <c r="Q758" s="1036"/>
      <c r="R758" s="1036"/>
      <c r="S758" s="1036"/>
      <c r="T758" s="1036"/>
      <c r="U758" s="1036"/>
      <c r="V758" s="1036"/>
      <c r="W758" s="1036"/>
      <c r="X758" s="1036"/>
      <c r="Y758" s="1036"/>
      <c r="Z758" s="1036"/>
    </row>
    <row r="759" spans="1:26" ht="51">
      <c r="A759" s="1079" t="s">
        <v>14588</v>
      </c>
      <c r="B759" s="1080" t="s">
        <v>14472</v>
      </c>
      <c r="C759" s="1080" t="s">
        <v>14589</v>
      </c>
      <c r="D759" s="1081" t="s">
        <v>50</v>
      </c>
      <c r="E759" s="1082">
        <v>26</v>
      </c>
      <c r="F759" s="1083">
        <v>38.32</v>
      </c>
      <c r="G759" s="1083">
        <v>996.32</v>
      </c>
      <c r="H759" s="1084">
        <f t="shared" si="6"/>
        <v>6.7670289398018496E-5</v>
      </c>
      <c r="I759" s="1085">
        <f t="shared" si="8"/>
        <v>0.98259910385606186</v>
      </c>
      <c r="J759" s="1085" t="str">
        <f t="shared" si="7"/>
        <v>C</v>
      </c>
      <c r="K759" s="1036"/>
      <c r="L759" s="1036"/>
      <c r="M759" s="1036"/>
      <c r="N759" s="1036"/>
      <c r="O759" s="1036"/>
      <c r="P759" s="1036"/>
      <c r="Q759" s="1036"/>
      <c r="R759" s="1036"/>
      <c r="S759" s="1036"/>
      <c r="T759" s="1036"/>
      <c r="U759" s="1036"/>
      <c r="V759" s="1036"/>
      <c r="W759" s="1036"/>
      <c r="X759" s="1036"/>
      <c r="Y759" s="1036"/>
      <c r="Z759" s="1036"/>
    </row>
    <row r="760" spans="1:26" ht="25.5">
      <c r="A760" s="1079" t="s">
        <v>14620</v>
      </c>
      <c r="B760" s="1080" t="s">
        <v>14472</v>
      </c>
      <c r="C760" s="1080" t="s">
        <v>14621</v>
      </c>
      <c r="D760" s="1081" t="s">
        <v>152</v>
      </c>
      <c r="E760" s="1082">
        <v>0.78</v>
      </c>
      <c r="F760" s="1083">
        <v>1274.5</v>
      </c>
      <c r="G760" s="1083">
        <v>994.11</v>
      </c>
      <c r="H760" s="1084">
        <f t="shared" si="6"/>
        <v>6.7520185676754615E-5</v>
      </c>
      <c r="I760" s="1085">
        <f t="shared" si="8"/>
        <v>0.98266662404173866</v>
      </c>
      <c r="J760" s="1085" t="str">
        <f t="shared" si="7"/>
        <v>C</v>
      </c>
      <c r="K760" s="1036"/>
      <c r="L760" s="1036"/>
      <c r="M760" s="1036"/>
      <c r="N760" s="1036"/>
      <c r="O760" s="1036"/>
      <c r="P760" s="1036"/>
      <c r="Q760" s="1036"/>
      <c r="R760" s="1036"/>
      <c r="S760" s="1036"/>
      <c r="T760" s="1036"/>
      <c r="U760" s="1036"/>
      <c r="V760" s="1036"/>
      <c r="W760" s="1036"/>
      <c r="X760" s="1036"/>
      <c r="Y760" s="1036"/>
      <c r="Z760" s="1036"/>
    </row>
    <row r="761" spans="1:26" ht="25.5">
      <c r="A761" s="1079" t="s">
        <v>14892</v>
      </c>
      <c r="B761" s="1080" t="s">
        <v>14472</v>
      </c>
      <c r="C761" s="1080" t="s">
        <v>15997</v>
      </c>
      <c r="D761" s="1081" t="s">
        <v>6</v>
      </c>
      <c r="E761" s="1082">
        <v>6</v>
      </c>
      <c r="F761" s="1083">
        <v>165.55</v>
      </c>
      <c r="G761" s="1083">
        <v>993.3</v>
      </c>
      <c r="H761" s="1084">
        <f t="shared" si="6"/>
        <v>6.7465170285703146E-5</v>
      </c>
      <c r="I761" s="1085">
        <f t="shared" si="8"/>
        <v>0.98273408921202432</v>
      </c>
      <c r="J761" s="1085" t="str">
        <f t="shared" si="7"/>
        <v>C</v>
      </c>
      <c r="K761" s="1036"/>
      <c r="L761" s="1036"/>
      <c r="M761" s="1036"/>
      <c r="N761" s="1036"/>
      <c r="O761" s="1036"/>
      <c r="P761" s="1036"/>
      <c r="Q761" s="1036"/>
      <c r="R761" s="1036"/>
      <c r="S761" s="1036"/>
      <c r="T761" s="1036"/>
      <c r="U761" s="1036"/>
      <c r="V761" s="1036"/>
      <c r="W761" s="1036"/>
      <c r="X761" s="1036"/>
      <c r="Y761" s="1036"/>
      <c r="Z761" s="1036"/>
    </row>
    <row r="762" spans="1:26" ht="51">
      <c r="A762" s="1079" t="s">
        <v>15433</v>
      </c>
      <c r="B762" s="1080" t="s">
        <v>14472</v>
      </c>
      <c r="C762" s="1080" t="s">
        <v>15393</v>
      </c>
      <c r="D762" s="1081" t="s">
        <v>6</v>
      </c>
      <c r="E762" s="1082">
        <v>11</v>
      </c>
      <c r="F762" s="1083">
        <v>90.03</v>
      </c>
      <c r="G762" s="1083">
        <v>990.33</v>
      </c>
      <c r="H762" s="1084">
        <f t="shared" si="6"/>
        <v>6.726344718518112E-5</v>
      </c>
      <c r="I762" s="1085">
        <f t="shared" si="8"/>
        <v>0.98280135265920954</v>
      </c>
      <c r="J762" s="1085" t="str">
        <f t="shared" si="7"/>
        <v>C</v>
      </c>
      <c r="K762" s="1036"/>
      <c r="L762" s="1036"/>
      <c r="M762" s="1036"/>
      <c r="N762" s="1036"/>
      <c r="O762" s="1036"/>
      <c r="P762" s="1036"/>
      <c r="Q762" s="1036"/>
      <c r="R762" s="1036"/>
      <c r="S762" s="1036"/>
      <c r="T762" s="1036"/>
      <c r="U762" s="1036"/>
      <c r="V762" s="1036"/>
      <c r="W762" s="1036"/>
      <c r="X762" s="1036"/>
      <c r="Y762" s="1036"/>
      <c r="Z762" s="1036"/>
    </row>
    <row r="763" spans="1:26" ht="51">
      <c r="A763" s="1079" t="s">
        <v>15433</v>
      </c>
      <c r="B763" s="1080" t="s">
        <v>14472</v>
      </c>
      <c r="C763" s="1080" t="s">
        <v>15393</v>
      </c>
      <c r="D763" s="1081" t="s">
        <v>6</v>
      </c>
      <c r="E763" s="1082">
        <v>11</v>
      </c>
      <c r="F763" s="1083">
        <v>90.03</v>
      </c>
      <c r="G763" s="1083">
        <v>990.33</v>
      </c>
      <c r="H763" s="1084">
        <f t="shared" si="6"/>
        <v>6.726344718518112E-5</v>
      </c>
      <c r="I763" s="1085">
        <f t="shared" si="8"/>
        <v>0.98286861610639475</v>
      </c>
      <c r="J763" s="1085" t="str">
        <f t="shared" si="7"/>
        <v>C</v>
      </c>
      <c r="K763" s="1036"/>
      <c r="L763" s="1036"/>
      <c r="M763" s="1036"/>
      <c r="N763" s="1036"/>
      <c r="O763" s="1036"/>
      <c r="P763" s="1036"/>
      <c r="Q763" s="1036"/>
      <c r="R763" s="1036"/>
      <c r="S763" s="1036"/>
      <c r="T763" s="1036"/>
      <c r="U763" s="1036"/>
      <c r="V763" s="1036"/>
      <c r="W763" s="1036"/>
      <c r="X763" s="1036"/>
      <c r="Y763" s="1036"/>
      <c r="Z763" s="1036"/>
    </row>
    <row r="764" spans="1:26" ht="25.5">
      <c r="A764" s="1079">
        <v>100849</v>
      </c>
      <c r="B764" s="1080" t="s">
        <v>14476</v>
      </c>
      <c r="C764" s="1080" t="s">
        <v>10159</v>
      </c>
      <c r="D764" s="1081" t="s">
        <v>6</v>
      </c>
      <c r="E764" s="1082">
        <v>18</v>
      </c>
      <c r="F764" s="1083">
        <v>54.38</v>
      </c>
      <c r="G764" s="1083">
        <v>978.84</v>
      </c>
      <c r="H764" s="1084">
        <f t="shared" si="6"/>
        <v>6.6483043675080717E-5</v>
      </c>
      <c r="I764" s="1085">
        <f t="shared" si="8"/>
        <v>0.98293509915006982</v>
      </c>
      <c r="J764" s="1085" t="str">
        <f t="shared" si="7"/>
        <v>C</v>
      </c>
      <c r="K764" s="1036"/>
      <c r="L764" s="1036"/>
      <c r="M764" s="1036"/>
      <c r="N764" s="1036"/>
      <c r="O764" s="1036"/>
      <c r="P764" s="1036"/>
      <c r="Q764" s="1036"/>
      <c r="R764" s="1036"/>
      <c r="S764" s="1036"/>
      <c r="T764" s="1036"/>
      <c r="U764" s="1036"/>
      <c r="V764" s="1036"/>
      <c r="W764" s="1036"/>
      <c r="X764" s="1036"/>
      <c r="Y764" s="1036"/>
      <c r="Z764" s="1036"/>
    </row>
    <row r="765" spans="1:26" ht="25.5">
      <c r="A765" s="1079">
        <v>100849</v>
      </c>
      <c r="B765" s="1080" t="s">
        <v>14476</v>
      </c>
      <c r="C765" s="1080" t="s">
        <v>10159</v>
      </c>
      <c r="D765" s="1081" t="s">
        <v>6</v>
      </c>
      <c r="E765" s="1082">
        <v>18</v>
      </c>
      <c r="F765" s="1083">
        <v>54.38</v>
      </c>
      <c r="G765" s="1083">
        <v>978.84</v>
      </c>
      <c r="H765" s="1084">
        <f t="shared" si="6"/>
        <v>6.6483043675080717E-5</v>
      </c>
      <c r="I765" s="1085">
        <f t="shared" si="8"/>
        <v>0.98300158219374489</v>
      </c>
      <c r="J765" s="1085" t="str">
        <f t="shared" si="7"/>
        <v>C</v>
      </c>
      <c r="K765" s="1036"/>
      <c r="L765" s="1036"/>
      <c r="M765" s="1036"/>
      <c r="N765" s="1036"/>
      <c r="O765" s="1036"/>
      <c r="P765" s="1036"/>
      <c r="Q765" s="1036"/>
      <c r="R765" s="1036"/>
      <c r="S765" s="1036"/>
      <c r="T765" s="1036"/>
      <c r="U765" s="1036"/>
      <c r="V765" s="1036"/>
      <c r="W765" s="1036"/>
      <c r="X765" s="1036"/>
      <c r="Y765" s="1036"/>
      <c r="Z765" s="1036"/>
    </row>
    <row r="766" spans="1:26" ht="38.25">
      <c r="A766" s="1079">
        <v>89529</v>
      </c>
      <c r="B766" s="1080" t="s">
        <v>14476</v>
      </c>
      <c r="C766" s="1080" t="s">
        <v>8782</v>
      </c>
      <c r="D766" s="1081" t="s">
        <v>6</v>
      </c>
      <c r="E766" s="1082">
        <v>22</v>
      </c>
      <c r="F766" s="1083">
        <v>44.12</v>
      </c>
      <c r="G766" s="1083">
        <v>970.64</v>
      </c>
      <c r="H766" s="1084">
        <f t="shared" si="6"/>
        <v>6.5926097740979473E-5</v>
      </c>
      <c r="I766" s="1085">
        <f t="shared" si="8"/>
        <v>0.98306750829148593</v>
      </c>
      <c r="J766" s="1085" t="str">
        <f t="shared" si="7"/>
        <v>C</v>
      </c>
      <c r="K766" s="1036"/>
      <c r="L766" s="1036"/>
      <c r="M766" s="1036"/>
      <c r="N766" s="1036"/>
      <c r="O766" s="1036"/>
      <c r="P766" s="1036"/>
      <c r="Q766" s="1036"/>
      <c r="R766" s="1036"/>
      <c r="S766" s="1036"/>
      <c r="T766" s="1036"/>
      <c r="U766" s="1036"/>
      <c r="V766" s="1036"/>
      <c r="W766" s="1036"/>
      <c r="X766" s="1036"/>
      <c r="Y766" s="1036"/>
      <c r="Z766" s="1036"/>
    </row>
    <row r="767" spans="1:26" ht="38.25">
      <c r="A767" s="1079">
        <v>103985</v>
      </c>
      <c r="B767" s="1080" t="s">
        <v>14476</v>
      </c>
      <c r="C767" s="1080" t="s">
        <v>9830</v>
      </c>
      <c r="D767" s="1081" t="s">
        <v>6</v>
      </c>
      <c r="E767" s="1082">
        <v>38</v>
      </c>
      <c r="F767" s="1083">
        <v>25.48</v>
      </c>
      <c r="G767" s="1083">
        <v>968.24</v>
      </c>
      <c r="H767" s="1084">
        <f t="shared" si="6"/>
        <v>6.5763089174901066E-5</v>
      </c>
      <c r="I767" s="1085">
        <f t="shared" si="8"/>
        <v>0.98313327138066087</v>
      </c>
      <c r="J767" s="1085" t="str">
        <f t="shared" si="7"/>
        <v>C</v>
      </c>
      <c r="K767" s="1036"/>
      <c r="L767" s="1036"/>
      <c r="M767" s="1036"/>
      <c r="N767" s="1036"/>
      <c r="O767" s="1036"/>
      <c r="P767" s="1036"/>
      <c r="Q767" s="1036"/>
      <c r="R767" s="1036"/>
      <c r="S767" s="1036"/>
      <c r="T767" s="1036"/>
      <c r="U767" s="1036"/>
      <c r="V767" s="1036"/>
      <c r="W767" s="1036"/>
      <c r="X767" s="1036"/>
      <c r="Y767" s="1036"/>
      <c r="Z767" s="1036"/>
    </row>
    <row r="768" spans="1:26" ht="38.25">
      <c r="A768" s="1079" t="s">
        <v>14622</v>
      </c>
      <c r="B768" s="1080" t="s">
        <v>14472</v>
      </c>
      <c r="C768" s="1080" t="s">
        <v>15964</v>
      </c>
      <c r="D768" s="1081" t="s">
        <v>152</v>
      </c>
      <c r="E768" s="1082">
        <v>0.86</v>
      </c>
      <c r="F768" s="1083">
        <v>1117.8</v>
      </c>
      <c r="G768" s="1083">
        <v>961.3</v>
      </c>
      <c r="H768" s="1084">
        <f t="shared" si="6"/>
        <v>6.5291722737990978E-5</v>
      </c>
      <c r="I768" s="1085">
        <f t="shared" si="8"/>
        <v>0.98319856310339881</v>
      </c>
      <c r="J768" s="1085" t="str">
        <f t="shared" si="7"/>
        <v>C</v>
      </c>
      <c r="K768" s="1036"/>
      <c r="L768" s="1036"/>
      <c r="M768" s="1036"/>
      <c r="N768" s="1036"/>
      <c r="O768" s="1036"/>
      <c r="P768" s="1036"/>
      <c r="Q768" s="1036"/>
      <c r="R768" s="1036"/>
      <c r="S768" s="1036"/>
      <c r="T768" s="1036"/>
      <c r="U768" s="1036"/>
      <c r="V768" s="1036"/>
      <c r="W768" s="1036"/>
      <c r="X768" s="1036"/>
      <c r="Y768" s="1036"/>
      <c r="Z768" s="1036"/>
    </row>
    <row r="769" spans="1:26" ht="25.5">
      <c r="A769" s="1079" t="s">
        <v>14889</v>
      </c>
      <c r="B769" s="1080" t="s">
        <v>14472</v>
      </c>
      <c r="C769" s="1080" t="s">
        <v>15998</v>
      </c>
      <c r="D769" s="1081" t="s">
        <v>6</v>
      </c>
      <c r="E769" s="1082">
        <v>4</v>
      </c>
      <c r="F769" s="1083">
        <v>239.48</v>
      </c>
      <c r="G769" s="1083">
        <v>957.92</v>
      </c>
      <c r="H769" s="1084">
        <f t="shared" si="6"/>
        <v>6.5062152340763886E-5</v>
      </c>
      <c r="I769" s="1085">
        <f t="shared" si="8"/>
        <v>0.98326362525573963</v>
      </c>
      <c r="J769" s="1085" t="str">
        <f t="shared" si="7"/>
        <v>C</v>
      </c>
      <c r="K769" s="1036"/>
      <c r="L769" s="1036"/>
      <c r="M769" s="1036"/>
      <c r="N769" s="1036"/>
      <c r="O769" s="1036"/>
      <c r="P769" s="1036"/>
      <c r="Q769" s="1036"/>
      <c r="R769" s="1036"/>
      <c r="S769" s="1036"/>
      <c r="T769" s="1036"/>
      <c r="U769" s="1036"/>
      <c r="V769" s="1036"/>
      <c r="W769" s="1036"/>
      <c r="X769" s="1036"/>
      <c r="Y769" s="1036"/>
      <c r="Z769" s="1036"/>
    </row>
    <row r="770" spans="1:26" ht="51">
      <c r="A770" s="1079">
        <v>89726</v>
      </c>
      <c r="B770" s="1080" t="s">
        <v>14476</v>
      </c>
      <c r="C770" s="1080" t="s">
        <v>8939</v>
      </c>
      <c r="D770" s="1081" t="s">
        <v>6</v>
      </c>
      <c r="E770" s="1082">
        <v>74</v>
      </c>
      <c r="F770" s="1083">
        <v>12.67</v>
      </c>
      <c r="G770" s="1083">
        <v>937.58</v>
      </c>
      <c r="H770" s="1084">
        <f t="shared" si="6"/>
        <v>6.3680654743249337E-5</v>
      </c>
      <c r="I770" s="1085">
        <f t="shared" si="8"/>
        <v>0.9833273059104829</v>
      </c>
      <c r="J770" s="1085" t="str">
        <f t="shared" si="7"/>
        <v>C</v>
      </c>
      <c r="K770" s="1036"/>
      <c r="L770" s="1036"/>
      <c r="M770" s="1036"/>
      <c r="N770" s="1036"/>
      <c r="O770" s="1036"/>
      <c r="P770" s="1036"/>
      <c r="Q770" s="1036"/>
      <c r="R770" s="1036"/>
      <c r="S770" s="1036"/>
      <c r="T770" s="1036"/>
      <c r="U770" s="1036"/>
      <c r="V770" s="1036"/>
      <c r="W770" s="1036"/>
      <c r="X770" s="1036"/>
      <c r="Y770" s="1036"/>
      <c r="Z770" s="1036"/>
    </row>
    <row r="771" spans="1:26" ht="38.25">
      <c r="A771" s="1079">
        <v>96558</v>
      </c>
      <c r="B771" s="1080" t="s">
        <v>14476</v>
      </c>
      <c r="C771" s="1080" t="s">
        <v>7548</v>
      </c>
      <c r="D771" s="1081" t="s">
        <v>152</v>
      </c>
      <c r="E771" s="1082">
        <v>0.74</v>
      </c>
      <c r="F771" s="1083">
        <v>1262.0999999999999</v>
      </c>
      <c r="G771" s="1083">
        <v>933.95</v>
      </c>
      <c r="H771" s="1084">
        <f t="shared" si="6"/>
        <v>6.3434104287055733E-5</v>
      </c>
      <c r="I771" s="1085">
        <f t="shared" si="8"/>
        <v>0.98339074001477</v>
      </c>
      <c r="J771" s="1085" t="str">
        <f t="shared" si="7"/>
        <v>C</v>
      </c>
      <c r="K771" s="1036"/>
      <c r="L771" s="1036"/>
      <c r="M771" s="1036"/>
      <c r="N771" s="1036"/>
      <c r="O771" s="1036"/>
      <c r="P771" s="1036"/>
      <c r="Q771" s="1036"/>
      <c r="R771" s="1036"/>
      <c r="S771" s="1036"/>
      <c r="T771" s="1036"/>
      <c r="U771" s="1036"/>
      <c r="V771" s="1036"/>
      <c r="W771" s="1036"/>
      <c r="X771" s="1036"/>
      <c r="Y771" s="1036"/>
      <c r="Z771" s="1036"/>
    </row>
    <row r="772" spans="1:26" ht="25.5">
      <c r="A772" s="1079" t="s">
        <v>15014</v>
      </c>
      <c r="B772" s="1080" t="s">
        <v>14472</v>
      </c>
      <c r="C772" s="1080" t="s">
        <v>15015</v>
      </c>
      <c r="D772" s="1081" t="s">
        <v>409</v>
      </c>
      <c r="E772" s="1082">
        <v>0.48</v>
      </c>
      <c r="F772" s="1083">
        <v>1943.85</v>
      </c>
      <c r="G772" s="1083">
        <v>933.04</v>
      </c>
      <c r="H772" s="1084">
        <f t="shared" si="6"/>
        <v>6.337229687241767E-5</v>
      </c>
      <c r="I772" s="1085">
        <f t="shared" si="8"/>
        <v>0.98345411231164237</v>
      </c>
      <c r="J772" s="1085" t="str">
        <f t="shared" si="7"/>
        <v>C</v>
      </c>
      <c r="K772" s="1036"/>
      <c r="L772" s="1036"/>
      <c r="M772" s="1036"/>
      <c r="N772" s="1036"/>
      <c r="O772" s="1036"/>
      <c r="P772" s="1036"/>
      <c r="Q772" s="1036"/>
      <c r="R772" s="1036"/>
      <c r="S772" s="1036"/>
      <c r="T772" s="1036"/>
      <c r="U772" s="1036"/>
      <c r="V772" s="1036"/>
      <c r="W772" s="1036"/>
      <c r="X772" s="1036"/>
      <c r="Y772" s="1036"/>
      <c r="Z772" s="1036"/>
    </row>
    <row r="773" spans="1:26" ht="51">
      <c r="A773" s="1079">
        <v>89731</v>
      </c>
      <c r="B773" s="1080" t="s">
        <v>14476</v>
      </c>
      <c r="C773" s="1080" t="s">
        <v>8944</v>
      </c>
      <c r="D773" s="1081" t="s">
        <v>6</v>
      </c>
      <c r="E773" s="1082">
        <v>51</v>
      </c>
      <c r="F773" s="1083">
        <v>18.100000000000001</v>
      </c>
      <c r="G773" s="1083">
        <v>923.1</v>
      </c>
      <c r="H773" s="1084">
        <f t="shared" si="6"/>
        <v>6.2697169727909583E-5</v>
      </c>
      <c r="I773" s="1085">
        <f t="shared" si="8"/>
        <v>0.98351680948137032</v>
      </c>
      <c r="J773" s="1085" t="str">
        <f t="shared" si="7"/>
        <v>C</v>
      </c>
      <c r="K773" s="1036"/>
      <c r="L773" s="1036"/>
      <c r="M773" s="1036"/>
      <c r="N773" s="1036"/>
      <c r="O773" s="1036"/>
      <c r="P773" s="1036"/>
      <c r="Q773" s="1036"/>
      <c r="R773" s="1036"/>
      <c r="S773" s="1036"/>
      <c r="T773" s="1036"/>
      <c r="U773" s="1036"/>
      <c r="V773" s="1036"/>
      <c r="W773" s="1036"/>
      <c r="X773" s="1036"/>
      <c r="Y773" s="1036"/>
      <c r="Z773" s="1036"/>
    </row>
    <row r="774" spans="1:26" ht="25.5">
      <c r="A774" s="1079">
        <v>95577</v>
      </c>
      <c r="B774" s="1080" t="s">
        <v>14476</v>
      </c>
      <c r="C774" s="1080" t="s">
        <v>7477</v>
      </c>
      <c r="D774" s="1081" t="s">
        <v>54</v>
      </c>
      <c r="E774" s="1082">
        <v>60.96</v>
      </c>
      <c r="F774" s="1083">
        <v>15.06</v>
      </c>
      <c r="G774" s="1083">
        <v>918.05</v>
      </c>
      <c r="H774" s="1084">
        <f t="shared" si="6"/>
        <v>6.2354172536786243E-5</v>
      </c>
      <c r="I774" s="1085">
        <f t="shared" si="8"/>
        <v>0.98357916365390707</v>
      </c>
      <c r="J774" s="1085" t="str">
        <f t="shared" si="7"/>
        <v>C</v>
      </c>
      <c r="K774" s="1036"/>
      <c r="L774" s="1036"/>
      <c r="M774" s="1036"/>
      <c r="N774" s="1036"/>
      <c r="O774" s="1036"/>
      <c r="P774" s="1036"/>
      <c r="Q774" s="1036"/>
      <c r="R774" s="1036"/>
      <c r="S774" s="1036"/>
      <c r="T774" s="1036"/>
      <c r="U774" s="1036"/>
      <c r="V774" s="1036"/>
      <c r="W774" s="1036"/>
      <c r="X774" s="1036"/>
      <c r="Y774" s="1036"/>
      <c r="Z774" s="1036"/>
    </row>
    <row r="775" spans="1:26" ht="38.25">
      <c r="A775" s="1079">
        <v>92762</v>
      </c>
      <c r="B775" s="1080" t="s">
        <v>14476</v>
      </c>
      <c r="C775" s="1080" t="s">
        <v>7431</v>
      </c>
      <c r="D775" s="1081" t="s">
        <v>54</v>
      </c>
      <c r="E775" s="1082">
        <v>59.2</v>
      </c>
      <c r="F775" s="1083">
        <v>15.5</v>
      </c>
      <c r="G775" s="1083">
        <v>917.6</v>
      </c>
      <c r="H775" s="1084">
        <f t="shared" si="6"/>
        <v>6.2323608430646542E-5</v>
      </c>
      <c r="I775" s="1085">
        <f t="shared" si="8"/>
        <v>0.98364148726233769</v>
      </c>
      <c r="J775" s="1085" t="str">
        <f t="shared" si="7"/>
        <v>C</v>
      </c>
      <c r="K775" s="1036"/>
      <c r="L775" s="1036"/>
      <c r="M775" s="1036"/>
      <c r="N775" s="1036"/>
      <c r="O775" s="1036"/>
      <c r="P775" s="1036"/>
      <c r="Q775" s="1036"/>
      <c r="R775" s="1036"/>
      <c r="S775" s="1036"/>
      <c r="T775" s="1036"/>
      <c r="U775" s="1036"/>
      <c r="V775" s="1036"/>
      <c r="W775" s="1036"/>
      <c r="X775" s="1036"/>
      <c r="Y775" s="1036"/>
      <c r="Z775" s="1036"/>
    </row>
    <row r="776" spans="1:26" ht="51">
      <c r="A776" s="1079">
        <v>89748</v>
      </c>
      <c r="B776" s="1080" t="s">
        <v>14476</v>
      </c>
      <c r="C776" s="1080" t="s">
        <v>8960</v>
      </c>
      <c r="D776" s="1081" t="s">
        <v>6</v>
      </c>
      <c r="E776" s="1082">
        <v>18</v>
      </c>
      <c r="F776" s="1083">
        <v>50.96</v>
      </c>
      <c r="G776" s="1083">
        <v>917.28</v>
      </c>
      <c r="H776" s="1084">
        <f t="shared" si="6"/>
        <v>6.2301873955169422E-5</v>
      </c>
      <c r="I776" s="1085">
        <f t="shared" si="8"/>
        <v>0.98370378913629286</v>
      </c>
      <c r="J776" s="1085" t="str">
        <f t="shared" si="7"/>
        <v>C</v>
      </c>
      <c r="K776" s="1036"/>
      <c r="L776" s="1036"/>
      <c r="M776" s="1036"/>
      <c r="N776" s="1036"/>
      <c r="O776" s="1036"/>
      <c r="P776" s="1036"/>
      <c r="Q776" s="1036"/>
      <c r="R776" s="1036"/>
      <c r="S776" s="1036"/>
      <c r="T776" s="1036"/>
      <c r="U776" s="1036"/>
      <c r="V776" s="1036"/>
      <c r="W776" s="1036"/>
      <c r="X776" s="1036"/>
      <c r="Y776" s="1036"/>
      <c r="Z776" s="1036"/>
    </row>
    <row r="777" spans="1:26" ht="38.25">
      <c r="A777" s="1079">
        <v>92761</v>
      </c>
      <c r="B777" s="1080" t="s">
        <v>14476</v>
      </c>
      <c r="C777" s="1080" t="s">
        <v>7430</v>
      </c>
      <c r="D777" s="1081" t="s">
        <v>54</v>
      </c>
      <c r="E777" s="1082">
        <v>52</v>
      </c>
      <c r="F777" s="1083">
        <v>17.22</v>
      </c>
      <c r="G777" s="1083">
        <v>895.44</v>
      </c>
      <c r="H777" s="1084">
        <f t="shared" si="6"/>
        <v>6.0818496003855873E-5</v>
      </c>
      <c r="I777" s="1085">
        <f t="shared" si="8"/>
        <v>0.98376460763229667</v>
      </c>
      <c r="J777" s="1085" t="str">
        <f t="shared" si="7"/>
        <v>C</v>
      </c>
      <c r="K777" s="1036"/>
      <c r="L777" s="1036"/>
      <c r="M777" s="1036"/>
      <c r="N777" s="1036"/>
      <c r="O777" s="1036"/>
      <c r="P777" s="1036"/>
      <c r="Q777" s="1036"/>
      <c r="R777" s="1036"/>
      <c r="S777" s="1036"/>
      <c r="T777" s="1036"/>
      <c r="U777" s="1036"/>
      <c r="V777" s="1036"/>
      <c r="W777" s="1036"/>
      <c r="X777" s="1036"/>
      <c r="Y777" s="1036"/>
      <c r="Z777" s="1036"/>
    </row>
    <row r="778" spans="1:26" ht="38.25">
      <c r="A778" s="1079">
        <v>103985</v>
      </c>
      <c r="B778" s="1080" t="s">
        <v>14476</v>
      </c>
      <c r="C778" s="1080" t="s">
        <v>9830</v>
      </c>
      <c r="D778" s="1081" t="s">
        <v>6</v>
      </c>
      <c r="E778" s="1082">
        <v>35</v>
      </c>
      <c r="F778" s="1083">
        <v>25.48</v>
      </c>
      <c r="G778" s="1083">
        <v>891.8</v>
      </c>
      <c r="H778" s="1084">
        <f t="shared" si="6"/>
        <v>6.0571266345303607E-5</v>
      </c>
      <c r="I778" s="1085">
        <f t="shared" si="8"/>
        <v>0.98382517889864196</v>
      </c>
      <c r="J778" s="1085" t="str">
        <f t="shared" si="7"/>
        <v>C</v>
      </c>
      <c r="K778" s="1036"/>
      <c r="L778" s="1036"/>
      <c r="M778" s="1036"/>
      <c r="N778" s="1036"/>
      <c r="O778" s="1036"/>
      <c r="P778" s="1036"/>
      <c r="Q778" s="1036"/>
      <c r="R778" s="1036"/>
      <c r="S778" s="1036"/>
      <c r="T778" s="1036"/>
      <c r="U778" s="1036"/>
      <c r="V778" s="1036"/>
      <c r="W778" s="1036"/>
      <c r="X778" s="1036"/>
      <c r="Y778" s="1036"/>
      <c r="Z778" s="1036"/>
    </row>
    <row r="779" spans="1:26" ht="25.5">
      <c r="A779" s="1079">
        <v>96616</v>
      </c>
      <c r="B779" s="1080" t="s">
        <v>14476</v>
      </c>
      <c r="C779" s="1080" t="s">
        <v>7163</v>
      </c>
      <c r="D779" s="1081" t="s">
        <v>152</v>
      </c>
      <c r="E779" s="1082">
        <v>0.85</v>
      </c>
      <c r="F779" s="1083">
        <v>1048.5999999999999</v>
      </c>
      <c r="G779" s="1083">
        <v>891.31</v>
      </c>
      <c r="H779" s="1084">
        <f t="shared" si="6"/>
        <v>6.0537985429729258E-5</v>
      </c>
      <c r="I779" s="1085">
        <f t="shared" si="8"/>
        <v>0.98388571688407167</v>
      </c>
      <c r="J779" s="1085" t="str">
        <f t="shared" si="7"/>
        <v>C</v>
      </c>
      <c r="K779" s="1036"/>
      <c r="L779" s="1036"/>
      <c r="M779" s="1036"/>
      <c r="N779" s="1036"/>
      <c r="O779" s="1036"/>
      <c r="P779" s="1036"/>
      <c r="Q779" s="1036"/>
      <c r="R779" s="1036"/>
      <c r="S779" s="1036"/>
      <c r="T779" s="1036"/>
      <c r="U779" s="1036"/>
      <c r="V779" s="1036"/>
      <c r="W779" s="1036"/>
      <c r="X779" s="1036"/>
      <c r="Y779" s="1036"/>
      <c r="Z779" s="1036"/>
    </row>
    <row r="780" spans="1:26" ht="38.25">
      <c r="A780" s="1079">
        <v>100868</v>
      </c>
      <c r="B780" s="1080" t="s">
        <v>14476</v>
      </c>
      <c r="C780" s="1080" t="s">
        <v>15983</v>
      </c>
      <c r="D780" s="1081" t="s">
        <v>6</v>
      </c>
      <c r="E780" s="1082">
        <v>2</v>
      </c>
      <c r="F780" s="1083">
        <v>445.17</v>
      </c>
      <c r="G780" s="1083">
        <v>890.34</v>
      </c>
      <c r="H780" s="1084">
        <f t="shared" ref="H780:H1034" si="9">G780/$I$8</f>
        <v>6.0472102800939243E-5</v>
      </c>
      <c r="I780" s="1085">
        <f t="shared" si="8"/>
        <v>0.98394618898687258</v>
      </c>
      <c r="J780" s="1085" t="str">
        <f t="shared" ref="J780:J1034" si="10">IF(I780&lt;$A$10,"A",IF(I780&lt;$A$11,"B","C"))</f>
        <v>C</v>
      </c>
      <c r="K780" s="1036"/>
      <c r="L780" s="1036"/>
      <c r="M780" s="1036"/>
      <c r="N780" s="1036"/>
      <c r="O780" s="1036"/>
      <c r="P780" s="1036"/>
      <c r="Q780" s="1036"/>
      <c r="R780" s="1036"/>
      <c r="S780" s="1036"/>
      <c r="T780" s="1036"/>
      <c r="U780" s="1036"/>
      <c r="V780" s="1036"/>
      <c r="W780" s="1036"/>
      <c r="X780" s="1036"/>
      <c r="Y780" s="1036"/>
      <c r="Z780" s="1036"/>
    </row>
    <row r="781" spans="1:26" ht="38.25">
      <c r="A781" s="1079">
        <v>94679</v>
      </c>
      <c r="B781" s="1080" t="s">
        <v>14476</v>
      </c>
      <c r="C781" s="1080" t="s">
        <v>9375</v>
      </c>
      <c r="D781" s="1081" t="s">
        <v>6</v>
      </c>
      <c r="E781" s="1082">
        <v>34</v>
      </c>
      <c r="F781" s="1083">
        <v>26.15</v>
      </c>
      <c r="G781" s="1083">
        <v>889.1</v>
      </c>
      <c r="H781" s="1084">
        <f t="shared" si="9"/>
        <v>6.0387881708465397E-5</v>
      </c>
      <c r="I781" s="1085">
        <f t="shared" ref="I781:I1035" si="11">I780+H781</f>
        <v>0.98400657686858106</v>
      </c>
      <c r="J781" s="1085" t="str">
        <f t="shared" si="10"/>
        <v>C</v>
      </c>
      <c r="K781" s="1036"/>
      <c r="L781" s="1036"/>
      <c r="M781" s="1036"/>
      <c r="N781" s="1036"/>
      <c r="O781" s="1036"/>
      <c r="P781" s="1036"/>
      <c r="Q781" s="1036"/>
      <c r="R781" s="1036"/>
      <c r="S781" s="1036"/>
      <c r="T781" s="1036"/>
      <c r="U781" s="1036"/>
      <c r="V781" s="1036"/>
      <c r="W781" s="1036"/>
      <c r="X781" s="1036"/>
      <c r="Y781" s="1036"/>
      <c r="Z781" s="1036"/>
    </row>
    <row r="782" spans="1:26" ht="25.5">
      <c r="A782" s="1079" t="s">
        <v>14834</v>
      </c>
      <c r="B782" s="1080" t="s">
        <v>14472</v>
      </c>
      <c r="C782" s="1080" t="s">
        <v>14835</v>
      </c>
      <c r="D782" s="1081" t="s">
        <v>6</v>
      </c>
      <c r="E782" s="1082">
        <v>2</v>
      </c>
      <c r="F782" s="1083">
        <v>444.31</v>
      </c>
      <c r="G782" s="1083">
        <v>888.62</v>
      </c>
      <c r="H782" s="1084">
        <f t="shared" si="9"/>
        <v>6.035527999524971E-5</v>
      </c>
      <c r="I782" s="1085">
        <f t="shared" si="11"/>
        <v>0.98406693214857632</v>
      </c>
      <c r="J782" s="1085" t="str">
        <f t="shared" si="10"/>
        <v>C</v>
      </c>
      <c r="K782" s="1036"/>
      <c r="L782" s="1036"/>
      <c r="M782" s="1036"/>
      <c r="N782" s="1036"/>
      <c r="O782" s="1036"/>
      <c r="P782" s="1036"/>
      <c r="Q782" s="1036"/>
      <c r="R782" s="1036"/>
      <c r="S782" s="1036"/>
      <c r="T782" s="1036"/>
      <c r="U782" s="1036"/>
      <c r="V782" s="1036"/>
      <c r="W782" s="1036"/>
      <c r="X782" s="1036"/>
      <c r="Y782" s="1036"/>
      <c r="Z782" s="1036"/>
    </row>
    <row r="783" spans="1:26" ht="51">
      <c r="A783" s="1079">
        <v>91837</v>
      </c>
      <c r="B783" s="1080" t="s">
        <v>14476</v>
      </c>
      <c r="C783" s="1080" t="s">
        <v>7758</v>
      </c>
      <c r="D783" s="1081" t="s">
        <v>50</v>
      </c>
      <c r="E783" s="1082">
        <v>30</v>
      </c>
      <c r="F783" s="1083">
        <v>29.53</v>
      </c>
      <c r="G783" s="1083">
        <v>885.9</v>
      </c>
      <c r="H783" s="1084">
        <f t="shared" si="9"/>
        <v>6.0170536953694176E-5</v>
      </c>
      <c r="I783" s="1085">
        <f t="shared" si="11"/>
        <v>0.98412710268553005</v>
      </c>
      <c r="J783" s="1085" t="str">
        <f t="shared" si="10"/>
        <v>C</v>
      </c>
      <c r="K783" s="1036"/>
      <c r="L783" s="1036"/>
      <c r="M783" s="1036"/>
      <c r="N783" s="1036"/>
      <c r="O783" s="1036"/>
      <c r="P783" s="1036"/>
      <c r="Q783" s="1036"/>
      <c r="R783" s="1036"/>
      <c r="S783" s="1036"/>
      <c r="T783" s="1036"/>
      <c r="U783" s="1036"/>
      <c r="V783" s="1036"/>
      <c r="W783" s="1036"/>
      <c r="X783" s="1036"/>
      <c r="Y783" s="1036"/>
      <c r="Z783" s="1036"/>
    </row>
    <row r="784" spans="1:26" ht="38.25">
      <c r="A784" s="1079">
        <v>95583</v>
      </c>
      <c r="B784" s="1080" t="s">
        <v>14476</v>
      </c>
      <c r="C784" s="1080" t="s">
        <v>7483</v>
      </c>
      <c r="D784" s="1081" t="s">
        <v>54</v>
      </c>
      <c r="E784" s="1082">
        <v>42.2</v>
      </c>
      <c r="F784" s="1083">
        <v>20.87</v>
      </c>
      <c r="G784" s="1083">
        <v>880.71</v>
      </c>
      <c r="H784" s="1084">
        <f t="shared" si="9"/>
        <v>5.9818030929549607E-5</v>
      </c>
      <c r="I784" s="1085">
        <f t="shared" si="11"/>
        <v>0.98418692071645963</v>
      </c>
      <c r="J784" s="1085" t="str">
        <f t="shared" si="10"/>
        <v>C</v>
      </c>
      <c r="K784" s="1036"/>
      <c r="L784" s="1036"/>
      <c r="M784" s="1036"/>
      <c r="N784" s="1036"/>
      <c r="O784" s="1036"/>
      <c r="P784" s="1036"/>
      <c r="Q784" s="1036"/>
      <c r="R784" s="1036"/>
      <c r="S784" s="1036"/>
      <c r="T784" s="1036"/>
      <c r="U784" s="1036"/>
      <c r="V784" s="1036"/>
      <c r="W784" s="1036"/>
      <c r="X784" s="1036"/>
      <c r="Y784" s="1036"/>
      <c r="Z784" s="1036"/>
    </row>
    <row r="785" spans="1:26" ht="38.25">
      <c r="A785" s="1079">
        <v>92761</v>
      </c>
      <c r="B785" s="1080" t="s">
        <v>14476</v>
      </c>
      <c r="C785" s="1080" t="s">
        <v>7430</v>
      </c>
      <c r="D785" s="1081" t="s">
        <v>54</v>
      </c>
      <c r="E785" s="1082">
        <v>51</v>
      </c>
      <c r="F785" s="1083">
        <v>17.22</v>
      </c>
      <c r="G785" s="1083">
        <v>878.22</v>
      </c>
      <c r="H785" s="1084">
        <f t="shared" si="9"/>
        <v>5.9648909542243254E-5</v>
      </c>
      <c r="I785" s="1085">
        <f t="shared" si="11"/>
        <v>0.98424656962600188</v>
      </c>
      <c r="J785" s="1085" t="str">
        <f t="shared" si="10"/>
        <v>C</v>
      </c>
      <c r="K785" s="1036"/>
      <c r="L785" s="1036"/>
      <c r="M785" s="1036"/>
      <c r="N785" s="1036"/>
      <c r="O785" s="1036"/>
      <c r="P785" s="1036"/>
      <c r="Q785" s="1036"/>
      <c r="R785" s="1036"/>
      <c r="S785" s="1036"/>
      <c r="T785" s="1036"/>
      <c r="U785" s="1036"/>
      <c r="V785" s="1036"/>
      <c r="W785" s="1036"/>
      <c r="X785" s="1036"/>
      <c r="Y785" s="1036"/>
      <c r="Z785" s="1036"/>
    </row>
    <row r="786" spans="1:26" ht="51">
      <c r="A786" s="1079">
        <v>97886</v>
      </c>
      <c r="B786" s="1080" t="s">
        <v>14476</v>
      </c>
      <c r="C786" s="1080" t="s">
        <v>7935</v>
      </c>
      <c r="D786" s="1081" t="s">
        <v>6</v>
      </c>
      <c r="E786" s="1082">
        <v>4</v>
      </c>
      <c r="F786" s="1083">
        <v>219.11</v>
      </c>
      <c r="G786" s="1083">
        <v>876.44</v>
      </c>
      <c r="H786" s="1084">
        <f t="shared" si="9"/>
        <v>5.952801152240177E-5</v>
      </c>
      <c r="I786" s="1085">
        <f t="shared" si="11"/>
        <v>0.9843060976375243</v>
      </c>
      <c r="J786" s="1085" t="str">
        <f t="shared" si="10"/>
        <v>C</v>
      </c>
      <c r="K786" s="1036"/>
      <c r="L786" s="1036"/>
      <c r="M786" s="1036"/>
      <c r="N786" s="1036"/>
      <c r="O786" s="1036"/>
      <c r="P786" s="1036"/>
      <c r="Q786" s="1036"/>
      <c r="R786" s="1036"/>
      <c r="S786" s="1036"/>
      <c r="T786" s="1036"/>
      <c r="U786" s="1036"/>
      <c r="V786" s="1036"/>
      <c r="W786" s="1036"/>
      <c r="X786" s="1036"/>
      <c r="Y786" s="1036"/>
      <c r="Z786" s="1036"/>
    </row>
    <row r="787" spans="1:26" ht="38.25">
      <c r="A787" s="1079">
        <v>86872</v>
      </c>
      <c r="B787" s="1080" t="s">
        <v>14476</v>
      </c>
      <c r="C787" s="1080" t="s">
        <v>10083</v>
      </c>
      <c r="D787" s="1081" t="s">
        <v>6</v>
      </c>
      <c r="E787" s="1082">
        <v>1</v>
      </c>
      <c r="F787" s="1083">
        <v>872</v>
      </c>
      <c r="G787" s="1083">
        <v>872</v>
      </c>
      <c r="H787" s="1084">
        <f t="shared" si="9"/>
        <v>5.9226445675156704E-5</v>
      </c>
      <c r="I787" s="1085">
        <f t="shared" si="11"/>
        <v>0.98436532408319943</v>
      </c>
      <c r="J787" s="1085" t="str">
        <f t="shared" si="10"/>
        <v>C</v>
      </c>
      <c r="K787" s="1036"/>
      <c r="L787" s="1036"/>
      <c r="M787" s="1036"/>
      <c r="N787" s="1036"/>
      <c r="O787" s="1036"/>
      <c r="P787" s="1036"/>
      <c r="Q787" s="1036"/>
      <c r="R787" s="1036"/>
      <c r="S787" s="1036"/>
      <c r="T787" s="1036"/>
      <c r="U787" s="1036"/>
      <c r="V787" s="1036"/>
      <c r="W787" s="1036"/>
      <c r="X787" s="1036"/>
      <c r="Y787" s="1036"/>
      <c r="Z787" s="1036"/>
    </row>
    <row r="788" spans="1:26" ht="38.25">
      <c r="A788" s="1079">
        <v>86872</v>
      </c>
      <c r="B788" s="1080" t="s">
        <v>14476</v>
      </c>
      <c r="C788" s="1080" t="s">
        <v>10083</v>
      </c>
      <c r="D788" s="1081" t="s">
        <v>6</v>
      </c>
      <c r="E788" s="1082">
        <v>1</v>
      </c>
      <c r="F788" s="1083">
        <v>872</v>
      </c>
      <c r="G788" s="1083">
        <v>872</v>
      </c>
      <c r="H788" s="1084">
        <f t="shared" si="9"/>
        <v>5.9226445675156704E-5</v>
      </c>
      <c r="I788" s="1085">
        <f t="shared" si="11"/>
        <v>0.98442455052887456</v>
      </c>
      <c r="J788" s="1085" t="str">
        <f t="shared" si="10"/>
        <v>C</v>
      </c>
      <c r="K788" s="1036"/>
      <c r="L788" s="1036"/>
      <c r="M788" s="1036"/>
      <c r="N788" s="1036"/>
      <c r="O788" s="1036"/>
      <c r="P788" s="1036"/>
      <c r="Q788" s="1036"/>
      <c r="R788" s="1036"/>
      <c r="S788" s="1036"/>
      <c r="T788" s="1036"/>
      <c r="U788" s="1036"/>
      <c r="V788" s="1036"/>
      <c r="W788" s="1036"/>
      <c r="X788" s="1036"/>
      <c r="Y788" s="1036"/>
      <c r="Z788" s="1036"/>
    </row>
    <row r="789" spans="1:26" ht="38.25">
      <c r="A789" s="1079">
        <v>86872</v>
      </c>
      <c r="B789" s="1080" t="s">
        <v>14476</v>
      </c>
      <c r="C789" s="1080" t="s">
        <v>10083</v>
      </c>
      <c r="D789" s="1081" t="s">
        <v>6</v>
      </c>
      <c r="E789" s="1082">
        <v>1</v>
      </c>
      <c r="F789" s="1083">
        <v>872</v>
      </c>
      <c r="G789" s="1083">
        <v>872</v>
      </c>
      <c r="H789" s="1084">
        <f t="shared" si="9"/>
        <v>5.9226445675156704E-5</v>
      </c>
      <c r="I789" s="1085">
        <f t="shared" si="11"/>
        <v>0.9844837769745497</v>
      </c>
      <c r="J789" s="1085" t="str">
        <f t="shared" si="10"/>
        <v>C</v>
      </c>
      <c r="K789" s="1036"/>
      <c r="L789" s="1036"/>
      <c r="M789" s="1036"/>
      <c r="N789" s="1036"/>
      <c r="O789" s="1036"/>
      <c r="P789" s="1036"/>
      <c r="Q789" s="1036"/>
      <c r="R789" s="1036"/>
      <c r="S789" s="1036"/>
      <c r="T789" s="1036"/>
      <c r="U789" s="1036"/>
      <c r="V789" s="1036"/>
      <c r="W789" s="1036"/>
      <c r="X789" s="1036"/>
      <c r="Y789" s="1036"/>
      <c r="Z789" s="1036"/>
    </row>
    <row r="790" spans="1:26" ht="38.25">
      <c r="A790" s="1079">
        <v>86872</v>
      </c>
      <c r="B790" s="1080" t="s">
        <v>14476</v>
      </c>
      <c r="C790" s="1080" t="s">
        <v>10083</v>
      </c>
      <c r="D790" s="1081" t="s">
        <v>6</v>
      </c>
      <c r="E790" s="1082">
        <v>1</v>
      </c>
      <c r="F790" s="1083">
        <v>872</v>
      </c>
      <c r="G790" s="1083">
        <v>872</v>
      </c>
      <c r="H790" s="1084">
        <f t="shared" si="9"/>
        <v>5.9226445675156704E-5</v>
      </c>
      <c r="I790" s="1085">
        <f t="shared" si="11"/>
        <v>0.98454300342022483</v>
      </c>
      <c r="J790" s="1085" t="str">
        <f t="shared" si="10"/>
        <v>C</v>
      </c>
      <c r="K790" s="1036"/>
      <c r="L790" s="1036"/>
      <c r="M790" s="1036"/>
      <c r="N790" s="1036"/>
      <c r="O790" s="1036"/>
      <c r="P790" s="1036"/>
      <c r="Q790" s="1036"/>
      <c r="R790" s="1036"/>
      <c r="S790" s="1036"/>
      <c r="T790" s="1036"/>
      <c r="U790" s="1036"/>
      <c r="V790" s="1036"/>
      <c r="W790" s="1036"/>
      <c r="X790" s="1036"/>
      <c r="Y790" s="1036"/>
      <c r="Z790" s="1036"/>
    </row>
    <row r="791" spans="1:26" ht="38.25">
      <c r="A791" s="1079">
        <v>98563</v>
      </c>
      <c r="B791" s="1080" t="s">
        <v>14476</v>
      </c>
      <c r="C791" s="1080" t="s">
        <v>7742</v>
      </c>
      <c r="D791" s="1081" t="s">
        <v>409</v>
      </c>
      <c r="E791" s="1082">
        <v>18.45</v>
      </c>
      <c r="F791" s="1083">
        <v>47.23</v>
      </c>
      <c r="G791" s="1083">
        <v>871.39</v>
      </c>
      <c r="H791" s="1084">
        <f t="shared" si="9"/>
        <v>5.9185014331278436E-5</v>
      </c>
      <c r="I791" s="1085">
        <f t="shared" si="11"/>
        <v>0.98460218843455616</v>
      </c>
      <c r="J791" s="1085" t="str">
        <f t="shared" si="10"/>
        <v>C</v>
      </c>
      <c r="K791" s="1036"/>
      <c r="L791" s="1036"/>
      <c r="M791" s="1036"/>
      <c r="N791" s="1036"/>
      <c r="O791" s="1036"/>
      <c r="P791" s="1036"/>
      <c r="Q791" s="1036"/>
      <c r="R791" s="1036"/>
      <c r="S791" s="1036"/>
      <c r="T791" s="1036"/>
      <c r="U791" s="1036"/>
      <c r="V791" s="1036"/>
      <c r="W791" s="1036"/>
      <c r="X791" s="1036"/>
      <c r="Y791" s="1036"/>
      <c r="Z791" s="1036"/>
    </row>
    <row r="792" spans="1:26" ht="38.25">
      <c r="A792" s="1079">
        <v>89987</v>
      </c>
      <c r="B792" s="1080" t="s">
        <v>14476</v>
      </c>
      <c r="C792" s="1080" t="s">
        <v>10245</v>
      </c>
      <c r="D792" s="1081" t="s">
        <v>6</v>
      </c>
      <c r="E792" s="1082">
        <v>9</v>
      </c>
      <c r="F792" s="1083">
        <v>96.76</v>
      </c>
      <c r="G792" s="1083">
        <v>870.84</v>
      </c>
      <c r="H792" s="1084">
        <f t="shared" si="9"/>
        <v>5.9147658201552135E-5</v>
      </c>
      <c r="I792" s="1085">
        <f t="shared" si="11"/>
        <v>0.98466133609275774</v>
      </c>
      <c r="J792" s="1085" t="str">
        <f t="shared" si="10"/>
        <v>C</v>
      </c>
      <c r="K792" s="1036"/>
      <c r="L792" s="1036"/>
      <c r="M792" s="1036"/>
      <c r="N792" s="1036"/>
      <c r="O792" s="1036"/>
      <c r="P792" s="1036"/>
      <c r="Q792" s="1036"/>
      <c r="R792" s="1036"/>
      <c r="S792" s="1036"/>
      <c r="T792" s="1036"/>
      <c r="U792" s="1036"/>
      <c r="V792" s="1036"/>
      <c r="W792" s="1036"/>
      <c r="X792" s="1036"/>
      <c r="Y792" s="1036"/>
      <c r="Z792" s="1036"/>
    </row>
    <row r="793" spans="1:26" ht="25.5">
      <c r="A793" s="1079" t="s">
        <v>15112</v>
      </c>
      <c r="B793" s="1080" t="s">
        <v>14472</v>
      </c>
      <c r="C793" s="1080" t="s">
        <v>15113</v>
      </c>
      <c r="D793" s="1081" t="s">
        <v>6</v>
      </c>
      <c r="E793" s="1082">
        <v>81</v>
      </c>
      <c r="F793" s="1083">
        <v>10.75</v>
      </c>
      <c r="G793" s="1083">
        <v>870.75</v>
      </c>
      <c r="H793" s="1084">
        <f t="shared" si="9"/>
        <v>5.9141545380324196E-5</v>
      </c>
      <c r="I793" s="1085">
        <f t="shared" si="11"/>
        <v>0.98472047763813808</v>
      </c>
      <c r="J793" s="1085" t="str">
        <f t="shared" si="10"/>
        <v>C</v>
      </c>
      <c r="K793" s="1036"/>
      <c r="L793" s="1036"/>
      <c r="M793" s="1036"/>
      <c r="N793" s="1036"/>
      <c r="O793" s="1036"/>
      <c r="P793" s="1036"/>
      <c r="Q793" s="1036"/>
      <c r="R793" s="1036"/>
      <c r="S793" s="1036"/>
      <c r="T793" s="1036"/>
      <c r="U793" s="1036"/>
      <c r="V793" s="1036"/>
      <c r="W793" s="1036"/>
      <c r="X793" s="1036"/>
      <c r="Y793" s="1036"/>
      <c r="Z793" s="1036"/>
    </row>
    <row r="794" spans="1:26" ht="25.5">
      <c r="A794" s="1079">
        <v>96616</v>
      </c>
      <c r="B794" s="1080" t="s">
        <v>14476</v>
      </c>
      <c r="C794" s="1080" t="s">
        <v>7163</v>
      </c>
      <c r="D794" s="1081" t="s">
        <v>152</v>
      </c>
      <c r="E794" s="1082">
        <v>0.83</v>
      </c>
      <c r="F794" s="1083">
        <v>1048.5999999999999</v>
      </c>
      <c r="G794" s="1083">
        <v>870.33</v>
      </c>
      <c r="H794" s="1084">
        <f t="shared" si="9"/>
        <v>5.9113018881260475E-5</v>
      </c>
      <c r="I794" s="1085">
        <f t="shared" si="11"/>
        <v>0.98477959065701937</v>
      </c>
      <c r="J794" s="1085" t="str">
        <f t="shared" si="10"/>
        <v>C</v>
      </c>
      <c r="K794" s="1036"/>
      <c r="L794" s="1036"/>
      <c r="M794" s="1036"/>
      <c r="N794" s="1036"/>
      <c r="O794" s="1036"/>
      <c r="P794" s="1036"/>
      <c r="Q794" s="1036"/>
      <c r="R794" s="1036"/>
      <c r="S794" s="1036"/>
      <c r="T794" s="1036"/>
      <c r="U794" s="1036"/>
      <c r="V794" s="1036"/>
      <c r="W794" s="1036"/>
      <c r="X794" s="1036"/>
      <c r="Y794" s="1036"/>
      <c r="Z794" s="1036"/>
    </row>
    <row r="795" spans="1:26" ht="51">
      <c r="A795" s="1079">
        <v>89748</v>
      </c>
      <c r="B795" s="1080" t="s">
        <v>14476</v>
      </c>
      <c r="C795" s="1080" t="s">
        <v>8960</v>
      </c>
      <c r="D795" s="1081" t="s">
        <v>6</v>
      </c>
      <c r="E795" s="1082">
        <v>17</v>
      </c>
      <c r="F795" s="1083">
        <v>50.96</v>
      </c>
      <c r="G795" s="1083">
        <v>866.32</v>
      </c>
      <c r="H795" s="1084">
        <f t="shared" si="9"/>
        <v>5.8840658735437792E-5</v>
      </c>
      <c r="I795" s="1085">
        <f t="shared" si="11"/>
        <v>0.98483843131575477</v>
      </c>
      <c r="J795" s="1085" t="str">
        <f t="shared" si="10"/>
        <v>C</v>
      </c>
      <c r="K795" s="1036"/>
      <c r="L795" s="1036"/>
      <c r="M795" s="1036"/>
      <c r="N795" s="1036"/>
      <c r="O795" s="1036"/>
      <c r="P795" s="1036"/>
      <c r="Q795" s="1036"/>
      <c r="R795" s="1036"/>
      <c r="S795" s="1036"/>
      <c r="T795" s="1036"/>
      <c r="U795" s="1036"/>
      <c r="V795" s="1036"/>
      <c r="W795" s="1036"/>
      <c r="X795" s="1036"/>
      <c r="Y795" s="1036"/>
      <c r="Z795" s="1036"/>
    </row>
    <row r="796" spans="1:26" ht="51">
      <c r="A796" s="1079">
        <v>104001</v>
      </c>
      <c r="B796" s="1080" t="s">
        <v>14476</v>
      </c>
      <c r="C796" s="1080" t="s">
        <v>9845</v>
      </c>
      <c r="D796" s="1081" t="s">
        <v>6</v>
      </c>
      <c r="E796" s="1082">
        <v>54</v>
      </c>
      <c r="F796" s="1083">
        <v>16.02</v>
      </c>
      <c r="G796" s="1083">
        <v>865.08</v>
      </c>
      <c r="H796" s="1084">
        <f t="shared" si="9"/>
        <v>5.8756437642963947E-5</v>
      </c>
      <c r="I796" s="1085">
        <f t="shared" si="11"/>
        <v>0.98489718775339774</v>
      </c>
      <c r="J796" s="1085" t="str">
        <f t="shared" si="10"/>
        <v>C</v>
      </c>
      <c r="K796" s="1036"/>
      <c r="L796" s="1036"/>
      <c r="M796" s="1036"/>
      <c r="N796" s="1036"/>
      <c r="O796" s="1036"/>
      <c r="P796" s="1036"/>
      <c r="Q796" s="1036"/>
      <c r="R796" s="1036"/>
      <c r="S796" s="1036"/>
      <c r="T796" s="1036"/>
      <c r="U796" s="1036"/>
      <c r="V796" s="1036"/>
      <c r="W796" s="1036"/>
      <c r="X796" s="1036"/>
      <c r="Y796" s="1036"/>
      <c r="Z796" s="1036"/>
    </row>
    <row r="797" spans="1:26" ht="25.5">
      <c r="A797" s="1079" t="s">
        <v>15436</v>
      </c>
      <c r="B797" s="1080" t="s">
        <v>14472</v>
      </c>
      <c r="C797" s="1080" t="s">
        <v>15437</v>
      </c>
      <c r="D797" s="1081" t="s">
        <v>6</v>
      </c>
      <c r="E797" s="1082">
        <v>10</v>
      </c>
      <c r="F797" s="1083">
        <v>86.2</v>
      </c>
      <c r="G797" s="1083">
        <v>862</v>
      </c>
      <c r="H797" s="1084">
        <f t="shared" si="9"/>
        <v>5.8547243316496644E-5</v>
      </c>
      <c r="I797" s="1085">
        <f t="shared" si="11"/>
        <v>0.98495573499671418</v>
      </c>
      <c r="J797" s="1085" t="str">
        <f t="shared" si="10"/>
        <v>C</v>
      </c>
      <c r="K797" s="1036"/>
      <c r="L797" s="1036"/>
      <c r="M797" s="1036"/>
      <c r="N797" s="1036"/>
      <c r="O797" s="1036"/>
      <c r="P797" s="1036"/>
      <c r="Q797" s="1036"/>
      <c r="R797" s="1036"/>
      <c r="S797" s="1036"/>
      <c r="T797" s="1036"/>
      <c r="U797" s="1036"/>
      <c r="V797" s="1036"/>
      <c r="W797" s="1036"/>
      <c r="X797" s="1036"/>
      <c r="Y797" s="1036"/>
      <c r="Z797" s="1036"/>
    </row>
    <row r="798" spans="1:26" ht="25.5">
      <c r="A798" s="1079" t="s">
        <v>15436</v>
      </c>
      <c r="B798" s="1080" t="s">
        <v>14472</v>
      </c>
      <c r="C798" s="1080" t="s">
        <v>15437</v>
      </c>
      <c r="D798" s="1081" t="s">
        <v>6</v>
      </c>
      <c r="E798" s="1082">
        <v>10</v>
      </c>
      <c r="F798" s="1083">
        <v>86.2</v>
      </c>
      <c r="G798" s="1083">
        <v>862</v>
      </c>
      <c r="H798" s="1084">
        <f t="shared" si="9"/>
        <v>5.8547243316496644E-5</v>
      </c>
      <c r="I798" s="1085">
        <f t="shared" si="11"/>
        <v>0.98501428224003063</v>
      </c>
      <c r="J798" s="1085" t="str">
        <f t="shared" si="10"/>
        <v>C</v>
      </c>
      <c r="K798" s="1036"/>
      <c r="L798" s="1036"/>
      <c r="M798" s="1036"/>
      <c r="N798" s="1036"/>
      <c r="O798" s="1036"/>
      <c r="P798" s="1036"/>
      <c r="Q798" s="1036"/>
      <c r="R798" s="1036"/>
      <c r="S798" s="1036"/>
      <c r="T798" s="1036"/>
      <c r="U798" s="1036"/>
      <c r="V798" s="1036"/>
      <c r="W798" s="1036"/>
      <c r="X798" s="1036"/>
      <c r="Y798" s="1036"/>
      <c r="Z798" s="1036"/>
    </row>
    <row r="799" spans="1:26" ht="38.25">
      <c r="A799" s="1079" t="s">
        <v>15440</v>
      </c>
      <c r="B799" s="1080" t="s">
        <v>14472</v>
      </c>
      <c r="C799" s="1080" t="s">
        <v>15441</v>
      </c>
      <c r="D799" s="1081" t="s">
        <v>6</v>
      </c>
      <c r="E799" s="1082">
        <v>3</v>
      </c>
      <c r="F799" s="1083">
        <v>286.22000000000003</v>
      </c>
      <c r="G799" s="1083">
        <v>858.66</v>
      </c>
      <c r="H799" s="1084">
        <f t="shared" si="9"/>
        <v>5.8320389728704187E-5</v>
      </c>
      <c r="I799" s="1085">
        <f t="shared" si="11"/>
        <v>0.98507260262975938</v>
      </c>
      <c r="J799" s="1085" t="str">
        <f t="shared" si="10"/>
        <v>C</v>
      </c>
      <c r="K799" s="1036"/>
      <c r="L799" s="1036"/>
      <c r="M799" s="1036"/>
      <c r="N799" s="1036"/>
      <c r="O799" s="1036"/>
      <c r="P799" s="1036"/>
      <c r="Q799" s="1036"/>
      <c r="R799" s="1036"/>
      <c r="S799" s="1036"/>
      <c r="T799" s="1036"/>
      <c r="U799" s="1036"/>
      <c r="V799" s="1036"/>
      <c r="W799" s="1036"/>
      <c r="X799" s="1036"/>
      <c r="Y799" s="1036"/>
      <c r="Z799" s="1036"/>
    </row>
    <row r="800" spans="1:26" ht="38.25">
      <c r="A800" s="1079">
        <v>89512</v>
      </c>
      <c r="B800" s="1080" t="s">
        <v>14476</v>
      </c>
      <c r="C800" s="1080" t="s">
        <v>8434</v>
      </c>
      <c r="D800" s="1081" t="s">
        <v>50</v>
      </c>
      <c r="E800" s="1082">
        <v>15</v>
      </c>
      <c r="F800" s="1083">
        <v>57.21</v>
      </c>
      <c r="G800" s="1083">
        <v>858.15</v>
      </c>
      <c r="H800" s="1084">
        <f t="shared" si="9"/>
        <v>5.8285750408412528E-5</v>
      </c>
      <c r="I800" s="1085">
        <f t="shared" si="11"/>
        <v>0.98513088838016782</v>
      </c>
      <c r="J800" s="1085" t="str">
        <f t="shared" si="10"/>
        <v>C</v>
      </c>
      <c r="K800" s="1036"/>
      <c r="L800" s="1036"/>
      <c r="M800" s="1036"/>
      <c r="N800" s="1036"/>
      <c r="O800" s="1036"/>
      <c r="P800" s="1036"/>
      <c r="Q800" s="1036"/>
      <c r="R800" s="1036"/>
      <c r="S800" s="1036"/>
      <c r="T800" s="1036"/>
      <c r="U800" s="1036"/>
      <c r="V800" s="1036"/>
      <c r="W800" s="1036"/>
      <c r="X800" s="1036"/>
      <c r="Y800" s="1036"/>
      <c r="Z800" s="1036"/>
    </row>
    <row r="801" spans="1:26" ht="38.25">
      <c r="A801" s="1079">
        <v>95584</v>
      </c>
      <c r="B801" s="1080" t="s">
        <v>14476</v>
      </c>
      <c r="C801" s="1080" t="s">
        <v>7484</v>
      </c>
      <c r="D801" s="1081" t="s">
        <v>54</v>
      </c>
      <c r="E801" s="1082">
        <v>45.28</v>
      </c>
      <c r="F801" s="1083">
        <v>18.91</v>
      </c>
      <c r="G801" s="1083">
        <v>856.24</v>
      </c>
      <c r="H801" s="1084">
        <f t="shared" si="9"/>
        <v>5.8156022757908456E-5</v>
      </c>
      <c r="I801" s="1085">
        <f t="shared" si="11"/>
        <v>0.98518904440292576</v>
      </c>
      <c r="J801" s="1085" t="str">
        <f t="shared" si="10"/>
        <v>C</v>
      </c>
      <c r="K801" s="1036"/>
      <c r="L801" s="1036"/>
      <c r="M801" s="1036"/>
      <c r="N801" s="1036"/>
      <c r="O801" s="1036"/>
      <c r="P801" s="1036"/>
      <c r="Q801" s="1036"/>
      <c r="R801" s="1036"/>
      <c r="S801" s="1036"/>
      <c r="T801" s="1036"/>
      <c r="U801" s="1036"/>
      <c r="V801" s="1036"/>
      <c r="W801" s="1036"/>
      <c r="X801" s="1036"/>
      <c r="Y801" s="1036"/>
      <c r="Z801" s="1036"/>
    </row>
    <row r="802" spans="1:26" ht="51">
      <c r="A802" s="1079">
        <v>100721</v>
      </c>
      <c r="B802" s="1080" t="s">
        <v>14476</v>
      </c>
      <c r="C802" s="1080" t="s">
        <v>11067</v>
      </c>
      <c r="D802" s="1081" t="s">
        <v>409</v>
      </c>
      <c r="E802" s="1082">
        <v>29.65</v>
      </c>
      <c r="F802" s="1083">
        <v>28.77</v>
      </c>
      <c r="G802" s="1083">
        <v>852.88</v>
      </c>
      <c r="H802" s="1084">
        <f t="shared" si="9"/>
        <v>5.7927810765398675E-5</v>
      </c>
      <c r="I802" s="1085">
        <f t="shared" si="11"/>
        <v>0.98524697221369117</v>
      </c>
      <c r="J802" s="1085" t="str">
        <f t="shared" si="10"/>
        <v>C</v>
      </c>
      <c r="K802" s="1036"/>
      <c r="L802" s="1036"/>
      <c r="M802" s="1036"/>
      <c r="N802" s="1036"/>
      <c r="O802" s="1036"/>
      <c r="P802" s="1036"/>
      <c r="Q802" s="1036"/>
      <c r="R802" s="1036"/>
      <c r="S802" s="1036"/>
      <c r="T802" s="1036"/>
      <c r="U802" s="1036"/>
      <c r="V802" s="1036"/>
      <c r="W802" s="1036"/>
      <c r="X802" s="1036"/>
      <c r="Y802" s="1036"/>
      <c r="Z802" s="1036"/>
    </row>
    <row r="803" spans="1:26" ht="51">
      <c r="A803" s="1079" t="s">
        <v>15265</v>
      </c>
      <c r="B803" s="1080" t="s">
        <v>14472</v>
      </c>
      <c r="C803" s="1080" t="s">
        <v>15999</v>
      </c>
      <c r="D803" s="1081" t="s">
        <v>6</v>
      </c>
      <c r="E803" s="1082">
        <v>1</v>
      </c>
      <c r="F803" s="1083">
        <v>849.62</v>
      </c>
      <c r="G803" s="1083">
        <v>849.62</v>
      </c>
      <c r="H803" s="1084">
        <f t="shared" si="9"/>
        <v>5.7706390796475502E-5</v>
      </c>
      <c r="I803" s="1085">
        <f t="shared" si="11"/>
        <v>0.98530467860448767</v>
      </c>
      <c r="J803" s="1085" t="str">
        <f t="shared" si="10"/>
        <v>C</v>
      </c>
      <c r="K803" s="1036"/>
      <c r="L803" s="1036"/>
      <c r="M803" s="1036"/>
      <c r="N803" s="1036"/>
      <c r="O803" s="1036"/>
      <c r="P803" s="1036"/>
      <c r="Q803" s="1036"/>
      <c r="R803" s="1036"/>
      <c r="S803" s="1036"/>
      <c r="T803" s="1036"/>
      <c r="U803" s="1036"/>
      <c r="V803" s="1036"/>
      <c r="W803" s="1036"/>
      <c r="X803" s="1036"/>
      <c r="Y803" s="1036"/>
      <c r="Z803" s="1036"/>
    </row>
    <row r="804" spans="1:26" ht="51">
      <c r="A804" s="1079" t="s">
        <v>15265</v>
      </c>
      <c r="B804" s="1080" t="s">
        <v>14472</v>
      </c>
      <c r="C804" s="1080" t="s">
        <v>15999</v>
      </c>
      <c r="D804" s="1081" t="s">
        <v>6</v>
      </c>
      <c r="E804" s="1082">
        <v>1</v>
      </c>
      <c r="F804" s="1083">
        <v>849.62</v>
      </c>
      <c r="G804" s="1083">
        <v>849.62</v>
      </c>
      <c r="H804" s="1084">
        <f t="shared" si="9"/>
        <v>5.7706390796475502E-5</v>
      </c>
      <c r="I804" s="1085">
        <f t="shared" si="11"/>
        <v>0.98536238499528417</v>
      </c>
      <c r="J804" s="1085" t="str">
        <f t="shared" si="10"/>
        <v>C</v>
      </c>
      <c r="K804" s="1036"/>
      <c r="L804" s="1036"/>
      <c r="M804" s="1036"/>
      <c r="N804" s="1036"/>
      <c r="O804" s="1036"/>
      <c r="P804" s="1036"/>
      <c r="Q804" s="1036"/>
      <c r="R804" s="1036"/>
      <c r="S804" s="1036"/>
      <c r="T804" s="1036"/>
      <c r="U804" s="1036"/>
      <c r="V804" s="1036"/>
      <c r="W804" s="1036"/>
      <c r="X804" s="1036"/>
      <c r="Y804" s="1036"/>
      <c r="Z804" s="1036"/>
    </row>
    <row r="805" spans="1:26" ht="51">
      <c r="A805" s="1079" t="s">
        <v>14588</v>
      </c>
      <c r="B805" s="1080" t="s">
        <v>14472</v>
      </c>
      <c r="C805" s="1080" t="s">
        <v>14589</v>
      </c>
      <c r="D805" s="1081" t="s">
        <v>50</v>
      </c>
      <c r="E805" s="1082">
        <v>22</v>
      </c>
      <c r="F805" s="1083">
        <v>38.32</v>
      </c>
      <c r="G805" s="1083">
        <v>843.04</v>
      </c>
      <c r="H805" s="1084">
        <f t="shared" si="9"/>
        <v>5.7259475644477183E-5</v>
      </c>
      <c r="I805" s="1085">
        <f t="shared" si="11"/>
        <v>0.98541964447092867</v>
      </c>
      <c r="J805" s="1085" t="str">
        <f t="shared" si="10"/>
        <v>C</v>
      </c>
      <c r="K805" s="1036"/>
      <c r="L805" s="1036"/>
      <c r="M805" s="1036"/>
      <c r="N805" s="1036"/>
      <c r="O805" s="1036"/>
      <c r="P805" s="1036"/>
      <c r="Q805" s="1036"/>
      <c r="R805" s="1036"/>
      <c r="S805" s="1036"/>
      <c r="T805" s="1036"/>
      <c r="U805" s="1036"/>
      <c r="V805" s="1036"/>
      <c r="W805" s="1036"/>
      <c r="X805" s="1036"/>
      <c r="Y805" s="1036"/>
      <c r="Z805" s="1036"/>
    </row>
    <row r="806" spans="1:26" ht="51">
      <c r="A806" s="1079">
        <v>89690</v>
      </c>
      <c r="B806" s="1080" t="s">
        <v>14476</v>
      </c>
      <c r="C806" s="1080" t="s">
        <v>8915</v>
      </c>
      <c r="D806" s="1081" t="s">
        <v>6</v>
      </c>
      <c r="E806" s="1082">
        <v>8</v>
      </c>
      <c r="F806" s="1083">
        <v>105.22</v>
      </c>
      <c r="G806" s="1083">
        <v>841.76</v>
      </c>
      <c r="H806" s="1084">
        <f t="shared" si="9"/>
        <v>5.7172537742568695E-5</v>
      </c>
      <c r="I806" s="1085">
        <f t="shared" si="11"/>
        <v>0.98547681700867129</v>
      </c>
      <c r="J806" s="1085" t="str">
        <f t="shared" si="10"/>
        <v>C</v>
      </c>
      <c r="K806" s="1036"/>
      <c r="L806" s="1036"/>
      <c r="M806" s="1036"/>
      <c r="N806" s="1036"/>
      <c r="O806" s="1036"/>
      <c r="P806" s="1036"/>
      <c r="Q806" s="1036"/>
      <c r="R806" s="1036"/>
      <c r="S806" s="1036"/>
      <c r="T806" s="1036"/>
      <c r="U806" s="1036"/>
      <c r="V806" s="1036"/>
      <c r="W806" s="1036"/>
      <c r="X806" s="1036"/>
      <c r="Y806" s="1036"/>
      <c r="Z806" s="1036"/>
    </row>
    <row r="807" spans="1:26" ht="38.25">
      <c r="A807" s="1079">
        <v>97881</v>
      </c>
      <c r="B807" s="1080" t="s">
        <v>14476</v>
      </c>
      <c r="C807" s="1080" t="s">
        <v>7930</v>
      </c>
      <c r="D807" s="1081" t="s">
        <v>6</v>
      </c>
      <c r="E807" s="1082">
        <v>5</v>
      </c>
      <c r="F807" s="1083">
        <v>168.01</v>
      </c>
      <c r="G807" s="1083">
        <v>840.05</v>
      </c>
      <c r="H807" s="1084">
        <f t="shared" si="9"/>
        <v>5.7056394139237825E-5</v>
      </c>
      <c r="I807" s="1085">
        <f t="shared" si="11"/>
        <v>0.98553387340281051</v>
      </c>
      <c r="J807" s="1085" t="str">
        <f t="shared" si="10"/>
        <v>C</v>
      </c>
      <c r="K807" s="1036"/>
      <c r="L807" s="1036"/>
      <c r="M807" s="1036"/>
      <c r="N807" s="1036"/>
      <c r="O807" s="1036"/>
      <c r="P807" s="1036"/>
      <c r="Q807" s="1036"/>
      <c r="R807" s="1036"/>
      <c r="S807" s="1036"/>
      <c r="T807" s="1036"/>
      <c r="U807" s="1036"/>
      <c r="V807" s="1036"/>
      <c r="W807" s="1036"/>
      <c r="X807" s="1036"/>
      <c r="Y807" s="1036"/>
      <c r="Z807" s="1036"/>
    </row>
    <row r="808" spans="1:26" ht="38.25">
      <c r="A808" s="1079">
        <v>89402</v>
      </c>
      <c r="B808" s="1080" t="s">
        <v>14476</v>
      </c>
      <c r="C808" s="1080" t="s">
        <v>8422</v>
      </c>
      <c r="D808" s="1081" t="s">
        <v>50</v>
      </c>
      <c r="E808" s="1082">
        <v>60</v>
      </c>
      <c r="F808" s="1083">
        <v>14</v>
      </c>
      <c r="G808" s="1083">
        <v>840</v>
      </c>
      <c r="H808" s="1084">
        <f t="shared" si="9"/>
        <v>5.7052998127444528E-5</v>
      </c>
      <c r="I808" s="1085">
        <f t="shared" si="11"/>
        <v>0.98559092640093793</v>
      </c>
      <c r="J808" s="1085" t="str">
        <f t="shared" si="10"/>
        <v>C</v>
      </c>
      <c r="K808" s="1036"/>
      <c r="L808" s="1036"/>
      <c r="M808" s="1036"/>
      <c r="N808" s="1036"/>
      <c r="O808" s="1036"/>
      <c r="P808" s="1036"/>
      <c r="Q808" s="1036"/>
      <c r="R808" s="1036"/>
      <c r="S808" s="1036"/>
      <c r="T808" s="1036"/>
      <c r="U808" s="1036"/>
      <c r="V808" s="1036"/>
      <c r="W808" s="1036"/>
      <c r="X808" s="1036"/>
      <c r="Y808" s="1036"/>
      <c r="Z808" s="1036"/>
    </row>
    <row r="809" spans="1:26" ht="38.25">
      <c r="A809" s="1079">
        <v>89529</v>
      </c>
      <c r="B809" s="1080" t="s">
        <v>14476</v>
      </c>
      <c r="C809" s="1080" t="s">
        <v>8782</v>
      </c>
      <c r="D809" s="1081" t="s">
        <v>6</v>
      </c>
      <c r="E809" s="1082">
        <v>19</v>
      </c>
      <c r="F809" s="1083">
        <v>44.12</v>
      </c>
      <c r="G809" s="1083">
        <v>838.28</v>
      </c>
      <c r="H809" s="1084">
        <f t="shared" si="9"/>
        <v>5.6936175321754996E-5</v>
      </c>
      <c r="I809" s="1085">
        <f t="shared" si="11"/>
        <v>0.98564786257625969</v>
      </c>
      <c r="J809" s="1085" t="str">
        <f t="shared" si="10"/>
        <v>C</v>
      </c>
      <c r="K809" s="1036"/>
      <c r="L809" s="1036"/>
      <c r="M809" s="1036"/>
      <c r="N809" s="1036"/>
      <c r="O809" s="1036"/>
      <c r="P809" s="1036"/>
      <c r="Q809" s="1036"/>
      <c r="R809" s="1036"/>
      <c r="S809" s="1036"/>
      <c r="T809" s="1036"/>
      <c r="U809" s="1036"/>
      <c r="V809" s="1036"/>
      <c r="W809" s="1036"/>
      <c r="X809" s="1036"/>
      <c r="Y809" s="1036"/>
      <c r="Z809" s="1036"/>
    </row>
    <row r="810" spans="1:26" ht="38.25">
      <c r="A810" s="1079">
        <v>89529</v>
      </c>
      <c r="B810" s="1080" t="s">
        <v>14476</v>
      </c>
      <c r="C810" s="1080" t="s">
        <v>8782</v>
      </c>
      <c r="D810" s="1081" t="s">
        <v>6</v>
      </c>
      <c r="E810" s="1082">
        <v>19</v>
      </c>
      <c r="F810" s="1083">
        <v>44.12</v>
      </c>
      <c r="G810" s="1083">
        <v>838.28</v>
      </c>
      <c r="H810" s="1084">
        <f t="shared" si="9"/>
        <v>5.6936175321754996E-5</v>
      </c>
      <c r="I810" s="1085">
        <f t="shared" si="11"/>
        <v>0.98570479875158146</v>
      </c>
      <c r="J810" s="1085" t="str">
        <f t="shared" si="10"/>
        <v>C</v>
      </c>
      <c r="K810" s="1036"/>
      <c r="L810" s="1036"/>
      <c r="M810" s="1036"/>
      <c r="N810" s="1036"/>
      <c r="O810" s="1036"/>
      <c r="P810" s="1036"/>
      <c r="Q810" s="1036"/>
      <c r="R810" s="1036"/>
      <c r="S810" s="1036"/>
      <c r="T810" s="1036"/>
      <c r="U810" s="1036"/>
      <c r="V810" s="1036"/>
      <c r="W810" s="1036"/>
      <c r="X810" s="1036"/>
      <c r="Y810" s="1036"/>
      <c r="Z810" s="1036"/>
    </row>
    <row r="811" spans="1:26" ht="38.25">
      <c r="A811" s="1079">
        <v>92762</v>
      </c>
      <c r="B811" s="1080" t="s">
        <v>14476</v>
      </c>
      <c r="C811" s="1080" t="s">
        <v>7431</v>
      </c>
      <c r="D811" s="1081" t="s">
        <v>54</v>
      </c>
      <c r="E811" s="1082">
        <v>53.8</v>
      </c>
      <c r="F811" s="1083">
        <v>15.5</v>
      </c>
      <c r="G811" s="1083">
        <v>833.9</v>
      </c>
      <c r="H811" s="1084">
        <f t="shared" si="9"/>
        <v>5.6638684688661896E-5</v>
      </c>
      <c r="I811" s="1085">
        <f t="shared" si="11"/>
        <v>0.98576143743627009</v>
      </c>
      <c r="J811" s="1085" t="str">
        <f t="shared" si="10"/>
        <v>C</v>
      </c>
      <c r="K811" s="1036"/>
      <c r="L811" s="1036"/>
      <c r="M811" s="1036"/>
      <c r="N811" s="1036"/>
      <c r="O811" s="1036"/>
      <c r="P811" s="1036"/>
      <c r="Q811" s="1036"/>
      <c r="R811" s="1036"/>
      <c r="S811" s="1036"/>
      <c r="T811" s="1036"/>
      <c r="U811" s="1036"/>
      <c r="V811" s="1036"/>
      <c r="W811" s="1036"/>
      <c r="X811" s="1036"/>
      <c r="Y811" s="1036"/>
      <c r="Z811" s="1036"/>
    </row>
    <row r="812" spans="1:26" ht="51">
      <c r="A812" s="1079">
        <v>101883</v>
      </c>
      <c r="B812" s="1080" t="s">
        <v>14476</v>
      </c>
      <c r="C812" s="1080" t="s">
        <v>7987</v>
      </c>
      <c r="D812" s="1081" t="s">
        <v>6</v>
      </c>
      <c r="E812" s="1082">
        <v>1</v>
      </c>
      <c r="F812" s="1083">
        <v>833.7</v>
      </c>
      <c r="G812" s="1083">
        <v>833.7</v>
      </c>
      <c r="H812" s="1084">
        <f t="shared" si="9"/>
        <v>5.6625100641488694E-5</v>
      </c>
      <c r="I812" s="1085">
        <f t="shared" si="11"/>
        <v>0.98581806253691162</v>
      </c>
      <c r="J812" s="1085" t="str">
        <f t="shared" si="10"/>
        <v>C</v>
      </c>
      <c r="K812" s="1036"/>
      <c r="L812" s="1036"/>
      <c r="M812" s="1036"/>
      <c r="N812" s="1036"/>
      <c r="O812" s="1036"/>
      <c r="P812" s="1036"/>
      <c r="Q812" s="1036"/>
      <c r="R812" s="1036"/>
      <c r="S812" s="1036"/>
      <c r="T812" s="1036"/>
      <c r="U812" s="1036"/>
      <c r="V812" s="1036"/>
      <c r="W812" s="1036"/>
      <c r="X812" s="1036"/>
      <c r="Y812" s="1036"/>
      <c r="Z812" s="1036"/>
    </row>
    <row r="813" spans="1:26" ht="51">
      <c r="A813" s="1079">
        <v>101883</v>
      </c>
      <c r="B813" s="1080" t="s">
        <v>14476</v>
      </c>
      <c r="C813" s="1080" t="s">
        <v>7987</v>
      </c>
      <c r="D813" s="1081" t="s">
        <v>6</v>
      </c>
      <c r="E813" s="1082">
        <v>1</v>
      </c>
      <c r="F813" s="1083">
        <v>833.7</v>
      </c>
      <c r="G813" s="1083">
        <v>833.7</v>
      </c>
      <c r="H813" s="1084">
        <f t="shared" si="9"/>
        <v>5.6625100641488694E-5</v>
      </c>
      <c r="I813" s="1085">
        <f t="shared" si="11"/>
        <v>0.98587468763755315</v>
      </c>
      <c r="J813" s="1085" t="str">
        <f t="shared" si="10"/>
        <v>C</v>
      </c>
      <c r="K813" s="1036"/>
      <c r="L813" s="1036"/>
      <c r="M813" s="1036"/>
      <c r="N813" s="1036"/>
      <c r="O813" s="1036"/>
      <c r="P813" s="1036"/>
      <c r="Q813" s="1036"/>
      <c r="R813" s="1036"/>
      <c r="S813" s="1036"/>
      <c r="T813" s="1036"/>
      <c r="U813" s="1036"/>
      <c r="V813" s="1036"/>
      <c r="W813" s="1036"/>
      <c r="X813" s="1036"/>
      <c r="Y813" s="1036"/>
      <c r="Z813" s="1036"/>
    </row>
    <row r="814" spans="1:26" ht="25.5">
      <c r="A814" s="1079" t="s">
        <v>14938</v>
      </c>
      <c r="B814" s="1080" t="s">
        <v>14472</v>
      </c>
      <c r="C814" s="1080" t="s">
        <v>15975</v>
      </c>
      <c r="D814" s="1081" t="s">
        <v>409</v>
      </c>
      <c r="E814" s="1082">
        <v>20.46</v>
      </c>
      <c r="F814" s="1083">
        <v>40.33</v>
      </c>
      <c r="G814" s="1083">
        <v>825.15</v>
      </c>
      <c r="H814" s="1084">
        <f t="shared" si="9"/>
        <v>5.6044382624834344E-5</v>
      </c>
      <c r="I814" s="1085">
        <f t="shared" si="11"/>
        <v>0.985930732020178</v>
      </c>
      <c r="J814" s="1085" t="str">
        <f t="shared" si="10"/>
        <v>C</v>
      </c>
      <c r="K814" s="1036"/>
      <c r="L814" s="1036"/>
      <c r="M814" s="1036"/>
      <c r="N814" s="1036"/>
      <c r="O814" s="1036"/>
      <c r="P814" s="1036"/>
      <c r="Q814" s="1036"/>
      <c r="R814" s="1036"/>
      <c r="S814" s="1036"/>
      <c r="T814" s="1036"/>
      <c r="U814" s="1036"/>
      <c r="V814" s="1036"/>
      <c r="W814" s="1036"/>
      <c r="X814" s="1036"/>
      <c r="Y814" s="1036"/>
      <c r="Z814" s="1036"/>
    </row>
    <row r="815" spans="1:26" ht="51">
      <c r="A815" s="1079">
        <v>100761</v>
      </c>
      <c r="B815" s="1080" t="s">
        <v>14476</v>
      </c>
      <c r="C815" s="1080" t="s">
        <v>11101</v>
      </c>
      <c r="D815" s="1081" t="s">
        <v>409</v>
      </c>
      <c r="E815" s="1082">
        <v>14.43</v>
      </c>
      <c r="F815" s="1083">
        <v>56.41</v>
      </c>
      <c r="G815" s="1083">
        <v>813.99</v>
      </c>
      <c r="H815" s="1084">
        <f t="shared" si="9"/>
        <v>5.5286392792569729E-5</v>
      </c>
      <c r="I815" s="1085">
        <f t="shared" si="11"/>
        <v>0.98598601841297062</v>
      </c>
      <c r="J815" s="1085" t="str">
        <f t="shared" si="10"/>
        <v>C</v>
      </c>
      <c r="K815" s="1036"/>
      <c r="L815" s="1036"/>
      <c r="M815" s="1036"/>
      <c r="N815" s="1036"/>
      <c r="O815" s="1036"/>
      <c r="P815" s="1036"/>
      <c r="Q815" s="1036"/>
      <c r="R815" s="1036"/>
      <c r="S815" s="1036"/>
      <c r="T815" s="1036"/>
      <c r="U815" s="1036"/>
      <c r="V815" s="1036"/>
      <c r="W815" s="1036"/>
      <c r="X815" s="1036"/>
      <c r="Y815" s="1036"/>
      <c r="Z815" s="1036"/>
    </row>
    <row r="816" spans="1:26" ht="25.5">
      <c r="A816" s="1079">
        <v>93358</v>
      </c>
      <c r="B816" s="1080" t="s">
        <v>14476</v>
      </c>
      <c r="C816" s="1080" t="s">
        <v>10648</v>
      </c>
      <c r="D816" s="1081" t="s">
        <v>152</v>
      </c>
      <c r="E816" s="1082">
        <v>8.1</v>
      </c>
      <c r="F816" s="1083">
        <v>100.47</v>
      </c>
      <c r="G816" s="1083">
        <v>813.8</v>
      </c>
      <c r="H816" s="1084">
        <f t="shared" si="9"/>
        <v>5.5273487947755183E-5</v>
      </c>
      <c r="I816" s="1085">
        <f t="shared" si="11"/>
        <v>0.98604129190091838</v>
      </c>
      <c r="J816" s="1085" t="str">
        <f t="shared" si="10"/>
        <v>C</v>
      </c>
      <c r="K816" s="1036"/>
      <c r="L816" s="1036"/>
      <c r="M816" s="1036"/>
      <c r="N816" s="1036"/>
      <c r="O816" s="1036"/>
      <c r="P816" s="1036"/>
      <c r="Q816" s="1036"/>
      <c r="R816" s="1036"/>
      <c r="S816" s="1036"/>
      <c r="T816" s="1036"/>
      <c r="U816" s="1036"/>
      <c r="V816" s="1036"/>
      <c r="W816" s="1036"/>
      <c r="X816" s="1036"/>
      <c r="Y816" s="1036"/>
      <c r="Z816" s="1036"/>
    </row>
    <row r="817" spans="1:26" ht="25.5">
      <c r="A817" s="1079">
        <v>105029</v>
      </c>
      <c r="B817" s="1080" t="s">
        <v>14476</v>
      </c>
      <c r="C817" s="1080" t="s">
        <v>7624</v>
      </c>
      <c r="D817" s="1081" t="s">
        <v>50</v>
      </c>
      <c r="E817" s="1082">
        <v>13.2</v>
      </c>
      <c r="F817" s="1083">
        <v>61.65</v>
      </c>
      <c r="G817" s="1083">
        <v>813.78</v>
      </c>
      <c r="H817" s="1084">
        <f t="shared" si="9"/>
        <v>5.5272129543037866E-5</v>
      </c>
      <c r="I817" s="1085">
        <f t="shared" si="11"/>
        <v>0.98609656403046142</v>
      </c>
      <c r="J817" s="1085" t="str">
        <f t="shared" si="10"/>
        <v>C</v>
      </c>
      <c r="K817" s="1036"/>
      <c r="L817" s="1036"/>
      <c r="M817" s="1036"/>
      <c r="N817" s="1036"/>
      <c r="O817" s="1036"/>
      <c r="P817" s="1036"/>
      <c r="Q817" s="1036"/>
      <c r="R817" s="1036"/>
      <c r="S817" s="1036"/>
      <c r="T817" s="1036"/>
      <c r="U817" s="1036"/>
      <c r="V817" s="1036"/>
      <c r="W817" s="1036"/>
      <c r="X817" s="1036"/>
      <c r="Y817" s="1036"/>
      <c r="Z817" s="1036"/>
    </row>
    <row r="818" spans="1:26" ht="25.5">
      <c r="A818" s="1079" t="s">
        <v>15174</v>
      </c>
      <c r="B818" s="1080" t="s">
        <v>14472</v>
      </c>
      <c r="C818" s="1080" t="s">
        <v>16000</v>
      </c>
      <c r="D818" s="1081" t="s">
        <v>6</v>
      </c>
      <c r="E818" s="1082">
        <v>5</v>
      </c>
      <c r="F818" s="1083">
        <v>162.41999999999999</v>
      </c>
      <c r="G818" s="1083">
        <v>812.1</v>
      </c>
      <c r="H818" s="1084">
        <f t="shared" si="9"/>
        <v>5.5158023546782982E-5</v>
      </c>
      <c r="I818" s="1085">
        <f t="shared" si="11"/>
        <v>0.98615172205400825</v>
      </c>
      <c r="J818" s="1085" t="str">
        <f t="shared" si="10"/>
        <v>C</v>
      </c>
      <c r="K818" s="1036"/>
      <c r="L818" s="1036"/>
      <c r="M818" s="1036"/>
      <c r="N818" s="1036"/>
      <c r="O818" s="1036"/>
      <c r="P818" s="1036"/>
      <c r="Q818" s="1036"/>
      <c r="R818" s="1036"/>
      <c r="S818" s="1036"/>
      <c r="T818" s="1036"/>
      <c r="U818" s="1036"/>
      <c r="V818" s="1036"/>
      <c r="W818" s="1036"/>
      <c r="X818" s="1036"/>
      <c r="Y818" s="1036"/>
      <c r="Z818" s="1036"/>
    </row>
    <row r="819" spans="1:26" ht="38.25">
      <c r="A819" s="1079">
        <v>92759</v>
      </c>
      <c r="B819" s="1080" t="s">
        <v>14476</v>
      </c>
      <c r="C819" s="1080" t="s">
        <v>7428</v>
      </c>
      <c r="D819" s="1081" t="s">
        <v>54</v>
      </c>
      <c r="E819" s="1082">
        <v>43.04</v>
      </c>
      <c r="F819" s="1083">
        <v>18.77</v>
      </c>
      <c r="G819" s="1083">
        <v>807.86</v>
      </c>
      <c r="H819" s="1084">
        <f t="shared" si="9"/>
        <v>5.4870041746711117E-5</v>
      </c>
      <c r="I819" s="1085">
        <f t="shared" si="11"/>
        <v>0.98620659209575501</v>
      </c>
      <c r="J819" s="1085" t="str">
        <f t="shared" si="10"/>
        <v>C</v>
      </c>
      <c r="K819" s="1036"/>
      <c r="L819" s="1036"/>
      <c r="M819" s="1036"/>
      <c r="N819" s="1036"/>
      <c r="O819" s="1036"/>
      <c r="P819" s="1036"/>
      <c r="Q819" s="1036"/>
      <c r="R819" s="1036"/>
      <c r="S819" s="1036"/>
      <c r="T819" s="1036"/>
      <c r="U819" s="1036"/>
      <c r="V819" s="1036"/>
      <c r="W819" s="1036"/>
      <c r="X819" s="1036"/>
      <c r="Y819" s="1036"/>
      <c r="Z819" s="1036"/>
    </row>
    <row r="820" spans="1:26" ht="51">
      <c r="A820" s="1079">
        <v>104750</v>
      </c>
      <c r="B820" s="1080" t="s">
        <v>14476</v>
      </c>
      <c r="C820" s="1080" t="s">
        <v>8273</v>
      </c>
      <c r="D820" s="1081" t="s">
        <v>6</v>
      </c>
      <c r="E820" s="1082">
        <v>43</v>
      </c>
      <c r="F820" s="1083">
        <v>18.78</v>
      </c>
      <c r="G820" s="1083">
        <v>807.54</v>
      </c>
      <c r="H820" s="1084">
        <f t="shared" si="9"/>
        <v>5.4848307271233991E-5</v>
      </c>
      <c r="I820" s="1085">
        <f t="shared" si="11"/>
        <v>0.98626144040302621</v>
      </c>
      <c r="J820" s="1085" t="str">
        <f t="shared" si="10"/>
        <v>C</v>
      </c>
      <c r="K820" s="1036"/>
      <c r="L820" s="1036"/>
      <c r="M820" s="1036"/>
      <c r="N820" s="1036"/>
      <c r="O820" s="1036"/>
      <c r="P820" s="1036"/>
      <c r="Q820" s="1036"/>
      <c r="R820" s="1036"/>
      <c r="S820" s="1036"/>
      <c r="T820" s="1036"/>
      <c r="U820" s="1036"/>
      <c r="V820" s="1036"/>
      <c r="W820" s="1036"/>
      <c r="X820" s="1036"/>
      <c r="Y820" s="1036"/>
      <c r="Z820" s="1036"/>
    </row>
    <row r="821" spans="1:26" ht="25.5">
      <c r="A821" s="1079">
        <v>93358</v>
      </c>
      <c r="B821" s="1080" t="s">
        <v>14476</v>
      </c>
      <c r="C821" s="1080" t="s">
        <v>10648</v>
      </c>
      <c r="D821" s="1081" t="s">
        <v>152</v>
      </c>
      <c r="E821" s="1082">
        <v>8</v>
      </c>
      <c r="F821" s="1083">
        <v>100.47</v>
      </c>
      <c r="G821" s="1083">
        <v>803.76</v>
      </c>
      <c r="H821" s="1084">
        <f t="shared" si="9"/>
        <v>5.4591568779660496E-5</v>
      </c>
      <c r="I821" s="1085">
        <f t="shared" si="11"/>
        <v>0.98631603197180584</v>
      </c>
      <c r="J821" s="1085" t="str">
        <f t="shared" si="10"/>
        <v>C</v>
      </c>
      <c r="K821" s="1036"/>
      <c r="L821" s="1036"/>
      <c r="M821" s="1036"/>
      <c r="N821" s="1036"/>
      <c r="O821" s="1036"/>
      <c r="P821" s="1036"/>
      <c r="Q821" s="1036"/>
      <c r="R821" s="1036"/>
      <c r="S821" s="1036"/>
      <c r="T821" s="1036"/>
      <c r="U821" s="1036"/>
      <c r="V821" s="1036"/>
      <c r="W821" s="1036"/>
      <c r="X821" s="1036"/>
      <c r="Y821" s="1036"/>
      <c r="Z821" s="1036"/>
    </row>
    <row r="822" spans="1:26" ht="38.25">
      <c r="A822" s="1079" t="s">
        <v>14841</v>
      </c>
      <c r="B822" s="1080" t="s">
        <v>14472</v>
      </c>
      <c r="C822" s="1080" t="s">
        <v>14842</v>
      </c>
      <c r="D822" s="1081" t="s">
        <v>6</v>
      </c>
      <c r="E822" s="1082">
        <v>2</v>
      </c>
      <c r="F822" s="1083">
        <v>401.31</v>
      </c>
      <c r="G822" s="1083">
        <v>802.62</v>
      </c>
      <c r="H822" s="1084">
        <f t="shared" si="9"/>
        <v>5.4514139710773244E-5</v>
      </c>
      <c r="I822" s="1085">
        <f t="shared" si="11"/>
        <v>0.98637054611151664</v>
      </c>
      <c r="J822" s="1085" t="str">
        <f t="shared" si="10"/>
        <v>C</v>
      </c>
      <c r="K822" s="1036"/>
      <c r="L822" s="1036"/>
      <c r="M822" s="1036"/>
      <c r="N822" s="1036"/>
      <c r="O822" s="1036"/>
      <c r="P822" s="1036"/>
      <c r="Q822" s="1036"/>
      <c r="R822" s="1036"/>
      <c r="S822" s="1036"/>
      <c r="T822" s="1036"/>
      <c r="U822" s="1036"/>
      <c r="V822" s="1036"/>
      <c r="W822" s="1036"/>
      <c r="X822" s="1036"/>
      <c r="Y822" s="1036"/>
      <c r="Z822" s="1036"/>
    </row>
    <row r="823" spans="1:26" ht="51">
      <c r="A823" s="1079">
        <v>89714</v>
      </c>
      <c r="B823" s="1080" t="s">
        <v>14476</v>
      </c>
      <c r="C823" s="1080" t="s">
        <v>8445</v>
      </c>
      <c r="D823" s="1081" t="s">
        <v>50</v>
      </c>
      <c r="E823" s="1082">
        <v>18</v>
      </c>
      <c r="F823" s="1083">
        <v>44.15</v>
      </c>
      <c r="G823" s="1083">
        <v>794.7</v>
      </c>
      <c r="H823" s="1084">
        <f t="shared" si="9"/>
        <v>5.3976211442714486E-5</v>
      </c>
      <c r="I823" s="1085">
        <f t="shared" si="11"/>
        <v>0.98642452232295941</v>
      </c>
      <c r="J823" s="1085" t="str">
        <f t="shared" si="10"/>
        <v>C</v>
      </c>
      <c r="K823" s="1036"/>
      <c r="L823" s="1036"/>
      <c r="M823" s="1036"/>
      <c r="N823" s="1036"/>
      <c r="O823" s="1036"/>
      <c r="P823" s="1036"/>
      <c r="Q823" s="1036"/>
      <c r="R823" s="1036"/>
      <c r="S823" s="1036"/>
      <c r="T823" s="1036"/>
      <c r="U823" s="1036"/>
      <c r="V823" s="1036"/>
      <c r="W823" s="1036"/>
      <c r="X823" s="1036"/>
      <c r="Y823" s="1036"/>
      <c r="Z823" s="1036"/>
    </row>
    <row r="824" spans="1:26" ht="38.25">
      <c r="A824" s="1079">
        <v>100878</v>
      </c>
      <c r="B824" s="1080" t="s">
        <v>14476</v>
      </c>
      <c r="C824" s="1080" t="s">
        <v>10184</v>
      </c>
      <c r="D824" s="1081" t="s">
        <v>6</v>
      </c>
      <c r="E824" s="1082">
        <v>1</v>
      </c>
      <c r="F824" s="1083">
        <v>793.46</v>
      </c>
      <c r="G824" s="1083">
        <v>793.46</v>
      </c>
      <c r="H824" s="1084">
        <f t="shared" si="9"/>
        <v>5.389199035024064E-5</v>
      </c>
      <c r="I824" s="1085">
        <f t="shared" si="11"/>
        <v>0.98647841431330963</v>
      </c>
      <c r="J824" s="1085" t="str">
        <f t="shared" si="10"/>
        <v>C</v>
      </c>
      <c r="K824" s="1036"/>
      <c r="L824" s="1036"/>
      <c r="M824" s="1036"/>
      <c r="N824" s="1036"/>
      <c r="O824" s="1036"/>
      <c r="P824" s="1036"/>
      <c r="Q824" s="1036"/>
      <c r="R824" s="1036"/>
      <c r="S824" s="1036"/>
      <c r="T824" s="1036"/>
      <c r="U824" s="1036"/>
      <c r="V824" s="1036"/>
      <c r="W824" s="1036"/>
      <c r="X824" s="1036"/>
      <c r="Y824" s="1036"/>
      <c r="Z824" s="1036"/>
    </row>
    <row r="825" spans="1:26" ht="51">
      <c r="A825" s="1079">
        <v>89713</v>
      </c>
      <c r="B825" s="1080" t="s">
        <v>14476</v>
      </c>
      <c r="C825" s="1080" t="s">
        <v>8444</v>
      </c>
      <c r="D825" s="1081" t="s">
        <v>50</v>
      </c>
      <c r="E825" s="1082">
        <v>20</v>
      </c>
      <c r="F825" s="1083">
        <v>39.5</v>
      </c>
      <c r="G825" s="1083">
        <v>790</v>
      </c>
      <c r="H825" s="1084">
        <f t="shared" si="9"/>
        <v>5.3656986334144259E-5</v>
      </c>
      <c r="I825" s="1085">
        <f t="shared" si="11"/>
        <v>0.98653207129964382</v>
      </c>
      <c r="J825" s="1085" t="str">
        <f t="shared" si="10"/>
        <v>C</v>
      </c>
      <c r="K825" s="1036"/>
      <c r="L825" s="1036"/>
      <c r="M825" s="1036"/>
      <c r="N825" s="1036"/>
      <c r="O825" s="1036"/>
      <c r="P825" s="1036"/>
      <c r="Q825" s="1036"/>
      <c r="R825" s="1036"/>
      <c r="S825" s="1036"/>
      <c r="T825" s="1036"/>
      <c r="U825" s="1036"/>
      <c r="V825" s="1036"/>
      <c r="W825" s="1036"/>
      <c r="X825" s="1036"/>
      <c r="Y825" s="1036"/>
      <c r="Z825" s="1036"/>
    </row>
    <row r="826" spans="1:26" ht="38.25">
      <c r="A826" s="1079" t="s">
        <v>15323</v>
      </c>
      <c r="B826" s="1080" t="s">
        <v>14472</v>
      </c>
      <c r="C826" s="1080" t="s">
        <v>15324</v>
      </c>
      <c r="D826" s="1081" t="s">
        <v>6</v>
      </c>
      <c r="E826" s="1082">
        <v>1</v>
      </c>
      <c r="F826" s="1083">
        <v>788.21</v>
      </c>
      <c r="G826" s="1083">
        <v>788.21</v>
      </c>
      <c r="H826" s="1084">
        <f t="shared" si="9"/>
        <v>5.3535409111944112E-5</v>
      </c>
      <c r="I826" s="1085">
        <f t="shared" si="11"/>
        <v>0.98658560670875572</v>
      </c>
      <c r="J826" s="1085" t="str">
        <f t="shared" si="10"/>
        <v>C</v>
      </c>
      <c r="K826" s="1036"/>
      <c r="L826" s="1036"/>
      <c r="M826" s="1036"/>
      <c r="N826" s="1036"/>
      <c r="O826" s="1036"/>
      <c r="P826" s="1036"/>
      <c r="Q826" s="1036"/>
      <c r="R826" s="1036"/>
      <c r="S826" s="1036"/>
      <c r="T826" s="1036"/>
      <c r="U826" s="1036"/>
      <c r="V826" s="1036"/>
      <c r="W826" s="1036"/>
      <c r="X826" s="1036"/>
      <c r="Y826" s="1036"/>
      <c r="Z826" s="1036"/>
    </row>
    <row r="827" spans="1:26" ht="38.25">
      <c r="A827" s="1079" t="s">
        <v>15323</v>
      </c>
      <c r="B827" s="1080" t="s">
        <v>14472</v>
      </c>
      <c r="C827" s="1080" t="s">
        <v>15324</v>
      </c>
      <c r="D827" s="1081" t="s">
        <v>6</v>
      </c>
      <c r="E827" s="1082">
        <v>1</v>
      </c>
      <c r="F827" s="1083">
        <v>788.21</v>
      </c>
      <c r="G827" s="1083">
        <v>788.21</v>
      </c>
      <c r="H827" s="1084">
        <f t="shared" si="9"/>
        <v>5.3535409111944112E-5</v>
      </c>
      <c r="I827" s="1085">
        <f t="shared" si="11"/>
        <v>0.98663914211786763</v>
      </c>
      <c r="J827" s="1085" t="str">
        <f t="shared" si="10"/>
        <v>C</v>
      </c>
      <c r="K827" s="1036"/>
      <c r="L827" s="1036"/>
      <c r="M827" s="1036"/>
      <c r="N827" s="1036"/>
      <c r="O827" s="1036"/>
      <c r="P827" s="1036"/>
      <c r="Q827" s="1036"/>
      <c r="R827" s="1036"/>
      <c r="S827" s="1036"/>
      <c r="T827" s="1036"/>
      <c r="U827" s="1036"/>
      <c r="V827" s="1036"/>
      <c r="W827" s="1036"/>
      <c r="X827" s="1036"/>
      <c r="Y827" s="1036"/>
      <c r="Z827" s="1036"/>
    </row>
    <row r="828" spans="1:26" ht="51">
      <c r="A828" s="1079">
        <v>97667</v>
      </c>
      <c r="B828" s="1080" t="s">
        <v>14476</v>
      </c>
      <c r="C828" s="1080" t="s">
        <v>7797</v>
      </c>
      <c r="D828" s="1081" t="s">
        <v>50</v>
      </c>
      <c r="E828" s="1082">
        <v>80</v>
      </c>
      <c r="F828" s="1083">
        <v>9.81</v>
      </c>
      <c r="G828" s="1083">
        <v>784.8</v>
      </c>
      <c r="H828" s="1084">
        <f t="shared" si="9"/>
        <v>5.3303801107641027E-5</v>
      </c>
      <c r="I828" s="1085">
        <f t="shared" si="11"/>
        <v>0.98669244591897531</v>
      </c>
      <c r="J828" s="1085" t="str">
        <f t="shared" si="10"/>
        <v>C</v>
      </c>
      <c r="K828" s="1036"/>
      <c r="L828" s="1036"/>
      <c r="M828" s="1036"/>
      <c r="N828" s="1036"/>
      <c r="O828" s="1036"/>
      <c r="P828" s="1036"/>
      <c r="Q828" s="1036"/>
      <c r="R828" s="1036"/>
      <c r="S828" s="1036"/>
      <c r="T828" s="1036"/>
      <c r="U828" s="1036"/>
      <c r="V828" s="1036"/>
      <c r="W828" s="1036"/>
      <c r="X828" s="1036"/>
      <c r="Y828" s="1036"/>
      <c r="Z828" s="1036"/>
    </row>
    <row r="829" spans="1:26" ht="38.25">
      <c r="A829" s="1079" t="s">
        <v>15030</v>
      </c>
      <c r="B829" s="1080" t="s">
        <v>14472</v>
      </c>
      <c r="C829" s="1080" t="s">
        <v>15031</v>
      </c>
      <c r="D829" s="1081" t="s">
        <v>50</v>
      </c>
      <c r="E829" s="1082">
        <v>4.3</v>
      </c>
      <c r="F829" s="1083">
        <v>181.73</v>
      </c>
      <c r="G829" s="1083">
        <v>781.43</v>
      </c>
      <c r="H829" s="1084">
        <f t="shared" si="9"/>
        <v>5.3074909912772591E-5</v>
      </c>
      <c r="I829" s="1085">
        <f t="shared" si="11"/>
        <v>0.98674552082888811</v>
      </c>
      <c r="J829" s="1085" t="str">
        <f t="shared" si="10"/>
        <v>C</v>
      </c>
      <c r="K829" s="1036"/>
      <c r="L829" s="1036"/>
      <c r="M829" s="1036"/>
      <c r="N829" s="1036"/>
      <c r="O829" s="1036"/>
      <c r="P829" s="1036"/>
      <c r="Q829" s="1036"/>
      <c r="R829" s="1036"/>
      <c r="S829" s="1036"/>
      <c r="T829" s="1036"/>
      <c r="U829" s="1036"/>
      <c r="V829" s="1036"/>
      <c r="W829" s="1036"/>
      <c r="X829" s="1036"/>
      <c r="Y829" s="1036"/>
      <c r="Z829" s="1036"/>
    </row>
    <row r="830" spans="1:26" ht="38.25">
      <c r="A830" s="1079" t="s">
        <v>15237</v>
      </c>
      <c r="B830" s="1080" t="s">
        <v>14472</v>
      </c>
      <c r="C830" s="1080" t="s">
        <v>15238</v>
      </c>
      <c r="D830" s="1081" t="s">
        <v>6</v>
      </c>
      <c r="E830" s="1082">
        <v>1</v>
      </c>
      <c r="F830" s="1083">
        <v>777.18</v>
      </c>
      <c r="G830" s="1083">
        <v>777.18</v>
      </c>
      <c r="H830" s="1084">
        <f t="shared" si="9"/>
        <v>5.2786248910342064E-5</v>
      </c>
      <c r="I830" s="1085">
        <f t="shared" si="11"/>
        <v>0.98679830707779848</v>
      </c>
      <c r="J830" s="1085" t="str">
        <f t="shared" si="10"/>
        <v>C</v>
      </c>
      <c r="K830" s="1036"/>
      <c r="L830" s="1036"/>
      <c r="M830" s="1036"/>
      <c r="N830" s="1036"/>
      <c r="O830" s="1036"/>
      <c r="P830" s="1036"/>
      <c r="Q830" s="1036"/>
      <c r="R830" s="1036"/>
      <c r="S830" s="1036"/>
      <c r="T830" s="1036"/>
      <c r="U830" s="1036"/>
      <c r="V830" s="1036"/>
      <c r="W830" s="1036"/>
      <c r="X830" s="1036"/>
      <c r="Y830" s="1036"/>
      <c r="Z830" s="1036"/>
    </row>
    <row r="831" spans="1:26" ht="38.25">
      <c r="A831" s="1079">
        <v>92000</v>
      </c>
      <c r="B831" s="1080" t="s">
        <v>14476</v>
      </c>
      <c r="C831" s="1080" t="s">
        <v>8059</v>
      </c>
      <c r="D831" s="1081" t="s">
        <v>6</v>
      </c>
      <c r="E831" s="1082">
        <v>21</v>
      </c>
      <c r="F831" s="1083">
        <v>36.979999999999997</v>
      </c>
      <c r="G831" s="1083">
        <v>776.58</v>
      </c>
      <c r="H831" s="1084">
        <f t="shared" si="9"/>
        <v>5.2745496768822473E-5</v>
      </c>
      <c r="I831" s="1085">
        <f t="shared" si="11"/>
        <v>0.98685105257456729</v>
      </c>
      <c r="J831" s="1085" t="str">
        <f t="shared" si="10"/>
        <v>C</v>
      </c>
      <c r="K831" s="1036"/>
      <c r="L831" s="1036"/>
      <c r="M831" s="1036"/>
      <c r="N831" s="1036"/>
      <c r="O831" s="1036"/>
      <c r="P831" s="1036"/>
      <c r="Q831" s="1036"/>
      <c r="R831" s="1036"/>
      <c r="S831" s="1036"/>
      <c r="T831" s="1036"/>
      <c r="U831" s="1036"/>
      <c r="V831" s="1036"/>
      <c r="W831" s="1036"/>
      <c r="X831" s="1036"/>
      <c r="Y831" s="1036"/>
      <c r="Z831" s="1036"/>
    </row>
    <row r="832" spans="1:26" ht="14.25">
      <c r="A832" s="1079" t="s">
        <v>14792</v>
      </c>
      <c r="B832" s="1080" t="s">
        <v>14472</v>
      </c>
      <c r="C832" s="1080" t="s">
        <v>14793</v>
      </c>
      <c r="D832" s="1081" t="s">
        <v>50</v>
      </c>
      <c r="E832" s="1082">
        <v>84.7</v>
      </c>
      <c r="F832" s="1083">
        <v>9.16</v>
      </c>
      <c r="G832" s="1083">
        <v>775.85</v>
      </c>
      <c r="H832" s="1084">
        <f t="shared" si="9"/>
        <v>5.2695914996640287E-5</v>
      </c>
      <c r="I832" s="1085">
        <f t="shared" si="11"/>
        <v>0.98690374848956397</v>
      </c>
      <c r="J832" s="1085" t="str">
        <f t="shared" si="10"/>
        <v>C</v>
      </c>
      <c r="K832" s="1036"/>
      <c r="L832" s="1036"/>
      <c r="M832" s="1036"/>
      <c r="N832" s="1036"/>
      <c r="O832" s="1036"/>
      <c r="P832" s="1036"/>
      <c r="Q832" s="1036"/>
      <c r="R832" s="1036"/>
      <c r="S832" s="1036"/>
      <c r="T832" s="1036"/>
      <c r="U832" s="1036"/>
      <c r="V832" s="1036"/>
      <c r="W832" s="1036"/>
      <c r="X832" s="1036"/>
      <c r="Y832" s="1036"/>
      <c r="Z832" s="1036"/>
    </row>
    <row r="833" spans="1:26" ht="38.25">
      <c r="A833" s="1079">
        <v>89987</v>
      </c>
      <c r="B833" s="1080" t="s">
        <v>14476</v>
      </c>
      <c r="C833" s="1080" t="s">
        <v>10245</v>
      </c>
      <c r="D833" s="1081" t="s">
        <v>6</v>
      </c>
      <c r="E833" s="1082">
        <v>8</v>
      </c>
      <c r="F833" s="1083">
        <v>96.76</v>
      </c>
      <c r="G833" s="1083">
        <v>774.08</v>
      </c>
      <c r="H833" s="1084">
        <f t="shared" si="9"/>
        <v>5.2575696179157458E-5</v>
      </c>
      <c r="I833" s="1085">
        <f t="shared" si="11"/>
        <v>0.98695632418574308</v>
      </c>
      <c r="J833" s="1085" t="str">
        <f t="shared" si="10"/>
        <v>C</v>
      </c>
      <c r="K833" s="1036"/>
      <c r="L833" s="1036"/>
      <c r="M833" s="1036"/>
      <c r="N833" s="1036"/>
      <c r="O833" s="1036"/>
      <c r="P833" s="1036"/>
      <c r="Q833" s="1036"/>
      <c r="R833" s="1036"/>
      <c r="S833" s="1036"/>
      <c r="T833" s="1036"/>
      <c r="U833" s="1036"/>
      <c r="V833" s="1036"/>
      <c r="W833" s="1036"/>
      <c r="X833" s="1036"/>
      <c r="Y833" s="1036"/>
      <c r="Z833" s="1036"/>
    </row>
    <row r="834" spans="1:26" ht="38.25">
      <c r="A834" s="1079">
        <v>97668</v>
      </c>
      <c r="B834" s="1080" t="s">
        <v>14476</v>
      </c>
      <c r="C834" s="1080" t="s">
        <v>7798</v>
      </c>
      <c r="D834" s="1081" t="s">
        <v>50</v>
      </c>
      <c r="E834" s="1082">
        <v>55</v>
      </c>
      <c r="F834" s="1083">
        <v>13.98</v>
      </c>
      <c r="G834" s="1083">
        <v>768.9</v>
      </c>
      <c r="H834" s="1084">
        <f t="shared" si="9"/>
        <v>5.2223869357371544E-5</v>
      </c>
      <c r="I834" s="1085">
        <f t="shared" si="11"/>
        <v>0.98700854805510041</v>
      </c>
      <c r="J834" s="1085" t="str">
        <f t="shared" si="10"/>
        <v>C</v>
      </c>
      <c r="K834" s="1036"/>
      <c r="L834" s="1036"/>
      <c r="M834" s="1036"/>
      <c r="N834" s="1036"/>
      <c r="O834" s="1036"/>
      <c r="P834" s="1036"/>
      <c r="Q834" s="1036"/>
      <c r="R834" s="1036"/>
      <c r="S834" s="1036"/>
      <c r="T834" s="1036"/>
      <c r="U834" s="1036"/>
      <c r="V834" s="1036"/>
      <c r="W834" s="1036"/>
      <c r="X834" s="1036"/>
      <c r="Y834" s="1036"/>
      <c r="Z834" s="1036"/>
    </row>
    <row r="835" spans="1:26" ht="38.25">
      <c r="A835" s="1079">
        <v>104918</v>
      </c>
      <c r="B835" s="1080" t="s">
        <v>14476</v>
      </c>
      <c r="C835" s="1080" t="s">
        <v>7515</v>
      </c>
      <c r="D835" s="1081" t="s">
        <v>54</v>
      </c>
      <c r="E835" s="1082">
        <v>39.5</v>
      </c>
      <c r="F835" s="1083">
        <v>19.420000000000002</v>
      </c>
      <c r="G835" s="1083">
        <v>767.09</v>
      </c>
      <c r="H835" s="1084">
        <f t="shared" si="9"/>
        <v>5.210093373045408E-5</v>
      </c>
      <c r="I835" s="1085">
        <f t="shared" si="11"/>
        <v>0.98706064898883084</v>
      </c>
      <c r="J835" s="1085" t="str">
        <f t="shared" si="10"/>
        <v>C</v>
      </c>
      <c r="K835" s="1036"/>
      <c r="L835" s="1036"/>
      <c r="M835" s="1036"/>
      <c r="N835" s="1036"/>
      <c r="O835" s="1036"/>
      <c r="P835" s="1036"/>
      <c r="Q835" s="1036"/>
      <c r="R835" s="1036"/>
      <c r="S835" s="1036"/>
      <c r="T835" s="1036"/>
      <c r="U835" s="1036"/>
      <c r="V835" s="1036"/>
      <c r="W835" s="1036"/>
      <c r="X835" s="1036"/>
      <c r="Y835" s="1036"/>
      <c r="Z835" s="1036"/>
    </row>
    <row r="836" spans="1:26" ht="25.5">
      <c r="A836" s="1079" t="s">
        <v>15068</v>
      </c>
      <c r="B836" s="1080" t="s">
        <v>14472</v>
      </c>
      <c r="C836" s="1080" t="s">
        <v>15069</v>
      </c>
      <c r="D836" s="1081" t="s">
        <v>50</v>
      </c>
      <c r="E836" s="1082">
        <v>42.73</v>
      </c>
      <c r="F836" s="1083">
        <v>17.850000000000001</v>
      </c>
      <c r="G836" s="1083">
        <v>762.73</v>
      </c>
      <c r="H836" s="1084">
        <f t="shared" si="9"/>
        <v>5.180480150207829E-5</v>
      </c>
      <c r="I836" s="1085">
        <f t="shared" si="11"/>
        <v>0.98711245379033297</v>
      </c>
      <c r="J836" s="1085" t="str">
        <f t="shared" si="10"/>
        <v>C</v>
      </c>
      <c r="K836" s="1036"/>
      <c r="L836" s="1036"/>
      <c r="M836" s="1036"/>
      <c r="N836" s="1036"/>
      <c r="O836" s="1036"/>
      <c r="P836" s="1036"/>
      <c r="Q836" s="1036"/>
      <c r="R836" s="1036"/>
      <c r="S836" s="1036"/>
      <c r="T836" s="1036"/>
      <c r="U836" s="1036"/>
      <c r="V836" s="1036"/>
      <c r="W836" s="1036"/>
      <c r="X836" s="1036"/>
      <c r="Y836" s="1036"/>
      <c r="Z836" s="1036"/>
    </row>
    <row r="837" spans="1:26" ht="51">
      <c r="A837" s="1079" t="s">
        <v>14643</v>
      </c>
      <c r="B837" s="1080" t="s">
        <v>14472</v>
      </c>
      <c r="C837" s="1080" t="s">
        <v>14644</v>
      </c>
      <c r="D837" s="1081" t="s">
        <v>50</v>
      </c>
      <c r="E837" s="1082">
        <v>5</v>
      </c>
      <c r="F837" s="1083">
        <v>152.38</v>
      </c>
      <c r="G837" s="1083">
        <v>761.9</v>
      </c>
      <c r="H837" s="1084">
        <f t="shared" si="9"/>
        <v>5.1748427706309504E-5</v>
      </c>
      <c r="I837" s="1085">
        <f t="shared" si="11"/>
        <v>0.98716420221803924</v>
      </c>
      <c r="J837" s="1085" t="str">
        <f t="shared" si="10"/>
        <v>C</v>
      </c>
      <c r="K837" s="1036"/>
      <c r="L837" s="1036"/>
      <c r="M837" s="1036"/>
      <c r="N837" s="1036"/>
      <c r="O837" s="1036"/>
      <c r="P837" s="1036"/>
      <c r="Q837" s="1036"/>
      <c r="R837" s="1036"/>
      <c r="S837" s="1036"/>
      <c r="T837" s="1036"/>
      <c r="U837" s="1036"/>
      <c r="V837" s="1036"/>
      <c r="W837" s="1036"/>
      <c r="X837" s="1036"/>
      <c r="Y837" s="1036"/>
      <c r="Z837" s="1036"/>
    </row>
    <row r="838" spans="1:26" ht="51">
      <c r="A838" s="1079">
        <v>89784</v>
      </c>
      <c r="B838" s="1080" t="s">
        <v>14476</v>
      </c>
      <c r="C838" s="1080" t="s">
        <v>8990</v>
      </c>
      <c r="D838" s="1081" t="s">
        <v>6</v>
      </c>
      <c r="E838" s="1082">
        <v>26</v>
      </c>
      <c r="F838" s="1083">
        <v>29.23</v>
      </c>
      <c r="G838" s="1083">
        <v>759.98</v>
      </c>
      <c r="H838" s="1084">
        <f t="shared" si="9"/>
        <v>5.1618020853446776E-5</v>
      </c>
      <c r="I838" s="1085">
        <f t="shared" si="11"/>
        <v>0.98721582023889265</v>
      </c>
      <c r="J838" s="1085" t="str">
        <f t="shared" si="10"/>
        <v>C</v>
      </c>
      <c r="K838" s="1036"/>
      <c r="L838" s="1036"/>
      <c r="M838" s="1036"/>
      <c r="N838" s="1036"/>
      <c r="O838" s="1036"/>
      <c r="P838" s="1036"/>
      <c r="Q838" s="1036"/>
      <c r="R838" s="1036"/>
      <c r="S838" s="1036"/>
      <c r="T838" s="1036"/>
      <c r="U838" s="1036"/>
      <c r="V838" s="1036"/>
      <c r="W838" s="1036"/>
      <c r="X838" s="1036"/>
      <c r="Y838" s="1036"/>
      <c r="Z838" s="1036"/>
    </row>
    <row r="839" spans="1:26" ht="51">
      <c r="A839" s="1079">
        <v>89784</v>
      </c>
      <c r="B839" s="1080" t="s">
        <v>14476</v>
      </c>
      <c r="C839" s="1080" t="s">
        <v>8990</v>
      </c>
      <c r="D839" s="1081" t="s">
        <v>6</v>
      </c>
      <c r="E839" s="1082">
        <v>26</v>
      </c>
      <c r="F839" s="1083">
        <v>29.23</v>
      </c>
      <c r="G839" s="1083">
        <v>759.98</v>
      </c>
      <c r="H839" s="1084">
        <f t="shared" si="9"/>
        <v>5.1618020853446776E-5</v>
      </c>
      <c r="I839" s="1085">
        <f t="shared" si="11"/>
        <v>0.98726743825974606</v>
      </c>
      <c r="J839" s="1085" t="str">
        <f t="shared" si="10"/>
        <v>C</v>
      </c>
      <c r="K839" s="1036"/>
      <c r="L839" s="1036"/>
      <c r="M839" s="1036"/>
      <c r="N839" s="1036"/>
      <c r="O839" s="1036"/>
      <c r="P839" s="1036"/>
      <c r="Q839" s="1036"/>
      <c r="R839" s="1036"/>
      <c r="S839" s="1036"/>
      <c r="T839" s="1036"/>
      <c r="U839" s="1036"/>
      <c r="V839" s="1036"/>
      <c r="W839" s="1036"/>
      <c r="X839" s="1036"/>
      <c r="Y839" s="1036"/>
      <c r="Z839" s="1036"/>
    </row>
    <row r="840" spans="1:26" ht="51">
      <c r="A840" s="1079" t="s">
        <v>15370</v>
      </c>
      <c r="B840" s="1080" t="s">
        <v>14472</v>
      </c>
      <c r="C840" s="1080" t="s">
        <v>15371</v>
      </c>
      <c r="D840" s="1081" t="s">
        <v>6</v>
      </c>
      <c r="E840" s="1082">
        <v>14</v>
      </c>
      <c r="F840" s="1083">
        <v>53.95</v>
      </c>
      <c r="G840" s="1083">
        <v>755.3</v>
      </c>
      <c r="H840" s="1084">
        <f t="shared" si="9"/>
        <v>5.1300154149593867E-5</v>
      </c>
      <c r="I840" s="1085">
        <f t="shared" si="11"/>
        <v>0.98731873841389561</v>
      </c>
      <c r="J840" s="1085" t="str">
        <f t="shared" si="10"/>
        <v>C</v>
      </c>
      <c r="K840" s="1036"/>
      <c r="L840" s="1036"/>
      <c r="M840" s="1036"/>
      <c r="N840" s="1036"/>
      <c r="O840" s="1036"/>
      <c r="P840" s="1036"/>
      <c r="Q840" s="1036"/>
      <c r="R840" s="1036"/>
      <c r="S840" s="1036"/>
      <c r="T840" s="1036"/>
      <c r="U840" s="1036"/>
      <c r="V840" s="1036"/>
      <c r="W840" s="1036"/>
      <c r="X840" s="1036"/>
      <c r="Y840" s="1036"/>
      <c r="Z840" s="1036"/>
    </row>
    <row r="841" spans="1:26" ht="51">
      <c r="A841" s="1079" t="s">
        <v>15370</v>
      </c>
      <c r="B841" s="1080" t="s">
        <v>14472</v>
      </c>
      <c r="C841" s="1080" t="s">
        <v>15371</v>
      </c>
      <c r="D841" s="1081" t="s">
        <v>6</v>
      </c>
      <c r="E841" s="1082">
        <v>14</v>
      </c>
      <c r="F841" s="1083">
        <v>53.95</v>
      </c>
      <c r="G841" s="1083">
        <v>755.3</v>
      </c>
      <c r="H841" s="1084">
        <f t="shared" si="9"/>
        <v>5.1300154149593867E-5</v>
      </c>
      <c r="I841" s="1085">
        <f t="shared" si="11"/>
        <v>0.98737003856804517</v>
      </c>
      <c r="J841" s="1085" t="str">
        <f t="shared" si="10"/>
        <v>C</v>
      </c>
      <c r="K841" s="1036"/>
      <c r="L841" s="1036"/>
      <c r="M841" s="1036"/>
      <c r="N841" s="1036"/>
      <c r="O841" s="1036"/>
      <c r="P841" s="1036"/>
      <c r="Q841" s="1036"/>
      <c r="R841" s="1036"/>
      <c r="S841" s="1036"/>
      <c r="T841" s="1036"/>
      <c r="U841" s="1036"/>
      <c r="V841" s="1036"/>
      <c r="W841" s="1036"/>
      <c r="X841" s="1036"/>
      <c r="Y841" s="1036"/>
      <c r="Z841" s="1036"/>
    </row>
    <row r="842" spans="1:26" ht="38.25">
      <c r="A842" s="1079">
        <v>92761</v>
      </c>
      <c r="B842" s="1080" t="s">
        <v>14476</v>
      </c>
      <c r="C842" s="1080" t="s">
        <v>7430</v>
      </c>
      <c r="D842" s="1081" t="s">
        <v>54</v>
      </c>
      <c r="E842" s="1082">
        <v>43.6</v>
      </c>
      <c r="F842" s="1083">
        <v>17.22</v>
      </c>
      <c r="G842" s="1083">
        <v>750.79</v>
      </c>
      <c r="H842" s="1084">
        <f t="shared" si="9"/>
        <v>5.0993833885838186E-5</v>
      </c>
      <c r="I842" s="1085">
        <f t="shared" si="11"/>
        <v>0.98742103240193102</v>
      </c>
      <c r="J842" s="1085" t="str">
        <f t="shared" si="10"/>
        <v>C</v>
      </c>
      <c r="K842" s="1036"/>
      <c r="L842" s="1036"/>
      <c r="M842" s="1036"/>
      <c r="N842" s="1036"/>
      <c r="O842" s="1036"/>
      <c r="P842" s="1036"/>
      <c r="Q842" s="1036"/>
      <c r="R842" s="1036"/>
      <c r="S842" s="1036"/>
      <c r="T842" s="1036"/>
      <c r="U842" s="1036"/>
      <c r="V842" s="1036"/>
      <c r="W842" s="1036"/>
      <c r="X842" s="1036"/>
      <c r="Y842" s="1036"/>
      <c r="Z842" s="1036"/>
    </row>
    <row r="843" spans="1:26" ht="25.5">
      <c r="A843" s="1079">
        <v>101616</v>
      </c>
      <c r="B843" s="1080" t="s">
        <v>14476</v>
      </c>
      <c r="C843" s="1080" t="s">
        <v>10747</v>
      </c>
      <c r="D843" s="1081" t="s">
        <v>409</v>
      </c>
      <c r="E843" s="1082">
        <v>101.8</v>
      </c>
      <c r="F843" s="1083">
        <v>7.37</v>
      </c>
      <c r="G843" s="1083">
        <v>750.26</v>
      </c>
      <c r="H843" s="1084">
        <f t="shared" si="9"/>
        <v>5.0957836160829202E-5</v>
      </c>
      <c r="I843" s="1085">
        <f t="shared" si="11"/>
        <v>0.98747199023809185</v>
      </c>
      <c r="J843" s="1085" t="str">
        <f t="shared" si="10"/>
        <v>C</v>
      </c>
      <c r="K843" s="1036"/>
      <c r="L843" s="1036"/>
      <c r="M843" s="1036"/>
      <c r="N843" s="1036"/>
      <c r="O843" s="1036"/>
      <c r="P843" s="1036"/>
      <c r="Q843" s="1036"/>
      <c r="R843" s="1036"/>
      <c r="S843" s="1036"/>
      <c r="T843" s="1036"/>
      <c r="U843" s="1036"/>
      <c r="V843" s="1036"/>
      <c r="W843" s="1036"/>
      <c r="X843" s="1036"/>
      <c r="Y843" s="1036"/>
      <c r="Z843" s="1036"/>
    </row>
    <row r="844" spans="1:26" ht="25.5">
      <c r="A844" s="1079" t="s">
        <v>15068</v>
      </c>
      <c r="B844" s="1080" t="s">
        <v>14472</v>
      </c>
      <c r="C844" s="1080" t="s">
        <v>15069</v>
      </c>
      <c r="D844" s="1081" t="s">
        <v>50</v>
      </c>
      <c r="E844" s="1082">
        <v>41.84</v>
      </c>
      <c r="F844" s="1083">
        <v>17.850000000000001</v>
      </c>
      <c r="G844" s="1083">
        <v>746.84</v>
      </c>
      <c r="H844" s="1084">
        <f t="shared" si="9"/>
        <v>5.0725548954167469E-5</v>
      </c>
      <c r="I844" s="1085">
        <f t="shared" si="11"/>
        <v>0.98752271578704598</v>
      </c>
      <c r="J844" s="1085" t="str">
        <f t="shared" si="10"/>
        <v>C</v>
      </c>
      <c r="K844" s="1036"/>
      <c r="L844" s="1036"/>
      <c r="M844" s="1036"/>
      <c r="N844" s="1036"/>
      <c r="O844" s="1036"/>
      <c r="P844" s="1036"/>
      <c r="Q844" s="1036"/>
      <c r="R844" s="1036"/>
      <c r="S844" s="1036"/>
      <c r="T844" s="1036"/>
      <c r="U844" s="1036"/>
      <c r="V844" s="1036"/>
      <c r="W844" s="1036"/>
      <c r="X844" s="1036"/>
      <c r="Y844" s="1036"/>
      <c r="Z844" s="1036"/>
    </row>
    <row r="845" spans="1:26" ht="38.25">
      <c r="A845" s="1079" t="s">
        <v>14780</v>
      </c>
      <c r="B845" s="1080" t="s">
        <v>14472</v>
      </c>
      <c r="C845" s="1080" t="s">
        <v>14781</v>
      </c>
      <c r="D845" s="1081" t="s">
        <v>50</v>
      </c>
      <c r="E845" s="1082">
        <v>5.0999999999999996</v>
      </c>
      <c r="F845" s="1083">
        <v>145.57</v>
      </c>
      <c r="G845" s="1083">
        <v>742.4</v>
      </c>
      <c r="H845" s="1084">
        <f t="shared" si="9"/>
        <v>5.0423983106922403E-5</v>
      </c>
      <c r="I845" s="1085">
        <f t="shared" si="11"/>
        <v>0.98757313977015293</v>
      </c>
      <c r="J845" s="1085" t="str">
        <f t="shared" si="10"/>
        <v>C</v>
      </c>
      <c r="K845" s="1036"/>
      <c r="L845" s="1036"/>
      <c r="M845" s="1036"/>
      <c r="N845" s="1036"/>
      <c r="O845" s="1036"/>
      <c r="P845" s="1036"/>
      <c r="Q845" s="1036"/>
      <c r="R845" s="1036"/>
      <c r="S845" s="1036"/>
      <c r="T845" s="1036"/>
      <c r="U845" s="1036"/>
      <c r="V845" s="1036"/>
      <c r="W845" s="1036"/>
      <c r="X845" s="1036"/>
      <c r="Y845" s="1036"/>
      <c r="Z845" s="1036"/>
    </row>
    <row r="846" spans="1:26" ht="25.5">
      <c r="A846" s="1079" t="s">
        <v>15171</v>
      </c>
      <c r="B846" s="1080" t="s">
        <v>14472</v>
      </c>
      <c r="C846" s="1080" t="s">
        <v>16001</v>
      </c>
      <c r="D846" s="1081" t="s">
        <v>6</v>
      </c>
      <c r="E846" s="1082">
        <v>1</v>
      </c>
      <c r="F846" s="1083">
        <v>739.97</v>
      </c>
      <c r="G846" s="1083">
        <v>739.97</v>
      </c>
      <c r="H846" s="1084">
        <f t="shared" si="9"/>
        <v>5.0258936933768009E-5</v>
      </c>
      <c r="I846" s="1085">
        <f t="shared" si="11"/>
        <v>0.98762339870708671</v>
      </c>
      <c r="J846" s="1085" t="str">
        <f t="shared" si="10"/>
        <v>C</v>
      </c>
      <c r="K846" s="1036"/>
      <c r="L846" s="1036"/>
      <c r="M846" s="1036"/>
      <c r="N846" s="1036"/>
      <c r="O846" s="1036"/>
      <c r="P846" s="1036"/>
      <c r="Q846" s="1036"/>
      <c r="R846" s="1036"/>
      <c r="S846" s="1036"/>
      <c r="T846" s="1036"/>
      <c r="U846" s="1036"/>
      <c r="V846" s="1036"/>
      <c r="W846" s="1036"/>
      <c r="X846" s="1036"/>
      <c r="Y846" s="1036"/>
      <c r="Z846" s="1036"/>
    </row>
    <row r="847" spans="1:26" ht="51">
      <c r="A847" s="1079">
        <v>91837</v>
      </c>
      <c r="B847" s="1080" t="s">
        <v>14476</v>
      </c>
      <c r="C847" s="1080" t="s">
        <v>7758</v>
      </c>
      <c r="D847" s="1081" t="s">
        <v>50</v>
      </c>
      <c r="E847" s="1082">
        <v>25</v>
      </c>
      <c r="F847" s="1083">
        <v>29.53</v>
      </c>
      <c r="G847" s="1083">
        <v>738.25</v>
      </c>
      <c r="H847" s="1084">
        <f t="shared" si="9"/>
        <v>5.0142114128078477E-5</v>
      </c>
      <c r="I847" s="1085">
        <f t="shared" si="11"/>
        <v>0.98767354082121483</v>
      </c>
      <c r="J847" s="1085" t="str">
        <f t="shared" si="10"/>
        <v>C</v>
      </c>
      <c r="K847" s="1036"/>
      <c r="L847" s="1036"/>
      <c r="M847" s="1036"/>
      <c r="N847" s="1036"/>
      <c r="O847" s="1036"/>
      <c r="P847" s="1036"/>
      <c r="Q847" s="1036"/>
      <c r="R847" s="1036"/>
      <c r="S847" s="1036"/>
      <c r="T847" s="1036"/>
      <c r="U847" s="1036"/>
      <c r="V847" s="1036"/>
      <c r="W847" s="1036"/>
      <c r="X847" s="1036"/>
      <c r="Y847" s="1036"/>
      <c r="Z847" s="1036"/>
    </row>
    <row r="848" spans="1:26" ht="25.5">
      <c r="A848" s="1079">
        <v>93382</v>
      </c>
      <c r="B848" s="1080" t="s">
        <v>14476</v>
      </c>
      <c r="C848" s="1080" t="s">
        <v>10726</v>
      </c>
      <c r="D848" s="1081" t="s">
        <v>152</v>
      </c>
      <c r="E848" s="1082">
        <v>25</v>
      </c>
      <c r="F848" s="1083">
        <v>29.52</v>
      </c>
      <c r="G848" s="1083">
        <v>738</v>
      </c>
      <c r="H848" s="1084">
        <f t="shared" si="9"/>
        <v>5.0125134069111978E-5</v>
      </c>
      <c r="I848" s="1085">
        <f t="shared" si="11"/>
        <v>0.98772366595528394</v>
      </c>
      <c r="J848" s="1085" t="str">
        <f t="shared" si="10"/>
        <v>C</v>
      </c>
      <c r="K848" s="1036"/>
      <c r="L848" s="1036"/>
      <c r="M848" s="1036"/>
      <c r="N848" s="1036"/>
      <c r="O848" s="1036"/>
      <c r="P848" s="1036"/>
      <c r="Q848" s="1036"/>
      <c r="R848" s="1036"/>
      <c r="S848" s="1036"/>
      <c r="T848" s="1036"/>
      <c r="U848" s="1036"/>
      <c r="V848" s="1036"/>
      <c r="W848" s="1036"/>
      <c r="X848" s="1036"/>
      <c r="Y848" s="1036"/>
      <c r="Z848" s="1036"/>
    </row>
    <row r="849" spans="1:26" ht="51">
      <c r="A849" s="1079">
        <v>97667</v>
      </c>
      <c r="B849" s="1080" t="s">
        <v>14476</v>
      </c>
      <c r="C849" s="1080" t="s">
        <v>7797</v>
      </c>
      <c r="D849" s="1081" t="s">
        <v>50</v>
      </c>
      <c r="E849" s="1082">
        <v>75</v>
      </c>
      <c r="F849" s="1083">
        <v>9.81</v>
      </c>
      <c r="G849" s="1083">
        <v>735.75</v>
      </c>
      <c r="H849" s="1084">
        <f t="shared" si="9"/>
        <v>4.9972313538413469E-5</v>
      </c>
      <c r="I849" s="1085">
        <f t="shared" si="11"/>
        <v>0.98777363826882236</v>
      </c>
      <c r="J849" s="1085" t="str">
        <f t="shared" si="10"/>
        <v>C</v>
      </c>
      <c r="K849" s="1036"/>
      <c r="L849" s="1036"/>
      <c r="M849" s="1036"/>
      <c r="N849" s="1036"/>
      <c r="O849" s="1036"/>
      <c r="P849" s="1036"/>
      <c r="Q849" s="1036"/>
      <c r="R849" s="1036"/>
      <c r="S849" s="1036"/>
      <c r="T849" s="1036"/>
      <c r="U849" s="1036"/>
      <c r="V849" s="1036"/>
      <c r="W849" s="1036"/>
      <c r="X849" s="1036"/>
      <c r="Y849" s="1036"/>
      <c r="Z849" s="1036"/>
    </row>
    <row r="850" spans="1:26" ht="38.25">
      <c r="A850" s="1079">
        <v>94679</v>
      </c>
      <c r="B850" s="1080" t="s">
        <v>14476</v>
      </c>
      <c r="C850" s="1080" t="s">
        <v>9375</v>
      </c>
      <c r="D850" s="1081" t="s">
        <v>6</v>
      </c>
      <c r="E850" s="1082">
        <v>28</v>
      </c>
      <c r="F850" s="1083">
        <v>26.15</v>
      </c>
      <c r="G850" s="1083">
        <v>732.2</v>
      </c>
      <c r="H850" s="1084">
        <f t="shared" si="9"/>
        <v>4.9731196701089148E-5</v>
      </c>
      <c r="I850" s="1085">
        <f t="shared" si="11"/>
        <v>0.9878233694655234</v>
      </c>
      <c r="J850" s="1085" t="str">
        <f t="shared" si="10"/>
        <v>C</v>
      </c>
      <c r="K850" s="1036"/>
      <c r="L850" s="1036"/>
      <c r="M850" s="1036"/>
      <c r="N850" s="1036"/>
      <c r="O850" s="1036"/>
      <c r="P850" s="1036"/>
      <c r="Q850" s="1036"/>
      <c r="R850" s="1036"/>
      <c r="S850" s="1036"/>
      <c r="T850" s="1036"/>
      <c r="U850" s="1036"/>
      <c r="V850" s="1036"/>
      <c r="W850" s="1036"/>
      <c r="X850" s="1036"/>
      <c r="Y850" s="1036"/>
      <c r="Z850" s="1036"/>
    </row>
    <row r="851" spans="1:26" ht="51">
      <c r="A851" s="1079">
        <v>89784</v>
      </c>
      <c r="B851" s="1080" t="s">
        <v>14476</v>
      </c>
      <c r="C851" s="1080" t="s">
        <v>8990</v>
      </c>
      <c r="D851" s="1081" t="s">
        <v>6</v>
      </c>
      <c r="E851" s="1082">
        <v>25</v>
      </c>
      <c r="F851" s="1083">
        <v>29.23</v>
      </c>
      <c r="G851" s="1083">
        <v>730.75</v>
      </c>
      <c r="H851" s="1084">
        <f t="shared" si="9"/>
        <v>4.9632712359083439E-5</v>
      </c>
      <c r="I851" s="1085">
        <f t="shared" si="11"/>
        <v>0.98787300217788254</v>
      </c>
      <c r="J851" s="1085" t="str">
        <f t="shared" si="10"/>
        <v>C</v>
      </c>
      <c r="K851" s="1036"/>
      <c r="L851" s="1036"/>
      <c r="M851" s="1036"/>
      <c r="N851" s="1036"/>
      <c r="O851" s="1036"/>
      <c r="P851" s="1036"/>
      <c r="Q851" s="1036"/>
      <c r="R851" s="1036"/>
      <c r="S851" s="1036"/>
      <c r="T851" s="1036"/>
      <c r="U851" s="1036"/>
      <c r="V851" s="1036"/>
      <c r="W851" s="1036"/>
      <c r="X851" s="1036"/>
      <c r="Y851" s="1036"/>
      <c r="Z851" s="1036"/>
    </row>
    <row r="852" spans="1:26" ht="25.5">
      <c r="A852" s="1079">
        <v>105036</v>
      </c>
      <c r="B852" s="1080" t="s">
        <v>14476</v>
      </c>
      <c r="C852" s="1080" t="s">
        <v>7631</v>
      </c>
      <c r="D852" s="1081" t="s">
        <v>50</v>
      </c>
      <c r="E852" s="1082">
        <v>12.4</v>
      </c>
      <c r="F852" s="1083">
        <v>58.46</v>
      </c>
      <c r="G852" s="1083">
        <v>724.9</v>
      </c>
      <c r="H852" s="1084">
        <f t="shared" si="9"/>
        <v>4.9235378979267305E-5</v>
      </c>
      <c r="I852" s="1085">
        <f t="shared" si="11"/>
        <v>0.98792223755686182</v>
      </c>
      <c r="J852" s="1085" t="str">
        <f t="shared" si="10"/>
        <v>C</v>
      </c>
      <c r="K852" s="1036"/>
      <c r="L852" s="1036"/>
      <c r="M852" s="1036"/>
      <c r="N852" s="1036"/>
      <c r="O852" s="1036"/>
      <c r="P852" s="1036"/>
      <c r="Q852" s="1036"/>
      <c r="R852" s="1036"/>
      <c r="S852" s="1036"/>
      <c r="T852" s="1036"/>
      <c r="U852" s="1036"/>
      <c r="V852" s="1036"/>
      <c r="W852" s="1036"/>
      <c r="X852" s="1036"/>
      <c r="Y852" s="1036"/>
      <c r="Z852" s="1036"/>
    </row>
    <row r="853" spans="1:26" ht="38.25">
      <c r="A853" s="1079">
        <v>92764</v>
      </c>
      <c r="B853" s="1080" t="s">
        <v>14476</v>
      </c>
      <c r="C853" s="1080" t="s">
        <v>7433</v>
      </c>
      <c r="D853" s="1081" t="s">
        <v>54</v>
      </c>
      <c r="E853" s="1082">
        <v>56.8</v>
      </c>
      <c r="F853" s="1083">
        <v>12.73</v>
      </c>
      <c r="G853" s="1083">
        <v>723.06</v>
      </c>
      <c r="H853" s="1084">
        <f t="shared" si="9"/>
        <v>4.9110405745273855E-5</v>
      </c>
      <c r="I853" s="1085">
        <f t="shared" si="11"/>
        <v>0.9879713479626071</v>
      </c>
      <c r="J853" s="1085" t="str">
        <f t="shared" si="10"/>
        <v>C</v>
      </c>
      <c r="K853" s="1036"/>
      <c r="L853" s="1036"/>
      <c r="M853" s="1036"/>
      <c r="N853" s="1036"/>
      <c r="O853" s="1036"/>
      <c r="P853" s="1036"/>
      <c r="Q853" s="1036"/>
      <c r="R853" s="1036"/>
      <c r="S853" s="1036"/>
      <c r="T853" s="1036"/>
      <c r="U853" s="1036"/>
      <c r="V853" s="1036"/>
      <c r="W853" s="1036"/>
      <c r="X853" s="1036"/>
      <c r="Y853" s="1036"/>
      <c r="Z853" s="1036"/>
    </row>
    <row r="854" spans="1:26" ht="38.25">
      <c r="A854" s="1079">
        <v>104004</v>
      </c>
      <c r="B854" s="1080" t="s">
        <v>14476</v>
      </c>
      <c r="C854" s="1080" t="s">
        <v>9848</v>
      </c>
      <c r="D854" s="1081" t="s">
        <v>6</v>
      </c>
      <c r="E854" s="1082">
        <v>21</v>
      </c>
      <c r="F854" s="1083">
        <v>34.33</v>
      </c>
      <c r="G854" s="1083">
        <v>720.93</v>
      </c>
      <c r="H854" s="1084">
        <f t="shared" si="9"/>
        <v>4.8965735642879264E-5</v>
      </c>
      <c r="I854" s="1085">
        <f t="shared" si="11"/>
        <v>0.98802031369824994</v>
      </c>
      <c r="J854" s="1085" t="str">
        <f t="shared" si="10"/>
        <v>C</v>
      </c>
      <c r="K854" s="1036"/>
      <c r="L854" s="1036"/>
      <c r="M854" s="1036"/>
      <c r="N854" s="1036"/>
      <c r="O854" s="1036"/>
      <c r="P854" s="1036"/>
      <c r="Q854" s="1036"/>
      <c r="R854" s="1036"/>
      <c r="S854" s="1036"/>
      <c r="T854" s="1036"/>
      <c r="U854" s="1036"/>
      <c r="V854" s="1036"/>
      <c r="W854" s="1036"/>
      <c r="X854" s="1036"/>
      <c r="Y854" s="1036"/>
      <c r="Z854" s="1036"/>
    </row>
    <row r="855" spans="1:26" ht="51">
      <c r="A855" s="1079" t="s">
        <v>15392</v>
      </c>
      <c r="B855" s="1080" t="s">
        <v>14472</v>
      </c>
      <c r="C855" s="1080" t="s">
        <v>15393</v>
      </c>
      <c r="D855" s="1081" t="s">
        <v>6</v>
      </c>
      <c r="E855" s="1082">
        <v>8</v>
      </c>
      <c r="F855" s="1083">
        <v>90.03</v>
      </c>
      <c r="G855" s="1083">
        <v>720.24</v>
      </c>
      <c r="H855" s="1084">
        <f t="shared" si="9"/>
        <v>4.891887068013172E-5</v>
      </c>
      <c r="I855" s="1085">
        <f t="shared" si="11"/>
        <v>0.98806923256893009</v>
      </c>
      <c r="J855" s="1085" t="str">
        <f t="shared" si="10"/>
        <v>C</v>
      </c>
      <c r="K855" s="1036"/>
      <c r="L855" s="1036"/>
      <c r="M855" s="1036"/>
      <c r="N855" s="1036"/>
      <c r="O855" s="1036"/>
      <c r="P855" s="1036"/>
      <c r="Q855" s="1036"/>
      <c r="R855" s="1036"/>
      <c r="S855" s="1036"/>
      <c r="T855" s="1036"/>
      <c r="U855" s="1036"/>
      <c r="V855" s="1036"/>
      <c r="W855" s="1036"/>
      <c r="X855" s="1036"/>
      <c r="Y855" s="1036"/>
      <c r="Z855" s="1036"/>
    </row>
    <row r="856" spans="1:26" ht="38.25">
      <c r="A856" s="1079">
        <v>91926</v>
      </c>
      <c r="B856" s="1080" t="s">
        <v>14476</v>
      </c>
      <c r="C856" s="1080" t="s">
        <v>7853</v>
      </c>
      <c r="D856" s="1081" t="s">
        <v>50</v>
      </c>
      <c r="E856" s="1082">
        <v>130</v>
      </c>
      <c r="F856" s="1083">
        <v>5.53</v>
      </c>
      <c r="G856" s="1083">
        <v>718.9</v>
      </c>
      <c r="H856" s="1084">
        <f t="shared" si="9"/>
        <v>4.8827857564071274E-5</v>
      </c>
      <c r="I856" s="1085">
        <f t="shared" si="11"/>
        <v>0.98811806042649419</v>
      </c>
      <c r="J856" s="1085" t="str">
        <f t="shared" si="10"/>
        <v>C</v>
      </c>
      <c r="K856" s="1036"/>
      <c r="L856" s="1036"/>
      <c r="M856" s="1036"/>
      <c r="N856" s="1036"/>
      <c r="O856" s="1036"/>
      <c r="P856" s="1036"/>
      <c r="Q856" s="1036"/>
      <c r="R856" s="1036"/>
      <c r="S856" s="1036"/>
      <c r="T856" s="1036"/>
      <c r="U856" s="1036"/>
      <c r="V856" s="1036"/>
      <c r="W856" s="1036"/>
      <c r="X856" s="1036"/>
      <c r="Y856" s="1036"/>
      <c r="Z856" s="1036"/>
    </row>
    <row r="857" spans="1:26" ht="25.5">
      <c r="A857" s="1079" t="s">
        <v>15041</v>
      </c>
      <c r="B857" s="1080" t="s">
        <v>14472</v>
      </c>
      <c r="C857" s="1080" t="s">
        <v>15042</v>
      </c>
      <c r="D857" s="1081" t="s">
        <v>6</v>
      </c>
      <c r="E857" s="1082">
        <v>2</v>
      </c>
      <c r="F857" s="1083">
        <v>358</v>
      </c>
      <c r="G857" s="1083">
        <v>716</v>
      </c>
      <c r="H857" s="1084">
        <f t="shared" si="9"/>
        <v>4.8630888880059862E-5</v>
      </c>
      <c r="I857" s="1085">
        <f t="shared" si="11"/>
        <v>0.98816669131537427</v>
      </c>
      <c r="J857" s="1085" t="str">
        <f t="shared" si="10"/>
        <v>C</v>
      </c>
      <c r="K857" s="1036"/>
      <c r="L857" s="1036"/>
      <c r="M857" s="1036"/>
      <c r="N857" s="1036"/>
      <c r="O857" s="1036"/>
      <c r="P857" s="1036"/>
      <c r="Q857" s="1036"/>
      <c r="R857" s="1036"/>
      <c r="S857" s="1036"/>
      <c r="T857" s="1036"/>
      <c r="U857" s="1036"/>
      <c r="V857" s="1036"/>
      <c r="W857" s="1036"/>
      <c r="X857" s="1036"/>
      <c r="Y857" s="1036"/>
      <c r="Z857" s="1036"/>
    </row>
    <row r="858" spans="1:26" ht="25.5">
      <c r="A858" s="1079" t="s">
        <v>15041</v>
      </c>
      <c r="B858" s="1080" t="s">
        <v>14472</v>
      </c>
      <c r="C858" s="1080" t="s">
        <v>15042</v>
      </c>
      <c r="D858" s="1081" t="s">
        <v>6</v>
      </c>
      <c r="E858" s="1082">
        <v>2</v>
      </c>
      <c r="F858" s="1083">
        <v>358</v>
      </c>
      <c r="G858" s="1083">
        <v>716</v>
      </c>
      <c r="H858" s="1084">
        <f t="shared" si="9"/>
        <v>4.8630888880059862E-5</v>
      </c>
      <c r="I858" s="1085">
        <f t="shared" si="11"/>
        <v>0.98821532220425434</v>
      </c>
      <c r="J858" s="1085" t="str">
        <f t="shared" si="10"/>
        <v>C</v>
      </c>
      <c r="K858" s="1036"/>
      <c r="L858" s="1036"/>
      <c r="M858" s="1036"/>
      <c r="N858" s="1036"/>
      <c r="O858" s="1036"/>
      <c r="P858" s="1036"/>
      <c r="Q858" s="1036"/>
      <c r="R858" s="1036"/>
      <c r="S858" s="1036"/>
      <c r="T858" s="1036"/>
      <c r="U858" s="1036"/>
      <c r="V858" s="1036"/>
      <c r="W858" s="1036"/>
      <c r="X858" s="1036"/>
      <c r="Y858" s="1036"/>
      <c r="Z858" s="1036"/>
    </row>
    <row r="859" spans="1:26" ht="38.25">
      <c r="A859" s="1079" t="s">
        <v>14532</v>
      </c>
      <c r="B859" s="1080" t="s">
        <v>14472</v>
      </c>
      <c r="C859" s="1080" t="s">
        <v>14533</v>
      </c>
      <c r="D859" s="1081" t="s">
        <v>152</v>
      </c>
      <c r="E859" s="1082">
        <v>2.5499999999999998</v>
      </c>
      <c r="F859" s="1083">
        <v>279.56</v>
      </c>
      <c r="G859" s="1083">
        <v>712.87</v>
      </c>
      <c r="H859" s="1084">
        <f t="shared" si="9"/>
        <v>4.8418298541799263E-5</v>
      </c>
      <c r="I859" s="1085">
        <f t="shared" si="11"/>
        <v>0.9882637405027962</v>
      </c>
      <c r="J859" s="1085" t="str">
        <f t="shared" si="10"/>
        <v>C</v>
      </c>
      <c r="K859" s="1036"/>
      <c r="L859" s="1036"/>
      <c r="M859" s="1036"/>
      <c r="N859" s="1036"/>
      <c r="O859" s="1036"/>
      <c r="P859" s="1036"/>
      <c r="Q859" s="1036"/>
      <c r="R859" s="1036"/>
      <c r="S859" s="1036"/>
      <c r="T859" s="1036"/>
      <c r="U859" s="1036"/>
      <c r="V859" s="1036"/>
      <c r="W859" s="1036"/>
      <c r="X859" s="1036"/>
      <c r="Y859" s="1036"/>
      <c r="Z859" s="1036"/>
    </row>
    <row r="860" spans="1:26" ht="38.25">
      <c r="A860" s="1079">
        <v>101173</v>
      </c>
      <c r="B860" s="1080" t="s">
        <v>14476</v>
      </c>
      <c r="C860" s="1080" t="s">
        <v>7154</v>
      </c>
      <c r="D860" s="1081" t="s">
        <v>50</v>
      </c>
      <c r="E860" s="1082">
        <v>9</v>
      </c>
      <c r="F860" s="1083">
        <v>78.66</v>
      </c>
      <c r="G860" s="1083">
        <v>707.94</v>
      </c>
      <c r="H860" s="1084">
        <f t="shared" si="9"/>
        <v>4.8083451778979861E-5</v>
      </c>
      <c r="I860" s="1085">
        <f t="shared" si="11"/>
        <v>0.98831182395457517</v>
      </c>
      <c r="J860" s="1085" t="str">
        <f t="shared" si="10"/>
        <v>C</v>
      </c>
      <c r="K860" s="1036"/>
      <c r="L860" s="1036"/>
      <c r="M860" s="1036"/>
      <c r="N860" s="1036"/>
      <c r="O860" s="1036"/>
      <c r="P860" s="1036"/>
      <c r="Q860" s="1036"/>
      <c r="R860" s="1036"/>
      <c r="S860" s="1036"/>
      <c r="T860" s="1036"/>
      <c r="U860" s="1036"/>
      <c r="V860" s="1036"/>
      <c r="W860" s="1036"/>
      <c r="X860" s="1036"/>
      <c r="Y860" s="1036"/>
      <c r="Z860" s="1036"/>
    </row>
    <row r="861" spans="1:26" ht="38.25">
      <c r="A861" s="1079" t="s">
        <v>15341</v>
      </c>
      <c r="B861" s="1080" t="s">
        <v>14472</v>
      </c>
      <c r="C861" s="1080" t="s">
        <v>15342</v>
      </c>
      <c r="D861" s="1081" t="s">
        <v>6</v>
      </c>
      <c r="E861" s="1082">
        <v>1</v>
      </c>
      <c r="F861" s="1083">
        <v>707.63</v>
      </c>
      <c r="G861" s="1083">
        <v>707.63</v>
      </c>
      <c r="H861" s="1084">
        <f t="shared" si="9"/>
        <v>4.8062396505861396E-5</v>
      </c>
      <c r="I861" s="1085">
        <f t="shared" si="11"/>
        <v>0.98835988635108107</v>
      </c>
      <c r="J861" s="1085" t="str">
        <f t="shared" si="10"/>
        <v>C</v>
      </c>
      <c r="K861" s="1036"/>
      <c r="L861" s="1036"/>
      <c r="M861" s="1036"/>
      <c r="N861" s="1036"/>
      <c r="O861" s="1036"/>
      <c r="P861" s="1036"/>
      <c r="Q861" s="1036"/>
      <c r="R861" s="1036"/>
      <c r="S861" s="1036"/>
      <c r="T861" s="1036"/>
      <c r="U861" s="1036"/>
      <c r="V861" s="1036"/>
      <c r="W861" s="1036"/>
      <c r="X861" s="1036"/>
      <c r="Y861" s="1036"/>
      <c r="Z861" s="1036"/>
    </row>
    <row r="862" spans="1:26" ht="38.25">
      <c r="A862" s="1079">
        <v>92763</v>
      </c>
      <c r="B862" s="1080" t="s">
        <v>14476</v>
      </c>
      <c r="C862" s="1080" t="s">
        <v>7432</v>
      </c>
      <c r="D862" s="1081" t="s">
        <v>54</v>
      </c>
      <c r="E862" s="1082">
        <v>53.8</v>
      </c>
      <c r="F862" s="1083">
        <v>13.11</v>
      </c>
      <c r="G862" s="1083">
        <v>705.31</v>
      </c>
      <c r="H862" s="1084">
        <f t="shared" si="9"/>
        <v>4.7904821558652259E-5</v>
      </c>
      <c r="I862" s="1085">
        <f t="shared" si="11"/>
        <v>0.98840779117263977</v>
      </c>
      <c r="J862" s="1085" t="str">
        <f t="shared" si="10"/>
        <v>C</v>
      </c>
      <c r="K862" s="1036"/>
      <c r="L862" s="1036"/>
      <c r="M862" s="1036"/>
      <c r="N862" s="1036"/>
      <c r="O862" s="1036"/>
      <c r="P862" s="1036"/>
      <c r="Q862" s="1036"/>
      <c r="R862" s="1036"/>
      <c r="S862" s="1036"/>
      <c r="T862" s="1036"/>
      <c r="U862" s="1036"/>
      <c r="V862" s="1036"/>
      <c r="W862" s="1036"/>
      <c r="X862" s="1036"/>
      <c r="Y862" s="1036"/>
      <c r="Z862" s="1036"/>
    </row>
    <row r="863" spans="1:26" ht="14.25">
      <c r="A863" s="1079" t="s">
        <v>15408</v>
      </c>
      <c r="B863" s="1080" t="s">
        <v>14472</v>
      </c>
      <c r="C863" s="1080" t="s">
        <v>15409</v>
      </c>
      <c r="D863" s="1081" t="s">
        <v>6</v>
      </c>
      <c r="E863" s="1082">
        <v>8</v>
      </c>
      <c r="F863" s="1083">
        <v>87.71</v>
      </c>
      <c r="G863" s="1083">
        <v>701.68</v>
      </c>
      <c r="H863" s="1084">
        <f t="shared" si="9"/>
        <v>4.7658271102458662E-5</v>
      </c>
      <c r="I863" s="1085">
        <f t="shared" si="11"/>
        <v>0.9884554494437422</v>
      </c>
      <c r="J863" s="1085" t="str">
        <f t="shared" si="10"/>
        <v>C</v>
      </c>
      <c r="K863" s="1036"/>
      <c r="L863" s="1036"/>
      <c r="M863" s="1036"/>
      <c r="N863" s="1036"/>
      <c r="O863" s="1036"/>
      <c r="P863" s="1036"/>
      <c r="Q863" s="1036"/>
      <c r="R863" s="1036"/>
      <c r="S863" s="1036"/>
      <c r="T863" s="1036"/>
      <c r="U863" s="1036"/>
      <c r="V863" s="1036"/>
      <c r="W863" s="1036"/>
      <c r="X863" s="1036"/>
      <c r="Y863" s="1036"/>
      <c r="Z863" s="1036"/>
    </row>
    <row r="864" spans="1:26" ht="38.25">
      <c r="A864" s="1079" t="s">
        <v>14806</v>
      </c>
      <c r="B864" s="1080" t="s">
        <v>14472</v>
      </c>
      <c r="C864" s="1080" t="s">
        <v>14807</v>
      </c>
      <c r="D864" s="1081" t="s">
        <v>6</v>
      </c>
      <c r="E864" s="1082">
        <v>2</v>
      </c>
      <c r="F864" s="1083">
        <v>348.98</v>
      </c>
      <c r="G864" s="1083">
        <v>697.96</v>
      </c>
      <c r="H864" s="1084">
        <f t="shared" si="9"/>
        <v>4.7405607825037126E-5</v>
      </c>
      <c r="I864" s="1085">
        <f t="shared" si="11"/>
        <v>0.98850285505156721</v>
      </c>
      <c r="J864" s="1085" t="str">
        <f t="shared" si="10"/>
        <v>C</v>
      </c>
      <c r="K864" s="1036"/>
      <c r="L864" s="1036"/>
      <c r="M864" s="1036"/>
      <c r="N864" s="1036"/>
      <c r="O864" s="1036"/>
      <c r="P864" s="1036"/>
      <c r="Q864" s="1036"/>
      <c r="R864" s="1036"/>
      <c r="S864" s="1036"/>
      <c r="T864" s="1036"/>
      <c r="U864" s="1036"/>
      <c r="V864" s="1036"/>
      <c r="W864" s="1036"/>
      <c r="X864" s="1036"/>
      <c r="Y864" s="1036"/>
      <c r="Z864" s="1036"/>
    </row>
    <row r="865" spans="1:26" ht="51">
      <c r="A865" s="1079">
        <v>89733</v>
      </c>
      <c r="B865" s="1080" t="s">
        <v>14476</v>
      </c>
      <c r="C865" s="1080" t="s">
        <v>8946</v>
      </c>
      <c r="D865" s="1081" t="s">
        <v>6</v>
      </c>
      <c r="E865" s="1082">
        <v>25</v>
      </c>
      <c r="F865" s="1083">
        <v>27.91</v>
      </c>
      <c r="G865" s="1083">
        <v>697.75</v>
      </c>
      <c r="H865" s="1084">
        <f t="shared" si="9"/>
        <v>4.7391344575505262E-5</v>
      </c>
      <c r="I865" s="1085">
        <f t="shared" si="11"/>
        <v>0.98855024639614275</v>
      </c>
      <c r="J865" s="1085" t="str">
        <f t="shared" si="10"/>
        <v>C</v>
      </c>
      <c r="K865" s="1036"/>
      <c r="L865" s="1036"/>
      <c r="M865" s="1036"/>
      <c r="N865" s="1036"/>
      <c r="O865" s="1036"/>
      <c r="P865" s="1036"/>
      <c r="Q865" s="1036"/>
      <c r="R865" s="1036"/>
      <c r="S865" s="1036"/>
      <c r="T865" s="1036"/>
      <c r="U865" s="1036"/>
      <c r="V865" s="1036"/>
      <c r="W865" s="1036"/>
      <c r="X865" s="1036"/>
      <c r="Y865" s="1036"/>
      <c r="Z865" s="1036"/>
    </row>
    <row r="866" spans="1:26" ht="25.5">
      <c r="A866" s="1079" t="s">
        <v>15298</v>
      </c>
      <c r="B866" s="1080" t="s">
        <v>14472</v>
      </c>
      <c r="C866" s="1080" t="s">
        <v>15333</v>
      </c>
      <c r="D866" s="1081" t="s">
        <v>6</v>
      </c>
      <c r="E866" s="1082">
        <v>2</v>
      </c>
      <c r="F866" s="1083">
        <v>342.37</v>
      </c>
      <c r="G866" s="1083">
        <v>684.74</v>
      </c>
      <c r="H866" s="1084">
        <f t="shared" si="9"/>
        <v>4.6507702306888535E-5</v>
      </c>
      <c r="I866" s="1085">
        <f t="shared" si="11"/>
        <v>0.9885967540984496</v>
      </c>
      <c r="J866" s="1085" t="str">
        <f t="shared" si="10"/>
        <v>C</v>
      </c>
      <c r="K866" s="1036"/>
      <c r="L866" s="1036"/>
      <c r="M866" s="1036"/>
      <c r="N866" s="1036"/>
      <c r="O866" s="1036"/>
      <c r="P866" s="1036"/>
      <c r="Q866" s="1036"/>
      <c r="R866" s="1036"/>
      <c r="S866" s="1036"/>
      <c r="T866" s="1036"/>
      <c r="U866" s="1036"/>
      <c r="V866" s="1036"/>
      <c r="W866" s="1036"/>
      <c r="X866" s="1036"/>
      <c r="Y866" s="1036"/>
      <c r="Z866" s="1036"/>
    </row>
    <row r="867" spans="1:26" ht="51">
      <c r="A867" s="1079">
        <v>89797</v>
      </c>
      <c r="B867" s="1080" t="s">
        <v>14476</v>
      </c>
      <c r="C867" s="1080" t="s">
        <v>9003</v>
      </c>
      <c r="D867" s="1081" t="s">
        <v>6</v>
      </c>
      <c r="E867" s="1082">
        <v>11</v>
      </c>
      <c r="F867" s="1083">
        <v>61.86</v>
      </c>
      <c r="G867" s="1083">
        <v>680.46</v>
      </c>
      <c r="H867" s="1084">
        <f t="shared" si="9"/>
        <v>4.6217003697382029E-5</v>
      </c>
      <c r="I867" s="1085">
        <f t="shared" si="11"/>
        <v>0.98864297110214694</v>
      </c>
      <c r="J867" s="1085" t="str">
        <f t="shared" si="10"/>
        <v>C</v>
      </c>
      <c r="K867" s="1036"/>
      <c r="L867" s="1036"/>
      <c r="M867" s="1036"/>
      <c r="N867" s="1036"/>
      <c r="O867" s="1036"/>
      <c r="P867" s="1036"/>
      <c r="Q867" s="1036"/>
      <c r="R867" s="1036"/>
      <c r="S867" s="1036"/>
      <c r="T867" s="1036"/>
      <c r="U867" s="1036"/>
      <c r="V867" s="1036"/>
      <c r="W867" s="1036"/>
      <c r="X867" s="1036"/>
      <c r="Y867" s="1036"/>
      <c r="Z867" s="1036"/>
    </row>
    <row r="868" spans="1:26" ht="38.25">
      <c r="A868" s="1079" t="s">
        <v>15417</v>
      </c>
      <c r="B868" s="1080" t="s">
        <v>14472</v>
      </c>
      <c r="C868" s="1080" t="s">
        <v>15418</v>
      </c>
      <c r="D868" s="1081" t="s">
        <v>6</v>
      </c>
      <c r="E868" s="1082">
        <v>8</v>
      </c>
      <c r="F868" s="1083">
        <v>84.97</v>
      </c>
      <c r="G868" s="1083">
        <v>679.76</v>
      </c>
      <c r="H868" s="1084">
        <f t="shared" si="9"/>
        <v>4.6169459532275823E-5</v>
      </c>
      <c r="I868" s="1085">
        <f t="shared" si="11"/>
        <v>0.98868914056167922</v>
      </c>
      <c r="J868" s="1085" t="str">
        <f t="shared" si="10"/>
        <v>C</v>
      </c>
      <c r="K868" s="1036"/>
      <c r="L868" s="1036"/>
      <c r="M868" s="1036"/>
      <c r="N868" s="1036"/>
      <c r="O868" s="1036"/>
      <c r="P868" s="1036"/>
      <c r="Q868" s="1036"/>
      <c r="R868" s="1036"/>
      <c r="S868" s="1036"/>
      <c r="T868" s="1036"/>
      <c r="U868" s="1036"/>
      <c r="V868" s="1036"/>
      <c r="W868" s="1036"/>
      <c r="X868" s="1036"/>
      <c r="Y868" s="1036"/>
      <c r="Z868" s="1036"/>
    </row>
    <row r="869" spans="1:26" ht="38.25">
      <c r="A869" s="1079" t="s">
        <v>15417</v>
      </c>
      <c r="B869" s="1080" t="s">
        <v>14472</v>
      </c>
      <c r="C869" s="1080" t="s">
        <v>15418</v>
      </c>
      <c r="D869" s="1081" t="s">
        <v>6</v>
      </c>
      <c r="E869" s="1082">
        <v>8</v>
      </c>
      <c r="F869" s="1083">
        <v>84.97</v>
      </c>
      <c r="G869" s="1083">
        <v>679.76</v>
      </c>
      <c r="H869" s="1084">
        <f t="shared" si="9"/>
        <v>4.6169459532275823E-5</v>
      </c>
      <c r="I869" s="1085">
        <f t="shared" si="11"/>
        <v>0.98873531002121151</v>
      </c>
      <c r="J869" s="1085" t="str">
        <f t="shared" si="10"/>
        <v>C</v>
      </c>
      <c r="K869" s="1036"/>
      <c r="L869" s="1036"/>
      <c r="M869" s="1036"/>
      <c r="N869" s="1036"/>
      <c r="O869" s="1036"/>
      <c r="P869" s="1036"/>
      <c r="Q869" s="1036"/>
      <c r="R869" s="1036"/>
      <c r="S869" s="1036"/>
      <c r="T869" s="1036"/>
      <c r="U869" s="1036"/>
      <c r="V869" s="1036"/>
      <c r="W869" s="1036"/>
      <c r="X869" s="1036"/>
      <c r="Y869" s="1036"/>
      <c r="Z869" s="1036"/>
    </row>
    <row r="870" spans="1:26" ht="51">
      <c r="A870" s="1079">
        <v>92431</v>
      </c>
      <c r="B870" s="1080" t="s">
        <v>14476</v>
      </c>
      <c r="C870" s="1080" t="s">
        <v>7221</v>
      </c>
      <c r="D870" s="1081" t="s">
        <v>409</v>
      </c>
      <c r="E870" s="1082">
        <v>7.39</v>
      </c>
      <c r="F870" s="1083">
        <v>91.75</v>
      </c>
      <c r="G870" s="1083">
        <v>678.03</v>
      </c>
      <c r="H870" s="1084">
        <f t="shared" si="9"/>
        <v>4.6051957524227635E-5</v>
      </c>
      <c r="I870" s="1085">
        <f t="shared" si="11"/>
        <v>0.98878136197873578</v>
      </c>
      <c r="J870" s="1085" t="str">
        <f t="shared" si="10"/>
        <v>C</v>
      </c>
      <c r="K870" s="1036"/>
      <c r="L870" s="1036"/>
      <c r="M870" s="1036"/>
      <c r="N870" s="1036"/>
      <c r="O870" s="1036"/>
      <c r="P870" s="1036"/>
      <c r="Q870" s="1036"/>
      <c r="R870" s="1036"/>
      <c r="S870" s="1036"/>
      <c r="T870" s="1036"/>
      <c r="U870" s="1036"/>
      <c r="V870" s="1036"/>
      <c r="W870" s="1036"/>
      <c r="X870" s="1036"/>
      <c r="Y870" s="1036"/>
      <c r="Z870" s="1036"/>
    </row>
    <row r="871" spans="1:26" ht="38.25">
      <c r="A871" s="1079">
        <v>91939</v>
      </c>
      <c r="B871" s="1080" t="s">
        <v>14476</v>
      </c>
      <c r="C871" s="1080" t="s">
        <v>7885</v>
      </c>
      <c r="D871" s="1081" t="s">
        <v>6</v>
      </c>
      <c r="E871" s="1082">
        <v>18</v>
      </c>
      <c r="F871" s="1083">
        <v>37.659999999999997</v>
      </c>
      <c r="G871" s="1083">
        <v>677.88</v>
      </c>
      <c r="H871" s="1084">
        <f t="shared" si="9"/>
        <v>4.6041769488847737E-5</v>
      </c>
      <c r="I871" s="1085">
        <f t="shared" si="11"/>
        <v>0.98882740374822464</v>
      </c>
      <c r="J871" s="1085" t="str">
        <f t="shared" si="10"/>
        <v>C</v>
      </c>
      <c r="K871" s="1036"/>
      <c r="L871" s="1036"/>
      <c r="M871" s="1036"/>
      <c r="N871" s="1036"/>
      <c r="O871" s="1036"/>
      <c r="P871" s="1036"/>
      <c r="Q871" s="1036"/>
      <c r="R871" s="1036"/>
      <c r="S871" s="1036"/>
      <c r="T871" s="1036"/>
      <c r="U871" s="1036"/>
      <c r="V871" s="1036"/>
      <c r="W871" s="1036"/>
      <c r="X871" s="1036"/>
      <c r="Y871" s="1036"/>
      <c r="Z871" s="1036"/>
    </row>
    <row r="872" spans="1:26" ht="38.25">
      <c r="A872" s="1079">
        <v>92762</v>
      </c>
      <c r="B872" s="1080" t="s">
        <v>14476</v>
      </c>
      <c r="C872" s="1080" t="s">
        <v>7431</v>
      </c>
      <c r="D872" s="1081" t="s">
        <v>54</v>
      </c>
      <c r="E872" s="1082">
        <v>43.5</v>
      </c>
      <c r="F872" s="1083">
        <v>15.5</v>
      </c>
      <c r="G872" s="1083">
        <v>674.25</v>
      </c>
      <c r="H872" s="1084">
        <f t="shared" si="9"/>
        <v>4.5795219032654133E-5</v>
      </c>
      <c r="I872" s="1085">
        <f t="shared" si="11"/>
        <v>0.98887319896725734</v>
      </c>
      <c r="J872" s="1085" t="str">
        <f t="shared" si="10"/>
        <v>C</v>
      </c>
      <c r="K872" s="1036"/>
      <c r="L872" s="1036"/>
      <c r="M872" s="1036"/>
      <c r="N872" s="1036"/>
      <c r="O872" s="1036"/>
      <c r="P872" s="1036"/>
      <c r="Q872" s="1036"/>
      <c r="R872" s="1036"/>
      <c r="S872" s="1036"/>
      <c r="T872" s="1036"/>
      <c r="U872" s="1036"/>
      <c r="V872" s="1036"/>
      <c r="W872" s="1036"/>
      <c r="X872" s="1036"/>
      <c r="Y872" s="1036"/>
      <c r="Z872" s="1036"/>
    </row>
    <row r="873" spans="1:26" ht="25.5">
      <c r="A873" s="1079">
        <v>93382</v>
      </c>
      <c r="B873" s="1080" t="s">
        <v>14476</v>
      </c>
      <c r="C873" s="1080" t="s">
        <v>10726</v>
      </c>
      <c r="D873" s="1081" t="s">
        <v>152</v>
      </c>
      <c r="E873" s="1082">
        <v>22.7</v>
      </c>
      <c r="F873" s="1083">
        <v>29.52</v>
      </c>
      <c r="G873" s="1083">
        <v>670.1</v>
      </c>
      <c r="H873" s="1084">
        <f t="shared" si="9"/>
        <v>4.5513350053810214E-5</v>
      </c>
      <c r="I873" s="1085">
        <f t="shared" si="11"/>
        <v>0.9889187123173111</v>
      </c>
      <c r="J873" s="1085" t="str">
        <f t="shared" si="10"/>
        <v>C</v>
      </c>
      <c r="K873" s="1036"/>
      <c r="L873" s="1036"/>
      <c r="M873" s="1036"/>
      <c r="N873" s="1036"/>
      <c r="O873" s="1036"/>
      <c r="P873" s="1036"/>
      <c r="Q873" s="1036"/>
      <c r="R873" s="1036"/>
      <c r="S873" s="1036"/>
      <c r="T873" s="1036"/>
      <c r="U873" s="1036"/>
      <c r="V873" s="1036"/>
      <c r="W873" s="1036"/>
      <c r="X873" s="1036"/>
      <c r="Y873" s="1036"/>
      <c r="Z873" s="1036"/>
    </row>
    <row r="874" spans="1:26" ht="38.25">
      <c r="A874" s="1079">
        <v>91933</v>
      </c>
      <c r="B874" s="1080" t="s">
        <v>14476</v>
      </c>
      <c r="C874" s="1080" t="s">
        <v>7860</v>
      </c>
      <c r="D874" s="1081" t="s">
        <v>50</v>
      </c>
      <c r="E874" s="1082">
        <v>32</v>
      </c>
      <c r="F874" s="1083">
        <v>20.93</v>
      </c>
      <c r="G874" s="1083">
        <v>669.76</v>
      </c>
      <c r="H874" s="1084">
        <f t="shared" si="9"/>
        <v>4.549025717361577E-5</v>
      </c>
      <c r="I874" s="1085">
        <f t="shared" si="11"/>
        <v>0.9889642025744847</v>
      </c>
      <c r="J874" s="1085" t="str">
        <f t="shared" si="10"/>
        <v>C</v>
      </c>
      <c r="K874" s="1036"/>
      <c r="L874" s="1036"/>
      <c r="M874" s="1036"/>
      <c r="N874" s="1036"/>
      <c r="O874" s="1036"/>
      <c r="P874" s="1036"/>
      <c r="Q874" s="1036"/>
      <c r="R874" s="1036"/>
      <c r="S874" s="1036"/>
      <c r="T874" s="1036"/>
      <c r="U874" s="1036"/>
      <c r="V874" s="1036"/>
      <c r="W874" s="1036"/>
      <c r="X874" s="1036"/>
      <c r="Y874" s="1036"/>
      <c r="Z874" s="1036"/>
    </row>
    <row r="875" spans="1:26" ht="38.25">
      <c r="A875" s="1079">
        <v>89630</v>
      </c>
      <c r="B875" s="1080" t="s">
        <v>14476</v>
      </c>
      <c r="C875" s="1080" t="s">
        <v>8861</v>
      </c>
      <c r="D875" s="1081" t="s">
        <v>6</v>
      </c>
      <c r="E875" s="1082">
        <v>10</v>
      </c>
      <c r="F875" s="1083">
        <v>66.86</v>
      </c>
      <c r="G875" s="1083">
        <v>668.6</v>
      </c>
      <c r="H875" s="1084">
        <f t="shared" si="9"/>
        <v>4.5411469700011208E-5</v>
      </c>
      <c r="I875" s="1085">
        <f t="shared" si="11"/>
        <v>0.98900961404418475</v>
      </c>
      <c r="J875" s="1085" t="str">
        <f t="shared" si="10"/>
        <v>C</v>
      </c>
      <c r="K875" s="1036"/>
      <c r="L875" s="1036"/>
      <c r="M875" s="1036"/>
      <c r="N875" s="1036"/>
      <c r="O875" s="1036"/>
      <c r="P875" s="1036"/>
      <c r="Q875" s="1036"/>
      <c r="R875" s="1036"/>
      <c r="S875" s="1036"/>
      <c r="T875" s="1036"/>
      <c r="U875" s="1036"/>
      <c r="V875" s="1036"/>
      <c r="W875" s="1036"/>
      <c r="X875" s="1036"/>
      <c r="Y875" s="1036"/>
      <c r="Z875" s="1036"/>
    </row>
    <row r="876" spans="1:26" ht="38.25">
      <c r="A876" s="1079">
        <v>89630</v>
      </c>
      <c r="B876" s="1080" t="s">
        <v>14476</v>
      </c>
      <c r="C876" s="1080" t="s">
        <v>8861</v>
      </c>
      <c r="D876" s="1081" t="s">
        <v>6</v>
      </c>
      <c r="E876" s="1082">
        <v>10</v>
      </c>
      <c r="F876" s="1083">
        <v>66.86</v>
      </c>
      <c r="G876" s="1083">
        <v>668.6</v>
      </c>
      <c r="H876" s="1084">
        <f t="shared" si="9"/>
        <v>4.5411469700011208E-5</v>
      </c>
      <c r="I876" s="1085">
        <f t="shared" si="11"/>
        <v>0.9890550255138848</v>
      </c>
      <c r="J876" s="1085" t="str">
        <f t="shared" si="10"/>
        <v>C</v>
      </c>
      <c r="K876" s="1036"/>
      <c r="L876" s="1036"/>
      <c r="M876" s="1036"/>
      <c r="N876" s="1036"/>
      <c r="O876" s="1036"/>
      <c r="P876" s="1036"/>
      <c r="Q876" s="1036"/>
      <c r="R876" s="1036"/>
      <c r="S876" s="1036"/>
      <c r="T876" s="1036"/>
      <c r="U876" s="1036"/>
      <c r="V876" s="1036"/>
      <c r="W876" s="1036"/>
      <c r="X876" s="1036"/>
      <c r="Y876" s="1036"/>
      <c r="Z876" s="1036"/>
    </row>
    <row r="877" spans="1:26" ht="38.25">
      <c r="A877" s="1079">
        <v>92000</v>
      </c>
      <c r="B877" s="1080" t="s">
        <v>14476</v>
      </c>
      <c r="C877" s="1080" t="s">
        <v>8059</v>
      </c>
      <c r="D877" s="1081" t="s">
        <v>6</v>
      </c>
      <c r="E877" s="1082">
        <v>18</v>
      </c>
      <c r="F877" s="1083">
        <v>36.979999999999997</v>
      </c>
      <c r="G877" s="1083">
        <v>665.64</v>
      </c>
      <c r="H877" s="1084">
        <f t="shared" si="9"/>
        <v>4.5210425801847831E-5</v>
      </c>
      <c r="I877" s="1085">
        <f t="shared" si="11"/>
        <v>0.98910023593968666</v>
      </c>
      <c r="J877" s="1085" t="str">
        <f t="shared" si="10"/>
        <v>C</v>
      </c>
      <c r="K877" s="1036"/>
      <c r="L877" s="1036"/>
      <c r="M877" s="1036"/>
      <c r="N877" s="1036"/>
      <c r="O877" s="1036"/>
      <c r="P877" s="1036"/>
      <c r="Q877" s="1036"/>
      <c r="R877" s="1036"/>
      <c r="S877" s="1036"/>
      <c r="T877" s="1036"/>
      <c r="U877" s="1036"/>
      <c r="V877" s="1036"/>
      <c r="W877" s="1036"/>
      <c r="X877" s="1036"/>
      <c r="Y877" s="1036"/>
      <c r="Z877" s="1036"/>
    </row>
    <row r="878" spans="1:26" ht="38.25">
      <c r="A878" s="1079">
        <v>86914</v>
      </c>
      <c r="B878" s="1080" t="s">
        <v>14476</v>
      </c>
      <c r="C878" s="1080" t="s">
        <v>10116</v>
      </c>
      <c r="D878" s="1081" t="s">
        <v>6</v>
      </c>
      <c r="E878" s="1082">
        <v>5</v>
      </c>
      <c r="F878" s="1083">
        <v>133.06</v>
      </c>
      <c r="G878" s="1083">
        <v>665.3</v>
      </c>
      <c r="H878" s="1084">
        <f t="shared" si="9"/>
        <v>4.5187332921653386E-5</v>
      </c>
      <c r="I878" s="1085">
        <f t="shared" si="11"/>
        <v>0.98914542327260835</v>
      </c>
      <c r="J878" s="1085" t="str">
        <f t="shared" si="10"/>
        <v>C</v>
      </c>
      <c r="K878" s="1036"/>
      <c r="L878" s="1036"/>
      <c r="M878" s="1036"/>
      <c r="N878" s="1036"/>
      <c r="O878" s="1036"/>
      <c r="P878" s="1036"/>
      <c r="Q878" s="1036"/>
      <c r="R878" s="1036"/>
      <c r="S878" s="1036"/>
      <c r="T878" s="1036"/>
      <c r="U878" s="1036"/>
      <c r="V878" s="1036"/>
      <c r="W878" s="1036"/>
      <c r="X878" s="1036"/>
      <c r="Y878" s="1036"/>
      <c r="Z878" s="1036"/>
    </row>
    <row r="879" spans="1:26" ht="38.25">
      <c r="A879" s="1079">
        <v>97087</v>
      </c>
      <c r="B879" s="1080" t="s">
        <v>14476</v>
      </c>
      <c r="C879" s="1080" t="s">
        <v>7175</v>
      </c>
      <c r="D879" s="1081" t="s">
        <v>409</v>
      </c>
      <c r="E879" s="1082">
        <v>159.76</v>
      </c>
      <c r="F879" s="1083">
        <v>4.16</v>
      </c>
      <c r="G879" s="1083">
        <v>664.6</v>
      </c>
      <c r="H879" s="1084">
        <f t="shared" si="9"/>
        <v>4.5139788756547187E-5</v>
      </c>
      <c r="I879" s="1085">
        <f t="shared" si="11"/>
        <v>0.98919056306136488</v>
      </c>
      <c r="J879" s="1085" t="str">
        <f t="shared" si="10"/>
        <v>C</v>
      </c>
      <c r="K879" s="1036"/>
      <c r="L879" s="1036"/>
      <c r="M879" s="1036"/>
      <c r="N879" s="1036"/>
      <c r="O879" s="1036"/>
      <c r="P879" s="1036"/>
      <c r="Q879" s="1036"/>
      <c r="R879" s="1036"/>
      <c r="S879" s="1036"/>
      <c r="T879" s="1036"/>
      <c r="U879" s="1036"/>
      <c r="V879" s="1036"/>
      <c r="W879" s="1036"/>
      <c r="X879" s="1036"/>
      <c r="Y879" s="1036"/>
      <c r="Z879" s="1036"/>
    </row>
    <row r="880" spans="1:26" ht="38.25">
      <c r="A880" s="1079">
        <v>92764</v>
      </c>
      <c r="B880" s="1080" t="s">
        <v>14476</v>
      </c>
      <c r="C880" s="1080" t="s">
        <v>7433</v>
      </c>
      <c r="D880" s="1081" t="s">
        <v>54</v>
      </c>
      <c r="E880" s="1082">
        <v>52.1</v>
      </c>
      <c r="F880" s="1083">
        <v>12.73</v>
      </c>
      <c r="G880" s="1083">
        <v>663.23</v>
      </c>
      <c r="H880" s="1084">
        <f t="shared" si="9"/>
        <v>4.5046738033410755E-5</v>
      </c>
      <c r="I880" s="1085">
        <f t="shared" si="11"/>
        <v>0.98923560979939829</v>
      </c>
      <c r="J880" s="1085" t="str">
        <f t="shared" si="10"/>
        <v>C</v>
      </c>
      <c r="K880" s="1036"/>
      <c r="L880" s="1036"/>
      <c r="M880" s="1036"/>
      <c r="N880" s="1036"/>
      <c r="O880" s="1036"/>
      <c r="P880" s="1036"/>
      <c r="Q880" s="1036"/>
      <c r="R880" s="1036"/>
      <c r="S880" s="1036"/>
      <c r="T880" s="1036"/>
      <c r="U880" s="1036"/>
      <c r="V880" s="1036"/>
      <c r="W880" s="1036"/>
      <c r="X880" s="1036"/>
      <c r="Y880" s="1036"/>
      <c r="Z880" s="1036"/>
    </row>
    <row r="881" spans="1:26" ht="25.5">
      <c r="A881" s="1079">
        <v>93382</v>
      </c>
      <c r="B881" s="1080" t="s">
        <v>14476</v>
      </c>
      <c r="C881" s="1080" t="s">
        <v>10726</v>
      </c>
      <c r="D881" s="1081" t="s">
        <v>152</v>
      </c>
      <c r="E881" s="1082">
        <v>21.97</v>
      </c>
      <c r="F881" s="1083">
        <v>29.52</v>
      </c>
      <c r="G881" s="1083">
        <v>648.46</v>
      </c>
      <c r="H881" s="1084">
        <f t="shared" si="9"/>
        <v>4.404355614966986E-5</v>
      </c>
      <c r="I881" s="1085">
        <f t="shared" si="11"/>
        <v>0.98927965335554791</v>
      </c>
      <c r="J881" s="1085" t="str">
        <f t="shared" si="10"/>
        <v>C</v>
      </c>
      <c r="K881" s="1036"/>
      <c r="L881" s="1036"/>
      <c r="M881" s="1036"/>
      <c r="N881" s="1036"/>
      <c r="O881" s="1036"/>
      <c r="P881" s="1036"/>
      <c r="Q881" s="1036"/>
      <c r="R881" s="1036"/>
      <c r="S881" s="1036"/>
      <c r="T881" s="1036"/>
      <c r="U881" s="1036"/>
      <c r="V881" s="1036"/>
      <c r="W881" s="1036"/>
      <c r="X881" s="1036"/>
      <c r="Y881" s="1036"/>
      <c r="Z881" s="1036"/>
    </row>
    <row r="882" spans="1:26" ht="51">
      <c r="A882" s="1079" t="s">
        <v>15370</v>
      </c>
      <c r="B882" s="1080" t="s">
        <v>14472</v>
      </c>
      <c r="C882" s="1080" t="s">
        <v>15371</v>
      </c>
      <c r="D882" s="1081" t="s">
        <v>6</v>
      </c>
      <c r="E882" s="1082">
        <v>12</v>
      </c>
      <c r="F882" s="1083">
        <v>53.95</v>
      </c>
      <c r="G882" s="1083">
        <v>647.4</v>
      </c>
      <c r="H882" s="1084">
        <f t="shared" si="9"/>
        <v>4.3971560699651886E-5</v>
      </c>
      <c r="I882" s="1085">
        <f t="shared" si="11"/>
        <v>0.98932362491624759</v>
      </c>
      <c r="J882" s="1085" t="str">
        <f t="shared" si="10"/>
        <v>C</v>
      </c>
      <c r="K882" s="1036"/>
      <c r="L882" s="1036"/>
      <c r="M882" s="1036"/>
      <c r="N882" s="1036"/>
      <c r="O882" s="1036"/>
      <c r="P882" s="1036"/>
      <c r="Q882" s="1036"/>
      <c r="R882" s="1036"/>
      <c r="S882" s="1036"/>
      <c r="T882" s="1036"/>
      <c r="U882" s="1036"/>
      <c r="V882" s="1036"/>
      <c r="W882" s="1036"/>
      <c r="X882" s="1036"/>
      <c r="Y882" s="1036"/>
      <c r="Z882" s="1036"/>
    </row>
    <row r="883" spans="1:26" ht="38.25">
      <c r="A883" s="1079">
        <v>104919</v>
      </c>
      <c r="B883" s="1080" t="s">
        <v>14476</v>
      </c>
      <c r="C883" s="1080" t="s">
        <v>7516</v>
      </c>
      <c r="D883" s="1081" t="s">
        <v>54</v>
      </c>
      <c r="E883" s="1082">
        <v>36.729999999999997</v>
      </c>
      <c r="F883" s="1083">
        <v>17.45</v>
      </c>
      <c r="G883" s="1083">
        <v>640.92999999999995</v>
      </c>
      <c r="H883" s="1084">
        <f t="shared" si="9"/>
        <v>4.353211677359883E-5</v>
      </c>
      <c r="I883" s="1085">
        <f t="shared" si="11"/>
        <v>0.98936715703302114</v>
      </c>
      <c r="J883" s="1085" t="str">
        <f t="shared" si="10"/>
        <v>C</v>
      </c>
      <c r="K883" s="1036"/>
      <c r="L883" s="1036"/>
      <c r="M883" s="1036"/>
      <c r="N883" s="1036"/>
      <c r="O883" s="1036"/>
      <c r="P883" s="1036"/>
      <c r="Q883" s="1036"/>
      <c r="R883" s="1036"/>
      <c r="S883" s="1036"/>
      <c r="T883" s="1036"/>
      <c r="U883" s="1036"/>
      <c r="V883" s="1036"/>
      <c r="W883" s="1036"/>
      <c r="X883" s="1036"/>
      <c r="Y883" s="1036"/>
      <c r="Z883" s="1036"/>
    </row>
    <row r="884" spans="1:26" ht="38.25">
      <c r="A884" s="1079">
        <v>96535</v>
      </c>
      <c r="B884" s="1080" t="s">
        <v>14476</v>
      </c>
      <c r="C884" s="1080" t="s">
        <v>7301</v>
      </c>
      <c r="D884" s="1081" t="s">
        <v>409</v>
      </c>
      <c r="E884" s="1082">
        <v>3.9</v>
      </c>
      <c r="F884" s="1083">
        <v>164.12</v>
      </c>
      <c r="G884" s="1083">
        <v>640.05999999999995</v>
      </c>
      <c r="H884" s="1084">
        <f t="shared" si="9"/>
        <v>4.3473026168395408E-5</v>
      </c>
      <c r="I884" s="1085">
        <f t="shared" si="11"/>
        <v>0.9894106300591895</v>
      </c>
      <c r="J884" s="1085" t="str">
        <f t="shared" si="10"/>
        <v>C</v>
      </c>
      <c r="K884" s="1036"/>
      <c r="L884" s="1036"/>
      <c r="M884" s="1036"/>
      <c r="N884" s="1036"/>
      <c r="O884" s="1036"/>
      <c r="P884" s="1036"/>
      <c r="Q884" s="1036"/>
      <c r="R884" s="1036"/>
      <c r="S884" s="1036"/>
      <c r="T884" s="1036"/>
      <c r="U884" s="1036"/>
      <c r="V884" s="1036"/>
      <c r="W884" s="1036"/>
      <c r="X884" s="1036"/>
      <c r="Y884" s="1036"/>
      <c r="Z884" s="1036"/>
    </row>
    <row r="885" spans="1:26" ht="51">
      <c r="A885" s="1079">
        <v>89712</v>
      </c>
      <c r="B885" s="1080" t="s">
        <v>14476</v>
      </c>
      <c r="C885" s="1080" t="s">
        <v>8443</v>
      </c>
      <c r="D885" s="1081" t="s">
        <v>50</v>
      </c>
      <c r="E885" s="1082">
        <v>20</v>
      </c>
      <c r="F885" s="1083">
        <v>31.7</v>
      </c>
      <c r="G885" s="1083">
        <v>634</v>
      </c>
      <c r="H885" s="1084">
        <f t="shared" si="9"/>
        <v>4.3061429539047417E-5</v>
      </c>
      <c r="I885" s="1085">
        <f t="shared" si="11"/>
        <v>0.98945369148872853</v>
      </c>
      <c r="J885" s="1085" t="str">
        <f t="shared" si="10"/>
        <v>C</v>
      </c>
      <c r="K885" s="1036"/>
      <c r="L885" s="1036"/>
      <c r="M885" s="1036"/>
      <c r="N885" s="1036"/>
      <c r="O885" s="1036"/>
      <c r="P885" s="1036"/>
      <c r="Q885" s="1036"/>
      <c r="R885" s="1036"/>
      <c r="S885" s="1036"/>
      <c r="T885" s="1036"/>
      <c r="U885" s="1036"/>
      <c r="V885" s="1036"/>
      <c r="W885" s="1036"/>
      <c r="X885" s="1036"/>
      <c r="Y885" s="1036"/>
      <c r="Z885" s="1036"/>
    </row>
    <row r="886" spans="1:26" ht="38.25">
      <c r="A886" s="1079">
        <v>96558</v>
      </c>
      <c r="B886" s="1080" t="s">
        <v>14476</v>
      </c>
      <c r="C886" s="1080" t="s">
        <v>7548</v>
      </c>
      <c r="D886" s="1081" t="s">
        <v>152</v>
      </c>
      <c r="E886" s="1082">
        <v>0.5</v>
      </c>
      <c r="F886" s="1083">
        <v>1262.0999999999999</v>
      </c>
      <c r="G886" s="1083">
        <v>631.04999999999995</v>
      </c>
      <c r="H886" s="1084">
        <f t="shared" si="9"/>
        <v>4.2861064843242702E-5</v>
      </c>
      <c r="I886" s="1085">
        <f t="shared" si="11"/>
        <v>0.98949655255357172</v>
      </c>
      <c r="J886" s="1085" t="str">
        <f t="shared" si="10"/>
        <v>C</v>
      </c>
      <c r="K886" s="1036"/>
      <c r="L886" s="1036"/>
      <c r="M886" s="1036"/>
      <c r="N886" s="1036"/>
      <c r="O886" s="1036"/>
      <c r="P886" s="1036"/>
      <c r="Q886" s="1036"/>
      <c r="R886" s="1036"/>
      <c r="S886" s="1036"/>
      <c r="T886" s="1036"/>
      <c r="U886" s="1036"/>
      <c r="V886" s="1036"/>
      <c r="W886" s="1036"/>
      <c r="X886" s="1036"/>
      <c r="Y886" s="1036"/>
      <c r="Z886" s="1036"/>
    </row>
    <row r="887" spans="1:26" ht="38.25">
      <c r="A887" s="1079" t="s">
        <v>15157</v>
      </c>
      <c r="B887" s="1080" t="s">
        <v>14472</v>
      </c>
      <c r="C887" s="1080" t="s">
        <v>15158</v>
      </c>
      <c r="D887" s="1081" t="s">
        <v>6</v>
      </c>
      <c r="E887" s="1082">
        <v>3</v>
      </c>
      <c r="F887" s="1083">
        <v>210.33</v>
      </c>
      <c r="G887" s="1083">
        <v>630.99</v>
      </c>
      <c r="H887" s="1084">
        <f t="shared" si="9"/>
        <v>4.2856989629090743E-5</v>
      </c>
      <c r="I887" s="1085">
        <f t="shared" si="11"/>
        <v>0.98953940954320085</v>
      </c>
      <c r="J887" s="1085" t="str">
        <f t="shared" si="10"/>
        <v>C</v>
      </c>
      <c r="K887" s="1036"/>
      <c r="L887" s="1036"/>
      <c r="M887" s="1036"/>
      <c r="N887" s="1036"/>
      <c r="O887" s="1036"/>
      <c r="P887" s="1036"/>
      <c r="Q887" s="1036"/>
      <c r="R887" s="1036"/>
      <c r="S887" s="1036"/>
      <c r="T887" s="1036"/>
      <c r="U887" s="1036"/>
      <c r="V887" s="1036"/>
      <c r="W887" s="1036"/>
      <c r="X887" s="1036"/>
      <c r="Y887" s="1036"/>
      <c r="Z887" s="1036"/>
    </row>
    <row r="888" spans="1:26" ht="38.25">
      <c r="A888" s="1079">
        <v>89402</v>
      </c>
      <c r="B888" s="1080" t="s">
        <v>14476</v>
      </c>
      <c r="C888" s="1080" t="s">
        <v>8422</v>
      </c>
      <c r="D888" s="1081" t="s">
        <v>50</v>
      </c>
      <c r="E888" s="1082">
        <v>45</v>
      </c>
      <c r="F888" s="1083">
        <v>14</v>
      </c>
      <c r="G888" s="1083">
        <v>630</v>
      </c>
      <c r="H888" s="1084">
        <f t="shared" si="9"/>
        <v>4.2789748595583396E-5</v>
      </c>
      <c r="I888" s="1085">
        <f t="shared" si="11"/>
        <v>0.98958219929179647</v>
      </c>
      <c r="J888" s="1085" t="str">
        <f t="shared" si="10"/>
        <v>C</v>
      </c>
      <c r="K888" s="1036"/>
      <c r="L888" s="1036"/>
      <c r="M888" s="1036"/>
      <c r="N888" s="1036"/>
      <c r="O888" s="1036"/>
      <c r="P888" s="1036"/>
      <c r="Q888" s="1036"/>
      <c r="R888" s="1036"/>
      <c r="S888" s="1036"/>
      <c r="T888" s="1036"/>
      <c r="U888" s="1036"/>
      <c r="V888" s="1036"/>
      <c r="W888" s="1036"/>
      <c r="X888" s="1036"/>
      <c r="Y888" s="1036"/>
      <c r="Z888" s="1036"/>
    </row>
    <row r="889" spans="1:26" ht="38.25">
      <c r="A889" s="1079">
        <v>92759</v>
      </c>
      <c r="B889" s="1080" t="s">
        <v>14476</v>
      </c>
      <c r="C889" s="1080" t="s">
        <v>7428</v>
      </c>
      <c r="D889" s="1081" t="s">
        <v>54</v>
      </c>
      <c r="E889" s="1082">
        <v>33.200000000000003</v>
      </c>
      <c r="F889" s="1083">
        <v>18.77</v>
      </c>
      <c r="G889" s="1083">
        <v>623.16</v>
      </c>
      <c r="H889" s="1084">
        <f t="shared" si="9"/>
        <v>4.2325174182259916E-5</v>
      </c>
      <c r="I889" s="1085">
        <f t="shared" si="11"/>
        <v>0.98962452446597871</v>
      </c>
      <c r="J889" s="1085" t="str">
        <f t="shared" si="10"/>
        <v>C</v>
      </c>
      <c r="K889" s="1036"/>
      <c r="L889" s="1036"/>
      <c r="M889" s="1036"/>
      <c r="N889" s="1036"/>
      <c r="O889" s="1036"/>
      <c r="P889" s="1036"/>
      <c r="Q889" s="1036"/>
      <c r="R889" s="1036"/>
      <c r="S889" s="1036"/>
      <c r="T889" s="1036"/>
      <c r="U889" s="1036"/>
      <c r="V889" s="1036"/>
      <c r="W889" s="1036"/>
      <c r="X889" s="1036"/>
      <c r="Y889" s="1036"/>
      <c r="Z889" s="1036"/>
    </row>
    <row r="890" spans="1:26" ht="25.5">
      <c r="A890" s="1079">
        <v>101616</v>
      </c>
      <c r="B890" s="1080" t="s">
        <v>14476</v>
      </c>
      <c r="C890" s="1080" t="s">
        <v>10747</v>
      </c>
      <c r="D890" s="1081" t="s">
        <v>409</v>
      </c>
      <c r="E890" s="1082">
        <v>84.39</v>
      </c>
      <c r="F890" s="1083">
        <v>7.37</v>
      </c>
      <c r="G890" s="1083">
        <v>621.95000000000005</v>
      </c>
      <c r="H890" s="1084">
        <f t="shared" si="9"/>
        <v>4.2242990696862057E-5</v>
      </c>
      <c r="I890" s="1085">
        <f t="shared" si="11"/>
        <v>0.98966676745667559</v>
      </c>
      <c r="J890" s="1085" t="str">
        <f t="shared" si="10"/>
        <v>C</v>
      </c>
      <c r="K890" s="1036"/>
      <c r="L890" s="1036"/>
      <c r="M890" s="1036"/>
      <c r="N890" s="1036"/>
      <c r="O890" s="1036"/>
      <c r="P890" s="1036"/>
      <c r="Q890" s="1036"/>
      <c r="R890" s="1036"/>
      <c r="S890" s="1036"/>
      <c r="T890" s="1036"/>
      <c r="U890" s="1036"/>
      <c r="V890" s="1036"/>
      <c r="W890" s="1036"/>
      <c r="X890" s="1036"/>
      <c r="Y890" s="1036"/>
      <c r="Z890" s="1036"/>
    </row>
    <row r="891" spans="1:26" ht="38.25">
      <c r="A891" s="1079">
        <v>100938</v>
      </c>
      <c r="B891" s="1080" t="s">
        <v>14476</v>
      </c>
      <c r="C891" s="1080" t="s">
        <v>11938</v>
      </c>
      <c r="D891" s="1081" t="s">
        <v>11696</v>
      </c>
      <c r="E891" s="1082">
        <v>65.37</v>
      </c>
      <c r="F891" s="1083">
        <v>9.4700000000000006</v>
      </c>
      <c r="G891" s="1083">
        <v>619.03</v>
      </c>
      <c r="H891" s="1084">
        <f t="shared" si="9"/>
        <v>4.2044663608133315E-5</v>
      </c>
      <c r="I891" s="1085">
        <f t="shared" si="11"/>
        <v>0.98970881212028372</v>
      </c>
      <c r="J891" s="1085" t="str">
        <f t="shared" si="10"/>
        <v>C</v>
      </c>
      <c r="K891" s="1036"/>
      <c r="L891" s="1036"/>
      <c r="M891" s="1036"/>
      <c r="N891" s="1036"/>
      <c r="O891" s="1036"/>
      <c r="P891" s="1036"/>
      <c r="Q891" s="1036"/>
      <c r="R891" s="1036"/>
      <c r="S891" s="1036"/>
      <c r="T891" s="1036"/>
      <c r="U891" s="1036"/>
      <c r="V891" s="1036"/>
      <c r="W891" s="1036"/>
      <c r="X891" s="1036"/>
      <c r="Y891" s="1036"/>
      <c r="Z891" s="1036"/>
    </row>
    <row r="892" spans="1:26" ht="38.25">
      <c r="A892" s="1079" t="s">
        <v>14882</v>
      </c>
      <c r="B892" s="1080" t="s">
        <v>14472</v>
      </c>
      <c r="C892" s="1080" t="s">
        <v>14883</v>
      </c>
      <c r="D892" s="1081" t="s">
        <v>50</v>
      </c>
      <c r="E892" s="1082">
        <v>12.96</v>
      </c>
      <c r="F892" s="1083">
        <v>47.55</v>
      </c>
      <c r="G892" s="1083">
        <v>616.24</v>
      </c>
      <c r="H892" s="1084">
        <f t="shared" si="9"/>
        <v>4.1855166150067166E-5</v>
      </c>
      <c r="I892" s="1085">
        <f t="shared" si="11"/>
        <v>0.98975066728643379</v>
      </c>
      <c r="J892" s="1085" t="str">
        <f t="shared" si="10"/>
        <v>C</v>
      </c>
      <c r="K892" s="1036"/>
      <c r="L892" s="1036"/>
      <c r="M892" s="1036"/>
      <c r="N892" s="1036"/>
      <c r="O892" s="1036"/>
      <c r="P892" s="1036"/>
      <c r="Q892" s="1036"/>
      <c r="R892" s="1036"/>
      <c r="S892" s="1036"/>
      <c r="T892" s="1036"/>
      <c r="U892" s="1036"/>
      <c r="V892" s="1036"/>
      <c r="W892" s="1036"/>
      <c r="X892" s="1036"/>
      <c r="Y892" s="1036"/>
      <c r="Z892" s="1036"/>
    </row>
    <row r="893" spans="1:26" ht="38.25">
      <c r="A893" s="1079">
        <v>92759</v>
      </c>
      <c r="B893" s="1080" t="s">
        <v>14476</v>
      </c>
      <c r="C893" s="1080" t="s">
        <v>7428</v>
      </c>
      <c r="D893" s="1081" t="s">
        <v>54</v>
      </c>
      <c r="E893" s="1082">
        <v>32.700000000000003</v>
      </c>
      <c r="F893" s="1083">
        <v>18.77</v>
      </c>
      <c r="G893" s="1083">
        <v>613.77</v>
      </c>
      <c r="H893" s="1084">
        <f t="shared" si="9"/>
        <v>4.1687403167478131E-5</v>
      </c>
      <c r="I893" s="1085">
        <f t="shared" si="11"/>
        <v>0.98979235468960125</v>
      </c>
      <c r="J893" s="1085" t="str">
        <f t="shared" si="10"/>
        <v>C</v>
      </c>
      <c r="K893" s="1036"/>
      <c r="L893" s="1036"/>
      <c r="M893" s="1036"/>
      <c r="N893" s="1036"/>
      <c r="O893" s="1036"/>
      <c r="P893" s="1036"/>
      <c r="Q893" s="1036"/>
      <c r="R893" s="1036"/>
      <c r="S893" s="1036"/>
      <c r="T893" s="1036"/>
      <c r="U893" s="1036"/>
      <c r="V893" s="1036"/>
      <c r="W893" s="1036"/>
      <c r="X893" s="1036"/>
      <c r="Y893" s="1036"/>
      <c r="Z893" s="1036"/>
    </row>
    <row r="894" spans="1:26" ht="38.25">
      <c r="A894" s="1079">
        <v>104918</v>
      </c>
      <c r="B894" s="1080" t="s">
        <v>14476</v>
      </c>
      <c r="C894" s="1080" t="s">
        <v>7515</v>
      </c>
      <c r="D894" s="1081" t="s">
        <v>54</v>
      </c>
      <c r="E894" s="1082">
        <v>31.6</v>
      </c>
      <c r="F894" s="1083">
        <v>19.420000000000002</v>
      </c>
      <c r="G894" s="1083">
        <v>613.66999999999996</v>
      </c>
      <c r="H894" s="1084">
        <f t="shared" si="9"/>
        <v>4.1680611143891523E-5</v>
      </c>
      <c r="I894" s="1085">
        <f t="shared" si="11"/>
        <v>0.9898340353007451</v>
      </c>
      <c r="J894" s="1085" t="str">
        <f t="shared" si="10"/>
        <v>C</v>
      </c>
      <c r="K894" s="1036"/>
      <c r="L894" s="1036"/>
      <c r="M894" s="1036"/>
      <c r="N894" s="1036"/>
      <c r="O894" s="1036"/>
      <c r="P894" s="1036"/>
      <c r="Q894" s="1036"/>
      <c r="R894" s="1036"/>
      <c r="S894" s="1036"/>
      <c r="T894" s="1036"/>
      <c r="U894" s="1036"/>
      <c r="V894" s="1036"/>
      <c r="W894" s="1036"/>
      <c r="X894" s="1036"/>
      <c r="Y894" s="1036"/>
      <c r="Z894" s="1036"/>
    </row>
    <row r="895" spans="1:26" ht="38.25">
      <c r="A895" s="1079">
        <v>92759</v>
      </c>
      <c r="B895" s="1080" t="s">
        <v>14476</v>
      </c>
      <c r="C895" s="1080" t="s">
        <v>7428</v>
      </c>
      <c r="D895" s="1081" t="s">
        <v>54</v>
      </c>
      <c r="E895" s="1082">
        <v>32.67</v>
      </c>
      <c r="F895" s="1083">
        <v>18.77</v>
      </c>
      <c r="G895" s="1083">
        <v>613.21</v>
      </c>
      <c r="H895" s="1084">
        <f t="shared" si="9"/>
        <v>4.1649367835393167E-5</v>
      </c>
      <c r="I895" s="1085">
        <f t="shared" si="11"/>
        <v>0.98987568466858045</v>
      </c>
      <c r="J895" s="1085" t="str">
        <f t="shared" si="10"/>
        <v>C</v>
      </c>
      <c r="K895" s="1036"/>
      <c r="L895" s="1036"/>
      <c r="M895" s="1036"/>
      <c r="N895" s="1036"/>
      <c r="O895" s="1036"/>
      <c r="P895" s="1036"/>
      <c r="Q895" s="1036"/>
      <c r="R895" s="1036"/>
      <c r="S895" s="1036"/>
      <c r="T895" s="1036"/>
      <c r="U895" s="1036"/>
      <c r="V895" s="1036"/>
      <c r="W895" s="1036"/>
      <c r="X895" s="1036"/>
      <c r="Y895" s="1036"/>
      <c r="Z895" s="1036"/>
    </row>
    <row r="896" spans="1:26" ht="25.5">
      <c r="A896" s="1079">
        <v>102605</v>
      </c>
      <c r="B896" s="1080" t="s">
        <v>14476</v>
      </c>
      <c r="C896" s="1080" t="s">
        <v>10053</v>
      </c>
      <c r="D896" s="1081" t="s">
        <v>6</v>
      </c>
      <c r="E896" s="1082">
        <v>2</v>
      </c>
      <c r="F896" s="1083">
        <v>306.5</v>
      </c>
      <c r="G896" s="1083">
        <v>613</v>
      </c>
      <c r="H896" s="1084">
        <f t="shared" si="9"/>
        <v>4.1635104585861303E-5</v>
      </c>
      <c r="I896" s="1085">
        <f t="shared" si="11"/>
        <v>0.98991731977316633</v>
      </c>
      <c r="J896" s="1085" t="str">
        <f t="shared" si="10"/>
        <v>C</v>
      </c>
      <c r="K896" s="1036"/>
      <c r="L896" s="1036"/>
      <c r="M896" s="1036"/>
      <c r="N896" s="1036"/>
      <c r="O896" s="1036"/>
      <c r="P896" s="1036"/>
      <c r="Q896" s="1036"/>
      <c r="R896" s="1036"/>
      <c r="S896" s="1036"/>
      <c r="T896" s="1036"/>
      <c r="U896" s="1036"/>
      <c r="V896" s="1036"/>
      <c r="W896" s="1036"/>
      <c r="X896" s="1036"/>
      <c r="Y896" s="1036"/>
      <c r="Z896" s="1036"/>
    </row>
    <row r="897" spans="1:26" ht="51">
      <c r="A897" s="1079">
        <v>89591</v>
      </c>
      <c r="B897" s="1080" t="s">
        <v>14476</v>
      </c>
      <c r="C897" s="1080" t="s">
        <v>8832</v>
      </c>
      <c r="D897" s="1081" t="s">
        <v>6</v>
      </c>
      <c r="E897" s="1082">
        <v>4</v>
      </c>
      <c r="F897" s="1083">
        <v>153.22</v>
      </c>
      <c r="G897" s="1083">
        <v>612.88</v>
      </c>
      <c r="H897" s="1084">
        <f t="shared" si="9"/>
        <v>4.1626954157557385E-5</v>
      </c>
      <c r="I897" s="1085">
        <f t="shared" si="11"/>
        <v>0.98995894672732387</v>
      </c>
      <c r="J897" s="1085" t="str">
        <f t="shared" si="10"/>
        <v>C</v>
      </c>
      <c r="K897" s="1036"/>
      <c r="L897" s="1036"/>
      <c r="M897" s="1036"/>
      <c r="N897" s="1036"/>
      <c r="O897" s="1036"/>
      <c r="P897" s="1036"/>
      <c r="Q897" s="1036"/>
      <c r="R897" s="1036"/>
      <c r="S897" s="1036"/>
      <c r="T897" s="1036"/>
      <c r="U897" s="1036"/>
      <c r="V897" s="1036"/>
      <c r="W897" s="1036"/>
      <c r="X897" s="1036"/>
      <c r="Y897" s="1036"/>
      <c r="Z897" s="1036"/>
    </row>
    <row r="898" spans="1:26" ht="25.5">
      <c r="A898" s="1079">
        <v>96977</v>
      </c>
      <c r="B898" s="1080" t="s">
        <v>14476</v>
      </c>
      <c r="C898" s="1080" t="s">
        <v>8261</v>
      </c>
      <c r="D898" s="1081" t="s">
        <v>50</v>
      </c>
      <c r="E898" s="1082">
        <v>8</v>
      </c>
      <c r="F898" s="1083">
        <v>76.599999999999994</v>
      </c>
      <c r="G898" s="1083">
        <v>612.79999999999995</v>
      </c>
      <c r="H898" s="1084">
        <f t="shared" si="9"/>
        <v>4.1621520538688102E-5</v>
      </c>
      <c r="I898" s="1085">
        <f t="shared" si="11"/>
        <v>0.99000056824786253</v>
      </c>
      <c r="J898" s="1085" t="str">
        <f t="shared" si="10"/>
        <v>C</v>
      </c>
      <c r="K898" s="1036"/>
      <c r="L898" s="1036"/>
      <c r="M898" s="1036"/>
      <c r="N898" s="1036"/>
      <c r="O898" s="1036"/>
      <c r="P898" s="1036"/>
      <c r="Q898" s="1036"/>
      <c r="R898" s="1036"/>
      <c r="S898" s="1036"/>
      <c r="T898" s="1036"/>
      <c r="U898" s="1036"/>
      <c r="V898" s="1036"/>
      <c r="W898" s="1036"/>
      <c r="X898" s="1036"/>
      <c r="Y898" s="1036"/>
      <c r="Z898" s="1036"/>
    </row>
    <row r="899" spans="1:26" ht="25.5">
      <c r="A899" s="1079">
        <v>93382</v>
      </c>
      <c r="B899" s="1080" t="s">
        <v>14476</v>
      </c>
      <c r="C899" s="1080" t="s">
        <v>10726</v>
      </c>
      <c r="D899" s="1081" t="s">
        <v>152</v>
      </c>
      <c r="E899" s="1082">
        <v>20.72</v>
      </c>
      <c r="F899" s="1083">
        <v>29.52</v>
      </c>
      <c r="G899" s="1083">
        <v>611.65</v>
      </c>
      <c r="H899" s="1084">
        <f t="shared" si="9"/>
        <v>4.1543412267442195E-5</v>
      </c>
      <c r="I899" s="1085">
        <f t="shared" si="11"/>
        <v>0.99004211166013001</v>
      </c>
      <c r="J899" s="1085" t="str">
        <f t="shared" si="10"/>
        <v>C</v>
      </c>
      <c r="K899" s="1036"/>
      <c r="L899" s="1036"/>
      <c r="M899" s="1036"/>
      <c r="N899" s="1036"/>
      <c r="O899" s="1036"/>
      <c r="P899" s="1036"/>
      <c r="Q899" s="1036"/>
      <c r="R899" s="1036"/>
      <c r="S899" s="1036"/>
      <c r="T899" s="1036"/>
      <c r="U899" s="1036"/>
      <c r="V899" s="1036"/>
      <c r="W899" s="1036"/>
      <c r="X899" s="1036"/>
      <c r="Y899" s="1036"/>
      <c r="Z899" s="1036"/>
    </row>
    <row r="900" spans="1:26" ht="51">
      <c r="A900" s="1079">
        <v>89782</v>
      </c>
      <c r="B900" s="1080" t="s">
        <v>14476</v>
      </c>
      <c r="C900" s="1080" t="s">
        <v>8988</v>
      </c>
      <c r="D900" s="1081" t="s">
        <v>6</v>
      </c>
      <c r="E900" s="1082">
        <v>34</v>
      </c>
      <c r="F900" s="1083">
        <v>17.98</v>
      </c>
      <c r="G900" s="1083">
        <v>611.32000000000005</v>
      </c>
      <c r="H900" s="1084">
        <f t="shared" si="9"/>
        <v>4.152099858960642E-5</v>
      </c>
      <c r="I900" s="1085">
        <f t="shared" si="11"/>
        <v>0.99008363265871957</v>
      </c>
      <c r="J900" s="1085" t="str">
        <f t="shared" si="10"/>
        <v>C</v>
      </c>
      <c r="K900" s="1036"/>
      <c r="L900" s="1036"/>
      <c r="M900" s="1036"/>
      <c r="N900" s="1036"/>
      <c r="O900" s="1036"/>
      <c r="P900" s="1036"/>
      <c r="Q900" s="1036"/>
      <c r="R900" s="1036"/>
      <c r="S900" s="1036"/>
      <c r="T900" s="1036"/>
      <c r="U900" s="1036"/>
      <c r="V900" s="1036"/>
      <c r="W900" s="1036"/>
      <c r="X900" s="1036"/>
      <c r="Y900" s="1036"/>
      <c r="Z900" s="1036"/>
    </row>
    <row r="901" spans="1:26" ht="25.5">
      <c r="A901" s="1079">
        <v>101616</v>
      </c>
      <c r="B901" s="1080" t="s">
        <v>14476</v>
      </c>
      <c r="C901" s="1080" t="s">
        <v>10747</v>
      </c>
      <c r="D901" s="1081" t="s">
        <v>409</v>
      </c>
      <c r="E901" s="1082">
        <v>82.71</v>
      </c>
      <c r="F901" s="1083">
        <v>7.37</v>
      </c>
      <c r="G901" s="1083">
        <v>609.57000000000005</v>
      </c>
      <c r="H901" s="1084">
        <f t="shared" si="9"/>
        <v>4.1402138176840908E-5</v>
      </c>
      <c r="I901" s="1085">
        <f t="shared" si="11"/>
        <v>0.9901250347968964</v>
      </c>
      <c r="J901" s="1085" t="str">
        <f t="shared" si="10"/>
        <v>C</v>
      </c>
      <c r="K901" s="1036"/>
      <c r="L901" s="1036"/>
      <c r="M901" s="1036"/>
      <c r="N901" s="1036"/>
      <c r="O901" s="1036"/>
      <c r="P901" s="1036"/>
      <c r="Q901" s="1036"/>
      <c r="R901" s="1036"/>
      <c r="S901" s="1036"/>
      <c r="T901" s="1036"/>
      <c r="U901" s="1036"/>
      <c r="V901" s="1036"/>
      <c r="W901" s="1036"/>
      <c r="X901" s="1036"/>
      <c r="Y901" s="1036"/>
      <c r="Z901" s="1036"/>
    </row>
    <row r="902" spans="1:26" ht="51">
      <c r="A902" s="1079">
        <v>89724</v>
      </c>
      <c r="B902" s="1080" t="s">
        <v>14476</v>
      </c>
      <c r="C902" s="1080" t="s">
        <v>8937</v>
      </c>
      <c r="D902" s="1081" t="s">
        <v>6</v>
      </c>
      <c r="E902" s="1082">
        <v>49</v>
      </c>
      <c r="F902" s="1083">
        <v>12.4</v>
      </c>
      <c r="G902" s="1083">
        <v>607.6</v>
      </c>
      <c r="H902" s="1084">
        <f t="shared" si="9"/>
        <v>4.1268335312184877E-5</v>
      </c>
      <c r="I902" s="1085">
        <f t="shared" si="11"/>
        <v>0.99016630313220855</v>
      </c>
      <c r="J902" s="1085" t="str">
        <f t="shared" si="10"/>
        <v>C</v>
      </c>
      <c r="K902" s="1036"/>
      <c r="L902" s="1036"/>
      <c r="M902" s="1036"/>
      <c r="N902" s="1036"/>
      <c r="O902" s="1036"/>
      <c r="P902" s="1036"/>
      <c r="Q902" s="1036"/>
      <c r="R902" s="1036"/>
      <c r="S902" s="1036"/>
      <c r="T902" s="1036"/>
      <c r="U902" s="1036"/>
      <c r="V902" s="1036"/>
      <c r="W902" s="1036"/>
      <c r="X902" s="1036"/>
      <c r="Y902" s="1036"/>
      <c r="Z902" s="1036"/>
    </row>
    <row r="903" spans="1:26" ht="25.5">
      <c r="A903" s="1079">
        <v>93382</v>
      </c>
      <c r="B903" s="1080" t="s">
        <v>14476</v>
      </c>
      <c r="C903" s="1080" t="s">
        <v>10726</v>
      </c>
      <c r="D903" s="1081" t="s">
        <v>152</v>
      </c>
      <c r="E903" s="1082">
        <v>20.46</v>
      </c>
      <c r="F903" s="1083">
        <v>29.52</v>
      </c>
      <c r="G903" s="1083">
        <v>603.97</v>
      </c>
      <c r="H903" s="1084">
        <f t="shared" si="9"/>
        <v>4.102178485599128E-5</v>
      </c>
      <c r="I903" s="1085">
        <f t="shared" si="11"/>
        <v>0.99020732491706454</v>
      </c>
      <c r="J903" s="1085" t="str">
        <f t="shared" si="10"/>
        <v>C</v>
      </c>
      <c r="K903" s="1036"/>
      <c r="L903" s="1036"/>
      <c r="M903" s="1036"/>
      <c r="N903" s="1036"/>
      <c r="O903" s="1036"/>
      <c r="P903" s="1036"/>
      <c r="Q903" s="1036"/>
      <c r="R903" s="1036"/>
      <c r="S903" s="1036"/>
      <c r="T903" s="1036"/>
      <c r="U903" s="1036"/>
      <c r="V903" s="1036"/>
      <c r="W903" s="1036"/>
      <c r="X903" s="1036"/>
      <c r="Y903" s="1036"/>
      <c r="Z903" s="1036"/>
    </row>
    <row r="904" spans="1:26" ht="51">
      <c r="A904" s="1079">
        <v>101875</v>
      </c>
      <c r="B904" s="1080" t="s">
        <v>14476</v>
      </c>
      <c r="C904" s="1080" t="s">
        <v>7979</v>
      </c>
      <c r="D904" s="1081" t="s">
        <v>6</v>
      </c>
      <c r="E904" s="1082">
        <v>1</v>
      </c>
      <c r="F904" s="1083">
        <v>602.91</v>
      </c>
      <c r="G904" s="1083">
        <v>602.91</v>
      </c>
      <c r="H904" s="1084">
        <f t="shared" si="9"/>
        <v>4.0949789405973305E-5</v>
      </c>
      <c r="I904" s="1085">
        <f t="shared" si="11"/>
        <v>0.99024827470647048</v>
      </c>
      <c r="J904" s="1085" t="str">
        <f t="shared" si="10"/>
        <v>C</v>
      </c>
      <c r="K904" s="1036"/>
      <c r="L904" s="1036"/>
      <c r="M904" s="1036"/>
      <c r="N904" s="1036"/>
      <c r="O904" s="1036"/>
      <c r="P904" s="1036"/>
      <c r="Q904" s="1036"/>
      <c r="R904" s="1036"/>
      <c r="S904" s="1036"/>
      <c r="T904" s="1036"/>
      <c r="U904" s="1036"/>
      <c r="V904" s="1036"/>
      <c r="W904" s="1036"/>
      <c r="X904" s="1036"/>
      <c r="Y904" s="1036"/>
      <c r="Z904" s="1036"/>
    </row>
    <row r="905" spans="1:26" ht="38.25">
      <c r="A905" s="1079">
        <v>96527</v>
      </c>
      <c r="B905" s="1080" t="s">
        <v>14476</v>
      </c>
      <c r="C905" s="1080" t="s">
        <v>10512</v>
      </c>
      <c r="D905" s="1081" t="s">
        <v>152</v>
      </c>
      <c r="E905" s="1082">
        <v>4.95</v>
      </c>
      <c r="F905" s="1083">
        <v>121.42</v>
      </c>
      <c r="G905" s="1083">
        <v>601.02</v>
      </c>
      <c r="H905" s="1084">
        <f t="shared" si="9"/>
        <v>4.0821420160186558E-5</v>
      </c>
      <c r="I905" s="1085">
        <f t="shared" si="11"/>
        <v>0.99028909612663063</v>
      </c>
      <c r="J905" s="1085" t="str">
        <f t="shared" si="10"/>
        <v>C</v>
      </c>
      <c r="K905" s="1036"/>
      <c r="L905" s="1036"/>
      <c r="M905" s="1036"/>
      <c r="N905" s="1036"/>
      <c r="O905" s="1036"/>
      <c r="P905" s="1036"/>
      <c r="Q905" s="1036"/>
      <c r="R905" s="1036"/>
      <c r="S905" s="1036"/>
      <c r="T905" s="1036"/>
      <c r="U905" s="1036"/>
      <c r="V905" s="1036"/>
      <c r="W905" s="1036"/>
      <c r="X905" s="1036"/>
      <c r="Y905" s="1036"/>
      <c r="Z905" s="1036"/>
    </row>
    <row r="906" spans="1:26" ht="38.25">
      <c r="A906" s="1079" t="s">
        <v>15336</v>
      </c>
      <c r="B906" s="1080" t="s">
        <v>14472</v>
      </c>
      <c r="C906" s="1080" t="s">
        <v>16002</v>
      </c>
      <c r="D906" s="1081" t="s">
        <v>6</v>
      </c>
      <c r="E906" s="1082">
        <v>1</v>
      </c>
      <c r="F906" s="1083">
        <v>598.77</v>
      </c>
      <c r="G906" s="1083">
        <v>598.77</v>
      </c>
      <c r="H906" s="1084">
        <f t="shared" si="9"/>
        <v>4.0668599629488048E-5</v>
      </c>
      <c r="I906" s="1085">
        <f t="shared" si="11"/>
        <v>0.99032976472626011</v>
      </c>
      <c r="J906" s="1085" t="str">
        <f t="shared" si="10"/>
        <v>C</v>
      </c>
      <c r="K906" s="1036"/>
      <c r="L906" s="1036"/>
      <c r="M906" s="1036"/>
      <c r="N906" s="1036"/>
      <c r="O906" s="1036"/>
      <c r="P906" s="1036"/>
      <c r="Q906" s="1036"/>
      <c r="R906" s="1036"/>
      <c r="S906" s="1036"/>
      <c r="T906" s="1036"/>
      <c r="U906" s="1036"/>
      <c r="V906" s="1036"/>
      <c r="W906" s="1036"/>
      <c r="X906" s="1036"/>
      <c r="Y906" s="1036"/>
      <c r="Z906" s="1036"/>
    </row>
    <row r="907" spans="1:26" ht="38.25">
      <c r="A907" s="1079" t="s">
        <v>15336</v>
      </c>
      <c r="B907" s="1080" t="s">
        <v>14472</v>
      </c>
      <c r="C907" s="1080" t="s">
        <v>16002</v>
      </c>
      <c r="D907" s="1081" t="s">
        <v>6</v>
      </c>
      <c r="E907" s="1082">
        <v>1</v>
      </c>
      <c r="F907" s="1083">
        <v>598.77</v>
      </c>
      <c r="G907" s="1083">
        <v>598.77</v>
      </c>
      <c r="H907" s="1084">
        <f t="shared" si="9"/>
        <v>4.0668599629488048E-5</v>
      </c>
      <c r="I907" s="1085">
        <f t="shared" si="11"/>
        <v>0.99037043332588959</v>
      </c>
      <c r="J907" s="1085" t="str">
        <f t="shared" si="10"/>
        <v>C</v>
      </c>
      <c r="K907" s="1036"/>
      <c r="L907" s="1036"/>
      <c r="M907" s="1036"/>
      <c r="N907" s="1036"/>
      <c r="O907" s="1036"/>
      <c r="P907" s="1036"/>
      <c r="Q907" s="1036"/>
      <c r="R907" s="1036"/>
      <c r="S907" s="1036"/>
      <c r="T907" s="1036"/>
      <c r="U907" s="1036"/>
      <c r="V907" s="1036"/>
      <c r="W907" s="1036"/>
      <c r="X907" s="1036"/>
      <c r="Y907" s="1036"/>
      <c r="Z907" s="1036"/>
    </row>
    <row r="908" spans="1:26" ht="51">
      <c r="A908" s="1079" t="s">
        <v>14588</v>
      </c>
      <c r="B908" s="1080" t="s">
        <v>14472</v>
      </c>
      <c r="C908" s="1080" t="s">
        <v>14589</v>
      </c>
      <c r="D908" s="1081" t="s">
        <v>50</v>
      </c>
      <c r="E908" s="1082">
        <v>15.6</v>
      </c>
      <c r="F908" s="1083">
        <v>38.32</v>
      </c>
      <c r="G908" s="1083">
        <v>597.79</v>
      </c>
      <c r="H908" s="1084">
        <f t="shared" si="9"/>
        <v>4.0602037798339357E-5</v>
      </c>
      <c r="I908" s="1085">
        <f t="shared" si="11"/>
        <v>0.99041103536368791</v>
      </c>
      <c r="J908" s="1085" t="str">
        <f t="shared" si="10"/>
        <v>C</v>
      </c>
      <c r="K908" s="1036"/>
      <c r="L908" s="1036"/>
      <c r="M908" s="1036"/>
      <c r="N908" s="1036"/>
      <c r="O908" s="1036"/>
      <c r="P908" s="1036"/>
      <c r="Q908" s="1036"/>
      <c r="R908" s="1036"/>
      <c r="S908" s="1036"/>
      <c r="T908" s="1036"/>
      <c r="U908" s="1036"/>
      <c r="V908" s="1036"/>
      <c r="W908" s="1036"/>
      <c r="X908" s="1036"/>
      <c r="Y908" s="1036"/>
      <c r="Z908" s="1036"/>
    </row>
    <row r="909" spans="1:26" ht="25.5">
      <c r="A909" s="1079">
        <v>93382</v>
      </c>
      <c r="B909" s="1080" t="s">
        <v>14476</v>
      </c>
      <c r="C909" s="1080" t="s">
        <v>10726</v>
      </c>
      <c r="D909" s="1081" t="s">
        <v>152</v>
      </c>
      <c r="E909" s="1082">
        <v>20.21</v>
      </c>
      <c r="F909" s="1083">
        <v>29.52</v>
      </c>
      <c r="G909" s="1083">
        <v>596.51</v>
      </c>
      <c r="H909" s="1084">
        <f t="shared" si="9"/>
        <v>4.0515099896430877E-5</v>
      </c>
      <c r="I909" s="1085">
        <f t="shared" si="11"/>
        <v>0.99045155046358435</v>
      </c>
      <c r="J909" s="1085" t="str">
        <f t="shared" si="10"/>
        <v>C</v>
      </c>
      <c r="K909" s="1036"/>
      <c r="L909" s="1036"/>
      <c r="M909" s="1036"/>
      <c r="N909" s="1036"/>
      <c r="O909" s="1036"/>
      <c r="P909" s="1036"/>
      <c r="Q909" s="1036"/>
      <c r="R909" s="1036"/>
      <c r="S909" s="1036"/>
      <c r="T909" s="1036"/>
      <c r="U909" s="1036"/>
      <c r="V909" s="1036"/>
      <c r="W909" s="1036"/>
      <c r="X909" s="1036"/>
      <c r="Y909" s="1036"/>
      <c r="Z909" s="1036"/>
    </row>
    <row r="910" spans="1:26" ht="25.5">
      <c r="A910" s="1079">
        <v>94499</v>
      </c>
      <c r="B910" s="1080" t="s">
        <v>14476</v>
      </c>
      <c r="C910" s="1080" t="s">
        <v>10256</v>
      </c>
      <c r="D910" s="1081" t="s">
        <v>6</v>
      </c>
      <c r="E910" s="1082">
        <v>2</v>
      </c>
      <c r="F910" s="1083">
        <v>296.22000000000003</v>
      </c>
      <c r="G910" s="1083">
        <v>592.44000000000005</v>
      </c>
      <c r="H910" s="1084">
        <f t="shared" si="9"/>
        <v>4.0238664536456235E-5</v>
      </c>
      <c r="I910" s="1085">
        <f t="shared" si="11"/>
        <v>0.99049178912812086</v>
      </c>
      <c r="J910" s="1085" t="str">
        <f t="shared" si="10"/>
        <v>C</v>
      </c>
      <c r="K910" s="1036"/>
      <c r="L910" s="1036"/>
      <c r="M910" s="1036"/>
      <c r="N910" s="1036"/>
      <c r="O910" s="1036"/>
      <c r="P910" s="1036"/>
      <c r="Q910" s="1036"/>
      <c r="R910" s="1036"/>
      <c r="S910" s="1036"/>
      <c r="T910" s="1036"/>
      <c r="U910" s="1036"/>
      <c r="V910" s="1036"/>
      <c r="W910" s="1036"/>
      <c r="X910" s="1036"/>
      <c r="Y910" s="1036"/>
      <c r="Z910" s="1036"/>
    </row>
    <row r="911" spans="1:26" ht="25.5">
      <c r="A911" s="1079" t="s">
        <v>15076</v>
      </c>
      <c r="B911" s="1080" t="s">
        <v>14472</v>
      </c>
      <c r="C911" s="1080" t="s">
        <v>15974</v>
      </c>
      <c r="D911" s="1081" t="s">
        <v>50</v>
      </c>
      <c r="E911" s="1082">
        <v>2.75</v>
      </c>
      <c r="F911" s="1083">
        <v>211.46</v>
      </c>
      <c r="G911" s="1083">
        <v>581.51</v>
      </c>
      <c r="H911" s="1084">
        <f t="shared" si="9"/>
        <v>3.9496296358440795E-5</v>
      </c>
      <c r="I911" s="1085">
        <f t="shared" si="11"/>
        <v>0.99053128542447932</v>
      </c>
      <c r="J911" s="1085" t="str">
        <f t="shared" si="10"/>
        <v>C</v>
      </c>
      <c r="K911" s="1036"/>
      <c r="L911" s="1036"/>
      <c r="M911" s="1036"/>
      <c r="N911" s="1036"/>
      <c r="O911" s="1036"/>
      <c r="P911" s="1036"/>
      <c r="Q911" s="1036"/>
      <c r="R911" s="1036"/>
      <c r="S911" s="1036"/>
      <c r="T911" s="1036"/>
      <c r="U911" s="1036"/>
      <c r="V911" s="1036"/>
      <c r="W911" s="1036"/>
      <c r="X911" s="1036"/>
      <c r="Y911" s="1036"/>
      <c r="Z911" s="1036"/>
    </row>
    <row r="912" spans="1:26" ht="51">
      <c r="A912" s="1079">
        <v>104001</v>
      </c>
      <c r="B912" s="1080" t="s">
        <v>14476</v>
      </c>
      <c r="C912" s="1080" t="s">
        <v>9845</v>
      </c>
      <c r="D912" s="1081" t="s">
        <v>6</v>
      </c>
      <c r="E912" s="1082">
        <v>36</v>
      </c>
      <c r="F912" s="1083">
        <v>16.02</v>
      </c>
      <c r="G912" s="1083">
        <v>576.72</v>
      </c>
      <c r="H912" s="1084">
        <f t="shared" si="9"/>
        <v>3.9170958428642629E-5</v>
      </c>
      <c r="I912" s="1085">
        <f t="shared" si="11"/>
        <v>0.99057045638290797</v>
      </c>
      <c r="J912" s="1085" t="str">
        <f t="shared" si="10"/>
        <v>C</v>
      </c>
      <c r="K912" s="1036"/>
      <c r="L912" s="1036"/>
      <c r="M912" s="1036"/>
      <c r="N912" s="1036"/>
      <c r="O912" s="1036"/>
      <c r="P912" s="1036"/>
      <c r="Q912" s="1036"/>
      <c r="R912" s="1036"/>
      <c r="S912" s="1036"/>
      <c r="T912" s="1036"/>
      <c r="U912" s="1036"/>
      <c r="V912" s="1036"/>
      <c r="W912" s="1036"/>
      <c r="X912" s="1036"/>
      <c r="Y912" s="1036"/>
      <c r="Z912" s="1036"/>
    </row>
    <row r="913" spans="1:26" ht="51">
      <c r="A913" s="1079">
        <v>89726</v>
      </c>
      <c r="B913" s="1080" t="s">
        <v>14476</v>
      </c>
      <c r="C913" s="1080" t="s">
        <v>8939</v>
      </c>
      <c r="D913" s="1081" t="s">
        <v>6</v>
      </c>
      <c r="E913" s="1082">
        <v>45</v>
      </c>
      <c r="F913" s="1083">
        <v>12.67</v>
      </c>
      <c r="G913" s="1083">
        <v>570.15</v>
      </c>
      <c r="H913" s="1084">
        <f t="shared" si="9"/>
        <v>3.8724722479002972E-5</v>
      </c>
      <c r="I913" s="1085">
        <f t="shared" si="11"/>
        <v>0.99060918110538698</v>
      </c>
      <c r="J913" s="1085" t="str">
        <f t="shared" si="10"/>
        <v>C</v>
      </c>
      <c r="K913" s="1036"/>
      <c r="L913" s="1036"/>
      <c r="M913" s="1036"/>
      <c r="N913" s="1036"/>
      <c r="O913" s="1036"/>
      <c r="P913" s="1036"/>
      <c r="Q913" s="1036"/>
      <c r="R913" s="1036"/>
      <c r="S913" s="1036"/>
      <c r="T913" s="1036"/>
      <c r="U913" s="1036"/>
      <c r="V913" s="1036"/>
      <c r="W913" s="1036"/>
      <c r="X913" s="1036"/>
      <c r="Y913" s="1036"/>
      <c r="Z913" s="1036"/>
    </row>
    <row r="914" spans="1:26" ht="25.5">
      <c r="A914" s="1079">
        <v>93382</v>
      </c>
      <c r="B914" s="1080" t="s">
        <v>14476</v>
      </c>
      <c r="C914" s="1080" t="s">
        <v>10726</v>
      </c>
      <c r="D914" s="1081" t="s">
        <v>152</v>
      </c>
      <c r="E914" s="1082">
        <v>19.25</v>
      </c>
      <c r="F914" s="1083">
        <v>29.52</v>
      </c>
      <c r="G914" s="1083">
        <v>568.26</v>
      </c>
      <c r="H914" s="1084">
        <f t="shared" si="9"/>
        <v>3.8596353233216224E-5</v>
      </c>
      <c r="I914" s="1085">
        <f t="shared" si="11"/>
        <v>0.9906477774586202</v>
      </c>
      <c r="J914" s="1085" t="str">
        <f t="shared" si="10"/>
        <v>C</v>
      </c>
      <c r="K914" s="1036"/>
      <c r="L914" s="1036"/>
      <c r="M914" s="1036"/>
      <c r="N914" s="1036"/>
      <c r="O914" s="1036"/>
      <c r="P914" s="1036"/>
      <c r="Q914" s="1036"/>
      <c r="R914" s="1036"/>
      <c r="S914" s="1036"/>
      <c r="T914" s="1036"/>
      <c r="U914" s="1036"/>
      <c r="V914" s="1036"/>
      <c r="W914" s="1036"/>
      <c r="X914" s="1036"/>
      <c r="Y914" s="1036"/>
      <c r="Z914" s="1036"/>
    </row>
    <row r="915" spans="1:26" ht="51">
      <c r="A915" s="1079">
        <v>97083</v>
      </c>
      <c r="B915" s="1080" t="s">
        <v>14476</v>
      </c>
      <c r="C915" s="1080" t="s">
        <v>7172</v>
      </c>
      <c r="D915" s="1081" t="s">
        <v>409</v>
      </c>
      <c r="E915" s="1082">
        <v>145.24</v>
      </c>
      <c r="F915" s="1083">
        <v>3.91</v>
      </c>
      <c r="G915" s="1083">
        <v>567.88</v>
      </c>
      <c r="H915" s="1084">
        <f t="shared" si="9"/>
        <v>3.8570543543587138E-5</v>
      </c>
      <c r="I915" s="1085">
        <f t="shared" si="11"/>
        <v>0.99068634800216382</v>
      </c>
      <c r="J915" s="1085" t="str">
        <f t="shared" si="10"/>
        <v>C</v>
      </c>
      <c r="K915" s="1036"/>
      <c r="L915" s="1036"/>
      <c r="M915" s="1036"/>
      <c r="N915" s="1036"/>
      <c r="O915" s="1036"/>
      <c r="P915" s="1036"/>
      <c r="Q915" s="1036"/>
      <c r="R915" s="1036"/>
      <c r="S915" s="1036"/>
      <c r="T915" s="1036"/>
      <c r="U915" s="1036"/>
      <c r="V915" s="1036"/>
      <c r="W915" s="1036"/>
      <c r="X915" s="1036"/>
      <c r="Y915" s="1036"/>
      <c r="Z915" s="1036"/>
    </row>
    <row r="916" spans="1:26" ht="38.25">
      <c r="A916" s="1079" t="s">
        <v>15428</v>
      </c>
      <c r="B916" s="1080" t="s">
        <v>14472</v>
      </c>
      <c r="C916" s="1080" t="s">
        <v>16003</v>
      </c>
      <c r="D916" s="1081" t="s">
        <v>6</v>
      </c>
      <c r="E916" s="1082">
        <v>10</v>
      </c>
      <c r="F916" s="1083">
        <v>56.73</v>
      </c>
      <c r="G916" s="1083">
        <v>567.29999999999995</v>
      </c>
      <c r="H916" s="1084">
        <f t="shared" si="9"/>
        <v>3.8531149806784857E-5</v>
      </c>
      <c r="I916" s="1085">
        <f t="shared" si="11"/>
        <v>0.99072487915197061</v>
      </c>
      <c r="J916" s="1085" t="str">
        <f t="shared" si="10"/>
        <v>C</v>
      </c>
      <c r="K916" s="1036"/>
      <c r="L916" s="1036"/>
      <c r="M916" s="1036"/>
      <c r="N916" s="1036"/>
      <c r="O916" s="1036"/>
      <c r="P916" s="1036"/>
      <c r="Q916" s="1036"/>
      <c r="R916" s="1036"/>
      <c r="S916" s="1036"/>
      <c r="T916" s="1036"/>
      <c r="U916" s="1036"/>
      <c r="V916" s="1036"/>
      <c r="W916" s="1036"/>
      <c r="X916" s="1036"/>
      <c r="Y916" s="1036"/>
      <c r="Z916" s="1036"/>
    </row>
    <row r="917" spans="1:26" ht="25.5">
      <c r="A917" s="1079">
        <v>104737</v>
      </c>
      <c r="B917" s="1080" t="s">
        <v>14476</v>
      </c>
      <c r="C917" s="1080" t="s">
        <v>10736</v>
      </c>
      <c r="D917" s="1081" t="s">
        <v>152</v>
      </c>
      <c r="E917" s="1082">
        <v>22</v>
      </c>
      <c r="F917" s="1083">
        <v>25.73</v>
      </c>
      <c r="G917" s="1083">
        <v>566.05999999999995</v>
      </c>
      <c r="H917" s="1084">
        <f t="shared" si="9"/>
        <v>3.8446928714311005E-5</v>
      </c>
      <c r="I917" s="1085">
        <f t="shared" si="11"/>
        <v>0.99076332608068496</v>
      </c>
      <c r="J917" s="1085" t="str">
        <f t="shared" si="10"/>
        <v>C</v>
      </c>
      <c r="K917" s="1036"/>
      <c r="L917" s="1036"/>
      <c r="M917" s="1036"/>
      <c r="N917" s="1036"/>
      <c r="O917" s="1036"/>
      <c r="P917" s="1036"/>
      <c r="Q917" s="1036"/>
      <c r="R917" s="1036"/>
      <c r="S917" s="1036"/>
      <c r="T917" s="1036"/>
      <c r="U917" s="1036"/>
      <c r="V917" s="1036"/>
      <c r="W917" s="1036"/>
      <c r="X917" s="1036"/>
      <c r="Y917" s="1036"/>
      <c r="Z917" s="1036"/>
    </row>
    <row r="918" spans="1:26" ht="38.25">
      <c r="A918" s="1079">
        <v>96523</v>
      </c>
      <c r="B918" s="1080" t="s">
        <v>14476</v>
      </c>
      <c r="C918" s="1080" t="s">
        <v>10508</v>
      </c>
      <c r="D918" s="1081" t="s">
        <v>152</v>
      </c>
      <c r="E918" s="1082">
        <v>5.13</v>
      </c>
      <c r="F918" s="1083">
        <v>110.32</v>
      </c>
      <c r="G918" s="1083">
        <v>565.94000000000005</v>
      </c>
      <c r="H918" s="1084">
        <f t="shared" si="9"/>
        <v>3.8438778286007094E-5</v>
      </c>
      <c r="I918" s="1085">
        <f t="shared" si="11"/>
        <v>0.99080176485897098</v>
      </c>
      <c r="J918" s="1085" t="str">
        <f t="shared" si="10"/>
        <v>C</v>
      </c>
      <c r="K918" s="1036"/>
      <c r="L918" s="1036"/>
      <c r="M918" s="1036"/>
      <c r="N918" s="1036"/>
      <c r="O918" s="1036"/>
      <c r="P918" s="1036"/>
      <c r="Q918" s="1036"/>
      <c r="R918" s="1036"/>
      <c r="S918" s="1036"/>
      <c r="T918" s="1036"/>
      <c r="U918" s="1036"/>
      <c r="V918" s="1036"/>
      <c r="W918" s="1036"/>
      <c r="X918" s="1036"/>
      <c r="Y918" s="1036"/>
      <c r="Z918" s="1036"/>
    </row>
    <row r="919" spans="1:26" ht="38.25">
      <c r="A919" s="1079">
        <v>100938</v>
      </c>
      <c r="B919" s="1080" t="s">
        <v>14476</v>
      </c>
      <c r="C919" s="1080" t="s">
        <v>11938</v>
      </c>
      <c r="D919" s="1081" t="s">
        <v>11696</v>
      </c>
      <c r="E919" s="1082">
        <v>59.58</v>
      </c>
      <c r="F919" s="1083">
        <v>9.4700000000000006</v>
      </c>
      <c r="G919" s="1083">
        <v>564.20000000000005</v>
      </c>
      <c r="H919" s="1084">
        <f t="shared" si="9"/>
        <v>3.8320597075600244E-5</v>
      </c>
      <c r="I919" s="1085">
        <f t="shared" si="11"/>
        <v>0.99084008545604663</v>
      </c>
      <c r="J919" s="1085" t="str">
        <f t="shared" si="10"/>
        <v>C</v>
      </c>
      <c r="K919" s="1036"/>
      <c r="L919" s="1036"/>
      <c r="M919" s="1036"/>
      <c r="N919" s="1036"/>
      <c r="O919" s="1036"/>
      <c r="P919" s="1036"/>
      <c r="Q919" s="1036"/>
      <c r="R919" s="1036"/>
      <c r="S919" s="1036"/>
      <c r="T919" s="1036"/>
      <c r="U919" s="1036"/>
      <c r="V919" s="1036"/>
      <c r="W919" s="1036"/>
      <c r="X919" s="1036"/>
      <c r="Y919" s="1036"/>
      <c r="Z919" s="1036"/>
    </row>
    <row r="920" spans="1:26" ht="38.25">
      <c r="A920" s="1079">
        <v>94683</v>
      </c>
      <c r="B920" s="1080" t="s">
        <v>14476</v>
      </c>
      <c r="C920" s="1080" t="s">
        <v>9379</v>
      </c>
      <c r="D920" s="1081" t="s">
        <v>6</v>
      </c>
      <c r="E920" s="1082">
        <v>7</v>
      </c>
      <c r="F920" s="1083">
        <v>80.38</v>
      </c>
      <c r="G920" s="1083">
        <v>562.66</v>
      </c>
      <c r="H920" s="1084">
        <f t="shared" si="9"/>
        <v>3.8215999912366589E-5</v>
      </c>
      <c r="I920" s="1085">
        <f t="shared" si="11"/>
        <v>0.99087830145595901</v>
      </c>
      <c r="J920" s="1085" t="str">
        <f t="shared" si="10"/>
        <v>C</v>
      </c>
      <c r="K920" s="1036"/>
      <c r="L920" s="1036"/>
      <c r="M920" s="1036"/>
      <c r="N920" s="1036"/>
      <c r="O920" s="1036"/>
      <c r="P920" s="1036"/>
      <c r="Q920" s="1036"/>
      <c r="R920" s="1036"/>
      <c r="S920" s="1036"/>
      <c r="T920" s="1036"/>
      <c r="U920" s="1036"/>
      <c r="V920" s="1036"/>
      <c r="W920" s="1036"/>
      <c r="X920" s="1036"/>
      <c r="Y920" s="1036"/>
      <c r="Z920" s="1036"/>
    </row>
    <row r="921" spans="1:26" ht="25.5">
      <c r="A921" s="1079">
        <v>93358</v>
      </c>
      <c r="B921" s="1080" t="s">
        <v>14476</v>
      </c>
      <c r="C921" s="1080" t="s">
        <v>10648</v>
      </c>
      <c r="D921" s="1081" t="s">
        <v>152</v>
      </c>
      <c r="E921" s="1082">
        <v>5.6</v>
      </c>
      <c r="F921" s="1083">
        <v>100.47</v>
      </c>
      <c r="G921" s="1083">
        <v>562.63</v>
      </c>
      <c r="H921" s="1084">
        <f t="shared" si="9"/>
        <v>3.821396230529061E-5</v>
      </c>
      <c r="I921" s="1085">
        <f t="shared" si="11"/>
        <v>0.99091651541826431</v>
      </c>
      <c r="J921" s="1085" t="str">
        <f t="shared" si="10"/>
        <v>C</v>
      </c>
      <c r="K921" s="1036"/>
      <c r="L921" s="1036"/>
      <c r="M921" s="1036"/>
      <c r="N921" s="1036"/>
      <c r="O921" s="1036"/>
      <c r="P921" s="1036"/>
      <c r="Q921" s="1036"/>
      <c r="R921" s="1036"/>
      <c r="S921" s="1036"/>
      <c r="T921" s="1036"/>
      <c r="U921" s="1036"/>
      <c r="V921" s="1036"/>
      <c r="W921" s="1036"/>
      <c r="X921" s="1036"/>
      <c r="Y921" s="1036"/>
      <c r="Z921" s="1036"/>
    </row>
    <row r="922" spans="1:26" ht="38.25">
      <c r="A922" s="1079">
        <v>103979</v>
      </c>
      <c r="B922" s="1080" t="s">
        <v>14476</v>
      </c>
      <c r="C922" s="1080" t="s">
        <v>8649</v>
      </c>
      <c r="D922" s="1081" t="s">
        <v>50</v>
      </c>
      <c r="E922" s="1082">
        <v>17</v>
      </c>
      <c r="F922" s="1083">
        <v>33.03</v>
      </c>
      <c r="G922" s="1083">
        <v>561.51</v>
      </c>
      <c r="H922" s="1084">
        <f t="shared" si="9"/>
        <v>3.813789164112069E-5</v>
      </c>
      <c r="I922" s="1085">
        <f t="shared" si="11"/>
        <v>0.9909546533099054</v>
      </c>
      <c r="J922" s="1085" t="str">
        <f t="shared" si="10"/>
        <v>C</v>
      </c>
      <c r="K922" s="1036"/>
      <c r="L922" s="1036"/>
      <c r="M922" s="1036"/>
      <c r="N922" s="1036"/>
      <c r="O922" s="1036"/>
      <c r="P922" s="1036"/>
      <c r="Q922" s="1036"/>
      <c r="R922" s="1036"/>
      <c r="S922" s="1036"/>
      <c r="T922" s="1036"/>
      <c r="U922" s="1036"/>
      <c r="V922" s="1036"/>
      <c r="W922" s="1036"/>
      <c r="X922" s="1036"/>
      <c r="Y922" s="1036"/>
      <c r="Z922" s="1036"/>
    </row>
    <row r="923" spans="1:26" ht="51">
      <c r="A923" s="1079">
        <v>97906</v>
      </c>
      <c r="B923" s="1080" t="s">
        <v>14476</v>
      </c>
      <c r="C923" s="1080" t="s">
        <v>10017</v>
      </c>
      <c r="D923" s="1081" t="s">
        <v>6</v>
      </c>
      <c r="E923" s="1082">
        <v>1</v>
      </c>
      <c r="F923" s="1083">
        <v>559.72</v>
      </c>
      <c r="G923" s="1083">
        <v>559.72</v>
      </c>
      <c r="H923" s="1084">
        <f t="shared" si="9"/>
        <v>3.8016314418920536E-5</v>
      </c>
      <c r="I923" s="1085">
        <f t="shared" si="11"/>
        <v>0.99099266962432431</v>
      </c>
      <c r="J923" s="1085" t="str">
        <f t="shared" si="10"/>
        <v>C</v>
      </c>
      <c r="K923" s="1036"/>
      <c r="L923" s="1036"/>
      <c r="M923" s="1036"/>
      <c r="N923" s="1036"/>
      <c r="O923" s="1036"/>
      <c r="P923" s="1036"/>
      <c r="Q923" s="1036"/>
      <c r="R923" s="1036"/>
      <c r="S923" s="1036"/>
      <c r="T923" s="1036"/>
      <c r="U923" s="1036"/>
      <c r="V923" s="1036"/>
      <c r="W923" s="1036"/>
      <c r="X923" s="1036"/>
      <c r="Y923" s="1036"/>
      <c r="Z923" s="1036"/>
    </row>
    <row r="924" spans="1:26" ht="25.5">
      <c r="A924" s="1079">
        <v>93382</v>
      </c>
      <c r="B924" s="1080" t="s">
        <v>14476</v>
      </c>
      <c r="C924" s="1080" t="s">
        <v>10726</v>
      </c>
      <c r="D924" s="1081" t="s">
        <v>152</v>
      </c>
      <c r="E924" s="1082">
        <v>18.72</v>
      </c>
      <c r="F924" s="1083">
        <v>29.52</v>
      </c>
      <c r="G924" s="1083">
        <v>552.66999999999996</v>
      </c>
      <c r="H924" s="1084">
        <f t="shared" si="9"/>
        <v>3.7537476756065199E-5</v>
      </c>
      <c r="I924" s="1085">
        <f t="shared" si="11"/>
        <v>0.99103020710108036</v>
      </c>
      <c r="J924" s="1085" t="str">
        <f t="shared" si="10"/>
        <v>C</v>
      </c>
      <c r="K924" s="1036"/>
      <c r="L924" s="1036"/>
      <c r="M924" s="1036"/>
      <c r="N924" s="1036"/>
      <c r="O924" s="1036"/>
      <c r="P924" s="1036"/>
      <c r="Q924" s="1036"/>
      <c r="R924" s="1036"/>
      <c r="S924" s="1036"/>
      <c r="T924" s="1036"/>
      <c r="U924" s="1036"/>
      <c r="V924" s="1036"/>
      <c r="W924" s="1036"/>
      <c r="X924" s="1036"/>
      <c r="Y924" s="1036"/>
      <c r="Z924" s="1036"/>
    </row>
    <row r="925" spans="1:26" ht="25.5">
      <c r="A925" s="1079">
        <v>93358</v>
      </c>
      <c r="B925" s="1080" t="s">
        <v>14476</v>
      </c>
      <c r="C925" s="1080" t="s">
        <v>10648</v>
      </c>
      <c r="D925" s="1081" t="s">
        <v>152</v>
      </c>
      <c r="E925" s="1082">
        <v>5.5</v>
      </c>
      <c r="F925" s="1083">
        <v>100.47</v>
      </c>
      <c r="G925" s="1083">
        <v>552.58000000000004</v>
      </c>
      <c r="H925" s="1084">
        <f t="shared" si="9"/>
        <v>3.753136393483726E-5</v>
      </c>
      <c r="I925" s="1085">
        <f t="shared" si="11"/>
        <v>0.99106773846501517</v>
      </c>
      <c r="J925" s="1085" t="str">
        <f t="shared" si="10"/>
        <v>C</v>
      </c>
      <c r="K925" s="1036"/>
      <c r="L925" s="1036"/>
      <c r="M925" s="1036"/>
      <c r="N925" s="1036"/>
      <c r="O925" s="1036"/>
      <c r="P925" s="1036"/>
      <c r="Q925" s="1036"/>
      <c r="R925" s="1036"/>
      <c r="S925" s="1036"/>
      <c r="T925" s="1036"/>
      <c r="U925" s="1036"/>
      <c r="V925" s="1036"/>
      <c r="W925" s="1036"/>
      <c r="X925" s="1036"/>
      <c r="Y925" s="1036"/>
      <c r="Z925" s="1036"/>
    </row>
    <row r="926" spans="1:26" ht="25.5">
      <c r="A926" s="1079">
        <v>93382</v>
      </c>
      <c r="B926" s="1080" t="s">
        <v>14476</v>
      </c>
      <c r="C926" s="1080" t="s">
        <v>10726</v>
      </c>
      <c r="D926" s="1081" t="s">
        <v>152</v>
      </c>
      <c r="E926" s="1082">
        <v>18.7</v>
      </c>
      <c r="F926" s="1083">
        <v>29.52</v>
      </c>
      <c r="G926" s="1083">
        <v>552.02</v>
      </c>
      <c r="H926" s="1084">
        <f t="shared" si="9"/>
        <v>3.7493328602752297E-5</v>
      </c>
      <c r="I926" s="1085">
        <f t="shared" si="11"/>
        <v>0.99110523179361787</v>
      </c>
      <c r="J926" s="1085" t="str">
        <f t="shared" si="10"/>
        <v>C</v>
      </c>
      <c r="K926" s="1036"/>
      <c r="L926" s="1036"/>
      <c r="M926" s="1036"/>
      <c r="N926" s="1036"/>
      <c r="O926" s="1036"/>
      <c r="P926" s="1036"/>
      <c r="Q926" s="1036"/>
      <c r="R926" s="1036"/>
      <c r="S926" s="1036"/>
      <c r="T926" s="1036"/>
      <c r="U926" s="1036"/>
      <c r="V926" s="1036"/>
      <c r="W926" s="1036"/>
      <c r="X926" s="1036"/>
      <c r="Y926" s="1036"/>
      <c r="Z926" s="1036"/>
    </row>
    <row r="927" spans="1:26" ht="25.5">
      <c r="A927" s="1079">
        <v>97596</v>
      </c>
      <c r="B927" s="1080" t="s">
        <v>14476</v>
      </c>
      <c r="C927" s="1080" t="s">
        <v>8097</v>
      </c>
      <c r="D927" s="1081" t="s">
        <v>6</v>
      </c>
      <c r="E927" s="1082">
        <v>6</v>
      </c>
      <c r="F927" s="1083">
        <v>92</v>
      </c>
      <c r="G927" s="1083">
        <v>552</v>
      </c>
      <c r="H927" s="1084">
        <f t="shared" si="9"/>
        <v>3.7491970198034979E-5</v>
      </c>
      <c r="I927" s="1085">
        <f t="shared" si="11"/>
        <v>0.99114272376381596</v>
      </c>
      <c r="J927" s="1085" t="str">
        <f t="shared" si="10"/>
        <v>C</v>
      </c>
      <c r="K927" s="1036"/>
      <c r="L927" s="1036"/>
      <c r="M927" s="1036"/>
      <c r="N927" s="1036"/>
      <c r="O927" s="1036"/>
      <c r="P927" s="1036"/>
      <c r="Q927" s="1036"/>
      <c r="R927" s="1036"/>
      <c r="S927" s="1036"/>
      <c r="T927" s="1036"/>
      <c r="U927" s="1036"/>
      <c r="V927" s="1036"/>
      <c r="W927" s="1036"/>
      <c r="X927" s="1036"/>
      <c r="Y927" s="1036"/>
      <c r="Z927" s="1036"/>
    </row>
    <row r="928" spans="1:26" ht="25.5">
      <c r="A928" s="1079" t="s">
        <v>14932</v>
      </c>
      <c r="B928" s="1080" t="s">
        <v>14472</v>
      </c>
      <c r="C928" s="1080" t="s">
        <v>16004</v>
      </c>
      <c r="D928" s="1081" t="s">
        <v>409</v>
      </c>
      <c r="E928" s="1082">
        <v>3</v>
      </c>
      <c r="F928" s="1083">
        <v>183.26</v>
      </c>
      <c r="G928" s="1083">
        <v>549.78</v>
      </c>
      <c r="H928" s="1084">
        <f t="shared" si="9"/>
        <v>3.7341187274412443E-5</v>
      </c>
      <c r="I928" s="1085">
        <f t="shared" si="11"/>
        <v>0.99118006495109034</v>
      </c>
      <c r="J928" s="1085" t="str">
        <f t="shared" si="10"/>
        <v>C</v>
      </c>
      <c r="K928" s="1036"/>
      <c r="L928" s="1036"/>
      <c r="M928" s="1036"/>
      <c r="N928" s="1036"/>
      <c r="O928" s="1036"/>
      <c r="P928" s="1036"/>
      <c r="Q928" s="1036"/>
      <c r="R928" s="1036"/>
      <c r="S928" s="1036"/>
      <c r="T928" s="1036"/>
      <c r="U928" s="1036"/>
      <c r="V928" s="1036"/>
      <c r="W928" s="1036"/>
      <c r="X928" s="1036"/>
      <c r="Y928" s="1036"/>
      <c r="Z928" s="1036"/>
    </row>
    <row r="929" spans="1:26" ht="25.5">
      <c r="A929" s="1079">
        <v>88485</v>
      </c>
      <c r="B929" s="1080" t="s">
        <v>14476</v>
      </c>
      <c r="C929" s="1080" t="s">
        <v>11005</v>
      </c>
      <c r="D929" s="1081" t="s">
        <v>409</v>
      </c>
      <c r="E929" s="1082">
        <v>136.16999999999999</v>
      </c>
      <c r="F929" s="1083">
        <v>4.03</v>
      </c>
      <c r="G929" s="1083">
        <v>548.76</v>
      </c>
      <c r="H929" s="1084">
        <f t="shared" si="9"/>
        <v>3.7271908633829116E-5</v>
      </c>
      <c r="I929" s="1085">
        <f t="shared" si="11"/>
        <v>0.99121733685972413</v>
      </c>
      <c r="J929" s="1085" t="str">
        <f t="shared" si="10"/>
        <v>C</v>
      </c>
      <c r="K929" s="1036"/>
      <c r="L929" s="1036"/>
      <c r="M929" s="1036"/>
      <c r="N929" s="1036"/>
      <c r="O929" s="1036"/>
      <c r="P929" s="1036"/>
      <c r="Q929" s="1036"/>
      <c r="R929" s="1036"/>
      <c r="S929" s="1036"/>
      <c r="T929" s="1036"/>
      <c r="U929" s="1036"/>
      <c r="V929" s="1036"/>
      <c r="W929" s="1036"/>
      <c r="X929" s="1036"/>
      <c r="Y929" s="1036"/>
      <c r="Z929" s="1036"/>
    </row>
    <row r="930" spans="1:26" ht="38.25">
      <c r="A930" s="1079">
        <v>100938</v>
      </c>
      <c r="B930" s="1080" t="s">
        <v>14476</v>
      </c>
      <c r="C930" s="1080" t="s">
        <v>11938</v>
      </c>
      <c r="D930" s="1081" t="s">
        <v>11696</v>
      </c>
      <c r="E930" s="1082">
        <v>57.66</v>
      </c>
      <c r="F930" s="1083">
        <v>9.4700000000000006</v>
      </c>
      <c r="G930" s="1083">
        <v>546.04</v>
      </c>
      <c r="H930" s="1084">
        <f t="shared" si="9"/>
        <v>3.7087165592273582E-5</v>
      </c>
      <c r="I930" s="1085">
        <f t="shared" si="11"/>
        <v>0.99125442402531638</v>
      </c>
      <c r="J930" s="1085" t="str">
        <f t="shared" si="10"/>
        <v>C</v>
      </c>
      <c r="K930" s="1036"/>
      <c r="L930" s="1036"/>
      <c r="M930" s="1036"/>
      <c r="N930" s="1036"/>
      <c r="O930" s="1036"/>
      <c r="P930" s="1036"/>
      <c r="Q930" s="1036"/>
      <c r="R930" s="1036"/>
      <c r="S930" s="1036"/>
      <c r="T930" s="1036"/>
      <c r="U930" s="1036"/>
      <c r="V930" s="1036"/>
      <c r="W930" s="1036"/>
      <c r="X930" s="1036"/>
      <c r="Y930" s="1036"/>
      <c r="Z930" s="1036"/>
    </row>
    <row r="931" spans="1:26" ht="38.25">
      <c r="A931" s="1079">
        <v>97668</v>
      </c>
      <c r="B931" s="1080" t="s">
        <v>14476</v>
      </c>
      <c r="C931" s="1080" t="s">
        <v>7798</v>
      </c>
      <c r="D931" s="1081" t="s">
        <v>50</v>
      </c>
      <c r="E931" s="1082">
        <v>39</v>
      </c>
      <c r="F931" s="1083">
        <v>13.98</v>
      </c>
      <c r="G931" s="1083">
        <v>545.22</v>
      </c>
      <c r="H931" s="1084">
        <f t="shared" si="9"/>
        <v>3.7031470998863458E-5</v>
      </c>
      <c r="I931" s="1085">
        <f t="shared" si="11"/>
        <v>0.99129145549631525</v>
      </c>
      <c r="J931" s="1085" t="str">
        <f t="shared" si="10"/>
        <v>C</v>
      </c>
      <c r="K931" s="1036"/>
      <c r="L931" s="1036"/>
      <c r="M931" s="1036"/>
      <c r="N931" s="1036"/>
      <c r="O931" s="1036"/>
      <c r="P931" s="1036"/>
      <c r="Q931" s="1036"/>
      <c r="R931" s="1036"/>
      <c r="S931" s="1036"/>
      <c r="T931" s="1036"/>
      <c r="U931" s="1036"/>
      <c r="V931" s="1036"/>
      <c r="W931" s="1036"/>
      <c r="X931" s="1036"/>
      <c r="Y931" s="1036"/>
      <c r="Z931" s="1036"/>
    </row>
    <row r="932" spans="1:26" ht="51">
      <c r="A932" s="1079">
        <v>99260</v>
      </c>
      <c r="B932" s="1080" t="s">
        <v>14476</v>
      </c>
      <c r="C932" s="1080" t="s">
        <v>10032</v>
      </c>
      <c r="D932" s="1081" t="s">
        <v>6</v>
      </c>
      <c r="E932" s="1082">
        <v>1</v>
      </c>
      <c r="F932" s="1083">
        <v>544.97</v>
      </c>
      <c r="G932" s="1083">
        <v>544.97</v>
      </c>
      <c r="H932" s="1084">
        <f t="shared" si="9"/>
        <v>3.7014490939896959E-5</v>
      </c>
      <c r="I932" s="1085">
        <f t="shared" si="11"/>
        <v>0.9913284699872551</v>
      </c>
      <c r="J932" s="1085" t="str">
        <f t="shared" si="10"/>
        <v>C</v>
      </c>
      <c r="K932" s="1036"/>
      <c r="L932" s="1036"/>
      <c r="M932" s="1036"/>
      <c r="N932" s="1036"/>
      <c r="O932" s="1036"/>
      <c r="P932" s="1036"/>
      <c r="Q932" s="1036"/>
      <c r="R932" s="1036"/>
      <c r="S932" s="1036"/>
      <c r="T932" s="1036"/>
      <c r="U932" s="1036"/>
      <c r="V932" s="1036"/>
      <c r="W932" s="1036"/>
      <c r="X932" s="1036"/>
      <c r="Y932" s="1036"/>
      <c r="Z932" s="1036"/>
    </row>
    <row r="933" spans="1:26" ht="51">
      <c r="A933" s="1079">
        <v>99260</v>
      </c>
      <c r="B933" s="1080" t="s">
        <v>14476</v>
      </c>
      <c r="C933" s="1080" t="s">
        <v>10032</v>
      </c>
      <c r="D933" s="1081" t="s">
        <v>6</v>
      </c>
      <c r="E933" s="1082">
        <v>1</v>
      </c>
      <c r="F933" s="1083">
        <v>544.97</v>
      </c>
      <c r="G933" s="1083">
        <v>544.97</v>
      </c>
      <c r="H933" s="1084">
        <f t="shared" si="9"/>
        <v>3.7014490939896959E-5</v>
      </c>
      <c r="I933" s="1085">
        <f t="shared" si="11"/>
        <v>0.99136548447819495</v>
      </c>
      <c r="J933" s="1085" t="str">
        <f t="shared" si="10"/>
        <v>C</v>
      </c>
      <c r="K933" s="1036"/>
      <c r="L933" s="1036"/>
      <c r="M933" s="1036"/>
      <c r="N933" s="1036"/>
      <c r="O933" s="1036"/>
      <c r="P933" s="1036"/>
      <c r="Q933" s="1036"/>
      <c r="R933" s="1036"/>
      <c r="S933" s="1036"/>
      <c r="T933" s="1036"/>
      <c r="U933" s="1036"/>
      <c r="V933" s="1036"/>
      <c r="W933" s="1036"/>
      <c r="X933" s="1036"/>
      <c r="Y933" s="1036"/>
      <c r="Z933" s="1036"/>
    </row>
    <row r="934" spans="1:26" ht="51">
      <c r="A934" s="1079">
        <v>99260</v>
      </c>
      <c r="B934" s="1080" t="s">
        <v>14476</v>
      </c>
      <c r="C934" s="1080" t="s">
        <v>10032</v>
      </c>
      <c r="D934" s="1081" t="s">
        <v>6</v>
      </c>
      <c r="E934" s="1082">
        <v>1</v>
      </c>
      <c r="F934" s="1083">
        <v>544.97</v>
      </c>
      <c r="G934" s="1083">
        <v>544.97</v>
      </c>
      <c r="H934" s="1084">
        <f t="shared" si="9"/>
        <v>3.7014490939896959E-5</v>
      </c>
      <c r="I934" s="1085">
        <f t="shared" si="11"/>
        <v>0.99140249896913479</v>
      </c>
      <c r="J934" s="1085" t="str">
        <f t="shared" si="10"/>
        <v>C</v>
      </c>
      <c r="K934" s="1036"/>
      <c r="L934" s="1036"/>
      <c r="M934" s="1036"/>
      <c r="N934" s="1036"/>
      <c r="O934" s="1036"/>
      <c r="P934" s="1036"/>
      <c r="Q934" s="1036"/>
      <c r="R934" s="1036"/>
      <c r="S934" s="1036"/>
      <c r="T934" s="1036"/>
      <c r="U934" s="1036"/>
      <c r="V934" s="1036"/>
      <c r="W934" s="1036"/>
      <c r="X934" s="1036"/>
      <c r="Y934" s="1036"/>
      <c r="Z934" s="1036"/>
    </row>
    <row r="935" spans="1:26" ht="38.25">
      <c r="A935" s="1079">
        <v>92760</v>
      </c>
      <c r="B935" s="1080" t="s">
        <v>14476</v>
      </c>
      <c r="C935" s="1080" t="s">
        <v>7429</v>
      </c>
      <c r="D935" s="1081" t="s">
        <v>54</v>
      </c>
      <c r="E935" s="1082">
        <v>30</v>
      </c>
      <c r="F935" s="1083">
        <v>18.059999999999999</v>
      </c>
      <c r="G935" s="1083">
        <v>541.79999999999995</v>
      </c>
      <c r="H935" s="1084">
        <f t="shared" si="9"/>
        <v>3.6799183792201718E-5</v>
      </c>
      <c r="I935" s="1085">
        <f t="shared" si="11"/>
        <v>0.99143929815292697</v>
      </c>
      <c r="J935" s="1085" t="str">
        <f t="shared" si="10"/>
        <v>C</v>
      </c>
      <c r="K935" s="1036"/>
      <c r="L935" s="1036"/>
      <c r="M935" s="1036"/>
      <c r="N935" s="1036"/>
      <c r="O935" s="1036"/>
      <c r="P935" s="1036"/>
      <c r="Q935" s="1036"/>
      <c r="R935" s="1036"/>
      <c r="S935" s="1036"/>
      <c r="T935" s="1036"/>
      <c r="U935" s="1036"/>
      <c r="V935" s="1036"/>
      <c r="W935" s="1036"/>
      <c r="X935" s="1036"/>
      <c r="Y935" s="1036"/>
      <c r="Z935" s="1036"/>
    </row>
    <row r="936" spans="1:26" ht="25.5">
      <c r="A936" s="1079" t="s">
        <v>14934</v>
      </c>
      <c r="B936" s="1080" t="s">
        <v>14472</v>
      </c>
      <c r="C936" s="1080" t="s">
        <v>14935</v>
      </c>
      <c r="D936" s="1081" t="s">
        <v>50</v>
      </c>
      <c r="E936" s="1082">
        <v>4.7</v>
      </c>
      <c r="F936" s="1083">
        <v>114.22</v>
      </c>
      <c r="G936" s="1083">
        <v>536.83000000000004</v>
      </c>
      <c r="H936" s="1084">
        <f t="shared" si="9"/>
        <v>3.6461620219947675E-5</v>
      </c>
      <c r="I936" s="1085">
        <f t="shared" si="11"/>
        <v>0.99147575977314695</v>
      </c>
      <c r="J936" s="1085" t="str">
        <f t="shared" si="10"/>
        <v>C</v>
      </c>
      <c r="K936" s="1036"/>
      <c r="L936" s="1036"/>
      <c r="M936" s="1036"/>
      <c r="N936" s="1036"/>
      <c r="O936" s="1036"/>
      <c r="P936" s="1036"/>
      <c r="Q936" s="1036"/>
      <c r="R936" s="1036"/>
      <c r="S936" s="1036"/>
      <c r="T936" s="1036"/>
      <c r="U936" s="1036"/>
      <c r="V936" s="1036"/>
      <c r="W936" s="1036"/>
      <c r="X936" s="1036"/>
      <c r="Y936" s="1036"/>
      <c r="Z936" s="1036"/>
    </row>
    <row r="937" spans="1:26" ht="38.25">
      <c r="A937" s="1079">
        <v>86914</v>
      </c>
      <c r="B937" s="1080" t="s">
        <v>14476</v>
      </c>
      <c r="C937" s="1080" t="s">
        <v>10116</v>
      </c>
      <c r="D937" s="1081" t="s">
        <v>6</v>
      </c>
      <c r="E937" s="1082">
        <v>4</v>
      </c>
      <c r="F937" s="1083">
        <v>133.06</v>
      </c>
      <c r="G937" s="1083">
        <v>532.24</v>
      </c>
      <c r="H937" s="1084">
        <f t="shared" si="9"/>
        <v>3.6149866337322711E-5</v>
      </c>
      <c r="I937" s="1085">
        <f t="shared" si="11"/>
        <v>0.99151190963948432</v>
      </c>
      <c r="J937" s="1085" t="str">
        <f t="shared" si="10"/>
        <v>C</v>
      </c>
      <c r="K937" s="1036"/>
      <c r="L937" s="1036"/>
      <c r="M937" s="1036"/>
      <c r="N937" s="1036"/>
      <c r="O937" s="1036"/>
      <c r="P937" s="1036"/>
      <c r="Q937" s="1036"/>
      <c r="R937" s="1036"/>
      <c r="S937" s="1036"/>
      <c r="T937" s="1036"/>
      <c r="U937" s="1036"/>
      <c r="V937" s="1036"/>
      <c r="W937" s="1036"/>
      <c r="X937" s="1036"/>
      <c r="Y937" s="1036"/>
      <c r="Z937" s="1036"/>
    </row>
    <row r="938" spans="1:26" ht="38.25">
      <c r="A938" s="1079">
        <v>86914</v>
      </c>
      <c r="B938" s="1080" t="s">
        <v>14476</v>
      </c>
      <c r="C938" s="1080" t="s">
        <v>10116</v>
      </c>
      <c r="D938" s="1081" t="s">
        <v>6</v>
      </c>
      <c r="E938" s="1082">
        <v>4</v>
      </c>
      <c r="F938" s="1083">
        <v>133.06</v>
      </c>
      <c r="G938" s="1083">
        <v>532.24</v>
      </c>
      <c r="H938" s="1084">
        <f t="shared" si="9"/>
        <v>3.6149866337322711E-5</v>
      </c>
      <c r="I938" s="1085">
        <f t="shared" si="11"/>
        <v>0.9915480595058217</v>
      </c>
      <c r="J938" s="1085" t="str">
        <f t="shared" si="10"/>
        <v>C</v>
      </c>
      <c r="K938" s="1036"/>
      <c r="L938" s="1036"/>
      <c r="M938" s="1036"/>
      <c r="N938" s="1036"/>
      <c r="O938" s="1036"/>
      <c r="P938" s="1036"/>
      <c r="Q938" s="1036"/>
      <c r="R938" s="1036"/>
      <c r="S938" s="1036"/>
      <c r="T938" s="1036"/>
      <c r="U938" s="1036"/>
      <c r="V938" s="1036"/>
      <c r="W938" s="1036"/>
      <c r="X938" s="1036"/>
      <c r="Y938" s="1036"/>
      <c r="Z938" s="1036"/>
    </row>
    <row r="939" spans="1:26" ht="38.25">
      <c r="A939" s="1079">
        <v>101908</v>
      </c>
      <c r="B939" s="1080" t="s">
        <v>14476</v>
      </c>
      <c r="C939" s="1080" t="s">
        <v>8302</v>
      </c>
      <c r="D939" s="1081" t="s">
        <v>6</v>
      </c>
      <c r="E939" s="1082">
        <v>2</v>
      </c>
      <c r="F939" s="1083">
        <v>265.92</v>
      </c>
      <c r="G939" s="1083">
        <v>531.84</v>
      </c>
      <c r="H939" s="1084">
        <f t="shared" si="9"/>
        <v>3.6122698242976307E-5</v>
      </c>
      <c r="I939" s="1085">
        <f t="shared" si="11"/>
        <v>0.99158418220406463</v>
      </c>
      <c r="J939" s="1085" t="str">
        <f t="shared" si="10"/>
        <v>C</v>
      </c>
      <c r="K939" s="1036"/>
      <c r="L939" s="1036"/>
      <c r="M939" s="1036"/>
      <c r="N939" s="1036"/>
      <c r="O939" s="1036"/>
      <c r="P939" s="1036"/>
      <c r="Q939" s="1036"/>
      <c r="R939" s="1036"/>
      <c r="S939" s="1036"/>
      <c r="T939" s="1036"/>
      <c r="U939" s="1036"/>
      <c r="V939" s="1036"/>
      <c r="W939" s="1036"/>
      <c r="X939" s="1036"/>
      <c r="Y939" s="1036"/>
      <c r="Z939" s="1036"/>
    </row>
    <row r="940" spans="1:26" ht="38.25">
      <c r="A940" s="1079">
        <v>97882</v>
      </c>
      <c r="B940" s="1080" t="s">
        <v>14476</v>
      </c>
      <c r="C940" s="1080" t="s">
        <v>7931</v>
      </c>
      <c r="D940" s="1081" t="s">
        <v>6</v>
      </c>
      <c r="E940" s="1082">
        <v>2</v>
      </c>
      <c r="F940" s="1083">
        <v>264.81</v>
      </c>
      <c r="G940" s="1083">
        <v>529.62</v>
      </c>
      <c r="H940" s="1084">
        <f t="shared" si="9"/>
        <v>3.5971915319353777E-5</v>
      </c>
      <c r="I940" s="1085">
        <f t="shared" si="11"/>
        <v>0.99162015411938398</v>
      </c>
      <c r="J940" s="1085" t="str">
        <f t="shared" si="10"/>
        <v>C</v>
      </c>
      <c r="K940" s="1036"/>
      <c r="L940" s="1036"/>
      <c r="M940" s="1036"/>
      <c r="N940" s="1036"/>
      <c r="O940" s="1036"/>
      <c r="P940" s="1036"/>
      <c r="Q940" s="1036"/>
      <c r="R940" s="1036"/>
      <c r="S940" s="1036"/>
      <c r="T940" s="1036"/>
      <c r="U940" s="1036"/>
      <c r="V940" s="1036"/>
      <c r="W940" s="1036"/>
      <c r="X940" s="1036"/>
      <c r="Y940" s="1036"/>
      <c r="Z940" s="1036"/>
    </row>
    <row r="941" spans="1:26" ht="38.25">
      <c r="A941" s="1079">
        <v>94681</v>
      </c>
      <c r="B941" s="1080" t="s">
        <v>14476</v>
      </c>
      <c r="C941" s="1080" t="s">
        <v>9377</v>
      </c>
      <c r="D941" s="1081" t="s">
        <v>6</v>
      </c>
      <c r="E941" s="1082">
        <v>10</v>
      </c>
      <c r="F941" s="1083">
        <v>52.93</v>
      </c>
      <c r="G941" s="1083">
        <v>529.29999999999995</v>
      </c>
      <c r="H941" s="1084">
        <f t="shared" si="9"/>
        <v>3.5950180843876651E-5</v>
      </c>
      <c r="I941" s="1085">
        <f t="shared" si="11"/>
        <v>0.99165610430022788</v>
      </c>
      <c r="J941" s="1085" t="str">
        <f t="shared" si="10"/>
        <v>C</v>
      </c>
      <c r="K941" s="1036"/>
      <c r="L941" s="1036"/>
      <c r="M941" s="1036"/>
      <c r="N941" s="1036"/>
      <c r="O941" s="1036"/>
      <c r="P941" s="1036"/>
      <c r="Q941" s="1036"/>
      <c r="R941" s="1036"/>
      <c r="S941" s="1036"/>
      <c r="T941" s="1036"/>
      <c r="U941" s="1036"/>
      <c r="V941" s="1036"/>
      <c r="W941" s="1036"/>
      <c r="X941" s="1036"/>
      <c r="Y941" s="1036"/>
      <c r="Z941" s="1036"/>
    </row>
    <row r="942" spans="1:26" ht="25.5">
      <c r="A942" s="1079" t="s">
        <v>15457</v>
      </c>
      <c r="B942" s="1080" t="s">
        <v>14472</v>
      </c>
      <c r="C942" s="1080" t="s">
        <v>15458</v>
      </c>
      <c r="D942" s="1081" t="s">
        <v>6</v>
      </c>
      <c r="E942" s="1082">
        <v>1</v>
      </c>
      <c r="F942" s="1083">
        <v>523.23</v>
      </c>
      <c r="G942" s="1083">
        <v>523.23</v>
      </c>
      <c r="H942" s="1084">
        <f t="shared" si="9"/>
        <v>3.5537905012170004E-5</v>
      </c>
      <c r="I942" s="1085">
        <f t="shared" si="11"/>
        <v>0.99169164220524009</v>
      </c>
      <c r="J942" s="1085" t="str">
        <f t="shared" si="10"/>
        <v>C</v>
      </c>
      <c r="K942" s="1036"/>
      <c r="L942" s="1036"/>
      <c r="M942" s="1036"/>
      <c r="N942" s="1036"/>
      <c r="O942" s="1036"/>
      <c r="P942" s="1036"/>
      <c r="Q942" s="1036"/>
      <c r="R942" s="1036"/>
      <c r="S942" s="1036"/>
      <c r="T942" s="1036"/>
      <c r="U942" s="1036"/>
      <c r="V942" s="1036"/>
      <c r="W942" s="1036"/>
      <c r="X942" s="1036"/>
      <c r="Y942" s="1036"/>
      <c r="Z942" s="1036"/>
    </row>
    <row r="943" spans="1:26" ht="38.25">
      <c r="A943" s="1079">
        <v>89364</v>
      </c>
      <c r="B943" s="1080" t="s">
        <v>14476</v>
      </c>
      <c r="C943" s="1080" t="s">
        <v>8671</v>
      </c>
      <c r="D943" s="1081" t="s">
        <v>6</v>
      </c>
      <c r="E943" s="1082">
        <v>38</v>
      </c>
      <c r="F943" s="1083">
        <v>13.66</v>
      </c>
      <c r="G943" s="1083">
        <v>519.08000000000004</v>
      </c>
      <c r="H943" s="1084">
        <f t="shared" si="9"/>
        <v>3.5256036033326079E-5</v>
      </c>
      <c r="I943" s="1085">
        <f t="shared" si="11"/>
        <v>0.99172689824127336</v>
      </c>
      <c r="J943" s="1085" t="str">
        <f t="shared" si="10"/>
        <v>C</v>
      </c>
      <c r="K943" s="1036"/>
      <c r="L943" s="1036"/>
      <c r="M943" s="1036"/>
      <c r="N943" s="1036"/>
      <c r="O943" s="1036"/>
      <c r="P943" s="1036"/>
      <c r="Q943" s="1036"/>
      <c r="R943" s="1036"/>
      <c r="S943" s="1036"/>
      <c r="T943" s="1036"/>
      <c r="U943" s="1036"/>
      <c r="V943" s="1036"/>
      <c r="W943" s="1036"/>
      <c r="X943" s="1036"/>
      <c r="Y943" s="1036"/>
      <c r="Z943" s="1036"/>
    </row>
    <row r="944" spans="1:26" ht="25.5">
      <c r="A944" s="1079" t="s">
        <v>15436</v>
      </c>
      <c r="B944" s="1080" t="s">
        <v>14472</v>
      </c>
      <c r="C944" s="1080" t="s">
        <v>15437</v>
      </c>
      <c r="D944" s="1081" t="s">
        <v>6</v>
      </c>
      <c r="E944" s="1082">
        <v>6</v>
      </c>
      <c r="F944" s="1083">
        <v>86.2</v>
      </c>
      <c r="G944" s="1083">
        <v>517.20000000000005</v>
      </c>
      <c r="H944" s="1084">
        <f t="shared" si="9"/>
        <v>3.5128345989897993E-5</v>
      </c>
      <c r="I944" s="1085">
        <f t="shared" si="11"/>
        <v>0.9917620265872632</v>
      </c>
      <c r="J944" s="1085" t="str">
        <f t="shared" si="10"/>
        <v>C</v>
      </c>
      <c r="K944" s="1036"/>
      <c r="L944" s="1036"/>
      <c r="M944" s="1036"/>
      <c r="N944" s="1036"/>
      <c r="O944" s="1036"/>
      <c r="P944" s="1036"/>
      <c r="Q944" s="1036"/>
      <c r="R944" s="1036"/>
      <c r="S944" s="1036"/>
      <c r="T944" s="1036"/>
      <c r="U944" s="1036"/>
      <c r="V944" s="1036"/>
      <c r="W944" s="1036"/>
      <c r="X944" s="1036"/>
      <c r="Y944" s="1036"/>
      <c r="Z944" s="1036"/>
    </row>
    <row r="945" spans="1:26" ht="25.5">
      <c r="A945" s="1079" t="s">
        <v>15436</v>
      </c>
      <c r="B945" s="1080" t="s">
        <v>14472</v>
      </c>
      <c r="C945" s="1080" t="s">
        <v>15437</v>
      </c>
      <c r="D945" s="1081" t="s">
        <v>6</v>
      </c>
      <c r="E945" s="1082">
        <v>6</v>
      </c>
      <c r="F945" s="1083">
        <v>86.2</v>
      </c>
      <c r="G945" s="1083">
        <v>517.20000000000005</v>
      </c>
      <c r="H945" s="1084">
        <f t="shared" si="9"/>
        <v>3.5128345989897993E-5</v>
      </c>
      <c r="I945" s="1085">
        <f t="shared" si="11"/>
        <v>0.99179715493325304</v>
      </c>
      <c r="J945" s="1085" t="str">
        <f t="shared" si="10"/>
        <v>C</v>
      </c>
      <c r="K945" s="1036"/>
      <c r="L945" s="1036"/>
      <c r="M945" s="1036"/>
      <c r="N945" s="1036"/>
      <c r="O945" s="1036"/>
      <c r="P945" s="1036"/>
      <c r="Q945" s="1036"/>
      <c r="R945" s="1036"/>
      <c r="S945" s="1036"/>
      <c r="T945" s="1036"/>
      <c r="U945" s="1036"/>
      <c r="V945" s="1036"/>
      <c r="W945" s="1036"/>
      <c r="X945" s="1036"/>
      <c r="Y945" s="1036"/>
      <c r="Z945" s="1036"/>
    </row>
    <row r="946" spans="1:26" ht="25.5">
      <c r="A946" s="1079" t="s">
        <v>15436</v>
      </c>
      <c r="B946" s="1080" t="s">
        <v>14472</v>
      </c>
      <c r="C946" s="1080" t="s">
        <v>15437</v>
      </c>
      <c r="D946" s="1081" t="s">
        <v>6</v>
      </c>
      <c r="E946" s="1082">
        <v>6</v>
      </c>
      <c r="F946" s="1083">
        <v>86.2</v>
      </c>
      <c r="G946" s="1083">
        <v>517.20000000000005</v>
      </c>
      <c r="H946" s="1084">
        <f t="shared" si="9"/>
        <v>3.5128345989897993E-5</v>
      </c>
      <c r="I946" s="1085">
        <f t="shared" si="11"/>
        <v>0.99183228327924289</v>
      </c>
      <c r="J946" s="1085" t="str">
        <f t="shared" si="10"/>
        <v>C</v>
      </c>
      <c r="K946" s="1036"/>
      <c r="L946" s="1036"/>
      <c r="M946" s="1036"/>
      <c r="N946" s="1036"/>
      <c r="O946" s="1036"/>
      <c r="P946" s="1036"/>
      <c r="Q946" s="1036"/>
      <c r="R946" s="1036"/>
      <c r="S946" s="1036"/>
      <c r="T946" s="1036"/>
      <c r="U946" s="1036"/>
      <c r="V946" s="1036"/>
      <c r="W946" s="1036"/>
      <c r="X946" s="1036"/>
      <c r="Y946" s="1036"/>
      <c r="Z946" s="1036"/>
    </row>
    <row r="947" spans="1:26" ht="38.25">
      <c r="A947" s="1079">
        <v>104004</v>
      </c>
      <c r="B947" s="1080" t="s">
        <v>14476</v>
      </c>
      <c r="C947" s="1080" t="s">
        <v>9848</v>
      </c>
      <c r="D947" s="1081" t="s">
        <v>6</v>
      </c>
      <c r="E947" s="1082">
        <v>15</v>
      </c>
      <c r="F947" s="1083">
        <v>34.33</v>
      </c>
      <c r="G947" s="1083">
        <v>514.95000000000005</v>
      </c>
      <c r="H947" s="1084">
        <f t="shared" si="9"/>
        <v>3.4975525459199477E-5</v>
      </c>
      <c r="I947" s="1085">
        <f t="shared" si="11"/>
        <v>0.99186725880470206</v>
      </c>
      <c r="J947" s="1085" t="str">
        <f t="shared" si="10"/>
        <v>C</v>
      </c>
      <c r="K947" s="1036"/>
      <c r="L947" s="1036"/>
      <c r="M947" s="1036"/>
      <c r="N947" s="1036"/>
      <c r="O947" s="1036"/>
      <c r="P947" s="1036"/>
      <c r="Q947" s="1036"/>
      <c r="R947" s="1036"/>
      <c r="S947" s="1036"/>
      <c r="T947" s="1036"/>
      <c r="U947" s="1036"/>
      <c r="V947" s="1036"/>
      <c r="W947" s="1036"/>
      <c r="X947" s="1036"/>
      <c r="Y947" s="1036"/>
      <c r="Z947" s="1036"/>
    </row>
    <row r="948" spans="1:26" ht="25.5">
      <c r="A948" s="1079" t="s">
        <v>15057</v>
      </c>
      <c r="B948" s="1080" t="s">
        <v>14472</v>
      </c>
      <c r="C948" s="1080" t="s">
        <v>15058</v>
      </c>
      <c r="D948" s="1081" t="s">
        <v>6</v>
      </c>
      <c r="E948" s="1082">
        <v>11</v>
      </c>
      <c r="F948" s="1083">
        <v>46.65</v>
      </c>
      <c r="G948" s="1083">
        <v>513.15</v>
      </c>
      <c r="H948" s="1084">
        <f t="shared" si="9"/>
        <v>3.4853269034640662E-5</v>
      </c>
      <c r="I948" s="1085">
        <f t="shared" si="11"/>
        <v>0.99190211207373669</v>
      </c>
      <c r="J948" s="1085" t="str">
        <f t="shared" si="10"/>
        <v>C</v>
      </c>
      <c r="K948" s="1036"/>
      <c r="L948" s="1036"/>
      <c r="M948" s="1036"/>
      <c r="N948" s="1036"/>
      <c r="O948" s="1036"/>
      <c r="P948" s="1036"/>
      <c r="Q948" s="1036"/>
      <c r="R948" s="1036"/>
      <c r="S948" s="1036"/>
      <c r="T948" s="1036"/>
      <c r="U948" s="1036"/>
      <c r="V948" s="1036"/>
      <c r="W948" s="1036"/>
      <c r="X948" s="1036"/>
      <c r="Y948" s="1036"/>
      <c r="Z948" s="1036"/>
    </row>
    <row r="949" spans="1:26" ht="25.5">
      <c r="A949" s="1079" t="s">
        <v>15057</v>
      </c>
      <c r="B949" s="1080" t="s">
        <v>14472</v>
      </c>
      <c r="C949" s="1080" t="s">
        <v>15058</v>
      </c>
      <c r="D949" s="1081" t="s">
        <v>6</v>
      </c>
      <c r="E949" s="1082">
        <v>11</v>
      </c>
      <c r="F949" s="1083">
        <v>46.65</v>
      </c>
      <c r="G949" s="1083">
        <v>513.15</v>
      </c>
      <c r="H949" s="1084">
        <f t="shared" si="9"/>
        <v>3.4853269034640662E-5</v>
      </c>
      <c r="I949" s="1085">
        <f t="shared" si="11"/>
        <v>0.99193696534277132</v>
      </c>
      <c r="J949" s="1085" t="str">
        <f t="shared" si="10"/>
        <v>C</v>
      </c>
      <c r="K949" s="1036"/>
      <c r="L949" s="1036"/>
      <c r="M949" s="1036"/>
      <c r="N949" s="1036"/>
      <c r="O949" s="1036"/>
      <c r="P949" s="1036"/>
      <c r="Q949" s="1036"/>
      <c r="R949" s="1036"/>
      <c r="S949" s="1036"/>
      <c r="T949" s="1036"/>
      <c r="U949" s="1036"/>
      <c r="V949" s="1036"/>
      <c r="W949" s="1036"/>
      <c r="X949" s="1036"/>
      <c r="Y949" s="1036"/>
      <c r="Z949" s="1036"/>
    </row>
    <row r="950" spans="1:26" ht="38.25">
      <c r="A950" s="1079">
        <v>92759</v>
      </c>
      <c r="B950" s="1080" t="s">
        <v>14476</v>
      </c>
      <c r="C950" s="1080" t="s">
        <v>7428</v>
      </c>
      <c r="D950" s="1081" t="s">
        <v>54</v>
      </c>
      <c r="E950" s="1082">
        <v>27.3</v>
      </c>
      <c r="F950" s="1083">
        <v>18.77</v>
      </c>
      <c r="G950" s="1083">
        <v>512.41999999999996</v>
      </c>
      <c r="H950" s="1084">
        <f t="shared" si="9"/>
        <v>3.4803687262458483E-5</v>
      </c>
      <c r="I950" s="1085">
        <f t="shared" si="11"/>
        <v>0.99197176903003381</v>
      </c>
      <c r="J950" s="1085" t="str">
        <f t="shared" si="10"/>
        <v>C</v>
      </c>
      <c r="K950" s="1036"/>
      <c r="L950" s="1036"/>
      <c r="M950" s="1036"/>
      <c r="N950" s="1036"/>
      <c r="O950" s="1036"/>
      <c r="P950" s="1036"/>
      <c r="Q950" s="1036"/>
      <c r="R950" s="1036"/>
      <c r="S950" s="1036"/>
      <c r="T950" s="1036"/>
      <c r="U950" s="1036"/>
      <c r="V950" s="1036"/>
      <c r="W950" s="1036"/>
      <c r="X950" s="1036"/>
      <c r="Y950" s="1036"/>
      <c r="Z950" s="1036"/>
    </row>
    <row r="951" spans="1:26" ht="38.25">
      <c r="A951" s="1079" t="s">
        <v>15217</v>
      </c>
      <c r="B951" s="1080" t="s">
        <v>14472</v>
      </c>
      <c r="C951" s="1080" t="s">
        <v>15218</v>
      </c>
      <c r="D951" s="1081" t="s">
        <v>50</v>
      </c>
      <c r="E951" s="1082">
        <v>56</v>
      </c>
      <c r="F951" s="1083">
        <v>9.07</v>
      </c>
      <c r="G951" s="1083">
        <v>507.92</v>
      </c>
      <c r="H951" s="1084">
        <f t="shared" si="9"/>
        <v>3.4498046201061457E-5</v>
      </c>
      <c r="I951" s="1085">
        <f t="shared" si="11"/>
        <v>0.99200626707623485</v>
      </c>
      <c r="J951" s="1085" t="str">
        <f t="shared" si="10"/>
        <v>C</v>
      </c>
      <c r="K951" s="1036"/>
      <c r="L951" s="1036"/>
      <c r="M951" s="1036"/>
      <c r="N951" s="1036"/>
      <c r="O951" s="1036"/>
      <c r="P951" s="1036"/>
      <c r="Q951" s="1036"/>
      <c r="R951" s="1036"/>
      <c r="S951" s="1036"/>
      <c r="T951" s="1036"/>
      <c r="U951" s="1036"/>
      <c r="V951" s="1036"/>
      <c r="W951" s="1036"/>
      <c r="X951" s="1036"/>
      <c r="Y951" s="1036"/>
      <c r="Z951" s="1036"/>
    </row>
    <row r="952" spans="1:26" ht="38.25">
      <c r="A952" s="1079">
        <v>96622</v>
      </c>
      <c r="B952" s="1080" t="s">
        <v>14476</v>
      </c>
      <c r="C952" s="1080" t="s">
        <v>7168</v>
      </c>
      <c r="D952" s="1081" t="s">
        <v>152</v>
      </c>
      <c r="E952" s="1082">
        <v>1.49</v>
      </c>
      <c r="F952" s="1083">
        <v>340.78</v>
      </c>
      <c r="G952" s="1083">
        <v>507.76</v>
      </c>
      <c r="H952" s="1084">
        <f t="shared" si="9"/>
        <v>3.4487178963322897E-5</v>
      </c>
      <c r="I952" s="1085">
        <f t="shared" si="11"/>
        <v>0.99204075425519822</v>
      </c>
      <c r="J952" s="1085" t="str">
        <f t="shared" si="10"/>
        <v>C</v>
      </c>
      <c r="K952" s="1036"/>
      <c r="L952" s="1036"/>
      <c r="M952" s="1036"/>
      <c r="N952" s="1036"/>
      <c r="O952" s="1036"/>
      <c r="P952" s="1036"/>
      <c r="Q952" s="1036"/>
      <c r="R952" s="1036"/>
      <c r="S952" s="1036"/>
      <c r="T952" s="1036"/>
      <c r="U952" s="1036"/>
      <c r="V952" s="1036"/>
      <c r="W952" s="1036"/>
      <c r="X952" s="1036"/>
      <c r="Y952" s="1036"/>
      <c r="Z952" s="1036"/>
    </row>
    <row r="953" spans="1:26" ht="38.25">
      <c r="A953" s="1079">
        <v>95945</v>
      </c>
      <c r="B953" s="1080" t="s">
        <v>14476</v>
      </c>
      <c r="C953" s="1080" t="s">
        <v>7489</v>
      </c>
      <c r="D953" s="1081" t="s">
        <v>54</v>
      </c>
      <c r="E953" s="1082">
        <v>23.6</v>
      </c>
      <c r="F953" s="1083">
        <v>21.47</v>
      </c>
      <c r="G953" s="1083">
        <v>506.69</v>
      </c>
      <c r="H953" s="1084">
        <f t="shared" si="9"/>
        <v>3.4414504310946274E-5</v>
      </c>
      <c r="I953" s="1085">
        <f t="shared" si="11"/>
        <v>0.99207516875950919</v>
      </c>
      <c r="J953" s="1085" t="str">
        <f t="shared" si="10"/>
        <v>C</v>
      </c>
      <c r="K953" s="1036"/>
      <c r="L953" s="1036"/>
      <c r="M953" s="1036"/>
      <c r="N953" s="1036"/>
      <c r="O953" s="1036"/>
      <c r="P953" s="1036"/>
      <c r="Q953" s="1036"/>
      <c r="R953" s="1036"/>
      <c r="S953" s="1036"/>
      <c r="T953" s="1036"/>
      <c r="U953" s="1036"/>
      <c r="V953" s="1036"/>
      <c r="W953" s="1036"/>
      <c r="X953" s="1036"/>
      <c r="Y953" s="1036"/>
      <c r="Z953" s="1036"/>
    </row>
    <row r="954" spans="1:26" ht="25.5">
      <c r="A954" s="1079">
        <v>102607</v>
      </c>
      <c r="B954" s="1080" t="s">
        <v>14476</v>
      </c>
      <c r="C954" s="1080" t="s">
        <v>10055</v>
      </c>
      <c r="D954" s="1081" t="s">
        <v>6</v>
      </c>
      <c r="E954" s="1082">
        <v>1</v>
      </c>
      <c r="F954" s="1083">
        <v>505.5</v>
      </c>
      <c r="G954" s="1083">
        <v>505.5</v>
      </c>
      <c r="H954" s="1084">
        <f t="shared" si="9"/>
        <v>3.4333679230265726E-5</v>
      </c>
      <c r="I954" s="1085">
        <f t="shared" si="11"/>
        <v>0.99210950243873941</v>
      </c>
      <c r="J954" s="1085" t="str">
        <f t="shared" si="10"/>
        <v>C</v>
      </c>
      <c r="K954" s="1036"/>
      <c r="L954" s="1036"/>
      <c r="M954" s="1036"/>
      <c r="N954" s="1036"/>
      <c r="O954" s="1036"/>
      <c r="P954" s="1036"/>
      <c r="Q954" s="1036"/>
      <c r="R954" s="1036"/>
      <c r="S954" s="1036"/>
      <c r="T954" s="1036"/>
      <c r="U954" s="1036"/>
      <c r="V954" s="1036"/>
      <c r="W954" s="1036"/>
      <c r="X954" s="1036"/>
      <c r="Y954" s="1036"/>
      <c r="Z954" s="1036"/>
    </row>
    <row r="955" spans="1:26" ht="38.25">
      <c r="A955" s="1079">
        <v>97881</v>
      </c>
      <c r="B955" s="1080" t="s">
        <v>14476</v>
      </c>
      <c r="C955" s="1080" t="s">
        <v>7930</v>
      </c>
      <c r="D955" s="1081" t="s">
        <v>6</v>
      </c>
      <c r="E955" s="1082">
        <v>3</v>
      </c>
      <c r="F955" s="1083">
        <v>168.01</v>
      </c>
      <c r="G955" s="1083">
        <v>504.03</v>
      </c>
      <c r="H955" s="1084">
        <f t="shared" si="9"/>
        <v>3.4233836483542693E-5</v>
      </c>
      <c r="I955" s="1085">
        <f t="shared" si="11"/>
        <v>0.9921437362752229</v>
      </c>
      <c r="J955" s="1085" t="str">
        <f t="shared" si="10"/>
        <v>C</v>
      </c>
      <c r="K955" s="1036"/>
      <c r="L955" s="1036"/>
      <c r="M955" s="1036"/>
      <c r="N955" s="1036"/>
      <c r="O955" s="1036"/>
      <c r="P955" s="1036"/>
      <c r="Q955" s="1036"/>
      <c r="R955" s="1036"/>
      <c r="S955" s="1036"/>
      <c r="T955" s="1036"/>
      <c r="U955" s="1036"/>
      <c r="V955" s="1036"/>
      <c r="W955" s="1036"/>
      <c r="X955" s="1036"/>
      <c r="Y955" s="1036"/>
      <c r="Z955" s="1036"/>
    </row>
    <row r="956" spans="1:26" ht="38.25">
      <c r="A956" s="1079">
        <v>93203</v>
      </c>
      <c r="B956" s="1080" t="s">
        <v>14476</v>
      </c>
      <c r="C956" s="1080" t="s">
        <v>7614</v>
      </c>
      <c r="D956" s="1081" t="s">
        <v>50</v>
      </c>
      <c r="E956" s="1082">
        <v>29.37</v>
      </c>
      <c r="F956" s="1083">
        <v>17.16</v>
      </c>
      <c r="G956" s="1083">
        <v>503.98</v>
      </c>
      <c r="H956" s="1084">
        <f t="shared" si="9"/>
        <v>3.4230440471749396E-5</v>
      </c>
      <c r="I956" s="1085">
        <f t="shared" si="11"/>
        <v>0.99217796671569469</v>
      </c>
      <c r="J956" s="1085" t="str">
        <f t="shared" si="10"/>
        <v>C</v>
      </c>
      <c r="K956" s="1036"/>
      <c r="L956" s="1036"/>
      <c r="M956" s="1036"/>
      <c r="N956" s="1036"/>
      <c r="O956" s="1036"/>
      <c r="P956" s="1036"/>
      <c r="Q956" s="1036"/>
      <c r="R956" s="1036"/>
      <c r="S956" s="1036"/>
      <c r="T956" s="1036"/>
      <c r="U956" s="1036"/>
      <c r="V956" s="1036"/>
      <c r="W956" s="1036"/>
      <c r="X956" s="1036"/>
      <c r="Y956" s="1036"/>
      <c r="Z956" s="1036"/>
    </row>
    <row r="957" spans="1:26" ht="51">
      <c r="A957" s="1079">
        <v>89782</v>
      </c>
      <c r="B957" s="1080" t="s">
        <v>14476</v>
      </c>
      <c r="C957" s="1080" t="s">
        <v>8988</v>
      </c>
      <c r="D957" s="1081" t="s">
        <v>6</v>
      </c>
      <c r="E957" s="1082">
        <v>28</v>
      </c>
      <c r="F957" s="1083">
        <v>17.98</v>
      </c>
      <c r="G957" s="1083">
        <v>503.44</v>
      </c>
      <c r="H957" s="1084">
        <f t="shared" si="9"/>
        <v>3.4193763544381756E-5</v>
      </c>
      <c r="I957" s="1085">
        <f t="shared" si="11"/>
        <v>0.9922121604792391</v>
      </c>
      <c r="J957" s="1085" t="str">
        <f t="shared" si="10"/>
        <v>C</v>
      </c>
      <c r="K957" s="1036"/>
      <c r="L957" s="1036"/>
      <c r="M957" s="1036"/>
      <c r="N957" s="1036"/>
      <c r="O957" s="1036"/>
      <c r="P957" s="1036"/>
      <c r="Q957" s="1036"/>
      <c r="R957" s="1036"/>
      <c r="S957" s="1036"/>
      <c r="T957" s="1036"/>
      <c r="U957" s="1036"/>
      <c r="V957" s="1036"/>
      <c r="W957" s="1036"/>
      <c r="X957" s="1036"/>
      <c r="Y957" s="1036"/>
      <c r="Z957" s="1036"/>
    </row>
    <row r="958" spans="1:26" ht="25.5">
      <c r="A958" s="1079" t="s">
        <v>14950</v>
      </c>
      <c r="B958" s="1080" t="s">
        <v>14472</v>
      </c>
      <c r="C958" s="1080" t="s">
        <v>14951</v>
      </c>
      <c r="D958" s="1081" t="s">
        <v>409</v>
      </c>
      <c r="E958" s="1082">
        <v>0.7</v>
      </c>
      <c r="F958" s="1083">
        <v>714.32</v>
      </c>
      <c r="G958" s="1083">
        <v>500.02</v>
      </c>
      <c r="H958" s="1084">
        <f t="shared" si="9"/>
        <v>3.3961476337720016E-5</v>
      </c>
      <c r="I958" s="1085">
        <f t="shared" si="11"/>
        <v>0.99224612195557682</v>
      </c>
      <c r="J958" s="1085" t="str">
        <f t="shared" si="10"/>
        <v>C</v>
      </c>
      <c r="K958" s="1036"/>
      <c r="L958" s="1036"/>
      <c r="M958" s="1036"/>
      <c r="N958" s="1036"/>
      <c r="O958" s="1036"/>
      <c r="P958" s="1036"/>
      <c r="Q958" s="1036"/>
      <c r="R958" s="1036"/>
      <c r="S958" s="1036"/>
      <c r="T958" s="1036"/>
      <c r="U958" s="1036"/>
      <c r="V958" s="1036"/>
      <c r="W958" s="1036"/>
      <c r="X958" s="1036"/>
      <c r="Y958" s="1036"/>
      <c r="Z958" s="1036"/>
    </row>
    <row r="959" spans="1:26" ht="51">
      <c r="A959" s="1079">
        <v>92915</v>
      </c>
      <c r="B959" s="1080" t="s">
        <v>14476</v>
      </c>
      <c r="C959" s="1080" t="s">
        <v>7467</v>
      </c>
      <c r="D959" s="1081" t="s">
        <v>54</v>
      </c>
      <c r="E959" s="1082">
        <v>22.75</v>
      </c>
      <c r="F959" s="1083">
        <v>21.88</v>
      </c>
      <c r="G959" s="1083">
        <v>497.77</v>
      </c>
      <c r="H959" s="1084">
        <f t="shared" si="9"/>
        <v>3.38086558070215E-5</v>
      </c>
      <c r="I959" s="1085">
        <f t="shared" si="11"/>
        <v>0.99227993061138386</v>
      </c>
      <c r="J959" s="1085" t="str">
        <f t="shared" si="10"/>
        <v>C</v>
      </c>
      <c r="K959" s="1036"/>
      <c r="L959" s="1036"/>
      <c r="M959" s="1036"/>
      <c r="N959" s="1036"/>
      <c r="O959" s="1036"/>
      <c r="P959" s="1036"/>
      <c r="Q959" s="1036"/>
      <c r="R959" s="1036"/>
      <c r="S959" s="1036"/>
      <c r="T959" s="1036"/>
      <c r="U959" s="1036"/>
      <c r="V959" s="1036"/>
      <c r="W959" s="1036"/>
      <c r="X959" s="1036"/>
      <c r="Y959" s="1036"/>
      <c r="Z959" s="1036"/>
    </row>
    <row r="960" spans="1:26" ht="38.25">
      <c r="A960" s="1079">
        <v>103979</v>
      </c>
      <c r="B960" s="1080" t="s">
        <v>14476</v>
      </c>
      <c r="C960" s="1080" t="s">
        <v>8649</v>
      </c>
      <c r="D960" s="1081" t="s">
        <v>50</v>
      </c>
      <c r="E960" s="1082">
        <v>15</v>
      </c>
      <c r="F960" s="1083">
        <v>33.03</v>
      </c>
      <c r="G960" s="1083">
        <v>495.45</v>
      </c>
      <c r="H960" s="1084">
        <f t="shared" si="9"/>
        <v>3.365108085981237E-5</v>
      </c>
      <c r="I960" s="1085">
        <f t="shared" si="11"/>
        <v>0.99231358169224371</v>
      </c>
      <c r="J960" s="1085" t="str">
        <f t="shared" si="10"/>
        <v>C</v>
      </c>
      <c r="K960" s="1036"/>
      <c r="L960" s="1036"/>
      <c r="M960" s="1036"/>
      <c r="N960" s="1036"/>
      <c r="O960" s="1036"/>
      <c r="P960" s="1036"/>
      <c r="Q960" s="1036"/>
      <c r="R960" s="1036"/>
      <c r="S960" s="1036"/>
      <c r="T960" s="1036"/>
      <c r="U960" s="1036"/>
      <c r="V960" s="1036"/>
      <c r="W960" s="1036"/>
      <c r="X960" s="1036"/>
      <c r="Y960" s="1036"/>
      <c r="Z960" s="1036"/>
    </row>
    <row r="961" spans="1:26" ht="25.5">
      <c r="A961" s="1079" t="s">
        <v>14946</v>
      </c>
      <c r="B961" s="1080" t="s">
        <v>14472</v>
      </c>
      <c r="C961" s="1080" t="s">
        <v>16005</v>
      </c>
      <c r="D961" s="1081" t="s">
        <v>6</v>
      </c>
      <c r="E961" s="1082">
        <v>1</v>
      </c>
      <c r="F961" s="1083">
        <v>492.46</v>
      </c>
      <c r="G961" s="1083">
        <v>492.46</v>
      </c>
      <c r="H961" s="1084">
        <f t="shared" si="9"/>
        <v>3.3447999354573012E-5</v>
      </c>
      <c r="I961" s="1085">
        <f t="shared" si="11"/>
        <v>0.99234702969159827</v>
      </c>
      <c r="J961" s="1085" t="str">
        <f t="shared" si="10"/>
        <v>C</v>
      </c>
      <c r="K961" s="1036"/>
      <c r="L961" s="1036"/>
      <c r="M961" s="1036"/>
      <c r="N961" s="1036"/>
      <c r="O961" s="1036"/>
      <c r="P961" s="1036"/>
      <c r="Q961" s="1036"/>
      <c r="R961" s="1036"/>
      <c r="S961" s="1036"/>
      <c r="T961" s="1036"/>
      <c r="U961" s="1036"/>
      <c r="V961" s="1036"/>
      <c r="W961" s="1036"/>
      <c r="X961" s="1036"/>
      <c r="Y961" s="1036"/>
      <c r="Z961" s="1036"/>
    </row>
    <row r="962" spans="1:26" ht="38.25">
      <c r="A962" s="1079" t="s">
        <v>14482</v>
      </c>
      <c r="B962" s="1080" t="s">
        <v>14472</v>
      </c>
      <c r="C962" s="1080" t="s">
        <v>14483</v>
      </c>
      <c r="D962" s="1081" t="s">
        <v>50</v>
      </c>
      <c r="E962" s="1082">
        <v>124</v>
      </c>
      <c r="F962" s="1083">
        <v>3.97</v>
      </c>
      <c r="G962" s="1083">
        <v>492.28</v>
      </c>
      <c r="H962" s="1084">
        <f t="shared" si="9"/>
        <v>3.3435773712117135E-5</v>
      </c>
      <c r="I962" s="1085">
        <f t="shared" si="11"/>
        <v>0.99238046546531034</v>
      </c>
      <c r="J962" s="1085" t="str">
        <f t="shared" si="10"/>
        <v>C</v>
      </c>
      <c r="K962" s="1036"/>
      <c r="L962" s="1036"/>
      <c r="M962" s="1036"/>
      <c r="N962" s="1036"/>
      <c r="O962" s="1036"/>
      <c r="P962" s="1036"/>
      <c r="Q962" s="1036"/>
      <c r="R962" s="1036"/>
      <c r="S962" s="1036"/>
      <c r="T962" s="1036"/>
      <c r="U962" s="1036"/>
      <c r="V962" s="1036"/>
      <c r="W962" s="1036"/>
      <c r="X962" s="1036"/>
      <c r="Y962" s="1036"/>
      <c r="Z962" s="1036"/>
    </row>
    <row r="963" spans="1:26" ht="25.5">
      <c r="A963" s="1079" t="s">
        <v>15295</v>
      </c>
      <c r="B963" s="1080" t="s">
        <v>14472</v>
      </c>
      <c r="C963" s="1080" t="s">
        <v>15296</v>
      </c>
      <c r="D963" s="1081" t="s">
        <v>6</v>
      </c>
      <c r="E963" s="1082">
        <v>2</v>
      </c>
      <c r="F963" s="1083">
        <v>244.57</v>
      </c>
      <c r="G963" s="1083">
        <v>489.14</v>
      </c>
      <c r="H963" s="1084">
        <f t="shared" si="9"/>
        <v>3.3222504171497873E-5</v>
      </c>
      <c r="I963" s="1085">
        <f t="shared" si="11"/>
        <v>0.99241368796948182</v>
      </c>
      <c r="J963" s="1085" t="str">
        <f t="shared" si="10"/>
        <v>C</v>
      </c>
      <c r="K963" s="1036"/>
      <c r="L963" s="1036"/>
      <c r="M963" s="1036"/>
      <c r="N963" s="1036"/>
      <c r="O963" s="1036"/>
      <c r="P963" s="1036"/>
      <c r="Q963" s="1036"/>
      <c r="R963" s="1036"/>
      <c r="S963" s="1036"/>
      <c r="T963" s="1036"/>
      <c r="U963" s="1036"/>
      <c r="V963" s="1036"/>
      <c r="W963" s="1036"/>
      <c r="X963" s="1036"/>
      <c r="Y963" s="1036"/>
      <c r="Z963" s="1036"/>
    </row>
    <row r="964" spans="1:26" ht="51">
      <c r="A964" s="1079">
        <v>98575</v>
      </c>
      <c r="B964" s="1080" t="s">
        <v>14476</v>
      </c>
      <c r="C964" s="1080" t="s">
        <v>7603</v>
      </c>
      <c r="D964" s="1081" t="s">
        <v>50</v>
      </c>
      <c r="E964" s="1082">
        <v>5.72</v>
      </c>
      <c r="F964" s="1083">
        <v>85.05</v>
      </c>
      <c r="G964" s="1083">
        <v>486.48</v>
      </c>
      <c r="H964" s="1084">
        <f t="shared" si="9"/>
        <v>3.3041836344094305E-5</v>
      </c>
      <c r="I964" s="1085">
        <f t="shared" si="11"/>
        <v>0.99244672980582593</v>
      </c>
      <c r="J964" s="1085" t="str">
        <f t="shared" si="10"/>
        <v>C</v>
      </c>
      <c r="K964" s="1036"/>
      <c r="L964" s="1036"/>
      <c r="M964" s="1036"/>
      <c r="N964" s="1036"/>
      <c r="O964" s="1036"/>
      <c r="P964" s="1036"/>
      <c r="Q964" s="1036"/>
      <c r="R964" s="1036"/>
      <c r="S964" s="1036"/>
      <c r="T964" s="1036"/>
      <c r="U964" s="1036"/>
      <c r="V964" s="1036"/>
      <c r="W964" s="1036"/>
      <c r="X964" s="1036"/>
      <c r="Y964" s="1036"/>
      <c r="Z964" s="1036"/>
    </row>
    <row r="965" spans="1:26" ht="25.5">
      <c r="A965" s="1079" t="s">
        <v>15228</v>
      </c>
      <c r="B965" s="1080" t="s">
        <v>14472</v>
      </c>
      <c r="C965" s="1080" t="s">
        <v>15229</v>
      </c>
      <c r="D965" s="1081" t="s">
        <v>50</v>
      </c>
      <c r="E965" s="1082">
        <v>6</v>
      </c>
      <c r="F965" s="1083">
        <v>80.760000000000005</v>
      </c>
      <c r="G965" s="1083">
        <v>484.56</v>
      </c>
      <c r="H965" s="1084">
        <f t="shared" si="9"/>
        <v>3.2911429491231571E-5</v>
      </c>
      <c r="I965" s="1085">
        <f t="shared" si="11"/>
        <v>0.99247964123531718</v>
      </c>
      <c r="J965" s="1085" t="str">
        <f t="shared" si="10"/>
        <v>C</v>
      </c>
      <c r="K965" s="1036"/>
      <c r="L965" s="1036"/>
      <c r="M965" s="1036"/>
      <c r="N965" s="1036"/>
      <c r="O965" s="1036"/>
      <c r="P965" s="1036"/>
      <c r="Q965" s="1036"/>
      <c r="R965" s="1036"/>
      <c r="S965" s="1036"/>
      <c r="T965" s="1036"/>
      <c r="U965" s="1036"/>
      <c r="V965" s="1036"/>
      <c r="W965" s="1036"/>
      <c r="X965" s="1036"/>
      <c r="Y965" s="1036"/>
      <c r="Z965" s="1036"/>
    </row>
    <row r="966" spans="1:26" ht="25.5">
      <c r="A966" s="1079" t="s">
        <v>15228</v>
      </c>
      <c r="B966" s="1080" t="s">
        <v>14472</v>
      </c>
      <c r="C966" s="1080" t="s">
        <v>15229</v>
      </c>
      <c r="D966" s="1081" t="s">
        <v>50</v>
      </c>
      <c r="E966" s="1082">
        <v>6</v>
      </c>
      <c r="F966" s="1083">
        <v>80.760000000000005</v>
      </c>
      <c r="G966" s="1083">
        <v>484.56</v>
      </c>
      <c r="H966" s="1084">
        <f t="shared" si="9"/>
        <v>3.2911429491231571E-5</v>
      </c>
      <c r="I966" s="1085">
        <f t="shared" si="11"/>
        <v>0.99251255266480842</v>
      </c>
      <c r="J966" s="1085" t="str">
        <f t="shared" si="10"/>
        <v>C</v>
      </c>
      <c r="K966" s="1036"/>
      <c r="L966" s="1036"/>
      <c r="M966" s="1036"/>
      <c r="N966" s="1036"/>
      <c r="O966" s="1036"/>
      <c r="P966" s="1036"/>
      <c r="Q966" s="1036"/>
      <c r="R966" s="1036"/>
      <c r="S966" s="1036"/>
      <c r="T966" s="1036"/>
      <c r="U966" s="1036"/>
      <c r="V966" s="1036"/>
      <c r="W966" s="1036"/>
      <c r="X966" s="1036"/>
      <c r="Y966" s="1036"/>
      <c r="Z966" s="1036"/>
    </row>
    <row r="967" spans="1:26" ht="25.5">
      <c r="A967" s="1079" t="s">
        <v>15228</v>
      </c>
      <c r="B967" s="1080" t="s">
        <v>14472</v>
      </c>
      <c r="C967" s="1080" t="s">
        <v>15229</v>
      </c>
      <c r="D967" s="1081" t="s">
        <v>50</v>
      </c>
      <c r="E967" s="1082">
        <v>6</v>
      </c>
      <c r="F967" s="1083">
        <v>80.760000000000005</v>
      </c>
      <c r="G967" s="1083">
        <v>484.56</v>
      </c>
      <c r="H967" s="1084">
        <f t="shared" si="9"/>
        <v>3.2911429491231571E-5</v>
      </c>
      <c r="I967" s="1085">
        <f t="shared" si="11"/>
        <v>0.99254546409429967</v>
      </c>
      <c r="J967" s="1085" t="str">
        <f t="shared" si="10"/>
        <v>C</v>
      </c>
      <c r="K967" s="1036"/>
      <c r="L967" s="1036"/>
      <c r="M967" s="1036"/>
      <c r="N967" s="1036"/>
      <c r="O967" s="1036"/>
      <c r="P967" s="1036"/>
      <c r="Q967" s="1036"/>
      <c r="R967" s="1036"/>
      <c r="S967" s="1036"/>
      <c r="T967" s="1036"/>
      <c r="U967" s="1036"/>
      <c r="V967" s="1036"/>
      <c r="W967" s="1036"/>
      <c r="X967" s="1036"/>
      <c r="Y967" s="1036"/>
      <c r="Z967" s="1036"/>
    </row>
    <row r="968" spans="1:26" ht="38.25">
      <c r="A968" s="1079">
        <v>94683</v>
      </c>
      <c r="B968" s="1080" t="s">
        <v>14476</v>
      </c>
      <c r="C968" s="1080" t="s">
        <v>9379</v>
      </c>
      <c r="D968" s="1081" t="s">
        <v>6</v>
      </c>
      <c r="E968" s="1082">
        <v>6</v>
      </c>
      <c r="F968" s="1083">
        <v>80.38</v>
      </c>
      <c r="G968" s="1083">
        <v>482.28</v>
      </c>
      <c r="H968" s="1084">
        <f t="shared" si="9"/>
        <v>3.2756571353457076E-5</v>
      </c>
      <c r="I968" s="1085">
        <f t="shared" si="11"/>
        <v>0.99257822066565315</v>
      </c>
      <c r="J968" s="1085" t="str">
        <f t="shared" si="10"/>
        <v>C</v>
      </c>
      <c r="K968" s="1036"/>
      <c r="L968" s="1036"/>
      <c r="M968" s="1036"/>
      <c r="N968" s="1036"/>
      <c r="O968" s="1036"/>
      <c r="P968" s="1036"/>
      <c r="Q968" s="1036"/>
      <c r="R968" s="1036"/>
      <c r="S968" s="1036"/>
      <c r="T968" s="1036"/>
      <c r="U968" s="1036"/>
      <c r="V968" s="1036"/>
      <c r="W968" s="1036"/>
      <c r="X968" s="1036"/>
      <c r="Y968" s="1036"/>
      <c r="Z968" s="1036"/>
    </row>
    <row r="969" spans="1:26" ht="38.25">
      <c r="A969" s="1079">
        <v>95584</v>
      </c>
      <c r="B969" s="1080" t="s">
        <v>14476</v>
      </c>
      <c r="C969" s="1080" t="s">
        <v>7484</v>
      </c>
      <c r="D969" s="1081" t="s">
        <v>54</v>
      </c>
      <c r="E969" s="1082">
        <v>25.47</v>
      </c>
      <c r="F969" s="1083">
        <v>18.91</v>
      </c>
      <c r="G969" s="1083">
        <v>481.63</v>
      </c>
      <c r="H969" s="1084">
        <f t="shared" si="9"/>
        <v>3.2712423200144173E-5</v>
      </c>
      <c r="I969" s="1085">
        <f t="shared" si="11"/>
        <v>0.99261093308885329</v>
      </c>
      <c r="J969" s="1085" t="str">
        <f t="shared" si="10"/>
        <v>C</v>
      </c>
      <c r="K969" s="1036"/>
      <c r="L969" s="1036"/>
      <c r="M969" s="1036"/>
      <c r="N969" s="1036"/>
      <c r="O969" s="1036"/>
      <c r="P969" s="1036"/>
      <c r="Q969" s="1036"/>
      <c r="R969" s="1036"/>
      <c r="S969" s="1036"/>
      <c r="T969" s="1036"/>
      <c r="U969" s="1036"/>
      <c r="V969" s="1036"/>
      <c r="W969" s="1036"/>
      <c r="X969" s="1036"/>
      <c r="Y969" s="1036"/>
      <c r="Z969" s="1036"/>
    </row>
    <row r="970" spans="1:26" ht="63.75">
      <c r="A970" s="1079" t="s">
        <v>14832</v>
      </c>
      <c r="B970" s="1080" t="s">
        <v>14472</v>
      </c>
      <c r="C970" s="1080" t="s">
        <v>15953</v>
      </c>
      <c r="D970" s="1081" t="s">
        <v>409</v>
      </c>
      <c r="E970" s="1082">
        <v>1.26</v>
      </c>
      <c r="F970" s="1083">
        <v>382.06</v>
      </c>
      <c r="G970" s="1083">
        <v>481.39</v>
      </c>
      <c r="H970" s="1084">
        <f t="shared" si="9"/>
        <v>3.2696122343536337E-5</v>
      </c>
      <c r="I970" s="1085">
        <f t="shared" si="11"/>
        <v>0.99264362921119687</v>
      </c>
      <c r="J970" s="1085" t="str">
        <f t="shared" si="10"/>
        <v>C</v>
      </c>
      <c r="K970" s="1036"/>
      <c r="L970" s="1036"/>
      <c r="M970" s="1036"/>
      <c r="N970" s="1036"/>
      <c r="O970" s="1036"/>
      <c r="P970" s="1036"/>
      <c r="Q970" s="1036"/>
      <c r="R970" s="1036"/>
      <c r="S970" s="1036"/>
      <c r="T970" s="1036"/>
      <c r="U970" s="1036"/>
      <c r="V970" s="1036"/>
      <c r="W970" s="1036"/>
      <c r="X970" s="1036"/>
      <c r="Y970" s="1036"/>
      <c r="Z970" s="1036"/>
    </row>
    <row r="971" spans="1:26" ht="51">
      <c r="A971" s="1079">
        <v>89785</v>
      </c>
      <c r="B971" s="1080" t="s">
        <v>14476</v>
      </c>
      <c r="C971" s="1080" t="s">
        <v>8991</v>
      </c>
      <c r="D971" s="1081" t="s">
        <v>6</v>
      </c>
      <c r="E971" s="1082">
        <v>15</v>
      </c>
      <c r="F971" s="1083">
        <v>31.96</v>
      </c>
      <c r="G971" s="1083">
        <v>479.4</v>
      </c>
      <c r="H971" s="1084">
        <f t="shared" si="9"/>
        <v>3.2560961074162982E-5</v>
      </c>
      <c r="I971" s="1085">
        <f t="shared" si="11"/>
        <v>0.99267619017227104</v>
      </c>
      <c r="J971" s="1085" t="str">
        <f t="shared" si="10"/>
        <v>C</v>
      </c>
      <c r="K971" s="1036"/>
      <c r="L971" s="1036"/>
      <c r="M971" s="1036"/>
      <c r="N971" s="1036"/>
      <c r="O971" s="1036"/>
      <c r="P971" s="1036"/>
      <c r="Q971" s="1036"/>
      <c r="R971" s="1036"/>
      <c r="S971" s="1036"/>
      <c r="T971" s="1036"/>
      <c r="U971" s="1036"/>
      <c r="V971" s="1036"/>
      <c r="W971" s="1036"/>
      <c r="X971" s="1036"/>
      <c r="Y971" s="1036"/>
      <c r="Z971" s="1036"/>
    </row>
    <row r="972" spans="1:26" ht="51">
      <c r="A972" s="1079">
        <v>89785</v>
      </c>
      <c r="B972" s="1080" t="s">
        <v>14476</v>
      </c>
      <c r="C972" s="1080" t="s">
        <v>8991</v>
      </c>
      <c r="D972" s="1081" t="s">
        <v>6</v>
      </c>
      <c r="E972" s="1082">
        <v>15</v>
      </c>
      <c r="F972" s="1083">
        <v>31.96</v>
      </c>
      <c r="G972" s="1083">
        <v>479.4</v>
      </c>
      <c r="H972" s="1084">
        <f t="shared" si="9"/>
        <v>3.2560961074162982E-5</v>
      </c>
      <c r="I972" s="1085">
        <f t="shared" si="11"/>
        <v>0.99270875113334522</v>
      </c>
      <c r="J972" s="1085" t="str">
        <f t="shared" si="10"/>
        <v>C</v>
      </c>
      <c r="K972" s="1036"/>
      <c r="L972" s="1036"/>
      <c r="M972" s="1036"/>
      <c r="N972" s="1036"/>
      <c r="O972" s="1036"/>
      <c r="P972" s="1036"/>
      <c r="Q972" s="1036"/>
      <c r="R972" s="1036"/>
      <c r="S972" s="1036"/>
      <c r="T972" s="1036"/>
      <c r="U972" s="1036"/>
      <c r="V972" s="1036"/>
      <c r="W972" s="1036"/>
      <c r="X972" s="1036"/>
      <c r="Y972" s="1036"/>
      <c r="Z972" s="1036"/>
    </row>
    <row r="973" spans="1:26" ht="25.5">
      <c r="A973" s="1079" t="s">
        <v>15301</v>
      </c>
      <c r="B973" s="1080" t="s">
        <v>14472</v>
      </c>
      <c r="C973" s="1080" t="s">
        <v>15302</v>
      </c>
      <c r="D973" s="1081" t="s">
        <v>6</v>
      </c>
      <c r="E973" s="1082">
        <v>200</v>
      </c>
      <c r="F973" s="1083">
        <v>2.38</v>
      </c>
      <c r="G973" s="1083">
        <v>476</v>
      </c>
      <c r="H973" s="1084">
        <f t="shared" si="9"/>
        <v>3.2330032272218566E-5</v>
      </c>
      <c r="I973" s="1085">
        <f t="shared" si="11"/>
        <v>0.99274108116561743</v>
      </c>
      <c r="J973" s="1085" t="str">
        <f t="shared" si="10"/>
        <v>C</v>
      </c>
      <c r="K973" s="1036"/>
      <c r="L973" s="1036"/>
      <c r="M973" s="1036"/>
      <c r="N973" s="1036"/>
      <c r="O973" s="1036"/>
      <c r="P973" s="1036"/>
      <c r="Q973" s="1036"/>
      <c r="R973" s="1036"/>
      <c r="S973" s="1036"/>
      <c r="T973" s="1036"/>
      <c r="U973" s="1036"/>
      <c r="V973" s="1036"/>
      <c r="W973" s="1036"/>
      <c r="X973" s="1036"/>
      <c r="Y973" s="1036"/>
      <c r="Z973" s="1036"/>
    </row>
    <row r="974" spans="1:26" ht="38.25">
      <c r="A974" s="1079">
        <v>89402</v>
      </c>
      <c r="B974" s="1080" t="s">
        <v>14476</v>
      </c>
      <c r="C974" s="1080" t="s">
        <v>8422</v>
      </c>
      <c r="D974" s="1081" t="s">
        <v>50</v>
      </c>
      <c r="E974" s="1082">
        <v>34</v>
      </c>
      <c r="F974" s="1083">
        <v>14</v>
      </c>
      <c r="G974" s="1083">
        <v>476</v>
      </c>
      <c r="H974" s="1084">
        <f t="shared" si="9"/>
        <v>3.2330032272218566E-5</v>
      </c>
      <c r="I974" s="1085">
        <f t="shared" si="11"/>
        <v>0.99277341119788964</v>
      </c>
      <c r="J974" s="1085" t="str">
        <f t="shared" si="10"/>
        <v>C</v>
      </c>
      <c r="K974" s="1036"/>
      <c r="L974" s="1036"/>
      <c r="M974" s="1036"/>
      <c r="N974" s="1036"/>
      <c r="O974" s="1036"/>
      <c r="P974" s="1036"/>
      <c r="Q974" s="1036"/>
      <c r="R974" s="1036"/>
      <c r="S974" s="1036"/>
      <c r="T974" s="1036"/>
      <c r="U974" s="1036"/>
      <c r="V974" s="1036"/>
      <c r="W974" s="1036"/>
      <c r="X974" s="1036"/>
      <c r="Y974" s="1036"/>
      <c r="Z974" s="1036"/>
    </row>
    <row r="975" spans="1:26" ht="51">
      <c r="A975" s="1079">
        <v>89713</v>
      </c>
      <c r="B975" s="1080" t="s">
        <v>14476</v>
      </c>
      <c r="C975" s="1080" t="s">
        <v>8444</v>
      </c>
      <c r="D975" s="1081" t="s">
        <v>50</v>
      </c>
      <c r="E975" s="1082">
        <v>12</v>
      </c>
      <c r="F975" s="1083">
        <v>39.5</v>
      </c>
      <c r="G975" s="1083">
        <v>474</v>
      </c>
      <c r="H975" s="1084">
        <f t="shared" si="9"/>
        <v>3.2194191800486555E-5</v>
      </c>
      <c r="I975" s="1085">
        <f t="shared" si="11"/>
        <v>0.99280560538969009</v>
      </c>
      <c r="J975" s="1085" t="str">
        <f t="shared" si="10"/>
        <v>C</v>
      </c>
      <c r="K975" s="1036"/>
      <c r="L975" s="1036"/>
      <c r="M975" s="1036"/>
      <c r="N975" s="1036"/>
      <c r="O975" s="1036"/>
      <c r="P975" s="1036"/>
      <c r="Q975" s="1036"/>
      <c r="R975" s="1036"/>
      <c r="S975" s="1036"/>
      <c r="T975" s="1036"/>
      <c r="U975" s="1036"/>
      <c r="V975" s="1036"/>
      <c r="W975" s="1036"/>
      <c r="X975" s="1036"/>
      <c r="Y975" s="1036"/>
      <c r="Z975" s="1036"/>
    </row>
    <row r="976" spans="1:26" ht="25.5">
      <c r="A976" s="1079" t="s">
        <v>14811</v>
      </c>
      <c r="B976" s="1080" t="s">
        <v>14472</v>
      </c>
      <c r="C976" s="1080" t="s">
        <v>14812</v>
      </c>
      <c r="D976" s="1081" t="s">
        <v>6</v>
      </c>
      <c r="E976" s="1082">
        <v>2</v>
      </c>
      <c r="F976" s="1083">
        <v>236.9</v>
      </c>
      <c r="G976" s="1083">
        <v>473.8</v>
      </c>
      <c r="H976" s="1084">
        <f t="shared" si="9"/>
        <v>3.2180607753313353E-5</v>
      </c>
      <c r="I976" s="1085">
        <f t="shared" si="11"/>
        <v>0.99283778599744343</v>
      </c>
      <c r="J976" s="1085" t="str">
        <f t="shared" si="10"/>
        <v>C</v>
      </c>
      <c r="K976" s="1036"/>
      <c r="L976" s="1036"/>
      <c r="M976" s="1036"/>
      <c r="N976" s="1036"/>
      <c r="O976" s="1036"/>
      <c r="P976" s="1036"/>
      <c r="Q976" s="1036"/>
      <c r="R976" s="1036"/>
      <c r="S976" s="1036"/>
      <c r="T976" s="1036"/>
      <c r="U976" s="1036"/>
      <c r="V976" s="1036"/>
      <c r="W976" s="1036"/>
      <c r="X976" s="1036"/>
      <c r="Y976" s="1036"/>
      <c r="Z976" s="1036"/>
    </row>
    <row r="977" spans="1:26" ht="38.25">
      <c r="A977" s="1079">
        <v>94493</v>
      </c>
      <c r="B977" s="1080" t="s">
        <v>14476</v>
      </c>
      <c r="C977" s="1080" t="s">
        <v>16006</v>
      </c>
      <c r="D977" s="1081" t="s">
        <v>6</v>
      </c>
      <c r="E977" s="1082">
        <v>4</v>
      </c>
      <c r="F977" s="1083">
        <v>116.92</v>
      </c>
      <c r="G977" s="1083">
        <v>467.68</v>
      </c>
      <c r="H977" s="1084">
        <f t="shared" si="9"/>
        <v>3.1764935909813403E-5</v>
      </c>
      <c r="I977" s="1085">
        <f t="shared" si="11"/>
        <v>0.99286955093335327</v>
      </c>
      <c r="J977" s="1085" t="str">
        <f t="shared" si="10"/>
        <v>C</v>
      </c>
      <c r="K977" s="1036"/>
      <c r="L977" s="1036"/>
      <c r="M977" s="1036"/>
      <c r="N977" s="1036"/>
      <c r="O977" s="1036"/>
      <c r="P977" s="1036"/>
      <c r="Q977" s="1036"/>
      <c r="R977" s="1036"/>
      <c r="S977" s="1036"/>
      <c r="T977" s="1036"/>
      <c r="U977" s="1036"/>
      <c r="V977" s="1036"/>
      <c r="W977" s="1036"/>
      <c r="X977" s="1036"/>
      <c r="Y977" s="1036"/>
      <c r="Z977" s="1036"/>
    </row>
    <row r="978" spans="1:26" ht="51">
      <c r="A978" s="1079">
        <v>89699</v>
      </c>
      <c r="B978" s="1080" t="s">
        <v>14476</v>
      </c>
      <c r="C978" s="1080" t="s">
        <v>8924</v>
      </c>
      <c r="D978" s="1081" t="s">
        <v>6</v>
      </c>
      <c r="E978" s="1082">
        <v>2</v>
      </c>
      <c r="F978" s="1083">
        <v>233.76</v>
      </c>
      <c r="G978" s="1083">
        <v>467.52</v>
      </c>
      <c r="H978" s="1084">
        <f t="shared" si="9"/>
        <v>3.1754068672074837E-5</v>
      </c>
      <c r="I978" s="1085">
        <f t="shared" si="11"/>
        <v>0.99290130500202534</v>
      </c>
      <c r="J978" s="1085" t="str">
        <f t="shared" si="10"/>
        <v>C</v>
      </c>
      <c r="K978" s="1036"/>
      <c r="L978" s="1036"/>
      <c r="M978" s="1036"/>
      <c r="N978" s="1036"/>
      <c r="O978" s="1036"/>
      <c r="P978" s="1036"/>
      <c r="Q978" s="1036"/>
      <c r="R978" s="1036"/>
      <c r="S978" s="1036"/>
      <c r="T978" s="1036"/>
      <c r="U978" s="1036"/>
      <c r="V978" s="1036"/>
      <c r="W978" s="1036"/>
      <c r="X978" s="1036"/>
      <c r="Y978" s="1036"/>
      <c r="Z978" s="1036"/>
    </row>
    <row r="979" spans="1:26" ht="25.5">
      <c r="A979" s="1079">
        <v>104737</v>
      </c>
      <c r="B979" s="1080" t="s">
        <v>14476</v>
      </c>
      <c r="C979" s="1080" t="s">
        <v>10736</v>
      </c>
      <c r="D979" s="1081" t="s">
        <v>152</v>
      </c>
      <c r="E979" s="1082">
        <v>18.149999999999999</v>
      </c>
      <c r="F979" s="1083">
        <v>25.73</v>
      </c>
      <c r="G979" s="1083">
        <v>466.99</v>
      </c>
      <c r="H979" s="1084">
        <f t="shared" si="9"/>
        <v>3.171807094706586E-5</v>
      </c>
      <c r="I979" s="1085">
        <f t="shared" si="11"/>
        <v>0.99293302307297238</v>
      </c>
      <c r="J979" s="1085" t="str">
        <f t="shared" si="10"/>
        <v>C</v>
      </c>
      <c r="K979" s="1036"/>
      <c r="L979" s="1036"/>
      <c r="M979" s="1036"/>
      <c r="N979" s="1036"/>
      <c r="O979" s="1036"/>
      <c r="P979" s="1036"/>
      <c r="Q979" s="1036"/>
      <c r="R979" s="1036"/>
      <c r="S979" s="1036"/>
      <c r="T979" s="1036"/>
      <c r="U979" s="1036"/>
      <c r="V979" s="1036"/>
      <c r="W979" s="1036"/>
      <c r="X979" s="1036"/>
      <c r="Y979" s="1036"/>
      <c r="Z979" s="1036"/>
    </row>
    <row r="980" spans="1:26" ht="38.25">
      <c r="A980" s="1079">
        <v>89403</v>
      </c>
      <c r="B980" s="1080" t="s">
        <v>14476</v>
      </c>
      <c r="C980" s="1080" t="s">
        <v>8423</v>
      </c>
      <c r="D980" s="1081" t="s">
        <v>50</v>
      </c>
      <c r="E980" s="1082">
        <v>22</v>
      </c>
      <c r="F980" s="1083">
        <v>21.21</v>
      </c>
      <c r="G980" s="1083">
        <v>466.62</v>
      </c>
      <c r="H980" s="1084">
        <f t="shared" si="9"/>
        <v>3.1692940459795436E-5</v>
      </c>
      <c r="I980" s="1085">
        <f t="shared" si="11"/>
        <v>0.99296471601343217</v>
      </c>
      <c r="J980" s="1085" t="str">
        <f t="shared" si="10"/>
        <v>C</v>
      </c>
      <c r="K980" s="1036"/>
      <c r="L980" s="1036"/>
      <c r="M980" s="1036"/>
      <c r="N980" s="1036"/>
      <c r="O980" s="1036"/>
      <c r="P980" s="1036"/>
      <c r="Q980" s="1036"/>
      <c r="R980" s="1036"/>
      <c r="S980" s="1036"/>
      <c r="T980" s="1036"/>
      <c r="U980" s="1036"/>
      <c r="V980" s="1036"/>
      <c r="W980" s="1036"/>
      <c r="X980" s="1036"/>
      <c r="Y980" s="1036"/>
      <c r="Z980" s="1036"/>
    </row>
    <row r="981" spans="1:26" ht="25.5">
      <c r="A981" s="1079">
        <v>88484</v>
      </c>
      <c r="B981" s="1080" t="s">
        <v>14476</v>
      </c>
      <c r="C981" s="1080" t="s">
        <v>11004</v>
      </c>
      <c r="D981" s="1081" t="s">
        <v>409</v>
      </c>
      <c r="E981" s="1082">
        <v>90.64</v>
      </c>
      <c r="F981" s="1083">
        <v>5.13</v>
      </c>
      <c r="G981" s="1083">
        <v>464.98</v>
      </c>
      <c r="H981" s="1084">
        <f t="shared" si="9"/>
        <v>3.1581551272975187E-5</v>
      </c>
      <c r="I981" s="1085">
        <f t="shared" si="11"/>
        <v>0.9929962975647052</v>
      </c>
      <c r="J981" s="1085" t="str">
        <f t="shared" si="10"/>
        <v>C</v>
      </c>
      <c r="K981" s="1036"/>
      <c r="L981" s="1036"/>
      <c r="M981" s="1036"/>
      <c r="N981" s="1036"/>
      <c r="O981" s="1036"/>
      <c r="P981" s="1036"/>
      <c r="Q981" s="1036"/>
      <c r="R981" s="1036"/>
      <c r="S981" s="1036"/>
      <c r="T981" s="1036"/>
      <c r="U981" s="1036"/>
      <c r="V981" s="1036"/>
      <c r="W981" s="1036"/>
      <c r="X981" s="1036"/>
      <c r="Y981" s="1036"/>
      <c r="Z981" s="1036"/>
    </row>
    <row r="982" spans="1:26" ht="38.25">
      <c r="A982" s="1079">
        <v>104918</v>
      </c>
      <c r="B982" s="1080" t="s">
        <v>14476</v>
      </c>
      <c r="C982" s="1080" t="s">
        <v>7515</v>
      </c>
      <c r="D982" s="1081" t="s">
        <v>54</v>
      </c>
      <c r="E982" s="1082">
        <v>23.9</v>
      </c>
      <c r="F982" s="1083">
        <v>19.420000000000002</v>
      </c>
      <c r="G982" s="1083">
        <v>464.13</v>
      </c>
      <c r="H982" s="1084">
        <f t="shared" si="9"/>
        <v>3.1523819072489083E-5</v>
      </c>
      <c r="I982" s="1085">
        <f t="shared" si="11"/>
        <v>0.99302782138377765</v>
      </c>
      <c r="J982" s="1085" t="str">
        <f t="shared" si="10"/>
        <v>C</v>
      </c>
      <c r="K982" s="1036"/>
      <c r="L982" s="1036"/>
      <c r="M982" s="1036"/>
      <c r="N982" s="1036"/>
      <c r="O982" s="1036"/>
      <c r="P982" s="1036"/>
      <c r="Q982" s="1036"/>
      <c r="R982" s="1036"/>
      <c r="S982" s="1036"/>
      <c r="T982" s="1036"/>
      <c r="U982" s="1036"/>
      <c r="V982" s="1036"/>
      <c r="W982" s="1036"/>
      <c r="X982" s="1036"/>
      <c r="Y982" s="1036"/>
      <c r="Z982" s="1036"/>
    </row>
    <row r="983" spans="1:26" ht="38.25">
      <c r="A983" s="1079">
        <v>96536</v>
      </c>
      <c r="B983" s="1080" t="s">
        <v>14476</v>
      </c>
      <c r="C983" s="1080" t="s">
        <v>7302</v>
      </c>
      <c r="D983" s="1081" t="s">
        <v>409</v>
      </c>
      <c r="E983" s="1082">
        <v>5.15</v>
      </c>
      <c r="F983" s="1083">
        <v>89.68</v>
      </c>
      <c r="G983" s="1083">
        <v>461.85</v>
      </c>
      <c r="H983" s="1084">
        <f t="shared" si="9"/>
        <v>3.1368960934714594E-5</v>
      </c>
      <c r="I983" s="1085">
        <f t="shared" si="11"/>
        <v>0.99305919034471235</v>
      </c>
      <c r="J983" s="1085" t="str">
        <f t="shared" si="10"/>
        <v>C</v>
      </c>
      <c r="K983" s="1036"/>
      <c r="L983" s="1036"/>
      <c r="M983" s="1036"/>
      <c r="N983" s="1036"/>
      <c r="O983" s="1036"/>
      <c r="P983" s="1036"/>
      <c r="Q983" s="1036"/>
      <c r="R983" s="1036"/>
      <c r="S983" s="1036"/>
      <c r="T983" s="1036"/>
      <c r="U983" s="1036"/>
      <c r="V983" s="1036"/>
      <c r="W983" s="1036"/>
      <c r="X983" s="1036"/>
      <c r="Y983" s="1036"/>
      <c r="Z983" s="1036"/>
    </row>
    <row r="984" spans="1:26" ht="51">
      <c r="A984" s="1079">
        <v>96557</v>
      </c>
      <c r="B984" s="1080" t="s">
        <v>14476</v>
      </c>
      <c r="C984" s="1080" t="s">
        <v>7547</v>
      </c>
      <c r="D984" s="1081" t="s">
        <v>152</v>
      </c>
      <c r="E984" s="1082">
        <v>0.38</v>
      </c>
      <c r="F984" s="1083">
        <v>1215.1300000000001</v>
      </c>
      <c r="G984" s="1083">
        <v>461.74</v>
      </c>
      <c r="H984" s="1084">
        <f t="shared" si="9"/>
        <v>3.1361489708769331E-5</v>
      </c>
      <c r="I984" s="1085">
        <f t="shared" si="11"/>
        <v>0.99309055183442108</v>
      </c>
      <c r="J984" s="1085" t="str">
        <f t="shared" si="10"/>
        <v>C</v>
      </c>
      <c r="K984" s="1036"/>
      <c r="L984" s="1036"/>
      <c r="M984" s="1036"/>
      <c r="N984" s="1036"/>
      <c r="O984" s="1036"/>
      <c r="P984" s="1036"/>
      <c r="Q984" s="1036"/>
      <c r="R984" s="1036"/>
      <c r="S984" s="1036"/>
      <c r="T984" s="1036"/>
      <c r="U984" s="1036"/>
      <c r="V984" s="1036"/>
      <c r="W984" s="1036"/>
      <c r="X984" s="1036"/>
      <c r="Y984" s="1036"/>
      <c r="Z984" s="1036"/>
    </row>
    <row r="985" spans="1:26" ht="38.25">
      <c r="A985" s="1079">
        <v>91940</v>
      </c>
      <c r="B985" s="1080" t="s">
        <v>14476</v>
      </c>
      <c r="C985" s="1080" t="s">
        <v>7886</v>
      </c>
      <c r="D985" s="1081" t="s">
        <v>6</v>
      </c>
      <c r="E985" s="1082">
        <v>21</v>
      </c>
      <c r="F985" s="1083">
        <v>21.92</v>
      </c>
      <c r="G985" s="1083">
        <v>460.32</v>
      </c>
      <c r="H985" s="1084">
        <f t="shared" si="9"/>
        <v>3.1265042973839602E-5</v>
      </c>
      <c r="I985" s="1085">
        <f t="shared" si="11"/>
        <v>0.99312181687739487</v>
      </c>
      <c r="J985" s="1085" t="str">
        <f t="shared" si="10"/>
        <v>C</v>
      </c>
      <c r="K985" s="1036"/>
      <c r="L985" s="1036"/>
      <c r="M985" s="1036"/>
      <c r="N985" s="1036"/>
      <c r="O985" s="1036"/>
      <c r="P985" s="1036"/>
      <c r="Q985" s="1036"/>
      <c r="R985" s="1036"/>
      <c r="S985" s="1036"/>
      <c r="T985" s="1036"/>
      <c r="U985" s="1036"/>
      <c r="V985" s="1036"/>
      <c r="W985" s="1036"/>
      <c r="X985" s="1036"/>
      <c r="Y985" s="1036"/>
      <c r="Z985" s="1036"/>
    </row>
    <row r="986" spans="1:26" ht="51">
      <c r="A986" s="1079">
        <v>91914</v>
      </c>
      <c r="B986" s="1080" t="s">
        <v>14476</v>
      </c>
      <c r="C986" s="1080" t="s">
        <v>7831</v>
      </c>
      <c r="D986" s="1081" t="s">
        <v>6</v>
      </c>
      <c r="E986" s="1082">
        <v>21</v>
      </c>
      <c r="F986" s="1083">
        <v>21.91</v>
      </c>
      <c r="G986" s="1083">
        <v>460.11</v>
      </c>
      <c r="H986" s="1084">
        <f t="shared" si="9"/>
        <v>3.1250779724307744E-5</v>
      </c>
      <c r="I986" s="1085">
        <f t="shared" si="11"/>
        <v>0.99315306765711919</v>
      </c>
      <c r="J986" s="1085" t="str">
        <f t="shared" si="10"/>
        <v>C</v>
      </c>
      <c r="K986" s="1036"/>
      <c r="L986" s="1036"/>
      <c r="M986" s="1036"/>
      <c r="N986" s="1036"/>
      <c r="O986" s="1036"/>
      <c r="P986" s="1036"/>
      <c r="Q986" s="1036"/>
      <c r="R986" s="1036"/>
      <c r="S986" s="1036"/>
      <c r="T986" s="1036"/>
      <c r="U986" s="1036"/>
      <c r="V986" s="1036"/>
      <c r="W986" s="1036"/>
      <c r="X986" s="1036"/>
      <c r="Y986" s="1036"/>
      <c r="Z986" s="1036"/>
    </row>
    <row r="987" spans="1:26" ht="51">
      <c r="A987" s="1079" t="s">
        <v>14598</v>
      </c>
      <c r="B987" s="1080" t="s">
        <v>14472</v>
      </c>
      <c r="C987" s="1080" t="s">
        <v>14599</v>
      </c>
      <c r="D987" s="1081" t="s">
        <v>409</v>
      </c>
      <c r="E987" s="1082">
        <v>25.51</v>
      </c>
      <c r="F987" s="1083">
        <v>17.95</v>
      </c>
      <c r="G987" s="1083">
        <v>457.9</v>
      </c>
      <c r="H987" s="1084">
        <f t="shared" si="9"/>
        <v>3.110067600304387E-5</v>
      </c>
      <c r="I987" s="1085">
        <f t="shared" si="11"/>
        <v>0.99318416833312229</v>
      </c>
      <c r="J987" s="1085" t="str">
        <f t="shared" si="10"/>
        <v>C</v>
      </c>
      <c r="K987" s="1036"/>
      <c r="L987" s="1036"/>
      <c r="M987" s="1036"/>
      <c r="N987" s="1036"/>
      <c r="O987" s="1036"/>
      <c r="P987" s="1036"/>
      <c r="Q987" s="1036"/>
      <c r="R987" s="1036"/>
      <c r="S987" s="1036"/>
      <c r="T987" s="1036"/>
      <c r="U987" s="1036"/>
      <c r="V987" s="1036"/>
      <c r="W987" s="1036"/>
      <c r="X987" s="1036"/>
      <c r="Y987" s="1036"/>
      <c r="Z987" s="1036"/>
    </row>
    <row r="988" spans="1:26" ht="51">
      <c r="A988" s="1079">
        <v>89366</v>
      </c>
      <c r="B988" s="1080" t="s">
        <v>14476</v>
      </c>
      <c r="C988" s="1080" t="s">
        <v>16007</v>
      </c>
      <c r="D988" s="1081" t="s">
        <v>6</v>
      </c>
      <c r="E988" s="1082">
        <v>25</v>
      </c>
      <c r="F988" s="1083">
        <v>18.309999999999999</v>
      </c>
      <c r="G988" s="1083">
        <v>457.75</v>
      </c>
      <c r="H988" s="1084">
        <f t="shared" si="9"/>
        <v>3.1090487967663965E-5</v>
      </c>
      <c r="I988" s="1085">
        <f t="shared" si="11"/>
        <v>0.99321525882108996</v>
      </c>
      <c r="J988" s="1085" t="str">
        <f t="shared" si="10"/>
        <v>C</v>
      </c>
      <c r="K988" s="1036"/>
      <c r="L988" s="1036"/>
      <c r="M988" s="1036"/>
      <c r="N988" s="1036"/>
      <c r="O988" s="1036"/>
      <c r="P988" s="1036"/>
      <c r="Q988" s="1036"/>
      <c r="R988" s="1036"/>
      <c r="S988" s="1036"/>
      <c r="T988" s="1036"/>
      <c r="U988" s="1036"/>
      <c r="V988" s="1036"/>
      <c r="W988" s="1036"/>
      <c r="X988" s="1036"/>
      <c r="Y988" s="1036"/>
      <c r="Z988" s="1036"/>
    </row>
    <row r="989" spans="1:26" ht="25.5">
      <c r="A989" s="1079" t="s">
        <v>14590</v>
      </c>
      <c r="B989" s="1080" t="s">
        <v>14472</v>
      </c>
      <c r="C989" s="1080" t="s">
        <v>14591</v>
      </c>
      <c r="D989" s="1081" t="s">
        <v>152</v>
      </c>
      <c r="E989" s="1082">
        <v>0.42</v>
      </c>
      <c r="F989" s="1083">
        <v>1085.23</v>
      </c>
      <c r="G989" s="1083">
        <v>455.79</v>
      </c>
      <c r="H989" s="1084">
        <f t="shared" si="9"/>
        <v>3.0957364305366597E-5</v>
      </c>
      <c r="I989" s="1085">
        <f t="shared" si="11"/>
        <v>0.99324621618539533</v>
      </c>
      <c r="J989" s="1085" t="str">
        <f t="shared" si="10"/>
        <v>C</v>
      </c>
      <c r="K989" s="1036"/>
      <c r="L989" s="1036"/>
      <c r="M989" s="1036"/>
      <c r="N989" s="1036"/>
      <c r="O989" s="1036"/>
      <c r="P989" s="1036"/>
      <c r="Q989" s="1036"/>
      <c r="R989" s="1036"/>
      <c r="S989" s="1036"/>
      <c r="T989" s="1036"/>
      <c r="U989" s="1036"/>
      <c r="V989" s="1036"/>
      <c r="W989" s="1036"/>
      <c r="X989" s="1036"/>
      <c r="Y989" s="1036"/>
      <c r="Z989" s="1036"/>
    </row>
    <row r="990" spans="1:26" ht="14.25">
      <c r="A990" s="1079" t="s">
        <v>15217</v>
      </c>
      <c r="B990" s="1080" t="s">
        <v>14476</v>
      </c>
      <c r="C990" s="1080" t="e">
        <v>#N/A</v>
      </c>
      <c r="D990" s="1081" t="s">
        <v>50</v>
      </c>
      <c r="E990" s="1082">
        <v>50</v>
      </c>
      <c r="F990" s="1083">
        <v>9.07</v>
      </c>
      <c r="G990" s="1083">
        <v>453.5</v>
      </c>
      <c r="H990" s="1084">
        <f t="shared" si="9"/>
        <v>3.0801826965233446E-5</v>
      </c>
      <c r="I990" s="1085">
        <f t="shared" si="11"/>
        <v>0.99327701801236057</v>
      </c>
      <c r="J990" s="1085" t="str">
        <f t="shared" si="10"/>
        <v>C</v>
      </c>
      <c r="K990" s="1036"/>
      <c r="L990" s="1036"/>
      <c r="M990" s="1036"/>
      <c r="N990" s="1036"/>
      <c r="O990" s="1036"/>
      <c r="P990" s="1036"/>
      <c r="Q990" s="1036"/>
      <c r="R990" s="1036"/>
      <c r="S990" s="1036"/>
      <c r="T990" s="1036"/>
      <c r="U990" s="1036"/>
      <c r="V990" s="1036"/>
      <c r="W990" s="1036"/>
      <c r="X990" s="1036"/>
      <c r="Y990" s="1036"/>
      <c r="Z990" s="1036"/>
    </row>
    <row r="991" spans="1:26" ht="51">
      <c r="A991" s="1079">
        <v>91855</v>
      </c>
      <c r="B991" s="1080" t="s">
        <v>14476</v>
      </c>
      <c r="C991" s="1080" t="s">
        <v>7771</v>
      </c>
      <c r="D991" s="1081" t="s">
        <v>50</v>
      </c>
      <c r="E991" s="1082">
        <v>34</v>
      </c>
      <c r="F991" s="1083">
        <v>13.26</v>
      </c>
      <c r="G991" s="1083">
        <v>450.84</v>
      </c>
      <c r="H991" s="1084">
        <f t="shared" si="9"/>
        <v>3.0621159137829871E-5</v>
      </c>
      <c r="I991" s="1085">
        <f t="shared" si="11"/>
        <v>0.99330763917149845</v>
      </c>
      <c r="J991" s="1085" t="str">
        <f t="shared" si="10"/>
        <v>C</v>
      </c>
      <c r="K991" s="1036"/>
      <c r="L991" s="1036"/>
      <c r="M991" s="1036"/>
      <c r="N991" s="1036"/>
      <c r="O991" s="1036"/>
      <c r="P991" s="1036"/>
      <c r="Q991" s="1036"/>
      <c r="R991" s="1036"/>
      <c r="S991" s="1036"/>
      <c r="T991" s="1036"/>
      <c r="U991" s="1036"/>
      <c r="V991" s="1036"/>
      <c r="W991" s="1036"/>
      <c r="X991" s="1036"/>
      <c r="Y991" s="1036"/>
      <c r="Z991" s="1036"/>
    </row>
    <row r="992" spans="1:26" ht="38.25">
      <c r="A992" s="1079">
        <v>104916</v>
      </c>
      <c r="B992" s="1080" t="s">
        <v>14476</v>
      </c>
      <c r="C992" s="1080" t="s">
        <v>7596</v>
      </c>
      <c r="D992" s="1081" t="s">
        <v>54</v>
      </c>
      <c r="E992" s="1082">
        <v>20.6</v>
      </c>
      <c r="F992" s="1083">
        <v>21.8</v>
      </c>
      <c r="G992" s="1083">
        <v>449.08</v>
      </c>
      <c r="H992" s="1084">
        <f t="shared" si="9"/>
        <v>3.05016195227057E-5</v>
      </c>
      <c r="I992" s="1085">
        <f t="shared" si="11"/>
        <v>0.99333814079102112</v>
      </c>
      <c r="J992" s="1085" t="str">
        <f t="shared" si="10"/>
        <v>C</v>
      </c>
      <c r="K992" s="1036"/>
      <c r="L992" s="1036"/>
      <c r="M992" s="1036"/>
      <c r="N992" s="1036"/>
      <c r="O992" s="1036"/>
      <c r="P992" s="1036"/>
      <c r="Q992" s="1036"/>
      <c r="R992" s="1036"/>
      <c r="S992" s="1036"/>
      <c r="T992" s="1036"/>
      <c r="U992" s="1036"/>
      <c r="V992" s="1036"/>
      <c r="W992" s="1036"/>
      <c r="X992" s="1036"/>
      <c r="Y992" s="1036"/>
      <c r="Z992" s="1036"/>
    </row>
    <row r="993" spans="1:26" ht="51">
      <c r="A993" s="1079">
        <v>89724</v>
      </c>
      <c r="B993" s="1080" t="s">
        <v>14476</v>
      </c>
      <c r="C993" s="1080" t="s">
        <v>8937</v>
      </c>
      <c r="D993" s="1081" t="s">
        <v>6</v>
      </c>
      <c r="E993" s="1082">
        <v>36</v>
      </c>
      <c r="F993" s="1083">
        <v>12.4</v>
      </c>
      <c r="G993" s="1083">
        <v>446.4</v>
      </c>
      <c r="H993" s="1084">
        <f t="shared" si="9"/>
        <v>3.0319593290584804E-5</v>
      </c>
      <c r="I993" s="1085">
        <f t="shared" si="11"/>
        <v>0.9933684603843117</v>
      </c>
      <c r="J993" s="1085" t="str">
        <f t="shared" si="10"/>
        <v>C</v>
      </c>
      <c r="K993" s="1036"/>
      <c r="L993" s="1036"/>
      <c r="M993" s="1036"/>
      <c r="N993" s="1036"/>
      <c r="O993" s="1036"/>
      <c r="P993" s="1036"/>
      <c r="Q993" s="1036"/>
      <c r="R993" s="1036"/>
      <c r="S993" s="1036"/>
      <c r="T993" s="1036"/>
      <c r="U993" s="1036"/>
      <c r="V993" s="1036"/>
      <c r="W993" s="1036"/>
      <c r="X993" s="1036"/>
      <c r="Y993" s="1036"/>
      <c r="Z993" s="1036"/>
    </row>
    <row r="994" spans="1:26" ht="25.5">
      <c r="A994" s="1079" t="s">
        <v>14620</v>
      </c>
      <c r="B994" s="1080" t="s">
        <v>14472</v>
      </c>
      <c r="C994" s="1080" t="s">
        <v>14621</v>
      </c>
      <c r="D994" s="1081" t="s">
        <v>152</v>
      </c>
      <c r="E994" s="1082">
        <v>0.35</v>
      </c>
      <c r="F994" s="1083">
        <v>1274.5</v>
      </c>
      <c r="G994" s="1083">
        <v>446.07</v>
      </c>
      <c r="H994" s="1084">
        <f t="shared" si="9"/>
        <v>3.0297179612749026E-5</v>
      </c>
      <c r="I994" s="1085">
        <f t="shared" si="11"/>
        <v>0.99339875756392448</v>
      </c>
      <c r="J994" s="1085" t="str">
        <f t="shared" si="10"/>
        <v>C</v>
      </c>
      <c r="K994" s="1036"/>
      <c r="L994" s="1036"/>
      <c r="M994" s="1036"/>
      <c r="N994" s="1036"/>
      <c r="O994" s="1036"/>
      <c r="P994" s="1036"/>
      <c r="Q994" s="1036"/>
      <c r="R994" s="1036"/>
      <c r="S994" s="1036"/>
      <c r="T994" s="1036"/>
      <c r="U994" s="1036"/>
      <c r="V994" s="1036"/>
      <c r="W994" s="1036"/>
      <c r="X994" s="1036"/>
      <c r="Y994" s="1036"/>
      <c r="Z994" s="1036"/>
    </row>
    <row r="995" spans="1:26" ht="38.25">
      <c r="A995" s="1079">
        <v>104919</v>
      </c>
      <c r="B995" s="1080" t="s">
        <v>14476</v>
      </c>
      <c r="C995" s="1080" t="s">
        <v>7516</v>
      </c>
      <c r="D995" s="1081" t="s">
        <v>54</v>
      </c>
      <c r="E995" s="1082">
        <v>25.4</v>
      </c>
      <c r="F995" s="1083">
        <v>17.45</v>
      </c>
      <c r="G995" s="1083">
        <v>443.23</v>
      </c>
      <c r="H995" s="1084">
        <f t="shared" si="9"/>
        <v>3.010428614288957E-5</v>
      </c>
      <c r="I995" s="1085">
        <f t="shared" si="11"/>
        <v>0.9934288618500674</v>
      </c>
      <c r="J995" s="1085" t="str">
        <f t="shared" si="10"/>
        <v>C</v>
      </c>
      <c r="K995" s="1036"/>
      <c r="L995" s="1036"/>
      <c r="M995" s="1036"/>
      <c r="N995" s="1036"/>
      <c r="O995" s="1036"/>
      <c r="P995" s="1036"/>
      <c r="Q995" s="1036"/>
      <c r="R995" s="1036"/>
      <c r="S995" s="1036"/>
      <c r="T995" s="1036"/>
      <c r="U995" s="1036"/>
      <c r="V995" s="1036"/>
      <c r="W995" s="1036"/>
      <c r="X995" s="1036"/>
      <c r="Y995" s="1036"/>
      <c r="Z995" s="1036"/>
    </row>
    <row r="996" spans="1:26" ht="38.25">
      <c r="A996" s="1079">
        <v>95583</v>
      </c>
      <c r="B996" s="1080" t="s">
        <v>14476</v>
      </c>
      <c r="C996" s="1080" t="s">
        <v>7483</v>
      </c>
      <c r="D996" s="1081" t="s">
        <v>54</v>
      </c>
      <c r="E996" s="1082">
        <v>21.22</v>
      </c>
      <c r="F996" s="1083">
        <v>20.87</v>
      </c>
      <c r="G996" s="1083">
        <v>442.86</v>
      </c>
      <c r="H996" s="1084">
        <f t="shared" si="9"/>
        <v>3.0079155655619149E-5</v>
      </c>
      <c r="I996" s="1085">
        <f t="shared" si="11"/>
        <v>0.99345894100572307</v>
      </c>
      <c r="J996" s="1085" t="str">
        <f t="shared" si="10"/>
        <v>C</v>
      </c>
      <c r="K996" s="1036"/>
      <c r="L996" s="1036"/>
      <c r="M996" s="1036"/>
      <c r="N996" s="1036"/>
      <c r="O996" s="1036"/>
      <c r="P996" s="1036"/>
      <c r="Q996" s="1036"/>
      <c r="R996" s="1036"/>
      <c r="S996" s="1036"/>
      <c r="T996" s="1036"/>
      <c r="U996" s="1036"/>
      <c r="V996" s="1036"/>
      <c r="W996" s="1036"/>
      <c r="X996" s="1036"/>
      <c r="Y996" s="1036"/>
      <c r="Z996" s="1036"/>
    </row>
    <row r="997" spans="1:26" ht="25.5">
      <c r="A997" s="1079">
        <v>93382</v>
      </c>
      <c r="B997" s="1080" t="s">
        <v>14476</v>
      </c>
      <c r="C997" s="1080" t="s">
        <v>10726</v>
      </c>
      <c r="D997" s="1081" t="s">
        <v>152</v>
      </c>
      <c r="E997" s="1082">
        <v>15</v>
      </c>
      <c r="F997" s="1083">
        <v>29.52</v>
      </c>
      <c r="G997" s="1083">
        <v>442.8</v>
      </c>
      <c r="H997" s="1084">
        <f t="shared" si="9"/>
        <v>3.0075080441467187E-5</v>
      </c>
      <c r="I997" s="1085">
        <f t="shared" si="11"/>
        <v>0.99348901608616458</v>
      </c>
      <c r="J997" s="1085" t="str">
        <f t="shared" si="10"/>
        <v>C</v>
      </c>
      <c r="K997" s="1036"/>
      <c r="L997" s="1036"/>
      <c r="M997" s="1036"/>
      <c r="N997" s="1036"/>
      <c r="O997" s="1036"/>
      <c r="P997" s="1036"/>
      <c r="Q997" s="1036"/>
      <c r="R997" s="1036"/>
      <c r="S997" s="1036"/>
      <c r="T997" s="1036"/>
      <c r="U997" s="1036"/>
      <c r="V997" s="1036"/>
      <c r="W997" s="1036"/>
      <c r="X997" s="1036"/>
      <c r="Y997" s="1036"/>
      <c r="Z997" s="1036"/>
    </row>
    <row r="998" spans="1:26" ht="38.25">
      <c r="A998" s="1079">
        <v>92759</v>
      </c>
      <c r="B998" s="1080" t="s">
        <v>14476</v>
      </c>
      <c r="C998" s="1080" t="s">
        <v>7428</v>
      </c>
      <c r="D998" s="1081" t="s">
        <v>54</v>
      </c>
      <c r="E998" s="1082">
        <v>23.5</v>
      </c>
      <c r="F998" s="1083">
        <v>18.77</v>
      </c>
      <c r="G998" s="1083">
        <v>441.09</v>
      </c>
      <c r="H998" s="1084">
        <f t="shared" si="9"/>
        <v>2.9958936838136317E-5</v>
      </c>
      <c r="I998" s="1085">
        <f t="shared" si="11"/>
        <v>0.99351897502300268</v>
      </c>
      <c r="J998" s="1085" t="str">
        <f t="shared" si="10"/>
        <v>C</v>
      </c>
      <c r="K998" s="1036"/>
      <c r="L998" s="1036"/>
      <c r="M998" s="1036"/>
      <c r="N998" s="1036"/>
      <c r="O998" s="1036"/>
      <c r="P998" s="1036"/>
      <c r="Q998" s="1036"/>
      <c r="R998" s="1036"/>
      <c r="S998" s="1036"/>
      <c r="T998" s="1036"/>
      <c r="U998" s="1036"/>
      <c r="V998" s="1036"/>
      <c r="W998" s="1036"/>
      <c r="X998" s="1036"/>
      <c r="Y998" s="1036"/>
      <c r="Z998" s="1036"/>
    </row>
    <row r="999" spans="1:26" ht="38.25">
      <c r="A999" s="1079">
        <v>91941</v>
      </c>
      <c r="B999" s="1080" t="s">
        <v>14476</v>
      </c>
      <c r="C999" s="1080" t="s">
        <v>7887</v>
      </c>
      <c r="D999" s="1081" t="s">
        <v>6</v>
      </c>
      <c r="E999" s="1082">
        <v>31</v>
      </c>
      <c r="F999" s="1083">
        <v>14.2</v>
      </c>
      <c r="G999" s="1083">
        <v>440.2</v>
      </c>
      <c r="H999" s="1084">
        <f t="shared" si="9"/>
        <v>2.9898487828215571E-5</v>
      </c>
      <c r="I999" s="1085">
        <f t="shared" si="11"/>
        <v>0.99354887351083088</v>
      </c>
      <c r="J999" s="1085" t="str">
        <f t="shared" si="10"/>
        <v>C</v>
      </c>
      <c r="K999" s="1036"/>
      <c r="L999" s="1036"/>
      <c r="M999" s="1036"/>
      <c r="N999" s="1036"/>
      <c r="O999" s="1036"/>
      <c r="P999" s="1036"/>
      <c r="Q999" s="1036"/>
      <c r="R999" s="1036"/>
      <c r="S999" s="1036"/>
      <c r="T999" s="1036"/>
      <c r="U999" s="1036"/>
      <c r="V999" s="1036"/>
      <c r="W999" s="1036"/>
      <c r="X999" s="1036"/>
      <c r="Y999" s="1036"/>
      <c r="Z999" s="1036"/>
    </row>
    <row r="1000" spans="1:26" ht="38.25">
      <c r="A1000" s="1079" t="s">
        <v>14647</v>
      </c>
      <c r="B1000" s="1080" t="s">
        <v>14472</v>
      </c>
      <c r="C1000" s="1080" t="s">
        <v>14648</v>
      </c>
      <c r="D1000" s="1081" t="s">
        <v>50</v>
      </c>
      <c r="E1000" s="1082">
        <v>13.5</v>
      </c>
      <c r="F1000" s="1083">
        <v>32.450000000000003</v>
      </c>
      <c r="G1000" s="1083">
        <v>438.07</v>
      </c>
      <c r="H1000" s="1084">
        <f t="shared" si="9"/>
        <v>2.975381772582098E-5</v>
      </c>
      <c r="I1000" s="1085">
        <f t="shared" si="11"/>
        <v>0.99357862732855673</v>
      </c>
      <c r="J1000" s="1085" t="str">
        <f t="shared" si="10"/>
        <v>C</v>
      </c>
      <c r="K1000" s="1036"/>
      <c r="L1000" s="1036"/>
      <c r="M1000" s="1036"/>
      <c r="N1000" s="1036"/>
      <c r="O1000" s="1036"/>
      <c r="P1000" s="1036"/>
      <c r="Q1000" s="1036"/>
      <c r="R1000" s="1036"/>
      <c r="S1000" s="1036"/>
      <c r="T1000" s="1036"/>
      <c r="U1000" s="1036"/>
      <c r="V1000" s="1036"/>
      <c r="W1000" s="1036"/>
      <c r="X1000" s="1036"/>
      <c r="Y1000" s="1036"/>
      <c r="Z1000" s="1036"/>
    </row>
    <row r="1001" spans="1:26" ht="38.25">
      <c r="A1001" s="1079">
        <v>96622</v>
      </c>
      <c r="B1001" s="1080" t="s">
        <v>14476</v>
      </c>
      <c r="C1001" s="1080" t="s">
        <v>7168</v>
      </c>
      <c r="D1001" s="1081" t="s">
        <v>152</v>
      </c>
      <c r="E1001" s="1082">
        <v>1.28</v>
      </c>
      <c r="F1001" s="1083">
        <v>340.78</v>
      </c>
      <c r="G1001" s="1083">
        <v>436.19</v>
      </c>
      <c r="H1001" s="1084">
        <f t="shared" si="9"/>
        <v>2.9626127682392891E-5</v>
      </c>
      <c r="I1001" s="1085">
        <f t="shared" si="11"/>
        <v>0.99360825345623915</v>
      </c>
      <c r="J1001" s="1085" t="str">
        <f t="shared" si="10"/>
        <v>C</v>
      </c>
      <c r="K1001" s="1036"/>
      <c r="L1001" s="1036"/>
      <c r="M1001" s="1036"/>
      <c r="N1001" s="1036"/>
      <c r="O1001" s="1036"/>
      <c r="P1001" s="1036"/>
      <c r="Q1001" s="1036"/>
      <c r="R1001" s="1036"/>
      <c r="S1001" s="1036"/>
      <c r="T1001" s="1036"/>
      <c r="U1001" s="1036"/>
      <c r="V1001" s="1036"/>
      <c r="W1001" s="1036"/>
      <c r="X1001" s="1036"/>
      <c r="Y1001" s="1036"/>
      <c r="Z1001" s="1036"/>
    </row>
    <row r="1002" spans="1:26" ht="25.5">
      <c r="A1002" s="1079" t="s">
        <v>15050</v>
      </c>
      <c r="B1002" s="1080" t="s">
        <v>14472</v>
      </c>
      <c r="C1002" s="1080" t="s">
        <v>15051</v>
      </c>
      <c r="D1002" s="1081" t="s">
        <v>6</v>
      </c>
      <c r="E1002" s="1082">
        <v>6</v>
      </c>
      <c r="F1002" s="1083">
        <v>72.31</v>
      </c>
      <c r="G1002" s="1083">
        <v>433.86</v>
      </c>
      <c r="H1002" s="1084">
        <f t="shared" si="9"/>
        <v>2.9467873532825099E-5</v>
      </c>
      <c r="I1002" s="1085">
        <f t="shared" si="11"/>
        <v>0.99363772132977202</v>
      </c>
      <c r="J1002" s="1085" t="str">
        <f t="shared" si="10"/>
        <v>C</v>
      </c>
      <c r="K1002" s="1036"/>
      <c r="L1002" s="1036"/>
      <c r="M1002" s="1036"/>
      <c r="N1002" s="1036"/>
      <c r="O1002" s="1036"/>
      <c r="P1002" s="1036"/>
      <c r="Q1002" s="1036"/>
      <c r="R1002" s="1036"/>
      <c r="S1002" s="1036"/>
      <c r="T1002" s="1036"/>
      <c r="U1002" s="1036"/>
      <c r="V1002" s="1036"/>
      <c r="W1002" s="1036"/>
      <c r="X1002" s="1036"/>
      <c r="Y1002" s="1036"/>
      <c r="Z1002" s="1036"/>
    </row>
    <row r="1003" spans="1:26" ht="25.5">
      <c r="A1003" s="1079" t="s">
        <v>15050</v>
      </c>
      <c r="B1003" s="1080" t="s">
        <v>14472</v>
      </c>
      <c r="C1003" s="1080" t="s">
        <v>15051</v>
      </c>
      <c r="D1003" s="1081" t="s">
        <v>6</v>
      </c>
      <c r="E1003" s="1082">
        <v>6</v>
      </c>
      <c r="F1003" s="1083">
        <v>72.31</v>
      </c>
      <c r="G1003" s="1083">
        <v>433.86</v>
      </c>
      <c r="H1003" s="1084">
        <f t="shared" si="9"/>
        <v>2.9467873532825099E-5</v>
      </c>
      <c r="I1003" s="1085">
        <f t="shared" si="11"/>
        <v>0.99366718920330488</v>
      </c>
      <c r="J1003" s="1085" t="str">
        <f t="shared" si="10"/>
        <v>C</v>
      </c>
      <c r="K1003" s="1036"/>
      <c r="L1003" s="1036"/>
      <c r="M1003" s="1036"/>
      <c r="N1003" s="1036"/>
      <c r="O1003" s="1036"/>
      <c r="P1003" s="1036"/>
      <c r="Q1003" s="1036"/>
      <c r="R1003" s="1036"/>
      <c r="S1003" s="1036"/>
      <c r="T1003" s="1036"/>
      <c r="U1003" s="1036"/>
      <c r="V1003" s="1036"/>
      <c r="W1003" s="1036"/>
      <c r="X1003" s="1036"/>
      <c r="Y1003" s="1036"/>
      <c r="Z1003" s="1036"/>
    </row>
    <row r="1004" spans="1:26" ht="38.25">
      <c r="A1004" s="1079" t="s">
        <v>15114</v>
      </c>
      <c r="B1004" s="1080" t="s">
        <v>14472</v>
      </c>
      <c r="C1004" s="1080" t="s">
        <v>15115</v>
      </c>
      <c r="D1004" s="1081" t="s">
        <v>50</v>
      </c>
      <c r="E1004" s="1082">
        <v>15</v>
      </c>
      <c r="F1004" s="1083">
        <v>28.9</v>
      </c>
      <c r="G1004" s="1083">
        <v>433.5</v>
      </c>
      <c r="H1004" s="1084">
        <f t="shared" si="9"/>
        <v>2.9443422247913337E-5</v>
      </c>
      <c r="I1004" s="1085">
        <f t="shared" si="11"/>
        <v>0.99369663262555274</v>
      </c>
      <c r="J1004" s="1085" t="str">
        <f t="shared" si="10"/>
        <v>C</v>
      </c>
      <c r="K1004" s="1036"/>
      <c r="L1004" s="1036"/>
      <c r="M1004" s="1036"/>
      <c r="N1004" s="1036"/>
      <c r="O1004" s="1036"/>
      <c r="P1004" s="1036"/>
      <c r="Q1004" s="1036"/>
      <c r="R1004" s="1036"/>
      <c r="S1004" s="1036"/>
      <c r="T1004" s="1036"/>
      <c r="U1004" s="1036"/>
      <c r="V1004" s="1036"/>
      <c r="W1004" s="1036"/>
      <c r="X1004" s="1036"/>
      <c r="Y1004" s="1036"/>
      <c r="Z1004" s="1036"/>
    </row>
    <row r="1005" spans="1:26" ht="25.5">
      <c r="A1005" s="1079">
        <v>96616</v>
      </c>
      <c r="B1005" s="1080" t="s">
        <v>14476</v>
      </c>
      <c r="C1005" s="1080" t="s">
        <v>7163</v>
      </c>
      <c r="D1005" s="1081" t="s">
        <v>152</v>
      </c>
      <c r="E1005" s="1082">
        <v>0.41</v>
      </c>
      <c r="F1005" s="1083">
        <v>1048.5999999999999</v>
      </c>
      <c r="G1005" s="1083">
        <v>429.92</v>
      </c>
      <c r="H1005" s="1084">
        <f t="shared" si="9"/>
        <v>2.920026780351304E-5</v>
      </c>
      <c r="I1005" s="1085">
        <f t="shared" si="11"/>
        <v>0.99372583289335625</v>
      </c>
      <c r="J1005" s="1085" t="str">
        <f t="shared" si="10"/>
        <v>C</v>
      </c>
      <c r="K1005" s="1036"/>
      <c r="L1005" s="1036"/>
      <c r="M1005" s="1036"/>
      <c r="N1005" s="1036"/>
      <c r="O1005" s="1036"/>
      <c r="P1005" s="1036"/>
      <c r="Q1005" s="1036"/>
      <c r="R1005" s="1036"/>
      <c r="S1005" s="1036"/>
      <c r="T1005" s="1036"/>
      <c r="U1005" s="1036"/>
      <c r="V1005" s="1036"/>
      <c r="W1005" s="1036"/>
      <c r="X1005" s="1036"/>
      <c r="Y1005" s="1036"/>
      <c r="Z1005" s="1036"/>
    </row>
    <row r="1006" spans="1:26" ht="38.25">
      <c r="A1006" s="1079">
        <v>100938</v>
      </c>
      <c r="B1006" s="1080" t="s">
        <v>14476</v>
      </c>
      <c r="C1006" s="1080" t="s">
        <v>11938</v>
      </c>
      <c r="D1006" s="1081" t="s">
        <v>11696</v>
      </c>
      <c r="E1006" s="1082">
        <v>44.96</v>
      </c>
      <c r="F1006" s="1083">
        <v>9.4700000000000006</v>
      </c>
      <c r="G1006" s="1083">
        <v>425.8</v>
      </c>
      <c r="H1006" s="1084">
        <f t="shared" si="9"/>
        <v>2.8920436431745097E-5</v>
      </c>
      <c r="I1006" s="1085">
        <f t="shared" si="11"/>
        <v>0.99375475332978802</v>
      </c>
      <c r="J1006" s="1085" t="str">
        <f t="shared" si="10"/>
        <v>C</v>
      </c>
      <c r="K1006" s="1036"/>
      <c r="L1006" s="1036"/>
      <c r="M1006" s="1036"/>
      <c r="N1006" s="1036"/>
      <c r="O1006" s="1036"/>
      <c r="P1006" s="1036"/>
      <c r="Q1006" s="1036"/>
      <c r="R1006" s="1036"/>
      <c r="S1006" s="1036"/>
      <c r="T1006" s="1036"/>
      <c r="U1006" s="1036"/>
      <c r="V1006" s="1036"/>
      <c r="W1006" s="1036"/>
      <c r="X1006" s="1036"/>
      <c r="Y1006" s="1036"/>
      <c r="Z1006" s="1036"/>
    </row>
    <row r="1007" spans="1:26" ht="38.25">
      <c r="A1007" s="1079">
        <v>92759</v>
      </c>
      <c r="B1007" s="1080" t="s">
        <v>14476</v>
      </c>
      <c r="C1007" s="1080" t="s">
        <v>7428</v>
      </c>
      <c r="D1007" s="1081" t="s">
        <v>54</v>
      </c>
      <c r="E1007" s="1082">
        <v>22.6</v>
      </c>
      <c r="F1007" s="1083">
        <v>18.77</v>
      </c>
      <c r="G1007" s="1083">
        <v>424.2</v>
      </c>
      <c r="H1007" s="1084">
        <f t="shared" si="9"/>
        <v>2.8811764054359487E-5</v>
      </c>
      <c r="I1007" s="1085">
        <f t="shared" si="11"/>
        <v>0.99378356509384236</v>
      </c>
      <c r="J1007" s="1085" t="str">
        <f t="shared" si="10"/>
        <v>C</v>
      </c>
      <c r="K1007" s="1036"/>
      <c r="L1007" s="1036"/>
      <c r="M1007" s="1036"/>
      <c r="N1007" s="1036"/>
      <c r="O1007" s="1036"/>
      <c r="P1007" s="1036"/>
      <c r="Q1007" s="1036"/>
      <c r="R1007" s="1036"/>
      <c r="S1007" s="1036"/>
      <c r="T1007" s="1036"/>
      <c r="U1007" s="1036"/>
      <c r="V1007" s="1036"/>
      <c r="W1007" s="1036"/>
      <c r="X1007" s="1036"/>
      <c r="Y1007" s="1036"/>
      <c r="Z1007" s="1036"/>
    </row>
    <row r="1008" spans="1:26" ht="51">
      <c r="A1008" s="1079">
        <v>89366</v>
      </c>
      <c r="B1008" s="1080" t="s">
        <v>14476</v>
      </c>
      <c r="C1008" s="1080" t="s">
        <v>16007</v>
      </c>
      <c r="D1008" s="1081" t="s">
        <v>6</v>
      </c>
      <c r="E1008" s="1082">
        <v>23</v>
      </c>
      <c r="F1008" s="1083">
        <v>18.309999999999999</v>
      </c>
      <c r="G1008" s="1083">
        <v>421.13</v>
      </c>
      <c r="H1008" s="1084">
        <f t="shared" si="9"/>
        <v>2.860324893025085E-5</v>
      </c>
      <c r="I1008" s="1085">
        <f t="shared" si="11"/>
        <v>0.99381216834277264</v>
      </c>
      <c r="J1008" s="1085" t="str">
        <f t="shared" si="10"/>
        <v>C</v>
      </c>
      <c r="K1008" s="1036"/>
      <c r="L1008" s="1036"/>
      <c r="M1008" s="1036"/>
      <c r="N1008" s="1036"/>
      <c r="O1008" s="1036"/>
      <c r="P1008" s="1036"/>
      <c r="Q1008" s="1036"/>
      <c r="R1008" s="1036"/>
      <c r="S1008" s="1036"/>
      <c r="T1008" s="1036"/>
      <c r="U1008" s="1036"/>
      <c r="V1008" s="1036"/>
      <c r="W1008" s="1036"/>
      <c r="X1008" s="1036"/>
      <c r="Y1008" s="1036"/>
      <c r="Z1008" s="1036"/>
    </row>
    <row r="1009" spans="1:26" ht="38.25">
      <c r="A1009" s="1079" t="s">
        <v>15157</v>
      </c>
      <c r="B1009" s="1080" t="s">
        <v>14472</v>
      </c>
      <c r="C1009" s="1080" t="s">
        <v>15158</v>
      </c>
      <c r="D1009" s="1081" t="s">
        <v>6</v>
      </c>
      <c r="E1009" s="1082">
        <v>2</v>
      </c>
      <c r="F1009" s="1083">
        <v>210.33</v>
      </c>
      <c r="G1009" s="1083">
        <v>420.66</v>
      </c>
      <c r="H1009" s="1084">
        <f t="shared" si="9"/>
        <v>2.8571326419393829E-5</v>
      </c>
      <c r="I1009" s="1085">
        <f t="shared" si="11"/>
        <v>0.99384073966919206</v>
      </c>
      <c r="J1009" s="1085" t="str">
        <f t="shared" si="10"/>
        <v>C</v>
      </c>
      <c r="K1009" s="1036"/>
      <c r="L1009" s="1036"/>
      <c r="M1009" s="1036"/>
      <c r="N1009" s="1036"/>
      <c r="O1009" s="1036"/>
      <c r="P1009" s="1036"/>
      <c r="Q1009" s="1036"/>
      <c r="R1009" s="1036"/>
      <c r="S1009" s="1036"/>
      <c r="T1009" s="1036"/>
      <c r="U1009" s="1036"/>
      <c r="V1009" s="1036"/>
      <c r="W1009" s="1036"/>
      <c r="X1009" s="1036"/>
      <c r="Y1009" s="1036"/>
      <c r="Z1009" s="1036"/>
    </row>
    <row r="1010" spans="1:26" ht="38.25">
      <c r="A1010" s="1079" t="s">
        <v>15157</v>
      </c>
      <c r="B1010" s="1080" t="s">
        <v>14472</v>
      </c>
      <c r="C1010" s="1080" t="s">
        <v>15158</v>
      </c>
      <c r="D1010" s="1081" t="s">
        <v>6</v>
      </c>
      <c r="E1010" s="1082">
        <v>2</v>
      </c>
      <c r="F1010" s="1083">
        <v>210.33</v>
      </c>
      <c r="G1010" s="1083">
        <v>420.66</v>
      </c>
      <c r="H1010" s="1084">
        <f t="shared" si="9"/>
        <v>2.8571326419393829E-5</v>
      </c>
      <c r="I1010" s="1085">
        <f t="shared" si="11"/>
        <v>0.99386931099561149</v>
      </c>
      <c r="J1010" s="1085" t="str">
        <f t="shared" si="10"/>
        <v>C</v>
      </c>
      <c r="K1010" s="1036"/>
      <c r="L1010" s="1036"/>
      <c r="M1010" s="1036"/>
      <c r="N1010" s="1036"/>
      <c r="O1010" s="1036"/>
      <c r="P1010" s="1036"/>
      <c r="Q1010" s="1036"/>
      <c r="R1010" s="1036"/>
      <c r="S1010" s="1036"/>
      <c r="T1010" s="1036"/>
      <c r="U1010" s="1036"/>
      <c r="V1010" s="1036"/>
      <c r="W1010" s="1036"/>
      <c r="X1010" s="1036"/>
      <c r="Y1010" s="1036"/>
      <c r="Z1010" s="1036"/>
    </row>
    <row r="1011" spans="1:26" ht="25.5">
      <c r="A1011" s="1079">
        <v>93382</v>
      </c>
      <c r="B1011" s="1080" t="s">
        <v>14476</v>
      </c>
      <c r="C1011" s="1080" t="s">
        <v>10726</v>
      </c>
      <c r="D1011" s="1081" t="s">
        <v>152</v>
      </c>
      <c r="E1011" s="1082">
        <v>14.25</v>
      </c>
      <c r="F1011" s="1083">
        <v>29.52</v>
      </c>
      <c r="G1011" s="1083">
        <v>420.51</v>
      </c>
      <c r="H1011" s="1084">
        <f t="shared" si="9"/>
        <v>2.8561138384013927E-5</v>
      </c>
      <c r="I1011" s="1085">
        <f t="shared" si="11"/>
        <v>0.9938978721339955</v>
      </c>
      <c r="J1011" s="1085" t="str">
        <f t="shared" si="10"/>
        <v>C</v>
      </c>
      <c r="K1011" s="1036"/>
      <c r="L1011" s="1036"/>
      <c r="M1011" s="1036"/>
      <c r="N1011" s="1036"/>
      <c r="O1011" s="1036"/>
      <c r="P1011" s="1036"/>
      <c r="Q1011" s="1036"/>
      <c r="R1011" s="1036"/>
      <c r="S1011" s="1036"/>
      <c r="T1011" s="1036"/>
      <c r="U1011" s="1036"/>
      <c r="V1011" s="1036"/>
      <c r="W1011" s="1036"/>
      <c r="X1011" s="1036"/>
      <c r="Y1011" s="1036"/>
      <c r="Z1011" s="1036"/>
    </row>
    <row r="1012" spans="1:26" ht="38.25">
      <c r="A1012" s="1079">
        <v>104919</v>
      </c>
      <c r="B1012" s="1080" t="s">
        <v>14476</v>
      </c>
      <c r="C1012" s="1080" t="s">
        <v>7516</v>
      </c>
      <c r="D1012" s="1081" t="s">
        <v>54</v>
      </c>
      <c r="E1012" s="1082">
        <v>23.7</v>
      </c>
      <c r="F1012" s="1083">
        <v>17.45</v>
      </c>
      <c r="G1012" s="1083">
        <v>413.56</v>
      </c>
      <c r="H1012" s="1084">
        <f t="shared" si="9"/>
        <v>2.8089092744745191E-5</v>
      </c>
      <c r="I1012" s="1085">
        <f t="shared" si="11"/>
        <v>0.99392596122674026</v>
      </c>
      <c r="J1012" s="1085" t="str">
        <f t="shared" si="10"/>
        <v>C</v>
      </c>
      <c r="K1012" s="1036"/>
      <c r="L1012" s="1036"/>
      <c r="M1012" s="1036"/>
      <c r="N1012" s="1036"/>
      <c r="O1012" s="1036"/>
      <c r="P1012" s="1036"/>
      <c r="Q1012" s="1036"/>
      <c r="R1012" s="1036"/>
      <c r="S1012" s="1036"/>
      <c r="T1012" s="1036"/>
      <c r="U1012" s="1036"/>
      <c r="V1012" s="1036"/>
      <c r="W1012" s="1036"/>
      <c r="X1012" s="1036"/>
      <c r="Y1012" s="1036"/>
      <c r="Z1012" s="1036"/>
    </row>
    <row r="1013" spans="1:26" ht="38.25">
      <c r="A1013" s="1079">
        <v>91941</v>
      </c>
      <c r="B1013" s="1080" t="s">
        <v>14476</v>
      </c>
      <c r="C1013" s="1080" t="s">
        <v>7887</v>
      </c>
      <c r="D1013" s="1081" t="s">
        <v>6</v>
      </c>
      <c r="E1013" s="1082">
        <v>29</v>
      </c>
      <c r="F1013" s="1083">
        <v>14.2</v>
      </c>
      <c r="G1013" s="1083">
        <v>411.8</v>
      </c>
      <c r="H1013" s="1084">
        <f t="shared" si="9"/>
        <v>2.796955312962102E-5</v>
      </c>
      <c r="I1013" s="1085">
        <f t="shared" si="11"/>
        <v>0.99395393077986993</v>
      </c>
      <c r="J1013" s="1085" t="str">
        <f t="shared" si="10"/>
        <v>C</v>
      </c>
      <c r="K1013" s="1036"/>
      <c r="L1013" s="1036"/>
      <c r="M1013" s="1036"/>
      <c r="N1013" s="1036"/>
      <c r="O1013" s="1036"/>
      <c r="P1013" s="1036"/>
      <c r="Q1013" s="1036"/>
      <c r="R1013" s="1036"/>
      <c r="S1013" s="1036"/>
      <c r="T1013" s="1036"/>
      <c r="U1013" s="1036"/>
      <c r="V1013" s="1036"/>
      <c r="W1013" s="1036"/>
      <c r="X1013" s="1036"/>
      <c r="Y1013" s="1036"/>
      <c r="Z1013" s="1036"/>
    </row>
    <row r="1014" spans="1:26" ht="38.25">
      <c r="A1014" s="1079">
        <v>104178</v>
      </c>
      <c r="B1014" s="1080" t="s">
        <v>14476</v>
      </c>
      <c r="C1014" s="1080" t="s">
        <v>9884</v>
      </c>
      <c r="D1014" s="1081" t="s">
        <v>6</v>
      </c>
      <c r="E1014" s="1082">
        <v>16</v>
      </c>
      <c r="F1014" s="1083">
        <v>25.73</v>
      </c>
      <c r="G1014" s="1083">
        <v>411.68</v>
      </c>
      <c r="H1014" s="1084">
        <f t="shared" si="9"/>
        <v>2.7961402701317099E-5</v>
      </c>
      <c r="I1014" s="1085">
        <f t="shared" si="11"/>
        <v>0.99398189218257127</v>
      </c>
      <c r="J1014" s="1085" t="str">
        <f t="shared" si="10"/>
        <v>C</v>
      </c>
      <c r="K1014" s="1036"/>
      <c r="L1014" s="1036"/>
      <c r="M1014" s="1036"/>
      <c r="N1014" s="1036"/>
      <c r="O1014" s="1036"/>
      <c r="P1014" s="1036"/>
      <c r="Q1014" s="1036"/>
      <c r="R1014" s="1036"/>
      <c r="S1014" s="1036"/>
      <c r="T1014" s="1036"/>
      <c r="U1014" s="1036"/>
      <c r="V1014" s="1036"/>
      <c r="W1014" s="1036"/>
      <c r="X1014" s="1036"/>
      <c r="Y1014" s="1036"/>
      <c r="Z1014" s="1036"/>
    </row>
    <row r="1015" spans="1:26" ht="38.25">
      <c r="A1015" s="1079">
        <v>104178</v>
      </c>
      <c r="B1015" s="1080" t="s">
        <v>14476</v>
      </c>
      <c r="C1015" s="1080" t="s">
        <v>9884</v>
      </c>
      <c r="D1015" s="1081" t="s">
        <v>6</v>
      </c>
      <c r="E1015" s="1082">
        <v>16</v>
      </c>
      <c r="F1015" s="1083">
        <v>25.73</v>
      </c>
      <c r="G1015" s="1083">
        <v>411.68</v>
      </c>
      <c r="H1015" s="1084">
        <f t="shared" si="9"/>
        <v>2.7961402701317099E-5</v>
      </c>
      <c r="I1015" s="1085">
        <f t="shared" si="11"/>
        <v>0.99400985358527261</v>
      </c>
      <c r="J1015" s="1085" t="str">
        <f t="shared" si="10"/>
        <v>C</v>
      </c>
      <c r="K1015" s="1036"/>
      <c r="L1015" s="1036"/>
      <c r="M1015" s="1036"/>
      <c r="N1015" s="1036"/>
      <c r="O1015" s="1036"/>
      <c r="P1015" s="1036"/>
      <c r="Q1015" s="1036"/>
      <c r="R1015" s="1036"/>
      <c r="S1015" s="1036"/>
      <c r="T1015" s="1036"/>
      <c r="U1015" s="1036"/>
      <c r="V1015" s="1036"/>
      <c r="W1015" s="1036"/>
      <c r="X1015" s="1036"/>
      <c r="Y1015" s="1036"/>
      <c r="Z1015" s="1036"/>
    </row>
    <row r="1016" spans="1:26" ht="38.25">
      <c r="A1016" s="1079">
        <v>95944</v>
      </c>
      <c r="B1016" s="1080" t="s">
        <v>14476</v>
      </c>
      <c r="C1016" s="1080" t="s">
        <v>7488</v>
      </c>
      <c r="D1016" s="1081" t="s">
        <v>54</v>
      </c>
      <c r="E1016" s="1082">
        <v>15.9</v>
      </c>
      <c r="F1016" s="1083">
        <v>25.87</v>
      </c>
      <c r="G1016" s="1083">
        <v>411.33</v>
      </c>
      <c r="H1016" s="1084">
        <f t="shared" si="9"/>
        <v>2.7937630618763996E-5</v>
      </c>
      <c r="I1016" s="1085">
        <f t="shared" si="11"/>
        <v>0.99403779121589142</v>
      </c>
      <c r="J1016" s="1085" t="str">
        <f t="shared" si="10"/>
        <v>C</v>
      </c>
      <c r="K1016" s="1036"/>
      <c r="L1016" s="1036"/>
      <c r="M1016" s="1036"/>
      <c r="N1016" s="1036"/>
      <c r="O1016" s="1036"/>
      <c r="P1016" s="1036"/>
      <c r="Q1016" s="1036"/>
      <c r="R1016" s="1036"/>
      <c r="S1016" s="1036"/>
      <c r="T1016" s="1036"/>
      <c r="U1016" s="1036"/>
      <c r="V1016" s="1036"/>
      <c r="W1016" s="1036"/>
      <c r="X1016" s="1036"/>
      <c r="Y1016" s="1036"/>
      <c r="Z1016" s="1036"/>
    </row>
    <row r="1017" spans="1:26" ht="38.25">
      <c r="A1017" s="1079">
        <v>100938</v>
      </c>
      <c r="B1017" s="1080" t="s">
        <v>14476</v>
      </c>
      <c r="C1017" s="1080" t="s">
        <v>11938</v>
      </c>
      <c r="D1017" s="1081" t="s">
        <v>11696</v>
      </c>
      <c r="E1017" s="1082">
        <v>43.31</v>
      </c>
      <c r="F1017" s="1083">
        <v>9.4700000000000006</v>
      </c>
      <c r="G1017" s="1083">
        <v>410.12</v>
      </c>
      <c r="H1017" s="1084">
        <f t="shared" si="9"/>
        <v>2.785544713336613E-5</v>
      </c>
      <c r="I1017" s="1085">
        <f t="shared" si="11"/>
        <v>0.99406564666302477</v>
      </c>
      <c r="J1017" s="1085" t="str">
        <f t="shared" si="10"/>
        <v>C</v>
      </c>
      <c r="K1017" s="1036"/>
      <c r="L1017" s="1036"/>
      <c r="M1017" s="1036"/>
      <c r="N1017" s="1036"/>
      <c r="O1017" s="1036"/>
      <c r="P1017" s="1036"/>
      <c r="Q1017" s="1036"/>
      <c r="R1017" s="1036"/>
      <c r="S1017" s="1036"/>
      <c r="T1017" s="1036"/>
      <c r="U1017" s="1036"/>
      <c r="V1017" s="1036"/>
      <c r="W1017" s="1036"/>
      <c r="X1017" s="1036"/>
      <c r="Y1017" s="1036"/>
      <c r="Z1017" s="1036"/>
    </row>
    <row r="1018" spans="1:26" ht="38.25">
      <c r="A1018" s="1079">
        <v>92000</v>
      </c>
      <c r="B1018" s="1080" t="s">
        <v>14476</v>
      </c>
      <c r="C1018" s="1080" t="s">
        <v>8059</v>
      </c>
      <c r="D1018" s="1081" t="s">
        <v>6</v>
      </c>
      <c r="E1018" s="1082">
        <v>11</v>
      </c>
      <c r="F1018" s="1083">
        <v>36.979999999999997</v>
      </c>
      <c r="G1018" s="1083">
        <v>406.78</v>
      </c>
      <c r="H1018" s="1084">
        <f t="shared" si="9"/>
        <v>2.762859354557367E-5</v>
      </c>
      <c r="I1018" s="1085">
        <f t="shared" si="11"/>
        <v>0.99409327525657032</v>
      </c>
      <c r="J1018" s="1085" t="str">
        <f t="shared" si="10"/>
        <v>C</v>
      </c>
      <c r="K1018" s="1036"/>
      <c r="L1018" s="1036"/>
      <c r="M1018" s="1036"/>
      <c r="N1018" s="1036"/>
      <c r="O1018" s="1036"/>
      <c r="P1018" s="1036"/>
      <c r="Q1018" s="1036"/>
      <c r="R1018" s="1036"/>
      <c r="S1018" s="1036"/>
      <c r="T1018" s="1036"/>
      <c r="U1018" s="1036"/>
      <c r="V1018" s="1036"/>
      <c r="W1018" s="1036"/>
      <c r="X1018" s="1036"/>
      <c r="Y1018" s="1036"/>
      <c r="Z1018" s="1036"/>
    </row>
    <row r="1019" spans="1:26" ht="25.5">
      <c r="A1019" s="1079" t="s">
        <v>14936</v>
      </c>
      <c r="B1019" s="1080" t="s">
        <v>14472</v>
      </c>
      <c r="C1019" s="1080" t="s">
        <v>14937</v>
      </c>
      <c r="D1019" s="1081" t="s">
        <v>409</v>
      </c>
      <c r="E1019" s="1082">
        <v>20.46</v>
      </c>
      <c r="F1019" s="1083">
        <v>19.88</v>
      </c>
      <c r="G1019" s="1083">
        <v>406.74</v>
      </c>
      <c r="H1019" s="1084">
        <f t="shared" si="9"/>
        <v>2.7625876736139035E-5</v>
      </c>
      <c r="I1019" s="1085">
        <f t="shared" si="11"/>
        <v>0.99412090113330642</v>
      </c>
      <c r="J1019" s="1085" t="str">
        <f t="shared" si="10"/>
        <v>C</v>
      </c>
      <c r="K1019" s="1036"/>
      <c r="L1019" s="1036"/>
      <c r="M1019" s="1036"/>
      <c r="N1019" s="1036"/>
      <c r="O1019" s="1036"/>
      <c r="P1019" s="1036"/>
      <c r="Q1019" s="1036"/>
      <c r="R1019" s="1036"/>
      <c r="S1019" s="1036"/>
      <c r="T1019" s="1036"/>
      <c r="U1019" s="1036"/>
      <c r="V1019" s="1036"/>
      <c r="W1019" s="1036"/>
      <c r="X1019" s="1036"/>
      <c r="Y1019" s="1036"/>
      <c r="Z1019" s="1036"/>
    </row>
    <row r="1020" spans="1:26" ht="38.25">
      <c r="A1020" s="1079">
        <v>92762</v>
      </c>
      <c r="B1020" s="1080" t="s">
        <v>14476</v>
      </c>
      <c r="C1020" s="1080" t="s">
        <v>7431</v>
      </c>
      <c r="D1020" s="1081" t="s">
        <v>54</v>
      </c>
      <c r="E1020" s="1082">
        <v>26.1</v>
      </c>
      <c r="F1020" s="1083">
        <v>15.5</v>
      </c>
      <c r="G1020" s="1083">
        <v>404.55</v>
      </c>
      <c r="H1020" s="1084">
        <f t="shared" si="9"/>
        <v>2.7477131419592481E-5</v>
      </c>
      <c r="I1020" s="1085">
        <f t="shared" si="11"/>
        <v>0.99414837826472602</v>
      </c>
      <c r="J1020" s="1085" t="str">
        <f t="shared" si="10"/>
        <v>C</v>
      </c>
      <c r="K1020" s="1036"/>
      <c r="L1020" s="1036"/>
      <c r="M1020" s="1036"/>
      <c r="N1020" s="1036"/>
      <c r="O1020" s="1036"/>
      <c r="P1020" s="1036"/>
      <c r="Q1020" s="1036"/>
      <c r="R1020" s="1036"/>
      <c r="S1020" s="1036"/>
      <c r="T1020" s="1036"/>
      <c r="U1020" s="1036"/>
      <c r="V1020" s="1036"/>
      <c r="W1020" s="1036"/>
      <c r="X1020" s="1036"/>
      <c r="Y1020" s="1036"/>
      <c r="Z1020" s="1036"/>
    </row>
    <row r="1021" spans="1:26" ht="38.25">
      <c r="A1021" s="1079">
        <v>96527</v>
      </c>
      <c r="B1021" s="1080" t="s">
        <v>14476</v>
      </c>
      <c r="C1021" s="1080" t="s">
        <v>10512</v>
      </c>
      <c r="D1021" s="1081" t="s">
        <v>152</v>
      </c>
      <c r="E1021" s="1082">
        <v>3.33</v>
      </c>
      <c r="F1021" s="1083">
        <v>121.42</v>
      </c>
      <c r="G1021" s="1083">
        <v>404.32</v>
      </c>
      <c r="H1021" s="1084">
        <f t="shared" si="9"/>
        <v>2.74615097653433E-5</v>
      </c>
      <c r="I1021" s="1085">
        <f t="shared" si="11"/>
        <v>0.99417583977449131</v>
      </c>
      <c r="J1021" s="1085" t="str">
        <f t="shared" si="10"/>
        <v>C</v>
      </c>
      <c r="K1021" s="1036"/>
      <c r="L1021" s="1036"/>
      <c r="M1021" s="1036"/>
      <c r="N1021" s="1036"/>
      <c r="O1021" s="1036"/>
      <c r="P1021" s="1036"/>
      <c r="Q1021" s="1036"/>
      <c r="R1021" s="1036"/>
      <c r="S1021" s="1036"/>
      <c r="T1021" s="1036"/>
      <c r="U1021" s="1036"/>
      <c r="V1021" s="1036"/>
      <c r="W1021" s="1036"/>
      <c r="X1021" s="1036"/>
      <c r="Y1021" s="1036"/>
      <c r="Z1021" s="1036"/>
    </row>
    <row r="1022" spans="1:26" ht="38.25">
      <c r="A1022" s="1079">
        <v>92763</v>
      </c>
      <c r="B1022" s="1080" t="s">
        <v>14476</v>
      </c>
      <c r="C1022" s="1080" t="s">
        <v>7432</v>
      </c>
      <c r="D1022" s="1081" t="s">
        <v>54</v>
      </c>
      <c r="E1022" s="1082">
        <v>30.6</v>
      </c>
      <c r="F1022" s="1083">
        <v>13.11</v>
      </c>
      <c r="G1022" s="1083">
        <v>401.16</v>
      </c>
      <c r="H1022" s="1084">
        <f t="shared" si="9"/>
        <v>2.7246881820006724E-5</v>
      </c>
      <c r="I1022" s="1085">
        <f t="shared" si="11"/>
        <v>0.9942030866563113</v>
      </c>
      <c r="J1022" s="1085" t="str">
        <f t="shared" si="10"/>
        <v>C</v>
      </c>
      <c r="K1022" s="1036"/>
      <c r="L1022" s="1036"/>
      <c r="M1022" s="1036"/>
      <c r="N1022" s="1036"/>
      <c r="O1022" s="1036"/>
      <c r="P1022" s="1036"/>
      <c r="Q1022" s="1036"/>
      <c r="R1022" s="1036"/>
      <c r="S1022" s="1036"/>
      <c r="T1022" s="1036"/>
      <c r="U1022" s="1036"/>
      <c r="V1022" s="1036"/>
      <c r="W1022" s="1036"/>
      <c r="X1022" s="1036"/>
      <c r="Y1022" s="1036"/>
      <c r="Z1022" s="1036"/>
    </row>
    <row r="1023" spans="1:26" ht="38.25">
      <c r="A1023" s="1079" t="s">
        <v>15344</v>
      </c>
      <c r="B1023" s="1080" t="s">
        <v>14472</v>
      </c>
      <c r="C1023" s="1080" t="s">
        <v>15345</v>
      </c>
      <c r="D1023" s="1081" t="s">
        <v>6</v>
      </c>
      <c r="E1023" s="1082">
        <v>3</v>
      </c>
      <c r="F1023" s="1083">
        <v>133.44999999999999</v>
      </c>
      <c r="G1023" s="1083">
        <v>400.35</v>
      </c>
      <c r="H1023" s="1084">
        <f t="shared" si="9"/>
        <v>2.7191866428955259E-5</v>
      </c>
      <c r="I1023" s="1085">
        <f t="shared" si="11"/>
        <v>0.99423027852274026</v>
      </c>
      <c r="J1023" s="1085" t="str">
        <f t="shared" si="10"/>
        <v>C</v>
      </c>
      <c r="K1023" s="1036"/>
      <c r="L1023" s="1036"/>
      <c r="M1023" s="1036"/>
      <c r="N1023" s="1036"/>
      <c r="O1023" s="1036"/>
      <c r="P1023" s="1036"/>
      <c r="Q1023" s="1036"/>
      <c r="R1023" s="1036"/>
      <c r="S1023" s="1036"/>
      <c r="T1023" s="1036"/>
      <c r="U1023" s="1036"/>
      <c r="V1023" s="1036"/>
      <c r="W1023" s="1036"/>
      <c r="X1023" s="1036"/>
      <c r="Y1023" s="1036"/>
      <c r="Z1023" s="1036"/>
    </row>
    <row r="1024" spans="1:26" ht="38.25">
      <c r="A1024" s="1079">
        <v>92761</v>
      </c>
      <c r="B1024" s="1080" t="s">
        <v>14476</v>
      </c>
      <c r="C1024" s="1080" t="s">
        <v>7430</v>
      </c>
      <c r="D1024" s="1081" t="s">
        <v>54</v>
      </c>
      <c r="E1024" s="1082">
        <v>23.2</v>
      </c>
      <c r="F1024" s="1083">
        <v>17.22</v>
      </c>
      <c r="G1024" s="1083">
        <v>399.5</v>
      </c>
      <c r="H1024" s="1084">
        <f t="shared" si="9"/>
        <v>2.7134134228469155E-5</v>
      </c>
      <c r="I1024" s="1085">
        <f t="shared" si="11"/>
        <v>0.99425741265696876</v>
      </c>
      <c r="J1024" s="1085" t="str">
        <f t="shared" si="10"/>
        <v>C</v>
      </c>
      <c r="K1024" s="1036"/>
      <c r="L1024" s="1036"/>
      <c r="M1024" s="1036"/>
      <c r="N1024" s="1036"/>
      <c r="O1024" s="1036"/>
      <c r="P1024" s="1036"/>
      <c r="Q1024" s="1036"/>
      <c r="R1024" s="1036"/>
      <c r="S1024" s="1036"/>
      <c r="T1024" s="1036"/>
      <c r="U1024" s="1036"/>
      <c r="V1024" s="1036"/>
      <c r="W1024" s="1036"/>
      <c r="X1024" s="1036"/>
      <c r="Y1024" s="1036"/>
      <c r="Z1024" s="1036"/>
    </row>
    <row r="1025" spans="1:26" ht="63.75">
      <c r="A1025" s="1079">
        <v>104341</v>
      </c>
      <c r="B1025" s="1080" t="s">
        <v>14476</v>
      </c>
      <c r="C1025" s="1080" t="s">
        <v>9904</v>
      </c>
      <c r="D1025" s="1081" t="s">
        <v>6</v>
      </c>
      <c r="E1025" s="1082">
        <v>30</v>
      </c>
      <c r="F1025" s="1083">
        <v>13.27</v>
      </c>
      <c r="G1025" s="1083">
        <v>398.1</v>
      </c>
      <c r="H1025" s="1084">
        <f t="shared" si="9"/>
        <v>2.7039045898256749E-5</v>
      </c>
      <c r="I1025" s="1085">
        <f t="shared" si="11"/>
        <v>0.99428445170286706</v>
      </c>
      <c r="J1025" s="1085" t="str">
        <f t="shared" si="10"/>
        <v>C</v>
      </c>
      <c r="K1025" s="1036"/>
      <c r="L1025" s="1036"/>
      <c r="M1025" s="1036"/>
      <c r="N1025" s="1036"/>
      <c r="O1025" s="1036"/>
      <c r="P1025" s="1036"/>
      <c r="Q1025" s="1036"/>
      <c r="R1025" s="1036"/>
      <c r="S1025" s="1036"/>
      <c r="T1025" s="1036"/>
      <c r="U1025" s="1036"/>
      <c r="V1025" s="1036"/>
      <c r="W1025" s="1036"/>
      <c r="X1025" s="1036"/>
      <c r="Y1025" s="1036"/>
      <c r="Z1025" s="1036"/>
    </row>
    <row r="1026" spans="1:26" ht="38.25">
      <c r="A1026" s="1079">
        <v>92004</v>
      </c>
      <c r="B1026" s="1080" t="s">
        <v>14476</v>
      </c>
      <c r="C1026" s="1080" t="s">
        <v>8063</v>
      </c>
      <c r="D1026" s="1081" t="s">
        <v>6</v>
      </c>
      <c r="E1026" s="1082">
        <v>6</v>
      </c>
      <c r="F1026" s="1083">
        <v>66.33</v>
      </c>
      <c r="G1026" s="1083">
        <v>397.98</v>
      </c>
      <c r="H1026" s="1084">
        <f t="shared" si="9"/>
        <v>2.7030895469952828E-5</v>
      </c>
      <c r="I1026" s="1085">
        <f t="shared" si="11"/>
        <v>0.99431148259833702</v>
      </c>
      <c r="J1026" s="1085" t="str">
        <f t="shared" si="10"/>
        <v>C</v>
      </c>
      <c r="K1026" s="1036"/>
      <c r="L1026" s="1036"/>
      <c r="M1026" s="1036"/>
      <c r="N1026" s="1036"/>
      <c r="O1026" s="1036"/>
      <c r="P1026" s="1036"/>
      <c r="Q1026" s="1036"/>
      <c r="R1026" s="1036"/>
      <c r="S1026" s="1036"/>
      <c r="T1026" s="1036"/>
      <c r="U1026" s="1036"/>
      <c r="V1026" s="1036"/>
      <c r="W1026" s="1036"/>
      <c r="X1026" s="1036"/>
      <c r="Y1026" s="1036"/>
      <c r="Z1026" s="1036"/>
    </row>
    <row r="1027" spans="1:26" ht="38.25">
      <c r="A1027" s="1079">
        <v>95583</v>
      </c>
      <c r="B1027" s="1080" t="s">
        <v>14476</v>
      </c>
      <c r="C1027" s="1080" t="s">
        <v>7483</v>
      </c>
      <c r="D1027" s="1081" t="s">
        <v>54</v>
      </c>
      <c r="E1027" s="1082">
        <v>18.920000000000002</v>
      </c>
      <c r="F1027" s="1083">
        <v>20.87</v>
      </c>
      <c r="G1027" s="1083">
        <v>394.86</v>
      </c>
      <c r="H1027" s="1084">
        <f t="shared" si="9"/>
        <v>2.681898433405089E-5</v>
      </c>
      <c r="I1027" s="1085">
        <f t="shared" si="11"/>
        <v>0.99433830158267111</v>
      </c>
      <c r="J1027" s="1085" t="str">
        <f t="shared" si="10"/>
        <v>C</v>
      </c>
      <c r="K1027" s="1036"/>
      <c r="L1027" s="1036"/>
      <c r="M1027" s="1036"/>
      <c r="N1027" s="1036"/>
      <c r="O1027" s="1036"/>
      <c r="P1027" s="1036"/>
      <c r="Q1027" s="1036"/>
      <c r="R1027" s="1036"/>
      <c r="S1027" s="1036"/>
      <c r="T1027" s="1036"/>
      <c r="U1027" s="1036"/>
      <c r="V1027" s="1036"/>
      <c r="W1027" s="1036"/>
      <c r="X1027" s="1036"/>
      <c r="Y1027" s="1036"/>
      <c r="Z1027" s="1036"/>
    </row>
    <row r="1028" spans="1:26" ht="25.5">
      <c r="A1028" s="1079">
        <v>95577</v>
      </c>
      <c r="B1028" s="1080" t="s">
        <v>14476</v>
      </c>
      <c r="C1028" s="1080" t="s">
        <v>7477</v>
      </c>
      <c r="D1028" s="1081" t="s">
        <v>54</v>
      </c>
      <c r="E1028" s="1082">
        <v>26.2</v>
      </c>
      <c r="F1028" s="1083">
        <v>15.06</v>
      </c>
      <c r="G1028" s="1083">
        <v>394.57</v>
      </c>
      <c r="H1028" s="1084">
        <f t="shared" si="9"/>
        <v>2.6799287465649746E-5</v>
      </c>
      <c r="I1028" s="1085">
        <f t="shared" si="11"/>
        <v>0.99436510087013674</v>
      </c>
      <c r="J1028" s="1085" t="str">
        <f t="shared" si="10"/>
        <v>C</v>
      </c>
      <c r="K1028" s="1036"/>
      <c r="L1028" s="1036"/>
      <c r="M1028" s="1036"/>
      <c r="N1028" s="1036"/>
      <c r="O1028" s="1036"/>
      <c r="P1028" s="1036"/>
      <c r="Q1028" s="1036"/>
      <c r="R1028" s="1036"/>
      <c r="S1028" s="1036"/>
      <c r="T1028" s="1036"/>
      <c r="U1028" s="1036"/>
      <c r="V1028" s="1036"/>
      <c r="W1028" s="1036"/>
      <c r="X1028" s="1036"/>
      <c r="Y1028" s="1036"/>
      <c r="Z1028" s="1036"/>
    </row>
    <row r="1029" spans="1:26" ht="51">
      <c r="A1029" s="1079">
        <v>89726</v>
      </c>
      <c r="B1029" s="1080" t="s">
        <v>14476</v>
      </c>
      <c r="C1029" s="1080" t="s">
        <v>8939</v>
      </c>
      <c r="D1029" s="1081" t="s">
        <v>6</v>
      </c>
      <c r="E1029" s="1082">
        <v>31</v>
      </c>
      <c r="F1029" s="1083">
        <v>12.67</v>
      </c>
      <c r="G1029" s="1083">
        <v>392.77</v>
      </c>
      <c r="H1029" s="1084">
        <f t="shared" si="9"/>
        <v>2.6677031041090937E-5</v>
      </c>
      <c r="I1029" s="1085">
        <f t="shared" si="11"/>
        <v>0.99439177790117783</v>
      </c>
      <c r="J1029" s="1085" t="str">
        <f t="shared" si="10"/>
        <v>C</v>
      </c>
      <c r="K1029" s="1036"/>
      <c r="L1029" s="1036"/>
      <c r="M1029" s="1036"/>
      <c r="N1029" s="1036"/>
      <c r="O1029" s="1036"/>
      <c r="P1029" s="1036"/>
      <c r="Q1029" s="1036"/>
      <c r="R1029" s="1036"/>
      <c r="S1029" s="1036"/>
      <c r="T1029" s="1036"/>
      <c r="U1029" s="1036"/>
      <c r="V1029" s="1036"/>
      <c r="W1029" s="1036"/>
      <c r="X1029" s="1036"/>
      <c r="Y1029" s="1036"/>
      <c r="Z1029" s="1036"/>
    </row>
    <row r="1030" spans="1:26" ht="25.5">
      <c r="A1030" s="1079">
        <v>93358</v>
      </c>
      <c r="B1030" s="1080" t="s">
        <v>14476</v>
      </c>
      <c r="C1030" s="1080" t="s">
        <v>10648</v>
      </c>
      <c r="D1030" s="1081" t="s">
        <v>152</v>
      </c>
      <c r="E1030" s="1082">
        <v>3.9</v>
      </c>
      <c r="F1030" s="1083">
        <v>100.47</v>
      </c>
      <c r="G1030" s="1083">
        <v>391.83</v>
      </c>
      <c r="H1030" s="1084">
        <f t="shared" si="9"/>
        <v>2.6613186019376891E-5</v>
      </c>
      <c r="I1030" s="1085">
        <f t="shared" si="11"/>
        <v>0.99441839108719721</v>
      </c>
      <c r="J1030" s="1085" t="str">
        <f t="shared" si="10"/>
        <v>C</v>
      </c>
      <c r="K1030" s="1036"/>
      <c r="L1030" s="1036"/>
      <c r="M1030" s="1036"/>
      <c r="N1030" s="1036"/>
      <c r="O1030" s="1036"/>
      <c r="P1030" s="1036"/>
      <c r="Q1030" s="1036"/>
      <c r="R1030" s="1036"/>
      <c r="S1030" s="1036"/>
      <c r="T1030" s="1036"/>
      <c r="U1030" s="1036"/>
      <c r="V1030" s="1036"/>
      <c r="W1030" s="1036"/>
      <c r="X1030" s="1036"/>
      <c r="Y1030" s="1036"/>
      <c r="Z1030" s="1036"/>
    </row>
    <row r="1031" spans="1:26" ht="38.25">
      <c r="A1031" s="1079">
        <v>89987</v>
      </c>
      <c r="B1031" s="1080" t="s">
        <v>14476</v>
      </c>
      <c r="C1031" s="1080" t="s">
        <v>10245</v>
      </c>
      <c r="D1031" s="1081" t="s">
        <v>6</v>
      </c>
      <c r="E1031" s="1082">
        <v>4</v>
      </c>
      <c r="F1031" s="1083">
        <v>96.76</v>
      </c>
      <c r="G1031" s="1083">
        <v>387.04</v>
      </c>
      <c r="H1031" s="1084">
        <f t="shared" si="9"/>
        <v>2.6287848089578729E-5</v>
      </c>
      <c r="I1031" s="1085">
        <f t="shared" si="11"/>
        <v>0.99444467893528676</v>
      </c>
      <c r="J1031" s="1085" t="str">
        <f t="shared" si="10"/>
        <v>C</v>
      </c>
      <c r="K1031" s="1036"/>
      <c r="L1031" s="1036"/>
      <c r="M1031" s="1036"/>
      <c r="N1031" s="1036"/>
      <c r="O1031" s="1036"/>
      <c r="P1031" s="1036"/>
      <c r="Q1031" s="1036"/>
      <c r="R1031" s="1036"/>
      <c r="S1031" s="1036"/>
      <c r="T1031" s="1036"/>
      <c r="U1031" s="1036"/>
      <c r="V1031" s="1036"/>
      <c r="W1031" s="1036"/>
      <c r="X1031" s="1036"/>
      <c r="Y1031" s="1036"/>
      <c r="Z1031" s="1036"/>
    </row>
    <row r="1032" spans="1:26" ht="25.5">
      <c r="A1032" s="1079" t="s">
        <v>15184</v>
      </c>
      <c r="B1032" s="1080" t="s">
        <v>14472</v>
      </c>
      <c r="C1032" s="1080" t="s">
        <v>16008</v>
      </c>
      <c r="D1032" s="1081" t="s">
        <v>6</v>
      </c>
      <c r="E1032" s="1082">
        <v>2</v>
      </c>
      <c r="F1032" s="1083">
        <v>193.26</v>
      </c>
      <c r="G1032" s="1083">
        <v>386.52</v>
      </c>
      <c r="H1032" s="1084">
        <f t="shared" si="9"/>
        <v>2.6252529566928404E-5</v>
      </c>
      <c r="I1032" s="1085">
        <f t="shared" si="11"/>
        <v>0.99447093146485366</v>
      </c>
      <c r="J1032" s="1085" t="str">
        <f t="shared" si="10"/>
        <v>C</v>
      </c>
      <c r="K1032" s="1036"/>
      <c r="L1032" s="1036"/>
      <c r="M1032" s="1036"/>
      <c r="N1032" s="1036"/>
      <c r="O1032" s="1036"/>
      <c r="P1032" s="1036"/>
      <c r="Q1032" s="1036"/>
      <c r="R1032" s="1036"/>
      <c r="S1032" s="1036"/>
      <c r="T1032" s="1036"/>
      <c r="U1032" s="1036"/>
      <c r="V1032" s="1036"/>
      <c r="W1032" s="1036"/>
      <c r="X1032" s="1036"/>
      <c r="Y1032" s="1036"/>
      <c r="Z1032" s="1036"/>
    </row>
    <row r="1033" spans="1:26" ht="38.25">
      <c r="A1033" s="1079">
        <v>92759</v>
      </c>
      <c r="B1033" s="1080" t="s">
        <v>14476</v>
      </c>
      <c r="C1033" s="1080" t="s">
        <v>7428</v>
      </c>
      <c r="D1033" s="1081" t="s">
        <v>54</v>
      </c>
      <c r="E1033" s="1082">
        <v>20.399999999999999</v>
      </c>
      <c r="F1033" s="1083">
        <v>18.77</v>
      </c>
      <c r="G1033" s="1083">
        <v>382.9</v>
      </c>
      <c r="H1033" s="1084">
        <f t="shared" si="9"/>
        <v>2.6006658313093462E-5</v>
      </c>
      <c r="I1033" s="1085">
        <f t="shared" si="11"/>
        <v>0.99449693812316675</v>
      </c>
      <c r="J1033" s="1085" t="str">
        <f t="shared" si="10"/>
        <v>C</v>
      </c>
      <c r="K1033" s="1036"/>
      <c r="L1033" s="1036"/>
      <c r="M1033" s="1036"/>
      <c r="N1033" s="1036"/>
      <c r="O1033" s="1036"/>
      <c r="P1033" s="1036"/>
      <c r="Q1033" s="1036"/>
      <c r="R1033" s="1036"/>
      <c r="S1033" s="1036"/>
      <c r="T1033" s="1036"/>
      <c r="U1033" s="1036"/>
      <c r="V1033" s="1036"/>
      <c r="W1033" s="1036"/>
      <c r="X1033" s="1036"/>
      <c r="Y1033" s="1036"/>
      <c r="Z1033" s="1036"/>
    </row>
    <row r="1034" spans="1:26" ht="76.5">
      <c r="A1034" s="1079">
        <v>91175</v>
      </c>
      <c r="B1034" s="1080" t="s">
        <v>14476</v>
      </c>
      <c r="C1034" s="1080" t="s">
        <v>10403</v>
      </c>
      <c r="D1034" s="1081" t="s">
        <v>50</v>
      </c>
      <c r="E1034" s="1082">
        <v>30</v>
      </c>
      <c r="F1034" s="1083">
        <v>12.75</v>
      </c>
      <c r="G1034" s="1083">
        <v>382.5</v>
      </c>
      <c r="H1034" s="1084">
        <f t="shared" si="9"/>
        <v>2.5979490218747062E-5</v>
      </c>
      <c r="I1034" s="1085">
        <f t="shared" si="11"/>
        <v>0.99452291761338552</v>
      </c>
      <c r="J1034" s="1085" t="str">
        <f t="shared" si="10"/>
        <v>C</v>
      </c>
      <c r="K1034" s="1036"/>
      <c r="L1034" s="1036"/>
      <c r="M1034" s="1036"/>
      <c r="N1034" s="1036"/>
      <c r="O1034" s="1036"/>
      <c r="P1034" s="1036"/>
      <c r="Q1034" s="1036"/>
      <c r="R1034" s="1036"/>
      <c r="S1034" s="1036"/>
      <c r="T1034" s="1036"/>
      <c r="U1034" s="1036"/>
      <c r="V1034" s="1036"/>
      <c r="W1034" s="1036"/>
      <c r="X1034" s="1036"/>
      <c r="Y1034" s="1036"/>
      <c r="Z1034" s="1036"/>
    </row>
    <row r="1035" spans="1:26" ht="76.5">
      <c r="A1035" s="1079">
        <v>91175</v>
      </c>
      <c r="B1035" s="1080" t="s">
        <v>14476</v>
      </c>
      <c r="C1035" s="1080" t="s">
        <v>10403</v>
      </c>
      <c r="D1035" s="1081" t="s">
        <v>50</v>
      </c>
      <c r="E1035" s="1082">
        <v>30</v>
      </c>
      <c r="F1035" s="1083">
        <v>12.75</v>
      </c>
      <c r="G1035" s="1083">
        <v>382.5</v>
      </c>
      <c r="H1035" s="1084">
        <f t="shared" ref="H1035:H1289" si="12">G1035/$I$8</f>
        <v>2.5979490218747062E-5</v>
      </c>
      <c r="I1035" s="1085">
        <f t="shared" si="11"/>
        <v>0.99454889710360428</v>
      </c>
      <c r="J1035" s="1085" t="str">
        <f t="shared" ref="J1035:J1289" si="13">IF(I1035&lt;$A$10,"A",IF(I1035&lt;$A$11,"B","C"))</f>
        <v>C</v>
      </c>
      <c r="K1035" s="1036"/>
      <c r="L1035" s="1036"/>
      <c r="M1035" s="1036"/>
      <c r="N1035" s="1036"/>
      <c r="O1035" s="1036"/>
      <c r="P1035" s="1036"/>
      <c r="Q1035" s="1036"/>
      <c r="R1035" s="1036"/>
      <c r="S1035" s="1036"/>
      <c r="T1035" s="1036"/>
      <c r="U1035" s="1036"/>
      <c r="V1035" s="1036"/>
      <c r="W1035" s="1036"/>
      <c r="X1035" s="1036"/>
      <c r="Y1035" s="1036"/>
      <c r="Z1035" s="1036"/>
    </row>
    <row r="1036" spans="1:26" ht="38.25">
      <c r="A1036" s="1079">
        <v>94697</v>
      </c>
      <c r="B1036" s="1080" t="s">
        <v>14476</v>
      </c>
      <c r="C1036" s="1080" t="s">
        <v>9393</v>
      </c>
      <c r="D1036" s="1081" t="s">
        <v>6</v>
      </c>
      <c r="E1036" s="1082">
        <v>4</v>
      </c>
      <c r="F1036" s="1083">
        <v>95.22</v>
      </c>
      <c r="G1036" s="1083">
        <v>380.88</v>
      </c>
      <c r="H1036" s="1084">
        <f t="shared" si="12"/>
        <v>2.5869459436644134E-5</v>
      </c>
      <c r="I1036" s="1085">
        <f t="shared" ref="I1036:I1290" si="14">I1035+H1036</f>
        <v>0.99457476656304089</v>
      </c>
      <c r="J1036" s="1085" t="str">
        <f t="shared" si="13"/>
        <v>C</v>
      </c>
      <c r="K1036" s="1036"/>
      <c r="L1036" s="1036"/>
      <c r="M1036" s="1036"/>
      <c r="N1036" s="1036"/>
      <c r="O1036" s="1036"/>
      <c r="P1036" s="1036"/>
      <c r="Q1036" s="1036"/>
      <c r="R1036" s="1036"/>
      <c r="S1036" s="1036"/>
      <c r="T1036" s="1036"/>
      <c r="U1036" s="1036"/>
      <c r="V1036" s="1036"/>
      <c r="W1036" s="1036"/>
      <c r="X1036" s="1036"/>
      <c r="Y1036" s="1036"/>
      <c r="Z1036" s="1036"/>
    </row>
    <row r="1037" spans="1:26" ht="25.5">
      <c r="A1037" s="1079" t="s">
        <v>14850</v>
      </c>
      <c r="B1037" s="1080" t="s">
        <v>14472</v>
      </c>
      <c r="C1037" s="1080" t="s">
        <v>14851</v>
      </c>
      <c r="D1037" s="1081" t="s">
        <v>6</v>
      </c>
      <c r="E1037" s="1082">
        <v>7</v>
      </c>
      <c r="F1037" s="1083">
        <v>54.37</v>
      </c>
      <c r="G1037" s="1083">
        <v>380.59</v>
      </c>
      <c r="H1037" s="1084">
        <f t="shared" si="12"/>
        <v>2.584976256824299E-5</v>
      </c>
      <c r="I1037" s="1085">
        <f t="shared" si="14"/>
        <v>0.99460061632560914</v>
      </c>
      <c r="J1037" s="1085" t="str">
        <f t="shared" si="13"/>
        <v>C</v>
      </c>
      <c r="K1037" s="1036"/>
      <c r="L1037" s="1036"/>
      <c r="M1037" s="1036"/>
      <c r="N1037" s="1036"/>
      <c r="O1037" s="1036"/>
      <c r="P1037" s="1036"/>
      <c r="Q1037" s="1036"/>
      <c r="R1037" s="1036"/>
      <c r="S1037" s="1036"/>
      <c r="T1037" s="1036"/>
      <c r="U1037" s="1036"/>
      <c r="V1037" s="1036"/>
      <c r="W1037" s="1036"/>
      <c r="X1037" s="1036"/>
      <c r="Y1037" s="1036"/>
      <c r="Z1037" s="1036"/>
    </row>
    <row r="1038" spans="1:26" ht="51">
      <c r="A1038" s="1079">
        <v>89732</v>
      </c>
      <c r="B1038" s="1080" t="s">
        <v>14476</v>
      </c>
      <c r="C1038" s="1080" t="s">
        <v>8945</v>
      </c>
      <c r="D1038" s="1081" t="s">
        <v>6</v>
      </c>
      <c r="E1038" s="1082">
        <v>20</v>
      </c>
      <c r="F1038" s="1083">
        <v>18.95</v>
      </c>
      <c r="G1038" s="1083">
        <v>379</v>
      </c>
      <c r="H1038" s="1084">
        <f t="shared" si="12"/>
        <v>2.5741769393216042E-5</v>
      </c>
      <c r="I1038" s="1085">
        <f t="shared" si="14"/>
        <v>0.99462635809500233</v>
      </c>
      <c r="J1038" s="1085" t="str">
        <f t="shared" si="13"/>
        <v>C</v>
      </c>
      <c r="K1038" s="1036"/>
      <c r="L1038" s="1036"/>
      <c r="M1038" s="1036"/>
      <c r="N1038" s="1036"/>
      <c r="O1038" s="1036"/>
      <c r="P1038" s="1036"/>
      <c r="Q1038" s="1036"/>
      <c r="R1038" s="1036"/>
      <c r="S1038" s="1036"/>
      <c r="T1038" s="1036"/>
      <c r="U1038" s="1036"/>
      <c r="V1038" s="1036"/>
      <c r="W1038" s="1036"/>
      <c r="X1038" s="1036"/>
      <c r="Y1038" s="1036"/>
      <c r="Z1038" s="1036"/>
    </row>
    <row r="1039" spans="1:26" ht="25.5">
      <c r="A1039" s="1079">
        <v>88484</v>
      </c>
      <c r="B1039" s="1080" t="s">
        <v>14476</v>
      </c>
      <c r="C1039" s="1080" t="s">
        <v>11004</v>
      </c>
      <c r="D1039" s="1081" t="s">
        <v>409</v>
      </c>
      <c r="E1039" s="1082">
        <v>73.55</v>
      </c>
      <c r="F1039" s="1083">
        <v>5.13</v>
      </c>
      <c r="G1039" s="1083">
        <v>377.31</v>
      </c>
      <c r="H1039" s="1084">
        <f t="shared" si="12"/>
        <v>2.5626984194602496E-5</v>
      </c>
      <c r="I1039" s="1085">
        <f t="shared" si="14"/>
        <v>0.99465198507919694</v>
      </c>
      <c r="J1039" s="1085" t="str">
        <f t="shared" si="13"/>
        <v>C</v>
      </c>
      <c r="K1039" s="1036"/>
      <c r="L1039" s="1036"/>
      <c r="M1039" s="1036"/>
      <c r="N1039" s="1036"/>
      <c r="O1039" s="1036"/>
      <c r="P1039" s="1036"/>
      <c r="Q1039" s="1036"/>
      <c r="R1039" s="1036"/>
      <c r="S1039" s="1036"/>
      <c r="T1039" s="1036"/>
      <c r="U1039" s="1036"/>
      <c r="V1039" s="1036"/>
      <c r="W1039" s="1036"/>
      <c r="X1039" s="1036"/>
      <c r="Y1039" s="1036"/>
      <c r="Z1039" s="1036"/>
    </row>
    <row r="1040" spans="1:26" ht="25.5">
      <c r="A1040" s="1079" t="s">
        <v>15412</v>
      </c>
      <c r="B1040" s="1080" t="s">
        <v>14472</v>
      </c>
      <c r="C1040" s="1080" t="s">
        <v>15413</v>
      </c>
      <c r="D1040" s="1081" t="s">
        <v>6</v>
      </c>
      <c r="E1040" s="1082">
        <v>1</v>
      </c>
      <c r="F1040" s="1083">
        <v>374.7</v>
      </c>
      <c r="G1040" s="1083">
        <v>374.7</v>
      </c>
      <c r="H1040" s="1084">
        <f t="shared" si="12"/>
        <v>2.5449712378992218E-5</v>
      </c>
      <c r="I1040" s="1085">
        <f t="shared" si="14"/>
        <v>0.99467743479157589</v>
      </c>
      <c r="J1040" s="1085" t="str">
        <f t="shared" si="13"/>
        <v>C</v>
      </c>
      <c r="K1040" s="1036"/>
      <c r="L1040" s="1036"/>
      <c r="M1040" s="1036"/>
      <c r="N1040" s="1036"/>
      <c r="O1040" s="1036"/>
      <c r="P1040" s="1036"/>
      <c r="Q1040" s="1036"/>
      <c r="R1040" s="1036"/>
      <c r="S1040" s="1036"/>
      <c r="T1040" s="1036"/>
      <c r="U1040" s="1036"/>
      <c r="V1040" s="1036"/>
      <c r="W1040" s="1036"/>
      <c r="X1040" s="1036"/>
      <c r="Y1040" s="1036"/>
      <c r="Z1040" s="1036"/>
    </row>
    <row r="1041" spans="1:26" ht="38.25">
      <c r="A1041" s="1079">
        <v>91992</v>
      </c>
      <c r="B1041" s="1080" t="s">
        <v>14476</v>
      </c>
      <c r="C1041" s="1080" t="s">
        <v>8051</v>
      </c>
      <c r="D1041" s="1081" t="s">
        <v>6</v>
      </c>
      <c r="E1041" s="1082">
        <v>7</v>
      </c>
      <c r="F1041" s="1083">
        <v>53.35</v>
      </c>
      <c r="G1041" s="1083">
        <v>373.45</v>
      </c>
      <c r="H1041" s="1084">
        <f t="shared" si="12"/>
        <v>2.5364812084159714E-5</v>
      </c>
      <c r="I1041" s="1085">
        <f t="shared" si="14"/>
        <v>0.99470279960366004</v>
      </c>
      <c r="J1041" s="1085" t="str">
        <f t="shared" si="13"/>
        <v>C</v>
      </c>
      <c r="K1041" s="1036"/>
      <c r="L1041" s="1036"/>
      <c r="M1041" s="1036"/>
      <c r="N1041" s="1036"/>
      <c r="O1041" s="1036"/>
      <c r="P1041" s="1036"/>
      <c r="Q1041" s="1036"/>
      <c r="R1041" s="1036"/>
      <c r="S1041" s="1036"/>
      <c r="T1041" s="1036"/>
      <c r="U1041" s="1036"/>
      <c r="V1041" s="1036"/>
      <c r="W1041" s="1036"/>
      <c r="X1041" s="1036"/>
      <c r="Y1041" s="1036"/>
      <c r="Z1041" s="1036"/>
    </row>
    <row r="1042" spans="1:26" ht="51">
      <c r="A1042" s="1079">
        <v>89677</v>
      </c>
      <c r="B1042" s="1080" t="s">
        <v>14476</v>
      </c>
      <c r="C1042" s="1080" t="s">
        <v>8903</v>
      </c>
      <c r="D1042" s="1081" t="s">
        <v>6</v>
      </c>
      <c r="E1042" s="1082">
        <v>4</v>
      </c>
      <c r="F1042" s="1083">
        <v>92.36</v>
      </c>
      <c r="G1042" s="1083">
        <v>369.44</v>
      </c>
      <c r="H1042" s="1084">
        <f t="shared" si="12"/>
        <v>2.5092451938337031E-5</v>
      </c>
      <c r="I1042" s="1085">
        <f t="shared" si="14"/>
        <v>0.99472789205559842</v>
      </c>
      <c r="J1042" s="1085" t="str">
        <f t="shared" si="13"/>
        <v>C</v>
      </c>
      <c r="K1042" s="1036"/>
      <c r="L1042" s="1036"/>
      <c r="M1042" s="1036"/>
      <c r="N1042" s="1036"/>
      <c r="O1042" s="1036"/>
      <c r="P1042" s="1036"/>
      <c r="Q1042" s="1036"/>
      <c r="R1042" s="1036"/>
      <c r="S1042" s="1036"/>
      <c r="T1042" s="1036"/>
      <c r="U1042" s="1036"/>
      <c r="V1042" s="1036"/>
      <c r="W1042" s="1036"/>
      <c r="X1042" s="1036"/>
      <c r="Y1042" s="1036"/>
      <c r="Z1042" s="1036"/>
    </row>
    <row r="1043" spans="1:26" ht="25.5">
      <c r="A1043" s="1079">
        <v>97596</v>
      </c>
      <c r="B1043" s="1080" t="s">
        <v>14476</v>
      </c>
      <c r="C1043" s="1080" t="s">
        <v>8097</v>
      </c>
      <c r="D1043" s="1081" t="s">
        <v>6</v>
      </c>
      <c r="E1043" s="1082">
        <v>4</v>
      </c>
      <c r="F1043" s="1083">
        <v>92</v>
      </c>
      <c r="G1043" s="1083">
        <v>368</v>
      </c>
      <c r="H1043" s="1084">
        <f t="shared" si="12"/>
        <v>2.4994646798689984E-5</v>
      </c>
      <c r="I1043" s="1085">
        <f t="shared" si="14"/>
        <v>0.99475288670239714</v>
      </c>
      <c r="J1043" s="1085" t="str">
        <f t="shared" si="13"/>
        <v>C</v>
      </c>
      <c r="K1043" s="1036"/>
      <c r="L1043" s="1036"/>
      <c r="M1043" s="1036"/>
      <c r="N1043" s="1036"/>
      <c r="O1043" s="1036"/>
      <c r="P1043" s="1036"/>
      <c r="Q1043" s="1036"/>
      <c r="R1043" s="1036"/>
      <c r="S1043" s="1036"/>
      <c r="T1043" s="1036"/>
      <c r="U1043" s="1036"/>
      <c r="V1043" s="1036"/>
      <c r="W1043" s="1036"/>
      <c r="X1043" s="1036"/>
      <c r="Y1043" s="1036"/>
      <c r="Z1043" s="1036"/>
    </row>
    <row r="1044" spans="1:26" ht="25.5">
      <c r="A1044" s="1079" t="s">
        <v>15280</v>
      </c>
      <c r="B1044" s="1080" t="s">
        <v>14472</v>
      </c>
      <c r="C1044" s="1080" t="s">
        <v>15281</v>
      </c>
      <c r="D1044" s="1081" t="s">
        <v>6</v>
      </c>
      <c r="E1044" s="1082">
        <v>4</v>
      </c>
      <c r="F1044" s="1083">
        <v>91.88</v>
      </c>
      <c r="G1044" s="1083">
        <v>367.52</v>
      </c>
      <c r="H1044" s="1084">
        <f t="shared" si="12"/>
        <v>2.49620450854743E-5</v>
      </c>
      <c r="I1044" s="1085">
        <f t="shared" si="14"/>
        <v>0.99477784874748265</v>
      </c>
      <c r="J1044" s="1085" t="str">
        <f t="shared" si="13"/>
        <v>C</v>
      </c>
      <c r="K1044" s="1036"/>
      <c r="L1044" s="1036"/>
      <c r="M1044" s="1036"/>
      <c r="N1044" s="1036"/>
      <c r="O1044" s="1036"/>
      <c r="P1044" s="1036"/>
      <c r="Q1044" s="1036"/>
      <c r="R1044" s="1036"/>
      <c r="S1044" s="1036"/>
      <c r="T1044" s="1036"/>
      <c r="U1044" s="1036"/>
      <c r="V1044" s="1036"/>
      <c r="W1044" s="1036"/>
      <c r="X1044" s="1036"/>
      <c r="Y1044" s="1036"/>
      <c r="Z1044" s="1036"/>
    </row>
    <row r="1045" spans="1:26" ht="38.25">
      <c r="A1045" s="1079">
        <v>92762</v>
      </c>
      <c r="B1045" s="1080" t="s">
        <v>14476</v>
      </c>
      <c r="C1045" s="1080" t="s">
        <v>7431</v>
      </c>
      <c r="D1045" s="1081" t="s">
        <v>54</v>
      </c>
      <c r="E1045" s="1082">
        <v>23.7</v>
      </c>
      <c r="F1045" s="1083">
        <v>15.5</v>
      </c>
      <c r="G1045" s="1083">
        <v>367.35</v>
      </c>
      <c r="H1045" s="1084">
        <f t="shared" si="12"/>
        <v>2.4950498645377082E-5</v>
      </c>
      <c r="I1045" s="1085">
        <f t="shared" si="14"/>
        <v>0.99480279924612802</v>
      </c>
      <c r="J1045" s="1085" t="str">
        <f t="shared" si="13"/>
        <v>C</v>
      </c>
      <c r="K1045" s="1036"/>
      <c r="L1045" s="1036"/>
      <c r="M1045" s="1036"/>
      <c r="N1045" s="1036"/>
      <c r="O1045" s="1036"/>
      <c r="P1045" s="1036"/>
      <c r="Q1045" s="1036"/>
      <c r="R1045" s="1036"/>
      <c r="S1045" s="1036"/>
      <c r="T1045" s="1036"/>
      <c r="U1045" s="1036"/>
      <c r="V1045" s="1036"/>
      <c r="W1045" s="1036"/>
      <c r="X1045" s="1036"/>
      <c r="Y1045" s="1036"/>
      <c r="Z1045" s="1036"/>
    </row>
    <row r="1046" spans="1:26" ht="25.5">
      <c r="A1046" s="1079" t="s">
        <v>15301</v>
      </c>
      <c r="B1046" s="1080" t="s">
        <v>14472</v>
      </c>
      <c r="C1046" s="1080" t="s">
        <v>15302</v>
      </c>
      <c r="D1046" s="1081" t="s">
        <v>6</v>
      </c>
      <c r="E1046" s="1082">
        <v>154</v>
      </c>
      <c r="F1046" s="1083">
        <v>2.38</v>
      </c>
      <c r="G1046" s="1083">
        <v>366.52</v>
      </c>
      <c r="H1046" s="1084">
        <f t="shared" si="12"/>
        <v>2.4894124849608295E-5</v>
      </c>
      <c r="I1046" s="1085">
        <f t="shared" si="14"/>
        <v>0.99482769337097765</v>
      </c>
      <c r="J1046" s="1085" t="str">
        <f t="shared" si="13"/>
        <v>C</v>
      </c>
      <c r="K1046" s="1036"/>
      <c r="L1046" s="1036"/>
      <c r="M1046" s="1036"/>
      <c r="N1046" s="1036"/>
      <c r="O1046" s="1036"/>
      <c r="P1046" s="1036"/>
      <c r="Q1046" s="1036"/>
      <c r="R1046" s="1036"/>
      <c r="S1046" s="1036"/>
      <c r="T1046" s="1036"/>
      <c r="U1046" s="1036"/>
      <c r="V1046" s="1036"/>
      <c r="W1046" s="1036"/>
      <c r="X1046" s="1036"/>
      <c r="Y1046" s="1036"/>
      <c r="Z1046" s="1036"/>
    </row>
    <row r="1047" spans="1:26" ht="51">
      <c r="A1047" s="1079">
        <v>87737</v>
      </c>
      <c r="B1047" s="1080" t="s">
        <v>14476</v>
      </c>
      <c r="C1047" s="1080" t="s">
        <v>11229</v>
      </c>
      <c r="D1047" s="1081" t="s">
        <v>409</v>
      </c>
      <c r="E1047" s="1082">
        <v>6.24</v>
      </c>
      <c r="F1047" s="1083">
        <v>58.57</v>
      </c>
      <c r="G1047" s="1083">
        <v>365.47</v>
      </c>
      <c r="H1047" s="1084">
        <f t="shared" si="12"/>
        <v>2.4822808601948993E-5</v>
      </c>
      <c r="I1047" s="1085">
        <f t="shared" si="14"/>
        <v>0.99485251617957959</v>
      </c>
      <c r="J1047" s="1085" t="str">
        <f t="shared" si="13"/>
        <v>C</v>
      </c>
      <c r="K1047" s="1036"/>
      <c r="L1047" s="1036"/>
      <c r="M1047" s="1036"/>
      <c r="N1047" s="1036"/>
      <c r="O1047" s="1036"/>
      <c r="P1047" s="1036"/>
      <c r="Q1047" s="1036"/>
      <c r="R1047" s="1036"/>
      <c r="S1047" s="1036"/>
      <c r="T1047" s="1036"/>
      <c r="U1047" s="1036"/>
      <c r="V1047" s="1036"/>
      <c r="W1047" s="1036"/>
      <c r="X1047" s="1036"/>
      <c r="Y1047" s="1036"/>
      <c r="Z1047" s="1036"/>
    </row>
    <row r="1048" spans="1:26" ht="25.5">
      <c r="A1048" s="1079">
        <v>98554</v>
      </c>
      <c r="B1048" s="1080" t="s">
        <v>14476</v>
      </c>
      <c r="C1048" s="1080" t="s">
        <v>7740</v>
      </c>
      <c r="D1048" s="1081" t="s">
        <v>409</v>
      </c>
      <c r="E1048" s="1082">
        <v>6.24</v>
      </c>
      <c r="F1048" s="1083">
        <v>57.71</v>
      </c>
      <c r="G1048" s="1083">
        <v>360.11</v>
      </c>
      <c r="H1048" s="1084">
        <f t="shared" si="12"/>
        <v>2.4458756137707201E-5</v>
      </c>
      <c r="I1048" s="1085">
        <f t="shared" si="14"/>
        <v>0.99487697493571725</v>
      </c>
      <c r="J1048" s="1085" t="str">
        <f t="shared" si="13"/>
        <v>C</v>
      </c>
      <c r="K1048" s="1036"/>
      <c r="L1048" s="1036"/>
      <c r="M1048" s="1036"/>
      <c r="N1048" s="1036"/>
      <c r="O1048" s="1036"/>
      <c r="P1048" s="1036"/>
      <c r="Q1048" s="1036"/>
      <c r="R1048" s="1036"/>
      <c r="S1048" s="1036"/>
      <c r="T1048" s="1036"/>
      <c r="U1048" s="1036"/>
      <c r="V1048" s="1036"/>
      <c r="W1048" s="1036"/>
      <c r="X1048" s="1036"/>
      <c r="Y1048" s="1036"/>
      <c r="Z1048" s="1036"/>
    </row>
    <row r="1049" spans="1:26" ht="38.25">
      <c r="A1049" s="1079">
        <v>89395</v>
      </c>
      <c r="B1049" s="1080" t="s">
        <v>14476</v>
      </c>
      <c r="C1049" s="1080" t="s">
        <v>8701</v>
      </c>
      <c r="D1049" s="1081" t="s">
        <v>6</v>
      </c>
      <c r="E1049" s="1082">
        <v>23</v>
      </c>
      <c r="F1049" s="1083">
        <v>15.51</v>
      </c>
      <c r="G1049" s="1083">
        <v>356.73</v>
      </c>
      <c r="H1049" s="1084">
        <f t="shared" si="12"/>
        <v>2.4229185740480103E-5</v>
      </c>
      <c r="I1049" s="1085">
        <f t="shared" si="14"/>
        <v>0.99490120412145777</v>
      </c>
      <c r="J1049" s="1085" t="str">
        <f t="shared" si="13"/>
        <v>C</v>
      </c>
      <c r="K1049" s="1036"/>
      <c r="L1049" s="1036"/>
      <c r="M1049" s="1036"/>
      <c r="N1049" s="1036"/>
      <c r="O1049" s="1036"/>
      <c r="P1049" s="1036"/>
      <c r="Q1049" s="1036"/>
      <c r="R1049" s="1036"/>
      <c r="S1049" s="1036"/>
      <c r="T1049" s="1036"/>
      <c r="U1049" s="1036"/>
      <c r="V1049" s="1036"/>
      <c r="W1049" s="1036"/>
      <c r="X1049" s="1036"/>
      <c r="Y1049" s="1036"/>
      <c r="Z1049" s="1036"/>
    </row>
    <row r="1050" spans="1:26" ht="51">
      <c r="A1050" s="1079">
        <v>89748</v>
      </c>
      <c r="B1050" s="1080" t="s">
        <v>14476</v>
      </c>
      <c r="C1050" s="1080" t="s">
        <v>8960</v>
      </c>
      <c r="D1050" s="1081" t="s">
        <v>6</v>
      </c>
      <c r="E1050" s="1082">
        <v>7</v>
      </c>
      <c r="F1050" s="1083">
        <v>50.96</v>
      </c>
      <c r="G1050" s="1083">
        <v>356.72</v>
      </c>
      <c r="H1050" s="1084">
        <f t="shared" si="12"/>
        <v>2.4228506538121444E-5</v>
      </c>
      <c r="I1050" s="1085">
        <f t="shared" si="14"/>
        <v>0.99492543262799593</v>
      </c>
      <c r="J1050" s="1085" t="str">
        <f t="shared" si="13"/>
        <v>C</v>
      </c>
      <c r="K1050" s="1036"/>
      <c r="L1050" s="1036"/>
      <c r="M1050" s="1036"/>
      <c r="N1050" s="1036"/>
      <c r="O1050" s="1036"/>
      <c r="P1050" s="1036"/>
      <c r="Q1050" s="1036"/>
      <c r="R1050" s="1036"/>
      <c r="S1050" s="1036"/>
      <c r="T1050" s="1036"/>
      <c r="U1050" s="1036"/>
      <c r="V1050" s="1036"/>
      <c r="W1050" s="1036"/>
      <c r="X1050" s="1036"/>
      <c r="Y1050" s="1036"/>
      <c r="Z1050" s="1036"/>
    </row>
    <row r="1051" spans="1:26" ht="25.5">
      <c r="A1051" s="1079" t="s">
        <v>14845</v>
      </c>
      <c r="B1051" s="1080" t="s">
        <v>14472</v>
      </c>
      <c r="C1051" s="1080" t="s">
        <v>14846</v>
      </c>
      <c r="D1051" s="1081" t="s">
        <v>6</v>
      </c>
      <c r="E1051" s="1082">
        <v>1</v>
      </c>
      <c r="F1051" s="1083">
        <v>356.5</v>
      </c>
      <c r="G1051" s="1083">
        <v>356.5</v>
      </c>
      <c r="H1051" s="1084">
        <f t="shared" si="12"/>
        <v>2.4213564086230922E-5</v>
      </c>
      <c r="I1051" s="1085">
        <f t="shared" si="14"/>
        <v>0.99494964619208215</v>
      </c>
      <c r="J1051" s="1085" t="str">
        <f t="shared" si="13"/>
        <v>C</v>
      </c>
      <c r="K1051" s="1036"/>
      <c r="L1051" s="1036"/>
      <c r="M1051" s="1036"/>
      <c r="N1051" s="1036"/>
      <c r="O1051" s="1036"/>
      <c r="P1051" s="1036"/>
      <c r="Q1051" s="1036"/>
      <c r="R1051" s="1036"/>
      <c r="S1051" s="1036"/>
      <c r="T1051" s="1036"/>
      <c r="U1051" s="1036"/>
      <c r="V1051" s="1036"/>
      <c r="W1051" s="1036"/>
      <c r="X1051" s="1036"/>
      <c r="Y1051" s="1036"/>
      <c r="Z1051" s="1036"/>
    </row>
    <row r="1052" spans="1:26" ht="14.25">
      <c r="A1052" s="1079" t="s">
        <v>15445</v>
      </c>
      <c r="B1052" s="1080" t="s">
        <v>14472</v>
      </c>
      <c r="C1052" s="1080" t="s">
        <v>15446</v>
      </c>
      <c r="D1052" s="1081" t="s">
        <v>6</v>
      </c>
      <c r="E1052" s="1082">
        <v>18</v>
      </c>
      <c r="F1052" s="1083">
        <v>19.73</v>
      </c>
      <c r="G1052" s="1083">
        <v>355.14</v>
      </c>
      <c r="H1052" s="1084">
        <f t="shared" si="12"/>
        <v>2.4121192565453155E-5</v>
      </c>
      <c r="I1052" s="1085">
        <f t="shared" si="14"/>
        <v>0.9949737673846476</v>
      </c>
      <c r="J1052" s="1085" t="str">
        <f t="shared" si="13"/>
        <v>C</v>
      </c>
      <c r="K1052" s="1036"/>
      <c r="L1052" s="1036"/>
      <c r="M1052" s="1036"/>
      <c r="N1052" s="1036"/>
      <c r="O1052" s="1036"/>
      <c r="P1052" s="1036"/>
      <c r="Q1052" s="1036"/>
      <c r="R1052" s="1036"/>
      <c r="S1052" s="1036"/>
      <c r="T1052" s="1036"/>
      <c r="U1052" s="1036"/>
      <c r="V1052" s="1036"/>
      <c r="W1052" s="1036"/>
      <c r="X1052" s="1036"/>
      <c r="Y1052" s="1036"/>
      <c r="Z1052" s="1036"/>
    </row>
    <row r="1053" spans="1:26" ht="51">
      <c r="A1053" s="1079">
        <v>90373</v>
      </c>
      <c r="B1053" s="1080" t="s">
        <v>14476</v>
      </c>
      <c r="C1053" s="1080" t="s">
        <v>16009</v>
      </c>
      <c r="D1053" s="1081" t="s">
        <v>6</v>
      </c>
      <c r="E1053" s="1082">
        <v>24</v>
      </c>
      <c r="F1053" s="1083">
        <v>14.78</v>
      </c>
      <c r="G1053" s="1083">
        <v>354.72</v>
      </c>
      <c r="H1053" s="1084">
        <f t="shared" si="12"/>
        <v>2.4092666066389434E-5</v>
      </c>
      <c r="I1053" s="1085">
        <f t="shared" si="14"/>
        <v>0.994997860050714</v>
      </c>
      <c r="J1053" s="1085" t="str">
        <f t="shared" si="13"/>
        <v>C</v>
      </c>
      <c r="K1053" s="1036"/>
      <c r="L1053" s="1036"/>
      <c r="M1053" s="1036"/>
      <c r="N1053" s="1036"/>
      <c r="O1053" s="1036"/>
      <c r="P1053" s="1036"/>
      <c r="Q1053" s="1036"/>
      <c r="R1053" s="1036"/>
      <c r="S1053" s="1036"/>
      <c r="T1053" s="1036"/>
      <c r="U1053" s="1036"/>
      <c r="V1053" s="1036"/>
      <c r="W1053" s="1036"/>
      <c r="X1053" s="1036"/>
      <c r="Y1053" s="1036"/>
      <c r="Z1053" s="1036"/>
    </row>
    <row r="1054" spans="1:26" ht="38.25">
      <c r="A1054" s="1079">
        <v>86909</v>
      </c>
      <c r="B1054" s="1080" t="s">
        <v>14476</v>
      </c>
      <c r="C1054" s="1080" t="s">
        <v>10112</v>
      </c>
      <c r="D1054" s="1081" t="s">
        <v>6</v>
      </c>
      <c r="E1054" s="1082">
        <v>2</v>
      </c>
      <c r="F1054" s="1083">
        <v>175.98</v>
      </c>
      <c r="G1054" s="1083">
        <v>351.96</v>
      </c>
      <c r="H1054" s="1084">
        <f t="shared" si="12"/>
        <v>2.3905206215399255E-5</v>
      </c>
      <c r="I1054" s="1085">
        <f t="shared" si="14"/>
        <v>0.99502176525692942</v>
      </c>
      <c r="J1054" s="1085" t="str">
        <f t="shared" si="13"/>
        <v>C</v>
      </c>
      <c r="K1054" s="1036"/>
      <c r="L1054" s="1036"/>
      <c r="M1054" s="1036"/>
      <c r="N1054" s="1036"/>
      <c r="O1054" s="1036"/>
      <c r="P1054" s="1036"/>
      <c r="Q1054" s="1036"/>
      <c r="R1054" s="1036"/>
      <c r="S1054" s="1036"/>
      <c r="T1054" s="1036"/>
      <c r="U1054" s="1036"/>
      <c r="V1054" s="1036"/>
      <c r="W1054" s="1036"/>
      <c r="X1054" s="1036"/>
      <c r="Y1054" s="1036"/>
      <c r="Z1054" s="1036"/>
    </row>
    <row r="1055" spans="1:26" ht="38.25">
      <c r="A1055" s="1079">
        <v>92762</v>
      </c>
      <c r="B1055" s="1080" t="s">
        <v>14476</v>
      </c>
      <c r="C1055" s="1080" t="s">
        <v>7431</v>
      </c>
      <c r="D1055" s="1081" t="s">
        <v>54</v>
      </c>
      <c r="E1055" s="1082">
        <v>22.4</v>
      </c>
      <c r="F1055" s="1083">
        <v>15.5</v>
      </c>
      <c r="G1055" s="1083">
        <v>347.2</v>
      </c>
      <c r="H1055" s="1084">
        <f t="shared" si="12"/>
        <v>2.3581905892677072E-5</v>
      </c>
      <c r="I1055" s="1085">
        <f t="shared" si="14"/>
        <v>0.99504534716282211</v>
      </c>
      <c r="J1055" s="1085" t="str">
        <f t="shared" si="13"/>
        <v>C</v>
      </c>
      <c r="K1055" s="1036"/>
      <c r="L1055" s="1036"/>
      <c r="M1055" s="1036"/>
      <c r="N1055" s="1036"/>
      <c r="O1055" s="1036"/>
      <c r="P1055" s="1036"/>
      <c r="Q1055" s="1036"/>
      <c r="R1055" s="1036"/>
      <c r="S1055" s="1036"/>
      <c r="T1055" s="1036"/>
      <c r="U1055" s="1036"/>
      <c r="V1055" s="1036"/>
      <c r="W1055" s="1036"/>
      <c r="X1055" s="1036"/>
      <c r="Y1055" s="1036"/>
      <c r="Z1055" s="1036"/>
    </row>
    <row r="1056" spans="1:26" ht="25.5">
      <c r="A1056" s="1079" t="s">
        <v>14853</v>
      </c>
      <c r="B1056" s="1080" t="s">
        <v>14472</v>
      </c>
      <c r="C1056" s="1080" t="s">
        <v>14854</v>
      </c>
      <c r="D1056" s="1081" t="s">
        <v>6</v>
      </c>
      <c r="E1056" s="1082">
        <v>3</v>
      </c>
      <c r="F1056" s="1083">
        <v>115.53</v>
      </c>
      <c r="G1056" s="1083">
        <v>346.59</v>
      </c>
      <c r="H1056" s="1084">
        <f t="shared" si="12"/>
        <v>2.3540474548798808E-5</v>
      </c>
      <c r="I1056" s="1085">
        <f t="shared" si="14"/>
        <v>0.99506888763737089</v>
      </c>
      <c r="J1056" s="1085" t="str">
        <f t="shared" si="13"/>
        <v>C</v>
      </c>
      <c r="K1056" s="1036"/>
      <c r="L1056" s="1036"/>
      <c r="M1056" s="1036"/>
      <c r="N1056" s="1036"/>
      <c r="O1056" s="1036"/>
      <c r="P1056" s="1036"/>
      <c r="Q1056" s="1036"/>
      <c r="R1056" s="1036"/>
      <c r="S1056" s="1036"/>
      <c r="T1056" s="1036"/>
      <c r="U1056" s="1036"/>
      <c r="V1056" s="1036"/>
      <c r="W1056" s="1036"/>
      <c r="X1056" s="1036"/>
      <c r="Y1056" s="1036"/>
      <c r="Z1056" s="1036"/>
    </row>
    <row r="1057" spans="1:26" ht="38.25">
      <c r="A1057" s="1079">
        <v>92762</v>
      </c>
      <c r="B1057" s="1080" t="s">
        <v>14476</v>
      </c>
      <c r="C1057" s="1080" t="s">
        <v>7431</v>
      </c>
      <c r="D1057" s="1081" t="s">
        <v>54</v>
      </c>
      <c r="E1057" s="1082">
        <v>22.3</v>
      </c>
      <c r="F1057" s="1083">
        <v>15.5</v>
      </c>
      <c r="G1057" s="1083">
        <v>345.65</v>
      </c>
      <c r="H1057" s="1084">
        <f t="shared" si="12"/>
        <v>2.3476629527084762E-5</v>
      </c>
      <c r="I1057" s="1085">
        <f t="shared" si="14"/>
        <v>0.99509236426689796</v>
      </c>
      <c r="J1057" s="1085" t="str">
        <f t="shared" si="13"/>
        <v>C</v>
      </c>
      <c r="K1057" s="1036"/>
      <c r="L1057" s="1036"/>
      <c r="M1057" s="1036"/>
      <c r="N1057" s="1036"/>
      <c r="O1057" s="1036"/>
      <c r="P1057" s="1036"/>
      <c r="Q1057" s="1036"/>
      <c r="R1057" s="1036"/>
      <c r="S1057" s="1036"/>
      <c r="T1057" s="1036"/>
      <c r="U1057" s="1036"/>
      <c r="V1057" s="1036"/>
      <c r="W1057" s="1036"/>
      <c r="X1057" s="1036"/>
      <c r="Y1057" s="1036"/>
      <c r="Z1057" s="1036"/>
    </row>
    <row r="1058" spans="1:26" ht="51">
      <c r="A1058" s="1079">
        <v>89746</v>
      </c>
      <c r="B1058" s="1080" t="s">
        <v>14476</v>
      </c>
      <c r="C1058" s="1080" t="s">
        <v>8958</v>
      </c>
      <c r="D1058" s="1081" t="s">
        <v>6</v>
      </c>
      <c r="E1058" s="1082">
        <v>10</v>
      </c>
      <c r="F1058" s="1083">
        <v>34.479999999999997</v>
      </c>
      <c r="G1058" s="1083">
        <v>344.8</v>
      </c>
      <c r="H1058" s="1084">
        <f t="shared" si="12"/>
        <v>2.3418897326598661E-5</v>
      </c>
      <c r="I1058" s="1085">
        <f t="shared" si="14"/>
        <v>0.99511578316422455</v>
      </c>
      <c r="J1058" s="1085" t="str">
        <f t="shared" si="13"/>
        <v>C</v>
      </c>
      <c r="K1058" s="1036"/>
      <c r="L1058" s="1036"/>
      <c r="M1058" s="1036"/>
      <c r="N1058" s="1036"/>
      <c r="O1058" s="1036"/>
      <c r="P1058" s="1036"/>
      <c r="Q1058" s="1036"/>
      <c r="R1058" s="1036"/>
      <c r="S1058" s="1036"/>
      <c r="T1058" s="1036"/>
      <c r="U1058" s="1036"/>
      <c r="V1058" s="1036"/>
      <c r="W1058" s="1036"/>
      <c r="X1058" s="1036"/>
      <c r="Y1058" s="1036"/>
      <c r="Z1058" s="1036"/>
    </row>
    <row r="1059" spans="1:26" ht="38.25">
      <c r="A1059" s="1079">
        <v>92763</v>
      </c>
      <c r="B1059" s="1080" t="s">
        <v>14476</v>
      </c>
      <c r="C1059" s="1080" t="s">
        <v>7432</v>
      </c>
      <c r="D1059" s="1081" t="s">
        <v>54</v>
      </c>
      <c r="E1059" s="1082">
        <v>26.2</v>
      </c>
      <c r="F1059" s="1083">
        <v>13.11</v>
      </c>
      <c r="G1059" s="1083">
        <v>343.48</v>
      </c>
      <c r="H1059" s="1084">
        <f t="shared" si="12"/>
        <v>2.3329242615255532E-5</v>
      </c>
      <c r="I1059" s="1085">
        <f t="shared" si="14"/>
        <v>0.99513911240683983</v>
      </c>
      <c r="J1059" s="1085" t="str">
        <f t="shared" si="13"/>
        <v>C</v>
      </c>
      <c r="K1059" s="1036"/>
      <c r="L1059" s="1036"/>
      <c r="M1059" s="1036"/>
      <c r="N1059" s="1036"/>
      <c r="O1059" s="1036"/>
      <c r="P1059" s="1036"/>
      <c r="Q1059" s="1036"/>
      <c r="R1059" s="1036"/>
      <c r="S1059" s="1036"/>
      <c r="T1059" s="1036"/>
      <c r="U1059" s="1036"/>
      <c r="V1059" s="1036"/>
      <c r="W1059" s="1036"/>
      <c r="X1059" s="1036"/>
      <c r="Y1059" s="1036"/>
      <c r="Z1059" s="1036"/>
    </row>
    <row r="1060" spans="1:26" ht="38.25">
      <c r="A1060" s="1079">
        <v>94794</v>
      </c>
      <c r="B1060" s="1080" t="s">
        <v>14476</v>
      </c>
      <c r="C1060" s="1080" t="s">
        <v>10261</v>
      </c>
      <c r="D1060" s="1081" t="s">
        <v>6</v>
      </c>
      <c r="E1060" s="1082">
        <v>2</v>
      </c>
      <c r="F1060" s="1083">
        <v>171.13</v>
      </c>
      <c r="G1060" s="1083">
        <v>342.26</v>
      </c>
      <c r="H1060" s="1084">
        <f t="shared" si="12"/>
        <v>2.3246379927499005E-5</v>
      </c>
      <c r="I1060" s="1085">
        <f t="shared" si="14"/>
        <v>0.99516235878676729</v>
      </c>
      <c r="J1060" s="1085" t="str">
        <f t="shared" si="13"/>
        <v>C</v>
      </c>
      <c r="K1060" s="1036"/>
      <c r="L1060" s="1036"/>
      <c r="M1060" s="1036"/>
      <c r="N1060" s="1036"/>
      <c r="O1060" s="1036"/>
      <c r="P1060" s="1036"/>
      <c r="Q1060" s="1036"/>
      <c r="R1060" s="1036"/>
      <c r="S1060" s="1036"/>
      <c r="T1060" s="1036"/>
      <c r="U1060" s="1036"/>
      <c r="V1060" s="1036"/>
      <c r="W1060" s="1036"/>
      <c r="X1060" s="1036"/>
      <c r="Y1060" s="1036"/>
      <c r="Z1060" s="1036"/>
    </row>
    <row r="1061" spans="1:26" ht="38.25">
      <c r="A1061" s="1079">
        <v>100938</v>
      </c>
      <c r="B1061" s="1080" t="s">
        <v>14476</v>
      </c>
      <c r="C1061" s="1080" t="s">
        <v>11938</v>
      </c>
      <c r="D1061" s="1081" t="s">
        <v>11696</v>
      </c>
      <c r="E1061" s="1082">
        <v>36.11</v>
      </c>
      <c r="F1061" s="1083">
        <v>9.4700000000000006</v>
      </c>
      <c r="G1061" s="1083">
        <v>341.92</v>
      </c>
      <c r="H1061" s="1084">
        <f t="shared" si="12"/>
        <v>2.3223287047304564E-5</v>
      </c>
      <c r="I1061" s="1085">
        <f t="shared" si="14"/>
        <v>0.99518558207381458</v>
      </c>
      <c r="J1061" s="1085" t="str">
        <f t="shared" si="13"/>
        <v>C</v>
      </c>
      <c r="K1061" s="1036"/>
      <c r="L1061" s="1036"/>
      <c r="M1061" s="1036"/>
      <c r="N1061" s="1036"/>
      <c r="O1061" s="1036"/>
      <c r="P1061" s="1036"/>
      <c r="Q1061" s="1036"/>
      <c r="R1061" s="1036"/>
      <c r="S1061" s="1036"/>
      <c r="T1061" s="1036"/>
      <c r="U1061" s="1036"/>
      <c r="V1061" s="1036"/>
      <c r="W1061" s="1036"/>
      <c r="X1061" s="1036"/>
      <c r="Y1061" s="1036"/>
      <c r="Z1061" s="1036"/>
    </row>
    <row r="1062" spans="1:26" ht="51">
      <c r="A1062" s="1079">
        <v>98107</v>
      </c>
      <c r="B1062" s="1080" t="s">
        <v>14476</v>
      </c>
      <c r="C1062" s="1080" t="s">
        <v>10024</v>
      </c>
      <c r="D1062" s="1081" t="s">
        <v>6</v>
      </c>
      <c r="E1062" s="1082">
        <v>1</v>
      </c>
      <c r="F1062" s="1083">
        <v>341.75</v>
      </c>
      <c r="G1062" s="1083">
        <v>341.75</v>
      </c>
      <c r="H1062" s="1084">
        <f t="shared" si="12"/>
        <v>2.3211740607207341E-5</v>
      </c>
      <c r="I1062" s="1085">
        <f t="shared" si="14"/>
        <v>0.99520879381442173</v>
      </c>
      <c r="J1062" s="1085" t="str">
        <f t="shared" si="13"/>
        <v>C</v>
      </c>
      <c r="K1062" s="1036"/>
      <c r="L1062" s="1036"/>
      <c r="M1062" s="1036"/>
      <c r="N1062" s="1036"/>
      <c r="O1062" s="1036"/>
      <c r="P1062" s="1036"/>
      <c r="Q1062" s="1036"/>
      <c r="R1062" s="1036"/>
      <c r="S1062" s="1036"/>
      <c r="T1062" s="1036"/>
      <c r="U1062" s="1036"/>
      <c r="V1062" s="1036"/>
      <c r="W1062" s="1036"/>
      <c r="X1062" s="1036"/>
      <c r="Y1062" s="1036"/>
      <c r="Z1062" s="1036"/>
    </row>
    <row r="1063" spans="1:26" ht="38.25">
      <c r="A1063" s="1079">
        <v>89395</v>
      </c>
      <c r="B1063" s="1080" t="s">
        <v>14476</v>
      </c>
      <c r="C1063" s="1080" t="s">
        <v>8701</v>
      </c>
      <c r="D1063" s="1081" t="s">
        <v>6</v>
      </c>
      <c r="E1063" s="1082">
        <v>22</v>
      </c>
      <c r="F1063" s="1083">
        <v>15.51</v>
      </c>
      <c r="G1063" s="1083">
        <v>341.22</v>
      </c>
      <c r="H1063" s="1084">
        <f t="shared" si="12"/>
        <v>2.3175742882198361E-5</v>
      </c>
      <c r="I1063" s="1085">
        <f t="shared" si="14"/>
        <v>0.99523196955730397</v>
      </c>
      <c r="J1063" s="1085" t="str">
        <f t="shared" si="13"/>
        <v>C</v>
      </c>
      <c r="K1063" s="1036"/>
      <c r="L1063" s="1036"/>
      <c r="M1063" s="1036"/>
      <c r="N1063" s="1036"/>
      <c r="O1063" s="1036"/>
      <c r="P1063" s="1036"/>
      <c r="Q1063" s="1036"/>
      <c r="R1063" s="1036"/>
      <c r="S1063" s="1036"/>
      <c r="T1063" s="1036"/>
      <c r="U1063" s="1036"/>
      <c r="V1063" s="1036"/>
      <c r="W1063" s="1036"/>
      <c r="X1063" s="1036"/>
      <c r="Y1063" s="1036"/>
      <c r="Z1063" s="1036"/>
    </row>
    <row r="1064" spans="1:26" ht="38.25">
      <c r="A1064" s="1079" t="s">
        <v>15318</v>
      </c>
      <c r="B1064" s="1080" t="s">
        <v>14472</v>
      </c>
      <c r="C1064" s="1080" t="s">
        <v>15319</v>
      </c>
      <c r="D1064" s="1081" t="s">
        <v>6</v>
      </c>
      <c r="E1064" s="1082">
        <v>1</v>
      </c>
      <c r="F1064" s="1083">
        <v>340.26</v>
      </c>
      <c r="G1064" s="1083">
        <v>340.26</v>
      </c>
      <c r="H1064" s="1084">
        <f t="shared" si="12"/>
        <v>2.3110539455766994E-5</v>
      </c>
      <c r="I1064" s="1085">
        <f t="shared" si="14"/>
        <v>0.99525508009675978</v>
      </c>
      <c r="J1064" s="1085" t="str">
        <f t="shared" si="13"/>
        <v>C</v>
      </c>
      <c r="K1064" s="1036"/>
      <c r="L1064" s="1036"/>
      <c r="M1064" s="1036"/>
      <c r="N1064" s="1036"/>
      <c r="O1064" s="1036"/>
      <c r="P1064" s="1036"/>
      <c r="Q1064" s="1036"/>
      <c r="R1064" s="1036"/>
      <c r="S1064" s="1036"/>
      <c r="T1064" s="1036"/>
      <c r="U1064" s="1036"/>
      <c r="V1064" s="1036"/>
      <c r="W1064" s="1036"/>
      <c r="X1064" s="1036"/>
      <c r="Y1064" s="1036"/>
      <c r="Z1064" s="1036"/>
    </row>
    <row r="1065" spans="1:26" ht="51">
      <c r="A1065" s="1079">
        <v>96557</v>
      </c>
      <c r="B1065" s="1080" t="s">
        <v>14476</v>
      </c>
      <c r="C1065" s="1080" t="s">
        <v>7547</v>
      </c>
      <c r="D1065" s="1081" t="s">
        <v>152</v>
      </c>
      <c r="E1065" s="1082">
        <v>0.28000000000000003</v>
      </c>
      <c r="F1065" s="1083">
        <v>1215.1300000000001</v>
      </c>
      <c r="G1065" s="1083">
        <v>340.23</v>
      </c>
      <c r="H1065" s="1084">
        <f t="shared" si="12"/>
        <v>2.3108501848691014E-5</v>
      </c>
      <c r="I1065" s="1085">
        <f t="shared" si="14"/>
        <v>0.9952781885986085</v>
      </c>
      <c r="J1065" s="1085" t="str">
        <f t="shared" si="13"/>
        <v>C</v>
      </c>
      <c r="K1065" s="1036"/>
      <c r="L1065" s="1036"/>
      <c r="M1065" s="1036"/>
      <c r="N1065" s="1036"/>
      <c r="O1065" s="1036"/>
      <c r="P1065" s="1036"/>
      <c r="Q1065" s="1036"/>
      <c r="R1065" s="1036"/>
      <c r="S1065" s="1036"/>
      <c r="T1065" s="1036"/>
      <c r="U1065" s="1036"/>
      <c r="V1065" s="1036"/>
      <c r="W1065" s="1036"/>
      <c r="X1065" s="1036"/>
      <c r="Y1065" s="1036"/>
      <c r="Z1065" s="1036"/>
    </row>
    <row r="1066" spans="1:26" ht="38.25">
      <c r="A1066" s="1079" t="s">
        <v>15417</v>
      </c>
      <c r="B1066" s="1080" t="s">
        <v>14472</v>
      </c>
      <c r="C1066" s="1080" t="s">
        <v>15418</v>
      </c>
      <c r="D1066" s="1081" t="s">
        <v>6</v>
      </c>
      <c r="E1066" s="1082">
        <v>4</v>
      </c>
      <c r="F1066" s="1083">
        <v>84.97</v>
      </c>
      <c r="G1066" s="1083">
        <v>339.88</v>
      </c>
      <c r="H1066" s="1084">
        <f t="shared" si="12"/>
        <v>2.3084729766137911E-5</v>
      </c>
      <c r="I1066" s="1085">
        <f t="shared" si="14"/>
        <v>0.99530127332837459</v>
      </c>
      <c r="J1066" s="1085" t="str">
        <f t="shared" si="13"/>
        <v>C</v>
      </c>
      <c r="K1066" s="1036"/>
      <c r="L1066" s="1036"/>
      <c r="M1066" s="1036"/>
      <c r="N1066" s="1036"/>
      <c r="O1066" s="1036"/>
      <c r="P1066" s="1036"/>
      <c r="Q1066" s="1036"/>
      <c r="R1066" s="1036"/>
      <c r="S1066" s="1036"/>
      <c r="T1066" s="1036"/>
      <c r="U1066" s="1036"/>
      <c r="V1066" s="1036"/>
      <c r="W1066" s="1036"/>
      <c r="X1066" s="1036"/>
      <c r="Y1066" s="1036"/>
      <c r="Z1066" s="1036"/>
    </row>
    <row r="1067" spans="1:26" ht="38.25">
      <c r="A1067" s="1079">
        <v>96621</v>
      </c>
      <c r="B1067" s="1080" t="s">
        <v>14476</v>
      </c>
      <c r="C1067" s="1080" t="s">
        <v>7167</v>
      </c>
      <c r="D1067" s="1081" t="s">
        <v>152</v>
      </c>
      <c r="E1067" s="1082">
        <v>0.95</v>
      </c>
      <c r="F1067" s="1083">
        <v>357.65</v>
      </c>
      <c r="G1067" s="1083">
        <v>339.76</v>
      </c>
      <c r="H1067" s="1084">
        <f t="shared" si="12"/>
        <v>2.307657933783399E-5</v>
      </c>
      <c r="I1067" s="1085">
        <f t="shared" si="14"/>
        <v>0.99532434990771246</v>
      </c>
      <c r="J1067" s="1085" t="str">
        <f t="shared" si="13"/>
        <v>C</v>
      </c>
      <c r="K1067" s="1036"/>
      <c r="L1067" s="1036"/>
      <c r="M1067" s="1036"/>
      <c r="N1067" s="1036"/>
      <c r="O1067" s="1036"/>
      <c r="P1067" s="1036"/>
      <c r="Q1067" s="1036"/>
      <c r="R1067" s="1036"/>
      <c r="S1067" s="1036"/>
      <c r="T1067" s="1036"/>
      <c r="U1067" s="1036"/>
      <c r="V1067" s="1036"/>
      <c r="W1067" s="1036"/>
      <c r="X1067" s="1036"/>
      <c r="Y1067" s="1036"/>
      <c r="Z1067" s="1036"/>
    </row>
    <row r="1068" spans="1:26" ht="51">
      <c r="A1068" s="1079">
        <v>104328</v>
      </c>
      <c r="B1068" s="1080" t="s">
        <v>14476</v>
      </c>
      <c r="C1068" s="1080" t="s">
        <v>10081</v>
      </c>
      <c r="D1068" s="1081" t="s">
        <v>6</v>
      </c>
      <c r="E1068" s="1082">
        <v>4</v>
      </c>
      <c r="F1068" s="1083">
        <v>84.71</v>
      </c>
      <c r="G1068" s="1083">
        <v>338.84</v>
      </c>
      <c r="H1068" s="1084">
        <f t="shared" si="12"/>
        <v>2.3014092720837264E-5</v>
      </c>
      <c r="I1068" s="1085">
        <f t="shared" si="14"/>
        <v>0.99534736400043333</v>
      </c>
      <c r="J1068" s="1085" t="str">
        <f t="shared" si="13"/>
        <v>C</v>
      </c>
      <c r="K1068" s="1036"/>
      <c r="L1068" s="1036"/>
      <c r="M1068" s="1036"/>
      <c r="N1068" s="1036"/>
      <c r="O1068" s="1036"/>
      <c r="P1068" s="1036"/>
      <c r="Q1068" s="1036"/>
      <c r="R1068" s="1036"/>
      <c r="S1068" s="1036"/>
      <c r="T1068" s="1036"/>
      <c r="U1068" s="1036"/>
      <c r="V1068" s="1036"/>
      <c r="W1068" s="1036"/>
      <c r="X1068" s="1036"/>
      <c r="Y1068" s="1036"/>
      <c r="Z1068" s="1036"/>
    </row>
    <row r="1069" spans="1:26" ht="38.25">
      <c r="A1069" s="1079" t="s">
        <v>14882</v>
      </c>
      <c r="B1069" s="1080" t="s">
        <v>14472</v>
      </c>
      <c r="C1069" s="1080" t="s">
        <v>14883</v>
      </c>
      <c r="D1069" s="1081" t="s">
        <v>50</v>
      </c>
      <c r="E1069" s="1082">
        <v>7.12</v>
      </c>
      <c r="F1069" s="1083">
        <v>47.55</v>
      </c>
      <c r="G1069" s="1083">
        <v>338.55</v>
      </c>
      <c r="H1069" s="1084">
        <f t="shared" si="12"/>
        <v>2.2994395852436127E-5</v>
      </c>
      <c r="I1069" s="1085">
        <f t="shared" si="14"/>
        <v>0.99537035839628574</v>
      </c>
      <c r="J1069" s="1085" t="str">
        <f t="shared" si="13"/>
        <v>C</v>
      </c>
      <c r="K1069" s="1036"/>
      <c r="L1069" s="1036"/>
      <c r="M1069" s="1036"/>
      <c r="N1069" s="1036"/>
      <c r="O1069" s="1036"/>
      <c r="P1069" s="1036"/>
      <c r="Q1069" s="1036"/>
      <c r="R1069" s="1036"/>
      <c r="S1069" s="1036"/>
      <c r="T1069" s="1036"/>
      <c r="U1069" s="1036"/>
      <c r="V1069" s="1036"/>
      <c r="W1069" s="1036"/>
      <c r="X1069" s="1036"/>
      <c r="Y1069" s="1036"/>
      <c r="Z1069" s="1036"/>
    </row>
    <row r="1070" spans="1:26" ht="25.5">
      <c r="A1070" s="1079" t="s">
        <v>15272</v>
      </c>
      <c r="B1070" s="1080" t="s">
        <v>14472</v>
      </c>
      <c r="C1070" s="1080" t="s">
        <v>15273</v>
      </c>
      <c r="D1070" s="1081" t="s">
        <v>6</v>
      </c>
      <c r="E1070" s="1082">
        <v>3</v>
      </c>
      <c r="F1070" s="1083">
        <v>112.53</v>
      </c>
      <c r="G1070" s="1083">
        <v>337.59</v>
      </c>
      <c r="H1070" s="1084">
        <f t="shared" si="12"/>
        <v>2.2929192426004757E-5</v>
      </c>
      <c r="I1070" s="1085">
        <f t="shared" si="14"/>
        <v>0.99539328758871171</v>
      </c>
      <c r="J1070" s="1085" t="str">
        <f t="shared" si="13"/>
        <v>C</v>
      </c>
      <c r="K1070" s="1036"/>
      <c r="L1070" s="1036"/>
      <c r="M1070" s="1036"/>
      <c r="N1070" s="1036"/>
      <c r="O1070" s="1036"/>
      <c r="P1070" s="1036"/>
      <c r="Q1070" s="1036"/>
      <c r="R1070" s="1036"/>
      <c r="S1070" s="1036"/>
      <c r="T1070" s="1036"/>
      <c r="U1070" s="1036"/>
      <c r="V1070" s="1036"/>
      <c r="W1070" s="1036"/>
      <c r="X1070" s="1036"/>
      <c r="Y1070" s="1036"/>
      <c r="Z1070" s="1036"/>
    </row>
    <row r="1071" spans="1:26" ht="25.5">
      <c r="A1071" s="1079" t="s">
        <v>15272</v>
      </c>
      <c r="B1071" s="1080" t="s">
        <v>14472</v>
      </c>
      <c r="C1071" s="1080" t="s">
        <v>15273</v>
      </c>
      <c r="D1071" s="1081" t="s">
        <v>6</v>
      </c>
      <c r="E1071" s="1082">
        <v>3</v>
      </c>
      <c r="F1071" s="1083">
        <v>112.53</v>
      </c>
      <c r="G1071" s="1083">
        <v>337.59</v>
      </c>
      <c r="H1071" s="1084">
        <f t="shared" si="12"/>
        <v>2.2929192426004757E-5</v>
      </c>
      <c r="I1071" s="1085">
        <f t="shared" si="14"/>
        <v>0.99541621678113767</v>
      </c>
      <c r="J1071" s="1085" t="str">
        <f t="shared" si="13"/>
        <v>C</v>
      </c>
      <c r="K1071" s="1036"/>
      <c r="L1071" s="1036"/>
      <c r="M1071" s="1036"/>
      <c r="N1071" s="1036"/>
      <c r="O1071" s="1036"/>
      <c r="P1071" s="1036"/>
      <c r="Q1071" s="1036"/>
      <c r="R1071" s="1036"/>
      <c r="S1071" s="1036"/>
      <c r="T1071" s="1036"/>
      <c r="U1071" s="1036"/>
      <c r="V1071" s="1036"/>
      <c r="W1071" s="1036"/>
      <c r="X1071" s="1036"/>
      <c r="Y1071" s="1036"/>
      <c r="Z1071" s="1036"/>
    </row>
    <row r="1072" spans="1:26" ht="25.5">
      <c r="A1072" s="1079" t="s">
        <v>15272</v>
      </c>
      <c r="B1072" s="1080" t="s">
        <v>14472</v>
      </c>
      <c r="C1072" s="1080" t="s">
        <v>15273</v>
      </c>
      <c r="D1072" s="1081" t="s">
        <v>6</v>
      </c>
      <c r="E1072" s="1082">
        <v>3</v>
      </c>
      <c r="F1072" s="1083">
        <v>112.53</v>
      </c>
      <c r="G1072" s="1083">
        <v>337.59</v>
      </c>
      <c r="H1072" s="1084">
        <f t="shared" si="12"/>
        <v>2.2929192426004757E-5</v>
      </c>
      <c r="I1072" s="1085">
        <f t="shared" si="14"/>
        <v>0.99543914597356364</v>
      </c>
      <c r="J1072" s="1085" t="str">
        <f t="shared" si="13"/>
        <v>C</v>
      </c>
      <c r="K1072" s="1036"/>
      <c r="L1072" s="1036"/>
      <c r="M1072" s="1036"/>
      <c r="N1072" s="1036"/>
      <c r="O1072" s="1036"/>
      <c r="P1072" s="1036"/>
      <c r="Q1072" s="1036"/>
      <c r="R1072" s="1036"/>
      <c r="S1072" s="1036"/>
      <c r="T1072" s="1036"/>
      <c r="U1072" s="1036"/>
      <c r="V1072" s="1036"/>
      <c r="W1072" s="1036"/>
      <c r="X1072" s="1036"/>
      <c r="Y1072" s="1036"/>
      <c r="Z1072" s="1036"/>
    </row>
    <row r="1073" spans="1:26" ht="25.5">
      <c r="A1073" s="1079" t="s">
        <v>15272</v>
      </c>
      <c r="B1073" s="1080" t="s">
        <v>14472</v>
      </c>
      <c r="C1073" s="1080" t="s">
        <v>15273</v>
      </c>
      <c r="D1073" s="1081" t="s">
        <v>6</v>
      </c>
      <c r="E1073" s="1082">
        <v>3</v>
      </c>
      <c r="F1073" s="1083">
        <v>112.53</v>
      </c>
      <c r="G1073" s="1083">
        <v>337.59</v>
      </c>
      <c r="H1073" s="1084">
        <f t="shared" si="12"/>
        <v>2.2929192426004757E-5</v>
      </c>
      <c r="I1073" s="1085">
        <f t="shared" si="14"/>
        <v>0.99546207516598961</v>
      </c>
      <c r="J1073" s="1085" t="str">
        <f t="shared" si="13"/>
        <v>C</v>
      </c>
      <c r="K1073" s="1036"/>
      <c r="L1073" s="1036"/>
      <c r="M1073" s="1036"/>
      <c r="N1073" s="1036"/>
      <c r="O1073" s="1036"/>
      <c r="P1073" s="1036"/>
      <c r="Q1073" s="1036"/>
      <c r="R1073" s="1036"/>
      <c r="S1073" s="1036"/>
      <c r="T1073" s="1036"/>
      <c r="U1073" s="1036"/>
      <c r="V1073" s="1036"/>
      <c r="W1073" s="1036"/>
      <c r="X1073" s="1036"/>
      <c r="Y1073" s="1036"/>
      <c r="Z1073" s="1036"/>
    </row>
    <row r="1074" spans="1:26" ht="38.25">
      <c r="A1074" s="1079" t="s">
        <v>15155</v>
      </c>
      <c r="B1074" s="1080" t="s">
        <v>14472</v>
      </c>
      <c r="C1074" s="1080" t="s">
        <v>16010</v>
      </c>
      <c r="D1074" s="1081" t="s">
        <v>6</v>
      </c>
      <c r="E1074" s="1082">
        <v>3</v>
      </c>
      <c r="F1074" s="1083">
        <v>112.35</v>
      </c>
      <c r="G1074" s="1083">
        <v>337.05</v>
      </c>
      <c r="H1074" s="1084">
        <f t="shared" si="12"/>
        <v>2.2892515498637118E-5</v>
      </c>
      <c r="I1074" s="1085">
        <f t="shared" si="14"/>
        <v>0.9954849676814882</v>
      </c>
      <c r="J1074" s="1085" t="str">
        <f t="shared" si="13"/>
        <v>C</v>
      </c>
      <c r="K1074" s="1036"/>
      <c r="L1074" s="1036"/>
      <c r="M1074" s="1036"/>
      <c r="N1074" s="1036"/>
      <c r="O1074" s="1036"/>
      <c r="P1074" s="1036"/>
      <c r="Q1074" s="1036"/>
      <c r="R1074" s="1036"/>
      <c r="S1074" s="1036"/>
      <c r="T1074" s="1036"/>
      <c r="U1074" s="1036"/>
      <c r="V1074" s="1036"/>
      <c r="W1074" s="1036"/>
      <c r="X1074" s="1036"/>
      <c r="Y1074" s="1036"/>
      <c r="Z1074" s="1036"/>
    </row>
    <row r="1075" spans="1:26" ht="25.5">
      <c r="A1075" s="1079">
        <v>93382</v>
      </c>
      <c r="B1075" s="1080" t="s">
        <v>14476</v>
      </c>
      <c r="C1075" s="1080" t="s">
        <v>10726</v>
      </c>
      <c r="D1075" s="1081" t="s">
        <v>152</v>
      </c>
      <c r="E1075" s="1082">
        <v>11.39</v>
      </c>
      <c r="F1075" s="1083">
        <v>29.52</v>
      </c>
      <c r="G1075" s="1083">
        <v>336.23</v>
      </c>
      <c r="H1075" s="1084">
        <f t="shared" si="12"/>
        <v>2.2836820905226993E-5</v>
      </c>
      <c r="I1075" s="1085">
        <f t="shared" si="14"/>
        <v>0.9955078045023934</v>
      </c>
      <c r="J1075" s="1085" t="str">
        <f t="shared" si="13"/>
        <v>C</v>
      </c>
      <c r="K1075" s="1036"/>
      <c r="L1075" s="1036"/>
      <c r="M1075" s="1036"/>
      <c r="N1075" s="1036"/>
      <c r="O1075" s="1036"/>
      <c r="P1075" s="1036"/>
      <c r="Q1075" s="1036"/>
      <c r="R1075" s="1036"/>
      <c r="S1075" s="1036"/>
      <c r="T1075" s="1036"/>
      <c r="U1075" s="1036"/>
      <c r="V1075" s="1036"/>
      <c r="W1075" s="1036"/>
      <c r="X1075" s="1036"/>
      <c r="Y1075" s="1036"/>
      <c r="Z1075" s="1036"/>
    </row>
    <row r="1076" spans="1:26" ht="51">
      <c r="A1076" s="1079">
        <v>89744</v>
      </c>
      <c r="B1076" s="1080" t="s">
        <v>14476</v>
      </c>
      <c r="C1076" s="1080" t="s">
        <v>8957</v>
      </c>
      <c r="D1076" s="1081" t="s">
        <v>6</v>
      </c>
      <c r="E1076" s="1082">
        <v>10</v>
      </c>
      <c r="F1076" s="1083">
        <v>33.520000000000003</v>
      </c>
      <c r="G1076" s="1083">
        <v>335.2</v>
      </c>
      <c r="H1076" s="1084">
        <f t="shared" si="12"/>
        <v>2.2766863062285005E-5</v>
      </c>
      <c r="I1076" s="1085">
        <f t="shared" si="14"/>
        <v>0.99553057136545564</v>
      </c>
      <c r="J1076" s="1085" t="str">
        <f t="shared" si="13"/>
        <v>C</v>
      </c>
      <c r="K1076" s="1036"/>
      <c r="L1076" s="1036"/>
      <c r="M1076" s="1036"/>
      <c r="N1076" s="1036"/>
      <c r="O1076" s="1036"/>
      <c r="P1076" s="1036"/>
      <c r="Q1076" s="1036"/>
      <c r="R1076" s="1036"/>
      <c r="S1076" s="1036"/>
      <c r="T1076" s="1036"/>
      <c r="U1076" s="1036"/>
      <c r="V1076" s="1036"/>
      <c r="W1076" s="1036"/>
      <c r="X1076" s="1036"/>
      <c r="Y1076" s="1036"/>
      <c r="Z1076" s="1036"/>
    </row>
    <row r="1077" spans="1:26" ht="51">
      <c r="A1077" s="1079">
        <v>89744</v>
      </c>
      <c r="B1077" s="1080" t="s">
        <v>14476</v>
      </c>
      <c r="C1077" s="1080" t="s">
        <v>8957</v>
      </c>
      <c r="D1077" s="1081" t="s">
        <v>6</v>
      </c>
      <c r="E1077" s="1082">
        <v>10</v>
      </c>
      <c r="F1077" s="1083">
        <v>33.520000000000003</v>
      </c>
      <c r="G1077" s="1083">
        <v>335.2</v>
      </c>
      <c r="H1077" s="1084">
        <f t="shared" si="12"/>
        <v>2.2766863062285005E-5</v>
      </c>
      <c r="I1077" s="1085">
        <f t="shared" si="14"/>
        <v>0.99555333822851788</v>
      </c>
      <c r="J1077" s="1085" t="str">
        <f t="shared" si="13"/>
        <v>C</v>
      </c>
      <c r="K1077" s="1036"/>
      <c r="L1077" s="1036"/>
      <c r="M1077" s="1036"/>
      <c r="N1077" s="1036"/>
      <c r="O1077" s="1036"/>
      <c r="P1077" s="1036"/>
      <c r="Q1077" s="1036"/>
      <c r="R1077" s="1036"/>
      <c r="S1077" s="1036"/>
      <c r="T1077" s="1036"/>
      <c r="U1077" s="1036"/>
      <c r="V1077" s="1036"/>
      <c r="W1077" s="1036"/>
      <c r="X1077" s="1036"/>
      <c r="Y1077" s="1036"/>
      <c r="Z1077" s="1036"/>
    </row>
    <row r="1078" spans="1:26" ht="51">
      <c r="A1078" s="1079">
        <v>89733</v>
      </c>
      <c r="B1078" s="1080" t="s">
        <v>14476</v>
      </c>
      <c r="C1078" s="1080" t="s">
        <v>8946</v>
      </c>
      <c r="D1078" s="1081" t="s">
        <v>6</v>
      </c>
      <c r="E1078" s="1082">
        <v>12</v>
      </c>
      <c r="F1078" s="1083">
        <v>27.91</v>
      </c>
      <c r="G1078" s="1083">
        <v>334.92</v>
      </c>
      <c r="H1078" s="1084">
        <f t="shared" si="12"/>
        <v>2.2747845396242527E-5</v>
      </c>
      <c r="I1078" s="1085">
        <f t="shared" si="14"/>
        <v>0.99557608607391412</v>
      </c>
      <c r="J1078" s="1085" t="str">
        <f t="shared" si="13"/>
        <v>C</v>
      </c>
      <c r="K1078" s="1036"/>
      <c r="L1078" s="1036"/>
      <c r="M1078" s="1036"/>
      <c r="N1078" s="1036"/>
      <c r="O1078" s="1036"/>
      <c r="P1078" s="1036"/>
      <c r="Q1078" s="1036"/>
      <c r="R1078" s="1036"/>
      <c r="S1078" s="1036"/>
      <c r="T1078" s="1036"/>
      <c r="U1078" s="1036"/>
      <c r="V1078" s="1036"/>
      <c r="W1078" s="1036"/>
      <c r="X1078" s="1036"/>
      <c r="Y1078" s="1036"/>
      <c r="Z1078" s="1036"/>
    </row>
    <row r="1079" spans="1:26" ht="38.25">
      <c r="A1079" s="1079">
        <v>92759</v>
      </c>
      <c r="B1079" s="1080" t="s">
        <v>14476</v>
      </c>
      <c r="C1079" s="1080" t="s">
        <v>7428</v>
      </c>
      <c r="D1079" s="1081" t="s">
        <v>54</v>
      </c>
      <c r="E1079" s="1082">
        <v>17.8</v>
      </c>
      <c r="F1079" s="1083">
        <v>18.77</v>
      </c>
      <c r="G1079" s="1083">
        <v>334.1</v>
      </c>
      <c r="H1079" s="1084">
        <f t="shared" si="12"/>
        <v>2.2692150802832402E-5</v>
      </c>
      <c r="I1079" s="1085">
        <f t="shared" si="14"/>
        <v>0.99559877822471698</v>
      </c>
      <c r="J1079" s="1085" t="str">
        <f t="shared" si="13"/>
        <v>C</v>
      </c>
      <c r="K1079" s="1036"/>
      <c r="L1079" s="1036"/>
      <c r="M1079" s="1036"/>
      <c r="N1079" s="1036"/>
      <c r="O1079" s="1036"/>
      <c r="P1079" s="1036"/>
      <c r="Q1079" s="1036"/>
      <c r="R1079" s="1036"/>
      <c r="S1079" s="1036"/>
      <c r="T1079" s="1036"/>
      <c r="U1079" s="1036"/>
      <c r="V1079" s="1036"/>
      <c r="W1079" s="1036"/>
      <c r="X1079" s="1036"/>
      <c r="Y1079" s="1036"/>
      <c r="Z1079" s="1036"/>
    </row>
    <row r="1080" spans="1:26" ht="38.25">
      <c r="A1080" s="1079">
        <v>104916</v>
      </c>
      <c r="B1080" s="1080" t="s">
        <v>14476</v>
      </c>
      <c r="C1080" s="1080" t="s">
        <v>7596</v>
      </c>
      <c r="D1080" s="1081" t="s">
        <v>54</v>
      </c>
      <c r="E1080" s="1082">
        <v>15</v>
      </c>
      <c r="F1080" s="1083">
        <v>21.8</v>
      </c>
      <c r="G1080" s="1083">
        <v>327</v>
      </c>
      <c r="H1080" s="1084">
        <f t="shared" si="12"/>
        <v>2.2209917128183761E-5</v>
      </c>
      <c r="I1080" s="1085">
        <f t="shared" si="14"/>
        <v>0.99562098814184519</v>
      </c>
      <c r="J1080" s="1085" t="str">
        <f t="shared" si="13"/>
        <v>C</v>
      </c>
      <c r="K1080" s="1036"/>
      <c r="L1080" s="1036"/>
      <c r="M1080" s="1036"/>
      <c r="N1080" s="1036"/>
      <c r="O1080" s="1036"/>
      <c r="P1080" s="1036"/>
      <c r="Q1080" s="1036"/>
      <c r="R1080" s="1036"/>
      <c r="S1080" s="1036"/>
      <c r="T1080" s="1036"/>
      <c r="U1080" s="1036"/>
      <c r="V1080" s="1036"/>
      <c r="W1080" s="1036"/>
      <c r="X1080" s="1036"/>
      <c r="Y1080" s="1036"/>
      <c r="Z1080" s="1036"/>
    </row>
    <row r="1081" spans="1:26" ht="51">
      <c r="A1081" s="1079">
        <v>89778</v>
      </c>
      <c r="B1081" s="1080" t="s">
        <v>14476</v>
      </c>
      <c r="C1081" s="1080" t="s">
        <v>8984</v>
      </c>
      <c r="D1081" s="1081" t="s">
        <v>6</v>
      </c>
      <c r="E1081" s="1082">
        <v>15</v>
      </c>
      <c r="F1081" s="1083">
        <v>21.78</v>
      </c>
      <c r="G1081" s="1083">
        <v>326.7</v>
      </c>
      <c r="H1081" s="1084">
        <f t="shared" si="12"/>
        <v>2.2189541057423962E-5</v>
      </c>
      <c r="I1081" s="1085">
        <f t="shared" si="14"/>
        <v>0.99564317768290256</v>
      </c>
      <c r="J1081" s="1085" t="str">
        <f t="shared" si="13"/>
        <v>C</v>
      </c>
      <c r="K1081" s="1036"/>
      <c r="L1081" s="1036"/>
      <c r="M1081" s="1036"/>
      <c r="N1081" s="1036"/>
      <c r="O1081" s="1036"/>
      <c r="P1081" s="1036"/>
      <c r="Q1081" s="1036"/>
      <c r="R1081" s="1036"/>
      <c r="S1081" s="1036"/>
      <c r="T1081" s="1036"/>
      <c r="U1081" s="1036"/>
      <c r="V1081" s="1036"/>
      <c r="W1081" s="1036"/>
      <c r="X1081" s="1036"/>
      <c r="Y1081" s="1036"/>
      <c r="Z1081" s="1036"/>
    </row>
    <row r="1082" spans="1:26" ht="25.5">
      <c r="A1082" s="1079">
        <v>100849</v>
      </c>
      <c r="B1082" s="1080" t="s">
        <v>14476</v>
      </c>
      <c r="C1082" s="1080" t="s">
        <v>10159</v>
      </c>
      <c r="D1082" s="1081" t="s">
        <v>6</v>
      </c>
      <c r="E1082" s="1082">
        <v>6</v>
      </c>
      <c r="F1082" s="1083">
        <v>54.38</v>
      </c>
      <c r="G1082" s="1083">
        <v>326.27999999999997</v>
      </c>
      <c r="H1082" s="1084">
        <f t="shared" si="12"/>
        <v>2.2161014558360238E-5</v>
      </c>
      <c r="I1082" s="1085">
        <f t="shared" si="14"/>
        <v>0.99566533869746088</v>
      </c>
      <c r="J1082" s="1085" t="str">
        <f t="shared" si="13"/>
        <v>C</v>
      </c>
      <c r="K1082" s="1036"/>
      <c r="L1082" s="1036"/>
      <c r="M1082" s="1036"/>
      <c r="N1082" s="1036"/>
      <c r="O1082" s="1036"/>
      <c r="P1082" s="1036"/>
      <c r="Q1082" s="1036"/>
      <c r="R1082" s="1036"/>
      <c r="S1082" s="1036"/>
      <c r="T1082" s="1036"/>
      <c r="U1082" s="1036"/>
      <c r="V1082" s="1036"/>
      <c r="W1082" s="1036"/>
      <c r="X1082" s="1036"/>
      <c r="Y1082" s="1036"/>
      <c r="Z1082" s="1036"/>
    </row>
    <row r="1083" spans="1:26" ht="38.25">
      <c r="A1083" s="1079">
        <v>89403</v>
      </c>
      <c r="B1083" s="1080" t="s">
        <v>14476</v>
      </c>
      <c r="C1083" s="1080" t="s">
        <v>8423</v>
      </c>
      <c r="D1083" s="1081" t="s">
        <v>50</v>
      </c>
      <c r="E1083" s="1082">
        <v>15</v>
      </c>
      <c r="F1083" s="1083">
        <v>21.21</v>
      </c>
      <c r="G1083" s="1083">
        <v>318.14999999999998</v>
      </c>
      <c r="H1083" s="1084">
        <f t="shared" si="12"/>
        <v>2.1608823040769615E-5</v>
      </c>
      <c r="I1083" s="1085">
        <f t="shared" si="14"/>
        <v>0.99568694752050169</v>
      </c>
      <c r="J1083" s="1085" t="str">
        <f t="shared" si="13"/>
        <v>C</v>
      </c>
      <c r="K1083" s="1036"/>
      <c r="L1083" s="1036"/>
      <c r="M1083" s="1036"/>
      <c r="N1083" s="1036"/>
      <c r="O1083" s="1036"/>
      <c r="P1083" s="1036"/>
      <c r="Q1083" s="1036"/>
      <c r="R1083" s="1036"/>
      <c r="S1083" s="1036"/>
      <c r="T1083" s="1036"/>
      <c r="U1083" s="1036"/>
      <c r="V1083" s="1036"/>
      <c r="W1083" s="1036"/>
      <c r="X1083" s="1036"/>
      <c r="Y1083" s="1036"/>
      <c r="Z1083" s="1036"/>
    </row>
    <row r="1084" spans="1:26" ht="38.25">
      <c r="A1084" s="1079">
        <v>89403</v>
      </c>
      <c r="B1084" s="1080" t="s">
        <v>14476</v>
      </c>
      <c r="C1084" s="1080" t="s">
        <v>8423</v>
      </c>
      <c r="D1084" s="1081" t="s">
        <v>50</v>
      </c>
      <c r="E1084" s="1082">
        <v>15</v>
      </c>
      <c r="F1084" s="1083">
        <v>21.21</v>
      </c>
      <c r="G1084" s="1083">
        <v>318.14999999999998</v>
      </c>
      <c r="H1084" s="1084">
        <f t="shared" si="12"/>
        <v>2.1608823040769615E-5</v>
      </c>
      <c r="I1084" s="1085">
        <f t="shared" si="14"/>
        <v>0.99570855634354249</v>
      </c>
      <c r="J1084" s="1085" t="str">
        <f t="shared" si="13"/>
        <v>C</v>
      </c>
      <c r="K1084" s="1036"/>
      <c r="L1084" s="1036"/>
      <c r="M1084" s="1036"/>
      <c r="N1084" s="1036"/>
      <c r="O1084" s="1036"/>
      <c r="P1084" s="1036"/>
      <c r="Q1084" s="1036"/>
      <c r="R1084" s="1036"/>
      <c r="S1084" s="1036"/>
      <c r="T1084" s="1036"/>
      <c r="U1084" s="1036"/>
      <c r="V1084" s="1036"/>
      <c r="W1084" s="1036"/>
      <c r="X1084" s="1036"/>
      <c r="Y1084" s="1036"/>
      <c r="Z1084" s="1036"/>
    </row>
    <row r="1085" spans="1:26" ht="38.25">
      <c r="A1085" s="1079">
        <v>104919</v>
      </c>
      <c r="B1085" s="1080" t="s">
        <v>14476</v>
      </c>
      <c r="C1085" s="1080" t="s">
        <v>7516</v>
      </c>
      <c r="D1085" s="1081" t="s">
        <v>54</v>
      </c>
      <c r="E1085" s="1082">
        <v>18.2</v>
      </c>
      <c r="F1085" s="1083">
        <v>17.45</v>
      </c>
      <c r="G1085" s="1083">
        <v>317.58999999999997</v>
      </c>
      <c r="H1085" s="1084">
        <f t="shared" si="12"/>
        <v>2.1570787708684652E-5</v>
      </c>
      <c r="I1085" s="1085">
        <f t="shared" si="14"/>
        <v>0.9957301271312512</v>
      </c>
      <c r="J1085" s="1085" t="str">
        <f t="shared" si="13"/>
        <v>C</v>
      </c>
      <c r="K1085" s="1036"/>
      <c r="L1085" s="1036"/>
      <c r="M1085" s="1036"/>
      <c r="N1085" s="1036"/>
      <c r="O1085" s="1036"/>
      <c r="P1085" s="1036"/>
      <c r="Q1085" s="1036"/>
      <c r="R1085" s="1036"/>
      <c r="S1085" s="1036"/>
      <c r="T1085" s="1036"/>
      <c r="U1085" s="1036"/>
      <c r="V1085" s="1036"/>
      <c r="W1085" s="1036"/>
      <c r="X1085" s="1036"/>
      <c r="Y1085" s="1036"/>
      <c r="Z1085" s="1036"/>
    </row>
    <row r="1086" spans="1:26" ht="38.25">
      <c r="A1086" s="1079" t="s">
        <v>15006</v>
      </c>
      <c r="B1086" s="1080" t="s">
        <v>14472</v>
      </c>
      <c r="C1086" s="1080" t="s">
        <v>16011</v>
      </c>
      <c r="D1086" s="1081" t="s">
        <v>6</v>
      </c>
      <c r="E1086" s="1082">
        <v>1</v>
      </c>
      <c r="F1086" s="1083">
        <v>317.20999999999998</v>
      </c>
      <c r="G1086" s="1083">
        <v>317.20999999999998</v>
      </c>
      <c r="H1086" s="1084">
        <f t="shared" si="12"/>
        <v>2.1544978019055569E-5</v>
      </c>
      <c r="I1086" s="1085">
        <f t="shared" si="14"/>
        <v>0.99575167210927029</v>
      </c>
      <c r="J1086" s="1085" t="str">
        <f t="shared" si="13"/>
        <v>C</v>
      </c>
      <c r="K1086" s="1036"/>
      <c r="L1086" s="1036"/>
      <c r="M1086" s="1036"/>
      <c r="N1086" s="1036"/>
      <c r="O1086" s="1036"/>
      <c r="P1086" s="1036"/>
      <c r="Q1086" s="1036"/>
      <c r="R1086" s="1036"/>
      <c r="S1086" s="1036"/>
      <c r="T1086" s="1036"/>
      <c r="U1086" s="1036"/>
      <c r="V1086" s="1036"/>
      <c r="W1086" s="1036"/>
      <c r="X1086" s="1036"/>
      <c r="Y1086" s="1036"/>
      <c r="Z1086" s="1036"/>
    </row>
    <row r="1087" spans="1:26" ht="51">
      <c r="A1087" s="1079">
        <v>89690</v>
      </c>
      <c r="B1087" s="1080" t="s">
        <v>14476</v>
      </c>
      <c r="C1087" s="1080" t="s">
        <v>8915</v>
      </c>
      <c r="D1087" s="1081" t="s">
        <v>6</v>
      </c>
      <c r="E1087" s="1082">
        <v>3</v>
      </c>
      <c r="F1087" s="1083">
        <v>105.22</v>
      </c>
      <c r="G1087" s="1083">
        <v>315.66000000000003</v>
      </c>
      <c r="H1087" s="1084">
        <f t="shared" si="12"/>
        <v>2.1439701653463263E-5</v>
      </c>
      <c r="I1087" s="1085">
        <f t="shared" si="14"/>
        <v>0.99577311181092376</v>
      </c>
      <c r="J1087" s="1085" t="str">
        <f t="shared" si="13"/>
        <v>C</v>
      </c>
      <c r="K1087" s="1036"/>
      <c r="L1087" s="1036"/>
      <c r="M1087" s="1036"/>
      <c r="N1087" s="1036"/>
      <c r="O1087" s="1036"/>
      <c r="P1087" s="1036"/>
      <c r="Q1087" s="1036"/>
      <c r="R1087" s="1036"/>
      <c r="S1087" s="1036"/>
      <c r="T1087" s="1036"/>
      <c r="U1087" s="1036"/>
      <c r="V1087" s="1036"/>
      <c r="W1087" s="1036"/>
      <c r="X1087" s="1036"/>
      <c r="Y1087" s="1036"/>
      <c r="Z1087" s="1036"/>
    </row>
    <row r="1088" spans="1:26" ht="38.25">
      <c r="A1088" s="1079">
        <v>91884</v>
      </c>
      <c r="B1088" s="1080" t="s">
        <v>14476</v>
      </c>
      <c r="C1088" s="1080" t="s">
        <v>7810</v>
      </c>
      <c r="D1088" s="1081" t="s">
        <v>6</v>
      </c>
      <c r="E1088" s="1082">
        <v>23</v>
      </c>
      <c r="F1088" s="1083">
        <v>13.68</v>
      </c>
      <c r="G1088" s="1083">
        <v>314.64</v>
      </c>
      <c r="H1088" s="1084">
        <f t="shared" si="12"/>
        <v>2.1370423012879936E-5</v>
      </c>
      <c r="I1088" s="1085">
        <f t="shared" si="14"/>
        <v>0.99579448223393663</v>
      </c>
      <c r="J1088" s="1085" t="str">
        <f t="shared" si="13"/>
        <v>C</v>
      </c>
      <c r="K1088" s="1036"/>
      <c r="L1088" s="1036"/>
      <c r="M1088" s="1036"/>
      <c r="N1088" s="1036"/>
      <c r="O1088" s="1036"/>
      <c r="P1088" s="1036"/>
      <c r="Q1088" s="1036"/>
      <c r="R1088" s="1036"/>
      <c r="S1088" s="1036"/>
      <c r="T1088" s="1036"/>
      <c r="U1088" s="1036"/>
      <c r="V1088" s="1036"/>
      <c r="W1088" s="1036"/>
      <c r="X1088" s="1036"/>
      <c r="Y1088" s="1036"/>
      <c r="Z1088" s="1036"/>
    </row>
    <row r="1089" spans="1:26" ht="51">
      <c r="A1089" s="1079">
        <v>97667</v>
      </c>
      <c r="B1089" s="1080" t="s">
        <v>14476</v>
      </c>
      <c r="C1089" s="1080" t="s">
        <v>7797</v>
      </c>
      <c r="D1089" s="1081" t="s">
        <v>50</v>
      </c>
      <c r="E1089" s="1082">
        <v>32</v>
      </c>
      <c r="F1089" s="1083">
        <v>9.81</v>
      </c>
      <c r="G1089" s="1083">
        <v>313.92</v>
      </c>
      <c r="H1089" s="1084">
        <f t="shared" si="12"/>
        <v>2.1321520443056413E-5</v>
      </c>
      <c r="I1089" s="1085">
        <f t="shared" si="14"/>
        <v>0.99581580375437972</v>
      </c>
      <c r="J1089" s="1085" t="str">
        <f t="shared" si="13"/>
        <v>C</v>
      </c>
      <c r="K1089" s="1036"/>
      <c r="L1089" s="1036"/>
      <c r="M1089" s="1036"/>
      <c r="N1089" s="1036"/>
      <c r="O1089" s="1036"/>
      <c r="P1089" s="1036"/>
      <c r="Q1089" s="1036"/>
      <c r="R1089" s="1036"/>
      <c r="S1089" s="1036"/>
      <c r="T1089" s="1036"/>
      <c r="U1089" s="1036"/>
      <c r="V1089" s="1036"/>
      <c r="W1089" s="1036"/>
      <c r="X1089" s="1036"/>
      <c r="Y1089" s="1036"/>
      <c r="Z1089" s="1036"/>
    </row>
    <row r="1090" spans="1:26" ht="51">
      <c r="A1090" s="1079">
        <v>89753</v>
      </c>
      <c r="B1090" s="1080" t="s">
        <v>14476</v>
      </c>
      <c r="C1090" s="1080" t="s">
        <v>8964</v>
      </c>
      <c r="D1090" s="1081" t="s">
        <v>6</v>
      </c>
      <c r="E1090" s="1082">
        <v>28</v>
      </c>
      <c r="F1090" s="1083">
        <v>11.17</v>
      </c>
      <c r="G1090" s="1083">
        <v>312.76</v>
      </c>
      <c r="H1090" s="1084">
        <f t="shared" si="12"/>
        <v>2.1242732969451844E-5</v>
      </c>
      <c r="I1090" s="1085">
        <f t="shared" si="14"/>
        <v>0.99583704648734916</v>
      </c>
      <c r="J1090" s="1085" t="str">
        <f t="shared" si="13"/>
        <v>C</v>
      </c>
      <c r="K1090" s="1036"/>
      <c r="L1090" s="1036"/>
      <c r="M1090" s="1036"/>
      <c r="N1090" s="1036"/>
      <c r="O1090" s="1036"/>
      <c r="P1090" s="1036"/>
      <c r="Q1090" s="1036"/>
      <c r="R1090" s="1036"/>
      <c r="S1090" s="1036"/>
      <c r="T1090" s="1036"/>
      <c r="U1090" s="1036"/>
      <c r="V1090" s="1036"/>
      <c r="W1090" s="1036"/>
      <c r="X1090" s="1036"/>
      <c r="Y1090" s="1036"/>
      <c r="Z1090" s="1036"/>
    </row>
    <row r="1091" spans="1:26" ht="38.25">
      <c r="A1091" s="1079">
        <v>92769</v>
      </c>
      <c r="B1091" s="1080" t="s">
        <v>14476</v>
      </c>
      <c r="C1091" s="1080" t="s">
        <v>7438</v>
      </c>
      <c r="D1091" s="1081" t="s">
        <v>54</v>
      </c>
      <c r="E1091" s="1082">
        <v>17.899999999999999</v>
      </c>
      <c r="F1091" s="1083">
        <v>17.47</v>
      </c>
      <c r="G1091" s="1083">
        <v>312.70999999999998</v>
      </c>
      <c r="H1091" s="1084">
        <f t="shared" si="12"/>
        <v>2.1239336957658544E-5</v>
      </c>
      <c r="I1091" s="1085">
        <f t="shared" si="14"/>
        <v>0.9958582858243068</v>
      </c>
      <c r="J1091" s="1085" t="str">
        <f t="shared" si="13"/>
        <v>C</v>
      </c>
      <c r="K1091" s="1036"/>
      <c r="L1091" s="1036"/>
      <c r="M1091" s="1036"/>
      <c r="N1091" s="1036"/>
      <c r="O1091" s="1036"/>
      <c r="P1091" s="1036"/>
      <c r="Q1091" s="1036"/>
      <c r="R1091" s="1036"/>
      <c r="S1091" s="1036"/>
      <c r="T1091" s="1036"/>
      <c r="U1091" s="1036"/>
      <c r="V1091" s="1036"/>
      <c r="W1091" s="1036"/>
      <c r="X1091" s="1036"/>
      <c r="Y1091" s="1036"/>
      <c r="Z1091" s="1036"/>
    </row>
    <row r="1092" spans="1:26" ht="38.25">
      <c r="A1092" s="1079">
        <v>89554</v>
      </c>
      <c r="B1092" s="1080" t="s">
        <v>14476</v>
      </c>
      <c r="C1092" s="1080" t="s">
        <v>8801</v>
      </c>
      <c r="D1092" s="1081" t="s">
        <v>6</v>
      </c>
      <c r="E1092" s="1082">
        <v>9</v>
      </c>
      <c r="F1092" s="1083">
        <v>34.6</v>
      </c>
      <c r="G1092" s="1083">
        <v>311.39999999999998</v>
      </c>
      <c r="H1092" s="1084">
        <f t="shared" si="12"/>
        <v>2.1150361448674077E-5</v>
      </c>
      <c r="I1092" s="1085">
        <f t="shared" si="14"/>
        <v>0.99587943618575547</v>
      </c>
      <c r="J1092" s="1085" t="str">
        <f t="shared" si="13"/>
        <v>C</v>
      </c>
      <c r="K1092" s="1036"/>
      <c r="L1092" s="1036"/>
      <c r="M1092" s="1036"/>
      <c r="N1092" s="1036"/>
      <c r="O1092" s="1036"/>
      <c r="P1092" s="1036"/>
      <c r="Q1092" s="1036"/>
      <c r="R1092" s="1036"/>
      <c r="S1092" s="1036"/>
      <c r="T1092" s="1036"/>
      <c r="U1092" s="1036"/>
      <c r="V1092" s="1036"/>
      <c r="W1092" s="1036"/>
      <c r="X1092" s="1036"/>
      <c r="Y1092" s="1036"/>
      <c r="Z1092" s="1036"/>
    </row>
    <row r="1093" spans="1:26" ht="51">
      <c r="A1093" s="1079">
        <v>89797</v>
      </c>
      <c r="B1093" s="1080" t="s">
        <v>14476</v>
      </c>
      <c r="C1093" s="1080" t="s">
        <v>9003</v>
      </c>
      <c r="D1093" s="1081" t="s">
        <v>6</v>
      </c>
      <c r="E1093" s="1082">
        <v>5</v>
      </c>
      <c r="F1093" s="1083">
        <v>61.86</v>
      </c>
      <c r="G1093" s="1083">
        <v>309.3</v>
      </c>
      <c r="H1093" s="1084">
        <f t="shared" si="12"/>
        <v>2.1007728953355469E-5</v>
      </c>
      <c r="I1093" s="1085">
        <f t="shared" si="14"/>
        <v>0.99590044391470878</v>
      </c>
      <c r="J1093" s="1085" t="str">
        <f t="shared" si="13"/>
        <v>C</v>
      </c>
      <c r="K1093" s="1036"/>
      <c r="L1093" s="1036"/>
      <c r="M1093" s="1036"/>
      <c r="N1093" s="1036"/>
      <c r="O1093" s="1036"/>
      <c r="P1093" s="1036"/>
      <c r="Q1093" s="1036"/>
      <c r="R1093" s="1036"/>
      <c r="S1093" s="1036"/>
      <c r="T1093" s="1036"/>
      <c r="U1093" s="1036"/>
      <c r="V1093" s="1036"/>
      <c r="W1093" s="1036"/>
      <c r="X1093" s="1036"/>
      <c r="Y1093" s="1036"/>
      <c r="Z1093" s="1036"/>
    </row>
    <row r="1094" spans="1:26" ht="38.25">
      <c r="A1094" s="1079">
        <v>91871</v>
      </c>
      <c r="B1094" s="1080" t="s">
        <v>14476</v>
      </c>
      <c r="C1094" s="1080" t="s">
        <v>7786</v>
      </c>
      <c r="D1094" s="1081" t="s">
        <v>50</v>
      </c>
      <c r="E1094" s="1082">
        <v>18</v>
      </c>
      <c r="F1094" s="1083">
        <v>17.149999999999999</v>
      </c>
      <c r="G1094" s="1083">
        <v>308.7</v>
      </c>
      <c r="H1094" s="1084">
        <f t="shared" si="12"/>
        <v>2.0966976811835864E-5</v>
      </c>
      <c r="I1094" s="1085">
        <f t="shared" si="14"/>
        <v>0.99592141089152064</v>
      </c>
      <c r="J1094" s="1085" t="str">
        <f t="shared" si="13"/>
        <v>C</v>
      </c>
      <c r="K1094" s="1036"/>
      <c r="L1094" s="1036"/>
      <c r="M1094" s="1036"/>
      <c r="N1094" s="1036"/>
      <c r="O1094" s="1036"/>
      <c r="P1094" s="1036"/>
      <c r="Q1094" s="1036"/>
      <c r="R1094" s="1036"/>
      <c r="S1094" s="1036"/>
      <c r="T1094" s="1036"/>
      <c r="U1094" s="1036"/>
      <c r="V1094" s="1036"/>
      <c r="W1094" s="1036"/>
      <c r="X1094" s="1036"/>
      <c r="Y1094" s="1036"/>
      <c r="Z1094" s="1036"/>
    </row>
    <row r="1095" spans="1:26" ht="25.5">
      <c r="A1095" s="1079" t="s">
        <v>15275</v>
      </c>
      <c r="B1095" s="1080" t="s">
        <v>14472</v>
      </c>
      <c r="C1095" s="1080" t="s">
        <v>15276</v>
      </c>
      <c r="D1095" s="1081" t="s">
        <v>6</v>
      </c>
      <c r="E1095" s="1082">
        <v>1</v>
      </c>
      <c r="F1095" s="1083">
        <v>300.64999999999998</v>
      </c>
      <c r="G1095" s="1083">
        <v>300.64999999999998</v>
      </c>
      <c r="H1095" s="1084">
        <f t="shared" si="12"/>
        <v>2.0420218913114518E-5</v>
      </c>
      <c r="I1095" s="1085">
        <f t="shared" si="14"/>
        <v>0.99594183111043377</v>
      </c>
      <c r="J1095" s="1085" t="str">
        <f t="shared" si="13"/>
        <v>C</v>
      </c>
      <c r="K1095" s="1036"/>
      <c r="L1095" s="1036"/>
      <c r="M1095" s="1036"/>
      <c r="N1095" s="1036"/>
      <c r="O1095" s="1036"/>
      <c r="P1095" s="1036"/>
      <c r="Q1095" s="1036"/>
      <c r="R1095" s="1036"/>
      <c r="S1095" s="1036"/>
      <c r="T1095" s="1036"/>
      <c r="U1095" s="1036"/>
      <c r="V1095" s="1036"/>
      <c r="W1095" s="1036"/>
      <c r="X1095" s="1036"/>
      <c r="Y1095" s="1036"/>
      <c r="Z1095" s="1036"/>
    </row>
    <row r="1096" spans="1:26" ht="25.5">
      <c r="A1096" s="1079" t="s">
        <v>15275</v>
      </c>
      <c r="B1096" s="1080" t="s">
        <v>14472</v>
      </c>
      <c r="C1096" s="1080" t="s">
        <v>15276</v>
      </c>
      <c r="D1096" s="1081" t="s">
        <v>6</v>
      </c>
      <c r="E1096" s="1082">
        <v>1</v>
      </c>
      <c r="F1096" s="1083">
        <v>300.64999999999998</v>
      </c>
      <c r="G1096" s="1083">
        <v>300.64999999999998</v>
      </c>
      <c r="H1096" s="1084">
        <f t="shared" si="12"/>
        <v>2.0420218913114518E-5</v>
      </c>
      <c r="I1096" s="1085">
        <f t="shared" si="14"/>
        <v>0.9959622513293469</v>
      </c>
      <c r="J1096" s="1085" t="str">
        <f t="shared" si="13"/>
        <v>C</v>
      </c>
      <c r="K1096" s="1036"/>
      <c r="L1096" s="1036"/>
      <c r="M1096" s="1036"/>
      <c r="N1096" s="1036"/>
      <c r="O1096" s="1036"/>
      <c r="P1096" s="1036"/>
      <c r="Q1096" s="1036"/>
      <c r="R1096" s="1036"/>
      <c r="S1096" s="1036"/>
      <c r="T1096" s="1036"/>
      <c r="U1096" s="1036"/>
      <c r="V1096" s="1036"/>
      <c r="W1096" s="1036"/>
      <c r="X1096" s="1036"/>
      <c r="Y1096" s="1036"/>
      <c r="Z1096" s="1036"/>
    </row>
    <row r="1097" spans="1:26" ht="51">
      <c r="A1097" s="1079">
        <v>97905</v>
      </c>
      <c r="B1097" s="1080" t="s">
        <v>14476</v>
      </c>
      <c r="C1097" s="1080" t="s">
        <v>10016</v>
      </c>
      <c r="D1097" s="1081" t="s">
        <v>6</v>
      </c>
      <c r="E1097" s="1082">
        <v>1</v>
      </c>
      <c r="F1097" s="1083">
        <v>300.43</v>
      </c>
      <c r="G1097" s="1083">
        <v>300.43</v>
      </c>
      <c r="H1097" s="1084">
        <f t="shared" si="12"/>
        <v>2.0405276461223999E-5</v>
      </c>
      <c r="I1097" s="1085">
        <f t="shared" si="14"/>
        <v>0.99598265660580809</v>
      </c>
      <c r="J1097" s="1085" t="str">
        <f t="shared" si="13"/>
        <v>C</v>
      </c>
      <c r="K1097" s="1036"/>
      <c r="L1097" s="1036"/>
      <c r="M1097" s="1036"/>
      <c r="N1097" s="1036"/>
      <c r="O1097" s="1036"/>
      <c r="P1097" s="1036"/>
      <c r="Q1097" s="1036"/>
      <c r="R1097" s="1036"/>
      <c r="S1097" s="1036"/>
      <c r="T1097" s="1036"/>
      <c r="U1097" s="1036"/>
      <c r="V1097" s="1036"/>
      <c r="W1097" s="1036"/>
      <c r="X1097" s="1036"/>
      <c r="Y1097" s="1036"/>
      <c r="Z1097" s="1036"/>
    </row>
    <row r="1098" spans="1:26" ht="25.5">
      <c r="A1098" s="1079">
        <v>94499</v>
      </c>
      <c r="B1098" s="1080" t="s">
        <v>14476</v>
      </c>
      <c r="C1098" s="1080" t="s">
        <v>10256</v>
      </c>
      <c r="D1098" s="1081" t="s">
        <v>6</v>
      </c>
      <c r="E1098" s="1082">
        <v>1</v>
      </c>
      <c r="F1098" s="1083">
        <v>296.22000000000003</v>
      </c>
      <c r="G1098" s="1083">
        <v>296.22000000000003</v>
      </c>
      <c r="H1098" s="1084">
        <f t="shared" si="12"/>
        <v>2.0119332268228117E-5</v>
      </c>
      <c r="I1098" s="1085">
        <f t="shared" si="14"/>
        <v>0.99600277593807629</v>
      </c>
      <c r="J1098" s="1085" t="str">
        <f t="shared" si="13"/>
        <v>C</v>
      </c>
      <c r="K1098" s="1036"/>
      <c r="L1098" s="1036"/>
      <c r="M1098" s="1036"/>
      <c r="N1098" s="1036"/>
      <c r="O1098" s="1036"/>
      <c r="P1098" s="1036"/>
      <c r="Q1098" s="1036"/>
      <c r="R1098" s="1036"/>
      <c r="S1098" s="1036"/>
      <c r="T1098" s="1036"/>
      <c r="U1098" s="1036"/>
      <c r="V1098" s="1036"/>
      <c r="W1098" s="1036"/>
      <c r="X1098" s="1036"/>
      <c r="Y1098" s="1036"/>
      <c r="Z1098" s="1036"/>
    </row>
    <row r="1099" spans="1:26" ht="51">
      <c r="A1099" s="1079">
        <v>104344</v>
      </c>
      <c r="B1099" s="1080" t="s">
        <v>14476</v>
      </c>
      <c r="C1099" s="1080" t="s">
        <v>9906</v>
      </c>
      <c r="D1099" s="1081" t="s">
        <v>6</v>
      </c>
      <c r="E1099" s="1082">
        <v>6</v>
      </c>
      <c r="F1099" s="1083">
        <v>49.23</v>
      </c>
      <c r="G1099" s="1083">
        <v>295.38</v>
      </c>
      <c r="H1099" s="1084">
        <f t="shared" si="12"/>
        <v>2.0062279270100672E-5</v>
      </c>
      <c r="I1099" s="1085">
        <f t="shared" si="14"/>
        <v>0.99602283821734638</v>
      </c>
      <c r="J1099" s="1085" t="str">
        <f t="shared" si="13"/>
        <v>C</v>
      </c>
      <c r="K1099" s="1036"/>
      <c r="L1099" s="1036"/>
      <c r="M1099" s="1036"/>
      <c r="N1099" s="1036"/>
      <c r="O1099" s="1036"/>
      <c r="P1099" s="1036"/>
      <c r="Q1099" s="1036"/>
      <c r="R1099" s="1036"/>
      <c r="S1099" s="1036"/>
      <c r="T1099" s="1036"/>
      <c r="U1099" s="1036"/>
      <c r="V1099" s="1036"/>
      <c r="W1099" s="1036"/>
      <c r="X1099" s="1036"/>
      <c r="Y1099" s="1036"/>
      <c r="Z1099" s="1036"/>
    </row>
    <row r="1100" spans="1:26" ht="51">
      <c r="A1100" s="1079">
        <v>104344</v>
      </c>
      <c r="B1100" s="1080" t="s">
        <v>14476</v>
      </c>
      <c r="C1100" s="1080" t="s">
        <v>9906</v>
      </c>
      <c r="D1100" s="1081" t="s">
        <v>6</v>
      </c>
      <c r="E1100" s="1082">
        <v>6</v>
      </c>
      <c r="F1100" s="1083">
        <v>49.23</v>
      </c>
      <c r="G1100" s="1083">
        <v>295.38</v>
      </c>
      <c r="H1100" s="1084">
        <f t="shared" si="12"/>
        <v>2.0062279270100672E-5</v>
      </c>
      <c r="I1100" s="1085">
        <f t="shared" si="14"/>
        <v>0.99604290049661648</v>
      </c>
      <c r="J1100" s="1085" t="str">
        <f t="shared" si="13"/>
        <v>C</v>
      </c>
      <c r="K1100" s="1036"/>
      <c r="L1100" s="1036"/>
      <c r="M1100" s="1036"/>
      <c r="N1100" s="1036"/>
      <c r="O1100" s="1036"/>
      <c r="P1100" s="1036"/>
      <c r="Q1100" s="1036"/>
      <c r="R1100" s="1036"/>
      <c r="S1100" s="1036"/>
      <c r="T1100" s="1036"/>
      <c r="U1100" s="1036"/>
      <c r="V1100" s="1036"/>
      <c r="W1100" s="1036"/>
      <c r="X1100" s="1036"/>
      <c r="Y1100" s="1036"/>
      <c r="Z1100" s="1036"/>
    </row>
    <row r="1101" spans="1:26" ht="38.25">
      <c r="A1101" s="1079">
        <v>98563</v>
      </c>
      <c r="B1101" s="1080" t="s">
        <v>14476</v>
      </c>
      <c r="C1101" s="1080" t="s">
        <v>7742</v>
      </c>
      <c r="D1101" s="1081" t="s">
        <v>409</v>
      </c>
      <c r="E1101" s="1082">
        <v>6.24</v>
      </c>
      <c r="F1101" s="1083">
        <v>47.23</v>
      </c>
      <c r="G1101" s="1083">
        <v>294.70999999999998</v>
      </c>
      <c r="H1101" s="1084">
        <f t="shared" si="12"/>
        <v>2.0016772712070449E-5</v>
      </c>
      <c r="I1101" s="1085">
        <f t="shared" si="14"/>
        <v>0.9960629172693285</v>
      </c>
      <c r="J1101" s="1085" t="str">
        <f t="shared" si="13"/>
        <v>C</v>
      </c>
      <c r="K1101" s="1036"/>
      <c r="L1101" s="1036"/>
      <c r="M1101" s="1036"/>
      <c r="N1101" s="1036"/>
      <c r="O1101" s="1036"/>
      <c r="P1101" s="1036"/>
      <c r="Q1101" s="1036"/>
      <c r="R1101" s="1036"/>
      <c r="S1101" s="1036"/>
      <c r="T1101" s="1036"/>
      <c r="U1101" s="1036"/>
      <c r="V1101" s="1036"/>
      <c r="W1101" s="1036"/>
      <c r="X1101" s="1036"/>
      <c r="Y1101" s="1036"/>
      <c r="Z1101" s="1036"/>
    </row>
    <row r="1102" spans="1:26" ht="38.25">
      <c r="A1102" s="1079" t="s">
        <v>15135</v>
      </c>
      <c r="B1102" s="1080" t="s">
        <v>14472</v>
      </c>
      <c r="C1102" s="1080" t="s">
        <v>15136</v>
      </c>
      <c r="D1102" s="1081" t="s">
        <v>50</v>
      </c>
      <c r="E1102" s="1082">
        <v>9</v>
      </c>
      <c r="F1102" s="1083">
        <v>32.68</v>
      </c>
      <c r="G1102" s="1083">
        <v>294.12</v>
      </c>
      <c r="H1102" s="1084">
        <f t="shared" si="12"/>
        <v>1.9976699772909506E-5</v>
      </c>
      <c r="I1102" s="1085">
        <f t="shared" si="14"/>
        <v>0.99608289396910143</v>
      </c>
      <c r="J1102" s="1085" t="str">
        <f t="shared" si="13"/>
        <v>C</v>
      </c>
      <c r="K1102" s="1036"/>
      <c r="L1102" s="1036"/>
      <c r="M1102" s="1036"/>
      <c r="N1102" s="1036"/>
      <c r="O1102" s="1036"/>
      <c r="P1102" s="1036"/>
      <c r="Q1102" s="1036"/>
      <c r="R1102" s="1036"/>
      <c r="S1102" s="1036"/>
      <c r="T1102" s="1036"/>
      <c r="U1102" s="1036"/>
      <c r="V1102" s="1036"/>
      <c r="W1102" s="1036"/>
      <c r="X1102" s="1036"/>
      <c r="Y1102" s="1036"/>
      <c r="Z1102" s="1036"/>
    </row>
    <row r="1103" spans="1:26" ht="38.25">
      <c r="A1103" s="1079">
        <v>92763</v>
      </c>
      <c r="B1103" s="1080" t="s">
        <v>14476</v>
      </c>
      <c r="C1103" s="1080" t="s">
        <v>7432</v>
      </c>
      <c r="D1103" s="1081" t="s">
        <v>54</v>
      </c>
      <c r="E1103" s="1082">
        <v>22.3</v>
      </c>
      <c r="F1103" s="1083">
        <v>13.11</v>
      </c>
      <c r="G1103" s="1083">
        <v>292.35000000000002</v>
      </c>
      <c r="H1103" s="1084">
        <f t="shared" si="12"/>
        <v>1.9856480955426677E-5</v>
      </c>
      <c r="I1103" s="1085">
        <f t="shared" si="14"/>
        <v>0.99610275045005681</v>
      </c>
      <c r="J1103" s="1085" t="str">
        <f t="shared" si="13"/>
        <v>C</v>
      </c>
      <c r="K1103" s="1036"/>
      <c r="L1103" s="1036"/>
      <c r="M1103" s="1036"/>
      <c r="N1103" s="1036"/>
      <c r="O1103" s="1036"/>
      <c r="P1103" s="1036"/>
      <c r="Q1103" s="1036"/>
      <c r="R1103" s="1036"/>
      <c r="S1103" s="1036"/>
      <c r="T1103" s="1036"/>
      <c r="U1103" s="1036"/>
      <c r="V1103" s="1036"/>
      <c r="W1103" s="1036"/>
      <c r="X1103" s="1036"/>
      <c r="Y1103" s="1036"/>
      <c r="Z1103" s="1036"/>
    </row>
    <row r="1104" spans="1:26" ht="25.5">
      <c r="A1104" s="1079" t="s">
        <v>15145</v>
      </c>
      <c r="B1104" s="1080" t="s">
        <v>14472</v>
      </c>
      <c r="C1104" s="1080" t="s">
        <v>15146</v>
      </c>
      <c r="D1104" s="1081" t="s">
        <v>6</v>
      </c>
      <c r="E1104" s="1082">
        <v>25</v>
      </c>
      <c r="F1104" s="1083">
        <v>11.68</v>
      </c>
      <c r="G1104" s="1083">
        <v>292</v>
      </c>
      <c r="H1104" s="1084">
        <f t="shared" si="12"/>
        <v>1.9832708872873574E-5</v>
      </c>
      <c r="I1104" s="1085">
        <f t="shared" si="14"/>
        <v>0.99612258315892965</v>
      </c>
      <c r="J1104" s="1085" t="str">
        <f t="shared" si="13"/>
        <v>C</v>
      </c>
      <c r="K1104" s="1036"/>
      <c r="L1104" s="1036"/>
      <c r="M1104" s="1036"/>
      <c r="N1104" s="1036"/>
      <c r="O1104" s="1036"/>
      <c r="P1104" s="1036"/>
      <c r="Q1104" s="1036"/>
      <c r="R1104" s="1036"/>
      <c r="S1104" s="1036"/>
      <c r="T1104" s="1036"/>
      <c r="U1104" s="1036"/>
      <c r="V1104" s="1036"/>
      <c r="W1104" s="1036"/>
      <c r="X1104" s="1036"/>
      <c r="Y1104" s="1036"/>
      <c r="Z1104" s="1036"/>
    </row>
    <row r="1105" spans="1:26" ht="25.5">
      <c r="A1105" s="1079" t="s">
        <v>15181</v>
      </c>
      <c r="B1105" s="1080" t="s">
        <v>14472</v>
      </c>
      <c r="C1105" s="1080" t="s">
        <v>16012</v>
      </c>
      <c r="D1105" s="1081" t="s">
        <v>6</v>
      </c>
      <c r="E1105" s="1082">
        <v>1</v>
      </c>
      <c r="F1105" s="1083">
        <v>285.77999999999997</v>
      </c>
      <c r="G1105" s="1083">
        <v>285.77999999999997</v>
      </c>
      <c r="H1105" s="1084">
        <f t="shared" si="12"/>
        <v>1.941024500578702E-5</v>
      </c>
      <c r="I1105" s="1085">
        <f t="shared" si="14"/>
        <v>0.99614199340393539</v>
      </c>
      <c r="J1105" s="1085" t="str">
        <f t="shared" si="13"/>
        <v>C</v>
      </c>
      <c r="K1105" s="1036"/>
      <c r="L1105" s="1036"/>
      <c r="M1105" s="1036"/>
      <c r="N1105" s="1036"/>
      <c r="O1105" s="1036"/>
      <c r="P1105" s="1036"/>
      <c r="Q1105" s="1036"/>
      <c r="R1105" s="1036"/>
      <c r="S1105" s="1036"/>
      <c r="T1105" s="1036"/>
      <c r="U1105" s="1036"/>
      <c r="V1105" s="1036"/>
      <c r="W1105" s="1036"/>
      <c r="X1105" s="1036"/>
      <c r="Y1105" s="1036"/>
      <c r="Z1105" s="1036"/>
    </row>
    <row r="1106" spans="1:26" ht="38.25">
      <c r="A1106" s="1079">
        <v>100852</v>
      </c>
      <c r="B1106" s="1080" t="s">
        <v>14476</v>
      </c>
      <c r="C1106" s="1080" t="s">
        <v>10161</v>
      </c>
      <c r="D1106" s="1081" t="s">
        <v>6</v>
      </c>
      <c r="E1106" s="1082">
        <v>1</v>
      </c>
      <c r="F1106" s="1083">
        <v>284.68</v>
      </c>
      <c r="G1106" s="1083">
        <v>284.68</v>
      </c>
      <c r="H1106" s="1084">
        <f t="shared" si="12"/>
        <v>1.9335532746334417E-5</v>
      </c>
      <c r="I1106" s="1085">
        <f t="shared" si="14"/>
        <v>0.99616132893668174</v>
      </c>
      <c r="J1106" s="1085" t="str">
        <f t="shared" si="13"/>
        <v>C</v>
      </c>
      <c r="K1106" s="1036"/>
      <c r="L1106" s="1036"/>
      <c r="M1106" s="1036"/>
      <c r="N1106" s="1036"/>
      <c r="O1106" s="1036"/>
      <c r="P1106" s="1036"/>
      <c r="Q1106" s="1036"/>
      <c r="R1106" s="1036"/>
      <c r="S1106" s="1036"/>
      <c r="T1106" s="1036"/>
      <c r="U1106" s="1036"/>
      <c r="V1106" s="1036"/>
      <c r="W1106" s="1036"/>
      <c r="X1106" s="1036"/>
      <c r="Y1106" s="1036"/>
      <c r="Z1106" s="1036"/>
    </row>
    <row r="1107" spans="1:26" ht="25.5">
      <c r="A1107" s="1079" t="s">
        <v>15268</v>
      </c>
      <c r="B1107" s="1080" t="s">
        <v>14472</v>
      </c>
      <c r="C1107" s="1080" t="s">
        <v>15269</v>
      </c>
      <c r="D1107" s="1081" t="s">
        <v>6</v>
      </c>
      <c r="E1107" s="1082">
        <v>1</v>
      </c>
      <c r="F1107" s="1083">
        <v>284.64999999999998</v>
      </c>
      <c r="G1107" s="1083">
        <v>284.64999999999998</v>
      </c>
      <c r="H1107" s="1084">
        <f t="shared" si="12"/>
        <v>1.9333495139258434E-5</v>
      </c>
      <c r="I1107" s="1085">
        <f t="shared" si="14"/>
        <v>0.99618066243182102</v>
      </c>
      <c r="J1107" s="1085" t="str">
        <f t="shared" si="13"/>
        <v>C</v>
      </c>
      <c r="K1107" s="1036"/>
      <c r="L1107" s="1036"/>
      <c r="M1107" s="1036"/>
      <c r="N1107" s="1036"/>
      <c r="O1107" s="1036"/>
      <c r="P1107" s="1036"/>
      <c r="Q1107" s="1036"/>
      <c r="R1107" s="1036"/>
      <c r="S1107" s="1036"/>
      <c r="T1107" s="1036"/>
      <c r="U1107" s="1036"/>
      <c r="V1107" s="1036"/>
      <c r="W1107" s="1036"/>
      <c r="X1107" s="1036"/>
      <c r="Y1107" s="1036"/>
      <c r="Z1107" s="1036"/>
    </row>
    <row r="1108" spans="1:26" ht="25.5">
      <c r="A1108" s="1079" t="s">
        <v>15268</v>
      </c>
      <c r="B1108" s="1080" t="s">
        <v>14472</v>
      </c>
      <c r="C1108" s="1080" t="s">
        <v>15269</v>
      </c>
      <c r="D1108" s="1081" t="s">
        <v>6</v>
      </c>
      <c r="E1108" s="1082">
        <v>1</v>
      </c>
      <c r="F1108" s="1083">
        <v>284.64999999999998</v>
      </c>
      <c r="G1108" s="1083">
        <v>284.64999999999998</v>
      </c>
      <c r="H1108" s="1084">
        <f t="shared" si="12"/>
        <v>1.9333495139258434E-5</v>
      </c>
      <c r="I1108" s="1085">
        <f t="shared" si="14"/>
        <v>0.99619999592696029</v>
      </c>
      <c r="J1108" s="1085" t="str">
        <f t="shared" si="13"/>
        <v>C</v>
      </c>
      <c r="K1108" s="1036"/>
      <c r="L1108" s="1036"/>
      <c r="M1108" s="1036"/>
      <c r="N1108" s="1036"/>
      <c r="O1108" s="1036"/>
      <c r="P1108" s="1036"/>
      <c r="Q1108" s="1036"/>
      <c r="R1108" s="1036"/>
      <c r="S1108" s="1036"/>
      <c r="T1108" s="1036"/>
      <c r="U1108" s="1036"/>
      <c r="V1108" s="1036"/>
      <c r="W1108" s="1036"/>
      <c r="X1108" s="1036"/>
      <c r="Y1108" s="1036"/>
      <c r="Z1108" s="1036"/>
    </row>
    <row r="1109" spans="1:26" ht="63.75">
      <c r="A1109" s="1079">
        <v>100978</v>
      </c>
      <c r="B1109" s="1080" t="s">
        <v>14476</v>
      </c>
      <c r="C1109" s="1080" t="s">
        <v>11981</v>
      </c>
      <c r="D1109" s="1081" t="s">
        <v>152</v>
      </c>
      <c r="E1109" s="1082">
        <v>32.68</v>
      </c>
      <c r="F1109" s="1083">
        <v>8.66</v>
      </c>
      <c r="G1109" s="1083">
        <v>283.04000000000002</v>
      </c>
      <c r="H1109" s="1084">
        <f t="shared" si="12"/>
        <v>1.9224143559514168E-5</v>
      </c>
      <c r="I1109" s="1085">
        <f t="shared" si="14"/>
        <v>0.99621922007051977</v>
      </c>
      <c r="J1109" s="1085" t="str">
        <f t="shared" si="13"/>
        <v>C</v>
      </c>
      <c r="K1109" s="1036"/>
      <c r="L1109" s="1036"/>
      <c r="M1109" s="1036"/>
      <c r="N1109" s="1036"/>
      <c r="O1109" s="1036"/>
      <c r="P1109" s="1036"/>
      <c r="Q1109" s="1036"/>
      <c r="R1109" s="1036"/>
      <c r="S1109" s="1036"/>
      <c r="T1109" s="1036"/>
      <c r="U1109" s="1036"/>
      <c r="V1109" s="1036"/>
      <c r="W1109" s="1036"/>
      <c r="X1109" s="1036"/>
      <c r="Y1109" s="1036"/>
      <c r="Z1109" s="1036"/>
    </row>
    <row r="1110" spans="1:26" ht="25.5">
      <c r="A1110" s="1079" t="s">
        <v>14864</v>
      </c>
      <c r="B1110" s="1080" t="s">
        <v>14472</v>
      </c>
      <c r="C1110" s="1080" t="s">
        <v>16013</v>
      </c>
      <c r="D1110" s="1081" t="s">
        <v>6</v>
      </c>
      <c r="E1110" s="1082">
        <v>9</v>
      </c>
      <c r="F1110" s="1083">
        <v>31.4</v>
      </c>
      <c r="G1110" s="1083">
        <v>282.60000000000002</v>
      </c>
      <c r="H1110" s="1084">
        <f t="shared" si="12"/>
        <v>1.9194258655733126E-5</v>
      </c>
      <c r="I1110" s="1085">
        <f t="shared" si="14"/>
        <v>0.99623841432917548</v>
      </c>
      <c r="J1110" s="1085" t="str">
        <f t="shared" si="13"/>
        <v>C</v>
      </c>
      <c r="K1110" s="1036"/>
      <c r="L1110" s="1036"/>
      <c r="M1110" s="1036"/>
      <c r="N1110" s="1036"/>
      <c r="O1110" s="1036"/>
      <c r="P1110" s="1036"/>
      <c r="Q1110" s="1036"/>
      <c r="R1110" s="1036"/>
      <c r="S1110" s="1036"/>
      <c r="T1110" s="1036"/>
      <c r="U1110" s="1036"/>
      <c r="V1110" s="1036"/>
      <c r="W1110" s="1036"/>
      <c r="X1110" s="1036"/>
      <c r="Y1110" s="1036"/>
      <c r="Z1110" s="1036"/>
    </row>
    <row r="1111" spans="1:26" ht="38.25">
      <c r="A1111" s="1079">
        <v>91953</v>
      </c>
      <c r="B1111" s="1080" t="s">
        <v>14476</v>
      </c>
      <c r="C1111" s="1080" t="s">
        <v>8012</v>
      </c>
      <c r="D1111" s="1081" t="s">
        <v>6</v>
      </c>
      <c r="E1111" s="1082">
        <v>8</v>
      </c>
      <c r="F1111" s="1083">
        <v>35.25</v>
      </c>
      <c r="G1111" s="1083">
        <v>282</v>
      </c>
      <c r="H1111" s="1084">
        <f t="shared" si="12"/>
        <v>1.9153506514213521E-5</v>
      </c>
      <c r="I1111" s="1085">
        <f t="shared" si="14"/>
        <v>0.99625756783568975</v>
      </c>
      <c r="J1111" s="1085" t="str">
        <f t="shared" si="13"/>
        <v>C</v>
      </c>
      <c r="K1111" s="1036"/>
      <c r="L1111" s="1036"/>
      <c r="M1111" s="1036"/>
      <c r="N1111" s="1036"/>
      <c r="O1111" s="1036"/>
      <c r="P1111" s="1036"/>
      <c r="Q1111" s="1036"/>
      <c r="R1111" s="1036"/>
      <c r="S1111" s="1036"/>
      <c r="T1111" s="1036"/>
      <c r="U1111" s="1036"/>
      <c r="V1111" s="1036"/>
      <c r="W1111" s="1036"/>
      <c r="X1111" s="1036"/>
      <c r="Y1111" s="1036"/>
      <c r="Z1111" s="1036"/>
    </row>
    <row r="1112" spans="1:26" ht="25.5">
      <c r="A1112" s="1079" t="s">
        <v>15070</v>
      </c>
      <c r="B1112" s="1080" t="s">
        <v>14472</v>
      </c>
      <c r="C1112" s="1080" t="s">
        <v>16014</v>
      </c>
      <c r="D1112" s="1081" t="s">
        <v>6</v>
      </c>
      <c r="E1112" s="1082">
        <v>4</v>
      </c>
      <c r="F1112" s="1083">
        <v>70.47</v>
      </c>
      <c r="G1112" s="1083">
        <v>281.88</v>
      </c>
      <c r="H1112" s="1084">
        <f t="shared" si="12"/>
        <v>1.9145356085909599E-5</v>
      </c>
      <c r="I1112" s="1085">
        <f t="shared" si="14"/>
        <v>0.99627671319177569</v>
      </c>
      <c r="J1112" s="1085" t="str">
        <f t="shared" si="13"/>
        <v>C</v>
      </c>
      <c r="K1112" s="1036"/>
      <c r="L1112" s="1036"/>
      <c r="M1112" s="1036"/>
      <c r="N1112" s="1036"/>
      <c r="O1112" s="1036"/>
      <c r="P1112" s="1036"/>
      <c r="Q1112" s="1036"/>
      <c r="R1112" s="1036"/>
      <c r="S1112" s="1036"/>
      <c r="T1112" s="1036"/>
      <c r="U1112" s="1036"/>
      <c r="V1112" s="1036"/>
      <c r="W1112" s="1036"/>
      <c r="X1112" s="1036"/>
      <c r="Y1112" s="1036"/>
      <c r="Z1112" s="1036"/>
    </row>
    <row r="1113" spans="1:26" ht="25.5">
      <c r="A1113" s="1079" t="s">
        <v>15070</v>
      </c>
      <c r="B1113" s="1080" t="s">
        <v>14472</v>
      </c>
      <c r="C1113" s="1080" t="s">
        <v>16014</v>
      </c>
      <c r="D1113" s="1081" t="s">
        <v>6</v>
      </c>
      <c r="E1113" s="1082">
        <v>4</v>
      </c>
      <c r="F1113" s="1083">
        <v>70.47</v>
      </c>
      <c r="G1113" s="1083">
        <v>281.88</v>
      </c>
      <c r="H1113" s="1084">
        <f t="shared" si="12"/>
        <v>1.9145356085909599E-5</v>
      </c>
      <c r="I1113" s="1085">
        <f t="shared" si="14"/>
        <v>0.99629585854786162</v>
      </c>
      <c r="J1113" s="1085" t="str">
        <f t="shared" si="13"/>
        <v>C</v>
      </c>
      <c r="K1113" s="1036"/>
      <c r="L1113" s="1036"/>
      <c r="M1113" s="1036"/>
      <c r="N1113" s="1036"/>
      <c r="O1113" s="1036"/>
      <c r="P1113" s="1036"/>
      <c r="Q1113" s="1036"/>
      <c r="R1113" s="1036"/>
      <c r="S1113" s="1036"/>
      <c r="T1113" s="1036"/>
      <c r="U1113" s="1036"/>
      <c r="V1113" s="1036"/>
      <c r="W1113" s="1036"/>
      <c r="X1113" s="1036"/>
      <c r="Y1113" s="1036"/>
      <c r="Z1113" s="1036"/>
    </row>
    <row r="1114" spans="1:26" ht="14.25">
      <c r="A1114" s="1079" t="s">
        <v>14769</v>
      </c>
      <c r="B1114" s="1080" t="s">
        <v>14472</v>
      </c>
      <c r="C1114" s="1080" t="s">
        <v>14770</v>
      </c>
      <c r="D1114" s="1081" t="s">
        <v>409</v>
      </c>
      <c r="E1114" s="1082">
        <v>67.5</v>
      </c>
      <c r="F1114" s="1083">
        <v>4.17</v>
      </c>
      <c r="G1114" s="1083">
        <v>281.47000000000003</v>
      </c>
      <c r="H1114" s="1084">
        <f t="shared" si="12"/>
        <v>1.9117508789204541E-5</v>
      </c>
      <c r="I1114" s="1085">
        <f t="shared" si="14"/>
        <v>0.99631497605665087</v>
      </c>
      <c r="J1114" s="1085" t="str">
        <f t="shared" si="13"/>
        <v>C</v>
      </c>
      <c r="K1114" s="1036"/>
      <c r="L1114" s="1036"/>
      <c r="M1114" s="1036"/>
      <c r="N1114" s="1036"/>
      <c r="O1114" s="1036"/>
      <c r="P1114" s="1036"/>
      <c r="Q1114" s="1036"/>
      <c r="R1114" s="1036"/>
      <c r="S1114" s="1036"/>
      <c r="T1114" s="1036"/>
      <c r="U1114" s="1036"/>
      <c r="V1114" s="1036"/>
      <c r="W1114" s="1036"/>
      <c r="X1114" s="1036"/>
      <c r="Y1114" s="1036"/>
      <c r="Z1114" s="1036"/>
    </row>
    <row r="1115" spans="1:26" ht="25.5">
      <c r="A1115" s="1079">
        <v>96985</v>
      </c>
      <c r="B1115" s="1080" t="s">
        <v>14476</v>
      </c>
      <c r="C1115" s="1080" t="s">
        <v>8265</v>
      </c>
      <c r="D1115" s="1081" t="s">
        <v>6</v>
      </c>
      <c r="E1115" s="1082">
        <v>3</v>
      </c>
      <c r="F1115" s="1083">
        <v>93.82</v>
      </c>
      <c r="G1115" s="1083">
        <v>281.45999999999998</v>
      </c>
      <c r="H1115" s="1084">
        <f t="shared" si="12"/>
        <v>1.9116829586845875E-5</v>
      </c>
      <c r="I1115" s="1085">
        <f t="shared" si="14"/>
        <v>0.99633409288623775</v>
      </c>
      <c r="J1115" s="1085" t="str">
        <f t="shared" si="13"/>
        <v>C</v>
      </c>
      <c r="K1115" s="1036"/>
      <c r="L1115" s="1036"/>
      <c r="M1115" s="1036"/>
      <c r="N1115" s="1036"/>
      <c r="O1115" s="1036"/>
      <c r="P1115" s="1036"/>
      <c r="Q1115" s="1036"/>
      <c r="R1115" s="1036"/>
      <c r="S1115" s="1036"/>
      <c r="T1115" s="1036"/>
      <c r="U1115" s="1036"/>
      <c r="V1115" s="1036"/>
      <c r="W1115" s="1036"/>
      <c r="X1115" s="1036"/>
      <c r="Y1115" s="1036"/>
      <c r="Z1115" s="1036"/>
    </row>
    <row r="1116" spans="1:26" ht="25.5">
      <c r="A1116" s="1079">
        <v>96985</v>
      </c>
      <c r="B1116" s="1080" t="s">
        <v>14476</v>
      </c>
      <c r="C1116" s="1080" t="s">
        <v>8265</v>
      </c>
      <c r="D1116" s="1081" t="s">
        <v>6</v>
      </c>
      <c r="E1116" s="1082">
        <v>3</v>
      </c>
      <c r="F1116" s="1083">
        <v>93.82</v>
      </c>
      <c r="G1116" s="1083">
        <v>281.45999999999998</v>
      </c>
      <c r="H1116" s="1084">
        <f t="shared" si="12"/>
        <v>1.9116829586845875E-5</v>
      </c>
      <c r="I1116" s="1085">
        <f t="shared" si="14"/>
        <v>0.99635320971582464</v>
      </c>
      <c r="J1116" s="1085" t="str">
        <f t="shared" si="13"/>
        <v>C</v>
      </c>
      <c r="K1116" s="1036"/>
      <c r="L1116" s="1036"/>
      <c r="M1116" s="1036"/>
      <c r="N1116" s="1036"/>
      <c r="O1116" s="1036"/>
      <c r="P1116" s="1036"/>
      <c r="Q1116" s="1036"/>
      <c r="R1116" s="1036"/>
      <c r="S1116" s="1036"/>
      <c r="T1116" s="1036"/>
      <c r="U1116" s="1036"/>
      <c r="V1116" s="1036"/>
      <c r="W1116" s="1036"/>
      <c r="X1116" s="1036"/>
      <c r="Y1116" s="1036"/>
      <c r="Z1116" s="1036"/>
    </row>
    <row r="1117" spans="1:26" ht="25.5">
      <c r="A1117" s="1079">
        <v>96985</v>
      </c>
      <c r="B1117" s="1080" t="s">
        <v>14476</v>
      </c>
      <c r="C1117" s="1080" t="s">
        <v>8265</v>
      </c>
      <c r="D1117" s="1081" t="s">
        <v>6</v>
      </c>
      <c r="E1117" s="1082">
        <v>3</v>
      </c>
      <c r="F1117" s="1083">
        <v>93.82</v>
      </c>
      <c r="G1117" s="1083">
        <v>281.45999999999998</v>
      </c>
      <c r="H1117" s="1084">
        <f t="shared" si="12"/>
        <v>1.9116829586845875E-5</v>
      </c>
      <c r="I1117" s="1085">
        <f t="shared" si="14"/>
        <v>0.99637232654541152</v>
      </c>
      <c r="J1117" s="1085" t="str">
        <f t="shared" si="13"/>
        <v>C</v>
      </c>
      <c r="K1117" s="1036"/>
      <c r="L1117" s="1036"/>
      <c r="M1117" s="1036"/>
      <c r="N1117" s="1036"/>
      <c r="O1117" s="1036"/>
      <c r="P1117" s="1036"/>
      <c r="Q1117" s="1036"/>
      <c r="R1117" s="1036"/>
      <c r="S1117" s="1036"/>
      <c r="T1117" s="1036"/>
      <c r="U1117" s="1036"/>
      <c r="V1117" s="1036"/>
      <c r="W1117" s="1036"/>
      <c r="X1117" s="1036"/>
      <c r="Y1117" s="1036"/>
      <c r="Z1117" s="1036"/>
    </row>
    <row r="1118" spans="1:26" ht="25.5">
      <c r="A1118" s="1079">
        <v>96985</v>
      </c>
      <c r="B1118" s="1080" t="s">
        <v>14476</v>
      </c>
      <c r="C1118" s="1080" t="s">
        <v>8265</v>
      </c>
      <c r="D1118" s="1081" t="s">
        <v>6</v>
      </c>
      <c r="E1118" s="1082">
        <v>3</v>
      </c>
      <c r="F1118" s="1083">
        <v>93.82</v>
      </c>
      <c r="G1118" s="1083">
        <v>281.45999999999998</v>
      </c>
      <c r="H1118" s="1084">
        <f t="shared" si="12"/>
        <v>1.9116829586845875E-5</v>
      </c>
      <c r="I1118" s="1085">
        <f t="shared" si="14"/>
        <v>0.99639144337499841</v>
      </c>
      <c r="J1118" s="1085" t="str">
        <f t="shared" si="13"/>
        <v>C</v>
      </c>
      <c r="K1118" s="1036"/>
      <c r="L1118" s="1036"/>
      <c r="M1118" s="1036"/>
      <c r="N1118" s="1036"/>
      <c r="O1118" s="1036"/>
      <c r="P1118" s="1036"/>
      <c r="Q1118" s="1036"/>
      <c r="R1118" s="1036"/>
      <c r="S1118" s="1036"/>
      <c r="T1118" s="1036"/>
      <c r="U1118" s="1036"/>
      <c r="V1118" s="1036"/>
      <c r="W1118" s="1036"/>
      <c r="X1118" s="1036"/>
      <c r="Y1118" s="1036"/>
      <c r="Z1118" s="1036"/>
    </row>
    <row r="1119" spans="1:26" ht="25.5">
      <c r="A1119" s="1079">
        <v>86881</v>
      </c>
      <c r="B1119" s="1080" t="s">
        <v>14476</v>
      </c>
      <c r="C1119" s="1080" t="s">
        <v>10091</v>
      </c>
      <c r="D1119" s="1081" t="s">
        <v>6</v>
      </c>
      <c r="E1119" s="1082">
        <v>1</v>
      </c>
      <c r="F1119" s="1083">
        <v>281.07</v>
      </c>
      <c r="G1119" s="1083">
        <v>281.07</v>
      </c>
      <c r="H1119" s="1084">
        <f t="shared" si="12"/>
        <v>1.9090340694858134E-5</v>
      </c>
      <c r="I1119" s="1085">
        <f t="shared" si="14"/>
        <v>0.99641053371569321</v>
      </c>
      <c r="J1119" s="1085" t="str">
        <f t="shared" si="13"/>
        <v>C</v>
      </c>
      <c r="K1119" s="1036"/>
      <c r="L1119" s="1036"/>
      <c r="M1119" s="1036"/>
      <c r="N1119" s="1036"/>
      <c r="O1119" s="1036"/>
      <c r="P1119" s="1036"/>
      <c r="Q1119" s="1036"/>
      <c r="R1119" s="1036"/>
      <c r="S1119" s="1036"/>
      <c r="T1119" s="1036"/>
      <c r="U1119" s="1036"/>
      <c r="V1119" s="1036"/>
      <c r="W1119" s="1036"/>
      <c r="X1119" s="1036"/>
      <c r="Y1119" s="1036"/>
      <c r="Z1119" s="1036"/>
    </row>
    <row r="1120" spans="1:26" ht="38.25">
      <c r="A1120" s="1079">
        <v>89402</v>
      </c>
      <c r="B1120" s="1080" t="s">
        <v>14476</v>
      </c>
      <c r="C1120" s="1080" t="s">
        <v>8422</v>
      </c>
      <c r="D1120" s="1081" t="s">
        <v>50</v>
      </c>
      <c r="E1120" s="1082">
        <v>20</v>
      </c>
      <c r="F1120" s="1083">
        <v>14</v>
      </c>
      <c r="G1120" s="1083">
        <v>280</v>
      </c>
      <c r="H1120" s="1084">
        <f t="shared" si="12"/>
        <v>1.9017666042481511E-5</v>
      </c>
      <c r="I1120" s="1085">
        <f t="shared" si="14"/>
        <v>0.99642955138173572</v>
      </c>
      <c r="J1120" s="1085" t="str">
        <f t="shared" si="13"/>
        <v>C</v>
      </c>
      <c r="K1120" s="1036"/>
      <c r="L1120" s="1036"/>
      <c r="M1120" s="1036"/>
      <c r="N1120" s="1036"/>
      <c r="O1120" s="1036"/>
      <c r="P1120" s="1036"/>
      <c r="Q1120" s="1036"/>
      <c r="R1120" s="1036"/>
      <c r="S1120" s="1036"/>
      <c r="T1120" s="1036"/>
      <c r="U1120" s="1036"/>
      <c r="V1120" s="1036"/>
      <c r="W1120" s="1036"/>
      <c r="X1120" s="1036"/>
      <c r="Y1120" s="1036"/>
      <c r="Z1120" s="1036"/>
    </row>
    <row r="1121" spans="1:26" ht="38.25">
      <c r="A1121" s="1079">
        <v>94696</v>
      </c>
      <c r="B1121" s="1080" t="s">
        <v>14476</v>
      </c>
      <c r="C1121" s="1080" t="s">
        <v>9392</v>
      </c>
      <c r="D1121" s="1081" t="s">
        <v>6</v>
      </c>
      <c r="E1121" s="1082">
        <v>5</v>
      </c>
      <c r="F1121" s="1083">
        <v>55.9</v>
      </c>
      <c r="G1121" s="1083">
        <v>279.5</v>
      </c>
      <c r="H1121" s="1084">
        <f t="shared" si="12"/>
        <v>1.8983705924548506E-5</v>
      </c>
      <c r="I1121" s="1085">
        <f t="shared" si="14"/>
        <v>0.99644853508766029</v>
      </c>
      <c r="J1121" s="1085" t="str">
        <f t="shared" si="13"/>
        <v>C</v>
      </c>
      <c r="K1121" s="1036"/>
      <c r="L1121" s="1036"/>
      <c r="M1121" s="1036"/>
      <c r="N1121" s="1036"/>
      <c r="O1121" s="1036"/>
      <c r="P1121" s="1036"/>
      <c r="Q1121" s="1036"/>
      <c r="R1121" s="1036"/>
      <c r="S1121" s="1036"/>
      <c r="T1121" s="1036"/>
      <c r="U1121" s="1036"/>
      <c r="V1121" s="1036"/>
      <c r="W1121" s="1036"/>
      <c r="X1121" s="1036"/>
      <c r="Y1121" s="1036"/>
      <c r="Z1121" s="1036"/>
    </row>
    <row r="1122" spans="1:26" ht="63.75">
      <c r="A1122" s="1079">
        <v>104341</v>
      </c>
      <c r="B1122" s="1080" t="s">
        <v>14476</v>
      </c>
      <c r="C1122" s="1080" t="s">
        <v>9904</v>
      </c>
      <c r="D1122" s="1081" t="s">
        <v>6</v>
      </c>
      <c r="E1122" s="1082">
        <v>21</v>
      </c>
      <c r="F1122" s="1083">
        <v>13.27</v>
      </c>
      <c r="G1122" s="1083">
        <v>278.67</v>
      </c>
      <c r="H1122" s="1084">
        <f t="shared" si="12"/>
        <v>1.8927332128779723E-5</v>
      </c>
      <c r="I1122" s="1085">
        <f t="shared" si="14"/>
        <v>0.99646746241978912</v>
      </c>
      <c r="J1122" s="1085" t="str">
        <f t="shared" si="13"/>
        <v>C</v>
      </c>
      <c r="K1122" s="1036"/>
      <c r="L1122" s="1036"/>
      <c r="M1122" s="1036"/>
      <c r="N1122" s="1036"/>
      <c r="O1122" s="1036"/>
      <c r="P1122" s="1036"/>
      <c r="Q1122" s="1036"/>
      <c r="R1122" s="1036"/>
      <c r="S1122" s="1036"/>
      <c r="T1122" s="1036"/>
      <c r="U1122" s="1036"/>
      <c r="V1122" s="1036"/>
      <c r="W1122" s="1036"/>
      <c r="X1122" s="1036"/>
      <c r="Y1122" s="1036"/>
      <c r="Z1122" s="1036"/>
    </row>
    <row r="1123" spans="1:26" ht="25.5">
      <c r="A1123" s="1079">
        <v>97596</v>
      </c>
      <c r="B1123" s="1080" t="s">
        <v>14476</v>
      </c>
      <c r="C1123" s="1080" t="s">
        <v>8097</v>
      </c>
      <c r="D1123" s="1081" t="s">
        <v>6</v>
      </c>
      <c r="E1123" s="1082">
        <v>3</v>
      </c>
      <c r="F1123" s="1083">
        <v>92</v>
      </c>
      <c r="G1123" s="1083">
        <v>276</v>
      </c>
      <c r="H1123" s="1084">
        <f t="shared" si="12"/>
        <v>1.874598509901749E-5</v>
      </c>
      <c r="I1123" s="1085">
        <f t="shared" si="14"/>
        <v>0.99648620840488811</v>
      </c>
      <c r="J1123" s="1085" t="str">
        <f t="shared" si="13"/>
        <v>C</v>
      </c>
      <c r="K1123" s="1036"/>
      <c r="L1123" s="1036"/>
      <c r="M1123" s="1036"/>
      <c r="N1123" s="1036"/>
      <c r="O1123" s="1036"/>
      <c r="P1123" s="1036"/>
      <c r="Q1123" s="1036"/>
      <c r="R1123" s="1036"/>
      <c r="S1123" s="1036"/>
      <c r="T1123" s="1036"/>
      <c r="U1123" s="1036"/>
      <c r="V1123" s="1036"/>
      <c r="W1123" s="1036"/>
      <c r="X1123" s="1036"/>
      <c r="Y1123" s="1036"/>
      <c r="Z1123" s="1036"/>
    </row>
    <row r="1124" spans="1:26" ht="38.25">
      <c r="A1124" s="1079" t="s">
        <v>15396</v>
      </c>
      <c r="B1124" s="1080" t="s">
        <v>14472</v>
      </c>
      <c r="C1124" s="1080" t="s">
        <v>15397</v>
      </c>
      <c r="D1124" s="1081" t="s">
        <v>6</v>
      </c>
      <c r="E1124" s="1082">
        <v>6</v>
      </c>
      <c r="F1124" s="1083">
        <v>45.7</v>
      </c>
      <c r="G1124" s="1083">
        <v>274.2</v>
      </c>
      <c r="H1124" s="1084">
        <f t="shared" si="12"/>
        <v>1.8623728674458677E-5</v>
      </c>
      <c r="I1124" s="1085">
        <f t="shared" si="14"/>
        <v>0.99650483213356256</v>
      </c>
      <c r="J1124" s="1085" t="str">
        <f t="shared" si="13"/>
        <v>C</v>
      </c>
      <c r="K1124" s="1036"/>
      <c r="L1124" s="1036"/>
      <c r="M1124" s="1036"/>
      <c r="N1124" s="1036"/>
      <c r="O1124" s="1036"/>
      <c r="P1124" s="1036"/>
      <c r="Q1124" s="1036"/>
      <c r="R1124" s="1036"/>
      <c r="S1124" s="1036"/>
      <c r="T1124" s="1036"/>
      <c r="U1124" s="1036"/>
      <c r="V1124" s="1036"/>
      <c r="W1124" s="1036"/>
      <c r="X1124" s="1036"/>
      <c r="Y1124" s="1036"/>
      <c r="Z1124" s="1036"/>
    </row>
    <row r="1125" spans="1:26" ht="38.25">
      <c r="A1125" s="1079">
        <v>89364</v>
      </c>
      <c r="B1125" s="1080" t="s">
        <v>14476</v>
      </c>
      <c r="C1125" s="1080" t="s">
        <v>8671</v>
      </c>
      <c r="D1125" s="1081" t="s">
        <v>6</v>
      </c>
      <c r="E1125" s="1082">
        <v>20</v>
      </c>
      <c r="F1125" s="1083">
        <v>13.66</v>
      </c>
      <c r="G1125" s="1083">
        <v>273.2</v>
      </c>
      <c r="H1125" s="1084">
        <f t="shared" si="12"/>
        <v>1.8555808438592672E-5</v>
      </c>
      <c r="I1125" s="1085">
        <f t="shared" si="14"/>
        <v>0.99652338794200113</v>
      </c>
      <c r="J1125" s="1085" t="str">
        <f t="shared" si="13"/>
        <v>C</v>
      </c>
      <c r="K1125" s="1036"/>
      <c r="L1125" s="1036"/>
      <c r="M1125" s="1036"/>
      <c r="N1125" s="1036"/>
      <c r="O1125" s="1036"/>
      <c r="P1125" s="1036"/>
      <c r="Q1125" s="1036"/>
      <c r="R1125" s="1036"/>
      <c r="S1125" s="1036"/>
      <c r="T1125" s="1036"/>
      <c r="U1125" s="1036"/>
      <c r="V1125" s="1036"/>
      <c r="W1125" s="1036"/>
      <c r="X1125" s="1036"/>
      <c r="Y1125" s="1036"/>
      <c r="Z1125" s="1036"/>
    </row>
    <row r="1126" spans="1:26" ht="14.25">
      <c r="A1126" s="1079" t="s">
        <v>14792</v>
      </c>
      <c r="B1126" s="1080" t="s">
        <v>14472</v>
      </c>
      <c r="C1126" s="1080" t="s">
        <v>14793</v>
      </c>
      <c r="D1126" s="1081" t="s">
        <v>50</v>
      </c>
      <c r="E1126" s="1082">
        <v>29.59</v>
      </c>
      <c r="F1126" s="1083">
        <v>9.16</v>
      </c>
      <c r="G1126" s="1083">
        <v>271.04000000000002</v>
      </c>
      <c r="H1126" s="1084">
        <f t="shared" si="12"/>
        <v>1.8409100729122102E-5</v>
      </c>
      <c r="I1126" s="1085">
        <f t="shared" si="14"/>
        <v>0.99654179704273027</v>
      </c>
      <c r="J1126" s="1085" t="str">
        <f t="shared" si="13"/>
        <v>C</v>
      </c>
      <c r="K1126" s="1036"/>
      <c r="L1126" s="1036"/>
      <c r="M1126" s="1036"/>
      <c r="N1126" s="1036"/>
      <c r="O1126" s="1036"/>
      <c r="P1126" s="1036"/>
      <c r="Q1126" s="1036"/>
      <c r="R1126" s="1036"/>
      <c r="S1126" s="1036"/>
      <c r="T1126" s="1036"/>
      <c r="U1126" s="1036"/>
      <c r="V1126" s="1036"/>
      <c r="W1126" s="1036"/>
      <c r="X1126" s="1036"/>
      <c r="Y1126" s="1036"/>
      <c r="Z1126" s="1036"/>
    </row>
    <row r="1127" spans="1:26" ht="38.25">
      <c r="A1127" s="1079">
        <v>89716</v>
      </c>
      <c r="B1127" s="1080" t="s">
        <v>14476</v>
      </c>
      <c r="C1127" s="1080" t="s">
        <v>8446</v>
      </c>
      <c r="D1127" s="1081" t="s">
        <v>50</v>
      </c>
      <c r="E1127" s="1082">
        <v>8.3000000000000007</v>
      </c>
      <c r="F1127" s="1083">
        <v>32.520000000000003</v>
      </c>
      <c r="G1127" s="1083">
        <v>269.91000000000003</v>
      </c>
      <c r="H1127" s="1084">
        <f t="shared" si="12"/>
        <v>1.8332350862593516E-5</v>
      </c>
      <c r="I1127" s="1085">
        <f t="shared" si="14"/>
        <v>0.99656012939359284</v>
      </c>
      <c r="J1127" s="1085" t="str">
        <f t="shared" si="13"/>
        <v>C</v>
      </c>
      <c r="K1127" s="1036"/>
      <c r="L1127" s="1036"/>
      <c r="M1127" s="1036"/>
      <c r="N1127" s="1036"/>
      <c r="O1127" s="1036"/>
      <c r="P1127" s="1036"/>
      <c r="Q1127" s="1036"/>
      <c r="R1127" s="1036"/>
      <c r="S1127" s="1036"/>
      <c r="T1127" s="1036"/>
      <c r="U1127" s="1036"/>
      <c r="V1127" s="1036"/>
      <c r="W1127" s="1036"/>
      <c r="X1127" s="1036"/>
      <c r="Y1127" s="1036"/>
      <c r="Z1127" s="1036"/>
    </row>
    <row r="1128" spans="1:26" ht="38.25">
      <c r="A1128" s="1079">
        <v>91992</v>
      </c>
      <c r="B1128" s="1080" t="s">
        <v>14476</v>
      </c>
      <c r="C1128" s="1080" t="s">
        <v>8051</v>
      </c>
      <c r="D1128" s="1081" t="s">
        <v>6</v>
      </c>
      <c r="E1128" s="1082">
        <v>5</v>
      </c>
      <c r="F1128" s="1083">
        <v>53.35</v>
      </c>
      <c r="G1128" s="1083">
        <v>266.75</v>
      </c>
      <c r="H1128" s="1084">
        <f t="shared" si="12"/>
        <v>1.8117722917256937E-5</v>
      </c>
      <c r="I1128" s="1085">
        <f t="shared" si="14"/>
        <v>0.99657824711651011</v>
      </c>
      <c r="J1128" s="1085" t="str">
        <f t="shared" si="13"/>
        <v>C</v>
      </c>
      <c r="K1128" s="1036"/>
      <c r="L1128" s="1036"/>
      <c r="M1128" s="1036"/>
      <c r="N1128" s="1036"/>
      <c r="O1128" s="1036"/>
      <c r="P1128" s="1036"/>
      <c r="Q1128" s="1036"/>
      <c r="R1128" s="1036"/>
      <c r="S1128" s="1036"/>
      <c r="T1128" s="1036"/>
      <c r="U1128" s="1036"/>
      <c r="V1128" s="1036"/>
      <c r="W1128" s="1036"/>
      <c r="X1128" s="1036"/>
      <c r="Y1128" s="1036"/>
      <c r="Z1128" s="1036"/>
    </row>
    <row r="1129" spans="1:26" ht="38.25">
      <c r="A1129" s="1079">
        <v>104918</v>
      </c>
      <c r="B1129" s="1080" t="s">
        <v>14476</v>
      </c>
      <c r="C1129" s="1080" t="s">
        <v>7515</v>
      </c>
      <c r="D1129" s="1081" t="s">
        <v>54</v>
      </c>
      <c r="E1129" s="1082">
        <v>13.7</v>
      </c>
      <c r="F1129" s="1083">
        <v>19.420000000000002</v>
      </c>
      <c r="G1129" s="1083">
        <v>266.05</v>
      </c>
      <c r="H1129" s="1084">
        <f t="shared" si="12"/>
        <v>1.8070178752150734E-5</v>
      </c>
      <c r="I1129" s="1085">
        <f t="shared" si="14"/>
        <v>0.99659631729526221</v>
      </c>
      <c r="J1129" s="1085" t="str">
        <f t="shared" si="13"/>
        <v>C</v>
      </c>
      <c r="K1129" s="1036"/>
      <c r="L1129" s="1036"/>
      <c r="M1129" s="1036"/>
      <c r="N1129" s="1036"/>
      <c r="O1129" s="1036"/>
      <c r="P1129" s="1036"/>
      <c r="Q1129" s="1036"/>
      <c r="R1129" s="1036"/>
      <c r="S1129" s="1036"/>
      <c r="T1129" s="1036"/>
      <c r="U1129" s="1036"/>
      <c r="V1129" s="1036"/>
      <c r="W1129" s="1036"/>
      <c r="X1129" s="1036"/>
      <c r="Y1129" s="1036"/>
      <c r="Z1129" s="1036"/>
    </row>
    <row r="1130" spans="1:26" ht="38.25">
      <c r="A1130" s="1079">
        <v>101908</v>
      </c>
      <c r="B1130" s="1080" t="s">
        <v>14476</v>
      </c>
      <c r="C1130" s="1080" t="s">
        <v>8302</v>
      </c>
      <c r="D1130" s="1081" t="s">
        <v>6</v>
      </c>
      <c r="E1130" s="1082">
        <v>1</v>
      </c>
      <c r="F1130" s="1083">
        <v>265.92</v>
      </c>
      <c r="G1130" s="1083">
        <v>265.92</v>
      </c>
      <c r="H1130" s="1084">
        <f t="shared" si="12"/>
        <v>1.8061349121488154E-5</v>
      </c>
      <c r="I1130" s="1085">
        <f t="shared" si="14"/>
        <v>0.99661437864438374</v>
      </c>
      <c r="J1130" s="1085" t="str">
        <f t="shared" si="13"/>
        <v>C</v>
      </c>
      <c r="K1130" s="1036"/>
      <c r="L1130" s="1036"/>
      <c r="M1130" s="1036"/>
      <c r="N1130" s="1036"/>
      <c r="O1130" s="1036"/>
      <c r="P1130" s="1036"/>
      <c r="Q1130" s="1036"/>
      <c r="R1130" s="1036"/>
      <c r="S1130" s="1036"/>
      <c r="T1130" s="1036"/>
      <c r="U1130" s="1036"/>
      <c r="V1130" s="1036"/>
      <c r="W1130" s="1036"/>
      <c r="X1130" s="1036"/>
      <c r="Y1130" s="1036"/>
      <c r="Z1130" s="1036"/>
    </row>
    <row r="1131" spans="1:26" ht="38.25">
      <c r="A1131" s="1079">
        <v>101908</v>
      </c>
      <c r="B1131" s="1080" t="s">
        <v>14476</v>
      </c>
      <c r="C1131" s="1080" t="s">
        <v>8302</v>
      </c>
      <c r="D1131" s="1081" t="s">
        <v>6</v>
      </c>
      <c r="E1131" s="1082">
        <v>1</v>
      </c>
      <c r="F1131" s="1083">
        <v>265.92</v>
      </c>
      <c r="G1131" s="1083">
        <v>265.92</v>
      </c>
      <c r="H1131" s="1084">
        <f t="shared" si="12"/>
        <v>1.8061349121488154E-5</v>
      </c>
      <c r="I1131" s="1085">
        <f t="shared" si="14"/>
        <v>0.99663243999350526</v>
      </c>
      <c r="J1131" s="1085" t="str">
        <f t="shared" si="13"/>
        <v>C</v>
      </c>
      <c r="K1131" s="1036"/>
      <c r="L1131" s="1036"/>
      <c r="M1131" s="1036"/>
      <c r="N1131" s="1036"/>
      <c r="O1131" s="1036"/>
      <c r="P1131" s="1036"/>
      <c r="Q1131" s="1036"/>
      <c r="R1131" s="1036"/>
      <c r="S1131" s="1036"/>
      <c r="T1131" s="1036"/>
      <c r="U1131" s="1036"/>
      <c r="V1131" s="1036"/>
      <c r="W1131" s="1036"/>
      <c r="X1131" s="1036"/>
      <c r="Y1131" s="1036"/>
      <c r="Z1131" s="1036"/>
    </row>
    <row r="1132" spans="1:26" ht="38.25">
      <c r="A1132" s="1079">
        <v>89363</v>
      </c>
      <c r="B1132" s="1080" t="s">
        <v>14476</v>
      </c>
      <c r="C1132" s="1080" t="s">
        <v>8670</v>
      </c>
      <c r="D1132" s="1081" t="s">
        <v>6</v>
      </c>
      <c r="E1132" s="1082">
        <v>22</v>
      </c>
      <c r="F1132" s="1083">
        <v>12.07</v>
      </c>
      <c r="G1132" s="1083">
        <v>265.54000000000002</v>
      </c>
      <c r="H1132" s="1084">
        <f t="shared" si="12"/>
        <v>1.8035539431859074E-5</v>
      </c>
      <c r="I1132" s="1085">
        <f t="shared" si="14"/>
        <v>0.99665047553293706</v>
      </c>
      <c r="J1132" s="1085" t="str">
        <f t="shared" si="13"/>
        <v>C</v>
      </c>
      <c r="K1132" s="1036"/>
      <c r="L1132" s="1036"/>
      <c r="M1132" s="1036"/>
      <c r="N1132" s="1036"/>
      <c r="O1132" s="1036"/>
      <c r="P1132" s="1036"/>
      <c r="Q1132" s="1036"/>
      <c r="R1132" s="1036"/>
      <c r="S1132" s="1036"/>
      <c r="T1132" s="1036"/>
      <c r="U1132" s="1036"/>
      <c r="V1132" s="1036"/>
      <c r="W1132" s="1036"/>
      <c r="X1132" s="1036"/>
      <c r="Y1132" s="1036"/>
      <c r="Z1132" s="1036"/>
    </row>
    <row r="1133" spans="1:26" ht="38.25">
      <c r="A1133" s="1079">
        <v>97882</v>
      </c>
      <c r="B1133" s="1080" t="s">
        <v>14476</v>
      </c>
      <c r="C1133" s="1080" t="s">
        <v>7931</v>
      </c>
      <c r="D1133" s="1081" t="s">
        <v>6</v>
      </c>
      <c r="E1133" s="1082">
        <v>1</v>
      </c>
      <c r="F1133" s="1083">
        <v>264.81</v>
      </c>
      <c r="G1133" s="1083">
        <v>264.81</v>
      </c>
      <c r="H1133" s="1084">
        <f t="shared" si="12"/>
        <v>1.7985957659676889E-5</v>
      </c>
      <c r="I1133" s="1085">
        <f t="shared" si="14"/>
        <v>0.99666846149059674</v>
      </c>
      <c r="J1133" s="1085" t="str">
        <f t="shared" si="13"/>
        <v>C</v>
      </c>
      <c r="K1133" s="1036"/>
      <c r="L1133" s="1036"/>
      <c r="M1133" s="1036"/>
      <c r="N1133" s="1036"/>
      <c r="O1133" s="1036"/>
      <c r="P1133" s="1036"/>
      <c r="Q1133" s="1036"/>
      <c r="R1133" s="1036"/>
      <c r="S1133" s="1036"/>
      <c r="T1133" s="1036"/>
      <c r="U1133" s="1036"/>
      <c r="V1133" s="1036"/>
      <c r="W1133" s="1036"/>
      <c r="X1133" s="1036"/>
      <c r="Y1133" s="1036"/>
      <c r="Z1133" s="1036"/>
    </row>
    <row r="1134" spans="1:26" ht="38.25">
      <c r="A1134" s="1079">
        <v>97882</v>
      </c>
      <c r="B1134" s="1080" t="s">
        <v>14476</v>
      </c>
      <c r="C1134" s="1080" t="s">
        <v>7931</v>
      </c>
      <c r="D1134" s="1081" t="s">
        <v>6</v>
      </c>
      <c r="E1134" s="1082">
        <v>1</v>
      </c>
      <c r="F1134" s="1083">
        <v>264.81</v>
      </c>
      <c r="G1134" s="1083">
        <v>264.81</v>
      </c>
      <c r="H1134" s="1084">
        <f t="shared" si="12"/>
        <v>1.7985957659676889E-5</v>
      </c>
      <c r="I1134" s="1085">
        <f t="shared" si="14"/>
        <v>0.99668644744825641</v>
      </c>
      <c r="J1134" s="1085" t="str">
        <f t="shared" si="13"/>
        <v>C</v>
      </c>
      <c r="K1134" s="1036"/>
      <c r="L1134" s="1036"/>
      <c r="M1134" s="1036"/>
      <c r="N1134" s="1036"/>
      <c r="O1134" s="1036"/>
      <c r="P1134" s="1036"/>
      <c r="Q1134" s="1036"/>
      <c r="R1134" s="1036"/>
      <c r="S1134" s="1036"/>
      <c r="T1134" s="1036"/>
      <c r="U1134" s="1036"/>
      <c r="V1134" s="1036"/>
      <c r="W1134" s="1036"/>
      <c r="X1134" s="1036"/>
      <c r="Y1134" s="1036"/>
      <c r="Z1134" s="1036"/>
    </row>
    <row r="1135" spans="1:26" ht="51">
      <c r="A1135" s="1079">
        <v>103324</v>
      </c>
      <c r="B1135" s="1080" t="s">
        <v>14476</v>
      </c>
      <c r="C1135" s="1080" t="s">
        <v>10760</v>
      </c>
      <c r="D1135" s="1081" t="s">
        <v>409</v>
      </c>
      <c r="E1135" s="1082">
        <v>2.4</v>
      </c>
      <c r="F1135" s="1083">
        <v>110.11</v>
      </c>
      <c r="G1135" s="1083">
        <v>264.26</v>
      </c>
      <c r="H1135" s="1084">
        <f t="shared" si="12"/>
        <v>1.7948601529950584E-5</v>
      </c>
      <c r="I1135" s="1085">
        <f t="shared" si="14"/>
        <v>0.99670439604978633</v>
      </c>
      <c r="J1135" s="1085" t="str">
        <f t="shared" si="13"/>
        <v>C</v>
      </c>
      <c r="K1135" s="1036"/>
      <c r="L1135" s="1036"/>
      <c r="M1135" s="1036"/>
      <c r="N1135" s="1036"/>
      <c r="O1135" s="1036"/>
      <c r="P1135" s="1036"/>
      <c r="Q1135" s="1036"/>
      <c r="R1135" s="1036"/>
      <c r="S1135" s="1036"/>
      <c r="T1135" s="1036"/>
      <c r="U1135" s="1036"/>
      <c r="V1135" s="1036"/>
      <c r="W1135" s="1036"/>
      <c r="X1135" s="1036"/>
      <c r="Y1135" s="1036"/>
      <c r="Z1135" s="1036"/>
    </row>
    <row r="1136" spans="1:26" ht="38.25">
      <c r="A1136" s="1079">
        <v>91872</v>
      </c>
      <c r="B1136" s="1080" t="s">
        <v>14476</v>
      </c>
      <c r="C1136" s="1080" t="s">
        <v>7787</v>
      </c>
      <c r="D1136" s="1081" t="s">
        <v>50</v>
      </c>
      <c r="E1136" s="1082">
        <v>12</v>
      </c>
      <c r="F1136" s="1083">
        <v>21.97</v>
      </c>
      <c r="G1136" s="1083">
        <v>263.64</v>
      </c>
      <c r="H1136" s="1084">
        <f t="shared" si="12"/>
        <v>1.7906490983713661E-5</v>
      </c>
      <c r="I1136" s="1085">
        <f t="shared" si="14"/>
        <v>0.9967223025407701</v>
      </c>
      <c r="J1136" s="1085" t="str">
        <f t="shared" si="13"/>
        <v>C</v>
      </c>
      <c r="K1136" s="1036"/>
      <c r="L1136" s="1036"/>
      <c r="M1136" s="1036"/>
      <c r="N1136" s="1036"/>
      <c r="O1136" s="1036"/>
      <c r="P1136" s="1036"/>
      <c r="Q1136" s="1036"/>
      <c r="R1136" s="1036"/>
      <c r="S1136" s="1036"/>
      <c r="T1136" s="1036"/>
      <c r="U1136" s="1036"/>
      <c r="V1136" s="1036"/>
      <c r="W1136" s="1036"/>
      <c r="X1136" s="1036"/>
      <c r="Y1136" s="1036"/>
      <c r="Z1136" s="1036"/>
    </row>
    <row r="1137" spans="1:26" ht="38.25">
      <c r="A1137" s="1079">
        <v>91939</v>
      </c>
      <c r="B1137" s="1080" t="s">
        <v>14476</v>
      </c>
      <c r="C1137" s="1080" t="s">
        <v>7885</v>
      </c>
      <c r="D1137" s="1081" t="s">
        <v>6</v>
      </c>
      <c r="E1137" s="1082">
        <v>7</v>
      </c>
      <c r="F1137" s="1083">
        <v>37.659999999999997</v>
      </c>
      <c r="G1137" s="1083">
        <v>263.62</v>
      </c>
      <c r="H1137" s="1084">
        <f t="shared" si="12"/>
        <v>1.790513257899634E-5</v>
      </c>
      <c r="I1137" s="1085">
        <f t="shared" si="14"/>
        <v>0.99674020767334914</v>
      </c>
      <c r="J1137" s="1085" t="str">
        <f t="shared" si="13"/>
        <v>C</v>
      </c>
      <c r="K1137" s="1036"/>
      <c r="L1137" s="1036"/>
      <c r="M1137" s="1036"/>
      <c r="N1137" s="1036"/>
      <c r="O1137" s="1036"/>
      <c r="P1137" s="1036"/>
      <c r="Q1137" s="1036"/>
      <c r="R1137" s="1036"/>
      <c r="S1137" s="1036"/>
      <c r="T1137" s="1036"/>
      <c r="U1137" s="1036"/>
      <c r="V1137" s="1036"/>
      <c r="W1137" s="1036"/>
      <c r="X1137" s="1036"/>
      <c r="Y1137" s="1036"/>
      <c r="Z1137" s="1036"/>
    </row>
    <row r="1138" spans="1:26" ht="51">
      <c r="A1138" s="1079">
        <v>89774</v>
      </c>
      <c r="B1138" s="1080" t="s">
        <v>14476</v>
      </c>
      <c r="C1138" s="1080" t="s">
        <v>8981</v>
      </c>
      <c r="D1138" s="1081" t="s">
        <v>6</v>
      </c>
      <c r="E1138" s="1082">
        <v>14</v>
      </c>
      <c r="F1138" s="1083">
        <v>18.760000000000002</v>
      </c>
      <c r="G1138" s="1083">
        <v>262.64</v>
      </c>
      <c r="H1138" s="1084">
        <f t="shared" si="12"/>
        <v>1.7838570747847656E-5</v>
      </c>
      <c r="I1138" s="1085">
        <f t="shared" si="14"/>
        <v>0.99675804624409703</v>
      </c>
      <c r="J1138" s="1085" t="str">
        <f t="shared" si="13"/>
        <v>C</v>
      </c>
      <c r="K1138" s="1036"/>
      <c r="L1138" s="1036"/>
      <c r="M1138" s="1036"/>
      <c r="N1138" s="1036"/>
      <c r="O1138" s="1036"/>
      <c r="P1138" s="1036"/>
      <c r="Q1138" s="1036"/>
      <c r="R1138" s="1036"/>
      <c r="S1138" s="1036"/>
      <c r="T1138" s="1036"/>
      <c r="U1138" s="1036"/>
      <c r="V1138" s="1036"/>
      <c r="W1138" s="1036"/>
      <c r="X1138" s="1036"/>
      <c r="Y1138" s="1036"/>
      <c r="Z1138" s="1036"/>
    </row>
    <row r="1139" spans="1:26" ht="51">
      <c r="A1139" s="1079">
        <v>89796</v>
      </c>
      <c r="B1139" s="1080" t="s">
        <v>14476</v>
      </c>
      <c r="C1139" s="1080" t="s">
        <v>9002</v>
      </c>
      <c r="D1139" s="1081" t="s">
        <v>6</v>
      </c>
      <c r="E1139" s="1082">
        <v>5</v>
      </c>
      <c r="F1139" s="1083">
        <v>52.52</v>
      </c>
      <c r="G1139" s="1083">
        <v>262.60000000000002</v>
      </c>
      <c r="H1139" s="1084">
        <f t="shared" si="12"/>
        <v>1.7835853938413018E-5</v>
      </c>
      <c r="I1139" s="1085">
        <f t="shared" si="14"/>
        <v>0.99677588209803547</v>
      </c>
      <c r="J1139" s="1085" t="str">
        <f t="shared" si="13"/>
        <v>C</v>
      </c>
      <c r="K1139" s="1036"/>
      <c r="L1139" s="1036"/>
      <c r="M1139" s="1036"/>
      <c r="N1139" s="1036"/>
      <c r="O1139" s="1036"/>
      <c r="P1139" s="1036"/>
      <c r="Q1139" s="1036"/>
      <c r="R1139" s="1036"/>
      <c r="S1139" s="1036"/>
      <c r="T1139" s="1036"/>
      <c r="U1139" s="1036"/>
      <c r="V1139" s="1036"/>
      <c r="W1139" s="1036"/>
      <c r="X1139" s="1036"/>
      <c r="Y1139" s="1036"/>
      <c r="Z1139" s="1036"/>
    </row>
    <row r="1140" spans="1:26" ht="51">
      <c r="A1140" s="1079">
        <v>89584</v>
      </c>
      <c r="B1140" s="1080" t="s">
        <v>14476</v>
      </c>
      <c r="C1140" s="1080" t="s">
        <v>8828</v>
      </c>
      <c r="D1140" s="1081" t="s">
        <v>6</v>
      </c>
      <c r="E1140" s="1082">
        <v>5</v>
      </c>
      <c r="F1140" s="1083">
        <v>52.48</v>
      </c>
      <c r="G1140" s="1083">
        <v>262.39999999999998</v>
      </c>
      <c r="H1140" s="1084">
        <f t="shared" si="12"/>
        <v>1.7822269891239813E-5</v>
      </c>
      <c r="I1140" s="1085">
        <f t="shared" si="14"/>
        <v>0.99679370436792669</v>
      </c>
      <c r="J1140" s="1085" t="str">
        <f t="shared" si="13"/>
        <v>C</v>
      </c>
      <c r="K1140" s="1036"/>
      <c r="L1140" s="1036"/>
      <c r="M1140" s="1036"/>
      <c r="N1140" s="1036"/>
      <c r="O1140" s="1036"/>
      <c r="P1140" s="1036"/>
      <c r="Q1140" s="1036"/>
      <c r="R1140" s="1036"/>
      <c r="S1140" s="1036"/>
      <c r="T1140" s="1036"/>
      <c r="U1140" s="1036"/>
      <c r="V1140" s="1036"/>
      <c r="W1140" s="1036"/>
      <c r="X1140" s="1036"/>
      <c r="Y1140" s="1036"/>
      <c r="Z1140" s="1036"/>
    </row>
    <row r="1141" spans="1:26" ht="38.25">
      <c r="A1141" s="1079">
        <v>100938</v>
      </c>
      <c r="B1141" s="1080" t="s">
        <v>14476</v>
      </c>
      <c r="C1141" s="1080" t="s">
        <v>11938</v>
      </c>
      <c r="D1141" s="1081" t="s">
        <v>11696</v>
      </c>
      <c r="E1141" s="1082">
        <v>27.55</v>
      </c>
      <c r="F1141" s="1083">
        <v>9.4700000000000006</v>
      </c>
      <c r="G1141" s="1083">
        <v>260.89</v>
      </c>
      <c r="H1141" s="1084">
        <f t="shared" si="12"/>
        <v>1.7719710335082144E-5</v>
      </c>
      <c r="I1141" s="1085">
        <f t="shared" si="14"/>
        <v>0.99681142407826173</v>
      </c>
      <c r="J1141" s="1085" t="str">
        <f t="shared" si="13"/>
        <v>C</v>
      </c>
      <c r="K1141" s="1036"/>
      <c r="L1141" s="1036"/>
      <c r="M1141" s="1036"/>
      <c r="N1141" s="1036"/>
      <c r="O1141" s="1036"/>
      <c r="P1141" s="1036"/>
      <c r="Q1141" s="1036"/>
      <c r="R1141" s="1036"/>
      <c r="S1141" s="1036"/>
      <c r="T1141" s="1036"/>
      <c r="U1141" s="1036"/>
      <c r="V1141" s="1036"/>
      <c r="W1141" s="1036"/>
      <c r="X1141" s="1036"/>
      <c r="Y1141" s="1036"/>
      <c r="Z1141" s="1036"/>
    </row>
    <row r="1142" spans="1:26" ht="25.5">
      <c r="A1142" s="1079">
        <v>93382</v>
      </c>
      <c r="B1142" s="1080" t="s">
        <v>14476</v>
      </c>
      <c r="C1142" s="1080" t="s">
        <v>10726</v>
      </c>
      <c r="D1142" s="1081" t="s">
        <v>152</v>
      </c>
      <c r="E1142" s="1082">
        <v>8.8000000000000007</v>
      </c>
      <c r="F1142" s="1083">
        <v>29.52</v>
      </c>
      <c r="G1142" s="1083">
        <v>259.77</v>
      </c>
      <c r="H1142" s="1084">
        <f t="shared" si="12"/>
        <v>1.7643639670912221E-5</v>
      </c>
      <c r="I1142" s="1085">
        <f t="shared" si="14"/>
        <v>0.99682906771793267</v>
      </c>
      <c r="J1142" s="1085" t="str">
        <f t="shared" si="13"/>
        <v>C</v>
      </c>
      <c r="K1142" s="1036"/>
      <c r="L1142" s="1036"/>
      <c r="M1142" s="1036"/>
      <c r="N1142" s="1036"/>
      <c r="O1142" s="1036"/>
      <c r="P1142" s="1036"/>
      <c r="Q1142" s="1036"/>
      <c r="R1142" s="1036"/>
      <c r="S1142" s="1036"/>
      <c r="T1142" s="1036"/>
      <c r="U1142" s="1036"/>
      <c r="V1142" s="1036"/>
      <c r="W1142" s="1036"/>
      <c r="X1142" s="1036"/>
      <c r="Y1142" s="1036"/>
      <c r="Z1142" s="1036"/>
    </row>
    <row r="1143" spans="1:26" ht="51">
      <c r="A1143" s="1079">
        <v>91834</v>
      </c>
      <c r="B1143" s="1080" t="s">
        <v>14476</v>
      </c>
      <c r="C1143" s="1080" t="s">
        <v>7755</v>
      </c>
      <c r="D1143" s="1081" t="s">
        <v>50</v>
      </c>
      <c r="E1143" s="1082">
        <v>12</v>
      </c>
      <c r="F1143" s="1083">
        <v>21.62</v>
      </c>
      <c r="G1143" s="1083">
        <v>259.44</v>
      </c>
      <c r="H1143" s="1084">
        <f t="shared" si="12"/>
        <v>1.7621225993076438E-5</v>
      </c>
      <c r="I1143" s="1085">
        <f t="shared" si="14"/>
        <v>0.9968466889439257</v>
      </c>
      <c r="J1143" s="1085" t="str">
        <f t="shared" si="13"/>
        <v>C</v>
      </c>
      <c r="K1143" s="1036"/>
      <c r="L1143" s="1036"/>
      <c r="M1143" s="1036"/>
      <c r="N1143" s="1036"/>
      <c r="O1143" s="1036"/>
      <c r="P1143" s="1036"/>
      <c r="Q1143" s="1036"/>
      <c r="R1143" s="1036"/>
      <c r="S1143" s="1036"/>
      <c r="T1143" s="1036"/>
      <c r="U1143" s="1036"/>
      <c r="V1143" s="1036"/>
      <c r="W1143" s="1036"/>
      <c r="X1143" s="1036"/>
      <c r="Y1143" s="1036"/>
      <c r="Z1143" s="1036"/>
    </row>
    <row r="1144" spans="1:26" ht="25.5">
      <c r="A1144" s="1079" t="s">
        <v>15436</v>
      </c>
      <c r="B1144" s="1080" t="s">
        <v>14472</v>
      </c>
      <c r="C1144" s="1080" t="s">
        <v>15437</v>
      </c>
      <c r="D1144" s="1081" t="s">
        <v>6</v>
      </c>
      <c r="E1144" s="1082">
        <v>3</v>
      </c>
      <c r="F1144" s="1083">
        <v>86.2</v>
      </c>
      <c r="G1144" s="1083">
        <v>258.60000000000002</v>
      </c>
      <c r="H1144" s="1084">
        <f t="shared" si="12"/>
        <v>1.7564172994948997E-5</v>
      </c>
      <c r="I1144" s="1085">
        <f t="shared" si="14"/>
        <v>0.99686425311692062</v>
      </c>
      <c r="J1144" s="1085" t="str">
        <f t="shared" si="13"/>
        <v>C</v>
      </c>
      <c r="K1144" s="1036"/>
      <c r="L1144" s="1036"/>
      <c r="M1144" s="1036"/>
      <c r="N1144" s="1036"/>
      <c r="O1144" s="1036"/>
      <c r="P1144" s="1036"/>
      <c r="Q1144" s="1036"/>
      <c r="R1144" s="1036"/>
      <c r="S1144" s="1036"/>
      <c r="T1144" s="1036"/>
      <c r="U1144" s="1036"/>
      <c r="V1144" s="1036"/>
      <c r="W1144" s="1036"/>
      <c r="X1144" s="1036"/>
      <c r="Y1144" s="1036"/>
      <c r="Z1144" s="1036"/>
    </row>
    <row r="1145" spans="1:26" ht="63.75">
      <c r="A1145" s="1079">
        <v>100978</v>
      </c>
      <c r="B1145" s="1080" t="s">
        <v>14476</v>
      </c>
      <c r="C1145" s="1080" t="s">
        <v>11981</v>
      </c>
      <c r="D1145" s="1081" t="s">
        <v>152</v>
      </c>
      <c r="E1145" s="1082">
        <v>29.79</v>
      </c>
      <c r="F1145" s="1083">
        <v>8.66</v>
      </c>
      <c r="G1145" s="1083">
        <v>257.97000000000003</v>
      </c>
      <c r="H1145" s="1084">
        <f t="shared" si="12"/>
        <v>1.7521383246353412E-5</v>
      </c>
      <c r="I1145" s="1085">
        <f t="shared" si="14"/>
        <v>0.99688177450016702</v>
      </c>
      <c r="J1145" s="1085" t="str">
        <f t="shared" si="13"/>
        <v>C</v>
      </c>
      <c r="K1145" s="1036"/>
      <c r="L1145" s="1036"/>
      <c r="M1145" s="1036"/>
      <c r="N1145" s="1036"/>
      <c r="O1145" s="1036"/>
      <c r="P1145" s="1036"/>
      <c r="Q1145" s="1036"/>
      <c r="R1145" s="1036"/>
      <c r="S1145" s="1036"/>
      <c r="T1145" s="1036"/>
      <c r="U1145" s="1036"/>
      <c r="V1145" s="1036"/>
      <c r="W1145" s="1036"/>
      <c r="X1145" s="1036"/>
      <c r="Y1145" s="1036"/>
      <c r="Z1145" s="1036"/>
    </row>
    <row r="1146" spans="1:26" ht="25.5">
      <c r="A1146" s="1079" t="s">
        <v>15321</v>
      </c>
      <c r="B1146" s="1080" t="s">
        <v>14472</v>
      </c>
      <c r="C1146" s="1080" t="s">
        <v>16015</v>
      </c>
      <c r="D1146" s="1081" t="s">
        <v>6</v>
      </c>
      <c r="E1146" s="1082">
        <v>1</v>
      </c>
      <c r="F1146" s="1083">
        <v>256.66000000000003</v>
      </c>
      <c r="G1146" s="1083">
        <v>256.66000000000003</v>
      </c>
      <c r="H1146" s="1084">
        <f t="shared" si="12"/>
        <v>1.7432407737368945E-5</v>
      </c>
      <c r="I1146" s="1085">
        <f t="shared" si="14"/>
        <v>0.99689920690790434</v>
      </c>
      <c r="J1146" s="1085" t="str">
        <f t="shared" si="13"/>
        <v>C</v>
      </c>
      <c r="K1146" s="1036"/>
      <c r="L1146" s="1036"/>
      <c r="M1146" s="1036"/>
      <c r="N1146" s="1036"/>
      <c r="O1146" s="1036"/>
      <c r="P1146" s="1036"/>
      <c r="Q1146" s="1036"/>
      <c r="R1146" s="1036"/>
      <c r="S1146" s="1036"/>
      <c r="T1146" s="1036"/>
      <c r="U1146" s="1036"/>
      <c r="V1146" s="1036"/>
      <c r="W1146" s="1036"/>
      <c r="X1146" s="1036"/>
      <c r="Y1146" s="1036"/>
      <c r="Z1146" s="1036"/>
    </row>
    <row r="1147" spans="1:26" ht="25.5">
      <c r="A1147" s="1079" t="s">
        <v>14895</v>
      </c>
      <c r="B1147" s="1080" t="s">
        <v>14472</v>
      </c>
      <c r="C1147" s="1080" t="s">
        <v>15996</v>
      </c>
      <c r="D1147" s="1081" t="s">
        <v>6</v>
      </c>
      <c r="E1147" s="1082">
        <v>1</v>
      </c>
      <c r="F1147" s="1083">
        <v>255.83</v>
      </c>
      <c r="G1147" s="1083">
        <v>255.83</v>
      </c>
      <c r="H1147" s="1084">
        <f t="shared" si="12"/>
        <v>1.7376033941600159E-5</v>
      </c>
      <c r="I1147" s="1085">
        <f t="shared" si="14"/>
        <v>0.99691658294184593</v>
      </c>
      <c r="J1147" s="1085" t="str">
        <f t="shared" si="13"/>
        <v>C</v>
      </c>
      <c r="K1147" s="1036"/>
      <c r="L1147" s="1036"/>
      <c r="M1147" s="1036"/>
      <c r="N1147" s="1036"/>
      <c r="O1147" s="1036"/>
      <c r="P1147" s="1036"/>
      <c r="Q1147" s="1036"/>
      <c r="R1147" s="1036"/>
      <c r="S1147" s="1036"/>
      <c r="T1147" s="1036"/>
      <c r="U1147" s="1036"/>
      <c r="V1147" s="1036"/>
      <c r="W1147" s="1036"/>
      <c r="X1147" s="1036"/>
      <c r="Y1147" s="1036"/>
      <c r="Z1147" s="1036"/>
    </row>
    <row r="1148" spans="1:26" ht="38.25">
      <c r="A1148" s="1079">
        <v>89381</v>
      </c>
      <c r="B1148" s="1080" t="s">
        <v>14476</v>
      </c>
      <c r="C1148" s="1080" t="s">
        <v>8688</v>
      </c>
      <c r="D1148" s="1081" t="s">
        <v>6</v>
      </c>
      <c r="E1148" s="1082">
        <v>18</v>
      </c>
      <c r="F1148" s="1083">
        <v>13.95</v>
      </c>
      <c r="G1148" s="1083">
        <v>251.1</v>
      </c>
      <c r="H1148" s="1084">
        <f t="shared" si="12"/>
        <v>1.7054771225953952E-5</v>
      </c>
      <c r="I1148" s="1085">
        <f t="shared" si="14"/>
        <v>0.99693363771307186</v>
      </c>
      <c r="J1148" s="1085" t="str">
        <f t="shared" si="13"/>
        <v>C</v>
      </c>
      <c r="K1148" s="1036"/>
      <c r="L1148" s="1036"/>
      <c r="M1148" s="1036"/>
      <c r="N1148" s="1036"/>
      <c r="O1148" s="1036"/>
      <c r="P1148" s="1036"/>
      <c r="Q1148" s="1036"/>
      <c r="R1148" s="1036"/>
      <c r="S1148" s="1036"/>
      <c r="T1148" s="1036"/>
      <c r="U1148" s="1036"/>
      <c r="V1148" s="1036"/>
      <c r="W1148" s="1036"/>
      <c r="X1148" s="1036"/>
      <c r="Y1148" s="1036"/>
      <c r="Z1148" s="1036"/>
    </row>
    <row r="1149" spans="1:26" ht="38.25">
      <c r="A1149" s="1079">
        <v>100938</v>
      </c>
      <c r="B1149" s="1080" t="s">
        <v>14476</v>
      </c>
      <c r="C1149" s="1080" t="s">
        <v>11938</v>
      </c>
      <c r="D1149" s="1081" t="s">
        <v>11696</v>
      </c>
      <c r="E1149" s="1082">
        <v>26.42</v>
      </c>
      <c r="F1149" s="1083">
        <v>9.4700000000000006</v>
      </c>
      <c r="G1149" s="1083">
        <v>250.21</v>
      </c>
      <c r="H1149" s="1084">
        <f t="shared" si="12"/>
        <v>1.699432221603321E-5</v>
      </c>
      <c r="I1149" s="1085">
        <f t="shared" si="14"/>
        <v>0.99695063203528789</v>
      </c>
      <c r="J1149" s="1085" t="str">
        <f t="shared" si="13"/>
        <v>C</v>
      </c>
      <c r="K1149" s="1036"/>
      <c r="L1149" s="1036"/>
      <c r="M1149" s="1036"/>
      <c r="N1149" s="1036"/>
      <c r="O1149" s="1036"/>
      <c r="P1149" s="1036"/>
      <c r="Q1149" s="1036"/>
      <c r="R1149" s="1036"/>
      <c r="S1149" s="1036"/>
      <c r="T1149" s="1036"/>
      <c r="U1149" s="1036"/>
      <c r="V1149" s="1036"/>
      <c r="W1149" s="1036"/>
      <c r="X1149" s="1036"/>
      <c r="Y1149" s="1036"/>
      <c r="Z1149" s="1036"/>
    </row>
    <row r="1150" spans="1:26" ht="63.75">
      <c r="A1150" s="1079">
        <v>100978</v>
      </c>
      <c r="B1150" s="1080" t="s">
        <v>14476</v>
      </c>
      <c r="C1150" s="1080" t="s">
        <v>11981</v>
      </c>
      <c r="D1150" s="1081" t="s">
        <v>152</v>
      </c>
      <c r="E1150" s="1082">
        <v>28.83</v>
      </c>
      <c r="F1150" s="1083">
        <v>8.66</v>
      </c>
      <c r="G1150" s="1083">
        <v>249.66</v>
      </c>
      <c r="H1150" s="1084">
        <f t="shared" si="12"/>
        <v>1.6956966086306905E-5</v>
      </c>
      <c r="I1150" s="1085">
        <f t="shared" si="14"/>
        <v>0.99696758900137417</v>
      </c>
      <c r="J1150" s="1085" t="str">
        <f t="shared" si="13"/>
        <v>C</v>
      </c>
      <c r="K1150" s="1036"/>
      <c r="L1150" s="1036"/>
      <c r="M1150" s="1036"/>
      <c r="N1150" s="1036"/>
      <c r="O1150" s="1036"/>
      <c r="P1150" s="1036"/>
      <c r="Q1150" s="1036"/>
      <c r="R1150" s="1036"/>
      <c r="S1150" s="1036"/>
      <c r="T1150" s="1036"/>
      <c r="U1150" s="1036"/>
      <c r="V1150" s="1036"/>
      <c r="W1150" s="1036"/>
      <c r="X1150" s="1036"/>
      <c r="Y1150" s="1036"/>
      <c r="Z1150" s="1036"/>
    </row>
    <row r="1151" spans="1:26" ht="38.25">
      <c r="A1151" s="1079">
        <v>94713</v>
      </c>
      <c r="B1151" s="1080" t="s">
        <v>14476</v>
      </c>
      <c r="C1151" s="1080" t="s">
        <v>9404</v>
      </c>
      <c r="D1151" s="1081" t="s">
        <v>6</v>
      </c>
      <c r="E1151" s="1082">
        <v>1</v>
      </c>
      <c r="F1151" s="1083">
        <v>249.3</v>
      </c>
      <c r="G1151" s="1083">
        <v>249.3</v>
      </c>
      <c r="H1151" s="1084">
        <f t="shared" si="12"/>
        <v>1.6932514801395143E-5</v>
      </c>
      <c r="I1151" s="1085">
        <f t="shared" si="14"/>
        <v>0.99698452151617556</v>
      </c>
      <c r="J1151" s="1085" t="str">
        <f t="shared" si="13"/>
        <v>C</v>
      </c>
      <c r="K1151" s="1036"/>
      <c r="L1151" s="1036"/>
      <c r="M1151" s="1036"/>
      <c r="N1151" s="1036"/>
      <c r="O1151" s="1036"/>
      <c r="P1151" s="1036"/>
      <c r="Q1151" s="1036"/>
      <c r="R1151" s="1036"/>
      <c r="S1151" s="1036"/>
      <c r="T1151" s="1036"/>
      <c r="U1151" s="1036"/>
      <c r="V1151" s="1036"/>
      <c r="W1151" s="1036"/>
      <c r="X1151" s="1036"/>
      <c r="Y1151" s="1036"/>
      <c r="Z1151" s="1036"/>
    </row>
    <row r="1152" spans="1:26" ht="38.25">
      <c r="A1152" s="1079" t="s">
        <v>15133</v>
      </c>
      <c r="B1152" s="1080" t="s">
        <v>14472</v>
      </c>
      <c r="C1152" s="1080" t="s">
        <v>16016</v>
      </c>
      <c r="D1152" s="1081" t="s">
        <v>50</v>
      </c>
      <c r="E1152" s="1082">
        <v>16</v>
      </c>
      <c r="F1152" s="1083">
        <v>15.47</v>
      </c>
      <c r="G1152" s="1083">
        <v>247.52</v>
      </c>
      <c r="H1152" s="1084">
        <f t="shared" si="12"/>
        <v>1.6811616781553655E-5</v>
      </c>
      <c r="I1152" s="1085">
        <f t="shared" si="14"/>
        <v>0.99700133313295713</v>
      </c>
      <c r="J1152" s="1085" t="str">
        <f t="shared" si="13"/>
        <v>C</v>
      </c>
      <c r="K1152" s="1036"/>
      <c r="L1152" s="1036"/>
      <c r="M1152" s="1036"/>
      <c r="N1152" s="1036"/>
      <c r="O1152" s="1036"/>
      <c r="P1152" s="1036"/>
      <c r="Q1152" s="1036"/>
      <c r="R1152" s="1036"/>
      <c r="S1152" s="1036"/>
      <c r="T1152" s="1036"/>
      <c r="U1152" s="1036"/>
      <c r="V1152" s="1036"/>
      <c r="W1152" s="1036"/>
      <c r="X1152" s="1036"/>
      <c r="Y1152" s="1036"/>
      <c r="Z1152" s="1036"/>
    </row>
    <row r="1153" spans="1:26" ht="38.25">
      <c r="A1153" s="1079">
        <v>96621</v>
      </c>
      <c r="B1153" s="1080" t="s">
        <v>14476</v>
      </c>
      <c r="C1153" s="1080" t="s">
        <v>7167</v>
      </c>
      <c r="D1153" s="1081" t="s">
        <v>152</v>
      </c>
      <c r="E1153" s="1082">
        <v>0.69</v>
      </c>
      <c r="F1153" s="1083">
        <v>357.65</v>
      </c>
      <c r="G1153" s="1083">
        <v>246.77</v>
      </c>
      <c r="H1153" s="1084">
        <f t="shared" si="12"/>
        <v>1.6760676604654152E-5</v>
      </c>
      <c r="I1153" s="1085">
        <f t="shared" si="14"/>
        <v>0.99701809380956175</v>
      </c>
      <c r="J1153" s="1085" t="str">
        <f t="shared" si="13"/>
        <v>C</v>
      </c>
      <c r="K1153" s="1036"/>
      <c r="L1153" s="1036"/>
      <c r="M1153" s="1036"/>
      <c r="N1153" s="1036"/>
      <c r="O1153" s="1036"/>
      <c r="P1153" s="1036"/>
      <c r="Q1153" s="1036"/>
      <c r="R1153" s="1036"/>
      <c r="S1153" s="1036"/>
      <c r="T1153" s="1036"/>
      <c r="U1153" s="1036"/>
      <c r="V1153" s="1036"/>
      <c r="W1153" s="1036"/>
      <c r="X1153" s="1036"/>
      <c r="Y1153" s="1036"/>
      <c r="Z1153" s="1036"/>
    </row>
    <row r="1154" spans="1:26" ht="25.5">
      <c r="A1154" s="1079">
        <v>93673</v>
      </c>
      <c r="B1154" s="1080" t="s">
        <v>14476</v>
      </c>
      <c r="C1154" s="1080" t="s">
        <v>7974</v>
      </c>
      <c r="D1154" s="1081" t="s">
        <v>6</v>
      </c>
      <c r="E1154" s="1082">
        <v>2</v>
      </c>
      <c r="F1154" s="1083">
        <v>122.87</v>
      </c>
      <c r="G1154" s="1083">
        <v>245.74</v>
      </c>
      <c r="H1154" s="1084">
        <f t="shared" si="12"/>
        <v>1.6690718761712164E-5</v>
      </c>
      <c r="I1154" s="1085">
        <f t="shared" si="14"/>
        <v>0.9970347845283235</v>
      </c>
      <c r="J1154" s="1085" t="str">
        <f t="shared" si="13"/>
        <v>C</v>
      </c>
      <c r="K1154" s="1036"/>
      <c r="L1154" s="1036"/>
      <c r="M1154" s="1036"/>
      <c r="N1154" s="1036"/>
      <c r="O1154" s="1036"/>
      <c r="P1154" s="1036"/>
      <c r="Q1154" s="1036"/>
      <c r="R1154" s="1036"/>
      <c r="S1154" s="1036"/>
      <c r="T1154" s="1036"/>
      <c r="U1154" s="1036"/>
      <c r="V1154" s="1036"/>
      <c r="W1154" s="1036"/>
      <c r="X1154" s="1036"/>
      <c r="Y1154" s="1036"/>
      <c r="Z1154" s="1036"/>
    </row>
    <row r="1155" spans="1:26" ht="76.5">
      <c r="A1155" s="1079">
        <v>91174</v>
      </c>
      <c r="B1155" s="1080" t="s">
        <v>14476</v>
      </c>
      <c r="C1155" s="1080" t="s">
        <v>10402</v>
      </c>
      <c r="D1155" s="1081" t="s">
        <v>50</v>
      </c>
      <c r="E1155" s="1082">
        <v>30</v>
      </c>
      <c r="F1155" s="1083">
        <v>8.17</v>
      </c>
      <c r="G1155" s="1083">
        <v>245.1</v>
      </c>
      <c r="H1155" s="1084">
        <f t="shared" si="12"/>
        <v>1.6647249810757921E-5</v>
      </c>
      <c r="I1155" s="1085">
        <f t="shared" si="14"/>
        <v>0.99705143177813427</v>
      </c>
      <c r="J1155" s="1085" t="str">
        <f t="shared" si="13"/>
        <v>C</v>
      </c>
      <c r="K1155" s="1036"/>
      <c r="L1155" s="1036"/>
      <c r="M1155" s="1036"/>
      <c r="N1155" s="1036"/>
      <c r="O1155" s="1036"/>
      <c r="P1155" s="1036"/>
      <c r="Q1155" s="1036"/>
      <c r="R1155" s="1036"/>
      <c r="S1155" s="1036"/>
      <c r="T1155" s="1036"/>
      <c r="U1155" s="1036"/>
      <c r="V1155" s="1036"/>
      <c r="W1155" s="1036"/>
      <c r="X1155" s="1036"/>
      <c r="Y1155" s="1036"/>
      <c r="Z1155" s="1036"/>
    </row>
    <row r="1156" spans="1:26" ht="76.5">
      <c r="A1156" s="1079">
        <v>91174</v>
      </c>
      <c r="B1156" s="1080" t="s">
        <v>14476</v>
      </c>
      <c r="C1156" s="1080" t="s">
        <v>10402</v>
      </c>
      <c r="D1156" s="1081" t="s">
        <v>50</v>
      </c>
      <c r="E1156" s="1082">
        <v>30</v>
      </c>
      <c r="F1156" s="1083">
        <v>8.17</v>
      </c>
      <c r="G1156" s="1083">
        <v>245.1</v>
      </c>
      <c r="H1156" s="1084">
        <f t="shared" si="12"/>
        <v>1.6647249810757921E-5</v>
      </c>
      <c r="I1156" s="1085">
        <f t="shared" si="14"/>
        <v>0.99706807902794503</v>
      </c>
      <c r="J1156" s="1085" t="str">
        <f t="shared" si="13"/>
        <v>C</v>
      </c>
      <c r="K1156" s="1036"/>
      <c r="L1156" s="1036"/>
      <c r="M1156" s="1036"/>
      <c r="N1156" s="1036"/>
      <c r="O1156" s="1036"/>
      <c r="P1156" s="1036"/>
      <c r="Q1156" s="1036"/>
      <c r="R1156" s="1036"/>
      <c r="S1156" s="1036"/>
      <c r="T1156" s="1036"/>
      <c r="U1156" s="1036"/>
      <c r="V1156" s="1036"/>
      <c r="W1156" s="1036"/>
      <c r="X1156" s="1036"/>
      <c r="Y1156" s="1036"/>
      <c r="Z1156" s="1036"/>
    </row>
    <row r="1157" spans="1:26" ht="76.5">
      <c r="A1157" s="1079">
        <v>91174</v>
      </c>
      <c r="B1157" s="1080" t="s">
        <v>14476</v>
      </c>
      <c r="C1157" s="1080" t="s">
        <v>10402</v>
      </c>
      <c r="D1157" s="1081" t="s">
        <v>50</v>
      </c>
      <c r="E1157" s="1082">
        <v>30</v>
      </c>
      <c r="F1157" s="1083">
        <v>8.17</v>
      </c>
      <c r="G1157" s="1083">
        <v>245.1</v>
      </c>
      <c r="H1157" s="1084">
        <f t="shared" si="12"/>
        <v>1.6647249810757921E-5</v>
      </c>
      <c r="I1157" s="1085">
        <f t="shared" si="14"/>
        <v>0.9970847262777558</v>
      </c>
      <c r="J1157" s="1085" t="str">
        <f t="shared" si="13"/>
        <v>C</v>
      </c>
      <c r="K1157" s="1036"/>
      <c r="L1157" s="1036"/>
      <c r="M1157" s="1036"/>
      <c r="N1157" s="1036"/>
      <c r="O1157" s="1036"/>
      <c r="P1157" s="1036"/>
      <c r="Q1157" s="1036"/>
      <c r="R1157" s="1036"/>
      <c r="S1157" s="1036"/>
      <c r="T1157" s="1036"/>
      <c r="U1157" s="1036"/>
      <c r="V1157" s="1036"/>
      <c r="W1157" s="1036"/>
      <c r="X1157" s="1036"/>
      <c r="Y1157" s="1036"/>
      <c r="Z1157" s="1036"/>
    </row>
    <row r="1158" spans="1:26" ht="25.5">
      <c r="A1158" s="1079" t="s">
        <v>15230</v>
      </c>
      <c r="B1158" s="1080" t="s">
        <v>14472</v>
      </c>
      <c r="C1158" s="1080" t="s">
        <v>15231</v>
      </c>
      <c r="D1158" s="1081" t="s">
        <v>6</v>
      </c>
      <c r="E1158" s="1082">
        <v>1</v>
      </c>
      <c r="F1158" s="1083">
        <v>244.11</v>
      </c>
      <c r="G1158" s="1083">
        <v>244.11</v>
      </c>
      <c r="H1158" s="1084">
        <f t="shared" si="12"/>
        <v>1.6580008777250577E-5</v>
      </c>
      <c r="I1158" s="1085">
        <f t="shared" si="14"/>
        <v>0.99710130628653304</v>
      </c>
      <c r="J1158" s="1085" t="str">
        <f t="shared" si="13"/>
        <v>C</v>
      </c>
      <c r="K1158" s="1036"/>
      <c r="L1158" s="1036"/>
      <c r="M1158" s="1036"/>
      <c r="N1158" s="1036"/>
      <c r="O1158" s="1036"/>
      <c r="P1158" s="1036"/>
      <c r="Q1158" s="1036"/>
      <c r="R1158" s="1036"/>
      <c r="S1158" s="1036"/>
      <c r="T1158" s="1036"/>
      <c r="U1158" s="1036"/>
      <c r="V1158" s="1036"/>
      <c r="W1158" s="1036"/>
      <c r="X1158" s="1036"/>
      <c r="Y1158" s="1036"/>
      <c r="Z1158" s="1036"/>
    </row>
    <row r="1159" spans="1:26" ht="25.5">
      <c r="A1159" s="1079">
        <v>93664</v>
      </c>
      <c r="B1159" s="1080" t="s">
        <v>14476</v>
      </c>
      <c r="C1159" s="1080" t="s">
        <v>7965</v>
      </c>
      <c r="D1159" s="1081" t="s">
        <v>6</v>
      </c>
      <c r="E1159" s="1082">
        <v>3</v>
      </c>
      <c r="F1159" s="1083">
        <v>80.52</v>
      </c>
      <c r="G1159" s="1083">
        <v>241.56</v>
      </c>
      <c r="H1159" s="1084">
        <f t="shared" si="12"/>
        <v>1.6406812175792262E-5</v>
      </c>
      <c r="I1159" s="1085">
        <f t="shared" si="14"/>
        <v>0.99711771309870878</v>
      </c>
      <c r="J1159" s="1085" t="str">
        <f t="shared" si="13"/>
        <v>C</v>
      </c>
      <c r="K1159" s="1036"/>
      <c r="L1159" s="1036"/>
      <c r="M1159" s="1036"/>
      <c r="N1159" s="1036"/>
      <c r="O1159" s="1036"/>
      <c r="P1159" s="1036"/>
      <c r="Q1159" s="1036"/>
      <c r="R1159" s="1036"/>
      <c r="S1159" s="1036"/>
      <c r="T1159" s="1036"/>
      <c r="U1159" s="1036"/>
      <c r="V1159" s="1036"/>
      <c r="W1159" s="1036"/>
      <c r="X1159" s="1036"/>
      <c r="Y1159" s="1036"/>
      <c r="Z1159" s="1036"/>
    </row>
    <row r="1160" spans="1:26" ht="25.5">
      <c r="A1160" s="1079">
        <v>93664</v>
      </c>
      <c r="B1160" s="1080" t="s">
        <v>14476</v>
      </c>
      <c r="C1160" s="1080" t="s">
        <v>7965</v>
      </c>
      <c r="D1160" s="1081" t="s">
        <v>6</v>
      </c>
      <c r="E1160" s="1082">
        <v>3</v>
      </c>
      <c r="F1160" s="1083">
        <v>80.52</v>
      </c>
      <c r="G1160" s="1083">
        <v>241.56</v>
      </c>
      <c r="H1160" s="1084">
        <f t="shared" si="12"/>
        <v>1.6406812175792262E-5</v>
      </c>
      <c r="I1160" s="1085">
        <f t="shared" si="14"/>
        <v>0.99713411991088452</v>
      </c>
      <c r="J1160" s="1085" t="str">
        <f t="shared" si="13"/>
        <v>C</v>
      </c>
      <c r="K1160" s="1036"/>
      <c r="L1160" s="1036"/>
      <c r="M1160" s="1036"/>
      <c r="N1160" s="1036"/>
      <c r="O1160" s="1036"/>
      <c r="P1160" s="1036"/>
      <c r="Q1160" s="1036"/>
      <c r="R1160" s="1036"/>
      <c r="S1160" s="1036"/>
      <c r="T1160" s="1036"/>
      <c r="U1160" s="1036"/>
      <c r="V1160" s="1036"/>
      <c r="W1160" s="1036"/>
      <c r="X1160" s="1036"/>
      <c r="Y1160" s="1036"/>
      <c r="Z1160" s="1036"/>
    </row>
    <row r="1161" spans="1:26" ht="38.25">
      <c r="A1161" s="1079">
        <v>104004</v>
      </c>
      <c r="B1161" s="1080" t="s">
        <v>14476</v>
      </c>
      <c r="C1161" s="1080" t="s">
        <v>9848</v>
      </c>
      <c r="D1161" s="1081" t="s">
        <v>6</v>
      </c>
      <c r="E1161" s="1082">
        <v>7</v>
      </c>
      <c r="F1161" s="1083">
        <v>34.33</v>
      </c>
      <c r="G1161" s="1083">
        <v>240.31</v>
      </c>
      <c r="H1161" s="1084">
        <f t="shared" si="12"/>
        <v>1.6321911880959755E-5</v>
      </c>
      <c r="I1161" s="1085">
        <f t="shared" si="14"/>
        <v>0.99715044182276547</v>
      </c>
      <c r="J1161" s="1085" t="str">
        <f t="shared" si="13"/>
        <v>C</v>
      </c>
      <c r="K1161" s="1036"/>
      <c r="L1161" s="1036"/>
      <c r="M1161" s="1036"/>
      <c r="N1161" s="1036"/>
      <c r="O1161" s="1036"/>
      <c r="P1161" s="1036"/>
      <c r="Q1161" s="1036"/>
      <c r="R1161" s="1036"/>
      <c r="S1161" s="1036"/>
      <c r="T1161" s="1036"/>
      <c r="U1161" s="1036"/>
      <c r="V1161" s="1036"/>
      <c r="W1161" s="1036"/>
      <c r="X1161" s="1036"/>
      <c r="Y1161" s="1036"/>
      <c r="Z1161" s="1036"/>
    </row>
    <row r="1162" spans="1:26" ht="25.5">
      <c r="A1162" s="1079" t="s">
        <v>15001</v>
      </c>
      <c r="B1162" s="1080" t="s">
        <v>14472</v>
      </c>
      <c r="C1162" s="1080" t="s">
        <v>15002</v>
      </c>
      <c r="D1162" s="1081" t="s">
        <v>50</v>
      </c>
      <c r="E1162" s="1082">
        <v>1.5</v>
      </c>
      <c r="F1162" s="1083">
        <v>159.97999999999999</v>
      </c>
      <c r="G1162" s="1083">
        <v>239.97</v>
      </c>
      <c r="H1162" s="1084">
        <f t="shared" si="12"/>
        <v>1.6298819000765314E-5</v>
      </c>
      <c r="I1162" s="1085">
        <f t="shared" si="14"/>
        <v>0.99716674064176625</v>
      </c>
      <c r="J1162" s="1085" t="str">
        <f t="shared" si="13"/>
        <v>C</v>
      </c>
      <c r="K1162" s="1036"/>
      <c r="L1162" s="1036"/>
      <c r="M1162" s="1036"/>
      <c r="N1162" s="1036"/>
      <c r="O1162" s="1036"/>
      <c r="P1162" s="1036"/>
      <c r="Q1162" s="1036"/>
      <c r="R1162" s="1036"/>
      <c r="S1162" s="1036"/>
      <c r="T1162" s="1036"/>
      <c r="U1162" s="1036"/>
      <c r="V1162" s="1036"/>
      <c r="W1162" s="1036"/>
      <c r="X1162" s="1036"/>
      <c r="Y1162" s="1036"/>
      <c r="Z1162" s="1036"/>
    </row>
    <row r="1163" spans="1:26" ht="38.25">
      <c r="A1163" s="1079">
        <v>92023</v>
      </c>
      <c r="B1163" s="1080" t="s">
        <v>14476</v>
      </c>
      <c r="C1163" s="1080" t="s">
        <v>8082</v>
      </c>
      <c r="D1163" s="1081" t="s">
        <v>6</v>
      </c>
      <c r="E1163" s="1082">
        <v>4</v>
      </c>
      <c r="F1163" s="1083">
        <v>59.97</v>
      </c>
      <c r="G1163" s="1083">
        <v>239.88</v>
      </c>
      <c r="H1163" s="1084">
        <f t="shared" si="12"/>
        <v>1.6292706179537372E-5</v>
      </c>
      <c r="I1163" s="1085">
        <f t="shared" si="14"/>
        <v>0.99718303334794578</v>
      </c>
      <c r="J1163" s="1085" t="str">
        <f t="shared" si="13"/>
        <v>C</v>
      </c>
      <c r="K1163" s="1036"/>
      <c r="L1163" s="1036"/>
      <c r="M1163" s="1036"/>
      <c r="N1163" s="1036"/>
      <c r="O1163" s="1036"/>
      <c r="P1163" s="1036"/>
      <c r="Q1163" s="1036"/>
      <c r="R1163" s="1036"/>
      <c r="S1163" s="1036"/>
      <c r="T1163" s="1036"/>
      <c r="U1163" s="1036"/>
      <c r="V1163" s="1036"/>
      <c r="W1163" s="1036"/>
      <c r="X1163" s="1036"/>
      <c r="Y1163" s="1036"/>
      <c r="Z1163" s="1036"/>
    </row>
    <row r="1164" spans="1:26" ht="25.5">
      <c r="A1164" s="1079" t="s">
        <v>14889</v>
      </c>
      <c r="B1164" s="1080" t="s">
        <v>14472</v>
      </c>
      <c r="C1164" s="1080" t="s">
        <v>15998</v>
      </c>
      <c r="D1164" s="1081" t="s">
        <v>6</v>
      </c>
      <c r="E1164" s="1082">
        <v>1</v>
      </c>
      <c r="F1164" s="1083">
        <v>239.48</v>
      </c>
      <c r="G1164" s="1083">
        <v>239.48</v>
      </c>
      <c r="H1164" s="1084">
        <f t="shared" si="12"/>
        <v>1.6265538085190972E-5</v>
      </c>
      <c r="I1164" s="1085">
        <f t="shared" si="14"/>
        <v>0.99719929888603098</v>
      </c>
      <c r="J1164" s="1085" t="str">
        <f t="shared" si="13"/>
        <v>C</v>
      </c>
      <c r="K1164" s="1036"/>
      <c r="L1164" s="1036"/>
      <c r="M1164" s="1036"/>
      <c r="N1164" s="1036"/>
      <c r="O1164" s="1036"/>
      <c r="P1164" s="1036"/>
      <c r="Q1164" s="1036"/>
      <c r="R1164" s="1036"/>
      <c r="S1164" s="1036"/>
      <c r="T1164" s="1036"/>
      <c r="U1164" s="1036"/>
      <c r="V1164" s="1036"/>
      <c r="W1164" s="1036"/>
      <c r="X1164" s="1036"/>
      <c r="Y1164" s="1036"/>
      <c r="Z1164" s="1036"/>
    </row>
    <row r="1165" spans="1:26" ht="25.5">
      <c r="A1165" s="1079" t="s">
        <v>15167</v>
      </c>
      <c r="B1165" s="1080" t="s">
        <v>14472</v>
      </c>
      <c r="C1165" s="1080" t="s">
        <v>15168</v>
      </c>
      <c r="D1165" s="1081" t="s">
        <v>6</v>
      </c>
      <c r="E1165" s="1082">
        <v>2</v>
      </c>
      <c r="F1165" s="1083">
        <v>118.01</v>
      </c>
      <c r="G1165" s="1083">
        <v>236.02</v>
      </c>
      <c r="H1165" s="1084">
        <f t="shared" si="12"/>
        <v>1.6030534069094593E-5</v>
      </c>
      <c r="I1165" s="1085">
        <f t="shared" si="14"/>
        <v>0.99721532942010005</v>
      </c>
      <c r="J1165" s="1085" t="str">
        <f t="shared" si="13"/>
        <v>C</v>
      </c>
      <c r="K1165" s="1036"/>
      <c r="L1165" s="1036"/>
      <c r="M1165" s="1036"/>
      <c r="N1165" s="1036"/>
      <c r="O1165" s="1036"/>
      <c r="P1165" s="1036"/>
      <c r="Q1165" s="1036"/>
      <c r="R1165" s="1036"/>
      <c r="S1165" s="1036"/>
      <c r="T1165" s="1036"/>
      <c r="U1165" s="1036"/>
      <c r="V1165" s="1036"/>
      <c r="W1165" s="1036"/>
      <c r="X1165" s="1036"/>
      <c r="Y1165" s="1036"/>
      <c r="Z1165" s="1036"/>
    </row>
    <row r="1166" spans="1:26" ht="38.25">
      <c r="A1166" s="1079">
        <v>92762</v>
      </c>
      <c r="B1166" s="1080" t="s">
        <v>14476</v>
      </c>
      <c r="C1166" s="1080" t="s">
        <v>7431</v>
      </c>
      <c r="D1166" s="1081" t="s">
        <v>54</v>
      </c>
      <c r="E1166" s="1082">
        <v>15.13</v>
      </c>
      <c r="F1166" s="1083">
        <v>15.5</v>
      </c>
      <c r="G1166" s="1083">
        <v>234.51</v>
      </c>
      <c r="H1166" s="1084">
        <f t="shared" si="12"/>
        <v>1.5927974512936925E-5</v>
      </c>
      <c r="I1166" s="1085">
        <f t="shared" si="14"/>
        <v>0.99723125739461294</v>
      </c>
      <c r="J1166" s="1085" t="str">
        <f t="shared" si="13"/>
        <v>C</v>
      </c>
      <c r="K1166" s="1036"/>
      <c r="L1166" s="1036"/>
      <c r="M1166" s="1036"/>
      <c r="N1166" s="1036"/>
      <c r="O1166" s="1036"/>
      <c r="P1166" s="1036"/>
      <c r="Q1166" s="1036"/>
      <c r="R1166" s="1036"/>
      <c r="S1166" s="1036"/>
      <c r="T1166" s="1036"/>
      <c r="U1166" s="1036"/>
      <c r="V1166" s="1036"/>
      <c r="W1166" s="1036"/>
      <c r="X1166" s="1036"/>
      <c r="Y1166" s="1036"/>
      <c r="Z1166" s="1036"/>
    </row>
    <row r="1167" spans="1:26" ht="38.25">
      <c r="A1167" s="1079">
        <v>105140</v>
      </c>
      <c r="B1167" s="1080" t="s">
        <v>14476</v>
      </c>
      <c r="C1167" s="1080" t="s">
        <v>8658</v>
      </c>
      <c r="D1167" s="1081" t="s">
        <v>6</v>
      </c>
      <c r="E1167" s="1082">
        <v>8</v>
      </c>
      <c r="F1167" s="1083">
        <v>28.77</v>
      </c>
      <c r="G1167" s="1083">
        <v>230.16</v>
      </c>
      <c r="H1167" s="1084">
        <f t="shared" si="12"/>
        <v>1.5632521486919801E-5</v>
      </c>
      <c r="I1167" s="1085">
        <f t="shared" si="14"/>
        <v>0.99724688991609989</v>
      </c>
      <c r="J1167" s="1085" t="str">
        <f t="shared" si="13"/>
        <v>C</v>
      </c>
      <c r="K1167" s="1036"/>
      <c r="L1167" s="1036"/>
      <c r="M1167" s="1036"/>
      <c r="N1167" s="1036"/>
      <c r="O1167" s="1036"/>
      <c r="P1167" s="1036"/>
      <c r="Q1167" s="1036"/>
      <c r="R1167" s="1036"/>
      <c r="S1167" s="1036"/>
      <c r="T1167" s="1036"/>
      <c r="U1167" s="1036"/>
      <c r="V1167" s="1036"/>
      <c r="W1167" s="1036"/>
      <c r="X1167" s="1036"/>
      <c r="Y1167" s="1036"/>
      <c r="Z1167" s="1036"/>
    </row>
    <row r="1168" spans="1:26" ht="25.5">
      <c r="A1168" s="1079" t="s">
        <v>15372</v>
      </c>
      <c r="B1168" s="1080" t="s">
        <v>14472</v>
      </c>
      <c r="C1168" s="1080" t="s">
        <v>15373</v>
      </c>
      <c r="D1168" s="1081" t="s">
        <v>6</v>
      </c>
      <c r="E1168" s="1082">
        <v>10</v>
      </c>
      <c r="F1168" s="1083">
        <v>22.92</v>
      </c>
      <c r="G1168" s="1083">
        <v>229.2</v>
      </c>
      <c r="H1168" s="1084">
        <f t="shared" si="12"/>
        <v>1.5567318060488434E-5</v>
      </c>
      <c r="I1168" s="1085">
        <f t="shared" si="14"/>
        <v>0.9972624572341604</v>
      </c>
      <c r="J1168" s="1085" t="str">
        <f t="shared" si="13"/>
        <v>C</v>
      </c>
      <c r="K1168" s="1036"/>
      <c r="L1168" s="1036"/>
      <c r="M1168" s="1036"/>
      <c r="N1168" s="1036"/>
      <c r="O1168" s="1036"/>
      <c r="P1168" s="1036"/>
      <c r="Q1168" s="1036"/>
      <c r="R1168" s="1036"/>
      <c r="S1168" s="1036"/>
      <c r="T1168" s="1036"/>
      <c r="U1168" s="1036"/>
      <c r="V1168" s="1036"/>
      <c r="W1168" s="1036"/>
      <c r="X1168" s="1036"/>
      <c r="Y1168" s="1036"/>
      <c r="Z1168" s="1036"/>
    </row>
    <row r="1169" spans="1:26" ht="25.5">
      <c r="A1169" s="1079" t="s">
        <v>15372</v>
      </c>
      <c r="B1169" s="1080" t="s">
        <v>14472</v>
      </c>
      <c r="C1169" s="1080" t="s">
        <v>15373</v>
      </c>
      <c r="D1169" s="1081" t="s">
        <v>6</v>
      </c>
      <c r="E1169" s="1082">
        <v>10</v>
      </c>
      <c r="F1169" s="1083">
        <v>22.92</v>
      </c>
      <c r="G1169" s="1083">
        <v>229.2</v>
      </c>
      <c r="H1169" s="1084">
        <f t="shared" si="12"/>
        <v>1.5567318060488434E-5</v>
      </c>
      <c r="I1169" s="1085">
        <f t="shared" si="14"/>
        <v>0.99727802455222092</v>
      </c>
      <c r="J1169" s="1085" t="str">
        <f t="shared" si="13"/>
        <v>C</v>
      </c>
      <c r="K1169" s="1036"/>
      <c r="L1169" s="1036"/>
      <c r="M1169" s="1036"/>
      <c r="N1169" s="1036"/>
      <c r="O1169" s="1036"/>
      <c r="P1169" s="1036"/>
      <c r="Q1169" s="1036"/>
      <c r="R1169" s="1036"/>
      <c r="S1169" s="1036"/>
      <c r="T1169" s="1036"/>
      <c r="U1169" s="1036"/>
      <c r="V1169" s="1036"/>
      <c r="W1169" s="1036"/>
      <c r="X1169" s="1036"/>
      <c r="Y1169" s="1036"/>
      <c r="Z1169" s="1036"/>
    </row>
    <row r="1170" spans="1:26" ht="25.5">
      <c r="A1170" s="1079" t="s">
        <v>15372</v>
      </c>
      <c r="B1170" s="1080" t="s">
        <v>14472</v>
      </c>
      <c r="C1170" s="1080" t="s">
        <v>15373</v>
      </c>
      <c r="D1170" s="1081" t="s">
        <v>6</v>
      </c>
      <c r="E1170" s="1082">
        <v>10</v>
      </c>
      <c r="F1170" s="1083">
        <v>22.92</v>
      </c>
      <c r="G1170" s="1083">
        <v>229.2</v>
      </c>
      <c r="H1170" s="1084">
        <f t="shared" si="12"/>
        <v>1.5567318060488434E-5</v>
      </c>
      <c r="I1170" s="1085">
        <f t="shared" si="14"/>
        <v>0.99729359187028144</v>
      </c>
      <c r="J1170" s="1085" t="str">
        <f t="shared" si="13"/>
        <v>C</v>
      </c>
      <c r="K1170" s="1036"/>
      <c r="L1170" s="1036"/>
      <c r="M1170" s="1036"/>
      <c r="N1170" s="1036"/>
      <c r="O1170" s="1036"/>
      <c r="P1170" s="1036"/>
      <c r="Q1170" s="1036"/>
      <c r="R1170" s="1036"/>
      <c r="S1170" s="1036"/>
      <c r="T1170" s="1036"/>
      <c r="U1170" s="1036"/>
      <c r="V1170" s="1036"/>
      <c r="W1170" s="1036"/>
      <c r="X1170" s="1036"/>
      <c r="Y1170" s="1036"/>
      <c r="Z1170" s="1036"/>
    </row>
    <row r="1171" spans="1:26" ht="51">
      <c r="A1171" s="1079" t="s">
        <v>14596</v>
      </c>
      <c r="B1171" s="1080" t="s">
        <v>14472</v>
      </c>
      <c r="C1171" s="1080" t="s">
        <v>14597</v>
      </c>
      <c r="D1171" s="1081" t="s">
        <v>152</v>
      </c>
      <c r="E1171" s="1082">
        <v>28.18</v>
      </c>
      <c r="F1171" s="1083">
        <v>8.1</v>
      </c>
      <c r="G1171" s="1083">
        <v>228.25</v>
      </c>
      <c r="H1171" s="1084">
        <f t="shared" si="12"/>
        <v>1.5502793836415729E-5</v>
      </c>
      <c r="I1171" s="1085">
        <f t="shared" si="14"/>
        <v>0.99730909466411788</v>
      </c>
      <c r="J1171" s="1085" t="str">
        <f t="shared" si="13"/>
        <v>C</v>
      </c>
      <c r="K1171" s="1036"/>
      <c r="L1171" s="1036"/>
      <c r="M1171" s="1036"/>
      <c r="N1171" s="1036"/>
      <c r="O1171" s="1036"/>
      <c r="P1171" s="1036"/>
      <c r="Q1171" s="1036"/>
      <c r="R1171" s="1036"/>
      <c r="S1171" s="1036"/>
      <c r="T1171" s="1036"/>
      <c r="U1171" s="1036"/>
      <c r="V1171" s="1036"/>
      <c r="W1171" s="1036"/>
      <c r="X1171" s="1036"/>
      <c r="Y1171" s="1036"/>
      <c r="Z1171" s="1036"/>
    </row>
    <row r="1172" spans="1:26" ht="38.25">
      <c r="A1172" s="1079" t="s">
        <v>14948</v>
      </c>
      <c r="B1172" s="1080" t="s">
        <v>14472</v>
      </c>
      <c r="C1172" s="1080" t="s">
        <v>14949</v>
      </c>
      <c r="D1172" s="1081" t="s">
        <v>6</v>
      </c>
      <c r="E1172" s="1082">
        <v>1</v>
      </c>
      <c r="F1172" s="1083">
        <v>227.25</v>
      </c>
      <c r="G1172" s="1083">
        <v>227.25</v>
      </c>
      <c r="H1172" s="1084">
        <f t="shared" si="12"/>
        <v>1.5434873600549724E-5</v>
      </c>
      <c r="I1172" s="1085">
        <f t="shared" si="14"/>
        <v>0.99732452953771844</v>
      </c>
      <c r="J1172" s="1085" t="str">
        <f t="shared" si="13"/>
        <v>C</v>
      </c>
      <c r="K1172" s="1036"/>
      <c r="L1172" s="1036"/>
      <c r="M1172" s="1036"/>
      <c r="N1172" s="1036"/>
      <c r="O1172" s="1036"/>
      <c r="P1172" s="1036"/>
      <c r="Q1172" s="1036"/>
      <c r="R1172" s="1036"/>
      <c r="S1172" s="1036"/>
      <c r="T1172" s="1036"/>
      <c r="U1172" s="1036"/>
      <c r="V1172" s="1036"/>
      <c r="W1172" s="1036"/>
      <c r="X1172" s="1036"/>
      <c r="Y1172" s="1036"/>
      <c r="Z1172" s="1036"/>
    </row>
    <row r="1173" spans="1:26" ht="38.25">
      <c r="A1173" s="1079" t="s">
        <v>15428</v>
      </c>
      <c r="B1173" s="1080" t="s">
        <v>14472</v>
      </c>
      <c r="C1173" s="1080" t="s">
        <v>16003</v>
      </c>
      <c r="D1173" s="1081" t="s">
        <v>6</v>
      </c>
      <c r="E1173" s="1082">
        <v>4</v>
      </c>
      <c r="F1173" s="1083">
        <v>56.73</v>
      </c>
      <c r="G1173" s="1083">
        <v>226.92</v>
      </c>
      <c r="H1173" s="1084">
        <f t="shared" si="12"/>
        <v>1.5412459922713942E-5</v>
      </c>
      <c r="I1173" s="1085">
        <f t="shared" si="14"/>
        <v>0.9973399419976412</v>
      </c>
      <c r="J1173" s="1085" t="str">
        <f t="shared" si="13"/>
        <v>C</v>
      </c>
      <c r="K1173" s="1036"/>
      <c r="L1173" s="1036"/>
      <c r="M1173" s="1036"/>
      <c r="N1173" s="1036"/>
      <c r="O1173" s="1036"/>
      <c r="P1173" s="1036"/>
      <c r="Q1173" s="1036"/>
      <c r="R1173" s="1036"/>
      <c r="S1173" s="1036"/>
      <c r="T1173" s="1036"/>
      <c r="U1173" s="1036"/>
      <c r="V1173" s="1036"/>
      <c r="W1173" s="1036"/>
      <c r="X1173" s="1036"/>
      <c r="Y1173" s="1036"/>
      <c r="Z1173" s="1036"/>
    </row>
    <row r="1174" spans="1:26" ht="38.25">
      <c r="A1174" s="1079">
        <v>104916</v>
      </c>
      <c r="B1174" s="1080" t="s">
        <v>14476</v>
      </c>
      <c r="C1174" s="1080" t="s">
        <v>7596</v>
      </c>
      <c r="D1174" s="1081" t="s">
        <v>54</v>
      </c>
      <c r="E1174" s="1082">
        <v>10.4</v>
      </c>
      <c r="F1174" s="1083">
        <v>21.8</v>
      </c>
      <c r="G1174" s="1083">
        <v>226.72</v>
      </c>
      <c r="H1174" s="1084">
        <f t="shared" si="12"/>
        <v>1.5398875875540743E-5</v>
      </c>
      <c r="I1174" s="1085">
        <f t="shared" si="14"/>
        <v>0.99735534087351674</v>
      </c>
      <c r="J1174" s="1085" t="str">
        <f t="shared" si="13"/>
        <v>C</v>
      </c>
      <c r="K1174" s="1036"/>
      <c r="L1174" s="1036"/>
      <c r="M1174" s="1036"/>
      <c r="N1174" s="1036"/>
      <c r="O1174" s="1036"/>
      <c r="P1174" s="1036"/>
      <c r="Q1174" s="1036"/>
      <c r="R1174" s="1036"/>
      <c r="S1174" s="1036"/>
      <c r="T1174" s="1036"/>
      <c r="U1174" s="1036"/>
      <c r="V1174" s="1036"/>
      <c r="W1174" s="1036"/>
      <c r="X1174" s="1036"/>
      <c r="Y1174" s="1036"/>
      <c r="Z1174" s="1036"/>
    </row>
    <row r="1175" spans="1:26" ht="25.5">
      <c r="A1175" s="1079" t="s">
        <v>15272</v>
      </c>
      <c r="B1175" s="1080" t="s">
        <v>14472</v>
      </c>
      <c r="C1175" s="1080" t="s">
        <v>15273</v>
      </c>
      <c r="D1175" s="1081" t="s">
        <v>6</v>
      </c>
      <c r="E1175" s="1082">
        <v>2</v>
      </c>
      <c r="F1175" s="1083">
        <v>112.53</v>
      </c>
      <c r="G1175" s="1083">
        <v>225.06</v>
      </c>
      <c r="H1175" s="1084">
        <f t="shared" si="12"/>
        <v>1.5286128284003174E-5</v>
      </c>
      <c r="I1175" s="1085">
        <f t="shared" si="14"/>
        <v>0.99737062700180079</v>
      </c>
      <c r="J1175" s="1085" t="str">
        <f t="shared" si="13"/>
        <v>C</v>
      </c>
      <c r="K1175" s="1036"/>
      <c r="L1175" s="1036"/>
      <c r="M1175" s="1036"/>
      <c r="N1175" s="1036"/>
      <c r="O1175" s="1036"/>
      <c r="P1175" s="1036"/>
      <c r="Q1175" s="1036"/>
      <c r="R1175" s="1036"/>
      <c r="S1175" s="1036"/>
      <c r="T1175" s="1036"/>
      <c r="U1175" s="1036"/>
      <c r="V1175" s="1036"/>
      <c r="W1175" s="1036"/>
      <c r="X1175" s="1036"/>
      <c r="Y1175" s="1036"/>
      <c r="Z1175" s="1036"/>
    </row>
    <row r="1176" spans="1:26" ht="25.5">
      <c r="A1176" s="1079" t="s">
        <v>15272</v>
      </c>
      <c r="B1176" s="1080" t="s">
        <v>14472</v>
      </c>
      <c r="C1176" s="1080" t="s">
        <v>15273</v>
      </c>
      <c r="D1176" s="1081" t="s">
        <v>6</v>
      </c>
      <c r="E1176" s="1082">
        <v>2</v>
      </c>
      <c r="F1176" s="1083">
        <v>112.53</v>
      </c>
      <c r="G1176" s="1083">
        <v>225.06</v>
      </c>
      <c r="H1176" s="1084">
        <f t="shared" si="12"/>
        <v>1.5286128284003174E-5</v>
      </c>
      <c r="I1176" s="1085">
        <f t="shared" si="14"/>
        <v>0.99738591313008484</v>
      </c>
      <c r="J1176" s="1085" t="str">
        <f t="shared" si="13"/>
        <v>C</v>
      </c>
      <c r="K1176" s="1036"/>
      <c r="L1176" s="1036"/>
      <c r="M1176" s="1036"/>
      <c r="N1176" s="1036"/>
      <c r="O1176" s="1036"/>
      <c r="P1176" s="1036"/>
      <c r="Q1176" s="1036"/>
      <c r="R1176" s="1036"/>
      <c r="S1176" s="1036"/>
      <c r="T1176" s="1036"/>
      <c r="U1176" s="1036"/>
      <c r="V1176" s="1036"/>
      <c r="W1176" s="1036"/>
      <c r="X1176" s="1036"/>
      <c r="Y1176" s="1036"/>
      <c r="Z1176" s="1036"/>
    </row>
    <row r="1177" spans="1:26" ht="38.25">
      <c r="A1177" s="1079" t="s">
        <v>15155</v>
      </c>
      <c r="B1177" s="1080" t="s">
        <v>14472</v>
      </c>
      <c r="C1177" s="1080" t="s">
        <v>16010</v>
      </c>
      <c r="D1177" s="1081" t="s">
        <v>6</v>
      </c>
      <c r="E1177" s="1082">
        <v>2</v>
      </c>
      <c r="F1177" s="1083">
        <v>112.35</v>
      </c>
      <c r="G1177" s="1083">
        <v>224.7</v>
      </c>
      <c r="H1177" s="1084">
        <f t="shared" si="12"/>
        <v>1.5261676999091412E-5</v>
      </c>
      <c r="I1177" s="1085">
        <f t="shared" si="14"/>
        <v>0.9974011748070839</v>
      </c>
      <c r="J1177" s="1085" t="str">
        <f t="shared" si="13"/>
        <v>C</v>
      </c>
      <c r="K1177" s="1036"/>
      <c r="L1177" s="1036"/>
      <c r="M1177" s="1036"/>
      <c r="N1177" s="1036"/>
      <c r="O1177" s="1036"/>
      <c r="P1177" s="1036"/>
      <c r="Q1177" s="1036"/>
      <c r="R1177" s="1036"/>
      <c r="S1177" s="1036"/>
      <c r="T1177" s="1036"/>
      <c r="U1177" s="1036"/>
      <c r="V1177" s="1036"/>
      <c r="W1177" s="1036"/>
      <c r="X1177" s="1036"/>
      <c r="Y1177" s="1036"/>
      <c r="Z1177" s="1036"/>
    </row>
    <row r="1178" spans="1:26" ht="38.25">
      <c r="A1178" s="1079">
        <v>89381</v>
      </c>
      <c r="B1178" s="1080" t="s">
        <v>14476</v>
      </c>
      <c r="C1178" s="1080" t="s">
        <v>8688</v>
      </c>
      <c r="D1178" s="1081" t="s">
        <v>6</v>
      </c>
      <c r="E1178" s="1082">
        <v>16</v>
      </c>
      <c r="F1178" s="1083">
        <v>13.95</v>
      </c>
      <c r="G1178" s="1083">
        <v>223.2</v>
      </c>
      <c r="H1178" s="1084">
        <f t="shared" si="12"/>
        <v>1.5159796645292402E-5</v>
      </c>
      <c r="I1178" s="1085">
        <f t="shared" si="14"/>
        <v>0.99741633460372925</v>
      </c>
      <c r="J1178" s="1085" t="str">
        <f t="shared" si="13"/>
        <v>C</v>
      </c>
      <c r="K1178" s="1036"/>
      <c r="L1178" s="1036"/>
      <c r="M1178" s="1036"/>
      <c r="N1178" s="1036"/>
      <c r="O1178" s="1036"/>
      <c r="P1178" s="1036"/>
      <c r="Q1178" s="1036"/>
      <c r="R1178" s="1036"/>
      <c r="S1178" s="1036"/>
      <c r="T1178" s="1036"/>
      <c r="U1178" s="1036"/>
      <c r="V1178" s="1036"/>
      <c r="W1178" s="1036"/>
      <c r="X1178" s="1036"/>
      <c r="Y1178" s="1036"/>
      <c r="Z1178" s="1036"/>
    </row>
    <row r="1179" spans="1:26" ht="38.25">
      <c r="A1179" s="1079">
        <v>91997</v>
      </c>
      <c r="B1179" s="1080" t="s">
        <v>14476</v>
      </c>
      <c r="C1179" s="1080" t="s">
        <v>8056</v>
      </c>
      <c r="D1179" s="1081" t="s">
        <v>6</v>
      </c>
      <c r="E1179" s="1082">
        <v>5</v>
      </c>
      <c r="F1179" s="1083">
        <v>44.13</v>
      </c>
      <c r="G1179" s="1083">
        <v>220.65</v>
      </c>
      <c r="H1179" s="1084">
        <f t="shared" si="12"/>
        <v>1.498660004383409E-5</v>
      </c>
      <c r="I1179" s="1085">
        <f t="shared" si="14"/>
        <v>0.99743132120377309</v>
      </c>
      <c r="J1179" s="1085" t="str">
        <f t="shared" si="13"/>
        <v>C</v>
      </c>
      <c r="K1179" s="1036"/>
      <c r="L1179" s="1036"/>
      <c r="M1179" s="1036"/>
      <c r="N1179" s="1036"/>
      <c r="O1179" s="1036"/>
      <c r="P1179" s="1036"/>
      <c r="Q1179" s="1036"/>
      <c r="R1179" s="1036"/>
      <c r="S1179" s="1036"/>
      <c r="T1179" s="1036"/>
      <c r="U1179" s="1036"/>
      <c r="V1179" s="1036"/>
      <c r="W1179" s="1036"/>
      <c r="X1179" s="1036"/>
      <c r="Y1179" s="1036"/>
      <c r="Z1179" s="1036"/>
    </row>
    <row r="1180" spans="1:26" ht="51">
      <c r="A1180" s="1079">
        <v>90466</v>
      </c>
      <c r="B1180" s="1080" t="s">
        <v>14476</v>
      </c>
      <c r="C1180" s="1080" t="s">
        <v>10391</v>
      </c>
      <c r="D1180" s="1081" t="s">
        <v>50</v>
      </c>
      <c r="E1180" s="1082">
        <v>12</v>
      </c>
      <c r="F1180" s="1083">
        <v>18.350000000000001</v>
      </c>
      <c r="G1180" s="1083">
        <v>220.2</v>
      </c>
      <c r="H1180" s="1084">
        <f t="shared" si="12"/>
        <v>1.4956035937694386E-5</v>
      </c>
      <c r="I1180" s="1085">
        <f t="shared" si="14"/>
        <v>0.9974462772397108</v>
      </c>
      <c r="J1180" s="1085" t="str">
        <f t="shared" si="13"/>
        <v>C</v>
      </c>
      <c r="K1180" s="1036"/>
      <c r="L1180" s="1036"/>
      <c r="M1180" s="1036"/>
      <c r="N1180" s="1036"/>
      <c r="O1180" s="1036"/>
      <c r="P1180" s="1036"/>
      <c r="Q1180" s="1036"/>
      <c r="R1180" s="1036"/>
      <c r="S1180" s="1036"/>
      <c r="T1180" s="1036"/>
      <c r="U1180" s="1036"/>
      <c r="V1180" s="1036"/>
      <c r="W1180" s="1036"/>
      <c r="X1180" s="1036"/>
      <c r="Y1180" s="1036"/>
      <c r="Z1180" s="1036"/>
    </row>
    <row r="1181" spans="1:26" ht="51">
      <c r="A1181" s="1079">
        <v>97886</v>
      </c>
      <c r="B1181" s="1080" t="s">
        <v>14476</v>
      </c>
      <c r="C1181" s="1080" t="s">
        <v>7935</v>
      </c>
      <c r="D1181" s="1081" t="s">
        <v>6</v>
      </c>
      <c r="E1181" s="1082">
        <v>1</v>
      </c>
      <c r="F1181" s="1083">
        <v>219.11</v>
      </c>
      <c r="G1181" s="1083">
        <v>219.11</v>
      </c>
      <c r="H1181" s="1084">
        <f t="shared" si="12"/>
        <v>1.4882002880600442E-5</v>
      </c>
      <c r="I1181" s="1085">
        <f t="shared" si="14"/>
        <v>0.99746115924259138</v>
      </c>
      <c r="J1181" s="1085" t="str">
        <f t="shared" si="13"/>
        <v>C</v>
      </c>
      <c r="K1181" s="1036"/>
      <c r="L1181" s="1036"/>
      <c r="M1181" s="1036"/>
      <c r="N1181" s="1036"/>
      <c r="O1181" s="1036"/>
      <c r="P1181" s="1036"/>
      <c r="Q1181" s="1036"/>
      <c r="R1181" s="1036"/>
      <c r="S1181" s="1036"/>
      <c r="T1181" s="1036"/>
      <c r="U1181" s="1036"/>
      <c r="V1181" s="1036"/>
      <c r="W1181" s="1036"/>
      <c r="X1181" s="1036"/>
      <c r="Y1181" s="1036"/>
      <c r="Z1181" s="1036"/>
    </row>
    <row r="1182" spans="1:26" ht="25.5">
      <c r="A1182" s="1079">
        <v>101616</v>
      </c>
      <c r="B1182" s="1080" t="s">
        <v>14476</v>
      </c>
      <c r="C1182" s="1080" t="s">
        <v>10747</v>
      </c>
      <c r="D1182" s="1081" t="s">
        <v>409</v>
      </c>
      <c r="E1182" s="1082">
        <v>29.7</v>
      </c>
      <c r="F1182" s="1083">
        <v>7.37</v>
      </c>
      <c r="G1182" s="1083">
        <v>218.88</v>
      </c>
      <c r="H1182" s="1084">
        <f t="shared" si="12"/>
        <v>1.4866381226351259E-5</v>
      </c>
      <c r="I1182" s="1085">
        <f t="shared" si="14"/>
        <v>0.99747602562381776</v>
      </c>
      <c r="J1182" s="1085" t="str">
        <f t="shared" si="13"/>
        <v>C</v>
      </c>
      <c r="K1182" s="1036"/>
      <c r="L1182" s="1036"/>
      <c r="M1182" s="1036"/>
      <c r="N1182" s="1036"/>
      <c r="O1182" s="1036"/>
      <c r="P1182" s="1036"/>
      <c r="Q1182" s="1036"/>
      <c r="R1182" s="1036"/>
      <c r="S1182" s="1036"/>
      <c r="T1182" s="1036"/>
      <c r="U1182" s="1036"/>
      <c r="V1182" s="1036"/>
      <c r="W1182" s="1036"/>
      <c r="X1182" s="1036"/>
      <c r="Y1182" s="1036"/>
      <c r="Z1182" s="1036"/>
    </row>
    <row r="1183" spans="1:26" ht="38.25">
      <c r="A1183" s="1079">
        <v>92759</v>
      </c>
      <c r="B1183" s="1080" t="s">
        <v>14476</v>
      </c>
      <c r="C1183" s="1080" t="s">
        <v>7428</v>
      </c>
      <c r="D1183" s="1081" t="s">
        <v>54</v>
      </c>
      <c r="E1183" s="1082">
        <v>11.6</v>
      </c>
      <c r="F1183" s="1083">
        <v>18.77</v>
      </c>
      <c r="G1183" s="1083">
        <v>217.73</v>
      </c>
      <c r="H1183" s="1084">
        <f t="shared" si="12"/>
        <v>1.4788272955105353E-5</v>
      </c>
      <c r="I1183" s="1085">
        <f t="shared" si="14"/>
        <v>0.99749081389677285</v>
      </c>
      <c r="J1183" s="1085" t="str">
        <f t="shared" si="13"/>
        <v>C</v>
      </c>
      <c r="K1183" s="1036"/>
      <c r="L1183" s="1036"/>
      <c r="M1183" s="1036"/>
      <c r="N1183" s="1036"/>
      <c r="O1183" s="1036"/>
      <c r="P1183" s="1036"/>
      <c r="Q1183" s="1036"/>
      <c r="R1183" s="1036"/>
      <c r="S1183" s="1036"/>
      <c r="T1183" s="1036"/>
      <c r="U1183" s="1036"/>
      <c r="V1183" s="1036"/>
      <c r="W1183" s="1036"/>
      <c r="X1183" s="1036"/>
      <c r="Y1183" s="1036"/>
      <c r="Z1183" s="1036"/>
    </row>
    <row r="1184" spans="1:26" ht="25.5">
      <c r="A1184" s="1079">
        <v>93660</v>
      </c>
      <c r="B1184" s="1080" t="s">
        <v>14476</v>
      </c>
      <c r="C1184" s="1080" t="s">
        <v>7961</v>
      </c>
      <c r="D1184" s="1081" t="s">
        <v>6</v>
      </c>
      <c r="E1184" s="1082">
        <v>3</v>
      </c>
      <c r="F1184" s="1083">
        <v>72.03</v>
      </c>
      <c r="G1184" s="1083">
        <v>216.09</v>
      </c>
      <c r="H1184" s="1084">
        <f t="shared" si="12"/>
        <v>1.4676883768285106E-5</v>
      </c>
      <c r="I1184" s="1085">
        <f t="shared" si="14"/>
        <v>0.99750549078054118</v>
      </c>
      <c r="J1184" s="1085" t="str">
        <f t="shared" si="13"/>
        <v>C</v>
      </c>
      <c r="K1184" s="1036"/>
      <c r="L1184" s="1036"/>
      <c r="M1184" s="1036"/>
      <c r="N1184" s="1036"/>
      <c r="O1184" s="1036"/>
      <c r="P1184" s="1036"/>
      <c r="Q1184" s="1036"/>
      <c r="R1184" s="1036"/>
      <c r="S1184" s="1036"/>
      <c r="T1184" s="1036"/>
      <c r="U1184" s="1036"/>
      <c r="V1184" s="1036"/>
      <c r="W1184" s="1036"/>
      <c r="X1184" s="1036"/>
      <c r="Y1184" s="1036"/>
      <c r="Z1184" s="1036"/>
    </row>
    <row r="1185" spans="1:26" ht="38.25">
      <c r="A1185" s="1079">
        <v>94665</v>
      </c>
      <c r="B1185" s="1080" t="s">
        <v>14476</v>
      </c>
      <c r="C1185" s="1080" t="s">
        <v>9361</v>
      </c>
      <c r="D1185" s="1081" t="s">
        <v>6</v>
      </c>
      <c r="E1185" s="1082">
        <v>8</v>
      </c>
      <c r="F1185" s="1083">
        <v>26.98</v>
      </c>
      <c r="G1185" s="1083">
        <v>215.84</v>
      </c>
      <c r="H1185" s="1084">
        <f t="shared" si="12"/>
        <v>1.4659903709318604E-5</v>
      </c>
      <c r="I1185" s="1085">
        <f t="shared" si="14"/>
        <v>0.99752015068425048</v>
      </c>
      <c r="J1185" s="1085" t="str">
        <f t="shared" si="13"/>
        <v>C</v>
      </c>
      <c r="K1185" s="1036"/>
      <c r="L1185" s="1036"/>
      <c r="M1185" s="1036"/>
      <c r="N1185" s="1036"/>
      <c r="O1185" s="1036"/>
      <c r="P1185" s="1036"/>
      <c r="Q1185" s="1036"/>
      <c r="R1185" s="1036"/>
      <c r="S1185" s="1036"/>
      <c r="T1185" s="1036"/>
      <c r="U1185" s="1036"/>
      <c r="V1185" s="1036"/>
      <c r="W1185" s="1036"/>
      <c r="X1185" s="1036"/>
      <c r="Y1185" s="1036"/>
      <c r="Z1185" s="1036"/>
    </row>
    <row r="1186" spans="1:26" ht="51">
      <c r="A1186" s="1079">
        <v>89585</v>
      </c>
      <c r="B1186" s="1080" t="s">
        <v>14476</v>
      </c>
      <c r="C1186" s="1080" t="s">
        <v>8829</v>
      </c>
      <c r="D1186" s="1081" t="s">
        <v>6</v>
      </c>
      <c r="E1186" s="1082">
        <v>4</v>
      </c>
      <c r="F1186" s="1083">
        <v>53.67</v>
      </c>
      <c r="G1186" s="1083">
        <v>214.68</v>
      </c>
      <c r="H1186" s="1084">
        <f t="shared" si="12"/>
        <v>1.4581116235714038E-5</v>
      </c>
      <c r="I1186" s="1085">
        <f t="shared" si="14"/>
        <v>0.99753473180048624</v>
      </c>
      <c r="J1186" s="1085" t="str">
        <f t="shared" si="13"/>
        <v>C</v>
      </c>
      <c r="K1186" s="1036"/>
      <c r="L1186" s="1036"/>
      <c r="M1186" s="1036"/>
      <c r="N1186" s="1036"/>
      <c r="O1186" s="1036"/>
      <c r="P1186" s="1036"/>
      <c r="Q1186" s="1036"/>
      <c r="R1186" s="1036"/>
      <c r="S1186" s="1036"/>
      <c r="T1186" s="1036"/>
      <c r="U1186" s="1036"/>
      <c r="V1186" s="1036"/>
      <c r="W1186" s="1036"/>
      <c r="X1186" s="1036"/>
      <c r="Y1186" s="1036"/>
      <c r="Z1186" s="1036"/>
    </row>
    <row r="1187" spans="1:26" ht="25.5">
      <c r="A1187" s="1079" t="s">
        <v>15309</v>
      </c>
      <c r="B1187" s="1080" t="s">
        <v>14472</v>
      </c>
      <c r="C1187" s="1080" t="s">
        <v>15310</v>
      </c>
      <c r="D1187" s="1081" t="s">
        <v>6</v>
      </c>
      <c r="E1187" s="1082">
        <v>100</v>
      </c>
      <c r="F1187" s="1083">
        <v>2.13</v>
      </c>
      <c r="G1187" s="1083">
        <v>213</v>
      </c>
      <c r="H1187" s="1084">
        <f t="shared" si="12"/>
        <v>1.4467010239459148E-5</v>
      </c>
      <c r="I1187" s="1085">
        <f t="shared" si="14"/>
        <v>0.99754919881072568</v>
      </c>
      <c r="J1187" s="1085" t="str">
        <f t="shared" si="13"/>
        <v>C</v>
      </c>
      <c r="K1187" s="1036"/>
      <c r="L1187" s="1036"/>
      <c r="M1187" s="1036"/>
      <c r="N1187" s="1036"/>
      <c r="O1187" s="1036"/>
      <c r="P1187" s="1036"/>
      <c r="Q1187" s="1036"/>
      <c r="R1187" s="1036"/>
      <c r="S1187" s="1036"/>
      <c r="T1187" s="1036"/>
      <c r="U1187" s="1036"/>
      <c r="V1187" s="1036"/>
      <c r="W1187" s="1036"/>
      <c r="X1187" s="1036"/>
      <c r="Y1187" s="1036"/>
      <c r="Z1187" s="1036"/>
    </row>
    <row r="1188" spans="1:26" ht="25.5">
      <c r="A1188" s="1079" t="s">
        <v>15309</v>
      </c>
      <c r="B1188" s="1080" t="s">
        <v>14472</v>
      </c>
      <c r="C1188" s="1080" t="s">
        <v>15310</v>
      </c>
      <c r="D1188" s="1081" t="s">
        <v>6</v>
      </c>
      <c r="E1188" s="1082">
        <v>100</v>
      </c>
      <c r="F1188" s="1083">
        <v>2.13</v>
      </c>
      <c r="G1188" s="1083">
        <v>213</v>
      </c>
      <c r="H1188" s="1084">
        <f t="shared" si="12"/>
        <v>1.4467010239459148E-5</v>
      </c>
      <c r="I1188" s="1085">
        <f t="shared" si="14"/>
        <v>0.99756366582096512</v>
      </c>
      <c r="J1188" s="1085" t="str">
        <f t="shared" si="13"/>
        <v>C</v>
      </c>
      <c r="K1188" s="1036"/>
      <c r="L1188" s="1036"/>
      <c r="M1188" s="1036"/>
      <c r="N1188" s="1036"/>
      <c r="O1188" s="1036"/>
      <c r="P1188" s="1036"/>
      <c r="Q1188" s="1036"/>
      <c r="R1188" s="1036"/>
      <c r="S1188" s="1036"/>
      <c r="T1188" s="1036"/>
      <c r="U1188" s="1036"/>
      <c r="V1188" s="1036"/>
      <c r="W1188" s="1036"/>
      <c r="X1188" s="1036"/>
      <c r="Y1188" s="1036"/>
      <c r="Z1188" s="1036"/>
    </row>
    <row r="1189" spans="1:26" ht="38.25">
      <c r="A1189" s="1079">
        <v>89402</v>
      </c>
      <c r="B1189" s="1080" t="s">
        <v>14476</v>
      </c>
      <c r="C1189" s="1080" t="s">
        <v>8422</v>
      </c>
      <c r="D1189" s="1081" t="s">
        <v>50</v>
      </c>
      <c r="E1189" s="1082">
        <v>15</v>
      </c>
      <c r="F1189" s="1083">
        <v>14</v>
      </c>
      <c r="G1189" s="1083">
        <v>210</v>
      </c>
      <c r="H1189" s="1084">
        <f t="shared" si="12"/>
        <v>1.4263249531861132E-5</v>
      </c>
      <c r="I1189" s="1085">
        <f t="shared" si="14"/>
        <v>0.99757792907049703</v>
      </c>
      <c r="J1189" s="1085" t="str">
        <f t="shared" si="13"/>
        <v>C</v>
      </c>
      <c r="K1189" s="1036"/>
      <c r="L1189" s="1036"/>
      <c r="M1189" s="1036"/>
      <c r="N1189" s="1036"/>
      <c r="O1189" s="1036"/>
      <c r="P1189" s="1036"/>
      <c r="Q1189" s="1036"/>
      <c r="R1189" s="1036"/>
      <c r="S1189" s="1036"/>
      <c r="T1189" s="1036"/>
      <c r="U1189" s="1036"/>
      <c r="V1189" s="1036"/>
      <c r="W1189" s="1036"/>
      <c r="X1189" s="1036"/>
      <c r="Y1189" s="1036"/>
      <c r="Z1189" s="1036"/>
    </row>
    <row r="1190" spans="1:26" ht="25.5">
      <c r="A1190" s="1079">
        <v>96616</v>
      </c>
      <c r="B1190" s="1080" t="s">
        <v>14476</v>
      </c>
      <c r="C1190" s="1080" t="s">
        <v>7163</v>
      </c>
      <c r="D1190" s="1081" t="s">
        <v>152</v>
      </c>
      <c r="E1190" s="1082">
        <v>0.2</v>
      </c>
      <c r="F1190" s="1083">
        <v>1048.5999999999999</v>
      </c>
      <c r="G1190" s="1083">
        <v>209.72</v>
      </c>
      <c r="H1190" s="1084">
        <f t="shared" si="12"/>
        <v>1.424423186581865E-5</v>
      </c>
      <c r="I1190" s="1085">
        <f t="shared" si="14"/>
        <v>0.99759217330236283</v>
      </c>
      <c r="J1190" s="1085" t="str">
        <f t="shared" si="13"/>
        <v>C</v>
      </c>
      <c r="K1190" s="1036"/>
      <c r="L1190" s="1036"/>
      <c r="M1190" s="1036"/>
      <c r="N1190" s="1036"/>
      <c r="O1190" s="1036"/>
      <c r="P1190" s="1036"/>
      <c r="Q1190" s="1036"/>
      <c r="R1190" s="1036"/>
      <c r="S1190" s="1036"/>
      <c r="T1190" s="1036"/>
      <c r="U1190" s="1036"/>
      <c r="V1190" s="1036"/>
      <c r="W1190" s="1036"/>
      <c r="X1190" s="1036"/>
      <c r="Y1190" s="1036"/>
      <c r="Z1190" s="1036"/>
    </row>
    <row r="1191" spans="1:26" ht="38.25">
      <c r="A1191" s="1079">
        <v>94679</v>
      </c>
      <c r="B1191" s="1080" t="s">
        <v>14476</v>
      </c>
      <c r="C1191" s="1080" t="s">
        <v>9375</v>
      </c>
      <c r="D1191" s="1081" t="s">
        <v>6</v>
      </c>
      <c r="E1191" s="1082">
        <v>8</v>
      </c>
      <c r="F1191" s="1083">
        <v>26.15</v>
      </c>
      <c r="G1191" s="1083">
        <v>209.2</v>
      </c>
      <c r="H1191" s="1084">
        <f t="shared" si="12"/>
        <v>1.4208913343168327E-5</v>
      </c>
      <c r="I1191" s="1085">
        <f t="shared" si="14"/>
        <v>0.99760638221570597</v>
      </c>
      <c r="J1191" s="1085" t="str">
        <f t="shared" si="13"/>
        <v>C</v>
      </c>
      <c r="K1191" s="1036"/>
      <c r="L1191" s="1036"/>
      <c r="M1191" s="1036"/>
      <c r="N1191" s="1036"/>
      <c r="O1191" s="1036"/>
      <c r="P1191" s="1036"/>
      <c r="Q1191" s="1036"/>
      <c r="R1191" s="1036"/>
      <c r="S1191" s="1036"/>
      <c r="T1191" s="1036"/>
      <c r="U1191" s="1036"/>
      <c r="V1191" s="1036"/>
      <c r="W1191" s="1036"/>
      <c r="X1191" s="1036"/>
      <c r="Y1191" s="1036"/>
      <c r="Z1191" s="1036"/>
    </row>
    <row r="1192" spans="1:26" ht="38.25">
      <c r="A1192" s="1079">
        <v>91996</v>
      </c>
      <c r="B1192" s="1080" t="s">
        <v>14476</v>
      </c>
      <c r="C1192" s="1080" t="s">
        <v>8055</v>
      </c>
      <c r="D1192" s="1081" t="s">
        <v>6</v>
      </c>
      <c r="E1192" s="1082">
        <v>5</v>
      </c>
      <c r="F1192" s="1083">
        <v>41.55</v>
      </c>
      <c r="G1192" s="1083">
        <v>207.75</v>
      </c>
      <c r="H1192" s="1084">
        <f t="shared" si="12"/>
        <v>1.4110429001162619E-5</v>
      </c>
      <c r="I1192" s="1085">
        <f t="shared" si="14"/>
        <v>0.99762049264470709</v>
      </c>
      <c r="J1192" s="1085" t="str">
        <f t="shared" si="13"/>
        <v>C</v>
      </c>
      <c r="K1192" s="1036"/>
      <c r="L1192" s="1036"/>
      <c r="M1192" s="1036"/>
      <c r="N1192" s="1036"/>
      <c r="O1192" s="1036"/>
      <c r="P1192" s="1036"/>
      <c r="Q1192" s="1036"/>
      <c r="R1192" s="1036"/>
      <c r="S1192" s="1036"/>
      <c r="T1192" s="1036"/>
      <c r="U1192" s="1036"/>
      <c r="V1192" s="1036"/>
      <c r="W1192" s="1036"/>
      <c r="X1192" s="1036"/>
      <c r="Y1192" s="1036"/>
      <c r="Z1192" s="1036"/>
    </row>
    <row r="1193" spans="1:26" ht="38.25">
      <c r="A1193" s="1079">
        <v>91996</v>
      </c>
      <c r="B1193" s="1080" t="s">
        <v>14476</v>
      </c>
      <c r="C1193" s="1080" t="s">
        <v>8055</v>
      </c>
      <c r="D1193" s="1081" t="s">
        <v>6</v>
      </c>
      <c r="E1193" s="1082">
        <v>5</v>
      </c>
      <c r="F1193" s="1083">
        <v>41.55</v>
      </c>
      <c r="G1193" s="1083">
        <v>207.75</v>
      </c>
      <c r="H1193" s="1084">
        <f t="shared" si="12"/>
        <v>1.4110429001162619E-5</v>
      </c>
      <c r="I1193" s="1085">
        <f t="shared" si="14"/>
        <v>0.99763460307370821</v>
      </c>
      <c r="J1193" s="1085" t="str">
        <f t="shared" si="13"/>
        <v>C</v>
      </c>
      <c r="K1193" s="1036"/>
      <c r="L1193" s="1036"/>
      <c r="M1193" s="1036"/>
      <c r="N1193" s="1036"/>
      <c r="O1193" s="1036"/>
      <c r="P1193" s="1036"/>
      <c r="Q1193" s="1036"/>
      <c r="R1193" s="1036"/>
      <c r="S1193" s="1036"/>
      <c r="T1193" s="1036"/>
      <c r="U1193" s="1036"/>
      <c r="V1193" s="1036"/>
      <c r="W1193" s="1036"/>
      <c r="X1193" s="1036"/>
      <c r="Y1193" s="1036"/>
      <c r="Z1193" s="1036"/>
    </row>
    <row r="1194" spans="1:26" ht="51">
      <c r="A1194" s="1079">
        <v>96557</v>
      </c>
      <c r="B1194" s="1080" t="s">
        <v>14476</v>
      </c>
      <c r="C1194" s="1080" t="s">
        <v>7547</v>
      </c>
      <c r="D1194" s="1081" t="s">
        <v>152</v>
      </c>
      <c r="E1194" s="1082">
        <v>0.17</v>
      </c>
      <c r="F1194" s="1083">
        <v>1215.1300000000001</v>
      </c>
      <c r="G1194" s="1083">
        <v>206.57</v>
      </c>
      <c r="H1194" s="1084">
        <f t="shared" si="12"/>
        <v>1.4030283122840733E-5</v>
      </c>
      <c r="I1194" s="1085">
        <f t="shared" si="14"/>
        <v>0.99764863335683107</v>
      </c>
      <c r="J1194" s="1085" t="str">
        <f t="shared" si="13"/>
        <v>C</v>
      </c>
      <c r="K1194" s="1036"/>
      <c r="L1194" s="1036"/>
      <c r="M1194" s="1036"/>
      <c r="N1194" s="1036"/>
      <c r="O1194" s="1036"/>
      <c r="P1194" s="1036"/>
      <c r="Q1194" s="1036"/>
      <c r="R1194" s="1036"/>
      <c r="S1194" s="1036"/>
      <c r="T1194" s="1036"/>
      <c r="U1194" s="1036"/>
      <c r="V1194" s="1036"/>
      <c r="W1194" s="1036"/>
      <c r="X1194" s="1036"/>
      <c r="Y1194" s="1036"/>
      <c r="Z1194" s="1036"/>
    </row>
    <row r="1195" spans="1:26" ht="38.25">
      <c r="A1195" s="1079">
        <v>89363</v>
      </c>
      <c r="B1195" s="1080" t="s">
        <v>14476</v>
      </c>
      <c r="C1195" s="1080" t="s">
        <v>8670</v>
      </c>
      <c r="D1195" s="1081" t="s">
        <v>6</v>
      </c>
      <c r="E1195" s="1082">
        <v>17</v>
      </c>
      <c r="F1195" s="1083">
        <v>12.07</v>
      </c>
      <c r="G1195" s="1083">
        <v>205.19</v>
      </c>
      <c r="H1195" s="1084">
        <f t="shared" si="12"/>
        <v>1.3936553197345645E-5</v>
      </c>
      <c r="I1195" s="1085">
        <f t="shared" si="14"/>
        <v>0.99766256991002844</v>
      </c>
      <c r="J1195" s="1085" t="str">
        <f t="shared" si="13"/>
        <v>C</v>
      </c>
      <c r="K1195" s="1036"/>
      <c r="L1195" s="1036"/>
      <c r="M1195" s="1036"/>
      <c r="N1195" s="1036"/>
      <c r="O1195" s="1036"/>
      <c r="P1195" s="1036"/>
      <c r="Q1195" s="1036"/>
      <c r="R1195" s="1036"/>
      <c r="S1195" s="1036"/>
      <c r="T1195" s="1036"/>
      <c r="U1195" s="1036"/>
      <c r="V1195" s="1036"/>
      <c r="W1195" s="1036"/>
      <c r="X1195" s="1036"/>
      <c r="Y1195" s="1036"/>
      <c r="Z1195" s="1036"/>
    </row>
    <row r="1196" spans="1:26" ht="51">
      <c r="A1196" s="1079" t="s">
        <v>14596</v>
      </c>
      <c r="B1196" s="1080" t="s">
        <v>14472</v>
      </c>
      <c r="C1196" s="1080" t="s">
        <v>14597</v>
      </c>
      <c r="D1196" s="1081" t="s">
        <v>152</v>
      </c>
      <c r="E1196" s="1082">
        <v>25.19</v>
      </c>
      <c r="F1196" s="1083">
        <v>8.1</v>
      </c>
      <c r="G1196" s="1083">
        <v>204.03</v>
      </c>
      <c r="H1196" s="1084">
        <f t="shared" si="12"/>
        <v>1.385776572374108E-5</v>
      </c>
      <c r="I1196" s="1085">
        <f t="shared" si="14"/>
        <v>0.99767642767575215</v>
      </c>
      <c r="J1196" s="1085" t="str">
        <f t="shared" si="13"/>
        <v>C</v>
      </c>
      <c r="K1196" s="1036"/>
      <c r="L1196" s="1036"/>
      <c r="M1196" s="1036"/>
      <c r="N1196" s="1036"/>
      <c r="O1196" s="1036"/>
      <c r="P1196" s="1036"/>
      <c r="Q1196" s="1036"/>
      <c r="R1196" s="1036"/>
      <c r="S1196" s="1036"/>
      <c r="T1196" s="1036"/>
      <c r="U1196" s="1036"/>
      <c r="V1196" s="1036"/>
      <c r="W1196" s="1036"/>
      <c r="X1196" s="1036"/>
      <c r="Y1196" s="1036"/>
      <c r="Z1196" s="1036"/>
    </row>
    <row r="1197" spans="1:26" ht="51">
      <c r="A1197" s="1079">
        <v>89744</v>
      </c>
      <c r="B1197" s="1080" t="s">
        <v>14476</v>
      </c>
      <c r="C1197" s="1080" t="s">
        <v>8957</v>
      </c>
      <c r="D1197" s="1081" t="s">
        <v>6</v>
      </c>
      <c r="E1197" s="1082">
        <v>6</v>
      </c>
      <c r="F1197" s="1083">
        <v>33.520000000000003</v>
      </c>
      <c r="G1197" s="1083">
        <v>201.12</v>
      </c>
      <c r="H1197" s="1084">
        <f t="shared" si="12"/>
        <v>1.3660117837371005E-5</v>
      </c>
      <c r="I1197" s="1085">
        <f t="shared" si="14"/>
        <v>0.99769008779358948</v>
      </c>
      <c r="J1197" s="1085" t="str">
        <f t="shared" si="13"/>
        <v>C</v>
      </c>
      <c r="K1197" s="1036"/>
      <c r="L1197" s="1036"/>
      <c r="M1197" s="1036"/>
      <c r="N1197" s="1036"/>
      <c r="O1197" s="1036"/>
      <c r="P1197" s="1036"/>
      <c r="Q1197" s="1036"/>
      <c r="R1197" s="1036"/>
      <c r="S1197" s="1036"/>
      <c r="T1197" s="1036"/>
      <c r="U1197" s="1036"/>
      <c r="V1197" s="1036"/>
      <c r="W1197" s="1036"/>
      <c r="X1197" s="1036"/>
      <c r="Y1197" s="1036"/>
      <c r="Z1197" s="1036"/>
    </row>
    <row r="1198" spans="1:26" ht="51">
      <c r="A1198" s="1079">
        <v>89744</v>
      </c>
      <c r="B1198" s="1080" t="s">
        <v>14476</v>
      </c>
      <c r="C1198" s="1080" t="s">
        <v>8957</v>
      </c>
      <c r="D1198" s="1081" t="s">
        <v>6</v>
      </c>
      <c r="E1198" s="1082">
        <v>6</v>
      </c>
      <c r="F1198" s="1083">
        <v>33.520000000000003</v>
      </c>
      <c r="G1198" s="1083">
        <v>201.12</v>
      </c>
      <c r="H1198" s="1084">
        <f t="shared" si="12"/>
        <v>1.3660117837371005E-5</v>
      </c>
      <c r="I1198" s="1085">
        <f t="shared" si="14"/>
        <v>0.9977037479114268</v>
      </c>
      <c r="J1198" s="1085" t="str">
        <f t="shared" si="13"/>
        <v>C</v>
      </c>
      <c r="K1198" s="1036"/>
      <c r="L1198" s="1036"/>
      <c r="M1198" s="1036"/>
      <c r="N1198" s="1036"/>
      <c r="O1198" s="1036"/>
      <c r="P1198" s="1036"/>
      <c r="Q1198" s="1036"/>
      <c r="R1198" s="1036"/>
      <c r="S1198" s="1036"/>
      <c r="T1198" s="1036"/>
      <c r="U1198" s="1036"/>
      <c r="V1198" s="1036"/>
      <c r="W1198" s="1036"/>
      <c r="X1198" s="1036"/>
      <c r="Y1198" s="1036"/>
      <c r="Z1198" s="1036"/>
    </row>
    <row r="1199" spans="1:26" ht="51">
      <c r="A1199" s="1079">
        <v>89744</v>
      </c>
      <c r="B1199" s="1080" t="s">
        <v>14476</v>
      </c>
      <c r="C1199" s="1080" t="s">
        <v>8957</v>
      </c>
      <c r="D1199" s="1081" t="s">
        <v>6</v>
      </c>
      <c r="E1199" s="1082">
        <v>6</v>
      </c>
      <c r="F1199" s="1083">
        <v>33.520000000000003</v>
      </c>
      <c r="G1199" s="1083">
        <v>201.12</v>
      </c>
      <c r="H1199" s="1084">
        <f t="shared" si="12"/>
        <v>1.3660117837371005E-5</v>
      </c>
      <c r="I1199" s="1085">
        <f t="shared" si="14"/>
        <v>0.99771740802926412</v>
      </c>
      <c r="J1199" s="1085" t="str">
        <f t="shared" si="13"/>
        <v>C</v>
      </c>
      <c r="K1199" s="1036"/>
      <c r="L1199" s="1036"/>
      <c r="M1199" s="1036"/>
      <c r="N1199" s="1036"/>
      <c r="O1199" s="1036"/>
      <c r="P1199" s="1036"/>
      <c r="Q1199" s="1036"/>
      <c r="R1199" s="1036"/>
      <c r="S1199" s="1036"/>
      <c r="T1199" s="1036"/>
      <c r="U1199" s="1036"/>
      <c r="V1199" s="1036"/>
      <c r="W1199" s="1036"/>
      <c r="X1199" s="1036"/>
      <c r="Y1199" s="1036"/>
      <c r="Z1199" s="1036"/>
    </row>
    <row r="1200" spans="1:26" ht="38.25">
      <c r="A1200" s="1079">
        <v>100938</v>
      </c>
      <c r="B1200" s="1080" t="s">
        <v>14476</v>
      </c>
      <c r="C1200" s="1080" t="s">
        <v>11938</v>
      </c>
      <c r="D1200" s="1081" t="s">
        <v>11696</v>
      </c>
      <c r="E1200" s="1082">
        <v>21.11</v>
      </c>
      <c r="F1200" s="1083">
        <v>9.4700000000000006</v>
      </c>
      <c r="G1200" s="1083">
        <v>199.93</v>
      </c>
      <c r="H1200" s="1084">
        <f t="shared" si="12"/>
        <v>1.3579292756690458E-5</v>
      </c>
      <c r="I1200" s="1085">
        <f t="shared" si="14"/>
        <v>0.99773098732202081</v>
      </c>
      <c r="J1200" s="1085" t="str">
        <f t="shared" si="13"/>
        <v>C</v>
      </c>
      <c r="K1200" s="1036"/>
      <c r="L1200" s="1036"/>
      <c r="M1200" s="1036"/>
      <c r="N1200" s="1036"/>
      <c r="O1200" s="1036"/>
      <c r="P1200" s="1036"/>
      <c r="Q1200" s="1036"/>
      <c r="R1200" s="1036"/>
      <c r="S1200" s="1036"/>
      <c r="T1200" s="1036"/>
      <c r="U1200" s="1036"/>
      <c r="V1200" s="1036"/>
      <c r="W1200" s="1036"/>
      <c r="X1200" s="1036"/>
      <c r="Y1200" s="1036"/>
      <c r="Z1200" s="1036"/>
    </row>
    <row r="1201" spans="1:26" ht="51">
      <c r="A1201" s="1079">
        <v>89731</v>
      </c>
      <c r="B1201" s="1080" t="s">
        <v>14476</v>
      </c>
      <c r="C1201" s="1080" t="s">
        <v>8944</v>
      </c>
      <c r="D1201" s="1081" t="s">
        <v>6</v>
      </c>
      <c r="E1201" s="1082">
        <v>11</v>
      </c>
      <c r="F1201" s="1083">
        <v>18.100000000000001</v>
      </c>
      <c r="G1201" s="1083">
        <v>199.1</v>
      </c>
      <c r="H1201" s="1084">
        <f t="shared" si="12"/>
        <v>1.3522918960921673E-5</v>
      </c>
      <c r="I1201" s="1085">
        <f t="shared" si="14"/>
        <v>0.99774451024098176</v>
      </c>
      <c r="J1201" s="1085" t="str">
        <f t="shared" si="13"/>
        <v>C</v>
      </c>
      <c r="K1201" s="1036"/>
      <c r="L1201" s="1036"/>
      <c r="M1201" s="1036"/>
      <c r="N1201" s="1036"/>
      <c r="O1201" s="1036"/>
      <c r="P1201" s="1036"/>
      <c r="Q1201" s="1036"/>
      <c r="R1201" s="1036"/>
      <c r="S1201" s="1036"/>
      <c r="T1201" s="1036"/>
      <c r="U1201" s="1036"/>
      <c r="V1201" s="1036"/>
      <c r="W1201" s="1036"/>
      <c r="X1201" s="1036"/>
      <c r="Y1201" s="1036"/>
      <c r="Z1201" s="1036"/>
    </row>
    <row r="1202" spans="1:26" ht="38.25">
      <c r="A1202" s="1079">
        <v>91941</v>
      </c>
      <c r="B1202" s="1080" t="s">
        <v>14476</v>
      </c>
      <c r="C1202" s="1080" t="s">
        <v>7887</v>
      </c>
      <c r="D1202" s="1081" t="s">
        <v>6</v>
      </c>
      <c r="E1202" s="1082">
        <v>14</v>
      </c>
      <c r="F1202" s="1083">
        <v>14.2</v>
      </c>
      <c r="G1202" s="1083">
        <v>198.8</v>
      </c>
      <c r="H1202" s="1084">
        <f t="shared" si="12"/>
        <v>1.3502542890161872E-5</v>
      </c>
      <c r="I1202" s="1085">
        <f t="shared" si="14"/>
        <v>0.99775801278387188</v>
      </c>
      <c r="J1202" s="1085" t="str">
        <f t="shared" si="13"/>
        <v>C</v>
      </c>
      <c r="K1202" s="1036"/>
      <c r="L1202" s="1036"/>
      <c r="M1202" s="1036"/>
      <c r="N1202" s="1036"/>
      <c r="O1202" s="1036"/>
      <c r="P1202" s="1036"/>
      <c r="Q1202" s="1036"/>
      <c r="R1202" s="1036"/>
      <c r="S1202" s="1036"/>
      <c r="T1202" s="1036"/>
      <c r="U1202" s="1036"/>
      <c r="V1202" s="1036"/>
      <c r="W1202" s="1036"/>
      <c r="X1202" s="1036"/>
      <c r="Y1202" s="1036"/>
      <c r="Z1202" s="1036"/>
    </row>
    <row r="1203" spans="1:26" ht="38.25">
      <c r="A1203" s="1079">
        <v>92764</v>
      </c>
      <c r="B1203" s="1080" t="s">
        <v>14476</v>
      </c>
      <c r="C1203" s="1080" t="s">
        <v>7433</v>
      </c>
      <c r="D1203" s="1081" t="s">
        <v>54</v>
      </c>
      <c r="E1203" s="1082">
        <v>15.6</v>
      </c>
      <c r="F1203" s="1083">
        <v>12.73</v>
      </c>
      <c r="G1203" s="1083">
        <v>198.58</v>
      </c>
      <c r="H1203" s="1084">
        <f t="shared" si="12"/>
        <v>1.3487600438271352E-5</v>
      </c>
      <c r="I1203" s="1085">
        <f t="shared" si="14"/>
        <v>0.99777150038431017</v>
      </c>
      <c r="J1203" s="1085" t="str">
        <f t="shared" si="13"/>
        <v>C</v>
      </c>
      <c r="K1203" s="1036"/>
      <c r="L1203" s="1036"/>
      <c r="M1203" s="1036"/>
      <c r="N1203" s="1036"/>
      <c r="O1203" s="1036"/>
      <c r="P1203" s="1036"/>
      <c r="Q1203" s="1036"/>
      <c r="R1203" s="1036"/>
      <c r="S1203" s="1036"/>
      <c r="T1203" s="1036"/>
      <c r="U1203" s="1036"/>
      <c r="V1203" s="1036"/>
      <c r="W1203" s="1036"/>
      <c r="X1203" s="1036"/>
      <c r="Y1203" s="1036"/>
      <c r="Z1203" s="1036"/>
    </row>
    <row r="1204" spans="1:26" ht="38.25">
      <c r="A1204" s="1079">
        <v>103979</v>
      </c>
      <c r="B1204" s="1080" t="s">
        <v>14476</v>
      </c>
      <c r="C1204" s="1080" t="s">
        <v>8649</v>
      </c>
      <c r="D1204" s="1081" t="s">
        <v>50</v>
      </c>
      <c r="E1204" s="1082">
        <v>6</v>
      </c>
      <c r="F1204" s="1083">
        <v>33.03</v>
      </c>
      <c r="G1204" s="1083">
        <v>198.18</v>
      </c>
      <c r="H1204" s="1084">
        <f t="shared" si="12"/>
        <v>1.3460432343924948E-5</v>
      </c>
      <c r="I1204" s="1085">
        <f t="shared" si="14"/>
        <v>0.99778496081665413</v>
      </c>
      <c r="J1204" s="1085" t="str">
        <f t="shared" si="13"/>
        <v>C</v>
      </c>
      <c r="K1204" s="1036"/>
      <c r="L1204" s="1036"/>
      <c r="M1204" s="1036"/>
      <c r="N1204" s="1036"/>
      <c r="O1204" s="1036"/>
      <c r="P1204" s="1036"/>
      <c r="Q1204" s="1036"/>
      <c r="R1204" s="1036"/>
      <c r="S1204" s="1036"/>
      <c r="T1204" s="1036"/>
      <c r="U1204" s="1036"/>
      <c r="V1204" s="1036"/>
      <c r="W1204" s="1036"/>
      <c r="X1204" s="1036"/>
      <c r="Y1204" s="1036"/>
      <c r="Z1204" s="1036"/>
    </row>
    <row r="1205" spans="1:26" ht="38.25">
      <c r="A1205" s="1079">
        <v>94663</v>
      </c>
      <c r="B1205" s="1080" t="s">
        <v>14476</v>
      </c>
      <c r="C1205" s="1080" t="s">
        <v>9359</v>
      </c>
      <c r="D1205" s="1081" t="s">
        <v>6</v>
      </c>
      <c r="E1205" s="1082">
        <v>14</v>
      </c>
      <c r="F1205" s="1083">
        <v>14.11</v>
      </c>
      <c r="G1205" s="1083">
        <v>197.54</v>
      </c>
      <c r="H1205" s="1084">
        <f t="shared" si="12"/>
        <v>1.3416963392970705E-5</v>
      </c>
      <c r="I1205" s="1085">
        <f t="shared" si="14"/>
        <v>0.9977983777800471</v>
      </c>
      <c r="J1205" s="1085" t="str">
        <f t="shared" si="13"/>
        <v>C</v>
      </c>
      <c r="K1205" s="1036"/>
      <c r="L1205" s="1036"/>
      <c r="M1205" s="1036"/>
      <c r="N1205" s="1036"/>
      <c r="O1205" s="1036"/>
      <c r="P1205" s="1036"/>
      <c r="Q1205" s="1036"/>
      <c r="R1205" s="1036"/>
      <c r="S1205" s="1036"/>
      <c r="T1205" s="1036"/>
      <c r="U1205" s="1036"/>
      <c r="V1205" s="1036"/>
      <c r="W1205" s="1036"/>
      <c r="X1205" s="1036"/>
      <c r="Y1205" s="1036"/>
      <c r="Z1205" s="1036"/>
    </row>
    <row r="1206" spans="1:26" ht="38.25">
      <c r="A1206" s="1079">
        <v>91940</v>
      </c>
      <c r="B1206" s="1080" t="s">
        <v>14476</v>
      </c>
      <c r="C1206" s="1080" t="s">
        <v>7886</v>
      </c>
      <c r="D1206" s="1081" t="s">
        <v>6</v>
      </c>
      <c r="E1206" s="1082">
        <v>9</v>
      </c>
      <c r="F1206" s="1083">
        <v>21.92</v>
      </c>
      <c r="G1206" s="1083">
        <v>197.28</v>
      </c>
      <c r="H1206" s="1084">
        <f t="shared" si="12"/>
        <v>1.3399304131645544E-5</v>
      </c>
      <c r="I1206" s="1085">
        <f t="shared" si="14"/>
        <v>0.99781177708417879</v>
      </c>
      <c r="J1206" s="1085" t="str">
        <f t="shared" si="13"/>
        <v>C</v>
      </c>
      <c r="K1206" s="1036"/>
      <c r="L1206" s="1036"/>
      <c r="M1206" s="1036"/>
      <c r="N1206" s="1036"/>
      <c r="O1206" s="1036"/>
      <c r="P1206" s="1036"/>
      <c r="Q1206" s="1036"/>
      <c r="R1206" s="1036"/>
      <c r="S1206" s="1036"/>
      <c r="T1206" s="1036"/>
      <c r="U1206" s="1036"/>
      <c r="V1206" s="1036"/>
      <c r="W1206" s="1036"/>
      <c r="X1206" s="1036"/>
      <c r="Y1206" s="1036"/>
      <c r="Z1206" s="1036"/>
    </row>
    <row r="1207" spans="1:26" ht="38.25">
      <c r="A1207" s="1079" t="s">
        <v>15348</v>
      </c>
      <c r="B1207" s="1080" t="s">
        <v>14472</v>
      </c>
      <c r="C1207" s="1080" t="s">
        <v>16017</v>
      </c>
      <c r="D1207" s="1081" t="s">
        <v>6</v>
      </c>
      <c r="E1207" s="1082">
        <v>4</v>
      </c>
      <c r="F1207" s="1083">
        <v>49.11</v>
      </c>
      <c r="G1207" s="1083">
        <v>196.44</v>
      </c>
      <c r="H1207" s="1084">
        <f t="shared" si="12"/>
        <v>1.3342251133518099E-5</v>
      </c>
      <c r="I1207" s="1085">
        <f t="shared" si="14"/>
        <v>0.99782511933531226</v>
      </c>
      <c r="J1207" s="1085" t="str">
        <f t="shared" si="13"/>
        <v>C</v>
      </c>
      <c r="K1207" s="1036"/>
      <c r="L1207" s="1036"/>
      <c r="M1207" s="1036"/>
      <c r="N1207" s="1036"/>
      <c r="O1207" s="1036"/>
      <c r="P1207" s="1036"/>
      <c r="Q1207" s="1036"/>
      <c r="R1207" s="1036"/>
      <c r="S1207" s="1036"/>
      <c r="T1207" s="1036"/>
      <c r="U1207" s="1036"/>
      <c r="V1207" s="1036"/>
      <c r="W1207" s="1036"/>
      <c r="X1207" s="1036"/>
      <c r="Y1207" s="1036"/>
      <c r="Z1207" s="1036"/>
    </row>
    <row r="1208" spans="1:26" ht="38.25">
      <c r="A1208" s="1079" t="s">
        <v>14923</v>
      </c>
      <c r="B1208" s="1080" t="s">
        <v>14472</v>
      </c>
      <c r="C1208" s="1080" t="s">
        <v>16018</v>
      </c>
      <c r="D1208" s="1081" t="s">
        <v>6</v>
      </c>
      <c r="E1208" s="1082">
        <v>8</v>
      </c>
      <c r="F1208" s="1083">
        <v>24.42</v>
      </c>
      <c r="G1208" s="1083">
        <v>195.36</v>
      </c>
      <c r="H1208" s="1084">
        <f t="shared" si="12"/>
        <v>1.3268897278782815E-5</v>
      </c>
      <c r="I1208" s="1085">
        <f t="shared" si="14"/>
        <v>0.99783838823259108</v>
      </c>
      <c r="J1208" s="1085" t="str">
        <f t="shared" si="13"/>
        <v>C</v>
      </c>
      <c r="K1208" s="1036"/>
      <c r="L1208" s="1036"/>
      <c r="M1208" s="1036"/>
      <c r="N1208" s="1036"/>
      <c r="O1208" s="1036"/>
      <c r="P1208" s="1036"/>
      <c r="Q1208" s="1036"/>
      <c r="R1208" s="1036"/>
      <c r="S1208" s="1036"/>
      <c r="T1208" s="1036"/>
      <c r="U1208" s="1036"/>
      <c r="V1208" s="1036"/>
      <c r="W1208" s="1036"/>
      <c r="X1208" s="1036"/>
      <c r="Y1208" s="1036"/>
      <c r="Z1208" s="1036"/>
    </row>
    <row r="1209" spans="1:26" ht="25.5">
      <c r="A1209" s="1079" t="s">
        <v>14590</v>
      </c>
      <c r="B1209" s="1080" t="s">
        <v>14472</v>
      </c>
      <c r="C1209" s="1080" t="s">
        <v>14591</v>
      </c>
      <c r="D1209" s="1081" t="s">
        <v>152</v>
      </c>
      <c r="E1209" s="1082">
        <v>0.18</v>
      </c>
      <c r="F1209" s="1083">
        <v>1085.23</v>
      </c>
      <c r="G1209" s="1083">
        <v>195.34</v>
      </c>
      <c r="H1209" s="1084">
        <f t="shared" si="12"/>
        <v>1.3267538874065494E-5</v>
      </c>
      <c r="I1209" s="1085">
        <f t="shared" si="14"/>
        <v>0.99785165577146517</v>
      </c>
      <c r="J1209" s="1085" t="str">
        <f t="shared" si="13"/>
        <v>C</v>
      </c>
      <c r="K1209" s="1036"/>
      <c r="L1209" s="1036"/>
      <c r="M1209" s="1036"/>
      <c r="N1209" s="1036"/>
      <c r="O1209" s="1036"/>
      <c r="P1209" s="1036"/>
      <c r="Q1209" s="1036"/>
      <c r="R1209" s="1036"/>
      <c r="S1209" s="1036"/>
      <c r="T1209" s="1036"/>
      <c r="U1209" s="1036"/>
      <c r="V1209" s="1036"/>
      <c r="W1209" s="1036"/>
      <c r="X1209" s="1036"/>
      <c r="Y1209" s="1036"/>
      <c r="Z1209" s="1036"/>
    </row>
    <row r="1210" spans="1:26" ht="63.75">
      <c r="A1210" s="1079">
        <v>100978</v>
      </c>
      <c r="B1210" s="1080" t="s">
        <v>14476</v>
      </c>
      <c r="C1210" s="1080" t="s">
        <v>11981</v>
      </c>
      <c r="D1210" s="1081" t="s">
        <v>152</v>
      </c>
      <c r="E1210" s="1082">
        <v>22.48</v>
      </c>
      <c r="F1210" s="1083">
        <v>8.66</v>
      </c>
      <c r="G1210" s="1083">
        <v>194.69</v>
      </c>
      <c r="H1210" s="1084">
        <f t="shared" si="12"/>
        <v>1.322339072075259E-5</v>
      </c>
      <c r="I1210" s="1085">
        <f t="shared" si="14"/>
        <v>0.99786487916218591</v>
      </c>
      <c r="J1210" s="1085" t="str">
        <f t="shared" si="13"/>
        <v>C</v>
      </c>
      <c r="K1210" s="1036"/>
      <c r="L1210" s="1036"/>
      <c r="M1210" s="1036"/>
      <c r="N1210" s="1036"/>
      <c r="O1210" s="1036"/>
      <c r="P1210" s="1036"/>
      <c r="Q1210" s="1036"/>
      <c r="R1210" s="1036"/>
      <c r="S1210" s="1036"/>
      <c r="T1210" s="1036"/>
      <c r="U1210" s="1036"/>
      <c r="V1210" s="1036"/>
      <c r="W1210" s="1036"/>
      <c r="X1210" s="1036"/>
      <c r="Y1210" s="1036"/>
      <c r="Z1210" s="1036"/>
    </row>
    <row r="1211" spans="1:26" ht="51">
      <c r="A1211" s="1079">
        <v>89785</v>
      </c>
      <c r="B1211" s="1080" t="s">
        <v>14476</v>
      </c>
      <c r="C1211" s="1080" t="s">
        <v>8991</v>
      </c>
      <c r="D1211" s="1081" t="s">
        <v>6</v>
      </c>
      <c r="E1211" s="1082">
        <v>6</v>
      </c>
      <c r="F1211" s="1083">
        <v>31.96</v>
      </c>
      <c r="G1211" s="1083">
        <v>191.76</v>
      </c>
      <c r="H1211" s="1084">
        <f t="shared" si="12"/>
        <v>1.3024384429665194E-5</v>
      </c>
      <c r="I1211" s="1085">
        <f t="shared" si="14"/>
        <v>0.99787790354661554</v>
      </c>
      <c r="J1211" s="1085" t="str">
        <f t="shared" si="13"/>
        <v>C</v>
      </c>
      <c r="K1211" s="1036"/>
      <c r="L1211" s="1036"/>
      <c r="M1211" s="1036"/>
      <c r="N1211" s="1036"/>
      <c r="O1211" s="1036"/>
      <c r="P1211" s="1036"/>
      <c r="Q1211" s="1036"/>
      <c r="R1211" s="1036"/>
      <c r="S1211" s="1036"/>
      <c r="T1211" s="1036"/>
      <c r="U1211" s="1036"/>
      <c r="V1211" s="1036"/>
      <c r="W1211" s="1036"/>
      <c r="X1211" s="1036"/>
      <c r="Y1211" s="1036"/>
      <c r="Z1211" s="1036"/>
    </row>
    <row r="1212" spans="1:26" ht="38.25">
      <c r="A1212" s="1079">
        <v>94492</v>
      </c>
      <c r="B1212" s="1080" t="s">
        <v>14476</v>
      </c>
      <c r="C1212" s="1080" t="s">
        <v>16019</v>
      </c>
      <c r="D1212" s="1081" t="s">
        <v>6</v>
      </c>
      <c r="E1212" s="1082">
        <v>3</v>
      </c>
      <c r="F1212" s="1083">
        <v>63.71</v>
      </c>
      <c r="G1212" s="1083">
        <v>191.13</v>
      </c>
      <c r="H1212" s="1084">
        <f t="shared" si="12"/>
        <v>1.2981594681069611E-5</v>
      </c>
      <c r="I1212" s="1085">
        <f t="shared" si="14"/>
        <v>0.99789088514129665</v>
      </c>
      <c r="J1212" s="1085" t="str">
        <f t="shared" si="13"/>
        <v>C</v>
      </c>
      <c r="K1212" s="1036"/>
      <c r="L1212" s="1036"/>
      <c r="M1212" s="1036"/>
      <c r="N1212" s="1036"/>
      <c r="O1212" s="1036"/>
      <c r="P1212" s="1036"/>
      <c r="Q1212" s="1036"/>
      <c r="R1212" s="1036"/>
      <c r="S1212" s="1036"/>
      <c r="T1212" s="1036"/>
      <c r="U1212" s="1036"/>
      <c r="V1212" s="1036"/>
      <c r="W1212" s="1036"/>
      <c r="X1212" s="1036"/>
      <c r="Y1212" s="1036"/>
      <c r="Z1212" s="1036"/>
    </row>
    <row r="1213" spans="1:26" ht="38.25">
      <c r="A1213" s="1079">
        <v>94492</v>
      </c>
      <c r="B1213" s="1080" t="s">
        <v>14476</v>
      </c>
      <c r="C1213" s="1080" t="s">
        <v>16019</v>
      </c>
      <c r="D1213" s="1081" t="s">
        <v>6</v>
      </c>
      <c r="E1213" s="1082">
        <v>3</v>
      </c>
      <c r="F1213" s="1083">
        <v>63.71</v>
      </c>
      <c r="G1213" s="1083">
        <v>191.13</v>
      </c>
      <c r="H1213" s="1084">
        <f t="shared" si="12"/>
        <v>1.2981594681069611E-5</v>
      </c>
      <c r="I1213" s="1085">
        <f t="shared" si="14"/>
        <v>0.99790386673597775</v>
      </c>
      <c r="J1213" s="1085" t="str">
        <f t="shared" si="13"/>
        <v>C</v>
      </c>
      <c r="K1213" s="1036"/>
      <c r="L1213" s="1036"/>
      <c r="M1213" s="1036"/>
      <c r="N1213" s="1036"/>
      <c r="O1213" s="1036"/>
      <c r="P1213" s="1036"/>
      <c r="Q1213" s="1036"/>
      <c r="R1213" s="1036"/>
      <c r="S1213" s="1036"/>
      <c r="T1213" s="1036"/>
      <c r="U1213" s="1036"/>
      <c r="V1213" s="1036"/>
      <c r="W1213" s="1036"/>
      <c r="X1213" s="1036"/>
      <c r="Y1213" s="1036"/>
      <c r="Z1213" s="1036"/>
    </row>
    <row r="1214" spans="1:26" ht="38.25">
      <c r="A1214" s="1079">
        <v>94697</v>
      </c>
      <c r="B1214" s="1080" t="s">
        <v>14476</v>
      </c>
      <c r="C1214" s="1080" t="s">
        <v>9393</v>
      </c>
      <c r="D1214" s="1081" t="s">
        <v>6</v>
      </c>
      <c r="E1214" s="1082">
        <v>2</v>
      </c>
      <c r="F1214" s="1083">
        <v>95.22</v>
      </c>
      <c r="G1214" s="1083">
        <v>190.44</v>
      </c>
      <c r="H1214" s="1084">
        <f t="shared" si="12"/>
        <v>1.2934729718322067E-5</v>
      </c>
      <c r="I1214" s="1085">
        <f t="shared" si="14"/>
        <v>0.99791680146569606</v>
      </c>
      <c r="J1214" s="1085" t="str">
        <f t="shared" si="13"/>
        <v>C</v>
      </c>
      <c r="K1214" s="1036"/>
      <c r="L1214" s="1036"/>
      <c r="M1214" s="1036"/>
      <c r="N1214" s="1036"/>
      <c r="O1214" s="1036"/>
      <c r="P1214" s="1036"/>
      <c r="Q1214" s="1036"/>
      <c r="R1214" s="1036"/>
      <c r="S1214" s="1036"/>
      <c r="T1214" s="1036"/>
      <c r="U1214" s="1036"/>
      <c r="V1214" s="1036"/>
      <c r="W1214" s="1036"/>
      <c r="X1214" s="1036"/>
      <c r="Y1214" s="1036"/>
      <c r="Z1214" s="1036"/>
    </row>
    <row r="1215" spans="1:26" ht="25.5">
      <c r="A1215" s="1079">
        <v>95249</v>
      </c>
      <c r="B1215" s="1080" t="s">
        <v>14476</v>
      </c>
      <c r="C1215" s="1080" t="s">
        <v>10269</v>
      </c>
      <c r="D1215" s="1081" t="s">
        <v>6</v>
      </c>
      <c r="E1215" s="1082">
        <v>3</v>
      </c>
      <c r="F1215" s="1083">
        <v>62.87</v>
      </c>
      <c r="G1215" s="1083">
        <v>188.61</v>
      </c>
      <c r="H1215" s="1084">
        <f t="shared" si="12"/>
        <v>1.2810435686687279E-5</v>
      </c>
      <c r="I1215" s="1085">
        <f t="shared" si="14"/>
        <v>0.99792961190138274</v>
      </c>
      <c r="J1215" s="1085" t="str">
        <f t="shared" si="13"/>
        <v>C</v>
      </c>
      <c r="K1215" s="1036"/>
      <c r="L1215" s="1036"/>
      <c r="M1215" s="1036"/>
      <c r="N1215" s="1036"/>
      <c r="O1215" s="1036"/>
      <c r="P1215" s="1036"/>
      <c r="Q1215" s="1036"/>
      <c r="R1215" s="1036"/>
      <c r="S1215" s="1036"/>
      <c r="T1215" s="1036"/>
      <c r="U1215" s="1036"/>
      <c r="V1215" s="1036"/>
      <c r="W1215" s="1036"/>
      <c r="X1215" s="1036"/>
      <c r="Y1215" s="1036"/>
      <c r="Z1215" s="1036"/>
    </row>
    <row r="1216" spans="1:26" ht="38.25">
      <c r="A1216" s="1079">
        <v>98111</v>
      </c>
      <c r="B1216" s="1080" t="s">
        <v>14476</v>
      </c>
      <c r="C1216" s="1080" t="s">
        <v>10233</v>
      </c>
      <c r="D1216" s="1081" t="s">
        <v>6</v>
      </c>
      <c r="E1216" s="1082">
        <v>3</v>
      </c>
      <c r="F1216" s="1083">
        <v>62.85</v>
      </c>
      <c r="G1216" s="1083">
        <v>188.55</v>
      </c>
      <c r="H1216" s="1084">
        <f t="shared" si="12"/>
        <v>1.2806360472535318E-5</v>
      </c>
      <c r="I1216" s="1085">
        <f t="shared" si="14"/>
        <v>0.99794241826185526</v>
      </c>
      <c r="J1216" s="1085" t="str">
        <f t="shared" si="13"/>
        <v>C</v>
      </c>
      <c r="K1216" s="1036"/>
      <c r="L1216" s="1036"/>
      <c r="M1216" s="1036"/>
      <c r="N1216" s="1036"/>
      <c r="O1216" s="1036"/>
      <c r="P1216" s="1036"/>
      <c r="Q1216" s="1036"/>
      <c r="R1216" s="1036"/>
      <c r="S1216" s="1036"/>
      <c r="T1216" s="1036"/>
      <c r="U1216" s="1036"/>
      <c r="V1216" s="1036"/>
      <c r="W1216" s="1036"/>
      <c r="X1216" s="1036"/>
      <c r="Y1216" s="1036"/>
      <c r="Z1216" s="1036"/>
    </row>
    <row r="1217" spans="1:26" ht="38.25">
      <c r="A1217" s="1079">
        <v>98111</v>
      </c>
      <c r="B1217" s="1080" t="s">
        <v>14476</v>
      </c>
      <c r="C1217" s="1080" t="s">
        <v>10233</v>
      </c>
      <c r="D1217" s="1081" t="s">
        <v>6</v>
      </c>
      <c r="E1217" s="1082">
        <v>3</v>
      </c>
      <c r="F1217" s="1083">
        <v>62.85</v>
      </c>
      <c r="G1217" s="1083">
        <v>188.55</v>
      </c>
      <c r="H1217" s="1084">
        <f t="shared" si="12"/>
        <v>1.2806360472535318E-5</v>
      </c>
      <c r="I1217" s="1085">
        <f t="shared" si="14"/>
        <v>0.99795522462232777</v>
      </c>
      <c r="J1217" s="1085" t="str">
        <f t="shared" si="13"/>
        <v>C</v>
      </c>
      <c r="K1217" s="1036"/>
      <c r="L1217" s="1036"/>
      <c r="M1217" s="1036"/>
      <c r="N1217" s="1036"/>
      <c r="O1217" s="1036"/>
      <c r="P1217" s="1036"/>
      <c r="Q1217" s="1036"/>
      <c r="R1217" s="1036"/>
      <c r="S1217" s="1036"/>
      <c r="T1217" s="1036"/>
      <c r="U1217" s="1036"/>
      <c r="V1217" s="1036"/>
      <c r="W1217" s="1036"/>
      <c r="X1217" s="1036"/>
      <c r="Y1217" s="1036"/>
      <c r="Z1217" s="1036"/>
    </row>
    <row r="1218" spans="1:26" ht="25.5">
      <c r="A1218" s="1079">
        <v>101616</v>
      </c>
      <c r="B1218" s="1080" t="s">
        <v>14476</v>
      </c>
      <c r="C1218" s="1080" t="s">
        <v>10747</v>
      </c>
      <c r="D1218" s="1081" t="s">
        <v>409</v>
      </c>
      <c r="E1218" s="1082">
        <v>25.51</v>
      </c>
      <c r="F1218" s="1083">
        <v>7.37</v>
      </c>
      <c r="G1218" s="1083">
        <v>188</v>
      </c>
      <c r="H1218" s="1084">
        <f t="shared" si="12"/>
        <v>1.2769004342809013E-5</v>
      </c>
      <c r="I1218" s="1085">
        <f t="shared" si="14"/>
        <v>0.99796799362667055</v>
      </c>
      <c r="J1218" s="1085" t="str">
        <f t="shared" si="13"/>
        <v>C</v>
      </c>
      <c r="K1218" s="1036"/>
      <c r="L1218" s="1036"/>
      <c r="M1218" s="1036"/>
      <c r="N1218" s="1036"/>
      <c r="O1218" s="1036"/>
      <c r="P1218" s="1036"/>
      <c r="Q1218" s="1036"/>
      <c r="R1218" s="1036"/>
      <c r="S1218" s="1036"/>
      <c r="T1218" s="1036"/>
      <c r="U1218" s="1036"/>
      <c r="V1218" s="1036"/>
      <c r="W1218" s="1036"/>
      <c r="X1218" s="1036"/>
      <c r="Y1218" s="1036"/>
      <c r="Z1218" s="1036"/>
    </row>
    <row r="1219" spans="1:26" ht="63.75">
      <c r="A1219" s="1079">
        <v>100978</v>
      </c>
      <c r="B1219" s="1080" t="s">
        <v>14476</v>
      </c>
      <c r="C1219" s="1080" t="s">
        <v>11981</v>
      </c>
      <c r="D1219" s="1081" t="s">
        <v>152</v>
      </c>
      <c r="E1219" s="1082">
        <v>21.65</v>
      </c>
      <c r="F1219" s="1083">
        <v>8.66</v>
      </c>
      <c r="G1219" s="1083">
        <v>187.52</v>
      </c>
      <c r="H1219" s="1084">
        <f t="shared" si="12"/>
        <v>1.2736402629593331E-5</v>
      </c>
      <c r="I1219" s="1085">
        <f t="shared" si="14"/>
        <v>0.9979807300293001</v>
      </c>
      <c r="J1219" s="1085" t="str">
        <f t="shared" si="13"/>
        <v>C</v>
      </c>
      <c r="K1219" s="1036"/>
      <c r="L1219" s="1036"/>
      <c r="M1219" s="1036"/>
      <c r="N1219" s="1036"/>
      <c r="O1219" s="1036"/>
      <c r="P1219" s="1036"/>
      <c r="Q1219" s="1036"/>
      <c r="R1219" s="1036"/>
      <c r="S1219" s="1036"/>
      <c r="T1219" s="1036"/>
      <c r="U1219" s="1036"/>
      <c r="V1219" s="1036"/>
      <c r="W1219" s="1036"/>
      <c r="X1219" s="1036"/>
      <c r="Y1219" s="1036"/>
      <c r="Z1219" s="1036"/>
    </row>
    <row r="1220" spans="1:26" ht="38.25">
      <c r="A1220" s="1079">
        <v>94663</v>
      </c>
      <c r="B1220" s="1080" t="s">
        <v>14476</v>
      </c>
      <c r="C1220" s="1080" t="s">
        <v>9359</v>
      </c>
      <c r="D1220" s="1081" t="s">
        <v>6</v>
      </c>
      <c r="E1220" s="1082">
        <v>13</v>
      </c>
      <c r="F1220" s="1083">
        <v>14.11</v>
      </c>
      <c r="G1220" s="1083">
        <v>183.43</v>
      </c>
      <c r="H1220" s="1084">
        <f t="shared" si="12"/>
        <v>1.245860886490137E-5</v>
      </c>
      <c r="I1220" s="1085">
        <f t="shared" si="14"/>
        <v>0.997993188638165</v>
      </c>
      <c r="J1220" s="1085" t="str">
        <f t="shared" si="13"/>
        <v>C</v>
      </c>
      <c r="K1220" s="1036"/>
      <c r="L1220" s="1036"/>
      <c r="M1220" s="1036"/>
      <c r="N1220" s="1036"/>
      <c r="O1220" s="1036"/>
      <c r="P1220" s="1036"/>
      <c r="Q1220" s="1036"/>
      <c r="R1220" s="1036"/>
      <c r="S1220" s="1036"/>
      <c r="T1220" s="1036"/>
      <c r="U1220" s="1036"/>
      <c r="V1220" s="1036"/>
      <c r="W1220" s="1036"/>
      <c r="X1220" s="1036"/>
      <c r="Y1220" s="1036"/>
      <c r="Z1220" s="1036"/>
    </row>
    <row r="1221" spans="1:26" ht="38.25">
      <c r="A1221" s="1079">
        <v>96624</v>
      </c>
      <c r="B1221" s="1080" t="s">
        <v>14476</v>
      </c>
      <c r="C1221" s="1080" t="s">
        <v>7170</v>
      </c>
      <c r="D1221" s="1081" t="s">
        <v>152</v>
      </c>
      <c r="E1221" s="1082">
        <v>0.63</v>
      </c>
      <c r="F1221" s="1083">
        <v>290.20999999999998</v>
      </c>
      <c r="G1221" s="1083">
        <v>182.83</v>
      </c>
      <c r="H1221" s="1084">
        <f t="shared" si="12"/>
        <v>1.2417856723381766E-5</v>
      </c>
      <c r="I1221" s="1085">
        <f t="shared" si="14"/>
        <v>0.99800560649488834</v>
      </c>
      <c r="J1221" s="1085" t="str">
        <f t="shared" si="13"/>
        <v>C</v>
      </c>
      <c r="K1221" s="1036"/>
      <c r="L1221" s="1036"/>
      <c r="M1221" s="1036"/>
      <c r="N1221" s="1036"/>
      <c r="O1221" s="1036"/>
      <c r="P1221" s="1036"/>
      <c r="Q1221" s="1036"/>
      <c r="R1221" s="1036"/>
      <c r="S1221" s="1036"/>
      <c r="T1221" s="1036"/>
      <c r="U1221" s="1036"/>
      <c r="V1221" s="1036"/>
      <c r="W1221" s="1036"/>
      <c r="X1221" s="1036"/>
      <c r="Y1221" s="1036"/>
      <c r="Z1221" s="1036"/>
    </row>
    <row r="1222" spans="1:26" ht="38.25">
      <c r="A1222" s="1079" t="s">
        <v>14649</v>
      </c>
      <c r="B1222" s="1080" t="s">
        <v>14472</v>
      </c>
      <c r="C1222" s="1080" t="s">
        <v>14650</v>
      </c>
      <c r="D1222" s="1081" t="s">
        <v>50</v>
      </c>
      <c r="E1222" s="1082">
        <v>3.6</v>
      </c>
      <c r="F1222" s="1083">
        <v>50.78</v>
      </c>
      <c r="G1222" s="1083">
        <v>182.8</v>
      </c>
      <c r="H1222" s="1084">
        <f t="shared" si="12"/>
        <v>1.2415819116305787E-5</v>
      </c>
      <c r="I1222" s="1085">
        <f t="shared" si="14"/>
        <v>0.9980180223140046</v>
      </c>
      <c r="J1222" s="1085" t="str">
        <f t="shared" si="13"/>
        <v>C</v>
      </c>
      <c r="K1222" s="1036"/>
      <c r="L1222" s="1036"/>
      <c r="M1222" s="1036"/>
      <c r="N1222" s="1036"/>
      <c r="O1222" s="1036"/>
      <c r="P1222" s="1036"/>
      <c r="Q1222" s="1036"/>
      <c r="R1222" s="1036"/>
      <c r="S1222" s="1036"/>
      <c r="T1222" s="1036"/>
      <c r="U1222" s="1036"/>
      <c r="V1222" s="1036"/>
      <c r="W1222" s="1036"/>
      <c r="X1222" s="1036"/>
      <c r="Y1222" s="1036"/>
      <c r="Z1222" s="1036"/>
    </row>
    <row r="1223" spans="1:26" ht="25.5">
      <c r="A1223" s="1079">
        <v>93382</v>
      </c>
      <c r="B1223" s="1080" t="s">
        <v>14476</v>
      </c>
      <c r="C1223" s="1080" t="s">
        <v>10726</v>
      </c>
      <c r="D1223" s="1081" t="s">
        <v>152</v>
      </c>
      <c r="E1223" s="1082">
        <v>6.16</v>
      </c>
      <c r="F1223" s="1083">
        <v>29.52</v>
      </c>
      <c r="G1223" s="1083">
        <v>181.84</v>
      </c>
      <c r="H1223" s="1084">
        <f t="shared" si="12"/>
        <v>1.2350615689874421E-5</v>
      </c>
      <c r="I1223" s="1085">
        <f t="shared" si="14"/>
        <v>0.99803037292969443</v>
      </c>
      <c r="J1223" s="1085" t="str">
        <f t="shared" si="13"/>
        <v>C</v>
      </c>
      <c r="K1223" s="1036"/>
      <c r="L1223" s="1036"/>
      <c r="M1223" s="1036"/>
      <c r="N1223" s="1036"/>
      <c r="O1223" s="1036"/>
      <c r="P1223" s="1036"/>
      <c r="Q1223" s="1036"/>
      <c r="R1223" s="1036"/>
      <c r="S1223" s="1036"/>
      <c r="T1223" s="1036"/>
      <c r="U1223" s="1036"/>
      <c r="V1223" s="1036"/>
      <c r="W1223" s="1036"/>
      <c r="X1223" s="1036"/>
      <c r="Y1223" s="1036"/>
      <c r="Z1223" s="1036"/>
    </row>
    <row r="1224" spans="1:26" ht="38.25">
      <c r="A1224" s="1079" t="s">
        <v>15366</v>
      </c>
      <c r="B1224" s="1080" t="s">
        <v>14472</v>
      </c>
      <c r="C1224" s="1080" t="s">
        <v>15367</v>
      </c>
      <c r="D1224" s="1081" t="s">
        <v>6</v>
      </c>
      <c r="E1224" s="1082">
        <v>4</v>
      </c>
      <c r="F1224" s="1083">
        <v>45.31</v>
      </c>
      <c r="G1224" s="1083">
        <v>181.24</v>
      </c>
      <c r="H1224" s="1084">
        <f t="shared" si="12"/>
        <v>1.2309863548354818E-5</v>
      </c>
      <c r="I1224" s="1085">
        <f t="shared" si="14"/>
        <v>0.99804268279324282</v>
      </c>
      <c r="J1224" s="1085" t="str">
        <f t="shared" si="13"/>
        <v>C</v>
      </c>
      <c r="K1224" s="1036"/>
      <c r="L1224" s="1036"/>
      <c r="M1224" s="1036"/>
      <c r="N1224" s="1036"/>
      <c r="O1224" s="1036"/>
      <c r="P1224" s="1036"/>
      <c r="Q1224" s="1036"/>
      <c r="R1224" s="1036"/>
      <c r="S1224" s="1036"/>
      <c r="T1224" s="1036"/>
      <c r="U1224" s="1036"/>
      <c r="V1224" s="1036"/>
      <c r="W1224" s="1036"/>
      <c r="X1224" s="1036"/>
      <c r="Y1224" s="1036"/>
      <c r="Z1224" s="1036"/>
    </row>
    <row r="1225" spans="1:26" ht="14.25">
      <c r="A1225" s="1079" t="s">
        <v>14952</v>
      </c>
      <c r="B1225" s="1080" t="s">
        <v>14472</v>
      </c>
      <c r="C1225" s="1080" t="s">
        <v>14953</v>
      </c>
      <c r="D1225" s="1081" t="s">
        <v>6</v>
      </c>
      <c r="E1225" s="1082">
        <v>1</v>
      </c>
      <c r="F1225" s="1083">
        <v>178.67</v>
      </c>
      <c r="G1225" s="1083">
        <v>178.67</v>
      </c>
      <c r="H1225" s="1084">
        <f t="shared" si="12"/>
        <v>1.2135308542179182E-5</v>
      </c>
      <c r="I1225" s="1085">
        <f t="shared" si="14"/>
        <v>0.99805481810178498</v>
      </c>
      <c r="J1225" s="1085" t="str">
        <f t="shared" si="13"/>
        <v>C</v>
      </c>
      <c r="K1225" s="1036"/>
      <c r="L1225" s="1036"/>
      <c r="M1225" s="1036"/>
      <c r="N1225" s="1036"/>
      <c r="O1225" s="1036"/>
      <c r="P1225" s="1036"/>
      <c r="Q1225" s="1036"/>
      <c r="R1225" s="1036"/>
      <c r="S1225" s="1036"/>
      <c r="T1225" s="1036"/>
      <c r="U1225" s="1036"/>
      <c r="V1225" s="1036"/>
      <c r="W1225" s="1036"/>
      <c r="X1225" s="1036"/>
      <c r="Y1225" s="1036"/>
      <c r="Z1225" s="1036"/>
    </row>
    <row r="1226" spans="1:26" ht="25.5">
      <c r="A1226" s="1079">
        <v>93382</v>
      </c>
      <c r="B1226" s="1080" t="s">
        <v>14476</v>
      </c>
      <c r="C1226" s="1080" t="s">
        <v>10726</v>
      </c>
      <c r="D1226" s="1081" t="s">
        <v>152</v>
      </c>
      <c r="E1226" s="1082">
        <v>6.05</v>
      </c>
      <c r="F1226" s="1083">
        <v>29.52</v>
      </c>
      <c r="G1226" s="1083">
        <v>178.59</v>
      </c>
      <c r="H1226" s="1084">
        <f t="shared" si="12"/>
        <v>1.2129874923309903E-5</v>
      </c>
      <c r="I1226" s="1085">
        <f t="shared" si="14"/>
        <v>0.99806694797670825</v>
      </c>
      <c r="J1226" s="1085" t="str">
        <f t="shared" si="13"/>
        <v>C</v>
      </c>
      <c r="K1226" s="1036"/>
      <c r="L1226" s="1036"/>
      <c r="M1226" s="1036"/>
      <c r="N1226" s="1036"/>
      <c r="O1226" s="1036"/>
      <c r="P1226" s="1036"/>
      <c r="Q1226" s="1036"/>
      <c r="R1226" s="1036"/>
      <c r="S1226" s="1036"/>
      <c r="T1226" s="1036"/>
      <c r="U1226" s="1036"/>
      <c r="V1226" s="1036"/>
      <c r="W1226" s="1036"/>
      <c r="X1226" s="1036"/>
      <c r="Y1226" s="1036"/>
      <c r="Z1226" s="1036"/>
    </row>
    <row r="1227" spans="1:26" ht="38.25">
      <c r="A1227" s="1079" t="s">
        <v>15355</v>
      </c>
      <c r="B1227" s="1080" t="s">
        <v>14472</v>
      </c>
      <c r="C1227" s="1080" t="s">
        <v>15356</v>
      </c>
      <c r="D1227" s="1081" t="s">
        <v>6</v>
      </c>
      <c r="E1227" s="1082">
        <v>1</v>
      </c>
      <c r="F1227" s="1083">
        <v>177.23</v>
      </c>
      <c r="G1227" s="1083">
        <v>177.23</v>
      </c>
      <c r="H1227" s="1084">
        <f t="shared" si="12"/>
        <v>1.2037503402532135E-5</v>
      </c>
      <c r="I1227" s="1085">
        <f t="shared" si="14"/>
        <v>0.99807898548011076</v>
      </c>
      <c r="J1227" s="1085" t="str">
        <f t="shared" si="13"/>
        <v>C</v>
      </c>
      <c r="K1227" s="1036"/>
      <c r="L1227" s="1036"/>
      <c r="M1227" s="1036"/>
      <c r="N1227" s="1036"/>
      <c r="O1227" s="1036"/>
      <c r="P1227" s="1036"/>
      <c r="Q1227" s="1036"/>
      <c r="R1227" s="1036"/>
      <c r="S1227" s="1036"/>
      <c r="T1227" s="1036"/>
      <c r="U1227" s="1036"/>
      <c r="V1227" s="1036"/>
      <c r="W1227" s="1036"/>
      <c r="X1227" s="1036"/>
      <c r="Y1227" s="1036"/>
      <c r="Z1227" s="1036"/>
    </row>
    <row r="1228" spans="1:26" ht="38.25">
      <c r="A1228" s="1079">
        <v>89369</v>
      </c>
      <c r="B1228" s="1080" t="s">
        <v>14476</v>
      </c>
      <c r="C1228" s="1080" t="s">
        <v>8676</v>
      </c>
      <c r="D1228" s="1081" t="s">
        <v>6</v>
      </c>
      <c r="E1228" s="1082">
        <v>9</v>
      </c>
      <c r="F1228" s="1083">
        <v>19.670000000000002</v>
      </c>
      <c r="G1228" s="1083">
        <v>177.03</v>
      </c>
      <c r="H1228" s="1084">
        <f t="shared" si="12"/>
        <v>1.2023919355358935E-5</v>
      </c>
      <c r="I1228" s="1085">
        <f t="shared" si="14"/>
        <v>0.99809100939946616</v>
      </c>
      <c r="J1228" s="1085" t="str">
        <f t="shared" si="13"/>
        <v>C</v>
      </c>
      <c r="K1228" s="1036"/>
      <c r="L1228" s="1036"/>
      <c r="M1228" s="1036"/>
      <c r="N1228" s="1036"/>
      <c r="O1228" s="1036"/>
      <c r="P1228" s="1036"/>
      <c r="Q1228" s="1036"/>
      <c r="R1228" s="1036"/>
      <c r="S1228" s="1036"/>
      <c r="T1228" s="1036"/>
      <c r="U1228" s="1036"/>
      <c r="V1228" s="1036"/>
      <c r="W1228" s="1036"/>
      <c r="X1228" s="1036"/>
      <c r="Y1228" s="1036"/>
      <c r="Z1228" s="1036"/>
    </row>
    <row r="1229" spans="1:26" ht="14.25">
      <c r="A1229" s="1079" t="s">
        <v>15408</v>
      </c>
      <c r="B1229" s="1080" t="s">
        <v>14472</v>
      </c>
      <c r="C1229" s="1080" t="s">
        <v>15409</v>
      </c>
      <c r="D1229" s="1081" t="s">
        <v>6</v>
      </c>
      <c r="E1229" s="1082">
        <v>2</v>
      </c>
      <c r="F1229" s="1083">
        <v>87.71</v>
      </c>
      <c r="G1229" s="1083">
        <v>175.42</v>
      </c>
      <c r="H1229" s="1084">
        <f t="shared" si="12"/>
        <v>1.1914567775614665E-5</v>
      </c>
      <c r="I1229" s="1085">
        <f t="shared" si="14"/>
        <v>0.99810292396724176</v>
      </c>
      <c r="J1229" s="1085" t="str">
        <f t="shared" si="13"/>
        <v>C</v>
      </c>
      <c r="K1229" s="1036"/>
      <c r="L1229" s="1036"/>
      <c r="M1229" s="1036"/>
      <c r="N1229" s="1036"/>
      <c r="O1229" s="1036"/>
      <c r="P1229" s="1036"/>
      <c r="Q1229" s="1036"/>
      <c r="R1229" s="1036"/>
      <c r="S1229" s="1036"/>
      <c r="T1229" s="1036"/>
      <c r="U1229" s="1036"/>
      <c r="V1229" s="1036"/>
      <c r="W1229" s="1036"/>
      <c r="X1229" s="1036"/>
      <c r="Y1229" s="1036"/>
      <c r="Z1229" s="1036"/>
    </row>
    <row r="1230" spans="1:26" ht="38.25">
      <c r="A1230" s="1079">
        <v>91940</v>
      </c>
      <c r="B1230" s="1080" t="s">
        <v>14476</v>
      </c>
      <c r="C1230" s="1080" t="s">
        <v>7886</v>
      </c>
      <c r="D1230" s="1081" t="s">
        <v>6</v>
      </c>
      <c r="E1230" s="1082">
        <v>8</v>
      </c>
      <c r="F1230" s="1083">
        <v>21.92</v>
      </c>
      <c r="G1230" s="1083">
        <v>175.36</v>
      </c>
      <c r="H1230" s="1084">
        <f t="shared" si="12"/>
        <v>1.1910492561462706E-5</v>
      </c>
      <c r="I1230" s="1085">
        <f t="shared" si="14"/>
        <v>0.9981148344598032</v>
      </c>
      <c r="J1230" s="1085" t="str">
        <f t="shared" si="13"/>
        <v>C</v>
      </c>
      <c r="K1230" s="1036"/>
      <c r="L1230" s="1036"/>
      <c r="M1230" s="1036"/>
      <c r="N1230" s="1036"/>
      <c r="O1230" s="1036"/>
      <c r="P1230" s="1036"/>
      <c r="Q1230" s="1036"/>
      <c r="R1230" s="1036"/>
      <c r="S1230" s="1036"/>
      <c r="T1230" s="1036"/>
      <c r="U1230" s="1036"/>
      <c r="V1230" s="1036"/>
      <c r="W1230" s="1036"/>
      <c r="X1230" s="1036"/>
      <c r="Y1230" s="1036"/>
      <c r="Z1230" s="1036"/>
    </row>
    <row r="1231" spans="1:26" ht="51">
      <c r="A1231" s="1079">
        <v>91914</v>
      </c>
      <c r="B1231" s="1080" t="s">
        <v>14476</v>
      </c>
      <c r="C1231" s="1080" t="s">
        <v>7831</v>
      </c>
      <c r="D1231" s="1081" t="s">
        <v>6</v>
      </c>
      <c r="E1231" s="1082">
        <v>8</v>
      </c>
      <c r="F1231" s="1083">
        <v>21.91</v>
      </c>
      <c r="G1231" s="1083">
        <v>175.28</v>
      </c>
      <c r="H1231" s="1084">
        <f t="shared" si="12"/>
        <v>1.1905058942593425E-5</v>
      </c>
      <c r="I1231" s="1085">
        <f t="shared" si="14"/>
        <v>0.99812673951874575</v>
      </c>
      <c r="J1231" s="1085" t="str">
        <f t="shared" si="13"/>
        <v>C</v>
      </c>
      <c r="K1231" s="1036"/>
      <c r="L1231" s="1036"/>
      <c r="M1231" s="1036"/>
      <c r="N1231" s="1036"/>
      <c r="O1231" s="1036"/>
      <c r="P1231" s="1036"/>
      <c r="Q1231" s="1036"/>
      <c r="R1231" s="1036"/>
      <c r="S1231" s="1036"/>
      <c r="T1231" s="1036"/>
      <c r="U1231" s="1036"/>
      <c r="V1231" s="1036"/>
      <c r="W1231" s="1036"/>
      <c r="X1231" s="1036"/>
      <c r="Y1231" s="1036"/>
      <c r="Z1231" s="1036"/>
    </row>
    <row r="1232" spans="1:26" ht="51">
      <c r="A1232" s="1079">
        <v>94704</v>
      </c>
      <c r="B1232" s="1080" t="s">
        <v>14476</v>
      </c>
      <c r="C1232" s="1080" t="s">
        <v>9400</v>
      </c>
      <c r="D1232" s="1081" t="s">
        <v>6</v>
      </c>
      <c r="E1232" s="1082">
        <v>6</v>
      </c>
      <c r="F1232" s="1083">
        <v>28.92</v>
      </c>
      <c r="G1232" s="1083">
        <v>173.52</v>
      </c>
      <c r="H1232" s="1084">
        <f t="shared" si="12"/>
        <v>1.1785519327469256E-5</v>
      </c>
      <c r="I1232" s="1085">
        <f t="shared" si="14"/>
        <v>0.99813852503807321</v>
      </c>
      <c r="J1232" s="1085" t="str">
        <f t="shared" si="13"/>
        <v>C</v>
      </c>
      <c r="K1232" s="1036"/>
      <c r="L1232" s="1036"/>
      <c r="M1232" s="1036"/>
      <c r="N1232" s="1036"/>
      <c r="O1232" s="1036"/>
      <c r="P1232" s="1036"/>
      <c r="Q1232" s="1036"/>
      <c r="R1232" s="1036"/>
      <c r="S1232" s="1036"/>
      <c r="T1232" s="1036"/>
      <c r="U1232" s="1036"/>
      <c r="V1232" s="1036"/>
      <c r="W1232" s="1036"/>
      <c r="X1232" s="1036"/>
      <c r="Y1232" s="1036"/>
      <c r="Z1232" s="1036"/>
    </row>
    <row r="1233" spans="1:26" ht="51">
      <c r="A1233" s="1079">
        <v>94704</v>
      </c>
      <c r="B1233" s="1080" t="s">
        <v>14476</v>
      </c>
      <c r="C1233" s="1080" t="s">
        <v>9400</v>
      </c>
      <c r="D1233" s="1081" t="s">
        <v>6</v>
      </c>
      <c r="E1233" s="1082">
        <v>6</v>
      </c>
      <c r="F1233" s="1083">
        <v>28.92</v>
      </c>
      <c r="G1233" s="1083">
        <v>173.52</v>
      </c>
      <c r="H1233" s="1084">
        <f t="shared" si="12"/>
        <v>1.1785519327469256E-5</v>
      </c>
      <c r="I1233" s="1085">
        <f t="shared" si="14"/>
        <v>0.99815031055740067</v>
      </c>
      <c r="J1233" s="1085" t="str">
        <f t="shared" si="13"/>
        <v>C</v>
      </c>
      <c r="K1233" s="1036"/>
      <c r="L1233" s="1036"/>
      <c r="M1233" s="1036"/>
      <c r="N1233" s="1036"/>
      <c r="O1233" s="1036"/>
      <c r="P1233" s="1036"/>
      <c r="Q1233" s="1036"/>
      <c r="R1233" s="1036"/>
      <c r="S1233" s="1036"/>
      <c r="T1233" s="1036"/>
      <c r="U1233" s="1036"/>
      <c r="V1233" s="1036"/>
      <c r="W1233" s="1036"/>
      <c r="X1233" s="1036"/>
      <c r="Y1233" s="1036"/>
      <c r="Z1233" s="1036"/>
    </row>
    <row r="1234" spans="1:26" ht="38.25">
      <c r="A1234" s="1079" t="s">
        <v>15382</v>
      </c>
      <c r="B1234" s="1080" t="s">
        <v>14472</v>
      </c>
      <c r="C1234" s="1080" t="s">
        <v>16020</v>
      </c>
      <c r="D1234" s="1081" t="s">
        <v>6</v>
      </c>
      <c r="E1234" s="1082">
        <v>5</v>
      </c>
      <c r="F1234" s="1083">
        <v>34.6</v>
      </c>
      <c r="G1234" s="1083">
        <v>173</v>
      </c>
      <c r="H1234" s="1084">
        <f t="shared" si="12"/>
        <v>1.1750200804818932E-5</v>
      </c>
      <c r="I1234" s="1085">
        <f t="shared" si="14"/>
        <v>0.99816206075820546</v>
      </c>
      <c r="J1234" s="1085" t="str">
        <f t="shared" si="13"/>
        <v>C</v>
      </c>
      <c r="K1234" s="1036"/>
      <c r="L1234" s="1036"/>
      <c r="M1234" s="1036"/>
      <c r="N1234" s="1036"/>
      <c r="O1234" s="1036"/>
      <c r="P1234" s="1036"/>
      <c r="Q1234" s="1036"/>
      <c r="R1234" s="1036"/>
      <c r="S1234" s="1036"/>
      <c r="T1234" s="1036"/>
      <c r="U1234" s="1036"/>
      <c r="V1234" s="1036"/>
      <c r="W1234" s="1036"/>
      <c r="X1234" s="1036"/>
      <c r="Y1234" s="1036"/>
      <c r="Z1234" s="1036"/>
    </row>
    <row r="1235" spans="1:26" ht="25.5">
      <c r="A1235" s="1079">
        <v>93665</v>
      </c>
      <c r="B1235" s="1080" t="s">
        <v>14476</v>
      </c>
      <c r="C1235" s="1080" t="s">
        <v>7966</v>
      </c>
      <c r="D1235" s="1081" t="s">
        <v>6</v>
      </c>
      <c r="E1235" s="1082">
        <v>2</v>
      </c>
      <c r="F1235" s="1083">
        <v>85.27</v>
      </c>
      <c r="G1235" s="1083">
        <v>170.54</v>
      </c>
      <c r="H1235" s="1084">
        <f t="shared" si="12"/>
        <v>1.1583117024588559E-5</v>
      </c>
      <c r="I1235" s="1085">
        <f t="shared" si="14"/>
        <v>0.99817364387523</v>
      </c>
      <c r="J1235" s="1085" t="str">
        <f t="shared" si="13"/>
        <v>C</v>
      </c>
      <c r="K1235" s="1036"/>
      <c r="L1235" s="1036"/>
      <c r="M1235" s="1036"/>
      <c r="N1235" s="1036"/>
      <c r="O1235" s="1036"/>
      <c r="P1235" s="1036"/>
      <c r="Q1235" s="1036"/>
      <c r="R1235" s="1036"/>
      <c r="S1235" s="1036"/>
      <c r="T1235" s="1036"/>
      <c r="U1235" s="1036"/>
      <c r="V1235" s="1036"/>
      <c r="W1235" s="1036"/>
      <c r="X1235" s="1036"/>
      <c r="Y1235" s="1036"/>
      <c r="Z1235" s="1036"/>
    </row>
    <row r="1236" spans="1:26" ht="38.25">
      <c r="A1236" s="1079">
        <v>91993</v>
      </c>
      <c r="B1236" s="1080" t="s">
        <v>14476</v>
      </c>
      <c r="C1236" s="1080" t="s">
        <v>8052</v>
      </c>
      <c r="D1236" s="1081" t="s">
        <v>6</v>
      </c>
      <c r="E1236" s="1082">
        <v>3</v>
      </c>
      <c r="F1236" s="1083">
        <v>55.93</v>
      </c>
      <c r="G1236" s="1083">
        <v>167.79</v>
      </c>
      <c r="H1236" s="1084">
        <f t="shared" si="12"/>
        <v>1.1396336375957044E-5</v>
      </c>
      <c r="I1236" s="1085">
        <f t="shared" si="14"/>
        <v>0.99818504021160592</v>
      </c>
      <c r="J1236" s="1085" t="str">
        <f t="shared" si="13"/>
        <v>C</v>
      </c>
      <c r="K1236" s="1036"/>
      <c r="L1236" s="1036"/>
      <c r="M1236" s="1036"/>
      <c r="N1236" s="1036"/>
      <c r="O1236" s="1036"/>
      <c r="P1236" s="1036"/>
      <c r="Q1236" s="1036"/>
      <c r="R1236" s="1036"/>
      <c r="S1236" s="1036"/>
      <c r="T1236" s="1036"/>
      <c r="U1236" s="1036"/>
      <c r="V1236" s="1036"/>
      <c r="W1236" s="1036"/>
      <c r="X1236" s="1036"/>
      <c r="Y1236" s="1036"/>
      <c r="Z1236" s="1036"/>
    </row>
    <row r="1237" spans="1:26" ht="25.5">
      <c r="A1237" s="1079" t="s">
        <v>15124</v>
      </c>
      <c r="B1237" s="1080" t="s">
        <v>14472</v>
      </c>
      <c r="C1237" s="1080" t="s">
        <v>15125</v>
      </c>
      <c r="D1237" s="1081" t="s">
        <v>6</v>
      </c>
      <c r="E1237" s="1082">
        <v>11</v>
      </c>
      <c r="F1237" s="1083">
        <v>15.08</v>
      </c>
      <c r="G1237" s="1083">
        <v>165.88</v>
      </c>
      <c r="H1237" s="1084">
        <f t="shared" si="12"/>
        <v>1.1266608725452974E-5</v>
      </c>
      <c r="I1237" s="1085">
        <f t="shared" si="14"/>
        <v>0.99819630682033134</v>
      </c>
      <c r="J1237" s="1085" t="str">
        <f t="shared" si="13"/>
        <v>C</v>
      </c>
      <c r="K1237" s="1036"/>
      <c r="L1237" s="1036"/>
      <c r="M1237" s="1036"/>
      <c r="N1237" s="1036"/>
      <c r="O1237" s="1036"/>
      <c r="P1237" s="1036"/>
      <c r="Q1237" s="1036"/>
      <c r="R1237" s="1036"/>
      <c r="S1237" s="1036"/>
      <c r="T1237" s="1036"/>
      <c r="U1237" s="1036"/>
      <c r="V1237" s="1036"/>
      <c r="W1237" s="1036"/>
      <c r="X1237" s="1036"/>
      <c r="Y1237" s="1036"/>
      <c r="Z1237" s="1036"/>
    </row>
    <row r="1238" spans="1:26" ht="25.5">
      <c r="A1238" s="1079" t="s">
        <v>15164</v>
      </c>
      <c r="B1238" s="1080" t="s">
        <v>14472</v>
      </c>
      <c r="C1238" s="1080" t="s">
        <v>15165</v>
      </c>
      <c r="D1238" s="1081" t="s">
        <v>6</v>
      </c>
      <c r="E1238" s="1082">
        <v>1</v>
      </c>
      <c r="F1238" s="1083">
        <v>163.72999999999999</v>
      </c>
      <c r="G1238" s="1083">
        <v>163.72999999999999</v>
      </c>
      <c r="H1238" s="1084">
        <f t="shared" si="12"/>
        <v>1.1120580218341062E-5</v>
      </c>
      <c r="I1238" s="1085">
        <f t="shared" si="14"/>
        <v>0.99820742740054969</v>
      </c>
      <c r="J1238" s="1085" t="str">
        <f t="shared" si="13"/>
        <v>C</v>
      </c>
      <c r="K1238" s="1036"/>
      <c r="L1238" s="1036"/>
      <c r="M1238" s="1036"/>
      <c r="N1238" s="1036"/>
      <c r="O1238" s="1036"/>
      <c r="P1238" s="1036"/>
      <c r="Q1238" s="1036"/>
      <c r="R1238" s="1036"/>
      <c r="S1238" s="1036"/>
      <c r="T1238" s="1036"/>
      <c r="U1238" s="1036"/>
      <c r="V1238" s="1036"/>
      <c r="W1238" s="1036"/>
      <c r="X1238" s="1036"/>
      <c r="Y1238" s="1036"/>
      <c r="Z1238" s="1036"/>
    </row>
    <row r="1239" spans="1:26" ht="38.25">
      <c r="A1239" s="1079">
        <v>104916</v>
      </c>
      <c r="B1239" s="1080" t="s">
        <v>14476</v>
      </c>
      <c r="C1239" s="1080" t="s">
        <v>7596</v>
      </c>
      <c r="D1239" s="1081" t="s">
        <v>54</v>
      </c>
      <c r="E1239" s="1082">
        <v>7.4</v>
      </c>
      <c r="F1239" s="1083">
        <v>21.8</v>
      </c>
      <c r="G1239" s="1083">
        <v>161.32</v>
      </c>
      <c r="H1239" s="1084">
        <f t="shared" si="12"/>
        <v>1.0956892449903989E-5</v>
      </c>
      <c r="I1239" s="1085">
        <f t="shared" si="14"/>
        <v>0.99821838429299958</v>
      </c>
      <c r="J1239" s="1085" t="str">
        <f t="shared" si="13"/>
        <v>C</v>
      </c>
      <c r="K1239" s="1036"/>
      <c r="L1239" s="1036"/>
      <c r="M1239" s="1036"/>
      <c r="N1239" s="1036"/>
      <c r="O1239" s="1036"/>
      <c r="P1239" s="1036"/>
      <c r="Q1239" s="1036"/>
      <c r="R1239" s="1036"/>
      <c r="S1239" s="1036"/>
      <c r="T1239" s="1036"/>
      <c r="U1239" s="1036"/>
      <c r="V1239" s="1036"/>
      <c r="W1239" s="1036"/>
      <c r="X1239" s="1036"/>
      <c r="Y1239" s="1036"/>
      <c r="Z1239" s="1036"/>
    </row>
    <row r="1240" spans="1:26" ht="38.25">
      <c r="A1240" s="1079">
        <v>91992</v>
      </c>
      <c r="B1240" s="1080" t="s">
        <v>14476</v>
      </c>
      <c r="C1240" s="1080" t="s">
        <v>8051</v>
      </c>
      <c r="D1240" s="1081" t="s">
        <v>6</v>
      </c>
      <c r="E1240" s="1082">
        <v>3</v>
      </c>
      <c r="F1240" s="1083">
        <v>53.35</v>
      </c>
      <c r="G1240" s="1083">
        <v>160.05000000000001</v>
      </c>
      <c r="H1240" s="1084">
        <f t="shared" si="12"/>
        <v>1.0870633750354164E-5</v>
      </c>
      <c r="I1240" s="1085">
        <f t="shared" si="14"/>
        <v>0.99822925492674996</v>
      </c>
      <c r="J1240" s="1085" t="str">
        <f t="shared" si="13"/>
        <v>C</v>
      </c>
      <c r="K1240" s="1036"/>
      <c r="L1240" s="1036"/>
      <c r="M1240" s="1036"/>
      <c r="N1240" s="1036"/>
      <c r="O1240" s="1036"/>
      <c r="P1240" s="1036"/>
      <c r="Q1240" s="1036"/>
      <c r="R1240" s="1036"/>
      <c r="S1240" s="1036"/>
      <c r="T1240" s="1036"/>
      <c r="U1240" s="1036"/>
      <c r="V1240" s="1036"/>
      <c r="W1240" s="1036"/>
      <c r="X1240" s="1036"/>
      <c r="Y1240" s="1036"/>
      <c r="Z1240" s="1036"/>
    </row>
    <row r="1241" spans="1:26" ht="51">
      <c r="A1241" s="1079">
        <v>91855</v>
      </c>
      <c r="B1241" s="1080" t="s">
        <v>14476</v>
      </c>
      <c r="C1241" s="1080" t="s">
        <v>7771</v>
      </c>
      <c r="D1241" s="1081" t="s">
        <v>50</v>
      </c>
      <c r="E1241" s="1082">
        <v>12</v>
      </c>
      <c r="F1241" s="1083">
        <v>13.26</v>
      </c>
      <c r="G1241" s="1083">
        <v>159.12</v>
      </c>
      <c r="H1241" s="1084">
        <f t="shared" si="12"/>
        <v>1.0807467930998779E-5</v>
      </c>
      <c r="I1241" s="1085">
        <f t="shared" si="14"/>
        <v>0.99824006239468099</v>
      </c>
      <c r="J1241" s="1085" t="str">
        <f t="shared" si="13"/>
        <v>C</v>
      </c>
      <c r="K1241" s="1036"/>
      <c r="L1241" s="1036"/>
      <c r="M1241" s="1036"/>
      <c r="N1241" s="1036"/>
      <c r="O1241" s="1036"/>
      <c r="P1241" s="1036"/>
      <c r="Q1241" s="1036"/>
      <c r="R1241" s="1036"/>
      <c r="S1241" s="1036"/>
      <c r="T1241" s="1036"/>
      <c r="U1241" s="1036"/>
      <c r="V1241" s="1036"/>
      <c r="W1241" s="1036"/>
      <c r="X1241" s="1036"/>
      <c r="Y1241" s="1036"/>
      <c r="Z1241" s="1036"/>
    </row>
    <row r="1242" spans="1:26" ht="14.25">
      <c r="A1242" s="1079" t="s">
        <v>15445</v>
      </c>
      <c r="B1242" s="1080" t="s">
        <v>14472</v>
      </c>
      <c r="C1242" s="1080" t="s">
        <v>15446</v>
      </c>
      <c r="D1242" s="1081" t="s">
        <v>6</v>
      </c>
      <c r="E1242" s="1082">
        <v>8</v>
      </c>
      <c r="F1242" s="1083">
        <v>19.73</v>
      </c>
      <c r="G1242" s="1083">
        <v>157.84</v>
      </c>
      <c r="H1242" s="1084">
        <f t="shared" si="12"/>
        <v>1.0720530029090292E-5</v>
      </c>
      <c r="I1242" s="1085">
        <f t="shared" si="14"/>
        <v>0.99825078292471003</v>
      </c>
      <c r="J1242" s="1085" t="str">
        <f t="shared" si="13"/>
        <v>C</v>
      </c>
      <c r="K1242" s="1036"/>
      <c r="L1242" s="1036"/>
      <c r="M1242" s="1036"/>
      <c r="N1242" s="1036"/>
      <c r="O1242" s="1036"/>
      <c r="P1242" s="1036"/>
      <c r="Q1242" s="1036"/>
      <c r="R1242" s="1036"/>
      <c r="S1242" s="1036"/>
      <c r="T1242" s="1036"/>
      <c r="U1242" s="1036"/>
      <c r="V1242" s="1036"/>
      <c r="W1242" s="1036"/>
      <c r="X1242" s="1036"/>
      <c r="Y1242" s="1036"/>
      <c r="Z1242" s="1036"/>
    </row>
    <row r="1243" spans="1:26" ht="38.25">
      <c r="A1243" s="1079">
        <v>93654</v>
      </c>
      <c r="B1243" s="1080" t="s">
        <v>14476</v>
      </c>
      <c r="C1243" s="1080" t="s">
        <v>7955</v>
      </c>
      <c r="D1243" s="1081" t="s">
        <v>6</v>
      </c>
      <c r="E1243" s="1082">
        <v>10</v>
      </c>
      <c r="F1243" s="1083">
        <v>15.68</v>
      </c>
      <c r="G1243" s="1083">
        <v>156.80000000000001</v>
      </c>
      <c r="H1243" s="1084">
        <f t="shared" si="12"/>
        <v>1.0649892983789646E-5</v>
      </c>
      <c r="I1243" s="1085">
        <f t="shared" si="14"/>
        <v>0.99826143281769386</v>
      </c>
      <c r="J1243" s="1085" t="str">
        <f t="shared" si="13"/>
        <v>C</v>
      </c>
      <c r="K1243" s="1036"/>
      <c r="L1243" s="1036"/>
      <c r="M1243" s="1036"/>
      <c r="N1243" s="1036"/>
      <c r="O1243" s="1036"/>
      <c r="P1243" s="1036"/>
      <c r="Q1243" s="1036"/>
      <c r="R1243" s="1036"/>
      <c r="S1243" s="1036"/>
      <c r="T1243" s="1036"/>
      <c r="U1243" s="1036"/>
      <c r="V1243" s="1036"/>
      <c r="W1243" s="1036"/>
      <c r="X1243" s="1036"/>
      <c r="Y1243" s="1036"/>
      <c r="Z1243" s="1036"/>
    </row>
    <row r="1244" spans="1:26" ht="63.75">
      <c r="A1244" s="1079">
        <v>100978</v>
      </c>
      <c r="B1244" s="1080" t="s">
        <v>14476</v>
      </c>
      <c r="C1244" s="1080" t="s">
        <v>11981</v>
      </c>
      <c r="D1244" s="1081" t="s">
        <v>152</v>
      </c>
      <c r="E1244" s="1082">
        <v>18.05</v>
      </c>
      <c r="F1244" s="1083">
        <v>8.66</v>
      </c>
      <c r="G1244" s="1083">
        <v>156.33000000000001</v>
      </c>
      <c r="H1244" s="1084">
        <f t="shared" si="12"/>
        <v>1.0617970472932623E-5</v>
      </c>
      <c r="I1244" s="1085">
        <f t="shared" si="14"/>
        <v>0.99827205078816683</v>
      </c>
      <c r="J1244" s="1085" t="str">
        <f t="shared" si="13"/>
        <v>C</v>
      </c>
      <c r="K1244" s="1036"/>
      <c r="L1244" s="1036"/>
      <c r="M1244" s="1036"/>
      <c r="N1244" s="1036"/>
      <c r="O1244" s="1036"/>
      <c r="P1244" s="1036"/>
      <c r="Q1244" s="1036"/>
      <c r="R1244" s="1036"/>
      <c r="S1244" s="1036"/>
      <c r="T1244" s="1036"/>
      <c r="U1244" s="1036"/>
      <c r="V1244" s="1036"/>
      <c r="W1244" s="1036"/>
      <c r="X1244" s="1036"/>
      <c r="Y1244" s="1036"/>
      <c r="Z1244" s="1036"/>
    </row>
    <row r="1245" spans="1:26" ht="38.25">
      <c r="A1245" s="1079" t="s">
        <v>15352</v>
      </c>
      <c r="B1245" s="1080" t="s">
        <v>14472</v>
      </c>
      <c r="C1245" s="1080" t="s">
        <v>15353</v>
      </c>
      <c r="D1245" s="1081" t="s">
        <v>6</v>
      </c>
      <c r="E1245" s="1082">
        <v>1</v>
      </c>
      <c r="F1245" s="1083">
        <v>155.81</v>
      </c>
      <c r="G1245" s="1083">
        <v>155.81</v>
      </c>
      <c r="H1245" s="1084">
        <f t="shared" si="12"/>
        <v>1.05826519502823E-5</v>
      </c>
      <c r="I1245" s="1085">
        <f t="shared" si="14"/>
        <v>0.99828263344011714</v>
      </c>
      <c r="J1245" s="1085" t="str">
        <f t="shared" si="13"/>
        <v>C</v>
      </c>
      <c r="K1245" s="1036"/>
      <c r="L1245" s="1036"/>
      <c r="M1245" s="1036"/>
      <c r="N1245" s="1036"/>
      <c r="O1245" s="1036"/>
      <c r="P1245" s="1036"/>
      <c r="Q1245" s="1036"/>
      <c r="R1245" s="1036"/>
      <c r="S1245" s="1036"/>
      <c r="T1245" s="1036"/>
      <c r="U1245" s="1036"/>
      <c r="V1245" s="1036"/>
      <c r="W1245" s="1036"/>
      <c r="X1245" s="1036"/>
      <c r="Y1245" s="1036"/>
      <c r="Z1245" s="1036"/>
    </row>
    <row r="1246" spans="1:26" ht="38.25">
      <c r="A1246" s="1079">
        <v>96536</v>
      </c>
      <c r="B1246" s="1080" t="s">
        <v>14476</v>
      </c>
      <c r="C1246" s="1080" t="s">
        <v>7302</v>
      </c>
      <c r="D1246" s="1081" t="s">
        <v>409</v>
      </c>
      <c r="E1246" s="1082">
        <v>1.7</v>
      </c>
      <c r="F1246" s="1083">
        <v>89.68</v>
      </c>
      <c r="G1246" s="1083">
        <v>152.44999999999999</v>
      </c>
      <c r="H1246" s="1084">
        <f t="shared" si="12"/>
        <v>1.0354439957772521E-5</v>
      </c>
      <c r="I1246" s="1085">
        <f t="shared" si="14"/>
        <v>0.99829298788007492</v>
      </c>
      <c r="J1246" s="1085" t="str">
        <f t="shared" si="13"/>
        <v>C</v>
      </c>
      <c r="K1246" s="1036"/>
      <c r="L1246" s="1036"/>
      <c r="M1246" s="1036"/>
      <c r="N1246" s="1036"/>
      <c r="O1246" s="1036"/>
      <c r="P1246" s="1036"/>
      <c r="Q1246" s="1036"/>
      <c r="R1246" s="1036"/>
      <c r="S1246" s="1036"/>
      <c r="T1246" s="1036"/>
      <c r="U1246" s="1036"/>
      <c r="V1246" s="1036"/>
      <c r="W1246" s="1036"/>
      <c r="X1246" s="1036"/>
      <c r="Y1246" s="1036"/>
      <c r="Z1246" s="1036"/>
    </row>
    <row r="1247" spans="1:26" ht="25.5">
      <c r="A1247" s="1079">
        <v>94796</v>
      </c>
      <c r="B1247" s="1080" t="s">
        <v>14476</v>
      </c>
      <c r="C1247" s="1080" t="s">
        <v>10263</v>
      </c>
      <c r="D1247" s="1081" t="s">
        <v>6</v>
      </c>
      <c r="E1247" s="1082">
        <v>3</v>
      </c>
      <c r="F1247" s="1083">
        <v>50.33</v>
      </c>
      <c r="G1247" s="1083">
        <v>150.99</v>
      </c>
      <c r="H1247" s="1084">
        <f t="shared" si="12"/>
        <v>1.0255276413408154E-5</v>
      </c>
      <c r="I1247" s="1085">
        <f t="shared" si="14"/>
        <v>0.99830324315648833</v>
      </c>
      <c r="J1247" s="1085" t="str">
        <f t="shared" si="13"/>
        <v>C</v>
      </c>
      <c r="K1247" s="1036"/>
      <c r="L1247" s="1036"/>
      <c r="M1247" s="1036"/>
      <c r="N1247" s="1036"/>
      <c r="O1247" s="1036"/>
      <c r="P1247" s="1036"/>
      <c r="Q1247" s="1036"/>
      <c r="R1247" s="1036"/>
      <c r="S1247" s="1036"/>
      <c r="T1247" s="1036"/>
      <c r="U1247" s="1036"/>
      <c r="V1247" s="1036"/>
      <c r="W1247" s="1036"/>
      <c r="X1247" s="1036"/>
      <c r="Y1247" s="1036"/>
      <c r="Z1247" s="1036"/>
    </row>
    <row r="1248" spans="1:26" ht="25.5">
      <c r="A1248" s="1079">
        <v>94796</v>
      </c>
      <c r="B1248" s="1080" t="s">
        <v>14476</v>
      </c>
      <c r="C1248" s="1080" t="s">
        <v>10263</v>
      </c>
      <c r="D1248" s="1081" t="s">
        <v>6</v>
      </c>
      <c r="E1248" s="1082">
        <v>3</v>
      </c>
      <c r="F1248" s="1083">
        <v>50.33</v>
      </c>
      <c r="G1248" s="1083">
        <v>150.99</v>
      </c>
      <c r="H1248" s="1084">
        <f t="shared" si="12"/>
        <v>1.0255276413408154E-5</v>
      </c>
      <c r="I1248" s="1085">
        <f t="shared" si="14"/>
        <v>0.99831349843290174</v>
      </c>
      <c r="J1248" s="1085" t="str">
        <f t="shared" si="13"/>
        <v>C</v>
      </c>
      <c r="K1248" s="1036"/>
      <c r="L1248" s="1036"/>
      <c r="M1248" s="1036"/>
      <c r="N1248" s="1036"/>
      <c r="O1248" s="1036"/>
      <c r="P1248" s="1036"/>
      <c r="Q1248" s="1036"/>
      <c r="R1248" s="1036"/>
      <c r="S1248" s="1036"/>
      <c r="T1248" s="1036"/>
      <c r="U1248" s="1036"/>
      <c r="V1248" s="1036"/>
      <c r="W1248" s="1036"/>
      <c r="X1248" s="1036"/>
      <c r="Y1248" s="1036"/>
      <c r="Z1248" s="1036"/>
    </row>
    <row r="1249" spans="1:26" ht="25.5">
      <c r="A1249" s="1079">
        <v>94796</v>
      </c>
      <c r="B1249" s="1080" t="s">
        <v>14476</v>
      </c>
      <c r="C1249" s="1080" t="s">
        <v>10263</v>
      </c>
      <c r="D1249" s="1081" t="s">
        <v>6</v>
      </c>
      <c r="E1249" s="1082">
        <v>3</v>
      </c>
      <c r="F1249" s="1083">
        <v>50.33</v>
      </c>
      <c r="G1249" s="1083">
        <v>150.99</v>
      </c>
      <c r="H1249" s="1084">
        <f t="shared" si="12"/>
        <v>1.0255276413408154E-5</v>
      </c>
      <c r="I1249" s="1085">
        <f t="shared" si="14"/>
        <v>0.99832375370931514</v>
      </c>
      <c r="J1249" s="1085" t="str">
        <f t="shared" si="13"/>
        <v>C</v>
      </c>
      <c r="K1249" s="1036"/>
      <c r="L1249" s="1036"/>
      <c r="M1249" s="1036"/>
      <c r="N1249" s="1036"/>
      <c r="O1249" s="1036"/>
      <c r="P1249" s="1036"/>
      <c r="Q1249" s="1036"/>
      <c r="R1249" s="1036"/>
      <c r="S1249" s="1036"/>
      <c r="T1249" s="1036"/>
      <c r="U1249" s="1036"/>
      <c r="V1249" s="1036"/>
      <c r="W1249" s="1036"/>
      <c r="X1249" s="1036"/>
      <c r="Y1249" s="1036"/>
      <c r="Z1249" s="1036"/>
    </row>
    <row r="1250" spans="1:26" ht="25.5">
      <c r="A1250" s="1079">
        <v>100902</v>
      </c>
      <c r="B1250" s="1080" t="s">
        <v>14476</v>
      </c>
      <c r="C1250" s="1080" t="s">
        <v>8103</v>
      </c>
      <c r="D1250" s="1081" t="s">
        <v>6</v>
      </c>
      <c r="E1250" s="1082">
        <v>6</v>
      </c>
      <c r="F1250" s="1083">
        <v>24.65</v>
      </c>
      <c r="G1250" s="1083">
        <v>147.9</v>
      </c>
      <c r="H1250" s="1084">
        <f t="shared" si="12"/>
        <v>1.0045402884582198E-5</v>
      </c>
      <c r="I1250" s="1085">
        <f t="shared" si="14"/>
        <v>0.99833379911219977</v>
      </c>
      <c r="J1250" s="1085" t="str">
        <f t="shared" si="13"/>
        <v>C</v>
      </c>
      <c r="K1250" s="1036"/>
      <c r="L1250" s="1036"/>
      <c r="M1250" s="1036"/>
      <c r="N1250" s="1036"/>
      <c r="O1250" s="1036"/>
      <c r="P1250" s="1036"/>
      <c r="Q1250" s="1036"/>
      <c r="R1250" s="1036"/>
      <c r="S1250" s="1036"/>
      <c r="T1250" s="1036"/>
      <c r="U1250" s="1036"/>
      <c r="V1250" s="1036"/>
      <c r="W1250" s="1036"/>
      <c r="X1250" s="1036"/>
      <c r="Y1250" s="1036"/>
      <c r="Z1250" s="1036"/>
    </row>
    <row r="1251" spans="1:26" ht="51">
      <c r="A1251" s="1079">
        <v>90373</v>
      </c>
      <c r="B1251" s="1080" t="s">
        <v>14476</v>
      </c>
      <c r="C1251" s="1080" t="s">
        <v>16009</v>
      </c>
      <c r="D1251" s="1081" t="s">
        <v>6</v>
      </c>
      <c r="E1251" s="1082">
        <v>10</v>
      </c>
      <c r="F1251" s="1083">
        <v>14.78</v>
      </c>
      <c r="G1251" s="1083">
        <v>147.80000000000001</v>
      </c>
      <c r="H1251" s="1084">
        <f t="shared" si="12"/>
        <v>1.0038610860995597E-5</v>
      </c>
      <c r="I1251" s="1085">
        <f t="shared" si="14"/>
        <v>0.99834383772306079</v>
      </c>
      <c r="J1251" s="1085" t="str">
        <f t="shared" si="13"/>
        <v>C</v>
      </c>
      <c r="K1251" s="1036"/>
      <c r="L1251" s="1036"/>
      <c r="M1251" s="1036"/>
      <c r="N1251" s="1036"/>
      <c r="O1251" s="1036"/>
      <c r="P1251" s="1036"/>
      <c r="Q1251" s="1036"/>
      <c r="R1251" s="1036"/>
      <c r="S1251" s="1036"/>
      <c r="T1251" s="1036"/>
      <c r="U1251" s="1036"/>
      <c r="V1251" s="1036"/>
      <c r="W1251" s="1036"/>
      <c r="X1251" s="1036"/>
      <c r="Y1251" s="1036"/>
      <c r="Z1251" s="1036"/>
    </row>
    <row r="1252" spans="1:26" ht="51">
      <c r="A1252" s="1079">
        <v>90373</v>
      </c>
      <c r="B1252" s="1080" t="s">
        <v>14476</v>
      </c>
      <c r="C1252" s="1080" t="s">
        <v>16009</v>
      </c>
      <c r="D1252" s="1081" t="s">
        <v>6</v>
      </c>
      <c r="E1252" s="1082">
        <v>10</v>
      </c>
      <c r="F1252" s="1083">
        <v>14.78</v>
      </c>
      <c r="G1252" s="1083">
        <v>147.80000000000001</v>
      </c>
      <c r="H1252" s="1084">
        <f t="shared" si="12"/>
        <v>1.0038610860995597E-5</v>
      </c>
      <c r="I1252" s="1085">
        <f t="shared" si="14"/>
        <v>0.99835387633392181</v>
      </c>
      <c r="J1252" s="1085" t="str">
        <f t="shared" si="13"/>
        <v>C</v>
      </c>
      <c r="K1252" s="1036"/>
      <c r="L1252" s="1036"/>
      <c r="M1252" s="1036"/>
      <c r="N1252" s="1036"/>
      <c r="O1252" s="1036"/>
      <c r="P1252" s="1036"/>
      <c r="Q1252" s="1036"/>
      <c r="R1252" s="1036"/>
      <c r="S1252" s="1036"/>
      <c r="T1252" s="1036"/>
      <c r="U1252" s="1036"/>
      <c r="V1252" s="1036"/>
      <c r="W1252" s="1036"/>
      <c r="X1252" s="1036"/>
      <c r="Y1252" s="1036"/>
      <c r="Z1252" s="1036"/>
    </row>
    <row r="1253" spans="1:26" ht="38.25">
      <c r="A1253" s="1079" t="s">
        <v>15368</v>
      </c>
      <c r="B1253" s="1080" t="s">
        <v>14472</v>
      </c>
      <c r="C1253" s="1080" t="s">
        <v>15369</v>
      </c>
      <c r="D1253" s="1081" t="s">
        <v>6</v>
      </c>
      <c r="E1253" s="1082">
        <v>8</v>
      </c>
      <c r="F1253" s="1083">
        <v>18.47</v>
      </c>
      <c r="G1253" s="1083">
        <v>147.76</v>
      </c>
      <c r="H1253" s="1084">
        <f t="shared" si="12"/>
        <v>1.0035894051560956E-5</v>
      </c>
      <c r="I1253" s="1085">
        <f t="shared" si="14"/>
        <v>0.99836391222797338</v>
      </c>
      <c r="J1253" s="1085" t="str">
        <f t="shared" si="13"/>
        <v>C</v>
      </c>
      <c r="K1253" s="1036"/>
      <c r="L1253" s="1036"/>
      <c r="M1253" s="1036"/>
      <c r="N1253" s="1036"/>
      <c r="O1253" s="1036"/>
      <c r="P1253" s="1036"/>
      <c r="Q1253" s="1036"/>
      <c r="R1253" s="1036"/>
      <c r="S1253" s="1036"/>
      <c r="T1253" s="1036"/>
      <c r="U1253" s="1036"/>
      <c r="V1253" s="1036"/>
      <c r="W1253" s="1036"/>
      <c r="X1253" s="1036"/>
      <c r="Y1253" s="1036"/>
      <c r="Z1253" s="1036"/>
    </row>
    <row r="1254" spans="1:26" ht="25.5">
      <c r="A1254" s="1079" t="s">
        <v>15430</v>
      </c>
      <c r="B1254" s="1080" t="s">
        <v>14472</v>
      </c>
      <c r="C1254" s="1080" t="s">
        <v>15431</v>
      </c>
      <c r="D1254" s="1081" t="s">
        <v>6</v>
      </c>
      <c r="E1254" s="1082">
        <v>2</v>
      </c>
      <c r="F1254" s="1083">
        <v>73.83</v>
      </c>
      <c r="G1254" s="1083">
        <v>147.66</v>
      </c>
      <c r="H1254" s="1084">
        <f t="shared" si="12"/>
        <v>1.0029102027974356E-5</v>
      </c>
      <c r="I1254" s="1085">
        <f t="shared" si="14"/>
        <v>0.99837394133000135</v>
      </c>
      <c r="J1254" s="1085" t="str">
        <f t="shared" si="13"/>
        <v>C</v>
      </c>
      <c r="K1254" s="1036"/>
      <c r="L1254" s="1036"/>
      <c r="M1254" s="1036"/>
      <c r="N1254" s="1036"/>
      <c r="O1254" s="1036"/>
      <c r="P1254" s="1036"/>
      <c r="Q1254" s="1036"/>
      <c r="R1254" s="1036"/>
      <c r="S1254" s="1036"/>
      <c r="T1254" s="1036"/>
      <c r="U1254" s="1036"/>
      <c r="V1254" s="1036"/>
      <c r="W1254" s="1036"/>
      <c r="X1254" s="1036"/>
      <c r="Y1254" s="1036"/>
      <c r="Z1254" s="1036"/>
    </row>
    <row r="1255" spans="1:26" ht="25.5">
      <c r="A1255" s="1079" t="s">
        <v>15430</v>
      </c>
      <c r="B1255" s="1080" t="s">
        <v>14472</v>
      </c>
      <c r="C1255" s="1080" t="s">
        <v>15431</v>
      </c>
      <c r="D1255" s="1081" t="s">
        <v>6</v>
      </c>
      <c r="E1255" s="1082">
        <v>2</v>
      </c>
      <c r="F1255" s="1083">
        <v>73.83</v>
      </c>
      <c r="G1255" s="1083">
        <v>147.66</v>
      </c>
      <c r="H1255" s="1084">
        <f t="shared" si="12"/>
        <v>1.0029102027974356E-5</v>
      </c>
      <c r="I1255" s="1085">
        <f t="shared" si="14"/>
        <v>0.99838397043202931</v>
      </c>
      <c r="J1255" s="1085" t="str">
        <f t="shared" si="13"/>
        <v>C</v>
      </c>
      <c r="K1255" s="1036"/>
      <c r="L1255" s="1036"/>
      <c r="M1255" s="1036"/>
      <c r="N1255" s="1036"/>
      <c r="O1255" s="1036"/>
      <c r="P1255" s="1036"/>
      <c r="Q1255" s="1036"/>
      <c r="R1255" s="1036"/>
      <c r="S1255" s="1036"/>
      <c r="T1255" s="1036"/>
      <c r="U1255" s="1036"/>
      <c r="V1255" s="1036"/>
      <c r="W1255" s="1036"/>
      <c r="X1255" s="1036"/>
      <c r="Y1255" s="1036"/>
      <c r="Z1255" s="1036"/>
    </row>
    <row r="1256" spans="1:26" ht="25.5">
      <c r="A1256" s="1079">
        <v>93382</v>
      </c>
      <c r="B1256" s="1080" t="s">
        <v>14476</v>
      </c>
      <c r="C1256" s="1080" t="s">
        <v>10726</v>
      </c>
      <c r="D1256" s="1081" t="s">
        <v>152</v>
      </c>
      <c r="E1256" s="1082">
        <v>5</v>
      </c>
      <c r="F1256" s="1083">
        <v>29.52</v>
      </c>
      <c r="G1256" s="1083">
        <v>147.6</v>
      </c>
      <c r="H1256" s="1084">
        <f t="shared" si="12"/>
        <v>1.0025026813822396E-5</v>
      </c>
      <c r="I1256" s="1085">
        <f t="shared" si="14"/>
        <v>0.99839399545884311</v>
      </c>
      <c r="J1256" s="1085" t="str">
        <f t="shared" si="13"/>
        <v>C</v>
      </c>
      <c r="K1256" s="1036"/>
      <c r="L1256" s="1036"/>
      <c r="M1256" s="1036"/>
      <c r="N1256" s="1036"/>
      <c r="O1256" s="1036"/>
      <c r="P1256" s="1036"/>
      <c r="Q1256" s="1036"/>
      <c r="R1256" s="1036"/>
      <c r="S1256" s="1036"/>
      <c r="T1256" s="1036"/>
      <c r="U1256" s="1036"/>
      <c r="V1256" s="1036"/>
      <c r="W1256" s="1036"/>
      <c r="X1256" s="1036"/>
      <c r="Y1256" s="1036"/>
      <c r="Z1256" s="1036"/>
    </row>
    <row r="1257" spans="1:26" ht="25.5">
      <c r="A1257" s="1079">
        <v>93661</v>
      </c>
      <c r="B1257" s="1080" t="s">
        <v>14476</v>
      </c>
      <c r="C1257" s="1080" t="s">
        <v>7962</v>
      </c>
      <c r="D1257" s="1081" t="s">
        <v>6</v>
      </c>
      <c r="E1257" s="1082">
        <v>2</v>
      </c>
      <c r="F1257" s="1083">
        <v>73.55</v>
      </c>
      <c r="G1257" s="1083">
        <v>147.1</v>
      </c>
      <c r="H1257" s="1084">
        <f t="shared" si="12"/>
        <v>9.991066695889393E-6</v>
      </c>
      <c r="I1257" s="1085">
        <f t="shared" si="14"/>
        <v>0.99840398652553897</v>
      </c>
      <c r="J1257" s="1085" t="str">
        <f t="shared" si="13"/>
        <v>C</v>
      </c>
      <c r="K1257" s="1036"/>
      <c r="L1257" s="1036"/>
      <c r="M1257" s="1036"/>
      <c r="N1257" s="1036"/>
      <c r="O1257" s="1036"/>
      <c r="P1257" s="1036"/>
      <c r="Q1257" s="1036"/>
      <c r="R1257" s="1036"/>
      <c r="S1257" s="1036"/>
      <c r="T1257" s="1036"/>
      <c r="U1257" s="1036"/>
      <c r="V1257" s="1036"/>
      <c r="W1257" s="1036"/>
      <c r="X1257" s="1036"/>
      <c r="Y1257" s="1036"/>
      <c r="Z1257" s="1036"/>
    </row>
    <row r="1258" spans="1:26" ht="51">
      <c r="A1258" s="1079">
        <v>89784</v>
      </c>
      <c r="B1258" s="1080" t="s">
        <v>14476</v>
      </c>
      <c r="C1258" s="1080" t="s">
        <v>8990</v>
      </c>
      <c r="D1258" s="1081" t="s">
        <v>6</v>
      </c>
      <c r="E1258" s="1082">
        <v>5</v>
      </c>
      <c r="F1258" s="1083">
        <v>29.23</v>
      </c>
      <c r="G1258" s="1083">
        <v>146.15</v>
      </c>
      <c r="H1258" s="1084">
        <f t="shared" si="12"/>
        <v>9.9265424718166882E-6</v>
      </c>
      <c r="I1258" s="1085">
        <f t="shared" si="14"/>
        <v>0.99841391306801075</v>
      </c>
      <c r="J1258" s="1085" t="str">
        <f t="shared" si="13"/>
        <v>C</v>
      </c>
      <c r="K1258" s="1036"/>
      <c r="L1258" s="1036"/>
      <c r="M1258" s="1036"/>
      <c r="N1258" s="1036"/>
      <c r="O1258" s="1036"/>
      <c r="P1258" s="1036"/>
      <c r="Q1258" s="1036"/>
      <c r="R1258" s="1036"/>
      <c r="S1258" s="1036"/>
      <c r="T1258" s="1036"/>
      <c r="U1258" s="1036"/>
      <c r="V1258" s="1036"/>
      <c r="W1258" s="1036"/>
      <c r="X1258" s="1036"/>
      <c r="Y1258" s="1036"/>
      <c r="Z1258" s="1036"/>
    </row>
    <row r="1259" spans="1:26" ht="38.25">
      <c r="A1259" s="1079">
        <v>96527</v>
      </c>
      <c r="B1259" s="1080" t="s">
        <v>14476</v>
      </c>
      <c r="C1259" s="1080" t="s">
        <v>10512</v>
      </c>
      <c r="D1259" s="1081" t="s">
        <v>152</v>
      </c>
      <c r="E1259" s="1082">
        <v>1.2</v>
      </c>
      <c r="F1259" s="1083">
        <v>121.42</v>
      </c>
      <c r="G1259" s="1083">
        <v>145.69999999999999</v>
      </c>
      <c r="H1259" s="1084">
        <f t="shared" si="12"/>
        <v>9.8959783656769843E-6</v>
      </c>
      <c r="I1259" s="1085">
        <f t="shared" si="14"/>
        <v>0.9984238090463764</v>
      </c>
      <c r="J1259" s="1085" t="str">
        <f t="shared" si="13"/>
        <v>C</v>
      </c>
      <c r="K1259" s="1036"/>
      <c r="L1259" s="1036"/>
      <c r="M1259" s="1036"/>
      <c r="N1259" s="1036"/>
      <c r="O1259" s="1036"/>
      <c r="P1259" s="1036"/>
      <c r="Q1259" s="1036"/>
      <c r="R1259" s="1036"/>
      <c r="S1259" s="1036"/>
      <c r="T1259" s="1036"/>
      <c r="U1259" s="1036"/>
      <c r="V1259" s="1036"/>
      <c r="W1259" s="1036"/>
      <c r="X1259" s="1036"/>
      <c r="Y1259" s="1036"/>
      <c r="Z1259" s="1036"/>
    </row>
    <row r="1260" spans="1:26" ht="38.25">
      <c r="A1260" s="1079">
        <v>95547</v>
      </c>
      <c r="B1260" s="1080" t="s">
        <v>14476</v>
      </c>
      <c r="C1260" s="1080" t="s">
        <v>10157</v>
      </c>
      <c r="D1260" s="1081" t="s">
        <v>6</v>
      </c>
      <c r="E1260" s="1082">
        <v>2</v>
      </c>
      <c r="F1260" s="1083">
        <v>72.599999999999994</v>
      </c>
      <c r="G1260" s="1083">
        <v>145.19999999999999</v>
      </c>
      <c r="H1260" s="1084">
        <f t="shared" si="12"/>
        <v>9.8620182477439816E-6</v>
      </c>
      <c r="I1260" s="1085">
        <f t="shared" si="14"/>
        <v>0.99843367106462411</v>
      </c>
      <c r="J1260" s="1085" t="str">
        <f t="shared" si="13"/>
        <v>C</v>
      </c>
      <c r="K1260" s="1036"/>
      <c r="L1260" s="1036"/>
      <c r="M1260" s="1036"/>
      <c r="N1260" s="1036"/>
      <c r="O1260" s="1036"/>
      <c r="P1260" s="1036"/>
      <c r="Q1260" s="1036"/>
      <c r="R1260" s="1036"/>
      <c r="S1260" s="1036"/>
      <c r="T1260" s="1036"/>
      <c r="U1260" s="1036"/>
      <c r="V1260" s="1036"/>
      <c r="W1260" s="1036"/>
      <c r="X1260" s="1036"/>
      <c r="Y1260" s="1036"/>
      <c r="Z1260" s="1036"/>
    </row>
    <row r="1261" spans="1:26" ht="38.25">
      <c r="A1261" s="1079">
        <v>95547</v>
      </c>
      <c r="B1261" s="1080" t="s">
        <v>14476</v>
      </c>
      <c r="C1261" s="1080" t="s">
        <v>10157</v>
      </c>
      <c r="D1261" s="1081" t="s">
        <v>6</v>
      </c>
      <c r="E1261" s="1082">
        <v>2</v>
      </c>
      <c r="F1261" s="1083">
        <v>72.599999999999994</v>
      </c>
      <c r="G1261" s="1083">
        <v>145.19999999999999</v>
      </c>
      <c r="H1261" s="1084">
        <f t="shared" si="12"/>
        <v>9.8620182477439816E-6</v>
      </c>
      <c r="I1261" s="1085">
        <f t="shared" si="14"/>
        <v>0.99844353308287181</v>
      </c>
      <c r="J1261" s="1085" t="str">
        <f t="shared" si="13"/>
        <v>C</v>
      </c>
      <c r="K1261" s="1036"/>
      <c r="L1261" s="1036"/>
      <c r="M1261" s="1036"/>
      <c r="N1261" s="1036"/>
      <c r="O1261" s="1036"/>
      <c r="P1261" s="1036"/>
      <c r="Q1261" s="1036"/>
      <c r="R1261" s="1036"/>
      <c r="S1261" s="1036"/>
      <c r="T1261" s="1036"/>
      <c r="U1261" s="1036"/>
      <c r="V1261" s="1036"/>
      <c r="W1261" s="1036"/>
      <c r="X1261" s="1036"/>
      <c r="Y1261" s="1036"/>
      <c r="Z1261" s="1036"/>
    </row>
    <row r="1262" spans="1:26" ht="38.25">
      <c r="A1262" s="1079">
        <v>91994</v>
      </c>
      <c r="B1262" s="1080" t="s">
        <v>14476</v>
      </c>
      <c r="C1262" s="1080" t="s">
        <v>8053</v>
      </c>
      <c r="D1262" s="1081" t="s">
        <v>6</v>
      </c>
      <c r="E1262" s="1082">
        <v>5</v>
      </c>
      <c r="F1262" s="1083">
        <v>28.53</v>
      </c>
      <c r="G1262" s="1083">
        <v>142.65</v>
      </c>
      <c r="H1262" s="1084">
        <f t="shared" si="12"/>
        <v>9.6888216462856698E-6</v>
      </c>
      <c r="I1262" s="1085">
        <f t="shared" si="14"/>
        <v>0.99845322190451813</v>
      </c>
      <c r="J1262" s="1085" t="str">
        <f t="shared" si="13"/>
        <v>C</v>
      </c>
      <c r="K1262" s="1036"/>
      <c r="L1262" s="1036"/>
      <c r="M1262" s="1036"/>
      <c r="N1262" s="1036"/>
      <c r="O1262" s="1036"/>
      <c r="P1262" s="1036"/>
      <c r="Q1262" s="1036"/>
      <c r="R1262" s="1036"/>
      <c r="S1262" s="1036"/>
      <c r="T1262" s="1036"/>
      <c r="U1262" s="1036"/>
      <c r="V1262" s="1036"/>
      <c r="W1262" s="1036"/>
      <c r="X1262" s="1036"/>
      <c r="Y1262" s="1036"/>
      <c r="Z1262" s="1036"/>
    </row>
    <row r="1263" spans="1:26" ht="25.5">
      <c r="A1263" s="1079" t="s">
        <v>14907</v>
      </c>
      <c r="B1263" s="1080" t="s">
        <v>14472</v>
      </c>
      <c r="C1263" s="1080" t="s">
        <v>16014</v>
      </c>
      <c r="D1263" s="1081" t="s">
        <v>6</v>
      </c>
      <c r="E1263" s="1082">
        <v>2</v>
      </c>
      <c r="F1263" s="1083">
        <v>70.47</v>
      </c>
      <c r="G1263" s="1083">
        <v>140.94</v>
      </c>
      <c r="H1263" s="1084">
        <f t="shared" si="12"/>
        <v>9.5726780429547997E-6</v>
      </c>
      <c r="I1263" s="1085">
        <f t="shared" si="14"/>
        <v>0.99846279458256104</v>
      </c>
      <c r="J1263" s="1085" t="str">
        <f t="shared" si="13"/>
        <v>C</v>
      </c>
      <c r="K1263" s="1036"/>
      <c r="L1263" s="1036"/>
      <c r="M1263" s="1036"/>
      <c r="N1263" s="1036"/>
      <c r="O1263" s="1036"/>
      <c r="P1263" s="1036"/>
      <c r="Q1263" s="1036"/>
      <c r="R1263" s="1036"/>
      <c r="S1263" s="1036"/>
      <c r="T1263" s="1036"/>
      <c r="U1263" s="1036"/>
      <c r="V1263" s="1036"/>
      <c r="W1263" s="1036"/>
      <c r="X1263" s="1036"/>
      <c r="Y1263" s="1036"/>
      <c r="Z1263" s="1036"/>
    </row>
    <row r="1264" spans="1:26" ht="38.25">
      <c r="A1264" s="1079">
        <v>95817</v>
      </c>
      <c r="B1264" s="1080" t="s">
        <v>14476</v>
      </c>
      <c r="C1264" s="1080" t="s">
        <v>7928</v>
      </c>
      <c r="D1264" s="1081" t="s">
        <v>6</v>
      </c>
      <c r="E1264" s="1082">
        <v>3</v>
      </c>
      <c r="F1264" s="1083">
        <v>46.81</v>
      </c>
      <c r="G1264" s="1083">
        <v>140.43</v>
      </c>
      <c r="H1264" s="1084">
        <f t="shared" si="12"/>
        <v>9.5380387226631383E-6</v>
      </c>
      <c r="I1264" s="1085">
        <f t="shared" si="14"/>
        <v>0.99847233262128365</v>
      </c>
      <c r="J1264" s="1085" t="str">
        <f t="shared" si="13"/>
        <v>C</v>
      </c>
      <c r="K1264" s="1036"/>
      <c r="L1264" s="1036"/>
      <c r="M1264" s="1036"/>
      <c r="N1264" s="1036"/>
      <c r="O1264" s="1036"/>
      <c r="P1264" s="1036"/>
      <c r="Q1264" s="1036"/>
      <c r="R1264" s="1036"/>
      <c r="S1264" s="1036"/>
      <c r="T1264" s="1036"/>
      <c r="U1264" s="1036"/>
      <c r="V1264" s="1036"/>
      <c r="W1264" s="1036"/>
      <c r="X1264" s="1036"/>
      <c r="Y1264" s="1036"/>
      <c r="Z1264" s="1036"/>
    </row>
    <row r="1265" spans="1:26" ht="25.5">
      <c r="A1265" s="1079">
        <v>93382</v>
      </c>
      <c r="B1265" s="1080" t="s">
        <v>14476</v>
      </c>
      <c r="C1265" s="1080" t="s">
        <v>10726</v>
      </c>
      <c r="D1265" s="1081" t="s">
        <v>152</v>
      </c>
      <c r="E1265" s="1082">
        <v>4.74</v>
      </c>
      <c r="F1265" s="1083">
        <v>29.52</v>
      </c>
      <c r="G1265" s="1083">
        <v>139.94999999999999</v>
      </c>
      <c r="H1265" s="1084">
        <f t="shared" si="12"/>
        <v>9.5054370094474532E-6</v>
      </c>
      <c r="I1265" s="1085">
        <f t="shared" si="14"/>
        <v>0.99848183805829305</v>
      </c>
      <c r="J1265" s="1085" t="str">
        <f t="shared" si="13"/>
        <v>C</v>
      </c>
      <c r="K1265" s="1036"/>
      <c r="L1265" s="1036"/>
      <c r="M1265" s="1036"/>
      <c r="N1265" s="1036"/>
      <c r="O1265" s="1036"/>
      <c r="P1265" s="1036"/>
      <c r="Q1265" s="1036"/>
      <c r="R1265" s="1036"/>
      <c r="S1265" s="1036"/>
      <c r="T1265" s="1036"/>
      <c r="U1265" s="1036"/>
      <c r="V1265" s="1036"/>
      <c r="W1265" s="1036"/>
      <c r="X1265" s="1036"/>
      <c r="Y1265" s="1036"/>
      <c r="Z1265" s="1036"/>
    </row>
    <row r="1266" spans="1:26" ht="38.25">
      <c r="A1266" s="1079">
        <v>89395</v>
      </c>
      <c r="B1266" s="1080" t="s">
        <v>14476</v>
      </c>
      <c r="C1266" s="1080" t="s">
        <v>8701</v>
      </c>
      <c r="D1266" s="1081" t="s">
        <v>6</v>
      </c>
      <c r="E1266" s="1082">
        <v>9</v>
      </c>
      <c r="F1266" s="1083">
        <v>15.51</v>
      </c>
      <c r="G1266" s="1083">
        <v>139.59</v>
      </c>
      <c r="H1266" s="1084">
        <f t="shared" si="12"/>
        <v>9.4809857245356931E-6</v>
      </c>
      <c r="I1266" s="1085">
        <f t="shared" si="14"/>
        <v>0.99849131904401756</v>
      </c>
      <c r="J1266" s="1085" t="str">
        <f t="shared" si="13"/>
        <v>C</v>
      </c>
      <c r="K1266" s="1036"/>
      <c r="L1266" s="1036"/>
      <c r="M1266" s="1036"/>
      <c r="N1266" s="1036"/>
      <c r="O1266" s="1036"/>
      <c r="P1266" s="1036"/>
      <c r="Q1266" s="1036"/>
      <c r="R1266" s="1036"/>
      <c r="S1266" s="1036"/>
      <c r="T1266" s="1036"/>
      <c r="U1266" s="1036"/>
      <c r="V1266" s="1036"/>
      <c r="W1266" s="1036"/>
      <c r="X1266" s="1036"/>
      <c r="Y1266" s="1036"/>
      <c r="Z1266" s="1036"/>
    </row>
    <row r="1267" spans="1:26" ht="38.25">
      <c r="A1267" s="1079">
        <v>89395</v>
      </c>
      <c r="B1267" s="1080" t="s">
        <v>14476</v>
      </c>
      <c r="C1267" s="1080" t="s">
        <v>8701</v>
      </c>
      <c r="D1267" s="1081" t="s">
        <v>6</v>
      </c>
      <c r="E1267" s="1082">
        <v>9</v>
      </c>
      <c r="F1267" s="1083">
        <v>15.51</v>
      </c>
      <c r="G1267" s="1083">
        <v>139.59</v>
      </c>
      <c r="H1267" s="1084">
        <f t="shared" si="12"/>
        <v>9.4809857245356931E-6</v>
      </c>
      <c r="I1267" s="1085">
        <f t="shared" si="14"/>
        <v>0.99850080002974206</v>
      </c>
      <c r="J1267" s="1085" t="str">
        <f t="shared" si="13"/>
        <v>C</v>
      </c>
      <c r="K1267" s="1036"/>
      <c r="L1267" s="1036"/>
      <c r="M1267" s="1036"/>
      <c r="N1267" s="1036"/>
      <c r="O1267" s="1036"/>
      <c r="P1267" s="1036"/>
      <c r="Q1267" s="1036"/>
      <c r="R1267" s="1036"/>
      <c r="S1267" s="1036"/>
      <c r="T1267" s="1036"/>
      <c r="U1267" s="1036"/>
      <c r="V1267" s="1036"/>
      <c r="W1267" s="1036"/>
      <c r="X1267" s="1036"/>
      <c r="Y1267" s="1036"/>
      <c r="Z1267" s="1036"/>
    </row>
    <row r="1268" spans="1:26" ht="25.5">
      <c r="A1268" s="1079">
        <v>101616</v>
      </c>
      <c r="B1268" s="1080" t="s">
        <v>14476</v>
      </c>
      <c r="C1268" s="1080" t="s">
        <v>10747</v>
      </c>
      <c r="D1268" s="1081" t="s">
        <v>409</v>
      </c>
      <c r="E1268" s="1082">
        <v>18.91</v>
      </c>
      <c r="F1268" s="1083">
        <v>7.37</v>
      </c>
      <c r="G1268" s="1083">
        <v>139.36000000000001</v>
      </c>
      <c r="H1268" s="1084">
        <f t="shared" si="12"/>
        <v>9.4653640702865118E-6</v>
      </c>
      <c r="I1268" s="1085">
        <f t="shared" si="14"/>
        <v>0.99851026539381238</v>
      </c>
      <c r="J1268" s="1085" t="str">
        <f t="shared" si="13"/>
        <v>C</v>
      </c>
      <c r="K1268" s="1036"/>
      <c r="L1268" s="1036"/>
      <c r="M1268" s="1036"/>
      <c r="N1268" s="1036"/>
      <c r="O1268" s="1036"/>
      <c r="P1268" s="1036"/>
      <c r="Q1268" s="1036"/>
      <c r="R1268" s="1036"/>
      <c r="S1268" s="1036"/>
      <c r="T1268" s="1036"/>
      <c r="U1268" s="1036"/>
      <c r="V1268" s="1036"/>
      <c r="W1268" s="1036"/>
      <c r="X1268" s="1036"/>
      <c r="Y1268" s="1036"/>
      <c r="Z1268" s="1036"/>
    </row>
    <row r="1269" spans="1:26" ht="38.25">
      <c r="A1269" s="1079">
        <v>89369</v>
      </c>
      <c r="B1269" s="1080" t="s">
        <v>14476</v>
      </c>
      <c r="C1269" s="1080" t="s">
        <v>8676</v>
      </c>
      <c r="D1269" s="1081" t="s">
        <v>6</v>
      </c>
      <c r="E1269" s="1082">
        <v>7</v>
      </c>
      <c r="F1269" s="1083">
        <v>19.670000000000002</v>
      </c>
      <c r="G1269" s="1083">
        <v>137.69</v>
      </c>
      <c r="H1269" s="1084">
        <f t="shared" si="12"/>
        <v>9.3519372763902818E-6</v>
      </c>
      <c r="I1269" s="1085">
        <f t="shared" si="14"/>
        <v>0.99851961733108874</v>
      </c>
      <c r="J1269" s="1085" t="str">
        <f t="shared" si="13"/>
        <v>C</v>
      </c>
      <c r="K1269" s="1036"/>
      <c r="L1269" s="1036"/>
      <c r="M1269" s="1036"/>
      <c r="N1269" s="1036"/>
      <c r="O1269" s="1036"/>
      <c r="P1269" s="1036"/>
      <c r="Q1269" s="1036"/>
      <c r="R1269" s="1036"/>
      <c r="S1269" s="1036"/>
      <c r="T1269" s="1036"/>
      <c r="U1269" s="1036"/>
      <c r="V1269" s="1036"/>
      <c r="W1269" s="1036"/>
      <c r="X1269" s="1036"/>
      <c r="Y1269" s="1036"/>
      <c r="Z1269" s="1036"/>
    </row>
    <row r="1270" spans="1:26" ht="25.5">
      <c r="A1270" s="1079" t="s">
        <v>15372</v>
      </c>
      <c r="B1270" s="1080" t="s">
        <v>14472</v>
      </c>
      <c r="C1270" s="1080" t="s">
        <v>15373</v>
      </c>
      <c r="D1270" s="1081" t="s">
        <v>6</v>
      </c>
      <c r="E1270" s="1082">
        <v>6</v>
      </c>
      <c r="F1270" s="1083">
        <v>22.92</v>
      </c>
      <c r="G1270" s="1083">
        <v>137.52000000000001</v>
      </c>
      <c r="H1270" s="1084">
        <f t="shared" si="12"/>
        <v>9.3403908362930613E-6</v>
      </c>
      <c r="I1270" s="1085">
        <f t="shared" si="14"/>
        <v>0.99852895772192507</v>
      </c>
      <c r="J1270" s="1085" t="str">
        <f t="shared" si="13"/>
        <v>C</v>
      </c>
      <c r="K1270" s="1036"/>
      <c r="L1270" s="1036"/>
      <c r="M1270" s="1036"/>
      <c r="N1270" s="1036"/>
      <c r="O1270" s="1036"/>
      <c r="P1270" s="1036"/>
      <c r="Q1270" s="1036"/>
      <c r="R1270" s="1036"/>
      <c r="S1270" s="1036"/>
      <c r="T1270" s="1036"/>
      <c r="U1270" s="1036"/>
      <c r="V1270" s="1036"/>
      <c r="W1270" s="1036"/>
      <c r="X1270" s="1036"/>
      <c r="Y1270" s="1036"/>
      <c r="Z1270" s="1036"/>
    </row>
    <row r="1271" spans="1:26" ht="25.5">
      <c r="A1271" s="1079" t="s">
        <v>15372</v>
      </c>
      <c r="B1271" s="1080" t="s">
        <v>14472</v>
      </c>
      <c r="C1271" s="1080" t="s">
        <v>15373</v>
      </c>
      <c r="D1271" s="1081" t="s">
        <v>6</v>
      </c>
      <c r="E1271" s="1082">
        <v>6</v>
      </c>
      <c r="F1271" s="1083">
        <v>22.92</v>
      </c>
      <c r="G1271" s="1083">
        <v>137.52000000000001</v>
      </c>
      <c r="H1271" s="1084">
        <f t="shared" si="12"/>
        <v>9.3403908362930613E-6</v>
      </c>
      <c r="I1271" s="1085">
        <f t="shared" si="14"/>
        <v>0.9985382981127614</v>
      </c>
      <c r="J1271" s="1085" t="str">
        <f t="shared" si="13"/>
        <v>C</v>
      </c>
      <c r="K1271" s="1036"/>
      <c r="L1271" s="1036"/>
      <c r="M1271" s="1036"/>
      <c r="N1271" s="1036"/>
      <c r="O1271" s="1036"/>
      <c r="P1271" s="1036"/>
      <c r="Q1271" s="1036"/>
      <c r="R1271" s="1036"/>
      <c r="S1271" s="1036"/>
      <c r="T1271" s="1036"/>
      <c r="U1271" s="1036"/>
      <c r="V1271" s="1036"/>
      <c r="W1271" s="1036"/>
      <c r="X1271" s="1036"/>
      <c r="Y1271" s="1036"/>
      <c r="Z1271" s="1036"/>
    </row>
    <row r="1272" spans="1:26" ht="25.5">
      <c r="A1272" s="1079" t="s">
        <v>15372</v>
      </c>
      <c r="B1272" s="1080" t="s">
        <v>14472</v>
      </c>
      <c r="C1272" s="1080" t="s">
        <v>15373</v>
      </c>
      <c r="D1272" s="1081" t="s">
        <v>6</v>
      </c>
      <c r="E1272" s="1082">
        <v>6</v>
      </c>
      <c r="F1272" s="1083">
        <v>22.92</v>
      </c>
      <c r="G1272" s="1083">
        <v>137.52000000000001</v>
      </c>
      <c r="H1272" s="1084">
        <f t="shared" si="12"/>
        <v>9.3403908362930613E-6</v>
      </c>
      <c r="I1272" s="1085">
        <f t="shared" si="14"/>
        <v>0.99854763850359773</v>
      </c>
      <c r="J1272" s="1085" t="str">
        <f t="shared" si="13"/>
        <v>C</v>
      </c>
      <c r="K1272" s="1036"/>
      <c r="L1272" s="1036"/>
      <c r="M1272" s="1036"/>
      <c r="N1272" s="1036"/>
      <c r="O1272" s="1036"/>
      <c r="P1272" s="1036"/>
      <c r="Q1272" s="1036"/>
      <c r="R1272" s="1036"/>
      <c r="S1272" s="1036"/>
      <c r="T1272" s="1036"/>
      <c r="U1272" s="1036"/>
      <c r="V1272" s="1036"/>
      <c r="W1272" s="1036"/>
      <c r="X1272" s="1036"/>
      <c r="Y1272" s="1036"/>
      <c r="Z1272" s="1036"/>
    </row>
    <row r="1273" spans="1:26" ht="25.5">
      <c r="A1273" s="1079" t="s">
        <v>15372</v>
      </c>
      <c r="B1273" s="1080" t="s">
        <v>14472</v>
      </c>
      <c r="C1273" s="1080" t="s">
        <v>15373</v>
      </c>
      <c r="D1273" s="1081" t="s">
        <v>6</v>
      </c>
      <c r="E1273" s="1082">
        <v>6</v>
      </c>
      <c r="F1273" s="1083">
        <v>22.92</v>
      </c>
      <c r="G1273" s="1083">
        <v>137.52000000000001</v>
      </c>
      <c r="H1273" s="1084">
        <f t="shared" si="12"/>
        <v>9.3403908362930613E-6</v>
      </c>
      <c r="I1273" s="1085">
        <f t="shared" si="14"/>
        <v>0.99855697889443407</v>
      </c>
      <c r="J1273" s="1085" t="str">
        <f t="shared" si="13"/>
        <v>C</v>
      </c>
      <c r="K1273" s="1036"/>
      <c r="L1273" s="1036"/>
      <c r="M1273" s="1036"/>
      <c r="N1273" s="1036"/>
      <c r="O1273" s="1036"/>
      <c r="P1273" s="1036"/>
      <c r="Q1273" s="1036"/>
      <c r="R1273" s="1036"/>
      <c r="S1273" s="1036"/>
      <c r="T1273" s="1036"/>
      <c r="U1273" s="1036"/>
      <c r="V1273" s="1036"/>
      <c r="W1273" s="1036"/>
      <c r="X1273" s="1036"/>
      <c r="Y1273" s="1036"/>
      <c r="Z1273" s="1036"/>
    </row>
    <row r="1274" spans="1:26" ht="25.5">
      <c r="A1274" s="1079" t="s">
        <v>15372</v>
      </c>
      <c r="B1274" s="1080" t="s">
        <v>14472</v>
      </c>
      <c r="C1274" s="1080" t="s">
        <v>15373</v>
      </c>
      <c r="D1274" s="1081" t="s">
        <v>6</v>
      </c>
      <c r="E1274" s="1082">
        <v>6</v>
      </c>
      <c r="F1274" s="1083">
        <v>22.92</v>
      </c>
      <c r="G1274" s="1083">
        <v>137.52000000000001</v>
      </c>
      <c r="H1274" s="1084">
        <f t="shared" si="12"/>
        <v>9.3403908362930613E-6</v>
      </c>
      <c r="I1274" s="1085">
        <f t="shared" si="14"/>
        <v>0.9985663192852704</v>
      </c>
      <c r="J1274" s="1085" t="str">
        <f t="shared" si="13"/>
        <v>C</v>
      </c>
      <c r="K1274" s="1036"/>
      <c r="L1274" s="1036"/>
      <c r="M1274" s="1036"/>
      <c r="N1274" s="1036"/>
      <c r="O1274" s="1036"/>
      <c r="P1274" s="1036"/>
      <c r="Q1274" s="1036"/>
      <c r="R1274" s="1036"/>
      <c r="S1274" s="1036"/>
      <c r="T1274" s="1036"/>
      <c r="U1274" s="1036"/>
      <c r="V1274" s="1036"/>
      <c r="W1274" s="1036"/>
      <c r="X1274" s="1036"/>
      <c r="Y1274" s="1036"/>
      <c r="Z1274" s="1036"/>
    </row>
    <row r="1275" spans="1:26" ht="25.5">
      <c r="A1275" s="1079">
        <v>96616</v>
      </c>
      <c r="B1275" s="1080" t="s">
        <v>14476</v>
      </c>
      <c r="C1275" s="1080" t="s">
        <v>7163</v>
      </c>
      <c r="D1275" s="1081" t="s">
        <v>152</v>
      </c>
      <c r="E1275" s="1082">
        <v>0.13</v>
      </c>
      <c r="F1275" s="1083">
        <v>1048.5999999999999</v>
      </c>
      <c r="G1275" s="1083">
        <v>136.31</v>
      </c>
      <c r="H1275" s="1084">
        <f t="shared" si="12"/>
        <v>9.2582073508951956E-6</v>
      </c>
      <c r="I1275" s="1085">
        <f t="shared" si="14"/>
        <v>0.99857557749262127</v>
      </c>
      <c r="J1275" s="1085" t="str">
        <f t="shared" si="13"/>
        <v>C</v>
      </c>
      <c r="K1275" s="1036"/>
      <c r="L1275" s="1036"/>
      <c r="M1275" s="1036"/>
      <c r="N1275" s="1036"/>
      <c r="O1275" s="1036"/>
      <c r="P1275" s="1036"/>
      <c r="Q1275" s="1036"/>
      <c r="R1275" s="1036"/>
      <c r="S1275" s="1036"/>
      <c r="T1275" s="1036"/>
      <c r="U1275" s="1036"/>
      <c r="V1275" s="1036"/>
      <c r="W1275" s="1036"/>
      <c r="X1275" s="1036"/>
      <c r="Y1275" s="1036"/>
      <c r="Z1275" s="1036"/>
    </row>
    <row r="1276" spans="1:26" ht="38.25">
      <c r="A1276" s="1079">
        <v>94490</v>
      </c>
      <c r="B1276" s="1080" t="s">
        <v>14476</v>
      </c>
      <c r="C1276" s="1080" t="s">
        <v>16021</v>
      </c>
      <c r="D1276" s="1081" t="s">
        <v>6</v>
      </c>
      <c r="E1276" s="1082">
        <v>3</v>
      </c>
      <c r="F1276" s="1083">
        <v>45.22</v>
      </c>
      <c r="G1276" s="1083">
        <v>135.66</v>
      </c>
      <c r="H1276" s="1084">
        <f t="shared" si="12"/>
        <v>9.2140591975822916E-6</v>
      </c>
      <c r="I1276" s="1085">
        <f t="shared" si="14"/>
        <v>0.9985847915518189</v>
      </c>
      <c r="J1276" s="1085" t="str">
        <f t="shared" si="13"/>
        <v>C</v>
      </c>
      <c r="K1276" s="1036"/>
      <c r="L1276" s="1036"/>
      <c r="M1276" s="1036"/>
      <c r="N1276" s="1036"/>
      <c r="O1276" s="1036"/>
      <c r="P1276" s="1036"/>
      <c r="Q1276" s="1036"/>
      <c r="R1276" s="1036"/>
      <c r="S1276" s="1036"/>
      <c r="T1276" s="1036"/>
      <c r="U1276" s="1036"/>
      <c r="V1276" s="1036"/>
      <c r="W1276" s="1036"/>
      <c r="X1276" s="1036"/>
      <c r="Y1276" s="1036"/>
      <c r="Z1276" s="1036"/>
    </row>
    <row r="1277" spans="1:26" ht="38.25">
      <c r="A1277" s="1079">
        <v>94490</v>
      </c>
      <c r="B1277" s="1080" t="s">
        <v>14476</v>
      </c>
      <c r="C1277" s="1080" t="s">
        <v>16021</v>
      </c>
      <c r="D1277" s="1081" t="s">
        <v>6</v>
      </c>
      <c r="E1277" s="1082">
        <v>3</v>
      </c>
      <c r="F1277" s="1083">
        <v>45.22</v>
      </c>
      <c r="G1277" s="1083">
        <v>135.66</v>
      </c>
      <c r="H1277" s="1084">
        <f t="shared" si="12"/>
        <v>9.2140591975822916E-6</v>
      </c>
      <c r="I1277" s="1085">
        <f t="shared" si="14"/>
        <v>0.99859400561101652</v>
      </c>
      <c r="J1277" s="1085" t="str">
        <f t="shared" si="13"/>
        <v>C</v>
      </c>
      <c r="K1277" s="1036"/>
      <c r="L1277" s="1036"/>
      <c r="M1277" s="1036"/>
      <c r="N1277" s="1036"/>
      <c r="O1277" s="1036"/>
      <c r="P1277" s="1036"/>
      <c r="Q1277" s="1036"/>
      <c r="R1277" s="1036"/>
      <c r="S1277" s="1036"/>
      <c r="T1277" s="1036"/>
      <c r="U1277" s="1036"/>
      <c r="V1277" s="1036"/>
      <c r="W1277" s="1036"/>
      <c r="X1277" s="1036"/>
      <c r="Y1277" s="1036"/>
      <c r="Z1277" s="1036"/>
    </row>
    <row r="1278" spans="1:26" ht="38.25">
      <c r="A1278" s="1079">
        <v>94490</v>
      </c>
      <c r="B1278" s="1080" t="s">
        <v>14476</v>
      </c>
      <c r="C1278" s="1080" t="s">
        <v>16021</v>
      </c>
      <c r="D1278" s="1081" t="s">
        <v>6</v>
      </c>
      <c r="E1278" s="1082">
        <v>3</v>
      </c>
      <c r="F1278" s="1083">
        <v>45.22</v>
      </c>
      <c r="G1278" s="1083">
        <v>135.66</v>
      </c>
      <c r="H1278" s="1084">
        <f t="shared" si="12"/>
        <v>9.2140591975822916E-6</v>
      </c>
      <c r="I1278" s="1085">
        <f t="shared" si="14"/>
        <v>0.99860321967021415</v>
      </c>
      <c r="J1278" s="1085" t="str">
        <f t="shared" si="13"/>
        <v>C</v>
      </c>
      <c r="K1278" s="1036"/>
      <c r="L1278" s="1036"/>
      <c r="M1278" s="1036"/>
      <c r="N1278" s="1036"/>
      <c r="O1278" s="1036"/>
      <c r="P1278" s="1036"/>
      <c r="Q1278" s="1036"/>
      <c r="R1278" s="1036"/>
      <c r="S1278" s="1036"/>
      <c r="T1278" s="1036"/>
      <c r="U1278" s="1036"/>
      <c r="V1278" s="1036"/>
      <c r="W1278" s="1036"/>
      <c r="X1278" s="1036"/>
      <c r="Y1278" s="1036"/>
      <c r="Z1278" s="1036"/>
    </row>
    <row r="1279" spans="1:26" ht="38.25">
      <c r="A1279" s="1079">
        <v>105234</v>
      </c>
      <c r="B1279" s="1080" t="s">
        <v>14476</v>
      </c>
      <c r="C1279" s="1080" t="s">
        <v>10006</v>
      </c>
      <c r="D1279" s="1081" t="s">
        <v>6</v>
      </c>
      <c r="E1279" s="1082">
        <v>12</v>
      </c>
      <c r="F1279" s="1083">
        <v>11.15</v>
      </c>
      <c r="G1279" s="1083">
        <v>133.80000000000001</v>
      </c>
      <c r="H1279" s="1084">
        <f t="shared" si="12"/>
        <v>9.087727558871522E-6</v>
      </c>
      <c r="I1279" s="1085">
        <f t="shared" si="14"/>
        <v>0.99861230739777307</v>
      </c>
      <c r="J1279" s="1085" t="str">
        <f t="shared" si="13"/>
        <v>C</v>
      </c>
      <c r="K1279" s="1036"/>
      <c r="L1279" s="1036"/>
      <c r="M1279" s="1036"/>
      <c r="N1279" s="1036"/>
      <c r="O1279" s="1036"/>
      <c r="P1279" s="1036"/>
      <c r="Q1279" s="1036"/>
      <c r="R1279" s="1036"/>
      <c r="S1279" s="1036"/>
      <c r="T1279" s="1036"/>
      <c r="U1279" s="1036"/>
      <c r="V1279" s="1036"/>
      <c r="W1279" s="1036"/>
      <c r="X1279" s="1036"/>
      <c r="Y1279" s="1036"/>
      <c r="Z1279" s="1036"/>
    </row>
    <row r="1280" spans="1:26" ht="38.25">
      <c r="A1280" s="1079">
        <v>86914</v>
      </c>
      <c r="B1280" s="1080" t="s">
        <v>14476</v>
      </c>
      <c r="C1280" s="1080" t="s">
        <v>10116</v>
      </c>
      <c r="D1280" s="1081" t="s">
        <v>6</v>
      </c>
      <c r="E1280" s="1082">
        <v>1</v>
      </c>
      <c r="F1280" s="1083">
        <v>133.06</v>
      </c>
      <c r="G1280" s="1083">
        <v>133.06</v>
      </c>
      <c r="H1280" s="1084">
        <f t="shared" si="12"/>
        <v>9.0374665843306776E-6</v>
      </c>
      <c r="I1280" s="1085">
        <f t="shared" si="14"/>
        <v>0.99862134486435739</v>
      </c>
      <c r="J1280" s="1085" t="str">
        <f t="shared" si="13"/>
        <v>C</v>
      </c>
      <c r="K1280" s="1036"/>
      <c r="L1280" s="1036"/>
      <c r="M1280" s="1036"/>
      <c r="N1280" s="1036"/>
      <c r="O1280" s="1036"/>
      <c r="P1280" s="1036"/>
      <c r="Q1280" s="1036"/>
      <c r="R1280" s="1036"/>
      <c r="S1280" s="1036"/>
      <c r="T1280" s="1036"/>
      <c r="U1280" s="1036"/>
      <c r="V1280" s="1036"/>
      <c r="W1280" s="1036"/>
      <c r="X1280" s="1036"/>
      <c r="Y1280" s="1036"/>
      <c r="Z1280" s="1036"/>
    </row>
    <row r="1281" spans="1:26" ht="38.25">
      <c r="A1281" s="1079">
        <v>103979</v>
      </c>
      <c r="B1281" s="1080" t="s">
        <v>14476</v>
      </c>
      <c r="C1281" s="1080" t="s">
        <v>8649</v>
      </c>
      <c r="D1281" s="1081" t="s">
        <v>50</v>
      </c>
      <c r="E1281" s="1082">
        <v>4</v>
      </c>
      <c r="F1281" s="1083">
        <v>33.03</v>
      </c>
      <c r="G1281" s="1083">
        <v>132.12</v>
      </c>
      <c r="H1281" s="1084">
        <f t="shared" si="12"/>
        <v>8.9736215626166332E-6</v>
      </c>
      <c r="I1281" s="1085">
        <f t="shared" si="14"/>
        <v>0.99863031848591999</v>
      </c>
      <c r="J1281" s="1085" t="str">
        <f t="shared" si="13"/>
        <v>C</v>
      </c>
      <c r="K1281" s="1036"/>
      <c r="L1281" s="1036"/>
      <c r="M1281" s="1036"/>
      <c r="N1281" s="1036"/>
      <c r="O1281" s="1036"/>
      <c r="P1281" s="1036"/>
      <c r="Q1281" s="1036"/>
      <c r="R1281" s="1036"/>
      <c r="S1281" s="1036"/>
      <c r="T1281" s="1036"/>
      <c r="U1281" s="1036"/>
      <c r="V1281" s="1036"/>
      <c r="W1281" s="1036"/>
      <c r="X1281" s="1036"/>
      <c r="Y1281" s="1036"/>
      <c r="Z1281" s="1036"/>
    </row>
    <row r="1282" spans="1:26" ht="38.25">
      <c r="A1282" s="1079">
        <v>91940</v>
      </c>
      <c r="B1282" s="1080" t="s">
        <v>14476</v>
      </c>
      <c r="C1282" s="1080" t="s">
        <v>7886</v>
      </c>
      <c r="D1282" s="1081" t="s">
        <v>6</v>
      </c>
      <c r="E1282" s="1082">
        <v>6</v>
      </c>
      <c r="F1282" s="1083">
        <v>21.92</v>
      </c>
      <c r="G1282" s="1083">
        <v>131.52000000000001</v>
      </c>
      <c r="H1282" s="1084">
        <f t="shared" si="12"/>
        <v>8.9328694210970297E-6</v>
      </c>
      <c r="I1282" s="1085">
        <f t="shared" si="14"/>
        <v>0.99863925135534104</v>
      </c>
      <c r="J1282" s="1085" t="str">
        <f t="shared" si="13"/>
        <v>C</v>
      </c>
      <c r="K1282" s="1036"/>
      <c r="L1282" s="1036"/>
      <c r="M1282" s="1036"/>
      <c r="N1282" s="1036"/>
      <c r="O1282" s="1036"/>
      <c r="P1282" s="1036"/>
      <c r="Q1282" s="1036"/>
      <c r="R1282" s="1036"/>
      <c r="S1282" s="1036"/>
      <c r="T1282" s="1036"/>
      <c r="U1282" s="1036"/>
      <c r="V1282" s="1036"/>
      <c r="W1282" s="1036"/>
      <c r="X1282" s="1036"/>
      <c r="Y1282" s="1036"/>
      <c r="Z1282" s="1036"/>
    </row>
    <row r="1283" spans="1:26" ht="38.25">
      <c r="A1283" s="1079">
        <v>94679</v>
      </c>
      <c r="B1283" s="1080" t="s">
        <v>14476</v>
      </c>
      <c r="C1283" s="1080" t="s">
        <v>9375</v>
      </c>
      <c r="D1283" s="1081" t="s">
        <v>6</v>
      </c>
      <c r="E1283" s="1082">
        <v>5</v>
      </c>
      <c r="F1283" s="1083">
        <v>26.15</v>
      </c>
      <c r="G1283" s="1083">
        <v>130.75</v>
      </c>
      <c r="H1283" s="1084">
        <f t="shared" si="12"/>
        <v>8.8805708394802041E-6</v>
      </c>
      <c r="I1283" s="1085">
        <f t="shared" si="14"/>
        <v>0.99864813192618052</v>
      </c>
      <c r="J1283" s="1085" t="str">
        <f t="shared" si="13"/>
        <v>C</v>
      </c>
      <c r="K1283" s="1036"/>
      <c r="L1283" s="1036"/>
      <c r="M1283" s="1036"/>
      <c r="N1283" s="1036"/>
      <c r="O1283" s="1036"/>
      <c r="P1283" s="1036"/>
      <c r="Q1283" s="1036"/>
      <c r="R1283" s="1036"/>
      <c r="S1283" s="1036"/>
      <c r="T1283" s="1036"/>
      <c r="U1283" s="1036"/>
      <c r="V1283" s="1036"/>
      <c r="W1283" s="1036"/>
      <c r="X1283" s="1036"/>
      <c r="Y1283" s="1036"/>
      <c r="Z1283" s="1036"/>
    </row>
    <row r="1284" spans="1:26" ht="38.25">
      <c r="A1284" s="1079">
        <v>104919</v>
      </c>
      <c r="B1284" s="1080" t="s">
        <v>14476</v>
      </c>
      <c r="C1284" s="1080" t="s">
        <v>7516</v>
      </c>
      <c r="D1284" s="1081" t="s">
        <v>54</v>
      </c>
      <c r="E1284" s="1082">
        <v>7.35</v>
      </c>
      <c r="F1284" s="1083">
        <v>17.45</v>
      </c>
      <c r="G1284" s="1083">
        <v>128.25</v>
      </c>
      <c r="H1284" s="1084">
        <f t="shared" si="12"/>
        <v>8.7107702498151909E-6</v>
      </c>
      <c r="I1284" s="1085">
        <f t="shared" si="14"/>
        <v>0.99865684269643029</v>
      </c>
      <c r="J1284" s="1085" t="str">
        <f t="shared" si="13"/>
        <v>C</v>
      </c>
      <c r="K1284" s="1036"/>
      <c r="L1284" s="1036"/>
      <c r="M1284" s="1036"/>
      <c r="N1284" s="1036"/>
      <c r="O1284" s="1036"/>
      <c r="P1284" s="1036"/>
      <c r="Q1284" s="1036"/>
      <c r="R1284" s="1036"/>
      <c r="S1284" s="1036"/>
      <c r="T1284" s="1036"/>
      <c r="U1284" s="1036"/>
      <c r="V1284" s="1036"/>
      <c r="W1284" s="1036"/>
      <c r="X1284" s="1036"/>
      <c r="Y1284" s="1036"/>
      <c r="Z1284" s="1036"/>
    </row>
    <row r="1285" spans="1:26" ht="38.25">
      <c r="A1285" s="1079">
        <v>94492</v>
      </c>
      <c r="B1285" s="1080" t="s">
        <v>14476</v>
      </c>
      <c r="C1285" s="1080" t="s">
        <v>16019</v>
      </c>
      <c r="D1285" s="1081" t="s">
        <v>6</v>
      </c>
      <c r="E1285" s="1082">
        <v>2</v>
      </c>
      <c r="F1285" s="1083">
        <v>63.71</v>
      </c>
      <c r="G1285" s="1083">
        <v>127.42</v>
      </c>
      <c r="H1285" s="1084">
        <f t="shared" si="12"/>
        <v>8.6543964540464078E-6</v>
      </c>
      <c r="I1285" s="1085">
        <f t="shared" si="14"/>
        <v>0.99866549709288432</v>
      </c>
      <c r="J1285" s="1085" t="str">
        <f t="shared" si="13"/>
        <v>C</v>
      </c>
      <c r="K1285" s="1036"/>
      <c r="L1285" s="1036"/>
      <c r="M1285" s="1036"/>
      <c r="N1285" s="1036"/>
      <c r="O1285" s="1036"/>
      <c r="P1285" s="1036"/>
      <c r="Q1285" s="1036"/>
      <c r="R1285" s="1036"/>
      <c r="S1285" s="1036"/>
      <c r="T1285" s="1036"/>
      <c r="U1285" s="1036"/>
      <c r="V1285" s="1036"/>
      <c r="W1285" s="1036"/>
      <c r="X1285" s="1036"/>
      <c r="Y1285" s="1036"/>
      <c r="Z1285" s="1036"/>
    </row>
    <row r="1286" spans="1:26" ht="38.25">
      <c r="A1286" s="1079">
        <v>89403</v>
      </c>
      <c r="B1286" s="1080" t="s">
        <v>14476</v>
      </c>
      <c r="C1286" s="1080" t="s">
        <v>8423</v>
      </c>
      <c r="D1286" s="1081" t="s">
        <v>50</v>
      </c>
      <c r="E1286" s="1082">
        <v>6</v>
      </c>
      <c r="F1286" s="1083">
        <v>21.21</v>
      </c>
      <c r="G1286" s="1083">
        <v>127.26</v>
      </c>
      <c r="H1286" s="1084">
        <f t="shared" si="12"/>
        <v>8.6435292163078461E-6</v>
      </c>
      <c r="I1286" s="1085">
        <f t="shared" si="14"/>
        <v>0.99867414062210058</v>
      </c>
      <c r="J1286" s="1085" t="str">
        <f t="shared" si="13"/>
        <v>C</v>
      </c>
      <c r="K1286" s="1036"/>
      <c r="L1286" s="1036"/>
      <c r="M1286" s="1036"/>
      <c r="N1286" s="1036"/>
      <c r="O1286" s="1036"/>
      <c r="P1286" s="1036"/>
      <c r="Q1286" s="1036"/>
      <c r="R1286" s="1036"/>
      <c r="S1286" s="1036"/>
      <c r="T1286" s="1036"/>
      <c r="U1286" s="1036"/>
      <c r="V1286" s="1036"/>
      <c r="W1286" s="1036"/>
      <c r="X1286" s="1036"/>
      <c r="Y1286" s="1036"/>
      <c r="Z1286" s="1036"/>
    </row>
    <row r="1287" spans="1:26" ht="38.25">
      <c r="A1287" s="1079" t="s">
        <v>14999</v>
      </c>
      <c r="B1287" s="1080" t="s">
        <v>14472</v>
      </c>
      <c r="C1287" s="1080" t="s">
        <v>15000</v>
      </c>
      <c r="D1287" s="1081" t="s">
        <v>50</v>
      </c>
      <c r="E1287" s="1082">
        <v>0.6</v>
      </c>
      <c r="F1287" s="1083">
        <v>211.22</v>
      </c>
      <c r="G1287" s="1083">
        <v>126.73</v>
      </c>
      <c r="H1287" s="1084">
        <f t="shared" si="12"/>
        <v>8.6075314912988639E-6</v>
      </c>
      <c r="I1287" s="1085">
        <f t="shared" si="14"/>
        <v>0.99868274815359193</v>
      </c>
      <c r="J1287" s="1085" t="str">
        <f t="shared" si="13"/>
        <v>C</v>
      </c>
      <c r="K1287" s="1036"/>
      <c r="L1287" s="1036"/>
      <c r="M1287" s="1036"/>
      <c r="N1287" s="1036"/>
      <c r="O1287" s="1036"/>
      <c r="P1287" s="1036"/>
      <c r="Q1287" s="1036"/>
      <c r="R1287" s="1036"/>
      <c r="S1287" s="1036"/>
      <c r="T1287" s="1036"/>
      <c r="U1287" s="1036"/>
      <c r="V1287" s="1036"/>
      <c r="W1287" s="1036"/>
      <c r="X1287" s="1036"/>
      <c r="Y1287" s="1036"/>
      <c r="Z1287" s="1036"/>
    </row>
    <row r="1288" spans="1:26" ht="25.5">
      <c r="A1288" s="1079">
        <v>93382</v>
      </c>
      <c r="B1288" s="1080" t="s">
        <v>14476</v>
      </c>
      <c r="C1288" s="1080" t="s">
        <v>10726</v>
      </c>
      <c r="D1288" s="1081" t="s">
        <v>152</v>
      </c>
      <c r="E1288" s="1082">
        <v>4.29</v>
      </c>
      <c r="F1288" s="1083">
        <v>29.52</v>
      </c>
      <c r="G1288" s="1083">
        <v>126.64</v>
      </c>
      <c r="H1288" s="1084">
        <f t="shared" si="12"/>
        <v>8.6014186700709234E-6</v>
      </c>
      <c r="I1288" s="1085">
        <f t="shared" si="14"/>
        <v>0.99869134957226202</v>
      </c>
      <c r="J1288" s="1085" t="str">
        <f t="shared" si="13"/>
        <v>C</v>
      </c>
      <c r="K1288" s="1036"/>
      <c r="L1288" s="1036"/>
      <c r="M1288" s="1036"/>
      <c r="N1288" s="1036"/>
      <c r="O1288" s="1036"/>
      <c r="P1288" s="1036"/>
      <c r="Q1288" s="1036"/>
      <c r="R1288" s="1036"/>
      <c r="S1288" s="1036"/>
      <c r="T1288" s="1036"/>
      <c r="U1288" s="1036"/>
      <c r="V1288" s="1036"/>
      <c r="W1288" s="1036"/>
      <c r="X1288" s="1036"/>
      <c r="Y1288" s="1036"/>
      <c r="Z1288" s="1036"/>
    </row>
    <row r="1289" spans="1:26" ht="38.25">
      <c r="A1289" s="1079" t="s">
        <v>15364</v>
      </c>
      <c r="B1289" s="1080" t="s">
        <v>14472</v>
      </c>
      <c r="C1289" s="1080" t="s">
        <v>15365</v>
      </c>
      <c r="D1289" s="1081" t="s">
        <v>6</v>
      </c>
      <c r="E1289" s="1082">
        <v>2</v>
      </c>
      <c r="F1289" s="1083">
        <v>62.78</v>
      </c>
      <c r="G1289" s="1083">
        <v>125.56</v>
      </c>
      <c r="H1289" s="1084">
        <f t="shared" si="12"/>
        <v>8.5280648153356365E-6</v>
      </c>
      <c r="I1289" s="1085">
        <f t="shared" si="14"/>
        <v>0.99869987763707735</v>
      </c>
      <c r="J1289" s="1085" t="str">
        <f t="shared" si="13"/>
        <v>C</v>
      </c>
      <c r="K1289" s="1036"/>
      <c r="L1289" s="1036"/>
      <c r="M1289" s="1036"/>
      <c r="N1289" s="1036"/>
      <c r="O1289" s="1036"/>
      <c r="P1289" s="1036"/>
      <c r="Q1289" s="1036"/>
      <c r="R1289" s="1036"/>
      <c r="S1289" s="1036"/>
      <c r="T1289" s="1036"/>
      <c r="U1289" s="1036"/>
      <c r="V1289" s="1036"/>
      <c r="W1289" s="1036"/>
      <c r="X1289" s="1036"/>
      <c r="Y1289" s="1036"/>
      <c r="Z1289" s="1036"/>
    </row>
    <row r="1290" spans="1:26" ht="14.25">
      <c r="A1290" s="1079" t="s">
        <v>14795</v>
      </c>
      <c r="B1290" s="1080" t="s">
        <v>14472</v>
      </c>
      <c r="C1290" s="1080" t="s">
        <v>14796</v>
      </c>
      <c r="D1290" s="1081" t="s">
        <v>50</v>
      </c>
      <c r="E1290" s="1082">
        <v>4.84</v>
      </c>
      <c r="F1290" s="1083">
        <v>25.93</v>
      </c>
      <c r="G1290" s="1083">
        <v>125.5</v>
      </c>
      <c r="H1290" s="1084">
        <f t="shared" ref="H1290:H1544" si="15">G1290/$I$8</f>
        <v>8.5239896011836773E-6</v>
      </c>
      <c r="I1290" s="1085">
        <f t="shared" si="14"/>
        <v>0.99870840162667851</v>
      </c>
      <c r="J1290" s="1085" t="str">
        <f t="shared" ref="J1290:J1544" si="16">IF(I1290&lt;$A$10,"A",IF(I1290&lt;$A$11,"B","C"))</f>
        <v>C</v>
      </c>
      <c r="K1290" s="1036"/>
      <c r="L1290" s="1036"/>
      <c r="M1290" s="1036"/>
      <c r="N1290" s="1036"/>
      <c r="O1290" s="1036"/>
      <c r="P1290" s="1036"/>
      <c r="Q1290" s="1036"/>
      <c r="R1290" s="1036"/>
      <c r="S1290" s="1036"/>
      <c r="T1290" s="1036"/>
      <c r="U1290" s="1036"/>
      <c r="V1290" s="1036"/>
      <c r="W1290" s="1036"/>
      <c r="X1290" s="1036"/>
      <c r="Y1290" s="1036"/>
      <c r="Z1290" s="1036"/>
    </row>
    <row r="1291" spans="1:26" ht="25.5">
      <c r="A1291" s="1079">
        <v>101616</v>
      </c>
      <c r="B1291" s="1080" t="s">
        <v>14476</v>
      </c>
      <c r="C1291" s="1080" t="s">
        <v>10747</v>
      </c>
      <c r="D1291" s="1081" t="s">
        <v>409</v>
      </c>
      <c r="E1291" s="1082">
        <v>17.010000000000002</v>
      </c>
      <c r="F1291" s="1083">
        <v>7.37</v>
      </c>
      <c r="G1291" s="1083">
        <v>125.36</v>
      </c>
      <c r="H1291" s="1084">
        <f t="shared" si="15"/>
        <v>8.5144807681624364E-6</v>
      </c>
      <c r="I1291" s="1085">
        <f t="shared" ref="I1291:I1545" si="17">I1290+H1291</f>
        <v>0.99871691610744662</v>
      </c>
      <c r="J1291" s="1085" t="str">
        <f t="shared" si="16"/>
        <v>C</v>
      </c>
      <c r="K1291" s="1036"/>
      <c r="L1291" s="1036"/>
      <c r="M1291" s="1036"/>
      <c r="N1291" s="1036"/>
      <c r="O1291" s="1036"/>
      <c r="P1291" s="1036"/>
      <c r="Q1291" s="1036"/>
      <c r="R1291" s="1036"/>
      <c r="S1291" s="1036"/>
      <c r="T1291" s="1036"/>
      <c r="U1291" s="1036"/>
      <c r="V1291" s="1036"/>
      <c r="W1291" s="1036"/>
      <c r="X1291" s="1036"/>
      <c r="Y1291" s="1036"/>
      <c r="Z1291" s="1036"/>
    </row>
    <row r="1292" spans="1:26" ht="38.25">
      <c r="A1292" s="1079">
        <v>89362</v>
      </c>
      <c r="B1292" s="1080" t="s">
        <v>14476</v>
      </c>
      <c r="C1292" s="1080" t="s">
        <v>8669</v>
      </c>
      <c r="D1292" s="1081" t="s">
        <v>6</v>
      </c>
      <c r="E1292" s="1082">
        <v>11</v>
      </c>
      <c r="F1292" s="1083">
        <v>11.23</v>
      </c>
      <c r="G1292" s="1083">
        <v>123.53</v>
      </c>
      <c r="H1292" s="1084">
        <f t="shared" si="15"/>
        <v>8.3901867365276464E-6</v>
      </c>
      <c r="I1292" s="1085">
        <f t="shared" si="17"/>
        <v>0.9987253062941831</v>
      </c>
      <c r="J1292" s="1085" t="str">
        <f t="shared" si="16"/>
        <v>C</v>
      </c>
      <c r="K1292" s="1036"/>
      <c r="L1292" s="1036"/>
      <c r="M1292" s="1036"/>
      <c r="N1292" s="1036"/>
      <c r="O1292" s="1036"/>
      <c r="P1292" s="1036"/>
      <c r="Q1292" s="1036"/>
      <c r="R1292" s="1036"/>
      <c r="S1292" s="1036"/>
      <c r="T1292" s="1036"/>
      <c r="U1292" s="1036"/>
      <c r="V1292" s="1036"/>
      <c r="W1292" s="1036"/>
      <c r="X1292" s="1036"/>
      <c r="Y1292" s="1036"/>
      <c r="Z1292" s="1036"/>
    </row>
    <row r="1293" spans="1:26" ht="38.25">
      <c r="A1293" s="1079">
        <v>89362</v>
      </c>
      <c r="B1293" s="1080" t="s">
        <v>14476</v>
      </c>
      <c r="C1293" s="1080" t="s">
        <v>8669</v>
      </c>
      <c r="D1293" s="1081" t="s">
        <v>6</v>
      </c>
      <c r="E1293" s="1082">
        <v>11</v>
      </c>
      <c r="F1293" s="1083">
        <v>11.23</v>
      </c>
      <c r="G1293" s="1083">
        <v>123.53</v>
      </c>
      <c r="H1293" s="1084">
        <f t="shared" si="15"/>
        <v>8.3901867365276464E-6</v>
      </c>
      <c r="I1293" s="1085">
        <f t="shared" si="17"/>
        <v>0.99873369648091959</v>
      </c>
      <c r="J1293" s="1085" t="str">
        <f t="shared" si="16"/>
        <v>C</v>
      </c>
      <c r="K1293" s="1036"/>
      <c r="L1293" s="1036"/>
      <c r="M1293" s="1036"/>
      <c r="N1293" s="1036"/>
      <c r="O1293" s="1036"/>
      <c r="P1293" s="1036"/>
      <c r="Q1293" s="1036"/>
      <c r="R1293" s="1036"/>
      <c r="S1293" s="1036"/>
      <c r="T1293" s="1036"/>
      <c r="U1293" s="1036"/>
      <c r="V1293" s="1036"/>
      <c r="W1293" s="1036"/>
      <c r="X1293" s="1036"/>
      <c r="Y1293" s="1036"/>
      <c r="Z1293" s="1036"/>
    </row>
    <row r="1294" spans="1:26" ht="38.25">
      <c r="A1294" s="1079">
        <v>97599</v>
      </c>
      <c r="B1294" s="1080" t="s">
        <v>14476</v>
      </c>
      <c r="C1294" s="1080" t="s">
        <v>8100</v>
      </c>
      <c r="D1294" s="1081" t="s">
        <v>6</v>
      </c>
      <c r="E1294" s="1082">
        <v>6</v>
      </c>
      <c r="F1294" s="1083">
        <v>20.55</v>
      </c>
      <c r="G1294" s="1083">
        <v>123.3</v>
      </c>
      <c r="H1294" s="1084">
        <f t="shared" si="15"/>
        <v>8.3745650822784651E-6</v>
      </c>
      <c r="I1294" s="1085">
        <f t="shared" si="17"/>
        <v>0.99874207104600188</v>
      </c>
      <c r="J1294" s="1085" t="str">
        <f t="shared" si="16"/>
        <v>C</v>
      </c>
      <c r="K1294" s="1036"/>
      <c r="L1294" s="1036"/>
      <c r="M1294" s="1036"/>
      <c r="N1294" s="1036"/>
      <c r="O1294" s="1036"/>
      <c r="P1294" s="1036"/>
      <c r="Q1294" s="1036"/>
      <c r="R1294" s="1036"/>
      <c r="S1294" s="1036"/>
      <c r="T1294" s="1036"/>
      <c r="U1294" s="1036"/>
      <c r="V1294" s="1036"/>
      <c r="W1294" s="1036"/>
      <c r="X1294" s="1036"/>
      <c r="Y1294" s="1036"/>
      <c r="Z1294" s="1036"/>
    </row>
    <row r="1295" spans="1:26" ht="25.5">
      <c r="A1295" s="1079">
        <v>93673</v>
      </c>
      <c r="B1295" s="1080" t="s">
        <v>14476</v>
      </c>
      <c r="C1295" s="1080" t="s">
        <v>7974</v>
      </c>
      <c r="D1295" s="1081" t="s">
        <v>6</v>
      </c>
      <c r="E1295" s="1082">
        <v>1</v>
      </c>
      <c r="F1295" s="1083">
        <v>122.87</v>
      </c>
      <c r="G1295" s="1083">
        <v>122.87</v>
      </c>
      <c r="H1295" s="1084">
        <f t="shared" si="15"/>
        <v>8.345359380856082E-6</v>
      </c>
      <c r="I1295" s="1085">
        <f t="shared" si="17"/>
        <v>0.99875041640538276</v>
      </c>
      <c r="J1295" s="1085" t="str">
        <f t="shared" si="16"/>
        <v>C</v>
      </c>
      <c r="K1295" s="1036"/>
      <c r="L1295" s="1036"/>
      <c r="M1295" s="1036"/>
      <c r="N1295" s="1036"/>
      <c r="O1295" s="1036"/>
      <c r="P1295" s="1036"/>
      <c r="Q1295" s="1036"/>
      <c r="R1295" s="1036"/>
      <c r="S1295" s="1036"/>
      <c r="T1295" s="1036"/>
      <c r="U1295" s="1036"/>
      <c r="V1295" s="1036"/>
      <c r="W1295" s="1036"/>
      <c r="X1295" s="1036"/>
      <c r="Y1295" s="1036"/>
      <c r="Z1295" s="1036"/>
    </row>
    <row r="1296" spans="1:26" ht="25.5">
      <c r="A1296" s="1079">
        <v>93673</v>
      </c>
      <c r="B1296" s="1080" t="s">
        <v>14476</v>
      </c>
      <c r="C1296" s="1080" t="s">
        <v>7974</v>
      </c>
      <c r="D1296" s="1081" t="s">
        <v>6</v>
      </c>
      <c r="E1296" s="1082">
        <v>1</v>
      </c>
      <c r="F1296" s="1083">
        <v>122.87</v>
      </c>
      <c r="G1296" s="1083">
        <v>122.87</v>
      </c>
      <c r="H1296" s="1084">
        <f t="shared" si="15"/>
        <v>8.345359380856082E-6</v>
      </c>
      <c r="I1296" s="1085">
        <f t="shared" si="17"/>
        <v>0.99875876176476364</v>
      </c>
      <c r="J1296" s="1085" t="str">
        <f t="shared" si="16"/>
        <v>C</v>
      </c>
      <c r="K1296" s="1036"/>
      <c r="L1296" s="1036"/>
      <c r="M1296" s="1036"/>
      <c r="N1296" s="1036"/>
      <c r="O1296" s="1036"/>
      <c r="P1296" s="1036"/>
      <c r="Q1296" s="1036"/>
      <c r="R1296" s="1036"/>
      <c r="S1296" s="1036"/>
      <c r="T1296" s="1036"/>
      <c r="U1296" s="1036"/>
      <c r="V1296" s="1036"/>
      <c r="W1296" s="1036"/>
      <c r="X1296" s="1036"/>
      <c r="Y1296" s="1036"/>
      <c r="Z1296" s="1036"/>
    </row>
    <row r="1297" spans="1:26" ht="25.5">
      <c r="A1297" s="1079">
        <v>101616</v>
      </c>
      <c r="B1297" s="1080" t="s">
        <v>14476</v>
      </c>
      <c r="C1297" s="1080" t="s">
        <v>10747</v>
      </c>
      <c r="D1297" s="1081" t="s">
        <v>409</v>
      </c>
      <c r="E1297" s="1082">
        <v>16.64</v>
      </c>
      <c r="F1297" s="1083">
        <v>7.37</v>
      </c>
      <c r="G1297" s="1083">
        <v>122.63</v>
      </c>
      <c r="H1297" s="1084">
        <f t="shared" si="15"/>
        <v>8.3290585242482403E-6</v>
      </c>
      <c r="I1297" s="1085">
        <f t="shared" si="17"/>
        <v>0.99876709082328785</v>
      </c>
      <c r="J1297" s="1085" t="str">
        <f t="shared" si="16"/>
        <v>C</v>
      </c>
      <c r="K1297" s="1036"/>
      <c r="L1297" s="1036"/>
      <c r="M1297" s="1036"/>
      <c r="N1297" s="1036"/>
      <c r="O1297" s="1036"/>
      <c r="P1297" s="1036"/>
      <c r="Q1297" s="1036"/>
      <c r="R1297" s="1036"/>
      <c r="S1297" s="1036"/>
      <c r="T1297" s="1036"/>
      <c r="U1297" s="1036"/>
      <c r="V1297" s="1036"/>
      <c r="W1297" s="1036"/>
      <c r="X1297" s="1036"/>
      <c r="Y1297" s="1036"/>
      <c r="Z1297" s="1036"/>
    </row>
    <row r="1298" spans="1:26" ht="25.5">
      <c r="A1298" s="1079" t="s">
        <v>15116</v>
      </c>
      <c r="B1298" s="1080" t="s">
        <v>14472</v>
      </c>
      <c r="C1298" s="1080" t="s">
        <v>15117</v>
      </c>
      <c r="D1298" s="1081" t="s">
        <v>6</v>
      </c>
      <c r="E1298" s="1082">
        <v>18</v>
      </c>
      <c r="F1298" s="1083">
        <v>6.78</v>
      </c>
      <c r="G1298" s="1083">
        <v>122.04</v>
      </c>
      <c r="H1298" s="1084">
        <f t="shared" si="15"/>
        <v>8.2889855850872989E-6</v>
      </c>
      <c r="I1298" s="1085">
        <f t="shared" si="17"/>
        <v>0.99877537980887299</v>
      </c>
      <c r="J1298" s="1085" t="str">
        <f t="shared" si="16"/>
        <v>C</v>
      </c>
      <c r="K1298" s="1036"/>
      <c r="L1298" s="1036"/>
      <c r="M1298" s="1036"/>
      <c r="N1298" s="1036"/>
      <c r="O1298" s="1036"/>
      <c r="P1298" s="1036"/>
      <c r="Q1298" s="1036"/>
      <c r="R1298" s="1036"/>
      <c r="S1298" s="1036"/>
      <c r="T1298" s="1036"/>
      <c r="U1298" s="1036"/>
      <c r="V1298" s="1036"/>
      <c r="W1298" s="1036"/>
      <c r="X1298" s="1036"/>
      <c r="Y1298" s="1036"/>
      <c r="Z1298" s="1036"/>
    </row>
    <row r="1299" spans="1:26" ht="38.25">
      <c r="A1299" s="1079">
        <v>92768</v>
      </c>
      <c r="B1299" s="1080" t="s">
        <v>14476</v>
      </c>
      <c r="C1299" s="1080" t="s">
        <v>7437</v>
      </c>
      <c r="D1299" s="1081" t="s">
        <v>54</v>
      </c>
      <c r="E1299" s="1082">
        <v>6.7</v>
      </c>
      <c r="F1299" s="1083">
        <v>18.18</v>
      </c>
      <c r="G1299" s="1083">
        <v>121.8</v>
      </c>
      <c r="H1299" s="1084">
        <f t="shared" si="15"/>
        <v>8.2726847284794572E-6</v>
      </c>
      <c r="I1299" s="1085">
        <f t="shared" si="17"/>
        <v>0.99878365249360146</v>
      </c>
      <c r="J1299" s="1085" t="str">
        <f t="shared" si="16"/>
        <v>C</v>
      </c>
      <c r="K1299" s="1036"/>
      <c r="L1299" s="1036"/>
      <c r="M1299" s="1036"/>
      <c r="N1299" s="1036"/>
      <c r="O1299" s="1036"/>
      <c r="P1299" s="1036"/>
      <c r="Q1299" s="1036"/>
      <c r="R1299" s="1036"/>
      <c r="S1299" s="1036"/>
      <c r="T1299" s="1036"/>
      <c r="U1299" s="1036"/>
      <c r="V1299" s="1036"/>
      <c r="W1299" s="1036"/>
      <c r="X1299" s="1036"/>
      <c r="Y1299" s="1036"/>
      <c r="Z1299" s="1036"/>
    </row>
    <row r="1300" spans="1:26" ht="38.25">
      <c r="A1300" s="1079">
        <v>94673</v>
      </c>
      <c r="B1300" s="1080" t="s">
        <v>14476</v>
      </c>
      <c r="C1300" s="1080" t="s">
        <v>16022</v>
      </c>
      <c r="D1300" s="1081" t="s">
        <v>6</v>
      </c>
      <c r="E1300" s="1082">
        <v>15</v>
      </c>
      <c r="F1300" s="1083">
        <v>8.08</v>
      </c>
      <c r="G1300" s="1083">
        <v>121.2</v>
      </c>
      <c r="H1300" s="1084">
        <f t="shared" si="15"/>
        <v>8.2319325869598537E-6</v>
      </c>
      <c r="I1300" s="1085">
        <f t="shared" si="17"/>
        <v>0.99879188442618838</v>
      </c>
      <c r="J1300" s="1085" t="str">
        <f t="shared" si="16"/>
        <v>C</v>
      </c>
      <c r="K1300" s="1036"/>
      <c r="L1300" s="1036"/>
      <c r="M1300" s="1036"/>
      <c r="N1300" s="1036"/>
      <c r="O1300" s="1036"/>
      <c r="P1300" s="1036"/>
      <c r="Q1300" s="1036"/>
      <c r="R1300" s="1036"/>
      <c r="S1300" s="1036"/>
      <c r="T1300" s="1036"/>
      <c r="U1300" s="1036"/>
      <c r="V1300" s="1036"/>
      <c r="W1300" s="1036"/>
      <c r="X1300" s="1036"/>
      <c r="Y1300" s="1036"/>
      <c r="Z1300" s="1036"/>
    </row>
    <row r="1301" spans="1:26" ht="38.25">
      <c r="A1301" s="1079">
        <v>89363</v>
      </c>
      <c r="B1301" s="1080" t="s">
        <v>14476</v>
      </c>
      <c r="C1301" s="1080" t="s">
        <v>8670</v>
      </c>
      <c r="D1301" s="1081" t="s">
        <v>6</v>
      </c>
      <c r="E1301" s="1082">
        <v>10</v>
      </c>
      <c r="F1301" s="1083">
        <v>12.07</v>
      </c>
      <c r="G1301" s="1083">
        <v>120.7</v>
      </c>
      <c r="H1301" s="1084">
        <f t="shared" si="15"/>
        <v>8.197972469026851E-6</v>
      </c>
      <c r="I1301" s="1085">
        <f t="shared" si="17"/>
        <v>0.99880008239865736</v>
      </c>
      <c r="J1301" s="1085" t="str">
        <f t="shared" si="16"/>
        <v>C</v>
      </c>
      <c r="K1301" s="1036"/>
      <c r="L1301" s="1036"/>
      <c r="M1301" s="1036"/>
      <c r="N1301" s="1036"/>
      <c r="O1301" s="1036"/>
      <c r="P1301" s="1036"/>
      <c r="Q1301" s="1036"/>
      <c r="R1301" s="1036"/>
      <c r="S1301" s="1036"/>
      <c r="T1301" s="1036"/>
      <c r="U1301" s="1036"/>
      <c r="V1301" s="1036"/>
      <c r="W1301" s="1036"/>
      <c r="X1301" s="1036"/>
      <c r="Y1301" s="1036"/>
      <c r="Z1301" s="1036"/>
    </row>
    <row r="1302" spans="1:26" ht="51">
      <c r="A1302" s="1079">
        <v>94656</v>
      </c>
      <c r="B1302" s="1080" t="s">
        <v>14476</v>
      </c>
      <c r="C1302" s="1080" t="s">
        <v>16023</v>
      </c>
      <c r="D1302" s="1081" t="s">
        <v>6</v>
      </c>
      <c r="E1302" s="1082">
        <v>30</v>
      </c>
      <c r="F1302" s="1083">
        <v>4.01</v>
      </c>
      <c r="G1302" s="1083">
        <v>120.3</v>
      </c>
      <c r="H1302" s="1084">
        <f t="shared" si="15"/>
        <v>8.1708043746804476E-6</v>
      </c>
      <c r="I1302" s="1085">
        <f t="shared" si="17"/>
        <v>0.99880825320303201</v>
      </c>
      <c r="J1302" s="1085" t="str">
        <f t="shared" si="16"/>
        <v>C</v>
      </c>
      <c r="K1302" s="1036"/>
      <c r="L1302" s="1036"/>
      <c r="M1302" s="1036"/>
      <c r="N1302" s="1036"/>
      <c r="O1302" s="1036"/>
      <c r="P1302" s="1036"/>
      <c r="Q1302" s="1036"/>
      <c r="R1302" s="1036"/>
      <c r="S1302" s="1036"/>
      <c r="T1302" s="1036"/>
      <c r="U1302" s="1036"/>
      <c r="V1302" s="1036"/>
      <c r="W1302" s="1036"/>
      <c r="X1302" s="1036"/>
      <c r="Y1302" s="1036"/>
      <c r="Z1302" s="1036"/>
    </row>
    <row r="1303" spans="1:26" ht="63.75">
      <c r="A1303" s="1079">
        <v>100978</v>
      </c>
      <c r="B1303" s="1080" t="s">
        <v>14476</v>
      </c>
      <c r="C1303" s="1080" t="s">
        <v>11981</v>
      </c>
      <c r="D1303" s="1081" t="s">
        <v>152</v>
      </c>
      <c r="E1303" s="1082">
        <v>13.78</v>
      </c>
      <c r="F1303" s="1083">
        <v>8.66</v>
      </c>
      <c r="G1303" s="1083">
        <v>119.29</v>
      </c>
      <c r="H1303" s="1084">
        <f t="shared" si="15"/>
        <v>8.1022049364557836E-6</v>
      </c>
      <c r="I1303" s="1085">
        <f t="shared" si="17"/>
        <v>0.99881635540796843</v>
      </c>
      <c r="J1303" s="1085" t="str">
        <f t="shared" si="16"/>
        <v>C</v>
      </c>
      <c r="K1303" s="1036"/>
      <c r="L1303" s="1036"/>
      <c r="M1303" s="1036"/>
      <c r="N1303" s="1036"/>
      <c r="O1303" s="1036"/>
      <c r="P1303" s="1036"/>
      <c r="Q1303" s="1036"/>
      <c r="R1303" s="1036"/>
      <c r="S1303" s="1036"/>
      <c r="T1303" s="1036"/>
      <c r="U1303" s="1036"/>
      <c r="V1303" s="1036"/>
      <c r="W1303" s="1036"/>
      <c r="X1303" s="1036"/>
      <c r="Y1303" s="1036"/>
      <c r="Z1303" s="1036"/>
    </row>
    <row r="1304" spans="1:26" ht="38.25">
      <c r="A1304" s="1079" t="s">
        <v>15130</v>
      </c>
      <c r="B1304" s="1080" t="s">
        <v>14472</v>
      </c>
      <c r="C1304" s="1080" t="s">
        <v>15131</v>
      </c>
      <c r="D1304" s="1081" t="s">
        <v>6</v>
      </c>
      <c r="E1304" s="1082">
        <v>4</v>
      </c>
      <c r="F1304" s="1083">
        <v>29.81</v>
      </c>
      <c r="G1304" s="1083">
        <v>119.24</v>
      </c>
      <c r="H1304" s="1084">
        <f t="shared" si="15"/>
        <v>8.0988089246624831E-6</v>
      </c>
      <c r="I1304" s="1085">
        <f t="shared" si="17"/>
        <v>0.99882445421689314</v>
      </c>
      <c r="J1304" s="1085" t="str">
        <f t="shared" si="16"/>
        <v>C</v>
      </c>
      <c r="K1304" s="1036"/>
      <c r="L1304" s="1036"/>
      <c r="M1304" s="1036"/>
      <c r="N1304" s="1036"/>
      <c r="O1304" s="1036"/>
      <c r="P1304" s="1036"/>
      <c r="Q1304" s="1036"/>
      <c r="R1304" s="1036"/>
      <c r="S1304" s="1036"/>
      <c r="T1304" s="1036"/>
      <c r="U1304" s="1036"/>
      <c r="V1304" s="1036"/>
      <c r="W1304" s="1036"/>
      <c r="X1304" s="1036"/>
      <c r="Y1304" s="1036"/>
      <c r="Z1304" s="1036"/>
    </row>
    <row r="1305" spans="1:26" ht="38.25">
      <c r="A1305" s="1079">
        <v>89369</v>
      </c>
      <c r="B1305" s="1080" t="s">
        <v>14476</v>
      </c>
      <c r="C1305" s="1080" t="s">
        <v>8676</v>
      </c>
      <c r="D1305" s="1081" t="s">
        <v>6</v>
      </c>
      <c r="E1305" s="1082">
        <v>6</v>
      </c>
      <c r="F1305" s="1083">
        <v>19.670000000000002</v>
      </c>
      <c r="G1305" s="1083">
        <v>118.02</v>
      </c>
      <c r="H1305" s="1084">
        <f t="shared" si="15"/>
        <v>8.0159462369059553E-6</v>
      </c>
      <c r="I1305" s="1085">
        <f t="shared" si="17"/>
        <v>0.99883247016313004</v>
      </c>
      <c r="J1305" s="1085" t="str">
        <f t="shared" si="16"/>
        <v>C</v>
      </c>
      <c r="K1305" s="1036"/>
      <c r="L1305" s="1036"/>
      <c r="M1305" s="1036"/>
      <c r="N1305" s="1036"/>
      <c r="O1305" s="1036"/>
      <c r="P1305" s="1036"/>
      <c r="Q1305" s="1036"/>
      <c r="R1305" s="1036"/>
      <c r="S1305" s="1036"/>
      <c r="T1305" s="1036"/>
      <c r="U1305" s="1036"/>
      <c r="V1305" s="1036"/>
      <c r="W1305" s="1036"/>
      <c r="X1305" s="1036"/>
      <c r="Y1305" s="1036"/>
      <c r="Z1305" s="1036"/>
    </row>
    <row r="1306" spans="1:26" ht="25.5">
      <c r="A1306" s="1079" t="s">
        <v>15167</v>
      </c>
      <c r="B1306" s="1080" t="s">
        <v>14472</v>
      </c>
      <c r="C1306" s="1080" t="s">
        <v>15168</v>
      </c>
      <c r="D1306" s="1081" t="s">
        <v>6</v>
      </c>
      <c r="E1306" s="1082">
        <v>1</v>
      </c>
      <c r="F1306" s="1083">
        <v>118.01</v>
      </c>
      <c r="G1306" s="1083">
        <v>118.01</v>
      </c>
      <c r="H1306" s="1084">
        <f t="shared" si="15"/>
        <v>8.0152670345472966E-6</v>
      </c>
      <c r="I1306" s="1085">
        <f t="shared" si="17"/>
        <v>0.99884048543016457</v>
      </c>
      <c r="J1306" s="1085" t="str">
        <f t="shared" si="16"/>
        <v>C</v>
      </c>
      <c r="K1306" s="1036"/>
      <c r="L1306" s="1036"/>
      <c r="M1306" s="1036"/>
      <c r="N1306" s="1036"/>
      <c r="O1306" s="1036"/>
      <c r="P1306" s="1036"/>
      <c r="Q1306" s="1036"/>
      <c r="R1306" s="1036"/>
      <c r="S1306" s="1036"/>
      <c r="T1306" s="1036"/>
      <c r="U1306" s="1036"/>
      <c r="V1306" s="1036"/>
      <c r="W1306" s="1036"/>
      <c r="X1306" s="1036"/>
      <c r="Y1306" s="1036"/>
      <c r="Z1306" s="1036"/>
    </row>
    <row r="1307" spans="1:26" ht="25.5">
      <c r="A1307" s="1079" t="s">
        <v>15346</v>
      </c>
      <c r="B1307" s="1080" t="s">
        <v>14472</v>
      </c>
      <c r="C1307" s="1080" t="s">
        <v>15347</v>
      </c>
      <c r="D1307" s="1081" t="s">
        <v>6</v>
      </c>
      <c r="E1307" s="1082">
        <v>6</v>
      </c>
      <c r="F1307" s="1083">
        <v>19.46</v>
      </c>
      <c r="G1307" s="1083">
        <v>116.76</v>
      </c>
      <c r="H1307" s="1084">
        <f t="shared" si="15"/>
        <v>7.9303667397147892E-6</v>
      </c>
      <c r="I1307" s="1085">
        <f t="shared" si="17"/>
        <v>0.99884841579690431</v>
      </c>
      <c r="J1307" s="1085" t="str">
        <f t="shared" si="16"/>
        <v>C</v>
      </c>
      <c r="K1307" s="1036"/>
      <c r="L1307" s="1036"/>
      <c r="M1307" s="1036"/>
      <c r="N1307" s="1036"/>
      <c r="O1307" s="1036"/>
      <c r="P1307" s="1036"/>
      <c r="Q1307" s="1036"/>
      <c r="R1307" s="1036"/>
      <c r="S1307" s="1036"/>
      <c r="T1307" s="1036"/>
      <c r="U1307" s="1036"/>
      <c r="V1307" s="1036"/>
      <c r="W1307" s="1036"/>
      <c r="X1307" s="1036"/>
      <c r="Y1307" s="1036"/>
      <c r="Z1307" s="1036"/>
    </row>
    <row r="1308" spans="1:26" ht="38.25">
      <c r="A1308" s="1079">
        <v>97087</v>
      </c>
      <c r="B1308" s="1080" t="s">
        <v>14476</v>
      </c>
      <c r="C1308" s="1080" t="s">
        <v>7175</v>
      </c>
      <c r="D1308" s="1081" t="s">
        <v>409</v>
      </c>
      <c r="E1308" s="1082">
        <v>28.06</v>
      </c>
      <c r="F1308" s="1083">
        <v>4.16</v>
      </c>
      <c r="G1308" s="1083">
        <v>116.72</v>
      </c>
      <c r="H1308" s="1084">
        <f t="shared" si="15"/>
        <v>7.9276499302801491E-6</v>
      </c>
      <c r="I1308" s="1085">
        <f t="shared" si="17"/>
        <v>0.9988563434468346</v>
      </c>
      <c r="J1308" s="1085" t="str">
        <f t="shared" si="16"/>
        <v>C</v>
      </c>
      <c r="K1308" s="1036"/>
      <c r="L1308" s="1036"/>
      <c r="M1308" s="1036"/>
      <c r="N1308" s="1036"/>
      <c r="O1308" s="1036"/>
      <c r="P1308" s="1036"/>
      <c r="Q1308" s="1036"/>
      <c r="R1308" s="1036"/>
      <c r="S1308" s="1036"/>
      <c r="T1308" s="1036"/>
      <c r="U1308" s="1036"/>
      <c r="V1308" s="1036"/>
      <c r="W1308" s="1036"/>
      <c r="X1308" s="1036"/>
      <c r="Y1308" s="1036"/>
      <c r="Z1308" s="1036"/>
    </row>
    <row r="1309" spans="1:26" ht="38.25">
      <c r="A1309" s="1079">
        <v>103999</v>
      </c>
      <c r="B1309" s="1080" t="s">
        <v>14476</v>
      </c>
      <c r="C1309" s="1080" t="s">
        <v>9843</v>
      </c>
      <c r="D1309" s="1081" t="s">
        <v>6</v>
      </c>
      <c r="E1309" s="1082">
        <v>8</v>
      </c>
      <c r="F1309" s="1083">
        <v>14.5</v>
      </c>
      <c r="G1309" s="1083">
        <v>116</v>
      </c>
      <c r="H1309" s="1084">
        <f t="shared" si="15"/>
        <v>7.8787473604566256E-6</v>
      </c>
      <c r="I1309" s="1085">
        <f t="shared" si="17"/>
        <v>0.99886422219419502</v>
      </c>
      <c r="J1309" s="1085" t="str">
        <f t="shared" si="16"/>
        <v>C</v>
      </c>
      <c r="K1309" s="1036"/>
      <c r="L1309" s="1036"/>
      <c r="M1309" s="1036"/>
      <c r="N1309" s="1036"/>
      <c r="O1309" s="1036"/>
      <c r="P1309" s="1036"/>
      <c r="Q1309" s="1036"/>
      <c r="R1309" s="1036"/>
      <c r="S1309" s="1036"/>
      <c r="T1309" s="1036"/>
      <c r="U1309" s="1036"/>
      <c r="V1309" s="1036"/>
      <c r="W1309" s="1036"/>
      <c r="X1309" s="1036"/>
      <c r="Y1309" s="1036"/>
      <c r="Z1309" s="1036"/>
    </row>
    <row r="1310" spans="1:26" ht="51">
      <c r="A1310" s="1079">
        <v>94704</v>
      </c>
      <c r="B1310" s="1080" t="s">
        <v>14476</v>
      </c>
      <c r="C1310" s="1080" t="s">
        <v>9400</v>
      </c>
      <c r="D1310" s="1081" t="s">
        <v>6</v>
      </c>
      <c r="E1310" s="1082">
        <v>4</v>
      </c>
      <c r="F1310" s="1083">
        <v>28.92</v>
      </c>
      <c r="G1310" s="1083">
        <v>115.68</v>
      </c>
      <c r="H1310" s="1084">
        <f t="shared" si="15"/>
        <v>7.8570128849795039E-6</v>
      </c>
      <c r="I1310" s="1085">
        <f t="shared" si="17"/>
        <v>0.99887207920707999</v>
      </c>
      <c r="J1310" s="1085" t="str">
        <f t="shared" si="16"/>
        <v>C</v>
      </c>
      <c r="K1310" s="1036"/>
      <c r="L1310" s="1036"/>
      <c r="M1310" s="1036"/>
      <c r="N1310" s="1036"/>
      <c r="O1310" s="1036"/>
      <c r="P1310" s="1036"/>
      <c r="Q1310" s="1036"/>
      <c r="R1310" s="1036"/>
      <c r="S1310" s="1036"/>
      <c r="T1310" s="1036"/>
      <c r="U1310" s="1036"/>
      <c r="V1310" s="1036"/>
      <c r="W1310" s="1036"/>
      <c r="X1310" s="1036"/>
      <c r="Y1310" s="1036"/>
      <c r="Z1310" s="1036"/>
    </row>
    <row r="1311" spans="1:26" ht="38.25">
      <c r="A1311" s="1079">
        <v>104917</v>
      </c>
      <c r="B1311" s="1080" t="s">
        <v>14476</v>
      </c>
      <c r="C1311" s="1080" t="s">
        <v>7514</v>
      </c>
      <c r="D1311" s="1081" t="s">
        <v>54</v>
      </c>
      <c r="E1311" s="1082">
        <v>5.6</v>
      </c>
      <c r="F1311" s="1083">
        <v>20.62</v>
      </c>
      <c r="G1311" s="1083">
        <v>115.47</v>
      </c>
      <c r="H1311" s="1084">
        <f t="shared" si="15"/>
        <v>7.8427496354476417E-6</v>
      </c>
      <c r="I1311" s="1085">
        <f t="shared" si="17"/>
        <v>0.99887992195671549</v>
      </c>
      <c r="J1311" s="1085" t="str">
        <f t="shared" si="16"/>
        <v>C</v>
      </c>
      <c r="K1311" s="1036"/>
      <c r="L1311" s="1036"/>
      <c r="M1311" s="1036"/>
      <c r="N1311" s="1036"/>
      <c r="O1311" s="1036"/>
      <c r="P1311" s="1036"/>
      <c r="Q1311" s="1036"/>
      <c r="R1311" s="1036"/>
      <c r="S1311" s="1036"/>
      <c r="T1311" s="1036"/>
      <c r="U1311" s="1036"/>
      <c r="V1311" s="1036"/>
      <c r="W1311" s="1036"/>
      <c r="X1311" s="1036"/>
      <c r="Y1311" s="1036"/>
      <c r="Z1311" s="1036"/>
    </row>
    <row r="1312" spans="1:26" ht="38.25">
      <c r="A1312" s="1079">
        <v>90447</v>
      </c>
      <c r="B1312" s="1080" t="s">
        <v>14476</v>
      </c>
      <c r="C1312" s="1080" t="s">
        <v>10377</v>
      </c>
      <c r="D1312" s="1081" t="s">
        <v>50</v>
      </c>
      <c r="E1312" s="1082">
        <v>12</v>
      </c>
      <c r="F1312" s="1083">
        <v>9.6199999999999992</v>
      </c>
      <c r="G1312" s="1083">
        <v>115.44</v>
      </c>
      <c r="H1312" s="1084">
        <f t="shared" si="15"/>
        <v>7.8407120283716621E-6</v>
      </c>
      <c r="I1312" s="1085">
        <f t="shared" si="17"/>
        <v>0.99888776266874391</v>
      </c>
      <c r="J1312" s="1085" t="str">
        <f t="shared" si="16"/>
        <v>C</v>
      </c>
      <c r="K1312" s="1036"/>
      <c r="L1312" s="1036"/>
      <c r="M1312" s="1036"/>
      <c r="N1312" s="1036"/>
      <c r="O1312" s="1036"/>
      <c r="P1312" s="1036"/>
      <c r="Q1312" s="1036"/>
      <c r="R1312" s="1036"/>
      <c r="S1312" s="1036"/>
      <c r="T1312" s="1036"/>
      <c r="U1312" s="1036"/>
      <c r="V1312" s="1036"/>
      <c r="W1312" s="1036"/>
      <c r="X1312" s="1036"/>
      <c r="Y1312" s="1036"/>
      <c r="Z1312" s="1036"/>
    </row>
    <row r="1313" spans="1:26" ht="51">
      <c r="A1313" s="1079" t="s">
        <v>14588</v>
      </c>
      <c r="B1313" s="1080" t="s">
        <v>14472</v>
      </c>
      <c r="C1313" s="1080" t="s">
        <v>14589</v>
      </c>
      <c r="D1313" s="1081" t="s">
        <v>50</v>
      </c>
      <c r="E1313" s="1082">
        <v>3</v>
      </c>
      <c r="F1313" s="1083">
        <v>38.32</v>
      </c>
      <c r="G1313" s="1083">
        <v>114.96</v>
      </c>
      <c r="H1313" s="1084">
        <f t="shared" si="15"/>
        <v>7.8081103151559787E-6</v>
      </c>
      <c r="I1313" s="1085">
        <f t="shared" si="17"/>
        <v>0.99889557077905911</v>
      </c>
      <c r="J1313" s="1085" t="str">
        <f t="shared" si="16"/>
        <v>C</v>
      </c>
      <c r="K1313" s="1036"/>
      <c r="L1313" s="1036"/>
      <c r="M1313" s="1036"/>
      <c r="N1313" s="1036"/>
      <c r="O1313" s="1036"/>
      <c r="P1313" s="1036"/>
      <c r="Q1313" s="1036"/>
      <c r="R1313" s="1036"/>
      <c r="S1313" s="1036"/>
      <c r="T1313" s="1036"/>
      <c r="U1313" s="1036"/>
      <c r="V1313" s="1036"/>
      <c r="W1313" s="1036"/>
      <c r="X1313" s="1036"/>
      <c r="Y1313" s="1036"/>
      <c r="Z1313" s="1036"/>
    </row>
    <row r="1314" spans="1:26" ht="25.5">
      <c r="A1314" s="1079" t="s">
        <v>15222</v>
      </c>
      <c r="B1314" s="1080" t="s">
        <v>14472</v>
      </c>
      <c r="C1314" s="1080" t="s">
        <v>15223</v>
      </c>
      <c r="D1314" s="1081" t="s">
        <v>50</v>
      </c>
      <c r="E1314" s="1082">
        <v>5</v>
      </c>
      <c r="F1314" s="1083">
        <v>22.91</v>
      </c>
      <c r="G1314" s="1083">
        <v>114.55</v>
      </c>
      <c r="H1314" s="1084">
        <f t="shared" si="15"/>
        <v>7.7802630184509182E-6</v>
      </c>
      <c r="I1314" s="1085">
        <f t="shared" si="17"/>
        <v>0.9989033510420775</v>
      </c>
      <c r="J1314" s="1085" t="str">
        <f t="shared" si="16"/>
        <v>C</v>
      </c>
      <c r="K1314" s="1036"/>
      <c r="L1314" s="1036"/>
      <c r="M1314" s="1036"/>
      <c r="N1314" s="1036"/>
      <c r="O1314" s="1036"/>
      <c r="P1314" s="1036"/>
      <c r="Q1314" s="1036"/>
      <c r="R1314" s="1036"/>
      <c r="S1314" s="1036"/>
      <c r="T1314" s="1036"/>
      <c r="U1314" s="1036"/>
      <c r="V1314" s="1036"/>
      <c r="W1314" s="1036"/>
      <c r="X1314" s="1036"/>
      <c r="Y1314" s="1036"/>
      <c r="Z1314" s="1036"/>
    </row>
    <row r="1315" spans="1:26" ht="63.75">
      <c r="A1315" s="1079">
        <v>100978</v>
      </c>
      <c r="B1315" s="1080" t="s">
        <v>14476</v>
      </c>
      <c r="C1315" s="1080" t="s">
        <v>11981</v>
      </c>
      <c r="D1315" s="1081" t="s">
        <v>152</v>
      </c>
      <c r="E1315" s="1082">
        <v>13.21</v>
      </c>
      <c r="F1315" s="1083">
        <v>8.66</v>
      </c>
      <c r="G1315" s="1083">
        <v>114.4</v>
      </c>
      <c r="H1315" s="1084">
        <f t="shared" si="15"/>
        <v>7.7700749830710169E-6</v>
      </c>
      <c r="I1315" s="1085">
        <f t="shared" si="17"/>
        <v>0.9989111211170606</v>
      </c>
      <c r="J1315" s="1085" t="str">
        <f t="shared" si="16"/>
        <v>C</v>
      </c>
      <c r="K1315" s="1036"/>
      <c r="L1315" s="1036"/>
      <c r="M1315" s="1036"/>
      <c r="N1315" s="1036"/>
      <c r="O1315" s="1036"/>
      <c r="P1315" s="1036"/>
      <c r="Q1315" s="1036"/>
      <c r="R1315" s="1036"/>
      <c r="S1315" s="1036"/>
      <c r="T1315" s="1036"/>
      <c r="U1315" s="1036"/>
      <c r="V1315" s="1036"/>
      <c r="W1315" s="1036"/>
      <c r="X1315" s="1036"/>
      <c r="Y1315" s="1036"/>
      <c r="Z1315" s="1036"/>
    </row>
    <row r="1316" spans="1:26" ht="38.25">
      <c r="A1316" s="1079">
        <v>91987</v>
      </c>
      <c r="B1316" s="1080" t="s">
        <v>14476</v>
      </c>
      <c r="C1316" s="1080" t="s">
        <v>8046</v>
      </c>
      <c r="D1316" s="1081" t="s">
        <v>6</v>
      </c>
      <c r="E1316" s="1082">
        <v>2</v>
      </c>
      <c r="F1316" s="1083">
        <v>56.78</v>
      </c>
      <c r="G1316" s="1083">
        <v>113.56</v>
      </c>
      <c r="H1316" s="1084">
        <f t="shared" si="15"/>
        <v>7.7130219849435716E-6</v>
      </c>
      <c r="I1316" s="1085">
        <f t="shared" si="17"/>
        <v>0.99891883413904559</v>
      </c>
      <c r="J1316" s="1085" t="str">
        <f t="shared" si="16"/>
        <v>C</v>
      </c>
      <c r="K1316" s="1036"/>
      <c r="L1316" s="1036"/>
      <c r="M1316" s="1036"/>
      <c r="N1316" s="1036"/>
      <c r="O1316" s="1036"/>
      <c r="P1316" s="1036"/>
      <c r="Q1316" s="1036"/>
      <c r="R1316" s="1036"/>
      <c r="S1316" s="1036"/>
      <c r="T1316" s="1036"/>
      <c r="U1316" s="1036"/>
      <c r="V1316" s="1036"/>
      <c r="W1316" s="1036"/>
      <c r="X1316" s="1036"/>
      <c r="Y1316" s="1036"/>
      <c r="Z1316" s="1036"/>
    </row>
    <row r="1317" spans="1:26" ht="38.25">
      <c r="A1317" s="1079">
        <v>91987</v>
      </c>
      <c r="B1317" s="1080" t="s">
        <v>14476</v>
      </c>
      <c r="C1317" s="1080" t="s">
        <v>8046</v>
      </c>
      <c r="D1317" s="1081" t="s">
        <v>6</v>
      </c>
      <c r="E1317" s="1082">
        <v>2</v>
      </c>
      <c r="F1317" s="1083">
        <v>56.78</v>
      </c>
      <c r="G1317" s="1083">
        <v>113.56</v>
      </c>
      <c r="H1317" s="1084">
        <f t="shared" si="15"/>
        <v>7.7130219849435716E-6</v>
      </c>
      <c r="I1317" s="1085">
        <f t="shared" si="17"/>
        <v>0.99892654716103058</v>
      </c>
      <c r="J1317" s="1085" t="str">
        <f t="shared" si="16"/>
        <v>C</v>
      </c>
      <c r="K1317" s="1036"/>
      <c r="L1317" s="1036"/>
      <c r="M1317" s="1036"/>
      <c r="N1317" s="1036"/>
      <c r="O1317" s="1036"/>
      <c r="P1317" s="1036"/>
      <c r="Q1317" s="1036"/>
      <c r="R1317" s="1036"/>
      <c r="S1317" s="1036"/>
      <c r="T1317" s="1036"/>
      <c r="U1317" s="1036"/>
      <c r="V1317" s="1036"/>
      <c r="W1317" s="1036"/>
      <c r="X1317" s="1036"/>
      <c r="Y1317" s="1036"/>
      <c r="Z1317" s="1036"/>
    </row>
    <row r="1318" spans="1:26" ht="38.25">
      <c r="A1318" s="1079">
        <v>91987</v>
      </c>
      <c r="B1318" s="1080" t="s">
        <v>14476</v>
      </c>
      <c r="C1318" s="1080" t="s">
        <v>8046</v>
      </c>
      <c r="D1318" s="1081" t="s">
        <v>6</v>
      </c>
      <c r="E1318" s="1082">
        <v>2</v>
      </c>
      <c r="F1318" s="1083">
        <v>56.78</v>
      </c>
      <c r="G1318" s="1083">
        <v>113.56</v>
      </c>
      <c r="H1318" s="1084">
        <f t="shared" si="15"/>
        <v>7.7130219849435716E-6</v>
      </c>
      <c r="I1318" s="1085">
        <f t="shared" si="17"/>
        <v>0.99893426018301557</v>
      </c>
      <c r="J1318" s="1085" t="str">
        <f t="shared" si="16"/>
        <v>C</v>
      </c>
      <c r="K1318" s="1036"/>
      <c r="L1318" s="1036"/>
      <c r="M1318" s="1036"/>
      <c r="N1318" s="1036"/>
      <c r="O1318" s="1036"/>
      <c r="P1318" s="1036"/>
      <c r="Q1318" s="1036"/>
      <c r="R1318" s="1036"/>
      <c r="S1318" s="1036"/>
      <c r="T1318" s="1036"/>
      <c r="U1318" s="1036"/>
      <c r="V1318" s="1036"/>
      <c r="W1318" s="1036"/>
      <c r="X1318" s="1036"/>
      <c r="Y1318" s="1036"/>
      <c r="Z1318" s="1036"/>
    </row>
    <row r="1319" spans="1:26" ht="25.5">
      <c r="A1319" s="1079">
        <v>105038</v>
      </c>
      <c r="B1319" s="1080" t="s">
        <v>14476</v>
      </c>
      <c r="C1319" s="1080" t="s">
        <v>7633</v>
      </c>
      <c r="D1319" s="1081" t="s">
        <v>50</v>
      </c>
      <c r="E1319" s="1082">
        <v>1.4</v>
      </c>
      <c r="F1319" s="1083">
        <v>80.92</v>
      </c>
      <c r="G1319" s="1083">
        <v>113.28</v>
      </c>
      <c r="H1319" s="1084">
        <f t="shared" si="15"/>
        <v>7.6940043189010916E-6</v>
      </c>
      <c r="I1319" s="1085">
        <f t="shared" si="17"/>
        <v>0.99894195418733445</v>
      </c>
      <c r="J1319" s="1085" t="str">
        <f t="shared" si="16"/>
        <v>C</v>
      </c>
      <c r="K1319" s="1036"/>
      <c r="L1319" s="1036"/>
      <c r="M1319" s="1036"/>
      <c r="N1319" s="1036"/>
      <c r="O1319" s="1036"/>
      <c r="P1319" s="1036"/>
      <c r="Q1319" s="1036"/>
      <c r="R1319" s="1036"/>
      <c r="S1319" s="1036"/>
      <c r="T1319" s="1036"/>
      <c r="U1319" s="1036"/>
      <c r="V1319" s="1036"/>
      <c r="W1319" s="1036"/>
      <c r="X1319" s="1036"/>
      <c r="Y1319" s="1036"/>
      <c r="Z1319" s="1036"/>
    </row>
    <row r="1320" spans="1:26" ht="38.25">
      <c r="A1320" s="1079">
        <v>91939</v>
      </c>
      <c r="B1320" s="1080" t="s">
        <v>14476</v>
      </c>
      <c r="C1320" s="1080" t="s">
        <v>7885</v>
      </c>
      <c r="D1320" s="1081" t="s">
        <v>6</v>
      </c>
      <c r="E1320" s="1082">
        <v>3</v>
      </c>
      <c r="F1320" s="1083">
        <v>37.659999999999997</v>
      </c>
      <c r="G1320" s="1083">
        <v>112.98</v>
      </c>
      <c r="H1320" s="1084">
        <f t="shared" si="15"/>
        <v>7.673628248141289E-6</v>
      </c>
      <c r="I1320" s="1085">
        <f t="shared" si="17"/>
        <v>0.99894962781558261</v>
      </c>
      <c r="J1320" s="1085" t="str">
        <f t="shared" si="16"/>
        <v>C</v>
      </c>
      <c r="K1320" s="1036"/>
      <c r="L1320" s="1036"/>
      <c r="M1320" s="1036"/>
      <c r="N1320" s="1036"/>
      <c r="O1320" s="1036"/>
      <c r="P1320" s="1036"/>
      <c r="Q1320" s="1036"/>
      <c r="R1320" s="1036"/>
      <c r="S1320" s="1036"/>
      <c r="T1320" s="1036"/>
      <c r="U1320" s="1036"/>
      <c r="V1320" s="1036"/>
      <c r="W1320" s="1036"/>
      <c r="X1320" s="1036"/>
      <c r="Y1320" s="1036"/>
      <c r="Z1320" s="1036"/>
    </row>
    <row r="1321" spans="1:26" ht="38.25">
      <c r="A1321" s="1079">
        <v>100556</v>
      </c>
      <c r="B1321" s="1080" t="s">
        <v>14476</v>
      </c>
      <c r="C1321" s="1080" t="s">
        <v>8348</v>
      </c>
      <c r="D1321" s="1081" t="s">
        <v>6</v>
      </c>
      <c r="E1321" s="1082">
        <v>2</v>
      </c>
      <c r="F1321" s="1083">
        <v>56.43</v>
      </c>
      <c r="G1321" s="1083">
        <v>112.86</v>
      </c>
      <c r="H1321" s="1084">
        <f t="shared" si="15"/>
        <v>7.665477819837369E-6</v>
      </c>
      <c r="I1321" s="1085">
        <f t="shared" si="17"/>
        <v>0.99895729329340244</v>
      </c>
      <c r="J1321" s="1085" t="str">
        <f t="shared" si="16"/>
        <v>C</v>
      </c>
      <c r="K1321" s="1036"/>
      <c r="L1321" s="1036"/>
      <c r="M1321" s="1036"/>
      <c r="N1321" s="1036"/>
      <c r="O1321" s="1036"/>
      <c r="P1321" s="1036"/>
      <c r="Q1321" s="1036"/>
      <c r="R1321" s="1036"/>
      <c r="S1321" s="1036"/>
      <c r="T1321" s="1036"/>
      <c r="U1321" s="1036"/>
      <c r="V1321" s="1036"/>
      <c r="W1321" s="1036"/>
      <c r="X1321" s="1036"/>
      <c r="Y1321" s="1036"/>
      <c r="Z1321" s="1036"/>
    </row>
    <row r="1322" spans="1:26" ht="25.5">
      <c r="A1322" s="1079" t="s">
        <v>15272</v>
      </c>
      <c r="B1322" s="1080" t="s">
        <v>14472</v>
      </c>
      <c r="C1322" s="1080" t="s">
        <v>15273</v>
      </c>
      <c r="D1322" s="1081" t="s">
        <v>6</v>
      </c>
      <c r="E1322" s="1082">
        <v>1</v>
      </c>
      <c r="F1322" s="1083">
        <v>112.53</v>
      </c>
      <c r="G1322" s="1083">
        <v>112.53</v>
      </c>
      <c r="H1322" s="1084">
        <f t="shared" si="15"/>
        <v>7.6430641420015868E-6</v>
      </c>
      <c r="I1322" s="1085">
        <f t="shared" si="17"/>
        <v>0.99896493635754446</v>
      </c>
      <c r="J1322" s="1085" t="str">
        <f t="shared" si="16"/>
        <v>C</v>
      </c>
      <c r="K1322" s="1036"/>
      <c r="L1322" s="1036"/>
      <c r="M1322" s="1036"/>
      <c r="N1322" s="1036"/>
      <c r="O1322" s="1036"/>
      <c r="P1322" s="1036"/>
      <c r="Q1322" s="1036"/>
      <c r="R1322" s="1036"/>
      <c r="S1322" s="1036"/>
      <c r="T1322" s="1036"/>
      <c r="U1322" s="1036"/>
      <c r="V1322" s="1036"/>
      <c r="W1322" s="1036"/>
      <c r="X1322" s="1036"/>
      <c r="Y1322" s="1036"/>
      <c r="Z1322" s="1036"/>
    </row>
    <row r="1323" spans="1:26" ht="38.25">
      <c r="A1323" s="1079">
        <v>89362</v>
      </c>
      <c r="B1323" s="1080" t="s">
        <v>14476</v>
      </c>
      <c r="C1323" s="1080" t="s">
        <v>8669</v>
      </c>
      <c r="D1323" s="1081" t="s">
        <v>6</v>
      </c>
      <c r="E1323" s="1082">
        <v>10</v>
      </c>
      <c r="F1323" s="1083">
        <v>11.23</v>
      </c>
      <c r="G1323" s="1083">
        <v>112.3</v>
      </c>
      <c r="H1323" s="1084">
        <f t="shared" si="15"/>
        <v>7.6274424877524055E-6</v>
      </c>
      <c r="I1323" s="1085">
        <f t="shared" si="17"/>
        <v>0.99897256380003219</v>
      </c>
      <c r="J1323" s="1085" t="str">
        <f t="shared" si="16"/>
        <v>C</v>
      </c>
      <c r="K1323" s="1036"/>
      <c r="L1323" s="1036"/>
      <c r="M1323" s="1036"/>
      <c r="N1323" s="1036"/>
      <c r="O1323" s="1036"/>
      <c r="P1323" s="1036"/>
      <c r="Q1323" s="1036"/>
      <c r="R1323" s="1036"/>
      <c r="S1323" s="1036"/>
      <c r="T1323" s="1036"/>
      <c r="U1323" s="1036"/>
      <c r="V1323" s="1036"/>
      <c r="W1323" s="1036"/>
      <c r="X1323" s="1036"/>
      <c r="Y1323" s="1036"/>
      <c r="Z1323" s="1036"/>
    </row>
    <row r="1324" spans="1:26" ht="51">
      <c r="A1324" s="1079">
        <v>104001</v>
      </c>
      <c r="B1324" s="1080" t="s">
        <v>14476</v>
      </c>
      <c r="C1324" s="1080" t="s">
        <v>9845</v>
      </c>
      <c r="D1324" s="1081" t="s">
        <v>6</v>
      </c>
      <c r="E1324" s="1082">
        <v>7</v>
      </c>
      <c r="F1324" s="1083">
        <v>16.02</v>
      </c>
      <c r="G1324" s="1083">
        <v>112.14</v>
      </c>
      <c r="H1324" s="1084">
        <f t="shared" si="15"/>
        <v>7.6165752500138446E-6</v>
      </c>
      <c r="I1324" s="1085">
        <f t="shared" si="17"/>
        <v>0.99898018037528225</v>
      </c>
      <c r="J1324" s="1085" t="str">
        <f t="shared" si="16"/>
        <v>C</v>
      </c>
      <c r="K1324" s="1036"/>
      <c r="L1324" s="1036"/>
      <c r="M1324" s="1036"/>
      <c r="N1324" s="1036"/>
      <c r="O1324" s="1036"/>
      <c r="P1324" s="1036"/>
      <c r="Q1324" s="1036"/>
      <c r="R1324" s="1036"/>
      <c r="S1324" s="1036"/>
      <c r="T1324" s="1036"/>
      <c r="U1324" s="1036"/>
      <c r="V1324" s="1036"/>
      <c r="W1324" s="1036"/>
      <c r="X1324" s="1036"/>
      <c r="Y1324" s="1036"/>
      <c r="Z1324" s="1036"/>
    </row>
    <row r="1325" spans="1:26" ht="51">
      <c r="A1325" s="1079">
        <v>89733</v>
      </c>
      <c r="B1325" s="1080" t="s">
        <v>14476</v>
      </c>
      <c r="C1325" s="1080" t="s">
        <v>8946</v>
      </c>
      <c r="D1325" s="1081" t="s">
        <v>6</v>
      </c>
      <c r="E1325" s="1082">
        <v>4</v>
      </c>
      <c r="F1325" s="1083">
        <v>27.91</v>
      </c>
      <c r="G1325" s="1083">
        <v>111.64</v>
      </c>
      <c r="H1325" s="1084">
        <f t="shared" si="15"/>
        <v>7.582615132080842E-6</v>
      </c>
      <c r="I1325" s="1085">
        <f t="shared" si="17"/>
        <v>0.99898776299041436</v>
      </c>
      <c r="J1325" s="1085" t="str">
        <f t="shared" si="16"/>
        <v>C</v>
      </c>
      <c r="K1325" s="1036"/>
      <c r="L1325" s="1036"/>
      <c r="M1325" s="1036"/>
      <c r="N1325" s="1036"/>
      <c r="O1325" s="1036"/>
      <c r="P1325" s="1036"/>
      <c r="Q1325" s="1036"/>
      <c r="R1325" s="1036"/>
      <c r="S1325" s="1036"/>
      <c r="T1325" s="1036"/>
      <c r="U1325" s="1036"/>
      <c r="V1325" s="1036"/>
      <c r="W1325" s="1036"/>
      <c r="X1325" s="1036"/>
      <c r="Y1325" s="1036"/>
      <c r="Z1325" s="1036"/>
    </row>
    <row r="1326" spans="1:26" ht="38.25">
      <c r="A1326" s="1079">
        <v>89381</v>
      </c>
      <c r="B1326" s="1080" t="s">
        <v>14476</v>
      </c>
      <c r="C1326" s="1080" t="s">
        <v>8688</v>
      </c>
      <c r="D1326" s="1081" t="s">
        <v>6</v>
      </c>
      <c r="E1326" s="1082">
        <v>8</v>
      </c>
      <c r="F1326" s="1083">
        <v>13.95</v>
      </c>
      <c r="G1326" s="1083">
        <v>111.6</v>
      </c>
      <c r="H1326" s="1084">
        <f t="shared" si="15"/>
        <v>7.5798983226462011E-6</v>
      </c>
      <c r="I1326" s="1085">
        <f t="shared" si="17"/>
        <v>0.99899534288873704</v>
      </c>
      <c r="J1326" s="1085" t="str">
        <f t="shared" si="16"/>
        <v>C</v>
      </c>
      <c r="K1326" s="1036"/>
      <c r="L1326" s="1036"/>
      <c r="M1326" s="1036"/>
      <c r="N1326" s="1036"/>
      <c r="O1326" s="1036"/>
      <c r="P1326" s="1036"/>
      <c r="Q1326" s="1036"/>
      <c r="R1326" s="1036"/>
      <c r="S1326" s="1036"/>
      <c r="T1326" s="1036"/>
      <c r="U1326" s="1036"/>
      <c r="V1326" s="1036"/>
      <c r="W1326" s="1036"/>
      <c r="X1326" s="1036"/>
      <c r="Y1326" s="1036"/>
      <c r="Z1326" s="1036"/>
    </row>
    <row r="1327" spans="1:26" ht="38.25">
      <c r="A1327" s="1079">
        <v>105234</v>
      </c>
      <c r="B1327" s="1080" t="s">
        <v>14476</v>
      </c>
      <c r="C1327" s="1080" t="s">
        <v>10006</v>
      </c>
      <c r="D1327" s="1081" t="s">
        <v>6</v>
      </c>
      <c r="E1327" s="1082">
        <v>10</v>
      </c>
      <c r="F1327" s="1083">
        <v>11.15</v>
      </c>
      <c r="G1327" s="1083">
        <v>111.5</v>
      </c>
      <c r="H1327" s="1084">
        <f t="shared" si="15"/>
        <v>7.5731062990596011E-6</v>
      </c>
      <c r="I1327" s="1085">
        <f t="shared" si="17"/>
        <v>0.9990029159950361</v>
      </c>
      <c r="J1327" s="1085" t="str">
        <f t="shared" si="16"/>
        <v>C</v>
      </c>
      <c r="K1327" s="1036"/>
      <c r="L1327" s="1036"/>
      <c r="M1327" s="1036"/>
      <c r="N1327" s="1036"/>
      <c r="O1327" s="1036"/>
      <c r="P1327" s="1036"/>
      <c r="Q1327" s="1036"/>
      <c r="R1327" s="1036"/>
      <c r="S1327" s="1036"/>
      <c r="T1327" s="1036"/>
      <c r="U1327" s="1036"/>
      <c r="V1327" s="1036"/>
      <c r="W1327" s="1036"/>
      <c r="X1327" s="1036"/>
      <c r="Y1327" s="1036"/>
      <c r="Z1327" s="1036"/>
    </row>
    <row r="1328" spans="1:26" ht="38.25">
      <c r="A1328" s="1079">
        <v>89364</v>
      </c>
      <c r="B1328" s="1080" t="s">
        <v>14476</v>
      </c>
      <c r="C1328" s="1080" t="s">
        <v>8671</v>
      </c>
      <c r="D1328" s="1081" t="s">
        <v>6</v>
      </c>
      <c r="E1328" s="1082">
        <v>8</v>
      </c>
      <c r="F1328" s="1083">
        <v>13.66</v>
      </c>
      <c r="G1328" s="1083">
        <v>109.28</v>
      </c>
      <c r="H1328" s="1084">
        <f t="shared" si="15"/>
        <v>7.4223233754370688E-6</v>
      </c>
      <c r="I1328" s="1085">
        <f t="shared" si="17"/>
        <v>0.99901033831841157</v>
      </c>
      <c r="J1328" s="1085" t="str">
        <f t="shared" si="16"/>
        <v>C</v>
      </c>
      <c r="K1328" s="1036"/>
      <c r="L1328" s="1036"/>
      <c r="M1328" s="1036"/>
      <c r="N1328" s="1036"/>
      <c r="O1328" s="1036"/>
      <c r="P1328" s="1036"/>
      <c r="Q1328" s="1036"/>
      <c r="R1328" s="1036"/>
      <c r="S1328" s="1036"/>
      <c r="T1328" s="1036"/>
      <c r="U1328" s="1036"/>
      <c r="V1328" s="1036"/>
      <c r="W1328" s="1036"/>
      <c r="X1328" s="1036"/>
      <c r="Y1328" s="1036"/>
      <c r="Z1328" s="1036"/>
    </row>
    <row r="1329" spans="1:26" ht="51">
      <c r="A1329" s="1079">
        <v>89783</v>
      </c>
      <c r="B1329" s="1080" t="s">
        <v>14476</v>
      </c>
      <c r="C1329" s="1080" t="s">
        <v>8989</v>
      </c>
      <c r="D1329" s="1081" t="s">
        <v>6</v>
      </c>
      <c r="E1329" s="1082">
        <v>6</v>
      </c>
      <c r="F1329" s="1083">
        <v>18.100000000000001</v>
      </c>
      <c r="G1329" s="1083">
        <v>108.6</v>
      </c>
      <c r="H1329" s="1084">
        <f t="shared" si="15"/>
        <v>7.3761376150481853E-6</v>
      </c>
      <c r="I1329" s="1085">
        <f t="shared" si="17"/>
        <v>0.99901771445602661</v>
      </c>
      <c r="J1329" s="1085" t="str">
        <f t="shared" si="16"/>
        <v>C</v>
      </c>
      <c r="K1329" s="1036"/>
      <c r="L1329" s="1036"/>
      <c r="M1329" s="1036"/>
      <c r="N1329" s="1036"/>
      <c r="O1329" s="1036"/>
      <c r="P1329" s="1036"/>
      <c r="Q1329" s="1036"/>
      <c r="R1329" s="1036"/>
      <c r="S1329" s="1036"/>
      <c r="T1329" s="1036"/>
      <c r="U1329" s="1036"/>
      <c r="V1329" s="1036"/>
      <c r="W1329" s="1036"/>
      <c r="X1329" s="1036"/>
      <c r="Y1329" s="1036"/>
      <c r="Z1329" s="1036"/>
    </row>
    <row r="1330" spans="1:26" ht="51">
      <c r="A1330" s="1079">
        <v>89783</v>
      </c>
      <c r="B1330" s="1080" t="s">
        <v>14476</v>
      </c>
      <c r="C1330" s="1080" t="s">
        <v>8989</v>
      </c>
      <c r="D1330" s="1081" t="s">
        <v>6</v>
      </c>
      <c r="E1330" s="1082">
        <v>6</v>
      </c>
      <c r="F1330" s="1083">
        <v>18.100000000000001</v>
      </c>
      <c r="G1330" s="1083">
        <v>108.6</v>
      </c>
      <c r="H1330" s="1084">
        <f t="shared" si="15"/>
        <v>7.3761376150481853E-6</v>
      </c>
      <c r="I1330" s="1085">
        <f t="shared" si="17"/>
        <v>0.99902509059364164</v>
      </c>
      <c r="J1330" s="1085" t="str">
        <f t="shared" si="16"/>
        <v>C</v>
      </c>
      <c r="K1330" s="1036"/>
      <c r="L1330" s="1036"/>
      <c r="M1330" s="1036"/>
      <c r="N1330" s="1036"/>
      <c r="O1330" s="1036"/>
      <c r="P1330" s="1036"/>
      <c r="Q1330" s="1036"/>
      <c r="R1330" s="1036"/>
      <c r="S1330" s="1036"/>
      <c r="T1330" s="1036"/>
      <c r="U1330" s="1036"/>
      <c r="V1330" s="1036"/>
      <c r="W1330" s="1036"/>
      <c r="X1330" s="1036"/>
      <c r="Y1330" s="1036"/>
      <c r="Z1330" s="1036"/>
    </row>
    <row r="1331" spans="1:26" ht="51">
      <c r="A1331" s="1079" t="s">
        <v>15370</v>
      </c>
      <c r="B1331" s="1080" t="s">
        <v>14472</v>
      </c>
      <c r="C1331" s="1080" t="s">
        <v>15371</v>
      </c>
      <c r="D1331" s="1081" t="s">
        <v>6</v>
      </c>
      <c r="E1331" s="1082">
        <v>2</v>
      </c>
      <c r="F1331" s="1083">
        <v>53.95</v>
      </c>
      <c r="G1331" s="1083">
        <v>107.9</v>
      </c>
      <c r="H1331" s="1084">
        <f t="shared" si="15"/>
        <v>7.3285934499419818E-6</v>
      </c>
      <c r="I1331" s="1085">
        <f t="shared" si="17"/>
        <v>0.99903241918709162</v>
      </c>
      <c r="J1331" s="1085" t="str">
        <f t="shared" si="16"/>
        <v>C</v>
      </c>
      <c r="K1331" s="1036"/>
      <c r="L1331" s="1036"/>
      <c r="M1331" s="1036"/>
      <c r="N1331" s="1036"/>
      <c r="O1331" s="1036"/>
      <c r="P1331" s="1036"/>
      <c r="Q1331" s="1036"/>
      <c r="R1331" s="1036"/>
      <c r="S1331" s="1036"/>
      <c r="T1331" s="1036"/>
      <c r="U1331" s="1036"/>
      <c r="V1331" s="1036"/>
      <c r="W1331" s="1036"/>
      <c r="X1331" s="1036"/>
      <c r="Y1331" s="1036"/>
      <c r="Z1331" s="1036"/>
    </row>
    <row r="1332" spans="1:26" ht="25.5">
      <c r="A1332" s="1079">
        <v>104086</v>
      </c>
      <c r="B1332" s="1080" t="s">
        <v>14476</v>
      </c>
      <c r="C1332" s="1080" t="s">
        <v>10502</v>
      </c>
      <c r="D1332" s="1081" t="s">
        <v>50</v>
      </c>
      <c r="E1332" s="1082">
        <v>1</v>
      </c>
      <c r="F1332" s="1083">
        <v>107.63</v>
      </c>
      <c r="G1332" s="1083">
        <v>107.63</v>
      </c>
      <c r="H1332" s="1084">
        <f t="shared" si="15"/>
        <v>7.3102549862581597E-6</v>
      </c>
      <c r="I1332" s="1085">
        <f t="shared" si="17"/>
        <v>0.99903972944207786</v>
      </c>
      <c r="J1332" s="1085" t="str">
        <f t="shared" si="16"/>
        <v>C</v>
      </c>
      <c r="K1332" s="1036"/>
      <c r="L1332" s="1036"/>
      <c r="M1332" s="1036"/>
      <c r="N1332" s="1036"/>
      <c r="O1332" s="1036"/>
      <c r="P1332" s="1036"/>
      <c r="Q1332" s="1036"/>
      <c r="R1332" s="1036"/>
      <c r="S1332" s="1036"/>
      <c r="T1332" s="1036"/>
      <c r="U1332" s="1036"/>
      <c r="V1332" s="1036"/>
      <c r="W1332" s="1036"/>
      <c r="X1332" s="1036"/>
      <c r="Y1332" s="1036"/>
      <c r="Z1332" s="1036"/>
    </row>
    <row r="1333" spans="1:26" ht="25.5">
      <c r="A1333" s="1079">
        <v>104086</v>
      </c>
      <c r="B1333" s="1080" t="s">
        <v>14476</v>
      </c>
      <c r="C1333" s="1080" t="s">
        <v>10502</v>
      </c>
      <c r="D1333" s="1081" t="s">
        <v>50</v>
      </c>
      <c r="E1333" s="1082">
        <v>1</v>
      </c>
      <c r="F1333" s="1083">
        <v>107.63</v>
      </c>
      <c r="G1333" s="1083">
        <v>107.63</v>
      </c>
      <c r="H1333" s="1084">
        <f t="shared" si="15"/>
        <v>7.3102549862581597E-6</v>
      </c>
      <c r="I1333" s="1085">
        <f t="shared" si="17"/>
        <v>0.9990470396970641</v>
      </c>
      <c r="J1333" s="1085" t="str">
        <f t="shared" si="16"/>
        <v>C</v>
      </c>
      <c r="K1333" s="1036"/>
      <c r="L1333" s="1036"/>
      <c r="M1333" s="1036"/>
      <c r="N1333" s="1036"/>
      <c r="O1333" s="1036"/>
      <c r="P1333" s="1036"/>
      <c r="Q1333" s="1036"/>
      <c r="R1333" s="1036"/>
      <c r="S1333" s="1036"/>
      <c r="T1333" s="1036"/>
      <c r="U1333" s="1036"/>
      <c r="V1333" s="1036"/>
      <c r="W1333" s="1036"/>
      <c r="X1333" s="1036"/>
      <c r="Y1333" s="1036"/>
      <c r="Z1333" s="1036"/>
    </row>
    <row r="1334" spans="1:26" ht="38.25">
      <c r="A1334" s="1079">
        <v>103979</v>
      </c>
      <c r="B1334" s="1080" t="s">
        <v>14476</v>
      </c>
      <c r="C1334" s="1080" t="s">
        <v>8649</v>
      </c>
      <c r="D1334" s="1081" t="s">
        <v>50</v>
      </c>
      <c r="E1334" s="1082">
        <v>3.2</v>
      </c>
      <c r="F1334" s="1083">
        <v>33.03</v>
      </c>
      <c r="G1334" s="1083">
        <v>105.69</v>
      </c>
      <c r="H1334" s="1084">
        <f t="shared" si="15"/>
        <v>7.17848972867811E-6</v>
      </c>
      <c r="I1334" s="1085">
        <f t="shared" si="17"/>
        <v>0.99905421818679274</v>
      </c>
      <c r="J1334" s="1085" t="str">
        <f t="shared" si="16"/>
        <v>C</v>
      </c>
      <c r="K1334" s="1036"/>
      <c r="L1334" s="1036"/>
      <c r="M1334" s="1036"/>
      <c r="N1334" s="1036"/>
      <c r="O1334" s="1036"/>
      <c r="P1334" s="1036"/>
      <c r="Q1334" s="1036"/>
      <c r="R1334" s="1036"/>
      <c r="S1334" s="1036"/>
      <c r="T1334" s="1036"/>
      <c r="U1334" s="1036"/>
      <c r="V1334" s="1036"/>
      <c r="W1334" s="1036"/>
      <c r="X1334" s="1036"/>
      <c r="Y1334" s="1036"/>
      <c r="Z1334" s="1036"/>
    </row>
    <row r="1335" spans="1:26" ht="51">
      <c r="A1335" s="1079">
        <v>89796</v>
      </c>
      <c r="B1335" s="1080" t="s">
        <v>14476</v>
      </c>
      <c r="C1335" s="1080" t="s">
        <v>9002</v>
      </c>
      <c r="D1335" s="1081" t="s">
        <v>6</v>
      </c>
      <c r="E1335" s="1082">
        <v>2</v>
      </c>
      <c r="F1335" s="1083">
        <v>52.52</v>
      </c>
      <c r="G1335" s="1083">
        <v>105.04</v>
      </c>
      <c r="H1335" s="1084">
        <f t="shared" si="15"/>
        <v>7.1343415753652069E-6</v>
      </c>
      <c r="I1335" s="1085">
        <f t="shared" si="17"/>
        <v>0.99906135252836814</v>
      </c>
      <c r="J1335" s="1085" t="str">
        <f t="shared" si="16"/>
        <v>C</v>
      </c>
      <c r="K1335" s="1036"/>
      <c r="L1335" s="1036"/>
      <c r="M1335" s="1036"/>
      <c r="N1335" s="1036"/>
      <c r="O1335" s="1036"/>
      <c r="P1335" s="1036"/>
      <c r="Q1335" s="1036"/>
      <c r="R1335" s="1036"/>
      <c r="S1335" s="1036"/>
      <c r="T1335" s="1036"/>
      <c r="U1335" s="1036"/>
      <c r="V1335" s="1036"/>
      <c r="W1335" s="1036"/>
      <c r="X1335" s="1036"/>
      <c r="Y1335" s="1036"/>
      <c r="Z1335" s="1036"/>
    </row>
    <row r="1336" spans="1:26" ht="25.5">
      <c r="A1336" s="1079">
        <v>88484</v>
      </c>
      <c r="B1336" s="1080" t="s">
        <v>14476</v>
      </c>
      <c r="C1336" s="1080" t="s">
        <v>11004</v>
      </c>
      <c r="D1336" s="1081" t="s">
        <v>409</v>
      </c>
      <c r="E1336" s="1082">
        <v>20.46</v>
      </c>
      <c r="F1336" s="1083">
        <v>5.13</v>
      </c>
      <c r="G1336" s="1083">
        <v>104.95</v>
      </c>
      <c r="H1336" s="1084">
        <f t="shared" si="15"/>
        <v>7.1282287541372656E-6</v>
      </c>
      <c r="I1336" s="1085">
        <f t="shared" si="17"/>
        <v>0.99906848075712229</v>
      </c>
      <c r="J1336" s="1085" t="str">
        <f t="shared" si="16"/>
        <v>C</v>
      </c>
      <c r="K1336" s="1036"/>
      <c r="L1336" s="1036"/>
      <c r="M1336" s="1036"/>
      <c r="N1336" s="1036"/>
      <c r="O1336" s="1036"/>
      <c r="P1336" s="1036"/>
      <c r="Q1336" s="1036"/>
      <c r="R1336" s="1036"/>
      <c r="S1336" s="1036"/>
      <c r="T1336" s="1036"/>
      <c r="U1336" s="1036"/>
      <c r="V1336" s="1036"/>
      <c r="W1336" s="1036"/>
      <c r="X1336" s="1036"/>
      <c r="Y1336" s="1036"/>
      <c r="Z1336" s="1036"/>
    </row>
    <row r="1337" spans="1:26" ht="38.25">
      <c r="A1337" s="1079">
        <v>102137</v>
      </c>
      <c r="B1337" s="1080" t="s">
        <v>14476</v>
      </c>
      <c r="C1337" s="1080" t="s">
        <v>10445</v>
      </c>
      <c r="D1337" s="1081" t="s">
        <v>6</v>
      </c>
      <c r="E1337" s="1082">
        <v>1</v>
      </c>
      <c r="F1337" s="1083">
        <v>104.35</v>
      </c>
      <c r="G1337" s="1083">
        <v>104.35</v>
      </c>
      <c r="H1337" s="1084">
        <f t="shared" si="15"/>
        <v>7.0874766126176621E-6</v>
      </c>
      <c r="I1337" s="1085">
        <f t="shared" si="17"/>
        <v>0.99907556823373489</v>
      </c>
      <c r="J1337" s="1085" t="str">
        <f t="shared" si="16"/>
        <v>C</v>
      </c>
      <c r="K1337" s="1036"/>
      <c r="L1337" s="1036"/>
      <c r="M1337" s="1036"/>
      <c r="N1337" s="1036"/>
      <c r="O1337" s="1036"/>
      <c r="P1337" s="1036"/>
      <c r="Q1337" s="1036"/>
      <c r="R1337" s="1036"/>
      <c r="S1337" s="1036"/>
      <c r="T1337" s="1036"/>
      <c r="U1337" s="1036"/>
      <c r="V1337" s="1036"/>
      <c r="W1337" s="1036"/>
      <c r="X1337" s="1036"/>
      <c r="Y1337" s="1036"/>
      <c r="Z1337" s="1036"/>
    </row>
    <row r="1338" spans="1:26" ht="25.5">
      <c r="A1338" s="1079">
        <v>95577</v>
      </c>
      <c r="B1338" s="1080" t="s">
        <v>14476</v>
      </c>
      <c r="C1338" s="1080" t="s">
        <v>7477</v>
      </c>
      <c r="D1338" s="1081" t="s">
        <v>54</v>
      </c>
      <c r="E1338" s="1082">
        <v>6.91</v>
      </c>
      <c r="F1338" s="1083">
        <v>15.06</v>
      </c>
      <c r="G1338" s="1083">
        <v>104.06</v>
      </c>
      <c r="H1338" s="1084">
        <f t="shared" si="15"/>
        <v>7.0677797442165208E-6</v>
      </c>
      <c r="I1338" s="1085">
        <f t="shared" si="17"/>
        <v>0.99908263601347913</v>
      </c>
      <c r="J1338" s="1085" t="str">
        <f t="shared" si="16"/>
        <v>C</v>
      </c>
      <c r="K1338" s="1036"/>
      <c r="L1338" s="1036"/>
      <c r="M1338" s="1036"/>
      <c r="N1338" s="1036"/>
      <c r="O1338" s="1036"/>
      <c r="P1338" s="1036"/>
      <c r="Q1338" s="1036"/>
      <c r="R1338" s="1036"/>
      <c r="S1338" s="1036"/>
      <c r="T1338" s="1036"/>
      <c r="U1338" s="1036"/>
      <c r="V1338" s="1036"/>
      <c r="W1338" s="1036"/>
      <c r="X1338" s="1036"/>
      <c r="Y1338" s="1036"/>
      <c r="Z1338" s="1036"/>
    </row>
    <row r="1339" spans="1:26" ht="51">
      <c r="A1339" s="1079">
        <v>91917</v>
      </c>
      <c r="B1339" s="1080" t="s">
        <v>14476</v>
      </c>
      <c r="C1339" s="1080" t="s">
        <v>7833</v>
      </c>
      <c r="D1339" s="1081" t="s">
        <v>6</v>
      </c>
      <c r="E1339" s="1082">
        <v>4</v>
      </c>
      <c r="F1339" s="1083">
        <v>25.97</v>
      </c>
      <c r="G1339" s="1083">
        <v>103.88</v>
      </c>
      <c r="H1339" s="1084">
        <f t="shared" si="15"/>
        <v>7.0555541017606399E-6</v>
      </c>
      <c r="I1339" s="1085">
        <f t="shared" si="17"/>
        <v>0.99908969156758087</v>
      </c>
      <c r="J1339" s="1085" t="str">
        <f t="shared" si="16"/>
        <v>C</v>
      </c>
      <c r="K1339" s="1036"/>
      <c r="L1339" s="1036"/>
      <c r="M1339" s="1036"/>
      <c r="N1339" s="1036"/>
      <c r="O1339" s="1036"/>
      <c r="P1339" s="1036"/>
      <c r="Q1339" s="1036"/>
      <c r="R1339" s="1036"/>
      <c r="S1339" s="1036"/>
      <c r="T1339" s="1036"/>
      <c r="U1339" s="1036"/>
      <c r="V1339" s="1036"/>
      <c r="W1339" s="1036"/>
      <c r="X1339" s="1036"/>
      <c r="Y1339" s="1036"/>
      <c r="Z1339" s="1036"/>
    </row>
    <row r="1340" spans="1:26" ht="25.5">
      <c r="A1340" s="1079" t="s">
        <v>14966</v>
      </c>
      <c r="B1340" s="1080" t="s">
        <v>14472</v>
      </c>
      <c r="C1340" s="1080" t="s">
        <v>14967</v>
      </c>
      <c r="D1340" s="1081" t="s">
        <v>50</v>
      </c>
      <c r="E1340" s="1082">
        <v>3.6</v>
      </c>
      <c r="F1340" s="1083">
        <v>28.78</v>
      </c>
      <c r="G1340" s="1083">
        <v>103.6</v>
      </c>
      <c r="H1340" s="1084">
        <f t="shared" si="15"/>
        <v>7.0365364357181582E-6</v>
      </c>
      <c r="I1340" s="1085">
        <f t="shared" si="17"/>
        <v>0.99909672810401662</v>
      </c>
      <c r="J1340" s="1085" t="str">
        <f t="shared" si="16"/>
        <v>C</v>
      </c>
      <c r="K1340" s="1036"/>
      <c r="L1340" s="1036"/>
      <c r="M1340" s="1036"/>
      <c r="N1340" s="1036"/>
      <c r="O1340" s="1036"/>
      <c r="P1340" s="1036"/>
      <c r="Q1340" s="1036"/>
      <c r="R1340" s="1036"/>
      <c r="S1340" s="1036"/>
      <c r="T1340" s="1036"/>
      <c r="U1340" s="1036"/>
      <c r="V1340" s="1036"/>
      <c r="W1340" s="1036"/>
      <c r="X1340" s="1036"/>
      <c r="Y1340" s="1036"/>
      <c r="Z1340" s="1036"/>
    </row>
    <row r="1341" spans="1:26" ht="25.5">
      <c r="A1341" s="1079" t="s">
        <v>14966</v>
      </c>
      <c r="B1341" s="1080" t="s">
        <v>14472</v>
      </c>
      <c r="C1341" s="1080" t="s">
        <v>14967</v>
      </c>
      <c r="D1341" s="1081" t="s">
        <v>50</v>
      </c>
      <c r="E1341" s="1082">
        <v>3.6</v>
      </c>
      <c r="F1341" s="1083">
        <v>28.78</v>
      </c>
      <c r="G1341" s="1083">
        <v>103.6</v>
      </c>
      <c r="H1341" s="1084">
        <f t="shared" si="15"/>
        <v>7.0365364357181582E-6</v>
      </c>
      <c r="I1341" s="1085">
        <f t="shared" si="17"/>
        <v>0.99910376464045236</v>
      </c>
      <c r="J1341" s="1085" t="str">
        <f t="shared" si="16"/>
        <v>C</v>
      </c>
      <c r="K1341" s="1036"/>
      <c r="L1341" s="1036"/>
      <c r="M1341" s="1036"/>
      <c r="N1341" s="1036"/>
      <c r="O1341" s="1036"/>
      <c r="P1341" s="1036"/>
      <c r="Q1341" s="1036"/>
      <c r="R1341" s="1036"/>
      <c r="S1341" s="1036"/>
      <c r="T1341" s="1036"/>
      <c r="U1341" s="1036"/>
      <c r="V1341" s="1036"/>
      <c r="W1341" s="1036"/>
      <c r="X1341" s="1036"/>
      <c r="Y1341" s="1036"/>
      <c r="Z1341" s="1036"/>
    </row>
    <row r="1342" spans="1:26" ht="38.25">
      <c r="A1342" s="1079">
        <v>89368</v>
      </c>
      <c r="B1342" s="1080" t="s">
        <v>14476</v>
      </c>
      <c r="C1342" s="1080" t="s">
        <v>8675</v>
      </c>
      <c r="D1342" s="1081" t="s">
        <v>6</v>
      </c>
      <c r="E1342" s="1082">
        <v>6</v>
      </c>
      <c r="F1342" s="1083">
        <v>17.18</v>
      </c>
      <c r="G1342" s="1083">
        <v>103.08</v>
      </c>
      <c r="H1342" s="1084">
        <f t="shared" si="15"/>
        <v>7.0012179130678355E-6</v>
      </c>
      <c r="I1342" s="1085">
        <f t="shared" si="17"/>
        <v>0.99911076585836545</v>
      </c>
      <c r="J1342" s="1085" t="str">
        <f t="shared" si="16"/>
        <v>C</v>
      </c>
      <c r="K1342" s="1036"/>
      <c r="L1342" s="1036"/>
      <c r="M1342" s="1036"/>
      <c r="N1342" s="1036"/>
      <c r="O1342" s="1036"/>
      <c r="P1342" s="1036"/>
      <c r="Q1342" s="1036"/>
      <c r="R1342" s="1036"/>
      <c r="S1342" s="1036"/>
      <c r="T1342" s="1036"/>
      <c r="U1342" s="1036"/>
      <c r="V1342" s="1036"/>
      <c r="W1342" s="1036"/>
      <c r="X1342" s="1036"/>
      <c r="Y1342" s="1036"/>
      <c r="Z1342" s="1036"/>
    </row>
    <row r="1343" spans="1:26" ht="38.25">
      <c r="A1343" s="1079">
        <v>104004</v>
      </c>
      <c r="B1343" s="1080" t="s">
        <v>14476</v>
      </c>
      <c r="C1343" s="1080" t="s">
        <v>9848</v>
      </c>
      <c r="D1343" s="1081" t="s">
        <v>6</v>
      </c>
      <c r="E1343" s="1082">
        <v>3</v>
      </c>
      <c r="F1343" s="1083">
        <v>34.33</v>
      </c>
      <c r="G1343" s="1083">
        <v>102.99</v>
      </c>
      <c r="H1343" s="1084">
        <f t="shared" si="15"/>
        <v>6.9951050918398951E-6</v>
      </c>
      <c r="I1343" s="1085">
        <f t="shared" si="17"/>
        <v>0.99911776096345728</v>
      </c>
      <c r="J1343" s="1085" t="str">
        <f t="shared" si="16"/>
        <v>C</v>
      </c>
      <c r="K1343" s="1036"/>
      <c r="L1343" s="1036"/>
      <c r="M1343" s="1036"/>
      <c r="N1343" s="1036"/>
      <c r="O1343" s="1036"/>
      <c r="P1343" s="1036"/>
      <c r="Q1343" s="1036"/>
      <c r="R1343" s="1036"/>
      <c r="S1343" s="1036"/>
      <c r="T1343" s="1036"/>
      <c r="U1343" s="1036"/>
      <c r="V1343" s="1036"/>
      <c r="W1343" s="1036"/>
      <c r="X1343" s="1036"/>
      <c r="Y1343" s="1036"/>
      <c r="Z1343" s="1036"/>
    </row>
    <row r="1344" spans="1:26" ht="38.25">
      <c r="A1344" s="1079">
        <v>97599</v>
      </c>
      <c r="B1344" s="1080" t="s">
        <v>14476</v>
      </c>
      <c r="C1344" s="1080" t="s">
        <v>8100</v>
      </c>
      <c r="D1344" s="1081" t="s">
        <v>6</v>
      </c>
      <c r="E1344" s="1082">
        <v>5</v>
      </c>
      <c r="F1344" s="1083">
        <v>20.55</v>
      </c>
      <c r="G1344" s="1083">
        <v>102.75</v>
      </c>
      <c r="H1344" s="1084">
        <f t="shared" si="15"/>
        <v>6.9788042352320542E-6</v>
      </c>
      <c r="I1344" s="1085">
        <f t="shared" si="17"/>
        <v>0.99912473976769256</v>
      </c>
      <c r="J1344" s="1085" t="str">
        <f t="shared" si="16"/>
        <v>C</v>
      </c>
      <c r="K1344" s="1036"/>
      <c r="L1344" s="1036"/>
      <c r="M1344" s="1036"/>
      <c r="N1344" s="1036"/>
      <c r="O1344" s="1036"/>
      <c r="P1344" s="1036"/>
      <c r="Q1344" s="1036"/>
      <c r="R1344" s="1036"/>
      <c r="S1344" s="1036"/>
      <c r="T1344" s="1036"/>
      <c r="U1344" s="1036"/>
      <c r="V1344" s="1036"/>
      <c r="W1344" s="1036"/>
      <c r="X1344" s="1036"/>
      <c r="Y1344" s="1036"/>
      <c r="Z1344" s="1036"/>
    </row>
    <row r="1345" spans="1:26" ht="38.25">
      <c r="A1345" s="1079">
        <v>97599</v>
      </c>
      <c r="B1345" s="1080" t="s">
        <v>14476</v>
      </c>
      <c r="C1345" s="1080" t="s">
        <v>8100</v>
      </c>
      <c r="D1345" s="1081" t="s">
        <v>6</v>
      </c>
      <c r="E1345" s="1082">
        <v>5</v>
      </c>
      <c r="F1345" s="1083">
        <v>20.55</v>
      </c>
      <c r="G1345" s="1083">
        <v>102.75</v>
      </c>
      <c r="H1345" s="1084">
        <f t="shared" si="15"/>
        <v>6.9788042352320542E-6</v>
      </c>
      <c r="I1345" s="1085">
        <f t="shared" si="17"/>
        <v>0.99913171857192784</v>
      </c>
      <c r="J1345" s="1085" t="str">
        <f t="shared" si="16"/>
        <v>C</v>
      </c>
      <c r="K1345" s="1036"/>
      <c r="L1345" s="1036"/>
      <c r="M1345" s="1036"/>
      <c r="N1345" s="1036"/>
      <c r="O1345" s="1036"/>
      <c r="P1345" s="1036"/>
      <c r="Q1345" s="1036"/>
      <c r="R1345" s="1036"/>
      <c r="S1345" s="1036"/>
      <c r="T1345" s="1036"/>
      <c r="U1345" s="1036"/>
      <c r="V1345" s="1036"/>
      <c r="W1345" s="1036"/>
      <c r="X1345" s="1036"/>
      <c r="Y1345" s="1036"/>
      <c r="Z1345" s="1036"/>
    </row>
    <row r="1346" spans="1:26" ht="51">
      <c r="A1346" s="1079" t="s">
        <v>15359</v>
      </c>
      <c r="B1346" s="1080" t="s">
        <v>14472</v>
      </c>
      <c r="C1346" s="1080" t="s">
        <v>15360</v>
      </c>
      <c r="D1346" s="1081" t="s">
        <v>6</v>
      </c>
      <c r="E1346" s="1082">
        <v>4</v>
      </c>
      <c r="F1346" s="1083">
        <v>25.6</v>
      </c>
      <c r="G1346" s="1083">
        <v>102.4</v>
      </c>
      <c r="H1346" s="1084">
        <f t="shared" si="15"/>
        <v>6.955032152678952E-6</v>
      </c>
      <c r="I1346" s="1085">
        <f t="shared" si="17"/>
        <v>0.99913867360408049</v>
      </c>
      <c r="J1346" s="1085" t="str">
        <f t="shared" si="16"/>
        <v>C</v>
      </c>
      <c r="K1346" s="1036"/>
      <c r="L1346" s="1036"/>
      <c r="M1346" s="1036"/>
      <c r="N1346" s="1036"/>
      <c r="O1346" s="1036"/>
      <c r="P1346" s="1036"/>
      <c r="Q1346" s="1036"/>
      <c r="R1346" s="1036"/>
      <c r="S1346" s="1036"/>
      <c r="T1346" s="1036"/>
      <c r="U1346" s="1036"/>
      <c r="V1346" s="1036"/>
      <c r="W1346" s="1036"/>
      <c r="X1346" s="1036"/>
      <c r="Y1346" s="1036"/>
      <c r="Z1346" s="1036"/>
    </row>
    <row r="1347" spans="1:26" ht="25.5">
      <c r="A1347" s="1079">
        <v>101616</v>
      </c>
      <c r="B1347" s="1080" t="s">
        <v>14476</v>
      </c>
      <c r="C1347" s="1080" t="s">
        <v>10747</v>
      </c>
      <c r="D1347" s="1081" t="s">
        <v>409</v>
      </c>
      <c r="E1347" s="1082">
        <v>13.75</v>
      </c>
      <c r="F1347" s="1083">
        <v>7.37</v>
      </c>
      <c r="G1347" s="1083">
        <v>101.33</v>
      </c>
      <c r="H1347" s="1084">
        <f t="shared" si="15"/>
        <v>6.8823575003023263E-6</v>
      </c>
      <c r="I1347" s="1085">
        <f t="shared" si="17"/>
        <v>0.99914555596158083</v>
      </c>
      <c r="J1347" s="1085" t="str">
        <f t="shared" si="16"/>
        <v>C</v>
      </c>
      <c r="K1347" s="1036"/>
      <c r="L1347" s="1036"/>
      <c r="M1347" s="1036"/>
      <c r="N1347" s="1036"/>
      <c r="O1347" s="1036"/>
      <c r="P1347" s="1036"/>
      <c r="Q1347" s="1036"/>
      <c r="R1347" s="1036"/>
      <c r="S1347" s="1036"/>
      <c r="T1347" s="1036"/>
      <c r="U1347" s="1036"/>
      <c r="V1347" s="1036"/>
      <c r="W1347" s="1036"/>
      <c r="X1347" s="1036"/>
      <c r="Y1347" s="1036"/>
      <c r="Z1347" s="1036"/>
    </row>
    <row r="1348" spans="1:26" ht="38.25">
      <c r="A1348" s="1079">
        <v>89362</v>
      </c>
      <c r="B1348" s="1080" t="s">
        <v>14476</v>
      </c>
      <c r="C1348" s="1080" t="s">
        <v>8669</v>
      </c>
      <c r="D1348" s="1081" t="s">
        <v>6</v>
      </c>
      <c r="E1348" s="1082">
        <v>9</v>
      </c>
      <c r="F1348" s="1083">
        <v>11.23</v>
      </c>
      <c r="G1348" s="1083">
        <v>101.07</v>
      </c>
      <c r="H1348" s="1084">
        <f t="shared" si="15"/>
        <v>6.8646982389771646E-6</v>
      </c>
      <c r="I1348" s="1085">
        <f t="shared" si="17"/>
        <v>0.9991524206598198</v>
      </c>
      <c r="J1348" s="1085" t="str">
        <f t="shared" si="16"/>
        <v>C</v>
      </c>
      <c r="K1348" s="1036"/>
      <c r="L1348" s="1036"/>
      <c r="M1348" s="1036"/>
      <c r="N1348" s="1036"/>
      <c r="O1348" s="1036"/>
      <c r="P1348" s="1036"/>
      <c r="Q1348" s="1036"/>
      <c r="R1348" s="1036"/>
      <c r="S1348" s="1036"/>
      <c r="T1348" s="1036"/>
      <c r="U1348" s="1036"/>
      <c r="V1348" s="1036"/>
      <c r="W1348" s="1036"/>
      <c r="X1348" s="1036"/>
      <c r="Y1348" s="1036"/>
      <c r="Z1348" s="1036"/>
    </row>
    <row r="1349" spans="1:26" ht="25.5">
      <c r="A1349" s="1079">
        <v>94796</v>
      </c>
      <c r="B1349" s="1080" t="s">
        <v>14476</v>
      </c>
      <c r="C1349" s="1080" t="s">
        <v>10263</v>
      </c>
      <c r="D1349" s="1081" t="s">
        <v>6</v>
      </c>
      <c r="E1349" s="1082">
        <v>2</v>
      </c>
      <c r="F1349" s="1083">
        <v>50.33</v>
      </c>
      <c r="G1349" s="1083">
        <v>100.66</v>
      </c>
      <c r="H1349" s="1084">
        <f t="shared" si="15"/>
        <v>6.8368509422721024E-6</v>
      </c>
      <c r="I1349" s="1085">
        <f t="shared" si="17"/>
        <v>0.99915925751076207</v>
      </c>
      <c r="J1349" s="1085" t="str">
        <f t="shared" si="16"/>
        <v>C</v>
      </c>
      <c r="K1349" s="1036"/>
      <c r="L1349" s="1036"/>
      <c r="M1349" s="1036"/>
      <c r="N1349" s="1036"/>
      <c r="O1349" s="1036"/>
      <c r="P1349" s="1036"/>
      <c r="Q1349" s="1036"/>
      <c r="R1349" s="1036"/>
      <c r="S1349" s="1036"/>
      <c r="T1349" s="1036"/>
      <c r="U1349" s="1036"/>
      <c r="V1349" s="1036"/>
      <c r="W1349" s="1036"/>
      <c r="X1349" s="1036"/>
      <c r="Y1349" s="1036"/>
      <c r="Z1349" s="1036"/>
    </row>
    <row r="1350" spans="1:26" ht="51">
      <c r="A1350" s="1079">
        <v>89744</v>
      </c>
      <c r="B1350" s="1080" t="s">
        <v>14476</v>
      </c>
      <c r="C1350" s="1080" t="s">
        <v>8957</v>
      </c>
      <c r="D1350" s="1081" t="s">
        <v>6</v>
      </c>
      <c r="E1350" s="1082">
        <v>3</v>
      </c>
      <c r="F1350" s="1083">
        <v>33.520000000000003</v>
      </c>
      <c r="G1350" s="1083">
        <v>100.56</v>
      </c>
      <c r="H1350" s="1084">
        <f t="shared" si="15"/>
        <v>6.8300589186855024E-6</v>
      </c>
      <c r="I1350" s="1085">
        <f t="shared" si="17"/>
        <v>0.99916608756968073</v>
      </c>
      <c r="J1350" s="1085" t="str">
        <f t="shared" si="16"/>
        <v>C</v>
      </c>
      <c r="K1350" s="1036"/>
      <c r="L1350" s="1036"/>
      <c r="M1350" s="1036"/>
      <c r="N1350" s="1036"/>
      <c r="O1350" s="1036"/>
      <c r="P1350" s="1036"/>
      <c r="Q1350" s="1036"/>
      <c r="R1350" s="1036"/>
      <c r="S1350" s="1036"/>
      <c r="T1350" s="1036"/>
      <c r="U1350" s="1036"/>
      <c r="V1350" s="1036"/>
      <c r="W1350" s="1036"/>
      <c r="X1350" s="1036"/>
      <c r="Y1350" s="1036"/>
      <c r="Z1350" s="1036"/>
    </row>
    <row r="1351" spans="1:26" ht="51">
      <c r="A1351" s="1079">
        <v>89744</v>
      </c>
      <c r="B1351" s="1080" t="s">
        <v>14476</v>
      </c>
      <c r="C1351" s="1080" t="s">
        <v>8957</v>
      </c>
      <c r="D1351" s="1081" t="s">
        <v>6</v>
      </c>
      <c r="E1351" s="1082">
        <v>3</v>
      </c>
      <c r="F1351" s="1083">
        <v>33.520000000000003</v>
      </c>
      <c r="G1351" s="1083">
        <v>100.56</v>
      </c>
      <c r="H1351" s="1084">
        <f t="shared" si="15"/>
        <v>6.8300589186855024E-6</v>
      </c>
      <c r="I1351" s="1085">
        <f t="shared" si="17"/>
        <v>0.99917291762859939</v>
      </c>
      <c r="J1351" s="1085" t="str">
        <f t="shared" si="16"/>
        <v>C</v>
      </c>
      <c r="K1351" s="1036"/>
      <c r="L1351" s="1036"/>
      <c r="M1351" s="1036"/>
      <c r="N1351" s="1036"/>
      <c r="O1351" s="1036"/>
      <c r="P1351" s="1036"/>
      <c r="Q1351" s="1036"/>
      <c r="R1351" s="1036"/>
      <c r="S1351" s="1036"/>
      <c r="T1351" s="1036"/>
      <c r="U1351" s="1036"/>
      <c r="V1351" s="1036"/>
      <c r="W1351" s="1036"/>
      <c r="X1351" s="1036"/>
      <c r="Y1351" s="1036"/>
      <c r="Z1351" s="1036"/>
    </row>
    <row r="1352" spans="1:26" ht="51">
      <c r="A1352" s="1079">
        <v>89744</v>
      </c>
      <c r="B1352" s="1080" t="s">
        <v>14476</v>
      </c>
      <c r="C1352" s="1080" t="s">
        <v>8957</v>
      </c>
      <c r="D1352" s="1081" t="s">
        <v>6</v>
      </c>
      <c r="E1352" s="1082">
        <v>3</v>
      </c>
      <c r="F1352" s="1083">
        <v>33.520000000000003</v>
      </c>
      <c r="G1352" s="1083">
        <v>100.56</v>
      </c>
      <c r="H1352" s="1084">
        <f t="shared" si="15"/>
        <v>6.8300589186855024E-6</v>
      </c>
      <c r="I1352" s="1085">
        <f t="shared" si="17"/>
        <v>0.99917974768751805</v>
      </c>
      <c r="J1352" s="1085" t="str">
        <f t="shared" si="16"/>
        <v>C</v>
      </c>
      <c r="K1352" s="1036"/>
      <c r="L1352" s="1036"/>
      <c r="M1352" s="1036"/>
      <c r="N1352" s="1036"/>
      <c r="O1352" s="1036"/>
      <c r="P1352" s="1036"/>
      <c r="Q1352" s="1036"/>
      <c r="R1352" s="1036"/>
      <c r="S1352" s="1036"/>
      <c r="T1352" s="1036"/>
      <c r="U1352" s="1036"/>
      <c r="V1352" s="1036"/>
      <c r="W1352" s="1036"/>
      <c r="X1352" s="1036"/>
      <c r="Y1352" s="1036"/>
      <c r="Z1352" s="1036"/>
    </row>
    <row r="1353" spans="1:26" ht="38.25">
      <c r="A1353" s="1079">
        <v>95583</v>
      </c>
      <c r="B1353" s="1080" t="s">
        <v>14476</v>
      </c>
      <c r="C1353" s="1080" t="s">
        <v>7483</v>
      </c>
      <c r="D1353" s="1081" t="s">
        <v>54</v>
      </c>
      <c r="E1353" s="1082">
        <v>4.8</v>
      </c>
      <c r="F1353" s="1083">
        <v>20.87</v>
      </c>
      <c r="G1353" s="1083">
        <v>100.17</v>
      </c>
      <c r="H1353" s="1084">
        <f t="shared" si="15"/>
        <v>6.8035700266977602E-6</v>
      </c>
      <c r="I1353" s="1085">
        <f t="shared" si="17"/>
        <v>0.99918655125754474</v>
      </c>
      <c r="J1353" s="1085" t="str">
        <f t="shared" si="16"/>
        <v>C</v>
      </c>
      <c r="K1353" s="1036"/>
      <c r="L1353" s="1036"/>
      <c r="M1353" s="1036"/>
      <c r="N1353" s="1036"/>
      <c r="O1353" s="1036"/>
      <c r="P1353" s="1036"/>
      <c r="Q1353" s="1036"/>
      <c r="R1353" s="1036"/>
      <c r="S1353" s="1036"/>
      <c r="T1353" s="1036"/>
      <c r="U1353" s="1036"/>
      <c r="V1353" s="1036"/>
      <c r="W1353" s="1036"/>
      <c r="X1353" s="1036"/>
      <c r="Y1353" s="1036"/>
      <c r="Z1353" s="1036"/>
    </row>
    <row r="1354" spans="1:26" ht="38.25">
      <c r="A1354" s="1079">
        <v>89443</v>
      </c>
      <c r="B1354" s="1080" t="s">
        <v>14476</v>
      </c>
      <c r="C1354" s="1080" t="s">
        <v>8743</v>
      </c>
      <c r="D1354" s="1081" t="s">
        <v>6</v>
      </c>
      <c r="E1354" s="1082">
        <v>5</v>
      </c>
      <c r="F1354" s="1083">
        <v>19.91</v>
      </c>
      <c r="G1354" s="1083">
        <v>99.55</v>
      </c>
      <c r="H1354" s="1084">
        <f t="shared" si="15"/>
        <v>6.7614594804608367E-6</v>
      </c>
      <c r="I1354" s="1085">
        <f t="shared" si="17"/>
        <v>0.99919331271702516</v>
      </c>
      <c r="J1354" s="1085" t="str">
        <f t="shared" si="16"/>
        <v>C</v>
      </c>
      <c r="K1354" s="1036"/>
      <c r="L1354" s="1036"/>
      <c r="M1354" s="1036"/>
      <c r="N1354" s="1036"/>
      <c r="O1354" s="1036"/>
      <c r="P1354" s="1036"/>
      <c r="Q1354" s="1036"/>
      <c r="R1354" s="1036"/>
      <c r="S1354" s="1036"/>
      <c r="T1354" s="1036"/>
      <c r="U1354" s="1036"/>
      <c r="V1354" s="1036"/>
      <c r="W1354" s="1036"/>
      <c r="X1354" s="1036"/>
      <c r="Y1354" s="1036"/>
      <c r="Z1354" s="1036"/>
    </row>
    <row r="1355" spans="1:26" ht="38.25">
      <c r="A1355" s="1079">
        <v>89443</v>
      </c>
      <c r="B1355" s="1080" t="s">
        <v>14476</v>
      </c>
      <c r="C1355" s="1080" t="s">
        <v>8743</v>
      </c>
      <c r="D1355" s="1081" t="s">
        <v>6</v>
      </c>
      <c r="E1355" s="1082">
        <v>5</v>
      </c>
      <c r="F1355" s="1083">
        <v>19.91</v>
      </c>
      <c r="G1355" s="1083">
        <v>99.55</v>
      </c>
      <c r="H1355" s="1084">
        <f t="shared" si="15"/>
        <v>6.7614594804608367E-6</v>
      </c>
      <c r="I1355" s="1085">
        <f t="shared" si="17"/>
        <v>0.99920007417650558</v>
      </c>
      <c r="J1355" s="1085" t="str">
        <f t="shared" si="16"/>
        <v>C</v>
      </c>
      <c r="K1355" s="1036"/>
      <c r="L1355" s="1036"/>
      <c r="M1355" s="1036"/>
      <c r="N1355" s="1036"/>
      <c r="O1355" s="1036"/>
      <c r="P1355" s="1036"/>
      <c r="Q1355" s="1036"/>
      <c r="R1355" s="1036"/>
      <c r="S1355" s="1036"/>
      <c r="T1355" s="1036"/>
      <c r="U1355" s="1036"/>
      <c r="V1355" s="1036"/>
      <c r="W1355" s="1036"/>
      <c r="X1355" s="1036"/>
      <c r="Y1355" s="1036"/>
      <c r="Z1355" s="1036"/>
    </row>
    <row r="1356" spans="1:26" ht="38.25">
      <c r="A1356" s="1079">
        <v>93657</v>
      </c>
      <c r="B1356" s="1080" t="s">
        <v>14476</v>
      </c>
      <c r="C1356" s="1080" t="s">
        <v>7958</v>
      </c>
      <c r="D1356" s="1081" t="s">
        <v>6</v>
      </c>
      <c r="E1356" s="1082">
        <v>5</v>
      </c>
      <c r="F1356" s="1083">
        <v>19.18</v>
      </c>
      <c r="G1356" s="1083">
        <v>95.9</v>
      </c>
      <c r="H1356" s="1084">
        <f t="shared" si="15"/>
        <v>6.513550619549917E-6</v>
      </c>
      <c r="I1356" s="1085">
        <f t="shared" si="17"/>
        <v>0.99920658772712512</v>
      </c>
      <c r="J1356" s="1085" t="str">
        <f t="shared" si="16"/>
        <v>C</v>
      </c>
      <c r="K1356" s="1036"/>
      <c r="L1356" s="1036"/>
      <c r="M1356" s="1036"/>
      <c r="N1356" s="1036"/>
      <c r="O1356" s="1036"/>
      <c r="P1356" s="1036"/>
      <c r="Q1356" s="1036"/>
      <c r="R1356" s="1036"/>
      <c r="S1356" s="1036"/>
      <c r="T1356" s="1036"/>
      <c r="U1356" s="1036"/>
      <c r="V1356" s="1036"/>
      <c r="W1356" s="1036"/>
      <c r="X1356" s="1036"/>
      <c r="Y1356" s="1036"/>
      <c r="Z1356" s="1036"/>
    </row>
    <row r="1357" spans="1:26" ht="38.25">
      <c r="A1357" s="1079">
        <v>91884</v>
      </c>
      <c r="B1357" s="1080" t="s">
        <v>14476</v>
      </c>
      <c r="C1357" s="1080" t="s">
        <v>7810</v>
      </c>
      <c r="D1357" s="1081" t="s">
        <v>6</v>
      </c>
      <c r="E1357" s="1082">
        <v>7</v>
      </c>
      <c r="F1357" s="1083">
        <v>13.68</v>
      </c>
      <c r="G1357" s="1083">
        <v>95.76</v>
      </c>
      <c r="H1357" s="1084">
        <f t="shared" si="15"/>
        <v>6.504041786528677E-6</v>
      </c>
      <c r="I1357" s="1085">
        <f t="shared" si="17"/>
        <v>0.9992130917689116</v>
      </c>
      <c r="J1357" s="1085" t="str">
        <f t="shared" si="16"/>
        <v>C</v>
      </c>
      <c r="K1357" s="1036"/>
      <c r="L1357" s="1036"/>
      <c r="M1357" s="1036"/>
      <c r="N1357" s="1036"/>
      <c r="O1357" s="1036"/>
      <c r="P1357" s="1036"/>
      <c r="Q1357" s="1036"/>
      <c r="R1357" s="1036"/>
      <c r="S1357" s="1036"/>
      <c r="T1357" s="1036"/>
      <c r="U1357" s="1036"/>
      <c r="V1357" s="1036"/>
      <c r="W1357" s="1036"/>
      <c r="X1357" s="1036"/>
      <c r="Y1357" s="1036"/>
      <c r="Z1357" s="1036"/>
    </row>
    <row r="1358" spans="1:26" ht="25.5">
      <c r="A1358" s="1079" t="s">
        <v>15143</v>
      </c>
      <c r="B1358" s="1080" t="s">
        <v>14472</v>
      </c>
      <c r="C1358" s="1080" t="s">
        <v>15144</v>
      </c>
      <c r="D1358" s="1081" t="s">
        <v>6</v>
      </c>
      <c r="E1358" s="1082">
        <v>4</v>
      </c>
      <c r="F1358" s="1083">
        <v>23.93</v>
      </c>
      <c r="G1358" s="1083">
        <v>95.72</v>
      </c>
      <c r="H1358" s="1084">
        <f t="shared" si="15"/>
        <v>6.5013249770940361E-6</v>
      </c>
      <c r="I1358" s="1085">
        <f t="shared" si="17"/>
        <v>0.99921959309388875</v>
      </c>
      <c r="J1358" s="1085" t="str">
        <f t="shared" si="16"/>
        <v>C</v>
      </c>
      <c r="K1358" s="1036"/>
      <c r="L1358" s="1036"/>
      <c r="M1358" s="1036"/>
      <c r="N1358" s="1036"/>
      <c r="O1358" s="1036"/>
      <c r="P1358" s="1036"/>
      <c r="Q1358" s="1036"/>
      <c r="R1358" s="1036"/>
      <c r="S1358" s="1036"/>
      <c r="T1358" s="1036"/>
      <c r="U1358" s="1036"/>
      <c r="V1358" s="1036"/>
      <c r="W1358" s="1036"/>
      <c r="X1358" s="1036"/>
      <c r="Y1358" s="1036"/>
      <c r="Z1358" s="1036"/>
    </row>
    <row r="1359" spans="1:26" ht="51">
      <c r="A1359" s="1079">
        <v>91857</v>
      </c>
      <c r="B1359" s="1080" t="s">
        <v>14476</v>
      </c>
      <c r="C1359" s="1080" t="s">
        <v>7773</v>
      </c>
      <c r="D1359" s="1081" t="s">
        <v>50</v>
      </c>
      <c r="E1359" s="1082">
        <v>5</v>
      </c>
      <c r="F1359" s="1083">
        <v>18.93</v>
      </c>
      <c r="G1359" s="1083">
        <v>94.65</v>
      </c>
      <c r="H1359" s="1084">
        <f t="shared" si="15"/>
        <v>6.4286503247174104E-6</v>
      </c>
      <c r="I1359" s="1085">
        <f t="shared" si="17"/>
        <v>0.99922602174421349</v>
      </c>
      <c r="J1359" s="1085" t="str">
        <f t="shared" si="16"/>
        <v>C</v>
      </c>
      <c r="K1359" s="1036"/>
      <c r="L1359" s="1036"/>
      <c r="M1359" s="1036"/>
      <c r="N1359" s="1036"/>
      <c r="O1359" s="1036"/>
      <c r="P1359" s="1036"/>
      <c r="Q1359" s="1036"/>
      <c r="R1359" s="1036"/>
      <c r="S1359" s="1036"/>
      <c r="T1359" s="1036"/>
      <c r="U1359" s="1036"/>
      <c r="V1359" s="1036"/>
      <c r="W1359" s="1036"/>
      <c r="X1359" s="1036"/>
      <c r="Y1359" s="1036"/>
      <c r="Z1359" s="1036"/>
    </row>
    <row r="1360" spans="1:26" ht="25.5">
      <c r="A1360" s="1079">
        <v>96616</v>
      </c>
      <c r="B1360" s="1080" t="s">
        <v>14476</v>
      </c>
      <c r="C1360" s="1080" t="s">
        <v>7163</v>
      </c>
      <c r="D1360" s="1081" t="s">
        <v>152</v>
      </c>
      <c r="E1360" s="1082">
        <v>0.09</v>
      </c>
      <c r="F1360" s="1083">
        <v>1048.5999999999999</v>
      </c>
      <c r="G1360" s="1083">
        <v>94.37</v>
      </c>
      <c r="H1360" s="1084">
        <f t="shared" si="15"/>
        <v>6.4096326586749287E-6</v>
      </c>
      <c r="I1360" s="1085">
        <f t="shared" si="17"/>
        <v>0.99923243137687212</v>
      </c>
      <c r="J1360" s="1085" t="str">
        <f t="shared" si="16"/>
        <v>C</v>
      </c>
      <c r="K1360" s="1036"/>
      <c r="L1360" s="1036"/>
      <c r="M1360" s="1036"/>
      <c r="N1360" s="1036"/>
      <c r="O1360" s="1036"/>
      <c r="P1360" s="1036"/>
      <c r="Q1360" s="1036"/>
      <c r="R1360" s="1036"/>
      <c r="S1360" s="1036"/>
      <c r="T1360" s="1036"/>
      <c r="U1360" s="1036"/>
      <c r="V1360" s="1036"/>
      <c r="W1360" s="1036"/>
      <c r="X1360" s="1036"/>
      <c r="Y1360" s="1036"/>
      <c r="Z1360" s="1036"/>
    </row>
    <row r="1361" spans="1:26" ht="38.25">
      <c r="A1361" s="1079">
        <v>93654</v>
      </c>
      <c r="B1361" s="1080" t="s">
        <v>14476</v>
      </c>
      <c r="C1361" s="1080" t="s">
        <v>7955</v>
      </c>
      <c r="D1361" s="1081" t="s">
        <v>6</v>
      </c>
      <c r="E1361" s="1082">
        <v>6</v>
      </c>
      <c r="F1361" s="1083">
        <v>15.68</v>
      </c>
      <c r="G1361" s="1083">
        <v>94.08</v>
      </c>
      <c r="H1361" s="1084">
        <f t="shared" si="15"/>
        <v>6.3899357902737873E-6</v>
      </c>
      <c r="I1361" s="1085">
        <f t="shared" si="17"/>
        <v>0.9992388213126624</v>
      </c>
      <c r="J1361" s="1085" t="str">
        <f t="shared" si="16"/>
        <v>C</v>
      </c>
      <c r="K1361" s="1036"/>
      <c r="L1361" s="1036"/>
      <c r="M1361" s="1036"/>
      <c r="N1361" s="1036"/>
      <c r="O1361" s="1036"/>
      <c r="P1361" s="1036"/>
      <c r="Q1361" s="1036"/>
      <c r="R1361" s="1036"/>
      <c r="S1361" s="1036"/>
      <c r="T1361" s="1036"/>
      <c r="U1361" s="1036"/>
      <c r="V1361" s="1036"/>
      <c r="W1361" s="1036"/>
      <c r="X1361" s="1036"/>
      <c r="Y1361" s="1036"/>
      <c r="Z1361" s="1036"/>
    </row>
    <row r="1362" spans="1:26" ht="25.5">
      <c r="A1362" s="1079">
        <v>101616</v>
      </c>
      <c r="B1362" s="1080" t="s">
        <v>14476</v>
      </c>
      <c r="C1362" s="1080" t="s">
        <v>10747</v>
      </c>
      <c r="D1362" s="1081" t="s">
        <v>409</v>
      </c>
      <c r="E1362" s="1082">
        <v>12.69</v>
      </c>
      <c r="F1362" s="1083">
        <v>7.37</v>
      </c>
      <c r="G1362" s="1083">
        <v>93.52</v>
      </c>
      <c r="H1362" s="1084">
        <f t="shared" si="15"/>
        <v>6.3519004581888238E-6</v>
      </c>
      <c r="I1362" s="1085">
        <f t="shared" si="17"/>
        <v>0.99924517321312056</v>
      </c>
      <c r="J1362" s="1085" t="str">
        <f t="shared" si="16"/>
        <v>C</v>
      </c>
      <c r="K1362" s="1036"/>
      <c r="L1362" s="1036"/>
      <c r="M1362" s="1036"/>
      <c r="N1362" s="1036"/>
      <c r="O1362" s="1036"/>
      <c r="P1362" s="1036"/>
      <c r="Q1362" s="1036"/>
      <c r="R1362" s="1036"/>
      <c r="S1362" s="1036"/>
      <c r="T1362" s="1036"/>
      <c r="U1362" s="1036"/>
      <c r="V1362" s="1036"/>
      <c r="W1362" s="1036"/>
      <c r="X1362" s="1036"/>
      <c r="Y1362" s="1036"/>
      <c r="Z1362" s="1036"/>
    </row>
    <row r="1363" spans="1:26" ht="25.5">
      <c r="A1363" s="1079" t="s">
        <v>15145</v>
      </c>
      <c r="B1363" s="1080" t="s">
        <v>14472</v>
      </c>
      <c r="C1363" s="1080" t="s">
        <v>15146</v>
      </c>
      <c r="D1363" s="1081" t="s">
        <v>6</v>
      </c>
      <c r="E1363" s="1082">
        <v>8</v>
      </c>
      <c r="F1363" s="1083">
        <v>11.68</v>
      </c>
      <c r="G1363" s="1083">
        <v>93.44</v>
      </c>
      <c r="H1363" s="1084">
        <f t="shared" si="15"/>
        <v>6.3464668393195438E-6</v>
      </c>
      <c r="I1363" s="1085">
        <f t="shared" si="17"/>
        <v>0.99925151967995984</v>
      </c>
      <c r="J1363" s="1085" t="str">
        <f t="shared" si="16"/>
        <v>C</v>
      </c>
      <c r="K1363" s="1036"/>
      <c r="L1363" s="1036"/>
      <c r="M1363" s="1036"/>
      <c r="N1363" s="1036"/>
      <c r="O1363" s="1036"/>
      <c r="P1363" s="1036"/>
      <c r="Q1363" s="1036"/>
      <c r="R1363" s="1036"/>
      <c r="S1363" s="1036"/>
      <c r="T1363" s="1036"/>
      <c r="U1363" s="1036"/>
      <c r="V1363" s="1036"/>
      <c r="W1363" s="1036"/>
      <c r="X1363" s="1036"/>
      <c r="Y1363" s="1036"/>
      <c r="Z1363" s="1036"/>
    </row>
    <row r="1364" spans="1:26" ht="38.25">
      <c r="A1364" s="1079">
        <v>94489</v>
      </c>
      <c r="B1364" s="1080" t="s">
        <v>14476</v>
      </c>
      <c r="C1364" s="1080" t="s">
        <v>16024</v>
      </c>
      <c r="D1364" s="1081" t="s">
        <v>6</v>
      </c>
      <c r="E1364" s="1082">
        <v>3</v>
      </c>
      <c r="F1364" s="1083">
        <v>31.03</v>
      </c>
      <c r="G1364" s="1083">
        <v>93.09</v>
      </c>
      <c r="H1364" s="1084">
        <f t="shared" si="15"/>
        <v>6.3226947567664425E-6</v>
      </c>
      <c r="I1364" s="1085">
        <f t="shared" si="17"/>
        <v>0.9992578423747166</v>
      </c>
      <c r="J1364" s="1085" t="str">
        <f t="shared" si="16"/>
        <v>C</v>
      </c>
      <c r="K1364" s="1036"/>
      <c r="L1364" s="1036"/>
      <c r="M1364" s="1036"/>
      <c r="N1364" s="1036"/>
      <c r="O1364" s="1036"/>
      <c r="P1364" s="1036"/>
      <c r="Q1364" s="1036"/>
      <c r="R1364" s="1036"/>
      <c r="S1364" s="1036"/>
      <c r="T1364" s="1036"/>
      <c r="U1364" s="1036"/>
      <c r="V1364" s="1036"/>
      <c r="W1364" s="1036"/>
      <c r="X1364" s="1036"/>
      <c r="Y1364" s="1036"/>
      <c r="Z1364" s="1036"/>
    </row>
    <row r="1365" spans="1:26" ht="63.75">
      <c r="A1365" s="1079">
        <v>104341</v>
      </c>
      <c r="B1365" s="1080" t="s">
        <v>14476</v>
      </c>
      <c r="C1365" s="1080" t="s">
        <v>9904</v>
      </c>
      <c r="D1365" s="1081" t="s">
        <v>6</v>
      </c>
      <c r="E1365" s="1082">
        <v>7</v>
      </c>
      <c r="F1365" s="1083">
        <v>13.27</v>
      </c>
      <c r="G1365" s="1083">
        <v>92.89</v>
      </c>
      <c r="H1365" s="1084">
        <f t="shared" si="15"/>
        <v>6.3091107095932408E-6</v>
      </c>
      <c r="I1365" s="1085">
        <f t="shared" si="17"/>
        <v>0.99926415148542624</v>
      </c>
      <c r="J1365" s="1085" t="str">
        <f t="shared" si="16"/>
        <v>C</v>
      </c>
      <c r="K1365" s="1036"/>
      <c r="L1365" s="1036"/>
      <c r="M1365" s="1036"/>
      <c r="N1365" s="1036"/>
      <c r="O1365" s="1036"/>
      <c r="P1365" s="1036"/>
      <c r="Q1365" s="1036"/>
      <c r="R1365" s="1036"/>
      <c r="S1365" s="1036"/>
      <c r="T1365" s="1036"/>
      <c r="U1365" s="1036"/>
      <c r="V1365" s="1036"/>
      <c r="W1365" s="1036"/>
      <c r="X1365" s="1036"/>
      <c r="Y1365" s="1036"/>
      <c r="Z1365" s="1036"/>
    </row>
    <row r="1366" spans="1:26" ht="25.5">
      <c r="A1366" s="1079" t="s">
        <v>15280</v>
      </c>
      <c r="B1366" s="1080" t="s">
        <v>14472</v>
      </c>
      <c r="C1366" s="1080" t="s">
        <v>15281</v>
      </c>
      <c r="D1366" s="1081" t="s">
        <v>6</v>
      </c>
      <c r="E1366" s="1082">
        <v>1</v>
      </c>
      <c r="F1366" s="1083">
        <v>91.88</v>
      </c>
      <c r="G1366" s="1083">
        <v>91.88</v>
      </c>
      <c r="H1366" s="1084">
        <f t="shared" si="15"/>
        <v>6.2405112713685751E-6</v>
      </c>
      <c r="I1366" s="1085">
        <f t="shared" si="17"/>
        <v>0.99927039199669765</v>
      </c>
      <c r="J1366" s="1085" t="str">
        <f t="shared" si="16"/>
        <v>C</v>
      </c>
      <c r="K1366" s="1036"/>
      <c r="L1366" s="1036"/>
      <c r="M1366" s="1036"/>
      <c r="N1366" s="1036"/>
      <c r="O1366" s="1036"/>
      <c r="P1366" s="1036"/>
      <c r="Q1366" s="1036"/>
      <c r="R1366" s="1036"/>
      <c r="S1366" s="1036"/>
      <c r="T1366" s="1036"/>
      <c r="U1366" s="1036"/>
      <c r="V1366" s="1036"/>
      <c r="W1366" s="1036"/>
      <c r="X1366" s="1036"/>
      <c r="Y1366" s="1036"/>
      <c r="Z1366" s="1036"/>
    </row>
    <row r="1367" spans="1:26" ht="25.5">
      <c r="A1367" s="1079" t="s">
        <v>15280</v>
      </c>
      <c r="B1367" s="1080" t="s">
        <v>14472</v>
      </c>
      <c r="C1367" s="1080" t="s">
        <v>15281</v>
      </c>
      <c r="D1367" s="1081" t="s">
        <v>6</v>
      </c>
      <c r="E1367" s="1082">
        <v>1</v>
      </c>
      <c r="F1367" s="1083">
        <v>91.88</v>
      </c>
      <c r="G1367" s="1083">
        <v>91.88</v>
      </c>
      <c r="H1367" s="1084">
        <f t="shared" si="15"/>
        <v>6.2405112713685751E-6</v>
      </c>
      <c r="I1367" s="1085">
        <f t="shared" si="17"/>
        <v>0.99927663250796905</v>
      </c>
      <c r="J1367" s="1085" t="str">
        <f t="shared" si="16"/>
        <v>C</v>
      </c>
      <c r="K1367" s="1036"/>
      <c r="L1367" s="1036"/>
      <c r="M1367" s="1036"/>
      <c r="N1367" s="1036"/>
      <c r="O1367" s="1036"/>
      <c r="P1367" s="1036"/>
      <c r="Q1367" s="1036"/>
      <c r="R1367" s="1036"/>
      <c r="S1367" s="1036"/>
      <c r="T1367" s="1036"/>
      <c r="U1367" s="1036"/>
      <c r="V1367" s="1036"/>
      <c r="W1367" s="1036"/>
      <c r="X1367" s="1036"/>
      <c r="Y1367" s="1036"/>
      <c r="Z1367" s="1036"/>
    </row>
    <row r="1368" spans="1:26" ht="25.5">
      <c r="A1368" s="1079" t="s">
        <v>15372</v>
      </c>
      <c r="B1368" s="1080" t="s">
        <v>14472</v>
      </c>
      <c r="C1368" s="1080" t="s">
        <v>15373</v>
      </c>
      <c r="D1368" s="1081" t="s">
        <v>6</v>
      </c>
      <c r="E1368" s="1082">
        <v>4</v>
      </c>
      <c r="F1368" s="1083">
        <v>22.92</v>
      </c>
      <c r="G1368" s="1083">
        <v>91.68</v>
      </c>
      <c r="H1368" s="1084">
        <f t="shared" si="15"/>
        <v>6.226927224195375E-6</v>
      </c>
      <c r="I1368" s="1085">
        <f t="shared" si="17"/>
        <v>0.99928285943519324</v>
      </c>
      <c r="J1368" s="1085" t="str">
        <f t="shared" si="16"/>
        <v>C</v>
      </c>
      <c r="K1368" s="1036"/>
      <c r="L1368" s="1036"/>
      <c r="M1368" s="1036"/>
      <c r="N1368" s="1036"/>
      <c r="O1368" s="1036"/>
      <c r="P1368" s="1036"/>
      <c r="Q1368" s="1036"/>
      <c r="R1368" s="1036"/>
      <c r="S1368" s="1036"/>
      <c r="T1368" s="1036"/>
      <c r="U1368" s="1036"/>
      <c r="V1368" s="1036"/>
      <c r="W1368" s="1036"/>
      <c r="X1368" s="1036"/>
      <c r="Y1368" s="1036"/>
      <c r="Z1368" s="1036"/>
    </row>
    <row r="1369" spans="1:26" ht="51">
      <c r="A1369" s="1079">
        <v>89366</v>
      </c>
      <c r="B1369" s="1080" t="s">
        <v>14476</v>
      </c>
      <c r="C1369" s="1080" t="s">
        <v>16007</v>
      </c>
      <c r="D1369" s="1081" t="s">
        <v>6</v>
      </c>
      <c r="E1369" s="1082">
        <v>5</v>
      </c>
      <c r="F1369" s="1083">
        <v>18.309999999999999</v>
      </c>
      <c r="G1369" s="1083">
        <v>91.55</v>
      </c>
      <c r="H1369" s="1084">
        <f t="shared" si="15"/>
        <v>6.2180975935327938E-6</v>
      </c>
      <c r="I1369" s="1085">
        <f t="shared" si="17"/>
        <v>0.99928907753278673</v>
      </c>
      <c r="J1369" s="1085" t="str">
        <f t="shared" si="16"/>
        <v>C</v>
      </c>
      <c r="K1369" s="1036"/>
      <c r="L1369" s="1036"/>
      <c r="M1369" s="1036"/>
      <c r="N1369" s="1036"/>
      <c r="O1369" s="1036"/>
      <c r="P1369" s="1036"/>
      <c r="Q1369" s="1036"/>
      <c r="R1369" s="1036"/>
      <c r="S1369" s="1036"/>
      <c r="T1369" s="1036"/>
      <c r="U1369" s="1036"/>
      <c r="V1369" s="1036"/>
      <c r="W1369" s="1036"/>
      <c r="X1369" s="1036"/>
      <c r="Y1369" s="1036"/>
      <c r="Z1369" s="1036"/>
    </row>
    <row r="1370" spans="1:26" ht="63.75">
      <c r="A1370" s="1079">
        <v>100978</v>
      </c>
      <c r="B1370" s="1080" t="s">
        <v>14476</v>
      </c>
      <c r="C1370" s="1080" t="s">
        <v>11981</v>
      </c>
      <c r="D1370" s="1081" t="s">
        <v>152</v>
      </c>
      <c r="E1370" s="1082">
        <v>10.56</v>
      </c>
      <c r="F1370" s="1083">
        <v>8.66</v>
      </c>
      <c r="G1370" s="1083">
        <v>91.41</v>
      </c>
      <c r="H1370" s="1084">
        <f t="shared" si="15"/>
        <v>6.2085887605115529E-6</v>
      </c>
      <c r="I1370" s="1085">
        <f t="shared" si="17"/>
        <v>0.99929528612154728</v>
      </c>
      <c r="J1370" s="1085" t="str">
        <f t="shared" si="16"/>
        <v>C</v>
      </c>
      <c r="K1370" s="1036"/>
      <c r="L1370" s="1036"/>
      <c r="M1370" s="1036"/>
      <c r="N1370" s="1036"/>
      <c r="O1370" s="1036"/>
      <c r="P1370" s="1036"/>
      <c r="Q1370" s="1036"/>
      <c r="R1370" s="1036"/>
      <c r="S1370" s="1036"/>
      <c r="T1370" s="1036"/>
      <c r="U1370" s="1036"/>
      <c r="V1370" s="1036"/>
      <c r="W1370" s="1036"/>
      <c r="X1370" s="1036"/>
      <c r="Y1370" s="1036"/>
      <c r="Z1370" s="1036"/>
    </row>
    <row r="1371" spans="1:26" ht="38.25">
      <c r="A1371" s="1079">
        <v>94490</v>
      </c>
      <c r="B1371" s="1080" t="s">
        <v>14476</v>
      </c>
      <c r="C1371" s="1080" t="s">
        <v>16021</v>
      </c>
      <c r="D1371" s="1081" t="s">
        <v>6</v>
      </c>
      <c r="E1371" s="1082">
        <v>2</v>
      </c>
      <c r="F1371" s="1083">
        <v>45.22</v>
      </c>
      <c r="G1371" s="1083">
        <v>90.44</v>
      </c>
      <c r="H1371" s="1084">
        <f t="shared" si="15"/>
        <v>6.1427061317215272E-6</v>
      </c>
      <c r="I1371" s="1085">
        <f t="shared" si="17"/>
        <v>0.99930142882767903</v>
      </c>
      <c r="J1371" s="1085" t="str">
        <f t="shared" si="16"/>
        <v>C</v>
      </c>
      <c r="K1371" s="1036"/>
      <c r="L1371" s="1036"/>
      <c r="M1371" s="1036"/>
      <c r="N1371" s="1036"/>
      <c r="O1371" s="1036"/>
      <c r="P1371" s="1036"/>
      <c r="Q1371" s="1036"/>
      <c r="R1371" s="1036"/>
      <c r="S1371" s="1036"/>
      <c r="T1371" s="1036"/>
      <c r="U1371" s="1036"/>
      <c r="V1371" s="1036"/>
      <c r="W1371" s="1036"/>
      <c r="X1371" s="1036"/>
      <c r="Y1371" s="1036"/>
      <c r="Z1371" s="1036"/>
    </row>
    <row r="1372" spans="1:26" ht="51">
      <c r="A1372" s="1079" t="s">
        <v>15392</v>
      </c>
      <c r="B1372" s="1080" t="s">
        <v>14472</v>
      </c>
      <c r="C1372" s="1080" t="s">
        <v>15393</v>
      </c>
      <c r="D1372" s="1081" t="s">
        <v>6</v>
      </c>
      <c r="E1372" s="1082">
        <v>1</v>
      </c>
      <c r="F1372" s="1083">
        <v>90.03</v>
      </c>
      <c r="G1372" s="1083">
        <v>90.03</v>
      </c>
      <c r="H1372" s="1084">
        <f t="shared" si="15"/>
        <v>6.114858835016465E-6</v>
      </c>
      <c r="I1372" s="1085">
        <f t="shared" si="17"/>
        <v>0.99930754368651409</v>
      </c>
      <c r="J1372" s="1085" t="str">
        <f t="shared" si="16"/>
        <v>C</v>
      </c>
      <c r="K1372" s="1036"/>
      <c r="L1372" s="1036"/>
      <c r="M1372" s="1036"/>
      <c r="N1372" s="1036"/>
      <c r="O1372" s="1036"/>
      <c r="P1372" s="1036"/>
      <c r="Q1372" s="1036"/>
      <c r="R1372" s="1036"/>
      <c r="S1372" s="1036"/>
      <c r="T1372" s="1036"/>
      <c r="U1372" s="1036"/>
      <c r="V1372" s="1036"/>
      <c r="W1372" s="1036"/>
      <c r="X1372" s="1036"/>
      <c r="Y1372" s="1036"/>
      <c r="Z1372" s="1036"/>
    </row>
    <row r="1373" spans="1:26" ht="38.25">
      <c r="A1373" s="1079">
        <v>100938</v>
      </c>
      <c r="B1373" s="1080" t="s">
        <v>14476</v>
      </c>
      <c r="C1373" s="1080" t="s">
        <v>11938</v>
      </c>
      <c r="D1373" s="1081" t="s">
        <v>11696</v>
      </c>
      <c r="E1373" s="1082">
        <v>9.5</v>
      </c>
      <c r="F1373" s="1083">
        <v>9.4700000000000006</v>
      </c>
      <c r="G1373" s="1083">
        <v>90</v>
      </c>
      <c r="H1373" s="1084">
        <f t="shared" si="15"/>
        <v>6.1128212279404854E-6</v>
      </c>
      <c r="I1373" s="1085">
        <f t="shared" si="17"/>
        <v>0.99931365650774207</v>
      </c>
      <c r="J1373" s="1085" t="str">
        <f t="shared" si="16"/>
        <v>C</v>
      </c>
      <c r="K1373" s="1036"/>
      <c r="L1373" s="1036"/>
      <c r="M1373" s="1036"/>
      <c r="N1373" s="1036"/>
      <c r="O1373" s="1036"/>
      <c r="P1373" s="1036"/>
      <c r="Q1373" s="1036"/>
      <c r="R1373" s="1036"/>
      <c r="S1373" s="1036"/>
      <c r="T1373" s="1036"/>
      <c r="U1373" s="1036"/>
      <c r="V1373" s="1036"/>
      <c r="W1373" s="1036"/>
      <c r="X1373" s="1036"/>
      <c r="Y1373" s="1036"/>
      <c r="Z1373" s="1036"/>
    </row>
    <row r="1374" spans="1:26" ht="51">
      <c r="A1374" s="1079">
        <v>89782</v>
      </c>
      <c r="B1374" s="1080" t="s">
        <v>14476</v>
      </c>
      <c r="C1374" s="1080" t="s">
        <v>8988</v>
      </c>
      <c r="D1374" s="1081" t="s">
        <v>6</v>
      </c>
      <c r="E1374" s="1082">
        <v>5</v>
      </c>
      <c r="F1374" s="1083">
        <v>17.98</v>
      </c>
      <c r="G1374" s="1083">
        <v>89.9</v>
      </c>
      <c r="H1374" s="1084">
        <f t="shared" si="15"/>
        <v>6.1060292043538854E-6</v>
      </c>
      <c r="I1374" s="1085">
        <f t="shared" si="17"/>
        <v>0.99931976253694643</v>
      </c>
      <c r="J1374" s="1085" t="str">
        <f t="shared" si="16"/>
        <v>C</v>
      </c>
      <c r="K1374" s="1036"/>
      <c r="L1374" s="1036"/>
      <c r="M1374" s="1036"/>
      <c r="N1374" s="1036"/>
      <c r="O1374" s="1036"/>
      <c r="P1374" s="1036"/>
      <c r="Q1374" s="1036"/>
      <c r="R1374" s="1036"/>
      <c r="S1374" s="1036"/>
      <c r="T1374" s="1036"/>
      <c r="U1374" s="1036"/>
      <c r="V1374" s="1036"/>
      <c r="W1374" s="1036"/>
      <c r="X1374" s="1036"/>
      <c r="Y1374" s="1036"/>
      <c r="Z1374" s="1036"/>
    </row>
    <row r="1375" spans="1:26" ht="38.25">
      <c r="A1375" s="1079">
        <v>103979</v>
      </c>
      <c r="B1375" s="1080" t="s">
        <v>14476</v>
      </c>
      <c r="C1375" s="1080" t="s">
        <v>8649</v>
      </c>
      <c r="D1375" s="1081" t="s">
        <v>50</v>
      </c>
      <c r="E1375" s="1082">
        <v>2.7</v>
      </c>
      <c r="F1375" s="1083">
        <v>33.03</v>
      </c>
      <c r="G1375" s="1083">
        <v>89.18</v>
      </c>
      <c r="H1375" s="1084">
        <f t="shared" si="15"/>
        <v>6.057126634530361E-6</v>
      </c>
      <c r="I1375" s="1085">
        <f t="shared" si="17"/>
        <v>0.99932581966358092</v>
      </c>
      <c r="J1375" s="1085" t="str">
        <f t="shared" si="16"/>
        <v>C</v>
      </c>
      <c r="K1375" s="1036"/>
      <c r="L1375" s="1036"/>
      <c r="M1375" s="1036"/>
      <c r="N1375" s="1036"/>
      <c r="O1375" s="1036"/>
      <c r="P1375" s="1036"/>
      <c r="Q1375" s="1036"/>
      <c r="R1375" s="1036"/>
      <c r="S1375" s="1036"/>
      <c r="T1375" s="1036"/>
      <c r="U1375" s="1036"/>
      <c r="V1375" s="1036"/>
      <c r="W1375" s="1036"/>
      <c r="X1375" s="1036"/>
      <c r="Y1375" s="1036"/>
      <c r="Z1375" s="1036"/>
    </row>
    <row r="1376" spans="1:26" ht="51">
      <c r="A1376" s="1079">
        <v>90373</v>
      </c>
      <c r="B1376" s="1080" t="s">
        <v>14476</v>
      </c>
      <c r="C1376" s="1080" t="s">
        <v>16009</v>
      </c>
      <c r="D1376" s="1081" t="s">
        <v>6</v>
      </c>
      <c r="E1376" s="1082">
        <v>6</v>
      </c>
      <c r="F1376" s="1083">
        <v>14.78</v>
      </c>
      <c r="G1376" s="1083">
        <v>88.68</v>
      </c>
      <c r="H1376" s="1084">
        <f t="shared" si="15"/>
        <v>6.0231665165973584E-6</v>
      </c>
      <c r="I1376" s="1085">
        <f t="shared" si="17"/>
        <v>0.99933184283009746</v>
      </c>
      <c r="J1376" s="1085" t="str">
        <f t="shared" si="16"/>
        <v>C</v>
      </c>
      <c r="K1376" s="1036"/>
      <c r="L1376" s="1036"/>
      <c r="M1376" s="1036"/>
      <c r="N1376" s="1036"/>
      <c r="O1376" s="1036"/>
      <c r="P1376" s="1036"/>
      <c r="Q1376" s="1036"/>
      <c r="R1376" s="1036"/>
      <c r="S1376" s="1036"/>
      <c r="T1376" s="1036"/>
      <c r="U1376" s="1036"/>
      <c r="V1376" s="1036"/>
      <c r="W1376" s="1036"/>
      <c r="X1376" s="1036"/>
      <c r="Y1376" s="1036"/>
      <c r="Z1376" s="1036"/>
    </row>
    <row r="1377" spans="1:26" ht="51">
      <c r="A1377" s="1079">
        <v>90373</v>
      </c>
      <c r="B1377" s="1080" t="s">
        <v>14476</v>
      </c>
      <c r="C1377" s="1080" t="s">
        <v>16009</v>
      </c>
      <c r="D1377" s="1081" t="s">
        <v>6</v>
      </c>
      <c r="E1377" s="1082">
        <v>6</v>
      </c>
      <c r="F1377" s="1083">
        <v>14.78</v>
      </c>
      <c r="G1377" s="1083">
        <v>88.68</v>
      </c>
      <c r="H1377" s="1084">
        <f t="shared" si="15"/>
        <v>6.0231665165973584E-6</v>
      </c>
      <c r="I1377" s="1085">
        <f t="shared" si="17"/>
        <v>0.99933786599661401</v>
      </c>
      <c r="J1377" s="1085" t="str">
        <f t="shared" si="16"/>
        <v>C</v>
      </c>
      <c r="K1377" s="1036"/>
      <c r="L1377" s="1036"/>
      <c r="M1377" s="1036"/>
      <c r="N1377" s="1036"/>
      <c r="O1377" s="1036"/>
      <c r="P1377" s="1036"/>
      <c r="Q1377" s="1036"/>
      <c r="R1377" s="1036"/>
      <c r="S1377" s="1036"/>
      <c r="T1377" s="1036"/>
      <c r="U1377" s="1036"/>
      <c r="V1377" s="1036"/>
      <c r="W1377" s="1036"/>
      <c r="X1377" s="1036"/>
      <c r="Y1377" s="1036"/>
      <c r="Z1377" s="1036"/>
    </row>
    <row r="1378" spans="1:26" ht="51">
      <c r="A1378" s="1079">
        <v>90373</v>
      </c>
      <c r="B1378" s="1080" t="s">
        <v>14476</v>
      </c>
      <c r="C1378" s="1080" t="s">
        <v>16009</v>
      </c>
      <c r="D1378" s="1081" t="s">
        <v>6</v>
      </c>
      <c r="E1378" s="1082">
        <v>6</v>
      </c>
      <c r="F1378" s="1083">
        <v>14.78</v>
      </c>
      <c r="G1378" s="1083">
        <v>88.68</v>
      </c>
      <c r="H1378" s="1084">
        <f t="shared" si="15"/>
        <v>6.0231665165973584E-6</v>
      </c>
      <c r="I1378" s="1085">
        <f t="shared" si="17"/>
        <v>0.99934388916313055</v>
      </c>
      <c r="J1378" s="1085" t="str">
        <f t="shared" si="16"/>
        <v>C</v>
      </c>
      <c r="K1378" s="1036"/>
      <c r="L1378" s="1036"/>
      <c r="M1378" s="1036"/>
      <c r="N1378" s="1036"/>
      <c r="O1378" s="1036"/>
      <c r="P1378" s="1036"/>
      <c r="Q1378" s="1036"/>
      <c r="R1378" s="1036"/>
      <c r="S1378" s="1036"/>
      <c r="T1378" s="1036"/>
      <c r="U1378" s="1036"/>
      <c r="V1378" s="1036"/>
      <c r="W1378" s="1036"/>
      <c r="X1378" s="1036"/>
      <c r="Y1378" s="1036"/>
      <c r="Z1378" s="1036"/>
    </row>
    <row r="1379" spans="1:26" ht="38.25">
      <c r="A1379" s="1079">
        <v>100938</v>
      </c>
      <c r="B1379" s="1080" t="s">
        <v>14476</v>
      </c>
      <c r="C1379" s="1080" t="s">
        <v>11938</v>
      </c>
      <c r="D1379" s="1081" t="s">
        <v>11696</v>
      </c>
      <c r="E1379" s="1082">
        <v>9.16</v>
      </c>
      <c r="F1379" s="1083">
        <v>9.4700000000000006</v>
      </c>
      <c r="G1379" s="1083">
        <v>86.7</v>
      </c>
      <c r="H1379" s="1084">
        <f t="shared" si="15"/>
        <v>5.8886844495826679E-6</v>
      </c>
      <c r="I1379" s="1085">
        <f t="shared" si="17"/>
        <v>0.99934977784758017</v>
      </c>
      <c r="J1379" s="1085" t="str">
        <f t="shared" si="16"/>
        <v>C</v>
      </c>
      <c r="K1379" s="1036"/>
      <c r="L1379" s="1036"/>
      <c r="M1379" s="1036"/>
      <c r="N1379" s="1036"/>
      <c r="O1379" s="1036"/>
      <c r="P1379" s="1036"/>
      <c r="Q1379" s="1036"/>
      <c r="R1379" s="1036"/>
      <c r="S1379" s="1036"/>
      <c r="T1379" s="1036"/>
      <c r="U1379" s="1036"/>
      <c r="V1379" s="1036"/>
      <c r="W1379" s="1036"/>
      <c r="X1379" s="1036"/>
      <c r="Y1379" s="1036"/>
      <c r="Z1379" s="1036"/>
    </row>
    <row r="1380" spans="1:26" ht="25.5">
      <c r="A1380" s="1079">
        <v>93665</v>
      </c>
      <c r="B1380" s="1080" t="s">
        <v>14476</v>
      </c>
      <c r="C1380" s="1080" t="s">
        <v>7966</v>
      </c>
      <c r="D1380" s="1081" t="s">
        <v>6</v>
      </c>
      <c r="E1380" s="1082">
        <v>1</v>
      </c>
      <c r="F1380" s="1083">
        <v>85.27</v>
      </c>
      <c r="G1380" s="1083">
        <v>85.27</v>
      </c>
      <c r="H1380" s="1084">
        <f t="shared" si="15"/>
        <v>5.7915585122942796E-6</v>
      </c>
      <c r="I1380" s="1085">
        <f t="shared" si="17"/>
        <v>0.99935556940609249</v>
      </c>
      <c r="J1380" s="1085" t="str">
        <f t="shared" si="16"/>
        <v>C</v>
      </c>
      <c r="K1380" s="1036"/>
      <c r="L1380" s="1036"/>
      <c r="M1380" s="1036"/>
      <c r="N1380" s="1036"/>
      <c r="O1380" s="1036"/>
      <c r="P1380" s="1036"/>
      <c r="Q1380" s="1036"/>
      <c r="R1380" s="1036"/>
      <c r="S1380" s="1036"/>
      <c r="T1380" s="1036"/>
      <c r="U1380" s="1036"/>
      <c r="V1380" s="1036"/>
      <c r="W1380" s="1036"/>
      <c r="X1380" s="1036"/>
      <c r="Y1380" s="1036"/>
      <c r="Z1380" s="1036"/>
    </row>
    <row r="1381" spans="1:26" ht="25.5">
      <c r="A1381" s="1079">
        <v>93665</v>
      </c>
      <c r="B1381" s="1080" t="s">
        <v>14476</v>
      </c>
      <c r="C1381" s="1080" t="s">
        <v>7966</v>
      </c>
      <c r="D1381" s="1081" t="s">
        <v>6</v>
      </c>
      <c r="E1381" s="1082">
        <v>1</v>
      </c>
      <c r="F1381" s="1083">
        <v>85.27</v>
      </c>
      <c r="G1381" s="1083">
        <v>85.27</v>
      </c>
      <c r="H1381" s="1084">
        <f t="shared" si="15"/>
        <v>5.7915585122942796E-6</v>
      </c>
      <c r="I1381" s="1085">
        <f t="shared" si="17"/>
        <v>0.99936136096460482</v>
      </c>
      <c r="J1381" s="1085" t="str">
        <f t="shared" si="16"/>
        <v>C</v>
      </c>
      <c r="K1381" s="1036"/>
      <c r="L1381" s="1036"/>
      <c r="M1381" s="1036"/>
      <c r="N1381" s="1036"/>
      <c r="O1381" s="1036"/>
      <c r="P1381" s="1036"/>
      <c r="Q1381" s="1036"/>
      <c r="R1381" s="1036"/>
      <c r="S1381" s="1036"/>
      <c r="T1381" s="1036"/>
      <c r="U1381" s="1036"/>
      <c r="V1381" s="1036"/>
      <c r="W1381" s="1036"/>
      <c r="X1381" s="1036"/>
      <c r="Y1381" s="1036"/>
      <c r="Z1381" s="1036"/>
    </row>
    <row r="1382" spans="1:26" ht="51">
      <c r="A1382" s="1079">
        <v>89733</v>
      </c>
      <c r="B1382" s="1080" t="s">
        <v>14476</v>
      </c>
      <c r="C1382" s="1080" t="s">
        <v>8946</v>
      </c>
      <c r="D1382" s="1081" t="s">
        <v>6</v>
      </c>
      <c r="E1382" s="1082">
        <v>3</v>
      </c>
      <c r="F1382" s="1083">
        <v>27.91</v>
      </c>
      <c r="G1382" s="1083">
        <v>83.73</v>
      </c>
      <c r="H1382" s="1084">
        <f t="shared" si="15"/>
        <v>5.6869613490606317E-6</v>
      </c>
      <c r="I1382" s="1085">
        <f t="shared" si="17"/>
        <v>0.99936704792595388</v>
      </c>
      <c r="J1382" s="1085" t="str">
        <f t="shared" si="16"/>
        <v>C</v>
      </c>
      <c r="K1382" s="1036"/>
      <c r="L1382" s="1036"/>
      <c r="M1382" s="1036"/>
      <c r="N1382" s="1036"/>
      <c r="O1382" s="1036"/>
      <c r="P1382" s="1036"/>
      <c r="Q1382" s="1036"/>
      <c r="R1382" s="1036"/>
      <c r="S1382" s="1036"/>
      <c r="T1382" s="1036"/>
      <c r="U1382" s="1036"/>
      <c r="V1382" s="1036"/>
      <c r="W1382" s="1036"/>
      <c r="X1382" s="1036"/>
      <c r="Y1382" s="1036"/>
      <c r="Z1382" s="1036"/>
    </row>
    <row r="1383" spans="1:26" ht="38.25">
      <c r="A1383" s="1079">
        <v>98555</v>
      </c>
      <c r="B1383" s="1080" t="s">
        <v>14476</v>
      </c>
      <c r="C1383" s="1080" t="s">
        <v>7733</v>
      </c>
      <c r="D1383" s="1081" t="s">
        <v>409</v>
      </c>
      <c r="E1383" s="1082">
        <v>2.2599999999999998</v>
      </c>
      <c r="F1383" s="1083">
        <v>36.58</v>
      </c>
      <c r="G1383" s="1083">
        <v>82.67</v>
      </c>
      <c r="H1383" s="1084">
        <f t="shared" si="15"/>
        <v>5.6149658990426656E-6</v>
      </c>
      <c r="I1383" s="1085">
        <f t="shared" si="17"/>
        <v>0.99937266289185289</v>
      </c>
      <c r="J1383" s="1085" t="str">
        <f t="shared" si="16"/>
        <v>C</v>
      </c>
      <c r="K1383" s="1036"/>
      <c r="L1383" s="1036"/>
      <c r="M1383" s="1036"/>
      <c r="N1383" s="1036"/>
      <c r="O1383" s="1036"/>
      <c r="P1383" s="1036"/>
      <c r="Q1383" s="1036"/>
      <c r="R1383" s="1036"/>
      <c r="S1383" s="1036"/>
      <c r="T1383" s="1036"/>
      <c r="U1383" s="1036"/>
      <c r="V1383" s="1036"/>
      <c r="W1383" s="1036"/>
      <c r="X1383" s="1036"/>
      <c r="Y1383" s="1036"/>
      <c r="Z1383" s="1036"/>
    </row>
    <row r="1384" spans="1:26" ht="25.5">
      <c r="A1384" s="1079" t="s">
        <v>15419</v>
      </c>
      <c r="B1384" s="1080" t="s">
        <v>14472</v>
      </c>
      <c r="C1384" s="1080" t="s">
        <v>16025</v>
      </c>
      <c r="D1384" s="1081" t="s">
        <v>6</v>
      </c>
      <c r="E1384" s="1082">
        <v>1</v>
      </c>
      <c r="F1384" s="1083">
        <v>82.28</v>
      </c>
      <c r="G1384" s="1083">
        <v>82.28</v>
      </c>
      <c r="H1384" s="1084">
        <f t="shared" si="15"/>
        <v>5.5884770070549234E-6</v>
      </c>
      <c r="I1384" s="1085">
        <f t="shared" si="17"/>
        <v>0.99937825136885994</v>
      </c>
      <c r="J1384" s="1085" t="str">
        <f t="shared" si="16"/>
        <v>C</v>
      </c>
      <c r="K1384" s="1036"/>
      <c r="L1384" s="1036"/>
      <c r="M1384" s="1036"/>
      <c r="N1384" s="1036"/>
      <c r="O1384" s="1036"/>
      <c r="P1384" s="1036"/>
      <c r="Q1384" s="1036"/>
      <c r="R1384" s="1036"/>
      <c r="S1384" s="1036"/>
      <c r="T1384" s="1036"/>
      <c r="U1384" s="1036"/>
      <c r="V1384" s="1036"/>
      <c r="W1384" s="1036"/>
      <c r="X1384" s="1036"/>
      <c r="Y1384" s="1036"/>
      <c r="Z1384" s="1036"/>
    </row>
    <row r="1385" spans="1:26" ht="51">
      <c r="A1385" s="1079">
        <v>89737</v>
      </c>
      <c r="B1385" s="1080" t="s">
        <v>14476</v>
      </c>
      <c r="C1385" s="1080" t="s">
        <v>8950</v>
      </c>
      <c r="D1385" s="1081" t="s">
        <v>6</v>
      </c>
      <c r="E1385" s="1082">
        <v>3</v>
      </c>
      <c r="F1385" s="1083">
        <v>27.4</v>
      </c>
      <c r="G1385" s="1083">
        <v>82.2</v>
      </c>
      <c r="H1385" s="1084">
        <f t="shared" si="15"/>
        <v>5.5830433881856434E-6</v>
      </c>
      <c r="I1385" s="1085">
        <f t="shared" si="17"/>
        <v>0.9993838344122481</v>
      </c>
      <c r="J1385" s="1085" t="str">
        <f t="shared" si="16"/>
        <v>C</v>
      </c>
      <c r="K1385" s="1036"/>
      <c r="L1385" s="1036"/>
      <c r="M1385" s="1036"/>
      <c r="N1385" s="1036"/>
      <c r="O1385" s="1036"/>
      <c r="P1385" s="1036"/>
      <c r="Q1385" s="1036"/>
      <c r="R1385" s="1036"/>
      <c r="S1385" s="1036"/>
      <c r="T1385" s="1036"/>
      <c r="U1385" s="1036"/>
      <c r="V1385" s="1036"/>
      <c r="W1385" s="1036"/>
      <c r="X1385" s="1036"/>
      <c r="Y1385" s="1036"/>
      <c r="Z1385" s="1036"/>
    </row>
    <row r="1386" spans="1:26" ht="76.5">
      <c r="A1386" s="1079">
        <v>91174</v>
      </c>
      <c r="B1386" s="1080" t="s">
        <v>14476</v>
      </c>
      <c r="C1386" s="1080" t="s">
        <v>10402</v>
      </c>
      <c r="D1386" s="1081" t="s">
        <v>50</v>
      </c>
      <c r="E1386" s="1082">
        <v>10</v>
      </c>
      <c r="F1386" s="1083">
        <v>8.17</v>
      </c>
      <c r="G1386" s="1083">
        <v>81.7</v>
      </c>
      <c r="H1386" s="1084">
        <f t="shared" si="15"/>
        <v>5.5490832702526407E-6</v>
      </c>
      <c r="I1386" s="1085">
        <f t="shared" si="17"/>
        <v>0.99938938349551831</v>
      </c>
      <c r="J1386" s="1085" t="str">
        <f t="shared" si="16"/>
        <v>C</v>
      </c>
      <c r="K1386" s="1036"/>
      <c r="L1386" s="1036"/>
      <c r="M1386" s="1036"/>
      <c r="N1386" s="1036"/>
      <c r="O1386" s="1036"/>
      <c r="P1386" s="1036"/>
      <c r="Q1386" s="1036"/>
      <c r="R1386" s="1036"/>
      <c r="S1386" s="1036"/>
      <c r="T1386" s="1036"/>
      <c r="U1386" s="1036"/>
      <c r="V1386" s="1036"/>
      <c r="W1386" s="1036"/>
      <c r="X1386" s="1036"/>
      <c r="Y1386" s="1036"/>
      <c r="Z1386" s="1036"/>
    </row>
    <row r="1387" spans="1:26" ht="25.5">
      <c r="A1387" s="1079" t="s">
        <v>15386</v>
      </c>
      <c r="B1387" s="1080" t="s">
        <v>14472</v>
      </c>
      <c r="C1387" s="1080" t="s">
        <v>15387</v>
      </c>
      <c r="D1387" s="1081" t="s">
        <v>50</v>
      </c>
      <c r="E1387" s="1082">
        <v>3</v>
      </c>
      <c r="F1387" s="1083">
        <v>26.45</v>
      </c>
      <c r="G1387" s="1083">
        <v>79.349999999999994</v>
      </c>
      <c r="H1387" s="1084">
        <f t="shared" si="15"/>
        <v>5.3894707159675272E-6</v>
      </c>
      <c r="I1387" s="1085">
        <f t="shared" si="17"/>
        <v>0.99939477296623425</v>
      </c>
      <c r="J1387" s="1085" t="str">
        <f t="shared" si="16"/>
        <v>C</v>
      </c>
      <c r="K1387" s="1036"/>
      <c r="L1387" s="1036"/>
      <c r="M1387" s="1036"/>
      <c r="N1387" s="1036"/>
      <c r="O1387" s="1036"/>
      <c r="P1387" s="1036"/>
      <c r="Q1387" s="1036"/>
      <c r="R1387" s="1036"/>
      <c r="S1387" s="1036"/>
      <c r="T1387" s="1036"/>
      <c r="U1387" s="1036"/>
      <c r="V1387" s="1036"/>
      <c r="W1387" s="1036"/>
      <c r="X1387" s="1036"/>
      <c r="Y1387" s="1036"/>
      <c r="Z1387" s="1036"/>
    </row>
    <row r="1388" spans="1:26" ht="14.25">
      <c r="A1388" s="1079" t="s">
        <v>15445</v>
      </c>
      <c r="B1388" s="1080" t="s">
        <v>14472</v>
      </c>
      <c r="C1388" s="1080" t="s">
        <v>15446</v>
      </c>
      <c r="D1388" s="1081" t="s">
        <v>6</v>
      </c>
      <c r="E1388" s="1082">
        <v>4</v>
      </c>
      <c r="F1388" s="1083">
        <v>19.73</v>
      </c>
      <c r="G1388" s="1083">
        <v>78.92</v>
      </c>
      <c r="H1388" s="1084">
        <f t="shared" si="15"/>
        <v>5.3602650145451458E-6</v>
      </c>
      <c r="I1388" s="1085">
        <f t="shared" si="17"/>
        <v>0.99940013323124877</v>
      </c>
      <c r="J1388" s="1085" t="str">
        <f t="shared" si="16"/>
        <v>C</v>
      </c>
      <c r="K1388" s="1036"/>
      <c r="L1388" s="1036"/>
      <c r="M1388" s="1036"/>
      <c r="N1388" s="1036"/>
      <c r="O1388" s="1036"/>
      <c r="P1388" s="1036"/>
      <c r="Q1388" s="1036"/>
      <c r="R1388" s="1036"/>
      <c r="S1388" s="1036"/>
      <c r="T1388" s="1036"/>
      <c r="U1388" s="1036"/>
      <c r="V1388" s="1036"/>
      <c r="W1388" s="1036"/>
      <c r="X1388" s="1036"/>
      <c r="Y1388" s="1036"/>
      <c r="Z1388" s="1036"/>
    </row>
    <row r="1389" spans="1:26" ht="38.25">
      <c r="A1389" s="1079">
        <v>89362</v>
      </c>
      <c r="B1389" s="1080" t="s">
        <v>14476</v>
      </c>
      <c r="C1389" s="1080" t="s">
        <v>8669</v>
      </c>
      <c r="D1389" s="1081" t="s">
        <v>6</v>
      </c>
      <c r="E1389" s="1082">
        <v>7</v>
      </c>
      <c r="F1389" s="1083">
        <v>11.23</v>
      </c>
      <c r="G1389" s="1083">
        <v>78.61</v>
      </c>
      <c r="H1389" s="1084">
        <f t="shared" si="15"/>
        <v>5.3392097414266837E-6</v>
      </c>
      <c r="I1389" s="1085">
        <f t="shared" si="17"/>
        <v>0.99940547244099021</v>
      </c>
      <c r="J1389" s="1085" t="str">
        <f t="shared" si="16"/>
        <v>C</v>
      </c>
      <c r="K1389" s="1036"/>
      <c r="L1389" s="1036"/>
      <c r="M1389" s="1036"/>
      <c r="N1389" s="1036"/>
      <c r="O1389" s="1036"/>
      <c r="P1389" s="1036"/>
      <c r="Q1389" s="1036"/>
      <c r="R1389" s="1036"/>
      <c r="S1389" s="1036"/>
      <c r="T1389" s="1036"/>
      <c r="U1389" s="1036"/>
      <c r="V1389" s="1036"/>
      <c r="W1389" s="1036"/>
      <c r="X1389" s="1036"/>
      <c r="Y1389" s="1036"/>
      <c r="Z1389" s="1036"/>
    </row>
    <row r="1390" spans="1:26" ht="38.25">
      <c r="A1390" s="1079">
        <v>91885</v>
      </c>
      <c r="B1390" s="1080" t="s">
        <v>14476</v>
      </c>
      <c r="C1390" s="1080" t="s">
        <v>7811</v>
      </c>
      <c r="D1390" s="1081" t="s">
        <v>6</v>
      </c>
      <c r="E1390" s="1082">
        <v>5</v>
      </c>
      <c r="F1390" s="1083">
        <v>15.71</v>
      </c>
      <c r="G1390" s="1083">
        <v>78.55</v>
      </c>
      <c r="H1390" s="1084">
        <f t="shared" si="15"/>
        <v>5.3351345272747237E-6</v>
      </c>
      <c r="I1390" s="1085">
        <f t="shared" si="17"/>
        <v>0.99941080757551748</v>
      </c>
      <c r="J1390" s="1085" t="str">
        <f t="shared" si="16"/>
        <v>C</v>
      </c>
      <c r="K1390" s="1036"/>
      <c r="L1390" s="1036"/>
      <c r="M1390" s="1036"/>
      <c r="N1390" s="1036"/>
      <c r="O1390" s="1036"/>
      <c r="P1390" s="1036"/>
      <c r="Q1390" s="1036"/>
      <c r="R1390" s="1036"/>
      <c r="S1390" s="1036"/>
      <c r="T1390" s="1036"/>
      <c r="U1390" s="1036"/>
      <c r="V1390" s="1036"/>
      <c r="W1390" s="1036"/>
      <c r="X1390" s="1036"/>
      <c r="Y1390" s="1036"/>
      <c r="Z1390" s="1036"/>
    </row>
    <row r="1391" spans="1:26" ht="38.25">
      <c r="A1391" s="1079">
        <v>89395</v>
      </c>
      <c r="B1391" s="1080" t="s">
        <v>14476</v>
      </c>
      <c r="C1391" s="1080" t="s">
        <v>8701</v>
      </c>
      <c r="D1391" s="1081" t="s">
        <v>6</v>
      </c>
      <c r="E1391" s="1082">
        <v>5</v>
      </c>
      <c r="F1391" s="1083">
        <v>15.51</v>
      </c>
      <c r="G1391" s="1083">
        <v>77.55</v>
      </c>
      <c r="H1391" s="1084">
        <f t="shared" si="15"/>
        <v>5.2672142914087175E-6</v>
      </c>
      <c r="I1391" s="1085">
        <f t="shared" si="17"/>
        <v>0.99941607478980887</v>
      </c>
      <c r="J1391" s="1085" t="str">
        <f t="shared" si="16"/>
        <v>C</v>
      </c>
      <c r="K1391" s="1036"/>
      <c r="L1391" s="1036"/>
      <c r="M1391" s="1036"/>
      <c r="N1391" s="1036"/>
      <c r="O1391" s="1036"/>
      <c r="P1391" s="1036"/>
      <c r="Q1391" s="1036"/>
      <c r="R1391" s="1036"/>
      <c r="S1391" s="1036"/>
      <c r="T1391" s="1036"/>
      <c r="U1391" s="1036"/>
      <c r="V1391" s="1036"/>
      <c r="W1391" s="1036"/>
      <c r="X1391" s="1036"/>
      <c r="Y1391" s="1036"/>
      <c r="Z1391" s="1036"/>
    </row>
    <row r="1392" spans="1:26" ht="38.25">
      <c r="A1392" s="1079">
        <v>89395</v>
      </c>
      <c r="B1392" s="1080" t="s">
        <v>14476</v>
      </c>
      <c r="C1392" s="1080" t="s">
        <v>8701</v>
      </c>
      <c r="D1392" s="1081" t="s">
        <v>6</v>
      </c>
      <c r="E1392" s="1082">
        <v>5</v>
      </c>
      <c r="F1392" s="1083">
        <v>15.51</v>
      </c>
      <c r="G1392" s="1083">
        <v>77.55</v>
      </c>
      <c r="H1392" s="1084">
        <f t="shared" si="15"/>
        <v>5.2672142914087175E-6</v>
      </c>
      <c r="I1392" s="1085">
        <f t="shared" si="17"/>
        <v>0.99942134200410027</v>
      </c>
      <c r="J1392" s="1085" t="str">
        <f t="shared" si="16"/>
        <v>C</v>
      </c>
      <c r="K1392" s="1036"/>
      <c r="L1392" s="1036"/>
      <c r="M1392" s="1036"/>
      <c r="N1392" s="1036"/>
      <c r="O1392" s="1036"/>
      <c r="P1392" s="1036"/>
      <c r="Q1392" s="1036"/>
      <c r="R1392" s="1036"/>
      <c r="S1392" s="1036"/>
      <c r="T1392" s="1036"/>
      <c r="U1392" s="1036"/>
      <c r="V1392" s="1036"/>
      <c r="W1392" s="1036"/>
      <c r="X1392" s="1036"/>
      <c r="Y1392" s="1036"/>
      <c r="Z1392" s="1036"/>
    </row>
    <row r="1393" spans="1:26" ht="38.25">
      <c r="A1393" s="1079">
        <v>91595</v>
      </c>
      <c r="B1393" s="1080" t="s">
        <v>14476</v>
      </c>
      <c r="C1393" s="1080" t="s">
        <v>7419</v>
      </c>
      <c r="D1393" s="1081" t="s">
        <v>54</v>
      </c>
      <c r="E1393" s="1082">
        <v>4.9800000000000004</v>
      </c>
      <c r="F1393" s="1083">
        <v>15.56</v>
      </c>
      <c r="G1393" s="1083">
        <v>77.42</v>
      </c>
      <c r="H1393" s="1084">
        <f t="shared" si="15"/>
        <v>5.2583846607461371E-6</v>
      </c>
      <c r="I1393" s="1085">
        <f t="shared" si="17"/>
        <v>0.99942660038876097</v>
      </c>
      <c r="J1393" s="1085" t="str">
        <f t="shared" si="16"/>
        <v>C</v>
      </c>
      <c r="K1393" s="1036"/>
      <c r="L1393" s="1036"/>
      <c r="M1393" s="1036"/>
      <c r="N1393" s="1036"/>
      <c r="O1393" s="1036"/>
      <c r="P1393" s="1036"/>
      <c r="Q1393" s="1036"/>
      <c r="R1393" s="1036"/>
      <c r="S1393" s="1036"/>
      <c r="T1393" s="1036"/>
      <c r="U1393" s="1036"/>
      <c r="V1393" s="1036"/>
      <c r="W1393" s="1036"/>
      <c r="X1393" s="1036"/>
      <c r="Y1393" s="1036"/>
      <c r="Z1393" s="1036"/>
    </row>
    <row r="1394" spans="1:26" ht="51">
      <c r="A1394" s="1079">
        <v>94706</v>
      </c>
      <c r="B1394" s="1080" t="s">
        <v>14476</v>
      </c>
      <c r="C1394" s="1080" t="s">
        <v>9402</v>
      </c>
      <c r="D1394" s="1081" t="s">
        <v>6</v>
      </c>
      <c r="E1394" s="1082">
        <v>2</v>
      </c>
      <c r="F1394" s="1083">
        <v>38.71</v>
      </c>
      <c r="G1394" s="1083">
        <v>77.42</v>
      </c>
      <c r="H1394" s="1084">
        <f t="shared" si="15"/>
        <v>5.2583846607461371E-6</v>
      </c>
      <c r="I1394" s="1085">
        <f t="shared" si="17"/>
        <v>0.99943185877342167</v>
      </c>
      <c r="J1394" s="1085" t="str">
        <f t="shared" si="16"/>
        <v>C</v>
      </c>
      <c r="K1394" s="1036"/>
      <c r="L1394" s="1036"/>
      <c r="M1394" s="1036"/>
      <c r="N1394" s="1036"/>
      <c r="O1394" s="1036"/>
      <c r="P1394" s="1036"/>
      <c r="Q1394" s="1036"/>
      <c r="R1394" s="1036"/>
      <c r="S1394" s="1036"/>
      <c r="T1394" s="1036"/>
      <c r="U1394" s="1036"/>
      <c r="V1394" s="1036"/>
      <c r="W1394" s="1036"/>
      <c r="X1394" s="1036"/>
      <c r="Y1394" s="1036"/>
      <c r="Z1394" s="1036"/>
    </row>
    <row r="1395" spans="1:26" ht="51">
      <c r="A1395" s="1079">
        <v>94706</v>
      </c>
      <c r="B1395" s="1080" t="s">
        <v>14476</v>
      </c>
      <c r="C1395" s="1080" t="s">
        <v>9402</v>
      </c>
      <c r="D1395" s="1081" t="s">
        <v>6</v>
      </c>
      <c r="E1395" s="1082">
        <v>2</v>
      </c>
      <c r="F1395" s="1083">
        <v>38.71</v>
      </c>
      <c r="G1395" s="1083">
        <v>77.42</v>
      </c>
      <c r="H1395" s="1084">
        <f t="shared" si="15"/>
        <v>5.2583846607461371E-6</v>
      </c>
      <c r="I1395" s="1085">
        <f t="shared" si="17"/>
        <v>0.99943711715808237</v>
      </c>
      <c r="J1395" s="1085" t="str">
        <f t="shared" si="16"/>
        <v>C</v>
      </c>
      <c r="K1395" s="1036"/>
      <c r="L1395" s="1036"/>
      <c r="M1395" s="1036"/>
      <c r="N1395" s="1036"/>
      <c r="O1395" s="1036"/>
      <c r="P1395" s="1036"/>
      <c r="Q1395" s="1036"/>
      <c r="R1395" s="1036"/>
      <c r="S1395" s="1036"/>
      <c r="T1395" s="1036"/>
      <c r="U1395" s="1036"/>
      <c r="V1395" s="1036"/>
      <c r="W1395" s="1036"/>
      <c r="X1395" s="1036"/>
      <c r="Y1395" s="1036"/>
      <c r="Z1395" s="1036"/>
    </row>
    <row r="1396" spans="1:26" ht="51">
      <c r="A1396" s="1079">
        <v>94706</v>
      </c>
      <c r="B1396" s="1080" t="s">
        <v>14476</v>
      </c>
      <c r="C1396" s="1080" t="s">
        <v>9402</v>
      </c>
      <c r="D1396" s="1081" t="s">
        <v>6</v>
      </c>
      <c r="E1396" s="1082">
        <v>2</v>
      </c>
      <c r="F1396" s="1083">
        <v>38.71</v>
      </c>
      <c r="G1396" s="1083">
        <v>77.42</v>
      </c>
      <c r="H1396" s="1084">
        <f t="shared" si="15"/>
        <v>5.2583846607461371E-6</v>
      </c>
      <c r="I1396" s="1085">
        <f t="shared" si="17"/>
        <v>0.99944237554274307</v>
      </c>
      <c r="J1396" s="1085" t="str">
        <f t="shared" si="16"/>
        <v>C</v>
      </c>
      <c r="K1396" s="1036"/>
      <c r="L1396" s="1036"/>
      <c r="M1396" s="1036"/>
      <c r="N1396" s="1036"/>
      <c r="O1396" s="1036"/>
      <c r="P1396" s="1036"/>
      <c r="Q1396" s="1036"/>
      <c r="R1396" s="1036"/>
      <c r="S1396" s="1036"/>
      <c r="T1396" s="1036"/>
      <c r="U1396" s="1036"/>
      <c r="V1396" s="1036"/>
      <c r="W1396" s="1036"/>
      <c r="X1396" s="1036"/>
      <c r="Y1396" s="1036"/>
      <c r="Z1396" s="1036"/>
    </row>
    <row r="1397" spans="1:26" ht="38.25">
      <c r="A1397" s="1079">
        <v>104178</v>
      </c>
      <c r="B1397" s="1080" t="s">
        <v>14476</v>
      </c>
      <c r="C1397" s="1080" t="s">
        <v>9884</v>
      </c>
      <c r="D1397" s="1081" t="s">
        <v>6</v>
      </c>
      <c r="E1397" s="1082">
        <v>3</v>
      </c>
      <c r="F1397" s="1083">
        <v>25.73</v>
      </c>
      <c r="G1397" s="1083">
        <v>77.19</v>
      </c>
      <c r="H1397" s="1084">
        <f t="shared" si="15"/>
        <v>5.2427630064969558E-6</v>
      </c>
      <c r="I1397" s="1085">
        <f t="shared" si="17"/>
        <v>0.99944761830574957</v>
      </c>
      <c r="J1397" s="1085" t="str">
        <f t="shared" si="16"/>
        <v>C</v>
      </c>
      <c r="K1397" s="1036"/>
      <c r="L1397" s="1036"/>
      <c r="M1397" s="1036"/>
      <c r="N1397" s="1036"/>
      <c r="O1397" s="1036"/>
      <c r="P1397" s="1036"/>
      <c r="Q1397" s="1036"/>
      <c r="R1397" s="1036"/>
      <c r="S1397" s="1036"/>
      <c r="T1397" s="1036"/>
      <c r="U1397" s="1036"/>
      <c r="V1397" s="1036"/>
      <c r="W1397" s="1036"/>
      <c r="X1397" s="1036"/>
      <c r="Y1397" s="1036"/>
      <c r="Z1397" s="1036"/>
    </row>
    <row r="1398" spans="1:26" ht="51">
      <c r="A1398" s="1079">
        <v>104750</v>
      </c>
      <c r="B1398" s="1080" t="s">
        <v>14476</v>
      </c>
      <c r="C1398" s="1080" t="s">
        <v>8273</v>
      </c>
      <c r="D1398" s="1081" t="s">
        <v>6</v>
      </c>
      <c r="E1398" s="1082">
        <v>4</v>
      </c>
      <c r="F1398" s="1083">
        <v>18.78</v>
      </c>
      <c r="G1398" s="1083">
        <v>75.12</v>
      </c>
      <c r="H1398" s="1084">
        <f t="shared" si="15"/>
        <v>5.1021681182543257E-6</v>
      </c>
      <c r="I1398" s="1085">
        <f t="shared" si="17"/>
        <v>0.9994527204738678</v>
      </c>
      <c r="J1398" s="1085" t="str">
        <f t="shared" si="16"/>
        <v>C</v>
      </c>
      <c r="K1398" s="1036"/>
      <c r="L1398" s="1036"/>
      <c r="M1398" s="1036"/>
      <c r="N1398" s="1036"/>
      <c r="O1398" s="1036"/>
      <c r="P1398" s="1036"/>
      <c r="Q1398" s="1036"/>
      <c r="R1398" s="1036"/>
      <c r="S1398" s="1036"/>
      <c r="T1398" s="1036"/>
      <c r="U1398" s="1036"/>
      <c r="V1398" s="1036"/>
      <c r="W1398" s="1036"/>
      <c r="X1398" s="1036"/>
      <c r="Y1398" s="1036"/>
      <c r="Z1398" s="1036"/>
    </row>
    <row r="1399" spans="1:26" ht="51">
      <c r="A1399" s="1079">
        <v>104750</v>
      </c>
      <c r="B1399" s="1080" t="s">
        <v>14476</v>
      </c>
      <c r="C1399" s="1080" t="s">
        <v>8273</v>
      </c>
      <c r="D1399" s="1081" t="s">
        <v>6</v>
      </c>
      <c r="E1399" s="1082">
        <v>4</v>
      </c>
      <c r="F1399" s="1083">
        <v>18.78</v>
      </c>
      <c r="G1399" s="1083">
        <v>75.12</v>
      </c>
      <c r="H1399" s="1084">
        <f t="shared" si="15"/>
        <v>5.1021681182543257E-6</v>
      </c>
      <c r="I1399" s="1085">
        <f t="shared" si="17"/>
        <v>0.99945782264198602</v>
      </c>
      <c r="J1399" s="1085" t="str">
        <f t="shared" si="16"/>
        <v>C</v>
      </c>
      <c r="K1399" s="1036"/>
      <c r="L1399" s="1036"/>
      <c r="M1399" s="1036"/>
      <c r="N1399" s="1036"/>
      <c r="O1399" s="1036"/>
      <c r="P1399" s="1036"/>
      <c r="Q1399" s="1036"/>
      <c r="R1399" s="1036"/>
      <c r="S1399" s="1036"/>
      <c r="T1399" s="1036"/>
      <c r="U1399" s="1036"/>
      <c r="V1399" s="1036"/>
      <c r="W1399" s="1036"/>
      <c r="X1399" s="1036"/>
      <c r="Y1399" s="1036"/>
      <c r="Z1399" s="1036"/>
    </row>
    <row r="1400" spans="1:26" ht="51">
      <c r="A1400" s="1079">
        <v>104750</v>
      </c>
      <c r="B1400" s="1080" t="s">
        <v>14476</v>
      </c>
      <c r="C1400" s="1080" t="s">
        <v>8273</v>
      </c>
      <c r="D1400" s="1081" t="s">
        <v>6</v>
      </c>
      <c r="E1400" s="1082">
        <v>4</v>
      </c>
      <c r="F1400" s="1083">
        <v>18.78</v>
      </c>
      <c r="G1400" s="1083">
        <v>75.12</v>
      </c>
      <c r="H1400" s="1084">
        <f t="shared" si="15"/>
        <v>5.1021681182543257E-6</v>
      </c>
      <c r="I1400" s="1085">
        <f t="shared" si="17"/>
        <v>0.99946292481010424</v>
      </c>
      <c r="J1400" s="1085" t="str">
        <f t="shared" si="16"/>
        <v>C</v>
      </c>
      <c r="K1400" s="1036"/>
      <c r="L1400" s="1036"/>
      <c r="M1400" s="1036"/>
      <c r="N1400" s="1036"/>
      <c r="O1400" s="1036"/>
      <c r="P1400" s="1036"/>
      <c r="Q1400" s="1036"/>
      <c r="R1400" s="1036"/>
      <c r="S1400" s="1036"/>
      <c r="T1400" s="1036"/>
      <c r="U1400" s="1036"/>
      <c r="V1400" s="1036"/>
      <c r="W1400" s="1036"/>
      <c r="X1400" s="1036"/>
      <c r="Y1400" s="1036"/>
      <c r="Z1400" s="1036"/>
    </row>
    <row r="1401" spans="1:26" ht="25.5">
      <c r="A1401" s="1079">
        <v>92865</v>
      </c>
      <c r="B1401" s="1080" t="s">
        <v>14476</v>
      </c>
      <c r="C1401" s="1080" t="s">
        <v>7891</v>
      </c>
      <c r="D1401" s="1081" t="s">
        <v>6</v>
      </c>
      <c r="E1401" s="1082">
        <v>4</v>
      </c>
      <c r="F1401" s="1083">
        <v>18.73</v>
      </c>
      <c r="G1401" s="1083">
        <v>74.92</v>
      </c>
      <c r="H1401" s="1084">
        <f t="shared" si="15"/>
        <v>5.0885840710811239E-6</v>
      </c>
      <c r="I1401" s="1085">
        <f t="shared" si="17"/>
        <v>0.99946801339417535</v>
      </c>
      <c r="J1401" s="1085" t="str">
        <f t="shared" si="16"/>
        <v>C</v>
      </c>
      <c r="K1401" s="1036"/>
      <c r="L1401" s="1036"/>
      <c r="M1401" s="1036"/>
      <c r="N1401" s="1036"/>
      <c r="O1401" s="1036"/>
      <c r="P1401" s="1036"/>
      <c r="Q1401" s="1036"/>
      <c r="R1401" s="1036"/>
      <c r="S1401" s="1036"/>
      <c r="T1401" s="1036"/>
      <c r="U1401" s="1036"/>
      <c r="V1401" s="1036"/>
      <c r="W1401" s="1036"/>
      <c r="X1401" s="1036"/>
      <c r="Y1401" s="1036"/>
      <c r="Z1401" s="1036"/>
    </row>
    <row r="1402" spans="1:26" ht="38.25">
      <c r="A1402" s="1079">
        <v>93653</v>
      </c>
      <c r="B1402" s="1080" t="s">
        <v>14476</v>
      </c>
      <c r="C1402" s="1080" t="s">
        <v>7954</v>
      </c>
      <c r="D1402" s="1081" t="s">
        <v>6</v>
      </c>
      <c r="E1402" s="1082">
        <v>5</v>
      </c>
      <c r="F1402" s="1083">
        <v>14.93</v>
      </c>
      <c r="G1402" s="1083">
        <v>74.650000000000006</v>
      </c>
      <c r="H1402" s="1084">
        <f t="shared" si="15"/>
        <v>5.0702456073973026E-6</v>
      </c>
      <c r="I1402" s="1085">
        <f t="shared" si="17"/>
        <v>0.99947308363978271</v>
      </c>
      <c r="J1402" s="1085" t="str">
        <f t="shared" si="16"/>
        <v>C</v>
      </c>
      <c r="K1402" s="1036"/>
      <c r="L1402" s="1036"/>
      <c r="M1402" s="1036"/>
      <c r="N1402" s="1036"/>
      <c r="O1402" s="1036"/>
      <c r="P1402" s="1036"/>
      <c r="Q1402" s="1036"/>
      <c r="R1402" s="1036"/>
      <c r="S1402" s="1036"/>
      <c r="T1402" s="1036"/>
      <c r="U1402" s="1036"/>
      <c r="V1402" s="1036"/>
      <c r="W1402" s="1036"/>
      <c r="X1402" s="1036"/>
      <c r="Y1402" s="1036"/>
      <c r="Z1402" s="1036"/>
    </row>
    <row r="1403" spans="1:26" ht="38.25">
      <c r="A1403" s="1079">
        <v>93653</v>
      </c>
      <c r="B1403" s="1080" t="s">
        <v>14476</v>
      </c>
      <c r="C1403" s="1080" t="s">
        <v>7954</v>
      </c>
      <c r="D1403" s="1081" t="s">
        <v>6</v>
      </c>
      <c r="E1403" s="1082">
        <v>5</v>
      </c>
      <c r="F1403" s="1083">
        <v>14.93</v>
      </c>
      <c r="G1403" s="1083">
        <v>74.650000000000006</v>
      </c>
      <c r="H1403" s="1084">
        <f t="shared" si="15"/>
        <v>5.0702456073973026E-6</v>
      </c>
      <c r="I1403" s="1085">
        <f t="shared" si="17"/>
        <v>0.99947815388539007</v>
      </c>
      <c r="J1403" s="1085" t="str">
        <f t="shared" si="16"/>
        <v>C</v>
      </c>
      <c r="K1403" s="1036"/>
      <c r="L1403" s="1036"/>
      <c r="M1403" s="1036"/>
      <c r="N1403" s="1036"/>
      <c r="O1403" s="1036"/>
      <c r="P1403" s="1036"/>
      <c r="Q1403" s="1036"/>
      <c r="R1403" s="1036"/>
      <c r="S1403" s="1036"/>
      <c r="T1403" s="1036"/>
      <c r="U1403" s="1036"/>
      <c r="V1403" s="1036"/>
      <c r="W1403" s="1036"/>
      <c r="X1403" s="1036"/>
      <c r="Y1403" s="1036"/>
      <c r="Z1403" s="1036"/>
    </row>
    <row r="1404" spans="1:26" ht="38.25">
      <c r="A1404" s="1079">
        <v>100938</v>
      </c>
      <c r="B1404" s="1080" t="s">
        <v>14476</v>
      </c>
      <c r="C1404" s="1080" t="s">
        <v>11938</v>
      </c>
      <c r="D1404" s="1081" t="s">
        <v>11696</v>
      </c>
      <c r="E1404" s="1082">
        <v>7.84</v>
      </c>
      <c r="F1404" s="1083">
        <v>9.4700000000000006</v>
      </c>
      <c r="G1404" s="1083">
        <v>74.239999999999995</v>
      </c>
      <c r="H1404" s="1084">
        <f t="shared" si="15"/>
        <v>5.0423983106922396E-6</v>
      </c>
      <c r="I1404" s="1085">
        <f t="shared" si="17"/>
        <v>0.99948319628370075</v>
      </c>
      <c r="J1404" s="1085" t="str">
        <f t="shared" si="16"/>
        <v>C</v>
      </c>
      <c r="K1404" s="1036"/>
      <c r="L1404" s="1036"/>
      <c r="M1404" s="1036"/>
      <c r="N1404" s="1036"/>
      <c r="O1404" s="1036"/>
      <c r="P1404" s="1036"/>
      <c r="Q1404" s="1036"/>
      <c r="R1404" s="1036"/>
      <c r="S1404" s="1036"/>
      <c r="T1404" s="1036"/>
      <c r="U1404" s="1036"/>
      <c r="V1404" s="1036"/>
      <c r="W1404" s="1036"/>
      <c r="X1404" s="1036"/>
      <c r="Y1404" s="1036"/>
      <c r="Z1404" s="1036"/>
    </row>
    <row r="1405" spans="1:26" ht="38.25">
      <c r="A1405" s="1079" t="s">
        <v>15118</v>
      </c>
      <c r="B1405" s="1080" t="s">
        <v>14472</v>
      </c>
      <c r="C1405" s="1080" t="s">
        <v>15119</v>
      </c>
      <c r="D1405" s="1081" t="s">
        <v>6</v>
      </c>
      <c r="E1405" s="1082">
        <v>5</v>
      </c>
      <c r="F1405" s="1083">
        <v>14.72</v>
      </c>
      <c r="G1405" s="1083">
        <v>73.599999999999994</v>
      </c>
      <c r="H1405" s="1084">
        <f t="shared" si="15"/>
        <v>4.9989293597379961E-6</v>
      </c>
      <c r="I1405" s="1085">
        <f t="shared" si="17"/>
        <v>0.99948819521306054</v>
      </c>
      <c r="J1405" s="1085" t="str">
        <f t="shared" si="16"/>
        <v>C</v>
      </c>
      <c r="K1405" s="1036"/>
      <c r="L1405" s="1036"/>
      <c r="M1405" s="1036"/>
      <c r="N1405" s="1036"/>
      <c r="O1405" s="1036"/>
      <c r="P1405" s="1036"/>
      <c r="Q1405" s="1036"/>
      <c r="R1405" s="1036"/>
      <c r="S1405" s="1036"/>
      <c r="T1405" s="1036"/>
      <c r="U1405" s="1036"/>
      <c r="V1405" s="1036"/>
      <c r="W1405" s="1036"/>
      <c r="X1405" s="1036"/>
      <c r="Y1405" s="1036"/>
      <c r="Z1405" s="1036"/>
    </row>
    <row r="1406" spans="1:26" ht="25.5">
      <c r="A1406" s="1079" t="s">
        <v>15150</v>
      </c>
      <c r="B1406" s="1080" t="s">
        <v>14472</v>
      </c>
      <c r="C1406" s="1080" t="s">
        <v>15151</v>
      </c>
      <c r="D1406" s="1081" t="s">
        <v>50</v>
      </c>
      <c r="E1406" s="1082">
        <v>5</v>
      </c>
      <c r="F1406" s="1083">
        <v>14.66</v>
      </c>
      <c r="G1406" s="1083">
        <v>73.3</v>
      </c>
      <c r="H1406" s="1084">
        <f t="shared" si="15"/>
        <v>4.9785532889781952E-6</v>
      </c>
      <c r="I1406" s="1085">
        <f t="shared" si="17"/>
        <v>0.9994931737663495</v>
      </c>
      <c r="J1406" s="1085" t="str">
        <f t="shared" si="16"/>
        <v>C</v>
      </c>
      <c r="K1406" s="1036"/>
      <c r="L1406" s="1036"/>
      <c r="M1406" s="1036"/>
      <c r="N1406" s="1036"/>
      <c r="O1406" s="1036"/>
      <c r="P1406" s="1036"/>
      <c r="Q1406" s="1036"/>
      <c r="R1406" s="1036"/>
      <c r="S1406" s="1036"/>
      <c r="T1406" s="1036"/>
      <c r="U1406" s="1036"/>
      <c r="V1406" s="1036"/>
      <c r="W1406" s="1036"/>
      <c r="X1406" s="1036"/>
      <c r="Y1406" s="1036"/>
      <c r="Z1406" s="1036"/>
    </row>
    <row r="1407" spans="1:26" ht="51">
      <c r="A1407" s="1079">
        <v>89366</v>
      </c>
      <c r="B1407" s="1080" t="s">
        <v>14476</v>
      </c>
      <c r="C1407" s="1080" t="s">
        <v>16007</v>
      </c>
      <c r="D1407" s="1081" t="s">
        <v>6</v>
      </c>
      <c r="E1407" s="1082">
        <v>4</v>
      </c>
      <c r="F1407" s="1083">
        <v>18.309999999999999</v>
      </c>
      <c r="G1407" s="1083">
        <v>73.239999999999995</v>
      </c>
      <c r="H1407" s="1084">
        <f t="shared" si="15"/>
        <v>4.9744780748262343E-6</v>
      </c>
      <c r="I1407" s="1085">
        <f t="shared" si="17"/>
        <v>0.99949814824442429</v>
      </c>
      <c r="J1407" s="1085" t="str">
        <f t="shared" si="16"/>
        <v>C</v>
      </c>
      <c r="K1407" s="1036"/>
      <c r="L1407" s="1036"/>
      <c r="M1407" s="1036"/>
      <c r="N1407" s="1036"/>
      <c r="O1407" s="1036"/>
      <c r="P1407" s="1036"/>
      <c r="Q1407" s="1036"/>
      <c r="R1407" s="1036"/>
      <c r="S1407" s="1036"/>
      <c r="T1407" s="1036"/>
      <c r="U1407" s="1036"/>
      <c r="V1407" s="1036"/>
      <c r="W1407" s="1036"/>
      <c r="X1407" s="1036"/>
      <c r="Y1407" s="1036"/>
      <c r="Z1407" s="1036"/>
    </row>
    <row r="1408" spans="1:26" ht="38.25">
      <c r="A1408" s="1079">
        <v>100938</v>
      </c>
      <c r="B1408" s="1080" t="s">
        <v>14476</v>
      </c>
      <c r="C1408" s="1080" t="s">
        <v>11938</v>
      </c>
      <c r="D1408" s="1081" t="s">
        <v>11696</v>
      </c>
      <c r="E1408" s="1082">
        <v>7.73</v>
      </c>
      <c r="F1408" s="1083">
        <v>9.4700000000000006</v>
      </c>
      <c r="G1408" s="1083">
        <v>73.180000000000007</v>
      </c>
      <c r="H1408" s="1084">
        <f t="shared" si="15"/>
        <v>4.9704028606742752E-6</v>
      </c>
      <c r="I1408" s="1085">
        <f t="shared" si="17"/>
        <v>0.99950311864728492</v>
      </c>
      <c r="J1408" s="1085" t="str">
        <f t="shared" si="16"/>
        <v>C</v>
      </c>
      <c r="K1408" s="1036"/>
      <c r="L1408" s="1036"/>
      <c r="M1408" s="1036"/>
      <c r="N1408" s="1036"/>
      <c r="O1408" s="1036"/>
      <c r="P1408" s="1036"/>
      <c r="Q1408" s="1036"/>
      <c r="R1408" s="1036"/>
      <c r="S1408" s="1036"/>
      <c r="T1408" s="1036"/>
      <c r="U1408" s="1036"/>
      <c r="V1408" s="1036"/>
      <c r="W1408" s="1036"/>
      <c r="X1408" s="1036"/>
      <c r="Y1408" s="1036"/>
      <c r="Z1408" s="1036"/>
    </row>
    <row r="1409" spans="1:26" ht="38.25">
      <c r="A1409" s="1079">
        <v>91859</v>
      </c>
      <c r="B1409" s="1080" t="s">
        <v>14476</v>
      </c>
      <c r="C1409" s="1080" t="s">
        <v>7774</v>
      </c>
      <c r="D1409" s="1081" t="s">
        <v>50</v>
      </c>
      <c r="E1409" s="1082">
        <v>6</v>
      </c>
      <c r="F1409" s="1083">
        <v>12.1</v>
      </c>
      <c r="G1409" s="1083">
        <v>72.599999999999994</v>
      </c>
      <c r="H1409" s="1084">
        <f t="shared" si="15"/>
        <v>4.9310091238719908E-6</v>
      </c>
      <c r="I1409" s="1085">
        <f t="shared" si="17"/>
        <v>0.99950804965640883</v>
      </c>
      <c r="J1409" s="1085" t="str">
        <f t="shared" si="16"/>
        <v>C</v>
      </c>
      <c r="K1409" s="1036"/>
      <c r="L1409" s="1036"/>
      <c r="M1409" s="1036"/>
      <c r="N1409" s="1036"/>
      <c r="O1409" s="1036"/>
      <c r="P1409" s="1036"/>
      <c r="Q1409" s="1036"/>
      <c r="R1409" s="1036"/>
      <c r="S1409" s="1036"/>
      <c r="T1409" s="1036"/>
      <c r="U1409" s="1036"/>
      <c r="V1409" s="1036"/>
      <c r="W1409" s="1036"/>
      <c r="X1409" s="1036"/>
      <c r="Y1409" s="1036"/>
      <c r="Z1409" s="1036"/>
    </row>
    <row r="1410" spans="1:26" ht="38.25">
      <c r="A1410" s="1079">
        <v>91967</v>
      </c>
      <c r="B1410" s="1080" t="s">
        <v>14476</v>
      </c>
      <c r="C1410" s="1080" t="s">
        <v>8026</v>
      </c>
      <c r="D1410" s="1081" t="s">
        <v>6</v>
      </c>
      <c r="E1410" s="1082">
        <v>1</v>
      </c>
      <c r="F1410" s="1083">
        <v>72.23</v>
      </c>
      <c r="G1410" s="1083">
        <v>72.23</v>
      </c>
      <c r="H1410" s="1084">
        <f t="shared" si="15"/>
        <v>4.9058786366015695E-6</v>
      </c>
      <c r="I1410" s="1085">
        <f t="shared" si="17"/>
        <v>0.99951295553504538</v>
      </c>
      <c r="J1410" s="1085" t="str">
        <f t="shared" si="16"/>
        <v>C</v>
      </c>
      <c r="K1410" s="1036"/>
      <c r="L1410" s="1036"/>
      <c r="M1410" s="1036"/>
      <c r="N1410" s="1036"/>
      <c r="O1410" s="1036"/>
      <c r="P1410" s="1036"/>
      <c r="Q1410" s="1036"/>
      <c r="R1410" s="1036"/>
      <c r="S1410" s="1036"/>
      <c r="T1410" s="1036"/>
      <c r="U1410" s="1036"/>
      <c r="V1410" s="1036"/>
      <c r="W1410" s="1036"/>
      <c r="X1410" s="1036"/>
      <c r="Y1410" s="1036"/>
      <c r="Z1410" s="1036"/>
    </row>
    <row r="1411" spans="1:26" ht="25.5">
      <c r="A1411" s="1079">
        <v>93382</v>
      </c>
      <c r="B1411" s="1080" t="s">
        <v>14476</v>
      </c>
      <c r="C1411" s="1080" t="s">
        <v>10726</v>
      </c>
      <c r="D1411" s="1081" t="s">
        <v>152</v>
      </c>
      <c r="E1411" s="1082">
        <v>2.4300000000000002</v>
      </c>
      <c r="F1411" s="1083">
        <v>29.52</v>
      </c>
      <c r="G1411" s="1083">
        <v>71.760000000000005</v>
      </c>
      <c r="H1411" s="1084">
        <f t="shared" si="15"/>
        <v>4.8739561257445473E-6</v>
      </c>
      <c r="I1411" s="1085">
        <f t="shared" si="17"/>
        <v>0.99951782949117107</v>
      </c>
      <c r="J1411" s="1085" t="str">
        <f t="shared" si="16"/>
        <v>C</v>
      </c>
      <c r="K1411" s="1036"/>
      <c r="L1411" s="1036"/>
      <c r="M1411" s="1036"/>
      <c r="N1411" s="1036"/>
      <c r="O1411" s="1036"/>
      <c r="P1411" s="1036"/>
      <c r="Q1411" s="1036"/>
      <c r="R1411" s="1036"/>
      <c r="S1411" s="1036"/>
      <c r="T1411" s="1036"/>
      <c r="U1411" s="1036"/>
      <c r="V1411" s="1036"/>
      <c r="W1411" s="1036"/>
      <c r="X1411" s="1036"/>
      <c r="Y1411" s="1036"/>
      <c r="Z1411" s="1036"/>
    </row>
    <row r="1412" spans="1:26" ht="51">
      <c r="A1412" s="1079" t="s">
        <v>15147</v>
      </c>
      <c r="B1412" s="1080" t="s">
        <v>14472</v>
      </c>
      <c r="C1412" s="1080" t="s">
        <v>15148</v>
      </c>
      <c r="D1412" s="1081" t="s">
        <v>6</v>
      </c>
      <c r="E1412" s="1082">
        <v>1</v>
      </c>
      <c r="F1412" s="1083">
        <v>70.41</v>
      </c>
      <c r="G1412" s="1083">
        <v>70.41</v>
      </c>
      <c r="H1412" s="1084">
        <f t="shared" si="15"/>
        <v>4.782263807325439E-6</v>
      </c>
      <c r="I1412" s="1085">
        <f t="shared" si="17"/>
        <v>0.99952261175497836</v>
      </c>
      <c r="J1412" s="1085" t="str">
        <f t="shared" si="16"/>
        <v>C</v>
      </c>
      <c r="K1412" s="1036"/>
      <c r="L1412" s="1036"/>
      <c r="M1412" s="1036"/>
      <c r="N1412" s="1036"/>
      <c r="O1412" s="1036"/>
      <c r="P1412" s="1036"/>
      <c r="Q1412" s="1036"/>
      <c r="R1412" s="1036"/>
      <c r="S1412" s="1036"/>
      <c r="T1412" s="1036"/>
      <c r="U1412" s="1036"/>
      <c r="V1412" s="1036"/>
      <c r="W1412" s="1036"/>
      <c r="X1412" s="1036"/>
      <c r="Y1412" s="1036"/>
      <c r="Z1412" s="1036"/>
    </row>
    <row r="1413" spans="1:26" ht="38.25">
      <c r="A1413" s="1079">
        <v>102494</v>
      </c>
      <c r="B1413" s="1080" t="s">
        <v>14476</v>
      </c>
      <c r="C1413" s="1080" t="s">
        <v>11107</v>
      </c>
      <c r="D1413" s="1081" t="s">
        <v>409</v>
      </c>
      <c r="E1413" s="1082">
        <v>1</v>
      </c>
      <c r="F1413" s="1083">
        <v>70.25</v>
      </c>
      <c r="G1413" s="1083">
        <v>70.25</v>
      </c>
      <c r="H1413" s="1084">
        <f t="shared" si="15"/>
        <v>4.771396569586879E-6</v>
      </c>
      <c r="I1413" s="1085">
        <f t="shared" si="17"/>
        <v>0.99952738315154799</v>
      </c>
      <c r="J1413" s="1085" t="str">
        <f t="shared" si="16"/>
        <v>C</v>
      </c>
      <c r="K1413" s="1036"/>
      <c r="L1413" s="1036"/>
      <c r="M1413" s="1036"/>
      <c r="N1413" s="1036"/>
      <c r="O1413" s="1036"/>
      <c r="P1413" s="1036"/>
      <c r="Q1413" s="1036"/>
      <c r="R1413" s="1036"/>
      <c r="S1413" s="1036"/>
      <c r="T1413" s="1036"/>
      <c r="U1413" s="1036"/>
      <c r="V1413" s="1036"/>
      <c r="W1413" s="1036"/>
      <c r="X1413" s="1036"/>
      <c r="Y1413" s="1036"/>
      <c r="Z1413" s="1036"/>
    </row>
    <row r="1414" spans="1:26" ht="25.5">
      <c r="A1414" s="1079" t="s">
        <v>15270</v>
      </c>
      <c r="B1414" s="1080" t="s">
        <v>14472</v>
      </c>
      <c r="C1414" s="1080" t="s">
        <v>16026</v>
      </c>
      <c r="D1414" s="1081" t="s">
        <v>6</v>
      </c>
      <c r="E1414" s="1082">
        <v>2</v>
      </c>
      <c r="F1414" s="1083">
        <v>35.020000000000003</v>
      </c>
      <c r="G1414" s="1083">
        <v>70.040000000000006</v>
      </c>
      <c r="H1414" s="1084">
        <f t="shared" si="15"/>
        <v>4.7571333200550177E-6</v>
      </c>
      <c r="I1414" s="1085">
        <f t="shared" si="17"/>
        <v>0.99953214028486803</v>
      </c>
      <c r="J1414" s="1085" t="str">
        <f t="shared" si="16"/>
        <v>C</v>
      </c>
      <c r="K1414" s="1036"/>
      <c r="L1414" s="1036"/>
      <c r="M1414" s="1036"/>
      <c r="N1414" s="1036"/>
      <c r="O1414" s="1036"/>
      <c r="P1414" s="1036"/>
      <c r="Q1414" s="1036"/>
      <c r="R1414" s="1036"/>
      <c r="S1414" s="1036"/>
      <c r="T1414" s="1036"/>
      <c r="U1414" s="1036"/>
      <c r="V1414" s="1036"/>
      <c r="W1414" s="1036"/>
      <c r="X1414" s="1036"/>
      <c r="Y1414" s="1036"/>
      <c r="Z1414" s="1036"/>
    </row>
    <row r="1415" spans="1:26" ht="25.5">
      <c r="A1415" s="1079" t="s">
        <v>15270</v>
      </c>
      <c r="B1415" s="1080" t="s">
        <v>14472</v>
      </c>
      <c r="C1415" s="1080" t="s">
        <v>16026</v>
      </c>
      <c r="D1415" s="1081" t="s">
        <v>6</v>
      </c>
      <c r="E1415" s="1082">
        <v>2</v>
      </c>
      <c r="F1415" s="1083">
        <v>35.020000000000003</v>
      </c>
      <c r="G1415" s="1083">
        <v>70.040000000000006</v>
      </c>
      <c r="H1415" s="1084">
        <f t="shared" si="15"/>
        <v>4.7571333200550177E-6</v>
      </c>
      <c r="I1415" s="1085">
        <f t="shared" si="17"/>
        <v>0.99953689741818808</v>
      </c>
      <c r="J1415" s="1085" t="str">
        <f t="shared" si="16"/>
        <v>C</v>
      </c>
      <c r="K1415" s="1036"/>
      <c r="L1415" s="1036"/>
      <c r="M1415" s="1036"/>
      <c r="N1415" s="1036"/>
      <c r="O1415" s="1036"/>
      <c r="P1415" s="1036"/>
      <c r="Q1415" s="1036"/>
      <c r="R1415" s="1036"/>
      <c r="S1415" s="1036"/>
      <c r="T1415" s="1036"/>
      <c r="U1415" s="1036"/>
      <c r="V1415" s="1036"/>
      <c r="W1415" s="1036"/>
      <c r="X1415" s="1036"/>
      <c r="Y1415" s="1036"/>
      <c r="Z1415" s="1036"/>
    </row>
    <row r="1416" spans="1:26" ht="25.5">
      <c r="A1416" s="1079">
        <v>95543</v>
      </c>
      <c r="B1416" s="1080" t="s">
        <v>14476</v>
      </c>
      <c r="C1416" s="1080" t="s">
        <v>10153</v>
      </c>
      <c r="D1416" s="1081" t="s">
        <v>6</v>
      </c>
      <c r="E1416" s="1082">
        <v>1</v>
      </c>
      <c r="F1416" s="1083">
        <v>69.98</v>
      </c>
      <c r="G1416" s="1083">
        <v>69.98</v>
      </c>
      <c r="H1416" s="1084">
        <f t="shared" si="15"/>
        <v>4.7530581059030576E-6</v>
      </c>
      <c r="I1416" s="1085">
        <f t="shared" si="17"/>
        <v>0.99954165047629395</v>
      </c>
      <c r="J1416" s="1085" t="str">
        <f t="shared" si="16"/>
        <v>C</v>
      </c>
      <c r="K1416" s="1036"/>
      <c r="L1416" s="1036"/>
      <c r="M1416" s="1036"/>
      <c r="N1416" s="1036"/>
      <c r="O1416" s="1036"/>
      <c r="P1416" s="1036"/>
      <c r="Q1416" s="1036"/>
      <c r="R1416" s="1036"/>
      <c r="S1416" s="1036"/>
      <c r="T1416" s="1036"/>
      <c r="U1416" s="1036"/>
      <c r="V1416" s="1036"/>
      <c r="W1416" s="1036"/>
      <c r="X1416" s="1036"/>
      <c r="Y1416" s="1036"/>
      <c r="Z1416" s="1036"/>
    </row>
    <row r="1417" spans="1:26" ht="25.5">
      <c r="A1417" s="1079" t="s">
        <v>15329</v>
      </c>
      <c r="B1417" s="1080" t="s">
        <v>14472</v>
      </c>
      <c r="C1417" s="1080" t="s">
        <v>15306</v>
      </c>
      <c r="D1417" s="1081" t="s">
        <v>6</v>
      </c>
      <c r="E1417" s="1082">
        <v>6</v>
      </c>
      <c r="F1417" s="1083">
        <v>11.62</v>
      </c>
      <c r="G1417" s="1083">
        <v>69.72</v>
      </c>
      <c r="H1417" s="1084">
        <f t="shared" si="15"/>
        <v>4.7353988445778959E-6</v>
      </c>
      <c r="I1417" s="1085">
        <f t="shared" si="17"/>
        <v>0.99954638587513855</v>
      </c>
      <c r="J1417" s="1085" t="str">
        <f t="shared" si="16"/>
        <v>C</v>
      </c>
      <c r="K1417" s="1036"/>
      <c r="L1417" s="1036"/>
      <c r="M1417" s="1036"/>
      <c r="N1417" s="1036"/>
      <c r="O1417" s="1036"/>
      <c r="P1417" s="1036"/>
      <c r="Q1417" s="1036"/>
      <c r="R1417" s="1036"/>
      <c r="S1417" s="1036"/>
      <c r="T1417" s="1036"/>
      <c r="U1417" s="1036"/>
      <c r="V1417" s="1036"/>
      <c r="W1417" s="1036"/>
      <c r="X1417" s="1036"/>
      <c r="Y1417" s="1036"/>
      <c r="Z1417" s="1036"/>
    </row>
    <row r="1418" spans="1:26" ht="38.25">
      <c r="A1418" s="1079">
        <v>100938</v>
      </c>
      <c r="B1418" s="1080" t="s">
        <v>14476</v>
      </c>
      <c r="C1418" s="1080" t="s">
        <v>11938</v>
      </c>
      <c r="D1418" s="1081" t="s">
        <v>11696</v>
      </c>
      <c r="E1418" s="1082">
        <v>7.28</v>
      </c>
      <c r="F1418" s="1083">
        <v>9.4700000000000006</v>
      </c>
      <c r="G1418" s="1083">
        <v>68.94</v>
      </c>
      <c r="H1418" s="1084">
        <f t="shared" si="15"/>
        <v>4.6824210606024115E-6</v>
      </c>
      <c r="I1418" s="1085">
        <f t="shared" si="17"/>
        <v>0.99955106829619911</v>
      </c>
      <c r="J1418" s="1085" t="str">
        <f t="shared" si="16"/>
        <v>C</v>
      </c>
      <c r="K1418" s="1036"/>
      <c r="L1418" s="1036"/>
      <c r="M1418" s="1036"/>
      <c r="N1418" s="1036"/>
      <c r="O1418" s="1036"/>
      <c r="P1418" s="1036"/>
      <c r="Q1418" s="1036"/>
      <c r="R1418" s="1036"/>
      <c r="S1418" s="1036"/>
      <c r="T1418" s="1036"/>
      <c r="U1418" s="1036"/>
      <c r="V1418" s="1036"/>
      <c r="W1418" s="1036"/>
      <c r="X1418" s="1036"/>
      <c r="Y1418" s="1036"/>
      <c r="Z1418" s="1036"/>
    </row>
    <row r="1419" spans="1:26" ht="25.5">
      <c r="A1419" s="1079" t="s">
        <v>15372</v>
      </c>
      <c r="B1419" s="1080" t="s">
        <v>14472</v>
      </c>
      <c r="C1419" s="1080" t="s">
        <v>15373</v>
      </c>
      <c r="D1419" s="1081" t="s">
        <v>6</v>
      </c>
      <c r="E1419" s="1082">
        <v>3</v>
      </c>
      <c r="F1419" s="1083">
        <v>22.92</v>
      </c>
      <c r="G1419" s="1083">
        <v>68.760000000000005</v>
      </c>
      <c r="H1419" s="1084">
        <f t="shared" si="15"/>
        <v>4.6701954181465307E-6</v>
      </c>
      <c r="I1419" s="1085">
        <f t="shared" si="17"/>
        <v>0.99955573849161727</v>
      </c>
      <c r="J1419" s="1085" t="str">
        <f t="shared" si="16"/>
        <v>C</v>
      </c>
      <c r="K1419" s="1036"/>
      <c r="L1419" s="1036"/>
      <c r="M1419" s="1036"/>
      <c r="N1419" s="1036"/>
      <c r="O1419" s="1036"/>
      <c r="P1419" s="1036"/>
      <c r="Q1419" s="1036"/>
      <c r="R1419" s="1036"/>
      <c r="S1419" s="1036"/>
      <c r="T1419" s="1036"/>
      <c r="U1419" s="1036"/>
      <c r="V1419" s="1036"/>
      <c r="W1419" s="1036"/>
      <c r="X1419" s="1036"/>
      <c r="Y1419" s="1036"/>
      <c r="Z1419" s="1036"/>
    </row>
    <row r="1420" spans="1:26" ht="38.25">
      <c r="A1420" s="1079">
        <v>91985</v>
      </c>
      <c r="B1420" s="1080" t="s">
        <v>14476</v>
      </c>
      <c r="C1420" s="1080" t="s">
        <v>8044</v>
      </c>
      <c r="D1420" s="1081" t="s">
        <v>6</v>
      </c>
      <c r="E1420" s="1082">
        <v>2</v>
      </c>
      <c r="F1420" s="1083">
        <v>33.92</v>
      </c>
      <c r="G1420" s="1083">
        <v>67.84</v>
      </c>
      <c r="H1420" s="1084">
        <f t="shared" si="15"/>
        <v>4.6077088011498062E-6</v>
      </c>
      <c r="I1420" s="1085">
        <f t="shared" si="17"/>
        <v>0.99956034620041845</v>
      </c>
      <c r="J1420" s="1085" t="str">
        <f t="shared" si="16"/>
        <v>C</v>
      </c>
      <c r="K1420" s="1036"/>
      <c r="L1420" s="1036"/>
      <c r="M1420" s="1036"/>
      <c r="N1420" s="1036"/>
      <c r="O1420" s="1036"/>
      <c r="P1420" s="1036"/>
      <c r="Q1420" s="1036"/>
      <c r="R1420" s="1036"/>
      <c r="S1420" s="1036"/>
      <c r="T1420" s="1036"/>
      <c r="U1420" s="1036"/>
      <c r="V1420" s="1036"/>
      <c r="W1420" s="1036"/>
      <c r="X1420" s="1036"/>
      <c r="Y1420" s="1036"/>
      <c r="Z1420" s="1036"/>
    </row>
    <row r="1421" spans="1:26" ht="38.25">
      <c r="A1421" s="1079">
        <v>91985</v>
      </c>
      <c r="B1421" s="1080" t="s">
        <v>14476</v>
      </c>
      <c r="C1421" s="1080" t="s">
        <v>8044</v>
      </c>
      <c r="D1421" s="1081" t="s">
        <v>6</v>
      </c>
      <c r="E1421" s="1082">
        <v>2</v>
      </c>
      <c r="F1421" s="1083">
        <v>33.92</v>
      </c>
      <c r="G1421" s="1083">
        <v>67.84</v>
      </c>
      <c r="H1421" s="1084">
        <f t="shared" si="15"/>
        <v>4.6077088011498062E-6</v>
      </c>
      <c r="I1421" s="1085">
        <f t="shared" si="17"/>
        <v>0.99956495390921962</v>
      </c>
      <c r="J1421" s="1085" t="str">
        <f t="shared" si="16"/>
        <v>C</v>
      </c>
      <c r="K1421" s="1036"/>
      <c r="L1421" s="1036"/>
      <c r="M1421" s="1036"/>
      <c r="N1421" s="1036"/>
      <c r="O1421" s="1036"/>
      <c r="P1421" s="1036"/>
      <c r="Q1421" s="1036"/>
      <c r="R1421" s="1036"/>
      <c r="S1421" s="1036"/>
      <c r="T1421" s="1036"/>
      <c r="U1421" s="1036"/>
      <c r="V1421" s="1036"/>
      <c r="W1421" s="1036"/>
      <c r="X1421" s="1036"/>
      <c r="Y1421" s="1036"/>
      <c r="Z1421" s="1036"/>
    </row>
    <row r="1422" spans="1:26" ht="38.25">
      <c r="A1422" s="1079">
        <v>91985</v>
      </c>
      <c r="B1422" s="1080" t="s">
        <v>14476</v>
      </c>
      <c r="C1422" s="1080" t="s">
        <v>8044</v>
      </c>
      <c r="D1422" s="1081" t="s">
        <v>6</v>
      </c>
      <c r="E1422" s="1082">
        <v>2</v>
      </c>
      <c r="F1422" s="1083">
        <v>33.92</v>
      </c>
      <c r="G1422" s="1083">
        <v>67.84</v>
      </c>
      <c r="H1422" s="1084">
        <f t="shared" si="15"/>
        <v>4.6077088011498062E-6</v>
      </c>
      <c r="I1422" s="1085">
        <f t="shared" si="17"/>
        <v>0.9995695616180208</v>
      </c>
      <c r="J1422" s="1085" t="str">
        <f t="shared" si="16"/>
        <v>C</v>
      </c>
      <c r="K1422" s="1036"/>
      <c r="L1422" s="1036"/>
      <c r="M1422" s="1036"/>
      <c r="N1422" s="1036"/>
      <c r="O1422" s="1036"/>
      <c r="P1422" s="1036"/>
      <c r="Q1422" s="1036"/>
      <c r="R1422" s="1036"/>
      <c r="S1422" s="1036"/>
      <c r="T1422" s="1036"/>
      <c r="U1422" s="1036"/>
      <c r="V1422" s="1036"/>
      <c r="W1422" s="1036"/>
      <c r="X1422" s="1036"/>
      <c r="Y1422" s="1036"/>
      <c r="Z1422" s="1036"/>
    </row>
    <row r="1423" spans="1:26" ht="25.5">
      <c r="A1423" s="1079" t="s">
        <v>15141</v>
      </c>
      <c r="B1423" s="1080" t="s">
        <v>14472</v>
      </c>
      <c r="C1423" s="1080" t="s">
        <v>15142</v>
      </c>
      <c r="D1423" s="1081" t="s">
        <v>6</v>
      </c>
      <c r="E1423" s="1082">
        <v>4</v>
      </c>
      <c r="F1423" s="1083">
        <v>16.87</v>
      </c>
      <c r="G1423" s="1083">
        <v>67.48</v>
      </c>
      <c r="H1423" s="1084">
        <f t="shared" si="15"/>
        <v>4.5832575162380436E-6</v>
      </c>
      <c r="I1423" s="1085">
        <f t="shared" si="17"/>
        <v>0.99957414487553709</v>
      </c>
      <c r="J1423" s="1085" t="str">
        <f t="shared" si="16"/>
        <v>C</v>
      </c>
      <c r="K1423" s="1036"/>
      <c r="L1423" s="1036"/>
      <c r="M1423" s="1036"/>
      <c r="N1423" s="1036"/>
      <c r="O1423" s="1036"/>
      <c r="P1423" s="1036"/>
      <c r="Q1423" s="1036"/>
      <c r="R1423" s="1036"/>
      <c r="S1423" s="1036"/>
      <c r="T1423" s="1036"/>
      <c r="U1423" s="1036"/>
      <c r="V1423" s="1036"/>
      <c r="W1423" s="1036"/>
      <c r="X1423" s="1036"/>
      <c r="Y1423" s="1036"/>
      <c r="Z1423" s="1036"/>
    </row>
    <row r="1424" spans="1:26" ht="38.25">
      <c r="A1424" s="1079">
        <v>103948</v>
      </c>
      <c r="B1424" s="1080" t="s">
        <v>14476</v>
      </c>
      <c r="C1424" s="1080" t="s">
        <v>9802</v>
      </c>
      <c r="D1424" s="1081" t="s">
        <v>6</v>
      </c>
      <c r="E1424" s="1082">
        <v>7</v>
      </c>
      <c r="F1424" s="1083">
        <v>9.4</v>
      </c>
      <c r="G1424" s="1083">
        <v>65.8</v>
      </c>
      <c r="H1424" s="1084">
        <f t="shared" si="15"/>
        <v>4.4691515199831549E-6</v>
      </c>
      <c r="I1424" s="1085">
        <f t="shared" si="17"/>
        <v>0.99957861402705706</v>
      </c>
      <c r="J1424" s="1085" t="str">
        <f t="shared" si="16"/>
        <v>C</v>
      </c>
      <c r="K1424" s="1036"/>
      <c r="L1424" s="1036"/>
      <c r="M1424" s="1036"/>
      <c r="N1424" s="1036"/>
      <c r="O1424" s="1036"/>
      <c r="P1424" s="1036"/>
      <c r="Q1424" s="1036"/>
      <c r="R1424" s="1036"/>
      <c r="S1424" s="1036"/>
      <c r="T1424" s="1036"/>
      <c r="U1424" s="1036"/>
      <c r="V1424" s="1036"/>
      <c r="W1424" s="1036"/>
      <c r="X1424" s="1036"/>
      <c r="Y1424" s="1036"/>
      <c r="Z1424" s="1036"/>
    </row>
    <row r="1425" spans="1:26" ht="51">
      <c r="A1425" s="1079">
        <v>94703</v>
      </c>
      <c r="B1425" s="1080" t="s">
        <v>14476</v>
      </c>
      <c r="C1425" s="1080" t="s">
        <v>16027</v>
      </c>
      <c r="D1425" s="1081" t="s">
        <v>6</v>
      </c>
      <c r="E1425" s="1082">
        <v>3</v>
      </c>
      <c r="F1425" s="1083">
        <v>21.73</v>
      </c>
      <c r="G1425" s="1083">
        <v>65.19</v>
      </c>
      <c r="H1425" s="1084">
        <f t="shared" si="15"/>
        <v>4.427720176104891E-6</v>
      </c>
      <c r="I1425" s="1085">
        <f t="shared" si="17"/>
        <v>0.99958304174723311</v>
      </c>
      <c r="J1425" s="1085" t="str">
        <f t="shared" si="16"/>
        <v>C</v>
      </c>
      <c r="K1425" s="1036"/>
      <c r="L1425" s="1036"/>
      <c r="M1425" s="1036"/>
      <c r="N1425" s="1036"/>
      <c r="O1425" s="1036"/>
      <c r="P1425" s="1036"/>
      <c r="Q1425" s="1036"/>
      <c r="R1425" s="1036"/>
      <c r="S1425" s="1036"/>
      <c r="T1425" s="1036"/>
      <c r="U1425" s="1036"/>
      <c r="V1425" s="1036"/>
      <c r="W1425" s="1036"/>
      <c r="X1425" s="1036"/>
      <c r="Y1425" s="1036"/>
      <c r="Z1425" s="1036"/>
    </row>
    <row r="1426" spans="1:26" ht="51">
      <c r="A1426" s="1079">
        <v>94703</v>
      </c>
      <c r="B1426" s="1080" t="s">
        <v>14476</v>
      </c>
      <c r="C1426" s="1080" t="s">
        <v>16027</v>
      </c>
      <c r="D1426" s="1081" t="s">
        <v>6</v>
      </c>
      <c r="E1426" s="1082">
        <v>3</v>
      </c>
      <c r="F1426" s="1083">
        <v>21.73</v>
      </c>
      <c r="G1426" s="1083">
        <v>65.19</v>
      </c>
      <c r="H1426" s="1084">
        <f t="shared" si="15"/>
        <v>4.427720176104891E-6</v>
      </c>
      <c r="I1426" s="1085">
        <f t="shared" si="17"/>
        <v>0.99958746946740917</v>
      </c>
      <c r="J1426" s="1085" t="str">
        <f t="shared" si="16"/>
        <v>C</v>
      </c>
      <c r="K1426" s="1036"/>
      <c r="L1426" s="1036"/>
      <c r="M1426" s="1036"/>
      <c r="N1426" s="1036"/>
      <c r="O1426" s="1036"/>
      <c r="P1426" s="1036"/>
      <c r="Q1426" s="1036"/>
      <c r="R1426" s="1036"/>
      <c r="S1426" s="1036"/>
      <c r="T1426" s="1036"/>
      <c r="U1426" s="1036"/>
      <c r="V1426" s="1036"/>
      <c r="W1426" s="1036"/>
      <c r="X1426" s="1036"/>
      <c r="Y1426" s="1036"/>
      <c r="Z1426" s="1036"/>
    </row>
    <row r="1427" spans="1:26" ht="25.5">
      <c r="A1427" s="1079">
        <v>93382</v>
      </c>
      <c r="B1427" s="1080" t="s">
        <v>14476</v>
      </c>
      <c r="C1427" s="1080" t="s">
        <v>10726</v>
      </c>
      <c r="D1427" s="1081" t="s">
        <v>152</v>
      </c>
      <c r="E1427" s="1082">
        <v>2.1800000000000002</v>
      </c>
      <c r="F1427" s="1083">
        <v>29.52</v>
      </c>
      <c r="G1427" s="1083">
        <v>64.290000000000006</v>
      </c>
      <c r="H1427" s="1084">
        <f t="shared" si="15"/>
        <v>4.3665919638254874E-6</v>
      </c>
      <c r="I1427" s="1085">
        <f t="shared" si="17"/>
        <v>0.99959183605937296</v>
      </c>
      <c r="J1427" s="1085" t="str">
        <f t="shared" si="16"/>
        <v>C</v>
      </c>
      <c r="K1427" s="1036"/>
      <c r="L1427" s="1036"/>
      <c r="M1427" s="1036"/>
      <c r="N1427" s="1036"/>
      <c r="O1427" s="1036"/>
      <c r="P1427" s="1036"/>
      <c r="Q1427" s="1036"/>
      <c r="R1427" s="1036"/>
      <c r="S1427" s="1036"/>
      <c r="T1427" s="1036"/>
      <c r="U1427" s="1036"/>
      <c r="V1427" s="1036"/>
      <c r="W1427" s="1036"/>
      <c r="X1427" s="1036"/>
      <c r="Y1427" s="1036"/>
      <c r="Z1427" s="1036"/>
    </row>
    <row r="1428" spans="1:26" ht="76.5">
      <c r="A1428" s="1079">
        <v>91175</v>
      </c>
      <c r="B1428" s="1080" t="s">
        <v>14476</v>
      </c>
      <c r="C1428" s="1080" t="s">
        <v>10403</v>
      </c>
      <c r="D1428" s="1081" t="s">
        <v>50</v>
      </c>
      <c r="E1428" s="1082">
        <v>5</v>
      </c>
      <c r="F1428" s="1083">
        <v>12.75</v>
      </c>
      <c r="G1428" s="1083">
        <v>63.75</v>
      </c>
      <c r="H1428" s="1084">
        <f t="shared" si="15"/>
        <v>4.3299150364578439E-6</v>
      </c>
      <c r="I1428" s="1085">
        <f t="shared" si="17"/>
        <v>0.99959616597440937</v>
      </c>
      <c r="J1428" s="1085" t="str">
        <f t="shared" si="16"/>
        <v>C</v>
      </c>
      <c r="K1428" s="1036"/>
      <c r="L1428" s="1036"/>
      <c r="M1428" s="1036"/>
      <c r="N1428" s="1036"/>
      <c r="O1428" s="1036"/>
      <c r="P1428" s="1036"/>
      <c r="Q1428" s="1036"/>
      <c r="R1428" s="1036"/>
      <c r="S1428" s="1036"/>
      <c r="T1428" s="1036"/>
      <c r="U1428" s="1036"/>
      <c r="V1428" s="1036"/>
      <c r="W1428" s="1036"/>
      <c r="X1428" s="1036"/>
      <c r="Y1428" s="1036"/>
      <c r="Z1428" s="1036"/>
    </row>
    <row r="1429" spans="1:26" ht="38.25">
      <c r="A1429" s="1079">
        <v>94492</v>
      </c>
      <c r="B1429" s="1080" t="s">
        <v>14476</v>
      </c>
      <c r="C1429" s="1080" t="s">
        <v>16019</v>
      </c>
      <c r="D1429" s="1081" t="s">
        <v>6</v>
      </c>
      <c r="E1429" s="1082">
        <v>1</v>
      </c>
      <c r="F1429" s="1083">
        <v>63.71</v>
      </c>
      <c r="G1429" s="1083">
        <v>63.71</v>
      </c>
      <c r="H1429" s="1084">
        <f t="shared" si="15"/>
        <v>4.3271982270232039E-6</v>
      </c>
      <c r="I1429" s="1085">
        <f t="shared" si="17"/>
        <v>0.99960049317263644</v>
      </c>
      <c r="J1429" s="1085" t="str">
        <f t="shared" si="16"/>
        <v>C</v>
      </c>
      <c r="K1429" s="1036"/>
      <c r="L1429" s="1036"/>
      <c r="M1429" s="1036"/>
      <c r="N1429" s="1036"/>
      <c r="O1429" s="1036"/>
      <c r="P1429" s="1036"/>
      <c r="Q1429" s="1036"/>
      <c r="R1429" s="1036"/>
      <c r="S1429" s="1036"/>
      <c r="T1429" s="1036"/>
      <c r="U1429" s="1036"/>
      <c r="V1429" s="1036"/>
      <c r="W1429" s="1036"/>
      <c r="X1429" s="1036"/>
      <c r="Y1429" s="1036"/>
      <c r="Z1429" s="1036"/>
    </row>
    <row r="1430" spans="1:26" ht="76.5">
      <c r="A1430" s="1079">
        <v>91179</v>
      </c>
      <c r="B1430" s="1080" t="s">
        <v>14476</v>
      </c>
      <c r="C1430" s="1080" t="s">
        <v>16028</v>
      </c>
      <c r="D1430" s="1081" t="s">
        <v>50</v>
      </c>
      <c r="E1430" s="1082">
        <v>3</v>
      </c>
      <c r="F1430" s="1083">
        <v>20.96</v>
      </c>
      <c r="G1430" s="1083">
        <v>62.88</v>
      </c>
      <c r="H1430" s="1084">
        <f t="shared" si="15"/>
        <v>4.2708244312544191E-6</v>
      </c>
      <c r="I1430" s="1085">
        <f t="shared" si="17"/>
        <v>0.99960476399706766</v>
      </c>
      <c r="J1430" s="1085" t="str">
        <f t="shared" si="16"/>
        <v>C</v>
      </c>
      <c r="K1430" s="1036"/>
      <c r="L1430" s="1036"/>
      <c r="M1430" s="1036"/>
      <c r="N1430" s="1036"/>
      <c r="O1430" s="1036"/>
      <c r="P1430" s="1036"/>
      <c r="Q1430" s="1036"/>
      <c r="R1430" s="1036"/>
      <c r="S1430" s="1036"/>
      <c r="T1430" s="1036"/>
      <c r="U1430" s="1036"/>
      <c r="V1430" s="1036"/>
      <c r="W1430" s="1036"/>
      <c r="X1430" s="1036"/>
      <c r="Y1430" s="1036"/>
      <c r="Z1430" s="1036"/>
    </row>
    <row r="1431" spans="1:26" ht="76.5">
      <c r="A1431" s="1079">
        <v>91179</v>
      </c>
      <c r="B1431" s="1080" t="s">
        <v>14476</v>
      </c>
      <c r="C1431" s="1080" t="s">
        <v>16028</v>
      </c>
      <c r="D1431" s="1081" t="s">
        <v>50</v>
      </c>
      <c r="E1431" s="1082">
        <v>3</v>
      </c>
      <c r="F1431" s="1083">
        <v>20.96</v>
      </c>
      <c r="G1431" s="1083">
        <v>62.88</v>
      </c>
      <c r="H1431" s="1084">
        <f t="shared" si="15"/>
        <v>4.2708244312544191E-6</v>
      </c>
      <c r="I1431" s="1085">
        <f t="shared" si="17"/>
        <v>0.99960903482149888</v>
      </c>
      <c r="J1431" s="1085" t="str">
        <f t="shared" si="16"/>
        <v>C</v>
      </c>
      <c r="K1431" s="1036"/>
      <c r="L1431" s="1036"/>
      <c r="M1431" s="1036"/>
      <c r="N1431" s="1036"/>
      <c r="O1431" s="1036"/>
      <c r="P1431" s="1036"/>
      <c r="Q1431" s="1036"/>
      <c r="R1431" s="1036"/>
      <c r="S1431" s="1036"/>
      <c r="T1431" s="1036"/>
      <c r="U1431" s="1036"/>
      <c r="V1431" s="1036"/>
      <c r="W1431" s="1036"/>
      <c r="X1431" s="1036"/>
      <c r="Y1431" s="1036"/>
      <c r="Z1431" s="1036"/>
    </row>
    <row r="1432" spans="1:26" ht="76.5">
      <c r="A1432" s="1079">
        <v>91179</v>
      </c>
      <c r="B1432" s="1080" t="s">
        <v>14476</v>
      </c>
      <c r="C1432" s="1080" t="s">
        <v>16028</v>
      </c>
      <c r="D1432" s="1081" t="s">
        <v>50</v>
      </c>
      <c r="E1432" s="1082">
        <v>3</v>
      </c>
      <c r="F1432" s="1083">
        <v>20.96</v>
      </c>
      <c r="G1432" s="1083">
        <v>62.88</v>
      </c>
      <c r="H1432" s="1084">
        <f t="shared" si="15"/>
        <v>4.2708244312544191E-6</v>
      </c>
      <c r="I1432" s="1085">
        <f t="shared" si="17"/>
        <v>0.99961330564593009</v>
      </c>
      <c r="J1432" s="1085" t="str">
        <f t="shared" si="16"/>
        <v>C</v>
      </c>
      <c r="K1432" s="1036"/>
      <c r="L1432" s="1036"/>
      <c r="M1432" s="1036"/>
      <c r="N1432" s="1036"/>
      <c r="O1432" s="1036"/>
      <c r="P1432" s="1036"/>
      <c r="Q1432" s="1036"/>
      <c r="R1432" s="1036"/>
      <c r="S1432" s="1036"/>
      <c r="T1432" s="1036"/>
      <c r="U1432" s="1036"/>
      <c r="V1432" s="1036"/>
      <c r="W1432" s="1036"/>
      <c r="X1432" s="1036"/>
      <c r="Y1432" s="1036"/>
      <c r="Z1432" s="1036"/>
    </row>
    <row r="1433" spans="1:26" ht="76.5">
      <c r="A1433" s="1079">
        <v>91179</v>
      </c>
      <c r="B1433" s="1080" t="s">
        <v>14476</v>
      </c>
      <c r="C1433" s="1080" t="s">
        <v>16028</v>
      </c>
      <c r="D1433" s="1081" t="s">
        <v>50</v>
      </c>
      <c r="E1433" s="1082">
        <v>3</v>
      </c>
      <c r="F1433" s="1083">
        <v>20.96</v>
      </c>
      <c r="G1433" s="1083">
        <v>62.88</v>
      </c>
      <c r="H1433" s="1084">
        <f t="shared" si="15"/>
        <v>4.2708244312544191E-6</v>
      </c>
      <c r="I1433" s="1085">
        <f t="shared" si="17"/>
        <v>0.99961757647036131</v>
      </c>
      <c r="J1433" s="1085" t="str">
        <f t="shared" si="16"/>
        <v>C</v>
      </c>
      <c r="K1433" s="1036"/>
      <c r="L1433" s="1036"/>
      <c r="M1433" s="1036"/>
      <c r="N1433" s="1036"/>
      <c r="O1433" s="1036"/>
      <c r="P1433" s="1036"/>
      <c r="Q1433" s="1036"/>
      <c r="R1433" s="1036"/>
      <c r="S1433" s="1036"/>
      <c r="T1433" s="1036"/>
      <c r="U1433" s="1036"/>
      <c r="V1433" s="1036"/>
      <c r="W1433" s="1036"/>
      <c r="X1433" s="1036"/>
      <c r="Y1433" s="1036"/>
      <c r="Z1433" s="1036"/>
    </row>
    <row r="1434" spans="1:26" ht="25.5">
      <c r="A1434" s="1079">
        <v>95249</v>
      </c>
      <c r="B1434" s="1080" t="s">
        <v>14476</v>
      </c>
      <c r="C1434" s="1080" t="s">
        <v>10269</v>
      </c>
      <c r="D1434" s="1081" t="s">
        <v>6</v>
      </c>
      <c r="E1434" s="1082">
        <v>1</v>
      </c>
      <c r="F1434" s="1083">
        <v>62.87</v>
      </c>
      <c r="G1434" s="1083">
        <v>62.87</v>
      </c>
      <c r="H1434" s="1084">
        <f t="shared" si="15"/>
        <v>4.2701452288957587E-6</v>
      </c>
      <c r="I1434" s="1085">
        <f t="shared" si="17"/>
        <v>0.99962184661559017</v>
      </c>
      <c r="J1434" s="1085" t="str">
        <f t="shared" si="16"/>
        <v>C</v>
      </c>
      <c r="K1434" s="1036"/>
      <c r="L1434" s="1036"/>
      <c r="M1434" s="1036"/>
      <c r="N1434" s="1036"/>
      <c r="O1434" s="1036"/>
      <c r="P1434" s="1036"/>
      <c r="Q1434" s="1036"/>
      <c r="R1434" s="1036"/>
      <c r="S1434" s="1036"/>
      <c r="T1434" s="1036"/>
      <c r="U1434" s="1036"/>
      <c r="V1434" s="1036"/>
      <c r="W1434" s="1036"/>
      <c r="X1434" s="1036"/>
      <c r="Y1434" s="1036"/>
      <c r="Z1434" s="1036"/>
    </row>
    <row r="1435" spans="1:26" ht="25.5">
      <c r="A1435" s="1079" t="s">
        <v>15376</v>
      </c>
      <c r="B1435" s="1080" t="s">
        <v>14472</v>
      </c>
      <c r="C1435" s="1080" t="s">
        <v>15377</v>
      </c>
      <c r="D1435" s="1081" t="s">
        <v>6</v>
      </c>
      <c r="E1435" s="1082">
        <v>5</v>
      </c>
      <c r="F1435" s="1083">
        <v>12.55</v>
      </c>
      <c r="G1435" s="1083">
        <v>62.75</v>
      </c>
      <c r="H1435" s="1084">
        <f t="shared" si="15"/>
        <v>4.2619948005918387E-6</v>
      </c>
      <c r="I1435" s="1085">
        <f t="shared" si="17"/>
        <v>0.99962610861039081</v>
      </c>
      <c r="J1435" s="1085" t="str">
        <f t="shared" si="16"/>
        <v>C</v>
      </c>
      <c r="K1435" s="1036"/>
      <c r="L1435" s="1036"/>
      <c r="M1435" s="1036"/>
      <c r="N1435" s="1036"/>
      <c r="O1435" s="1036"/>
      <c r="P1435" s="1036"/>
      <c r="Q1435" s="1036"/>
      <c r="R1435" s="1036"/>
      <c r="S1435" s="1036"/>
      <c r="T1435" s="1036"/>
      <c r="U1435" s="1036"/>
      <c r="V1435" s="1036"/>
      <c r="W1435" s="1036"/>
      <c r="X1435" s="1036"/>
      <c r="Y1435" s="1036"/>
      <c r="Z1435" s="1036"/>
    </row>
    <row r="1436" spans="1:26" ht="25.5">
      <c r="A1436" s="1079" t="s">
        <v>15376</v>
      </c>
      <c r="B1436" s="1080" t="s">
        <v>14472</v>
      </c>
      <c r="C1436" s="1080" t="s">
        <v>15377</v>
      </c>
      <c r="D1436" s="1081" t="s">
        <v>6</v>
      </c>
      <c r="E1436" s="1082">
        <v>5</v>
      </c>
      <c r="F1436" s="1083">
        <v>12.55</v>
      </c>
      <c r="G1436" s="1083">
        <v>62.75</v>
      </c>
      <c r="H1436" s="1084">
        <f t="shared" si="15"/>
        <v>4.2619948005918387E-6</v>
      </c>
      <c r="I1436" s="1085">
        <f t="shared" si="17"/>
        <v>0.99963037060519144</v>
      </c>
      <c r="J1436" s="1085" t="str">
        <f t="shared" si="16"/>
        <v>C</v>
      </c>
      <c r="K1436" s="1036"/>
      <c r="L1436" s="1036"/>
      <c r="M1436" s="1036"/>
      <c r="N1436" s="1036"/>
      <c r="O1436" s="1036"/>
      <c r="P1436" s="1036"/>
      <c r="Q1436" s="1036"/>
      <c r="R1436" s="1036"/>
      <c r="S1436" s="1036"/>
      <c r="T1436" s="1036"/>
      <c r="U1436" s="1036"/>
      <c r="V1436" s="1036"/>
      <c r="W1436" s="1036"/>
      <c r="X1436" s="1036"/>
      <c r="Y1436" s="1036"/>
      <c r="Z1436" s="1036"/>
    </row>
    <row r="1437" spans="1:26" ht="38.25">
      <c r="A1437" s="1079">
        <v>93654</v>
      </c>
      <c r="B1437" s="1080" t="s">
        <v>14476</v>
      </c>
      <c r="C1437" s="1080" t="s">
        <v>7955</v>
      </c>
      <c r="D1437" s="1081" t="s">
        <v>6</v>
      </c>
      <c r="E1437" s="1082">
        <v>4</v>
      </c>
      <c r="F1437" s="1083">
        <v>15.68</v>
      </c>
      <c r="G1437" s="1083">
        <v>62.72</v>
      </c>
      <c r="H1437" s="1084">
        <f t="shared" si="15"/>
        <v>4.2599571935158582E-6</v>
      </c>
      <c r="I1437" s="1085">
        <f t="shared" si="17"/>
        <v>0.999634630562385</v>
      </c>
      <c r="J1437" s="1085" t="str">
        <f t="shared" si="16"/>
        <v>C</v>
      </c>
      <c r="K1437" s="1036"/>
      <c r="L1437" s="1036"/>
      <c r="M1437" s="1036"/>
      <c r="N1437" s="1036"/>
      <c r="O1437" s="1036"/>
      <c r="P1437" s="1036"/>
      <c r="Q1437" s="1036"/>
      <c r="R1437" s="1036"/>
      <c r="S1437" s="1036"/>
      <c r="T1437" s="1036"/>
      <c r="U1437" s="1036"/>
      <c r="V1437" s="1036"/>
      <c r="W1437" s="1036"/>
      <c r="X1437" s="1036"/>
      <c r="Y1437" s="1036"/>
      <c r="Z1437" s="1036"/>
    </row>
    <row r="1438" spans="1:26" ht="38.25">
      <c r="A1438" s="1079">
        <v>93654</v>
      </c>
      <c r="B1438" s="1080" t="s">
        <v>14476</v>
      </c>
      <c r="C1438" s="1080" t="s">
        <v>7955</v>
      </c>
      <c r="D1438" s="1081" t="s">
        <v>6</v>
      </c>
      <c r="E1438" s="1082">
        <v>4</v>
      </c>
      <c r="F1438" s="1083">
        <v>15.68</v>
      </c>
      <c r="G1438" s="1083">
        <v>62.72</v>
      </c>
      <c r="H1438" s="1084">
        <f t="shared" si="15"/>
        <v>4.2599571935158582E-6</v>
      </c>
      <c r="I1438" s="1085">
        <f t="shared" si="17"/>
        <v>0.99963889051957855</v>
      </c>
      <c r="J1438" s="1085" t="str">
        <f t="shared" si="16"/>
        <v>C</v>
      </c>
      <c r="K1438" s="1036"/>
      <c r="L1438" s="1036"/>
      <c r="M1438" s="1036"/>
      <c r="N1438" s="1036"/>
      <c r="O1438" s="1036"/>
      <c r="P1438" s="1036"/>
      <c r="Q1438" s="1036"/>
      <c r="R1438" s="1036"/>
      <c r="S1438" s="1036"/>
      <c r="T1438" s="1036"/>
      <c r="U1438" s="1036"/>
      <c r="V1438" s="1036"/>
      <c r="W1438" s="1036"/>
      <c r="X1438" s="1036"/>
      <c r="Y1438" s="1036"/>
      <c r="Z1438" s="1036"/>
    </row>
    <row r="1439" spans="1:26" ht="38.25">
      <c r="A1439" s="1079">
        <v>94489</v>
      </c>
      <c r="B1439" s="1080" t="s">
        <v>14476</v>
      </c>
      <c r="C1439" s="1080" t="s">
        <v>16024</v>
      </c>
      <c r="D1439" s="1081" t="s">
        <v>6</v>
      </c>
      <c r="E1439" s="1082">
        <v>2</v>
      </c>
      <c r="F1439" s="1083">
        <v>31.03</v>
      </c>
      <c r="G1439" s="1083">
        <v>62.06</v>
      </c>
      <c r="H1439" s="1084">
        <f t="shared" si="15"/>
        <v>4.2151298378442947E-6</v>
      </c>
      <c r="I1439" s="1085">
        <f t="shared" si="17"/>
        <v>0.99964310564941639</v>
      </c>
      <c r="J1439" s="1085" t="str">
        <f t="shared" si="16"/>
        <v>C</v>
      </c>
      <c r="K1439" s="1036"/>
      <c r="L1439" s="1036"/>
      <c r="M1439" s="1036"/>
      <c r="N1439" s="1036"/>
      <c r="O1439" s="1036"/>
      <c r="P1439" s="1036"/>
      <c r="Q1439" s="1036"/>
      <c r="R1439" s="1036"/>
      <c r="S1439" s="1036"/>
      <c r="T1439" s="1036"/>
      <c r="U1439" s="1036"/>
      <c r="V1439" s="1036"/>
      <c r="W1439" s="1036"/>
      <c r="X1439" s="1036"/>
      <c r="Y1439" s="1036"/>
      <c r="Z1439" s="1036"/>
    </row>
    <row r="1440" spans="1:26" ht="38.25">
      <c r="A1440" s="1079">
        <v>89395</v>
      </c>
      <c r="B1440" s="1080" t="s">
        <v>14476</v>
      </c>
      <c r="C1440" s="1080" t="s">
        <v>8701</v>
      </c>
      <c r="D1440" s="1081" t="s">
        <v>6</v>
      </c>
      <c r="E1440" s="1082">
        <v>4</v>
      </c>
      <c r="F1440" s="1083">
        <v>15.51</v>
      </c>
      <c r="G1440" s="1083">
        <v>62.04</v>
      </c>
      <c r="H1440" s="1084">
        <f t="shared" si="15"/>
        <v>4.2137714331269747E-6</v>
      </c>
      <c r="I1440" s="1085">
        <f t="shared" si="17"/>
        <v>0.9996473194208495</v>
      </c>
      <c r="J1440" s="1085" t="str">
        <f t="shared" si="16"/>
        <v>C</v>
      </c>
      <c r="K1440" s="1036"/>
      <c r="L1440" s="1036"/>
      <c r="M1440" s="1036"/>
      <c r="N1440" s="1036"/>
      <c r="O1440" s="1036"/>
      <c r="P1440" s="1036"/>
      <c r="Q1440" s="1036"/>
      <c r="R1440" s="1036"/>
      <c r="S1440" s="1036"/>
      <c r="T1440" s="1036"/>
      <c r="U1440" s="1036"/>
      <c r="V1440" s="1036"/>
      <c r="W1440" s="1036"/>
      <c r="X1440" s="1036"/>
      <c r="Y1440" s="1036"/>
      <c r="Z1440" s="1036"/>
    </row>
    <row r="1441" spans="1:26" ht="38.25">
      <c r="A1441" s="1079">
        <v>94724</v>
      </c>
      <c r="B1441" s="1080" t="s">
        <v>14476</v>
      </c>
      <c r="C1441" s="1080" t="s">
        <v>9407</v>
      </c>
      <c r="D1441" s="1081" t="s">
        <v>6</v>
      </c>
      <c r="E1441" s="1082">
        <v>2</v>
      </c>
      <c r="F1441" s="1083">
        <v>31.02</v>
      </c>
      <c r="G1441" s="1083">
        <v>62.04</v>
      </c>
      <c r="H1441" s="1084">
        <f t="shared" si="15"/>
        <v>4.2137714331269747E-6</v>
      </c>
      <c r="I1441" s="1085">
        <f t="shared" si="17"/>
        <v>0.99965153319228262</v>
      </c>
      <c r="J1441" s="1085" t="str">
        <f t="shared" si="16"/>
        <v>C</v>
      </c>
      <c r="K1441" s="1036"/>
      <c r="L1441" s="1036"/>
      <c r="M1441" s="1036"/>
      <c r="N1441" s="1036"/>
      <c r="O1441" s="1036"/>
      <c r="P1441" s="1036"/>
      <c r="Q1441" s="1036"/>
      <c r="R1441" s="1036"/>
      <c r="S1441" s="1036"/>
      <c r="T1441" s="1036"/>
      <c r="U1441" s="1036"/>
      <c r="V1441" s="1036"/>
      <c r="W1441" s="1036"/>
      <c r="X1441" s="1036"/>
      <c r="Y1441" s="1036"/>
      <c r="Z1441" s="1036"/>
    </row>
    <row r="1442" spans="1:26" ht="51">
      <c r="A1442" s="1079">
        <v>89724</v>
      </c>
      <c r="B1442" s="1080" t="s">
        <v>14476</v>
      </c>
      <c r="C1442" s="1080" t="s">
        <v>8937</v>
      </c>
      <c r="D1442" s="1081" t="s">
        <v>6</v>
      </c>
      <c r="E1442" s="1082">
        <v>5</v>
      </c>
      <c r="F1442" s="1083">
        <v>12.4</v>
      </c>
      <c r="G1442" s="1083">
        <v>62</v>
      </c>
      <c r="H1442" s="1084">
        <f t="shared" si="15"/>
        <v>4.2110546236923339E-6</v>
      </c>
      <c r="I1442" s="1085">
        <f t="shared" si="17"/>
        <v>0.99965574424690629</v>
      </c>
      <c r="J1442" s="1085" t="str">
        <f t="shared" si="16"/>
        <v>C</v>
      </c>
      <c r="K1442" s="1036"/>
      <c r="L1442" s="1036"/>
      <c r="M1442" s="1036"/>
      <c r="N1442" s="1036"/>
      <c r="O1442" s="1036"/>
      <c r="P1442" s="1036"/>
      <c r="Q1442" s="1036"/>
      <c r="R1442" s="1036"/>
      <c r="S1442" s="1036"/>
      <c r="T1442" s="1036"/>
      <c r="U1442" s="1036"/>
      <c r="V1442" s="1036"/>
      <c r="W1442" s="1036"/>
      <c r="X1442" s="1036"/>
      <c r="Y1442" s="1036"/>
      <c r="Z1442" s="1036"/>
    </row>
    <row r="1443" spans="1:26" ht="38.25">
      <c r="A1443" s="1079">
        <v>97599</v>
      </c>
      <c r="B1443" s="1080" t="s">
        <v>14476</v>
      </c>
      <c r="C1443" s="1080" t="s">
        <v>8100</v>
      </c>
      <c r="D1443" s="1081" t="s">
        <v>6</v>
      </c>
      <c r="E1443" s="1082">
        <v>3</v>
      </c>
      <c r="F1443" s="1083">
        <v>20.55</v>
      </c>
      <c r="G1443" s="1083">
        <v>61.65</v>
      </c>
      <c r="H1443" s="1084">
        <f t="shared" si="15"/>
        <v>4.1872825411392325E-6</v>
      </c>
      <c r="I1443" s="1085">
        <f t="shared" si="17"/>
        <v>0.99965993152944743</v>
      </c>
      <c r="J1443" s="1085" t="str">
        <f t="shared" si="16"/>
        <v>C</v>
      </c>
      <c r="K1443" s="1036"/>
      <c r="L1443" s="1036"/>
      <c r="M1443" s="1036"/>
      <c r="N1443" s="1036"/>
      <c r="O1443" s="1036"/>
      <c r="P1443" s="1036"/>
      <c r="Q1443" s="1036"/>
      <c r="R1443" s="1036"/>
      <c r="S1443" s="1036"/>
      <c r="T1443" s="1036"/>
      <c r="U1443" s="1036"/>
      <c r="V1443" s="1036"/>
      <c r="W1443" s="1036"/>
      <c r="X1443" s="1036"/>
      <c r="Y1443" s="1036"/>
      <c r="Z1443" s="1036"/>
    </row>
    <row r="1444" spans="1:26" ht="38.25">
      <c r="A1444" s="1079">
        <v>89367</v>
      </c>
      <c r="B1444" s="1080" t="s">
        <v>14476</v>
      </c>
      <c r="C1444" s="1080" t="s">
        <v>8674</v>
      </c>
      <c r="D1444" s="1081" t="s">
        <v>6</v>
      </c>
      <c r="E1444" s="1082">
        <v>4</v>
      </c>
      <c r="F1444" s="1083">
        <v>15.33</v>
      </c>
      <c r="G1444" s="1083">
        <v>61.32</v>
      </c>
      <c r="H1444" s="1084">
        <f t="shared" si="15"/>
        <v>4.1648688633034503E-6</v>
      </c>
      <c r="I1444" s="1085">
        <f t="shared" si="17"/>
        <v>0.99966409639831078</v>
      </c>
      <c r="J1444" s="1085" t="str">
        <f t="shared" si="16"/>
        <v>C</v>
      </c>
      <c r="K1444" s="1036"/>
      <c r="L1444" s="1036"/>
      <c r="M1444" s="1036"/>
      <c r="N1444" s="1036"/>
      <c r="O1444" s="1036"/>
      <c r="P1444" s="1036"/>
      <c r="Q1444" s="1036"/>
      <c r="R1444" s="1036"/>
      <c r="S1444" s="1036"/>
      <c r="T1444" s="1036"/>
      <c r="U1444" s="1036"/>
      <c r="V1444" s="1036"/>
      <c r="W1444" s="1036"/>
      <c r="X1444" s="1036"/>
      <c r="Y1444" s="1036"/>
      <c r="Z1444" s="1036"/>
    </row>
    <row r="1445" spans="1:26" ht="38.25">
      <c r="A1445" s="1079">
        <v>89367</v>
      </c>
      <c r="B1445" s="1080" t="s">
        <v>14476</v>
      </c>
      <c r="C1445" s="1080" t="s">
        <v>8674</v>
      </c>
      <c r="D1445" s="1081" t="s">
        <v>6</v>
      </c>
      <c r="E1445" s="1082">
        <v>4</v>
      </c>
      <c r="F1445" s="1083">
        <v>15.33</v>
      </c>
      <c r="G1445" s="1083">
        <v>61.32</v>
      </c>
      <c r="H1445" s="1084">
        <f t="shared" si="15"/>
        <v>4.1648688633034503E-6</v>
      </c>
      <c r="I1445" s="1085">
        <f t="shared" si="17"/>
        <v>0.99966826126717412</v>
      </c>
      <c r="J1445" s="1085" t="str">
        <f t="shared" si="16"/>
        <v>C</v>
      </c>
      <c r="K1445" s="1036"/>
      <c r="L1445" s="1036"/>
      <c r="M1445" s="1036"/>
      <c r="N1445" s="1036"/>
      <c r="O1445" s="1036"/>
      <c r="P1445" s="1036"/>
      <c r="Q1445" s="1036"/>
      <c r="R1445" s="1036"/>
      <c r="S1445" s="1036"/>
      <c r="T1445" s="1036"/>
      <c r="U1445" s="1036"/>
      <c r="V1445" s="1036"/>
      <c r="W1445" s="1036"/>
      <c r="X1445" s="1036"/>
      <c r="Y1445" s="1036"/>
      <c r="Z1445" s="1036"/>
    </row>
    <row r="1446" spans="1:26" ht="25.5">
      <c r="A1446" s="1079">
        <v>101616</v>
      </c>
      <c r="B1446" s="1080" t="s">
        <v>14476</v>
      </c>
      <c r="C1446" s="1080" t="s">
        <v>10747</v>
      </c>
      <c r="D1446" s="1081" t="s">
        <v>409</v>
      </c>
      <c r="E1446" s="1082">
        <v>8.26</v>
      </c>
      <c r="F1446" s="1083">
        <v>7.37</v>
      </c>
      <c r="G1446" s="1083">
        <v>60.87</v>
      </c>
      <c r="H1446" s="1084">
        <f t="shared" si="15"/>
        <v>4.1343047571637482E-6</v>
      </c>
      <c r="I1446" s="1085">
        <f t="shared" si="17"/>
        <v>0.99967239557193133</v>
      </c>
      <c r="J1446" s="1085" t="str">
        <f t="shared" si="16"/>
        <v>C</v>
      </c>
      <c r="K1446" s="1036"/>
      <c r="L1446" s="1036"/>
      <c r="M1446" s="1036"/>
      <c r="N1446" s="1036"/>
      <c r="O1446" s="1036"/>
      <c r="P1446" s="1036"/>
      <c r="Q1446" s="1036"/>
      <c r="R1446" s="1036"/>
      <c r="S1446" s="1036"/>
      <c r="T1446" s="1036"/>
      <c r="U1446" s="1036"/>
      <c r="V1446" s="1036"/>
      <c r="W1446" s="1036"/>
      <c r="X1446" s="1036"/>
      <c r="Y1446" s="1036"/>
      <c r="Z1446" s="1036"/>
    </row>
    <row r="1447" spans="1:26" ht="25.5">
      <c r="A1447" s="1079" t="s">
        <v>15374</v>
      </c>
      <c r="B1447" s="1080" t="s">
        <v>14472</v>
      </c>
      <c r="C1447" s="1080" t="s">
        <v>15375</v>
      </c>
      <c r="D1447" s="1081" t="s">
        <v>6</v>
      </c>
      <c r="E1447" s="1082">
        <v>4</v>
      </c>
      <c r="F1447" s="1083">
        <v>14.97</v>
      </c>
      <c r="G1447" s="1083">
        <v>59.88</v>
      </c>
      <c r="H1447" s="1084">
        <f t="shared" si="15"/>
        <v>4.0670637236564033E-6</v>
      </c>
      <c r="I1447" s="1085">
        <f t="shared" si="17"/>
        <v>0.99967646263565502</v>
      </c>
      <c r="J1447" s="1085" t="str">
        <f t="shared" si="16"/>
        <v>C</v>
      </c>
      <c r="K1447" s="1036"/>
      <c r="L1447" s="1036"/>
      <c r="M1447" s="1036"/>
      <c r="N1447" s="1036"/>
      <c r="O1447" s="1036"/>
      <c r="P1447" s="1036"/>
      <c r="Q1447" s="1036"/>
      <c r="R1447" s="1036"/>
      <c r="S1447" s="1036"/>
      <c r="T1447" s="1036"/>
      <c r="U1447" s="1036"/>
      <c r="V1447" s="1036"/>
      <c r="W1447" s="1036"/>
      <c r="X1447" s="1036"/>
      <c r="Y1447" s="1036"/>
      <c r="Z1447" s="1036"/>
    </row>
    <row r="1448" spans="1:26" ht="38.25">
      <c r="A1448" s="1079">
        <v>89443</v>
      </c>
      <c r="B1448" s="1080" t="s">
        <v>14476</v>
      </c>
      <c r="C1448" s="1080" t="s">
        <v>8743</v>
      </c>
      <c r="D1448" s="1081" t="s">
        <v>6</v>
      </c>
      <c r="E1448" s="1082">
        <v>3</v>
      </c>
      <c r="F1448" s="1083">
        <v>19.91</v>
      </c>
      <c r="G1448" s="1083">
        <v>59.73</v>
      </c>
      <c r="H1448" s="1084">
        <f t="shared" si="15"/>
        <v>4.056875688276502E-6</v>
      </c>
      <c r="I1448" s="1085">
        <f t="shared" si="17"/>
        <v>0.99968051951134329</v>
      </c>
      <c r="J1448" s="1085" t="str">
        <f t="shared" si="16"/>
        <v>C</v>
      </c>
      <c r="K1448" s="1036"/>
      <c r="L1448" s="1036"/>
      <c r="M1448" s="1036"/>
      <c r="N1448" s="1036"/>
      <c r="O1448" s="1036"/>
      <c r="P1448" s="1036"/>
      <c r="Q1448" s="1036"/>
      <c r="R1448" s="1036"/>
      <c r="S1448" s="1036"/>
      <c r="T1448" s="1036"/>
      <c r="U1448" s="1036"/>
      <c r="V1448" s="1036"/>
      <c r="W1448" s="1036"/>
      <c r="X1448" s="1036"/>
      <c r="Y1448" s="1036"/>
      <c r="Z1448" s="1036"/>
    </row>
    <row r="1449" spans="1:26" ht="38.25">
      <c r="A1449" s="1079">
        <v>89369</v>
      </c>
      <c r="B1449" s="1080" t="s">
        <v>14476</v>
      </c>
      <c r="C1449" s="1080" t="s">
        <v>8676</v>
      </c>
      <c r="D1449" s="1081" t="s">
        <v>6</v>
      </c>
      <c r="E1449" s="1082">
        <v>3</v>
      </c>
      <c r="F1449" s="1083">
        <v>19.670000000000002</v>
      </c>
      <c r="G1449" s="1083">
        <v>59.01</v>
      </c>
      <c r="H1449" s="1084">
        <f t="shared" si="15"/>
        <v>4.0079731184529777E-6</v>
      </c>
      <c r="I1449" s="1085">
        <f t="shared" si="17"/>
        <v>0.99968452748446179</v>
      </c>
      <c r="J1449" s="1085" t="str">
        <f t="shared" si="16"/>
        <v>C</v>
      </c>
      <c r="K1449" s="1036"/>
      <c r="L1449" s="1036"/>
      <c r="M1449" s="1036"/>
      <c r="N1449" s="1036"/>
      <c r="O1449" s="1036"/>
      <c r="P1449" s="1036"/>
      <c r="Q1449" s="1036"/>
      <c r="R1449" s="1036"/>
      <c r="S1449" s="1036"/>
      <c r="T1449" s="1036"/>
      <c r="U1449" s="1036"/>
      <c r="V1449" s="1036"/>
      <c r="W1449" s="1036"/>
      <c r="X1449" s="1036"/>
      <c r="Y1449" s="1036"/>
      <c r="Z1449" s="1036"/>
    </row>
    <row r="1450" spans="1:26" ht="25.5">
      <c r="A1450" s="1079" t="s">
        <v>15126</v>
      </c>
      <c r="B1450" s="1080" t="s">
        <v>14472</v>
      </c>
      <c r="C1450" s="1080" t="s">
        <v>15127</v>
      </c>
      <c r="D1450" s="1081" t="s">
        <v>6</v>
      </c>
      <c r="E1450" s="1082">
        <v>3</v>
      </c>
      <c r="F1450" s="1083">
        <v>19.649999999999999</v>
      </c>
      <c r="G1450" s="1083">
        <v>58.95</v>
      </c>
      <c r="H1450" s="1084">
        <f t="shared" si="15"/>
        <v>4.0038979043010176E-6</v>
      </c>
      <c r="I1450" s="1085">
        <f t="shared" si="17"/>
        <v>0.99968853138236613</v>
      </c>
      <c r="J1450" s="1085" t="str">
        <f t="shared" si="16"/>
        <v>C</v>
      </c>
      <c r="K1450" s="1036"/>
      <c r="L1450" s="1036"/>
      <c r="M1450" s="1036"/>
      <c r="N1450" s="1036"/>
      <c r="O1450" s="1036"/>
      <c r="P1450" s="1036"/>
      <c r="Q1450" s="1036"/>
      <c r="R1450" s="1036"/>
      <c r="S1450" s="1036"/>
      <c r="T1450" s="1036"/>
      <c r="U1450" s="1036"/>
      <c r="V1450" s="1036"/>
      <c r="W1450" s="1036"/>
      <c r="X1450" s="1036"/>
      <c r="Y1450" s="1036"/>
      <c r="Z1450" s="1036"/>
    </row>
    <row r="1451" spans="1:26" ht="25.5">
      <c r="A1451" s="1079" t="s">
        <v>14943</v>
      </c>
      <c r="B1451" s="1080" t="s">
        <v>14472</v>
      </c>
      <c r="C1451" s="1080" t="s">
        <v>14944</v>
      </c>
      <c r="D1451" s="1081" t="s">
        <v>6</v>
      </c>
      <c r="E1451" s="1082">
        <v>1</v>
      </c>
      <c r="F1451" s="1083">
        <v>58.53</v>
      </c>
      <c r="G1451" s="1083">
        <v>58.53</v>
      </c>
      <c r="H1451" s="1084">
        <f t="shared" si="15"/>
        <v>3.9753714052372959E-6</v>
      </c>
      <c r="I1451" s="1085">
        <f t="shared" si="17"/>
        <v>0.99969250675377141</v>
      </c>
      <c r="J1451" s="1085" t="str">
        <f t="shared" si="16"/>
        <v>C</v>
      </c>
      <c r="K1451" s="1036"/>
      <c r="L1451" s="1036"/>
      <c r="M1451" s="1036"/>
      <c r="N1451" s="1036"/>
      <c r="O1451" s="1036"/>
      <c r="P1451" s="1036"/>
      <c r="Q1451" s="1036"/>
      <c r="R1451" s="1036"/>
      <c r="S1451" s="1036"/>
      <c r="T1451" s="1036"/>
      <c r="U1451" s="1036"/>
      <c r="V1451" s="1036"/>
      <c r="W1451" s="1036"/>
      <c r="X1451" s="1036"/>
      <c r="Y1451" s="1036"/>
      <c r="Z1451" s="1036"/>
    </row>
    <row r="1452" spans="1:26" ht="38.25">
      <c r="A1452" s="1079" t="s">
        <v>15120</v>
      </c>
      <c r="B1452" s="1080" t="s">
        <v>14472</v>
      </c>
      <c r="C1452" s="1080" t="s">
        <v>15121</v>
      </c>
      <c r="D1452" s="1081" t="s">
        <v>6</v>
      </c>
      <c r="E1452" s="1082">
        <v>3</v>
      </c>
      <c r="F1452" s="1083">
        <v>19.48</v>
      </c>
      <c r="G1452" s="1083">
        <v>58.44</v>
      </c>
      <c r="H1452" s="1084">
        <f t="shared" si="15"/>
        <v>3.9692585840093546E-6</v>
      </c>
      <c r="I1452" s="1085">
        <f t="shared" si="17"/>
        <v>0.99969647601235545</v>
      </c>
      <c r="J1452" s="1085" t="str">
        <f t="shared" si="16"/>
        <v>C</v>
      </c>
      <c r="K1452" s="1036"/>
      <c r="L1452" s="1036"/>
      <c r="M1452" s="1036"/>
      <c r="N1452" s="1036"/>
      <c r="O1452" s="1036"/>
      <c r="P1452" s="1036"/>
      <c r="Q1452" s="1036"/>
      <c r="R1452" s="1036"/>
      <c r="S1452" s="1036"/>
      <c r="T1452" s="1036"/>
      <c r="U1452" s="1036"/>
      <c r="V1452" s="1036"/>
      <c r="W1452" s="1036"/>
      <c r="X1452" s="1036"/>
      <c r="Y1452" s="1036"/>
      <c r="Z1452" s="1036"/>
    </row>
    <row r="1453" spans="1:26" ht="38.25">
      <c r="A1453" s="1079">
        <v>95593</v>
      </c>
      <c r="B1453" s="1080" t="s">
        <v>14476</v>
      </c>
      <c r="C1453" s="1080" t="s">
        <v>7486</v>
      </c>
      <c r="D1453" s="1081" t="s">
        <v>54</v>
      </c>
      <c r="E1453" s="1082">
        <v>3.09</v>
      </c>
      <c r="F1453" s="1083">
        <v>18.91</v>
      </c>
      <c r="G1453" s="1083">
        <v>58.43</v>
      </c>
      <c r="H1453" s="1084">
        <f t="shared" si="15"/>
        <v>3.968579381650695E-6</v>
      </c>
      <c r="I1453" s="1085">
        <f t="shared" si="17"/>
        <v>0.99970044459173713</v>
      </c>
      <c r="J1453" s="1085" t="str">
        <f t="shared" si="16"/>
        <v>C</v>
      </c>
      <c r="K1453" s="1036"/>
      <c r="L1453" s="1036"/>
      <c r="M1453" s="1036"/>
      <c r="N1453" s="1036"/>
      <c r="O1453" s="1036"/>
      <c r="P1453" s="1036"/>
      <c r="Q1453" s="1036"/>
      <c r="R1453" s="1036"/>
      <c r="S1453" s="1036"/>
      <c r="T1453" s="1036"/>
      <c r="U1453" s="1036"/>
      <c r="V1453" s="1036"/>
      <c r="W1453" s="1036"/>
      <c r="X1453" s="1036"/>
      <c r="Y1453" s="1036"/>
      <c r="Z1453" s="1036"/>
    </row>
    <row r="1454" spans="1:26" ht="38.25">
      <c r="A1454" s="1079">
        <v>104916</v>
      </c>
      <c r="B1454" s="1080" t="s">
        <v>14476</v>
      </c>
      <c r="C1454" s="1080" t="s">
        <v>7596</v>
      </c>
      <c r="D1454" s="1081" t="s">
        <v>54</v>
      </c>
      <c r="E1454" s="1082">
        <v>2.65</v>
      </c>
      <c r="F1454" s="1083">
        <v>21.8</v>
      </c>
      <c r="G1454" s="1083">
        <v>57.77</v>
      </c>
      <c r="H1454" s="1084">
        <f t="shared" si="15"/>
        <v>3.9237520259791315E-6</v>
      </c>
      <c r="I1454" s="1085">
        <f t="shared" si="17"/>
        <v>0.99970436834376308</v>
      </c>
      <c r="J1454" s="1085" t="str">
        <f t="shared" si="16"/>
        <v>C</v>
      </c>
      <c r="K1454" s="1036"/>
      <c r="L1454" s="1036"/>
      <c r="M1454" s="1036"/>
      <c r="N1454" s="1036"/>
      <c r="O1454" s="1036"/>
      <c r="P1454" s="1036"/>
      <c r="Q1454" s="1036"/>
      <c r="R1454" s="1036"/>
      <c r="S1454" s="1036"/>
      <c r="T1454" s="1036"/>
      <c r="U1454" s="1036"/>
      <c r="V1454" s="1036"/>
      <c r="W1454" s="1036"/>
      <c r="X1454" s="1036"/>
      <c r="Y1454" s="1036"/>
      <c r="Z1454" s="1036"/>
    </row>
    <row r="1455" spans="1:26" ht="38.25">
      <c r="A1455" s="1079">
        <v>92008</v>
      </c>
      <c r="B1455" s="1080" t="s">
        <v>14476</v>
      </c>
      <c r="C1455" s="1080" t="s">
        <v>8067</v>
      </c>
      <c r="D1455" s="1081" t="s">
        <v>6</v>
      </c>
      <c r="E1455" s="1082">
        <v>1</v>
      </c>
      <c r="F1455" s="1083">
        <v>57.15</v>
      </c>
      <c r="G1455" s="1083">
        <v>57.15</v>
      </c>
      <c r="H1455" s="1084">
        <f t="shared" si="15"/>
        <v>3.881641479742208E-6</v>
      </c>
      <c r="I1455" s="1085">
        <f t="shared" si="17"/>
        <v>0.99970824998524288</v>
      </c>
      <c r="J1455" s="1085" t="str">
        <f t="shared" si="16"/>
        <v>C</v>
      </c>
      <c r="K1455" s="1036"/>
      <c r="L1455" s="1036"/>
      <c r="M1455" s="1036"/>
      <c r="N1455" s="1036"/>
      <c r="O1455" s="1036"/>
      <c r="P1455" s="1036"/>
      <c r="Q1455" s="1036"/>
      <c r="R1455" s="1036"/>
      <c r="S1455" s="1036"/>
      <c r="T1455" s="1036"/>
      <c r="U1455" s="1036"/>
      <c r="V1455" s="1036"/>
      <c r="W1455" s="1036"/>
      <c r="X1455" s="1036"/>
      <c r="Y1455" s="1036"/>
      <c r="Z1455" s="1036"/>
    </row>
    <row r="1456" spans="1:26" ht="51">
      <c r="A1456" s="1079">
        <v>104750</v>
      </c>
      <c r="B1456" s="1080" t="s">
        <v>14476</v>
      </c>
      <c r="C1456" s="1080" t="s">
        <v>8273</v>
      </c>
      <c r="D1456" s="1081" t="s">
        <v>6</v>
      </c>
      <c r="E1456" s="1082">
        <v>3</v>
      </c>
      <c r="F1456" s="1083">
        <v>18.78</v>
      </c>
      <c r="G1456" s="1083">
        <v>56.34</v>
      </c>
      <c r="H1456" s="1084">
        <f t="shared" si="15"/>
        <v>3.826626088690744E-6</v>
      </c>
      <c r="I1456" s="1085">
        <f t="shared" si="17"/>
        <v>0.99971207661133155</v>
      </c>
      <c r="J1456" s="1085" t="str">
        <f t="shared" si="16"/>
        <v>C</v>
      </c>
      <c r="K1456" s="1036"/>
      <c r="L1456" s="1036"/>
      <c r="M1456" s="1036"/>
      <c r="N1456" s="1036"/>
      <c r="O1456" s="1036"/>
      <c r="P1456" s="1036"/>
      <c r="Q1456" s="1036"/>
      <c r="R1456" s="1036"/>
      <c r="S1456" s="1036"/>
      <c r="T1456" s="1036"/>
      <c r="U1456" s="1036"/>
      <c r="V1456" s="1036"/>
      <c r="W1456" s="1036"/>
      <c r="X1456" s="1036"/>
      <c r="Y1456" s="1036"/>
      <c r="Z1456" s="1036"/>
    </row>
    <row r="1457" spans="1:26" ht="38.25">
      <c r="A1457" s="1079">
        <v>89362</v>
      </c>
      <c r="B1457" s="1080" t="s">
        <v>14476</v>
      </c>
      <c r="C1457" s="1080" t="s">
        <v>8669</v>
      </c>
      <c r="D1457" s="1081" t="s">
        <v>6</v>
      </c>
      <c r="E1457" s="1082">
        <v>5</v>
      </c>
      <c r="F1457" s="1083">
        <v>11.23</v>
      </c>
      <c r="G1457" s="1083">
        <v>56.15</v>
      </c>
      <c r="H1457" s="1084">
        <f t="shared" si="15"/>
        <v>3.8137212438762027E-6</v>
      </c>
      <c r="I1457" s="1085">
        <f t="shared" si="17"/>
        <v>0.99971589033257546</v>
      </c>
      <c r="J1457" s="1085" t="str">
        <f t="shared" si="16"/>
        <v>C</v>
      </c>
      <c r="K1457" s="1036"/>
      <c r="L1457" s="1036"/>
      <c r="M1457" s="1036"/>
      <c r="N1457" s="1036"/>
      <c r="O1457" s="1036"/>
      <c r="P1457" s="1036"/>
      <c r="Q1457" s="1036"/>
      <c r="R1457" s="1036"/>
      <c r="S1457" s="1036"/>
      <c r="T1457" s="1036"/>
      <c r="U1457" s="1036"/>
      <c r="V1457" s="1036"/>
      <c r="W1457" s="1036"/>
      <c r="X1457" s="1036"/>
      <c r="Y1457" s="1036"/>
      <c r="Z1457" s="1036"/>
    </row>
    <row r="1458" spans="1:26" ht="25.5">
      <c r="A1458" s="1079">
        <v>98307</v>
      </c>
      <c r="B1458" s="1080" t="s">
        <v>14476</v>
      </c>
      <c r="C1458" s="1080" t="s">
        <v>8412</v>
      </c>
      <c r="D1458" s="1081" t="s">
        <v>6</v>
      </c>
      <c r="E1458" s="1082">
        <v>1</v>
      </c>
      <c r="F1458" s="1083">
        <v>54.92</v>
      </c>
      <c r="G1458" s="1083">
        <v>54.92</v>
      </c>
      <c r="H1458" s="1084">
        <f t="shared" si="15"/>
        <v>3.7301793537610162E-6</v>
      </c>
      <c r="I1458" s="1085">
        <f t="shared" si="17"/>
        <v>0.9997196205119292</v>
      </c>
      <c r="J1458" s="1085" t="str">
        <f t="shared" si="16"/>
        <v>C</v>
      </c>
      <c r="K1458" s="1036"/>
      <c r="L1458" s="1036"/>
      <c r="M1458" s="1036"/>
      <c r="N1458" s="1036"/>
      <c r="O1458" s="1036"/>
      <c r="P1458" s="1036"/>
      <c r="Q1458" s="1036"/>
      <c r="R1458" s="1036"/>
      <c r="S1458" s="1036"/>
      <c r="T1458" s="1036"/>
      <c r="U1458" s="1036"/>
      <c r="V1458" s="1036"/>
      <c r="W1458" s="1036"/>
      <c r="X1458" s="1036"/>
      <c r="Y1458" s="1036"/>
      <c r="Z1458" s="1036"/>
    </row>
    <row r="1459" spans="1:26" ht="25.5">
      <c r="A1459" s="1079">
        <v>100849</v>
      </c>
      <c r="B1459" s="1080" t="s">
        <v>14476</v>
      </c>
      <c r="C1459" s="1080" t="s">
        <v>10159</v>
      </c>
      <c r="D1459" s="1081" t="s">
        <v>6</v>
      </c>
      <c r="E1459" s="1082">
        <v>1</v>
      </c>
      <c r="F1459" s="1083">
        <v>54.38</v>
      </c>
      <c r="G1459" s="1083">
        <v>54.38</v>
      </c>
      <c r="H1459" s="1084">
        <f t="shared" si="15"/>
        <v>3.6935024263933735E-6</v>
      </c>
      <c r="I1459" s="1085">
        <f t="shared" si="17"/>
        <v>0.99972331401435555</v>
      </c>
      <c r="J1459" s="1085" t="str">
        <f t="shared" si="16"/>
        <v>C</v>
      </c>
      <c r="K1459" s="1036"/>
      <c r="L1459" s="1036"/>
      <c r="M1459" s="1036"/>
      <c r="N1459" s="1036"/>
      <c r="O1459" s="1036"/>
      <c r="P1459" s="1036"/>
      <c r="Q1459" s="1036"/>
      <c r="R1459" s="1036"/>
      <c r="S1459" s="1036"/>
      <c r="T1459" s="1036"/>
      <c r="U1459" s="1036"/>
      <c r="V1459" s="1036"/>
      <c r="W1459" s="1036"/>
      <c r="X1459" s="1036"/>
      <c r="Y1459" s="1036"/>
      <c r="Z1459" s="1036"/>
    </row>
    <row r="1460" spans="1:26" ht="14.25">
      <c r="A1460" s="1079" t="s">
        <v>14797</v>
      </c>
      <c r="B1460" s="1080" t="s">
        <v>14472</v>
      </c>
      <c r="C1460" s="1080" t="s">
        <v>14798</v>
      </c>
      <c r="D1460" s="1081" t="s">
        <v>50</v>
      </c>
      <c r="E1460" s="1082">
        <v>1.9</v>
      </c>
      <c r="F1460" s="1083">
        <v>28.43</v>
      </c>
      <c r="G1460" s="1083">
        <v>54.01</v>
      </c>
      <c r="H1460" s="1084">
        <f t="shared" si="15"/>
        <v>3.6683719391229509E-6</v>
      </c>
      <c r="I1460" s="1085">
        <f t="shared" si="17"/>
        <v>0.99972698238629465</v>
      </c>
      <c r="J1460" s="1085" t="str">
        <f t="shared" si="16"/>
        <v>C</v>
      </c>
      <c r="K1460" s="1036"/>
      <c r="L1460" s="1036"/>
      <c r="M1460" s="1036"/>
      <c r="N1460" s="1036"/>
      <c r="O1460" s="1036"/>
      <c r="P1460" s="1036"/>
      <c r="Q1460" s="1036"/>
      <c r="R1460" s="1036"/>
      <c r="S1460" s="1036"/>
      <c r="T1460" s="1036"/>
      <c r="U1460" s="1036"/>
      <c r="V1460" s="1036"/>
      <c r="W1460" s="1036"/>
      <c r="X1460" s="1036"/>
      <c r="Y1460" s="1036"/>
      <c r="Z1460" s="1036"/>
    </row>
    <row r="1461" spans="1:26" ht="51">
      <c r="A1461" s="1079" t="s">
        <v>15370</v>
      </c>
      <c r="B1461" s="1080" t="s">
        <v>14472</v>
      </c>
      <c r="C1461" s="1080" t="s">
        <v>15371</v>
      </c>
      <c r="D1461" s="1081" t="s">
        <v>6</v>
      </c>
      <c r="E1461" s="1082">
        <v>1</v>
      </c>
      <c r="F1461" s="1083">
        <v>53.95</v>
      </c>
      <c r="G1461" s="1083">
        <v>53.95</v>
      </c>
      <c r="H1461" s="1084">
        <f t="shared" si="15"/>
        <v>3.6642967249709909E-6</v>
      </c>
      <c r="I1461" s="1085">
        <f t="shared" si="17"/>
        <v>0.99973064668301959</v>
      </c>
      <c r="J1461" s="1085" t="str">
        <f t="shared" si="16"/>
        <v>C</v>
      </c>
      <c r="K1461" s="1036"/>
      <c r="L1461" s="1036"/>
      <c r="M1461" s="1036"/>
      <c r="N1461" s="1036"/>
      <c r="O1461" s="1036"/>
      <c r="P1461" s="1036"/>
      <c r="Q1461" s="1036"/>
      <c r="R1461" s="1036"/>
      <c r="S1461" s="1036"/>
      <c r="T1461" s="1036"/>
      <c r="U1461" s="1036"/>
      <c r="V1461" s="1036"/>
      <c r="W1461" s="1036"/>
      <c r="X1461" s="1036"/>
      <c r="Y1461" s="1036"/>
      <c r="Z1461" s="1036"/>
    </row>
    <row r="1462" spans="1:26" ht="38.25">
      <c r="A1462" s="1079">
        <v>91959</v>
      </c>
      <c r="B1462" s="1080" t="s">
        <v>14476</v>
      </c>
      <c r="C1462" s="1080" t="s">
        <v>8018</v>
      </c>
      <c r="D1462" s="1081" t="s">
        <v>6</v>
      </c>
      <c r="E1462" s="1082">
        <v>1</v>
      </c>
      <c r="F1462" s="1083">
        <v>53.73</v>
      </c>
      <c r="G1462" s="1083">
        <v>53.73</v>
      </c>
      <c r="H1462" s="1084">
        <f t="shared" si="15"/>
        <v>3.6493542730804696E-6</v>
      </c>
      <c r="I1462" s="1085">
        <f t="shared" si="17"/>
        <v>0.99973429603729269</v>
      </c>
      <c r="J1462" s="1085" t="str">
        <f t="shared" si="16"/>
        <v>C</v>
      </c>
      <c r="K1462" s="1036"/>
      <c r="L1462" s="1036"/>
      <c r="M1462" s="1036"/>
      <c r="N1462" s="1036"/>
      <c r="O1462" s="1036"/>
      <c r="P1462" s="1036"/>
      <c r="Q1462" s="1036"/>
      <c r="R1462" s="1036"/>
      <c r="S1462" s="1036"/>
      <c r="T1462" s="1036"/>
      <c r="U1462" s="1036"/>
      <c r="V1462" s="1036"/>
      <c r="W1462" s="1036"/>
      <c r="X1462" s="1036"/>
      <c r="Y1462" s="1036"/>
      <c r="Z1462" s="1036"/>
    </row>
    <row r="1463" spans="1:26" ht="38.25">
      <c r="A1463" s="1079">
        <v>89427</v>
      </c>
      <c r="B1463" s="1080" t="s">
        <v>14476</v>
      </c>
      <c r="C1463" s="1080" t="s">
        <v>8728</v>
      </c>
      <c r="D1463" s="1081" t="s">
        <v>6</v>
      </c>
      <c r="E1463" s="1082">
        <v>4</v>
      </c>
      <c r="F1463" s="1083">
        <v>13.35</v>
      </c>
      <c r="G1463" s="1083">
        <v>53.4</v>
      </c>
      <c r="H1463" s="1084">
        <f t="shared" si="15"/>
        <v>3.6269405952446878E-6</v>
      </c>
      <c r="I1463" s="1085">
        <f t="shared" si="17"/>
        <v>0.99973792297788788</v>
      </c>
      <c r="J1463" s="1085" t="str">
        <f t="shared" si="16"/>
        <v>C</v>
      </c>
      <c r="K1463" s="1036"/>
      <c r="L1463" s="1036"/>
      <c r="M1463" s="1036"/>
      <c r="N1463" s="1036"/>
      <c r="O1463" s="1036"/>
      <c r="P1463" s="1036"/>
      <c r="Q1463" s="1036"/>
      <c r="R1463" s="1036"/>
      <c r="S1463" s="1036"/>
      <c r="T1463" s="1036"/>
      <c r="U1463" s="1036"/>
      <c r="V1463" s="1036"/>
      <c r="W1463" s="1036"/>
      <c r="X1463" s="1036"/>
      <c r="Y1463" s="1036"/>
      <c r="Z1463" s="1036"/>
    </row>
    <row r="1464" spans="1:26" ht="51">
      <c r="A1464" s="1079">
        <v>104348</v>
      </c>
      <c r="B1464" s="1080" t="s">
        <v>14476</v>
      </c>
      <c r="C1464" s="1080" t="s">
        <v>9910</v>
      </c>
      <c r="D1464" s="1081" t="s">
        <v>6</v>
      </c>
      <c r="E1464" s="1082">
        <v>4</v>
      </c>
      <c r="F1464" s="1083">
        <v>13.17</v>
      </c>
      <c r="G1464" s="1083">
        <v>52.68</v>
      </c>
      <c r="H1464" s="1084">
        <f t="shared" si="15"/>
        <v>3.5780380254211639E-6</v>
      </c>
      <c r="I1464" s="1085">
        <f t="shared" si="17"/>
        <v>0.9997415010159133</v>
      </c>
      <c r="J1464" s="1085" t="str">
        <f t="shared" si="16"/>
        <v>C</v>
      </c>
      <c r="K1464" s="1036"/>
      <c r="L1464" s="1036"/>
      <c r="M1464" s="1036"/>
      <c r="N1464" s="1036"/>
      <c r="O1464" s="1036"/>
      <c r="P1464" s="1036"/>
      <c r="Q1464" s="1036"/>
      <c r="R1464" s="1036"/>
      <c r="S1464" s="1036"/>
      <c r="T1464" s="1036"/>
      <c r="U1464" s="1036"/>
      <c r="V1464" s="1036"/>
      <c r="W1464" s="1036"/>
      <c r="X1464" s="1036"/>
      <c r="Y1464" s="1036"/>
      <c r="Z1464" s="1036"/>
    </row>
    <row r="1465" spans="1:26" ht="51">
      <c r="A1465" s="1079">
        <v>104348</v>
      </c>
      <c r="B1465" s="1080" t="s">
        <v>14476</v>
      </c>
      <c r="C1465" s="1080" t="s">
        <v>9910</v>
      </c>
      <c r="D1465" s="1081" t="s">
        <v>6</v>
      </c>
      <c r="E1465" s="1082">
        <v>4</v>
      </c>
      <c r="F1465" s="1083">
        <v>13.17</v>
      </c>
      <c r="G1465" s="1083">
        <v>52.68</v>
      </c>
      <c r="H1465" s="1084">
        <f t="shared" si="15"/>
        <v>3.5780380254211639E-6</v>
      </c>
      <c r="I1465" s="1085">
        <f t="shared" si="17"/>
        <v>0.99974507905393872</v>
      </c>
      <c r="J1465" s="1085" t="str">
        <f t="shared" si="16"/>
        <v>C</v>
      </c>
      <c r="K1465" s="1036"/>
      <c r="L1465" s="1036"/>
      <c r="M1465" s="1036"/>
      <c r="N1465" s="1036"/>
      <c r="O1465" s="1036"/>
      <c r="P1465" s="1036"/>
      <c r="Q1465" s="1036"/>
      <c r="R1465" s="1036"/>
      <c r="S1465" s="1036"/>
      <c r="T1465" s="1036"/>
      <c r="U1465" s="1036"/>
      <c r="V1465" s="1036"/>
      <c r="W1465" s="1036"/>
      <c r="X1465" s="1036"/>
      <c r="Y1465" s="1036"/>
      <c r="Z1465" s="1036"/>
    </row>
    <row r="1466" spans="1:26" ht="38.25">
      <c r="A1466" s="1079">
        <v>100938</v>
      </c>
      <c r="B1466" s="1080" t="s">
        <v>14476</v>
      </c>
      <c r="C1466" s="1080" t="s">
        <v>11938</v>
      </c>
      <c r="D1466" s="1081" t="s">
        <v>11696</v>
      </c>
      <c r="E1466" s="1082">
        <v>5.49</v>
      </c>
      <c r="F1466" s="1083">
        <v>9.4700000000000006</v>
      </c>
      <c r="G1466" s="1083">
        <v>51.97</v>
      </c>
      <c r="H1466" s="1084">
        <f t="shared" si="15"/>
        <v>3.5298146579563E-6</v>
      </c>
      <c r="I1466" s="1085">
        <f t="shared" si="17"/>
        <v>0.99974860886859673</v>
      </c>
      <c r="J1466" s="1085" t="str">
        <f t="shared" si="16"/>
        <v>C</v>
      </c>
      <c r="K1466" s="1036"/>
      <c r="L1466" s="1036"/>
      <c r="M1466" s="1036"/>
      <c r="N1466" s="1036"/>
      <c r="O1466" s="1036"/>
      <c r="P1466" s="1036"/>
      <c r="Q1466" s="1036"/>
      <c r="R1466" s="1036"/>
      <c r="S1466" s="1036"/>
      <c r="T1466" s="1036"/>
      <c r="U1466" s="1036"/>
      <c r="V1466" s="1036"/>
      <c r="W1466" s="1036"/>
      <c r="X1466" s="1036"/>
      <c r="Y1466" s="1036"/>
      <c r="Z1466" s="1036"/>
    </row>
    <row r="1467" spans="1:26" ht="38.25">
      <c r="A1467" s="1079">
        <v>93655</v>
      </c>
      <c r="B1467" s="1080" t="s">
        <v>14476</v>
      </c>
      <c r="C1467" s="1080" t="s">
        <v>7956</v>
      </c>
      <c r="D1467" s="1081" t="s">
        <v>6</v>
      </c>
      <c r="E1467" s="1082">
        <v>3</v>
      </c>
      <c r="F1467" s="1083">
        <v>17.27</v>
      </c>
      <c r="G1467" s="1083">
        <v>51.81</v>
      </c>
      <c r="H1467" s="1084">
        <f t="shared" si="15"/>
        <v>3.5189474202177395E-6</v>
      </c>
      <c r="I1467" s="1085">
        <f t="shared" si="17"/>
        <v>0.99975212781601697</v>
      </c>
      <c r="J1467" s="1085" t="str">
        <f t="shared" si="16"/>
        <v>C</v>
      </c>
      <c r="K1467" s="1036"/>
      <c r="L1467" s="1036"/>
      <c r="M1467" s="1036"/>
      <c r="N1467" s="1036"/>
      <c r="O1467" s="1036"/>
      <c r="P1467" s="1036"/>
      <c r="Q1467" s="1036"/>
      <c r="R1467" s="1036"/>
      <c r="S1467" s="1036"/>
      <c r="T1467" s="1036"/>
      <c r="U1467" s="1036"/>
      <c r="V1467" s="1036"/>
      <c r="W1467" s="1036"/>
      <c r="X1467" s="1036"/>
      <c r="Y1467" s="1036"/>
      <c r="Z1467" s="1036"/>
    </row>
    <row r="1468" spans="1:26" ht="51">
      <c r="A1468" s="1079" t="s">
        <v>15359</v>
      </c>
      <c r="B1468" s="1080" t="s">
        <v>14472</v>
      </c>
      <c r="C1468" s="1080" t="s">
        <v>15360</v>
      </c>
      <c r="D1468" s="1081" t="s">
        <v>6</v>
      </c>
      <c r="E1468" s="1082">
        <v>2</v>
      </c>
      <c r="F1468" s="1083">
        <v>25.6</v>
      </c>
      <c r="G1468" s="1083">
        <v>51.2</v>
      </c>
      <c r="H1468" s="1084">
        <f t="shared" si="15"/>
        <v>3.477516076339476E-6</v>
      </c>
      <c r="I1468" s="1085">
        <f t="shared" si="17"/>
        <v>0.99975560533209329</v>
      </c>
      <c r="J1468" s="1085" t="str">
        <f t="shared" si="16"/>
        <v>C</v>
      </c>
      <c r="K1468" s="1036"/>
      <c r="L1468" s="1036"/>
      <c r="M1468" s="1036"/>
      <c r="N1468" s="1036"/>
      <c r="O1468" s="1036"/>
      <c r="P1468" s="1036"/>
      <c r="Q1468" s="1036"/>
      <c r="R1468" s="1036"/>
      <c r="S1468" s="1036"/>
      <c r="T1468" s="1036"/>
      <c r="U1468" s="1036"/>
      <c r="V1468" s="1036"/>
      <c r="W1468" s="1036"/>
      <c r="X1468" s="1036"/>
      <c r="Y1468" s="1036"/>
      <c r="Z1468" s="1036"/>
    </row>
    <row r="1469" spans="1:26" ht="51">
      <c r="A1469" s="1079" t="s">
        <v>15359</v>
      </c>
      <c r="B1469" s="1080" t="s">
        <v>14472</v>
      </c>
      <c r="C1469" s="1080" t="s">
        <v>15360</v>
      </c>
      <c r="D1469" s="1081" t="s">
        <v>6</v>
      </c>
      <c r="E1469" s="1082">
        <v>2</v>
      </c>
      <c r="F1469" s="1083">
        <v>25.6</v>
      </c>
      <c r="G1469" s="1083">
        <v>51.2</v>
      </c>
      <c r="H1469" s="1084">
        <f t="shared" si="15"/>
        <v>3.477516076339476E-6</v>
      </c>
      <c r="I1469" s="1085">
        <f t="shared" si="17"/>
        <v>0.99975908284816961</v>
      </c>
      <c r="J1469" s="1085" t="str">
        <f t="shared" si="16"/>
        <v>C</v>
      </c>
      <c r="K1469" s="1036"/>
      <c r="L1469" s="1036"/>
      <c r="M1469" s="1036"/>
      <c r="N1469" s="1036"/>
      <c r="O1469" s="1036"/>
      <c r="P1469" s="1036"/>
      <c r="Q1469" s="1036"/>
      <c r="R1469" s="1036"/>
      <c r="S1469" s="1036"/>
      <c r="T1469" s="1036"/>
      <c r="U1469" s="1036"/>
      <c r="V1469" s="1036"/>
      <c r="W1469" s="1036"/>
      <c r="X1469" s="1036"/>
      <c r="Y1469" s="1036"/>
      <c r="Z1469" s="1036"/>
    </row>
    <row r="1470" spans="1:26" ht="51">
      <c r="A1470" s="1079" t="s">
        <v>15359</v>
      </c>
      <c r="B1470" s="1080" t="s">
        <v>14472</v>
      </c>
      <c r="C1470" s="1080" t="s">
        <v>15360</v>
      </c>
      <c r="D1470" s="1081" t="s">
        <v>6</v>
      </c>
      <c r="E1470" s="1082">
        <v>2</v>
      </c>
      <c r="F1470" s="1083">
        <v>25.6</v>
      </c>
      <c r="G1470" s="1083">
        <v>51.2</v>
      </c>
      <c r="H1470" s="1084">
        <f t="shared" si="15"/>
        <v>3.477516076339476E-6</v>
      </c>
      <c r="I1470" s="1085">
        <f t="shared" si="17"/>
        <v>0.99976256036424593</v>
      </c>
      <c r="J1470" s="1085" t="str">
        <f t="shared" si="16"/>
        <v>C</v>
      </c>
      <c r="K1470" s="1036"/>
      <c r="L1470" s="1036"/>
      <c r="M1470" s="1036"/>
      <c r="N1470" s="1036"/>
      <c r="O1470" s="1036"/>
      <c r="P1470" s="1036"/>
      <c r="Q1470" s="1036"/>
      <c r="R1470" s="1036"/>
      <c r="S1470" s="1036"/>
      <c r="T1470" s="1036"/>
      <c r="U1470" s="1036"/>
      <c r="V1470" s="1036"/>
      <c r="W1470" s="1036"/>
      <c r="X1470" s="1036"/>
      <c r="Y1470" s="1036"/>
      <c r="Z1470" s="1036"/>
    </row>
    <row r="1471" spans="1:26" ht="51">
      <c r="A1471" s="1079">
        <v>89748</v>
      </c>
      <c r="B1471" s="1080" t="s">
        <v>14476</v>
      </c>
      <c r="C1471" s="1080" t="s">
        <v>8960</v>
      </c>
      <c r="D1471" s="1081" t="s">
        <v>6</v>
      </c>
      <c r="E1471" s="1082">
        <v>1</v>
      </c>
      <c r="F1471" s="1083">
        <v>50.96</v>
      </c>
      <c r="G1471" s="1083">
        <v>50.96</v>
      </c>
      <c r="H1471" s="1084">
        <f t="shared" si="15"/>
        <v>3.4612152197316347E-6</v>
      </c>
      <c r="I1471" s="1085">
        <f t="shared" si="17"/>
        <v>0.9997660215794657</v>
      </c>
      <c r="J1471" s="1085" t="str">
        <f t="shared" si="16"/>
        <v>C</v>
      </c>
      <c r="K1471" s="1036"/>
      <c r="L1471" s="1036"/>
      <c r="M1471" s="1036"/>
      <c r="N1471" s="1036"/>
      <c r="O1471" s="1036"/>
      <c r="P1471" s="1036"/>
      <c r="Q1471" s="1036"/>
      <c r="R1471" s="1036"/>
      <c r="S1471" s="1036"/>
      <c r="T1471" s="1036"/>
      <c r="U1471" s="1036"/>
      <c r="V1471" s="1036"/>
      <c r="W1471" s="1036"/>
      <c r="X1471" s="1036"/>
      <c r="Y1471" s="1036"/>
      <c r="Z1471" s="1036"/>
    </row>
    <row r="1472" spans="1:26" ht="51">
      <c r="A1472" s="1079">
        <v>92986</v>
      </c>
      <c r="B1472" s="1080" t="s">
        <v>14476</v>
      </c>
      <c r="C1472" s="1080" t="s">
        <v>7868</v>
      </c>
      <c r="D1472" s="1081" t="s">
        <v>50</v>
      </c>
      <c r="E1472" s="1082">
        <v>1</v>
      </c>
      <c r="F1472" s="1083">
        <v>50.65</v>
      </c>
      <c r="G1472" s="1083">
        <v>50.65</v>
      </c>
      <c r="H1472" s="1084">
        <f t="shared" si="15"/>
        <v>3.440159946613173E-6</v>
      </c>
      <c r="I1472" s="1085">
        <f t="shared" si="17"/>
        <v>0.99976946173941228</v>
      </c>
      <c r="J1472" s="1085" t="str">
        <f t="shared" si="16"/>
        <v>C</v>
      </c>
      <c r="K1472" s="1036"/>
      <c r="L1472" s="1036"/>
      <c r="M1472" s="1036"/>
      <c r="N1472" s="1036"/>
      <c r="O1472" s="1036"/>
      <c r="P1472" s="1036"/>
      <c r="Q1472" s="1036"/>
      <c r="R1472" s="1036"/>
      <c r="S1472" s="1036"/>
      <c r="T1472" s="1036"/>
      <c r="U1472" s="1036"/>
      <c r="V1472" s="1036"/>
      <c r="W1472" s="1036"/>
      <c r="X1472" s="1036"/>
      <c r="Y1472" s="1036"/>
      <c r="Z1472" s="1036"/>
    </row>
    <row r="1473" spans="1:26" ht="25.5">
      <c r="A1473" s="1079">
        <v>95544</v>
      </c>
      <c r="B1473" s="1080" t="s">
        <v>14476</v>
      </c>
      <c r="C1473" s="1080" t="s">
        <v>10154</v>
      </c>
      <c r="D1473" s="1081" t="s">
        <v>6</v>
      </c>
      <c r="E1473" s="1082">
        <v>1</v>
      </c>
      <c r="F1473" s="1083">
        <v>50.23</v>
      </c>
      <c r="G1473" s="1083">
        <v>50.23</v>
      </c>
      <c r="H1473" s="1084">
        <f t="shared" si="15"/>
        <v>3.4116334475494508E-6</v>
      </c>
      <c r="I1473" s="1085">
        <f t="shared" si="17"/>
        <v>0.9997728733728598</v>
      </c>
      <c r="J1473" s="1085" t="str">
        <f t="shared" si="16"/>
        <v>C</v>
      </c>
      <c r="K1473" s="1036"/>
      <c r="L1473" s="1036"/>
      <c r="M1473" s="1036"/>
      <c r="N1473" s="1036"/>
      <c r="O1473" s="1036"/>
      <c r="P1473" s="1036"/>
      <c r="Q1473" s="1036"/>
      <c r="R1473" s="1036"/>
      <c r="S1473" s="1036"/>
      <c r="T1473" s="1036"/>
      <c r="U1473" s="1036"/>
      <c r="V1473" s="1036"/>
      <c r="W1473" s="1036"/>
      <c r="X1473" s="1036"/>
      <c r="Y1473" s="1036"/>
      <c r="Z1473" s="1036"/>
    </row>
    <row r="1474" spans="1:26" ht="51">
      <c r="A1474" s="1079">
        <v>89711</v>
      </c>
      <c r="B1474" s="1080" t="s">
        <v>14476</v>
      </c>
      <c r="C1474" s="1080" t="s">
        <v>8442</v>
      </c>
      <c r="D1474" s="1081" t="s">
        <v>50</v>
      </c>
      <c r="E1474" s="1082">
        <v>2</v>
      </c>
      <c r="F1474" s="1083">
        <v>25.02</v>
      </c>
      <c r="G1474" s="1083">
        <v>50.04</v>
      </c>
      <c r="H1474" s="1084">
        <f t="shared" si="15"/>
        <v>3.3987286027349099E-6</v>
      </c>
      <c r="I1474" s="1085">
        <f t="shared" si="17"/>
        <v>0.99977627210146258</v>
      </c>
      <c r="J1474" s="1085" t="str">
        <f t="shared" si="16"/>
        <v>C</v>
      </c>
      <c r="K1474" s="1036"/>
      <c r="L1474" s="1036"/>
      <c r="M1474" s="1036"/>
      <c r="N1474" s="1036"/>
      <c r="O1474" s="1036"/>
      <c r="P1474" s="1036"/>
      <c r="Q1474" s="1036"/>
      <c r="R1474" s="1036"/>
      <c r="S1474" s="1036"/>
      <c r="T1474" s="1036"/>
      <c r="U1474" s="1036"/>
      <c r="V1474" s="1036"/>
      <c r="W1474" s="1036"/>
      <c r="X1474" s="1036"/>
      <c r="Y1474" s="1036"/>
      <c r="Z1474" s="1036"/>
    </row>
    <row r="1475" spans="1:26" ht="51">
      <c r="A1475" s="1079">
        <v>89711</v>
      </c>
      <c r="B1475" s="1080" t="s">
        <v>14476</v>
      </c>
      <c r="C1475" s="1080" t="s">
        <v>8442</v>
      </c>
      <c r="D1475" s="1081" t="s">
        <v>50</v>
      </c>
      <c r="E1475" s="1082">
        <v>2</v>
      </c>
      <c r="F1475" s="1083">
        <v>25.02</v>
      </c>
      <c r="G1475" s="1083">
        <v>50.04</v>
      </c>
      <c r="H1475" s="1084">
        <f t="shared" si="15"/>
        <v>3.3987286027349099E-6</v>
      </c>
      <c r="I1475" s="1085">
        <f t="shared" si="17"/>
        <v>0.99977967083006536</v>
      </c>
      <c r="J1475" s="1085" t="str">
        <f t="shared" si="16"/>
        <v>C</v>
      </c>
      <c r="K1475" s="1036"/>
      <c r="L1475" s="1036"/>
      <c r="M1475" s="1036"/>
      <c r="N1475" s="1036"/>
      <c r="O1475" s="1036"/>
      <c r="P1475" s="1036"/>
      <c r="Q1475" s="1036"/>
      <c r="R1475" s="1036"/>
      <c r="S1475" s="1036"/>
      <c r="T1475" s="1036"/>
      <c r="U1475" s="1036"/>
      <c r="V1475" s="1036"/>
      <c r="W1475" s="1036"/>
      <c r="X1475" s="1036"/>
      <c r="Y1475" s="1036"/>
      <c r="Z1475" s="1036"/>
    </row>
    <row r="1476" spans="1:26" ht="38.25">
      <c r="A1476" s="1079">
        <v>101632</v>
      </c>
      <c r="B1476" s="1080" t="s">
        <v>14476</v>
      </c>
      <c r="C1476" s="1080" t="s">
        <v>8180</v>
      </c>
      <c r="D1476" s="1081" t="s">
        <v>6</v>
      </c>
      <c r="E1476" s="1082">
        <v>1</v>
      </c>
      <c r="F1476" s="1083">
        <v>49.96</v>
      </c>
      <c r="G1476" s="1083">
        <v>49.96</v>
      </c>
      <c r="H1476" s="1084">
        <f t="shared" si="15"/>
        <v>3.3932949838656294E-6</v>
      </c>
      <c r="I1476" s="1085">
        <f t="shared" si="17"/>
        <v>0.99978306412504925</v>
      </c>
      <c r="J1476" s="1085" t="str">
        <f t="shared" si="16"/>
        <v>C</v>
      </c>
      <c r="K1476" s="1036"/>
      <c r="L1476" s="1036"/>
      <c r="M1476" s="1036"/>
      <c r="N1476" s="1036"/>
      <c r="O1476" s="1036"/>
      <c r="P1476" s="1036"/>
      <c r="Q1476" s="1036"/>
      <c r="R1476" s="1036"/>
      <c r="S1476" s="1036"/>
      <c r="T1476" s="1036"/>
      <c r="U1476" s="1036"/>
      <c r="V1476" s="1036"/>
      <c r="W1476" s="1036"/>
      <c r="X1476" s="1036"/>
      <c r="Y1476" s="1036"/>
      <c r="Z1476" s="1036"/>
    </row>
    <row r="1477" spans="1:26" ht="51">
      <c r="A1477" s="1079">
        <v>89724</v>
      </c>
      <c r="B1477" s="1080" t="s">
        <v>14476</v>
      </c>
      <c r="C1477" s="1080" t="s">
        <v>8937</v>
      </c>
      <c r="D1477" s="1081" t="s">
        <v>6</v>
      </c>
      <c r="E1477" s="1082">
        <v>4</v>
      </c>
      <c r="F1477" s="1083">
        <v>12.4</v>
      </c>
      <c r="G1477" s="1083">
        <v>49.6</v>
      </c>
      <c r="H1477" s="1084">
        <f t="shared" si="15"/>
        <v>3.3688436989538677E-6</v>
      </c>
      <c r="I1477" s="1085">
        <f t="shared" si="17"/>
        <v>0.99978643296874825</v>
      </c>
      <c r="J1477" s="1085" t="str">
        <f t="shared" si="16"/>
        <v>C</v>
      </c>
      <c r="K1477" s="1036"/>
      <c r="L1477" s="1036"/>
      <c r="M1477" s="1036"/>
      <c r="N1477" s="1036"/>
      <c r="O1477" s="1036"/>
      <c r="P1477" s="1036"/>
      <c r="Q1477" s="1036"/>
      <c r="R1477" s="1036"/>
      <c r="S1477" s="1036"/>
      <c r="T1477" s="1036"/>
      <c r="U1477" s="1036"/>
      <c r="V1477" s="1036"/>
      <c r="W1477" s="1036"/>
      <c r="X1477" s="1036"/>
      <c r="Y1477" s="1036"/>
      <c r="Z1477" s="1036"/>
    </row>
    <row r="1478" spans="1:26" ht="51">
      <c r="A1478" s="1079">
        <v>104344</v>
      </c>
      <c r="B1478" s="1080" t="s">
        <v>14476</v>
      </c>
      <c r="C1478" s="1080" t="s">
        <v>9906</v>
      </c>
      <c r="D1478" s="1081" t="s">
        <v>6</v>
      </c>
      <c r="E1478" s="1082">
        <v>1</v>
      </c>
      <c r="F1478" s="1083">
        <v>49.23</v>
      </c>
      <c r="G1478" s="1083">
        <v>49.23</v>
      </c>
      <c r="H1478" s="1084">
        <f t="shared" si="15"/>
        <v>3.3437132116834451E-6</v>
      </c>
      <c r="I1478" s="1085">
        <f t="shared" si="17"/>
        <v>0.9997897766819599</v>
      </c>
      <c r="J1478" s="1085" t="str">
        <f t="shared" si="16"/>
        <v>C</v>
      </c>
      <c r="K1478" s="1036"/>
      <c r="L1478" s="1036"/>
      <c r="M1478" s="1036"/>
      <c r="N1478" s="1036"/>
      <c r="O1478" s="1036"/>
      <c r="P1478" s="1036"/>
      <c r="Q1478" s="1036"/>
      <c r="R1478" s="1036"/>
      <c r="S1478" s="1036"/>
      <c r="T1478" s="1036"/>
      <c r="U1478" s="1036"/>
      <c r="V1478" s="1036"/>
      <c r="W1478" s="1036"/>
      <c r="X1478" s="1036"/>
      <c r="Y1478" s="1036"/>
      <c r="Z1478" s="1036"/>
    </row>
    <row r="1479" spans="1:26" ht="38.25">
      <c r="A1479" s="1079">
        <v>92760</v>
      </c>
      <c r="B1479" s="1080" t="s">
        <v>14476</v>
      </c>
      <c r="C1479" s="1080" t="s">
        <v>7429</v>
      </c>
      <c r="D1479" s="1081" t="s">
        <v>54</v>
      </c>
      <c r="E1479" s="1082">
        <v>2.7</v>
      </c>
      <c r="F1479" s="1083">
        <v>18.059999999999999</v>
      </c>
      <c r="G1479" s="1083">
        <v>48.76</v>
      </c>
      <c r="H1479" s="1084">
        <f t="shared" si="15"/>
        <v>3.3117907008264229E-6</v>
      </c>
      <c r="I1479" s="1085">
        <f t="shared" si="17"/>
        <v>0.99979308847266068</v>
      </c>
      <c r="J1479" s="1085" t="str">
        <f t="shared" si="16"/>
        <v>C</v>
      </c>
      <c r="K1479" s="1036"/>
      <c r="L1479" s="1036"/>
      <c r="M1479" s="1036"/>
      <c r="N1479" s="1036"/>
      <c r="O1479" s="1036"/>
      <c r="P1479" s="1036"/>
      <c r="Q1479" s="1036"/>
      <c r="R1479" s="1036"/>
      <c r="S1479" s="1036"/>
      <c r="T1479" s="1036"/>
      <c r="U1479" s="1036"/>
      <c r="V1479" s="1036"/>
      <c r="W1479" s="1036"/>
      <c r="X1479" s="1036"/>
      <c r="Y1479" s="1036"/>
      <c r="Z1479" s="1036"/>
    </row>
    <row r="1480" spans="1:26" ht="51">
      <c r="A1480" s="1079">
        <v>89383</v>
      </c>
      <c r="B1480" s="1080" t="s">
        <v>14476</v>
      </c>
      <c r="C1480" s="1080" t="s">
        <v>8690</v>
      </c>
      <c r="D1480" s="1081" t="s">
        <v>6</v>
      </c>
      <c r="E1480" s="1082">
        <v>6</v>
      </c>
      <c r="F1480" s="1083">
        <v>7.85</v>
      </c>
      <c r="G1480" s="1083">
        <v>47.1</v>
      </c>
      <c r="H1480" s="1084">
        <f t="shared" si="15"/>
        <v>3.1990431092888541E-6</v>
      </c>
      <c r="I1480" s="1085">
        <f t="shared" si="17"/>
        <v>0.99979628751576999</v>
      </c>
      <c r="J1480" s="1085" t="str">
        <f t="shared" si="16"/>
        <v>C</v>
      </c>
      <c r="K1480" s="1036"/>
      <c r="L1480" s="1036"/>
      <c r="M1480" s="1036"/>
      <c r="N1480" s="1036"/>
      <c r="O1480" s="1036"/>
      <c r="P1480" s="1036"/>
      <c r="Q1480" s="1036"/>
      <c r="R1480" s="1036"/>
      <c r="S1480" s="1036"/>
      <c r="T1480" s="1036"/>
      <c r="U1480" s="1036"/>
      <c r="V1480" s="1036"/>
      <c r="W1480" s="1036"/>
      <c r="X1480" s="1036"/>
      <c r="Y1480" s="1036"/>
      <c r="Z1480" s="1036"/>
    </row>
    <row r="1481" spans="1:26" ht="38.25">
      <c r="A1481" s="1079">
        <v>103948</v>
      </c>
      <c r="B1481" s="1080" t="s">
        <v>14476</v>
      </c>
      <c r="C1481" s="1080" t="s">
        <v>9802</v>
      </c>
      <c r="D1481" s="1081" t="s">
        <v>6</v>
      </c>
      <c r="E1481" s="1082">
        <v>5</v>
      </c>
      <c r="F1481" s="1083">
        <v>9.4</v>
      </c>
      <c r="G1481" s="1083">
        <v>47</v>
      </c>
      <c r="H1481" s="1084">
        <f t="shared" si="15"/>
        <v>3.1922510857022532E-6</v>
      </c>
      <c r="I1481" s="1085">
        <f t="shared" si="17"/>
        <v>0.99979947976685568</v>
      </c>
      <c r="J1481" s="1085" t="str">
        <f t="shared" si="16"/>
        <v>C</v>
      </c>
      <c r="K1481" s="1036"/>
      <c r="L1481" s="1036"/>
      <c r="M1481" s="1036"/>
      <c r="N1481" s="1036"/>
      <c r="O1481" s="1036"/>
      <c r="P1481" s="1036"/>
      <c r="Q1481" s="1036"/>
      <c r="R1481" s="1036"/>
      <c r="S1481" s="1036"/>
      <c r="T1481" s="1036"/>
      <c r="U1481" s="1036"/>
      <c r="V1481" s="1036"/>
      <c r="W1481" s="1036"/>
      <c r="X1481" s="1036"/>
      <c r="Y1481" s="1036"/>
      <c r="Z1481" s="1036"/>
    </row>
    <row r="1482" spans="1:26" ht="38.25">
      <c r="A1482" s="1079">
        <v>89395</v>
      </c>
      <c r="B1482" s="1080" t="s">
        <v>14476</v>
      </c>
      <c r="C1482" s="1080" t="s">
        <v>8701</v>
      </c>
      <c r="D1482" s="1081" t="s">
        <v>6</v>
      </c>
      <c r="E1482" s="1082">
        <v>3</v>
      </c>
      <c r="F1482" s="1083">
        <v>15.51</v>
      </c>
      <c r="G1482" s="1083">
        <v>46.53</v>
      </c>
      <c r="H1482" s="1084">
        <f t="shared" si="15"/>
        <v>3.160328574845231E-6</v>
      </c>
      <c r="I1482" s="1085">
        <f t="shared" si="17"/>
        <v>0.99980264009543052</v>
      </c>
      <c r="J1482" s="1085" t="str">
        <f t="shared" si="16"/>
        <v>C</v>
      </c>
      <c r="K1482" s="1036"/>
      <c r="L1482" s="1036"/>
      <c r="M1482" s="1036"/>
      <c r="N1482" s="1036"/>
      <c r="O1482" s="1036"/>
      <c r="P1482" s="1036"/>
      <c r="Q1482" s="1036"/>
      <c r="R1482" s="1036"/>
      <c r="S1482" s="1036"/>
      <c r="T1482" s="1036"/>
      <c r="U1482" s="1036"/>
      <c r="V1482" s="1036"/>
      <c r="W1482" s="1036"/>
      <c r="X1482" s="1036"/>
      <c r="Y1482" s="1036"/>
      <c r="Z1482" s="1036"/>
    </row>
    <row r="1483" spans="1:26" ht="38.25">
      <c r="A1483" s="1079">
        <v>100938</v>
      </c>
      <c r="B1483" s="1080" t="s">
        <v>14476</v>
      </c>
      <c r="C1483" s="1080" t="s">
        <v>11938</v>
      </c>
      <c r="D1483" s="1081" t="s">
        <v>11696</v>
      </c>
      <c r="E1483" s="1082">
        <v>4.88</v>
      </c>
      <c r="F1483" s="1083">
        <v>9.4700000000000006</v>
      </c>
      <c r="G1483" s="1083">
        <v>46.23</v>
      </c>
      <c r="H1483" s="1084">
        <f t="shared" si="15"/>
        <v>3.1399525040854289E-6</v>
      </c>
      <c r="I1483" s="1085">
        <f t="shared" si="17"/>
        <v>0.99980578004793463</v>
      </c>
      <c r="J1483" s="1085" t="str">
        <f t="shared" si="16"/>
        <v>C</v>
      </c>
      <c r="K1483" s="1036"/>
      <c r="L1483" s="1036"/>
      <c r="M1483" s="1036"/>
      <c r="N1483" s="1036"/>
      <c r="O1483" s="1036"/>
      <c r="P1483" s="1036"/>
      <c r="Q1483" s="1036"/>
      <c r="R1483" s="1036"/>
      <c r="S1483" s="1036"/>
      <c r="T1483" s="1036"/>
      <c r="U1483" s="1036"/>
      <c r="V1483" s="1036"/>
      <c r="W1483" s="1036"/>
      <c r="X1483" s="1036"/>
      <c r="Y1483" s="1036"/>
      <c r="Z1483" s="1036"/>
    </row>
    <row r="1484" spans="1:26" ht="38.25">
      <c r="A1484" s="1079">
        <v>89627</v>
      </c>
      <c r="B1484" s="1080" t="s">
        <v>14476</v>
      </c>
      <c r="C1484" s="1080" t="s">
        <v>8858</v>
      </c>
      <c r="D1484" s="1081" t="s">
        <v>6</v>
      </c>
      <c r="E1484" s="1082">
        <v>2</v>
      </c>
      <c r="F1484" s="1083">
        <v>22.78</v>
      </c>
      <c r="G1484" s="1083">
        <v>45.56</v>
      </c>
      <c r="H1484" s="1084">
        <f t="shared" si="15"/>
        <v>3.0944459460552058E-6</v>
      </c>
      <c r="I1484" s="1085">
        <f t="shared" si="17"/>
        <v>0.99980887449388067</v>
      </c>
      <c r="J1484" s="1085" t="str">
        <f t="shared" si="16"/>
        <v>C</v>
      </c>
      <c r="K1484" s="1036"/>
      <c r="L1484" s="1036"/>
      <c r="M1484" s="1036"/>
      <c r="N1484" s="1036"/>
      <c r="O1484" s="1036"/>
      <c r="P1484" s="1036"/>
      <c r="Q1484" s="1036"/>
      <c r="R1484" s="1036"/>
      <c r="S1484" s="1036"/>
      <c r="T1484" s="1036"/>
      <c r="U1484" s="1036"/>
      <c r="V1484" s="1036"/>
      <c r="W1484" s="1036"/>
      <c r="X1484" s="1036"/>
      <c r="Y1484" s="1036"/>
      <c r="Z1484" s="1036"/>
    </row>
    <row r="1485" spans="1:26" ht="38.25">
      <c r="A1485" s="1079">
        <v>89362</v>
      </c>
      <c r="B1485" s="1080" t="s">
        <v>14476</v>
      </c>
      <c r="C1485" s="1080" t="s">
        <v>8669</v>
      </c>
      <c r="D1485" s="1081" t="s">
        <v>6</v>
      </c>
      <c r="E1485" s="1082">
        <v>4</v>
      </c>
      <c r="F1485" s="1083">
        <v>11.23</v>
      </c>
      <c r="G1485" s="1083">
        <v>44.92</v>
      </c>
      <c r="H1485" s="1084">
        <f t="shared" si="15"/>
        <v>3.0509769951009623E-6</v>
      </c>
      <c r="I1485" s="1085">
        <f t="shared" si="17"/>
        <v>0.99981192547087583</v>
      </c>
      <c r="J1485" s="1085" t="str">
        <f t="shared" si="16"/>
        <v>C</v>
      </c>
      <c r="K1485" s="1036"/>
      <c r="L1485" s="1036"/>
      <c r="M1485" s="1036"/>
      <c r="N1485" s="1036"/>
      <c r="O1485" s="1036"/>
      <c r="P1485" s="1036"/>
      <c r="Q1485" s="1036"/>
      <c r="R1485" s="1036"/>
      <c r="S1485" s="1036"/>
      <c r="T1485" s="1036"/>
      <c r="U1485" s="1036"/>
      <c r="V1485" s="1036"/>
      <c r="W1485" s="1036"/>
      <c r="X1485" s="1036"/>
      <c r="Y1485" s="1036"/>
      <c r="Z1485" s="1036"/>
    </row>
    <row r="1486" spans="1:26" ht="38.25">
      <c r="A1486" s="1079">
        <v>105234</v>
      </c>
      <c r="B1486" s="1080" t="s">
        <v>14476</v>
      </c>
      <c r="C1486" s="1080" t="s">
        <v>10006</v>
      </c>
      <c r="D1486" s="1081" t="s">
        <v>6</v>
      </c>
      <c r="E1486" s="1082">
        <v>4</v>
      </c>
      <c r="F1486" s="1083">
        <v>11.15</v>
      </c>
      <c r="G1486" s="1083">
        <v>44.6</v>
      </c>
      <c r="H1486" s="1084">
        <f t="shared" si="15"/>
        <v>3.0292425196238405E-6</v>
      </c>
      <c r="I1486" s="1085">
        <f t="shared" si="17"/>
        <v>0.99981495471339543</v>
      </c>
      <c r="J1486" s="1085" t="str">
        <f t="shared" si="16"/>
        <v>C</v>
      </c>
      <c r="K1486" s="1036"/>
      <c r="L1486" s="1036"/>
      <c r="M1486" s="1036"/>
      <c r="N1486" s="1036"/>
      <c r="O1486" s="1036"/>
      <c r="P1486" s="1036"/>
      <c r="Q1486" s="1036"/>
      <c r="R1486" s="1036"/>
      <c r="S1486" s="1036"/>
      <c r="T1486" s="1036"/>
      <c r="U1486" s="1036"/>
      <c r="V1486" s="1036"/>
      <c r="W1486" s="1036"/>
      <c r="X1486" s="1036"/>
      <c r="Y1486" s="1036"/>
      <c r="Z1486" s="1036"/>
    </row>
    <row r="1487" spans="1:26" ht="51">
      <c r="A1487" s="1079">
        <v>90373</v>
      </c>
      <c r="B1487" s="1080" t="s">
        <v>14476</v>
      </c>
      <c r="C1487" s="1080" t="s">
        <v>16009</v>
      </c>
      <c r="D1487" s="1081" t="s">
        <v>6</v>
      </c>
      <c r="E1487" s="1082">
        <v>3</v>
      </c>
      <c r="F1487" s="1083">
        <v>14.78</v>
      </c>
      <c r="G1487" s="1083">
        <v>44.34</v>
      </c>
      <c r="H1487" s="1084">
        <f t="shared" si="15"/>
        <v>3.0115832582986792E-6</v>
      </c>
      <c r="I1487" s="1085">
        <f t="shared" si="17"/>
        <v>0.99981796629665376</v>
      </c>
      <c r="J1487" s="1085" t="str">
        <f t="shared" si="16"/>
        <v>C</v>
      </c>
      <c r="K1487" s="1036"/>
      <c r="L1487" s="1036"/>
      <c r="M1487" s="1036"/>
      <c r="N1487" s="1036"/>
      <c r="O1487" s="1036"/>
      <c r="P1487" s="1036"/>
      <c r="Q1487" s="1036"/>
      <c r="R1487" s="1036"/>
      <c r="S1487" s="1036"/>
      <c r="T1487" s="1036"/>
      <c r="U1487" s="1036"/>
      <c r="V1487" s="1036"/>
      <c r="W1487" s="1036"/>
      <c r="X1487" s="1036"/>
      <c r="Y1487" s="1036"/>
      <c r="Z1487" s="1036"/>
    </row>
    <row r="1488" spans="1:26" ht="51">
      <c r="A1488" s="1079" t="s">
        <v>14596</v>
      </c>
      <c r="B1488" s="1080" t="s">
        <v>14472</v>
      </c>
      <c r="C1488" s="1080" t="s">
        <v>14597</v>
      </c>
      <c r="D1488" s="1081" t="s">
        <v>152</v>
      </c>
      <c r="E1488" s="1082">
        <v>5.47</v>
      </c>
      <c r="F1488" s="1083">
        <v>8.1</v>
      </c>
      <c r="G1488" s="1083">
        <v>44.3</v>
      </c>
      <c r="H1488" s="1084">
        <f t="shared" si="15"/>
        <v>3.0088664488640388E-6</v>
      </c>
      <c r="I1488" s="1085">
        <f t="shared" si="17"/>
        <v>0.99982097516310264</v>
      </c>
      <c r="J1488" s="1085" t="str">
        <f t="shared" si="16"/>
        <v>C</v>
      </c>
      <c r="K1488" s="1036"/>
      <c r="L1488" s="1036"/>
      <c r="M1488" s="1036"/>
      <c r="N1488" s="1036"/>
      <c r="O1488" s="1036"/>
      <c r="P1488" s="1036"/>
      <c r="Q1488" s="1036"/>
      <c r="R1488" s="1036"/>
      <c r="S1488" s="1036"/>
      <c r="T1488" s="1036"/>
      <c r="U1488" s="1036"/>
      <c r="V1488" s="1036"/>
      <c r="W1488" s="1036"/>
      <c r="X1488" s="1036"/>
      <c r="Y1488" s="1036"/>
      <c r="Z1488" s="1036"/>
    </row>
    <row r="1489" spans="1:26" ht="38.25">
      <c r="A1489" s="1079">
        <v>91926</v>
      </c>
      <c r="B1489" s="1080" t="s">
        <v>14476</v>
      </c>
      <c r="C1489" s="1080" t="s">
        <v>7853</v>
      </c>
      <c r="D1489" s="1081" t="s">
        <v>50</v>
      </c>
      <c r="E1489" s="1082">
        <v>8</v>
      </c>
      <c r="F1489" s="1083">
        <v>5.53</v>
      </c>
      <c r="G1489" s="1083">
        <v>44.24</v>
      </c>
      <c r="H1489" s="1084">
        <f t="shared" si="15"/>
        <v>3.0047912347120788E-6</v>
      </c>
      <c r="I1489" s="1085">
        <f t="shared" si="17"/>
        <v>0.99982397995433736</v>
      </c>
      <c r="J1489" s="1085" t="str">
        <f t="shared" si="16"/>
        <v>C</v>
      </c>
      <c r="K1489" s="1036"/>
      <c r="L1489" s="1036"/>
      <c r="M1489" s="1036"/>
      <c r="N1489" s="1036"/>
      <c r="O1489" s="1036"/>
      <c r="P1489" s="1036"/>
      <c r="Q1489" s="1036"/>
      <c r="R1489" s="1036"/>
      <c r="S1489" s="1036"/>
      <c r="T1489" s="1036"/>
      <c r="U1489" s="1036"/>
      <c r="V1489" s="1036"/>
      <c r="W1489" s="1036"/>
      <c r="X1489" s="1036"/>
      <c r="Y1489" s="1036"/>
      <c r="Z1489" s="1036"/>
    </row>
    <row r="1490" spans="1:26" ht="51">
      <c r="A1490" s="1079">
        <v>94703</v>
      </c>
      <c r="B1490" s="1080" t="s">
        <v>14476</v>
      </c>
      <c r="C1490" s="1080" t="s">
        <v>16027</v>
      </c>
      <c r="D1490" s="1081" t="s">
        <v>6</v>
      </c>
      <c r="E1490" s="1082">
        <v>2</v>
      </c>
      <c r="F1490" s="1083">
        <v>21.73</v>
      </c>
      <c r="G1490" s="1083">
        <v>43.46</v>
      </c>
      <c r="H1490" s="1084">
        <f t="shared" si="15"/>
        <v>2.9518134507365944E-6</v>
      </c>
      <c r="I1490" s="1085">
        <f t="shared" si="17"/>
        <v>0.99982693176778814</v>
      </c>
      <c r="J1490" s="1085" t="str">
        <f t="shared" si="16"/>
        <v>C</v>
      </c>
      <c r="K1490" s="1036"/>
      <c r="L1490" s="1036"/>
      <c r="M1490" s="1036"/>
      <c r="N1490" s="1036"/>
      <c r="O1490" s="1036"/>
      <c r="P1490" s="1036"/>
      <c r="Q1490" s="1036"/>
      <c r="R1490" s="1036"/>
      <c r="S1490" s="1036"/>
      <c r="T1490" s="1036"/>
      <c r="U1490" s="1036"/>
      <c r="V1490" s="1036"/>
      <c r="W1490" s="1036"/>
      <c r="X1490" s="1036"/>
      <c r="Y1490" s="1036"/>
      <c r="Z1490" s="1036"/>
    </row>
    <row r="1491" spans="1:26" ht="38.25">
      <c r="A1491" s="1079">
        <v>89385</v>
      </c>
      <c r="B1491" s="1080" t="s">
        <v>14476</v>
      </c>
      <c r="C1491" s="1080" t="s">
        <v>8692</v>
      </c>
      <c r="D1491" s="1081" t="s">
        <v>6</v>
      </c>
      <c r="E1491" s="1082">
        <v>5</v>
      </c>
      <c r="F1491" s="1083">
        <v>8.52</v>
      </c>
      <c r="G1491" s="1083">
        <v>42.6</v>
      </c>
      <c r="H1491" s="1084">
        <f t="shared" si="15"/>
        <v>2.8934020478918296E-6</v>
      </c>
      <c r="I1491" s="1085">
        <f t="shared" si="17"/>
        <v>0.99982982516983598</v>
      </c>
      <c r="J1491" s="1085" t="str">
        <f t="shared" si="16"/>
        <v>C</v>
      </c>
      <c r="K1491" s="1036"/>
      <c r="L1491" s="1036"/>
      <c r="M1491" s="1036"/>
      <c r="N1491" s="1036"/>
      <c r="O1491" s="1036"/>
      <c r="P1491" s="1036"/>
      <c r="Q1491" s="1036"/>
      <c r="R1491" s="1036"/>
      <c r="S1491" s="1036"/>
      <c r="T1491" s="1036"/>
      <c r="U1491" s="1036"/>
      <c r="V1491" s="1036"/>
      <c r="W1491" s="1036"/>
      <c r="X1491" s="1036"/>
      <c r="Y1491" s="1036"/>
      <c r="Z1491" s="1036"/>
    </row>
    <row r="1492" spans="1:26" ht="38.25">
      <c r="A1492" s="1079">
        <v>100938</v>
      </c>
      <c r="B1492" s="1080" t="s">
        <v>14476</v>
      </c>
      <c r="C1492" s="1080" t="s">
        <v>11938</v>
      </c>
      <c r="D1492" s="1081" t="s">
        <v>11696</v>
      </c>
      <c r="E1492" s="1082">
        <v>4.46</v>
      </c>
      <c r="F1492" s="1083">
        <v>9.4700000000000006</v>
      </c>
      <c r="G1492" s="1083">
        <v>42.25</v>
      </c>
      <c r="H1492" s="1084">
        <f t="shared" si="15"/>
        <v>2.8696299653387278E-6</v>
      </c>
      <c r="I1492" s="1085">
        <f t="shared" si="17"/>
        <v>0.9998326947998013</v>
      </c>
      <c r="J1492" s="1085" t="str">
        <f t="shared" si="16"/>
        <v>C</v>
      </c>
      <c r="K1492" s="1036"/>
      <c r="L1492" s="1036"/>
      <c r="M1492" s="1036"/>
      <c r="N1492" s="1036"/>
      <c r="O1492" s="1036"/>
      <c r="P1492" s="1036"/>
      <c r="Q1492" s="1036"/>
      <c r="R1492" s="1036"/>
      <c r="S1492" s="1036"/>
      <c r="T1492" s="1036"/>
      <c r="U1492" s="1036"/>
      <c r="V1492" s="1036"/>
      <c r="W1492" s="1036"/>
      <c r="X1492" s="1036"/>
      <c r="Y1492" s="1036"/>
      <c r="Z1492" s="1036"/>
    </row>
    <row r="1493" spans="1:26" ht="63.75">
      <c r="A1493" s="1079">
        <v>100978</v>
      </c>
      <c r="B1493" s="1080" t="s">
        <v>14476</v>
      </c>
      <c r="C1493" s="1080" t="s">
        <v>11981</v>
      </c>
      <c r="D1493" s="1081" t="s">
        <v>152</v>
      </c>
      <c r="E1493" s="1082">
        <v>4.75</v>
      </c>
      <c r="F1493" s="1083">
        <v>8.66</v>
      </c>
      <c r="G1493" s="1083">
        <v>41.15</v>
      </c>
      <c r="H1493" s="1084">
        <f t="shared" si="15"/>
        <v>2.7949177058861217E-6</v>
      </c>
      <c r="I1493" s="1085">
        <f t="shared" si="17"/>
        <v>0.99983548971750724</v>
      </c>
      <c r="J1493" s="1085" t="str">
        <f t="shared" si="16"/>
        <v>C</v>
      </c>
      <c r="K1493" s="1036"/>
      <c r="L1493" s="1036"/>
      <c r="M1493" s="1036"/>
      <c r="N1493" s="1036"/>
      <c r="O1493" s="1036"/>
      <c r="P1493" s="1036"/>
      <c r="Q1493" s="1036"/>
      <c r="R1493" s="1036"/>
      <c r="S1493" s="1036"/>
      <c r="T1493" s="1036"/>
      <c r="U1493" s="1036"/>
      <c r="V1493" s="1036"/>
      <c r="W1493" s="1036"/>
      <c r="X1493" s="1036"/>
      <c r="Y1493" s="1036"/>
      <c r="Z1493" s="1036"/>
    </row>
    <row r="1494" spans="1:26" ht="51">
      <c r="A1494" s="1079">
        <v>104343</v>
      </c>
      <c r="B1494" s="1080" t="s">
        <v>14476</v>
      </c>
      <c r="C1494" s="1080" t="s">
        <v>9905</v>
      </c>
      <c r="D1494" s="1081" t="s">
        <v>6</v>
      </c>
      <c r="E1494" s="1082">
        <v>1</v>
      </c>
      <c r="F1494" s="1083">
        <v>40.92</v>
      </c>
      <c r="G1494" s="1083">
        <v>40.92</v>
      </c>
      <c r="H1494" s="1084">
        <f t="shared" si="15"/>
        <v>2.7792960516369408E-6</v>
      </c>
      <c r="I1494" s="1085">
        <f t="shared" si="17"/>
        <v>0.99983826901355888</v>
      </c>
      <c r="J1494" s="1085" t="str">
        <f t="shared" si="16"/>
        <v>C</v>
      </c>
      <c r="K1494" s="1036"/>
      <c r="L1494" s="1036"/>
      <c r="M1494" s="1036"/>
      <c r="N1494" s="1036"/>
      <c r="O1494" s="1036"/>
      <c r="P1494" s="1036"/>
      <c r="Q1494" s="1036"/>
      <c r="R1494" s="1036"/>
      <c r="S1494" s="1036"/>
      <c r="T1494" s="1036"/>
      <c r="U1494" s="1036"/>
      <c r="V1494" s="1036"/>
      <c r="W1494" s="1036"/>
      <c r="X1494" s="1036"/>
      <c r="Y1494" s="1036"/>
      <c r="Z1494" s="1036"/>
    </row>
    <row r="1495" spans="1:26" ht="25.5">
      <c r="A1495" s="1079" t="s">
        <v>15116</v>
      </c>
      <c r="B1495" s="1080" t="s">
        <v>14472</v>
      </c>
      <c r="C1495" s="1080" t="s">
        <v>15117</v>
      </c>
      <c r="D1495" s="1081" t="s">
        <v>6</v>
      </c>
      <c r="E1495" s="1082">
        <v>6</v>
      </c>
      <c r="F1495" s="1083">
        <v>6.78</v>
      </c>
      <c r="G1495" s="1083">
        <v>40.68</v>
      </c>
      <c r="H1495" s="1084">
        <f t="shared" si="15"/>
        <v>2.7629951950290995E-6</v>
      </c>
      <c r="I1495" s="1085">
        <f t="shared" si="17"/>
        <v>0.99984103200875396</v>
      </c>
      <c r="J1495" s="1085" t="str">
        <f t="shared" si="16"/>
        <v>C</v>
      </c>
      <c r="K1495" s="1036"/>
      <c r="L1495" s="1036"/>
      <c r="M1495" s="1036"/>
      <c r="N1495" s="1036"/>
      <c r="O1495" s="1036"/>
      <c r="P1495" s="1036"/>
      <c r="Q1495" s="1036"/>
      <c r="R1495" s="1036"/>
      <c r="S1495" s="1036"/>
      <c r="T1495" s="1036"/>
      <c r="U1495" s="1036"/>
      <c r="V1495" s="1036"/>
      <c r="W1495" s="1036"/>
      <c r="X1495" s="1036"/>
      <c r="Y1495" s="1036"/>
      <c r="Z1495" s="1036"/>
    </row>
    <row r="1496" spans="1:26" ht="38.25">
      <c r="A1496" s="1079">
        <v>89545</v>
      </c>
      <c r="B1496" s="1080" t="s">
        <v>14476</v>
      </c>
      <c r="C1496" s="1080" t="s">
        <v>8792</v>
      </c>
      <c r="D1496" s="1081" t="s">
        <v>6</v>
      </c>
      <c r="E1496" s="1082">
        <v>2</v>
      </c>
      <c r="F1496" s="1083">
        <v>20.05</v>
      </c>
      <c r="G1496" s="1083">
        <v>40.1</v>
      </c>
      <c r="H1496" s="1084">
        <f t="shared" si="15"/>
        <v>2.7236014582268164E-6</v>
      </c>
      <c r="I1496" s="1085">
        <f t="shared" si="17"/>
        <v>0.99984375561021221</v>
      </c>
      <c r="J1496" s="1085" t="str">
        <f t="shared" si="16"/>
        <v>C</v>
      </c>
      <c r="K1496" s="1036"/>
      <c r="L1496" s="1036"/>
      <c r="M1496" s="1036"/>
      <c r="N1496" s="1036"/>
      <c r="O1496" s="1036"/>
      <c r="P1496" s="1036"/>
      <c r="Q1496" s="1036"/>
      <c r="R1496" s="1036"/>
      <c r="S1496" s="1036"/>
      <c r="T1496" s="1036"/>
      <c r="U1496" s="1036"/>
      <c r="V1496" s="1036"/>
      <c r="W1496" s="1036"/>
      <c r="X1496" s="1036"/>
      <c r="Y1496" s="1036"/>
      <c r="Z1496" s="1036"/>
    </row>
    <row r="1497" spans="1:26" ht="38.25">
      <c r="A1497" s="1079">
        <v>89443</v>
      </c>
      <c r="B1497" s="1080" t="s">
        <v>14476</v>
      </c>
      <c r="C1497" s="1080" t="s">
        <v>8743</v>
      </c>
      <c r="D1497" s="1081" t="s">
        <v>6</v>
      </c>
      <c r="E1497" s="1082">
        <v>2</v>
      </c>
      <c r="F1497" s="1083">
        <v>19.91</v>
      </c>
      <c r="G1497" s="1083">
        <v>39.82</v>
      </c>
      <c r="H1497" s="1084">
        <f t="shared" si="15"/>
        <v>2.7045837921843347E-6</v>
      </c>
      <c r="I1497" s="1085">
        <f t="shared" si="17"/>
        <v>0.99984646019400436</v>
      </c>
      <c r="J1497" s="1085" t="str">
        <f t="shared" si="16"/>
        <v>C</v>
      </c>
      <c r="K1497" s="1036"/>
      <c r="L1497" s="1036"/>
      <c r="M1497" s="1036"/>
      <c r="N1497" s="1036"/>
      <c r="O1497" s="1036"/>
      <c r="P1497" s="1036"/>
      <c r="Q1497" s="1036"/>
      <c r="R1497" s="1036"/>
      <c r="S1497" s="1036"/>
      <c r="T1497" s="1036"/>
      <c r="U1497" s="1036"/>
      <c r="V1497" s="1036"/>
      <c r="W1497" s="1036"/>
      <c r="X1497" s="1036"/>
      <c r="Y1497" s="1036"/>
      <c r="Z1497" s="1036"/>
    </row>
    <row r="1498" spans="1:26" ht="63.75">
      <c r="A1498" s="1079">
        <v>100978</v>
      </c>
      <c r="B1498" s="1080" t="s">
        <v>14476</v>
      </c>
      <c r="C1498" s="1080" t="s">
        <v>11981</v>
      </c>
      <c r="D1498" s="1081" t="s">
        <v>152</v>
      </c>
      <c r="E1498" s="1082">
        <v>4.58</v>
      </c>
      <c r="F1498" s="1083">
        <v>8.66</v>
      </c>
      <c r="G1498" s="1083">
        <v>39.64</v>
      </c>
      <c r="H1498" s="1084">
        <f t="shared" si="15"/>
        <v>2.6923581497284538E-6</v>
      </c>
      <c r="I1498" s="1085">
        <f t="shared" si="17"/>
        <v>0.99984915255215412</v>
      </c>
      <c r="J1498" s="1085" t="str">
        <f t="shared" si="16"/>
        <v>C</v>
      </c>
      <c r="K1498" s="1036"/>
      <c r="L1498" s="1036"/>
      <c r="M1498" s="1036"/>
      <c r="N1498" s="1036"/>
      <c r="O1498" s="1036"/>
      <c r="P1498" s="1036"/>
      <c r="Q1498" s="1036"/>
      <c r="R1498" s="1036"/>
      <c r="S1498" s="1036"/>
      <c r="T1498" s="1036"/>
      <c r="U1498" s="1036"/>
      <c r="V1498" s="1036"/>
      <c r="W1498" s="1036"/>
      <c r="X1498" s="1036"/>
      <c r="Y1498" s="1036"/>
      <c r="Z1498" s="1036"/>
    </row>
    <row r="1499" spans="1:26" ht="38.25">
      <c r="A1499" s="1079">
        <v>103979</v>
      </c>
      <c r="B1499" s="1080" t="s">
        <v>14476</v>
      </c>
      <c r="C1499" s="1080" t="s">
        <v>8649</v>
      </c>
      <c r="D1499" s="1081" t="s">
        <v>50</v>
      </c>
      <c r="E1499" s="1082">
        <v>1.2</v>
      </c>
      <c r="F1499" s="1083">
        <v>33.03</v>
      </c>
      <c r="G1499" s="1083">
        <v>39.630000000000003</v>
      </c>
      <c r="H1499" s="1084">
        <f t="shared" si="15"/>
        <v>2.6916789473697938E-6</v>
      </c>
      <c r="I1499" s="1085">
        <f t="shared" si="17"/>
        <v>0.99985184423110152</v>
      </c>
      <c r="J1499" s="1085" t="str">
        <f t="shared" si="16"/>
        <v>C</v>
      </c>
      <c r="K1499" s="1036"/>
      <c r="L1499" s="1036"/>
      <c r="M1499" s="1036"/>
      <c r="N1499" s="1036"/>
      <c r="O1499" s="1036"/>
      <c r="P1499" s="1036"/>
      <c r="Q1499" s="1036"/>
      <c r="R1499" s="1036"/>
      <c r="S1499" s="1036"/>
      <c r="T1499" s="1036"/>
      <c r="U1499" s="1036"/>
      <c r="V1499" s="1036"/>
      <c r="W1499" s="1036"/>
      <c r="X1499" s="1036"/>
      <c r="Y1499" s="1036"/>
      <c r="Z1499" s="1036"/>
    </row>
    <row r="1500" spans="1:26" ht="38.25">
      <c r="A1500" s="1079">
        <v>92001</v>
      </c>
      <c r="B1500" s="1080" t="s">
        <v>14476</v>
      </c>
      <c r="C1500" s="1080" t="s">
        <v>8060</v>
      </c>
      <c r="D1500" s="1081" t="s">
        <v>6</v>
      </c>
      <c r="E1500" s="1082">
        <v>1</v>
      </c>
      <c r="F1500" s="1083">
        <v>39.57</v>
      </c>
      <c r="G1500" s="1083">
        <v>39.57</v>
      </c>
      <c r="H1500" s="1084">
        <f t="shared" si="15"/>
        <v>2.6876037332178334E-6</v>
      </c>
      <c r="I1500" s="1085">
        <f t="shared" si="17"/>
        <v>0.99985453183483475</v>
      </c>
      <c r="J1500" s="1085" t="str">
        <f t="shared" si="16"/>
        <v>C</v>
      </c>
      <c r="K1500" s="1036"/>
      <c r="L1500" s="1036"/>
      <c r="M1500" s="1036"/>
      <c r="N1500" s="1036"/>
      <c r="O1500" s="1036"/>
      <c r="P1500" s="1036"/>
      <c r="Q1500" s="1036"/>
      <c r="R1500" s="1036"/>
      <c r="S1500" s="1036"/>
      <c r="T1500" s="1036"/>
      <c r="U1500" s="1036"/>
      <c r="V1500" s="1036"/>
      <c r="W1500" s="1036"/>
      <c r="X1500" s="1036"/>
      <c r="Y1500" s="1036"/>
      <c r="Z1500" s="1036"/>
    </row>
    <row r="1501" spans="1:26" ht="51">
      <c r="A1501" s="1079">
        <v>104348</v>
      </c>
      <c r="B1501" s="1080" t="s">
        <v>14476</v>
      </c>
      <c r="C1501" s="1080" t="s">
        <v>9910</v>
      </c>
      <c r="D1501" s="1081" t="s">
        <v>6</v>
      </c>
      <c r="E1501" s="1082">
        <v>3</v>
      </c>
      <c r="F1501" s="1083">
        <v>13.17</v>
      </c>
      <c r="G1501" s="1083">
        <v>39.51</v>
      </c>
      <c r="H1501" s="1084">
        <f t="shared" si="15"/>
        <v>2.6835285190658729E-6</v>
      </c>
      <c r="I1501" s="1085">
        <f t="shared" si="17"/>
        <v>0.99985721536335381</v>
      </c>
      <c r="J1501" s="1085" t="str">
        <f t="shared" si="16"/>
        <v>C</v>
      </c>
      <c r="K1501" s="1036"/>
      <c r="L1501" s="1036"/>
      <c r="M1501" s="1036"/>
      <c r="N1501" s="1036"/>
      <c r="O1501" s="1036"/>
      <c r="P1501" s="1036"/>
      <c r="Q1501" s="1036"/>
      <c r="R1501" s="1036"/>
      <c r="S1501" s="1036"/>
      <c r="T1501" s="1036"/>
      <c r="U1501" s="1036"/>
      <c r="V1501" s="1036"/>
      <c r="W1501" s="1036"/>
      <c r="X1501" s="1036"/>
      <c r="Y1501" s="1036"/>
      <c r="Z1501" s="1036"/>
    </row>
    <row r="1502" spans="1:26" ht="51">
      <c r="A1502" s="1079">
        <v>104348</v>
      </c>
      <c r="B1502" s="1080" t="s">
        <v>14476</v>
      </c>
      <c r="C1502" s="1080" t="s">
        <v>9910</v>
      </c>
      <c r="D1502" s="1081" t="s">
        <v>6</v>
      </c>
      <c r="E1502" s="1082">
        <v>3</v>
      </c>
      <c r="F1502" s="1083">
        <v>13.17</v>
      </c>
      <c r="G1502" s="1083">
        <v>39.51</v>
      </c>
      <c r="H1502" s="1084">
        <f t="shared" si="15"/>
        <v>2.6835285190658729E-6</v>
      </c>
      <c r="I1502" s="1085">
        <f t="shared" si="17"/>
        <v>0.99985989889187288</v>
      </c>
      <c r="J1502" s="1085" t="str">
        <f t="shared" si="16"/>
        <v>C</v>
      </c>
      <c r="K1502" s="1036"/>
      <c r="L1502" s="1036"/>
      <c r="M1502" s="1036"/>
      <c r="N1502" s="1036"/>
      <c r="O1502" s="1036"/>
      <c r="P1502" s="1036"/>
      <c r="Q1502" s="1036"/>
      <c r="R1502" s="1036"/>
      <c r="S1502" s="1036"/>
      <c r="T1502" s="1036"/>
      <c r="U1502" s="1036"/>
      <c r="V1502" s="1036"/>
      <c r="W1502" s="1036"/>
      <c r="X1502" s="1036"/>
      <c r="Y1502" s="1036"/>
      <c r="Z1502" s="1036"/>
    </row>
    <row r="1503" spans="1:26" ht="51">
      <c r="A1503" s="1079">
        <v>89713</v>
      </c>
      <c r="B1503" s="1080" t="s">
        <v>14476</v>
      </c>
      <c r="C1503" s="1080" t="s">
        <v>8444</v>
      </c>
      <c r="D1503" s="1081" t="s">
        <v>50</v>
      </c>
      <c r="E1503" s="1082">
        <v>1</v>
      </c>
      <c r="F1503" s="1083">
        <v>39.5</v>
      </c>
      <c r="G1503" s="1083">
        <v>39.5</v>
      </c>
      <c r="H1503" s="1084">
        <f t="shared" si="15"/>
        <v>2.6828493167072129E-6</v>
      </c>
      <c r="I1503" s="1085">
        <f t="shared" si="17"/>
        <v>0.99986258174118958</v>
      </c>
      <c r="J1503" s="1085" t="str">
        <f t="shared" si="16"/>
        <v>C</v>
      </c>
      <c r="K1503" s="1036"/>
      <c r="L1503" s="1036"/>
      <c r="M1503" s="1036"/>
      <c r="N1503" s="1036"/>
      <c r="O1503" s="1036"/>
      <c r="P1503" s="1036"/>
      <c r="Q1503" s="1036"/>
      <c r="R1503" s="1036"/>
      <c r="S1503" s="1036"/>
      <c r="T1503" s="1036"/>
      <c r="U1503" s="1036"/>
      <c r="V1503" s="1036"/>
      <c r="W1503" s="1036"/>
      <c r="X1503" s="1036"/>
      <c r="Y1503" s="1036"/>
      <c r="Z1503" s="1036"/>
    </row>
    <row r="1504" spans="1:26" ht="51">
      <c r="A1504" s="1079">
        <v>89726</v>
      </c>
      <c r="B1504" s="1080" t="s">
        <v>14476</v>
      </c>
      <c r="C1504" s="1080" t="s">
        <v>8939</v>
      </c>
      <c r="D1504" s="1081" t="s">
        <v>6</v>
      </c>
      <c r="E1504" s="1082">
        <v>3</v>
      </c>
      <c r="F1504" s="1083">
        <v>12.67</v>
      </c>
      <c r="G1504" s="1083">
        <v>38.01</v>
      </c>
      <c r="H1504" s="1084">
        <f t="shared" si="15"/>
        <v>2.5816481652668646E-6</v>
      </c>
      <c r="I1504" s="1085">
        <f t="shared" si="17"/>
        <v>0.99986516338935483</v>
      </c>
      <c r="J1504" s="1085" t="str">
        <f t="shared" si="16"/>
        <v>C</v>
      </c>
      <c r="K1504" s="1036"/>
      <c r="L1504" s="1036"/>
      <c r="M1504" s="1036"/>
      <c r="N1504" s="1036"/>
      <c r="O1504" s="1036"/>
      <c r="P1504" s="1036"/>
      <c r="Q1504" s="1036"/>
      <c r="R1504" s="1036"/>
      <c r="S1504" s="1036"/>
      <c r="T1504" s="1036"/>
      <c r="U1504" s="1036"/>
      <c r="V1504" s="1036"/>
      <c r="W1504" s="1036"/>
      <c r="X1504" s="1036"/>
      <c r="Y1504" s="1036"/>
      <c r="Z1504" s="1036"/>
    </row>
    <row r="1505" spans="1:26" ht="38.25">
      <c r="A1505" s="1079" t="s">
        <v>15380</v>
      </c>
      <c r="B1505" s="1080" t="s">
        <v>14472</v>
      </c>
      <c r="C1505" s="1080" t="s">
        <v>15381</v>
      </c>
      <c r="D1505" s="1081" t="s">
        <v>6</v>
      </c>
      <c r="E1505" s="1082">
        <v>1</v>
      </c>
      <c r="F1505" s="1083">
        <v>36.61</v>
      </c>
      <c r="G1505" s="1083">
        <v>36.61</v>
      </c>
      <c r="H1505" s="1084">
        <f t="shared" si="15"/>
        <v>2.4865598350544572E-6</v>
      </c>
      <c r="I1505" s="1085">
        <f t="shared" si="17"/>
        <v>0.99986764994918986</v>
      </c>
      <c r="J1505" s="1085" t="str">
        <f t="shared" si="16"/>
        <v>C</v>
      </c>
      <c r="K1505" s="1036"/>
      <c r="L1505" s="1036"/>
      <c r="M1505" s="1036"/>
      <c r="N1505" s="1036"/>
      <c r="O1505" s="1036"/>
      <c r="P1505" s="1036"/>
      <c r="Q1505" s="1036"/>
      <c r="R1505" s="1036"/>
      <c r="S1505" s="1036"/>
      <c r="T1505" s="1036"/>
      <c r="U1505" s="1036"/>
      <c r="V1505" s="1036"/>
      <c r="W1505" s="1036"/>
      <c r="X1505" s="1036"/>
      <c r="Y1505" s="1036"/>
      <c r="Z1505" s="1036"/>
    </row>
    <row r="1506" spans="1:26" ht="51">
      <c r="A1506" s="1079">
        <v>89783</v>
      </c>
      <c r="B1506" s="1080" t="s">
        <v>14476</v>
      </c>
      <c r="C1506" s="1080" t="s">
        <v>8989</v>
      </c>
      <c r="D1506" s="1081" t="s">
        <v>6</v>
      </c>
      <c r="E1506" s="1082">
        <v>2</v>
      </c>
      <c r="F1506" s="1083">
        <v>18.100000000000001</v>
      </c>
      <c r="G1506" s="1083">
        <v>36.200000000000003</v>
      </c>
      <c r="H1506" s="1084">
        <f t="shared" si="15"/>
        <v>2.4587125383493954E-6</v>
      </c>
      <c r="I1506" s="1085">
        <f t="shared" si="17"/>
        <v>0.99987010866172821</v>
      </c>
      <c r="J1506" s="1085" t="str">
        <f t="shared" si="16"/>
        <v>C</v>
      </c>
      <c r="K1506" s="1036"/>
      <c r="L1506" s="1036"/>
      <c r="M1506" s="1036"/>
      <c r="N1506" s="1036"/>
      <c r="O1506" s="1036"/>
      <c r="P1506" s="1036"/>
      <c r="Q1506" s="1036"/>
      <c r="R1506" s="1036"/>
      <c r="S1506" s="1036"/>
      <c r="T1506" s="1036"/>
      <c r="U1506" s="1036"/>
      <c r="V1506" s="1036"/>
      <c r="W1506" s="1036"/>
      <c r="X1506" s="1036"/>
      <c r="Y1506" s="1036"/>
      <c r="Z1506" s="1036"/>
    </row>
    <row r="1507" spans="1:26" ht="25.5">
      <c r="A1507" s="1079" t="s">
        <v>15137</v>
      </c>
      <c r="B1507" s="1080" t="s">
        <v>14472</v>
      </c>
      <c r="C1507" s="1080" t="s">
        <v>16029</v>
      </c>
      <c r="D1507" s="1081" t="s">
        <v>6</v>
      </c>
      <c r="E1507" s="1082">
        <v>2</v>
      </c>
      <c r="F1507" s="1083">
        <v>18.100000000000001</v>
      </c>
      <c r="G1507" s="1083">
        <v>36.200000000000003</v>
      </c>
      <c r="H1507" s="1084">
        <f t="shared" si="15"/>
        <v>2.4587125383493954E-6</v>
      </c>
      <c r="I1507" s="1085">
        <f t="shared" si="17"/>
        <v>0.99987256737426655</v>
      </c>
      <c r="J1507" s="1085" t="str">
        <f t="shared" si="16"/>
        <v>C</v>
      </c>
      <c r="K1507" s="1036"/>
      <c r="L1507" s="1036"/>
      <c r="M1507" s="1036"/>
      <c r="N1507" s="1036"/>
      <c r="O1507" s="1036"/>
      <c r="P1507" s="1036"/>
      <c r="Q1507" s="1036"/>
      <c r="R1507" s="1036"/>
      <c r="S1507" s="1036"/>
      <c r="T1507" s="1036"/>
      <c r="U1507" s="1036"/>
      <c r="V1507" s="1036"/>
      <c r="W1507" s="1036"/>
      <c r="X1507" s="1036"/>
      <c r="Y1507" s="1036"/>
      <c r="Z1507" s="1036"/>
    </row>
    <row r="1508" spans="1:26" ht="38.25">
      <c r="A1508" s="1079">
        <v>91953</v>
      </c>
      <c r="B1508" s="1080" t="s">
        <v>14476</v>
      </c>
      <c r="C1508" s="1080" t="s">
        <v>8012</v>
      </c>
      <c r="D1508" s="1081" t="s">
        <v>6</v>
      </c>
      <c r="E1508" s="1082">
        <v>1</v>
      </c>
      <c r="F1508" s="1083">
        <v>35.25</v>
      </c>
      <c r="G1508" s="1083">
        <v>35.25</v>
      </c>
      <c r="H1508" s="1084">
        <f t="shared" si="15"/>
        <v>2.3941883142766901E-6</v>
      </c>
      <c r="I1508" s="1085">
        <f t="shared" si="17"/>
        <v>0.99987496156258082</v>
      </c>
      <c r="J1508" s="1085" t="str">
        <f t="shared" si="16"/>
        <v>C</v>
      </c>
      <c r="K1508" s="1036"/>
      <c r="L1508" s="1036"/>
      <c r="M1508" s="1036"/>
      <c r="N1508" s="1036"/>
      <c r="O1508" s="1036"/>
      <c r="P1508" s="1036"/>
      <c r="Q1508" s="1036"/>
      <c r="R1508" s="1036"/>
      <c r="S1508" s="1036"/>
      <c r="T1508" s="1036"/>
      <c r="U1508" s="1036"/>
      <c r="V1508" s="1036"/>
      <c r="W1508" s="1036"/>
      <c r="X1508" s="1036"/>
      <c r="Y1508" s="1036"/>
      <c r="Z1508" s="1036"/>
    </row>
    <row r="1509" spans="1:26" ht="38.25">
      <c r="A1509" s="1079">
        <v>91953</v>
      </c>
      <c r="B1509" s="1080" t="s">
        <v>14476</v>
      </c>
      <c r="C1509" s="1080" t="s">
        <v>8012</v>
      </c>
      <c r="D1509" s="1081" t="s">
        <v>6</v>
      </c>
      <c r="E1509" s="1082">
        <v>1</v>
      </c>
      <c r="F1509" s="1083">
        <v>35.25</v>
      </c>
      <c r="G1509" s="1083">
        <v>35.25</v>
      </c>
      <c r="H1509" s="1084">
        <f t="shared" si="15"/>
        <v>2.3941883142766901E-6</v>
      </c>
      <c r="I1509" s="1085">
        <f t="shared" si="17"/>
        <v>0.99987735575089509</v>
      </c>
      <c r="J1509" s="1085" t="str">
        <f t="shared" si="16"/>
        <v>C</v>
      </c>
      <c r="K1509" s="1036"/>
      <c r="L1509" s="1036"/>
      <c r="M1509" s="1036"/>
      <c r="N1509" s="1036"/>
      <c r="O1509" s="1036"/>
      <c r="P1509" s="1036"/>
      <c r="Q1509" s="1036"/>
      <c r="R1509" s="1036"/>
      <c r="S1509" s="1036"/>
      <c r="T1509" s="1036"/>
      <c r="U1509" s="1036"/>
      <c r="V1509" s="1036"/>
      <c r="W1509" s="1036"/>
      <c r="X1509" s="1036"/>
      <c r="Y1509" s="1036"/>
      <c r="Z1509" s="1036"/>
    </row>
    <row r="1510" spans="1:26" ht="38.25">
      <c r="A1510" s="1079">
        <v>104917</v>
      </c>
      <c r="B1510" s="1080" t="s">
        <v>14476</v>
      </c>
      <c r="C1510" s="1080" t="s">
        <v>7514</v>
      </c>
      <c r="D1510" s="1081" t="s">
        <v>54</v>
      </c>
      <c r="E1510" s="1082">
        <v>1.7</v>
      </c>
      <c r="F1510" s="1083">
        <v>20.62</v>
      </c>
      <c r="G1510" s="1083">
        <v>35.049999999999997</v>
      </c>
      <c r="H1510" s="1084">
        <f t="shared" si="15"/>
        <v>2.3806042671034888E-6</v>
      </c>
      <c r="I1510" s="1085">
        <f t="shared" si="17"/>
        <v>0.99987973635516214</v>
      </c>
      <c r="J1510" s="1085" t="str">
        <f t="shared" si="16"/>
        <v>C</v>
      </c>
      <c r="K1510" s="1036"/>
      <c r="L1510" s="1036"/>
      <c r="M1510" s="1036"/>
      <c r="N1510" s="1036"/>
      <c r="O1510" s="1036"/>
      <c r="P1510" s="1036"/>
      <c r="Q1510" s="1036"/>
      <c r="R1510" s="1036"/>
      <c r="S1510" s="1036"/>
      <c r="T1510" s="1036"/>
      <c r="U1510" s="1036"/>
      <c r="V1510" s="1036"/>
      <c r="W1510" s="1036"/>
      <c r="X1510" s="1036"/>
      <c r="Y1510" s="1036"/>
      <c r="Z1510" s="1036"/>
    </row>
    <row r="1511" spans="1:26" ht="38.25">
      <c r="A1511" s="1079">
        <v>89368</v>
      </c>
      <c r="B1511" s="1080" t="s">
        <v>14476</v>
      </c>
      <c r="C1511" s="1080" t="s">
        <v>8675</v>
      </c>
      <c r="D1511" s="1081" t="s">
        <v>6</v>
      </c>
      <c r="E1511" s="1082">
        <v>2</v>
      </c>
      <c r="F1511" s="1083">
        <v>17.18</v>
      </c>
      <c r="G1511" s="1083">
        <v>34.36</v>
      </c>
      <c r="H1511" s="1084">
        <f t="shared" si="15"/>
        <v>2.3337393043559453E-6</v>
      </c>
      <c r="I1511" s="1085">
        <f t="shared" si="17"/>
        <v>0.9998820700944665</v>
      </c>
      <c r="J1511" s="1085" t="str">
        <f t="shared" si="16"/>
        <v>C</v>
      </c>
      <c r="K1511" s="1036"/>
      <c r="L1511" s="1036"/>
      <c r="M1511" s="1036"/>
      <c r="N1511" s="1036"/>
      <c r="O1511" s="1036"/>
      <c r="P1511" s="1036"/>
      <c r="Q1511" s="1036"/>
      <c r="R1511" s="1036"/>
      <c r="S1511" s="1036"/>
      <c r="T1511" s="1036"/>
      <c r="U1511" s="1036"/>
      <c r="V1511" s="1036"/>
      <c r="W1511" s="1036"/>
      <c r="X1511" s="1036"/>
      <c r="Y1511" s="1036"/>
      <c r="Z1511" s="1036"/>
    </row>
    <row r="1512" spans="1:26" ht="63.75">
      <c r="A1512" s="1079">
        <v>100978</v>
      </c>
      <c r="B1512" s="1080" t="s">
        <v>14476</v>
      </c>
      <c r="C1512" s="1080" t="s">
        <v>11981</v>
      </c>
      <c r="D1512" s="1081" t="s">
        <v>152</v>
      </c>
      <c r="E1512" s="1082">
        <v>3.92</v>
      </c>
      <c r="F1512" s="1083">
        <v>8.66</v>
      </c>
      <c r="G1512" s="1083">
        <v>33.94</v>
      </c>
      <c r="H1512" s="1084">
        <f t="shared" si="15"/>
        <v>2.3052128052922227E-6</v>
      </c>
      <c r="I1512" s="1085">
        <f t="shared" si="17"/>
        <v>0.99988437530727181</v>
      </c>
      <c r="J1512" s="1085" t="str">
        <f t="shared" si="16"/>
        <v>C</v>
      </c>
      <c r="K1512" s="1036"/>
      <c r="L1512" s="1036"/>
      <c r="M1512" s="1036"/>
      <c r="N1512" s="1036"/>
      <c r="O1512" s="1036"/>
      <c r="P1512" s="1036"/>
      <c r="Q1512" s="1036"/>
      <c r="R1512" s="1036"/>
      <c r="S1512" s="1036"/>
      <c r="T1512" s="1036"/>
      <c r="U1512" s="1036"/>
      <c r="V1512" s="1036"/>
      <c r="W1512" s="1036"/>
      <c r="X1512" s="1036"/>
      <c r="Y1512" s="1036"/>
      <c r="Z1512" s="1036"/>
    </row>
    <row r="1513" spans="1:26" ht="38.25">
      <c r="A1513" s="1079">
        <v>95778</v>
      </c>
      <c r="B1513" s="1080" t="s">
        <v>14476</v>
      </c>
      <c r="C1513" s="1080" t="s">
        <v>7900</v>
      </c>
      <c r="D1513" s="1081" t="s">
        <v>6</v>
      </c>
      <c r="E1513" s="1082">
        <v>1</v>
      </c>
      <c r="F1513" s="1083">
        <v>33.47</v>
      </c>
      <c r="G1513" s="1083">
        <v>33.47</v>
      </c>
      <c r="H1513" s="1084">
        <f t="shared" si="15"/>
        <v>2.2732902944352005E-6</v>
      </c>
      <c r="I1513" s="1085">
        <f t="shared" si="17"/>
        <v>0.99988664859756626</v>
      </c>
      <c r="J1513" s="1085" t="str">
        <f t="shared" si="16"/>
        <v>C</v>
      </c>
      <c r="K1513" s="1036"/>
      <c r="L1513" s="1036"/>
      <c r="M1513" s="1036"/>
      <c r="N1513" s="1036"/>
      <c r="O1513" s="1036"/>
      <c r="P1513" s="1036"/>
      <c r="Q1513" s="1036"/>
      <c r="R1513" s="1036"/>
      <c r="S1513" s="1036"/>
      <c r="T1513" s="1036"/>
      <c r="U1513" s="1036"/>
      <c r="V1513" s="1036"/>
      <c r="W1513" s="1036"/>
      <c r="X1513" s="1036"/>
      <c r="Y1513" s="1036"/>
      <c r="Z1513" s="1036"/>
    </row>
    <row r="1514" spans="1:26" ht="63.75">
      <c r="A1514" s="1079">
        <v>100978</v>
      </c>
      <c r="B1514" s="1080" t="s">
        <v>14476</v>
      </c>
      <c r="C1514" s="1080" t="s">
        <v>11981</v>
      </c>
      <c r="D1514" s="1081" t="s">
        <v>152</v>
      </c>
      <c r="E1514" s="1082">
        <v>3.86</v>
      </c>
      <c r="F1514" s="1083">
        <v>8.66</v>
      </c>
      <c r="G1514" s="1083">
        <v>33.46</v>
      </c>
      <c r="H1514" s="1084">
        <f t="shared" si="15"/>
        <v>2.2726110920765405E-6</v>
      </c>
      <c r="I1514" s="1085">
        <f t="shared" si="17"/>
        <v>0.99988892120865835</v>
      </c>
      <c r="J1514" s="1085" t="str">
        <f t="shared" si="16"/>
        <v>C</v>
      </c>
      <c r="K1514" s="1036"/>
      <c r="L1514" s="1036"/>
      <c r="M1514" s="1036"/>
      <c r="N1514" s="1036"/>
      <c r="O1514" s="1036"/>
      <c r="P1514" s="1036"/>
      <c r="Q1514" s="1036"/>
      <c r="R1514" s="1036"/>
      <c r="S1514" s="1036"/>
      <c r="T1514" s="1036"/>
      <c r="U1514" s="1036"/>
      <c r="V1514" s="1036"/>
      <c r="W1514" s="1036"/>
      <c r="X1514" s="1036"/>
      <c r="Y1514" s="1036"/>
      <c r="Z1514" s="1036"/>
    </row>
    <row r="1515" spans="1:26" ht="25.5">
      <c r="A1515" s="1079" t="s">
        <v>14590</v>
      </c>
      <c r="B1515" s="1080" t="s">
        <v>14472</v>
      </c>
      <c r="C1515" s="1080" t="s">
        <v>14591</v>
      </c>
      <c r="D1515" s="1081" t="s">
        <v>152</v>
      </c>
      <c r="E1515" s="1082">
        <v>0.03</v>
      </c>
      <c r="F1515" s="1083">
        <v>1085.23</v>
      </c>
      <c r="G1515" s="1083">
        <v>32.549999999999997</v>
      </c>
      <c r="H1515" s="1084">
        <f t="shared" si="15"/>
        <v>2.2108036774384753E-6</v>
      </c>
      <c r="I1515" s="1085">
        <f t="shared" si="17"/>
        <v>0.99989113201233581</v>
      </c>
      <c r="J1515" s="1085" t="str">
        <f t="shared" si="16"/>
        <v>C</v>
      </c>
      <c r="K1515" s="1036"/>
      <c r="L1515" s="1036"/>
      <c r="M1515" s="1036"/>
      <c r="N1515" s="1036"/>
      <c r="O1515" s="1036"/>
      <c r="P1515" s="1036"/>
      <c r="Q1515" s="1036"/>
      <c r="R1515" s="1036"/>
      <c r="S1515" s="1036"/>
      <c r="T1515" s="1036"/>
      <c r="U1515" s="1036"/>
      <c r="V1515" s="1036"/>
      <c r="W1515" s="1036"/>
      <c r="X1515" s="1036"/>
      <c r="Y1515" s="1036"/>
      <c r="Z1515" s="1036"/>
    </row>
    <row r="1516" spans="1:26" ht="63.75">
      <c r="A1516" s="1079">
        <v>100978</v>
      </c>
      <c r="B1516" s="1080" t="s">
        <v>14476</v>
      </c>
      <c r="C1516" s="1080" t="s">
        <v>11981</v>
      </c>
      <c r="D1516" s="1081" t="s">
        <v>152</v>
      </c>
      <c r="E1516" s="1082">
        <v>3.64</v>
      </c>
      <c r="F1516" s="1083">
        <v>8.66</v>
      </c>
      <c r="G1516" s="1083">
        <v>31.52</v>
      </c>
      <c r="H1516" s="1084">
        <f t="shared" si="15"/>
        <v>2.14084583449649E-6</v>
      </c>
      <c r="I1516" s="1085">
        <f t="shared" si="17"/>
        <v>0.99989327285817031</v>
      </c>
      <c r="J1516" s="1085" t="str">
        <f t="shared" si="16"/>
        <v>C</v>
      </c>
      <c r="K1516" s="1036"/>
      <c r="L1516" s="1036"/>
      <c r="M1516" s="1036"/>
      <c r="N1516" s="1036"/>
      <c r="O1516" s="1036"/>
      <c r="P1516" s="1036"/>
      <c r="Q1516" s="1036"/>
      <c r="R1516" s="1036"/>
      <c r="S1516" s="1036"/>
      <c r="T1516" s="1036"/>
      <c r="U1516" s="1036"/>
      <c r="V1516" s="1036"/>
      <c r="W1516" s="1036"/>
      <c r="X1516" s="1036"/>
      <c r="Y1516" s="1036"/>
      <c r="Z1516" s="1036"/>
    </row>
    <row r="1517" spans="1:26" ht="25.5">
      <c r="A1517" s="1079" t="s">
        <v>15338</v>
      </c>
      <c r="B1517" s="1080" t="s">
        <v>14472</v>
      </c>
      <c r="C1517" s="1080" t="s">
        <v>15339</v>
      </c>
      <c r="D1517" s="1081" t="s">
        <v>6</v>
      </c>
      <c r="E1517" s="1082">
        <v>1</v>
      </c>
      <c r="F1517" s="1083">
        <v>31.46</v>
      </c>
      <c r="G1517" s="1083">
        <v>31.46</v>
      </c>
      <c r="H1517" s="1084">
        <f t="shared" si="15"/>
        <v>2.1367706203445296E-6</v>
      </c>
      <c r="I1517" s="1085">
        <f t="shared" si="17"/>
        <v>0.99989540962879064</v>
      </c>
      <c r="J1517" s="1085" t="str">
        <f t="shared" si="16"/>
        <v>C</v>
      </c>
      <c r="K1517" s="1036"/>
      <c r="L1517" s="1036"/>
      <c r="M1517" s="1036"/>
      <c r="N1517" s="1036"/>
      <c r="O1517" s="1036"/>
      <c r="P1517" s="1036"/>
      <c r="Q1517" s="1036"/>
      <c r="R1517" s="1036"/>
      <c r="S1517" s="1036"/>
      <c r="T1517" s="1036"/>
      <c r="U1517" s="1036"/>
      <c r="V1517" s="1036"/>
      <c r="W1517" s="1036"/>
      <c r="X1517" s="1036"/>
      <c r="Y1517" s="1036"/>
      <c r="Z1517" s="1036"/>
    </row>
    <row r="1518" spans="1:26" ht="38.25">
      <c r="A1518" s="1079">
        <v>93654</v>
      </c>
      <c r="B1518" s="1080" t="s">
        <v>14476</v>
      </c>
      <c r="C1518" s="1080" t="s">
        <v>7955</v>
      </c>
      <c r="D1518" s="1081" t="s">
        <v>6</v>
      </c>
      <c r="E1518" s="1082">
        <v>2</v>
      </c>
      <c r="F1518" s="1083">
        <v>15.68</v>
      </c>
      <c r="G1518" s="1083">
        <v>31.36</v>
      </c>
      <c r="H1518" s="1084">
        <f t="shared" si="15"/>
        <v>2.1299785967579291E-6</v>
      </c>
      <c r="I1518" s="1085">
        <f t="shared" si="17"/>
        <v>0.99989753960738736</v>
      </c>
      <c r="J1518" s="1085" t="str">
        <f t="shared" si="16"/>
        <v>C</v>
      </c>
      <c r="K1518" s="1036"/>
      <c r="L1518" s="1036"/>
      <c r="M1518" s="1036"/>
      <c r="N1518" s="1036"/>
      <c r="O1518" s="1036"/>
      <c r="P1518" s="1036"/>
      <c r="Q1518" s="1036"/>
      <c r="R1518" s="1036"/>
      <c r="S1518" s="1036"/>
      <c r="T1518" s="1036"/>
      <c r="U1518" s="1036"/>
      <c r="V1518" s="1036"/>
      <c r="W1518" s="1036"/>
      <c r="X1518" s="1036"/>
      <c r="Y1518" s="1036"/>
      <c r="Z1518" s="1036"/>
    </row>
    <row r="1519" spans="1:26" ht="38.25">
      <c r="A1519" s="1079">
        <v>94489</v>
      </c>
      <c r="B1519" s="1080" t="s">
        <v>14476</v>
      </c>
      <c r="C1519" s="1080" t="s">
        <v>16024</v>
      </c>
      <c r="D1519" s="1081" t="s">
        <v>6</v>
      </c>
      <c r="E1519" s="1082">
        <v>1</v>
      </c>
      <c r="F1519" s="1083">
        <v>31.03</v>
      </c>
      <c r="G1519" s="1083">
        <v>31.03</v>
      </c>
      <c r="H1519" s="1084">
        <f t="shared" si="15"/>
        <v>2.1075649189221474E-6</v>
      </c>
      <c r="I1519" s="1085">
        <f t="shared" si="17"/>
        <v>0.99989964717230628</v>
      </c>
      <c r="J1519" s="1085" t="str">
        <f t="shared" si="16"/>
        <v>C</v>
      </c>
      <c r="K1519" s="1036"/>
      <c r="L1519" s="1036"/>
      <c r="M1519" s="1036"/>
      <c r="N1519" s="1036"/>
      <c r="O1519" s="1036"/>
      <c r="P1519" s="1036"/>
      <c r="Q1519" s="1036"/>
      <c r="R1519" s="1036"/>
      <c r="S1519" s="1036"/>
      <c r="T1519" s="1036"/>
      <c r="U1519" s="1036"/>
      <c r="V1519" s="1036"/>
      <c r="W1519" s="1036"/>
      <c r="X1519" s="1036"/>
      <c r="Y1519" s="1036"/>
      <c r="Z1519" s="1036"/>
    </row>
    <row r="1520" spans="1:26" ht="38.25">
      <c r="A1520" s="1079">
        <v>89395</v>
      </c>
      <c r="B1520" s="1080" t="s">
        <v>14476</v>
      </c>
      <c r="C1520" s="1080" t="s">
        <v>8701</v>
      </c>
      <c r="D1520" s="1081" t="s">
        <v>6</v>
      </c>
      <c r="E1520" s="1082">
        <v>2</v>
      </c>
      <c r="F1520" s="1083">
        <v>15.51</v>
      </c>
      <c r="G1520" s="1083">
        <v>31.02</v>
      </c>
      <c r="H1520" s="1084">
        <f t="shared" si="15"/>
        <v>2.1068857165634874E-6</v>
      </c>
      <c r="I1520" s="1085">
        <f t="shared" si="17"/>
        <v>0.99990175405802284</v>
      </c>
      <c r="J1520" s="1085" t="str">
        <f t="shared" si="16"/>
        <v>C</v>
      </c>
      <c r="K1520" s="1036"/>
      <c r="L1520" s="1036"/>
      <c r="M1520" s="1036"/>
      <c r="N1520" s="1036"/>
      <c r="O1520" s="1036"/>
      <c r="P1520" s="1036"/>
      <c r="Q1520" s="1036"/>
      <c r="R1520" s="1036"/>
      <c r="S1520" s="1036"/>
      <c r="T1520" s="1036"/>
      <c r="U1520" s="1036"/>
      <c r="V1520" s="1036"/>
      <c r="W1520" s="1036"/>
      <c r="X1520" s="1036"/>
      <c r="Y1520" s="1036"/>
      <c r="Z1520" s="1036"/>
    </row>
    <row r="1521" spans="1:26" ht="38.25">
      <c r="A1521" s="1079">
        <v>89395</v>
      </c>
      <c r="B1521" s="1080" t="s">
        <v>14476</v>
      </c>
      <c r="C1521" s="1080" t="s">
        <v>8701</v>
      </c>
      <c r="D1521" s="1081" t="s">
        <v>6</v>
      </c>
      <c r="E1521" s="1082">
        <v>2</v>
      </c>
      <c r="F1521" s="1083">
        <v>15.51</v>
      </c>
      <c r="G1521" s="1083">
        <v>31.02</v>
      </c>
      <c r="H1521" s="1084">
        <f t="shared" si="15"/>
        <v>2.1068857165634874E-6</v>
      </c>
      <c r="I1521" s="1085">
        <f t="shared" si="17"/>
        <v>0.9999038609437394</v>
      </c>
      <c r="J1521" s="1085" t="str">
        <f t="shared" si="16"/>
        <v>C</v>
      </c>
      <c r="K1521" s="1036"/>
      <c r="L1521" s="1036"/>
      <c r="M1521" s="1036"/>
      <c r="N1521" s="1036"/>
      <c r="O1521" s="1036"/>
      <c r="P1521" s="1036"/>
      <c r="Q1521" s="1036"/>
      <c r="R1521" s="1036"/>
      <c r="S1521" s="1036"/>
      <c r="T1521" s="1036"/>
      <c r="U1521" s="1036"/>
      <c r="V1521" s="1036"/>
      <c r="W1521" s="1036"/>
      <c r="X1521" s="1036"/>
      <c r="Y1521" s="1036"/>
      <c r="Z1521" s="1036"/>
    </row>
    <row r="1522" spans="1:26" ht="25.5">
      <c r="A1522" s="1079" t="s">
        <v>15374</v>
      </c>
      <c r="B1522" s="1080" t="s">
        <v>14472</v>
      </c>
      <c r="C1522" s="1080" t="s">
        <v>15375</v>
      </c>
      <c r="D1522" s="1081" t="s">
        <v>6</v>
      </c>
      <c r="E1522" s="1082">
        <v>2</v>
      </c>
      <c r="F1522" s="1083">
        <v>14.97</v>
      </c>
      <c r="G1522" s="1083">
        <v>29.94</v>
      </c>
      <c r="H1522" s="1084">
        <f t="shared" si="15"/>
        <v>2.0335318618282017E-6</v>
      </c>
      <c r="I1522" s="1085">
        <f t="shared" si="17"/>
        <v>0.99990589447560119</v>
      </c>
      <c r="J1522" s="1085" t="str">
        <f t="shared" si="16"/>
        <v>C</v>
      </c>
      <c r="K1522" s="1036"/>
      <c r="L1522" s="1036"/>
      <c r="M1522" s="1036"/>
      <c r="N1522" s="1036"/>
      <c r="O1522" s="1036"/>
      <c r="P1522" s="1036"/>
      <c r="Q1522" s="1036"/>
      <c r="R1522" s="1036"/>
      <c r="S1522" s="1036"/>
      <c r="T1522" s="1036"/>
      <c r="U1522" s="1036"/>
      <c r="V1522" s="1036"/>
      <c r="W1522" s="1036"/>
      <c r="X1522" s="1036"/>
      <c r="Y1522" s="1036"/>
      <c r="Z1522" s="1036"/>
    </row>
    <row r="1523" spans="1:26" ht="25.5">
      <c r="A1523" s="1079" t="s">
        <v>15161</v>
      </c>
      <c r="B1523" s="1080" t="s">
        <v>14472</v>
      </c>
      <c r="C1523" s="1080" t="s">
        <v>15162</v>
      </c>
      <c r="D1523" s="1081" t="s">
        <v>6</v>
      </c>
      <c r="E1523" s="1082">
        <v>1</v>
      </c>
      <c r="F1523" s="1083">
        <v>29.86</v>
      </c>
      <c r="G1523" s="1083">
        <v>29.86</v>
      </c>
      <c r="H1523" s="1084">
        <f t="shared" si="15"/>
        <v>2.0280982429589208E-6</v>
      </c>
      <c r="I1523" s="1085">
        <f t="shared" si="17"/>
        <v>0.9999079225738442</v>
      </c>
      <c r="J1523" s="1085" t="str">
        <f t="shared" si="16"/>
        <v>C</v>
      </c>
      <c r="K1523" s="1036"/>
      <c r="L1523" s="1036"/>
      <c r="M1523" s="1036"/>
      <c r="N1523" s="1036"/>
      <c r="O1523" s="1036"/>
      <c r="P1523" s="1036"/>
      <c r="Q1523" s="1036"/>
      <c r="R1523" s="1036"/>
      <c r="S1523" s="1036"/>
      <c r="T1523" s="1036"/>
      <c r="U1523" s="1036"/>
      <c r="V1523" s="1036"/>
      <c r="W1523" s="1036"/>
      <c r="X1523" s="1036"/>
      <c r="Y1523" s="1036"/>
      <c r="Z1523" s="1036"/>
    </row>
    <row r="1524" spans="1:26" ht="51">
      <c r="A1524" s="1079">
        <v>90373</v>
      </c>
      <c r="B1524" s="1080" t="s">
        <v>14476</v>
      </c>
      <c r="C1524" s="1080" t="s">
        <v>16009</v>
      </c>
      <c r="D1524" s="1081" t="s">
        <v>6</v>
      </c>
      <c r="E1524" s="1082">
        <v>2</v>
      </c>
      <c r="F1524" s="1083">
        <v>14.78</v>
      </c>
      <c r="G1524" s="1083">
        <v>29.56</v>
      </c>
      <c r="H1524" s="1084">
        <f t="shared" si="15"/>
        <v>2.0077221721991195E-6</v>
      </c>
      <c r="I1524" s="1085">
        <f t="shared" si="17"/>
        <v>0.99990993029601638</v>
      </c>
      <c r="J1524" s="1085" t="str">
        <f t="shared" si="16"/>
        <v>C</v>
      </c>
      <c r="K1524" s="1036"/>
      <c r="L1524" s="1036"/>
      <c r="M1524" s="1036"/>
      <c r="N1524" s="1036"/>
      <c r="O1524" s="1036"/>
      <c r="P1524" s="1036"/>
      <c r="Q1524" s="1036"/>
      <c r="R1524" s="1036"/>
      <c r="S1524" s="1036"/>
      <c r="T1524" s="1036"/>
      <c r="U1524" s="1036"/>
      <c r="V1524" s="1036"/>
      <c r="W1524" s="1036"/>
      <c r="X1524" s="1036"/>
      <c r="Y1524" s="1036"/>
      <c r="Z1524" s="1036"/>
    </row>
    <row r="1525" spans="1:26" ht="38.25">
      <c r="A1525" s="1079" t="s">
        <v>14647</v>
      </c>
      <c r="B1525" s="1080" t="s">
        <v>14472</v>
      </c>
      <c r="C1525" s="1080" t="s">
        <v>14648</v>
      </c>
      <c r="D1525" s="1081" t="s">
        <v>50</v>
      </c>
      <c r="E1525" s="1082">
        <v>0.9</v>
      </c>
      <c r="F1525" s="1083">
        <v>32.450000000000003</v>
      </c>
      <c r="G1525" s="1083">
        <v>29.2</v>
      </c>
      <c r="H1525" s="1084">
        <f t="shared" si="15"/>
        <v>1.9832708872873573E-6</v>
      </c>
      <c r="I1525" s="1085">
        <f t="shared" si="17"/>
        <v>0.99991191356690368</v>
      </c>
      <c r="J1525" s="1085" t="str">
        <f t="shared" si="16"/>
        <v>C</v>
      </c>
      <c r="K1525" s="1036"/>
      <c r="L1525" s="1036"/>
      <c r="M1525" s="1036"/>
      <c r="N1525" s="1036"/>
      <c r="O1525" s="1036"/>
      <c r="P1525" s="1036"/>
      <c r="Q1525" s="1036"/>
      <c r="R1525" s="1036"/>
      <c r="S1525" s="1036"/>
      <c r="T1525" s="1036"/>
      <c r="U1525" s="1036"/>
      <c r="V1525" s="1036"/>
      <c r="W1525" s="1036"/>
      <c r="X1525" s="1036"/>
      <c r="Y1525" s="1036"/>
      <c r="Z1525" s="1036"/>
    </row>
    <row r="1526" spans="1:26" ht="38.25">
      <c r="A1526" s="1079">
        <v>89644</v>
      </c>
      <c r="B1526" s="1080" t="s">
        <v>14476</v>
      </c>
      <c r="C1526" s="1080" t="s">
        <v>8871</v>
      </c>
      <c r="D1526" s="1081" t="s">
        <v>6</v>
      </c>
      <c r="E1526" s="1082">
        <v>1</v>
      </c>
      <c r="F1526" s="1083">
        <v>28.78</v>
      </c>
      <c r="G1526" s="1083">
        <v>28.78</v>
      </c>
      <c r="H1526" s="1084">
        <f t="shared" si="15"/>
        <v>1.9547443882236351E-6</v>
      </c>
      <c r="I1526" s="1085">
        <f t="shared" si="17"/>
        <v>0.99991386831129192</v>
      </c>
      <c r="J1526" s="1085" t="str">
        <f t="shared" si="16"/>
        <v>C</v>
      </c>
      <c r="K1526" s="1036"/>
      <c r="L1526" s="1036"/>
      <c r="M1526" s="1036"/>
      <c r="N1526" s="1036"/>
      <c r="O1526" s="1036"/>
      <c r="P1526" s="1036"/>
      <c r="Q1526" s="1036"/>
      <c r="R1526" s="1036"/>
      <c r="S1526" s="1036"/>
      <c r="T1526" s="1036"/>
      <c r="U1526" s="1036"/>
      <c r="V1526" s="1036"/>
      <c r="W1526" s="1036"/>
      <c r="X1526" s="1036"/>
      <c r="Y1526" s="1036"/>
      <c r="Z1526" s="1036"/>
    </row>
    <row r="1527" spans="1:26" ht="38.25">
      <c r="A1527" s="1079">
        <v>98297</v>
      </c>
      <c r="B1527" s="1080" t="s">
        <v>14476</v>
      </c>
      <c r="C1527" s="1080" t="s">
        <v>8403</v>
      </c>
      <c r="D1527" s="1081" t="s">
        <v>50</v>
      </c>
      <c r="E1527" s="1082">
        <v>2</v>
      </c>
      <c r="F1527" s="1083">
        <v>14.32</v>
      </c>
      <c r="G1527" s="1083">
        <v>28.64</v>
      </c>
      <c r="H1527" s="1084">
        <f t="shared" si="15"/>
        <v>1.9452355552023946E-6</v>
      </c>
      <c r="I1527" s="1085">
        <f t="shared" si="17"/>
        <v>0.99991581354684711</v>
      </c>
      <c r="J1527" s="1085" t="str">
        <f t="shared" si="16"/>
        <v>C</v>
      </c>
      <c r="K1527" s="1036"/>
      <c r="L1527" s="1036"/>
      <c r="M1527" s="1036"/>
      <c r="N1527" s="1036"/>
      <c r="O1527" s="1036"/>
      <c r="P1527" s="1036"/>
      <c r="Q1527" s="1036"/>
      <c r="R1527" s="1036"/>
      <c r="S1527" s="1036"/>
      <c r="T1527" s="1036"/>
      <c r="U1527" s="1036"/>
      <c r="V1527" s="1036"/>
      <c r="W1527" s="1036"/>
      <c r="X1527" s="1036"/>
      <c r="Y1527" s="1036"/>
      <c r="Z1527" s="1036"/>
    </row>
    <row r="1528" spans="1:26" ht="38.25">
      <c r="A1528" s="1079">
        <v>89430</v>
      </c>
      <c r="B1528" s="1080" t="s">
        <v>14476</v>
      </c>
      <c r="C1528" s="1080" t="s">
        <v>16030</v>
      </c>
      <c r="D1528" s="1081" t="s">
        <v>6</v>
      </c>
      <c r="E1528" s="1082">
        <v>2</v>
      </c>
      <c r="F1528" s="1083">
        <v>14.06</v>
      </c>
      <c r="G1528" s="1083">
        <v>28.12</v>
      </c>
      <c r="H1528" s="1084">
        <f t="shared" si="15"/>
        <v>1.9099170325520716E-6</v>
      </c>
      <c r="I1528" s="1085">
        <f t="shared" si="17"/>
        <v>0.99991772346387964</v>
      </c>
      <c r="J1528" s="1085" t="str">
        <f t="shared" si="16"/>
        <v>C</v>
      </c>
      <c r="K1528" s="1036"/>
      <c r="L1528" s="1036"/>
      <c r="M1528" s="1036"/>
      <c r="N1528" s="1036"/>
      <c r="O1528" s="1036"/>
      <c r="P1528" s="1036"/>
      <c r="Q1528" s="1036"/>
      <c r="R1528" s="1036"/>
      <c r="S1528" s="1036"/>
      <c r="T1528" s="1036"/>
      <c r="U1528" s="1036"/>
      <c r="V1528" s="1036"/>
      <c r="W1528" s="1036"/>
      <c r="X1528" s="1036"/>
      <c r="Y1528" s="1036"/>
      <c r="Z1528" s="1036"/>
    </row>
    <row r="1529" spans="1:26" ht="38.25">
      <c r="A1529" s="1079">
        <v>89430</v>
      </c>
      <c r="B1529" s="1080" t="s">
        <v>14476</v>
      </c>
      <c r="C1529" s="1080" t="s">
        <v>16030</v>
      </c>
      <c r="D1529" s="1081" t="s">
        <v>6</v>
      </c>
      <c r="E1529" s="1082">
        <v>2</v>
      </c>
      <c r="F1529" s="1083">
        <v>14.06</v>
      </c>
      <c r="G1529" s="1083">
        <v>28.12</v>
      </c>
      <c r="H1529" s="1084">
        <f t="shared" si="15"/>
        <v>1.9099170325520716E-6</v>
      </c>
      <c r="I1529" s="1085">
        <f t="shared" si="17"/>
        <v>0.99991963338091217</v>
      </c>
      <c r="J1529" s="1085" t="str">
        <f t="shared" si="16"/>
        <v>C</v>
      </c>
      <c r="K1529" s="1036"/>
      <c r="L1529" s="1036"/>
      <c r="M1529" s="1036"/>
      <c r="N1529" s="1036"/>
      <c r="O1529" s="1036"/>
      <c r="P1529" s="1036"/>
      <c r="Q1529" s="1036"/>
      <c r="R1529" s="1036"/>
      <c r="S1529" s="1036"/>
      <c r="T1529" s="1036"/>
      <c r="U1529" s="1036"/>
      <c r="V1529" s="1036"/>
      <c r="W1529" s="1036"/>
      <c r="X1529" s="1036"/>
      <c r="Y1529" s="1036"/>
      <c r="Z1529" s="1036"/>
    </row>
    <row r="1530" spans="1:26" ht="38.25">
      <c r="A1530" s="1079">
        <v>89430</v>
      </c>
      <c r="B1530" s="1080" t="s">
        <v>14476</v>
      </c>
      <c r="C1530" s="1080" t="s">
        <v>16030</v>
      </c>
      <c r="D1530" s="1081" t="s">
        <v>6</v>
      </c>
      <c r="E1530" s="1082">
        <v>2</v>
      </c>
      <c r="F1530" s="1083">
        <v>14.06</v>
      </c>
      <c r="G1530" s="1083">
        <v>28.12</v>
      </c>
      <c r="H1530" s="1084">
        <f t="shared" si="15"/>
        <v>1.9099170325520716E-6</v>
      </c>
      <c r="I1530" s="1085">
        <f t="shared" si="17"/>
        <v>0.99992154329794469</v>
      </c>
      <c r="J1530" s="1085" t="str">
        <f t="shared" si="16"/>
        <v>C</v>
      </c>
      <c r="K1530" s="1036"/>
      <c r="L1530" s="1036"/>
      <c r="M1530" s="1036"/>
      <c r="N1530" s="1036"/>
      <c r="O1530" s="1036"/>
      <c r="P1530" s="1036"/>
      <c r="Q1530" s="1036"/>
      <c r="R1530" s="1036"/>
      <c r="S1530" s="1036"/>
      <c r="T1530" s="1036"/>
      <c r="U1530" s="1036"/>
      <c r="V1530" s="1036"/>
      <c r="W1530" s="1036"/>
      <c r="X1530" s="1036"/>
      <c r="Y1530" s="1036"/>
      <c r="Z1530" s="1036"/>
    </row>
    <row r="1531" spans="1:26" ht="38.25">
      <c r="A1531" s="1079">
        <v>89381</v>
      </c>
      <c r="B1531" s="1080" t="s">
        <v>14476</v>
      </c>
      <c r="C1531" s="1080" t="s">
        <v>8688</v>
      </c>
      <c r="D1531" s="1081" t="s">
        <v>6</v>
      </c>
      <c r="E1531" s="1082">
        <v>2</v>
      </c>
      <c r="F1531" s="1083">
        <v>13.95</v>
      </c>
      <c r="G1531" s="1083">
        <v>27.9</v>
      </c>
      <c r="H1531" s="1084">
        <f t="shared" si="15"/>
        <v>1.8949745806615503E-6</v>
      </c>
      <c r="I1531" s="1085">
        <f t="shared" si="17"/>
        <v>0.99992343827252539</v>
      </c>
      <c r="J1531" s="1085" t="str">
        <f t="shared" si="16"/>
        <v>C</v>
      </c>
      <c r="K1531" s="1036"/>
      <c r="L1531" s="1036"/>
      <c r="M1531" s="1036"/>
      <c r="N1531" s="1036"/>
      <c r="O1531" s="1036"/>
      <c r="P1531" s="1036"/>
      <c r="Q1531" s="1036"/>
      <c r="R1531" s="1036"/>
      <c r="S1531" s="1036"/>
      <c r="T1531" s="1036"/>
      <c r="U1531" s="1036"/>
      <c r="V1531" s="1036"/>
      <c r="W1531" s="1036"/>
      <c r="X1531" s="1036"/>
      <c r="Y1531" s="1036"/>
      <c r="Z1531" s="1036"/>
    </row>
    <row r="1532" spans="1:26" ht="38.25">
      <c r="A1532" s="1079">
        <v>89364</v>
      </c>
      <c r="B1532" s="1080" t="s">
        <v>14476</v>
      </c>
      <c r="C1532" s="1080" t="s">
        <v>8671</v>
      </c>
      <c r="D1532" s="1081" t="s">
        <v>6</v>
      </c>
      <c r="E1532" s="1082">
        <v>2</v>
      </c>
      <c r="F1532" s="1083">
        <v>13.66</v>
      </c>
      <c r="G1532" s="1083">
        <v>27.32</v>
      </c>
      <c r="H1532" s="1084">
        <f t="shared" si="15"/>
        <v>1.8555808438592672E-6</v>
      </c>
      <c r="I1532" s="1085">
        <f t="shared" si="17"/>
        <v>0.99992529385336926</v>
      </c>
      <c r="J1532" s="1085" t="str">
        <f t="shared" si="16"/>
        <v>C</v>
      </c>
      <c r="K1532" s="1036"/>
      <c r="L1532" s="1036"/>
      <c r="M1532" s="1036"/>
      <c r="N1532" s="1036"/>
      <c r="O1532" s="1036"/>
      <c r="P1532" s="1036"/>
      <c r="Q1532" s="1036"/>
      <c r="R1532" s="1036"/>
      <c r="S1532" s="1036"/>
      <c r="T1532" s="1036"/>
      <c r="U1532" s="1036"/>
      <c r="V1532" s="1036"/>
      <c r="W1532" s="1036"/>
      <c r="X1532" s="1036"/>
      <c r="Y1532" s="1036"/>
      <c r="Z1532" s="1036"/>
    </row>
    <row r="1533" spans="1:26" ht="38.25">
      <c r="A1533" s="1079">
        <v>100938</v>
      </c>
      <c r="B1533" s="1080" t="s">
        <v>14476</v>
      </c>
      <c r="C1533" s="1080" t="s">
        <v>11938</v>
      </c>
      <c r="D1533" s="1081" t="s">
        <v>11696</v>
      </c>
      <c r="E1533" s="1082">
        <v>2.88</v>
      </c>
      <c r="F1533" s="1083">
        <v>9.4700000000000006</v>
      </c>
      <c r="G1533" s="1083">
        <v>27.31</v>
      </c>
      <c r="H1533" s="1084">
        <f t="shared" si="15"/>
        <v>1.8549016415006072E-6</v>
      </c>
      <c r="I1533" s="1085">
        <f t="shared" si="17"/>
        <v>0.99992714875501076</v>
      </c>
      <c r="J1533" s="1085" t="str">
        <f t="shared" si="16"/>
        <v>C</v>
      </c>
      <c r="K1533" s="1036"/>
      <c r="L1533" s="1036"/>
      <c r="M1533" s="1036"/>
      <c r="N1533" s="1036"/>
      <c r="O1533" s="1036"/>
      <c r="P1533" s="1036"/>
      <c r="Q1533" s="1036"/>
      <c r="R1533" s="1036"/>
      <c r="S1533" s="1036"/>
      <c r="T1533" s="1036"/>
      <c r="U1533" s="1036"/>
      <c r="V1533" s="1036"/>
      <c r="W1533" s="1036"/>
      <c r="X1533" s="1036"/>
      <c r="Y1533" s="1036"/>
      <c r="Z1533" s="1036"/>
    </row>
    <row r="1534" spans="1:26" ht="38.25">
      <c r="A1534" s="1079">
        <v>89509</v>
      </c>
      <c r="B1534" s="1080" t="s">
        <v>14476</v>
      </c>
      <c r="C1534" s="1080" t="s">
        <v>8432</v>
      </c>
      <c r="D1534" s="1081" t="s">
        <v>50</v>
      </c>
      <c r="E1534" s="1082">
        <v>1</v>
      </c>
      <c r="F1534" s="1083">
        <v>26.45</v>
      </c>
      <c r="G1534" s="1083">
        <v>26.45</v>
      </c>
      <c r="H1534" s="1084">
        <f t="shared" si="15"/>
        <v>1.7964902386558426E-6</v>
      </c>
      <c r="I1534" s="1085">
        <f t="shared" si="17"/>
        <v>0.99992894524524945</v>
      </c>
      <c r="J1534" s="1085" t="str">
        <f t="shared" si="16"/>
        <v>C</v>
      </c>
      <c r="K1534" s="1036"/>
      <c r="L1534" s="1036"/>
      <c r="M1534" s="1036"/>
      <c r="N1534" s="1036"/>
      <c r="O1534" s="1036"/>
      <c r="P1534" s="1036"/>
      <c r="Q1534" s="1036"/>
      <c r="R1534" s="1036"/>
      <c r="S1534" s="1036"/>
      <c r="T1534" s="1036"/>
      <c r="U1534" s="1036"/>
      <c r="V1534" s="1036"/>
      <c r="W1534" s="1036"/>
      <c r="X1534" s="1036"/>
      <c r="Y1534" s="1036"/>
      <c r="Z1534" s="1036"/>
    </row>
    <row r="1535" spans="1:26" ht="38.25">
      <c r="A1535" s="1079">
        <v>91928</v>
      </c>
      <c r="B1535" s="1080" t="s">
        <v>14476</v>
      </c>
      <c r="C1535" s="1080" t="s">
        <v>7855</v>
      </c>
      <c r="D1535" s="1081" t="s">
        <v>50</v>
      </c>
      <c r="E1535" s="1082">
        <v>3</v>
      </c>
      <c r="F1535" s="1083">
        <v>8.6199999999999992</v>
      </c>
      <c r="G1535" s="1083">
        <v>25.86</v>
      </c>
      <c r="H1535" s="1084">
        <f t="shared" si="15"/>
        <v>1.7564172994948993E-6</v>
      </c>
      <c r="I1535" s="1085">
        <f t="shared" si="17"/>
        <v>0.99993070166254894</v>
      </c>
      <c r="J1535" s="1085" t="str">
        <f t="shared" si="16"/>
        <v>C</v>
      </c>
      <c r="K1535" s="1036"/>
      <c r="L1535" s="1036"/>
      <c r="M1535" s="1036"/>
      <c r="N1535" s="1036"/>
      <c r="O1535" s="1036"/>
      <c r="P1535" s="1036"/>
      <c r="Q1535" s="1036"/>
      <c r="R1535" s="1036"/>
      <c r="S1535" s="1036"/>
      <c r="T1535" s="1036"/>
      <c r="U1535" s="1036"/>
      <c r="V1535" s="1036"/>
      <c r="W1535" s="1036"/>
      <c r="X1535" s="1036"/>
      <c r="Y1535" s="1036"/>
      <c r="Z1535" s="1036"/>
    </row>
    <row r="1536" spans="1:26" ht="38.25">
      <c r="A1536" s="1079">
        <v>100938</v>
      </c>
      <c r="B1536" s="1080" t="s">
        <v>14476</v>
      </c>
      <c r="C1536" s="1080" t="s">
        <v>11938</v>
      </c>
      <c r="D1536" s="1081" t="s">
        <v>11696</v>
      </c>
      <c r="E1536" s="1082">
        <v>2.72</v>
      </c>
      <c r="F1536" s="1083">
        <v>9.4700000000000006</v>
      </c>
      <c r="G1536" s="1083">
        <v>25.77</v>
      </c>
      <c r="H1536" s="1084">
        <f t="shared" si="15"/>
        <v>1.7503044782669589E-6</v>
      </c>
      <c r="I1536" s="1085">
        <f t="shared" si="17"/>
        <v>0.99993245196702718</v>
      </c>
      <c r="J1536" s="1085" t="str">
        <f t="shared" si="16"/>
        <v>C</v>
      </c>
      <c r="K1536" s="1036"/>
      <c r="L1536" s="1036"/>
      <c r="M1536" s="1036"/>
      <c r="N1536" s="1036"/>
      <c r="O1536" s="1036"/>
      <c r="P1536" s="1036"/>
      <c r="Q1536" s="1036"/>
      <c r="R1536" s="1036"/>
      <c r="S1536" s="1036"/>
      <c r="T1536" s="1036"/>
      <c r="U1536" s="1036"/>
      <c r="V1536" s="1036"/>
      <c r="W1536" s="1036"/>
      <c r="X1536" s="1036"/>
      <c r="Y1536" s="1036"/>
      <c r="Z1536" s="1036"/>
    </row>
    <row r="1537" spans="1:26" ht="25.5">
      <c r="A1537" s="1079" t="s">
        <v>15376</v>
      </c>
      <c r="B1537" s="1080" t="s">
        <v>14472</v>
      </c>
      <c r="C1537" s="1080" t="s">
        <v>15377</v>
      </c>
      <c r="D1537" s="1081" t="s">
        <v>6</v>
      </c>
      <c r="E1537" s="1082">
        <v>2</v>
      </c>
      <c r="F1537" s="1083">
        <v>12.55</v>
      </c>
      <c r="G1537" s="1083">
        <v>25.1</v>
      </c>
      <c r="H1537" s="1084">
        <f t="shared" si="15"/>
        <v>1.7047979202367354E-6</v>
      </c>
      <c r="I1537" s="1085">
        <f t="shared" si="17"/>
        <v>0.99993415676494746</v>
      </c>
      <c r="J1537" s="1085" t="str">
        <f t="shared" si="16"/>
        <v>C</v>
      </c>
      <c r="K1537" s="1036"/>
      <c r="L1537" s="1036"/>
      <c r="M1537" s="1036"/>
      <c r="N1537" s="1036"/>
      <c r="O1537" s="1036"/>
      <c r="P1537" s="1036"/>
      <c r="Q1537" s="1036"/>
      <c r="R1537" s="1036"/>
      <c r="S1537" s="1036"/>
      <c r="T1537" s="1036"/>
      <c r="U1537" s="1036"/>
      <c r="V1537" s="1036"/>
      <c r="W1537" s="1036"/>
      <c r="X1537" s="1036"/>
      <c r="Y1537" s="1036"/>
      <c r="Z1537" s="1036"/>
    </row>
    <row r="1538" spans="1:26" ht="38.25">
      <c r="A1538" s="1079">
        <v>105189</v>
      </c>
      <c r="B1538" s="1080" t="s">
        <v>14476</v>
      </c>
      <c r="C1538" s="1080" t="s">
        <v>9963</v>
      </c>
      <c r="D1538" s="1081" t="s">
        <v>6</v>
      </c>
      <c r="E1538" s="1082">
        <v>1</v>
      </c>
      <c r="F1538" s="1083">
        <v>24.43</v>
      </c>
      <c r="G1538" s="1083">
        <v>24.43</v>
      </c>
      <c r="H1538" s="1084">
        <f t="shared" si="15"/>
        <v>1.6592913622065117E-6</v>
      </c>
      <c r="I1538" s="1085">
        <f t="shared" si="17"/>
        <v>0.99993581605630966</v>
      </c>
      <c r="J1538" s="1085" t="str">
        <f t="shared" si="16"/>
        <v>C</v>
      </c>
      <c r="K1538" s="1036"/>
      <c r="L1538" s="1036"/>
      <c r="M1538" s="1036"/>
      <c r="N1538" s="1036"/>
      <c r="O1538" s="1036"/>
      <c r="P1538" s="1036"/>
      <c r="Q1538" s="1036"/>
      <c r="R1538" s="1036"/>
      <c r="S1538" s="1036"/>
      <c r="T1538" s="1036"/>
      <c r="U1538" s="1036"/>
      <c r="V1538" s="1036"/>
      <c r="W1538" s="1036"/>
      <c r="X1538" s="1036"/>
      <c r="Y1538" s="1036"/>
      <c r="Z1538" s="1036"/>
    </row>
    <row r="1539" spans="1:26" ht="38.25">
      <c r="A1539" s="1079">
        <v>89363</v>
      </c>
      <c r="B1539" s="1080" t="s">
        <v>14476</v>
      </c>
      <c r="C1539" s="1080" t="s">
        <v>8670</v>
      </c>
      <c r="D1539" s="1081" t="s">
        <v>6</v>
      </c>
      <c r="E1539" s="1082">
        <v>2</v>
      </c>
      <c r="F1539" s="1083">
        <v>12.07</v>
      </c>
      <c r="G1539" s="1083">
        <v>24.14</v>
      </c>
      <c r="H1539" s="1084">
        <f t="shared" si="15"/>
        <v>1.6395944938053701E-6</v>
      </c>
      <c r="I1539" s="1085">
        <f t="shared" si="17"/>
        <v>0.9999374556508035</v>
      </c>
      <c r="J1539" s="1085" t="str">
        <f t="shared" si="16"/>
        <v>C</v>
      </c>
      <c r="K1539" s="1036"/>
      <c r="L1539" s="1036"/>
      <c r="M1539" s="1036"/>
      <c r="N1539" s="1036"/>
      <c r="O1539" s="1036"/>
      <c r="P1539" s="1036"/>
      <c r="Q1539" s="1036"/>
      <c r="R1539" s="1036"/>
      <c r="S1539" s="1036"/>
      <c r="T1539" s="1036"/>
      <c r="U1539" s="1036"/>
      <c r="V1539" s="1036"/>
      <c r="W1539" s="1036"/>
      <c r="X1539" s="1036"/>
      <c r="Y1539" s="1036"/>
      <c r="Z1539" s="1036"/>
    </row>
    <row r="1540" spans="1:26" ht="63.75">
      <c r="A1540" s="1079">
        <v>100978</v>
      </c>
      <c r="B1540" s="1080" t="s">
        <v>14476</v>
      </c>
      <c r="C1540" s="1080" t="s">
        <v>11981</v>
      </c>
      <c r="D1540" s="1081" t="s">
        <v>152</v>
      </c>
      <c r="E1540" s="1082">
        <v>2.74</v>
      </c>
      <c r="F1540" s="1083">
        <v>8.66</v>
      </c>
      <c r="G1540" s="1083">
        <v>23.76</v>
      </c>
      <c r="H1540" s="1084">
        <f t="shared" si="15"/>
        <v>1.6137848041762881E-6</v>
      </c>
      <c r="I1540" s="1085">
        <f t="shared" si="17"/>
        <v>0.99993906943560762</v>
      </c>
      <c r="J1540" s="1085" t="str">
        <f t="shared" si="16"/>
        <v>C</v>
      </c>
      <c r="K1540" s="1036"/>
      <c r="L1540" s="1036"/>
      <c r="M1540" s="1036"/>
      <c r="N1540" s="1036"/>
      <c r="O1540" s="1036"/>
      <c r="P1540" s="1036"/>
      <c r="Q1540" s="1036"/>
      <c r="R1540" s="1036"/>
      <c r="S1540" s="1036"/>
      <c r="T1540" s="1036"/>
      <c r="U1540" s="1036"/>
      <c r="V1540" s="1036"/>
      <c r="W1540" s="1036"/>
      <c r="X1540" s="1036"/>
      <c r="Y1540" s="1036"/>
      <c r="Z1540" s="1036"/>
    </row>
    <row r="1541" spans="1:26" ht="38.25">
      <c r="A1541" s="1079" t="s">
        <v>15362</v>
      </c>
      <c r="B1541" s="1080" t="s">
        <v>14472</v>
      </c>
      <c r="C1541" s="1080" t="s">
        <v>15363</v>
      </c>
      <c r="D1541" s="1081" t="s">
        <v>6</v>
      </c>
      <c r="E1541" s="1082">
        <v>1</v>
      </c>
      <c r="F1541" s="1083">
        <v>23.65</v>
      </c>
      <c r="G1541" s="1083">
        <v>23.65</v>
      </c>
      <c r="H1541" s="1084">
        <f t="shared" si="15"/>
        <v>1.6063135782310275E-6</v>
      </c>
      <c r="I1541" s="1085">
        <f t="shared" si="17"/>
        <v>0.99994067574918588</v>
      </c>
      <c r="J1541" s="1085" t="str">
        <f t="shared" si="16"/>
        <v>C</v>
      </c>
      <c r="K1541" s="1036"/>
      <c r="L1541" s="1036"/>
      <c r="M1541" s="1036"/>
      <c r="N1541" s="1036"/>
      <c r="O1541" s="1036"/>
      <c r="P1541" s="1036"/>
      <c r="Q1541" s="1036"/>
      <c r="R1541" s="1036"/>
      <c r="S1541" s="1036"/>
      <c r="T1541" s="1036"/>
      <c r="U1541" s="1036"/>
      <c r="V1541" s="1036"/>
      <c r="W1541" s="1036"/>
      <c r="X1541" s="1036"/>
      <c r="Y1541" s="1036"/>
      <c r="Z1541" s="1036"/>
    </row>
    <row r="1542" spans="1:26" ht="38.25">
      <c r="A1542" s="1079" t="s">
        <v>15362</v>
      </c>
      <c r="B1542" s="1080" t="s">
        <v>14472</v>
      </c>
      <c r="C1542" s="1080" t="s">
        <v>15363</v>
      </c>
      <c r="D1542" s="1081" t="s">
        <v>6</v>
      </c>
      <c r="E1542" s="1082">
        <v>1</v>
      </c>
      <c r="F1542" s="1083">
        <v>23.65</v>
      </c>
      <c r="G1542" s="1083">
        <v>23.65</v>
      </c>
      <c r="H1542" s="1084">
        <f t="shared" si="15"/>
        <v>1.6063135782310275E-6</v>
      </c>
      <c r="I1542" s="1085">
        <f t="shared" si="17"/>
        <v>0.99994228206276414</v>
      </c>
      <c r="J1542" s="1085" t="str">
        <f t="shared" si="16"/>
        <v>C</v>
      </c>
      <c r="K1542" s="1036"/>
      <c r="L1542" s="1036"/>
      <c r="M1542" s="1036"/>
      <c r="N1542" s="1036"/>
      <c r="O1542" s="1036"/>
      <c r="P1542" s="1036"/>
      <c r="Q1542" s="1036"/>
      <c r="R1542" s="1036"/>
      <c r="S1542" s="1036"/>
      <c r="T1542" s="1036"/>
      <c r="U1542" s="1036"/>
      <c r="V1542" s="1036"/>
      <c r="W1542" s="1036"/>
      <c r="X1542" s="1036"/>
      <c r="Y1542" s="1036"/>
      <c r="Z1542" s="1036"/>
    </row>
    <row r="1543" spans="1:26" ht="25.5">
      <c r="A1543" s="1079" t="s">
        <v>15145</v>
      </c>
      <c r="B1543" s="1080" t="s">
        <v>14472</v>
      </c>
      <c r="C1543" s="1080" t="s">
        <v>15146</v>
      </c>
      <c r="D1543" s="1081" t="s">
        <v>6</v>
      </c>
      <c r="E1543" s="1082">
        <v>2</v>
      </c>
      <c r="F1543" s="1083">
        <v>11.68</v>
      </c>
      <c r="G1543" s="1083">
        <v>23.36</v>
      </c>
      <c r="H1543" s="1084">
        <f t="shared" si="15"/>
        <v>1.586616709829886E-6</v>
      </c>
      <c r="I1543" s="1085">
        <f t="shared" si="17"/>
        <v>0.99994386867947394</v>
      </c>
      <c r="J1543" s="1085" t="str">
        <f t="shared" si="16"/>
        <v>C</v>
      </c>
      <c r="K1543" s="1036"/>
      <c r="L1543" s="1036"/>
      <c r="M1543" s="1036"/>
      <c r="N1543" s="1036"/>
      <c r="O1543" s="1036"/>
      <c r="P1543" s="1036"/>
      <c r="Q1543" s="1036"/>
      <c r="R1543" s="1036"/>
      <c r="S1543" s="1036"/>
      <c r="T1543" s="1036"/>
      <c r="U1543" s="1036"/>
      <c r="V1543" s="1036"/>
      <c r="W1543" s="1036"/>
      <c r="X1543" s="1036"/>
      <c r="Y1543" s="1036"/>
      <c r="Z1543" s="1036"/>
    </row>
    <row r="1544" spans="1:26" ht="25.5">
      <c r="A1544" s="1079" t="s">
        <v>15145</v>
      </c>
      <c r="B1544" s="1080" t="s">
        <v>14472</v>
      </c>
      <c r="C1544" s="1080" t="s">
        <v>15146</v>
      </c>
      <c r="D1544" s="1081" t="s">
        <v>6</v>
      </c>
      <c r="E1544" s="1082">
        <v>2</v>
      </c>
      <c r="F1544" s="1083">
        <v>11.68</v>
      </c>
      <c r="G1544" s="1083">
        <v>23.36</v>
      </c>
      <c r="H1544" s="1084">
        <f t="shared" si="15"/>
        <v>1.586616709829886E-6</v>
      </c>
      <c r="I1544" s="1085">
        <f t="shared" si="17"/>
        <v>0.99994545529618373</v>
      </c>
      <c r="J1544" s="1085" t="str">
        <f t="shared" si="16"/>
        <v>C</v>
      </c>
      <c r="K1544" s="1036"/>
      <c r="L1544" s="1036"/>
      <c r="M1544" s="1036"/>
      <c r="N1544" s="1036"/>
      <c r="O1544" s="1036"/>
      <c r="P1544" s="1036"/>
      <c r="Q1544" s="1036"/>
      <c r="R1544" s="1036"/>
      <c r="S1544" s="1036"/>
      <c r="T1544" s="1036"/>
      <c r="U1544" s="1036"/>
      <c r="V1544" s="1036"/>
      <c r="W1544" s="1036"/>
      <c r="X1544" s="1036"/>
      <c r="Y1544" s="1036"/>
      <c r="Z1544" s="1036"/>
    </row>
    <row r="1545" spans="1:26" ht="38.25">
      <c r="A1545" s="1079" t="s">
        <v>15159</v>
      </c>
      <c r="B1545" s="1080" t="s">
        <v>14472</v>
      </c>
      <c r="C1545" s="1080" t="s">
        <v>15160</v>
      </c>
      <c r="D1545" s="1081" t="s">
        <v>6</v>
      </c>
      <c r="E1545" s="1082">
        <v>1</v>
      </c>
      <c r="F1545" s="1083">
        <v>23.08</v>
      </c>
      <c r="G1545" s="1083">
        <v>23.08</v>
      </c>
      <c r="H1545" s="1084">
        <f t="shared" ref="H1545:H1603" si="18">G1545/$I$8</f>
        <v>1.5675990437874042E-6</v>
      </c>
      <c r="I1545" s="1085">
        <f t="shared" si="17"/>
        <v>0.99994702289522752</v>
      </c>
      <c r="J1545" s="1085" t="str">
        <f t="shared" ref="J1545:J1603" si="19">IF(I1545&lt;$A$10,"A",IF(I1545&lt;$A$11,"B","C"))</f>
        <v>C</v>
      </c>
      <c r="K1545" s="1036"/>
      <c r="L1545" s="1036"/>
      <c r="M1545" s="1036"/>
      <c r="N1545" s="1036"/>
      <c r="O1545" s="1036"/>
      <c r="P1545" s="1036"/>
      <c r="Q1545" s="1036"/>
      <c r="R1545" s="1036"/>
      <c r="S1545" s="1036"/>
      <c r="T1545" s="1036"/>
      <c r="U1545" s="1036"/>
      <c r="V1545" s="1036"/>
      <c r="W1545" s="1036"/>
      <c r="X1545" s="1036"/>
      <c r="Y1545" s="1036"/>
      <c r="Z1545" s="1036"/>
    </row>
    <row r="1546" spans="1:26" ht="38.25">
      <c r="A1546" s="1079" t="s">
        <v>15159</v>
      </c>
      <c r="B1546" s="1080" t="s">
        <v>14472</v>
      </c>
      <c r="C1546" s="1080" t="s">
        <v>15160</v>
      </c>
      <c r="D1546" s="1081" t="s">
        <v>6</v>
      </c>
      <c r="E1546" s="1082">
        <v>1</v>
      </c>
      <c r="F1546" s="1083">
        <v>23.08</v>
      </c>
      <c r="G1546" s="1083">
        <v>23.08</v>
      </c>
      <c r="H1546" s="1084">
        <f t="shared" si="18"/>
        <v>1.5675990437874042E-6</v>
      </c>
      <c r="I1546" s="1085">
        <f t="shared" ref="I1546:I1603" si="20">I1545+H1546</f>
        <v>0.99994859049427132</v>
      </c>
      <c r="J1546" s="1085" t="str">
        <f t="shared" si="19"/>
        <v>C</v>
      </c>
      <c r="K1546" s="1036"/>
      <c r="L1546" s="1036"/>
      <c r="M1546" s="1036"/>
      <c r="N1546" s="1036"/>
      <c r="O1546" s="1036"/>
      <c r="P1546" s="1036"/>
      <c r="Q1546" s="1036"/>
      <c r="R1546" s="1036"/>
      <c r="S1546" s="1036"/>
      <c r="T1546" s="1036"/>
      <c r="U1546" s="1036"/>
      <c r="V1546" s="1036"/>
      <c r="W1546" s="1036"/>
      <c r="X1546" s="1036"/>
      <c r="Y1546" s="1036"/>
      <c r="Z1546" s="1036"/>
    </row>
    <row r="1547" spans="1:26" ht="38.25">
      <c r="A1547" s="1079" t="s">
        <v>15159</v>
      </c>
      <c r="B1547" s="1080" t="s">
        <v>14472</v>
      </c>
      <c r="C1547" s="1080" t="s">
        <v>15160</v>
      </c>
      <c r="D1547" s="1081" t="s">
        <v>6</v>
      </c>
      <c r="E1547" s="1082">
        <v>1</v>
      </c>
      <c r="F1547" s="1083">
        <v>23.08</v>
      </c>
      <c r="G1547" s="1083">
        <v>23.08</v>
      </c>
      <c r="H1547" s="1084">
        <f t="shared" si="18"/>
        <v>1.5675990437874042E-6</v>
      </c>
      <c r="I1547" s="1085">
        <f t="shared" si="20"/>
        <v>0.99995015809331511</v>
      </c>
      <c r="J1547" s="1085" t="str">
        <f t="shared" si="19"/>
        <v>C</v>
      </c>
      <c r="K1547" s="1036"/>
      <c r="L1547" s="1036"/>
      <c r="M1547" s="1036"/>
      <c r="N1547" s="1036"/>
      <c r="O1547" s="1036"/>
      <c r="P1547" s="1036"/>
      <c r="Q1547" s="1036"/>
      <c r="R1547" s="1036"/>
      <c r="S1547" s="1036"/>
      <c r="T1547" s="1036"/>
      <c r="U1547" s="1036"/>
      <c r="V1547" s="1036"/>
      <c r="W1547" s="1036"/>
      <c r="X1547" s="1036"/>
      <c r="Y1547" s="1036"/>
      <c r="Z1547" s="1036"/>
    </row>
    <row r="1548" spans="1:26" ht="38.25">
      <c r="A1548" s="1079" t="s">
        <v>15159</v>
      </c>
      <c r="B1548" s="1080" t="s">
        <v>14472</v>
      </c>
      <c r="C1548" s="1080" t="s">
        <v>15160</v>
      </c>
      <c r="D1548" s="1081" t="s">
        <v>6</v>
      </c>
      <c r="E1548" s="1082">
        <v>1</v>
      </c>
      <c r="F1548" s="1083">
        <v>23.08</v>
      </c>
      <c r="G1548" s="1083">
        <v>23.08</v>
      </c>
      <c r="H1548" s="1084">
        <f t="shared" si="18"/>
        <v>1.5675990437874042E-6</v>
      </c>
      <c r="I1548" s="1085">
        <f t="shared" si="20"/>
        <v>0.99995172569235891</v>
      </c>
      <c r="J1548" s="1085" t="str">
        <f t="shared" si="19"/>
        <v>C</v>
      </c>
      <c r="K1548" s="1036"/>
      <c r="L1548" s="1036"/>
      <c r="M1548" s="1036"/>
      <c r="N1548" s="1036"/>
      <c r="O1548" s="1036"/>
      <c r="P1548" s="1036"/>
      <c r="Q1548" s="1036"/>
      <c r="R1548" s="1036"/>
      <c r="S1548" s="1036"/>
      <c r="T1548" s="1036"/>
      <c r="U1548" s="1036"/>
      <c r="V1548" s="1036"/>
      <c r="W1548" s="1036"/>
      <c r="X1548" s="1036"/>
      <c r="Y1548" s="1036"/>
      <c r="Z1548" s="1036"/>
    </row>
    <row r="1549" spans="1:26" ht="38.25">
      <c r="A1549" s="1079" t="s">
        <v>15159</v>
      </c>
      <c r="B1549" s="1080" t="s">
        <v>14472</v>
      </c>
      <c r="C1549" s="1080" t="s">
        <v>15160</v>
      </c>
      <c r="D1549" s="1081" t="s">
        <v>6</v>
      </c>
      <c r="E1549" s="1082">
        <v>1</v>
      </c>
      <c r="F1549" s="1083">
        <v>23.08</v>
      </c>
      <c r="G1549" s="1083">
        <v>23.08</v>
      </c>
      <c r="H1549" s="1084">
        <f t="shared" si="18"/>
        <v>1.5675990437874042E-6</v>
      </c>
      <c r="I1549" s="1085">
        <f t="shared" si="20"/>
        <v>0.9999532932914027</v>
      </c>
      <c r="J1549" s="1085" t="str">
        <f t="shared" si="19"/>
        <v>C</v>
      </c>
      <c r="K1549" s="1036"/>
      <c r="L1549" s="1036"/>
      <c r="M1549" s="1036"/>
      <c r="N1549" s="1036"/>
      <c r="O1549" s="1036"/>
      <c r="P1549" s="1036"/>
      <c r="Q1549" s="1036"/>
      <c r="R1549" s="1036"/>
      <c r="S1549" s="1036"/>
      <c r="T1549" s="1036"/>
      <c r="U1549" s="1036"/>
      <c r="V1549" s="1036"/>
      <c r="W1549" s="1036"/>
      <c r="X1549" s="1036"/>
      <c r="Y1549" s="1036"/>
      <c r="Z1549" s="1036"/>
    </row>
    <row r="1550" spans="1:26" ht="38.25">
      <c r="A1550" s="1079" t="s">
        <v>15378</v>
      </c>
      <c r="B1550" s="1080" t="s">
        <v>14472</v>
      </c>
      <c r="C1550" s="1080" t="s">
        <v>15379</v>
      </c>
      <c r="D1550" s="1081" t="s">
        <v>6</v>
      </c>
      <c r="E1550" s="1082">
        <v>1</v>
      </c>
      <c r="F1550" s="1083">
        <v>22.96</v>
      </c>
      <c r="G1550" s="1083">
        <v>22.96</v>
      </c>
      <c r="H1550" s="1084">
        <f t="shared" si="18"/>
        <v>1.5594486154834838E-6</v>
      </c>
      <c r="I1550" s="1085">
        <f t="shared" si="20"/>
        <v>0.99995485274001816</v>
      </c>
      <c r="J1550" s="1085" t="str">
        <f t="shared" si="19"/>
        <v>C</v>
      </c>
      <c r="K1550" s="1036"/>
      <c r="L1550" s="1036"/>
      <c r="M1550" s="1036"/>
      <c r="N1550" s="1036"/>
      <c r="O1550" s="1036"/>
      <c r="P1550" s="1036"/>
      <c r="Q1550" s="1036"/>
      <c r="R1550" s="1036"/>
      <c r="S1550" s="1036"/>
      <c r="T1550" s="1036"/>
      <c r="U1550" s="1036"/>
      <c r="V1550" s="1036"/>
      <c r="W1550" s="1036"/>
      <c r="X1550" s="1036"/>
      <c r="Y1550" s="1036"/>
      <c r="Z1550" s="1036"/>
    </row>
    <row r="1551" spans="1:26" ht="38.25">
      <c r="A1551" s="1079" t="s">
        <v>15378</v>
      </c>
      <c r="B1551" s="1080" t="s">
        <v>14472</v>
      </c>
      <c r="C1551" s="1080" t="s">
        <v>15379</v>
      </c>
      <c r="D1551" s="1081" t="s">
        <v>6</v>
      </c>
      <c r="E1551" s="1082">
        <v>1</v>
      </c>
      <c r="F1551" s="1083">
        <v>22.96</v>
      </c>
      <c r="G1551" s="1083">
        <v>22.96</v>
      </c>
      <c r="H1551" s="1084">
        <f t="shared" si="18"/>
        <v>1.5594486154834838E-6</v>
      </c>
      <c r="I1551" s="1085">
        <f t="shared" si="20"/>
        <v>0.99995641218863363</v>
      </c>
      <c r="J1551" s="1085" t="str">
        <f t="shared" si="19"/>
        <v>C</v>
      </c>
      <c r="K1551" s="1036"/>
      <c r="L1551" s="1036"/>
      <c r="M1551" s="1036"/>
      <c r="N1551" s="1036"/>
      <c r="O1551" s="1036"/>
      <c r="P1551" s="1036"/>
      <c r="Q1551" s="1036"/>
      <c r="R1551" s="1036"/>
      <c r="S1551" s="1036"/>
      <c r="T1551" s="1036"/>
      <c r="U1551" s="1036"/>
      <c r="V1551" s="1036"/>
      <c r="W1551" s="1036"/>
      <c r="X1551" s="1036"/>
      <c r="Y1551" s="1036"/>
      <c r="Z1551" s="1036"/>
    </row>
    <row r="1552" spans="1:26" ht="38.25">
      <c r="A1552" s="1079">
        <v>89627</v>
      </c>
      <c r="B1552" s="1080" t="s">
        <v>14476</v>
      </c>
      <c r="C1552" s="1080" t="s">
        <v>8858</v>
      </c>
      <c r="D1552" s="1081" t="s">
        <v>6</v>
      </c>
      <c r="E1552" s="1082">
        <v>1</v>
      </c>
      <c r="F1552" s="1083">
        <v>22.78</v>
      </c>
      <c r="G1552" s="1083">
        <v>22.78</v>
      </c>
      <c r="H1552" s="1084">
        <f t="shared" si="18"/>
        <v>1.5472229730276029E-6</v>
      </c>
      <c r="I1552" s="1085">
        <f t="shared" si="20"/>
        <v>0.9999579594116067</v>
      </c>
      <c r="J1552" s="1085" t="str">
        <f t="shared" si="19"/>
        <v>C</v>
      </c>
      <c r="K1552" s="1036"/>
      <c r="L1552" s="1036"/>
      <c r="M1552" s="1036"/>
      <c r="N1552" s="1036"/>
      <c r="O1552" s="1036"/>
      <c r="P1552" s="1036"/>
      <c r="Q1552" s="1036"/>
      <c r="R1552" s="1036"/>
      <c r="S1552" s="1036"/>
      <c r="T1552" s="1036"/>
      <c r="U1552" s="1036"/>
      <c r="V1552" s="1036"/>
      <c r="W1552" s="1036"/>
      <c r="X1552" s="1036"/>
      <c r="Y1552" s="1036"/>
      <c r="Z1552" s="1036"/>
    </row>
    <row r="1553" spans="1:26" ht="25.5">
      <c r="A1553" s="1079" t="s">
        <v>15405</v>
      </c>
      <c r="B1553" s="1080" t="s">
        <v>14472</v>
      </c>
      <c r="C1553" s="1080" t="s">
        <v>15406</v>
      </c>
      <c r="D1553" s="1081" t="s">
        <v>6</v>
      </c>
      <c r="E1553" s="1082">
        <v>1</v>
      </c>
      <c r="F1553" s="1083">
        <v>21.61</v>
      </c>
      <c r="G1553" s="1083">
        <v>21.61</v>
      </c>
      <c r="H1553" s="1084">
        <f t="shared" si="18"/>
        <v>1.4677562970643765E-6</v>
      </c>
      <c r="I1553" s="1085">
        <f t="shared" si="20"/>
        <v>0.99995942716790376</v>
      </c>
      <c r="J1553" s="1085" t="str">
        <f t="shared" si="19"/>
        <v>C</v>
      </c>
      <c r="K1553" s="1036"/>
      <c r="L1553" s="1036"/>
      <c r="M1553" s="1036"/>
      <c r="N1553" s="1036"/>
      <c r="O1553" s="1036"/>
      <c r="P1553" s="1036"/>
      <c r="Q1553" s="1036"/>
      <c r="R1553" s="1036"/>
      <c r="S1553" s="1036"/>
      <c r="T1553" s="1036"/>
      <c r="U1553" s="1036"/>
      <c r="V1553" s="1036"/>
      <c r="W1553" s="1036"/>
      <c r="X1553" s="1036"/>
      <c r="Y1553" s="1036"/>
      <c r="Z1553" s="1036"/>
    </row>
    <row r="1554" spans="1:26" ht="63.75">
      <c r="A1554" s="1079">
        <v>100978</v>
      </c>
      <c r="B1554" s="1080" t="s">
        <v>14476</v>
      </c>
      <c r="C1554" s="1080" t="s">
        <v>11981</v>
      </c>
      <c r="D1554" s="1081" t="s">
        <v>152</v>
      </c>
      <c r="E1554" s="1082">
        <v>2.44</v>
      </c>
      <c r="F1554" s="1083">
        <v>8.66</v>
      </c>
      <c r="G1554" s="1083">
        <v>21.13</v>
      </c>
      <c r="H1554" s="1084">
        <f t="shared" si="18"/>
        <v>1.4351545838486939E-6</v>
      </c>
      <c r="I1554" s="1085">
        <f t="shared" si="20"/>
        <v>0.9999608623224876</v>
      </c>
      <c r="J1554" s="1085" t="str">
        <f t="shared" si="19"/>
        <v>C</v>
      </c>
      <c r="K1554" s="1036"/>
      <c r="L1554" s="1036"/>
      <c r="M1554" s="1036"/>
      <c r="N1554" s="1036"/>
      <c r="O1554" s="1036"/>
      <c r="P1554" s="1036"/>
      <c r="Q1554" s="1036"/>
      <c r="R1554" s="1036"/>
      <c r="S1554" s="1036"/>
      <c r="T1554" s="1036"/>
      <c r="U1554" s="1036"/>
      <c r="V1554" s="1036"/>
      <c r="W1554" s="1036"/>
      <c r="X1554" s="1036"/>
      <c r="Y1554" s="1036"/>
      <c r="Z1554" s="1036"/>
    </row>
    <row r="1555" spans="1:26" ht="63.75">
      <c r="A1555" s="1079">
        <v>100978</v>
      </c>
      <c r="B1555" s="1080" t="s">
        <v>14476</v>
      </c>
      <c r="C1555" s="1080" t="s">
        <v>11981</v>
      </c>
      <c r="D1555" s="1081" t="s">
        <v>152</v>
      </c>
      <c r="E1555" s="1082">
        <v>2.23</v>
      </c>
      <c r="F1555" s="1083">
        <v>8.66</v>
      </c>
      <c r="G1555" s="1083">
        <v>19.32</v>
      </c>
      <c r="H1555" s="1084">
        <f t="shared" si="18"/>
        <v>1.3122189569312243E-6</v>
      </c>
      <c r="I1555" s="1085">
        <f t="shared" si="20"/>
        <v>0.99996217454144454</v>
      </c>
      <c r="J1555" s="1085" t="str">
        <f t="shared" si="19"/>
        <v>C</v>
      </c>
      <c r="K1555" s="1036"/>
      <c r="L1555" s="1036"/>
      <c r="M1555" s="1036"/>
      <c r="N1555" s="1036"/>
      <c r="O1555" s="1036"/>
      <c r="P1555" s="1036"/>
      <c r="Q1555" s="1036"/>
      <c r="R1555" s="1036"/>
      <c r="S1555" s="1036"/>
      <c r="T1555" s="1036"/>
      <c r="U1555" s="1036"/>
      <c r="V1555" s="1036"/>
      <c r="W1555" s="1036"/>
      <c r="X1555" s="1036"/>
      <c r="Y1555" s="1036"/>
      <c r="Z1555" s="1036"/>
    </row>
    <row r="1556" spans="1:26" ht="38.25">
      <c r="A1556" s="1079">
        <v>89520</v>
      </c>
      <c r="B1556" s="1080" t="s">
        <v>14476</v>
      </c>
      <c r="C1556" s="1080" t="s">
        <v>8773</v>
      </c>
      <c r="D1556" s="1081" t="s">
        <v>6</v>
      </c>
      <c r="E1556" s="1082">
        <v>1</v>
      </c>
      <c r="F1556" s="1083">
        <v>19.309999999999999</v>
      </c>
      <c r="G1556" s="1083">
        <v>19.309999999999999</v>
      </c>
      <c r="H1556" s="1084">
        <f t="shared" si="18"/>
        <v>1.3115397545725641E-6</v>
      </c>
      <c r="I1556" s="1085">
        <f t="shared" si="20"/>
        <v>0.99996348608119912</v>
      </c>
      <c r="J1556" s="1085" t="str">
        <f t="shared" si="19"/>
        <v>C</v>
      </c>
      <c r="K1556" s="1036"/>
      <c r="L1556" s="1036"/>
      <c r="M1556" s="1036"/>
      <c r="N1556" s="1036"/>
      <c r="O1556" s="1036"/>
      <c r="P1556" s="1036"/>
      <c r="Q1556" s="1036"/>
      <c r="R1556" s="1036"/>
      <c r="S1556" s="1036"/>
      <c r="T1556" s="1036"/>
      <c r="U1556" s="1036"/>
      <c r="V1556" s="1036"/>
      <c r="W1556" s="1036"/>
      <c r="X1556" s="1036"/>
      <c r="Y1556" s="1036"/>
      <c r="Z1556" s="1036"/>
    </row>
    <row r="1557" spans="1:26" ht="25.5">
      <c r="A1557" s="1079">
        <v>101616</v>
      </c>
      <c r="B1557" s="1080" t="s">
        <v>14476</v>
      </c>
      <c r="C1557" s="1080" t="s">
        <v>10747</v>
      </c>
      <c r="D1557" s="1081" t="s">
        <v>409</v>
      </c>
      <c r="E1557" s="1082">
        <v>2.6</v>
      </c>
      <c r="F1557" s="1083">
        <v>7.37</v>
      </c>
      <c r="G1557" s="1083">
        <v>19.16</v>
      </c>
      <c r="H1557" s="1084">
        <f t="shared" si="18"/>
        <v>1.3013517191926634E-6</v>
      </c>
      <c r="I1557" s="1085">
        <f t="shared" si="20"/>
        <v>0.99996478743291828</v>
      </c>
      <c r="J1557" s="1085" t="str">
        <f t="shared" si="19"/>
        <v>C</v>
      </c>
      <c r="K1557" s="1036"/>
      <c r="L1557" s="1036"/>
      <c r="M1557" s="1036"/>
      <c r="N1557" s="1036"/>
      <c r="O1557" s="1036"/>
      <c r="P1557" s="1036"/>
      <c r="Q1557" s="1036"/>
      <c r="R1557" s="1036"/>
      <c r="S1557" s="1036"/>
      <c r="T1557" s="1036"/>
      <c r="U1557" s="1036"/>
      <c r="V1557" s="1036"/>
      <c r="W1557" s="1036"/>
      <c r="X1557" s="1036"/>
      <c r="Y1557" s="1036"/>
      <c r="Z1557" s="1036"/>
    </row>
    <row r="1558" spans="1:26" ht="25.5">
      <c r="A1558" s="1079" t="s">
        <v>15128</v>
      </c>
      <c r="B1558" s="1080" t="s">
        <v>14472</v>
      </c>
      <c r="C1558" s="1080" t="s">
        <v>15129</v>
      </c>
      <c r="D1558" s="1081" t="s">
        <v>6</v>
      </c>
      <c r="E1558" s="1082">
        <v>1</v>
      </c>
      <c r="F1558" s="1083">
        <v>18.920000000000002</v>
      </c>
      <c r="G1558" s="1083">
        <v>18.920000000000002</v>
      </c>
      <c r="H1558" s="1084">
        <f t="shared" si="18"/>
        <v>1.2850508625848221E-6</v>
      </c>
      <c r="I1558" s="1085">
        <f t="shared" si="20"/>
        <v>0.99996607248378089</v>
      </c>
      <c r="J1558" s="1085" t="str">
        <f t="shared" si="19"/>
        <v>C</v>
      </c>
      <c r="K1558" s="1036"/>
      <c r="L1558" s="1036"/>
      <c r="M1558" s="1036"/>
      <c r="N1558" s="1036"/>
      <c r="O1558" s="1036"/>
      <c r="P1558" s="1036"/>
      <c r="Q1558" s="1036"/>
      <c r="R1558" s="1036"/>
      <c r="S1558" s="1036"/>
      <c r="T1558" s="1036"/>
      <c r="U1558" s="1036"/>
      <c r="V1558" s="1036"/>
      <c r="W1558" s="1036"/>
      <c r="X1558" s="1036"/>
      <c r="Y1558" s="1036"/>
      <c r="Z1558" s="1036"/>
    </row>
    <row r="1559" spans="1:26" ht="51">
      <c r="A1559" s="1079">
        <v>89774</v>
      </c>
      <c r="B1559" s="1080" t="s">
        <v>14476</v>
      </c>
      <c r="C1559" s="1080" t="s">
        <v>8981</v>
      </c>
      <c r="D1559" s="1081" t="s">
        <v>6</v>
      </c>
      <c r="E1559" s="1082">
        <v>1</v>
      </c>
      <c r="F1559" s="1083">
        <v>18.760000000000002</v>
      </c>
      <c r="G1559" s="1083">
        <v>18.760000000000002</v>
      </c>
      <c r="H1559" s="1084">
        <f t="shared" si="18"/>
        <v>1.2741836248462612E-6</v>
      </c>
      <c r="I1559" s="1085">
        <f t="shared" si="20"/>
        <v>0.99996734666740572</v>
      </c>
      <c r="J1559" s="1085" t="str">
        <f t="shared" si="19"/>
        <v>C</v>
      </c>
      <c r="K1559" s="1036"/>
      <c r="L1559" s="1036"/>
      <c r="M1559" s="1036"/>
      <c r="N1559" s="1036"/>
      <c r="O1559" s="1036"/>
      <c r="P1559" s="1036"/>
      <c r="Q1559" s="1036"/>
      <c r="R1559" s="1036"/>
      <c r="S1559" s="1036"/>
      <c r="T1559" s="1036"/>
      <c r="U1559" s="1036"/>
      <c r="V1559" s="1036"/>
      <c r="W1559" s="1036"/>
      <c r="X1559" s="1036"/>
      <c r="Y1559" s="1036"/>
      <c r="Z1559" s="1036"/>
    </row>
    <row r="1560" spans="1:26" ht="25.5">
      <c r="A1560" s="1079">
        <v>101616</v>
      </c>
      <c r="B1560" s="1080" t="s">
        <v>14476</v>
      </c>
      <c r="C1560" s="1080" t="s">
        <v>10747</v>
      </c>
      <c r="D1560" s="1081" t="s">
        <v>409</v>
      </c>
      <c r="E1560" s="1082">
        <v>2.52</v>
      </c>
      <c r="F1560" s="1083">
        <v>7.37</v>
      </c>
      <c r="G1560" s="1083">
        <v>18.57</v>
      </c>
      <c r="H1560" s="1084">
        <f t="shared" si="18"/>
        <v>1.2612787800317201E-6</v>
      </c>
      <c r="I1560" s="1085">
        <f t="shared" si="20"/>
        <v>0.99996860794618581</v>
      </c>
      <c r="J1560" s="1085" t="str">
        <f t="shared" si="19"/>
        <v>C</v>
      </c>
      <c r="K1560" s="1036"/>
      <c r="L1560" s="1036"/>
      <c r="M1560" s="1036"/>
      <c r="N1560" s="1036"/>
      <c r="O1560" s="1036"/>
      <c r="P1560" s="1036"/>
      <c r="Q1560" s="1036"/>
      <c r="R1560" s="1036"/>
      <c r="S1560" s="1036"/>
      <c r="T1560" s="1036"/>
      <c r="U1560" s="1036"/>
      <c r="V1560" s="1036"/>
      <c r="W1560" s="1036"/>
      <c r="X1560" s="1036"/>
      <c r="Y1560" s="1036"/>
      <c r="Z1560" s="1036"/>
    </row>
    <row r="1561" spans="1:26" ht="25.5">
      <c r="A1561" s="1079">
        <v>101616</v>
      </c>
      <c r="B1561" s="1080" t="s">
        <v>14476</v>
      </c>
      <c r="C1561" s="1080" t="s">
        <v>10747</v>
      </c>
      <c r="D1561" s="1081" t="s">
        <v>409</v>
      </c>
      <c r="E1561" s="1082">
        <v>2.5099999999999998</v>
      </c>
      <c r="F1561" s="1083">
        <v>7.37</v>
      </c>
      <c r="G1561" s="1083">
        <v>18.489999999999998</v>
      </c>
      <c r="H1561" s="1084">
        <f t="shared" si="18"/>
        <v>1.2558451611624397E-6</v>
      </c>
      <c r="I1561" s="1085">
        <f t="shared" si="20"/>
        <v>0.999969863791347</v>
      </c>
      <c r="J1561" s="1085" t="str">
        <f t="shared" si="19"/>
        <v>C</v>
      </c>
      <c r="K1561" s="1036"/>
      <c r="L1561" s="1036"/>
      <c r="M1561" s="1036"/>
      <c r="N1561" s="1036"/>
      <c r="O1561" s="1036"/>
      <c r="P1561" s="1036"/>
      <c r="Q1561" s="1036"/>
      <c r="R1561" s="1036"/>
      <c r="S1561" s="1036"/>
      <c r="T1561" s="1036"/>
      <c r="U1561" s="1036"/>
      <c r="V1561" s="1036"/>
      <c r="W1561" s="1036"/>
      <c r="X1561" s="1036"/>
      <c r="Y1561" s="1036"/>
      <c r="Z1561" s="1036"/>
    </row>
    <row r="1562" spans="1:26" ht="25.5">
      <c r="A1562" s="1079">
        <v>86883</v>
      </c>
      <c r="B1562" s="1080" t="s">
        <v>14476</v>
      </c>
      <c r="C1562" s="1080" t="s">
        <v>16031</v>
      </c>
      <c r="D1562" s="1081" t="s">
        <v>6</v>
      </c>
      <c r="E1562" s="1082">
        <v>1</v>
      </c>
      <c r="F1562" s="1083">
        <v>17.899999999999999</v>
      </c>
      <c r="G1562" s="1083">
        <v>17.899999999999999</v>
      </c>
      <c r="H1562" s="1084">
        <f t="shared" si="18"/>
        <v>1.2157722220014964E-6</v>
      </c>
      <c r="I1562" s="1085">
        <f t="shared" si="20"/>
        <v>0.99997107956356901</v>
      </c>
      <c r="J1562" s="1085" t="str">
        <f t="shared" si="19"/>
        <v>C</v>
      </c>
      <c r="K1562" s="1036"/>
      <c r="L1562" s="1036"/>
      <c r="M1562" s="1036"/>
      <c r="N1562" s="1036"/>
      <c r="O1562" s="1036"/>
      <c r="P1562" s="1036"/>
      <c r="Q1562" s="1036"/>
      <c r="R1562" s="1036"/>
      <c r="S1562" s="1036"/>
      <c r="T1562" s="1036"/>
      <c r="U1562" s="1036"/>
      <c r="V1562" s="1036"/>
      <c r="W1562" s="1036"/>
      <c r="X1562" s="1036"/>
      <c r="Y1562" s="1036"/>
      <c r="Z1562" s="1036"/>
    </row>
    <row r="1563" spans="1:26" ht="38.25">
      <c r="A1563" s="1079">
        <v>94678</v>
      </c>
      <c r="B1563" s="1080" t="s">
        <v>14476</v>
      </c>
      <c r="C1563" s="1080" t="s">
        <v>9374</v>
      </c>
      <c r="D1563" s="1081" t="s">
        <v>6</v>
      </c>
      <c r="E1563" s="1082">
        <v>1</v>
      </c>
      <c r="F1563" s="1083">
        <v>17.5</v>
      </c>
      <c r="G1563" s="1083">
        <v>17.5</v>
      </c>
      <c r="H1563" s="1084">
        <f t="shared" si="18"/>
        <v>1.1886041276550944E-6</v>
      </c>
      <c r="I1563" s="1085">
        <f t="shared" si="20"/>
        <v>0.99997226816769669</v>
      </c>
      <c r="J1563" s="1085" t="str">
        <f t="shared" si="19"/>
        <v>C</v>
      </c>
      <c r="K1563" s="1036"/>
      <c r="L1563" s="1036"/>
      <c r="M1563" s="1036"/>
      <c r="N1563" s="1036"/>
      <c r="O1563" s="1036"/>
      <c r="P1563" s="1036"/>
      <c r="Q1563" s="1036"/>
      <c r="R1563" s="1036"/>
      <c r="S1563" s="1036"/>
      <c r="T1563" s="1036"/>
      <c r="U1563" s="1036"/>
      <c r="V1563" s="1036"/>
      <c r="W1563" s="1036"/>
      <c r="X1563" s="1036"/>
      <c r="Y1563" s="1036"/>
      <c r="Z1563" s="1036"/>
    </row>
    <row r="1564" spans="1:26" ht="38.25">
      <c r="A1564" s="1079">
        <v>89501</v>
      </c>
      <c r="B1564" s="1080" t="s">
        <v>14476</v>
      </c>
      <c r="C1564" s="1080" t="s">
        <v>8758</v>
      </c>
      <c r="D1564" s="1081" t="s">
        <v>6</v>
      </c>
      <c r="E1564" s="1082">
        <v>1</v>
      </c>
      <c r="F1564" s="1083">
        <v>16.75</v>
      </c>
      <c r="G1564" s="1083">
        <v>16.75</v>
      </c>
      <c r="H1564" s="1084">
        <f t="shared" si="18"/>
        <v>1.1376639507555903E-6</v>
      </c>
      <c r="I1564" s="1085">
        <f t="shared" si="20"/>
        <v>0.9999734058316474</v>
      </c>
      <c r="J1564" s="1085" t="str">
        <f t="shared" si="19"/>
        <v>C</v>
      </c>
      <c r="K1564" s="1036"/>
      <c r="L1564" s="1036"/>
      <c r="M1564" s="1036"/>
      <c r="N1564" s="1036"/>
      <c r="O1564" s="1036"/>
      <c r="P1564" s="1036"/>
      <c r="Q1564" s="1036"/>
      <c r="R1564" s="1036"/>
      <c r="S1564" s="1036"/>
      <c r="T1564" s="1036"/>
      <c r="U1564" s="1036"/>
      <c r="V1564" s="1036"/>
      <c r="W1564" s="1036"/>
      <c r="X1564" s="1036"/>
      <c r="Y1564" s="1036"/>
      <c r="Z1564" s="1036"/>
    </row>
    <row r="1565" spans="1:26" ht="38.25">
      <c r="A1565" s="1079">
        <v>89719</v>
      </c>
      <c r="B1565" s="1080" t="s">
        <v>14476</v>
      </c>
      <c r="C1565" s="1080" t="s">
        <v>16032</v>
      </c>
      <c r="D1565" s="1081" t="s">
        <v>6</v>
      </c>
      <c r="E1565" s="1082">
        <v>1</v>
      </c>
      <c r="F1565" s="1083">
        <v>16.41</v>
      </c>
      <c r="G1565" s="1083">
        <v>16.41</v>
      </c>
      <c r="H1565" s="1084">
        <f t="shared" si="18"/>
        <v>1.1145710705611485E-6</v>
      </c>
      <c r="I1565" s="1085">
        <f t="shared" si="20"/>
        <v>0.99997452040271795</v>
      </c>
      <c r="J1565" s="1085" t="str">
        <f t="shared" si="19"/>
        <v>C</v>
      </c>
      <c r="K1565" s="1036"/>
      <c r="L1565" s="1036"/>
      <c r="M1565" s="1036"/>
      <c r="N1565" s="1036"/>
      <c r="O1565" s="1036"/>
      <c r="P1565" s="1036"/>
      <c r="Q1565" s="1036"/>
      <c r="R1565" s="1036"/>
      <c r="S1565" s="1036"/>
      <c r="T1565" s="1036"/>
      <c r="U1565" s="1036"/>
      <c r="V1565" s="1036"/>
      <c r="W1565" s="1036"/>
      <c r="X1565" s="1036"/>
      <c r="Y1565" s="1036"/>
      <c r="Z1565" s="1036"/>
    </row>
    <row r="1566" spans="1:26" ht="51">
      <c r="A1566" s="1079">
        <v>89383</v>
      </c>
      <c r="B1566" s="1080" t="s">
        <v>14476</v>
      </c>
      <c r="C1566" s="1080" t="s">
        <v>8690</v>
      </c>
      <c r="D1566" s="1081" t="s">
        <v>6</v>
      </c>
      <c r="E1566" s="1082">
        <v>2</v>
      </c>
      <c r="F1566" s="1083">
        <v>7.85</v>
      </c>
      <c r="G1566" s="1083">
        <v>15.7</v>
      </c>
      <c r="H1566" s="1084">
        <f t="shared" si="18"/>
        <v>1.0663477030962846E-6</v>
      </c>
      <c r="I1566" s="1085">
        <f t="shared" si="20"/>
        <v>0.99997558675042109</v>
      </c>
      <c r="J1566" s="1085" t="str">
        <f t="shared" si="19"/>
        <v>C</v>
      </c>
      <c r="K1566" s="1036"/>
      <c r="L1566" s="1036"/>
      <c r="M1566" s="1036"/>
      <c r="N1566" s="1036"/>
      <c r="O1566" s="1036"/>
      <c r="P1566" s="1036"/>
      <c r="Q1566" s="1036"/>
      <c r="R1566" s="1036"/>
      <c r="S1566" s="1036"/>
      <c r="T1566" s="1036"/>
      <c r="U1566" s="1036"/>
      <c r="V1566" s="1036"/>
      <c r="W1566" s="1036"/>
      <c r="X1566" s="1036"/>
      <c r="Y1566" s="1036"/>
      <c r="Z1566" s="1036"/>
    </row>
    <row r="1567" spans="1:26" ht="38.25">
      <c r="A1567" s="1079">
        <v>93654</v>
      </c>
      <c r="B1567" s="1080" t="s">
        <v>14476</v>
      </c>
      <c r="C1567" s="1080" t="s">
        <v>7955</v>
      </c>
      <c r="D1567" s="1081" t="s">
        <v>6</v>
      </c>
      <c r="E1567" s="1082">
        <v>1</v>
      </c>
      <c r="F1567" s="1083">
        <v>15.68</v>
      </c>
      <c r="G1567" s="1083">
        <v>15.68</v>
      </c>
      <c r="H1567" s="1084">
        <f t="shared" si="18"/>
        <v>1.0649892983789646E-6</v>
      </c>
      <c r="I1567" s="1085">
        <f t="shared" si="20"/>
        <v>0.9999766517397195</v>
      </c>
      <c r="J1567" s="1085" t="str">
        <f t="shared" si="19"/>
        <v>C</v>
      </c>
      <c r="K1567" s="1036"/>
      <c r="L1567" s="1036"/>
      <c r="M1567" s="1036"/>
      <c r="N1567" s="1036"/>
      <c r="O1567" s="1036"/>
      <c r="P1567" s="1036"/>
      <c r="Q1567" s="1036"/>
      <c r="R1567" s="1036"/>
      <c r="S1567" s="1036"/>
      <c r="T1567" s="1036"/>
      <c r="U1567" s="1036"/>
      <c r="V1567" s="1036"/>
      <c r="W1567" s="1036"/>
      <c r="X1567" s="1036"/>
      <c r="Y1567" s="1036"/>
      <c r="Z1567" s="1036"/>
    </row>
    <row r="1568" spans="1:26" ht="38.25">
      <c r="A1568" s="1079" t="s">
        <v>15152</v>
      </c>
      <c r="B1568" s="1080" t="s">
        <v>14472</v>
      </c>
      <c r="C1568" s="1080" t="s">
        <v>15153</v>
      </c>
      <c r="D1568" s="1081" t="s">
        <v>6</v>
      </c>
      <c r="E1568" s="1082">
        <v>1</v>
      </c>
      <c r="F1568" s="1083">
        <v>15.53</v>
      </c>
      <c r="G1568" s="1083">
        <v>15.53</v>
      </c>
      <c r="H1568" s="1084">
        <f t="shared" si="18"/>
        <v>1.0548012629990637E-6</v>
      </c>
      <c r="I1568" s="1085">
        <f t="shared" si="20"/>
        <v>0.9999777065409825</v>
      </c>
      <c r="J1568" s="1085" t="str">
        <f t="shared" si="19"/>
        <v>C</v>
      </c>
      <c r="K1568" s="1036"/>
      <c r="L1568" s="1036"/>
      <c r="M1568" s="1036"/>
      <c r="N1568" s="1036"/>
      <c r="O1568" s="1036"/>
      <c r="P1568" s="1036"/>
      <c r="Q1568" s="1036"/>
      <c r="R1568" s="1036"/>
      <c r="S1568" s="1036"/>
      <c r="T1568" s="1036"/>
      <c r="U1568" s="1036"/>
      <c r="V1568" s="1036"/>
      <c r="W1568" s="1036"/>
      <c r="X1568" s="1036"/>
      <c r="Y1568" s="1036"/>
      <c r="Z1568" s="1036"/>
    </row>
    <row r="1569" spans="1:26" ht="38.25">
      <c r="A1569" s="1079">
        <v>89395</v>
      </c>
      <c r="B1569" s="1080" t="s">
        <v>14476</v>
      </c>
      <c r="C1569" s="1080" t="s">
        <v>8701</v>
      </c>
      <c r="D1569" s="1081" t="s">
        <v>6</v>
      </c>
      <c r="E1569" s="1082">
        <v>1</v>
      </c>
      <c r="F1569" s="1083">
        <v>15.51</v>
      </c>
      <c r="G1569" s="1083">
        <v>15.51</v>
      </c>
      <c r="H1569" s="1084">
        <f t="shared" si="18"/>
        <v>1.0534428582817437E-6</v>
      </c>
      <c r="I1569" s="1085">
        <f t="shared" si="20"/>
        <v>0.99997875998384078</v>
      </c>
      <c r="J1569" s="1085" t="str">
        <f t="shared" si="19"/>
        <v>C</v>
      </c>
      <c r="K1569" s="1036"/>
      <c r="L1569" s="1036"/>
      <c r="M1569" s="1036"/>
      <c r="N1569" s="1036"/>
      <c r="O1569" s="1036"/>
      <c r="P1569" s="1036"/>
      <c r="Q1569" s="1036"/>
      <c r="R1569" s="1036"/>
      <c r="S1569" s="1036"/>
      <c r="T1569" s="1036"/>
      <c r="U1569" s="1036"/>
      <c r="V1569" s="1036"/>
      <c r="W1569" s="1036"/>
      <c r="X1569" s="1036"/>
      <c r="Y1569" s="1036"/>
      <c r="Z1569" s="1036"/>
    </row>
    <row r="1570" spans="1:26" ht="25.5">
      <c r="A1570" s="1079" t="s">
        <v>15374</v>
      </c>
      <c r="B1570" s="1080" t="s">
        <v>14472</v>
      </c>
      <c r="C1570" s="1080" t="s">
        <v>15375</v>
      </c>
      <c r="D1570" s="1081" t="s">
        <v>6</v>
      </c>
      <c r="E1570" s="1082">
        <v>1</v>
      </c>
      <c r="F1570" s="1083">
        <v>14.97</v>
      </c>
      <c r="G1570" s="1083">
        <v>14.97</v>
      </c>
      <c r="H1570" s="1084">
        <f t="shared" si="18"/>
        <v>1.0167659309141008E-6</v>
      </c>
      <c r="I1570" s="1085">
        <f t="shared" si="20"/>
        <v>0.99997977674977168</v>
      </c>
      <c r="J1570" s="1085" t="str">
        <f t="shared" si="19"/>
        <v>C</v>
      </c>
      <c r="K1570" s="1036"/>
      <c r="L1570" s="1036"/>
      <c r="M1570" s="1036"/>
      <c r="N1570" s="1036"/>
      <c r="O1570" s="1036"/>
      <c r="P1570" s="1036"/>
      <c r="Q1570" s="1036"/>
      <c r="R1570" s="1036"/>
      <c r="S1570" s="1036"/>
      <c r="T1570" s="1036"/>
      <c r="U1570" s="1036"/>
      <c r="V1570" s="1036"/>
      <c r="W1570" s="1036"/>
      <c r="X1570" s="1036"/>
      <c r="Y1570" s="1036"/>
      <c r="Z1570" s="1036"/>
    </row>
    <row r="1571" spans="1:26" ht="25.5">
      <c r="A1571" s="1079" t="s">
        <v>15374</v>
      </c>
      <c r="B1571" s="1080" t="s">
        <v>14472</v>
      </c>
      <c r="C1571" s="1080" t="s">
        <v>15375</v>
      </c>
      <c r="D1571" s="1081" t="s">
        <v>6</v>
      </c>
      <c r="E1571" s="1082">
        <v>1</v>
      </c>
      <c r="F1571" s="1083">
        <v>14.97</v>
      </c>
      <c r="G1571" s="1083">
        <v>14.97</v>
      </c>
      <c r="H1571" s="1084">
        <f t="shared" si="18"/>
        <v>1.0167659309141008E-6</v>
      </c>
      <c r="I1571" s="1085">
        <f t="shared" si="20"/>
        <v>0.99998079351570257</v>
      </c>
      <c r="J1571" s="1085" t="str">
        <f t="shared" si="19"/>
        <v>C</v>
      </c>
      <c r="K1571" s="1036"/>
      <c r="L1571" s="1036"/>
      <c r="M1571" s="1036"/>
      <c r="N1571" s="1036"/>
      <c r="O1571" s="1036"/>
      <c r="P1571" s="1036"/>
      <c r="Q1571" s="1036"/>
      <c r="R1571" s="1036"/>
      <c r="S1571" s="1036"/>
      <c r="T1571" s="1036"/>
      <c r="U1571" s="1036"/>
      <c r="V1571" s="1036"/>
      <c r="W1571" s="1036"/>
      <c r="X1571" s="1036"/>
      <c r="Y1571" s="1036"/>
      <c r="Z1571" s="1036"/>
    </row>
    <row r="1572" spans="1:26" ht="38.25">
      <c r="A1572" s="1079">
        <v>93653</v>
      </c>
      <c r="B1572" s="1080" t="s">
        <v>14476</v>
      </c>
      <c r="C1572" s="1080" t="s">
        <v>7954</v>
      </c>
      <c r="D1572" s="1081" t="s">
        <v>6</v>
      </c>
      <c r="E1572" s="1082">
        <v>1</v>
      </c>
      <c r="F1572" s="1083">
        <v>14.93</v>
      </c>
      <c r="G1572" s="1083">
        <v>14.93</v>
      </c>
      <c r="H1572" s="1084">
        <f t="shared" si="18"/>
        <v>1.0140491214794604E-6</v>
      </c>
      <c r="I1572" s="1085">
        <f t="shared" si="20"/>
        <v>0.99998180756482402</v>
      </c>
      <c r="J1572" s="1085" t="str">
        <f t="shared" si="19"/>
        <v>C</v>
      </c>
      <c r="K1572" s="1036"/>
      <c r="L1572" s="1036"/>
      <c r="M1572" s="1036"/>
      <c r="N1572" s="1036"/>
      <c r="O1572" s="1036"/>
      <c r="P1572" s="1036"/>
      <c r="Q1572" s="1036"/>
      <c r="R1572" s="1036"/>
      <c r="S1572" s="1036"/>
      <c r="T1572" s="1036"/>
      <c r="U1572" s="1036"/>
      <c r="V1572" s="1036"/>
      <c r="W1572" s="1036"/>
      <c r="X1572" s="1036"/>
      <c r="Y1572" s="1036"/>
      <c r="Z1572" s="1036"/>
    </row>
    <row r="1573" spans="1:26" ht="38.25">
      <c r="A1573" s="1079">
        <v>93653</v>
      </c>
      <c r="B1573" s="1080" t="s">
        <v>14476</v>
      </c>
      <c r="C1573" s="1080" t="s">
        <v>7954</v>
      </c>
      <c r="D1573" s="1081" t="s">
        <v>6</v>
      </c>
      <c r="E1573" s="1082">
        <v>1</v>
      </c>
      <c r="F1573" s="1083">
        <v>14.93</v>
      </c>
      <c r="G1573" s="1083">
        <v>14.93</v>
      </c>
      <c r="H1573" s="1084">
        <f t="shared" si="18"/>
        <v>1.0140491214794604E-6</v>
      </c>
      <c r="I1573" s="1085">
        <f t="shared" si="20"/>
        <v>0.99998282161394547</v>
      </c>
      <c r="J1573" s="1085" t="str">
        <f t="shared" si="19"/>
        <v>C</v>
      </c>
      <c r="K1573" s="1036"/>
      <c r="L1573" s="1036"/>
      <c r="M1573" s="1036"/>
      <c r="N1573" s="1036"/>
      <c r="O1573" s="1036"/>
      <c r="P1573" s="1036"/>
      <c r="Q1573" s="1036"/>
      <c r="R1573" s="1036"/>
      <c r="S1573" s="1036"/>
      <c r="T1573" s="1036"/>
      <c r="U1573" s="1036"/>
      <c r="V1573" s="1036"/>
      <c r="W1573" s="1036"/>
      <c r="X1573" s="1036"/>
      <c r="Y1573" s="1036"/>
      <c r="Z1573" s="1036"/>
    </row>
    <row r="1574" spans="1:26" ht="38.25">
      <c r="A1574" s="1079">
        <v>91941</v>
      </c>
      <c r="B1574" s="1080" t="s">
        <v>14476</v>
      </c>
      <c r="C1574" s="1080" t="s">
        <v>7887</v>
      </c>
      <c r="D1574" s="1081" t="s">
        <v>6</v>
      </c>
      <c r="E1574" s="1082">
        <v>1</v>
      </c>
      <c r="F1574" s="1083">
        <v>14.2</v>
      </c>
      <c r="G1574" s="1083">
        <v>14.2</v>
      </c>
      <c r="H1574" s="1084">
        <f t="shared" si="18"/>
        <v>9.6446734929727646E-7</v>
      </c>
      <c r="I1574" s="1085">
        <f t="shared" si="20"/>
        <v>0.99998378608129479</v>
      </c>
      <c r="J1574" s="1085" t="str">
        <f t="shared" si="19"/>
        <v>C</v>
      </c>
      <c r="K1574" s="1036"/>
      <c r="L1574" s="1036"/>
      <c r="M1574" s="1036"/>
      <c r="N1574" s="1036"/>
      <c r="O1574" s="1036"/>
      <c r="P1574" s="1036"/>
      <c r="Q1574" s="1036"/>
      <c r="R1574" s="1036"/>
      <c r="S1574" s="1036"/>
      <c r="T1574" s="1036"/>
      <c r="U1574" s="1036"/>
      <c r="V1574" s="1036"/>
      <c r="W1574" s="1036"/>
      <c r="X1574" s="1036"/>
      <c r="Y1574" s="1036"/>
      <c r="Z1574" s="1036"/>
    </row>
    <row r="1575" spans="1:26" ht="38.25">
      <c r="A1575" s="1079">
        <v>94663</v>
      </c>
      <c r="B1575" s="1080" t="s">
        <v>14476</v>
      </c>
      <c r="C1575" s="1080" t="s">
        <v>9359</v>
      </c>
      <c r="D1575" s="1081" t="s">
        <v>6</v>
      </c>
      <c r="E1575" s="1082">
        <v>1</v>
      </c>
      <c r="F1575" s="1083">
        <v>14.11</v>
      </c>
      <c r="G1575" s="1083">
        <v>14.11</v>
      </c>
      <c r="H1575" s="1084">
        <f t="shared" si="18"/>
        <v>9.5835452806933602E-7</v>
      </c>
      <c r="I1575" s="1085">
        <f t="shared" si="20"/>
        <v>0.99998474443582286</v>
      </c>
      <c r="J1575" s="1085" t="str">
        <f t="shared" si="19"/>
        <v>C</v>
      </c>
      <c r="K1575" s="1036"/>
      <c r="L1575" s="1036"/>
      <c r="M1575" s="1036"/>
      <c r="N1575" s="1036"/>
      <c r="O1575" s="1036"/>
      <c r="P1575" s="1036"/>
      <c r="Q1575" s="1036"/>
      <c r="R1575" s="1036"/>
      <c r="S1575" s="1036"/>
      <c r="T1575" s="1036"/>
      <c r="U1575" s="1036"/>
      <c r="V1575" s="1036"/>
      <c r="W1575" s="1036"/>
      <c r="X1575" s="1036"/>
      <c r="Y1575" s="1036"/>
      <c r="Z1575" s="1036"/>
    </row>
    <row r="1576" spans="1:26" ht="63.75">
      <c r="A1576" s="1079">
        <v>100978</v>
      </c>
      <c r="B1576" s="1080" t="s">
        <v>14476</v>
      </c>
      <c r="C1576" s="1080" t="s">
        <v>11981</v>
      </c>
      <c r="D1576" s="1081" t="s">
        <v>152</v>
      </c>
      <c r="E1576" s="1082">
        <v>1.44</v>
      </c>
      <c r="F1576" s="1083">
        <v>8.66</v>
      </c>
      <c r="G1576" s="1083">
        <v>12.48</v>
      </c>
      <c r="H1576" s="1084">
        <f t="shared" si="18"/>
        <v>8.4764454360774736E-7</v>
      </c>
      <c r="I1576" s="1085">
        <f t="shared" si="20"/>
        <v>0.99998559208036641</v>
      </c>
      <c r="J1576" s="1085" t="str">
        <f t="shared" si="19"/>
        <v>C</v>
      </c>
      <c r="K1576" s="1036"/>
      <c r="L1576" s="1036"/>
      <c r="M1576" s="1036"/>
      <c r="N1576" s="1036"/>
      <c r="O1576" s="1036"/>
      <c r="P1576" s="1036"/>
      <c r="Q1576" s="1036"/>
      <c r="R1576" s="1036"/>
      <c r="S1576" s="1036"/>
      <c r="T1576" s="1036"/>
      <c r="U1576" s="1036"/>
      <c r="V1576" s="1036"/>
      <c r="W1576" s="1036"/>
      <c r="X1576" s="1036"/>
      <c r="Y1576" s="1036"/>
      <c r="Z1576" s="1036"/>
    </row>
    <row r="1577" spans="1:26" ht="38.25">
      <c r="A1577" s="1079">
        <v>89363</v>
      </c>
      <c r="B1577" s="1080" t="s">
        <v>14476</v>
      </c>
      <c r="C1577" s="1080" t="s">
        <v>8670</v>
      </c>
      <c r="D1577" s="1081" t="s">
        <v>6</v>
      </c>
      <c r="E1577" s="1082">
        <v>1</v>
      </c>
      <c r="F1577" s="1083">
        <v>12.07</v>
      </c>
      <c r="G1577" s="1083">
        <v>12.07</v>
      </c>
      <c r="H1577" s="1084">
        <f t="shared" si="18"/>
        <v>8.1979724690268506E-7</v>
      </c>
      <c r="I1577" s="1085">
        <f t="shared" si="20"/>
        <v>0.99998641187761328</v>
      </c>
      <c r="J1577" s="1085" t="str">
        <f t="shared" si="19"/>
        <v>C</v>
      </c>
      <c r="K1577" s="1036"/>
      <c r="L1577" s="1036"/>
      <c r="M1577" s="1036"/>
      <c r="N1577" s="1036"/>
      <c r="O1577" s="1036"/>
      <c r="P1577" s="1036"/>
      <c r="Q1577" s="1036"/>
      <c r="R1577" s="1036"/>
      <c r="S1577" s="1036"/>
      <c r="T1577" s="1036"/>
      <c r="U1577" s="1036"/>
      <c r="V1577" s="1036"/>
      <c r="W1577" s="1036"/>
      <c r="X1577" s="1036"/>
      <c r="Y1577" s="1036"/>
      <c r="Z1577" s="1036"/>
    </row>
    <row r="1578" spans="1:26" ht="38.25">
      <c r="A1578" s="1079">
        <v>89740</v>
      </c>
      <c r="B1578" s="1080" t="s">
        <v>14476</v>
      </c>
      <c r="C1578" s="1080" t="s">
        <v>16033</v>
      </c>
      <c r="D1578" s="1081" t="s">
        <v>6</v>
      </c>
      <c r="E1578" s="1082">
        <v>1</v>
      </c>
      <c r="F1578" s="1083">
        <v>11.85</v>
      </c>
      <c r="G1578" s="1083">
        <v>11.85</v>
      </c>
      <c r="H1578" s="1084">
        <f t="shared" si="18"/>
        <v>8.0485479501216386E-7</v>
      </c>
      <c r="I1578" s="1085">
        <f t="shared" si="20"/>
        <v>0.99998721673240831</v>
      </c>
      <c r="J1578" s="1085" t="str">
        <f t="shared" si="19"/>
        <v>C</v>
      </c>
      <c r="K1578" s="1036"/>
      <c r="L1578" s="1036"/>
      <c r="M1578" s="1036"/>
      <c r="N1578" s="1036"/>
      <c r="O1578" s="1036"/>
      <c r="P1578" s="1036"/>
      <c r="Q1578" s="1036"/>
      <c r="R1578" s="1036"/>
      <c r="S1578" s="1036"/>
      <c r="T1578" s="1036"/>
      <c r="U1578" s="1036"/>
      <c r="V1578" s="1036"/>
      <c r="W1578" s="1036"/>
      <c r="X1578" s="1036"/>
      <c r="Y1578" s="1036"/>
      <c r="Z1578" s="1036"/>
    </row>
    <row r="1579" spans="1:26" ht="63.75">
      <c r="A1579" s="1079">
        <v>100978</v>
      </c>
      <c r="B1579" s="1080" t="s">
        <v>14476</v>
      </c>
      <c r="C1579" s="1080" t="s">
        <v>11981</v>
      </c>
      <c r="D1579" s="1081" t="s">
        <v>152</v>
      </c>
      <c r="E1579" s="1082">
        <v>1.36</v>
      </c>
      <c r="F1579" s="1083">
        <v>8.66</v>
      </c>
      <c r="G1579" s="1083">
        <v>11.78</v>
      </c>
      <c r="H1579" s="1084">
        <f t="shared" si="18"/>
        <v>8.0010037850154342E-7</v>
      </c>
      <c r="I1579" s="1085">
        <f t="shared" si="20"/>
        <v>0.99998801683278682</v>
      </c>
      <c r="J1579" s="1085" t="str">
        <f t="shared" si="19"/>
        <v>C</v>
      </c>
      <c r="K1579" s="1036"/>
      <c r="L1579" s="1036"/>
      <c r="M1579" s="1036"/>
      <c r="N1579" s="1036"/>
      <c r="O1579" s="1036"/>
      <c r="P1579" s="1036"/>
      <c r="Q1579" s="1036"/>
      <c r="R1579" s="1036"/>
      <c r="S1579" s="1036"/>
      <c r="T1579" s="1036"/>
      <c r="U1579" s="1036"/>
      <c r="V1579" s="1036"/>
      <c r="W1579" s="1036"/>
      <c r="X1579" s="1036"/>
      <c r="Y1579" s="1036"/>
      <c r="Z1579" s="1036"/>
    </row>
    <row r="1580" spans="1:26" ht="38.25">
      <c r="A1580" s="1079">
        <v>105234</v>
      </c>
      <c r="B1580" s="1080" t="s">
        <v>14476</v>
      </c>
      <c r="C1580" s="1080" t="s">
        <v>10006</v>
      </c>
      <c r="D1580" s="1081" t="s">
        <v>6</v>
      </c>
      <c r="E1580" s="1082">
        <v>1</v>
      </c>
      <c r="F1580" s="1083">
        <v>11.15</v>
      </c>
      <c r="G1580" s="1083">
        <v>11.15</v>
      </c>
      <c r="H1580" s="1084">
        <f t="shared" si="18"/>
        <v>7.5731062990596013E-7</v>
      </c>
      <c r="I1580" s="1085">
        <f t="shared" si="20"/>
        <v>0.99998877414341669</v>
      </c>
      <c r="J1580" s="1085" t="str">
        <f t="shared" si="19"/>
        <v>C</v>
      </c>
      <c r="K1580" s="1036"/>
      <c r="L1580" s="1036"/>
      <c r="M1580" s="1036"/>
      <c r="N1580" s="1036"/>
      <c r="O1580" s="1036"/>
      <c r="P1580" s="1036"/>
      <c r="Q1580" s="1036"/>
      <c r="R1580" s="1036"/>
      <c r="S1580" s="1036"/>
      <c r="T1580" s="1036"/>
      <c r="U1580" s="1036"/>
      <c r="V1580" s="1036"/>
      <c r="W1580" s="1036"/>
      <c r="X1580" s="1036"/>
      <c r="Y1580" s="1036"/>
      <c r="Z1580" s="1036"/>
    </row>
    <row r="1581" spans="1:26" ht="38.25">
      <c r="A1581" s="1079">
        <v>105234</v>
      </c>
      <c r="B1581" s="1080" t="s">
        <v>14476</v>
      </c>
      <c r="C1581" s="1080" t="s">
        <v>10006</v>
      </c>
      <c r="D1581" s="1081" t="s">
        <v>6</v>
      </c>
      <c r="E1581" s="1082">
        <v>1</v>
      </c>
      <c r="F1581" s="1083">
        <v>11.15</v>
      </c>
      <c r="G1581" s="1083">
        <v>11.15</v>
      </c>
      <c r="H1581" s="1084">
        <f t="shared" si="18"/>
        <v>7.5731062990596013E-7</v>
      </c>
      <c r="I1581" s="1085">
        <f t="shared" si="20"/>
        <v>0.99998953145404657</v>
      </c>
      <c r="J1581" s="1085" t="str">
        <f t="shared" si="19"/>
        <v>C</v>
      </c>
      <c r="K1581" s="1036"/>
      <c r="L1581" s="1036"/>
      <c r="M1581" s="1036"/>
      <c r="N1581" s="1036"/>
      <c r="O1581" s="1036"/>
      <c r="P1581" s="1036"/>
      <c r="Q1581" s="1036"/>
      <c r="R1581" s="1036"/>
      <c r="S1581" s="1036"/>
      <c r="T1581" s="1036"/>
      <c r="U1581" s="1036"/>
      <c r="V1581" s="1036"/>
      <c r="W1581" s="1036"/>
      <c r="X1581" s="1036"/>
      <c r="Y1581" s="1036"/>
      <c r="Z1581" s="1036"/>
    </row>
    <row r="1582" spans="1:26" ht="38.25">
      <c r="A1582" s="1079">
        <v>105234</v>
      </c>
      <c r="B1582" s="1080" t="s">
        <v>14476</v>
      </c>
      <c r="C1582" s="1080" t="s">
        <v>10006</v>
      </c>
      <c r="D1582" s="1081" t="s">
        <v>6</v>
      </c>
      <c r="E1582" s="1082">
        <v>1</v>
      </c>
      <c r="F1582" s="1083">
        <v>11.15</v>
      </c>
      <c r="G1582" s="1083">
        <v>11.15</v>
      </c>
      <c r="H1582" s="1084">
        <f t="shared" si="18"/>
        <v>7.5731062990596013E-7</v>
      </c>
      <c r="I1582" s="1085">
        <f t="shared" si="20"/>
        <v>0.99999028876467644</v>
      </c>
      <c r="J1582" s="1085" t="str">
        <f t="shared" si="19"/>
        <v>C</v>
      </c>
      <c r="K1582" s="1036"/>
      <c r="L1582" s="1036"/>
      <c r="M1582" s="1036"/>
      <c r="N1582" s="1036"/>
      <c r="O1582" s="1036"/>
      <c r="P1582" s="1036"/>
      <c r="Q1582" s="1036"/>
      <c r="R1582" s="1036"/>
      <c r="S1582" s="1036"/>
      <c r="T1582" s="1036"/>
      <c r="U1582" s="1036"/>
      <c r="V1582" s="1036"/>
      <c r="W1582" s="1036"/>
      <c r="X1582" s="1036"/>
      <c r="Y1582" s="1036"/>
      <c r="Z1582" s="1036"/>
    </row>
    <row r="1583" spans="1:26" ht="38.25">
      <c r="A1583" s="1079">
        <v>105234</v>
      </c>
      <c r="B1583" s="1080" t="s">
        <v>14476</v>
      </c>
      <c r="C1583" s="1080" t="s">
        <v>10006</v>
      </c>
      <c r="D1583" s="1081" t="s">
        <v>6</v>
      </c>
      <c r="E1583" s="1082">
        <v>1</v>
      </c>
      <c r="F1583" s="1083">
        <v>11.15</v>
      </c>
      <c r="G1583" s="1083">
        <v>11.15</v>
      </c>
      <c r="H1583" s="1084">
        <f t="shared" si="18"/>
        <v>7.5731062990596013E-7</v>
      </c>
      <c r="I1583" s="1085">
        <f t="shared" si="20"/>
        <v>0.99999104607530631</v>
      </c>
      <c r="J1583" s="1085" t="str">
        <f t="shared" si="19"/>
        <v>C</v>
      </c>
      <c r="K1583" s="1036"/>
      <c r="L1583" s="1036"/>
      <c r="M1583" s="1036"/>
      <c r="N1583" s="1036"/>
      <c r="O1583" s="1036"/>
      <c r="P1583" s="1036"/>
      <c r="Q1583" s="1036"/>
      <c r="R1583" s="1036"/>
      <c r="S1583" s="1036"/>
      <c r="T1583" s="1036"/>
      <c r="U1583" s="1036"/>
      <c r="V1583" s="1036"/>
      <c r="W1583" s="1036"/>
      <c r="X1583" s="1036"/>
      <c r="Y1583" s="1036"/>
      <c r="Z1583" s="1036"/>
    </row>
    <row r="1584" spans="1:26" ht="38.25">
      <c r="A1584" s="1079">
        <v>105234</v>
      </c>
      <c r="B1584" s="1080" t="s">
        <v>14476</v>
      </c>
      <c r="C1584" s="1080" t="s">
        <v>10006</v>
      </c>
      <c r="D1584" s="1081" t="s">
        <v>6</v>
      </c>
      <c r="E1584" s="1082">
        <v>1</v>
      </c>
      <c r="F1584" s="1083">
        <v>11.15</v>
      </c>
      <c r="G1584" s="1083">
        <v>11.15</v>
      </c>
      <c r="H1584" s="1084">
        <f t="shared" si="18"/>
        <v>7.5731062990596013E-7</v>
      </c>
      <c r="I1584" s="1085">
        <f t="shared" si="20"/>
        <v>0.99999180338593618</v>
      </c>
      <c r="J1584" s="1085" t="str">
        <f t="shared" si="19"/>
        <v>C</v>
      </c>
      <c r="K1584" s="1036"/>
      <c r="L1584" s="1036"/>
      <c r="M1584" s="1036"/>
      <c r="N1584" s="1036"/>
      <c r="O1584" s="1036"/>
      <c r="P1584" s="1036"/>
      <c r="Q1584" s="1036"/>
      <c r="R1584" s="1036"/>
      <c r="S1584" s="1036"/>
      <c r="T1584" s="1036"/>
      <c r="U1584" s="1036"/>
      <c r="V1584" s="1036"/>
      <c r="W1584" s="1036"/>
      <c r="X1584" s="1036"/>
      <c r="Y1584" s="1036"/>
      <c r="Z1584" s="1036"/>
    </row>
    <row r="1585" spans="1:26" ht="38.25">
      <c r="A1585" s="1079">
        <v>105234</v>
      </c>
      <c r="B1585" s="1080" t="s">
        <v>14476</v>
      </c>
      <c r="C1585" s="1080" t="s">
        <v>10006</v>
      </c>
      <c r="D1585" s="1081" t="s">
        <v>6</v>
      </c>
      <c r="E1585" s="1082">
        <v>1</v>
      </c>
      <c r="F1585" s="1083">
        <v>11.15</v>
      </c>
      <c r="G1585" s="1083">
        <v>11.15</v>
      </c>
      <c r="H1585" s="1084">
        <f t="shared" si="18"/>
        <v>7.5731062990596013E-7</v>
      </c>
      <c r="I1585" s="1085">
        <f t="shared" si="20"/>
        <v>0.99999256069656606</v>
      </c>
      <c r="J1585" s="1085" t="str">
        <f t="shared" si="19"/>
        <v>C</v>
      </c>
      <c r="K1585" s="1036"/>
      <c r="L1585" s="1036"/>
      <c r="M1585" s="1036"/>
      <c r="N1585" s="1036"/>
      <c r="O1585" s="1036"/>
      <c r="P1585" s="1036"/>
      <c r="Q1585" s="1036"/>
      <c r="R1585" s="1036"/>
      <c r="S1585" s="1036"/>
      <c r="T1585" s="1036"/>
      <c r="U1585" s="1036"/>
      <c r="V1585" s="1036"/>
      <c r="W1585" s="1036"/>
      <c r="X1585" s="1036"/>
      <c r="Y1585" s="1036"/>
      <c r="Z1585" s="1036"/>
    </row>
    <row r="1586" spans="1:26" ht="38.25">
      <c r="A1586" s="1079">
        <v>105234</v>
      </c>
      <c r="B1586" s="1080" t="s">
        <v>14476</v>
      </c>
      <c r="C1586" s="1080" t="s">
        <v>10006</v>
      </c>
      <c r="D1586" s="1081" t="s">
        <v>6</v>
      </c>
      <c r="E1586" s="1082">
        <v>1</v>
      </c>
      <c r="F1586" s="1083">
        <v>11.15</v>
      </c>
      <c r="G1586" s="1083">
        <v>11.15</v>
      </c>
      <c r="H1586" s="1084">
        <f t="shared" si="18"/>
        <v>7.5731062990596013E-7</v>
      </c>
      <c r="I1586" s="1085">
        <f t="shared" si="20"/>
        <v>0.99999331800719593</v>
      </c>
      <c r="J1586" s="1085" t="str">
        <f t="shared" si="19"/>
        <v>C</v>
      </c>
      <c r="K1586" s="1036"/>
      <c r="L1586" s="1036"/>
      <c r="M1586" s="1036"/>
      <c r="N1586" s="1036"/>
      <c r="O1586" s="1036"/>
      <c r="P1586" s="1036"/>
      <c r="Q1586" s="1036"/>
      <c r="R1586" s="1036"/>
      <c r="S1586" s="1036"/>
      <c r="T1586" s="1036"/>
      <c r="U1586" s="1036"/>
      <c r="V1586" s="1036"/>
      <c r="W1586" s="1036"/>
      <c r="X1586" s="1036"/>
      <c r="Y1586" s="1036"/>
      <c r="Z1586" s="1036"/>
    </row>
    <row r="1587" spans="1:26" ht="38.25">
      <c r="A1587" s="1079">
        <v>100938</v>
      </c>
      <c r="B1587" s="1080" t="s">
        <v>14476</v>
      </c>
      <c r="C1587" s="1080" t="s">
        <v>11938</v>
      </c>
      <c r="D1587" s="1081" t="s">
        <v>11696</v>
      </c>
      <c r="E1587" s="1082">
        <v>1.18</v>
      </c>
      <c r="F1587" s="1083">
        <v>9.4700000000000006</v>
      </c>
      <c r="G1587" s="1083">
        <v>11.13</v>
      </c>
      <c r="H1587" s="1084">
        <f t="shared" si="18"/>
        <v>7.5595222518864002E-7</v>
      </c>
      <c r="I1587" s="1085">
        <f t="shared" si="20"/>
        <v>0.99999407395942108</v>
      </c>
      <c r="J1587" s="1085" t="str">
        <f t="shared" si="19"/>
        <v>C</v>
      </c>
      <c r="K1587" s="1036"/>
      <c r="L1587" s="1036"/>
      <c r="M1587" s="1036"/>
      <c r="N1587" s="1036"/>
      <c r="O1587" s="1036"/>
      <c r="P1587" s="1036"/>
      <c r="Q1587" s="1036"/>
      <c r="R1587" s="1036"/>
      <c r="S1587" s="1036"/>
      <c r="T1587" s="1036"/>
      <c r="U1587" s="1036"/>
      <c r="V1587" s="1036"/>
      <c r="W1587" s="1036"/>
      <c r="X1587" s="1036"/>
      <c r="Y1587" s="1036"/>
      <c r="Z1587" s="1036"/>
    </row>
    <row r="1588" spans="1:26" ht="25.5">
      <c r="A1588" s="1079">
        <v>101616</v>
      </c>
      <c r="B1588" s="1080" t="s">
        <v>14476</v>
      </c>
      <c r="C1588" s="1080" t="s">
        <v>10747</v>
      </c>
      <c r="D1588" s="1081" t="s">
        <v>409</v>
      </c>
      <c r="E1588" s="1082">
        <v>1.38</v>
      </c>
      <c r="F1588" s="1083">
        <v>7.37</v>
      </c>
      <c r="G1588" s="1083">
        <v>10.17</v>
      </c>
      <c r="H1588" s="1084">
        <f t="shared" si="18"/>
        <v>6.9074879875727487E-7</v>
      </c>
      <c r="I1588" s="1085">
        <f t="shared" si="20"/>
        <v>0.9999947647082198</v>
      </c>
      <c r="J1588" s="1085" t="str">
        <f t="shared" si="19"/>
        <v>C</v>
      </c>
      <c r="K1588" s="1036"/>
      <c r="L1588" s="1036"/>
      <c r="M1588" s="1036"/>
      <c r="N1588" s="1036"/>
      <c r="O1588" s="1036"/>
      <c r="P1588" s="1036"/>
      <c r="Q1588" s="1036"/>
      <c r="R1588" s="1036"/>
      <c r="S1588" s="1036"/>
      <c r="T1588" s="1036"/>
      <c r="U1588" s="1036"/>
      <c r="V1588" s="1036"/>
      <c r="W1588" s="1036"/>
      <c r="X1588" s="1036"/>
      <c r="Y1588" s="1036"/>
      <c r="Z1588" s="1036"/>
    </row>
    <row r="1589" spans="1:26" ht="38.25">
      <c r="A1589" s="1079">
        <v>100938</v>
      </c>
      <c r="B1589" s="1080" t="s">
        <v>14476</v>
      </c>
      <c r="C1589" s="1080" t="s">
        <v>11938</v>
      </c>
      <c r="D1589" s="1081" t="s">
        <v>11696</v>
      </c>
      <c r="E1589" s="1082">
        <v>1.06</v>
      </c>
      <c r="F1589" s="1083">
        <v>9.4700000000000006</v>
      </c>
      <c r="G1589" s="1083">
        <v>10.07</v>
      </c>
      <c r="H1589" s="1084">
        <f t="shared" si="18"/>
        <v>6.8395677517067433E-7</v>
      </c>
      <c r="I1589" s="1085">
        <f t="shared" si="20"/>
        <v>0.99999544866499501</v>
      </c>
      <c r="J1589" s="1085" t="str">
        <f t="shared" si="19"/>
        <v>C</v>
      </c>
      <c r="K1589" s="1036"/>
      <c r="L1589" s="1036"/>
      <c r="M1589" s="1036"/>
      <c r="N1589" s="1036"/>
      <c r="O1589" s="1036"/>
      <c r="P1589" s="1036"/>
      <c r="Q1589" s="1036"/>
      <c r="R1589" s="1036"/>
      <c r="S1589" s="1036"/>
      <c r="T1589" s="1036"/>
      <c r="U1589" s="1036"/>
      <c r="V1589" s="1036"/>
      <c r="W1589" s="1036"/>
      <c r="X1589" s="1036"/>
      <c r="Y1589" s="1036"/>
      <c r="Z1589" s="1036"/>
    </row>
    <row r="1590" spans="1:26" ht="25.5">
      <c r="A1590" s="1079">
        <v>93382</v>
      </c>
      <c r="B1590" s="1080" t="s">
        <v>14476</v>
      </c>
      <c r="C1590" s="1080" t="s">
        <v>10726</v>
      </c>
      <c r="D1590" s="1081" t="s">
        <v>152</v>
      </c>
      <c r="E1590" s="1082">
        <v>0.32</v>
      </c>
      <c r="F1590" s="1083">
        <v>29.52</v>
      </c>
      <c r="G1590" s="1083">
        <v>9.41</v>
      </c>
      <c r="H1590" s="1084">
        <f t="shared" si="18"/>
        <v>6.3912941949911071E-7</v>
      </c>
      <c r="I1590" s="1085">
        <f t="shared" si="20"/>
        <v>0.99999608779441451</v>
      </c>
      <c r="J1590" s="1085" t="str">
        <f t="shared" si="19"/>
        <v>C</v>
      </c>
      <c r="K1590" s="1036"/>
      <c r="L1590" s="1036"/>
      <c r="M1590" s="1036"/>
      <c r="N1590" s="1036"/>
      <c r="O1590" s="1036"/>
      <c r="P1590" s="1036"/>
      <c r="Q1590" s="1036"/>
      <c r="R1590" s="1036"/>
      <c r="S1590" s="1036"/>
      <c r="T1590" s="1036"/>
      <c r="U1590" s="1036"/>
      <c r="V1590" s="1036"/>
      <c r="W1590" s="1036"/>
      <c r="X1590" s="1036"/>
      <c r="Y1590" s="1036"/>
      <c r="Z1590" s="1036"/>
    </row>
    <row r="1591" spans="1:26" ht="38.25">
      <c r="A1591" s="1079">
        <v>100938</v>
      </c>
      <c r="B1591" s="1080" t="s">
        <v>14476</v>
      </c>
      <c r="C1591" s="1080" t="s">
        <v>11938</v>
      </c>
      <c r="D1591" s="1081" t="s">
        <v>11696</v>
      </c>
      <c r="E1591" s="1082">
        <v>0.98</v>
      </c>
      <c r="F1591" s="1083">
        <v>9.4700000000000006</v>
      </c>
      <c r="G1591" s="1083">
        <v>9.2799999999999994</v>
      </c>
      <c r="H1591" s="1084">
        <f t="shared" si="18"/>
        <v>6.3029978883652995E-7</v>
      </c>
      <c r="I1591" s="1085">
        <f t="shared" si="20"/>
        <v>0.99999671809420332</v>
      </c>
      <c r="J1591" s="1085" t="str">
        <f t="shared" si="19"/>
        <v>C</v>
      </c>
      <c r="K1591" s="1036"/>
      <c r="L1591" s="1036"/>
      <c r="M1591" s="1036"/>
      <c r="N1591" s="1036"/>
      <c r="O1591" s="1036"/>
      <c r="P1591" s="1036"/>
      <c r="Q1591" s="1036"/>
      <c r="R1591" s="1036"/>
      <c r="S1591" s="1036"/>
      <c r="T1591" s="1036"/>
      <c r="U1591" s="1036"/>
      <c r="V1591" s="1036"/>
      <c r="W1591" s="1036"/>
      <c r="X1591" s="1036"/>
      <c r="Y1591" s="1036"/>
      <c r="Z1591" s="1036"/>
    </row>
    <row r="1592" spans="1:26" ht="51">
      <c r="A1592" s="1079">
        <v>94656</v>
      </c>
      <c r="B1592" s="1080" t="s">
        <v>14476</v>
      </c>
      <c r="C1592" s="1080" t="s">
        <v>16023</v>
      </c>
      <c r="D1592" s="1081" t="s">
        <v>6</v>
      </c>
      <c r="E1592" s="1082">
        <v>2</v>
      </c>
      <c r="F1592" s="1083">
        <v>4.01</v>
      </c>
      <c r="G1592" s="1083">
        <v>8.02</v>
      </c>
      <c r="H1592" s="1084">
        <f t="shared" si="18"/>
        <v>5.4472029164536316E-7</v>
      </c>
      <c r="I1592" s="1085">
        <f t="shared" si="20"/>
        <v>0.99999726281449497</v>
      </c>
      <c r="J1592" s="1085" t="str">
        <f t="shared" si="19"/>
        <v>C</v>
      </c>
      <c r="K1592" s="1036"/>
      <c r="L1592" s="1036"/>
      <c r="M1592" s="1036"/>
      <c r="N1592" s="1036"/>
      <c r="O1592" s="1036"/>
      <c r="P1592" s="1036"/>
      <c r="Q1592" s="1036"/>
      <c r="R1592" s="1036"/>
      <c r="S1592" s="1036"/>
      <c r="T1592" s="1036"/>
      <c r="U1592" s="1036"/>
      <c r="V1592" s="1036"/>
      <c r="W1592" s="1036"/>
      <c r="X1592" s="1036"/>
      <c r="Y1592" s="1036"/>
      <c r="Z1592" s="1036"/>
    </row>
    <row r="1593" spans="1:26" ht="38.25">
      <c r="A1593" s="1079">
        <v>105154</v>
      </c>
      <c r="B1593" s="1080" t="s">
        <v>14476</v>
      </c>
      <c r="C1593" s="1080" t="s">
        <v>9934</v>
      </c>
      <c r="D1593" s="1081" t="s">
        <v>6</v>
      </c>
      <c r="E1593" s="1082">
        <v>1</v>
      </c>
      <c r="F1593" s="1083">
        <v>7.52</v>
      </c>
      <c r="G1593" s="1083">
        <v>7.52</v>
      </c>
      <c r="H1593" s="1084">
        <f t="shared" si="18"/>
        <v>5.1076017371236053E-7</v>
      </c>
      <c r="I1593" s="1085">
        <f t="shared" si="20"/>
        <v>0.99999777357466868</v>
      </c>
      <c r="J1593" s="1085" t="str">
        <f t="shared" si="19"/>
        <v>C</v>
      </c>
      <c r="K1593" s="1036"/>
      <c r="L1593" s="1036"/>
      <c r="M1593" s="1036"/>
      <c r="N1593" s="1036"/>
      <c r="O1593" s="1036"/>
      <c r="P1593" s="1036"/>
      <c r="Q1593" s="1036"/>
      <c r="R1593" s="1036"/>
      <c r="S1593" s="1036"/>
      <c r="T1593" s="1036"/>
      <c r="U1593" s="1036"/>
      <c r="V1593" s="1036"/>
      <c r="W1593" s="1036"/>
      <c r="X1593" s="1036"/>
      <c r="Y1593" s="1036"/>
      <c r="Z1593" s="1036"/>
    </row>
    <row r="1594" spans="1:26" ht="25.5">
      <c r="A1594" s="1079" t="s">
        <v>15305</v>
      </c>
      <c r="B1594" s="1080" t="s">
        <v>14472</v>
      </c>
      <c r="C1594" s="1080" t="s">
        <v>15306</v>
      </c>
      <c r="D1594" s="1081" t="s">
        <v>6</v>
      </c>
      <c r="E1594" s="1082">
        <v>2</v>
      </c>
      <c r="F1594" s="1083">
        <v>2.97</v>
      </c>
      <c r="G1594" s="1083">
        <v>5.94</v>
      </c>
      <c r="H1594" s="1084">
        <f t="shared" si="18"/>
        <v>4.0344620104407204E-7</v>
      </c>
      <c r="I1594" s="1085">
        <f t="shared" si="20"/>
        <v>0.99999817702086968</v>
      </c>
      <c r="J1594" s="1085" t="str">
        <f t="shared" si="19"/>
        <v>C</v>
      </c>
      <c r="K1594" s="1036"/>
      <c r="L1594" s="1036"/>
      <c r="M1594" s="1036"/>
      <c r="N1594" s="1036"/>
      <c r="O1594" s="1036"/>
      <c r="P1594" s="1036"/>
      <c r="Q1594" s="1036"/>
      <c r="R1594" s="1036"/>
      <c r="S1594" s="1036"/>
      <c r="T1594" s="1036"/>
      <c r="U1594" s="1036"/>
      <c r="V1594" s="1036"/>
      <c r="W1594" s="1036"/>
      <c r="X1594" s="1036"/>
      <c r="Y1594" s="1036"/>
      <c r="Z1594" s="1036"/>
    </row>
    <row r="1595" spans="1:26" ht="63.75">
      <c r="A1595" s="1079">
        <v>100978</v>
      </c>
      <c r="B1595" s="1080" t="s">
        <v>14476</v>
      </c>
      <c r="C1595" s="1080" t="s">
        <v>11981</v>
      </c>
      <c r="D1595" s="1081" t="s">
        <v>152</v>
      </c>
      <c r="E1595" s="1082">
        <v>0.59</v>
      </c>
      <c r="F1595" s="1083">
        <v>8.66</v>
      </c>
      <c r="G1595" s="1083">
        <v>5.09</v>
      </c>
      <c r="H1595" s="1084">
        <f t="shared" si="18"/>
        <v>3.4571400055796744E-7</v>
      </c>
      <c r="I1595" s="1085">
        <f t="shared" si="20"/>
        <v>0.99999852273487022</v>
      </c>
      <c r="J1595" s="1085" t="str">
        <f t="shared" si="19"/>
        <v>C</v>
      </c>
      <c r="K1595" s="1036"/>
      <c r="L1595" s="1036"/>
      <c r="M1595" s="1036"/>
      <c r="N1595" s="1036"/>
      <c r="O1595" s="1036"/>
      <c r="P1595" s="1036"/>
      <c r="Q1595" s="1036"/>
      <c r="R1595" s="1036"/>
      <c r="S1595" s="1036"/>
      <c r="T1595" s="1036"/>
      <c r="U1595" s="1036"/>
      <c r="V1595" s="1036"/>
      <c r="W1595" s="1036"/>
      <c r="X1595" s="1036"/>
      <c r="Y1595" s="1036"/>
      <c r="Z1595" s="1036"/>
    </row>
    <row r="1596" spans="1:26" ht="38.25">
      <c r="A1596" s="1079">
        <v>100938</v>
      </c>
      <c r="B1596" s="1080" t="s">
        <v>14476</v>
      </c>
      <c r="C1596" s="1080" t="s">
        <v>11938</v>
      </c>
      <c r="D1596" s="1081" t="s">
        <v>11696</v>
      </c>
      <c r="E1596" s="1082">
        <v>0.5</v>
      </c>
      <c r="F1596" s="1083">
        <v>9.4700000000000006</v>
      </c>
      <c r="G1596" s="1083">
        <v>4.7699999999999996</v>
      </c>
      <c r="H1596" s="1084">
        <f t="shared" si="18"/>
        <v>3.2397952508084569E-7</v>
      </c>
      <c r="I1596" s="1085">
        <f t="shared" si="20"/>
        <v>0.99999884671439532</v>
      </c>
      <c r="J1596" s="1085" t="str">
        <f t="shared" si="19"/>
        <v>C</v>
      </c>
      <c r="K1596" s="1036"/>
      <c r="L1596" s="1036"/>
      <c r="M1596" s="1036"/>
      <c r="N1596" s="1036"/>
      <c r="O1596" s="1036"/>
      <c r="P1596" s="1036"/>
      <c r="Q1596" s="1036"/>
      <c r="R1596" s="1036"/>
      <c r="S1596" s="1036"/>
      <c r="T1596" s="1036"/>
      <c r="U1596" s="1036"/>
      <c r="V1596" s="1036"/>
      <c r="W1596" s="1036"/>
      <c r="X1596" s="1036"/>
      <c r="Y1596" s="1036"/>
      <c r="Z1596" s="1036"/>
    </row>
    <row r="1597" spans="1:26" ht="63.75">
      <c r="A1597" s="1079">
        <v>100978</v>
      </c>
      <c r="B1597" s="1080" t="s">
        <v>14476</v>
      </c>
      <c r="C1597" s="1080" t="s">
        <v>11981</v>
      </c>
      <c r="D1597" s="1081" t="s">
        <v>152</v>
      </c>
      <c r="E1597" s="1082">
        <v>0.53</v>
      </c>
      <c r="F1597" s="1083">
        <v>8.66</v>
      </c>
      <c r="G1597" s="1083">
        <v>4.5999999999999996</v>
      </c>
      <c r="H1597" s="1084">
        <f t="shared" si="18"/>
        <v>3.1243308498362476E-7</v>
      </c>
      <c r="I1597" s="1085">
        <f t="shared" si="20"/>
        <v>0.99999915914748028</v>
      </c>
      <c r="J1597" s="1085" t="str">
        <f t="shared" si="19"/>
        <v>C</v>
      </c>
      <c r="K1597" s="1036"/>
      <c r="L1597" s="1036"/>
      <c r="M1597" s="1036"/>
      <c r="N1597" s="1036"/>
      <c r="O1597" s="1036"/>
      <c r="P1597" s="1036"/>
      <c r="Q1597" s="1036"/>
      <c r="R1597" s="1036"/>
      <c r="S1597" s="1036"/>
      <c r="T1597" s="1036"/>
      <c r="U1597" s="1036"/>
      <c r="V1597" s="1036"/>
      <c r="W1597" s="1036"/>
      <c r="X1597" s="1036"/>
      <c r="Y1597" s="1036"/>
      <c r="Z1597" s="1036"/>
    </row>
    <row r="1598" spans="1:26" ht="63.75">
      <c r="A1598" s="1079">
        <v>100978</v>
      </c>
      <c r="B1598" s="1080" t="s">
        <v>14476</v>
      </c>
      <c r="C1598" s="1080" t="s">
        <v>11981</v>
      </c>
      <c r="D1598" s="1081" t="s">
        <v>152</v>
      </c>
      <c r="E1598" s="1082">
        <v>0.49</v>
      </c>
      <c r="F1598" s="1083">
        <v>8.66</v>
      </c>
      <c r="G1598" s="1083">
        <v>4.24</v>
      </c>
      <c r="H1598" s="1084">
        <f t="shared" si="18"/>
        <v>2.8798180007186289E-7</v>
      </c>
      <c r="I1598" s="1085">
        <f t="shared" si="20"/>
        <v>0.99999944712928035</v>
      </c>
      <c r="J1598" s="1085" t="str">
        <f t="shared" si="19"/>
        <v>C</v>
      </c>
      <c r="K1598" s="1036"/>
      <c r="L1598" s="1036"/>
      <c r="M1598" s="1036"/>
      <c r="N1598" s="1036"/>
      <c r="O1598" s="1036"/>
      <c r="P1598" s="1036"/>
      <c r="Q1598" s="1036"/>
      <c r="R1598" s="1036"/>
      <c r="S1598" s="1036"/>
      <c r="T1598" s="1036"/>
      <c r="U1598" s="1036"/>
      <c r="V1598" s="1036"/>
      <c r="W1598" s="1036"/>
      <c r="X1598" s="1036"/>
      <c r="Y1598" s="1036"/>
      <c r="Z1598" s="1036"/>
    </row>
    <row r="1599" spans="1:26" ht="25.5">
      <c r="A1599" s="1079" t="s">
        <v>15305</v>
      </c>
      <c r="B1599" s="1080" t="s">
        <v>14472</v>
      </c>
      <c r="C1599" s="1080" t="s">
        <v>15306</v>
      </c>
      <c r="D1599" s="1081" t="s">
        <v>6</v>
      </c>
      <c r="E1599" s="1082">
        <v>1</v>
      </c>
      <c r="F1599" s="1083">
        <v>2.97</v>
      </c>
      <c r="G1599" s="1083">
        <v>2.97</v>
      </c>
      <c r="H1599" s="1084">
        <f t="shared" si="18"/>
        <v>2.0172310052203602E-7</v>
      </c>
      <c r="I1599" s="1085">
        <f t="shared" si="20"/>
        <v>0.99999964885238091</v>
      </c>
      <c r="J1599" s="1085" t="str">
        <f t="shared" si="19"/>
        <v>C</v>
      </c>
      <c r="K1599" s="1036"/>
      <c r="L1599" s="1036"/>
      <c r="M1599" s="1036"/>
      <c r="N1599" s="1036"/>
      <c r="O1599" s="1036"/>
      <c r="P1599" s="1036"/>
      <c r="Q1599" s="1036"/>
      <c r="R1599" s="1036"/>
      <c r="S1599" s="1036"/>
      <c r="T1599" s="1036"/>
      <c r="U1599" s="1036"/>
      <c r="V1599" s="1036"/>
      <c r="W1599" s="1036"/>
      <c r="X1599" s="1036"/>
      <c r="Y1599" s="1036"/>
      <c r="Z1599" s="1036"/>
    </row>
    <row r="1600" spans="1:26" ht="63.75">
      <c r="A1600" s="1079">
        <v>100978</v>
      </c>
      <c r="B1600" s="1080" t="s">
        <v>14476</v>
      </c>
      <c r="C1600" s="1080" t="s">
        <v>11981</v>
      </c>
      <c r="D1600" s="1081" t="s">
        <v>152</v>
      </c>
      <c r="E1600" s="1082">
        <v>0.25</v>
      </c>
      <c r="F1600" s="1083">
        <v>8.66</v>
      </c>
      <c r="G1600" s="1083">
        <v>2.1800000000000002</v>
      </c>
      <c r="H1600" s="1084">
        <f t="shared" si="18"/>
        <v>1.4806611418789177E-7</v>
      </c>
      <c r="I1600" s="1085">
        <f t="shared" si="20"/>
        <v>0.99999979691849505</v>
      </c>
      <c r="J1600" s="1085" t="str">
        <f t="shared" si="19"/>
        <v>C</v>
      </c>
      <c r="K1600" s="1036"/>
      <c r="L1600" s="1036"/>
      <c r="M1600" s="1036"/>
      <c r="N1600" s="1036"/>
      <c r="O1600" s="1036"/>
      <c r="P1600" s="1036"/>
      <c r="Q1600" s="1036"/>
      <c r="R1600" s="1036"/>
      <c r="S1600" s="1036"/>
      <c r="T1600" s="1036"/>
      <c r="U1600" s="1036"/>
      <c r="V1600" s="1036"/>
      <c r="W1600" s="1036"/>
      <c r="X1600" s="1036"/>
      <c r="Y1600" s="1036"/>
      <c r="Z1600" s="1036"/>
    </row>
    <row r="1601" spans="1:26" ht="25.5">
      <c r="A1601" s="1079">
        <v>101616</v>
      </c>
      <c r="B1601" s="1080" t="s">
        <v>14476</v>
      </c>
      <c r="C1601" s="1080" t="s">
        <v>10747</v>
      </c>
      <c r="D1601" s="1081" t="s">
        <v>409</v>
      </c>
      <c r="E1601" s="1082">
        <v>0.25</v>
      </c>
      <c r="F1601" s="1083">
        <v>7.37</v>
      </c>
      <c r="G1601" s="1083">
        <v>1.84</v>
      </c>
      <c r="H1601" s="1084">
        <f t="shared" si="18"/>
        <v>1.2497323399344991E-7</v>
      </c>
      <c r="I1601" s="1085">
        <f t="shared" si="20"/>
        <v>0.99999992189172904</v>
      </c>
      <c r="J1601" s="1085" t="str">
        <f t="shared" si="19"/>
        <v>C</v>
      </c>
      <c r="K1601" s="1036"/>
      <c r="L1601" s="1036"/>
      <c r="M1601" s="1036"/>
      <c r="N1601" s="1036"/>
      <c r="O1601" s="1036"/>
      <c r="P1601" s="1036"/>
      <c r="Q1601" s="1036"/>
      <c r="R1601" s="1036"/>
      <c r="S1601" s="1036"/>
      <c r="T1601" s="1036"/>
      <c r="U1601" s="1036"/>
      <c r="V1601" s="1036"/>
      <c r="W1601" s="1036"/>
      <c r="X1601" s="1036"/>
      <c r="Y1601" s="1036"/>
      <c r="Z1601" s="1036"/>
    </row>
    <row r="1602" spans="1:26" ht="38.25">
      <c r="A1602" s="1079">
        <v>100938</v>
      </c>
      <c r="B1602" s="1080" t="s">
        <v>14476</v>
      </c>
      <c r="C1602" s="1080" t="s">
        <v>11938</v>
      </c>
      <c r="D1602" s="1081" t="s">
        <v>11696</v>
      </c>
      <c r="E1602" s="1082">
        <v>0.08</v>
      </c>
      <c r="F1602" s="1083">
        <v>9.4700000000000006</v>
      </c>
      <c r="G1602" s="1083">
        <v>0.79</v>
      </c>
      <c r="H1602" s="1084">
        <f t="shared" si="18"/>
        <v>5.3656986334144265E-8</v>
      </c>
      <c r="I1602" s="1085">
        <f t="shared" si="20"/>
        <v>0.99999997554871534</v>
      </c>
      <c r="J1602" s="1085" t="str">
        <f t="shared" si="19"/>
        <v>C</v>
      </c>
      <c r="K1602" s="1036"/>
      <c r="L1602" s="1036"/>
      <c r="M1602" s="1036"/>
      <c r="N1602" s="1036"/>
      <c r="O1602" s="1036"/>
      <c r="P1602" s="1036"/>
      <c r="Q1602" s="1036"/>
      <c r="R1602" s="1036"/>
      <c r="S1602" s="1036"/>
      <c r="T1602" s="1036"/>
      <c r="U1602" s="1036"/>
      <c r="V1602" s="1036"/>
      <c r="W1602" s="1036"/>
      <c r="X1602" s="1036"/>
      <c r="Y1602" s="1036"/>
      <c r="Z1602" s="1036"/>
    </row>
    <row r="1603" spans="1:26" ht="63.75">
      <c r="A1603" s="1079">
        <v>100978</v>
      </c>
      <c r="B1603" s="1080" t="s">
        <v>14476</v>
      </c>
      <c r="C1603" s="1080" t="s">
        <v>11981</v>
      </c>
      <c r="D1603" s="1081" t="s">
        <v>152</v>
      </c>
      <c r="E1603" s="1082">
        <v>0.04</v>
      </c>
      <c r="F1603" s="1083">
        <v>8.66</v>
      </c>
      <c r="G1603" s="1083">
        <v>0.36</v>
      </c>
      <c r="H1603" s="1084">
        <f t="shared" si="18"/>
        <v>2.4451284911761941E-8</v>
      </c>
      <c r="I1603" s="1085">
        <f t="shared" si="20"/>
        <v>1.0000000000000002</v>
      </c>
      <c r="J1603" s="1085" t="str">
        <f t="shared" si="19"/>
        <v>C</v>
      </c>
      <c r="K1603" s="1036"/>
      <c r="L1603" s="1036"/>
      <c r="M1603" s="1036"/>
      <c r="N1603" s="1036"/>
      <c r="O1603" s="1036"/>
      <c r="P1603" s="1036"/>
      <c r="Q1603" s="1036"/>
      <c r="R1603" s="1036"/>
      <c r="S1603" s="1036"/>
      <c r="T1603" s="1036"/>
      <c r="U1603" s="1036"/>
      <c r="V1603" s="1036"/>
      <c r="W1603" s="1036"/>
      <c r="X1603" s="1036"/>
      <c r="Y1603" s="1036"/>
      <c r="Z1603" s="1036"/>
    </row>
    <row r="1604" spans="1:26" ht="15.75" customHeight="1">
      <c r="A1604" s="3428" t="s">
        <v>16034</v>
      </c>
      <c r="B1604" s="3429"/>
      <c r="C1604" s="3429"/>
      <c r="D1604" s="3429"/>
      <c r="E1604" s="3429"/>
      <c r="F1604" s="3429"/>
      <c r="G1604" s="3429"/>
      <c r="H1604" s="3410"/>
      <c r="I1604" s="3430">
        <f>SUM(G14:G1603)</f>
        <v>14723152.640000001</v>
      </c>
      <c r="J1604" s="3410"/>
      <c r="K1604" s="1036"/>
      <c r="L1604" s="1036"/>
      <c r="M1604" s="1036"/>
      <c r="N1604" s="1036"/>
      <c r="O1604" s="1036"/>
      <c r="P1604" s="1036"/>
      <c r="Q1604" s="1036"/>
      <c r="R1604" s="1036"/>
      <c r="S1604" s="1036"/>
      <c r="T1604" s="1036"/>
      <c r="U1604" s="1036"/>
      <c r="V1604" s="1036"/>
      <c r="W1604" s="1036"/>
      <c r="X1604" s="1036"/>
      <c r="Y1604" s="1036"/>
      <c r="Z1604" s="1036"/>
    </row>
  </sheetData>
  <mergeCells count="12">
    <mergeCell ref="A6:J6"/>
    <mergeCell ref="A7:J7"/>
    <mergeCell ref="A1:J1"/>
    <mergeCell ref="B2:J2"/>
    <mergeCell ref="B3:J3"/>
    <mergeCell ref="B4:J4"/>
    <mergeCell ref="B5:J5"/>
    <mergeCell ref="A8:H8"/>
    <mergeCell ref="I8:J8"/>
    <mergeCell ref="A13:J13"/>
    <mergeCell ref="A1604:H1604"/>
    <mergeCell ref="I1604:J1604"/>
  </mergeCells>
  <conditionalFormatting sqref="J7:J8 J13:J1604">
    <cfRule type="beginsWith" dxfId="7" priority="1" operator="beginsWith" text="C">
      <formula>LEFT((J7),LEN("C"))=("C")</formula>
    </cfRule>
    <cfRule type="beginsWith" dxfId="6" priority="2" operator="beginsWith" text="A">
      <formula>LEFT((J7),LEN("A"))=("A")</formula>
    </cfRule>
    <cfRule type="beginsWith" dxfId="5" priority="3" operator="beginsWith" text="B">
      <formula>LEFT((J7),LEN("B"))=("B")</formula>
    </cfRule>
  </conditionalFormatting>
  <printOptions horizontalCentered="1"/>
  <pageMargins left="0.19685039370078738" right="0.19685039370078738" top="0.19685039370078738" bottom="0.19685039370078738" header="0" footer="0"/>
  <pageSetup paperSize="9"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outlinePr summaryBelow="0" summaryRight="0"/>
  </sheetPr>
  <dimension ref="A1:F68"/>
  <sheetViews>
    <sheetView workbookViewId="0">
      <selection sqref="A1:B1"/>
    </sheetView>
  </sheetViews>
  <sheetFormatPr defaultColWidth="12.5703125" defaultRowHeight="15" customHeight="1"/>
  <cols>
    <col min="1" max="1" width="42.85546875" customWidth="1"/>
    <col min="2" max="2" width="12.5703125" customWidth="1"/>
    <col min="3" max="3" width="17.28515625" customWidth="1"/>
    <col min="4" max="4" width="12.5703125" customWidth="1"/>
    <col min="5" max="5" width="12.5703125" hidden="1" customWidth="1"/>
    <col min="6" max="6" width="16.85546875" customWidth="1"/>
  </cols>
  <sheetData>
    <row r="1" spans="1:6" ht="47.25" customHeight="1">
      <c r="A1" s="2589" t="s">
        <v>12442</v>
      </c>
      <c r="B1" s="2590"/>
      <c r="C1" s="2591" t="s">
        <v>12443</v>
      </c>
      <c r="D1" s="2590"/>
      <c r="E1" s="2590"/>
      <c r="F1" s="2590"/>
    </row>
    <row r="2" spans="1:6" ht="30.75" customHeight="1">
      <c r="A2" s="11" t="s">
        <v>12444</v>
      </c>
      <c r="B2" s="11" t="s">
        <v>12445</v>
      </c>
      <c r="C2" s="11" t="s">
        <v>12446</v>
      </c>
      <c r="D2" s="11" t="s">
        <v>12447</v>
      </c>
      <c r="E2" s="11" t="s">
        <v>12448</v>
      </c>
      <c r="F2" s="11" t="s">
        <v>12446</v>
      </c>
    </row>
    <row r="3" spans="1:6" ht="24.75" customHeight="1">
      <c r="A3" s="12" t="s">
        <v>12449</v>
      </c>
      <c r="B3" s="2592" t="s">
        <v>12450</v>
      </c>
      <c r="C3" s="2588"/>
      <c r="D3" s="2588"/>
      <c r="E3" s="2588"/>
      <c r="F3" s="2593"/>
    </row>
    <row r="4" spans="1:6" ht="22.5" customHeight="1">
      <c r="A4" s="12" t="s">
        <v>12451</v>
      </c>
      <c r="B4" s="2592" t="s">
        <v>12450</v>
      </c>
      <c r="C4" s="2588"/>
      <c r="D4" s="2588"/>
      <c r="E4" s="2588"/>
      <c r="F4" s="2593"/>
    </row>
    <row r="5" spans="1:6" ht="22.5" customHeight="1">
      <c r="A5" s="13" t="s">
        <v>12452</v>
      </c>
      <c r="B5" s="14"/>
      <c r="C5" s="14"/>
      <c r="D5" s="14"/>
      <c r="E5" s="15"/>
      <c r="F5" s="15"/>
    </row>
    <row r="6" spans="1:6" ht="22.5" customHeight="1">
      <c r="A6" s="16" t="s">
        <v>12453</v>
      </c>
      <c r="B6" s="17" t="s">
        <v>12450</v>
      </c>
      <c r="C6" s="17" t="s">
        <v>12450</v>
      </c>
      <c r="D6" s="17" t="s">
        <v>12450</v>
      </c>
      <c r="E6" s="17" t="s">
        <v>12454</v>
      </c>
      <c r="F6" s="17" t="s">
        <v>12450</v>
      </c>
    </row>
    <row r="7" spans="1:6" ht="22.5" customHeight="1">
      <c r="A7" s="18" t="s">
        <v>12455</v>
      </c>
      <c r="B7" s="17" t="s">
        <v>12450</v>
      </c>
      <c r="C7" s="17" t="s">
        <v>12450</v>
      </c>
      <c r="D7" s="17" t="s">
        <v>12450</v>
      </c>
      <c r="E7" s="17" t="s">
        <v>12454</v>
      </c>
      <c r="F7" s="17" t="s">
        <v>12450</v>
      </c>
    </row>
    <row r="8" spans="1:6" ht="22.5" customHeight="1">
      <c r="A8" s="18" t="s">
        <v>12456</v>
      </c>
      <c r="B8" s="17" t="s">
        <v>12450</v>
      </c>
      <c r="C8" s="17" t="s">
        <v>12450</v>
      </c>
      <c r="D8" s="17" t="s">
        <v>12450</v>
      </c>
      <c r="E8" s="17" t="s">
        <v>12454</v>
      </c>
      <c r="F8" s="17" t="s">
        <v>12450</v>
      </c>
    </row>
    <row r="9" spans="1:6" ht="22.5" customHeight="1">
      <c r="A9" s="18" t="s">
        <v>12457</v>
      </c>
      <c r="B9" s="17" t="s">
        <v>12450</v>
      </c>
      <c r="C9" s="17" t="s">
        <v>12450</v>
      </c>
      <c r="D9" s="17" t="s">
        <v>12450</v>
      </c>
      <c r="E9" s="17" t="s">
        <v>12454</v>
      </c>
      <c r="F9" s="17" t="s">
        <v>12450</v>
      </c>
    </row>
    <row r="10" spans="1:6" ht="22.5" customHeight="1">
      <c r="A10" s="18" t="s">
        <v>12458</v>
      </c>
      <c r="B10" s="17" t="s">
        <v>12450</v>
      </c>
      <c r="C10" s="17" t="s">
        <v>12450</v>
      </c>
      <c r="D10" s="17" t="s">
        <v>12450</v>
      </c>
      <c r="E10" s="17" t="s">
        <v>12454</v>
      </c>
      <c r="F10" s="17" t="s">
        <v>12450</v>
      </c>
    </row>
    <row r="11" spans="1:6" ht="22.5" customHeight="1">
      <c r="A11" s="18" t="s">
        <v>12459</v>
      </c>
      <c r="B11" s="17" t="s">
        <v>12450</v>
      </c>
      <c r="C11" s="17" t="s">
        <v>12450</v>
      </c>
      <c r="D11" s="17" t="s">
        <v>12450</v>
      </c>
      <c r="E11" s="17" t="s">
        <v>12454</v>
      </c>
      <c r="F11" s="17" t="s">
        <v>12450</v>
      </c>
    </row>
    <row r="12" spans="1:6" ht="22.5" customHeight="1">
      <c r="A12" s="18" t="s">
        <v>12460</v>
      </c>
      <c r="B12" s="17" t="s">
        <v>12450</v>
      </c>
      <c r="C12" s="17" t="s">
        <v>12450</v>
      </c>
      <c r="D12" s="17" t="s">
        <v>12450</v>
      </c>
      <c r="E12" s="17" t="s">
        <v>12454</v>
      </c>
      <c r="F12" s="17" t="s">
        <v>12450</v>
      </c>
    </row>
    <row r="13" spans="1:6" ht="22.5" customHeight="1">
      <c r="A13" s="18" t="s">
        <v>12461</v>
      </c>
      <c r="B13" s="17" t="s">
        <v>12450</v>
      </c>
      <c r="C13" s="17" t="s">
        <v>12450</v>
      </c>
      <c r="D13" s="17" t="s">
        <v>12450</v>
      </c>
      <c r="E13" s="17" t="s">
        <v>12454</v>
      </c>
      <c r="F13" s="17" t="s">
        <v>12450</v>
      </c>
    </row>
    <row r="14" spans="1:6" ht="22.5" customHeight="1">
      <c r="A14" s="18" t="s">
        <v>12462</v>
      </c>
      <c r="B14" s="17" t="s">
        <v>12450</v>
      </c>
      <c r="C14" s="17" t="s">
        <v>12450</v>
      </c>
      <c r="D14" s="17" t="s">
        <v>12450</v>
      </c>
      <c r="E14" s="17" t="s">
        <v>12454</v>
      </c>
      <c r="F14" s="17" t="s">
        <v>12450</v>
      </c>
    </row>
    <row r="15" spans="1:6" ht="22.5" hidden="1" customHeight="1">
      <c r="A15" s="19" t="s">
        <v>12463</v>
      </c>
      <c r="B15" s="20"/>
      <c r="C15" s="20"/>
      <c r="D15" s="20"/>
      <c r="E15" s="21"/>
      <c r="F15" s="21"/>
    </row>
    <row r="16" spans="1:6" ht="22.5" hidden="1" customHeight="1">
      <c r="A16" s="22" t="s">
        <v>12453</v>
      </c>
      <c r="B16" s="23" t="s">
        <v>12454</v>
      </c>
      <c r="C16" s="23" t="s">
        <v>12454</v>
      </c>
      <c r="D16" s="23" t="s">
        <v>12454</v>
      </c>
      <c r="E16" s="23" t="s">
        <v>12454</v>
      </c>
      <c r="F16" s="23" t="s">
        <v>12454</v>
      </c>
    </row>
    <row r="17" spans="1:6" ht="22.5" hidden="1" customHeight="1">
      <c r="A17" s="22" t="s">
        <v>12455</v>
      </c>
      <c r="B17" s="23" t="s">
        <v>12454</v>
      </c>
      <c r="C17" s="23" t="s">
        <v>12454</v>
      </c>
      <c r="D17" s="23" t="s">
        <v>12454</v>
      </c>
      <c r="E17" s="23" t="s">
        <v>12454</v>
      </c>
      <c r="F17" s="23" t="s">
        <v>12454</v>
      </c>
    </row>
    <row r="18" spans="1:6" ht="22.5" hidden="1" customHeight="1">
      <c r="A18" s="22" t="s">
        <v>12456</v>
      </c>
      <c r="B18" s="23" t="s">
        <v>12454</v>
      </c>
      <c r="C18" s="23" t="s">
        <v>12454</v>
      </c>
      <c r="D18" s="23" t="s">
        <v>12454</v>
      </c>
      <c r="E18" s="23" t="s">
        <v>12454</v>
      </c>
      <c r="F18" s="23" t="s">
        <v>12454</v>
      </c>
    </row>
    <row r="19" spans="1:6" ht="22.5" hidden="1" customHeight="1">
      <c r="A19" s="22" t="s">
        <v>12457</v>
      </c>
      <c r="B19" s="23" t="s">
        <v>12454</v>
      </c>
      <c r="C19" s="23" t="s">
        <v>12454</v>
      </c>
      <c r="D19" s="23" t="s">
        <v>12454</v>
      </c>
      <c r="E19" s="23" t="s">
        <v>12454</v>
      </c>
      <c r="F19" s="23" t="s">
        <v>12454</v>
      </c>
    </row>
    <row r="20" spans="1:6" ht="22.5" hidden="1" customHeight="1">
      <c r="A20" s="22" t="s">
        <v>12458</v>
      </c>
      <c r="B20" s="23" t="s">
        <v>12454</v>
      </c>
      <c r="C20" s="23" t="s">
        <v>12454</v>
      </c>
      <c r="D20" s="23" t="s">
        <v>12454</v>
      </c>
      <c r="E20" s="23" t="s">
        <v>12454</v>
      </c>
      <c r="F20" s="23" t="s">
        <v>12454</v>
      </c>
    </row>
    <row r="21" spans="1:6" ht="22.5" hidden="1" customHeight="1">
      <c r="A21" s="22" t="s">
        <v>12459</v>
      </c>
      <c r="B21" s="23" t="s">
        <v>12454</v>
      </c>
      <c r="C21" s="23" t="s">
        <v>12454</v>
      </c>
      <c r="D21" s="23" t="s">
        <v>12454</v>
      </c>
      <c r="E21" s="23" t="s">
        <v>12454</v>
      </c>
      <c r="F21" s="23" t="s">
        <v>12454</v>
      </c>
    </row>
    <row r="22" spans="1:6" ht="22.5" hidden="1" customHeight="1">
      <c r="A22" s="22" t="s">
        <v>12460</v>
      </c>
      <c r="B22" s="23" t="s">
        <v>12454</v>
      </c>
      <c r="C22" s="23" t="s">
        <v>12454</v>
      </c>
      <c r="D22" s="23" t="s">
        <v>12454</v>
      </c>
      <c r="E22" s="23" t="s">
        <v>12454</v>
      </c>
      <c r="F22" s="23" t="s">
        <v>12454</v>
      </c>
    </row>
    <row r="23" spans="1:6" ht="22.5" hidden="1" customHeight="1">
      <c r="A23" s="22" t="s">
        <v>12461</v>
      </c>
      <c r="B23" s="23" t="s">
        <v>12454</v>
      </c>
      <c r="C23" s="23" t="s">
        <v>12454</v>
      </c>
      <c r="D23" s="23" t="s">
        <v>12454</v>
      </c>
      <c r="E23" s="23" t="s">
        <v>12454</v>
      </c>
      <c r="F23" s="23" t="s">
        <v>12454</v>
      </c>
    </row>
    <row r="24" spans="1:6" ht="22.5" hidden="1" customHeight="1">
      <c r="A24" s="22" t="s">
        <v>12462</v>
      </c>
      <c r="B24" s="23" t="s">
        <v>12450</v>
      </c>
      <c r="C24" s="23" t="s">
        <v>12454</v>
      </c>
      <c r="D24" s="23" t="s">
        <v>12454</v>
      </c>
      <c r="E24" s="23" t="s">
        <v>12454</v>
      </c>
      <c r="F24" s="23" t="s">
        <v>12454</v>
      </c>
    </row>
    <row r="25" spans="1:6" ht="22.5" customHeight="1">
      <c r="A25" s="24" t="s">
        <v>12464</v>
      </c>
      <c r="B25" s="25"/>
      <c r="C25" s="25"/>
      <c r="D25" s="25"/>
      <c r="E25" s="14"/>
      <c r="F25" s="14"/>
    </row>
    <row r="26" spans="1:6" ht="22.5" customHeight="1">
      <c r="A26" s="18" t="s">
        <v>12453</v>
      </c>
      <c r="B26" s="17" t="s">
        <v>12450</v>
      </c>
      <c r="C26" s="17" t="s">
        <v>12450</v>
      </c>
      <c r="D26" s="17" t="s">
        <v>12450</v>
      </c>
      <c r="E26" s="17" t="s">
        <v>12454</v>
      </c>
      <c r="F26" s="17" t="s">
        <v>12450</v>
      </c>
    </row>
    <row r="27" spans="1:6" ht="22.5" customHeight="1">
      <c r="A27" s="18" t="s">
        <v>12455</v>
      </c>
      <c r="B27" s="17" t="s">
        <v>12450</v>
      </c>
      <c r="C27" s="17" t="s">
        <v>12450</v>
      </c>
      <c r="D27" s="17" t="s">
        <v>12450</v>
      </c>
      <c r="E27" s="17" t="s">
        <v>12454</v>
      </c>
      <c r="F27" s="17" t="s">
        <v>12450</v>
      </c>
    </row>
    <row r="28" spans="1:6" ht="22.5" customHeight="1">
      <c r="A28" s="18" t="s">
        <v>12457</v>
      </c>
      <c r="B28" s="17" t="s">
        <v>12450</v>
      </c>
      <c r="C28" s="17" t="s">
        <v>12450</v>
      </c>
      <c r="D28" s="17" t="s">
        <v>12450</v>
      </c>
      <c r="E28" s="17" t="s">
        <v>12454</v>
      </c>
      <c r="F28" s="17" t="s">
        <v>12450</v>
      </c>
    </row>
    <row r="29" spans="1:6" ht="22.5" customHeight="1">
      <c r="A29" s="18" t="s">
        <v>12458</v>
      </c>
      <c r="B29" s="17" t="s">
        <v>12450</v>
      </c>
      <c r="C29" s="17" t="s">
        <v>12450</v>
      </c>
      <c r="D29" s="17" t="s">
        <v>12450</v>
      </c>
      <c r="E29" s="17" t="s">
        <v>12454</v>
      </c>
      <c r="F29" s="17" t="s">
        <v>12450</v>
      </c>
    </row>
    <row r="30" spans="1:6" ht="22.5" customHeight="1">
      <c r="A30" s="18" t="s">
        <v>12459</v>
      </c>
      <c r="B30" s="17" t="s">
        <v>12450</v>
      </c>
      <c r="C30" s="17" t="s">
        <v>12450</v>
      </c>
      <c r="D30" s="17" t="s">
        <v>12450</v>
      </c>
      <c r="E30" s="17" t="s">
        <v>12454</v>
      </c>
      <c r="F30" s="17" t="s">
        <v>12450</v>
      </c>
    </row>
    <row r="31" spans="1:6" ht="22.5" customHeight="1">
      <c r="A31" s="18" t="s">
        <v>12460</v>
      </c>
      <c r="B31" s="17" t="s">
        <v>12450</v>
      </c>
      <c r="C31" s="17" t="s">
        <v>12450</v>
      </c>
      <c r="D31" s="17" t="s">
        <v>12450</v>
      </c>
      <c r="E31" s="17" t="s">
        <v>12454</v>
      </c>
      <c r="F31" s="17" t="s">
        <v>12450</v>
      </c>
    </row>
    <row r="32" spans="1:6" ht="22.5" customHeight="1">
      <c r="A32" s="18" t="s">
        <v>12461</v>
      </c>
      <c r="B32" s="17" t="s">
        <v>12450</v>
      </c>
      <c r="C32" s="17" t="s">
        <v>12450</v>
      </c>
      <c r="D32" s="17" t="s">
        <v>12450</v>
      </c>
      <c r="E32" s="17" t="s">
        <v>12454</v>
      </c>
      <c r="F32" s="17" t="s">
        <v>12450</v>
      </c>
    </row>
    <row r="33" spans="1:6" ht="22.5" customHeight="1">
      <c r="A33" s="24" t="s">
        <v>12465</v>
      </c>
      <c r="B33" s="25"/>
      <c r="C33" s="25"/>
      <c r="D33" s="25"/>
      <c r="E33" s="14"/>
      <c r="F33" s="14"/>
    </row>
    <row r="34" spans="1:6" ht="22.5" customHeight="1">
      <c r="A34" s="18" t="s">
        <v>12453</v>
      </c>
      <c r="B34" s="17" t="s">
        <v>12450</v>
      </c>
      <c r="C34" s="17" t="s">
        <v>12450</v>
      </c>
      <c r="D34" s="17" t="s">
        <v>12450</v>
      </c>
      <c r="E34" s="17" t="s">
        <v>12454</v>
      </c>
      <c r="F34" s="17" t="s">
        <v>12450</v>
      </c>
    </row>
    <row r="35" spans="1:6" ht="22.5" customHeight="1">
      <c r="A35" s="18" t="s">
        <v>12455</v>
      </c>
      <c r="B35" s="17" t="s">
        <v>12450</v>
      </c>
      <c r="C35" s="17" t="s">
        <v>12450</v>
      </c>
      <c r="D35" s="17" t="s">
        <v>12450</v>
      </c>
      <c r="E35" s="17" t="s">
        <v>12454</v>
      </c>
      <c r="F35" s="17" t="s">
        <v>12450</v>
      </c>
    </row>
    <row r="36" spans="1:6" ht="22.5" customHeight="1">
      <c r="A36" s="18" t="s">
        <v>12456</v>
      </c>
      <c r="B36" s="17" t="s">
        <v>12450</v>
      </c>
      <c r="C36" s="17" t="s">
        <v>12450</v>
      </c>
      <c r="D36" s="17" t="s">
        <v>12450</v>
      </c>
      <c r="E36" s="17" t="s">
        <v>12454</v>
      </c>
      <c r="F36" s="17" t="s">
        <v>12450</v>
      </c>
    </row>
    <row r="37" spans="1:6" ht="22.5" customHeight="1">
      <c r="A37" s="18" t="s">
        <v>12457</v>
      </c>
      <c r="B37" s="17" t="s">
        <v>12450</v>
      </c>
      <c r="C37" s="17" t="s">
        <v>12450</v>
      </c>
      <c r="D37" s="17" t="s">
        <v>12450</v>
      </c>
      <c r="E37" s="17" t="s">
        <v>12454</v>
      </c>
      <c r="F37" s="17" t="s">
        <v>12450</v>
      </c>
    </row>
    <row r="38" spans="1:6" ht="22.5" customHeight="1">
      <c r="A38" s="18" t="s">
        <v>12458</v>
      </c>
      <c r="B38" s="17" t="s">
        <v>12450</v>
      </c>
      <c r="C38" s="17" t="s">
        <v>12450</v>
      </c>
      <c r="D38" s="17" t="s">
        <v>12450</v>
      </c>
      <c r="E38" s="17" t="s">
        <v>12454</v>
      </c>
      <c r="F38" s="17" t="s">
        <v>12450</v>
      </c>
    </row>
    <row r="39" spans="1:6" ht="22.5" customHeight="1">
      <c r="A39" s="18" t="s">
        <v>12459</v>
      </c>
      <c r="B39" s="17" t="s">
        <v>12450</v>
      </c>
      <c r="C39" s="17" t="s">
        <v>12450</v>
      </c>
      <c r="D39" s="17" t="s">
        <v>12450</v>
      </c>
      <c r="E39" s="17" t="s">
        <v>12454</v>
      </c>
      <c r="F39" s="17" t="s">
        <v>12450</v>
      </c>
    </row>
    <row r="40" spans="1:6" ht="22.5" customHeight="1">
      <c r="A40" s="18" t="s">
        <v>12460</v>
      </c>
      <c r="B40" s="17" t="s">
        <v>12450</v>
      </c>
      <c r="C40" s="17" t="s">
        <v>12450</v>
      </c>
      <c r="D40" s="17" t="s">
        <v>12450</v>
      </c>
      <c r="E40" s="17" t="s">
        <v>12454</v>
      </c>
      <c r="F40" s="17" t="s">
        <v>12450</v>
      </c>
    </row>
    <row r="41" spans="1:6" ht="22.5" customHeight="1">
      <c r="A41" s="18" t="s">
        <v>12461</v>
      </c>
      <c r="B41" s="17" t="s">
        <v>12450</v>
      </c>
      <c r="C41" s="17" t="s">
        <v>12450</v>
      </c>
      <c r="D41" s="17" t="s">
        <v>12450</v>
      </c>
      <c r="E41" s="17" t="s">
        <v>12454</v>
      </c>
      <c r="F41" s="17" t="s">
        <v>12450</v>
      </c>
    </row>
    <row r="42" spans="1:6" ht="22.5" customHeight="1">
      <c r="A42" s="18" t="s">
        <v>12462</v>
      </c>
      <c r="B42" s="17" t="s">
        <v>12450</v>
      </c>
      <c r="C42" s="17" t="s">
        <v>12450</v>
      </c>
      <c r="D42" s="17" t="s">
        <v>12450</v>
      </c>
      <c r="E42" s="17" t="s">
        <v>12454</v>
      </c>
      <c r="F42" s="17" t="s">
        <v>12450</v>
      </c>
    </row>
    <row r="43" spans="1:6" ht="22.5" customHeight="1">
      <c r="A43" s="24" t="s">
        <v>12466</v>
      </c>
      <c r="B43" s="25"/>
      <c r="C43" s="25"/>
      <c r="D43" s="25"/>
      <c r="E43" s="14"/>
      <c r="F43" s="14"/>
    </row>
    <row r="44" spans="1:6" ht="22.5" customHeight="1">
      <c r="A44" s="18" t="s">
        <v>12453</v>
      </c>
      <c r="B44" s="17" t="s">
        <v>12450</v>
      </c>
      <c r="C44" s="17" t="s">
        <v>12450</v>
      </c>
      <c r="D44" s="17" t="s">
        <v>12450</v>
      </c>
      <c r="E44" s="17" t="s">
        <v>12454</v>
      </c>
      <c r="F44" s="17" t="s">
        <v>12450</v>
      </c>
    </row>
    <row r="45" spans="1:6" ht="22.5" customHeight="1">
      <c r="A45" s="18" t="s">
        <v>12455</v>
      </c>
      <c r="B45" s="17" t="s">
        <v>12450</v>
      </c>
      <c r="C45" s="17" t="s">
        <v>12450</v>
      </c>
      <c r="D45" s="17" t="s">
        <v>12450</v>
      </c>
      <c r="E45" s="17" t="s">
        <v>12454</v>
      </c>
      <c r="F45" s="17" t="s">
        <v>12450</v>
      </c>
    </row>
    <row r="46" spans="1:6" ht="22.5" customHeight="1">
      <c r="A46" s="18" t="s">
        <v>12456</v>
      </c>
      <c r="B46" s="17" t="s">
        <v>12450</v>
      </c>
      <c r="C46" s="17" t="s">
        <v>12450</v>
      </c>
      <c r="D46" s="17" t="s">
        <v>12450</v>
      </c>
      <c r="E46" s="17" t="s">
        <v>12454</v>
      </c>
      <c r="F46" s="17" t="s">
        <v>12450</v>
      </c>
    </row>
    <row r="47" spans="1:6" ht="22.5" customHeight="1">
      <c r="A47" s="18" t="s">
        <v>12457</v>
      </c>
      <c r="B47" s="17" t="s">
        <v>12450</v>
      </c>
      <c r="C47" s="17" t="s">
        <v>12450</v>
      </c>
      <c r="D47" s="17" t="s">
        <v>12450</v>
      </c>
      <c r="E47" s="17" t="s">
        <v>12454</v>
      </c>
      <c r="F47" s="17" t="s">
        <v>12450</v>
      </c>
    </row>
    <row r="48" spans="1:6" ht="22.5" customHeight="1">
      <c r="A48" s="18" t="s">
        <v>12458</v>
      </c>
      <c r="B48" s="17" t="s">
        <v>12450</v>
      </c>
      <c r="C48" s="17" t="s">
        <v>12450</v>
      </c>
      <c r="D48" s="17" t="s">
        <v>12450</v>
      </c>
      <c r="E48" s="17" t="s">
        <v>12454</v>
      </c>
      <c r="F48" s="17" t="s">
        <v>12450</v>
      </c>
    </row>
    <row r="49" spans="1:6" ht="22.5" customHeight="1">
      <c r="A49" s="18" t="s">
        <v>12459</v>
      </c>
      <c r="B49" s="17" t="s">
        <v>12450</v>
      </c>
      <c r="C49" s="17" t="s">
        <v>12450</v>
      </c>
      <c r="D49" s="17" t="s">
        <v>12450</v>
      </c>
      <c r="E49" s="17" t="s">
        <v>12454</v>
      </c>
      <c r="F49" s="17" t="s">
        <v>12450</v>
      </c>
    </row>
    <row r="50" spans="1:6" ht="22.5" customHeight="1">
      <c r="A50" s="18" t="s">
        <v>12460</v>
      </c>
      <c r="B50" s="17" t="s">
        <v>12450</v>
      </c>
      <c r="C50" s="17" t="s">
        <v>12450</v>
      </c>
      <c r="D50" s="17" t="s">
        <v>12450</v>
      </c>
      <c r="E50" s="17" t="s">
        <v>12454</v>
      </c>
      <c r="F50" s="17" t="s">
        <v>12450</v>
      </c>
    </row>
    <row r="51" spans="1:6" ht="22.5" customHeight="1">
      <c r="A51" s="18" t="s">
        <v>12462</v>
      </c>
      <c r="B51" s="17" t="s">
        <v>12450</v>
      </c>
      <c r="C51" s="17" t="s">
        <v>12450</v>
      </c>
      <c r="D51" s="17" t="s">
        <v>12450</v>
      </c>
      <c r="E51" s="17" t="s">
        <v>12454</v>
      </c>
      <c r="F51" s="17" t="s">
        <v>12450</v>
      </c>
    </row>
    <row r="52" spans="1:6" ht="22.5" customHeight="1">
      <c r="A52" s="26" t="s">
        <v>12467</v>
      </c>
      <c r="B52" s="27"/>
      <c r="C52" s="27"/>
      <c r="D52" s="27"/>
      <c r="E52" s="14"/>
      <c r="F52" s="14"/>
    </row>
    <row r="53" spans="1:6" ht="22.5" customHeight="1">
      <c r="A53" s="18" t="s">
        <v>12453</v>
      </c>
      <c r="B53" s="17" t="s">
        <v>12450</v>
      </c>
      <c r="C53" s="17" t="s">
        <v>12450</v>
      </c>
      <c r="D53" s="17" t="s">
        <v>12450</v>
      </c>
      <c r="E53" s="17" t="s">
        <v>12454</v>
      </c>
      <c r="F53" s="17" t="s">
        <v>12450</v>
      </c>
    </row>
    <row r="54" spans="1:6" ht="22.5" customHeight="1">
      <c r="A54" s="18" t="s">
        <v>12455</v>
      </c>
      <c r="B54" s="17" t="s">
        <v>12450</v>
      </c>
      <c r="C54" s="17" t="s">
        <v>12450</v>
      </c>
      <c r="D54" s="17" t="s">
        <v>12450</v>
      </c>
      <c r="E54" s="17" t="s">
        <v>12454</v>
      </c>
      <c r="F54" s="17" t="s">
        <v>12450</v>
      </c>
    </row>
    <row r="55" spans="1:6" ht="22.5" customHeight="1">
      <c r="A55" s="18" t="s">
        <v>12456</v>
      </c>
      <c r="B55" s="17" t="s">
        <v>12450</v>
      </c>
      <c r="C55" s="17" t="s">
        <v>12450</v>
      </c>
      <c r="D55" s="17" t="s">
        <v>12450</v>
      </c>
      <c r="E55" s="17" t="s">
        <v>12454</v>
      </c>
      <c r="F55" s="17" t="s">
        <v>12450</v>
      </c>
    </row>
    <row r="56" spans="1:6" ht="22.5" customHeight="1">
      <c r="A56" s="18" t="s">
        <v>12457</v>
      </c>
      <c r="B56" s="17" t="s">
        <v>12450</v>
      </c>
      <c r="C56" s="17" t="s">
        <v>12450</v>
      </c>
      <c r="D56" s="17" t="s">
        <v>12450</v>
      </c>
      <c r="E56" s="17" t="s">
        <v>12454</v>
      </c>
      <c r="F56" s="17" t="s">
        <v>12450</v>
      </c>
    </row>
    <row r="57" spans="1:6" ht="22.5" customHeight="1">
      <c r="A57" s="18" t="s">
        <v>12458</v>
      </c>
      <c r="B57" s="17" t="s">
        <v>12450</v>
      </c>
      <c r="C57" s="17" t="s">
        <v>12450</v>
      </c>
      <c r="D57" s="17" t="s">
        <v>12450</v>
      </c>
      <c r="E57" s="17" t="s">
        <v>12454</v>
      </c>
      <c r="F57" s="17" t="s">
        <v>12450</v>
      </c>
    </row>
    <row r="58" spans="1:6" ht="22.5" customHeight="1">
      <c r="A58" s="18" t="s">
        <v>12459</v>
      </c>
      <c r="B58" s="17" t="s">
        <v>12450</v>
      </c>
      <c r="C58" s="17" t="s">
        <v>12450</v>
      </c>
      <c r="D58" s="17" t="s">
        <v>12450</v>
      </c>
      <c r="E58" s="17" t="s">
        <v>12454</v>
      </c>
      <c r="F58" s="17" t="s">
        <v>12450</v>
      </c>
    </row>
    <row r="59" spans="1:6" ht="22.5" customHeight="1">
      <c r="A59" s="18" t="s">
        <v>12460</v>
      </c>
      <c r="B59" s="17" t="s">
        <v>12450</v>
      </c>
      <c r="C59" s="17" t="s">
        <v>12450</v>
      </c>
      <c r="D59" s="17" t="s">
        <v>12450</v>
      </c>
      <c r="E59" s="17" t="s">
        <v>12454</v>
      </c>
      <c r="F59" s="17" t="s">
        <v>12450</v>
      </c>
    </row>
    <row r="60" spans="1:6" ht="22.5" customHeight="1">
      <c r="A60" s="18" t="s">
        <v>12462</v>
      </c>
      <c r="B60" s="17" t="s">
        <v>12450</v>
      </c>
      <c r="C60" s="17" t="s">
        <v>12450</v>
      </c>
      <c r="D60" s="17" t="s">
        <v>12450</v>
      </c>
      <c r="E60" s="17" t="s">
        <v>12454</v>
      </c>
      <c r="F60" s="17" t="s">
        <v>12450</v>
      </c>
    </row>
    <row r="61" spans="1:6" ht="22.5" customHeight="1">
      <c r="A61" s="24" t="s">
        <v>12468</v>
      </c>
      <c r="B61" s="25"/>
      <c r="C61" s="28"/>
      <c r="D61" s="28"/>
      <c r="E61" s="15"/>
      <c r="F61" s="15"/>
    </row>
    <row r="62" spans="1:6" ht="22.5" customHeight="1">
      <c r="A62" s="18" t="s">
        <v>12460</v>
      </c>
      <c r="B62" s="17" t="s">
        <v>12450</v>
      </c>
      <c r="C62" s="17" t="s">
        <v>12450</v>
      </c>
      <c r="D62" s="17" t="s">
        <v>12450</v>
      </c>
      <c r="E62" s="17" t="s">
        <v>12454</v>
      </c>
      <c r="F62" s="17" t="s">
        <v>12450</v>
      </c>
    </row>
    <row r="63" spans="1:6" ht="22.5" customHeight="1">
      <c r="A63" s="18" t="s">
        <v>12457</v>
      </c>
      <c r="B63" s="17" t="s">
        <v>12450</v>
      </c>
      <c r="C63" s="17" t="s">
        <v>12450</v>
      </c>
      <c r="D63" s="17" t="s">
        <v>12450</v>
      </c>
      <c r="E63" s="17" t="s">
        <v>12454</v>
      </c>
      <c r="F63" s="17" t="s">
        <v>12450</v>
      </c>
    </row>
    <row r="64" spans="1:6" ht="22.5" customHeight="1">
      <c r="A64" s="18" t="s">
        <v>12458</v>
      </c>
      <c r="B64" s="17" t="s">
        <v>12450</v>
      </c>
      <c r="C64" s="17" t="s">
        <v>12450</v>
      </c>
      <c r="D64" s="17" t="s">
        <v>12450</v>
      </c>
      <c r="E64" s="17" t="s">
        <v>12454</v>
      </c>
      <c r="F64" s="17" t="s">
        <v>12450</v>
      </c>
    </row>
    <row r="65" spans="1:6" ht="22.5" customHeight="1">
      <c r="A65" s="18" t="s">
        <v>12459</v>
      </c>
      <c r="B65" s="17" t="s">
        <v>12450</v>
      </c>
      <c r="C65" s="17" t="s">
        <v>12450</v>
      </c>
      <c r="D65" s="17" t="s">
        <v>12450</v>
      </c>
      <c r="E65" s="17" t="s">
        <v>12454</v>
      </c>
      <c r="F65" s="17" t="s">
        <v>12450</v>
      </c>
    </row>
    <row r="66" spans="1:6" ht="24.75" hidden="1" customHeight="1">
      <c r="A66" s="29"/>
      <c r="B66" s="30">
        <f>COUNTIF($B$6:$B$65,"ok")/ COUNTA($A$62:$A$65,$A$62,$A$44:$A$51,$A$34:$A$42,$A$26:$A$32,$A$6:$A$14)</f>
        <v>0</v>
      </c>
      <c r="C66" s="30"/>
      <c r="D66" s="30">
        <f>COUNTIF($D$6:$D$65,"ok")/ COUNTA($A$62:$A$65,$A$62,$A$44:$A$51,$A$34:$A$42,$A$26:$A$32,$A$6:$A$14)</f>
        <v>0</v>
      </c>
      <c r="E66" s="30"/>
      <c r="F66" s="30">
        <f>COUNTIF($F$6:$F$65,"ok")/ COUNTA($A$62:$A$65,$A$62,$A$44:$A$51,$A$34:$A$42,$A$26:$A$32,$A$6:$A$14)</f>
        <v>0</v>
      </c>
    </row>
    <row r="67" spans="1:6" ht="24.75" hidden="1" customHeight="1">
      <c r="A67" s="29"/>
      <c r="B67" s="2594">
        <f>(COUNTA($B$6:$B$65,$D$6:$D$65,$F$6:$F$65)/ COUNTA($A$62:$A$65,$A$62,$A$44:$A$51,$A$34:$A$42,$A$26:$A$32,$A$6:$A$14,$A$62:$A$65,$A$62,$A$44:$A$51,$A$34:$A$42,$A$26:$A$32,$A$6:$A$14,$A$62:$A$65,$A$62,$A$44:$A$51,$A$34:$A$42,$A$26:$A$32,$A$6:$A$14))</f>
        <v>1.4210526315789473</v>
      </c>
      <c r="C67" s="2590"/>
      <c r="D67" s="2590"/>
      <c r="E67" s="2590"/>
      <c r="F67" s="2595"/>
    </row>
    <row r="68" spans="1:6" ht="24.75" hidden="1" customHeight="1">
      <c r="A68" s="29"/>
      <c r="B68" s="31">
        <f>100%-B66</f>
        <v>1</v>
      </c>
      <c r="C68" s="32"/>
      <c r="D68" s="31">
        <f>100%-D66</f>
        <v>1</v>
      </c>
      <c r="E68" s="32"/>
      <c r="F68" s="31">
        <f>100%-F66</f>
        <v>1</v>
      </c>
    </row>
  </sheetData>
  <mergeCells count="5">
    <mergeCell ref="A1:B1"/>
    <mergeCell ref="C1:F1"/>
    <mergeCell ref="B3:F3"/>
    <mergeCell ref="B4:F4"/>
    <mergeCell ref="B67:F67"/>
  </mergeCells>
  <conditionalFormatting sqref="A5:A65">
    <cfRule type="expression" dxfId="21" priority="6">
      <formula>F:F=TRUE</formula>
    </cfRule>
  </conditionalFormatting>
  <conditionalFormatting sqref="A6:A68">
    <cfRule type="expression" dxfId="20" priority="2">
      <formula>$F6="TRUE"</formula>
    </cfRule>
  </conditionalFormatting>
  <conditionalFormatting sqref="A6:E65 F58:F60">
    <cfRule type="containsText" dxfId="19" priority="5" operator="containsText" text="OK ✔">
      <formula>NOT(ISERROR(SEARCH(("OK ✔"),(A6))))</formula>
    </cfRule>
  </conditionalFormatting>
  <conditionalFormatting sqref="A3:F68">
    <cfRule type="containsText" dxfId="18" priority="1" operator="containsText" text="100,00%">
      <formula>NOT(ISERROR(SEARCH(("100,00%"),(A3))))</formula>
    </cfRule>
  </conditionalFormatting>
  <conditionalFormatting sqref="B3:F4 B6:F14 B16:F24 B26:F32 B34:F42 B44:F60 B62:F65">
    <cfRule type="containsText" dxfId="17" priority="3" operator="containsText" text="OK ✔">
      <formula>NOT(ISERROR(SEARCH(("OK ✔"),(B3))))</formula>
    </cfRule>
    <cfRule type="containsText" dxfId="16" priority="4" operator="containsText" text="⏳">
      <formula>NOT(ISERROR(SEARCH(("⏳"),(B3))))</formula>
    </cfRule>
  </conditionalFormatting>
  <printOptions horizontalCentered="1" gridLines="1"/>
  <pageMargins left="0.19685039370078738" right="0.19685039370078738" top="0.19685039370078738" bottom="0.19685039370078738" header="0" footer="0"/>
  <pageSetup paperSize="9" scale="150" pageOrder="overThenDown" orientation="landscape" cellComments="atEnd"/>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S1100"/>
  <sheetViews>
    <sheetView topLeftCell="I1" workbookViewId="0"/>
  </sheetViews>
  <sheetFormatPr defaultColWidth="12.5703125" defaultRowHeight="15" customHeight="1"/>
  <cols>
    <col min="1" max="1" width="28.5703125" hidden="1" customWidth="1"/>
    <col min="2" max="2" width="3.28515625" hidden="1" customWidth="1"/>
    <col min="3" max="3" width="31.42578125" hidden="1" customWidth="1"/>
    <col min="4" max="4" width="4.7109375" hidden="1" customWidth="1"/>
    <col min="5" max="7" width="6" hidden="1" customWidth="1"/>
    <col min="8" max="8" width="8.5703125" hidden="1" customWidth="1"/>
    <col min="9" max="9" width="13.42578125" customWidth="1"/>
    <col min="10" max="11" width="9.140625" customWidth="1"/>
    <col min="12" max="12" width="8.140625" customWidth="1"/>
    <col min="13" max="13" width="11.140625" customWidth="1"/>
    <col min="14" max="14" width="14.28515625" customWidth="1"/>
    <col min="15" max="15" width="11.7109375" customWidth="1"/>
    <col min="16" max="16" width="11.5703125" customWidth="1"/>
    <col min="17" max="17" width="8.28515625" customWidth="1"/>
    <col min="18" max="18" width="12" customWidth="1"/>
    <col min="19" max="19" width="94.7109375" hidden="1" customWidth="1"/>
  </cols>
  <sheetData>
    <row r="1" spans="1:19">
      <c r="A1" s="130"/>
      <c r="B1" s="130"/>
      <c r="C1" s="130"/>
      <c r="D1" s="130"/>
      <c r="E1" s="1086" t="s">
        <v>16035</v>
      </c>
      <c r="F1" s="1086" t="s">
        <v>16036</v>
      </c>
      <c r="G1" s="1086" t="s">
        <v>16037</v>
      </c>
      <c r="H1" s="130"/>
      <c r="I1" s="1087" t="str">
        <f>'Medição '!V5</f>
        <v>OBRA:</v>
      </c>
      <c r="J1" s="3436" t="str">
        <f>'Medição '!W5</f>
        <v>COMPLEXO SUNSET DO PARQUE NOVO MATO GROSSO</v>
      </c>
      <c r="K1" s="2994"/>
      <c r="L1" s="2994"/>
      <c r="M1" s="2994"/>
      <c r="N1" s="2994"/>
      <c r="O1" s="2994"/>
      <c r="P1" s="2994"/>
      <c r="Q1" s="2994"/>
      <c r="R1" s="2995"/>
      <c r="S1" s="1088"/>
    </row>
    <row r="2" spans="1:19">
      <c r="A2" s="130" t="s">
        <v>16038</v>
      </c>
      <c r="B2" s="1089" t="s">
        <v>16039</v>
      </c>
      <c r="C2" s="130" t="str">
        <f t="shared" ref="C2:C14" si="0">CONCATENATE(A2,"-",B2)</f>
        <v>Construção e Reforma de Edifícios-AC</v>
      </c>
      <c r="D2" s="130"/>
      <c r="E2" s="1090">
        <v>0.03</v>
      </c>
      <c r="F2" s="1090">
        <v>0.04</v>
      </c>
      <c r="G2" s="1090">
        <v>5.5E-2</v>
      </c>
      <c r="H2" s="130"/>
      <c r="I2" s="1091" t="str">
        <f>'Medição '!V6</f>
        <v xml:space="preserve">ENDEREÇO: </v>
      </c>
      <c r="J2" s="3437" t="str">
        <f>'Medição '!W6</f>
        <v>MT 251, KM 11, S/N, ÁREA RURAL - PARQUE NOVO MATO GROSSO, CEP 78099-899</v>
      </c>
      <c r="K2" s="2997"/>
      <c r="L2" s="2997"/>
      <c r="M2" s="2997"/>
      <c r="N2" s="2997"/>
      <c r="O2" s="2997"/>
      <c r="P2" s="2997"/>
      <c r="Q2" s="2997"/>
      <c r="R2" s="2998"/>
      <c r="S2" s="1088"/>
    </row>
    <row r="3" spans="1:19">
      <c r="A3" s="130" t="str">
        <f>A2</f>
        <v>Construção e Reforma de Edifícios</v>
      </c>
      <c r="B3" s="1089" t="s">
        <v>16040</v>
      </c>
      <c r="C3" s="130" t="str">
        <f t="shared" si="0"/>
        <v>Construção e Reforma de Edifícios-SG</v>
      </c>
      <c r="D3" s="130"/>
      <c r="E3" s="1090">
        <v>8.0000000000000002E-3</v>
      </c>
      <c r="F3" s="1090">
        <v>8.0000000000000002E-3</v>
      </c>
      <c r="G3" s="1090">
        <v>0.01</v>
      </c>
      <c r="H3" s="130"/>
      <c r="I3" s="1091" t="str">
        <f>'Medição '!V7</f>
        <v>MUNICÍPIO:</v>
      </c>
      <c r="J3" s="3437" t="str">
        <f>'Medição '!W7</f>
        <v>CUIABÁ - MT</v>
      </c>
      <c r="K3" s="2997"/>
      <c r="L3" s="2997"/>
      <c r="M3" s="2997"/>
      <c r="N3" s="2997"/>
      <c r="O3" s="2997"/>
      <c r="P3" s="2997"/>
      <c r="Q3" s="2997"/>
      <c r="R3" s="2998"/>
      <c r="S3" s="1092"/>
    </row>
    <row r="4" spans="1:19" ht="45.75" customHeight="1">
      <c r="A4" s="130" t="str">
        <f>A3</f>
        <v>Construção e Reforma de Edifícios</v>
      </c>
      <c r="B4" s="1089" t="s">
        <v>16041</v>
      </c>
      <c r="C4" s="130" t="str">
        <f t="shared" si="0"/>
        <v>Construção e Reforma de Edifícios-R</v>
      </c>
      <c r="D4" s="130"/>
      <c r="E4" s="1090">
        <v>9.7000000000000003E-3</v>
      </c>
      <c r="F4" s="1090">
        <v>1.2699999999999999E-2</v>
      </c>
      <c r="G4" s="1090">
        <v>1.2699999999999999E-2</v>
      </c>
      <c r="H4" s="130"/>
      <c r="I4" s="1091" t="str">
        <f>'Medição '!V8</f>
        <v>OBJETO:</v>
      </c>
      <c r="J4" s="3438" t="str">
        <f>'Medição '!W8</f>
        <v>CONTRATAÇÃO DE EMPRESA ESPECIALIZADA PARA EXECUÇÃO DAS OBRAS DO "COMPLEXO SUNSET (WAKE BAR, PRAÇA SUNSET, QUIOSQUE, BANHEIROS DE APOIO E INFRA DE CONTÊINER) DO PARQUE NOVO MATO GROSSO"</v>
      </c>
      <c r="K4" s="3439"/>
      <c r="L4" s="3439"/>
      <c r="M4" s="3439"/>
      <c r="N4" s="3439"/>
      <c r="O4" s="3439"/>
      <c r="P4" s="3439"/>
      <c r="Q4" s="3439"/>
      <c r="R4" s="3440"/>
      <c r="S4" s="1093"/>
    </row>
    <row r="5" spans="1:19" ht="15.75" hidden="1">
      <c r="A5" s="133" t="str">
        <f>A4</f>
        <v>Construção e Reforma de Edifícios</v>
      </c>
      <c r="B5" s="1094" t="s">
        <v>16042</v>
      </c>
      <c r="C5" s="133" t="str">
        <f t="shared" si="0"/>
        <v>Construção e Reforma de Edifícios-DF</v>
      </c>
      <c r="D5" s="133"/>
      <c r="E5" s="1095">
        <v>5.8999999999999999E-3</v>
      </c>
      <c r="F5" s="1095">
        <v>1.23E-2</v>
      </c>
      <c r="G5" s="1095">
        <v>1.3899999999999999E-2</v>
      </c>
      <c r="H5" s="133"/>
      <c r="I5" s="3441"/>
      <c r="J5" s="2625"/>
      <c r="K5" s="3442"/>
      <c r="L5" s="2631"/>
      <c r="M5" s="2631"/>
      <c r="N5" s="2631"/>
      <c r="O5" s="2631"/>
      <c r="P5" s="2631"/>
      <c r="Q5" s="2631"/>
      <c r="R5" s="2632"/>
      <c r="S5" s="1096"/>
    </row>
    <row r="6" spans="1:19" ht="15.75" hidden="1">
      <c r="A6" s="133" t="str">
        <f>A5</f>
        <v>Construção e Reforma de Edifícios</v>
      </c>
      <c r="B6" s="1094" t="s">
        <v>56</v>
      </c>
      <c r="C6" s="133" t="str">
        <f t="shared" si="0"/>
        <v>Construção e Reforma de Edifícios-L</v>
      </c>
      <c r="D6" s="133"/>
      <c r="E6" s="1095">
        <v>6.1600000000000002E-2</v>
      </c>
      <c r="F6" s="1095">
        <v>7.400000000000001E-2</v>
      </c>
      <c r="G6" s="1095">
        <v>8.9600000000000013E-2</v>
      </c>
      <c r="H6" s="133"/>
      <c r="I6" s="1097"/>
      <c r="J6" s="1098"/>
      <c r="K6" s="1098"/>
      <c r="L6" s="1098"/>
      <c r="M6" s="1098"/>
      <c r="N6" s="1098"/>
      <c r="O6" s="1098"/>
      <c r="P6" s="1098"/>
      <c r="Q6" s="1098"/>
      <c r="R6" s="1099"/>
      <c r="S6" s="1100"/>
    </row>
    <row r="7" spans="1:19" ht="78.75" hidden="1">
      <c r="A7" s="133" t="str">
        <f>A6</f>
        <v>Construção e Reforma de Edifícios</v>
      </c>
      <c r="B7" s="1101" t="s">
        <v>16043</v>
      </c>
      <c r="C7" s="133" t="str">
        <f t="shared" si="0"/>
        <v>Construção e Reforma de Edifícios-BDI PAD</v>
      </c>
      <c r="D7" s="133"/>
      <c r="E7" s="1095">
        <v>0.2034</v>
      </c>
      <c r="F7" s="1095">
        <v>0.22120000000000001</v>
      </c>
      <c r="G7" s="1095">
        <v>0.25</v>
      </c>
      <c r="H7" s="133"/>
      <c r="I7" s="3443"/>
      <c r="J7" s="2588"/>
      <c r="K7" s="2588"/>
      <c r="L7" s="2588"/>
      <c r="M7" s="2588"/>
      <c r="N7" s="2588"/>
      <c r="O7" s="2588"/>
      <c r="P7" s="2588"/>
      <c r="Q7" s="2588"/>
      <c r="R7" s="2621"/>
      <c r="S7" s="1093"/>
    </row>
    <row r="8" spans="1:19" ht="15.75" hidden="1">
      <c r="A8" s="133" t="s">
        <v>16044</v>
      </c>
      <c r="B8" s="1094" t="s">
        <v>16039</v>
      </c>
      <c r="C8" s="133" t="str">
        <f t="shared" si="0"/>
        <v>Construção de Praças Urbanas, Rodovias, Ferrovias e recapeamento e pavimentação de vias urbanas-AC</v>
      </c>
      <c r="D8" s="133"/>
      <c r="E8" s="1095">
        <v>3.7999999999999999E-2</v>
      </c>
      <c r="F8" s="1095">
        <v>4.0099999999999997E-2</v>
      </c>
      <c r="G8" s="1095">
        <v>4.6699999999999998E-2</v>
      </c>
      <c r="H8" s="133"/>
      <c r="I8" s="3444"/>
      <c r="J8" s="2588"/>
      <c r="K8" s="2588"/>
      <c r="L8" s="2588"/>
      <c r="M8" s="2588"/>
      <c r="N8" s="2588"/>
      <c r="O8" s="2588"/>
      <c r="P8" s="2588"/>
      <c r="Q8" s="2588"/>
      <c r="R8" s="2621"/>
      <c r="S8" s="1102"/>
    </row>
    <row r="9" spans="1:19" ht="15.75" hidden="1">
      <c r="A9" s="133" t="s">
        <v>16044</v>
      </c>
      <c r="B9" s="1094" t="s">
        <v>16040</v>
      </c>
      <c r="C9" s="133" t="str">
        <f t="shared" si="0"/>
        <v>Construção de Praças Urbanas, Rodovias, Ferrovias e recapeamento e pavimentação de vias urbanas-SG</v>
      </c>
      <c r="D9" s="133"/>
      <c r="E9" s="1095">
        <v>3.2000000000000002E-3</v>
      </c>
      <c r="F9" s="1095">
        <v>4.0000000000000001E-3</v>
      </c>
      <c r="G9" s="1095">
        <v>7.4000000000000003E-3</v>
      </c>
      <c r="H9" s="133"/>
      <c r="I9" s="3445" t="s">
        <v>16045</v>
      </c>
      <c r="J9" s="3446"/>
      <c r="K9" s="3446"/>
      <c r="L9" s="3446"/>
      <c r="M9" s="3446"/>
      <c r="N9" s="3446"/>
      <c r="O9" s="3446"/>
      <c r="P9" s="3446"/>
      <c r="Q9" s="3446"/>
      <c r="R9" s="3447"/>
      <c r="S9" s="1103"/>
    </row>
    <row r="10" spans="1:19" ht="15.75" hidden="1">
      <c r="A10" s="133" t="s">
        <v>16044</v>
      </c>
      <c r="B10" s="1094" t="s">
        <v>16041</v>
      </c>
      <c r="C10" s="133" t="str">
        <f t="shared" si="0"/>
        <v>Construção de Praças Urbanas, Rodovias, Ferrovias e recapeamento e pavimentação de vias urbanas-R</v>
      </c>
      <c r="D10" s="133"/>
      <c r="E10" s="1095">
        <v>5.0000000000000001E-3</v>
      </c>
      <c r="F10" s="1095">
        <v>5.6000000000000008E-3</v>
      </c>
      <c r="G10" s="1095">
        <v>9.7000000000000003E-3</v>
      </c>
      <c r="H10" s="133"/>
      <c r="I10" s="3448" t="s">
        <v>16046</v>
      </c>
      <c r="J10" s="2634"/>
      <c r="K10" s="2634"/>
      <c r="L10" s="2634"/>
      <c r="M10" s="2634"/>
      <c r="N10" s="2634"/>
      <c r="O10" s="2634"/>
      <c r="P10" s="2634"/>
      <c r="Q10" s="3449" t="s">
        <v>16047</v>
      </c>
      <c r="R10" s="2618"/>
      <c r="S10" s="1104"/>
    </row>
    <row r="11" spans="1:19" ht="15.75" hidden="1" customHeight="1">
      <c r="A11" s="133" t="s">
        <v>16044</v>
      </c>
      <c r="B11" s="1094" t="s">
        <v>16042</v>
      </c>
      <c r="C11" s="133" t="str">
        <f t="shared" si="0"/>
        <v>Construção de Praças Urbanas, Rodovias, Ferrovias e recapeamento e pavimentação de vias urbanas-DF</v>
      </c>
      <c r="D11" s="133"/>
      <c r="E11" s="1095">
        <v>1.0200000000000001E-2</v>
      </c>
      <c r="F11" s="1095">
        <v>1.11E-2</v>
      </c>
      <c r="G11" s="1095">
        <v>1.21E-2</v>
      </c>
      <c r="H11" s="133"/>
      <c r="I11" s="3450" t="s">
        <v>16038</v>
      </c>
      <c r="J11" s="2590"/>
      <c r="K11" s="2590"/>
      <c r="L11" s="2590"/>
      <c r="M11" s="2590"/>
      <c r="N11" s="2590"/>
      <c r="O11" s="2590"/>
      <c r="P11" s="2595"/>
      <c r="Q11" s="3451" t="s">
        <v>16048</v>
      </c>
      <c r="R11" s="3452"/>
      <c r="S11" s="1105"/>
    </row>
    <row r="12" spans="1:19" ht="15.75" hidden="1" customHeight="1">
      <c r="A12" s="133" t="s">
        <v>16044</v>
      </c>
      <c r="B12" s="1101" t="s">
        <v>16043</v>
      </c>
      <c r="C12" s="133" t="str">
        <f t="shared" si="0"/>
        <v>Construção de Praças Urbanas, Rodovias, Ferrovias e recapeamento e pavimentação de vias urbanas-BDI PAD</v>
      </c>
      <c r="D12" s="133"/>
      <c r="E12" s="1095">
        <v>0.19600000000000001</v>
      </c>
      <c r="F12" s="1095">
        <v>0.2097</v>
      </c>
      <c r="G12" s="1095">
        <v>0.24230000000000002</v>
      </c>
      <c r="H12" s="133"/>
      <c r="I12" s="3454" t="s">
        <v>16049</v>
      </c>
      <c r="J12" s="2590"/>
      <c r="K12" s="2590"/>
      <c r="L12" s="2590"/>
      <c r="M12" s="2590"/>
      <c r="N12" s="2590"/>
      <c r="O12" s="2590"/>
      <c r="P12" s="2595"/>
      <c r="Q12" s="3453">
        <v>0.4</v>
      </c>
      <c r="R12" s="2618"/>
      <c r="S12" s="1106"/>
    </row>
    <row r="13" spans="1:19" ht="15.75" hidden="1" customHeight="1">
      <c r="A13" s="133" t="s">
        <v>16050</v>
      </c>
      <c r="B13" s="1094" t="s">
        <v>16039</v>
      </c>
      <c r="C13" s="133" t="str">
        <f t="shared" si="0"/>
        <v>Construção de Redes de Abastecimento de Água, Coleta de Esgoto-AC</v>
      </c>
      <c r="D13" s="133"/>
      <c r="E13" s="1095">
        <v>3.4300000000000004E-2</v>
      </c>
      <c r="F13" s="1095">
        <v>4.9299999999999997E-2</v>
      </c>
      <c r="G13" s="1095">
        <v>6.7099999999999993E-2</v>
      </c>
      <c r="H13" s="133"/>
      <c r="I13" s="3455" t="s">
        <v>16051</v>
      </c>
      <c r="J13" s="2590"/>
      <c r="K13" s="2590"/>
      <c r="L13" s="2590"/>
      <c r="M13" s="2590"/>
      <c r="N13" s="2590"/>
      <c r="O13" s="2590"/>
      <c r="P13" s="2595"/>
      <c r="Q13" s="3453">
        <v>0.05</v>
      </c>
      <c r="R13" s="2618"/>
      <c r="S13" s="1106"/>
    </row>
    <row r="14" spans="1:19" ht="15.75" hidden="1" customHeight="1">
      <c r="A14" s="133" t="str">
        <f>A13</f>
        <v>Construção de Redes de Abastecimento de Água, Coleta de Esgoto</v>
      </c>
      <c r="B14" s="1094" t="s">
        <v>16040</v>
      </c>
      <c r="C14" s="133" t="str">
        <f t="shared" si="0"/>
        <v>Construção de Redes de Abastecimento de Água, Coleta de Esgoto-SG</v>
      </c>
      <c r="D14" s="133"/>
      <c r="E14" s="1095">
        <v>2.8000000000000004E-3</v>
      </c>
      <c r="F14" s="1095">
        <v>4.8999999999999998E-3</v>
      </c>
      <c r="G14" s="1095">
        <v>7.4999999999999997E-3</v>
      </c>
      <c r="H14" s="133"/>
      <c r="I14" s="1107"/>
      <c r="J14" s="130"/>
      <c r="K14" s="130"/>
      <c r="L14" s="130"/>
      <c r="M14" s="130"/>
      <c r="N14" s="130"/>
      <c r="O14" s="130"/>
      <c r="P14" s="130"/>
      <c r="Q14" s="130"/>
      <c r="R14" s="1108"/>
      <c r="S14" s="1109"/>
    </row>
    <row r="15" spans="1:19" ht="15.75" hidden="1" customHeight="1">
      <c r="A15" s="133"/>
      <c r="B15" s="1094"/>
      <c r="C15" s="133"/>
      <c r="D15" s="133"/>
      <c r="E15" s="1095"/>
      <c r="F15" s="1095"/>
      <c r="G15" s="1095"/>
      <c r="H15" s="133"/>
      <c r="I15" s="3460" t="s">
        <v>16052</v>
      </c>
      <c r="J15" s="2634"/>
      <c r="K15" s="2634"/>
      <c r="L15" s="3461"/>
      <c r="M15" s="3456" t="s">
        <v>16053</v>
      </c>
      <c r="N15" s="3458" t="s">
        <v>16054</v>
      </c>
      <c r="O15" s="3458" t="s">
        <v>16055</v>
      </c>
      <c r="P15" s="3459" t="s">
        <v>16056</v>
      </c>
      <c r="Q15" s="2590"/>
      <c r="R15" s="2618"/>
      <c r="S15" s="1092"/>
    </row>
    <row r="16" spans="1:19" ht="15.75" hidden="1" customHeight="1">
      <c r="A16" s="133" t="str">
        <f>A14</f>
        <v>Construção de Redes de Abastecimento de Água, Coleta de Esgoto</v>
      </c>
      <c r="B16" s="1094" t="s">
        <v>16041</v>
      </c>
      <c r="C16" s="133" t="str">
        <f t="shared" ref="C16:C25" si="1">CONCATENATE(A16,"-",B16)</f>
        <v>Construção de Redes de Abastecimento de Água, Coleta de Esgoto-R</v>
      </c>
      <c r="D16" s="133"/>
      <c r="E16" s="1095">
        <v>0.01</v>
      </c>
      <c r="F16" s="1095">
        <v>1.3899999999999999E-2</v>
      </c>
      <c r="G16" s="1095">
        <v>1.7399999999999999E-2</v>
      </c>
      <c r="H16" s="133"/>
      <c r="I16" s="3462"/>
      <c r="J16" s="2631"/>
      <c r="K16" s="2631"/>
      <c r="L16" s="2625"/>
      <c r="M16" s="3457"/>
      <c r="N16" s="3457"/>
      <c r="O16" s="3457"/>
      <c r="P16" s="1110" t="s">
        <v>12546</v>
      </c>
      <c r="Q16" s="1110" t="s">
        <v>12547</v>
      </c>
      <c r="R16" s="1111" t="s">
        <v>12548</v>
      </c>
      <c r="S16" s="1112"/>
    </row>
    <row r="17" spans="1:19" ht="15.75" hidden="1" customHeight="1">
      <c r="A17" s="133" t="str">
        <f>A16</f>
        <v>Construção de Redes de Abastecimento de Água, Coleta de Esgoto</v>
      </c>
      <c r="B17" s="1094" t="s">
        <v>16042</v>
      </c>
      <c r="C17" s="133" t="str">
        <f t="shared" si="1"/>
        <v>Construção de Redes de Abastecimento de Água, Coleta de Esgoto-DF</v>
      </c>
      <c r="D17" s="133"/>
      <c r="E17" s="1095">
        <v>9.3999999999999986E-3</v>
      </c>
      <c r="F17" s="1095">
        <v>9.8999999999999991E-3</v>
      </c>
      <c r="G17" s="1095">
        <v>1.1699999999999999E-2</v>
      </c>
      <c r="H17" s="133"/>
      <c r="I17" s="3463" t="str">
        <f>IF($I$11=$A$80,"Encargos Sociais incidentes sobre a mão de obra","Administração Central")</f>
        <v>Administração Central</v>
      </c>
      <c r="J17" s="2590"/>
      <c r="K17" s="2590"/>
      <c r="L17" s="2595"/>
      <c r="M17" s="1113" t="str">
        <f>IF($I$11=$A$80,"K1","AC")</f>
        <v>AC</v>
      </c>
      <c r="N17" s="1114">
        <v>0.04</v>
      </c>
      <c r="O17" s="1115" t="s">
        <v>16057</v>
      </c>
      <c r="P17" s="1116">
        <f>VLOOKUP(CONCATENATE(I$11,"-",M17),$C$2:$G$71,3,FALSE)</f>
        <v>0.03</v>
      </c>
      <c r="Q17" s="1116">
        <f>VLOOKUP(CONCATENATE(I$11,"-",M17),$C$2:$G$71,4,FALSE)</f>
        <v>0.04</v>
      </c>
      <c r="R17" s="1117">
        <f>VLOOKUP(CONCATENATE(I$11,"-",M17),$C$2:$G$71,5,FALSE)</f>
        <v>5.5E-2</v>
      </c>
      <c r="S17" s="1118"/>
    </row>
    <row r="18" spans="1:19" ht="15.75" hidden="1" customHeight="1">
      <c r="A18" s="133" t="str">
        <f>A17</f>
        <v>Construção de Redes de Abastecimento de Água, Coleta de Esgoto</v>
      </c>
      <c r="B18" s="1094" t="s">
        <v>56</v>
      </c>
      <c r="C18" s="133" t="str">
        <f t="shared" si="1"/>
        <v>Construção de Redes de Abastecimento de Água, Coleta de Esgoto-L</v>
      </c>
      <c r="D18" s="133"/>
      <c r="E18" s="1095">
        <v>6.7400000000000002E-2</v>
      </c>
      <c r="F18" s="1095">
        <v>8.0399999999999985E-2</v>
      </c>
      <c r="G18" s="1095">
        <v>9.4E-2</v>
      </c>
      <c r="H18" s="133"/>
      <c r="I18" s="3463" t="str">
        <f>IF($I$11=$A$80,"Administração Central da empresa ou consultoria - overhead","Seguro e Garantia")</f>
        <v>Seguro e Garantia</v>
      </c>
      <c r="J18" s="2590"/>
      <c r="K18" s="2590"/>
      <c r="L18" s="2595"/>
      <c r="M18" s="1113" t="str">
        <f>IF($I$11=$A$80,"K2","SG")</f>
        <v>SG</v>
      </c>
      <c r="N18" s="1114">
        <v>8.0000000000000002E-3</v>
      </c>
      <c r="O18" s="1115" t="s">
        <v>16057</v>
      </c>
      <c r="P18" s="1116">
        <f>VLOOKUP(CONCATENATE(I$11,"-",M18),$C$2:$G$71,3,FALSE)</f>
        <v>8.0000000000000002E-3</v>
      </c>
      <c r="Q18" s="1116">
        <f>VLOOKUP(CONCATENATE(I$11,"-",M18),$C$2:$G$71,4,FALSE)</f>
        <v>8.0000000000000002E-3</v>
      </c>
      <c r="R18" s="1117">
        <f>VLOOKUP(CONCATENATE(I$11,"-",M18),$C$2:$G$71,5,FALSE)</f>
        <v>0.01</v>
      </c>
      <c r="S18" s="1118"/>
    </row>
    <row r="19" spans="1:19" ht="15.75" hidden="1" customHeight="1">
      <c r="A19" s="133" t="str">
        <f>A18</f>
        <v>Construção de Redes de Abastecimento de Água, Coleta de Esgoto</v>
      </c>
      <c r="B19" s="1101" t="s">
        <v>16043</v>
      </c>
      <c r="C19" s="133" t="str">
        <f t="shared" si="1"/>
        <v>Construção de Redes de Abastecimento de Água, Coleta de Esgoto-BDI PAD</v>
      </c>
      <c r="D19" s="133"/>
      <c r="E19" s="1095">
        <v>0.20760000000000001</v>
      </c>
      <c r="F19" s="1095">
        <v>0.24179999999999999</v>
      </c>
      <c r="G19" s="1095">
        <v>0.26440000000000002</v>
      </c>
      <c r="H19" s="133"/>
      <c r="I19" s="3463" t="str">
        <f>IF($I$11=$A$80,"","Risco")</f>
        <v>Risco</v>
      </c>
      <c r="J19" s="2590"/>
      <c r="K19" s="2590"/>
      <c r="L19" s="2595"/>
      <c r="M19" s="1113" t="str">
        <f>IF($I$11=$A$80,"","R")</f>
        <v>R</v>
      </c>
      <c r="N19" s="1114">
        <v>1.2699999999999999E-2</v>
      </c>
      <c r="O19" s="1115" t="s">
        <v>16057</v>
      </c>
      <c r="P19" s="1116">
        <f>VLOOKUP(CONCATENATE(I$11,"-",M19),$C$2:$G$71,3,FALSE)</f>
        <v>9.7000000000000003E-3</v>
      </c>
      <c r="Q19" s="1116">
        <f>VLOOKUP(CONCATENATE(I$11,"-",M19),$C$2:$G$71,4,FALSE)</f>
        <v>1.2699999999999999E-2</v>
      </c>
      <c r="R19" s="1117">
        <f>VLOOKUP(CONCATENATE(I$11,"-",M19),$C$2:$G$71,5,FALSE)</f>
        <v>1.2699999999999999E-2</v>
      </c>
      <c r="S19" s="1118"/>
    </row>
    <row r="20" spans="1:19" ht="15.75" hidden="1" customHeight="1">
      <c r="A20" s="133" t="s">
        <v>16058</v>
      </c>
      <c r="B20" s="1094" t="s">
        <v>16039</v>
      </c>
      <c r="C20" s="133" t="str">
        <f t="shared" si="1"/>
        <v>Construção e Manutenção de Estações e Redes de Distribuição de Energia Elétrica-AC</v>
      </c>
      <c r="D20" s="133"/>
      <c r="E20" s="1095">
        <v>5.2900000000000003E-2</v>
      </c>
      <c r="F20" s="1095">
        <v>5.9200000000000003E-2</v>
      </c>
      <c r="G20" s="1095">
        <v>7.9299999999999995E-2</v>
      </c>
      <c r="H20" s="133"/>
      <c r="I20" s="3463" t="str">
        <f>IF($I$11=$A$80,"","Despesas Financeiras")</f>
        <v>Despesas Financeiras</v>
      </c>
      <c r="J20" s="2590"/>
      <c r="K20" s="2590"/>
      <c r="L20" s="2595"/>
      <c r="M20" s="1113" t="str">
        <f>IF($I$11=$A$80,"","DF")</f>
        <v>DF</v>
      </c>
      <c r="N20" s="1114">
        <v>1.23E-2</v>
      </c>
      <c r="O20" s="1115" t="s">
        <v>16057</v>
      </c>
      <c r="P20" s="1116">
        <f>VLOOKUP(CONCATENATE(I$11,"-",M20),$C$2:$G$71,3,FALSE)</f>
        <v>5.8999999999999999E-3</v>
      </c>
      <c r="Q20" s="1116">
        <f>VLOOKUP(CONCATENATE(I$11,"-",M20),$C$2:$G$71,4,FALSE)</f>
        <v>1.23E-2</v>
      </c>
      <c r="R20" s="1117">
        <f>VLOOKUP(CONCATENATE(I$11,"-",M20),$C$2:$G$71,5,FALSE)</f>
        <v>1.3899999999999999E-2</v>
      </c>
      <c r="S20" s="1118"/>
    </row>
    <row r="21" spans="1:19" ht="15.75" hidden="1" customHeight="1">
      <c r="A21" s="133" t="str">
        <f>A20</f>
        <v>Construção e Manutenção de Estações e Redes de Distribuição de Energia Elétrica</v>
      </c>
      <c r="B21" s="1094" t="s">
        <v>16040</v>
      </c>
      <c r="C21" s="133" t="str">
        <f t="shared" si="1"/>
        <v>Construção e Manutenção de Estações e Redes de Distribuição de Energia Elétrica-SG</v>
      </c>
      <c r="D21" s="133"/>
      <c r="E21" s="1095">
        <v>2.5000000000000001E-3</v>
      </c>
      <c r="F21" s="1095">
        <v>5.1000000000000004E-3</v>
      </c>
      <c r="G21" s="1095">
        <v>5.6000000000000008E-3</v>
      </c>
      <c r="H21" s="133"/>
      <c r="I21" s="3463" t="str">
        <f>IF($I$11=$A$80,"Margem bruta da empresa de consultoria","Lucro")</f>
        <v>Lucro</v>
      </c>
      <c r="J21" s="2590"/>
      <c r="K21" s="2590"/>
      <c r="L21" s="2595"/>
      <c r="M21" s="1113" t="str">
        <f>IF($I$11=$A$80,"K3","L")</f>
        <v>L</v>
      </c>
      <c r="N21" s="1114">
        <v>7.3999999999999996E-2</v>
      </c>
      <c r="O21" s="1115" t="s">
        <v>16057</v>
      </c>
      <c r="P21" s="1116">
        <f>VLOOKUP(CONCATENATE(I$11,"-",M21),$C$2:$G$71,3,FALSE)</f>
        <v>6.1600000000000002E-2</v>
      </c>
      <c r="Q21" s="1116">
        <f>VLOOKUP(CONCATENATE(I$11,"-",M21),$C$2:$G$71,4,FALSE)</f>
        <v>7.400000000000001E-2</v>
      </c>
      <c r="R21" s="1117">
        <f>VLOOKUP(CONCATENATE(I$11,"-",M21),$C$2:$G$71,5,FALSE)</f>
        <v>8.9600000000000013E-2</v>
      </c>
      <c r="S21" s="1118"/>
    </row>
    <row r="22" spans="1:19" ht="15.75" hidden="1" customHeight="1">
      <c r="A22" s="133" t="str">
        <f>A21</f>
        <v>Construção e Manutenção de Estações e Redes de Distribuição de Energia Elétrica</v>
      </c>
      <c r="B22" s="1094" t="s">
        <v>16041</v>
      </c>
      <c r="C22" s="133" t="str">
        <f t="shared" si="1"/>
        <v>Construção e Manutenção de Estações e Redes de Distribuição de Energia Elétrica-R</v>
      </c>
      <c r="D22" s="133"/>
      <c r="E22" s="1095">
        <v>0.01</v>
      </c>
      <c r="F22" s="1095">
        <v>1.4800000000000001E-2</v>
      </c>
      <c r="G22" s="1095">
        <v>1.9699999999999999E-2</v>
      </c>
      <c r="H22" s="133"/>
      <c r="I22" s="3464" t="s">
        <v>16059</v>
      </c>
      <c r="J22" s="2590"/>
      <c r="K22" s="2590"/>
      <c r="L22" s="2595"/>
      <c r="M22" s="1113" t="s">
        <v>16060</v>
      </c>
      <c r="N22" s="1114">
        <v>3.6499999999999998E-2</v>
      </c>
      <c r="O22" s="1115" t="s">
        <v>16057</v>
      </c>
      <c r="P22" s="1116">
        <v>3.6499999999999998E-2</v>
      </c>
      <c r="Q22" s="1116">
        <v>3.6499999999999998E-2</v>
      </c>
      <c r="R22" s="1117">
        <v>3.6499999999999998E-2</v>
      </c>
      <c r="S22" s="1118"/>
    </row>
    <row r="23" spans="1:19" ht="15.75" hidden="1" customHeight="1">
      <c r="A23" s="133" t="str">
        <f>A22</f>
        <v>Construção e Manutenção de Estações e Redes de Distribuição de Energia Elétrica</v>
      </c>
      <c r="B23" s="1094" t="s">
        <v>16042</v>
      </c>
      <c r="C23" s="133" t="str">
        <f t="shared" si="1"/>
        <v>Construção e Manutenção de Estações e Redes de Distribuição de Energia Elétrica-DF</v>
      </c>
      <c r="D23" s="133"/>
      <c r="E23" s="1095">
        <v>1.01E-2</v>
      </c>
      <c r="F23" s="1095">
        <v>1.0700000000000001E-2</v>
      </c>
      <c r="G23" s="1095">
        <v>1.11E-2</v>
      </c>
      <c r="H23" s="133"/>
      <c r="I23" s="3463" t="s">
        <v>16061</v>
      </c>
      <c r="J23" s="2590"/>
      <c r="K23" s="2590"/>
      <c r="L23" s="2595"/>
      <c r="M23" s="1113" t="s">
        <v>16062</v>
      </c>
      <c r="N23" s="1119">
        <f>IF(I11&lt;&gt;A79,Q13*Q12,0)</f>
        <v>2.0000000000000004E-2</v>
      </c>
      <c r="O23" s="1115" t="s">
        <v>16057</v>
      </c>
      <c r="P23" s="1116">
        <v>0</v>
      </c>
      <c r="Q23" s="1116">
        <v>2.5000000000000001E-2</v>
      </c>
      <c r="R23" s="1117">
        <v>0.05</v>
      </c>
      <c r="S23" s="1118"/>
    </row>
    <row r="24" spans="1:19" ht="39" hidden="1" customHeight="1">
      <c r="A24" s="133" t="str">
        <f>A23</f>
        <v>Construção e Manutenção de Estações e Redes de Distribuição de Energia Elétrica</v>
      </c>
      <c r="B24" s="1094" t="s">
        <v>56</v>
      </c>
      <c r="C24" s="133" t="str">
        <f t="shared" si="1"/>
        <v>Construção e Manutenção de Estações e Redes de Distribuição de Energia Elétrica-L</v>
      </c>
      <c r="D24" s="133"/>
      <c r="E24" s="1095">
        <v>0.08</v>
      </c>
      <c r="F24" s="1095">
        <v>8.3100000000000007E-2</v>
      </c>
      <c r="G24" s="1095">
        <v>9.5100000000000004E-2</v>
      </c>
      <c r="H24" s="133"/>
      <c r="I24" s="3463" t="s">
        <v>16063</v>
      </c>
      <c r="J24" s="2590"/>
      <c r="K24" s="2590"/>
      <c r="L24" s="2595"/>
      <c r="M24" s="1113" t="s">
        <v>16064</v>
      </c>
      <c r="N24" s="1116">
        <f>IF(Q11="Sim",4.5%,0%)</f>
        <v>0</v>
      </c>
      <c r="O24" s="1115" t="str">
        <f>IF(AND(N24&gt;=P24, N24&lt;=R24), "OK", "Não OK")</f>
        <v>OK</v>
      </c>
      <c r="P24" s="1120">
        <v>0</v>
      </c>
      <c r="Q24" s="1120">
        <v>4.4999999999999998E-2</v>
      </c>
      <c r="R24" s="1121">
        <v>4.4999999999999998E-2</v>
      </c>
      <c r="S24" s="1122"/>
    </row>
    <row r="25" spans="1:19" ht="27" hidden="1" customHeight="1">
      <c r="A25" s="133" t="str">
        <f>A24</f>
        <v>Construção e Manutenção de Estações e Redes de Distribuição de Energia Elétrica</v>
      </c>
      <c r="B25" s="1101" t="s">
        <v>16043</v>
      </c>
      <c r="C25" s="133" t="str">
        <f t="shared" si="1"/>
        <v>Construção e Manutenção de Estações e Redes de Distribuição de Energia Elétrica-BDI PAD</v>
      </c>
      <c r="D25" s="133"/>
      <c r="E25" s="1095">
        <v>0.24</v>
      </c>
      <c r="F25" s="1095">
        <v>0.25840000000000002</v>
      </c>
      <c r="G25" s="1095">
        <v>0.27860000000000001</v>
      </c>
      <c r="H25" s="133"/>
      <c r="I25" s="3463" t="s">
        <v>16065</v>
      </c>
      <c r="J25" s="2590"/>
      <c r="K25" s="2590"/>
      <c r="L25" s="2595"/>
      <c r="M25" s="1123" t="s">
        <v>16043</v>
      </c>
      <c r="N25" s="1116">
        <f>ROUND((((1+N17+N18+N19)*(1+N20)*(1+N21)/(1-(N22+N23)))-1),4)</f>
        <v>0.2223</v>
      </c>
      <c r="O25" s="1115" t="str">
        <f>IF(OR($I$11=$A$80,AND(N25&gt;=P25, N25&lt;=R25)), "OK", "NÃO OK")</f>
        <v>OK</v>
      </c>
      <c r="P25" s="1116">
        <f>VLOOKUP(CONCATENATE($I$11,"-",$M25),$C$2:$G$71,3,FALSE)</f>
        <v>0.2034</v>
      </c>
      <c r="Q25" s="1116">
        <f>VLOOKUP(CONCATENATE($I$11,"-",$M25),$C$2:$G$71,4,FALSE)</f>
        <v>0.22120000000000001</v>
      </c>
      <c r="R25" s="1117">
        <f>VLOOKUP(CONCATENATE($I$11,"-",$M25),$C$2:$G$71,5,FALSE)</f>
        <v>0.25</v>
      </c>
      <c r="S25" s="1118"/>
    </row>
    <row r="26" spans="1:19" ht="15.75" hidden="1" customHeight="1">
      <c r="A26" s="133"/>
      <c r="B26" s="1094"/>
      <c r="C26" s="133"/>
      <c r="D26" s="133"/>
      <c r="E26" s="1095"/>
      <c r="F26" s="1095"/>
      <c r="G26" s="1095"/>
      <c r="H26" s="133"/>
      <c r="I26" s="1124"/>
      <c r="J26" s="4"/>
      <c r="K26" s="4"/>
      <c r="L26" s="4"/>
      <c r="M26" s="4"/>
      <c r="N26" s="1125">
        <f>1+(ROUND((((1+N17+N18+N19)*(1+N20)*(1+N21)/(1-(N22+N23+N24)))-1),4))</f>
        <v>1.2222999999999999</v>
      </c>
      <c r="O26" s="4"/>
      <c r="P26" s="4"/>
      <c r="Q26" s="4"/>
      <c r="R26" s="1126"/>
      <c r="S26" s="711"/>
    </row>
    <row r="27" spans="1:19" ht="15.75" hidden="1" customHeight="1">
      <c r="A27" s="133"/>
      <c r="B27" s="1094"/>
      <c r="C27" s="133"/>
      <c r="D27" s="133"/>
      <c r="E27" s="1095"/>
      <c r="F27" s="1095"/>
      <c r="G27" s="1095"/>
      <c r="H27" s="133"/>
      <c r="I27" s="3465" t="s">
        <v>16066</v>
      </c>
      <c r="J27" s="2588"/>
      <c r="K27" s="2588"/>
      <c r="L27" s="2588"/>
      <c r="M27" s="2588"/>
      <c r="N27" s="2588"/>
      <c r="O27" s="2588"/>
      <c r="P27" s="2588"/>
      <c r="Q27" s="2588"/>
      <c r="R27" s="2621"/>
      <c r="S27" s="1103"/>
    </row>
    <row r="28" spans="1:19" ht="15.75" hidden="1" customHeight="1">
      <c r="A28" s="133"/>
      <c r="B28" s="1094"/>
      <c r="C28" s="133"/>
      <c r="D28" s="133"/>
      <c r="E28" s="1095"/>
      <c r="F28" s="1095"/>
      <c r="G28" s="1095"/>
      <c r="H28" s="133"/>
      <c r="I28" s="3448" t="s">
        <v>16046</v>
      </c>
      <c r="J28" s="2634"/>
      <c r="K28" s="2634"/>
      <c r="L28" s="2634"/>
      <c r="M28" s="2634"/>
      <c r="N28" s="2634"/>
      <c r="O28" s="2634"/>
      <c r="P28" s="2634"/>
      <c r="Q28" s="3449" t="s">
        <v>16047</v>
      </c>
      <c r="R28" s="2618"/>
      <c r="S28" s="1104"/>
    </row>
    <row r="29" spans="1:19" ht="15.75" hidden="1" customHeight="1">
      <c r="A29" s="133"/>
      <c r="B29" s="1094"/>
      <c r="C29" s="133"/>
      <c r="D29" s="133"/>
      <c r="E29" s="1095"/>
      <c r="F29" s="1095"/>
      <c r="G29" s="1095"/>
      <c r="H29" s="133"/>
      <c r="I29" s="3450" t="s">
        <v>16038</v>
      </c>
      <c r="J29" s="2590"/>
      <c r="K29" s="2590"/>
      <c r="L29" s="2590"/>
      <c r="M29" s="2590"/>
      <c r="N29" s="2590"/>
      <c r="O29" s="2590"/>
      <c r="P29" s="2595"/>
      <c r="Q29" s="3451" t="s">
        <v>16048</v>
      </c>
      <c r="R29" s="3452"/>
      <c r="S29" s="1105"/>
    </row>
    <row r="30" spans="1:19" ht="15.75" hidden="1" customHeight="1">
      <c r="A30" s="133"/>
      <c r="B30" s="1094"/>
      <c r="C30" s="133"/>
      <c r="D30" s="133"/>
      <c r="E30" s="1095"/>
      <c r="F30" s="1095"/>
      <c r="G30" s="1095"/>
      <c r="H30" s="133"/>
      <c r="I30" s="3454" t="s">
        <v>16049</v>
      </c>
      <c r="J30" s="2590"/>
      <c r="K30" s="2590"/>
      <c r="L30" s="2590"/>
      <c r="M30" s="2590"/>
      <c r="N30" s="2590"/>
      <c r="O30" s="2590"/>
      <c r="P30" s="2595"/>
      <c r="Q30" s="3453">
        <v>0.4</v>
      </c>
      <c r="R30" s="2618"/>
      <c r="S30" s="1106"/>
    </row>
    <row r="31" spans="1:19" ht="15.75" hidden="1" customHeight="1">
      <c r="A31" s="133"/>
      <c r="B31" s="1094"/>
      <c r="C31" s="133"/>
      <c r="D31" s="133"/>
      <c r="E31" s="1095"/>
      <c r="F31" s="1095"/>
      <c r="G31" s="1095"/>
      <c r="H31" s="133"/>
      <c r="I31" s="3455" t="s">
        <v>16051</v>
      </c>
      <c r="J31" s="2590"/>
      <c r="K31" s="2590"/>
      <c r="L31" s="2590"/>
      <c r="M31" s="2590"/>
      <c r="N31" s="2590"/>
      <c r="O31" s="2590"/>
      <c r="P31" s="2595"/>
      <c r="Q31" s="3453">
        <v>0.05</v>
      </c>
      <c r="R31" s="2618"/>
      <c r="S31" s="1106"/>
    </row>
    <row r="32" spans="1:19" ht="15.75" hidden="1" customHeight="1">
      <c r="A32" s="133"/>
      <c r="B32" s="1094"/>
      <c r="C32" s="133"/>
      <c r="D32" s="133"/>
      <c r="E32" s="1095"/>
      <c r="F32" s="1095"/>
      <c r="G32" s="1095"/>
      <c r="H32" s="133"/>
      <c r="I32" s="1107"/>
      <c r="J32" s="130"/>
      <c r="K32" s="130"/>
      <c r="L32" s="130"/>
      <c r="M32" s="130"/>
      <c r="N32" s="130"/>
      <c r="O32" s="130"/>
      <c r="P32" s="130"/>
      <c r="Q32" s="130"/>
      <c r="R32" s="1108"/>
      <c r="S32" s="1109"/>
    </row>
    <row r="33" spans="1:19" ht="15.75" hidden="1" customHeight="1">
      <c r="A33" s="133"/>
      <c r="B33" s="1094"/>
      <c r="C33" s="133"/>
      <c r="D33" s="133"/>
      <c r="E33" s="1095"/>
      <c r="F33" s="1095"/>
      <c r="G33" s="1095"/>
      <c r="H33" s="133"/>
      <c r="I33" s="3460" t="s">
        <v>16052</v>
      </c>
      <c r="J33" s="2634"/>
      <c r="K33" s="2634"/>
      <c r="L33" s="3461"/>
      <c r="M33" s="3456" t="s">
        <v>16053</v>
      </c>
      <c r="N33" s="3458" t="s">
        <v>16054</v>
      </c>
      <c r="O33" s="3458" t="s">
        <v>16055</v>
      </c>
      <c r="P33" s="3459" t="s">
        <v>16056</v>
      </c>
      <c r="Q33" s="2590"/>
      <c r="R33" s="2618"/>
      <c r="S33" s="1092"/>
    </row>
    <row r="34" spans="1:19" ht="15.75" hidden="1" customHeight="1">
      <c r="A34" s="133"/>
      <c r="B34" s="1094"/>
      <c r="C34" s="133"/>
      <c r="D34" s="133"/>
      <c r="E34" s="1095"/>
      <c r="F34" s="1095"/>
      <c r="G34" s="1095"/>
      <c r="H34" s="133"/>
      <c r="I34" s="3462"/>
      <c r="J34" s="2631"/>
      <c r="K34" s="2631"/>
      <c r="L34" s="2625"/>
      <c r="M34" s="3457"/>
      <c r="N34" s="3457"/>
      <c r="O34" s="3457"/>
      <c r="P34" s="1110" t="s">
        <v>12546</v>
      </c>
      <c r="Q34" s="1110" t="s">
        <v>12547</v>
      </c>
      <c r="R34" s="1111" t="s">
        <v>12548</v>
      </c>
      <c r="S34" s="1112"/>
    </row>
    <row r="35" spans="1:19" ht="15.75" hidden="1" customHeight="1">
      <c r="A35" s="133"/>
      <c r="B35" s="1094"/>
      <c r="C35" s="133"/>
      <c r="D35" s="133"/>
      <c r="E35" s="1095"/>
      <c r="F35" s="1095"/>
      <c r="G35" s="1095"/>
      <c r="H35" s="133"/>
      <c r="I35" s="3463" t="str">
        <f>IF($I$11=$A$80,"Encargos Sociais incidentes sobre a mão de obra","Administração Central")</f>
        <v>Administração Central</v>
      </c>
      <c r="J35" s="2590"/>
      <c r="K35" s="2590"/>
      <c r="L35" s="2595"/>
      <c r="M35" s="1113" t="str">
        <f>IF($I$11=$A$80,"K1","AC")</f>
        <v>AC</v>
      </c>
      <c r="N35" s="1114">
        <v>4.2999999999999997E-2</v>
      </c>
      <c r="O35" s="1115" t="s">
        <v>16057</v>
      </c>
      <c r="P35" s="1116">
        <f>VLOOKUP(CONCATENATE(I$11,"-",M35),$C$2:$G$71,3,FALSE)</f>
        <v>0.03</v>
      </c>
      <c r="Q35" s="1116">
        <f>VLOOKUP(CONCATENATE(I$11,"-",M35),$C$2:$G$71,4,FALSE)</f>
        <v>0.04</v>
      </c>
      <c r="R35" s="1117">
        <f>VLOOKUP(CONCATENATE(I$11,"-",M35),$C$2:$G$71,5,FALSE)</f>
        <v>5.5E-2</v>
      </c>
      <c r="S35" s="1118"/>
    </row>
    <row r="36" spans="1:19" ht="15.75" hidden="1" customHeight="1">
      <c r="A36" s="133"/>
      <c r="B36" s="1094"/>
      <c r="C36" s="133"/>
      <c r="D36" s="133"/>
      <c r="E36" s="1095"/>
      <c r="F36" s="1095"/>
      <c r="G36" s="1095"/>
      <c r="H36" s="133"/>
      <c r="I36" s="3463" t="str">
        <f>IF($I$11=$A$80,"Administração Central da empresa ou consultoria - overhead","Seguro e Garantia")</f>
        <v>Seguro e Garantia</v>
      </c>
      <c r="J36" s="2590"/>
      <c r="K36" s="2590"/>
      <c r="L36" s="2595"/>
      <c r="M36" s="1113" t="str">
        <f>IF($I$11=$A$80,"K2","SG")</f>
        <v>SG</v>
      </c>
      <c r="N36" s="1114">
        <v>0.01</v>
      </c>
      <c r="O36" s="1115" t="s">
        <v>16057</v>
      </c>
      <c r="P36" s="1116">
        <f>VLOOKUP(CONCATENATE(I$11,"-",M36),$C$2:$G$71,3,FALSE)</f>
        <v>8.0000000000000002E-3</v>
      </c>
      <c r="Q36" s="1116">
        <f>VLOOKUP(CONCATENATE(I$11,"-",M36),$C$2:$G$71,4,FALSE)</f>
        <v>8.0000000000000002E-3</v>
      </c>
      <c r="R36" s="1117">
        <f>VLOOKUP(CONCATENATE(I$11,"-",M36),$C$2:$G$71,5,FALSE)</f>
        <v>0.01</v>
      </c>
      <c r="S36" s="1118"/>
    </row>
    <row r="37" spans="1:19" ht="15.75" hidden="1" customHeight="1">
      <c r="A37" s="133"/>
      <c r="B37" s="1094"/>
      <c r="C37" s="133"/>
      <c r="D37" s="133"/>
      <c r="E37" s="1095"/>
      <c r="F37" s="1095"/>
      <c r="G37" s="1095"/>
      <c r="H37" s="133"/>
      <c r="I37" s="3463" t="str">
        <f>IF($I$11=$A$80,"","Risco")</f>
        <v>Risco</v>
      </c>
      <c r="J37" s="2590"/>
      <c r="K37" s="2590"/>
      <c r="L37" s="2595"/>
      <c r="M37" s="1113" t="str">
        <f>IF($I$11=$A$80,"","R")</f>
        <v>R</v>
      </c>
      <c r="N37" s="1114">
        <v>1.2699999999999999E-2</v>
      </c>
      <c r="O37" s="1115" t="s">
        <v>16057</v>
      </c>
      <c r="P37" s="1116">
        <f>VLOOKUP(CONCATENATE(I$11,"-",M37),$C$2:$G$71,3,FALSE)</f>
        <v>9.7000000000000003E-3</v>
      </c>
      <c r="Q37" s="1116">
        <f>VLOOKUP(CONCATENATE(I$11,"-",M37),$C$2:$G$71,4,FALSE)</f>
        <v>1.2699999999999999E-2</v>
      </c>
      <c r="R37" s="1117">
        <f>VLOOKUP(CONCATENATE(I$11,"-",M37),$C$2:$G$71,5,FALSE)</f>
        <v>1.2699999999999999E-2</v>
      </c>
      <c r="S37" s="1118"/>
    </row>
    <row r="38" spans="1:19" ht="15.75" hidden="1" customHeight="1">
      <c r="A38" s="133"/>
      <c r="B38" s="1094"/>
      <c r="C38" s="133"/>
      <c r="D38" s="133"/>
      <c r="E38" s="1095"/>
      <c r="F38" s="1095"/>
      <c r="G38" s="1095"/>
      <c r="H38" s="133"/>
      <c r="I38" s="3463" t="str">
        <f>IF($I$11=$A$80,"","Despesas Financeiras")</f>
        <v>Despesas Financeiras</v>
      </c>
      <c r="J38" s="2590"/>
      <c r="K38" s="2590"/>
      <c r="L38" s="2595"/>
      <c r="M38" s="1113" t="str">
        <f>IF($I$11=$A$80,"","DF")</f>
        <v>DF</v>
      </c>
      <c r="N38" s="1114">
        <v>1.3899999999999999E-2</v>
      </c>
      <c r="O38" s="1115" t="s">
        <v>16057</v>
      </c>
      <c r="P38" s="1116">
        <f>VLOOKUP(CONCATENATE(I$11,"-",M38),$C$2:$G$71,3,FALSE)</f>
        <v>5.8999999999999999E-3</v>
      </c>
      <c r="Q38" s="1116">
        <f>VLOOKUP(CONCATENATE(I$11,"-",M38),$C$2:$G$71,4,FALSE)</f>
        <v>1.23E-2</v>
      </c>
      <c r="R38" s="1117">
        <f>VLOOKUP(CONCATENATE(I$11,"-",M38),$C$2:$G$71,5,FALSE)</f>
        <v>1.3899999999999999E-2</v>
      </c>
      <c r="S38" s="1118"/>
    </row>
    <row r="39" spans="1:19" ht="15.75" hidden="1" customHeight="1">
      <c r="A39" s="133"/>
      <c r="B39" s="1094"/>
      <c r="C39" s="133"/>
      <c r="D39" s="133"/>
      <c r="E39" s="1095"/>
      <c r="F39" s="1095"/>
      <c r="G39" s="1095"/>
      <c r="H39" s="133"/>
      <c r="I39" s="3463" t="str">
        <f>IF($I$11=$A$80,"Margem bruta da empresa de consultoria","Lucro")</f>
        <v>Lucro</v>
      </c>
      <c r="J39" s="2590"/>
      <c r="K39" s="2590"/>
      <c r="L39" s="2595"/>
      <c r="M39" s="1113" t="str">
        <f>IF($I$11=$A$80,"K3","L")</f>
        <v>L</v>
      </c>
      <c r="N39" s="1114">
        <v>8.1000000000000003E-2</v>
      </c>
      <c r="O39" s="1115" t="s">
        <v>16057</v>
      </c>
      <c r="P39" s="1116">
        <f>VLOOKUP(CONCATENATE(I$11,"-",M39),$C$2:$G$71,3,FALSE)</f>
        <v>6.1600000000000002E-2</v>
      </c>
      <c r="Q39" s="1116">
        <f>VLOOKUP(CONCATENATE(I$11,"-",M39),$C$2:$G$71,4,FALSE)</f>
        <v>7.400000000000001E-2</v>
      </c>
      <c r="R39" s="1117">
        <f>VLOOKUP(CONCATENATE(I$11,"-",M39),$C$2:$G$71,5,FALSE)</f>
        <v>8.9600000000000013E-2</v>
      </c>
      <c r="S39" s="1118"/>
    </row>
    <row r="40" spans="1:19" ht="15.75" hidden="1" customHeight="1">
      <c r="A40" s="133"/>
      <c r="B40" s="1094"/>
      <c r="C40" s="133"/>
      <c r="D40" s="133"/>
      <c r="E40" s="1095"/>
      <c r="F40" s="1095"/>
      <c r="G40" s="1095"/>
      <c r="H40" s="133"/>
      <c r="I40" s="3464" t="s">
        <v>16059</v>
      </c>
      <c r="J40" s="2590"/>
      <c r="K40" s="2590"/>
      <c r="L40" s="2595"/>
      <c r="M40" s="1113" t="s">
        <v>16060</v>
      </c>
      <c r="N40" s="1114">
        <v>3.6499999999999998E-2</v>
      </c>
      <c r="O40" s="1115" t="s">
        <v>16057</v>
      </c>
      <c r="P40" s="1116">
        <v>3.6499999999999998E-2</v>
      </c>
      <c r="Q40" s="1116">
        <v>3.6499999999999998E-2</v>
      </c>
      <c r="R40" s="1117">
        <v>3.6499999999999998E-2</v>
      </c>
      <c r="S40" s="1118"/>
    </row>
    <row r="41" spans="1:19" ht="15.75" hidden="1" customHeight="1">
      <c r="A41" s="133"/>
      <c r="B41" s="1094"/>
      <c r="C41" s="133"/>
      <c r="D41" s="133"/>
      <c r="E41" s="1095"/>
      <c r="F41" s="1095"/>
      <c r="G41" s="1095"/>
      <c r="H41" s="133"/>
      <c r="I41" s="3463" t="s">
        <v>16061</v>
      </c>
      <c r="J41" s="2590"/>
      <c r="K41" s="2590"/>
      <c r="L41" s="2595"/>
      <c r="M41" s="1113" t="s">
        <v>16062</v>
      </c>
      <c r="N41" s="1119">
        <f>IF(I29&lt;&gt;A98,Q31*Q30,0)</f>
        <v>2.0000000000000004E-2</v>
      </c>
      <c r="O41" s="1115" t="s">
        <v>16057</v>
      </c>
      <c r="P41" s="1116">
        <v>0</v>
      </c>
      <c r="Q41" s="1116">
        <v>2.5000000000000001E-2</v>
      </c>
      <c r="R41" s="1117">
        <v>0.05</v>
      </c>
      <c r="S41" s="1118"/>
    </row>
    <row r="42" spans="1:19" ht="15.75" hidden="1">
      <c r="A42" s="133"/>
      <c r="B42" s="1094"/>
      <c r="C42" s="133"/>
      <c r="D42" s="133"/>
      <c r="E42" s="1095"/>
      <c r="F42" s="1095"/>
      <c r="G42" s="1095"/>
      <c r="H42" s="133"/>
      <c r="I42" s="3463" t="s">
        <v>16063</v>
      </c>
      <c r="J42" s="2590"/>
      <c r="K42" s="2590"/>
      <c r="L42" s="2595"/>
      <c r="M42" s="1113" t="s">
        <v>16064</v>
      </c>
      <c r="N42" s="1116">
        <f>IF(Q29="Sim",4.5%,0%)</f>
        <v>0</v>
      </c>
      <c r="O42" s="1115" t="str">
        <f>IF(AND(N42&gt;=P42, N42&lt;=R42), "OK", "Não OK")</f>
        <v>OK</v>
      </c>
      <c r="P42" s="1120">
        <v>0</v>
      </c>
      <c r="Q42" s="1120">
        <v>4.4999999999999998E-2</v>
      </c>
      <c r="R42" s="1121">
        <v>4.4999999999999998E-2</v>
      </c>
      <c r="S42" s="1122"/>
    </row>
    <row r="43" spans="1:19" ht="15.75" hidden="1" customHeight="1">
      <c r="A43" s="133"/>
      <c r="B43" s="1094"/>
      <c r="C43" s="133"/>
      <c r="D43" s="133"/>
      <c r="E43" s="1095"/>
      <c r="F43" s="1095"/>
      <c r="G43" s="1095"/>
      <c r="H43" s="133"/>
      <c r="I43" s="3463" t="s">
        <v>16065</v>
      </c>
      <c r="J43" s="2590"/>
      <c r="K43" s="2590"/>
      <c r="L43" s="2595"/>
      <c r="M43" s="1123" t="s">
        <v>16043</v>
      </c>
      <c r="N43" s="1116">
        <f>ROUND((((1+N35+N36+N37)*(1+N38)*(1+N39)/(1-(N40+N41)))-1),4)</f>
        <v>0.23799999999999999</v>
      </c>
      <c r="O43" s="1115" t="str">
        <f>IF(OR($I$11=$A$80,AND(N43&gt;=P43, N43&lt;=R43)), "OK", "NÃO OK")</f>
        <v>OK</v>
      </c>
      <c r="P43" s="1116">
        <f>VLOOKUP(CONCATENATE($I$11,"-",$M43),$C$2:$G$71,3,FALSE)</f>
        <v>0.2034</v>
      </c>
      <c r="Q43" s="1116">
        <f>VLOOKUP(CONCATENATE($I$11,"-",$M43),$C$2:$G$71,4,FALSE)</f>
        <v>0.22120000000000001</v>
      </c>
      <c r="R43" s="1117">
        <f>VLOOKUP(CONCATENATE($I$11,"-",$M43),$C$2:$G$71,5,FALSE)</f>
        <v>0.25</v>
      </c>
      <c r="S43" s="1118"/>
    </row>
    <row r="44" spans="1:19" ht="15.75" hidden="1" customHeight="1">
      <c r="A44" s="133"/>
      <c r="B44" s="1094"/>
      <c r="C44" s="133"/>
      <c r="D44" s="133"/>
      <c r="E44" s="1095"/>
      <c r="F44" s="1095"/>
      <c r="G44" s="1095"/>
      <c r="H44" s="133"/>
      <c r="I44" s="1124"/>
      <c r="J44" s="4"/>
      <c r="K44" s="4"/>
      <c r="L44" s="4"/>
      <c r="M44" s="4"/>
      <c r="N44" s="1125">
        <f>1+(ROUND((((1+N35+N36+N37)*(1+N38)*(1+N39)/(1-(N40+N41+N42)))-1),4))</f>
        <v>1.238</v>
      </c>
      <c r="O44" s="4"/>
      <c r="P44" s="4"/>
      <c r="Q44" s="4"/>
      <c r="R44" s="1126"/>
      <c r="S44" s="711"/>
    </row>
    <row r="45" spans="1:19" ht="21" hidden="1">
      <c r="A45" s="1127"/>
      <c r="B45" s="1128"/>
      <c r="C45" s="1127"/>
      <c r="D45" s="1127"/>
      <c r="E45" s="1129"/>
      <c r="F45" s="1129"/>
      <c r="G45" s="1129"/>
      <c r="H45" s="1127"/>
      <c r="I45" s="1130"/>
      <c r="J45" s="1131"/>
      <c r="K45" s="1131"/>
      <c r="L45" s="1131"/>
      <c r="M45" s="1131"/>
      <c r="N45" s="1131"/>
      <c r="O45" s="1131"/>
      <c r="P45" s="1131"/>
      <c r="Q45" s="1131"/>
      <c r="R45" s="1132"/>
      <c r="S45" s="1133"/>
    </row>
    <row r="46" spans="1:19" ht="37.5" customHeight="1">
      <c r="A46" s="1127"/>
      <c r="B46" s="1128"/>
      <c r="C46" s="1127"/>
      <c r="D46" s="1127"/>
      <c r="E46" s="1129"/>
      <c r="F46" s="1129"/>
      <c r="G46" s="1129"/>
      <c r="H46" s="1127"/>
      <c r="I46" s="3466" t="s">
        <v>16067</v>
      </c>
      <c r="J46" s="2607"/>
      <c r="K46" s="2607"/>
      <c r="L46" s="2607"/>
      <c r="M46" s="2607"/>
      <c r="N46" s="2607"/>
      <c r="O46" s="2607"/>
      <c r="P46" s="2607"/>
      <c r="Q46" s="2607"/>
      <c r="R46" s="3400"/>
      <c r="S46" s="1133"/>
    </row>
    <row r="47" spans="1:19" ht="15.75" customHeight="1">
      <c r="A47" s="133"/>
      <c r="B47" s="1094"/>
      <c r="C47" s="133"/>
      <c r="D47" s="133"/>
      <c r="E47" s="1095"/>
      <c r="F47" s="1095"/>
      <c r="G47" s="1095"/>
      <c r="H47" s="133"/>
      <c r="I47" s="3448" t="s">
        <v>16046</v>
      </c>
      <c r="J47" s="2634"/>
      <c r="K47" s="2634"/>
      <c r="L47" s="2634"/>
      <c r="M47" s="2634"/>
      <c r="N47" s="2634"/>
      <c r="O47" s="2634"/>
      <c r="P47" s="2634"/>
      <c r="Q47" s="3449" t="s">
        <v>16047</v>
      </c>
      <c r="R47" s="2618"/>
      <c r="S47" s="1104"/>
    </row>
    <row r="48" spans="1:19" ht="15.75" customHeight="1">
      <c r="A48" s="133"/>
      <c r="B48" s="1094"/>
      <c r="C48" s="133"/>
      <c r="D48" s="133"/>
      <c r="E48" s="1095"/>
      <c r="F48" s="1095"/>
      <c r="G48" s="1095"/>
      <c r="H48" s="133"/>
      <c r="I48" s="3450" t="s">
        <v>16038</v>
      </c>
      <c r="J48" s="2590"/>
      <c r="K48" s="2590"/>
      <c r="L48" s="2590"/>
      <c r="M48" s="2590"/>
      <c r="N48" s="2590"/>
      <c r="O48" s="2590"/>
      <c r="P48" s="2595"/>
      <c r="Q48" s="3451" t="s">
        <v>16048</v>
      </c>
      <c r="R48" s="3452"/>
      <c r="S48" s="1105"/>
    </row>
    <row r="49" spans="1:19" ht="15.75" customHeight="1">
      <c r="A49" s="133"/>
      <c r="B49" s="1094"/>
      <c r="C49" s="133"/>
      <c r="D49" s="133"/>
      <c r="E49" s="1095"/>
      <c r="F49" s="1095"/>
      <c r="G49" s="1095"/>
      <c r="H49" s="133"/>
      <c r="I49" s="3454" t="s">
        <v>16049</v>
      </c>
      <c r="J49" s="2590"/>
      <c r="K49" s="2590"/>
      <c r="L49" s="2590"/>
      <c r="M49" s="2590"/>
      <c r="N49" s="2590"/>
      <c r="O49" s="2590"/>
      <c r="P49" s="2595"/>
      <c r="Q49" s="3453">
        <v>0.4</v>
      </c>
      <c r="R49" s="2618"/>
      <c r="S49" s="1106"/>
    </row>
    <row r="50" spans="1:19" ht="15.75" customHeight="1">
      <c r="A50" s="133"/>
      <c r="B50" s="1094"/>
      <c r="C50" s="133"/>
      <c r="D50" s="133"/>
      <c r="E50" s="1095"/>
      <c r="F50" s="1095"/>
      <c r="G50" s="1095"/>
      <c r="H50" s="133"/>
      <c r="I50" s="3455" t="s">
        <v>16051</v>
      </c>
      <c r="J50" s="2590"/>
      <c r="K50" s="2590"/>
      <c r="L50" s="2590"/>
      <c r="M50" s="2590"/>
      <c r="N50" s="2590"/>
      <c r="O50" s="2590"/>
      <c r="P50" s="2595"/>
      <c r="Q50" s="3453">
        <v>0.05</v>
      </c>
      <c r="R50" s="2618"/>
      <c r="S50" s="1106"/>
    </row>
    <row r="51" spans="1:19" ht="15.75" customHeight="1">
      <c r="A51" s="133"/>
      <c r="B51" s="1094"/>
      <c r="C51" s="133"/>
      <c r="D51" s="133"/>
      <c r="E51" s="1095"/>
      <c r="F51" s="1095"/>
      <c r="G51" s="1095"/>
      <c r="H51" s="133"/>
      <c r="I51" s="1107"/>
      <c r="J51" s="130"/>
      <c r="K51" s="130"/>
      <c r="L51" s="130"/>
      <c r="M51" s="130"/>
      <c r="N51" s="130"/>
      <c r="O51" s="130"/>
      <c r="P51" s="130"/>
      <c r="Q51" s="130"/>
      <c r="R51" s="1108"/>
      <c r="S51" s="1109"/>
    </row>
    <row r="52" spans="1:19" ht="15.75" customHeight="1">
      <c r="A52" s="133"/>
      <c r="B52" s="1094"/>
      <c r="C52" s="133"/>
      <c r="D52" s="133"/>
      <c r="E52" s="1095"/>
      <c r="F52" s="1095"/>
      <c r="G52" s="1095"/>
      <c r="H52" s="133"/>
      <c r="I52" s="3460" t="s">
        <v>16052</v>
      </c>
      <c r="J52" s="2634"/>
      <c r="K52" s="2634"/>
      <c r="L52" s="3461"/>
      <c r="M52" s="3456" t="s">
        <v>16053</v>
      </c>
      <c r="N52" s="3458" t="s">
        <v>16054</v>
      </c>
      <c r="O52" s="3458" t="s">
        <v>16055</v>
      </c>
      <c r="P52" s="3459" t="s">
        <v>16056</v>
      </c>
      <c r="Q52" s="2590"/>
      <c r="R52" s="2618"/>
      <c r="S52" s="1092"/>
    </row>
    <row r="53" spans="1:19" ht="15.75" customHeight="1">
      <c r="A53" s="133"/>
      <c r="B53" s="1094"/>
      <c r="C53" s="133"/>
      <c r="D53" s="133"/>
      <c r="E53" s="1095"/>
      <c r="F53" s="1095"/>
      <c r="G53" s="1095"/>
      <c r="H53" s="133"/>
      <c r="I53" s="3462"/>
      <c r="J53" s="2631"/>
      <c r="K53" s="2631"/>
      <c r="L53" s="2625"/>
      <c r="M53" s="3457"/>
      <c r="N53" s="3457"/>
      <c r="O53" s="3457"/>
      <c r="P53" s="1110" t="s">
        <v>12546</v>
      </c>
      <c r="Q53" s="1110" t="s">
        <v>12547</v>
      </c>
      <c r="R53" s="1111" t="s">
        <v>12548</v>
      </c>
      <c r="S53" s="1112"/>
    </row>
    <row r="54" spans="1:19" ht="15.75" customHeight="1">
      <c r="A54" s="133"/>
      <c r="B54" s="1094"/>
      <c r="C54" s="133"/>
      <c r="D54" s="133"/>
      <c r="E54" s="1095"/>
      <c r="F54" s="1095"/>
      <c r="G54" s="1095"/>
      <c r="H54" s="133"/>
      <c r="I54" s="3463" t="str">
        <f>IF($I$11=$A$80,"Encargos Sociais incidentes sobre a mão de obra","Administração Central")</f>
        <v>Administração Central</v>
      </c>
      <c r="J54" s="2590"/>
      <c r="K54" s="2590"/>
      <c r="L54" s="2595"/>
      <c r="M54" s="1113" t="str">
        <f>IF($I$11=$A$80,"K1","AC")</f>
        <v>AC</v>
      </c>
      <c r="N54" s="1114">
        <v>5.2499999999999998E-2</v>
      </c>
      <c r="O54" s="1115" t="s">
        <v>16057</v>
      </c>
      <c r="P54" s="1116">
        <f>VLOOKUP(CONCATENATE(I$11,"-",M54),$C$2:$G$71,3,FALSE)</f>
        <v>0.03</v>
      </c>
      <c r="Q54" s="1116">
        <f>VLOOKUP(CONCATENATE(I$11,"-",M54),$C$2:$G$71,4,FALSE)</f>
        <v>0.04</v>
      </c>
      <c r="R54" s="1117">
        <f>VLOOKUP(CONCATENATE(I$11,"-",M54),$C$2:$G$71,5,FALSE)</f>
        <v>5.5E-2</v>
      </c>
      <c r="S54" s="1118"/>
    </row>
    <row r="55" spans="1:19" ht="15.75" customHeight="1">
      <c r="A55" s="133"/>
      <c r="B55" s="1094"/>
      <c r="C55" s="133"/>
      <c r="D55" s="133"/>
      <c r="E55" s="1095"/>
      <c r="F55" s="1095"/>
      <c r="G55" s="1095"/>
      <c r="H55" s="133"/>
      <c r="I55" s="3463" t="str">
        <f>IF($I$11=$A$80,"Administração Central da empresa ou consultoria - overhead","Seguro e Garantia")</f>
        <v>Seguro e Garantia</v>
      </c>
      <c r="J55" s="2590"/>
      <c r="K55" s="2590"/>
      <c r="L55" s="2595"/>
      <c r="M55" s="1113" t="str">
        <f>IF($I$11=$A$80,"K2","SG")</f>
        <v>SG</v>
      </c>
      <c r="N55" s="1114">
        <v>9.9500000000000005E-3</v>
      </c>
      <c r="O55" s="1115" t="s">
        <v>16057</v>
      </c>
      <c r="P55" s="1116">
        <f>VLOOKUP(CONCATENATE(I$11,"-",M55),$C$2:$G$71,3,FALSE)</f>
        <v>8.0000000000000002E-3</v>
      </c>
      <c r="Q55" s="1116">
        <f>VLOOKUP(CONCATENATE(I$11,"-",M55),$C$2:$G$71,4,FALSE)</f>
        <v>8.0000000000000002E-3</v>
      </c>
      <c r="R55" s="1117">
        <f>VLOOKUP(CONCATENATE(I$11,"-",M55),$C$2:$G$71,5,FALSE)</f>
        <v>0.01</v>
      </c>
      <c r="S55" s="1118"/>
    </row>
    <row r="56" spans="1:19" ht="15.75" customHeight="1">
      <c r="A56" s="133"/>
      <c r="B56" s="1094"/>
      <c r="C56" s="133"/>
      <c r="D56" s="133"/>
      <c r="E56" s="1095"/>
      <c r="F56" s="1095"/>
      <c r="G56" s="1095"/>
      <c r="H56" s="133"/>
      <c r="I56" s="3463" t="str">
        <f>IF($I$11=$A$80,"","Risco")</f>
        <v>Risco</v>
      </c>
      <c r="J56" s="2590"/>
      <c r="K56" s="2590"/>
      <c r="L56" s="2595"/>
      <c r="M56" s="1113" t="str">
        <f>IF($I$11=$A$80,"","R")</f>
        <v>R</v>
      </c>
      <c r="N56" s="1114">
        <v>1.265E-2</v>
      </c>
      <c r="O56" s="1115" t="s">
        <v>16057</v>
      </c>
      <c r="P56" s="1116">
        <f>VLOOKUP(CONCATENATE(I$11,"-",M56),$C$2:$G$71,3,FALSE)</f>
        <v>9.7000000000000003E-3</v>
      </c>
      <c r="Q56" s="1116">
        <f>VLOOKUP(CONCATENATE(I$11,"-",M56),$C$2:$G$71,4,FALSE)</f>
        <v>1.2699999999999999E-2</v>
      </c>
      <c r="R56" s="1117">
        <f>VLOOKUP(CONCATENATE(I$11,"-",M56),$C$2:$G$71,5,FALSE)</f>
        <v>1.2699999999999999E-2</v>
      </c>
      <c r="S56" s="1118"/>
    </row>
    <row r="57" spans="1:19" ht="15.75" customHeight="1">
      <c r="A57" s="133"/>
      <c r="B57" s="1094"/>
      <c r="C57" s="133"/>
      <c r="D57" s="133"/>
      <c r="E57" s="1095"/>
      <c r="F57" s="1095"/>
      <c r="G57" s="1095"/>
      <c r="H57" s="133"/>
      <c r="I57" s="3463" t="str">
        <f>IF($I$11=$A$80,"","Despesas Financeiras")</f>
        <v>Despesas Financeiras</v>
      </c>
      <c r="J57" s="2590"/>
      <c r="K57" s="2590"/>
      <c r="L57" s="2595"/>
      <c r="M57" s="1113" t="str">
        <f>IF($I$11=$A$80,"","DF")</f>
        <v>DF</v>
      </c>
      <c r="N57" s="1114">
        <v>1.3849999999999999E-2</v>
      </c>
      <c r="O57" s="1115" t="s">
        <v>16057</v>
      </c>
      <c r="P57" s="1116">
        <f>VLOOKUP(CONCATENATE(I$11,"-",M57),$C$2:$G$71,3,FALSE)</f>
        <v>5.8999999999999999E-3</v>
      </c>
      <c r="Q57" s="1116">
        <f>VLOOKUP(CONCATENATE(I$11,"-",M57),$C$2:$G$71,4,FALSE)</f>
        <v>1.23E-2</v>
      </c>
      <c r="R57" s="1117">
        <f>VLOOKUP(CONCATENATE(I$11,"-",M57),$C$2:$G$71,5,FALSE)</f>
        <v>1.3899999999999999E-2</v>
      </c>
      <c r="S57" s="1118"/>
    </row>
    <row r="58" spans="1:19" ht="15.75" customHeight="1">
      <c r="A58" s="133"/>
      <c r="B58" s="1094"/>
      <c r="C58" s="133"/>
      <c r="D58" s="133"/>
      <c r="E58" s="1095"/>
      <c r="F58" s="1095"/>
      <c r="G58" s="1095"/>
      <c r="H58" s="133"/>
      <c r="I58" s="3463" t="str">
        <f>IF($I$11=$A$80,"Margem bruta da empresa de consultoria","Lucro")</f>
        <v>Lucro</v>
      </c>
      <c r="J58" s="2590"/>
      <c r="K58" s="2590"/>
      <c r="L58" s="2595"/>
      <c r="M58" s="1113" t="str">
        <f>IF($I$11=$A$80,"K3","L")</f>
        <v>L</v>
      </c>
      <c r="N58" s="1114">
        <v>8.2000000000000003E-2</v>
      </c>
      <c r="O58" s="1115" t="s">
        <v>16057</v>
      </c>
      <c r="P58" s="1116">
        <f>VLOOKUP(CONCATENATE(I$11,"-",M58),$C$2:$G$71,3,FALSE)</f>
        <v>6.1600000000000002E-2</v>
      </c>
      <c r="Q58" s="1116">
        <f>VLOOKUP(CONCATENATE(I$11,"-",M58),$C$2:$G$71,4,FALSE)</f>
        <v>7.400000000000001E-2</v>
      </c>
      <c r="R58" s="1117">
        <f>VLOOKUP(CONCATENATE(I$11,"-",M58),$C$2:$G$71,5,FALSE)</f>
        <v>8.9600000000000013E-2</v>
      </c>
      <c r="S58" s="1118"/>
    </row>
    <row r="59" spans="1:19" ht="15.75" customHeight="1">
      <c r="A59" s="133"/>
      <c r="B59" s="1094"/>
      <c r="C59" s="133"/>
      <c r="D59" s="133"/>
      <c r="E59" s="1095"/>
      <c r="F59" s="1095"/>
      <c r="G59" s="1095"/>
      <c r="H59" s="133"/>
      <c r="I59" s="3464" t="s">
        <v>16059</v>
      </c>
      <c r="J59" s="2590"/>
      <c r="K59" s="2590"/>
      <c r="L59" s="2595"/>
      <c r="M59" s="1113" t="s">
        <v>16060</v>
      </c>
      <c r="N59" s="1114">
        <v>3.6499999999999998E-2</v>
      </c>
      <c r="O59" s="1115" t="s">
        <v>16057</v>
      </c>
      <c r="P59" s="1116">
        <v>3.6499999999999998E-2</v>
      </c>
      <c r="Q59" s="1116">
        <v>3.6499999999999998E-2</v>
      </c>
      <c r="R59" s="1117">
        <v>3.6499999999999998E-2</v>
      </c>
      <c r="S59" s="1118"/>
    </row>
    <row r="60" spans="1:19" ht="15.75" customHeight="1">
      <c r="A60" s="133"/>
      <c r="B60" s="1094"/>
      <c r="C60" s="133"/>
      <c r="D60" s="133"/>
      <c r="E60" s="1095"/>
      <c r="F60" s="1095"/>
      <c r="G60" s="1095"/>
      <c r="H60" s="133"/>
      <c r="I60" s="3463" t="s">
        <v>16061</v>
      </c>
      <c r="J60" s="2590"/>
      <c r="K60" s="2590"/>
      <c r="L60" s="2595"/>
      <c r="M60" s="1113" t="s">
        <v>16062</v>
      </c>
      <c r="N60" s="1119">
        <f>IF(I48&lt;&gt;A117,Q50*Q49,0)</f>
        <v>2.0000000000000004E-2</v>
      </c>
      <c r="O60" s="1115" t="s">
        <v>16057</v>
      </c>
      <c r="P60" s="1116">
        <v>0</v>
      </c>
      <c r="Q60" s="1116">
        <v>2.5000000000000001E-2</v>
      </c>
      <c r="R60" s="1117">
        <v>0.05</v>
      </c>
      <c r="S60" s="1118"/>
    </row>
    <row r="61" spans="1:19" ht="33" customHeight="1">
      <c r="A61" s="133"/>
      <c r="B61" s="1094"/>
      <c r="C61" s="133"/>
      <c r="D61" s="133"/>
      <c r="E61" s="1095"/>
      <c r="F61" s="1095"/>
      <c r="G61" s="1095"/>
      <c r="H61" s="133"/>
      <c r="I61" s="3463" t="s">
        <v>16063</v>
      </c>
      <c r="J61" s="2590"/>
      <c r="K61" s="2590"/>
      <c r="L61" s="2595"/>
      <c r="M61" s="1113" t="s">
        <v>16064</v>
      </c>
      <c r="N61" s="1116">
        <f>IF(Q48="Sim",4.5%,0%)</f>
        <v>0</v>
      </c>
      <c r="O61" s="1115" t="str">
        <f>IF(AND(N61&gt;=P61, N61&lt;=R61), "OK", "Não OK")</f>
        <v>OK</v>
      </c>
      <c r="P61" s="1120">
        <v>0</v>
      </c>
      <c r="Q61" s="1120">
        <v>4.4999999999999998E-2</v>
      </c>
      <c r="R61" s="1121">
        <v>4.4999999999999998E-2</v>
      </c>
      <c r="S61" s="1122"/>
    </row>
    <row r="62" spans="1:19" ht="15.75" customHeight="1">
      <c r="A62" s="133"/>
      <c r="B62" s="1094"/>
      <c r="C62" s="133"/>
      <c r="D62" s="133"/>
      <c r="E62" s="1095"/>
      <c r="F62" s="1095"/>
      <c r="G62" s="1095"/>
      <c r="H62" s="133"/>
      <c r="I62" s="3463" t="s">
        <v>16065</v>
      </c>
      <c r="J62" s="2590"/>
      <c r="K62" s="2590"/>
      <c r="L62" s="2595"/>
      <c r="M62" s="1123" t="s">
        <v>16043</v>
      </c>
      <c r="N62" s="1116">
        <f>ROUND((((1+N54+N55+N56)*(1+N57)*(1+N58)/(1-(N59+N60)))-1),4)</f>
        <v>0.25</v>
      </c>
      <c r="O62" s="1115" t="str">
        <f>IF(OR($I$11=$A$80,AND(N62&gt;=P62, N62&lt;=R62)), "OK", "NÃO OK")</f>
        <v>OK</v>
      </c>
      <c r="P62" s="1116">
        <f>VLOOKUP(CONCATENATE($I$11,"-",$M62),$C$2:$G$71,3,FALSE)</f>
        <v>0.2034</v>
      </c>
      <c r="Q62" s="1116">
        <f>VLOOKUP(CONCATENATE($I$11,"-",$M62),$C$2:$G$71,4,FALSE)</f>
        <v>0.22120000000000001</v>
      </c>
      <c r="R62" s="1134">
        <f>VLOOKUP(CONCATENATE($I$11,"-",$M62),$C$2:$G$71,5,FALSE)</f>
        <v>0.25</v>
      </c>
      <c r="S62" s="1135"/>
    </row>
    <row r="63" spans="1:19" ht="15.75" customHeight="1">
      <c r="A63" s="133"/>
      <c r="B63" s="1094"/>
      <c r="C63" s="133"/>
      <c r="D63" s="133"/>
      <c r="E63" s="1095"/>
      <c r="F63" s="1095"/>
      <c r="G63" s="1095"/>
      <c r="H63" s="133"/>
      <c r="I63" s="1124"/>
      <c r="J63" s="4"/>
      <c r="K63" s="4"/>
      <c r="L63" s="4"/>
      <c r="M63" s="4"/>
      <c r="N63" s="1125">
        <f>1+(ROUND((((1+N54+N55+N56)*(1+N57)*(1+N58)/(1-(N59+N60+N61)))-1),4))</f>
        <v>1.25</v>
      </c>
      <c r="O63" s="4"/>
      <c r="P63" s="4"/>
      <c r="Q63" s="4"/>
      <c r="R63" s="1136"/>
      <c r="S63" s="1135"/>
    </row>
    <row r="64" spans="1:19" ht="15.75" customHeight="1">
      <c r="A64" s="133" t="e">
        <f>#REF!</f>
        <v>#REF!</v>
      </c>
      <c r="B64" s="1094" t="s">
        <v>16041</v>
      </c>
      <c r="C64" s="133" t="e">
        <f>CONCATENATE(A64,"-",B64)</f>
        <v>#REF!</v>
      </c>
      <c r="D64" s="133"/>
      <c r="E64" s="1095">
        <v>1.46E-2</v>
      </c>
      <c r="F64" s="1095">
        <v>2.3199999999999998E-2</v>
      </c>
      <c r="G64" s="1095">
        <v>3.1600000000000003E-2</v>
      </c>
      <c r="H64" s="133"/>
      <c r="I64" s="3469" t="s">
        <v>16068</v>
      </c>
      <c r="J64" s="2607"/>
      <c r="K64" s="2607"/>
      <c r="L64" s="2607"/>
      <c r="M64" s="2607"/>
      <c r="N64" s="2607"/>
      <c r="O64" s="2607"/>
      <c r="P64" s="2607"/>
      <c r="Q64" s="2607"/>
      <c r="R64" s="3400"/>
      <c r="S64" s="1137"/>
    </row>
    <row r="65" spans="1:19" ht="15.75" customHeight="1">
      <c r="A65" s="133"/>
      <c r="B65" s="1094"/>
      <c r="C65" s="133"/>
      <c r="D65" s="133"/>
      <c r="E65" s="1095"/>
      <c r="F65" s="1095"/>
      <c r="G65" s="1095"/>
      <c r="H65" s="133"/>
      <c r="I65" s="3467" t="str">
        <f>IF(Q11="Sim","BDI.DES =","BDI.PADRÃO (TCU) =")</f>
        <v>BDI.PADRÃO (TCU) =</v>
      </c>
      <c r="J65" s="2588"/>
      <c r="K65" s="2588"/>
      <c r="L65" s="2588"/>
      <c r="M65" s="3470" t="str">
        <f>IF($I$11=$A$80,"(1+K1+K2)*(1+K3)","(1+AC + S + R + G)*(1 + DF)*(1+L)")</f>
        <v>(1+AC + S + R + G)*(1 + DF)*(1+L)</v>
      </c>
      <c r="N65" s="2588"/>
      <c r="O65" s="2588"/>
      <c r="P65" s="3471" t="s">
        <v>16069</v>
      </c>
      <c r="Q65" s="2588"/>
      <c r="R65" s="2621"/>
      <c r="S65" s="1138"/>
    </row>
    <row r="66" spans="1:19" ht="15.75" customHeight="1">
      <c r="A66" s="133"/>
      <c r="B66" s="1094"/>
      <c r="C66" s="133"/>
      <c r="D66" s="133"/>
      <c r="E66" s="1095"/>
      <c r="F66" s="1095"/>
      <c r="G66" s="1095"/>
      <c r="H66" s="133"/>
      <c r="I66" s="2655"/>
      <c r="J66" s="2588"/>
      <c r="K66" s="2588"/>
      <c r="L66" s="2588"/>
      <c r="M66" s="2588"/>
      <c r="N66" s="2588"/>
      <c r="O66" s="2588"/>
      <c r="P66" s="2588"/>
      <c r="Q66" s="2588"/>
      <c r="R66" s="2621"/>
      <c r="S66" s="1138"/>
    </row>
    <row r="67" spans="1:19" ht="15.75" customHeight="1">
      <c r="A67" s="133"/>
      <c r="B67" s="1094"/>
      <c r="C67" s="133"/>
      <c r="D67" s="133"/>
      <c r="E67" s="1095"/>
      <c r="F67" s="1095"/>
      <c r="G67" s="1095"/>
      <c r="H67" s="133"/>
      <c r="I67" s="2655"/>
      <c r="J67" s="2588"/>
      <c r="K67" s="2588"/>
      <c r="L67" s="2588"/>
      <c r="M67" s="3472" t="str">
        <f>IF(Q11="Sim","(1-CP-ISS-CRPB)","(1-CP-ISS)")</f>
        <v>(1-CP-ISS)</v>
      </c>
      <c r="N67" s="2588"/>
      <c r="O67" s="2588"/>
      <c r="P67" s="2588"/>
      <c r="Q67" s="2588"/>
      <c r="R67" s="2621"/>
      <c r="S67" s="1138"/>
    </row>
    <row r="68" spans="1:19" ht="15.75" customHeight="1">
      <c r="A68" s="133" t="e">
        <f>#REF!</f>
        <v>#REF!</v>
      </c>
      <c r="B68" s="1094" t="s">
        <v>16070</v>
      </c>
      <c r="C68" s="133" t="e">
        <f>CONCATENATE(A68,"-",B68)</f>
        <v>#REF!</v>
      </c>
      <c r="D68" s="133"/>
      <c r="E68" s="1095" t="s">
        <v>16057</v>
      </c>
      <c r="F68" s="1095" t="s">
        <v>16057</v>
      </c>
      <c r="G68" s="1095" t="s">
        <v>16057</v>
      </c>
      <c r="H68" s="133"/>
      <c r="I68" s="3468"/>
      <c r="J68" s="2610"/>
      <c r="K68" s="2610"/>
      <c r="L68" s="2610"/>
      <c r="M68" s="2610"/>
      <c r="N68" s="2610"/>
      <c r="O68" s="2610"/>
      <c r="P68" s="2610"/>
      <c r="Q68" s="2610"/>
      <c r="R68" s="3432"/>
      <c r="S68" s="1138"/>
    </row>
    <row r="69" spans="1:19" ht="15.75" hidden="1" customHeight="1">
      <c r="A69" s="133" t="e">
        <f>A68</f>
        <v>#REF!</v>
      </c>
      <c r="B69" s="1094" t="s">
        <v>16070</v>
      </c>
      <c r="C69" s="133" t="e">
        <f>CONCATENATE(A69,"-",B69)</f>
        <v>#REF!</v>
      </c>
      <c r="D69" s="133"/>
      <c r="E69" s="1095" t="s">
        <v>16057</v>
      </c>
      <c r="F69" s="1095" t="s">
        <v>16057</v>
      </c>
      <c r="G69" s="1095" t="s">
        <v>16057</v>
      </c>
      <c r="H69" s="133"/>
      <c r="I69" s="1139"/>
      <c r="J69" s="133"/>
      <c r="K69" s="133"/>
      <c r="L69" s="133"/>
      <c r="M69" s="133"/>
      <c r="N69" s="133"/>
      <c r="O69" s="133"/>
      <c r="P69" s="133"/>
      <c r="Q69" s="133"/>
      <c r="R69" s="1140"/>
      <c r="S69" s="1141"/>
    </row>
    <row r="70" spans="1:19" ht="15.75" hidden="1" customHeight="1">
      <c r="A70" s="133" t="e">
        <f>A69</f>
        <v>#REF!</v>
      </c>
      <c r="B70" s="1094" t="s">
        <v>16071</v>
      </c>
      <c r="C70" s="133" t="e">
        <f>CONCATENATE(A70,"-",B70)</f>
        <v>#REF!</v>
      </c>
      <c r="D70" s="133"/>
      <c r="E70" s="1095" t="s">
        <v>16057</v>
      </c>
      <c r="F70" s="1095">
        <v>0.12</v>
      </c>
      <c r="G70" s="1095" t="s">
        <v>16057</v>
      </c>
      <c r="H70" s="133"/>
      <c r="I70" s="1139"/>
      <c r="J70" s="133"/>
      <c r="K70" s="133"/>
      <c r="L70" s="133"/>
      <c r="M70" s="133"/>
      <c r="N70" s="133"/>
      <c r="O70" s="133"/>
      <c r="P70" s="133"/>
      <c r="Q70" s="133"/>
      <c r="R70" s="1140"/>
      <c r="S70" s="1141"/>
    </row>
    <row r="71" spans="1:19" ht="15.75" hidden="1" customHeight="1">
      <c r="A71" s="133" t="e">
        <f>A70</f>
        <v>#REF!</v>
      </c>
      <c r="B71" s="1101" t="s">
        <v>16043</v>
      </c>
      <c r="C71" s="133" t="e">
        <f>CONCATENATE(A71,"-",B71)</f>
        <v>#REF!</v>
      </c>
      <c r="D71" s="133"/>
      <c r="E71" s="1095" t="s">
        <v>16057</v>
      </c>
      <c r="F71" s="1095" t="s">
        <v>16057</v>
      </c>
      <c r="G71" s="1095" t="s">
        <v>16057</v>
      </c>
      <c r="H71" s="133"/>
      <c r="I71" s="1139"/>
      <c r="J71" s="133"/>
      <c r="K71" s="133"/>
      <c r="L71" s="133"/>
      <c r="M71" s="133"/>
      <c r="N71" s="133"/>
      <c r="O71" s="133"/>
      <c r="P71" s="133"/>
      <c r="Q71" s="133"/>
      <c r="R71" s="1140"/>
      <c r="S71" s="1141"/>
    </row>
    <row r="72" spans="1:19" ht="15.75" hidden="1" customHeight="1">
      <c r="A72" s="133"/>
      <c r="B72" s="133"/>
      <c r="C72" s="133"/>
      <c r="D72" s="133"/>
      <c r="E72" s="133"/>
      <c r="F72" s="133"/>
      <c r="G72" s="133"/>
      <c r="H72" s="133"/>
      <c r="I72" s="1139"/>
      <c r="J72" s="133"/>
      <c r="K72" s="133"/>
      <c r="L72" s="133"/>
      <c r="M72" s="133"/>
      <c r="N72" s="133"/>
      <c r="O72" s="133"/>
      <c r="P72" s="133"/>
      <c r="Q72" s="133"/>
      <c r="R72" s="1140"/>
      <c r="S72" s="1141"/>
    </row>
    <row r="73" spans="1:19" ht="15.75" hidden="1" customHeight="1">
      <c r="A73" s="133"/>
      <c r="B73" s="133"/>
      <c r="C73" s="133"/>
      <c r="D73" s="133"/>
      <c r="E73" s="133"/>
      <c r="F73" s="133"/>
      <c r="G73" s="133"/>
      <c r="H73" s="133"/>
      <c r="I73" s="1139"/>
      <c r="J73" s="133"/>
      <c r="K73" s="133"/>
      <c r="L73" s="133"/>
      <c r="M73" s="133"/>
      <c r="N73" s="133"/>
      <c r="O73" s="133"/>
      <c r="P73" s="133"/>
      <c r="Q73" s="133"/>
      <c r="R73" s="1140"/>
      <c r="S73" s="1141"/>
    </row>
    <row r="74" spans="1:19" ht="15.75" hidden="1" customHeight="1">
      <c r="A74" s="133" t="s">
        <v>16038</v>
      </c>
      <c r="B74" s="133"/>
      <c r="C74" s="133"/>
      <c r="D74" s="133"/>
      <c r="E74" s="133"/>
      <c r="F74" s="133"/>
      <c r="G74" s="133"/>
      <c r="H74" s="133"/>
      <c r="I74" s="1139"/>
      <c r="J74" s="133"/>
      <c r="K74" s="133"/>
      <c r="L74" s="133"/>
      <c r="M74" s="133"/>
      <c r="N74" s="133"/>
      <c r="O74" s="133"/>
      <c r="P74" s="133"/>
      <c r="Q74" s="133"/>
      <c r="R74" s="1140"/>
      <c r="S74" s="1141"/>
    </row>
    <row r="75" spans="1:19" ht="15.75" hidden="1" customHeight="1">
      <c r="A75" s="133" t="s">
        <v>16044</v>
      </c>
      <c r="B75" s="133"/>
      <c r="C75" s="133"/>
      <c r="D75" s="133"/>
      <c r="E75" s="133"/>
      <c r="F75" s="133"/>
      <c r="G75" s="133"/>
      <c r="H75" s="133"/>
      <c r="I75" s="1139"/>
      <c r="J75" s="133"/>
      <c r="K75" s="133"/>
      <c r="L75" s="133"/>
      <c r="M75" s="133"/>
      <c r="N75" s="133"/>
      <c r="O75" s="133"/>
      <c r="P75" s="133"/>
      <c r="Q75" s="133"/>
      <c r="R75" s="1140"/>
      <c r="S75" s="1141"/>
    </row>
    <row r="76" spans="1:19" ht="15.75" hidden="1" customHeight="1">
      <c r="A76" s="133" t="s">
        <v>16050</v>
      </c>
      <c r="B76" s="133"/>
      <c r="C76" s="133"/>
      <c r="D76" s="133"/>
      <c r="E76" s="133"/>
      <c r="F76" s="133"/>
      <c r="G76" s="133"/>
      <c r="H76" s="133"/>
      <c r="I76" s="1139"/>
      <c r="J76" s="133"/>
      <c r="K76" s="133"/>
      <c r="L76" s="133"/>
      <c r="M76" s="133"/>
      <c r="N76" s="133"/>
      <c r="O76" s="133"/>
      <c r="P76" s="133"/>
      <c r="Q76" s="133"/>
      <c r="R76" s="1140"/>
      <c r="S76" s="1141"/>
    </row>
    <row r="77" spans="1:19" ht="15.75" hidden="1" customHeight="1">
      <c r="A77" s="133" t="s">
        <v>16058</v>
      </c>
      <c r="B77" s="133"/>
      <c r="C77" s="133"/>
      <c r="D77" s="133"/>
      <c r="E77" s="133"/>
      <c r="F77" s="133"/>
      <c r="G77" s="133"/>
      <c r="H77" s="133"/>
      <c r="I77" s="1139"/>
      <c r="J77" s="133"/>
      <c r="K77" s="133"/>
      <c r="L77" s="133"/>
      <c r="M77" s="133"/>
      <c r="N77" s="133"/>
      <c r="O77" s="133"/>
      <c r="P77" s="133"/>
      <c r="Q77" s="133"/>
      <c r="R77" s="1140"/>
      <c r="S77" s="1141"/>
    </row>
    <row r="78" spans="1:19" ht="15.75" hidden="1" customHeight="1">
      <c r="A78" s="133" t="s">
        <v>16072</v>
      </c>
      <c r="B78" s="133"/>
      <c r="C78" s="133"/>
      <c r="D78" s="133"/>
      <c r="E78" s="133"/>
      <c r="F78" s="133"/>
      <c r="G78" s="133"/>
      <c r="H78" s="133"/>
      <c r="I78" s="1139"/>
      <c r="J78" s="133"/>
      <c r="K78" s="133"/>
      <c r="L78" s="133"/>
      <c r="M78" s="133"/>
      <c r="N78" s="133"/>
      <c r="O78" s="133"/>
      <c r="P78" s="133"/>
      <c r="Q78" s="133"/>
      <c r="R78" s="1140"/>
      <c r="S78" s="1141"/>
    </row>
    <row r="79" spans="1:19" ht="15.75" hidden="1" customHeight="1">
      <c r="A79" s="133" t="s">
        <v>16073</v>
      </c>
      <c r="B79" s="133"/>
      <c r="C79" s="133"/>
      <c r="D79" s="133"/>
      <c r="E79" s="133"/>
      <c r="F79" s="133"/>
      <c r="G79" s="133"/>
      <c r="H79" s="133"/>
      <c r="I79" s="1139"/>
      <c r="J79" s="133"/>
      <c r="K79" s="133"/>
      <c r="L79" s="133"/>
      <c r="M79" s="133"/>
      <c r="N79" s="133"/>
      <c r="O79" s="133"/>
      <c r="P79" s="133"/>
      <c r="Q79" s="133"/>
      <c r="R79" s="1140"/>
      <c r="S79" s="1141"/>
    </row>
    <row r="80" spans="1:19" ht="15.75" hidden="1" customHeight="1">
      <c r="A80" s="133" t="s">
        <v>16074</v>
      </c>
      <c r="B80" s="133"/>
      <c r="C80" s="133"/>
      <c r="D80" s="133"/>
      <c r="E80" s="133"/>
      <c r="F80" s="133"/>
      <c r="G80" s="133"/>
      <c r="H80" s="133"/>
      <c r="I80" s="1139"/>
      <c r="J80" s="133"/>
      <c r="K80" s="133"/>
      <c r="L80" s="133"/>
      <c r="M80" s="133"/>
      <c r="N80" s="133"/>
      <c r="O80" s="133"/>
      <c r="P80" s="133"/>
      <c r="Q80" s="133"/>
      <c r="R80" s="1140"/>
      <c r="S80" s="1141"/>
    </row>
    <row r="81" spans="1:19" ht="15.75" hidden="1" customHeight="1">
      <c r="A81" s="1142"/>
      <c r="B81" s="133"/>
      <c r="C81" s="133"/>
      <c r="D81" s="133"/>
      <c r="E81" s="133"/>
      <c r="F81" s="133"/>
      <c r="G81" s="133"/>
      <c r="H81" s="133"/>
      <c r="I81" s="1139"/>
      <c r="J81" s="133"/>
      <c r="K81" s="133"/>
      <c r="L81" s="133"/>
      <c r="M81" s="133"/>
      <c r="N81" s="133"/>
      <c r="O81" s="133"/>
      <c r="P81" s="133"/>
      <c r="Q81" s="133"/>
      <c r="R81" s="1140"/>
      <c r="S81" s="1141"/>
    </row>
    <row r="82" spans="1:19" ht="15.75" hidden="1" customHeight="1">
      <c r="A82" s="133"/>
      <c r="B82" s="133"/>
      <c r="C82" s="133"/>
      <c r="D82" s="133"/>
      <c r="E82" s="133"/>
      <c r="F82" s="133"/>
      <c r="G82" s="133"/>
      <c r="H82" s="133"/>
      <c r="I82" s="1139"/>
      <c r="J82" s="133"/>
      <c r="K82" s="133"/>
      <c r="L82" s="133"/>
      <c r="M82" s="133"/>
      <c r="N82" s="133"/>
      <c r="O82" s="133"/>
      <c r="P82" s="133"/>
      <c r="Q82" s="133"/>
      <c r="R82" s="1140"/>
      <c r="S82" s="1141"/>
    </row>
    <row r="83" spans="1:19" ht="15.75" hidden="1" customHeight="1">
      <c r="A83" s="133"/>
      <c r="B83" s="133"/>
      <c r="C83" s="133"/>
      <c r="D83" s="133"/>
      <c r="E83" s="133"/>
      <c r="F83" s="133"/>
      <c r="G83" s="133"/>
      <c r="H83" s="133"/>
      <c r="I83" s="1139"/>
      <c r="J83" s="133"/>
      <c r="K83" s="133"/>
      <c r="L83" s="133"/>
      <c r="M83" s="133"/>
      <c r="N83" s="133"/>
      <c r="O83" s="133"/>
      <c r="P83" s="133"/>
      <c r="Q83" s="133"/>
      <c r="R83" s="1140"/>
      <c r="S83" s="1141"/>
    </row>
    <row r="84" spans="1:19" ht="15.75" hidden="1" customHeight="1">
      <c r="A84" s="133"/>
      <c r="B84" s="133"/>
      <c r="C84" s="133"/>
      <c r="D84" s="133"/>
      <c r="E84" s="133"/>
      <c r="F84" s="133"/>
      <c r="G84" s="133"/>
      <c r="H84" s="133"/>
      <c r="I84" s="1139"/>
      <c r="J84" s="133"/>
      <c r="K84" s="133"/>
      <c r="L84" s="133"/>
      <c r="M84" s="133"/>
      <c r="N84" s="133"/>
      <c r="O84" s="133"/>
      <c r="P84" s="133"/>
      <c r="Q84" s="133"/>
      <c r="R84" s="1140"/>
      <c r="S84" s="1141"/>
    </row>
    <row r="85" spans="1:19" ht="15.75" hidden="1" customHeight="1">
      <c r="A85" s="133"/>
      <c r="B85" s="133"/>
      <c r="C85" s="133"/>
      <c r="D85" s="133"/>
      <c r="E85" s="133"/>
      <c r="F85" s="133"/>
      <c r="G85" s="133"/>
      <c r="H85" s="133"/>
      <c r="I85" s="1139"/>
      <c r="J85" s="133"/>
      <c r="K85" s="133"/>
      <c r="L85" s="133"/>
      <c r="M85" s="133"/>
      <c r="N85" s="133"/>
      <c r="O85" s="133"/>
      <c r="P85" s="133"/>
      <c r="Q85" s="133"/>
      <c r="R85" s="1140"/>
      <c r="S85" s="1141"/>
    </row>
    <row r="86" spans="1:19" ht="15.75" hidden="1" customHeight="1">
      <c r="A86" s="133"/>
      <c r="B86" s="133"/>
      <c r="C86" s="133"/>
      <c r="D86" s="133"/>
      <c r="E86" s="133"/>
      <c r="F86" s="133"/>
      <c r="G86" s="133"/>
      <c r="H86" s="133"/>
      <c r="I86" s="1139"/>
      <c r="J86" s="133"/>
      <c r="K86" s="133"/>
      <c r="L86" s="133"/>
      <c r="M86" s="133"/>
      <c r="N86" s="133"/>
      <c r="O86" s="133"/>
      <c r="P86" s="133"/>
      <c r="Q86" s="133"/>
      <c r="R86" s="1140"/>
      <c r="S86" s="1141"/>
    </row>
    <row r="87" spans="1:19" ht="15.75" hidden="1" customHeight="1">
      <c r="A87" s="133"/>
      <c r="B87" s="133"/>
      <c r="C87" s="133"/>
      <c r="D87" s="133"/>
      <c r="E87" s="133"/>
      <c r="F87" s="133"/>
      <c r="G87" s="133"/>
      <c r="H87" s="133"/>
      <c r="I87" s="1139"/>
      <c r="J87" s="133"/>
      <c r="K87" s="133"/>
      <c r="L87" s="133"/>
      <c r="M87" s="133"/>
      <c r="N87" s="133"/>
      <c r="O87" s="133"/>
      <c r="P87" s="133"/>
      <c r="Q87" s="133"/>
      <c r="R87" s="1140"/>
      <c r="S87" s="1141"/>
    </row>
    <row r="88" spans="1:19" ht="15.75" hidden="1" customHeight="1">
      <c r="A88" s="133"/>
      <c r="B88" s="133"/>
      <c r="C88" s="133"/>
      <c r="D88" s="133"/>
      <c r="E88" s="133"/>
      <c r="F88" s="133"/>
      <c r="G88" s="133"/>
      <c r="H88" s="133"/>
      <c r="I88" s="1139"/>
      <c r="J88" s="133"/>
      <c r="K88" s="133"/>
      <c r="L88" s="133"/>
      <c r="M88" s="133"/>
      <c r="N88" s="133"/>
      <c r="O88" s="133"/>
      <c r="P88" s="133"/>
      <c r="Q88" s="133"/>
      <c r="R88" s="1140"/>
      <c r="S88" s="1141"/>
    </row>
    <row r="89" spans="1:19" ht="15.75" hidden="1" customHeight="1">
      <c r="A89" s="133"/>
      <c r="B89" s="133"/>
      <c r="C89" s="133"/>
      <c r="D89" s="133"/>
      <c r="E89" s="133"/>
      <c r="F89" s="133"/>
      <c r="G89" s="133"/>
      <c r="H89" s="133"/>
      <c r="I89" s="1139"/>
      <c r="J89" s="133"/>
      <c r="K89" s="133"/>
      <c r="L89" s="133"/>
      <c r="M89" s="133"/>
      <c r="N89" s="133"/>
      <c r="O89" s="133"/>
      <c r="P89" s="133"/>
      <c r="Q89" s="133"/>
      <c r="R89" s="1140"/>
      <c r="S89" s="1141"/>
    </row>
    <row r="90" spans="1:19" ht="15.75" hidden="1" customHeight="1">
      <c r="A90" s="133"/>
      <c r="B90" s="133"/>
      <c r="C90" s="133"/>
      <c r="D90" s="133"/>
      <c r="E90" s="133"/>
      <c r="F90" s="133"/>
      <c r="G90" s="133"/>
      <c r="H90" s="133"/>
      <c r="I90" s="1139"/>
      <c r="J90" s="133"/>
      <c r="K90" s="133"/>
      <c r="L90" s="133"/>
      <c r="M90" s="133"/>
      <c r="N90" s="133"/>
      <c r="O90" s="133"/>
      <c r="P90" s="133"/>
      <c r="Q90" s="133"/>
      <c r="R90" s="1140"/>
      <c r="S90" s="1141"/>
    </row>
    <row r="91" spans="1:19" ht="15.75" hidden="1" customHeight="1">
      <c r="A91" s="133"/>
      <c r="B91" s="133"/>
      <c r="C91" s="133"/>
      <c r="D91" s="133"/>
      <c r="E91" s="133"/>
      <c r="F91" s="133"/>
      <c r="G91" s="133"/>
      <c r="H91" s="133"/>
      <c r="I91" s="1139"/>
      <c r="J91" s="133"/>
      <c r="K91" s="133"/>
      <c r="L91" s="133"/>
      <c r="M91" s="133"/>
      <c r="N91" s="133"/>
      <c r="O91" s="133"/>
      <c r="P91" s="133"/>
      <c r="Q91" s="133"/>
      <c r="R91" s="1140"/>
      <c r="S91" s="1141"/>
    </row>
    <row r="92" spans="1:19" ht="15.75" hidden="1" customHeight="1">
      <c r="A92" s="133"/>
      <c r="B92" s="133"/>
      <c r="C92" s="133"/>
      <c r="D92" s="133"/>
      <c r="E92" s="133"/>
      <c r="F92" s="133"/>
      <c r="G92" s="133"/>
      <c r="H92" s="133"/>
      <c r="I92" s="1139"/>
      <c r="J92" s="133"/>
      <c r="K92" s="133"/>
      <c r="L92" s="133"/>
      <c r="M92" s="133"/>
      <c r="N92" s="133"/>
      <c r="O92" s="133"/>
      <c r="P92" s="133"/>
      <c r="Q92" s="133"/>
      <c r="R92" s="1140"/>
      <c r="S92" s="1141"/>
    </row>
    <row r="93" spans="1:19" ht="15.75" hidden="1" customHeight="1">
      <c r="A93" s="133"/>
      <c r="B93" s="133"/>
      <c r="C93" s="133"/>
      <c r="D93" s="133"/>
      <c r="E93" s="133"/>
      <c r="F93" s="133"/>
      <c r="G93" s="133"/>
      <c r="H93" s="133"/>
      <c r="I93" s="1139"/>
      <c r="J93" s="133"/>
      <c r="K93" s="133"/>
      <c r="L93" s="133"/>
      <c r="M93" s="133"/>
      <c r="N93" s="133"/>
      <c r="O93" s="133"/>
      <c r="P93" s="133"/>
      <c r="Q93" s="133"/>
      <c r="R93" s="1140"/>
      <c r="S93" s="1141"/>
    </row>
    <row r="94" spans="1:19" ht="15.75" hidden="1" customHeight="1">
      <c r="A94" s="133"/>
      <c r="B94" s="133"/>
      <c r="C94" s="133"/>
      <c r="D94" s="133"/>
      <c r="E94" s="133"/>
      <c r="F94" s="133"/>
      <c r="G94" s="133"/>
      <c r="H94" s="133"/>
      <c r="I94" s="1139"/>
      <c r="J94" s="133"/>
      <c r="K94" s="133"/>
      <c r="L94" s="133"/>
      <c r="M94" s="133"/>
      <c r="N94" s="133"/>
      <c r="O94" s="133"/>
      <c r="P94" s="133"/>
      <c r="Q94" s="133"/>
      <c r="R94" s="1140"/>
      <c r="S94" s="1141"/>
    </row>
    <row r="95" spans="1:19" ht="15.75" hidden="1" customHeight="1">
      <c r="A95" s="133"/>
      <c r="B95" s="133"/>
      <c r="C95" s="133"/>
      <c r="D95" s="133"/>
      <c r="E95" s="133"/>
      <c r="F95" s="133"/>
      <c r="G95" s="133"/>
      <c r="H95" s="133"/>
      <c r="I95" s="1139"/>
      <c r="J95" s="133"/>
      <c r="K95" s="133"/>
      <c r="L95" s="133"/>
      <c r="M95" s="133"/>
      <c r="N95" s="133"/>
      <c r="O95" s="133"/>
      <c r="P95" s="133"/>
      <c r="Q95" s="133"/>
      <c r="R95" s="1140"/>
      <c r="S95" s="1141"/>
    </row>
    <row r="96" spans="1:19" ht="15.75" hidden="1" customHeight="1">
      <c r="A96" s="133"/>
      <c r="B96" s="133"/>
      <c r="C96" s="133"/>
      <c r="D96" s="133"/>
      <c r="E96" s="133"/>
      <c r="F96" s="133"/>
      <c r="G96" s="133"/>
      <c r="H96" s="133"/>
      <c r="I96" s="1139"/>
      <c r="J96" s="133"/>
      <c r="K96" s="133"/>
      <c r="L96" s="133"/>
      <c r="M96" s="133"/>
      <c r="N96" s="133"/>
      <c r="O96" s="133"/>
      <c r="P96" s="133"/>
      <c r="Q96" s="133"/>
      <c r="R96" s="1140"/>
      <c r="S96" s="1141"/>
    </row>
    <row r="97" spans="1:19" ht="15.75" hidden="1" customHeight="1">
      <c r="A97" s="133"/>
      <c r="B97" s="133"/>
      <c r="C97" s="133"/>
      <c r="D97" s="133"/>
      <c r="E97" s="133"/>
      <c r="F97" s="133"/>
      <c r="G97" s="133"/>
      <c r="H97" s="133"/>
      <c r="I97" s="1139"/>
      <c r="J97" s="133"/>
      <c r="K97" s="133"/>
      <c r="L97" s="133"/>
      <c r="M97" s="133"/>
      <c r="N97" s="133"/>
      <c r="O97" s="133"/>
      <c r="P97" s="133"/>
      <c r="Q97" s="133"/>
      <c r="R97" s="1140"/>
      <c r="S97" s="1141"/>
    </row>
    <row r="98" spans="1:19" ht="15.75" hidden="1" customHeight="1">
      <c r="A98" s="133"/>
      <c r="B98" s="133"/>
      <c r="C98" s="133"/>
      <c r="D98" s="133"/>
      <c r="E98" s="133"/>
      <c r="F98" s="133"/>
      <c r="G98" s="133"/>
      <c r="H98" s="133"/>
      <c r="I98" s="1139"/>
      <c r="J98" s="133"/>
      <c r="K98" s="133"/>
      <c r="L98" s="133"/>
      <c r="M98" s="133"/>
      <c r="N98" s="133"/>
      <c r="O98" s="133"/>
      <c r="P98" s="133"/>
      <c r="Q98" s="133"/>
      <c r="R98" s="1140"/>
      <c r="S98" s="1141"/>
    </row>
    <row r="99" spans="1:19" ht="15.75" hidden="1" customHeight="1">
      <c r="A99" s="133"/>
      <c r="B99" s="133"/>
      <c r="C99" s="133"/>
      <c r="D99" s="133"/>
      <c r="E99" s="133"/>
      <c r="F99" s="133"/>
      <c r="G99" s="133"/>
      <c r="H99" s="133"/>
      <c r="I99" s="1139"/>
      <c r="J99" s="133"/>
      <c r="K99" s="133"/>
      <c r="L99" s="133"/>
      <c r="M99" s="133"/>
      <c r="N99" s="133"/>
      <c r="O99" s="133"/>
      <c r="P99" s="133"/>
      <c r="Q99" s="133"/>
      <c r="R99" s="1140"/>
      <c r="S99" s="1141"/>
    </row>
    <row r="100" spans="1:19" ht="15.75" hidden="1" customHeight="1">
      <c r="A100" s="133"/>
      <c r="B100" s="133"/>
      <c r="C100" s="133"/>
      <c r="D100" s="133"/>
      <c r="E100" s="133"/>
      <c r="F100" s="133"/>
      <c r="G100" s="133"/>
      <c r="H100" s="133"/>
      <c r="I100" s="1139"/>
      <c r="J100" s="133"/>
      <c r="K100" s="133"/>
      <c r="L100" s="133"/>
      <c r="M100" s="133"/>
      <c r="N100" s="133"/>
      <c r="O100" s="133"/>
      <c r="P100" s="133"/>
      <c r="Q100" s="133"/>
      <c r="R100" s="1140"/>
      <c r="S100" s="1141"/>
    </row>
    <row r="101" spans="1:19" ht="15.75" hidden="1" customHeight="1">
      <c r="A101" s="133"/>
      <c r="B101" s="133"/>
      <c r="C101" s="133"/>
      <c r="D101" s="133"/>
      <c r="E101" s="133"/>
      <c r="F101" s="133"/>
      <c r="G101" s="133"/>
      <c r="H101" s="133"/>
      <c r="I101" s="1139"/>
      <c r="J101" s="133"/>
      <c r="K101" s="133"/>
      <c r="L101" s="133"/>
      <c r="M101" s="133"/>
      <c r="N101" s="133"/>
      <c r="O101" s="133"/>
      <c r="P101" s="133"/>
      <c r="Q101" s="133"/>
      <c r="R101" s="1140"/>
      <c r="S101" s="1141"/>
    </row>
    <row r="102" spans="1:19" ht="15.75" hidden="1" customHeight="1">
      <c r="A102" s="133"/>
      <c r="B102" s="133"/>
      <c r="C102" s="133"/>
      <c r="D102" s="133"/>
      <c r="E102" s="133"/>
      <c r="F102" s="133"/>
      <c r="G102" s="133"/>
      <c r="H102" s="133"/>
      <c r="I102" s="1139"/>
      <c r="J102" s="133"/>
      <c r="K102" s="133"/>
      <c r="L102" s="133"/>
      <c r="M102" s="133"/>
      <c r="N102" s="133"/>
      <c r="O102" s="133"/>
      <c r="P102" s="133"/>
      <c r="Q102" s="133"/>
      <c r="R102" s="1140"/>
      <c r="S102" s="1141"/>
    </row>
    <row r="103" spans="1:19" ht="15.75" hidden="1" customHeight="1">
      <c r="A103" s="133"/>
      <c r="B103" s="133"/>
      <c r="C103" s="133"/>
      <c r="D103" s="133"/>
      <c r="E103" s="133"/>
      <c r="F103" s="133"/>
      <c r="G103" s="133"/>
      <c r="H103" s="133"/>
      <c r="I103" s="1139"/>
      <c r="J103" s="133"/>
      <c r="K103" s="133"/>
      <c r="L103" s="133"/>
      <c r="M103" s="133"/>
      <c r="N103" s="133"/>
      <c r="O103" s="133"/>
      <c r="P103" s="133"/>
      <c r="Q103" s="133"/>
      <c r="R103" s="1140"/>
      <c r="S103" s="1141"/>
    </row>
    <row r="104" spans="1:19" ht="15.75" hidden="1" customHeight="1">
      <c r="A104" s="133"/>
      <c r="B104" s="133"/>
      <c r="C104" s="133"/>
      <c r="D104" s="133"/>
      <c r="E104" s="133"/>
      <c r="F104" s="133"/>
      <c r="G104" s="133"/>
      <c r="H104" s="133"/>
      <c r="I104" s="1139"/>
      <c r="J104" s="133"/>
      <c r="K104" s="133"/>
      <c r="L104" s="133"/>
      <c r="M104" s="133"/>
      <c r="N104" s="133"/>
      <c r="O104" s="133"/>
      <c r="P104" s="133"/>
      <c r="Q104" s="133"/>
      <c r="R104" s="1140"/>
      <c r="S104" s="1141"/>
    </row>
    <row r="105" spans="1:19" ht="15.75" hidden="1" customHeight="1">
      <c r="A105" s="133"/>
      <c r="B105" s="133"/>
      <c r="C105" s="133"/>
      <c r="D105" s="133"/>
      <c r="E105" s="133"/>
      <c r="F105" s="133"/>
      <c r="G105" s="133"/>
      <c r="H105" s="133"/>
      <c r="I105" s="1139"/>
      <c r="J105" s="133"/>
      <c r="K105" s="133"/>
      <c r="L105" s="133"/>
      <c r="M105" s="133"/>
      <c r="N105" s="133"/>
      <c r="O105" s="133"/>
      <c r="P105" s="133"/>
      <c r="Q105" s="133"/>
      <c r="R105" s="1140"/>
      <c r="S105" s="1141"/>
    </row>
    <row r="106" spans="1:19" ht="15.75" hidden="1" customHeight="1">
      <c r="A106" s="133"/>
      <c r="B106" s="133"/>
      <c r="C106" s="133"/>
      <c r="D106" s="133"/>
      <c r="E106" s="133"/>
      <c r="F106" s="133"/>
      <c r="G106" s="133"/>
      <c r="H106" s="133"/>
      <c r="I106" s="1139"/>
      <c r="J106" s="133"/>
      <c r="K106" s="133"/>
      <c r="L106" s="133"/>
      <c r="M106" s="133"/>
      <c r="N106" s="133"/>
      <c r="O106" s="133"/>
      <c r="P106" s="133"/>
      <c r="Q106" s="133"/>
      <c r="R106" s="1140"/>
      <c r="S106" s="1141"/>
    </row>
    <row r="107" spans="1:19" ht="15.75" hidden="1" customHeight="1">
      <c r="A107" s="133"/>
      <c r="B107" s="133"/>
      <c r="C107" s="133"/>
      <c r="D107" s="133"/>
      <c r="E107" s="133"/>
      <c r="F107" s="133"/>
      <c r="G107" s="133"/>
      <c r="H107" s="133"/>
      <c r="I107" s="1139"/>
      <c r="J107" s="133"/>
      <c r="K107" s="133"/>
      <c r="L107" s="133"/>
      <c r="M107" s="133"/>
      <c r="N107" s="133"/>
      <c r="O107" s="133"/>
      <c r="P107" s="133"/>
      <c r="Q107" s="133"/>
      <c r="R107" s="1140"/>
      <c r="S107" s="1141"/>
    </row>
    <row r="108" spans="1:19" ht="15.75" hidden="1" customHeight="1">
      <c r="A108" s="133"/>
      <c r="B108" s="133"/>
      <c r="C108" s="133"/>
      <c r="D108" s="133"/>
      <c r="E108" s="133"/>
      <c r="F108" s="133"/>
      <c r="G108" s="133"/>
      <c r="H108" s="133"/>
      <c r="I108" s="1139"/>
      <c r="J108" s="133"/>
      <c r="K108" s="133"/>
      <c r="L108" s="133"/>
      <c r="M108" s="133"/>
      <c r="N108" s="133"/>
      <c r="O108" s="133"/>
      <c r="P108" s="133"/>
      <c r="Q108" s="133"/>
      <c r="R108" s="1140"/>
      <c r="S108" s="1141"/>
    </row>
    <row r="109" spans="1:19" ht="15.75" hidden="1" customHeight="1">
      <c r="A109" s="133"/>
      <c r="B109" s="133"/>
      <c r="C109" s="133"/>
      <c r="D109" s="133"/>
      <c r="E109" s="133"/>
      <c r="F109" s="133"/>
      <c r="G109" s="133"/>
      <c r="H109" s="133"/>
      <c r="I109" s="1139"/>
      <c r="J109" s="133"/>
      <c r="K109" s="133"/>
      <c r="L109" s="133"/>
      <c r="M109" s="133"/>
      <c r="N109" s="133"/>
      <c r="O109" s="133"/>
      <c r="P109" s="133"/>
      <c r="Q109" s="133"/>
      <c r="R109" s="1140"/>
      <c r="S109" s="1141"/>
    </row>
    <row r="110" spans="1:19" ht="15.75" hidden="1" customHeight="1">
      <c r="A110" s="133"/>
      <c r="B110" s="133"/>
      <c r="C110" s="133"/>
      <c r="D110" s="133"/>
      <c r="E110" s="133"/>
      <c r="F110" s="133"/>
      <c r="G110" s="133"/>
      <c r="H110" s="133"/>
      <c r="I110" s="1139"/>
      <c r="J110" s="133"/>
      <c r="K110" s="133"/>
      <c r="L110" s="133"/>
      <c r="M110" s="133"/>
      <c r="N110" s="133"/>
      <c r="O110" s="133"/>
      <c r="P110" s="133"/>
      <c r="Q110" s="133"/>
      <c r="R110" s="1140"/>
      <c r="S110" s="1141"/>
    </row>
    <row r="111" spans="1:19" ht="15.75" hidden="1" customHeight="1">
      <c r="A111" s="133"/>
      <c r="B111" s="133"/>
      <c r="C111" s="133"/>
      <c r="D111" s="133"/>
      <c r="E111" s="133"/>
      <c r="F111" s="133"/>
      <c r="G111" s="133"/>
      <c r="H111" s="133"/>
      <c r="I111" s="1139"/>
      <c r="J111" s="133"/>
      <c r="K111" s="133"/>
      <c r="L111" s="133"/>
      <c r="M111" s="133"/>
      <c r="N111" s="133"/>
      <c r="O111" s="133"/>
      <c r="P111" s="133"/>
      <c r="Q111" s="133"/>
      <c r="R111" s="1140"/>
      <c r="S111" s="1141"/>
    </row>
    <row r="112" spans="1:19" ht="15.75" hidden="1" customHeight="1">
      <c r="A112" s="133"/>
      <c r="B112" s="133"/>
      <c r="C112" s="133"/>
      <c r="D112" s="133"/>
      <c r="E112" s="133"/>
      <c r="F112" s="133"/>
      <c r="G112" s="133"/>
      <c r="H112" s="133"/>
      <c r="I112" s="1139"/>
      <c r="J112" s="133"/>
      <c r="K112" s="133"/>
      <c r="L112" s="133"/>
      <c r="M112" s="133"/>
      <c r="N112" s="133"/>
      <c r="O112" s="133"/>
      <c r="P112" s="133"/>
      <c r="Q112" s="133"/>
      <c r="R112" s="1140"/>
      <c r="S112" s="1141"/>
    </row>
    <row r="113" spans="1:19" ht="15.75" hidden="1" customHeight="1">
      <c r="A113" s="133"/>
      <c r="B113" s="133"/>
      <c r="C113" s="133"/>
      <c r="D113" s="133"/>
      <c r="E113" s="133"/>
      <c r="F113" s="133"/>
      <c r="G113" s="133"/>
      <c r="H113" s="133"/>
      <c r="I113" s="1139"/>
      <c r="J113" s="133"/>
      <c r="K113" s="133"/>
      <c r="L113" s="133"/>
      <c r="M113" s="133"/>
      <c r="N113" s="133"/>
      <c r="O113" s="133"/>
      <c r="P113" s="133"/>
      <c r="Q113" s="133"/>
      <c r="R113" s="1140"/>
      <c r="S113" s="1141"/>
    </row>
    <row r="114" spans="1:19" ht="15.75" hidden="1" customHeight="1">
      <c r="A114" s="133"/>
      <c r="B114" s="133"/>
      <c r="C114" s="133"/>
      <c r="D114" s="133"/>
      <c r="E114" s="133"/>
      <c r="F114" s="133"/>
      <c r="G114" s="133"/>
      <c r="H114" s="133"/>
      <c r="I114" s="1139"/>
      <c r="J114" s="133"/>
      <c r="K114" s="133"/>
      <c r="L114" s="133"/>
      <c r="M114" s="133"/>
      <c r="N114" s="133"/>
      <c r="O114" s="133"/>
      <c r="P114" s="133"/>
      <c r="Q114" s="133"/>
      <c r="R114" s="1140"/>
      <c r="S114" s="1141"/>
    </row>
    <row r="115" spans="1:19" ht="15.75" hidden="1" customHeight="1">
      <c r="A115" s="133"/>
      <c r="B115" s="133"/>
      <c r="C115" s="133"/>
      <c r="D115" s="133"/>
      <c r="E115" s="133"/>
      <c r="F115" s="133"/>
      <c r="G115" s="133"/>
      <c r="H115" s="133"/>
      <c r="I115" s="1139"/>
      <c r="J115" s="133"/>
      <c r="K115" s="133"/>
      <c r="L115" s="133"/>
      <c r="M115" s="133"/>
      <c r="N115" s="133"/>
      <c r="O115" s="133"/>
      <c r="P115" s="133"/>
      <c r="Q115" s="133"/>
      <c r="R115" s="1140"/>
      <c r="S115" s="1141"/>
    </row>
    <row r="116" spans="1:19" ht="15.75" hidden="1" customHeight="1">
      <c r="A116" s="133"/>
      <c r="B116" s="133"/>
      <c r="C116" s="133"/>
      <c r="D116" s="133"/>
      <c r="E116" s="133"/>
      <c r="F116" s="133"/>
      <c r="G116" s="133"/>
      <c r="H116" s="133"/>
      <c r="I116" s="1139"/>
      <c r="J116" s="133"/>
      <c r="K116" s="133"/>
      <c r="L116" s="133"/>
      <c r="M116" s="133"/>
      <c r="N116" s="133"/>
      <c r="O116" s="133"/>
      <c r="P116" s="133"/>
      <c r="Q116" s="133"/>
      <c r="R116" s="1140"/>
      <c r="S116" s="1141"/>
    </row>
    <row r="117" spans="1:19" ht="15.75" hidden="1" customHeight="1">
      <c r="A117" s="133"/>
      <c r="B117" s="133"/>
      <c r="C117" s="133"/>
      <c r="D117" s="133"/>
      <c r="E117" s="133"/>
      <c r="F117" s="133"/>
      <c r="G117" s="133"/>
      <c r="H117" s="133"/>
      <c r="I117" s="1139"/>
      <c r="J117" s="133"/>
      <c r="K117" s="133"/>
      <c r="L117" s="133"/>
      <c r="M117" s="133"/>
      <c r="N117" s="133"/>
      <c r="O117" s="133"/>
      <c r="P117" s="133"/>
      <c r="Q117" s="133"/>
      <c r="R117" s="1140"/>
      <c r="S117" s="1141"/>
    </row>
    <row r="118" spans="1:19" ht="15.75" hidden="1" customHeight="1">
      <c r="A118" s="133"/>
      <c r="B118" s="133"/>
      <c r="C118" s="133"/>
      <c r="D118" s="133"/>
      <c r="E118" s="133"/>
      <c r="F118" s="133"/>
      <c r="G118" s="133"/>
      <c r="H118" s="133"/>
      <c r="I118" s="1139"/>
      <c r="J118" s="133"/>
      <c r="K118" s="133"/>
      <c r="L118" s="133"/>
      <c r="M118" s="133"/>
      <c r="N118" s="133"/>
      <c r="O118" s="133"/>
      <c r="P118" s="133"/>
      <c r="Q118" s="133"/>
      <c r="R118" s="1140"/>
      <c r="S118" s="1141"/>
    </row>
    <row r="119" spans="1:19" ht="15.75" hidden="1" customHeight="1">
      <c r="A119" s="133"/>
      <c r="B119" s="133"/>
      <c r="C119" s="133"/>
      <c r="D119" s="133"/>
      <c r="E119" s="133"/>
      <c r="F119" s="133"/>
      <c r="G119" s="133"/>
      <c r="H119" s="133"/>
      <c r="I119" s="1139"/>
      <c r="J119" s="133"/>
      <c r="K119" s="133"/>
      <c r="L119" s="133"/>
      <c r="M119" s="133"/>
      <c r="N119" s="133"/>
      <c r="O119" s="133"/>
      <c r="P119" s="133"/>
      <c r="Q119" s="133"/>
      <c r="R119" s="1140"/>
      <c r="S119" s="1141"/>
    </row>
    <row r="120" spans="1:19" ht="15.75" hidden="1" customHeight="1">
      <c r="A120" s="133"/>
      <c r="B120" s="133"/>
      <c r="C120" s="133"/>
      <c r="D120" s="133"/>
      <c r="E120" s="133"/>
      <c r="F120" s="133"/>
      <c r="G120" s="133"/>
      <c r="H120" s="133"/>
      <c r="I120" s="1139"/>
      <c r="J120" s="133"/>
      <c r="K120" s="133"/>
      <c r="L120" s="133"/>
      <c r="M120" s="133"/>
      <c r="N120" s="133"/>
      <c r="O120" s="133"/>
      <c r="P120" s="133"/>
      <c r="Q120" s="133"/>
      <c r="R120" s="1140"/>
      <c r="S120" s="1141"/>
    </row>
    <row r="121" spans="1:19" ht="15.75" hidden="1" customHeight="1">
      <c r="A121" s="133"/>
      <c r="B121" s="133"/>
      <c r="C121" s="133"/>
      <c r="D121" s="133"/>
      <c r="E121" s="133"/>
      <c r="F121" s="133"/>
      <c r="G121" s="133"/>
      <c r="H121" s="133"/>
      <c r="I121" s="1139"/>
      <c r="J121" s="133"/>
      <c r="K121" s="133"/>
      <c r="L121" s="133"/>
      <c r="M121" s="133"/>
      <c r="N121" s="133"/>
      <c r="O121" s="133"/>
      <c r="P121" s="133"/>
      <c r="Q121" s="133"/>
      <c r="R121" s="1140"/>
      <c r="S121" s="1141"/>
    </row>
    <row r="122" spans="1:19" ht="15.75" hidden="1" customHeight="1">
      <c r="A122" s="133"/>
      <c r="B122" s="133"/>
      <c r="C122" s="133"/>
      <c r="D122" s="133"/>
      <c r="E122" s="133"/>
      <c r="F122" s="133"/>
      <c r="G122" s="133"/>
      <c r="H122" s="133"/>
      <c r="I122" s="1139"/>
      <c r="J122" s="133"/>
      <c r="K122" s="133"/>
      <c r="L122" s="133"/>
      <c r="M122" s="133"/>
      <c r="N122" s="133"/>
      <c r="O122" s="133"/>
      <c r="P122" s="133"/>
      <c r="Q122" s="133"/>
      <c r="R122" s="1140"/>
      <c r="S122" s="1141"/>
    </row>
    <row r="123" spans="1:19" ht="15.75" hidden="1" customHeight="1">
      <c r="A123" s="133"/>
      <c r="B123" s="133"/>
      <c r="C123" s="133"/>
      <c r="D123" s="133"/>
      <c r="E123" s="133"/>
      <c r="F123" s="133"/>
      <c r="G123" s="133"/>
      <c r="H123" s="133"/>
      <c r="I123" s="1139"/>
      <c r="J123" s="133"/>
      <c r="K123" s="133"/>
      <c r="L123" s="133"/>
      <c r="M123" s="133"/>
      <c r="N123" s="133"/>
      <c r="O123" s="133"/>
      <c r="P123" s="133"/>
      <c r="Q123" s="133"/>
      <c r="R123" s="1140"/>
      <c r="S123" s="1141"/>
    </row>
    <row r="124" spans="1:19" ht="15.75" hidden="1" customHeight="1">
      <c r="A124" s="133"/>
      <c r="B124" s="133"/>
      <c r="C124" s="133"/>
      <c r="D124" s="133"/>
      <c r="E124" s="133"/>
      <c r="F124" s="133"/>
      <c r="G124" s="133"/>
      <c r="H124" s="133"/>
      <c r="I124" s="1139"/>
      <c r="J124" s="133"/>
      <c r="K124" s="133"/>
      <c r="L124" s="133"/>
      <c r="M124" s="133"/>
      <c r="N124" s="133"/>
      <c r="O124" s="133"/>
      <c r="P124" s="133"/>
      <c r="Q124" s="133"/>
      <c r="R124" s="1140"/>
      <c r="S124" s="1141"/>
    </row>
    <row r="125" spans="1:19" ht="15.75" hidden="1" customHeight="1">
      <c r="A125" s="133"/>
      <c r="B125" s="133"/>
      <c r="C125" s="133"/>
      <c r="D125" s="133"/>
      <c r="E125" s="133"/>
      <c r="F125" s="133"/>
      <c r="G125" s="133"/>
      <c r="H125" s="133"/>
      <c r="I125" s="1139"/>
      <c r="J125" s="133"/>
      <c r="K125" s="133"/>
      <c r="L125" s="133"/>
      <c r="M125" s="133"/>
      <c r="N125" s="133"/>
      <c r="O125" s="133"/>
      <c r="P125" s="133"/>
      <c r="Q125" s="133"/>
      <c r="R125" s="1140"/>
      <c r="S125" s="1141"/>
    </row>
    <row r="126" spans="1:19" ht="15.75" hidden="1" customHeight="1">
      <c r="A126" s="133"/>
      <c r="B126" s="133"/>
      <c r="C126" s="133"/>
      <c r="D126" s="133"/>
      <c r="E126" s="133"/>
      <c r="F126" s="133"/>
      <c r="G126" s="133"/>
      <c r="H126" s="133"/>
      <c r="I126" s="1139"/>
      <c r="J126" s="133"/>
      <c r="K126" s="133"/>
      <c r="L126" s="133"/>
      <c r="M126" s="133"/>
      <c r="N126" s="133"/>
      <c r="O126" s="133"/>
      <c r="P126" s="133"/>
      <c r="Q126" s="133"/>
      <c r="R126" s="1140"/>
      <c r="S126" s="1141"/>
    </row>
    <row r="127" spans="1:19" ht="15.75" hidden="1" customHeight="1">
      <c r="A127" s="133"/>
      <c r="B127" s="133"/>
      <c r="C127" s="133"/>
      <c r="D127" s="133"/>
      <c r="E127" s="133"/>
      <c r="F127" s="133"/>
      <c r="G127" s="133"/>
      <c r="H127" s="133"/>
      <c r="I127" s="1139"/>
      <c r="J127" s="133"/>
      <c r="K127" s="133"/>
      <c r="L127" s="133"/>
      <c r="M127" s="133"/>
      <c r="N127" s="133"/>
      <c r="O127" s="133"/>
      <c r="P127" s="133"/>
      <c r="Q127" s="133"/>
      <c r="R127" s="1140"/>
      <c r="S127" s="1141"/>
    </row>
    <row r="128" spans="1:19" ht="15.75" hidden="1" customHeight="1">
      <c r="A128" s="133"/>
      <c r="B128" s="133"/>
      <c r="C128" s="133"/>
      <c r="D128" s="133"/>
      <c r="E128" s="133"/>
      <c r="F128" s="133"/>
      <c r="G128" s="133"/>
      <c r="H128" s="133"/>
      <c r="I128" s="1139"/>
      <c r="J128" s="133"/>
      <c r="K128" s="133"/>
      <c r="L128" s="133"/>
      <c r="M128" s="133"/>
      <c r="N128" s="133"/>
      <c r="O128" s="133"/>
      <c r="P128" s="133"/>
      <c r="Q128" s="133"/>
      <c r="R128" s="1140"/>
      <c r="S128" s="1141"/>
    </row>
    <row r="129" spans="1:19" ht="15.75" hidden="1" customHeight="1">
      <c r="A129" s="133"/>
      <c r="B129" s="133"/>
      <c r="C129" s="133"/>
      <c r="D129" s="133"/>
      <c r="E129" s="133"/>
      <c r="F129" s="133"/>
      <c r="G129" s="133"/>
      <c r="H129" s="133"/>
      <c r="I129" s="1139"/>
      <c r="J129" s="133"/>
      <c r="K129" s="133"/>
      <c r="L129" s="133"/>
      <c r="M129" s="133"/>
      <c r="N129" s="133"/>
      <c r="O129" s="133"/>
      <c r="P129" s="133"/>
      <c r="Q129" s="133"/>
      <c r="R129" s="1140"/>
      <c r="S129" s="1141"/>
    </row>
    <row r="130" spans="1:19" ht="15.75" hidden="1" customHeight="1">
      <c r="A130" s="133"/>
      <c r="B130" s="133"/>
      <c r="C130" s="133"/>
      <c r="D130" s="133"/>
      <c r="E130" s="133"/>
      <c r="F130" s="133"/>
      <c r="G130" s="133"/>
      <c r="H130" s="133"/>
      <c r="I130" s="1139"/>
      <c r="J130" s="133"/>
      <c r="K130" s="133"/>
      <c r="L130" s="133"/>
      <c r="M130" s="133"/>
      <c r="N130" s="133"/>
      <c r="O130" s="133"/>
      <c r="P130" s="133"/>
      <c r="Q130" s="133"/>
      <c r="R130" s="1140"/>
      <c r="S130" s="1141"/>
    </row>
    <row r="131" spans="1:19" ht="15.75" hidden="1" customHeight="1">
      <c r="A131" s="133"/>
      <c r="B131" s="133"/>
      <c r="C131" s="133"/>
      <c r="D131" s="133"/>
      <c r="E131" s="133"/>
      <c r="F131" s="133"/>
      <c r="G131" s="133"/>
      <c r="H131" s="133"/>
      <c r="I131" s="1139"/>
      <c r="J131" s="133"/>
      <c r="K131" s="133"/>
      <c r="L131" s="133"/>
      <c r="M131" s="133"/>
      <c r="N131" s="133"/>
      <c r="O131" s="133"/>
      <c r="P131" s="133"/>
      <c r="Q131" s="133"/>
      <c r="R131" s="1140"/>
      <c r="S131" s="1141"/>
    </row>
    <row r="132" spans="1:19" ht="15.75" hidden="1" customHeight="1">
      <c r="A132" s="133"/>
      <c r="B132" s="133"/>
      <c r="C132" s="133"/>
      <c r="D132" s="133"/>
      <c r="E132" s="133"/>
      <c r="F132" s="133"/>
      <c r="G132" s="133"/>
      <c r="H132" s="133"/>
      <c r="I132" s="1139"/>
      <c r="J132" s="133"/>
      <c r="K132" s="133"/>
      <c r="L132" s="133"/>
      <c r="M132" s="133"/>
      <c r="N132" s="133"/>
      <c r="O132" s="133"/>
      <c r="P132" s="133"/>
      <c r="Q132" s="133"/>
      <c r="R132" s="1140"/>
      <c r="S132" s="1141"/>
    </row>
    <row r="133" spans="1:19" ht="15.75" hidden="1" customHeight="1">
      <c r="A133" s="133"/>
      <c r="B133" s="133"/>
      <c r="C133" s="133"/>
      <c r="D133" s="133"/>
      <c r="E133" s="133"/>
      <c r="F133" s="133"/>
      <c r="G133" s="133"/>
      <c r="H133" s="133"/>
      <c r="I133" s="1139"/>
      <c r="J133" s="133"/>
      <c r="K133" s="133"/>
      <c r="L133" s="133"/>
      <c r="M133" s="133"/>
      <c r="N133" s="133"/>
      <c r="O133" s="133"/>
      <c r="P133" s="133"/>
      <c r="Q133" s="133"/>
      <c r="R133" s="1140"/>
      <c r="S133" s="1141"/>
    </row>
    <row r="134" spans="1:19" ht="15.75" hidden="1" customHeight="1">
      <c r="A134" s="133"/>
      <c r="B134" s="133"/>
      <c r="C134" s="133"/>
      <c r="D134" s="133"/>
      <c r="E134" s="133"/>
      <c r="F134" s="133"/>
      <c r="G134" s="133"/>
      <c r="H134" s="133"/>
      <c r="I134" s="1139"/>
      <c r="J134" s="133"/>
      <c r="K134" s="133"/>
      <c r="L134" s="133"/>
      <c r="M134" s="133"/>
      <c r="N134" s="133"/>
      <c r="O134" s="133"/>
      <c r="P134" s="133"/>
      <c r="Q134" s="133"/>
      <c r="R134" s="1140"/>
      <c r="S134" s="1141"/>
    </row>
    <row r="135" spans="1:19" ht="15.75" hidden="1" customHeight="1">
      <c r="A135" s="133"/>
      <c r="B135" s="133"/>
      <c r="C135" s="133"/>
      <c r="D135" s="133"/>
      <c r="E135" s="133"/>
      <c r="F135" s="133"/>
      <c r="G135" s="133"/>
      <c r="H135" s="133"/>
      <c r="I135" s="1139"/>
      <c r="J135" s="133"/>
      <c r="K135" s="133"/>
      <c r="L135" s="133"/>
      <c r="M135" s="133"/>
      <c r="N135" s="133"/>
      <c r="O135" s="133"/>
      <c r="P135" s="133"/>
      <c r="Q135" s="133"/>
      <c r="R135" s="1140"/>
      <c r="S135" s="1141"/>
    </row>
    <row r="136" spans="1:19" ht="15.75" hidden="1" customHeight="1">
      <c r="A136" s="133"/>
      <c r="B136" s="133"/>
      <c r="C136" s="133"/>
      <c r="D136" s="133"/>
      <c r="E136" s="133"/>
      <c r="F136" s="133"/>
      <c r="G136" s="133"/>
      <c r="H136" s="133"/>
      <c r="I136" s="1139"/>
      <c r="J136" s="133"/>
      <c r="K136" s="133"/>
      <c r="L136" s="133"/>
      <c r="M136" s="133"/>
      <c r="N136" s="133"/>
      <c r="O136" s="133"/>
      <c r="P136" s="133"/>
      <c r="Q136" s="133"/>
      <c r="R136" s="1140"/>
      <c r="S136" s="1141"/>
    </row>
    <row r="137" spans="1:19" ht="15.75" hidden="1" customHeight="1">
      <c r="A137" s="133"/>
      <c r="B137" s="133"/>
      <c r="C137" s="133"/>
      <c r="D137" s="133"/>
      <c r="E137" s="133"/>
      <c r="F137" s="133"/>
      <c r="G137" s="133"/>
      <c r="H137" s="133"/>
      <c r="I137" s="1139"/>
      <c r="J137" s="133"/>
      <c r="K137" s="133"/>
      <c r="L137" s="133"/>
      <c r="M137" s="133"/>
      <c r="N137" s="133"/>
      <c r="O137" s="133"/>
      <c r="P137" s="133"/>
      <c r="Q137" s="133"/>
      <c r="R137" s="1140"/>
      <c r="S137" s="1141"/>
    </row>
    <row r="138" spans="1:19" ht="15.75" hidden="1" customHeight="1">
      <c r="A138" s="133"/>
      <c r="B138" s="133"/>
      <c r="C138" s="133"/>
      <c r="D138" s="133"/>
      <c r="E138" s="133"/>
      <c r="F138" s="133"/>
      <c r="G138" s="133"/>
      <c r="H138" s="133"/>
      <c r="I138" s="1139"/>
      <c r="J138" s="133"/>
      <c r="K138" s="133"/>
      <c r="L138" s="133"/>
      <c r="M138" s="133"/>
      <c r="N138" s="133"/>
      <c r="O138" s="133"/>
      <c r="P138" s="133"/>
      <c r="Q138" s="133"/>
      <c r="R138" s="1140"/>
      <c r="S138" s="1141"/>
    </row>
    <row r="139" spans="1:19" ht="15.75" hidden="1" customHeight="1">
      <c r="A139" s="133"/>
      <c r="B139" s="133"/>
      <c r="C139" s="133"/>
      <c r="D139" s="133"/>
      <c r="E139" s="133"/>
      <c r="F139" s="133"/>
      <c r="G139" s="133"/>
      <c r="H139" s="133"/>
      <c r="I139" s="1139"/>
      <c r="J139" s="133"/>
      <c r="K139" s="133"/>
      <c r="L139" s="133"/>
      <c r="M139" s="133"/>
      <c r="N139" s="133"/>
      <c r="O139" s="133"/>
      <c r="P139" s="133"/>
      <c r="Q139" s="133"/>
      <c r="R139" s="1140"/>
      <c r="S139" s="1141"/>
    </row>
    <row r="140" spans="1:19" ht="15.75" hidden="1" customHeight="1">
      <c r="A140" s="133"/>
      <c r="B140" s="133"/>
      <c r="C140" s="133"/>
      <c r="D140" s="133"/>
      <c r="E140" s="133"/>
      <c r="F140" s="133"/>
      <c r="G140" s="133"/>
      <c r="H140" s="133"/>
      <c r="I140" s="1139"/>
      <c r="J140" s="133"/>
      <c r="K140" s="133"/>
      <c r="L140" s="133"/>
      <c r="M140" s="133"/>
      <c r="N140" s="133"/>
      <c r="O140" s="133"/>
      <c r="P140" s="133"/>
      <c r="Q140" s="133"/>
      <c r="R140" s="1140"/>
      <c r="S140" s="1141"/>
    </row>
    <row r="141" spans="1:19" ht="15.75" hidden="1" customHeight="1">
      <c r="A141" s="133"/>
      <c r="B141" s="133"/>
      <c r="C141" s="133"/>
      <c r="D141" s="133"/>
      <c r="E141" s="133"/>
      <c r="F141" s="133"/>
      <c r="G141" s="133"/>
      <c r="H141" s="133"/>
      <c r="I141" s="1139"/>
      <c r="J141" s="133"/>
      <c r="K141" s="133"/>
      <c r="L141" s="133"/>
      <c r="M141" s="133"/>
      <c r="N141" s="133"/>
      <c r="O141" s="133"/>
      <c r="P141" s="133"/>
      <c r="Q141" s="133"/>
      <c r="R141" s="1140"/>
      <c r="S141" s="1141"/>
    </row>
    <row r="142" spans="1:19" ht="15.75" hidden="1" customHeight="1">
      <c r="A142" s="133"/>
      <c r="B142" s="133"/>
      <c r="C142" s="133"/>
      <c r="D142" s="133"/>
      <c r="E142" s="133"/>
      <c r="F142" s="133"/>
      <c r="G142" s="133"/>
      <c r="H142" s="133"/>
      <c r="I142" s="1139"/>
      <c r="J142" s="133"/>
      <c r="K142" s="133"/>
      <c r="L142" s="133"/>
      <c r="M142" s="133"/>
      <c r="N142" s="133"/>
      <c r="O142" s="133"/>
      <c r="P142" s="133"/>
      <c r="Q142" s="133"/>
      <c r="R142" s="1140"/>
      <c r="S142" s="1141"/>
    </row>
    <row r="143" spans="1:19" ht="15.75" hidden="1" customHeight="1">
      <c r="A143" s="133"/>
      <c r="B143" s="133"/>
      <c r="C143" s="133"/>
      <c r="D143" s="133"/>
      <c r="E143" s="133"/>
      <c r="F143" s="133"/>
      <c r="G143" s="133"/>
      <c r="H143" s="133"/>
      <c r="I143" s="1139"/>
      <c r="J143" s="133"/>
      <c r="K143" s="133"/>
      <c r="L143" s="133"/>
      <c r="M143" s="133"/>
      <c r="N143" s="133"/>
      <c r="O143" s="133"/>
      <c r="P143" s="133"/>
      <c r="Q143" s="133"/>
      <c r="R143" s="1140"/>
      <c r="S143" s="1141"/>
    </row>
    <row r="144" spans="1:19" ht="15.75" hidden="1" customHeight="1">
      <c r="A144" s="133"/>
      <c r="B144" s="133"/>
      <c r="C144" s="133"/>
      <c r="D144" s="133"/>
      <c r="E144" s="133"/>
      <c r="F144" s="133"/>
      <c r="G144" s="133"/>
      <c r="H144" s="133"/>
      <c r="I144" s="1139"/>
      <c r="J144" s="133"/>
      <c r="K144" s="133"/>
      <c r="L144" s="133"/>
      <c r="M144" s="133"/>
      <c r="N144" s="133"/>
      <c r="O144" s="133"/>
      <c r="P144" s="133"/>
      <c r="Q144" s="133"/>
      <c r="R144" s="1140"/>
      <c r="S144" s="1141"/>
    </row>
    <row r="145" spans="1:19" ht="15.75" hidden="1" customHeight="1">
      <c r="A145" s="133"/>
      <c r="B145" s="133"/>
      <c r="C145" s="133"/>
      <c r="D145" s="133"/>
      <c r="E145" s="133"/>
      <c r="F145" s="133"/>
      <c r="G145" s="133"/>
      <c r="H145" s="133"/>
      <c r="I145" s="1139"/>
      <c r="J145" s="133"/>
      <c r="K145" s="133"/>
      <c r="L145" s="133"/>
      <c r="M145" s="133"/>
      <c r="N145" s="133"/>
      <c r="O145" s="133"/>
      <c r="P145" s="133"/>
      <c r="Q145" s="133"/>
      <c r="R145" s="1140"/>
      <c r="S145" s="1141"/>
    </row>
    <row r="146" spans="1:19" ht="15.75" hidden="1" customHeight="1">
      <c r="A146" s="133"/>
      <c r="B146" s="133"/>
      <c r="C146" s="133"/>
      <c r="D146" s="133"/>
      <c r="E146" s="133"/>
      <c r="F146" s="133"/>
      <c r="G146" s="133"/>
      <c r="H146" s="133"/>
      <c r="I146" s="1139"/>
      <c r="J146" s="133"/>
      <c r="K146" s="133"/>
      <c r="L146" s="133"/>
      <c r="M146" s="133"/>
      <c r="N146" s="133"/>
      <c r="O146" s="133"/>
      <c r="P146" s="133"/>
      <c r="Q146" s="133"/>
      <c r="R146" s="1140"/>
      <c r="S146" s="1141"/>
    </row>
    <row r="147" spans="1:19" ht="15.75" hidden="1" customHeight="1">
      <c r="A147" s="133"/>
      <c r="B147" s="133"/>
      <c r="C147" s="133"/>
      <c r="D147" s="133"/>
      <c r="E147" s="133"/>
      <c r="F147" s="133"/>
      <c r="G147" s="133"/>
      <c r="H147" s="133"/>
      <c r="I147" s="1139"/>
      <c r="J147" s="133"/>
      <c r="K147" s="133"/>
      <c r="L147" s="133"/>
      <c r="M147" s="133"/>
      <c r="N147" s="133"/>
      <c r="O147" s="133"/>
      <c r="P147" s="133"/>
      <c r="Q147" s="133"/>
      <c r="R147" s="1140"/>
      <c r="S147" s="1141"/>
    </row>
    <row r="148" spans="1:19" ht="15.75" hidden="1" customHeight="1">
      <c r="A148" s="133"/>
      <c r="B148" s="133"/>
      <c r="C148" s="133"/>
      <c r="D148" s="133"/>
      <c r="E148" s="133"/>
      <c r="F148" s="133"/>
      <c r="G148" s="133"/>
      <c r="H148" s="133"/>
      <c r="I148" s="1139"/>
      <c r="J148" s="133"/>
      <c r="K148" s="133"/>
      <c r="L148" s="133"/>
      <c r="M148" s="133"/>
      <c r="N148" s="133"/>
      <c r="O148" s="133"/>
      <c r="P148" s="133"/>
      <c r="Q148" s="133"/>
      <c r="R148" s="1140"/>
      <c r="S148" s="1141"/>
    </row>
    <row r="149" spans="1:19" ht="15.75" hidden="1" customHeight="1">
      <c r="A149" s="133"/>
      <c r="B149" s="133"/>
      <c r="C149" s="133"/>
      <c r="D149" s="133"/>
      <c r="E149" s="133"/>
      <c r="F149" s="133"/>
      <c r="G149" s="133"/>
      <c r="H149" s="133"/>
      <c r="I149" s="1139"/>
      <c r="J149" s="133"/>
      <c r="K149" s="133"/>
      <c r="L149" s="133"/>
      <c r="M149" s="133"/>
      <c r="N149" s="133"/>
      <c r="O149" s="133"/>
      <c r="P149" s="133"/>
      <c r="Q149" s="133"/>
      <c r="R149" s="1140"/>
      <c r="S149" s="1141"/>
    </row>
    <row r="150" spans="1:19" ht="15.75" hidden="1" customHeight="1">
      <c r="A150" s="133"/>
      <c r="B150" s="133"/>
      <c r="C150" s="133"/>
      <c r="D150" s="133"/>
      <c r="E150" s="133"/>
      <c r="F150" s="133"/>
      <c r="G150" s="133"/>
      <c r="H150" s="133"/>
      <c r="I150" s="1139"/>
      <c r="J150" s="133"/>
      <c r="K150" s="133"/>
      <c r="L150" s="133"/>
      <c r="M150" s="133"/>
      <c r="N150" s="133"/>
      <c r="O150" s="133"/>
      <c r="P150" s="133"/>
      <c r="Q150" s="133"/>
      <c r="R150" s="1140"/>
      <c r="S150" s="1141"/>
    </row>
    <row r="151" spans="1:19" ht="15.75" hidden="1" customHeight="1">
      <c r="A151" s="133"/>
      <c r="B151" s="133"/>
      <c r="C151" s="133"/>
      <c r="D151" s="133"/>
      <c r="E151" s="133"/>
      <c r="F151" s="133"/>
      <c r="G151" s="133"/>
      <c r="H151" s="133"/>
      <c r="I151" s="1139"/>
      <c r="J151" s="133"/>
      <c r="K151" s="133"/>
      <c r="L151" s="133"/>
      <c r="M151" s="133"/>
      <c r="N151" s="133"/>
      <c r="O151" s="133"/>
      <c r="P151" s="133"/>
      <c r="Q151" s="133"/>
      <c r="R151" s="1140"/>
      <c r="S151" s="1141"/>
    </row>
    <row r="152" spans="1:19" ht="15.75" hidden="1" customHeight="1">
      <c r="A152" s="133"/>
      <c r="B152" s="133"/>
      <c r="C152" s="133"/>
      <c r="D152" s="133"/>
      <c r="E152" s="133"/>
      <c r="F152" s="133"/>
      <c r="G152" s="133"/>
      <c r="H152" s="133"/>
      <c r="I152" s="1139"/>
      <c r="J152" s="133"/>
      <c r="K152" s="133"/>
      <c r="L152" s="133"/>
      <c r="M152" s="133"/>
      <c r="N152" s="133"/>
      <c r="O152" s="133"/>
      <c r="P152" s="133"/>
      <c r="Q152" s="133"/>
      <c r="R152" s="1140"/>
      <c r="S152" s="1141"/>
    </row>
    <row r="153" spans="1:19" ht="15.75" hidden="1" customHeight="1">
      <c r="A153" s="133"/>
      <c r="B153" s="133"/>
      <c r="C153" s="133"/>
      <c r="D153" s="133"/>
      <c r="E153" s="133"/>
      <c r="F153" s="133"/>
      <c r="G153" s="133"/>
      <c r="H153" s="133"/>
      <c r="I153" s="1139"/>
      <c r="J153" s="133"/>
      <c r="K153" s="133"/>
      <c r="L153" s="133"/>
      <c r="M153" s="133"/>
      <c r="N153" s="133"/>
      <c r="O153" s="133"/>
      <c r="P153" s="133"/>
      <c r="Q153" s="133"/>
      <c r="R153" s="1140"/>
      <c r="S153" s="1141"/>
    </row>
    <row r="154" spans="1:19" ht="15.75" hidden="1" customHeight="1">
      <c r="A154" s="133"/>
      <c r="B154" s="133"/>
      <c r="C154" s="133"/>
      <c r="D154" s="133"/>
      <c r="E154" s="133"/>
      <c r="F154" s="133"/>
      <c r="G154" s="133"/>
      <c r="H154" s="133"/>
      <c r="I154" s="1139"/>
      <c r="J154" s="133"/>
      <c r="K154" s="133"/>
      <c r="L154" s="133"/>
      <c r="M154" s="133"/>
      <c r="N154" s="133"/>
      <c r="O154" s="133"/>
      <c r="P154" s="133"/>
      <c r="Q154" s="133"/>
      <c r="R154" s="1140"/>
      <c r="S154" s="1141"/>
    </row>
    <row r="155" spans="1:19" ht="15.75" hidden="1" customHeight="1">
      <c r="A155" s="133"/>
      <c r="B155" s="133"/>
      <c r="C155" s="133"/>
      <c r="D155" s="133"/>
      <c r="E155" s="133"/>
      <c r="F155" s="133"/>
      <c r="G155" s="133"/>
      <c r="H155" s="133"/>
      <c r="I155" s="1139"/>
      <c r="J155" s="133"/>
      <c r="K155" s="133"/>
      <c r="L155" s="133"/>
      <c r="M155" s="133"/>
      <c r="N155" s="133"/>
      <c r="O155" s="133"/>
      <c r="P155" s="133"/>
      <c r="Q155" s="133"/>
      <c r="R155" s="1140"/>
      <c r="S155" s="1141"/>
    </row>
    <row r="156" spans="1:19" ht="15.75" hidden="1" customHeight="1">
      <c r="A156" s="133"/>
      <c r="B156" s="133"/>
      <c r="C156" s="133"/>
      <c r="D156" s="133"/>
      <c r="E156" s="133"/>
      <c r="F156" s="133"/>
      <c r="G156" s="133"/>
      <c r="H156" s="133"/>
      <c r="I156" s="1139"/>
      <c r="J156" s="133"/>
      <c r="K156" s="133"/>
      <c r="L156" s="133"/>
      <c r="M156" s="133"/>
      <c r="N156" s="133"/>
      <c r="O156" s="133"/>
      <c r="P156" s="133"/>
      <c r="Q156" s="133"/>
      <c r="R156" s="1140"/>
      <c r="S156" s="1141"/>
    </row>
    <row r="157" spans="1:19" ht="15.75" hidden="1" customHeight="1">
      <c r="A157" s="133"/>
      <c r="B157" s="133"/>
      <c r="C157" s="133"/>
      <c r="D157" s="133"/>
      <c r="E157" s="133"/>
      <c r="F157" s="133"/>
      <c r="G157" s="133"/>
      <c r="H157" s="133"/>
      <c r="I157" s="1139"/>
      <c r="J157" s="133"/>
      <c r="K157" s="133"/>
      <c r="L157" s="133"/>
      <c r="M157" s="133"/>
      <c r="N157" s="133"/>
      <c r="O157" s="133"/>
      <c r="P157" s="133"/>
      <c r="Q157" s="133"/>
      <c r="R157" s="1140"/>
      <c r="S157" s="1141"/>
    </row>
    <row r="158" spans="1:19" ht="15.75" hidden="1" customHeight="1">
      <c r="A158" s="133"/>
      <c r="B158" s="133"/>
      <c r="C158" s="133"/>
      <c r="D158" s="133"/>
      <c r="E158" s="133"/>
      <c r="F158" s="133"/>
      <c r="G158" s="133"/>
      <c r="H158" s="133"/>
      <c r="I158" s="1139"/>
      <c r="J158" s="133"/>
      <c r="K158" s="133"/>
      <c r="L158" s="133"/>
      <c r="M158" s="133"/>
      <c r="N158" s="133"/>
      <c r="O158" s="133"/>
      <c r="P158" s="133"/>
      <c r="Q158" s="133"/>
      <c r="R158" s="1140"/>
      <c r="S158" s="1141"/>
    </row>
    <row r="159" spans="1:19" ht="15.75" hidden="1" customHeight="1">
      <c r="A159" s="133"/>
      <c r="B159" s="133"/>
      <c r="C159" s="133"/>
      <c r="D159" s="133"/>
      <c r="E159" s="133"/>
      <c r="F159" s="133"/>
      <c r="G159" s="133"/>
      <c r="H159" s="133"/>
      <c r="I159" s="1139"/>
      <c r="J159" s="133"/>
      <c r="K159" s="133"/>
      <c r="L159" s="133"/>
      <c r="M159" s="133"/>
      <c r="N159" s="133"/>
      <c r="O159" s="133"/>
      <c r="P159" s="133"/>
      <c r="Q159" s="133"/>
      <c r="R159" s="1140"/>
      <c r="S159" s="1141"/>
    </row>
    <row r="160" spans="1:19" ht="15.75" hidden="1" customHeight="1">
      <c r="A160" s="133"/>
      <c r="B160" s="133"/>
      <c r="C160" s="133"/>
      <c r="D160" s="133"/>
      <c r="E160" s="133"/>
      <c r="F160" s="133"/>
      <c r="G160" s="133"/>
      <c r="H160" s="133"/>
      <c r="I160" s="1139"/>
      <c r="J160" s="133"/>
      <c r="K160" s="133"/>
      <c r="L160" s="133"/>
      <c r="M160" s="133"/>
      <c r="N160" s="133"/>
      <c r="O160" s="133"/>
      <c r="P160" s="133"/>
      <c r="Q160" s="133"/>
      <c r="R160" s="1140"/>
      <c r="S160" s="1141"/>
    </row>
    <row r="161" spans="1:19" ht="15.75" hidden="1" customHeight="1">
      <c r="A161" s="133"/>
      <c r="B161" s="133"/>
      <c r="C161" s="133"/>
      <c r="D161" s="133"/>
      <c r="E161" s="133"/>
      <c r="F161" s="133"/>
      <c r="G161" s="133"/>
      <c r="H161" s="133"/>
      <c r="I161" s="1139"/>
      <c r="J161" s="133"/>
      <c r="K161" s="133"/>
      <c r="L161" s="133"/>
      <c r="M161" s="133"/>
      <c r="N161" s="133"/>
      <c r="O161" s="133"/>
      <c r="P161" s="133"/>
      <c r="Q161" s="133"/>
      <c r="R161" s="1140"/>
      <c r="S161" s="1141"/>
    </row>
    <row r="162" spans="1:19" ht="15.75" hidden="1" customHeight="1">
      <c r="A162" s="133"/>
      <c r="B162" s="133"/>
      <c r="C162" s="133"/>
      <c r="D162" s="133"/>
      <c r="E162" s="133"/>
      <c r="F162" s="133"/>
      <c r="G162" s="133"/>
      <c r="H162" s="133"/>
      <c r="I162" s="1139"/>
      <c r="J162" s="133"/>
      <c r="K162" s="133"/>
      <c r="L162" s="133"/>
      <c r="M162" s="133"/>
      <c r="N162" s="133"/>
      <c r="O162" s="133"/>
      <c r="P162" s="133"/>
      <c r="Q162" s="133"/>
      <c r="R162" s="1140"/>
      <c r="S162" s="1141"/>
    </row>
    <row r="163" spans="1:19" ht="15.75" hidden="1" customHeight="1">
      <c r="A163" s="133"/>
      <c r="B163" s="133"/>
      <c r="C163" s="133"/>
      <c r="D163" s="133"/>
      <c r="E163" s="133"/>
      <c r="F163" s="133"/>
      <c r="G163" s="133"/>
      <c r="H163" s="133"/>
      <c r="I163" s="1139"/>
      <c r="J163" s="133"/>
      <c r="K163" s="133"/>
      <c r="L163" s="133"/>
      <c r="M163" s="133"/>
      <c r="N163" s="133"/>
      <c r="O163" s="133"/>
      <c r="P163" s="133"/>
      <c r="Q163" s="133"/>
      <c r="R163" s="1140"/>
      <c r="S163" s="1141"/>
    </row>
    <row r="164" spans="1:19" ht="15.75" hidden="1" customHeight="1">
      <c r="A164" s="133"/>
      <c r="B164" s="133"/>
      <c r="C164" s="133"/>
      <c r="D164" s="133"/>
      <c r="E164" s="133"/>
      <c r="F164" s="133"/>
      <c r="G164" s="133"/>
      <c r="H164" s="133"/>
      <c r="I164" s="1139"/>
      <c r="J164" s="133"/>
      <c r="K164" s="133"/>
      <c r="L164" s="133"/>
      <c r="M164" s="133"/>
      <c r="N164" s="133"/>
      <c r="O164" s="133"/>
      <c r="P164" s="133"/>
      <c r="Q164" s="133"/>
      <c r="R164" s="1140"/>
      <c r="S164" s="1141"/>
    </row>
    <row r="165" spans="1:19" ht="15.75" hidden="1" customHeight="1">
      <c r="A165" s="133"/>
      <c r="B165" s="133"/>
      <c r="C165" s="133"/>
      <c r="D165" s="133"/>
      <c r="E165" s="133"/>
      <c r="F165" s="133"/>
      <c r="G165" s="133"/>
      <c r="H165" s="133"/>
      <c r="I165" s="1139"/>
      <c r="J165" s="133"/>
      <c r="K165" s="133"/>
      <c r="L165" s="133"/>
      <c r="M165" s="133"/>
      <c r="N165" s="133"/>
      <c r="O165" s="133"/>
      <c r="P165" s="133"/>
      <c r="Q165" s="133"/>
      <c r="R165" s="1140"/>
      <c r="S165" s="1141"/>
    </row>
    <row r="166" spans="1:19" ht="15.75" hidden="1" customHeight="1">
      <c r="A166" s="133"/>
      <c r="B166" s="133"/>
      <c r="C166" s="133"/>
      <c r="D166" s="133"/>
      <c r="E166" s="133"/>
      <c r="F166" s="133"/>
      <c r="G166" s="133"/>
      <c r="H166" s="133"/>
      <c r="I166" s="1139"/>
      <c r="J166" s="133"/>
      <c r="K166" s="133"/>
      <c r="L166" s="133"/>
      <c r="M166" s="133"/>
      <c r="N166" s="133"/>
      <c r="O166" s="133"/>
      <c r="P166" s="133"/>
      <c r="Q166" s="133"/>
      <c r="R166" s="1140"/>
      <c r="S166" s="1141"/>
    </row>
    <row r="167" spans="1:19" ht="15.75" hidden="1" customHeight="1">
      <c r="A167" s="133"/>
      <c r="B167" s="133"/>
      <c r="C167" s="133"/>
      <c r="D167" s="133"/>
      <c r="E167" s="133"/>
      <c r="F167" s="133"/>
      <c r="G167" s="133"/>
      <c r="H167" s="133"/>
      <c r="I167" s="1139"/>
      <c r="J167" s="133"/>
      <c r="K167" s="133"/>
      <c r="L167" s="133"/>
      <c r="M167" s="133"/>
      <c r="N167" s="133"/>
      <c r="O167" s="133"/>
      <c r="P167" s="133"/>
      <c r="Q167" s="133"/>
      <c r="R167" s="1140"/>
      <c r="S167" s="1141"/>
    </row>
    <row r="168" spans="1:19" ht="15.75" hidden="1" customHeight="1">
      <c r="A168" s="133"/>
      <c r="B168" s="133"/>
      <c r="C168" s="133"/>
      <c r="D168" s="133"/>
      <c r="E168" s="133"/>
      <c r="F168" s="133"/>
      <c r="G168" s="133"/>
      <c r="H168" s="133"/>
      <c r="I168" s="1139"/>
      <c r="J168" s="133"/>
      <c r="K168" s="133"/>
      <c r="L168" s="133"/>
      <c r="M168" s="133"/>
      <c r="N168" s="133"/>
      <c r="O168" s="133"/>
      <c r="P168" s="133"/>
      <c r="Q168" s="133"/>
      <c r="R168" s="1140"/>
      <c r="S168" s="1141"/>
    </row>
    <row r="169" spans="1:19" ht="15.75" hidden="1" customHeight="1">
      <c r="A169" s="133"/>
      <c r="B169" s="133"/>
      <c r="C169" s="133"/>
      <c r="D169" s="133"/>
      <c r="E169" s="133"/>
      <c r="F169" s="133"/>
      <c r="G169" s="133"/>
      <c r="H169" s="133"/>
      <c r="I169" s="1139"/>
      <c r="J169" s="133"/>
      <c r="K169" s="133"/>
      <c r="L169" s="133"/>
      <c r="M169" s="133"/>
      <c r="N169" s="133"/>
      <c r="O169" s="133"/>
      <c r="P169" s="133"/>
      <c r="Q169" s="133"/>
      <c r="R169" s="1140"/>
      <c r="S169" s="1141"/>
    </row>
    <row r="170" spans="1:19" ht="15.75" hidden="1" customHeight="1">
      <c r="A170" s="133"/>
      <c r="B170" s="133"/>
      <c r="C170" s="133"/>
      <c r="D170" s="133"/>
      <c r="E170" s="133"/>
      <c r="F170" s="133"/>
      <c r="G170" s="133"/>
      <c r="H170" s="133"/>
      <c r="I170" s="1139"/>
      <c r="J170" s="133"/>
      <c r="K170" s="133"/>
      <c r="L170" s="133"/>
      <c r="M170" s="133"/>
      <c r="N170" s="133"/>
      <c r="O170" s="133"/>
      <c r="P170" s="133"/>
      <c r="Q170" s="133"/>
      <c r="R170" s="1140"/>
      <c r="S170" s="1141"/>
    </row>
    <row r="171" spans="1:19" ht="15.75" hidden="1" customHeight="1">
      <c r="A171" s="133"/>
      <c r="B171" s="133"/>
      <c r="C171" s="133"/>
      <c r="D171" s="133"/>
      <c r="E171" s="133"/>
      <c r="F171" s="133"/>
      <c r="G171" s="133"/>
      <c r="H171" s="133"/>
      <c r="I171" s="1139"/>
      <c r="J171" s="133"/>
      <c r="K171" s="133"/>
      <c r="L171" s="133"/>
      <c r="M171" s="133"/>
      <c r="N171" s="133"/>
      <c r="O171" s="133"/>
      <c r="P171" s="133"/>
      <c r="Q171" s="133"/>
      <c r="R171" s="1140"/>
      <c r="S171" s="1141"/>
    </row>
    <row r="172" spans="1:19" ht="15.75" hidden="1" customHeight="1">
      <c r="A172" s="133"/>
      <c r="B172" s="133"/>
      <c r="C172" s="133"/>
      <c r="D172" s="133"/>
      <c r="E172" s="133"/>
      <c r="F172" s="133"/>
      <c r="G172" s="133"/>
      <c r="H172" s="133"/>
      <c r="I172" s="1139"/>
      <c r="J172" s="133"/>
      <c r="K172" s="133"/>
      <c r="L172" s="133"/>
      <c r="M172" s="133"/>
      <c r="N172" s="133"/>
      <c r="O172" s="133"/>
      <c r="P172" s="133"/>
      <c r="Q172" s="133"/>
      <c r="R172" s="1140"/>
      <c r="S172" s="1141"/>
    </row>
    <row r="173" spans="1:19" ht="15.75" hidden="1" customHeight="1">
      <c r="A173" s="133"/>
      <c r="B173" s="133"/>
      <c r="C173" s="133"/>
      <c r="D173" s="133"/>
      <c r="E173" s="133"/>
      <c r="F173" s="133"/>
      <c r="G173" s="133"/>
      <c r="H173" s="133"/>
      <c r="I173" s="1139"/>
      <c r="J173" s="133"/>
      <c r="K173" s="133"/>
      <c r="L173" s="133"/>
      <c r="M173" s="133"/>
      <c r="N173" s="133"/>
      <c r="O173" s="133"/>
      <c r="P173" s="133"/>
      <c r="Q173" s="133"/>
      <c r="R173" s="1140"/>
      <c r="S173" s="1141"/>
    </row>
    <row r="174" spans="1:19" ht="15.75" hidden="1" customHeight="1">
      <c r="A174" s="133"/>
      <c r="B174" s="133"/>
      <c r="C174" s="133"/>
      <c r="D174" s="133"/>
      <c r="E174" s="133"/>
      <c r="F174" s="133"/>
      <c r="G174" s="133"/>
      <c r="H174" s="133"/>
      <c r="I174" s="1139"/>
      <c r="J174" s="133"/>
      <c r="K174" s="133"/>
      <c r="L174" s="133"/>
      <c r="M174" s="133"/>
      <c r="N174" s="133"/>
      <c r="O174" s="133"/>
      <c r="P174" s="133"/>
      <c r="Q174" s="133"/>
      <c r="R174" s="1140"/>
      <c r="S174" s="1141"/>
    </row>
    <row r="175" spans="1:19" ht="15.75" hidden="1" customHeight="1">
      <c r="A175" s="133"/>
      <c r="B175" s="133"/>
      <c r="C175" s="133"/>
      <c r="D175" s="133"/>
      <c r="E175" s="133"/>
      <c r="F175" s="133"/>
      <c r="G175" s="133"/>
      <c r="H175" s="133"/>
      <c r="I175" s="1139"/>
      <c r="J175" s="133"/>
      <c r="K175" s="133"/>
      <c r="L175" s="133"/>
      <c r="M175" s="133"/>
      <c r="N175" s="133"/>
      <c r="O175" s="133"/>
      <c r="P175" s="133"/>
      <c r="Q175" s="133"/>
      <c r="R175" s="1140"/>
      <c r="S175" s="1141"/>
    </row>
    <row r="176" spans="1:19" ht="15.75" hidden="1" customHeight="1">
      <c r="A176" s="133"/>
      <c r="B176" s="133"/>
      <c r="C176" s="133"/>
      <c r="D176" s="133"/>
      <c r="E176" s="133"/>
      <c r="F176" s="133"/>
      <c r="G176" s="133"/>
      <c r="H176" s="133"/>
      <c r="I176" s="1139"/>
      <c r="J176" s="133"/>
      <c r="K176" s="133"/>
      <c r="L176" s="133"/>
      <c r="M176" s="133"/>
      <c r="N176" s="133"/>
      <c r="O176" s="133"/>
      <c r="P176" s="133"/>
      <c r="Q176" s="133"/>
      <c r="R176" s="1140"/>
      <c r="S176" s="1141"/>
    </row>
    <row r="177" spans="1:19" ht="15.75" hidden="1" customHeight="1">
      <c r="A177" s="133"/>
      <c r="B177" s="133"/>
      <c r="C177" s="133"/>
      <c r="D177" s="133"/>
      <c r="E177" s="133"/>
      <c r="F177" s="133"/>
      <c r="G177" s="133"/>
      <c r="H177" s="133"/>
      <c r="I177" s="1139"/>
      <c r="J177" s="133"/>
      <c r="K177" s="133"/>
      <c r="L177" s="133"/>
      <c r="M177" s="133"/>
      <c r="N177" s="133"/>
      <c r="O177" s="133"/>
      <c r="P177" s="133"/>
      <c r="Q177" s="133"/>
      <c r="R177" s="1140"/>
      <c r="S177" s="1141"/>
    </row>
    <row r="178" spans="1:19" ht="15.75" hidden="1" customHeight="1">
      <c r="A178" s="133"/>
      <c r="B178" s="133"/>
      <c r="C178" s="133"/>
      <c r="D178" s="133"/>
      <c r="E178" s="133"/>
      <c r="F178" s="133"/>
      <c r="G178" s="133"/>
      <c r="H178" s="133"/>
      <c r="I178" s="1139"/>
      <c r="J178" s="133"/>
      <c r="K178" s="133"/>
      <c r="L178" s="133"/>
      <c r="M178" s="133"/>
      <c r="N178" s="133"/>
      <c r="O178" s="133"/>
      <c r="P178" s="133"/>
      <c r="Q178" s="133"/>
      <c r="R178" s="1140"/>
      <c r="S178" s="1141"/>
    </row>
    <row r="179" spans="1:19" ht="15.75" hidden="1" customHeight="1">
      <c r="A179" s="133"/>
      <c r="B179" s="133"/>
      <c r="C179" s="133"/>
      <c r="D179" s="133"/>
      <c r="E179" s="133"/>
      <c r="F179" s="133"/>
      <c r="G179" s="133"/>
      <c r="H179" s="133"/>
      <c r="I179" s="1139"/>
      <c r="J179" s="133"/>
      <c r="K179" s="133"/>
      <c r="L179" s="133"/>
      <c r="M179" s="133"/>
      <c r="N179" s="133"/>
      <c r="O179" s="133"/>
      <c r="P179" s="133"/>
      <c r="Q179" s="133"/>
      <c r="R179" s="1140"/>
      <c r="S179" s="1141"/>
    </row>
    <row r="180" spans="1:19" ht="15.75" hidden="1" customHeight="1">
      <c r="A180" s="133"/>
      <c r="B180" s="133"/>
      <c r="C180" s="133"/>
      <c r="D180" s="133"/>
      <c r="E180" s="133"/>
      <c r="F180" s="133"/>
      <c r="G180" s="133"/>
      <c r="H180" s="133"/>
      <c r="I180" s="1139"/>
      <c r="J180" s="133"/>
      <c r="K180" s="133"/>
      <c r="L180" s="133"/>
      <c r="M180" s="133"/>
      <c r="N180" s="133"/>
      <c r="O180" s="133"/>
      <c r="P180" s="133"/>
      <c r="Q180" s="133"/>
      <c r="R180" s="1140"/>
      <c r="S180" s="1141"/>
    </row>
    <row r="181" spans="1:19" ht="15.75" hidden="1" customHeight="1">
      <c r="A181" s="133"/>
      <c r="B181" s="133"/>
      <c r="C181" s="133"/>
      <c r="D181" s="133"/>
      <c r="E181" s="133"/>
      <c r="F181" s="133"/>
      <c r="G181" s="133"/>
      <c r="H181" s="133"/>
      <c r="I181" s="1139"/>
      <c r="J181" s="133"/>
      <c r="K181" s="133"/>
      <c r="L181" s="133"/>
      <c r="M181" s="133"/>
      <c r="N181" s="133"/>
      <c r="O181" s="133"/>
      <c r="P181" s="133"/>
      <c r="Q181" s="133"/>
      <c r="R181" s="1140"/>
      <c r="S181" s="1141"/>
    </row>
    <row r="182" spans="1:19" ht="15.75" hidden="1" customHeight="1">
      <c r="A182" s="133"/>
      <c r="B182" s="133"/>
      <c r="C182" s="133"/>
      <c r="D182" s="133"/>
      <c r="E182" s="133"/>
      <c r="F182" s="133"/>
      <c r="G182" s="133"/>
      <c r="H182" s="133"/>
      <c r="I182" s="1139"/>
      <c r="J182" s="133"/>
      <c r="K182" s="133"/>
      <c r="L182" s="133"/>
      <c r="M182" s="133"/>
      <c r="N182" s="133"/>
      <c r="O182" s="133"/>
      <c r="P182" s="133"/>
      <c r="Q182" s="133"/>
      <c r="R182" s="1140"/>
      <c r="S182" s="1141"/>
    </row>
    <row r="183" spans="1:19" ht="15.75" hidden="1" customHeight="1">
      <c r="A183" s="133"/>
      <c r="B183" s="133"/>
      <c r="C183" s="133"/>
      <c r="D183" s="133"/>
      <c r="E183" s="133"/>
      <c r="F183" s="133"/>
      <c r="G183" s="133"/>
      <c r="H183" s="133"/>
      <c r="I183" s="1139"/>
      <c r="J183" s="133"/>
      <c r="K183" s="133"/>
      <c r="L183" s="133"/>
      <c r="M183" s="133"/>
      <c r="N183" s="133"/>
      <c r="O183" s="133"/>
      <c r="P183" s="133"/>
      <c r="Q183" s="133"/>
      <c r="R183" s="1140"/>
      <c r="S183" s="1141"/>
    </row>
    <row r="184" spans="1:19" ht="15.75" hidden="1" customHeight="1">
      <c r="A184" s="133"/>
      <c r="B184" s="133"/>
      <c r="C184" s="133"/>
      <c r="D184" s="133"/>
      <c r="E184" s="133"/>
      <c r="F184" s="133"/>
      <c r="G184" s="133"/>
      <c r="H184" s="133"/>
      <c r="I184" s="1139"/>
      <c r="J184" s="133"/>
      <c r="K184" s="133"/>
      <c r="L184" s="133"/>
      <c r="M184" s="133"/>
      <c r="N184" s="133"/>
      <c r="O184" s="133"/>
      <c r="P184" s="133"/>
      <c r="Q184" s="133"/>
      <c r="R184" s="1140"/>
      <c r="S184" s="1141"/>
    </row>
    <row r="185" spans="1:19" ht="15.75" hidden="1" customHeight="1">
      <c r="A185" s="133"/>
      <c r="B185" s="133"/>
      <c r="C185" s="133"/>
      <c r="D185" s="133"/>
      <c r="E185" s="133"/>
      <c r="F185" s="133"/>
      <c r="G185" s="133"/>
      <c r="H185" s="133"/>
      <c r="I185" s="1139"/>
      <c r="J185" s="133"/>
      <c r="K185" s="133"/>
      <c r="L185" s="133"/>
      <c r="M185" s="133"/>
      <c r="N185" s="133"/>
      <c r="O185" s="133"/>
      <c r="P185" s="133"/>
      <c r="Q185" s="133"/>
      <c r="R185" s="1140"/>
      <c r="S185" s="1141"/>
    </row>
    <row r="186" spans="1:19" ht="15.75" hidden="1" customHeight="1">
      <c r="A186" s="133"/>
      <c r="B186" s="133"/>
      <c r="C186" s="133"/>
      <c r="D186" s="133"/>
      <c r="E186" s="133"/>
      <c r="F186" s="133"/>
      <c r="G186" s="133"/>
      <c r="H186" s="133"/>
      <c r="I186" s="1139"/>
      <c r="J186" s="133"/>
      <c r="K186" s="133"/>
      <c r="L186" s="133"/>
      <c r="M186" s="133"/>
      <c r="N186" s="133"/>
      <c r="O186" s="133"/>
      <c r="P186" s="133"/>
      <c r="Q186" s="133"/>
      <c r="R186" s="1140"/>
      <c r="S186" s="1141"/>
    </row>
    <row r="187" spans="1:19" ht="15.75" hidden="1" customHeight="1">
      <c r="A187" s="133"/>
      <c r="B187" s="133"/>
      <c r="C187" s="133"/>
      <c r="D187" s="133"/>
      <c r="E187" s="133"/>
      <c r="F187" s="133"/>
      <c r="G187" s="133"/>
      <c r="H187" s="133"/>
      <c r="I187" s="1139"/>
      <c r="J187" s="133"/>
      <c r="K187" s="133"/>
      <c r="L187" s="133"/>
      <c r="M187" s="133"/>
      <c r="N187" s="133"/>
      <c r="O187" s="133"/>
      <c r="P187" s="133"/>
      <c r="Q187" s="133"/>
      <c r="R187" s="1140"/>
      <c r="S187" s="1141"/>
    </row>
    <row r="188" spans="1:19" ht="15.75" hidden="1" customHeight="1">
      <c r="A188" s="133"/>
      <c r="B188" s="133"/>
      <c r="C188" s="133"/>
      <c r="D188" s="133"/>
      <c r="E188" s="133"/>
      <c r="F188" s="133"/>
      <c r="G188" s="133"/>
      <c r="H188" s="133"/>
      <c r="I188" s="1139"/>
      <c r="J188" s="133"/>
      <c r="K188" s="133"/>
      <c r="L188" s="133"/>
      <c r="M188" s="133"/>
      <c r="N188" s="133"/>
      <c r="O188" s="133"/>
      <c r="P188" s="133"/>
      <c r="Q188" s="133"/>
      <c r="R188" s="1140"/>
      <c r="S188" s="1141"/>
    </row>
    <row r="189" spans="1:19" ht="15.75" hidden="1" customHeight="1">
      <c r="A189" s="133"/>
      <c r="B189" s="133"/>
      <c r="C189" s="133"/>
      <c r="D189" s="133"/>
      <c r="E189" s="133"/>
      <c r="F189" s="133"/>
      <c r="G189" s="133"/>
      <c r="H189" s="133"/>
      <c r="I189" s="1139"/>
      <c r="J189" s="133"/>
      <c r="K189" s="133"/>
      <c r="L189" s="133"/>
      <c r="M189" s="133"/>
      <c r="N189" s="133"/>
      <c r="O189" s="133"/>
      <c r="P189" s="133"/>
      <c r="Q189" s="133"/>
      <c r="R189" s="1140"/>
      <c r="S189" s="1141"/>
    </row>
    <row r="190" spans="1:19" ht="15.75" hidden="1" customHeight="1">
      <c r="A190" s="133"/>
      <c r="B190" s="133"/>
      <c r="C190" s="133"/>
      <c r="D190" s="133"/>
      <c r="E190" s="133"/>
      <c r="F190" s="133"/>
      <c r="G190" s="133"/>
      <c r="H190" s="133"/>
      <c r="I190" s="1139"/>
      <c r="J190" s="133"/>
      <c r="K190" s="133"/>
      <c r="L190" s="133"/>
      <c r="M190" s="133"/>
      <c r="N190" s="133"/>
      <c r="O190" s="133"/>
      <c r="P190" s="133"/>
      <c r="Q190" s="133"/>
      <c r="R190" s="1140"/>
      <c r="S190" s="1141"/>
    </row>
    <row r="191" spans="1:19" ht="15.75" hidden="1" customHeight="1">
      <c r="A191" s="133"/>
      <c r="B191" s="133"/>
      <c r="C191" s="133"/>
      <c r="D191" s="133"/>
      <c r="E191" s="133"/>
      <c r="F191" s="133"/>
      <c r="G191" s="133"/>
      <c r="H191" s="133"/>
      <c r="I191" s="1139"/>
      <c r="J191" s="133"/>
      <c r="K191" s="133"/>
      <c r="L191" s="133"/>
      <c r="M191" s="133"/>
      <c r="N191" s="133"/>
      <c r="O191" s="133"/>
      <c r="P191" s="133"/>
      <c r="Q191" s="133"/>
      <c r="R191" s="1140"/>
      <c r="S191" s="1141"/>
    </row>
    <row r="192" spans="1:19" ht="15.75" hidden="1" customHeight="1">
      <c r="A192" s="133"/>
      <c r="B192" s="133"/>
      <c r="C192" s="133"/>
      <c r="D192" s="133"/>
      <c r="E192" s="133"/>
      <c r="F192" s="133"/>
      <c r="G192" s="133"/>
      <c r="H192" s="133"/>
      <c r="I192" s="1139"/>
      <c r="J192" s="133"/>
      <c r="K192" s="133"/>
      <c r="L192" s="133"/>
      <c r="M192" s="133"/>
      <c r="N192" s="133"/>
      <c r="O192" s="133"/>
      <c r="P192" s="133"/>
      <c r="Q192" s="133"/>
      <c r="R192" s="1140"/>
      <c r="S192" s="1141"/>
    </row>
    <row r="193" spans="1:19" ht="15.75" hidden="1" customHeight="1">
      <c r="A193" s="133"/>
      <c r="B193" s="133"/>
      <c r="C193" s="133"/>
      <c r="D193" s="133"/>
      <c r="E193" s="133"/>
      <c r="F193" s="133"/>
      <c r="G193" s="133"/>
      <c r="H193" s="133"/>
      <c r="I193" s="1139"/>
      <c r="J193" s="133"/>
      <c r="K193" s="133"/>
      <c r="L193" s="133"/>
      <c r="M193" s="133"/>
      <c r="N193" s="133"/>
      <c r="O193" s="133"/>
      <c r="P193" s="133"/>
      <c r="Q193" s="133"/>
      <c r="R193" s="1140"/>
      <c r="S193" s="1141"/>
    </row>
    <row r="194" spans="1:19" ht="15.75" hidden="1" customHeight="1">
      <c r="A194" s="133"/>
      <c r="B194" s="133"/>
      <c r="C194" s="133"/>
      <c r="D194" s="133"/>
      <c r="E194" s="133"/>
      <c r="F194" s="133"/>
      <c r="G194" s="133"/>
      <c r="H194" s="133"/>
      <c r="I194" s="1139"/>
      <c r="J194" s="133"/>
      <c r="K194" s="133"/>
      <c r="L194" s="133"/>
      <c r="M194" s="133"/>
      <c r="N194" s="133"/>
      <c r="O194" s="133"/>
      <c r="P194" s="133"/>
      <c r="Q194" s="133"/>
      <c r="R194" s="1140"/>
      <c r="S194" s="1141"/>
    </row>
    <row r="195" spans="1:19" ht="15.75" hidden="1" customHeight="1">
      <c r="A195" s="133"/>
      <c r="B195" s="133"/>
      <c r="C195" s="133"/>
      <c r="D195" s="133"/>
      <c r="E195" s="133"/>
      <c r="F195" s="133"/>
      <c r="G195" s="133"/>
      <c r="H195" s="133"/>
      <c r="I195" s="1139"/>
      <c r="J195" s="133"/>
      <c r="K195" s="133"/>
      <c r="L195" s="133"/>
      <c r="M195" s="133"/>
      <c r="N195" s="133"/>
      <c r="O195" s="133"/>
      <c r="P195" s="133"/>
      <c r="Q195" s="133"/>
      <c r="R195" s="1140"/>
      <c r="S195" s="1141"/>
    </row>
    <row r="196" spans="1:19" ht="15.75" hidden="1" customHeight="1">
      <c r="A196" s="133"/>
      <c r="B196" s="133"/>
      <c r="C196" s="133"/>
      <c r="D196" s="133"/>
      <c r="E196" s="133"/>
      <c r="F196" s="133"/>
      <c r="G196" s="133"/>
      <c r="H196" s="133"/>
      <c r="I196" s="1139"/>
      <c r="J196" s="133"/>
      <c r="K196" s="133"/>
      <c r="L196" s="133"/>
      <c r="M196" s="133"/>
      <c r="N196" s="133"/>
      <c r="O196" s="133"/>
      <c r="P196" s="133"/>
      <c r="Q196" s="133"/>
      <c r="R196" s="1140"/>
      <c r="S196" s="1141"/>
    </row>
    <row r="197" spans="1:19" ht="15.75" hidden="1" customHeight="1">
      <c r="A197" s="133"/>
      <c r="B197" s="133"/>
      <c r="C197" s="133"/>
      <c r="D197" s="133"/>
      <c r="E197" s="133"/>
      <c r="F197" s="133"/>
      <c r="G197" s="133"/>
      <c r="H197" s="133"/>
      <c r="I197" s="1139"/>
      <c r="J197" s="133"/>
      <c r="K197" s="133"/>
      <c r="L197" s="133"/>
      <c r="M197" s="133"/>
      <c r="N197" s="133"/>
      <c r="O197" s="133"/>
      <c r="P197" s="133"/>
      <c r="Q197" s="133"/>
      <c r="R197" s="1140"/>
      <c r="S197" s="1141"/>
    </row>
    <row r="198" spans="1:19" ht="15.75" hidden="1" customHeight="1">
      <c r="A198" s="133"/>
      <c r="B198" s="133"/>
      <c r="C198" s="133"/>
      <c r="D198" s="133"/>
      <c r="E198" s="133"/>
      <c r="F198" s="133"/>
      <c r="G198" s="133"/>
      <c r="H198" s="133"/>
      <c r="I198" s="1139"/>
      <c r="J198" s="133"/>
      <c r="K198" s="133"/>
      <c r="L198" s="133"/>
      <c r="M198" s="133"/>
      <c r="N198" s="133"/>
      <c r="O198" s="133"/>
      <c r="P198" s="133"/>
      <c r="Q198" s="133"/>
      <c r="R198" s="1140"/>
      <c r="S198" s="1141"/>
    </row>
    <row r="199" spans="1:19" ht="15.75" hidden="1" customHeight="1">
      <c r="A199" s="133"/>
      <c r="B199" s="133"/>
      <c r="C199" s="133"/>
      <c r="D199" s="133"/>
      <c r="E199" s="133"/>
      <c r="F199" s="133"/>
      <c r="G199" s="133"/>
      <c r="H199" s="133"/>
      <c r="I199" s="1139"/>
      <c r="J199" s="133"/>
      <c r="K199" s="133"/>
      <c r="L199" s="133"/>
      <c r="M199" s="133"/>
      <c r="N199" s="133"/>
      <c r="O199" s="133"/>
      <c r="P199" s="133"/>
      <c r="Q199" s="133"/>
      <c r="R199" s="1140"/>
      <c r="S199" s="1141"/>
    </row>
    <row r="200" spans="1:19" ht="15.75" hidden="1" customHeight="1">
      <c r="A200" s="133"/>
      <c r="B200" s="133"/>
      <c r="C200" s="133"/>
      <c r="D200" s="133"/>
      <c r="E200" s="133"/>
      <c r="F200" s="133"/>
      <c r="G200" s="133"/>
      <c r="H200" s="133"/>
      <c r="I200" s="1139"/>
      <c r="J200" s="133"/>
      <c r="K200" s="133"/>
      <c r="L200" s="133"/>
      <c r="M200" s="133"/>
      <c r="N200" s="133"/>
      <c r="O200" s="133"/>
      <c r="P200" s="133"/>
      <c r="Q200" s="133"/>
      <c r="R200" s="1140"/>
      <c r="S200" s="1141"/>
    </row>
    <row r="201" spans="1:19" ht="15.75" hidden="1" customHeight="1">
      <c r="A201" s="133"/>
      <c r="B201" s="133"/>
      <c r="C201" s="133"/>
      <c r="D201" s="133"/>
      <c r="E201" s="133"/>
      <c r="F201" s="133"/>
      <c r="G201" s="133"/>
      <c r="H201" s="133"/>
      <c r="I201" s="1139"/>
      <c r="J201" s="133"/>
      <c r="K201" s="133"/>
      <c r="L201" s="133"/>
      <c r="M201" s="133"/>
      <c r="N201" s="133"/>
      <c r="O201" s="133"/>
      <c r="P201" s="133"/>
      <c r="Q201" s="133"/>
      <c r="R201" s="1140"/>
      <c r="S201" s="1141"/>
    </row>
    <row r="202" spans="1:19" ht="15.75" hidden="1" customHeight="1">
      <c r="A202" s="133"/>
      <c r="B202" s="133"/>
      <c r="C202" s="133"/>
      <c r="D202" s="133"/>
      <c r="E202" s="133"/>
      <c r="F202" s="133"/>
      <c r="G202" s="133"/>
      <c r="H202" s="133"/>
      <c r="I202" s="1139"/>
      <c r="J202" s="133"/>
      <c r="K202" s="133"/>
      <c r="L202" s="133"/>
      <c r="M202" s="133"/>
      <c r="N202" s="133"/>
      <c r="O202" s="133"/>
      <c r="P202" s="133"/>
      <c r="Q202" s="133"/>
      <c r="R202" s="1140"/>
      <c r="S202" s="1141"/>
    </row>
    <row r="203" spans="1:19" ht="15.75" hidden="1" customHeight="1">
      <c r="A203" s="133"/>
      <c r="B203" s="133"/>
      <c r="C203" s="133"/>
      <c r="D203" s="133"/>
      <c r="E203" s="133"/>
      <c r="F203" s="133"/>
      <c r="G203" s="133"/>
      <c r="H203" s="133"/>
      <c r="I203" s="1139"/>
      <c r="J203" s="133"/>
      <c r="K203" s="133"/>
      <c r="L203" s="133"/>
      <c r="M203" s="133"/>
      <c r="N203" s="133"/>
      <c r="O203" s="133"/>
      <c r="P203" s="133"/>
      <c r="Q203" s="133"/>
      <c r="R203" s="1140"/>
      <c r="S203" s="1141"/>
    </row>
    <row r="204" spans="1:19" ht="15.75" hidden="1" customHeight="1">
      <c r="A204" s="133"/>
      <c r="B204" s="133"/>
      <c r="C204" s="133"/>
      <c r="D204" s="133"/>
      <c r="E204" s="133"/>
      <c r="F204" s="133"/>
      <c r="G204" s="133"/>
      <c r="H204" s="133"/>
      <c r="I204" s="1139"/>
      <c r="J204" s="133"/>
      <c r="K204" s="133"/>
      <c r="L204" s="133"/>
      <c r="M204" s="133"/>
      <c r="N204" s="133"/>
      <c r="O204" s="133"/>
      <c r="P204" s="133"/>
      <c r="Q204" s="133"/>
      <c r="R204" s="1140"/>
      <c r="S204" s="1141"/>
    </row>
    <row r="205" spans="1:19" ht="15.75" hidden="1" customHeight="1">
      <c r="A205" s="133"/>
      <c r="B205" s="133"/>
      <c r="C205" s="133"/>
      <c r="D205" s="133"/>
      <c r="E205" s="133"/>
      <c r="F205" s="133"/>
      <c r="G205" s="133"/>
      <c r="H205" s="133"/>
      <c r="I205" s="1139"/>
      <c r="J205" s="133"/>
      <c r="K205" s="133"/>
      <c r="L205" s="133"/>
      <c r="M205" s="133"/>
      <c r="N205" s="133"/>
      <c r="O205" s="133"/>
      <c r="P205" s="133"/>
      <c r="Q205" s="133"/>
      <c r="R205" s="1140"/>
      <c r="S205" s="1141"/>
    </row>
    <row r="206" spans="1:19" ht="15.75" hidden="1" customHeight="1">
      <c r="A206" s="133"/>
      <c r="B206" s="133"/>
      <c r="C206" s="133"/>
      <c r="D206" s="133"/>
      <c r="E206" s="133"/>
      <c r="F206" s="133"/>
      <c r="G206" s="133"/>
      <c r="H206" s="133"/>
      <c r="I206" s="1139"/>
      <c r="J206" s="133"/>
      <c r="K206" s="133"/>
      <c r="L206" s="133"/>
      <c r="M206" s="133"/>
      <c r="N206" s="133"/>
      <c r="O206" s="133"/>
      <c r="P206" s="133"/>
      <c r="Q206" s="133"/>
      <c r="R206" s="1140"/>
      <c r="S206" s="1141"/>
    </row>
    <row r="207" spans="1:19" ht="15.75" hidden="1" customHeight="1">
      <c r="A207" s="133"/>
      <c r="B207" s="133"/>
      <c r="C207" s="133"/>
      <c r="D207" s="133"/>
      <c r="E207" s="133"/>
      <c r="F207" s="133"/>
      <c r="G207" s="133"/>
      <c r="H207" s="133"/>
      <c r="I207" s="1139"/>
      <c r="J207" s="133"/>
      <c r="K207" s="133"/>
      <c r="L207" s="133"/>
      <c r="M207" s="133"/>
      <c r="N207" s="133"/>
      <c r="O207" s="133"/>
      <c r="P207" s="133"/>
      <c r="Q207" s="133"/>
      <c r="R207" s="1140"/>
      <c r="S207" s="1141"/>
    </row>
    <row r="208" spans="1:19" ht="15.75" hidden="1" customHeight="1">
      <c r="A208" s="133"/>
      <c r="B208" s="133"/>
      <c r="C208" s="133"/>
      <c r="D208" s="133"/>
      <c r="E208" s="133"/>
      <c r="F208" s="133"/>
      <c r="G208" s="133"/>
      <c r="H208" s="133"/>
      <c r="I208" s="1139"/>
      <c r="J208" s="133"/>
      <c r="K208" s="133"/>
      <c r="L208" s="133"/>
      <c r="M208" s="133"/>
      <c r="N208" s="133"/>
      <c r="O208" s="133"/>
      <c r="P208" s="133"/>
      <c r="Q208" s="133"/>
      <c r="R208" s="1140"/>
      <c r="S208" s="1141"/>
    </row>
    <row r="209" spans="1:19" ht="15.75" hidden="1" customHeight="1">
      <c r="A209" s="133"/>
      <c r="B209" s="133"/>
      <c r="C209" s="133"/>
      <c r="D209" s="133"/>
      <c r="E209" s="133"/>
      <c r="F209" s="133"/>
      <c r="G209" s="133"/>
      <c r="H209" s="133"/>
      <c r="I209" s="1139"/>
      <c r="J209" s="133"/>
      <c r="K209" s="133"/>
      <c r="L209" s="133"/>
      <c r="M209" s="133"/>
      <c r="N209" s="133"/>
      <c r="O209" s="133"/>
      <c r="P209" s="133"/>
      <c r="Q209" s="133"/>
      <c r="R209" s="1140"/>
      <c r="S209" s="1141"/>
    </row>
    <row r="210" spans="1:19" ht="15.75" hidden="1" customHeight="1">
      <c r="A210" s="133"/>
      <c r="B210" s="133"/>
      <c r="C210" s="133"/>
      <c r="D210" s="133"/>
      <c r="E210" s="133"/>
      <c r="F210" s="133"/>
      <c r="G210" s="133"/>
      <c r="H210" s="133"/>
      <c r="I210" s="1139"/>
      <c r="J210" s="133"/>
      <c r="K210" s="133"/>
      <c r="L210" s="133"/>
      <c r="M210" s="133"/>
      <c r="N210" s="133"/>
      <c r="O210" s="133"/>
      <c r="P210" s="133"/>
      <c r="Q210" s="133"/>
      <c r="R210" s="1140"/>
      <c r="S210" s="1141"/>
    </row>
    <row r="211" spans="1:19" ht="15.75" hidden="1" customHeight="1">
      <c r="A211" s="133"/>
      <c r="B211" s="133"/>
      <c r="C211" s="133"/>
      <c r="D211" s="133"/>
      <c r="E211" s="133"/>
      <c r="F211" s="133"/>
      <c r="G211" s="133"/>
      <c r="H211" s="133"/>
      <c r="I211" s="1139"/>
      <c r="J211" s="133"/>
      <c r="K211" s="133"/>
      <c r="L211" s="133"/>
      <c r="M211" s="133"/>
      <c r="N211" s="133"/>
      <c r="O211" s="133"/>
      <c r="P211" s="133"/>
      <c r="Q211" s="133"/>
      <c r="R211" s="1140"/>
      <c r="S211" s="1141"/>
    </row>
    <row r="212" spans="1:19" ht="15.75" hidden="1" customHeight="1">
      <c r="A212" s="133"/>
      <c r="B212" s="133"/>
      <c r="C212" s="133"/>
      <c r="D212" s="133"/>
      <c r="E212" s="133"/>
      <c r="F212" s="133"/>
      <c r="G212" s="133"/>
      <c r="H212" s="133"/>
      <c r="I212" s="1139"/>
      <c r="J212" s="133"/>
      <c r="K212" s="133"/>
      <c r="L212" s="133"/>
      <c r="M212" s="133"/>
      <c r="N212" s="133"/>
      <c r="O212" s="133"/>
      <c r="P212" s="133"/>
      <c r="Q212" s="133"/>
      <c r="R212" s="1140"/>
      <c r="S212" s="1141"/>
    </row>
    <row r="213" spans="1:19" ht="15.75" hidden="1" customHeight="1">
      <c r="A213" s="133"/>
      <c r="B213" s="133"/>
      <c r="C213" s="133"/>
      <c r="D213" s="133"/>
      <c r="E213" s="133"/>
      <c r="F213" s="133"/>
      <c r="G213" s="133"/>
      <c r="H213" s="133"/>
      <c r="I213" s="1139"/>
      <c r="J213" s="133"/>
      <c r="K213" s="133"/>
      <c r="L213" s="133"/>
      <c r="M213" s="133"/>
      <c r="N213" s="133"/>
      <c r="O213" s="133"/>
      <c r="P213" s="133"/>
      <c r="Q213" s="133"/>
      <c r="R213" s="1140"/>
      <c r="S213" s="1141"/>
    </row>
    <row r="214" spans="1:19" ht="15.75" hidden="1" customHeight="1">
      <c r="A214" s="133"/>
      <c r="B214" s="133"/>
      <c r="C214" s="133"/>
      <c r="D214" s="133"/>
      <c r="E214" s="133"/>
      <c r="F214" s="133"/>
      <c r="G214" s="133"/>
      <c r="H214" s="133"/>
      <c r="I214" s="1139"/>
      <c r="J214" s="133"/>
      <c r="K214" s="133"/>
      <c r="L214" s="133"/>
      <c r="M214" s="133"/>
      <c r="N214" s="133"/>
      <c r="O214" s="133"/>
      <c r="P214" s="133"/>
      <c r="Q214" s="133"/>
      <c r="R214" s="1140"/>
      <c r="S214" s="1141"/>
    </row>
    <row r="215" spans="1:19" ht="15.75" hidden="1" customHeight="1">
      <c r="A215" s="133"/>
      <c r="B215" s="133"/>
      <c r="C215" s="133"/>
      <c r="D215" s="133"/>
      <c r="E215" s="133"/>
      <c r="F215" s="133"/>
      <c r="G215" s="133"/>
      <c r="H215" s="133"/>
      <c r="I215" s="1139"/>
      <c r="J215" s="133"/>
      <c r="K215" s="133"/>
      <c r="L215" s="133"/>
      <c r="M215" s="133"/>
      <c r="N215" s="133"/>
      <c r="O215" s="133"/>
      <c r="P215" s="133"/>
      <c r="Q215" s="133"/>
      <c r="R215" s="1140"/>
      <c r="S215" s="1141"/>
    </row>
    <row r="216" spans="1:19" ht="15.75" hidden="1" customHeight="1">
      <c r="A216" s="133"/>
      <c r="B216" s="133"/>
      <c r="C216" s="133"/>
      <c r="D216" s="133"/>
      <c r="E216" s="133"/>
      <c r="F216" s="133"/>
      <c r="G216" s="133"/>
      <c r="H216" s="133"/>
      <c r="I216" s="1139"/>
      <c r="J216" s="133"/>
      <c r="K216" s="133"/>
      <c r="L216" s="133"/>
      <c r="M216" s="133"/>
      <c r="N216" s="133"/>
      <c r="O216" s="133"/>
      <c r="P216" s="133"/>
      <c r="Q216" s="133"/>
      <c r="R216" s="1140"/>
      <c r="S216" s="1141"/>
    </row>
    <row r="217" spans="1:19" ht="15.75" hidden="1" customHeight="1">
      <c r="A217" s="133"/>
      <c r="B217" s="133"/>
      <c r="C217" s="133"/>
      <c r="D217" s="133"/>
      <c r="E217" s="133"/>
      <c r="F217" s="133"/>
      <c r="G217" s="133"/>
      <c r="H217" s="133"/>
      <c r="I217" s="1139"/>
      <c r="J217" s="133"/>
      <c r="K217" s="133"/>
      <c r="L217" s="133"/>
      <c r="M217" s="133"/>
      <c r="N217" s="133"/>
      <c r="O217" s="133"/>
      <c r="P217" s="133"/>
      <c r="Q217" s="133"/>
      <c r="R217" s="1140"/>
      <c r="S217" s="1141"/>
    </row>
    <row r="218" spans="1:19" ht="15.75" hidden="1" customHeight="1">
      <c r="A218" s="133"/>
      <c r="B218" s="133"/>
      <c r="C218" s="133"/>
      <c r="D218" s="133"/>
      <c r="E218" s="133"/>
      <c r="F218" s="133"/>
      <c r="G218" s="133"/>
      <c r="H218" s="133"/>
      <c r="I218" s="1139"/>
      <c r="J218" s="133"/>
      <c r="K218" s="133"/>
      <c r="L218" s="133"/>
      <c r="M218" s="133"/>
      <c r="N218" s="133"/>
      <c r="O218" s="133"/>
      <c r="P218" s="133"/>
      <c r="Q218" s="133"/>
      <c r="R218" s="1140"/>
      <c r="S218" s="1141"/>
    </row>
    <row r="219" spans="1:19" ht="15.75" hidden="1" customHeight="1">
      <c r="A219" s="133"/>
      <c r="B219" s="133"/>
      <c r="C219" s="133"/>
      <c r="D219" s="133"/>
      <c r="E219" s="133"/>
      <c r="F219" s="133"/>
      <c r="G219" s="133"/>
      <c r="H219" s="133"/>
      <c r="I219" s="1139"/>
      <c r="J219" s="133"/>
      <c r="K219" s="133"/>
      <c r="L219" s="133"/>
      <c r="M219" s="133"/>
      <c r="N219" s="133"/>
      <c r="O219" s="133"/>
      <c r="P219" s="133"/>
      <c r="Q219" s="133"/>
      <c r="R219" s="1140"/>
      <c r="S219" s="1141"/>
    </row>
    <row r="220" spans="1:19" ht="15.75" hidden="1" customHeight="1">
      <c r="A220" s="133"/>
      <c r="B220" s="133"/>
      <c r="C220" s="133"/>
      <c r="D220" s="133"/>
      <c r="E220" s="133"/>
      <c r="F220" s="133"/>
      <c r="G220" s="133"/>
      <c r="H220" s="133"/>
      <c r="I220" s="1139"/>
      <c r="J220" s="133"/>
      <c r="K220" s="133"/>
      <c r="L220" s="133"/>
      <c r="M220" s="133"/>
      <c r="N220" s="133"/>
      <c r="O220" s="133"/>
      <c r="P220" s="133"/>
      <c r="Q220" s="133"/>
      <c r="R220" s="1140"/>
      <c r="S220" s="1141"/>
    </row>
    <row r="221" spans="1:19" ht="15.75" hidden="1" customHeight="1">
      <c r="A221" s="133"/>
      <c r="B221" s="133"/>
      <c r="C221" s="133"/>
      <c r="D221" s="133"/>
      <c r="E221" s="133"/>
      <c r="F221" s="133"/>
      <c r="G221" s="133"/>
      <c r="H221" s="133"/>
      <c r="I221" s="1139"/>
      <c r="J221" s="133"/>
      <c r="K221" s="133"/>
      <c r="L221" s="133"/>
      <c r="M221" s="133"/>
      <c r="N221" s="133"/>
      <c r="O221" s="133"/>
      <c r="P221" s="133"/>
      <c r="Q221" s="133"/>
      <c r="R221" s="1140"/>
      <c r="S221" s="1141"/>
    </row>
    <row r="222" spans="1:19" ht="15.75" hidden="1" customHeight="1">
      <c r="A222" s="133"/>
      <c r="B222" s="133"/>
      <c r="C222" s="133"/>
      <c r="D222" s="133"/>
      <c r="E222" s="133"/>
      <c r="F222" s="133"/>
      <c r="G222" s="133"/>
      <c r="H222" s="133"/>
      <c r="I222" s="1139"/>
      <c r="J222" s="133"/>
      <c r="K222" s="133"/>
      <c r="L222" s="133"/>
      <c r="M222" s="133"/>
      <c r="N222" s="133"/>
      <c r="O222" s="133"/>
      <c r="P222" s="133"/>
      <c r="Q222" s="133"/>
      <c r="R222" s="1140"/>
      <c r="S222" s="1141"/>
    </row>
    <row r="223" spans="1:19" ht="15.75" hidden="1" customHeight="1">
      <c r="A223" s="133"/>
      <c r="B223" s="133"/>
      <c r="C223" s="133"/>
      <c r="D223" s="133"/>
      <c r="E223" s="133"/>
      <c r="F223" s="133"/>
      <c r="G223" s="133"/>
      <c r="H223" s="133"/>
      <c r="I223" s="1139"/>
      <c r="J223" s="133"/>
      <c r="K223" s="133"/>
      <c r="L223" s="133"/>
      <c r="M223" s="133"/>
      <c r="N223" s="133"/>
      <c r="O223" s="133"/>
      <c r="P223" s="133"/>
      <c r="Q223" s="133"/>
      <c r="R223" s="1140"/>
      <c r="S223" s="1141"/>
    </row>
    <row r="224" spans="1:19" ht="15.75" hidden="1" customHeight="1">
      <c r="A224" s="133"/>
      <c r="B224" s="133"/>
      <c r="C224" s="133"/>
      <c r="D224" s="133"/>
      <c r="E224" s="133"/>
      <c r="F224" s="133"/>
      <c r="G224" s="133"/>
      <c r="H224" s="133"/>
      <c r="I224" s="1139"/>
      <c r="J224" s="133"/>
      <c r="K224" s="133"/>
      <c r="L224" s="133"/>
      <c r="M224" s="133"/>
      <c r="N224" s="133"/>
      <c r="O224" s="133"/>
      <c r="P224" s="133"/>
      <c r="Q224" s="133"/>
      <c r="R224" s="1140"/>
      <c r="S224" s="1141"/>
    </row>
    <row r="225" spans="1:19" ht="15.75" hidden="1" customHeight="1">
      <c r="A225" s="133"/>
      <c r="B225" s="133"/>
      <c r="C225" s="133"/>
      <c r="D225" s="133"/>
      <c r="E225" s="133"/>
      <c r="F225" s="133"/>
      <c r="G225" s="133"/>
      <c r="H225" s="133"/>
      <c r="I225" s="1139"/>
      <c r="J225" s="133"/>
      <c r="K225" s="133"/>
      <c r="L225" s="133"/>
      <c r="M225" s="133"/>
      <c r="N225" s="133"/>
      <c r="O225" s="133"/>
      <c r="P225" s="133"/>
      <c r="Q225" s="133"/>
      <c r="R225" s="1140"/>
      <c r="S225" s="1141"/>
    </row>
    <row r="226" spans="1:19" ht="15.75" hidden="1" customHeight="1">
      <c r="A226" s="133"/>
      <c r="B226" s="133"/>
      <c r="C226" s="133"/>
      <c r="D226" s="133"/>
      <c r="E226" s="133"/>
      <c r="F226" s="133"/>
      <c r="G226" s="133"/>
      <c r="H226" s="133"/>
      <c r="I226" s="1139"/>
      <c r="J226" s="133"/>
      <c r="K226" s="133"/>
      <c r="L226" s="133"/>
      <c r="M226" s="133"/>
      <c r="N226" s="133"/>
      <c r="O226" s="133"/>
      <c r="P226" s="133"/>
      <c r="Q226" s="133"/>
      <c r="R226" s="1140"/>
      <c r="S226" s="1141"/>
    </row>
    <row r="227" spans="1:19" ht="15.75" hidden="1" customHeight="1">
      <c r="A227" s="133"/>
      <c r="B227" s="133"/>
      <c r="C227" s="133"/>
      <c r="D227" s="133"/>
      <c r="E227" s="133"/>
      <c r="F227" s="133"/>
      <c r="G227" s="133"/>
      <c r="H227" s="133"/>
      <c r="I227" s="1139"/>
      <c r="J227" s="133"/>
      <c r="K227" s="133"/>
      <c r="L227" s="133"/>
      <c r="M227" s="133"/>
      <c r="N227" s="133"/>
      <c r="O227" s="133"/>
      <c r="P227" s="133"/>
      <c r="Q227" s="133"/>
      <c r="R227" s="1140"/>
      <c r="S227" s="1141"/>
    </row>
    <row r="228" spans="1:19" ht="15.75" hidden="1" customHeight="1">
      <c r="A228" s="133"/>
      <c r="B228" s="133"/>
      <c r="C228" s="133"/>
      <c r="D228" s="133"/>
      <c r="E228" s="133"/>
      <c r="F228" s="133"/>
      <c r="G228" s="133"/>
      <c r="H228" s="133"/>
      <c r="I228" s="1139"/>
      <c r="J228" s="133"/>
      <c r="K228" s="133"/>
      <c r="L228" s="133"/>
      <c r="M228" s="133"/>
      <c r="N228" s="133"/>
      <c r="O228" s="133"/>
      <c r="P228" s="133"/>
      <c r="Q228" s="133"/>
      <c r="R228" s="1140"/>
      <c r="S228" s="1141"/>
    </row>
    <row r="229" spans="1:19" ht="15.75" hidden="1" customHeight="1">
      <c r="A229" s="133"/>
      <c r="B229" s="133"/>
      <c r="C229" s="133"/>
      <c r="D229" s="133"/>
      <c r="E229" s="133"/>
      <c r="F229" s="133"/>
      <c r="G229" s="133"/>
      <c r="H229" s="133"/>
      <c r="I229" s="1139"/>
      <c r="J229" s="133"/>
      <c r="K229" s="133"/>
      <c r="L229" s="133"/>
      <c r="M229" s="133"/>
      <c r="N229" s="133"/>
      <c r="O229" s="133"/>
      <c r="P229" s="133"/>
      <c r="Q229" s="133"/>
      <c r="R229" s="1140"/>
      <c r="S229" s="1141"/>
    </row>
    <row r="230" spans="1:19" ht="15.75" hidden="1" customHeight="1">
      <c r="A230" s="133"/>
      <c r="B230" s="133"/>
      <c r="C230" s="133"/>
      <c r="D230" s="133"/>
      <c r="E230" s="133"/>
      <c r="F230" s="133"/>
      <c r="G230" s="133"/>
      <c r="H230" s="133"/>
      <c r="I230" s="1139"/>
      <c r="J230" s="133"/>
      <c r="K230" s="133"/>
      <c r="L230" s="133"/>
      <c r="M230" s="133"/>
      <c r="N230" s="133"/>
      <c r="O230" s="133"/>
      <c r="P230" s="133"/>
      <c r="Q230" s="133"/>
      <c r="R230" s="1140"/>
      <c r="S230" s="1141"/>
    </row>
    <row r="231" spans="1:19" ht="15.75" hidden="1" customHeight="1">
      <c r="A231" s="133"/>
      <c r="B231" s="133"/>
      <c r="C231" s="133"/>
      <c r="D231" s="133"/>
      <c r="E231" s="133"/>
      <c r="F231" s="133"/>
      <c r="G231" s="133"/>
      <c r="H231" s="133"/>
      <c r="I231" s="1139"/>
      <c r="J231" s="133"/>
      <c r="K231" s="133"/>
      <c r="L231" s="133"/>
      <c r="M231" s="133"/>
      <c r="N231" s="133"/>
      <c r="O231" s="133"/>
      <c r="P231" s="133"/>
      <c r="Q231" s="133"/>
      <c r="R231" s="1140"/>
      <c r="S231" s="1141"/>
    </row>
    <row r="232" spans="1:19" ht="15.75" hidden="1" customHeight="1">
      <c r="A232" s="133"/>
      <c r="B232" s="133"/>
      <c r="C232" s="133"/>
      <c r="D232" s="133"/>
      <c r="E232" s="133"/>
      <c r="F232" s="133"/>
      <c r="G232" s="133"/>
      <c r="H232" s="133"/>
      <c r="I232" s="1139"/>
      <c r="J232" s="133"/>
      <c r="K232" s="133"/>
      <c r="L232" s="133"/>
      <c r="M232" s="133"/>
      <c r="N232" s="133"/>
      <c r="O232" s="133"/>
      <c r="P232" s="133"/>
      <c r="Q232" s="133"/>
      <c r="R232" s="1140"/>
      <c r="S232" s="1141"/>
    </row>
    <row r="233" spans="1:19" ht="15.75" hidden="1" customHeight="1">
      <c r="A233" s="133"/>
      <c r="B233" s="133"/>
      <c r="C233" s="133"/>
      <c r="D233" s="133"/>
      <c r="E233" s="133"/>
      <c r="F233" s="133"/>
      <c r="G233" s="133"/>
      <c r="H233" s="133"/>
      <c r="I233" s="1139"/>
      <c r="J233" s="133"/>
      <c r="K233" s="133"/>
      <c r="L233" s="133"/>
      <c r="M233" s="133"/>
      <c r="N233" s="133"/>
      <c r="O233" s="133"/>
      <c r="P233" s="133"/>
      <c r="Q233" s="133"/>
      <c r="R233" s="1140"/>
      <c r="S233" s="1141"/>
    </row>
    <row r="234" spans="1:19" ht="15.75" hidden="1" customHeight="1">
      <c r="A234" s="133"/>
      <c r="B234" s="133"/>
      <c r="C234" s="133"/>
      <c r="D234" s="133"/>
      <c r="E234" s="133"/>
      <c r="F234" s="133"/>
      <c r="G234" s="133"/>
      <c r="H234" s="133"/>
      <c r="I234" s="1139"/>
      <c r="J234" s="133"/>
      <c r="K234" s="133"/>
      <c r="L234" s="133"/>
      <c r="M234" s="133"/>
      <c r="N234" s="133"/>
      <c r="O234" s="133"/>
      <c r="P234" s="133"/>
      <c r="Q234" s="133"/>
      <c r="R234" s="1140"/>
      <c r="S234" s="1141"/>
    </row>
    <row r="235" spans="1:19" ht="15.75" hidden="1" customHeight="1">
      <c r="A235" s="133"/>
      <c r="B235" s="133"/>
      <c r="C235" s="133"/>
      <c r="D235" s="133"/>
      <c r="E235" s="133"/>
      <c r="F235" s="133"/>
      <c r="G235" s="133"/>
      <c r="H235" s="133"/>
      <c r="I235" s="1139"/>
      <c r="J235" s="133"/>
      <c r="K235" s="133"/>
      <c r="L235" s="133"/>
      <c r="M235" s="133"/>
      <c r="N235" s="133"/>
      <c r="O235" s="133"/>
      <c r="P235" s="133"/>
      <c r="Q235" s="133"/>
      <c r="R235" s="1140"/>
      <c r="S235" s="1141"/>
    </row>
    <row r="236" spans="1:19" ht="15.75" hidden="1" customHeight="1">
      <c r="A236" s="133"/>
      <c r="B236" s="133"/>
      <c r="C236" s="133"/>
      <c r="D236" s="133"/>
      <c r="E236" s="133"/>
      <c r="F236" s="133"/>
      <c r="G236" s="133"/>
      <c r="H236" s="133"/>
      <c r="I236" s="1139"/>
      <c r="J236" s="133"/>
      <c r="K236" s="133"/>
      <c r="L236" s="133"/>
      <c r="M236" s="133"/>
      <c r="N236" s="133"/>
      <c r="O236" s="133"/>
      <c r="P236" s="133"/>
      <c r="Q236" s="133"/>
      <c r="R236" s="1140"/>
      <c r="S236" s="1141"/>
    </row>
    <row r="237" spans="1:19" ht="15.75" hidden="1" customHeight="1">
      <c r="A237" s="133"/>
      <c r="B237" s="133"/>
      <c r="C237" s="133"/>
      <c r="D237" s="133"/>
      <c r="E237" s="133"/>
      <c r="F237" s="133"/>
      <c r="G237" s="133"/>
      <c r="H237" s="133"/>
      <c r="I237" s="1139"/>
      <c r="J237" s="133"/>
      <c r="K237" s="133"/>
      <c r="L237" s="133"/>
      <c r="M237" s="133"/>
      <c r="N237" s="133"/>
      <c r="O237" s="133"/>
      <c r="P237" s="133"/>
      <c r="Q237" s="133"/>
      <c r="R237" s="1140"/>
      <c r="S237" s="1141"/>
    </row>
    <row r="238" spans="1:19" ht="15.75" hidden="1" customHeight="1">
      <c r="A238" s="133"/>
      <c r="B238" s="133"/>
      <c r="C238" s="133"/>
      <c r="D238" s="133"/>
      <c r="E238" s="133"/>
      <c r="F238" s="133"/>
      <c r="G238" s="133"/>
      <c r="H238" s="133"/>
      <c r="I238" s="1139"/>
      <c r="J238" s="133"/>
      <c r="K238" s="133"/>
      <c r="L238" s="133"/>
      <c r="M238" s="133"/>
      <c r="N238" s="133"/>
      <c r="O238" s="133"/>
      <c r="P238" s="133"/>
      <c r="Q238" s="133"/>
      <c r="R238" s="1140"/>
      <c r="S238" s="1141"/>
    </row>
    <row r="239" spans="1:19" ht="15.75" hidden="1" customHeight="1">
      <c r="A239" s="133"/>
      <c r="B239" s="133"/>
      <c r="C239" s="133"/>
      <c r="D239" s="133"/>
      <c r="E239" s="133"/>
      <c r="F239" s="133"/>
      <c r="G239" s="133"/>
      <c r="H239" s="133"/>
      <c r="I239" s="1139"/>
      <c r="J239" s="133"/>
      <c r="K239" s="133"/>
      <c r="L239" s="133"/>
      <c r="M239" s="133"/>
      <c r="N239" s="133"/>
      <c r="O239" s="133"/>
      <c r="P239" s="133"/>
      <c r="Q239" s="133"/>
      <c r="R239" s="1140"/>
      <c r="S239" s="1141"/>
    </row>
    <row r="240" spans="1:19" ht="15.75" hidden="1" customHeight="1">
      <c r="A240" s="133"/>
      <c r="B240" s="133"/>
      <c r="C240" s="133"/>
      <c r="D240" s="133"/>
      <c r="E240" s="133"/>
      <c r="F240" s="133"/>
      <c r="G240" s="133"/>
      <c r="H240" s="133"/>
      <c r="I240" s="1139"/>
      <c r="J240" s="133"/>
      <c r="K240" s="133"/>
      <c r="L240" s="133"/>
      <c r="M240" s="133"/>
      <c r="N240" s="133"/>
      <c r="O240" s="133"/>
      <c r="P240" s="133"/>
      <c r="Q240" s="133"/>
      <c r="R240" s="1140"/>
      <c r="S240" s="1141"/>
    </row>
    <row r="241" spans="1:19" ht="15.75" hidden="1" customHeight="1">
      <c r="A241" s="133"/>
      <c r="B241" s="133"/>
      <c r="C241" s="133"/>
      <c r="D241" s="133"/>
      <c r="E241" s="133"/>
      <c r="F241" s="133"/>
      <c r="G241" s="133"/>
      <c r="H241" s="133"/>
      <c r="I241" s="1139"/>
      <c r="J241" s="133"/>
      <c r="K241" s="133"/>
      <c r="L241" s="133"/>
      <c r="M241" s="133"/>
      <c r="N241" s="133"/>
      <c r="O241" s="133"/>
      <c r="P241" s="133"/>
      <c r="Q241" s="133"/>
      <c r="R241" s="1140"/>
      <c r="S241" s="1141"/>
    </row>
    <row r="242" spans="1:19" ht="15.75" hidden="1" customHeight="1">
      <c r="A242" s="133"/>
      <c r="B242" s="133"/>
      <c r="C242" s="133"/>
      <c r="D242" s="133"/>
      <c r="E242" s="133"/>
      <c r="F242" s="133"/>
      <c r="G242" s="133"/>
      <c r="H242" s="133"/>
      <c r="I242" s="1139"/>
      <c r="J242" s="133"/>
      <c r="K242" s="133"/>
      <c r="L242" s="133"/>
      <c r="M242" s="133"/>
      <c r="N242" s="133"/>
      <c r="O242" s="133"/>
      <c r="P242" s="133"/>
      <c r="Q242" s="133"/>
      <c r="R242" s="1140"/>
      <c r="S242" s="1141"/>
    </row>
    <row r="243" spans="1:19" ht="15.75" hidden="1" customHeight="1">
      <c r="A243" s="133"/>
      <c r="B243" s="133"/>
      <c r="C243" s="133"/>
      <c r="D243" s="133"/>
      <c r="E243" s="133"/>
      <c r="F243" s="133"/>
      <c r="G243" s="133"/>
      <c r="H243" s="133"/>
      <c r="I243" s="1139"/>
      <c r="J243" s="133"/>
      <c r="K243" s="133"/>
      <c r="L243" s="133"/>
      <c r="M243" s="133"/>
      <c r="N243" s="133"/>
      <c r="O243" s="133"/>
      <c r="P243" s="133"/>
      <c r="Q243" s="133"/>
      <c r="R243" s="1140"/>
      <c r="S243" s="1141"/>
    </row>
    <row r="244" spans="1:19" ht="15.75" hidden="1" customHeight="1">
      <c r="A244" s="133"/>
      <c r="B244" s="133"/>
      <c r="C244" s="133"/>
      <c r="D244" s="133"/>
      <c r="E244" s="133"/>
      <c r="F244" s="133"/>
      <c r="G244" s="133"/>
      <c r="H244" s="133"/>
      <c r="I244" s="1139"/>
      <c r="J244" s="133"/>
      <c r="K244" s="133"/>
      <c r="L244" s="133"/>
      <c r="M244" s="133"/>
      <c r="N244" s="133"/>
      <c r="O244" s="133"/>
      <c r="P244" s="133"/>
      <c r="Q244" s="133"/>
      <c r="R244" s="1140"/>
      <c r="S244" s="1141"/>
    </row>
    <row r="245" spans="1:19" ht="15.75" hidden="1" customHeight="1">
      <c r="A245" s="133"/>
      <c r="B245" s="133"/>
      <c r="C245" s="133"/>
      <c r="D245" s="133"/>
      <c r="E245" s="133"/>
      <c r="F245" s="133"/>
      <c r="G245" s="133"/>
      <c r="H245" s="133"/>
      <c r="I245" s="1139"/>
      <c r="J245" s="133"/>
      <c r="K245" s="133"/>
      <c r="L245" s="133"/>
      <c r="M245" s="133"/>
      <c r="N245" s="133"/>
      <c r="O245" s="133"/>
      <c r="P245" s="133"/>
      <c r="Q245" s="133"/>
      <c r="R245" s="1140"/>
      <c r="S245" s="1141"/>
    </row>
    <row r="246" spans="1:19" ht="15.75" hidden="1" customHeight="1">
      <c r="A246" s="133"/>
      <c r="B246" s="133"/>
      <c r="C246" s="133"/>
      <c r="D246" s="133"/>
      <c r="E246" s="133"/>
      <c r="F246" s="133"/>
      <c r="G246" s="133"/>
      <c r="H246" s="133"/>
      <c r="I246" s="1139"/>
      <c r="J246" s="133"/>
      <c r="K246" s="133"/>
      <c r="L246" s="133"/>
      <c r="M246" s="133"/>
      <c r="N246" s="133"/>
      <c r="O246" s="133"/>
      <c r="P246" s="133"/>
      <c r="Q246" s="133"/>
      <c r="R246" s="1140"/>
      <c r="S246" s="1141"/>
    </row>
    <row r="247" spans="1:19" ht="15.75" hidden="1" customHeight="1">
      <c r="A247" s="133"/>
      <c r="B247" s="133"/>
      <c r="C247" s="133"/>
      <c r="D247" s="133"/>
      <c r="E247" s="133"/>
      <c r="F247" s="133"/>
      <c r="G247" s="133"/>
      <c r="H247" s="133"/>
      <c r="I247" s="1139"/>
      <c r="J247" s="133"/>
      <c r="K247" s="133"/>
      <c r="L247" s="133"/>
      <c r="M247" s="133"/>
      <c r="N247" s="133"/>
      <c r="O247" s="133"/>
      <c r="P247" s="133"/>
      <c r="Q247" s="133"/>
      <c r="R247" s="1140"/>
      <c r="S247" s="1141"/>
    </row>
    <row r="248" spans="1:19" ht="15.75" hidden="1" customHeight="1">
      <c r="A248" s="133"/>
      <c r="B248" s="133"/>
      <c r="C248" s="133"/>
      <c r="D248" s="133"/>
      <c r="E248" s="133"/>
      <c r="F248" s="133"/>
      <c r="G248" s="133"/>
      <c r="H248" s="133"/>
      <c r="I248" s="1139"/>
      <c r="J248" s="133"/>
      <c r="K248" s="133"/>
      <c r="L248" s="133"/>
      <c r="M248" s="133"/>
      <c r="N248" s="133"/>
      <c r="O248" s="133"/>
      <c r="P248" s="133"/>
      <c r="Q248" s="133"/>
      <c r="R248" s="1140"/>
      <c r="S248" s="1141"/>
    </row>
    <row r="249" spans="1:19" ht="15.75" hidden="1" customHeight="1">
      <c r="A249" s="133"/>
      <c r="B249" s="133"/>
      <c r="C249" s="133"/>
      <c r="D249" s="133"/>
      <c r="E249" s="133"/>
      <c r="F249" s="133"/>
      <c r="G249" s="133"/>
      <c r="H249" s="133"/>
      <c r="I249" s="1139"/>
      <c r="J249" s="133"/>
      <c r="K249" s="133"/>
      <c r="L249" s="133"/>
      <c r="M249" s="133"/>
      <c r="N249" s="133"/>
      <c r="O249" s="133"/>
      <c r="P249" s="133"/>
      <c r="Q249" s="133"/>
      <c r="R249" s="1140"/>
      <c r="S249" s="1141"/>
    </row>
    <row r="250" spans="1:19" ht="15.75" hidden="1" customHeight="1">
      <c r="A250" s="133"/>
      <c r="B250" s="133"/>
      <c r="C250" s="133"/>
      <c r="D250" s="133"/>
      <c r="E250" s="133"/>
      <c r="F250" s="133"/>
      <c r="G250" s="133"/>
      <c r="H250" s="133"/>
      <c r="I250" s="1139"/>
      <c r="J250" s="133"/>
      <c r="K250" s="133"/>
      <c r="L250" s="133"/>
      <c r="M250" s="133"/>
      <c r="N250" s="133"/>
      <c r="O250" s="133"/>
      <c r="P250" s="133"/>
      <c r="Q250" s="133"/>
      <c r="R250" s="1140"/>
      <c r="S250" s="1141"/>
    </row>
    <row r="251" spans="1:19" ht="15.75" hidden="1" customHeight="1">
      <c r="A251" s="133"/>
      <c r="B251" s="133"/>
      <c r="C251" s="133"/>
      <c r="D251" s="133"/>
      <c r="E251" s="133"/>
      <c r="F251" s="133"/>
      <c r="G251" s="133"/>
      <c r="H251" s="133"/>
      <c r="I251" s="1139"/>
      <c r="J251" s="133"/>
      <c r="K251" s="133"/>
      <c r="L251" s="133"/>
      <c r="M251" s="133"/>
      <c r="N251" s="133"/>
      <c r="O251" s="133"/>
      <c r="P251" s="133"/>
      <c r="Q251" s="133"/>
      <c r="R251" s="1140"/>
      <c r="S251" s="1141"/>
    </row>
    <row r="252" spans="1:19" ht="15.75" hidden="1" customHeight="1">
      <c r="A252" s="133"/>
      <c r="B252" s="133"/>
      <c r="C252" s="133"/>
      <c r="D252" s="133"/>
      <c r="E252" s="133"/>
      <c r="F252" s="133"/>
      <c r="G252" s="133"/>
      <c r="H252" s="133"/>
      <c r="I252" s="1139"/>
      <c r="J252" s="133"/>
      <c r="K252" s="133"/>
      <c r="L252" s="133"/>
      <c r="M252" s="133"/>
      <c r="N252" s="133"/>
      <c r="O252" s="133"/>
      <c r="P252" s="133"/>
      <c r="Q252" s="133"/>
      <c r="R252" s="1140"/>
      <c r="S252" s="1141"/>
    </row>
    <row r="253" spans="1:19" ht="15.75" hidden="1" customHeight="1">
      <c r="A253" s="133"/>
      <c r="B253" s="133"/>
      <c r="C253" s="133"/>
      <c r="D253" s="133"/>
      <c r="E253" s="133"/>
      <c r="F253" s="133"/>
      <c r="G253" s="133"/>
      <c r="H253" s="133"/>
      <c r="I253" s="1139"/>
      <c r="J253" s="133"/>
      <c r="K253" s="133"/>
      <c r="L253" s="133"/>
      <c r="M253" s="133"/>
      <c r="N253" s="133"/>
      <c r="O253" s="133"/>
      <c r="P253" s="133"/>
      <c r="Q253" s="133"/>
      <c r="R253" s="1140"/>
      <c r="S253" s="1141"/>
    </row>
    <row r="254" spans="1:19" ht="15.75" hidden="1" customHeight="1">
      <c r="A254" s="133"/>
      <c r="B254" s="133"/>
      <c r="C254" s="133"/>
      <c r="D254" s="133"/>
      <c r="E254" s="133"/>
      <c r="F254" s="133"/>
      <c r="G254" s="133"/>
      <c r="H254" s="133"/>
      <c r="I254" s="1139"/>
      <c r="J254" s="133"/>
      <c r="K254" s="133"/>
      <c r="L254" s="133"/>
      <c r="M254" s="133"/>
      <c r="N254" s="133"/>
      <c r="O254" s="133"/>
      <c r="P254" s="133"/>
      <c r="Q254" s="133"/>
      <c r="R254" s="1140"/>
      <c r="S254" s="1141"/>
    </row>
    <row r="255" spans="1:19" ht="15.75" hidden="1" customHeight="1">
      <c r="A255" s="133"/>
      <c r="B255" s="133"/>
      <c r="C255" s="133"/>
      <c r="D255" s="133"/>
      <c r="E255" s="133"/>
      <c r="F255" s="133"/>
      <c r="G255" s="133"/>
      <c r="H255" s="133"/>
      <c r="I255" s="1139"/>
      <c r="J255" s="133"/>
      <c r="K255" s="133"/>
      <c r="L255" s="133"/>
      <c r="M255" s="133"/>
      <c r="N255" s="133"/>
      <c r="O255" s="133"/>
      <c r="P255" s="133"/>
      <c r="Q255" s="133"/>
      <c r="R255" s="1140"/>
      <c r="S255" s="1141"/>
    </row>
    <row r="256" spans="1:19" ht="15.75" hidden="1" customHeight="1">
      <c r="A256" s="133"/>
      <c r="B256" s="133"/>
      <c r="C256" s="133"/>
      <c r="D256" s="133"/>
      <c r="E256" s="133"/>
      <c r="F256" s="133"/>
      <c r="G256" s="133"/>
      <c r="H256" s="133"/>
      <c r="I256" s="1139"/>
      <c r="J256" s="133"/>
      <c r="K256" s="133"/>
      <c r="L256" s="133"/>
      <c r="M256" s="133"/>
      <c r="N256" s="133"/>
      <c r="O256" s="133"/>
      <c r="P256" s="133"/>
      <c r="Q256" s="133"/>
      <c r="R256" s="1140"/>
      <c r="S256" s="1141"/>
    </row>
    <row r="257" spans="1:19" ht="15.75" hidden="1" customHeight="1">
      <c r="A257" s="133"/>
      <c r="B257" s="133"/>
      <c r="C257" s="133"/>
      <c r="D257" s="133"/>
      <c r="E257" s="133"/>
      <c r="F257" s="133"/>
      <c r="G257" s="133"/>
      <c r="H257" s="133"/>
      <c r="I257" s="1139"/>
      <c r="J257" s="133"/>
      <c r="K257" s="133"/>
      <c r="L257" s="133"/>
      <c r="M257" s="133"/>
      <c r="N257" s="133"/>
      <c r="O257" s="133"/>
      <c r="P257" s="133"/>
      <c r="Q257" s="133"/>
      <c r="R257" s="1140"/>
      <c r="S257" s="1141"/>
    </row>
    <row r="258" spans="1:19" ht="15.75" hidden="1" customHeight="1">
      <c r="A258" s="133"/>
      <c r="B258" s="133"/>
      <c r="C258" s="133"/>
      <c r="D258" s="133"/>
      <c r="E258" s="133"/>
      <c r="F258" s="133"/>
      <c r="G258" s="133"/>
      <c r="H258" s="133"/>
      <c r="I258" s="1139"/>
      <c r="J258" s="133"/>
      <c r="K258" s="133"/>
      <c r="L258" s="133"/>
      <c r="M258" s="133"/>
      <c r="N258" s="133"/>
      <c r="O258" s="133"/>
      <c r="P258" s="133"/>
      <c r="Q258" s="133"/>
      <c r="R258" s="1140"/>
      <c r="S258" s="1141"/>
    </row>
    <row r="259" spans="1:19" ht="15.75" hidden="1" customHeight="1">
      <c r="A259" s="133"/>
      <c r="B259" s="133"/>
      <c r="C259" s="133"/>
      <c r="D259" s="133"/>
      <c r="E259" s="133"/>
      <c r="F259" s="133"/>
      <c r="G259" s="133"/>
      <c r="H259" s="133"/>
      <c r="I259" s="1139"/>
      <c r="J259" s="133"/>
      <c r="K259" s="133"/>
      <c r="L259" s="133"/>
      <c r="M259" s="133"/>
      <c r="N259" s="133"/>
      <c r="O259" s="133"/>
      <c r="P259" s="133"/>
      <c r="Q259" s="133"/>
      <c r="R259" s="1140"/>
      <c r="S259" s="1141"/>
    </row>
    <row r="260" spans="1:19" ht="15.75" hidden="1" customHeight="1">
      <c r="A260" s="133"/>
      <c r="B260" s="133"/>
      <c r="C260" s="133"/>
      <c r="D260" s="133"/>
      <c r="E260" s="133"/>
      <c r="F260" s="133"/>
      <c r="G260" s="133"/>
      <c r="H260" s="133"/>
      <c r="I260" s="1139"/>
      <c r="J260" s="133"/>
      <c r="K260" s="133"/>
      <c r="L260" s="133"/>
      <c r="M260" s="133"/>
      <c r="N260" s="133"/>
      <c r="O260" s="133"/>
      <c r="P260" s="133"/>
      <c r="Q260" s="133"/>
      <c r="R260" s="1140"/>
      <c r="S260" s="1141"/>
    </row>
    <row r="261" spans="1:19" ht="15.75" hidden="1" customHeight="1">
      <c r="A261" s="133"/>
      <c r="B261" s="133"/>
      <c r="C261" s="133"/>
      <c r="D261" s="133"/>
      <c r="E261" s="133"/>
      <c r="F261" s="133"/>
      <c r="G261" s="133"/>
      <c r="H261" s="133"/>
      <c r="I261" s="1139"/>
      <c r="J261" s="133"/>
      <c r="K261" s="133"/>
      <c r="L261" s="133"/>
      <c r="M261" s="133"/>
      <c r="N261" s="133"/>
      <c r="O261" s="133"/>
      <c r="P261" s="133"/>
      <c r="Q261" s="133"/>
      <c r="R261" s="1140"/>
      <c r="S261" s="1141"/>
    </row>
    <row r="262" spans="1:19" ht="15.75" hidden="1" customHeight="1">
      <c r="A262" s="133"/>
      <c r="B262" s="133"/>
      <c r="C262" s="133"/>
      <c r="D262" s="133"/>
      <c r="E262" s="133"/>
      <c r="F262" s="133"/>
      <c r="G262" s="133"/>
      <c r="H262" s="133"/>
      <c r="I262" s="1139"/>
      <c r="J262" s="133"/>
      <c r="K262" s="133"/>
      <c r="L262" s="133"/>
      <c r="M262" s="133"/>
      <c r="N262" s="133"/>
      <c r="O262" s="133"/>
      <c r="P262" s="133"/>
      <c r="Q262" s="133"/>
      <c r="R262" s="1140"/>
      <c r="S262" s="1141"/>
    </row>
    <row r="263" spans="1:19" ht="15.75" hidden="1" customHeight="1">
      <c r="A263" s="133"/>
      <c r="B263" s="133"/>
      <c r="C263" s="133"/>
      <c r="D263" s="133"/>
      <c r="E263" s="133"/>
      <c r="F263" s="133"/>
      <c r="G263" s="133"/>
      <c r="H263" s="133"/>
      <c r="I263" s="1139"/>
      <c r="J263" s="133"/>
      <c r="K263" s="133"/>
      <c r="L263" s="133"/>
      <c r="M263" s="133"/>
      <c r="N263" s="133"/>
      <c r="O263" s="133"/>
      <c r="P263" s="133"/>
      <c r="Q263" s="133"/>
      <c r="R263" s="1140"/>
      <c r="S263" s="1141"/>
    </row>
    <row r="264" spans="1:19" ht="15.75" hidden="1" customHeight="1">
      <c r="A264" s="133"/>
      <c r="B264" s="133"/>
      <c r="C264" s="133"/>
      <c r="D264" s="133"/>
      <c r="E264" s="133"/>
      <c r="F264" s="133"/>
      <c r="G264" s="133"/>
      <c r="H264" s="133"/>
      <c r="I264" s="1139"/>
      <c r="J264" s="133"/>
      <c r="K264" s="133"/>
      <c r="L264" s="133"/>
      <c r="M264" s="133"/>
      <c r="N264" s="133"/>
      <c r="O264" s="133"/>
      <c r="P264" s="133"/>
      <c r="Q264" s="133"/>
      <c r="R264" s="1140"/>
      <c r="S264" s="1141"/>
    </row>
    <row r="265" spans="1:19" ht="15.75" hidden="1" customHeight="1">
      <c r="A265" s="133"/>
      <c r="B265" s="133"/>
      <c r="C265" s="133"/>
      <c r="D265" s="133"/>
      <c r="E265" s="133"/>
      <c r="F265" s="133"/>
      <c r="G265" s="133"/>
      <c r="H265" s="133"/>
      <c r="I265" s="1139"/>
      <c r="J265" s="133"/>
      <c r="K265" s="133"/>
      <c r="L265" s="133"/>
      <c r="M265" s="133"/>
      <c r="N265" s="133"/>
      <c r="O265" s="133"/>
      <c r="P265" s="133"/>
      <c r="Q265" s="133"/>
      <c r="R265" s="1140"/>
      <c r="S265" s="1141"/>
    </row>
    <row r="266" spans="1:19" ht="15.75" hidden="1" customHeight="1">
      <c r="A266" s="133"/>
      <c r="B266" s="133"/>
      <c r="C266" s="133"/>
      <c r="D266" s="133"/>
      <c r="E266" s="133"/>
      <c r="F266" s="133"/>
      <c r="G266" s="133"/>
      <c r="H266" s="133"/>
      <c r="I266" s="1139"/>
      <c r="J266" s="133"/>
      <c r="K266" s="133"/>
      <c r="L266" s="133"/>
      <c r="M266" s="133"/>
      <c r="N266" s="133"/>
      <c r="O266" s="133"/>
      <c r="P266" s="133"/>
      <c r="Q266" s="133"/>
      <c r="R266" s="1140"/>
      <c r="S266" s="1141"/>
    </row>
    <row r="267" spans="1:19" ht="15.75" hidden="1" customHeight="1">
      <c r="A267" s="133"/>
      <c r="B267" s="133"/>
      <c r="C267" s="133"/>
      <c r="D267" s="133"/>
      <c r="E267" s="133"/>
      <c r="F267" s="133"/>
      <c r="G267" s="133"/>
      <c r="H267" s="133"/>
      <c r="I267" s="1139"/>
      <c r="J267" s="133"/>
      <c r="K267" s="133"/>
      <c r="L267" s="133"/>
      <c r="M267" s="133"/>
      <c r="N267" s="133"/>
      <c r="O267" s="133"/>
      <c r="P267" s="133"/>
      <c r="Q267" s="133"/>
      <c r="R267" s="1140"/>
      <c r="S267" s="1141"/>
    </row>
    <row r="268" spans="1:19" ht="15.75" hidden="1" customHeight="1">
      <c r="A268" s="133"/>
      <c r="B268" s="133"/>
      <c r="C268" s="133"/>
      <c r="D268" s="133"/>
      <c r="E268" s="133"/>
      <c r="F268" s="133"/>
      <c r="G268" s="133"/>
      <c r="H268" s="133"/>
      <c r="I268" s="1139"/>
      <c r="J268" s="133"/>
      <c r="K268" s="133"/>
      <c r="L268" s="133"/>
      <c r="M268" s="133"/>
      <c r="N268" s="133"/>
      <c r="O268" s="133"/>
      <c r="P268" s="133"/>
      <c r="Q268" s="133"/>
      <c r="R268" s="1140"/>
      <c r="S268" s="1141"/>
    </row>
    <row r="269" spans="1:19" ht="15.75" hidden="1" customHeight="1">
      <c r="A269" s="133"/>
      <c r="B269" s="133"/>
      <c r="C269" s="133"/>
      <c r="D269" s="133"/>
      <c r="E269" s="133"/>
      <c r="F269" s="133"/>
      <c r="G269" s="133"/>
      <c r="H269" s="133"/>
      <c r="I269" s="1139"/>
      <c r="J269" s="133"/>
      <c r="K269" s="133"/>
      <c r="L269" s="133"/>
      <c r="M269" s="133"/>
      <c r="N269" s="133"/>
      <c r="O269" s="133"/>
      <c r="P269" s="133"/>
      <c r="Q269" s="133"/>
      <c r="R269" s="1140"/>
      <c r="S269" s="1141"/>
    </row>
    <row r="270" spans="1:19" ht="15.75" hidden="1" customHeight="1">
      <c r="A270" s="133"/>
      <c r="B270" s="133"/>
      <c r="C270" s="133"/>
      <c r="D270" s="133"/>
      <c r="E270" s="133"/>
      <c r="F270" s="133"/>
      <c r="G270" s="133"/>
      <c r="H270" s="133"/>
      <c r="I270" s="1139"/>
      <c r="J270" s="133"/>
      <c r="K270" s="133"/>
      <c r="L270" s="133"/>
      <c r="M270" s="133"/>
      <c r="N270" s="133"/>
      <c r="O270" s="133"/>
      <c r="P270" s="133"/>
      <c r="Q270" s="133"/>
      <c r="R270" s="1140"/>
      <c r="S270" s="1141"/>
    </row>
    <row r="271" spans="1:19" ht="15.75" hidden="1" customHeight="1">
      <c r="A271" s="133"/>
      <c r="B271" s="133"/>
      <c r="C271" s="133"/>
      <c r="D271" s="133"/>
      <c r="E271" s="133"/>
      <c r="F271" s="133"/>
      <c r="G271" s="133"/>
      <c r="H271" s="133"/>
      <c r="I271" s="1139"/>
      <c r="J271" s="133"/>
      <c r="K271" s="133"/>
      <c r="L271" s="133"/>
      <c r="M271" s="133"/>
      <c r="N271" s="133"/>
      <c r="O271" s="133"/>
      <c r="P271" s="133"/>
      <c r="Q271" s="133"/>
      <c r="R271" s="1140"/>
      <c r="S271" s="1141"/>
    </row>
    <row r="272" spans="1:19" ht="15.75" hidden="1" customHeight="1">
      <c r="A272" s="133"/>
      <c r="B272" s="133"/>
      <c r="C272" s="133"/>
      <c r="D272" s="133"/>
      <c r="E272" s="133"/>
      <c r="F272" s="133"/>
      <c r="G272" s="133"/>
      <c r="H272" s="133"/>
      <c r="I272" s="1139"/>
      <c r="J272" s="133"/>
      <c r="K272" s="133"/>
      <c r="L272" s="133"/>
      <c r="M272" s="133"/>
      <c r="N272" s="133"/>
      <c r="O272" s="133"/>
      <c r="P272" s="133"/>
      <c r="Q272" s="133"/>
      <c r="R272" s="1140"/>
      <c r="S272" s="1141"/>
    </row>
    <row r="273" spans="1:19" ht="15.75" hidden="1" customHeight="1">
      <c r="A273" s="133"/>
      <c r="B273" s="133"/>
      <c r="C273" s="133"/>
      <c r="D273" s="133"/>
      <c r="E273" s="133"/>
      <c r="F273" s="133"/>
      <c r="G273" s="133"/>
      <c r="H273" s="133"/>
      <c r="I273" s="1139"/>
      <c r="J273" s="133"/>
      <c r="K273" s="133"/>
      <c r="L273" s="133"/>
      <c r="M273" s="133"/>
      <c r="N273" s="133"/>
      <c r="O273" s="133"/>
      <c r="P273" s="133"/>
      <c r="Q273" s="133"/>
      <c r="R273" s="1140"/>
      <c r="S273" s="1141"/>
    </row>
    <row r="274" spans="1:19" ht="15.75" hidden="1" customHeight="1">
      <c r="A274" s="133"/>
      <c r="B274" s="133"/>
      <c r="C274" s="133"/>
      <c r="D274" s="133"/>
      <c r="E274" s="133"/>
      <c r="F274" s="133"/>
      <c r="G274" s="133"/>
      <c r="H274" s="133"/>
      <c r="I274" s="1139"/>
      <c r="J274" s="133"/>
      <c r="K274" s="133"/>
      <c r="L274" s="133"/>
      <c r="M274" s="133"/>
      <c r="N274" s="133"/>
      <c r="O274" s="133"/>
      <c r="P274" s="133"/>
      <c r="Q274" s="133"/>
      <c r="R274" s="1140"/>
      <c r="S274" s="1141"/>
    </row>
    <row r="275" spans="1:19" ht="15.75" hidden="1" customHeight="1">
      <c r="A275" s="133"/>
      <c r="B275" s="133"/>
      <c r="C275" s="133"/>
      <c r="D275" s="133"/>
      <c r="E275" s="133"/>
      <c r="F275" s="133"/>
      <c r="G275" s="133"/>
      <c r="H275" s="133"/>
      <c r="I275" s="1139"/>
      <c r="J275" s="133"/>
      <c r="K275" s="133"/>
      <c r="L275" s="133"/>
      <c r="M275" s="133"/>
      <c r="N275" s="133"/>
      <c r="O275" s="133"/>
      <c r="P275" s="133"/>
      <c r="Q275" s="133"/>
      <c r="R275" s="1140"/>
      <c r="S275" s="1141"/>
    </row>
    <row r="276" spans="1:19" ht="15.75" hidden="1" customHeight="1">
      <c r="A276" s="133"/>
      <c r="B276" s="133"/>
      <c r="C276" s="133"/>
      <c r="D276" s="133"/>
      <c r="E276" s="133"/>
      <c r="F276" s="133"/>
      <c r="G276" s="133"/>
      <c r="H276" s="133"/>
      <c r="I276" s="1139"/>
      <c r="J276" s="133"/>
      <c r="K276" s="133"/>
      <c r="L276" s="133"/>
      <c r="M276" s="133"/>
      <c r="N276" s="133"/>
      <c r="O276" s="133"/>
      <c r="P276" s="133"/>
      <c r="Q276" s="133"/>
      <c r="R276" s="1140"/>
      <c r="S276" s="1141"/>
    </row>
    <row r="277" spans="1:19" ht="15.75" hidden="1" customHeight="1">
      <c r="A277" s="133"/>
      <c r="B277" s="133"/>
      <c r="C277" s="133"/>
      <c r="D277" s="133"/>
      <c r="E277" s="133"/>
      <c r="F277" s="133"/>
      <c r="G277" s="133"/>
      <c r="H277" s="133"/>
      <c r="I277" s="1139"/>
      <c r="J277" s="133"/>
      <c r="K277" s="133"/>
      <c r="L277" s="133"/>
      <c r="M277" s="133"/>
      <c r="N277" s="133"/>
      <c r="O277" s="133"/>
      <c r="P277" s="133"/>
      <c r="Q277" s="133"/>
      <c r="R277" s="1140"/>
      <c r="S277" s="1141"/>
    </row>
    <row r="278" spans="1:19" ht="15.75" hidden="1" customHeight="1">
      <c r="A278" s="133"/>
      <c r="B278" s="133"/>
      <c r="C278" s="133"/>
      <c r="D278" s="133"/>
      <c r="E278" s="133"/>
      <c r="F278" s="133"/>
      <c r="G278" s="133"/>
      <c r="H278" s="133"/>
      <c r="I278" s="1139"/>
      <c r="J278" s="133"/>
      <c r="K278" s="133"/>
      <c r="L278" s="133"/>
      <c r="M278" s="133"/>
      <c r="N278" s="133"/>
      <c r="O278" s="133"/>
      <c r="P278" s="133"/>
      <c r="Q278" s="133"/>
      <c r="R278" s="1140"/>
      <c r="S278" s="1141"/>
    </row>
    <row r="279" spans="1:19" ht="15.75" hidden="1" customHeight="1">
      <c r="A279" s="133"/>
      <c r="B279" s="133"/>
      <c r="C279" s="133"/>
      <c r="D279" s="133"/>
      <c r="E279" s="133"/>
      <c r="F279" s="133"/>
      <c r="G279" s="133"/>
      <c r="H279" s="133"/>
      <c r="I279" s="1139"/>
      <c r="J279" s="133"/>
      <c r="K279" s="133"/>
      <c r="L279" s="133"/>
      <c r="M279" s="133"/>
      <c r="N279" s="133"/>
      <c r="O279" s="133"/>
      <c r="P279" s="133"/>
      <c r="Q279" s="133"/>
      <c r="R279" s="1140"/>
      <c r="S279" s="1141"/>
    </row>
    <row r="280" spans="1:19" ht="15.75" hidden="1" customHeight="1">
      <c r="A280" s="133"/>
      <c r="B280" s="133"/>
      <c r="C280" s="133"/>
      <c r="D280" s="133"/>
      <c r="E280" s="133"/>
      <c r="F280" s="133"/>
      <c r="G280" s="133"/>
      <c r="H280" s="133"/>
      <c r="I280" s="1139"/>
      <c r="J280" s="133"/>
      <c r="K280" s="133"/>
      <c r="L280" s="133"/>
      <c r="M280" s="133"/>
      <c r="N280" s="133"/>
      <c r="O280" s="133"/>
      <c r="P280" s="133"/>
      <c r="Q280" s="133"/>
      <c r="R280" s="1140"/>
      <c r="S280" s="1141"/>
    </row>
    <row r="281" spans="1:19" ht="15.75" hidden="1" customHeight="1">
      <c r="A281" s="4"/>
      <c r="B281" s="4"/>
      <c r="C281" s="4"/>
      <c r="D281" s="4"/>
      <c r="E281" s="4"/>
      <c r="F281" s="4"/>
      <c r="G281" s="4"/>
      <c r="H281" s="4"/>
      <c r="I281" s="1124"/>
      <c r="J281" s="4"/>
      <c r="K281" s="4"/>
      <c r="L281" s="4"/>
      <c r="M281" s="4"/>
      <c r="N281" s="4"/>
      <c r="O281" s="4"/>
      <c r="P281" s="4"/>
      <c r="Q281" s="4"/>
      <c r="R281" s="1126"/>
      <c r="S281" s="711"/>
    </row>
    <row r="282" spans="1:19" ht="15.75" hidden="1" customHeight="1">
      <c r="A282" s="4"/>
      <c r="B282" s="4"/>
      <c r="C282" s="4"/>
      <c r="D282" s="4"/>
      <c r="E282" s="4"/>
      <c r="F282" s="4"/>
      <c r="G282" s="4"/>
      <c r="H282" s="4"/>
      <c r="I282" s="1124"/>
      <c r="J282" s="4"/>
      <c r="K282" s="4"/>
      <c r="L282" s="4"/>
      <c r="M282" s="4"/>
      <c r="N282" s="4"/>
      <c r="O282" s="4"/>
      <c r="P282" s="4"/>
      <c r="Q282" s="4"/>
      <c r="R282" s="1126"/>
      <c r="S282" s="711"/>
    </row>
    <row r="283" spans="1:19" ht="15.75" hidden="1" customHeight="1">
      <c r="A283" s="4"/>
      <c r="B283" s="4"/>
      <c r="C283" s="4"/>
      <c r="D283" s="4"/>
      <c r="E283" s="4"/>
      <c r="F283" s="4"/>
      <c r="G283" s="4"/>
      <c r="H283" s="4"/>
      <c r="I283" s="1124"/>
      <c r="J283" s="4"/>
      <c r="K283" s="4"/>
      <c r="L283" s="4"/>
      <c r="M283" s="4"/>
      <c r="N283" s="4"/>
      <c r="O283" s="4"/>
      <c r="P283" s="4"/>
      <c r="Q283" s="4"/>
      <c r="R283" s="1126"/>
      <c r="S283" s="711"/>
    </row>
    <row r="284" spans="1:19" ht="15.75" hidden="1" customHeight="1">
      <c r="A284" s="4"/>
      <c r="B284" s="4"/>
      <c r="C284" s="4"/>
      <c r="D284" s="4"/>
      <c r="E284" s="4"/>
      <c r="F284" s="4"/>
      <c r="G284" s="4"/>
      <c r="H284" s="4"/>
      <c r="I284" s="1124"/>
      <c r="J284" s="4"/>
      <c r="K284" s="4"/>
      <c r="L284" s="4"/>
      <c r="M284" s="4"/>
      <c r="N284" s="4"/>
      <c r="O284" s="4"/>
      <c r="P284" s="4"/>
      <c r="Q284" s="4"/>
      <c r="R284" s="1126"/>
      <c r="S284" s="711"/>
    </row>
    <row r="285" spans="1:19" ht="15.75" hidden="1" customHeight="1">
      <c r="A285" s="4"/>
      <c r="B285" s="4"/>
      <c r="C285" s="4"/>
      <c r="D285" s="4"/>
      <c r="E285" s="4"/>
      <c r="F285" s="4"/>
      <c r="G285" s="4"/>
      <c r="H285" s="4"/>
      <c r="I285" s="1124"/>
      <c r="J285" s="4"/>
      <c r="K285" s="4"/>
      <c r="L285" s="4"/>
      <c r="M285" s="4"/>
      <c r="N285" s="4"/>
      <c r="O285" s="4"/>
      <c r="P285" s="4"/>
      <c r="Q285" s="4"/>
      <c r="R285" s="1126"/>
      <c r="S285" s="711"/>
    </row>
    <row r="286" spans="1:19" ht="15.75" hidden="1" customHeight="1">
      <c r="A286" s="4"/>
      <c r="B286" s="4"/>
      <c r="C286" s="4"/>
      <c r="D286" s="4"/>
      <c r="E286" s="4"/>
      <c r="F286" s="4"/>
      <c r="G286" s="4"/>
      <c r="H286" s="4"/>
      <c r="I286" s="1124"/>
      <c r="J286" s="4"/>
      <c r="K286" s="4"/>
      <c r="L286" s="4"/>
      <c r="M286" s="4"/>
      <c r="N286" s="4"/>
      <c r="O286" s="4"/>
      <c r="P286" s="4"/>
      <c r="Q286" s="4"/>
      <c r="R286" s="1126"/>
      <c r="S286" s="711"/>
    </row>
    <row r="287" spans="1:19" ht="15.75" hidden="1" customHeight="1">
      <c r="A287" s="4"/>
      <c r="B287" s="4"/>
      <c r="C287" s="4"/>
      <c r="D287" s="4"/>
      <c r="E287" s="4"/>
      <c r="F287" s="4"/>
      <c r="G287" s="4"/>
      <c r="H287" s="4"/>
      <c r="I287" s="1124"/>
      <c r="J287" s="4"/>
      <c r="K287" s="4"/>
      <c r="L287" s="4"/>
      <c r="M287" s="4"/>
      <c r="N287" s="4"/>
      <c r="O287" s="4"/>
      <c r="P287" s="4"/>
      <c r="Q287" s="4"/>
      <c r="R287" s="1126"/>
      <c r="S287" s="711"/>
    </row>
    <row r="288" spans="1:19" ht="15.75" hidden="1" customHeight="1">
      <c r="A288" s="4"/>
      <c r="B288" s="4"/>
      <c r="C288" s="4"/>
      <c r="D288" s="4"/>
      <c r="E288" s="4"/>
      <c r="F288" s="4"/>
      <c r="G288" s="4"/>
      <c r="H288" s="4"/>
      <c r="I288" s="1124"/>
      <c r="J288" s="4"/>
      <c r="K288" s="4"/>
      <c r="L288" s="4"/>
      <c r="M288" s="4"/>
      <c r="N288" s="4"/>
      <c r="O288" s="4"/>
      <c r="P288" s="4"/>
      <c r="Q288" s="4"/>
      <c r="R288" s="1126"/>
      <c r="S288" s="711"/>
    </row>
    <row r="289" spans="1:19" ht="15.75" hidden="1" customHeight="1">
      <c r="A289" s="4"/>
      <c r="B289" s="4"/>
      <c r="C289" s="4"/>
      <c r="D289" s="4"/>
      <c r="E289" s="4"/>
      <c r="F289" s="4"/>
      <c r="G289" s="4"/>
      <c r="H289" s="4"/>
      <c r="I289" s="1124"/>
      <c r="J289" s="4"/>
      <c r="K289" s="4"/>
      <c r="L289" s="4"/>
      <c r="M289" s="4"/>
      <c r="N289" s="4"/>
      <c r="O289" s="4"/>
      <c r="P289" s="4"/>
      <c r="Q289" s="4"/>
      <c r="R289" s="1126"/>
      <c r="S289" s="711"/>
    </row>
    <row r="290" spans="1:19" ht="15.75" hidden="1" customHeight="1">
      <c r="A290" s="4"/>
      <c r="B290" s="4"/>
      <c r="C290" s="4"/>
      <c r="D290" s="4"/>
      <c r="E290" s="4"/>
      <c r="F290" s="4"/>
      <c r="G290" s="4"/>
      <c r="H290" s="4"/>
      <c r="I290" s="1124"/>
      <c r="J290" s="4"/>
      <c r="K290" s="4"/>
      <c r="L290" s="4"/>
      <c r="M290" s="4"/>
      <c r="N290" s="4"/>
      <c r="O290" s="4"/>
      <c r="P290" s="4"/>
      <c r="Q290" s="4"/>
      <c r="R290" s="1126"/>
      <c r="S290" s="711"/>
    </row>
    <row r="291" spans="1:19" ht="15.75" hidden="1" customHeight="1">
      <c r="A291" s="4"/>
      <c r="B291" s="4"/>
      <c r="C291" s="4"/>
      <c r="D291" s="4"/>
      <c r="E291" s="4"/>
      <c r="F291" s="4"/>
      <c r="G291" s="4"/>
      <c r="H291" s="4"/>
      <c r="I291" s="1124"/>
      <c r="J291" s="4"/>
      <c r="K291" s="4"/>
      <c r="L291" s="4"/>
      <c r="M291" s="4"/>
      <c r="N291" s="4"/>
      <c r="O291" s="4"/>
      <c r="P291" s="4"/>
      <c r="Q291" s="4"/>
      <c r="R291" s="1126"/>
      <c r="S291" s="711"/>
    </row>
    <row r="292" spans="1:19" ht="15.75" hidden="1" customHeight="1">
      <c r="A292" s="4"/>
      <c r="B292" s="4"/>
      <c r="C292" s="4"/>
      <c r="D292" s="4"/>
      <c r="E292" s="4"/>
      <c r="F292" s="4"/>
      <c r="G292" s="4"/>
      <c r="H292" s="4"/>
      <c r="I292" s="1124"/>
      <c r="J292" s="4"/>
      <c r="K292" s="4"/>
      <c r="L292" s="4"/>
      <c r="M292" s="4"/>
      <c r="N292" s="4"/>
      <c r="O292" s="4"/>
      <c r="P292" s="4"/>
      <c r="Q292" s="4"/>
      <c r="R292" s="1126"/>
      <c r="S292" s="711"/>
    </row>
    <row r="293" spans="1:19" ht="15.75" hidden="1" customHeight="1">
      <c r="A293" s="4"/>
      <c r="B293" s="4"/>
      <c r="C293" s="4"/>
      <c r="D293" s="4"/>
      <c r="E293" s="4"/>
      <c r="F293" s="4"/>
      <c r="G293" s="4"/>
      <c r="H293" s="4"/>
      <c r="I293" s="1124"/>
      <c r="J293" s="4"/>
      <c r="K293" s="4"/>
      <c r="L293" s="4"/>
      <c r="M293" s="4"/>
      <c r="N293" s="4"/>
      <c r="O293" s="4"/>
      <c r="P293" s="4"/>
      <c r="Q293" s="4"/>
      <c r="R293" s="1126"/>
      <c r="S293" s="711"/>
    </row>
    <row r="294" spans="1:19" ht="15.75" hidden="1" customHeight="1">
      <c r="A294" s="4"/>
      <c r="B294" s="4"/>
      <c r="C294" s="4"/>
      <c r="D294" s="4"/>
      <c r="E294" s="4"/>
      <c r="F294" s="4"/>
      <c r="G294" s="4"/>
      <c r="H294" s="4"/>
      <c r="I294" s="1124"/>
      <c r="J294" s="4"/>
      <c r="K294" s="4"/>
      <c r="L294" s="4"/>
      <c r="M294" s="4"/>
      <c r="N294" s="4"/>
      <c r="O294" s="4"/>
      <c r="P294" s="4"/>
      <c r="Q294" s="4"/>
      <c r="R294" s="1126"/>
      <c r="S294" s="711"/>
    </row>
    <row r="295" spans="1:19" ht="15.75" hidden="1" customHeight="1">
      <c r="A295" s="4"/>
      <c r="B295" s="4"/>
      <c r="C295" s="4"/>
      <c r="D295" s="4"/>
      <c r="E295" s="4"/>
      <c r="F295" s="4"/>
      <c r="G295" s="4"/>
      <c r="H295" s="4"/>
      <c r="I295" s="1124"/>
      <c r="J295" s="4"/>
      <c r="K295" s="4"/>
      <c r="L295" s="4"/>
      <c r="M295" s="4"/>
      <c r="N295" s="4"/>
      <c r="O295" s="4"/>
      <c r="P295" s="4"/>
      <c r="Q295" s="4"/>
      <c r="R295" s="1126"/>
      <c r="S295" s="711"/>
    </row>
    <row r="296" spans="1:19" ht="15.75" hidden="1" customHeight="1">
      <c r="A296" s="4"/>
      <c r="B296" s="4"/>
      <c r="C296" s="4"/>
      <c r="D296" s="4"/>
      <c r="E296" s="4"/>
      <c r="F296" s="4"/>
      <c r="G296" s="4"/>
      <c r="H296" s="4"/>
      <c r="I296" s="1124"/>
      <c r="J296" s="4"/>
      <c r="K296" s="4"/>
      <c r="L296" s="4"/>
      <c r="M296" s="4"/>
      <c r="N296" s="4"/>
      <c r="O296" s="4"/>
      <c r="P296" s="4"/>
      <c r="Q296" s="4"/>
      <c r="R296" s="1126"/>
      <c r="S296" s="711"/>
    </row>
    <row r="297" spans="1:19" ht="15.75" hidden="1" customHeight="1">
      <c r="A297" s="4"/>
      <c r="B297" s="4"/>
      <c r="C297" s="4"/>
      <c r="D297" s="4"/>
      <c r="E297" s="4"/>
      <c r="F297" s="4"/>
      <c r="G297" s="4"/>
      <c r="H297" s="4"/>
      <c r="I297" s="1124"/>
      <c r="J297" s="4"/>
      <c r="K297" s="4"/>
      <c r="L297" s="4"/>
      <c r="M297" s="4"/>
      <c r="N297" s="4"/>
      <c r="O297" s="4"/>
      <c r="P297" s="4"/>
      <c r="Q297" s="4"/>
      <c r="R297" s="1126"/>
      <c r="S297" s="711"/>
    </row>
    <row r="298" spans="1:19" ht="15.75" hidden="1" customHeight="1">
      <c r="A298" s="4"/>
      <c r="B298" s="4"/>
      <c r="C298" s="4"/>
      <c r="D298" s="4"/>
      <c r="E298" s="4"/>
      <c r="F298" s="4"/>
      <c r="G298" s="4"/>
      <c r="H298" s="4"/>
      <c r="I298" s="1124"/>
      <c r="J298" s="4"/>
      <c r="K298" s="4"/>
      <c r="L298" s="4"/>
      <c r="M298" s="4"/>
      <c r="N298" s="4"/>
      <c r="O298" s="4"/>
      <c r="P298" s="4"/>
      <c r="Q298" s="4"/>
      <c r="R298" s="1126"/>
      <c r="S298" s="711"/>
    </row>
    <row r="299" spans="1:19" ht="15.75" hidden="1" customHeight="1">
      <c r="A299" s="4"/>
      <c r="B299" s="4"/>
      <c r="C299" s="4"/>
      <c r="D299" s="4"/>
      <c r="E299" s="4"/>
      <c r="F299" s="4"/>
      <c r="G299" s="4"/>
      <c r="H299" s="4"/>
      <c r="I299" s="1124"/>
      <c r="J299" s="4"/>
      <c r="K299" s="4"/>
      <c r="L299" s="4"/>
      <c r="M299" s="4"/>
      <c r="N299" s="4"/>
      <c r="O299" s="4"/>
      <c r="P299" s="4"/>
      <c r="Q299" s="4"/>
      <c r="R299" s="1126"/>
      <c r="S299" s="711"/>
    </row>
    <row r="300" spans="1:19" ht="15.75" hidden="1" customHeight="1">
      <c r="A300" s="4"/>
      <c r="B300" s="4"/>
      <c r="C300" s="4"/>
      <c r="D300" s="4"/>
      <c r="E300" s="4"/>
      <c r="F300" s="4"/>
      <c r="G300" s="4"/>
      <c r="H300" s="4"/>
      <c r="I300" s="1124"/>
      <c r="J300" s="4"/>
      <c r="K300" s="4"/>
      <c r="L300" s="4"/>
      <c r="M300" s="4"/>
      <c r="N300" s="4"/>
      <c r="O300" s="4"/>
      <c r="P300" s="4"/>
      <c r="Q300" s="4"/>
      <c r="R300" s="1126"/>
      <c r="S300" s="711"/>
    </row>
    <row r="301" spans="1:19" ht="15.75" hidden="1" customHeight="1">
      <c r="A301" s="4"/>
      <c r="B301" s="4"/>
      <c r="C301" s="4"/>
      <c r="D301" s="4"/>
      <c r="E301" s="4"/>
      <c r="F301" s="4"/>
      <c r="G301" s="4"/>
      <c r="H301" s="4"/>
      <c r="I301" s="1124"/>
      <c r="J301" s="4"/>
      <c r="K301" s="4"/>
      <c r="L301" s="4"/>
      <c r="M301" s="4"/>
      <c r="N301" s="4"/>
      <c r="O301" s="4"/>
      <c r="P301" s="4"/>
      <c r="Q301" s="4"/>
      <c r="R301" s="1126"/>
      <c r="S301" s="711"/>
    </row>
    <row r="302" spans="1:19" ht="15.75" hidden="1" customHeight="1">
      <c r="A302" s="4"/>
      <c r="B302" s="4"/>
      <c r="C302" s="4"/>
      <c r="D302" s="4"/>
      <c r="E302" s="4"/>
      <c r="F302" s="4"/>
      <c r="G302" s="4"/>
      <c r="H302" s="4"/>
      <c r="I302" s="1124"/>
      <c r="J302" s="4"/>
      <c r="K302" s="4"/>
      <c r="L302" s="4"/>
      <c r="M302" s="4"/>
      <c r="N302" s="4"/>
      <c r="O302" s="4"/>
      <c r="P302" s="4"/>
      <c r="Q302" s="4"/>
      <c r="R302" s="1126"/>
      <c r="S302" s="711"/>
    </row>
    <row r="303" spans="1:19" ht="15.75" hidden="1" customHeight="1">
      <c r="A303" s="4"/>
      <c r="B303" s="4"/>
      <c r="C303" s="4"/>
      <c r="D303" s="4"/>
      <c r="E303" s="4"/>
      <c r="F303" s="4"/>
      <c r="G303" s="4"/>
      <c r="H303" s="4"/>
      <c r="I303" s="1124"/>
      <c r="J303" s="4"/>
      <c r="K303" s="4"/>
      <c r="L303" s="4"/>
      <c r="M303" s="4"/>
      <c r="N303" s="4"/>
      <c r="O303" s="4"/>
      <c r="P303" s="4"/>
      <c r="Q303" s="4"/>
      <c r="R303" s="1126"/>
      <c r="S303" s="711"/>
    </row>
    <row r="304" spans="1:19" ht="15.75" hidden="1" customHeight="1">
      <c r="A304" s="4"/>
      <c r="B304" s="4"/>
      <c r="C304" s="4"/>
      <c r="D304" s="4"/>
      <c r="E304" s="4"/>
      <c r="F304" s="4"/>
      <c r="G304" s="4"/>
      <c r="H304" s="4"/>
      <c r="I304" s="1124"/>
      <c r="J304" s="4"/>
      <c r="K304" s="4"/>
      <c r="L304" s="4"/>
      <c r="M304" s="4"/>
      <c r="N304" s="4"/>
      <c r="O304" s="4"/>
      <c r="P304" s="4"/>
      <c r="Q304" s="4"/>
      <c r="R304" s="1126"/>
      <c r="S304" s="711"/>
    </row>
    <row r="305" spans="1:19" ht="15.75" hidden="1" customHeight="1">
      <c r="A305" s="4"/>
      <c r="B305" s="4"/>
      <c r="C305" s="4"/>
      <c r="D305" s="4"/>
      <c r="E305" s="4"/>
      <c r="F305" s="4"/>
      <c r="G305" s="4"/>
      <c r="H305" s="4"/>
      <c r="I305" s="1124"/>
      <c r="J305" s="4"/>
      <c r="K305" s="4"/>
      <c r="L305" s="4"/>
      <c r="M305" s="4"/>
      <c r="N305" s="4"/>
      <c r="O305" s="4"/>
      <c r="P305" s="4"/>
      <c r="Q305" s="4"/>
      <c r="R305" s="1126"/>
      <c r="S305" s="711"/>
    </row>
    <row r="306" spans="1:19" ht="15.75" hidden="1" customHeight="1">
      <c r="A306" s="4"/>
      <c r="B306" s="4"/>
      <c r="C306" s="4"/>
      <c r="D306" s="4"/>
      <c r="E306" s="4"/>
      <c r="F306" s="4"/>
      <c r="G306" s="4"/>
      <c r="H306" s="4"/>
      <c r="I306" s="1124"/>
      <c r="J306" s="4"/>
      <c r="K306" s="4"/>
      <c r="L306" s="4"/>
      <c r="M306" s="4"/>
      <c r="N306" s="4"/>
      <c r="O306" s="4"/>
      <c r="P306" s="4"/>
      <c r="Q306" s="4"/>
      <c r="R306" s="1126"/>
      <c r="S306" s="711"/>
    </row>
    <row r="307" spans="1:19" ht="15.75" hidden="1" customHeight="1">
      <c r="A307" s="4"/>
      <c r="B307" s="4"/>
      <c r="C307" s="4"/>
      <c r="D307" s="4"/>
      <c r="E307" s="4"/>
      <c r="F307" s="4"/>
      <c r="G307" s="4"/>
      <c r="H307" s="4"/>
      <c r="I307" s="1124"/>
      <c r="J307" s="4"/>
      <c r="K307" s="4"/>
      <c r="L307" s="4"/>
      <c r="M307" s="4"/>
      <c r="N307" s="4"/>
      <c r="O307" s="4"/>
      <c r="P307" s="4"/>
      <c r="Q307" s="4"/>
      <c r="R307" s="1126"/>
      <c r="S307" s="711"/>
    </row>
    <row r="308" spans="1:19" ht="15.75" hidden="1" customHeight="1">
      <c r="A308" s="4"/>
      <c r="B308" s="4"/>
      <c r="C308" s="4"/>
      <c r="D308" s="4"/>
      <c r="E308" s="4"/>
      <c r="F308" s="4"/>
      <c r="G308" s="4"/>
      <c r="H308" s="4"/>
      <c r="I308" s="1124"/>
      <c r="J308" s="4"/>
      <c r="K308" s="4"/>
      <c r="L308" s="4"/>
      <c r="M308" s="4"/>
      <c r="N308" s="4"/>
      <c r="O308" s="4"/>
      <c r="P308" s="4"/>
      <c r="Q308" s="4"/>
      <c r="R308" s="1126"/>
      <c r="S308" s="711"/>
    </row>
    <row r="309" spans="1:19" ht="15.75" hidden="1" customHeight="1">
      <c r="A309" s="4"/>
      <c r="B309" s="4"/>
      <c r="C309" s="4"/>
      <c r="D309" s="4"/>
      <c r="E309" s="4"/>
      <c r="F309" s="4"/>
      <c r="G309" s="4"/>
      <c r="H309" s="4"/>
      <c r="I309" s="1124"/>
      <c r="J309" s="4"/>
      <c r="K309" s="4"/>
      <c r="L309" s="4"/>
      <c r="M309" s="4"/>
      <c r="N309" s="4"/>
      <c r="O309" s="4"/>
      <c r="P309" s="4"/>
      <c r="Q309" s="4"/>
      <c r="R309" s="1126"/>
      <c r="S309" s="711"/>
    </row>
    <row r="310" spans="1:19" ht="15.75" hidden="1" customHeight="1">
      <c r="A310" s="4"/>
      <c r="B310" s="4"/>
      <c r="C310" s="4"/>
      <c r="D310" s="4"/>
      <c r="E310" s="4"/>
      <c r="F310" s="4"/>
      <c r="G310" s="4"/>
      <c r="H310" s="4"/>
      <c r="I310" s="1124"/>
      <c r="J310" s="4"/>
      <c r="K310" s="4"/>
      <c r="L310" s="4"/>
      <c r="M310" s="4"/>
      <c r="N310" s="4"/>
      <c r="O310" s="4"/>
      <c r="P310" s="4"/>
      <c r="Q310" s="4"/>
      <c r="R310" s="1126"/>
      <c r="S310" s="711"/>
    </row>
    <row r="311" spans="1:19" ht="15.75" hidden="1" customHeight="1">
      <c r="A311" s="4"/>
      <c r="B311" s="4"/>
      <c r="C311" s="4"/>
      <c r="D311" s="4"/>
      <c r="E311" s="4"/>
      <c r="F311" s="4"/>
      <c r="G311" s="4"/>
      <c r="H311" s="4"/>
      <c r="I311" s="1124"/>
      <c r="J311" s="4"/>
      <c r="K311" s="4"/>
      <c r="L311" s="4"/>
      <c r="M311" s="4"/>
      <c r="N311" s="4"/>
      <c r="O311" s="4"/>
      <c r="P311" s="4"/>
      <c r="Q311" s="4"/>
      <c r="R311" s="1126"/>
      <c r="S311" s="711"/>
    </row>
    <row r="312" spans="1:19" ht="15.75" hidden="1" customHeight="1">
      <c r="A312" s="4"/>
      <c r="B312" s="4"/>
      <c r="C312" s="4"/>
      <c r="D312" s="4"/>
      <c r="E312" s="4"/>
      <c r="F312" s="4"/>
      <c r="G312" s="4"/>
      <c r="H312" s="4"/>
      <c r="I312" s="1124"/>
      <c r="J312" s="4"/>
      <c r="K312" s="4"/>
      <c r="L312" s="4"/>
      <c r="M312" s="4"/>
      <c r="N312" s="4"/>
      <c r="O312" s="4"/>
      <c r="P312" s="4"/>
      <c r="Q312" s="4"/>
      <c r="R312" s="1126"/>
      <c r="S312" s="711"/>
    </row>
    <row r="313" spans="1:19" ht="15.75" hidden="1" customHeight="1">
      <c r="A313" s="4"/>
      <c r="B313" s="4"/>
      <c r="C313" s="4"/>
      <c r="D313" s="4"/>
      <c r="E313" s="4"/>
      <c r="F313" s="4"/>
      <c r="G313" s="4"/>
      <c r="H313" s="4"/>
      <c r="I313" s="1124"/>
      <c r="J313" s="4"/>
      <c r="K313" s="4"/>
      <c r="L313" s="4"/>
      <c r="M313" s="4"/>
      <c r="N313" s="4"/>
      <c r="O313" s="4"/>
      <c r="P313" s="4"/>
      <c r="Q313" s="4"/>
      <c r="R313" s="1126"/>
      <c r="S313" s="711"/>
    </row>
    <row r="314" spans="1:19" ht="15.75" hidden="1" customHeight="1">
      <c r="A314" s="4"/>
      <c r="B314" s="4"/>
      <c r="C314" s="4"/>
      <c r="D314" s="4"/>
      <c r="E314" s="4"/>
      <c r="F314" s="4"/>
      <c r="G314" s="4"/>
      <c r="H314" s="4"/>
      <c r="I314" s="1124"/>
      <c r="J314" s="4"/>
      <c r="K314" s="4"/>
      <c r="L314" s="4"/>
      <c r="M314" s="4"/>
      <c r="N314" s="4"/>
      <c r="O314" s="4"/>
      <c r="P314" s="4"/>
      <c r="Q314" s="4"/>
      <c r="R314" s="1126"/>
      <c r="S314" s="711"/>
    </row>
    <row r="315" spans="1:19" ht="15.75" hidden="1" customHeight="1">
      <c r="A315" s="4"/>
      <c r="B315" s="4"/>
      <c r="C315" s="4"/>
      <c r="D315" s="4"/>
      <c r="E315" s="4"/>
      <c r="F315" s="4"/>
      <c r="G315" s="4"/>
      <c r="H315" s="4"/>
      <c r="I315" s="1124"/>
      <c r="J315" s="4"/>
      <c r="K315" s="4"/>
      <c r="L315" s="4"/>
      <c r="M315" s="4"/>
      <c r="N315" s="4"/>
      <c r="O315" s="4"/>
      <c r="P315" s="4"/>
      <c r="Q315" s="4"/>
      <c r="R315" s="1126"/>
      <c r="S315" s="711"/>
    </row>
    <row r="316" spans="1:19" ht="15.75" hidden="1" customHeight="1">
      <c r="A316" s="4"/>
      <c r="B316" s="4"/>
      <c r="C316" s="4"/>
      <c r="D316" s="4"/>
      <c r="E316" s="4"/>
      <c r="F316" s="4"/>
      <c r="G316" s="4"/>
      <c r="H316" s="4"/>
      <c r="I316" s="1124"/>
      <c r="J316" s="4"/>
      <c r="K316" s="4"/>
      <c r="L316" s="4"/>
      <c r="M316" s="4"/>
      <c r="N316" s="4"/>
      <c r="O316" s="4"/>
      <c r="P316" s="4"/>
      <c r="Q316" s="4"/>
      <c r="R316" s="1126"/>
      <c r="S316" s="711"/>
    </row>
    <row r="317" spans="1:19" ht="15.75" hidden="1" customHeight="1">
      <c r="A317" s="4"/>
      <c r="B317" s="4"/>
      <c r="C317" s="4"/>
      <c r="D317" s="4"/>
      <c r="E317" s="4"/>
      <c r="F317" s="4"/>
      <c r="G317" s="4"/>
      <c r="H317" s="4"/>
      <c r="I317" s="1124"/>
      <c r="J317" s="4"/>
      <c r="K317" s="4"/>
      <c r="L317" s="4"/>
      <c r="M317" s="4"/>
      <c r="N317" s="4"/>
      <c r="O317" s="4"/>
      <c r="P317" s="4"/>
      <c r="Q317" s="4"/>
      <c r="R317" s="1126"/>
      <c r="S317" s="711"/>
    </row>
    <row r="318" spans="1:19" ht="15.75" hidden="1" customHeight="1">
      <c r="A318" s="4"/>
      <c r="B318" s="4"/>
      <c r="C318" s="4"/>
      <c r="D318" s="4"/>
      <c r="E318" s="4"/>
      <c r="F318" s="4"/>
      <c r="G318" s="4"/>
      <c r="H318" s="4"/>
      <c r="I318" s="1124"/>
      <c r="J318" s="4"/>
      <c r="K318" s="4"/>
      <c r="L318" s="4"/>
      <c r="M318" s="4"/>
      <c r="N318" s="4"/>
      <c r="O318" s="4"/>
      <c r="P318" s="4"/>
      <c r="Q318" s="4"/>
      <c r="R318" s="1126"/>
      <c r="S318" s="711"/>
    </row>
    <row r="319" spans="1:19" ht="15.75" hidden="1" customHeight="1">
      <c r="A319" s="4"/>
      <c r="B319" s="4"/>
      <c r="C319" s="4"/>
      <c r="D319" s="4"/>
      <c r="E319" s="4"/>
      <c r="F319" s="4"/>
      <c r="G319" s="4"/>
      <c r="H319" s="4"/>
      <c r="I319" s="1124"/>
      <c r="J319" s="4"/>
      <c r="K319" s="4"/>
      <c r="L319" s="4"/>
      <c r="M319" s="4"/>
      <c r="N319" s="4"/>
      <c r="O319" s="4"/>
      <c r="P319" s="4"/>
      <c r="Q319" s="4"/>
      <c r="R319" s="1126"/>
      <c r="S319" s="711"/>
    </row>
    <row r="320" spans="1:19" ht="15.75" hidden="1" customHeight="1">
      <c r="A320" s="4"/>
      <c r="B320" s="4"/>
      <c r="C320" s="4"/>
      <c r="D320" s="4"/>
      <c r="E320" s="4"/>
      <c r="F320" s="4"/>
      <c r="G320" s="4"/>
      <c r="H320" s="4"/>
      <c r="I320" s="1124"/>
      <c r="J320" s="4"/>
      <c r="K320" s="4"/>
      <c r="L320" s="4"/>
      <c r="M320" s="4"/>
      <c r="N320" s="4"/>
      <c r="O320" s="4"/>
      <c r="P320" s="4"/>
      <c r="Q320" s="4"/>
      <c r="R320" s="1126"/>
      <c r="S320" s="711"/>
    </row>
    <row r="321" spans="1:19" ht="15.75" hidden="1" customHeight="1">
      <c r="A321" s="4"/>
      <c r="B321" s="4"/>
      <c r="C321" s="4"/>
      <c r="D321" s="4"/>
      <c r="E321" s="4"/>
      <c r="F321" s="4"/>
      <c r="G321" s="4"/>
      <c r="H321" s="4"/>
      <c r="I321" s="1124"/>
      <c r="J321" s="4"/>
      <c r="K321" s="4"/>
      <c r="L321" s="4"/>
      <c r="M321" s="4"/>
      <c r="N321" s="4"/>
      <c r="O321" s="4"/>
      <c r="P321" s="4"/>
      <c r="Q321" s="4"/>
      <c r="R321" s="1126"/>
      <c r="S321" s="711"/>
    </row>
    <row r="322" spans="1:19" ht="15.75" hidden="1" customHeight="1">
      <c r="A322" s="4"/>
      <c r="B322" s="4"/>
      <c r="C322" s="4"/>
      <c r="D322" s="4"/>
      <c r="E322" s="4"/>
      <c r="F322" s="4"/>
      <c r="G322" s="4"/>
      <c r="H322" s="4"/>
      <c r="I322" s="1124"/>
      <c r="J322" s="4"/>
      <c r="K322" s="4"/>
      <c r="L322" s="4"/>
      <c r="M322" s="4"/>
      <c r="N322" s="4"/>
      <c r="O322" s="4"/>
      <c r="P322" s="4"/>
      <c r="Q322" s="4"/>
      <c r="R322" s="1126"/>
      <c r="S322" s="711"/>
    </row>
    <row r="323" spans="1:19" ht="15.75" hidden="1" customHeight="1">
      <c r="A323" s="4"/>
      <c r="B323" s="4"/>
      <c r="C323" s="4"/>
      <c r="D323" s="4"/>
      <c r="E323" s="4"/>
      <c r="F323" s="4"/>
      <c r="G323" s="4"/>
      <c r="H323" s="4"/>
      <c r="I323" s="1124"/>
      <c r="J323" s="4"/>
      <c r="K323" s="4"/>
      <c r="L323" s="4"/>
      <c r="M323" s="4"/>
      <c r="N323" s="4"/>
      <c r="O323" s="4"/>
      <c r="P323" s="4"/>
      <c r="Q323" s="4"/>
      <c r="R323" s="1126"/>
      <c r="S323" s="711"/>
    </row>
    <row r="324" spans="1:19" ht="15.75" hidden="1" customHeight="1">
      <c r="A324" s="4"/>
      <c r="B324" s="4"/>
      <c r="C324" s="4"/>
      <c r="D324" s="4"/>
      <c r="E324" s="4"/>
      <c r="F324" s="4"/>
      <c r="G324" s="4"/>
      <c r="H324" s="4"/>
      <c r="I324" s="1124"/>
      <c r="J324" s="4"/>
      <c r="K324" s="4"/>
      <c r="L324" s="4"/>
      <c r="M324" s="4"/>
      <c r="N324" s="4"/>
      <c r="O324" s="4"/>
      <c r="P324" s="4"/>
      <c r="Q324" s="4"/>
      <c r="R324" s="1126"/>
      <c r="S324" s="711"/>
    </row>
    <row r="325" spans="1:19" ht="15.75" hidden="1" customHeight="1">
      <c r="A325" s="4"/>
      <c r="B325" s="4"/>
      <c r="C325" s="4"/>
      <c r="D325" s="4"/>
      <c r="E325" s="4"/>
      <c r="F325" s="4"/>
      <c r="G325" s="4"/>
      <c r="H325" s="4"/>
      <c r="I325" s="1124"/>
      <c r="J325" s="4"/>
      <c r="K325" s="4"/>
      <c r="L325" s="4"/>
      <c r="M325" s="4"/>
      <c r="N325" s="4"/>
      <c r="O325" s="4"/>
      <c r="P325" s="4"/>
      <c r="Q325" s="4"/>
      <c r="R325" s="1126"/>
      <c r="S325" s="711"/>
    </row>
    <row r="326" spans="1:19" ht="15.75" hidden="1" customHeight="1">
      <c r="A326" s="4"/>
      <c r="B326" s="4"/>
      <c r="C326" s="4"/>
      <c r="D326" s="4"/>
      <c r="E326" s="4"/>
      <c r="F326" s="4"/>
      <c r="G326" s="4"/>
      <c r="H326" s="4"/>
      <c r="I326" s="1124"/>
      <c r="J326" s="4"/>
      <c r="K326" s="4"/>
      <c r="L326" s="4"/>
      <c r="M326" s="4"/>
      <c r="N326" s="4"/>
      <c r="O326" s="4"/>
      <c r="P326" s="4"/>
      <c r="Q326" s="4"/>
      <c r="R326" s="1126"/>
      <c r="S326" s="711"/>
    </row>
    <row r="327" spans="1:19" ht="15.75" hidden="1" customHeight="1">
      <c r="A327" s="4"/>
      <c r="B327" s="4"/>
      <c r="C327" s="4"/>
      <c r="D327" s="4"/>
      <c r="E327" s="4"/>
      <c r="F327" s="4"/>
      <c r="G327" s="4"/>
      <c r="H327" s="4"/>
      <c r="I327" s="1124"/>
      <c r="J327" s="4"/>
      <c r="K327" s="4"/>
      <c r="L327" s="4"/>
      <c r="M327" s="4"/>
      <c r="N327" s="4"/>
      <c r="O327" s="4"/>
      <c r="P327" s="4"/>
      <c r="Q327" s="4"/>
      <c r="R327" s="1126"/>
      <c r="S327" s="711"/>
    </row>
    <row r="328" spans="1:19" ht="15.75" hidden="1" customHeight="1">
      <c r="A328" s="4"/>
      <c r="B328" s="4"/>
      <c r="C328" s="4"/>
      <c r="D328" s="4"/>
      <c r="E328" s="4"/>
      <c r="F328" s="4"/>
      <c r="G328" s="4"/>
      <c r="H328" s="4"/>
      <c r="I328" s="1124"/>
      <c r="J328" s="4"/>
      <c r="K328" s="4"/>
      <c r="L328" s="4"/>
      <c r="M328" s="4"/>
      <c r="N328" s="4"/>
      <c r="O328" s="4"/>
      <c r="P328" s="4"/>
      <c r="Q328" s="4"/>
      <c r="R328" s="1126"/>
      <c r="S328" s="711"/>
    </row>
    <row r="329" spans="1:19" ht="15.75" hidden="1" customHeight="1">
      <c r="A329" s="4"/>
      <c r="B329" s="4"/>
      <c r="C329" s="4"/>
      <c r="D329" s="4"/>
      <c r="E329" s="4"/>
      <c r="F329" s="4"/>
      <c r="G329" s="4"/>
      <c r="H329" s="4"/>
      <c r="I329" s="1124"/>
      <c r="J329" s="4"/>
      <c r="K329" s="4"/>
      <c r="L329" s="4"/>
      <c r="M329" s="4"/>
      <c r="N329" s="4"/>
      <c r="O329" s="4"/>
      <c r="P329" s="4"/>
      <c r="Q329" s="4"/>
      <c r="R329" s="1126"/>
      <c r="S329" s="711"/>
    </row>
    <row r="330" spans="1:19" ht="15.75" hidden="1" customHeight="1">
      <c r="A330" s="4"/>
      <c r="B330" s="4"/>
      <c r="C330" s="4"/>
      <c r="D330" s="4"/>
      <c r="E330" s="4"/>
      <c r="F330" s="4"/>
      <c r="G330" s="4"/>
      <c r="H330" s="4"/>
      <c r="I330" s="1124"/>
      <c r="J330" s="4"/>
      <c r="K330" s="4"/>
      <c r="L330" s="4"/>
      <c r="M330" s="4"/>
      <c r="N330" s="4"/>
      <c r="O330" s="4"/>
      <c r="P330" s="4"/>
      <c r="Q330" s="4"/>
      <c r="R330" s="1126"/>
      <c r="S330" s="711"/>
    </row>
    <row r="331" spans="1:19" ht="15.75" hidden="1" customHeight="1">
      <c r="A331" s="4"/>
      <c r="B331" s="4"/>
      <c r="C331" s="4"/>
      <c r="D331" s="4"/>
      <c r="E331" s="4"/>
      <c r="F331" s="4"/>
      <c r="G331" s="4"/>
      <c r="H331" s="4"/>
      <c r="I331" s="1124"/>
      <c r="J331" s="4"/>
      <c r="K331" s="4"/>
      <c r="L331" s="4"/>
      <c r="M331" s="4"/>
      <c r="N331" s="4"/>
      <c r="O331" s="4"/>
      <c r="P331" s="4"/>
      <c r="Q331" s="4"/>
      <c r="R331" s="1126"/>
      <c r="S331" s="711"/>
    </row>
    <row r="332" spans="1:19" ht="15.75" hidden="1" customHeight="1">
      <c r="A332" s="4"/>
      <c r="B332" s="4"/>
      <c r="C332" s="4"/>
      <c r="D332" s="4"/>
      <c r="E332" s="4"/>
      <c r="F332" s="4"/>
      <c r="G332" s="4"/>
      <c r="H332" s="4"/>
      <c r="I332" s="1124"/>
      <c r="J332" s="4"/>
      <c r="K332" s="4"/>
      <c r="L332" s="4"/>
      <c r="M332" s="4"/>
      <c r="N332" s="4"/>
      <c r="O332" s="4"/>
      <c r="P332" s="4"/>
      <c r="Q332" s="4"/>
      <c r="R332" s="1126"/>
      <c r="S332" s="711"/>
    </row>
    <row r="333" spans="1:19" ht="15.75" hidden="1" customHeight="1">
      <c r="A333" s="4"/>
      <c r="B333" s="4"/>
      <c r="C333" s="4"/>
      <c r="D333" s="4"/>
      <c r="E333" s="4"/>
      <c r="F333" s="4"/>
      <c r="G333" s="4"/>
      <c r="H333" s="4"/>
      <c r="I333" s="1124"/>
      <c r="J333" s="4"/>
      <c r="K333" s="4"/>
      <c r="L333" s="4"/>
      <c r="M333" s="4"/>
      <c r="N333" s="4"/>
      <c r="O333" s="4"/>
      <c r="P333" s="4"/>
      <c r="Q333" s="4"/>
      <c r="R333" s="1126"/>
      <c r="S333" s="711"/>
    </row>
    <row r="334" spans="1:19" ht="15.75" hidden="1" customHeight="1">
      <c r="A334" s="4"/>
      <c r="B334" s="4"/>
      <c r="C334" s="4"/>
      <c r="D334" s="4"/>
      <c r="E334" s="4"/>
      <c r="F334" s="4"/>
      <c r="G334" s="4"/>
      <c r="H334" s="4"/>
      <c r="I334" s="1124"/>
      <c r="J334" s="4"/>
      <c r="K334" s="4"/>
      <c r="L334" s="4"/>
      <c r="M334" s="4"/>
      <c r="N334" s="4"/>
      <c r="O334" s="4"/>
      <c r="P334" s="4"/>
      <c r="Q334" s="4"/>
      <c r="R334" s="1126"/>
      <c r="S334" s="711"/>
    </row>
    <row r="335" spans="1:19" ht="15.75" hidden="1" customHeight="1">
      <c r="A335" s="4"/>
      <c r="B335" s="4"/>
      <c r="C335" s="4"/>
      <c r="D335" s="4"/>
      <c r="E335" s="4"/>
      <c r="F335" s="4"/>
      <c r="G335" s="4"/>
      <c r="H335" s="4"/>
      <c r="I335" s="1124"/>
      <c r="J335" s="4"/>
      <c r="K335" s="4"/>
      <c r="L335" s="4"/>
      <c r="M335" s="4"/>
      <c r="N335" s="4"/>
      <c r="O335" s="4"/>
      <c r="P335" s="4"/>
      <c r="Q335" s="4"/>
      <c r="R335" s="1126"/>
      <c r="S335" s="711"/>
    </row>
    <row r="336" spans="1:19" ht="15.75" hidden="1" customHeight="1">
      <c r="A336" s="4"/>
      <c r="B336" s="4"/>
      <c r="C336" s="4"/>
      <c r="D336" s="4"/>
      <c r="E336" s="4"/>
      <c r="F336" s="4"/>
      <c r="G336" s="4"/>
      <c r="H336" s="4"/>
      <c r="I336" s="1124"/>
      <c r="J336" s="4"/>
      <c r="K336" s="4"/>
      <c r="L336" s="4"/>
      <c r="M336" s="4"/>
      <c r="N336" s="4"/>
      <c r="O336" s="4"/>
      <c r="P336" s="4"/>
      <c r="Q336" s="4"/>
      <c r="R336" s="1126"/>
      <c r="S336" s="711"/>
    </row>
    <row r="337" spans="1:19" ht="15.75" hidden="1" customHeight="1">
      <c r="A337" s="4"/>
      <c r="B337" s="4"/>
      <c r="C337" s="4"/>
      <c r="D337" s="4"/>
      <c r="E337" s="4"/>
      <c r="F337" s="4"/>
      <c r="G337" s="4"/>
      <c r="H337" s="4"/>
      <c r="I337" s="1124"/>
      <c r="J337" s="4"/>
      <c r="K337" s="4"/>
      <c r="L337" s="4"/>
      <c r="M337" s="4"/>
      <c r="N337" s="4"/>
      <c r="O337" s="4"/>
      <c r="P337" s="4"/>
      <c r="Q337" s="4"/>
      <c r="R337" s="1126"/>
      <c r="S337" s="711"/>
    </row>
    <row r="338" spans="1:19" ht="15.75" hidden="1" customHeight="1">
      <c r="A338" s="4"/>
      <c r="B338" s="4"/>
      <c r="C338" s="4"/>
      <c r="D338" s="4"/>
      <c r="E338" s="4"/>
      <c r="F338" s="4"/>
      <c r="G338" s="4"/>
      <c r="H338" s="4"/>
      <c r="I338" s="1124"/>
      <c r="J338" s="4"/>
      <c r="K338" s="4"/>
      <c r="L338" s="4"/>
      <c r="M338" s="4"/>
      <c r="N338" s="4"/>
      <c r="O338" s="4"/>
      <c r="P338" s="4"/>
      <c r="Q338" s="4"/>
      <c r="R338" s="1126"/>
      <c r="S338" s="711"/>
    </row>
    <row r="339" spans="1:19" ht="15.75" hidden="1" customHeight="1">
      <c r="A339" s="4"/>
      <c r="B339" s="4"/>
      <c r="C339" s="4"/>
      <c r="D339" s="4"/>
      <c r="E339" s="4"/>
      <c r="F339" s="4"/>
      <c r="G339" s="4"/>
      <c r="H339" s="4"/>
      <c r="I339" s="1124"/>
      <c r="J339" s="4"/>
      <c r="K339" s="4"/>
      <c r="L339" s="4"/>
      <c r="M339" s="4"/>
      <c r="N339" s="4"/>
      <c r="O339" s="4"/>
      <c r="P339" s="4"/>
      <c r="Q339" s="4"/>
      <c r="R339" s="1126"/>
      <c r="S339" s="711"/>
    </row>
    <row r="340" spans="1:19" ht="15.75" hidden="1" customHeight="1">
      <c r="A340" s="4"/>
      <c r="B340" s="4"/>
      <c r="C340" s="4"/>
      <c r="D340" s="4"/>
      <c r="E340" s="4"/>
      <c r="F340" s="4"/>
      <c r="G340" s="4"/>
      <c r="H340" s="4"/>
      <c r="I340" s="1124"/>
      <c r="J340" s="4"/>
      <c r="K340" s="4"/>
      <c r="L340" s="4"/>
      <c r="M340" s="4"/>
      <c r="N340" s="4"/>
      <c r="O340" s="4"/>
      <c r="P340" s="4"/>
      <c r="Q340" s="4"/>
      <c r="R340" s="1126"/>
      <c r="S340" s="711"/>
    </row>
    <row r="341" spans="1:19" ht="15.75" hidden="1" customHeight="1">
      <c r="A341" s="4"/>
      <c r="B341" s="4"/>
      <c r="C341" s="4"/>
      <c r="D341" s="4"/>
      <c r="E341" s="4"/>
      <c r="F341" s="4"/>
      <c r="G341" s="4"/>
      <c r="H341" s="4"/>
      <c r="I341" s="1124"/>
      <c r="J341" s="4"/>
      <c r="K341" s="4"/>
      <c r="L341" s="4"/>
      <c r="M341" s="4"/>
      <c r="N341" s="4"/>
      <c r="O341" s="4"/>
      <c r="P341" s="4"/>
      <c r="Q341" s="4"/>
      <c r="R341" s="1126"/>
      <c r="S341" s="711"/>
    </row>
    <row r="342" spans="1:19" ht="15.75" hidden="1" customHeight="1">
      <c r="A342" s="4"/>
      <c r="B342" s="4"/>
      <c r="C342" s="4"/>
      <c r="D342" s="4"/>
      <c r="E342" s="4"/>
      <c r="F342" s="4"/>
      <c r="G342" s="4"/>
      <c r="H342" s="4"/>
      <c r="I342" s="1124"/>
      <c r="J342" s="4"/>
      <c r="K342" s="4"/>
      <c r="L342" s="4"/>
      <c r="M342" s="4"/>
      <c r="N342" s="4"/>
      <c r="O342" s="4"/>
      <c r="P342" s="4"/>
      <c r="Q342" s="4"/>
      <c r="R342" s="1126"/>
      <c r="S342" s="711"/>
    </row>
    <row r="343" spans="1:19" ht="15.75" hidden="1" customHeight="1">
      <c r="A343" s="4"/>
      <c r="B343" s="4"/>
      <c r="C343" s="4"/>
      <c r="D343" s="4"/>
      <c r="E343" s="4"/>
      <c r="F343" s="4"/>
      <c r="G343" s="4"/>
      <c r="H343" s="4"/>
      <c r="I343" s="1124"/>
      <c r="J343" s="4"/>
      <c r="K343" s="4"/>
      <c r="L343" s="4"/>
      <c r="M343" s="4"/>
      <c r="N343" s="4"/>
      <c r="O343" s="4"/>
      <c r="P343" s="4"/>
      <c r="Q343" s="4"/>
      <c r="R343" s="1126"/>
      <c r="S343" s="711"/>
    </row>
    <row r="344" spans="1:19" ht="15.75" hidden="1" customHeight="1">
      <c r="A344" s="4"/>
      <c r="B344" s="4"/>
      <c r="C344" s="4"/>
      <c r="D344" s="4"/>
      <c r="E344" s="4"/>
      <c r="F344" s="4"/>
      <c r="G344" s="4"/>
      <c r="H344" s="4"/>
      <c r="I344" s="1124"/>
      <c r="J344" s="4"/>
      <c r="K344" s="4"/>
      <c r="L344" s="4"/>
      <c r="M344" s="4"/>
      <c r="N344" s="4"/>
      <c r="O344" s="4"/>
      <c r="P344" s="4"/>
      <c r="Q344" s="4"/>
      <c r="R344" s="1126"/>
      <c r="S344" s="711"/>
    </row>
    <row r="345" spans="1:19" ht="15.75" hidden="1" customHeight="1">
      <c r="A345" s="4"/>
      <c r="B345" s="4"/>
      <c r="C345" s="4"/>
      <c r="D345" s="4"/>
      <c r="E345" s="4"/>
      <c r="F345" s="4"/>
      <c r="G345" s="4"/>
      <c r="H345" s="4"/>
      <c r="I345" s="1124"/>
      <c r="J345" s="4"/>
      <c r="K345" s="4"/>
      <c r="L345" s="4"/>
      <c r="M345" s="4"/>
      <c r="N345" s="4"/>
      <c r="O345" s="4"/>
      <c r="P345" s="4"/>
      <c r="Q345" s="4"/>
      <c r="R345" s="1126"/>
      <c r="S345" s="711"/>
    </row>
    <row r="346" spans="1:19" ht="15.75" hidden="1" customHeight="1">
      <c r="A346" s="4"/>
      <c r="B346" s="4"/>
      <c r="C346" s="4"/>
      <c r="D346" s="4"/>
      <c r="E346" s="4"/>
      <c r="F346" s="4"/>
      <c r="G346" s="4"/>
      <c r="H346" s="4"/>
      <c r="I346" s="1124"/>
      <c r="J346" s="4"/>
      <c r="K346" s="4"/>
      <c r="L346" s="4"/>
      <c r="M346" s="4"/>
      <c r="N346" s="4"/>
      <c r="O346" s="4"/>
      <c r="P346" s="4"/>
      <c r="Q346" s="4"/>
      <c r="R346" s="1126"/>
      <c r="S346" s="711"/>
    </row>
    <row r="347" spans="1:19" ht="15.75" hidden="1" customHeight="1">
      <c r="A347" s="4"/>
      <c r="B347" s="4"/>
      <c r="C347" s="4"/>
      <c r="D347" s="4"/>
      <c r="E347" s="4"/>
      <c r="F347" s="4"/>
      <c r="G347" s="4"/>
      <c r="H347" s="4"/>
      <c r="I347" s="1124"/>
      <c r="J347" s="4"/>
      <c r="K347" s="4"/>
      <c r="L347" s="4"/>
      <c r="M347" s="4"/>
      <c r="N347" s="4"/>
      <c r="O347" s="4"/>
      <c r="P347" s="4"/>
      <c r="Q347" s="4"/>
      <c r="R347" s="1126"/>
      <c r="S347" s="711"/>
    </row>
    <row r="348" spans="1:19" ht="15.75" hidden="1" customHeight="1">
      <c r="A348" s="4"/>
      <c r="B348" s="4"/>
      <c r="C348" s="4"/>
      <c r="D348" s="4"/>
      <c r="E348" s="4"/>
      <c r="F348" s="4"/>
      <c r="G348" s="4"/>
      <c r="H348" s="4"/>
      <c r="I348" s="1124"/>
      <c r="J348" s="4"/>
      <c r="K348" s="4"/>
      <c r="L348" s="4"/>
      <c r="M348" s="4"/>
      <c r="N348" s="4"/>
      <c r="O348" s="4"/>
      <c r="P348" s="4"/>
      <c r="Q348" s="4"/>
      <c r="R348" s="1126"/>
      <c r="S348" s="711"/>
    </row>
    <row r="349" spans="1:19" ht="15.75" hidden="1" customHeight="1">
      <c r="A349" s="4"/>
      <c r="B349" s="4"/>
      <c r="C349" s="4"/>
      <c r="D349" s="4"/>
      <c r="E349" s="4"/>
      <c r="F349" s="4"/>
      <c r="G349" s="4"/>
      <c r="H349" s="4"/>
      <c r="I349" s="1124"/>
      <c r="J349" s="4"/>
      <c r="K349" s="4"/>
      <c r="L349" s="4"/>
      <c r="M349" s="4"/>
      <c r="N349" s="4"/>
      <c r="O349" s="4"/>
      <c r="P349" s="4"/>
      <c r="Q349" s="4"/>
      <c r="R349" s="1126"/>
      <c r="S349" s="711"/>
    </row>
    <row r="350" spans="1:19" ht="15.75" hidden="1" customHeight="1">
      <c r="A350" s="4"/>
      <c r="B350" s="4"/>
      <c r="C350" s="4"/>
      <c r="D350" s="4"/>
      <c r="E350" s="4"/>
      <c r="F350" s="4"/>
      <c r="G350" s="4"/>
      <c r="H350" s="4"/>
      <c r="I350" s="1124"/>
      <c r="J350" s="4"/>
      <c r="K350" s="4"/>
      <c r="L350" s="4"/>
      <c r="M350" s="4"/>
      <c r="N350" s="4"/>
      <c r="O350" s="4"/>
      <c r="P350" s="4"/>
      <c r="Q350" s="4"/>
      <c r="R350" s="1126"/>
      <c r="S350" s="711"/>
    </row>
    <row r="351" spans="1:19" ht="15.75" hidden="1" customHeight="1">
      <c r="A351" s="4"/>
      <c r="B351" s="4"/>
      <c r="C351" s="4"/>
      <c r="D351" s="4"/>
      <c r="E351" s="4"/>
      <c r="F351" s="4"/>
      <c r="G351" s="4"/>
      <c r="H351" s="4"/>
      <c r="I351" s="1124"/>
      <c r="J351" s="4"/>
      <c r="K351" s="4"/>
      <c r="L351" s="4"/>
      <c r="M351" s="4"/>
      <c r="N351" s="4"/>
      <c r="O351" s="4"/>
      <c r="P351" s="4"/>
      <c r="Q351" s="4"/>
      <c r="R351" s="1126"/>
      <c r="S351" s="711"/>
    </row>
    <row r="352" spans="1:19" ht="15.75" hidden="1" customHeight="1">
      <c r="A352" s="4"/>
      <c r="B352" s="4"/>
      <c r="C352" s="4"/>
      <c r="D352" s="4"/>
      <c r="E352" s="4"/>
      <c r="F352" s="4"/>
      <c r="G352" s="4"/>
      <c r="H352" s="4"/>
      <c r="I352" s="1124"/>
      <c r="J352" s="4"/>
      <c r="K352" s="4"/>
      <c r="L352" s="4"/>
      <c r="M352" s="4"/>
      <c r="N352" s="4"/>
      <c r="O352" s="4"/>
      <c r="P352" s="4"/>
      <c r="Q352" s="4"/>
      <c r="R352" s="1126"/>
      <c r="S352" s="711"/>
    </row>
    <row r="353" spans="1:19" ht="15.75" hidden="1" customHeight="1">
      <c r="A353" s="4"/>
      <c r="B353" s="4"/>
      <c r="C353" s="4"/>
      <c r="D353" s="4"/>
      <c r="E353" s="4"/>
      <c r="F353" s="4"/>
      <c r="G353" s="4"/>
      <c r="H353" s="4"/>
      <c r="I353" s="1124"/>
      <c r="J353" s="4"/>
      <c r="K353" s="4"/>
      <c r="L353" s="4"/>
      <c r="M353" s="4"/>
      <c r="N353" s="4"/>
      <c r="O353" s="4"/>
      <c r="P353" s="4"/>
      <c r="Q353" s="4"/>
      <c r="R353" s="1126"/>
      <c r="S353" s="711"/>
    </row>
    <row r="354" spans="1:19" ht="15.75" hidden="1" customHeight="1">
      <c r="A354" s="4"/>
      <c r="B354" s="4"/>
      <c r="C354" s="4"/>
      <c r="D354" s="4"/>
      <c r="E354" s="4"/>
      <c r="F354" s="4"/>
      <c r="G354" s="4"/>
      <c r="H354" s="4"/>
      <c r="I354" s="1124"/>
      <c r="J354" s="4"/>
      <c r="K354" s="4"/>
      <c r="L354" s="4"/>
      <c r="M354" s="4"/>
      <c r="N354" s="4"/>
      <c r="O354" s="4"/>
      <c r="P354" s="4"/>
      <c r="Q354" s="4"/>
      <c r="R354" s="1126"/>
      <c r="S354" s="711"/>
    </row>
    <row r="355" spans="1:19" ht="15.75" hidden="1" customHeight="1">
      <c r="A355" s="4"/>
      <c r="B355" s="4"/>
      <c r="C355" s="4"/>
      <c r="D355" s="4"/>
      <c r="E355" s="4"/>
      <c r="F355" s="4"/>
      <c r="G355" s="4"/>
      <c r="H355" s="4"/>
      <c r="I355" s="1124"/>
      <c r="J355" s="4"/>
      <c r="K355" s="4"/>
      <c r="L355" s="4"/>
      <c r="M355" s="4"/>
      <c r="N355" s="4"/>
      <c r="O355" s="4"/>
      <c r="P355" s="4"/>
      <c r="Q355" s="4"/>
      <c r="R355" s="1126"/>
      <c r="S355" s="711"/>
    </row>
    <row r="356" spans="1:19" ht="15.75" hidden="1" customHeight="1">
      <c r="A356" s="4"/>
      <c r="B356" s="4"/>
      <c r="C356" s="4"/>
      <c r="D356" s="4"/>
      <c r="E356" s="4"/>
      <c r="F356" s="4"/>
      <c r="G356" s="4"/>
      <c r="H356" s="4"/>
      <c r="I356" s="1124"/>
      <c r="J356" s="4"/>
      <c r="K356" s="4"/>
      <c r="L356" s="4"/>
      <c r="M356" s="4"/>
      <c r="N356" s="4"/>
      <c r="O356" s="4"/>
      <c r="P356" s="4"/>
      <c r="Q356" s="4"/>
      <c r="R356" s="1126"/>
      <c r="S356" s="711"/>
    </row>
    <row r="357" spans="1:19" ht="15.75" hidden="1" customHeight="1">
      <c r="A357" s="4"/>
      <c r="B357" s="4"/>
      <c r="C357" s="4"/>
      <c r="D357" s="4"/>
      <c r="E357" s="4"/>
      <c r="F357" s="4"/>
      <c r="G357" s="4"/>
      <c r="H357" s="4"/>
      <c r="I357" s="1124"/>
      <c r="J357" s="4"/>
      <c r="K357" s="4"/>
      <c r="L357" s="4"/>
      <c r="M357" s="4"/>
      <c r="N357" s="4"/>
      <c r="O357" s="4"/>
      <c r="P357" s="4"/>
      <c r="Q357" s="4"/>
      <c r="R357" s="1126"/>
      <c r="S357" s="711"/>
    </row>
    <row r="358" spans="1:19" ht="15.75" hidden="1" customHeight="1">
      <c r="A358" s="4"/>
      <c r="B358" s="4"/>
      <c r="C358" s="4"/>
      <c r="D358" s="4"/>
      <c r="E358" s="4"/>
      <c r="F358" s="4"/>
      <c r="G358" s="4"/>
      <c r="H358" s="4"/>
      <c r="I358" s="1124"/>
      <c r="J358" s="4"/>
      <c r="K358" s="4"/>
      <c r="L358" s="4"/>
      <c r="M358" s="4"/>
      <c r="N358" s="4"/>
      <c r="O358" s="4"/>
      <c r="P358" s="4"/>
      <c r="Q358" s="4"/>
      <c r="R358" s="1126"/>
      <c r="S358" s="711"/>
    </row>
    <row r="359" spans="1:19" ht="15.75" hidden="1" customHeight="1">
      <c r="A359" s="4"/>
      <c r="B359" s="4"/>
      <c r="C359" s="4"/>
      <c r="D359" s="4"/>
      <c r="E359" s="4"/>
      <c r="F359" s="4"/>
      <c r="G359" s="4"/>
      <c r="H359" s="4"/>
      <c r="I359" s="1124"/>
      <c r="J359" s="4"/>
      <c r="K359" s="4"/>
      <c r="L359" s="4"/>
      <c r="M359" s="4"/>
      <c r="N359" s="4"/>
      <c r="O359" s="4"/>
      <c r="P359" s="4"/>
      <c r="Q359" s="4"/>
      <c r="R359" s="1126"/>
      <c r="S359" s="711"/>
    </row>
    <row r="360" spans="1:19" ht="15.75" hidden="1" customHeight="1">
      <c r="A360" s="4"/>
      <c r="B360" s="4"/>
      <c r="C360" s="4"/>
      <c r="D360" s="4"/>
      <c r="E360" s="4"/>
      <c r="F360" s="4"/>
      <c r="G360" s="4"/>
      <c r="H360" s="4"/>
      <c r="I360" s="1124"/>
      <c r="J360" s="4"/>
      <c r="K360" s="4"/>
      <c r="L360" s="4"/>
      <c r="M360" s="4"/>
      <c r="N360" s="4"/>
      <c r="O360" s="4"/>
      <c r="P360" s="4"/>
      <c r="Q360" s="4"/>
      <c r="R360" s="1126"/>
      <c r="S360" s="711"/>
    </row>
    <row r="361" spans="1:19" ht="15.75" hidden="1" customHeight="1">
      <c r="A361" s="4"/>
      <c r="B361" s="4"/>
      <c r="C361" s="4"/>
      <c r="D361" s="4"/>
      <c r="E361" s="4"/>
      <c r="F361" s="4"/>
      <c r="G361" s="4"/>
      <c r="H361" s="4"/>
      <c r="I361" s="1124"/>
      <c r="J361" s="4"/>
      <c r="K361" s="4"/>
      <c r="L361" s="4"/>
      <c r="M361" s="4"/>
      <c r="N361" s="4"/>
      <c r="O361" s="4"/>
      <c r="P361" s="4"/>
      <c r="Q361" s="4"/>
      <c r="R361" s="1126"/>
      <c r="S361" s="711"/>
    </row>
    <row r="362" spans="1:19" ht="15.75" hidden="1" customHeight="1">
      <c r="A362" s="4"/>
      <c r="B362" s="4"/>
      <c r="C362" s="4"/>
      <c r="D362" s="4"/>
      <c r="E362" s="4"/>
      <c r="F362" s="4"/>
      <c r="G362" s="4"/>
      <c r="H362" s="4"/>
      <c r="I362" s="1124"/>
      <c r="J362" s="4"/>
      <c r="K362" s="4"/>
      <c r="L362" s="4"/>
      <c r="M362" s="4"/>
      <c r="N362" s="4"/>
      <c r="O362" s="4"/>
      <c r="P362" s="4"/>
      <c r="Q362" s="4"/>
      <c r="R362" s="1126"/>
      <c r="S362" s="711"/>
    </row>
    <row r="363" spans="1:19" ht="15.75" hidden="1" customHeight="1">
      <c r="A363" s="4"/>
      <c r="B363" s="4"/>
      <c r="C363" s="4"/>
      <c r="D363" s="4"/>
      <c r="E363" s="4"/>
      <c r="F363" s="4"/>
      <c r="G363" s="4"/>
      <c r="H363" s="4"/>
      <c r="I363" s="1124"/>
      <c r="J363" s="4"/>
      <c r="K363" s="4"/>
      <c r="L363" s="4"/>
      <c r="M363" s="4"/>
      <c r="N363" s="4"/>
      <c r="O363" s="4"/>
      <c r="P363" s="4"/>
      <c r="Q363" s="4"/>
      <c r="R363" s="1126"/>
      <c r="S363" s="711"/>
    </row>
    <row r="364" spans="1:19" ht="15.75" hidden="1" customHeight="1">
      <c r="A364" s="4"/>
      <c r="B364" s="4"/>
      <c r="C364" s="4"/>
      <c r="D364" s="4"/>
      <c r="E364" s="4"/>
      <c r="F364" s="4"/>
      <c r="G364" s="4"/>
      <c r="H364" s="4"/>
      <c r="I364" s="1124"/>
      <c r="J364" s="4"/>
      <c r="K364" s="4"/>
      <c r="L364" s="4"/>
      <c r="M364" s="4"/>
      <c r="N364" s="4"/>
      <c r="O364" s="4"/>
      <c r="P364" s="4"/>
      <c r="Q364" s="4"/>
      <c r="R364" s="1126"/>
      <c r="S364" s="711"/>
    </row>
    <row r="365" spans="1:19" ht="15.75" hidden="1" customHeight="1">
      <c r="A365" s="4"/>
      <c r="B365" s="4"/>
      <c r="C365" s="4"/>
      <c r="D365" s="4"/>
      <c r="E365" s="4"/>
      <c r="F365" s="4"/>
      <c r="G365" s="4"/>
      <c r="H365" s="4"/>
      <c r="I365" s="1124"/>
      <c r="J365" s="4"/>
      <c r="K365" s="4"/>
      <c r="L365" s="4"/>
      <c r="M365" s="4"/>
      <c r="N365" s="4"/>
      <c r="O365" s="4"/>
      <c r="P365" s="4"/>
      <c r="Q365" s="4"/>
      <c r="R365" s="1126"/>
      <c r="S365" s="711"/>
    </row>
    <row r="366" spans="1:19" ht="15.75" hidden="1" customHeight="1">
      <c r="A366" s="4"/>
      <c r="B366" s="4"/>
      <c r="C366" s="4"/>
      <c r="D366" s="4"/>
      <c r="E366" s="4"/>
      <c r="F366" s="4"/>
      <c r="G366" s="4"/>
      <c r="H366" s="4"/>
      <c r="I366" s="1124"/>
      <c r="J366" s="4"/>
      <c r="K366" s="4"/>
      <c r="L366" s="4"/>
      <c r="M366" s="4"/>
      <c r="N366" s="4"/>
      <c r="O366" s="4"/>
      <c r="P366" s="4"/>
      <c r="Q366" s="4"/>
      <c r="R366" s="1126"/>
      <c r="S366" s="711"/>
    </row>
    <row r="367" spans="1:19" ht="15.75" hidden="1" customHeight="1">
      <c r="A367" s="4"/>
      <c r="B367" s="4"/>
      <c r="C367" s="4"/>
      <c r="D367" s="4"/>
      <c r="E367" s="4"/>
      <c r="F367" s="4"/>
      <c r="G367" s="4"/>
      <c r="H367" s="4"/>
      <c r="I367" s="1124"/>
      <c r="J367" s="4"/>
      <c r="K367" s="4"/>
      <c r="L367" s="4"/>
      <c r="M367" s="4"/>
      <c r="N367" s="4"/>
      <c r="O367" s="4"/>
      <c r="P367" s="4"/>
      <c r="Q367" s="4"/>
      <c r="R367" s="1126"/>
      <c r="S367" s="711"/>
    </row>
    <row r="368" spans="1:19" ht="15.75" hidden="1" customHeight="1">
      <c r="A368" s="4"/>
      <c r="B368" s="4"/>
      <c r="C368" s="4"/>
      <c r="D368" s="4"/>
      <c r="E368" s="4"/>
      <c r="F368" s="4"/>
      <c r="G368" s="4"/>
      <c r="H368" s="4"/>
      <c r="I368" s="1124"/>
      <c r="J368" s="4"/>
      <c r="K368" s="4"/>
      <c r="L368" s="4"/>
      <c r="M368" s="4"/>
      <c r="N368" s="4"/>
      <c r="O368" s="4"/>
      <c r="P368" s="4"/>
      <c r="Q368" s="4"/>
      <c r="R368" s="1126"/>
      <c r="S368" s="711"/>
    </row>
    <row r="369" spans="1:19" ht="15.75" hidden="1" customHeight="1">
      <c r="A369" s="4"/>
      <c r="B369" s="4"/>
      <c r="C369" s="4"/>
      <c r="D369" s="4"/>
      <c r="E369" s="4"/>
      <c r="F369" s="4"/>
      <c r="G369" s="4"/>
      <c r="H369" s="4"/>
      <c r="I369" s="1124"/>
      <c r="J369" s="4"/>
      <c r="K369" s="4"/>
      <c r="L369" s="4"/>
      <c r="M369" s="4"/>
      <c r="N369" s="4"/>
      <c r="O369" s="4"/>
      <c r="P369" s="4"/>
      <c r="Q369" s="4"/>
      <c r="R369" s="1126"/>
      <c r="S369" s="711"/>
    </row>
    <row r="370" spans="1:19" ht="15.75" hidden="1" customHeight="1">
      <c r="A370" s="4"/>
      <c r="B370" s="4"/>
      <c r="C370" s="4"/>
      <c r="D370" s="4"/>
      <c r="E370" s="4"/>
      <c r="F370" s="4"/>
      <c r="G370" s="4"/>
      <c r="H370" s="4"/>
      <c r="I370" s="1124"/>
      <c r="J370" s="4"/>
      <c r="K370" s="4"/>
      <c r="L370" s="4"/>
      <c r="M370" s="4"/>
      <c r="N370" s="4"/>
      <c r="O370" s="4"/>
      <c r="P370" s="4"/>
      <c r="Q370" s="4"/>
      <c r="R370" s="1126"/>
      <c r="S370" s="711"/>
    </row>
    <row r="371" spans="1:19" ht="15.75" hidden="1" customHeight="1">
      <c r="A371" s="4"/>
      <c r="B371" s="4"/>
      <c r="C371" s="4"/>
      <c r="D371" s="4"/>
      <c r="E371" s="4"/>
      <c r="F371" s="4"/>
      <c r="G371" s="4"/>
      <c r="H371" s="4"/>
      <c r="I371" s="1124"/>
      <c r="J371" s="4"/>
      <c r="K371" s="4"/>
      <c r="L371" s="4"/>
      <c r="M371" s="4"/>
      <c r="N371" s="4"/>
      <c r="O371" s="4"/>
      <c r="P371" s="4"/>
      <c r="Q371" s="4"/>
      <c r="R371" s="1126"/>
      <c r="S371" s="711"/>
    </row>
    <row r="372" spans="1:19" ht="15.75" hidden="1" customHeight="1">
      <c r="A372" s="4"/>
      <c r="B372" s="4"/>
      <c r="C372" s="4"/>
      <c r="D372" s="4"/>
      <c r="E372" s="4"/>
      <c r="F372" s="4"/>
      <c r="G372" s="4"/>
      <c r="H372" s="4"/>
      <c r="I372" s="1124"/>
      <c r="J372" s="4"/>
      <c r="K372" s="4"/>
      <c r="L372" s="4"/>
      <c r="M372" s="4"/>
      <c r="N372" s="4"/>
      <c r="O372" s="4"/>
      <c r="P372" s="4"/>
      <c r="Q372" s="4"/>
      <c r="R372" s="1126"/>
      <c r="S372" s="711"/>
    </row>
    <row r="373" spans="1:19" ht="15.75" hidden="1" customHeight="1">
      <c r="A373" s="4"/>
      <c r="B373" s="4"/>
      <c r="C373" s="4"/>
      <c r="D373" s="4"/>
      <c r="E373" s="4"/>
      <c r="F373" s="4"/>
      <c r="G373" s="4"/>
      <c r="H373" s="4"/>
      <c r="I373" s="1124"/>
      <c r="J373" s="4"/>
      <c r="K373" s="4"/>
      <c r="L373" s="4"/>
      <c r="M373" s="4"/>
      <c r="N373" s="4"/>
      <c r="O373" s="4"/>
      <c r="P373" s="4"/>
      <c r="Q373" s="4"/>
      <c r="R373" s="1126"/>
      <c r="S373" s="711"/>
    </row>
    <row r="374" spans="1:19" ht="15.75" hidden="1" customHeight="1">
      <c r="A374" s="4"/>
      <c r="B374" s="4"/>
      <c r="C374" s="4"/>
      <c r="D374" s="4"/>
      <c r="E374" s="4"/>
      <c r="F374" s="4"/>
      <c r="G374" s="4"/>
      <c r="H374" s="4"/>
      <c r="I374" s="1124"/>
      <c r="J374" s="4"/>
      <c r="K374" s="4"/>
      <c r="L374" s="4"/>
      <c r="M374" s="4"/>
      <c r="N374" s="4"/>
      <c r="O374" s="4"/>
      <c r="P374" s="4"/>
      <c r="Q374" s="4"/>
      <c r="R374" s="1126"/>
      <c r="S374" s="711"/>
    </row>
    <row r="375" spans="1:19" ht="15.75" hidden="1" customHeight="1">
      <c r="A375" s="4"/>
      <c r="B375" s="4"/>
      <c r="C375" s="4"/>
      <c r="D375" s="4"/>
      <c r="E375" s="4"/>
      <c r="F375" s="4"/>
      <c r="G375" s="4"/>
      <c r="H375" s="4"/>
      <c r="I375" s="1124"/>
      <c r="J375" s="4"/>
      <c r="K375" s="4"/>
      <c r="L375" s="4"/>
      <c r="M375" s="4"/>
      <c r="N375" s="4"/>
      <c r="O375" s="4"/>
      <c r="P375" s="4"/>
      <c r="Q375" s="4"/>
      <c r="R375" s="1126"/>
      <c r="S375" s="711"/>
    </row>
    <row r="376" spans="1:19" ht="15.75" hidden="1" customHeight="1">
      <c r="A376" s="4"/>
      <c r="B376" s="4"/>
      <c r="C376" s="4"/>
      <c r="D376" s="4"/>
      <c r="E376" s="4"/>
      <c r="F376" s="4"/>
      <c r="G376" s="4"/>
      <c r="H376" s="4"/>
      <c r="I376" s="1124"/>
      <c r="J376" s="4"/>
      <c r="K376" s="4"/>
      <c r="L376" s="4"/>
      <c r="M376" s="4"/>
      <c r="N376" s="4"/>
      <c r="O376" s="4"/>
      <c r="P376" s="4"/>
      <c r="Q376" s="4"/>
      <c r="R376" s="1126"/>
      <c r="S376" s="711"/>
    </row>
    <row r="377" spans="1:19" ht="15.75" hidden="1" customHeight="1">
      <c r="A377" s="4"/>
      <c r="B377" s="4"/>
      <c r="C377" s="4"/>
      <c r="D377" s="4"/>
      <c r="E377" s="4"/>
      <c r="F377" s="4"/>
      <c r="G377" s="4"/>
      <c r="H377" s="4"/>
      <c r="I377" s="1124"/>
      <c r="J377" s="4"/>
      <c r="K377" s="4"/>
      <c r="L377" s="4"/>
      <c r="M377" s="4"/>
      <c r="N377" s="4"/>
      <c r="O377" s="4"/>
      <c r="P377" s="4"/>
      <c r="Q377" s="4"/>
      <c r="R377" s="1126"/>
      <c r="S377" s="711"/>
    </row>
    <row r="378" spans="1:19" ht="15.75" hidden="1" customHeight="1">
      <c r="A378" s="4"/>
      <c r="B378" s="4"/>
      <c r="C378" s="4"/>
      <c r="D378" s="4"/>
      <c r="E378" s="4"/>
      <c r="F378" s="4"/>
      <c r="G378" s="4"/>
      <c r="H378" s="4"/>
      <c r="I378" s="1124"/>
      <c r="J378" s="4"/>
      <c r="K378" s="4"/>
      <c r="L378" s="4"/>
      <c r="M378" s="4"/>
      <c r="N378" s="4"/>
      <c r="O378" s="4"/>
      <c r="P378" s="4"/>
      <c r="Q378" s="4"/>
      <c r="R378" s="1126"/>
      <c r="S378" s="711"/>
    </row>
    <row r="379" spans="1:19" ht="15.75" hidden="1" customHeight="1">
      <c r="A379" s="4"/>
      <c r="B379" s="4"/>
      <c r="C379" s="4"/>
      <c r="D379" s="4"/>
      <c r="E379" s="4"/>
      <c r="F379" s="4"/>
      <c r="G379" s="4"/>
      <c r="H379" s="4"/>
      <c r="I379" s="1124"/>
      <c r="J379" s="4"/>
      <c r="K379" s="4"/>
      <c r="L379" s="4"/>
      <c r="M379" s="4"/>
      <c r="N379" s="4"/>
      <c r="O379" s="4"/>
      <c r="P379" s="4"/>
      <c r="Q379" s="4"/>
      <c r="R379" s="1126"/>
      <c r="S379" s="711"/>
    </row>
    <row r="380" spans="1:19" ht="15.75" hidden="1" customHeight="1">
      <c r="A380" s="4"/>
      <c r="B380" s="4"/>
      <c r="C380" s="4"/>
      <c r="D380" s="4"/>
      <c r="E380" s="4"/>
      <c r="F380" s="4"/>
      <c r="G380" s="4"/>
      <c r="H380" s="4"/>
      <c r="I380" s="1124"/>
      <c r="J380" s="4"/>
      <c r="K380" s="4"/>
      <c r="L380" s="4"/>
      <c r="M380" s="4"/>
      <c r="N380" s="4"/>
      <c r="O380" s="4"/>
      <c r="P380" s="4"/>
      <c r="Q380" s="4"/>
      <c r="R380" s="1126"/>
      <c r="S380" s="711"/>
    </row>
    <row r="381" spans="1:19" ht="15.75" hidden="1" customHeight="1">
      <c r="A381" s="4"/>
      <c r="B381" s="4"/>
      <c r="C381" s="4"/>
      <c r="D381" s="4"/>
      <c r="E381" s="4"/>
      <c r="F381" s="4"/>
      <c r="G381" s="4"/>
      <c r="H381" s="4"/>
      <c r="I381" s="1124"/>
      <c r="J381" s="4"/>
      <c r="K381" s="4"/>
      <c r="L381" s="4"/>
      <c r="M381" s="4"/>
      <c r="N381" s="4"/>
      <c r="O381" s="4"/>
      <c r="P381" s="4"/>
      <c r="Q381" s="4"/>
      <c r="R381" s="1126"/>
      <c r="S381" s="711"/>
    </row>
    <row r="382" spans="1:19" ht="15.75" hidden="1" customHeight="1">
      <c r="A382" s="4"/>
      <c r="B382" s="4"/>
      <c r="C382" s="4"/>
      <c r="D382" s="4"/>
      <c r="E382" s="4"/>
      <c r="F382" s="4"/>
      <c r="G382" s="4"/>
      <c r="H382" s="4"/>
      <c r="I382" s="1124"/>
      <c r="J382" s="4"/>
      <c r="K382" s="4"/>
      <c r="L382" s="4"/>
      <c r="M382" s="4"/>
      <c r="N382" s="4"/>
      <c r="O382" s="4"/>
      <c r="P382" s="4"/>
      <c r="Q382" s="4"/>
      <c r="R382" s="1126"/>
      <c r="S382" s="711"/>
    </row>
    <row r="383" spans="1:19" ht="15.75" hidden="1" customHeight="1">
      <c r="A383" s="4"/>
      <c r="B383" s="4"/>
      <c r="C383" s="4"/>
      <c r="D383" s="4"/>
      <c r="E383" s="4"/>
      <c r="F383" s="4"/>
      <c r="G383" s="4"/>
      <c r="H383" s="4"/>
      <c r="I383" s="1124"/>
      <c r="J383" s="4"/>
      <c r="K383" s="4"/>
      <c r="L383" s="4"/>
      <c r="M383" s="4"/>
      <c r="N383" s="4"/>
      <c r="O383" s="4"/>
      <c r="P383" s="4"/>
      <c r="Q383" s="4"/>
      <c r="R383" s="1126"/>
      <c r="S383" s="711"/>
    </row>
    <row r="384" spans="1:19" ht="15.75" hidden="1" customHeight="1">
      <c r="A384" s="4"/>
      <c r="B384" s="4"/>
      <c r="C384" s="4"/>
      <c r="D384" s="4"/>
      <c r="E384" s="4"/>
      <c r="F384" s="4"/>
      <c r="G384" s="4"/>
      <c r="H384" s="4"/>
      <c r="I384" s="1124"/>
      <c r="J384" s="4"/>
      <c r="K384" s="4"/>
      <c r="L384" s="4"/>
      <c r="M384" s="4"/>
      <c r="N384" s="4"/>
      <c r="O384" s="4"/>
      <c r="P384" s="4"/>
      <c r="Q384" s="4"/>
      <c r="R384" s="1126"/>
      <c r="S384" s="711"/>
    </row>
    <row r="385" spans="1:19" ht="15.75" hidden="1" customHeight="1">
      <c r="A385" s="4"/>
      <c r="B385" s="4"/>
      <c r="C385" s="4"/>
      <c r="D385" s="4"/>
      <c r="E385" s="4"/>
      <c r="F385" s="4"/>
      <c r="G385" s="4"/>
      <c r="H385" s="4"/>
      <c r="I385" s="1124"/>
      <c r="J385" s="4"/>
      <c r="K385" s="4"/>
      <c r="L385" s="4"/>
      <c r="M385" s="4"/>
      <c r="N385" s="4"/>
      <c r="O385" s="4"/>
      <c r="P385" s="4"/>
      <c r="Q385" s="4"/>
      <c r="R385" s="1126"/>
      <c r="S385" s="711"/>
    </row>
    <row r="386" spans="1:19" ht="15.75" hidden="1" customHeight="1">
      <c r="A386" s="4"/>
      <c r="B386" s="4"/>
      <c r="C386" s="4"/>
      <c r="D386" s="4"/>
      <c r="E386" s="4"/>
      <c r="F386" s="4"/>
      <c r="G386" s="4"/>
      <c r="H386" s="4"/>
      <c r="I386" s="1124"/>
      <c r="J386" s="4"/>
      <c r="K386" s="4"/>
      <c r="L386" s="4"/>
      <c r="M386" s="4"/>
      <c r="N386" s="4"/>
      <c r="O386" s="4"/>
      <c r="P386" s="4"/>
      <c r="Q386" s="4"/>
      <c r="R386" s="1126"/>
      <c r="S386" s="711"/>
    </row>
    <row r="387" spans="1:19" ht="15.75" hidden="1" customHeight="1">
      <c r="A387" s="4"/>
      <c r="B387" s="4"/>
      <c r="C387" s="4"/>
      <c r="D387" s="4"/>
      <c r="E387" s="4"/>
      <c r="F387" s="4"/>
      <c r="G387" s="4"/>
      <c r="H387" s="4"/>
      <c r="I387" s="1124"/>
      <c r="J387" s="4"/>
      <c r="K387" s="4"/>
      <c r="L387" s="4"/>
      <c r="M387" s="4"/>
      <c r="N387" s="4"/>
      <c r="O387" s="4"/>
      <c r="P387" s="4"/>
      <c r="Q387" s="4"/>
      <c r="R387" s="1126"/>
      <c r="S387" s="711"/>
    </row>
    <row r="388" spans="1:19" ht="15.75" hidden="1" customHeight="1">
      <c r="A388" s="4"/>
      <c r="B388" s="4"/>
      <c r="C388" s="4"/>
      <c r="D388" s="4"/>
      <c r="E388" s="4"/>
      <c r="F388" s="4"/>
      <c r="G388" s="4"/>
      <c r="H388" s="4"/>
      <c r="I388" s="1124"/>
      <c r="J388" s="4"/>
      <c r="K388" s="4"/>
      <c r="L388" s="4"/>
      <c r="M388" s="4"/>
      <c r="N388" s="4"/>
      <c r="O388" s="4"/>
      <c r="P388" s="4"/>
      <c r="Q388" s="4"/>
      <c r="R388" s="1126"/>
      <c r="S388" s="711"/>
    </row>
    <row r="389" spans="1:19" ht="15.75" hidden="1" customHeight="1">
      <c r="A389" s="4"/>
      <c r="B389" s="4"/>
      <c r="C389" s="4"/>
      <c r="D389" s="4"/>
      <c r="E389" s="4"/>
      <c r="F389" s="4"/>
      <c r="G389" s="4"/>
      <c r="H389" s="4"/>
      <c r="I389" s="1124"/>
      <c r="J389" s="4"/>
      <c r="K389" s="4"/>
      <c r="L389" s="4"/>
      <c r="M389" s="4"/>
      <c r="N389" s="4"/>
      <c r="O389" s="4"/>
      <c r="P389" s="4"/>
      <c r="Q389" s="4"/>
      <c r="R389" s="1126"/>
      <c r="S389" s="711"/>
    </row>
    <row r="390" spans="1:19" ht="15.75" hidden="1" customHeight="1">
      <c r="A390" s="4"/>
      <c r="B390" s="4"/>
      <c r="C390" s="4"/>
      <c r="D390" s="4"/>
      <c r="E390" s="4"/>
      <c r="F390" s="4"/>
      <c r="G390" s="4"/>
      <c r="H390" s="4"/>
      <c r="I390" s="1124"/>
      <c r="J390" s="4"/>
      <c r="K390" s="4"/>
      <c r="L390" s="4"/>
      <c r="M390" s="4"/>
      <c r="N390" s="4"/>
      <c r="O390" s="4"/>
      <c r="P390" s="4"/>
      <c r="Q390" s="4"/>
      <c r="R390" s="1126"/>
      <c r="S390" s="711"/>
    </row>
    <row r="391" spans="1:19" ht="15.75" hidden="1" customHeight="1">
      <c r="A391" s="4"/>
      <c r="B391" s="4"/>
      <c r="C391" s="4"/>
      <c r="D391" s="4"/>
      <c r="E391" s="4"/>
      <c r="F391" s="4"/>
      <c r="G391" s="4"/>
      <c r="H391" s="4"/>
      <c r="I391" s="1124"/>
      <c r="J391" s="4"/>
      <c r="K391" s="4"/>
      <c r="L391" s="4"/>
      <c r="M391" s="4"/>
      <c r="N391" s="4"/>
      <c r="O391" s="4"/>
      <c r="P391" s="4"/>
      <c r="Q391" s="4"/>
      <c r="R391" s="1126"/>
      <c r="S391" s="711"/>
    </row>
    <row r="392" spans="1:19" ht="15.75" hidden="1" customHeight="1">
      <c r="A392" s="4"/>
      <c r="B392" s="4"/>
      <c r="C392" s="4"/>
      <c r="D392" s="4"/>
      <c r="E392" s="4"/>
      <c r="F392" s="4"/>
      <c r="G392" s="4"/>
      <c r="H392" s="4"/>
      <c r="I392" s="1124"/>
      <c r="J392" s="4"/>
      <c r="K392" s="4"/>
      <c r="L392" s="4"/>
      <c r="M392" s="4"/>
      <c r="N392" s="4"/>
      <c r="O392" s="4"/>
      <c r="P392" s="4"/>
      <c r="Q392" s="4"/>
      <c r="R392" s="1126"/>
      <c r="S392" s="711"/>
    </row>
    <row r="393" spans="1:19" ht="15.75" hidden="1" customHeight="1">
      <c r="A393" s="4"/>
      <c r="B393" s="4"/>
      <c r="C393" s="4"/>
      <c r="D393" s="4"/>
      <c r="E393" s="4"/>
      <c r="F393" s="4"/>
      <c r="G393" s="4"/>
      <c r="H393" s="4"/>
      <c r="I393" s="1124"/>
      <c r="J393" s="4"/>
      <c r="K393" s="4"/>
      <c r="L393" s="4"/>
      <c r="M393" s="4"/>
      <c r="N393" s="4"/>
      <c r="O393" s="4"/>
      <c r="P393" s="4"/>
      <c r="Q393" s="4"/>
      <c r="R393" s="1126"/>
      <c r="S393" s="711"/>
    </row>
    <row r="394" spans="1:19" ht="15.75" hidden="1" customHeight="1">
      <c r="A394" s="4"/>
      <c r="B394" s="4"/>
      <c r="C394" s="4"/>
      <c r="D394" s="4"/>
      <c r="E394" s="4"/>
      <c r="F394" s="4"/>
      <c r="G394" s="4"/>
      <c r="H394" s="4"/>
      <c r="I394" s="1124"/>
      <c r="J394" s="4"/>
      <c r="K394" s="4"/>
      <c r="L394" s="4"/>
      <c r="M394" s="4"/>
      <c r="N394" s="4"/>
      <c r="O394" s="4"/>
      <c r="P394" s="4"/>
      <c r="Q394" s="4"/>
      <c r="R394" s="1126"/>
      <c r="S394" s="711"/>
    </row>
    <row r="395" spans="1:19" ht="15.75" hidden="1" customHeight="1">
      <c r="A395" s="4"/>
      <c r="B395" s="4"/>
      <c r="C395" s="4"/>
      <c r="D395" s="4"/>
      <c r="E395" s="4"/>
      <c r="F395" s="4"/>
      <c r="G395" s="4"/>
      <c r="H395" s="4"/>
      <c r="I395" s="1124"/>
      <c r="J395" s="4"/>
      <c r="K395" s="4"/>
      <c r="L395" s="4"/>
      <c r="M395" s="4"/>
      <c r="N395" s="4"/>
      <c r="O395" s="4"/>
      <c r="P395" s="4"/>
      <c r="Q395" s="4"/>
      <c r="R395" s="1126"/>
      <c r="S395" s="711"/>
    </row>
    <row r="396" spans="1:19" ht="15.75" hidden="1" customHeight="1">
      <c r="A396" s="4"/>
      <c r="B396" s="4"/>
      <c r="C396" s="4"/>
      <c r="D396" s="4"/>
      <c r="E396" s="4"/>
      <c r="F396" s="4"/>
      <c r="G396" s="4"/>
      <c r="H396" s="4"/>
      <c r="I396" s="1124"/>
      <c r="J396" s="4"/>
      <c r="K396" s="4"/>
      <c r="L396" s="4"/>
      <c r="M396" s="4"/>
      <c r="N396" s="4"/>
      <c r="O396" s="4"/>
      <c r="P396" s="4"/>
      <c r="Q396" s="4"/>
      <c r="R396" s="1126"/>
      <c r="S396" s="711"/>
    </row>
    <row r="397" spans="1:19" ht="15.75" hidden="1" customHeight="1">
      <c r="A397" s="4"/>
      <c r="B397" s="4"/>
      <c r="C397" s="4"/>
      <c r="D397" s="4"/>
      <c r="E397" s="4"/>
      <c r="F397" s="4"/>
      <c r="G397" s="4"/>
      <c r="H397" s="4"/>
      <c r="I397" s="1124"/>
      <c r="J397" s="4"/>
      <c r="K397" s="4"/>
      <c r="L397" s="4"/>
      <c r="M397" s="4"/>
      <c r="N397" s="4"/>
      <c r="O397" s="4"/>
      <c r="P397" s="4"/>
      <c r="Q397" s="4"/>
      <c r="R397" s="1126"/>
      <c r="S397" s="711"/>
    </row>
    <row r="398" spans="1:19" ht="15.75" hidden="1" customHeight="1">
      <c r="A398" s="4"/>
      <c r="B398" s="4"/>
      <c r="C398" s="4"/>
      <c r="D398" s="4"/>
      <c r="E398" s="4"/>
      <c r="F398" s="4"/>
      <c r="G398" s="4"/>
      <c r="H398" s="4"/>
      <c r="I398" s="1124"/>
      <c r="J398" s="4"/>
      <c r="K398" s="4"/>
      <c r="L398" s="4"/>
      <c r="M398" s="4"/>
      <c r="N398" s="4"/>
      <c r="O398" s="4"/>
      <c r="P398" s="4"/>
      <c r="Q398" s="4"/>
      <c r="R398" s="1126"/>
      <c r="S398" s="711"/>
    </row>
    <row r="399" spans="1:19" ht="15.75" hidden="1" customHeight="1">
      <c r="A399" s="4"/>
      <c r="B399" s="4"/>
      <c r="C399" s="4"/>
      <c r="D399" s="4"/>
      <c r="E399" s="4"/>
      <c r="F399" s="4"/>
      <c r="G399" s="4"/>
      <c r="H399" s="4"/>
      <c r="I399" s="1124"/>
      <c r="J399" s="4"/>
      <c r="K399" s="4"/>
      <c r="L399" s="4"/>
      <c r="M399" s="4"/>
      <c r="N399" s="4"/>
      <c r="O399" s="4"/>
      <c r="P399" s="4"/>
      <c r="Q399" s="4"/>
      <c r="R399" s="1126"/>
      <c r="S399" s="711"/>
    </row>
    <row r="400" spans="1:19" ht="15.75" hidden="1" customHeight="1">
      <c r="A400" s="4"/>
      <c r="B400" s="4"/>
      <c r="C400" s="4"/>
      <c r="D400" s="4"/>
      <c r="E400" s="4"/>
      <c r="F400" s="4"/>
      <c r="G400" s="4"/>
      <c r="H400" s="4"/>
      <c r="I400" s="1124"/>
      <c r="J400" s="4"/>
      <c r="K400" s="4"/>
      <c r="L400" s="4"/>
      <c r="M400" s="4"/>
      <c r="N400" s="4"/>
      <c r="O400" s="4"/>
      <c r="P400" s="4"/>
      <c r="Q400" s="4"/>
      <c r="R400" s="1126"/>
      <c r="S400" s="711"/>
    </row>
    <row r="401" spans="1:19" ht="15.75" hidden="1" customHeight="1">
      <c r="A401" s="4"/>
      <c r="B401" s="4"/>
      <c r="C401" s="4"/>
      <c r="D401" s="4"/>
      <c r="E401" s="4"/>
      <c r="F401" s="4"/>
      <c r="G401" s="4"/>
      <c r="H401" s="4"/>
      <c r="I401" s="1124"/>
      <c r="J401" s="4"/>
      <c r="K401" s="4"/>
      <c r="L401" s="4"/>
      <c r="M401" s="4"/>
      <c r="N401" s="4"/>
      <c r="O401" s="4"/>
      <c r="P401" s="4"/>
      <c r="Q401" s="4"/>
      <c r="R401" s="1126"/>
      <c r="S401" s="711"/>
    </row>
    <row r="402" spans="1:19" ht="15.75" hidden="1" customHeight="1">
      <c r="A402" s="4"/>
      <c r="B402" s="4"/>
      <c r="C402" s="4"/>
      <c r="D402" s="4"/>
      <c r="E402" s="4"/>
      <c r="F402" s="4"/>
      <c r="G402" s="4"/>
      <c r="H402" s="4"/>
      <c r="I402" s="1124"/>
      <c r="J402" s="4"/>
      <c r="K402" s="4"/>
      <c r="L402" s="4"/>
      <c r="M402" s="4"/>
      <c r="N402" s="4"/>
      <c r="O402" s="4"/>
      <c r="P402" s="4"/>
      <c r="Q402" s="4"/>
      <c r="R402" s="1126"/>
      <c r="S402" s="711"/>
    </row>
    <row r="403" spans="1:19" ht="15.75" hidden="1" customHeight="1">
      <c r="A403" s="4"/>
      <c r="B403" s="4"/>
      <c r="C403" s="4"/>
      <c r="D403" s="4"/>
      <c r="E403" s="4"/>
      <c r="F403" s="4"/>
      <c r="G403" s="4"/>
      <c r="H403" s="4"/>
      <c r="I403" s="1124"/>
      <c r="J403" s="4"/>
      <c r="K403" s="4"/>
      <c r="L403" s="4"/>
      <c r="M403" s="4"/>
      <c r="N403" s="4"/>
      <c r="O403" s="4"/>
      <c r="P403" s="4"/>
      <c r="Q403" s="4"/>
      <c r="R403" s="1126"/>
      <c r="S403" s="711"/>
    </row>
    <row r="404" spans="1:19" ht="15.75" hidden="1" customHeight="1">
      <c r="A404" s="4"/>
      <c r="B404" s="4"/>
      <c r="C404" s="4"/>
      <c r="D404" s="4"/>
      <c r="E404" s="4"/>
      <c r="F404" s="4"/>
      <c r="G404" s="4"/>
      <c r="H404" s="4"/>
      <c r="I404" s="1124"/>
      <c r="J404" s="4"/>
      <c r="K404" s="4"/>
      <c r="L404" s="4"/>
      <c r="M404" s="4"/>
      <c r="N404" s="4"/>
      <c r="O404" s="4"/>
      <c r="P404" s="4"/>
      <c r="Q404" s="4"/>
      <c r="R404" s="1126"/>
      <c r="S404" s="711"/>
    </row>
    <row r="405" spans="1:19" ht="15.75" hidden="1" customHeight="1">
      <c r="A405" s="4"/>
      <c r="B405" s="4"/>
      <c r="C405" s="4"/>
      <c r="D405" s="4"/>
      <c r="E405" s="4"/>
      <c r="F405" s="4"/>
      <c r="G405" s="4"/>
      <c r="H405" s="4"/>
      <c r="I405" s="1124"/>
      <c r="J405" s="4"/>
      <c r="K405" s="4"/>
      <c r="L405" s="4"/>
      <c r="M405" s="4"/>
      <c r="N405" s="4"/>
      <c r="O405" s="4"/>
      <c r="P405" s="4"/>
      <c r="Q405" s="4"/>
      <c r="R405" s="1126"/>
      <c r="S405" s="711"/>
    </row>
    <row r="406" spans="1:19" ht="15.75" hidden="1" customHeight="1">
      <c r="A406" s="4"/>
      <c r="B406" s="4"/>
      <c r="C406" s="4"/>
      <c r="D406" s="4"/>
      <c r="E406" s="4"/>
      <c r="F406" s="4"/>
      <c r="G406" s="4"/>
      <c r="H406" s="4"/>
      <c r="I406" s="1124"/>
      <c r="J406" s="4"/>
      <c r="K406" s="4"/>
      <c r="L406" s="4"/>
      <c r="M406" s="4"/>
      <c r="N406" s="4"/>
      <c r="O406" s="4"/>
      <c r="P406" s="4"/>
      <c r="Q406" s="4"/>
      <c r="R406" s="1126"/>
      <c r="S406" s="711"/>
    </row>
    <row r="407" spans="1:19" ht="15.75" hidden="1" customHeight="1">
      <c r="A407" s="4"/>
      <c r="B407" s="4"/>
      <c r="C407" s="4"/>
      <c r="D407" s="4"/>
      <c r="E407" s="4"/>
      <c r="F407" s="4"/>
      <c r="G407" s="4"/>
      <c r="H407" s="4"/>
      <c r="I407" s="1124"/>
      <c r="J407" s="4"/>
      <c r="K407" s="4"/>
      <c r="L407" s="4"/>
      <c r="M407" s="4"/>
      <c r="N407" s="4"/>
      <c r="O407" s="4"/>
      <c r="P407" s="4"/>
      <c r="Q407" s="4"/>
      <c r="R407" s="1126"/>
      <c r="S407" s="711"/>
    </row>
    <row r="408" spans="1:19" ht="15.75" hidden="1" customHeight="1">
      <c r="A408" s="4"/>
      <c r="B408" s="4"/>
      <c r="C408" s="4"/>
      <c r="D408" s="4"/>
      <c r="E408" s="4"/>
      <c r="F408" s="4"/>
      <c r="G408" s="4"/>
      <c r="H408" s="4"/>
      <c r="I408" s="1124"/>
      <c r="J408" s="4"/>
      <c r="K408" s="4"/>
      <c r="L408" s="4"/>
      <c r="M408" s="4"/>
      <c r="N408" s="4"/>
      <c r="O408" s="4"/>
      <c r="P408" s="4"/>
      <c r="Q408" s="4"/>
      <c r="R408" s="1126"/>
      <c r="S408" s="711"/>
    </row>
    <row r="409" spans="1:19" ht="15.75" hidden="1" customHeight="1">
      <c r="A409" s="4"/>
      <c r="B409" s="4"/>
      <c r="C409" s="4"/>
      <c r="D409" s="4"/>
      <c r="E409" s="4"/>
      <c r="F409" s="4"/>
      <c r="G409" s="4"/>
      <c r="H409" s="4"/>
      <c r="I409" s="1124"/>
      <c r="J409" s="4"/>
      <c r="K409" s="4"/>
      <c r="L409" s="4"/>
      <c r="M409" s="4"/>
      <c r="N409" s="4"/>
      <c r="O409" s="4"/>
      <c r="P409" s="4"/>
      <c r="Q409" s="4"/>
      <c r="R409" s="1126"/>
      <c r="S409" s="711"/>
    </row>
    <row r="410" spans="1:19" ht="15.75" hidden="1" customHeight="1">
      <c r="A410" s="4"/>
      <c r="B410" s="4"/>
      <c r="C410" s="4"/>
      <c r="D410" s="4"/>
      <c r="E410" s="4"/>
      <c r="F410" s="4"/>
      <c r="G410" s="4"/>
      <c r="H410" s="4"/>
      <c r="I410" s="1124"/>
      <c r="J410" s="4"/>
      <c r="K410" s="4"/>
      <c r="L410" s="4"/>
      <c r="M410" s="4"/>
      <c r="N410" s="4"/>
      <c r="O410" s="4"/>
      <c r="P410" s="4"/>
      <c r="Q410" s="4"/>
      <c r="R410" s="1126"/>
      <c r="S410" s="711"/>
    </row>
    <row r="411" spans="1:19" ht="15.75" hidden="1" customHeight="1">
      <c r="A411" s="4"/>
      <c r="B411" s="4"/>
      <c r="C411" s="4"/>
      <c r="D411" s="4"/>
      <c r="E411" s="4"/>
      <c r="F411" s="4"/>
      <c r="G411" s="4"/>
      <c r="H411" s="4"/>
      <c r="I411" s="1124"/>
      <c r="J411" s="4"/>
      <c r="K411" s="4"/>
      <c r="L411" s="4"/>
      <c r="M411" s="4"/>
      <c r="N411" s="4"/>
      <c r="O411" s="4"/>
      <c r="P411" s="4"/>
      <c r="Q411" s="4"/>
      <c r="R411" s="1126"/>
      <c r="S411" s="711"/>
    </row>
    <row r="412" spans="1:19" ht="15.75" hidden="1" customHeight="1">
      <c r="A412" s="4"/>
      <c r="B412" s="4"/>
      <c r="C412" s="4"/>
      <c r="D412" s="4"/>
      <c r="E412" s="4"/>
      <c r="F412" s="4"/>
      <c r="G412" s="4"/>
      <c r="H412" s="4"/>
      <c r="I412" s="1124"/>
      <c r="J412" s="4"/>
      <c r="K412" s="4"/>
      <c r="L412" s="4"/>
      <c r="M412" s="4"/>
      <c r="N412" s="4"/>
      <c r="O412" s="4"/>
      <c r="P412" s="4"/>
      <c r="Q412" s="4"/>
      <c r="R412" s="1126"/>
      <c r="S412" s="711"/>
    </row>
    <row r="413" spans="1:19" ht="15.75" hidden="1" customHeight="1">
      <c r="A413" s="4"/>
      <c r="B413" s="4"/>
      <c r="C413" s="4"/>
      <c r="D413" s="4"/>
      <c r="E413" s="4"/>
      <c r="F413" s="4"/>
      <c r="G413" s="4"/>
      <c r="H413" s="4"/>
      <c r="I413" s="1124"/>
      <c r="J413" s="4"/>
      <c r="K413" s="4"/>
      <c r="L413" s="4"/>
      <c r="M413" s="4"/>
      <c r="N413" s="4"/>
      <c r="O413" s="4"/>
      <c r="P413" s="4"/>
      <c r="Q413" s="4"/>
      <c r="R413" s="1126"/>
      <c r="S413" s="711"/>
    </row>
    <row r="414" spans="1:19" ht="15.75" hidden="1" customHeight="1">
      <c r="A414" s="4"/>
      <c r="B414" s="4"/>
      <c r="C414" s="4"/>
      <c r="D414" s="4"/>
      <c r="E414" s="4"/>
      <c r="F414" s="4"/>
      <c r="G414" s="4"/>
      <c r="H414" s="4"/>
      <c r="I414" s="1124"/>
      <c r="J414" s="4"/>
      <c r="K414" s="4"/>
      <c r="L414" s="4"/>
      <c r="M414" s="4"/>
      <c r="N414" s="4"/>
      <c r="O414" s="4"/>
      <c r="P414" s="4"/>
      <c r="Q414" s="4"/>
      <c r="R414" s="1126"/>
      <c r="S414" s="711"/>
    </row>
    <row r="415" spans="1:19" ht="15.75" hidden="1" customHeight="1">
      <c r="A415" s="4"/>
      <c r="B415" s="4"/>
      <c r="C415" s="4"/>
      <c r="D415" s="4"/>
      <c r="E415" s="4"/>
      <c r="F415" s="4"/>
      <c r="G415" s="4"/>
      <c r="H415" s="4"/>
      <c r="I415" s="1124"/>
      <c r="J415" s="4"/>
      <c r="K415" s="4"/>
      <c r="L415" s="4"/>
      <c r="M415" s="4"/>
      <c r="N415" s="4"/>
      <c r="O415" s="4"/>
      <c r="P415" s="4"/>
      <c r="Q415" s="4"/>
      <c r="R415" s="1126"/>
      <c r="S415" s="711"/>
    </row>
    <row r="416" spans="1:19" ht="15.75" hidden="1" customHeight="1">
      <c r="A416" s="4"/>
      <c r="B416" s="4"/>
      <c r="C416" s="4"/>
      <c r="D416" s="4"/>
      <c r="E416" s="4"/>
      <c r="F416" s="4"/>
      <c r="G416" s="4"/>
      <c r="H416" s="4"/>
      <c r="I416" s="1124"/>
      <c r="J416" s="4"/>
      <c r="K416" s="4"/>
      <c r="L416" s="4"/>
      <c r="M416" s="4"/>
      <c r="N416" s="4"/>
      <c r="O416" s="4"/>
      <c r="P416" s="4"/>
      <c r="Q416" s="4"/>
      <c r="R416" s="1126"/>
      <c r="S416" s="711"/>
    </row>
    <row r="417" spans="1:19" ht="15.75" hidden="1" customHeight="1">
      <c r="A417" s="4"/>
      <c r="B417" s="4"/>
      <c r="C417" s="4"/>
      <c r="D417" s="4"/>
      <c r="E417" s="4"/>
      <c r="F417" s="4"/>
      <c r="G417" s="4"/>
      <c r="H417" s="4"/>
      <c r="I417" s="1124"/>
      <c r="J417" s="4"/>
      <c r="K417" s="4"/>
      <c r="L417" s="4"/>
      <c r="M417" s="4"/>
      <c r="N417" s="4"/>
      <c r="O417" s="4"/>
      <c r="P417" s="4"/>
      <c r="Q417" s="4"/>
      <c r="R417" s="1126"/>
      <c r="S417" s="711"/>
    </row>
    <row r="418" spans="1:19" ht="15.75" hidden="1" customHeight="1">
      <c r="A418" s="4"/>
      <c r="B418" s="4"/>
      <c r="C418" s="4"/>
      <c r="D418" s="4"/>
      <c r="E418" s="4"/>
      <c r="F418" s="4"/>
      <c r="G418" s="4"/>
      <c r="H418" s="4"/>
      <c r="I418" s="1124"/>
      <c r="J418" s="4"/>
      <c r="K418" s="4"/>
      <c r="L418" s="4"/>
      <c r="M418" s="4"/>
      <c r="N418" s="4"/>
      <c r="O418" s="4"/>
      <c r="P418" s="4"/>
      <c r="Q418" s="4"/>
      <c r="R418" s="1126"/>
      <c r="S418" s="711"/>
    </row>
    <row r="419" spans="1:19" ht="15.75" hidden="1" customHeight="1">
      <c r="A419" s="4"/>
      <c r="B419" s="4"/>
      <c r="C419" s="4"/>
      <c r="D419" s="4"/>
      <c r="E419" s="4"/>
      <c r="F419" s="4"/>
      <c r="G419" s="4"/>
      <c r="H419" s="4"/>
      <c r="I419" s="1124"/>
      <c r="J419" s="4"/>
      <c r="K419" s="4"/>
      <c r="L419" s="4"/>
      <c r="M419" s="4"/>
      <c r="N419" s="4"/>
      <c r="O419" s="4"/>
      <c r="P419" s="4"/>
      <c r="Q419" s="4"/>
      <c r="R419" s="1126"/>
      <c r="S419" s="711"/>
    </row>
    <row r="420" spans="1:19" ht="15.75" hidden="1" customHeight="1">
      <c r="A420" s="4"/>
      <c r="B420" s="4"/>
      <c r="C420" s="4"/>
      <c r="D420" s="4"/>
      <c r="E420" s="4"/>
      <c r="F420" s="4"/>
      <c r="G420" s="4"/>
      <c r="H420" s="4"/>
      <c r="I420" s="1124"/>
      <c r="J420" s="4"/>
      <c r="K420" s="4"/>
      <c r="L420" s="4"/>
      <c r="M420" s="4"/>
      <c r="N420" s="4"/>
      <c r="O420" s="4"/>
      <c r="P420" s="4"/>
      <c r="Q420" s="4"/>
      <c r="R420" s="1126"/>
      <c r="S420" s="711"/>
    </row>
    <row r="421" spans="1:19" ht="15.75" hidden="1" customHeight="1">
      <c r="A421" s="4"/>
      <c r="B421" s="4"/>
      <c r="C421" s="4"/>
      <c r="D421" s="4"/>
      <c r="E421" s="4"/>
      <c r="F421" s="4"/>
      <c r="G421" s="4"/>
      <c r="H421" s="4"/>
      <c r="I421" s="1124"/>
      <c r="J421" s="4"/>
      <c r="K421" s="4"/>
      <c r="L421" s="4"/>
      <c r="M421" s="4"/>
      <c r="N421" s="4"/>
      <c r="O421" s="4"/>
      <c r="P421" s="4"/>
      <c r="Q421" s="4"/>
      <c r="R421" s="1126"/>
      <c r="S421" s="711"/>
    </row>
    <row r="422" spans="1:19" ht="15.75" hidden="1" customHeight="1">
      <c r="A422" s="4"/>
      <c r="B422" s="4"/>
      <c r="C422" s="4"/>
      <c r="D422" s="4"/>
      <c r="E422" s="4"/>
      <c r="F422" s="4"/>
      <c r="G422" s="4"/>
      <c r="H422" s="4"/>
      <c r="I422" s="1124"/>
      <c r="J422" s="4"/>
      <c r="K422" s="4"/>
      <c r="L422" s="4"/>
      <c r="M422" s="4"/>
      <c r="N422" s="4"/>
      <c r="O422" s="4"/>
      <c r="P422" s="4"/>
      <c r="Q422" s="4"/>
      <c r="R422" s="1126"/>
      <c r="S422" s="711"/>
    </row>
    <row r="423" spans="1:19" ht="15.75" hidden="1" customHeight="1">
      <c r="A423" s="4"/>
      <c r="B423" s="4"/>
      <c r="C423" s="4"/>
      <c r="D423" s="4"/>
      <c r="E423" s="4"/>
      <c r="F423" s="4"/>
      <c r="G423" s="4"/>
      <c r="H423" s="4"/>
      <c r="I423" s="1124"/>
      <c r="J423" s="4"/>
      <c r="K423" s="4"/>
      <c r="L423" s="4"/>
      <c r="M423" s="4"/>
      <c r="N423" s="4"/>
      <c r="O423" s="4"/>
      <c r="P423" s="4"/>
      <c r="Q423" s="4"/>
      <c r="R423" s="1126"/>
      <c r="S423" s="711"/>
    </row>
    <row r="424" spans="1:19" ht="15.75" hidden="1" customHeight="1">
      <c r="A424" s="4"/>
      <c r="B424" s="4"/>
      <c r="C424" s="4"/>
      <c r="D424" s="4"/>
      <c r="E424" s="4"/>
      <c r="F424" s="4"/>
      <c r="G424" s="4"/>
      <c r="H424" s="4"/>
      <c r="I424" s="1124"/>
      <c r="J424" s="4"/>
      <c r="K424" s="4"/>
      <c r="L424" s="4"/>
      <c r="M424" s="4"/>
      <c r="N424" s="4"/>
      <c r="O424" s="4"/>
      <c r="P424" s="4"/>
      <c r="Q424" s="4"/>
      <c r="R424" s="1126"/>
      <c r="S424" s="711"/>
    </row>
    <row r="425" spans="1:19" ht="15.75" hidden="1" customHeight="1">
      <c r="A425" s="4"/>
      <c r="B425" s="4"/>
      <c r="C425" s="4"/>
      <c r="D425" s="4"/>
      <c r="E425" s="4"/>
      <c r="F425" s="4"/>
      <c r="G425" s="4"/>
      <c r="H425" s="4"/>
      <c r="I425" s="1124"/>
      <c r="J425" s="4"/>
      <c r="K425" s="4"/>
      <c r="L425" s="4"/>
      <c r="M425" s="4"/>
      <c r="N425" s="4"/>
      <c r="O425" s="4"/>
      <c r="P425" s="4"/>
      <c r="Q425" s="4"/>
      <c r="R425" s="1126"/>
      <c r="S425" s="711"/>
    </row>
    <row r="426" spans="1:19" ht="15.75" hidden="1" customHeight="1">
      <c r="A426" s="4"/>
      <c r="B426" s="4"/>
      <c r="C426" s="4"/>
      <c r="D426" s="4"/>
      <c r="E426" s="4"/>
      <c r="F426" s="4"/>
      <c r="G426" s="4"/>
      <c r="H426" s="4"/>
      <c r="I426" s="1124"/>
      <c r="J426" s="4"/>
      <c r="K426" s="4"/>
      <c r="L426" s="4"/>
      <c r="M426" s="4"/>
      <c r="N426" s="4"/>
      <c r="O426" s="4"/>
      <c r="P426" s="4"/>
      <c r="Q426" s="4"/>
      <c r="R426" s="1126"/>
      <c r="S426" s="711"/>
    </row>
    <row r="427" spans="1:19" ht="15.75" hidden="1" customHeight="1">
      <c r="A427" s="4"/>
      <c r="B427" s="4"/>
      <c r="C427" s="4"/>
      <c r="D427" s="4"/>
      <c r="E427" s="4"/>
      <c r="F427" s="4"/>
      <c r="G427" s="4"/>
      <c r="H427" s="4"/>
      <c r="I427" s="1124"/>
      <c r="J427" s="4"/>
      <c r="K427" s="4"/>
      <c r="L427" s="4"/>
      <c r="M427" s="4"/>
      <c r="N427" s="4"/>
      <c r="O427" s="4"/>
      <c r="P427" s="4"/>
      <c r="Q427" s="4"/>
      <c r="R427" s="1126"/>
      <c r="S427" s="711"/>
    </row>
    <row r="428" spans="1:19" ht="15.75" hidden="1" customHeight="1">
      <c r="A428" s="4"/>
      <c r="B428" s="4"/>
      <c r="C428" s="4"/>
      <c r="D428" s="4"/>
      <c r="E428" s="4"/>
      <c r="F428" s="4"/>
      <c r="G428" s="4"/>
      <c r="H428" s="4"/>
      <c r="I428" s="1124"/>
      <c r="J428" s="4"/>
      <c r="K428" s="4"/>
      <c r="L428" s="4"/>
      <c r="M428" s="4"/>
      <c r="N428" s="4"/>
      <c r="O428" s="4"/>
      <c r="P428" s="4"/>
      <c r="Q428" s="4"/>
      <c r="R428" s="1126"/>
      <c r="S428" s="711"/>
    </row>
    <row r="429" spans="1:19" ht="15.75" hidden="1" customHeight="1">
      <c r="A429" s="4"/>
      <c r="B429" s="4"/>
      <c r="C429" s="4"/>
      <c r="D429" s="4"/>
      <c r="E429" s="4"/>
      <c r="F429" s="4"/>
      <c r="G429" s="4"/>
      <c r="H429" s="4"/>
      <c r="I429" s="1124"/>
      <c r="J429" s="4"/>
      <c r="K429" s="4"/>
      <c r="L429" s="4"/>
      <c r="M429" s="4"/>
      <c r="N429" s="4"/>
      <c r="O429" s="4"/>
      <c r="P429" s="4"/>
      <c r="Q429" s="4"/>
      <c r="R429" s="1126"/>
      <c r="S429" s="711"/>
    </row>
    <row r="430" spans="1:19" ht="15.75" hidden="1" customHeight="1">
      <c r="A430" s="4"/>
      <c r="B430" s="4"/>
      <c r="C430" s="4"/>
      <c r="D430" s="4"/>
      <c r="E430" s="4"/>
      <c r="F430" s="4"/>
      <c r="G430" s="4"/>
      <c r="H430" s="4"/>
      <c r="I430" s="1124"/>
      <c r="J430" s="4"/>
      <c r="K430" s="4"/>
      <c r="L430" s="4"/>
      <c r="M430" s="4"/>
      <c r="N430" s="4"/>
      <c r="O430" s="4"/>
      <c r="P430" s="4"/>
      <c r="Q430" s="4"/>
      <c r="R430" s="1126"/>
      <c r="S430" s="711"/>
    </row>
    <row r="431" spans="1:19" ht="15.75" hidden="1" customHeight="1">
      <c r="A431" s="4"/>
      <c r="B431" s="4"/>
      <c r="C431" s="4"/>
      <c r="D431" s="4"/>
      <c r="E431" s="4"/>
      <c r="F431" s="4"/>
      <c r="G431" s="4"/>
      <c r="H431" s="4"/>
      <c r="I431" s="1124"/>
      <c r="J431" s="4"/>
      <c r="K431" s="4"/>
      <c r="L431" s="4"/>
      <c r="M431" s="4"/>
      <c r="N431" s="4"/>
      <c r="O431" s="4"/>
      <c r="P431" s="4"/>
      <c r="Q431" s="4"/>
      <c r="R431" s="1126"/>
      <c r="S431" s="711"/>
    </row>
    <row r="432" spans="1:19" ht="15.75" hidden="1" customHeight="1">
      <c r="A432" s="4"/>
      <c r="B432" s="4"/>
      <c r="C432" s="4"/>
      <c r="D432" s="4"/>
      <c r="E432" s="4"/>
      <c r="F432" s="4"/>
      <c r="G432" s="4"/>
      <c r="H432" s="4"/>
      <c r="I432" s="1124"/>
      <c r="J432" s="4"/>
      <c r="K432" s="4"/>
      <c r="L432" s="4"/>
      <c r="M432" s="4"/>
      <c r="N432" s="4"/>
      <c r="O432" s="4"/>
      <c r="P432" s="4"/>
      <c r="Q432" s="4"/>
      <c r="R432" s="1126"/>
      <c r="S432" s="711"/>
    </row>
    <row r="433" spans="1:19" ht="15.75" hidden="1" customHeight="1">
      <c r="A433" s="4"/>
      <c r="B433" s="4"/>
      <c r="C433" s="4"/>
      <c r="D433" s="4"/>
      <c r="E433" s="4"/>
      <c r="F433" s="4"/>
      <c r="G433" s="4"/>
      <c r="H433" s="4"/>
      <c r="I433" s="1124"/>
      <c r="J433" s="4"/>
      <c r="K433" s="4"/>
      <c r="L433" s="4"/>
      <c r="M433" s="4"/>
      <c r="N433" s="4"/>
      <c r="O433" s="4"/>
      <c r="P433" s="4"/>
      <c r="Q433" s="4"/>
      <c r="R433" s="1126"/>
      <c r="S433" s="711"/>
    </row>
    <row r="434" spans="1:19" ht="15.75" hidden="1" customHeight="1">
      <c r="A434" s="4"/>
      <c r="B434" s="4"/>
      <c r="C434" s="4"/>
      <c r="D434" s="4"/>
      <c r="E434" s="4"/>
      <c r="F434" s="4"/>
      <c r="G434" s="4"/>
      <c r="H434" s="4"/>
      <c r="I434" s="1124"/>
      <c r="J434" s="4"/>
      <c r="K434" s="4"/>
      <c r="L434" s="4"/>
      <c r="M434" s="4"/>
      <c r="N434" s="4"/>
      <c r="O434" s="4"/>
      <c r="P434" s="4"/>
      <c r="Q434" s="4"/>
      <c r="R434" s="1126"/>
      <c r="S434" s="711"/>
    </row>
    <row r="435" spans="1:19" ht="15.75" hidden="1" customHeight="1">
      <c r="A435" s="4"/>
      <c r="B435" s="4"/>
      <c r="C435" s="4"/>
      <c r="D435" s="4"/>
      <c r="E435" s="4"/>
      <c r="F435" s="4"/>
      <c r="G435" s="4"/>
      <c r="H435" s="4"/>
      <c r="I435" s="1124"/>
      <c r="J435" s="4"/>
      <c r="K435" s="4"/>
      <c r="L435" s="4"/>
      <c r="M435" s="4"/>
      <c r="N435" s="4"/>
      <c r="O435" s="4"/>
      <c r="P435" s="4"/>
      <c r="Q435" s="4"/>
      <c r="R435" s="1126"/>
      <c r="S435" s="711"/>
    </row>
    <row r="436" spans="1:19" ht="15.75" hidden="1" customHeight="1">
      <c r="A436" s="4"/>
      <c r="B436" s="4"/>
      <c r="C436" s="4"/>
      <c r="D436" s="4"/>
      <c r="E436" s="4"/>
      <c r="F436" s="4"/>
      <c r="G436" s="4"/>
      <c r="H436" s="4"/>
      <c r="I436" s="1124"/>
      <c r="J436" s="4"/>
      <c r="K436" s="4"/>
      <c r="L436" s="4"/>
      <c r="M436" s="4"/>
      <c r="N436" s="4"/>
      <c r="O436" s="4"/>
      <c r="P436" s="4"/>
      <c r="Q436" s="4"/>
      <c r="R436" s="1126"/>
      <c r="S436" s="711"/>
    </row>
    <row r="437" spans="1:19" ht="15.75" hidden="1" customHeight="1">
      <c r="A437" s="4"/>
      <c r="B437" s="4"/>
      <c r="C437" s="4"/>
      <c r="D437" s="4"/>
      <c r="E437" s="4"/>
      <c r="F437" s="4"/>
      <c r="G437" s="4"/>
      <c r="H437" s="4"/>
      <c r="I437" s="1124"/>
      <c r="J437" s="4"/>
      <c r="K437" s="4"/>
      <c r="L437" s="4"/>
      <c r="M437" s="4"/>
      <c r="N437" s="4"/>
      <c r="O437" s="4"/>
      <c r="P437" s="4"/>
      <c r="Q437" s="4"/>
      <c r="R437" s="1126"/>
      <c r="S437" s="711"/>
    </row>
    <row r="438" spans="1:19" ht="15.75" hidden="1" customHeight="1">
      <c r="A438" s="4"/>
      <c r="B438" s="4"/>
      <c r="C438" s="4"/>
      <c r="D438" s="4"/>
      <c r="E438" s="4"/>
      <c r="F438" s="4"/>
      <c r="G438" s="4"/>
      <c r="H438" s="4"/>
      <c r="I438" s="1124"/>
      <c r="J438" s="4"/>
      <c r="K438" s="4"/>
      <c r="L438" s="4"/>
      <c r="M438" s="4"/>
      <c r="N438" s="4"/>
      <c r="O438" s="4"/>
      <c r="P438" s="4"/>
      <c r="Q438" s="4"/>
      <c r="R438" s="1126"/>
      <c r="S438" s="711"/>
    </row>
    <row r="439" spans="1:19" ht="15.75" hidden="1" customHeight="1">
      <c r="A439" s="4"/>
      <c r="B439" s="4"/>
      <c r="C439" s="4"/>
      <c r="D439" s="4"/>
      <c r="E439" s="4"/>
      <c r="F439" s="4"/>
      <c r="G439" s="4"/>
      <c r="H439" s="4"/>
      <c r="I439" s="1124"/>
      <c r="J439" s="4"/>
      <c r="K439" s="4"/>
      <c r="L439" s="4"/>
      <c r="M439" s="4"/>
      <c r="N439" s="4"/>
      <c r="O439" s="4"/>
      <c r="P439" s="4"/>
      <c r="Q439" s="4"/>
      <c r="R439" s="1126"/>
      <c r="S439" s="711"/>
    </row>
    <row r="440" spans="1:19" ht="15.75" hidden="1" customHeight="1">
      <c r="A440" s="4"/>
      <c r="B440" s="4"/>
      <c r="C440" s="4"/>
      <c r="D440" s="4"/>
      <c r="E440" s="4"/>
      <c r="F440" s="4"/>
      <c r="G440" s="4"/>
      <c r="H440" s="4"/>
      <c r="I440" s="1124"/>
      <c r="J440" s="4"/>
      <c r="K440" s="4"/>
      <c r="L440" s="4"/>
      <c r="M440" s="4"/>
      <c r="N440" s="4"/>
      <c r="O440" s="4"/>
      <c r="P440" s="4"/>
      <c r="Q440" s="4"/>
      <c r="R440" s="1126"/>
      <c r="S440" s="711"/>
    </row>
    <row r="441" spans="1:19" ht="15.75" hidden="1" customHeight="1">
      <c r="A441" s="4"/>
      <c r="B441" s="4"/>
      <c r="C441" s="4"/>
      <c r="D441" s="4"/>
      <c r="E441" s="4"/>
      <c r="F441" s="4"/>
      <c r="G441" s="4"/>
      <c r="H441" s="4"/>
      <c r="I441" s="1124"/>
      <c r="J441" s="4"/>
      <c r="K441" s="4"/>
      <c r="L441" s="4"/>
      <c r="M441" s="4"/>
      <c r="N441" s="4"/>
      <c r="O441" s="4"/>
      <c r="P441" s="4"/>
      <c r="Q441" s="4"/>
      <c r="R441" s="1126"/>
      <c r="S441" s="711"/>
    </row>
    <row r="442" spans="1:19" ht="15.75" hidden="1" customHeight="1">
      <c r="A442" s="4"/>
      <c r="B442" s="4"/>
      <c r="C442" s="4"/>
      <c r="D442" s="4"/>
      <c r="E442" s="4"/>
      <c r="F442" s="4"/>
      <c r="G442" s="4"/>
      <c r="H442" s="4"/>
      <c r="I442" s="1124"/>
      <c r="J442" s="4"/>
      <c r="K442" s="4"/>
      <c r="L442" s="4"/>
      <c r="M442" s="4"/>
      <c r="N442" s="4"/>
      <c r="O442" s="4"/>
      <c r="P442" s="4"/>
      <c r="Q442" s="4"/>
      <c r="R442" s="1126"/>
      <c r="S442" s="711"/>
    </row>
    <row r="443" spans="1:19" ht="15.75" hidden="1" customHeight="1">
      <c r="A443" s="4"/>
      <c r="B443" s="4"/>
      <c r="C443" s="4"/>
      <c r="D443" s="4"/>
      <c r="E443" s="4"/>
      <c r="F443" s="4"/>
      <c r="G443" s="4"/>
      <c r="H443" s="4"/>
      <c r="I443" s="1124"/>
      <c r="J443" s="4"/>
      <c r="K443" s="4"/>
      <c r="L443" s="4"/>
      <c r="M443" s="4"/>
      <c r="N443" s="4"/>
      <c r="O443" s="4"/>
      <c r="P443" s="4"/>
      <c r="Q443" s="4"/>
      <c r="R443" s="1126"/>
      <c r="S443" s="711"/>
    </row>
    <row r="444" spans="1:19" ht="15.75" hidden="1" customHeight="1">
      <c r="A444" s="4"/>
      <c r="B444" s="4"/>
      <c r="C444" s="4"/>
      <c r="D444" s="4"/>
      <c r="E444" s="4"/>
      <c r="F444" s="4"/>
      <c r="G444" s="4"/>
      <c r="H444" s="4"/>
      <c r="I444" s="1124"/>
      <c r="J444" s="4"/>
      <c r="K444" s="4"/>
      <c r="L444" s="4"/>
      <c r="M444" s="4"/>
      <c r="N444" s="4"/>
      <c r="O444" s="4"/>
      <c r="P444" s="4"/>
      <c r="Q444" s="4"/>
      <c r="R444" s="1126"/>
      <c r="S444" s="711"/>
    </row>
    <row r="445" spans="1:19" ht="15.75" hidden="1" customHeight="1">
      <c r="A445" s="4"/>
      <c r="B445" s="4"/>
      <c r="C445" s="4"/>
      <c r="D445" s="4"/>
      <c r="E445" s="4"/>
      <c r="F445" s="4"/>
      <c r="G445" s="4"/>
      <c r="H445" s="4"/>
      <c r="I445" s="1124"/>
      <c r="J445" s="4"/>
      <c r="K445" s="4"/>
      <c r="L445" s="4"/>
      <c r="M445" s="4"/>
      <c r="N445" s="4"/>
      <c r="O445" s="4"/>
      <c r="P445" s="4"/>
      <c r="Q445" s="4"/>
      <c r="R445" s="1126"/>
      <c r="S445" s="711"/>
    </row>
    <row r="446" spans="1:19" ht="15.75" hidden="1" customHeight="1">
      <c r="A446" s="4"/>
      <c r="B446" s="4"/>
      <c r="C446" s="4"/>
      <c r="D446" s="4"/>
      <c r="E446" s="4"/>
      <c r="F446" s="4"/>
      <c r="G446" s="4"/>
      <c r="H446" s="4"/>
      <c r="I446" s="1124"/>
      <c r="J446" s="4"/>
      <c r="K446" s="4"/>
      <c r="L446" s="4"/>
      <c r="M446" s="4"/>
      <c r="N446" s="4"/>
      <c r="O446" s="4"/>
      <c r="P446" s="4"/>
      <c r="Q446" s="4"/>
      <c r="R446" s="1126"/>
      <c r="S446" s="711"/>
    </row>
    <row r="447" spans="1:19" ht="15.75" hidden="1" customHeight="1">
      <c r="A447" s="4"/>
      <c r="B447" s="4"/>
      <c r="C447" s="4"/>
      <c r="D447" s="4"/>
      <c r="E447" s="4"/>
      <c r="F447" s="4"/>
      <c r="G447" s="4"/>
      <c r="H447" s="4"/>
      <c r="I447" s="1124"/>
      <c r="J447" s="4"/>
      <c r="K447" s="4"/>
      <c r="L447" s="4"/>
      <c r="M447" s="4"/>
      <c r="N447" s="4"/>
      <c r="O447" s="4"/>
      <c r="P447" s="4"/>
      <c r="Q447" s="4"/>
      <c r="R447" s="1126"/>
      <c r="S447" s="711"/>
    </row>
    <row r="448" spans="1:19" ht="15.75" hidden="1" customHeight="1">
      <c r="A448" s="4"/>
      <c r="B448" s="4"/>
      <c r="C448" s="4"/>
      <c r="D448" s="4"/>
      <c r="E448" s="4"/>
      <c r="F448" s="4"/>
      <c r="G448" s="4"/>
      <c r="H448" s="4"/>
      <c r="I448" s="1124"/>
      <c r="J448" s="4"/>
      <c r="K448" s="4"/>
      <c r="L448" s="4"/>
      <c r="M448" s="4"/>
      <c r="N448" s="4"/>
      <c r="O448" s="4"/>
      <c r="P448" s="4"/>
      <c r="Q448" s="4"/>
      <c r="R448" s="1126"/>
      <c r="S448" s="711"/>
    </row>
    <row r="449" spans="1:19" ht="15.75" hidden="1" customHeight="1">
      <c r="A449" s="4"/>
      <c r="B449" s="4"/>
      <c r="C449" s="4"/>
      <c r="D449" s="4"/>
      <c r="E449" s="4"/>
      <c r="F449" s="4"/>
      <c r="G449" s="4"/>
      <c r="H449" s="4"/>
      <c r="I449" s="1124"/>
      <c r="J449" s="4"/>
      <c r="K449" s="4"/>
      <c r="L449" s="4"/>
      <c r="M449" s="4"/>
      <c r="N449" s="4"/>
      <c r="O449" s="4"/>
      <c r="P449" s="4"/>
      <c r="Q449" s="4"/>
      <c r="R449" s="1126"/>
      <c r="S449" s="711"/>
    </row>
    <row r="450" spans="1:19" ht="15.75" hidden="1" customHeight="1">
      <c r="A450" s="4"/>
      <c r="B450" s="4"/>
      <c r="C450" s="4"/>
      <c r="D450" s="4"/>
      <c r="E450" s="4"/>
      <c r="F450" s="4"/>
      <c r="G450" s="4"/>
      <c r="H450" s="4"/>
      <c r="I450" s="1124"/>
      <c r="J450" s="4"/>
      <c r="K450" s="4"/>
      <c r="L450" s="4"/>
      <c r="M450" s="4"/>
      <c r="N450" s="4"/>
      <c r="O450" s="4"/>
      <c r="P450" s="4"/>
      <c r="Q450" s="4"/>
      <c r="R450" s="1126"/>
      <c r="S450" s="711"/>
    </row>
    <row r="451" spans="1:19" ht="15.75" hidden="1" customHeight="1">
      <c r="A451" s="4"/>
      <c r="B451" s="4"/>
      <c r="C451" s="4"/>
      <c r="D451" s="4"/>
      <c r="E451" s="4"/>
      <c r="F451" s="4"/>
      <c r="G451" s="4"/>
      <c r="H451" s="4"/>
      <c r="I451" s="1124"/>
      <c r="J451" s="4"/>
      <c r="K451" s="4"/>
      <c r="L451" s="4"/>
      <c r="M451" s="4"/>
      <c r="N451" s="4"/>
      <c r="O451" s="4"/>
      <c r="P451" s="4"/>
      <c r="Q451" s="4"/>
      <c r="R451" s="1126"/>
      <c r="S451" s="711"/>
    </row>
    <row r="452" spans="1:19" ht="15.75" hidden="1" customHeight="1">
      <c r="A452" s="4"/>
      <c r="B452" s="4"/>
      <c r="C452" s="4"/>
      <c r="D452" s="4"/>
      <c r="E452" s="4"/>
      <c r="F452" s="4"/>
      <c r="G452" s="4"/>
      <c r="H452" s="4"/>
      <c r="I452" s="1124"/>
      <c r="J452" s="4"/>
      <c r="K452" s="4"/>
      <c r="L452" s="4"/>
      <c r="M452" s="4"/>
      <c r="N452" s="4"/>
      <c r="O452" s="4"/>
      <c r="P452" s="4"/>
      <c r="Q452" s="4"/>
      <c r="R452" s="1126"/>
      <c r="S452" s="711"/>
    </row>
    <row r="453" spans="1:19" ht="15.75" hidden="1" customHeight="1">
      <c r="A453" s="4"/>
      <c r="B453" s="4"/>
      <c r="C453" s="4"/>
      <c r="D453" s="4"/>
      <c r="E453" s="4"/>
      <c r="F453" s="4"/>
      <c r="G453" s="4"/>
      <c r="H453" s="4"/>
      <c r="I453" s="1124"/>
      <c r="J453" s="4"/>
      <c r="K453" s="4"/>
      <c r="L453" s="4"/>
      <c r="M453" s="4"/>
      <c r="N453" s="4"/>
      <c r="O453" s="4"/>
      <c r="P453" s="4"/>
      <c r="Q453" s="4"/>
      <c r="R453" s="1126"/>
      <c r="S453" s="711"/>
    </row>
    <row r="454" spans="1:19" ht="15.75" hidden="1" customHeight="1">
      <c r="A454" s="4"/>
      <c r="B454" s="4"/>
      <c r="C454" s="4"/>
      <c r="D454" s="4"/>
      <c r="E454" s="4"/>
      <c r="F454" s="4"/>
      <c r="G454" s="4"/>
      <c r="H454" s="4"/>
      <c r="I454" s="1124"/>
      <c r="J454" s="4"/>
      <c r="K454" s="4"/>
      <c r="L454" s="4"/>
      <c r="M454" s="4"/>
      <c r="N454" s="4"/>
      <c r="O454" s="4"/>
      <c r="P454" s="4"/>
      <c r="Q454" s="4"/>
      <c r="R454" s="1126"/>
      <c r="S454" s="711"/>
    </row>
    <row r="455" spans="1:19" ht="15.75" hidden="1" customHeight="1">
      <c r="A455" s="4"/>
      <c r="B455" s="4"/>
      <c r="C455" s="4"/>
      <c r="D455" s="4"/>
      <c r="E455" s="4"/>
      <c r="F455" s="4"/>
      <c r="G455" s="4"/>
      <c r="H455" s="4"/>
      <c r="I455" s="1124"/>
      <c r="J455" s="4"/>
      <c r="K455" s="4"/>
      <c r="L455" s="4"/>
      <c r="M455" s="4"/>
      <c r="N455" s="4"/>
      <c r="O455" s="4"/>
      <c r="P455" s="4"/>
      <c r="Q455" s="4"/>
      <c r="R455" s="1126"/>
      <c r="S455" s="711"/>
    </row>
    <row r="456" spans="1:19" ht="15.75" hidden="1" customHeight="1">
      <c r="A456" s="4"/>
      <c r="B456" s="4"/>
      <c r="C456" s="4"/>
      <c r="D456" s="4"/>
      <c r="E456" s="4"/>
      <c r="F456" s="4"/>
      <c r="G456" s="4"/>
      <c r="H456" s="4"/>
      <c r="I456" s="1124"/>
      <c r="J456" s="4"/>
      <c r="K456" s="4"/>
      <c r="L456" s="4"/>
      <c r="M456" s="4"/>
      <c r="N456" s="4"/>
      <c r="O456" s="4"/>
      <c r="P456" s="4"/>
      <c r="Q456" s="4"/>
      <c r="R456" s="1126"/>
      <c r="S456" s="711"/>
    </row>
    <row r="457" spans="1:19" ht="15.75" hidden="1" customHeight="1">
      <c r="A457" s="4"/>
      <c r="B457" s="4"/>
      <c r="C457" s="4"/>
      <c r="D457" s="4"/>
      <c r="E457" s="4"/>
      <c r="F457" s="4"/>
      <c r="G457" s="4"/>
      <c r="H457" s="4"/>
      <c r="I457" s="1124"/>
      <c r="J457" s="4"/>
      <c r="K457" s="4"/>
      <c r="L457" s="4"/>
      <c r="M457" s="4"/>
      <c r="N457" s="4"/>
      <c r="O457" s="4"/>
      <c r="P457" s="4"/>
      <c r="Q457" s="4"/>
      <c r="R457" s="1126"/>
      <c r="S457" s="711"/>
    </row>
    <row r="458" spans="1:19" ht="15.75" hidden="1" customHeight="1">
      <c r="A458" s="4"/>
      <c r="B458" s="4"/>
      <c r="C458" s="4"/>
      <c r="D458" s="4"/>
      <c r="E458" s="4"/>
      <c r="F458" s="4"/>
      <c r="G458" s="4"/>
      <c r="H458" s="4"/>
      <c r="I458" s="1124"/>
      <c r="J458" s="4"/>
      <c r="K458" s="4"/>
      <c r="L458" s="4"/>
      <c r="M458" s="4"/>
      <c r="N458" s="4"/>
      <c r="O458" s="4"/>
      <c r="P458" s="4"/>
      <c r="Q458" s="4"/>
      <c r="R458" s="1126"/>
      <c r="S458" s="711"/>
    </row>
    <row r="459" spans="1:19" ht="15.75" hidden="1" customHeight="1">
      <c r="A459" s="4"/>
      <c r="B459" s="4"/>
      <c r="C459" s="4"/>
      <c r="D459" s="4"/>
      <c r="E459" s="4"/>
      <c r="F459" s="4"/>
      <c r="G459" s="4"/>
      <c r="H459" s="4"/>
      <c r="I459" s="1124"/>
      <c r="J459" s="4"/>
      <c r="K459" s="4"/>
      <c r="L459" s="4"/>
      <c r="M459" s="4"/>
      <c r="N459" s="4"/>
      <c r="O459" s="4"/>
      <c r="P459" s="4"/>
      <c r="Q459" s="4"/>
      <c r="R459" s="1126"/>
      <c r="S459" s="711"/>
    </row>
    <row r="460" spans="1:19" ht="15.75" hidden="1" customHeight="1">
      <c r="A460" s="4"/>
      <c r="B460" s="4"/>
      <c r="C460" s="4"/>
      <c r="D460" s="4"/>
      <c r="E460" s="4"/>
      <c r="F460" s="4"/>
      <c r="G460" s="4"/>
      <c r="H460" s="4"/>
      <c r="I460" s="1124"/>
      <c r="J460" s="4"/>
      <c r="K460" s="4"/>
      <c r="L460" s="4"/>
      <c r="M460" s="4"/>
      <c r="N460" s="4"/>
      <c r="O460" s="4"/>
      <c r="P460" s="4"/>
      <c r="Q460" s="4"/>
      <c r="R460" s="1126"/>
      <c r="S460" s="711"/>
    </row>
    <row r="461" spans="1:19" ht="15.75" hidden="1" customHeight="1">
      <c r="A461" s="4"/>
      <c r="B461" s="4"/>
      <c r="C461" s="4"/>
      <c r="D461" s="4"/>
      <c r="E461" s="4"/>
      <c r="F461" s="4"/>
      <c r="G461" s="4"/>
      <c r="H461" s="4"/>
      <c r="I461" s="1124"/>
      <c r="J461" s="4"/>
      <c r="K461" s="4"/>
      <c r="L461" s="4"/>
      <c r="M461" s="4"/>
      <c r="N461" s="4"/>
      <c r="O461" s="4"/>
      <c r="P461" s="4"/>
      <c r="Q461" s="4"/>
      <c r="R461" s="1126"/>
      <c r="S461" s="711"/>
    </row>
    <row r="462" spans="1:19" ht="15.75" hidden="1" customHeight="1">
      <c r="A462" s="4"/>
      <c r="B462" s="4"/>
      <c r="C462" s="4"/>
      <c r="D462" s="4"/>
      <c r="E462" s="4"/>
      <c r="F462" s="4"/>
      <c r="G462" s="4"/>
      <c r="H462" s="4"/>
      <c r="I462" s="1124"/>
      <c r="J462" s="4"/>
      <c r="K462" s="4"/>
      <c r="L462" s="4"/>
      <c r="M462" s="4"/>
      <c r="N462" s="4"/>
      <c r="O462" s="4"/>
      <c r="P462" s="4"/>
      <c r="Q462" s="4"/>
      <c r="R462" s="1126"/>
      <c r="S462" s="711"/>
    </row>
    <row r="463" spans="1:19" ht="15.75" hidden="1" customHeight="1">
      <c r="A463" s="4"/>
      <c r="B463" s="4"/>
      <c r="C463" s="4"/>
      <c r="D463" s="4"/>
      <c r="E463" s="4"/>
      <c r="F463" s="4"/>
      <c r="G463" s="4"/>
      <c r="H463" s="4"/>
      <c r="I463" s="1124"/>
      <c r="J463" s="4"/>
      <c r="K463" s="4"/>
      <c r="L463" s="4"/>
      <c r="M463" s="4"/>
      <c r="N463" s="4"/>
      <c r="O463" s="4"/>
      <c r="P463" s="4"/>
      <c r="Q463" s="4"/>
      <c r="R463" s="1126"/>
      <c r="S463" s="711"/>
    </row>
    <row r="464" spans="1:19" ht="15.75" hidden="1" customHeight="1">
      <c r="A464" s="4"/>
      <c r="B464" s="4"/>
      <c r="C464" s="4"/>
      <c r="D464" s="4"/>
      <c r="E464" s="4"/>
      <c r="F464" s="4"/>
      <c r="G464" s="4"/>
      <c r="H464" s="4"/>
      <c r="I464" s="1124"/>
      <c r="J464" s="4"/>
      <c r="K464" s="4"/>
      <c r="L464" s="4"/>
      <c r="M464" s="4"/>
      <c r="N464" s="4"/>
      <c r="O464" s="4"/>
      <c r="P464" s="4"/>
      <c r="Q464" s="4"/>
      <c r="R464" s="1126"/>
      <c r="S464" s="711"/>
    </row>
    <row r="465" spans="1:19" ht="15.75" hidden="1" customHeight="1">
      <c r="A465" s="4"/>
      <c r="B465" s="4"/>
      <c r="C465" s="4"/>
      <c r="D465" s="4"/>
      <c r="E465" s="4"/>
      <c r="F465" s="4"/>
      <c r="G465" s="4"/>
      <c r="H465" s="4"/>
      <c r="I465" s="1124"/>
      <c r="J465" s="4"/>
      <c r="K465" s="4"/>
      <c r="L465" s="4"/>
      <c r="M465" s="4"/>
      <c r="N465" s="4"/>
      <c r="O465" s="4"/>
      <c r="P465" s="4"/>
      <c r="Q465" s="4"/>
      <c r="R465" s="1126"/>
      <c r="S465" s="711"/>
    </row>
    <row r="466" spans="1:19" ht="15.75" hidden="1" customHeight="1">
      <c r="A466" s="4"/>
      <c r="B466" s="4"/>
      <c r="C466" s="4"/>
      <c r="D466" s="4"/>
      <c r="E466" s="4"/>
      <c r="F466" s="4"/>
      <c r="G466" s="4"/>
      <c r="H466" s="4"/>
      <c r="I466" s="1124"/>
      <c r="J466" s="4"/>
      <c r="K466" s="4"/>
      <c r="L466" s="4"/>
      <c r="M466" s="4"/>
      <c r="N466" s="4"/>
      <c r="O466" s="4"/>
      <c r="P466" s="4"/>
      <c r="Q466" s="4"/>
      <c r="R466" s="1126"/>
      <c r="S466" s="711"/>
    </row>
    <row r="467" spans="1:19" ht="15.75" hidden="1" customHeight="1">
      <c r="A467" s="4"/>
      <c r="B467" s="4"/>
      <c r="C467" s="4"/>
      <c r="D467" s="4"/>
      <c r="E467" s="4"/>
      <c r="F467" s="4"/>
      <c r="G467" s="4"/>
      <c r="H467" s="4"/>
      <c r="I467" s="1124"/>
      <c r="J467" s="4"/>
      <c r="K467" s="4"/>
      <c r="L467" s="4"/>
      <c r="M467" s="4"/>
      <c r="N467" s="4"/>
      <c r="O467" s="4"/>
      <c r="P467" s="4"/>
      <c r="Q467" s="4"/>
      <c r="R467" s="1126"/>
      <c r="S467" s="711"/>
    </row>
    <row r="468" spans="1:19" ht="15.75" hidden="1" customHeight="1">
      <c r="A468" s="4"/>
      <c r="B468" s="4"/>
      <c r="C468" s="4"/>
      <c r="D468" s="4"/>
      <c r="E468" s="4"/>
      <c r="F468" s="4"/>
      <c r="G468" s="4"/>
      <c r="H468" s="4"/>
      <c r="I468" s="1124"/>
      <c r="J468" s="4"/>
      <c r="K468" s="4"/>
      <c r="L468" s="4"/>
      <c r="M468" s="4"/>
      <c r="N468" s="4"/>
      <c r="O468" s="4"/>
      <c r="P468" s="4"/>
      <c r="Q468" s="4"/>
      <c r="R468" s="1126"/>
      <c r="S468" s="711"/>
    </row>
    <row r="469" spans="1:19" ht="15.75" hidden="1" customHeight="1">
      <c r="A469" s="4"/>
      <c r="B469" s="4"/>
      <c r="C469" s="4"/>
      <c r="D469" s="4"/>
      <c r="E469" s="4"/>
      <c r="F469" s="4"/>
      <c r="G469" s="4"/>
      <c r="H469" s="4"/>
      <c r="I469" s="1124"/>
      <c r="J469" s="4"/>
      <c r="K469" s="4"/>
      <c r="L469" s="4"/>
      <c r="M469" s="4"/>
      <c r="N469" s="4"/>
      <c r="O469" s="4"/>
      <c r="P469" s="4"/>
      <c r="Q469" s="4"/>
      <c r="R469" s="1126"/>
      <c r="S469" s="711"/>
    </row>
    <row r="470" spans="1:19" ht="15.75" hidden="1" customHeight="1">
      <c r="A470" s="4"/>
      <c r="B470" s="4"/>
      <c r="C470" s="4"/>
      <c r="D470" s="4"/>
      <c r="E470" s="4"/>
      <c r="F470" s="4"/>
      <c r="G470" s="4"/>
      <c r="H470" s="4"/>
      <c r="I470" s="1124"/>
      <c r="J470" s="4"/>
      <c r="K470" s="4"/>
      <c r="L470" s="4"/>
      <c r="M470" s="4"/>
      <c r="N470" s="4"/>
      <c r="O470" s="4"/>
      <c r="P470" s="4"/>
      <c r="Q470" s="4"/>
      <c r="R470" s="1126"/>
      <c r="S470" s="711"/>
    </row>
    <row r="471" spans="1:19" ht="15.75" hidden="1" customHeight="1">
      <c r="A471" s="4"/>
      <c r="B471" s="4"/>
      <c r="C471" s="4"/>
      <c r="D471" s="4"/>
      <c r="E471" s="4"/>
      <c r="F471" s="4"/>
      <c r="G471" s="4"/>
      <c r="H471" s="4"/>
      <c r="I471" s="1124"/>
      <c r="J471" s="4"/>
      <c r="K471" s="4"/>
      <c r="L471" s="4"/>
      <c r="M471" s="4"/>
      <c r="N471" s="4"/>
      <c r="O471" s="4"/>
      <c r="P471" s="4"/>
      <c r="Q471" s="4"/>
      <c r="R471" s="1126"/>
      <c r="S471" s="711"/>
    </row>
    <row r="472" spans="1:19" ht="15.75" hidden="1" customHeight="1">
      <c r="A472" s="4"/>
      <c r="B472" s="4"/>
      <c r="C472" s="4"/>
      <c r="D472" s="4"/>
      <c r="E472" s="4"/>
      <c r="F472" s="4"/>
      <c r="G472" s="4"/>
      <c r="H472" s="4"/>
      <c r="I472" s="1124"/>
      <c r="J472" s="4"/>
      <c r="K472" s="4"/>
      <c r="L472" s="4"/>
      <c r="M472" s="4"/>
      <c r="N472" s="4"/>
      <c r="O472" s="4"/>
      <c r="P472" s="4"/>
      <c r="Q472" s="4"/>
      <c r="R472" s="1126"/>
      <c r="S472" s="711"/>
    </row>
    <row r="473" spans="1:19" ht="15.75" hidden="1" customHeight="1">
      <c r="A473" s="4"/>
      <c r="B473" s="4"/>
      <c r="C473" s="4"/>
      <c r="D473" s="4"/>
      <c r="E473" s="4"/>
      <c r="F473" s="4"/>
      <c r="G473" s="4"/>
      <c r="H473" s="4"/>
      <c r="I473" s="1124"/>
      <c r="J473" s="4"/>
      <c r="K473" s="4"/>
      <c r="L473" s="4"/>
      <c r="M473" s="4"/>
      <c r="N473" s="4"/>
      <c r="O473" s="4"/>
      <c r="P473" s="4"/>
      <c r="Q473" s="4"/>
      <c r="R473" s="1126"/>
      <c r="S473" s="711"/>
    </row>
    <row r="474" spans="1:19" ht="15.75" hidden="1" customHeight="1">
      <c r="A474" s="4"/>
      <c r="B474" s="4"/>
      <c r="C474" s="4"/>
      <c r="D474" s="4"/>
      <c r="E474" s="4"/>
      <c r="F474" s="4"/>
      <c r="G474" s="4"/>
      <c r="H474" s="4"/>
      <c r="I474" s="1124"/>
      <c r="J474" s="4"/>
      <c r="K474" s="4"/>
      <c r="L474" s="4"/>
      <c r="M474" s="4"/>
      <c r="N474" s="4"/>
      <c r="O474" s="4"/>
      <c r="P474" s="4"/>
      <c r="Q474" s="4"/>
      <c r="R474" s="1126"/>
      <c r="S474" s="711"/>
    </row>
    <row r="475" spans="1:19" ht="15.75" hidden="1" customHeight="1">
      <c r="A475" s="4"/>
      <c r="B475" s="4"/>
      <c r="C475" s="4"/>
      <c r="D475" s="4"/>
      <c r="E475" s="4"/>
      <c r="F475" s="4"/>
      <c r="G475" s="4"/>
      <c r="H475" s="4"/>
      <c r="I475" s="1124"/>
      <c r="J475" s="4"/>
      <c r="K475" s="4"/>
      <c r="L475" s="4"/>
      <c r="M475" s="4"/>
      <c r="N475" s="4"/>
      <c r="O475" s="4"/>
      <c r="P475" s="4"/>
      <c r="Q475" s="4"/>
      <c r="R475" s="1126"/>
      <c r="S475" s="711"/>
    </row>
    <row r="476" spans="1:19" ht="15.75" hidden="1" customHeight="1">
      <c r="A476" s="4"/>
      <c r="B476" s="4"/>
      <c r="C476" s="4"/>
      <c r="D476" s="4"/>
      <c r="E476" s="4"/>
      <c r="F476" s="4"/>
      <c r="G476" s="4"/>
      <c r="H476" s="4"/>
      <c r="I476" s="1124"/>
      <c r="J476" s="4"/>
      <c r="K476" s="4"/>
      <c r="L476" s="4"/>
      <c r="M476" s="4"/>
      <c r="N476" s="4"/>
      <c r="O476" s="4"/>
      <c r="P476" s="4"/>
      <c r="Q476" s="4"/>
      <c r="R476" s="1126"/>
      <c r="S476" s="711"/>
    </row>
    <row r="477" spans="1:19" ht="15.75" hidden="1" customHeight="1">
      <c r="A477" s="4"/>
      <c r="B477" s="4"/>
      <c r="C477" s="4"/>
      <c r="D477" s="4"/>
      <c r="E477" s="4"/>
      <c r="F477" s="4"/>
      <c r="G477" s="4"/>
      <c r="H477" s="4"/>
      <c r="I477" s="1124"/>
      <c r="J477" s="4"/>
      <c r="K477" s="4"/>
      <c r="L477" s="4"/>
      <c r="M477" s="4"/>
      <c r="N477" s="4"/>
      <c r="O477" s="4"/>
      <c r="P477" s="4"/>
      <c r="Q477" s="4"/>
      <c r="R477" s="1126"/>
      <c r="S477" s="711"/>
    </row>
    <row r="478" spans="1:19" ht="15.75" hidden="1" customHeight="1">
      <c r="A478" s="4"/>
      <c r="B478" s="4"/>
      <c r="C478" s="4"/>
      <c r="D478" s="4"/>
      <c r="E478" s="4"/>
      <c r="F478" s="4"/>
      <c r="G478" s="4"/>
      <c r="H478" s="4"/>
      <c r="I478" s="1124"/>
      <c r="J478" s="4"/>
      <c r="K478" s="4"/>
      <c r="L478" s="4"/>
      <c r="M478" s="4"/>
      <c r="N478" s="4"/>
      <c r="O478" s="4"/>
      <c r="P478" s="4"/>
      <c r="Q478" s="4"/>
      <c r="R478" s="1126"/>
      <c r="S478" s="711"/>
    </row>
    <row r="479" spans="1:19" ht="15.75" hidden="1" customHeight="1">
      <c r="A479" s="4"/>
      <c r="B479" s="4"/>
      <c r="C479" s="4"/>
      <c r="D479" s="4"/>
      <c r="E479" s="4"/>
      <c r="F479" s="4"/>
      <c r="G479" s="4"/>
      <c r="H479" s="4"/>
      <c r="I479" s="1124"/>
      <c r="J479" s="4"/>
      <c r="K479" s="4"/>
      <c r="L479" s="4"/>
      <c r="M479" s="4"/>
      <c r="N479" s="4"/>
      <c r="O479" s="4"/>
      <c r="P479" s="4"/>
      <c r="Q479" s="4"/>
      <c r="R479" s="1126"/>
      <c r="S479" s="711"/>
    </row>
    <row r="480" spans="1:19" ht="15.75" hidden="1" customHeight="1">
      <c r="A480" s="4"/>
      <c r="B480" s="4"/>
      <c r="C480" s="4"/>
      <c r="D480" s="4"/>
      <c r="E480" s="4"/>
      <c r="F480" s="4"/>
      <c r="G480" s="4"/>
      <c r="H480" s="4"/>
      <c r="I480" s="1124"/>
      <c r="J480" s="4"/>
      <c r="K480" s="4"/>
      <c r="L480" s="4"/>
      <c r="M480" s="4"/>
      <c r="N480" s="4"/>
      <c r="O480" s="4"/>
      <c r="P480" s="4"/>
      <c r="Q480" s="4"/>
      <c r="R480" s="1126"/>
      <c r="S480" s="711"/>
    </row>
    <row r="481" spans="1:19" ht="15.75" hidden="1" customHeight="1">
      <c r="A481" s="4"/>
      <c r="B481" s="4"/>
      <c r="C481" s="4"/>
      <c r="D481" s="4"/>
      <c r="E481" s="4"/>
      <c r="F481" s="4"/>
      <c r="G481" s="4"/>
      <c r="H481" s="4"/>
      <c r="I481" s="1124"/>
      <c r="J481" s="4"/>
      <c r="K481" s="4"/>
      <c r="L481" s="4"/>
      <c r="M481" s="4"/>
      <c r="N481" s="4"/>
      <c r="O481" s="4"/>
      <c r="P481" s="4"/>
      <c r="Q481" s="4"/>
      <c r="R481" s="1126"/>
      <c r="S481" s="711"/>
    </row>
    <row r="482" spans="1:19" ht="15.75" hidden="1" customHeight="1">
      <c r="A482" s="4"/>
      <c r="B482" s="4"/>
      <c r="C482" s="4"/>
      <c r="D482" s="4"/>
      <c r="E482" s="4"/>
      <c r="F482" s="4"/>
      <c r="G482" s="4"/>
      <c r="H482" s="4"/>
      <c r="I482" s="1124"/>
      <c r="J482" s="4"/>
      <c r="K482" s="4"/>
      <c r="L482" s="4"/>
      <c r="M482" s="4"/>
      <c r="N482" s="4"/>
      <c r="O482" s="4"/>
      <c r="P482" s="4"/>
      <c r="Q482" s="4"/>
      <c r="R482" s="1126"/>
      <c r="S482" s="711"/>
    </row>
    <row r="483" spans="1:19" ht="15.75" hidden="1" customHeight="1">
      <c r="A483" s="4"/>
      <c r="B483" s="4"/>
      <c r="C483" s="4"/>
      <c r="D483" s="4"/>
      <c r="E483" s="4"/>
      <c r="F483" s="4"/>
      <c r="G483" s="4"/>
      <c r="H483" s="4"/>
      <c r="I483" s="1124"/>
      <c r="J483" s="4"/>
      <c r="K483" s="4"/>
      <c r="L483" s="4"/>
      <c r="M483" s="4"/>
      <c r="N483" s="4"/>
      <c r="O483" s="4"/>
      <c r="P483" s="4"/>
      <c r="Q483" s="4"/>
      <c r="R483" s="1126"/>
      <c r="S483" s="711"/>
    </row>
    <row r="484" spans="1:19" ht="15.75" hidden="1" customHeight="1">
      <c r="A484" s="4"/>
      <c r="B484" s="4"/>
      <c r="C484" s="4"/>
      <c r="D484" s="4"/>
      <c r="E484" s="4"/>
      <c r="F484" s="4"/>
      <c r="G484" s="4"/>
      <c r="H484" s="4"/>
      <c r="I484" s="1124"/>
      <c r="J484" s="4"/>
      <c r="K484" s="4"/>
      <c r="L484" s="4"/>
      <c r="M484" s="4"/>
      <c r="N484" s="4"/>
      <c r="O484" s="4"/>
      <c r="P484" s="4"/>
      <c r="Q484" s="4"/>
      <c r="R484" s="1126"/>
      <c r="S484" s="711"/>
    </row>
    <row r="485" spans="1:19" ht="15.75" hidden="1" customHeight="1">
      <c r="A485" s="4"/>
      <c r="B485" s="4"/>
      <c r="C485" s="4"/>
      <c r="D485" s="4"/>
      <c r="E485" s="4"/>
      <c r="F485" s="4"/>
      <c r="G485" s="4"/>
      <c r="H485" s="4"/>
      <c r="I485" s="1124"/>
      <c r="J485" s="4"/>
      <c r="K485" s="4"/>
      <c r="L485" s="4"/>
      <c r="M485" s="4"/>
      <c r="N485" s="4"/>
      <c r="O485" s="4"/>
      <c r="P485" s="4"/>
      <c r="Q485" s="4"/>
      <c r="R485" s="1126"/>
      <c r="S485" s="711"/>
    </row>
    <row r="486" spans="1:19" ht="15.75" hidden="1" customHeight="1">
      <c r="A486" s="4"/>
      <c r="B486" s="4"/>
      <c r="C486" s="4"/>
      <c r="D486" s="4"/>
      <c r="E486" s="4"/>
      <c r="F486" s="4"/>
      <c r="G486" s="4"/>
      <c r="H486" s="4"/>
      <c r="I486" s="1124"/>
      <c r="J486" s="4"/>
      <c r="K486" s="4"/>
      <c r="L486" s="4"/>
      <c r="M486" s="4"/>
      <c r="N486" s="4"/>
      <c r="O486" s="4"/>
      <c r="P486" s="4"/>
      <c r="Q486" s="4"/>
      <c r="R486" s="1126"/>
      <c r="S486" s="711"/>
    </row>
    <row r="487" spans="1:19" ht="15.75" hidden="1" customHeight="1">
      <c r="A487" s="4"/>
      <c r="B487" s="4"/>
      <c r="C487" s="4"/>
      <c r="D487" s="4"/>
      <c r="E487" s="4"/>
      <c r="F487" s="4"/>
      <c r="G487" s="4"/>
      <c r="H487" s="4"/>
      <c r="I487" s="1124"/>
      <c r="J487" s="4"/>
      <c r="K487" s="4"/>
      <c r="L487" s="4"/>
      <c r="M487" s="4"/>
      <c r="N487" s="4"/>
      <c r="O487" s="4"/>
      <c r="P487" s="4"/>
      <c r="Q487" s="4"/>
      <c r="R487" s="1126"/>
      <c r="S487" s="711"/>
    </row>
    <row r="488" spans="1:19" ht="15.75" hidden="1" customHeight="1">
      <c r="A488" s="4"/>
      <c r="B488" s="4"/>
      <c r="C488" s="4"/>
      <c r="D488" s="4"/>
      <c r="E488" s="4"/>
      <c r="F488" s="4"/>
      <c r="G488" s="4"/>
      <c r="H488" s="4"/>
      <c r="I488" s="1124"/>
      <c r="J488" s="4"/>
      <c r="K488" s="4"/>
      <c r="L488" s="4"/>
      <c r="M488" s="4"/>
      <c r="N488" s="4"/>
      <c r="O488" s="4"/>
      <c r="P488" s="4"/>
      <c r="Q488" s="4"/>
      <c r="R488" s="1126"/>
      <c r="S488" s="711"/>
    </row>
    <row r="489" spans="1:19" ht="15.75" hidden="1" customHeight="1">
      <c r="A489" s="4"/>
      <c r="B489" s="4"/>
      <c r="C489" s="4"/>
      <c r="D489" s="4"/>
      <c r="E489" s="4"/>
      <c r="F489" s="4"/>
      <c r="G489" s="4"/>
      <c r="H489" s="4"/>
      <c r="I489" s="1124"/>
      <c r="J489" s="4"/>
      <c r="K489" s="4"/>
      <c r="L489" s="4"/>
      <c r="M489" s="4"/>
      <c r="N489" s="4"/>
      <c r="O489" s="4"/>
      <c r="P489" s="4"/>
      <c r="Q489" s="4"/>
      <c r="R489" s="1126"/>
      <c r="S489" s="711"/>
    </row>
    <row r="490" spans="1:19" ht="15.75" hidden="1" customHeight="1">
      <c r="A490" s="4"/>
      <c r="B490" s="4"/>
      <c r="C490" s="4"/>
      <c r="D490" s="4"/>
      <c r="E490" s="4"/>
      <c r="F490" s="4"/>
      <c r="G490" s="4"/>
      <c r="H490" s="4"/>
      <c r="I490" s="1124"/>
      <c r="J490" s="4"/>
      <c r="K490" s="4"/>
      <c r="L490" s="4"/>
      <c r="M490" s="4"/>
      <c r="N490" s="4"/>
      <c r="O490" s="4"/>
      <c r="P490" s="4"/>
      <c r="Q490" s="4"/>
      <c r="R490" s="1126"/>
      <c r="S490" s="711"/>
    </row>
    <row r="491" spans="1:19" ht="15.75" hidden="1" customHeight="1">
      <c r="A491" s="4"/>
      <c r="B491" s="4"/>
      <c r="C491" s="4"/>
      <c r="D491" s="4"/>
      <c r="E491" s="4"/>
      <c r="F491" s="4"/>
      <c r="G491" s="4"/>
      <c r="H491" s="4"/>
      <c r="I491" s="1124"/>
      <c r="J491" s="4"/>
      <c r="K491" s="4"/>
      <c r="L491" s="4"/>
      <c r="M491" s="4"/>
      <c r="N491" s="4"/>
      <c r="O491" s="4"/>
      <c r="P491" s="4"/>
      <c r="Q491" s="4"/>
      <c r="R491" s="1126"/>
      <c r="S491" s="711"/>
    </row>
    <row r="492" spans="1:19" ht="15.75" hidden="1" customHeight="1">
      <c r="A492" s="4"/>
      <c r="B492" s="4"/>
      <c r="C492" s="4"/>
      <c r="D492" s="4"/>
      <c r="E492" s="4"/>
      <c r="F492" s="4"/>
      <c r="G492" s="4"/>
      <c r="H492" s="4"/>
      <c r="I492" s="1124"/>
      <c r="J492" s="4"/>
      <c r="K492" s="4"/>
      <c r="L492" s="4"/>
      <c r="M492" s="4"/>
      <c r="N492" s="4"/>
      <c r="O492" s="4"/>
      <c r="P492" s="4"/>
      <c r="Q492" s="4"/>
      <c r="R492" s="1126"/>
      <c r="S492" s="711"/>
    </row>
    <row r="493" spans="1:19" ht="15.75" hidden="1" customHeight="1">
      <c r="A493" s="4"/>
      <c r="B493" s="4"/>
      <c r="C493" s="4"/>
      <c r="D493" s="4"/>
      <c r="E493" s="4"/>
      <c r="F493" s="4"/>
      <c r="G493" s="4"/>
      <c r="H493" s="4"/>
      <c r="I493" s="1124"/>
      <c r="J493" s="4"/>
      <c r="K493" s="4"/>
      <c r="L493" s="4"/>
      <c r="M493" s="4"/>
      <c r="N493" s="4"/>
      <c r="O493" s="4"/>
      <c r="P493" s="4"/>
      <c r="Q493" s="4"/>
      <c r="R493" s="1126"/>
      <c r="S493" s="711"/>
    </row>
    <row r="494" spans="1:19" ht="15.75" hidden="1" customHeight="1">
      <c r="A494" s="4"/>
      <c r="B494" s="4"/>
      <c r="C494" s="4"/>
      <c r="D494" s="4"/>
      <c r="E494" s="4"/>
      <c r="F494" s="4"/>
      <c r="G494" s="4"/>
      <c r="H494" s="4"/>
      <c r="I494" s="1124"/>
      <c r="J494" s="4"/>
      <c r="K494" s="4"/>
      <c r="L494" s="4"/>
      <c r="M494" s="4"/>
      <c r="N494" s="4"/>
      <c r="O494" s="4"/>
      <c r="P494" s="4"/>
      <c r="Q494" s="4"/>
      <c r="R494" s="1126"/>
      <c r="S494" s="711"/>
    </row>
    <row r="495" spans="1:19" ht="15.75" hidden="1" customHeight="1">
      <c r="A495" s="4"/>
      <c r="B495" s="4"/>
      <c r="C495" s="4"/>
      <c r="D495" s="4"/>
      <c r="E495" s="4"/>
      <c r="F495" s="4"/>
      <c r="G495" s="4"/>
      <c r="H495" s="4"/>
      <c r="I495" s="1124"/>
      <c r="J495" s="4"/>
      <c r="K495" s="4"/>
      <c r="L495" s="4"/>
      <c r="M495" s="4"/>
      <c r="N495" s="4"/>
      <c r="O495" s="4"/>
      <c r="P495" s="4"/>
      <c r="Q495" s="4"/>
      <c r="R495" s="1126"/>
      <c r="S495" s="711"/>
    </row>
    <row r="496" spans="1:19" ht="15.75" hidden="1" customHeight="1">
      <c r="A496" s="4"/>
      <c r="B496" s="4"/>
      <c r="C496" s="4"/>
      <c r="D496" s="4"/>
      <c r="E496" s="4"/>
      <c r="F496" s="4"/>
      <c r="G496" s="4"/>
      <c r="H496" s="4"/>
      <c r="I496" s="1124"/>
      <c r="J496" s="4"/>
      <c r="K496" s="4"/>
      <c r="L496" s="4"/>
      <c r="M496" s="4"/>
      <c r="N496" s="4"/>
      <c r="O496" s="4"/>
      <c r="P496" s="4"/>
      <c r="Q496" s="4"/>
      <c r="R496" s="1126"/>
      <c r="S496" s="711"/>
    </row>
    <row r="497" spans="1:19" ht="15.75" hidden="1" customHeight="1">
      <c r="A497" s="4"/>
      <c r="B497" s="4"/>
      <c r="C497" s="4"/>
      <c r="D497" s="4"/>
      <c r="E497" s="4"/>
      <c r="F497" s="4"/>
      <c r="G497" s="4"/>
      <c r="H497" s="4"/>
      <c r="I497" s="1124"/>
      <c r="J497" s="4"/>
      <c r="K497" s="4"/>
      <c r="L497" s="4"/>
      <c r="M497" s="4"/>
      <c r="N497" s="4"/>
      <c r="O497" s="4"/>
      <c r="P497" s="4"/>
      <c r="Q497" s="4"/>
      <c r="R497" s="1126"/>
      <c r="S497" s="711"/>
    </row>
    <row r="498" spans="1:19" ht="15.75" hidden="1" customHeight="1">
      <c r="A498" s="4"/>
      <c r="B498" s="4"/>
      <c r="C498" s="4"/>
      <c r="D498" s="4"/>
      <c r="E498" s="4"/>
      <c r="F498" s="4"/>
      <c r="G498" s="4"/>
      <c r="H498" s="4"/>
      <c r="I498" s="1124"/>
      <c r="J498" s="4"/>
      <c r="K498" s="4"/>
      <c r="L498" s="4"/>
      <c r="M498" s="4"/>
      <c r="N498" s="4"/>
      <c r="O498" s="4"/>
      <c r="P498" s="4"/>
      <c r="Q498" s="4"/>
      <c r="R498" s="1126"/>
      <c r="S498" s="711"/>
    </row>
    <row r="499" spans="1:19" ht="15.75" hidden="1" customHeight="1">
      <c r="A499" s="4"/>
      <c r="B499" s="4"/>
      <c r="C499" s="4"/>
      <c r="D499" s="4"/>
      <c r="E499" s="4"/>
      <c r="F499" s="4"/>
      <c r="G499" s="4"/>
      <c r="H499" s="4"/>
      <c r="I499" s="1124"/>
      <c r="J499" s="4"/>
      <c r="K499" s="4"/>
      <c r="L499" s="4"/>
      <c r="M499" s="4"/>
      <c r="N499" s="4"/>
      <c r="O499" s="4"/>
      <c r="P499" s="4"/>
      <c r="Q499" s="4"/>
      <c r="R499" s="1126"/>
      <c r="S499" s="711"/>
    </row>
    <row r="500" spans="1:19" ht="15.75" hidden="1" customHeight="1">
      <c r="A500" s="4"/>
      <c r="B500" s="4"/>
      <c r="C500" s="4"/>
      <c r="D500" s="4"/>
      <c r="E500" s="4"/>
      <c r="F500" s="4"/>
      <c r="G500" s="4"/>
      <c r="H500" s="4"/>
      <c r="I500" s="1124"/>
      <c r="J500" s="4"/>
      <c r="K500" s="4"/>
      <c r="L500" s="4"/>
      <c r="M500" s="4"/>
      <c r="N500" s="4"/>
      <c r="O500" s="4"/>
      <c r="P500" s="4"/>
      <c r="Q500" s="4"/>
      <c r="R500" s="1126"/>
      <c r="S500" s="711"/>
    </row>
    <row r="501" spans="1:19" ht="15.75" hidden="1" customHeight="1">
      <c r="A501" s="4"/>
      <c r="B501" s="4"/>
      <c r="C501" s="4"/>
      <c r="D501" s="4"/>
      <c r="E501" s="4"/>
      <c r="F501" s="4"/>
      <c r="G501" s="4"/>
      <c r="H501" s="4"/>
      <c r="I501" s="1124"/>
      <c r="J501" s="4"/>
      <c r="K501" s="4"/>
      <c r="L501" s="4"/>
      <c r="M501" s="4"/>
      <c r="N501" s="4"/>
      <c r="O501" s="4"/>
      <c r="P501" s="4"/>
      <c r="Q501" s="4"/>
      <c r="R501" s="1126"/>
      <c r="S501" s="711"/>
    </row>
    <row r="502" spans="1:19" ht="15.75" hidden="1" customHeight="1">
      <c r="A502" s="4"/>
      <c r="B502" s="4"/>
      <c r="C502" s="4"/>
      <c r="D502" s="4"/>
      <c r="E502" s="4"/>
      <c r="F502" s="4"/>
      <c r="G502" s="4"/>
      <c r="H502" s="4"/>
      <c r="I502" s="1124"/>
      <c r="J502" s="4"/>
      <c r="K502" s="4"/>
      <c r="L502" s="4"/>
      <c r="M502" s="4"/>
      <c r="N502" s="4"/>
      <c r="O502" s="4"/>
      <c r="P502" s="4"/>
      <c r="Q502" s="4"/>
      <c r="R502" s="1126"/>
      <c r="S502" s="711"/>
    </row>
    <row r="503" spans="1:19" ht="15.75" hidden="1" customHeight="1">
      <c r="A503" s="4"/>
      <c r="B503" s="4"/>
      <c r="C503" s="4"/>
      <c r="D503" s="4"/>
      <c r="E503" s="4"/>
      <c r="F503" s="4"/>
      <c r="G503" s="4"/>
      <c r="H503" s="4"/>
      <c r="I503" s="1124"/>
      <c r="J503" s="4"/>
      <c r="K503" s="4"/>
      <c r="L503" s="4"/>
      <c r="M503" s="4"/>
      <c r="N503" s="4"/>
      <c r="O503" s="4"/>
      <c r="P503" s="4"/>
      <c r="Q503" s="4"/>
      <c r="R503" s="1126"/>
      <c r="S503" s="711"/>
    </row>
    <row r="504" spans="1:19" ht="15.75" hidden="1" customHeight="1">
      <c r="A504" s="4"/>
      <c r="B504" s="4"/>
      <c r="C504" s="4"/>
      <c r="D504" s="4"/>
      <c r="E504" s="4"/>
      <c r="F504" s="4"/>
      <c r="G504" s="4"/>
      <c r="H504" s="4"/>
      <c r="I504" s="1124"/>
      <c r="J504" s="4"/>
      <c r="K504" s="4"/>
      <c r="L504" s="4"/>
      <c r="M504" s="4"/>
      <c r="N504" s="4"/>
      <c r="O504" s="4"/>
      <c r="P504" s="4"/>
      <c r="Q504" s="4"/>
      <c r="R504" s="1126"/>
      <c r="S504" s="711"/>
    </row>
    <row r="505" spans="1:19" ht="15.75" hidden="1" customHeight="1">
      <c r="A505" s="4"/>
      <c r="B505" s="4"/>
      <c r="C505" s="4"/>
      <c r="D505" s="4"/>
      <c r="E505" s="4"/>
      <c r="F505" s="4"/>
      <c r="G505" s="4"/>
      <c r="H505" s="4"/>
      <c r="I505" s="1124"/>
      <c r="J505" s="4"/>
      <c r="K505" s="4"/>
      <c r="L505" s="4"/>
      <c r="M505" s="4"/>
      <c r="N505" s="4"/>
      <c r="O505" s="4"/>
      <c r="P505" s="4"/>
      <c r="Q505" s="4"/>
      <c r="R505" s="1126"/>
      <c r="S505" s="711"/>
    </row>
    <row r="506" spans="1:19" ht="15.75" hidden="1" customHeight="1">
      <c r="A506" s="4"/>
      <c r="B506" s="4"/>
      <c r="C506" s="4"/>
      <c r="D506" s="4"/>
      <c r="E506" s="4"/>
      <c r="F506" s="4"/>
      <c r="G506" s="4"/>
      <c r="H506" s="4"/>
      <c r="I506" s="1124"/>
      <c r="J506" s="4"/>
      <c r="K506" s="4"/>
      <c r="L506" s="4"/>
      <c r="M506" s="4"/>
      <c r="N506" s="4"/>
      <c r="O506" s="4"/>
      <c r="P506" s="4"/>
      <c r="Q506" s="4"/>
      <c r="R506" s="1126"/>
      <c r="S506" s="711"/>
    </row>
    <row r="507" spans="1:19" ht="15.75" hidden="1" customHeight="1">
      <c r="A507" s="4"/>
      <c r="B507" s="4"/>
      <c r="C507" s="4"/>
      <c r="D507" s="4"/>
      <c r="E507" s="4"/>
      <c r="F507" s="4"/>
      <c r="G507" s="4"/>
      <c r="H507" s="4"/>
      <c r="I507" s="1124"/>
      <c r="J507" s="4"/>
      <c r="K507" s="4"/>
      <c r="L507" s="4"/>
      <c r="M507" s="4"/>
      <c r="N507" s="4"/>
      <c r="O507" s="4"/>
      <c r="P507" s="4"/>
      <c r="Q507" s="4"/>
      <c r="R507" s="1126"/>
      <c r="S507" s="711"/>
    </row>
    <row r="508" spans="1:19" ht="15.75" hidden="1" customHeight="1">
      <c r="A508" s="4"/>
      <c r="B508" s="4"/>
      <c r="C508" s="4"/>
      <c r="D508" s="4"/>
      <c r="E508" s="4"/>
      <c r="F508" s="4"/>
      <c r="G508" s="4"/>
      <c r="H508" s="4"/>
      <c r="I508" s="1124"/>
      <c r="J508" s="4"/>
      <c r="K508" s="4"/>
      <c r="L508" s="4"/>
      <c r="M508" s="4"/>
      <c r="N508" s="4"/>
      <c r="O508" s="4"/>
      <c r="P508" s="4"/>
      <c r="Q508" s="4"/>
      <c r="R508" s="1126"/>
      <c r="S508" s="711"/>
    </row>
    <row r="509" spans="1:19" ht="15.75" hidden="1" customHeight="1">
      <c r="A509" s="4"/>
      <c r="B509" s="4"/>
      <c r="C509" s="4"/>
      <c r="D509" s="4"/>
      <c r="E509" s="4"/>
      <c r="F509" s="4"/>
      <c r="G509" s="4"/>
      <c r="H509" s="4"/>
      <c r="I509" s="1124"/>
      <c r="J509" s="4"/>
      <c r="K509" s="4"/>
      <c r="L509" s="4"/>
      <c r="M509" s="4"/>
      <c r="N509" s="4"/>
      <c r="O509" s="4"/>
      <c r="P509" s="4"/>
      <c r="Q509" s="4"/>
      <c r="R509" s="1126"/>
      <c r="S509" s="711"/>
    </row>
    <row r="510" spans="1:19" ht="15.75" hidden="1" customHeight="1">
      <c r="A510" s="4"/>
      <c r="B510" s="4"/>
      <c r="C510" s="4"/>
      <c r="D510" s="4"/>
      <c r="E510" s="4"/>
      <c r="F510" s="4"/>
      <c r="G510" s="4"/>
      <c r="H510" s="4"/>
      <c r="I510" s="1124"/>
      <c r="J510" s="4"/>
      <c r="K510" s="4"/>
      <c r="L510" s="4"/>
      <c r="M510" s="4"/>
      <c r="N510" s="4"/>
      <c r="O510" s="4"/>
      <c r="P510" s="4"/>
      <c r="Q510" s="4"/>
      <c r="R510" s="1126"/>
      <c r="S510" s="711"/>
    </row>
    <row r="511" spans="1:19" ht="15.75" hidden="1" customHeight="1">
      <c r="A511" s="4"/>
      <c r="B511" s="4"/>
      <c r="C511" s="4"/>
      <c r="D511" s="4"/>
      <c r="E511" s="4"/>
      <c r="F511" s="4"/>
      <c r="G511" s="4"/>
      <c r="H511" s="4"/>
      <c r="I511" s="1124"/>
      <c r="J511" s="4"/>
      <c r="K511" s="4"/>
      <c r="L511" s="4"/>
      <c r="M511" s="4"/>
      <c r="N511" s="4"/>
      <c r="O511" s="4"/>
      <c r="P511" s="4"/>
      <c r="Q511" s="4"/>
      <c r="R511" s="1126"/>
      <c r="S511" s="711"/>
    </row>
    <row r="512" spans="1:19" ht="15.75" hidden="1" customHeight="1">
      <c r="A512" s="4"/>
      <c r="B512" s="4"/>
      <c r="C512" s="4"/>
      <c r="D512" s="4"/>
      <c r="E512" s="4"/>
      <c r="F512" s="4"/>
      <c r="G512" s="4"/>
      <c r="H512" s="4"/>
      <c r="I512" s="1124"/>
      <c r="J512" s="4"/>
      <c r="K512" s="4"/>
      <c r="L512" s="4"/>
      <c r="M512" s="4"/>
      <c r="N512" s="4"/>
      <c r="O512" s="4"/>
      <c r="P512" s="4"/>
      <c r="Q512" s="4"/>
      <c r="R512" s="1126"/>
      <c r="S512" s="711"/>
    </row>
    <row r="513" spans="1:19" ht="15.75" hidden="1" customHeight="1">
      <c r="A513" s="4"/>
      <c r="B513" s="4"/>
      <c r="C513" s="4"/>
      <c r="D513" s="4"/>
      <c r="E513" s="4"/>
      <c r="F513" s="4"/>
      <c r="G513" s="4"/>
      <c r="H513" s="4"/>
      <c r="I513" s="1124"/>
      <c r="J513" s="4"/>
      <c r="K513" s="4"/>
      <c r="L513" s="4"/>
      <c r="M513" s="4"/>
      <c r="N513" s="4"/>
      <c r="O513" s="4"/>
      <c r="P513" s="4"/>
      <c r="Q513" s="4"/>
      <c r="R513" s="1126"/>
      <c r="S513" s="711"/>
    </row>
    <row r="514" spans="1:19" ht="15.75" hidden="1" customHeight="1">
      <c r="A514" s="4"/>
      <c r="B514" s="4"/>
      <c r="C514" s="4"/>
      <c r="D514" s="4"/>
      <c r="E514" s="4"/>
      <c r="F514" s="4"/>
      <c r="G514" s="4"/>
      <c r="H514" s="4"/>
      <c r="I514" s="1124"/>
      <c r="J514" s="4"/>
      <c r="K514" s="4"/>
      <c r="L514" s="4"/>
      <c r="M514" s="4"/>
      <c r="N514" s="4"/>
      <c r="O514" s="4"/>
      <c r="P514" s="4"/>
      <c r="Q514" s="4"/>
      <c r="R514" s="1126"/>
      <c r="S514" s="711"/>
    </row>
    <row r="515" spans="1:19" ht="15.75" hidden="1" customHeight="1">
      <c r="A515" s="4"/>
      <c r="B515" s="4"/>
      <c r="C515" s="4"/>
      <c r="D515" s="4"/>
      <c r="E515" s="4"/>
      <c r="F515" s="4"/>
      <c r="G515" s="4"/>
      <c r="H515" s="4"/>
      <c r="I515" s="1124"/>
      <c r="J515" s="4"/>
      <c r="K515" s="4"/>
      <c r="L515" s="4"/>
      <c r="M515" s="4"/>
      <c r="N515" s="4"/>
      <c r="O515" s="4"/>
      <c r="P515" s="4"/>
      <c r="Q515" s="4"/>
      <c r="R515" s="1126"/>
      <c r="S515" s="711"/>
    </row>
    <row r="516" spans="1:19" ht="15.75" hidden="1" customHeight="1">
      <c r="A516" s="4"/>
      <c r="B516" s="4"/>
      <c r="C516" s="4"/>
      <c r="D516" s="4"/>
      <c r="E516" s="4"/>
      <c r="F516" s="4"/>
      <c r="G516" s="4"/>
      <c r="H516" s="4"/>
      <c r="I516" s="1124"/>
      <c r="J516" s="4"/>
      <c r="K516" s="4"/>
      <c r="L516" s="4"/>
      <c r="M516" s="4"/>
      <c r="N516" s="4"/>
      <c r="O516" s="4"/>
      <c r="P516" s="4"/>
      <c r="Q516" s="4"/>
      <c r="R516" s="1126"/>
      <c r="S516" s="711"/>
    </row>
    <row r="517" spans="1:19" ht="15.75" hidden="1" customHeight="1">
      <c r="A517" s="4"/>
      <c r="B517" s="4"/>
      <c r="C517" s="4"/>
      <c r="D517" s="4"/>
      <c r="E517" s="4"/>
      <c r="F517" s="4"/>
      <c r="G517" s="4"/>
      <c r="H517" s="4"/>
      <c r="I517" s="1124"/>
      <c r="J517" s="4"/>
      <c r="K517" s="4"/>
      <c r="L517" s="4"/>
      <c r="M517" s="4"/>
      <c r="N517" s="4"/>
      <c r="O517" s="4"/>
      <c r="P517" s="4"/>
      <c r="Q517" s="4"/>
      <c r="R517" s="1126"/>
      <c r="S517" s="711"/>
    </row>
    <row r="518" spans="1:19" ht="15.75" hidden="1" customHeight="1">
      <c r="A518" s="4"/>
      <c r="B518" s="4"/>
      <c r="C518" s="4"/>
      <c r="D518" s="4"/>
      <c r="E518" s="4"/>
      <c r="F518" s="4"/>
      <c r="G518" s="4"/>
      <c r="H518" s="4"/>
      <c r="I518" s="1124"/>
      <c r="J518" s="4"/>
      <c r="K518" s="4"/>
      <c r="L518" s="4"/>
      <c r="M518" s="4"/>
      <c r="N518" s="4"/>
      <c r="O518" s="4"/>
      <c r="P518" s="4"/>
      <c r="Q518" s="4"/>
      <c r="R518" s="1126"/>
      <c r="S518" s="711"/>
    </row>
    <row r="519" spans="1:19" ht="15.75" hidden="1" customHeight="1">
      <c r="A519" s="4"/>
      <c r="B519" s="4"/>
      <c r="C519" s="4"/>
      <c r="D519" s="4"/>
      <c r="E519" s="4"/>
      <c r="F519" s="4"/>
      <c r="G519" s="4"/>
      <c r="H519" s="4"/>
      <c r="I519" s="1124"/>
      <c r="J519" s="4"/>
      <c r="K519" s="4"/>
      <c r="L519" s="4"/>
      <c r="M519" s="4"/>
      <c r="N519" s="4"/>
      <c r="O519" s="4"/>
      <c r="P519" s="4"/>
      <c r="Q519" s="4"/>
      <c r="R519" s="1126"/>
      <c r="S519" s="711"/>
    </row>
    <row r="520" spans="1:19" ht="15.75" hidden="1" customHeight="1">
      <c r="A520" s="4"/>
      <c r="B520" s="4"/>
      <c r="C520" s="4"/>
      <c r="D520" s="4"/>
      <c r="E520" s="4"/>
      <c r="F520" s="4"/>
      <c r="G520" s="4"/>
      <c r="H520" s="4"/>
      <c r="I520" s="1124"/>
      <c r="J520" s="4"/>
      <c r="K520" s="4"/>
      <c r="L520" s="4"/>
      <c r="M520" s="4"/>
      <c r="N520" s="4"/>
      <c r="O520" s="4"/>
      <c r="P520" s="4"/>
      <c r="Q520" s="4"/>
      <c r="R520" s="1126"/>
      <c r="S520" s="711"/>
    </row>
    <row r="521" spans="1:19" ht="15.75" hidden="1" customHeight="1">
      <c r="A521" s="4"/>
      <c r="B521" s="4"/>
      <c r="C521" s="4"/>
      <c r="D521" s="4"/>
      <c r="E521" s="4"/>
      <c r="F521" s="4"/>
      <c r="G521" s="4"/>
      <c r="H521" s="4"/>
      <c r="I521" s="1124"/>
      <c r="J521" s="4"/>
      <c r="K521" s="4"/>
      <c r="L521" s="4"/>
      <c r="M521" s="4"/>
      <c r="N521" s="4"/>
      <c r="O521" s="4"/>
      <c r="P521" s="4"/>
      <c r="Q521" s="4"/>
      <c r="R521" s="1126"/>
      <c r="S521" s="711"/>
    </row>
    <row r="522" spans="1:19" ht="15.75" hidden="1" customHeight="1">
      <c r="A522" s="4"/>
      <c r="B522" s="4"/>
      <c r="C522" s="4"/>
      <c r="D522" s="4"/>
      <c r="E522" s="4"/>
      <c r="F522" s="4"/>
      <c r="G522" s="4"/>
      <c r="H522" s="4"/>
      <c r="I522" s="1124"/>
      <c r="J522" s="4"/>
      <c r="K522" s="4"/>
      <c r="L522" s="4"/>
      <c r="M522" s="4"/>
      <c r="N522" s="4"/>
      <c r="O522" s="4"/>
      <c r="P522" s="4"/>
      <c r="Q522" s="4"/>
      <c r="R522" s="1126"/>
      <c r="S522" s="711"/>
    </row>
    <row r="523" spans="1:19" ht="15.75" hidden="1" customHeight="1">
      <c r="A523" s="4"/>
      <c r="B523" s="4"/>
      <c r="C523" s="4"/>
      <c r="D523" s="4"/>
      <c r="E523" s="4"/>
      <c r="F523" s="4"/>
      <c r="G523" s="4"/>
      <c r="H523" s="4"/>
      <c r="I523" s="1124"/>
      <c r="J523" s="4"/>
      <c r="K523" s="4"/>
      <c r="L523" s="4"/>
      <c r="M523" s="4"/>
      <c r="N523" s="4"/>
      <c r="O523" s="4"/>
      <c r="P523" s="4"/>
      <c r="Q523" s="4"/>
      <c r="R523" s="1126"/>
      <c r="S523" s="711"/>
    </row>
    <row r="524" spans="1:19" ht="15.75" hidden="1" customHeight="1">
      <c r="A524" s="4"/>
      <c r="B524" s="4"/>
      <c r="C524" s="4"/>
      <c r="D524" s="4"/>
      <c r="E524" s="4"/>
      <c r="F524" s="4"/>
      <c r="G524" s="4"/>
      <c r="H524" s="4"/>
      <c r="I524" s="1124"/>
      <c r="J524" s="4"/>
      <c r="K524" s="4"/>
      <c r="L524" s="4"/>
      <c r="M524" s="4"/>
      <c r="N524" s="4"/>
      <c r="O524" s="4"/>
      <c r="P524" s="4"/>
      <c r="Q524" s="4"/>
      <c r="R524" s="1126"/>
      <c r="S524" s="711"/>
    </row>
    <row r="525" spans="1:19" ht="15.75" hidden="1" customHeight="1">
      <c r="A525" s="4"/>
      <c r="B525" s="4"/>
      <c r="C525" s="4"/>
      <c r="D525" s="4"/>
      <c r="E525" s="4"/>
      <c r="F525" s="4"/>
      <c r="G525" s="4"/>
      <c r="H525" s="4"/>
      <c r="I525" s="1124"/>
      <c r="J525" s="4"/>
      <c r="K525" s="4"/>
      <c r="L525" s="4"/>
      <c r="M525" s="4"/>
      <c r="N525" s="4"/>
      <c r="O525" s="4"/>
      <c r="P525" s="4"/>
      <c r="Q525" s="4"/>
      <c r="R525" s="1126"/>
      <c r="S525" s="711"/>
    </row>
    <row r="526" spans="1:19" ht="15.75" hidden="1" customHeight="1">
      <c r="A526" s="4"/>
      <c r="B526" s="4"/>
      <c r="C526" s="4"/>
      <c r="D526" s="4"/>
      <c r="E526" s="4"/>
      <c r="F526" s="4"/>
      <c r="G526" s="4"/>
      <c r="H526" s="4"/>
      <c r="I526" s="1124"/>
      <c r="J526" s="4"/>
      <c r="K526" s="4"/>
      <c r="L526" s="4"/>
      <c r="M526" s="4"/>
      <c r="N526" s="4"/>
      <c r="O526" s="4"/>
      <c r="P526" s="4"/>
      <c r="Q526" s="4"/>
      <c r="R526" s="1126"/>
      <c r="S526" s="711"/>
    </row>
    <row r="527" spans="1:19" ht="15.75" hidden="1" customHeight="1">
      <c r="A527" s="4"/>
      <c r="B527" s="4"/>
      <c r="C527" s="4"/>
      <c r="D527" s="4"/>
      <c r="E527" s="4"/>
      <c r="F527" s="4"/>
      <c r="G527" s="4"/>
      <c r="H527" s="4"/>
      <c r="I527" s="1124"/>
      <c r="J527" s="4"/>
      <c r="K527" s="4"/>
      <c r="L527" s="4"/>
      <c r="M527" s="4"/>
      <c r="N527" s="4"/>
      <c r="O527" s="4"/>
      <c r="P527" s="4"/>
      <c r="Q527" s="4"/>
      <c r="R527" s="1126"/>
      <c r="S527" s="711"/>
    </row>
    <row r="528" spans="1:19" ht="15.75" hidden="1" customHeight="1">
      <c r="A528" s="4"/>
      <c r="B528" s="4"/>
      <c r="C528" s="4"/>
      <c r="D528" s="4"/>
      <c r="E528" s="4"/>
      <c r="F528" s="4"/>
      <c r="G528" s="4"/>
      <c r="H528" s="4"/>
      <c r="I528" s="1124"/>
      <c r="J528" s="4"/>
      <c r="K528" s="4"/>
      <c r="L528" s="4"/>
      <c r="M528" s="4"/>
      <c r="N528" s="4"/>
      <c r="O528" s="4"/>
      <c r="P528" s="4"/>
      <c r="Q528" s="4"/>
      <c r="R528" s="1126"/>
      <c r="S528" s="711"/>
    </row>
    <row r="529" spans="1:19" ht="15.75" hidden="1" customHeight="1">
      <c r="A529" s="4"/>
      <c r="B529" s="4"/>
      <c r="C529" s="4"/>
      <c r="D529" s="4"/>
      <c r="E529" s="4"/>
      <c r="F529" s="4"/>
      <c r="G529" s="4"/>
      <c r="H529" s="4"/>
      <c r="I529" s="1124"/>
      <c r="J529" s="4"/>
      <c r="K529" s="4"/>
      <c r="L529" s="4"/>
      <c r="M529" s="4"/>
      <c r="N529" s="4"/>
      <c r="O529" s="4"/>
      <c r="P529" s="4"/>
      <c r="Q529" s="4"/>
      <c r="R529" s="1126"/>
      <c r="S529" s="711"/>
    </row>
    <row r="530" spans="1:19" ht="15.75" hidden="1" customHeight="1">
      <c r="A530" s="4"/>
      <c r="B530" s="4"/>
      <c r="C530" s="4"/>
      <c r="D530" s="4"/>
      <c r="E530" s="4"/>
      <c r="F530" s="4"/>
      <c r="G530" s="4"/>
      <c r="H530" s="4"/>
      <c r="I530" s="1124"/>
      <c r="J530" s="4"/>
      <c r="K530" s="4"/>
      <c r="L530" s="4"/>
      <c r="M530" s="4"/>
      <c r="N530" s="4"/>
      <c r="O530" s="4"/>
      <c r="P530" s="4"/>
      <c r="Q530" s="4"/>
      <c r="R530" s="1126"/>
      <c r="S530" s="711"/>
    </row>
    <row r="531" spans="1:19" ht="15.75" hidden="1" customHeight="1">
      <c r="A531" s="4"/>
      <c r="B531" s="4"/>
      <c r="C531" s="4"/>
      <c r="D531" s="4"/>
      <c r="E531" s="4"/>
      <c r="F531" s="4"/>
      <c r="G531" s="4"/>
      <c r="H531" s="4"/>
      <c r="I531" s="1124"/>
      <c r="J531" s="4"/>
      <c r="K531" s="4"/>
      <c r="L531" s="4"/>
      <c r="M531" s="4"/>
      <c r="N531" s="4"/>
      <c r="O531" s="4"/>
      <c r="P531" s="4"/>
      <c r="Q531" s="4"/>
      <c r="R531" s="1126"/>
      <c r="S531" s="711"/>
    </row>
    <row r="532" spans="1:19" ht="15.75" hidden="1" customHeight="1">
      <c r="A532" s="4"/>
      <c r="B532" s="4"/>
      <c r="C532" s="4"/>
      <c r="D532" s="4"/>
      <c r="E532" s="4"/>
      <c r="F532" s="4"/>
      <c r="G532" s="4"/>
      <c r="H532" s="4"/>
      <c r="I532" s="1124"/>
      <c r="J532" s="4"/>
      <c r="K532" s="4"/>
      <c r="L532" s="4"/>
      <c r="M532" s="4"/>
      <c r="N532" s="4"/>
      <c r="O532" s="4"/>
      <c r="P532" s="4"/>
      <c r="Q532" s="4"/>
      <c r="R532" s="1126"/>
      <c r="S532" s="711"/>
    </row>
    <row r="533" spans="1:19" ht="15.75" hidden="1" customHeight="1">
      <c r="A533" s="4"/>
      <c r="B533" s="4"/>
      <c r="C533" s="4"/>
      <c r="D533" s="4"/>
      <c r="E533" s="4"/>
      <c r="F533" s="4"/>
      <c r="G533" s="4"/>
      <c r="H533" s="4"/>
      <c r="I533" s="1124"/>
      <c r="J533" s="4"/>
      <c r="K533" s="4"/>
      <c r="L533" s="4"/>
      <c r="M533" s="4"/>
      <c r="N533" s="4"/>
      <c r="O533" s="4"/>
      <c r="P533" s="4"/>
      <c r="Q533" s="4"/>
      <c r="R533" s="1126"/>
      <c r="S533" s="711"/>
    </row>
    <row r="534" spans="1:19" ht="15.75" hidden="1" customHeight="1">
      <c r="A534" s="4"/>
      <c r="B534" s="4"/>
      <c r="C534" s="4"/>
      <c r="D534" s="4"/>
      <c r="E534" s="4"/>
      <c r="F534" s="4"/>
      <c r="G534" s="4"/>
      <c r="H534" s="4"/>
      <c r="I534" s="1124"/>
      <c r="J534" s="4"/>
      <c r="K534" s="4"/>
      <c r="L534" s="4"/>
      <c r="M534" s="4"/>
      <c r="N534" s="4"/>
      <c r="O534" s="4"/>
      <c r="P534" s="4"/>
      <c r="Q534" s="4"/>
      <c r="R534" s="1126"/>
      <c r="S534" s="711"/>
    </row>
    <row r="535" spans="1:19" ht="15.75" hidden="1" customHeight="1">
      <c r="A535" s="4"/>
      <c r="B535" s="4"/>
      <c r="C535" s="4"/>
      <c r="D535" s="4"/>
      <c r="E535" s="4"/>
      <c r="F535" s="4"/>
      <c r="G535" s="4"/>
      <c r="H535" s="4"/>
      <c r="I535" s="1124"/>
      <c r="J535" s="4"/>
      <c r="K535" s="4"/>
      <c r="L535" s="4"/>
      <c r="M535" s="4"/>
      <c r="N535" s="4"/>
      <c r="O535" s="4"/>
      <c r="P535" s="4"/>
      <c r="Q535" s="4"/>
      <c r="R535" s="1126"/>
      <c r="S535" s="711"/>
    </row>
    <row r="536" spans="1:19" ht="15.75" hidden="1" customHeight="1">
      <c r="A536" s="4"/>
      <c r="B536" s="4"/>
      <c r="C536" s="4"/>
      <c r="D536" s="4"/>
      <c r="E536" s="4"/>
      <c r="F536" s="4"/>
      <c r="G536" s="4"/>
      <c r="H536" s="4"/>
      <c r="I536" s="1124"/>
      <c r="J536" s="4"/>
      <c r="K536" s="4"/>
      <c r="L536" s="4"/>
      <c r="M536" s="4"/>
      <c r="N536" s="4"/>
      <c r="O536" s="4"/>
      <c r="P536" s="4"/>
      <c r="Q536" s="4"/>
      <c r="R536" s="1126"/>
      <c r="S536" s="711"/>
    </row>
    <row r="537" spans="1:19" ht="15.75" hidden="1" customHeight="1">
      <c r="A537" s="4"/>
      <c r="B537" s="4"/>
      <c r="C537" s="4"/>
      <c r="D537" s="4"/>
      <c r="E537" s="4"/>
      <c r="F537" s="4"/>
      <c r="G537" s="4"/>
      <c r="H537" s="4"/>
      <c r="I537" s="1124"/>
      <c r="J537" s="4"/>
      <c r="K537" s="4"/>
      <c r="L537" s="4"/>
      <c r="M537" s="4"/>
      <c r="N537" s="4"/>
      <c r="O537" s="4"/>
      <c r="P537" s="4"/>
      <c r="Q537" s="4"/>
      <c r="R537" s="1126"/>
      <c r="S537" s="711"/>
    </row>
    <row r="538" spans="1:19" ht="15.75" hidden="1" customHeight="1">
      <c r="A538" s="4"/>
      <c r="B538" s="4"/>
      <c r="C538" s="4"/>
      <c r="D538" s="4"/>
      <c r="E538" s="4"/>
      <c r="F538" s="4"/>
      <c r="G538" s="4"/>
      <c r="H538" s="4"/>
      <c r="I538" s="1124"/>
      <c r="J538" s="4"/>
      <c r="K538" s="4"/>
      <c r="L538" s="4"/>
      <c r="M538" s="4"/>
      <c r="N538" s="4"/>
      <c r="O538" s="4"/>
      <c r="P538" s="4"/>
      <c r="Q538" s="4"/>
      <c r="R538" s="1126"/>
      <c r="S538" s="711"/>
    </row>
    <row r="539" spans="1:19" ht="15.75" hidden="1" customHeight="1">
      <c r="A539" s="4"/>
      <c r="B539" s="4"/>
      <c r="C539" s="4"/>
      <c r="D539" s="4"/>
      <c r="E539" s="4"/>
      <c r="F539" s="4"/>
      <c r="G539" s="4"/>
      <c r="H539" s="4"/>
      <c r="I539" s="1124"/>
      <c r="J539" s="4"/>
      <c r="K539" s="4"/>
      <c r="L539" s="4"/>
      <c r="M539" s="4"/>
      <c r="N539" s="4"/>
      <c r="O539" s="4"/>
      <c r="P539" s="4"/>
      <c r="Q539" s="4"/>
      <c r="R539" s="1126"/>
      <c r="S539" s="711"/>
    </row>
    <row r="540" spans="1:19" ht="15.75" hidden="1" customHeight="1">
      <c r="A540" s="4"/>
      <c r="B540" s="4"/>
      <c r="C540" s="4"/>
      <c r="D540" s="4"/>
      <c r="E540" s="4"/>
      <c r="F540" s="4"/>
      <c r="G540" s="4"/>
      <c r="H540" s="4"/>
      <c r="I540" s="1124"/>
      <c r="J540" s="4"/>
      <c r="K540" s="4"/>
      <c r="L540" s="4"/>
      <c r="M540" s="4"/>
      <c r="N540" s="4"/>
      <c r="O540" s="4"/>
      <c r="P540" s="4"/>
      <c r="Q540" s="4"/>
      <c r="R540" s="1126"/>
      <c r="S540" s="711"/>
    </row>
    <row r="541" spans="1:19" ht="15.75" hidden="1" customHeight="1">
      <c r="A541" s="4"/>
      <c r="B541" s="4"/>
      <c r="C541" s="4"/>
      <c r="D541" s="4"/>
      <c r="E541" s="4"/>
      <c r="F541" s="4"/>
      <c r="G541" s="4"/>
      <c r="H541" s="4"/>
      <c r="I541" s="1124"/>
      <c r="J541" s="4"/>
      <c r="K541" s="4"/>
      <c r="L541" s="4"/>
      <c r="M541" s="4"/>
      <c r="N541" s="4"/>
      <c r="O541" s="4"/>
      <c r="P541" s="4"/>
      <c r="Q541" s="4"/>
      <c r="R541" s="1126"/>
      <c r="S541" s="711"/>
    </row>
    <row r="542" spans="1:19" ht="15.75" hidden="1" customHeight="1">
      <c r="A542" s="4"/>
      <c r="B542" s="4"/>
      <c r="C542" s="4"/>
      <c r="D542" s="4"/>
      <c r="E542" s="4"/>
      <c r="F542" s="4"/>
      <c r="G542" s="4"/>
      <c r="H542" s="4"/>
      <c r="I542" s="1124"/>
      <c r="J542" s="4"/>
      <c r="K542" s="4"/>
      <c r="L542" s="4"/>
      <c r="M542" s="4"/>
      <c r="N542" s="4"/>
      <c r="O542" s="4"/>
      <c r="P542" s="4"/>
      <c r="Q542" s="4"/>
      <c r="R542" s="1126"/>
      <c r="S542" s="711"/>
    </row>
    <row r="543" spans="1:19" ht="15.75" hidden="1" customHeight="1">
      <c r="A543" s="4"/>
      <c r="B543" s="4"/>
      <c r="C543" s="4"/>
      <c r="D543" s="4"/>
      <c r="E543" s="4"/>
      <c r="F543" s="4"/>
      <c r="G543" s="4"/>
      <c r="H543" s="4"/>
      <c r="I543" s="1124"/>
      <c r="J543" s="4"/>
      <c r="K543" s="4"/>
      <c r="L543" s="4"/>
      <c r="M543" s="4"/>
      <c r="N543" s="4"/>
      <c r="O543" s="4"/>
      <c r="P543" s="4"/>
      <c r="Q543" s="4"/>
      <c r="R543" s="1126"/>
      <c r="S543" s="711"/>
    </row>
    <row r="544" spans="1:19" ht="15.75" hidden="1" customHeight="1">
      <c r="A544" s="4"/>
      <c r="B544" s="4"/>
      <c r="C544" s="4"/>
      <c r="D544" s="4"/>
      <c r="E544" s="4"/>
      <c r="F544" s="4"/>
      <c r="G544" s="4"/>
      <c r="H544" s="4"/>
      <c r="I544" s="1124"/>
      <c r="J544" s="4"/>
      <c r="K544" s="4"/>
      <c r="L544" s="4"/>
      <c r="M544" s="4"/>
      <c r="N544" s="4"/>
      <c r="O544" s="4"/>
      <c r="P544" s="4"/>
      <c r="Q544" s="4"/>
      <c r="R544" s="1126"/>
      <c r="S544" s="711"/>
    </row>
    <row r="545" spans="1:19" ht="15.75" hidden="1" customHeight="1">
      <c r="A545" s="4"/>
      <c r="B545" s="4"/>
      <c r="C545" s="4"/>
      <c r="D545" s="4"/>
      <c r="E545" s="4"/>
      <c r="F545" s="4"/>
      <c r="G545" s="4"/>
      <c r="H545" s="4"/>
      <c r="I545" s="1124"/>
      <c r="J545" s="4"/>
      <c r="K545" s="4"/>
      <c r="L545" s="4"/>
      <c r="M545" s="4"/>
      <c r="N545" s="4"/>
      <c r="O545" s="4"/>
      <c r="P545" s="4"/>
      <c r="Q545" s="4"/>
      <c r="R545" s="1126"/>
      <c r="S545" s="711"/>
    </row>
    <row r="546" spans="1:19" ht="15.75" hidden="1" customHeight="1">
      <c r="A546" s="4"/>
      <c r="B546" s="4"/>
      <c r="C546" s="4"/>
      <c r="D546" s="4"/>
      <c r="E546" s="4"/>
      <c r="F546" s="4"/>
      <c r="G546" s="4"/>
      <c r="H546" s="4"/>
      <c r="I546" s="1124"/>
      <c r="J546" s="4"/>
      <c r="K546" s="4"/>
      <c r="L546" s="4"/>
      <c r="M546" s="4"/>
      <c r="N546" s="4"/>
      <c r="O546" s="4"/>
      <c r="P546" s="4"/>
      <c r="Q546" s="4"/>
      <c r="R546" s="1126"/>
      <c r="S546" s="711"/>
    </row>
    <row r="547" spans="1:19" ht="15.75" hidden="1" customHeight="1">
      <c r="A547" s="4"/>
      <c r="B547" s="4"/>
      <c r="C547" s="4"/>
      <c r="D547" s="4"/>
      <c r="E547" s="4"/>
      <c r="F547" s="4"/>
      <c r="G547" s="4"/>
      <c r="H547" s="4"/>
      <c r="I547" s="1124"/>
      <c r="J547" s="4"/>
      <c r="K547" s="4"/>
      <c r="L547" s="4"/>
      <c r="M547" s="4"/>
      <c r="N547" s="4"/>
      <c r="O547" s="4"/>
      <c r="P547" s="4"/>
      <c r="Q547" s="4"/>
      <c r="R547" s="1126"/>
      <c r="S547" s="711"/>
    </row>
    <row r="548" spans="1:19" ht="15.75" hidden="1" customHeight="1">
      <c r="A548" s="4"/>
      <c r="B548" s="4"/>
      <c r="C548" s="4"/>
      <c r="D548" s="4"/>
      <c r="E548" s="4"/>
      <c r="F548" s="4"/>
      <c r="G548" s="4"/>
      <c r="H548" s="4"/>
      <c r="I548" s="1124"/>
      <c r="J548" s="4"/>
      <c r="K548" s="4"/>
      <c r="L548" s="4"/>
      <c r="M548" s="4"/>
      <c r="N548" s="4"/>
      <c r="O548" s="4"/>
      <c r="P548" s="4"/>
      <c r="Q548" s="4"/>
      <c r="R548" s="1126"/>
      <c r="S548" s="711"/>
    </row>
    <row r="549" spans="1:19" ht="15.75" hidden="1" customHeight="1">
      <c r="A549" s="4"/>
      <c r="B549" s="4"/>
      <c r="C549" s="4"/>
      <c r="D549" s="4"/>
      <c r="E549" s="4"/>
      <c r="F549" s="4"/>
      <c r="G549" s="4"/>
      <c r="H549" s="4"/>
      <c r="I549" s="1124"/>
      <c r="J549" s="4"/>
      <c r="K549" s="4"/>
      <c r="L549" s="4"/>
      <c r="M549" s="4"/>
      <c r="N549" s="4"/>
      <c r="O549" s="4"/>
      <c r="P549" s="4"/>
      <c r="Q549" s="4"/>
      <c r="R549" s="1126"/>
      <c r="S549" s="711"/>
    </row>
    <row r="550" spans="1:19" ht="15.75" hidden="1" customHeight="1">
      <c r="A550" s="4"/>
      <c r="B550" s="4"/>
      <c r="C550" s="4"/>
      <c r="D550" s="4"/>
      <c r="E550" s="4"/>
      <c r="F550" s="4"/>
      <c r="G550" s="4"/>
      <c r="H550" s="4"/>
      <c r="I550" s="1124"/>
      <c r="J550" s="4"/>
      <c r="K550" s="4"/>
      <c r="L550" s="4"/>
      <c r="M550" s="4"/>
      <c r="N550" s="4"/>
      <c r="O550" s="4"/>
      <c r="P550" s="4"/>
      <c r="Q550" s="4"/>
      <c r="R550" s="1126"/>
      <c r="S550" s="711"/>
    </row>
    <row r="551" spans="1:19" ht="15.75" hidden="1" customHeight="1">
      <c r="A551" s="4"/>
      <c r="B551" s="4"/>
      <c r="C551" s="4"/>
      <c r="D551" s="4"/>
      <c r="E551" s="4"/>
      <c r="F551" s="4"/>
      <c r="G551" s="4"/>
      <c r="H551" s="4"/>
      <c r="I551" s="1124"/>
      <c r="J551" s="4"/>
      <c r="K551" s="4"/>
      <c r="L551" s="4"/>
      <c r="M551" s="4"/>
      <c r="N551" s="4"/>
      <c r="O551" s="4"/>
      <c r="P551" s="4"/>
      <c r="Q551" s="4"/>
      <c r="R551" s="1126"/>
      <c r="S551" s="711"/>
    </row>
    <row r="552" spans="1:19" ht="15.75" hidden="1" customHeight="1">
      <c r="A552" s="4"/>
      <c r="B552" s="4"/>
      <c r="C552" s="4"/>
      <c r="D552" s="4"/>
      <c r="E552" s="4"/>
      <c r="F552" s="4"/>
      <c r="G552" s="4"/>
      <c r="H552" s="4"/>
      <c r="I552" s="1124"/>
      <c r="J552" s="4"/>
      <c r="K552" s="4"/>
      <c r="L552" s="4"/>
      <c r="M552" s="4"/>
      <c r="N552" s="4"/>
      <c r="O552" s="4"/>
      <c r="P552" s="4"/>
      <c r="Q552" s="4"/>
      <c r="R552" s="1126"/>
      <c r="S552" s="711"/>
    </row>
    <row r="553" spans="1:19" ht="15.75" hidden="1" customHeight="1">
      <c r="A553" s="4"/>
      <c r="B553" s="4"/>
      <c r="C553" s="4"/>
      <c r="D553" s="4"/>
      <c r="E553" s="4"/>
      <c r="F553" s="4"/>
      <c r="G553" s="4"/>
      <c r="H553" s="4"/>
      <c r="I553" s="1124"/>
      <c r="J553" s="4"/>
      <c r="K553" s="4"/>
      <c r="L553" s="4"/>
      <c r="M553" s="4"/>
      <c r="N553" s="4"/>
      <c r="O553" s="4"/>
      <c r="P553" s="4"/>
      <c r="Q553" s="4"/>
      <c r="R553" s="1126"/>
      <c r="S553" s="711"/>
    </row>
    <row r="554" spans="1:19" ht="15.75" hidden="1" customHeight="1">
      <c r="A554" s="4"/>
      <c r="B554" s="4"/>
      <c r="C554" s="4"/>
      <c r="D554" s="4"/>
      <c r="E554" s="4"/>
      <c r="F554" s="4"/>
      <c r="G554" s="4"/>
      <c r="H554" s="4"/>
      <c r="I554" s="1124"/>
      <c r="J554" s="4"/>
      <c r="K554" s="4"/>
      <c r="L554" s="4"/>
      <c r="M554" s="4"/>
      <c r="N554" s="4"/>
      <c r="O554" s="4"/>
      <c r="P554" s="4"/>
      <c r="Q554" s="4"/>
      <c r="R554" s="1126"/>
      <c r="S554" s="711"/>
    </row>
    <row r="555" spans="1:19" ht="15.75" hidden="1" customHeight="1">
      <c r="A555" s="4"/>
      <c r="B555" s="4"/>
      <c r="C555" s="4"/>
      <c r="D555" s="4"/>
      <c r="E555" s="4"/>
      <c r="F555" s="4"/>
      <c r="G555" s="4"/>
      <c r="H555" s="4"/>
      <c r="I555" s="1124"/>
      <c r="J555" s="4"/>
      <c r="K555" s="4"/>
      <c r="L555" s="4"/>
      <c r="M555" s="4"/>
      <c r="N555" s="4"/>
      <c r="O555" s="4"/>
      <c r="P555" s="4"/>
      <c r="Q555" s="4"/>
      <c r="R555" s="1126"/>
      <c r="S555" s="711"/>
    </row>
    <row r="556" spans="1:19" ht="15.75" hidden="1" customHeight="1">
      <c r="A556" s="4"/>
      <c r="B556" s="4"/>
      <c r="C556" s="4"/>
      <c r="D556" s="4"/>
      <c r="E556" s="4"/>
      <c r="F556" s="4"/>
      <c r="G556" s="4"/>
      <c r="H556" s="4"/>
      <c r="I556" s="1124"/>
      <c r="J556" s="4"/>
      <c r="K556" s="4"/>
      <c r="L556" s="4"/>
      <c r="M556" s="4"/>
      <c r="N556" s="4"/>
      <c r="O556" s="4"/>
      <c r="P556" s="4"/>
      <c r="Q556" s="4"/>
      <c r="R556" s="1126"/>
      <c r="S556" s="711"/>
    </row>
    <row r="557" spans="1:19" ht="15.75" hidden="1" customHeight="1">
      <c r="A557" s="4"/>
      <c r="B557" s="4"/>
      <c r="C557" s="4"/>
      <c r="D557" s="4"/>
      <c r="E557" s="4"/>
      <c r="F557" s="4"/>
      <c r="G557" s="4"/>
      <c r="H557" s="4"/>
      <c r="I557" s="1124"/>
      <c r="J557" s="4"/>
      <c r="K557" s="4"/>
      <c r="L557" s="4"/>
      <c r="M557" s="4"/>
      <c r="N557" s="4"/>
      <c r="O557" s="4"/>
      <c r="P557" s="4"/>
      <c r="Q557" s="4"/>
      <c r="R557" s="1126"/>
      <c r="S557" s="711"/>
    </row>
    <row r="558" spans="1:19" ht="15.75" hidden="1" customHeight="1">
      <c r="A558" s="4"/>
      <c r="B558" s="4"/>
      <c r="C558" s="4"/>
      <c r="D558" s="4"/>
      <c r="E558" s="4"/>
      <c r="F558" s="4"/>
      <c r="G558" s="4"/>
      <c r="H558" s="4"/>
      <c r="I558" s="1124"/>
      <c r="J558" s="4"/>
      <c r="K558" s="4"/>
      <c r="L558" s="4"/>
      <c r="M558" s="4"/>
      <c r="N558" s="4"/>
      <c r="O558" s="4"/>
      <c r="P558" s="4"/>
      <c r="Q558" s="4"/>
      <c r="R558" s="1126"/>
      <c r="S558" s="711"/>
    </row>
    <row r="559" spans="1:19" ht="15.75" hidden="1" customHeight="1">
      <c r="A559" s="4"/>
      <c r="B559" s="4"/>
      <c r="C559" s="4"/>
      <c r="D559" s="4"/>
      <c r="E559" s="4"/>
      <c r="F559" s="4"/>
      <c r="G559" s="4"/>
      <c r="H559" s="4"/>
      <c r="I559" s="1124"/>
      <c r="J559" s="4"/>
      <c r="K559" s="4"/>
      <c r="L559" s="4"/>
      <c r="M559" s="4"/>
      <c r="N559" s="4"/>
      <c r="O559" s="4"/>
      <c r="P559" s="4"/>
      <c r="Q559" s="4"/>
      <c r="R559" s="1126"/>
      <c r="S559" s="711"/>
    </row>
    <row r="560" spans="1:19" ht="15.75" hidden="1" customHeight="1">
      <c r="A560" s="4"/>
      <c r="B560" s="4"/>
      <c r="C560" s="4"/>
      <c r="D560" s="4"/>
      <c r="E560" s="4"/>
      <c r="F560" s="4"/>
      <c r="G560" s="4"/>
      <c r="H560" s="4"/>
      <c r="I560" s="1124"/>
      <c r="J560" s="4"/>
      <c r="K560" s="4"/>
      <c r="L560" s="4"/>
      <c r="M560" s="4"/>
      <c r="N560" s="4"/>
      <c r="O560" s="4"/>
      <c r="P560" s="4"/>
      <c r="Q560" s="4"/>
      <c r="R560" s="1126"/>
      <c r="S560" s="711"/>
    </row>
    <row r="561" spans="1:19" ht="15.75" hidden="1" customHeight="1">
      <c r="A561" s="4"/>
      <c r="B561" s="4"/>
      <c r="C561" s="4"/>
      <c r="D561" s="4"/>
      <c r="E561" s="4"/>
      <c r="F561" s="4"/>
      <c r="G561" s="4"/>
      <c r="H561" s="4"/>
      <c r="I561" s="1124"/>
      <c r="J561" s="4"/>
      <c r="K561" s="4"/>
      <c r="L561" s="4"/>
      <c r="M561" s="4"/>
      <c r="N561" s="4"/>
      <c r="O561" s="4"/>
      <c r="P561" s="4"/>
      <c r="Q561" s="4"/>
      <c r="R561" s="1126"/>
      <c r="S561" s="711"/>
    </row>
    <row r="562" spans="1:19" ht="15.75" hidden="1" customHeight="1">
      <c r="A562" s="4"/>
      <c r="B562" s="4"/>
      <c r="C562" s="4"/>
      <c r="D562" s="4"/>
      <c r="E562" s="4"/>
      <c r="F562" s="4"/>
      <c r="G562" s="4"/>
      <c r="H562" s="4"/>
      <c r="I562" s="1124"/>
      <c r="J562" s="4"/>
      <c r="K562" s="4"/>
      <c r="L562" s="4"/>
      <c r="M562" s="4"/>
      <c r="N562" s="4"/>
      <c r="O562" s="4"/>
      <c r="P562" s="4"/>
      <c r="Q562" s="4"/>
      <c r="R562" s="1126"/>
      <c r="S562" s="711"/>
    </row>
    <row r="563" spans="1:19" ht="15.75" hidden="1" customHeight="1">
      <c r="A563" s="4"/>
      <c r="B563" s="4"/>
      <c r="C563" s="4"/>
      <c r="D563" s="4"/>
      <c r="E563" s="4"/>
      <c r="F563" s="4"/>
      <c r="G563" s="4"/>
      <c r="H563" s="4"/>
      <c r="I563" s="1124"/>
      <c r="J563" s="4"/>
      <c r="K563" s="4"/>
      <c r="L563" s="4"/>
      <c r="M563" s="4"/>
      <c r="N563" s="4"/>
      <c r="O563" s="4"/>
      <c r="P563" s="4"/>
      <c r="Q563" s="4"/>
      <c r="R563" s="1126"/>
      <c r="S563" s="711"/>
    </row>
    <row r="564" spans="1:19" ht="15.75" hidden="1" customHeight="1">
      <c r="A564" s="4"/>
      <c r="B564" s="4"/>
      <c r="C564" s="4"/>
      <c r="D564" s="4"/>
      <c r="E564" s="4"/>
      <c r="F564" s="4"/>
      <c r="G564" s="4"/>
      <c r="H564" s="4"/>
      <c r="I564" s="1124"/>
      <c r="J564" s="4"/>
      <c r="K564" s="4"/>
      <c r="L564" s="4"/>
      <c r="M564" s="4"/>
      <c r="N564" s="4"/>
      <c r="O564" s="4"/>
      <c r="P564" s="4"/>
      <c r="Q564" s="4"/>
      <c r="R564" s="1126"/>
      <c r="S564" s="711"/>
    </row>
    <row r="565" spans="1:19" ht="15.75" hidden="1" customHeight="1">
      <c r="A565" s="4"/>
      <c r="B565" s="4"/>
      <c r="C565" s="4"/>
      <c r="D565" s="4"/>
      <c r="E565" s="4"/>
      <c r="F565" s="4"/>
      <c r="G565" s="4"/>
      <c r="H565" s="4"/>
      <c r="I565" s="1124"/>
      <c r="J565" s="4"/>
      <c r="K565" s="4"/>
      <c r="L565" s="4"/>
      <c r="M565" s="4"/>
      <c r="N565" s="4"/>
      <c r="O565" s="4"/>
      <c r="P565" s="4"/>
      <c r="Q565" s="4"/>
      <c r="R565" s="1126"/>
      <c r="S565" s="711"/>
    </row>
    <row r="566" spans="1:19" ht="15.75" hidden="1" customHeight="1">
      <c r="A566" s="4"/>
      <c r="B566" s="4"/>
      <c r="C566" s="4"/>
      <c r="D566" s="4"/>
      <c r="E566" s="4"/>
      <c r="F566" s="4"/>
      <c r="G566" s="4"/>
      <c r="H566" s="4"/>
      <c r="I566" s="1124"/>
      <c r="J566" s="4"/>
      <c r="K566" s="4"/>
      <c r="L566" s="4"/>
      <c r="M566" s="4"/>
      <c r="N566" s="4"/>
      <c r="O566" s="4"/>
      <c r="P566" s="4"/>
      <c r="Q566" s="4"/>
      <c r="R566" s="1126"/>
      <c r="S566" s="711"/>
    </row>
    <row r="567" spans="1:19" ht="15.75" hidden="1" customHeight="1">
      <c r="A567" s="4"/>
      <c r="B567" s="4"/>
      <c r="C567" s="4"/>
      <c r="D567" s="4"/>
      <c r="E567" s="4"/>
      <c r="F567" s="4"/>
      <c r="G567" s="4"/>
      <c r="H567" s="4"/>
      <c r="I567" s="1124"/>
      <c r="J567" s="4"/>
      <c r="K567" s="4"/>
      <c r="L567" s="4"/>
      <c r="M567" s="4"/>
      <c r="N567" s="4"/>
      <c r="O567" s="4"/>
      <c r="P567" s="4"/>
      <c r="Q567" s="4"/>
      <c r="R567" s="1126"/>
      <c r="S567" s="711"/>
    </row>
    <row r="568" spans="1:19" ht="15.75" hidden="1" customHeight="1">
      <c r="A568" s="4"/>
      <c r="B568" s="4"/>
      <c r="C568" s="4"/>
      <c r="D568" s="4"/>
      <c r="E568" s="4"/>
      <c r="F568" s="4"/>
      <c r="G568" s="4"/>
      <c r="H568" s="4"/>
      <c r="I568" s="1124"/>
      <c r="J568" s="4"/>
      <c r="K568" s="4"/>
      <c r="L568" s="4"/>
      <c r="M568" s="4"/>
      <c r="N568" s="4"/>
      <c r="O568" s="4"/>
      <c r="P568" s="4"/>
      <c r="Q568" s="4"/>
      <c r="R568" s="1126"/>
      <c r="S568" s="711"/>
    </row>
    <row r="569" spans="1:19" ht="15.75" hidden="1" customHeight="1">
      <c r="A569" s="4"/>
      <c r="B569" s="4"/>
      <c r="C569" s="4"/>
      <c r="D569" s="4"/>
      <c r="E569" s="4"/>
      <c r="F569" s="4"/>
      <c r="G569" s="4"/>
      <c r="H569" s="4"/>
      <c r="I569" s="1124"/>
      <c r="J569" s="4"/>
      <c r="K569" s="4"/>
      <c r="L569" s="4"/>
      <c r="M569" s="4"/>
      <c r="N569" s="4"/>
      <c r="O569" s="4"/>
      <c r="P569" s="4"/>
      <c r="Q569" s="4"/>
      <c r="R569" s="1126"/>
      <c r="S569" s="711"/>
    </row>
    <row r="570" spans="1:19" ht="15.75" hidden="1" customHeight="1">
      <c r="A570" s="4"/>
      <c r="B570" s="4"/>
      <c r="C570" s="4"/>
      <c r="D570" s="4"/>
      <c r="E570" s="4"/>
      <c r="F570" s="4"/>
      <c r="G570" s="4"/>
      <c r="H570" s="4"/>
      <c r="I570" s="1124"/>
      <c r="J570" s="4"/>
      <c r="K570" s="4"/>
      <c r="L570" s="4"/>
      <c r="M570" s="4"/>
      <c r="N570" s="4"/>
      <c r="O570" s="4"/>
      <c r="P570" s="4"/>
      <c r="Q570" s="4"/>
      <c r="R570" s="1126"/>
      <c r="S570" s="711"/>
    </row>
    <row r="571" spans="1:19" ht="15.75" hidden="1" customHeight="1">
      <c r="A571" s="4"/>
      <c r="B571" s="4"/>
      <c r="C571" s="4"/>
      <c r="D571" s="4"/>
      <c r="E571" s="4"/>
      <c r="F571" s="4"/>
      <c r="G571" s="4"/>
      <c r="H571" s="4"/>
      <c r="I571" s="1124"/>
      <c r="J571" s="4"/>
      <c r="K571" s="4"/>
      <c r="L571" s="4"/>
      <c r="M571" s="4"/>
      <c r="N571" s="4"/>
      <c r="O571" s="4"/>
      <c r="P571" s="4"/>
      <c r="Q571" s="4"/>
      <c r="R571" s="1126"/>
      <c r="S571" s="711"/>
    </row>
    <row r="572" spans="1:19" ht="15.75" hidden="1" customHeight="1">
      <c r="A572" s="4"/>
      <c r="B572" s="4"/>
      <c r="C572" s="4"/>
      <c r="D572" s="4"/>
      <c r="E572" s="4"/>
      <c r="F572" s="4"/>
      <c r="G572" s="4"/>
      <c r="H572" s="4"/>
      <c r="I572" s="1124"/>
      <c r="J572" s="4"/>
      <c r="K572" s="4"/>
      <c r="L572" s="4"/>
      <c r="M572" s="4"/>
      <c r="N572" s="4"/>
      <c r="O572" s="4"/>
      <c r="P572" s="4"/>
      <c r="Q572" s="4"/>
      <c r="R572" s="1126"/>
      <c r="S572" s="711"/>
    </row>
    <row r="573" spans="1:19" ht="15.75" hidden="1" customHeight="1">
      <c r="A573" s="4"/>
      <c r="B573" s="4"/>
      <c r="C573" s="4"/>
      <c r="D573" s="4"/>
      <c r="E573" s="4"/>
      <c r="F573" s="4"/>
      <c r="G573" s="4"/>
      <c r="H573" s="4"/>
      <c r="I573" s="1124"/>
      <c r="J573" s="4"/>
      <c r="K573" s="4"/>
      <c r="L573" s="4"/>
      <c r="M573" s="4"/>
      <c r="N573" s="4"/>
      <c r="O573" s="4"/>
      <c r="P573" s="4"/>
      <c r="Q573" s="4"/>
      <c r="R573" s="1126"/>
      <c r="S573" s="711"/>
    </row>
    <row r="574" spans="1:19" ht="15.75" hidden="1" customHeight="1">
      <c r="A574" s="4"/>
      <c r="B574" s="4"/>
      <c r="C574" s="4"/>
      <c r="D574" s="4"/>
      <c r="E574" s="4"/>
      <c r="F574" s="4"/>
      <c r="G574" s="4"/>
      <c r="H574" s="4"/>
      <c r="I574" s="1124"/>
      <c r="J574" s="4"/>
      <c r="K574" s="4"/>
      <c r="L574" s="4"/>
      <c r="M574" s="4"/>
      <c r="N574" s="4"/>
      <c r="O574" s="4"/>
      <c r="P574" s="4"/>
      <c r="Q574" s="4"/>
      <c r="R574" s="1126"/>
      <c r="S574" s="711"/>
    </row>
    <row r="575" spans="1:19" ht="15.75" hidden="1" customHeight="1">
      <c r="A575" s="4"/>
      <c r="B575" s="4"/>
      <c r="C575" s="4"/>
      <c r="D575" s="4"/>
      <c r="E575" s="4"/>
      <c r="F575" s="4"/>
      <c r="G575" s="4"/>
      <c r="H575" s="4"/>
      <c r="I575" s="1124"/>
      <c r="J575" s="4"/>
      <c r="K575" s="4"/>
      <c r="L575" s="4"/>
      <c r="M575" s="4"/>
      <c r="N575" s="4"/>
      <c r="O575" s="4"/>
      <c r="P575" s="4"/>
      <c r="Q575" s="4"/>
      <c r="R575" s="1126"/>
      <c r="S575" s="711"/>
    </row>
    <row r="576" spans="1:19" ht="15.75" hidden="1" customHeight="1">
      <c r="A576" s="4"/>
      <c r="B576" s="4"/>
      <c r="C576" s="4"/>
      <c r="D576" s="4"/>
      <c r="E576" s="4"/>
      <c r="F576" s="4"/>
      <c r="G576" s="4"/>
      <c r="H576" s="4"/>
      <c r="I576" s="1124"/>
      <c r="J576" s="4"/>
      <c r="K576" s="4"/>
      <c r="L576" s="4"/>
      <c r="M576" s="4"/>
      <c r="N576" s="4"/>
      <c r="O576" s="4"/>
      <c r="P576" s="4"/>
      <c r="Q576" s="4"/>
      <c r="R576" s="1126"/>
      <c r="S576" s="711"/>
    </row>
    <row r="577" spans="1:19" ht="15.75" hidden="1" customHeight="1">
      <c r="A577" s="4"/>
      <c r="B577" s="4"/>
      <c r="C577" s="4"/>
      <c r="D577" s="4"/>
      <c r="E577" s="4"/>
      <c r="F577" s="4"/>
      <c r="G577" s="4"/>
      <c r="H577" s="4"/>
      <c r="I577" s="1124"/>
      <c r="J577" s="4"/>
      <c r="K577" s="4"/>
      <c r="L577" s="4"/>
      <c r="M577" s="4"/>
      <c r="N577" s="4"/>
      <c r="O577" s="4"/>
      <c r="P577" s="4"/>
      <c r="Q577" s="4"/>
      <c r="R577" s="1126"/>
      <c r="S577" s="711"/>
    </row>
    <row r="578" spans="1:19" ht="15.75" hidden="1" customHeight="1">
      <c r="A578" s="4"/>
      <c r="B578" s="4"/>
      <c r="C578" s="4"/>
      <c r="D578" s="4"/>
      <c r="E578" s="4"/>
      <c r="F578" s="4"/>
      <c r="G578" s="4"/>
      <c r="H578" s="4"/>
      <c r="I578" s="1124"/>
      <c r="J578" s="4"/>
      <c r="K578" s="4"/>
      <c r="L578" s="4"/>
      <c r="M578" s="4"/>
      <c r="N578" s="4"/>
      <c r="O578" s="4"/>
      <c r="P578" s="4"/>
      <c r="Q578" s="4"/>
      <c r="R578" s="1126"/>
      <c r="S578" s="711"/>
    </row>
    <row r="579" spans="1:19" ht="15.75" hidden="1" customHeight="1">
      <c r="A579" s="4"/>
      <c r="B579" s="4"/>
      <c r="C579" s="4"/>
      <c r="D579" s="4"/>
      <c r="E579" s="4"/>
      <c r="F579" s="4"/>
      <c r="G579" s="4"/>
      <c r="H579" s="4"/>
      <c r="I579" s="1124"/>
      <c r="J579" s="4"/>
      <c r="K579" s="4"/>
      <c r="L579" s="4"/>
      <c r="M579" s="4"/>
      <c r="N579" s="4"/>
      <c r="O579" s="4"/>
      <c r="P579" s="4"/>
      <c r="Q579" s="4"/>
      <c r="R579" s="1126"/>
      <c r="S579" s="711"/>
    </row>
    <row r="580" spans="1:19" ht="15.75" hidden="1" customHeight="1">
      <c r="A580" s="4"/>
      <c r="B580" s="4"/>
      <c r="C580" s="4"/>
      <c r="D580" s="4"/>
      <c r="E580" s="4"/>
      <c r="F580" s="4"/>
      <c r="G580" s="4"/>
      <c r="H580" s="4"/>
      <c r="I580" s="1124"/>
      <c r="J580" s="4"/>
      <c r="K580" s="4"/>
      <c r="L580" s="4"/>
      <c r="M580" s="4"/>
      <c r="N580" s="4"/>
      <c r="O580" s="4"/>
      <c r="P580" s="4"/>
      <c r="Q580" s="4"/>
      <c r="R580" s="1126"/>
      <c r="S580" s="711"/>
    </row>
    <row r="581" spans="1:19" ht="15.75" hidden="1" customHeight="1">
      <c r="A581" s="4"/>
      <c r="B581" s="4"/>
      <c r="C581" s="4"/>
      <c r="D581" s="4"/>
      <c r="E581" s="4"/>
      <c r="F581" s="4"/>
      <c r="G581" s="4"/>
      <c r="H581" s="4"/>
      <c r="I581" s="1124"/>
      <c r="J581" s="4"/>
      <c r="K581" s="4"/>
      <c r="L581" s="4"/>
      <c r="M581" s="4"/>
      <c r="N581" s="4"/>
      <c r="O581" s="4"/>
      <c r="P581" s="4"/>
      <c r="Q581" s="4"/>
      <c r="R581" s="1126"/>
      <c r="S581" s="711"/>
    </row>
    <row r="582" spans="1:19" ht="15.75" hidden="1" customHeight="1">
      <c r="A582" s="4"/>
      <c r="B582" s="4"/>
      <c r="C582" s="4"/>
      <c r="D582" s="4"/>
      <c r="E582" s="4"/>
      <c r="F582" s="4"/>
      <c r="G582" s="4"/>
      <c r="H582" s="4"/>
      <c r="I582" s="1124"/>
      <c r="J582" s="4"/>
      <c r="K582" s="4"/>
      <c r="L582" s="4"/>
      <c r="M582" s="4"/>
      <c r="N582" s="4"/>
      <c r="O582" s="4"/>
      <c r="P582" s="4"/>
      <c r="Q582" s="4"/>
      <c r="R582" s="1126"/>
      <c r="S582" s="711"/>
    </row>
    <row r="583" spans="1:19" ht="15.75" hidden="1" customHeight="1">
      <c r="A583" s="4"/>
      <c r="B583" s="4"/>
      <c r="C583" s="4"/>
      <c r="D583" s="4"/>
      <c r="E583" s="4"/>
      <c r="F583" s="4"/>
      <c r="G583" s="4"/>
      <c r="H583" s="4"/>
      <c r="I583" s="1124"/>
      <c r="J583" s="4"/>
      <c r="K583" s="4"/>
      <c r="L583" s="4"/>
      <c r="M583" s="4"/>
      <c r="N583" s="4"/>
      <c r="O583" s="4"/>
      <c r="P583" s="4"/>
      <c r="Q583" s="4"/>
      <c r="R583" s="1126"/>
      <c r="S583" s="711"/>
    </row>
    <row r="584" spans="1:19" ht="15.75" hidden="1" customHeight="1">
      <c r="A584" s="4"/>
      <c r="B584" s="4"/>
      <c r="C584" s="4"/>
      <c r="D584" s="4"/>
      <c r="E584" s="4"/>
      <c r="F584" s="4"/>
      <c r="G584" s="4"/>
      <c r="H584" s="4"/>
      <c r="I584" s="1124"/>
      <c r="J584" s="4"/>
      <c r="K584" s="4"/>
      <c r="L584" s="4"/>
      <c r="M584" s="4"/>
      <c r="N584" s="4"/>
      <c r="O584" s="4"/>
      <c r="P584" s="4"/>
      <c r="Q584" s="4"/>
      <c r="R584" s="1126"/>
      <c r="S584" s="711"/>
    </row>
    <row r="585" spans="1:19" ht="15.75" hidden="1" customHeight="1">
      <c r="A585" s="4"/>
      <c r="B585" s="4"/>
      <c r="C585" s="4"/>
      <c r="D585" s="4"/>
      <c r="E585" s="4"/>
      <c r="F585" s="4"/>
      <c r="G585" s="4"/>
      <c r="H585" s="4"/>
      <c r="I585" s="1124"/>
      <c r="J585" s="4"/>
      <c r="K585" s="4"/>
      <c r="L585" s="4"/>
      <c r="M585" s="4"/>
      <c r="N585" s="4"/>
      <c r="O585" s="4"/>
      <c r="P585" s="4"/>
      <c r="Q585" s="4"/>
      <c r="R585" s="1126"/>
      <c r="S585" s="711"/>
    </row>
    <row r="586" spans="1:19" ht="15.75" hidden="1" customHeight="1">
      <c r="A586" s="4"/>
      <c r="B586" s="4"/>
      <c r="C586" s="4"/>
      <c r="D586" s="4"/>
      <c r="E586" s="4"/>
      <c r="F586" s="4"/>
      <c r="G586" s="4"/>
      <c r="H586" s="4"/>
      <c r="I586" s="1124"/>
      <c r="J586" s="4"/>
      <c r="K586" s="4"/>
      <c r="L586" s="4"/>
      <c r="M586" s="4"/>
      <c r="N586" s="4"/>
      <c r="O586" s="4"/>
      <c r="P586" s="4"/>
      <c r="Q586" s="4"/>
      <c r="R586" s="1126"/>
      <c r="S586" s="711"/>
    </row>
    <row r="587" spans="1:19" ht="15.75" hidden="1" customHeight="1">
      <c r="A587" s="4"/>
      <c r="B587" s="4"/>
      <c r="C587" s="4"/>
      <c r="D587" s="4"/>
      <c r="E587" s="4"/>
      <c r="F587" s="4"/>
      <c r="G587" s="4"/>
      <c r="H587" s="4"/>
      <c r="I587" s="1124"/>
      <c r="J587" s="4"/>
      <c r="K587" s="4"/>
      <c r="L587" s="4"/>
      <c r="M587" s="4"/>
      <c r="N587" s="4"/>
      <c r="O587" s="4"/>
      <c r="P587" s="4"/>
      <c r="Q587" s="4"/>
      <c r="R587" s="1126"/>
      <c r="S587" s="711"/>
    </row>
    <row r="588" spans="1:19" ht="15.75" hidden="1" customHeight="1">
      <c r="A588" s="4"/>
      <c r="B588" s="4"/>
      <c r="C588" s="4"/>
      <c r="D588" s="4"/>
      <c r="E588" s="4"/>
      <c r="F588" s="4"/>
      <c r="G588" s="4"/>
      <c r="H588" s="4"/>
      <c r="I588" s="1124"/>
      <c r="J588" s="4"/>
      <c r="K588" s="4"/>
      <c r="L588" s="4"/>
      <c r="M588" s="4"/>
      <c r="N588" s="4"/>
      <c r="O588" s="4"/>
      <c r="P588" s="4"/>
      <c r="Q588" s="4"/>
      <c r="R588" s="1126"/>
      <c r="S588" s="711"/>
    </row>
    <row r="589" spans="1:19" ht="15.75" hidden="1" customHeight="1">
      <c r="A589" s="4"/>
      <c r="B589" s="4"/>
      <c r="C589" s="4"/>
      <c r="D589" s="4"/>
      <c r="E589" s="4"/>
      <c r="F589" s="4"/>
      <c r="G589" s="4"/>
      <c r="H589" s="4"/>
      <c r="I589" s="1124"/>
      <c r="J589" s="4"/>
      <c r="K589" s="4"/>
      <c r="L589" s="4"/>
      <c r="M589" s="4"/>
      <c r="N589" s="4"/>
      <c r="O589" s="4"/>
      <c r="P589" s="4"/>
      <c r="Q589" s="4"/>
      <c r="R589" s="1126"/>
      <c r="S589" s="711"/>
    </row>
    <row r="590" spans="1:19" ht="15.75" hidden="1" customHeight="1">
      <c r="A590" s="4"/>
      <c r="B590" s="4"/>
      <c r="C590" s="4"/>
      <c r="D590" s="4"/>
      <c r="E590" s="4"/>
      <c r="F590" s="4"/>
      <c r="G590" s="4"/>
      <c r="H590" s="4"/>
      <c r="I590" s="1124"/>
      <c r="J590" s="4"/>
      <c r="K590" s="4"/>
      <c r="L590" s="4"/>
      <c r="M590" s="4"/>
      <c r="N590" s="4"/>
      <c r="O590" s="4"/>
      <c r="P590" s="4"/>
      <c r="Q590" s="4"/>
      <c r="R590" s="1126"/>
      <c r="S590" s="711"/>
    </row>
    <row r="591" spans="1:19" ht="15.75" hidden="1" customHeight="1">
      <c r="A591" s="4"/>
      <c r="B591" s="4"/>
      <c r="C591" s="4"/>
      <c r="D591" s="4"/>
      <c r="E591" s="4"/>
      <c r="F591" s="4"/>
      <c r="G591" s="4"/>
      <c r="H591" s="4"/>
      <c r="I591" s="1124"/>
      <c r="J591" s="4"/>
      <c r="K591" s="4"/>
      <c r="L591" s="4"/>
      <c r="M591" s="4"/>
      <c r="N591" s="4"/>
      <c r="O591" s="4"/>
      <c r="P591" s="4"/>
      <c r="Q591" s="4"/>
      <c r="R591" s="1126"/>
      <c r="S591" s="711"/>
    </row>
    <row r="592" spans="1:19" ht="15.75" hidden="1" customHeight="1">
      <c r="A592" s="4"/>
      <c r="B592" s="4"/>
      <c r="C592" s="4"/>
      <c r="D592" s="4"/>
      <c r="E592" s="4"/>
      <c r="F592" s="4"/>
      <c r="G592" s="4"/>
      <c r="H592" s="4"/>
      <c r="I592" s="1124"/>
      <c r="J592" s="4"/>
      <c r="K592" s="4"/>
      <c r="L592" s="4"/>
      <c r="M592" s="4"/>
      <c r="N592" s="4"/>
      <c r="O592" s="4"/>
      <c r="P592" s="4"/>
      <c r="Q592" s="4"/>
      <c r="R592" s="1126"/>
      <c r="S592" s="711"/>
    </row>
    <row r="593" spans="1:19" ht="15.75" hidden="1" customHeight="1">
      <c r="A593" s="4"/>
      <c r="B593" s="4"/>
      <c r="C593" s="4"/>
      <c r="D593" s="4"/>
      <c r="E593" s="4"/>
      <c r="F593" s="4"/>
      <c r="G593" s="4"/>
      <c r="H593" s="4"/>
      <c r="I593" s="1124"/>
      <c r="J593" s="4"/>
      <c r="K593" s="4"/>
      <c r="L593" s="4"/>
      <c r="M593" s="4"/>
      <c r="N593" s="4"/>
      <c r="O593" s="4"/>
      <c r="P593" s="4"/>
      <c r="Q593" s="4"/>
      <c r="R593" s="1126"/>
      <c r="S593" s="711"/>
    </row>
    <row r="594" spans="1:19" ht="15.75" hidden="1" customHeight="1">
      <c r="A594" s="4"/>
      <c r="B594" s="4"/>
      <c r="C594" s="4"/>
      <c r="D594" s="4"/>
      <c r="E594" s="4"/>
      <c r="F594" s="4"/>
      <c r="G594" s="4"/>
      <c r="H594" s="4"/>
      <c r="I594" s="1124"/>
      <c r="J594" s="4"/>
      <c r="K594" s="4"/>
      <c r="L594" s="4"/>
      <c r="M594" s="4"/>
      <c r="N594" s="4"/>
      <c r="O594" s="4"/>
      <c r="P594" s="4"/>
      <c r="Q594" s="4"/>
      <c r="R594" s="1126"/>
      <c r="S594" s="711"/>
    </row>
    <row r="595" spans="1:19" ht="15.75" hidden="1" customHeight="1">
      <c r="A595" s="4"/>
      <c r="B595" s="4"/>
      <c r="C595" s="4"/>
      <c r="D595" s="4"/>
      <c r="E595" s="4"/>
      <c r="F595" s="4"/>
      <c r="G595" s="4"/>
      <c r="H595" s="4"/>
      <c r="I595" s="1124"/>
      <c r="J595" s="4"/>
      <c r="K595" s="4"/>
      <c r="L595" s="4"/>
      <c r="M595" s="4"/>
      <c r="N595" s="4"/>
      <c r="O595" s="4"/>
      <c r="P595" s="4"/>
      <c r="Q595" s="4"/>
      <c r="R595" s="1126"/>
      <c r="S595" s="711"/>
    </row>
    <row r="596" spans="1:19" ht="15.75" hidden="1" customHeight="1">
      <c r="A596" s="4"/>
      <c r="B596" s="4"/>
      <c r="C596" s="4"/>
      <c r="D596" s="4"/>
      <c r="E596" s="4"/>
      <c r="F596" s="4"/>
      <c r="G596" s="4"/>
      <c r="H596" s="4"/>
      <c r="I596" s="1124"/>
      <c r="J596" s="4"/>
      <c r="K596" s="4"/>
      <c r="L596" s="4"/>
      <c r="M596" s="4"/>
      <c r="N596" s="4"/>
      <c r="O596" s="4"/>
      <c r="P596" s="4"/>
      <c r="Q596" s="4"/>
      <c r="R596" s="1126"/>
      <c r="S596" s="711"/>
    </row>
    <row r="597" spans="1:19" ht="15.75" hidden="1" customHeight="1">
      <c r="A597" s="4"/>
      <c r="B597" s="4"/>
      <c r="C597" s="4"/>
      <c r="D597" s="4"/>
      <c r="E597" s="4"/>
      <c r="F597" s="4"/>
      <c r="G597" s="4"/>
      <c r="H597" s="4"/>
      <c r="I597" s="1124"/>
      <c r="J597" s="4"/>
      <c r="K597" s="4"/>
      <c r="L597" s="4"/>
      <c r="M597" s="4"/>
      <c r="N597" s="4"/>
      <c r="O597" s="4"/>
      <c r="P597" s="4"/>
      <c r="Q597" s="4"/>
      <c r="R597" s="1126"/>
      <c r="S597" s="711"/>
    </row>
    <row r="598" spans="1:19" ht="15.75" hidden="1" customHeight="1">
      <c r="A598" s="4"/>
      <c r="B598" s="4"/>
      <c r="C598" s="4"/>
      <c r="D598" s="4"/>
      <c r="E598" s="4"/>
      <c r="F598" s="4"/>
      <c r="G598" s="4"/>
      <c r="H598" s="4"/>
      <c r="I598" s="1124"/>
      <c r="J598" s="4"/>
      <c r="K598" s="4"/>
      <c r="L598" s="4"/>
      <c r="M598" s="4"/>
      <c r="N598" s="4"/>
      <c r="O598" s="4"/>
      <c r="P598" s="4"/>
      <c r="Q598" s="4"/>
      <c r="R598" s="1126"/>
      <c r="S598" s="711"/>
    </row>
    <row r="599" spans="1:19" ht="15.75" hidden="1" customHeight="1">
      <c r="A599" s="4"/>
      <c r="B599" s="4"/>
      <c r="C599" s="4"/>
      <c r="D599" s="4"/>
      <c r="E599" s="4"/>
      <c r="F599" s="4"/>
      <c r="G599" s="4"/>
      <c r="H599" s="4"/>
      <c r="I599" s="1124"/>
      <c r="J599" s="4"/>
      <c r="K599" s="4"/>
      <c r="L599" s="4"/>
      <c r="M599" s="4"/>
      <c r="N599" s="4"/>
      <c r="O599" s="4"/>
      <c r="P599" s="4"/>
      <c r="Q599" s="4"/>
      <c r="R599" s="1126"/>
      <c r="S599" s="711"/>
    </row>
    <row r="600" spans="1:19" ht="15.75" hidden="1" customHeight="1">
      <c r="A600" s="4"/>
      <c r="B600" s="4"/>
      <c r="C600" s="4"/>
      <c r="D600" s="4"/>
      <c r="E600" s="4"/>
      <c r="F600" s="4"/>
      <c r="G600" s="4"/>
      <c r="H600" s="4"/>
      <c r="I600" s="1124"/>
      <c r="J600" s="4"/>
      <c r="K600" s="4"/>
      <c r="L600" s="4"/>
      <c r="M600" s="4"/>
      <c r="N600" s="4"/>
      <c r="O600" s="4"/>
      <c r="P600" s="4"/>
      <c r="Q600" s="4"/>
      <c r="R600" s="1126"/>
      <c r="S600" s="711"/>
    </row>
    <row r="601" spans="1:19" ht="15.75" hidden="1" customHeight="1">
      <c r="A601" s="4"/>
      <c r="B601" s="4"/>
      <c r="C601" s="4"/>
      <c r="D601" s="4"/>
      <c r="E601" s="4"/>
      <c r="F601" s="4"/>
      <c r="G601" s="4"/>
      <c r="H601" s="4"/>
      <c r="I601" s="1124"/>
      <c r="J601" s="4"/>
      <c r="K601" s="4"/>
      <c r="L601" s="4"/>
      <c r="M601" s="4"/>
      <c r="N601" s="4"/>
      <c r="O601" s="4"/>
      <c r="P601" s="4"/>
      <c r="Q601" s="4"/>
      <c r="R601" s="1126"/>
      <c r="S601" s="711"/>
    </row>
    <row r="602" spans="1:19" ht="15.75" hidden="1" customHeight="1">
      <c r="A602" s="4"/>
      <c r="B602" s="4"/>
      <c r="C602" s="4"/>
      <c r="D602" s="4"/>
      <c r="E602" s="4"/>
      <c r="F602" s="4"/>
      <c r="G602" s="4"/>
      <c r="H602" s="4"/>
      <c r="I602" s="1124"/>
      <c r="J602" s="4"/>
      <c r="K602" s="4"/>
      <c r="L602" s="4"/>
      <c r="M602" s="4"/>
      <c r="N602" s="4"/>
      <c r="O602" s="4"/>
      <c r="P602" s="4"/>
      <c r="Q602" s="4"/>
      <c r="R602" s="1126"/>
      <c r="S602" s="711"/>
    </row>
    <row r="603" spans="1:19" ht="15.75" hidden="1" customHeight="1">
      <c r="A603" s="4"/>
      <c r="B603" s="4"/>
      <c r="C603" s="4"/>
      <c r="D603" s="4"/>
      <c r="E603" s="4"/>
      <c r="F603" s="4"/>
      <c r="G603" s="4"/>
      <c r="H603" s="4"/>
      <c r="I603" s="1124"/>
      <c r="J603" s="4"/>
      <c r="K603" s="4"/>
      <c r="L603" s="4"/>
      <c r="M603" s="4"/>
      <c r="N603" s="4"/>
      <c r="O603" s="4"/>
      <c r="P603" s="4"/>
      <c r="Q603" s="4"/>
      <c r="R603" s="1126"/>
      <c r="S603" s="711"/>
    </row>
    <row r="604" spans="1:19" ht="15.75" hidden="1" customHeight="1">
      <c r="A604" s="4"/>
      <c r="B604" s="4"/>
      <c r="C604" s="4"/>
      <c r="D604" s="4"/>
      <c r="E604" s="4"/>
      <c r="F604" s="4"/>
      <c r="G604" s="4"/>
      <c r="H604" s="4"/>
      <c r="I604" s="1124"/>
      <c r="J604" s="4"/>
      <c r="K604" s="4"/>
      <c r="L604" s="4"/>
      <c r="M604" s="4"/>
      <c r="N604" s="4"/>
      <c r="O604" s="4"/>
      <c r="P604" s="4"/>
      <c r="Q604" s="4"/>
      <c r="R604" s="1126"/>
      <c r="S604" s="711"/>
    </row>
    <row r="605" spans="1:19" ht="15.75" hidden="1" customHeight="1">
      <c r="A605" s="4"/>
      <c r="B605" s="4"/>
      <c r="C605" s="4"/>
      <c r="D605" s="4"/>
      <c r="E605" s="4"/>
      <c r="F605" s="4"/>
      <c r="G605" s="4"/>
      <c r="H605" s="4"/>
      <c r="I605" s="1124"/>
      <c r="J605" s="4"/>
      <c r="K605" s="4"/>
      <c r="L605" s="4"/>
      <c r="M605" s="4"/>
      <c r="N605" s="4"/>
      <c r="O605" s="4"/>
      <c r="P605" s="4"/>
      <c r="Q605" s="4"/>
      <c r="R605" s="1126"/>
      <c r="S605" s="711"/>
    </row>
    <row r="606" spans="1:19" ht="15.75" hidden="1" customHeight="1">
      <c r="A606" s="4"/>
      <c r="B606" s="4"/>
      <c r="C606" s="4"/>
      <c r="D606" s="4"/>
      <c r="E606" s="4"/>
      <c r="F606" s="4"/>
      <c r="G606" s="4"/>
      <c r="H606" s="4"/>
      <c r="I606" s="1124"/>
      <c r="J606" s="4"/>
      <c r="K606" s="4"/>
      <c r="L606" s="4"/>
      <c r="M606" s="4"/>
      <c r="N606" s="4"/>
      <c r="O606" s="4"/>
      <c r="P606" s="4"/>
      <c r="Q606" s="4"/>
      <c r="R606" s="1126"/>
      <c r="S606" s="711"/>
    </row>
    <row r="607" spans="1:19" ht="15.75" hidden="1" customHeight="1">
      <c r="A607" s="4"/>
      <c r="B607" s="4"/>
      <c r="C607" s="4"/>
      <c r="D607" s="4"/>
      <c r="E607" s="4"/>
      <c r="F607" s="4"/>
      <c r="G607" s="4"/>
      <c r="H607" s="4"/>
      <c r="I607" s="1124"/>
      <c r="J607" s="4"/>
      <c r="K607" s="4"/>
      <c r="L607" s="4"/>
      <c r="M607" s="4"/>
      <c r="N607" s="4"/>
      <c r="O607" s="4"/>
      <c r="P607" s="4"/>
      <c r="Q607" s="4"/>
      <c r="R607" s="1126"/>
      <c r="S607" s="711"/>
    </row>
    <row r="608" spans="1:19" ht="15.75" hidden="1" customHeight="1">
      <c r="A608" s="4"/>
      <c r="B608" s="4"/>
      <c r="C608" s="4"/>
      <c r="D608" s="4"/>
      <c r="E608" s="4"/>
      <c r="F608" s="4"/>
      <c r="G608" s="4"/>
      <c r="H608" s="4"/>
      <c r="I608" s="1124"/>
      <c r="J608" s="4"/>
      <c r="K608" s="4"/>
      <c r="L608" s="4"/>
      <c r="M608" s="4"/>
      <c r="N608" s="4"/>
      <c r="O608" s="4"/>
      <c r="P608" s="4"/>
      <c r="Q608" s="4"/>
      <c r="R608" s="1126"/>
      <c r="S608" s="711"/>
    </row>
    <row r="609" spans="1:19" ht="15.75" hidden="1" customHeight="1">
      <c r="A609" s="4"/>
      <c r="B609" s="4"/>
      <c r="C609" s="4"/>
      <c r="D609" s="4"/>
      <c r="E609" s="4"/>
      <c r="F609" s="4"/>
      <c r="G609" s="4"/>
      <c r="H609" s="4"/>
      <c r="I609" s="1124"/>
      <c r="J609" s="4"/>
      <c r="K609" s="4"/>
      <c r="L609" s="4"/>
      <c r="M609" s="4"/>
      <c r="N609" s="4"/>
      <c r="O609" s="4"/>
      <c r="P609" s="4"/>
      <c r="Q609" s="4"/>
      <c r="R609" s="1126"/>
      <c r="S609" s="711"/>
    </row>
    <row r="610" spans="1:19" ht="15.75" hidden="1" customHeight="1">
      <c r="A610" s="4"/>
      <c r="B610" s="4"/>
      <c r="C610" s="4"/>
      <c r="D610" s="4"/>
      <c r="E610" s="4"/>
      <c r="F610" s="4"/>
      <c r="G610" s="4"/>
      <c r="H610" s="4"/>
      <c r="I610" s="1124"/>
      <c r="J610" s="4"/>
      <c r="K610" s="4"/>
      <c r="L610" s="4"/>
      <c r="M610" s="4"/>
      <c r="N610" s="4"/>
      <c r="O610" s="4"/>
      <c r="P610" s="4"/>
      <c r="Q610" s="4"/>
      <c r="R610" s="1126"/>
      <c r="S610" s="711"/>
    </row>
    <row r="611" spans="1:19" ht="15.75" hidden="1" customHeight="1">
      <c r="A611" s="4"/>
      <c r="B611" s="4"/>
      <c r="C611" s="4"/>
      <c r="D611" s="4"/>
      <c r="E611" s="4"/>
      <c r="F611" s="4"/>
      <c r="G611" s="4"/>
      <c r="H611" s="4"/>
      <c r="I611" s="1124"/>
      <c r="J611" s="4"/>
      <c r="K611" s="4"/>
      <c r="L611" s="4"/>
      <c r="M611" s="4"/>
      <c r="N611" s="4"/>
      <c r="O611" s="4"/>
      <c r="P611" s="4"/>
      <c r="Q611" s="4"/>
      <c r="R611" s="1126"/>
      <c r="S611" s="711"/>
    </row>
    <row r="612" spans="1:19" ht="15.75" hidden="1" customHeight="1">
      <c r="A612" s="4"/>
      <c r="B612" s="4"/>
      <c r="C612" s="4"/>
      <c r="D612" s="4"/>
      <c r="E612" s="4"/>
      <c r="F612" s="4"/>
      <c r="G612" s="4"/>
      <c r="H612" s="4"/>
      <c r="I612" s="1124"/>
      <c r="J612" s="4"/>
      <c r="K612" s="4"/>
      <c r="L612" s="4"/>
      <c r="M612" s="4"/>
      <c r="N612" s="4"/>
      <c r="O612" s="4"/>
      <c r="P612" s="4"/>
      <c r="Q612" s="4"/>
      <c r="R612" s="1126"/>
      <c r="S612" s="711"/>
    </row>
    <row r="613" spans="1:19" ht="15.75" hidden="1" customHeight="1">
      <c r="A613" s="4"/>
      <c r="B613" s="4"/>
      <c r="C613" s="4"/>
      <c r="D613" s="4"/>
      <c r="E613" s="4"/>
      <c r="F613" s="4"/>
      <c r="G613" s="4"/>
      <c r="H613" s="4"/>
      <c r="I613" s="1124"/>
      <c r="J613" s="4"/>
      <c r="K613" s="4"/>
      <c r="L613" s="4"/>
      <c r="M613" s="4"/>
      <c r="N613" s="4"/>
      <c r="O613" s="4"/>
      <c r="P613" s="4"/>
      <c r="Q613" s="4"/>
      <c r="R613" s="1126"/>
      <c r="S613" s="711"/>
    </row>
    <row r="614" spans="1:19" ht="15.75" hidden="1" customHeight="1">
      <c r="A614" s="4"/>
      <c r="B614" s="4"/>
      <c r="C614" s="4"/>
      <c r="D614" s="4"/>
      <c r="E614" s="4"/>
      <c r="F614" s="4"/>
      <c r="G614" s="4"/>
      <c r="H614" s="4"/>
      <c r="I614" s="1124"/>
      <c r="J614" s="4"/>
      <c r="K614" s="4"/>
      <c r="L614" s="4"/>
      <c r="M614" s="4"/>
      <c r="N614" s="4"/>
      <c r="O614" s="4"/>
      <c r="P614" s="4"/>
      <c r="Q614" s="4"/>
      <c r="R614" s="1126"/>
      <c r="S614" s="711"/>
    </row>
    <row r="615" spans="1:19" ht="15.75" hidden="1" customHeight="1">
      <c r="A615" s="4"/>
      <c r="B615" s="4"/>
      <c r="C615" s="4"/>
      <c r="D615" s="4"/>
      <c r="E615" s="4"/>
      <c r="F615" s="4"/>
      <c r="G615" s="4"/>
      <c r="H615" s="4"/>
      <c r="I615" s="1124"/>
      <c r="J615" s="4"/>
      <c r="K615" s="4"/>
      <c r="L615" s="4"/>
      <c r="M615" s="4"/>
      <c r="N615" s="4"/>
      <c r="O615" s="4"/>
      <c r="P615" s="4"/>
      <c r="Q615" s="4"/>
      <c r="R615" s="1126"/>
      <c r="S615" s="711"/>
    </row>
    <row r="616" spans="1:19" ht="15.75" hidden="1" customHeight="1">
      <c r="A616" s="4"/>
      <c r="B616" s="4"/>
      <c r="C616" s="4"/>
      <c r="D616" s="4"/>
      <c r="E616" s="4"/>
      <c r="F616" s="4"/>
      <c r="G616" s="4"/>
      <c r="H616" s="4"/>
      <c r="I616" s="1124"/>
      <c r="J616" s="4"/>
      <c r="K616" s="4"/>
      <c r="L616" s="4"/>
      <c r="M616" s="4"/>
      <c r="N616" s="4"/>
      <c r="O616" s="4"/>
      <c r="P616" s="4"/>
      <c r="Q616" s="4"/>
      <c r="R616" s="1126"/>
      <c r="S616" s="711"/>
    </row>
    <row r="617" spans="1:19" ht="15.75" hidden="1" customHeight="1">
      <c r="A617" s="4"/>
      <c r="B617" s="4"/>
      <c r="C617" s="4"/>
      <c r="D617" s="4"/>
      <c r="E617" s="4"/>
      <c r="F617" s="4"/>
      <c r="G617" s="4"/>
      <c r="H617" s="4"/>
      <c r="I617" s="1124"/>
      <c r="J617" s="4"/>
      <c r="K617" s="4"/>
      <c r="L617" s="4"/>
      <c r="M617" s="4"/>
      <c r="N617" s="4"/>
      <c r="O617" s="4"/>
      <c r="P617" s="4"/>
      <c r="Q617" s="4"/>
      <c r="R617" s="1126"/>
      <c r="S617" s="711"/>
    </row>
    <row r="618" spans="1:19" ht="15.75" hidden="1" customHeight="1">
      <c r="A618" s="4"/>
      <c r="B618" s="4"/>
      <c r="C618" s="4"/>
      <c r="D618" s="4"/>
      <c r="E618" s="4"/>
      <c r="F618" s="4"/>
      <c r="G618" s="4"/>
      <c r="H618" s="4"/>
      <c r="I618" s="1124"/>
      <c r="J618" s="4"/>
      <c r="K618" s="4"/>
      <c r="L618" s="4"/>
      <c r="M618" s="4"/>
      <c r="N618" s="4"/>
      <c r="O618" s="4"/>
      <c r="P618" s="4"/>
      <c r="Q618" s="4"/>
      <c r="R618" s="1126"/>
      <c r="S618" s="711"/>
    </row>
    <row r="619" spans="1:19" ht="15.75" hidden="1" customHeight="1">
      <c r="A619" s="4"/>
      <c r="B619" s="4"/>
      <c r="C619" s="4"/>
      <c r="D619" s="4"/>
      <c r="E619" s="4"/>
      <c r="F619" s="4"/>
      <c r="G619" s="4"/>
      <c r="H619" s="4"/>
      <c r="I619" s="1124"/>
      <c r="J619" s="4"/>
      <c r="K619" s="4"/>
      <c r="L619" s="4"/>
      <c r="M619" s="4"/>
      <c r="N619" s="4"/>
      <c r="O619" s="4"/>
      <c r="P619" s="4"/>
      <c r="Q619" s="4"/>
      <c r="R619" s="1126"/>
      <c r="S619" s="711"/>
    </row>
    <row r="620" spans="1:19" ht="15.75" hidden="1" customHeight="1">
      <c r="A620" s="4"/>
      <c r="B620" s="4"/>
      <c r="C620" s="4"/>
      <c r="D620" s="4"/>
      <c r="E620" s="4"/>
      <c r="F620" s="4"/>
      <c r="G620" s="4"/>
      <c r="H620" s="4"/>
      <c r="I620" s="1124"/>
      <c r="J620" s="4"/>
      <c r="K620" s="4"/>
      <c r="L620" s="4"/>
      <c r="M620" s="4"/>
      <c r="N620" s="4"/>
      <c r="O620" s="4"/>
      <c r="P620" s="4"/>
      <c r="Q620" s="4"/>
      <c r="R620" s="1126"/>
      <c r="S620" s="711"/>
    </row>
    <row r="621" spans="1:19" ht="15.75" hidden="1" customHeight="1">
      <c r="A621" s="4"/>
      <c r="B621" s="4"/>
      <c r="C621" s="4"/>
      <c r="D621" s="4"/>
      <c r="E621" s="4"/>
      <c r="F621" s="4"/>
      <c r="G621" s="4"/>
      <c r="H621" s="4"/>
      <c r="I621" s="1124"/>
      <c r="J621" s="4"/>
      <c r="K621" s="4"/>
      <c r="L621" s="4"/>
      <c r="M621" s="4"/>
      <c r="N621" s="4"/>
      <c r="O621" s="4"/>
      <c r="P621" s="4"/>
      <c r="Q621" s="4"/>
      <c r="R621" s="1126"/>
      <c r="S621" s="711"/>
    </row>
    <row r="622" spans="1:19" ht="15.75" hidden="1" customHeight="1">
      <c r="A622" s="4"/>
      <c r="B622" s="4"/>
      <c r="C622" s="4"/>
      <c r="D622" s="4"/>
      <c r="E622" s="4"/>
      <c r="F622" s="4"/>
      <c r="G622" s="4"/>
      <c r="H622" s="4"/>
      <c r="I622" s="1124"/>
      <c r="J622" s="4"/>
      <c r="K622" s="4"/>
      <c r="L622" s="4"/>
      <c r="M622" s="4"/>
      <c r="N622" s="4"/>
      <c r="O622" s="4"/>
      <c r="P622" s="4"/>
      <c r="Q622" s="4"/>
      <c r="R622" s="1126"/>
      <c r="S622" s="711"/>
    </row>
    <row r="623" spans="1:19" ht="15.75" hidden="1" customHeight="1">
      <c r="A623" s="4"/>
      <c r="B623" s="4"/>
      <c r="C623" s="4"/>
      <c r="D623" s="4"/>
      <c r="E623" s="4"/>
      <c r="F623" s="4"/>
      <c r="G623" s="4"/>
      <c r="H623" s="4"/>
      <c r="I623" s="1124"/>
      <c r="J623" s="4"/>
      <c r="K623" s="4"/>
      <c r="L623" s="4"/>
      <c r="M623" s="4"/>
      <c r="N623" s="4"/>
      <c r="O623" s="4"/>
      <c r="P623" s="4"/>
      <c r="Q623" s="4"/>
      <c r="R623" s="1126"/>
      <c r="S623" s="711"/>
    </row>
    <row r="624" spans="1:19" ht="15.75" hidden="1" customHeight="1">
      <c r="A624" s="4"/>
      <c r="B624" s="4"/>
      <c r="C624" s="4"/>
      <c r="D624" s="4"/>
      <c r="E624" s="4"/>
      <c r="F624" s="4"/>
      <c r="G624" s="4"/>
      <c r="H624" s="4"/>
      <c r="I624" s="1124"/>
      <c r="J624" s="4"/>
      <c r="K624" s="4"/>
      <c r="L624" s="4"/>
      <c r="M624" s="4"/>
      <c r="N624" s="4"/>
      <c r="O624" s="4"/>
      <c r="P624" s="4"/>
      <c r="Q624" s="4"/>
      <c r="R624" s="1126"/>
      <c r="S624" s="711"/>
    </row>
    <row r="625" spans="1:19" ht="15.75" hidden="1" customHeight="1">
      <c r="A625" s="4"/>
      <c r="B625" s="4"/>
      <c r="C625" s="4"/>
      <c r="D625" s="4"/>
      <c r="E625" s="4"/>
      <c r="F625" s="4"/>
      <c r="G625" s="4"/>
      <c r="H625" s="4"/>
      <c r="I625" s="1124"/>
      <c r="J625" s="4"/>
      <c r="K625" s="4"/>
      <c r="L625" s="4"/>
      <c r="M625" s="4"/>
      <c r="N625" s="4"/>
      <c r="O625" s="4"/>
      <c r="P625" s="4"/>
      <c r="Q625" s="4"/>
      <c r="R625" s="1126"/>
      <c r="S625" s="711"/>
    </row>
    <row r="626" spans="1:19" ht="15.75" hidden="1" customHeight="1">
      <c r="A626" s="4"/>
      <c r="B626" s="4"/>
      <c r="C626" s="4"/>
      <c r="D626" s="4"/>
      <c r="E626" s="4"/>
      <c r="F626" s="4"/>
      <c r="G626" s="4"/>
      <c r="H626" s="4"/>
      <c r="I626" s="1124"/>
      <c r="J626" s="4"/>
      <c r="K626" s="4"/>
      <c r="L626" s="4"/>
      <c r="M626" s="4"/>
      <c r="N626" s="4"/>
      <c r="O626" s="4"/>
      <c r="P626" s="4"/>
      <c r="Q626" s="4"/>
      <c r="R626" s="1126"/>
      <c r="S626" s="711"/>
    </row>
    <row r="627" spans="1:19" ht="15.75" hidden="1" customHeight="1">
      <c r="A627" s="4"/>
      <c r="B627" s="4"/>
      <c r="C627" s="4"/>
      <c r="D627" s="4"/>
      <c r="E627" s="4"/>
      <c r="F627" s="4"/>
      <c r="G627" s="4"/>
      <c r="H627" s="4"/>
      <c r="I627" s="1124"/>
      <c r="J627" s="4"/>
      <c r="K627" s="4"/>
      <c r="L627" s="4"/>
      <c r="M627" s="4"/>
      <c r="N627" s="4"/>
      <c r="O627" s="4"/>
      <c r="P627" s="4"/>
      <c r="Q627" s="4"/>
      <c r="R627" s="1126"/>
      <c r="S627" s="711"/>
    </row>
    <row r="628" spans="1:19" ht="15.75" hidden="1" customHeight="1">
      <c r="A628" s="4"/>
      <c r="B628" s="4"/>
      <c r="C628" s="4"/>
      <c r="D628" s="4"/>
      <c r="E628" s="4"/>
      <c r="F628" s="4"/>
      <c r="G628" s="4"/>
      <c r="H628" s="4"/>
      <c r="I628" s="1124"/>
      <c r="J628" s="4"/>
      <c r="K628" s="4"/>
      <c r="L628" s="4"/>
      <c r="M628" s="4"/>
      <c r="N628" s="4"/>
      <c r="O628" s="4"/>
      <c r="P628" s="4"/>
      <c r="Q628" s="4"/>
      <c r="R628" s="1126"/>
      <c r="S628" s="711"/>
    </row>
    <row r="629" spans="1:19" ht="15.75" hidden="1" customHeight="1">
      <c r="A629" s="4"/>
      <c r="B629" s="4"/>
      <c r="C629" s="4"/>
      <c r="D629" s="4"/>
      <c r="E629" s="4"/>
      <c r="F629" s="4"/>
      <c r="G629" s="4"/>
      <c r="H629" s="4"/>
      <c r="I629" s="1124"/>
      <c r="J629" s="4"/>
      <c r="K629" s="4"/>
      <c r="L629" s="4"/>
      <c r="M629" s="4"/>
      <c r="N629" s="4"/>
      <c r="O629" s="4"/>
      <c r="P629" s="4"/>
      <c r="Q629" s="4"/>
      <c r="R629" s="1126"/>
      <c r="S629" s="711"/>
    </row>
    <row r="630" spans="1:19" ht="15.75" hidden="1" customHeight="1">
      <c r="A630" s="4"/>
      <c r="B630" s="4"/>
      <c r="C630" s="4"/>
      <c r="D630" s="4"/>
      <c r="E630" s="4"/>
      <c r="F630" s="4"/>
      <c r="G630" s="4"/>
      <c r="H630" s="4"/>
      <c r="I630" s="1124"/>
      <c r="J630" s="4"/>
      <c r="K630" s="4"/>
      <c r="L630" s="4"/>
      <c r="M630" s="4"/>
      <c r="N630" s="4"/>
      <c r="O630" s="4"/>
      <c r="P630" s="4"/>
      <c r="Q630" s="4"/>
      <c r="R630" s="1126"/>
      <c r="S630" s="711"/>
    </row>
    <row r="631" spans="1:19" ht="15.75" hidden="1" customHeight="1">
      <c r="A631" s="4"/>
      <c r="B631" s="4"/>
      <c r="C631" s="4"/>
      <c r="D631" s="4"/>
      <c r="E631" s="4"/>
      <c r="F631" s="4"/>
      <c r="G631" s="4"/>
      <c r="H631" s="4"/>
      <c r="I631" s="1124"/>
      <c r="J631" s="4"/>
      <c r="K631" s="4"/>
      <c r="L631" s="4"/>
      <c r="M631" s="4"/>
      <c r="N631" s="4"/>
      <c r="O631" s="4"/>
      <c r="P631" s="4"/>
      <c r="Q631" s="4"/>
      <c r="R631" s="1126"/>
      <c r="S631" s="711"/>
    </row>
    <row r="632" spans="1:19" ht="15.75" hidden="1" customHeight="1">
      <c r="A632" s="4"/>
      <c r="B632" s="4"/>
      <c r="C632" s="4"/>
      <c r="D632" s="4"/>
      <c r="E632" s="4"/>
      <c r="F632" s="4"/>
      <c r="G632" s="4"/>
      <c r="H632" s="4"/>
      <c r="I632" s="1124"/>
      <c r="J632" s="4"/>
      <c r="K632" s="4"/>
      <c r="L632" s="4"/>
      <c r="M632" s="4"/>
      <c r="N632" s="4"/>
      <c r="O632" s="4"/>
      <c r="P632" s="4"/>
      <c r="Q632" s="4"/>
      <c r="R632" s="1126"/>
      <c r="S632" s="711"/>
    </row>
    <row r="633" spans="1:19" ht="15.75" hidden="1" customHeight="1">
      <c r="A633" s="4"/>
      <c r="B633" s="4"/>
      <c r="C633" s="4"/>
      <c r="D633" s="4"/>
      <c r="E633" s="4"/>
      <c r="F633" s="4"/>
      <c r="G633" s="4"/>
      <c r="H633" s="4"/>
      <c r="I633" s="1124"/>
      <c r="J633" s="4"/>
      <c r="K633" s="4"/>
      <c r="L633" s="4"/>
      <c r="M633" s="4"/>
      <c r="N633" s="4"/>
      <c r="O633" s="4"/>
      <c r="P633" s="4"/>
      <c r="Q633" s="4"/>
      <c r="R633" s="1126"/>
      <c r="S633" s="711"/>
    </row>
    <row r="634" spans="1:19" ht="15.75" hidden="1" customHeight="1">
      <c r="A634" s="4"/>
      <c r="B634" s="4"/>
      <c r="C634" s="4"/>
      <c r="D634" s="4"/>
      <c r="E634" s="4"/>
      <c r="F634" s="4"/>
      <c r="G634" s="4"/>
      <c r="H634" s="4"/>
      <c r="I634" s="1124"/>
      <c r="J634" s="4"/>
      <c r="K634" s="4"/>
      <c r="L634" s="4"/>
      <c r="M634" s="4"/>
      <c r="N634" s="4"/>
      <c r="O634" s="4"/>
      <c r="P634" s="4"/>
      <c r="Q634" s="4"/>
      <c r="R634" s="1126"/>
      <c r="S634" s="711"/>
    </row>
    <row r="635" spans="1:19" ht="15.75" hidden="1" customHeight="1">
      <c r="A635" s="4"/>
      <c r="B635" s="4"/>
      <c r="C635" s="4"/>
      <c r="D635" s="4"/>
      <c r="E635" s="4"/>
      <c r="F635" s="4"/>
      <c r="G635" s="4"/>
      <c r="H635" s="4"/>
      <c r="I635" s="1124"/>
      <c r="J635" s="4"/>
      <c r="K635" s="4"/>
      <c r="L635" s="4"/>
      <c r="M635" s="4"/>
      <c r="N635" s="4"/>
      <c r="O635" s="4"/>
      <c r="P635" s="4"/>
      <c r="Q635" s="4"/>
      <c r="R635" s="1126"/>
      <c r="S635" s="711"/>
    </row>
    <row r="636" spans="1:19" ht="15.75" hidden="1" customHeight="1">
      <c r="A636" s="4"/>
      <c r="B636" s="4"/>
      <c r="C636" s="4"/>
      <c r="D636" s="4"/>
      <c r="E636" s="4"/>
      <c r="F636" s="4"/>
      <c r="G636" s="4"/>
      <c r="H636" s="4"/>
      <c r="I636" s="1124"/>
      <c r="J636" s="4"/>
      <c r="K636" s="4"/>
      <c r="L636" s="4"/>
      <c r="M636" s="4"/>
      <c r="N636" s="4"/>
      <c r="O636" s="4"/>
      <c r="P636" s="4"/>
      <c r="Q636" s="4"/>
      <c r="R636" s="1126"/>
      <c r="S636" s="711"/>
    </row>
    <row r="637" spans="1:19" ht="15.75" hidden="1" customHeight="1">
      <c r="A637" s="4"/>
      <c r="B637" s="4"/>
      <c r="C637" s="4"/>
      <c r="D637" s="4"/>
      <c r="E637" s="4"/>
      <c r="F637" s="4"/>
      <c r="G637" s="4"/>
      <c r="H637" s="4"/>
      <c r="I637" s="1124"/>
      <c r="J637" s="4"/>
      <c r="K637" s="4"/>
      <c r="L637" s="4"/>
      <c r="M637" s="4"/>
      <c r="N637" s="4"/>
      <c r="O637" s="4"/>
      <c r="P637" s="4"/>
      <c r="Q637" s="4"/>
      <c r="R637" s="1126"/>
      <c r="S637" s="711"/>
    </row>
    <row r="638" spans="1:19" ht="15.75" hidden="1" customHeight="1">
      <c r="A638" s="4"/>
      <c r="B638" s="4"/>
      <c r="C638" s="4"/>
      <c r="D638" s="4"/>
      <c r="E638" s="4"/>
      <c r="F638" s="4"/>
      <c r="G638" s="4"/>
      <c r="H638" s="4"/>
      <c r="I638" s="1124"/>
      <c r="J638" s="4"/>
      <c r="K638" s="4"/>
      <c r="L638" s="4"/>
      <c r="M638" s="4"/>
      <c r="N638" s="4"/>
      <c r="O638" s="4"/>
      <c r="P638" s="4"/>
      <c r="Q638" s="4"/>
      <c r="R638" s="1126"/>
      <c r="S638" s="711"/>
    </row>
    <row r="639" spans="1:19" ht="15.75" hidden="1" customHeight="1">
      <c r="A639" s="4"/>
      <c r="B639" s="4"/>
      <c r="C639" s="4"/>
      <c r="D639" s="4"/>
      <c r="E639" s="4"/>
      <c r="F639" s="4"/>
      <c r="G639" s="4"/>
      <c r="H639" s="4"/>
      <c r="I639" s="1124"/>
      <c r="J639" s="4"/>
      <c r="K639" s="4"/>
      <c r="L639" s="4"/>
      <c r="M639" s="4"/>
      <c r="N639" s="4"/>
      <c r="O639" s="4"/>
      <c r="P639" s="4"/>
      <c r="Q639" s="4"/>
      <c r="R639" s="1126"/>
      <c r="S639" s="711"/>
    </row>
    <row r="640" spans="1:19" ht="15.75" hidden="1" customHeight="1">
      <c r="A640" s="4"/>
      <c r="B640" s="4"/>
      <c r="C640" s="4"/>
      <c r="D640" s="4"/>
      <c r="E640" s="4"/>
      <c r="F640" s="4"/>
      <c r="G640" s="4"/>
      <c r="H640" s="4"/>
      <c r="I640" s="1124"/>
      <c r="J640" s="4"/>
      <c r="K640" s="4"/>
      <c r="L640" s="4"/>
      <c r="M640" s="4"/>
      <c r="N640" s="4"/>
      <c r="O640" s="4"/>
      <c r="P640" s="4"/>
      <c r="Q640" s="4"/>
      <c r="R640" s="1126"/>
      <c r="S640" s="711"/>
    </row>
    <row r="641" spans="1:19" ht="15.75" hidden="1" customHeight="1">
      <c r="A641" s="4"/>
      <c r="B641" s="4"/>
      <c r="C641" s="4"/>
      <c r="D641" s="4"/>
      <c r="E641" s="4"/>
      <c r="F641" s="4"/>
      <c r="G641" s="4"/>
      <c r="H641" s="4"/>
      <c r="I641" s="1124"/>
      <c r="J641" s="4"/>
      <c r="K641" s="4"/>
      <c r="L641" s="4"/>
      <c r="M641" s="4"/>
      <c r="N641" s="4"/>
      <c r="O641" s="4"/>
      <c r="P641" s="4"/>
      <c r="Q641" s="4"/>
      <c r="R641" s="1126"/>
      <c r="S641" s="711"/>
    </row>
    <row r="642" spans="1:19" ht="15.75" hidden="1" customHeight="1">
      <c r="A642" s="4"/>
      <c r="B642" s="4"/>
      <c r="C642" s="4"/>
      <c r="D642" s="4"/>
      <c r="E642" s="4"/>
      <c r="F642" s="4"/>
      <c r="G642" s="4"/>
      <c r="H642" s="4"/>
      <c r="I642" s="1124"/>
      <c r="J642" s="4"/>
      <c r="K642" s="4"/>
      <c r="L642" s="4"/>
      <c r="M642" s="4"/>
      <c r="N642" s="4"/>
      <c r="O642" s="4"/>
      <c r="P642" s="4"/>
      <c r="Q642" s="4"/>
      <c r="R642" s="1126"/>
      <c r="S642" s="711"/>
    </row>
    <row r="643" spans="1:19" ht="15.75" hidden="1" customHeight="1">
      <c r="A643" s="4"/>
      <c r="B643" s="4"/>
      <c r="C643" s="4"/>
      <c r="D643" s="4"/>
      <c r="E643" s="4"/>
      <c r="F643" s="4"/>
      <c r="G643" s="4"/>
      <c r="H643" s="4"/>
      <c r="I643" s="1124"/>
      <c r="J643" s="4"/>
      <c r="K643" s="4"/>
      <c r="L643" s="4"/>
      <c r="M643" s="4"/>
      <c r="N643" s="4"/>
      <c r="O643" s="4"/>
      <c r="P643" s="4"/>
      <c r="Q643" s="4"/>
      <c r="R643" s="1126"/>
      <c r="S643" s="711"/>
    </row>
    <row r="644" spans="1:19" ht="15.75" hidden="1" customHeight="1">
      <c r="A644" s="4"/>
      <c r="B644" s="4"/>
      <c r="C644" s="4"/>
      <c r="D644" s="4"/>
      <c r="E644" s="4"/>
      <c r="F644" s="4"/>
      <c r="G644" s="4"/>
      <c r="H644" s="4"/>
      <c r="I644" s="1124"/>
      <c r="J644" s="4"/>
      <c r="K644" s="4"/>
      <c r="L644" s="4"/>
      <c r="M644" s="4"/>
      <c r="N644" s="4"/>
      <c r="O644" s="4"/>
      <c r="P644" s="4"/>
      <c r="Q644" s="4"/>
      <c r="R644" s="1126"/>
      <c r="S644" s="711"/>
    </row>
    <row r="645" spans="1:19" ht="15.75" hidden="1" customHeight="1">
      <c r="A645" s="4"/>
      <c r="B645" s="4"/>
      <c r="C645" s="4"/>
      <c r="D645" s="4"/>
      <c r="E645" s="4"/>
      <c r="F645" s="4"/>
      <c r="G645" s="4"/>
      <c r="H645" s="4"/>
      <c r="I645" s="1124"/>
      <c r="J645" s="4"/>
      <c r="K645" s="4"/>
      <c r="L645" s="4"/>
      <c r="M645" s="4"/>
      <c r="N645" s="4"/>
      <c r="O645" s="4"/>
      <c r="P645" s="4"/>
      <c r="Q645" s="4"/>
      <c r="R645" s="1126"/>
      <c r="S645" s="711"/>
    </row>
    <row r="646" spans="1:19" ht="15.75" hidden="1" customHeight="1">
      <c r="A646" s="4"/>
      <c r="B646" s="4"/>
      <c r="C646" s="4"/>
      <c r="D646" s="4"/>
      <c r="E646" s="4"/>
      <c r="F646" s="4"/>
      <c r="G646" s="4"/>
      <c r="H646" s="4"/>
      <c r="I646" s="1124"/>
      <c r="J646" s="4"/>
      <c r="K646" s="4"/>
      <c r="L646" s="4"/>
      <c r="M646" s="4"/>
      <c r="N646" s="4"/>
      <c r="O646" s="4"/>
      <c r="P646" s="4"/>
      <c r="Q646" s="4"/>
      <c r="R646" s="1126"/>
      <c r="S646" s="711"/>
    </row>
    <row r="647" spans="1:19" ht="15.75" hidden="1" customHeight="1">
      <c r="A647" s="4"/>
      <c r="B647" s="4"/>
      <c r="C647" s="4"/>
      <c r="D647" s="4"/>
      <c r="E647" s="4"/>
      <c r="F647" s="4"/>
      <c r="G647" s="4"/>
      <c r="H647" s="4"/>
      <c r="I647" s="1124"/>
      <c r="J647" s="4"/>
      <c r="K647" s="4"/>
      <c r="L647" s="4"/>
      <c r="M647" s="4"/>
      <c r="N647" s="4"/>
      <c r="O647" s="4"/>
      <c r="P647" s="4"/>
      <c r="Q647" s="4"/>
      <c r="R647" s="1126"/>
      <c r="S647" s="711"/>
    </row>
    <row r="648" spans="1:19" ht="15.75" hidden="1" customHeight="1">
      <c r="A648" s="4"/>
      <c r="B648" s="4"/>
      <c r="C648" s="4"/>
      <c r="D648" s="4"/>
      <c r="E648" s="4"/>
      <c r="F648" s="4"/>
      <c r="G648" s="4"/>
      <c r="H648" s="4"/>
      <c r="I648" s="1124"/>
      <c r="J648" s="4"/>
      <c r="K648" s="4"/>
      <c r="L648" s="4"/>
      <c r="M648" s="4"/>
      <c r="N648" s="4"/>
      <c r="O648" s="4"/>
      <c r="P648" s="4"/>
      <c r="Q648" s="4"/>
      <c r="R648" s="1126"/>
      <c r="S648" s="711"/>
    </row>
    <row r="649" spans="1:19" ht="15.75" hidden="1" customHeight="1">
      <c r="A649" s="4"/>
      <c r="B649" s="4"/>
      <c r="C649" s="4"/>
      <c r="D649" s="4"/>
      <c r="E649" s="4"/>
      <c r="F649" s="4"/>
      <c r="G649" s="4"/>
      <c r="H649" s="4"/>
      <c r="I649" s="1124"/>
      <c r="J649" s="4"/>
      <c r="K649" s="4"/>
      <c r="L649" s="4"/>
      <c r="M649" s="4"/>
      <c r="N649" s="4"/>
      <c r="O649" s="4"/>
      <c r="P649" s="4"/>
      <c r="Q649" s="4"/>
      <c r="R649" s="1126"/>
      <c r="S649" s="711"/>
    </row>
    <row r="650" spans="1:19" ht="15.75" hidden="1" customHeight="1">
      <c r="A650" s="4"/>
      <c r="B650" s="4"/>
      <c r="C650" s="4"/>
      <c r="D650" s="4"/>
      <c r="E650" s="4"/>
      <c r="F650" s="4"/>
      <c r="G650" s="4"/>
      <c r="H650" s="4"/>
      <c r="I650" s="1124"/>
      <c r="J650" s="4"/>
      <c r="K650" s="4"/>
      <c r="L650" s="4"/>
      <c r="M650" s="4"/>
      <c r="N650" s="4"/>
      <c r="O650" s="4"/>
      <c r="P650" s="4"/>
      <c r="Q650" s="4"/>
      <c r="R650" s="1126"/>
      <c r="S650" s="711"/>
    </row>
    <row r="651" spans="1:19" ht="15.75" hidden="1" customHeight="1">
      <c r="A651" s="4"/>
      <c r="B651" s="4"/>
      <c r="C651" s="4"/>
      <c r="D651" s="4"/>
      <c r="E651" s="4"/>
      <c r="F651" s="4"/>
      <c r="G651" s="4"/>
      <c r="H651" s="4"/>
      <c r="I651" s="1124"/>
      <c r="J651" s="4"/>
      <c r="K651" s="4"/>
      <c r="L651" s="4"/>
      <c r="M651" s="4"/>
      <c r="N651" s="4"/>
      <c r="O651" s="4"/>
      <c r="P651" s="4"/>
      <c r="Q651" s="4"/>
      <c r="R651" s="1126"/>
      <c r="S651" s="711"/>
    </row>
    <row r="652" spans="1:19" ht="15.75" hidden="1" customHeight="1">
      <c r="A652" s="4"/>
      <c r="B652" s="4"/>
      <c r="C652" s="4"/>
      <c r="D652" s="4"/>
      <c r="E652" s="4"/>
      <c r="F652" s="4"/>
      <c r="G652" s="4"/>
      <c r="H652" s="4"/>
      <c r="I652" s="1124"/>
      <c r="J652" s="4"/>
      <c r="K652" s="4"/>
      <c r="L652" s="4"/>
      <c r="M652" s="4"/>
      <c r="N652" s="4"/>
      <c r="O652" s="4"/>
      <c r="P652" s="4"/>
      <c r="Q652" s="4"/>
      <c r="R652" s="1126"/>
      <c r="S652" s="711"/>
    </row>
    <row r="653" spans="1:19" ht="15.75" hidden="1" customHeight="1">
      <c r="A653" s="4"/>
      <c r="B653" s="4"/>
      <c r="C653" s="4"/>
      <c r="D653" s="4"/>
      <c r="E653" s="4"/>
      <c r="F653" s="4"/>
      <c r="G653" s="4"/>
      <c r="H653" s="4"/>
      <c r="I653" s="1124"/>
      <c r="J653" s="4"/>
      <c r="K653" s="4"/>
      <c r="L653" s="4"/>
      <c r="M653" s="4"/>
      <c r="N653" s="4"/>
      <c r="O653" s="4"/>
      <c r="P653" s="4"/>
      <c r="Q653" s="4"/>
      <c r="R653" s="1126"/>
      <c r="S653" s="711"/>
    </row>
    <row r="654" spans="1:19" ht="15.75" hidden="1" customHeight="1">
      <c r="A654" s="4"/>
      <c r="B654" s="4"/>
      <c r="C654" s="4"/>
      <c r="D654" s="4"/>
      <c r="E654" s="4"/>
      <c r="F654" s="4"/>
      <c r="G654" s="4"/>
      <c r="H654" s="4"/>
      <c r="I654" s="1124"/>
      <c r="J654" s="4"/>
      <c r="K654" s="4"/>
      <c r="L654" s="4"/>
      <c r="M654" s="4"/>
      <c r="N654" s="4"/>
      <c r="O654" s="4"/>
      <c r="P654" s="4"/>
      <c r="Q654" s="4"/>
      <c r="R654" s="1126"/>
      <c r="S654" s="711"/>
    </row>
    <row r="655" spans="1:19" ht="15.75" hidden="1" customHeight="1">
      <c r="A655" s="4"/>
      <c r="B655" s="4"/>
      <c r="C655" s="4"/>
      <c r="D655" s="4"/>
      <c r="E655" s="4"/>
      <c r="F655" s="4"/>
      <c r="G655" s="4"/>
      <c r="H655" s="4"/>
      <c r="I655" s="1124"/>
      <c r="J655" s="4"/>
      <c r="K655" s="4"/>
      <c r="L655" s="4"/>
      <c r="M655" s="4"/>
      <c r="N655" s="4"/>
      <c r="O655" s="4"/>
      <c r="P655" s="4"/>
      <c r="Q655" s="4"/>
      <c r="R655" s="1126"/>
      <c r="S655" s="711"/>
    </row>
    <row r="656" spans="1:19" ht="15.75" hidden="1" customHeight="1">
      <c r="A656" s="4"/>
      <c r="B656" s="4"/>
      <c r="C656" s="4"/>
      <c r="D656" s="4"/>
      <c r="E656" s="4"/>
      <c r="F656" s="4"/>
      <c r="G656" s="4"/>
      <c r="H656" s="4"/>
      <c r="I656" s="1124"/>
      <c r="J656" s="4"/>
      <c r="K656" s="4"/>
      <c r="L656" s="4"/>
      <c r="M656" s="4"/>
      <c r="N656" s="4"/>
      <c r="O656" s="4"/>
      <c r="P656" s="4"/>
      <c r="Q656" s="4"/>
      <c r="R656" s="1126"/>
      <c r="S656" s="711"/>
    </row>
    <row r="657" spans="1:19" ht="15.75" hidden="1" customHeight="1">
      <c r="A657" s="4"/>
      <c r="B657" s="4"/>
      <c r="C657" s="4"/>
      <c r="D657" s="4"/>
      <c r="E657" s="4"/>
      <c r="F657" s="4"/>
      <c r="G657" s="4"/>
      <c r="H657" s="4"/>
      <c r="I657" s="1124"/>
      <c r="J657" s="4"/>
      <c r="K657" s="4"/>
      <c r="L657" s="4"/>
      <c r="M657" s="4"/>
      <c r="N657" s="4"/>
      <c r="O657" s="4"/>
      <c r="P657" s="4"/>
      <c r="Q657" s="4"/>
      <c r="R657" s="1126"/>
      <c r="S657" s="711"/>
    </row>
    <row r="658" spans="1:19" ht="15.75" hidden="1" customHeight="1">
      <c r="A658" s="4"/>
      <c r="B658" s="4"/>
      <c r="C658" s="4"/>
      <c r="D658" s="4"/>
      <c r="E658" s="4"/>
      <c r="F658" s="4"/>
      <c r="G658" s="4"/>
      <c r="H658" s="4"/>
      <c r="I658" s="1124"/>
      <c r="J658" s="4"/>
      <c r="K658" s="4"/>
      <c r="L658" s="4"/>
      <c r="M658" s="4"/>
      <c r="N658" s="4"/>
      <c r="O658" s="4"/>
      <c r="P658" s="4"/>
      <c r="Q658" s="4"/>
      <c r="R658" s="1126"/>
      <c r="S658" s="711"/>
    </row>
    <row r="659" spans="1:19" ht="15.75" hidden="1" customHeight="1">
      <c r="A659" s="4"/>
      <c r="B659" s="4"/>
      <c r="C659" s="4"/>
      <c r="D659" s="4"/>
      <c r="E659" s="4"/>
      <c r="F659" s="4"/>
      <c r="G659" s="4"/>
      <c r="H659" s="4"/>
      <c r="I659" s="1124"/>
      <c r="J659" s="4"/>
      <c r="K659" s="4"/>
      <c r="L659" s="4"/>
      <c r="M659" s="4"/>
      <c r="N659" s="4"/>
      <c r="O659" s="4"/>
      <c r="P659" s="4"/>
      <c r="Q659" s="4"/>
      <c r="R659" s="1126"/>
      <c r="S659" s="711"/>
    </row>
    <row r="660" spans="1:19" ht="15.75" hidden="1" customHeight="1">
      <c r="A660" s="4"/>
      <c r="B660" s="4"/>
      <c r="C660" s="4"/>
      <c r="D660" s="4"/>
      <c r="E660" s="4"/>
      <c r="F660" s="4"/>
      <c r="G660" s="4"/>
      <c r="H660" s="4"/>
      <c r="I660" s="1124"/>
      <c r="J660" s="4"/>
      <c r="K660" s="4"/>
      <c r="L660" s="4"/>
      <c r="M660" s="4"/>
      <c r="N660" s="4"/>
      <c r="O660" s="4"/>
      <c r="P660" s="4"/>
      <c r="Q660" s="4"/>
      <c r="R660" s="1126"/>
      <c r="S660" s="711"/>
    </row>
    <row r="661" spans="1:19" ht="15.75" hidden="1" customHeight="1">
      <c r="A661" s="4"/>
      <c r="B661" s="4"/>
      <c r="C661" s="4"/>
      <c r="D661" s="4"/>
      <c r="E661" s="4"/>
      <c r="F661" s="4"/>
      <c r="G661" s="4"/>
      <c r="H661" s="4"/>
      <c r="I661" s="1124"/>
      <c r="J661" s="4"/>
      <c r="K661" s="4"/>
      <c r="L661" s="4"/>
      <c r="M661" s="4"/>
      <c r="N661" s="4"/>
      <c r="O661" s="4"/>
      <c r="P661" s="4"/>
      <c r="Q661" s="4"/>
      <c r="R661" s="1126"/>
      <c r="S661" s="711"/>
    </row>
    <row r="662" spans="1:19" ht="15.75" hidden="1" customHeight="1">
      <c r="A662" s="4"/>
      <c r="B662" s="4"/>
      <c r="C662" s="4"/>
      <c r="D662" s="4"/>
      <c r="E662" s="4"/>
      <c r="F662" s="4"/>
      <c r="G662" s="4"/>
      <c r="H662" s="4"/>
      <c r="I662" s="1124"/>
      <c r="J662" s="4"/>
      <c r="K662" s="4"/>
      <c r="L662" s="4"/>
      <c r="M662" s="4"/>
      <c r="N662" s="4"/>
      <c r="O662" s="4"/>
      <c r="P662" s="4"/>
      <c r="Q662" s="4"/>
      <c r="R662" s="1126"/>
      <c r="S662" s="711"/>
    </row>
    <row r="663" spans="1:19" ht="15.75" hidden="1" customHeight="1">
      <c r="A663" s="4"/>
      <c r="B663" s="4"/>
      <c r="C663" s="4"/>
      <c r="D663" s="4"/>
      <c r="E663" s="4"/>
      <c r="F663" s="4"/>
      <c r="G663" s="4"/>
      <c r="H663" s="4"/>
      <c r="I663" s="1124"/>
      <c r="J663" s="4"/>
      <c r="K663" s="4"/>
      <c r="L663" s="4"/>
      <c r="M663" s="4"/>
      <c r="N663" s="4"/>
      <c r="O663" s="4"/>
      <c r="P663" s="4"/>
      <c r="Q663" s="4"/>
      <c r="R663" s="1126"/>
      <c r="S663" s="711"/>
    </row>
    <row r="664" spans="1:19" ht="15.75" hidden="1" customHeight="1">
      <c r="A664" s="4"/>
      <c r="B664" s="4"/>
      <c r="C664" s="4"/>
      <c r="D664" s="4"/>
      <c r="E664" s="4"/>
      <c r="F664" s="4"/>
      <c r="G664" s="4"/>
      <c r="H664" s="4"/>
      <c r="I664" s="1124"/>
      <c r="J664" s="4"/>
      <c r="K664" s="4"/>
      <c r="L664" s="4"/>
      <c r="M664" s="4"/>
      <c r="N664" s="4"/>
      <c r="O664" s="4"/>
      <c r="P664" s="4"/>
      <c r="Q664" s="4"/>
      <c r="R664" s="1126"/>
      <c r="S664" s="711"/>
    </row>
    <row r="665" spans="1:19" ht="15.75" hidden="1" customHeight="1">
      <c r="A665" s="4"/>
      <c r="B665" s="4"/>
      <c r="C665" s="4"/>
      <c r="D665" s="4"/>
      <c r="E665" s="4"/>
      <c r="F665" s="4"/>
      <c r="G665" s="4"/>
      <c r="H665" s="4"/>
      <c r="I665" s="1124"/>
      <c r="J665" s="4"/>
      <c r="K665" s="4"/>
      <c r="L665" s="4"/>
      <c r="M665" s="4"/>
      <c r="N665" s="4"/>
      <c r="O665" s="4"/>
      <c r="P665" s="4"/>
      <c r="Q665" s="4"/>
      <c r="R665" s="1126"/>
      <c r="S665" s="711"/>
    </row>
    <row r="666" spans="1:19" ht="15.75" hidden="1" customHeight="1">
      <c r="A666" s="4"/>
      <c r="B666" s="4"/>
      <c r="C666" s="4"/>
      <c r="D666" s="4"/>
      <c r="E666" s="4"/>
      <c r="F666" s="4"/>
      <c r="G666" s="4"/>
      <c r="H666" s="4"/>
      <c r="I666" s="1124"/>
      <c r="J666" s="4"/>
      <c r="K666" s="4"/>
      <c r="L666" s="4"/>
      <c r="M666" s="4"/>
      <c r="N666" s="4"/>
      <c r="O666" s="4"/>
      <c r="P666" s="4"/>
      <c r="Q666" s="4"/>
      <c r="R666" s="1126"/>
      <c r="S666" s="711"/>
    </row>
    <row r="667" spans="1:19" ht="15.75" hidden="1" customHeight="1">
      <c r="A667" s="4"/>
      <c r="B667" s="4"/>
      <c r="C667" s="4"/>
      <c r="D667" s="4"/>
      <c r="E667" s="4"/>
      <c r="F667" s="4"/>
      <c r="G667" s="4"/>
      <c r="H667" s="4"/>
      <c r="I667" s="1124"/>
      <c r="J667" s="4"/>
      <c r="K667" s="4"/>
      <c r="L667" s="4"/>
      <c r="M667" s="4"/>
      <c r="N667" s="4"/>
      <c r="O667" s="4"/>
      <c r="P667" s="4"/>
      <c r="Q667" s="4"/>
      <c r="R667" s="1126"/>
      <c r="S667" s="711"/>
    </row>
    <row r="668" spans="1:19" ht="15.75" hidden="1" customHeight="1">
      <c r="A668" s="4"/>
      <c r="B668" s="4"/>
      <c r="C668" s="4"/>
      <c r="D668" s="4"/>
      <c r="E668" s="4"/>
      <c r="F668" s="4"/>
      <c r="G668" s="4"/>
      <c r="H668" s="4"/>
      <c r="I668" s="1124"/>
      <c r="J668" s="4"/>
      <c r="K668" s="4"/>
      <c r="L668" s="4"/>
      <c r="M668" s="4"/>
      <c r="N668" s="4"/>
      <c r="O668" s="4"/>
      <c r="P668" s="4"/>
      <c r="Q668" s="4"/>
      <c r="R668" s="1126"/>
      <c r="S668" s="711"/>
    </row>
    <row r="669" spans="1:19" ht="15.75" hidden="1" customHeight="1">
      <c r="A669" s="4"/>
      <c r="B669" s="4"/>
      <c r="C669" s="4"/>
      <c r="D669" s="4"/>
      <c r="E669" s="4"/>
      <c r="F669" s="4"/>
      <c r="G669" s="4"/>
      <c r="H669" s="4"/>
      <c r="I669" s="1124"/>
      <c r="J669" s="4"/>
      <c r="K669" s="4"/>
      <c r="L669" s="4"/>
      <c r="M669" s="4"/>
      <c r="N669" s="4"/>
      <c r="O669" s="4"/>
      <c r="P669" s="4"/>
      <c r="Q669" s="4"/>
      <c r="R669" s="1126"/>
      <c r="S669" s="711"/>
    </row>
    <row r="670" spans="1:19" ht="15.75" hidden="1" customHeight="1">
      <c r="A670" s="4"/>
      <c r="B670" s="4"/>
      <c r="C670" s="4"/>
      <c r="D670" s="4"/>
      <c r="E670" s="4"/>
      <c r="F670" s="4"/>
      <c r="G670" s="4"/>
      <c r="H670" s="4"/>
      <c r="I670" s="1124"/>
      <c r="J670" s="4"/>
      <c r="K670" s="4"/>
      <c r="L670" s="4"/>
      <c r="M670" s="4"/>
      <c r="N670" s="4"/>
      <c r="O670" s="4"/>
      <c r="P670" s="4"/>
      <c r="Q670" s="4"/>
      <c r="R670" s="1126"/>
      <c r="S670" s="711"/>
    </row>
    <row r="671" spans="1:19" ht="15.75" hidden="1" customHeight="1">
      <c r="A671" s="4"/>
      <c r="B671" s="4"/>
      <c r="C671" s="4"/>
      <c r="D671" s="4"/>
      <c r="E671" s="4"/>
      <c r="F671" s="4"/>
      <c r="G671" s="4"/>
      <c r="H671" s="4"/>
      <c r="I671" s="1124"/>
      <c r="J671" s="4"/>
      <c r="K671" s="4"/>
      <c r="L671" s="4"/>
      <c r="M671" s="4"/>
      <c r="N671" s="4"/>
      <c r="O671" s="4"/>
      <c r="P671" s="4"/>
      <c r="Q671" s="4"/>
      <c r="R671" s="1126"/>
      <c r="S671" s="711"/>
    </row>
    <row r="672" spans="1:19" ht="15.75" hidden="1" customHeight="1">
      <c r="A672" s="4"/>
      <c r="B672" s="4"/>
      <c r="C672" s="4"/>
      <c r="D672" s="4"/>
      <c r="E672" s="4"/>
      <c r="F672" s="4"/>
      <c r="G672" s="4"/>
      <c r="H672" s="4"/>
      <c r="I672" s="1124"/>
      <c r="J672" s="4"/>
      <c r="K672" s="4"/>
      <c r="L672" s="4"/>
      <c r="M672" s="4"/>
      <c r="N672" s="4"/>
      <c r="O672" s="4"/>
      <c r="P672" s="4"/>
      <c r="Q672" s="4"/>
      <c r="R672" s="1126"/>
      <c r="S672" s="711"/>
    </row>
    <row r="673" spans="1:19" ht="15.75" hidden="1" customHeight="1">
      <c r="A673" s="4"/>
      <c r="B673" s="4"/>
      <c r="C673" s="4"/>
      <c r="D673" s="4"/>
      <c r="E673" s="4"/>
      <c r="F673" s="4"/>
      <c r="G673" s="4"/>
      <c r="H673" s="4"/>
      <c r="I673" s="1124"/>
      <c r="J673" s="4"/>
      <c r="K673" s="4"/>
      <c r="L673" s="4"/>
      <c r="M673" s="4"/>
      <c r="N673" s="4"/>
      <c r="O673" s="4"/>
      <c r="P673" s="4"/>
      <c r="Q673" s="4"/>
      <c r="R673" s="1126"/>
      <c r="S673" s="711"/>
    </row>
    <row r="674" spans="1:19" ht="15.75" hidden="1" customHeight="1">
      <c r="A674" s="4"/>
      <c r="B674" s="4"/>
      <c r="C674" s="4"/>
      <c r="D674" s="4"/>
      <c r="E674" s="4"/>
      <c r="F674" s="4"/>
      <c r="G674" s="4"/>
      <c r="H674" s="4"/>
      <c r="I674" s="1124"/>
      <c r="J674" s="4"/>
      <c r="K674" s="4"/>
      <c r="L674" s="4"/>
      <c r="M674" s="4"/>
      <c r="N674" s="4"/>
      <c r="O674" s="4"/>
      <c r="P674" s="4"/>
      <c r="Q674" s="4"/>
      <c r="R674" s="1126"/>
      <c r="S674" s="711"/>
    </row>
    <row r="675" spans="1:19" ht="15.75" hidden="1" customHeight="1">
      <c r="A675" s="4"/>
      <c r="B675" s="4"/>
      <c r="C675" s="4"/>
      <c r="D675" s="4"/>
      <c r="E675" s="4"/>
      <c r="F675" s="4"/>
      <c r="G675" s="4"/>
      <c r="H675" s="4"/>
      <c r="I675" s="1124"/>
      <c r="J675" s="4"/>
      <c r="K675" s="4"/>
      <c r="L675" s="4"/>
      <c r="M675" s="4"/>
      <c r="N675" s="4"/>
      <c r="O675" s="4"/>
      <c r="P675" s="4"/>
      <c r="Q675" s="4"/>
      <c r="R675" s="1126"/>
      <c r="S675" s="711"/>
    </row>
    <row r="676" spans="1:19" ht="15.75" hidden="1" customHeight="1">
      <c r="A676" s="4"/>
      <c r="B676" s="4"/>
      <c r="C676" s="4"/>
      <c r="D676" s="4"/>
      <c r="E676" s="4"/>
      <c r="F676" s="4"/>
      <c r="G676" s="4"/>
      <c r="H676" s="4"/>
      <c r="I676" s="1124"/>
      <c r="J676" s="4"/>
      <c r="K676" s="4"/>
      <c r="L676" s="4"/>
      <c r="M676" s="4"/>
      <c r="N676" s="4"/>
      <c r="O676" s="4"/>
      <c r="P676" s="4"/>
      <c r="Q676" s="4"/>
      <c r="R676" s="1126"/>
      <c r="S676" s="711"/>
    </row>
    <row r="677" spans="1:19" ht="15.75" hidden="1" customHeight="1">
      <c r="A677" s="4"/>
      <c r="B677" s="4"/>
      <c r="C677" s="4"/>
      <c r="D677" s="4"/>
      <c r="E677" s="4"/>
      <c r="F677" s="4"/>
      <c r="G677" s="4"/>
      <c r="H677" s="4"/>
      <c r="I677" s="1124"/>
      <c r="J677" s="4"/>
      <c r="K677" s="4"/>
      <c r="L677" s="4"/>
      <c r="M677" s="4"/>
      <c r="N677" s="4"/>
      <c r="O677" s="4"/>
      <c r="P677" s="4"/>
      <c r="Q677" s="4"/>
      <c r="R677" s="1126"/>
      <c r="S677" s="711"/>
    </row>
    <row r="678" spans="1:19" ht="15.75" hidden="1" customHeight="1">
      <c r="A678" s="4"/>
      <c r="B678" s="4"/>
      <c r="C678" s="4"/>
      <c r="D678" s="4"/>
      <c r="E678" s="4"/>
      <c r="F678" s="4"/>
      <c r="G678" s="4"/>
      <c r="H678" s="4"/>
      <c r="I678" s="1124"/>
      <c r="J678" s="4"/>
      <c r="K678" s="4"/>
      <c r="L678" s="4"/>
      <c r="M678" s="4"/>
      <c r="N678" s="4"/>
      <c r="O678" s="4"/>
      <c r="P678" s="4"/>
      <c r="Q678" s="4"/>
      <c r="R678" s="1126"/>
      <c r="S678" s="711"/>
    </row>
    <row r="679" spans="1:19" ht="15.75" hidden="1" customHeight="1">
      <c r="A679" s="4"/>
      <c r="B679" s="4"/>
      <c r="C679" s="4"/>
      <c r="D679" s="4"/>
      <c r="E679" s="4"/>
      <c r="F679" s="4"/>
      <c r="G679" s="4"/>
      <c r="H679" s="4"/>
      <c r="I679" s="1124"/>
      <c r="J679" s="4"/>
      <c r="K679" s="4"/>
      <c r="L679" s="4"/>
      <c r="M679" s="4"/>
      <c r="N679" s="4"/>
      <c r="O679" s="4"/>
      <c r="P679" s="4"/>
      <c r="Q679" s="4"/>
      <c r="R679" s="1126"/>
      <c r="S679" s="711"/>
    </row>
    <row r="680" spans="1:19" ht="15.75" hidden="1" customHeight="1">
      <c r="A680" s="4"/>
      <c r="B680" s="4"/>
      <c r="C680" s="4"/>
      <c r="D680" s="4"/>
      <c r="E680" s="4"/>
      <c r="F680" s="4"/>
      <c r="G680" s="4"/>
      <c r="H680" s="4"/>
      <c r="I680" s="1124"/>
      <c r="J680" s="4"/>
      <c r="K680" s="4"/>
      <c r="L680" s="4"/>
      <c r="M680" s="4"/>
      <c r="N680" s="4"/>
      <c r="O680" s="4"/>
      <c r="P680" s="4"/>
      <c r="Q680" s="4"/>
      <c r="R680" s="1126"/>
      <c r="S680" s="711"/>
    </row>
    <row r="681" spans="1:19" ht="15.75" hidden="1" customHeight="1">
      <c r="A681" s="4"/>
      <c r="B681" s="4"/>
      <c r="C681" s="4"/>
      <c r="D681" s="4"/>
      <c r="E681" s="4"/>
      <c r="F681" s="4"/>
      <c r="G681" s="4"/>
      <c r="H681" s="4"/>
      <c r="I681" s="1124"/>
      <c r="J681" s="4"/>
      <c r="K681" s="4"/>
      <c r="L681" s="4"/>
      <c r="M681" s="4"/>
      <c r="N681" s="4"/>
      <c r="O681" s="4"/>
      <c r="P681" s="4"/>
      <c r="Q681" s="4"/>
      <c r="R681" s="1126"/>
      <c r="S681" s="711"/>
    </row>
    <row r="682" spans="1:19" ht="15.75" hidden="1" customHeight="1">
      <c r="A682" s="4"/>
      <c r="B682" s="4"/>
      <c r="C682" s="4"/>
      <c r="D682" s="4"/>
      <c r="E682" s="4"/>
      <c r="F682" s="4"/>
      <c r="G682" s="4"/>
      <c r="H682" s="4"/>
      <c r="I682" s="1124"/>
      <c r="J682" s="4"/>
      <c r="K682" s="4"/>
      <c r="L682" s="4"/>
      <c r="M682" s="4"/>
      <c r="N682" s="4"/>
      <c r="O682" s="4"/>
      <c r="P682" s="4"/>
      <c r="Q682" s="4"/>
      <c r="R682" s="1126"/>
      <c r="S682" s="711"/>
    </row>
    <row r="683" spans="1:19" ht="15.75" hidden="1" customHeight="1">
      <c r="A683" s="4"/>
      <c r="B683" s="4"/>
      <c r="C683" s="4"/>
      <c r="D683" s="4"/>
      <c r="E683" s="4"/>
      <c r="F683" s="4"/>
      <c r="G683" s="4"/>
      <c r="H683" s="4"/>
      <c r="I683" s="1124"/>
      <c r="J683" s="4"/>
      <c r="K683" s="4"/>
      <c r="L683" s="4"/>
      <c r="M683" s="4"/>
      <c r="N683" s="4"/>
      <c r="O683" s="4"/>
      <c r="P683" s="4"/>
      <c r="Q683" s="4"/>
      <c r="R683" s="1126"/>
      <c r="S683" s="711"/>
    </row>
    <row r="684" spans="1:19" ht="15.75" hidden="1" customHeight="1">
      <c r="A684" s="4"/>
      <c r="B684" s="4"/>
      <c r="C684" s="4"/>
      <c r="D684" s="4"/>
      <c r="E684" s="4"/>
      <c r="F684" s="4"/>
      <c r="G684" s="4"/>
      <c r="H684" s="4"/>
      <c r="I684" s="1124"/>
      <c r="J684" s="4"/>
      <c r="K684" s="4"/>
      <c r="L684" s="4"/>
      <c r="M684" s="4"/>
      <c r="N684" s="4"/>
      <c r="O684" s="4"/>
      <c r="P684" s="4"/>
      <c r="Q684" s="4"/>
      <c r="R684" s="1126"/>
      <c r="S684" s="711"/>
    </row>
    <row r="685" spans="1:19" ht="15.75" hidden="1" customHeight="1">
      <c r="A685" s="4"/>
      <c r="B685" s="4"/>
      <c r="C685" s="4"/>
      <c r="D685" s="4"/>
      <c r="E685" s="4"/>
      <c r="F685" s="4"/>
      <c r="G685" s="4"/>
      <c r="H685" s="4"/>
      <c r="I685" s="1124"/>
      <c r="J685" s="4"/>
      <c r="K685" s="4"/>
      <c r="L685" s="4"/>
      <c r="M685" s="4"/>
      <c r="N685" s="4"/>
      <c r="O685" s="4"/>
      <c r="P685" s="4"/>
      <c r="Q685" s="4"/>
      <c r="R685" s="1126"/>
      <c r="S685" s="711"/>
    </row>
    <row r="686" spans="1:19" ht="15.75" hidden="1" customHeight="1">
      <c r="A686" s="4"/>
      <c r="B686" s="4"/>
      <c r="C686" s="4"/>
      <c r="D686" s="4"/>
      <c r="E686" s="4"/>
      <c r="F686" s="4"/>
      <c r="G686" s="4"/>
      <c r="H686" s="4"/>
      <c r="I686" s="1124"/>
      <c r="J686" s="4"/>
      <c r="K686" s="4"/>
      <c r="L686" s="4"/>
      <c r="M686" s="4"/>
      <c r="N686" s="4"/>
      <c r="O686" s="4"/>
      <c r="P686" s="4"/>
      <c r="Q686" s="4"/>
      <c r="R686" s="1126"/>
      <c r="S686" s="711"/>
    </row>
    <row r="687" spans="1:19" ht="15.75" hidden="1" customHeight="1">
      <c r="A687" s="4"/>
      <c r="B687" s="4"/>
      <c r="C687" s="4"/>
      <c r="D687" s="4"/>
      <c r="E687" s="4"/>
      <c r="F687" s="4"/>
      <c r="G687" s="4"/>
      <c r="H687" s="4"/>
      <c r="I687" s="1124"/>
      <c r="J687" s="4"/>
      <c r="K687" s="4"/>
      <c r="L687" s="4"/>
      <c r="M687" s="4"/>
      <c r="N687" s="4"/>
      <c r="O687" s="4"/>
      <c r="P687" s="4"/>
      <c r="Q687" s="4"/>
      <c r="R687" s="1126"/>
      <c r="S687" s="711"/>
    </row>
    <row r="688" spans="1:19" ht="15.75" hidden="1" customHeight="1">
      <c r="A688" s="4"/>
      <c r="B688" s="4"/>
      <c r="C688" s="4"/>
      <c r="D688" s="4"/>
      <c r="E688" s="4"/>
      <c r="F688" s="4"/>
      <c r="G688" s="4"/>
      <c r="H688" s="4"/>
      <c r="I688" s="1124"/>
      <c r="J688" s="4"/>
      <c r="K688" s="4"/>
      <c r="L688" s="4"/>
      <c r="M688" s="4"/>
      <c r="N688" s="4"/>
      <c r="O688" s="4"/>
      <c r="P688" s="4"/>
      <c r="Q688" s="4"/>
      <c r="R688" s="1126"/>
      <c r="S688" s="711"/>
    </row>
    <row r="689" spans="1:19" ht="15.75" hidden="1" customHeight="1">
      <c r="A689" s="4"/>
      <c r="B689" s="4"/>
      <c r="C689" s="4"/>
      <c r="D689" s="4"/>
      <c r="E689" s="4"/>
      <c r="F689" s="4"/>
      <c r="G689" s="4"/>
      <c r="H689" s="4"/>
      <c r="I689" s="1124"/>
      <c r="J689" s="4"/>
      <c r="K689" s="4"/>
      <c r="L689" s="4"/>
      <c r="M689" s="4"/>
      <c r="N689" s="4"/>
      <c r="O689" s="4"/>
      <c r="P689" s="4"/>
      <c r="Q689" s="4"/>
      <c r="R689" s="1126"/>
      <c r="S689" s="711"/>
    </row>
    <row r="690" spans="1:19" ht="15.75" hidden="1" customHeight="1">
      <c r="A690" s="4"/>
      <c r="B690" s="4"/>
      <c r="C690" s="4"/>
      <c r="D690" s="4"/>
      <c r="E690" s="4"/>
      <c r="F690" s="4"/>
      <c r="G690" s="4"/>
      <c r="H690" s="4"/>
      <c r="I690" s="1124"/>
      <c r="J690" s="4"/>
      <c r="K690" s="4"/>
      <c r="L690" s="4"/>
      <c r="M690" s="4"/>
      <c r="N690" s="4"/>
      <c r="O690" s="4"/>
      <c r="P690" s="4"/>
      <c r="Q690" s="4"/>
      <c r="R690" s="1126"/>
      <c r="S690" s="711"/>
    </row>
    <row r="691" spans="1:19" ht="15.75" hidden="1" customHeight="1">
      <c r="A691" s="4"/>
      <c r="B691" s="4"/>
      <c r="C691" s="4"/>
      <c r="D691" s="4"/>
      <c r="E691" s="4"/>
      <c r="F691" s="4"/>
      <c r="G691" s="4"/>
      <c r="H691" s="4"/>
      <c r="I691" s="1124"/>
      <c r="J691" s="4"/>
      <c r="K691" s="4"/>
      <c r="L691" s="4"/>
      <c r="M691" s="4"/>
      <c r="N691" s="4"/>
      <c r="O691" s="4"/>
      <c r="P691" s="4"/>
      <c r="Q691" s="4"/>
      <c r="R691" s="1126"/>
      <c r="S691" s="711"/>
    </row>
    <row r="692" spans="1:19" ht="15.75" hidden="1" customHeight="1">
      <c r="A692" s="4"/>
      <c r="B692" s="4"/>
      <c r="C692" s="4"/>
      <c r="D692" s="4"/>
      <c r="E692" s="4"/>
      <c r="F692" s="4"/>
      <c r="G692" s="4"/>
      <c r="H692" s="4"/>
      <c r="I692" s="1124"/>
      <c r="J692" s="4"/>
      <c r="K692" s="4"/>
      <c r="L692" s="4"/>
      <c r="M692" s="4"/>
      <c r="N692" s="4"/>
      <c r="O692" s="4"/>
      <c r="P692" s="4"/>
      <c r="Q692" s="4"/>
      <c r="R692" s="1126"/>
      <c r="S692" s="711"/>
    </row>
    <row r="693" spans="1:19" ht="15.75" hidden="1" customHeight="1">
      <c r="A693" s="4"/>
      <c r="B693" s="4"/>
      <c r="C693" s="4"/>
      <c r="D693" s="4"/>
      <c r="E693" s="4"/>
      <c r="F693" s="4"/>
      <c r="G693" s="4"/>
      <c r="H693" s="4"/>
      <c r="I693" s="1124"/>
      <c r="J693" s="4"/>
      <c r="K693" s="4"/>
      <c r="L693" s="4"/>
      <c r="M693" s="4"/>
      <c r="N693" s="4"/>
      <c r="O693" s="4"/>
      <c r="P693" s="4"/>
      <c r="Q693" s="4"/>
      <c r="R693" s="1126"/>
      <c r="S693" s="711"/>
    </row>
    <row r="694" spans="1:19" ht="15.75" hidden="1" customHeight="1">
      <c r="A694" s="4"/>
      <c r="B694" s="4"/>
      <c r="C694" s="4"/>
      <c r="D694" s="4"/>
      <c r="E694" s="4"/>
      <c r="F694" s="4"/>
      <c r="G694" s="4"/>
      <c r="H694" s="4"/>
      <c r="I694" s="1124"/>
      <c r="J694" s="4"/>
      <c r="K694" s="4"/>
      <c r="L694" s="4"/>
      <c r="M694" s="4"/>
      <c r="N694" s="4"/>
      <c r="O694" s="4"/>
      <c r="P694" s="4"/>
      <c r="Q694" s="4"/>
      <c r="R694" s="1126"/>
      <c r="S694" s="711"/>
    </row>
    <row r="695" spans="1:19" ht="15.75" hidden="1" customHeight="1">
      <c r="A695" s="4"/>
      <c r="B695" s="4"/>
      <c r="C695" s="4"/>
      <c r="D695" s="4"/>
      <c r="E695" s="4"/>
      <c r="F695" s="4"/>
      <c r="G695" s="4"/>
      <c r="H695" s="4"/>
      <c r="I695" s="1124"/>
      <c r="J695" s="4"/>
      <c r="K695" s="4"/>
      <c r="L695" s="4"/>
      <c r="M695" s="4"/>
      <c r="N695" s="4"/>
      <c r="O695" s="4"/>
      <c r="P695" s="4"/>
      <c r="Q695" s="4"/>
      <c r="R695" s="1126"/>
      <c r="S695" s="711"/>
    </row>
    <row r="696" spans="1:19" ht="15.75" hidden="1" customHeight="1">
      <c r="A696" s="4"/>
      <c r="B696" s="4"/>
      <c r="C696" s="4"/>
      <c r="D696" s="4"/>
      <c r="E696" s="4"/>
      <c r="F696" s="4"/>
      <c r="G696" s="4"/>
      <c r="H696" s="4"/>
      <c r="I696" s="1124"/>
      <c r="J696" s="4"/>
      <c r="K696" s="4"/>
      <c r="L696" s="4"/>
      <c r="M696" s="4"/>
      <c r="N696" s="4"/>
      <c r="O696" s="4"/>
      <c r="P696" s="4"/>
      <c r="Q696" s="4"/>
      <c r="R696" s="1126"/>
      <c r="S696" s="711"/>
    </row>
    <row r="697" spans="1:19" ht="15.75" hidden="1" customHeight="1">
      <c r="A697" s="4"/>
      <c r="B697" s="4"/>
      <c r="C697" s="4"/>
      <c r="D697" s="4"/>
      <c r="E697" s="4"/>
      <c r="F697" s="4"/>
      <c r="G697" s="4"/>
      <c r="H697" s="4"/>
      <c r="I697" s="1124"/>
      <c r="J697" s="4"/>
      <c r="K697" s="4"/>
      <c r="L697" s="4"/>
      <c r="M697" s="4"/>
      <c r="N697" s="4"/>
      <c r="O697" s="4"/>
      <c r="P697" s="4"/>
      <c r="Q697" s="4"/>
      <c r="R697" s="1126"/>
      <c r="S697" s="711"/>
    </row>
    <row r="698" spans="1:19" ht="15.75" hidden="1" customHeight="1">
      <c r="A698" s="4"/>
      <c r="B698" s="4"/>
      <c r="C698" s="4"/>
      <c r="D698" s="4"/>
      <c r="E698" s="4"/>
      <c r="F698" s="4"/>
      <c r="G698" s="4"/>
      <c r="H698" s="4"/>
      <c r="I698" s="1124"/>
      <c r="J698" s="4"/>
      <c r="K698" s="4"/>
      <c r="L698" s="4"/>
      <c r="M698" s="4"/>
      <c r="N698" s="4"/>
      <c r="O698" s="4"/>
      <c r="P698" s="4"/>
      <c r="Q698" s="4"/>
      <c r="R698" s="1126"/>
      <c r="S698" s="711"/>
    </row>
    <row r="699" spans="1:19" ht="15.75" hidden="1" customHeight="1">
      <c r="A699" s="4"/>
      <c r="B699" s="4"/>
      <c r="C699" s="4"/>
      <c r="D699" s="4"/>
      <c r="E699" s="4"/>
      <c r="F699" s="4"/>
      <c r="G699" s="4"/>
      <c r="H699" s="4"/>
      <c r="I699" s="1124"/>
      <c r="J699" s="4"/>
      <c r="K699" s="4"/>
      <c r="L699" s="4"/>
      <c r="M699" s="4"/>
      <c r="N699" s="4"/>
      <c r="O699" s="4"/>
      <c r="P699" s="4"/>
      <c r="Q699" s="4"/>
      <c r="R699" s="1126"/>
      <c r="S699" s="711"/>
    </row>
    <row r="700" spans="1:19" ht="15.75" hidden="1" customHeight="1">
      <c r="A700" s="4"/>
      <c r="B700" s="4"/>
      <c r="C700" s="4"/>
      <c r="D700" s="4"/>
      <c r="E700" s="4"/>
      <c r="F700" s="4"/>
      <c r="G700" s="4"/>
      <c r="H700" s="4"/>
      <c r="I700" s="1124"/>
      <c r="J700" s="4"/>
      <c r="K700" s="4"/>
      <c r="L700" s="4"/>
      <c r="M700" s="4"/>
      <c r="N700" s="4"/>
      <c r="O700" s="4"/>
      <c r="P700" s="4"/>
      <c r="Q700" s="4"/>
      <c r="R700" s="1126"/>
      <c r="S700" s="711"/>
    </row>
    <row r="701" spans="1:19" ht="15.75" hidden="1" customHeight="1">
      <c r="A701" s="4"/>
      <c r="B701" s="4"/>
      <c r="C701" s="4"/>
      <c r="D701" s="4"/>
      <c r="E701" s="4"/>
      <c r="F701" s="4"/>
      <c r="G701" s="4"/>
      <c r="H701" s="4"/>
      <c r="I701" s="1124"/>
      <c r="J701" s="4"/>
      <c r="K701" s="4"/>
      <c r="L701" s="4"/>
      <c r="M701" s="4"/>
      <c r="N701" s="4"/>
      <c r="O701" s="4"/>
      <c r="P701" s="4"/>
      <c r="Q701" s="4"/>
      <c r="R701" s="1126"/>
      <c r="S701" s="711"/>
    </row>
    <row r="702" spans="1:19" ht="15.75" hidden="1" customHeight="1">
      <c r="A702" s="4"/>
      <c r="B702" s="4"/>
      <c r="C702" s="4"/>
      <c r="D702" s="4"/>
      <c r="E702" s="4"/>
      <c r="F702" s="4"/>
      <c r="G702" s="4"/>
      <c r="H702" s="4"/>
      <c r="I702" s="1124"/>
      <c r="J702" s="4"/>
      <c r="K702" s="4"/>
      <c r="L702" s="4"/>
      <c r="M702" s="4"/>
      <c r="N702" s="4"/>
      <c r="O702" s="4"/>
      <c r="P702" s="4"/>
      <c r="Q702" s="4"/>
      <c r="R702" s="1126"/>
      <c r="S702" s="711"/>
    </row>
    <row r="703" spans="1:19" ht="15.75" hidden="1" customHeight="1">
      <c r="A703" s="4"/>
      <c r="B703" s="4"/>
      <c r="C703" s="4"/>
      <c r="D703" s="4"/>
      <c r="E703" s="4"/>
      <c r="F703" s="4"/>
      <c r="G703" s="4"/>
      <c r="H703" s="4"/>
      <c r="I703" s="1124"/>
      <c r="J703" s="4"/>
      <c r="K703" s="4"/>
      <c r="L703" s="4"/>
      <c r="M703" s="4"/>
      <c r="N703" s="4"/>
      <c r="O703" s="4"/>
      <c r="P703" s="4"/>
      <c r="Q703" s="4"/>
      <c r="R703" s="1126"/>
      <c r="S703" s="711"/>
    </row>
    <row r="704" spans="1:19" ht="15.75" hidden="1" customHeight="1">
      <c r="A704" s="4"/>
      <c r="B704" s="4"/>
      <c r="C704" s="4"/>
      <c r="D704" s="4"/>
      <c r="E704" s="4"/>
      <c r="F704" s="4"/>
      <c r="G704" s="4"/>
      <c r="H704" s="4"/>
      <c r="I704" s="1124"/>
      <c r="J704" s="4"/>
      <c r="K704" s="4"/>
      <c r="L704" s="4"/>
      <c r="M704" s="4"/>
      <c r="N704" s="4"/>
      <c r="O704" s="4"/>
      <c r="P704" s="4"/>
      <c r="Q704" s="4"/>
      <c r="R704" s="1126"/>
      <c r="S704" s="711"/>
    </row>
    <row r="705" spans="1:19" ht="15.75" hidden="1" customHeight="1">
      <c r="A705" s="4"/>
      <c r="B705" s="4"/>
      <c r="C705" s="4"/>
      <c r="D705" s="4"/>
      <c r="E705" s="4"/>
      <c r="F705" s="4"/>
      <c r="G705" s="4"/>
      <c r="H705" s="4"/>
      <c r="I705" s="1124"/>
      <c r="J705" s="4"/>
      <c r="K705" s="4"/>
      <c r="L705" s="4"/>
      <c r="M705" s="4"/>
      <c r="N705" s="4"/>
      <c r="O705" s="4"/>
      <c r="P705" s="4"/>
      <c r="Q705" s="4"/>
      <c r="R705" s="1126"/>
      <c r="S705" s="711"/>
    </row>
    <row r="706" spans="1:19" ht="15.75" hidden="1" customHeight="1">
      <c r="A706" s="4"/>
      <c r="B706" s="4"/>
      <c r="C706" s="4"/>
      <c r="D706" s="4"/>
      <c r="E706" s="4"/>
      <c r="F706" s="4"/>
      <c r="G706" s="4"/>
      <c r="H706" s="4"/>
      <c r="I706" s="1124"/>
      <c r="J706" s="4"/>
      <c r="K706" s="4"/>
      <c r="L706" s="4"/>
      <c r="M706" s="4"/>
      <c r="N706" s="4"/>
      <c r="O706" s="4"/>
      <c r="P706" s="4"/>
      <c r="Q706" s="4"/>
      <c r="R706" s="1126"/>
      <c r="S706" s="711"/>
    </row>
    <row r="707" spans="1:19" ht="15.75" hidden="1" customHeight="1">
      <c r="A707" s="4"/>
      <c r="B707" s="4"/>
      <c r="C707" s="4"/>
      <c r="D707" s="4"/>
      <c r="E707" s="4"/>
      <c r="F707" s="4"/>
      <c r="G707" s="4"/>
      <c r="H707" s="4"/>
      <c r="I707" s="1124"/>
      <c r="J707" s="4"/>
      <c r="K707" s="4"/>
      <c r="L707" s="4"/>
      <c r="M707" s="4"/>
      <c r="N707" s="4"/>
      <c r="O707" s="4"/>
      <c r="P707" s="4"/>
      <c r="Q707" s="4"/>
      <c r="R707" s="1126"/>
      <c r="S707" s="711"/>
    </row>
    <row r="708" spans="1:19" ht="15.75" hidden="1" customHeight="1">
      <c r="A708" s="4"/>
      <c r="B708" s="4"/>
      <c r="C708" s="4"/>
      <c r="D708" s="4"/>
      <c r="E708" s="4"/>
      <c r="F708" s="4"/>
      <c r="G708" s="4"/>
      <c r="H708" s="4"/>
      <c r="I708" s="1124"/>
      <c r="J708" s="4"/>
      <c r="K708" s="4"/>
      <c r="L708" s="4"/>
      <c r="M708" s="4"/>
      <c r="N708" s="4"/>
      <c r="O708" s="4"/>
      <c r="P708" s="4"/>
      <c r="Q708" s="4"/>
      <c r="R708" s="1126"/>
      <c r="S708" s="711"/>
    </row>
    <row r="709" spans="1:19" ht="15.75" hidden="1" customHeight="1">
      <c r="A709" s="4"/>
      <c r="B709" s="4"/>
      <c r="C709" s="4"/>
      <c r="D709" s="4"/>
      <c r="E709" s="4"/>
      <c r="F709" s="4"/>
      <c r="G709" s="4"/>
      <c r="H709" s="4"/>
      <c r="I709" s="1124"/>
      <c r="J709" s="4"/>
      <c r="K709" s="4"/>
      <c r="L709" s="4"/>
      <c r="M709" s="4"/>
      <c r="N709" s="4"/>
      <c r="O709" s="4"/>
      <c r="P709" s="4"/>
      <c r="Q709" s="4"/>
      <c r="R709" s="1126"/>
      <c r="S709" s="711"/>
    </row>
    <row r="710" spans="1:19" ht="15.75" hidden="1" customHeight="1">
      <c r="A710" s="4"/>
      <c r="B710" s="4"/>
      <c r="C710" s="4"/>
      <c r="D710" s="4"/>
      <c r="E710" s="4"/>
      <c r="F710" s="4"/>
      <c r="G710" s="4"/>
      <c r="H710" s="4"/>
      <c r="I710" s="1124"/>
      <c r="J710" s="4"/>
      <c r="K710" s="4"/>
      <c r="L710" s="4"/>
      <c r="M710" s="4"/>
      <c r="N710" s="4"/>
      <c r="O710" s="4"/>
      <c r="P710" s="4"/>
      <c r="Q710" s="4"/>
      <c r="R710" s="1126"/>
      <c r="S710" s="711"/>
    </row>
    <row r="711" spans="1:19" ht="15.75" hidden="1" customHeight="1">
      <c r="A711" s="4"/>
      <c r="B711" s="4"/>
      <c r="C711" s="4"/>
      <c r="D711" s="4"/>
      <c r="E711" s="4"/>
      <c r="F711" s="4"/>
      <c r="G711" s="4"/>
      <c r="H711" s="4"/>
      <c r="I711" s="1124"/>
      <c r="J711" s="4"/>
      <c r="K711" s="4"/>
      <c r="L711" s="4"/>
      <c r="M711" s="4"/>
      <c r="N711" s="4"/>
      <c r="O711" s="4"/>
      <c r="P711" s="4"/>
      <c r="Q711" s="4"/>
      <c r="R711" s="1126"/>
      <c r="S711" s="711"/>
    </row>
    <row r="712" spans="1:19" ht="15.75" hidden="1" customHeight="1">
      <c r="A712" s="4"/>
      <c r="B712" s="4"/>
      <c r="C712" s="4"/>
      <c r="D712" s="4"/>
      <c r="E712" s="4"/>
      <c r="F712" s="4"/>
      <c r="G712" s="4"/>
      <c r="H712" s="4"/>
      <c r="I712" s="1124"/>
      <c r="J712" s="4"/>
      <c r="K712" s="4"/>
      <c r="L712" s="4"/>
      <c r="M712" s="4"/>
      <c r="N712" s="4"/>
      <c r="O712" s="4"/>
      <c r="P712" s="4"/>
      <c r="Q712" s="4"/>
      <c r="R712" s="1126"/>
      <c r="S712" s="711"/>
    </row>
    <row r="713" spans="1:19" ht="15.75" hidden="1" customHeight="1">
      <c r="A713" s="4"/>
      <c r="B713" s="4"/>
      <c r="C713" s="4"/>
      <c r="D713" s="4"/>
      <c r="E713" s="4"/>
      <c r="F713" s="4"/>
      <c r="G713" s="4"/>
      <c r="H713" s="4"/>
      <c r="I713" s="1124"/>
      <c r="J713" s="4"/>
      <c r="K713" s="4"/>
      <c r="L713" s="4"/>
      <c r="M713" s="4"/>
      <c r="N713" s="4"/>
      <c r="O713" s="4"/>
      <c r="P713" s="4"/>
      <c r="Q713" s="4"/>
      <c r="R713" s="1126"/>
      <c r="S713" s="711"/>
    </row>
    <row r="714" spans="1:19" ht="15.75" hidden="1" customHeight="1">
      <c r="A714" s="4"/>
      <c r="B714" s="4"/>
      <c r="C714" s="4"/>
      <c r="D714" s="4"/>
      <c r="E714" s="4"/>
      <c r="F714" s="4"/>
      <c r="G714" s="4"/>
      <c r="H714" s="4"/>
      <c r="I714" s="1124"/>
      <c r="J714" s="4"/>
      <c r="K714" s="4"/>
      <c r="L714" s="4"/>
      <c r="M714" s="4"/>
      <c r="N714" s="4"/>
      <c r="O714" s="4"/>
      <c r="P714" s="4"/>
      <c r="Q714" s="4"/>
      <c r="R714" s="1126"/>
      <c r="S714" s="711"/>
    </row>
    <row r="715" spans="1:19" ht="15.75" hidden="1" customHeight="1">
      <c r="A715" s="4"/>
      <c r="B715" s="4"/>
      <c r="C715" s="4"/>
      <c r="D715" s="4"/>
      <c r="E715" s="4"/>
      <c r="F715" s="4"/>
      <c r="G715" s="4"/>
      <c r="H715" s="4"/>
      <c r="I715" s="1124"/>
      <c r="J715" s="4"/>
      <c r="K715" s="4"/>
      <c r="L715" s="4"/>
      <c r="M715" s="4"/>
      <c r="N715" s="4"/>
      <c r="O715" s="4"/>
      <c r="P715" s="4"/>
      <c r="Q715" s="4"/>
      <c r="R715" s="1126"/>
      <c r="S715" s="711"/>
    </row>
    <row r="716" spans="1:19" ht="15.75" hidden="1" customHeight="1">
      <c r="A716" s="4"/>
      <c r="B716" s="4"/>
      <c r="C716" s="4"/>
      <c r="D716" s="4"/>
      <c r="E716" s="4"/>
      <c r="F716" s="4"/>
      <c r="G716" s="4"/>
      <c r="H716" s="4"/>
      <c r="I716" s="1124"/>
      <c r="J716" s="4"/>
      <c r="K716" s="4"/>
      <c r="L716" s="4"/>
      <c r="M716" s="4"/>
      <c r="N716" s="4"/>
      <c r="O716" s="4"/>
      <c r="P716" s="4"/>
      <c r="Q716" s="4"/>
      <c r="R716" s="1126"/>
      <c r="S716" s="711"/>
    </row>
    <row r="717" spans="1:19" ht="15.75" hidden="1" customHeight="1">
      <c r="A717" s="4"/>
      <c r="B717" s="4"/>
      <c r="C717" s="4"/>
      <c r="D717" s="4"/>
      <c r="E717" s="4"/>
      <c r="F717" s="4"/>
      <c r="G717" s="4"/>
      <c r="H717" s="4"/>
      <c r="I717" s="1124"/>
      <c r="J717" s="4"/>
      <c r="K717" s="4"/>
      <c r="L717" s="4"/>
      <c r="M717" s="4"/>
      <c r="N717" s="4"/>
      <c r="O717" s="4"/>
      <c r="P717" s="4"/>
      <c r="Q717" s="4"/>
      <c r="R717" s="1126"/>
      <c r="S717" s="711"/>
    </row>
    <row r="718" spans="1:19" ht="15.75" hidden="1" customHeight="1">
      <c r="A718" s="4"/>
      <c r="B718" s="4"/>
      <c r="C718" s="4"/>
      <c r="D718" s="4"/>
      <c r="E718" s="4"/>
      <c r="F718" s="4"/>
      <c r="G718" s="4"/>
      <c r="H718" s="4"/>
      <c r="I718" s="1124"/>
      <c r="J718" s="4"/>
      <c r="K718" s="4"/>
      <c r="L718" s="4"/>
      <c r="M718" s="4"/>
      <c r="N718" s="4"/>
      <c r="O718" s="4"/>
      <c r="P718" s="4"/>
      <c r="Q718" s="4"/>
      <c r="R718" s="1126"/>
      <c r="S718" s="711"/>
    </row>
    <row r="719" spans="1:19" ht="15.75" hidden="1" customHeight="1">
      <c r="A719" s="4"/>
      <c r="B719" s="4"/>
      <c r="C719" s="4"/>
      <c r="D719" s="4"/>
      <c r="E719" s="4"/>
      <c r="F719" s="4"/>
      <c r="G719" s="4"/>
      <c r="H719" s="4"/>
      <c r="I719" s="1124"/>
      <c r="J719" s="4"/>
      <c r="K719" s="4"/>
      <c r="L719" s="4"/>
      <c r="M719" s="4"/>
      <c r="N719" s="4"/>
      <c r="O719" s="4"/>
      <c r="P719" s="4"/>
      <c r="Q719" s="4"/>
      <c r="R719" s="1126"/>
      <c r="S719" s="711"/>
    </row>
    <row r="720" spans="1:19" ht="15.75" hidden="1" customHeight="1">
      <c r="A720" s="4"/>
      <c r="B720" s="4"/>
      <c r="C720" s="4"/>
      <c r="D720" s="4"/>
      <c r="E720" s="4"/>
      <c r="F720" s="4"/>
      <c r="G720" s="4"/>
      <c r="H720" s="4"/>
      <c r="I720" s="1124"/>
      <c r="J720" s="4"/>
      <c r="K720" s="4"/>
      <c r="L720" s="4"/>
      <c r="M720" s="4"/>
      <c r="N720" s="4"/>
      <c r="O720" s="4"/>
      <c r="P720" s="4"/>
      <c r="Q720" s="4"/>
      <c r="R720" s="1126"/>
      <c r="S720" s="711"/>
    </row>
    <row r="721" spans="1:19" ht="15.75" hidden="1" customHeight="1">
      <c r="A721" s="4"/>
      <c r="B721" s="4"/>
      <c r="C721" s="4"/>
      <c r="D721" s="4"/>
      <c r="E721" s="4"/>
      <c r="F721" s="4"/>
      <c r="G721" s="4"/>
      <c r="H721" s="4"/>
      <c r="I721" s="1124"/>
      <c r="J721" s="4"/>
      <c r="K721" s="4"/>
      <c r="L721" s="4"/>
      <c r="M721" s="4"/>
      <c r="N721" s="4"/>
      <c r="O721" s="4"/>
      <c r="P721" s="4"/>
      <c r="Q721" s="4"/>
      <c r="R721" s="1126"/>
      <c r="S721" s="711"/>
    </row>
    <row r="722" spans="1:19" ht="15.75" hidden="1" customHeight="1">
      <c r="A722" s="4"/>
      <c r="B722" s="4"/>
      <c r="C722" s="4"/>
      <c r="D722" s="4"/>
      <c r="E722" s="4"/>
      <c r="F722" s="4"/>
      <c r="G722" s="4"/>
      <c r="H722" s="4"/>
      <c r="I722" s="1124"/>
      <c r="J722" s="4"/>
      <c r="K722" s="4"/>
      <c r="L722" s="4"/>
      <c r="M722" s="4"/>
      <c r="N722" s="4"/>
      <c r="O722" s="4"/>
      <c r="P722" s="4"/>
      <c r="Q722" s="4"/>
      <c r="R722" s="1126"/>
      <c r="S722" s="711"/>
    </row>
    <row r="723" spans="1:19" ht="15.75" hidden="1" customHeight="1">
      <c r="A723" s="4"/>
      <c r="B723" s="4"/>
      <c r="C723" s="4"/>
      <c r="D723" s="4"/>
      <c r="E723" s="4"/>
      <c r="F723" s="4"/>
      <c r="G723" s="4"/>
      <c r="H723" s="4"/>
      <c r="I723" s="1124"/>
      <c r="J723" s="4"/>
      <c r="K723" s="4"/>
      <c r="L723" s="4"/>
      <c r="M723" s="4"/>
      <c r="N723" s="4"/>
      <c r="O723" s="4"/>
      <c r="P723" s="4"/>
      <c r="Q723" s="4"/>
      <c r="R723" s="1126"/>
      <c r="S723" s="711"/>
    </row>
    <row r="724" spans="1:19" ht="15.75" hidden="1" customHeight="1">
      <c r="A724" s="4"/>
      <c r="B724" s="4"/>
      <c r="C724" s="4"/>
      <c r="D724" s="4"/>
      <c r="E724" s="4"/>
      <c r="F724" s="4"/>
      <c r="G724" s="4"/>
      <c r="H724" s="4"/>
      <c r="I724" s="1124"/>
      <c r="J724" s="4"/>
      <c r="K724" s="4"/>
      <c r="L724" s="4"/>
      <c r="M724" s="4"/>
      <c r="N724" s="4"/>
      <c r="O724" s="4"/>
      <c r="P724" s="4"/>
      <c r="Q724" s="4"/>
      <c r="R724" s="1126"/>
      <c r="S724" s="711"/>
    </row>
    <row r="725" spans="1:19" ht="15.75" hidden="1" customHeight="1">
      <c r="A725" s="4"/>
      <c r="B725" s="4"/>
      <c r="C725" s="4"/>
      <c r="D725" s="4"/>
      <c r="E725" s="4"/>
      <c r="F725" s="4"/>
      <c r="G725" s="4"/>
      <c r="H725" s="4"/>
      <c r="I725" s="1124"/>
      <c r="J725" s="4"/>
      <c r="K725" s="4"/>
      <c r="L725" s="4"/>
      <c r="M725" s="4"/>
      <c r="N725" s="4"/>
      <c r="O725" s="4"/>
      <c r="P725" s="4"/>
      <c r="Q725" s="4"/>
      <c r="R725" s="1126"/>
      <c r="S725" s="711"/>
    </row>
    <row r="726" spans="1:19" ht="15.75" hidden="1" customHeight="1">
      <c r="A726" s="4"/>
      <c r="B726" s="4"/>
      <c r="C726" s="4"/>
      <c r="D726" s="4"/>
      <c r="E726" s="4"/>
      <c r="F726" s="4"/>
      <c r="G726" s="4"/>
      <c r="H726" s="4"/>
      <c r="I726" s="1124"/>
      <c r="J726" s="4"/>
      <c r="K726" s="4"/>
      <c r="L726" s="4"/>
      <c r="M726" s="4"/>
      <c r="N726" s="4"/>
      <c r="O726" s="4"/>
      <c r="P726" s="4"/>
      <c r="Q726" s="4"/>
      <c r="R726" s="1126"/>
      <c r="S726" s="711"/>
    </row>
    <row r="727" spans="1:19" ht="15.75" hidden="1" customHeight="1">
      <c r="A727" s="4"/>
      <c r="B727" s="4"/>
      <c r="C727" s="4"/>
      <c r="D727" s="4"/>
      <c r="E727" s="4"/>
      <c r="F727" s="4"/>
      <c r="G727" s="4"/>
      <c r="H727" s="4"/>
      <c r="I727" s="1124"/>
      <c r="J727" s="4"/>
      <c r="K727" s="4"/>
      <c r="L727" s="4"/>
      <c r="M727" s="4"/>
      <c r="N727" s="4"/>
      <c r="O727" s="4"/>
      <c r="P727" s="4"/>
      <c r="Q727" s="4"/>
      <c r="R727" s="1126"/>
      <c r="S727" s="711"/>
    </row>
    <row r="728" spans="1:19" ht="15.75" hidden="1" customHeight="1">
      <c r="A728" s="4"/>
      <c r="B728" s="4"/>
      <c r="C728" s="4"/>
      <c r="D728" s="4"/>
      <c r="E728" s="4"/>
      <c r="F728" s="4"/>
      <c r="G728" s="4"/>
      <c r="H728" s="4"/>
      <c r="I728" s="1124"/>
      <c r="J728" s="4"/>
      <c r="K728" s="4"/>
      <c r="L728" s="4"/>
      <c r="M728" s="4"/>
      <c r="N728" s="4"/>
      <c r="O728" s="4"/>
      <c r="P728" s="4"/>
      <c r="Q728" s="4"/>
      <c r="R728" s="1126"/>
      <c r="S728" s="711"/>
    </row>
    <row r="729" spans="1:19" ht="15.75" hidden="1" customHeight="1">
      <c r="A729" s="4"/>
      <c r="B729" s="4"/>
      <c r="C729" s="4"/>
      <c r="D729" s="4"/>
      <c r="E729" s="4"/>
      <c r="F729" s="4"/>
      <c r="G729" s="4"/>
      <c r="H729" s="4"/>
      <c r="I729" s="1124"/>
      <c r="J729" s="4"/>
      <c r="K729" s="4"/>
      <c r="L729" s="4"/>
      <c r="M729" s="4"/>
      <c r="N729" s="4"/>
      <c r="O729" s="4"/>
      <c r="P729" s="4"/>
      <c r="Q729" s="4"/>
      <c r="R729" s="1126"/>
      <c r="S729" s="711"/>
    </row>
    <row r="730" spans="1:19" ht="15.75" hidden="1" customHeight="1">
      <c r="A730" s="4"/>
      <c r="B730" s="4"/>
      <c r="C730" s="4"/>
      <c r="D730" s="4"/>
      <c r="E730" s="4"/>
      <c r="F730" s="4"/>
      <c r="G730" s="4"/>
      <c r="H730" s="4"/>
      <c r="I730" s="1124"/>
      <c r="J730" s="4"/>
      <c r="K730" s="4"/>
      <c r="L730" s="4"/>
      <c r="M730" s="4"/>
      <c r="N730" s="4"/>
      <c r="O730" s="4"/>
      <c r="P730" s="4"/>
      <c r="Q730" s="4"/>
      <c r="R730" s="1126"/>
      <c r="S730" s="711"/>
    </row>
    <row r="731" spans="1:19" ht="15.75" hidden="1" customHeight="1">
      <c r="A731" s="4"/>
      <c r="B731" s="4"/>
      <c r="C731" s="4"/>
      <c r="D731" s="4"/>
      <c r="E731" s="4"/>
      <c r="F731" s="4"/>
      <c r="G731" s="4"/>
      <c r="H731" s="4"/>
      <c r="I731" s="1124"/>
      <c r="J731" s="4"/>
      <c r="K731" s="4"/>
      <c r="L731" s="4"/>
      <c r="M731" s="4"/>
      <c r="N731" s="4"/>
      <c r="O731" s="4"/>
      <c r="P731" s="4"/>
      <c r="Q731" s="4"/>
      <c r="R731" s="1126"/>
      <c r="S731" s="711"/>
    </row>
    <row r="732" spans="1:19" ht="15.75" hidden="1" customHeight="1">
      <c r="A732" s="4"/>
      <c r="B732" s="4"/>
      <c r="C732" s="4"/>
      <c r="D732" s="4"/>
      <c r="E732" s="4"/>
      <c r="F732" s="4"/>
      <c r="G732" s="4"/>
      <c r="H732" s="4"/>
      <c r="I732" s="1124"/>
      <c r="J732" s="4"/>
      <c r="K732" s="4"/>
      <c r="L732" s="4"/>
      <c r="M732" s="4"/>
      <c r="N732" s="4"/>
      <c r="O732" s="4"/>
      <c r="P732" s="4"/>
      <c r="Q732" s="4"/>
      <c r="R732" s="1126"/>
      <c r="S732" s="711"/>
    </row>
    <row r="733" spans="1:19" ht="15.75" hidden="1" customHeight="1">
      <c r="A733" s="4"/>
      <c r="B733" s="4"/>
      <c r="C733" s="4"/>
      <c r="D733" s="4"/>
      <c r="E733" s="4"/>
      <c r="F733" s="4"/>
      <c r="G733" s="4"/>
      <c r="H733" s="4"/>
      <c r="I733" s="1124"/>
      <c r="J733" s="4"/>
      <c r="K733" s="4"/>
      <c r="L733" s="4"/>
      <c r="M733" s="4"/>
      <c r="N733" s="4"/>
      <c r="O733" s="4"/>
      <c r="P733" s="4"/>
      <c r="Q733" s="4"/>
      <c r="R733" s="1126"/>
      <c r="S733" s="711"/>
    </row>
    <row r="734" spans="1:19" ht="15.75" hidden="1" customHeight="1">
      <c r="A734" s="4"/>
      <c r="B734" s="4"/>
      <c r="C734" s="4"/>
      <c r="D734" s="4"/>
      <c r="E734" s="4"/>
      <c r="F734" s="4"/>
      <c r="G734" s="4"/>
      <c r="H734" s="4"/>
      <c r="I734" s="1124"/>
      <c r="J734" s="4"/>
      <c r="K734" s="4"/>
      <c r="L734" s="4"/>
      <c r="M734" s="4"/>
      <c r="N734" s="4"/>
      <c r="O734" s="4"/>
      <c r="P734" s="4"/>
      <c r="Q734" s="4"/>
      <c r="R734" s="1126"/>
      <c r="S734" s="711"/>
    </row>
    <row r="735" spans="1:19" ht="15.75" hidden="1" customHeight="1">
      <c r="A735" s="4"/>
      <c r="B735" s="4"/>
      <c r="C735" s="4"/>
      <c r="D735" s="4"/>
      <c r="E735" s="4"/>
      <c r="F735" s="4"/>
      <c r="G735" s="4"/>
      <c r="H735" s="4"/>
      <c r="I735" s="1124"/>
      <c r="J735" s="4"/>
      <c r="K735" s="4"/>
      <c r="L735" s="4"/>
      <c r="M735" s="4"/>
      <c r="N735" s="4"/>
      <c r="O735" s="4"/>
      <c r="P735" s="4"/>
      <c r="Q735" s="4"/>
      <c r="R735" s="1126"/>
      <c r="S735" s="711"/>
    </row>
    <row r="736" spans="1:19" ht="15.75" hidden="1" customHeight="1">
      <c r="A736" s="4"/>
      <c r="B736" s="4"/>
      <c r="C736" s="4"/>
      <c r="D736" s="4"/>
      <c r="E736" s="4"/>
      <c r="F736" s="4"/>
      <c r="G736" s="4"/>
      <c r="H736" s="4"/>
      <c r="I736" s="1124"/>
      <c r="J736" s="4"/>
      <c r="K736" s="4"/>
      <c r="L736" s="4"/>
      <c r="M736" s="4"/>
      <c r="N736" s="4"/>
      <c r="O736" s="4"/>
      <c r="P736" s="4"/>
      <c r="Q736" s="4"/>
      <c r="R736" s="1126"/>
      <c r="S736" s="711"/>
    </row>
    <row r="737" spans="1:19" ht="15.75" hidden="1" customHeight="1">
      <c r="A737" s="4"/>
      <c r="B737" s="4"/>
      <c r="C737" s="4"/>
      <c r="D737" s="4"/>
      <c r="E737" s="4"/>
      <c r="F737" s="4"/>
      <c r="G737" s="4"/>
      <c r="H737" s="4"/>
      <c r="I737" s="1124"/>
      <c r="J737" s="4"/>
      <c r="K737" s="4"/>
      <c r="L737" s="4"/>
      <c r="M737" s="4"/>
      <c r="N737" s="4"/>
      <c r="O737" s="4"/>
      <c r="P737" s="4"/>
      <c r="Q737" s="4"/>
      <c r="R737" s="1126"/>
      <c r="S737" s="711"/>
    </row>
    <row r="738" spans="1:19" ht="15.75" hidden="1" customHeight="1">
      <c r="A738" s="4"/>
      <c r="B738" s="4"/>
      <c r="C738" s="4"/>
      <c r="D738" s="4"/>
      <c r="E738" s="4"/>
      <c r="F738" s="4"/>
      <c r="G738" s="4"/>
      <c r="H738" s="4"/>
      <c r="I738" s="1124"/>
      <c r="J738" s="4"/>
      <c r="K738" s="4"/>
      <c r="L738" s="4"/>
      <c r="M738" s="4"/>
      <c r="N738" s="4"/>
      <c r="O738" s="4"/>
      <c r="P738" s="4"/>
      <c r="Q738" s="4"/>
      <c r="R738" s="1126"/>
      <c r="S738" s="711"/>
    </row>
    <row r="739" spans="1:19" ht="15.75" hidden="1" customHeight="1">
      <c r="A739" s="4"/>
      <c r="B739" s="4"/>
      <c r="C739" s="4"/>
      <c r="D739" s="4"/>
      <c r="E739" s="4"/>
      <c r="F739" s="4"/>
      <c r="G739" s="4"/>
      <c r="H739" s="4"/>
      <c r="I739" s="1124"/>
      <c r="J739" s="4"/>
      <c r="K739" s="4"/>
      <c r="L739" s="4"/>
      <c r="M739" s="4"/>
      <c r="N739" s="4"/>
      <c r="O739" s="4"/>
      <c r="P739" s="4"/>
      <c r="Q739" s="4"/>
      <c r="R739" s="1126"/>
      <c r="S739" s="711"/>
    </row>
    <row r="740" spans="1:19" ht="15.75" hidden="1" customHeight="1">
      <c r="A740" s="4"/>
      <c r="B740" s="4"/>
      <c r="C740" s="4"/>
      <c r="D740" s="4"/>
      <c r="E740" s="4"/>
      <c r="F740" s="4"/>
      <c r="G740" s="4"/>
      <c r="H740" s="4"/>
      <c r="I740" s="1124"/>
      <c r="J740" s="4"/>
      <c r="K740" s="4"/>
      <c r="L740" s="4"/>
      <c r="M740" s="4"/>
      <c r="N740" s="4"/>
      <c r="O740" s="4"/>
      <c r="P740" s="4"/>
      <c r="Q740" s="4"/>
      <c r="R740" s="1126"/>
      <c r="S740" s="711"/>
    </row>
    <row r="741" spans="1:19" ht="15.75" hidden="1" customHeight="1">
      <c r="A741" s="4"/>
      <c r="B741" s="4"/>
      <c r="C741" s="4"/>
      <c r="D741" s="4"/>
      <c r="E741" s="4"/>
      <c r="F741" s="4"/>
      <c r="G741" s="4"/>
      <c r="H741" s="4"/>
      <c r="I741" s="1124"/>
      <c r="J741" s="4"/>
      <c r="K741" s="4"/>
      <c r="L741" s="4"/>
      <c r="M741" s="4"/>
      <c r="N741" s="4"/>
      <c r="O741" s="4"/>
      <c r="P741" s="4"/>
      <c r="Q741" s="4"/>
      <c r="R741" s="1126"/>
      <c r="S741" s="711"/>
    </row>
    <row r="742" spans="1:19" ht="15.75" hidden="1" customHeight="1">
      <c r="A742" s="4"/>
      <c r="B742" s="4"/>
      <c r="C742" s="4"/>
      <c r="D742" s="4"/>
      <c r="E742" s="4"/>
      <c r="F742" s="4"/>
      <c r="G742" s="4"/>
      <c r="H742" s="4"/>
      <c r="I742" s="1124"/>
      <c r="J742" s="4"/>
      <c r="K742" s="4"/>
      <c r="L742" s="4"/>
      <c r="M742" s="4"/>
      <c r="N742" s="4"/>
      <c r="O742" s="4"/>
      <c r="P742" s="4"/>
      <c r="Q742" s="4"/>
      <c r="R742" s="1126"/>
      <c r="S742" s="711"/>
    </row>
    <row r="743" spans="1:19" ht="15.75" hidden="1" customHeight="1">
      <c r="A743" s="4"/>
      <c r="B743" s="4"/>
      <c r="C743" s="4"/>
      <c r="D743" s="4"/>
      <c r="E743" s="4"/>
      <c r="F743" s="4"/>
      <c r="G743" s="4"/>
      <c r="H743" s="4"/>
      <c r="I743" s="1124"/>
      <c r="J743" s="4"/>
      <c r="K743" s="4"/>
      <c r="L743" s="4"/>
      <c r="M743" s="4"/>
      <c r="N743" s="4"/>
      <c r="O743" s="4"/>
      <c r="P743" s="4"/>
      <c r="Q743" s="4"/>
      <c r="R743" s="1126"/>
      <c r="S743" s="711"/>
    </row>
    <row r="744" spans="1:19" ht="15.75" hidden="1" customHeight="1">
      <c r="A744" s="4"/>
      <c r="B744" s="4"/>
      <c r="C744" s="4"/>
      <c r="D744" s="4"/>
      <c r="E744" s="4"/>
      <c r="F744" s="4"/>
      <c r="G744" s="4"/>
      <c r="H744" s="4"/>
      <c r="I744" s="1124"/>
      <c r="J744" s="4"/>
      <c r="K744" s="4"/>
      <c r="L744" s="4"/>
      <c r="M744" s="4"/>
      <c r="N744" s="4"/>
      <c r="O744" s="4"/>
      <c r="P744" s="4"/>
      <c r="Q744" s="4"/>
      <c r="R744" s="1126"/>
      <c r="S744" s="711"/>
    </row>
    <row r="745" spans="1:19" ht="15.75" hidden="1" customHeight="1">
      <c r="A745" s="4"/>
      <c r="B745" s="4"/>
      <c r="C745" s="4"/>
      <c r="D745" s="4"/>
      <c r="E745" s="4"/>
      <c r="F745" s="4"/>
      <c r="G745" s="4"/>
      <c r="H745" s="4"/>
      <c r="I745" s="1124"/>
      <c r="J745" s="4"/>
      <c r="K745" s="4"/>
      <c r="L745" s="4"/>
      <c r="M745" s="4"/>
      <c r="N745" s="4"/>
      <c r="O745" s="4"/>
      <c r="P745" s="4"/>
      <c r="Q745" s="4"/>
      <c r="R745" s="1126"/>
      <c r="S745" s="711"/>
    </row>
    <row r="746" spans="1:19" ht="15.75" hidden="1" customHeight="1">
      <c r="A746" s="4"/>
      <c r="B746" s="4"/>
      <c r="C746" s="4"/>
      <c r="D746" s="4"/>
      <c r="E746" s="4"/>
      <c r="F746" s="4"/>
      <c r="G746" s="4"/>
      <c r="H746" s="4"/>
      <c r="I746" s="1124"/>
      <c r="J746" s="4"/>
      <c r="K746" s="4"/>
      <c r="L746" s="4"/>
      <c r="M746" s="4"/>
      <c r="N746" s="4"/>
      <c r="O746" s="4"/>
      <c r="P746" s="4"/>
      <c r="Q746" s="4"/>
      <c r="R746" s="1126"/>
      <c r="S746" s="711"/>
    </row>
    <row r="747" spans="1:19" ht="15.75" hidden="1" customHeight="1">
      <c r="A747" s="4"/>
      <c r="B747" s="4"/>
      <c r="C747" s="4"/>
      <c r="D747" s="4"/>
      <c r="E747" s="4"/>
      <c r="F747" s="4"/>
      <c r="G747" s="4"/>
      <c r="H747" s="4"/>
      <c r="I747" s="1124"/>
      <c r="J747" s="4"/>
      <c r="K747" s="4"/>
      <c r="L747" s="4"/>
      <c r="M747" s="4"/>
      <c r="N747" s="4"/>
      <c r="O747" s="4"/>
      <c r="P747" s="4"/>
      <c r="Q747" s="4"/>
      <c r="R747" s="1126"/>
      <c r="S747" s="711"/>
    </row>
    <row r="748" spans="1:19" ht="15.75" hidden="1" customHeight="1">
      <c r="A748" s="4"/>
      <c r="B748" s="4"/>
      <c r="C748" s="4"/>
      <c r="D748" s="4"/>
      <c r="E748" s="4"/>
      <c r="F748" s="4"/>
      <c r="G748" s="4"/>
      <c r="H748" s="4"/>
      <c r="I748" s="1124"/>
      <c r="J748" s="4"/>
      <c r="K748" s="4"/>
      <c r="L748" s="4"/>
      <c r="M748" s="4"/>
      <c r="N748" s="4"/>
      <c r="O748" s="4"/>
      <c r="P748" s="4"/>
      <c r="Q748" s="4"/>
      <c r="R748" s="1126"/>
      <c r="S748" s="711"/>
    </row>
    <row r="749" spans="1:19" ht="15.75" hidden="1" customHeight="1">
      <c r="A749" s="4"/>
      <c r="B749" s="4"/>
      <c r="C749" s="4"/>
      <c r="D749" s="4"/>
      <c r="E749" s="4"/>
      <c r="F749" s="4"/>
      <c r="G749" s="4"/>
      <c r="H749" s="4"/>
      <c r="I749" s="1124"/>
      <c r="J749" s="4"/>
      <c r="K749" s="4"/>
      <c r="L749" s="4"/>
      <c r="M749" s="4"/>
      <c r="N749" s="4"/>
      <c r="O749" s="4"/>
      <c r="P749" s="4"/>
      <c r="Q749" s="4"/>
      <c r="R749" s="1126"/>
      <c r="S749" s="711"/>
    </row>
    <row r="750" spans="1:19" ht="15.75" hidden="1" customHeight="1">
      <c r="A750" s="4"/>
      <c r="B750" s="4"/>
      <c r="C750" s="4"/>
      <c r="D750" s="4"/>
      <c r="E750" s="4"/>
      <c r="F750" s="4"/>
      <c r="G750" s="4"/>
      <c r="H750" s="4"/>
      <c r="I750" s="1124"/>
      <c r="J750" s="4"/>
      <c r="K750" s="4"/>
      <c r="L750" s="4"/>
      <c r="M750" s="4"/>
      <c r="N750" s="4"/>
      <c r="O750" s="4"/>
      <c r="P750" s="4"/>
      <c r="Q750" s="4"/>
      <c r="R750" s="1126"/>
      <c r="S750" s="711"/>
    </row>
    <row r="751" spans="1:19" ht="15.75" hidden="1" customHeight="1">
      <c r="A751" s="4"/>
      <c r="B751" s="4"/>
      <c r="C751" s="4"/>
      <c r="D751" s="4"/>
      <c r="E751" s="4"/>
      <c r="F751" s="4"/>
      <c r="G751" s="4"/>
      <c r="H751" s="4"/>
      <c r="I751" s="1124"/>
      <c r="J751" s="4"/>
      <c r="K751" s="4"/>
      <c r="L751" s="4"/>
      <c r="M751" s="4"/>
      <c r="N751" s="4"/>
      <c r="O751" s="4"/>
      <c r="P751" s="4"/>
      <c r="Q751" s="4"/>
      <c r="R751" s="1126"/>
      <c r="S751" s="711"/>
    </row>
    <row r="752" spans="1:19" ht="15.75" hidden="1" customHeight="1">
      <c r="A752" s="4"/>
      <c r="B752" s="4"/>
      <c r="C752" s="4"/>
      <c r="D752" s="4"/>
      <c r="E752" s="4"/>
      <c r="F752" s="4"/>
      <c r="G752" s="4"/>
      <c r="H752" s="4"/>
      <c r="I752" s="1124"/>
      <c r="J752" s="4"/>
      <c r="K752" s="4"/>
      <c r="L752" s="4"/>
      <c r="M752" s="4"/>
      <c r="N752" s="4"/>
      <c r="O752" s="4"/>
      <c r="P752" s="4"/>
      <c r="Q752" s="4"/>
      <c r="R752" s="1126"/>
      <c r="S752" s="711"/>
    </row>
    <row r="753" spans="1:19" ht="15.75" hidden="1" customHeight="1">
      <c r="A753" s="4"/>
      <c r="B753" s="4"/>
      <c r="C753" s="4"/>
      <c r="D753" s="4"/>
      <c r="E753" s="4"/>
      <c r="F753" s="4"/>
      <c r="G753" s="4"/>
      <c r="H753" s="4"/>
      <c r="I753" s="1124"/>
      <c r="J753" s="4"/>
      <c r="K753" s="4"/>
      <c r="L753" s="4"/>
      <c r="M753" s="4"/>
      <c r="N753" s="4"/>
      <c r="O753" s="4"/>
      <c r="P753" s="4"/>
      <c r="Q753" s="4"/>
      <c r="R753" s="1126"/>
      <c r="S753" s="711"/>
    </row>
    <row r="754" spans="1:19" ht="15.75" hidden="1" customHeight="1">
      <c r="A754" s="4"/>
      <c r="B754" s="4"/>
      <c r="C754" s="4"/>
      <c r="D754" s="4"/>
      <c r="E754" s="4"/>
      <c r="F754" s="4"/>
      <c r="G754" s="4"/>
      <c r="H754" s="4"/>
      <c r="I754" s="1124"/>
      <c r="J754" s="4"/>
      <c r="K754" s="4"/>
      <c r="L754" s="4"/>
      <c r="M754" s="4"/>
      <c r="N754" s="4"/>
      <c r="O754" s="4"/>
      <c r="P754" s="4"/>
      <c r="Q754" s="4"/>
      <c r="R754" s="1126"/>
      <c r="S754" s="711"/>
    </row>
    <row r="755" spans="1:19" ht="15.75" hidden="1" customHeight="1">
      <c r="A755" s="4"/>
      <c r="B755" s="4"/>
      <c r="C755" s="4"/>
      <c r="D755" s="4"/>
      <c r="E755" s="4"/>
      <c r="F755" s="4"/>
      <c r="G755" s="4"/>
      <c r="H755" s="4"/>
      <c r="I755" s="1124"/>
      <c r="J755" s="4"/>
      <c r="K755" s="4"/>
      <c r="L755" s="4"/>
      <c r="M755" s="4"/>
      <c r="N755" s="4"/>
      <c r="O755" s="4"/>
      <c r="P755" s="4"/>
      <c r="Q755" s="4"/>
      <c r="R755" s="1126"/>
      <c r="S755" s="711"/>
    </row>
    <row r="756" spans="1:19" ht="15.75" hidden="1" customHeight="1">
      <c r="A756" s="4"/>
      <c r="B756" s="4"/>
      <c r="C756" s="4"/>
      <c r="D756" s="4"/>
      <c r="E756" s="4"/>
      <c r="F756" s="4"/>
      <c r="G756" s="4"/>
      <c r="H756" s="4"/>
      <c r="I756" s="1124"/>
      <c r="J756" s="4"/>
      <c r="K756" s="4"/>
      <c r="L756" s="4"/>
      <c r="M756" s="4"/>
      <c r="N756" s="4"/>
      <c r="O756" s="4"/>
      <c r="P756" s="4"/>
      <c r="Q756" s="4"/>
      <c r="R756" s="1126"/>
      <c r="S756" s="711"/>
    </row>
    <row r="757" spans="1:19" ht="15.75" hidden="1" customHeight="1">
      <c r="A757" s="4"/>
      <c r="B757" s="4"/>
      <c r="C757" s="4"/>
      <c r="D757" s="4"/>
      <c r="E757" s="4"/>
      <c r="F757" s="4"/>
      <c r="G757" s="4"/>
      <c r="H757" s="4"/>
      <c r="I757" s="1124"/>
      <c r="J757" s="4"/>
      <c r="K757" s="4"/>
      <c r="L757" s="4"/>
      <c r="M757" s="4"/>
      <c r="N757" s="4"/>
      <c r="O757" s="4"/>
      <c r="P757" s="4"/>
      <c r="Q757" s="4"/>
      <c r="R757" s="1126"/>
      <c r="S757" s="711"/>
    </row>
    <row r="758" spans="1:19" ht="15.75" hidden="1" customHeight="1">
      <c r="A758" s="4"/>
      <c r="B758" s="4"/>
      <c r="C758" s="4"/>
      <c r="D758" s="4"/>
      <c r="E758" s="4"/>
      <c r="F758" s="4"/>
      <c r="G758" s="4"/>
      <c r="H758" s="4"/>
      <c r="I758" s="1124"/>
      <c r="J758" s="4"/>
      <c r="K758" s="4"/>
      <c r="L758" s="4"/>
      <c r="M758" s="4"/>
      <c r="N758" s="4"/>
      <c r="O758" s="4"/>
      <c r="P758" s="4"/>
      <c r="Q758" s="4"/>
      <c r="R758" s="1126"/>
      <c r="S758" s="711"/>
    </row>
    <row r="759" spans="1:19" ht="15.75" hidden="1" customHeight="1">
      <c r="A759" s="4"/>
      <c r="B759" s="4"/>
      <c r="C759" s="4"/>
      <c r="D759" s="4"/>
      <c r="E759" s="4"/>
      <c r="F759" s="4"/>
      <c r="G759" s="4"/>
      <c r="H759" s="4"/>
      <c r="I759" s="1124"/>
      <c r="J759" s="4"/>
      <c r="K759" s="4"/>
      <c r="L759" s="4"/>
      <c r="M759" s="4"/>
      <c r="N759" s="4"/>
      <c r="O759" s="4"/>
      <c r="P759" s="4"/>
      <c r="Q759" s="4"/>
      <c r="R759" s="1126"/>
      <c r="S759" s="711"/>
    </row>
    <row r="760" spans="1:19" ht="15.75" hidden="1" customHeight="1">
      <c r="A760" s="4"/>
      <c r="B760" s="4"/>
      <c r="C760" s="4"/>
      <c r="D760" s="4"/>
      <c r="E760" s="4"/>
      <c r="F760" s="4"/>
      <c r="G760" s="4"/>
      <c r="H760" s="4"/>
      <c r="I760" s="1124"/>
      <c r="J760" s="4"/>
      <c r="K760" s="4"/>
      <c r="L760" s="4"/>
      <c r="M760" s="4"/>
      <c r="N760" s="4"/>
      <c r="O760" s="4"/>
      <c r="P760" s="4"/>
      <c r="Q760" s="4"/>
      <c r="R760" s="1126"/>
      <c r="S760" s="711"/>
    </row>
    <row r="761" spans="1:19" ht="15.75" hidden="1" customHeight="1">
      <c r="A761" s="4"/>
      <c r="B761" s="4"/>
      <c r="C761" s="4"/>
      <c r="D761" s="4"/>
      <c r="E761" s="4"/>
      <c r="F761" s="4"/>
      <c r="G761" s="4"/>
      <c r="H761" s="4"/>
      <c r="I761" s="1124"/>
      <c r="J761" s="4"/>
      <c r="K761" s="4"/>
      <c r="L761" s="4"/>
      <c r="M761" s="4"/>
      <c r="N761" s="4"/>
      <c r="O761" s="4"/>
      <c r="P761" s="4"/>
      <c r="Q761" s="4"/>
      <c r="R761" s="1126"/>
      <c r="S761" s="711"/>
    </row>
    <row r="762" spans="1:19" ht="15.75" hidden="1" customHeight="1">
      <c r="A762" s="4"/>
      <c r="B762" s="4"/>
      <c r="C762" s="4"/>
      <c r="D762" s="4"/>
      <c r="E762" s="4"/>
      <c r="F762" s="4"/>
      <c r="G762" s="4"/>
      <c r="H762" s="4"/>
      <c r="I762" s="1124"/>
      <c r="J762" s="4"/>
      <c r="K762" s="4"/>
      <c r="L762" s="4"/>
      <c r="M762" s="4"/>
      <c r="N762" s="4"/>
      <c r="O762" s="4"/>
      <c r="P762" s="4"/>
      <c r="Q762" s="4"/>
      <c r="R762" s="1126"/>
      <c r="S762" s="711"/>
    </row>
    <row r="763" spans="1:19" ht="15.75" hidden="1" customHeight="1">
      <c r="A763" s="4"/>
      <c r="B763" s="4"/>
      <c r="C763" s="4"/>
      <c r="D763" s="4"/>
      <c r="E763" s="4"/>
      <c r="F763" s="4"/>
      <c r="G763" s="4"/>
      <c r="H763" s="4"/>
      <c r="I763" s="1124"/>
      <c r="J763" s="4"/>
      <c r="K763" s="4"/>
      <c r="L763" s="4"/>
      <c r="M763" s="4"/>
      <c r="N763" s="4"/>
      <c r="O763" s="4"/>
      <c r="P763" s="4"/>
      <c r="Q763" s="4"/>
      <c r="R763" s="1126"/>
      <c r="S763" s="711"/>
    </row>
    <row r="764" spans="1:19" ht="15.75" hidden="1" customHeight="1">
      <c r="A764" s="4"/>
      <c r="B764" s="4"/>
      <c r="C764" s="4"/>
      <c r="D764" s="4"/>
      <c r="E764" s="4"/>
      <c r="F764" s="4"/>
      <c r="G764" s="4"/>
      <c r="H764" s="4"/>
      <c r="I764" s="1124"/>
      <c r="J764" s="4"/>
      <c r="K764" s="4"/>
      <c r="L764" s="4"/>
      <c r="M764" s="4"/>
      <c r="N764" s="4"/>
      <c r="O764" s="4"/>
      <c r="P764" s="4"/>
      <c r="Q764" s="4"/>
      <c r="R764" s="1126"/>
      <c r="S764" s="711"/>
    </row>
    <row r="765" spans="1:19" ht="15.75" hidden="1" customHeight="1">
      <c r="A765" s="4"/>
      <c r="B765" s="4"/>
      <c r="C765" s="4"/>
      <c r="D765" s="4"/>
      <c r="E765" s="4"/>
      <c r="F765" s="4"/>
      <c r="G765" s="4"/>
      <c r="H765" s="4"/>
      <c r="I765" s="1124"/>
      <c r="J765" s="4"/>
      <c r="K765" s="4"/>
      <c r="L765" s="4"/>
      <c r="M765" s="4"/>
      <c r="N765" s="4"/>
      <c r="O765" s="4"/>
      <c r="P765" s="4"/>
      <c r="Q765" s="4"/>
      <c r="R765" s="1126"/>
      <c r="S765" s="711"/>
    </row>
    <row r="766" spans="1:19" ht="15.75" hidden="1" customHeight="1">
      <c r="A766" s="4"/>
      <c r="B766" s="4"/>
      <c r="C766" s="4"/>
      <c r="D766" s="4"/>
      <c r="E766" s="4"/>
      <c r="F766" s="4"/>
      <c r="G766" s="4"/>
      <c r="H766" s="4"/>
      <c r="I766" s="1124"/>
      <c r="J766" s="4"/>
      <c r="K766" s="4"/>
      <c r="L766" s="4"/>
      <c r="M766" s="4"/>
      <c r="N766" s="4"/>
      <c r="O766" s="4"/>
      <c r="P766" s="4"/>
      <c r="Q766" s="4"/>
      <c r="R766" s="1126"/>
      <c r="S766" s="711"/>
    </row>
    <row r="767" spans="1:19" ht="15.75" hidden="1" customHeight="1">
      <c r="A767" s="4"/>
      <c r="B767" s="4"/>
      <c r="C767" s="4"/>
      <c r="D767" s="4"/>
      <c r="E767" s="4"/>
      <c r="F767" s="4"/>
      <c r="G767" s="4"/>
      <c r="H767" s="4"/>
      <c r="I767" s="1124"/>
      <c r="J767" s="4"/>
      <c r="K767" s="4"/>
      <c r="L767" s="4"/>
      <c r="M767" s="4"/>
      <c r="N767" s="4"/>
      <c r="O767" s="4"/>
      <c r="P767" s="4"/>
      <c r="Q767" s="4"/>
      <c r="R767" s="1126"/>
      <c r="S767" s="711"/>
    </row>
    <row r="768" spans="1:19" ht="15.75" hidden="1" customHeight="1">
      <c r="A768" s="4"/>
      <c r="B768" s="4"/>
      <c r="C768" s="4"/>
      <c r="D768" s="4"/>
      <c r="E768" s="4"/>
      <c r="F768" s="4"/>
      <c r="G768" s="4"/>
      <c r="H768" s="4"/>
      <c r="I768" s="1124"/>
      <c r="J768" s="4"/>
      <c r="K768" s="4"/>
      <c r="L768" s="4"/>
      <c r="M768" s="4"/>
      <c r="N768" s="4"/>
      <c r="O768" s="4"/>
      <c r="P768" s="4"/>
      <c r="Q768" s="4"/>
      <c r="R768" s="1126"/>
      <c r="S768" s="711"/>
    </row>
    <row r="769" spans="1:19" ht="15.75" hidden="1" customHeight="1">
      <c r="A769" s="4"/>
      <c r="B769" s="4"/>
      <c r="C769" s="4"/>
      <c r="D769" s="4"/>
      <c r="E769" s="4"/>
      <c r="F769" s="4"/>
      <c r="G769" s="4"/>
      <c r="H769" s="4"/>
      <c r="I769" s="1124"/>
      <c r="J769" s="4"/>
      <c r="K769" s="4"/>
      <c r="L769" s="4"/>
      <c r="M769" s="4"/>
      <c r="N769" s="4"/>
      <c r="O769" s="4"/>
      <c r="P769" s="4"/>
      <c r="Q769" s="4"/>
      <c r="R769" s="1126"/>
      <c r="S769" s="711"/>
    </row>
    <row r="770" spans="1:19" ht="15.75" hidden="1" customHeight="1">
      <c r="A770" s="4"/>
      <c r="B770" s="4"/>
      <c r="C770" s="4"/>
      <c r="D770" s="4"/>
      <c r="E770" s="4"/>
      <c r="F770" s="4"/>
      <c r="G770" s="4"/>
      <c r="H770" s="4"/>
      <c r="I770" s="1124"/>
      <c r="J770" s="4"/>
      <c r="K770" s="4"/>
      <c r="L770" s="4"/>
      <c r="M770" s="4"/>
      <c r="N770" s="4"/>
      <c r="O770" s="4"/>
      <c r="P770" s="4"/>
      <c r="Q770" s="4"/>
      <c r="R770" s="1126"/>
      <c r="S770" s="711"/>
    </row>
    <row r="771" spans="1:19" ht="15.75" hidden="1" customHeight="1">
      <c r="A771" s="4"/>
      <c r="B771" s="4"/>
      <c r="C771" s="4"/>
      <c r="D771" s="4"/>
      <c r="E771" s="4"/>
      <c r="F771" s="4"/>
      <c r="G771" s="4"/>
      <c r="H771" s="4"/>
      <c r="I771" s="1124"/>
      <c r="J771" s="4"/>
      <c r="K771" s="4"/>
      <c r="L771" s="4"/>
      <c r="M771" s="4"/>
      <c r="N771" s="4"/>
      <c r="O771" s="4"/>
      <c r="P771" s="4"/>
      <c r="Q771" s="4"/>
      <c r="R771" s="1126"/>
      <c r="S771" s="711"/>
    </row>
    <row r="772" spans="1:19" ht="15.75" hidden="1" customHeight="1">
      <c r="A772" s="4"/>
      <c r="B772" s="4"/>
      <c r="C772" s="4"/>
      <c r="D772" s="4"/>
      <c r="E772" s="4"/>
      <c r="F772" s="4"/>
      <c r="G772" s="4"/>
      <c r="H772" s="4"/>
      <c r="I772" s="1124"/>
      <c r="J772" s="4"/>
      <c r="K772" s="4"/>
      <c r="L772" s="4"/>
      <c r="M772" s="4"/>
      <c r="N772" s="4"/>
      <c r="O772" s="4"/>
      <c r="P772" s="4"/>
      <c r="Q772" s="4"/>
      <c r="R772" s="1126"/>
      <c r="S772" s="711"/>
    </row>
    <row r="773" spans="1:19" ht="15.75" hidden="1" customHeight="1">
      <c r="A773" s="4"/>
      <c r="B773" s="4"/>
      <c r="C773" s="4"/>
      <c r="D773" s="4"/>
      <c r="E773" s="4"/>
      <c r="F773" s="4"/>
      <c r="G773" s="4"/>
      <c r="H773" s="4"/>
      <c r="I773" s="1124"/>
      <c r="J773" s="4"/>
      <c r="K773" s="4"/>
      <c r="L773" s="4"/>
      <c r="M773" s="4"/>
      <c r="N773" s="4"/>
      <c r="O773" s="4"/>
      <c r="P773" s="4"/>
      <c r="Q773" s="4"/>
      <c r="R773" s="1126"/>
      <c r="S773" s="711"/>
    </row>
    <row r="774" spans="1:19" ht="15.75" hidden="1" customHeight="1">
      <c r="A774" s="4"/>
      <c r="B774" s="4"/>
      <c r="C774" s="4"/>
      <c r="D774" s="4"/>
      <c r="E774" s="4"/>
      <c r="F774" s="4"/>
      <c r="G774" s="4"/>
      <c r="H774" s="4"/>
      <c r="I774" s="1124"/>
      <c r="J774" s="4"/>
      <c r="K774" s="4"/>
      <c r="L774" s="4"/>
      <c r="M774" s="4"/>
      <c r="N774" s="4"/>
      <c r="O774" s="4"/>
      <c r="P774" s="4"/>
      <c r="Q774" s="4"/>
      <c r="R774" s="1126"/>
      <c r="S774" s="711"/>
    </row>
    <row r="775" spans="1:19" ht="15.75" hidden="1" customHeight="1">
      <c r="A775" s="4"/>
      <c r="B775" s="4"/>
      <c r="C775" s="4"/>
      <c r="D775" s="4"/>
      <c r="E775" s="4"/>
      <c r="F775" s="4"/>
      <c r="G775" s="4"/>
      <c r="H775" s="4"/>
      <c r="I775" s="1124"/>
      <c r="J775" s="4"/>
      <c r="K775" s="4"/>
      <c r="L775" s="4"/>
      <c r="M775" s="4"/>
      <c r="N775" s="4"/>
      <c r="O775" s="4"/>
      <c r="P775" s="4"/>
      <c r="Q775" s="4"/>
      <c r="R775" s="1126"/>
      <c r="S775" s="711"/>
    </row>
    <row r="776" spans="1:19" ht="15.75" hidden="1" customHeight="1">
      <c r="A776" s="4"/>
      <c r="B776" s="4"/>
      <c r="C776" s="4"/>
      <c r="D776" s="4"/>
      <c r="E776" s="4"/>
      <c r="F776" s="4"/>
      <c r="G776" s="4"/>
      <c r="H776" s="4"/>
      <c r="I776" s="1124"/>
      <c r="J776" s="4"/>
      <c r="K776" s="4"/>
      <c r="L776" s="4"/>
      <c r="M776" s="4"/>
      <c r="N776" s="4"/>
      <c r="O776" s="4"/>
      <c r="P776" s="4"/>
      <c r="Q776" s="4"/>
      <c r="R776" s="1126"/>
      <c r="S776" s="711"/>
    </row>
    <row r="777" spans="1:19" ht="15.75" hidden="1" customHeight="1">
      <c r="A777" s="4"/>
      <c r="B777" s="4"/>
      <c r="C777" s="4"/>
      <c r="D777" s="4"/>
      <c r="E777" s="4"/>
      <c r="F777" s="4"/>
      <c r="G777" s="4"/>
      <c r="H777" s="4"/>
      <c r="I777" s="1124"/>
      <c r="J777" s="4"/>
      <c r="K777" s="4"/>
      <c r="L777" s="4"/>
      <c r="M777" s="4"/>
      <c r="N777" s="4"/>
      <c r="O777" s="4"/>
      <c r="P777" s="4"/>
      <c r="Q777" s="4"/>
      <c r="R777" s="1126"/>
      <c r="S777" s="711"/>
    </row>
    <row r="778" spans="1:19" ht="15.75" hidden="1" customHeight="1">
      <c r="A778" s="4"/>
      <c r="B778" s="4"/>
      <c r="C778" s="4"/>
      <c r="D778" s="4"/>
      <c r="E778" s="4"/>
      <c r="F778" s="4"/>
      <c r="G778" s="4"/>
      <c r="H778" s="4"/>
      <c r="I778" s="1124"/>
      <c r="J778" s="4"/>
      <c r="K778" s="4"/>
      <c r="L778" s="4"/>
      <c r="M778" s="4"/>
      <c r="N778" s="4"/>
      <c r="O778" s="4"/>
      <c r="P778" s="4"/>
      <c r="Q778" s="4"/>
      <c r="R778" s="1126"/>
      <c r="S778" s="711"/>
    </row>
    <row r="779" spans="1:19" ht="15.75" hidden="1" customHeight="1">
      <c r="A779" s="4"/>
      <c r="B779" s="4"/>
      <c r="C779" s="4"/>
      <c r="D779" s="4"/>
      <c r="E779" s="4"/>
      <c r="F779" s="4"/>
      <c r="G779" s="4"/>
      <c r="H779" s="4"/>
      <c r="I779" s="1124"/>
      <c r="J779" s="4"/>
      <c r="K779" s="4"/>
      <c r="L779" s="4"/>
      <c r="M779" s="4"/>
      <c r="N779" s="4"/>
      <c r="O779" s="4"/>
      <c r="P779" s="4"/>
      <c r="Q779" s="4"/>
      <c r="R779" s="1126"/>
      <c r="S779" s="711"/>
    </row>
    <row r="780" spans="1:19" ht="15.75" hidden="1" customHeight="1">
      <c r="A780" s="4"/>
      <c r="B780" s="4"/>
      <c r="C780" s="4"/>
      <c r="D780" s="4"/>
      <c r="E780" s="4"/>
      <c r="F780" s="4"/>
      <c r="G780" s="4"/>
      <c r="H780" s="4"/>
      <c r="I780" s="1124"/>
      <c r="J780" s="4"/>
      <c r="K780" s="4"/>
      <c r="L780" s="4"/>
      <c r="M780" s="4"/>
      <c r="N780" s="4"/>
      <c r="O780" s="4"/>
      <c r="P780" s="4"/>
      <c r="Q780" s="4"/>
      <c r="R780" s="1126"/>
      <c r="S780" s="711"/>
    </row>
    <row r="781" spans="1:19" ht="15.75" hidden="1" customHeight="1">
      <c r="A781" s="4"/>
      <c r="B781" s="4"/>
      <c r="C781" s="4"/>
      <c r="D781" s="4"/>
      <c r="E781" s="4"/>
      <c r="F781" s="4"/>
      <c r="G781" s="4"/>
      <c r="H781" s="4"/>
      <c r="I781" s="1124"/>
      <c r="J781" s="4"/>
      <c r="K781" s="4"/>
      <c r="L781" s="4"/>
      <c r="M781" s="4"/>
      <c r="N781" s="4"/>
      <c r="O781" s="4"/>
      <c r="P781" s="4"/>
      <c r="Q781" s="4"/>
      <c r="R781" s="1126"/>
      <c r="S781" s="711"/>
    </row>
    <row r="782" spans="1:19" ht="15.75" hidden="1" customHeight="1">
      <c r="A782" s="4"/>
      <c r="B782" s="4"/>
      <c r="C782" s="4"/>
      <c r="D782" s="4"/>
      <c r="E782" s="4"/>
      <c r="F782" s="4"/>
      <c r="G782" s="4"/>
      <c r="H782" s="4"/>
      <c r="I782" s="1124"/>
      <c r="J782" s="4"/>
      <c r="K782" s="4"/>
      <c r="L782" s="4"/>
      <c r="M782" s="4"/>
      <c r="N782" s="4"/>
      <c r="O782" s="4"/>
      <c r="P782" s="4"/>
      <c r="Q782" s="4"/>
      <c r="R782" s="1126"/>
      <c r="S782" s="711"/>
    </row>
    <row r="783" spans="1:19" ht="15.75" hidden="1" customHeight="1">
      <c r="A783" s="4"/>
      <c r="B783" s="4"/>
      <c r="C783" s="4"/>
      <c r="D783" s="4"/>
      <c r="E783" s="4"/>
      <c r="F783" s="4"/>
      <c r="G783" s="4"/>
      <c r="H783" s="4"/>
      <c r="I783" s="1124"/>
      <c r="J783" s="4"/>
      <c r="K783" s="4"/>
      <c r="L783" s="4"/>
      <c r="M783" s="4"/>
      <c r="N783" s="4"/>
      <c r="O783" s="4"/>
      <c r="P783" s="4"/>
      <c r="Q783" s="4"/>
      <c r="R783" s="1126"/>
      <c r="S783" s="711"/>
    </row>
    <row r="784" spans="1:19" ht="15.75" hidden="1" customHeight="1">
      <c r="A784" s="4"/>
      <c r="B784" s="4"/>
      <c r="C784" s="4"/>
      <c r="D784" s="4"/>
      <c r="E784" s="4"/>
      <c r="F784" s="4"/>
      <c r="G784" s="4"/>
      <c r="H784" s="4"/>
      <c r="I784" s="1124"/>
      <c r="J784" s="4"/>
      <c r="K784" s="4"/>
      <c r="L784" s="4"/>
      <c r="M784" s="4"/>
      <c r="N784" s="4"/>
      <c r="O784" s="4"/>
      <c r="P784" s="4"/>
      <c r="Q784" s="4"/>
      <c r="R784" s="1126"/>
      <c r="S784" s="711"/>
    </row>
    <row r="785" spans="1:19" ht="15.75" hidden="1" customHeight="1">
      <c r="A785" s="4"/>
      <c r="B785" s="4"/>
      <c r="C785" s="4"/>
      <c r="D785" s="4"/>
      <c r="E785" s="4"/>
      <c r="F785" s="4"/>
      <c r="G785" s="4"/>
      <c r="H785" s="4"/>
      <c r="I785" s="1124"/>
      <c r="J785" s="4"/>
      <c r="K785" s="4"/>
      <c r="L785" s="4"/>
      <c r="M785" s="4"/>
      <c r="N785" s="4"/>
      <c r="O785" s="4"/>
      <c r="P785" s="4"/>
      <c r="Q785" s="4"/>
      <c r="R785" s="1126"/>
      <c r="S785" s="711"/>
    </row>
    <row r="786" spans="1:19" ht="15.75" hidden="1" customHeight="1">
      <c r="A786" s="4"/>
      <c r="B786" s="4"/>
      <c r="C786" s="4"/>
      <c r="D786" s="4"/>
      <c r="E786" s="4"/>
      <c r="F786" s="4"/>
      <c r="G786" s="4"/>
      <c r="H786" s="4"/>
      <c r="I786" s="1124"/>
      <c r="J786" s="4"/>
      <c r="K786" s="4"/>
      <c r="L786" s="4"/>
      <c r="M786" s="4"/>
      <c r="N786" s="4"/>
      <c r="O786" s="4"/>
      <c r="P786" s="4"/>
      <c r="Q786" s="4"/>
      <c r="R786" s="1126"/>
      <c r="S786" s="711"/>
    </row>
    <row r="787" spans="1:19" ht="15.75" hidden="1" customHeight="1">
      <c r="A787" s="4"/>
      <c r="B787" s="4"/>
      <c r="C787" s="4"/>
      <c r="D787" s="4"/>
      <c r="E787" s="4"/>
      <c r="F787" s="4"/>
      <c r="G787" s="4"/>
      <c r="H787" s="4"/>
      <c r="I787" s="1124"/>
      <c r="J787" s="4"/>
      <c r="K787" s="4"/>
      <c r="L787" s="4"/>
      <c r="M787" s="4"/>
      <c r="N787" s="4"/>
      <c r="O787" s="4"/>
      <c r="P787" s="4"/>
      <c r="Q787" s="4"/>
      <c r="R787" s="1126"/>
      <c r="S787" s="711"/>
    </row>
    <row r="788" spans="1:19" ht="15.75" hidden="1" customHeight="1">
      <c r="A788" s="4"/>
      <c r="B788" s="4"/>
      <c r="C788" s="4"/>
      <c r="D788" s="4"/>
      <c r="E788" s="4"/>
      <c r="F788" s="4"/>
      <c r="G788" s="4"/>
      <c r="H788" s="4"/>
      <c r="I788" s="1124"/>
      <c r="J788" s="4"/>
      <c r="K788" s="4"/>
      <c r="L788" s="4"/>
      <c r="M788" s="4"/>
      <c r="N788" s="4"/>
      <c r="O788" s="4"/>
      <c r="P788" s="4"/>
      <c r="Q788" s="4"/>
      <c r="R788" s="1126"/>
      <c r="S788" s="711"/>
    </row>
    <row r="789" spans="1:19" ht="15.75" hidden="1" customHeight="1">
      <c r="A789" s="4"/>
      <c r="B789" s="4"/>
      <c r="C789" s="4"/>
      <c r="D789" s="4"/>
      <c r="E789" s="4"/>
      <c r="F789" s="4"/>
      <c r="G789" s="4"/>
      <c r="H789" s="4"/>
      <c r="I789" s="1124"/>
      <c r="J789" s="4"/>
      <c r="K789" s="4"/>
      <c r="L789" s="4"/>
      <c r="M789" s="4"/>
      <c r="N789" s="4"/>
      <c r="O789" s="4"/>
      <c r="P789" s="4"/>
      <c r="Q789" s="4"/>
      <c r="R789" s="1126"/>
      <c r="S789" s="711"/>
    </row>
    <row r="790" spans="1:19" ht="15.75" hidden="1" customHeight="1">
      <c r="A790" s="4"/>
      <c r="B790" s="4"/>
      <c r="C790" s="4"/>
      <c r="D790" s="4"/>
      <c r="E790" s="4"/>
      <c r="F790" s="4"/>
      <c r="G790" s="4"/>
      <c r="H790" s="4"/>
      <c r="I790" s="1124"/>
      <c r="J790" s="4"/>
      <c r="K790" s="4"/>
      <c r="L790" s="4"/>
      <c r="M790" s="4"/>
      <c r="N790" s="4"/>
      <c r="O790" s="4"/>
      <c r="P790" s="4"/>
      <c r="Q790" s="4"/>
      <c r="R790" s="1126"/>
      <c r="S790" s="711"/>
    </row>
    <row r="791" spans="1:19" ht="15.75" hidden="1" customHeight="1">
      <c r="A791" s="4"/>
      <c r="B791" s="4"/>
      <c r="C791" s="4"/>
      <c r="D791" s="4"/>
      <c r="E791" s="4"/>
      <c r="F791" s="4"/>
      <c r="G791" s="4"/>
      <c r="H791" s="4"/>
      <c r="I791" s="1124"/>
      <c r="J791" s="4"/>
      <c r="K791" s="4"/>
      <c r="L791" s="4"/>
      <c r="M791" s="4"/>
      <c r="N791" s="4"/>
      <c r="O791" s="4"/>
      <c r="P791" s="4"/>
      <c r="Q791" s="4"/>
      <c r="R791" s="1126"/>
      <c r="S791" s="711"/>
    </row>
    <row r="792" spans="1:19" ht="15.75" hidden="1" customHeight="1">
      <c r="A792" s="4"/>
      <c r="B792" s="4"/>
      <c r="C792" s="4"/>
      <c r="D792" s="4"/>
      <c r="E792" s="4"/>
      <c r="F792" s="4"/>
      <c r="G792" s="4"/>
      <c r="H792" s="4"/>
      <c r="I792" s="1124"/>
      <c r="J792" s="4"/>
      <c r="K792" s="4"/>
      <c r="L792" s="4"/>
      <c r="M792" s="4"/>
      <c r="N792" s="4"/>
      <c r="O792" s="4"/>
      <c r="P792" s="4"/>
      <c r="Q792" s="4"/>
      <c r="R792" s="1126"/>
      <c r="S792" s="711"/>
    </row>
    <row r="793" spans="1:19" ht="15.75" hidden="1" customHeight="1">
      <c r="A793" s="4"/>
      <c r="B793" s="4"/>
      <c r="C793" s="4"/>
      <c r="D793" s="4"/>
      <c r="E793" s="4"/>
      <c r="F793" s="4"/>
      <c r="G793" s="4"/>
      <c r="H793" s="4"/>
      <c r="I793" s="1124"/>
      <c r="J793" s="4"/>
      <c r="K793" s="4"/>
      <c r="L793" s="4"/>
      <c r="M793" s="4"/>
      <c r="N793" s="4"/>
      <c r="O793" s="4"/>
      <c r="P793" s="4"/>
      <c r="Q793" s="4"/>
      <c r="R793" s="1126"/>
      <c r="S793" s="711"/>
    </row>
    <row r="794" spans="1:19" ht="15.75" hidden="1" customHeight="1">
      <c r="A794" s="4"/>
      <c r="B794" s="4"/>
      <c r="C794" s="4"/>
      <c r="D794" s="4"/>
      <c r="E794" s="4"/>
      <c r="F794" s="4"/>
      <c r="G794" s="4"/>
      <c r="H794" s="4"/>
      <c r="I794" s="1124"/>
      <c r="J794" s="4"/>
      <c r="K794" s="4"/>
      <c r="L794" s="4"/>
      <c r="M794" s="4"/>
      <c r="N794" s="4"/>
      <c r="O794" s="4"/>
      <c r="P794" s="4"/>
      <c r="Q794" s="4"/>
      <c r="R794" s="1126"/>
      <c r="S794" s="711"/>
    </row>
    <row r="795" spans="1:19" ht="15.75" hidden="1" customHeight="1">
      <c r="A795" s="4"/>
      <c r="B795" s="4"/>
      <c r="C795" s="4"/>
      <c r="D795" s="4"/>
      <c r="E795" s="4"/>
      <c r="F795" s="4"/>
      <c r="G795" s="4"/>
      <c r="H795" s="4"/>
      <c r="I795" s="1124"/>
      <c r="J795" s="4"/>
      <c r="K795" s="4"/>
      <c r="L795" s="4"/>
      <c r="M795" s="4"/>
      <c r="N795" s="4"/>
      <c r="O795" s="4"/>
      <c r="P795" s="4"/>
      <c r="Q795" s="4"/>
      <c r="R795" s="1126"/>
      <c r="S795" s="711"/>
    </row>
    <row r="796" spans="1:19" ht="15.75" hidden="1" customHeight="1">
      <c r="A796" s="4"/>
      <c r="B796" s="4"/>
      <c r="C796" s="4"/>
      <c r="D796" s="4"/>
      <c r="E796" s="4"/>
      <c r="F796" s="4"/>
      <c r="G796" s="4"/>
      <c r="H796" s="4"/>
      <c r="I796" s="1124"/>
      <c r="J796" s="4"/>
      <c r="K796" s="4"/>
      <c r="L796" s="4"/>
      <c r="M796" s="4"/>
      <c r="N796" s="4"/>
      <c r="O796" s="4"/>
      <c r="P796" s="4"/>
      <c r="Q796" s="4"/>
      <c r="R796" s="1126"/>
      <c r="S796" s="711"/>
    </row>
    <row r="797" spans="1:19" ht="15.75" hidden="1" customHeight="1">
      <c r="A797" s="4"/>
      <c r="B797" s="4"/>
      <c r="C797" s="4"/>
      <c r="D797" s="4"/>
      <c r="E797" s="4"/>
      <c r="F797" s="4"/>
      <c r="G797" s="4"/>
      <c r="H797" s="4"/>
      <c r="I797" s="1124"/>
      <c r="J797" s="4"/>
      <c r="K797" s="4"/>
      <c r="L797" s="4"/>
      <c r="M797" s="4"/>
      <c r="N797" s="4"/>
      <c r="O797" s="4"/>
      <c r="P797" s="4"/>
      <c r="Q797" s="4"/>
      <c r="R797" s="1126"/>
      <c r="S797" s="711"/>
    </row>
    <row r="798" spans="1:19" ht="15.75" hidden="1" customHeight="1">
      <c r="A798" s="4"/>
      <c r="B798" s="4"/>
      <c r="C798" s="4"/>
      <c r="D798" s="4"/>
      <c r="E798" s="4"/>
      <c r="F798" s="4"/>
      <c r="G798" s="4"/>
      <c r="H798" s="4"/>
      <c r="I798" s="1124"/>
      <c r="J798" s="4"/>
      <c r="K798" s="4"/>
      <c r="L798" s="4"/>
      <c r="M798" s="4"/>
      <c r="N798" s="4"/>
      <c r="O798" s="4"/>
      <c r="P798" s="4"/>
      <c r="Q798" s="4"/>
      <c r="R798" s="1126"/>
      <c r="S798" s="711"/>
    </row>
    <row r="799" spans="1:19" ht="15.75" hidden="1" customHeight="1">
      <c r="A799" s="4"/>
      <c r="B799" s="4"/>
      <c r="C799" s="4"/>
      <c r="D799" s="4"/>
      <c r="E799" s="4"/>
      <c r="F799" s="4"/>
      <c r="G799" s="4"/>
      <c r="H799" s="4"/>
      <c r="I799" s="1124"/>
      <c r="J799" s="4"/>
      <c r="K799" s="4"/>
      <c r="L799" s="4"/>
      <c r="M799" s="4"/>
      <c r="N799" s="4"/>
      <c r="O799" s="4"/>
      <c r="P799" s="4"/>
      <c r="Q799" s="4"/>
      <c r="R799" s="1126"/>
      <c r="S799" s="711"/>
    </row>
    <row r="800" spans="1:19" ht="15.75" hidden="1" customHeight="1">
      <c r="A800" s="4"/>
      <c r="B800" s="4"/>
      <c r="C800" s="4"/>
      <c r="D800" s="4"/>
      <c r="E800" s="4"/>
      <c r="F800" s="4"/>
      <c r="G800" s="4"/>
      <c r="H800" s="4"/>
      <c r="I800" s="1124"/>
      <c r="J800" s="4"/>
      <c r="K800" s="4"/>
      <c r="L800" s="4"/>
      <c r="M800" s="4"/>
      <c r="N800" s="4"/>
      <c r="O800" s="4"/>
      <c r="P800" s="4"/>
      <c r="Q800" s="4"/>
      <c r="R800" s="1126"/>
      <c r="S800" s="711"/>
    </row>
    <row r="801" spans="1:19" ht="15.75" hidden="1" customHeight="1">
      <c r="A801" s="4"/>
      <c r="B801" s="4"/>
      <c r="C801" s="4"/>
      <c r="D801" s="4"/>
      <c r="E801" s="4"/>
      <c r="F801" s="4"/>
      <c r="G801" s="4"/>
      <c r="H801" s="4"/>
      <c r="I801" s="1124"/>
      <c r="J801" s="4"/>
      <c r="K801" s="4"/>
      <c r="L801" s="4"/>
      <c r="M801" s="4"/>
      <c r="N801" s="4"/>
      <c r="O801" s="4"/>
      <c r="P801" s="4"/>
      <c r="Q801" s="4"/>
      <c r="R801" s="1126"/>
      <c r="S801" s="711"/>
    </row>
    <row r="802" spans="1:19" ht="15.75" hidden="1" customHeight="1">
      <c r="A802" s="4"/>
      <c r="B802" s="4"/>
      <c r="C802" s="4"/>
      <c r="D802" s="4"/>
      <c r="E802" s="4"/>
      <c r="F802" s="4"/>
      <c r="G802" s="4"/>
      <c r="H802" s="4"/>
      <c r="I802" s="1124"/>
      <c r="J802" s="4"/>
      <c r="K802" s="4"/>
      <c r="L802" s="4"/>
      <c r="M802" s="4"/>
      <c r="N802" s="4"/>
      <c r="O802" s="4"/>
      <c r="P802" s="4"/>
      <c r="Q802" s="4"/>
      <c r="R802" s="1126"/>
      <c r="S802" s="711"/>
    </row>
    <row r="803" spans="1:19" ht="15.75" hidden="1" customHeight="1">
      <c r="A803" s="4"/>
      <c r="B803" s="4"/>
      <c r="C803" s="4"/>
      <c r="D803" s="4"/>
      <c r="E803" s="4"/>
      <c r="F803" s="4"/>
      <c r="G803" s="4"/>
      <c r="H803" s="4"/>
      <c r="I803" s="1124"/>
      <c r="J803" s="4"/>
      <c r="K803" s="4"/>
      <c r="L803" s="4"/>
      <c r="M803" s="4"/>
      <c r="N803" s="4"/>
      <c r="O803" s="4"/>
      <c r="P803" s="4"/>
      <c r="Q803" s="4"/>
      <c r="R803" s="1126"/>
      <c r="S803" s="711"/>
    </row>
    <row r="804" spans="1:19" ht="15.75" hidden="1" customHeight="1">
      <c r="A804" s="4"/>
      <c r="B804" s="4"/>
      <c r="C804" s="4"/>
      <c r="D804" s="4"/>
      <c r="E804" s="4"/>
      <c r="F804" s="4"/>
      <c r="G804" s="4"/>
      <c r="H804" s="4"/>
      <c r="I804" s="1124"/>
      <c r="J804" s="4"/>
      <c r="K804" s="4"/>
      <c r="L804" s="4"/>
      <c r="M804" s="4"/>
      <c r="N804" s="4"/>
      <c r="O804" s="4"/>
      <c r="P804" s="4"/>
      <c r="Q804" s="4"/>
      <c r="R804" s="1126"/>
      <c r="S804" s="711"/>
    </row>
    <row r="805" spans="1:19" ht="15.75" hidden="1" customHeight="1">
      <c r="A805" s="4"/>
      <c r="B805" s="4"/>
      <c r="C805" s="4"/>
      <c r="D805" s="4"/>
      <c r="E805" s="4"/>
      <c r="F805" s="4"/>
      <c r="G805" s="4"/>
      <c r="H805" s="4"/>
      <c r="I805" s="1124"/>
      <c r="J805" s="4"/>
      <c r="K805" s="4"/>
      <c r="L805" s="4"/>
      <c r="M805" s="4"/>
      <c r="N805" s="4"/>
      <c r="O805" s="4"/>
      <c r="P805" s="4"/>
      <c r="Q805" s="4"/>
      <c r="R805" s="1126"/>
      <c r="S805" s="711"/>
    </row>
    <row r="806" spans="1:19" ht="15.75" hidden="1" customHeight="1">
      <c r="A806" s="4"/>
      <c r="B806" s="4"/>
      <c r="C806" s="4"/>
      <c r="D806" s="4"/>
      <c r="E806" s="4"/>
      <c r="F806" s="4"/>
      <c r="G806" s="4"/>
      <c r="H806" s="4"/>
      <c r="I806" s="1124"/>
      <c r="J806" s="4"/>
      <c r="K806" s="4"/>
      <c r="L806" s="4"/>
      <c r="M806" s="4"/>
      <c r="N806" s="4"/>
      <c r="O806" s="4"/>
      <c r="P806" s="4"/>
      <c r="Q806" s="4"/>
      <c r="R806" s="1126"/>
      <c r="S806" s="711"/>
    </row>
    <row r="807" spans="1:19" ht="15.75" hidden="1" customHeight="1">
      <c r="A807" s="4"/>
      <c r="B807" s="4"/>
      <c r="C807" s="4"/>
      <c r="D807" s="4"/>
      <c r="E807" s="4"/>
      <c r="F807" s="4"/>
      <c r="G807" s="4"/>
      <c r="H807" s="4"/>
      <c r="I807" s="1124"/>
      <c r="J807" s="4"/>
      <c r="K807" s="4"/>
      <c r="L807" s="4"/>
      <c r="M807" s="4"/>
      <c r="N807" s="4"/>
      <c r="O807" s="4"/>
      <c r="P807" s="4"/>
      <c r="Q807" s="4"/>
      <c r="R807" s="1126"/>
      <c r="S807" s="711"/>
    </row>
    <row r="808" spans="1:19" ht="15.75" hidden="1" customHeight="1">
      <c r="A808" s="4"/>
      <c r="B808" s="4"/>
      <c r="C808" s="4"/>
      <c r="D808" s="4"/>
      <c r="E808" s="4"/>
      <c r="F808" s="4"/>
      <c r="G808" s="4"/>
      <c r="H808" s="4"/>
      <c r="I808" s="1124"/>
      <c r="J808" s="4"/>
      <c r="K808" s="4"/>
      <c r="L808" s="4"/>
      <c r="M808" s="4"/>
      <c r="N808" s="4"/>
      <c r="O808" s="4"/>
      <c r="P808" s="4"/>
      <c r="Q808" s="4"/>
      <c r="R808" s="1126"/>
      <c r="S808" s="711"/>
    </row>
    <row r="809" spans="1:19" ht="15.75" hidden="1" customHeight="1">
      <c r="A809" s="4"/>
      <c r="B809" s="4"/>
      <c r="C809" s="4"/>
      <c r="D809" s="4"/>
      <c r="E809" s="4"/>
      <c r="F809" s="4"/>
      <c r="G809" s="4"/>
      <c r="H809" s="4"/>
      <c r="I809" s="1124"/>
      <c r="J809" s="4"/>
      <c r="K809" s="4"/>
      <c r="L809" s="4"/>
      <c r="M809" s="4"/>
      <c r="N809" s="4"/>
      <c r="O809" s="4"/>
      <c r="P809" s="4"/>
      <c r="Q809" s="4"/>
      <c r="R809" s="1126"/>
      <c r="S809" s="711"/>
    </row>
    <row r="810" spans="1:19" ht="15.75" hidden="1" customHeight="1">
      <c r="A810" s="4"/>
      <c r="B810" s="4"/>
      <c r="C810" s="4"/>
      <c r="D810" s="4"/>
      <c r="E810" s="4"/>
      <c r="F810" s="4"/>
      <c r="G810" s="4"/>
      <c r="H810" s="4"/>
      <c r="I810" s="1124"/>
      <c r="J810" s="4"/>
      <c r="K810" s="4"/>
      <c r="L810" s="4"/>
      <c r="M810" s="4"/>
      <c r="N810" s="4"/>
      <c r="O810" s="4"/>
      <c r="P810" s="4"/>
      <c r="Q810" s="4"/>
      <c r="R810" s="1126"/>
      <c r="S810" s="711"/>
    </row>
    <row r="811" spans="1:19" ht="15.75" hidden="1" customHeight="1">
      <c r="A811" s="4"/>
      <c r="B811" s="4"/>
      <c r="C811" s="4"/>
      <c r="D811" s="4"/>
      <c r="E811" s="4"/>
      <c r="F811" s="4"/>
      <c r="G811" s="4"/>
      <c r="H811" s="4"/>
      <c r="I811" s="1124"/>
      <c r="J811" s="4"/>
      <c r="K811" s="4"/>
      <c r="L811" s="4"/>
      <c r="M811" s="4"/>
      <c r="N811" s="4"/>
      <c r="O811" s="4"/>
      <c r="P811" s="4"/>
      <c r="Q811" s="4"/>
      <c r="R811" s="1126"/>
      <c r="S811" s="711"/>
    </row>
    <row r="812" spans="1:19" ht="15.75" hidden="1" customHeight="1">
      <c r="A812" s="4"/>
      <c r="B812" s="4"/>
      <c r="C812" s="4"/>
      <c r="D812" s="4"/>
      <c r="E812" s="4"/>
      <c r="F812" s="4"/>
      <c r="G812" s="4"/>
      <c r="H812" s="4"/>
      <c r="I812" s="1124"/>
      <c r="J812" s="4"/>
      <c r="K812" s="4"/>
      <c r="L812" s="4"/>
      <c r="M812" s="4"/>
      <c r="N812" s="4"/>
      <c r="O812" s="4"/>
      <c r="P812" s="4"/>
      <c r="Q812" s="4"/>
      <c r="R812" s="1126"/>
      <c r="S812" s="711"/>
    </row>
    <row r="813" spans="1:19" ht="15.75" hidden="1" customHeight="1">
      <c r="A813" s="4"/>
      <c r="B813" s="4"/>
      <c r="C813" s="4"/>
      <c r="D813" s="4"/>
      <c r="E813" s="4"/>
      <c r="F813" s="4"/>
      <c r="G813" s="4"/>
      <c r="H813" s="4"/>
      <c r="I813" s="1124"/>
      <c r="J813" s="4"/>
      <c r="K813" s="4"/>
      <c r="L813" s="4"/>
      <c r="M813" s="4"/>
      <c r="N813" s="4"/>
      <c r="O813" s="4"/>
      <c r="P813" s="4"/>
      <c r="Q813" s="4"/>
      <c r="R813" s="1126"/>
      <c r="S813" s="711"/>
    </row>
    <row r="814" spans="1:19" ht="15.75" hidden="1" customHeight="1">
      <c r="A814" s="4"/>
      <c r="B814" s="4"/>
      <c r="C814" s="4"/>
      <c r="D814" s="4"/>
      <c r="E814" s="4"/>
      <c r="F814" s="4"/>
      <c r="G814" s="4"/>
      <c r="H814" s="4"/>
      <c r="I814" s="1124"/>
      <c r="J814" s="4"/>
      <c r="K814" s="4"/>
      <c r="L814" s="4"/>
      <c r="M814" s="4"/>
      <c r="N814" s="4"/>
      <c r="O814" s="4"/>
      <c r="P814" s="4"/>
      <c r="Q814" s="4"/>
      <c r="R814" s="1126"/>
      <c r="S814" s="711"/>
    </row>
    <row r="815" spans="1:19" ht="15.75" hidden="1" customHeight="1">
      <c r="A815" s="4"/>
      <c r="B815" s="4"/>
      <c r="C815" s="4"/>
      <c r="D815" s="4"/>
      <c r="E815" s="4"/>
      <c r="F815" s="4"/>
      <c r="G815" s="4"/>
      <c r="H815" s="4"/>
      <c r="I815" s="1124"/>
      <c r="J815" s="4"/>
      <c r="K815" s="4"/>
      <c r="L815" s="4"/>
      <c r="M815" s="4"/>
      <c r="N815" s="4"/>
      <c r="O815" s="4"/>
      <c r="P815" s="4"/>
      <c r="Q815" s="4"/>
      <c r="R815" s="1126"/>
      <c r="S815" s="711"/>
    </row>
    <row r="816" spans="1:19" ht="15.75" hidden="1" customHeight="1">
      <c r="A816" s="4"/>
      <c r="B816" s="4"/>
      <c r="C816" s="4"/>
      <c r="D816" s="4"/>
      <c r="E816" s="4"/>
      <c r="F816" s="4"/>
      <c r="G816" s="4"/>
      <c r="H816" s="4"/>
      <c r="I816" s="1124"/>
      <c r="J816" s="4"/>
      <c r="K816" s="4"/>
      <c r="L816" s="4"/>
      <c r="M816" s="4"/>
      <c r="N816" s="4"/>
      <c r="O816" s="4"/>
      <c r="P816" s="4"/>
      <c r="Q816" s="4"/>
      <c r="R816" s="1126"/>
      <c r="S816" s="711"/>
    </row>
    <row r="817" spans="1:19" ht="15.75" hidden="1" customHeight="1">
      <c r="A817" s="4"/>
      <c r="B817" s="4"/>
      <c r="C817" s="4"/>
      <c r="D817" s="4"/>
      <c r="E817" s="4"/>
      <c r="F817" s="4"/>
      <c r="G817" s="4"/>
      <c r="H817" s="4"/>
      <c r="I817" s="1124"/>
      <c r="J817" s="4"/>
      <c r="K817" s="4"/>
      <c r="L817" s="4"/>
      <c r="M817" s="4"/>
      <c r="N817" s="4"/>
      <c r="O817" s="4"/>
      <c r="P817" s="4"/>
      <c r="Q817" s="4"/>
      <c r="R817" s="1126"/>
      <c r="S817" s="711"/>
    </row>
    <row r="818" spans="1:19" ht="15.75" hidden="1" customHeight="1">
      <c r="A818" s="4"/>
      <c r="B818" s="4"/>
      <c r="C818" s="4"/>
      <c r="D818" s="4"/>
      <c r="E818" s="4"/>
      <c r="F818" s="4"/>
      <c r="G818" s="4"/>
      <c r="H818" s="4"/>
      <c r="I818" s="1124"/>
      <c r="J818" s="4"/>
      <c r="K818" s="4"/>
      <c r="L818" s="4"/>
      <c r="M818" s="4"/>
      <c r="N818" s="4"/>
      <c r="O818" s="4"/>
      <c r="P818" s="4"/>
      <c r="Q818" s="4"/>
      <c r="R818" s="1126"/>
      <c r="S818" s="711"/>
    </row>
    <row r="819" spans="1:19" ht="15.75" hidden="1" customHeight="1">
      <c r="A819" s="4"/>
      <c r="B819" s="4"/>
      <c r="C819" s="4"/>
      <c r="D819" s="4"/>
      <c r="E819" s="4"/>
      <c r="F819" s="4"/>
      <c r="G819" s="4"/>
      <c r="H819" s="4"/>
      <c r="I819" s="1124"/>
      <c r="J819" s="4"/>
      <c r="K819" s="4"/>
      <c r="L819" s="4"/>
      <c r="M819" s="4"/>
      <c r="N819" s="4"/>
      <c r="O819" s="4"/>
      <c r="P819" s="4"/>
      <c r="Q819" s="4"/>
      <c r="R819" s="1126"/>
      <c r="S819" s="711"/>
    </row>
    <row r="820" spans="1:19" ht="15.75" hidden="1" customHeight="1">
      <c r="A820" s="4"/>
      <c r="B820" s="4"/>
      <c r="C820" s="4"/>
      <c r="D820" s="4"/>
      <c r="E820" s="4"/>
      <c r="F820" s="4"/>
      <c r="G820" s="4"/>
      <c r="H820" s="4"/>
      <c r="I820" s="1124"/>
      <c r="J820" s="4"/>
      <c r="K820" s="4"/>
      <c r="L820" s="4"/>
      <c r="M820" s="4"/>
      <c r="N820" s="4"/>
      <c r="O820" s="4"/>
      <c r="P820" s="4"/>
      <c r="Q820" s="4"/>
      <c r="R820" s="1126"/>
      <c r="S820" s="711"/>
    </row>
    <row r="821" spans="1:19" ht="15.75" hidden="1" customHeight="1">
      <c r="A821" s="4"/>
      <c r="B821" s="4"/>
      <c r="C821" s="4"/>
      <c r="D821" s="4"/>
      <c r="E821" s="4"/>
      <c r="F821" s="4"/>
      <c r="G821" s="4"/>
      <c r="H821" s="4"/>
      <c r="I821" s="1124"/>
      <c r="J821" s="4"/>
      <c r="K821" s="4"/>
      <c r="L821" s="4"/>
      <c r="M821" s="4"/>
      <c r="N821" s="4"/>
      <c r="O821" s="4"/>
      <c r="P821" s="4"/>
      <c r="Q821" s="4"/>
      <c r="R821" s="1126"/>
      <c r="S821" s="711"/>
    </row>
    <row r="822" spans="1:19" ht="15.75" hidden="1" customHeight="1">
      <c r="A822" s="4"/>
      <c r="B822" s="4"/>
      <c r="C822" s="4"/>
      <c r="D822" s="4"/>
      <c r="E822" s="4"/>
      <c r="F822" s="4"/>
      <c r="G822" s="4"/>
      <c r="H822" s="4"/>
      <c r="I822" s="1124"/>
      <c r="J822" s="4"/>
      <c r="K822" s="4"/>
      <c r="L822" s="4"/>
      <c r="M822" s="4"/>
      <c r="N822" s="4"/>
      <c r="O822" s="4"/>
      <c r="P822" s="4"/>
      <c r="Q822" s="4"/>
      <c r="R822" s="1126"/>
      <c r="S822" s="711"/>
    </row>
    <row r="823" spans="1:19" ht="15.75" hidden="1" customHeight="1">
      <c r="A823" s="4"/>
      <c r="B823" s="4"/>
      <c r="C823" s="4"/>
      <c r="D823" s="4"/>
      <c r="E823" s="4"/>
      <c r="F823" s="4"/>
      <c r="G823" s="4"/>
      <c r="H823" s="4"/>
      <c r="I823" s="1124"/>
      <c r="J823" s="4"/>
      <c r="K823" s="4"/>
      <c r="L823" s="4"/>
      <c r="M823" s="4"/>
      <c r="N823" s="4"/>
      <c r="O823" s="4"/>
      <c r="P823" s="4"/>
      <c r="Q823" s="4"/>
      <c r="R823" s="1126"/>
      <c r="S823" s="711"/>
    </row>
    <row r="824" spans="1:19" ht="15.75" hidden="1" customHeight="1">
      <c r="A824" s="4"/>
      <c r="B824" s="4"/>
      <c r="C824" s="4"/>
      <c r="D824" s="4"/>
      <c r="E824" s="4"/>
      <c r="F824" s="4"/>
      <c r="G824" s="4"/>
      <c r="H824" s="4"/>
      <c r="I824" s="1124"/>
      <c r="J824" s="4"/>
      <c r="K824" s="4"/>
      <c r="L824" s="4"/>
      <c r="M824" s="4"/>
      <c r="N824" s="4"/>
      <c r="O824" s="4"/>
      <c r="P824" s="4"/>
      <c r="Q824" s="4"/>
      <c r="R824" s="1126"/>
      <c r="S824" s="711"/>
    </row>
    <row r="825" spans="1:19" ht="15.75" hidden="1" customHeight="1">
      <c r="A825" s="4"/>
      <c r="B825" s="4"/>
      <c r="C825" s="4"/>
      <c r="D825" s="4"/>
      <c r="E825" s="4"/>
      <c r="F825" s="4"/>
      <c r="G825" s="4"/>
      <c r="H825" s="4"/>
      <c r="I825" s="1124"/>
      <c r="J825" s="4"/>
      <c r="K825" s="4"/>
      <c r="L825" s="4"/>
      <c r="M825" s="4"/>
      <c r="N825" s="4"/>
      <c r="O825" s="4"/>
      <c r="P825" s="4"/>
      <c r="Q825" s="4"/>
      <c r="R825" s="1126"/>
      <c r="S825" s="711"/>
    </row>
    <row r="826" spans="1:19" ht="15.75" hidden="1" customHeight="1">
      <c r="A826" s="4"/>
      <c r="B826" s="4"/>
      <c r="C826" s="4"/>
      <c r="D826" s="4"/>
      <c r="E826" s="4"/>
      <c r="F826" s="4"/>
      <c r="G826" s="4"/>
      <c r="H826" s="4"/>
      <c r="I826" s="1124"/>
      <c r="J826" s="4"/>
      <c r="K826" s="4"/>
      <c r="L826" s="4"/>
      <c r="M826" s="4"/>
      <c r="N826" s="4"/>
      <c r="O826" s="4"/>
      <c r="P826" s="4"/>
      <c r="Q826" s="4"/>
      <c r="R826" s="1126"/>
      <c r="S826" s="711"/>
    </row>
    <row r="827" spans="1:19" ht="15.75" hidden="1" customHeight="1">
      <c r="A827" s="4"/>
      <c r="B827" s="4"/>
      <c r="C827" s="4"/>
      <c r="D827" s="4"/>
      <c r="E827" s="4"/>
      <c r="F827" s="4"/>
      <c r="G827" s="4"/>
      <c r="H827" s="4"/>
      <c r="I827" s="1124"/>
      <c r="J827" s="4"/>
      <c r="K827" s="4"/>
      <c r="L827" s="4"/>
      <c r="M827" s="4"/>
      <c r="N827" s="4"/>
      <c r="O827" s="4"/>
      <c r="P827" s="4"/>
      <c r="Q827" s="4"/>
      <c r="R827" s="1126"/>
      <c r="S827" s="711"/>
    </row>
    <row r="828" spans="1:19" ht="15.75" hidden="1" customHeight="1">
      <c r="A828" s="4"/>
      <c r="B828" s="4"/>
      <c r="C828" s="4"/>
      <c r="D828" s="4"/>
      <c r="E828" s="4"/>
      <c r="F828" s="4"/>
      <c r="G828" s="4"/>
      <c r="H828" s="4"/>
      <c r="I828" s="1124"/>
      <c r="J828" s="4"/>
      <c r="K828" s="4"/>
      <c r="L828" s="4"/>
      <c r="M828" s="4"/>
      <c r="N828" s="4"/>
      <c r="O828" s="4"/>
      <c r="P828" s="4"/>
      <c r="Q828" s="4"/>
      <c r="R828" s="1126"/>
      <c r="S828" s="711"/>
    </row>
    <row r="829" spans="1:19" ht="15.75" hidden="1" customHeight="1">
      <c r="A829" s="4"/>
      <c r="B829" s="4"/>
      <c r="C829" s="4"/>
      <c r="D829" s="4"/>
      <c r="E829" s="4"/>
      <c r="F829" s="4"/>
      <c r="G829" s="4"/>
      <c r="H829" s="4"/>
      <c r="I829" s="1124"/>
      <c r="J829" s="4"/>
      <c r="K829" s="4"/>
      <c r="L829" s="4"/>
      <c r="M829" s="4"/>
      <c r="N829" s="4"/>
      <c r="O829" s="4"/>
      <c r="P829" s="4"/>
      <c r="Q829" s="4"/>
      <c r="R829" s="1126"/>
      <c r="S829" s="711"/>
    </row>
    <row r="830" spans="1:19" ht="15.75" hidden="1" customHeight="1">
      <c r="A830" s="4"/>
      <c r="B830" s="4"/>
      <c r="C830" s="4"/>
      <c r="D830" s="4"/>
      <c r="E830" s="4"/>
      <c r="F830" s="4"/>
      <c r="G830" s="4"/>
      <c r="H830" s="4"/>
      <c r="I830" s="1124"/>
      <c r="J830" s="4"/>
      <c r="K830" s="4"/>
      <c r="L830" s="4"/>
      <c r="M830" s="4"/>
      <c r="N830" s="4"/>
      <c r="O830" s="4"/>
      <c r="P830" s="4"/>
      <c r="Q830" s="4"/>
      <c r="R830" s="1126"/>
      <c r="S830" s="711"/>
    </row>
    <row r="831" spans="1:19" ht="15.75" hidden="1" customHeight="1">
      <c r="A831" s="4"/>
      <c r="B831" s="4"/>
      <c r="C831" s="4"/>
      <c r="D831" s="4"/>
      <c r="E831" s="4"/>
      <c r="F831" s="4"/>
      <c r="G831" s="4"/>
      <c r="H831" s="4"/>
      <c r="I831" s="1124"/>
      <c r="J831" s="4"/>
      <c r="K831" s="4"/>
      <c r="L831" s="4"/>
      <c r="M831" s="4"/>
      <c r="N831" s="4"/>
      <c r="O831" s="4"/>
      <c r="P831" s="4"/>
      <c r="Q831" s="4"/>
      <c r="R831" s="1126"/>
      <c r="S831" s="711"/>
    </row>
    <row r="832" spans="1:19" ht="15.75" hidden="1" customHeight="1">
      <c r="A832" s="4"/>
      <c r="B832" s="4"/>
      <c r="C832" s="4"/>
      <c r="D832" s="4"/>
      <c r="E832" s="4"/>
      <c r="F832" s="4"/>
      <c r="G832" s="4"/>
      <c r="H832" s="4"/>
      <c r="I832" s="1124"/>
      <c r="J832" s="4"/>
      <c r="K832" s="4"/>
      <c r="L832" s="4"/>
      <c r="M832" s="4"/>
      <c r="N832" s="4"/>
      <c r="O832" s="4"/>
      <c r="P832" s="4"/>
      <c r="Q832" s="4"/>
      <c r="R832" s="1126"/>
      <c r="S832" s="711"/>
    </row>
    <row r="833" spans="1:19" ht="15.75" hidden="1" customHeight="1">
      <c r="A833" s="4"/>
      <c r="B833" s="4"/>
      <c r="C833" s="4"/>
      <c r="D833" s="4"/>
      <c r="E833" s="4"/>
      <c r="F833" s="4"/>
      <c r="G833" s="4"/>
      <c r="H833" s="4"/>
      <c r="I833" s="1124"/>
      <c r="J833" s="4"/>
      <c r="K833" s="4"/>
      <c r="L833" s="4"/>
      <c r="M833" s="4"/>
      <c r="N833" s="4"/>
      <c r="O833" s="4"/>
      <c r="P833" s="4"/>
      <c r="Q833" s="4"/>
      <c r="R833" s="1126"/>
      <c r="S833" s="711"/>
    </row>
    <row r="834" spans="1:19" ht="15.75" hidden="1" customHeight="1">
      <c r="A834" s="4"/>
      <c r="B834" s="4"/>
      <c r="C834" s="4"/>
      <c r="D834" s="4"/>
      <c r="E834" s="4"/>
      <c r="F834" s="4"/>
      <c r="G834" s="4"/>
      <c r="H834" s="4"/>
      <c r="I834" s="1124"/>
      <c r="J834" s="4"/>
      <c r="K834" s="4"/>
      <c r="L834" s="4"/>
      <c r="M834" s="4"/>
      <c r="N834" s="4"/>
      <c r="O834" s="4"/>
      <c r="P834" s="4"/>
      <c r="Q834" s="4"/>
      <c r="R834" s="1126"/>
      <c r="S834" s="711"/>
    </row>
    <row r="835" spans="1:19" ht="15.75" hidden="1" customHeight="1">
      <c r="A835" s="4"/>
      <c r="B835" s="4"/>
      <c r="C835" s="4"/>
      <c r="D835" s="4"/>
      <c r="E835" s="4"/>
      <c r="F835" s="4"/>
      <c r="G835" s="4"/>
      <c r="H835" s="4"/>
      <c r="I835" s="1124"/>
      <c r="J835" s="4"/>
      <c r="K835" s="4"/>
      <c r="L835" s="4"/>
      <c r="M835" s="4"/>
      <c r="N835" s="4"/>
      <c r="O835" s="4"/>
      <c r="P835" s="4"/>
      <c r="Q835" s="4"/>
      <c r="R835" s="1126"/>
      <c r="S835" s="711"/>
    </row>
    <row r="836" spans="1:19" ht="15.75" hidden="1" customHeight="1">
      <c r="A836" s="4"/>
      <c r="B836" s="4"/>
      <c r="C836" s="4"/>
      <c r="D836" s="4"/>
      <c r="E836" s="4"/>
      <c r="F836" s="4"/>
      <c r="G836" s="4"/>
      <c r="H836" s="4"/>
      <c r="I836" s="1124"/>
      <c r="J836" s="4"/>
      <c r="K836" s="4"/>
      <c r="L836" s="4"/>
      <c r="M836" s="4"/>
      <c r="N836" s="4"/>
      <c r="O836" s="4"/>
      <c r="P836" s="4"/>
      <c r="Q836" s="4"/>
      <c r="R836" s="1126"/>
      <c r="S836" s="711"/>
    </row>
    <row r="837" spans="1:19" ht="15.75" hidden="1" customHeight="1">
      <c r="A837" s="4"/>
      <c r="B837" s="4"/>
      <c r="C837" s="4"/>
      <c r="D837" s="4"/>
      <c r="E837" s="4"/>
      <c r="F837" s="4"/>
      <c r="G837" s="4"/>
      <c r="H837" s="4"/>
      <c r="I837" s="1124"/>
      <c r="J837" s="4"/>
      <c r="K837" s="4"/>
      <c r="L837" s="4"/>
      <c r="M837" s="4"/>
      <c r="N837" s="4"/>
      <c r="O837" s="4"/>
      <c r="P837" s="4"/>
      <c r="Q837" s="4"/>
      <c r="R837" s="1126"/>
      <c r="S837" s="711"/>
    </row>
    <row r="838" spans="1:19" ht="15.75" hidden="1" customHeight="1">
      <c r="A838" s="4"/>
      <c r="B838" s="4"/>
      <c r="C838" s="4"/>
      <c r="D838" s="4"/>
      <c r="E838" s="4"/>
      <c r="F838" s="4"/>
      <c r="G838" s="4"/>
      <c r="H838" s="4"/>
      <c r="I838" s="1124"/>
      <c r="J838" s="4"/>
      <c r="K838" s="4"/>
      <c r="L838" s="4"/>
      <c r="M838" s="4"/>
      <c r="N838" s="4"/>
      <c r="O838" s="4"/>
      <c r="P838" s="4"/>
      <c r="Q838" s="4"/>
      <c r="R838" s="1126"/>
      <c r="S838" s="711"/>
    </row>
    <row r="839" spans="1:19" ht="15.75" hidden="1" customHeight="1">
      <c r="A839" s="4"/>
      <c r="B839" s="4"/>
      <c r="C839" s="4"/>
      <c r="D839" s="4"/>
      <c r="E839" s="4"/>
      <c r="F839" s="4"/>
      <c r="G839" s="4"/>
      <c r="H839" s="4"/>
      <c r="I839" s="1124"/>
      <c r="J839" s="4"/>
      <c r="K839" s="4"/>
      <c r="L839" s="4"/>
      <c r="M839" s="4"/>
      <c r="N839" s="4"/>
      <c r="O839" s="4"/>
      <c r="P839" s="4"/>
      <c r="Q839" s="4"/>
      <c r="R839" s="1126"/>
      <c r="S839" s="711"/>
    </row>
    <row r="840" spans="1:19" ht="15.75" hidden="1" customHeight="1">
      <c r="A840" s="4"/>
      <c r="B840" s="4"/>
      <c r="C840" s="4"/>
      <c r="D840" s="4"/>
      <c r="E840" s="4"/>
      <c r="F840" s="4"/>
      <c r="G840" s="4"/>
      <c r="H840" s="4"/>
      <c r="I840" s="1124"/>
      <c r="J840" s="4"/>
      <c r="K840" s="4"/>
      <c r="L840" s="4"/>
      <c r="M840" s="4"/>
      <c r="N840" s="4"/>
      <c r="O840" s="4"/>
      <c r="P840" s="4"/>
      <c r="Q840" s="4"/>
      <c r="R840" s="1126"/>
      <c r="S840" s="711"/>
    </row>
    <row r="841" spans="1:19" ht="15.75" hidden="1" customHeight="1">
      <c r="A841" s="4"/>
      <c r="B841" s="4"/>
      <c r="C841" s="4"/>
      <c r="D841" s="4"/>
      <c r="E841" s="4"/>
      <c r="F841" s="4"/>
      <c r="G841" s="4"/>
      <c r="H841" s="4"/>
      <c r="I841" s="1124"/>
      <c r="J841" s="4"/>
      <c r="K841" s="4"/>
      <c r="L841" s="4"/>
      <c r="M841" s="4"/>
      <c r="N841" s="4"/>
      <c r="O841" s="4"/>
      <c r="P841" s="4"/>
      <c r="Q841" s="4"/>
      <c r="R841" s="1126"/>
      <c r="S841" s="711"/>
    </row>
    <row r="842" spans="1:19" ht="15.75" hidden="1" customHeight="1">
      <c r="A842" s="4"/>
      <c r="B842" s="4"/>
      <c r="C842" s="4"/>
      <c r="D842" s="4"/>
      <c r="E842" s="4"/>
      <c r="F842" s="4"/>
      <c r="G842" s="4"/>
      <c r="H842" s="4"/>
      <c r="I842" s="1124"/>
      <c r="J842" s="4"/>
      <c r="K842" s="4"/>
      <c r="L842" s="4"/>
      <c r="M842" s="4"/>
      <c r="N842" s="4"/>
      <c r="O842" s="4"/>
      <c r="P842" s="4"/>
      <c r="Q842" s="4"/>
      <c r="R842" s="1126"/>
      <c r="S842" s="711"/>
    </row>
    <row r="843" spans="1:19" ht="15.75" hidden="1" customHeight="1">
      <c r="A843" s="4"/>
      <c r="B843" s="4"/>
      <c r="C843" s="4"/>
      <c r="D843" s="4"/>
      <c r="E843" s="4"/>
      <c r="F843" s="4"/>
      <c r="G843" s="4"/>
      <c r="H843" s="4"/>
      <c r="I843" s="1124"/>
      <c r="J843" s="4"/>
      <c r="K843" s="4"/>
      <c r="L843" s="4"/>
      <c r="M843" s="4"/>
      <c r="N843" s="4"/>
      <c r="O843" s="4"/>
      <c r="P843" s="4"/>
      <c r="Q843" s="4"/>
      <c r="R843" s="1126"/>
      <c r="S843" s="711"/>
    </row>
    <row r="844" spans="1:19" ht="15.75" hidden="1" customHeight="1">
      <c r="A844" s="4"/>
      <c r="B844" s="4"/>
      <c r="C844" s="4"/>
      <c r="D844" s="4"/>
      <c r="E844" s="4"/>
      <c r="F844" s="4"/>
      <c r="G844" s="4"/>
      <c r="H844" s="4"/>
      <c r="I844" s="1124"/>
      <c r="J844" s="4"/>
      <c r="K844" s="4"/>
      <c r="L844" s="4"/>
      <c r="M844" s="4"/>
      <c r="N844" s="4"/>
      <c r="O844" s="4"/>
      <c r="P844" s="4"/>
      <c r="Q844" s="4"/>
      <c r="R844" s="1126"/>
      <c r="S844" s="711"/>
    </row>
    <row r="845" spans="1:19" ht="15.75" hidden="1" customHeight="1">
      <c r="A845" s="4"/>
      <c r="B845" s="4"/>
      <c r="C845" s="4"/>
      <c r="D845" s="4"/>
      <c r="E845" s="4"/>
      <c r="F845" s="4"/>
      <c r="G845" s="4"/>
      <c r="H845" s="4"/>
      <c r="I845" s="1124"/>
      <c r="J845" s="4"/>
      <c r="K845" s="4"/>
      <c r="L845" s="4"/>
      <c r="M845" s="4"/>
      <c r="N845" s="4"/>
      <c r="O845" s="4"/>
      <c r="P845" s="4"/>
      <c r="Q845" s="4"/>
      <c r="R845" s="1126"/>
      <c r="S845" s="711"/>
    </row>
    <row r="846" spans="1:19" ht="15.75" hidden="1" customHeight="1">
      <c r="A846" s="4"/>
      <c r="B846" s="4"/>
      <c r="C846" s="4"/>
      <c r="D846" s="4"/>
      <c r="E846" s="4"/>
      <c r="F846" s="4"/>
      <c r="G846" s="4"/>
      <c r="H846" s="4"/>
      <c r="I846" s="1124"/>
      <c r="J846" s="4"/>
      <c r="K846" s="4"/>
      <c r="L846" s="4"/>
      <c r="M846" s="4"/>
      <c r="N846" s="4"/>
      <c r="O846" s="4"/>
      <c r="P846" s="4"/>
      <c r="Q846" s="4"/>
      <c r="R846" s="1126"/>
      <c r="S846" s="711"/>
    </row>
    <row r="847" spans="1:19" ht="15.75" hidden="1" customHeight="1">
      <c r="A847" s="4"/>
      <c r="B847" s="4"/>
      <c r="C847" s="4"/>
      <c r="D847" s="4"/>
      <c r="E847" s="4"/>
      <c r="F847" s="4"/>
      <c r="G847" s="4"/>
      <c r="H847" s="4"/>
      <c r="I847" s="1124"/>
      <c r="J847" s="4"/>
      <c r="K847" s="4"/>
      <c r="L847" s="4"/>
      <c r="M847" s="4"/>
      <c r="N847" s="4"/>
      <c r="O847" s="4"/>
      <c r="P847" s="4"/>
      <c r="Q847" s="4"/>
      <c r="R847" s="1126"/>
      <c r="S847" s="711"/>
    </row>
    <row r="848" spans="1:19" ht="15.75" hidden="1" customHeight="1">
      <c r="A848" s="4"/>
      <c r="B848" s="4"/>
      <c r="C848" s="4"/>
      <c r="D848" s="4"/>
      <c r="E848" s="4"/>
      <c r="F848" s="4"/>
      <c r="G848" s="4"/>
      <c r="H848" s="4"/>
      <c r="I848" s="1124"/>
      <c r="J848" s="4"/>
      <c r="K848" s="4"/>
      <c r="L848" s="4"/>
      <c r="M848" s="4"/>
      <c r="N848" s="4"/>
      <c r="O848" s="4"/>
      <c r="P848" s="4"/>
      <c r="Q848" s="4"/>
      <c r="R848" s="1126"/>
      <c r="S848" s="711"/>
    </row>
    <row r="849" spans="1:19" ht="15.75" hidden="1" customHeight="1">
      <c r="A849" s="4"/>
      <c r="B849" s="4"/>
      <c r="C849" s="4"/>
      <c r="D849" s="4"/>
      <c r="E849" s="4"/>
      <c r="F849" s="4"/>
      <c r="G849" s="4"/>
      <c r="H849" s="4"/>
      <c r="I849" s="1124"/>
      <c r="J849" s="4"/>
      <c r="K849" s="4"/>
      <c r="L849" s="4"/>
      <c r="M849" s="4"/>
      <c r="N849" s="4"/>
      <c r="O849" s="4"/>
      <c r="P849" s="4"/>
      <c r="Q849" s="4"/>
      <c r="R849" s="1126"/>
      <c r="S849" s="711"/>
    </row>
    <row r="850" spans="1:19" ht="15.75" hidden="1" customHeight="1">
      <c r="A850" s="4"/>
      <c r="B850" s="4"/>
      <c r="C850" s="4"/>
      <c r="D850" s="4"/>
      <c r="E850" s="4"/>
      <c r="F850" s="4"/>
      <c r="G850" s="4"/>
      <c r="H850" s="4"/>
      <c r="I850" s="1124"/>
      <c r="J850" s="4"/>
      <c r="K850" s="4"/>
      <c r="L850" s="4"/>
      <c r="M850" s="4"/>
      <c r="N850" s="4"/>
      <c r="O850" s="4"/>
      <c r="P850" s="4"/>
      <c r="Q850" s="4"/>
      <c r="R850" s="1126"/>
      <c r="S850" s="711"/>
    </row>
    <row r="851" spans="1:19" ht="15.75" hidden="1" customHeight="1">
      <c r="A851" s="4"/>
      <c r="B851" s="4"/>
      <c r="C851" s="4"/>
      <c r="D851" s="4"/>
      <c r="E851" s="4"/>
      <c r="F851" s="4"/>
      <c r="G851" s="4"/>
      <c r="H851" s="4"/>
      <c r="I851" s="1124"/>
      <c r="J851" s="4"/>
      <c r="K851" s="4"/>
      <c r="L851" s="4"/>
      <c r="M851" s="4"/>
      <c r="N851" s="4"/>
      <c r="O851" s="4"/>
      <c r="P851" s="4"/>
      <c r="Q851" s="4"/>
      <c r="R851" s="1126"/>
      <c r="S851" s="711"/>
    </row>
    <row r="852" spans="1:19" ht="15.75" hidden="1" customHeight="1">
      <c r="A852" s="4"/>
      <c r="B852" s="4"/>
      <c r="C852" s="4"/>
      <c r="D852" s="4"/>
      <c r="E852" s="4"/>
      <c r="F852" s="4"/>
      <c r="G852" s="4"/>
      <c r="H852" s="4"/>
      <c r="I852" s="1124"/>
      <c r="J852" s="4"/>
      <c r="K852" s="4"/>
      <c r="L852" s="4"/>
      <c r="M852" s="4"/>
      <c r="N852" s="4"/>
      <c r="O852" s="4"/>
      <c r="P852" s="4"/>
      <c r="Q852" s="4"/>
      <c r="R852" s="1126"/>
      <c r="S852" s="711"/>
    </row>
    <row r="853" spans="1:19" ht="15.75" hidden="1" customHeight="1">
      <c r="A853" s="4"/>
      <c r="B853" s="4"/>
      <c r="C853" s="4"/>
      <c r="D853" s="4"/>
      <c r="E853" s="4"/>
      <c r="F853" s="4"/>
      <c r="G853" s="4"/>
      <c r="H853" s="4"/>
      <c r="I853" s="1124"/>
      <c r="J853" s="4"/>
      <c r="K853" s="4"/>
      <c r="L853" s="4"/>
      <c r="M853" s="4"/>
      <c r="N853" s="4"/>
      <c r="O853" s="4"/>
      <c r="P853" s="4"/>
      <c r="Q853" s="4"/>
      <c r="R853" s="1126"/>
      <c r="S853" s="711"/>
    </row>
    <row r="854" spans="1:19" ht="15.75" hidden="1" customHeight="1">
      <c r="A854" s="4"/>
      <c r="B854" s="4"/>
      <c r="C854" s="4"/>
      <c r="D854" s="4"/>
      <c r="E854" s="4"/>
      <c r="F854" s="4"/>
      <c r="G854" s="4"/>
      <c r="H854" s="4"/>
      <c r="I854" s="1124"/>
      <c r="J854" s="4"/>
      <c r="K854" s="4"/>
      <c r="L854" s="4"/>
      <c r="M854" s="4"/>
      <c r="N854" s="4"/>
      <c r="O854" s="4"/>
      <c r="P854" s="4"/>
      <c r="Q854" s="4"/>
      <c r="R854" s="1126"/>
      <c r="S854" s="711"/>
    </row>
    <row r="855" spans="1:19" ht="15.75" hidden="1" customHeight="1">
      <c r="A855" s="4"/>
      <c r="B855" s="4"/>
      <c r="C855" s="4"/>
      <c r="D855" s="4"/>
      <c r="E855" s="4"/>
      <c r="F855" s="4"/>
      <c r="G855" s="4"/>
      <c r="H855" s="4"/>
      <c r="I855" s="1124"/>
      <c r="J855" s="4"/>
      <c r="K855" s="4"/>
      <c r="L855" s="4"/>
      <c r="M855" s="4"/>
      <c r="N855" s="4"/>
      <c r="O855" s="4"/>
      <c r="P855" s="4"/>
      <c r="Q855" s="4"/>
      <c r="R855" s="1126"/>
      <c r="S855" s="711"/>
    </row>
    <row r="856" spans="1:19" ht="15.75" hidden="1" customHeight="1">
      <c r="A856" s="4"/>
      <c r="B856" s="4"/>
      <c r="C856" s="4"/>
      <c r="D856" s="4"/>
      <c r="E856" s="4"/>
      <c r="F856" s="4"/>
      <c r="G856" s="4"/>
      <c r="H856" s="4"/>
      <c r="I856" s="1124"/>
      <c r="J856" s="4"/>
      <c r="K856" s="4"/>
      <c r="L856" s="4"/>
      <c r="M856" s="4"/>
      <c r="N856" s="4"/>
      <c r="O856" s="4"/>
      <c r="P856" s="4"/>
      <c r="Q856" s="4"/>
      <c r="R856" s="1126"/>
      <c r="S856" s="711"/>
    </row>
    <row r="857" spans="1:19" ht="15.75" hidden="1" customHeight="1">
      <c r="A857" s="4"/>
      <c r="B857" s="4"/>
      <c r="C857" s="4"/>
      <c r="D857" s="4"/>
      <c r="E857" s="4"/>
      <c r="F857" s="4"/>
      <c r="G857" s="4"/>
      <c r="H857" s="4"/>
      <c r="I857" s="1124"/>
      <c r="J857" s="4"/>
      <c r="K857" s="4"/>
      <c r="L857" s="4"/>
      <c r="M857" s="4"/>
      <c r="N857" s="4"/>
      <c r="O857" s="4"/>
      <c r="P857" s="4"/>
      <c r="Q857" s="4"/>
      <c r="R857" s="1126"/>
      <c r="S857" s="711"/>
    </row>
    <row r="858" spans="1:19" ht="15.75" hidden="1" customHeight="1">
      <c r="A858" s="4"/>
      <c r="B858" s="4"/>
      <c r="C858" s="4"/>
      <c r="D858" s="4"/>
      <c r="E858" s="4"/>
      <c r="F858" s="4"/>
      <c r="G858" s="4"/>
      <c r="H858" s="4"/>
      <c r="I858" s="1124"/>
      <c r="J858" s="4"/>
      <c r="K858" s="4"/>
      <c r="L858" s="4"/>
      <c r="M858" s="4"/>
      <c r="N858" s="4"/>
      <c r="O858" s="4"/>
      <c r="P858" s="4"/>
      <c r="Q858" s="4"/>
      <c r="R858" s="1126"/>
      <c r="S858" s="711"/>
    </row>
    <row r="859" spans="1:19" ht="15.75" hidden="1" customHeight="1">
      <c r="A859" s="4"/>
      <c r="B859" s="4"/>
      <c r="C859" s="4"/>
      <c r="D859" s="4"/>
      <c r="E859" s="4"/>
      <c r="F859" s="4"/>
      <c r="G859" s="4"/>
      <c r="H859" s="4"/>
      <c r="I859" s="1124"/>
      <c r="J859" s="4"/>
      <c r="K859" s="4"/>
      <c r="L859" s="4"/>
      <c r="M859" s="4"/>
      <c r="N859" s="4"/>
      <c r="O859" s="4"/>
      <c r="P859" s="4"/>
      <c r="Q859" s="4"/>
      <c r="R859" s="1126"/>
      <c r="S859" s="711"/>
    </row>
    <row r="860" spans="1:19" ht="15.75" hidden="1" customHeight="1">
      <c r="A860" s="4"/>
      <c r="B860" s="4"/>
      <c r="C860" s="4"/>
      <c r="D860" s="4"/>
      <c r="E860" s="4"/>
      <c r="F860" s="4"/>
      <c r="G860" s="4"/>
      <c r="H860" s="4"/>
      <c r="I860" s="1124"/>
      <c r="J860" s="4"/>
      <c r="K860" s="4"/>
      <c r="L860" s="4"/>
      <c r="M860" s="4"/>
      <c r="N860" s="4"/>
      <c r="O860" s="4"/>
      <c r="P860" s="4"/>
      <c r="Q860" s="4"/>
      <c r="R860" s="1126"/>
      <c r="S860" s="711"/>
    </row>
    <row r="861" spans="1:19" ht="15.75" hidden="1" customHeight="1">
      <c r="A861" s="4"/>
      <c r="B861" s="4"/>
      <c r="C861" s="4"/>
      <c r="D861" s="4"/>
      <c r="E861" s="4"/>
      <c r="F861" s="4"/>
      <c r="G861" s="4"/>
      <c r="H861" s="4"/>
      <c r="I861" s="1124"/>
      <c r="J861" s="4"/>
      <c r="K861" s="4"/>
      <c r="L861" s="4"/>
      <c r="M861" s="4"/>
      <c r="N861" s="4"/>
      <c r="O861" s="4"/>
      <c r="P861" s="4"/>
      <c r="Q861" s="4"/>
      <c r="R861" s="1126"/>
      <c r="S861" s="711"/>
    </row>
    <row r="862" spans="1:19" ht="15.75" hidden="1" customHeight="1">
      <c r="A862" s="4"/>
      <c r="B862" s="4"/>
      <c r="C862" s="4"/>
      <c r="D862" s="4"/>
      <c r="E862" s="4"/>
      <c r="F862" s="4"/>
      <c r="G862" s="4"/>
      <c r="H862" s="4"/>
      <c r="I862" s="1124"/>
      <c r="J862" s="4"/>
      <c r="K862" s="4"/>
      <c r="L862" s="4"/>
      <c r="M862" s="4"/>
      <c r="N862" s="4"/>
      <c r="O862" s="4"/>
      <c r="P862" s="4"/>
      <c r="Q862" s="4"/>
      <c r="R862" s="1126"/>
      <c r="S862" s="711"/>
    </row>
    <row r="863" spans="1:19" ht="15.75" hidden="1" customHeight="1">
      <c r="A863" s="4"/>
      <c r="B863" s="4"/>
      <c r="C863" s="4"/>
      <c r="D863" s="4"/>
      <c r="E863" s="4"/>
      <c r="F863" s="4"/>
      <c r="G863" s="4"/>
      <c r="H863" s="4"/>
      <c r="I863" s="1124"/>
      <c r="J863" s="4"/>
      <c r="K863" s="4"/>
      <c r="L863" s="4"/>
      <c r="M863" s="4"/>
      <c r="N863" s="4"/>
      <c r="O863" s="4"/>
      <c r="P863" s="4"/>
      <c r="Q863" s="4"/>
      <c r="R863" s="1126"/>
      <c r="S863" s="711"/>
    </row>
    <row r="864" spans="1:19" ht="15.75" hidden="1" customHeight="1">
      <c r="A864" s="4"/>
      <c r="B864" s="4"/>
      <c r="C864" s="4"/>
      <c r="D864" s="4"/>
      <c r="E864" s="4"/>
      <c r="F864" s="4"/>
      <c r="G864" s="4"/>
      <c r="H864" s="4"/>
      <c r="I864" s="1124"/>
      <c r="J864" s="4"/>
      <c r="K864" s="4"/>
      <c r="L864" s="4"/>
      <c r="M864" s="4"/>
      <c r="N864" s="4"/>
      <c r="O864" s="4"/>
      <c r="P864" s="4"/>
      <c r="Q864" s="4"/>
      <c r="R864" s="1126"/>
      <c r="S864" s="711"/>
    </row>
    <row r="865" spans="1:19" ht="15.75" hidden="1" customHeight="1">
      <c r="A865" s="4"/>
      <c r="B865" s="4"/>
      <c r="C865" s="4"/>
      <c r="D865" s="4"/>
      <c r="E865" s="4"/>
      <c r="F865" s="4"/>
      <c r="G865" s="4"/>
      <c r="H865" s="4"/>
      <c r="I865" s="1124"/>
      <c r="J865" s="4"/>
      <c r="K865" s="4"/>
      <c r="L865" s="4"/>
      <c r="M865" s="4"/>
      <c r="N865" s="4"/>
      <c r="O865" s="4"/>
      <c r="P865" s="4"/>
      <c r="Q865" s="4"/>
      <c r="R865" s="1126"/>
      <c r="S865" s="711"/>
    </row>
    <row r="866" spans="1:19" ht="15.75" hidden="1" customHeight="1">
      <c r="A866" s="4"/>
      <c r="B866" s="4"/>
      <c r="C866" s="4"/>
      <c r="D866" s="4"/>
      <c r="E866" s="4"/>
      <c r="F866" s="4"/>
      <c r="G866" s="4"/>
      <c r="H866" s="4"/>
      <c r="I866" s="1124"/>
      <c r="J866" s="4"/>
      <c r="K866" s="4"/>
      <c r="L866" s="4"/>
      <c r="M866" s="4"/>
      <c r="N866" s="4"/>
      <c r="O866" s="4"/>
      <c r="P866" s="4"/>
      <c r="Q866" s="4"/>
      <c r="R866" s="1126"/>
      <c r="S866" s="711"/>
    </row>
    <row r="867" spans="1:19" ht="15.75" hidden="1" customHeight="1">
      <c r="A867" s="4"/>
      <c r="B867" s="4"/>
      <c r="C867" s="4"/>
      <c r="D867" s="4"/>
      <c r="E867" s="4"/>
      <c r="F867" s="4"/>
      <c r="G867" s="4"/>
      <c r="H867" s="4"/>
      <c r="I867" s="1124"/>
      <c r="J867" s="4"/>
      <c r="K867" s="4"/>
      <c r="L867" s="4"/>
      <c r="M867" s="4"/>
      <c r="N867" s="4"/>
      <c r="O867" s="4"/>
      <c r="P867" s="4"/>
      <c r="Q867" s="4"/>
      <c r="R867" s="1126"/>
      <c r="S867" s="711"/>
    </row>
    <row r="868" spans="1:19" ht="15.75" hidden="1" customHeight="1">
      <c r="A868" s="4"/>
      <c r="B868" s="4"/>
      <c r="C868" s="4"/>
      <c r="D868" s="4"/>
      <c r="E868" s="4"/>
      <c r="F868" s="4"/>
      <c r="G868" s="4"/>
      <c r="H868" s="4"/>
      <c r="I868" s="1124"/>
      <c r="J868" s="4"/>
      <c r="K868" s="4"/>
      <c r="L868" s="4"/>
      <c r="M868" s="4"/>
      <c r="N868" s="4"/>
      <c r="O868" s="4"/>
      <c r="P868" s="4"/>
      <c r="Q868" s="4"/>
      <c r="R868" s="1126"/>
      <c r="S868" s="711"/>
    </row>
    <row r="869" spans="1:19" ht="15.75" hidden="1" customHeight="1">
      <c r="A869" s="4"/>
      <c r="B869" s="4"/>
      <c r="C869" s="4"/>
      <c r="D869" s="4"/>
      <c r="E869" s="4"/>
      <c r="F869" s="4"/>
      <c r="G869" s="4"/>
      <c r="H869" s="4"/>
      <c r="I869" s="1124"/>
      <c r="J869" s="4"/>
      <c r="K869" s="4"/>
      <c r="L869" s="4"/>
      <c r="M869" s="4"/>
      <c r="N869" s="4"/>
      <c r="O869" s="4"/>
      <c r="P869" s="4"/>
      <c r="Q869" s="4"/>
      <c r="R869" s="1126"/>
      <c r="S869" s="711"/>
    </row>
    <row r="870" spans="1:19" ht="15.75" hidden="1" customHeight="1">
      <c r="A870" s="4"/>
      <c r="B870" s="4"/>
      <c r="C870" s="4"/>
      <c r="D870" s="4"/>
      <c r="E870" s="4"/>
      <c r="F870" s="4"/>
      <c r="G870" s="4"/>
      <c r="H870" s="4"/>
      <c r="I870" s="1124"/>
      <c r="J870" s="4"/>
      <c r="K870" s="4"/>
      <c r="L870" s="4"/>
      <c r="M870" s="4"/>
      <c r="N870" s="4"/>
      <c r="O870" s="4"/>
      <c r="P870" s="4"/>
      <c r="Q870" s="4"/>
      <c r="R870" s="1126"/>
      <c r="S870" s="711"/>
    </row>
    <row r="871" spans="1:19" ht="15.75" hidden="1" customHeight="1">
      <c r="A871" s="4"/>
      <c r="B871" s="4"/>
      <c r="C871" s="4"/>
      <c r="D871" s="4"/>
      <c r="E871" s="4"/>
      <c r="F871" s="4"/>
      <c r="G871" s="4"/>
      <c r="H871" s="4"/>
      <c r="I871" s="1124"/>
      <c r="J871" s="4"/>
      <c r="K871" s="4"/>
      <c r="L871" s="4"/>
      <c r="M871" s="4"/>
      <c r="N871" s="4"/>
      <c r="O871" s="4"/>
      <c r="P871" s="4"/>
      <c r="Q871" s="4"/>
      <c r="R871" s="1126"/>
      <c r="S871" s="711"/>
    </row>
    <row r="872" spans="1:19" ht="15.75" hidden="1" customHeight="1">
      <c r="A872" s="4"/>
      <c r="B872" s="4"/>
      <c r="C872" s="4"/>
      <c r="D872" s="4"/>
      <c r="E872" s="4"/>
      <c r="F872" s="4"/>
      <c r="G872" s="4"/>
      <c r="H872" s="4"/>
      <c r="I872" s="1124"/>
      <c r="J872" s="4"/>
      <c r="K872" s="4"/>
      <c r="L872" s="4"/>
      <c r="M872" s="4"/>
      <c r="N872" s="4"/>
      <c r="O872" s="4"/>
      <c r="P872" s="4"/>
      <c r="Q872" s="4"/>
      <c r="R872" s="1126"/>
      <c r="S872" s="711"/>
    </row>
    <row r="873" spans="1:19" ht="15.75" hidden="1" customHeight="1">
      <c r="A873" s="4"/>
      <c r="B873" s="4"/>
      <c r="C873" s="4"/>
      <c r="D873" s="4"/>
      <c r="E873" s="4"/>
      <c r="F873" s="4"/>
      <c r="G873" s="4"/>
      <c r="H873" s="4"/>
      <c r="I873" s="1124"/>
      <c r="J873" s="4"/>
      <c r="K873" s="4"/>
      <c r="L873" s="4"/>
      <c r="M873" s="4"/>
      <c r="N873" s="4"/>
      <c r="O873" s="4"/>
      <c r="P873" s="4"/>
      <c r="Q873" s="4"/>
      <c r="R873" s="1126"/>
      <c r="S873" s="711"/>
    </row>
    <row r="874" spans="1:19" ht="15.75" hidden="1" customHeight="1">
      <c r="A874" s="4"/>
      <c r="B874" s="4"/>
      <c r="C874" s="4"/>
      <c r="D874" s="4"/>
      <c r="E874" s="4"/>
      <c r="F874" s="4"/>
      <c r="G874" s="4"/>
      <c r="H874" s="4"/>
      <c r="I874" s="1124"/>
      <c r="J874" s="4"/>
      <c r="K874" s="4"/>
      <c r="L874" s="4"/>
      <c r="M874" s="4"/>
      <c r="N874" s="4"/>
      <c r="O874" s="4"/>
      <c r="P874" s="4"/>
      <c r="Q874" s="4"/>
      <c r="R874" s="1126"/>
      <c r="S874" s="711"/>
    </row>
    <row r="875" spans="1:19" ht="15.75" hidden="1" customHeight="1">
      <c r="A875" s="4"/>
      <c r="B875" s="4"/>
      <c r="C875" s="4"/>
      <c r="D875" s="4"/>
      <c r="E875" s="4"/>
      <c r="F875" s="4"/>
      <c r="G875" s="4"/>
      <c r="H875" s="4"/>
      <c r="I875" s="1124"/>
      <c r="J875" s="4"/>
      <c r="K875" s="4"/>
      <c r="L875" s="4"/>
      <c r="M875" s="4"/>
      <c r="N875" s="4"/>
      <c r="O875" s="4"/>
      <c r="P875" s="4"/>
      <c r="Q875" s="4"/>
      <c r="R875" s="1126"/>
      <c r="S875" s="711"/>
    </row>
    <row r="876" spans="1:19" ht="15.75" hidden="1" customHeight="1">
      <c r="A876" s="4"/>
      <c r="B876" s="4"/>
      <c r="C876" s="4"/>
      <c r="D876" s="4"/>
      <c r="E876" s="4"/>
      <c r="F876" s="4"/>
      <c r="G876" s="4"/>
      <c r="H876" s="4"/>
      <c r="I876" s="1124"/>
      <c r="J876" s="4"/>
      <c r="K876" s="4"/>
      <c r="L876" s="4"/>
      <c r="M876" s="4"/>
      <c r="N876" s="4"/>
      <c r="O876" s="4"/>
      <c r="P876" s="4"/>
      <c r="Q876" s="4"/>
      <c r="R876" s="1126"/>
      <c r="S876" s="711"/>
    </row>
    <row r="877" spans="1:19" ht="15.75" hidden="1" customHeight="1">
      <c r="A877" s="4"/>
      <c r="B877" s="4"/>
      <c r="C877" s="4"/>
      <c r="D877" s="4"/>
      <c r="E877" s="4"/>
      <c r="F877" s="4"/>
      <c r="G877" s="4"/>
      <c r="H877" s="4"/>
      <c r="I877" s="1124"/>
      <c r="J877" s="4"/>
      <c r="K877" s="4"/>
      <c r="L877" s="4"/>
      <c r="M877" s="4"/>
      <c r="N877" s="4"/>
      <c r="O877" s="4"/>
      <c r="P877" s="4"/>
      <c r="Q877" s="4"/>
      <c r="R877" s="1126"/>
      <c r="S877" s="711"/>
    </row>
    <row r="878" spans="1:19" ht="15.75" hidden="1" customHeight="1">
      <c r="A878" s="4"/>
      <c r="B878" s="4"/>
      <c r="C878" s="4"/>
      <c r="D878" s="4"/>
      <c r="E878" s="4"/>
      <c r="F878" s="4"/>
      <c r="G878" s="4"/>
      <c r="H878" s="4"/>
      <c r="I878" s="1124"/>
      <c r="J878" s="4"/>
      <c r="K878" s="4"/>
      <c r="L878" s="4"/>
      <c r="M878" s="4"/>
      <c r="N878" s="4"/>
      <c r="O878" s="4"/>
      <c r="P878" s="4"/>
      <c r="Q878" s="4"/>
      <c r="R878" s="1126"/>
      <c r="S878" s="711"/>
    </row>
    <row r="879" spans="1:19" ht="15.75" hidden="1" customHeight="1">
      <c r="A879" s="4"/>
      <c r="B879" s="4"/>
      <c r="C879" s="4"/>
      <c r="D879" s="4"/>
      <c r="E879" s="4"/>
      <c r="F879" s="4"/>
      <c r="G879" s="4"/>
      <c r="H879" s="4"/>
      <c r="I879" s="1124"/>
      <c r="J879" s="4"/>
      <c r="K879" s="4"/>
      <c r="L879" s="4"/>
      <c r="M879" s="4"/>
      <c r="N879" s="4"/>
      <c r="O879" s="4"/>
      <c r="P879" s="4"/>
      <c r="Q879" s="4"/>
      <c r="R879" s="1126"/>
      <c r="S879" s="711"/>
    </row>
    <row r="880" spans="1:19" ht="15.75" hidden="1" customHeight="1">
      <c r="A880" s="4"/>
      <c r="B880" s="4"/>
      <c r="C880" s="4"/>
      <c r="D880" s="4"/>
      <c r="E880" s="4"/>
      <c r="F880" s="4"/>
      <c r="G880" s="4"/>
      <c r="H880" s="4"/>
      <c r="I880" s="1124"/>
      <c r="J880" s="4"/>
      <c r="K880" s="4"/>
      <c r="L880" s="4"/>
      <c r="M880" s="4"/>
      <c r="N880" s="4"/>
      <c r="O880" s="4"/>
      <c r="P880" s="4"/>
      <c r="Q880" s="4"/>
      <c r="R880" s="1126"/>
      <c r="S880" s="711"/>
    </row>
    <row r="881" spans="1:19" ht="15.75" hidden="1" customHeight="1">
      <c r="A881" s="4"/>
      <c r="B881" s="4"/>
      <c r="C881" s="4"/>
      <c r="D881" s="4"/>
      <c r="E881" s="4"/>
      <c r="F881" s="4"/>
      <c r="G881" s="4"/>
      <c r="H881" s="4"/>
      <c r="I881" s="1124"/>
      <c r="J881" s="4"/>
      <c r="K881" s="4"/>
      <c r="L881" s="4"/>
      <c r="M881" s="4"/>
      <c r="N881" s="4"/>
      <c r="O881" s="4"/>
      <c r="P881" s="4"/>
      <c r="Q881" s="4"/>
      <c r="R881" s="1126"/>
      <c r="S881" s="711"/>
    </row>
    <row r="882" spans="1:19" ht="15.75" hidden="1" customHeight="1">
      <c r="A882" s="4"/>
      <c r="B882" s="4"/>
      <c r="C882" s="4"/>
      <c r="D882" s="4"/>
      <c r="E882" s="4"/>
      <c r="F882" s="4"/>
      <c r="G882" s="4"/>
      <c r="H882" s="4"/>
      <c r="I882" s="1124"/>
      <c r="J882" s="4"/>
      <c r="K882" s="4"/>
      <c r="L882" s="4"/>
      <c r="M882" s="4"/>
      <c r="N882" s="4"/>
      <c r="O882" s="4"/>
      <c r="P882" s="4"/>
      <c r="Q882" s="4"/>
      <c r="R882" s="1126"/>
      <c r="S882" s="711"/>
    </row>
    <row r="883" spans="1:19" ht="15.75" hidden="1" customHeight="1">
      <c r="A883" s="4"/>
      <c r="B883" s="4"/>
      <c r="C883" s="4"/>
      <c r="D883" s="4"/>
      <c r="E883" s="4"/>
      <c r="F883" s="4"/>
      <c r="G883" s="4"/>
      <c r="H883" s="4"/>
      <c r="I883" s="1124"/>
      <c r="J883" s="4"/>
      <c r="K883" s="4"/>
      <c r="L883" s="4"/>
      <c r="M883" s="4"/>
      <c r="N883" s="4"/>
      <c r="O883" s="4"/>
      <c r="P883" s="4"/>
      <c r="Q883" s="4"/>
      <c r="R883" s="1126"/>
      <c r="S883" s="711"/>
    </row>
    <row r="884" spans="1:19" ht="15.75" hidden="1" customHeight="1">
      <c r="A884" s="4"/>
      <c r="B884" s="4"/>
      <c r="C884" s="4"/>
      <c r="D884" s="4"/>
      <c r="E884" s="4"/>
      <c r="F884" s="4"/>
      <c r="G884" s="4"/>
      <c r="H884" s="4"/>
      <c r="I884" s="1124"/>
      <c r="J884" s="4"/>
      <c r="K884" s="4"/>
      <c r="L884" s="4"/>
      <c r="M884" s="4"/>
      <c r="N884" s="4"/>
      <c r="O884" s="4"/>
      <c r="P884" s="4"/>
      <c r="Q884" s="4"/>
      <c r="R884" s="1126"/>
      <c r="S884" s="711"/>
    </row>
    <row r="885" spans="1:19" ht="15.75" hidden="1" customHeight="1">
      <c r="A885" s="4"/>
      <c r="B885" s="4"/>
      <c r="C885" s="4"/>
      <c r="D885" s="4"/>
      <c r="E885" s="4"/>
      <c r="F885" s="4"/>
      <c r="G885" s="4"/>
      <c r="H885" s="4"/>
      <c r="I885" s="1124"/>
      <c r="J885" s="4"/>
      <c r="K885" s="4"/>
      <c r="L885" s="4"/>
      <c r="M885" s="4"/>
      <c r="N885" s="4"/>
      <c r="O885" s="4"/>
      <c r="P885" s="4"/>
      <c r="Q885" s="4"/>
      <c r="R885" s="1126"/>
      <c r="S885" s="711"/>
    </row>
    <row r="886" spans="1:19" ht="15.75" hidden="1" customHeight="1">
      <c r="A886" s="4"/>
      <c r="B886" s="4"/>
      <c r="C886" s="4"/>
      <c r="D886" s="4"/>
      <c r="E886" s="4"/>
      <c r="F886" s="4"/>
      <c r="G886" s="4"/>
      <c r="H886" s="4"/>
      <c r="I886" s="1124"/>
      <c r="J886" s="4"/>
      <c r="K886" s="4"/>
      <c r="L886" s="4"/>
      <c r="M886" s="4"/>
      <c r="N886" s="4"/>
      <c r="O886" s="4"/>
      <c r="P886" s="4"/>
      <c r="Q886" s="4"/>
      <c r="R886" s="1126"/>
      <c r="S886" s="711"/>
    </row>
    <row r="887" spans="1:19" ht="15.75" hidden="1" customHeight="1">
      <c r="A887" s="4"/>
      <c r="B887" s="4"/>
      <c r="C887" s="4"/>
      <c r="D887" s="4"/>
      <c r="E887" s="4"/>
      <c r="F887" s="4"/>
      <c r="G887" s="4"/>
      <c r="H887" s="4"/>
      <c r="I887" s="1124"/>
      <c r="J887" s="4"/>
      <c r="K887" s="4"/>
      <c r="L887" s="4"/>
      <c r="M887" s="4"/>
      <c r="N887" s="4"/>
      <c r="O887" s="4"/>
      <c r="P887" s="4"/>
      <c r="Q887" s="4"/>
      <c r="R887" s="1126"/>
      <c r="S887" s="711"/>
    </row>
    <row r="888" spans="1:19" ht="15.75" hidden="1" customHeight="1">
      <c r="A888" s="4"/>
      <c r="B888" s="4"/>
      <c r="C888" s="4"/>
      <c r="D888" s="4"/>
      <c r="E888" s="4"/>
      <c r="F888" s="4"/>
      <c r="G888" s="4"/>
      <c r="H888" s="4"/>
      <c r="I888" s="1124"/>
      <c r="J888" s="4"/>
      <c r="K888" s="4"/>
      <c r="L888" s="4"/>
      <c r="M888" s="4"/>
      <c r="N888" s="4"/>
      <c r="O888" s="4"/>
      <c r="P888" s="4"/>
      <c r="Q888" s="4"/>
      <c r="R888" s="1126"/>
      <c r="S888" s="711"/>
    </row>
    <row r="889" spans="1:19" ht="15.75" hidden="1" customHeight="1">
      <c r="A889" s="4"/>
      <c r="B889" s="4"/>
      <c r="C889" s="4"/>
      <c r="D889" s="4"/>
      <c r="E889" s="4"/>
      <c r="F889" s="4"/>
      <c r="G889" s="4"/>
      <c r="H889" s="4"/>
      <c r="I889" s="1124"/>
      <c r="J889" s="4"/>
      <c r="K889" s="4"/>
      <c r="L889" s="4"/>
      <c r="M889" s="4"/>
      <c r="N889" s="4"/>
      <c r="O889" s="4"/>
      <c r="P889" s="4"/>
      <c r="Q889" s="4"/>
      <c r="R889" s="1126"/>
      <c r="S889" s="711"/>
    </row>
    <row r="890" spans="1:19" ht="15.75" hidden="1" customHeight="1">
      <c r="A890" s="4"/>
      <c r="B890" s="4"/>
      <c r="C890" s="4"/>
      <c r="D890" s="4"/>
      <c r="E890" s="4"/>
      <c r="F890" s="4"/>
      <c r="G890" s="4"/>
      <c r="H890" s="4"/>
      <c r="I890" s="1124"/>
      <c r="J890" s="4"/>
      <c r="K890" s="4"/>
      <c r="L890" s="4"/>
      <c r="M890" s="4"/>
      <c r="N890" s="4"/>
      <c r="O890" s="4"/>
      <c r="P890" s="4"/>
      <c r="Q890" s="4"/>
      <c r="R890" s="1126"/>
      <c r="S890" s="711"/>
    </row>
    <row r="891" spans="1:19" ht="15.75" hidden="1" customHeight="1">
      <c r="A891" s="4"/>
      <c r="B891" s="4"/>
      <c r="C891" s="4"/>
      <c r="D891" s="4"/>
      <c r="E891" s="4"/>
      <c r="F891" s="4"/>
      <c r="G891" s="4"/>
      <c r="H891" s="4"/>
      <c r="I891" s="1124"/>
      <c r="J891" s="4"/>
      <c r="K891" s="4"/>
      <c r="L891" s="4"/>
      <c r="M891" s="4"/>
      <c r="N891" s="4"/>
      <c r="O891" s="4"/>
      <c r="P891" s="4"/>
      <c r="Q891" s="4"/>
      <c r="R891" s="1126"/>
      <c r="S891" s="711"/>
    </row>
    <row r="892" spans="1:19" ht="15.75" hidden="1" customHeight="1">
      <c r="A892" s="4"/>
      <c r="B892" s="4"/>
      <c r="C892" s="4"/>
      <c r="D892" s="4"/>
      <c r="E892" s="4"/>
      <c r="F892" s="4"/>
      <c r="G892" s="4"/>
      <c r="H892" s="4"/>
      <c r="I892" s="1124"/>
      <c r="J892" s="4"/>
      <c r="K892" s="4"/>
      <c r="L892" s="4"/>
      <c r="M892" s="4"/>
      <c r="N892" s="4"/>
      <c r="O892" s="4"/>
      <c r="P892" s="4"/>
      <c r="Q892" s="4"/>
      <c r="R892" s="1126"/>
      <c r="S892" s="711"/>
    </row>
    <row r="893" spans="1:19" ht="15.75" hidden="1" customHeight="1">
      <c r="A893" s="4"/>
      <c r="B893" s="4"/>
      <c r="C893" s="4"/>
      <c r="D893" s="4"/>
      <c r="E893" s="4"/>
      <c r="F893" s="4"/>
      <c r="G893" s="4"/>
      <c r="H893" s="4"/>
      <c r="I893" s="1124"/>
      <c r="J893" s="4"/>
      <c r="K893" s="4"/>
      <c r="L893" s="4"/>
      <c r="M893" s="4"/>
      <c r="N893" s="4"/>
      <c r="O893" s="4"/>
      <c r="P893" s="4"/>
      <c r="Q893" s="4"/>
      <c r="R893" s="1126"/>
      <c r="S893" s="711"/>
    </row>
    <row r="894" spans="1:19" ht="15.75" hidden="1" customHeight="1">
      <c r="A894" s="4"/>
      <c r="B894" s="4"/>
      <c r="C894" s="4"/>
      <c r="D894" s="4"/>
      <c r="E894" s="4"/>
      <c r="F894" s="4"/>
      <c r="G894" s="4"/>
      <c r="H894" s="4"/>
      <c r="I894" s="1124"/>
      <c r="J894" s="4"/>
      <c r="K894" s="4"/>
      <c r="L894" s="4"/>
      <c r="M894" s="4"/>
      <c r="N894" s="4"/>
      <c r="O894" s="4"/>
      <c r="P894" s="4"/>
      <c r="Q894" s="4"/>
      <c r="R894" s="1126"/>
      <c r="S894" s="711"/>
    </row>
    <row r="895" spans="1:19" ht="15.75" hidden="1" customHeight="1">
      <c r="A895" s="4"/>
      <c r="B895" s="4"/>
      <c r="C895" s="4"/>
      <c r="D895" s="4"/>
      <c r="E895" s="4"/>
      <c r="F895" s="4"/>
      <c r="G895" s="4"/>
      <c r="H895" s="4"/>
      <c r="I895" s="1124"/>
      <c r="J895" s="4"/>
      <c r="K895" s="4"/>
      <c r="L895" s="4"/>
      <c r="M895" s="4"/>
      <c r="N895" s="4"/>
      <c r="O895" s="4"/>
      <c r="P895" s="4"/>
      <c r="Q895" s="4"/>
      <c r="R895" s="1126"/>
      <c r="S895" s="711"/>
    </row>
    <row r="896" spans="1:19" ht="15.75" hidden="1" customHeight="1">
      <c r="A896" s="4"/>
      <c r="B896" s="4"/>
      <c r="C896" s="4"/>
      <c r="D896" s="4"/>
      <c r="E896" s="4"/>
      <c r="F896" s="4"/>
      <c r="G896" s="4"/>
      <c r="H896" s="4"/>
      <c r="I896" s="1124"/>
      <c r="J896" s="4"/>
      <c r="K896" s="4"/>
      <c r="L896" s="4"/>
      <c r="M896" s="4"/>
      <c r="N896" s="4"/>
      <c r="O896" s="4"/>
      <c r="P896" s="4"/>
      <c r="Q896" s="4"/>
      <c r="R896" s="1126"/>
      <c r="S896" s="711"/>
    </row>
    <row r="897" spans="1:19" ht="15.75" hidden="1" customHeight="1">
      <c r="A897" s="4"/>
      <c r="B897" s="4"/>
      <c r="C897" s="4"/>
      <c r="D897" s="4"/>
      <c r="E897" s="4"/>
      <c r="F897" s="4"/>
      <c r="G897" s="4"/>
      <c r="H897" s="4"/>
      <c r="I897" s="1124"/>
      <c r="J897" s="4"/>
      <c r="K897" s="4"/>
      <c r="L897" s="4"/>
      <c r="M897" s="4"/>
      <c r="N897" s="4"/>
      <c r="O897" s="4"/>
      <c r="P897" s="4"/>
      <c r="Q897" s="4"/>
      <c r="R897" s="1126"/>
      <c r="S897" s="711"/>
    </row>
    <row r="898" spans="1:19" ht="15.75" hidden="1" customHeight="1">
      <c r="A898" s="4"/>
      <c r="B898" s="4"/>
      <c r="C898" s="4"/>
      <c r="D898" s="4"/>
      <c r="E898" s="4"/>
      <c r="F898" s="4"/>
      <c r="G898" s="4"/>
      <c r="H898" s="4"/>
      <c r="I898" s="1124"/>
      <c r="J898" s="4"/>
      <c r="K898" s="4"/>
      <c r="L898" s="4"/>
      <c r="M898" s="4"/>
      <c r="N898" s="4"/>
      <c r="O898" s="4"/>
      <c r="P898" s="4"/>
      <c r="Q898" s="4"/>
      <c r="R898" s="1126"/>
      <c r="S898" s="711"/>
    </row>
    <row r="899" spans="1:19" ht="15.75" hidden="1" customHeight="1">
      <c r="A899" s="4"/>
      <c r="B899" s="4"/>
      <c r="C899" s="4"/>
      <c r="D899" s="4"/>
      <c r="E899" s="4"/>
      <c r="F899" s="4"/>
      <c r="G899" s="4"/>
      <c r="H899" s="4"/>
      <c r="I899" s="1124"/>
      <c r="J899" s="4"/>
      <c r="K899" s="4"/>
      <c r="L899" s="4"/>
      <c r="M899" s="4"/>
      <c r="N899" s="4"/>
      <c r="O899" s="4"/>
      <c r="P899" s="4"/>
      <c r="Q899" s="4"/>
      <c r="R899" s="1126"/>
      <c r="S899" s="711"/>
    </row>
    <row r="900" spans="1:19" ht="15.75" hidden="1" customHeight="1">
      <c r="A900" s="4"/>
      <c r="B900" s="4"/>
      <c r="C900" s="4"/>
      <c r="D900" s="4"/>
      <c r="E900" s="4"/>
      <c r="F900" s="4"/>
      <c r="G900" s="4"/>
      <c r="H900" s="4"/>
      <c r="I900" s="1124"/>
      <c r="J900" s="4"/>
      <c r="K900" s="4"/>
      <c r="L900" s="4"/>
      <c r="M900" s="4"/>
      <c r="N900" s="4"/>
      <c r="O900" s="4"/>
      <c r="P900" s="4"/>
      <c r="Q900" s="4"/>
      <c r="R900" s="1126"/>
      <c r="S900" s="711"/>
    </row>
    <row r="901" spans="1:19" ht="15.75" hidden="1" customHeight="1">
      <c r="A901" s="4"/>
      <c r="B901" s="4"/>
      <c r="C901" s="4"/>
      <c r="D901" s="4"/>
      <c r="E901" s="4"/>
      <c r="F901" s="4"/>
      <c r="G901" s="4"/>
      <c r="H901" s="4"/>
      <c r="I901" s="1124"/>
      <c r="J901" s="4"/>
      <c r="K901" s="4"/>
      <c r="L901" s="4"/>
      <c r="M901" s="4"/>
      <c r="N901" s="4"/>
      <c r="O901" s="4"/>
      <c r="P901" s="4"/>
      <c r="Q901" s="4"/>
      <c r="R901" s="1126"/>
      <c r="S901" s="711"/>
    </row>
    <row r="902" spans="1:19" ht="15.75" hidden="1" customHeight="1">
      <c r="A902" s="4"/>
      <c r="B902" s="4"/>
      <c r="C902" s="4"/>
      <c r="D902" s="4"/>
      <c r="E902" s="4"/>
      <c r="F902" s="4"/>
      <c r="G902" s="4"/>
      <c r="H902" s="4"/>
      <c r="I902" s="1124"/>
      <c r="J902" s="4"/>
      <c r="K902" s="4"/>
      <c r="L902" s="4"/>
      <c r="M902" s="4"/>
      <c r="N902" s="4"/>
      <c r="O902" s="4"/>
      <c r="P902" s="4"/>
      <c r="Q902" s="4"/>
      <c r="R902" s="1126"/>
      <c r="S902" s="711"/>
    </row>
    <row r="903" spans="1:19" ht="15.75" hidden="1" customHeight="1">
      <c r="A903" s="4"/>
      <c r="B903" s="4"/>
      <c r="C903" s="4"/>
      <c r="D903" s="4"/>
      <c r="E903" s="4"/>
      <c r="F903" s="4"/>
      <c r="G903" s="4"/>
      <c r="H903" s="4"/>
      <c r="I903" s="1124"/>
      <c r="J903" s="4"/>
      <c r="K903" s="4"/>
      <c r="L903" s="4"/>
      <c r="M903" s="4"/>
      <c r="N903" s="4"/>
      <c r="O903" s="4"/>
      <c r="P903" s="4"/>
      <c r="Q903" s="4"/>
      <c r="R903" s="1126"/>
      <c r="S903" s="711"/>
    </row>
    <row r="904" spans="1:19" ht="15.75" hidden="1" customHeight="1">
      <c r="A904" s="4"/>
      <c r="B904" s="4"/>
      <c r="C904" s="4"/>
      <c r="D904" s="4"/>
      <c r="E904" s="4"/>
      <c r="F904" s="4"/>
      <c r="G904" s="4"/>
      <c r="H904" s="4"/>
      <c r="I904" s="1124"/>
      <c r="J904" s="4"/>
      <c r="K904" s="4"/>
      <c r="L904" s="4"/>
      <c r="M904" s="4"/>
      <c r="N904" s="4"/>
      <c r="O904" s="4"/>
      <c r="P904" s="4"/>
      <c r="Q904" s="4"/>
      <c r="R904" s="1126"/>
      <c r="S904" s="711"/>
    </row>
    <row r="905" spans="1:19" ht="15.75" hidden="1" customHeight="1">
      <c r="A905" s="4"/>
      <c r="B905" s="4"/>
      <c r="C905" s="4"/>
      <c r="D905" s="4"/>
      <c r="E905" s="4"/>
      <c r="F905" s="4"/>
      <c r="G905" s="4"/>
      <c r="H905" s="4"/>
      <c r="I905" s="1124"/>
      <c r="J905" s="4"/>
      <c r="K905" s="4"/>
      <c r="L905" s="4"/>
      <c r="M905" s="4"/>
      <c r="N905" s="4"/>
      <c r="O905" s="4"/>
      <c r="P905" s="4"/>
      <c r="Q905" s="4"/>
      <c r="R905" s="1126"/>
      <c r="S905" s="711"/>
    </row>
    <row r="906" spans="1:19" ht="15.75" hidden="1" customHeight="1">
      <c r="A906" s="4"/>
      <c r="B906" s="4"/>
      <c r="C906" s="4"/>
      <c r="D906" s="4"/>
      <c r="E906" s="4"/>
      <c r="F906" s="4"/>
      <c r="G906" s="4"/>
      <c r="H906" s="4"/>
      <c r="I906" s="1124"/>
      <c r="J906" s="4"/>
      <c r="K906" s="4"/>
      <c r="L906" s="4"/>
      <c r="M906" s="4"/>
      <c r="N906" s="4"/>
      <c r="O906" s="4"/>
      <c r="P906" s="4"/>
      <c r="Q906" s="4"/>
      <c r="R906" s="1126"/>
      <c r="S906" s="711"/>
    </row>
    <row r="907" spans="1:19" ht="15.75" hidden="1" customHeight="1">
      <c r="A907" s="4"/>
      <c r="B907" s="4"/>
      <c r="C907" s="4"/>
      <c r="D907" s="4"/>
      <c r="E907" s="4"/>
      <c r="F907" s="4"/>
      <c r="G907" s="4"/>
      <c r="H907" s="4"/>
      <c r="I907" s="1124"/>
      <c r="J907" s="4"/>
      <c r="K907" s="4"/>
      <c r="L907" s="4"/>
      <c r="M907" s="4"/>
      <c r="N907" s="4"/>
      <c r="O907" s="4"/>
      <c r="P907" s="4"/>
      <c r="Q907" s="4"/>
      <c r="R907" s="1126"/>
      <c r="S907" s="711"/>
    </row>
    <row r="908" spans="1:19" ht="15.75" hidden="1" customHeight="1">
      <c r="A908" s="4"/>
      <c r="B908" s="4"/>
      <c r="C908" s="4"/>
      <c r="D908" s="4"/>
      <c r="E908" s="4"/>
      <c r="F908" s="4"/>
      <c r="G908" s="4"/>
      <c r="H908" s="4"/>
      <c r="I908" s="1124"/>
      <c r="J908" s="4"/>
      <c r="K908" s="4"/>
      <c r="L908" s="4"/>
      <c r="M908" s="4"/>
      <c r="N908" s="4"/>
      <c r="O908" s="4"/>
      <c r="P908" s="4"/>
      <c r="Q908" s="4"/>
      <c r="R908" s="1126"/>
      <c r="S908" s="711"/>
    </row>
    <row r="909" spans="1:19" ht="15.75" hidden="1" customHeight="1">
      <c r="A909" s="4"/>
      <c r="B909" s="4"/>
      <c r="C909" s="4"/>
      <c r="D909" s="4"/>
      <c r="E909" s="4"/>
      <c r="F909" s="4"/>
      <c r="G909" s="4"/>
      <c r="H909" s="4"/>
      <c r="I909" s="1124"/>
      <c r="J909" s="4"/>
      <c r="K909" s="4"/>
      <c r="L909" s="4"/>
      <c r="M909" s="4"/>
      <c r="N909" s="4"/>
      <c r="O909" s="4"/>
      <c r="P909" s="4"/>
      <c r="Q909" s="4"/>
      <c r="R909" s="1126"/>
      <c r="S909" s="711"/>
    </row>
    <row r="910" spans="1:19" ht="15.75" hidden="1" customHeight="1">
      <c r="A910" s="4"/>
      <c r="B910" s="4"/>
      <c r="C910" s="4"/>
      <c r="D910" s="4"/>
      <c r="E910" s="4"/>
      <c r="F910" s="4"/>
      <c r="G910" s="4"/>
      <c r="H910" s="4"/>
      <c r="I910" s="1124"/>
      <c r="J910" s="4"/>
      <c r="K910" s="4"/>
      <c r="L910" s="4"/>
      <c r="M910" s="4"/>
      <c r="N910" s="4"/>
      <c r="O910" s="4"/>
      <c r="P910" s="4"/>
      <c r="Q910" s="4"/>
      <c r="R910" s="1126"/>
      <c r="S910" s="711"/>
    </row>
    <row r="911" spans="1:19" ht="15.75" hidden="1" customHeight="1">
      <c r="A911" s="4"/>
      <c r="B911" s="4"/>
      <c r="C911" s="4"/>
      <c r="D911" s="4"/>
      <c r="E911" s="4"/>
      <c r="F911" s="4"/>
      <c r="G911" s="4"/>
      <c r="H911" s="4"/>
      <c r="I911" s="1124"/>
      <c r="J911" s="4"/>
      <c r="K911" s="4"/>
      <c r="L911" s="4"/>
      <c r="M911" s="4"/>
      <c r="N911" s="4"/>
      <c r="O911" s="4"/>
      <c r="P911" s="4"/>
      <c r="Q911" s="4"/>
      <c r="R911" s="1126"/>
      <c r="S911" s="711"/>
    </row>
    <row r="912" spans="1:19" ht="15.75" hidden="1" customHeight="1">
      <c r="A912" s="4"/>
      <c r="B912" s="4"/>
      <c r="C912" s="4"/>
      <c r="D912" s="4"/>
      <c r="E912" s="4"/>
      <c r="F912" s="4"/>
      <c r="G912" s="4"/>
      <c r="H912" s="4"/>
      <c r="I912" s="1124"/>
      <c r="J912" s="4"/>
      <c r="K912" s="4"/>
      <c r="L912" s="4"/>
      <c r="M912" s="4"/>
      <c r="N912" s="4"/>
      <c r="O912" s="4"/>
      <c r="P912" s="4"/>
      <c r="Q912" s="4"/>
      <c r="R912" s="1126"/>
      <c r="S912" s="711"/>
    </row>
    <row r="913" spans="1:19" ht="15.75" hidden="1" customHeight="1">
      <c r="A913" s="4"/>
      <c r="B913" s="4"/>
      <c r="C913" s="4"/>
      <c r="D913" s="4"/>
      <c r="E913" s="4"/>
      <c r="F913" s="4"/>
      <c r="G913" s="4"/>
      <c r="H913" s="4"/>
      <c r="I913" s="1124"/>
      <c r="J913" s="4"/>
      <c r="K913" s="4"/>
      <c r="L913" s="4"/>
      <c r="M913" s="4"/>
      <c r="N913" s="4"/>
      <c r="O913" s="4"/>
      <c r="P913" s="4"/>
      <c r="Q913" s="4"/>
      <c r="R913" s="1126"/>
      <c r="S913" s="711"/>
    </row>
    <row r="914" spans="1:19" ht="15.75" hidden="1" customHeight="1">
      <c r="A914" s="4"/>
      <c r="B914" s="4"/>
      <c r="C914" s="4"/>
      <c r="D914" s="4"/>
      <c r="E914" s="4"/>
      <c r="F914" s="4"/>
      <c r="G914" s="4"/>
      <c r="H914" s="4"/>
      <c r="I914" s="1124"/>
      <c r="J914" s="4"/>
      <c r="K914" s="4"/>
      <c r="L914" s="4"/>
      <c r="M914" s="4"/>
      <c r="N914" s="4"/>
      <c r="O914" s="4"/>
      <c r="P914" s="4"/>
      <c r="Q914" s="4"/>
      <c r="R914" s="1126"/>
      <c r="S914" s="711"/>
    </row>
    <row r="915" spans="1:19" ht="15.75" hidden="1" customHeight="1">
      <c r="A915" s="4"/>
      <c r="B915" s="4"/>
      <c r="C915" s="4"/>
      <c r="D915" s="4"/>
      <c r="E915" s="4"/>
      <c r="F915" s="4"/>
      <c r="G915" s="4"/>
      <c r="H915" s="4"/>
      <c r="I915" s="1124"/>
      <c r="J915" s="4"/>
      <c r="K915" s="4"/>
      <c r="L915" s="4"/>
      <c r="M915" s="4"/>
      <c r="N915" s="4"/>
      <c r="O915" s="4"/>
      <c r="P915" s="4"/>
      <c r="Q915" s="4"/>
      <c r="R915" s="1126"/>
      <c r="S915" s="711"/>
    </row>
    <row r="916" spans="1:19" ht="15.75" hidden="1" customHeight="1">
      <c r="A916" s="4"/>
      <c r="B916" s="4"/>
      <c r="C916" s="4"/>
      <c r="D916" s="4"/>
      <c r="E916" s="4"/>
      <c r="F916" s="4"/>
      <c r="G916" s="4"/>
      <c r="H916" s="4"/>
      <c r="I916" s="1124"/>
      <c r="J916" s="4"/>
      <c r="K916" s="4"/>
      <c r="L916" s="4"/>
      <c r="M916" s="4"/>
      <c r="N916" s="4"/>
      <c r="O916" s="4"/>
      <c r="P916" s="4"/>
      <c r="Q916" s="4"/>
      <c r="R916" s="1126"/>
      <c r="S916" s="711"/>
    </row>
    <row r="917" spans="1:19" ht="15.75" hidden="1" customHeight="1">
      <c r="A917" s="4"/>
      <c r="B917" s="4"/>
      <c r="C917" s="4"/>
      <c r="D917" s="4"/>
      <c r="E917" s="4"/>
      <c r="F917" s="4"/>
      <c r="G917" s="4"/>
      <c r="H917" s="4"/>
      <c r="I917" s="1124"/>
      <c r="J917" s="4"/>
      <c r="K917" s="4"/>
      <c r="L917" s="4"/>
      <c r="M917" s="4"/>
      <c r="N917" s="4"/>
      <c r="O917" s="4"/>
      <c r="P917" s="4"/>
      <c r="Q917" s="4"/>
      <c r="R917" s="1126"/>
      <c r="S917" s="711"/>
    </row>
    <row r="918" spans="1:19" ht="15.75" hidden="1" customHeight="1">
      <c r="A918" s="4"/>
      <c r="B918" s="4"/>
      <c r="C918" s="4"/>
      <c r="D918" s="4"/>
      <c r="E918" s="4"/>
      <c r="F918" s="4"/>
      <c r="G918" s="4"/>
      <c r="H918" s="4"/>
      <c r="I918" s="1124"/>
      <c r="J918" s="4"/>
      <c r="K918" s="4"/>
      <c r="L918" s="4"/>
      <c r="M918" s="4"/>
      <c r="N918" s="4"/>
      <c r="O918" s="4"/>
      <c r="P918" s="4"/>
      <c r="Q918" s="4"/>
      <c r="R918" s="1126"/>
      <c r="S918" s="711"/>
    </row>
    <row r="919" spans="1:19" ht="15.75" hidden="1" customHeight="1">
      <c r="A919" s="4"/>
      <c r="B919" s="4"/>
      <c r="C919" s="4"/>
      <c r="D919" s="4"/>
      <c r="E919" s="4"/>
      <c r="F919" s="4"/>
      <c r="G919" s="4"/>
      <c r="H919" s="4"/>
      <c r="I919" s="1124"/>
      <c r="J919" s="4"/>
      <c r="K919" s="4"/>
      <c r="L919" s="4"/>
      <c r="M919" s="4"/>
      <c r="N919" s="4"/>
      <c r="O919" s="4"/>
      <c r="P919" s="4"/>
      <c r="Q919" s="4"/>
      <c r="R919" s="1126"/>
      <c r="S919" s="711"/>
    </row>
    <row r="920" spans="1:19" ht="15.75" hidden="1" customHeight="1">
      <c r="A920" s="4"/>
      <c r="B920" s="4"/>
      <c r="C920" s="4"/>
      <c r="D920" s="4"/>
      <c r="E920" s="4"/>
      <c r="F920" s="4"/>
      <c r="G920" s="4"/>
      <c r="H920" s="4"/>
      <c r="I920" s="1124"/>
      <c r="J920" s="4"/>
      <c r="K920" s="4"/>
      <c r="L920" s="4"/>
      <c r="M920" s="4"/>
      <c r="N920" s="4"/>
      <c r="O920" s="4"/>
      <c r="P920" s="4"/>
      <c r="Q920" s="4"/>
      <c r="R920" s="1126"/>
      <c r="S920" s="711"/>
    </row>
    <row r="921" spans="1:19" ht="15.75" hidden="1" customHeight="1">
      <c r="A921" s="4"/>
      <c r="B921" s="4"/>
      <c r="C921" s="4"/>
      <c r="D921" s="4"/>
      <c r="E921" s="4"/>
      <c r="F921" s="4"/>
      <c r="G921" s="4"/>
      <c r="H921" s="4"/>
      <c r="I921" s="1124"/>
      <c r="J921" s="4"/>
      <c r="K921" s="4"/>
      <c r="L921" s="4"/>
      <c r="M921" s="4"/>
      <c r="N921" s="4"/>
      <c r="O921" s="4"/>
      <c r="P921" s="4"/>
      <c r="Q921" s="4"/>
      <c r="R921" s="1126"/>
      <c r="S921" s="711"/>
    </row>
    <row r="922" spans="1:19" ht="15.75" hidden="1" customHeight="1">
      <c r="A922" s="4"/>
      <c r="B922" s="4"/>
      <c r="C922" s="4"/>
      <c r="D922" s="4"/>
      <c r="E922" s="4"/>
      <c r="F922" s="4"/>
      <c r="G922" s="4"/>
      <c r="H922" s="4"/>
      <c r="I922" s="1124"/>
      <c r="J922" s="4"/>
      <c r="K922" s="4"/>
      <c r="L922" s="4"/>
      <c r="M922" s="4"/>
      <c r="N922" s="4"/>
      <c r="O922" s="4"/>
      <c r="P922" s="4"/>
      <c r="Q922" s="4"/>
      <c r="R922" s="1126"/>
      <c r="S922" s="711"/>
    </row>
    <row r="923" spans="1:19" ht="15.75" hidden="1" customHeight="1">
      <c r="A923" s="4"/>
      <c r="B923" s="4"/>
      <c r="C923" s="4"/>
      <c r="D923" s="4"/>
      <c r="E923" s="4"/>
      <c r="F923" s="4"/>
      <c r="G923" s="4"/>
      <c r="H923" s="4"/>
      <c r="I923" s="1124"/>
      <c r="J923" s="4"/>
      <c r="K923" s="4"/>
      <c r="L923" s="4"/>
      <c r="M923" s="4"/>
      <c r="N923" s="4"/>
      <c r="O923" s="4"/>
      <c r="P923" s="4"/>
      <c r="Q923" s="4"/>
      <c r="R923" s="1126"/>
      <c r="S923" s="711"/>
    </row>
    <row r="924" spans="1:19" ht="15.75" hidden="1" customHeight="1">
      <c r="A924" s="4"/>
      <c r="B924" s="4"/>
      <c r="C924" s="4"/>
      <c r="D924" s="4"/>
      <c r="E924" s="4"/>
      <c r="F924" s="4"/>
      <c r="G924" s="4"/>
      <c r="H924" s="4"/>
      <c r="I924" s="1124"/>
      <c r="J924" s="4"/>
      <c r="K924" s="4"/>
      <c r="L924" s="4"/>
      <c r="M924" s="4"/>
      <c r="N924" s="4"/>
      <c r="O924" s="4"/>
      <c r="P924" s="4"/>
      <c r="Q924" s="4"/>
      <c r="R924" s="1126"/>
      <c r="S924" s="711"/>
    </row>
    <row r="925" spans="1:19" ht="15.75" hidden="1" customHeight="1">
      <c r="A925" s="4"/>
      <c r="B925" s="4"/>
      <c r="C925" s="4"/>
      <c r="D925" s="4"/>
      <c r="E925" s="4"/>
      <c r="F925" s="4"/>
      <c r="G925" s="4"/>
      <c r="H925" s="4"/>
      <c r="I925" s="1124"/>
      <c r="J925" s="4"/>
      <c r="K925" s="4"/>
      <c r="L925" s="4"/>
      <c r="M925" s="4"/>
      <c r="N925" s="4"/>
      <c r="O925" s="4"/>
      <c r="P925" s="4"/>
      <c r="Q925" s="4"/>
      <c r="R925" s="1126"/>
      <c r="S925" s="711"/>
    </row>
    <row r="926" spans="1:19" ht="15.75" hidden="1" customHeight="1">
      <c r="A926" s="4"/>
      <c r="B926" s="4"/>
      <c r="C926" s="4"/>
      <c r="D926" s="4"/>
      <c r="E926" s="4"/>
      <c r="F926" s="4"/>
      <c r="G926" s="4"/>
      <c r="H926" s="4"/>
      <c r="I926" s="1124"/>
      <c r="J926" s="4"/>
      <c r="K926" s="4"/>
      <c r="L926" s="4"/>
      <c r="M926" s="4"/>
      <c r="N926" s="4"/>
      <c r="O926" s="4"/>
      <c r="P926" s="4"/>
      <c r="Q926" s="4"/>
      <c r="R926" s="1126"/>
      <c r="S926" s="711"/>
    </row>
    <row r="927" spans="1:19" ht="15.75" hidden="1" customHeight="1">
      <c r="A927" s="4"/>
      <c r="B927" s="4"/>
      <c r="C927" s="4"/>
      <c r="D927" s="4"/>
      <c r="E927" s="4"/>
      <c r="F927" s="4"/>
      <c r="G927" s="4"/>
      <c r="H927" s="4"/>
      <c r="I927" s="1124"/>
      <c r="J927" s="4"/>
      <c r="K927" s="4"/>
      <c r="L927" s="4"/>
      <c r="M927" s="4"/>
      <c r="N927" s="4"/>
      <c r="O927" s="4"/>
      <c r="P927" s="4"/>
      <c r="Q927" s="4"/>
      <c r="R927" s="1126"/>
      <c r="S927" s="711"/>
    </row>
    <row r="928" spans="1:19" ht="15.75" hidden="1" customHeight="1">
      <c r="A928" s="4"/>
      <c r="B928" s="4"/>
      <c r="C928" s="4"/>
      <c r="D928" s="4"/>
      <c r="E928" s="4"/>
      <c r="F928" s="4"/>
      <c r="G928" s="4"/>
      <c r="H928" s="4"/>
      <c r="I928" s="1124"/>
      <c r="J928" s="4"/>
      <c r="K928" s="4"/>
      <c r="L928" s="4"/>
      <c r="M928" s="4"/>
      <c r="N928" s="4"/>
      <c r="O928" s="4"/>
      <c r="P928" s="4"/>
      <c r="Q928" s="4"/>
      <c r="R928" s="1126"/>
      <c r="S928" s="711"/>
    </row>
    <row r="929" spans="1:19" ht="15.75" hidden="1" customHeight="1">
      <c r="A929" s="4"/>
      <c r="B929" s="4"/>
      <c r="C929" s="4"/>
      <c r="D929" s="4"/>
      <c r="E929" s="4"/>
      <c r="F929" s="4"/>
      <c r="G929" s="4"/>
      <c r="H929" s="4"/>
      <c r="I929" s="1124"/>
      <c r="J929" s="4"/>
      <c r="K929" s="4"/>
      <c r="L929" s="4"/>
      <c r="M929" s="4"/>
      <c r="N929" s="4"/>
      <c r="O929" s="4"/>
      <c r="P929" s="4"/>
      <c r="Q929" s="4"/>
      <c r="R929" s="1126"/>
      <c r="S929" s="711"/>
    </row>
    <row r="930" spans="1:19" ht="15.75" hidden="1" customHeight="1">
      <c r="A930" s="4"/>
      <c r="B930" s="4"/>
      <c r="C930" s="4"/>
      <c r="D930" s="4"/>
      <c r="E930" s="4"/>
      <c r="F930" s="4"/>
      <c r="G930" s="4"/>
      <c r="H930" s="4"/>
      <c r="I930" s="1124"/>
      <c r="J930" s="4"/>
      <c r="K930" s="4"/>
      <c r="L930" s="4"/>
      <c r="M930" s="4"/>
      <c r="N930" s="4"/>
      <c r="O930" s="4"/>
      <c r="P930" s="4"/>
      <c r="Q930" s="4"/>
      <c r="R930" s="1126"/>
      <c r="S930" s="711"/>
    </row>
    <row r="931" spans="1:19" ht="15.75" hidden="1" customHeight="1">
      <c r="A931" s="4"/>
      <c r="B931" s="4"/>
      <c r="C931" s="4"/>
      <c r="D931" s="4"/>
      <c r="E931" s="4"/>
      <c r="F931" s="4"/>
      <c r="G931" s="4"/>
      <c r="H931" s="4"/>
      <c r="I931" s="1124"/>
      <c r="J931" s="4"/>
      <c r="K931" s="4"/>
      <c r="L931" s="4"/>
      <c r="M931" s="4"/>
      <c r="N931" s="4"/>
      <c r="O931" s="4"/>
      <c r="P931" s="4"/>
      <c r="Q931" s="4"/>
      <c r="R931" s="1126"/>
      <c r="S931" s="711"/>
    </row>
    <row r="932" spans="1:19" ht="15.75" hidden="1" customHeight="1">
      <c r="A932" s="4"/>
      <c r="B932" s="4"/>
      <c r="C932" s="4"/>
      <c r="D932" s="4"/>
      <c r="E932" s="4"/>
      <c r="F932" s="4"/>
      <c r="G932" s="4"/>
      <c r="H932" s="4"/>
      <c r="I932" s="1124"/>
      <c r="J932" s="4"/>
      <c r="K932" s="4"/>
      <c r="L932" s="4"/>
      <c r="M932" s="4"/>
      <c r="N932" s="4"/>
      <c r="O932" s="4"/>
      <c r="P932" s="4"/>
      <c r="Q932" s="4"/>
      <c r="R932" s="1126"/>
      <c r="S932" s="711"/>
    </row>
    <row r="933" spans="1:19" ht="15.75" hidden="1" customHeight="1">
      <c r="A933" s="4"/>
      <c r="B933" s="4"/>
      <c r="C933" s="4"/>
      <c r="D933" s="4"/>
      <c r="E933" s="4"/>
      <c r="F933" s="4"/>
      <c r="G933" s="4"/>
      <c r="H933" s="4"/>
      <c r="I933" s="1124"/>
      <c r="J933" s="4"/>
      <c r="K933" s="4"/>
      <c r="L933" s="4"/>
      <c r="M933" s="4"/>
      <c r="N933" s="4"/>
      <c r="O933" s="4"/>
      <c r="P933" s="4"/>
      <c r="Q933" s="4"/>
      <c r="R933" s="1126"/>
      <c r="S933" s="711"/>
    </row>
    <row r="934" spans="1:19" ht="15.75" hidden="1" customHeight="1">
      <c r="A934" s="4"/>
      <c r="B934" s="4"/>
      <c r="C934" s="4"/>
      <c r="D934" s="4"/>
      <c r="E934" s="4"/>
      <c r="F934" s="4"/>
      <c r="G934" s="4"/>
      <c r="H934" s="4"/>
      <c r="I934" s="1124"/>
      <c r="J934" s="4"/>
      <c r="K934" s="4"/>
      <c r="L934" s="4"/>
      <c r="M934" s="4"/>
      <c r="N934" s="4"/>
      <c r="O934" s="4"/>
      <c r="P934" s="4"/>
      <c r="Q934" s="4"/>
      <c r="R934" s="1126"/>
      <c r="S934" s="711"/>
    </row>
    <row r="935" spans="1:19" ht="15.75" hidden="1" customHeight="1">
      <c r="A935" s="4"/>
      <c r="B935" s="4"/>
      <c r="C935" s="4"/>
      <c r="D935" s="4"/>
      <c r="E935" s="4"/>
      <c r="F935" s="4"/>
      <c r="G935" s="4"/>
      <c r="H935" s="4"/>
      <c r="I935" s="1124"/>
      <c r="J935" s="4"/>
      <c r="K935" s="4"/>
      <c r="L935" s="4"/>
      <c r="M935" s="4"/>
      <c r="N935" s="4"/>
      <c r="O935" s="4"/>
      <c r="P935" s="4"/>
      <c r="Q935" s="4"/>
      <c r="R935" s="1126"/>
      <c r="S935" s="711"/>
    </row>
    <row r="936" spans="1:19" ht="15.75" hidden="1" customHeight="1">
      <c r="A936" s="4"/>
      <c r="B936" s="4"/>
      <c r="C936" s="4"/>
      <c r="D936" s="4"/>
      <c r="E936" s="4"/>
      <c r="F936" s="4"/>
      <c r="G936" s="4"/>
      <c r="H936" s="4"/>
      <c r="I936" s="1124"/>
      <c r="J936" s="4"/>
      <c r="K936" s="4"/>
      <c r="L936" s="4"/>
      <c r="M936" s="4"/>
      <c r="N936" s="4"/>
      <c r="O936" s="4"/>
      <c r="P936" s="4"/>
      <c r="Q936" s="4"/>
      <c r="R936" s="1126"/>
      <c r="S936" s="711"/>
    </row>
    <row r="937" spans="1:19" ht="15.75" hidden="1" customHeight="1">
      <c r="A937" s="4"/>
      <c r="B937" s="4"/>
      <c r="C937" s="4"/>
      <c r="D937" s="4"/>
      <c r="E937" s="4"/>
      <c r="F937" s="4"/>
      <c r="G937" s="4"/>
      <c r="H937" s="4"/>
      <c r="I937" s="1124"/>
      <c r="J937" s="4"/>
      <c r="K937" s="4"/>
      <c r="L937" s="4"/>
      <c r="M937" s="4"/>
      <c r="N937" s="4"/>
      <c r="O937" s="4"/>
      <c r="P937" s="4"/>
      <c r="Q937" s="4"/>
      <c r="R937" s="1126"/>
      <c r="S937" s="711"/>
    </row>
    <row r="938" spans="1:19" ht="15.75" hidden="1" customHeight="1">
      <c r="A938" s="4"/>
      <c r="B938" s="4"/>
      <c r="C938" s="4"/>
      <c r="D938" s="4"/>
      <c r="E938" s="4"/>
      <c r="F938" s="4"/>
      <c r="G938" s="4"/>
      <c r="H938" s="4"/>
      <c r="I938" s="1124"/>
      <c r="J938" s="4"/>
      <c r="K938" s="4"/>
      <c r="L938" s="4"/>
      <c r="M938" s="4"/>
      <c r="N938" s="4"/>
      <c r="O938" s="4"/>
      <c r="P938" s="4"/>
      <c r="Q938" s="4"/>
      <c r="R938" s="1126"/>
      <c r="S938" s="711"/>
    </row>
    <row r="939" spans="1:19" ht="15.75" hidden="1" customHeight="1">
      <c r="A939" s="4"/>
      <c r="B939" s="4"/>
      <c r="C939" s="4"/>
      <c r="D939" s="4"/>
      <c r="E939" s="4"/>
      <c r="F939" s="4"/>
      <c r="G939" s="4"/>
      <c r="H939" s="4"/>
      <c r="I939" s="1124"/>
      <c r="J939" s="4"/>
      <c r="K939" s="4"/>
      <c r="L939" s="4"/>
      <c r="M939" s="4"/>
      <c r="N939" s="4"/>
      <c r="O939" s="4"/>
      <c r="P939" s="4"/>
      <c r="Q939" s="4"/>
      <c r="R939" s="1126"/>
      <c r="S939" s="711"/>
    </row>
    <row r="940" spans="1:19" ht="15.75" hidden="1" customHeight="1">
      <c r="A940" s="4"/>
      <c r="B940" s="4"/>
      <c r="C940" s="4"/>
      <c r="D940" s="4"/>
      <c r="E940" s="4"/>
      <c r="F940" s="4"/>
      <c r="G940" s="4"/>
      <c r="H940" s="4"/>
      <c r="I940" s="1124"/>
      <c r="J940" s="4"/>
      <c r="K940" s="4"/>
      <c r="L940" s="4"/>
      <c r="M940" s="4"/>
      <c r="N940" s="4"/>
      <c r="O940" s="4"/>
      <c r="P940" s="4"/>
      <c r="Q940" s="4"/>
      <c r="R940" s="1126"/>
      <c r="S940" s="711"/>
    </row>
    <row r="941" spans="1:19" ht="15.75" hidden="1" customHeight="1">
      <c r="A941" s="4"/>
      <c r="B941" s="4"/>
      <c r="C941" s="4"/>
      <c r="D941" s="4"/>
      <c r="E941" s="4"/>
      <c r="F941" s="4"/>
      <c r="G941" s="4"/>
      <c r="H941" s="4"/>
      <c r="I941" s="1124"/>
      <c r="J941" s="4"/>
      <c r="K941" s="4"/>
      <c r="L941" s="4"/>
      <c r="M941" s="4"/>
      <c r="N941" s="4"/>
      <c r="O941" s="4"/>
      <c r="P941" s="4"/>
      <c r="Q941" s="4"/>
      <c r="R941" s="1126"/>
      <c r="S941" s="711"/>
    </row>
    <row r="942" spans="1:19" ht="15.75" hidden="1" customHeight="1">
      <c r="A942" s="4"/>
      <c r="B942" s="4"/>
      <c r="C942" s="4"/>
      <c r="D942" s="4"/>
      <c r="E942" s="4"/>
      <c r="F942" s="4"/>
      <c r="G942" s="4"/>
      <c r="H942" s="4"/>
      <c r="I942" s="1124"/>
      <c r="J942" s="4"/>
      <c r="K942" s="4"/>
      <c r="L942" s="4"/>
      <c r="M942" s="4"/>
      <c r="N942" s="4"/>
      <c r="O942" s="4"/>
      <c r="P942" s="4"/>
      <c r="Q942" s="4"/>
      <c r="R942" s="1126"/>
      <c r="S942" s="711"/>
    </row>
    <row r="943" spans="1:19" ht="15.75" hidden="1" customHeight="1">
      <c r="A943" s="4"/>
      <c r="B943" s="4"/>
      <c r="C943" s="4"/>
      <c r="D943" s="4"/>
      <c r="E943" s="4"/>
      <c r="F943" s="4"/>
      <c r="G943" s="4"/>
      <c r="H943" s="4"/>
      <c r="I943" s="1124"/>
      <c r="J943" s="4"/>
      <c r="K943" s="4"/>
      <c r="L943" s="4"/>
      <c r="M943" s="4"/>
      <c r="N943" s="4"/>
      <c r="O943" s="4"/>
      <c r="P943" s="4"/>
      <c r="Q943" s="4"/>
      <c r="R943" s="1126"/>
      <c r="S943" s="711"/>
    </row>
    <row r="944" spans="1:19" ht="15.75" hidden="1" customHeight="1">
      <c r="A944" s="4"/>
      <c r="B944" s="4"/>
      <c r="C944" s="4"/>
      <c r="D944" s="4"/>
      <c r="E944" s="4"/>
      <c r="F944" s="4"/>
      <c r="G944" s="4"/>
      <c r="H944" s="4"/>
      <c r="I944" s="1124"/>
      <c r="J944" s="4"/>
      <c r="K944" s="4"/>
      <c r="L944" s="4"/>
      <c r="M944" s="4"/>
      <c r="N944" s="4"/>
      <c r="O944" s="4"/>
      <c r="P944" s="4"/>
      <c r="Q944" s="4"/>
      <c r="R944" s="1126"/>
      <c r="S944" s="711"/>
    </row>
    <row r="945" spans="1:19" ht="15.75" hidden="1" customHeight="1">
      <c r="A945" s="4"/>
      <c r="B945" s="4"/>
      <c r="C945" s="4"/>
      <c r="D945" s="4"/>
      <c r="E945" s="4"/>
      <c r="F945" s="4"/>
      <c r="G945" s="4"/>
      <c r="H945" s="4"/>
      <c r="I945" s="1124"/>
      <c r="J945" s="4"/>
      <c r="K945" s="4"/>
      <c r="L945" s="4"/>
      <c r="M945" s="4"/>
      <c r="N945" s="4"/>
      <c r="O945" s="4"/>
      <c r="P945" s="4"/>
      <c r="Q945" s="4"/>
      <c r="R945" s="1126"/>
      <c r="S945" s="711"/>
    </row>
    <row r="946" spans="1:19" ht="15.75" hidden="1" customHeight="1">
      <c r="A946" s="4"/>
      <c r="B946" s="4"/>
      <c r="C946" s="4"/>
      <c r="D946" s="4"/>
      <c r="E946" s="4"/>
      <c r="F946" s="4"/>
      <c r="G946" s="4"/>
      <c r="H946" s="4"/>
      <c r="I946" s="1124"/>
      <c r="J946" s="4"/>
      <c r="K946" s="4"/>
      <c r="L946" s="4"/>
      <c r="M946" s="4"/>
      <c r="N946" s="4"/>
      <c r="O946" s="4"/>
      <c r="P946" s="4"/>
      <c r="Q946" s="4"/>
      <c r="R946" s="1126"/>
      <c r="S946" s="711"/>
    </row>
    <row r="947" spans="1:19" ht="15.75" hidden="1" customHeight="1">
      <c r="A947" s="4"/>
      <c r="B947" s="4"/>
      <c r="C947" s="4"/>
      <c r="D947" s="4"/>
      <c r="E947" s="4"/>
      <c r="F947" s="4"/>
      <c r="G947" s="4"/>
      <c r="H947" s="4"/>
      <c r="I947" s="1124"/>
      <c r="J947" s="4"/>
      <c r="K947" s="4"/>
      <c r="L947" s="4"/>
      <c r="M947" s="4"/>
      <c r="N947" s="4"/>
      <c r="O947" s="4"/>
      <c r="P947" s="4"/>
      <c r="Q947" s="4"/>
      <c r="R947" s="1126"/>
      <c r="S947" s="711"/>
    </row>
    <row r="948" spans="1:19" ht="15.75" hidden="1" customHeight="1">
      <c r="A948" s="4"/>
      <c r="B948" s="4"/>
      <c r="C948" s="4"/>
      <c r="D948" s="4"/>
      <c r="E948" s="4"/>
      <c r="F948" s="4"/>
      <c r="G948" s="4"/>
      <c r="H948" s="4"/>
      <c r="I948" s="1124"/>
      <c r="J948" s="4"/>
      <c r="K948" s="4"/>
      <c r="L948" s="4"/>
      <c r="M948" s="4"/>
      <c r="N948" s="4"/>
      <c r="O948" s="4"/>
      <c r="P948" s="4"/>
      <c r="Q948" s="4"/>
      <c r="R948" s="1126"/>
      <c r="S948" s="711"/>
    </row>
    <row r="949" spans="1:19" ht="15.75" hidden="1" customHeight="1">
      <c r="A949" s="4"/>
      <c r="B949" s="4"/>
      <c r="C949" s="4"/>
      <c r="D949" s="4"/>
      <c r="E949" s="4"/>
      <c r="F949" s="4"/>
      <c r="G949" s="4"/>
      <c r="H949" s="4"/>
      <c r="I949" s="1124"/>
      <c r="J949" s="4"/>
      <c r="K949" s="4"/>
      <c r="L949" s="4"/>
      <c r="M949" s="4"/>
      <c r="N949" s="4"/>
      <c r="O949" s="4"/>
      <c r="P949" s="4"/>
      <c r="Q949" s="4"/>
      <c r="R949" s="1126"/>
      <c r="S949" s="711"/>
    </row>
    <row r="950" spans="1:19" ht="15.75" hidden="1" customHeight="1">
      <c r="A950" s="4"/>
      <c r="B950" s="4"/>
      <c r="C950" s="4"/>
      <c r="D950" s="4"/>
      <c r="E950" s="4"/>
      <c r="F950" s="4"/>
      <c r="G950" s="4"/>
      <c r="H950" s="4"/>
      <c r="I950" s="1124"/>
      <c r="J950" s="4"/>
      <c r="K950" s="4"/>
      <c r="L950" s="4"/>
      <c r="M950" s="4"/>
      <c r="N950" s="4"/>
      <c r="O950" s="4"/>
      <c r="P950" s="4"/>
      <c r="Q950" s="4"/>
      <c r="R950" s="1126"/>
      <c r="S950" s="711"/>
    </row>
    <row r="951" spans="1:19" ht="15.75" hidden="1" customHeight="1">
      <c r="A951" s="4"/>
      <c r="B951" s="4"/>
      <c r="C951" s="4"/>
      <c r="D951" s="4"/>
      <c r="E951" s="4"/>
      <c r="F951" s="4"/>
      <c r="G951" s="4"/>
      <c r="H951" s="4"/>
      <c r="I951" s="1124"/>
      <c r="J951" s="4"/>
      <c r="K951" s="4"/>
      <c r="L951" s="4"/>
      <c r="M951" s="4"/>
      <c r="N951" s="4"/>
      <c r="O951" s="4"/>
      <c r="P951" s="4"/>
      <c r="Q951" s="4"/>
      <c r="R951" s="1126"/>
      <c r="S951" s="711"/>
    </row>
    <row r="952" spans="1:19" ht="15.75" hidden="1" customHeight="1">
      <c r="A952" s="4"/>
      <c r="B952" s="4"/>
      <c r="C952" s="4"/>
      <c r="D952" s="4"/>
      <c r="E952" s="4"/>
      <c r="F952" s="4"/>
      <c r="G952" s="4"/>
      <c r="H952" s="4"/>
      <c r="I952" s="1124"/>
      <c r="J952" s="4"/>
      <c r="K952" s="4"/>
      <c r="L952" s="4"/>
      <c r="M952" s="4"/>
      <c r="N952" s="4"/>
      <c r="O952" s="4"/>
      <c r="P952" s="4"/>
      <c r="Q952" s="4"/>
      <c r="R952" s="1126"/>
      <c r="S952" s="711"/>
    </row>
    <row r="953" spans="1:19" ht="15.75" hidden="1" customHeight="1">
      <c r="A953" s="4"/>
      <c r="B953" s="4"/>
      <c r="C953" s="4"/>
      <c r="D953" s="4"/>
      <c r="E953" s="4"/>
      <c r="F953" s="4"/>
      <c r="G953" s="4"/>
      <c r="H953" s="4"/>
      <c r="I953" s="1124"/>
      <c r="J953" s="4"/>
      <c r="K953" s="4"/>
      <c r="L953" s="4"/>
      <c r="M953" s="4"/>
      <c r="N953" s="4"/>
      <c r="O953" s="4"/>
      <c r="P953" s="4"/>
      <c r="Q953" s="4"/>
      <c r="R953" s="1126"/>
      <c r="S953" s="711"/>
    </row>
    <row r="954" spans="1:19" ht="15.75" hidden="1" customHeight="1">
      <c r="A954" s="4"/>
      <c r="B954" s="4"/>
      <c r="C954" s="4"/>
      <c r="D954" s="4"/>
      <c r="E954" s="4"/>
      <c r="F954" s="4"/>
      <c r="G954" s="4"/>
      <c r="H954" s="4"/>
      <c r="I954" s="1124"/>
      <c r="J954" s="4"/>
      <c r="K954" s="4"/>
      <c r="L954" s="4"/>
      <c r="M954" s="4"/>
      <c r="N954" s="4"/>
      <c r="O954" s="4"/>
      <c r="P954" s="4"/>
      <c r="Q954" s="4"/>
      <c r="R954" s="1126"/>
      <c r="S954" s="711"/>
    </row>
    <row r="955" spans="1:19" ht="15.75" hidden="1" customHeight="1">
      <c r="A955" s="4"/>
      <c r="B955" s="4"/>
      <c r="C955" s="4"/>
      <c r="D955" s="4"/>
      <c r="E955" s="4"/>
      <c r="F955" s="4"/>
      <c r="G955" s="4"/>
      <c r="H955" s="4"/>
      <c r="I955" s="1124"/>
      <c r="J955" s="4"/>
      <c r="K955" s="4"/>
      <c r="L955" s="4"/>
      <c r="M955" s="4"/>
      <c r="N955" s="4"/>
      <c r="O955" s="4"/>
      <c r="P955" s="4"/>
      <c r="Q955" s="4"/>
      <c r="R955" s="1126"/>
      <c r="S955" s="711"/>
    </row>
    <row r="956" spans="1:19" ht="15.75" hidden="1" customHeight="1">
      <c r="A956" s="4"/>
      <c r="B956" s="4"/>
      <c r="C956" s="4"/>
      <c r="D956" s="4"/>
      <c r="E956" s="4"/>
      <c r="F956" s="4"/>
      <c r="G956" s="4"/>
      <c r="H956" s="4"/>
      <c r="I956" s="1124"/>
      <c r="J956" s="4"/>
      <c r="K956" s="4"/>
      <c r="L956" s="4"/>
      <c r="M956" s="4"/>
      <c r="N956" s="4"/>
      <c r="O956" s="4"/>
      <c r="P956" s="4"/>
      <c r="Q956" s="4"/>
      <c r="R956" s="1126"/>
      <c r="S956" s="711"/>
    </row>
    <row r="957" spans="1:19" ht="15.75" hidden="1" customHeight="1">
      <c r="A957" s="4"/>
      <c r="B957" s="4"/>
      <c r="C957" s="4"/>
      <c r="D957" s="4"/>
      <c r="E957" s="4"/>
      <c r="F957" s="4"/>
      <c r="G957" s="4"/>
      <c r="H957" s="4"/>
      <c r="I957" s="1124"/>
      <c r="J957" s="4"/>
      <c r="K957" s="4"/>
      <c r="L957" s="4"/>
      <c r="M957" s="4"/>
      <c r="N957" s="4"/>
      <c r="O957" s="4"/>
      <c r="P957" s="4"/>
      <c r="Q957" s="4"/>
      <c r="R957" s="1126"/>
      <c r="S957" s="711"/>
    </row>
    <row r="958" spans="1:19" ht="15.75" hidden="1" customHeight="1">
      <c r="A958" s="4"/>
      <c r="B958" s="4"/>
      <c r="C958" s="4"/>
      <c r="D958" s="4"/>
      <c r="E958" s="4"/>
      <c r="F958" s="4"/>
      <c r="G958" s="4"/>
      <c r="H958" s="4"/>
      <c r="I958" s="1124"/>
      <c r="J958" s="4"/>
      <c r="K958" s="4"/>
      <c r="L958" s="4"/>
      <c r="M958" s="4"/>
      <c r="N958" s="4"/>
      <c r="O958" s="4"/>
      <c r="P958" s="4"/>
      <c r="Q958" s="4"/>
      <c r="R958" s="1126"/>
      <c r="S958" s="711"/>
    </row>
    <row r="959" spans="1:19" ht="15.75" hidden="1" customHeight="1">
      <c r="A959" s="4"/>
      <c r="B959" s="4"/>
      <c r="C959" s="4"/>
      <c r="D959" s="4"/>
      <c r="E959" s="4"/>
      <c r="F959" s="4"/>
      <c r="G959" s="4"/>
      <c r="H959" s="4"/>
      <c r="I959" s="1124"/>
      <c r="J959" s="4"/>
      <c r="K959" s="4"/>
      <c r="L959" s="4"/>
      <c r="M959" s="4"/>
      <c r="N959" s="4"/>
      <c r="O959" s="4"/>
      <c r="P959" s="4"/>
      <c r="Q959" s="4"/>
      <c r="R959" s="1126"/>
      <c r="S959" s="711"/>
    </row>
    <row r="960" spans="1:19" ht="15.75" hidden="1" customHeight="1">
      <c r="A960" s="4"/>
      <c r="B960" s="4"/>
      <c r="C960" s="4"/>
      <c r="D960" s="4"/>
      <c r="E960" s="4"/>
      <c r="F960" s="4"/>
      <c r="G960" s="4"/>
      <c r="H960" s="4"/>
      <c r="I960" s="1124"/>
      <c r="J960" s="4"/>
      <c r="K960" s="4"/>
      <c r="L960" s="4"/>
      <c r="M960" s="4"/>
      <c r="N960" s="4"/>
      <c r="O960" s="4"/>
      <c r="P960" s="4"/>
      <c r="Q960" s="4"/>
      <c r="R960" s="1126"/>
      <c r="S960" s="711"/>
    </row>
    <row r="961" spans="1:19" ht="15.75" hidden="1" customHeight="1">
      <c r="A961" s="4"/>
      <c r="B961" s="4"/>
      <c r="C961" s="4"/>
      <c r="D961" s="4"/>
      <c r="E961" s="4"/>
      <c r="F961" s="4"/>
      <c r="G961" s="4"/>
      <c r="H961" s="4"/>
      <c r="I961" s="1124"/>
      <c r="J961" s="4"/>
      <c r="K961" s="4"/>
      <c r="L961" s="4"/>
      <c r="M961" s="4"/>
      <c r="N961" s="4"/>
      <c r="O961" s="4"/>
      <c r="P961" s="4"/>
      <c r="Q961" s="4"/>
      <c r="R961" s="1126"/>
      <c r="S961" s="711"/>
    </row>
    <row r="962" spans="1:19" ht="15.75" hidden="1" customHeight="1">
      <c r="A962" s="4"/>
      <c r="B962" s="4"/>
      <c r="C962" s="4"/>
      <c r="D962" s="4"/>
      <c r="E962" s="4"/>
      <c r="F962" s="4"/>
      <c r="G962" s="4"/>
      <c r="H962" s="4"/>
      <c r="I962" s="1124"/>
      <c r="J962" s="4"/>
      <c r="K962" s="4"/>
      <c r="L962" s="4"/>
      <c r="M962" s="4"/>
      <c r="N962" s="4"/>
      <c r="O962" s="4"/>
      <c r="P962" s="4"/>
      <c r="Q962" s="4"/>
      <c r="R962" s="1126"/>
      <c r="S962" s="711"/>
    </row>
    <row r="963" spans="1:19" ht="15.75" hidden="1" customHeight="1">
      <c r="A963" s="4"/>
      <c r="B963" s="4"/>
      <c r="C963" s="4"/>
      <c r="D963" s="4"/>
      <c r="E963" s="4"/>
      <c r="F963" s="4"/>
      <c r="G963" s="4"/>
      <c r="H963" s="4"/>
      <c r="I963" s="1124"/>
      <c r="J963" s="4"/>
      <c r="K963" s="4"/>
      <c r="L963" s="4"/>
      <c r="M963" s="4"/>
      <c r="N963" s="4"/>
      <c r="O963" s="4"/>
      <c r="P963" s="4"/>
      <c r="Q963" s="4"/>
      <c r="R963" s="1126"/>
      <c r="S963" s="711"/>
    </row>
    <row r="964" spans="1:19" ht="15.75" hidden="1" customHeight="1">
      <c r="A964" s="4"/>
      <c r="B964" s="4"/>
      <c r="C964" s="4"/>
      <c r="D964" s="4"/>
      <c r="E964" s="4"/>
      <c r="F964" s="4"/>
      <c r="G964" s="4"/>
      <c r="H964" s="4"/>
      <c r="I964" s="1124"/>
      <c r="J964" s="4"/>
      <c r="K964" s="4"/>
      <c r="L964" s="4"/>
      <c r="M964" s="4"/>
      <c r="N964" s="4"/>
      <c r="O964" s="4"/>
      <c r="P964" s="4"/>
      <c r="Q964" s="4"/>
      <c r="R964" s="1126"/>
      <c r="S964" s="711"/>
    </row>
    <row r="965" spans="1:19" ht="15.75" hidden="1" customHeight="1">
      <c r="A965" s="4"/>
      <c r="B965" s="4"/>
      <c r="C965" s="4"/>
      <c r="D965" s="4"/>
      <c r="E965" s="4"/>
      <c r="F965" s="4"/>
      <c r="G965" s="4"/>
      <c r="H965" s="4"/>
      <c r="I965" s="1124"/>
      <c r="J965" s="4"/>
      <c r="K965" s="4"/>
      <c r="L965" s="4"/>
      <c r="M965" s="4"/>
      <c r="N965" s="4"/>
      <c r="O965" s="4"/>
      <c r="P965" s="4"/>
      <c r="Q965" s="4"/>
      <c r="R965" s="1126"/>
      <c r="S965" s="711"/>
    </row>
    <row r="966" spans="1:19" ht="15.75" hidden="1" customHeight="1">
      <c r="A966" s="4"/>
      <c r="B966" s="4"/>
      <c r="C966" s="4"/>
      <c r="D966" s="4"/>
      <c r="E966" s="4"/>
      <c r="F966" s="4"/>
      <c r="G966" s="4"/>
      <c r="H966" s="4"/>
      <c r="I966" s="1124"/>
      <c r="J966" s="4"/>
      <c r="K966" s="4"/>
      <c r="L966" s="4"/>
      <c r="M966" s="4"/>
      <c r="N966" s="4"/>
      <c r="O966" s="4"/>
      <c r="P966" s="4"/>
      <c r="Q966" s="4"/>
      <c r="R966" s="1126"/>
      <c r="S966" s="711"/>
    </row>
    <row r="967" spans="1:19" ht="15.75" hidden="1" customHeight="1">
      <c r="A967" s="4"/>
      <c r="B967" s="4"/>
      <c r="C967" s="4"/>
      <c r="D967" s="4"/>
      <c r="E967" s="4"/>
      <c r="F967" s="4"/>
      <c r="G967" s="4"/>
      <c r="H967" s="4"/>
      <c r="I967" s="1124"/>
      <c r="J967" s="4"/>
      <c r="K967" s="4"/>
      <c r="L967" s="4"/>
      <c r="M967" s="4"/>
      <c r="N967" s="4"/>
      <c r="O967" s="4"/>
      <c r="P967" s="4"/>
      <c r="Q967" s="4"/>
      <c r="R967" s="1126"/>
      <c r="S967" s="711"/>
    </row>
    <row r="968" spans="1:19" ht="15.75" hidden="1" customHeight="1">
      <c r="A968" s="4"/>
      <c r="B968" s="4"/>
      <c r="C968" s="4"/>
      <c r="D968" s="4"/>
      <c r="E968" s="4"/>
      <c r="F968" s="4"/>
      <c r="G968" s="4"/>
      <c r="H968" s="4"/>
      <c r="I968" s="1124"/>
      <c r="J968" s="4"/>
      <c r="K968" s="4"/>
      <c r="L968" s="4"/>
      <c r="M968" s="4"/>
      <c r="N968" s="4"/>
      <c r="O968" s="4"/>
      <c r="P968" s="4"/>
      <c r="Q968" s="4"/>
      <c r="R968" s="1126"/>
      <c r="S968" s="711"/>
    </row>
    <row r="969" spans="1:19" ht="15.75" hidden="1" customHeight="1">
      <c r="A969" s="4"/>
      <c r="B969" s="4"/>
      <c r="C969" s="4"/>
      <c r="D969" s="4"/>
      <c r="E969" s="4"/>
      <c r="F969" s="4"/>
      <c r="G969" s="4"/>
      <c r="H969" s="4"/>
      <c r="I969" s="1124"/>
      <c r="J969" s="4"/>
      <c r="K969" s="4"/>
      <c r="L969" s="4"/>
      <c r="M969" s="4"/>
      <c r="N969" s="4"/>
      <c r="O969" s="4"/>
      <c r="P969" s="4"/>
      <c r="Q969" s="4"/>
      <c r="R969" s="1126"/>
      <c r="S969" s="711"/>
    </row>
    <row r="970" spans="1:19" ht="15.75" hidden="1" customHeight="1">
      <c r="A970" s="4"/>
      <c r="B970" s="4"/>
      <c r="C970" s="4"/>
      <c r="D970" s="4"/>
      <c r="E970" s="4"/>
      <c r="F970" s="4"/>
      <c r="G970" s="4"/>
      <c r="H970" s="4"/>
      <c r="I970" s="1124"/>
      <c r="J970" s="4"/>
      <c r="K970" s="4"/>
      <c r="L970" s="4"/>
      <c r="M970" s="4"/>
      <c r="N970" s="4"/>
      <c r="O970" s="4"/>
      <c r="P970" s="4"/>
      <c r="Q970" s="4"/>
      <c r="R970" s="1126"/>
      <c r="S970" s="711"/>
    </row>
    <row r="971" spans="1:19" ht="15.75" hidden="1" customHeight="1">
      <c r="A971" s="4"/>
      <c r="B971" s="4"/>
      <c r="C971" s="4"/>
      <c r="D971" s="4"/>
      <c r="E971" s="4"/>
      <c r="F971" s="4"/>
      <c r="G971" s="4"/>
      <c r="H971" s="4"/>
      <c r="I971" s="1124"/>
      <c r="J971" s="4"/>
      <c r="K971" s="4"/>
      <c r="L971" s="4"/>
      <c r="M971" s="4"/>
      <c r="N971" s="4"/>
      <c r="O971" s="4"/>
      <c r="P971" s="4"/>
      <c r="Q971" s="4"/>
      <c r="R971" s="1126"/>
      <c r="S971" s="711"/>
    </row>
    <row r="972" spans="1:19" ht="15.75" hidden="1" customHeight="1">
      <c r="A972" s="4"/>
      <c r="B972" s="4"/>
      <c r="C972" s="4"/>
      <c r="D972" s="4"/>
      <c r="E972" s="4"/>
      <c r="F972" s="4"/>
      <c r="G972" s="4"/>
      <c r="H972" s="4"/>
      <c r="I972" s="1124"/>
      <c r="J972" s="4"/>
      <c r="K972" s="4"/>
      <c r="L972" s="4"/>
      <c r="M972" s="4"/>
      <c r="N972" s="4"/>
      <c r="O972" s="4"/>
      <c r="P972" s="4"/>
      <c r="Q972" s="4"/>
      <c r="R972" s="1126"/>
      <c r="S972" s="711"/>
    </row>
    <row r="973" spans="1:19" ht="15.75" hidden="1" customHeight="1">
      <c r="A973" s="4"/>
      <c r="B973" s="4"/>
      <c r="C973" s="4"/>
      <c r="D973" s="4"/>
      <c r="E973" s="4"/>
      <c r="F973" s="4"/>
      <c r="G973" s="4"/>
      <c r="H973" s="4"/>
      <c r="I973" s="1124"/>
      <c r="J973" s="4"/>
      <c r="K973" s="4"/>
      <c r="L973" s="4"/>
      <c r="M973" s="4"/>
      <c r="N973" s="4"/>
      <c r="O973" s="4"/>
      <c r="P973" s="4"/>
      <c r="Q973" s="4"/>
      <c r="R973" s="1126"/>
      <c r="S973" s="711"/>
    </row>
    <row r="974" spans="1:19" ht="15.75" hidden="1" customHeight="1">
      <c r="A974" s="4"/>
      <c r="B974" s="4"/>
      <c r="C974" s="4"/>
      <c r="D974" s="4"/>
      <c r="E974" s="4"/>
      <c r="F974" s="4"/>
      <c r="G974" s="4"/>
      <c r="H974" s="4"/>
      <c r="I974" s="1124"/>
      <c r="J974" s="4"/>
      <c r="K974" s="4"/>
      <c r="L974" s="4"/>
      <c r="M974" s="4"/>
      <c r="N974" s="4"/>
      <c r="O974" s="4"/>
      <c r="P974" s="4"/>
      <c r="Q974" s="4"/>
      <c r="R974" s="1126"/>
      <c r="S974" s="711"/>
    </row>
    <row r="975" spans="1:19" ht="15.75" hidden="1" customHeight="1">
      <c r="A975" s="4"/>
      <c r="B975" s="4"/>
      <c r="C975" s="4"/>
      <c r="D975" s="4"/>
      <c r="E975" s="4"/>
      <c r="F975" s="4"/>
      <c r="G975" s="4"/>
      <c r="H975" s="4"/>
      <c r="I975" s="1124"/>
      <c r="J975" s="4"/>
      <c r="K975" s="4"/>
      <c r="L975" s="4"/>
      <c r="M975" s="4"/>
      <c r="N975" s="4"/>
      <c r="O975" s="4"/>
      <c r="P975" s="4"/>
      <c r="Q975" s="4"/>
      <c r="R975" s="1126"/>
      <c r="S975" s="711"/>
    </row>
    <row r="976" spans="1:19" ht="15.75" hidden="1" customHeight="1">
      <c r="A976" s="4"/>
      <c r="B976" s="4"/>
      <c r="C976" s="4"/>
      <c r="D976" s="4"/>
      <c r="E976" s="4"/>
      <c r="F976" s="4"/>
      <c r="G976" s="4"/>
      <c r="H976" s="4"/>
      <c r="I976" s="1124"/>
      <c r="J976" s="4"/>
      <c r="K976" s="4"/>
      <c r="L976" s="4"/>
      <c r="M976" s="4"/>
      <c r="N976" s="4"/>
      <c r="O976" s="4"/>
      <c r="P976" s="4"/>
      <c r="Q976" s="4"/>
      <c r="R976" s="1126"/>
      <c r="S976" s="711"/>
    </row>
    <row r="977" spans="1:19" ht="15.75" hidden="1" customHeight="1">
      <c r="A977" s="4"/>
      <c r="B977" s="4"/>
      <c r="C977" s="4"/>
      <c r="D977" s="4"/>
      <c r="E977" s="4"/>
      <c r="F977" s="4"/>
      <c r="G977" s="4"/>
      <c r="H977" s="4"/>
      <c r="I977" s="1124"/>
      <c r="J977" s="4"/>
      <c r="K977" s="4"/>
      <c r="L977" s="4"/>
      <c r="M977" s="4"/>
      <c r="N977" s="4"/>
      <c r="O977" s="4"/>
      <c r="P977" s="4"/>
      <c r="Q977" s="4"/>
      <c r="R977" s="1126"/>
      <c r="S977" s="711"/>
    </row>
    <row r="978" spans="1:19" ht="15.75" hidden="1" customHeight="1">
      <c r="A978" s="4"/>
      <c r="B978" s="4"/>
      <c r="C978" s="4"/>
      <c r="D978" s="4"/>
      <c r="E978" s="4"/>
      <c r="F978" s="4"/>
      <c r="G978" s="4"/>
      <c r="H978" s="4"/>
      <c r="I978" s="1124"/>
      <c r="J978" s="4"/>
      <c r="K978" s="4"/>
      <c r="L978" s="4"/>
      <c r="M978" s="4"/>
      <c r="N978" s="4"/>
      <c r="O978" s="4"/>
      <c r="P978" s="4"/>
      <c r="Q978" s="4"/>
      <c r="R978" s="1126"/>
      <c r="S978" s="711"/>
    </row>
    <row r="979" spans="1:19" ht="15.75" hidden="1" customHeight="1">
      <c r="A979" s="4"/>
      <c r="B979" s="4"/>
      <c r="C979" s="4"/>
      <c r="D979" s="4"/>
      <c r="E979" s="4"/>
      <c r="F979" s="4"/>
      <c r="G979" s="4"/>
      <c r="H979" s="4"/>
      <c r="I979" s="1124"/>
      <c r="J979" s="4"/>
      <c r="K979" s="4"/>
      <c r="L979" s="4"/>
      <c r="M979" s="4"/>
      <c r="N979" s="4"/>
      <c r="O979" s="4"/>
      <c r="P979" s="4"/>
      <c r="Q979" s="4"/>
      <c r="R979" s="1126"/>
      <c r="S979" s="711"/>
    </row>
    <row r="980" spans="1:19" ht="15.75" hidden="1" customHeight="1">
      <c r="A980" s="4"/>
      <c r="B980" s="4"/>
      <c r="C980" s="4"/>
      <c r="D980" s="4"/>
      <c r="E980" s="4"/>
      <c r="F980" s="4"/>
      <c r="G980" s="4"/>
      <c r="H980" s="4"/>
      <c r="I980" s="1124"/>
      <c r="J980" s="4"/>
      <c r="K980" s="4"/>
      <c r="L980" s="4"/>
      <c r="M980" s="4"/>
      <c r="N980" s="4"/>
      <c r="O980" s="4"/>
      <c r="P980" s="4"/>
      <c r="Q980" s="4"/>
      <c r="R980" s="1126"/>
      <c r="S980" s="711"/>
    </row>
    <row r="981" spans="1:19" ht="15.75" hidden="1" customHeight="1">
      <c r="A981" s="4"/>
      <c r="B981" s="4"/>
      <c r="C981" s="4"/>
      <c r="D981" s="4"/>
      <c r="E981" s="4"/>
      <c r="F981" s="4"/>
      <c r="G981" s="4"/>
      <c r="H981" s="4"/>
      <c r="I981" s="1124"/>
      <c r="J981" s="4"/>
      <c r="K981" s="4"/>
      <c r="L981" s="4"/>
      <c r="M981" s="4"/>
      <c r="N981" s="4"/>
      <c r="O981" s="4"/>
      <c r="P981" s="4"/>
      <c r="Q981" s="4"/>
      <c r="R981" s="1126"/>
      <c r="S981" s="711"/>
    </row>
    <row r="982" spans="1:19" ht="15.75" hidden="1" customHeight="1">
      <c r="A982" s="4"/>
      <c r="B982" s="4"/>
      <c r="C982" s="4"/>
      <c r="D982" s="4"/>
      <c r="E982" s="4"/>
      <c r="F982" s="4"/>
      <c r="G982" s="4"/>
      <c r="H982" s="4"/>
      <c r="I982" s="1124"/>
      <c r="J982" s="4"/>
      <c r="K982" s="4"/>
      <c r="L982" s="4"/>
      <c r="M982" s="4"/>
      <c r="N982" s="4"/>
      <c r="O982" s="4"/>
      <c r="P982" s="4"/>
      <c r="Q982" s="4"/>
      <c r="R982" s="1126"/>
      <c r="S982" s="711"/>
    </row>
    <row r="983" spans="1:19" ht="15.75" hidden="1" customHeight="1">
      <c r="A983" s="4"/>
      <c r="B983" s="4"/>
      <c r="C983" s="4"/>
      <c r="D983" s="4"/>
      <c r="E983" s="4"/>
      <c r="F983" s="4"/>
      <c r="G983" s="4"/>
      <c r="H983" s="4"/>
      <c r="I983" s="1124"/>
      <c r="J983" s="4"/>
      <c r="K983" s="4"/>
      <c r="L983" s="4"/>
      <c r="M983" s="4"/>
      <c r="N983" s="4"/>
      <c r="O983" s="4"/>
      <c r="P983" s="4"/>
      <c r="Q983" s="4"/>
      <c r="R983" s="1126"/>
      <c r="S983" s="711"/>
    </row>
    <row r="984" spans="1:19" ht="15.75" hidden="1" customHeight="1">
      <c r="A984" s="4"/>
      <c r="B984" s="4"/>
      <c r="C984" s="4"/>
      <c r="D984" s="4"/>
      <c r="E984" s="4"/>
      <c r="F984" s="4"/>
      <c r="G984" s="4"/>
      <c r="H984" s="4"/>
      <c r="I984" s="1124"/>
      <c r="J984" s="4"/>
      <c r="K984" s="4"/>
      <c r="L984" s="4"/>
      <c r="M984" s="4"/>
      <c r="N984" s="4"/>
      <c r="O984" s="4"/>
      <c r="P984" s="4"/>
      <c r="Q984" s="4"/>
      <c r="R984" s="1126"/>
      <c r="S984" s="711"/>
    </row>
    <row r="985" spans="1:19" ht="15.75" hidden="1" customHeight="1">
      <c r="A985" s="4"/>
      <c r="B985" s="4"/>
      <c r="C985" s="4"/>
      <c r="D985" s="4"/>
      <c r="E985" s="4"/>
      <c r="F985" s="4"/>
      <c r="G985" s="4"/>
      <c r="H985" s="4"/>
      <c r="I985" s="1124"/>
      <c r="J985" s="4"/>
      <c r="K985" s="4"/>
      <c r="L985" s="4"/>
      <c r="M985" s="4"/>
      <c r="N985" s="4"/>
      <c r="O985" s="4"/>
      <c r="P985" s="4"/>
      <c r="Q985" s="4"/>
      <c r="R985" s="1126"/>
      <c r="S985" s="711"/>
    </row>
    <row r="986" spans="1:19" ht="15.75" hidden="1" customHeight="1">
      <c r="A986" s="4"/>
      <c r="B986" s="4"/>
      <c r="C986" s="4"/>
      <c r="D986" s="4"/>
      <c r="E986" s="4"/>
      <c r="F986" s="4"/>
      <c r="G986" s="4"/>
      <c r="H986" s="4"/>
      <c r="I986" s="1124"/>
      <c r="J986" s="4"/>
      <c r="K986" s="4"/>
      <c r="L986" s="4"/>
      <c r="M986" s="4"/>
      <c r="N986" s="4"/>
      <c r="O986" s="4"/>
      <c r="P986" s="4"/>
      <c r="Q986" s="4"/>
      <c r="R986" s="1126"/>
      <c r="S986" s="711"/>
    </row>
    <row r="987" spans="1:19" ht="15.75" hidden="1" customHeight="1">
      <c r="A987" s="4"/>
      <c r="B987" s="4"/>
      <c r="C987" s="4"/>
      <c r="D987" s="4"/>
      <c r="E987" s="4"/>
      <c r="F987" s="4"/>
      <c r="G987" s="4"/>
      <c r="H987" s="4"/>
      <c r="I987" s="1124"/>
      <c r="J987" s="4"/>
      <c r="K987" s="4"/>
      <c r="L987" s="4"/>
      <c r="M987" s="4"/>
      <c r="N987" s="4"/>
      <c r="O987" s="4"/>
      <c r="P987" s="4"/>
      <c r="Q987" s="4"/>
      <c r="R987" s="1126"/>
      <c r="S987" s="711"/>
    </row>
    <row r="988" spans="1:19" ht="15.75" hidden="1" customHeight="1">
      <c r="A988" s="4"/>
      <c r="B988" s="4"/>
      <c r="C988" s="4"/>
      <c r="D988" s="4"/>
      <c r="E988" s="4"/>
      <c r="F988" s="4"/>
      <c r="G988" s="4"/>
      <c r="H988" s="4"/>
      <c r="I988" s="1124"/>
      <c r="J988" s="4"/>
      <c r="K988" s="4"/>
      <c r="L988" s="4"/>
      <c r="M988" s="4"/>
      <c r="N988" s="4"/>
      <c r="O988" s="4"/>
      <c r="P988" s="4"/>
      <c r="Q988" s="4"/>
      <c r="R988" s="1126"/>
      <c r="S988" s="711"/>
    </row>
    <row r="989" spans="1:19" ht="15.75" hidden="1" customHeight="1">
      <c r="A989" s="4"/>
      <c r="B989" s="4"/>
      <c r="C989" s="4"/>
      <c r="D989" s="4"/>
      <c r="E989" s="4"/>
      <c r="F989" s="4"/>
      <c r="G989" s="4"/>
      <c r="H989" s="4"/>
      <c r="I989" s="1124"/>
      <c r="J989" s="4"/>
      <c r="K989" s="4"/>
      <c r="L989" s="4"/>
      <c r="M989" s="4"/>
      <c r="N989" s="4"/>
      <c r="O989" s="4"/>
      <c r="P989" s="4"/>
      <c r="Q989" s="4"/>
      <c r="R989" s="1126"/>
      <c r="S989" s="711"/>
    </row>
    <row r="990" spans="1:19" ht="15.75" hidden="1" customHeight="1">
      <c r="A990" s="4"/>
      <c r="B990" s="4"/>
      <c r="C990" s="4"/>
      <c r="D990" s="4"/>
      <c r="E990" s="4"/>
      <c r="F990" s="4"/>
      <c r="G990" s="4"/>
      <c r="H990" s="4"/>
      <c r="I990" s="1124"/>
      <c r="J990" s="4"/>
      <c r="K990" s="4"/>
      <c r="L990" s="4"/>
      <c r="M990" s="4"/>
      <c r="N990" s="4"/>
      <c r="O990" s="4"/>
      <c r="P990" s="4"/>
      <c r="Q990" s="4"/>
      <c r="R990" s="1126"/>
      <c r="S990" s="711"/>
    </row>
    <row r="991" spans="1:19" ht="15.75" hidden="1" customHeight="1">
      <c r="A991" s="4"/>
      <c r="B991" s="4"/>
      <c r="C991" s="4"/>
      <c r="D991" s="4"/>
      <c r="E991" s="4"/>
      <c r="F991" s="4"/>
      <c r="G991" s="4"/>
      <c r="H991" s="4"/>
      <c r="I991" s="1124"/>
      <c r="J991" s="4"/>
      <c r="K991" s="4"/>
      <c r="L991" s="4"/>
      <c r="M991" s="4"/>
      <c r="N991" s="4"/>
      <c r="O991" s="4"/>
      <c r="P991" s="4"/>
      <c r="Q991" s="4"/>
      <c r="R991" s="1126"/>
      <c r="S991" s="711"/>
    </row>
    <row r="992" spans="1:19" ht="15.75" hidden="1" customHeight="1">
      <c r="A992" s="4"/>
      <c r="B992" s="4"/>
      <c r="C992" s="4"/>
      <c r="D992" s="4"/>
      <c r="E992" s="4"/>
      <c r="F992" s="4"/>
      <c r="G992" s="4"/>
      <c r="H992" s="4"/>
      <c r="I992" s="1124"/>
      <c r="J992" s="4"/>
      <c r="K992" s="4"/>
      <c r="L992" s="4"/>
      <c r="M992" s="4"/>
      <c r="N992" s="4"/>
      <c r="O992" s="4"/>
      <c r="P992" s="4"/>
      <c r="Q992" s="4"/>
      <c r="R992" s="1126"/>
      <c r="S992" s="711"/>
    </row>
    <row r="993" spans="1:19" ht="15.75" hidden="1" customHeight="1">
      <c r="A993" s="4"/>
      <c r="B993" s="4"/>
      <c r="C993" s="4"/>
      <c r="D993" s="4"/>
      <c r="E993" s="4"/>
      <c r="F993" s="4"/>
      <c r="G993" s="4"/>
      <c r="H993" s="4"/>
      <c r="I993" s="1124"/>
      <c r="J993" s="4"/>
      <c r="K993" s="4"/>
      <c r="L993" s="4"/>
      <c r="M993" s="4"/>
      <c r="N993" s="4"/>
      <c r="O993" s="4"/>
      <c r="P993" s="4"/>
      <c r="Q993" s="4"/>
      <c r="R993" s="1126"/>
      <c r="S993" s="711"/>
    </row>
    <row r="994" spans="1:19" ht="15.75" hidden="1" customHeight="1">
      <c r="A994" s="4"/>
      <c r="B994" s="4"/>
      <c r="C994" s="4"/>
      <c r="D994" s="4"/>
      <c r="E994" s="4"/>
      <c r="F994" s="4"/>
      <c r="G994" s="4"/>
      <c r="H994" s="4"/>
      <c r="I994" s="1124"/>
      <c r="J994" s="4"/>
      <c r="K994" s="4"/>
      <c r="L994" s="4"/>
      <c r="M994" s="4"/>
      <c r="N994" s="4"/>
      <c r="O994" s="4"/>
      <c r="P994" s="4"/>
      <c r="Q994" s="4"/>
      <c r="R994" s="1126"/>
      <c r="S994" s="711"/>
    </row>
    <row r="995" spans="1:19" ht="15.75" hidden="1" customHeight="1">
      <c r="A995" s="4"/>
      <c r="B995" s="4"/>
      <c r="C995" s="4"/>
      <c r="D995" s="4"/>
      <c r="E995" s="4"/>
      <c r="F995" s="4"/>
      <c r="G995" s="4"/>
      <c r="H995" s="4"/>
      <c r="I995" s="1124"/>
      <c r="J995" s="4"/>
      <c r="K995" s="4"/>
      <c r="L995" s="4"/>
      <c r="M995" s="4"/>
      <c r="N995" s="4"/>
      <c r="O995" s="4"/>
      <c r="P995" s="4"/>
      <c r="Q995" s="4"/>
      <c r="R995" s="1126"/>
      <c r="S995" s="711"/>
    </row>
    <row r="996" spans="1:19" ht="15.75" hidden="1" customHeight="1">
      <c r="A996" s="4"/>
      <c r="B996" s="4"/>
      <c r="C996" s="4"/>
      <c r="D996" s="4"/>
      <c r="E996" s="4"/>
      <c r="F996" s="4"/>
      <c r="G996" s="4"/>
      <c r="H996" s="4"/>
      <c r="I996" s="1124"/>
      <c r="J996" s="4"/>
      <c r="K996" s="4"/>
      <c r="L996" s="4"/>
      <c r="M996" s="4"/>
      <c r="N996" s="4"/>
      <c r="O996" s="4"/>
      <c r="P996" s="4"/>
      <c r="Q996" s="4"/>
      <c r="R996" s="1126"/>
      <c r="S996" s="711"/>
    </row>
    <row r="997" spans="1:19" ht="15.75" hidden="1" customHeight="1">
      <c r="A997" s="4"/>
      <c r="B997" s="4"/>
      <c r="C997" s="4"/>
      <c r="D997" s="4"/>
      <c r="E997" s="4"/>
      <c r="F997" s="4"/>
      <c r="G997" s="4"/>
      <c r="H997" s="4"/>
      <c r="I997" s="1124"/>
      <c r="J997" s="4"/>
      <c r="K997" s="4"/>
      <c r="L997" s="4"/>
      <c r="M997" s="4"/>
      <c r="N997" s="4"/>
      <c r="O997" s="4"/>
      <c r="P997" s="4"/>
      <c r="Q997" s="4"/>
      <c r="R997" s="1126"/>
      <c r="S997" s="711"/>
    </row>
    <row r="998" spans="1:19" ht="15.75" hidden="1" customHeight="1">
      <c r="A998" s="4"/>
      <c r="B998" s="4"/>
      <c r="C998" s="4"/>
      <c r="D998" s="4"/>
      <c r="E998" s="4"/>
      <c r="F998" s="4"/>
      <c r="G998" s="4"/>
      <c r="H998" s="4"/>
      <c r="I998" s="1124"/>
      <c r="J998" s="4"/>
      <c r="K998" s="4"/>
      <c r="L998" s="4"/>
      <c r="M998" s="4"/>
      <c r="N998" s="4"/>
      <c r="O998" s="4"/>
      <c r="P998" s="4"/>
      <c r="Q998" s="4"/>
      <c r="R998" s="1126"/>
      <c r="S998" s="711"/>
    </row>
    <row r="999" spans="1:19" ht="15.75" hidden="1" customHeight="1">
      <c r="A999" s="4"/>
      <c r="B999" s="4"/>
      <c r="C999" s="4"/>
      <c r="D999" s="4"/>
      <c r="E999" s="4"/>
      <c r="F999" s="4"/>
      <c r="G999" s="4"/>
      <c r="H999" s="4"/>
      <c r="I999" s="1124"/>
      <c r="J999" s="4"/>
      <c r="K999" s="4"/>
      <c r="L999" s="4"/>
      <c r="M999" s="4"/>
      <c r="N999" s="4"/>
      <c r="O999" s="4"/>
      <c r="P999" s="4"/>
      <c r="Q999" s="4"/>
      <c r="R999" s="1126"/>
      <c r="S999" s="711"/>
    </row>
    <row r="1000" spans="1:19" ht="15.75" hidden="1" customHeight="1">
      <c r="A1000" s="4"/>
      <c r="B1000" s="4"/>
      <c r="C1000" s="4"/>
      <c r="D1000" s="4"/>
      <c r="E1000" s="4"/>
      <c r="F1000" s="4"/>
      <c r="G1000" s="4"/>
      <c r="H1000" s="4"/>
      <c r="I1000" s="1124"/>
      <c r="J1000" s="4"/>
      <c r="K1000" s="4"/>
      <c r="L1000" s="4"/>
      <c r="M1000" s="4"/>
      <c r="N1000" s="4"/>
      <c r="O1000" s="4"/>
      <c r="P1000" s="4"/>
      <c r="Q1000" s="4"/>
      <c r="R1000" s="1126"/>
      <c r="S1000" s="711"/>
    </row>
    <row r="1001" spans="1:19" ht="15.75" hidden="1" customHeight="1">
      <c r="A1001" s="4"/>
      <c r="B1001" s="4"/>
      <c r="C1001" s="4"/>
      <c r="D1001" s="4"/>
      <c r="E1001" s="4"/>
      <c r="F1001" s="4"/>
      <c r="G1001" s="4"/>
      <c r="H1001" s="4"/>
      <c r="I1001" s="1124"/>
      <c r="J1001" s="4"/>
      <c r="K1001" s="4"/>
      <c r="L1001" s="4"/>
      <c r="M1001" s="4"/>
      <c r="N1001" s="4"/>
      <c r="O1001" s="4"/>
      <c r="P1001" s="4"/>
      <c r="Q1001" s="4"/>
      <c r="R1001" s="1126"/>
      <c r="S1001" s="711"/>
    </row>
    <row r="1002" spans="1:19" ht="15.75" hidden="1" customHeight="1">
      <c r="A1002" s="4"/>
      <c r="B1002" s="4"/>
      <c r="C1002" s="4"/>
      <c r="D1002" s="4"/>
      <c r="E1002" s="4"/>
      <c r="F1002" s="4"/>
      <c r="G1002" s="4"/>
      <c r="H1002" s="4"/>
      <c r="I1002" s="1124"/>
      <c r="J1002" s="4"/>
      <c r="K1002" s="4"/>
      <c r="L1002" s="4"/>
      <c r="M1002" s="4"/>
      <c r="N1002" s="4"/>
      <c r="O1002" s="4"/>
      <c r="P1002" s="4"/>
      <c r="Q1002" s="4"/>
      <c r="R1002" s="1126"/>
      <c r="S1002" s="711"/>
    </row>
    <row r="1003" spans="1:19" ht="15.75" hidden="1" customHeight="1">
      <c r="A1003" s="4"/>
      <c r="B1003" s="4"/>
      <c r="C1003" s="4"/>
      <c r="D1003" s="4"/>
      <c r="E1003" s="4"/>
      <c r="F1003" s="4"/>
      <c r="G1003" s="4"/>
      <c r="H1003" s="4"/>
      <c r="I1003" s="1124"/>
      <c r="J1003" s="4"/>
      <c r="K1003" s="4"/>
      <c r="L1003" s="4"/>
      <c r="M1003" s="4"/>
      <c r="N1003" s="4"/>
      <c r="O1003" s="4"/>
      <c r="P1003" s="4"/>
      <c r="Q1003" s="4"/>
      <c r="R1003" s="1126"/>
      <c r="S1003" s="711"/>
    </row>
    <row r="1004" spans="1:19" ht="15.75" hidden="1" customHeight="1">
      <c r="A1004" s="4"/>
      <c r="B1004" s="4"/>
      <c r="C1004" s="4"/>
      <c r="D1004" s="4"/>
      <c r="E1004" s="4"/>
      <c r="F1004" s="4"/>
      <c r="G1004" s="4"/>
      <c r="H1004" s="4"/>
      <c r="I1004" s="1124"/>
      <c r="J1004" s="4"/>
      <c r="K1004" s="4"/>
      <c r="L1004" s="4"/>
      <c r="M1004" s="4"/>
      <c r="N1004" s="4"/>
      <c r="O1004" s="4"/>
      <c r="P1004" s="4"/>
      <c r="Q1004" s="4"/>
      <c r="R1004" s="1126"/>
      <c r="S1004" s="711"/>
    </row>
    <row r="1005" spans="1:19" ht="15.75" hidden="1" customHeight="1">
      <c r="A1005" s="4"/>
      <c r="B1005" s="4"/>
      <c r="C1005" s="4"/>
      <c r="D1005" s="4"/>
      <c r="E1005" s="4"/>
      <c r="F1005" s="4"/>
      <c r="G1005" s="4"/>
      <c r="H1005" s="4"/>
      <c r="I1005" s="1124"/>
      <c r="J1005" s="4"/>
      <c r="K1005" s="4"/>
      <c r="L1005" s="4"/>
      <c r="M1005" s="4"/>
      <c r="N1005" s="4"/>
      <c r="O1005" s="4"/>
      <c r="P1005" s="4"/>
      <c r="Q1005" s="4"/>
      <c r="R1005" s="1126"/>
      <c r="S1005" s="711"/>
    </row>
    <row r="1006" spans="1:19" ht="15.75" hidden="1" customHeight="1">
      <c r="A1006" s="4"/>
      <c r="B1006" s="4"/>
      <c r="C1006" s="4"/>
      <c r="D1006" s="4"/>
      <c r="E1006" s="4"/>
      <c r="F1006" s="4"/>
      <c r="G1006" s="4"/>
      <c r="H1006" s="4"/>
      <c r="I1006" s="1124"/>
      <c r="J1006" s="4"/>
      <c r="K1006" s="4"/>
      <c r="L1006" s="4"/>
      <c r="M1006" s="4"/>
      <c r="N1006" s="4"/>
      <c r="O1006" s="4"/>
      <c r="P1006" s="4"/>
      <c r="Q1006" s="4"/>
      <c r="R1006" s="1126"/>
      <c r="S1006" s="711"/>
    </row>
    <row r="1007" spans="1:19" ht="15.75" hidden="1" customHeight="1">
      <c r="A1007" s="4"/>
      <c r="B1007" s="4"/>
      <c r="C1007" s="4"/>
      <c r="D1007" s="4"/>
      <c r="E1007" s="4"/>
      <c r="F1007" s="4"/>
      <c r="G1007" s="4"/>
      <c r="H1007" s="4"/>
      <c r="I1007" s="1124"/>
      <c r="J1007" s="4"/>
      <c r="K1007" s="4"/>
      <c r="L1007" s="4"/>
      <c r="M1007" s="4"/>
      <c r="N1007" s="4"/>
      <c r="O1007" s="4"/>
      <c r="P1007" s="4"/>
      <c r="Q1007" s="4"/>
      <c r="R1007" s="1126"/>
      <c r="S1007" s="711"/>
    </row>
    <row r="1008" spans="1:19" ht="15.75" hidden="1" customHeight="1">
      <c r="A1008" s="4"/>
      <c r="B1008" s="4"/>
      <c r="C1008" s="4"/>
      <c r="D1008" s="4"/>
      <c r="E1008" s="4"/>
      <c r="F1008" s="4"/>
      <c r="G1008" s="4"/>
      <c r="H1008" s="4"/>
      <c r="I1008" s="1124"/>
      <c r="J1008" s="4"/>
      <c r="K1008" s="4"/>
      <c r="L1008" s="4"/>
      <c r="M1008" s="4"/>
      <c r="N1008" s="4"/>
      <c r="O1008" s="4"/>
      <c r="P1008" s="4"/>
      <c r="Q1008" s="4"/>
      <c r="R1008" s="1126"/>
      <c r="S1008" s="711"/>
    </row>
    <row r="1009" spans="1:19" ht="15.75" hidden="1" customHeight="1">
      <c r="A1009" s="4"/>
      <c r="B1009" s="4"/>
      <c r="C1009" s="4"/>
      <c r="D1009" s="4"/>
      <c r="E1009" s="4"/>
      <c r="F1009" s="4"/>
      <c r="G1009" s="4"/>
      <c r="H1009" s="4"/>
      <c r="I1009" s="1124"/>
      <c r="J1009" s="4"/>
      <c r="K1009" s="4"/>
      <c r="L1009" s="4"/>
      <c r="M1009" s="4"/>
      <c r="N1009" s="4"/>
      <c r="O1009" s="4"/>
      <c r="P1009" s="4"/>
      <c r="Q1009" s="4"/>
      <c r="R1009" s="1126"/>
      <c r="S1009" s="711"/>
    </row>
    <row r="1010" spans="1:19" ht="15.75" hidden="1" customHeight="1">
      <c r="A1010" s="4"/>
      <c r="B1010" s="4"/>
      <c r="C1010" s="4"/>
      <c r="D1010" s="4"/>
      <c r="E1010" s="4"/>
      <c r="F1010" s="4"/>
      <c r="G1010" s="4"/>
      <c r="H1010" s="4"/>
      <c r="I1010" s="1124"/>
      <c r="J1010" s="4"/>
      <c r="K1010" s="4"/>
      <c r="L1010" s="4"/>
      <c r="M1010" s="4"/>
      <c r="N1010" s="4"/>
      <c r="O1010" s="4"/>
      <c r="P1010" s="4"/>
      <c r="Q1010" s="4"/>
      <c r="R1010" s="1126"/>
      <c r="S1010" s="711"/>
    </row>
    <row r="1011" spans="1:19" ht="15.75" hidden="1" customHeight="1">
      <c r="A1011" s="4"/>
      <c r="B1011" s="4"/>
      <c r="C1011" s="4"/>
      <c r="D1011" s="4"/>
      <c r="E1011" s="4"/>
      <c r="F1011" s="4"/>
      <c r="G1011" s="4"/>
      <c r="H1011" s="4"/>
      <c r="I1011" s="1124"/>
      <c r="J1011" s="4"/>
      <c r="K1011" s="4"/>
      <c r="L1011" s="4"/>
      <c r="M1011" s="4"/>
      <c r="N1011" s="4"/>
      <c r="O1011" s="4"/>
      <c r="P1011" s="4"/>
      <c r="Q1011" s="4"/>
      <c r="R1011" s="1126"/>
      <c r="S1011" s="711"/>
    </row>
    <row r="1012" spans="1:19" ht="15.75" hidden="1" customHeight="1">
      <c r="A1012" s="4"/>
      <c r="B1012" s="4"/>
      <c r="C1012" s="4"/>
      <c r="D1012" s="4"/>
      <c r="E1012" s="4"/>
      <c r="F1012" s="4"/>
      <c r="G1012" s="4"/>
      <c r="H1012" s="4"/>
      <c r="I1012" s="1124"/>
      <c r="J1012" s="4"/>
      <c r="K1012" s="4"/>
      <c r="L1012" s="4"/>
      <c r="M1012" s="4"/>
      <c r="N1012" s="4"/>
      <c r="O1012" s="4"/>
      <c r="P1012" s="4"/>
      <c r="Q1012" s="4"/>
      <c r="R1012" s="1126"/>
      <c r="S1012" s="711"/>
    </row>
    <row r="1013" spans="1:19" ht="15.75" hidden="1" customHeight="1">
      <c r="A1013" s="4"/>
      <c r="B1013" s="4"/>
      <c r="C1013" s="4"/>
      <c r="D1013" s="4"/>
      <c r="E1013" s="4"/>
      <c r="F1013" s="4"/>
      <c r="G1013" s="4"/>
      <c r="H1013" s="4"/>
      <c r="I1013" s="1124"/>
      <c r="J1013" s="4"/>
      <c r="K1013" s="4"/>
      <c r="L1013" s="4"/>
      <c r="M1013" s="4"/>
      <c r="N1013" s="4"/>
      <c r="O1013" s="4"/>
      <c r="P1013" s="4"/>
      <c r="Q1013" s="4"/>
      <c r="R1013" s="1126"/>
      <c r="S1013" s="711"/>
    </row>
    <row r="1014" spans="1:19" ht="15.75" hidden="1" customHeight="1">
      <c r="A1014" s="4"/>
      <c r="B1014" s="4"/>
      <c r="C1014" s="4"/>
      <c r="D1014" s="4"/>
      <c r="E1014" s="4"/>
      <c r="F1014" s="4"/>
      <c r="G1014" s="4"/>
      <c r="H1014" s="4"/>
      <c r="I1014" s="1124"/>
      <c r="J1014" s="4"/>
      <c r="K1014" s="4"/>
      <c r="L1014" s="4"/>
      <c r="M1014" s="4"/>
      <c r="N1014" s="4"/>
      <c r="O1014" s="4"/>
      <c r="P1014" s="4"/>
      <c r="Q1014" s="4"/>
      <c r="R1014" s="1126"/>
      <c r="S1014" s="711"/>
    </row>
    <row r="1015" spans="1:19" ht="15.75" hidden="1" customHeight="1">
      <c r="A1015" s="4"/>
      <c r="B1015" s="4"/>
      <c r="C1015" s="4"/>
      <c r="D1015" s="4"/>
      <c r="E1015" s="4"/>
      <c r="F1015" s="4"/>
      <c r="G1015" s="4"/>
      <c r="H1015" s="4"/>
      <c r="I1015" s="1124"/>
      <c r="J1015" s="4"/>
      <c r="K1015" s="4"/>
      <c r="L1015" s="4"/>
      <c r="M1015" s="4"/>
      <c r="N1015" s="4"/>
      <c r="O1015" s="4"/>
      <c r="P1015" s="4"/>
      <c r="Q1015" s="4"/>
      <c r="R1015" s="1126"/>
      <c r="S1015" s="711"/>
    </row>
    <row r="1016" spans="1:19" ht="15.75" hidden="1" customHeight="1">
      <c r="A1016" s="4"/>
      <c r="B1016" s="4"/>
      <c r="C1016" s="4"/>
      <c r="D1016" s="4"/>
      <c r="E1016" s="4"/>
      <c r="F1016" s="4"/>
      <c r="G1016" s="4"/>
      <c r="H1016" s="4"/>
      <c r="I1016" s="1124"/>
      <c r="J1016" s="4"/>
      <c r="K1016" s="4"/>
      <c r="L1016" s="4"/>
      <c r="M1016" s="4"/>
      <c r="N1016" s="4"/>
      <c r="O1016" s="4"/>
      <c r="P1016" s="4"/>
      <c r="Q1016" s="4"/>
      <c r="R1016" s="1126"/>
      <c r="S1016" s="711"/>
    </row>
    <row r="1017" spans="1:19" ht="15.75" hidden="1" customHeight="1">
      <c r="A1017" s="4"/>
      <c r="B1017" s="4"/>
      <c r="C1017" s="4"/>
      <c r="D1017" s="4"/>
      <c r="E1017" s="4"/>
      <c r="F1017" s="4"/>
      <c r="G1017" s="4"/>
      <c r="H1017" s="4"/>
      <c r="I1017" s="1124"/>
      <c r="J1017" s="4"/>
      <c r="K1017" s="4"/>
      <c r="L1017" s="4"/>
      <c r="M1017" s="4"/>
      <c r="N1017" s="4"/>
      <c r="O1017" s="4"/>
      <c r="P1017" s="4"/>
      <c r="Q1017" s="4"/>
      <c r="R1017" s="1126"/>
      <c r="S1017" s="711"/>
    </row>
    <row r="1018" spans="1:19" ht="15.75" hidden="1" customHeight="1">
      <c r="A1018" s="4"/>
      <c r="B1018" s="4"/>
      <c r="C1018" s="4"/>
      <c r="D1018" s="4"/>
      <c r="E1018" s="4"/>
      <c r="F1018" s="4"/>
      <c r="G1018" s="4"/>
      <c r="H1018" s="4"/>
      <c r="I1018" s="1124"/>
      <c r="J1018" s="4"/>
      <c r="K1018" s="4"/>
      <c r="L1018" s="4"/>
      <c r="M1018" s="4"/>
      <c r="N1018" s="4"/>
      <c r="O1018" s="4"/>
      <c r="P1018" s="4"/>
      <c r="Q1018" s="4"/>
      <c r="R1018" s="1126"/>
      <c r="S1018" s="711"/>
    </row>
    <row r="1019" spans="1:19" ht="15.75" hidden="1" customHeight="1">
      <c r="A1019" s="4"/>
      <c r="B1019" s="4"/>
      <c r="C1019" s="4"/>
      <c r="D1019" s="4"/>
      <c r="E1019" s="4"/>
      <c r="F1019" s="4"/>
      <c r="G1019" s="4"/>
      <c r="H1019" s="4"/>
      <c r="I1019" s="1124"/>
      <c r="J1019" s="4"/>
      <c r="K1019" s="4"/>
      <c r="L1019" s="4"/>
      <c r="M1019" s="4"/>
      <c r="N1019" s="4"/>
      <c r="O1019" s="4"/>
      <c r="P1019" s="4"/>
      <c r="Q1019" s="4"/>
      <c r="R1019" s="1126"/>
      <c r="S1019" s="711"/>
    </row>
    <row r="1020" spans="1:19" ht="15.75" hidden="1" customHeight="1">
      <c r="A1020" s="4"/>
      <c r="B1020" s="4"/>
      <c r="C1020" s="4"/>
      <c r="D1020" s="4"/>
      <c r="E1020" s="4"/>
      <c r="F1020" s="4"/>
      <c r="G1020" s="4"/>
      <c r="H1020" s="4"/>
      <c r="I1020" s="1124"/>
      <c r="J1020" s="4"/>
      <c r="K1020" s="4"/>
      <c r="L1020" s="4"/>
      <c r="M1020" s="4"/>
      <c r="N1020" s="4"/>
      <c r="O1020" s="4"/>
      <c r="P1020" s="4"/>
      <c r="Q1020" s="4"/>
      <c r="R1020" s="1126"/>
      <c r="S1020" s="711"/>
    </row>
    <row r="1021" spans="1:19" ht="15.75" hidden="1" customHeight="1">
      <c r="A1021" s="4"/>
      <c r="B1021" s="4"/>
      <c r="C1021" s="4"/>
      <c r="D1021" s="4"/>
      <c r="E1021" s="4"/>
      <c r="F1021" s="4"/>
      <c r="G1021" s="4"/>
      <c r="H1021" s="4"/>
      <c r="I1021" s="1124"/>
      <c r="J1021" s="4"/>
      <c r="K1021" s="4"/>
      <c r="L1021" s="4"/>
      <c r="M1021" s="4"/>
      <c r="N1021" s="4"/>
      <c r="O1021" s="4"/>
      <c r="P1021" s="4"/>
      <c r="Q1021" s="4"/>
      <c r="R1021" s="1126"/>
      <c r="S1021" s="711"/>
    </row>
    <row r="1022" spans="1:19" ht="15.75" hidden="1" customHeight="1">
      <c r="A1022" s="4"/>
      <c r="B1022" s="4"/>
      <c r="C1022" s="4"/>
      <c r="D1022" s="4"/>
      <c r="E1022" s="4"/>
      <c r="F1022" s="4"/>
      <c r="G1022" s="4"/>
      <c r="H1022" s="4"/>
      <c r="I1022" s="1124"/>
      <c r="J1022" s="4"/>
      <c r="K1022" s="4"/>
      <c r="L1022" s="4"/>
      <c r="M1022" s="4"/>
      <c r="N1022" s="4"/>
      <c r="O1022" s="4"/>
      <c r="P1022" s="4"/>
      <c r="Q1022" s="4"/>
      <c r="R1022" s="1126"/>
      <c r="S1022" s="711"/>
    </row>
    <row r="1023" spans="1:19" ht="15.75" hidden="1" customHeight="1">
      <c r="A1023" s="4"/>
      <c r="B1023" s="4"/>
      <c r="C1023" s="4"/>
      <c r="D1023" s="4"/>
      <c r="E1023" s="4"/>
      <c r="F1023" s="4"/>
      <c r="G1023" s="4"/>
      <c r="H1023" s="4"/>
      <c r="I1023" s="1124"/>
      <c r="J1023" s="4"/>
      <c r="K1023" s="4"/>
      <c r="L1023" s="4"/>
      <c r="M1023" s="4"/>
      <c r="N1023" s="4"/>
      <c r="O1023" s="4"/>
      <c r="P1023" s="4"/>
      <c r="Q1023" s="4"/>
      <c r="R1023" s="1126"/>
      <c r="S1023" s="711"/>
    </row>
    <row r="1024" spans="1:19" ht="15.75" hidden="1" customHeight="1">
      <c r="A1024" s="4"/>
      <c r="B1024" s="4"/>
      <c r="C1024" s="4"/>
      <c r="D1024" s="4"/>
      <c r="E1024" s="4"/>
      <c r="F1024" s="4"/>
      <c r="G1024" s="4"/>
      <c r="H1024" s="4"/>
      <c r="I1024" s="1124"/>
      <c r="J1024" s="4"/>
      <c r="K1024" s="4"/>
      <c r="L1024" s="4"/>
      <c r="M1024" s="4"/>
      <c r="N1024" s="4"/>
      <c r="O1024" s="4"/>
      <c r="P1024" s="4"/>
      <c r="Q1024" s="4"/>
      <c r="R1024" s="1126"/>
      <c r="S1024" s="711"/>
    </row>
    <row r="1025" spans="1:19" ht="15.75" hidden="1" customHeight="1">
      <c r="A1025" s="4"/>
      <c r="B1025" s="4"/>
      <c r="C1025" s="4"/>
      <c r="D1025" s="4"/>
      <c r="E1025" s="4"/>
      <c r="F1025" s="4"/>
      <c r="G1025" s="4"/>
      <c r="H1025" s="4"/>
      <c r="I1025" s="1124"/>
      <c r="J1025" s="4"/>
      <c r="K1025" s="4"/>
      <c r="L1025" s="4"/>
      <c r="M1025" s="4"/>
      <c r="N1025" s="4"/>
      <c r="O1025" s="4"/>
      <c r="P1025" s="4"/>
      <c r="Q1025" s="4"/>
      <c r="R1025" s="1126"/>
      <c r="S1025" s="711"/>
    </row>
    <row r="1026" spans="1:19" ht="15.75" hidden="1" customHeight="1">
      <c r="A1026" s="4"/>
      <c r="B1026" s="4"/>
      <c r="C1026" s="4"/>
      <c r="D1026" s="4"/>
      <c r="E1026" s="4"/>
      <c r="F1026" s="4"/>
      <c r="G1026" s="4"/>
      <c r="H1026" s="4"/>
      <c r="I1026" s="1124"/>
      <c r="J1026" s="4"/>
      <c r="K1026" s="4"/>
      <c r="L1026" s="4"/>
      <c r="M1026" s="4"/>
      <c r="N1026" s="4"/>
      <c r="O1026" s="4"/>
      <c r="P1026" s="4"/>
      <c r="Q1026" s="4"/>
      <c r="R1026" s="1126"/>
      <c r="S1026" s="711"/>
    </row>
    <row r="1027" spans="1:19" ht="15.75" hidden="1" customHeight="1">
      <c r="A1027" s="4"/>
      <c r="B1027" s="4"/>
      <c r="C1027" s="4"/>
      <c r="D1027" s="4"/>
      <c r="E1027" s="4"/>
      <c r="F1027" s="4"/>
      <c r="G1027" s="4"/>
      <c r="H1027" s="4"/>
      <c r="I1027" s="1124"/>
      <c r="J1027" s="4"/>
      <c r="K1027" s="4"/>
      <c r="L1027" s="4"/>
      <c r="M1027" s="4"/>
      <c r="N1027" s="4"/>
      <c r="O1027" s="4"/>
      <c r="P1027" s="4"/>
      <c r="Q1027" s="4"/>
      <c r="R1027" s="1126"/>
      <c r="S1027" s="711"/>
    </row>
    <row r="1028" spans="1:19" ht="15.75" hidden="1" customHeight="1">
      <c r="A1028" s="4"/>
      <c r="B1028" s="4"/>
      <c r="C1028" s="4"/>
      <c r="D1028" s="4"/>
      <c r="E1028" s="4"/>
      <c r="F1028" s="4"/>
      <c r="G1028" s="4"/>
      <c r="H1028" s="4"/>
      <c r="I1028" s="1124"/>
      <c r="J1028" s="4"/>
      <c r="K1028" s="4"/>
      <c r="L1028" s="4"/>
      <c r="M1028" s="4"/>
      <c r="N1028" s="4"/>
      <c r="O1028" s="4"/>
      <c r="P1028" s="4"/>
      <c r="Q1028" s="4"/>
      <c r="R1028" s="1126"/>
      <c r="S1028" s="711"/>
    </row>
    <row r="1029" spans="1:19" ht="15.75" hidden="1" customHeight="1">
      <c r="A1029" s="4"/>
      <c r="B1029" s="4"/>
      <c r="C1029" s="4"/>
      <c r="D1029" s="4"/>
      <c r="E1029" s="4"/>
      <c r="F1029" s="4"/>
      <c r="G1029" s="4"/>
      <c r="H1029" s="4"/>
      <c r="I1029" s="1124"/>
      <c r="J1029" s="4"/>
      <c r="K1029" s="4"/>
      <c r="L1029" s="4"/>
      <c r="M1029" s="4"/>
      <c r="N1029" s="4"/>
      <c r="O1029" s="4"/>
      <c r="P1029" s="4"/>
      <c r="Q1029" s="4"/>
      <c r="R1029" s="1126"/>
      <c r="S1029" s="711"/>
    </row>
    <row r="1030" spans="1:19" ht="15.75" hidden="1" customHeight="1">
      <c r="A1030" s="4"/>
      <c r="B1030" s="4"/>
      <c r="C1030" s="4"/>
      <c r="D1030" s="4"/>
      <c r="E1030" s="4"/>
      <c r="F1030" s="4"/>
      <c r="G1030" s="4"/>
      <c r="H1030" s="4"/>
      <c r="I1030" s="1124"/>
      <c r="J1030" s="4"/>
      <c r="K1030" s="4"/>
      <c r="L1030" s="4"/>
      <c r="M1030" s="4"/>
      <c r="N1030" s="4"/>
      <c r="O1030" s="4"/>
      <c r="P1030" s="4"/>
      <c r="Q1030" s="4"/>
      <c r="R1030" s="1126"/>
      <c r="S1030" s="711"/>
    </row>
    <row r="1031" spans="1:19" ht="15.75" hidden="1" customHeight="1">
      <c r="A1031" s="4"/>
      <c r="B1031" s="4"/>
      <c r="C1031" s="4"/>
      <c r="D1031" s="4"/>
      <c r="E1031" s="4"/>
      <c r="F1031" s="4"/>
      <c r="G1031" s="4"/>
      <c r="H1031" s="4"/>
      <c r="I1031" s="1124"/>
      <c r="J1031" s="4"/>
      <c r="K1031" s="4"/>
      <c r="L1031" s="4"/>
      <c r="M1031" s="4"/>
      <c r="N1031" s="4"/>
      <c r="O1031" s="4"/>
      <c r="P1031" s="4"/>
      <c r="Q1031" s="4"/>
      <c r="R1031" s="1126"/>
      <c r="S1031" s="711"/>
    </row>
    <row r="1032" spans="1:19" ht="15.75" customHeight="1">
      <c r="A1032" s="4"/>
      <c r="B1032" s="4"/>
      <c r="C1032" s="4"/>
      <c r="D1032" s="4"/>
      <c r="E1032" s="4"/>
      <c r="F1032" s="4"/>
      <c r="G1032" s="4"/>
      <c r="H1032" s="4"/>
      <c r="I1032" s="1124"/>
      <c r="J1032" s="4"/>
      <c r="K1032" s="4"/>
      <c r="L1032" s="4"/>
      <c r="M1032" s="4"/>
      <c r="N1032" s="4"/>
      <c r="O1032" s="4"/>
      <c r="P1032" s="4"/>
      <c r="Q1032" s="4"/>
      <c r="R1032" s="1126"/>
      <c r="S1032" s="711"/>
    </row>
    <row r="1033" spans="1:19" ht="15.75" hidden="1" customHeight="1">
      <c r="A1033" s="4"/>
      <c r="B1033" s="4"/>
      <c r="C1033" s="4"/>
      <c r="D1033" s="4"/>
      <c r="E1033" s="4"/>
      <c r="F1033" s="4"/>
      <c r="G1033" s="4"/>
      <c r="H1033" s="4"/>
      <c r="I1033" s="3445" t="s">
        <v>16045</v>
      </c>
      <c r="J1033" s="3446"/>
      <c r="K1033" s="3446"/>
      <c r="L1033" s="3446"/>
      <c r="M1033" s="3446"/>
      <c r="N1033" s="3446"/>
      <c r="O1033" s="3446"/>
      <c r="P1033" s="3446"/>
      <c r="Q1033" s="3446"/>
      <c r="R1033" s="3447"/>
      <c r="S1033" s="1103"/>
    </row>
    <row r="1034" spans="1:19" ht="15.75" hidden="1" customHeight="1">
      <c r="A1034" s="4"/>
      <c r="B1034" s="4"/>
      <c r="C1034" s="4"/>
      <c r="D1034" s="4"/>
      <c r="E1034" s="4"/>
      <c r="F1034" s="4"/>
      <c r="G1034" s="4"/>
      <c r="H1034" s="4"/>
      <c r="I1034" s="3448" t="s">
        <v>16046</v>
      </c>
      <c r="J1034" s="2634"/>
      <c r="K1034" s="2634"/>
      <c r="L1034" s="2634"/>
      <c r="M1034" s="2634"/>
      <c r="N1034" s="2634"/>
      <c r="O1034" s="2634"/>
      <c r="P1034" s="2634"/>
      <c r="Q1034" s="3449" t="s">
        <v>16047</v>
      </c>
      <c r="R1034" s="2618"/>
      <c r="S1034" s="1104"/>
    </row>
    <row r="1035" spans="1:19" ht="15.75" hidden="1" customHeight="1">
      <c r="A1035" s="4"/>
      <c r="B1035" s="4"/>
      <c r="C1035" s="4"/>
      <c r="D1035" s="4"/>
      <c r="E1035" s="4"/>
      <c r="F1035" s="4"/>
      <c r="G1035" s="4"/>
      <c r="H1035" s="4"/>
      <c r="I1035" s="3450" t="s">
        <v>16038</v>
      </c>
      <c r="J1035" s="2590"/>
      <c r="K1035" s="2590"/>
      <c r="L1035" s="2590"/>
      <c r="M1035" s="2590"/>
      <c r="N1035" s="2590"/>
      <c r="O1035" s="2590"/>
      <c r="P1035" s="2595"/>
      <c r="Q1035" s="3451" t="s">
        <v>16048</v>
      </c>
      <c r="R1035" s="3452"/>
      <c r="S1035" s="1105"/>
    </row>
    <row r="1036" spans="1:19" ht="15.75" hidden="1" customHeight="1">
      <c r="A1036" s="4"/>
      <c r="B1036" s="4"/>
      <c r="C1036" s="4"/>
      <c r="D1036" s="4"/>
      <c r="E1036" s="4"/>
      <c r="F1036" s="4"/>
      <c r="G1036" s="4"/>
      <c r="H1036" s="4"/>
      <c r="I1036" s="3454" t="s">
        <v>16049</v>
      </c>
      <c r="J1036" s="2590"/>
      <c r="K1036" s="2590"/>
      <c r="L1036" s="2590"/>
      <c r="M1036" s="2590"/>
      <c r="N1036" s="2590"/>
      <c r="O1036" s="2590"/>
      <c r="P1036" s="2595"/>
      <c r="Q1036" s="3453">
        <v>0.4</v>
      </c>
      <c r="R1036" s="2618"/>
      <c r="S1036" s="1106"/>
    </row>
    <row r="1037" spans="1:19" ht="15.75" hidden="1" customHeight="1">
      <c r="A1037" s="4"/>
      <c r="B1037" s="4"/>
      <c r="C1037" s="4"/>
      <c r="D1037" s="4"/>
      <c r="E1037" s="4"/>
      <c r="F1037" s="4"/>
      <c r="G1037" s="4"/>
      <c r="H1037" s="4"/>
      <c r="I1037" s="3455" t="s">
        <v>16051</v>
      </c>
      <c r="J1037" s="2590"/>
      <c r="K1037" s="2590"/>
      <c r="L1037" s="2590"/>
      <c r="M1037" s="2590"/>
      <c r="N1037" s="2590"/>
      <c r="O1037" s="2590"/>
      <c r="P1037" s="2595"/>
      <c r="Q1037" s="3453">
        <v>0.05</v>
      </c>
      <c r="R1037" s="2618"/>
      <c r="S1037" s="1106"/>
    </row>
    <row r="1038" spans="1:19" ht="15.75" hidden="1" customHeight="1">
      <c r="A1038" s="4"/>
      <c r="B1038" s="4"/>
      <c r="C1038" s="4"/>
      <c r="D1038" s="4"/>
      <c r="E1038" s="4"/>
      <c r="F1038" s="4"/>
      <c r="G1038" s="4"/>
      <c r="H1038" s="4"/>
      <c r="I1038" s="1107"/>
      <c r="J1038" s="130"/>
      <c r="K1038" s="130"/>
      <c r="L1038" s="130"/>
      <c r="M1038" s="130"/>
      <c r="N1038" s="130"/>
      <c r="O1038" s="130"/>
      <c r="P1038" s="130"/>
      <c r="Q1038" s="130"/>
      <c r="R1038" s="1108"/>
      <c r="S1038" s="1109"/>
    </row>
    <row r="1039" spans="1:19" ht="15.75" hidden="1" customHeight="1">
      <c r="A1039" s="4"/>
      <c r="B1039" s="4"/>
      <c r="C1039" s="4"/>
      <c r="D1039" s="4"/>
      <c r="E1039" s="4"/>
      <c r="F1039" s="4"/>
      <c r="G1039" s="4"/>
      <c r="H1039" s="4"/>
      <c r="I1039" s="3460" t="s">
        <v>16052</v>
      </c>
      <c r="J1039" s="2634"/>
      <c r="K1039" s="2634"/>
      <c r="L1039" s="3461"/>
      <c r="M1039" s="3456" t="s">
        <v>16053</v>
      </c>
      <c r="N1039" s="3458" t="s">
        <v>16054</v>
      </c>
      <c r="O1039" s="3458" t="s">
        <v>16055</v>
      </c>
      <c r="P1039" s="3459" t="s">
        <v>16056</v>
      </c>
      <c r="Q1039" s="2590"/>
      <c r="R1039" s="2618"/>
      <c r="S1039" s="1092"/>
    </row>
    <row r="1040" spans="1:19" ht="15.75" hidden="1" customHeight="1">
      <c r="A1040" s="4"/>
      <c r="B1040" s="4"/>
      <c r="C1040" s="4"/>
      <c r="D1040" s="4"/>
      <c r="E1040" s="4"/>
      <c r="F1040" s="4"/>
      <c r="G1040" s="4"/>
      <c r="H1040" s="4"/>
      <c r="I1040" s="3462"/>
      <c r="J1040" s="2631"/>
      <c r="K1040" s="2631"/>
      <c r="L1040" s="2625"/>
      <c r="M1040" s="3457"/>
      <c r="N1040" s="3457"/>
      <c r="O1040" s="3457"/>
      <c r="P1040" s="1110" t="s">
        <v>12546</v>
      </c>
      <c r="Q1040" s="1110" t="s">
        <v>12547</v>
      </c>
      <c r="R1040" s="1111" t="s">
        <v>12548</v>
      </c>
      <c r="S1040" s="1112"/>
    </row>
    <row r="1041" spans="1:19" ht="15.75" hidden="1" customHeight="1">
      <c r="A1041" s="4"/>
      <c r="B1041" s="4"/>
      <c r="C1041" s="4"/>
      <c r="D1041" s="4"/>
      <c r="E1041" s="4"/>
      <c r="F1041" s="4"/>
      <c r="G1041" s="4"/>
      <c r="H1041" s="4"/>
      <c r="I1041" s="3463" t="str">
        <f>IF($I$11=$A$80,"Encargos Sociais incidentes sobre a mão de obra","Administração Central")</f>
        <v>Administração Central</v>
      </c>
      <c r="J1041" s="2590"/>
      <c r="K1041" s="2590"/>
      <c r="L1041" s="2595"/>
      <c r="M1041" s="1113" t="str">
        <f>IF($I$11=$A$80,"K1","AC")</f>
        <v>AC</v>
      </c>
      <c r="N1041" s="1143">
        <v>3.4500000000000003E-2</v>
      </c>
      <c r="O1041" s="1115" t="s">
        <v>16057</v>
      </c>
      <c r="P1041" s="1116">
        <v>1.4999999999999999E-2</v>
      </c>
      <c r="Q1041" s="1116">
        <v>3.4500000000000003E-2</v>
      </c>
      <c r="R1041" s="1117">
        <v>4.4900000000000002E-2</v>
      </c>
      <c r="S1041" s="1118"/>
    </row>
    <row r="1042" spans="1:19" ht="15.75" hidden="1" customHeight="1">
      <c r="A1042" s="4"/>
      <c r="B1042" s="4"/>
      <c r="C1042" s="4"/>
      <c r="D1042" s="4"/>
      <c r="E1042" s="4"/>
      <c r="F1042" s="4"/>
      <c r="G1042" s="4"/>
      <c r="H1042" s="4"/>
      <c r="I1042" s="3463" t="str">
        <f>IF($I$11=$A$80,"Administração Central da empresa ou consultoria - overhead","Seguro e Garantia")</f>
        <v>Seguro e Garantia</v>
      </c>
      <c r="J1042" s="2590"/>
      <c r="K1042" s="2590"/>
      <c r="L1042" s="2595"/>
      <c r="M1042" s="1113" t="str">
        <f>IF($I$11=$A$80,"K2","SG")</f>
        <v>SG</v>
      </c>
      <c r="N1042" s="1144">
        <v>4.7999999999999996E-3</v>
      </c>
      <c r="O1042" s="1115" t="s">
        <v>16057</v>
      </c>
      <c r="P1042" s="1116">
        <v>3.0000000000000001E-3</v>
      </c>
      <c r="Q1042" s="1116">
        <v>4.7999999999999996E-3</v>
      </c>
      <c r="R1042" s="1117">
        <v>8.2000000000000007E-3</v>
      </c>
      <c r="S1042" s="1118"/>
    </row>
    <row r="1043" spans="1:19" ht="15.75" hidden="1" customHeight="1">
      <c r="A1043" s="4"/>
      <c r="B1043" s="4"/>
      <c r="C1043" s="4"/>
      <c r="D1043" s="4"/>
      <c r="E1043" s="4"/>
      <c r="F1043" s="4"/>
      <c r="G1043" s="4"/>
      <c r="H1043" s="4"/>
      <c r="I1043" s="3463" t="str">
        <f>IF($I$11=$A$80,"","Risco")</f>
        <v>Risco</v>
      </c>
      <c r="J1043" s="2590"/>
      <c r="K1043" s="2590"/>
      <c r="L1043" s="2595"/>
      <c r="M1043" s="1113" t="str">
        <f>IF($I$11=$A$80,"","R")</f>
        <v>R</v>
      </c>
      <c r="N1043" s="1144">
        <v>8.5000000000000006E-3</v>
      </c>
      <c r="O1043" s="1115" t="s">
        <v>16057</v>
      </c>
      <c r="P1043" s="1116">
        <v>5.5999999999999999E-3</v>
      </c>
      <c r="Q1043" s="1116">
        <v>8.5000000000000006E-3</v>
      </c>
      <c r="R1043" s="1117">
        <v>8.8999999999999999E-3</v>
      </c>
      <c r="S1043" s="1118"/>
    </row>
    <row r="1044" spans="1:19" ht="15.75" hidden="1" customHeight="1">
      <c r="A1044" s="4"/>
      <c r="B1044" s="4"/>
      <c r="C1044" s="4"/>
      <c r="D1044" s="4"/>
      <c r="E1044" s="4"/>
      <c r="F1044" s="4"/>
      <c r="G1044" s="4"/>
      <c r="H1044" s="4"/>
      <c r="I1044" s="3463" t="str">
        <f>IF($I$11=$A$80,"","Despesas Financeiras")</f>
        <v>Despesas Financeiras</v>
      </c>
      <c r="J1044" s="2590"/>
      <c r="K1044" s="2590"/>
      <c r="L1044" s="2595"/>
      <c r="M1044" s="1113" t="str">
        <f>IF($I$11=$A$80,"","DF")</f>
        <v>DF</v>
      </c>
      <c r="N1044" s="1144">
        <v>8.5000000000000006E-3</v>
      </c>
      <c r="O1044" s="1115" t="s">
        <v>16057</v>
      </c>
      <c r="P1044" s="1116">
        <v>8.5000000000000006E-3</v>
      </c>
      <c r="Q1044" s="1116">
        <v>8.5000000000000006E-3</v>
      </c>
      <c r="R1044" s="1117">
        <v>1.11E-2</v>
      </c>
      <c r="S1044" s="1118"/>
    </row>
    <row r="1045" spans="1:19" ht="15.75" hidden="1" customHeight="1">
      <c r="A1045" s="4"/>
      <c r="B1045" s="4"/>
      <c r="C1045" s="4"/>
      <c r="D1045" s="4"/>
      <c r="E1045" s="4"/>
      <c r="F1045" s="4"/>
      <c r="G1045" s="4"/>
      <c r="H1045" s="4"/>
      <c r="I1045" s="3463" t="str">
        <f>IF($I$11=$A$80,"Margem bruta da empresa de consultoria","Lucro")</f>
        <v>Lucro</v>
      </c>
      <c r="J1045" s="2590"/>
      <c r="K1045" s="2590"/>
      <c r="L1045" s="2595"/>
      <c r="M1045" s="1113" t="str">
        <f>IF($I$11=$A$80,"K3","L")</f>
        <v>L</v>
      </c>
      <c r="N1045" s="1144">
        <v>5.11E-2</v>
      </c>
      <c r="O1045" s="1115" t="s">
        <v>16057</v>
      </c>
      <c r="P1045" s="1116">
        <v>3.5000000000000003E-2</v>
      </c>
      <c r="Q1045" s="1116">
        <v>5.11E-2</v>
      </c>
      <c r="R1045" s="1117">
        <v>6.2199999999999998E-2</v>
      </c>
      <c r="S1045" s="1118"/>
    </row>
    <row r="1046" spans="1:19" ht="15.75" hidden="1" customHeight="1">
      <c r="A1046" s="4"/>
      <c r="B1046" s="4"/>
      <c r="C1046" s="4"/>
      <c r="D1046" s="4"/>
      <c r="E1046" s="4"/>
      <c r="F1046" s="4"/>
      <c r="G1046" s="4"/>
      <c r="H1046" s="4"/>
      <c r="I1046" s="3464" t="s">
        <v>16059</v>
      </c>
      <c r="J1046" s="2590"/>
      <c r="K1046" s="2590"/>
      <c r="L1046" s="2595"/>
      <c r="M1046" s="1113" t="s">
        <v>16060</v>
      </c>
      <c r="N1046" s="1144">
        <v>3.6499999999999998E-2</v>
      </c>
      <c r="O1046" s="1115" t="s">
        <v>16057</v>
      </c>
      <c r="P1046" s="1116">
        <v>3.6499999999999998E-2</v>
      </c>
      <c r="Q1046" s="1116">
        <v>3.6499999999999998E-2</v>
      </c>
      <c r="R1046" s="1117">
        <v>3.6499999999999998E-2</v>
      </c>
      <c r="S1046" s="1118"/>
    </row>
    <row r="1047" spans="1:19" ht="15.75" hidden="1" customHeight="1">
      <c r="A1047" s="4"/>
      <c r="B1047" s="4"/>
      <c r="C1047" s="4"/>
      <c r="D1047" s="4"/>
      <c r="E1047" s="4"/>
      <c r="F1047" s="4"/>
      <c r="G1047" s="4"/>
      <c r="H1047" s="4"/>
      <c r="I1047" s="3463" t="s">
        <v>16061</v>
      </c>
      <c r="J1047" s="2590"/>
      <c r="K1047" s="2590"/>
      <c r="L1047" s="2595"/>
      <c r="M1047" s="1113" t="s">
        <v>16062</v>
      </c>
      <c r="N1047" s="1116">
        <v>0</v>
      </c>
      <c r="O1047" s="1115" t="s">
        <v>16057</v>
      </c>
      <c r="P1047" s="1116">
        <v>0</v>
      </c>
      <c r="Q1047" s="1116">
        <v>0</v>
      </c>
      <c r="R1047" s="1117">
        <v>0</v>
      </c>
      <c r="S1047" s="1118"/>
    </row>
    <row r="1048" spans="1:19" ht="15.75" hidden="1" customHeight="1">
      <c r="A1048" s="4"/>
      <c r="B1048" s="4"/>
      <c r="C1048" s="4"/>
      <c r="D1048" s="4"/>
      <c r="E1048" s="4"/>
      <c r="F1048" s="4"/>
      <c r="G1048" s="4"/>
      <c r="H1048" s="4"/>
      <c r="I1048" s="3463" t="s">
        <v>16063</v>
      </c>
      <c r="J1048" s="2590"/>
      <c r="K1048" s="2590"/>
      <c r="L1048" s="2595"/>
      <c r="M1048" s="1113" t="s">
        <v>16064</v>
      </c>
      <c r="N1048" s="1116">
        <v>0</v>
      </c>
      <c r="O1048" s="1115" t="str">
        <f>IF(AND(N1048&gt;=P1048, N1048&lt;=R1048), "OK", "Não OK")</f>
        <v>OK</v>
      </c>
      <c r="P1048" s="1120">
        <v>0</v>
      </c>
      <c r="Q1048" s="1120">
        <v>0</v>
      </c>
      <c r="R1048" s="1121">
        <v>0</v>
      </c>
      <c r="S1048" s="1122"/>
    </row>
    <row r="1049" spans="1:19" ht="15.75" hidden="1" customHeight="1">
      <c r="A1049" s="4"/>
      <c r="B1049" s="4"/>
      <c r="C1049" s="4"/>
      <c r="D1049" s="4"/>
      <c r="E1049" s="4"/>
      <c r="F1049" s="4"/>
      <c r="G1049" s="4"/>
      <c r="H1049" s="4"/>
      <c r="I1049" s="3463" t="s">
        <v>16065</v>
      </c>
      <c r="J1049" s="2590"/>
      <c r="K1049" s="2590"/>
      <c r="L1049" s="2595"/>
      <c r="M1049" s="1123" t="s">
        <v>16043</v>
      </c>
      <c r="N1049" s="1145">
        <f>ROUND((((1+N1041+N1042+N1043)*(1+N1044)*(1+N1045)/(1-(N1046+N1047)))-1),4)</f>
        <v>0.15279999999999999</v>
      </c>
      <c r="O1049" s="1115" t="str">
        <f>IF(OR($I$11=$A$80,AND(N1049&gt;=P1049, N1049&lt;=R1049)), "OK", "NÃO OK")</f>
        <v>OK</v>
      </c>
      <c r="P1049" s="1146">
        <v>0.111</v>
      </c>
      <c r="Q1049" s="1146">
        <v>0.14019999999999999</v>
      </c>
      <c r="R1049" s="1147">
        <v>0.16800000000000001</v>
      </c>
      <c r="S1049" s="1148"/>
    </row>
    <row r="1050" spans="1:19" ht="15.75" hidden="1" customHeight="1">
      <c r="A1050" s="4"/>
      <c r="B1050" s="4"/>
      <c r="C1050" s="4"/>
      <c r="D1050" s="4"/>
      <c r="E1050" s="4"/>
      <c r="F1050" s="4"/>
      <c r="G1050" s="4"/>
      <c r="H1050" s="4"/>
      <c r="I1050" s="1124"/>
      <c r="J1050" s="4"/>
      <c r="K1050" s="4"/>
      <c r="L1050" s="4"/>
      <c r="M1050" s="4"/>
      <c r="N1050" s="1125">
        <f>1+(ROUND((((1+N1041+N1042+N1043)*(1+N1044)*(1+N1045)/(1-(N1046+N1047+N1048)))-1),4))</f>
        <v>1.1528</v>
      </c>
      <c r="O1050" s="4"/>
      <c r="P1050" s="4"/>
      <c r="Q1050" s="4"/>
      <c r="R1050" s="1126"/>
      <c r="S1050" s="711"/>
    </row>
    <row r="1051" spans="1:19" ht="15.75" hidden="1" customHeight="1">
      <c r="A1051" s="4"/>
      <c r="B1051" s="4"/>
      <c r="C1051" s="4"/>
      <c r="D1051" s="4"/>
      <c r="E1051" s="4"/>
      <c r="F1051" s="4"/>
      <c r="G1051" s="4"/>
      <c r="H1051" s="4"/>
      <c r="I1051" s="3465" t="s">
        <v>16066</v>
      </c>
      <c r="J1051" s="2588"/>
      <c r="K1051" s="2588"/>
      <c r="L1051" s="2588"/>
      <c r="M1051" s="2588"/>
      <c r="N1051" s="2588"/>
      <c r="O1051" s="2588"/>
      <c r="P1051" s="2588"/>
      <c r="Q1051" s="2588"/>
      <c r="R1051" s="2621"/>
      <c r="S1051" s="1103"/>
    </row>
    <row r="1052" spans="1:19" ht="15.75" hidden="1" customHeight="1">
      <c r="A1052" s="4"/>
      <c r="B1052" s="4"/>
      <c r="C1052" s="4"/>
      <c r="D1052" s="4"/>
      <c r="E1052" s="4"/>
      <c r="F1052" s="4"/>
      <c r="G1052" s="4"/>
      <c r="H1052" s="4"/>
      <c r="I1052" s="3448" t="s">
        <v>16046</v>
      </c>
      <c r="J1052" s="2634"/>
      <c r="K1052" s="2634"/>
      <c r="L1052" s="2634"/>
      <c r="M1052" s="2634"/>
      <c r="N1052" s="2634"/>
      <c r="O1052" s="2634"/>
      <c r="P1052" s="2634"/>
      <c r="Q1052" s="3449" t="s">
        <v>16047</v>
      </c>
      <c r="R1052" s="2618"/>
      <c r="S1052" s="1104"/>
    </row>
    <row r="1053" spans="1:19" ht="15.75" hidden="1" customHeight="1">
      <c r="A1053" s="4"/>
      <c r="B1053" s="4"/>
      <c r="C1053" s="4"/>
      <c r="D1053" s="4"/>
      <c r="E1053" s="4"/>
      <c r="F1053" s="4"/>
      <c r="G1053" s="4"/>
      <c r="H1053" s="4"/>
      <c r="I1053" s="3450" t="s">
        <v>16038</v>
      </c>
      <c r="J1053" s="2590"/>
      <c r="K1053" s="2590"/>
      <c r="L1053" s="2590"/>
      <c r="M1053" s="2590"/>
      <c r="N1053" s="2590"/>
      <c r="O1053" s="2590"/>
      <c r="P1053" s="2595"/>
      <c r="Q1053" s="3451" t="s">
        <v>16048</v>
      </c>
      <c r="R1053" s="3452"/>
      <c r="S1053" s="1105"/>
    </row>
    <row r="1054" spans="1:19" ht="15.75" hidden="1" customHeight="1">
      <c r="A1054" s="4"/>
      <c r="B1054" s="4"/>
      <c r="C1054" s="4"/>
      <c r="D1054" s="4"/>
      <c r="E1054" s="4"/>
      <c r="F1054" s="4"/>
      <c r="G1054" s="4"/>
      <c r="H1054" s="4"/>
      <c r="I1054" s="3454" t="s">
        <v>16049</v>
      </c>
      <c r="J1054" s="2590"/>
      <c r="K1054" s="2590"/>
      <c r="L1054" s="2590"/>
      <c r="M1054" s="2590"/>
      <c r="N1054" s="2590"/>
      <c r="O1054" s="2590"/>
      <c r="P1054" s="2595"/>
      <c r="Q1054" s="3453">
        <v>0.4</v>
      </c>
      <c r="R1054" s="2618"/>
      <c r="S1054" s="1106"/>
    </row>
    <row r="1055" spans="1:19" ht="15.75" hidden="1" customHeight="1">
      <c r="A1055" s="4"/>
      <c r="B1055" s="4"/>
      <c r="C1055" s="4"/>
      <c r="D1055" s="4"/>
      <c r="E1055" s="4"/>
      <c r="F1055" s="4"/>
      <c r="G1055" s="4"/>
      <c r="H1055" s="4"/>
      <c r="I1055" s="3455" t="s">
        <v>16051</v>
      </c>
      <c r="J1055" s="2590"/>
      <c r="K1055" s="2590"/>
      <c r="L1055" s="2590"/>
      <c r="M1055" s="2590"/>
      <c r="N1055" s="2590"/>
      <c r="O1055" s="2590"/>
      <c r="P1055" s="2595"/>
      <c r="Q1055" s="3453">
        <v>0.05</v>
      </c>
      <c r="R1055" s="2618"/>
      <c r="S1055" s="1106"/>
    </row>
    <row r="1056" spans="1:19" ht="15.75" hidden="1" customHeight="1">
      <c r="A1056" s="4"/>
      <c r="B1056" s="4"/>
      <c r="C1056" s="4"/>
      <c r="D1056" s="4"/>
      <c r="E1056" s="4"/>
      <c r="F1056" s="4"/>
      <c r="G1056" s="4"/>
      <c r="H1056" s="4"/>
      <c r="I1056" s="1107"/>
      <c r="J1056" s="130"/>
      <c r="K1056" s="130"/>
      <c r="L1056" s="130"/>
      <c r="M1056" s="130"/>
      <c r="N1056" s="130"/>
      <c r="O1056" s="130"/>
      <c r="P1056" s="130"/>
      <c r="Q1056" s="130"/>
      <c r="R1056" s="1108"/>
      <c r="S1056" s="1109"/>
    </row>
    <row r="1057" spans="1:19" ht="15.75" hidden="1" customHeight="1">
      <c r="A1057" s="4"/>
      <c r="B1057" s="4"/>
      <c r="C1057" s="4"/>
      <c r="D1057" s="4"/>
      <c r="E1057" s="4"/>
      <c r="F1057" s="4"/>
      <c r="G1057" s="4"/>
      <c r="H1057" s="4"/>
      <c r="I1057" s="3460" t="s">
        <v>16052</v>
      </c>
      <c r="J1057" s="2634"/>
      <c r="K1057" s="2634"/>
      <c r="L1057" s="3461"/>
      <c r="M1057" s="3456" t="s">
        <v>16053</v>
      </c>
      <c r="N1057" s="3458" t="s">
        <v>16054</v>
      </c>
      <c r="O1057" s="3458" t="s">
        <v>16055</v>
      </c>
      <c r="P1057" s="3459" t="s">
        <v>16056</v>
      </c>
      <c r="Q1057" s="2590"/>
      <c r="R1057" s="2618"/>
      <c r="S1057" s="1092"/>
    </row>
    <row r="1058" spans="1:19" ht="15.75" hidden="1" customHeight="1">
      <c r="A1058" s="4"/>
      <c r="B1058" s="4"/>
      <c r="C1058" s="4"/>
      <c r="D1058" s="4"/>
      <c r="E1058" s="4"/>
      <c r="F1058" s="4"/>
      <c r="G1058" s="4"/>
      <c r="H1058" s="4"/>
      <c r="I1058" s="3462"/>
      <c r="J1058" s="2631"/>
      <c r="K1058" s="2631"/>
      <c r="L1058" s="2625"/>
      <c r="M1058" s="3457"/>
      <c r="N1058" s="3457"/>
      <c r="O1058" s="3457"/>
      <c r="P1058" s="1110" t="s">
        <v>12546</v>
      </c>
      <c r="Q1058" s="1110" t="s">
        <v>12547</v>
      </c>
      <c r="R1058" s="1111" t="s">
        <v>12548</v>
      </c>
      <c r="S1058" s="1112"/>
    </row>
    <row r="1059" spans="1:19" ht="15.75" hidden="1" customHeight="1">
      <c r="A1059" s="4"/>
      <c r="B1059" s="4"/>
      <c r="C1059" s="4"/>
      <c r="D1059" s="4"/>
      <c r="E1059" s="4"/>
      <c r="F1059" s="4"/>
      <c r="G1059" s="4"/>
      <c r="H1059" s="4"/>
      <c r="I1059" s="3463" t="str">
        <f>IF($I$11=$A$80,"Encargos Sociais incidentes sobre a mão de obra","Administração Central")</f>
        <v>Administração Central</v>
      </c>
      <c r="J1059" s="2590"/>
      <c r="K1059" s="2590"/>
      <c r="L1059" s="2595"/>
      <c r="M1059" s="1113" t="str">
        <f>IF($I$11=$A$80,"K1","AC")</f>
        <v>AC</v>
      </c>
      <c r="N1059" s="1114">
        <f>N1041*1.08</f>
        <v>3.7260000000000008E-2</v>
      </c>
      <c r="O1059" s="1115" t="s">
        <v>16057</v>
      </c>
      <c r="P1059" s="1116">
        <v>1.4999999999999999E-2</v>
      </c>
      <c r="Q1059" s="1116">
        <v>3.4500000000000003E-2</v>
      </c>
      <c r="R1059" s="1117">
        <v>4.4900000000000002E-2</v>
      </c>
      <c r="S1059" s="1118"/>
    </row>
    <row r="1060" spans="1:19" ht="15.75" hidden="1" customHeight="1">
      <c r="A1060" s="4"/>
      <c r="B1060" s="4"/>
      <c r="C1060" s="4"/>
      <c r="D1060" s="4"/>
      <c r="E1060" s="4"/>
      <c r="F1060" s="4"/>
      <c r="G1060" s="4"/>
      <c r="H1060" s="4"/>
      <c r="I1060" s="3463" t="str">
        <f>IF($I$11=$A$80,"Administração Central da empresa ou consultoria - overhead","Seguro e Garantia")</f>
        <v>Seguro e Garantia</v>
      </c>
      <c r="J1060" s="2590"/>
      <c r="K1060" s="2590"/>
      <c r="L1060" s="2595"/>
      <c r="M1060" s="1113" t="str">
        <f>IF($I$11=$A$80,"K2","SG")</f>
        <v>SG</v>
      </c>
      <c r="N1060" s="1114">
        <f>N1042*1.08</f>
        <v>5.1840000000000002E-3</v>
      </c>
      <c r="O1060" s="1115" t="s">
        <v>16057</v>
      </c>
      <c r="P1060" s="1116">
        <v>3.0000000000000001E-3</v>
      </c>
      <c r="Q1060" s="1116">
        <v>4.7999999999999996E-3</v>
      </c>
      <c r="R1060" s="1117">
        <v>8.2000000000000007E-3</v>
      </c>
      <c r="S1060" s="1118"/>
    </row>
    <row r="1061" spans="1:19" ht="15.75" hidden="1" customHeight="1">
      <c r="A1061" s="4"/>
      <c r="B1061" s="4"/>
      <c r="C1061" s="4"/>
      <c r="D1061" s="4"/>
      <c r="E1061" s="4"/>
      <c r="F1061" s="4"/>
      <c r="G1061" s="4"/>
      <c r="H1061" s="4"/>
      <c r="I1061" s="3463" t="str">
        <f>IF($I$11=$A$80,"","Risco")</f>
        <v>Risco</v>
      </c>
      <c r="J1061" s="2590"/>
      <c r="K1061" s="2590"/>
      <c r="L1061" s="2595"/>
      <c r="M1061" s="1113" t="str">
        <f>IF($I$11=$A$80,"","R")</f>
        <v>R</v>
      </c>
      <c r="N1061" s="1114">
        <f>N1043*1.04</f>
        <v>8.8400000000000006E-3</v>
      </c>
      <c r="O1061" s="1115" t="s">
        <v>16057</v>
      </c>
      <c r="P1061" s="1116">
        <v>5.5999999999999999E-3</v>
      </c>
      <c r="Q1061" s="1116">
        <v>8.5000000000000006E-3</v>
      </c>
      <c r="R1061" s="1117">
        <v>8.8999999999999999E-3</v>
      </c>
      <c r="S1061" s="1118"/>
    </row>
    <row r="1062" spans="1:19" ht="15.75" hidden="1" customHeight="1">
      <c r="A1062" s="4"/>
      <c r="B1062" s="4"/>
      <c r="C1062" s="4"/>
      <c r="D1062" s="4"/>
      <c r="E1062" s="4"/>
      <c r="F1062" s="4"/>
      <c r="G1062" s="4"/>
      <c r="H1062" s="4"/>
      <c r="I1062" s="3463" t="str">
        <f>IF($I$11=$A$80,"","Despesas Financeiras")</f>
        <v>Despesas Financeiras</v>
      </c>
      <c r="J1062" s="2590"/>
      <c r="K1062" s="2590"/>
      <c r="L1062" s="2595"/>
      <c r="M1062" s="1113" t="str">
        <f>IF($I$11=$A$80,"","DF")</f>
        <v>DF</v>
      </c>
      <c r="N1062" s="1114">
        <f>N1044*1.08</f>
        <v>9.1800000000000007E-3</v>
      </c>
      <c r="O1062" s="1115" t="s">
        <v>16057</v>
      </c>
      <c r="P1062" s="1116">
        <v>8.5000000000000006E-3</v>
      </c>
      <c r="Q1062" s="1116">
        <v>8.5000000000000006E-3</v>
      </c>
      <c r="R1062" s="1117">
        <v>1.11E-2</v>
      </c>
      <c r="S1062" s="1118"/>
    </row>
    <row r="1063" spans="1:19" ht="15.75" hidden="1" customHeight="1">
      <c r="A1063" s="4"/>
      <c r="B1063" s="4"/>
      <c r="C1063" s="4"/>
      <c r="D1063" s="4"/>
      <c r="E1063" s="4"/>
      <c r="F1063" s="4"/>
      <c r="G1063" s="4"/>
      <c r="H1063" s="4"/>
      <c r="I1063" s="3463" t="str">
        <f>IF($I$11=$A$80,"Margem bruta da empresa de consultoria","Lucro")</f>
        <v>Lucro</v>
      </c>
      <c r="J1063" s="2590"/>
      <c r="K1063" s="2590"/>
      <c r="L1063" s="2595"/>
      <c r="M1063" s="1113" t="str">
        <f>IF($I$11=$A$80,"K3","L")</f>
        <v>L</v>
      </c>
      <c r="N1063" s="1114">
        <f>N1045*1.08</f>
        <v>5.5188000000000001E-2</v>
      </c>
      <c r="O1063" s="1115" t="s">
        <v>16057</v>
      </c>
      <c r="P1063" s="1116">
        <v>3.5000000000000003E-2</v>
      </c>
      <c r="Q1063" s="1116">
        <v>5.11E-2</v>
      </c>
      <c r="R1063" s="1117">
        <v>6.2199999999999998E-2</v>
      </c>
      <c r="S1063" s="1118"/>
    </row>
    <row r="1064" spans="1:19" ht="15.75" hidden="1" customHeight="1">
      <c r="A1064" s="4"/>
      <c r="B1064" s="4"/>
      <c r="C1064" s="4"/>
      <c r="D1064" s="4"/>
      <c r="E1064" s="4"/>
      <c r="F1064" s="4"/>
      <c r="G1064" s="4"/>
      <c r="H1064" s="4"/>
      <c r="I1064" s="3464" t="s">
        <v>16059</v>
      </c>
      <c r="J1064" s="2590"/>
      <c r="K1064" s="2590"/>
      <c r="L1064" s="2595"/>
      <c r="M1064" s="1113" t="s">
        <v>16060</v>
      </c>
      <c r="N1064" s="1114">
        <v>3.6499999999999998E-2</v>
      </c>
      <c r="O1064" s="1115" t="s">
        <v>16057</v>
      </c>
      <c r="P1064" s="1116">
        <v>3.6499999999999998E-2</v>
      </c>
      <c r="Q1064" s="1116">
        <v>3.6499999999999998E-2</v>
      </c>
      <c r="R1064" s="1117">
        <v>3.6499999999999998E-2</v>
      </c>
      <c r="S1064" s="1118"/>
    </row>
    <row r="1065" spans="1:19" ht="15.75" hidden="1" customHeight="1">
      <c r="A1065" s="4"/>
      <c r="B1065" s="4"/>
      <c r="C1065" s="4"/>
      <c r="D1065" s="4"/>
      <c r="E1065" s="4"/>
      <c r="F1065" s="4"/>
      <c r="G1065" s="4"/>
      <c r="H1065" s="4"/>
      <c r="I1065" s="3463" t="s">
        <v>16061</v>
      </c>
      <c r="J1065" s="2590"/>
      <c r="K1065" s="2590"/>
      <c r="L1065" s="2595"/>
      <c r="M1065" s="1113" t="s">
        <v>16062</v>
      </c>
      <c r="N1065" s="1116">
        <v>0</v>
      </c>
      <c r="O1065" s="1115" t="s">
        <v>16057</v>
      </c>
      <c r="P1065" s="1116">
        <v>0</v>
      </c>
      <c r="Q1065" s="1116">
        <v>0</v>
      </c>
      <c r="R1065" s="1117">
        <v>0</v>
      </c>
      <c r="S1065" s="1118"/>
    </row>
    <row r="1066" spans="1:19" ht="15.75" hidden="1" customHeight="1">
      <c r="A1066" s="4"/>
      <c r="B1066" s="4"/>
      <c r="C1066" s="4"/>
      <c r="D1066" s="4"/>
      <c r="E1066" s="4"/>
      <c r="F1066" s="4"/>
      <c r="G1066" s="4"/>
      <c r="H1066" s="4"/>
      <c r="I1066" s="3463" t="s">
        <v>16063</v>
      </c>
      <c r="J1066" s="2590"/>
      <c r="K1066" s="2590"/>
      <c r="L1066" s="2595"/>
      <c r="M1066" s="1113" t="s">
        <v>16064</v>
      </c>
      <c r="N1066" s="1116">
        <v>0</v>
      </c>
      <c r="O1066" s="1115" t="str">
        <f>IF(AND(N1066&gt;=P1066, N1066&lt;=R1066), "OK", "Não OK")</f>
        <v>OK</v>
      </c>
      <c r="P1066" s="1120">
        <v>0</v>
      </c>
      <c r="Q1066" s="1120">
        <v>0</v>
      </c>
      <c r="R1066" s="1121">
        <v>0</v>
      </c>
      <c r="S1066" s="1122"/>
    </row>
    <row r="1067" spans="1:19" ht="15.75" hidden="1" customHeight="1">
      <c r="A1067" s="4"/>
      <c r="B1067" s="4"/>
      <c r="C1067" s="4"/>
      <c r="D1067" s="4"/>
      <c r="E1067" s="4"/>
      <c r="F1067" s="4"/>
      <c r="G1067" s="4"/>
      <c r="H1067" s="4"/>
      <c r="I1067" s="3463" t="s">
        <v>16065</v>
      </c>
      <c r="J1067" s="2590"/>
      <c r="K1067" s="2590"/>
      <c r="L1067" s="2595"/>
      <c r="M1067" s="1123" t="s">
        <v>16043</v>
      </c>
      <c r="N1067" s="1145">
        <f>ROUND((((1+N1059+N1060+N1061)*(1+N1062)*(1+N1063)/(1-(N1064+N1065)))-1),4)</f>
        <v>0.16189999999999999</v>
      </c>
      <c r="O1067" s="1115" t="str">
        <f>IF(OR($I$11=$A$80,AND(N1067&gt;=P1067, N1067&lt;=R1067)), "OK", "NÃO OK")</f>
        <v>OK</v>
      </c>
      <c r="P1067" s="1146">
        <v>0.111</v>
      </c>
      <c r="Q1067" s="1146">
        <v>0.14019999999999999</v>
      </c>
      <c r="R1067" s="1147">
        <v>0.16800000000000001</v>
      </c>
      <c r="S1067" s="1148"/>
    </row>
    <row r="1068" spans="1:19" ht="15.75" hidden="1" customHeight="1">
      <c r="A1068" s="4"/>
      <c r="B1068" s="4"/>
      <c r="C1068" s="4"/>
      <c r="D1068" s="4"/>
      <c r="E1068" s="4"/>
      <c r="F1068" s="4"/>
      <c r="G1068" s="4"/>
      <c r="H1068" s="4"/>
      <c r="I1068" s="1124"/>
      <c r="J1068" s="4"/>
      <c r="K1068" s="4"/>
      <c r="L1068" s="4"/>
      <c r="M1068" s="4"/>
      <c r="N1068" s="1125">
        <f>1+(ROUND((((1+N1059+N1060+N1061)*(1+N1062)*(1+N1063)/(1-(N1064+N1065+N1066)))-1),4))</f>
        <v>1.1618999999999999</v>
      </c>
      <c r="O1068" s="4"/>
      <c r="P1068" s="4"/>
      <c r="Q1068" s="4"/>
      <c r="R1068" s="1126"/>
      <c r="S1068" s="711"/>
    </row>
    <row r="1069" spans="1:19" ht="37.5" customHeight="1">
      <c r="A1069" s="1127"/>
      <c r="B1069" s="1127"/>
      <c r="C1069" s="1127"/>
      <c r="D1069" s="1127"/>
      <c r="E1069" s="1127"/>
      <c r="F1069" s="1127"/>
      <c r="G1069" s="1127"/>
      <c r="H1069" s="1127"/>
      <c r="I1069" s="3473" t="s">
        <v>16075</v>
      </c>
      <c r="J1069" s="3474"/>
      <c r="K1069" s="3474"/>
      <c r="L1069" s="3474"/>
      <c r="M1069" s="3474"/>
      <c r="N1069" s="3474"/>
      <c r="O1069" s="3474"/>
      <c r="P1069" s="3474"/>
      <c r="Q1069" s="3474"/>
      <c r="R1069" s="3475"/>
      <c r="S1069" s="1133"/>
    </row>
    <row r="1070" spans="1:19" ht="15.75" customHeight="1">
      <c r="A1070" s="4"/>
      <c r="B1070" s="4"/>
      <c r="C1070" s="4"/>
      <c r="D1070" s="4"/>
      <c r="E1070" s="4"/>
      <c r="F1070" s="4"/>
      <c r="G1070" s="4"/>
      <c r="H1070" s="4"/>
      <c r="I1070" s="3448" t="s">
        <v>16046</v>
      </c>
      <c r="J1070" s="2634"/>
      <c r="K1070" s="2634"/>
      <c r="L1070" s="2634"/>
      <c r="M1070" s="2634"/>
      <c r="N1070" s="2634"/>
      <c r="O1070" s="2634"/>
      <c r="P1070" s="2634"/>
      <c r="Q1070" s="3449" t="s">
        <v>16047</v>
      </c>
      <c r="R1070" s="2618"/>
      <c r="S1070" s="1104"/>
    </row>
    <row r="1071" spans="1:19" ht="15.75" customHeight="1">
      <c r="A1071" s="4"/>
      <c r="B1071" s="4"/>
      <c r="C1071" s="4"/>
      <c r="D1071" s="4"/>
      <c r="E1071" s="4"/>
      <c r="F1071" s="4"/>
      <c r="G1071" s="4"/>
      <c r="H1071" s="4"/>
      <c r="I1071" s="3450" t="s">
        <v>16038</v>
      </c>
      <c r="J1071" s="2590"/>
      <c r="K1071" s="2590"/>
      <c r="L1071" s="2590"/>
      <c r="M1071" s="2590"/>
      <c r="N1071" s="2590"/>
      <c r="O1071" s="2590"/>
      <c r="P1071" s="2595"/>
      <c r="Q1071" s="3451" t="s">
        <v>16048</v>
      </c>
      <c r="R1071" s="3452"/>
      <c r="S1071" s="1105"/>
    </row>
    <row r="1072" spans="1:19" ht="15.75" customHeight="1">
      <c r="A1072" s="4"/>
      <c r="B1072" s="4"/>
      <c r="C1072" s="4"/>
      <c r="D1072" s="4"/>
      <c r="E1072" s="4"/>
      <c r="F1072" s="4"/>
      <c r="G1072" s="4"/>
      <c r="H1072" s="4"/>
      <c r="I1072" s="3454" t="s">
        <v>16049</v>
      </c>
      <c r="J1072" s="2590"/>
      <c r="K1072" s="2590"/>
      <c r="L1072" s="2590"/>
      <c r="M1072" s="2590"/>
      <c r="N1072" s="2590"/>
      <c r="O1072" s="2590"/>
      <c r="P1072" s="2595"/>
      <c r="Q1072" s="3453">
        <v>0.4</v>
      </c>
      <c r="R1072" s="2618"/>
      <c r="S1072" s="1106"/>
    </row>
    <row r="1073" spans="1:19" ht="15.75" customHeight="1">
      <c r="A1073" s="4"/>
      <c r="B1073" s="4"/>
      <c r="C1073" s="4"/>
      <c r="D1073" s="4"/>
      <c r="E1073" s="4"/>
      <c r="F1073" s="4"/>
      <c r="G1073" s="4"/>
      <c r="H1073" s="4"/>
      <c r="I1073" s="3455" t="s">
        <v>16051</v>
      </c>
      <c r="J1073" s="2590"/>
      <c r="K1073" s="2590"/>
      <c r="L1073" s="2590"/>
      <c r="M1073" s="2590"/>
      <c r="N1073" s="2590"/>
      <c r="O1073" s="2590"/>
      <c r="P1073" s="2595"/>
      <c r="Q1073" s="3453">
        <v>0.05</v>
      </c>
      <c r="R1073" s="2618"/>
      <c r="S1073" s="1106"/>
    </row>
    <row r="1074" spans="1:19" ht="15.75" customHeight="1">
      <c r="A1074" s="4"/>
      <c r="B1074" s="4"/>
      <c r="C1074" s="4"/>
      <c r="D1074" s="4"/>
      <c r="E1074" s="4"/>
      <c r="F1074" s="4"/>
      <c r="G1074" s="4"/>
      <c r="H1074" s="4"/>
      <c r="I1074" s="1107"/>
      <c r="J1074" s="130"/>
      <c r="K1074" s="130"/>
      <c r="L1074" s="130"/>
      <c r="M1074" s="130"/>
      <c r="N1074" s="130"/>
      <c r="O1074" s="130"/>
      <c r="P1074" s="130"/>
      <c r="Q1074" s="130"/>
      <c r="R1074" s="1108"/>
      <c r="S1074" s="1109"/>
    </row>
    <row r="1075" spans="1:19" ht="15.75" customHeight="1">
      <c r="A1075" s="4"/>
      <c r="B1075" s="4"/>
      <c r="C1075" s="4"/>
      <c r="D1075" s="4"/>
      <c r="E1075" s="4"/>
      <c r="F1075" s="4"/>
      <c r="G1075" s="4"/>
      <c r="H1075" s="4"/>
      <c r="I1075" s="3460" t="s">
        <v>16052</v>
      </c>
      <c r="J1075" s="2634"/>
      <c r="K1075" s="2634"/>
      <c r="L1075" s="3461"/>
      <c r="M1075" s="3456" t="s">
        <v>16053</v>
      </c>
      <c r="N1075" s="3458" t="s">
        <v>16054</v>
      </c>
      <c r="O1075" s="3458" t="s">
        <v>16055</v>
      </c>
      <c r="P1075" s="3459" t="s">
        <v>16056</v>
      </c>
      <c r="Q1075" s="2590"/>
      <c r="R1075" s="2618"/>
      <c r="S1075" s="1092"/>
    </row>
    <row r="1076" spans="1:19" ht="15.75" customHeight="1">
      <c r="A1076" s="4"/>
      <c r="B1076" s="4"/>
      <c r="C1076" s="4"/>
      <c r="D1076" s="4"/>
      <c r="E1076" s="4"/>
      <c r="F1076" s="4"/>
      <c r="G1076" s="4"/>
      <c r="H1076" s="4"/>
      <c r="I1076" s="3462"/>
      <c r="J1076" s="2631"/>
      <c r="K1076" s="2631"/>
      <c r="L1076" s="2625"/>
      <c r="M1076" s="3457"/>
      <c r="N1076" s="3457"/>
      <c r="O1076" s="3457"/>
      <c r="P1076" s="1110" t="s">
        <v>12546</v>
      </c>
      <c r="Q1076" s="1110" t="s">
        <v>12547</v>
      </c>
      <c r="R1076" s="1111" t="s">
        <v>12548</v>
      </c>
      <c r="S1076" s="1112"/>
    </row>
    <row r="1077" spans="1:19" ht="15.75" customHeight="1">
      <c r="A1077" s="4"/>
      <c r="B1077" s="4"/>
      <c r="C1077" s="4"/>
      <c r="D1077" s="4"/>
      <c r="E1077" s="4"/>
      <c r="F1077" s="4"/>
      <c r="G1077" s="4"/>
      <c r="H1077" s="4"/>
      <c r="I1077" s="3463" t="str">
        <f>IF($I$11=$A$80,"Encargos Sociais incidentes sobre a mão de obra","Administração Central")</f>
        <v>Administração Central</v>
      </c>
      <c r="J1077" s="2590"/>
      <c r="K1077" s="2590"/>
      <c r="L1077" s="2595"/>
      <c r="M1077" s="1113" t="str">
        <f>IF($I$11=$A$80,"K1","AC")</f>
        <v>AC</v>
      </c>
      <c r="N1077" s="1114">
        <v>0.04</v>
      </c>
      <c r="O1077" s="1115" t="s">
        <v>16057</v>
      </c>
      <c r="P1077" s="1116">
        <v>1.4999999999999999E-2</v>
      </c>
      <c r="Q1077" s="1116">
        <v>3.4500000000000003E-2</v>
      </c>
      <c r="R1077" s="1117">
        <v>4.4900000000000002E-2</v>
      </c>
      <c r="S1077" s="1118"/>
    </row>
    <row r="1078" spans="1:19" ht="15.75" customHeight="1">
      <c r="A1078" s="4"/>
      <c r="B1078" s="4"/>
      <c r="C1078" s="4"/>
      <c r="D1078" s="4"/>
      <c r="E1078" s="4"/>
      <c r="F1078" s="4"/>
      <c r="G1078" s="4"/>
      <c r="H1078" s="4"/>
      <c r="I1078" s="3463" t="str">
        <f>IF($I$11=$A$80,"Administração Central da empresa ou consultoria - overhead","Seguro e Garantia")</f>
        <v>Seguro e Garantia</v>
      </c>
      <c r="J1078" s="2590"/>
      <c r="K1078" s="2590"/>
      <c r="L1078" s="2595"/>
      <c r="M1078" s="1113" t="str">
        <f>IF($I$11=$A$80,"K2","SG")</f>
        <v>SG</v>
      </c>
      <c r="N1078" s="1114">
        <v>8.2000000000000007E-3</v>
      </c>
      <c r="O1078" s="1115" t="s">
        <v>16057</v>
      </c>
      <c r="P1078" s="1116">
        <v>3.0000000000000001E-3</v>
      </c>
      <c r="Q1078" s="1116">
        <v>4.7999999999999996E-3</v>
      </c>
      <c r="R1078" s="1117">
        <v>8.2000000000000007E-3</v>
      </c>
      <c r="S1078" s="1118"/>
    </row>
    <row r="1079" spans="1:19" ht="15.75" customHeight="1">
      <c r="A1079" s="4"/>
      <c r="B1079" s="4"/>
      <c r="C1079" s="4"/>
      <c r="D1079" s="4"/>
      <c r="E1079" s="4"/>
      <c r="F1079" s="4"/>
      <c r="G1079" s="4"/>
      <c r="H1079" s="4"/>
      <c r="I1079" s="3463" t="str">
        <f>IF($I$11=$A$80,"","Risco")</f>
        <v>Risco</v>
      </c>
      <c r="J1079" s="2590"/>
      <c r="K1079" s="2590"/>
      <c r="L1079" s="2595"/>
      <c r="M1079" s="1113" t="str">
        <f>IF($I$11=$A$80,"","R")</f>
        <v>R</v>
      </c>
      <c r="N1079" s="1114">
        <v>8.5000000000000006E-3</v>
      </c>
      <c r="O1079" s="1115" t="s">
        <v>16057</v>
      </c>
      <c r="P1079" s="1116">
        <v>5.5999999999999999E-3</v>
      </c>
      <c r="Q1079" s="1116">
        <v>8.5000000000000006E-3</v>
      </c>
      <c r="R1079" s="1117">
        <v>8.8999999999999999E-3</v>
      </c>
      <c r="S1079" s="1118"/>
    </row>
    <row r="1080" spans="1:19" ht="15.75" customHeight="1">
      <c r="A1080" s="4"/>
      <c r="B1080" s="4"/>
      <c r="C1080" s="4"/>
      <c r="D1080" s="4"/>
      <c r="E1080" s="4"/>
      <c r="F1080" s="4"/>
      <c r="G1080" s="4"/>
      <c r="H1080" s="4"/>
      <c r="I1080" s="3463" t="str">
        <f>IF($I$11=$A$80,"","Despesas Financeiras")</f>
        <v>Despesas Financeiras</v>
      </c>
      <c r="J1080" s="2590"/>
      <c r="K1080" s="2590"/>
      <c r="L1080" s="2595"/>
      <c r="M1080" s="1113" t="str">
        <f>IF($I$11=$A$80,"","DF")</f>
        <v>DF</v>
      </c>
      <c r="N1080" s="1114">
        <f>Q1080</f>
        <v>8.5000000000000006E-3</v>
      </c>
      <c r="O1080" s="1115" t="s">
        <v>16057</v>
      </c>
      <c r="P1080" s="1116">
        <v>8.5000000000000006E-3</v>
      </c>
      <c r="Q1080" s="1116">
        <v>8.5000000000000006E-3</v>
      </c>
      <c r="R1080" s="1117">
        <v>1.11E-2</v>
      </c>
      <c r="S1080" s="1118"/>
    </row>
    <row r="1081" spans="1:19" ht="15.75" customHeight="1">
      <c r="A1081" s="4"/>
      <c r="B1081" s="4"/>
      <c r="C1081" s="4"/>
      <c r="D1081" s="4"/>
      <c r="E1081" s="4"/>
      <c r="F1081" s="4"/>
      <c r="G1081" s="4"/>
      <c r="H1081" s="4"/>
      <c r="I1081" s="3463" t="str">
        <f>IF($I$11=$A$80,"Margem bruta da empresa de consultoria","Lucro")</f>
        <v>Lucro</v>
      </c>
      <c r="J1081" s="2590"/>
      <c r="K1081" s="2590"/>
      <c r="L1081" s="2595"/>
      <c r="M1081" s="1113" t="str">
        <f>IF($I$11=$A$80,"K3","L")</f>
        <v>L</v>
      </c>
      <c r="N1081" s="1114">
        <v>5.2999999999999999E-2</v>
      </c>
      <c r="O1081" s="1115" t="s">
        <v>16057</v>
      </c>
      <c r="P1081" s="1116">
        <v>3.5000000000000003E-2</v>
      </c>
      <c r="Q1081" s="1116">
        <v>5.11E-2</v>
      </c>
      <c r="R1081" s="1117">
        <v>6.2199999999999998E-2</v>
      </c>
      <c r="S1081" s="1118"/>
    </row>
    <row r="1082" spans="1:19" ht="15.75" customHeight="1">
      <c r="A1082" s="4"/>
      <c r="B1082" s="4"/>
      <c r="C1082" s="4"/>
      <c r="D1082" s="4"/>
      <c r="E1082" s="4"/>
      <c r="F1082" s="4"/>
      <c r="G1082" s="4"/>
      <c r="H1082" s="4"/>
      <c r="I1082" s="3464" t="s">
        <v>16059</v>
      </c>
      <c r="J1082" s="2590"/>
      <c r="K1082" s="2590"/>
      <c r="L1082" s="2595"/>
      <c r="M1082" s="1113" t="s">
        <v>16060</v>
      </c>
      <c r="N1082" s="1114">
        <v>3.6499999999999998E-2</v>
      </c>
      <c r="O1082" s="1115" t="s">
        <v>16057</v>
      </c>
      <c r="P1082" s="1116">
        <v>3.6499999999999998E-2</v>
      </c>
      <c r="Q1082" s="1116">
        <v>3.6499999999999998E-2</v>
      </c>
      <c r="R1082" s="1117">
        <v>3.6499999999999998E-2</v>
      </c>
      <c r="S1082" s="1118"/>
    </row>
    <row r="1083" spans="1:19" ht="15.75" customHeight="1">
      <c r="A1083" s="4"/>
      <c r="B1083" s="4"/>
      <c r="C1083" s="4"/>
      <c r="D1083" s="4"/>
      <c r="E1083" s="4"/>
      <c r="F1083" s="4"/>
      <c r="G1083" s="4"/>
      <c r="H1083" s="4"/>
      <c r="I1083" s="3463" t="s">
        <v>16061</v>
      </c>
      <c r="J1083" s="2590"/>
      <c r="K1083" s="2590"/>
      <c r="L1083" s="2595"/>
      <c r="M1083" s="1113" t="s">
        <v>16062</v>
      </c>
      <c r="N1083" s="1116">
        <v>0</v>
      </c>
      <c r="O1083" s="1115" t="s">
        <v>16057</v>
      </c>
      <c r="P1083" s="1116">
        <v>0</v>
      </c>
      <c r="Q1083" s="1116">
        <v>0</v>
      </c>
      <c r="R1083" s="1117">
        <v>0</v>
      </c>
      <c r="S1083" s="1118"/>
    </row>
    <row r="1084" spans="1:19" ht="15.75" customHeight="1">
      <c r="A1084" s="4"/>
      <c r="B1084" s="4"/>
      <c r="C1084" s="4"/>
      <c r="D1084" s="4"/>
      <c r="E1084" s="4"/>
      <c r="F1084" s="4"/>
      <c r="G1084" s="4"/>
      <c r="H1084" s="4"/>
      <c r="I1084" s="3463" t="s">
        <v>16063</v>
      </c>
      <c r="J1084" s="2590"/>
      <c r="K1084" s="2590"/>
      <c r="L1084" s="2595"/>
      <c r="M1084" s="1113" t="s">
        <v>16064</v>
      </c>
      <c r="N1084" s="1116">
        <f>IF(Q1071="Sim",4.5%,0%)</f>
        <v>0</v>
      </c>
      <c r="O1084" s="1115" t="str">
        <f>IF(AND(N1084&gt;=P1084, N1084&lt;=R1084), "OK", "Não OK")</f>
        <v>OK</v>
      </c>
      <c r="P1084" s="1120">
        <v>0</v>
      </c>
      <c r="Q1084" s="1120">
        <v>0</v>
      </c>
      <c r="R1084" s="1121">
        <v>0</v>
      </c>
      <c r="S1084" s="1122"/>
    </row>
    <row r="1085" spans="1:19" ht="15.75" customHeight="1">
      <c r="A1085" s="4"/>
      <c r="B1085" s="4"/>
      <c r="C1085" s="4"/>
      <c r="D1085" s="4"/>
      <c r="E1085" s="4"/>
      <c r="F1085" s="4"/>
      <c r="G1085" s="4"/>
      <c r="H1085" s="4"/>
      <c r="I1085" s="3463" t="s">
        <v>16065</v>
      </c>
      <c r="J1085" s="2590"/>
      <c r="K1085" s="2590"/>
      <c r="L1085" s="2595"/>
      <c r="M1085" s="1123" t="s">
        <v>16043</v>
      </c>
      <c r="N1085" s="1145">
        <f>ROUND((((1+N1077+N1078+N1079)*(1+N1080)*(1+N1081)/(1-(N1082+N1083)))-1),4)</f>
        <v>0.16470000000000001</v>
      </c>
      <c r="O1085" s="1115" t="str">
        <f>IF(OR($I$11=$A$80,AND(N1085&gt;=P1085, N1085&lt;=R1085)), "OK", "NÃO OK")</f>
        <v>OK</v>
      </c>
      <c r="P1085" s="1146">
        <v>0.111</v>
      </c>
      <c r="Q1085" s="1146">
        <v>0.14019999999999999</v>
      </c>
      <c r="R1085" s="1147">
        <v>0.16800000000000001</v>
      </c>
      <c r="S1085" s="1148"/>
    </row>
    <row r="1086" spans="1:19" ht="15.75" customHeight="1">
      <c r="A1086" s="4"/>
      <c r="B1086" s="4"/>
      <c r="C1086" s="4"/>
      <c r="D1086" s="4"/>
      <c r="E1086" s="4"/>
      <c r="F1086" s="4"/>
      <c r="G1086" s="4"/>
      <c r="H1086" s="4"/>
      <c r="I1086" s="1124"/>
      <c r="J1086" s="4"/>
      <c r="K1086" s="4"/>
      <c r="L1086" s="4"/>
      <c r="M1086" s="4"/>
      <c r="N1086" s="1125">
        <f>1+(ROUND((((1+N1077+N1078+N1079)*(1+N1080)*(1+N1081)/(1-(N1082+N1083+N1084)))-1),4))</f>
        <v>1.1647000000000001</v>
      </c>
      <c r="O1086" s="4"/>
      <c r="P1086" s="4"/>
      <c r="Q1086" s="4"/>
      <c r="R1086" s="1126"/>
      <c r="S1086" s="711"/>
    </row>
    <row r="1087" spans="1:19" ht="15.75" customHeight="1">
      <c r="A1087" s="4"/>
      <c r="B1087" s="4"/>
      <c r="C1087" s="4"/>
      <c r="D1087" s="4"/>
      <c r="E1087" s="4"/>
      <c r="F1087" s="4"/>
      <c r="G1087" s="4"/>
      <c r="H1087" s="4"/>
      <c r="I1087" s="3469" t="s">
        <v>16068</v>
      </c>
      <c r="J1087" s="2607"/>
      <c r="K1087" s="2607"/>
      <c r="L1087" s="2607"/>
      <c r="M1087" s="2607"/>
      <c r="N1087" s="2607"/>
      <c r="O1087" s="2607"/>
      <c r="P1087" s="2607"/>
      <c r="Q1087" s="2607"/>
      <c r="R1087" s="3400"/>
      <c r="S1087" s="1137"/>
    </row>
    <row r="1088" spans="1:19" ht="15.75" customHeight="1">
      <c r="A1088" s="4"/>
      <c r="B1088" s="4"/>
      <c r="C1088" s="4"/>
      <c r="D1088" s="4"/>
      <c r="E1088" s="4"/>
      <c r="F1088" s="4"/>
      <c r="G1088" s="4"/>
      <c r="H1088" s="4"/>
      <c r="I1088" s="3467" t="str">
        <f>IF(Q1035="Sim","BDI.DES =","BDI.PADRÃO (TCU) =")</f>
        <v>BDI.PADRÃO (TCU) =</v>
      </c>
      <c r="J1088" s="2588"/>
      <c r="K1088" s="2588"/>
      <c r="L1088" s="2588"/>
      <c r="M1088" s="3470" t="str">
        <f>IF($I$11=$A$80,"(1+K1+K2)*(1+K3)","(1+AC + S + R + G)*(1 + DF)*(1+L)")</f>
        <v>(1+AC + S + R + G)*(1 + DF)*(1+L)</v>
      </c>
      <c r="N1088" s="2588"/>
      <c r="O1088" s="2588"/>
      <c r="P1088" s="3471" t="s">
        <v>16069</v>
      </c>
      <c r="Q1088" s="2588"/>
      <c r="R1088" s="2621"/>
      <c r="S1088" s="1138"/>
    </row>
    <row r="1089" spans="1:19" ht="15.75" customHeight="1">
      <c r="A1089" s="4"/>
      <c r="B1089" s="4"/>
      <c r="C1089" s="4"/>
      <c r="D1089" s="4"/>
      <c r="E1089" s="4"/>
      <c r="F1089" s="4"/>
      <c r="G1089" s="4"/>
      <c r="H1089" s="4"/>
      <c r="I1089" s="2655"/>
      <c r="J1089" s="2588"/>
      <c r="K1089" s="2588"/>
      <c r="L1089" s="2588"/>
      <c r="M1089" s="2588"/>
      <c r="N1089" s="2588"/>
      <c r="O1089" s="2588"/>
      <c r="P1089" s="2588"/>
      <c r="Q1089" s="2588"/>
      <c r="R1089" s="2621"/>
      <c r="S1089" s="1138"/>
    </row>
    <row r="1090" spans="1:19" ht="15.75" customHeight="1">
      <c r="A1090" s="4"/>
      <c r="B1090" s="4"/>
      <c r="C1090" s="4"/>
      <c r="D1090" s="4"/>
      <c r="E1090" s="4"/>
      <c r="F1090" s="4"/>
      <c r="G1090" s="4"/>
      <c r="H1090" s="4"/>
      <c r="I1090" s="2655"/>
      <c r="J1090" s="2588"/>
      <c r="K1090" s="2588"/>
      <c r="L1090" s="2588"/>
      <c r="M1090" s="3472" t="str">
        <f>IF(Q1035="Sim","(1-CP-ISS-CRPB)","(1-CP-ISS)")</f>
        <v>(1-CP-ISS)</v>
      </c>
      <c r="N1090" s="2588"/>
      <c r="O1090" s="2588"/>
      <c r="P1090" s="2588"/>
      <c r="Q1090" s="2588"/>
      <c r="R1090" s="2621"/>
      <c r="S1090" s="1138"/>
    </row>
    <row r="1091" spans="1:19" ht="15.75" customHeight="1">
      <c r="A1091" s="4"/>
      <c r="B1091" s="4"/>
      <c r="C1091" s="4"/>
      <c r="D1091" s="4"/>
      <c r="E1091" s="4"/>
      <c r="F1091" s="4"/>
      <c r="G1091" s="4"/>
      <c r="H1091" s="4"/>
      <c r="I1091" s="3468"/>
      <c r="J1091" s="2610"/>
      <c r="K1091" s="2610"/>
      <c r="L1091" s="2610"/>
      <c r="M1091" s="2610"/>
      <c r="N1091" s="2610"/>
      <c r="O1091" s="2610"/>
      <c r="P1091" s="2610"/>
      <c r="Q1091" s="2610"/>
      <c r="R1091" s="3432"/>
      <c r="S1091" s="1138"/>
    </row>
    <row r="1096" spans="1:19" ht="15" customHeight="1">
      <c r="K1096" s="1795"/>
      <c r="L1096" s="1795"/>
      <c r="M1096" s="1795"/>
      <c r="N1096" s="1795"/>
    </row>
    <row r="1097" spans="1:19" ht="15" customHeight="1">
      <c r="M1097" s="1796" t="s">
        <v>16720</v>
      </c>
    </row>
    <row r="1098" spans="1:19" ht="15" customHeight="1">
      <c r="M1098" s="1796" t="s">
        <v>16721</v>
      </c>
    </row>
    <row r="1099" spans="1:19" ht="15" customHeight="1">
      <c r="M1099" s="1796" t="s">
        <v>16722</v>
      </c>
    </row>
    <row r="1100" spans="1:19" ht="15" customHeight="1">
      <c r="M1100" s="1796" t="s">
        <v>16723</v>
      </c>
    </row>
  </sheetData>
  <mergeCells count="156">
    <mergeCell ref="I1067:L1067"/>
    <mergeCell ref="I1069:R1069"/>
    <mergeCell ref="I1070:P1070"/>
    <mergeCell ref="Q1070:R1070"/>
    <mergeCell ref="I1071:P1071"/>
    <mergeCell ref="Q1071:R1071"/>
    <mergeCell ref="O1075:O1076"/>
    <mergeCell ref="P1075:R1075"/>
    <mergeCell ref="I1072:P1072"/>
    <mergeCell ref="Q1072:R1072"/>
    <mergeCell ref="I1073:P1073"/>
    <mergeCell ref="Q1073:R1073"/>
    <mergeCell ref="I1075:L1076"/>
    <mergeCell ref="M1075:M1076"/>
    <mergeCell ref="N1075:N1076"/>
    <mergeCell ref="N1057:N1058"/>
    <mergeCell ref="I1059:L1059"/>
    <mergeCell ref="I1060:L1060"/>
    <mergeCell ref="I1061:L1061"/>
    <mergeCell ref="I1062:L1062"/>
    <mergeCell ref="I1063:L1063"/>
    <mergeCell ref="I1064:L1064"/>
    <mergeCell ref="I1065:L1065"/>
    <mergeCell ref="I1066:L1066"/>
    <mergeCell ref="I1087:R1087"/>
    <mergeCell ref="M1088:O1089"/>
    <mergeCell ref="P1088:R1091"/>
    <mergeCell ref="M1090:O1091"/>
    <mergeCell ref="I1077:L1077"/>
    <mergeCell ref="I1078:L1078"/>
    <mergeCell ref="I1079:L1079"/>
    <mergeCell ref="I1080:L1080"/>
    <mergeCell ref="I1081:L1081"/>
    <mergeCell ref="I1082:L1082"/>
    <mergeCell ref="I1083:L1083"/>
    <mergeCell ref="I1088:L1091"/>
    <mergeCell ref="I1041:L1041"/>
    <mergeCell ref="I1042:L1042"/>
    <mergeCell ref="I1043:L1043"/>
    <mergeCell ref="I1044:L1044"/>
    <mergeCell ref="I1045:L1045"/>
    <mergeCell ref="I1046:L1046"/>
    <mergeCell ref="I1047:L1047"/>
    <mergeCell ref="I1084:L1084"/>
    <mergeCell ref="I1085:L1085"/>
    <mergeCell ref="I1048:L1048"/>
    <mergeCell ref="I1049:L1049"/>
    <mergeCell ref="I1051:R1051"/>
    <mergeCell ref="I1052:P1052"/>
    <mergeCell ref="Q1052:R1052"/>
    <mergeCell ref="I1053:P1053"/>
    <mergeCell ref="Q1053:R1053"/>
    <mergeCell ref="O1057:O1058"/>
    <mergeCell ref="P1057:R1057"/>
    <mergeCell ref="I1054:P1054"/>
    <mergeCell ref="Q1054:R1054"/>
    <mergeCell ref="I1055:P1055"/>
    <mergeCell ref="Q1055:R1055"/>
    <mergeCell ref="I1057:L1058"/>
    <mergeCell ref="M1057:M1058"/>
    <mergeCell ref="I58:L58"/>
    <mergeCell ref="I59:L59"/>
    <mergeCell ref="I65:L68"/>
    <mergeCell ref="I60:L60"/>
    <mergeCell ref="I61:L61"/>
    <mergeCell ref="I62:L62"/>
    <mergeCell ref="I64:R64"/>
    <mergeCell ref="M65:O66"/>
    <mergeCell ref="P65:R68"/>
    <mergeCell ref="M67:O68"/>
    <mergeCell ref="I50:P50"/>
    <mergeCell ref="Q50:R50"/>
    <mergeCell ref="M52:M53"/>
    <mergeCell ref="P52:R52"/>
    <mergeCell ref="I52:L53"/>
    <mergeCell ref="I54:L54"/>
    <mergeCell ref="I55:L55"/>
    <mergeCell ref="I56:L56"/>
    <mergeCell ref="I57:L57"/>
    <mergeCell ref="I1039:L1040"/>
    <mergeCell ref="M1039:M1040"/>
    <mergeCell ref="N1039:N1040"/>
    <mergeCell ref="O1039:O1040"/>
    <mergeCell ref="P1039:R1039"/>
    <mergeCell ref="I33:L34"/>
    <mergeCell ref="I35:L35"/>
    <mergeCell ref="I36:L36"/>
    <mergeCell ref="I37:L37"/>
    <mergeCell ref="I38:L38"/>
    <mergeCell ref="I39:L39"/>
    <mergeCell ref="I40:L40"/>
    <mergeCell ref="I41:L41"/>
    <mergeCell ref="I42:L42"/>
    <mergeCell ref="I43:L43"/>
    <mergeCell ref="I46:R46"/>
    <mergeCell ref="I47:P47"/>
    <mergeCell ref="Q47:R47"/>
    <mergeCell ref="Q48:R48"/>
    <mergeCell ref="N52:N53"/>
    <mergeCell ref="O52:O53"/>
    <mergeCell ref="I48:P48"/>
    <mergeCell ref="I49:P49"/>
    <mergeCell ref="Q49:R49"/>
    <mergeCell ref="I1033:R1033"/>
    <mergeCell ref="I1034:P1034"/>
    <mergeCell ref="Q1034:R1034"/>
    <mergeCell ref="I1035:P1035"/>
    <mergeCell ref="Q1035:R1035"/>
    <mergeCell ref="I1036:P1036"/>
    <mergeCell ref="Q1036:R1036"/>
    <mergeCell ref="I1037:P1037"/>
    <mergeCell ref="Q1037:R1037"/>
    <mergeCell ref="I27:R27"/>
    <mergeCell ref="I28:P28"/>
    <mergeCell ref="Q28:R28"/>
    <mergeCell ref="Q29:R29"/>
    <mergeCell ref="N33:N34"/>
    <mergeCell ref="O33:O34"/>
    <mergeCell ref="I29:P29"/>
    <mergeCell ref="I30:P30"/>
    <mergeCell ref="Q30:R30"/>
    <mergeCell ref="I31:P31"/>
    <mergeCell ref="Q31:R31"/>
    <mergeCell ref="M33:M34"/>
    <mergeCell ref="P33:R33"/>
    <mergeCell ref="I17:L17"/>
    <mergeCell ref="I18:L18"/>
    <mergeCell ref="I19:L19"/>
    <mergeCell ref="I20:L20"/>
    <mergeCell ref="I21:L21"/>
    <mergeCell ref="I22:L22"/>
    <mergeCell ref="I23:L23"/>
    <mergeCell ref="I24:L24"/>
    <mergeCell ref="I25:L25"/>
    <mergeCell ref="I10:P10"/>
    <mergeCell ref="Q10:R10"/>
    <mergeCell ref="I11:P11"/>
    <mergeCell ref="Q11:R11"/>
    <mergeCell ref="Q12:R12"/>
    <mergeCell ref="I12:P12"/>
    <mergeCell ref="I13:P13"/>
    <mergeCell ref="Q13:R13"/>
    <mergeCell ref="M15:M16"/>
    <mergeCell ref="N15:N16"/>
    <mergeCell ref="O15:O16"/>
    <mergeCell ref="P15:R15"/>
    <mergeCell ref="I15:L16"/>
    <mergeCell ref="J1:R1"/>
    <mergeCell ref="J2:R2"/>
    <mergeCell ref="J3:R3"/>
    <mergeCell ref="J4:R4"/>
    <mergeCell ref="I5:J5"/>
    <mergeCell ref="K5:R5"/>
    <mergeCell ref="I7:R7"/>
    <mergeCell ref="I8:R8"/>
    <mergeCell ref="I9:R9"/>
  </mergeCells>
  <conditionalFormatting sqref="I25:N25 I43:N43 I62:N62 I1049:N1049 I1067:N1067 I1085:N1085">
    <cfRule type="expression" dxfId="4" priority="3" stopIfTrue="1">
      <formula>$Q$11="Não"</formula>
    </cfRule>
  </conditionalFormatting>
  <conditionalFormatting sqref="I12:P12 I30:P30 I49:P49 I1036:P1036 I1054:P1054 I1072:P1072">
    <cfRule type="expression" dxfId="3" priority="5" stopIfTrue="1">
      <formula>$I$11=$A$79</formula>
    </cfRule>
  </conditionalFormatting>
  <conditionalFormatting sqref="N25 N43 N62 N1049 N1067 N1085">
    <cfRule type="expression" dxfId="2" priority="1" stopIfTrue="1">
      <formula>$Q$15="Não"</formula>
    </cfRule>
  </conditionalFormatting>
  <conditionalFormatting sqref="Q10 Q12:S13 I13:P13 Q28 Q30:S31 I31:P31 Q47 Q49:S50 I50:P50 Q1034 Q1036:S1037 I1037:P1037 Q1052 Q1054:S1055 I1055:P1055 Q1070 Q1072:S1073 I1073:P1073">
    <cfRule type="expression" dxfId="1" priority="8" stopIfTrue="1">
      <formula>$I$11=$A$79</formula>
    </cfRule>
  </conditionalFormatting>
  <dataValidations disablePrompts="1" count="6">
    <dataValidation type="decimal" allowBlank="1" showInputMessage="1" showErrorMessage="1" prompt="Erro de valores - Digite um valor entre 0% e 100%" sqref="N17:N22 N35:N40 N54:N59 N1041:N1046 N1059:N1064 N1077:N1082" xr:uid="{00000000-0002-0000-0B00-000000000000}">
      <formula1>0</formula1>
      <formula2>1</formula2>
    </dataValidation>
    <dataValidation type="decimal" allowBlank="1" showInputMessage="1" showErrorMessage="1" prompt="Erro de valores - Digite um valor maior do que 0." sqref="N23 N41 N60 N1047 N1065 N1083" xr:uid="{00000000-0002-0000-0B00-000001000000}">
      <formula1>0</formula1>
      <formula2>1</formula2>
    </dataValidation>
    <dataValidation type="list" allowBlank="1" showErrorMessage="1" sqref="Q11 S11 Q29 S29 Q48 S48 Q1035 S1035 Q1053 S1053 Q1071 S1071" xr:uid="{00000000-0002-0000-0B00-000002000000}">
      <formula1>"Sim,Não"</formula1>
    </dataValidation>
    <dataValidation type="decimal" operator="greaterThanOrEqual" allowBlank="1" showInputMessage="1" showErrorMessage="1" prompt="Valores comuns: - Normalmente entre 2 e 5%." sqref="Q13 S13 Q31 S31 Q50 S50 Q1037 S1037 Q1055 S1055 Q1073 S1073" xr:uid="{00000000-0002-0000-0B00-000003000000}">
      <formula1>0</formula1>
    </dataValidation>
    <dataValidation type="decimal" allowBlank="1" showInputMessage="1" showErrorMessage="1" prompt="Valores admissíveis: - Insira valores entre 0 e 100%." sqref="Q12 S12 Q30 S30 Q49 S49 Q1036 S1036 Q1054 S1054 Q1072 S1072" xr:uid="{00000000-0002-0000-0B00-000004000000}">
      <formula1>0</formula1>
      <formula2>1</formula2>
    </dataValidation>
    <dataValidation type="list" allowBlank="1" showErrorMessage="1" sqref="I11 I29 I48 I1035 I1053 I1071" xr:uid="{00000000-0002-0000-0B00-000005000000}">
      <formula1>$A$74:$A$80</formula1>
    </dataValidation>
  </dataValidations>
  <printOptions horizontalCentered="1"/>
  <pageMargins left="0.39370078740157477" right="0.39370078740157477" top="0.39370078740157477" bottom="0.39370078740157477" header="0" footer="0"/>
  <pageSetup paperSize="9" scale="7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54"/>
  <sheetViews>
    <sheetView workbookViewId="0"/>
  </sheetViews>
  <sheetFormatPr defaultColWidth="12.5703125" defaultRowHeight="15" customHeight="1"/>
  <cols>
    <col min="1" max="1" width="11.7109375" customWidth="1"/>
    <col min="2" max="2" width="50.28515625" customWidth="1"/>
    <col min="3" max="3" width="8.7109375" customWidth="1"/>
    <col min="4" max="4" width="12.28515625" customWidth="1"/>
    <col min="5" max="5" width="8.7109375" customWidth="1"/>
    <col min="6" max="6" width="12.28515625" customWidth="1"/>
    <col min="7" max="26" width="9.140625" hidden="1" customWidth="1"/>
  </cols>
  <sheetData>
    <row r="1" spans="1:26" ht="12.75" customHeight="1">
      <c r="A1" s="1149" t="e">
        <f>'Medição '!$V$5:$AB$5</f>
        <v>#VALUE!</v>
      </c>
      <c r="B1" s="3478" t="str">
        <f>'Medição '!$W$5</f>
        <v>COMPLEXO SUNSET DO PARQUE NOVO MATO GROSSO</v>
      </c>
      <c r="C1" s="2590"/>
      <c r="D1" s="2590"/>
      <c r="E1" s="2590"/>
      <c r="F1" s="2595"/>
      <c r="G1" s="110"/>
      <c r="H1" s="110"/>
      <c r="I1" s="110"/>
      <c r="J1" s="110"/>
      <c r="K1" s="110"/>
      <c r="L1" s="110"/>
      <c r="M1" s="110"/>
      <c r="N1" s="110"/>
      <c r="O1" s="110"/>
      <c r="P1" s="110"/>
      <c r="Q1" s="110"/>
      <c r="R1" s="110"/>
      <c r="S1" s="110"/>
      <c r="T1" s="110"/>
      <c r="U1" s="110"/>
      <c r="V1" s="110"/>
      <c r="W1" s="110"/>
      <c r="X1" s="110"/>
      <c r="Y1" s="110"/>
      <c r="Z1" s="110"/>
    </row>
    <row r="2" spans="1:26" ht="12.75" customHeight="1">
      <c r="A2" s="1149" t="e">
        <f>'Medição '!$V$6:$AB$6</f>
        <v>#VALUE!</v>
      </c>
      <c r="B2" s="3478" t="str">
        <f>'Medição '!$W$6</f>
        <v>MT 251, KM 11, S/N, ÁREA RURAL - PARQUE NOVO MATO GROSSO, CEP 78099-899</v>
      </c>
      <c r="C2" s="2590"/>
      <c r="D2" s="2590"/>
      <c r="E2" s="2590"/>
      <c r="F2" s="2595"/>
      <c r="G2" s="110"/>
      <c r="H2" s="110"/>
      <c r="I2" s="110"/>
      <c r="J2" s="110"/>
      <c r="K2" s="110"/>
      <c r="L2" s="110"/>
      <c r="M2" s="110"/>
      <c r="N2" s="110"/>
      <c r="O2" s="110"/>
      <c r="P2" s="110"/>
      <c r="Q2" s="110"/>
      <c r="R2" s="110"/>
      <c r="S2" s="110"/>
      <c r="T2" s="110"/>
      <c r="U2" s="110"/>
      <c r="V2" s="110"/>
      <c r="W2" s="110"/>
      <c r="X2" s="110"/>
      <c r="Y2" s="110"/>
      <c r="Z2" s="110"/>
    </row>
    <row r="3" spans="1:26" ht="12.75" customHeight="1">
      <c r="A3" s="1149" t="e">
        <f>'Medição '!$V$7:$AB$7</f>
        <v>#VALUE!</v>
      </c>
      <c r="B3" s="3478" t="str">
        <f>'Medição '!$W$7</f>
        <v>CUIABÁ - MT</v>
      </c>
      <c r="C3" s="2590"/>
      <c r="D3" s="2590"/>
      <c r="E3" s="2590"/>
      <c r="F3" s="2595"/>
      <c r="G3" s="110"/>
      <c r="H3" s="110"/>
      <c r="I3" s="110"/>
      <c r="J3" s="110"/>
      <c r="K3" s="110"/>
      <c r="L3" s="110"/>
      <c r="M3" s="110"/>
      <c r="N3" s="110"/>
      <c r="O3" s="110"/>
      <c r="P3" s="110"/>
      <c r="Q3" s="110"/>
      <c r="R3" s="110"/>
      <c r="S3" s="110"/>
      <c r="T3" s="110"/>
      <c r="U3" s="110"/>
      <c r="V3" s="110"/>
      <c r="W3" s="110"/>
      <c r="X3" s="110"/>
      <c r="Y3" s="110"/>
      <c r="Z3" s="110"/>
    </row>
    <row r="4" spans="1:26" ht="29.25" customHeight="1">
      <c r="A4" s="1149" t="e">
        <f>'Medição '!$V$8:$AB$8</f>
        <v>#VALUE!</v>
      </c>
      <c r="B4" s="3478" t="str">
        <f>'Medição '!$W$8</f>
        <v>CONTRATAÇÃO DE EMPRESA ESPECIALIZADA PARA EXECUÇÃO DAS OBRAS DO "COMPLEXO SUNSET (WAKE BAR, PRAÇA SUNSET, QUIOSQUE, BANHEIROS DE APOIO E INFRA DE CONTÊINER) DO PARQUE NOVO MATO GROSSO"</v>
      </c>
      <c r="C4" s="2590"/>
      <c r="D4" s="2590"/>
      <c r="E4" s="2590"/>
      <c r="F4" s="2595"/>
      <c r="G4" s="110"/>
      <c r="H4" s="110"/>
      <c r="I4" s="110"/>
      <c r="J4" s="110"/>
      <c r="K4" s="110"/>
      <c r="L4" s="110"/>
      <c r="M4" s="110"/>
      <c r="N4" s="110"/>
      <c r="O4" s="110"/>
      <c r="P4" s="110"/>
      <c r="Q4" s="110"/>
      <c r="R4" s="110"/>
      <c r="S4" s="110"/>
      <c r="T4" s="110"/>
      <c r="U4" s="110"/>
      <c r="V4" s="110"/>
      <c r="W4" s="110"/>
      <c r="X4" s="110"/>
      <c r="Y4" s="110"/>
      <c r="Z4" s="110"/>
    </row>
    <row r="5" spans="1:26" ht="12.75" customHeight="1">
      <c r="A5" s="3479" t="s">
        <v>16076</v>
      </c>
      <c r="B5" s="2657"/>
      <c r="C5" s="3479" t="s">
        <v>16077</v>
      </c>
      <c r="D5" s="2588"/>
      <c r="E5" s="2588"/>
      <c r="F5" s="2657"/>
      <c r="G5" s="110"/>
      <c r="H5" s="110" t="s">
        <v>16078</v>
      </c>
      <c r="I5" s="110"/>
      <c r="J5" s="110"/>
      <c r="K5" s="110"/>
      <c r="L5" s="110"/>
      <c r="M5" s="110"/>
      <c r="N5" s="110"/>
      <c r="O5" s="110"/>
      <c r="P5" s="110"/>
      <c r="Q5" s="110"/>
      <c r="R5" s="110"/>
      <c r="S5" s="110"/>
      <c r="T5" s="110"/>
      <c r="U5" s="110"/>
      <c r="V5" s="110"/>
      <c r="W5" s="110"/>
      <c r="X5" s="110"/>
      <c r="Y5" s="110"/>
      <c r="Z5" s="110"/>
    </row>
    <row r="6" spans="1:26" ht="37.5" customHeight="1">
      <c r="A6" s="3480" t="s">
        <v>16079</v>
      </c>
      <c r="B6" s="2612"/>
      <c r="C6" s="2612"/>
      <c r="D6" s="2612"/>
      <c r="E6" s="2612"/>
      <c r="F6" s="2613"/>
      <c r="G6" s="110"/>
      <c r="H6" s="110"/>
      <c r="I6" s="110"/>
      <c r="J6" s="110"/>
      <c r="K6" s="110"/>
      <c r="L6" s="110"/>
      <c r="M6" s="110"/>
      <c r="N6" s="110"/>
      <c r="O6" s="110"/>
      <c r="P6" s="110"/>
      <c r="Q6" s="110"/>
      <c r="R6" s="110"/>
      <c r="S6" s="110"/>
      <c r="T6" s="110"/>
      <c r="U6" s="110"/>
      <c r="V6" s="110"/>
      <c r="W6" s="110"/>
      <c r="X6" s="110"/>
      <c r="Y6" s="110"/>
      <c r="Z6" s="110"/>
    </row>
    <row r="7" spans="1:26" ht="12.75" customHeight="1">
      <c r="A7" s="3481" t="s">
        <v>1</v>
      </c>
      <c r="B7" s="3483" t="s">
        <v>14467</v>
      </c>
      <c r="C7" s="3477" t="s">
        <v>16080</v>
      </c>
      <c r="D7" s="3369"/>
      <c r="E7" s="3477" t="s">
        <v>16081</v>
      </c>
      <c r="F7" s="2616"/>
      <c r="G7" s="110"/>
      <c r="H7" s="110"/>
      <c r="I7" s="110"/>
      <c r="J7" s="110"/>
      <c r="K7" s="110"/>
      <c r="L7" s="110"/>
      <c r="M7" s="110"/>
      <c r="N7" s="110"/>
      <c r="O7" s="110"/>
      <c r="P7" s="110"/>
      <c r="Q7" s="110"/>
      <c r="R7" s="110"/>
      <c r="S7" s="110"/>
      <c r="T7" s="110"/>
      <c r="U7" s="110"/>
      <c r="V7" s="110"/>
      <c r="W7" s="110"/>
      <c r="X7" s="110"/>
      <c r="Y7" s="110"/>
      <c r="Z7" s="110"/>
    </row>
    <row r="8" spans="1:26" ht="12.75" customHeight="1">
      <c r="A8" s="2680"/>
      <c r="B8" s="3484"/>
      <c r="C8" s="1150" t="s">
        <v>16082</v>
      </c>
      <c r="D8" s="1151" t="s">
        <v>16083</v>
      </c>
      <c r="E8" s="1151" t="s">
        <v>16082</v>
      </c>
      <c r="F8" s="1152" t="s">
        <v>16083</v>
      </c>
      <c r="G8" s="110"/>
      <c r="H8" s="110"/>
      <c r="I8" s="110"/>
      <c r="J8" s="110"/>
      <c r="K8" s="110"/>
      <c r="L8" s="110"/>
      <c r="M8" s="110"/>
      <c r="N8" s="110"/>
      <c r="O8" s="110"/>
      <c r="P8" s="110"/>
      <c r="Q8" s="110"/>
      <c r="R8" s="110"/>
      <c r="S8" s="110"/>
      <c r="T8" s="110"/>
      <c r="U8" s="110"/>
      <c r="V8" s="110"/>
      <c r="W8" s="110"/>
      <c r="X8" s="110"/>
      <c r="Y8" s="110"/>
      <c r="Z8" s="110"/>
    </row>
    <row r="9" spans="1:26" ht="12.75" customHeight="1">
      <c r="A9" s="3482"/>
      <c r="B9" s="3457"/>
      <c r="C9" s="1150" t="s">
        <v>16084</v>
      </c>
      <c r="D9" s="1151" t="s">
        <v>16084</v>
      </c>
      <c r="E9" s="1151" t="s">
        <v>16084</v>
      </c>
      <c r="F9" s="1152" t="s">
        <v>16084</v>
      </c>
      <c r="G9" s="110"/>
      <c r="H9" s="110"/>
      <c r="I9" s="110"/>
      <c r="J9" s="110"/>
      <c r="K9" s="110"/>
      <c r="L9" s="110"/>
      <c r="M9" s="110"/>
      <c r="N9" s="110"/>
      <c r="O9" s="110"/>
      <c r="P9" s="110"/>
      <c r="Q9" s="110"/>
      <c r="R9" s="110"/>
      <c r="S9" s="110"/>
      <c r="T9" s="110"/>
      <c r="U9" s="110"/>
      <c r="V9" s="110"/>
      <c r="W9" s="110"/>
      <c r="X9" s="110"/>
      <c r="Y9" s="110"/>
      <c r="Z9" s="110"/>
    </row>
    <row r="10" spans="1:26" ht="12.75" customHeight="1">
      <c r="A10" s="3476" t="s">
        <v>16085</v>
      </c>
      <c r="B10" s="2590"/>
      <c r="C10" s="2590"/>
      <c r="D10" s="2590"/>
      <c r="E10" s="2590"/>
      <c r="F10" s="2618"/>
      <c r="G10" s="110"/>
      <c r="H10" s="110"/>
      <c r="I10" s="110"/>
      <c r="J10" s="110"/>
      <c r="K10" s="110"/>
      <c r="L10" s="110"/>
      <c r="M10" s="110"/>
      <c r="N10" s="110"/>
      <c r="O10" s="110"/>
      <c r="P10" s="110"/>
      <c r="Q10" s="110"/>
      <c r="R10" s="110"/>
      <c r="S10" s="110"/>
      <c r="T10" s="110"/>
      <c r="U10" s="110"/>
      <c r="V10" s="110"/>
      <c r="W10" s="110"/>
      <c r="X10" s="110"/>
      <c r="Y10" s="110"/>
      <c r="Z10" s="110"/>
    </row>
    <row r="11" spans="1:26" ht="12.75">
      <c r="A11" s="1153" t="s">
        <v>16086</v>
      </c>
      <c r="B11" s="1035" t="s">
        <v>16087</v>
      </c>
      <c r="C11" s="1154">
        <v>0</v>
      </c>
      <c r="D11" s="1154">
        <v>0</v>
      </c>
      <c r="E11" s="1154">
        <v>0.2</v>
      </c>
      <c r="F11" s="1155">
        <v>0.2</v>
      </c>
      <c r="G11" s="110"/>
      <c r="H11" s="110"/>
      <c r="I11" s="110"/>
      <c r="J11" s="110"/>
      <c r="K11" s="110"/>
      <c r="L11" s="110"/>
      <c r="M11" s="110"/>
      <c r="N11" s="110"/>
      <c r="O11" s="110"/>
      <c r="P11" s="110"/>
      <c r="Q11" s="110"/>
      <c r="R11" s="110"/>
      <c r="S11" s="110"/>
      <c r="T11" s="110"/>
      <c r="U11" s="110"/>
      <c r="V11" s="110"/>
      <c r="W11" s="110"/>
      <c r="X11" s="110"/>
      <c r="Y11" s="110"/>
      <c r="Z11" s="110"/>
    </row>
    <row r="12" spans="1:26" ht="12.75">
      <c r="A12" s="1156" t="s">
        <v>16088</v>
      </c>
      <c r="B12" s="1157" t="s">
        <v>16089</v>
      </c>
      <c r="C12" s="1158">
        <v>1.4999999999999999E-2</v>
      </c>
      <c r="D12" s="1158">
        <v>1.4999999999999999E-2</v>
      </c>
      <c r="E12" s="1158">
        <v>1.4999999999999999E-2</v>
      </c>
      <c r="F12" s="1159">
        <v>1.4999999999999999E-2</v>
      </c>
      <c r="G12" s="110"/>
      <c r="H12" s="110"/>
      <c r="I12" s="110"/>
      <c r="J12" s="110"/>
      <c r="K12" s="110"/>
      <c r="L12" s="110"/>
      <c r="M12" s="110"/>
      <c r="N12" s="110"/>
      <c r="O12" s="110"/>
      <c r="P12" s="110"/>
      <c r="Q12" s="110"/>
      <c r="R12" s="110"/>
      <c r="S12" s="110"/>
      <c r="T12" s="110"/>
      <c r="U12" s="110"/>
      <c r="V12" s="110"/>
      <c r="W12" s="110"/>
      <c r="X12" s="110"/>
      <c r="Y12" s="110"/>
      <c r="Z12" s="110"/>
    </row>
    <row r="13" spans="1:26" ht="12.75">
      <c r="A13" s="1153" t="s">
        <v>16090</v>
      </c>
      <c r="B13" s="1035" t="s">
        <v>16091</v>
      </c>
      <c r="C13" s="1154">
        <v>0.01</v>
      </c>
      <c r="D13" s="1154">
        <v>0.01</v>
      </c>
      <c r="E13" s="1154">
        <v>0.01</v>
      </c>
      <c r="F13" s="1155">
        <v>0.01</v>
      </c>
      <c r="G13" s="110"/>
      <c r="H13" s="110"/>
      <c r="I13" s="110"/>
      <c r="J13" s="110"/>
      <c r="K13" s="110"/>
      <c r="L13" s="110"/>
      <c r="M13" s="110"/>
      <c r="N13" s="110"/>
      <c r="O13" s="110"/>
      <c r="P13" s="110"/>
      <c r="Q13" s="110"/>
      <c r="R13" s="110"/>
      <c r="S13" s="110"/>
      <c r="T13" s="110"/>
      <c r="U13" s="110"/>
      <c r="V13" s="110"/>
      <c r="W13" s="110"/>
      <c r="X13" s="110"/>
      <c r="Y13" s="110"/>
      <c r="Z13" s="110"/>
    </row>
    <row r="14" spans="1:26" ht="12.75">
      <c r="A14" s="1156" t="s">
        <v>16092</v>
      </c>
      <c r="B14" s="1157" t="s">
        <v>16093</v>
      </c>
      <c r="C14" s="1158">
        <v>2E-3</v>
      </c>
      <c r="D14" s="1158">
        <v>2E-3</v>
      </c>
      <c r="E14" s="1158">
        <v>2E-3</v>
      </c>
      <c r="F14" s="1159">
        <v>2E-3</v>
      </c>
      <c r="G14" s="110"/>
      <c r="H14" s="110"/>
      <c r="I14" s="110"/>
      <c r="J14" s="110"/>
      <c r="K14" s="110"/>
      <c r="L14" s="110"/>
      <c r="M14" s="110"/>
      <c r="N14" s="110"/>
      <c r="O14" s="110"/>
      <c r="P14" s="110"/>
      <c r="Q14" s="110"/>
      <c r="R14" s="110"/>
      <c r="S14" s="110"/>
      <c r="T14" s="110"/>
      <c r="U14" s="110"/>
      <c r="V14" s="110"/>
      <c r="W14" s="110"/>
      <c r="X14" s="110"/>
      <c r="Y14" s="110"/>
      <c r="Z14" s="110"/>
    </row>
    <row r="15" spans="1:26" ht="12.75">
      <c r="A15" s="1153" t="s">
        <v>16094</v>
      </c>
      <c r="B15" s="1035" t="s">
        <v>16095</v>
      </c>
      <c r="C15" s="1154">
        <v>6.0000000000000001E-3</v>
      </c>
      <c r="D15" s="1154">
        <v>6.0000000000000001E-3</v>
      </c>
      <c r="E15" s="1154">
        <v>6.0000000000000001E-3</v>
      </c>
      <c r="F15" s="1155">
        <v>6.0000000000000001E-3</v>
      </c>
      <c r="G15" s="110"/>
      <c r="H15" s="110"/>
      <c r="I15" s="110"/>
      <c r="J15" s="110"/>
      <c r="K15" s="110"/>
      <c r="L15" s="110"/>
      <c r="M15" s="110"/>
      <c r="N15" s="110"/>
      <c r="O15" s="110"/>
      <c r="P15" s="110"/>
      <c r="Q15" s="110"/>
      <c r="R15" s="110"/>
      <c r="S15" s="110"/>
      <c r="T15" s="110"/>
      <c r="U15" s="110"/>
      <c r="V15" s="110"/>
      <c r="W15" s="110"/>
      <c r="X15" s="110"/>
      <c r="Y15" s="110"/>
      <c r="Z15" s="110"/>
    </row>
    <row r="16" spans="1:26" ht="12.75">
      <c r="A16" s="1156" t="s">
        <v>16096</v>
      </c>
      <c r="B16" s="1157" t="s">
        <v>16097</v>
      </c>
      <c r="C16" s="1158">
        <v>2.5000000000000001E-2</v>
      </c>
      <c r="D16" s="1158">
        <v>2.5000000000000001E-2</v>
      </c>
      <c r="E16" s="1158">
        <v>2.5000000000000001E-2</v>
      </c>
      <c r="F16" s="1159">
        <v>2.5000000000000001E-2</v>
      </c>
      <c r="G16" s="110"/>
      <c r="H16" s="110"/>
      <c r="I16" s="110"/>
      <c r="J16" s="110"/>
      <c r="K16" s="110"/>
      <c r="L16" s="110"/>
      <c r="M16" s="110"/>
      <c r="N16" s="110"/>
      <c r="O16" s="110"/>
      <c r="P16" s="110"/>
      <c r="Q16" s="110"/>
      <c r="R16" s="110"/>
      <c r="S16" s="110"/>
      <c r="T16" s="110"/>
      <c r="U16" s="110"/>
      <c r="V16" s="110"/>
      <c r="W16" s="110"/>
      <c r="X16" s="110"/>
      <c r="Y16" s="110"/>
      <c r="Z16" s="110"/>
    </row>
    <row r="17" spans="1:26" ht="12.75">
      <c r="A17" s="1153" t="s">
        <v>16098</v>
      </c>
      <c r="B17" s="1035" t="s">
        <v>16099</v>
      </c>
      <c r="C17" s="1154">
        <v>0.03</v>
      </c>
      <c r="D17" s="1154">
        <v>0.03</v>
      </c>
      <c r="E17" s="1154">
        <v>0.03</v>
      </c>
      <c r="F17" s="1155">
        <v>0.03</v>
      </c>
      <c r="G17" s="110"/>
      <c r="H17" s="110"/>
      <c r="I17" s="110"/>
      <c r="J17" s="110"/>
      <c r="K17" s="110"/>
      <c r="L17" s="110"/>
      <c r="M17" s="110"/>
      <c r="N17" s="110"/>
      <c r="O17" s="110"/>
      <c r="P17" s="110"/>
      <c r="Q17" s="110"/>
      <c r="R17" s="110"/>
      <c r="S17" s="110"/>
      <c r="T17" s="110"/>
      <c r="U17" s="110"/>
      <c r="V17" s="110"/>
      <c r="W17" s="110"/>
      <c r="X17" s="110"/>
      <c r="Y17" s="110"/>
      <c r="Z17" s="110"/>
    </row>
    <row r="18" spans="1:26" ht="12.75">
      <c r="A18" s="1156" t="s">
        <v>16100</v>
      </c>
      <c r="B18" s="1157" t="s">
        <v>16101</v>
      </c>
      <c r="C18" s="1158">
        <v>0.08</v>
      </c>
      <c r="D18" s="1158">
        <v>0.08</v>
      </c>
      <c r="E18" s="1158">
        <v>0.08</v>
      </c>
      <c r="F18" s="1159">
        <v>0.08</v>
      </c>
      <c r="G18" s="110"/>
      <c r="H18" s="110"/>
      <c r="I18" s="110"/>
      <c r="J18" s="110"/>
      <c r="K18" s="110"/>
      <c r="L18" s="110"/>
      <c r="M18" s="110"/>
      <c r="N18" s="110"/>
      <c r="O18" s="110"/>
      <c r="P18" s="110"/>
      <c r="Q18" s="110"/>
      <c r="R18" s="110"/>
      <c r="S18" s="110"/>
      <c r="T18" s="110"/>
      <c r="U18" s="110"/>
      <c r="V18" s="110"/>
      <c r="W18" s="110"/>
      <c r="X18" s="110"/>
      <c r="Y18" s="110"/>
      <c r="Z18" s="110"/>
    </row>
    <row r="19" spans="1:26" ht="12.75">
      <c r="A19" s="1153" t="s">
        <v>16102</v>
      </c>
      <c r="B19" s="1035" t="s">
        <v>16103</v>
      </c>
      <c r="C19" s="1154">
        <v>0</v>
      </c>
      <c r="D19" s="1154">
        <v>0</v>
      </c>
      <c r="E19" s="1154">
        <v>0</v>
      </c>
      <c r="F19" s="1155">
        <v>0</v>
      </c>
      <c r="G19" s="110"/>
      <c r="H19" s="110"/>
      <c r="I19" s="110"/>
      <c r="J19" s="110"/>
      <c r="K19" s="110"/>
      <c r="L19" s="110"/>
      <c r="M19" s="110"/>
      <c r="N19" s="110"/>
      <c r="O19" s="110"/>
      <c r="P19" s="110"/>
      <c r="Q19" s="110"/>
      <c r="R19" s="110"/>
      <c r="S19" s="110"/>
      <c r="T19" s="110"/>
      <c r="U19" s="110"/>
      <c r="V19" s="110"/>
      <c r="W19" s="110"/>
      <c r="X19" s="110"/>
      <c r="Y19" s="110"/>
      <c r="Z19" s="110"/>
    </row>
    <row r="20" spans="1:26" ht="12.75" customHeight="1">
      <c r="A20" s="1156" t="s">
        <v>12619</v>
      </c>
      <c r="B20" s="1160" t="s">
        <v>12615</v>
      </c>
      <c r="C20" s="1161">
        <f>SUM(C11:C19)</f>
        <v>0.16799999999999998</v>
      </c>
      <c r="D20" s="1161">
        <f>SUM(D11:D19)</f>
        <v>0.16799999999999998</v>
      </c>
      <c r="E20" s="1161">
        <f>SUM(E11:E19)</f>
        <v>0.36800000000000005</v>
      </c>
      <c r="F20" s="1162">
        <f>SUM(F11:F19)</f>
        <v>0.36800000000000005</v>
      </c>
      <c r="G20" s="110"/>
      <c r="H20" s="110"/>
      <c r="I20" s="110"/>
      <c r="J20" s="110"/>
      <c r="K20" s="110"/>
      <c r="L20" s="110"/>
      <c r="M20" s="110"/>
      <c r="N20" s="110"/>
      <c r="O20" s="110"/>
      <c r="P20" s="110"/>
      <c r="Q20" s="110"/>
      <c r="R20" s="110"/>
      <c r="S20" s="110"/>
      <c r="T20" s="110"/>
      <c r="U20" s="110"/>
      <c r="V20" s="110"/>
      <c r="W20" s="110"/>
      <c r="X20" s="110"/>
      <c r="Y20" s="110"/>
      <c r="Z20" s="110"/>
    </row>
    <row r="21" spans="1:26" ht="12.75" customHeight="1">
      <c r="A21" s="3476" t="s">
        <v>16104</v>
      </c>
      <c r="B21" s="2590"/>
      <c r="C21" s="2590"/>
      <c r="D21" s="2590"/>
      <c r="E21" s="2590"/>
      <c r="F21" s="2618"/>
      <c r="G21" s="110"/>
      <c r="H21" s="110"/>
      <c r="I21" s="110"/>
      <c r="J21" s="110"/>
      <c r="K21" s="110"/>
      <c r="L21" s="110"/>
      <c r="M21" s="110"/>
      <c r="N21" s="110"/>
      <c r="O21" s="110"/>
      <c r="P21" s="110"/>
      <c r="Q21" s="110"/>
      <c r="R21" s="110"/>
      <c r="S21" s="110"/>
      <c r="T21" s="110"/>
      <c r="U21" s="110"/>
      <c r="V21" s="110"/>
      <c r="W21" s="110"/>
      <c r="X21" s="110"/>
      <c r="Y21" s="110"/>
      <c r="Z21" s="110"/>
    </row>
    <row r="22" spans="1:26" ht="12.75">
      <c r="A22" s="1153" t="s">
        <v>16105</v>
      </c>
      <c r="B22" s="1035" t="s">
        <v>16106</v>
      </c>
      <c r="C22" s="1154">
        <v>0.1777</v>
      </c>
      <c r="D22" s="1163" t="s">
        <v>16107</v>
      </c>
      <c r="E22" s="1154">
        <v>0.1777</v>
      </c>
      <c r="F22" s="1164" t="s">
        <v>16107</v>
      </c>
      <c r="G22" s="110"/>
      <c r="H22" s="110"/>
      <c r="I22" s="110"/>
      <c r="J22" s="110"/>
      <c r="K22" s="110"/>
      <c r="L22" s="110"/>
      <c r="M22" s="110"/>
      <c r="N22" s="110"/>
      <c r="O22" s="110"/>
      <c r="P22" s="110"/>
      <c r="Q22" s="110"/>
      <c r="R22" s="110"/>
      <c r="S22" s="110"/>
      <c r="T22" s="110"/>
      <c r="U22" s="110"/>
      <c r="V22" s="110"/>
      <c r="W22" s="110"/>
      <c r="X22" s="110"/>
      <c r="Y22" s="110"/>
      <c r="Z22" s="110"/>
    </row>
    <row r="23" spans="1:26" ht="12.75">
      <c r="A23" s="1156" t="s">
        <v>16108</v>
      </c>
      <c r="B23" s="1157" t="s">
        <v>16109</v>
      </c>
      <c r="C23" s="1158">
        <v>3.6700000000000003E-2</v>
      </c>
      <c r="D23" s="1165" t="s">
        <v>16107</v>
      </c>
      <c r="E23" s="1158">
        <v>3.6700000000000003E-2</v>
      </c>
      <c r="F23" s="1166" t="s">
        <v>16107</v>
      </c>
      <c r="G23" s="110"/>
      <c r="H23" s="110"/>
      <c r="I23" s="110"/>
      <c r="J23" s="110"/>
      <c r="K23" s="110"/>
      <c r="L23" s="110"/>
      <c r="M23" s="110"/>
      <c r="N23" s="110"/>
      <c r="O23" s="110"/>
      <c r="P23" s="110"/>
      <c r="Q23" s="110"/>
      <c r="R23" s="110"/>
      <c r="S23" s="110"/>
      <c r="T23" s="110"/>
      <c r="U23" s="110"/>
      <c r="V23" s="110"/>
      <c r="W23" s="110"/>
      <c r="X23" s="110"/>
      <c r="Y23" s="110"/>
      <c r="Z23" s="110"/>
    </row>
    <row r="24" spans="1:26" ht="12.75">
      <c r="A24" s="1153" t="s">
        <v>16110</v>
      </c>
      <c r="B24" s="1035" t="s">
        <v>16111</v>
      </c>
      <c r="C24" s="1154">
        <v>8.8000000000000005E-3</v>
      </c>
      <c r="D24" s="1154">
        <v>6.4000000000000003E-3</v>
      </c>
      <c r="E24" s="1154">
        <v>8.8000000000000005E-3</v>
      </c>
      <c r="F24" s="1155">
        <v>6.4000000000000003E-3</v>
      </c>
      <c r="G24" s="110"/>
      <c r="H24" s="110"/>
      <c r="I24" s="110"/>
      <c r="J24" s="110"/>
      <c r="K24" s="110"/>
      <c r="L24" s="110"/>
      <c r="M24" s="110"/>
      <c r="N24" s="110"/>
      <c r="O24" s="110"/>
      <c r="P24" s="110"/>
      <c r="Q24" s="110"/>
      <c r="R24" s="110"/>
      <c r="S24" s="110"/>
      <c r="T24" s="110"/>
      <c r="U24" s="110"/>
      <c r="V24" s="110"/>
      <c r="W24" s="110"/>
      <c r="X24" s="110"/>
      <c r="Y24" s="110"/>
      <c r="Z24" s="110"/>
    </row>
    <row r="25" spans="1:26" ht="12.75">
      <c r="A25" s="1156" t="s">
        <v>16112</v>
      </c>
      <c r="B25" s="1157" t="s">
        <v>16113</v>
      </c>
      <c r="C25" s="1158">
        <v>0.1142</v>
      </c>
      <c r="D25" s="1158">
        <v>8.3299999999999999E-2</v>
      </c>
      <c r="E25" s="1158">
        <v>0.1142</v>
      </c>
      <c r="F25" s="1159">
        <v>8.3299999999999999E-2</v>
      </c>
      <c r="G25" s="110"/>
      <c r="H25" s="110"/>
      <c r="I25" s="110"/>
      <c r="J25" s="110"/>
      <c r="K25" s="110"/>
      <c r="L25" s="110"/>
      <c r="M25" s="110"/>
      <c r="N25" s="110"/>
      <c r="O25" s="110"/>
      <c r="P25" s="110"/>
      <c r="Q25" s="110"/>
      <c r="R25" s="110"/>
      <c r="S25" s="110"/>
      <c r="T25" s="110"/>
      <c r="U25" s="110"/>
      <c r="V25" s="110"/>
      <c r="W25" s="110"/>
      <c r="X25" s="110"/>
      <c r="Y25" s="110"/>
      <c r="Z25" s="110"/>
    </row>
    <row r="26" spans="1:26" ht="12.75">
      <c r="A26" s="1153" t="s">
        <v>16114</v>
      </c>
      <c r="B26" s="1035" t="s">
        <v>16115</v>
      </c>
      <c r="C26" s="1154">
        <v>5.9999999999999995E-4</v>
      </c>
      <c r="D26" s="1154">
        <v>4.0000000000000002E-4</v>
      </c>
      <c r="E26" s="1154">
        <v>5.9999999999999995E-4</v>
      </c>
      <c r="F26" s="1155">
        <v>4.0000000000000002E-4</v>
      </c>
      <c r="G26" s="110"/>
      <c r="H26" s="110"/>
      <c r="I26" s="110"/>
      <c r="J26" s="110"/>
      <c r="K26" s="110"/>
      <c r="L26" s="110"/>
      <c r="M26" s="110"/>
      <c r="N26" s="110"/>
      <c r="O26" s="110"/>
      <c r="P26" s="110"/>
      <c r="Q26" s="110"/>
      <c r="R26" s="110"/>
      <c r="S26" s="110"/>
      <c r="T26" s="110"/>
      <c r="U26" s="110"/>
      <c r="V26" s="110"/>
      <c r="W26" s="110"/>
      <c r="X26" s="110"/>
      <c r="Y26" s="110"/>
      <c r="Z26" s="110"/>
    </row>
    <row r="27" spans="1:26" ht="12.75">
      <c r="A27" s="1156" t="s">
        <v>16116</v>
      </c>
      <c r="B27" s="1157" t="s">
        <v>16117</v>
      </c>
      <c r="C27" s="1158">
        <v>7.6E-3</v>
      </c>
      <c r="D27" s="1158">
        <v>5.5999999999999999E-3</v>
      </c>
      <c r="E27" s="1158">
        <v>7.6E-3</v>
      </c>
      <c r="F27" s="1159">
        <v>5.5999999999999999E-3</v>
      </c>
      <c r="G27" s="110"/>
      <c r="H27" s="110"/>
      <c r="I27" s="110"/>
      <c r="J27" s="110"/>
      <c r="K27" s="110"/>
      <c r="L27" s="110"/>
      <c r="M27" s="110"/>
      <c r="N27" s="110"/>
      <c r="O27" s="110"/>
      <c r="P27" s="110"/>
      <c r="Q27" s="110"/>
      <c r="R27" s="110"/>
      <c r="S27" s="110"/>
      <c r="T27" s="110"/>
      <c r="U27" s="110"/>
      <c r="V27" s="110"/>
      <c r="W27" s="110"/>
      <c r="X27" s="110"/>
      <c r="Y27" s="110"/>
      <c r="Z27" s="110"/>
    </row>
    <row r="28" spans="1:26" ht="12.75">
      <c r="A28" s="1153" t="s">
        <v>16118</v>
      </c>
      <c r="B28" s="1035" t="s">
        <v>16119</v>
      </c>
      <c r="C28" s="1154">
        <v>1.12E-2</v>
      </c>
      <c r="D28" s="1163" t="s">
        <v>16107</v>
      </c>
      <c r="E28" s="1154">
        <v>1.12E-2</v>
      </c>
      <c r="F28" s="1164" t="s">
        <v>16107</v>
      </c>
      <c r="G28" s="110"/>
      <c r="H28" s="110"/>
      <c r="I28" s="110"/>
      <c r="J28" s="110"/>
      <c r="K28" s="110"/>
      <c r="L28" s="110"/>
      <c r="M28" s="110"/>
      <c r="N28" s="110"/>
      <c r="O28" s="110"/>
      <c r="P28" s="110"/>
      <c r="Q28" s="110"/>
      <c r="R28" s="110"/>
      <c r="S28" s="110"/>
      <c r="T28" s="110"/>
      <c r="U28" s="110"/>
      <c r="V28" s="110"/>
      <c r="W28" s="110"/>
      <c r="X28" s="110"/>
      <c r="Y28" s="110"/>
      <c r="Z28" s="110"/>
    </row>
    <row r="29" spans="1:26" ht="12.75">
      <c r="A29" s="1156" t="s">
        <v>16120</v>
      </c>
      <c r="B29" s="1157" t="s">
        <v>16121</v>
      </c>
      <c r="C29" s="1158">
        <v>1E-3</v>
      </c>
      <c r="D29" s="1158">
        <v>8.0000000000000004E-4</v>
      </c>
      <c r="E29" s="1158">
        <v>1E-3</v>
      </c>
      <c r="F29" s="1159">
        <v>8.0000000000000004E-4</v>
      </c>
      <c r="G29" s="110"/>
      <c r="H29" s="110"/>
      <c r="I29" s="110"/>
      <c r="J29" s="110"/>
      <c r="K29" s="110"/>
      <c r="L29" s="110"/>
      <c r="M29" s="110"/>
      <c r="N29" s="110"/>
      <c r="O29" s="110"/>
      <c r="P29" s="110"/>
      <c r="Q29" s="110"/>
      <c r="R29" s="110"/>
      <c r="S29" s="110"/>
      <c r="T29" s="110"/>
      <c r="U29" s="110"/>
      <c r="V29" s="110"/>
      <c r="W29" s="110"/>
      <c r="X29" s="110"/>
      <c r="Y29" s="110"/>
      <c r="Z29" s="110"/>
    </row>
    <row r="30" spans="1:26" ht="12.75">
      <c r="A30" s="1153" t="s">
        <v>16122</v>
      </c>
      <c r="B30" s="1035" t="s">
        <v>16123</v>
      </c>
      <c r="C30" s="1154">
        <v>0</v>
      </c>
      <c r="D30" s="1154">
        <v>0</v>
      </c>
      <c r="E30" s="1154">
        <v>0</v>
      </c>
      <c r="F30" s="1155">
        <v>0</v>
      </c>
      <c r="G30" s="110"/>
      <c r="H30" s="110"/>
      <c r="I30" s="110"/>
      <c r="J30" s="110"/>
      <c r="K30" s="110"/>
      <c r="L30" s="110"/>
      <c r="M30" s="110"/>
      <c r="N30" s="110"/>
      <c r="O30" s="110"/>
      <c r="P30" s="110"/>
      <c r="Q30" s="110"/>
      <c r="R30" s="110"/>
      <c r="S30" s="110"/>
      <c r="T30" s="110"/>
      <c r="U30" s="110"/>
      <c r="V30" s="110"/>
      <c r="W30" s="110"/>
      <c r="X30" s="110"/>
      <c r="Y30" s="110"/>
      <c r="Z30" s="110"/>
    </row>
    <row r="31" spans="1:26" ht="12.75">
      <c r="A31" s="1156" t="s">
        <v>16124</v>
      </c>
      <c r="B31" s="1167" t="s">
        <v>16125</v>
      </c>
      <c r="C31" s="1158">
        <v>4.0000000000000002E-4</v>
      </c>
      <c r="D31" s="1158">
        <v>2.9999999999999997E-4</v>
      </c>
      <c r="E31" s="1158">
        <v>4.0000000000000002E-4</v>
      </c>
      <c r="F31" s="1159">
        <v>2.9999999999999997E-4</v>
      </c>
      <c r="G31" s="110"/>
      <c r="H31" s="110"/>
      <c r="I31" s="110"/>
      <c r="J31" s="110"/>
      <c r="K31" s="110"/>
      <c r="L31" s="110"/>
      <c r="M31" s="110"/>
      <c r="N31" s="110"/>
      <c r="O31" s="110"/>
      <c r="P31" s="110"/>
      <c r="Q31" s="110"/>
      <c r="R31" s="110"/>
      <c r="S31" s="110"/>
      <c r="T31" s="110"/>
      <c r="U31" s="110"/>
      <c r="V31" s="110"/>
      <c r="W31" s="110"/>
      <c r="X31" s="110"/>
      <c r="Y31" s="110"/>
      <c r="Z31" s="110"/>
    </row>
    <row r="32" spans="1:26" ht="12.75" customHeight="1">
      <c r="A32" s="1168" t="s">
        <v>12623</v>
      </c>
      <c r="B32" s="1169" t="s">
        <v>12615</v>
      </c>
      <c r="C32" s="1150">
        <f>SUM(C22:C31)</f>
        <v>0.35820000000000002</v>
      </c>
      <c r="D32" s="1150">
        <f>SUM(D22:D31)</f>
        <v>9.6799999999999983E-2</v>
      </c>
      <c r="E32" s="1150">
        <f>SUM(E22:E31)</f>
        <v>0.35820000000000002</v>
      </c>
      <c r="F32" s="1170">
        <f>SUM(F22:F31)</f>
        <v>9.6799999999999983E-2</v>
      </c>
      <c r="G32" s="110"/>
      <c r="H32" s="110"/>
      <c r="I32" s="110"/>
      <c r="J32" s="110"/>
      <c r="K32" s="110"/>
      <c r="L32" s="110"/>
      <c r="M32" s="110"/>
      <c r="N32" s="110"/>
      <c r="O32" s="110"/>
      <c r="P32" s="110"/>
      <c r="Q32" s="110"/>
      <c r="R32" s="110"/>
      <c r="S32" s="110"/>
      <c r="T32" s="110"/>
      <c r="U32" s="110"/>
      <c r="V32" s="110"/>
      <c r="W32" s="110"/>
      <c r="X32" s="110"/>
      <c r="Y32" s="110"/>
      <c r="Z32" s="110"/>
    </row>
    <row r="33" spans="1:26" ht="12.75" customHeight="1">
      <c r="A33" s="3476" t="s">
        <v>16126</v>
      </c>
      <c r="B33" s="2590"/>
      <c r="C33" s="2590"/>
      <c r="D33" s="2590"/>
      <c r="E33" s="2590"/>
      <c r="F33" s="2618"/>
      <c r="G33" s="110"/>
      <c r="H33" s="110"/>
      <c r="I33" s="110"/>
      <c r="J33" s="110"/>
      <c r="K33" s="110"/>
      <c r="L33" s="110"/>
      <c r="M33" s="110"/>
      <c r="N33" s="110"/>
      <c r="O33" s="110"/>
      <c r="P33" s="110"/>
      <c r="Q33" s="110"/>
      <c r="R33" s="110"/>
      <c r="S33" s="110"/>
      <c r="T33" s="110"/>
      <c r="U33" s="110"/>
      <c r="V33" s="110"/>
      <c r="W33" s="110"/>
      <c r="X33" s="110"/>
      <c r="Y33" s="110"/>
      <c r="Z33" s="110"/>
    </row>
    <row r="34" spans="1:26" ht="12.75">
      <c r="A34" s="1153" t="s">
        <v>16127</v>
      </c>
      <c r="B34" s="1035" t="s">
        <v>16128</v>
      </c>
      <c r="C34" s="1154">
        <v>6.2300000000000001E-2</v>
      </c>
      <c r="D34" s="1154">
        <v>4.5499999999999999E-2</v>
      </c>
      <c r="E34" s="1154">
        <v>6.2300000000000001E-2</v>
      </c>
      <c r="F34" s="1155">
        <v>4.5499999999999999E-2</v>
      </c>
      <c r="G34" s="110"/>
      <c r="H34" s="110"/>
      <c r="I34" s="110"/>
      <c r="J34" s="110"/>
      <c r="K34" s="110"/>
      <c r="L34" s="9"/>
      <c r="M34" s="110"/>
      <c r="N34" s="110"/>
      <c r="O34" s="110"/>
      <c r="P34" s="110"/>
      <c r="Q34" s="110"/>
      <c r="R34" s="110"/>
      <c r="S34" s="110"/>
      <c r="T34" s="110"/>
      <c r="U34" s="110"/>
      <c r="V34" s="110"/>
      <c r="W34" s="110"/>
      <c r="X34" s="110"/>
      <c r="Y34" s="110"/>
      <c r="Z34" s="110"/>
    </row>
    <row r="35" spans="1:26" ht="12.75">
      <c r="A35" s="1156" t="s">
        <v>16129</v>
      </c>
      <c r="B35" s="1157" t="s">
        <v>16130</v>
      </c>
      <c r="C35" s="1158">
        <v>1.5E-3</v>
      </c>
      <c r="D35" s="1158">
        <v>1.1000000000000001E-3</v>
      </c>
      <c r="E35" s="1158">
        <v>1.5E-3</v>
      </c>
      <c r="F35" s="1159">
        <v>1.1000000000000001E-3</v>
      </c>
      <c r="G35" s="110"/>
      <c r="H35" s="110"/>
      <c r="I35" s="110"/>
      <c r="J35" s="110"/>
      <c r="K35" s="110"/>
      <c r="L35" s="110"/>
      <c r="M35" s="110"/>
      <c r="N35" s="110"/>
      <c r="O35" s="110"/>
      <c r="P35" s="110"/>
      <c r="Q35" s="110"/>
      <c r="R35" s="110"/>
      <c r="S35" s="110"/>
      <c r="T35" s="110"/>
      <c r="U35" s="110"/>
      <c r="V35" s="110"/>
      <c r="W35" s="110"/>
      <c r="X35" s="110"/>
      <c r="Y35" s="110"/>
      <c r="Z35" s="110"/>
    </row>
    <row r="36" spans="1:26" ht="12.75">
      <c r="A36" s="1153" t="s">
        <v>16131</v>
      </c>
      <c r="B36" s="1035" t="s">
        <v>16132</v>
      </c>
      <c r="C36" s="1154">
        <v>0.1147</v>
      </c>
      <c r="D36" s="1154">
        <v>8.3699999999999997E-2</v>
      </c>
      <c r="E36" s="1154">
        <v>0.1147</v>
      </c>
      <c r="F36" s="1155">
        <v>8.3699999999999997E-2</v>
      </c>
      <c r="G36" s="110"/>
      <c r="H36" s="110"/>
      <c r="I36" s="110"/>
      <c r="J36" s="110"/>
      <c r="K36" s="110"/>
      <c r="L36" s="110"/>
      <c r="M36" s="110"/>
      <c r="N36" s="110"/>
      <c r="O36" s="110"/>
      <c r="P36" s="110"/>
      <c r="Q36" s="110"/>
      <c r="R36" s="110"/>
      <c r="S36" s="110"/>
      <c r="T36" s="110"/>
      <c r="U36" s="110"/>
      <c r="V36" s="110"/>
      <c r="W36" s="110"/>
      <c r="X36" s="110"/>
      <c r="Y36" s="110"/>
      <c r="Z36" s="110"/>
    </row>
    <row r="37" spans="1:26" ht="12.75">
      <c r="A37" s="1156" t="s">
        <v>16133</v>
      </c>
      <c r="B37" s="1157" t="s">
        <v>16134</v>
      </c>
      <c r="C37" s="1158">
        <v>2.12E-2</v>
      </c>
      <c r="D37" s="1158">
        <v>1.55E-2</v>
      </c>
      <c r="E37" s="1158">
        <v>2.12E-2</v>
      </c>
      <c r="F37" s="1159">
        <v>1.55E-2</v>
      </c>
      <c r="G37" s="110"/>
      <c r="H37" s="110"/>
      <c r="I37" s="110"/>
      <c r="J37" s="110"/>
      <c r="K37" s="110"/>
      <c r="L37" s="110"/>
      <c r="M37" s="110"/>
      <c r="N37" s="110"/>
      <c r="O37" s="110"/>
      <c r="P37" s="110"/>
      <c r="Q37" s="110"/>
      <c r="R37" s="110"/>
      <c r="S37" s="110"/>
      <c r="T37" s="110"/>
      <c r="U37" s="110"/>
      <c r="V37" s="110"/>
      <c r="W37" s="110"/>
      <c r="X37" s="110"/>
      <c r="Y37" s="110"/>
      <c r="Z37" s="110"/>
    </row>
    <row r="38" spans="1:26" ht="12.75">
      <c r="A38" s="1153" t="s">
        <v>16135</v>
      </c>
      <c r="B38" s="1035" t="s">
        <v>16136</v>
      </c>
      <c r="C38" s="1154">
        <v>5.1999999999999998E-3</v>
      </c>
      <c r="D38" s="1154">
        <v>3.8E-3</v>
      </c>
      <c r="E38" s="1154">
        <v>5.1999999999999998E-3</v>
      </c>
      <c r="F38" s="1155">
        <v>3.8E-3</v>
      </c>
      <c r="G38" s="110"/>
      <c r="H38" s="110"/>
      <c r="I38" s="110"/>
      <c r="J38" s="110"/>
      <c r="K38" s="110"/>
      <c r="L38" s="110"/>
      <c r="M38" s="110"/>
      <c r="N38" s="110"/>
      <c r="O38" s="110"/>
      <c r="P38" s="110"/>
      <c r="Q38" s="110"/>
      <c r="R38" s="110"/>
      <c r="S38" s="110"/>
      <c r="T38" s="110"/>
      <c r="U38" s="110"/>
      <c r="V38" s="110"/>
      <c r="W38" s="110"/>
      <c r="X38" s="110"/>
      <c r="Y38" s="110"/>
      <c r="Z38" s="110"/>
    </row>
    <row r="39" spans="1:26" ht="12.75" customHeight="1">
      <c r="A39" s="1171" t="s">
        <v>12629</v>
      </c>
      <c r="B39" s="1160" t="s">
        <v>15931</v>
      </c>
      <c r="C39" s="1161">
        <f>SUM(C34:C38)</f>
        <v>0.2049</v>
      </c>
      <c r="D39" s="1161">
        <f>SUM(D34:D38)</f>
        <v>0.14959999999999998</v>
      </c>
      <c r="E39" s="1161">
        <f>SUM(E34:E38)</f>
        <v>0.2049</v>
      </c>
      <c r="F39" s="1162">
        <f>SUM(F34:F38)</f>
        <v>0.14959999999999998</v>
      </c>
      <c r="G39" s="110"/>
      <c r="H39" s="110"/>
      <c r="I39" s="110"/>
      <c r="J39" s="110"/>
      <c r="K39" s="110"/>
      <c r="L39" s="110"/>
      <c r="M39" s="110"/>
      <c r="N39" s="110"/>
      <c r="O39" s="110"/>
      <c r="P39" s="110"/>
      <c r="Q39" s="110"/>
      <c r="R39" s="110"/>
      <c r="S39" s="110"/>
      <c r="T39" s="110"/>
      <c r="U39" s="110"/>
      <c r="V39" s="110"/>
      <c r="W39" s="110"/>
      <c r="X39" s="110"/>
      <c r="Y39" s="110"/>
      <c r="Z39" s="110"/>
    </row>
    <row r="40" spans="1:26" ht="12.75" customHeight="1">
      <c r="A40" s="3476" t="s">
        <v>16137</v>
      </c>
      <c r="B40" s="2590"/>
      <c r="C40" s="2590"/>
      <c r="D40" s="2590"/>
      <c r="E40" s="2590"/>
      <c r="F40" s="2618"/>
      <c r="G40" s="110"/>
      <c r="H40" s="110"/>
      <c r="I40" s="110"/>
      <c r="J40" s="110"/>
      <c r="K40" s="110"/>
      <c r="L40" s="110"/>
      <c r="M40" s="110"/>
      <c r="N40" s="110"/>
      <c r="O40" s="110"/>
      <c r="P40" s="110"/>
      <c r="Q40" s="110"/>
      <c r="R40" s="110"/>
      <c r="S40" s="110"/>
      <c r="T40" s="110"/>
      <c r="U40" s="110"/>
      <c r="V40" s="110"/>
      <c r="W40" s="110"/>
      <c r="X40" s="110"/>
      <c r="Y40" s="110"/>
      <c r="Z40" s="110"/>
    </row>
    <row r="41" spans="1:26" ht="12.75">
      <c r="A41" s="1172" t="s">
        <v>16138</v>
      </c>
      <c r="B41" s="1173" t="s">
        <v>16139</v>
      </c>
      <c r="C41" s="1154">
        <v>6.0199999999999997E-2</v>
      </c>
      <c r="D41" s="1154">
        <v>1.6299999999999999E-2</v>
      </c>
      <c r="E41" s="1154">
        <v>0.1318</v>
      </c>
      <c r="F41" s="1155">
        <v>3.56E-2</v>
      </c>
      <c r="G41" s="110"/>
      <c r="H41" s="110"/>
      <c r="I41" s="110"/>
      <c r="J41" s="110"/>
      <c r="K41" s="110"/>
      <c r="L41" s="110"/>
      <c r="M41" s="110"/>
      <c r="N41" s="110"/>
      <c r="O41" s="110"/>
      <c r="P41" s="110"/>
      <c r="Q41" s="110"/>
      <c r="R41" s="110"/>
      <c r="S41" s="110"/>
      <c r="T41" s="110"/>
      <c r="U41" s="110"/>
      <c r="V41" s="110"/>
      <c r="W41" s="110"/>
      <c r="X41" s="110"/>
      <c r="Y41" s="110"/>
      <c r="Z41" s="110"/>
    </row>
    <row r="42" spans="1:26" ht="25.5">
      <c r="A42" s="1174" t="s">
        <v>16140</v>
      </c>
      <c r="B42" s="1175" t="s">
        <v>16141</v>
      </c>
      <c r="C42" s="1158">
        <v>5.1999999999999998E-3</v>
      </c>
      <c r="D42" s="1158">
        <v>3.8E-3</v>
      </c>
      <c r="E42" s="1158">
        <v>5.4999999999999997E-3</v>
      </c>
      <c r="F42" s="1159">
        <v>4.0000000000000001E-3</v>
      </c>
      <c r="G42" s="110"/>
      <c r="H42" s="110"/>
      <c r="I42" s="110"/>
      <c r="J42" s="110"/>
      <c r="K42" s="110"/>
      <c r="L42" s="110"/>
      <c r="M42" s="110"/>
      <c r="N42" s="110"/>
      <c r="O42" s="110"/>
      <c r="P42" s="110"/>
      <c r="Q42" s="110"/>
      <c r="R42" s="110"/>
      <c r="S42" s="110"/>
      <c r="T42" s="110"/>
      <c r="U42" s="110"/>
      <c r="V42" s="110"/>
      <c r="W42" s="110"/>
      <c r="X42" s="110"/>
      <c r="Y42" s="110"/>
      <c r="Z42" s="110"/>
    </row>
    <row r="43" spans="1:26" ht="12.75" customHeight="1">
      <c r="A43" s="1168" t="s">
        <v>12634</v>
      </c>
      <c r="B43" s="1169" t="s">
        <v>15931</v>
      </c>
      <c r="C43" s="1150">
        <f>SUM(C41:C42)</f>
        <v>6.54E-2</v>
      </c>
      <c r="D43" s="1150">
        <f>SUM(D41:D42)</f>
        <v>2.01E-2</v>
      </c>
      <c r="E43" s="1150">
        <f>SUM(E41:E42)</f>
        <v>0.13730000000000001</v>
      </c>
      <c r="F43" s="1170">
        <f>SUM(F41:F42)</f>
        <v>3.9599999999999996E-2</v>
      </c>
      <c r="G43" s="110"/>
      <c r="H43" s="110"/>
      <c r="I43" s="110"/>
      <c r="J43" s="110"/>
      <c r="K43" s="110"/>
      <c r="L43" s="110"/>
      <c r="M43" s="110"/>
      <c r="N43" s="110"/>
      <c r="O43" s="110"/>
      <c r="P43" s="110"/>
      <c r="Q43" s="110"/>
      <c r="R43" s="110"/>
      <c r="S43" s="110"/>
      <c r="T43" s="110"/>
      <c r="U43" s="110"/>
      <c r="V43" s="110"/>
      <c r="W43" s="110"/>
      <c r="X43" s="110"/>
      <c r="Y43" s="110"/>
      <c r="Z43" s="110"/>
    </row>
    <row r="44" spans="1:26" ht="12.75" customHeight="1">
      <c r="A44" s="1176"/>
      <c r="B44" s="1177" t="s">
        <v>16142</v>
      </c>
      <c r="C44" s="1178">
        <f>C20+C32+C39+C43</f>
        <v>0.79649999999999999</v>
      </c>
      <c r="D44" s="1178">
        <f>D20+D32+D39+D43</f>
        <v>0.4345</v>
      </c>
      <c r="E44" s="1178">
        <f>E20+E32+E39+E43</f>
        <v>1.0684</v>
      </c>
      <c r="F44" s="1179">
        <f>F20+F32+F39+F43</f>
        <v>0.65400000000000003</v>
      </c>
      <c r="G44" s="110"/>
      <c r="H44" s="110"/>
      <c r="I44" s="110"/>
      <c r="J44" s="110"/>
      <c r="K44" s="110"/>
      <c r="L44" s="110"/>
      <c r="M44" s="110"/>
      <c r="N44" s="110"/>
      <c r="O44" s="110"/>
      <c r="P44" s="110"/>
      <c r="Q44" s="110"/>
      <c r="R44" s="110"/>
      <c r="S44" s="110"/>
      <c r="T44" s="110"/>
      <c r="U44" s="110"/>
      <c r="V44" s="110"/>
      <c r="W44" s="110"/>
      <c r="X44" s="110"/>
      <c r="Y44" s="110"/>
      <c r="Z44" s="110"/>
    </row>
    <row r="45" spans="1:26" ht="12.75" customHeight="1">
      <c r="A45" s="1180" t="s">
        <v>16143</v>
      </c>
      <c r="B45" s="1181" t="s">
        <v>16144</v>
      </c>
      <c r="C45" s="1181"/>
      <c r="D45" s="1181"/>
      <c r="E45" s="1181"/>
      <c r="F45" s="1182"/>
      <c r="G45" s="110"/>
      <c r="H45" s="110"/>
      <c r="I45" s="110"/>
      <c r="J45" s="110"/>
      <c r="K45" s="110"/>
      <c r="L45" s="110"/>
      <c r="M45" s="110"/>
      <c r="N45" s="110"/>
      <c r="O45" s="110"/>
      <c r="P45" s="110"/>
      <c r="Q45" s="110"/>
      <c r="R45" s="110"/>
      <c r="S45" s="110"/>
      <c r="T45" s="110"/>
      <c r="U45" s="110"/>
      <c r="V45" s="110"/>
      <c r="W45" s="110"/>
      <c r="X45" s="110"/>
      <c r="Y45" s="110"/>
      <c r="Z45" s="110"/>
    </row>
    <row r="46" spans="1:26" ht="12.75" customHeight="1">
      <c r="A46" s="1183"/>
      <c r="B46" s="1184" t="s">
        <v>16145</v>
      </c>
      <c r="C46" s="1185"/>
      <c r="D46" s="1186"/>
      <c r="E46" s="1186"/>
      <c r="F46" s="1187"/>
      <c r="G46" s="110"/>
      <c r="H46" s="110"/>
      <c r="I46" s="110"/>
      <c r="J46" s="110"/>
      <c r="K46" s="110"/>
      <c r="L46" s="110"/>
      <c r="M46" s="110"/>
      <c r="N46" s="110"/>
      <c r="O46" s="110"/>
      <c r="P46" s="110"/>
      <c r="Q46" s="110"/>
      <c r="R46" s="110"/>
      <c r="S46" s="110"/>
      <c r="T46" s="110"/>
      <c r="U46" s="110"/>
      <c r="V46" s="110"/>
      <c r="W46" s="110"/>
      <c r="X46" s="110"/>
      <c r="Y46" s="110"/>
      <c r="Z46" s="110"/>
    </row>
    <row r="50" spans="2:2" ht="15" customHeight="1">
      <c r="B50" s="1795"/>
    </row>
    <row r="51" spans="2:2" ht="15" customHeight="1">
      <c r="B51" s="1796" t="s">
        <v>16720</v>
      </c>
    </row>
    <row r="52" spans="2:2" ht="15" customHeight="1">
      <c r="B52" s="1796" t="s">
        <v>16721</v>
      </c>
    </row>
    <row r="53" spans="2:2" ht="15" customHeight="1">
      <c r="B53" s="1796" t="s">
        <v>16722</v>
      </c>
    </row>
    <row r="54" spans="2:2" ht="15" customHeight="1">
      <c r="B54" s="1796" t="s">
        <v>16723</v>
      </c>
    </row>
  </sheetData>
  <mergeCells count="15">
    <mergeCell ref="A40:F40"/>
    <mergeCell ref="C7:D7"/>
    <mergeCell ref="E7:F7"/>
    <mergeCell ref="B1:F1"/>
    <mergeCell ref="B2:F2"/>
    <mergeCell ref="B3:F3"/>
    <mergeCell ref="B4:F4"/>
    <mergeCell ref="A5:B5"/>
    <mergeCell ref="C5:F5"/>
    <mergeCell ref="A6:F6"/>
    <mergeCell ref="A7:A9"/>
    <mergeCell ref="B7:B9"/>
    <mergeCell ref="A10:F10"/>
    <mergeCell ref="A21:F21"/>
    <mergeCell ref="A33:F33"/>
  </mergeCells>
  <hyperlinks>
    <hyperlink ref="B45" r:id="rId1" xr:uid="{00000000-0004-0000-0C00-000000000000}"/>
  </hyperlinks>
  <printOptions horizontalCentered="1"/>
  <pageMargins left="0.39370078740157477" right="0.39370078740157477" top="0.39370078740157477" bottom="0.39370078740157477" header="0" footer="0"/>
  <pageSetup paperSize="9" scale="93" fitToHeight="0"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pageSetUpPr fitToPage="1"/>
  </sheetPr>
  <dimension ref="A1:G129"/>
  <sheetViews>
    <sheetView workbookViewId="0"/>
  </sheetViews>
  <sheetFormatPr defaultColWidth="12.5703125" defaultRowHeight="15" customHeight="1" outlineLevelRow="1"/>
  <cols>
    <col min="1" max="1" width="10.85546875" customWidth="1"/>
    <col min="2" max="2" width="15.7109375" customWidth="1"/>
    <col min="3" max="3" width="13.7109375" customWidth="1"/>
    <col min="4" max="4" width="60.7109375" customWidth="1"/>
    <col min="5" max="5" width="7.7109375" customWidth="1"/>
    <col min="6" max="6" width="12" customWidth="1"/>
    <col min="7" max="7" width="62.7109375" customWidth="1"/>
  </cols>
  <sheetData>
    <row r="1" spans="1:7">
      <c r="A1" s="1188" t="str">
        <f>'Medição '!V5</f>
        <v>OBRA:</v>
      </c>
      <c r="B1" s="3485" t="str">
        <f>'Medição '!W5</f>
        <v>COMPLEXO SUNSET DO PARQUE NOVO MATO GROSSO</v>
      </c>
      <c r="C1" s="2615"/>
      <c r="D1" s="2615"/>
      <c r="E1" s="2615"/>
      <c r="F1" s="2615"/>
      <c r="G1" s="2616"/>
    </row>
    <row r="2" spans="1:7">
      <c r="A2" s="1189" t="str">
        <f>'Medição '!V6</f>
        <v xml:space="preserve">ENDEREÇO: </v>
      </c>
      <c r="B2" s="3486" t="str">
        <f>'Medição '!W6</f>
        <v>MT 251, KM 11, S/N, ÁREA RURAL - PARQUE NOVO MATO GROSSO, CEP 78099-899</v>
      </c>
      <c r="C2" s="2590"/>
      <c r="D2" s="2590"/>
      <c r="E2" s="2590"/>
      <c r="F2" s="2590"/>
      <c r="G2" s="2618"/>
    </row>
    <row r="3" spans="1:7">
      <c r="A3" s="1189" t="str">
        <f>'Medição '!V6</f>
        <v xml:space="preserve">ENDEREÇO: </v>
      </c>
      <c r="B3" s="3486" t="str">
        <f>'Medição '!W7</f>
        <v>CUIABÁ - MT</v>
      </c>
      <c r="C3" s="2590"/>
      <c r="D3" s="2590"/>
      <c r="E3" s="2590"/>
      <c r="F3" s="2590"/>
      <c r="G3" s="2618"/>
    </row>
    <row r="4" spans="1:7">
      <c r="A4" s="1190" t="str">
        <f>'Medição '!V8</f>
        <v>OBJETO:</v>
      </c>
      <c r="B4" s="3487" t="str">
        <f>'Medição '!W8</f>
        <v>CONTRATAÇÃO DE EMPRESA ESPECIALIZADA PARA EXECUÇÃO DAS OBRAS DO "COMPLEXO SUNSET (WAKE BAR, PRAÇA SUNSET, QUIOSQUE, BANHEIROS DE APOIO E INFRA DE CONTÊINER) DO PARQUE NOVO MATO GROSSO"</v>
      </c>
      <c r="C4" s="3372"/>
      <c r="D4" s="3372"/>
      <c r="E4" s="3372"/>
      <c r="F4" s="3372"/>
      <c r="G4" s="3488"/>
    </row>
    <row r="5" spans="1:7" ht="30" customHeight="1">
      <c r="A5" s="3489" t="s">
        <v>16146</v>
      </c>
      <c r="B5" s="2631"/>
      <c r="C5" s="2631"/>
      <c r="D5" s="2631"/>
      <c r="E5" s="2631"/>
      <c r="F5" s="2631"/>
      <c r="G5" s="2632"/>
    </row>
    <row r="6" spans="1:7">
      <c r="A6" s="1191" t="s">
        <v>12613</v>
      </c>
      <c r="B6" s="1192" t="s">
        <v>16147</v>
      </c>
      <c r="C6" s="1192" t="s">
        <v>16148</v>
      </c>
      <c r="D6" s="1193" t="s">
        <v>16149</v>
      </c>
      <c r="E6" s="1194" t="s">
        <v>12584</v>
      </c>
      <c r="F6" s="1195" t="s">
        <v>16150</v>
      </c>
      <c r="G6" s="1196" t="s">
        <v>16151</v>
      </c>
    </row>
    <row r="7" spans="1:7" ht="17.25">
      <c r="A7" s="1197" t="s">
        <v>12621</v>
      </c>
      <c r="B7" s="1198"/>
      <c r="C7" s="1198"/>
      <c r="D7" s="1199" t="s">
        <v>16152</v>
      </c>
      <c r="E7" s="1200" t="s">
        <v>16070</v>
      </c>
      <c r="F7" s="1201"/>
      <c r="G7" s="1202" t="s">
        <v>16070</v>
      </c>
    </row>
    <row r="8" spans="1:7" ht="12.75" outlineLevel="1">
      <c r="A8" s="231" t="s">
        <v>12682</v>
      </c>
      <c r="B8" s="1203">
        <v>93567</v>
      </c>
      <c r="C8" s="1203" t="s">
        <v>14476</v>
      </c>
      <c r="D8" s="1204" t="str">
        <f>IFERROR(VLOOKUP($B8,'24.08_ND'!$A:$D,2,0),IFERROR(VLOOKUP($B8,'03-CP'!$C$5:$H$4646,2,0),""))</f>
        <v>ENGENHEIRO CIVIL DE OBRA PLENO COM ENCARGOS COMPLEMENTARES</v>
      </c>
      <c r="E8" s="1205" t="str">
        <f>IFERROR(VLOOKUP($B8,'24.08_ND'!$A:$D,3,0),IFERROR(VLOOKUP($B8,'03-CP'!$C$5:$H$4646,3,0),""))</f>
        <v>MES</v>
      </c>
      <c r="F8" s="1206">
        <v>10</v>
      </c>
      <c r="G8" s="1207"/>
    </row>
    <row r="9" spans="1:7" ht="25.5" outlineLevel="1">
      <c r="A9" s="231" t="s">
        <v>12683</v>
      </c>
      <c r="B9" s="1203">
        <v>100534</v>
      </c>
      <c r="C9" s="1203" t="s">
        <v>14476</v>
      </c>
      <c r="D9" s="1204" t="str">
        <f>IFERROR(VLOOKUP($B9,'24.08_ND'!$A:$D,2,0),IFERROR(VLOOKUP($B9,'03-CP'!$C$5:$H$4646,2,0),""))</f>
        <v>TECNICO DE EDIFICACOES COM ENCARGOS COMPLEMENTARES</v>
      </c>
      <c r="E9" s="1205" t="str">
        <f>IFERROR(VLOOKUP($B9,'24.08_ND'!$A:$D,3,0),IFERROR(VLOOKUP($B9,'03-CP'!$C$5:$H$4646,3,0),""))</f>
        <v>MES</v>
      </c>
      <c r="F9" s="1206">
        <v>10</v>
      </c>
      <c r="G9" s="1207" t="s">
        <v>16153</v>
      </c>
    </row>
    <row r="10" spans="1:7" ht="12.75" outlineLevel="1">
      <c r="A10" s="231" t="s">
        <v>12684</v>
      </c>
      <c r="B10" s="1203" t="s">
        <v>14571</v>
      </c>
      <c r="C10" s="1203" t="s">
        <v>14472</v>
      </c>
      <c r="D10" s="1204" t="str">
        <f>IFERROR(VLOOKUP($B10,'24.08_ND'!$A:$D,2,0),IFERROR(VLOOKUP($B10,'03-CP'!$C$5:$H$4646,2,0),""))</f>
        <v>ENGENHEIRO ELETRICISTA/MECÂNICO COM ENCARGOS COMPLEMENTARES</v>
      </c>
      <c r="E10" s="1205" t="str">
        <f>IFERROR(VLOOKUP($B10,'24.08_ND'!$A:$D,3,0),IFERROR(VLOOKUP($B10,'03-CP'!$C$5:$H$4646,3,0),""))</f>
        <v>MES</v>
      </c>
      <c r="F10" s="1206">
        <v>2</v>
      </c>
      <c r="G10" s="1208" t="s">
        <v>16154</v>
      </c>
    </row>
    <row r="11" spans="1:7" ht="12.75" outlineLevel="1">
      <c r="A11" s="231" t="s">
        <v>12685</v>
      </c>
      <c r="B11" s="1203" t="s">
        <v>14576</v>
      </c>
      <c r="C11" s="1203" t="s">
        <v>14472</v>
      </c>
      <c r="D11" s="1204" t="str">
        <f>IFERROR(VLOOKUP($B11,'24.08_ND'!$A:$D,2,0),IFERROR(VLOOKUP($B11,'03-CP'!$C$5:$H$4646,2,0),""))</f>
        <v>ENGENHEIRO SANITARISTA COM ENCARGOS COMPLEMENTARES</v>
      </c>
      <c r="E11" s="1205" t="str">
        <f>IFERROR(VLOOKUP($B11,'24.08_ND'!$A:$D,3,0),IFERROR(VLOOKUP($B11,'03-CP'!$C$5:$H$4646,3,0),""))</f>
        <v>MES</v>
      </c>
      <c r="F11" s="1206">
        <v>2</v>
      </c>
      <c r="G11" s="1208" t="s">
        <v>16155</v>
      </c>
    </row>
    <row r="12" spans="1:7" ht="12.75" outlineLevel="1">
      <c r="A12" s="231" t="s">
        <v>12686</v>
      </c>
      <c r="B12" s="1203">
        <v>93572</v>
      </c>
      <c r="C12" s="1203" t="s">
        <v>14476</v>
      </c>
      <c r="D12" s="1204" t="str">
        <f>IFERROR(VLOOKUP($B12,'24.08_ND'!$A:$D,2,0),IFERROR(VLOOKUP($B12,'03-CP'!$C$5:$H$4646,2,0),""))</f>
        <v>ENCARREGADO GERAL DE OBRAS COM ENCARGOS COMPLEMENTARES</v>
      </c>
      <c r="E12" s="1205" t="str">
        <f>IFERROR(VLOOKUP($B12,'24.08_ND'!$A:$D,3,0),IFERROR(VLOOKUP($B12,'03-CP'!$C$5:$H$4646,3,0),""))</f>
        <v>MES</v>
      </c>
      <c r="F12" s="1206">
        <v>10</v>
      </c>
      <c r="G12" s="1207" t="s">
        <v>16156</v>
      </c>
    </row>
    <row r="13" spans="1:7" ht="12.75" outlineLevel="1">
      <c r="A13" s="231" t="s">
        <v>12687</v>
      </c>
      <c r="B13" s="1203">
        <v>94295</v>
      </c>
      <c r="C13" s="1203" t="s">
        <v>14476</v>
      </c>
      <c r="D13" s="1204" t="str">
        <f>IFERROR(VLOOKUP($B13,'24.08_ND'!$A:$D,2,0),IFERROR(VLOOKUP($B13,'03-CP'!$C$5:$H$4646,2,0),""))</f>
        <v>MESTRE DE OBRAS COM ENCARGOS COMPLEMENTARES</v>
      </c>
      <c r="E13" s="1205" t="str">
        <f>IFERROR(VLOOKUP($B13,'24.08_ND'!$A:$D,3,0),IFERROR(VLOOKUP($B13,'03-CP'!$C$5:$H$4646,3,0),""))</f>
        <v>MES</v>
      </c>
      <c r="F13" s="1206">
        <v>20</v>
      </c>
      <c r="G13" s="1207" t="s">
        <v>16157</v>
      </c>
    </row>
    <row r="14" spans="1:7" ht="25.5" outlineLevel="1">
      <c r="A14" s="231" t="s">
        <v>12688</v>
      </c>
      <c r="B14" s="1203" t="s">
        <v>14581</v>
      </c>
      <c r="C14" s="1203" t="s">
        <v>14472</v>
      </c>
      <c r="D14" s="1204" t="str">
        <f>IFERROR(VLOOKUP($B14,'24.08_ND'!$A:$D,2,0),IFERROR(VLOOKUP($B14,'03-CP'!$C$5:$H$4646,2,0),""))</f>
        <v>VIGIA NOTURNO, HORA EFETIVAMENTE TRABALHADA DE 22 H AS 5 H (COM ADICIONAL NOTURNO)</v>
      </c>
      <c r="E14" s="1205" t="str">
        <f>IFERROR(VLOOKUP($B14,'24.08_ND'!$A:$D,3,0),IFERROR(VLOOKUP($B14,'03-CP'!$C$5:$H$4646,3,0),""))</f>
        <v>H</v>
      </c>
      <c r="F14" s="1206">
        <f>1*(12*30*10)</f>
        <v>3600</v>
      </c>
      <c r="G14" s="1207" t="s">
        <v>16158</v>
      </c>
    </row>
    <row r="15" spans="1:7" ht="12.75" outlineLevel="1">
      <c r="A15" s="231" t="s">
        <v>12689</v>
      </c>
      <c r="B15" s="1203">
        <v>100289</v>
      </c>
      <c r="C15" s="1203" t="s">
        <v>14476</v>
      </c>
      <c r="D15" s="1204" t="str">
        <f>IFERROR(VLOOKUP($B15,'24.08_ND'!$A:$D,2,0),IFERROR(VLOOKUP($B15,'03-CP'!$C$5:$H$4646,2,0),""))</f>
        <v>VIGIA DIURNO COM ENCARGOS COMPLEMENTARES</v>
      </c>
      <c r="E15" s="1205" t="str">
        <f>IFERROR(VLOOKUP($B15,'24.08_ND'!$A:$D,3,0),IFERROR(VLOOKUP($B15,'03-CP'!$C$5:$H$4646,3,0),""))</f>
        <v>H</v>
      </c>
      <c r="F15" s="1206">
        <f>1*((20*4)+(24*4))*10</f>
        <v>1760</v>
      </c>
      <c r="G15" s="1207" t="s">
        <v>16159</v>
      </c>
    </row>
    <row r="16" spans="1:7" ht="12.75" outlineLevel="1">
      <c r="A16" s="231" t="s">
        <v>12690</v>
      </c>
      <c r="B16" s="1203">
        <v>93563</v>
      </c>
      <c r="C16" s="1203" t="s">
        <v>14476</v>
      </c>
      <c r="D16" s="1204" t="str">
        <f>IFERROR(VLOOKUP($B16,'24.08_ND'!$A:$D,2,0),IFERROR(VLOOKUP($B16,'03-CP'!$C$5:$H$4646,2,0),""))</f>
        <v>ALMOXARIFE COM ENCARGOS COMPLEMENTARES</v>
      </c>
      <c r="E16" s="1205" t="str">
        <f>IFERROR(VLOOKUP($B16,'24.08_ND'!$A:$D,3,0),IFERROR(VLOOKUP($B16,'03-CP'!$C$5:$H$4646,3,0),""))</f>
        <v>MES</v>
      </c>
      <c r="F16" s="1206">
        <v>10</v>
      </c>
      <c r="G16" s="1207" t="s">
        <v>16160</v>
      </c>
    </row>
    <row r="17" spans="1:7" ht="25.5" outlineLevel="1">
      <c r="A17" s="231" t="s">
        <v>12691</v>
      </c>
      <c r="B17" s="1203">
        <v>100321</v>
      </c>
      <c r="C17" s="1203" t="s">
        <v>14476</v>
      </c>
      <c r="D17" s="1204" t="str">
        <f>IFERROR(VLOOKUP($B17,'24.08_ND'!$A:$D,2,0),IFERROR(VLOOKUP($B17,'03-CP'!$C$5:$H$4646,2,0),""))</f>
        <v>TÉCNICO EM SEGURANÇA DO TRABALHO COM ENCARGOS COMPLEMENTARES</v>
      </c>
      <c r="E17" s="1205" t="str">
        <f>IFERROR(VLOOKUP($B17,'24.08_ND'!$A:$D,3,0),IFERROR(VLOOKUP($B17,'03-CP'!$C$5:$H$4646,3,0),""))</f>
        <v>MES</v>
      </c>
      <c r="F17" s="1206">
        <v>10</v>
      </c>
      <c r="G17" s="1207"/>
    </row>
    <row r="18" spans="1:7" ht="12.75" outlineLevel="1">
      <c r="A18" s="231" t="s">
        <v>12692</v>
      </c>
      <c r="B18" s="1203">
        <v>94296</v>
      </c>
      <c r="C18" s="1203" t="s">
        <v>14476</v>
      </c>
      <c r="D18" s="1204" t="str">
        <f>IFERROR(VLOOKUP($B18,'24.08_ND'!$A:$D,2,0),IFERROR(VLOOKUP($B18,'03-CP'!$C$5:$H$4646,2,0),""))</f>
        <v>TOPOGRAFO COM ENCARGOS COMPLEMENTARES</v>
      </c>
      <c r="E18" s="1205" t="str">
        <f>IFERROR(VLOOKUP($B18,'24.08_ND'!$A:$D,3,0),IFERROR(VLOOKUP($B18,'03-CP'!$C$5:$H$4646,3,0),""))</f>
        <v>MES</v>
      </c>
      <c r="F18" s="1206">
        <v>10</v>
      </c>
      <c r="G18" s="1209" t="s">
        <v>16161</v>
      </c>
    </row>
    <row r="19" spans="1:7" ht="12.75" outlineLevel="1">
      <c r="A19" s="231" t="s">
        <v>12693</v>
      </c>
      <c r="B19" s="1203">
        <v>101389</v>
      </c>
      <c r="C19" s="1203" t="s">
        <v>14476</v>
      </c>
      <c r="D19" s="1204" t="str">
        <f>IFERROR(VLOOKUP($B19,'24.08_ND'!$A:$D,2,0),IFERROR(VLOOKUP($B19,'03-CP'!$C$5:$H$4646,2,0),""))</f>
        <v>AUXILIAR DE TOPÓGRAFO COM ENCARGOS COMPLEMENTARES</v>
      </c>
      <c r="E19" s="1205" t="str">
        <f>IFERROR(VLOOKUP($B19,'24.08_ND'!$A:$D,3,0),IFERROR(VLOOKUP($B19,'03-CP'!$C$5:$H$4646,3,0),""))</f>
        <v>MES</v>
      </c>
      <c r="F19" s="1206">
        <v>10</v>
      </c>
      <c r="G19" s="1209" t="s">
        <v>16161</v>
      </c>
    </row>
    <row r="20" spans="1:7" ht="34.5">
      <c r="A20" s="1197" t="s">
        <v>12622</v>
      </c>
      <c r="B20" s="1198"/>
      <c r="C20" s="1198"/>
      <c r="D20" s="1199" t="s">
        <v>16162</v>
      </c>
      <c r="E20" s="1200"/>
      <c r="F20" s="1201"/>
      <c r="G20" s="1202"/>
    </row>
    <row r="21" spans="1:7" ht="15.75">
      <c r="A21" s="1210" t="s">
        <v>12694</v>
      </c>
      <c r="B21" s="1211"/>
      <c r="C21" s="1211"/>
      <c r="D21" s="1212" t="s">
        <v>16163</v>
      </c>
      <c r="E21" s="1213"/>
      <c r="F21" s="1214"/>
      <c r="G21" s="1215"/>
    </row>
    <row r="22" spans="1:7" ht="12.75" outlineLevel="1">
      <c r="A22" s="1216" t="s">
        <v>12695</v>
      </c>
      <c r="B22" s="1217" t="s">
        <v>14473</v>
      </c>
      <c r="C22" s="1203" t="s">
        <v>14472</v>
      </c>
      <c r="D22" s="1204" t="str">
        <f>IFERROR(VLOOKUP($B22,'24.08_ND'!$A:$D,2,0),IFERROR(VLOOKUP($B22,'03-CP'!$C$5:$H$4646,2,0),""))</f>
        <v>PLACA DE OBRAS EM CHAPA DE ACO GALVANIZADO</v>
      </c>
      <c r="E22" s="1205" t="str">
        <f>IFERROR(VLOOKUP($B22,'24.08_ND'!$A:$D,3,0),IFERROR(VLOOKUP($B22,'03-CP'!$C$5:$H$4646,3,0),""))</f>
        <v>M2</v>
      </c>
      <c r="F22" s="1218">
        <f>2.5*5</f>
        <v>12.5</v>
      </c>
      <c r="G22" s="1219" t="s">
        <v>16164</v>
      </c>
    </row>
    <row r="23" spans="1:7" ht="25.5" outlineLevel="1">
      <c r="A23" s="1216" t="s">
        <v>12696</v>
      </c>
      <c r="B23" s="1205" t="s">
        <v>14482</v>
      </c>
      <c r="C23" s="1203" t="s">
        <v>14472</v>
      </c>
      <c r="D23" s="1204" t="str">
        <f>IFERROR(VLOOKUP($B23,'24.08_ND'!$A:$D,2,0),IFERROR(VLOOKUP($B23,'03-CP'!$C$5:$H$4646,2,0),""))</f>
        <v>SINALIZAÇÃO DE OBRA COM TELA TAPUME, COR LARANJA, COM SUPORTE A CADA 2M E PLACA DE SINALIZAÇÃO SOBRE CAVALETE.</v>
      </c>
      <c r="E23" s="1205" t="str">
        <f>IFERROR(VLOOKUP($B23,'24.08_ND'!$A:$D,3,0),IFERROR(VLOOKUP($B23,'03-CP'!$C$5:$H$4646,3,0),""))</f>
        <v>M</v>
      </c>
      <c r="F23" s="1220">
        <v>124</v>
      </c>
      <c r="G23" s="1221" t="s">
        <v>16165</v>
      </c>
    </row>
    <row r="24" spans="1:7" ht="25.5" outlineLevel="1">
      <c r="A24" s="1216" t="s">
        <v>12697</v>
      </c>
      <c r="B24" s="1205" t="s">
        <v>14525</v>
      </c>
      <c r="C24" s="1203" t="s">
        <v>14472</v>
      </c>
      <c r="D24" s="1204" t="str">
        <f>IFERROR(VLOOKUP($B24,'24.08_ND'!$A:$D,2,0),IFERROR(VLOOKUP($B24,'03-CP'!$C$5:$H$4646,2,0),""))</f>
        <v>PLACA DE SINALIZAÇÃO/IDENTIFICAÇÃO DE AMBIENTES. FORNECIMENTO E INSTALAÇÃO</v>
      </c>
      <c r="E24" s="1205" t="str">
        <f>IFERROR(VLOOKUP($B24,'24.08_ND'!$A:$D,3,0),IFERROR(VLOOKUP($B24,'03-CP'!$C$5:$H$4646,3,0),""))</f>
        <v>M2</v>
      </c>
      <c r="F24" s="1220">
        <f>(24*0.2*0.3)</f>
        <v>1.4400000000000002</v>
      </c>
      <c r="G24" s="1221" t="s">
        <v>16166</v>
      </c>
    </row>
    <row r="25" spans="1:7" ht="25.5" outlineLevel="1">
      <c r="A25" s="1216" t="s">
        <v>12698</v>
      </c>
      <c r="B25" s="1205" t="s">
        <v>14517</v>
      </c>
      <c r="C25" s="1203" t="s">
        <v>14472</v>
      </c>
      <c r="D25" s="1204" t="str">
        <f>IFERROR(VLOOKUP($B25,'24.08_ND'!$A:$D,2,0),IFERROR(VLOOKUP($B25,'03-CP'!$C$5:$H$4646,2,0),""))</f>
        <v>PORTÃO EM GRADE DE ABRIR, COM BARRA CHATA 3CMX1/4", COM REQUADRO E GUARNIÇÃO. FORNECIMENTO E INSTALAÇÃO</v>
      </c>
      <c r="E25" s="1205" t="str">
        <f>IFERROR(VLOOKUP($B25,'24.08_ND'!$A:$D,3,0),IFERROR(VLOOKUP($B25,'03-CP'!$C$5:$H$4646,3,0),""))</f>
        <v>M2</v>
      </c>
      <c r="F25" s="1220">
        <f>1*5*2</f>
        <v>10</v>
      </c>
      <c r="G25" s="1221" t="s">
        <v>16167</v>
      </c>
    </row>
    <row r="26" spans="1:7" ht="15.75">
      <c r="A26" s="1210" t="s">
        <v>12699</v>
      </c>
      <c r="B26" s="1211"/>
      <c r="C26" s="1211"/>
      <c r="D26" s="1212" t="s">
        <v>16168</v>
      </c>
      <c r="E26" s="1213"/>
      <c r="F26" s="1222"/>
      <c r="G26" s="1223"/>
    </row>
    <row r="27" spans="1:7" ht="38.25" outlineLevel="1">
      <c r="A27" s="1216" t="s">
        <v>12700</v>
      </c>
      <c r="B27" s="1217" t="s">
        <v>14511</v>
      </c>
      <c r="C27" s="1205" t="s">
        <v>14472</v>
      </c>
      <c r="D27" s="1204" t="str">
        <f>IFERROR(VLOOKUP($B27,'24.08_ND'!$A:$D,2,0),IFERROR(VLOOKUP($B27,'03-CP'!$C$5:$H$4646,2,0),""))</f>
        <v>SISTEMA DE TRATAMENTO DE EFLUENTES DE INSTALAÇÕES PROVISÓRIAS DE CANTEIRO DE OBRAS, SISTEMA FOSSA/FILTRO E CISTERNA - 8 A 14 CONTRIBUINTES</v>
      </c>
      <c r="E27" s="1205" t="str">
        <f>IFERROR(VLOOKUP($B27,'24.08_ND'!$A:$D,3,0),IFERROR(VLOOKUP($B27,'03-CP'!$C$5:$H$4646,3,0),""))</f>
        <v>UN</v>
      </c>
      <c r="F27" s="1220">
        <v>2</v>
      </c>
      <c r="G27" s="1224"/>
    </row>
    <row r="28" spans="1:7" ht="25.5" outlineLevel="1">
      <c r="A28" s="1216" t="s">
        <v>12701</v>
      </c>
      <c r="B28" s="1217" t="s">
        <v>14534</v>
      </c>
      <c r="C28" s="1205" t="s">
        <v>14472</v>
      </c>
      <c r="D28" s="1204" t="str">
        <f>IFERROR(VLOOKUP($B28,'24.08_ND'!$A:$D,2,0),IFERROR(VLOOKUP($B28,'03-CP'!$C$5:$H$4646,2,0),""))</f>
        <v>EXECUÇÃO DE RESERVATÓRIO ELEVADO DE ÁGUA (2000 LITROS) EM CANTEIRO DE OBRAS, APOIADO EM ESTRUTURA DE MADEIRA.</v>
      </c>
      <c r="E28" s="1205" t="str">
        <f>IFERROR(VLOOKUP($B28,'24.08_ND'!$A:$D,3,0),IFERROR(VLOOKUP($B28,'03-CP'!$C$5:$H$4646,3,0),""))</f>
        <v>UN</v>
      </c>
      <c r="F28" s="1225">
        <v>1</v>
      </c>
      <c r="G28" s="1221"/>
    </row>
    <row r="29" spans="1:7" ht="76.5" outlineLevel="1">
      <c r="A29" s="1216" t="s">
        <v>12702</v>
      </c>
      <c r="B29" s="1205" t="s">
        <v>14496</v>
      </c>
      <c r="C29" s="1205" t="s">
        <v>14472</v>
      </c>
      <c r="D29" s="1204" t="str">
        <f>IFERROR(VLOOKUP($B29,'24.08_ND'!$A:$D,2,0),IFERROR(VLOOKUP($B29,'03-CP'!$C$5:$H$4646,2,0),""))</f>
        <v>CENTRAL DE BETONEIRA DE ATÉ 600L - DIMENSÕES 5X5 M (CONSIDERANDO DISTANCIA SEGURA MINÍMA) , PÉ DIREITO H=2,80 M, ISOLAMENTO DE ÁREA DE RISCO EM PERIFERIA COM MADEIRA H=1,10M, INSTALAÇÕES ELÉTRICAS E ATERRAMENTO, BASE EM PISO RÍGIDO LEVEMENTE INCLINADO PARA ESCOAMENTO DE ÁGUA, COBERTURA DE PROTEÇÃO A INTERMPÉRIES CLIMÁTICAS E QUEDA DE MATERIAIS. (EXCETO BETONEIRA)</v>
      </c>
      <c r="E29" s="1205" t="str">
        <f>IFERROR(VLOOKUP($B29,'24.08_ND'!$A:$D,3,0),IFERROR(VLOOKUP($B29,'03-CP'!$C$5:$H$4646,3,0),""))</f>
        <v>UN</v>
      </c>
      <c r="F29" s="1220">
        <v>1</v>
      </c>
      <c r="G29" s="1221"/>
    </row>
    <row r="30" spans="1:7" ht="25.5" outlineLevel="1">
      <c r="A30" s="1216" t="s">
        <v>12703</v>
      </c>
      <c r="B30" s="1205" t="s">
        <v>14500</v>
      </c>
      <c r="C30" s="1205" t="s">
        <v>14472</v>
      </c>
      <c r="D30" s="1204" t="str">
        <f>IFERROR(VLOOKUP($B30,'24.08_ND'!$A:$D,2,0),IFERROR(VLOOKUP($B30,'03-CP'!$C$5:$H$4646,2,0),""))</f>
        <v>LOCAÇÃO DE CONTAINER 2,30 X 6,00 M, ALT. 2,50 M, PARA ESCRITORIO, COM 1 SANITÁRIO, COMPLETO. EXCLUSO MOBILIZAÇÃO E DESMOBILIZAÇÃO</v>
      </c>
      <c r="E30" s="1205" t="str">
        <f>IFERROR(VLOOKUP($B30,'24.08_ND'!$A:$D,3,0),IFERROR(VLOOKUP($B30,'03-CP'!$C$5:$H$4646,3,0),""))</f>
        <v>MES</v>
      </c>
      <c r="F30" s="1220">
        <v>10</v>
      </c>
      <c r="G30" s="1221"/>
    </row>
    <row r="31" spans="1:7" ht="25.5" outlineLevel="1">
      <c r="A31" s="1216" t="s">
        <v>12704</v>
      </c>
      <c r="B31" s="1205" t="s">
        <v>14532</v>
      </c>
      <c r="C31" s="1205" t="s">
        <v>14472</v>
      </c>
      <c r="D31" s="1204" t="str">
        <f>IFERROR(VLOOKUP($B31,'24.08_ND'!$A:$D,2,0),IFERROR(VLOOKUP($B31,'03-CP'!$C$5:$H$4646,2,0),""))</f>
        <v>LASTRO COM MATERIAL GRANULAR (PEDRA BRITADA N.1), APLICADO EM PISOS OU LAJES SOBRE SOLO, ESPESSURA DE *5 CM*(CANTEIRO)</v>
      </c>
      <c r="E31" s="1205" t="str">
        <f>IFERROR(VLOOKUP($B31,'24.08_ND'!$A:$D,3,0),IFERROR(VLOOKUP($B31,'03-CP'!$C$5:$H$4646,3,0),""))</f>
        <v>M3</v>
      </c>
      <c r="F31" s="1220">
        <v>2.5499999999999998</v>
      </c>
      <c r="G31" s="1221" t="s">
        <v>16169</v>
      </c>
    </row>
    <row r="32" spans="1:7" ht="15.75">
      <c r="A32" s="1210" t="s">
        <v>12705</v>
      </c>
      <c r="B32" s="1211"/>
      <c r="C32" s="1214"/>
      <c r="D32" s="1212" t="s">
        <v>16170</v>
      </c>
      <c r="E32" s="1213"/>
      <c r="F32" s="1222"/>
      <c r="G32" s="1223"/>
    </row>
    <row r="33" spans="1:7" ht="51" outlineLevel="1">
      <c r="A33" s="1216" t="s">
        <v>12706</v>
      </c>
      <c r="B33" s="1226">
        <v>86939</v>
      </c>
      <c r="C33" s="1227" t="s">
        <v>14476</v>
      </c>
      <c r="D33" s="1204" t="str">
        <f>IFERROR(VLOOKUP($B33,'24.08_ND'!$A:$D,2,0),IFERROR(VLOOKUP($B33,'03-CP'!$C$5:$H$4646,2,0),""))</f>
        <v>LAVATÓRIO LOUÇA BRANCA COM COLUNA, *44 X 35,5* CM, PADRÃO POPULAR, INCLUSO SIFÃO FLEXÍVEL EM PVC, VÁLVULA E ENGATE FLEXÍVEL 30CM EM PLÁSTICO E COM TORNEIRA CROMADA PADRÃO POPULAR - FORNECIMENTO E INSTALAÇÃO. AF_01/2020</v>
      </c>
      <c r="E33" s="1205" t="str">
        <f>IFERROR(VLOOKUP($B33,'24.08_ND'!$A:$D,3,0),IFERROR(VLOOKUP($B33,'03-CP'!$C$5:$H$4646,3,0),""))</f>
        <v>UN</v>
      </c>
      <c r="F33" s="1228">
        <v>2</v>
      </c>
      <c r="G33" s="1221"/>
    </row>
    <row r="34" spans="1:7" ht="25.5" outlineLevel="1">
      <c r="A34" s="1216" t="s">
        <v>12707</v>
      </c>
      <c r="B34" s="1205">
        <v>101908</v>
      </c>
      <c r="C34" s="1227" t="s">
        <v>14476</v>
      </c>
      <c r="D34" s="1204" t="str">
        <f>IFERROR(VLOOKUP($B34,'24.08_ND'!$A:$D,2,0),IFERROR(VLOOKUP($B34,'03-CP'!$C$5:$H$4646,2,0),""))</f>
        <v>EXTINTOR DE INCÊNDIO PORTÁTIL COM CARGA DE PQS DE 4 KG, CLASSE BC - FORNECIMENTO E INSTALAÇÃO. AF_10/2020_PE</v>
      </c>
      <c r="E34" s="1205" t="str">
        <f>IFERROR(VLOOKUP($B34,'24.08_ND'!$A:$D,3,0),IFERROR(VLOOKUP($B34,'03-CP'!$C$5:$H$4646,3,0),""))</f>
        <v>UN</v>
      </c>
      <c r="F34" s="1220">
        <v>1</v>
      </c>
      <c r="G34" s="1221"/>
    </row>
    <row r="35" spans="1:7" ht="25.5" outlineLevel="1">
      <c r="A35" s="1216" t="s">
        <v>12708</v>
      </c>
      <c r="B35" s="3">
        <v>102494</v>
      </c>
      <c r="C35" s="1227" t="s">
        <v>14476</v>
      </c>
      <c r="D35" s="1204" t="str">
        <f>IFERROR(VLOOKUP($B35,'24.08_ND'!$A:$D,2,0),IFERROR(VLOOKUP($B35,'03-CP'!$C$5:$H$4646,2,0),""))</f>
        <v>PINTURA DE PISO COM TINTA EPÓXI, APLICAÇÃO MANUAL, 2 DEMÃOS, INCLUSO PRIMER EPÓXI. AF_05/2021</v>
      </c>
      <c r="E35" s="1205" t="str">
        <f>IFERROR(VLOOKUP($B35,'24.08_ND'!$A:$D,3,0),IFERROR(VLOOKUP($B35,'03-CP'!$C$5:$H$4646,3,0),""))</f>
        <v>M2</v>
      </c>
      <c r="F35" s="1229">
        <v>1</v>
      </c>
      <c r="G35" s="1221" t="s">
        <v>16171</v>
      </c>
    </row>
    <row r="36" spans="1:7" ht="15.75">
      <c r="A36" s="1210" t="s">
        <v>12709</v>
      </c>
      <c r="B36" s="1211"/>
      <c r="C36" s="1214"/>
      <c r="D36" s="1212" t="s">
        <v>16172</v>
      </c>
      <c r="E36" s="1213"/>
      <c r="F36" s="1222"/>
      <c r="G36" s="1223"/>
    </row>
    <row r="37" spans="1:7" ht="27" customHeight="1" outlineLevel="1">
      <c r="A37" s="1216" t="s">
        <v>12710</v>
      </c>
      <c r="B37" s="1205" t="s">
        <v>14487</v>
      </c>
      <c r="C37" s="1205" t="s">
        <v>14472</v>
      </c>
      <c r="D37" s="1204" t="str">
        <f>IFERROR(VLOOKUP($B37,'24.08_ND'!$A:$D,2,0),IFERROR(VLOOKUP($B37,'03-CP'!$C$5:$H$4646,2,0),""))</f>
        <v xml:space="preserve">LOCAÇÃO MENSAL DE ESTRUTURA DE COBERTURA IMPERMEÁVEL 5x5 M (TENDA - INCLUSO MONTAGEM) E MANUTENÇÃO MENSAL
</v>
      </c>
      <c r="E37" s="1205" t="str">
        <f>IFERROR(VLOOKUP($B37,'24.08_ND'!$A:$D,3,0),IFERROR(VLOOKUP($B37,'03-CP'!$C$5:$H$4646,3,0),""))</f>
        <v>UNXMES</v>
      </c>
      <c r="F37" s="1220">
        <f>3*10</f>
        <v>30</v>
      </c>
      <c r="G37" s="1221" t="s">
        <v>16173</v>
      </c>
    </row>
    <row r="38" spans="1:7" ht="38.25" outlineLevel="1">
      <c r="A38" s="1216" t="s">
        <v>12711</v>
      </c>
      <c r="B38" s="1205" t="s">
        <v>14536</v>
      </c>
      <c r="C38" s="1205" t="s">
        <v>14472</v>
      </c>
      <c r="D38" s="1204" t="str">
        <f>IFERROR(VLOOKUP($B38,'24.08_ND'!$A:$D,2,0),IFERROR(VLOOKUP($B38,'03-CP'!$C$5:$H$4646,2,0),""))</f>
        <v>COBERTURA DE APOIO PARA CANTEIRO DE OBRAS, TELHAMENTO COM TELHA ONDULADA DE FIBROCIMENTO E = 6 MM,  ESTRUTURA EM MADEIRA. EXCLUSO INSTALAÇÕES EM GERAL E PISO.</v>
      </c>
      <c r="E38" s="1205" t="str">
        <f>IFERROR(VLOOKUP($B38,'24.08_ND'!$A:$D,3,0),IFERROR(VLOOKUP($B38,'03-CP'!$C$5:$H$4646,3,0),""))</f>
        <v>M2</v>
      </c>
      <c r="F38" s="1220">
        <v>50</v>
      </c>
      <c r="G38" s="1221" t="s">
        <v>16174</v>
      </c>
    </row>
    <row r="39" spans="1:7" ht="25.5" outlineLevel="1">
      <c r="A39" s="1216" t="s">
        <v>12712</v>
      </c>
      <c r="B39" s="1205" t="s">
        <v>14493</v>
      </c>
      <c r="C39" s="1205" t="s">
        <v>14472</v>
      </c>
      <c r="D39" s="1204" t="str">
        <f>IFERROR(VLOOKUP($B39,'24.08_ND'!$A:$D,2,0),IFERROR(VLOOKUP($B39,'03-CP'!$C$5:$H$4646,2,0),""))</f>
        <v>(CLASSIFICAÇÃO DE RESÍDUO) - LOCAÇÃO DE CAÇAMBA ESTACIONÁRIA 5M³. INCLUSO TRANSPORTE MANUAL DE ENTULHO.</v>
      </c>
      <c r="E39" s="1205" t="str">
        <f>IFERROR(VLOOKUP($B39,'24.08_ND'!$A:$D,3,0),IFERROR(VLOOKUP($B39,'03-CP'!$C$5:$H$4646,3,0),""))</f>
        <v>UN</v>
      </c>
      <c r="F39" s="1220">
        <f>4*4*10</f>
        <v>160</v>
      </c>
      <c r="G39" s="1221" t="s">
        <v>16175</v>
      </c>
    </row>
    <row r="40" spans="1:7" ht="30" customHeight="1" outlineLevel="1">
      <c r="A40" s="1216" t="s">
        <v>12713</v>
      </c>
      <c r="B40" s="1205" t="s">
        <v>14500</v>
      </c>
      <c r="C40" s="1205" t="s">
        <v>14472</v>
      </c>
      <c r="D40" s="1204" t="str">
        <f>IFERROR(VLOOKUP($B40,'24.08_ND'!$A:$D,2,0),IFERROR(VLOOKUP($B40,'03-CP'!$C$5:$H$4646,2,0),""))</f>
        <v>LOCAÇÃO DE CONTAINER 2,30 X 6,00 M, ALT. 2,50 M, PARA ESCRITORIO, COM 1 SANITÁRIO, COMPLETO. EXCLUSO MOBILIZAÇÃO E DESMOBILIZAÇÃO</v>
      </c>
      <c r="E40" s="1205" t="str">
        <f>IFERROR(VLOOKUP($B40,'24.08_ND'!$A:$D,3,0),IFERROR(VLOOKUP($B40,'03-CP'!$C$5:$H$4646,3,0),""))</f>
        <v>MES</v>
      </c>
      <c r="F40" s="1220">
        <f>1*10</f>
        <v>10</v>
      </c>
      <c r="G40" s="1221" t="s">
        <v>16176</v>
      </c>
    </row>
    <row r="41" spans="1:7" ht="38.25" outlineLevel="1">
      <c r="A41" s="1216" t="s">
        <v>12714</v>
      </c>
      <c r="B41" s="1205" t="s">
        <v>14504</v>
      </c>
      <c r="C41" s="1205" t="s">
        <v>14472</v>
      </c>
      <c r="D41" s="1204" t="str">
        <f>IFERROR(VLOOKUP($B41,'24.08_ND'!$A:$D,2,0),IFERROR(VLOOKUP($B41,'03-CP'!$C$5:$H$4646,2,0),""))</f>
        <v>LOCAÇÃO DE CONTAINER 2,30 X 4,30 M, ALT. 2,50 M, PARA SANITÁRIO, COM 3 BACIAS, 4 CHUVEIROS, 1 LAVATORIO E 1 MICTÓRIO (EXCLUSO MOBILIZAÇÃO/DESMOBILIZAÇÃO)</v>
      </c>
      <c r="E41" s="1205" t="str">
        <f>IFERROR(VLOOKUP($B41,'24.08_ND'!$A:$D,3,0),IFERROR(VLOOKUP($B41,'03-CP'!$C$5:$H$4646,3,0),""))</f>
        <v>MES</v>
      </c>
      <c r="F41" s="1220">
        <f>1*10</f>
        <v>10</v>
      </c>
      <c r="G41" s="1230" t="s">
        <v>16177</v>
      </c>
    </row>
    <row r="42" spans="1:7" ht="38.25" outlineLevel="1">
      <c r="A42" s="1216" t="s">
        <v>12715</v>
      </c>
      <c r="B42" s="1205" t="s">
        <v>14507</v>
      </c>
      <c r="C42" s="1205" t="s">
        <v>14472</v>
      </c>
      <c r="D42" s="1204" t="str">
        <f>IFERROR(VLOOKUP($B42,'24.08_ND'!$A:$D,2,0),IFERROR(VLOOKUP($B42,'03-CP'!$C$5:$H$4646,2,0),""))</f>
        <v>LOCAÇÃO DE CONTAINER 2,30 X 6,00 M, ALT. 2,50 M, PARA SANITÁRIO, COM 4 BACIAS, 8 CHUVEIROS,1 LAVATÓRIO E 1 MICTÓRIO (EXCLUSO MOBILIZAÇÃO/DESMOBILIZAÇÃO)</v>
      </c>
      <c r="E42" s="1205" t="str">
        <f>IFERROR(VLOOKUP($B42,'24.08_ND'!$A:$D,3,0),IFERROR(VLOOKUP($B42,'03-CP'!$C$5:$H$4646,3,0),""))</f>
        <v>MES</v>
      </c>
      <c r="F42" s="1220">
        <f>1*10</f>
        <v>10</v>
      </c>
      <c r="G42" s="1230" t="s">
        <v>16178</v>
      </c>
    </row>
    <row r="43" spans="1:7" ht="25.5" outlineLevel="1">
      <c r="A43" s="1216" t="s">
        <v>12716</v>
      </c>
      <c r="B43" s="1205" t="s">
        <v>14514</v>
      </c>
      <c r="C43" s="1205" t="s">
        <v>14472</v>
      </c>
      <c r="D43" s="1204" t="str">
        <f>IFERROR(VLOOKUP($B43,'24.08_ND'!$A:$D,2,0),IFERROR(VLOOKUP($B43,'03-CP'!$C$5:$H$4646,2,0),""))</f>
        <v>ESGOTAMENTO DE FOSSA SÉPTICA COM LIMPEZA CAMINHÃO LIMPA FOSSA ATÉ 6M³</v>
      </c>
      <c r="E43" s="1205" t="str">
        <f>IFERROR(VLOOKUP($B43,'24.08_ND'!$A:$D,3,0),IFERROR(VLOOKUP($B43,'03-CP'!$C$5:$H$4646,3,0),""))</f>
        <v>UN</v>
      </c>
      <c r="F43" s="1220">
        <f>2*10</f>
        <v>20</v>
      </c>
      <c r="G43" s="1221" t="s">
        <v>16179</v>
      </c>
    </row>
    <row r="44" spans="1:7" ht="25.5" outlineLevel="1">
      <c r="A44" s="1216" t="s">
        <v>12717</v>
      </c>
      <c r="B44" s="1205" t="s">
        <v>14551</v>
      </c>
      <c r="C44" s="1205" t="s">
        <v>14472</v>
      </c>
      <c r="D44" s="1204" t="str">
        <f>IFERROR(VLOOKUP($B44,'24.08_ND'!$A:$D,2,0),IFERROR(VLOOKUP($B44,'03-CP'!$C$5:$H$4646,2,0),""))</f>
        <v>LOCAÇÃO DE CABINE DE BANHEIRO QUÍMICO, INCLUSO - INCLUSO FRETE E 02 MANUTENÇÕES MENSAIS</v>
      </c>
      <c r="E44" s="1205" t="str">
        <f>IFERROR(VLOOKUP($B44,'24.08_ND'!$A:$D,3,0),IFERROR(VLOOKUP($B44,'03-CP'!$C$5:$H$4646,3,0),""))</f>
        <v>MES</v>
      </c>
      <c r="F44" s="1220">
        <f>2*10</f>
        <v>20</v>
      </c>
      <c r="G44" s="1221" t="s">
        <v>16180</v>
      </c>
    </row>
    <row r="45" spans="1:7" ht="27.75" customHeight="1" outlineLevel="1">
      <c r="A45" s="1216" t="s">
        <v>12718</v>
      </c>
      <c r="B45" s="1205" t="s">
        <v>14509</v>
      </c>
      <c r="C45" s="1205" t="s">
        <v>14472</v>
      </c>
      <c r="D45" s="1204" t="str">
        <f>IFERROR(VLOOKUP($B45,'24.08_ND'!$A:$D,2,0),IFERROR(VLOOKUP($B45,'03-CP'!$C$5:$H$4646,2,0),""))</f>
        <v>LOCAÇÃO DE CONTAINER 2,30 X 6,00 M, ALT. 2,50 M, PARA ALMOXARIFADO, SEM DIVISÓRIAS INTERNAS E SEM SANITÁRIO (EXCLUSO MOBILIZAÇÃO/DESMOBILIZAÇÃO)</v>
      </c>
      <c r="E45" s="1205" t="str">
        <f>IFERROR(VLOOKUP($B45,'24.08_ND'!$A:$D,3,0),IFERROR(VLOOKUP($B45,'03-CP'!$C$5:$H$4646,3,0),""))</f>
        <v>MES</v>
      </c>
      <c r="F45" s="1220">
        <f>1*10</f>
        <v>10</v>
      </c>
      <c r="G45" s="1221" t="s">
        <v>16181</v>
      </c>
    </row>
    <row r="46" spans="1:7" ht="15.75">
      <c r="A46" s="1210" t="s">
        <v>12719</v>
      </c>
      <c r="B46" s="1211"/>
      <c r="C46" s="1211"/>
      <c r="D46" s="1212" t="s">
        <v>16182</v>
      </c>
      <c r="E46" s="1213"/>
      <c r="F46" s="1222"/>
      <c r="G46" s="1223"/>
    </row>
    <row r="47" spans="1:7" ht="25.5" outlineLevel="1">
      <c r="A47" s="1231" t="s">
        <v>12720</v>
      </c>
      <c r="B47" s="1232" t="s">
        <v>14554</v>
      </c>
      <c r="C47" s="1233" t="s">
        <v>14472</v>
      </c>
      <c r="D47" s="1234" t="str">
        <f>IFERROR(VLOOKUP($B47,'24.08_ND'!$A:$D,2,0),IFERROR(VLOOKUP($B47,'03-CP'!$C$5:$H$4646,2,0),""))</f>
        <v>LOCACAO DE GRUPO GERADOR 80 A 125 KVA, MOTOR DIESEL, REBOCAVEL, ACIONAMENTO MANUAL</v>
      </c>
      <c r="E47" s="1233" t="str">
        <f>IFERROR(VLOOKUP($B47,'24.08_ND'!$A:$D,3,0),IFERROR(VLOOKUP($B47,'03-CP'!$C$5:$H$4646,3,0),""))</f>
        <v>H</v>
      </c>
      <c r="F47" s="1235">
        <f>SUM(G49:G52)</f>
        <v>2160</v>
      </c>
      <c r="G47" s="1236" t="s">
        <v>16183</v>
      </c>
    </row>
    <row r="48" spans="1:7" ht="12.75" hidden="1" outlineLevel="1">
      <c r="A48" s="1216"/>
      <c r="B48" s="1237"/>
      <c r="C48" s="1238" t="s">
        <v>16184</v>
      </c>
      <c r="D48" s="1239" t="s">
        <v>16185</v>
      </c>
      <c r="E48" s="1240" t="s">
        <v>154</v>
      </c>
      <c r="F48" s="1240" t="s">
        <v>14468</v>
      </c>
      <c r="G48" s="1241" t="s">
        <v>12615</v>
      </c>
    </row>
    <row r="49" spans="1:7" ht="12.75" hidden="1" outlineLevel="1">
      <c r="A49" s="1216"/>
      <c r="B49" s="1237">
        <f>6*5*4</f>
        <v>120</v>
      </c>
      <c r="C49" s="1242">
        <v>8</v>
      </c>
      <c r="D49" s="1243" t="s">
        <v>16186</v>
      </c>
      <c r="E49" s="1244">
        <f>6*5*4</f>
        <v>120</v>
      </c>
      <c r="F49" s="1244">
        <v>1</v>
      </c>
      <c r="G49" s="1245">
        <f>C49*E49*F49</f>
        <v>960</v>
      </c>
    </row>
    <row r="50" spans="1:7" ht="12.75" hidden="1" outlineLevel="1">
      <c r="A50" s="1216"/>
      <c r="B50" s="1237"/>
      <c r="C50" s="1242">
        <v>3</v>
      </c>
      <c r="D50" s="1243" t="s">
        <v>12465</v>
      </c>
      <c r="E50" s="1244">
        <f>4*5*4</f>
        <v>80</v>
      </c>
      <c r="F50" s="1244">
        <v>1</v>
      </c>
      <c r="G50" s="1245">
        <f>C50*E50*F50</f>
        <v>240</v>
      </c>
    </row>
    <row r="51" spans="1:7" ht="12.75" hidden="1" outlineLevel="1">
      <c r="A51" s="1216"/>
      <c r="B51" s="1237"/>
      <c r="C51" s="1242">
        <v>6</v>
      </c>
      <c r="D51" s="1243" t="s">
        <v>12595</v>
      </c>
      <c r="E51" s="1244">
        <f>4*5*4</f>
        <v>80</v>
      </c>
      <c r="F51" s="1244">
        <v>1</v>
      </c>
      <c r="G51" s="1245">
        <f>C51*E51*F51</f>
        <v>480</v>
      </c>
    </row>
    <row r="52" spans="1:7" ht="12.75" hidden="1" outlineLevel="1">
      <c r="A52" s="1216"/>
      <c r="B52" s="1237"/>
      <c r="C52" s="1246">
        <v>6</v>
      </c>
      <c r="D52" s="1247" t="s">
        <v>12596</v>
      </c>
      <c r="E52" s="1248">
        <f>4*5*4</f>
        <v>80</v>
      </c>
      <c r="F52" s="1248">
        <v>1</v>
      </c>
      <c r="G52" s="1249">
        <f>C52*E52*F52</f>
        <v>480</v>
      </c>
    </row>
    <row r="53" spans="1:7" ht="12.75" hidden="1" outlineLevel="1">
      <c r="A53" s="1216"/>
      <c r="B53" s="1237"/>
      <c r="C53" s="1250"/>
      <c r="D53" s="1251"/>
      <c r="E53" s="1252"/>
      <c r="F53" s="1253"/>
      <c r="G53" s="1254"/>
    </row>
    <row r="54" spans="1:7" ht="25.5" outlineLevel="1">
      <c r="A54" s="1231" t="s">
        <v>12721</v>
      </c>
      <c r="B54" s="1232" t="s">
        <v>14569</v>
      </c>
      <c r="C54" s="1233" t="s">
        <v>14472</v>
      </c>
      <c r="D54" s="1234" t="str">
        <f>IFERROR(VLOOKUP($B54,'24.08_ND'!$A:$D,2,0),IFERROR(VLOOKUP($B54,'03-CP'!$C$5:$H$4646,2,0),""))</f>
        <v>GERADOR PORTÁTIL MONOFÁSICO, POTÊNCIA 5500 VA, MOTOR A GASOLINA, POTÊNCIA DO MOTOR 13 CV</v>
      </c>
      <c r="E54" s="1233" t="str">
        <f>IFERROR(VLOOKUP($B54,'24.08_ND'!$A:$D,3,0),IFERROR(VLOOKUP($B54,'03-CP'!$C$5:$H$4646,3,0),""))</f>
        <v>H</v>
      </c>
      <c r="F54" s="1255">
        <f>SUM(G56)</f>
        <v>640</v>
      </c>
      <c r="G54" s="1256" t="s">
        <v>16183</v>
      </c>
    </row>
    <row r="55" spans="1:7" ht="12.75" hidden="1" outlineLevel="1">
      <c r="A55" s="1216"/>
      <c r="B55" s="1237"/>
      <c r="C55" s="1238" t="s">
        <v>16184</v>
      </c>
      <c r="D55" s="1239" t="s">
        <v>16185</v>
      </c>
      <c r="E55" s="1240" t="s">
        <v>154</v>
      </c>
      <c r="F55" s="1240" t="s">
        <v>14468</v>
      </c>
      <c r="G55" s="1241" t="s">
        <v>12615</v>
      </c>
    </row>
    <row r="56" spans="1:7" ht="12.75" hidden="1" outlineLevel="1">
      <c r="A56" s="1216"/>
      <c r="B56" s="1237"/>
      <c r="C56" s="1246">
        <v>4</v>
      </c>
      <c r="D56" s="1247" t="s">
        <v>12654</v>
      </c>
      <c r="E56" s="1248">
        <f>4*5*4</f>
        <v>80</v>
      </c>
      <c r="F56" s="1248">
        <v>2</v>
      </c>
      <c r="G56" s="1249">
        <f>E56*F56*C56</f>
        <v>640</v>
      </c>
    </row>
    <row r="57" spans="1:7" ht="12.75" hidden="1" outlineLevel="1">
      <c r="A57" s="1216"/>
      <c r="B57" s="1237"/>
      <c r="C57" s="1250"/>
      <c r="D57" s="1251"/>
      <c r="E57" s="1252"/>
      <c r="F57" s="1253"/>
      <c r="G57" s="1254"/>
    </row>
    <row r="58" spans="1:7" ht="48.75" customHeight="1" outlineLevel="1">
      <c r="A58" s="1231" t="s">
        <v>12722</v>
      </c>
      <c r="B58" s="1257" t="s">
        <v>14557</v>
      </c>
      <c r="C58" s="1233" t="s">
        <v>14472</v>
      </c>
      <c r="D58" s="1258" t="str">
        <f>IFERROR(VLOOKUP($B58,'24.08_ND'!$A:$D,2,0),IFERROR(VLOOKUP($B58,'03-CP'!$C$5:$H$4646,2,0),""))</f>
        <v>LOCACAO DE ANDAIME METALICO TIPO FACHADEIRO, PECAS COM APROXIMADAMENTE 1,20 M DE LARGURA E 2,0 M DE ALTURA, INCLUINDO DIAGONAIS EM X, BARRAS DE LIGACAO, SAPATAS E DEMAIS ITENS NECESSARIOS A MONTAGEM, INCLUSO INSTALAÇÃO</v>
      </c>
      <c r="E58" s="1257" t="str">
        <f>IFERROR(VLOOKUP($B58,'24.08_ND'!$A:$D,3,0),IFERROR(VLOOKUP($B58,'03-CP'!$C$5:$H$4646,3,0),""))</f>
        <v>M2XMES</v>
      </c>
      <c r="F58" s="1259">
        <f>SUM(G60)</f>
        <v>300</v>
      </c>
      <c r="G58" s="1260"/>
    </row>
    <row r="59" spans="1:7" ht="12.75" hidden="1" outlineLevel="1">
      <c r="A59" s="1216"/>
      <c r="B59" s="1205"/>
      <c r="C59" s="1238" t="s">
        <v>16184</v>
      </c>
      <c r="D59" s="1239" t="s">
        <v>16185</v>
      </c>
      <c r="E59" s="1240" t="s">
        <v>154</v>
      </c>
      <c r="F59" s="1240" t="s">
        <v>16187</v>
      </c>
      <c r="G59" s="1241" t="s">
        <v>12615</v>
      </c>
    </row>
    <row r="60" spans="1:7" ht="12.75" hidden="1" outlineLevel="1">
      <c r="A60" s="1216"/>
      <c r="B60" s="1205"/>
      <c r="C60" s="1246">
        <v>3</v>
      </c>
      <c r="D60" s="1247" t="s">
        <v>12594</v>
      </c>
      <c r="E60" s="1248">
        <v>5</v>
      </c>
      <c r="F60" s="1248">
        <v>20</v>
      </c>
      <c r="G60" s="1249">
        <f>E60*F60*C60</f>
        <v>300</v>
      </c>
    </row>
    <row r="61" spans="1:7" ht="12.75" hidden="1" outlineLevel="1">
      <c r="A61" s="1216"/>
      <c r="B61" s="1205"/>
      <c r="C61" s="1205"/>
      <c r="D61" s="1205"/>
      <c r="E61" s="1205"/>
      <c r="F61" s="1205"/>
      <c r="G61" s="1261"/>
    </row>
    <row r="62" spans="1:7" ht="48.75" customHeight="1" outlineLevel="1">
      <c r="A62" s="1231" t="s">
        <v>12723</v>
      </c>
      <c r="B62" s="1257" t="s">
        <v>14560</v>
      </c>
      <c r="C62" s="1257" t="s">
        <v>14472</v>
      </c>
      <c r="D62" s="1258" t="str">
        <f>IFERROR(VLOOKUP($B62,'24.08_ND'!$A:$D,2,0),IFERROR(VLOOKUP($B62,'03-CP'!$C$5:$H$4646,2,0),""))</f>
        <v>LOCAÇÃO E MONTAGEM DE ANDAIME METÁLICO TUBULAR TIPO TORRE, INCLUSO ITENS NECESSÁRIOS A MONTAGEM</v>
      </c>
      <c r="E62" s="1257" t="str">
        <f>IFERROR(VLOOKUP($B62,'24.08_ND'!$A:$D,3,0),IFERROR(VLOOKUP($B62,'03-CP'!$C$5:$H$4646,3,0),""))</f>
        <v>MXMES</v>
      </c>
      <c r="F62" s="1259">
        <f>SUM(G64)</f>
        <v>240</v>
      </c>
      <c r="G62" s="1260"/>
    </row>
    <row r="63" spans="1:7" ht="12.75" hidden="1" outlineLevel="1">
      <c r="A63" s="1216"/>
      <c r="B63" s="1205"/>
      <c r="C63" s="1238" t="s">
        <v>16184</v>
      </c>
      <c r="D63" s="1239" t="s">
        <v>16185</v>
      </c>
      <c r="E63" s="1240" t="s">
        <v>154</v>
      </c>
      <c r="F63" s="1240" t="s">
        <v>14468</v>
      </c>
      <c r="G63" s="1241" t="s">
        <v>12615</v>
      </c>
    </row>
    <row r="64" spans="1:7" ht="12.75" hidden="1" outlineLevel="1">
      <c r="A64" s="1216"/>
      <c r="B64" s="1205"/>
      <c r="C64" s="1246">
        <v>10</v>
      </c>
      <c r="D64" s="1247" t="s">
        <v>16168</v>
      </c>
      <c r="E64" s="1248">
        <v>3</v>
      </c>
      <c r="F64" s="1248">
        <v>8</v>
      </c>
      <c r="G64" s="1249">
        <f>E64*F64*C64</f>
        <v>240</v>
      </c>
    </row>
    <row r="65" spans="1:7" ht="15.75" hidden="1" outlineLevel="1">
      <c r="A65" s="1216"/>
      <c r="B65" s="1205"/>
      <c r="C65" s="1262"/>
      <c r="D65" s="1263"/>
      <c r="E65" s="1253"/>
      <c r="F65" s="1264"/>
      <c r="G65" s="1254"/>
    </row>
    <row r="66" spans="1:7" ht="30.75" customHeight="1" outlineLevel="1">
      <c r="A66" s="1231" t="s">
        <v>12724</v>
      </c>
      <c r="B66" s="1257">
        <v>99059</v>
      </c>
      <c r="C66" s="1257" t="s">
        <v>14476</v>
      </c>
      <c r="D66" s="1265" t="str">
        <f>IFERROR(VLOOKUP($B66,'24.08_ND'!$A:$D,2,0),IFERROR(VLOOKUP($B66,'03-CP'!$C$5:$H$4646,2,0),""))</f>
        <v>LOCAÇÃO CONVENCIONAL DE OBRA, UTILIZANDO GABARITO DE TÁBUAS CORRIDAS PONTALETADAS A CADA 2,00M -  2 UTILIZAÇÕES. AF_03/2024</v>
      </c>
      <c r="E66" s="1255" t="str">
        <f>IFERROR(VLOOKUP($B66,'24.08_ND'!$A:$D,3,0),IFERROR(VLOOKUP($B66,'03-CP'!$C$5:$H$4646,3,0),""))</f>
        <v>M</v>
      </c>
      <c r="F66" s="1266">
        <f>SUM(G68:G72)</f>
        <v>1139.8000000000002</v>
      </c>
      <c r="G66" s="1256"/>
    </row>
    <row r="67" spans="1:7" ht="12.75" hidden="1" outlineLevel="1">
      <c r="A67" s="1216"/>
      <c r="B67" s="1205"/>
      <c r="C67" s="1238"/>
      <c r="D67" s="1239" t="s">
        <v>16188</v>
      </c>
      <c r="E67" s="1240"/>
      <c r="F67" s="1240"/>
      <c r="G67" s="1241" t="s">
        <v>16189</v>
      </c>
    </row>
    <row r="68" spans="1:7" ht="12.75" hidden="1" outlineLevel="1">
      <c r="A68" s="1216"/>
      <c r="B68" s="1205"/>
      <c r="C68" s="1242"/>
      <c r="D68" s="1243" t="s">
        <v>12594</v>
      </c>
      <c r="E68" s="1244"/>
      <c r="F68" s="1244"/>
      <c r="G68" s="1245">
        <v>524.47</v>
      </c>
    </row>
    <row r="69" spans="1:7" ht="12.75" hidden="1" outlineLevel="1">
      <c r="A69" s="1216"/>
      <c r="B69" s="1205"/>
      <c r="C69" s="1242"/>
      <c r="D69" s="1243" t="s">
        <v>12464</v>
      </c>
      <c r="E69" s="1244"/>
      <c r="F69" s="1244"/>
      <c r="G69" s="1245">
        <v>178</v>
      </c>
    </row>
    <row r="70" spans="1:7" ht="12.75" hidden="1" outlineLevel="1">
      <c r="A70" s="1216"/>
      <c r="B70" s="1205"/>
      <c r="C70" s="1242"/>
      <c r="D70" s="1243" t="s">
        <v>12465</v>
      </c>
      <c r="E70" s="1244"/>
      <c r="F70" s="1244"/>
      <c r="G70" s="1245">
        <v>29.83</v>
      </c>
    </row>
    <row r="71" spans="1:7" ht="12.75" hidden="1" outlineLevel="1">
      <c r="A71" s="1216"/>
      <c r="B71" s="1205"/>
      <c r="C71" s="1242"/>
      <c r="D71" s="1243" t="s">
        <v>12595</v>
      </c>
      <c r="E71" s="1244"/>
      <c r="F71" s="1244"/>
      <c r="G71" s="1245">
        <v>327.5</v>
      </c>
    </row>
    <row r="72" spans="1:7" ht="12.75" hidden="1" outlineLevel="1">
      <c r="A72" s="1216"/>
      <c r="B72" s="1205"/>
      <c r="C72" s="1246"/>
      <c r="D72" s="1247" t="s">
        <v>12596</v>
      </c>
      <c r="E72" s="1248"/>
      <c r="F72" s="1248"/>
      <c r="G72" s="1249">
        <v>80</v>
      </c>
    </row>
    <row r="73" spans="1:7" ht="12.75" hidden="1" outlineLevel="1">
      <c r="A73" s="1216"/>
      <c r="B73" s="1205"/>
      <c r="C73" s="1205"/>
      <c r="D73" s="1204"/>
      <c r="E73" s="1205"/>
      <c r="F73" s="1220"/>
      <c r="G73" s="1267"/>
    </row>
    <row r="74" spans="1:7" ht="133.5" customHeight="1" outlineLevel="1">
      <c r="A74" s="1231" t="s">
        <v>12725</v>
      </c>
      <c r="B74" s="1257">
        <v>5928</v>
      </c>
      <c r="C74" s="1257" t="s">
        <v>14476</v>
      </c>
      <c r="D74" s="1265" t="str">
        <f>IFERROR(VLOOKUP($B74,'[8]24'!$A:$D,2,0),IFERROR(VLOOKUP($B74,'03-CP'!$C$5:$H$3564,2,0),""))</f>
        <v>GUINDAUTO HIDRÁULICO, CAPACIDADE MÁXIMA DE CARGA 6200 KG, MOMENTO MÁXIMO DE CARGA 11,7 TM, ALCANCE MÁXIMO HORIZONTAL 9,70 M, INCLUSIVE CAMINHÃO TOCO PBT 16.000 KG, POTÊNCIA DE 189 CV - CHP DIURNO. AF_06/2014</v>
      </c>
      <c r="E74" s="1255" t="str">
        <f>IFERROR(VLOOKUP($B74,'[8]24'!$A:$D,3,0),IFERROR(VLOOKUP($B74,'03-CP'!$C$5:$H$3564,3,0),""))</f>
        <v>CHP</v>
      </c>
      <c r="F74" s="1255">
        <f>SUM(G76)</f>
        <v>1200</v>
      </c>
      <c r="G74" s="1256" t="s">
        <v>16190</v>
      </c>
    </row>
    <row r="75" spans="1:7" ht="12.75" hidden="1" outlineLevel="1">
      <c r="A75" s="1268"/>
      <c r="B75" s="1269"/>
      <c r="C75" s="1270" t="s">
        <v>16191</v>
      </c>
      <c r="D75" s="1239" t="s">
        <v>16188</v>
      </c>
      <c r="E75" s="1240"/>
      <c r="F75" s="1240" t="s">
        <v>154</v>
      </c>
      <c r="G75" s="1241" t="s">
        <v>12615</v>
      </c>
    </row>
    <row r="76" spans="1:7" ht="12.75" hidden="1" outlineLevel="1">
      <c r="A76" s="1268"/>
      <c r="B76" s="1269"/>
      <c r="C76" s="1271">
        <v>10</v>
      </c>
      <c r="D76" s="1247" t="s">
        <v>16192</v>
      </c>
      <c r="E76" s="1248"/>
      <c r="F76" s="1248">
        <f>(6*5*4*C76)</f>
        <v>1200</v>
      </c>
      <c r="G76" s="1249">
        <f>F76</f>
        <v>1200</v>
      </c>
    </row>
    <row r="77" spans="1:7" ht="31.5">
      <c r="A77" s="1210" t="s">
        <v>12726</v>
      </c>
      <c r="B77" s="1211"/>
      <c r="C77" s="1211"/>
      <c r="D77" s="1212" t="s">
        <v>16193</v>
      </c>
      <c r="E77" s="1211"/>
      <c r="F77" s="1213"/>
      <c r="G77" s="1272"/>
    </row>
    <row r="78" spans="1:7" ht="38.25" outlineLevel="1">
      <c r="A78" s="1273" t="s">
        <v>12727</v>
      </c>
      <c r="B78" s="1274">
        <v>100533</v>
      </c>
      <c r="C78" s="1275" t="s">
        <v>14476</v>
      </c>
      <c r="D78" s="1204" t="str">
        <f>IFERROR(VLOOKUP($B78,'24.08_ND'!$A:$D,2,0),IFERROR(VLOOKUP($B78,'03-CP'!$C$5:$H$4646,2,0),""))</f>
        <v>TECNICO DE EDIFICACOES COM ENCARGOS COMPLEMENTARES</v>
      </c>
      <c r="E78" s="1205" t="str">
        <f>IFERROR(VLOOKUP($B78,'24.08_ND'!$A:$D,3,0),IFERROR(VLOOKUP($B78,'03-CP'!$C$5:$H$4646,3,0),""))</f>
        <v>H</v>
      </c>
      <c r="F78" s="1253">
        <f>2*4*45</f>
        <v>360</v>
      </c>
      <c r="G78" s="1276" t="s">
        <v>16194</v>
      </c>
    </row>
    <row r="79" spans="1:7" ht="12.75" outlineLevel="1">
      <c r="A79" s="1277" t="s">
        <v>12728</v>
      </c>
      <c r="B79" s="1232">
        <v>99814</v>
      </c>
      <c r="C79" s="1232" t="s">
        <v>14476</v>
      </c>
      <c r="D79" s="1278" t="str">
        <f>IFERROR(VLOOKUP($B79,'24.08_ND'!$A:$D,2,0),IFERROR(VLOOKUP($B79,'03-CP'!$C$5:$H$4646,2,0),""))</f>
        <v>LIMPEZA DE SUPERFÍCIE COM JATO DE ALTA PRESSÃO. AF_04/2019</v>
      </c>
      <c r="E79" s="1232" t="str">
        <f>IFERROR(VLOOKUP($B79,'24.08_ND'!$A:$D,3,0),IFERROR(VLOOKUP($B79,'03-CP'!$C$5:$H$4646,3,0),""))</f>
        <v>M2</v>
      </c>
      <c r="F79" s="1255">
        <f>SUM(G81:G85)</f>
        <v>7825.9099999999989</v>
      </c>
      <c r="G79" s="1279"/>
    </row>
    <row r="80" spans="1:7" ht="12.75" hidden="1" outlineLevel="1">
      <c r="A80" s="1280"/>
      <c r="B80" s="1252"/>
      <c r="C80" s="1252"/>
      <c r="D80" s="1239" t="s">
        <v>16188</v>
      </c>
      <c r="E80" s="1240" t="s">
        <v>16195</v>
      </c>
      <c r="F80" s="1240"/>
      <c r="G80" s="1241" t="s">
        <v>12615</v>
      </c>
    </row>
    <row r="81" spans="1:7" ht="12.75" hidden="1" outlineLevel="1">
      <c r="A81" s="1280"/>
      <c r="B81" s="1252"/>
      <c r="C81" s="1252"/>
      <c r="D81" s="1243" t="s">
        <v>12594</v>
      </c>
      <c r="E81" s="1244">
        <v>392.78</v>
      </c>
      <c r="F81" s="1244"/>
      <c r="G81" s="1245">
        <f>E81</f>
        <v>392.78</v>
      </c>
    </row>
    <row r="82" spans="1:7" ht="12.75" hidden="1" outlineLevel="1">
      <c r="A82" s="1280"/>
      <c r="B82" s="1252"/>
      <c r="C82" s="1252"/>
      <c r="D82" s="1243" t="s">
        <v>12464</v>
      </c>
      <c r="E82" s="1244">
        <v>6919.19</v>
      </c>
      <c r="F82" s="1244"/>
      <c r="G82" s="1245">
        <f>E82</f>
        <v>6919.19</v>
      </c>
    </row>
    <row r="83" spans="1:7" ht="12.75" hidden="1" outlineLevel="1">
      <c r="A83" s="1280"/>
      <c r="B83" s="1252"/>
      <c r="C83" s="1252"/>
      <c r="D83" s="1243" t="s">
        <v>12465</v>
      </c>
      <c r="E83" s="1244">
        <v>26.95</v>
      </c>
      <c r="F83" s="1244"/>
      <c r="G83" s="1245">
        <f>E83</f>
        <v>26.95</v>
      </c>
    </row>
    <row r="84" spans="1:7" ht="12.75" hidden="1" outlineLevel="1">
      <c r="A84" s="1280"/>
      <c r="B84" s="1252"/>
      <c r="C84" s="1252"/>
      <c r="D84" s="1243" t="s">
        <v>12595</v>
      </c>
      <c r="E84" s="1244">
        <v>206.8</v>
      </c>
      <c r="F84" s="1244"/>
      <c r="G84" s="1245">
        <f>E84</f>
        <v>206.8</v>
      </c>
    </row>
    <row r="85" spans="1:7" ht="12.75" hidden="1" outlineLevel="1">
      <c r="A85" s="1280"/>
      <c r="B85" s="1252"/>
      <c r="C85" s="1252"/>
      <c r="D85" s="1247" t="s">
        <v>12596</v>
      </c>
      <c r="E85" s="1248">
        <v>280.19</v>
      </c>
      <c r="F85" s="1248"/>
      <c r="G85" s="1281">
        <f>E85</f>
        <v>280.19</v>
      </c>
    </row>
    <row r="86" spans="1:7" ht="12.75" hidden="1">
      <c r="A86" s="1282"/>
      <c r="B86" s="1283"/>
      <c r="C86" s="1283"/>
      <c r="D86" s="1284"/>
      <c r="E86" s="1283"/>
      <c r="F86" s="1285"/>
      <c r="G86" s="1286"/>
    </row>
    <row r="87" spans="1:7" ht="12.75" hidden="1" outlineLevel="1">
      <c r="A87" s="1287"/>
      <c r="B87" s="1252"/>
      <c r="C87" s="1252"/>
      <c r="D87" s="1251"/>
      <c r="E87" s="1252"/>
      <c r="F87" s="1288"/>
      <c r="G87" s="1289"/>
    </row>
    <row r="88" spans="1:7" ht="12.75" hidden="1" outlineLevel="1">
      <c r="A88" s="1287"/>
      <c r="B88" s="1252"/>
      <c r="C88" s="1252"/>
      <c r="D88" s="1251"/>
      <c r="E88" s="1252"/>
      <c r="F88" s="1288"/>
      <c r="G88" s="1289"/>
    </row>
    <row r="89" spans="1:7" ht="12.75" hidden="1" outlineLevel="1">
      <c r="A89" s="1287"/>
      <c r="B89" s="1252"/>
      <c r="C89" s="1252"/>
      <c r="D89" s="1251"/>
      <c r="E89" s="1252"/>
      <c r="F89" s="1288"/>
      <c r="G89" s="1289"/>
    </row>
    <row r="90" spans="1:7" ht="12.75" hidden="1" outlineLevel="1">
      <c r="A90" s="1287"/>
      <c r="B90" s="1252"/>
      <c r="C90" s="1252"/>
      <c r="D90" s="1251"/>
      <c r="E90" s="1252"/>
      <c r="F90" s="1288"/>
      <c r="G90" s="1289"/>
    </row>
    <row r="91" spans="1:7" ht="12.75" hidden="1" outlineLevel="1">
      <c r="A91" s="1287"/>
      <c r="B91" s="1252"/>
      <c r="C91" s="1252"/>
      <c r="D91" s="1251"/>
      <c r="E91" s="1252"/>
      <c r="F91" s="1288"/>
      <c r="G91" s="1289"/>
    </row>
    <row r="92" spans="1:7" ht="12.75" hidden="1" outlineLevel="1">
      <c r="A92" s="1287"/>
      <c r="B92" s="1252"/>
      <c r="C92" s="1252"/>
      <c r="D92" s="1251"/>
      <c r="E92" s="1252"/>
      <c r="F92" s="1288"/>
      <c r="G92" s="1289"/>
    </row>
    <row r="93" spans="1:7" ht="12.75" hidden="1" outlineLevel="1">
      <c r="A93" s="1287"/>
      <c r="B93" s="1252"/>
      <c r="C93" s="1252"/>
      <c r="D93" s="1251"/>
      <c r="E93" s="1252"/>
      <c r="F93" s="1288"/>
      <c r="G93" s="1289"/>
    </row>
    <row r="94" spans="1:7" ht="12.75" hidden="1" outlineLevel="1">
      <c r="A94" s="1287"/>
      <c r="B94" s="1252"/>
      <c r="C94" s="1252"/>
      <c r="D94" s="1251"/>
      <c r="E94" s="1252"/>
      <c r="F94" s="1288"/>
      <c r="G94" s="1289"/>
    </row>
    <row r="95" spans="1:7" ht="12.75" hidden="1" outlineLevel="1">
      <c r="A95" s="1287"/>
      <c r="B95" s="1252"/>
      <c r="C95" s="1252"/>
      <c r="D95" s="1251"/>
      <c r="E95" s="1252"/>
      <c r="F95" s="1288"/>
      <c r="G95" s="1289"/>
    </row>
    <row r="96" spans="1:7" ht="12.75" hidden="1" outlineLevel="1">
      <c r="A96" s="1287"/>
      <c r="B96" s="1252"/>
      <c r="C96" s="1252"/>
      <c r="D96" s="1251"/>
      <c r="E96" s="1252"/>
      <c r="F96" s="1288"/>
      <c r="G96" s="1289"/>
    </row>
    <row r="97" spans="1:7" ht="12.75" hidden="1" outlineLevel="1">
      <c r="A97" s="1287"/>
      <c r="B97" s="1252"/>
      <c r="C97" s="1252"/>
      <c r="D97" s="1251"/>
      <c r="E97" s="1252"/>
      <c r="F97" s="1288"/>
      <c r="G97" s="1289"/>
    </row>
    <row r="98" spans="1:7" ht="12.75" hidden="1" outlineLevel="1">
      <c r="A98" s="1287"/>
      <c r="B98" s="1252"/>
      <c r="C98" s="1252"/>
      <c r="D98" s="1251"/>
      <c r="E98" s="1252"/>
      <c r="F98" s="1288"/>
      <c r="G98" s="1289"/>
    </row>
    <row r="99" spans="1:7" ht="12.75" hidden="1" outlineLevel="1">
      <c r="A99" s="1287"/>
      <c r="B99" s="1252"/>
      <c r="C99" s="1252"/>
      <c r="D99" s="1251"/>
      <c r="E99" s="1252"/>
      <c r="F99" s="1288"/>
      <c r="G99" s="1289"/>
    </row>
    <row r="100" spans="1:7" ht="12.75" hidden="1" outlineLevel="1">
      <c r="A100" s="1287"/>
      <c r="B100" s="1252"/>
      <c r="C100" s="1252"/>
      <c r="D100" s="1251"/>
      <c r="E100" s="1252"/>
      <c r="F100" s="1288"/>
      <c r="G100" s="1289"/>
    </row>
    <row r="101" spans="1:7" ht="12.75" hidden="1" outlineLevel="1">
      <c r="A101" s="1287"/>
      <c r="B101" s="1252"/>
      <c r="C101" s="1252"/>
      <c r="D101" s="1251"/>
      <c r="E101" s="1252"/>
      <c r="F101" s="1288"/>
      <c r="G101" s="1289"/>
    </row>
    <row r="102" spans="1:7" ht="12.75" hidden="1" outlineLevel="1">
      <c r="A102" s="1287"/>
      <c r="B102" s="1252"/>
      <c r="C102" s="1252"/>
      <c r="D102" s="1251"/>
      <c r="E102" s="1252"/>
      <c r="F102" s="1288"/>
      <c r="G102" s="1289"/>
    </row>
    <row r="103" spans="1:7" ht="12.75" hidden="1" outlineLevel="1">
      <c r="A103" s="1287"/>
      <c r="B103" s="1252"/>
      <c r="C103" s="1252"/>
      <c r="D103" s="1251"/>
      <c r="E103" s="1252"/>
      <c r="F103" s="1288"/>
      <c r="G103" s="1289"/>
    </row>
    <row r="104" spans="1:7" ht="12.75" hidden="1" outlineLevel="1">
      <c r="A104" s="1287"/>
      <c r="B104" s="1252"/>
      <c r="C104" s="1252"/>
      <c r="D104" s="1251"/>
      <c r="E104" s="1252"/>
      <c r="F104" s="1288"/>
      <c r="G104" s="1289"/>
    </row>
    <row r="105" spans="1:7" ht="12.75" hidden="1" outlineLevel="1">
      <c r="A105" s="1287"/>
      <c r="B105" s="1252"/>
      <c r="C105" s="1252"/>
      <c r="D105" s="1251"/>
      <c r="E105" s="1252"/>
      <c r="F105" s="1288"/>
      <c r="G105" s="1289"/>
    </row>
    <row r="106" spans="1:7" ht="12.75" hidden="1" outlineLevel="1">
      <c r="A106" s="1287"/>
      <c r="B106" s="1252"/>
      <c r="C106" s="1252"/>
      <c r="D106" s="1251"/>
      <c r="E106" s="1252"/>
      <c r="F106" s="1288"/>
      <c r="G106" s="1289"/>
    </row>
    <row r="107" spans="1:7" ht="12.75" hidden="1" outlineLevel="1">
      <c r="A107" s="1287"/>
      <c r="B107" s="1252"/>
      <c r="C107" s="1252"/>
      <c r="D107" s="1251"/>
      <c r="E107" s="1252"/>
      <c r="F107" s="1288"/>
      <c r="G107" s="1289"/>
    </row>
    <row r="108" spans="1:7" ht="12.75" hidden="1" outlineLevel="1">
      <c r="A108" s="1287"/>
      <c r="B108" s="1252"/>
      <c r="C108" s="1252"/>
      <c r="D108" s="1251"/>
      <c r="E108" s="1252"/>
      <c r="F108" s="1288"/>
      <c r="G108" s="1289"/>
    </row>
    <row r="109" spans="1:7" ht="12.75" hidden="1" outlineLevel="1">
      <c r="A109" s="1287"/>
      <c r="B109" s="1252"/>
      <c r="C109" s="1252"/>
      <c r="D109" s="1251"/>
      <c r="E109" s="1252"/>
      <c r="F109" s="1288"/>
      <c r="G109" s="1289"/>
    </row>
    <row r="110" spans="1:7" ht="12.75" hidden="1" outlineLevel="1">
      <c r="A110" s="1287"/>
      <c r="B110" s="1252"/>
      <c r="C110" s="1252"/>
      <c r="D110" s="1251"/>
      <c r="E110" s="1252"/>
      <c r="F110" s="1288"/>
      <c r="G110" s="1289"/>
    </row>
    <row r="111" spans="1:7" ht="12.75" hidden="1" outlineLevel="1">
      <c r="A111" s="1287"/>
      <c r="B111" s="1252"/>
      <c r="C111" s="1252"/>
      <c r="D111" s="1251"/>
      <c r="E111" s="1252"/>
      <c r="F111" s="1288"/>
      <c r="G111" s="1289"/>
    </row>
    <row r="112" spans="1:7" ht="12.75" hidden="1" outlineLevel="1">
      <c r="A112" s="1287"/>
      <c r="B112" s="1252"/>
      <c r="C112" s="1252"/>
      <c r="D112" s="1251"/>
      <c r="E112" s="1252"/>
      <c r="F112" s="1288"/>
      <c r="G112" s="1289"/>
    </row>
    <row r="113" spans="1:7" ht="12.75" hidden="1" outlineLevel="1">
      <c r="A113" s="1287"/>
      <c r="B113" s="1252"/>
      <c r="C113" s="1252"/>
      <c r="D113" s="1251"/>
      <c r="E113" s="1252"/>
      <c r="F113" s="1288"/>
      <c r="G113" s="1289"/>
    </row>
    <row r="114" spans="1:7" ht="12.75" hidden="1" outlineLevel="1">
      <c r="A114" s="1287"/>
      <c r="B114" s="1252"/>
      <c r="C114" s="1252"/>
      <c r="D114" s="1251"/>
      <c r="E114" s="1252"/>
      <c r="F114" s="1288"/>
      <c r="G114" s="1289"/>
    </row>
    <row r="115" spans="1:7" ht="12.75" hidden="1" outlineLevel="1">
      <c r="A115" s="1287"/>
      <c r="B115" s="1252"/>
      <c r="C115" s="1252"/>
      <c r="D115" s="1251"/>
      <c r="E115" s="1252"/>
      <c r="F115" s="1288"/>
      <c r="G115" s="1289"/>
    </row>
    <row r="116" spans="1:7" ht="12.75" hidden="1" outlineLevel="1">
      <c r="A116" s="1287"/>
      <c r="B116" s="1252"/>
      <c r="C116" s="1252"/>
      <c r="D116" s="1251"/>
      <c r="E116" s="1252"/>
      <c r="F116" s="1288"/>
      <c r="G116" s="1289"/>
    </row>
    <row r="117" spans="1:7" ht="12.75" hidden="1" outlineLevel="1">
      <c r="A117" s="1287"/>
      <c r="B117" s="1252"/>
      <c r="C117" s="1252"/>
      <c r="D117" s="1251"/>
      <c r="E117" s="1252"/>
      <c r="F117" s="1288"/>
      <c r="G117" s="1289"/>
    </row>
    <row r="118" spans="1:7" ht="12.75" hidden="1" outlineLevel="1">
      <c r="A118" s="1287"/>
      <c r="B118" s="1252"/>
      <c r="C118" s="1252"/>
      <c r="D118" s="1251"/>
      <c r="E118" s="1252"/>
      <c r="F118" s="1288"/>
      <c r="G118" s="1289"/>
    </row>
    <row r="119" spans="1:7" ht="12.75" hidden="1" outlineLevel="1">
      <c r="A119" s="1287"/>
      <c r="B119" s="1252"/>
      <c r="C119" s="1252"/>
      <c r="D119" s="1251"/>
      <c r="E119" s="1252"/>
      <c r="F119" s="1288"/>
      <c r="G119" s="1289"/>
    </row>
    <row r="120" spans="1:7" ht="12.75" hidden="1" outlineLevel="1">
      <c r="A120" s="1287"/>
      <c r="B120" s="1252"/>
      <c r="C120" s="1252"/>
      <c r="D120" s="1251"/>
      <c r="E120" s="1252"/>
      <c r="F120" s="1288"/>
      <c r="G120" s="1289"/>
    </row>
    <row r="121" spans="1:7" ht="12.75" hidden="1" outlineLevel="1">
      <c r="A121" s="1287"/>
      <c r="B121" s="1252"/>
      <c r="C121" s="1252"/>
      <c r="D121" s="1251"/>
      <c r="E121" s="1252"/>
      <c r="F121" s="1288"/>
      <c r="G121" s="1289"/>
    </row>
    <row r="122" spans="1:7" ht="12.75" hidden="1" outlineLevel="1">
      <c r="A122" s="1287"/>
      <c r="B122" s="1252"/>
      <c r="C122" s="1252"/>
      <c r="D122" s="1251"/>
      <c r="E122" s="1252"/>
      <c r="F122" s="1288"/>
      <c r="G122" s="1289"/>
    </row>
    <row r="123" spans="1:7" ht="12.75" hidden="1" outlineLevel="1">
      <c r="A123" s="1287"/>
      <c r="B123" s="1252"/>
      <c r="C123" s="1252"/>
      <c r="D123" s="1251"/>
      <c r="E123" s="1252"/>
      <c r="F123" s="1288"/>
      <c r="G123" s="1289"/>
    </row>
    <row r="124" spans="1:7" ht="12.75" hidden="1" outlineLevel="1">
      <c r="A124" s="1287"/>
      <c r="B124" s="1252"/>
      <c r="C124" s="1252"/>
      <c r="D124" s="1251"/>
      <c r="E124" s="1252"/>
      <c r="F124" s="1288"/>
      <c r="G124" s="1289"/>
    </row>
    <row r="125" spans="1:7" ht="12.75" hidden="1" outlineLevel="1">
      <c r="A125" s="1287"/>
      <c r="B125" s="1252"/>
      <c r="C125" s="1252"/>
      <c r="D125" s="1251"/>
      <c r="E125" s="1252"/>
      <c r="F125" s="1288"/>
      <c r="G125" s="1289"/>
    </row>
    <row r="126" spans="1:7" ht="12.75" hidden="1" outlineLevel="1">
      <c r="A126" s="1287"/>
      <c r="B126" s="1252"/>
      <c r="C126" s="1252"/>
      <c r="D126" s="1251"/>
      <c r="E126" s="1252"/>
      <c r="F126" s="1288"/>
      <c r="G126" s="1289"/>
    </row>
    <row r="127" spans="1:7" ht="12.75" hidden="1" outlineLevel="1">
      <c r="A127" s="1287"/>
      <c r="B127" s="1252"/>
      <c r="C127" s="1252"/>
      <c r="D127" s="1251"/>
      <c r="E127" s="1252"/>
      <c r="F127" s="1288"/>
      <c r="G127" s="1289"/>
    </row>
    <row r="128" spans="1:7" ht="12.75" hidden="1" outlineLevel="1">
      <c r="A128" s="1287"/>
      <c r="B128" s="1252"/>
      <c r="C128" s="1252"/>
      <c r="D128" s="1251"/>
      <c r="E128" s="1252"/>
      <c r="F128" s="1288"/>
      <c r="G128" s="1289"/>
    </row>
    <row r="129" spans="1:7" ht="12.75" hidden="1" outlineLevel="1">
      <c r="A129" s="1287"/>
      <c r="B129" s="1252"/>
      <c r="C129" s="1252"/>
      <c r="D129" s="1251"/>
      <c r="E129" s="1252"/>
      <c r="F129" s="1288"/>
      <c r="G129" s="1289"/>
    </row>
  </sheetData>
  <autoFilter ref="A1:G129" xr:uid="{00000000-0009-0000-0000-00000D000000}">
    <filterColumn colId="0">
      <filters>
        <filter val="(A) - ADM / SERV. PRELIMINARES - PLANILHA QUANTITATIVA"/>
        <filter val="A.1"/>
        <filter val="A.1.1"/>
        <filter val="A.1.10"/>
        <filter val="A.1.11"/>
        <filter val="A.1.12"/>
        <filter val="A.1.2"/>
        <filter val="A.1.3"/>
        <filter val="A.1.4"/>
        <filter val="A.1.5"/>
        <filter val="A.1.6"/>
        <filter val="A.1.7"/>
        <filter val="A.1.8"/>
        <filter val="A.1.9"/>
        <filter val="A.2"/>
        <filter val="A.2.1"/>
        <filter val="A.2.1.1"/>
        <filter val="A.2.1.2"/>
        <filter val="A.2.1.3"/>
        <filter val="A.2.1.4"/>
        <filter val="A.2.2"/>
        <filter val="A.2.2.1"/>
        <filter val="A.2.2.2"/>
        <filter val="A.2.2.3"/>
        <filter val="A.2.2.4"/>
        <filter val="A.2.2.5"/>
        <filter val="A.2.3"/>
        <filter val="A.2.3.1"/>
        <filter val="A.2.3.2"/>
        <filter val="A.2.3.3"/>
        <filter val="A.2.4"/>
        <filter val="A.2.4.1"/>
        <filter val="A.2.4.2"/>
        <filter val="A.2.4.3"/>
        <filter val="A.2.4.4"/>
        <filter val="A.2.4.5"/>
        <filter val="A.2.4.6"/>
        <filter val="A.2.4.7"/>
        <filter val="A.2.4.8"/>
        <filter val="A.2.4.9"/>
        <filter val="A.2.5"/>
        <filter val="A.2.5.1"/>
        <filter val="A.2.5.2"/>
        <filter val="A.2.5.3"/>
        <filter val="A.2.5.4"/>
        <filter val="A.2.5.5"/>
        <filter val="A.2.5.6"/>
        <filter val="A.2.6"/>
        <filter val="A.2.6.1"/>
        <filter val="A.2.6.2"/>
        <filter val="ENDEREÇO:"/>
        <filter val="ITEM"/>
        <filter val="OBJETO:"/>
      </filters>
    </filterColumn>
  </autoFilter>
  <mergeCells count="5">
    <mergeCell ref="B1:G1"/>
    <mergeCell ref="B2:G2"/>
    <mergeCell ref="B3:G3"/>
    <mergeCell ref="B4:G4"/>
    <mergeCell ref="A5:G5"/>
  </mergeCells>
  <printOptions horizontalCentered="1"/>
  <pageMargins left="0.39370078740157477" right="0.39370078740157477" top="0.39370078740157477" bottom="0.39370078740157483" header="0" footer="0"/>
  <pageSetup paperSize="9" scale="49" fitToHeight="0" orientation="portrait" cellComments="atEnd"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outlinePr summaryBelow="0"/>
    <pageSetUpPr fitToPage="1"/>
  </sheetPr>
  <dimension ref="A1:Z660"/>
  <sheetViews>
    <sheetView workbookViewId="0"/>
  </sheetViews>
  <sheetFormatPr defaultColWidth="12.5703125" defaultRowHeight="15" customHeight="1" outlineLevelRow="1"/>
  <cols>
    <col min="1" max="1" width="12" customWidth="1"/>
    <col min="2" max="2" width="13.5703125" customWidth="1"/>
    <col min="3" max="3" width="10.5703125" customWidth="1"/>
    <col min="4" max="4" width="60" customWidth="1"/>
    <col min="5" max="5" width="11.5703125" customWidth="1"/>
    <col min="6" max="6" width="12.7109375" customWidth="1"/>
    <col min="7" max="7" width="12" customWidth="1"/>
    <col min="8" max="8" width="26.7109375" customWidth="1"/>
    <col min="9" max="9" width="7.7109375" customWidth="1"/>
    <col min="10" max="10" width="19.42578125" hidden="1" customWidth="1"/>
    <col min="11" max="12" width="13.85546875" hidden="1" customWidth="1"/>
    <col min="13" max="13" width="14.7109375" hidden="1" customWidth="1"/>
    <col min="14" max="26" width="13.85546875" hidden="1" customWidth="1"/>
  </cols>
  <sheetData>
    <row r="1" spans="1:26">
      <c r="A1" s="1188" t="str">
        <f>'Medição '!V5</f>
        <v>OBRA:</v>
      </c>
      <c r="B1" s="3492" t="str">
        <f>'Medição '!W5</f>
        <v>COMPLEXO SUNSET DO PARQUE NOVO MATO GROSSO</v>
      </c>
      <c r="C1" s="2607"/>
      <c r="D1" s="2607"/>
      <c r="E1" s="2607"/>
      <c r="F1" s="2607"/>
      <c r="G1" s="2607"/>
      <c r="H1" s="2607"/>
      <c r="I1" s="3400"/>
      <c r="J1" s="130"/>
      <c r="K1" s="130"/>
      <c r="L1" s="129"/>
      <c r="M1" s="130"/>
      <c r="N1" s="130"/>
      <c r="O1" s="130"/>
      <c r="P1" s="130"/>
      <c r="Q1" s="130"/>
      <c r="R1" s="130"/>
      <c r="S1" s="130"/>
      <c r="T1" s="130"/>
      <c r="U1" s="130"/>
      <c r="V1" s="130"/>
      <c r="W1" s="130"/>
      <c r="X1" s="130"/>
      <c r="Y1" s="130"/>
      <c r="Z1" s="130"/>
    </row>
    <row r="2" spans="1:26">
      <c r="A2" s="1189" t="e">
        <f>'Medição '!$V$6:$AB$6</f>
        <v>#VALUE!</v>
      </c>
      <c r="B2" s="3493" t="str">
        <f>'Medição '!W6</f>
        <v>MT 251, KM 11, S/N, ÁREA RURAL - PARQUE NOVO MATO GROSSO, CEP 78099-899</v>
      </c>
      <c r="C2" s="2634"/>
      <c r="D2" s="2634"/>
      <c r="E2" s="2634"/>
      <c r="F2" s="2634"/>
      <c r="G2" s="2634"/>
      <c r="H2" s="2634"/>
      <c r="I2" s="2635"/>
      <c r="J2" s="130"/>
      <c r="K2" s="130"/>
      <c r="L2" s="129"/>
      <c r="M2" s="130"/>
      <c r="N2" s="130"/>
      <c r="O2" s="130"/>
      <c r="P2" s="130"/>
      <c r="Q2" s="130"/>
      <c r="R2" s="130"/>
      <c r="S2" s="130"/>
      <c r="T2" s="130"/>
      <c r="U2" s="130"/>
      <c r="V2" s="130"/>
      <c r="W2" s="130"/>
      <c r="X2" s="130"/>
      <c r="Y2" s="130"/>
      <c r="Z2" s="130"/>
    </row>
    <row r="3" spans="1:26">
      <c r="A3" s="1189" t="e">
        <f>'Medição '!$V$7:$AB$7</f>
        <v>#VALUE!</v>
      </c>
      <c r="B3" s="3493" t="str">
        <f>'Medição '!W7</f>
        <v>CUIABÁ - MT</v>
      </c>
      <c r="C3" s="2634"/>
      <c r="D3" s="2634"/>
      <c r="E3" s="2634"/>
      <c r="F3" s="2634"/>
      <c r="G3" s="2634"/>
      <c r="H3" s="2634"/>
      <c r="I3" s="2635"/>
      <c r="J3" s="130"/>
      <c r="K3" s="130"/>
      <c r="L3" s="129"/>
      <c r="M3" s="130"/>
      <c r="N3" s="130"/>
      <c r="O3" s="130"/>
      <c r="P3" s="130"/>
      <c r="Q3" s="130"/>
      <c r="R3" s="130"/>
      <c r="S3" s="130"/>
      <c r="T3" s="130"/>
      <c r="U3" s="130"/>
      <c r="V3" s="130"/>
      <c r="W3" s="130"/>
      <c r="X3" s="130"/>
      <c r="Y3" s="130"/>
      <c r="Z3" s="130"/>
    </row>
    <row r="4" spans="1:26">
      <c r="A4" s="1189" t="e">
        <f>'Medição '!$V$8:$AB$8</f>
        <v>#VALUE!</v>
      </c>
      <c r="B4" s="3494" t="str">
        <f>'Medição '!W8</f>
        <v>CONTRATAÇÃO DE EMPRESA ESPECIALIZADA PARA EXECUÇÃO DAS OBRAS DO "COMPLEXO SUNSET (WAKE BAR, PRAÇA SUNSET, QUIOSQUE, BANHEIROS DE APOIO E INFRA DE CONTÊINER) DO PARQUE NOVO MATO GROSSO"</v>
      </c>
      <c r="C4" s="2634"/>
      <c r="D4" s="2634"/>
      <c r="E4" s="2634"/>
      <c r="F4" s="2634"/>
      <c r="G4" s="2634"/>
      <c r="H4" s="2634"/>
      <c r="I4" s="2635"/>
      <c r="J4" s="130"/>
      <c r="K4" s="130"/>
      <c r="L4" s="129"/>
      <c r="M4" s="130"/>
      <c r="N4" s="130"/>
      <c r="O4" s="130"/>
      <c r="P4" s="130"/>
      <c r="Q4" s="130"/>
      <c r="R4" s="130"/>
      <c r="S4" s="130"/>
      <c r="T4" s="130"/>
      <c r="U4" s="130"/>
      <c r="V4" s="130"/>
      <c r="W4" s="130"/>
      <c r="X4" s="130"/>
      <c r="Y4" s="130"/>
      <c r="Z4" s="130"/>
    </row>
    <row r="5" spans="1:26" ht="30" customHeight="1">
      <c r="A5" s="3495" t="s">
        <v>16196</v>
      </c>
      <c r="B5" s="2588"/>
      <c r="C5" s="2588"/>
      <c r="D5" s="2588"/>
      <c r="E5" s="2588"/>
      <c r="F5" s="2588"/>
      <c r="G5" s="2588"/>
      <c r="H5" s="2588"/>
      <c r="I5" s="2621"/>
      <c r="J5" s="1290"/>
      <c r="K5" s="1290"/>
      <c r="L5" s="1291"/>
      <c r="M5" s="1290"/>
      <c r="N5" s="1290"/>
      <c r="O5" s="1290"/>
      <c r="P5" s="1290"/>
      <c r="Q5" s="1290"/>
      <c r="R5" s="1290"/>
      <c r="S5" s="1290"/>
      <c r="T5" s="1290"/>
      <c r="U5" s="1290"/>
      <c r="V5" s="1290"/>
      <c r="W5" s="1290"/>
      <c r="X5" s="1290"/>
      <c r="Y5" s="1290"/>
      <c r="Z5" s="1290"/>
    </row>
    <row r="6" spans="1:26" ht="25.5">
      <c r="A6" s="1292" t="s">
        <v>12613</v>
      </c>
      <c r="B6" s="1293" t="s">
        <v>16147</v>
      </c>
      <c r="C6" s="1293" t="s">
        <v>16148</v>
      </c>
      <c r="D6" s="1293" t="s">
        <v>16149</v>
      </c>
      <c r="E6" s="1294" t="s">
        <v>16197</v>
      </c>
      <c r="F6" s="1295" t="s">
        <v>16150</v>
      </c>
      <c r="G6" s="3496" t="s">
        <v>16151</v>
      </c>
      <c r="H6" s="2610"/>
      <c r="I6" s="3432"/>
      <c r="J6" s="1296"/>
      <c r="K6" s="1296"/>
      <c r="L6" s="1297"/>
      <c r="M6" s="1296"/>
      <c r="N6" s="1290"/>
      <c r="O6" s="1296"/>
      <c r="P6" s="1296"/>
      <c r="Q6" s="1296"/>
      <c r="R6" s="1296"/>
      <c r="S6" s="1296"/>
      <c r="T6" s="1296"/>
      <c r="U6" s="1296"/>
      <c r="V6" s="1296"/>
      <c r="W6" s="1296"/>
      <c r="X6" s="1296"/>
      <c r="Y6" s="1296"/>
      <c r="Z6" s="1296"/>
    </row>
    <row r="7" spans="1:26" ht="21">
      <c r="A7" s="1298" t="s">
        <v>14584</v>
      </c>
      <c r="B7" s="1299"/>
      <c r="C7" s="1299"/>
      <c r="D7" s="1300"/>
      <c r="E7" s="1301"/>
      <c r="F7" s="1302"/>
      <c r="G7" s="1301"/>
      <c r="H7" s="1302"/>
      <c r="I7" s="1303"/>
      <c r="J7" s="262"/>
      <c r="K7" s="262"/>
      <c r="L7" s="1297"/>
      <c r="M7" s="1296"/>
      <c r="N7" s="1290"/>
      <c r="O7" s="262"/>
      <c r="P7" s="262"/>
      <c r="Q7" s="262"/>
      <c r="R7" s="262"/>
      <c r="S7" s="262"/>
      <c r="T7" s="262"/>
      <c r="U7" s="262"/>
      <c r="V7" s="262"/>
      <c r="W7" s="262"/>
      <c r="X7" s="262"/>
      <c r="Y7" s="262"/>
      <c r="Z7" s="262"/>
    </row>
    <row r="8" spans="1:26" ht="21">
      <c r="A8" s="238" t="s">
        <v>12624</v>
      </c>
      <c r="B8" s="1304"/>
      <c r="C8" s="1304"/>
      <c r="D8" s="1305" t="s">
        <v>16198</v>
      </c>
      <c r="E8" s="1306"/>
      <c r="F8" s="1307"/>
      <c r="G8" s="1306"/>
      <c r="H8" s="1306"/>
      <c r="I8" s="1308"/>
      <c r="J8" s="512"/>
      <c r="K8" s="262"/>
      <c r="L8" s="1297" t="s">
        <v>16199</v>
      </c>
      <c r="M8" s="1296" t="s">
        <v>16200</v>
      </c>
      <c r="N8" s="1290"/>
      <c r="O8" s="262"/>
      <c r="P8" s="262"/>
      <c r="Q8" s="262"/>
      <c r="R8" s="262"/>
      <c r="S8" s="262"/>
      <c r="T8" s="262"/>
      <c r="U8" s="262"/>
      <c r="V8" s="262"/>
      <c r="W8" s="262"/>
      <c r="X8" s="262"/>
      <c r="Y8" s="262"/>
      <c r="Z8" s="262"/>
    </row>
    <row r="9" spans="1:26" ht="21">
      <c r="A9" s="246" t="s">
        <v>12730</v>
      </c>
      <c r="B9" s="1309"/>
      <c r="C9" s="1309"/>
      <c r="D9" s="1310" t="s">
        <v>16201</v>
      </c>
      <c r="E9" s="1311"/>
      <c r="F9" s="1312"/>
      <c r="G9" s="1310"/>
      <c r="H9" s="1310"/>
      <c r="I9" s="1313"/>
      <c r="J9" s="512"/>
      <c r="K9" s="262"/>
      <c r="L9" s="1297"/>
      <c r="M9" s="1296"/>
      <c r="N9" s="1290"/>
      <c r="O9" s="1296"/>
      <c r="P9" s="1296"/>
      <c r="Q9" s="1296"/>
      <c r="R9" s="1296"/>
      <c r="S9" s="1296"/>
      <c r="T9" s="1296"/>
      <c r="U9" s="262"/>
      <c r="V9" s="262"/>
      <c r="W9" s="262"/>
      <c r="X9" s="262"/>
      <c r="Y9" s="262"/>
      <c r="Z9" s="262"/>
    </row>
    <row r="10" spans="1:26" ht="38.25" outlineLevel="1">
      <c r="A10" s="243" t="s">
        <v>12731</v>
      </c>
      <c r="B10" s="386">
        <v>96520</v>
      </c>
      <c r="C10" s="386" t="s">
        <v>14476</v>
      </c>
      <c r="D10" s="1314" t="str">
        <f>IFERROR(VLOOKUP($B10,'24.08_ND'!$A$4833:$D$12369,2,0),IFERROR(VLOOKUP($B10,'03-CP'!$C$5:$H$4646,2,0),""))</f>
        <v>ESCAVAÇÃO MECANIZADA PARA BLOCO DE COROAMENTO OU SAPATA COM RETROESCAVADEIRA (SEM ESCAVAÇÃO PARA COLOCAÇÃO DE FÔRMAS). AF_01/2024</v>
      </c>
      <c r="E10" s="1315" t="str">
        <f>IFERROR(VLOOKUP($B10,'24.08_ND'!$A:$D,3,0),IFERROR(VLOOKUP($B10,'03-CP'!$C$5:$H$4646,3,0),""))</f>
        <v>M3</v>
      </c>
      <c r="F10" s="389">
        <v>77.84</v>
      </c>
      <c r="G10" s="386"/>
      <c r="H10" s="386"/>
      <c r="I10" s="1316"/>
      <c r="J10" s="386"/>
      <c r="K10" s="386"/>
      <c r="L10" s="386" t="s">
        <v>16202</v>
      </c>
      <c r="M10" s="262"/>
      <c r="N10" s="1290"/>
      <c r="O10" s="262"/>
      <c r="P10" s="262"/>
      <c r="Q10" s="262"/>
      <c r="R10" s="262"/>
      <c r="S10" s="262"/>
      <c r="T10" s="262"/>
      <c r="U10" s="262"/>
      <c r="V10" s="262"/>
      <c r="W10" s="262"/>
      <c r="X10" s="262"/>
      <c r="Y10" s="262"/>
      <c r="Z10" s="262"/>
    </row>
    <row r="11" spans="1:26" ht="25.5" outlineLevel="1">
      <c r="A11" s="243" t="s">
        <v>12732</v>
      </c>
      <c r="B11" s="386">
        <v>101616</v>
      </c>
      <c r="C11" s="386" t="s">
        <v>14476</v>
      </c>
      <c r="D11" s="1314" t="str">
        <f>IFERROR(VLOOKUP($B11,'24.08_ND'!$A$4833:$D$12369,2,0),IFERROR(VLOOKUP($B11,'03-CP'!$C$5:$H$4646,2,0),""))</f>
        <v>PREPARO DE FUNDO DE VALA COM LARGURA MENOR QUE 1,5 M (ACERTO DO SOLO NATURAL). AF_08/2020</v>
      </c>
      <c r="E11" s="1315" t="str">
        <f>IFERROR(VLOOKUP($B11,'24.08_ND'!$A:$D,3,0),IFERROR(VLOOKUP($B11,'03-CP'!$C$5:$H$4646,3,0),""))</f>
        <v>M2</v>
      </c>
      <c r="F11" s="389">
        <v>17.010000000000002</v>
      </c>
      <c r="G11" s="386"/>
      <c r="H11" s="386"/>
      <c r="I11" s="1316"/>
      <c r="J11" s="386"/>
      <c r="K11" s="386"/>
      <c r="L11" s="386" t="s">
        <v>16202</v>
      </c>
      <c r="M11" s="262"/>
      <c r="N11" s="1290"/>
      <c r="O11" s="262"/>
      <c r="P11" s="262"/>
      <c r="Q11" s="262"/>
      <c r="R11" s="262"/>
      <c r="S11" s="262"/>
      <c r="T11" s="262"/>
      <c r="U11" s="262"/>
      <c r="V11" s="262"/>
      <c r="W11" s="262"/>
      <c r="X11" s="262"/>
      <c r="Y11" s="262"/>
      <c r="Z11" s="262"/>
    </row>
    <row r="12" spans="1:26" ht="25.5" outlineLevel="1">
      <c r="A12" s="243" t="s">
        <v>12733</v>
      </c>
      <c r="B12" s="386">
        <v>96616</v>
      </c>
      <c r="C12" s="386" t="s">
        <v>14476</v>
      </c>
      <c r="D12" s="1314" t="str">
        <f>IFERROR(VLOOKUP($B12,'24.08_ND'!$A$4833:$D$12369,2,0),IFERROR(VLOOKUP($B12,'03-CP'!$C$5:$H$4646,2,0),""))</f>
        <v>LASTRO DE CONCRETO MAGRO, APLICADO EM BLOCOS DE COROAMENTO OU SAPATAS. AF_01/2024</v>
      </c>
      <c r="E12" s="1315" t="str">
        <f>IFERROR(VLOOKUP($B12,'24.08_ND'!$A:$D,3,0),IFERROR(VLOOKUP($B12,'03-CP'!$C$5:$H$4646,3,0),""))</f>
        <v>M3</v>
      </c>
      <c r="F12" s="389">
        <v>0.85</v>
      </c>
      <c r="G12" s="386"/>
      <c r="H12" s="386"/>
      <c r="I12" s="1316"/>
      <c r="J12" s="386"/>
      <c r="K12" s="386"/>
      <c r="L12" s="386" t="s">
        <v>16202</v>
      </c>
      <c r="M12" s="1296"/>
      <c r="N12" s="1290"/>
      <c r="O12" s="1296"/>
      <c r="P12" s="1296"/>
      <c r="Q12" s="1296"/>
      <c r="R12" s="1296"/>
      <c r="S12" s="1296"/>
      <c r="T12" s="1296"/>
      <c r="U12" s="262"/>
      <c r="V12" s="262"/>
      <c r="W12" s="262"/>
      <c r="X12" s="262"/>
      <c r="Y12" s="262"/>
      <c r="Z12" s="262"/>
    </row>
    <row r="13" spans="1:26" ht="25.5" outlineLevel="1">
      <c r="A13" s="243" t="s">
        <v>12734</v>
      </c>
      <c r="B13" s="386">
        <v>96535</v>
      </c>
      <c r="C13" s="386" t="s">
        <v>14476</v>
      </c>
      <c r="D13" s="1314" t="str">
        <f>IFERROR(VLOOKUP($B13,'24.08_ND'!$A$4833:$D$12369,2,0),IFERROR(VLOOKUP($B13,'03-CP'!$C$5:$H$4646,2,0),""))</f>
        <v>FABRICAÇÃO, MONTAGEM E DESMONTAGEM DE FÔRMA PARA SAPATA, EM MADEIRA SERRADA, E=25 MM, 4 UTILIZAÇÕES. AF_01/2024</v>
      </c>
      <c r="E13" s="1315" t="str">
        <f>IFERROR(VLOOKUP($B13,'24.08_ND'!$A:$D,3,0),IFERROR(VLOOKUP($B13,'03-CP'!$C$5:$H$4646,3,0),""))</f>
        <v>M2</v>
      </c>
      <c r="F13" s="389">
        <v>22.32</v>
      </c>
      <c r="G13" s="386"/>
      <c r="H13" s="386"/>
      <c r="I13" s="1316"/>
      <c r="J13" s="386"/>
      <c r="K13" s="386"/>
      <c r="L13" s="386" t="s">
        <v>16202</v>
      </c>
      <c r="M13" s="262"/>
      <c r="N13" s="1290"/>
      <c r="O13" s="262"/>
      <c r="P13" s="262"/>
      <c r="Q13" s="262"/>
      <c r="R13" s="262"/>
      <c r="S13" s="262"/>
      <c r="T13" s="262"/>
      <c r="U13" s="262"/>
      <c r="V13" s="262"/>
      <c r="W13" s="262"/>
      <c r="X13" s="262"/>
      <c r="Y13" s="262"/>
      <c r="Z13" s="262"/>
    </row>
    <row r="14" spans="1:26" ht="25.5" outlineLevel="1">
      <c r="A14" s="243" t="s">
        <v>12735</v>
      </c>
      <c r="B14" s="386">
        <v>104916</v>
      </c>
      <c r="C14" s="386" t="s">
        <v>14476</v>
      </c>
      <c r="D14" s="1314" t="str">
        <f>IFERROR(VLOOKUP($B14,'24.08_ND'!$A$4833:$D$12369,2,0),IFERROR(VLOOKUP($B14,'03-CP'!$C$5:$H$4646,2,0),""))</f>
        <v>ARMAÇÃO DE SAPATA ISOLADA, VIGA BALDRAME E SAPATA CORRIDA UTILIZANDO AÇO CA-60 DE 5 MM - MONTAGEM. AF_01/2024</v>
      </c>
      <c r="E14" s="1315" t="str">
        <f>IFERROR(VLOOKUP($B14,'24.08_ND'!$A:$D,3,0),IFERROR(VLOOKUP($B14,'03-CP'!$C$5:$H$4646,3,0),""))</f>
        <v>KG</v>
      </c>
      <c r="F14" s="389">
        <v>10.4</v>
      </c>
      <c r="G14" s="386"/>
      <c r="H14" s="386"/>
      <c r="I14" s="1316"/>
      <c r="J14" s="386"/>
      <c r="K14" s="386"/>
      <c r="L14" s="386" t="s">
        <v>16202</v>
      </c>
      <c r="M14" s="262"/>
      <c r="N14" s="1290"/>
      <c r="O14" s="262"/>
      <c r="P14" s="262"/>
      <c r="Q14" s="262"/>
      <c r="R14" s="262"/>
      <c r="S14" s="262"/>
      <c r="T14" s="262"/>
      <c r="U14" s="262"/>
      <c r="V14" s="262"/>
      <c r="W14" s="262"/>
      <c r="X14" s="262"/>
      <c r="Y14" s="262"/>
      <c r="Z14" s="262"/>
    </row>
    <row r="15" spans="1:26" ht="25.5" outlineLevel="1">
      <c r="A15" s="243" t="s">
        <v>12736</v>
      </c>
      <c r="B15" s="386">
        <v>104917</v>
      </c>
      <c r="C15" s="386" t="s">
        <v>14476</v>
      </c>
      <c r="D15" s="1314" t="str">
        <f>IFERROR(VLOOKUP($B15,'24.08_ND'!$A$4833:$D$12369,2,0),IFERROR(VLOOKUP($B15,'03-CP'!$C$5:$H$4646,2,0),""))</f>
        <v>ARMAÇÃO DE SAPATA ISOLADA, VIGA BALDRAME E SAPATA CORRIDA UTILIZANDO AÇO CA-50 DE 6,3 MM - MONTAGEM. AF_01/2024</v>
      </c>
      <c r="E15" s="1315" t="str">
        <f>IFERROR(VLOOKUP($B15,'24.08_ND'!$A:$D,3,0),IFERROR(VLOOKUP($B15,'03-CP'!$C$5:$H$4646,3,0),""))</f>
        <v>KG</v>
      </c>
      <c r="F15" s="389">
        <v>5.6</v>
      </c>
      <c r="G15" s="386"/>
      <c r="H15" s="386"/>
      <c r="I15" s="1316"/>
      <c r="J15" s="386"/>
      <c r="K15" s="386"/>
      <c r="L15" s="386" t="s">
        <v>16202</v>
      </c>
      <c r="M15" s="1296"/>
      <c r="N15" s="1290"/>
      <c r="O15" s="1296"/>
      <c r="P15" s="1296"/>
      <c r="Q15" s="1296"/>
      <c r="R15" s="1296"/>
      <c r="S15" s="1296"/>
      <c r="T15" s="1296"/>
      <c r="U15" s="262"/>
      <c r="V15" s="262"/>
      <c r="W15" s="262"/>
      <c r="X15" s="262"/>
      <c r="Y15" s="262"/>
      <c r="Z15" s="262"/>
    </row>
    <row r="16" spans="1:26" ht="25.5" outlineLevel="1">
      <c r="A16" s="243" t="s">
        <v>12737</v>
      </c>
      <c r="B16" s="386">
        <v>104918</v>
      </c>
      <c r="C16" s="386" t="s">
        <v>14476</v>
      </c>
      <c r="D16" s="1314" t="str">
        <f>IFERROR(VLOOKUP($B16,'24.08_ND'!$A$4833:$D$12369,2,0),IFERROR(VLOOKUP($B16,'03-CP'!$C$5:$H$4646,2,0),""))</f>
        <v>ARMAÇÃO DE SAPATA ISOLADA, VIGA BALDRAME E SAPATA CORRIDA UTILIZANDO AÇO CA-50 DE 8 MM - MONTAGEM. AF_01/2024</v>
      </c>
      <c r="E16" s="1315" t="str">
        <f>IFERROR(VLOOKUP($B16,'24.08_ND'!$A:$D,3,0),IFERROR(VLOOKUP($B16,'03-CP'!$C$5:$H$4646,3,0),""))</f>
        <v>KG</v>
      </c>
      <c r="F16" s="389">
        <v>13.7</v>
      </c>
      <c r="G16" s="386"/>
      <c r="H16" s="386"/>
      <c r="I16" s="1316"/>
      <c r="J16" s="386"/>
      <c r="K16" s="386"/>
      <c r="L16" s="386" t="s">
        <v>16202</v>
      </c>
      <c r="M16" s="262"/>
      <c r="N16" s="1290"/>
      <c r="O16" s="262"/>
      <c r="P16" s="262"/>
      <c r="Q16" s="262"/>
      <c r="R16" s="262"/>
      <c r="S16" s="262"/>
      <c r="T16" s="262"/>
      <c r="U16" s="262"/>
      <c r="V16" s="262"/>
      <c r="W16" s="262"/>
      <c r="X16" s="262"/>
      <c r="Y16" s="262"/>
      <c r="Z16" s="262"/>
    </row>
    <row r="17" spans="1:26" ht="25.5" outlineLevel="1">
      <c r="A17" s="243" t="s">
        <v>12738</v>
      </c>
      <c r="B17" s="386">
        <v>104919</v>
      </c>
      <c r="C17" s="386" t="s">
        <v>14476</v>
      </c>
      <c r="D17" s="1314" t="str">
        <f>IFERROR(VLOOKUP($B17,'24.08_ND'!$A$4833:$D$12369,2,0),IFERROR(VLOOKUP($B17,'03-CP'!$C$5:$H$4646,2,0),""))</f>
        <v>ARMAÇÃO DE SAPATA ISOLADA, VIGA BALDRAME E SAPATA CORRIDA UTILIZANDO AÇO CA-50 DE 10 MM - MONTAGEM. AF_01/2024</v>
      </c>
      <c r="E17" s="1315" t="str">
        <f>IFERROR(VLOOKUP($B17,'24.08_ND'!$A:$D,3,0),IFERROR(VLOOKUP($B17,'03-CP'!$C$5:$H$4646,3,0),""))</f>
        <v>KG</v>
      </c>
      <c r="F17" s="389">
        <v>202.2</v>
      </c>
      <c r="G17" s="386"/>
      <c r="H17" s="386"/>
      <c r="I17" s="1316"/>
      <c r="J17" s="386"/>
      <c r="K17" s="386"/>
      <c r="L17" s="386" t="s">
        <v>16202</v>
      </c>
      <c r="M17" s="262"/>
      <c r="N17" s="1290"/>
      <c r="O17" s="262"/>
      <c r="P17" s="262"/>
      <c r="Q17" s="262"/>
      <c r="R17" s="262"/>
      <c r="S17" s="262"/>
      <c r="T17" s="262"/>
      <c r="U17" s="262"/>
      <c r="V17" s="262"/>
      <c r="W17" s="262"/>
      <c r="X17" s="262"/>
      <c r="Y17" s="262"/>
      <c r="Z17" s="262"/>
    </row>
    <row r="18" spans="1:26" ht="25.5" outlineLevel="1">
      <c r="A18" s="243" t="s">
        <v>12739</v>
      </c>
      <c r="B18" s="386">
        <v>104920</v>
      </c>
      <c r="C18" s="386" t="s">
        <v>14476</v>
      </c>
      <c r="D18" s="1314" t="str">
        <f>IFERROR(VLOOKUP($B18,'24.08_ND'!$A$4833:$D$12369,2,0),IFERROR(VLOOKUP($B18,'03-CP'!$C$5:$H$4646,2,0),""))</f>
        <v>ARMAÇÃO DE BLOCO, SAPATA ISOLADA, VIGA BALDRAME E SAPATA CORRIDA UTILIZANDO AÇO CA-50 DE 12,5 MM - MONTAGEM. AF_01/2024</v>
      </c>
      <c r="E18" s="1315" t="str">
        <f>IFERROR(VLOOKUP($B18,'24.08_ND'!$A:$D,3,0),IFERROR(VLOOKUP($B18,'03-CP'!$C$5:$H$4646,3,0),""))</f>
        <v>KG</v>
      </c>
      <c r="F18" s="389">
        <v>100.6</v>
      </c>
      <c r="G18" s="386"/>
      <c r="H18" s="386"/>
      <c r="I18" s="1316"/>
      <c r="J18" s="386"/>
      <c r="K18" s="386"/>
      <c r="L18" s="386" t="s">
        <v>16202</v>
      </c>
      <c r="M18" s="1296"/>
      <c r="N18" s="1290"/>
      <c r="O18" s="1296"/>
      <c r="P18" s="1296"/>
      <c r="Q18" s="1296"/>
      <c r="R18" s="1296"/>
      <c r="S18" s="1296"/>
      <c r="T18" s="1296"/>
      <c r="U18" s="262"/>
      <c r="V18" s="262"/>
      <c r="W18" s="262"/>
      <c r="X18" s="262"/>
      <c r="Y18" s="262"/>
      <c r="Z18" s="262"/>
    </row>
    <row r="19" spans="1:26" ht="25.5" outlineLevel="1">
      <c r="A19" s="243" t="s">
        <v>12740</v>
      </c>
      <c r="B19" s="386">
        <v>96558</v>
      </c>
      <c r="C19" s="386" t="s">
        <v>14476</v>
      </c>
      <c r="D19" s="1314" t="str">
        <f>IFERROR(VLOOKUP($B19,'24.08_ND'!$A$4833:$D$12369,2,0),IFERROR(VLOOKUP($B19,'03-CP'!$C$5:$H$4646,2,0),""))</f>
        <v>CONCRETAGEM DE SAPATA, FCK 30 MPA, COM USO DE BOMBA - LANÇAMENTO, ADENSAMENTO E ACABAMENTO. AF_01/2024</v>
      </c>
      <c r="E19" s="1315" t="str">
        <f>IFERROR(VLOOKUP($B19,'24.08_ND'!$A:$D,3,0),IFERROR(VLOOKUP($B19,'03-CP'!$C$5:$H$4646,3,0),""))</f>
        <v>M3</v>
      </c>
      <c r="F19" s="389">
        <v>4.9800000000000004</v>
      </c>
      <c r="G19" s="386"/>
      <c r="H19" s="386"/>
      <c r="I19" s="1316"/>
      <c r="J19" s="386"/>
      <c r="K19" s="386"/>
      <c r="L19" s="386" t="s">
        <v>16202</v>
      </c>
      <c r="M19" s="262"/>
      <c r="N19" s="1290"/>
      <c r="O19" s="262"/>
      <c r="P19" s="262"/>
      <c r="Q19" s="262"/>
      <c r="R19" s="262"/>
      <c r="S19" s="262"/>
      <c r="T19" s="262"/>
      <c r="U19" s="262"/>
      <c r="V19" s="262"/>
      <c r="W19" s="262"/>
      <c r="X19" s="262"/>
      <c r="Y19" s="262"/>
      <c r="Z19" s="262"/>
    </row>
    <row r="20" spans="1:26" ht="25.5" outlineLevel="1">
      <c r="A20" s="1317" t="s">
        <v>12741</v>
      </c>
      <c r="B20" s="295">
        <v>93382</v>
      </c>
      <c r="C20" s="295" t="s">
        <v>14476</v>
      </c>
      <c r="D20" s="658" t="str">
        <f>IFERROR(VLOOKUP($B20,'24.08_ND'!$A$4833:$D$12369,2,0),IFERROR(VLOOKUP($B20,'03-CP'!$C$5:$H$4646,2,0),""))</f>
        <v>REATERRO MANUAL DE VALAS, COM COMPACTADOR DE SOLOS DE PERCUSSÃO. AF_08/2023</v>
      </c>
      <c r="E20" s="1318" t="str">
        <f>IFERROR(VLOOKUP($B20,'24.08_ND'!$A:$D,3,0),IFERROR(VLOOKUP($B20,'03-CP'!$C$5:$H$4646,3,0),""))</f>
        <v>M3</v>
      </c>
      <c r="F20" s="298">
        <f>F22</f>
        <v>80.146000000000001</v>
      </c>
      <c r="G20" s="295"/>
      <c r="H20" s="295"/>
      <c r="I20" s="1319"/>
      <c r="J20" s="295"/>
      <c r="K20" s="295"/>
      <c r="L20" s="295" t="s">
        <v>16202</v>
      </c>
      <c r="M20" s="262"/>
      <c r="N20" s="1290"/>
      <c r="O20" s="262"/>
      <c r="P20" s="262"/>
      <c r="Q20" s="262"/>
      <c r="R20" s="262"/>
      <c r="S20" s="262"/>
      <c r="T20" s="262"/>
      <c r="U20" s="1320"/>
      <c r="V20" s="1320"/>
      <c r="W20" s="1320"/>
      <c r="X20" s="1320"/>
      <c r="Y20" s="1320"/>
      <c r="Z20" s="1320"/>
    </row>
    <row r="21" spans="1:26" ht="21" hidden="1" outlineLevel="1">
      <c r="A21" s="1321"/>
      <c r="B21" s="1322"/>
      <c r="C21" s="1323"/>
      <c r="D21" s="1324" t="s">
        <v>16203</v>
      </c>
      <c r="E21" s="1325" t="s">
        <v>16204</v>
      </c>
      <c r="F21" s="1326" t="s">
        <v>16205</v>
      </c>
      <c r="G21" s="1327"/>
      <c r="H21" s="1327"/>
      <c r="I21" s="1328"/>
      <c r="J21" s="1327"/>
      <c r="K21" s="1327"/>
      <c r="L21" s="1327"/>
      <c r="M21" s="1296"/>
      <c r="N21" s="1290"/>
      <c r="O21" s="1296"/>
      <c r="P21" s="1296"/>
      <c r="Q21" s="1296"/>
      <c r="R21" s="1296"/>
      <c r="S21" s="1296"/>
      <c r="T21" s="1296"/>
      <c r="U21" s="1320"/>
      <c r="V21" s="1320"/>
      <c r="W21" s="1320"/>
      <c r="X21" s="1320"/>
      <c r="Y21" s="1320"/>
      <c r="Z21" s="1320"/>
    </row>
    <row r="22" spans="1:26" ht="21" hidden="1" outlineLevel="1">
      <c r="A22" s="1321"/>
      <c r="B22" s="1329"/>
      <c r="C22" s="1330"/>
      <c r="D22" s="1331">
        <f>F10-F19</f>
        <v>72.86</v>
      </c>
      <c r="E22" s="1332">
        <v>1.1000000000000001</v>
      </c>
      <c r="F22" s="1333">
        <f>D22*E22</f>
        <v>80.146000000000001</v>
      </c>
      <c r="G22" s="1327"/>
      <c r="H22" s="1327"/>
      <c r="I22" s="1328"/>
      <c r="J22" s="1327"/>
      <c r="K22" s="1327"/>
      <c r="L22" s="1327"/>
      <c r="M22" s="1296"/>
      <c r="N22" s="1290"/>
      <c r="O22" s="1296"/>
      <c r="P22" s="1296"/>
      <c r="Q22" s="1296"/>
      <c r="R22" s="1296"/>
      <c r="S22" s="1296"/>
      <c r="T22" s="1296"/>
      <c r="U22" s="1320"/>
      <c r="V22" s="1320"/>
      <c r="W22" s="1320"/>
      <c r="X22" s="1320"/>
      <c r="Y22" s="1320"/>
      <c r="Z22" s="1320"/>
    </row>
    <row r="23" spans="1:26" ht="51" outlineLevel="1">
      <c r="A23" s="1317" t="s">
        <v>12742</v>
      </c>
      <c r="B23" s="295">
        <v>100978</v>
      </c>
      <c r="C23" s="295" t="s">
        <v>14476</v>
      </c>
      <c r="D23" s="658" t="str">
        <f>IFERROR(VLOOKUP($B23,'24.08_ND'!$A$4833:$D$12369,2,0),IFERROR(VLOOKUP($B23,'03-CP'!$C$5:$H$4646,2,0),""))</f>
        <v>CARGA, MANOBRA E DESCARGA DE SOLOS E MATERIAIS GRANULARES EM CAMINHÃO BASCULANTE 10 M³ - CARGA COM ESCAVADEIRA HIDRÁULICA (CAÇAMBA DE 1,20 M³ / 155 HP) E DESCARGA LIVRE (UNIDADE: M3). AF_07/2020</v>
      </c>
      <c r="E23" s="1318" t="str">
        <f>IFERROR(VLOOKUP($B23,'24.08_ND'!$A:$D,3,0),IFERROR(VLOOKUP($B23,'03-CP'!$C$5:$H$4646,3,0),""))</f>
        <v>M3</v>
      </c>
      <c r="F23" s="298">
        <f>D27</f>
        <v>28.83</v>
      </c>
      <c r="G23" s="295"/>
      <c r="H23" s="295"/>
      <c r="I23" s="1319"/>
      <c r="J23" s="295"/>
      <c r="K23" s="295"/>
      <c r="L23" s="295" t="s">
        <v>16202</v>
      </c>
      <c r="M23" s="1296"/>
      <c r="N23" s="1290"/>
      <c r="O23" s="1296"/>
      <c r="P23" s="1296"/>
      <c r="Q23" s="1296"/>
      <c r="R23" s="1296"/>
      <c r="S23" s="1296"/>
      <c r="T23" s="1296"/>
      <c r="U23" s="1320"/>
      <c r="V23" s="1320"/>
      <c r="W23" s="1320"/>
      <c r="X23" s="1320"/>
      <c r="Y23" s="1320"/>
      <c r="Z23" s="1320"/>
    </row>
    <row r="24" spans="1:26" ht="21" hidden="1" outlineLevel="1">
      <c r="A24" s="1321"/>
      <c r="B24" s="1322" t="s">
        <v>16206</v>
      </c>
      <c r="C24" s="1323" t="s">
        <v>16207</v>
      </c>
      <c r="D24" s="1324" t="s">
        <v>16208</v>
      </c>
      <c r="E24" s="1334"/>
      <c r="F24" s="1335"/>
      <c r="G24" s="1327"/>
      <c r="H24" s="1327"/>
      <c r="I24" s="1328"/>
      <c r="J24" s="1327"/>
      <c r="K24" s="1327"/>
      <c r="L24" s="1327"/>
      <c r="M24" s="262"/>
      <c r="N24" s="1290"/>
      <c r="O24" s="262"/>
      <c r="P24" s="262"/>
      <c r="Q24" s="262"/>
      <c r="R24" s="262"/>
      <c r="S24" s="262"/>
      <c r="T24" s="262"/>
      <c r="U24" s="1320"/>
      <c r="V24" s="1320"/>
      <c r="W24" s="1320"/>
      <c r="X24" s="1320"/>
      <c r="Y24" s="1320"/>
      <c r="Z24" s="1320"/>
    </row>
    <row r="25" spans="1:26" ht="21" hidden="1" outlineLevel="1">
      <c r="A25" s="1321"/>
      <c r="B25" s="1336">
        <f>F10</f>
        <v>77.84</v>
      </c>
      <c r="C25" s="1327">
        <v>1.4</v>
      </c>
      <c r="D25" s="1337">
        <f>B25*C25</f>
        <v>108.976</v>
      </c>
      <c r="E25" s="1338"/>
      <c r="F25" s="1339"/>
      <c r="G25" s="1327"/>
      <c r="H25" s="1327"/>
      <c r="I25" s="1328"/>
      <c r="J25" s="1327"/>
      <c r="K25" s="1327"/>
      <c r="L25" s="1327"/>
      <c r="M25" s="262"/>
      <c r="N25" s="1290"/>
      <c r="O25" s="262"/>
      <c r="P25" s="262"/>
      <c r="Q25" s="262"/>
      <c r="R25" s="262"/>
      <c r="S25" s="262"/>
      <c r="T25" s="262"/>
      <c r="U25" s="1320"/>
      <c r="V25" s="1320"/>
      <c r="W25" s="1320"/>
      <c r="X25" s="1320"/>
      <c r="Y25" s="1320"/>
      <c r="Z25" s="1320"/>
    </row>
    <row r="26" spans="1:26" ht="21" hidden="1" outlineLevel="1">
      <c r="A26" s="1321"/>
      <c r="B26" s="1340" t="s">
        <v>16209</v>
      </c>
      <c r="C26" s="1327" t="s">
        <v>16205</v>
      </c>
      <c r="D26" s="1341" t="s">
        <v>16210</v>
      </c>
      <c r="E26" s="1338"/>
      <c r="F26" s="1339"/>
      <c r="G26" s="1327"/>
      <c r="H26" s="1327"/>
      <c r="I26" s="1328"/>
      <c r="J26" s="1327"/>
      <c r="K26" s="1327"/>
      <c r="L26" s="1327"/>
      <c r="M26" s="262"/>
      <c r="N26" s="1290"/>
      <c r="O26" s="262"/>
      <c r="P26" s="262"/>
      <c r="Q26" s="262"/>
      <c r="R26" s="262"/>
      <c r="S26" s="262"/>
      <c r="T26" s="262"/>
      <c r="U26" s="1320"/>
      <c r="V26" s="1320"/>
      <c r="W26" s="1320"/>
      <c r="X26" s="1320"/>
      <c r="Y26" s="1320"/>
      <c r="Z26" s="1320"/>
    </row>
    <row r="27" spans="1:26" ht="21" hidden="1" outlineLevel="1">
      <c r="A27" s="1321"/>
      <c r="B27" s="1329">
        <f>D25</f>
        <v>108.976</v>
      </c>
      <c r="C27" s="1342">
        <f>F22</f>
        <v>80.146000000000001</v>
      </c>
      <c r="D27" s="1343">
        <f>B27-C27</f>
        <v>28.83</v>
      </c>
      <c r="E27" s="1344"/>
      <c r="F27" s="1345"/>
      <c r="G27" s="1327"/>
      <c r="H27" s="1327"/>
      <c r="I27" s="1328"/>
      <c r="J27" s="1327"/>
      <c r="K27" s="1327"/>
      <c r="L27" s="1327"/>
      <c r="M27" s="262"/>
      <c r="N27" s="1290"/>
      <c r="O27" s="262"/>
      <c r="P27" s="262"/>
      <c r="Q27" s="262"/>
      <c r="R27" s="262"/>
      <c r="S27" s="262"/>
      <c r="T27" s="262"/>
      <c r="U27" s="1320"/>
      <c r="V27" s="1320"/>
      <c r="W27" s="1320"/>
      <c r="X27" s="1320"/>
      <c r="Y27" s="1320"/>
      <c r="Z27" s="1320"/>
    </row>
    <row r="28" spans="1:26" ht="25.5" outlineLevel="1">
      <c r="A28" s="1317" t="s">
        <v>12743</v>
      </c>
      <c r="B28" s="295">
        <v>100938</v>
      </c>
      <c r="C28" s="295" t="s">
        <v>14476</v>
      </c>
      <c r="D28" s="658" t="str">
        <f>IFERROR(VLOOKUP($B28,'24.08_ND'!$A$4833:$D$12369,2,0),IFERROR(VLOOKUP($B28,'03-CP'!$C$5:$H$4646,2,0),""))</f>
        <v>TRANSPORTE COM CAMINHÃO BASCULANTE DE 10 M³, EM VIA INTERNA (DENTRO DO CANTEIRO - UNIDADE: M3XKM). AF_07/2020</v>
      </c>
      <c r="E28" s="1318" t="str">
        <f>IFERROR(VLOOKUP($B28,'24.08_ND'!$A:$D,3,0),IFERROR(VLOOKUP($B28,'03-CP'!$C$5:$H$4646,3,0),""))</f>
        <v>M3XKM</v>
      </c>
      <c r="F28" s="298">
        <f>F30</f>
        <v>57.66</v>
      </c>
      <c r="G28" s="295"/>
      <c r="H28" s="295"/>
      <c r="I28" s="1319"/>
      <c r="J28" s="295"/>
      <c r="K28" s="295"/>
      <c r="L28" s="295" t="s">
        <v>16202</v>
      </c>
      <c r="M28" s="262"/>
      <c r="N28" s="1290"/>
      <c r="O28" s="262"/>
      <c r="P28" s="262"/>
      <c r="Q28" s="262"/>
      <c r="R28" s="262"/>
      <c r="S28" s="262"/>
      <c r="T28" s="262"/>
      <c r="U28" s="1320"/>
      <c r="V28" s="1320"/>
      <c r="W28" s="1320"/>
      <c r="X28" s="1320"/>
      <c r="Y28" s="1320"/>
      <c r="Z28" s="1320"/>
    </row>
    <row r="29" spans="1:26" ht="12.75" hidden="1" outlineLevel="1">
      <c r="A29" s="1346"/>
      <c r="B29" s="1322"/>
      <c r="C29" s="1334"/>
      <c r="D29" s="1325" t="s">
        <v>16211</v>
      </c>
      <c r="E29" s="1347" t="s">
        <v>16212</v>
      </c>
      <c r="F29" s="1348" t="s">
        <v>16213</v>
      </c>
      <c r="G29" s="1349"/>
      <c r="H29" s="1349"/>
      <c r="I29" s="1350"/>
      <c r="J29" s="1351"/>
      <c r="K29" s="1352"/>
      <c r="L29" s="1353"/>
      <c r="M29" s="368"/>
      <c r="N29" s="368"/>
      <c r="O29" s="368"/>
      <c r="P29" s="368"/>
      <c r="Q29" s="368"/>
      <c r="R29" s="368"/>
      <c r="S29" s="368"/>
      <c r="T29" s="368"/>
      <c r="U29" s="368"/>
      <c r="V29" s="368"/>
      <c r="W29" s="368"/>
      <c r="X29" s="368"/>
      <c r="Y29" s="368"/>
      <c r="Z29" s="368"/>
    </row>
    <row r="30" spans="1:26" ht="12.75" hidden="1" outlineLevel="1">
      <c r="A30" s="1346"/>
      <c r="B30" s="1329"/>
      <c r="C30" s="1344"/>
      <c r="D30" s="1354">
        <f>D27</f>
        <v>28.83</v>
      </c>
      <c r="E30" s="1355">
        <v>2</v>
      </c>
      <c r="F30" s="1356">
        <f>D30*E30</f>
        <v>57.66</v>
      </c>
      <c r="G30" s="1349"/>
      <c r="H30" s="1349"/>
      <c r="I30" s="1350"/>
      <c r="J30" s="1351"/>
      <c r="K30" s="1352"/>
      <c r="L30" s="1353"/>
      <c r="M30" s="368"/>
      <c r="N30" s="368"/>
      <c r="O30" s="368"/>
      <c r="P30" s="368"/>
      <c r="Q30" s="368"/>
      <c r="R30" s="368"/>
      <c r="S30" s="368"/>
      <c r="T30" s="368"/>
      <c r="U30" s="368"/>
      <c r="V30" s="368"/>
      <c r="W30" s="368"/>
      <c r="X30" s="368"/>
      <c r="Y30" s="368"/>
      <c r="Z30" s="368"/>
    </row>
    <row r="31" spans="1:26" ht="12.75">
      <c r="A31" s="1357" t="s">
        <v>12744</v>
      </c>
      <c r="B31" s="1358"/>
      <c r="C31" s="1358"/>
      <c r="D31" s="1359" t="s">
        <v>16214</v>
      </c>
      <c r="E31" s="1360"/>
      <c r="F31" s="1360"/>
      <c r="G31" s="1360"/>
      <c r="H31" s="1360"/>
      <c r="I31" s="1361"/>
      <c r="J31" s="368"/>
      <c r="K31" s="368"/>
      <c r="L31" s="1362"/>
      <c r="M31" s="368"/>
      <c r="N31" s="368"/>
      <c r="O31" s="368"/>
      <c r="P31" s="368"/>
      <c r="Q31" s="368"/>
      <c r="R31" s="368"/>
      <c r="S31" s="368"/>
      <c r="T31" s="368"/>
      <c r="U31" s="368"/>
      <c r="V31" s="368"/>
      <c r="W31" s="368"/>
      <c r="X31" s="368"/>
      <c r="Y31" s="368"/>
      <c r="Z31" s="368"/>
    </row>
    <row r="32" spans="1:26" ht="38.25" outlineLevel="1">
      <c r="A32" s="245" t="s">
        <v>12745</v>
      </c>
      <c r="B32" s="3">
        <v>92413</v>
      </c>
      <c r="C32" s="3" t="s">
        <v>14476</v>
      </c>
      <c r="D32" s="1363" t="str">
        <f>IFERROR(VLOOKUP($B32,'24.08_ND'!$A$4833:$D$12369,2,0),IFERROR(VLOOKUP($B32,'03-CP'!$C$5:$H$4646,2,0),""))</f>
        <v>MONTAGEM E DESMONTAGEM DE FÔRMA DE PILARES RETANGULARES E ESTRUTURAS SIMILARES, PÉ-DIREITO SIMPLES, EM MADEIRA SERRADA, 4 UTILIZAÇÕES. AF_09/2020</v>
      </c>
      <c r="E32" s="691" t="str">
        <f>IFERROR(VLOOKUP($B32,'24.08_ND'!$A:$D,3,0),IFERROR(VLOOKUP($B32,'03-CP'!$C$5:$H$4646,3,0),""))</f>
        <v>M2</v>
      </c>
      <c r="F32" s="1229">
        <v>31.87</v>
      </c>
      <c r="G32" s="641"/>
      <c r="H32" s="767"/>
      <c r="I32" s="865"/>
      <c r="J32" s="368"/>
      <c r="K32" s="368"/>
      <c r="L32" s="386" t="s">
        <v>16202</v>
      </c>
      <c r="M32" s="368"/>
      <c r="N32" s="368"/>
      <c r="O32" s="368"/>
      <c r="P32" s="368"/>
      <c r="Q32" s="368"/>
      <c r="R32" s="368"/>
      <c r="S32" s="368"/>
      <c r="T32" s="368"/>
      <c r="U32" s="368"/>
      <c r="V32" s="368"/>
      <c r="W32" s="368"/>
      <c r="X32" s="368"/>
      <c r="Y32" s="368"/>
      <c r="Z32" s="368"/>
    </row>
    <row r="33" spans="1:26" ht="38.25" outlineLevel="1">
      <c r="A33" s="245" t="s">
        <v>12746</v>
      </c>
      <c r="B33" s="3">
        <v>92759</v>
      </c>
      <c r="C33" s="3" t="s">
        <v>14476</v>
      </c>
      <c r="D33" s="1363" t="str">
        <f>IFERROR(VLOOKUP($B33,'24.08_ND'!$A$4833:$D$12369,2,0),IFERROR(VLOOKUP($B33,'03-CP'!$C$5:$H$4646,2,0),""))</f>
        <v>ARMAÇÃO DE PILAR OU VIGA DE ESTRUTURA CONVENCIONAL DE CONCRETO ARMADO UTILIZANDO AÇO CA-60 DE 5,0 MM - MONTAGEM. AF_06/2022</v>
      </c>
      <c r="E33" s="691" t="str">
        <f>IFERROR(VLOOKUP($B33,'24.08_ND'!$A:$D,3,0),IFERROR(VLOOKUP($B33,'03-CP'!$C$5:$H$4646,3,0),""))</f>
        <v>KG</v>
      </c>
      <c r="F33" s="1229">
        <v>53.2</v>
      </c>
      <c r="G33" s="641"/>
      <c r="H33" s="767"/>
      <c r="I33" s="865"/>
      <c r="J33" s="368"/>
      <c r="K33" s="368"/>
      <c r="L33" s="386" t="s">
        <v>16202</v>
      </c>
      <c r="M33" s="368"/>
      <c r="N33" s="368"/>
      <c r="O33" s="368"/>
      <c r="P33" s="368"/>
      <c r="Q33" s="368"/>
      <c r="R33" s="368"/>
      <c r="S33" s="368"/>
      <c r="T33" s="368"/>
      <c r="U33" s="368"/>
      <c r="V33" s="368"/>
      <c r="W33" s="368"/>
      <c r="X33" s="368"/>
      <c r="Y33" s="368"/>
      <c r="Z33" s="368"/>
    </row>
    <row r="34" spans="1:26" ht="38.25" outlineLevel="1">
      <c r="A34" s="245" t="s">
        <v>12747</v>
      </c>
      <c r="B34" s="3">
        <v>92762</v>
      </c>
      <c r="C34" s="3" t="s">
        <v>14476</v>
      </c>
      <c r="D34" s="1363" t="str">
        <f>IFERROR(VLOOKUP($B34,'24.08_ND'!$A$4833:$D$12369,2,0),IFERROR(VLOOKUP($B34,'03-CP'!$C$5:$H$4646,2,0),""))</f>
        <v>ARMAÇÃO DE PILAR OU VIGA DE ESTRUTURA CONVENCIONAL DE CONCRETO ARMADO UTILIZANDO AÇO CA-50 DE 10,0 MM - MONTAGEM. AF_06/2022</v>
      </c>
      <c r="E34" s="691" t="str">
        <f>IFERROR(VLOOKUP($B34,'24.08_ND'!$A:$D,3,0),IFERROR(VLOOKUP($B34,'03-CP'!$C$5:$H$4646,3,0),""))</f>
        <v>KG</v>
      </c>
      <c r="F34" s="1229">
        <v>133.30000000000001</v>
      </c>
      <c r="G34" s="641"/>
      <c r="H34" s="767"/>
      <c r="I34" s="865"/>
      <c r="J34" s="368"/>
      <c r="K34" s="368"/>
      <c r="L34" s="386" t="s">
        <v>16202</v>
      </c>
      <c r="M34" s="368"/>
      <c r="N34" s="368"/>
      <c r="O34" s="368"/>
      <c r="P34" s="368"/>
      <c r="Q34" s="368"/>
      <c r="R34" s="368"/>
      <c r="S34" s="368"/>
      <c r="T34" s="368"/>
      <c r="U34" s="368"/>
      <c r="V34" s="368"/>
      <c r="W34" s="368"/>
      <c r="X34" s="368"/>
      <c r="Y34" s="368"/>
      <c r="Z34" s="368"/>
    </row>
    <row r="35" spans="1:26" ht="38.25" outlineLevel="1">
      <c r="A35" s="245" t="s">
        <v>12748</v>
      </c>
      <c r="B35" s="3">
        <v>92763</v>
      </c>
      <c r="C35" s="3" t="s">
        <v>14476</v>
      </c>
      <c r="D35" s="1363" t="str">
        <f>IFERROR(VLOOKUP($B35,'24.08_ND'!$A$4833:$D$12369,2,0),IFERROR(VLOOKUP($B35,'03-CP'!$C$5:$H$4646,2,0),""))</f>
        <v>ARMAÇÃO DE PILAR OU VIGA DE ESTRUTURA CONVENCIONAL DE CONCRETO ARMADO UTILIZANDO AÇO CA-50 DE 12,5 MM - MONTAGEM. AF_06/2022</v>
      </c>
      <c r="E35" s="691" t="str">
        <f>IFERROR(VLOOKUP($B35,'24.08_ND'!$A:$D,3,0),IFERROR(VLOOKUP($B35,'03-CP'!$C$5:$H$4646,3,0),""))</f>
        <v>KG</v>
      </c>
      <c r="F35" s="1229">
        <v>30.6</v>
      </c>
      <c r="G35" s="641"/>
      <c r="H35" s="767"/>
      <c r="I35" s="865"/>
      <c r="J35" s="368"/>
      <c r="K35" s="368"/>
      <c r="L35" s="386" t="s">
        <v>16202</v>
      </c>
      <c r="M35" s="368"/>
      <c r="N35" s="368"/>
      <c r="O35" s="368"/>
      <c r="P35" s="368"/>
      <c r="Q35" s="368"/>
      <c r="R35" s="368"/>
      <c r="S35" s="368"/>
      <c r="T35" s="368"/>
      <c r="U35" s="368"/>
      <c r="V35" s="368"/>
      <c r="W35" s="368"/>
      <c r="X35" s="368"/>
      <c r="Y35" s="368"/>
      <c r="Z35" s="368"/>
    </row>
    <row r="36" spans="1:26" ht="25.5" outlineLevel="1">
      <c r="A36" s="245" t="s">
        <v>12749</v>
      </c>
      <c r="B36" s="3">
        <v>96558</v>
      </c>
      <c r="C36" s="3" t="s">
        <v>14476</v>
      </c>
      <c r="D36" s="1363" t="str">
        <f>IFERROR(VLOOKUP($B36,'24.08_ND'!$A$4833:$D$12369,2,0),IFERROR(VLOOKUP($B36,'03-CP'!$C$5:$H$4646,2,0),""))</f>
        <v>CONCRETAGEM DE SAPATA, FCK 30 MPA, COM USO DE BOMBA - LANÇAMENTO, ADENSAMENTO E ACABAMENTO. AF_01/2024</v>
      </c>
      <c r="E36" s="691" t="str">
        <f>IFERROR(VLOOKUP($B36,'24.08_ND'!$A:$D,3,0),IFERROR(VLOOKUP($B36,'03-CP'!$C$5:$H$4646,3,0),""))</f>
        <v>M3</v>
      </c>
      <c r="F36" s="1229">
        <v>1.8</v>
      </c>
      <c r="G36" s="641"/>
      <c r="H36" s="767"/>
      <c r="I36" s="865"/>
      <c r="J36" s="368"/>
      <c r="K36" s="368"/>
      <c r="L36" s="386" t="s">
        <v>16202</v>
      </c>
      <c r="M36" s="368"/>
      <c r="N36" s="368"/>
      <c r="O36" s="368"/>
      <c r="P36" s="368"/>
      <c r="Q36" s="368"/>
      <c r="R36" s="368"/>
      <c r="S36" s="368"/>
      <c r="T36" s="368"/>
      <c r="U36" s="368"/>
      <c r="V36" s="368"/>
      <c r="W36" s="368"/>
      <c r="X36" s="368"/>
      <c r="Y36" s="368"/>
      <c r="Z36" s="368"/>
    </row>
    <row r="37" spans="1:26" ht="21">
      <c r="A37" s="239" t="s">
        <v>12750</v>
      </c>
      <c r="B37" s="1309"/>
      <c r="C37" s="1309"/>
      <c r="D37" s="1310" t="s">
        <v>16215</v>
      </c>
      <c r="E37" s="1311"/>
      <c r="F37" s="1312"/>
      <c r="G37" s="1310"/>
      <c r="H37" s="1310"/>
      <c r="I37" s="1313"/>
      <c r="J37" s="512"/>
      <c r="K37" s="262"/>
      <c r="L37" s="386"/>
      <c r="M37" s="262"/>
      <c r="N37" s="1290"/>
      <c r="O37" s="262"/>
      <c r="P37" s="262"/>
      <c r="Q37" s="262"/>
      <c r="R37" s="262"/>
      <c r="S37" s="262"/>
      <c r="T37" s="262"/>
      <c r="U37" s="262"/>
      <c r="V37" s="262"/>
      <c r="W37" s="262"/>
      <c r="X37" s="262"/>
      <c r="Y37" s="262"/>
      <c r="Z37" s="262"/>
    </row>
    <row r="38" spans="1:26" ht="38.25" outlineLevel="1">
      <c r="A38" s="243" t="s">
        <v>12751</v>
      </c>
      <c r="B38" s="386" t="s">
        <v>14594</v>
      </c>
      <c r="C38" s="386" t="s">
        <v>14472</v>
      </c>
      <c r="D38" s="1364" t="s">
        <v>14595</v>
      </c>
      <c r="E38" s="1315" t="str">
        <f>IFERROR(VLOOKUP($B38,'24.08_ND'!$A:$D,3,0),IFERROR(VLOOKUP($B38,'03-CP'!$C$5:$H$4646,3,0),""))</f>
        <v>M</v>
      </c>
      <c r="F38" s="389">
        <v>57</v>
      </c>
      <c r="G38" s="386"/>
      <c r="H38" s="386"/>
      <c r="I38" s="1316"/>
      <c r="J38" s="386"/>
      <c r="K38" s="386"/>
      <c r="L38" s="386" t="s">
        <v>16202</v>
      </c>
      <c r="M38" s="262"/>
      <c r="N38" s="1290"/>
      <c r="O38" s="262"/>
      <c r="P38" s="262"/>
      <c r="Q38" s="262"/>
      <c r="R38" s="262"/>
      <c r="S38" s="262"/>
      <c r="T38" s="262"/>
      <c r="U38" s="262"/>
      <c r="V38" s="262"/>
      <c r="W38" s="262"/>
      <c r="X38" s="262"/>
      <c r="Y38" s="262"/>
      <c r="Z38" s="262"/>
    </row>
    <row r="39" spans="1:26" ht="38.25" outlineLevel="1">
      <c r="A39" s="243" t="s">
        <v>12752</v>
      </c>
      <c r="B39" s="386">
        <v>96557</v>
      </c>
      <c r="C39" s="386" t="s">
        <v>14476</v>
      </c>
      <c r="D39" s="1314" t="str">
        <f>IFERROR(VLOOKUP($B39,'24.08_ND'!$A$4833:$D$12369,2,0),IFERROR(VLOOKUP($B39,'03-CP'!$C$5:$H$4646,2,0),""))</f>
        <v>CONCRETAGEM DE BLOCO DE COROAMENTO OU VIGA BALDRAME, FCK 30 MPA, COM USO DE BOMBA - LANÇAMENTO, ADENSAMENTO E ACABAMENTO. AF_01/2024</v>
      </c>
      <c r="E39" s="1315" t="str">
        <f>IFERROR(VLOOKUP($B39,'24.08_ND'!$A:$D,3,0),IFERROR(VLOOKUP($B39,'03-CP'!$C$5:$H$4646,3,0),""))</f>
        <v>M3</v>
      </c>
      <c r="F39" s="389">
        <v>2.8</v>
      </c>
      <c r="G39" s="386"/>
      <c r="H39" s="386"/>
      <c r="I39" s="1316"/>
      <c r="J39" s="386"/>
      <c r="K39" s="386"/>
      <c r="L39" s="386" t="s">
        <v>16202</v>
      </c>
      <c r="M39" s="1296"/>
      <c r="N39" s="1290"/>
      <c r="O39" s="1296"/>
      <c r="P39" s="1296"/>
      <c r="Q39" s="1296"/>
      <c r="R39" s="1296"/>
      <c r="S39" s="1296"/>
      <c r="T39" s="1296"/>
      <c r="U39" s="262"/>
      <c r="V39" s="262"/>
      <c r="W39" s="262"/>
      <c r="X39" s="262"/>
      <c r="Y39" s="262"/>
      <c r="Z39" s="262"/>
    </row>
    <row r="40" spans="1:26" ht="25.5" outlineLevel="1">
      <c r="A40" s="243" t="s">
        <v>12753</v>
      </c>
      <c r="B40" s="386">
        <v>95583</v>
      </c>
      <c r="C40" s="386" t="s">
        <v>14476</v>
      </c>
      <c r="D40" s="1314" t="str">
        <f>IFERROR(VLOOKUP($B40,'24.08_ND'!$A$4833:$D$12369,2,0),IFERROR(VLOOKUP($B40,'03-CP'!$C$5:$H$4646,2,0),""))</f>
        <v>MONTAGEM DE ARMADURA TRANSVERSAL DE ESTACAS DE SEÇÃO CIRCULAR, DIÂMETRO = 5,0 MM. AF_09/2021_PS</v>
      </c>
      <c r="E40" s="1315" t="str">
        <f>IFERROR(VLOOKUP($B40,'24.08_ND'!$A:$D,3,0),IFERROR(VLOOKUP($B40,'03-CP'!$C$5:$H$4646,3,0),""))</f>
        <v>KG</v>
      </c>
      <c r="F40" s="389">
        <v>42.2</v>
      </c>
      <c r="G40" s="386"/>
      <c r="H40" s="386"/>
      <c r="I40" s="1316"/>
      <c r="J40" s="386"/>
      <c r="K40" s="386"/>
      <c r="L40" s="386" t="s">
        <v>16202</v>
      </c>
      <c r="M40" s="262"/>
      <c r="N40" s="1290"/>
      <c r="O40" s="262"/>
      <c r="P40" s="262"/>
      <c r="Q40" s="262"/>
      <c r="R40" s="262"/>
      <c r="S40" s="262"/>
      <c r="T40" s="262"/>
      <c r="U40" s="262"/>
      <c r="V40" s="262"/>
      <c r="W40" s="262"/>
      <c r="X40" s="262"/>
      <c r="Y40" s="262"/>
      <c r="Z40" s="262"/>
    </row>
    <row r="41" spans="1:26" ht="25.5" outlineLevel="1">
      <c r="A41" s="243" t="s">
        <v>12754</v>
      </c>
      <c r="B41" s="386">
        <v>95577</v>
      </c>
      <c r="C41" s="386" t="s">
        <v>14476</v>
      </c>
      <c r="D41" s="1314" t="str">
        <f>IFERROR(VLOOKUP($B41,'24.08_ND'!$A$4833:$D$12369,2,0),IFERROR(VLOOKUP($B41,'03-CP'!$C$5:$H$4646,2,0),""))</f>
        <v>MONTAGEM DE ARMADURA DE ESTACAS, DIÂMETRO = 10,0 MM. AF_09/2021_PS</v>
      </c>
      <c r="E41" s="1315" t="str">
        <f>IFERROR(VLOOKUP($B41,'24.08_ND'!$A:$D,3,0),IFERROR(VLOOKUP($B41,'03-CP'!$C$5:$H$4646,3,0),""))</f>
        <v>KG</v>
      </c>
      <c r="F41" s="389">
        <v>136</v>
      </c>
      <c r="G41" s="386"/>
      <c r="H41" s="386"/>
      <c r="I41" s="1316"/>
      <c r="J41" s="386"/>
      <c r="K41" s="386"/>
      <c r="L41" s="386" t="s">
        <v>16202</v>
      </c>
      <c r="M41" s="262"/>
      <c r="N41" s="1290"/>
      <c r="O41" s="262"/>
      <c r="P41" s="262"/>
      <c r="Q41" s="262"/>
      <c r="R41" s="262"/>
      <c r="S41" s="262"/>
      <c r="T41" s="262"/>
      <c r="U41" s="262"/>
      <c r="V41" s="262"/>
      <c r="W41" s="262"/>
      <c r="X41" s="262"/>
      <c r="Y41" s="262"/>
      <c r="Z41" s="262"/>
    </row>
    <row r="42" spans="1:26" ht="51" outlineLevel="1">
      <c r="A42" s="1317" t="s">
        <v>12755</v>
      </c>
      <c r="B42" s="295">
        <v>100978</v>
      </c>
      <c r="C42" s="295" t="s">
        <v>14476</v>
      </c>
      <c r="D42" s="658" t="str">
        <f>IFERROR(VLOOKUP($B42,'24.08_ND'!$A$4833:$D$12369,2,0),IFERROR(VLOOKUP($B42,'03-CP'!$C$5:$H$4646,2,0),""))</f>
        <v>CARGA, MANOBRA E DESCARGA DE SOLOS E MATERIAIS GRANULARES EM CAMINHÃO BASCULANTE 10 M³ - CARGA COM ESCAVADEIRA HIDRÁULICA (CAÇAMBA DE 1,20 M³ / 155 HP) E DESCARGA LIVRE (UNIDADE: M3). AF_07/2020</v>
      </c>
      <c r="E42" s="1318" t="str">
        <f>IFERROR(VLOOKUP($B42,'24.08_ND'!$A:$D,3,0),IFERROR(VLOOKUP($B42,'03-CP'!$C$5:$H$4646,3,0),""))</f>
        <v>M3</v>
      </c>
      <c r="F42" s="298">
        <f>D46</f>
        <v>3.9199999999999995</v>
      </c>
      <c r="G42" s="295"/>
      <c r="H42" s="295"/>
      <c r="I42" s="1319"/>
      <c r="J42" s="295"/>
      <c r="K42" s="295"/>
      <c r="L42" s="295" t="s">
        <v>16202</v>
      </c>
      <c r="M42" s="1296"/>
      <c r="N42" s="1290"/>
      <c r="O42" s="1296"/>
      <c r="P42" s="1296"/>
      <c r="Q42" s="1296"/>
      <c r="R42" s="1296"/>
      <c r="S42" s="1296"/>
      <c r="T42" s="1296"/>
      <c r="U42" s="1320"/>
      <c r="V42" s="1320"/>
      <c r="W42" s="1320"/>
      <c r="X42" s="1320"/>
      <c r="Y42" s="1320"/>
      <c r="Z42" s="1320"/>
    </row>
    <row r="43" spans="1:26" ht="21" hidden="1" outlineLevel="1">
      <c r="A43" s="1321"/>
      <c r="B43" s="1322" t="s">
        <v>16206</v>
      </c>
      <c r="C43" s="1323" t="s">
        <v>16207</v>
      </c>
      <c r="D43" s="1324" t="s">
        <v>16208</v>
      </c>
      <c r="E43" s="1334"/>
      <c r="F43" s="1335"/>
      <c r="G43" s="1327"/>
      <c r="H43" s="1327"/>
      <c r="I43" s="1328"/>
      <c r="J43" s="1327"/>
      <c r="K43" s="1327"/>
      <c r="L43" s="1327"/>
      <c r="M43" s="262"/>
      <c r="N43" s="1290"/>
      <c r="O43" s="262"/>
      <c r="P43" s="262"/>
      <c r="Q43" s="262"/>
      <c r="R43" s="262"/>
      <c r="S43" s="262"/>
      <c r="T43" s="262"/>
      <c r="U43" s="1320"/>
      <c r="V43" s="1320"/>
      <c r="W43" s="1320"/>
      <c r="X43" s="1320"/>
      <c r="Y43" s="1320"/>
      <c r="Z43" s="1320"/>
    </row>
    <row r="44" spans="1:26" ht="21" hidden="1" outlineLevel="1">
      <c r="A44" s="1321"/>
      <c r="B44" s="1336">
        <f>F39</f>
        <v>2.8</v>
      </c>
      <c r="C44" s="1327">
        <v>1.4</v>
      </c>
      <c r="D44" s="1337">
        <f>B44*C44</f>
        <v>3.9199999999999995</v>
      </c>
      <c r="E44" s="1338"/>
      <c r="F44" s="1339"/>
      <c r="G44" s="1327"/>
      <c r="H44" s="1327"/>
      <c r="I44" s="1328"/>
      <c r="J44" s="1327"/>
      <c r="K44" s="1327"/>
      <c r="L44" s="1327"/>
      <c r="M44" s="262"/>
      <c r="N44" s="1290"/>
      <c r="O44" s="262"/>
      <c r="P44" s="262"/>
      <c r="Q44" s="262"/>
      <c r="R44" s="262"/>
      <c r="S44" s="262"/>
      <c r="T44" s="262"/>
      <c r="U44" s="1320"/>
      <c r="V44" s="1320"/>
      <c r="W44" s="1320"/>
      <c r="X44" s="1320"/>
      <c r="Y44" s="1320"/>
      <c r="Z44" s="1320"/>
    </row>
    <row r="45" spans="1:26" ht="21" hidden="1" outlineLevel="1">
      <c r="A45" s="1321"/>
      <c r="B45" s="1340" t="s">
        <v>16209</v>
      </c>
      <c r="C45" s="1327" t="s">
        <v>16205</v>
      </c>
      <c r="D45" s="1341" t="s">
        <v>16210</v>
      </c>
      <c r="E45" s="1338"/>
      <c r="F45" s="1339"/>
      <c r="G45" s="1327"/>
      <c r="H45" s="1327"/>
      <c r="I45" s="1328"/>
      <c r="J45" s="1327"/>
      <c r="K45" s="1327"/>
      <c r="L45" s="1327"/>
      <c r="M45" s="262"/>
      <c r="N45" s="1290"/>
      <c r="O45" s="262"/>
      <c r="P45" s="262"/>
      <c r="Q45" s="262"/>
      <c r="R45" s="262"/>
      <c r="S45" s="262"/>
      <c r="T45" s="262"/>
      <c r="U45" s="1320"/>
      <c r="V45" s="1320"/>
      <c r="W45" s="1320"/>
      <c r="X45" s="1320"/>
      <c r="Y45" s="1320"/>
      <c r="Z45" s="1320"/>
    </row>
    <row r="46" spans="1:26" ht="21" hidden="1" outlineLevel="1">
      <c r="A46" s="1321"/>
      <c r="B46" s="1329">
        <f>D44</f>
        <v>3.9199999999999995</v>
      </c>
      <c r="C46" s="1330">
        <v>0</v>
      </c>
      <c r="D46" s="1365">
        <f>B46-C46</f>
        <v>3.9199999999999995</v>
      </c>
      <c r="E46" s="1344"/>
      <c r="F46" s="1345"/>
      <c r="G46" s="1327"/>
      <c r="H46" s="1327"/>
      <c r="I46" s="1328"/>
      <c r="J46" s="1327"/>
      <c r="K46" s="1327"/>
      <c r="L46" s="1327"/>
      <c r="M46" s="262"/>
      <c r="N46" s="1290"/>
      <c r="O46" s="262"/>
      <c r="P46" s="262"/>
      <c r="Q46" s="262"/>
      <c r="R46" s="262"/>
      <c r="S46" s="262"/>
      <c r="T46" s="262"/>
      <c r="U46" s="1320"/>
      <c r="V46" s="1320"/>
      <c r="W46" s="1320"/>
      <c r="X46" s="1320"/>
      <c r="Y46" s="1320"/>
      <c r="Z46" s="1320"/>
    </row>
    <row r="47" spans="1:26" ht="25.5" outlineLevel="1">
      <c r="A47" s="1317" t="s">
        <v>12756</v>
      </c>
      <c r="B47" s="295">
        <v>100938</v>
      </c>
      <c r="C47" s="295" t="s">
        <v>14476</v>
      </c>
      <c r="D47" s="658" t="str">
        <f>IFERROR(VLOOKUP($B47,'24.08_ND'!$A$4833:$D$12369,2,0),IFERROR(VLOOKUP($B47,'03-CP'!$C$5:$H$4646,2,0),""))</f>
        <v>TRANSPORTE COM CAMINHÃO BASCULANTE DE 10 M³, EM VIA INTERNA (DENTRO DO CANTEIRO - UNIDADE: M3XKM). AF_07/2020</v>
      </c>
      <c r="E47" s="1318" t="str">
        <f>IFERROR(VLOOKUP($B47,'24.08_ND'!$A:$D,3,0),IFERROR(VLOOKUP($B47,'03-CP'!$C$5:$H$4646,3,0),""))</f>
        <v>M3XKM</v>
      </c>
      <c r="F47" s="298">
        <f>F49</f>
        <v>7.839999999999999</v>
      </c>
      <c r="G47" s="295"/>
      <c r="H47" s="295"/>
      <c r="I47" s="1319"/>
      <c r="J47" s="295"/>
      <c r="K47" s="295"/>
      <c r="L47" s="295" t="s">
        <v>16202</v>
      </c>
      <c r="M47" s="262"/>
      <c r="N47" s="1290"/>
      <c r="O47" s="262"/>
      <c r="P47" s="262"/>
      <c r="Q47" s="262"/>
      <c r="R47" s="262"/>
      <c r="S47" s="262"/>
      <c r="T47" s="262"/>
      <c r="U47" s="1320"/>
      <c r="V47" s="1320"/>
      <c r="W47" s="1320"/>
      <c r="X47" s="1320"/>
      <c r="Y47" s="1320"/>
      <c r="Z47" s="1320"/>
    </row>
    <row r="48" spans="1:26" ht="12.75" hidden="1" outlineLevel="1">
      <c r="A48" s="1346"/>
      <c r="B48" s="1322"/>
      <c r="C48" s="1334"/>
      <c r="D48" s="1325" t="s">
        <v>16211</v>
      </c>
      <c r="E48" s="1347" t="s">
        <v>16212</v>
      </c>
      <c r="F48" s="1348" t="s">
        <v>16213</v>
      </c>
      <c r="G48" s="1349"/>
      <c r="H48" s="1349"/>
      <c r="I48" s="1350"/>
      <c r="J48" s="1351"/>
      <c r="K48" s="1352"/>
      <c r="L48" s="1353"/>
      <c r="M48" s="368"/>
      <c r="N48" s="368"/>
      <c r="O48" s="368"/>
      <c r="P48" s="368"/>
      <c r="Q48" s="368"/>
      <c r="R48" s="368"/>
      <c r="S48" s="368"/>
      <c r="T48" s="368"/>
      <c r="U48" s="368"/>
      <c r="V48" s="368"/>
      <c r="W48" s="368"/>
      <c r="X48" s="368"/>
      <c r="Y48" s="368"/>
      <c r="Z48" s="368"/>
    </row>
    <row r="49" spans="1:26" ht="12.75" hidden="1" outlineLevel="1">
      <c r="A49" s="1346"/>
      <c r="B49" s="1329"/>
      <c r="C49" s="1344"/>
      <c r="D49" s="1332">
        <f>D46</f>
        <v>3.9199999999999995</v>
      </c>
      <c r="E49" s="1355">
        <v>2</v>
      </c>
      <c r="F49" s="1356">
        <f>D49*E49</f>
        <v>7.839999999999999</v>
      </c>
      <c r="G49" s="1349"/>
      <c r="H49" s="1349"/>
      <c r="I49" s="1350"/>
      <c r="J49" s="1351"/>
      <c r="K49" s="1352"/>
      <c r="L49" s="1353"/>
      <c r="M49" s="368"/>
      <c r="N49" s="368"/>
      <c r="O49" s="368"/>
      <c r="P49" s="368"/>
      <c r="Q49" s="368"/>
      <c r="R49" s="368"/>
      <c r="S49" s="368"/>
      <c r="T49" s="368"/>
      <c r="U49" s="368"/>
      <c r="V49" s="368"/>
      <c r="W49" s="368"/>
      <c r="X49" s="368"/>
      <c r="Y49" s="368"/>
      <c r="Z49" s="368"/>
    </row>
    <row r="50" spans="1:26" ht="21">
      <c r="A50" s="239" t="s">
        <v>12757</v>
      </c>
      <c r="B50" s="1309"/>
      <c r="C50" s="1309"/>
      <c r="D50" s="1310" t="s">
        <v>16216</v>
      </c>
      <c r="E50" s="1311"/>
      <c r="F50" s="1312"/>
      <c r="G50" s="1310"/>
      <c r="H50" s="1310"/>
      <c r="I50" s="1313"/>
      <c r="J50" s="512"/>
      <c r="K50" s="262"/>
      <c r="L50" s="1297"/>
      <c r="M50" s="1296"/>
      <c r="N50" s="1290"/>
      <c r="O50" s="1296"/>
      <c r="P50" s="1296"/>
      <c r="Q50" s="1296"/>
      <c r="R50" s="1296"/>
      <c r="S50" s="1296"/>
      <c r="T50" s="1296"/>
      <c r="U50" s="262"/>
      <c r="V50" s="262"/>
      <c r="W50" s="262"/>
      <c r="X50" s="262"/>
      <c r="Y50" s="262"/>
      <c r="Z50" s="262"/>
    </row>
    <row r="51" spans="1:26" ht="25.5" outlineLevel="1">
      <c r="A51" s="243" t="s">
        <v>12758</v>
      </c>
      <c r="B51" s="386">
        <v>96527</v>
      </c>
      <c r="C51" s="386" t="s">
        <v>14476</v>
      </c>
      <c r="D51" s="1314" t="str">
        <f>IFERROR(VLOOKUP($B51,'24.08_ND'!$A$4833:$D$12369,2,0),IFERROR(VLOOKUP($B51,'03-CP'!$C$5:$H$4646,2,0),""))</f>
        <v>ESCAVAÇÃO MANUAL PARA VIGA BALDRAME OU SAPATA CORRIDA (INCLUINDO ESCAVAÇÃO PARA COLOCAÇÃO DE FÔRMAS). AF_01/2024</v>
      </c>
      <c r="E51" s="1315" t="str">
        <f>IFERROR(VLOOKUP($B51,'24.08_ND'!$A:$D,3,0),IFERROR(VLOOKUP($B51,'03-CP'!$C$5:$H$4646,3,0),""))</f>
        <v>M3</v>
      </c>
      <c r="F51" s="389">
        <v>28.84</v>
      </c>
      <c r="G51" s="386"/>
      <c r="H51" s="386"/>
      <c r="I51" s="1316"/>
      <c r="J51" s="386"/>
      <c r="K51" s="386"/>
      <c r="L51" s="386" t="s">
        <v>16202</v>
      </c>
      <c r="M51" s="262"/>
      <c r="N51" s="1290"/>
      <c r="O51" s="262"/>
      <c r="P51" s="262"/>
      <c r="Q51" s="262"/>
      <c r="R51" s="262"/>
      <c r="S51" s="262"/>
      <c r="T51" s="262"/>
      <c r="U51" s="262"/>
      <c r="V51" s="262"/>
      <c r="W51" s="262"/>
      <c r="X51" s="262"/>
      <c r="Y51" s="262"/>
      <c r="Z51" s="262"/>
    </row>
    <row r="52" spans="1:26" ht="25.5" outlineLevel="1">
      <c r="A52" s="243" t="s">
        <v>12759</v>
      </c>
      <c r="B52" s="386">
        <v>96616</v>
      </c>
      <c r="C52" s="386" t="s">
        <v>14476</v>
      </c>
      <c r="D52" s="1314" t="str">
        <f>IFERROR(VLOOKUP($B52,'24.08_ND'!$A$4833:$D$12369,2,0),IFERROR(VLOOKUP($B52,'03-CP'!$C$5:$H$4646,2,0),""))</f>
        <v>LASTRO DE CONCRETO MAGRO, APLICADO EM BLOCOS DE COROAMENTO OU SAPATAS. AF_01/2024</v>
      </c>
      <c r="E52" s="1315" t="str">
        <f>IFERROR(VLOOKUP($B52,'24.08_ND'!$A:$D,3,0),IFERROR(VLOOKUP($B52,'03-CP'!$C$5:$H$4646,3,0),""))</f>
        <v>M3</v>
      </c>
      <c r="F52" s="389">
        <v>1.78</v>
      </c>
      <c r="G52" s="386"/>
      <c r="H52" s="386"/>
      <c r="I52" s="1316"/>
      <c r="J52" s="386"/>
      <c r="K52" s="386"/>
      <c r="L52" s="386" t="s">
        <v>16202</v>
      </c>
      <c r="M52" s="262"/>
      <c r="N52" s="1290"/>
      <c r="O52" s="262"/>
      <c r="P52" s="262"/>
      <c r="Q52" s="262"/>
      <c r="R52" s="262"/>
      <c r="S52" s="262"/>
      <c r="T52" s="262"/>
      <c r="U52" s="262"/>
      <c r="V52" s="262"/>
      <c r="W52" s="262"/>
      <c r="X52" s="262"/>
      <c r="Y52" s="262"/>
      <c r="Z52" s="262"/>
    </row>
    <row r="53" spans="1:26" ht="25.5" outlineLevel="1">
      <c r="A53" s="243" t="s">
        <v>12760</v>
      </c>
      <c r="B53" s="386">
        <v>96536</v>
      </c>
      <c r="C53" s="386" t="s">
        <v>14476</v>
      </c>
      <c r="D53" s="1314" t="str">
        <f>IFERROR(VLOOKUP($B53,'24.08_ND'!$A$4833:$D$12369,2,0),IFERROR(VLOOKUP($B53,'03-CP'!$C$5:$H$4646,2,0),""))</f>
        <v>FABRICAÇÃO, MONTAGEM E DESMONTAGEM DE FÔRMA PARA VIGA BALDRAME, EM MADEIRA SERRADA, E=25 MM, 4 UTILIZAÇÕES. AF_01/2024</v>
      </c>
      <c r="E53" s="1315" t="str">
        <f>IFERROR(VLOOKUP($B53,'24.08_ND'!$A:$D,3,0),IFERROR(VLOOKUP($B53,'03-CP'!$C$5:$H$4646,3,0),""))</f>
        <v>M2</v>
      </c>
      <c r="F53" s="389">
        <v>164.82</v>
      </c>
      <c r="G53" s="386"/>
      <c r="H53" s="386"/>
      <c r="I53" s="1316"/>
      <c r="J53" s="386"/>
      <c r="K53" s="386"/>
      <c r="L53" s="386" t="s">
        <v>16202</v>
      </c>
      <c r="M53" s="1296"/>
      <c r="N53" s="1290"/>
      <c r="O53" s="1296"/>
      <c r="P53" s="1296"/>
      <c r="Q53" s="1296"/>
      <c r="R53" s="1296"/>
      <c r="S53" s="1296"/>
      <c r="T53" s="1296"/>
      <c r="U53" s="262"/>
      <c r="V53" s="262"/>
      <c r="W53" s="262"/>
      <c r="X53" s="262"/>
      <c r="Y53" s="262"/>
      <c r="Z53" s="262"/>
    </row>
    <row r="54" spans="1:26" ht="25.5" outlineLevel="1">
      <c r="A54" s="243" t="s">
        <v>12761</v>
      </c>
      <c r="B54" s="386">
        <v>104916</v>
      </c>
      <c r="C54" s="386" t="s">
        <v>14476</v>
      </c>
      <c r="D54" s="1314" t="str">
        <f>IFERROR(VLOOKUP($B54,'24.08_ND'!$A$4833:$D$12369,2,0),IFERROR(VLOOKUP($B54,'03-CP'!$C$5:$H$4646,2,0),""))</f>
        <v>ARMAÇÃO DE SAPATA ISOLADA, VIGA BALDRAME E SAPATA CORRIDA UTILIZANDO AÇO CA-60 DE 5 MM - MONTAGEM. AF_01/2024</v>
      </c>
      <c r="E54" s="1315" t="str">
        <f>IFERROR(VLOOKUP($B54,'24.08_ND'!$A:$D,3,0),IFERROR(VLOOKUP($B54,'03-CP'!$C$5:$H$4646,3,0),""))</f>
        <v>KG</v>
      </c>
      <c r="F54" s="389">
        <v>224</v>
      </c>
      <c r="G54" s="386"/>
      <c r="H54" s="386"/>
      <c r="I54" s="1316"/>
      <c r="J54" s="386"/>
      <c r="K54" s="386"/>
      <c r="L54" s="386" t="s">
        <v>16202</v>
      </c>
      <c r="M54" s="262"/>
      <c r="N54" s="1290"/>
      <c r="O54" s="262"/>
      <c r="P54" s="262"/>
      <c r="Q54" s="262"/>
      <c r="R54" s="262"/>
      <c r="S54" s="262"/>
      <c r="T54" s="262"/>
      <c r="U54" s="262"/>
      <c r="V54" s="262"/>
      <c r="W54" s="262"/>
      <c r="X54" s="262"/>
      <c r="Y54" s="262"/>
      <c r="Z54" s="262"/>
    </row>
    <row r="55" spans="1:26" ht="25.5" outlineLevel="1">
      <c r="A55" s="243" t="s">
        <v>12762</v>
      </c>
      <c r="B55" s="386">
        <v>104917</v>
      </c>
      <c r="C55" s="386" t="s">
        <v>14476</v>
      </c>
      <c r="D55" s="1314" t="str">
        <f>IFERROR(VLOOKUP($B55,'24.08_ND'!$A$4833:$D$12369,2,0),IFERROR(VLOOKUP($B55,'03-CP'!$C$5:$H$4646,2,0),""))</f>
        <v>ARMAÇÃO DE SAPATA ISOLADA, VIGA BALDRAME E SAPATA CORRIDA UTILIZANDO AÇO CA-50 DE 6,3 MM - MONTAGEM. AF_01/2024</v>
      </c>
      <c r="E55" s="1315" t="str">
        <f>IFERROR(VLOOKUP($B55,'24.08_ND'!$A:$D,3,0),IFERROR(VLOOKUP($B55,'03-CP'!$C$5:$H$4646,3,0),""))</f>
        <v>KG</v>
      </c>
      <c r="F55" s="389">
        <v>65.8</v>
      </c>
      <c r="G55" s="386"/>
      <c r="H55" s="386"/>
      <c r="I55" s="1316"/>
      <c r="J55" s="386"/>
      <c r="K55" s="386"/>
      <c r="L55" s="386" t="s">
        <v>16202</v>
      </c>
      <c r="M55" s="262"/>
      <c r="N55" s="1290"/>
      <c r="O55" s="262"/>
      <c r="P55" s="262"/>
      <c r="Q55" s="262"/>
      <c r="R55" s="262"/>
      <c r="S55" s="262"/>
      <c r="T55" s="262"/>
      <c r="U55" s="262"/>
      <c r="V55" s="262"/>
      <c r="W55" s="262"/>
      <c r="X55" s="262"/>
      <c r="Y55" s="262"/>
      <c r="Z55" s="262"/>
    </row>
    <row r="56" spans="1:26" ht="25.5" outlineLevel="1">
      <c r="A56" s="243" t="s">
        <v>12763</v>
      </c>
      <c r="B56" s="386">
        <v>104918</v>
      </c>
      <c r="C56" s="386" t="s">
        <v>14476</v>
      </c>
      <c r="D56" s="1314" t="str">
        <f>IFERROR(VLOOKUP($B56,'24.08_ND'!$A$4833:$D$12369,2,0),IFERROR(VLOOKUP($B56,'03-CP'!$C$5:$H$4646,2,0),""))</f>
        <v>ARMAÇÃO DE SAPATA ISOLADA, VIGA BALDRAME E SAPATA CORRIDA UTILIZANDO AÇO CA-50 DE 8 MM - MONTAGEM. AF_01/2024</v>
      </c>
      <c r="E56" s="1315" t="str">
        <f>IFERROR(VLOOKUP($B56,'24.08_ND'!$A:$D,3,0),IFERROR(VLOOKUP($B56,'03-CP'!$C$5:$H$4646,3,0),""))</f>
        <v>KG</v>
      </c>
      <c r="F56" s="389">
        <v>292.39999999999998</v>
      </c>
      <c r="G56" s="386"/>
      <c r="H56" s="386"/>
      <c r="I56" s="1316"/>
      <c r="J56" s="386"/>
      <c r="K56" s="386"/>
      <c r="L56" s="386" t="s">
        <v>16202</v>
      </c>
      <c r="M56" s="1296"/>
      <c r="N56" s="1290"/>
      <c r="O56" s="1296"/>
      <c r="P56" s="1296"/>
      <c r="Q56" s="1296"/>
      <c r="R56" s="1296"/>
      <c r="S56" s="1296"/>
      <c r="T56" s="1296"/>
      <c r="U56" s="262"/>
      <c r="V56" s="262"/>
      <c r="W56" s="262"/>
      <c r="X56" s="262"/>
      <c r="Y56" s="262"/>
      <c r="Z56" s="262"/>
    </row>
    <row r="57" spans="1:26" ht="25.5" outlineLevel="1">
      <c r="A57" s="243" t="s">
        <v>12764</v>
      </c>
      <c r="B57" s="386">
        <v>104919</v>
      </c>
      <c r="C57" s="386" t="s">
        <v>14476</v>
      </c>
      <c r="D57" s="1314" t="str">
        <f>IFERROR(VLOOKUP($B57,'24.08_ND'!$A$4833:$D$12369,2,0),IFERROR(VLOOKUP($B57,'03-CP'!$C$5:$H$4646,2,0),""))</f>
        <v>ARMAÇÃO DE SAPATA ISOLADA, VIGA BALDRAME E SAPATA CORRIDA UTILIZANDO AÇO CA-50 DE 10 MM - MONTAGEM. AF_01/2024</v>
      </c>
      <c r="E57" s="1315" t="str">
        <f>IFERROR(VLOOKUP($B57,'24.08_ND'!$A:$D,3,0),IFERROR(VLOOKUP($B57,'03-CP'!$C$5:$H$4646,3,0),""))</f>
        <v>KG</v>
      </c>
      <c r="F57" s="389">
        <v>18.2</v>
      </c>
      <c r="G57" s="386"/>
      <c r="H57" s="386"/>
      <c r="I57" s="1316"/>
      <c r="J57" s="386"/>
      <c r="K57" s="386"/>
      <c r="L57" s="386" t="s">
        <v>16202</v>
      </c>
      <c r="M57" s="262"/>
      <c r="N57" s="1290"/>
      <c r="O57" s="262"/>
      <c r="P57" s="262"/>
      <c r="Q57" s="262"/>
      <c r="R57" s="262"/>
      <c r="S57" s="262"/>
      <c r="T57" s="262"/>
      <c r="U57" s="262"/>
      <c r="V57" s="262"/>
      <c r="W57" s="262"/>
      <c r="X57" s="262"/>
      <c r="Y57" s="262"/>
      <c r="Z57" s="262"/>
    </row>
    <row r="58" spans="1:26" ht="25.5" outlineLevel="1">
      <c r="A58" s="243" t="s">
        <v>12765</v>
      </c>
      <c r="B58" s="386">
        <v>104920</v>
      </c>
      <c r="C58" s="386" t="s">
        <v>14476</v>
      </c>
      <c r="D58" s="1314" t="str">
        <f>IFERROR(VLOOKUP($B58,'24.08_ND'!$A$4833:$D$12369,2,0),IFERROR(VLOOKUP($B58,'03-CP'!$C$5:$H$4646,2,0),""))</f>
        <v>ARMAÇÃO DE BLOCO, SAPATA ISOLADA, VIGA BALDRAME E SAPATA CORRIDA UTILIZANDO AÇO CA-50 DE 12,5 MM - MONTAGEM. AF_01/2024</v>
      </c>
      <c r="E58" s="1315" t="str">
        <f>IFERROR(VLOOKUP($B58,'24.08_ND'!$A:$D,3,0),IFERROR(VLOOKUP($B58,'03-CP'!$C$5:$H$4646,3,0),""))</f>
        <v>KG</v>
      </c>
      <c r="F58" s="389">
        <v>147.9</v>
      </c>
      <c r="G58" s="386"/>
      <c r="H58" s="386"/>
      <c r="I58" s="1316"/>
      <c r="J58" s="386"/>
      <c r="K58" s="386"/>
      <c r="L58" s="386" t="s">
        <v>16202</v>
      </c>
      <c r="M58" s="262"/>
      <c r="N58" s="1290"/>
      <c r="O58" s="262"/>
      <c r="P58" s="262"/>
      <c r="Q58" s="262"/>
      <c r="R58" s="262"/>
      <c r="S58" s="262"/>
      <c r="T58" s="262"/>
      <c r="U58" s="262"/>
      <c r="V58" s="262"/>
      <c r="W58" s="262"/>
      <c r="X58" s="262"/>
      <c r="Y58" s="262"/>
      <c r="Z58" s="262"/>
    </row>
    <row r="59" spans="1:26" ht="25.5" outlineLevel="1">
      <c r="A59" s="243" t="s">
        <v>12766</v>
      </c>
      <c r="B59" s="386">
        <v>96558</v>
      </c>
      <c r="C59" s="386" t="s">
        <v>14476</v>
      </c>
      <c r="D59" s="1314" t="str">
        <f>IFERROR(VLOOKUP($B59,'24.08_ND'!$A$4833:$D$12369,2,0),IFERROR(VLOOKUP($B59,'03-CP'!$C$5:$H$4646,2,0),""))</f>
        <v>CONCRETAGEM DE SAPATA, FCK 30 MPA, COM USO DE BOMBA - LANÇAMENTO, ADENSAMENTO E ACABAMENTO. AF_01/2024</v>
      </c>
      <c r="E59" s="1315" t="str">
        <f>IFERROR(VLOOKUP($B59,'24.08_ND'!$A:$D,3,0),IFERROR(VLOOKUP($B59,'03-CP'!$C$5:$H$4646,3,0),""))</f>
        <v>M3</v>
      </c>
      <c r="F59" s="389">
        <v>11.82</v>
      </c>
      <c r="G59" s="386"/>
      <c r="H59" s="386"/>
      <c r="I59" s="1316"/>
      <c r="J59" s="386"/>
      <c r="K59" s="386"/>
      <c r="L59" s="386" t="s">
        <v>16202</v>
      </c>
      <c r="M59" s="1296"/>
      <c r="N59" s="1290"/>
      <c r="O59" s="1296"/>
      <c r="P59" s="1296"/>
      <c r="Q59" s="1296"/>
      <c r="R59" s="1296"/>
      <c r="S59" s="1296"/>
      <c r="T59" s="1296"/>
      <c r="U59" s="262"/>
      <c r="V59" s="262"/>
      <c r="W59" s="262"/>
      <c r="X59" s="262"/>
      <c r="Y59" s="262"/>
      <c r="Z59" s="262"/>
    </row>
    <row r="60" spans="1:26" ht="25.5" outlineLevel="1">
      <c r="A60" s="1317" t="s">
        <v>12767</v>
      </c>
      <c r="B60" s="295">
        <v>93382</v>
      </c>
      <c r="C60" s="295" t="s">
        <v>14476</v>
      </c>
      <c r="D60" s="658" t="str">
        <f>IFERROR(VLOOKUP($B60,'24.08_ND'!$A$4833:$D$12369,2,0),IFERROR(VLOOKUP($B60,'03-CP'!$C$5:$H$4646,2,0),""))</f>
        <v>REATERRO MANUAL DE VALAS, COM COMPACTADOR DE SOLOS DE PERCUSSÃO. AF_08/2023</v>
      </c>
      <c r="E60" s="1318" t="str">
        <f>IFERROR(VLOOKUP($B60,'24.08_ND'!$A:$D,3,0),IFERROR(VLOOKUP($B60,'03-CP'!$C$5:$H$4646,3,0),""))</f>
        <v>M3</v>
      </c>
      <c r="F60" s="298">
        <f>F62</f>
        <v>18.722000000000001</v>
      </c>
      <c r="G60" s="295"/>
      <c r="H60" s="295"/>
      <c r="I60" s="1319"/>
      <c r="J60" s="295"/>
      <c r="K60" s="295"/>
      <c r="L60" s="295" t="s">
        <v>16202</v>
      </c>
      <c r="M60" s="262"/>
      <c r="N60" s="1290"/>
      <c r="O60" s="262"/>
      <c r="P60" s="262"/>
      <c r="Q60" s="262"/>
      <c r="R60" s="262"/>
      <c r="S60" s="262"/>
      <c r="T60" s="262"/>
      <c r="U60" s="1320"/>
      <c r="V60" s="1320"/>
      <c r="W60" s="1320"/>
      <c r="X60" s="1320"/>
      <c r="Y60" s="1320"/>
      <c r="Z60" s="1320"/>
    </row>
    <row r="61" spans="1:26" ht="21" hidden="1" outlineLevel="1">
      <c r="A61" s="1321"/>
      <c r="B61" s="1322"/>
      <c r="C61" s="1323"/>
      <c r="D61" s="1324" t="s">
        <v>16203</v>
      </c>
      <c r="E61" s="1325" t="s">
        <v>16204</v>
      </c>
      <c r="F61" s="1326" t="s">
        <v>16205</v>
      </c>
      <c r="G61" s="1327"/>
      <c r="H61" s="1327"/>
      <c r="I61" s="1328"/>
      <c r="J61" s="1327"/>
      <c r="K61" s="1327"/>
      <c r="L61" s="1327"/>
      <c r="M61" s="1296"/>
      <c r="N61" s="1290"/>
      <c r="O61" s="1296"/>
      <c r="P61" s="1296"/>
      <c r="Q61" s="1296"/>
      <c r="R61" s="1296"/>
      <c r="S61" s="1296"/>
      <c r="T61" s="1296"/>
      <c r="U61" s="1320"/>
      <c r="V61" s="1320"/>
      <c r="W61" s="1320"/>
      <c r="X61" s="1320"/>
      <c r="Y61" s="1320"/>
      <c r="Z61" s="1320"/>
    </row>
    <row r="62" spans="1:26" ht="21" hidden="1" outlineLevel="1">
      <c r="A62" s="1321"/>
      <c r="B62" s="1329"/>
      <c r="C62" s="1330"/>
      <c r="D62" s="1331">
        <f>F51-F59</f>
        <v>17.02</v>
      </c>
      <c r="E62" s="1332">
        <v>1.1000000000000001</v>
      </c>
      <c r="F62" s="1333">
        <f>D62*E62</f>
        <v>18.722000000000001</v>
      </c>
      <c r="G62" s="1327"/>
      <c r="H62" s="1327"/>
      <c r="I62" s="1328"/>
      <c r="J62" s="1327"/>
      <c r="K62" s="1327"/>
      <c r="L62" s="1327"/>
      <c r="M62" s="1296"/>
      <c r="N62" s="1290"/>
      <c r="O62" s="1296"/>
      <c r="P62" s="1296"/>
      <c r="Q62" s="1296"/>
      <c r="R62" s="1296"/>
      <c r="S62" s="1296"/>
      <c r="T62" s="1296"/>
      <c r="U62" s="1320"/>
      <c r="V62" s="1320"/>
      <c r="W62" s="1320"/>
      <c r="X62" s="1320"/>
      <c r="Y62" s="1320"/>
      <c r="Z62" s="1320"/>
    </row>
    <row r="63" spans="1:26" ht="51" outlineLevel="1">
      <c r="A63" s="1317" t="s">
        <v>12768</v>
      </c>
      <c r="B63" s="295">
        <v>100978</v>
      </c>
      <c r="C63" s="295" t="s">
        <v>14476</v>
      </c>
      <c r="D63" s="658" t="str">
        <f>IFERROR(VLOOKUP($B63,'24.08_ND'!$A$4833:$D$12369,2,0),IFERROR(VLOOKUP($B63,'03-CP'!$C$5:$H$4646,2,0),""))</f>
        <v>CARGA, MANOBRA E DESCARGA DE SOLOS E MATERIAIS GRANULARES EM CAMINHÃO BASCULANTE 10 M³ - CARGA COM ESCAVADEIRA HIDRÁULICA (CAÇAMBA DE 1,20 M³ / 155 HP) E DESCARGA LIVRE (UNIDADE: M3). AF_07/2020</v>
      </c>
      <c r="E63" s="1318" t="str">
        <f>IFERROR(VLOOKUP($B63,'24.08_ND'!$A:$D,3,0),IFERROR(VLOOKUP($B63,'03-CP'!$C$5:$H$4646,3,0),""))</f>
        <v>M3</v>
      </c>
      <c r="F63" s="298">
        <f>D67</f>
        <v>21.653999999999996</v>
      </c>
      <c r="G63" s="295"/>
      <c r="H63" s="295"/>
      <c r="I63" s="1319"/>
      <c r="J63" s="295"/>
      <c r="K63" s="295"/>
      <c r="L63" s="295" t="s">
        <v>16202</v>
      </c>
      <c r="M63" s="262"/>
      <c r="N63" s="1290"/>
      <c r="O63" s="262"/>
      <c r="P63" s="262"/>
      <c r="Q63" s="262"/>
      <c r="R63" s="262"/>
      <c r="S63" s="262"/>
      <c r="T63" s="262"/>
      <c r="U63" s="1320"/>
      <c r="V63" s="1320"/>
      <c r="W63" s="1320"/>
      <c r="X63" s="1320"/>
      <c r="Y63" s="1320"/>
      <c r="Z63" s="1320"/>
    </row>
    <row r="64" spans="1:26" ht="21" hidden="1" outlineLevel="1">
      <c r="A64" s="1321"/>
      <c r="B64" s="1322" t="s">
        <v>16206</v>
      </c>
      <c r="C64" s="1323" t="s">
        <v>16207</v>
      </c>
      <c r="D64" s="1324" t="s">
        <v>16208</v>
      </c>
      <c r="E64" s="1334"/>
      <c r="F64" s="1335"/>
      <c r="G64" s="1327"/>
      <c r="H64" s="1327"/>
      <c r="I64" s="1328"/>
      <c r="J64" s="1327"/>
      <c r="K64" s="1327"/>
      <c r="L64" s="1327"/>
      <c r="M64" s="262"/>
      <c r="N64" s="1290"/>
      <c r="O64" s="262"/>
      <c r="P64" s="262"/>
      <c r="Q64" s="262"/>
      <c r="R64" s="262"/>
      <c r="S64" s="262"/>
      <c r="T64" s="262"/>
      <c r="U64" s="1320"/>
      <c r="V64" s="1320"/>
      <c r="W64" s="1320"/>
      <c r="X64" s="1320"/>
      <c r="Y64" s="1320"/>
      <c r="Z64" s="1320"/>
    </row>
    <row r="65" spans="1:26" ht="21" hidden="1" outlineLevel="1">
      <c r="A65" s="1321"/>
      <c r="B65" s="1336">
        <f>F51</f>
        <v>28.84</v>
      </c>
      <c r="C65" s="1327">
        <v>1.4</v>
      </c>
      <c r="D65" s="1337">
        <f>B65*C65</f>
        <v>40.375999999999998</v>
      </c>
      <c r="E65" s="1338"/>
      <c r="F65" s="1339"/>
      <c r="G65" s="1327"/>
      <c r="H65" s="1327"/>
      <c r="I65" s="1328"/>
      <c r="J65" s="1327"/>
      <c r="K65" s="1327"/>
      <c r="L65" s="1327"/>
      <c r="M65" s="262"/>
      <c r="N65" s="1290"/>
      <c r="O65" s="262"/>
      <c r="P65" s="262"/>
      <c r="Q65" s="262"/>
      <c r="R65" s="262"/>
      <c r="S65" s="262"/>
      <c r="T65" s="262"/>
      <c r="U65" s="1320"/>
      <c r="V65" s="1320"/>
      <c r="W65" s="1320"/>
      <c r="X65" s="1320"/>
      <c r="Y65" s="1320"/>
      <c r="Z65" s="1320"/>
    </row>
    <row r="66" spans="1:26" ht="21" hidden="1" outlineLevel="1">
      <c r="A66" s="1321"/>
      <c r="B66" s="1340" t="s">
        <v>16209</v>
      </c>
      <c r="C66" s="1327" t="s">
        <v>16205</v>
      </c>
      <c r="D66" s="1341" t="s">
        <v>16210</v>
      </c>
      <c r="E66" s="1338"/>
      <c r="F66" s="1339"/>
      <c r="G66" s="1327"/>
      <c r="H66" s="1327"/>
      <c r="I66" s="1328"/>
      <c r="J66" s="1327"/>
      <c r="K66" s="1327"/>
      <c r="L66" s="1327"/>
      <c r="M66" s="262"/>
      <c r="N66" s="1290"/>
      <c r="O66" s="262"/>
      <c r="P66" s="262"/>
      <c r="Q66" s="262"/>
      <c r="R66" s="262"/>
      <c r="S66" s="262"/>
      <c r="T66" s="262"/>
      <c r="U66" s="1320"/>
      <c r="V66" s="1320"/>
      <c r="W66" s="1320"/>
      <c r="X66" s="1320"/>
      <c r="Y66" s="1320"/>
      <c r="Z66" s="1320"/>
    </row>
    <row r="67" spans="1:26" ht="21" hidden="1" outlineLevel="1">
      <c r="A67" s="1321"/>
      <c r="B67" s="1329">
        <f>D65</f>
        <v>40.375999999999998</v>
      </c>
      <c r="C67" s="1342">
        <f>F62</f>
        <v>18.722000000000001</v>
      </c>
      <c r="D67" s="1343">
        <f>B67-C67</f>
        <v>21.653999999999996</v>
      </c>
      <c r="E67" s="1344"/>
      <c r="F67" s="1345"/>
      <c r="G67" s="1327"/>
      <c r="H67" s="1327"/>
      <c r="I67" s="1328"/>
      <c r="J67" s="1327"/>
      <c r="K67" s="1327"/>
      <c r="L67" s="1327"/>
      <c r="M67" s="262"/>
      <c r="N67" s="1290"/>
      <c r="O67" s="262"/>
      <c r="P67" s="262"/>
      <c r="Q67" s="262"/>
      <c r="R67" s="262"/>
      <c r="S67" s="262"/>
      <c r="T67" s="262"/>
      <c r="U67" s="1320"/>
      <c r="V67" s="1320"/>
      <c r="W67" s="1320"/>
      <c r="X67" s="1320"/>
      <c r="Y67" s="1320"/>
      <c r="Z67" s="1320"/>
    </row>
    <row r="68" spans="1:26" ht="25.5" outlineLevel="1">
      <c r="A68" s="1317" t="s">
        <v>12769</v>
      </c>
      <c r="B68" s="295">
        <v>100938</v>
      </c>
      <c r="C68" s="295" t="s">
        <v>14476</v>
      </c>
      <c r="D68" s="658" t="str">
        <f>IFERROR(VLOOKUP($B68,'24.08_ND'!$A$4833:$D$12369,2,0),IFERROR(VLOOKUP($B68,'03-CP'!$C$5:$H$4646,2,0),""))</f>
        <v>TRANSPORTE COM CAMINHÃO BASCULANTE DE 10 M³, EM VIA INTERNA (DENTRO DO CANTEIRO - UNIDADE: M3XKM). AF_07/2020</v>
      </c>
      <c r="E68" s="1318" t="str">
        <f>IFERROR(VLOOKUP($B68,'24.08_ND'!$A:$D,3,0),IFERROR(VLOOKUP($B68,'03-CP'!$C$5:$H$4646,3,0),""))</f>
        <v>M3XKM</v>
      </c>
      <c r="F68" s="298">
        <f>F63*2</f>
        <v>43.307999999999993</v>
      </c>
      <c r="G68" s="295"/>
      <c r="H68" s="295"/>
      <c r="I68" s="1319"/>
      <c r="J68" s="295"/>
      <c r="K68" s="295"/>
      <c r="L68" s="295" t="s">
        <v>16202</v>
      </c>
      <c r="M68" s="1296"/>
      <c r="N68" s="1290"/>
      <c r="O68" s="1296"/>
      <c r="P68" s="1296"/>
      <c r="Q68" s="1296"/>
      <c r="R68" s="1296"/>
      <c r="S68" s="1296"/>
      <c r="T68" s="1296"/>
      <c r="U68" s="1320"/>
      <c r="V68" s="1320"/>
      <c r="W68" s="1320"/>
      <c r="X68" s="1320"/>
      <c r="Y68" s="1320"/>
      <c r="Z68" s="1320"/>
    </row>
    <row r="69" spans="1:26" ht="12.75" hidden="1" outlineLevel="1">
      <c r="A69" s="1346"/>
      <c r="B69" s="1322"/>
      <c r="C69" s="1334"/>
      <c r="D69" s="1325" t="s">
        <v>16211</v>
      </c>
      <c r="E69" s="1347" t="s">
        <v>16212</v>
      </c>
      <c r="F69" s="1348" t="s">
        <v>16213</v>
      </c>
      <c r="G69" s="1349"/>
      <c r="H69" s="1349"/>
      <c r="I69" s="1350"/>
      <c r="J69" s="1351"/>
      <c r="K69" s="1352"/>
      <c r="L69" s="1353"/>
      <c r="M69" s="368"/>
      <c r="N69" s="368"/>
      <c r="O69" s="368"/>
      <c r="P69" s="368"/>
      <c r="Q69" s="368"/>
      <c r="R69" s="368"/>
      <c r="S69" s="368"/>
      <c r="T69" s="368"/>
      <c r="U69" s="368"/>
      <c r="V69" s="368"/>
      <c r="W69" s="368"/>
      <c r="X69" s="368"/>
      <c r="Y69" s="368"/>
      <c r="Z69" s="368"/>
    </row>
    <row r="70" spans="1:26" ht="12.75" hidden="1" outlineLevel="1">
      <c r="A70" s="1366"/>
      <c r="B70" s="1329"/>
      <c r="C70" s="1344"/>
      <c r="D70" s="1354">
        <f>D67</f>
        <v>21.653999999999996</v>
      </c>
      <c r="E70" s="1367">
        <v>2</v>
      </c>
      <c r="F70" s="1368">
        <f>D70*E70</f>
        <v>43.307999999999993</v>
      </c>
      <c r="G70" s="1349"/>
      <c r="H70" s="1349"/>
      <c r="I70" s="1350"/>
      <c r="J70" s="1351"/>
      <c r="K70" s="1352"/>
      <c r="L70" s="1353"/>
      <c r="M70" s="368"/>
      <c r="N70" s="368"/>
      <c r="O70" s="368"/>
      <c r="P70" s="368"/>
      <c r="Q70" s="368"/>
      <c r="R70" s="368"/>
      <c r="S70" s="368"/>
      <c r="T70" s="368"/>
      <c r="U70" s="368"/>
      <c r="V70" s="368"/>
      <c r="W70" s="368"/>
      <c r="X70" s="368"/>
      <c r="Y70" s="368"/>
      <c r="Z70" s="368"/>
    </row>
    <row r="71" spans="1:26" ht="25.5" outlineLevel="1">
      <c r="A71" s="243" t="s">
        <v>12770</v>
      </c>
      <c r="B71" s="386">
        <v>98557</v>
      </c>
      <c r="C71" s="386" t="s">
        <v>14476</v>
      </c>
      <c r="D71" s="387" t="str">
        <f>IFERROR(VLOOKUP($B71,'24.08_ND'!$A:$D,2,0),IFERROR(VLOOKUP(#REF!,'03-CP'!$C$5:$H$4646,2,0),""))</f>
        <v>IMPERMEABILIZAÇÃO DE SUPERFÍCIE COM EMULSÃO ASFÁLTICA, 2 DEMÃOS. AF_09/2023</v>
      </c>
      <c r="E71" s="253" t="str">
        <f>IFERROR(VLOOKUP($B71,'24.08_ND'!$A:$D,3,0),IFERROR(VLOOKUP(#REF!,'03-CP'!$C$5:$H$4646,3,0),""))</f>
        <v>M2</v>
      </c>
      <c r="F71" s="389">
        <v>200.4</v>
      </c>
      <c r="G71" s="386"/>
      <c r="H71" s="386"/>
      <c r="I71" s="1316"/>
      <c r="J71" s="386"/>
      <c r="K71" s="386"/>
      <c r="L71" s="386" t="s">
        <v>16202</v>
      </c>
      <c r="M71" s="1296"/>
      <c r="N71" s="1290"/>
      <c r="O71" s="1296"/>
      <c r="P71" s="1296"/>
      <c r="Q71" s="1296"/>
      <c r="R71" s="1296"/>
      <c r="S71" s="1296"/>
      <c r="T71" s="1296"/>
      <c r="U71" s="262"/>
      <c r="V71" s="262"/>
      <c r="W71" s="262"/>
      <c r="X71" s="262"/>
      <c r="Y71" s="262"/>
      <c r="Z71" s="262"/>
    </row>
    <row r="72" spans="1:26" ht="21">
      <c r="A72" s="239" t="s">
        <v>12771</v>
      </c>
      <c r="B72" s="1309"/>
      <c r="C72" s="1309"/>
      <c r="D72" s="1310" t="s">
        <v>16217</v>
      </c>
      <c r="E72" s="1311"/>
      <c r="F72" s="1312"/>
      <c r="G72" s="1310"/>
      <c r="H72" s="1310"/>
      <c r="I72" s="1313"/>
      <c r="J72" s="512"/>
      <c r="K72" s="262"/>
      <c r="L72" s="386"/>
      <c r="M72" s="262"/>
      <c r="N72" s="1290"/>
      <c r="O72" s="262"/>
      <c r="P72" s="262"/>
      <c r="Q72" s="262"/>
      <c r="R72" s="262"/>
      <c r="S72" s="262"/>
      <c r="T72" s="262"/>
      <c r="U72" s="262"/>
      <c r="V72" s="262"/>
      <c r="W72" s="262"/>
      <c r="X72" s="262"/>
      <c r="Y72" s="262"/>
      <c r="Z72" s="262"/>
    </row>
    <row r="73" spans="1:26" ht="38.25" outlineLevel="1">
      <c r="A73" s="243" t="s">
        <v>12772</v>
      </c>
      <c r="B73" s="386">
        <v>92431</v>
      </c>
      <c r="C73" s="386" t="s">
        <v>14476</v>
      </c>
      <c r="D73" s="1314" t="str">
        <f>IFERROR(VLOOKUP($B73,'24.08_ND'!$A$4833:$D$12369,2,0),IFERROR(VLOOKUP($B73,'03-CP'!$C$5:$H$4646,2,0),""))</f>
        <v>MONTAGEM E DESMONTAGEM DE FÔRMA DE PILARES RETANGULARES E ESTRUTURAS SIMILARES, PÉ-DIREITO SIMPLES, EM CHAPA DE MADEIRA COMPENSADA PLASTIFICADA, 10 UTILIZAÇÕES. AF_09/2020</v>
      </c>
      <c r="E73" s="1315" t="str">
        <f>IFERROR(VLOOKUP($B73,'24.08_ND'!$A:$D,3,0),IFERROR(VLOOKUP($B73,'03-CP'!$C$5:$H$4646,3,0),""))</f>
        <v>M2</v>
      </c>
      <c r="F73" s="389">
        <v>47.95</v>
      </c>
      <c r="G73" s="386"/>
      <c r="H73" s="386"/>
      <c r="I73" s="1316"/>
      <c r="J73" s="386"/>
      <c r="K73" s="386"/>
      <c r="L73" s="386" t="s">
        <v>16202</v>
      </c>
      <c r="M73" s="1296"/>
      <c r="N73" s="1290"/>
      <c r="O73" s="1296"/>
      <c r="P73" s="1296"/>
      <c r="Q73" s="1296"/>
      <c r="R73" s="1296"/>
      <c r="S73" s="1296"/>
      <c r="T73" s="1296"/>
      <c r="U73" s="262"/>
      <c r="V73" s="262"/>
      <c r="W73" s="262"/>
      <c r="X73" s="262"/>
      <c r="Y73" s="262"/>
      <c r="Z73" s="262"/>
    </row>
    <row r="74" spans="1:26" ht="38.25" outlineLevel="1">
      <c r="A74" s="243" t="s">
        <v>12773</v>
      </c>
      <c r="B74" s="386">
        <v>92759</v>
      </c>
      <c r="C74" s="386" t="s">
        <v>14476</v>
      </c>
      <c r="D74" s="1314" t="str">
        <f>IFERROR(VLOOKUP($B74,'24.08_ND'!$A$4833:$D$12369,2,0),IFERROR(VLOOKUP($B74,'03-CP'!$C$5:$H$4646,2,0),""))</f>
        <v>ARMAÇÃO DE PILAR OU VIGA DE ESTRUTURA CONVENCIONAL DE CONCRETO ARMADO UTILIZANDO AÇO CA-60 DE 5,0 MM - MONTAGEM. AF_06/2022</v>
      </c>
      <c r="E74" s="1315" t="str">
        <f>IFERROR(VLOOKUP($B74,'24.08_ND'!$A:$D,3,0),IFERROR(VLOOKUP($B74,'03-CP'!$C$5:$H$4646,3,0),""))</f>
        <v>KG</v>
      </c>
      <c r="F74" s="389">
        <v>69.900000000000006</v>
      </c>
      <c r="G74" s="386"/>
      <c r="H74" s="386"/>
      <c r="I74" s="1316"/>
      <c r="J74" s="386"/>
      <c r="K74" s="386"/>
      <c r="L74" s="386" t="s">
        <v>16202</v>
      </c>
      <c r="M74" s="262"/>
      <c r="N74" s="1290"/>
      <c r="O74" s="262"/>
      <c r="P74" s="262"/>
      <c r="Q74" s="262"/>
      <c r="R74" s="262"/>
      <c r="S74" s="262"/>
      <c r="T74" s="262"/>
      <c r="U74" s="262"/>
      <c r="V74" s="262"/>
      <c r="W74" s="262"/>
      <c r="X74" s="262"/>
      <c r="Y74" s="262"/>
      <c r="Z74" s="262"/>
    </row>
    <row r="75" spans="1:26" ht="38.25" outlineLevel="1">
      <c r="A75" s="243" t="s">
        <v>12774</v>
      </c>
      <c r="B75" s="386">
        <v>92762</v>
      </c>
      <c r="C75" s="386" t="s">
        <v>14476</v>
      </c>
      <c r="D75" s="1314" t="str">
        <f>IFERROR(VLOOKUP($B75,'24.08_ND'!$A$4833:$D$12369,2,0),IFERROR(VLOOKUP($B75,'03-CP'!$C$5:$H$4646,2,0),""))</f>
        <v>ARMAÇÃO DE PILAR OU VIGA DE ESTRUTURA CONVENCIONAL DE CONCRETO ARMADO UTILIZANDO AÇO CA-50 DE 10,0 MM - MONTAGEM. AF_06/2022</v>
      </c>
      <c r="E75" s="1315" t="str">
        <f>IFERROR(VLOOKUP($B75,'24.08_ND'!$A:$D,3,0),IFERROR(VLOOKUP($B75,'03-CP'!$C$5:$H$4646,3,0),""))</f>
        <v>KG</v>
      </c>
      <c r="F75" s="389">
        <v>198</v>
      </c>
      <c r="G75" s="386"/>
      <c r="H75" s="386"/>
      <c r="I75" s="1316"/>
      <c r="J75" s="386"/>
      <c r="K75" s="386"/>
      <c r="L75" s="386" t="s">
        <v>16202</v>
      </c>
      <c r="M75" s="262"/>
      <c r="N75" s="1290"/>
      <c r="O75" s="262"/>
      <c r="P75" s="262"/>
      <c r="Q75" s="262"/>
      <c r="R75" s="262"/>
      <c r="S75" s="262"/>
      <c r="T75" s="262"/>
      <c r="U75" s="262"/>
      <c r="V75" s="262"/>
      <c r="W75" s="262"/>
      <c r="X75" s="262"/>
      <c r="Y75" s="262"/>
      <c r="Z75" s="262"/>
    </row>
    <row r="76" spans="1:26" ht="25.5" outlineLevel="1">
      <c r="A76" s="243" t="s">
        <v>12775</v>
      </c>
      <c r="B76" s="386" t="s">
        <v>14620</v>
      </c>
      <c r="C76" s="386" t="s">
        <v>14472</v>
      </c>
      <c r="D76" s="1314" t="str">
        <f>IFERROR(VLOOKUP($B76,'24.08_ND'!$A$4833:$D$12369,2,0),IFERROR(VLOOKUP($B76,'03-CP'!$C$5:$H$4646,2,0),""))</f>
        <v>CONCRETAGEM DE PILARES, FCK=30 MPA - LANÇAMENTO, ADENSAMENTO E ACABAMENTO</v>
      </c>
      <c r="E76" s="1315" t="str">
        <f>IFERROR(VLOOKUP($B76,'24.08_ND'!$A:$D,3,0),IFERROR(VLOOKUP($B76,'03-CP'!$C$5:$H$4646,3,0),""))</f>
        <v>M3</v>
      </c>
      <c r="F76" s="389">
        <v>2.5299999999999998</v>
      </c>
      <c r="G76" s="386"/>
      <c r="H76" s="386"/>
      <c r="I76" s="1316"/>
      <c r="J76" s="386"/>
      <c r="K76" s="386"/>
      <c r="L76" s="386" t="s">
        <v>16202</v>
      </c>
      <c r="M76" s="1296"/>
      <c r="N76" s="1290"/>
      <c r="O76" s="1296"/>
      <c r="P76" s="1296"/>
      <c r="Q76" s="1296"/>
      <c r="R76" s="1296"/>
      <c r="S76" s="1296"/>
      <c r="T76" s="1296"/>
      <c r="U76" s="262"/>
      <c r="V76" s="262"/>
      <c r="W76" s="262"/>
      <c r="X76" s="262"/>
      <c r="Y76" s="262"/>
      <c r="Z76" s="262"/>
    </row>
    <row r="77" spans="1:26" ht="21">
      <c r="A77" s="239" t="s">
        <v>12776</v>
      </c>
      <c r="B77" s="1309"/>
      <c r="C77" s="1309"/>
      <c r="D77" s="1310" t="s">
        <v>16218</v>
      </c>
      <c r="E77" s="1311"/>
      <c r="F77" s="1312"/>
      <c r="G77" s="1310"/>
      <c r="H77" s="1310"/>
      <c r="I77" s="1313"/>
      <c r="J77" s="512"/>
      <c r="K77" s="262"/>
      <c r="L77" s="386"/>
      <c r="M77" s="262"/>
      <c r="N77" s="1290"/>
      <c r="O77" s="262"/>
      <c r="P77" s="262"/>
      <c r="Q77" s="262"/>
      <c r="R77" s="262"/>
      <c r="S77" s="262"/>
      <c r="T77" s="262"/>
      <c r="U77" s="262"/>
      <c r="V77" s="262"/>
      <c r="W77" s="262"/>
      <c r="X77" s="262"/>
      <c r="Y77" s="262"/>
      <c r="Z77" s="262"/>
    </row>
    <row r="78" spans="1:26" ht="38.25" outlineLevel="1">
      <c r="A78" s="243" t="s">
        <v>12777</v>
      </c>
      <c r="B78" s="386">
        <v>92468</v>
      </c>
      <c r="C78" s="386" t="s">
        <v>14476</v>
      </c>
      <c r="D78" s="1314" t="str">
        <f>IFERROR(VLOOKUP($B78,'24.08_ND'!$A$4833:$D$12369,2,0),IFERROR(VLOOKUP($B78,'03-CP'!$C$5:$H$4646,2,0),""))</f>
        <v>MONTAGEM E DESMONTAGEM DE FÔRMA DE VIGA, ESCORAMENTO METÁLICO, PÉ-DIREITO SIMPLES, EM CHAPA DE MADEIRA PLASTIFICADA, 10 UTILIZAÇÕES. AF_09/2020</v>
      </c>
      <c r="E78" s="1315" t="str">
        <f>IFERROR(VLOOKUP($B78,'24.08_ND'!$A:$D,3,0),IFERROR(VLOOKUP($B78,'03-CP'!$C$5:$H$4646,3,0),""))</f>
        <v>M2</v>
      </c>
      <c r="F78" s="389">
        <v>77.930000000000007</v>
      </c>
      <c r="G78" s="386"/>
      <c r="H78" s="386"/>
      <c r="I78" s="1316"/>
      <c r="J78" s="386"/>
      <c r="K78" s="386"/>
      <c r="L78" s="386" t="s">
        <v>16202</v>
      </c>
      <c r="M78" s="262"/>
      <c r="N78" s="1290"/>
      <c r="O78" s="262"/>
      <c r="P78" s="262"/>
      <c r="Q78" s="262"/>
      <c r="R78" s="262"/>
      <c r="S78" s="262"/>
      <c r="T78" s="262"/>
      <c r="U78" s="262"/>
      <c r="V78" s="262"/>
      <c r="W78" s="262"/>
      <c r="X78" s="262"/>
      <c r="Y78" s="262"/>
      <c r="Z78" s="262"/>
    </row>
    <row r="79" spans="1:26" ht="38.25" outlineLevel="1">
      <c r="A79" s="243" t="s">
        <v>12778</v>
      </c>
      <c r="B79" s="386">
        <v>92759</v>
      </c>
      <c r="C79" s="386" t="s">
        <v>14476</v>
      </c>
      <c r="D79" s="1314" t="str">
        <f>IFERROR(VLOOKUP($B79,'24.08_ND'!$A$4833:$D$12369,2,0),IFERROR(VLOOKUP($B79,'03-CP'!$C$5:$H$4646,2,0),""))</f>
        <v>ARMAÇÃO DE PILAR OU VIGA DE ESTRUTURA CONVENCIONAL DE CONCRETO ARMADO UTILIZANDO AÇO CA-60 DE 5,0 MM - MONTAGEM. AF_06/2022</v>
      </c>
      <c r="E79" s="1315" t="str">
        <f>IFERROR(VLOOKUP($B79,'24.08_ND'!$A:$D,3,0),IFERROR(VLOOKUP($B79,'03-CP'!$C$5:$H$4646,3,0),""))</f>
        <v>KG</v>
      </c>
      <c r="F79" s="389">
        <v>98.2</v>
      </c>
      <c r="G79" s="386"/>
      <c r="H79" s="386"/>
      <c r="I79" s="1316"/>
      <c r="J79" s="386"/>
      <c r="K79" s="386"/>
      <c r="L79" s="386" t="s">
        <v>16202</v>
      </c>
      <c r="M79" s="1296"/>
      <c r="N79" s="1290"/>
      <c r="O79" s="1296"/>
      <c r="P79" s="1296"/>
      <c r="Q79" s="1296"/>
      <c r="R79" s="1296"/>
      <c r="S79" s="1296"/>
      <c r="T79" s="1296"/>
      <c r="U79" s="262"/>
      <c r="V79" s="262"/>
      <c r="W79" s="262"/>
      <c r="X79" s="262"/>
      <c r="Y79" s="262"/>
      <c r="Z79" s="262"/>
    </row>
    <row r="80" spans="1:26" ht="38.25" outlineLevel="1">
      <c r="A80" s="243" t="s">
        <v>12779</v>
      </c>
      <c r="B80" s="386">
        <v>92760</v>
      </c>
      <c r="C80" s="386" t="s">
        <v>14476</v>
      </c>
      <c r="D80" s="1314" t="str">
        <f>IFERROR(VLOOKUP($B80,'24.08_ND'!$A$4833:$D$12369,2,0),IFERROR(VLOOKUP($B80,'03-CP'!$C$5:$H$4646,2,0),""))</f>
        <v>ARMAÇÃO DE PILAR OU VIGA DE ESTRUTURA CONVENCIONAL DE CONCRETO ARMADO UTILIZANDO AÇO CA-50 DE 6,3 MM - MONTAGEM. AF_06/2022</v>
      </c>
      <c r="E80" s="1315" t="str">
        <f>IFERROR(VLOOKUP($B80,'24.08_ND'!$A:$D,3,0),IFERROR(VLOOKUP($B80,'03-CP'!$C$5:$H$4646,3,0),""))</f>
        <v>KG</v>
      </c>
      <c r="F80" s="389">
        <v>2.7</v>
      </c>
      <c r="G80" s="386"/>
      <c r="H80" s="386"/>
      <c r="I80" s="1316"/>
      <c r="J80" s="386"/>
      <c r="K80" s="386"/>
      <c r="L80" s="386" t="s">
        <v>16202</v>
      </c>
      <c r="M80" s="262"/>
      <c r="N80" s="1290"/>
      <c r="O80" s="262"/>
      <c r="P80" s="262"/>
      <c r="Q80" s="262"/>
      <c r="R80" s="262"/>
      <c r="S80" s="262"/>
      <c r="T80" s="262"/>
      <c r="U80" s="262"/>
      <c r="V80" s="262"/>
      <c r="W80" s="262"/>
      <c r="X80" s="262"/>
      <c r="Y80" s="262"/>
      <c r="Z80" s="262"/>
    </row>
    <row r="81" spans="1:26" ht="38.25" outlineLevel="1">
      <c r="A81" s="243" t="s">
        <v>12780</v>
      </c>
      <c r="B81" s="386">
        <v>92761</v>
      </c>
      <c r="C81" s="386" t="s">
        <v>14476</v>
      </c>
      <c r="D81" s="1314" t="str">
        <f>IFERROR(VLOOKUP($B81,'24.08_ND'!$A$4833:$D$12369,2,0),IFERROR(VLOOKUP($B81,'03-CP'!$C$5:$H$4646,2,0),""))</f>
        <v>ARMAÇÃO DE PILAR OU VIGA DE ESTRUTURA CONVENCIONAL DE CONCRETO ARMADO UTILIZANDO AÇO CA-50 DE 8,0 MM - MONTAGEM. AF_06/2022</v>
      </c>
      <c r="E81" s="1315" t="str">
        <f>IFERROR(VLOOKUP($B81,'24.08_ND'!$A:$D,3,0),IFERROR(VLOOKUP($B81,'03-CP'!$C$5:$H$4646,3,0),""))</f>
        <v>KG</v>
      </c>
      <c r="F81" s="389">
        <v>154.80000000000001</v>
      </c>
      <c r="G81" s="386"/>
      <c r="H81" s="386"/>
      <c r="I81" s="1316"/>
      <c r="J81" s="386"/>
      <c r="K81" s="386"/>
      <c r="L81" s="386" t="s">
        <v>16202</v>
      </c>
      <c r="M81" s="262"/>
      <c r="N81" s="1290"/>
      <c r="O81" s="262"/>
      <c r="P81" s="262"/>
      <c r="Q81" s="262"/>
      <c r="R81" s="262"/>
      <c r="S81" s="262"/>
      <c r="T81" s="262"/>
      <c r="U81" s="262"/>
      <c r="V81" s="262"/>
      <c r="W81" s="262"/>
      <c r="X81" s="262"/>
      <c r="Y81" s="262"/>
      <c r="Z81" s="262"/>
    </row>
    <row r="82" spans="1:26" ht="38.25" outlineLevel="1">
      <c r="A82" s="243" t="s">
        <v>12781</v>
      </c>
      <c r="B82" s="386">
        <v>92762</v>
      </c>
      <c r="C82" s="386" t="s">
        <v>14476</v>
      </c>
      <c r="D82" s="1314" t="str">
        <f>IFERROR(VLOOKUP($B82,'24.08_ND'!$A$4833:$D$12369,2,0),IFERROR(VLOOKUP($B82,'03-CP'!$C$5:$H$4646,2,0),""))</f>
        <v>ARMAÇÃO DE PILAR OU VIGA DE ESTRUTURA CONVENCIONAL DE CONCRETO ARMADO UTILIZANDO AÇO CA-50 DE 10,0 MM - MONTAGEM. AF_06/2022</v>
      </c>
      <c r="E82" s="1315" t="str">
        <f>IFERROR(VLOOKUP($B82,'24.08_ND'!$A:$D,3,0),IFERROR(VLOOKUP($B82,'03-CP'!$C$5:$H$4646,3,0),""))</f>
        <v>KG</v>
      </c>
      <c r="F82" s="389">
        <v>26.1</v>
      </c>
      <c r="G82" s="386"/>
      <c r="H82" s="386"/>
      <c r="I82" s="1316"/>
      <c r="J82" s="386"/>
      <c r="K82" s="386"/>
      <c r="L82" s="386" t="s">
        <v>16202</v>
      </c>
      <c r="M82" s="1296"/>
      <c r="N82" s="1290"/>
      <c r="O82" s="1296"/>
      <c r="P82" s="1296"/>
      <c r="Q82" s="1296"/>
      <c r="R82" s="1296"/>
      <c r="S82" s="1296"/>
      <c r="T82" s="1296"/>
      <c r="U82" s="262"/>
      <c r="V82" s="262"/>
      <c r="W82" s="262"/>
      <c r="X82" s="262"/>
      <c r="Y82" s="262"/>
      <c r="Z82" s="262"/>
    </row>
    <row r="83" spans="1:26" ht="38.25" outlineLevel="1">
      <c r="A83" s="243" t="s">
        <v>12782</v>
      </c>
      <c r="B83" s="386">
        <v>92763</v>
      </c>
      <c r="C83" s="386" t="s">
        <v>14476</v>
      </c>
      <c r="D83" s="1314" t="str">
        <f>IFERROR(VLOOKUP($B83,'24.08_ND'!$A$4833:$D$12369,2,0),IFERROR(VLOOKUP($B83,'03-CP'!$C$5:$H$4646,2,0),""))</f>
        <v>ARMAÇÃO DE PILAR OU VIGA DE ESTRUTURA CONVENCIONAL DE CONCRETO ARMADO UTILIZANDO AÇO CA-50 DE 12,5 MM - MONTAGEM. AF_06/2022</v>
      </c>
      <c r="E83" s="1315" t="str">
        <f>IFERROR(VLOOKUP($B83,'24.08_ND'!$A:$D,3,0),IFERROR(VLOOKUP($B83,'03-CP'!$C$5:$H$4646,3,0),""))</f>
        <v>KG</v>
      </c>
      <c r="F83" s="389">
        <v>22.3</v>
      </c>
      <c r="G83" s="386"/>
      <c r="H83" s="386"/>
      <c r="I83" s="1316"/>
      <c r="J83" s="386"/>
      <c r="K83" s="386"/>
      <c r="L83" s="386" t="s">
        <v>16202</v>
      </c>
      <c r="M83" s="262"/>
      <c r="N83" s="1290"/>
      <c r="O83" s="262"/>
      <c r="P83" s="262"/>
      <c r="Q83" s="262"/>
      <c r="R83" s="262"/>
      <c r="S83" s="262"/>
      <c r="T83" s="262"/>
      <c r="U83" s="262"/>
      <c r="V83" s="262"/>
      <c r="W83" s="262"/>
      <c r="X83" s="262"/>
      <c r="Y83" s="262"/>
      <c r="Z83" s="262"/>
    </row>
    <row r="84" spans="1:26" ht="38.25" outlineLevel="1">
      <c r="A84" s="243" t="s">
        <v>12783</v>
      </c>
      <c r="B84" s="386" t="s">
        <v>14622</v>
      </c>
      <c r="C84" s="386" t="s">
        <v>14472</v>
      </c>
      <c r="D84" s="1314" t="str">
        <f>IFERROR(VLOOKUP($B84,'24.08_ND'!$A$4833:$D$12369,2,0),IFERROR(VLOOKUP($B84,'03-CP'!$C$5:$H$4646,2,0),""))</f>
        <v>CONCRETAGEM DE VIGAS E LAJES, FCK=30 MPA, PARA LAJES MACIÇAS OU NERVURADAS COM USO DE BOMBAS - LANÇAMENTO, ADENSAMENTO E ACABAMENTO</v>
      </c>
      <c r="E84" s="1315" t="str">
        <f>IFERROR(VLOOKUP($B84,'24.08_ND'!$A:$D,3,0),IFERROR(VLOOKUP($B84,'03-CP'!$C$5:$H$4646,3,0),""))</f>
        <v>M3</v>
      </c>
      <c r="F84" s="389">
        <v>5.23</v>
      </c>
      <c r="G84" s="386"/>
      <c r="H84" s="386"/>
      <c r="I84" s="1316"/>
      <c r="J84" s="386"/>
      <c r="K84" s="386"/>
      <c r="L84" s="386" t="s">
        <v>16202</v>
      </c>
      <c r="M84" s="262"/>
      <c r="N84" s="1290"/>
      <c r="O84" s="262"/>
      <c r="P84" s="262"/>
      <c r="Q84" s="262"/>
      <c r="R84" s="262"/>
      <c r="S84" s="262"/>
      <c r="T84" s="262"/>
      <c r="U84" s="262"/>
      <c r="V84" s="262"/>
      <c r="W84" s="262"/>
      <c r="X84" s="262"/>
      <c r="Y84" s="262"/>
      <c r="Z84" s="262"/>
    </row>
    <row r="85" spans="1:26" ht="21">
      <c r="A85" s="239" t="s">
        <v>12784</v>
      </c>
      <c r="B85" s="1309"/>
      <c r="C85" s="1309"/>
      <c r="D85" s="1310" t="s">
        <v>16219</v>
      </c>
      <c r="E85" s="1311"/>
      <c r="F85" s="1312"/>
      <c r="G85" s="1310"/>
      <c r="H85" s="1310"/>
      <c r="I85" s="1313"/>
      <c r="J85" s="512"/>
      <c r="K85" s="262"/>
      <c r="L85" s="1297"/>
      <c r="M85" s="1296"/>
      <c r="N85" s="1290"/>
      <c r="O85" s="1296"/>
      <c r="P85" s="1296"/>
      <c r="Q85" s="1296"/>
      <c r="R85" s="1296"/>
      <c r="S85" s="1296"/>
      <c r="T85" s="1296"/>
      <c r="U85" s="262"/>
      <c r="V85" s="262"/>
      <c r="W85" s="262"/>
      <c r="X85" s="262"/>
      <c r="Y85" s="262"/>
      <c r="Z85" s="262"/>
    </row>
    <row r="86" spans="1:26" ht="38.25" outlineLevel="1">
      <c r="A86" s="243" t="s">
        <v>12785</v>
      </c>
      <c r="B86" s="386" t="s">
        <v>14640</v>
      </c>
      <c r="C86" s="386" t="s">
        <v>14472</v>
      </c>
      <c r="D86" s="1314" t="str">
        <f>IFERROR(VLOOKUP($B86,'24.08_ND'!$A$4833:$D$12369,2,0),IFERROR(VLOOKUP($B86,'03-CP'!$C$5:$H$4646,2,0),""))</f>
        <v>LAJE TRELIÇADA UNIDIRECIONAL COM TRELIÇA TR126545 - LAJOTA DE EPS ESPECIAL H12 - 12X30X125CM - CAPA DE 4CM FCK 30MPA - TELA DE AÇO SOLDADA NERVURADA Q61</v>
      </c>
      <c r="E86" s="1315" t="str">
        <f>IFERROR(VLOOKUP($B86,'24.08_ND'!$A:$D,3,0),IFERROR(VLOOKUP($B86,'03-CP'!$C$5:$H$4646,3,0),""))</f>
        <v>M2</v>
      </c>
      <c r="F86" s="389">
        <v>12.93</v>
      </c>
      <c r="G86" s="386"/>
      <c r="H86" s="386"/>
      <c r="I86" s="1316"/>
      <c r="J86" s="386"/>
      <c r="K86" s="386"/>
      <c r="L86" s="386" t="s">
        <v>16202</v>
      </c>
      <c r="M86" s="262"/>
      <c r="N86" s="1290"/>
      <c r="O86" s="262"/>
      <c r="P86" s="262"/>
      <c r="Q86" s="262"/>
      <c r="R86" s="262"/>
      <c r="S86" s="262"/>
      <c r="T86" s="262"/>
      <c r="U86" s="262"/>
      <c r="V86" s="262"/>
      <c r="W86" s="262"/>
      <c r="X86" s="262"/>
      <c r="Y86" s="262"/>
      <c r="Z86" s="262"/>
    </row>
    <row r="87" spans="1:26" ht="38.25" outlineLevel="1">
      <c r="A87" s="243" t="s">
        <v>12786</v>
      </c>
      <c r="B87" s="386" t="s">
        <v>14640</v>
      </c>
      <c r="C87" s="386" t="s">
        <v>14472</v>
      </c>
      <c r="D87" s="1314" t="str">
        <f>IFERROR(VLOOKUP($B87,'24.08_ND'!$A$4833:$D$12369,2,0),IFERROR(VLOOKUP($B87,'03-CP'!$C$5:$H$4646,2,0),""))</f>
        <v>LAJE TRELIÇADA UNIDIRECIONAL COM TRELIÇA TR126545 - LAJOTA DE EPS ESPECIAL H12 - 12X30X125CM - CAPA DE 4CM FCK 30MPA - TELA DE AÇO SOLDADA NERVURADA Q61</v>
      </c>
      <c r="E87" s="1315" t="str">
        <f>IFERROR(VLOOKUP($B87,'24.08_ND'!$A:$D,3,0),IFERROR(VLOOKUP($B87,'03-CP'!$C$5:$H$4646,3,0),""))</f>
        <v>M2</v>
      </c>
      <c r="F87" s="389">
        <v>24.87</v>
      </c>
      <c r="G87" s="386"/>
      <c r="H87" s="386"/>
      <c r="I87" s="1316"/>
      <c r="J87" s="386"/>
      <c r="K87" s="386"/>
      <c r="L87" s="386" t="s">
        <v>16202</v>
      </c>
      <c r="M87" s="262"/>
      <c r="N87" s="1290"/>
      <c r="O87" s="262"/>
      <c r="P87" s="262"/>
      <c r="Q87" s="262"/>
      <c r="R87" s="262"/>
      <c r="S87" s="262"/>
      <c r="T87" s="262"/>
      <c r="U87" s="262"/>
      <c r="V87" s="262"/>
      <c r="W87" s="262"/>
      <c r="X87" s="262"/>
      <c r="Y87" s="262"/>
      <c r="Z87" s="262"/>
    </row>
    <row r="88" spans="1:26" ht="21">
      <c r="A88" s="239" t="s">
        <v>12787</v>
      </c>
      <c r="B88" s="1309"/>
      <c r="C88" s="1309"/>
      <c r="D88" s="1310" t="s">
        <v>16220</v>
      </c>
      <c r="E88" s="1311"/>
      <c r="F88" s="1312"/>
      <c r="G88" s="1310"/>
      <c r="H88" s="1310"/>
      <c r="I88" s="1313"/>
      <c r="J88" s="512"/>
      <c r="K88" s="262"/>
      <c r="L88" s="1297"/>
      <c r="M88" s="1296"/>
      <c r="N88" s="1290"/>
      <c r="O88" s="1296"/>
      <c r="P88" s="1296"/>
      <c r="Q88" s="1296"/>
      <c r="R88" s="1296"/>
      <c r="S88" s="1296"/>
      <c r="T88" s="1296"/>
      <c r="U88" s="262"/>
      <c r="V88" s="262"/>
      <c r="W88" s="262"/>
      <c r="X88" s="262"/>
      <c r="Y88" s="262"/>
      <c r="Z88" s="262"/>
    </row>
    <row r="89" spans="1:26" ht="38.25" outlineLevel="1">
      <c r="A89" s="241" t="s">
        <v>12788</v>
      </c>
      <c r="B89" s="386">
        <v>102043</v>
      </c>
      <c r="C89" s="386" t="s">
        <v>14476</v>
      </c>
      <c r="D89" s="1314" t="str">
        <f>IFERROR(VLOOKUP($B89,'24.08_ND'!$A$4833:$D$12369,2,0),IFERROR(VLOOKUP($B89,'03-CP'!$C$5:$H$4646,2,0),""))</f>
        <v>MONTAGEM E DESMONTAGEM DE FÔRMA PARA ESCADAS, COM 1 LANCE E LAJE PLANA, EM CHAPA DE MADEIRA COMPENSADA PLASTIFICADA, 6 UTILIZAÇÕES. AF_11/2020</v>
      </c>
      <c r="E89" s="1315" t="str">
        <f>IFERROR(VLOOKUP($B89,'24.08_ND'!$A:$D,3,0),IFERROR(VLOOKUP($B89,'03-CP'!$C$5:$H$4646,3,0),""))</f>
        <v>M2</v>
      </c>
      <c r="F89" s="389">
        <v>9.25</v>
      </c>
      <c r="G89" s="386"/>
      <c r="H89" s="386"/>
      <c r="I89" s="1316"/>
      <c r="J89" s="386"/>
      <c r="K89" s="386"/>
      <c r="L89" s="386" t="s">
        <v>16202</v>
      </c>
      <c r="M89" s="262"/>
      <c r="N89" s="1290"/>
      <c r="O89" s="262"/>
      <c r="P89" s="262"/>
      <c r="Q89" s="262"/>
      <c r="R89" s="262"/>
      <c r="S89" s="262"/>
      <c r="T89" s="262"/>
      <c r="U89" s="262"/>
      <c r="V89" s="262"/>
      <c r="W89" s="262"/>
      <c r="X89" s="262"/>
      <c r="Y89" s="262"/>
      <c r="Z89" s="262"/>
    </row>
    <row r="90" spans="1:26" ht="25.5" outlineLevel="1">
      <c r="A90" s="241" t="s">
        <v>12789</v>
      </c>
      <c r="B90" s="386">
        <v>95944</v>
      </c>
      <c r="C90" s="386" t="s">
        <v>14476</v>
      </c>
      <c r="D90" s="1314" t="str">
        <f>IFERROR(VLOOKUP($B90,'24.08_ND'!$A$4833:$D$12369,2,0),IFERROR(VLOOKUP($B90,'03-CP'!$C$5:$H$4646,2,0),""))</f>
        <v>ARMAÇÃO DE ESCADA, DE UMA ESTRUTURA CONVENCIONAL DE CONCRETO ARMADO UTILIZANDO AÇO CA-50 DE 6,3 MM - MONTAGEM. AF_11/2020</v>
      </c>
      <c r="E90" s="1315" t="str">
        <f>IFERROR(VLOOKUP($B90,'24.08_ND'!$A:$D,3,0),IFERROR(VLOOKUP($B90,'03-CP'!$C$5:$H$4646,3,0),""))</f>
        <v>KG</v>
      </c>
      <c r="F90" s="389">
        <v>15.9</v>
      </c>
      <c r="G90" s="386"/>
      <c r="H90" s="386"/>
      <c r="I90" s="1316"/>
      <c r="J90" s="386"/>
      <c r="K90" s="386"/>
      <c r="L90" s="386" t="s">
        <v>16202</v>
      </c>
      <c r="M90" s="262"/>
      <c r="N90" s="1290"/>
      <c r="O90" s="262"/>
      <c r="P90" s="262"/>
      <c r="Q90" s="262"/>
      <c r="R90" s="262"/>
      <c r="S90" s="262"/>
      <c r="T90" s="262"/>
      <c r="U90" s="262"/>
      <c r="V90" s="262"/>
      <c r="W90" s="262"/>
      <c r="X90" s="262"/>
      <c r="Y90" s="262"/>
      <c r="Z90" s="262"/>
    </row>
    <row r="91" spans="1:26" ht="25.5" outlineLevel="1">
      <c r="A91" s="241" t="s">
        <v>12790</v>
      </c>
      <c r="B91" s="386">
        <v>95945</v>
      </c>
      <c r="C91" s="386" t="s">
        <v>14476</v>
      </c>
      <c r="D91" s="1314" t="str">
        <f>IFERROR(VLOOKUP($B91,'24.08_ND'!$A$4833:$D$12369,2,0),IFERROR(VLOOKUP($B91,'03-CP'!$C$5:$H$4646,2,0),""))</f>
        <v>ARMAÇÃO DE ESCADA, DE UMA ESTRUTURA CONVENCIONAL DE CONCRETO ARMADO UTILIZANDO AÇO CA-50 DE 8,0 MM - MONTAGEM. AF_11/2020</v>
      </c>
      <c r="E91" s="1315" t="str">
        <f>IFERROR(VLOOKUP($B91,'24.08_ND'!$A:$D,3,0),IFERROR(VLOOKUP($B91,'03-CP'!$C$5:$H$4646,3,0),""))</f>
        <v>KG</v>
      </c>
      <c r="F91" s="389">
        <v>23.6</v>
      </c>
      <c r="G91" s="386"/>
      <c r="H91" s="386"/>
      <c r="I91" s="1316"/>
      <c r="J91" s="386"/>
      <c r="K91" s="386"/>
      <c r="L91" s="386" t="s">
        <v>16202</v>
      </c>
      <c r="M91" s="1296"/>
      <c r="N91" s="1290"/>
      <c r="O91" s="1296"/>
      <c r="P91" s="1296"/>
      <c r="Q91" s="1296"/>
      <c r="R91" s="1296"/>
      <c r="S91" s="1296"/>
      <c r="T91" s="1296"/>
      <c r="U91" s="262"/>
      <c r="V91" s="262"/>
      <c r="W91" s="262"/>
      <c r="X91" s="262"/>
      <c r="Y91" s="262"/>
      <c r="Z91" s="262"/>
    </row>
    <row r="92" spans="1:26" ht="38.25" outlineLevel="1">
      <c r="A92" s="241" t="s">
        <v>12791</v>
      </c>
      <c r="B92" s="386" t="s">
        <v>14622</v>
      </c>
      <c r="C92" s="386" t="s">
        <v>14472</v>
      </c>
      <c r="D92" s="1314" t="str">
        <f>IFERROR(VLOOKUP($B92,'24.08_ND'!$A$4833:$D$12369,2,0),IFERROR(VLOOKUP($B92,'03-CP'!$C$5:$H$4646,2,0),""))</f>
        <v>CONCRETAGEM DE VIGAS E LAJES, FCK=30 MPA, PARA LAJES MACIÇAS OU NERVURADAS COM USO DE BOMBAS - LANÇAMENTO, ADENSAMENTO E ACABAMENTO</v>
      </c>
      <c r="E92" s="1315" t="str">
        <f>IFERROR(VLOOKUP($B92,'24.08_ND'!$A:$D,3,0),IFERROR(VLOOKUP($B92,'03-CP'!$C$5:$H$4646,3,0),""))</f>
        <v>M3</v>
      </c>
      <c r="F92" s="389">
        <v>1.1000000000000001</v>
      </c>
      <c r="G92" s="386"/>
      <c r="H92" s="386"/>
      <c r="I92" s="1316"/>
      <c r="J92" s="386"/>
      <c r="K92" s="386"/>
      <c r="L92" s="386" t="s">
        <v>16202</v>
      </c>
      <c r="M92" s="262"/>
      <c r="N92" s="1290"/>
      <c r="O92" s="262"/>
      <c r="P92" s="262"/>
      <c r="Q92" s="262"/>
      <c r="R92" s="262"/>
      <c r="S92" s="262"/>
      <c r="T92" s="262"/>
      <c r="U92" s="262"/>
      <c r="V92" s="262"/>
      <c r="W92" s="262"/>
      <c r="X92" s="262"/>
      <c r="Y92" s="262"/>
      <c r="Z92" s="262"/>
    </row>
    <row r="93" spans="1:26" ht="21">
      <c r="A93" s="239" t="s">
        <v>12792</v>
      </c>
      <c r="B93" s="1309"/>
      <c r="C93" s="1309"/>
      <c r="D93" s="1310" t="s">
        <v>16221</v>
      </c>
      <c r="E93" s="1311"/>
      <c r="F93" s="1312"/>
      <c r="G93" s="1310"/>
      <c r="H93" s="1310"/>
      <c r="I93" s="1313"/>
      <c r="J93" s="512"/>
      <c r="K93" s="262"/>
      <c r="L93" s="1297" t="s">
        <v>16199</v>
      </c>
      <c r="M93" s="1296" t="s">
        <v>16200</v>
      </c>
      <c r="N93" s="1290"/>
      <c r="O93" s="1296"/>
      <c r="P93" s="1296"/>
      <c r="Q93" s="1296"/>
      <c r="R93" s="1296"/>
      <c r="S93" s="1296"/>
      <c r="T93" s="1296"/>
      <c r="U93" s="262"/>
      <c r="V93" s="262"/>
      <c r="W93" s="262"/>
      <c r="X93" s="262"/>
      <c r="Y93" s="262"/>
      <c r="Z93" s="262"/>
    </row>
    <row r="94" spans="1:26" ht="38.25" outlineLevel="1">
      <c r="A94" s="243" t="s">
        <v>12793</v>
      </c>
      <c r="B94" s="386">
        <v>92431</v>
      </c>
      <c r="C94" s="386" t="s">
        <v>14476</v>
      </c>
      <c r="D94" s="1314" t="str">
        <f>IFERROR(VLOOKUP($B94,'24.08_ND'!$A$4833:$D$12369,2,0),IFERROR(VLOOKUP($B94,'03-CP'!$C$5:$H$4646,2,0),""))</f>
        <v>MONTAGEM E DESMONTAGEM DE FÔRMA DE PILARES RETANGULARES E ESTRUTURAS SIMILARES, PÉ-DIREITO SIMPLES, EM CHAPA DE MADEIRA COMPENSADA PLASTIFICADA, 10 UTILIZAÇÕES. AF_09/2020</v>
      </c>
      <c r="E94" s="1315" t="str">
        <f>IFERROR(VLOOKUP($B94,'24.08_ND'!$A:$D,3,0),IFERROR(VLOOKUP($B94,'03-CP'!$C$5:$H$4646,3,0),""))</f>
        <v>M2</v>
      </c>
      <c r="F94" s="389">
        <v>17.760000000000002</v>
      </c>
      <c r="G94" s="386"/>
      <c r="H94" s="386"/>
      <c r="I94" s="1316"/>
      <c r="J94" s="386"/>
      <c r="K94" s="386"/>
      <c r="L94" s="386" t="s">
        <v>16202</v>
      </c>
      <c r="M94" s="262"/>
      <c r="N94" s="1290"/>
      <c r="O94" s="262"/>
      <c r="P94" s="262"/>
      <c r="Q94" s="262"/>
      <c r="R94" s="262"/>
      <c r="S94" s="262"/>
      <c r="T94" s="262"/>
      <c r="U94" s="262"/>
      <c r="V94" s="262"/>
      <c r="W94" s="262"/>
      <c r="X94" s="262"/>
      <c r="Y94" s="262"/>
      <c r="Z94" s="262"/>
    </row>
    <row r="95" spans="1:26" ht="38.25" outlineLevel="1">
      <c r="A95" s="243" t="s">
        <v>12794</v>
      </c>
      <c r="B95" s="386">
        <v>92759</v>
      </c>
      <c r="C95" s="386" t="s">
        <v>14476</v>
      </c>
      <c r="D95" s="1314" t="str">
        <f>IFERROR(VLOOKUP($B95,'24.08_ND'!$A$4833:$D$12369,2,0),IFERROR(VLOOKUP($B95,'03-CP'!$C$5:$H$4646,2,0),""))</f>
        <v>ARMAÇÃO DE PILAR OU VIGA DE ESTRUTURA CONVENCIONAL DE CONCRETO ARMADO UTILIZANDO AÇO CA-60 DE 5,0 MM - MONTAGEM. AF_06/2022</v>
      </c>
      <c r="E95" s="1315" t="str">
        <f>IFERROR(VLOOKUP($B95,'24.08_ND'!$A:$D,3,0),IFERROR(VLOOKUP($B95,'03-CP'!$C$5:$H$4646,3,0),""))</f>
        <v>KG</v>
      </c>
      <c r="F95" s="389">
        <v>27.3</v>
      </c>
      <c r="G95" s="386"/>
      <c r="H95" s="386"/>
      <c r="I95" s="1316"/>
      <c r="J95" s="386"/>
      <c r="K95" s="386"/>
      <c r="L95" s="386" t="s">
        <v>16202</v>
      </c>
      <c r="M95" s="262"/>
      <c r="N95" s="1290"/>
      <c r="O95" s="262"/>
      <c r="P95" s="262"/>
      <c r="Q95" s="262"/>
      <c r="R95" s="262"/>
      <c r="S95" s="262"/>
      <c r="T95" s="262"/>
      <c r="U95" s="262"/>
      <c r="V95" s="262"/>
      <c r="W95" s="262"/>
      <c r="X95" s="262"/>
      <c r="Y95" s="262"/>
      <c r="Z95" s="262"/>
    </row>
    <row r="96" spans="1:26" ht="38.25" outlineLevel="1">
      <c r="A96" s="243" t="s">
        <v>12795</v>
      </c>
      <c r="B96" s="386">
        <v>92762</v>
      </c>
      <c r="C96" s="386" t="s">
        <v>14476</v>
      </c>
      <c r="D96" s="1314" t="str">
        <f>IFERROR(VLOOKUP($B96,'24.08_ND'!$A$4833:$D$12369,2,0),IFERROR(VLOOKUP($B96,'03-CP'!$C$5:$H$4646,2,0),""))</f>
        <v>ARMAÇÃO DE PILAR OU VIGA DE ESTRUTURA CONVENCIONAL DE CONCRETO ARMADO UTILIZANDO AÇO CA-50 DE 10,0 MM - MONTAGEM. AF_06/2022</v>
      </c>
      <c r="E96" s="1315" t="str">
        <f>IFERROR(VLOOKUP($B96,'24.08_ND'!$A:$D,3,0),IFERROR(VLOOKUP($B96,'03-CP'!$C$5:$H$4646,3,0),""))</f>
        <v>KG</v>
      </c>
      <c r="F96" s="389">
        <v>66.400000000000006</v>
      </c>
      <c r="G96" s="386"/>
      <c r="H96" s="386"/>
      <c r="I96" s="1316"/>
      <c r="J96" s="386"/>
      <c r="K96" s="386"/>
      <c r="L96" s="386" t="s">
        <v>16202</v>
      </c>
      <c r="M96" s="1296"/>
      <c r="N96" s="1290"/>
      <c r="O96" s="1296"/>
      <c r="P96" s="1296"/>
      <c r="Q96" s="1296"/>
      <c r="R96" s="1296"/>
      <c r="S96" s="1296"/>
      <c r="T96" s="1296"/>
      <c r="U96" s="262"/>
      <c r="V96" s="262"/>
      <c r="W96" s="262"/>
      <c r="X96" s="262"/>
      <c r="Y96" s="262"/>
      <c r="Z96" s="262"/>
    </row>
    <row r="97" spans="1:26" ht="25.5" outlineLevel="1">
      <c r="A97" s="243" t="s">
        <v>12796</v>
      </c>
      <c r="B97" s="386" t="s">
        <v>14620</v>
      </c>
      <c r="C97" s="386" t="s">
        <v>14472</v>
      </c>
      <c r="D97" s="1314" t="str">
        <f>IFERROR(VLOOKUP($B97,'24.08_ND'!$A$4833:$D$12369,2,0),IFERROR(VLOOKUP($B97,'03-CP'!$C$5:$H$4646,2,0),""))</f>
        <v>CONCRETAGEM DE PILARES, FCK=30 MPA - LANÇAMENTO, ADENSAMENTO E ACABAMENTO</v>
      </c>
      <c r="E97" s="1315" t="str">
        <f>IFERROR(VLOOKUP($B97,'24.08_ND'!$A:$D,3,0),IFERROR(VLOOKUP($B97,'03-CP'!$C$5:$H$4646,3,0),""))</f>
        <v>M3</v>
      </c>
      <c r="F97" s="389">
        <v>0.94</v>
      </c>
      <c r="G97" s="386"/>
      <c r="H97" s="386"/>
      <c r="I97" s="1316"/>
      <c r="J97" s="386"/>
      <c r="K97" s="386"/>
      <c r="L97" s="386" t="s">
        <v>16202</v>
      </c>
      <c r="M97" s="262"/>
      <c r="N97" s="1290"/>
      <c r="O97" s="262"/>
      <c r="P97" s="262"/>
      <c r="Q97" s="262"/>
      <c r="R97" s="262"/>
      <c r="S97" s="262"/>
      <c r="T97" s="262"/>
      <c r="U97" s="262"/>
      <c r="V97" s="262"/>
      <c r="W97" s="262"/>
      <c r="X97" s="262"/>
      <c r="Y97" s="262"/>
      <c r="Z97" s="262"/>
    </row>
    <row r="98" spans="1:26" ht="21">
      <c r="A98" s="239" t="s">
        <v>12797</v>
      </c>
      <c r="B98" s="1309"/>
      <c r="C98" s="1309"/>
      <c r="D98" s="1310" t="s">
        <v>16222</v>
      </c>
      <c r="E98" s="1311"/>
      <c r="F98" s="1312"/>
      <c r="G98" s="1310"/>
      <c r="H98" s="1310"/>
      <c r="I98" s="1313"/>
      <c r="J98" s="512"/>
      <c r="K98" s="262"/>
      <c r="L98" s="386"/>
      <c r="M98" s="262"/>
      <c r="N98" s="1290"/>
      <c r="O98" s="262"/>
      <c r="P98" s="262"/>
      <c r="Q98" s="262"/>
      <c r="R98" s="262"/>
      <c r="S98" s="262"/>
      <c r="T98" s="262"/>
      <c r="U98" s="262"/>
      <c r="V98" s="262"/>
      <c r="W98" s="262"/>
      <c r="X98" s="262"/>
      <c r="Y98" s="262"/>
      <c r="Z98" s="262"/>
    </row>
    <row r="99" spans="1:26" ht="38.25" outlineLevel="1">
      <c r="A99" s="243" t="s">
        <v>12798</v>
      </c>
      <c r="B99" s="386">
        <v>92468</v>
      </c>
      <c r="C99" s="386" t="s">
        <v>14476</v>
      </c>
      <c r="D99" s="1314" t="str">
        <f>IFERROR(VLOOKUP($B99,'24.08_ND'!$A$4833:$D$12369,2,0),IFERROR(VLOOKUP($B99,'03-CP'!$C$5:$H$4646,2,0),""))</f>
        <v>MONTAGEM E DESMONTAGEM DE FÔRMA DE VIGA, ESCORAMENTO METÁLICO, PÉ-DIREITO SIMPLES, EM CHAPA DE MADEIRA PLASTIFICADA, 10 UTILIZAÇÕES. AF_09/2020</v>
      </c>
      <c r="E99" s="1315" t="str">
        <f>IFERROR(VLOOKUP($B99,'24.08_ND'!$A:$D,3,0),IFERROR(VLOOKUP($B99,'03-CP'!$C$5:$H$4646,3,0),""))</f>
        <v>M2</v>
      </c>
      <c r="F99" s="389">
        <v>41.69</v>
      </c>
      <c r="G99" s="386"/>
      <c r="H99" s="386"/>
      <c r="I99" s="1316"/>
      <c r="J99" s="386"/>
      <c r="K99" s="386"/>
      <c r="L99" s="386" t="s">
        <v>16202</v>
      </c>
      <c r="M99" s="1296"/>
      <c r="N99" s="1290"/>
      <c r="O99" s="1296"/>
      <c r="P99" s="1296"/>
      <c r="Q99" s="1296"/>
      <c r="R99" s="1296"/>
      <c r="S99" s="1296"/>
      <c r="T99" s="1296"/>
      <c r="U99" s="262"/>
      <c r="V99" s="262"/>
      <c r="W99" s="262"/>
      <c r="X99" s="262"/>
      <c r="Y99" s="262"/>
      <c r="Z99" s="262"/>
    </row>
    <row r="100" spans="1:26" ht="38.25" outlineLevel="1">
      <c r="A100" s="243" t="s">
        <v>12799</v>
      </c>
      <c r="B100" s="3">
        <v>92759</v>
      </c>
      <c r="C100" s="386" t="s">
        <v>14476</v>
      </c>
      <c r="D100" s="1314" t="str">
        <f>IFERROR(VLOOKUP($B100,'24.08_ND'!$A$4833:$D$12369,2,0),IFERROR(VLOOKUP($B100,'03-CP'!$C$5:$H$4646,2,0),""))</f>
        <v>ARMAÇÃO DE PILAR OU VIGA DE ESTRUTURA CONVENCIONAL DE CONCRETO ARMADO UTILIZANDO AÇO CA-60 DE 5,0 MM - MONTAGEM. AF_06/2022</v>
      </c>
      <c r="E100" s="1315" t="str">
        <f>IFERROR(VLOOKUP($B100,'24.08_ND'!$A:$D,3,0),IFERROR(VLOOKUP($B100,'03-CP'!$C$5:$H$4646,3,0),""))</f>
        <v>KG</v>
      </c>
      <c r="F100" s="389">
        <v>94.6</v>
      </c>
      <c r="G100" s="386"/>
      <c r="H100" s="386"/>
      <c r="I100" s="1316"/>
      <c r="J100" s="386"/>
      <c r="K100" s="386"/>
      <c r="L100" s="386" t="s">
        <v>16202</v>
      </c>
      <c r="M100" s="262"/>
      <c r="N100" s="1290"/>
      <c r="O100" s="262"/>
      <c r="P100" s="262"/>
      <c r="Q100" s="262"/>
      <c r="R100" s="262"/>
      <c r="S100" s="262"/>
      <c r="T100" s="262"/>
      <c r="U100" s="262"/>
      <c r="V100" s="262"/>
      <c r="W100" s="262"/>
      <c r="X100" s="262"/>
      <c r="Y100" s="262"/>
      <c r="Z100" s="262"/>
    </row>
    <row r="101" spans="1:26" ht="38.25" outlineLevel="1">
      <c r="A101" s="243" t="s">
        <v>12800</v>
      </c>
      <c r="B101" s="3">
        <v>92761</v>
      </c>
      <c r="C101" s="386" t="s">
        <v>14476</v>
      </c>
      <c r="D101" s="1314" t="str">
        <f>IFERROR(VLOOKUP($B101,'24.08_ND'!$A$4833:$D$12369,2,0),IFERROR(VLOOKUP($B101,'03-CP'!$C$5:$H$4646,2,0),""))</f>
        <v>ARMAÇÃO DE PILAR OU VIGA DE ESTRUTURA CONVENCIONAL DE CONCRETO ARMADO UTILIZANDO AÇO CA-50 DE 8,0 MM - MONTAGEM. AF_06/2022</v>
      </c>
      <c r="E101" s="1315" t="str">
        <f>IFERROR(VLOOKUP($B101,'24.08_ND'!$A:$D,3,0),IFERROR(VLOOKUP($B101,'03-CP'!$C$5:$H$4646,3,0),""))</f>
        <v>KG</v>
      </c>
      <c r="F101" s="389">
        <v>52</v>
      </c>
      <c r="G101" s="386"/>
      <c r="H101" s="386"/>
      <c r="I101" s="1316"/>
      <c r="J101" s="386"/>
      <c r="K101" s="386"/>
      <c r="L101" s="386" t="s">
        <v>16202</v>
      </c>
      <c r="M101" s="262"/>
      <c r="N101" s="1290"/>
      <c r="O101" s="262"/>
      <c r="P101" s="262"/>
      <c r="Q101" s="262"/>
      <c r="R101" s="262"/>
      <c r="S101" s="262"/>
      <c r="T101" s="262"/>
      <c r="U101" s="262"/>
      <c r="V101" s="262"/>
      <c r="W101" s="262"/>
      <c r="X101" s="262"/>
      <c r="Y101" s="262"/>
      <c r="Z101" s="262"/>
    </row>
    <row r="102" spans="1:26" ht="38.25" outlineLevel="1">
      <c r="A102" s="243" t="s">
        <v>12801</v>
      </c>
      <c r="B102" s="386" t="s">
        <v>14622</v>
      </c>
      <c r="C102" s="386" t="s">
        <v>14472</v>
      </c>
      <c r="D102" s="1314" t="str">
        <f>IFERROR(VLOOKUP($B102,'24.08_ND'!$A$4833:$D$12369,2,0),IFERROR(VLOOKUP($B102,'03-CP'!$C$5:$H$4646,2,0),""))</f>
        <v>CONCRETAGEM DE VIGAS E LAJES, FCK=30 MPA, PARA LAJES MACIÇAS OU NERVURADAS COM USO DE BOMBAS - LANÇAMENTO, ADENSAMENTO E ACABAMENTO</v>
      </c>
      <c r="E102" s="1315" t="str">
        <f>IFERROR(VLOOKUP($B102,'24.08_ND'!$A:$D,3,0),IFERROR(VLOOKUP($B102,'03-CP'!$C$5:$H$4646,3,0),""))</f>
        <v>M3</v>
      </c>
      <c r="F102" s="389">
        <v>2.5</v>
      </c>
      <c r="G102" s="386"/>
      <c r="H102" s="386"/>
      <c r="I102" s="1316"/>
      <c r="J102" s="386"/>
      <c r="K102" s="386"/>
      <c r="L102" s="386" t="s">
        <v>16202</v>
      </c>
      <c r="M102" s="1296"/>
      <c r="N102" s="1290"/>
      <c r="O102" s="1296"/>
      <c r="P102" s="1296"/>
      <c r="Q102" s="1296"/>
      <c r="R102" s="1296"/>
      <c r="S102" s="1296"/>
      <c r="T102" s="1296"/>
      <c r="U102" s="262"/>
      <c r="V102" s="262"/>
      <c r="W102" s="262"/>
      <c r="X102" s="262"/>
      <c r="Y102" s="262"/>
      <c r="Z102" s="262"/>
    </row>
    <row r="103" spans="1:26" ht="21">
      <c r="A103" s="239" t="s">
        <v>12802</v>
      </c>
      <c r="B103" s="1309"/>
      <c r="C103" s="1309"/>
      <c r="D103" s="1310" t="s">
        <v>16223</v>
      </c>
      <c r="E103" s="1311"/>
      <c r="F103" s="1312"/>
      <c r="G103" s="1310"/>
      <c r="H103" s="1310"/>
      <c r="I103" s="1313"/>
      <c r="J103" s="512"/>
      <c r="K103" s="262"/>
      <c r="L103" s="1297" t="s">
        <v>16199</v>
      </c>
      <c r="M103" s="1296" t="s">
        <v>16200</v>
      </c>
      <c r="N103" s="1290"/>
      <c r="O103" s="262"/>
      <c r="P103" s="262"/>
      <c r="Q103" s="262"/>
      <c r="R103" s="262"/>
      <c r="S103" s="262"/>
      <c r="T103" s="262"/>
      <c r="U103" s="262"/>
      <c r="V103" s="262"/>
      <c r="W103" s="262"/>
      <c r="X103" s="262"/>
      <c r="Y103" s="262"/>
      <c r="Z103" s="262"/>
    </row>
    <row r="104" spans="1:26" ht="25.5" outlineLevel="1">
      <c r="A104" s="241" t="s">
        <v>12803</v>
      </c>
      <c r="B104" s="386">
        <v>96527</v>
      </c>
      <c r="C104" s="386" t="s">
        <v>14476</v>
      </c>
      <c r="D104" s="1314" t="str">
        <f>IFERROR(VLOOKUP($B104,'24.08_ND'!$A$4833:$D$12369,2,0),IFERROR(VLOOKUP($B104,'03-CP'!$C$5:$H$4646,2,0),""))</f>
        <v>ESCAVAÇÃO MANUAL PARA VIGA BALDRAME OU SAPATA CORRIDA (INCLUINDO ESCAVAÇÃO PARA COLOCAÇÃO DE FÔRMAS). AF_01/2024</v>
      </c>
      <c r="E104" s="1315" t="str">
        <f>IFERROR(VLOOKUP($B104,'24.08_ND'!$A:$D,3,0),IFERROR(VLOOKUP($B104,'03-CP'!$C$5:$H$4646,3,0),""))</f>
        <v>M3</v>
      </c>
      <c r="F104" s="389">
        <v>1.2</v>
      </c>
      <c r="G104" s="386"/>
      <c r="H104" s="386"/>
      <c r="I104" s="1316"/>
      <c r="J104" s="386"/>
      <c r="K104" s="386"/>
      <c r="L104" s="386" t="s">
        <v>16202</v>
      </c>
      <c r="M104" s="1296"/>
      <c r="N104" s="1290"/>
      <c r="O104" s="1296"/>
      <c r="P104" s="1296"/>
      <c r="Q104" s="1296"/>
      <c r="R104" s="1296"/>
      <c r="S104" s="1296"/>
      <c r="T104" s="1296"/>
      <c r="U104" s="262"/>
      <c r="V104" s="262"/>
      <c r="W104" s="262"/>
      <c r="X104" s="262"/>
      <c r="Y104" s="262"/>
      <c r="Z104" s="262"/>
    </row>
    <row r="105" spans="1:26" ht="25.5" outlineLevel="1">
      <c r="A105" s="241" t="s">
        <v>12804</v>
      </c>
      <c r="B105" s="386">
        <v>96616</v>
      </c>
      <c r="C105" s="386" t="s">
        <v>14476</v>
      </c>
      <c r="D105" s="1314" t="str">
        <f>IFERROR(VLOOKUP($B105,'24.08_ND'!$A$4833:$D$12369,2,0),IFERROR(VLOOKUP($B105,'03-CP'!$C$5:$H$4646,2,0),""))</f>
        <v>LASTRO DE CONCRETO MAGRO, APLICADO EM BLOCOS DE COROAMENTO OU SAPATAS. AF_01/2024</v>
      </c>
      <c r="E105" s="1315" t="str">
        <f>IFERROR(VLOOKUP($B105,'24.08_ND'!$A:$D,3,0),IFERROR(VLOOKUP($B105,'03-CP'!$C$5:$H$4646,3,0),""))</f>
        <v>M3</v>
      </c>
      <c r="F105" s="389">
        <v>0.09</v>
      </c>
      <c r="G105" s="386"/>
      <c r="H105" s="386"/>
      <c r="I105" s="1316"/>
      <c r="J105" s="386"/>
      <c r="K105" s="386"/>
      <c r="L105" s="386" t="s">
        <v>16202</v>
      </c>
      <c r="M105" s="262"/>
      <c r="N105" s="1290"/>
      <c r="O105" s="262"/>
      <c r="P105" s="262"/>
      <c r="Q105" s="262"/>
      <c r="R105" s="262"/>
      <c r="S105" s="262"/>
      <c r="T105" s="262"/>
      <c r="U105" s="262"/>
      <c r="V105" s="262"/>
      <c r="W105" s="262"/>
      <c r="X105" s="262"/>
      <c r="Y105" s="262"/>
      <c r="Z105" s="262"/>
    </row>
    <row r="106" spans="1:26" ht="25.5" outlineLevel="1">
      <c r="A106" s="241" t="s">
        <v>12805</v>
      </c>
      <c r="B106" s="386">
        <v>96536</v>
      </c>
      <c r="C106" s="386" t="s">
        <v>14476</v>
      </c>
      <c r="D106" s="1314" t="str">
        <f>IFERROR(VLOOKUP($B106,'24.08_ND'!$A$4833:$D$12369,2,0),IFERROR(VLOOKUP($B106,'03-CP'!$C$5:$H$4646,2,0),""))</f>
        <v>FABRICAÇÃO, MONTAGEM E DESMONTAGEM DE FÔRMA PARA VIGA BALDRAME, EM MADEIRA SERRADA, E=25 MM, 4 UTILIZAÇÕES. AF_01/2024</v>
      </c>
      <c r="E106" s="1315" t="str">
        <f>IFERROR(VLOOKUP($B106,'24.08_ND'!$A:$D,3,0),IFERROR(VLOOKUP($B106,'03-CP'!$C$5:$H$4646,3,0),""))</f>
        <v>M2</v>
      </c>
      <c r="F106" s="389">
        <v>5.15</v>
      </c>
      <c r="G106" s="386"/>
      <c r="H106" s="386"/>
      <c r="I106" s="1316"/>
      <c r="J106" s="386"/>
      <c r="K106" s="386"/>
      <c r="L106" s="386" t="s">
        <v>16202</v>
      </c>
      <c r="M106" s="262"/>
      <c r="N106" s="1290"/>
      <c r="O106" s="262"/>
      <c r="P106" s="262"/>
      <c r="Q106" s="262"/>
      <c r="R106" s="262"/>
      <c r="S106" s="262"/>
      <c r="T106" s="262"/>
      <c r="U106" s="262"/>
      <c r="V106" s="262"/>
      <c r="W106" s="262"/>
      <c r="X106" s="262"/>
      <c r="Y106" s="262"/>
      <c r="Z106" s="262"/>
    </row>
    <row r="107" spans="1:26" ht="25.5" outlineLevel="1">
      <c r="A107" s="241" t="s">
        <v>12806</v>
      </c>
      <c r="B107" s="386">
        <v>104916</v>
      </c>
      <c r="C107" s="386" t="s">
        <v>14476</v>
      </c>
      <c r="D107" s="1314" t="str">
        <f>IFERROR(VLOOKUP($B107,'24.08_ND'!$A$4833:$D$12369,2,0),IFERROR(VLOOKUP($B107,'03-CP'!$C$5:$H$4646,2,0),""))</f>
        <v>ARMAÇÃO DE SAPATA ISOLADA, VIGA BALDRAME E SAPATA CORRIDA UTILIZANDO AÇO CA-60 DE 5 MM - MONTAGEM. AF_01/2024</v>
      </c>
      <c r="E107" s="1315" t="str">
        <f>IFERROR(VLOOKUP($B107,'24.08_ND'!$A:$D,3,0),IFERROR(VLOOKUP($B107,'03-CP'!$C$5:$H$4646,3,0),""))</f>
        <v>KG</v>
      </c>
      <c r="F107" s="389">
        <v>15</v>
      </c>
      <c r="G107" s="386"/>
      <c r="H107" s="386"/>
      <c r="I107" s="1316"/>
      <c r="J107" s="386"/>
      <c r="K107" s="386"/>
      <c r="L107" s="386" t="s">
        <v>16202</v>
      </c>
      <c r="M107" s="1296"/>
      <c r="N107" s="1290"/>
      <c r="O107" s="1296"/>
      <c r="P107" s="1296"/>
      <c r="Q107" s="1296"/>
      <c r="R107" s="1296"/>
      <c r="S107" s="1296"/>
      <c r="T107" s="1296"/>
      <c r="U107" s="262"/>
      <c r="V107" s="262"/>
      <c r="W107" s="262"/>
      <c r="X107" s="262"/>
      <c r="Y107" s="262"/>
      <c r="Z107" s="262"/>
    </row>
    <row r="108" spans="1:26" ht="25.5" outlineLevel="1">
      <c r="A108" s="241" t="s">
        <v>12807</v>
      </c>
      <c r="B108" s="386">
        <v>104918</v>
      </c>
      <c r="C108" s="386" t="s">
        <v>14476</v>
      </c>
      <c r="D108" s="1314" t="str">
        <f>IFERROR(VLOOKUP($B108,'24.08_ND'!$A$4833:$D$12369,2,0),IFERROR(VLOOKUP($B108,'03-CP'!$C$5:$H$4646,2,0),""))</f>
        <v>ARMAÇÃO DE SAPATA ISOLADA, VIGA BALDRAME E SAPATA CORRIDA UTILIZANDO AÇO CA-50 DE 8 MM - MONTAGEM. AF_01/2024</v>
      </c>
      <c r="E108" s="1315" t="str">
        <f>IFERROR(VLOOKUP($B108,'24.08_ND'!$A:$D,3,0),IFERROR(VLOOKUP($B108,'03-CP'!$C$5:$H$4646,3,0),""))</f>
        <v>KG</v>
      </c>
      <c r="F108" s="389">
        <v>31.6</v>
      </c>
      <c r="G108" s="386"/>
      <c r="H108" s="386"/>
      <c r="I108" s="1316"/>
      <c r="J108" s="386"/>
      <c r="K108" s="386"/>
      <c r="L108" s="386" t="s">
        <v>16202</v>
      </c>
      <c r="M108" s="262"/>
      <c r="N108" s="1290"/>
      <c r="O108" s="262"/>
      <c r="P108" s="262"/>
      <c r="Q108" s="262"/>
      <c r="R108" s="262"/>
      <c r="S108" s="262"/>
      <c r="T108" s="262"/>
      <c r="U108" s="262"/>
      <c r="V108" s="262"/>
      <c r="W108" s="262"/>
      <c r="X108" s="262"/>
      <c r="Y108" s="262"/>
      <c r="Z108" s="262"/>
    </row>
    <row r="109" spans="1:26" ht="25.5" outlineLevel="1">
      <c r="A109" s="241" t="s">
        <v>12808</v>
      </c>
      <c r="B109" s="386">
        <v>96558</v>
      </c>
      <c r="C109" s="386" t="s">
        <v>14476</v>
      </c>
      <c r="D109" s="1314" t="str">
        <f>IFERROR(VLOOKUP($B109,'24.08_ND'!$A$4833:$D$12369,2,0),IFERROR(VLOOKUP($B109,'03-CP'!$C$5:$H$4646,2,0),""))</f>
        <v>CONCRETAGEM DE SAPATA, FCK 30 MPA, COM USO DE BOMBA - LANÇAMENTO, ADENSAMENTO E ACABAMENTO. AF_01/2024</v>
      </c>
      <c r="E109" s="1315" t="str">
        <f>IFERROR(VLOOKUP($B109,'24.08_ND'!$A:$D,3,0),IFERROR(VLOOKUP($B109,'03-CP'!$C$5:$H$4646,3,0),""))</f>
        <v>M3</v>
      </c>
      <c r="F109" s="389">
        <v>0.91</v>
      </c>
      <c r="G109" s="386"/>
      <c r="H109" s="386"/>
      <c r="I109" s="1316"/>
      <c r="J109" s="386"/>
      <c r="K109" s="386"/>
      <c r="L109" s="386" t="s">
        <v>16202</v>
      </c>
      <c r="M109" s="262"/>
      <c r="N109" s="1290"/>
      <c r="O109" s="262"/>
      <c r="P109" s="262"/>
      <c r="Q109" s="262"/>
      <c r="R109" s="262"/>
      <c r="S109" s="262"/>
      <c r="T109" s="262"/>
      <c r="U109" s="262"/>
      <c r="V109" s="262"/>
      <c r="W109" s="262"/>
      <c r="X109" s="262"/>
      <c r="Y109" s="262"/>
      <c r="Z109" s="262"/>
    </row>
    <row r="110" spans="1:26" ht="25.5" outlineLevel="1">
      <c r="A110" s="1317" t="s">
        <v>12809</v>
      </c>
      <c r="B110" s="295">
        <v>93382</v>
      </c>
      <c r="C110" s="295" t="s">
        <v>14476</v>
      </c>
      <c r="D110" s="658" t="str">
        <f>IFERROR(VLOOKUP($B110,'24.08_ND'!$A$4833:$D$12369,2,0),IFERROR(VLOOKUP($B110,'03-CP'!$C$5:$H$4646,2,0),""))</f>
        <v>REATERRO MANUAL DE VALAS, COM COMPACTADOR DE SOLOS DE PERCUSSÃO. AF_08/2023</v>
      </c>
      <c r="E110" s="1318" t="str">
        <f>IFERROR(VLOOKUP($B110,'24.08_ND'!$A:$D,3,0),IFERROR(VLOOKUP($B110,'03-CP'!$C$5:$H$4646,3,0),""))</f>
        <v>M3</v>
      </c>
      <c r="F110" s="298">
        <f>F112</f>
        <v>0.31899999999999995</v>
      </c>
      <c r="G110" s="295"/>
      <c r="H110" s="295"/>
      <c r="I110" s="1319"/>
      <c r="J110" s="295"/>
      <c r="K110" s="295"/>
      <c r="L110" s="295" t="s">
        <v>16202</v>
      </c>
      <c r="M110" s="1296"/>
      <c r="N110" s="1290"/>
      <c r="O110" s="1296"/>
      <c r="P110" s="1296"/>
      <c r="Q110" s="1296"/>
      <c r="R110" s="1296"/>
      <c r="S110" s="1296"/>
      <c r="T110" s="1296"/>
      <c r="U110" s="1320"/>
      <c r="V110" s="1320"/>
      <c r="W110" s="1320"/>
      <c r="X110" s="1320"/>
      <c r="Y110" s="1320"/>
      <c r="Z110" s="1320"/>
    </row>
    <row r="111" spans="1:26" ht="21" hidden="1" outlineLevel="1">
      <c r="A111" s="1321"/>
      <c r="B111" s="1322"/>
      <c r="C111" s="1323"/>
      <c r="D111" s="1324" t="s">
        <v>16203</v>
      </c>
      <c r="E111" s="1325" t="s">
        <v>16204</v>
      </c>
      <c r="F111" s="1326" t="s">
        <v>16205</v>
      </c>
      <c r="G111" s="1327"/>
      <c r="H111" s="1327"/>
      <c r="I111" s="1328"/>
      <c r="J111" s="1327"/>
      <c r="K111" s="1327"/>
      <c r="L111" s="1327"/>
      <c r="M111" s="1296"/>
      <c r="N111" s="1290"/>
      <c r="O111" s="1296"/>
      <c r="P111" s="1296"/>
      <c r="Q111" s="1296"/>
      <c r="R111" s="1296"/>
      <c r="S111" s="1296"/>
      <c r="T111" s="1296"/>
      <c r="U111" s="1320"/>
      <c r="V111" s="1320"/>
      <c r="W111" s="1320"/>
      <c r="X111" s="1320"/>
      <c r="Y111" s="1320"/>
      <c r="Z111" s="1320"/>
    </row>
    <row r="112" spans="1:26" ht="21" hidden="1" outlineLevel="1">
      <c r="A112" s="1321"/>
      <c r="B112" s="1329"/>
      <c r="C112" s="1330"/>
      <c r="D112" s="1331">
        <f>F104-F109</f>
        <v>0.28999999999999992</v>
      </c>
      <c r="E112" s="1332">
        <v>1.1000000000000001</v>
      </c>
      <c r="F112" s="1333">
        <f>D112*E112</f>
        <v>0.31899999999999995</v>
      </c>
      <c r="G112" s="1327"/>
      <c r="H112" s="1327"/>
      <c r="I112" s="1328"/>
      <c r="J112" s="1327"/>
      <c r="K112" s="1327"/>
      <c r="L112" s="1327"/>
      <c r="M112" s="1296"/>
      <c r="N112" s="1290"/>
      <c r="O112" s="1296"/>
      <c r="P112" s="1296"/>
      <c r="Q112" s="1296"/>
      <c r="R112" s="1296"/>
      <c r="S112" s="1296"/>
      <c r="T112" s="1296"/>
      <c r="U112" s="1320"/>
      <c r="V112" s="1320"/>
      <c r="W112" s="1320"/>
      <c r="X112" s="1320"/>
      <c r="Y112" s="1320"/>
      <c r="Z112" s="1320"/>
    </row>
    <row r="113" spans="1:26" ht="51" outlineLevel="1">
      <c r="A113" s="1317" t="s">
        <v>12810</v>
      </c>
      <c r="B113" s="295">
        <v>100978</v>
      </c>
      <c r="C113" s="295" t="s">
        <v>14476</v>
      </c>
      <c r="D113" s="658" t="str">
        <f>IFERROR(VLOOKUP($B113,'24.08_ND'!$A$4833:$D$12369,2,0),IFERROR(VLOOKUP($B113,'03-CP'!$C$5:$H$4646,2,0),""))</f>
        <v>CARGA, MANOBRA E DESCARGA DE SOLOS E MATERIAIS GRANULARES EM CAMINHÃO BASCULANTE 10 M³ - CARGA COM ESCAVADEIRA HIDRÁULICA (CAÇAMBA DE 1,20 M³ / 155 HP) E DESCARGA LIVRE (UNIDADE: M3). AF_07/2020</v>
      </c>
      <c r="E113" s="1318" t="str">
        <f>IFERROR(VLOOKUP($B113,'24.08_ND'!$A:$D,3,0),IFERROR(VLOOKUP($B113,'03-CP'!$C$5:$H$4646,3,0),""))</f>
        <v>M3</v>
      </c>
      <c r="F113" s="298">
        <f>D117</f>
        <v>1.361</v>
      </c>
      <c r="G113" s="295"/>
      <c r="H113" s="295"/>
      <c r="I113" s="1319"/>
      <c r="J113" s="295"/>
      <c r="K113" s="295"/>
      <c r="L113" s="295" t="s">
        <v>16202</v>
      </c>
      <c r="M113" s="262"/>
      <c r="N113" s="1290"/>
      <c r="O113" s="262"/>
      <c r="P113" s="262"/>
      <c r="Q113" s="262"/>
      <c r="R113" s="262"/>
      <c r="S113" s="262"/>
      <c r="T113" s="262"/>
      <c r="U113" s="1320"/>
      <c r="V113" s="1320"/>
      <c r="W113" s="1320"/>
      <c r="X113" s="1320"/>
      <c r="Y113" s="1320"/>
      <c r="Z113" s="1320"/>
    </row>
    <row r="114" spans="1:26" ht="21" hidden="1" outlineLevel="1">
      <c r="A114" s="1321"/>
      <c r="B114" s="1322" t="s">
        <v>16206</v>
      </c>
      <c r="C114" s="1323" t="s">
        <v>16207</v>
      </c>
      <c r="D114" s="1324" t="s">
        <v>16208</v>
      </c>
      <c r="E114" s="1334"/>
      <c r="F114" s="1335"/>
      <c r="G114" s="1327"/>
      <c r="H114" s="1327"/>
      <c r="I114" s="1328"/>
      <c r="J114" s="1327"/>
      <c r="K114" s="1327"/>
      <c r="L114" s="1327"/>
      <c r="M114" s="262"/>
      <c r="N114" s="1290"/>
      <c r="O114" s="262"/>
      <c r="P114" s="262"/>
      <c r="Q114" s="262"/>
      <c r="R114" s="262"/>
      <c r="S114" s="262"/>
      <c r="T114" s="262"/>
      <c r="U114" s="1320"/>
      <c r="V114" s="1320"/>
      <c r="W114" s="1320"/>
      <c r="X114" s="1320"/>
      <c r="Y114" s="1320"/>
      <c r="Z114" s="1320"/>
    </row>
    <row r="115" spans="1:26" ht="21" hidden="1" outlineLevel="1">
      <c r="A115" s="1321"/>
      <c r="B115" s="1336">
        <f>F104</f>
        <v>1.2</v>
      </c>
      <c r="C115" s="1327">
        <v>1.4</v>
      </c>
      <c r="D115" s="1337">
        <f>B115*C115</f>
        <v>1.68</v>
      </c>
      <c r="E115" s="1338"/>
      <c r="F115" s="1339"/>
      <c r="G115" s="1327"/>
      <c r="H115" s="1327"/>
      <c r="I115" s="1328"/>
      <c r="J115" s="1327"/>
      <c r="K115" s="1327"/>
      <c r="L115" s="1327"/>
      <c r="M115" s="262"/>
      <c r="N115" s="1290"/>
      <c r="O115" s="262"/>
      <c r="P115" s="262"/>
      <c r="Q115" s="262"/>
      <c r="R115" s="262"/>
      <c r="S115" s="262"/>
      <c r="T115" s="262"/>
      <c r="U115" s="1320"/>
      <c r="V115" s="1320"/>
      <c r="W115" s="1320"/>
      <c r="X115" s="1320"/>
      <c r="Y115" s="1320"/>
      <c r="Z115" s="1320"/>
    </row>
    <row r="116" spans="1:26" ht="21" hidden="1" outlineLevel="1">
      <c r="A116" s="1321"/>
      <c r="B116" s="1340" t="s">
        <v>16209</v>
      </c>
      <c r="C116" s="1327" t="s">
        <v>16205</v>
      </c>
      <c r="D116" s="1341" t="s">
        <v>16210</v>
      </c>
      <c r="E116" s="1338"/>
      <c r="F116" s="1339"/>
      <c r="G116" s="1327"/>
      <c r="H116" s="1327"/>
      <c r="I116" s="1328"/>
      <c r="J116" s="1327"/>
      <c r="K116" s="1327"/>
      <c r="L116" s="1327"/>
      <c r="M116" s="262"/>
      <c r="N116" s="1290"/>
      <c r="O116" s="262"/>
      <c r="P116" s="262"/>
      <c r="Q116" s="262"/>
      <c r="R116" s="262"/>
      <c r="S116" s="262"/>
      <c r="T116" s="262"/>
      <c r="U116" s="1320"/>
      <c r="V116" s="1320"/>
      <c r="W116" s="1320"/>
      <c r="X116" s="1320"/>
      <c r="Y116" s="1320"/>
      <c r="Z116" s="1320"/>
    </row>
    <row r="117" spans="1:26" ht="21" hidden="1" outlineLevel="1">
      <c r="A117" s="1321"/>
      <c r="B117" s="1329">
        <f>D115</f>
        <v>1.68</v>
      </c>
      <c r="C117" s="1342">
        <f>F112</f>
        <v>0.31899999999999995</v>
      </c>
      <c r="D117" s="1343">
        <f>B117-C117</f>
        <v>1.361</v>
      </c>
      <c r="E117" s="1344"/>
      <c r="F117" s="1345"/>
      <c r="G117" s="1327"/>
      <c r="H117" s="1327"/>
      <c r="I117" s="1328"/>
      <c r="J117" s="1327"/>
      <c r="K117" s="1327"/>
      <c r="L117" s="1327"/>
      <c r="M117" s="262"/>
      <c r="N117" s="1290"/>
      <c r="O117" s="262"/>
      <c r="P117" s="262"/>
      <c r="Q117" s="262"/>
      <c r="R117" s="262"/>
      <c r="S117" s="262"/>
      <c r="T117" s="262"/>
      <c r="U117" s="1320"/>
      <c r="V117" s="1320"/>
      <c r="W117" s="1320"/>
      <c r="X117" s="1320"/>
      <c r="Y117" s="1320"/>
      <c r="Z117" s="1320"/>
    </row>
    <row r="118" spans="1:26" ht="25.5" outlineLevel="1">
      <c r="A118" s="1317" t="s">
        <v>12811</v>
      </c>
      <c r="B118" s="295">
        <v>100938</v>
      </c>
      <c r="C118" s="295" t="s">
        <v>14476</v>
      </c>
      <c r="D118" s="658" t="str">
        <f>IFERROR(VLOOKUP($B118,'24.08_ND'!$A$4833:$D$12369,2,0),IFERROR(VLOOKUP($B118,'03-CP'!$C$5:$H$4646,2,0),""))</f>
        <v>TRANSPORTE COM CAMINHÃO BASCULANTE DE 10 M³, EM VIA INTERNA (DENTRO DO CANTEIRO - UNIDADE: M3XKM). AF_07/2020</v>
      </c>
      <c r="E118" s="1318" t="str">
        <f>IFERROR(VLOOKUP($B118,'24.08_ND'!$A:$D,3,0),IFERROR(VLOOKUP($B118,'03-CP'!$C$5:$H$4646,3,0),""))</f>
        <v>M3XKM</v>
      </c>
      <c r="F118" s="298">
        <f>F120</f>
        <v>2.722</v>
      </c>
      <c r="G118" s="295"/>
      <c r="H118" s="295"/>
      <c r="I118" s="1319"/>
      <c r="J118" s="295"/>
      <c r="K118" s="295"/>
      <c r="L118" s="295" t="s">
        <v>16202</v>
      </c>
      <c r="M118" s="262"/>
      <c r="N118" s="1290"/>
      <c r="O118" s="262"/>
      <c r="P118" s="262"/>
      <c r="Q118" s="262"/>
      <c r="R118" s="262"/>
      <c r="S118" s="262"/>
      <c r="T118" s="262"/>
      <c r="U118" s="1320"/>
      <c r="V118" s="1320"/>
      <c r="W118" s="1320"/>
      <c r="X118" s="1320"/>
      <c r="Y118" s="1320"/>
      <c r="Z118" s="1320"/>
    </row>
    <row r="119" spans="1:26" ht="12.75" hidden="1" outlineLevel="1">
      <c r="A119" s="1346"/>
      <c r="B119" s="1322"/>
      <c r="C119" s="1334"/>
      <c r="D119" s="1325" t="s">
        <v>16211</v>
      </c>
      <c r="E119" s="1347" t="s">
        <v>16212</v>
      </c>
      <c r="F119" s="1348" t="s">
        <v>16213</v>
      </c>
      <c r="G119" s="1349"/>
      <c r="H119" s="1349"/>
      <c r="I119" s="1350"/>
      <c r="J119" s="1351"/>
      <c r="K119" s="1352"/>
      <c r="L119" s="1353"/>
      <c r="M119" s="368"/>
      <c r="N119" s="368"/>
      <c r="O119" s="368"/>
      <c r="P119" s="368"/>
      <c r="Q119" s="368"/>
      <c r="R119" s="368"/>
      <c r="S119" s="368"/>
      <c r="T119" s="368"/>
      <c r="U119" s="368"/>
      <c r="V119" s="368"/>
      <c r="W119" s="368"/>
      <c r="X119" s="368"/>
      <c r="Y119" s="368"/>
      <c r="Z119" s="368"/>
    </row>
    <row r="120" spans="1:26" ht="12.75" hidden="1" outlineLevel="1">
      <c r="A120" s="1346"/>
      <c r="B120" s="1329"/>
      <c r="C120" s="1344"/>
      <c r="D120" s="1354">
        <f>D117</f>
        <v>1.361</v>
      </c>
      <c r="E120" s="1355">
        <v>2</v>
      </c>
      <c r="F120" s="1356">
        <f>D120*E120</f>
        <v>2.722</v>
      </c>
      <c r="G120" s="1349"/>
      <c r="H120" s="1349"/>
      <c r="I120" s="1350"/>
      <c r="J120" s="1351"/>
      <c r="K120" s="1352"/>
      <c r="L120" s="1353"/>
      <c r="M120" s="368"/>
      <c r="N120" s="368"/>
      <c r="O120" s="368"/>
      <c r="P120" s="368"/>
      <c r="Q120" s="368"/>
      <c r="R120" s="368"/>
      <c r="S120" s="368"/>
      <c r="T120" s="368"/>
      <c r="U120" s="368"/>
      <c r="V120" s="368"/>
      <c r="W120" s="368"/>
      <c r="X120" s="368"/>
      <c r="Y120" s="368"/>
      <c r="Z120" s="368"/>
    </row>
    <row r="121" spans="1:26" ht="21">
      <c r="A121" s="239" t="s">
        <v>12812</v>
      </c>
      <c r="B121" s="1309"/>
      <c r="C121" s="1309"/>
      <c r="D121" s="1310" t="s">
        <v>16224</v>
      </c>
      <c r="E121" s="1311"/>
      <c r="F121" s="1312"/>
      <c r="G121" s="1310"/>
      <c r="H121" s="1310"/>
      <c r="I121" s="1313"/>
      <c r="J121" s="512"/>
      <c r="K121" s="262"/>
      <c r="L121" s="386"/>
      <c r="M121" s="262"/>
      <c r="N121" s="1290"/>
      <c r="O121" s="262"/>
      <c r="P121" s="262"/>
      <c r="Q121" s="262"/>
      <c r="R121" s="262"/>
      <c r="S121" s="262"/>
      <c r="T121" s="262"/>
      <c r="U121" s="262"/>
      <c r="V121" s="262"/>
      <c r="W121" s="262"/>
      <c r="X121" s="262"/>
      <c r="Y121" s="262"/>
      <c r="Z121" s="262"/>
    </row>
    <row r="122" spans="1:26" ht="38.25" outlineLevel="1">
      <c r="A122" s="243" t="s">
        <v>12813</v>
      </c>
      <c r="B122" s="386">
        <v>102043</v>
      </c>
      <c r="C122" s="386" t="s">
        <v>14476</v>
      </c>
      <c r="D122" s="1314" t="str">
        <f>IFERROR(VLOOKUP($B122,'24.08_ND'!$A$4833:$D$12369,2,0),IFERROR(VLOOKUP($B122,'03-CP'!$C$5:$H$4646,2,0),""))</f>
        <v>MONTAGEM E DESMONTAGEM DE FÔRMA PARA ESCADAS, COM 1 LANCE E LAJE PLANA, EM CHAPA DE MADEIRA COMPENSADA PLASTIFICADA, 6 UTILIZAÇÕES. AF_11/2020</v>
      </c>
      <c r="E122" s="1315" t="str">
        <f>IFERROR(VLOOKUP($B122,'24.08_ND'!$A:$D,3,0),IFERROR(VLOOKUP($B122,'03-CP'!$C$5:$H$4646,3,0),""))</f>
        <v>M2</v>
      </c>
      <c r="F122" s="389">
        <v>20.73</v>
      </c>
      <c r="G122" s="386"/>
      <c r="H122" s="386"/>
      <c r="I122" s="1316"/>
      <c r="J122" s="1369"/>
      <c r="K122" s="262"/>
      <c r="L122" s="386" t="s">
        <v>16202</v>
      </c>
      <c r="M122" s="1296"/>
      <c r="N122" s="1290"/>
      <c r="O122" s="1296"/>
      <c r="P122" s="1296"/>
      <c r="Q122" s="1296"/>
      <c r="R122" s="1296"/>
      <c r="S122" s="1296"/>
      <c r="T122" s="1296"/>
      <c r="U122" s="262"/>
      <c r="V122" s="262"/>
      <c r="W122" s="262"/>
      <c r="X122" s="262"/>
      <c r="Y122" s="262"/>
      <c r="Z122" s="262"/>
    </row>
    <row r="123" spans="1:26" ht="25.5" outlineLevel="1">
      <c r="A123" s="243" t="s">
        <v>12814</v>
      </c>
      <c r="B123" s="386">
        <v>95576</v>
      </c>
      <c r="C123" s="386" t="s">
        <v>14476</v>
      </c>
      <c r="D123" s="1314" t="str">
        <f>IFERROR(VLOOKUP($B123,'24.08_ND'!$A$4833:$D$12369,2,0),IFERROR(VLOOKUP($B123,'03-CP'!$C$5:$H$4646,2,0),""))</f>
        <v>MONTAGEM DE ARMADURA DE ESTACAS, DIÂMETRO = 8,0 MM. AF_09/2021_PS</v>
      </c>
      <c r="E123" s="1315" t="str">
        <f>IFERROR(VLOOKUP($B123,'24.08_ND'!$A:$D,3,0),IFERROR(VLOOKUP($B123,'03-CP'!$C$5:$H$4646,3,0),""))</f>
        <v>KG</v>
      </c>
      <c r="F123" s="389">
        <v>66.400000000000006</v>
      </c>
      <c r="G123" s="386"/>
      <c r="H123" s="386"/>
      <c r="I123" s="1316"/>
      <c r="J123" s="1369"/>
      <c r="K123" s="262"/>
      <c r="L123" s="386" t="s">
        <v>16202</v>
      </c>
      <c r="M123" s="262"/>
      <c r="N123" s="1290"/>
      <c r="O123" s="262"/>
      <c r="P123" s="262"/>
      <c r="Q123" s="262"/>
      <c r="R123" s="262"/>
      <c r="S123" s="262"/>
      <c r="T123" s="262"/>
      <c r="U123" s="262"/>
      <c r="V123" s="262"/>
      <c r="W123" s="262"/>
      <c r="X123" s="262"/>
      <c r="Y123" s="262"/>
      <c r="Z123" s="262"/>
    </row>
    <row r="124" spans="1:26" ht="38.25" outlineLevel="1">
      <c r="A124" s="243" t="s">
        <v>12815</v>
      </c>
      <c r="B124" s="386" t="s">
        <v>14622</v>
      </c>
      <c r="C124" s="386" t="s">
        <v>14472</v>
      </c>
      <c r="D124" s="1314" t="str">
        <f>IFERROR(VLOOKUP($B124,'24.08_ND'!$A$4833:$D$12369,2,0),IFERROR(VLOOKUP($B124,'03-CP'!$C$5:$H$4646,2,0),""))</f>
        <v>CONCRETAGEM DE VIGAS E LAJES, FCK=30 MPA, PARA LAJES MACIÇAS OU NERVURADAS COM USO DE BOMBAS - LANÇAMENTO, ADENSAMENTO E ACABAMENTO</v>
      </c>
      <c r="E124" s="1315" t="str">
        <f>IFERROR(VLOOKUP($B124,'24.08_ND'!$A:$D,3,0),IFERROR(VLOOKUP($B124,'03-CP'!$C$5:$H$4646,3,0),""))</f>
        <v>M3</v>
      </c>
      <c r="F124" s="389">
        <v>2.09</v>
      </c>
      <c r="G124" s="386"/>
      <c r="H124" s="386"/>
      <c r="I124" s="1316"/>
      <c r="J124" s="1369"/>
      <c r="K124" s="262"/>
      <c r="L124" s="386" t="s">
        <v>16202</v>
      </c>
      <c r="M124" s="262"/>
      <c r="N124" s="1290"/>
      <c r="O124" s="262"/>
      <c r="P124" s="262"/>
      <c r="Q124" s="262"/>
      <c r="R124" s="262"/>
      <c r="S124" s="262"/>
      <c r="T124" s="262"/>
      <c r="U124" s="262"/>
      <c r="V124" s="262"/>
      <c r="W124" s="262"/>
      <c r="X124" s="262"/>
      <c r="Y124" s="262"/>
      <c r="Z124" s="262"/>
    </row>
    <row r="125" spans="1:26" ht="25.5" outlineLevel="1">
      <c r="A125" s="243" t="s">
        <v>12816</v>
      </c>
      <c r="B125" s="386">
        <v>91595</v>
      </c>
      <c r="C125" s="386" t="s">
        <v>14476</v>
      </c>
      <c r="D125" s="1314" t="str">
        <f>IFERROR(VLOOKUP($B125,'24.08_ND'!$A$4833:$D$12369,2,0),IFERROR(VLOOKUP($B125,'03-CP'!$C$5:$H$4646,2,0),""))</f>
        <v>ARMAÇÃO DO SISTEMA DE PAREDES DE CONCRETO, EXECUTADA EM PAREDES DE EDIFICAÇÕES TÉRREAS, TELA Q-61. AF_06/2019</v>
      </c>
      <c r="E125" s="1315" t="str">
        <f>IFERROR(VLOOKUP($B125,'24.08_ND'!$A:$D,3,0),IFERROR(VLOOKUP($B125,'03-CP'!$C$5:$H$4646,3,0),""))</f>
        <v>KG</v>
      </c>
      <c r="F125" s="389">
        <v>4.9760999999999997</v>
      </c>
      <c r="G125" s="386"/>
      <c r="H125" s="386"/>
      <c r="I125" s="1316"/>
      <c r="J125" s="1369"/>
      <c r="K125" s="262"/>
      <c r="L125" s="386" t="s">
        <v>16202</v>
      </c>
      <c r="M125" s="1296"/>
      <c r="N125" s="1290"/>
      <c r="O125" s="1296"/>
      <c r="P125" s="1296"/>
      <c r="Q125" s="1296"/>
      <c r="R125" s="1296"/>
      <c r="S125" s="1296"/>
      <c r="T125" s="1296"/>
      <c r="U125" s="262"/>
      <c r="V125" s="262"/>
      <c r="W125" s="262"/>
      <c r="X125" s="262"/>
      <c r="Y125" s="262"/>
      <c r="Z125" s="262"/>
    </row>
    <row r="126" spans="1:26" ht="21">
      <c r="A126" s="239" t="s">
        <v>12817</v>
      </c>
      <c r="B126" s="1309"/>
      <c r="C126" s="1309"/>
      <c r="D126" s="1310" t="s">
        <v>16225</v>
      </c>
      <c r="E126" s="1311"/>
      <c r="F126" s="1312"/>
      <c r="G126" s="1310"/>
      <c r="H126" s="1310"/>
      <c r="I126" s="1313"/>
      <c r="J126" s="1369"/>
      <c r="K126" s="262"/>
      <c r="L126" s="386"/>
      <c r="M126" s="262"/>
      <c r="N126" s="1290"/>
      <c r="O126" s="262"/>
      <c r="P126" s="262"/>
      <c r="Q126" s="262"/>
      <c r="R126" s="262"/>
      <c r="S126" s="262"/>
      <c r="T126" s="262"/>
      <c r="U126" s="262"/>
      <c r="V126" s="262"/>
      <c r="W126" s="262"/>
      <c r="X126" s="262"/>
      <c r="Y126" s="262"/>
      <c r="Z126" s="262"/>
    </row>
    <row r="127" spans="1:26" ht="23.25" customHeight="1" outlineLevel="1">
      <c r="A127" s="243" t="s">
        <v>12818</v>
      </c>
      <c r="B127" s="386">
        <v>101173</v>
      </c>
      <c r="C127" s="386" t="s">
        <v>14476</v>
      </c>
      <c r="D127" s="1314" t="str">
        <f>IFERROR(VLOOKUP($B127,'24.08_ND'!$A$4833:$D$12369,2,0),IFERROR(VLOOKUP($B127,'03-CP'!$C$5:$H$4646,2,0),""))</f>
        <v>ESTACA BROCA DE CONCRETO, DIÂMETRO DE 20CM, ESCAVAÇÃO MANUAL COM TRADO CONCHA, COM ARMADURA DE ARRANQUE. AF_05/2020</v>
      </c>
      <c r="E127" s="1315" t="str">
        <f>IFERROR(VLOOKUP($B127,'24.08_ND'!$A:$D,3,0),IFERROR(VLOOKUP($B127,'03-CP'!$C$5:$H$4646,3,0),""))</f>
        <v>M</v>
      </c>
      <c r="F127" s="389">
        <v>9</v>
      </c>
      <c r="G127" s="386"/>
      <c r="H127" s="386"/>
      <c r="I127" s="1316"/>
      <c r="J127" s="1369"/>
      <c r="K127" s="262"/>
      <c r="L127" s="386" t="s">
        <v>16202</v>
      </c>
      <c r="M127" s="262"/>
      <c r="N127" s="1290"/>
      <c r="O127" s="262"/>
      <c r="P127" s="262"/>
      <c r="Q127" s="262"/>
      <c r="R127" s="262"/>
      <c r="S127" s="262"/>
      <c r="T127" s="262"/>
      <c r="U127" s="262"/>
      <c r="V127" s="262"/>
      <c r="W127" s="262"/>
      <c r="X127" s="262"/>
      <c r="Y127" s="262"/>
      <c r="Z127" s="262"/>
    </row>
    <row r="128" spans="1:26" ht="38.25" outlineLevel="1">
      <c r="A128" s="243" t="s">
        <v>12819</v>
      </c>
      <c r="B128" s="386">
        <v>96557</v>
      </c>
      <c r="C128" s="386" t="s">
        <v>14476</v>
      </c>
      <c r="D128" s="1314" t="str">
        <f>IFERROR(VLOOKUP($B128,'24.08_ND'!$A$4833:$D$12369,2,0),IFERROR(VLOOKUP($B128,'03-CP'!$C$5:$H$4646,2,0),""))</f>
        <v>CONCRETAGEM DE BLOCO DE COROAMENTO OU VIGA BALDRAME, FCK 30 MPA, COM USO DE BOMBA - LANÇAMENTO, ADENSAMENTO E ACABAMENTO. AF_01/2024</v>
      </c>
      <c r="E128" s="1315" t="str">
        <f>IFERROR(VLOOKUP($B128,'24.08_ND'!$A:$D,3,0),IFERROR(VLOOKUP($B128,'03-CP'!$C$5:$H$4646,3,0),""))</f>
        <v>M3</v>
      </c>
      <c r="F128" s="389">
        <v>0.28000000000000003</v>
      </c>
      <c r="G128" s="386"/>
      <c r="H128" s="386"/>
      <c r="I128" s="1316"/>
      <c r="J128" s="1369"/>
      <c r="K128" s="262"/>
      <c r="L128" s="386" t="s">
        <v>16202</v>
      </c>
      <c r="M128" s="1296"/>
      <c r="N128" s="1290"/>
      <c r="O128" s="1296"/>
      <c r="P128" s="1296"/>
      <c r="Q128" s="1296"/>
      <c r="R128" s="1296"/>
      <c r="S128" s="1296"/>
      <c r="T128" s="1296"/>
      <c r="U128" s="262"/>
      <c r="V128" s="262"/>
      <c r="W128" s="262"/>
      <c r="X128" s="262"/>
      <c r="Y128" s="262"/>
      <c r="Z128" s="262"/>
    </row>
    <row r="129" spans="1:26" ht="25.5" outlineLevel="1">
      <c r="A129" s="243" t="s">
        <v>12820</v>
      </c>
      <c r="B129" s="386">
        <v>95583</v>
      </c>
      <c r="C129" s="386" t="s">
        <v>14476</v>
      </c>
      <c r="D129" s="1314" t="str">
        <f>IFERROR(VLOOKUP($B129,'24.08_ND'!$A$4833:$D$12369,2,0),IFERROR(VLOOKUP($B129,'03-CP'!$C$5:$H$4646,2,0),""))</f>
        <v>MONTAGEM DE ARMADURA TRANSVERSAL DE ESTACAS DE SEÇÃO CIRCULAR, DIÂMETRO = 5,0 MM. AF_09/2021_PS</v>
      </c>
      <c r="E129" s="1315" t="str">
        <f>IFERROR(VLOOKUP($B129,'24.08_ND'!$A:$D,3,0),IFERROR(VLOOKUP($B129,'03-CP'!$C$5:$H$4646,3,0),""))</f>
        <v>KG</v>
      </c>
      <c r="F129" s="389">
        <v>4.8</v>
      </c>
      <c r="G129" s="386"/>
      <c r="H129" s="386"/>
      <c r="I129" s="1316"/>
      <c r="J129" s="1369"/>
      <c r="K129" s="262"/>
      <c r="L129" s="386" t="s">
        <v>16202</v>
      </c>
      <c r="M129" s="262"/>
      <c r="N129" s="1290"/>
      <c r="O129" s="262"/>
      <c r="P129" s="262"/>
      <c r="Q129" s="262"/>
      <c r="R129" s="262"/>
      <c r="S129" s="262"/>
      <c r="T129" s="262"/>
      <c r="U129" s="262"/>
      <c r="V129" s="262"/>
      <c r="W129" s="262"/>
      <c r="X129" s="262"/>
      <c r="Y129" s="262"/>
      <c r="Z129" s="262"/>
    </row>
    <row r="130" spans="1:26" ht="25.5" outlineLevel="1">
      <c r="A130" s="243" t="s">
        <v>12821</v>
      </c>
      <c r="B130" s="386">
        <v>95577</v>
      </c>
      <c r="C130" s="386" t="s">
        <v>14476</v>
      </c>
      <c r="D130" s="1314" t="str">
        <f>IFERROR(VLOOKUP($B130,'24.08_ND'!$A$4833:$D$12369,2,0),IFERROR(VLOOKUP($B130,'03-CP'!$C$5:$H$4646,2,0),""))</f>
        <v>MONTAGEM DE ARMADURA DE ESTACAS, DIÂMETRO = 10,0 MM. AF_09/2021_PS</v>
      </c>
      <c r="E130" s="1315" t="str">
        <f>IFERROR(VLOOKUP($B130,'24.08_ND'!$A:$D,3,0),IFERROR(VLOOKUP($B130,'03-CP'!$C$5:$H$4646,3,0),""))</f>
        <v>KG</v>
      </c>
      <c r="F130" s="389">
        <v>26.2</v>
      </c>
      <c r="G130" s="386"/>
      <c r="H130" s="386"/>
      <c r="I130" s="1316"/>
      <c r="J130" s="1369"/>
      <c r="K130" s="262"/>
      <c r="L130" s="386" t="s">
        <v>16202</v>
      </c>
      <c r="M130" s="262"/>
      <c r="N130" s="1290"/>
      <c r="O130" s="262"/>
      <c r="P130" s="262"/>
      <c r="Q130" s="262"/>
      <c r="R130" s="262"/>
      <c r="S130" s="262"/>
      <c r="T130" s="262"/>
      <c r="U130" s="262"/>
      <c r="V130" s="262"/>
      <c r="W130" s="262"/>
      <c r="X130" s="262"/>
      <c r="Y130" s="262"/>
      <c r="Z130" s="262"/>
    </row>
    <row r="131" spans="1:26" ht="21">
      <c r="A131" s="239" t="s">
        <v>12822</v>
      </c>
      <c r="B131" s="1309"/>
      <c r="C131" s="1309"/>
      <c r="D131" s="1310" t="s">
        <v>16226</v>
      </c>
      <c r="E131" s="1309"/>
      <c r="F131" s="1309"/>
      <c r="G131" s="1309"/>
      <c r="H131" s="1309"/>
      <c r="I131" s="1370"/>
      <c r="J131" s="1369"/>
      <c r="K131" s="262"/>
      <c r="L131" s="1297" t="s">
        <v>16199</v>
      </c>
      <c r="M131" s="1296" t="s">
        <v>16200</v>
      </c>
      <c r="N131" s="1290"/>
      <c r="O131" s="1296"/>
      <c r="P131" s="1296"/>
      <c r="Q131" s="1296"/>
      <c r="R131" s="1296"/>
      <c r="S131" s="1296"/>
      <c r="T131" s="1296"/>
      <c r="U131" s="262"/>
      <c r="V131" s="262"/>
      <c r="W131" s="262"/>
      <c r="X131" s="262"/>
      <c r="Y131" s="262"/>
      <c r="Z131" s="262"/>
    </row>
    <row r="132" spans="1:26" ht="51" customHeight="1" outlineLevel="1">
      <c r="A132" s="243" t="s">
        <v>12823</v>
      </c>
      <c r="B132" s="386" t="s">
        <v>14624</v>
      </c>
      <c r="C132" s="386" t="s">
        <v>14472</v>
      </c>
      <c r="D132" s="1314" t="str">
        <f>IFERROR(VLOOKUP($B132,'24.08_ND'!$A$4833:$D$12369,2,0),IFERROR(VLOOKUP($B132,'03-CP'!$C$5:$H$4646,2,0),""))</f>
        <v>FORNECIMENTO E MONTAGEM DE ESTRUTURA METÁLICA SOLDADAS - COBERTURA WAKE BAR, INCLUSO PINTURA DE FUNDO COM ZARCÃO  E ACABAMENTO EM ESMALTE</v>
      </c>
      <c r="E132" s="1315" t="str">
        <f>IFERROR(VLOOKUP($B132,'24.08_ND'!$A:$D,3,0),IFERROR(VLOOKUP($B132,'03-CP'!$C$5:$H$4646,3,0),""))</f>
        <v>KG</v>
      </c>
      <c r="F132" s="389">
        <v>10042.129999999999</v>
      </c>
      <c r="G132" s="386"/>
      <c r="H132" s="386"/>
      <c r="I132" s="1316"/>
      <c r="J132" s="1369"/>
      <c r="K132" s="262"/>
      <c r="L132" s="386" t="s">
        <v>16202</v>
      </c>
      <c r="M132" s="262"/>
      <c r="N132" s="1290"/>
      <c r="O132" s="262"/>
      <c r="P132" s="262"/>
      <c r="Q132" s="262"/>
      <c r="R132" s="262"/>
      <c r="S132" s="262"/>
      <c r="T132" s="262"/>
      <c r="U132" s="262"/>
      <c r="V132" s="262"/>
      <c r="W132" s="262"/>
      <c r="X132" s="262"/>
      <c r="Y132" s="262"/>
      <c r="Z132" s="262"/>
    </row>
    <row r="133" spans="1:26" ht="12.75">
      <c r="A133" s="1298" t="s">
        <v>14728</v>
      </c>
      <c r="B133" s="1371"/>
      <c r="C133" s="1371"/>
      <c r="D133" s="1372"/>
      <c r="E133" s="1373"/>
      <c r="F133" s="1374"/>
      <c r="G133" s="1375"/>
      <c r="H133" s="1376"/>
      <c r="I133" s="1377"/>
      <c r="J133" s="512"/>
      <c r="K133" s="262"/>
      <c r="L133" s="386"/>
      <c r="M133" s="262"/>
      <c r="N133" s="262"/>
      <c r="O133" s="262"/>
      <c r="P133" s="262"/>
      <c r="Q133" s="262"/>
      <c r="R133" s="262"/>
      <c r="S133" s="262"/>
      <c r="T133" s="262"/>
      <c r="U133" s="262"/>
      <c r="V133" s="262"/>
      <c r="W133" s="262"/>
      <c r="X133" s="262"/>
      <c r="Y133" s="262"/>
      <c r="Z133" s="262"/>
    </row>
    <row r="134" spans="1:26" ht="12.75">
      <c r="A134" s="238" t="s">
        <v>12625</v>
      </c>
      <c r="B134" s="1304"/>
      <c r="C134" s="1304"/>
      <c r="D134" s="1305" t="s">
        <v>12486</v>
      </c>
      <c r="E134" s="1306"/>
      <c r="F134" s="1307"/>
      <c r="G134" s="1306"/>
      <c r="H134" s="1306"/>
      <c r="I134" s="1308"/>
      <c r="J134" s="512"/>
      <c r="K134" s="262"/>
      <c r="L134" s="386"/>
      <c r="M134" s="262"/>
      <c r="N134" s="262"/>
      <c r="O134" s="262"/>
      <c r="P134" s="262"/>
      <c r="Q134" s="262"/>
      <c r="R134" s="262"/>
      <c r="S134" s="262"/>
      <c r="T134" s="262"/>
      <c r="U134" s="262"/>
      <c r="V134" s="262"/>
      <c r="W134" s="262"/>
      <c r="X134" s="262"/>
      <c r="Y134" s="262"/>
      <c r="Z134" s="262"/>
    </row>
    <row r="135" spans="1:26" ht="12.75">
      <c r="A135" s="246" t="s">
        <v>12824</v>
      </c>
      <c r="B135" s="1378"/>
      <c r="C135" s="1378"/>
      <c r="D135" s="1379" t="s">
        <v>16227</v>
      </c>
      <c r="E135" s="1380"/>
      <c r="F135" s="1381"/>
      <c r="G135" s="1380"/>
      <c r="H135" s="1381"/>
      <c r="I135" s="1382"/>
      <c r="J135" s="1383" t="s">
        <v>16228</v>
      </c>
      <c r="K135" s="1384" t="e">
        <f>VLOOKUP(A135,'Medição '!$A:$G,10,0)</f>
        <v>#REF!</v>
      </c>
      <c r="L135" s="386"/>
      <c r="M135" s="386"/>
      <c r="N135" s="386"/>
      <c r="O135" s="386"/>
      <c r="P135" s="386"/>
      <c r="Q135" s="386"/>
      <c r="R135" s="386"/>
      <c r="S135" s="386"/>
      <c r="T135" s="386"/>
      <c r="U135" s="386"/>
      <c r="V135" s="386"/>
      <c r="W135" s="386"/>
      <c r="X135" s="386"/>
      <c r="Y135" s="386"/>
      <c r="Z135" s="386"/>
    </row>
    <row r="136" spans="1:26" ht="38.25" outlineLevel="1">
      <c r="A136" s="1385" t="s">
        <v>12825</v>
      </c>
      <c r="B136" s="295">
        <v>103324</v>
      </c>
      <c r="C136" s="295" t="s">
        <v>14476</v>
      </c>
      <c r="D136" s="658" t="str">
        <f>IFERROR(VLOOKUP($B136,'24.08_ND'!$A$4833:$D$12369,2,0),IFERROR(VLOOKUP($B136,'03-CP'!$C$5:$H$4646,2,0),""))</f>
        <v>ALVENARIA DE VEDAÇÃO DE BLOCOS CERÂMICOS FURADOS NA VERTICAL DE 14X19X39 CM (ESPESSURA 14 CM) E ARGAMASSA DE ASSENTAMENTO COM PREPARO EM BETONEIRA. AF_12/2021</v>
      </c>
      <c r="E136" s="1318" t="str">
        <f>IFERROR(VLOOKUP($B136,'24.08_ND'!$A:$D,3,0),IFERROR(VLOOKUP($B136,'03-CP'!$C$5:$H$4646,3,0),""))</f>
        <v>M2</v>
      </c>
      <c r="F136" s="1386">
        <f>SUM(I138)</f>
        <v>290.95</v>
      </c>
      <c r="G136" s="1387"/>
      <c r="H136" s="1387"/>
      <c r="I136" s="1388"/>
      <c r="J136" s="512"/>
      <c r="K136" s="262"/>
      <c r="L136" s="1389" t="s">
        <v>16229</v>
      </c>
      <c r="M136" s="262"/>
      <c r="N136" s="262"/>
      <c r="O136" s="262"/>
      <c r="P136" s="262"/>
      <c r="Q136" s="262"/>
      <c r="R136" s="262"/>
      <c r="S136" s="262"/>
      <c r="T136" s="262"/>
      <c r="U136" s="262"/>
      <c r="V136" s="262"/>
      <c r="W136" s="262"/>
      <c r="X136" s="262"/>
      <c r="Y136" s="262"/>
      <c r="Z136" s="262"/>
    </row>
    <row r="137" spans="1:26" ht="25.5" hidden="1" outlineLevel="1">
      <c r="A137" s="450"/>
      <c r="B137" s="386"/>
      <c r="C137" s="386"/>
      <c r="D137" s="1390" t="s">
        <v>16230</v>
      </c>
      <c r="E137" s="1391" t="s">
        <v>16231</v>
      </c>
      <c r="F137" s="1392" t="s">
        <v>16232</v>
      </c>
      <c r="G137" s="1391" t="s">
        <v>16233</v>
      </c>
      <c r="H137" s="1392" t="s">
        <v>16234</v>
      </c>
      <c r="I137" s="1393" t="s">
        <v>12615</v>
      </c>
      <c r="J137" s="512"/>
      <c r="K137" s="262"/>
      <c r="L137" s="386"/>
      <c r="M137" s="262"/>
      <c r="N137" s="262"/>
      <c r="O137" s="262"/>
      <c r="P137" s="262"/>
      <c r="Q137" s="262"/>
      <c r="R137" s="262"/>
      <c r="S137" s="262"/>
      <c r="T137" s="262"/>
      <c r="U137" s="262"/>
      <c r="V137" s="262"/>
      <c r="W137" s="262"/>
      <c r="X137" s="262"/>
      <c r="Y137" s="262"/>
      <c r="Z137" s="262"/>
    </row>
    <row r="138" spans="1:26" ht="12.75" hidden="1" outlineLevel="1">
      <c r="A138" s="450"/>
      <c r="B138" s="386"/>
      <c r="C138" s="386"/>
      <c r="D138" s="1394" t="s">
        <v>16235</v>
      </c>
      <c r="E138" s="1395"/>
      <c r="F138" s="1396"/>
      <c r="G138" s="1395">
        <v>290.95</v>
      </c>
      <c r="H138" s="1396"/>
      <c r="I138" s="1397">
        <f>G138</f>
        <v>290.95</v>
      </c>
      <c r="J138" s="512"/>
      <c r="K138" s="262"/>
      <c r="L138" s="386"/>
      <c r="M138" s="262"/>
      <c r="N138" s="262"/>
      <c r="O138" s="262"/>
      <c r="P138" s="262"/>
      <c r="Q138" s="262"/>
      <c r="R138" s="262"/>
      <c r="S138" s="262"/>
      <c r="T138" s="262"/>
      <c r="U138" s="262"/>
      <c r="V138" s="262"/>
      <c r="W138" s="262"/>
      <c r="X138" s="262"/>
      <c r="Y138" s="262"/>
      <c r="Z138" s="262"/>
    </row>
    <row r="139" spans="1:26" ht="12.75" hidden="1" outlineLevel="1">
      <c r="A139" s="247"/>
      <c r="B139" s="386"/>
      <c r="C139" s="386"/>
      <c r="D139" s="253"/>
      <c r="E139" s="1398"/>
      <c r="F139" s="1399"/>
      <c r="G139" s="1398"/>
      <c r="H139" s="1399"/>
      <c r="I139" s="1400"/>
      <c r="J139" s="512"/>
      <c r="K139" s="262"/>
      <c r="L139" s="386"/>
      <c r="M139" s="262"/>
      <c r="N139" s="262"/>
      <c r="O139" s="262"/>
      <c r="P139" s="262"/>
      <c r="Q139" s="262"/>
      <c r="R139" s="262"/>
      <c r="S139" s="262"/>
      <c r="T139" s="262"/>
      <c r="U139" s="262"/>
      <c r="V139" s="262"/>
      <c r="W139" s="262"/>
      <c r="X139" s="262"/>
      <c r="Y139" s="262"/>
      <c r="Z139" s="262"/>
    </row>
    <row r="140" spans="1:26" ht="38.25" outlineLevel="1">
      <c r="A140" s="1385" t="s">
        <v>12826</v>
      </c>
      <c r="B140" s="295">
        <v>103328</v>
      </c>
      <c r="C140" s="295" t="s">
        <v>14476</v>
      </c>
      <c r="D140" s="658" t="str">
        <f>IFERROR(VLOOKUP($B140,'24.08_ND'!$A$4833:$D$12369,2,0),IFERROR(VLOOKUP($B140,'03-CP'!$C$5:$H$4646,2,0),""))</f>
        <v>ALVENARIA DE VEDAÇÃO DE BLOCOS CERÂMICOS FURADOS NA HORIZONTAL DE 9X19X19 CM (ESPESSURA 9 CM) E ARGAMASSA DE ASSENTAMENTO COM PREPARO EM BETONEIRA. AF_12/2021</v>
      </c>
      <c r="E140" s="1318" t="str">
        <f>IFERROR(VLOOKUP($B140,'24.08_ND'!$A:$D,3,0),IFERROR(VLOOKUP($B140,'03-CP'!$C$5:$H$4646,3,0),""))</f>
        <v>M2</v>
      </c>
      <c r="F140" s="1386">
        <f>SUM(I142)</f>
        <v>13.09</v>
      </c>
      <c r="G140" s="1387"/>
      <c r="H140" s="1387"/>
      <c r="I140" s="1388"/>
      <c r="J140" s="512"/>
      <c r="K140" s="262"/>
      <c r="L140" s="1389" t="s">
        <v>16229</v>
      </c>
      <c r="M140" s="262"/>
      <c r="N140" s="262"/>
      <c r="O140" s="262"/>
      <c r="P140" s="262"/>
      <c r="Q140" s="262"/>
      <c r="R140" s="262"/>
      <c r="S140" s="262"/>
      <c r="T140" s="262"/>
      <c r="U140" s="262"/>
      <c r="V140" s="262"/>
      <c r="W140" s="262"/>
      <c r="X140" s="262"/>
      <c r="Y140" s="262"/>
      <c r="Z140" s="262"/>
    </row>
    <row r="141" spans="1:26" ht="25.5" hidden="1" outlineLevel="1">
      <c r="A141" s="1401"/>
      <c r="B141" s="386"/>
      <c r="C141" s="386"/>
      <c r="D141" s="1390" t="s">
        <v>16230</v>
      </c>
      <c r="E141" s="1391" t="s">
        <v>16231</v>
      </c>
      <c r="F141" s="1392" t="s">
        <v>16232</v>
      </c>
      <c r="G141" s="1391" t="s">
        <v>16233</v>
      </c>
      <c r="H141" s="1392" t="s">
        <v>16234</v>
      </c>
      <c r="I141" s="1393" t="s">
        <v>12615</v>
      </c>
      <c r="J141" s="512"/>
      <c r="K141" s="262"/>
      <c r="L141" s="386"/>
      <c r="M141" s="262"/>
      <c r="N141" s="262"/>
      <c r="O141" s="262"/>
      <c r="P141" s="262"/>
      <c r="Q141" s="262"/>
      <c r="R141" s="262"/>
      <c r="S141" s="262"/>
      <c r="T141" s="262"/>
      <c r="U141" s="262"/>
      <c r="V141" s="262"/>
      <c r="W141" s="262"/>
      <c r="X141" s="262"/>
      <c r="Y141" s="262"/>
      <c r="Z141" s="262"/>
    </row>
    <row r="142" spans="1:26" ht="12.75" hidden="1" outlineLevel="1">
      <c r="A142" s="247"/>
      <c r="B142" s="386"/>
      <c r="C142" s="386"/>
      <c r="D142" s="1394" t="s">
        <v>16236</v>
      </c>
      <c r="E142" s="1395"/>
      <c r="F142" s="1396"/>
      <c r="G142" s="1395">
        <v>13.09</v>
      </c>
      <c r="H142" s="1396"/>
      <c r="I142" s="1397">
        <f>G142</f>
        <v>13.09</v>
      </c>
      <c r="J142" s="512"/>
      <c r="K142" s="262"/>
      <c r="L142" s="386"/>
      <c r="M142" s="262"/>
      <c r="N142" s="262"/>
      <c r="O142" s="262"/>
      <c r="P142" s="262"/>
      <c r="Q142" s="262"/>
      <c r="R142" s="262"/>
      <c r="S142" s="262"/>
      <c r="T142" s="262"/>
      <c r="U142" s="262"/>
      <c r="V142" s="262"/>
      <c r="W142" s="262"/>
      <c r="X142" s="262"/>
      <c r="Y142" s="262"/>
      <c r="Z142" s="262"/>
    </row>
    <row r="143" spans="1:26" hidden="1" outlineLevel="1">
      <c r="A143" s="1402"/>
      <c r="B143" s="129"/>
      <c r="C143" s="129"/>
      <c r="D143" s="1403"/>
      <c r="E143" s="1404"/>
      <c r="F143" s="1405"/>
      <c r="G143" s="1405"/>
      <c r="H143" s="1405"/>
      <c r="I143" s="1406"/>
      <c r="J143" s="512"/>
      <c r="K143" s="261"/>
      <c r="L143" s="1407"/>
      <c r="M143" s="261"/>
      <c r="N143" s="261"/>
      <c r="O143" s="261"/>
      <c r="P143" s="261"/>
      <c r="Q143" s="261"/>
      <c r="R143" s="261"/>
      <c r="S143" s="261"/>
      <c r="T143" s="261"/>
      <c r="U143" s="261"/>
      <c r="V143" s="261"/>
      <c r="W143" s="261"/>
      <c r="X143" s="261"/>
      <c r="Y143" s="261"/>
      <c r="Z143" s="261"/>
    </row>
    <row r="144" spans="1:26" ht="25.5" outlineLevel="1">
      <c r="A144" s="247" t="s">
        <v>12827</v>
      </c>
      <c r="B144" s="8">
        <v>93203</v>
      </c>
      <c r="C144" s="8" t="s">
        <v>14476</v>
      </c>
      <c r="D144" s="1314" t="str">
        <f>IFERROR(VLOOKUP($B144,'24.08_ND'!$A$4833:$D$12369,2,0),IFERROR(VLOOKUP($B144,'03-CP'!$C$5:$H$4646,2,0),""))</f>
        <v>FIXAÇÃO (ENCUNHAMENTO) DE ALVENARIA DE VEDAÇÃO COM ESPUMA DE POLIURETANO EXPANSIVA. AF_03/2024</v>
      </c>
      <c r="E144" s="1315" t="str">
        <f>IFERROR(VLOOKUP($B144,'24.08_ND'!$A:$D,3,0),IFERROR(VLOOKUP($B144,'03-CP'!$C$5:$H$4646,3,0),""))</f>
        <v>M</v>
      </c>
      <c r="F144" s="1408">
        <v>94.74</v>
      </c>
      <c r="G144" s="1244"/>
      <c r="H144" s="1244"/>
      <c r="I144" s="1409"/>
      <c r="J144" s="512"/>
      <c r="K144" s="262"/>
      <c r="L144" s="1389" t="s">
        <v>16229</v>
      </c>
      <c r="M144" s="262"/>
      <c r="N144" s="262"/>
      <c r="O144" s="262"/>
      <c r="P144" s="262"/>
      <c r="Q144" s="262"/>
      <c r="R144" s="262"/>
      <c r="S144" s="262"/>
      <c r="T144" s="262"/>
      <c r="U144" s="262"/>
      <c r="V144" s="262"/>
      <c r="W144" s="262"/>
      <c r="X144" s="262"/>
      <c r="Y144" s="262"/>
      <c r="Z144" s="262"/>
    </row>
    <row r="145" spans="1:26" ht="25.5" outlineLevel="1">
      <c r="A145" s="1385" t="s">
        <v>12828</v>
      </c>
      <c r="B145" s="559">
        <v>105023</v>
      </c>
      <c r="C145" s="559" t="s">
        <v>14476</v>
      </c>
      <c r="D145" s="658" t="str">
        <f>IFERROR(VLOOKUP($B145,'24.08_ND'!$A$4833:$D$12369,2,0),IFERROR(VLOOKUP($B145,'03-CP'!$C$5:$H$4646,2,0),""))</f>
        <v>VERGA MOLDADA IN LOCO EM CONCRETO, ESPESSURA DE *15* CM. AF_03/2024</v>
      </c>
      <c r="E145" s="1318" t="str">
        <f>IFERROR(VLOOKUP($B145,'24.08_ND'!$A:$D,3,0),IFERROR(VLOOKUP($B145,'03-CP'!$C$5:$H$4646,3,0),""))</f>
        <v>M</v>
      </c>
      <c r="F145" s="1386">
        <f>SUM(I147:I157)</f>
        <v>30.12</v>
      </c>
      <c r="G145" s="1387"/>
      <c r="H145" s="1387"/>
      <c r="I145" s="1388"/>
      <c r="J145" s="512"/>
      <c r="K145" s="262"/>
      <c r="L145" s="1389" t="s">
        <v>16229</v>
      </c>
      <c r="M145" s="262"/>
      <c r="N145" s="262"/>
      <c r="O145" s="262"/>
      <c r="P145" s="262"/>
      <c r="Q145" s="262"/>
      <c r="R145" s="262"/>
      <c r="S145" s="262"/>
      <c r="T145" s="262"/>
      <c r="U145" s="262"/>
      <c r="V145" s="262"/>
      <c r="W145" s="262"/>
      <c r="X145" s="262"/>
      <c r="Y145" s="262"/>
      <c r="Z145" s="262"/>
    </row>
    <row r="146" spans="1:26" ht="25.5" hidden="1" outlineLevel="1">
      <c r="A146" s="450"/>
      <c r="B146" s="1410"/>
      <c r="C146" s="1410"/>
      <c r="D146" s="1390" t="s">
        <v>16230</v>
      </c>
      <c r="E146" s="1391" t="s">
        <v>16237</v>
      </c>
      <c r="F146" s="1392" t="s">
        <v>16238</v>
      </c>
      <c r="G146" s="1391" t="s">
        <v>16239</v>
      </c>
      <c r="H146" s="1392" t="s">
        <v>16234</v>
      </c>
      <c r="I146" s="1393" t="s">
        <v>12615</v>
      </c>
      <c r="J146" s="512"/>
      <c r="K146" s="262"/>
      <c r="L146" s="386"/>
      <c r="M146" s="262"/>
      <c r="N146" s="262"/>
      <c r="O146" s="262"/>
      <c r="P146" s="262"/>
      <c r="Q146" s="262"/>
      <c r="R146" s="262"/>
      <c r="S146" s="262"/>
      <c r="T146" s="262"/>
      <c r="U146" s="262"/>
      <c r="V146" s="262"/>
      <c r="W146" s="262"/>
      <c r="X146" s="262"/>
      <c r="Y146" s="262"/>
      <c r="Z146" s="262"/>
    </row>
    <row r="147" spans="1:26" ht="12.75" hidden="1" outlineLevel="1">
      <c r="A147" s="450"/>
      <c r="B147" s="8"/>
      <c r="C147" s="8"/>
      <c r="D147" s="1411" t="s">
        <v>16240</v>
      </c>
      <c r="E147" s="1412">
        <v>0.8</v>
      </c>
      <c r="F147" s="1412">
        <v>0.2</v>
      </c>
      <c r="G147" s="1413"/>
      <c r="H147" s="1413">
        <v>2</v>
      </c>
      <c r="I147" s="1414">
        <f t="shared" ref="I147:I157" si="0">((F147*2)+E147)*H147</f>
        <v>2.4000000000000004</v>
      </c>
      <c r="J147" s="512"/>
      <c r="K147" s="262"/>
      <c r="L147" s="386"/>
      <c r="M147" s="262"/>
      <c r="N147" s="262"/>
      <c r="O147" s="262"/>
      <c r="P147" s="262"/>
      <c r="Q147" s="262"/>
      <c r="R147" s="262"/>
      <c r="S147" s="262"/>
      <c r="T147" s="262"/>
      <c r="U147" s="262"/>
      <c r="V147" s="262"/>
      <c r="W147" s="262"/>
      <c r="X147" s="262"/>
      <c r="Y147" s="262"/>
      <c r="Z147" s="262"/>
    </row>
    <row r="148" spans="1:26" ht="12.75" hidden="1" outlineLevel="1">
      <c r="A148" s="1401"/>
      <c r="B148" s="8"/>
      <c r="C148" s="8"/>
      <c r="D148" s="1411" t="s">
        <v>16241</v>
      </c>
      <c r="E148" s="1413">
        <v>2</v>
      </c>
      <c r="F148" s="1413">
        <v>0.3</v>
      </c>
      <c r="G148" s="1413"/>
      <c r="H148" s="1413">
        <v>1</v>
      </c>
      <c r="I148" s="1414">
        <f t="shared" si="0"/>
        <v>2.6</v>
      </c>
      <c r="J148" s="512"/>
      <c r="K148" s="262"/>
      <c r="L148" s="386"/>
      <c r="M148" s="262"/>
      <c r="N148" s="262"/>
      <c r="O148" s="262"/>
      <c r="P148" s="262"/>
      <c r="Q148" s="262"/>
      <c r="R148" s="262"/>
      <c r="S148" s="262"/>
      <c r="T148" s="262"/>
      <c r="U148" s="262"/>
      <c r="V148" s="262"/>
      <c r="W148" s="262"/>
      <c r="X148" s="262"/>
      <c r="Y148" s="262"/>
      <c r="Z148" s="262"/>
    </row>
    <row r="149" spans="1:26" ht="12.75" hidden="1" outlineLevel="1">
      <c r="A149" s="1401"/>
      <c r="B149" s="8"/>
      <c r="C149" s="8"/>
      <c r="D149" s="1411" t="s">
        <v>16242</v>
      </c>
      <c r="E149" s="1413">
        <v>2.4</v>
      </c>
      <c r="F149" s="1413">
        <v>0.3</v>
      </c>
      <c r="G149" s="1413"/>
      <c r="H149" s="1413">
        <v>2</v>
      </c>
      <c r="I149" s="1414">
        <f t="shared" si="0"/>
        <v>6</v>
      </c>
      <c r="J149" s="512"/>
      <c r="K149" s="262"/>
      <c r="L149" s="386"/>
      <c r="M149" s="262"/>
      <c r="N149" s="262"/>
      <c r="O149" s="262"/>
      <c r="P149" s="262"/>
      <c r="Q149" s="262"/>
      <c r="R149" s="262"/>
      <c r="S149" s="262"/>
      <c r="T149" s="262"/>
      <c r="U149" s="262"/>
      <c r="V149" s="262"/>
      <c r="W149" s="262"/>
      <c r="X149" s="262"/>
      <c r="Y149" s="262"/>
      <c r="Z149" s="262"/>
    </row>
    <row r="150" spans="1:26" ht="12.75" hidden="1" outlineLevel="1">
      <c r="A150" s="1401"/>
      <c r="B150" s="8"/>
      <c r="C150" s="8"/>
      <c r="D150" s="1411" t="s">
        <v>16243</v>
      </c>
      <c r="E150" s="1413">
        <v>1.92</v>
      </c>
      <c r="F150" s="1413">
        <v>0.3</v>
      </c>
      <c r="G150" s="1413"/>
      <c r="H150" s="1413">
        <v>1</v>
      </c>
      <c r="I150" s="1414">
        <f t="shared" si="0"/>
        <v>2.52</v>
      </c>
      <c r="J150" s="512"/>
      <c r="K150" s="262"/>
      <c r="L150" s="386"/>
      <c r="M150" s="262"/>
      <c r="N150" s="262"/>
      <c r="O150" s="262"/>
      <c r="P150" s="262"/>
      <c r="Q150" s="262"/>
      <c r="R150" s="262"/>
      <c r="S150" s="262"/>
      <c r="T150" s="262"/>
      <c r="U150" s="262"/>
      <c r="V150" s="262"/>
      <c r="W150" s="262"/>
      <c r="X150" s="262"/>
      <c r="Y150" s="262"/>
      <c r="Z150" s="262"/>
    </row>
    <row r="151" spans="1:26" ht="12.75" hidden="1" outlineLevel="1">
      <c r="A151" s="1401"/>
      <c r="B151" s="8"/>
      <c r="C151" s="8"/>
      <c r="D151" s="1411" t="s">
        <v>16244</v>
      </c>
      <c r="E151" s="1413">
        <v>0.7</v>
      </c>
      <c r="F151" s="1413">
        <v>0.2</v>
      </c>
      <c r="G151" s="1413"/>
      <c r="H151" s="1413">
        <v>1</v>
      </c>
      <c r="I151" s="1414">
        <f t="shared" si="0"/>
        <v>1.1000000000000001</v>
      </c>
      <c r="J151" s="512"/>
      <c r="K151" s="262"/>
      <c r="L151" s="386"/>
      <c r="M151" s="262"/>
      <c r="N151" s="262"/>
      <c r="O151" s="262"/>
      <c r="P151" s="262"/>
      <c r="Q151" s="262"/>
      <c r="R151" s="262"/>
      <c r="S151" s="262"/>
      <c r="T151" s="262"/>
      <c r="U151" s="262"/>
      <c r="V151" s="262"/>
      <c r="W151" s="262"/>
      <c r="X151" s="262"/>
      <c r="Y151" s="262"/>
      <c r="Z151" s="262"/>
    </row>
    <row r="152" spans="1:26" ht="12.75" hidden="1" outlineLevel="1">
      <c r="A152" s="1401"/>
      <c r="B152" s="8"/>
      <c r="C152" s="8"/>
      <c r="D152" s="1411" t="s">
        <v>16245</v>
      </c>
      <c r="E152" s="1413">
        <v>0.8</v>
      </c>
      <c r="F152" s="1413">
        <v>0.2</v>
      </c>
      <c r="G152" s="1413"/>
      <c r="H152" s="1413">
        <v>1</v>
      </c>
      <c r="I152" s="1414">
        <f t="shared" si="0"/>
        <v>1.2000000000000002</v>
      </c>
      <c r="J152" s="512"/>
      <c r="K152" s="262"/>
      <c r="L152" s="386"/>
      <c r="M152" s="262"/>
      <c r="N152" s="262"/>
      <c r="O152" s="262"/>
      <c r="P152" s="262"/>
      <c r="Q152" s="262"/>
      <c r="R152" s="262"/>
      <c r="S152" s="262"/>
      <c r="T152" s="262"/>
      <c r="U152" s="262"/>
      <c r="V152" s="262"/>
      <c r="W152" s="262"/>
      <c r="X152" s="262"/>
      <c r="Y152" s="262"/>
      <c r="Z152" s="262"/>
    </row>
    <row r="153" spans="1:26" ht="12.75" hidden="1" outlineLevel="1">
      <c r="A153" s="1401"/>
      <c r="B153" s="8"/>
      <c r="C153" s="8"/>
      <c r="D153" s="1411" t="s">
        <v>16246</v>
      </c>
      <c r="E153" s="1413">
        <v>0.9</v>
      </c>
      <c r="F153" s="1413">
        <v>0.2</v>
      </c>
      <c r="G153" s="1413"/>
      <c r="H153" s="1413">
        <v>1</v>
      </c>
      <c r="I153" s="1414">
        <f t="shared" si="0"/>
        <v>1.3</v>
      </c>
      <c r="J153" s="512"/>
      <c r="K153" s="262"/>
      <c r="L153" s="386"/>
      <c r="M153" s="262"/>
      <c r="N153" s="262"/>
      <c r="O153" s="262"/>
      <c r="P153" s="262"/>
      <c r="Q153" s="262"/>
      <c r="R153" s="262"/>
      <c r="S153" s="262"/>
      <c r="T153" s="262"/>
      <c r="U153" s="262"/>
      <c r="V153" s="262"/>
      <c r="W153" s="262"/>
      <c r="X153" s="262"/>
      <c r="Y153" s="262"/>
      <c r="Z153" s="262"/>
    </row>
    <row r="154" spans="1:26" ht="12.75" hidden="1" outlineLevel="1">
      <c r="A154" s="1401"/>
      <c r="B154" s="8"/>
      <c r="C154" s="8"/>
      <c r="D154" s="1411" t="s">
        <v>16247</v>
      </c>
      <c r="E154" s="1413">
        <v>0.8</v>
      </c>
      <c r="F154" s="1413">
        <v>0.2</v>
      </c>
      <c r="G154" s="1413"/>
      <c r="H154" s="1413">
        <v>2</v>
      </c>
      <c r="I154" s="1414">
        <f t="shared" si="0"/>
        <v>2.4000000000000004</v>
      </c>
      <c r="J154" s="512"/>
      <c r="K154" s="262"/>
      <c r="L154" s="386"/>
      <c r="M154" s="262"/>
      <c r="N154" s="262"/>
      <c r="O154" s="262"/>
      <c r="P154" s="262"/>
      <c r="Q154" s="262"/>
      <c r="R154" s="262"/>
      <c r="S154" s="262"/>
      <c r="T154" s="262"/>
      <c r="U154" s="262"/>
      <c r="V154" s="262"/>
      <c r="W154" s="262"/>
      <c r="X154" s="262"/>
      <c r="Y154" s="262"/>
      <c r="Z154" s="262"/>
    </row>
    <row r="155" spans="1:26" ht="12.75" hidden="1" outlineLevel="1">
      <c r="A155" s="1401"/>
      <c r="B155" s="8"/>
      <c r="C155" s="8"/>
      <c r="D155" s="1411" t="s">
        <v>16248</v>
      </c>
      <c r="E155" s="1413">
        <v>0.9</v>
      </c>
      <c r="F155" s="1413">
        <v>0.2</v>
      </c>
      <c r="G155" s="1413"/>
      <c r="H155" s="1413">
        <v>3</v>
      </c>
      <c r="I155" s="1414">
        <f t="shared" si="0"/>
        <v>3.9000000000000004</v>
      </c>
      <c r="J155" s="512"/>
      <c r="K155" s="262"/>
      <c r="L155" s="386"/>
      <c r="M155" s="262"/>
      <c r="N155" s="262"/>
      <c r="O155" s="262"/>
      <c r="P155" s="262"/>
      <c r="Q155" s="262"/>
      <c r="R155" s="262"/>
      <c r="S155" s="262"/>
      <c r="T155" s="262"/>
      <c r="U155" s="262"/>
      <c r="V155" s="262"/>
      <c r="W155" s="262"/>
      <c r="X155" s="262"/>
      <c r="Y155" s="262"/>
      <c r="Z155" s="262"/>
    </row>
    <row r="156" spans="1:26" ht="12.75" hidden="1" outlineLevel="1">
      <c r="A156" s="247"/>
      <c r="B156" s="8"/>
      <c r="C156" s="8"/>
      <c r="D156" s="1411" t="s">
        <v>16249</v>
      </c>
      <c r="E156" s="1413">
        <v>0.7</v>
      </c>
      <c r="F156" s="1413">
        <v>0.2</v>
      </c>
      <c r="G156" s="1413"/>
      <c r="H156" s="1413">
        <v>5</v>
      </c>
      <c r="I156" s="1414">
        <f t="shared" si="0"/>
        <v>5.5</v>
      </c>
      <c r="J156" s="512"/>
      <c r="K156" s="262"/>
      <c r="L156" s="386"/>
      <c r="M156" s="262"/>
      <c r="N156" s="262"/>
      <c r="O156" s="262"/>
      <c r="P156" s="262"/>
      <c r="Q156" s="262"/>
      <c r="R156" s="262"/>
      <c r="S156" s="262"/>
      <c r="T156" s="262"/>
      <c r="U156" s="262"/>
      <c r="V156" s="262"/>
      <c r="W156" s="262"/>
      <c r="X156" s="262"/>
      <c r="Y156" s="262"/>
      <c r="Z156" s="262"/>
    </row>
    <row r="157" spans="1:26" ht="12.75" hidden="1" outlineLevel="1">
      <c r="A157" s="247"/>
      <c r="B157" s="8"/>
      <c r="C157" s="8"/>
      <c r="D157" s="1415" t="s">
        <v>16250</v>
      </c>
      <c r="E157" s="1416">
        <v>0.8</v>
      </c>
      <c r="F157" s="1416">
        <v>0.2</v>
      </c>
      <c r="G157" s="1416"/>
      <c r="H157" s="1416">
        <v>1</v>
      </c>
      <c r="I157" s="1417">
        <f t="shared" si="0"/>
        <v>1.2000000000000002</v>
      </c>
      <c r="J157" s="512"/>
      <c r="K157" s="262"/>
      <c r="L157" s="386"/>
      <c r="M157" s="262"/>
      <c r="N157" s="262"/>
      <c r="O157" s="262"/>
      <c r="P157" s="262"/>
      <c r="Q157" s="262"/>
      <c r="R157" s="262"/>
      <c r="S157" s="262"/>
      <c r="T157" s="262"/>
      <c r="U157" s="262"/>
      <c r="V157" s="262"/>
      <c r="W157" s="262"/>
      <c r="X157" s="262"/>
      <c r="Y157" s="262"/>
      <c r="Z157" s="262"/>
    </row>
    <row r="158" spans="1:26" ht="12.75" hidden="1" outlineLevel="1">
      <c r="A158" s="247"/>
      <c r="B158" s="8"/>
      <c r="C158" s="8"/>
      <c r="D158" s="253"/>
      <c r="E158" s="1244"/>
      <c r="F158" s="1244"/>
      <c r="G158" s="1244"/>
      <c r="H158" s="1244"/>
      <c r="I158" s="1409"/>
      <c r="J158" s="512"/>
      <c r="K158" s="262"/>
      <c r="L158" s="386"/>
      <c r="M158" s="262"/>
      <c r="N158" s="262"/>
      <c r="O158" s="262"/>
      <c r="P158" s="262"/>
      <c r="Q158" s="262"/>
      <c r="R158" s="262"/>
      <c r="S158" s="262"/>
      <c r="T158" s="262"/>
      <c r="U158" s="262"/>
      <c r="V158" s="262"/>
      <c r="W158" s="262"/>
      <c r="X158" s="262"/>
      <c r="Y158" s="262"/>
      <c r="Z158" s="262"/>
    </row>
    <row r="159" spans="1:26" ht="25.5" outlineLevel="1">
      <c r="A159" s="1385" t="s">
        <v>12829</v>
      </c>
      <c r="B159" s="559">
        <v>105029</v>
      </c>
      <c r="C159" s="559" t="s">
        <v>14476</v>
      </c>
      <c r="D159" s="658" t="str">
        <f>IFERROR(VLOOKUP($B159,'24.08_ND'!$A$4833:$D$12369,2,0),IFERROR(VLOOKUP($B159,'03-CP'!$C$5:$H$4646,2,0),""))</f>
        <v>CONTRAVERGA MOLDADA IN LOCO EM CONCRETO, ESPESSURA DE *15* CM. AF_03/2024</v>
      </c>
      <c r="E159" s="1318" t="str">
        <f>IFERROR(VLOOKUP($B159,'24.08_ND'!$A:$D,3,0),IFERROR(VLOOKUP($B159,'03-CP'!$C$5:$H$4646,3,0),""))</f>
        <v>M</v>
      </c>
      <c r="F159" s="1386">
        <f>SUM(I161:I163)</f>
        <v>13.2</v>
      </c>
      <c r="G159" s="1387"/>
      <c r="H159" s="1387"/>
      <c r="I159" s="1388"/>
      <c r="J159" s="512"/>
      <c r="K159" s="262"/>
      <c r="L159" s="1389" t="s">
        <v>16229</v>
      </c>
      <c r="M159" s="262"/>
      <c r="N159" s="262"/>
      <c r="O159" s="262"/>
      <c r="P159" s="262"/>
      <c r="Q159" s="262"/>
      <c r="R159" s="262"/>
      <c r="S159" s="262"/>
      <c r="T159" s="262"/>
      <c r="U159" s="262"/>
      <c r="V159" s="262"/>
      <c r="W159" s="262"/>
      <c r="X159" s="262"/>
      <c r="Y159" s="262"/>
      <c r="Z159" s="262"/>
    </row>
    <row r="160" spans="1:26" ht="25.5" hidden="1" outlineLevel="1">
      <c r="A160" s="247"/>
      <c r="B160" s="1410"/>
      <c r="C160" s="1410"/>
      <c r="D160" s="1390" t="s">
        <v>16230</v>
      </c>
      <c r="E160" s="1391" t="s">
        <v>16237</v>
      </c>
      <c r="F160" s="1392" t="s">
        <v>16238</v>
      </c>
      <c r="G160" s="1391" t="s">
        <v>16239</v>
      </c>
      <c r="H160" s="1392" t="s">
        <v>16234</v>
      </c>
      <c r="I160" s="1393" t="s">
        <v>12615</v>
      </c>
      <c r="J160" s="512"/>
      <c r="K160" s="262"/>
      <c r="L160" s="386"/>
      <c r="M160" s="262"/>
      <c r="N160" s="262"/>
      <c r="O160" s="262"/>
      <c r="P160" s="262"/>
      <c r="Q160" s="262"/>
      <c r="R160" s="262"/>
      <c r="S160" s="262"/>
      <c r="T160" s="262"/>
      <c r="U160" s="262"/>
      <c r="V160" s="262"/>
      <c r="W160" s="262"/>
      <c r="X160" s="262"/>
      <c r="Y160" s="262"/>
      <c r="Z160" s="262"/>
    </row>
    <row r="161" spans="1:26" ht="12.75" hidden="1" outlineLevel="1">
      <c r="A161" s="247"/>
      <c r="B161" s="8"/>
      <c r="C161" s="8"/>
      <c r="D161" s="1418" t="s">
        <v>16240</v>
      </c>
      <c r="E161" s="691">
        <v>0.8</v>
      </c>
      <c r="F161" s="691">
        <v>0.3</v>
      </c>
      <c r="G161" s="1244"/>
      <c r="H161" s="1244">
        <v>2</v>
      </c>
      <c r="I161" s="1409">
        <f>((F161*2)+E161)*H161</f>
        <v>2.8</v>
      </c>
      <c r="J161" s="512"/>
      <c r="K161" s="262"/>
      <c r="L161" s="386"/>
      <c r="M161" s="262"/>
      <c r="N161" s="262"/>
      <c r="O161" s="262"/>
      <c r="P161" s="262"/>
      <c r="Q161" s="262"/>
      <c r="R161" s="262"/>
      <c r="S161" s="262"/>
      <c r="T161" s="262"/>
      <c r="U161" s="262"/>
      <c r="V161" s="262"/>
      <c r="W161" s="262"/>
      <c r="X161" s="262"/>
      <c r="Y161" s="262"/>
      <c r="Z161" s="262"/>
    </row>
    <row r="162" spans="1:26" ht="12.75" hidden="1" outlineLevel="1">
      <c r="A162" s="247"/>
      <c r="B162" s="8"/>
      <c r="C162" s="8"/>
      <c r="D162" s="1419" t="s">
        <v>16241</v>
      </c>
      <c r="E162" s="1420">
        <v>2</v>
      </c>
      <c r="F162" s="1421">
        <v>0.6</v>
      </c>
      <c r="G162" s="1420"/>
      <c r="H162" s="1421">
        <v>1</v>
      </c>
      <c r="I162" s="1409">
        <f>((F162*2)+E162)*H162</f>
        <v>3.2</v>
      </c>
      <c r="J162" s="512"/>
      <c r="K162" s="262"/>
      <c r="L162" s="386"/>
      <c r="M162" s="262"/>
      <c r="N162" s="262"/>
      <c r="O162" s="262"/>
      <c r="P162" s="262"/>
      <c r="Q162" s="262"/>
      <c r="R162" s="262"/>
      <c r="S162" s="262"/>
      <c r="T162" s="262"/>
      <c r="U162" s="262"/>
      <c r="V162" s="262"/>
      <c r="W162" s="262"/>
      <c r="X162" s="262"/>
      <c r="Y162" s="262"/>
      <c r="Z162" s="262"/>
    </row>
    <row r="163" spans="1:26" ht="12.75" hidden="1" outlineLevel="1">
      <c r="A163" s="247"/>
      <c r="B163" s="8"/>
      <c r="C163" s="8"/>
      <c r="D163" s="1422" t="s">
        <v>16242</v>
      </c>
      <c r="E163" s="1248">
        <v>2.4</v>
      </c>
      <c r="F163" s="1248">
        <v>0.6</v>
      </c>
      <c r="G163" s="1248"/>
      <c r="H163" s="1248">
        <v>2</v>
      </c>
      <c r="I163" s="1281">
        <f>((F163*2)+E163)*H163</f>
        <v>7.1999999999999993</v>
      </c>
      <c r="J163" s="512"/>
      <c r="K163" s="262"/>
      <c r="L163" s="386"/>
      <c r="M163" s="262"/>
      <c r="N163" s="262"/>
      <c r="O163" s="262"/>
      <c r="P163" s="262"/>
      <c r="Q163" s="262"/>
      <c r="R163" s="262"/>
      <c r="S163" s="262"/>
      <c r="T163" s="262"/>
      <c r="U163" s="262"/>
      <c r="V163" s="262"/>
      <c r="W163" s="262"/>
      <c r="X163" s="262"/>
      <c r="Y163" s="262"/>
      <c r="Z163" s="262"/>
    </row>
    <row r="164" spans="1:26" ht="12.75" hidden="1" outlineLevel="1">
      <c r="A164" s="247"/>
      <c r="B164" s="8"/>
      <c r="C164" s="8"/>
      <c r="D164" s="253"/>
      <c r="E164" s="1244"/>
      <c r="F164" s="1244"/>
      <c r="G164" s="1244"/>
      <c r="H164" s="1244"/>
      <c r="I164" s="1409"/>
      <c r="J164" s="512"/>
      <c r="K164" s="262"/>
      <c r="L164" s="386"/>
      <c r="M164" s="262"/>
      <c r="N164" s="262"/>
      <c r="O164" s="262"/>
      <c r="P164" s="262"/>
      <c r="Q164" s="262"/>
      <c r="R164" s="262"/>
      <c r="S164" s="262"/>
      <c r="T164" s="262"/>
      <c r="U164" s="262"/>
      <c r="V164" s="262"/>
      <c r="W164" s="262"/>
      <c r="X164" s="262"/>
      <c r="Y164" s="262"/>
      <c r="Z164" s="262"/>
    </row>
    <row r="165" spans="1:26" ht="25.5" outlineLevel="1">
      <c r="A165" s="247" t="s">
        <v>12830</v>
      </c>
      <c r="B165" s="386" t="s">
        <v>14819</v>
      </c>
      <c r="C165" s="386" t="s">
        <v>14472</v>
      </c>
      <c r="D165" s="1314" t="str">
        <f>IFERROR(VLOOKUP($B165,'24.08_ND'!$A$4833:$D$12369,2,0),IFERROR(VLOOKUP($B165,'03-CP'!$C$5:$H$4646,2,0),""))</f>
        <v>ALVENARIA DE VEDAÇÃO COM ELEMENTO VAZADO 20X20X10 CM - FORNECIMENTO E INSTALAÇÃO.</v>
      </c>
      <c r="E165" s="1315" t="str">
        <f>IFERROR(VLOOKUP($B165,'24.08_ND'!$A:$D,3,0),IFERROR(VLOOKUP($B165,'03-CP'!$C$5:$H$4646,3,0),""))</f>
        <v>M2</v>
      </c>
      <c r="F165" s="1408">
        <f>22.78*2.32</f>
        <v>52.849600000000002</v>
      </c>
      <c r="G165" s="1244"/>
      <c r="H165" s="1244"/>
      <c r="I165" s="1409"/>
      <c r="J165" s="512"/>
      <c r="K165" s="262"/>
      <c r="L165" s="1389" t="s">
        <v>16229</v>
      </c>
      <c r="M165" s="262"/>
      <c r="N165" s="262"/>
      <c r="O165" s="262"/>
      <c r="P165" s="262"/>
      <c r="Q165" s="262"/>
      <c r="R165" s="262"/>
      <c r="S165" s="262"/>
      <c r="T165" s="262"/>
      <c r="U165" s="262"/>
      <c r="V165" s="262"/>
      <c r="W165" s="262"/>
      <c r="X165" s="262"/>
      <c r="Y165" s="262"/>
      <c r="Z165" s="262"/>
    </row>
    <row r="166" spans="1:26" ht="25.5" outlineLevel="1">
      <c r="A166" s="247" t="s">
        <v>12831</v>
      </c>
      <c r="B166" s="386" t="s">
        <v>14822</v>
      </c>
      <c r="C166" s="386" t="s">
        <v>14472</v>
      </c>
      <c r="D166" s="1314" t="str">
        <f>IFERROR(VLOOKUP($B166,'24.08_ND'!$A$4833:$D$12369,2,0),IFERROR(VLOOKUP($B166,'03-CP'!$C$5:$H$4646,2,0),""))</f>
        <v>FORNECIMENTO E INSTALAÇÃO DE REVESTIMENTO EM CHAPA DE ACM *4 MM*</v>
      </c>
      <c r="E166" s="1315" t="str">
        <f>IFERROR(VLOOKUP($B166,'24.08_ND'!$A:$D,3,0),IFERROR(VLOOKUP($B166,'03-CP'!$C$5:$H$4646,3,0),""))</f>
        <v>M2</v>
      </c>
      <c r="F166" s="1408">
        <v>220.16</v>
      </c>
      <c r="G166" s="1244"/>
      <c r="H166" s="1244"/>
      <c r="I166" s="1409"/>
      <c r="J166" s="512"/>
      <c r="K166" s="262"/>
      <c r="L166" s="1389" t="s">
        <v>16229</v>
      </c>
      <c r="M166" s="262"/>
      <c r="N166" s="262"/>
      <c r="O166" s="262"/>
      <c r="P166" s="262"/>
      <c r="Q166" s="262"/>
      <c r="R166" s="262"/>
      <c r="S166" s="262"/>
      <c r="T166" s="262"/>
      <c r="U166" s="262"/>
      <c r="V166" s="262"/>
      <c r="W166" s="262"/>
      <c r="X166" s="262"/>
      <c r="Y166" s="262"/>
      <c r="Z166" s="262"/>
    </row>
    <row r="167" spans="1:26" ht="38.25" outlineLevel="1">
      <c r="A167" s="247" t="s">
        <v>12832</v>
      </c>
      <c r="B167" s="386" t="s">
        <v>14827</v>
      </c>
      <c r="C167" s="386" t="s">
        <v>14472</v>
      </c>
      <c r="D167" s="387" t="str">
        <f>IFERROR(VLOOKUP($B167,'24.08_ND'!$A$4833:$D$12369,2,0),IFERROR(VLOOKUP($B167,'03-CP'!$C$5:$H$4646,2,0),""))</f>
        <v>FORNECIMENTO E INSTALAÇÃO DE TELA ALAMBRADO REVESTIDA EM PVC BRANCO E=2,8MM, FIXAÇÃO COM GANCHO METÁLICO, EM ESTRUTURA EXSITENTE</v>
      </c>
      <c r="E167" s="1315" t="str">
        <f>IFERROR(VLOOKUP($B167,'24.08_ND'!$A:$D,3,0),IFERROR(VLOOKUP($B167,'03-CP'!$C$5:$H$4646,3,0),""))</f>
        <v>M2</v>
      </c>
      <c r="F167" s="1408">
        <v>42.32</v>
      </c>
      <c r="G167" s="1244"/>
      <c r="H167" s="1244"/>
      <c r="I167" s="1409"/>
      <c r="J167" s="512"/>
      <c r="K167" s="262"/>
      <c r="L167" s="1389" t="s">
        <v>16229</v>
      </c>
      <c r="M167" s="262"/>
      <c r="N167" s="262"/>
      <c r="O167" s="262"/>
      <c r="P167" s="262"/>
      <c r="Q167" s="262"/>
      <c r="R167" s="262"/>
      <c r="S167" s="262"/>
      <c r="T167" s="262"/>
      <c r="U167" s="262"/>
      <c r="V167" s="262"/>
      <c r="W167" s="262"/>
      <c r="X167" s="262"/>
      <c r="Y167" s="262"/>
      <c r="Z167" s="262"/>
    </row>
    <row r="168" spans="1:26" ht="38.25" outlineLevel="1">
      <c r="A168" s="247" t="s">
        <v>12833</v>
      </c>
      <c r="B168" s="386" t="s">
        <v>14832</v>
      </c>
      <c r="C168" s="386" t="s">
        <v>14472</v>
      </c>
      <c r="D168" s="387" t="str">
        <f>IFERROR(VLOOKUP($B168,'24.08_ND'!$A$4833:$D$12369,2,0),IFERROR(VLOOKUP($B168,'03-CP'!$C$5:$H$4646,2,0),""))</f>
        <v>FECHAMENTO  EM CHAPA DE AÇO, E = 2,00 MM (16,00 KG/M2), INCLUSO FUNDO ANTICORROSIVO E DUAS DEMÃOS DE PINTURA ESMALTE SINTÉTICO FOSCO - FORNECIMENTO E INSTALAÇÃO EM ESTRUTURA EXISTENTE</v>
      </c>
      <c r="E168" s="1315" t="str">
        <f>IFERROR(VLOOKUP($B168,'24.08_ND'!$A:$D,3,0),IFERROR(VLOOKUP($B168,'03-CP'!$C$5:$H$4646,3,0),""))</f>
        <v>M2</v>
      </c>
      <c r="F168" s="1408">
        <v>1.26</v>
      </c>
      <c r="G168" s="1244"/>
      <c r="H168" s="1244"/>
      <c r="I168" s="1409"/>
      <c r="J168" s="512"/>
      <c r="K168" s="262"/>
      <c r="L168" s="1389" t="s">
        <v>16229</v>
      </c>
      <c r="M168" s="262"/>
      <c r="N168" s="262"/>
      <c r="O168" s="262"/>
      <c r="P168" s="262"/>
      <c r="Q168" s="262"/>
      <c r="R168" s="262"/>
      <c r="S168" s="262"/>
      <c r="T168" s="262"/>
      <c r="U168" s="262"/>
      <c r="V168" s="262"/>
      <c r="W168" s="262"/>
      <c r="X168" s="262"/>
      <c r="Y168" s="262"/>
      <c r="Z168" s="262"/>
    </row>
    <row r="169" spans="1:26" ht="12.75" hidden="1" outlineLevel="1">
      <c r="A169" s="247"/>
      <c r="B169" s="8"/>
      <c r="C169" s="8"/>
      <c r="D169" s="253"/>
      <c r="E169" s="1244"/>
      <c r="F169" s="1244"/>
      <c r="G169" s="1244"/>
      <c r="H169" s="1244"/>
      <c r="I169" s="1409"/>
      <c r="J169" s="512"/>
      <c r="K169" s="262"/>
      <c r="L169" s="386"/>
      <c r="M169" s="262"/>
      <c r="N169" s="262"/>
      <c r="O169" s="262"/>
      <c r="P169" s="262"/>
      <c r="Q169" s="262"/>
      <c r="R169" s="262"/>
      <c r="S169" s="262"/>
      <c r="T169" s="262"/>
      <c r="U169" s="262"/>
      <c r="V169" s="262"/>
      <c r="W169" s="262"/>
      <c r="X169" s="262"/>
      <c r="Y169" s="262"/>
      <c r="Z169" s="262"/>
    </row>
    <row r="170" spans="1:26" ht="12.75">
      <c r="A170" s="246" t="s">
        <v>12834</v>
      </c>
      <c r="B170" s="1378"/>
      <c r="C170" s="1378"/>
      <c r="D170" s="1379" t="s">
        <v>16251</v>
      </c>
      <c r="E170" s="1380"/>
      <c r="F170" s="1381"/>
      <c r="G170" s="1380"/>
      <c r="H170" s="1381"/>
      <c r="I170" s="1382"/>
      <c r="J170" s="1383" t="s">
        <v>16228</v>
      </c>
      <c r="K170" s="1297" t="e">
        <f>VLOOKUP(#REF!,'Medição '!$A:$G,10,0)</f>
        <v>#REF!</v>
      </c>
      <c r="L170" s="386"/>
      <c r="M170" s="262"/>
      <c r="N170" s="262"/>
      <c r="O170" s="262"/>
      <c r="P170" s="262"/>
      <c r="Q170" s="262"/>
      <c r="R170" s="262"/>
      <c r="S170" s="262"/>
      <c r="T170" s="262"/>
      <c r="U170" s="262"/>
      <c r="V170" s="262"/>
      <c r="W170" s="262"/>
      <c r="X170" s="262"/>
      <c r="Y170" s="262"/>
      <c r="Z170" s="262"/>
    </row>
    <row r="171" spans="1:26" ht="38.25" outlineLevel="1">
      <c r="A171" s="1423" t="s">
        <v>12835</v>
      </c>
      <c r="B171" s="559">
        <v>87879</v>
      </c>
      <c r="C171" s="559" t="s">
        <v>14476</v>
      </c>
      <c r="D171" s="658" t="str">
        <f>IFERROR(VLOOKUP($B171,'24.08_ND'!$A$4833:$D$12369,2,0),IFERROR(VLOOKUP($B171,'03-CP'!$C$5:$H$4646,2,0),""))</f>
        <v>CHAPISCO APLICADO EM ALVENARIAS E ESTRUTURAS DE CONCRETO INTERNAS, COM COLHER DE PEDREIRO.  ARGAMASSA TRAÇO 1:3 COM PREPARO EM BETONEIRA 400L. AF_10/2022</v>
      </c>
      <c r="E171" s="1318" t="str">
        <f>IFERROR(VLOOKUP($B171,'24.08_ND'!$A:$D,3,0),IFERROR(VLOOKUP($B171,'03-CP'!$C$5:$H$4646,3,0),""))</f>
        <v>M2</v>
      </c>
      <c r="F171" s="1424">
        <f>SUM(I173)</f>
        <v>830.08</v>
      </c>
      <c r="G171" s="1387"/>
      <c r="H171" s="1387"/>
      <c r="I171" s="1388"/>
      <c r="J171" s="1383" t="s">
        <v>16228</v>
      </c>
      <c r="K171" s="262"/>
      <c r="L171" s="1389" t="s">
        <v>16229</v>
      </c>
      <c r="M171" s="262"/>
      <c r="N171" s="262"/>
      <c r="O171" s="262"/>
      <c r="P171" s="262"/>
      <c r="Q171" s="262"/>
      <c r="R171" s="262"/>
      <c r="S171" s="262"/>
      <c r="T171" s="262"/>
      <c r="U171" s="262"/>
      <c r="V171" s="262"/>
      <c r="W171" s="262"/>
      <c r="X171" s="262"/>
      <c r="Y171" s="262"/>
      <c r="Z171" s="262"/>
    </row>
    <row r="172" spans="1:26" ht="12.75" hidden="1" outlineLevel="1">
      <c r="A172" s="450"/>
      <c r="B172" s="386"/>
      <c r="C172" s="386"/>
      <c r="D172" s="1390" t="s">
        <v>16230</v>
      </c>
      <c r="E172" s="1240" t="s">
        <v>16252</v>
      </c>
      <c r="F172" s="1425" t="s">
        <v>16232</v>
      </c>
      <c r="G172" s="1391" t="s">
        <v>16233</v>
      </c>
      <c r="H172" s="1240" t="s">
        <v>16234</v>
      </c>
      <c r="I172" s="1426" t="s">
        <v>12615</v>
      </c>
      <c r="J172" s="1383" t="s">
        <v>16228</v>
      </c>
      <c r="K172" s="262"/>
      <c r="L172" s="386"/>
      <c r="M172" s="262"/>
      <c r="N172" s="262"/>
      <c r="O172" s="262"/>
      <c r="P172" s="262"/>
      <c r="Q172" s="262"/>
      <c r="R172" s="262"/>
      <c r="S172" s="262"/>
      <c r="T172" s="262"/>
      <c r="U172" s="262"/>
      <c r="V172" s="262"/>
      <c r="W172" s="262"/>
      <c r="X172" s="262"/>
      <c r="Y172" s="262"/>
      <c r="Z172" s="262"/>
    </row>
    <row r="173" spans="1:26" ht="12.75" hidden="1" outlineLevel="1">
      <c r="A173" s="450"/>
      <c r="B173" s="386"/>
      <c r="C173" s="386"/>
      <c r="D173" s="1427" t="s">
        <v>16235</v>
      </c>
      <c r="E173" s="1395"/>
      <c r="F173" s="1396"/>
      <c r="G173" s="1395">
        <v>830.08</v>
      </c>
      <c r="H173" s="1396"/>
      <c r="I173" s="1397">
        <f>G173</f>
        <v>830.08</v>
      </c>
      <c r="J173" s="1383" t="s">
        <v>16228</v>
      </c>
      <c r="K173" s="262"/>
      <c r="L173" s="386"/>
      <c r="M173" s="262"/>
      <c r="N173" s="262"/>
      <c r="O173" s="262"/>
      <c r="P173" s="262"/>
      <c r="Q173" s="262"/>
      <c r="R173" s="262"/>
      <c r="S173" s="262"/>
      <c r="T173" s="262"/>
      <c r="U173" s="262"/>
      <c r="V173" s="262"/>
      <c r="W173" s="262"/>
      <c r="X173" s="262"/>
      <c r="Y173" s="262"/>
      <c r="Z173" s="262"/>
    </row>
    <row r="174" spans="1:26" ht="12.75" hidden="1" outlineLevel="1">
      <c r="A174" s="450"/>
      <c r="B174" s="386"/>
      <c r="C174" s="386"/>
      <c r="D174" s="1428"/>
      <c r="E174" s="1420"/>
      <c r="F174" s="1421"/>
      <c r="G174" s="1420"/>
      <c r="H174" s="1421"/>
      <c r="I174" s="1429"/>
      <c r="J174" s="1383" t="s">
        <v>16228</v>
      </c>
      <c r="K174" s="262"/>
      <c r="L174" s="386"/>
      <c r="M174" s="262"/>
      <c r="N174" s="262"/>
      <c r="O174" s="262"/>
      <c r="P174" s="262"/>
      <c r="Q174" s="262"/>
      <c r="R174" s="262"/>
      <c r="S174" s="262"/>
      <c r="T174" s="262"/>
      <c r="U174" s="262"/>
      <c r="V174" s="262"/>
      <c r="W174" s="262"/>
      <c r="X174" s="262"/>
      <c r="Y174" s="262"/>
      <c r="Z174" s="262"/>
    </row>
    <row r="175" spans="1:26" ht="38.25" outlineLevel="1">
      <c r="A175" s="1423" t="s">
        <v>12836</v>
      </c>
      <c r="B175" s="295">
        <v>87775</v>
      </c>
      <c r="C175" s="559" t="s">
        <v>14476</v>
      </c>
      <c r="D175" s="658" t="str">
        <f>IFERROR(VLOOKUP($B175,'24.08_ND'!$A$4833:$D$12369,2,0),IFERROR(VLOOKUP($B175,'03-CP'!$C$5:$H$4646,2,0),""))</f>
        <v>EMBOÇO OU MASSA ÚNICA EM ARGAMASSA TRAÇO 1:2:8, PREPARO MECÂNICO COM BETONEIRA 400 L, APLICADA MANUALMENTE EM PANOS DE FACHADA COM PRESENÇA DE VÃOS, ESPESSURA DE 25 MM. AF_08/2022</v>
      </c>
      <c r="E175" s="1318" t="str">
        <f>IFERROR(VLOOKUP($B175,'24.08_ND'!$A:$D,3,0),IFERROR(VLOOKUP($B175,'03-CP'!$C$5:$H$4646,3,0),""))</f>
        <v>M2</v>
      </c>
      <c r="F175" s="1424">
        <f>SUM(I177)</f>
        <v>830.08</v>
      </c>
      <c r="G175" s="1430"/>
      <c r="H175" s="1431"/>
      <c r="I175" s="1432"/>
      <c r="J175" s="1383" t="s">
        <v>16228</v>
      </c>
      <c r="K175" s="262"/>
      <c r="L175" s="1389" t="s">
        <v>16229</v>
      </c>
      <c r="M175" s="262"/>
      <c r="N175" s="262"/>
      <c r="O175" s="262"/>
      <c r="P175" s="262"/>
      <c r="Q175" s="262"/>
      <c r="R175" s="262"/>
      <c r="S175" s="262"/>
      <c r="T175" s="262"/>
      <c r="U175" s="262"/>
      <c r="V175" s="262"/>
      <c r="W175" s="262"/>
      <c r="X175" s="262"/>
      <c r="Y175" s="262"/>
      <c r="Z175" s="262"/>
    </row>
    <row r="176" spans="1:26" ht="12.75" hidden="1" outlineLevel="1">
      <c r="A176" s="247"/>
      <c r="B176" s="386"/>
      <c r="C176" s="386"/>
      <c r="D176" s="1390" t="s">
        <v>16230</v>
      </c>
      <c r="E176" s="1240" t="s">
        <v>16252</v>
      </c>
      <c r="F176" s="1425" t="s">
        <v>16232</v>
      </c>
      <c r="G176" s="1391" t="s">
        <v>16233</v>
      </c>
      <c r="H176" s="1240" t="s">
        <v>16234</v>
      </c>
      <c r="I176" s="1426" t="s">
        <v>12615</v>
      </c>
      <c r="J176" s="1383" t="s">
        <v>16228</v>
      </c>
      <c r="K176" s="262"/>
      <c r="L176" s="386"/>
      <c r="M176" s="262"/>
      <c r="N176" s="262"/>
      <c r="O176" s="262"/>
      <c r="P176" s="262"/>
      <c r="Q176" s="262"/>
      <c r="R176" s="262"/>
      <c r="S176" s="262"/>
      <c r="T176" s="262"/>
      <c r="U176" s="262"/>
      <c r="V176" s="262"/>
      <c r="W176" s="262"/>
      <c r="X176" s="262"/>
      <c r="Y176" s="262"/>
      <c r="Z176" s="262"/>
    </row>
    <row r="177" spans="1:26" ht="12.75" hidden="1" outlineLevel="1">
      <c r="A177" s="247"/>
      <c r="B177" s="386"/>
      <c r="C177" s="386"/>
      <c r="D177" s="1427" t="s">
        <v>16235</v>
      </c>
      <c r="E177" s="1395"/>
      <c r="F177" s="1396"/>
      <c r="G177" s="1395">
        <v>830.08</v>
      </c>
      <c r="H177" s="1396"/>
      <c r="I177" s="1397">
        <f>G177</f>
        <v>830.08</v>
      </c>
      <c r="J177" s="1383" t="s">
        <v>16228</v>
      </c>
      <c r="K177" s="262"/>
      <c r="L177" s="386"/>
      <c r="M177" s="262"/>
      <c r="N177" s="262"/>
      <c r="O177" s="262"/>
      <c r="P177" s="262"/>
      <c r="Q177" s="262"/>
      <c r="R177" s="262"/>
      <c r="S177" s="262"/>
      <c r="T177" s="262"/>
      <c r="U177" s="262"/>
      <c r="V177" s="262"/>
      <c r="W177" s="262"/>
      <c r="X177" s="262"/>
      <c r="Y177" s="262"/>
      <c r="Z177" s="262"/>
    </row>
    <row r="178" spans="1:26" ht="12.75" hidden="1" outlineLevel="1">
      <c r="A178" s="247"/>
      <c r="B178" s="386"/>
      <c r="C178" s="386"/>
      <c r="D178" s="253"/>
      <c r="E178" s="1244"/>
      <c r="F178" s="389"/>
      <c r="G178" s="1244"/>
      <c r="H178" s="1244"/>
      <c r="I178" s="1409"/>
      <c r="J178" s="1383" t="s">
        <v>16228</v>
      </c>
      <c r="K178" s="262"/>
      <c r="L178" s="386"/>
      <c r="M178" s="262"/>
      <c r="N178" s="262"/>
      <c r="O178" s="262"/>
      <c r="P178" s="262"/>
      <c r="Q178" s="262"/>
      <c r="R178" s="262"/>
      <c r="S178" s="262"/>
      <c r="T178" s="262"/>
      <c r="U178" s="262"/>
      <c r="V178" s="262"/>
      <c r="W178" s="262"/>
      <c r="X178" s="262"/>
      <c r="Y178" s="262"/>
      <c r="Z178" s="262"/>
    </row>
    <row r="179" spans="1:26" ht="25.5" outlineLevel="1">
      <c r="A179" s="1423" t="s">
        <v>12837</v>
      </c>
      <c r="B179" s="295">
        <v>98555</v>
      </c>
      <c r="C179" s="559" t="s">
        <v>14476</v>
      </c>
      <c r="D179" s="296" t="str">
        <f>IFERROR(VLOOKUP($B179,'24.08_ND'!$A$4833:$D$12369,2,0),IFERROR(VLOOKUP($B179,'03-CP'!$C$5:$H$4646,2,0),""))</f>
        <v>IMPERMEABILIZAÇÃO DE SUPERFÍCIE COM ARGAMASSA POLIMÉRICA / MEMBRANA ACRÍLICA, 3 DEMÃOS. AF_09/2023</v>
      </c>
      <c r="E179" s="1387" t="str">
        <f>IFERROR(VLOOKUP($B179,'24.08_ND'!$A:$D,3,0),IFERROR(VLOOKUP($B179,'03-CP'!$C$5:$H$4646,3,0),""))</f>
        <v>M2</v>
      </c>
      <c r="F179" s="1424">
        <f>SUM(I181:I182)</f>
        <v>143.58000000000001</v>
      </c>
      <c r="G179" s="1433"/>
      <c r="H179" s="1433"/>
      <c r="I179" s="1434"/>
      <c r="J179" s="1383"/>
      <c r="K179" s="262"/>
      <c r="L179" s="1389" t="s">
        <v>16229</v>
      </c>
      <c r="M179" s="262"/>
      <c r="N179" s="262"/>
      <c r="O179" s="262"/>
      <c r="P179" s="262"/>
      <c r="Q179" s="262"/>
      <c r="R179" s="262"/>
      <c r="S179" s="262"/>
      <c r="T179" s="262"/>
      <c r="U179" s="262"/>
      <c r="V179" s="262"/>
      <c r="W179" s="262"/>
      <c r="X179" s="262"/>
      <c r="Y179" s="262"/>
      <c r="Z179" s="262"/>
    </row>
    <row r="180" spans="1:26" ht="12.75" hidden="1" outlineLevel="1">
      <c r="A180" s="247"/>
      <c r="B180" s="386"/>
      <c r="C180" s="386"/>
      <c r="D180" s="1435" t="s">
        <v>16253</v>
      </c>
      <c r="E180" s="1240" t="s">
        <v>16252</v>
      </c>
      <c r="F180" s="1425" t="s">
        <v>16232</v>
      </c>
      <c r="G180" s="1391" t="s">
        <v>16233</v>
      </c>
      <c r="H180" s="1240" t="s">
        <v>16234</v>
      </c>
      <c r="I180" s="1426" t="s">
        <v>12615</v>
      </c>
      <c r="J180" s="1383"/>
      <c r="K180" s="262"/>
      <c r="L180" s="386"/>
      <c r="M180" s="262"/>
      <c r="N180" s="262"/>
      <c r="O180" s="262"/>
      <c r="P180" s="262"/>
      <c r="Q180" s="262"/>
      <c r="R180" s="262"/>
      <c r="S180" s="262"/>
      <c r="T180" s="262"/>
      <c r="U180" s="262"/>
      <c r="V180" s="262"/>
      <c r="W180" s="262"/>
      <c r="X180" s="262"/>
      <c r="Y180" s="262"/>
      <c r="Z180" s="262"/>
    </row>
    <row r="181" spans="1:26" ht="12.75" hidden="1" outlineLevel="1">
      <c r="A181" s="247"/>
      <c r="B181" s="386"/>
      <c r="C181" s="386"/>
      <c r="D181" s="1418" t="s">
        <v>16254</v>
      </c>
      <c r="E181" s="1244"/>
      <c r="F181" s="389"/>
      <c r="G181" s="1244">
        <v>6.4</v>
      </c>
      <c r="H181" s="1244"/>
      <c r="I181" s="1409">
        <f>G181</f>
        <v>6.4</v>
      </c>
      <c r="J181" s="1383"/>
      <c r="K181" s="262"/>
      <c r="L181" s="386"/>
      <c r="M181" s="262"/>
      <c r="N181" s="262"/>
      <c r="O181" s="262"/>
      <c r="P181" s="262"/>
      <c r="Q181" s="262"/>
      <c r="R181" s="262"/>
      <c r="S181" s="262"/>
      <c r="T181" s="262"/>
      <c r="U181" s="262"/>
      <c r="V181" s="262"/>
      <c r="W181" s="262"/>
      <c r="X181" s="262"/>
      <c r="Y181" s="262"/>
      <c r="Z181" s="262"/>
    </row>
    <row r="182" spans="1:26" ht="12.75" hidden="1" outlineLevel="1">
      <c r="A182" s="247"/>
      <c r="B182" s="386"/>
      <c r="C182" s="386"/>
      <c r="D182" s="1422" t="s">
        <v>16255</v>
      </c>
      <c r="E182" s="1248"/>
      <c r="F182" s="1436"/>
      <c r="G182" s="1248">
        <v>137.18</v>
      </c>
      <c r="H182" s="1248"/>
      <c r="I182" s="1281">
        <f>G182</f>
        <v>137.18</v>
      </c>
      <c r="J182" s="1383"/>
      <c r="K182" s="262"/>
      <c r="L182" s="386"/>
      <c r="M182" s="262"/>
      <c r="N182" s="262"/>
      <c r="O182" s="262"/>
      <c r="P182" s="262"/>
      <c r="Q182" s="262"/>
      <c r="R182" s="262"/>
      <c r="S182" s="262"/>
      <c r="T182" s="262"/>
      <c r="U182" s="262"/>
      <c r="V182" s="262"/>
      <c r="W182" s="262"/>
      <c r="X182" s="262"/>
      <c r="Y182" s="262"/>
      <c r="Z182" s="262"/>
    </row>
    <row r="183" spans="1:26" ht="12.75" hidden="1" outlineLevel="1">
      <c r="A183" s="1437"/>
      <c r="B183" s="1438"/>
      <c r="C183" s="1438"/>
      <c r="D183" s="1439"/>
      <c r="E183" s="1440"/>
      <c r="F183" s="1438"/>
      <c r="G183" s="1438"/>
      <c r="H183" s="1438"/>
      <c r="I183" s="1409"/>
      <c r="J183" s="1441"/>
      <c r="K183" s="262"/>
      <c r="L183" s="386"/>
      <c r="M183" s="262"/>
      <c r="N183" s="262"/>
      <c r="O183" s="262"/>
      <c r="P183" s="262"/>
      <c r="Q183" s="262"/>
      <c r="R183" s="262"/>
      <c r="S183" s="262"/>
      <c r="T183" s="262"/>
      <c r="U183" s="262"/>
      <c r="V183" s="262"/>
      <c r="W183" s="262"/>
      <c r="X183" s="262"/>
      <c r="Y183" s="262"/>
      <c r="Z183" s="262"/>
    </row>
    <row r="184" spans="1:26" ht="12.75">
      <c r="A184" s="246" t="s">
        <v>12838</v>
      </c>
      <c r="B184" s="1378"/>
      <c r="C184" s="1378"/>
      <c r="D184" s="1379" t="s">
        <v>16256</v>
      </c>
      <c r="E184" s="1380"/>
      <c r="F184" s="1381"/>
      <c r="G184" s="1380"/>
      <c r="H184" s="1381"/>
      <c r="I184" s="1382"/>
      <c r="J184" s="1383"/>
      <c r="K184" s="262"/>
      <c r="L184" s="386"/>
      <c r="M184" s="262"/>
      <c r="N184" s="262"/>
      <c r="O184" s="262"/>
      <c r="P184" s="262"/>
      <c r="Q184" s="262"/>
      <c r="R184" s="262"/>
      <c r="S184" s="262"/>
      <c r="T184" s="262"/>
      <c r="U184" s="262"/>
      <c r="V184" s="262"/>
      <c r="W184" s="262"/>
      <c r="X184" s="262"/>
      <c r="Y184" s="262"/>
      <c r="Z184" s="262"/>
    </row>
    <row r="185" spans="1:26" ht="38.25" outlineLevel="1">
      <c r="A185" s="248" t="s">
        <v>12839</v>
      </c>
      <c r="B185" s="386">
        <v>94995</v>
      </c>
      <c r="C185" s="386" t="s">
        <v>14476</v>
      </c>
      <c r="D185" s="387" t="str">
        <f>IFERROR(VLOOKUP($B185,'24.08_ND'!$A$4833:$D$12369,2,0),IFERROR(VLOOKUP($B185,'03-CP'!$C$5:$H$4646,2,0),""))</f>
        <v>EXECUÇÃO DE PASSEIO (CALÇADA) OU PISO DE CONCRETO COM CONCRETO MOLDADO IN LOCO, USINADO, ACABAMENTO CONVENCIONAL, ESPESSURA 8 CM, ARMADO. AF_08/2022</v>
      </c>
      <c r="E185" s="1244" t="str">
        <f>IFERROR(VLOOKUP($B185,'24.08_ND'!$A:$D,3,0),IFERROR(VLOOKUP($B185,'03-CP'!$C$5:$H$4646,3,0),""))</f>
        <v>M2</v>
      </c>
      <c r="F185" s="1442">
        <v>366.82</v>
      </c>
      <c r="G185" s="386"/>
      <c r="H185" s="386"/>
      <c r="I185" s="1409"/>
      <c r="J185" s="1441"/>
      <c r="K185" s="262"/>
      <c r="L185" s="386"/>
      <c r="M185" s="262"/>
      <c r="N185" s="262"/>
      <c r="O185" s="262"/>
      <c r="P185" s="262"/>
      <c r="Q185" s="262"/>
      <c r="R185" s="262"/>
      <c r="S185" s="262"/>
      <c r="T185" s="262"/>
      <c r="U185" s="262"/>
      <c r="V185" s="262"/>
      <c r="W185" s="262"/>
      <c r="X185" s="262"/>
      <c r="Y185" s="262"/>
      <c r="Z185" s="262"/>
    </row>
    <row r="186" spans="1:26" ht="25.5" outlineLevel="1">
      <c r="A186" s="1423" t="s">
        <v>12840</v>
      </c>
      <c r="B186" s="295" t="s">
        <v>14729</v>
      </c>
      <c r="C186" s="295" t="s">
        <v>14472</v>
      </c>
      <c r="D186" s="658" t="str">
        <f>IFERROR(VLOOKUP($B186,'24.08_ND'!$A$4833:$D$12369,2,0),IFERROR(VLOOKUP($B186,'03-CP'!$C$5:$H$4646,2,0),""))</f>
        <v>REVESTIMENTO INTERNO, ACETINADO, OLD ROSE GROOVE, BORDA RETA, DIMENSÕES 30X90CM. FORNECIMENTO E APLICAÇÃO</v>
      </c>
      <c r="E186" s="1318" t="str">
        <f>IFERROR(VLOOKUP($B186,'24.08_ND'!$A:$D,3,0),IFERROR(VLOOKUP($B186,'03-CP'!$C$5:$H$4646,3,0),""))</f>
        <v>M2</v>
      </c>
      <c r="F186" s="1424">
        <f>I188</f>
        <v>173.43</v>
      </c>
      <c r="G186" s="1387"/>
      <c r="H186" s="1387"/>
      <c r="I186" s="1388"/>
      <c r="J186" s="1383" t="s">
        <v>16228</v>
      </c>
      <c r="K186" s="262"/>
      <c r="L186" s="1389" t="s">
        <v>16229</v>
      </c>
      <c r="M186" s="262"/>
      <c r="N186" s="262"/>
      <c r="O186" s="262"/>
      <c r="P186" s="262"/>
      <c r="Q186" s="262"/>
      <c r="R186" s="262"/>
      <c r="S186" s="262"/>
      <c r="T186" s="262"/>
      <c r="U186" s="262"/>
      <c r="V186" s="262"/>
      <c r="W186" s="262"/>
      <c r="X186" s="262"/>
      <c r="Y186" s="262"/>
      <c r="Z186" s="262"/>
    </row>
    <row r="187" spans="1:26" ht="12.75" hidden="1" outlineLevel="1">
      <c r="A187" s="450"/>
      <c r="B187" s="386"/>
      <c r="C187" s="386"/>
      <c r="D187" s="1435" t="s">
        <v>16253</v>
      </c>
      <c r="E187" s="1240" t="s">
        <v>16252</v>
      </c>
      <c r="F187" s="1425" t="s">
        <v>16232</v>
      </c>
      <c r="G187" s="1391" t="s">
        <v>16233</v>
      </c>
      <c r="H187" s="1240" t="s">
        <v>16234</v>
      </c>
      <c r="I187" s="1426" t="s">
        <v>12615</v>
      </c>
      <c r="J187" s="1383" t="s">
        <v>16228</v>
      </c>
      <c r="K187" s="262"/>
      <c r="L187" s="386"/>
      <c r="M187" s="262"/>
      <c r="N187" s="262"/>
      <c r="O187" s="262"/>
      <c r="P187" s="262"/>
      <c r="Q187" s="262"/>
      <c r="R187" s="262"/>
      <c r="S187" s="262"/>
      <c r="T187" s="262"/>
      <c r="U187" s="262"/>
      <c r="V187" s="262"/>
      <c r="W187" s="262"/>
      <c r="X187" s="262"/>
      <c r="Y187" s="262"/>
      <c r="Z187" s="262"/>
    </row>
    <row r="188" spans="1:26" ht="12.75" hidden="1" outlineLevel="1">
      <c r="A188" s="450"/>
      <c r="B188" s="386"/>
      <c r="C188" s="386"/>
      <c r="D188" s="1422" t="s">
        <v>16257</v>
      </c>
      <c r="E188" s="1248"/>
      <c r="F188" s="1436"/>
      <c r="G188" s="1248">
        <v>173.43</v>
      </c>
      <c r="H188" s="1248"/>
      <c r="I188" s="1281">
        <f>G188</f>
        <v>173.43</v>
      </c>
      <c r="J188" s="1383" t="s">
        <v>16228</v>
      </c>
      <c r="K188" s="262"/>
      <c r="L188" s="386"/>
      <c r="M188" s="262"/>
      <c r="N188" s="262"/>
      <c r="O188" s="262"/>
      <c r="P188" s="262"/>
      <c r="Q188" s="262"/>
      <c r="R188" s="262"/>
      <c r="S188" s="262"/>
      <c r="T188" s="262"/>
      <c r="U188" s="262"/>
      <c r="V188" s="262"/>
      <c r="W188" s="262"/>
      <c r="X188" s="262"/>
      <c r="Y188" s="262"/>
      <c r="Z188" s="262"/>
    </row>
    <row r="189" spans="1:26" ht="12.75" hidden="1" outlineLevel="1">
      <c r="A189" s="450"/>
      <c r="B189" s="386"/>
      <c r="C189" s="386"/>
      <c r="D189" s="1428"/>
      <c r="E189" s="1420"/>
      <c r="F189" s="1421"/>
      <c r="G189" s="1420"/>
      <c r="H189" s="1421"/>
      <c r="I189" s="1429"/>
      <c r="J189" s="1383" t="s">
        <v>16228</v>
      </c>
      <c r="K189" s="262"/>
      <c r="L189" s="386"/>
      <c r="M189" s="262"/>
      <c r="N189" s="262"/>
      <c r="O189" s="262"/>
      <c r="P189" s="262"/>
      <c r="Q189" s="262"/>
      <c r="R189" s="262"/>
      <c r="S189" s="262"/>
      <c r="T189" s="262"/>
      <c r="U189" s="262"/>
      <c r="V189" s="262"/>
      <c r="W189" s="262"/>
      <c r="X189" s="262"/>
      <c r="Y189" s="262"/>
      <c r="Z189" s="262"/>
    </row>
    <row r="190" spans="1:26" ht="25.5" outlineLevel="1">
      <c r="A190" s="1423" t="s">
        <v>12841</v>
      </c>
      <c r="B190" s="295" t="s">
        <v>14732</v>
      </c>
      <c r="C190" s="295" t="s">
        <v>14472</v>
      </c>
      <c r="D190" s="658" t="str">
        <f>IFERROR(VLOOKUP($B190,'24.08_ND'!$A$4833:$D$12369,2,0),IFERROR(VLOOKUP($B190,'03-CP'!$C$5:$H$4646,2,0),""))</f>
        <v>REVESTIMENTO INTERNO, ACETINADO, CANELA DECOR RIPADO, BORDA RETA, DIMENSÕES 30X90CM. FORNECIMENTO E APLICAÇÃO</v>
      </c>
      <c r="E190" s="1318" t="str">
        <f>IFERROR(VLOOKUP($B190,'24.08_ND'!$A:$D,3,0),IFERROR(VLOOKUP($B190,'03-CP'!$C$5:$H$4646,3,0),""))</f>
        <v>M2</v>
      </c>
      <c r="F190" s="1424">
        <f>SUM(I192)</f>
        <v>13.09</v>
      </c>
      <c r="G190" s="1387"/>
      <c r="H190" s="1387"/>
      <c r="I190" s="1388"/>
      <c r="J190" s="1383" t="s">
        <v>16228</v>
      </c>
      <c r="K190" s="262"/>
      <c r="L190" s="1389" t="s">
        <v>16229</v>
      </c>
      <c r="M190" s="262"/>
      <c r="N190" s="262"/>
      <c r="O190" s="262"/>
      <c r="P190" s="262"/>
      <c r="Q190" s="262"/>
      <c r="R190" s="262"/>
      <c r="S190" s="262"/>
      <c r="T190" s="262"/>
      <c r="U190" s="262"/>
      <c r="V190" s="262"/>
      <c r="W190" s="262"/>
      <c r="X190" s="262"/>
      <c r="Y190" s="262"/>
      <c r="Z190" s="262"/>
    </row>
    <row r="191" spans="1:26" ht="12.75" hidden="1" outlineLevel="1">
      <c r="A191" s="1401"/>
      <c r="B191" s="512"/>
      <c r="C191" s="512"/>
      <c r="D191" s="1390" t="s">
        <v>16230</v>
      </c>
      <c r="E191" s="1240" t="s">
        <v>16252</v>
      </c>
      <c r="F191" s="1425" t="s">
        <v>16232</v>
      </c>
      <c r="G191" s="1391" t="s">
        <v>16233</v>
      </c>
      <c r="H191" s="1240" t="s">
        <v>16234</v>
      </c>
      <c r="I191" s="1426" t="s">
        <v>12615</v>
      </c>
      <c r="J191" s="1383" t="s">
        <v>16228</v>
      </c>
      <c r="K191" s="262"/>
      <c r="L191" s="386"/>
      <c r="M191" s="262"/>
      <c r="N191" s="262"/>
      <c r="O191" s="262"/>
      <c r="P191" s="262"/>
      <c r="Q191" s="262"/>
      <c r="R191" s="262"/>
      <c r="S191" s="262"/>
      <c r="T191" s="262"/>
      <c r="U191" s="262"/>
      <c r="V191" s="262"/>
      <c r="W191" s="262"/>
      <c r="X191" s="262"/>
      <c r="Y191" s="262"/>
      <c r="Z191" s="262"/>
    </row>
    <row r="192" spans="1:26" ht="12.75" hidden="1" outlineLevel="1">
      <c r="A192" s="247"/>
      <c r="B192" s="386"/>
      <c r="C192" s="386"/>
      <c r="D192" s="1427" t="s">
        <v>16258</v>
      </c>
      <c r="E192" s="1395"/>
      <c r="F192" s="1396"/>
      <c r="G192" s="1395">
        <v>13.09</v>
      </c>
      <c r="H192" s="1396"/>
      <c r="I192" s="1281">
        <f>G192</f>
        <v>13.09</v>
      </c>
      <c r="J192" s="1383" t="s">
        <v>16228</v>
      </c>
      <c r="K192" s="262"/>
      <c r="L192" s="386"/>
      <c r="M192" s="262"/>
      <c r="N192" s="262"/>
      <c r="O192" s="262"/>
      <c r="P192" s="262"/>
      <c r="Q192" s="262"/>
      <c r="R192" s="262"/>
      <c r="S192" s="262"/>
      <c r="T192" s="262"/>
      <c r="U192" s="262"/>
      <c r="V192" s="262"/>
      <c r="W192" s="262"/>
      <c r="X192" s="262"/>
      <c r="Y192" s="262"/>
      <c r="Z192" s="262"/>
    </row>
    <row r="193" spans="1:26" ht="12.75" hidden="1" outlineLevel="1">
      <c r="A193" s="247"/>
      <c r="B193" s="386"/>
      <c r="C193" s="386"/>
      <c r="D193" s="253"/>
      <c r="E193" s="1244"/>
      <c r="F193" s="389"/>
      <c r="G193" s="1244"/>
      <c r="H193" s="1244"/>
      <c r="I193" s="1409"/>
      <c r="J193" s="1383" t="s">
        <v>16228</v>
      </c>
      <c r="K193" s="262"/>
      <c r="L193" s="386"/>
      <c r="M193" s="262"/>
      <c r="N193" s="262"/>
      <c r="O193" s="262"/>
      <c r="P193" s="262"/>
      <c r="Q193" s="262"/>
      <c r="R193" s="262"/>
      <c r="S193" s="262"/>
      <c r="T193" s="262"/>
      <c r="U193" s="262"/>
      <c r="V193" s="262"/>
      <c r="W193" s="262"/>
      <c r="X193" s="262"/>
      <c r="Y193" s="262"/>
      <c r="Z193" s="262"/>
    </row>
    <row r="194" spans="1:26" ht="25.5" outlineLevel="1">
      <c r="A194" s="1423" t="s">
        <v>12842</v>
      </c>
      <c r="B194" s="295" t="s">
        <v>14734</v>
      </c>
      <c r="C194" s="295" t="s">
        <v>14472</v>
      </c>
      <c r="D194" s="658" t="str">
        <f>IFERROR(VLOOKUP($B194,'24.08_ND'!$A$4833:$D$12369,2,0),IFERROR(VLOOKUP($B194,'03-CP'!$C$5:$H$4646,2,0),""))</f>
        <v>REVESTIMENTO, MONOCOLOR ROSA BRILHANTE - KREA ROSE, BORDA ARREDONDADA, DIMENSÕES 10X40CM. FORNECIMENTO E APLICAÇÃO</v>
      </c>
      <c r="E194" s="1318" t="str">
        <f>IFERROR(VLOOKUP($B194,'24.08_ND'!$A:$D,3,0),IFERROR(VLOOKUP($B194,'03-CP'!$C$5:$H$4646,3,0),""))</f>
        <v>M2</v>
      </c>
      <c r="F194" s="1424">
        <f>SUM(I196)</f>
        <v>28.22</v>
      </c>
      <c r="G194" s="1387"/>
      <c r="H194" s="1387"/>
      <c r="I194" s="1388"/>
      <c r="J194" s="1383" t="s">
        <v>16228</v>
      </c>
      <c r="K194" s="262"/>
      <c r="L194" s="1389" t="s">
        <v>16229</v>
      </c>
      <c r="M194" s="262"/>
      <c r="N194" s="262"/>
      <c r="O194" s="262"/>
      <c r="P194" s="262"/>
      <c r="Q194" s="262"/>
      <c r="R194" s="262"/>
      <c r="S194" s="262"/>
      <c r="T194" s="262"/>
      <c r="U194" s="262"/>
      <c r="V194" s="262"/>
      <c r="W194" s="262"/>
      <c r="X194" s="262"/>
      <c r="Y194" s="262"/>
      <c r="Z194" s="262"/>
    </row>
    <row r="195" spans="1:26" ht="12.75" hidden="1" outlineLevel="1">
      <c r="A195" s="1401"/>
      <c r="B195" s="451"/>
      <c r="C195" s="386"/>
      <c r="D195" s="1390" t="s">
        <v>16230</v>
      </c>
      <c r="E195" s="1240" t="s">
        <v>16252</v>
      </c>
      <c r="F195" s="1425" t="s">
        <v>16232</v>
      </c>
      <c r="G195" s="1391" t="s">
        <v>16233</v>
      </c>
      <c r="H195" s="1240" t="s">
        <v>16234</v>
      </c>
      <c r="I195" s="1426" t="s">
        <v>12615</v>
      </c>
      <c r="J195" s="1383" t="s">
        <v>16228</v>
      </c>
      <c r="K195" s="262"/>
      <c r="L195" s="386"/>
      <c r="M195" s="262"/>
      <c r="N195" s="262"/>
      <c r="O195" s="262"/>
      <c r="P195" s="262"/>
      <c r="Q195" s="262"/>
      <c r="R195" s="262"/>
      <c r="S195" s="262"/>
      <c r="T195" s="262"/>
      <c r="U195" s="262"/>
      <c r="V195" s="262"/>
      <c r="W195" s="262"/>
      <c r="X195" s="262"/>
      <c r="Y195" s="262"/>
      <c r="Z195" s="262"/>
    </row>
    <row r="196" spans="1:26" ht="12.75" hidden="1" outlineLevel="1">
      <c r="A196" s="1401"/>
      <c r="B196" s="451"/>
      <c r="C196" s="386"/>
      <c r="D196" s="1427" t="s">
        <v>16259</v>
      </c>
      <c r="E196" s="1395"/>
      <c r="F196" s="1396"/>
      <c r="G196" s="1443">
        <v>28.22</v>
      </c>
      <c r="H196" s="1396"/>
      <c r="I196" s="1281">
        <f>G196</f>
        <v>28.22</v>
      </c>
      <c r="J196" s="1383" t="s">
        <v>16228</v>
      </c>
      <c r="K196" s="262"/>
      <c r="L196" s="386"/>
      <c r="M196" s="262"/>
      <c r="N196" s="262"/>
      <c r="O196" s="262"/>
      <c r="P196" s="262"/>
      <c r="Q196" s="262"/>
      <c r="R196" s="262"/>
      <c r="S196" s="262"/>
      <c r="T196" s="262"/>
      <c r="U196" s="262"/>
      <c r="V196" s="262"/>
      <c r="W196" s="262"/>
      <c r="X196" s="262"/>
      <c r="Y196" s="262"/>
      <c r="Z196" s="262"/>
    </row>
    <row r="197" spans="1:26" ht="12.75" hidden="1" outlineLevel="1">
      <c r="A197" s="247"/>
      <c r="B197" s="386"/>
      <c r="C197" s="386"/>
      <c r="D197" s="253"/>
      <c r="E197" s="1244"/>
      <c r="F197" s="389"/>
      <c r="G197" s="1244"/>
      <c r="H197" s="1244"/>
      <c r="I197" s="1409"/>
      <c r="J197" s="1383" t="s">
        <v>16228</v>
      </c>
      <c r="K197" s="262"/>
      <c r="L197" s="386"/>
      <c r="M197" s="262"/>
      <c r="N197" s="262"/>
      <c r="O197" s="262"/>
      <c r="P197" s="262"/>
      <c r="Q197" s="262"/>
      <c r="R197" s="262"/>
      <c r="S197" s="262"/>
      <c r="T197" s="262"/>
      <c r="U197" s="262"/>
      <c r="V197" s="262"/>
      <c r="W197" s="262"/>
      <c r="X197" s="262"/>
      <c r="Y197" s="262"/>
      <c r="Z197" s="262"/>
    </row>
    <row r="198" spans="1:26" ht="25.5" outlineLevel="1">
      <c r="A198" s="1423" t="s">
        <v>12843</v>
      </c>
      <c r="B198" s="295" t="s">
        <v>14737</v>
      </c>
      <c r="C198" s="295" t="s">
        <v>14472</v>
      </c>
      <c r="D198" s="658" t="str">
        <f>IFERROR(VLOOKUP($B198,'24.08_ND'!$A$4833:$D$12369,2,0),IFERROR(VLOOKUP($B198,'03-CP'!$C$5:$H$4646,2,0),""))</f>
        <v>REVESTIMENTO, MONOCOLOR BEGE ACETINADO - KREA ARTIC, BORDA ARREDONDADA, DIMENSÕES 10X40CM. FORNECIMENTO E APLICAÇÃO</v>
      </c>
      <c r="E198" s="1318" t="str">
        <f>IFERROR(VLOOKUP($B198,'24.08_ND'!$A:$D,3,0),IFERROR(VLOOKUP($B198,'03-CP'!$C$5:$H$4646,3,0),""))</f>
        <v>M2</v>
      </c>
      <c r="F198" s="1424">
        <f>SUM(I200)</f>
        <v>40.78</v>
      </c>
      <c r="G198" s="1387"/>
      <c r="H198" s="1387"/>
      <c r="I198" s="1388"/>
      <c r="J198" s="1383" t="s">
        <v>16228</v>
      </c>
      <c r="K198" s="262"/>
      <c r="L198" s="1389" t="s">
        <v>16229</v>
      </c>
      <c r="M198" s="262"/>
      <c r="N198" s="262"/>
      <c r="O198" s="262"/>
      <c r="P198" s="262"/>
      <c r="Q198" s="262"/>
      <c r="R198" s="262"/>
      <c r="S198" s="262"/>
      <c r="T198" s="262"/>
      <c r="U198" s="262"/>
      <c r="V198" s="262"/>
      <c r="W198" s="262"/>
      <c r="X198" s="262"/>
      <c r="Y198" s="262"/>
      <c r="Z198" s="262"/>
    </row>
    <row r="199" spans="1:26" ht="12.75" hidden="1" outlineLevel="1">
      <c r="A199" s="450"/>
      <c r="B199" s="512"/>
      <c r="C199" s="512"/>
      <c r="D199" s="1390" t="s">
        <v>16230</v>
      </c>
      <c r="E199" s="1240" t="s">
        <v>16252</v>
      </c>
      <c r="F199" s="1425" t="s">
        <v>16232</v>
      </c>
      <c r="G199" s="1391" t="s">
        <v>16233</v>
      </c>
      <c r="H199" s="1240" t="s">
        <v>16234</v>
      </c>
      <c r="I199" s="1426" t="s">
        <v>12615</v>
      </c>
      <c r="J199" s="1383" t="s">
        <v>16228</v>
      </c>
      <c r="K199" s="262"/>
      <c r="L199" s="386"/>
      <c r="M199" s="262"/>
      <c r="N199" s="262"/>
      <c r="O199" s="262"/>
      <c r="P199" s="262"/>
      <c r="Q199" s="262"/>
      <c r="R199" s="262"/>
      <c r="S199" s="262"/>
      <c r="T199" s="262"/>
      <c r="U199" s="262"/>
      <c r="V199" s="262"/>
      <c r="W199" s="262"/>
      <c r="X199" s="262"/>
      <c r="Y199" s="262"/>
      <c r="Z199" s="262"/>
    </row>
    <row r="200" spans="1:26" ht="12.75" hidden="1" outlineLevel="1">
      <c r="A200" s="450"/>
      <c r="B200" s="386"/>
      <c r="C200" s="386"/>
      <c r="D200" s="1427" t="s">
        <v>16260</v>
      </c>
      <c r="E200" s="1395"/>
      <c r="F200" s="1396"/>
      <c r="G200" s="1443">
        <v>40.78</v>
      </c>
      <c r="H200" s="1396"/>
      <c r="I200" s="1281">
        <f>G200</f>
        <v>40.78</v>
      </c>
      <c r="J200" s="1383" t="s">
        <v>16228</v>
      </c>
      <c r="K200" s="262"/>
      <c r="L200" s="386"/>
      <c r="M200" s="262"/>
      <c r="N200" s="262"/>
      <c r="O200" s="262"/>
      <c r="P200" s="262"/>
      <c r="Q200" s="262"/>
      <c r="R200" s="262"/>
      <c r="S200" s="262"/>
      <c r="T200" s="262"/>
      <c r="U200" s="262"/>
      <c r="V200" s="262"/>
      <c r="W200" s="262"/>
      <c r="X200" s="262"/>
      <c r="Y200" s="262"/>
      <c r="Z200" s="262"/>
    </row>
    <row r="201" spans="1:26" ht="12.75" hidden="1" outlineLevel="1">
      <c r="A201" s="247"/>
      <c r="B201" s="386"/>
      <c r="C201" s="386"/>
      <c r="D201" s="253"/>
      <c r="E201" s="1244"/>
      <c r="F201" s="389"/>
      <c r="G201" s="1244"/>
      <c r="H201" s="1244"/>
      <c r="I201" s="1409"/>
      <c r="J201" s="1383" t="s">
        <v>16228</v>
      </c>
      <c r="K201" s="262"/>
      <c r="L201" s="386"/>
      <c r="M201" s="262"/>
      <c r="N201" s="262"/>
      <c r="O201" s="262"/>
      <c r="P201" s="262"/>
      <c r="Q201" s="262"/>
      <c r="R201" s="262"/>
      <c r="S201" s="262"/>
      <c r="T201" s="262"/>
      <c r="U201" s="262"/>
      <c r="V201" s="262"/>
      <c r="W201" s="262"/>
      <c r="X201" s="262"/>
      <c r="Y201" s="262"/>
      <c r="Z201" s="262"/>
    </row>
    <row r="202" spans="1:26" ht="25.5" outlineLevel="1">
      <c r="A202" s="1423" t="s">
        <v>12844</v>
      </c>
      <c r="B202" s="295" t="s">
        <v>14739</v>
      </c>
      <c r="C202" s="295" t="s">
        <v>14472</v>
      </c>
      <c r="D202" s="658" t="str">
        <f>IFERROR(VLOOKUP($B202,'24.08_ND'!$A$4833:$D$12369,2,0),IFERROR(VLOOKUP($B202,'03-CP'!$C$5:$H$4646,2,0),""))</f>
        <v>REVESTIMENTO, MONOCOLOR VERDE BRILHANTE - KREA ACQUA, BORDA ARREDONDADA, DIMENSÕES 10X40CM. FORNECIMENTO E APLICAÇÃO</v>
      </c>
      <c r="E202" s="1318" t="str">
        <f>IFERROR(VLOOKUP($B202,'24.08_ND'!$A:$D,3,0),IFERROR(VLOOKUP($B202,'03-CP'!$C$5:$H$4646,3,0),""))</f>
        <v>M2</v>
      </c>
      <c r="F202" s="1424">
        <f>SUM(I204)</f>
        <v>28.88</v>
      </c>
      <c r="G202" s="1387"/>
      <c r="H202" s="1387"/>
      <c r="I202" s="1388"/>
      <c r="J202" s="1383"/>
      <c r="K202" s="262"/>
      <c r="L202" s="1389" t="s">
        <v>16229</v>
      </c>
      <c r="M202" s="262"/>
      <c r="N202" s="262"/>
      <c r="O202" s="262"/>
      <c r="P202" s="262"/>
      <c r="Q202" s="262"/>
      <c r="R202" s="262"/>
      <c r="S202" s="262"/>
      <c r="T202" s="262"/>
      <c r="U202" s="262"/>
      <c r="V202" s="262"/>
      <c r="W202" s="262"/>
      <c r="X202" s="262"/>
      <c r="Y202" s="262"/>
      <c r="Z202" s="262"/>
    </row>
    <row r="203" spans="1:26" ht="12.75" hidden="1" outlineLevel="1">
      <c r="A203" s="1401"/>
      <c r="B203" s="512"/>
      <c r="C203" s="512"/>
      <c r="D203" s="1390" t="s">
        <v>16230</v>
      </c>
      <c r="E203" s="1240" t="s">
        <v>16252</v>
      </c>
      <c r="F203" s="1425" t="s">
        <v>16232</v>
      </c>
      <c r="G203" s="1391" t="s">
        <v>16233</v>
      </c>
      <c r="H203" s="1240" t="s">
        <v>16234</v>
      </c>
      <c r="I203" s="1426" t="s">
        <v>12615</v>
      </c>
      <c r="J203" s="1383"/>
      <c r="K203" s="262"/>
      <c r="L203" s="386"/>
      <c r="M203" s="262"/>
      <c r="N203" s="262"/>
      <c r="O203" s="262"/>
      <c r="P203" s="262"/>
      <c r="Q203" s="262"/>
      <c r="R203" s="262"/>
      <c r="S203" s="262"/>
      <c r="T203" s="262"/>
      <c r="U203" s="262"/>
      <c r="V203" s="262"/>
      <c r="W203" s="262"/>
      <c r="X203" s="262"/>
      <c r="Y203" s="262"/>
      <c r="Z203" s="262"/>
    </row>
    <row r="204" spans="1:26" ht="12.75" hidden="1" outlineLevel="1">
      <c r="A204" s="247"/>
      <c r="B204" s="386"/>
      <c r="C204" s="386"/>
      <c r="D204" s="1427" t="s">
        <v>16261</v>
      </c>
      <c r="E204" s="1395"/>
      <c r="F204" s="1396"/>
      <c r="G204" s="1443">
        <v>28.88</v>
      </c>
      <c r="H204" s="1396"/>
      <c r="I204" s="1281">
        <f>G204</f>
        <v>28.88</v>
      </c>
      <c r="J204" s="1383"/>
      <c r="K204" s="262"/>
      <c r="L204" s="386"/>
      <c r="M204" s="262"/>
      <c r="N204" s="262"/>
      <c r="O204" s="262"/>
      <c r="P204" s="262"/>
      <c r="Q204" s="262"/>
      <c r="R204" s="262"/>
      <c r="S204" s="262"/>
      <c r="T204" s="262"/>
      <c r="U204" s="262"/>
      <c r="V204" s="262"/>
      <c r="W204" s="262"/>
      <c r="X204" s="262"/>
      <c r="Y204" s="262"/>
      <c r="Z204" s="262"/>
    </row>
    <row r="205" spans="1:26" ht="12.75" hidden="1" outlineLevel="1">
      <c r="A205" s="247"/>
      <c r="B205" s="386"/>
      <c r="C205" s="386"/>
      <c r="D205" s="253"/>
      <c r="E205" s="1244"/>
      <c r="F205" s="389"/>
      <c r="G205" s="1244"/>
      <c r="H205" s="1244"/>
      <c r="I205" s="1409"/>
      <c r="J205" s="1383"/>
      <c r="K205" s="262"/>
      <c r="L205" s="386"/>
      <c r="M205" s="262"/>
      <c r="N205" s="262"/>
      <c r="O205" s="262"/>
      <c r="P205" s="262"/>
      <c r="Q205" s="262"/>
      <c r="R205" s="262"/>
      <c r="S205" s="262"/>
      <c r="T205" s="262"/>
      <c r="U205" s="262"/>
      <c r="V205" s="262"/>
      <c r="W205" s="262"/>
      <c r="X205" s="262"/>
      <c r="Y205" s="262"/>
      <c r="Z205" s="262"/>
    </row>
    <row r="206" spans="1:26" ht="25.5" outlineLevel="1">
      <c r="A206" s="1423" t="s">
        <v>12845</v>
      </c>
      <c r="B206" s="295" t="s">
        <v>14741</v>
      </c>
      <c r="C206" s="295" t="s">
        <v>14472</v>
      </c>
      <c r="D206" s="658" t="str">
        <f>IFERROR(VLOOKUP($B206,'24.08_ND'!$A$4833:$D$12369,2,0),IFERROR(VLOOKUP($B206,'03-CP'!$C$5:$H$4646,2,0),""))</f>
        <v>REVESTIMENTO, PEDRA RÚSTICA REGIONAL, TONALIDADE AREIA. FORNECIMENTO E APLICAÇÃO</v>
      </c>
      <c r="E206" s="1318" t="str">
        <f>IFERROR(VLOOKUP($B206,'24.08_ND'!$A:$D,3,0),IFERROR(VLOOKUP($B206,'03-CP'!$C$5:$H$4646,3,0),""))</f>
        <v>M2</v>
      </c>
      <c r="F206" s="1424">
        <f>SUM(I208)</f>
        <v>25.85</v>
      </c>
      <c r="G206" s="1387"/>
      <c r="H206" s="1387"/>
      <c r="I206" s="1388"/>
      <c r="J206" s="1383"/>
      <c r="K206" s="262"/>
      <c r="L206" s="1389" t="s">
        <v>16229</v>
      </c>
      <c r="M206" s="262"/>
      <c r="N206" s="262"/>
      <c r="O206" s="262"/>
      <c r="P206" s="262"/>
      <c r="Q206" s="262"/>
      <c r="R206" s="262"/>
      <c r="S206" s="262"/>
      <c r="T206" s="262"/>
      <c r="U206" s="262"/>
      <c r="V206" s="262"/>
      <c r="W206" s="262"/>
      <c r="X206" s="262"/>
      <c r="Y206" s="262"/>
      <c r="Z206" s="262"/>
    </row>
    <row r="207" spans="1:26" ht="12.75" hidden="1" outlineLevel="1">
      <c r="A207" s="450"/>
      <c r="B207" s="512"/>
      <c r="C207" s="512"/>
      <c r="D207" s="1390" t="s">
        <v>16230</v>
      </c>
      <c r="E207" s="1240" t="s">
        <v>16252</v>
      </c>
      <c r="F207" s="1425" t="s">
        <v>16232</v>
      </c>
      <c r="G207" s="1391" t="s">
        <v>16233</v>
      </c>
      <c r="H207" s="1240" t="s">
        <v>16234</v>
      </c>
      <c r="I207" s="1426" t="s">
        <v>12615</v>
      </c>
      <c r="J207" s="1383"/>
      <c r="K207" s="262"/>
      <c r="L207" s="386"/>
      <c r="M207" s="262"/>
      <c r="N207" s="262"/>
      <c r="O207" s="262"/>
      <c r="P207" s="262"/>
      <c r="Q207" s="262"/>
      <c r="R207" s="262"/>
      <c r="S207" s="262"/>
      <c r="T207" s="262"/>
      <c r="U207" s="262"/>
      <c r="V207" s="262"/>
      <c r="W207" s="262"/>
      <c r="X207" s="262"/>
      <c r="Y207" s="262"/>
      <c r="Z207" s="262"/>
    </row>
    <row r="208" spans="1:26" ht="12.75" hidden="1" outlineLevel="1">
      <c r="A208" s="450"/>
      <c r="B208" s="386"/>
      <c r="C208" s="386"/>
      <c r="D208" s="1427" t="s">
        <v>16262</v>
      </c>
      <c r="E208" s="1395"/>
      <c r="F208" s="1396"/>
      <c r="G208" s="1443">
        <v>25.85</v>
      </c>
      <c r="H208" s="1396"/>
      <c r="I208" s="1281">
        <f>G208</f>
        <v>25.85</v>
      </c>
      <c r="J208" s="1383"/>
      <c r="K208" s="262"/>
      <c r="L208" s="386"/>
      <c r="M208" s="262"/>
      <c r="N208" s="262"/>
      <c r="O208" s="262"/>
      <c r="P208" s="262"/>
      <c r="Q208" s="262"/>
      <c r="R208" s="262"/>
      <c r="S208" s="262"/>
      <c r="T208" s="262"/>
      <c r="U208" s="262"/>
      <c r="V208" s="262"/>
      <c r="W208" s="262"/>
      <c r="X208" s="262"/>
      <c r="Y208" s="262"/>
      <c r="Z208" s="262"/>
    </row>
    <row r="209" spans="1:26" ht="12.75" hidden="1" outlineLevel="1">
      <c r="A209" s="247"/>
      <c r="B209" s="386"/>
      <c r="C209" s="386"/>
      <c r="D209" s="253"/>
      <c r="E209" s="1244"/>
      <c r="F209" s="389"/>
      <c r="G209" s="1244"/>
      <c r="H209" s="1244"/>
      <c r="I209" s="1409"/>
      <c r="J209" s="1383"/>
      <c r="K209" s="262"/>
      <c r="L209" s="386"/>
      <c r="M209" s="262"/>
      <c r="N209" s="262"/>
      <c r="O209" s="262"/>
      <c r="P209" s="262"/>
      <c r="Q209" s="262"/>
      <c r="R209" s="262"/>
      <c r="S209" s="262"/>
      <c r="T209" s="262"/>
      <c r="U209" s="262"/>
      <c r="V209" s="262"/>
      <c r="W209" s="262"/>
      <c r="X209" s="262"/>
      <c r="Y209" s="262"/>
      <c r="Z209" s="262"/>
    </row>
    <row r="210" spans="1:26" ht="25.5" outlineLevel="1">
      <c r="A210" s="1423" t="s">
        <v>12846</v>
      </c>
      <c r="B210" s="295" t="s">
        <v>14744</v>
      </c>
      <c r="C210" s="295" t="s">
        <v>14472</v>
      </c>
      <c r="D210" s="658" t="str">
        <f>IFERROR(VLOOKUP($B210,'24.08_ND'!$A$4833:$D$12369,2,0),IFERROR(VLOOKUP($B210,'03-CP'!$C$5:$H$4646,2,0),""))</f>
        <v>REVESTIMENTO CIMENTÍCIO, ACETINADO, BORDA RETA, DIMENSÕES 100X100 CM, MUNICH SGR. FORNECIMENTO E APLICAÇÃO</v>
      </c>
      <c r="E210" s="1318" t="str">
        <f>IFERROR(VLOOKUP($B210,'24.08_ND'!$A:$D,3,0),IFERROR(VLOOKUP($B210,'03-CP'!$C$5:$H$4646,3,0),""))</f>
        <v>M2</v>
      </c>
      <c r="F210" s="1424">
        <f>SUM(I212:I213)</f>
        <v>92.19</v>
      </c>
      <c r="G210" s="1387"/>
      <c r="H210" s="1387"/>
      <c r="I210" s="1388"/>
      <c r="J210" s="1383"/>
      <c r="K210" s="262"/>
      <c r="L210" s="1389" t="s">
        <v>16229</v>
      </c>
      <c r="M210" s="262"/>
      <c r="N210" s="262"/>
      <c r="O210" s="262"/>
      <c r="P210" s="262"/>
      <c r="Q210" s="262"/>
      <c r="R210" s="262"/>
      <c r="S210" s="262"/>
      <c r="T210" s="262"/>
      <c r="U210" s="262"/>
      <c r="V210" s="262"/>
      <c r="W210" s="262"/>
      <c r="X210" s="262"/>
      <c r="Y210" s="262"/>
      <c r="Z210" s="262"/>
    </row>
    <row r="211" spans="1:26" ht="12.75" hidden="1" outlineLevel="1">
      <c r="A211" s="1401"/>
      <c r="B211" s="512"/>
      <c r="C211" s="512"/>
      <c r="D211" s="1390" t="s">
        <v>16230</v>
      </c>
      <c r="E211" s="1240" t="s">
        <v>16252</v>
      </c>
      <c r="F211" s="1425" t="s">
        <v>16232</v>
      </c>
      <c r="G211" s="1391" t="s">
        <v>16233</v>
      </c>
      <c r="H211" s="1240" t="s">
        <v>16234</v>
      </c>
      <c r="I211" s="1426" t="s">
        <v>12615</v>
      </c>
      <c r="J211" s="1383"/>
      <c r="K211" s="262"/>
      <c r="L211" s="386"/>
      <c r="M211" s="262"/>
      <c r="N211" s="262"/>
      <c r="O211" s="262"/>
      <c r="P211" s="262"/>
      <c r="Q211" s="262"/>
      <c r="R211" s="262"/>
      <c r="S211" s="262"/>
      <c r="T211" s="262"/>
      <c r="U211" s="262"/>
      <c r="V211" s="262"/>
      <c r="W211" s="262"/>
      <c r="X211" s="262"/>
      <c r="Y211" s="262"/>
      <c r="Z211" s="262"/>
    </row>
    <row r="212" spans="1:26" ht="12.75" hidden="1" outlineLevel="1">
      <c r="A212" s="247"/>
      <c r="B212" s="386"/>
      <c r="C212" s="386"/>
      <c r="D212" s="1419" t="s">
        <v>16263</v>
      </c>
      <c r="E212" s="1420"/>
      <c r="F212" s="1421"/>
      <c r="G212" s="1444">
        <v>39.07</v>
      </c>
      <c r="H212" s="1421"/>
      <c r="I212" s="1409">
        <f>G212</f>
        <v>39.07</v>
      </c>
      <c r="J212" s="1383"/>
      <c r="K212" s="262"/>
      <c r="L212" s="386"/>
      <c r="M212" s="262"/>
      <c r="N212" s="262"/>
      <c r="O212" s="262"/>
      <c r="P212" s="262"/>
      <c r="Q212" s="262"/>
      <c r="R212" s="262"/>
      <c r="S212" s="262"/>
      <c r="T212" s="262"/>
      <c r="U212" s="262"/>
      <c r="V212" s="262"/>
      <c r="W212" s="262"/>
      <c r="X212" s="262"/>
      <c r="Y212" s="262"/>
      <c r="Z212" s="262"/>
    </row>
    <row r="213" spans="1:26" ht="12.75" hidden="1" outlineLevel="1">
      <c r="A213" s="247"/>
      <c r="B213" s="386"/>
      <c r="C213" s="386"/>
      <c r="D213" s="1427" t="s">
        <v>16264</v>
      </c>
      <c r="E213" s="1395"/>
      <c r="F213" s="1396"/>
      <c r="G213" s="1443">
        <v>53.12</v>
      </c>
      <c r="H213" s="1396"/>
      <c r="I213" s="1281">
        <f>G213</f>
        <v>53.12</v>
      </c>
      <c r="J213" s="1383"/>
      <c r="K213" s="262"/>
      <c r="L213" s="386"/>
      <c r="M213" s="262"/>
      <c r="N213" s="262"/>
      <c r="O213" s="262"/>
      <c r="P213" s="262"/>
      <c r="Q213" s="262"/>
      <c r="R213" s="262"/>
      <c r="S213" s="262"/>
      <c r="T213" s="262"/>
      <c r="U213" s="262"/>
      <c r="V213" s="262"/>
      <c r="W213" s="262"/>
      <c r="X213" s="262"/>
      <c r="Y213" s="262"/>
      <c r="Z213" s="262"/>
    </row>
    <row r="214" spans="1:26" ht="12.75" hidden="1" outlineLevel="1">
      <c r="A214" s="1445"/>
      <c r="B214" s="303"/>
      <c r="C214" s="303"/>
      <c r="D214" s="1446"/>
      <c r="E214" s="1447"/>
      <c r="F214" s="1448"/>
      <c r="G214" s="1448"/>
      <c r="H214" s="1448"/>
      <c r="I214" s="1449"/>
      <c r="J214" s="1383"/>
      <c r="K214" s="262"/>
      <c r="L214" s="386"/>
      <c r="M214" s="262"/>
      <c r="N214" s="262"/>
      <c r="O214" s="262"/>
      <c r="P214" s="262"/>
      <c r="Q214" s="262"/>
      <c r="R214" s="262"/>
      <c r="S214" s="262"/>
      <c r="T214" s="262"/>
      <c r="U214" s="262"/>
      <c r="V214" s="262"/>
      <c r="W214" s="262"/>
      <c r="X214" s="262"/>
      <c r="Y214" s="262"/>
      <c r="Z214" s="262"/>
    </row>
    <row r="215" spans="1:26" ht="38.25" outlineLevel="1">
      <c r="A215" s="1423" t="s">
        <v>12847</v>
      </c>
      <c r="B215" s="295" t="s">
        <v>14746</v>
      </c>
      <c r="C215" s="295" t="s">
        <v>14472</v>
      </c>
      <c r="D215" s="658" t="str">
        <f>IFERROR(VLOOKUP($B215,'24.08_ND'!$A$4833:$D$12369,2,0),IFERROR(VLOOKUP($B215,'03-CP'!$C$5:$H$4646,2,0),""))</f>
        <v>REVESTIMENTO CERÂMICO, TIPO PORCELANATO, CEMENTO GRIGIO, BIANCOGRES, RETIFICADO, DIMENSÕES 90X90CM (REJUNTE CINZA OUTONO) -  FORNECIMENTO E APLICAÇÃO</v>
      </c>
      <c r="E215" s="1318" t="str">
        <f>IFERROR(VLOOKUP($B215,'24.08_ND'!$A:$D,3,0),IFERROR(VLOOKUP($B215,'03-CP'!$C$5:$H$4646,3,0),""))</f>
        <v>M2</v>
      </c>
      <c r="F215" s="1424">
        <f>SUM(I217)</f>
        <v>32.33</v>
      </c>
      <c r="G215" s="1387"/>
      <c r="H215" s="1387"/>
      <c r="I215" s="1388"/>
      <c r="J215" s="1383"/>
      <c r="K215" s="262"/>
      <c r="L215" s="1389" t="s">
        <v>16229</v>
      </c>
      <c r="M215" s="262"/>
      <c r="N215" s="262"/>
      <c r="O215" s="262"/>
      <c r="P215" s="262"/>
      <c r="Q215" s="262"/>
      <c r="R215" s="262"/>
      <c r="S215" s="262"/>
      <c r="T215" s="262"/>
      <c r="U215" s="262"/>
      <c r="V215" s="262"/>
      <c r="W215" s="262"/>
      <c r="X215" s="262"/>
      <c r="Y215" s="262"/>
      <c r="Z215" s="262"/>
    </row>
    <row r="216" spans="1:26" ht="12.75" hidden="1" outlineLevel="1">
      <c r="A216" s="450"/>
      <c r="B216" s="512"/>
      <c r="C216" s="512"/>
      <c r="D216" s="1390" t="s">
        <v>16230</v>
      </c>
      <c r="E216" s="1240" t="s">
        <v>16252</v>
      </c>
      <c r="F216" s="1425" t="s">
        <v>16232</v>
      </c>
      <c r="G216" s="1391" t="s">
        <v>16233</v>
      </c>
      <c r="H216" s="1240" t="s">
        <v>16234</v>
      </c>
      <c r="I216" s="1426" t="s">
        <v>12615</v>
      </c>
      <c r="J216" s="1383"/>
      <c r="K216" s="262"/>
      <c r="L216" s="386"/>
      <c r="M216" s="262"/>
      <c r="N216" s="262"/>
      <c r="O216" s="262"/>
      <c r="P216" s="262"/>
      <c r="Q216" s="262"/>
      <c r="R216" s="262"/>
      <c r="S216" s="262"/>
      <c r="T216" s="262"/>
      <c r="U216" s="262"/>
      <c r="V216" s="262"/>
      <c r="W216" s="262"/>
      <c r="X216" s="262"/>
      <c r="Y216" s="262"/>
      <c r="Z216" s="262"/>
    </row>
    <row r="217" spans="1:26" ht="12.75" hidden="1" outlineLevel="1">
      <c r="A217" s="450"/>
      <c r="B217" s="386"/>
      <c r="C217" s="386"/>
      <c r="D217" s="1427" t="s">
        <v>16265</v>
      </c>
      <c r="E217" s="1395"/>
      <c r="F217" s="1396"/>
      <c r="G217" s="1443">
        <v>32.33</v>
      </c>
      <c r="H217" s="1396"/>
      <c r="I217" s="1281">
        <f>G217</f>
        <v>32.33</v>
      </c>
      <c r="J217" s="1383"/>
      <c r="K217" s="262"/>
      <c r="L217" s="386"/>
      <c r="M217" s="262"/>
      <c r="N217" s="262"/>
      <c r="O217" s="262"/>
      <c r="P217" s="262"/>
      <c r="Q217" s="262"/>
      <c r="R217" s="262"/>
      <c r="S217" s="262"/>
      <c r="T217" s="262"/>
      <c r="U217" s="262"/>
      <c r="V217" s="262"/>
      <c r="W217" s="262"/>
      <c r="X217" s="262"/>
      <c r="Y217" s="262"/>
      <c r="Z217" s="262"/>
    </row>
    <row r="218" spans="1:26" ht="12.75" hidden="1" outlineLevel="1">
      <c r="A218" s="1445"/>
      <c r="B218" s="303"/>
      <c r="C218" s="303"/>
      <c r="D218" s="1446"/>
      <c r="E218" s="1447"/>
      <c r="F218" s="1448"/>
      <c r="G218" s="1448"/>
      <c r="H218" s="1448"/>
      <c r="I218" s="1449"/>
      <c r="J218" s="1383"/>
      <c r="K218" s="262"/>
      <c r="L218" s="386"/>
      <c r="M218" s="262"/>
      <c r="N218" s="262"/>
      <c r="O218" s="262"/>
      <c r="P218" s="262"/>
      <c r="Q218" s="262"/>
      <c r="R218" s="262"/>
      <c r="S218" s="262"/>
      <c r="T218" s="262"/>
      <c r="U218" s="262"/>
      <c r="V218" s="262"/>
      <c r="W218" s="262"/>
      <c r="X218" s="262"/>
      <c r="Y218" s="262"/>
      <c r="Z218" s="262"/>
    </row>
    <row r="219" spans="1:26" ht="38.25" outlineLevel="1">
      <c r="A219" s="1423" t="s">
        <v>12848</v>
      </c>
      <c r="B219" s="295" t="s">
        <v>14748</v>
      </c>
      <c r="C219" s="295" t="s">
        <v>14472</v>
      </c>
      <c r="D219" s="658" t="str">
        <f>IFERROR(VLOOKUP($B219,'24.08_ND'!$A$4833:$D$12369,2,0),IFERROR(VLOOKUP($B219,'03-CP'!$C$5:$H$4646,2,0),""))</f>
        <v>REVESTIMENTO PORCELANATO, DECORADO, ACETINADO, BORDA RETA, DIMENSÕES 90X90CM, REJUNTADO - TERRAZO VENEZIANO AVORIO -  FORNECIMENTO E APLICAÇÃO</v>
      </c>
      <c r="E219" s="1318" t="str">
        <f>IFERROR(VLOOKUP($B219,'24.08_ND'!$A:$D,3,0),IFERROR(VLOOKUP($B219,'03-CP'!$C$5:$H$4646,3,0),""))</f>
        <v>M2</v>
      </c>
      <c r="F219" s="1424">
        <f>SUM(I221)</f>
        <v>218.08</v>
      </c>
      <c r="G219" s="1387"/>
      <c r="H219" s="1387"/>
      <c r="I219" s="1388"/>
      <c r="J219" s="1383"/>
      <c r="K219" s="262"/>
      <c r="L219" s="1389" t="s">
        <v>16229</v>
      </c>
      <c r="M219" s="262"/>
      <c r="N219" s="262"/>
      <c r="O219" s="262"/>
      <c r="P219" s="262"/>
      <c r="Q219" s="262"/>
      <c r="R219" s="262"/>
      <c r="S219" s="262"/>
      <c r="T219" s="262"/>
      <c r="U219" s="262"/>
      <c r="V219" s="262"/>
      <c r="W219" s="262"/>
      <c r="X219" s="262"/>
      <c r="Y219" s="262"/>
      <c r="Z219" s="262"/>
    </row>
    <row r="220" spans="1:26" ht="12.75" hidden="1" outlineLevel="1">
      <c r="A220" s="1401"/>
      <c r="B220" s="512"/>
      <c r="C220" s="512"/>
      <c r="D220" s="1390" t="s">
        <v>16230</v>
      </c>
      <c r="E220" s="1240" t="s">
        <v>16252</v>
      </c>
      <c r="F220" s="1425" t="s">
        <v>16232</v>
      </c>
      <c r="G220" s="1391" t="s">
        <v>16233</v>
      </c>
      <c r="H220" s="1240" t="s">
        <v>16234</v>
      </c>
      <c r="I220" s="1426" t="s">
        <v>12615</v>
      </c>
      <c r="J220" s="1383"/>
      <c r="K220" s="262"/>
      <c r="L220" s="386"/>
      <c r="M220" s="262"/>
      <c r="N220" s="262"/>
      <c r="O220" s="262"/>
      <c r="P220" s="262"/>
      <c r="Q220" s="262"/>
      <c r="R220" s="262"/>
      <c r="S220" s="262"/>
      <c r="T220" s="262"/>
      <c r="U220" s="262"/>
      <c r="V220" s="262"/>
      <c r="W220" s="262"/>
      <c r="X220" s="262"/>
      <c r="Y220" s="262"/>
      <c r="Z220" s="262"/>
    </row>
    <row r="221" spans="1:26" ht="12.75" hidden="1" outlineLevel="1">
      <c r="A221" s="247"/>
      <c r="B221" s="386"/>
      <c r="C221" s="386"/>
      <c r="D221" s="1427" t="s">
        <v>16266</v>
      </c>
      <c r="E221" s="1395"/>
      <c r="F221" s="1396"/>
      <c r="G221" s="1443">
        <v>218.08</v>
      </c>
      <c r="H221" s="1396"/>
      <c r="I221" s="1281">
        <f>G221</f>
        <v>218.08</v>
      </c>
      <c r="J221" s="1383"/>
      <c r="K221" s="262"/>
      <c r="L221" s="386"/>
      <c r="M221" s="262"/>
      <c r="N221" s="262"/>
      <c r="O221" s="262"/>
      <c r="P221" s="262"/>
      <c r="Q221" s="262"/>
      <c r="R221" s="262"/>
      <c r="S221" s="262"/>
      <c r="T221" s="262"/>
      <c r="U221" s="262"/>
      <c r="V221" s="262"/>
      <c r="W221" s="262"/>
      <c r="X221" s="262"/>
      <c r="Y221" s="262"/>
      <c r="Z221" s="262"/>
    </row>
    <row r="222" spans="1:26" ht="12.75" hidden="1" outlineLevel="1">
      <c r="A222" s="1445"/>
      <c r="B222" s="303"/>
      <c r="C222" s="303"/>
      <c r="D222" s="1446"/>
      <c r="E222" s="1447"/>
      <c r="F222" s="1448"/>
      <c r="G222" s="1448"/>
      <c r="H222" s="1448"/>
      <c r="I222" s="1449"/>
      <c r="J222" s="1383"/>
      <c r="K222" s="262"/>
      <c r="L222" s="386"/>
      <c r="M222" s="262"/>
      <c r="N222" s="262"/>
      <c r="O222" s="262"/>
      <c r="P222" s="262"/>
      <c r="Q222" s="262"/>
      <c r="R222" s="262"/>
      <c r="S222" s="262"/>
      <c r="T222" s="262"/>
      <c r="U222" s="262"/>
      <c r="V222" s="262"/>
      <c r="W222" s="262"/>
      <c r="X222" s="262"/>
      <c r="Y222" s="262"/>
      <c r="Z222" s="262"/>
    </row>
    <row r="223" spans="1:26" ht="12.75">
      <c r="A223" s="246" t="s">
        <v>12849</v>
      </c>
      <c r="B223" s="1450"/>
      <c r="C223" s="1450"/>
      <c r="D223" s="1451" t="s">
        <v>16267</v>
      </c>
      <c r="E223" s="1380"/>
      <c r="F223" s="1381"/>
      <c r="G223" s="1380"/>
      <c r="H223" s="1381"/>
      <c r="I223" s="1382"/>
      <c r="J223" s="1383"/>
      <c r="K223" s="262"/>
      <c r="L223" s="386"/>
      <c r="M223" s="262"/>
      <c r="N223" s="262"/>
      <c r="O223" s="262"/>
      <c r="P223" s="262"/>
      <c r="Q223" s="262"/>
      <c r="R223" s="262"/>
      <c r="S223" s="262"/>
      <c r="T223" s="262"/>
      <c r="U223" s="262"/>
      <c r="V223" s="262"/>
      <c r="W223" s="262"/>
      <c r="X223" s="262"/>
      <c r="Y223" s="262"/>
      <c r="Z223" s="262"/>
    </row>
    <row r="224" spans="1:26" ht="25.5" outlineLevel="1">
      <c r="A224" s="1385" t="s">
        <v>12850</v>
      </c>
      <c r="B224" s="295">
        <v>88485</v>
      </c>
      <c r="C224" s="295" t="s">
        <v>14476</v>
      </c>
      <c r="D224" s="658" t="str">
        <f>IFERROR(VLOOKUP($B224,'24.08_ND'!$A$4833:$D$12369,2,0),IFERROR(VLOOKUP($B224,'03-CP'!$C$5:$H$4646,2,0),""))</f>
        <v>FUNDO SELADOR ACRÍLICO, APLICAÇÃO MANUAL EM PAREDE, UMA DEMÃO. AF_04/2023</v>
      </c>
      <c r="E224" s="1318" t="str">
        <f>IFERROR(VLOOKUP($B224,'24.08_ND'!$A:$D,3,0),IFERROR(VLOOKUP($B224,'03-CP'!$C$5:$H$4646,3,0),""))</f>
        <v>M2</v>
      </c>
      <c r="F224" s="1424">
        <f>SUM(I226:I227)</f>
        <v>263.96999999999997</v>
      </c>
      <c r="G224" s="1387"/>
      <c r="H224" s="1387"/>
      <c r="I224" s="1388"/>
      <c r="J224" s="1383"/>
      <c r="K224" s="262"/>
      <c r="L224" s="1389" t="s">
        <v>16229</v>
      </c>
      <c r="M224" s="262"/>
      <c r="N224" s="262"/>
      <c r="O224" s="262"/>
      <c r="P224" s="262"/>
      <c r="Q224" s="262"/>
      <c r="R224" s="262"/>
      <c r="S224" s="262"/>
      <c r="T224" s="262"/>
      <c r="U224" s="262"/>
      <c r="V224" s="262"/>
      <c r="W224" s="262"/>
      <c r="X224" s="262"/>
      <c r="Y224" s="262"/>
      <c r="Z224" s="262"/>
    </row>
    <row r="225" spans="1:26" ht="12.75" hidden="1" outlineLevel="1">
      <c r="A225" s="450"/>
      <c r="B225" s="512"/>
      <c r="C225" s="512"/>
      <c r="D225" s="1435" t="s">
        <v>16253</v>
      </c>
      <c r="E225" s="1240" t="s">
        <v>16252</v>
      </c>
      <c r="F225" s="1425" t="s">
        <v>16232</v>
      </c>
      <c r="G225" s="1391" t="s">
        <v>16233</v>
      </c>
      <c r="H225" s="1240" t="s">
        <v>16234</v>
      </c>
      <c r="I225" s="1426" t="s">
        <v>12615</v>
      </c>
      <c r="J225" s="1383"/>
      <c r="K225" s="262"/>
      <c r="L225" s="386"/>
      <c r="M225" s="262"/>
      <c r="N225" s="262"/>
      <c r="O225" s="262"/>
      <c r="P225" s="262"/>
      <c r="Q225" s="262"/>
      <c r="R225" s="262"/>
      <c r="S225" s="262"/>
      <c r="T225" s="262"/>
      <c r="U225" s="262"/>
      <c r="V225" s="262"/>
      <c r="W225" s="262"/>
      <c r="X225" s="262"/>
      <c r="Y225" s="262"/>
      <c r="Z225" s="262"/>
    </row>
    <row r="226" spans="1:26" ht="12.75" hidden="1" outlineLevel="1">
      <c r="A226" s="450"/>
      <c r="B226" s="386"/>
      <c r="C226" s="386"/>
      <c r="D226" s="1419" t="s">
        <v>16268</v>
      </c>
      <c r="E226" s="1420"/>
      <c r="F226" s="1421"/>
      <c r="G226" s="1420">
        <v>34.24</v>
      </c>
      <c r="H226" s="1421"/>
      <c r="I226" s="1429">
        <f>G226</f>
        <v>34.24</v>
      </c>
      <c r="J226" s="1383"/>
      <c r="K226" s="262"/>
      <c r="L226" s="386"/>
      <c r="M226" s="262"/>
      <c r="N226" s="262"/>
      <c r="O226" s="262"/>
      <c r="P226" s="262"/>
      <c r="Q226" s="262"/>
      <c r="R226" s="262"/>
      <c r="S226" s="262"/>
      <c r="T226" s="262"/>
      <c r="U226" s="262"/>
      <c r="V226" s="262"/>
      <c r="W226" s="262"/>
      <c r="X226" s="262"/>
      <c r="Y226" s="262"/>
      <c r="Z226" s="262"/>
    </row>
    <row r="227" spans="1:26" ht="12.75" hidden="1" outlineLevel="1">
      <c r="A227" s="450"/>
      <c r="B227" s="386"/>
      <c r="C227" s="386"/>
      <c r="D227" s="1422" t="s">
        <v>16269</v>
      </c>
      <c r="E227" s="1248"/>
      <c r="F227" s="1436"/>
      <c r="G227" s="1248">
        <v>229.73</v>
      </c>
      <c r="H227" s="1248"/>
      <c r="I227" s="1397">
        <f>G227</f>
        <v>229.73</v>
      </c>
      <c r="J227" s="1383"/>
      <c r="K227" s="262"/>
      <c r="L227" s="386"/>
      <c r="M227" s="262"/>
      <c r="N227" s="262"/>
      <c r="O227" s="262"/>
      <c r="P227" s="262"/>
      <c r="Q227" s="262"/>
      <c r="R227" s="262"/>
      <c r="S227" s="262"/>
      <c r="T227" s="262"/>
      <c r="U227" s="262"/>
      <c r="V227" s="262"/>
      <c r="W227" s="262"/>
      <c r="X227" s="262"/>
      <c r="Y227" s="262"/>
      <c r="Z227" s="262"/>
    </row>
    <row r="228" spans="1:26" ht="12.75" hidden="1" outlineLevel="1">
      <c r="A228" s="247"/>
      <c r="B228" s="386"/>
      <c r="C228" s="386"/>
      <c r="D228" s="253"/>
      <c r="E228" s="1244"/>
      <c r="F228" s="389"/>
      <c r="G228" s="1244"/>
      <c r="H228" s="1244"/>
      <c r="I228" s="1409"/>
      <c r="J228" s="1383"/>
      <c r="K228" s="262"/>
      <c r="L228" s="386"/>
      <c r="M228" s="262"/>
      <c r="N228" s="262"/>
      <c r="O228" s="262"/>
      <c r="P228" s="262"/>
      <c r="Q228" s="262"/>
      <c r="R228" s="262"/>
      <c r="S228" s="262"/>
      <c r="T228" s="262"/>
      <c r="U228" s="262"/>
      <c r="V228" s="262"/>
      <c r="W228" s="262"/>
      <c r="X228" s="262"/>
      <c r="Y228" s="262"/>
      <c r="Z228" s="262"/>
    </row>
    <row r="229" spans="1:26" ht="38.25" outlineLevel="1">
      <c r="A229" s="1385" t="s">
        <v>12851</v>
      </c>
      <c r="B229" s="295">
        <v>100721</v>
      </c>
      <c r="C229" s="295" t="s">
        <v>14476</v>
      </c>
      <c r="D229" s="658" t="str">
        <f>IFERROR(VLOOKUP($B229,'24.08_ND'!$A$4833:$D$12369,2,0),IFERROR(VLOOKUP($B229,'03-CP'!$C$5:$H$4646,2,0),""))</f>
        <v>PINTURA COM TINTA ALQUÍDICA DE FUNDO (TIPO ZARCÃO) PULVERIZADA SOBRE SUPERFÍCIES METÁLICAS (EXCETO PERFIL) EXECUTADO EM OBRA (POR DEMÃO). AF_01/2020_PE</v>
      </c>
      <c r="E229" s="1318" t="str">
        <f>IFERROR(VLOOKUP($B229,'24.08_ND'!$A:$D,3,0),IFERROR(VLOOKUP($B229,'03-CP'!$C$5:$H$4646,3,0),""))</f>
        <v>M2</v>
      </c>
      <c r="F229" s="1424">
        <f>SUM(I231:I233)</f>
        <v>818.07999999999993</v>
      </c>
      <c r="G229" s="1387"/>
      <c r="H229" s="1387"/>
      <c r="I229" s="1388"/>
      <c r="J229" s="1383"/>
      <c r="K229" s="262"/>
      <c r="L229" s="386"/>
      <c r="M229" s="262"/>
      <c r="N229" s="262"/>
      <c r="O229" s="262"/>
      <c r="P229" s="262"/>
      <c r="Q229" s="262"/>
      <c r="R229" s="262"/>
      <c r="S229" s="262"/>
      <c r="T229" s="262"/>
      <c r="U229" s="262"/>
      <c r="V229" s="262"/>
      <c r="W229" s="262"/>
      <c r="X229" s="262"/>
      <c r="Y229" s="262"/>
      <c r="Z229" s="262"/>
    </row>
    <row r="230" spans="1:26" ht="12.75" hidden="1" outlineLevel="1">
      <c r="A230" s="1401"/>
      <c r="B230" s="512"/>
      <c r="C230" s="512"/>
      <c r="D230" s="1435" t="s">
        <v>16253</v>
      </c>
      <c r="E230" s="1240" t="s">
        <v>16252</v>
      </c>
      <c r="F230" s="1425" t="s">
        <v>16232</v>
      </c>
      <c r="G230" s="1391" t="s">
        <v>16233</v>
      </c>
      <c r="H230" s="1240" t="s">
        <v>16234</v>
      </c>
      <c r="I230" s="1426" t="s">
        <v>12615</v>
      </c>
      <c r="J230" s="1383"/>
      <c r="K230" s="262"/>
      <c r="L230" s="386"/>
      <c r="M230" s="262"/>
      <c r="N230" s="262"/>
      <c r="O230" s="262"/>
      <c r="P230" s="262"/>
      <c r="Q230" s="262"/>
      <c r="R230" s="262"/>
      <c r="S230" s="262"/>
      <c r="T230" s="262"/>
      <c r="U230" s="262"/>
      <c r="V230" s="262"/>
      <c r="W230" s="262"/>
      <c r="X230" s="262"/>
      <c r="Y230" s="262"/>
      <c r="Z230" s="262"/>
    </row>
    <row r="231" spans="1:26" ht="12.75" hidden="1" outlineLevel="1">
      <c r="A231" s="247"/>
      <c r="B231" s="386"/>
      <c r="C231" s="386"/>
      <c r="D231" s="1419" t="s">
        <v>16270</v>
      </c>
      <c r="E231" s="1420"/>
      <c r="F231" s="1421"/>
      <c r="G231" s="1420">
        <v>496.65</v>
      </c>
      <c r="H231" s="1421"/>
      <c r="I231" s="1429">
        <f>G231</f>
        <v>496.65</v>
      </c>
      <c r="J231" s="1383"/>
      <c r="K231" s="262"/>
      <c r="L231" s="386"/>
      <c r="M231" s="262"/>
      <c r="N231" s="262"/>
      <c r="O231" s="262"/>
      <c r="P231" s="262"/>
      <c r="Q231" s="262"/>
      <c r="R231" s="262"/>
      <c r="S231" s="262"/>
      <c r="T231" s="262"/>
      <c r="U231" s="262"/>
      <c r="V231" s="262"/>
      <c r="W231" s="262"/>
      <c r="X231" s="262"/>
      <c r="Y231" s="262"/>
      <c r="Z231" s="262"/>
    </row>
    <row r="232" spans="1:26" ht="12.75" hidden="1" outlineLevel="1">
      <c r="A232" s="247"/>
      <c r="B232" s="386"/>
      <c r="C232" s="386"/>
      <c r="D232" s="1418" t="s">
        <v>16271</v>
      </c>
      <c r="E232" s="1244"/>
      <c r="F232" s="389"/>
      <c r="G232" s="1244">
        <v>1</v>
      </c>
      <c r="H232" s="1244"/>
      <c r="I232" s="1429">
        <f>G232</f>
        <v>1</v>
      </c>
      <c r="J232" s="1383"/>
      <c r="K232" s="262"/>
      <c r="L232" s="386"/>
      <c r="M232" s="262"/>
      <c r="N232" s="262"/>
      <c r="O232" s="262"/>
      <c r="P232" s="262"/>
      <c r="Q232" s="262"/>
      <c r="R232" s="262"/>
      <c r="S232" s="262"/>
      <c r="T232" s="262"/>
      <c r="U232" s="262"/>
      <c r="V232" s="262"/>
      <c r="W232" s="262"/>
      <c r="X232" s="262"/>
      <c r="Y232" s="262"/>
      <c r="Z232" s="262"/>
    </row>
    <row r="233" spans="1:26" ht="12.75" hidden="1" outlineLevel="1">
      <c r="A233" s="247"/>
      <c r="B233" s="386"/>
      <c r="C233" s="386"/>
      <c r="D233" s="1422" t="s">
        <v>16272</v>
      </c>
      <c r="E233" s="1248"/>
      <c r="F233" s="1436"/>
      <c r="G233" s="1248">
        <v>320.43</v>
      </c>
      <c r="H233" s="1248"/>
      <c r="I233" s="1397">
        <f>G233</f>
        <v>320.43</v>
      </c>
      <c r="J233" s="1383"/>
      <c r="K233" s="262"/>
      <c r="L233" s="386"/>
      <c r="M233" s="262"/>
      <c r="N233" s="262"/>
      <c r="O233" s="262"/>
      <c r="P233" s="262"/>
      <c r="Q233" s="262"/>
      <c r="R233" s="262"/>
      <c r="S233" s="262"/>
      <c r="T233" s="262"/>
      <c r="U233" s="262"/>
      <c r="V233" s="262"/>
      <c r="W233" s="262"/>
      <c r="X233" s="262"/>
      <c r="Y233" s="262"/>
      <c r="Z233" s="262"/>
    </row>
    <row r="234" spans="1:26" ht="12.75" hidden="1" outlineLevel="1">
      <c r="A234" s="247"/>
      <c r="B234" s="386"/>
      <c r="C234" s="386"/>
      <c r="D234" s="253"/>
      <c r="E234" s="1244"/>
      <c r="F234" s="389"/>
      <c r="G234" s="1244"/>
      <c r="H234" s="1244"/>
      <c r="I234" s="1409"/>
      <c r="J234" s="1383"/>
      <c r="K234" s="262"/>
      <c r="L234" s="386"/>
      <c r="M234" s="262"/>
      <c r="N234" s="262"/>
      <c r="O234" s="262"/>
      <c r="P234" s="262"/>
      <c r="Q234" s="262"/>
      <c r="R234" s="262"/>
      <c r="S234" s="262"/>
      <c r="T234" s="262"/>
      <c r="U234" s="262"/>
      <c r="V234" s="262"/>
      <c r="W234" s="262"/>
      <c r="X234" s="262"/>
      <c r="Y234" s="262"/>
      <c r="Z234" s="262"/>
    </row>
    <row r="235" spans="1:26" ht="38.25" outlineLevel="1">
      <c r="A235" s="1385" t="s">
        <v>12852</v>
      </c>
      <c r="B235" s="295">
        <v>100757</v>
      </c>
      <c r="C235" s="295" t="s">
        <v>14476</v>
      </c>
      <c r="D235" s="658" t="str">
        <f>IFERROR(VLOOKUP($B235,'24.08_ND'!$A$4833:$D$12369,2,0),IFERROR(VLOOKUP($B235,'03-CP'!$C$5:$H$4646,2,0),""))</f>
        <v>PINTURA COM TINTA ALQUÍDICA DE ACABAMENTO (ESMALTE SINTÉTICO ACETINADO) PULVERIZADA SOBRE SUPERFÍCIES METÁLICAS (EXCETO PERFIL) EXECUTADO EM OBRA (02 DEMÃOS). AF_01/2020_PE</v>
      </c>
      <c r="E235" s="1318" t="str">
        <f>IFERROR(VLOOKUP($B235,'24.08_ND'!$A:$D,3,0),IFERROR(VLOOKUP($B235,'03-CP'!$C$5:$H$4646,3,0),""))</f>
        <v>M2</v>
      </c>
      <c r="F235" s="1424">
        <f>SUM(I237:I239)</f>
        <v>818.07999999999993</v>
      </c>
      <c r="G235" s="1387"/>
      <c r="H235" s="1387"/>
      <c r="I235" s="1388"/>
      <c r="J235" s="1383"/>
      <c r="K235" s="262"/>
      <c r="L235" s="1389" t="s">
        <v>16229</v>
      </c>
      <c r="M235" s="262"/>
      <c r="N235" s="262"/>
      <c r="O235" s="262"/>
      <c r="P235" s="262"/>
      <c r="Q235" s="262"/>
      <c r="R235" s="262"/>
      <c r="S235" s="262"/>
      <c r="T235" s="262"/>
      <c r="U235" s="262"/>
      <c r="V235" s="262"/>
      <c r="W235" s="262"/>
      <c r="X235" s="262"/>
      <c r="Y235" s="262"/>
      <c r="Z235" s="262"/>
    </row>
    <row r="236" spans="1:26" ht="12.75" hidden="1" outlineLevel="1">
      <c r="A236" s="1401"/>
      <c r="B236" s="512"/>
      <c r="C236" s="512"/>
      <c r="D236" s="1435" t="s">
        <v>16253</v>
      </c>
      <c r="E236" s="1240" t="s">
        <v>16252</v>
      </c>
      <c r="F236" s="1425" t="s">
        <v>16232</v>
      </c>
      <c r="G236" s="1391" t="s">
        <v>16233</v>
      </c>
      <c r="H236" s="1240" t="s">
        <v>16234</v>
      </c>
      <c r="I236" s="1426" t="s">
        <v>12615</v>
      </c>
      <c r="J236" s="1383"/>
      <c r="K236" s="262"/>
      <c r="L236" s="386"/>
      <c r="M236" s="262"/>
      <c r="N236" s="262"/>
      <c r="O236" s="262"/>
      <c r="P236" s="262"/>
      <c r="Q236" s="262"/>
      <c r="R236" s="262"/>
      <c r="S236" s="262"/>
      <c r="T236" s="262"/>
      <c r="U236" s="262"/>
      <c r="V236" s="262"/>
      <c r="W236" s="262"/>
      <c r="X236" s="262"/>
      <c r="Y236" s="262"/>
      <c r="Z236" s="262"/>
    </row>
    <row r="237" spans="1:26" ht="12.75" hidden="1" outlineLevel="1">
      <c r="A237" s="247"/>
      <c r="B237" s="386"/>
      <c r="C237" s="386"/>
      <c r="D237" s="1419" t="s">
        <v>16270</v>
      </c>
      <c r="E237" s="1420"/>
      <c r="F237" s="1421"/>
      <c r="G237" s="1420">
        <v>496.65</v>
      </c>
      <c r="H237" s="1421"/>
      <c r="I237" s="1429">
        <f>G237</f>
        <v>496.65</v>
      </c>
      <c r="J237" s="1383"/>
      <c r="K237" s="262"/>
      <c r="L237" s="386"/>
      <c r="M237" s="262"/>
      <c r="N237" s="262"/>
      <c r="O237" s="262"/>
      <c r="P237" s="262"/>
      <c r="Q237" s="262"/>
      <c r="R237" s="262"/>
      <c r="S237" s="262"/>
      <c r="T237" s="262"/>
      <c r="U237" s="262"/>
      <c r="V237" s="262"/>
      <c r="W237" s="262"/>
      <c r="X237" s="262"/>
      <c r="Y237" s="262"/>
      <c r="Z237" s="262"/>
    </row>
    <row r="238" spans="1:26" ht="12.75" hidden="1" outlineLevel="1">
      <c r="A238" s="247"/>
      <c r="B238" s="386"/>
      <c r="C238" s="386"/>
      <c r="D238" s="1418" t="s">
        <v>16271</v>
      </c>
      <c r="E238" s="1244"/>
      <c r="F238" s="389"/>
      <c r="G238" s="1244">
        <v>1</v>
      </c>
      <c r="H238" s="1244"/>
      <c r="I238" s="1429">
        <f>G238</f>
        <v>1</v>
      </c>
      <c r="J238" s="1383"/>
      <c r="K238" s="262"/>
      <c r="L238" s="386"/>
      <c r="M238" s="262"/>
      <c r="N238" s="262"/>
      <c r="O238" s="262"/>
      <c r="P238" s="262"/>
      <c r="Q238" s="262"/>
      <c r="R238" s="262"/>
      <c r="S238" s="262"/>
      <c r="T238" s="262"/>
      <c r="U238" s="262"/>
      <c r="V238" s="262"/>
      <c r="W238" s="262"/>
      <c r="X238" s="262"/>
      <c r="Y238" s="262"/>
      <c r="Z238" s="262"/>
    </row>
    <row r="239" spans="1:26" ht="12.75" hidden="1" outlineLevel="1">
      <c r="A239" s="247"/>
      <c r="B239" s="386"/>
      <c r="C239" s="386"/>
      <c r="D239" s="1422" t="s">
        <v>16272</v>
      </c>
      <c r="E239" s="1248"/>
      <c r="F239" s="1436"/>
      <c r="G239" s="1248">
        <v>320.43</v>
      </c>
      <c r="H239" s="1248"/>
      <c r="I239" s="1397">
        <f>G239</f>
        <v>320.43</v>
      </c>
      <c r="J239" s="1383"/>
      <c r="K239" s="262"/>
      <c r="L239" s="386"/>
      <c r="M239" s="262"/>
      <c r="N239" s="262"/>
      <c r="O239" s="262"/>
      <c r="P239" s="262"/>
      <c r="Q239" s="262"/>
      <c r="R239" s="262"/>
      <c r="S239" s="262"/>
      <c r="T239" s="262"/>
      <c r="U239" s="262"/>
      <c r="V239" s="262"/>
      <c r="W239" s="262"/>
      <c r="X239" s="262"/>
      <c r="Y239" s="262"/>
      <c r="Z239" s="262"/>
    </row>
    <row r="240" spans="1:26" ht="12.75" hidden="1" outlineLevel="1">
      <c r="A240" s="247"/>
      <c r="B240" s="386"/>
      <c r="C240" s="386"/>
      <c r="D240" s="253"/>
      <c r="E240" s="1244"/>
      <c r="F240" s="389"/>
      <c r="G240" s="1244"/>
      <c r="H240" s="1244"/>
      <c r="I240" s="1409"/>
      <c r="J240" s="1383"/>
      <c r="K240" s="262"/>
      <c r="L240" s="386"/>
      <c r="M240" s="262"/>
      <c r="N240" s="262"/>
      <c r="O240" s="262"/>
      <c r="P240" s="262"/>
      <c r="Q240" s="262"/>
      <c r="R240" s="262"/>
      <c r="S240" s="262"/>
      <c r="T240" s="262"/>
      <c r="U240" s="262"/>
      <c r="V240" s="262"/>
      <c r="W240" s="262"/>
      <c r="X240" s="262"/>
      <c r="Y240" s="262"/>
      <c r="Z240" s="262"/>
    </row>
    <row r="241" spans="1:26" ht="25.5" outlineLevel="1">
      <c r="A241" s="1385" t="s">
        <v>12853</v>
      </c>
      <c r="B241" s="295">
        <v>96135</v>
      </c>
      <c r="C241" s="295" t="s">
        <v>14476</v>
      </c>
      <c r="D241" s="658" t="str">
        <f>IFERROR(VLOOKUP($B241,'24.08_ND'!$A$4833:$D$12369,2,0),IFERROR(VLOOKUP($B241,'03-CP'!$C$5:$H$4646,2,0),""))</f>
        <v>APLICAÇÃO MANUAL DE MASSA ACRÍLICA EM PAREDES EXTERNAS DE CASAS, DUAS DEMÃOS. AF_03/2024</v>
      </c>
      <c r="E241" s="1318" t="str">
        <f>IFERROR(VLOOKUP($B241,'24.08_ND'!$A:$D,3,0),IFERROR(VLOOKUP($B241,'03-CP'!$C$5:$H$4646,3,0),""))</f>
        <v>M2</v>
      </c>
      <c r="F241" s="1424">
        <f>SUM(I243:I244)</f>
        <v>229.73000000000002</v>
      </c>
      <c r="G241" s="1387"/>
      <c r="H241" s="1387"/>
      <c r="I241" s="1388"/>
      <c r="J241" s="1383"/>
      <c r="K241" s="262"/>
      <c r="L241" s="1389" t="s">
        <v>16229</v>
      </c>
      <c r="M241" s="262"/>
      <c r="N241" s="262"/>
      <c r="O241" s="262"/>
      <c r="P241" s="262"/>
      <c r="Q241" s="262"/>
      <c r="R241" s="262"/>
      <c r="S241" s="262"/>
      <c r="T241" s="262"/>
      <c r="U241" s="262"/>
      <c r="V241" s="262"/>
      <c r="W241" s="262"/>
      <c r="X241" s="262"/>
      <c r="Y241" s="262"/>
      <c r="Z241" s="262"/>
    </row>
    <row r="242" spans="1:26" ht="12.75" hidden="1" outlineLevel="1">
      <c r="A242" s="247"/>
      <c r="B242" s="386"/>
      <c r="C242" s="386"/>
      <c r="D242" s="1435" t="s">
        <v>16253</v>
      </c>
      <c r="E242" s="1240" t="s">
        <v>16252</v>
      </c>
      <c r="F242" s="1425" t="s">
        <v>16232</v>
      </c>
      <c r="G242" s="1391" t="s">
        <v>16233</v>
      </c>
      <c r="H242" s="1240" t="s">
        <v>16234</v>
      </c>
      <c r="I242" s="1426" t="s">
        <v>12615</v>
      </c>
      <c r="J242" s="1383"/>
      <c r="K242" s="262"/>
      <c r="L242" s="386"/>
      <c r="M242" s="262"/>
      <c r="N242" s="262"/>
      <c r="O242" s="262"/>
      <c r="P242" s="262"/>
      <c r="Q242" s="262"/>
      <c r="R242" s="262"/>
      <c r="S242" s="262"/>
      <c r="T242" s="262"/>
      <c r="U242" s="262"/>
      <c r="V242" s="262"/>
      <c r="W242" s="262"/>
      <c r="X242" s="262"/>
      <c r="Y242" s="262"/>
      <c r="Z242" s="262"/>
    </row>
    <row r="243" spans="1:26" ht="12.75" hidden="1" outlineLevel="1">
      <c r="A243" s="247"/>
      <c r="B243" s="386"/>
      <c r="C243" s="386"/>
      <c r="D243" s="1418" t="s">
        <v>16268</v>
      </c>
      <c r="E243" s="1244"/>
      <c r="F243" s="389"/>
      <c r="G243" s="1244">
        <v>34.24</v>
      </c>
      <c r="H243" s="1244"/>
      <c r="I243" s="1409">
        <f>G243</f>
        <v>34.24</v>
      </c>
      <c r="J243" s="1383"/>
      <c r="K243" s="262"/>
      <c r="L243" s="386"/>
      <c r="M243" s="262"/>
      <c r="N243" s="262"/>
      <c r="O243" s="262"/>
      <c r="P243" s="262"/>
      <c r="Q243" s="262"/>
      <c r="R243" s="262"/>
      <c r="S243" s="262"/>
      <c r="T243" s="262"/>
      <c r="U243" s="262"/>
      <c r="V243" s="262"/>
      <c r="W243" s="262"/>
      <c r="X243" s="262"/>
      <c r="Y243" s="262"/>
      <c r="Z243" s="262"/>
    </row>
    <row r="244" spans="1:26" ht="12.75" hidden="1" outlineLevel="1">
      <c r="A244" s="247"/>
      <c r="B244" s="386"/>
      <c r="C244" s="386"/>
      <c r="D244" s="1422" t="s">
        <v>16269</v>
      </c>
      <c r="E244" s="1248"/>
      <c r="F244" s="1436"/>
      <c r="G244" s="1248">
        <v>195.49</v>
      </c>
      <c r="H244" s="1248"/>
      <c r="I244" s="1281">
        <f>G244</f>
        <v>195.49</v>
      </c>
      <c r="J244" s="1383"/>
      <c r="K244" s="262"/>
      <c r="L244" s="386"/>
      <c r="M244" s="262"/>
      <c r="N244" s="262"/>
      <c r="O244" s="262"/>
      <c r="P244" s="262"/>
      <c r="Q244" s="262"/>
      <c r="R244" s="262"/>
      <c r="S244" s="262"/>
      <c r="T244" s="262"/>
      <c r="U244" s="262"/>
      <c r="V244" s="262"/>
      <c r="W244" s="262"/>
      <c r="X244" s="262"/>
      <c r="Y244" s="262"/>
      <c r="Z244" s="262"/>
    </row>
    <row r="245" spans="1:26" ht="12.75" hidden="1" outlineLevel="1">
      <c r="A245" s="247"/>
      <c r="B245" s="386"/>
      <c r="C245" s="386"/>
      <c r="D245" s="253"/>
      <c r="E245" s="1244"/>
      <c r="F245" s="389"/>
      <c r="G245" s="1244"/>
      <c r="H245" s="1244"/>
      <c r="I245" s="1409"/>
      <c r="J245" s="1383"/>
      <c r="K245" s="262"/>
      <c r="L245" s="386"/>
      <c r="M245" s="262"/>
      <c r="N245" s="262"/>
      <c r="O245" s="262"/>
      <c r="P245" s="262"/>
      <c r="Q245" s="262"/>
      <c r="R245" s="262"/>
      <c r="S245" s="262"/>
      <c r="T245" s="262"/>
      <c r="U245" s="262"/>
      <c r="V245" s="262"/>
      <c r="W245" s="262"/>
      <c r="X245" s="262"/>
      <c r="Y245" s="262"/>
      <c r="Z245" s="262"/>
    </row>
    <row r="246" spans="1:26" ht="15.75" outlineLevel="1">
      <c r="A246" s="1385" t="s">
        <v>12854</v>
      </c>
      <c r="B246" s="384" t="s">
        <v>14760</v>
      </c>
      <c r="C246" s="295" t="s">
        <v>14472</v>
      </c>
      <c r="D246" s="596" t="str">
        <f>IFERROR(VLOOKUP($B246,'24.08_ND'!$A$4833:$D$12369,2,0),IFERROR(VLOOKUP($B246,'03-CP'!$C$5:$H$4646,2,0),""))</f>
        <v>APLICAÇÃO DE TEXTURA CIMENTO QUEIMADO</v>
      </c>
      <c r="E246" s="759" t="str">
        <f>IFERROR(VLOOKUP($B246,'24.08_ND'!$A:$D,3,0),IFERROR(VLOOKUP($B246,'03-CP'!$C$5:$H$4646,3,0),""))</f>
        <v>M2</v>
      </c>
      <c r="F246" s="1452">
        <f>SUM(I248)</f>
        <v>34.24</v>
      </c>
      <c r="G246" s="1453"/>
      <c r="H246" s="1453"/>
      <c r="I246" s="1454"/>
      <c r="J246" s="1383"/>
      <c r="K246" s="262"/>
      <c r="L246" s="1389" t="s">
        <v>16229</v>
      </c>
      <c r="M246" s="262"/>
      <c r="N246" s="262"/>
      <c r="O246" s="262"/>
      <c r="P246" s="262"/>
      <c r="Q246" s="262"/>
      <c r="R246" s="262"/>
      <c r="S246" s="262"/>
      <c r="T246" s="262"/>
      <c r="U246" s="262"/>
      <c r="V246" s="262"/>
      <c r="W246" s="262"/>
      <c r="X246" s="262"/>
      <c r="Y246" s="262"/>
      <c r="Z246" s="262"/>
    </row>
    <row r="247" spans="1:26" ht="12.75" hidden="1" outlineLevel="1">
      <c r="A247" s="450"/>
      <c r="B247" s="368"/>
      <c r="C247" s="368"/>
      <c r="D247" s="1455" t="s">
        <v>16253</v>
      </c>
      <c r="E247" s="1456" t="s">
        <v>16252</v>
      </c>
      <c r="F247" s="1457" t="s">
        <v>16232</v>
      </c>
      <c r="G247" s="1456" t="s">
        <v>16233</v>
      </c>
      <c r="H247" s="1456" t="s">
        <v>16234</v>
      </c>
      <c r="I247" s="1458" t="s">
        <v>12615</v>
      </c>
      <c r="J247" s="1383"/>
      <c r="K247" s="262"/>
      <c r="L247" s="386"/>
      <c r="M247" s="262"/>
      <c r="N247" s="262"/>
      <c r="O247" s="262"/>
      <c r="P247" s="262"/>
      <c r="Q247" s="262"/>
      <c r="R247" s="262"/>
      <c r="S247" s="262"/>
      <c r="T247" s="262"/>
      <c r="U247" s="262"/>
      <c r="V247" s="262"/>
      <c r="W247" s="262"/>
      <c r="X247" s="262"/>
      <c r="Y247" s="262"/>
      <c r="Z247" s="262"/>
    </row>
    <row r="248" spans="1:26" ht="12.75" hidden="1" outlineLevel="1">
      <c r="A248" s="450"/>
      <c r="B248" s="368"/>
      <c r="C248" s="368"/>
      <c r="D248" s="1459" t="s">
        <v>16257</v>
      </c>
      <c r="E248" s="1460"/>
      <c r="F248" s="1461"/>
      <c r="G248" s="1462">
        <v>34.24</v>
      </c>
      <c r="H248" s="1460"/>
      <c r="I248" s="1463">
        <f>G248</f>
        <v>34.24</v>
      </c>
      <c r="J248" s="1383"/>
      <c r="K248" s="262"/>
      <c r="L248" s="386"/>
      <c r="M248" s="262"/>
      <c r="N248" s="262"/>
      <c r="O248" s="262"/>
      <c r="P248" s="262"/>
      <c r="Q248" s="262"/>
      <c r="R248" s="262"/>
      <c r="S248" s="262"/>
      <c r="T248" s="262"/>
      <c r="U248" s="262"/>
      <c r="V248" s="262"/>
      <c r="W248" s="262"/>
      <c r="X248" s="262"/>
      <c r="Y248" s="262"/>
      <c r="Z248" s="262"/>
    </row>
    <row r="249" spans="1:26" ht="15.75" outlineLevel="1">
      <c r="A249" s="1385" t="s">
        <v>12855</v>
      </c>
      <c r="B249" s="384" t="s">
        <v>14763</v>
      </c>
      <c r="C249" s="384" t="s">
        <v>14472</v>
      </c>
      <c r="D249" s="596" t="str">
        <f>IFERROR(VLOOKUP($B249,'24.08_ND'!$A$4833:$D$12369,2,0),IFERROR(VLOOKUP($B249,'03-CP'!$C$5:$H$4646,2,0),""))</f>
        <v xml:space="preserve">REBOCO RÚSTICO </v>
      </c>
      <c r="E249" s="759" t="str">
        <f>IFERROR(VLOOKUP($B249,'24.08_ND'!$A:$D,3,0),IFERROR(VLOOKUP($B249,'03-CP'!$C$5:$H$4646,3,0),""))</f>
        <v>M2</v>
      </c>
      <c r="F249" s="1452">
        <f>SUM(I251)</f>
        <v>74.739999999999995</v>
      </c>
      <c r="G249" s="1453"/>
      <c r="H249" s="1453"/>
      <c r="I249" s="1454"/>
      <c r="J249" s="1383"/>
      <c r="K249" s="262"/>
      <c r="L249" s="1389" t="s">
        <v>16229</v>
      </c>
      <c r="M249" s="262"/>
      <c r="N249" s="262"/>
      <c r="O249" s="262"/>
      <c r="P249" s="262"/>
      <c r="Q249" s="262"/>
      <c r="R249" s="262"/>
      <c r="S249" s="262"/>
      <c r="T249" s="262"/>
      <c r="U249" s="262"/>
      <c r="V249" s="262"/>
      <c r="W249" s="262"/>
      <c r="X249" s="262"/>
      <c r="Y249" s="262"/>
      <c r="Z249" s="262"/>
    </row>
    <row r="250" spans="1:26" ht="12.75" hidden="1" outlineLevel="1">
      <c r="A250" s="247"/>
      <c r="B250" s="368"/>
      <c r="C250" s="368"/>
      <c r="D250" s="1455" t="s">
        <v>16253</v>
      </c>
      <c r="E250" s="1456" t="s">
        <v>16252</v>
      </c>
      <c r="F250" s="1457" t="s">
        <v>16232</v>
      </c>
      <c r="G250" s="1456" t="s">
        <v>16233</v>
      </c>
      <c r="H250" s="1456" t="s">
        <v>16234</v>
      </c>
      <c r="I250" s="1458" t="s">
        <v>12615</v>
      </c>
      <c r="J250" s="1383"/>
      <c r="K250" s="262"/>
      <c r="L250" s="386"/>
      <c r="M250" s="262"/>
      <c r="N250" s="262"/>
      <c r="O250" s="262"/>
      <c r="P250" s="262"/>
      <c r="Q250" s="262"/>
      <c r="R250" s="262"/>
      <c r="S250" s="262"/>
      <c r="T250" s="262"/>
      <c r="U250" s="262"/>
      <c r="V250" s="262"/>
      <c r="W250" s="262"/>
      <c r="X250" s="262"/>
      <c r="Y250" s="262"/>
      <c r="Z250" s="262"/>
    </row>
    <row r="251" spans="1:26" ht="12.75" hidden="1" outlineLevel="1">
      <c r="A251" s="247"/>
      <c r="B251" s="368"/>
      <c r="C251" s="368"/>
      <c r="D251" s="1459" t="s">
        <v>16273</v>
      </c>
      <c r="E251" s="1464"/>
      <c r="F251" s="1465"/>
      <c r="G251" s="1462">
        <v>74.739999999999995</v>
      </c>
      <c r="H251" s="1464"/>
      <c r="I251" s="1463">
        <f>G251</f>
        <v>74.739999999999995</v>
      </c>
      <c r="J251" s="1383"/>
      <c r="K251" s="262"/>
      <c r="L251" s="386"/>
      <c r="M251" s="262"/>
      <c r="N251" s="262"/>
      <c r="O251" s="262"/>
      <c r="P251" s="262"/>
      <c r="Q251" s="262"/>
      <c r="R251" s="262"/>
      <c r="S251" s="262"/>
      <c r="T251" s="262"/>
      <c r="U251" s="262"/>
      <c r="V251" s="262"/>
      <c r="W251" s="262"/>
      <c r="X251" s="262"/>
      <c r="Y251" s="262"/>
      <c r="Z251" s="262"/>
    </row>
    <row r="252" spans="1:26" outlineLevel="1">
      <c r="A252" s="1385" t="s">
        <v>12856</v>
      </c>
      <c r="B252" s="384" t="s">
        <v>14765</v>
      </c>
      <c r="C252" s="384" t="s">
        <v>14472</v>
      </c>
      <c r="D252" s="596" t="str">
        <f>IFERROR(VLOOKUP($B252,'24.08_ND'!$A$4833:$D$12369,2,0),IFERROR(VLOOKUP($B252,'03-CP'!$C$5:$H$4646,2,0),""))</f>
        <v>PINTURA COM TINTA ACRÍLICA PREMIUM EM PAREDES, DUAS DEMÃOS.</v>
      </c>
      <c r="E252" s="759" t="str">
        <f>IFERROR(VLOOKUP($B252,'24.08_ND'!$A:$D,3,0),IFERROR(VLOOKUP($B252,'03-CP'!$C$5:$H$4646,3,0),""))</f>
        <v>M2</v>
      </c>
      <c r="F252" s="1452">
        <f>SUM(I254:I256)</f>
        <v>273.46999999999997</v>
      </c>
      <c r="G252" s="1453"/>
      <c r="H252" s="1453"/>
      <c r="I252" s="1454"/>
      <c r="J252" s="1383"/>
      <c r="K252" s="262"/>
      <c r="L252" s="386"/>
      <c r="M252" s="262"/>
      <c r="N252" s="262"/>
      <c r="O252" s="262"/>
      <c r="P252" s="262"/>
      <c r="Q252" s="262"/>
      <c r="R252" s="262"/>
      <c r="S252" s="262"/>
      <c r="T252" s="262"/>
      <c r="U252" s="262"/>
      <c r="V252" s="262"/>
      <c r="W252" s="262"/>
      <c r="X252" s="262"/>
      <c r="Y252" s="262"/>
      <c r="Z252" s="262"/>
    </row>
    <row r="253" spans="1:26" ht="12.75" hidden="1" outlineLevel="1">
      <c r="A253" s="450"/>
      <c r="B253" s="368"/>
      <c r="C253" s="368"/>
      <c r="D253" s="1455" t="s">
        <v>16274</v>
      </c>
      <c r="E253" s="1456" t="s">
        <v>16252</v>
      </c>
      <c r="F253" s="1457" t="s">
        <v>16232</v>
      </c>
      <c r="G253" s="1456" t="s">
        <v>16233</v>
      </c>
      <c r="H253" s="1456" t="s">
        <v>16234</v>
      </c>
      <c r="I253" s="1458" t="s">
        <v>12615</v>
      </c>
      <c r="J253" s="1383"/>
      <c r="K253" s="262"/>
      <c r="L253" s="386"/>
      <c r="M253" s="262"/>
      <c r="N253" s="262"/>
      <c r="O253" s="262"/>
      <c r="P253" s="262"/>
      <c r="Q253" s="262"/>
      <c r="R253" s="262"/>
      <c r="S253" s="262"/>
      <c r="T253" s="262"/>
      <c r="U253" s="262"/>
      <c r="V253" s="262"/>
      <c r="W253" s="262"/>
      <c r="X253" s="262"/>
      <c r="Y253" s="262"/>
      <c r="Z253" s="262"/>
    </row>
    <row r="254" spans="1:26" ht="15.75" hidden="1" outlineLevel="1">
      <c r="A254" s="450"/>
      <c r="B254" s="368"/>
      <c r="C254" s="368"/>
      <c r="D254" s="1466" t="s">
        <v>16275</v>
      </c>
      <c r="E254" s="642"/>
      <c r="F254" s="369"/>
      <c r="G254" s="691">
        <f>72.85+12.58+24.46</f>
        <v>109.88999999999999</v>
      </c>
      <c r="H254" s="642"/>
      <c r="I254" s="1467">
        <f>G254</f>
        <v>109.88999999999999</v>
      </c>
      <c r="J254" s="1383"/>
      <c r="K254" s="262"/>
      <c r="L254" s="1389" t="s">
        <v>16229</v>
      </c>
      <c r="M254" s="262"/>
      <c r="N254" s="262"/>
      <c r="O254" s="262"/>
      <c r="P254" s="262"/>
      <c r="Q254" s="262"/>
      <c r="R254" s="262"/>
      <c r="S254" s="262"/>
      <c r="T254" s="262"/>
      <c r="U254" s="262"/>
      <c r="V254" s="262"/>
      <c r="W254" s="262"/>
      <c r="X254" s="262"/>
      <c r="Y254" s="262"/>
      <c r="Z254" s="262"/>
    </row>
    <row r="255" spans="1:26" ht="15.75" hidden="1" outlineLevel="1">
      <c r="A255" s="247"/>
      <c r="B255" s="368"/>
      <c r="C255" s="368"/>
      <c r="D255" s="1466" t="s">
        <v>16276</v>
      </c>
      <c r="E255" s="642"/>
      <c r="F255" s="369"/>
      <c r="G255" s="691">
        <v>88.84</v>
      </c>
      <c r="H255" s="642"/>
      <c r="I255" s="1467">
        <f>G255</f>
        <v>88.84</v>
      </c>
      <c r="J255" s="1383"/>
      <c r="K255" s="262"/>
      <c r="L255" s="1389" t="s">
        <v>16229</v>
      </c>
      <c r="M255" s="262"/>
      <c r="N255" s="262"/>
      <c r="O255" s="262"/>
      <c r="P255" s="262"/>
      <c r="Q255" s="262"/>
      <c r="R255" s="262"/>
      <c r="S255" s="262"/>
      <c r="T255" s="262"/>
      <c r="U255" s="262"/>
      <c r="V255" s="262"/>
      <c r="W255" s="262"/>
      <c r="X255" s="262"/>
      <c r="Y255" s="262"/>
      <c r="Z255" s="262"/>
    </row>
    <row r="256" spans="1:26" ht="12.75" hidden="1" outlineLevel="1">
      <c r="A256" s="247"/>
      <c r="B256" s="368"/>
      <c r="C256" s="368"/>
      <c r="D256" s="1459" t="s">
        <v>14764</v>
      </c>
      <c r="E256" s="1464"/>
      <c r="F256" s="1465"/>
      <c r="G256" s="1462">
        <v>74.739999999999995</v>
      </c>
      <c r="H256" s="1464"/>
      <c r="I256" s="1463">
        <f>G256</f>
        <v>74.739999999999995</v>
      </c>
      <c r="J256" s="1383"/>
      <c r="K256" s="262"/>
      <c r="L256" s="386"/>
      <c r="M256" s="262"/>
      <c r="N256" s="262"/>
      <c r="O256" s="262"/>
      <c r="P256" s="262"/>
      <c r="Q256" s="262"/>
      <c r="R256" s="262"/>
      <c r="S256" s="262"/>
      <c r="T256" s="262"/>
      <c r="U256" s="262"/>
      <c r="V256" s="262"/>
      <c r="W256" s="262"/>
      <c r="X256" s="262"/>
      <c r="Y256" s="262"/>
      <c r="Z256" s="262"/>
    </row>
    <row r="257" spans="1:26" ht="26.25" outlineLevel="1">
      <c r="A257" s="1385" t="s">
        <v>12857</v>
      </c>
      <c r="B257" s="384" t="s">
        <v>14767</v>
      </c>
      <c r="C257" s="384" t="s">
        <v>14472</v>
      </c>
      <c r="D257" s="596" t="str">
        <f>IFERROR(VLOOKUP($B257,'24.08_ND'!$A$4833:$D$12369,2,0),IFERROR(VLOOKUP($B257,'03-CP'!$C$5:$H$4646,2,0),""))</f>
        <v xml:space="preserve">PINTURA COM TINTA EPÓXI, APLICAÇÃO MANUAL, 2 DEMÃOS, INCLUSO PRIMER EPÓXI. </v>
      </c>
      <c r="E257" s="759" t="str">
        <f>IFERROR(VLOOKUP($B257,'24.08_ND'!$A:$D,3,0),IFERROR(VLOOKUP($B257,'03-CP'!$C$5:$H$4646,3,0),""))</f>
        <v>M2</v>
      </c>
      <c r="F257" s="1452">
        <f>SUM(I259)</f>
        <v>45.1</v>
      </c>
      <c r="G257" s="1453"/>
      <c r="H257" s="1453"/>
      <c r="I257" s="1454"/>
      <c r="J257" s="1383"/>
      <c r="K257" s="262"/>
      <c r="L257" s="1389" t="s">
        <v>16229</v>
      </c>
      <c r="M257" s="262"/>
      <c r="N257" s="262"/>
      <c r="O257" s="262"/>
      <c r="P257" s="262"/>
      <c r="Q257" s="262"/>
      <c r="R257" s="262"/>
      <c r="S257" s="262"/>
      <c r="T257" s="262"/>
      <c r="U257" s="262"/>
      <c r="V257" s="262"/>
      <c r="W257" s="262"/>
      <c r="X257" s="262"/>
      <c r="Y257" s="262"/>
      <c r="Z257" s="262"/>
    </row>
    <row r="258" spans="1:26" ht="12.75" hidden="1" outlineLevel="1">
      <c r="A258" s="247"/>
      <c r="B258" s="368"/>
      <c r="C258" s="368"/>
      <c r="D258" s="1455" t="s">
        <v>16253</v>
      </c>
      <c r="E258" s="1456" t="s">
        <v>16252</v>
      </c>
      <c r="F258" s="1457" t="s">
        <v>16232</v>
      </c>
      <c r="G258" s="1456" t="s">
        <v>16233</v>
      </c>
      <c r="H258" s="1456" t="s">
        <v>16234</v>
      </c>
      <c r="I258" s="1458" t="s">
        <v>12615</v>
      </c>
      <c r="J258" s="1383"/>
      <c r="K258" s="262"/>
      <c r="L258" s="386"/>
      <c r="M258" s="262"/>
      <c r="N258" s="262"/>
      <c r="O258" s="262"/>
      <c r="P258" s="262"/>
      <c r="Q258" s="262"/>
      <c r="R258" s="262"/>
      <c r="S258" s="262"/>
      <c r="T258" s="262"/>
      <c r="U258" s="262"/>
      <c r="V258" s="262"/>
      <c r="W258" s="262"/>
      <c r="X258" s="262"/>
      <c r="Y258" s="262"/>
      <c r="Z258" s="262"/>
    </row>
    <row r="259" spans="1:26" ht="12.75" hidden="1" outlineLevel="1">
      <c r="A259" s="247"/>
      <c r="B259" s="368"/>
      <c r="C259" s="368"/>
      <c r="D259" s="1459" t="s">
        <v>16277</v>
      </c>
      <c r="E259" s="1464"/>
      <c r="F259" s="1465"/>
      <c r="G259" s="1462">
        <f>45.1</f>
        <v>45.1</v>
      </c>
      <c r="H259" s="1462"/>
      <c r="I259" s="1463">
        <f>G259</f>
        <v>45.1</v>
      </c>
      <c r="J259" s="1383"/>
      <c r="K259" s="262"/>
      <c r="L259" s="386"/>
      <c r="M259" s="262"/>
      <c r="N259" s="262"/>
      <c r="O259" s="262"/>
      <c r="P259" s="262"/>
      <c r="Q259" s="262"/>
      <c r="R259" s="262"/>
      <c r="S259" s="262"/>
      <c r="T259" s="262"/>
      <c r="U259" s="262"/>
      <c r="V259" s="262"/>
      <c r="W259" s="262"/>
      <c r="X259" s="262"/>
      <c r="Y259" s="262"/>
      <c r="Z259" s="262"/>
    </row>
    <row r="260" spans="1:26" ht="12.75" hidden="1" outlineLevel="1">
      <c r="A260" s="247"/>
      <c r="B260" s="386"/>
      <c r="C260" s="386"/>
      <c r="D260" s="1314"/>
      <c r="E260" s="1315"/>
      <c r="F260" s="389"/>
      <c r="G260" s="1244"/>
      <c r="H260" s="1244"/>
      <c r="I260" s="1409"/>
      <c r="J260" s="1441"/>
      <c r="K260" s="262"/>
      <c r="L260" s="386"/>
      <c r="M260" s="262"/>
      <c r="N260" s="262"/>
      <c r="O260" s="262"/>
      <c r="P260" s="262"/>
      <c r="Q260" s="262"/>
      <c r="R260" s="262"/>
      <c r="S260" s="262"/>
      <c r="T260" s="262"/>
      <c r="U260" s="262"/>
      <c r="V260" s="262"/>
      <c r="W260" s="262"/>
      <c r="X260" s="262"/>
      <c r="Y260" s="262"/>
      <c r="Z260" s="262"/>
    </row>
    <row r="261" spans="1:26" ht="15.75" outlineLevel="1">
      <c r="A261" s="1385" t="s">
        <v>12858</v>
      </c>
      <c r="B261" s="384" t="s">
        <v>14769</v>
      </c>
      <c r="C261" s="384" t="s">
        <v>14472</v>
      </c>
      <c r="D261" s="596" t="str">
        <f>IFERROR(VLOOKUP($B261,'24.08_ND'!$A$4833:$D$12369,2,0),IFERROR(VLOOKUP($B261,'03-CP'!$C$5:$H$4646,2,0),""))</f>
        <v>ACABAMENTO LEVIGADO EM PISO DE CONCRETO</v>
      </c>
      <c r="E261" s="759" t="str">
        <f>IFERROR(VLOOKUP($B261,'24.08_ND'!$A:$D,3,0),IFERROR(VLOOKUP($B261,'03-CP'!$C$5:$H$4646,3,0),""))</f>
        <v>M2</v>
      </c>
      <c r="F261" s="1452">
        <f>SUM(I263)</f>
        <v>67.5</v>
      </c>
      <c r="G261" s="1453"/>
      <c r="H261" s="1453"/>
      <c r="I261" s="1454"/>
      <c r="J261" s="1441"/>
      <c r="K261" s="262"/>
      <c r="L261" s="1389" t="s">
        <v>16229</v>
      </c>
      <c r="M261" s="262"/>
      <c r="N261" s="262"/>
      <c r="O261" s="262"/>
      <c r="P261" s="262"/>
      <c r="Q261" s="262"/>
      <c r="R261" s="262"/>
      <c r="S261" s="262"/>
      <c r="T261" s="262"/>
      <c r="U261" s="262"/>
      <c r="V261" s="262"/>
      <c r="W261" s="262"/>
      <c r="X261" s="262"/>
      <c r="Y261" s="262"/>
      <c r="Z261" s="262"/>
    </row>
    <row r="262" spans="1:26" ht="12.75" hidden="1" outlineLevel="1">
      <c r="A262" s="247"/>
      <c r="B262" s="368"/>
      <c r="C262" s="368"/>
      <c r="D262" s="1455" t="s">
        <v>16253</v>
      </c>
      <c r="E262" s="1456" t="s">
        <v>16252</v>
      </c>
      <c r="F262" s="1457" t="s">
        <v>16232</v>
      </c>
      <c r="G262" s="1456" t="s">
        <v>16233</v>
      </c>
      <c r="H262" s="1456" t="s">
        <v>16234</v>
      </c>
      <c r="I262" s="1458" t="s">
        <v>12615</v>
      </c>
      <c r="J262" s="1441"/>
      <c r="K262" s="262"/>
      <c r="L262" s="386"/>
      <c r="M262" s="262"/>
      <c r="N262" s="262"/>
      <c r="O262" s="262"/>
      <c r="P262" s="262"/>
      <c r="Q262" s="262"/>
      <c r="R262" s="262"/>
      <c r="S262" s="262"/>
      <c r="T262" s="262"/>
      <c r="U262" s="262"/>
      <c r="V262" s="262"/>
      <c r="W262" s="262"/>
      <c r="X262" s="262"/>
      <c r="Y262" s="262"/>
      <c r="Z262" s="262"/>
    </row>
    <row r="263" spans="1:26" ht="12.75" hidden="1" outlineLevel="1">
      <c r="A263" s="247"/>
      <c r="B263" s="368"/>
      <c r="C263" s="368"/>
      <c r="D263" s="1459" t="s">
        <v>16278</v>
      </c>
      <c r="E263" s="1464"/>
      <c r="F263" s="1465"/>
      <c r="G263" s="1462">
        <v>67.5</v>
      </c>
      <c r="H263" s="1462"/>
      <c r="I263" s="1463">
        <f>G263</f>
        <v>67.5</v>
      </c>
      <c r="J263" s="1441"/>
      <c r="K263" s="262"/>
      <c r="L263" s="386"/>
      <c r="M263" s="262"/>
      <c r="N263" s="262"/>
      <c r="O263" s="262"/>
      <c r="P263" s="262"/>
      <c r="Q263" s="262"/>
      <c r="R263" s="262"/>
      <c r="S263" s="262"/>
      <c r="T263" s="262"/>
      <c r="U263" s="262"/>
      <c r="V263" s="262"/>
      <c r="W263" s="262"/>
      <c r="X263" s="262"/>
      <c r="Y263" s="262"/>
      <c r="Z263" s="262"/>
    </row>
    <row r="264" spans="1:26" ht="12.75" hidden="1" outlineLevel="1">
      <c r="A264" s="247"/>
      <c r="B264" s="386"/>
      <c r="C264" s="386"/>
      <c r="D264" s="1314"/>
      <c r="E264" s="1315"/>
      <c r="F264" s="389"/>
      <c r="G264" s="1244"/>
      <c r="H264" s="1244"/>
      <c r="I264" s="1409"/>
      <c r="J264" s="1441"/>
      <c r="K264" s="262"/>
      <c r="L264" s="386"/>
      <c r="M264" s="262"/>
      <c r="N264" s="262"/>
      <c r="O264" s="262"/>
      <c r="P264" s="262"/>
      <c r="Q264" s="262"/>
      <c r="R264" s="262"/>
      <c r="S264" s="262"/>
      <c r="T264" s="262"/>
      <c r="U264" s="262"/>
      <c r="V264" s="262"/>
      <c r="W264" s="262"/>
      <c r="X264" s="262"/>
      <c r="Y264" s="262"/>
      <c r="Z264" s="262"/>
    </row>
    <row r="265" spans="1:26" ht="12.75">
      <c r="A265" s="246" t="s">
        <v>12859</v>
      </c>
      <c r="B265" s="1378"/>
      <c r="C265" s="1378"/>
      <c r="D265" s="1379" t="s">
        <v>16279</v>
      </c>
      <c r="E265" s="1380"/>
      <c r="F265" s="1381"/>
      <c r="G265" s="1380"/>
      <c r="H265" s="1381"/>
      <c r="I265" s="1382"/>
      <c r="J265" s="1383" t="s">
        <v>16228</v>
      </c>
      <c r="K265" s="1297" t="e">
        <f>VLOOKUP(#REF!,'Medição '!$A:$G,10,0)</f>
        <v>#REF!</v>
      </c>
      <c r="L265" s="386"/>
      <c r="M265" s="262"/>
      <c r="N265" s="262"/>
      <c r="O265" s="262"/>
      <c r="P265" s="262"/>
      <c r="Q265" s="262"/>
      <c r="R265" s="262"/>
      <c r="S265" s="262"/>
      <c r="T265" s="262"/>
      <c r="U265" s="262"/>
      <c r="V265" s="262"/>
      <c r="W265" s="262"/>
      <c r="X265" s="262"/>
      <c r="Y265" s="262"/>
      <c r="Z265" s="262"/>
    </row>
    <row r="266" spans="1:26" ht="51" outlineLevel="1">
      <c r="A266" s="247" t="s">
        <v>12860</v>
      </c>
      <c r="B266" s="386">
        <v>90842</v>
      </c>
      <c r="C266" s="8" t="s">
        <v>14476</v>
      </c>
      <c r="D266" s="1314" t="str">
        <f>IFERROR(VLOOKUP($B266,'24.08_ND'!$A$4833:$D$12369,2,0),IFERROR(VLOOKUP($B266,'03-CP'!$C$5:$H$4646,2,0),""))</f>
        <v>KIT DE PORTA DE MADEIRA PARA PINTURA, SEMI-OCA (LEVE OU MÉDIA), PADRÃO MÉDIO, 70X210CM, ESPESSURA DE 3,5CM, ITENS INCLUSOS: DOBRADIÇAS, MONTAGEM E INSTALAÇÃO DO BATENTE, FECHADURA COM EXECUÇÃO DO FURO - FORNECIMENTO E INSTALAÇÃO. AF_12/2019</v>
      </c>
      <c r="E266" s="1315" t="str">
        <f>IFERROR(VLOOKUP($B266,'24.08_ND'!$A:$D,3,0),IFERROR(VLOOKUP($B266,'03-CP'!$C$5:$H$4646,3,0),""))</f>
        <v>UN</v>
      </c>
      <c r="F266" s="1468">
        <v>1</v>
      </c>
      <c r="G266" s="1244"/>
      <c r="H266" s="1244"/>
      <c r="I266" s="1409"/>
      <c r="J266" s="1383" t="s">
        <v>16228</v>
      </c>
      <c r="K266" s="262"/>
      <c r="L266" s="386"/>
      <c r="M266" s="262"/>
      <c r="N266" s="261"/>
      <c r="O266" s="262"/>
      <c r="P266" s="262"/>
      <c r="Q266" s="262"/>
      <c r="R266" s="262"/>
      <c r="S266" s="262"/>
      <c r="T266" s="262"/>
      <c r="U266" s="262"/>
      <c r="V266" s="262"/>
      <c r="W266" s="262"/>
      <c r="X266" s="262"/>
      <c r="Y266" s="262"/>
      <c r="Z266" s="262"/>
    </row>
    <row r="267" spans="1:26" ht="51" outlineLevel="1">
      <c r="A267" s="247" t="s">
        <v>12861</v>
      </c>
      <c r="B267" s="386">
        <v>90843</v>
      </c>
      <c r="C267" s="8" t="s">
        <v>14476</v>
      </c>
      <c r="D267" s="1314" t="str">
        <f>IFERROR(VLOOKUP($B267,'24.08_ND'!$A$4833:$D$12369,2,0),IFERROR(VLOOKUP($B267,'03-CP'!$C$5:$H$4646,2,0),""))</f>
        <v>KIT DE PORTA DE MADEIRA PARA PINTURA, SEMI-OCA (LEVE OU MÉDIA), PADRÃO MÉDIO, 80X210CM, ESPESSURA DE 3,5CM, ITENS INCLUSOS: DOBRADIÇAS, MONTAGEM E INSTALAÇÃO DO BATENTE, FECHADURA COM EXECUÇÃO DO FURO - FORNECIMENTO E INSTALAÇÃO. AF_12/2019</v>
      </c>
      <c r="E267" s="1315" t="str">
        <f>IFERROR(VLOOKUP($B267,'24.08_ND'!$A:$D,3,0),IFERROR(VLOOKUP($B267,'03-CP'!$C$5:$H$4646,3,0),""))</f>
        <v>UN</v>
      </c>
      <c r="F267" s="1468">
        <v>1</v>
      </c>
      <c r="G267" s="1244"/>
      <c r="H267" s="1244"/>
      <c r="I267" s="1409"/>
      <c r="J267" s="1383"/>
      <c r="K267" s="262"/>
      <c r="L267" s="386"/>
      <c r="M267" s="262"/>
      <c r="N267" s="262"/>
      <c r="O267" s="262"/>
      <c r="P267" s="262"/>
      <c r="Q267" s="262"/>
      <c r="R267" s="262"/>
      <c r="S267" s="262"/>
      <c r="T267" s="262"/>
      <c r="U267" s="262"/>
      <c r="V267" s="262"/>
      <c r="W267" s="262"/>
      <c r="X267" s="262"/>
      <c r="Y267" s="262"/>
      <c r="Z267" s="262"/>
    </row>
    <row r="268" spans="1:26" ht="51" outlineLevel="1">
      <c r="A268" s="247" t="s">
        <v>12862</v>
      </c>
      <c r="B268" s="386">
        <v>90844</v>
      </c>
      <c r="C268" s="8" t="s">
        <v>14476</v>
      </c>
      <c r="D268" s="1314" t="str">
        <f>IFERROR(VLOOKUP($B268,'24.08_ND'!$A$4833:$D$12369,2,0),IFERROR(VLOOKUP($B268,'03-CP'!$C$5:$H$4646,2,0),""))</f>
        <v>KIT DE PORTA DE MADEIRA PARA PINTURA, SEMI-OCA (LEVE OU MÉDIA), PADRÃO MÉDIO, 90X210CM, ESPESSURA DE 3,5CM, ITENS INCLUSOS: DOBRADIÇAS, MONTAGEM E INSTALAÇÃO DO BATENTE, FECHADURA COM EXECUÇÃO DO FURO - FORNECIMENTO E INSTALAÇÃO. AF_12/2019</v>
      </c>
      <c r="E268" s="1315" t="str">
        <f>IFERROR(VLOOKUP($B268,'24.08_ND'!$A:$D,3,0),IFERROR(VLOOKUP($B268,'03-CP'!$C$5:$H$4646,3,0),""))</f>
        <v>UN</v>
      </c>
      <c r="F268" s="1468">
        <v>1</v>
      </c>
      <c r="G268" s="1244"/>
      <c r="H268" s="1244"/>
      <c r="I268" s="1409"/>
      <c r="J268" s="1383"/>
      <c r="K268" s="262"/>
      <c r="L268" s="386"/>
      <c r="M268" s="262"/>
      <c r="N268" s="262"/>
      <c r="O268" s="262"/>
      <c r="P268" s="262"/>
      <c r="Q268" s="262"/>
      <c r="R268" s="262"/>
      <c r="S268" s="262"/>
      <c r="T268" s="262"/>
      <c r="U268" s="262"/>
      <c r="V268" s="262"/>
      <c r="W268" s="262"/>
      <c r="X268" s="262"/>
      <c r="Y268" s="262"/>
      <c r="Z268" s="262"/>
    </row>
    <row r="269" spans="1:26" ht="63.75" outlineLevel="1">
      <c r="A269" s="247" t="s">
        <v>12863</v>
      </c>
      <c r="B269" s="386" t="s">
        <v>14971</v>
      </c>
      <c r="C269" s="8" t="s">
        <v>14472</v>
      </c>
      <c r="D269" s="1314" t="str">
        <f>IFERROR(VLOOKUP($B269,'24.08_ND'!$A$4833:$D$12369,2,0),IFERROR(VLOOKUP($B269,'03-CP'!$C$5:$H$4646,2,0),""))</f>
        <v>KIT DE PORTA DE MADEIRA, MACIÇA, E=3,5CM, DIMENSÕES 80X210CM, ESPESSURA DE 3,5CM, ITENS INCLUSOS: DOBRADIÇAS, MONTAGEM E INSTALAÇÃO DO BATENTE, FECHADURA COM EXECUÇÃO DO FURO, ACABAMENTO DE SUPERFÍCIE COM SELADOR/VERNIZ/CERA - FORNECIMENTO E INSTALAÇÃO</v>
      </c>
      <c r="E269" s="1315" t="str">
        <f>IFERROR(VLOOKUP($B269,'24.08_ND'!$A:$D,3,0),IFERROR(VLOOKUP($B269,'03-CP'!$C$5:$H$4646,3,0),""))</f>
        <v>UN</v>
      </c>
      <c r="F269" s="1468">
        <v>2</v>
      </c>
      <c r="G269" s="1244"/>
      <c r="H269" s="1244"/>
      <c r="I269" s="1409"/>
      <c r="J269" s="1383"/>
      <c r="K269" s="262"/>
      <c r="L269" s="386"/>
      <c r="M269" s="262"/>
      <c r="N269" s="262"/>
      <c r="O269" s="262"/>
      <c r="P269" s="262"/>
      <c r="Q269" s="262"/>
      <c r="R269" s="262"/>
      <c r="S269" s="262"/>
      <c r="T269" s="262"/>
      <c r="U269" s="262"/>
      <c r="V269" s="262"/>
      <c r="W269" s="262"/>
      <c r="X269" s="262"/>
      <c r="Y269" s="262"/>
      <c r="Z269" s="262"/>
    </row>
    <row r="270" spans="1:26" ht="63.75" outlineLevel="1">
      <c r="A270" s="247" t="s">
        <v>12864</v>
      </c>
      <c r="B270" s="386" t="s">
        <v>14973</v>
      </c>
      <c r="C270" s="8" t="s">
        <v>14472</v>
      </c>
      <c r="D270" s="1314" t="str">
        <f>IFERROR(VLOOKUP($B270,'24.08_ND'!$A$4833:$D$12369,2,0),IFERROR(VLOOKUP($B270,'03-CP'!$C$5:$H$4646,2,0),""))</f>
        <v>KIT DE PORTA DE MADEIRA, MACIÇA, E=3,5CM, DIMENSÕES 90X210CM, ESPESSURA DE 3,5CM, ITENS INCLUSOS: DOBRADIÇAS, MONTAGEM E INSTALAÇÃO DO BATENTE, FECHADURA COM EXECUÇÃO DO FURO, ACABAMENTO DE SUPERFÍCIE COM SELADOR/VERNIZ/CERA - FORNECIMENTO E INSTALAÇÃO</v>
      </c>
      <c r="E270" s="1315" t="str">
        <f>IFERROR(VLOOKUP($B270,'24.08_ND'!$A:$D,3,0),IFERROR(VLOOKUP($B270,'03-CP'!$C$5:$H$4646,3,0),""))</f>
        <v>UN</v>
      </c>
      <c r="F270" s="1468">
        <v>3</v>
      </c>
      <c r="G270" s="1244"/>
      <c r="H270" s="1244"/>
      <c r="I270" s="1409"/>
      <c r="J270" s="1383"/>
      <c r="K270" s="262"/>
      <c r="L270" s="386"/>
      <c r="M270" s="262"/>
      <c r="N270" s="262"/>
      <c r="O270" s="262"/>
      <c r="P270" s="262"/>
      <c r="Q270" s="262"/>
      <c r="R270" s="262"/>
      <c r="S270" s="262"/>
      <c r="T270" s="262"/>
      <c r="U270" s="262"/>
      <c r="V270" s="262"/>
      <c r="W270" s="262"/>
      <c r="X270" s="262"/>
      <c r="Y270" s="262"/>
      <c r="Z270" s="262"/>
    </row>
    <row r="271" spans="1:26" ht="38.25" outlineLevel="1">
      <c r="A271" s="1385" t="s">
        <v>12865</v>
      </c>
      <c r="B271" s="295">
        <v>100761</v>
      </c>
      <c r="C271" s="559" t="s">
        <v>14476</v>
      </c>
      <c r="D271" s="658" t="str">
        <f>IFERROR(VLOOKUP($B271,'24.08_ND'!$A$4833:$D$12369,2,0),IFERROR(VLOOKUP($B271,'03-CP'!$C$5:$H$4646,2,0),""))</f>
        <v>PINTURA COM TINTA ALQUÍDICA DE ACABAMENTO (ESMALTE SINTÉTICO FOSCO) PULVERIZADA SOBRE SUPERFÍCIES METÁLICAS (EXCETO PERFIL) EXECUTADO EM OBRA (02 DEMÃOS). AF_01/2020_PE</v>
      </c>
      <c r="E271" s="1318" t="str">
        <f>IFERROR(VLOOKUP($B271,'24.08_ND'!$A:$D,3,0),IFERROR(VLOOKUP($B271,'03-CP'!$C$5:$H$4646,3,0),""))</f>
        <v>M2</v>
      </c>
      <c r="F271" s="1469">
        <f>SUM(I273:I275)</f>
        <v>14.43</v>
      </c>
      <c r="G271" s="1387"/>
      <c r="H271" s="1387"/>
      <c r="I271" s="1388"/>
      <c r="J271" s="1383"/>
      <c r="K271" s="262"/>
      <c r="L271" s="386"/>
      <c r="M271" s="262"/>
      <c r="N271" s="262"/>
      <c r="O271" s="262"/>
      <c r="P271" s="262"/>
      <c r="Q271" s="262"/>
      <c r="R271" s="262"/>
      <c r="S271" s="262"/>
      <c r="T271" s="262"/>
      <c r="U271" s="262"/>
      <c r="V271" s="262"/>
      <c r="W271" s="262"/>
      <c r="X271" s="262"/>
      <c r="Y271" s="262"/>
      <c r="Z271" s="262"/>
    </row>
    <row r="272" spans="1:26" ht="12.75" hidden="1" outlineLevel="1">
      <c r="A272" s="450"/>
      <c r="B272" s="303"/>
      <c r="C272" s="1410"/>
      <c r="D272" s="1455" t="s">
        <v>16280</v>
      </c>
      <c r="E272" s="1456" t="s">
        <v>16252</v>
      </c>
      <c r="F272" s="1457" t="s">
        <v>16232</v>
      </c>
      <c r="G272" s="1456" t="s">
        <v>16233</v>
      </c>
      <c r="H272" s="1456" t="s">
        <v>16234</v>
      </c>
      <c r="I272" s="1458" t="s">
        <v>12615</v>
      </c>
      <c r="J272" s="1383"/>
      <c r="K272" s="262"/>
      <c r="L272" s="386"/>
      <c r="M272" s="262"/>
      <c r="N272" s="262"/>
      <c r="O272" s="262"/>
      <c r="P272" s="262"/>
      <c r="Q272" s="262"/>
      <c r="R272" s="262"/>
      <c r="S272" s="262"/>
      <c r="T272" s="262"/>
      <c r="U272" s="262"/>
      <c r="V272" s="262"/>
      <c r="W272" s="262"/>
      <c r="X272" s="262"/>
      <c r="Y272" s="262"/>
      <c r="Z272" s="262"/>
    </row>
    <row r="273" spans="1:26" ht="12.75" hidden="1" outlineLevel="1">
      <c r="A273" s="450"/>
      <c r="B273" s="303"/>
      <c r="C273" s="1410"/>
      <c r="D273" s="1466" t="s">
        <v>16244</v>
      </c>
      <c r="E273" s="691">
        <v>0.7</v>
      </c>
      <c r="F273" s="1229">
        <v>2.1</v>
      </c>
      <c r="G273" s="691">
        <v>1.47</v>
      </c>
      <c r="H273" s="691">
        <v>1</v>
      </c>
      <c r="I273" s="1467">
        <f>((G273*2)+((E273+E273+F273+F273)*0.05)+((E273+E273+F273+F273)*0.2))*H273</f>
        <v>4.34</v>
      </c>
      <c r="J273" s="1383"/>
      <c r="K273" s="262"/>
      <c r="L273" s="386"/>
      <c r="M273" s="262"/>
      <c r="N273" s="262"/>
      <c r="O273" s="262"/>
      <c r="P273" s="262"/>
      <c r="Q273" s="262"/>
      <c r="R273" s="262"/>
      <c r="S273" s="262"/>
      <c r="T273" s="262"/>
      <c r="U273" s="262"/>
      <c r="V273" s="262"/>
      <c r="W273" s="262"/>
      <c r="X273" s="262"/>
      <c r="Y273" s="262"/>
      <c r="Z273" s="262"/>
    </row>
    <row r="274" spans="1:26" ht="12.75" hidden="1" outlineLevel="1">
      <c r="A274" s="450"/>
      <c r="B274" s="303"/>
      <c r="C274" s="1410"/>
      <c r="D274" s="1466" t="s">
        <v>16245</v>
      </c>
      <c r="E274" s="691">
        <v>0.8</v>
      </c>
      <c r="F274" s="1229">
        <v>2.1</v>
      </c>
      <c r="G274" s="691">
        <v>1.68</v>
      </c>
      <c r="H274" s="691">
        <v>1</v>
      </c>
      <c r="I274" s="1467">
        <f>((G274*2)+((E274+E274+F274+F274)*0.05)+((E274+E274+F274+F274)*0.2))*H274</f>
        <v>4.8100000000000005</v>
      </c>
      <c r="J274" s="1383"/>
      <c r="K274" s="262"/>
      <c r="L274" s="386"/>
      <c r="M274" s="262"/>
      <c r="N274" s="262"/>
      <c r="O274" s="262"/>
      <c r="P274" s="262"/>
      <c r="Q274" s="262"/>
      <c r="R274" s="262"/>
      <c r="S274" s="262"/>
      <c r="T274" s="262"/>
      <c r="U274" s="262"/>
      <c r="V274" s="262"/>
      <c r="W274" s="262"/>
      <c r="X274" s="262"/>
      <c r="Y274" s="262"/>
      <c r="Z274" s="262"/>
    </row>
    <row r="275" spans="1:26" ht="12.75" hidden="1" outlineLevel="1">
      <c r="A275" s="450"/>
      <c r="B275" s="303"/>
      <c r="C275" s="1410"/>
      <c r="D275" s="1459" t="s">
        <v>16246</v>
      </c>
      <c r="E275" s="1462">
        <v>0.9</v>
      </c>
      <c r="F275" s="1470">
        <v>2.1</v>
      </c>
      <c r="G275" s="1462">
        <v>1.89</v>
      </c>
      <c r="H275" s="1462">
        <v>1</v>
      </c>
      <c r="I275" s="1463">
        <f>((G275*2)+((E275+E275+F275+F275)*0.05)+((E275+E275+F275+F275)*0.2))*H275</f>
        <v>5.28</v>
      </c>
      <c r="J275" s="1383"/>
      <c r="K275" s="262"/>
      <c r="L275" s="386"/>
      <c r="M275" s="262"/>
      <c r="N275" s="262"/>
      <c r="O275" s="262"/>
      <c r="P275" s="262"/>
      <c r="Q275" s="262"/>
      <c r="R275" s="262"/>
      <c r="S275" s="262"/>
      <c r="T275" s="262"/>
      <c r="U275" s="262"/>
      <c r="V275" s="262"/>
      <c r="W275" s="262"/>
      <c r="X275" s="262"/>
      <c r="Y275" s="262"/>
      <c r="Z275" s="262"/>
    </row>
    <row r="276" spans="1:26" hidden="1" outlineLevel="1">
      <c r="A276" s="247"/>
      <c r="B276" s="386"/>
      <c r="C276" s="386"/>
      <c r="D276" s="253"/>
      <c r="E276" s="1244"/>
      <c r="F276" s="389"/>
      <c r="G276" s="1244"/>
      <c r="H276" s="1244"/>
      <c r="I276" s="1409"/>
      <c r="J276" s="1383" t="s">
        <v>16228</v>
      </c>
      <c r="K276" s="261"/>
      <c r="L276" s="1407"/>
      <c r="M276" s="261"/>
      <c r="N276" s="261"/>
      <c r="P276" s="261"/>
      <c r="Q276" s="261"/>
      <c r="R276" s="261"/>
      <c r="S276" s="261"/>
      <c r="T276" s="261"/>
      <c r="U276" s="261"/>
      <c r="V276" s="261"/>
      <c r="W276" s="261"/>
      <c r="X276" s="261"/>
      <c r="Y276" s="261"/>
      <c r="Z276" s="261"/>
    </row>
    <row r="277" spans="1:26" ht="38.25" outlineLevel="1">
      <c r="A277" s="1317" t="s">
        <v>12866</v>
      </c>
      <c r="B277" s="295" t="s">
        <v>14750</v>
      </c>
      <c r="C277" s="295" t="s">
        <v>14472</v>
      </c>
      <c r="D277" s="658" t="str">
        <f>IFERROR(VLOOKUP($B277,'24.08_ND'!$A$4833:$D$12369,2,0),IFERROR(VLOOKUP($B277,'03-CP'!$C$5:$H$4646,2,0),""))</f>
        <v>PORTA EM ALUMÍNIO, COM VENEZIANA FIXA LAMINADA VAZADA, NA COR BRANCO, FECHADURA TIPO "LIVRE E OCUPADO". FORNECIMENTO E INSTALAÇÃO</v>
      </c>
      <c r="E277" s="1318" t="str">
        <f>IFERROR(VLOOKUP($B277,'24.08_ND'!$A:$D,3,0),IFERROR(VLOOKUP($B277,'03-CP'!$C$5:$H$4646,3,0),""))</f>
        <v>M2</v>
      </c>
      <c r="F277" s="1469">
        <f>SUM(I279:I280)</f>
        <v>6.08</v>
      </c>
      <c r="G277" s="1387"/>
      <c r="H277" s="1387"/>
      <c r="I277" s="1388"/>
      <c r="J277" s="1383" t="s">
        <v>16228</v>
      </c>
      <c r="K277" s="262"/>
      <c r="L277" s="386"/>
      <c r="M277" s="262"/>
      <c r="N277" s="262"/>
      <c r="O277" s="262"/>
      <c r="P277" s="262"/>
      <c r="Q277" s="262"/>
      <c r="R277" s="262"/>
      <c r="S277" s="262"/>
      <c r="T277" s="262"/>
      <c r="U277" s="262"/>
      <c r="V277" s="262"/>
      <c r="W277" s="262"/>
      <c r="X277" s="262"/>
      <c r="Y277" s="262"/>
      <c r="Z277" s="262"/>
    </row>
    <row r="278" spans="1:26" ht="12.75" hidden="1" outlineLevel="1">
      <c r="A278" s="247"/>
      <c r="B278" s="386"/>
      <c r="C278" s="386"/>
      <c r="D278" s="1455" t="s">
        <v>16280</v>
      </c>
      <c r="E278" s="1240" t="s">
        <v>16252</v>
      </c>
      <c r="F278" s="1425" t="s">
        <v>16232</v>
      </c>
      <c r="G278" s="1391" t="s">
        <v>16233</v>
      </c>
      <c r="H278" s="1240" t="s">
        <v>16234</v>
      </c>
      <c r="I278" s="1426" t="s">
        <v>12615</v>
      </c>
      <c r="J278" s="1383" t="s">
        <v>16228</v>
      </c>
      <c r="K278" s="262"/>
      <c r="L278" s="386"/>
      <c r="M278" s="262"/>
      <c r="N278" s="262"/>
      <c r="O278" s="262"/>
      <c r="P278" s="262"/>
      <c r="Q278" s="262"/>
      <c r="R278" s="262"/>
      <c r="S278" s="262"/>
      <c r="T278" s="262"/>
      <c r="U278" s="262"/>
      <c r="V278" s="262"/>
      <c r="W278" s="262"/>
      <c r="X278" s="262"/>
      <c r="Y278" s="262"/>
      <c r="Z278" s="262"/>
    </row>
    <row r="279" spans="1:26" ht="12.75" hidden="1" outlineLevel="1">
      <c r="A279" s="247"/>
      <c r="B279" s="386"/>
      <c r="C279" s="386"/>
      <c r="D279" s="1418" t="s">
        <v>16249</v>
      </c>
      <c r="E279" s="1244">
        <v>0.7</v>
      </c>
      <c r="F279" s="389">
        <v>1.6</v>
      </c>
      <c r="G279" s="1244">
        <f>E279*F279</f>
        <v>1.1199999999999999</v>
      </c>
      <c r="H279" s="1244">
        <v>2</v>
      </c>
      <c r="I279" s="1409">
        <f>G279*H279</f>
        <v>2.2399999999999998</v>
      </c>
      <c r="J279" s="1383"/>
      <c r="K279" s="262"/>
      <c r="L279" s="386"/>
      <c r="M279" s="262"/>
      <c r="N279" s="262"/>
      <c r="O279" s="262"/>
      <c r="P279" s="262"/>
      <c r="Q279" s="262"/>
      <c r="R279" s="262"/>
      <c r="S279" s="262"/>
      <c r="T279" s="262"/>
      <c r="U279" s="262"/>
      <c r="V279" s="262"/>
      <c r="W279" s="262"/>
      <c r="X279" s="262"/>
      <c r="Y279" s="262"/>
      <c r="Z279" s="262"/>
    </row>
    <row r="280" spans="1:26" ht="12.75" hidden="1" outlineLevel="1">
      <c r="A280" s="247"/>
      <c r="B280" s="386"/>
      <c r="C280" s="386"/>
      <c r="D280" s="1422" t="s">
        <v>16250</v>
      </c>
      <c r="E280" s="1248">
        <v>0.8</v>
      </c>
      <c r="F280" s="1436">
        <v>1.6</v>
      </c>
      <c r="G280" s="1248">
        <f>E280*F280</f>
        <v>1.2800000000000002</v>
      </c>
      <c r="H280" s="1248">
        <v>3</v>
      </c>
      <c r="I280" s="1281">
        <f>H280*G280</f>
        <v>3.8400000000000007</v>
      </c>
      <c r="J280" s="1383" t="s">
        <v>16228</v>
      </c>
      <c r="K280" s="262"/>
      <c r="L280" s="386"/>
      <c r="M280" s="262"/>
      <c r="N280" s="262"/>
      <c r="O280" s="262"/>
      <c r="P280" s="262"/>
      <c r="Q280" s="262"/>
      <c r="R280" s="262"/>
      <c r="S280" s="262"/>
      <c r="T280" s="262"/>
      <c r="U280" s="262"/>
      <c r="V280" s="262"/>
      <c r="W280" s="262"/>
      <c r="X280" s="262"/>
      <c r="Y280" s="262"/>
      <c r="Z280" s="262"/>
    </row>
    <row r="281" spans="1:26" ht="12.75" hidden="1" outlineLevel="1">
      <c r="A281" s="247"/>
      <c r="B281" s="386"/>
      <c r="C281" s="386"/>
      <c r="D281" s="253"/>
      <c r="E281" s="1244"/>
      <c r="F281" s="389"/>
      <c r="G281" s="1244"/>
      <c r="H281" s="1244"/>
      <c r="I281" s="1409"/>
      <c r="J281" s="1383" t="s">
        <v>16228</v>
      </c>
      <c r="K281" s="262"/>
      <c r="L281" s="386"/>
      <c r="M281" s="262"/>
      <c r="N281" s="262"/>
      <c r="O281" s="262"/>
      <c r="P281" s="262"/>
      <c r="Q281" s="262"/>
      <c r="R281" s="262"/>
      <c r="S281" s="262"/>
      <c r="T281" s="262"/>
      <c r="U281" s="262"/>
      <c r="V281" s="262"/>
      <c r="W281" s="262"/>
      <c r="X281" s="262"/>
      <c r="Y281" s="262"/>
      <c r="Z281" s="262"/>
    </row>
    <row r="282" spans="1:26" ht="38.25" outlineLevel="1">
      <c r="A282" s="1317" t="s">
        <v>12867</v>
      </c>
      <c r="B282" s="295">
        <v>94569</v>
      </c>
      <c r="C282" s="295" t="s">
        <v>14476</v>
      </c>
      <c r="D282" s="658" t="str">
        <f>IFERROR(VLOOKUP($B282,'24.08_ND'!$A$4833:$D$12369,2,0),IFERROR(VLOOKUP($B282,'03-CP'!$C$5:$H$4646,2,0),""))</f>
        <v>JANELA DE ALUMÍNIO TIPO MAXIM-AR, COM VIDROS, BATENTE E FERRAGENS. EXCLUSIVE ALIZAR, ACABAMENTO E CONTRAMARCO. FORNECIMENTO E INSTALAÇÃO. AF_12/2019</v>
      </c>
      <c r="E282" s="1318" t="str">
        <f>IFERROR(VLOOKUP($B282,'24.08_ND'!$A:$D,3,0),IFERROR(VLOOKUP($B282,'03-CP'!$C$5:$H$4646,3,0),""))</f>
        <v>M2</v>
      </c>
      <c r="F282" s="1469">
        <f>SUM(I284:I285)</f>
        <v>3.2</v>
      </c>
      <c r="G282" s="1387"/>
      <c r="H282" s="1387"/>
      <c r="I282" s="1388"/>
      <c r="J282" s="1383" t="s">
        <v>16228</v>
      </c>
      <c r="K282" s="262"/>
      <c r="L282" s="386"/>
      <c r="M282" s="262"/>
      <c r="N282" s="262"/>
      <c r="O282" s="262"/>
      <c r="P282" s="262"/>
      <c r="Q282" s="262"/>
      <c r="R282" s="262"/>
      <c r="S282" s="262"/>
      <c r="T282" s="262"/>
      <c r="U282" s="262"/>
      <c r="V282" s="262"/>
      <c r="W282" s="262"/>
      <c r="X282" s="262"/>
      <c r="Y282" s="262"/>
      <c r="Z282" s="262"/>
    </row>
    <row r="283" spans="1:26" ht="12.75" hidden="1" outlineLevel="1">
      <c r="A283" s="1401"/>
      <c r="B283" s="512"/>
      <c r="C283" s="386"/>
      <c r="D283" s="1455" t="s">
        <v>16280</v>
      </c>
      <c r="E283" s="1240" t="s">
        <v>16252</v>
      </c>
      <c r="F283" s="1425" t="s">
        <v>16232</v>
      </c>
      <c r="G283" s="1391" t="s">
        <v>16233</v>
      </c>
      <c r="H283" s="1240" t="s">
        <v>16234</v>
      </c>
      <c r="I283" s="1426" t="s">
        <v>12615</v>
      </c>
      <c r="J283" s="1383" t="s">
        <v>16228</v>
      </c>
      <c r="K283" s="262"/>
      <c r="L283" s="386"/>
      <c r="M283" s="262"/>
      <c r="N283" s="262"/>
      <c r="O283" s="262"/>
      <c r="P283" s="262"/>
      <c r="Q283" s="262"/>
      <c r="R283" s="262"/>
      <c r="S283" s="262"/>
      <c r="T283" s="262"/>
      <c r="U283" s="262"/>
      <c r="V283" s="262"/>
      <c r="W283" s="262"/>
      <c r="X283" s="262"/>
      <c r="Y283" s="262"/>
      <c r="Z283" s="262"/>
    </row>
    <row r="284" spans="1:26" ht="12.75" hidden="1" outlineLevel="1">
      <c r="A284" s="247"/>
      <c r="B284" s="386"/>
      <c r="C284" s="386"/>
      <c r="D284" s="1418" t="s">
        <v>16281</v>
      </c>
      <c r="E284" s="1244">
        <v>0.8</v>
      </c>
      <c r="F284" s="389">
        <v>0.5</v>
      </c>
      <c r="G284" s="1244">
        <f>E284*F284</f>
        <v>0.4</v>
      </c>
      <c r="H284" s="1244">
        <v>2</v>
      </c>
      <c r="I284" s="1409">
        <f>H284*G284</f>
        <v>0.8</v>
      </c>
      <c r="J284" s="1383" t="s">
        <v>16228</v>
      </c>
      <c r="K284" s="262"/>
      <c r="L284" s="386"/>
      <c r="M284" s="262"/>
      <c r="N284" s="262"/>
      <c r="O284" s="262"/>
      <c r="P284" s="262"/>
      <c r="Q284" s="262"/>
      <c r="R284" s="262"/>
      <c r="S284" s="262"/>
      <c r="T284" s="262"/>
      <c r="U284" s="262"/>
      <c r="V284" s="262"/>
      <c r="W284" s="262"/>
      <c r="X284" s="262"/>
      <c r="Y284" s="262"/>
      <c r="Z284" s="262"/>
    </row>
    <row r="285" spans="1:26" ht="12.75" hidden="1" outlineLevel="1">
      <c r="A285" s="247"/>
      <c r="B285" s="386"/>
      <c r="C285" s="386"/>
      <c r="D285" s="1422" t="s">
        <v>16282</v>
      </c>
      <c r="E285" s="1248">
        <v>2.4</v>
      </c>
      <c r="F285" s="1436">
        <v>0.5</v>
      </c>
      <c r="G285" s="1248">
        <v>1.2</v>
      </c>
      <c r="H285" s="1248">
        <v>2</v>
      </c>
      <c r="I285" s="1281">
        <f>H285*G285</f>
        <v>2.4</v>
      </c>
      <c r="J285" s="1383" t="s">
        <v>16228</v>
      </c>
      <c r="K285" s="262"/>
      <c r="L285" s="386"/>
      <c r="M285" s="262"/>
      <c r="N285" s="262"/>
      <c r="O285" s="262"/>
      <c r="P285" s="262"/>
      <c r="Q285" s="262"/>
      <c r="R285" s="262"/>
      <c r="S285" s="262"/>
      <c r="T285" s="262"/>
      <c r="U285" s="262"/>
      <c r="V285" s="262"/>
      <c r="W285" s="262"/>
      <c r="X285" s="262"/>
      <c r="Y285" s="262"/>
      <c r="Z285" s="262"/>
    </row>
    <row r="286" spans="1:26" ht="12.75" hidden="1" outlineLevel="1">
      <c r="A286" s="247"/>
      <c r="B286" s="386"/>
      <c r="C286" s="386"/>
      <c r="D286" s="253"/>
      <c r="E286" s="1244"/>
      <c r="F286" s="389"/>
      <c r="G286" s="1244"/>
      <c r="H286" s="1244"/>
      <c r="I286" s="1409"/>
      <c r="J286" s="1383" t="s">
        <v>16228</v>
      </c>
      <c r="K286" s="262"/>
      <c r="L286" s="386"/>
      <c r="M286" s="262"/>
      <c r="N286" s="262"/>
      <c r="O286" s="262"/>
      <c r="P286" s="262"/>
      <c r="Q286" s="262"/>
      <c r="R286" s="262"/>
      <c r="S286" s="262"/>
      <c r="T286" s="262"/>
      <c r="U286" s="262"/>
      <c r="V286" s="262"/>
      <c r="W286" s="262"/>
      <c r="X286" s="262"/>
      <c r="Y286" s="262"/>
      <c r="Z286" s="262"/>
    </row>
    <row r="287" spans="1:26" ht="25.5" outlineLevel="1">
      <c r="A287" s="1317" t="s">
        <v>12868</v>
      </c>
      <c r="B287" s="295" t="s">
        <v>14752</v>
      </c>
      <c r="C287" s="295" t="s">
        <v>14472</v>
      </c>
      <c r="D287" s="658" t="str">
        <f>IFERROR(VLOOKUP($B287,'24.08_ND'!$A$4833:$D$12369,2,0),IFERROR(VLOOKUP($B287,'03-CP'!$C$5:$H$4646,2,0),""))</f>
        <v>JANELA TIPO GUILHOTINA, EM ALUMÍNIO NA COR BRANCO FOSCO E VIDRO E=6MM, 02 FOLHAS. FORNECIMENTO E INSTALAÇÃO</v>
      </c>
      <c r="E287" s="1318" t="str">
        <f>IFERROR(VLOOKUP($B287,'24.08_ND'!$A:$D,3,0),IFERROR(VLOOKUP($B287,'03-CP'!$C$5:$H$4646,3,0),""))</f>
        <v>M2</v>
      </c>
      <c r="F287" s="1471">
        <f>SUM(I289)</f>
        <v>2</v>
      </c>
      <c r="G287" s="1387"/>
      <c r="H287" s="1387"/>
      <c r="I287" s="1388"/>
      <c r="J287" s="1472"/>
      <c r="K287" s="1320"/>
      <c r="L287" s="303"/>
      <c r="M287" s="1320"/>
      <c r="N287" s="1320"/>
      <c r="O287" s="1320"/>
      <c r="P287" s="1320"/>
      <c r="Q287" s="1320"/>
      <c r="R287" s="1320"/>
      <c r="S287" s="1320"/>
      <c r="T287" s="1320"/>
      <c r="U287" s="1320"/>
      <c r="V287" s="1320"/>
      <c r="W287" s="1320"/>
      <c r="X287" s="1320"/>
      <c r="Y287" s="1320"/>
      <c r="Z287" s="1320"/>
    </row>
    <row r="288" spans="1:26" ht="12.75" hidden="1" outlineLevel="1">
      <c r="A288" s="1401"/>
      <c r="B288" s="512"/>
      <c r="C288" s="512"/>
      <c r="D288" s="1455" t="s">
        <v>16280</v>
      </c>
      <c r="E288" s="1240" t="s">
        <v>16252</v>
      </c>
      <c r="F288" s="1425" t="s">
        <v>16232</v>
      </c>
      <c r="G288" s="1391" t="s">
        <v>16233</v>
      </c>
      <c r="H288" s="1240" t="s">
        <v>16234</v>
      </c>
      <c r="I288" s="1426" t="s">
        <v>12615</v>
      </c>
      <c r="J288" s="1472"/>
      <c r="K288" s="1320"/>
      <c r="L288" s="303"/>
      <c r="M288" s="1320"/>
      <c r="N288" s="1320"/>
      <c r="O288" s="1320"/>
      <c r="P288" s="1320"/>
      <c r="Q288" s="1320"/>
      <c r="R288" s="1320"/>
      <c r="S288" s="1320"/>
      <c r="T288" s="1320"/>
      <c r="U288" s="1320"/>
      <c r="V288" s="1320"/>
      <c r="W288" s="1320"/>
      <c r="X288" s="1320"/>
      <c r="Y288" s="1320"/>
      <c r="Z288" s="1320"/>
    </row>
    <row r="289" spans="1:26" ht="12.75" hidden="1" outlineLevel="1">
      <c r="A289" s="247"/>
      <c r="B289" s="386"/>
      <c r="C289" s="386"/>
      <c r="D289" s="1427" t="s">
        <v>16283</v>
      </c>
      <c r="E289" s="1395">
        <v>2</v>
      </c>
      <c r="F289" s="1396">
        <v>1</v>
      </c>
      <c r="G289" s="1248">
        <f>E289*F289</f>
        <v>2</v>
      </c>
      <c r="H289" s="1248">
        <v>1</v>
      </c>
      <c r="I289" s="1281">
        <f>H289*G289</f>
        <v>2</v>
      </c>
      <c r="J289" s="1472"/>
      <c r="K289" s="1320"/>
      <c r="L289" s="303"/>
      <c r="M289" s="1320"/>
      <c r="N289" s="1320"/>
      <c r="O289" s="1320"/>
      <c r="P289" s="1320"/>
      <c r="Q289" s="1320"/>
      <c r="R289" s="1320"/>
      <c r="S289" s="1320"/>
      <c r="T289" s="1320"/>
      <c r="U289" s="1320"/>
      <c r="V289" s="1320"/>
      <c r="W289" s="1320"/>
      <c r="X289" s="1320"/>
      <c r="Y289" s="1320"/>
      <c r="Z289" s="1320"/>
    </row>
    <row r="290" spans="1:26" ht="12.75" hidden="1" outlineLevel="1">
      <c r="A290" s="1473"/>
      <c r="B290" s="303"/>
      <c r="C290" s="303"/>
      <c r="D290" s="310"/>
      <c r="E290" s="1447"/>
      <c r="F290" s="306"/>
      <c r="G290" s="1448"/>
      <c r="H290" s="1448"/>
      <c r="I290" s="1449"/>
      <c r="J290" s="1472"/>
      <c r="K290" s="1320"/>
      <c r="L290" s="303"/>
      <c r="M290" s="1320"/>
      <c r="N290" s="1320"/>
      <c r="O290" s="1320"/>
      <c r="P290" s="1320"/>
      <c r="Q290" s="1320"/>
      <c r="R290" s="1320"/>
      <c r="S290" s="1320"/>
      <c r="T290" s="1320"/>
      <c r="U290" s="1320"/>
      <c r="V290" s="1320"/>
      <c r="W290" s="1320"/>
      <c r="X290" s="1320"/>
      <c r="Y290" s="1320"/>
      <c r="Z290" s="1320"/>
    </row>
    <row r="291" spans="1:26" ht="12.75">
      <c r="A291" s="246" t="s">
        <v>12869</v>
      </c>
      <c r="B291" s="1378"/>
      <c r="C291" s="1378"/>
      <c r="D291" s="1379" t="s">
        <v>16284</v>
      </c>
      <c r="E291" s="1380"/>
      <c r="F291" s="1381"/>
      <c r="G291" s="1380"/>
      <c r="H291" s="1381"/>
      <c r="I291" s="1382"/>
      <c r="J291" s="1383" t="s">
        <v>16228</v>
      </c>
      <c r="K291" s="1297" t="e">
        <f>VLOOKUP(#REF!,'Medição '!$A:$G,10,0)</f>
        <v>#REF!</v>
      </c>
      <c r="L291" s="386"/>
      <c r="M291" s="262"/>
      <c r="N291" s="262"/>
      <c r="O291" s="262"/>
      <c r="P291" s="262"/>
      <c r="Q291" s="262"/>
      <c r="R291" s="262"/>
      <c r="S291" s="262"/>
      <c r="T291" s="262"/>
      <c r="U291" s="262"/>
      <c r="V291" s="262"/>
      <c r="W291" s="262"/>
      <c r="X291" s="262"/>
      <c r="Y291" s="262"/>
      <c r="Z291" s="262"/>
    </row>
    <row r="292" spans="1:26" ht="25.5" outlineLevel="1">
      <c r="A292" s="1423" t="s">
        <v>12870</v>
      </c>
      <c r="B292" s="295">
        <v>96113</v>
      </c>
      <c r="C292" s="295" t="s">
        <v>14476</v>
      </c>
      <c r="D292" s="658" t="str">
        <f>IFERROR(VLOOKUP($B292,'24.08_ND'!$A$4833:$D$12369,2,0),IFERROR(VLOOKUP($B292,'03-CP'!$C$5:$H$4646,2,0),""))</f>
        <v>FORRO EM PLACAS DE GESSO, PARA AMBIENTES COMERCIAIS. AF_08/2023_PS</v>
      </c>
      <c r="E292" s="1318" t="str">
        <f>IFERROR(VLOOKUP($B292,'24.08_ND'!$A:$D,3,0),IFERROR(VLOOKUP($B292,'03-CP'!$C$5:$H$4646,3,0),""))</f>
        <v>M2</v>
      </c>
      <c r="F292" s="1471">
        <f>SUM(I294)</f>
        <v>88.84</v>
      </c>
      <c r="G292" s="1387"/>
      <c r="H292" s="1387"/>
      <c r="I292" s="1388"/>
      <c r="J292" s="1383" t="s">
        <v>16228</v>
      </c>
      <c r="K292" s="262"/>
      <c r="L292" s="1389" t="s">
        <v>16229</v>
      </c>
      <c r="M292" s="262"/>
      <c r="N292" s="262"/>
      <c r="O292" s="262"/>
      <c r="P292" s="262"/>
      <c r="Q292" s="262"/>
      <c r="R292" s="262"/>
      <c r="S292" s="262"/>
      <c r="T292" s="262"/>
      <c r="U292" s="262"/>
      <c r="V292" s="262"/>
      <c r="W292" s="262"/>
      <c r="X292" s="262"/>
      <c r="Y292" s="262"/>
      <c r="Z292" s="262"/>
    </row>
    <row r="293" spans="1:26" ht="12.75" hidden="1" outlineLevel="1">
      <c r="A293" s="450"/>
      <c r="B293" s="512"/>
      <c r="C293" s="512"/>
      <c r="D293" s="1390" t="s">
        <v>16230</v>
      </c>
      <c r="E293" s="1240" t="s">
        <v>16252</v>
      </c>
      <c r="F293" s="1425" t="s">
        <v>16232</v>
      </c>
      <c r="G293" s="1391" t="s">
        <v>16233</v>
      </c>
      <c r="H293" s="1240" t="s">
        <v>16234</v>
      </c>
      <c r="I293" s="1426" t="s">
        <v>12615</v>
      </c>
      <c r="J293" s="1383" t="s">
        <v>16228</v>
      </c>
      <c r="K293" s="262"/>
      <c r="L293" s="386"/>
      <c r="M293" s="262"/>
      <c r="N293" s="262"/>
      <c r="O293" s="262"/>
      <c r="P293" s="262"/>
      <c r="Q293" s="262"/>
      <c r="R293" s="262"/>
      <c r="S293" s="262"/>
      <c r="T293" s="262"/>
      <c r="U293" s="262"/>
      <c r="V293" s="262"/>
      <c r="W293" s="262"/>
      <c r="X293" s="262"/>
      <c r="Y293" s="262"/>
      <c r="Z293" s="262"/>
    </row>
    <row r="294" spans="1:26" ht="12.75" hidden="1" outlineLevel="1">
      <c r="A294" s="450"/>
      <c r="B294" s="386"/>
      <c r="C294" s="386"/>
      <c r="D294" s="1427" t="s">
        <v>16285</v>
      </c>
      <c r="E294" s="1395"/>
      <c r="F294" s="1396"/>
      <c r="G294" s="1396">
        <v>88.84</v>
      </c>
      <c r="H294" s="1396"/>
      <c r="I294" s="1397">
        <f>G294</f>
        <v>88.84</v>
      </c>
      <c r="J294" s="1383" t="s">
        <v>16228</v>
      </c>
      <c r="K294" s="262"/>
      <c r="L294" s="386"/>
      <c r="M294" s="262"/>
      <c r="N294" s="262"/>
      <c r="O294" s="262"/>
      <c r="P294" s="262"/>
      <c r="Q294" s="262"/>
      <c r="R294" s="262"/>
      <c r="S294" s="262"/>
      <c r="T294" s="262"/>
      <c r="U294" s="262"/>
      <c r="V294" s="262"/>
      <c r="W294" s="262"/>
      <c r="X294" s="262"/>
      <c r="Y294" s="262"/>
      <c r="Z294" s="262"/>
    </row>
    <row r="295" spans="1:26" ht="12.75" hidden="1" outlineLevel="1">
      <c r="A295" s="247"/>
      <c r="B295" s="386"/>
      <c r="C295" s="386"/>
      <c r="D295" s="253"/>
      <c r="E295" s="1244"/>
      <c r="F295" s="389"/>
      <c r="G295" s="1244"/>
      <c r="H295" s="1244"/>
      <c r="I295" s="1409"/>
      <c r="J295" s="1383" t="s">
        <v>16228</v>
      </c>
      <c r="K295" s="262"/>
      <c r="L295" s="386"/>
      <c r="M295" s="262"/>
      <c r="N295" s="262"/>
      <c r="O295" s="262"/>
      <c r="P295" s="262"/>
      <c r="Q295" s="262"/>
      <c r="R295" s="262"/>
      <c r="S295" s="262"/>
      <c r="T295" s="262"/>
      <c r="U295" s="262"/>
      <c r="V295" s="262"/>
      <c r="W295" s="262"/>
      <c r="X295" s="262"/>
      <c r="Y295" s="262"/>
      <c r="Z295" s="262"/>
    </row>
    <row r="296" spans="1:26" ht="25.5" outlineLevel="1">
      <c r="A296" s="1423" t="s">
        <v>12871</v>
      </c>
      <c r="B296" s="295" t="s">
        <v>14803</v>
      </c>
      <c r="C296" s="295" t="s">
        <v>14472</v>
      </c>
      <c r="D296" s="658" t="str">
        <f>IFERROR(VLOOKUP($B296,'24.08_ND'!$A$4833:$D$12369,2,0),IFERROR(VLOOKUP($B296,'03-CP'!$C$5:$H$4646,2,0),""))</f>
        <v>FORRO SINTÉTICO, TIPO PALHA, PARA AMBIENTES EXTERNOS, E ACESSÓRIOS DE FIXAÇÃO</v>
      </c>
      <c r="E296" s="1318" t="str">
        <f>IFERROR(VLOOKUP($B296,'24.08_ND'!$A:$D,3,0),IFERROR(VLOOKUP($B296,'03-CP'!$C$5:$H$4646,3,0),""))</f>
        <v>M2</v>
      </c>
      <c r="F296" s="1471">
        <f>SUM(I298)</f>
        <v>52.28</v>
      </c>
      <c r="G296" s="1387"/>
      <c r="H296" s="1387"/>
      <c r="I296" s="1388"/>
      <c r="J296" s="1383" t="s">
        <v>16228</v>
      </c>
      <c r="K296" s="262"/>
      <c r="L296" s="1389" t="s">
        <v>16229</v>
      </c>
      <c r="M296" s="262"/>
      <c r="N296" s="262"/>
      <c r="O296" s="262"/>
      <c r="P296" s="262"/>
      <c r="Q296" s="262"/>
      <c r="R296" s="262"/>
      <c r="S296" s="262"/>
      <c r="T296" s="262"/>
      <c r="U296" s="262"/>
      <c r="V296" s="262"/>
      <c r="W296" s="262"/>
      <c r="X296" s="262"/>
      <c r="Y296" s="262"/>
      <c r="Z296" s="262"/>
    </row>
    <row r="297" spans="1:26" ht="12.75" hidden="1" outlineLevel="1">
      <c r="A297" s="247"/>
      <c r="B297" s="386"/>
      <c r="C297" s="386"/>
      <c r="D297" s="1390" t="s">
        <v>16230</v>
      </c>
      <c r="E297" s="1240" t="s">
        <v>16252</v>
      </c>
      <c r="F297" s="1425" t="s">
        <v>16232</v>
      </c>
      <c r="G297" s="1391" t="s">
        <v>16233</v>
      </c>
      <c r="H297" s="1240" t="s">
        <v>16234</v>
      </c>
      <c r="I297" s="1426" t="s">
        <v>12615</v>
      </c>
      <c r="J297" s="1383" t="s">
        <v>16228</v>
      </c>
      <c r="K297" s="262"/>
      <c r="L297" s="386"/>
      <c r="M297" s="262"/>
      <c r="N297" s="262"/>
      <c r="O297" s="262"/>
      <c r="P297" s="262"/>
      <c r="Q297" s="262"/>
      <c r="R297" s="262"/>
      <c r="S297" s="262"/>
      <c r="T297" s="262"/>
      <c r="U297" s="262"/>
      <c r="V297" s="262"/>
      <c r="W297" s="262"/>
      <c r="X297" s="262"/>
      <c r="Y297" s="262"/>
      <c r="Z297" s="262"/>
    </row>
    <row r="298" spans="1:26" ht="12.75" hidden="1" outlineLevel="1">
      <c r="A298" s="247"/>
      <c r="B298" s="386"/>
      <c r="C298" s="386"/>
      <c r="D298" s="1427" t="s">
        <v>16286</v>
      </c>
      <c r="E298" s="1395"/>
      <c r="F298" s="1396"/>
      <c r="G298" s="1395">
        <v>52.28</v>
      </c>
      <c r="H298" s="1396"/>
      <c r="I298" s="1397">
        <f>G298</f>
        <v>52.28</v>
      </c>
      <c r="J298" s="1383" t="s">
        <v>16228</v>
      </c>
      <c r="K298" s="262"/>
      <c r="L298" s="386"/>
      <c r="M298" s="262"/>
      <c r="N298" s="262"/>
      <c r="O298" s="262"/>
      <c r="P298" s="262"/>
      <c r="Q298" s="262"/>
      <c r="R298" s="262"/>
      <c r="S298" s="262"/>
      <c r="T298" s="262"/>
      <c r="U298" s="262"/>
      <c r="V298" s="262"/>
      <c r="W298" s="262"/>
      <c r="X298" s="262"/>
      <c r="Y298" s="262"/>
      <c r="Z298" s="262"/>
    </row>
    <row r="299" spans="1:26" ht="12.75" hidden="1" outlineLevel="1">
      <c r="A299" s="247"/>
      <c r="B299" s="386"/>
      <c r="C299" s="386"/>
      <c r="D299" s="253"/>
      <c r="E299" s="1244"/>
      <c r="F299" s="389"/>
      <c r="G299" s="1244"/>
      <c r="H299" s="1244"/>
      <c r="I299" s="1409"/>
      <c r="J299" s="1383" t="s">
        <v>16228</v>
      </c>
      <c r="K299" s="262"/>
      <c r="L299" s="386"/>
      <c r="M299" s="262"/>
      <c r="N299" s="262"/>
      <c r="O299" s="262"/>
      <c r="P299" s="262"/>
      <c r="Q299" s="262"/>
      <c r="R299" s="262"/>
      <c r="S299" s="262"/>
      <c r="T299" s="262"/>
      <c r="U299" s="262"/>
      <c r="V299" s="262"/>
      <c r="W299" s="262"/>
      <c r="X299" s="262"/>
      <c r="Y299" s="262"/>
      <c r="Z299" s="262"/>
    </row>
    <row r="300" spans="1:26" ht="15.75" outlineLevel="1">
      <c r="A300" s="1423" t="s">
        <v>12872</v>
      </c>
      <c r="B300" s="295" t="s">
        <v>14792</v>
      </c>
      <c r="C300" s="295" t="s">
        <v>14472</v>
      </c>
      <c r="D300" s="658" t="str">
        <f>IFERROR(VLOOKUP($B300,'24.08_ND'!$A$4833:$D$12369,2,0),IFERROR(VLOOKUP($B300,'03-CP'!$C$5:$H$4646,2,0),""))</f>
        <v>BIT NEGATIVO EM GESSO ACARTONADO</v>
      </c>
      <c r="E300" s="1318" t="str">
        <f>IFERROR(VLOOKUP($B300,'24.08_ND'!$A:$D,3,0),IFERROR(VLOOKUP($B300,'03-CP'!$C$5:$H$4646,3,0),""))</f>
        <v>M</v>
      </c>
      <c r="F300" s="1471">
        <f>SUM(I302)</f>
        <v>84.7</v>
      </c>
      <c r="G300" s="1387"/>
      <c r="H300" s="1387"/>
      <c r="I300" s="1388"/>
      <c r="J300" s="1383" t="s">
        <v>16228</v>
      </c>
      <c r="K300" s="262"/>
      <c r="L300" s="1389" t="s">
        <v>16229</v>
      </c>
      <c r="M300" s="262"/>
      <c r="N300" s="262"/>
      <c r="O300" s="262"/>
      <c r="P300" s="262"/>
      <c r="Q300" s="262"/>
      <c r="R300" s="262"/>
      <c r="S300" s="262"/>
      <c r="T300" s="262"/>
      <c r="U300" s="262"/>
      <c r="V300" s="262"/>
      <c r="W300" s="262"/>
      <c r="X300" s="262"/>
      <c r="Y300" s="262"/>
      <c r="Z300" s="262"/>
    </row>
    <row r="301" spans="1:26" ht="12.75" hidden="1" outlineLevel="1">
      <c r="A301" s="450"/>
      <c r="B301" s="386"/>
      <c r="C301" s="386"/>
      <c r="D301" s="1390" t="s">
        <v>16230</v>
      </c>
      <c r="E301" s="1240" t="s">
        <v>16252</v>
      </c>
      <c r="F301" s="1425" t="s">
        <v>16232</v>
      </c>
      <c r="G301" s="1391" t="s">
        <v>16233</v>
      </c>
      <c r="H301" s="1240" t="s">
        <v>16234</v>
      </c>
      <c r="I301" s="1426" t="s">
        <v>12615</v>
      </c>
      <c r="J301" s="1383" t="s">
        <v>16228</v>
      </c>
      <c r="K301" s="262"/>
      <c r="L301" s="386"/>
      <c r="M301" s="262"/>
      <c r="N301" s="262"/>
      <c r="O301" s="262"/>
      <c r="P301" s="262"/>
      <c r="Q301" s="262"/>
      <c r="R301" s="262"/>
      <c r="S301" s="262"/>
      <c r="T301" s="262"/>
      <c r="U301" s="262"/>
      <c r="V301" s="262"/>
      <c r="W301" s="262"/>
      <c r="X301" s="262"/>
      <c r="Y301" s="262"/>
      <c r="Z301" s="262"/>
    </row>
    <row r="302" spans="1:26" ht="12.75" hidden="1" outlineLevel="1">
      <c r="A302" s="450"/>
      <c r="B302" s="386"/>
      <c r="C302" s="386"/>
      <c r="D302" s="1427" t="s">
        <v>16285</v>
      </c>
      <c r="E302" s="1395">
        <v>84.7</v>
      </c>
      <c r="F302" s="1396"/>
      <c r="G302" s="1395"/>
      <c r="H302" s="1396"/>
      <c r="I302" s="1397">
        <f>E302</f>
        <v>84.7</v>
      </c>
      <c r="J302" s="1383" t="s">
        <v>16228</v>
      </c>
      <c r="K302" s="262"/>
      <c r="L302" s="386"/>
      <c r="M302" s="262"/>
      <c r="N302" s="262"/>
      <c r="O302" s="262"/>
      <c r="P302" s="262"/>
      <c r="Q302" s="262"/>
      <c r="R302" s="262"/>
      <c r="S302" s="262"/>
      <c r="T302" s="262"/>
      <c r="U302" s="262"/>
      <c r="V302" s="262"/>
      <c r="W302" s="262"/>
      <c r="X302" s="262"/>
      <c r="Y302" s="262"/>
      <c r="Z302" s="262"/>
    </row>
    <row r="303" spans="1:26" ht="12.75" hidden="1" outlineLevel="1">
      <c r="A303" s="247"/>
      <c r="B303" s="386"/>
      <c r="C303" s="386"/>
      <c r="D303" s="253"/>
      <c r="E303" s="1244"/>
      <c r="F303" s="389"/>
      <c r="G303" s="1244"/>
      <c r="H303" s="1244"/>
      <c r="I303" s="1409"/>
      <c r="J303" s="1383" t="s">
        <v>16228</v>
      </c>
      <c r="K303" s="262"/>
      <c r="L303" s="386"/>
      <c r="M303" s="262"/>
      <c r="N303" s="262">
        <f>1.8*0.9</f>
        <v>1.62</v>
      </c>
      <c r="O303" s="262"/>
      <c r="P303" s="262"/>
      <c r="Q303" s="262"/>
      <c r="R303" s="262"/>
      <c r="S303" s="262"/>
      <c r="T303" s="262"/>
      <c r="U303" s="262"/>
      <c r="V303" s="262"/>
      <c r="W303" s="262"/>
      <c r="X303" s="262"/>
      <c r="Y303" s="262"/>
      <c r="Z303" s="262"/>
    </row>
    <row r="304" spans="1:26" ht="15.75" outlineLevel="1">
      <c r="A304" s="1423" t="s">
        <v>12873</v>
      </c>
      <c r="B304" s="295" t="s">
        <v>14795</v>
      </c>
      <c r="C304" s="295" t="s">
        <v>14472</v>
      </c>
      <c r="D304" s="658" t="str">
        <f>IFERROR(VLOOKUP($B304,'24.08_ND'!$A$4833:$D$12369,2,0),IFERROR(VLOOKUP($B304,'03-CP'!$C$5:$H$4646,2,0),""))</f>
        <v>SANCA ILUMINADA 24X14 CM EM GESSO ACARTONADO</v>
      </c>
      <c r="E304" s="1318" t="str">
        <f>IFERROR(VLOOKUP($B304,'24.08_ND'!$A:$D,3,0),IFERROR(VLOOKUP($B304,'03-CP'!$C$5:$H$4646,3,0),""))</f>
        <v>M</v>
      </c>
      <c r="F304" s="1471">
        <f>SUM(I306)</f>
        <v>4.84</v>
      </c>
      <c r="G304" s="1387"/>
      <c r="H304" s="1387"/>
      <c r="I304" s="1388"/>
      <c r="J304" s="1383" t="s">
        <v>16228</v>
      </c>
      <c r="K304" s="262"/>
      <c r="L304" s="1389" t="s">
        <v>16229</v>
      </c>
      <c r="M304" s="262"/>
      <c r="N304" s="262"/>
      <c r="O304" s="262"/>
      <c r="P304" s="262"/>
      <c r="Q304" s="262"/>
      <c r="R304" s="262"/>
      <c r="S304" s="262"/>
      <c r="T304" s="262"/>
      <c r="U304" s="262"/>
      <c r="V304" s="262"/>
      <c r="W304" s="262"/>
      <c r="X304" s="262"/>
      <c r="Y304" s="262"/>
      <c r="Z304" s="262"/>
    </row>
    <row r="305" spans="1:26" hidden="1" outlineLevel="1">
      <c r="A305" s="247"/>
      <c r="B305" s="386"/>
      <c r="C305" s="386"/>
      <c r="D305" s="1390" t="s">
        <v>16230</v>
      </c>
      <c r="E305" s="1240" t="s">
        <v>16252</v>
      </c>
      <c r="F305" s="1425" t="s">
        <v>16232</v>
      </c>
      <c r="G305" s="1391" t="s">
        <v>16233</v>
      </c>
      <c r="H305" s="1240" t="s">
        <v>16234</v>
      </c>
      <c r="I305" s="1426" t="s">
        <v>12615</v>
      </c>
      <c r="J305" s="1383" t="s">
        <v>16228</v>
      </c>
      <c r="K305" s="261"/>
      <c r="L305" s="1407"/>
      <c r="M305" s="261"/>
      <c r="N305" s="261">
        <f>53</f>
        <v>53</v>
      </c>
      <c r="O305" s="261"/>
      <c r="P305" s="261"/>
      <c r="Q305" s="261"/>
      <c r="R305" s="261"/>
      <c r="S305" s="261"/>
      <c r="T305" s="261"/>
      <c r="U305" s="261"/>
      <c r="V305" s="261"/>
      <c r="W305" s="261"/>
      <c r="X305" s="261"/>
      <c r="Y305" s="261"/>
      <c r="Z305" s="261"/>
    </row>
    <row r="306" spans="1:26" hidden="1" outlineLevel="1">
      <c r="A306" s="247"/>
      <c r="B306" s="386"/>
      <c r="C306" s="386"/>
      <c r="D306" s="1427" t="s">
        <v>16287</v>
      </c>
      <c r="E306" s="1395">
        <v>4.84</v>
      </c>
      <c r="F306" s="1396"/>
      <c r="G306" s="1395"/>
      <c r="H306" s="1396"/>
      <c r="I306" s="1397">
        <f>E306</f>
        <v>4.84</v>
      </c>
      <c r="J306" s="1383"/>
      <c r="K306" s="261"/>
      <c r="L306" s="1407"/>
      <c r="M306" s="261"/>
      <c r="N306" s="261"/>
      <c r="O306" s="261"/>
      <c r="P306" s="261"/>
      <c r="Q306" s="261"/>
      <c r="R306" s="261"/>
      <c r="S306" s="261"/>
      <c r="T306" s="261"/>
      <c r="U306" s="261"/>
      <c r="V306" s="261"/>
      <c r="W306" s="261"/>
      <c r="X306" s="261"/>
      <c r="Y306" s="261"/>
      <c r="Z306" s="261"/>
    </row>
    <row r="307" spans="1:26" hidden="1" outlineLevel="1">
      <c r="A307" s="247"/>
      <c r="B307" s="386"/>
      <c r="C307" s="386"/>
      <c r="D307" s="253"/>
      <c r="E307" s="1244"/>
      <c r="F307" s="389"/>
      <c r="G307" s="1244"/>
      <c r="H307" s="1244"/>
      <c r="I307" s="1409"/>
      <c r="J307" s="1383"/>
      <c r="K307" s="261"/>
      <c r="L307" s="1407"/>
      <c r="M307" s="261"/>
      <c r="N307" s="261"/>
      <c r="O307" s="261"/>
      <c r="P307" s="261"/>
      <c r="Q307" s="261"/>
      <c r="R307" s="261"/>
      <c r="S307" s="261"/>
      <c r="T307" s="261"/>
      <c r="U307" s="261"/>
      <c r="V307" s="261"/>
      <c r="W307" s="261"/>
      <c r="X307" s="261"/>
      <c r="Y307" s="261"/>
      <c r="Z307" s="261"/>
    </row>
    <row r="308" spans="1:26" ht="15.75" outlineLevel="1">
      <c r="A308" s="1423" t="s">
        <v>12874</v>
      </c>
      <c r="B308" s="295" t="s">
        <v>14797</v>
      </c>
      <c r="C308" s="295" t="s">
        <v>14472</v>
      </c>
      <c r="D308" s="658" t="str">
        <f>IFERROR(VLOOKUP($B308,'24.08_ND'!$A$4833:$D$12369,2,0),IFERROR(VLOOKUP($B308,'03-CP'!$C$5:$H$4646,2,0),""))</f>
        <v>BANDÔ 42X2CM EM GESSO ACARTONADO</v>
      </c>
      <c r="E308" s="1318" t="str">
        <f>IFERROR(VLOOKUP($B308,'24.08_ND'!$A:$D,3,0),IFERROR(VLOOKUP($B308,'03-CP'!$C$5:$H$4646,3,0),""))</f>
        <v>M</v>
      </c>
      <c r="F308" s="1471">
        <f>SUM(I310)</f>
        <v>1.9</v>
      </c>
      <c r="G308" s="1387"/>
      <c r="H308" s="1387"/>
      <c r="I308" s="1388"/>
      <c r="J308" s="1383"/>
      <c r="K308" s="261"/>
      <c r="L308" s="1389" t="s">
        <v>16229</v>
      </c>
      <c r="M308" s="261"/>
      <c r="N308" s="261"/>
      <c r="O308" s="261"/>
      <c r="P308" s="261"/>
      <c r="Q308" s="261"/>
      <c r="R308" s="261"/>
      <c r="S308" s="261"/>
      <c r="T308" s="261"/>
      <c r="U308" s="261"/>
      <c r="V308" s="261"/>
      <c r="W308" s="261"/>
      <c r="X308" s="261"/>
      <c r="Y308" s="261"/>
      <c r="Z308" s="261"/>
    </row>
    <row r="309" spans="1:26" hidden="1" outlineLevel="1">
      <c r="A309" s="450"/>
      <c r="B309" s="386"/>
      <c r="C309" s="386"/>
      <c r="D309" s="1390" t="s">
        <v>16230</v>
      </c>
      <c r="E309" s="1240" t="s">
        <v>16252</v>
      </c>
      <c r="F309" s="1425" t="s">
        <v>16232</v>
      </c>
      <c r="G309" s="1391" t="s">
        <v>16233</v>
      </c>
      <c r="H309" s="1240" t="s">
        <v>16234</v>
      </c>
      <c r="I309" s="1426" t="s">
        <v>12615</v>
      </c>
      <c r="J309" s="1383"/>
      <c r="K309" s="261"/>
      <c r="L309" s="1407"/>
      <c r="M309" s="261"/>
      <c r="N309" s="261"/>
      <c r="O309" s="261"/>
      <c r="P309" s="261"/>
      <c r="Q309" s="261"/>
      <c r="R309" s="261"/>
      <c r="S309" s="261"/>
      <c r="T309" s="261"/>
      <c r="U309" s="261"/>
      <c r="V309" s="261"/>
      <c r="W309" s="261"/>
      <c r="X309" s="261"/>
      <c r="Y309" s="261"/>
      <c r="Z309" s="261"/>
    </row>
    <row r="310" spans="1:26" hidden="1" outlineLevel="1">
      <c r="A310" s="450"/>
      <c r="B310" s="386"/>
      <c r="C310" s="386"/>
      <c r="D310" s="1427" t="s">
        <v>16288</v>
      </c>
      <c r="E310" s="1395">
        <v>1.9</v>
      </c>
      <c r="F310" s="1396"/>
      <c r="G310" s="1395"/>
      <c r="H310" s="1396"/>
      <c r="I310" s="1397">
        <f>E310</f>
        <v>1.9</v>
      </c>
      <c r="J310" s="1383"/>
      <c r="K310" s="261"/>
      <c r="L310" s="1407"/>
      <c r="M310" s="261"/>
      <c r="N310" s="261"/>
      <c r="O310" s="261"/>
      <c r="P310" s="261"/>
      <c r="Q310" s="261"/>
      <c r="R310" s="261"/>
      <c r="S310" s="261"/>
      <c r="T310" s="261"/>
      <c r="U310" s="261"/>
      <c r="V310" s="261"/>
      <c r="W310" s="261"/>
      <c r="X310" s="261"/>
      <c r="Y310" s="261"/>
      <c r="Z310" s="261"/>
    </row>
    <row r="311" spans="1:26" ht="15.75" hidden="1" outlineLevel="1">
      <c r="A311" s="248"/>
      <c r="B311" s="386"/>
      <c r="C311" s="386"/>
      <c r="D311" s="1314"/>
      <c r="E311" s="1315"/>
      <c r="F311" s="1474"/>
      <c r="G311" s="1244"/>
      <c r="H311" s="1244"/>
      <c r="I311" s="1409"/>
      <c r="J311" s="1441"/>
      <c r="K311" s="261"/>
      <c r="L311" s="1407"/>
      <c r="M311" s="261"/>
      <c r="N311" s="261"/>
      <c r="O311" s="261"/>
      <c r="P311" s="261"/>
      <c r="Q311" s="261"/>
      <c r="R311" s="261"/>
      <c r="S311" s="261"/>
      <c r="T311" s="261"/>
      <c r="U311" s="261"/>
      <c r="V311" s="261"/>
      <c r="W311" s="261"/>
      <c r="X311" s="261"/>
      <c r="Y311" s="261"/>
      <c r="Z311" s="261"/>
    </row>
    <row r="312" spans="1:26" ht="38.25" outlineLevel="1">
      <c r="A312" s="1423" t="s">
        <v>12875</v>
      </c>
      <c r="B312" s="295" t="s">
        <v>14799</v>
      </c>
      <c r="C312" s="295" t="s">
        <v>14472</v>
      </c>
      <c r="D312" s="658" t="str">
        <f>IFERROR(VLOOKUP($B312,'24.08_ND'!$A$4833:$D$12369,2,0),IFERROR(VLOOKUP($B312,'03-CP'!$C$5:$H$4646,2,0),""))</f>
        <v>ACABAMENTO PARA FORRO EM TABICA FECHADA, LISA, FORMATO Z EM AÇO GALVANIZADO, COM PINTURA EM ESMALTE SINTÉTICO NA COR BRANCO, ACABAMENTO FOSCO</v>
      </c>
      <c r="E312" s="1318" t="str">
        <f>IFERROR(VLOOKUP($B312,'24.08_ND'!$A:$D,3,0),IFERROR(VLOOKUP($B312,'03-CP'!$C$5:$H$4646,3,0),""))</f>
        <v>M</v>
      </c>
      <c r="F312" s="1471">
        <f>SUM(I314)</f>
        <v>131.29</v>
      </c>
      <c r="G312" s="1387"/>
      <c r="H312" s="1387"/>
      <c r="I312" s="1388"/>
      <c r="J312" s="1383"/>
      <c r="K312" s="261"/>
      <c r="L312" s="1389" t="s">
        <v>16229</v>
      </c>
      <c r="M312" s="261"/>
      <c r="N312" s="261"/>
      <c r="O312" s="261"/>
      <c r="P312" s="261"/>
      <c r="Q312" s="261"/>
      <c r="R312" s="261"/>
      <c r="S312" s="261"/>
      <c r="T312" s="261"/>
      <c r="U312" s="261"/>
      <c r="V312" s="261"/>
      <c r="W312" s="261"/>
      <c r="X312" s="261"/>
      <c r="Y312" s="261"/>
      <c r="Z312" s="261"/>
    </row>
    <row r="313" spans="1:26" hidden="1" outlineLevel="1">
      <c r="A313" s="247"/>
      <c r="B313" s="386"/>
      <c r="C313" s="386"/>
      <c r="D313" s="1390" t="s">
        <v>16230</v>
      </c>
      <c r="E313" s="1240" t="s">
        <v>16252</v>
      </c>
      <c r="F313" s="1425" t="s">
        <v>16232</v>
      </c>
      <c r="G313" s="1391" t="s">
        <v>16233</v>
      </c>
      <c r="H313" s="1240" t="s">
        <v>16234</v>
      </c>
      <c r="I313" s="1426" t="s">
        <v>12615</v>
      </c>
      <c r="J313" s="1383"/>
      <c r="K313" s="261"/>
      <c r="L313" s="1407"/>
      <c r="M313" s="261"/>
      <c r="N313" s="261"/>
      <c r="O313" s="261"/>
      <c r="P313" s="261"/>
      <c r="Q313" s="261"/>
      <c r="R313" s="261"/>
      <c r="S313" s="261"/>
      <c r="T313" s="261"/>
      <c r="U313" s="261"/>
      <c r="V313" s="261"/>
      <c r="W313" s="261"/>
      <c r="X313" s="261"/>
      <c r="Y313" s="261"/>
      <c r="Z313" s="261"/>
    </row>
    <row r="314" spans="1:26" hidden="1" outlineLevel="1">
      <c r="A314" s="247"/>
      <c r="B314" s="386"/>
      <c r="C314" s="386"/>
      <c r="D314" s="1427" t="s">
        <v>16289</v>
      </c>
      <c r="E314" s="1395">
        <v>131.29</v>
      </c>
      <c r="F314" s="1396"/>
      <c r="G314" s="1395"/>
      <c r="H314" s="1396"/>
      <c r="I314" s="1397">
        <f>E314</f>
        <v>131.29</v>
      </c>
      <c r="J314" s="1383"/>
      <c r="K314" s="261"/>
      <c r="L314" s="1407"/>
      <c r="M314" s="261"/>
      <c r="N314" s="261"/>
      <c r="O314" s="261"/>
      <c r="P314" s="261"/>
      <c r="Q314" s="261"/>
      <c r="R314" s="261"/>
      <c r="S314" s="261"/>
      <c r="T314" s="261"/>
      <c r="U314" s="261"/>
      <c r="V314" s="261"/>
      <c r="W314" s="261"/>
      <c r="X314" s="261"/>
      <c r="Y314" s="261"/>
      <c r="Z314" s="261"/>
    </row>
    <row r="315" spans="1:26" hidden="1" outlineLevel="1">
      <c r="A315" s="247"/>
      <c r="B315" s="386"/>
      <c r="C315" s="386"/>
      <c r="D315" s="1428"/>
      <c r="E315" s="1420"/>
      <c r="F315" s="1421"/>
      <c r="G315" s="1420"/>
      <c r="H315" s="1421"/>
      <c r="I315" s="1429"/>
      <c r="J315" s="1383"/>
      <c r="K315" s="261"/>
      <c r="L315" s="1407"/>
      <c r="M315" s="261"/>
      <c r="N315" s="261"/>
      <c r="O315" s="261"/>
      <c r="P315" s="261"/>
      <c r="Q315" s="261"/>
      <c r="R315" s="261"/>
      <c r="S315" s="261"/>
      <c r="T315" s="261"/>
      <c r="U315" s="261"/>
      <c r="V315" s="261"/>
      <c r="W315" s="261"/>
      <c r="X315" s="261"/>
      <c r="Y315" s="261"/>
      <c r="Z315" s="261"/>
    </row>
    <row r="316" spans="1:26" ht="25.5" outlineLevel="1">
      <c r="A316" s="248" t="s">
        <v>12876</v>
      </c>
      <c r="B316" s="386" t="s">
        <v>14870</v>
      </c>
      <c r="C316" s="386" t="s">
        <v>14472</v>
      </c>
      <c r="D316" s="1314" t="str">
        <f>IFERROR(VLOOKUP($B316,'24.08_ND'!$A$4833:$D$12369,2,0),IFERROR(VLOOKUP($B316,'03-CP'!$C$5:$H$4646,2,0),""))</f>
        <v>CHAPA DE POLICARBONATO 10 MM, CRISTAL - FORNECIMENTO E INSTALAÇÃO</v>
      </c>
      <c r="E316" s="1315" t="str">
        <f>IFERROR(VLOOKUP($B316,'24.08_ND'!$A:$D,3,0),IFERROR(VLOOKUP($B316,'03-CP'!$C$5:$H$4646,3,0),""))</f>
        <v>M2</v>
      </c>
      <c r="F316" s="1474">
        <v>17.920000000000002</v>
      </c>
      <c r="G316" s="1244"/>
      <c r="H316" s="1244"/>
      <c r="I316" s="1409"/>
      <c r="J316" s="1383"/>
      <c r="K316" s="261"/>
      <c r="L316" s="1389" t="s">
        <v>16229</v>
      </c>
      <c r="M316" s="261"/>
      <c r="N316" s="261"/>
      <c r="O316" s="261"/>
      <c r="P316" s="261"/>
      <c r="Q316" s="261"/>
      <c r="R316" s="261"/>
      <c r="S316" s="261"/>
      <c r="T316" s="261"/>
      <c r="U316" s="261"/>
      <c r="V316" s="261"/>
      <c r="W316" s="261"/>
      <c r="X316" s="261"/>
      <c r="Y316" s="261"/>
      <c r="Z316" s="261"/>
    </row>
    <row r="317" spans="1:26" ht="25.5" outlineLevel="1">
      <c r="A317" s="248" t="s">
        <v>12877</v>
      </c>
      <c r="B317" s="386" t="s">
        <v>14873</v>
      </c>
      <c r="C317" s="386" t="s">
        <v>14472</v>
      </c>
      <c r="D317" s="1314" t="str">
        <f>IFERROR(VLOOKUP($B317,'24.08_ND'!$A$4833:$D$12369,2,0),IFERROR(VLOOKUP($B317,'03-CP'!$C$5:$H$4646,2,0),""))</f>
        <v>PERFIL H - JUNTA DE TELHA POLICARBONATO 6 MMX6M. FORNECIMENTO E INSTALAÇÃO</v>
      </c>
      <c r="E317" s="1315" t="str">
        <f>IFERROR(VLOOKUP($B317,'24.08_ND'!$A:$D,3,0),IFERROR(VLOOKUP($B317,'03-CP'!$C$5:$H$4646,3,0),""))</f>
        <v>M</v>
      </c>
      <c r="F317" s="1474">
        <v>47.25</v>
      </c>
      <c r="G317" s="1244"/>
      <c r="H317" s="1244"/>
      <c r="I317" s="1409"/>
      <c r="J317" s="1383"/>
      <c r="K317" s="261"/>
      <c r="L317" s="1389" t="s">
        <v>16229</v>
      </c>
      <c r="M317" s="261"/>
      <c r="N317" s="261"/>
      <c r="O317" s="261"/>
      <c r="P317" s="261"/>
      <c r="Q317" s="261"/>
      <c r="R317" s="261"/>
      <c r="S317" s="261"/>
      <c r="T317" s="261"/>
      <c r="U317" s="261"/>
      <c r="V317" s="261"/>
      <c r="W317" s="261"/>
      <c r="X317" s="261"/>
      <c r="Y317" s="261"/>
      <c r="Z317" s="261"/>
    </row>
    <row r="318" spans="1:26" ht="25.5" outlineLevel="1">
      <c r="A318" s="248" t="s">
        <v>12878</v>
      </c>
      <c r="B318" s="386" t="s">
        <v>14876</v>
      </c>
      <c r="C318" s="386" t="s">
        <v>14472</v>
      </c>
      <c r="D318" s="1314" t="str">
        <f>IFERROR(VLOOKUP($B318,'24.08_ND'!$A$4833:$D$12369,2,0),IFERROR(VLOOKUP($B318,'03-CP'!$C$5:$H$4646,2,0),""))</f>
        <v>CANTONEIRA U - 6MM (ALUMINIO - 6MM) - ACABAMENTO TELHA POLICARBONATO. FORNECIMENTO E INSTALAÇÃO</v>
      </c>
      <c r="E318" s="1315" t="str">
        <f>IFERROR(VLOOKUP($B318,'24.08_ND'!$A:$D,3,0),IFERROR(VLOOKUP($B318,'03-CP'!$C$5:$H$4646,3,0),""))</f>
        <v>M</v>
      </c>
      <c r="F318" s="1474">
        <v>45.34</v>
      </c>
      <c r="G318" s="1244"/>
      <c r="H318" s="1244"/>
      <c r="I318" s="1409"/>
      <c r="J318" s="1383"/>
      <c r="K318" s="261"/>
      <c r="L318" s="1389" t="s">
        <v>16229</v>
      </c>
      <c r="M318" s="261"/>
      <c r="N318" s="261"/>
      <c r="O318" s="261"/>
      <c r="P318" s="261"/>
      <c r="Q318" s="261"/>
      <c r="R318" s="261"/>
      <c r="S318" s="261"/>
      <c r="T318" s="261"/>
      <c r="U318" s="261"/>
      <c r="V318" s="261"/>
      <c r="W318" s="261"/>
      <c r="X318" s="261"/>
      <c r="Y318" s="261"/>
      <c r="Z318" s="261"/>
    </row>
    <row r="319" spans="1:26" ht="38.25" outlineLevel="1">
      <c r="A319" s="248" t="s">
        <v>12879</v>
      </c>
      <c r="B319" s="386" t="s">
        <v>14878</v>
      </c>
      <c r="C319" s="386" t="s">
        <v>14472</v>
      </c>
      <c r="D319" s="1314" t="str">
        <f>IFERROR(VLOOKUP($B319,'24.08_ND'!$A$4833:$D$12369,2,0),IFERROR(VLOOKUP($B319,'03-CP'!$C$5:$H$4646,2,0),""))</f>
        <v>RUFO EM CHAPA DE AÇO GALVANIZADO NÚMERO 24, DESENVOLVIMENTO ATÉ 50 CM, INCLUSO TRANSPORTE VERTICAL - FORNECIMENTO E INSTALAÇÃO</v>
      </c>
      <c r="E319" s="1315" t="str">
        <f>IFERROR(VLOOKUP($B319,'24.08_ND'!$A:$D,3,0),IFERROR(VLOOKUP($B319,'03-CP'!$C$5:$H$4646,3,0),""))</f>
        <v>M</v>
      </c>
      <c r="F319" s="1474">
        <v>45.06</v>
      </c>
      <c r="G319" s="1244"/>
      <c r="H319" s="1244"/>
      <c r="I319" s="1409"/>
      <c r="J319" s="1383"/>
      <c r="K319" s="261"/>
      <c r="L319" s="1389" t="s">
        <v>16229</v>
      </c>
      <c r="M319" s="261"/>
      <c r="N319" s="261"/>
      <c r="O319" s="261"/>
      <c r="P319" s="261"/>
      <c r="Q319" s="261"/>
      <c r="R319" s="261"/>
      <c r="S319" s="261"/>
      <c r="T319" s="261"/>
      <c r="U319" s="261"/>
      <c r="V319" s="261"/>
      <c r="W319" s="261"/>
      <c r="X319" s="261"/>
      <c r="Y319" s="261"/>
      <c r="Z319" s="261"/>
    </row>
    <row r="320" spans="1:26" ht="38.25" outlineLevel="1">
      <c r="A320" s="248" t="s">
        <v>12880</v>
      </c>
      <c r="B320" s="386" t="s">
        <v>14880</v>
      </c>
      <c r="C320" s="386" t="s">
        <v>14472</v>
      </c>
      <c r="D320" s="1314" t="str">
        <f>IFERROR(VLOOKUP($B320,'24.08_ND'!$A$4833:$D$12369,2,0),IFERROR(VLOOKUP($B320,'03-CP'!$C$5:$H$4646,2,0),""))</f>
        <v>RUFO EM CHAPA DE AÇO GALVANIZADO NÚMERO 24, DESENVOLVIMENTO ATÉ 100 CM, INCLUSO TRANSPORTE VERTICAL - FORNECIMENTO E INSTALAÇÃO</v>
      </c>
      <c r="E320" s="1315" t="str">
        <f>IFERROR(VLOOKUP($B320,'24.08_ND'!$A:$D,3,0),IFERROR(VLOOKUP($B320,'03-CP'!$C$5:$H$4646,3,0),""))</f>
        <v>M</v>
      </c>
      <c r="F320" s="1474">
        <v>17.920000000000002</v>
      </c>
      <c r="G320" s="1244"/>
      <c r="H320" s="1244"/>
      <c r="I320" s="1409"/>
      <c r="J320" s="1383"/>
      <c r="K320" s="261"/>
      <c r="L320" s="1389" t="s">
        <v>16229</v>
      </c>
      <c r="M320" s="261"/>
      <c r="N320" s="261"/>
      <c r="O320" s="261"/>
      <c r="P320" s="261"/>
      <c r="Q320" s="261"/>
      <c r="R320" s="261"/>
      <c r="S320" s="261"/>
      <c r="T320" s="261"/>
      <c r="U320" s="261"/>
      <c r="V320" s="261"/>
      <c r="W320" s="261"/>
      <c r="X320" s="261"/>
      <c r="Y320" s="261"/>
      <c r="Z320" s="261"/>
    </row>
    <row r="321" spans="1:26" ht="25.5" outlineLevel="1">
      <c r="A321" s="248" t="s">
        <v>12881</v>
      </c>
      <c r="B321" s="386">
        <v>94229</v>
      </c>
      <c r="C321" s="386" t="s">
        <v>14476</v>
      </c>
      <c r="D321" s="1314" t="str">
        <f>IFERROR(VLOOKUP($B321,'24.08_ND'!$A$4833:$D$12369,2,0),IFERROR(VLOOKUP($B321,'03-CP'!$C$5:$H$4646,2,0),""))</f>
        <v>CALHA EM CHAPA DE AÇO GALVANIZADO NÚMERO 24, DESENVOLVIMENTO DE 100 CM, INCLUSO TRANSPORTE VERTICAL. AF_07/2019</v>
      </c>
      <c r="E321" s="1315" t="str">
        <f>IFERROR(VLOOKUP($B321,'24.08_ND'!$A:$D,3,0),IFERROR(VLOOKUP($B321,'03-CP'!$C$5:$H$4646,3,0),""))</f>
        <v>M</v>
      </c>
      <c r="F321" s="1474">
        <v>45.06</v>
      </c>
      <c r="G321" s="1244"/>
      <c r="H321" s="1244"/>
      <c r="I321" s="1409"/>
      <c r="J321" s="1383"/>
      <c r="K321" s="261"/>
      <c r="L321" s="1389" t="s">
        <v>16229</v>
      </c>
      <c r="M321" s="261"/>
      <c r="N321" s="261"/>
      <c r="O321" s="261"/>
      <c r="P321" s="261"/>
      <c r="Q321" s="261"/>
      <c r="R321" s="261"/>
      <c r="S321" s="261"/>
      <c r="T321" s="261"/>
      <c r="U321" s="261"/>
      <c r="V321" s="261"/>
      <c r="W321" s="261"/>
      <c r="X321" s="261"/>
      <c r="Y321" s="261"/>
      <c r="Z321" s="261"/>
    </row>
    <row r="322" spans="1:26" ht="25.5" outlineLevel="1">
      <c r="A322" s="248" t="s">
        <v>12882</v>
      </c>
      <c r="B322" s="386" t="s">
        <v>14882</v>
      </c>
      <c r="C322" s="386" t="s">
        <v>14472</v>
      </c>
      <c r="D322" s="1314" t="str">
        <f>IFERROR(VLOOKUP($B322,'24.08_ND'!$A$4833:$D$12369,2,0),IFERROR(VLOOKUP($B322,'03-CP'!$C$5:$H$4646,2,0),""))</f>
        <v>CUMEEIRA METÁLICA EM AÇO GALVANIZADO, DESENVOLVIMENTO 40 CM - FORNECIMENTO E INSTALAÇÃO</v>
      </c>
      <c r="E322" s="1315" t="str">
        <f>IFERROR(VLOOKUP($B322,'24.08_ND'!$A:$D,3,0),IFERROR(VLOOKUP($B322,'03-CP'!$C$5:$H$4646,3,0),""))</f>
        <v>M</v>
      </c>
      <c r="F322" s="1474">
        <v>45.06</v>
      </c>
      <c r="G322" s="1244"/>
      <c r="H322" s="1244"/>
      <c r="I322" s="1409"/>
      <c r="J322" s="1383"/>
      <c r="K322" s="261"/>
      <c r="L322" s="1389" t="s">
        <v>16229</v>
      </c>
      <c r="M322" s="261"/>
      <c r="N322" s="261"/>
      <c r="O322" s="261"/>
      <c r="P322" s="261"/>
      <c r="Q322" s="261"/>
      <c r="R322" s="261"/>
      <c r="S322" s="261"/>
      <c r="T322" s="261"/>
      <c r="U322" s="261"/>
      <c r="V322" s="261"/>
      <c r="W322" s="261"/>
      <c r="X322" s="261"/>
      <c r="Y322" s="261"/>
      <c r="Z322" s="261"/>
    </row>
    <row r="323" spans="1:26" ht="38.25" outlineLevel="1">
      <c r="A323" s="248" t="s">
        <v>12883</v>
      </c>
      <c r="B323" s="386" t="s">
        <v>14885</v>
      </c>
      <c r="C323" s="386" t="s">
        <v>14472</v>
      </c>
      <c r="D323" s="1314" t="str">
        <f>IFERROR(VLOOKUP($B323,'24.08_ND'!$A$4833:$D$12369,2,0),IFERROR(VLOOKUP($B323,'03-CP'!$C$5:$H$4646,2,0),""))</f>
        <v>TELHAMENTO COM TELHA METÁLICA TERMOACÚSTICA E = 30 MM, COM ATÉ 2 ÁGUAS, CHAPA/CHAPA, PRÉ-PINTADA NAS DUAS FACES- INCLUSO IÇAMENTO.</v>
      </c>
      <c r="E323" s="1315" t="str">
        <f>IFERROR(VLOOKUP($B323,'24.08_ND'!$A:$D,3,0),IFERROR(VLOOKUP($B323,'03-CP'!$C$5:$H$4646,3,0),""))</f>
        <v>M2</v>
      </c>
      <c r="F323" s="1474">
        <v>320.43</v>
      </c>
      <c r="G323" s="1420"/>
      <c r="H323" s="1421"/>
      <c r="I323" s="1429"/>
      <c r="J323" s="1383"/>
      <c r="K323" s="261"/>
      <c r="L323" s="1389" t="s">
        <v>16229</v>
      </c>
      <c r="M323" s="261"/>
      <c r="N323" s="261"/>
      <c r="O323" s="261"/>
      <c r="P323" s="261"/>
      <c r="Q323" s="261"/>
      <c r="R323" s="261"/>
      <c r="S323" s="261"/>
      <c r="T323" s="261"/>
      <c r="U323" s="261"/>
      <c r="V323" s="261"/>
      <c r="W323" s="261"/>
      <c r="X323" s="261"/>
      <c r="Y323" s="261"/>
      <c r="Z323" s="261"/>
    </row>
    <row r="324" spans="1:26" hidden="1" outlineLevel="1">
      <c r="A324" s="247"/>
      <c r="B324" s="386"/>
      <c r="C324" s="386"/>
      <c r="D324" s="1428"/>
      <c r="E324" s="1420"/>
      <c r="F324" s="1421"/>
      <c r="G324" s="1420"/>
      <c r="H324" s="1421"/>
      <c r="I324" s="1429"/>
      <c r="J324" s="1383"/>
      <c r="K324" s="261"/>
      <c r="L324" s="1407"/>
      <c r="M324" s="261"/>
      <c r="N324" s="261"/>
      <c r="O324" s="261"/>
      <c r="P324" s="261"/>
      <c r="Q324" s="261"/>
      <c r="R324" s="261"/>
      <c r="S324" s="261"/>
      <c r="T324" s="261"/>
      <c r="U324" s="261"/>
      <c r="V324" s="261"/>
      <c r="W324" s="261"/>
      <c r="X324" s="261"/>
      <c r="Y324" s="261"/>
      <c r="Z324" s="261"/>
    </row>
    <row r="325" spans="1:26" ht="12.75">
      <c r="A325" s="246" t="s">
        <v>12884</v>
      </c>
      <c r="B325" s="1378"/>
      <c r="C325" s="1378"/>
      <c r="D325" s="1379" t="s">
        <v>16290</v>
      </c>
      <c r="E325" s="1380"/>
      <c r="F325" s="1381"/>
      <c r="G325" s="1380"/>
      <c r="H325" s="1381"/>
      <c r="I325" s="1382"/>
      <c r="J325" s="1383" t="s">
        <v>16228</v>
      </c>
      <c r="K325" s="1297" t="e">
        <f>VLOOKUP(#REF!,'Medição '!$A:$G,10,0)</f>
        <v>#REF!</v>
      </c>
      <c r="L325" s="386"/>
      <c r="M325" s="262"/>
      <c r="N325" s="262"/>
      <c r="O325" s="262"/>
      <c r="P325" s="262"/>
      <c r="Q325" s="262"/>
      <c r="R325" s="262"/>
      <c r="S325" s="262"/>
      <c r="T325" s="262"/>
      <c r="U325" s="262"/>
      <c r="V325" s="262"/>
      <c r="W325" s="262"/>
      <c r="X325" s="262"/>
      <c r="Y325" s="262"/>
      <c r="Z325" s="262"/>
    </row>
    <row r="326" spans="1:26" ht="38.25" outlineLevel="1">
      <c r="A326" s="1423" t="s">
        <v>12885</v>
      </c>
      <c r="B326" s="295" t="s">
        <v>14754</v>
      </c>
      <c r="C326" s="295" t="s">
        <v>14472</v>
      </c>
      <c r="D326" s="658" t="str">
        <f>IFERROR(VLOOKUP($B326,'24.08_ND'!$A$4833:$D$12369,2,0),IFERROR(VLOOKUP($B326,'03-CP'!$C$5:$H$4646,2,0),""))</f>
        <v>PELE DE VIDRO, ESTRUTURA EM ALUMÍNIO, ACABAMENTO EM PINTURA ELETROSTÁTICA E VIDRO TEMPERADO INCOLOR 10 MM - FORNECIMENTO E INSTALAÇÃO</v>
      </c>
      <c r="E326" s="1318" t="str">
        <f>IFERROR(VLOOKUP($B326,'24.08_ND'!$A:$D,3,0),IFERROR(VLOOKUP($B326,'03-CP'!$C$5:$H$4646,3,0),""))</f>
        <v>M2</v>
      </c>
      <c r="F326" s="1424">
        <f>SUM(I328:I330)</f>
        <v>51.086300000000001</v>
      </c>
      <c r="G326" s="1387"/>
      <c r="H326" s="1387"/>
      <c r="I326" s="1388"/>
      <c r="J326" s="1383" t="s">
        <v>16228</v>
      </c>
      <c r="K326" s="262"/>
      <c r="L326" s="1389" t="s">
        <v>16229</v>
      </c>
      <c r="M326" s="262"/>
      <c r="N326" s="262"/>
      <c r="O326" s="262"/>
      <c r="P326" s="262"/>
      <c r="Q326" s="262"/>
      <c r="R326" s="262"/>
      <c r="S326" s="262"/>
      <c r="T326" s="262"/>
      <c r="U326" s="262"/>
      <c r="V326" s="262"/>
      <c r="W326" s="262"/>
      <c r="X326" s="262"/>
      <c r="Y326" s="262"/>
      <c r="Z326" s="262"/>
    </row>
    <row r="327" spans="1:26" ht="12.75" hidden="1" outlineLevel="1">
      <c r="A327" s="450"/>
      <c r="B327" s="512"/>
      <c r="C327" s="512"/>
      <c r="D327" s="1390" t="s">
        <v>16230</v>
      </c>
      <c r="E327" s="1240" t="s">
        <v>16252</v>
      </c>
      <c r="F327" s="1425" t="s">
        <v>16232</v>
      </c>
      <c r="G327" s="1391" t="s">
        <v>16233</v>
      </c>
      <c r="H327" s="1240" t="s">
        <v>16234</v>
      </c>
      <c r="I327" s="1426" t="s">
        <v>12615</v>
      </c>
      <c r="J327" s="1383" t="s">
        <v>16228</v>
      </c>
      <c r="K327" s="262"/>
      <c r="L327" s="386"/>
      <c r="M327" s="262"/>
      <c r="N327" s="262"/>
      <c r="O327" s="262"/>
      <c r="P327" s="262"/>
      <c r="Q327" s="262"/>
      <c r="R327" s="262"/>
      <c r="S327" s="262"/>
      <c r="T327" s="262"/>
      <c r="U327" s="262"/>
      <c r="V327" s="262"/>
      <c r="W327" s="262"/>
      <c r="X327" s="262"/>
      <c r="Y327" s="262"/>
      <c r="Z327" s="262"/>
    </row>
    <row r="328" spans="1:26" ht="12.75" hidden="1" outlineLevel="1">
      <c r="A328" s="450"/>
      <c r="B328" s="386"/>
      <c r="C328" s="386"/>
      <c r="D328" s="1418" t="s">
        <v>16291</v>
      </c>
      <c r="E328" s="1244">
        <v>4.08</v>
      </c>
      <c r="F328" s="389">
        <v>4.87</v>
      </c>
      <c r="G328" s="1244">
        <f>E328*F328</f>
        <v>19.869600000000002</v>
      </c>
      <c r="H328" s="1244">
        <v>1</v>
      </c>
      <c r="I328" s="1409">
        <f>H328*G328</f>
        <v>19.869600000000002</v>
      </c>
      <c r="J328" s="1383" t="s">
        <v>16228</v>
      </c>
      <c r="K328" s="262"/>
      <c r="L328" s="386"/>
      <c r="M328" s="262"/>
      <c r="N328" s="262"/>
      <c r="O328" s="262"/>
      <c r="P328" s="262"/>
      <c r="Q328" s="262"/>
      <c r="R328" s="262"/>
      <c r="S328" s="262"/>
      <c r="T328" s="262"/>
      <c r="U328" s="262"/>
      <c r="V328" s="262"/>
      <c r="W328" s="262"/>
      <c r="X328" s="262"/>
      <c r="Y328" s="262"/>
      <c r="Z328" s="262"/>
    </row>
    <row r="329" spans="1:26" ht="12.75" hidden="1" outlineLevel="1">
      <c r="A329" s="450"/>
      <c r="B329" s="386"/>
      <c r="C329" s="386"/>
      <c r="D329" s="1418" t="s">
        <v>16292</v>
      </c>
      <c r="E329" s="1244">
        <v>5.2</v>
      </c>
      <c r="F329" s="389">
        <v>4.87</v>
      </c>
      <c r="G329" s="1244">
        <f>E329*F329</f>
        <v>25.324000000000002</v>
      </c>
      <c r="H329" s="1244">
        <v>1</v>
      </c>
      <c r="I329" s="1409">
        <f>H329*G329</f>
        <v>25.324000000000002</v>
      </c>
      <c r="J329" s="1383" t="s">
        <v>16228</v>
      </c>
      <c r="K329" s="262"/>
      <c r="L329" s="386"/>
      <c r="M329" s="262"/>
      <c r="N329" s="262"/>
      <c r="O329" s="262"/>
      <c r="P329" s="262"/>
      <c r="Q329" s="262"/>
      <c r="R329" s="262"/>
      <c r="S329" s="262"/>
      <c r="T329" s="262"/>
      <c r="U329" s="262"/>
      <c r="V329" s="262"/>
      <c r="W329" s="262"/>
      <c r="X329" s="262"/>
      <c r="Y329" s="262"/>
      <c r="Z329" s="262"/>
    </row>
    <row r="330" spans="1:26" ht="12.75" hidden="1" outlineLevel="1">
      <c r="A330" s="450"/>
      <c r="B330" s="386"/>
      <c r="C330" s="386"/>
      <c r="D330" s="1427" t="s">
        <v>16293</v>
      </c>
      <c r="E330" s="1395">
        <v>1.21</v>
      </c>
      <c r="F330" s="1396">
        <v>4.87</v>
      </c>
      <c r="G330" s="1248">
        <f>E330*F330</f>
        <v>5.8926999999999996</v>
      </c>
      <c r="H330" s="1248">
        <v>1</v>
      </c>
      <c r="I330" s="1281">
        <f>H330*G330</f>
        <v>5.8926999999999996</v>
      </c>
      <c r="J330" s="1383" t="s">
        <v>16228</v>
      </c>
      <c r="K330" s="262"/>
      <c r="L330" s="386"/>
      <c r="M330" s="262"/>
      <c r="N330" s="262"/>
      <c r="O330" s="262"/>
      <c r="P330" s="262"/>
      <c r="Q330" s="262"/>
      <c r="R330" s="262"/>
      <c r="S330" s="262"/>
      <c r="T330" s="262"/>
      <c r="U330" s="262"/>
      <c r="V330" s="262"/>
      <c r="W330" s="262"/>
      <c r="X330" s="262"/>
      <c r="Y330" s="262"/>
      <c r="Z330" s="262"/>
    </row>
    <row r="331" spans="1:26" ht="25.5" outlineLevel="1">
      <c r="A331" s="1423" t="s">
        <v>12886</v>
      </c>
      <c r="B331" s="295" t="s">
        <v>14771</v>
      </c>
      <c r="C331" s="295" t="s">
        <v>14472</v>
      </c>
      <c r="D331" s="658" t="str">
        <f>IFERROR(VLOOKUP($B331,'24.08_ND'!$A$4833:$D$12369,2,0),IFERROR(VLOOKUP($B331,'03-CP'!$C$5:$H$4646,2,0),""))</f>
        <v>BANCADA EM GRANITO ITAÚNAS, LEVIGADO, E=2 CM, ASSENTADO COM ARGAMASSA COLANTE, FIXADA COM PERFIL METÁLICO</v>
      </c>
      <c r="E331" s="1318" t="str">
        <f>IFERROR(VLOOKUP($B331,'24.08_ND'!$A:$D,3,0),IFERROR(VLOOKUP($B331,'03-CP'!$C$5:$H$4646,3,0),""))</f>
        <v>M2</v>
      </c>
      <c r="F331" s="1469">
        <f>SUM(I333:I334)</f>
        <v>10.870000000000001</v>
      </c>
      <c r="G331" s="1387"/>
      <c r="H331" s="1387"/>
      <c r="I331" s="1388"/>
      <c r="J331" s="1383"/>
      <c r="K331" s="262"/>
      <c r="L331" s="1389" t="s">
        <v>16229</v>
      </c>
      <c r="M331" s="262"/>
      <c r="N331" s="262"/>
      <c r="O331" s="262"/>
      <c r="P331" s="262"/>
      <c r="Q331" s="262"/>
      <c r="R331" s="262"/>
      <c r="S331" s="262"/>
      <c r="T331" s="262"/>
      <c r="U331" s="262"/>
      <c r="V331" s="262"/>
      <c r="W331" s="262"/>
      <c r="X331" s="262"/>
      <c r="Y331" s="262"/>
      <c r="Z331" s="262"/>
    </row>
    <row r="332" spans="1:26" ht="12.75" hidden="1" outlineLevel="1">
      <c r="A332" s="1401"/>
      <c r="B332" s="512"/>
      <c r="C332" s="386"/>
      <c r="D332" s="1390" t="s">
        <v>16230</v>
      </c>
      <c r="E332" s="1240" t="s">
        <v>16252</v>
      </c>
      <c r="F332" s="1425" t="s">
        <v>16232</v>
      </c>
      <c r="G332" s="1391" t="s">
        <v>16233</v>
      </c>
      <c r="H332" s="1240" t="s">
        <v>16234</v>
      </c>
      <c r="I332" s="1426" t="s">
        <v>12615</v>
      </c>
      <c r="J332" s="1383"/>
      <c r="K332" s="262"/>
      <c r="L332" s="386"/>
      <c r="M332" s="262"/>
      <c r="N332" s="262"/>
      <c r="O332" s="262"/>
      <c r="P332" s="262"/>
      <c r="Q332" s="262"/>
      <c r="R332" s="262"/>
      <c r="S332" s="262"/>
      <c r="T332" s="262"/>
      <c r="U332" s="262"/>
      <c r="V332" s="262"/>
      <c r="W332" s="262"/>
      <c r="X332" s="262"/>
      <c r="Y332" s="262"/>
      <c r="Z332" s="262"/>
    </row>
    <row r="333" spans="1:26" ht="12.75" hidden="1" outlineLevel="1">
      <c r="A333" s="247"/>
      <c r="B333" s="386"/>
      <c r="C333" s="386"/>
      <c r="D333" s="1418" t="s">
        <v>16294</v>
      </c>
      <c r="E333" s="1244"/>
      <c r="F333" s="389"/>
      <c r="G333" s="1244">
        <v>6.07</v>
      </c>
      <c r="H333" s="1244"/>
      <c r="I333" s="1409">
        <f>G333</f>
        <v>6.07</v>
      </c>
      <c r="J333" s="1383"/>
      <c r="K333" s="262"/>
      <c r="L333" s="386"/>
      <c r="M333" s="262"/>
      <c r="N333" s="262"/>
      <c r="O333" s="262"/>
      <c r="P333" s="262"/>
      <c r="Q333" s="262"/>
      <c r="R333" s="262"/>
      <c r="S333" s="262"/>
      <c r="T333" s="262"/>
      <c r="U333" s="262"/>
      <c r="V333" s="262"/>
      <c r="W333" s="262"/>
      <c r="X333" s="262"/>
      <c r="Y333" s="262"/>
      <c r="Z333" s="262"/>
    </row>
    <row r="334" spans="1:26" ht="12.75" hidden="1" outlineLevel="1">
      <c r="A334" s="247"/>
      <c r="B334" s="386"/>
      <c r="C334" s="386"/>
      <c r="D334" s="1422" t="s">
        <v>16263</v>
      </c>
      <c r="E334" s="1248"/>
      <c r="F334" s="1436"/>
      <c r="G334" s="1248">
        <v>4.8</v>
      </c>
      <c r="H334" s="1248"/>
      <c r="I334" s="1281">
        <f>G334</f>
        <v>4.8</v>
      </c>
      <c r="J334" s="1383"/>
      <c r="K334" s="262"/>
      <c r="L334" s="386"/>
      <c r="M334" s="262"/>
      <c r="N334" s="262"/>
      <c r="O334" s="262"/>
      <c r="P334" s="262"/>
      <c r="Q334" s="262"/>
      <c r="R334" s="262"/>
      <c r="S334" s="262"/>
      <c r="T334" s="262"/>
      <c r="U334" s="262"/>
      <c r="V334" s="262"/>
      <c r="W334" s="262"/>
      <c r="X334" s="262"/>
      <c r="Y334" s="262"/>
      <c r="Z334" s="262"/>
    </row>
    <row r="335" spans="1:26" ht="12.75" hidden="1" outlineLevel="1">
      <c r="A335" s="247"/>
      <c r="B335" s="386"/>
      <c r="C335" s="386"/>
      <c r="D335" s="253"/>
      <c r="E335" s="1244"/>
      <c r="F335" s="389"/>
      <c r="G335" s="1244"/>
      <c r="H335" s="1244"/>
      <c r="I335" s="1409"/>
      <c r="J335" s="1383"/>
      <c r="K335" s="262"/>
      <c r="L335" s="386"/>
      <c r="M335" s="262"/>
      <c r="N335" s="262"/>
      <c r="O335" s="262"/>
      <c r="P335" s="262"/>
      <c r="Q335" s="262"/>
      <c r="R335" s="262"/>
      <c r="S335" s="262"/>
      <c r="T335" s="262"/>
      <c r="U335" s="262"/>
      <c r="V335" s="262"/>
      <c r="W335" s="262"/>
      <c r="X335" s="262"/>
      <c r="Y335" s="262"/>
      <c r="Z335" s="262"/>
    </row>
    <row r="336" spans="1:26" ht="25.5" outlineLevel="1">
      <c r="A336" s="1423" t="s">
        <v>12887</v>
      </c>
      <c r="B336" s="295" t="s">
        <v>14775</v>
      </c>
      <c r="C336" s="295" t="s">
        <v>14472</v>
      </c>
      <c r="D336" s="658" t="str">
        <f>IFERROR(VLOOKUP($B336,'24.08_ND'!$A$4833:$D$12369,2,0),IFERROR(VLOOKUP($B336,'03-CP'!$C$5:$H$4646,2,0),""))</f>
        <v>BANCADA EM GRANILITE, E=2 CM, ASSENTADO COM ARGAMASSA COLANTE, FIXADA COM PERFIL METÁLICO</v>
      </c>
      <c r="E336" s="1318" t="str">
        <f>IFERROR(VLOOKUP($B336,'24.08_ND'!$A:$D,3,0),IFERROR(VLOOKUP($B336,'03-CP'!$C$5:$H$4646,3,0),""))</f>
        <v>M2</v>
      </c>
      <c r="F336" s="1424">
        <f>SUM(I338)</f>
        <v>16.059999999999999</v>
      </c>
      <c r="G336" s="1387"/>
      <c r="H336" s="1387"/>
      <c r="I336" s="1388"/>
      <c r="J336" s="1383"/>
      <c r="K336" s="262"/>
      <c r="L336" s="1389" t="s">
        <v>16229</v>
      </c>
      <c r="M336" s="262"/>
      <c r="N336" s="262"/>
      <c r="O336" s="262"/>
      <c r="P336" s="262"/>
      <c r="Q336" s="262"/>
      <c r="R336" s="262"/>
      <c r="S336" s="262"/>
      <c r="T336" s="262"/>
      <c r="U336" s="262"/>
      <c r="V336" s="262"/>
      <c r="W336" s="262"/>
      <c r="X336" s="262"/>
      <c r="Y336" s="262"/>
      <c r="Z336" s="262"/>
    </row>
    <row r="337" spans="1:26" ht="12.75" hidden="1" outlineLevel="1">
      <c r="A337" s="1401"/>
      <c r="B337" s="512"/>
      <c r="C337" s="512"/>
      <c r="D337" s="1390" t="s">
        <v>16230</v>
      </c>
      <c r="E337" s="1240" t="s">
        <v>16252</v>
      </c>
      <c r="F337" s="1425" t="s">
        <v>16232</v>
      </c>
      <c r="G337" s="1391" t="s">
        <v>16233</v>
      </c>
      <c r="H337" s="1240" t="s">
        <v>16234</v>
      </c>
      <c r="I337" s="1426" t="s">
        <v>12615</v>
      </c>
      <c r="J337" s="1383"/>
      <c r="K337" s="262"/>
      <c r="L337" s="386"/>
      <c r="M337" s="262"/>
      <c r="N337" s="262"/>
      <c r="O337" s="262"/>
      <c r="P337" s="262"/>
      <c r="Q337" s="262"/>
      <c r="R337" s="262"/>
      <c r="S337" s="262"/>
      <c r="T337" s="262"/>
      <c r="U337" s="262"/>
      <c r="V337" s="262"/>
      <c r="W337" s="262"/>
      <c r="X337" s="262"/>
      <c r="Y337" s="262"/>
      <c r="Z337" s="262"/>
    </row>
    <row r="338" spans="1:26" ht="12.75" hidden="1" outlineLevel="1">
      <c r="A338" s="247"/>
      <c r="B338" s="386"/>
      <c r="C338" s="386"/>
      <c r="D338" s="1427" t="s">
        <v>16295</v>
      </c>
      <c r="E338" s="1395"/>
      <c r="F338" s="1396"/>
      <c r="G338" s="1248">
        <v>16.059999999999999</v>
      </c>
      <c r="H338" s="1248"/>
      <c r="I338" s="1281">
        <f>G338</f>
        <v>16.059999999999999</v>
      </c>
      <c r="J338" s="1383"/>
      <c r="K338" s="262"/>
      <c r="L338" s="386"/>
      <c r="M338" s="262"/>
      <c r="N338" s="262"/>
      <c r="O338" s="262"/>
      <c r="P338" s="262"/>
      <c r="Q338" s="262"/>
      <c r="R338" s="262"/>
      <c r="S338" s="262"/>
      <c r="T338" s="262"/>
      <c r="U338" s="262"/>
      <c r="V338" s="262"/>
      <c r="W338" s="262"/>
      <c r="X338" s="262"/>
      <c r="Y338" s="262"/>
      <c r="Z338" s="262"/>
    </row>
    <row r="339" spans="1:26" ht="12.75" hidden="1" outlineLevel="1">
      <c r="A339" s="247"/>
      <c r="B339" s="386"/>
      <c r="C339" s="386"/>
      <c r="D339" s="253"/>
      <c r="E339" s="1244"/>
      <c r="F339" s="389"/>
      <c r="G339" s="1244"/>
      <c r="H339" s="1244"/>
      <c r="I339" s="1409"/>
      <c r="J339" s="1383"/>
      <c r="K339" s="262"/>
      <c r="L339" s="386"/>
      <c r="M339" s="262"/>
      <c r="N339" s="262"/>
      <c r="O339" s="262"/>
      <c r="P339" s="262"/>
      <c r="Q339" s="262"/>
      <c r="R339" s="262"/>
      <c r="S339" s="262"/>
      <c r="T339" s="262"/>
      <c r="U339" s="262"/>
      <c r="V339" s="262"/>
      <c r="W339" s="262"/>
      <c r="X339" s="262"/>
      <c r="Y339" s="262"/>
      <c r="Z339" s="262"/>
    </row>
    <row r="340" spans="1:26" ht="25.5" outlineLevel="1">
      <c r="A340" s="1423" t="s">
        <v>12888</v>
      </c>
      <c r="B340" s="295" t="s">
        <v>14777</v>
      </c>
      <c r="C340" s="295" t="s">
        <v>14472</v>
      </c>
      <c r="D340" s="658" t="str">
        <f>IFERROR(VLOOKUP($B340,'24.08_ND'!$A$4833:$D$12369,2,0),IFERROR(VLOOKUP($B340,'03-CP'!$C$5:$H$4646,2,0),""))</f>
        <v>PEITORIL LINEAR EM GRANITO BRANCO ITAÚNA, ATÉ L= 25 CM, ASSENTADO COM ARGAMASSA COLANTE</v>
      </c>
      <c r="E340" s="1318" t="str">
        <f>IFERROR(VLOOKUP($B340,'24.08_ND'!$A:$D,3,0),IFERROR(VLOOKUP($B340,'03-CP'!$C$5:$H$4646,3,0),""))</f>
        <v>M</v>
      </c>
      <c r="F340" s="1424">
        <f>SUM(I342:I344)</f>
        <v>8.6999999999999993</v>
      </c>
      <c r="G340" s="1387"/>
      <c r="H340" s="1387"/>
      <c r="I340" s="1388"/>
      <c r="J340" s="1383"/>
      <c r="K340" s="262"/>
      <c r="L340" s="1389" t="s">
        <v>16229</v>
      </c>
      <c r="M340" s="262"/>
      <c r="N340" s="262"/>
      <c r="O340" s="262"/>
      <c r="P340" s="262"/>
      <c r="Q340" s="262"/>
      <c r="R340" s="262"/>
      <c r="S340" s="262"/>
      <c r="T340" s="262"/>
      <c r="U340" s="262"/>
      <c r="V340" s="262"/>
      <c r="W340" s="262"/>
      <c r="X340" s="262"/>
      <c r="Y340" s="262"/>
      <c r="Z340" s="262"/>
    </row>
    <row r="341" spans="1:26" ht="12.75" hidden="1" outlineLevel="1">
      <c r="A341" s="1401"/>
      <c r="B341" s="512"/>
      <c r="C341" s="512"/>
      <c r="D341" s="1435" t="s">
        <v>16253</v>
      </c>
      <c r="E341" s="1240" t="s">
        <v>16252</v>
      </c>
      <c r="F341" s="1425" t="s">
        <v>16232</v>
      </c>
      <c r="G341" s="1391" t="s">
        <v>16233</v>
      </c>
      <c r="H341" s="1240" t="s">
        <v>16234</v>
      </c>
      <c r="I341" s="1426" t="s">
        <v>12615</v>
      </c>
      <c r="J341" s="1383"/>
      <c r="K341" s="262"/>
      <c r="L341" s="386"/>
      <c r="M341" s="262"/>
      <c r="N341" s="262"/>
      <c r="O341" s="262"/>
      <c r="P341" s="262"/>
      <c r="Q341" s="262"/>
      <c r="R341" s="262"/>
      <c r="S341" s="262"/>
      <c r="T341" s="262"/>
      <c r="U341" s="262"/>
      <c r="V341" s="262"/>
      <c r="W341" s="262"/>
      <c r="X341" s="262"/>
      <c r="Y341" s="262"/>
      <c r="Z341" s="262"/>
    </row>
    <row r="342" spans="1:26" ht="12.75" hidden="1" outlineLevel="1">
      <c r="A342" s="247"/>
      <c r="B342" s="386"/>
      <c r="C342" s="386"/>
      <c r="D342" s="1418" t="s">
        <v>16240</v>
      </c>
      <c r="E342" s="1244">
        <v>0.86</v>
      </c>
      <c r="F342" s="389">
        <v>0.22</v>
      </c>
      <c r="G342" s="1244">
        <v>0.18920000000000001</v>
      </c>
      <c r="H342" s="1244">
        <v>2</v>
      </c>
      <c r="I342" s="1409">
        <f>E342*H342</f>
        <v>1.72</v>
      </c>
      <c r="J342" s="1383"/>
      <c r="K342" s="262"/>
      <c r="L342" s="386"/>
      <c r="M342" s="262"/>
      <c r="N342" s="262"/>
      <c r="O342" s="262"/>
      <c r="P342" s="262"/>
      <c r="Q342" s="262"/>
      <c r="R342" s="262"/>
      <c r="S342" s="262"/>
      <c r="T342" s="262"/>
      <c r="U342" s="262"/>
      <c r="V342" s="262"/>
      <c r="W342" s="262"/>
      <c r="X342" s="262"/>
      <c r="Y342" s="262"/>
      <c r="Z342" s="262"/>
    </row>
    <row r="343" spans="1:26" ht="12.75" hidden="1" outlineLevel="1">
      <c r="A343" s="247"/>
      <c r="B343" s="386"/>
      <c r="C343" s="386"/>
      <c r="D343" s="1418" t="s">
        <v>16241</v>
      </c>
      <c r="E343" s="1244">
        <v>2.06</v>
      </c>
      <c r="F343" s="389">
        <v>0.22</v>
      </c>
      <c r="G343" s="1244">
        <v>0.45319999999999999</v>
      </c>
      <c r="H343" s="1244">
        <v>1</v>
      </c>
      <c r="I343" s="1409">
        <f>E343*H343</f>
        <v>2.06</v>
      </c>
      <c r="J343" s="1383"/>
      <c r="K343" s="262"/>
      <c r="L343" s="386"/>
      <c r="M343" s="262"/>
      <c r="N343" s="262"/>
      <c r="O343" s="262"/>
      <c r="P343" s="262"/>
      <c r="Q343" s="262"/>
      <c r="R343" s="262"/>
      <c r="S343" s="262"/>
      <c r="T343" s="262"/>
      <c r="U343" s="262"/>
      <c r="V343" s="262"/>
      <c r="W343" s="262"/>
      <c r="X343" s="262"/>
      <c r="Y343" s="262"/>
      <c r="Z343" s="262"/>
    </row>
    <row r="344" spans="1:26" ht="12.75" hidden="1" outlineLevel="1">
      <c r="A344" s="247"/>
      <c r="B344" s="386"/>
      <c r="C344" s="386"/>
      <c r="D344" s="1422" t="s">
        <v>16242</v>
      </c>
      <c r="E344" s="1248">
        <v>2.46</v>
      </c>
      <c r="F344" s="1436">
        <v>0.22</v>
      </c>
      <c r="G344" s="1248">
        <v>0.54120000000000001</v>
      </c>
      <c r="H344" s="1248">
        <v>2</v>
      </c>
      <c r="I344" s="1281">
        <f>E344*H344</f>
        <v>4.92</v>
      </c>
      <c r="J344" s="1383"/>
      <c r="K344" s="262"/>
      <c r="L344" s="386"/>
      <c r="M344" s="262"/>
      <c r="N344" s="262"/>
      <c r="O344" s="262"/>
      <c r="P344" s="262"/>
      <c r="Q344" s="262"/>
      <c r="R344" s="262"/>
      <c r="S344" s="262"/>
      <c r="T344" s="262"/>
      <c r="U344" s="262"/>
      <c r="V344" s="262"/>
      <c r="W344" s="262"/>
      <c r="X344" s="262"/>
      <c r="Y344" s="262"/>
      <c r="Z344" s="262"/>
    </row>
    <row r="345" spans="1:26" ht="12.75" hidden="1" outlineLevel="1">
      <c r="A345" s="247"/>
      <c r="B345" s="451"/>
      <c r="C345" s="386"/>
      <c r="D345" s="253"/>
      <c r="E345" s="1244"/>
      <c r="F345" s="389"/>
      <c r="G345" s="1244"/>
      <c r="H345" s="1244"/>
      <c r="I345" s="1409"/>
      <c r="J345" s="1383"/>
      <c r="K345" s="262"/>
      <c r="L345" s="386"/>
      <c r="M345" s="262"/>
      <c r="N345" s="262"/>
      <c r="O345" s="262"/>
      <c r="P345" s="262"/>
      <c r="Q345" s="262"/>
      <c r="R345" s="262"/>
      <c r="S345" s="262"/>
      <c r="T345" s="262"/>
      <c r="U345" s="262"/>
      <c r="V345" s="262"/>
      <c r="W345" s="262"/>
      <c r="X345" s="262"/>
      <c r="Y345" s="262"/>
      <c r="Z345" s="262"/>
    </row>
    <row r="346" spans="1:26" ht="25.5" outlineLevel="1">
      <c r="A346" s="1423" t="s">
        <v>12889</v>
      </c>
      <c r="B346" s="295" t="s">
        <v>14780</v>
      </c>
      <c r="C346" s="295" t="s">
        <v>14472</v>
      </c>
      <c r="D346" s="658" t="str">
        <f>IFERROR(VLOOKUP($B346,'24.08_ND'!$A$4833:$D$12369,2,0),IFERROR(VLOOKUP($B346,'03-CP'!$C$5:$H$4646,2,0),""))</f>
        <v>SOLEIRA/ RODAPÉ LINEAR EM GRANITO CINZA ANDORINHA LEVIGADO, L= 20 CM - FORNECIMENTO E ASSENTAMENTO</v>
      </c>
      <c r="E346" s="1318" t="str">
        <f>IFERROR(VLOOKUP($B346,'24.08_ND'!$A:$D,3,0),IFERROR(VLOOKUP($B346,'03-CP'!$C$5:$H$4646,3,0),""))</f>
        <v>M</v>
      </c>
      <c r="F346" s="1424">
        <f>SUM(I348:I351)</f>
        <v>5.0999999999999996</v>
      </c>
      <c r="G346" s="1387"/>
      <c r="H346" s="1387"/>
      <c r="I346" s="1388"/>
      <c r="J346" s="1383"/>
      <c r="K346" s="262"/>
      <c r="L346" s="1389" t="s">
        <v>16229</v>
      </c>
      <c r="M346" s="262"/>
      <c r="N346" s="262"/>
      <c r="O346" s="262"/>
      <c r="P346" s="262"/>
      <c r="Q346" s="262"/>
      <c r="R346" s="262"/>
      <c r="S346" s="262"/>
      <c r="T346" s="262"/>
      <c r="U346" s="262"/>
      <c r="V346" s="262"/>
      <c r="W346" s="262"/>
      <c r="X346" s="262"/>
      <c r="Y346" s="262"/>
      <c r="Z346" s="262"/>
    </row>
    <row r="347" spans="1:26" ht="12.75" hidden="1" outlineLevel="1">
      <c r="A347" s="450"/>
      <c r="B347" s="512"/>
      <c r="C347" s="512"/>
      <c r="D347" s="1435" t="s">
        <v>16253</v>
      </c>
      <c r="E347" s="1240" t="s">
        <v>16252</v>
      </c>
      <c r="F347" s="1425" t="s">
        <v>16232</v>
      </c>
      <c r="G347" s="1391" t="s">
        <v>16233</v>
      </c>
      <c r="H347" s="1240" t="s">
        <v>16234</v>
      </c>
      <c r="I347" s="1426" t="s">
        <v>12615</v>
      </c>
      <c r="J347" s="1383"/>
      <c r="K347" s="262"/>
      <c r="L347" s="386"/>
      <c r="M347" s="262"/>
      <c r="N347" s="262"/>
      <c r="O347" s="262"/>
      <c r="P347" s="262"/>
      <c r="Q347" s="262"/>
      <c r="R347" s="262"/>
      <c r="S347" s="262"/>
      <c r="T347" s="262"/>
      <c r="U347" s="262"/>
      <c r="V347" s="262"/>
      <c r="W347" s="262"/>
      <c r="X347" s="262"/>
      <c r="Y347" s="262"/>
      <c r="Z347" s="262"/>
    </row>
    <row r="348" spans="1:26" ht="12.75" hidden="1" outlineLevel="1">
      <c r="A348" s="450"/>
      <c r="B348" s="386"/>
      <c r="C348" s="386"/>
      <c r="D348" s="1418" t="s">
        <v>16244</v>
      </c>
      <c r="E348" s="1244">
        <v>0.7</v>
      </c>
      <c r="F348" s="389">
        <v>0.2</v>
      </c>
      <c r="G348" s="1244">
        <v>0.14000000000000001</v>
      </c>
      <c r="H348" s="1244">
        <v>1</v>
      </c>
      <c r="I348" s="1409">
        <f>E348*H348</f>
        <v>0.7</v>
      </c>
      <c r="J348" s="1383"/>
      <c r="K348" s="262"/>
      <c r="L348" s="386"/>
      <c r="M348" s="262"/>
      <c r="N348" s="262"/>
      <c r="O348" s="262"/>
      <c r="P348" s="262"/>
      <c r="Q348" s="262"/>
      <c r="R348" s="262"/>
      <c r="S348" s="262"/>
      <c r="T348" s="262"/>
      <c r="U348" s="262"/>
      <c r="V348" s="262"/>
      <c r="W348" s="262"/>
      <c r="X348" s="262"/>
      <c r="Y348" s="262"/>
      <c r="Z348" s="262"/>
    </row>
    <row r="349" spans="1:26" ht="12.75" hidden="1" outlineLevel="1">
      <c r="A349" s="450"/>
      <c r="B349" s="386"/>
      <c r="C349" s="386"/>
      <c r="D349" s="1418" t="s">
        <v>16245</v>
      </c>
      <c r="E349" s="1244">
        <v>0.8</v>
      </c>
      <c r="F349" s="389">
        <v>0.2</v>
      </c>
      <c r="G349" s="1244">
        <v>0.16</v>
      </c>
      <c r="H349" s="1244">
        <v>1</v>
      </c>
      <c r="I349" s="1409">
        <f>E349*H349</f>
        <v>0.8</v>
      </c>
      <c r="J349" s="1383"/>
      <c r="K349" s="262"/>
      <c r="L349" s="386"/>
      <c r="M349" s="262"/>
      <c r="N349" s="262"/>
      <c r="O349" s="262"/>
      <c r="P349" s="262"/>
      <c r="Q349" s="262"/>
      <c r="R349" s="262"/>
      <c r="S349" s="262"/>
      <c r="T349" s="262"/>
      <c r="U349" s="262"/>
      <c r="V349" s="262"/>
      <c r="W349" s="262"/>
      <c r="X349" s="262"/>
      <c r="Y349" s="262"/>
      <c r="Z349" s="262"/>
    </row>
    <row r="350" spans="1:26" ht="12.75" hidden="1" outlineLevel="1">
      <c r="A350" s="247"/>
      <c r="B350" s="386"/>
      <c r="C350" s="386"/>
      <c r="D350" s="1418" t="s">
        <v>16246</v>
      </c>
      <c r="E350" s="1244">
        <v>0.9</v>
      </c>
      <c r="F350" s="389">
        <v>0.2</v>
      </c>
      <c r="G350" s="1244">
        <v>0.18</v>
      </c>
      <c r="H350" s="1244">
        <v>1</v>
      </c>
      <c r="I350" s="1409">
        <f>E350*H350</f>
        <v>0.9</v>
      </c>
      <c r="J350" s="1383"/>
      <c r="K350" s="262"/>
      <c r="L350" s="386"/>
      <c r="M350" s="262"/>
      <c r="N350" s="262"/>
      <c r="O350" s="262"/>
      <c r="P350" s="262"/>
      <c r="Q350" s="262"/>
      <c r="R350" s="262"/>
      <c r="S350" s="262"/>
      <c r="T350" s="262"/>
      <c r="U350" s="262"/>
      <c r="V350" s="262"/>
      <c r="W350" s="262"/>
      <c r="X350" s="262"/>
      <c r="Y350" s="262"/>
      <c r="Z350" s="262"/>
    </row>
    <row r="351" spans="1:26" ht="12.75" hidden="1" outlineLevel="1">
      <c r="A351" s="247"/>
      <c r="B351" s="386"/>
      <c r="C351" s="386"/>
      <c r="D351" s="1422" t="s">
        <v>16248</v>
      </c>
      <c r="E351" s="1248">
        <v>0.9</v>
      </c>
      <c r="F351" s="1436">
        <v>0.2</v>
      </c>
      <c r="G351" s="1248">
        <v>0.18</v>
      </c>
      <c r="H351" s="1248">
        <v>3</v>
      </c>
      <c r="I351" s="1281">
        <f>E351*H351</f>
        <v>2.7</v>
      </c>
      <c r="J351" s="1383"/>
      <c r="K351" s="262"/>
      <c r="L351" s="386"/>
      <c r="M351" s="262"/>
      <c r="N351" s="262"/>
      <c r="O351" s="262"/>
      <c r="P351" s="262"/>
      <c r="Q351" s="262"/>
      <c r="R351" s="262"/>
      <c r="S351" s="262"/>
      <c r="T351" s="262"/>
      <c r="U351" s="262"/>
      <c r="V351" s="262"/>
      <c r="W351" s="262"/>
      <c r="X351" s="262"/>
      <c r="Y351" s="262"/>
      <c r="Z351" s="262"/>
    </row>
    <row r="352" spans="1:26" ht="12.75" hidden="1" outlineLevel="1">
      <c r="A352" s="247"/>
      <c r="B352" s="386"/>
      <c r="C352" s="386"/>
      <c r="D352" s="253"/>
      <c r="E352" s="1244"/>
      <c r="F352" s="389"/>
      <c r="G352" s="1244"/>
      <c r="H352" s="1244"/>
      <c r="I352" s="1409"/>
      <c r="J352" s="1383"/>
      <c r="K352" s="262"/>
      <c r="L352" s="386"/>
      <c r="M352" s="262"/>
      <c r="N352" s="262"/>
      <c r="O352" s="262"/>
      <c r="P352" s="262"/>
      <c r="Q352" s="262"/>
      <c r="R352" s="262"/>
      <c r="S352" s="262"/>
      <c r="T352" s="262"/>
      <c r="U352" s="262"/>
      <c r="V352" s="262"/>
      <c r="W352" s="262"/>
      <c r="X352" s="262"/>
      <c r="Y352" s="262"/>
      <c r="Z352" s="262"/>
    </row>
    <row r="353" spans="1:26" ht="25.5" outlineLevel="1">
      <c r="A353" s="1423" t="s">
        <v>12890</v>
      </c>
      <c r="B353" s="295" t="s">
        <v>14784</v>
      </c>
      <c r="C353" s="295" t="s">
        <v>14472</v>
      </c>
      <c r="D353" s="658" t="str">
        <f>IFERROR(VLOOKUP($B353,'24.08_ND'!$A$4833:$D$12369,2,0),IFERROR(VLOOKUP($B353,'03-CP'!$C$5:$H$4646,2,0),""))</f>
        <v>SOLEIRA LINEAR EM GRANITO BRANCO ITAÚNAS, L= 20 CM - FORNECIMENTO E ASSENTAMENTO</v>
      </c>
      <c r="E353" s="1318" t="str">
        <f>IFERROR(VLOOKUP($B353,'24.08_ND'!$A:$D,3,0),IFERROR(VLOOKUP($B353,'03-CP'!$C$5:$H$4646,3,0),""))</f>
        <v>M</v>
      </c>
      <c r="F353" s="1424">
        <f>SUM(I355:I356)</f>
        <v>10.209999999999999</v>
      </c>
      <c r="G353" s="1387"/>
      <c r="H353" s="1387"/>
      <c r="I353" s="1388"/>
      <c r="J353" s="1383"/>
      <c r="K353" s="262"/>
      <c r="L353" s="1389" t="s">
        <v>16229</v>
      </c>
      <c r="M353" s="262"/>
      <c r="N353" s="262"/>
      <c r="O353" s="262"/>
      <c r="P353" s="262"/>
      <c r="Q353" s="262"/>
      <c r="R353" s="262"/>
      <c r="S353" s="262"/>
      <c r="T353" s="262"/>
      <c r="U353" s="262"/>
      <c r="V353" s="262"/>
      <c r="W353" s="262"/>
      <c r="X353" s="262"/>
      <c r="Y353" s="262"/>
      <c r="Z353" s="262"/>
    </row>
    <row r="354" spans="1:26" ht="12.75" hidden="1" outlineLevel="1">
      <c r="A354" s="1401"/>
      <c r="B354" s="512"/>
      <c r="C354" s="512"/>
      <c r="D354" s="1435" t="s">
        <v>16253</v>
      </c>
      <c r="E354" s="1240" t="s">
        <v>16252</v>
      </c>
      <c r="F354" s="1425" t="s">
        <v>16232</v>
      </c>
      <c r="G354" s="1391" t="s">
        <v>16233</v>
      </c>
      <c r="H354" s="1240" t="s">
        <v>16234</v>
      </c>
      <c r="I354" s="1426" t="s">
        <v>12615</v>
      </c>
      <c r="J354" s="1383"/>
      <c r="K354" s="262"/>
      <c r="L354" s="386"/>
      <c r="M354" s="262"/>
      <c r="N354" s="262"/>
      <c r="O354" s="262"/>
      <c r="P354" s="262"/>
      <c r="Q354" s="262"/>
      <c r="R354" s="262"/>
      <c r="S354" s="262"/>
      <c r="T354" s="262"/>
      <c r="U354" s="262"/>
      <c r="V354" s="262"/>
      <c r="W354" s="262"/>
      <c r="X354" s="262"/>
      <c r="Y354" s="262"/>
      <c r="Z354" s="262"/>
    </row>
    <row r="355" spans="1:26" ht="12.75" hidden="1" outlineLevel="1">
      <c r="A355" s="247"/>
      <c r="B355" s="386"/>
      <c r="C355" s="386"/>
      <c r="D355" s="1418" t="s">
        <v>16247</v>
      </c>
      <c r="E355" s="1244">
        <v>0.8</v>
      </c>
      <c r="F355" s="389">
        <v>0.2</v>
      </c>
      <c r="G355" s="1244">
        <v>0.16</v>
      </c>
      <c r="H355" s="1244">
        <v>2</v>
      </c>
      <c r="I355" s="1409">
        <f>E355*H355</f>
        <v>1.6</v>
      </c>
      <c r="J355" s="1383"/>
      <c r="K355" s="262"/>
      <c r="L355" s="386"/>
      <c r="M355" s="262"/>
      <c r="N355" s="262"/>
      <c r="O355" s="262"/>
      <c r="P355" s="262"/>
      <c r="Q355" s="262"/>
      <c r="R355" s="262"/>
      <c r="S355" s="262"/>
      <c r="T355" s="262"/>
      <c r="U355" s="262"/>
      <c r="V355" s="262"/>
      <c r="W355" s="262"/>
      <c r="X355" s="262"/>
      <c r="Y355" s="262"/>
      <c r="Z355" s="262"/>
    </row>
    <row r="356" spans="1:26" ht="12.75" hidden="1" outlineLevel="1">
      <c r="A356" s="247"/>
      <c r="B356" s="386"/>
      <c r="C356" s="386"/>
      <c r="D356" s="1422" t="s">
        <v>16296</v>
      </c>
      <c r="E356" s="1248">
        <v>8.61</v>
      </c>
      <c r="F356" s="1436">
        <v>0.19</v>
      </c>
      <c r="G356" s="1248">
        <v>1.6358999999999999</v>
      </c>
      <c r="H356" s="1248">
        <v>1</v>
      </c>
      <c r="I356" s="1281">
        <f>E356*H356</f>
        <v>8.61</v>
      </c>
      <c r="J356" s="1383"/>
      <c r="K356" s="262"/>
      <c r="L356" s="386"/>
      <c r="M356" s="262"/>
      <c r="N356" s="262"/>
      <c r="O356" s="262"/>
      <c r="P356" s="262"/>
      <c r="Q356" s="262"/>
      <c r="R356" s="262"/>
      <c r="S356" s="262"/>
      <c r="T356" s="262"/>
      <c r="U356" s="262"/>
      <c r="V356" s="262"/>
      <c r="W356" s="262"/>
      <c r="X356" s="262"/>
      <c r="Y356" s="262"/>
      <c r="Z356" s="262"/>
    </row>
    <row r="357" spans="1:26" ht="12.75" hidden="1" outlineLevel="1">
      <c r="A357" s="247"/>
      <c r="B357" s="386"/>
      <c r="C357" s="386"/>
      <c r="D357" s="253"/>
      <c r="E357" s="1244"/>
      <c r="F357" s="389"/>
      <c r="G357" s="1244"/>
      <c r="H357" s="1244"/>
      <c r="I357" s="1409"/>
      <c r="J357" s="1383"/>
      <c r="K357" s="262"/>
      <c r="L357" s="386"/>
      <c r="M357" s="262"/>
      <c r="N357" s="262"/>
      <c r="O357" s="262"/>
      <c r="P357" s="262"/>
      <c r="Q357" s="262"/>
      <c r="R357" s="262"/>
      <c r="S357" s="262"/>
      <c r="T357" s="262"/>
      <c r="U357" s="262"/>
      <c r="V357" s="262"/>
      <c r="W357" s="262"/>
      <c r="X357" s="262"/>
      <c r="Y357" s="262"/>
      <c r="Z357" s="262"/>
    </row>
    <row r="358" spans="1:26" ht="25.5" outlineLevel="1">
      <c r="A358" s="1423" t="s">
        <v>12891</v>
      </c>
      <c r="B358" s="295" t="s">
        <v>14786</v>
      </c>
      <c r="C358" s="295" t="s">
        <v>14472</v>
      </c>
      <c r="D358" s="658" t="str">
        <f>IFERROR(VLOOKUP($B358,'24.08_ND'!$A$4833:$D$12369,2,0),IFERROR(VLOOKUP($B358,'03-CP'!$C$5:$H$4646,2,0),""))</f>
        <v>SOLEIRA LINEAR EM GRANITO BRANCO ITAÚNAS, L= 05 CM - FORNECIMENTO E ASSENTAMENTO</v>
      </c>
      <c r="E358" s="1318" t="str">
        <f>IFERROR(VLOOKUP($B358,'24.08_ND'!$A:$D,3,0),IFERROR(VLOOKUP($B358,'03-CP'!$C$5:$H$4646,3,0),""))</f>
        <v>M</v>
      </c>
      <c r="F358" s="1424">
        <f>SUM(I360:I361)</f>
        <v>33.22</v>
      </c>
      <c r="G358" s="1387"/>
      <c r="H358" s="1387"/>
      <c r="I358" s="1388"/>
      <c r="J358" s="1383"/>
      <c r="K358" s="262"/>
      <c r="L358" s="1389" t="s">
        <v>16229</v>
      </c>
      <c r="M358" s="262"/>
      <c r="N358" s="262"/>
      <c r="O358" s="262"/>
      <c r="P358" s="262"/>
      <c r="Q358" s="262"/>
      <c r="R358" s="262"/>
      <c r="S358" s="262"/>
      <c r="T358" s="262"/>
      <c r="U358" s="262"/>
      <c r="V358" s="262"/>
      <c r="W358" s="262"/>
      <c r="X358" s="262"/>
      <c r="Y358" s="262"/>
      <c r="Z358" s="262"/>
    </row>
    <row r="359" spans="1:26" ht="12.75" hidden="1" outlineLevel="1">
      <c r="A359" s="1401"/>
      <c r="B359" s="512"/>
      <c r="C359" s="512"/>
      <c r="D359" s="1435" t="s">
        <v>16253</v>
      </c>
      <c r="E359" s="1240" t="s">
        <v>16252</v>
      </c>
      <c r="F359" s="1425" t="s">
        <v>16232</v>
      </c>
      <c r="G359" s="1391" t="s">
        <v>16233</v>
      </c>
      <c r="H359" s="1240" t="s">
        <v>16234</v>
      </c>
      <c r="I359" s="1426" t="s">
        <v>12615</v>
      </c>
      <c r="J359" s="1383"/>
      <c r="K359" s="262"/>
      <c r="L359" s="386"/>
      <c r="M359" s="262"/>
      <c r="N359" s="262"/>
      <c r="O359" s="262"/>
      <c r="P359" s="262"/>
      <c r="Q359" s="262"/>
      <c r="R359" s="262"/>
      <c r="S359" s="262"/>
      <c r="T359" s="262"/>
      <c r="U359" s="262"/>
      <c r="V359" s="262"/>
      <c r="W359" s="262"/>
      <c r="X359" s="262"/>
      <c r="Y359" s="262"/>
      <c r="Z359" s="262"/>
    </row>
    <row r="360" spans="1:26" ht="12.75" hidden="1" outlineLevel="1">
      <c r="A360" s="247"/>
      <c r="B360" s="386"/>
      <c r="C360" s="386"/>
      <c r="D360" s="1418" t="s">
        <v>16297</v>
      </c>
      <c r="E360" s="1244">
        <v>32.17</v>
      </c>
      <c r="F360" s="389">
        <v>0.04</v>
      </c>
      <c r="G360" s="1244">
        <v>1.2867999999999999</v>
      </c>
      <c r="H360" s="1244">
        <v>1</v>
      </c>
      <c r="I360" s="1409">
        <f>E360*H360</f>
        <v>32.17</v>
      </c>
      <c r="J360" s="1383"/>
      <c r="K360" s="262"/>
      <c r="L360" s="386"/>
      <c r="M360" s="262"/>
      <c r="N360" s="262"/>
      <c r="O360" s="262"/>
      <c r="P360" s="262"/>
      <c r="Q360" s="262"/>
      <c r="R360" s="262"/>
      <c r="S360" s="262"/>
      <c r="T360" s="262"/>
      <c r="U360" s="262"/>
      <c r="V360" s="262"/>
      <c r="W360" s="262"/>
      <c r="X360" s="262"/>
      <c r="Y360" s="262"/>
      <c r="Z360" s="262"/>
    </row>
    <row r="361" spans="1:26" ht="12.75" hidden="1" outlineLevel="1">
      <c r="A361" s="247"/>
      <c r="B361" s="386"/>
      <c r="C361" s="386"/>
      <c r="D361" s="1422" t="s">
        <v>16298</v>
      </c>
      <c r="E361" s="1248">
        <v>1.05</v>
      </c>
      <c r="F361" s="1436">
        <v>0.04</v>
      </c>
      <c r="G361" s="1248">
        <v>4.2000000000000003E-2</v>
      </c>
      <c r="H361" s="1248">
        <v>1</v>
      </c>
      <c r="I361" s="1281">
        <f>E361*H361</f>
        <v>1.05</v>
      </c>
      <c r="J361" s="1383"/>
      <c r="K361" s="262"/>
      <c r="L361" s="386"/>
      <c r="M361" s="262"/>
      <c r="N361" s="262"/>
      <c r="O361" s="262"/>
      <c r="P361" s="262"/>
      <c r="Q361" s="262"/>
      <c r="R361" s="262"/>
      <c r="S361" s="262"/>
      <c r="T361" s="262"/>
      <c r="U361" s="262"/>
      <c r="V361" s="262"/>
      <c r="W361" s="262"/>
      <c r="X361" s="262"/>
      <c r="Y361" s="262"/>
      <c r="Z361" s="262"/>
    </row>
    <row r="362" spans="1:26" ht="12.75" hidden="1" outlineLevel="1">
      <c r="A362" s="247"/>
      <c r="B362" s="386"/>
      <c r="C362" s="386"/>
      <c r="D362" s="253"/>
      <c r="E362" s="1244"/>
      <c r="F362" s="389"/>
      <c r="G362" s="1244"/>
      <c r="H362" s="1244"/>
      <c r="I362" s="1409"/>
      <c r="J362" s="1383"/>
      <c r="K362" s="262"/>
      <c r="L362" s="386"/>
      <c r="M362" s="262"/>
      <c r="N362" s="262"/>
      <c r="O362" s="262"/>
      <c r="P362" s="262"/>
      <c r="Q362" s="262"/>
      <c r="R362" s="262"/>
      <c r="S362" s="262"/>
      <c r="T362" s="262"/>
      <c r="U362" s="262"/>
      <c r="V362" s="262"/>
      <c r="W362" s="262"/>
      <c r="X362" s="262"/>
      <c r="Y362" s="262"/>
      <c r="Z362" s="262"/>
    </row>
    <row r="363" spans="1:26" ht="25.5" outlineLevel="1">
      <c r="A363" s="1423" t="s">
        <v>12892</v>
      </c>
      <c r="B363" s="295" t="s">
        <v>14788</v>
      </c>
      <c r="C363" s="295" t="s">
        <v>14472</v>
      </c>
      <c r="D363" s="658" t="str">
        <f>IFERROR(VLOOKUP($B363,'24.08_ND'!$A$4833:$D$12369,2,0),IFERROR(VLOOKUP($B363,'03-CP'!$C$5:$H$4646,2,0),""))</f>
        <v>SOLEIRA LINEAR EM GRANITO BRANCO ITAÚNA, ATÉ L= 25 CM, ASSENTADO COM ARGAMASSA COLANTE</v>
      </c>
      <c r="E363" s="1318" t="str">
        <f>IFERROR(VLOOKUP($B363,'24.08_ND'!$A:$D,3,0),IFERROR(VLOOKUP($B363,'03-CP'!$C$5:$H$4646,3,0),""))</f>
        <v>M</v>
      </c>
      <c r="F363" s="1424">
        <f>SUM(I365)</f>
        <v>30.19</v>
      </c>
      <c r="G363" s="1387"/>
      <c r="H363" s="1387"/>
      <c r="I363" s="1388"/>
      <c r="J363" s="1383"/>
      <c r="K363" s="262"/>
      <c r="L363" s="1389" t="s">
        <v>16229</v>
      </c>
      <c r="M363" s="262"/>
      <c r="N363" s="262"/>
      <c r="O363" s="262"/>
      <c r="P363" s="262"/>
      <c r="Q363" s="262"/>
      <c r="R363" s="262"/>
      <c r="S363" s="262"/>
      <c r="T363" s="262"/>
      <c r="U363" s="262"/>
      <c r="V363" s="262"/>
      <c r="W363" s="262"/>
      <c r="X363" s="262"/>
      <c r="Y363" s="262"/>
      <c r="Z363" s="262"/>
    </row>
    <row r="364" spans="1:26" ht="12.75" hidden="1" outlineLevel="1">
      <c r="A364" s="450"/>
      <c r="B364" s="512"/>
      <c r="C364" s="512"/>
      <c r="D364" s="1435" t="s">
        <v>16253</v>
      </c>
      <c r="E364" s="1240" t="s">
        <v>16252</v>
      </c>
      <c r="F364" s="1425" t="s">
        <v>16232</v>
      </c>
      <c r="G364" s="1391" t="s">
        <v>16233</v>
      </c>
      <c r="H364" s="1240" t="s">
        <v>16234</v>
      </c>
      <c r="I364" s="1426" t="s">
        <v>12615</v>
      </c>
      <c r="J364" s="1383"/>
      <c r="K364" s="262"/>
      <c r="L364" s="386"/>
      <c r="M364" s="262"/>
      <c r="N364" s="262"/>
      <c r="O364" s="262"/>
      <c r="P364" s="262"/>
      <c r="Q364" s="262"/>
      <c r="R364" s="262"/>
      <c r="S364" s="262"/>
      <c r="T364" s="262"/>
      <c r="U364" s="262"/>
      <c r="V364" s="262"/>
      <c r="W364" s="262"/>
      <c r="X364" s="262"/>
      <c r="Y364" s="262"/>
      <c r="Z364" s="262"/>
    </row>
    <row r="365" spans="1:26" ht="12.75" hidden="1" outlineLevel="1">
      <c r="A365" s="450"/>
      <c r="B365" s="386"/>
      <c r="C365" s="386"/>
      <c r="D365" s="1422" t="s">
        <v>16299</v>
      </c>
      <c r="E365" s="1248">
        <v>30.19</v>
      </c>
      <c r="F365" s="1436">
        <v>0.24</v>
      </c>
      <c r="G365" s="1248">
        <v>7.2455999999999996</v>
      </c>
      <c r="H365" s="1248">
        <v>1</v>
      </c>
      <c r="I365" s="1281">
        <f>E365*H365</f>
        <v>30.19</v>
      </c>
      <c r="J365" s="1383"/>
      <c r="K365" s="262"/>
      <c r="L365" s="386"/>
      <c r="M365" s="262"/>
      <c r="N365" s="262"/>
      <c r="O365" s="262"/>
      <c r="P365" s="262"/>
      <c r="Q365" s="262"/>
      <c r="R365" s="262"/>
      <c r="S365" s="262"/>
      <c r="T365" s="262"/>
      <c r="U365" s="262"/>
      <c r="V365" s="262"/>
      <c r="W365" s="262"/>
      <c r="X365" s="262"/>
      <c r="Y365" s="262"/>
      <c r="Z365" s="262"/>
    </row>
    <row r="366" spans="1:26" ht="12.75" hidden="1" outlineLevel="1">
      <c r="A366" s="450"/>
      <c r="B366" s="386"/>
      <c r="C366" s="386"/>
      <c r="D366" s="253"/>
      <c r="E366" s="1244"/>
      <c r="F366" s="389"/>
      <c r="G366" s="1244"/>
      <c r="H366" s="1244"/>
      <c r="I366" s="1409"/>
      <c r="J366" s="1383"/>
      <c r="K366" s="262"/>
      <c r="L366" s="386"/>
      <c r="M366" s="262"/>
      <c r="N366" s="262"/>
      <c r="O366" s="262"/>
      <c r="P366" s="262"/>
      <c r="Q366" s="262"/>
      <c r="R366" s="262"/>
      <c r="S366" s="262"/>
      <c r="T366" s="262"/>
      <c r="U366" s="262"/>
      <c r="V366" s="262"/>
      <c r="W366" s="262"/>
      <c r="X366" s="262"/>
      <c r="Y366" s="262"/>
      <c r="Z366" s="262"/>
    </row>
    <row r="367" spans="1:26" ht="38.25" outlineLevel="1">
      <c r="A367" s="1423" t="s">
        <v>12893</v>
      </c>
      <c r="B367" s="295" t="s">
        <v>14790</v>
      </c>
      <c r="C367" s="295" t="s">
        <v>14472</v>
      </c>
      <c r="D367" s="658" t="str">
        <f>IFERROR(VLOOKUP($B367,'24.08_ND'!$A$4833:$D$12369,2,0),IFERROR(VLOOKUP($B367,'03-CP'!$C$5:$H$4646,2,0),""))</f>
        <v>DIVISORIA/ PRATELEIRA EM GRANITO BRANCO ITAÚNAS, POLIDO, ESP = 3CM, ASSENTADO COM ARGAMASSA COLANTE AC III-E - FORNECIMENTO E INSTALAÇÃO</v>
      </c>
      <c r="E367" s="1318" t="str">
        <f>IFERROR(VLOOKUP($B367,'24.08_ND'!$A:$D,3,0),IFERROR(VLOOKUP($B367,'03-CP'!$C$5:$H$4646,3,0),""))</f>
        <v>M2</v>
      </c>
      <c r="F367" s="1424">
        <f>SUM(I369:I371)</f>
        <v>17.25</v>
      </c>
      <c r="G367" s="1387"/>
      <c r="H367" s="1387"/>
      <c r="I367" s="1388"/>
      <c r="J367" s="1383"/>
      <c r="K367" s="262"/>
      <c r="L367" s="1389" t="s">
        <v>16229</v>
      </c>
      <c r="M367" s="262"/>
      <c r="N367" s="262"/>
      <c r="O367" s="262"/>
      <c r="P367" s="262"/>
      <c r="Q367" s="262"/>
      <c r="R367" s="262"/>
      <c r="S367" s="262"/>
      <c r="T367" s="262"/>
      <c r="U367" s="262"/>
      <c r="V367" s="262"/>
      <c r="W367" s="262"/>
      <c r="X367" s="262"/>
      <c r="Y367" s="262"/>
      <c r="Z367" s="262"/>
    </row>
    <row r="368" spans="1:26" ht="12.75" hidden="1" outlineLevel="1">
      <c r="A368" s="1401"/>
      <c r="B368" s="512"/>
      <c r="C368" s="512"/>
      <c r="D368" s="1435" t="s">
        <v>16253</v>
      </c>
      <c r="E368" s="1240" t="s">
        <v>16252</v>
      </c>
      <c r="F368" s="1425" t="s">
        <v>16232</v>
      </c>
      <c r="G368" s="1391" t="s">
        <v>16233</v>
      </c>
      <c r="H368" s="1240" t="s">
        <v>16234</v>
      </c>
      <c r="I368" s="1426" t="s">
        <v>12615</v>
      </c>
      <c r="J368" s="1383"/>
      <c r="K368" s="262"/>
      <c r="L368" s="386"/>
      <c r="M368" s="262"/>
      <c r="N368" s="262"/>
      <c r="O368" s="262"/>
      <c r="P368" s="262"/>
      <c r="Q368" s="262"/>
      <c r="R368" s="262"/>
      <c r="S368" s="262"/>
      <c r="T368" s="262"/>
      <c r="U368" s="262"/>
      <c r="V368" s="262"/>
      <c r="W368" s="262"/>
      <c r="X368" s="262"/>
      <c r="Y368" s="262"/>
      <c r="Z368" s="262"/>
    </row>
    <row r="369" spans="1:26" ht="12.75" hidden="1" outlineLevel="1">
      <c r="A369" s="247"/>
      <c r="B369" s="386"/>
      <c r="C369" s="386"/>
      <c r="D369" s="1418" t="s">
        <v>16261</v>
      </c>
      <c r="E369" s="1244"/>
      <c r="F369" s="389"/>
      <c r="G369" s="1244">
        <f>0.59</f>
        <v>0.59</v>
      </c>
      <c r="H369" s="1244">
        <v>2</v>
      </c>
      <c r="I369" s="1409">
        <f>G369*H369</f>
        <v>1.18</v>
      </c>
      <c r="J369" s="1383"/>
      <c r="K369" s="262"/>
      <c r="L369" s="386"/>
      <c r="M369" s="262"/>
      <c r="N369" s="262"/>
      <c r="O369" s="262"/>
      <c r="P369" s="262"/>
      <c r="Q369" s="262"/>
      <c r="R369" s="262"/>
      <c r="S369" s="262"/>
      <c r="T369" s="262"/>
      <c r="U369" s="262"/>
      <c r="V369" s="262"/>
      <c r="W369" s="262"/>
      <c r="X369" s="262"/>
      <c r="Y369" s="262"/>
      <c r="Z369" s="262"/>
    </row>
    <row r="370" spans="1:26" ht="12.75" hidden="1" outlineLevel="1">
      <c r="A370" s="247"/>
      <c r="B370" s="386"/>
      <c r="C370" s="386"/>
      <c r="D370" s="1418" t="s">
        <v>16261</v>
      </c>
      <c r="E370" s="1244"/>
      <c r="F370" s="389"/>
      <c r="G370" s="1244">
        <v>0.37</v>
      </c>
      <c r="H370" s="1244">
        <v>1</v>
      </c>
      <c r="I370" s="1409">
        <f>G370*H370</f>
        <v>0.37</v>
      </c>
      <c r="J370" s="1383"/>
      <c r="K370" s="262"/>
      <c r="L370" s="386"/>
      <c r="M370" s="262"/>
      <c r="N370" s="262"/>
      <c r="O370" s="262"/>
      <c r="P370" s="262"/>
      <c r="Q370" s="262"/>
      <c r="R370" s="262"/>
      <c r="S370" s="262"/>
      <c r="T370" s="262"/>
      <c r="U370" s="262"/>
      <c r="V370" s="262"/>
      <c r="W370" s="262"/>
      <c r="X370" s="262"/>
      <c r="Y370" s="262"/>
      <c r="Z370" s="262"/>
    </row>
    <row r="371" spans="1:26" ht="12.75" hidden="1" outlineLevel="1">
      <c r="A371" s="247"/>
      <c r="B371" s="386"/>
      <c r="C371" s="386"/>
      <c r="D371" s="1422" t="s">
        <v>16263</v>
      </c>
      <c r="E371" s="1248"/>
      <c r="F371" s="1436"/>
      <c r="G371" s="1248">
        <f>(2.64*4)+0.83+1.18+1.76+1.37</f>
        <v>15.7</v>
      </c>
      <c r="H371" s="1248">
        <v>1</v>
      </c>
      <c r="I371" s="1281">
        <f>G371*H371</f>
        <v>15.7</v>
      </c>
      <c r="J371" s="1383"/>
      <c r="K371" s="262"/>
      <c r="L371" s="386"/>
      <c r="M371" s="262"/>
      <c r="N371" s="262"/>
      <c r="O371" s="262"/>
      <c r="P371" s="262"/>
      <c r="Q371" s="262"/>
      <c r="R371" s="262"/>
      <c r="S371" s="262"/>
      <c r="T371" s="262"/>
      <c r="U371" s="262"/>
      <c r="V371" s="262"/>
      <c r="W371" s="262"/>
      <c r="X371" s="262"/>
      <c r="Y371" s="262"/>
      <c r="Z371" s="262"/>
    </row>
    <row r="372" spans="1:26" ht="12.75" hidden="1" outlineLevel="1">
      <c r="A372" s="247"/>
      <c r="B372" s="386"/>
      <c r="C372" s="386"/>
      <c r="D372" s="253"/>
      <c r="E372" s="1244"/>
      <c r="F372" s="389"/>
      <c r="G372" s="1244"/>
      <c r="H372" s="1244"/>
      <c r="I372" s="1409"/>
      <c r="J372" s="1383"/>
      <c r="K372" s="262"/>
      <c r="L372" s="386"/>
      <c r="M372" s="262"/>
      <c r="N372" s="262"/>
      <c r="O372" s="262"/>
      <c r="P372" s="262"/>
      <c r="Q372" s="262"/>
      <c r="R372" s="262"/>
      <c r="S372" s="262"/>
      <c r="T372" s="262"/>
      <c r="U372" s="262"/>
      <c r="V372" s="262"/>
      <c r="W372" s="262"/>
      <c r="X372" s="262"/>
      <c r="Y372" s="262"/>
      <c r="Z372" s="262"/>
    </row>
    <row r="373" spans="1:26" ht="25.5" outlineLevel="1">
      <c r="A373" s="1423" t="s">
        <v>12894</v>
      </c>
      <c r="B373" s="295" t="s">
        <v>14911</v>
      </c>
      <c r="C373" s="295" t="s">
        <v>14472</v>
      </c>
      <c r="D373" s="658" t="str">
        <f>IFERROR(VLOOKUP($B373,'24.08_ND'!$A$4833:$D$12369,2,0),IFERROR(VLOOKUP($B373,'03-CP'!$C$5:$H$4646,2,0),""))</f>
        <v xml:space="preserve">BRISE ANGULO FIXO, EM ALUMÍNIO OU GALVALUME, 45º, ACABAMENTO LISO, NA COR BRANCO - FORNECIMENTO E INSTALAÇÃO </v>
      </c>
      <c r="E373" s="1318" t="str">
        <f>IFERROR(VLOOKUP($B373,'24.08_ND'!$A:$D,3,0),IFERROR(VLOOKUP($B373,'03-CP'!$C$5:$H$4646,3,0),""))</f>
        <v>M2</v>
      </c>
      <c r="F373" s="1424">
        <v>47.91</v>
      </c>
      <c r="G373" s="1387"/>
      <c r="H373" s="1387"/>
      <c r="I373" s="1388"/>
      <c r="J373" s="1383"/>
      <c r="K373" s="262"/>
      <c r="L373" s="1389" t="s">
        <v>16229</v>
      </c>
      <c r="M373" s="262"/>
      <c r="N373" s="262"/>
      <c r="O373" s="262"/>
      <c r="P373" s="262"/>
      <c r="Q373" s="262"/>
      <c r="R373" s="262"/>
      <c r="S373" s="262"/>
      <c r="T373" s="262"/>
      <c r="U373" s="262"/>
      <c r="V373" s="262"/>
      <c r="W373" s="262"/>
      <c r="X373" s="262"/>
      <c r="Y373" s="262"/>
      <c r="Z373" s="262"/>
    </row>
    <row r="374" spans="1:26" ht="51" outlineLevel="1">
      <c r="A374" s="1423" t="s">
        <v>12895</v>
      </c>
      <c r="B374" s="295" t="s">
        <v>14968</v>
      </c>
      <c r="C374" s="295" t="s">
        <v>14472</v>
      </c>
      <c r="D374" s="658" t="str">
        <f>IFERROR(VLOOKUP($B374,'24.08_ND'!$A$4833:$D$12369,2,0),IFERROR(VLOOKUP($B374,'03-CP'!$C$5:$H$4646,2,0),""))</f>
        <v>CORRIMÃO AÉREO DUPLO (H=0,92M E 0,70M), METÁLICO, FIXADO COM CHUMBADOR MECÂNICO, ACABAMENTO EM ZARCÃO E PINTURA COM TINTA ALQUÍDICA DE ACABAMENTO (ESMALTE SINTÉTICO FOSCO) PULVERIZADA SOBRE SUPERFÍCIES METÁLICAS, 02 DEMÃOS.</v>
      </c>
      <c r="E374" s="1318" t="str">
        <f>IFERROR(VLOOKUP($B374,'24.08_ND'!$A:$D,3,0),IFERROR(VLOOKUP($B374,'03-CP'!$C$5:$H$4646,3,0),""))</f>
        <v>M</v>
      </c>
      <c r="F374" s="1424">
        <v>5.58</v>
      </c>
      <c r="G374" s="1387"/>
      <c r="H374" s="1387"/>
      <c r="I374" s="1388"/>
      <c r="J374" s="1383"/>
      <c r="K374" s="262"/>
      <c r="L374" s="1389" t="s">
        <v>16229</v>
      </c>
      <c r="M374" s="262"/>
      <c r="N374" s="262"/>
      <c r="O374" s="262"/>
      <c r="P374" s="262"/>
      <c r="Q374" s="262"/>
      <c r="R374" s="262"/>
      <c r="S374" s="262"/>
      <c r="T374" s="262"/>
      <c r="U374" s="262"/>
      <c r="V374" s="262"/>
      <c r="W374" s="262"/>
      <c r="X374" s="262"/>
      <c r="Y374" s="262"/>
      <c r="Z374" s="262"/>
    </row>
    <row r="375" spans="1:26" ht="51" outlineLevel="1">
      <c r="A375" s="1423" t="s">
        <v>12896</v>
      </c>
      <c r="B375" s="295" t="s">
        <v>14913</v>
      </c>
      <c r="C375" s="295" t="s">
        <v>14472</v>
      </c>
      <c r="D375" s="658" t="str">
        <f>IFERROR(VLOOKUP($B375,'24.08_ND'!$A$4833:$D$12369,2,0),IFERROR(VLOOKUP($B375,'03-CP'!$C$5:$H$4646,2,0),""))</f>
        <v>GUARDA CORPO EM ALUMÍNIO, MONTANTE PERFIL QUADRADO SEÇÃO 5X5 CM, CORRIMÃO EM PERFIL "U" 5X3 CM E VEDAÇÃO EM TELA ALAMBRADO REVESTIDA PVC BRANCO E=2,8MM  - FORNECIMENTO E INSTALAÇÃO H-1,10 M</v>
      </c>
      <c r="E375" s="1318" t="str">
        <f>IFERROR(VLOOKUP($B375,'24.08_ND'!$A:$D,3,0),IFERROR(VLOOKUP($B375,'03-CP'!$C$5:$H$4646,3,0),""))</f>
        <v>M</v>
      </c>
      <c r="F375" s="1424">
        <v>26</v>
      </c>
      <c r="G375" s="1387"/>
      <c r="H375" s="1387"/>
      <c r="I375" s="1388"/>
      <c r="J375" s="1383"/>
      <c r="K375" s="262"/>
      <c r="L375" s="1389" t="s">
        <v>16229</v>
      </c>
      <c r="M375" s="262"/>
      <c r="N375" s="262"/>
      <c r="O375" s="262"/>
      <c r="P375" s="262"/>
      <c r="Q375" s="262"/>
      <c r="R375" s="262"/>
      <c r="S375" s="262"/>
      <c r="T375" s="262"/>
      <c r="U375" s="262"/>
      <c r="V375" s="262"/>
      <c r="W375" s="262"/>
      <c r="X375" s="262"/>
      <c r="Y375" s="262"/>
      <c r="Z375" s="262"/>
    </row>
    <row r="376" spans="1:26" ht="12.75" hidden="1" outlineLevel="1">
      <c r="A376" s="247"/>
      <c r="B376" s="386"/>
      <c r="C376" s="386"/>
      <c r="D376" s="253"/>
      <c r="E376" s="1244"/>
      <c r="F376" s="389"/>
      <c r="G376" s="1244"/>
      <c r="H376" s="1244"/>
      <c r="I376" s="1409"/>
      <c r="J376" s="1383"/>
      <c r="K376" s="262"/>
      <c r="L376" s="386"/>
      <c r="M376" s="262"/>
      <c r="N376" s="262"/>
      <c r="O376" s="262"/>
      <c r="P376" s="262"/>
      <c r="Q376" s="262"/>
      <c r="R376" s="262"/>
      <c r="S376" s="262"/>
      <c r="T376" s="262"/>
      <c r="U376" s="262"/>
      <c r="V376" s="262"/>
      <c r="W376" s="262"/>
      <c r="X376" s="262"/>
      <c r="Y376" s="262"/>
      <c r="Z376" s="262"/>
    </row>
    <row r="377" spans="1:26" ht="12.75">
      <c r="A377" s="246" t="s">
        <v>12897</v>
      </c>
      <c r="B377" s="1378"/>
      <c r="C377" s="1378"/>
      <c r="D377" s="1379" t="s">
        <v>16300</v>
      </c>
      <c r="E377" s="1380"/>
      <c r="F377" s="1381"/>
      <c r="G377" s="1380"/>
      <c r="H377" s="1381"/>
      <c r="I377" s="1382"/>
      <c r="J377" s="1383" t="s">
        <v>16228</v>
      </c>
      <c r="K377" s="1297" t="e">
        <f>VLOOKUP(#REF!,'Medição '!$A:$G,10,0)</f>
        <v>#REF!</v>
      </c>
      <c r="L377" s="386"/>
      <c r="M377" s="262"/>
      <c r="N377" s="262"/>
      <c r="O377" s="262"/>
      <c r="P377" s="262"/>
      <c r="Q377" s="262"/>
      <c r="R377" s="262"/>
      <c r="S377" s="262"/>
      <c r="T377" s="262"/>
      <c r="U377" s="262"/>
      <c r="V377" s="262"/>
      <c r="W377" s="262"/>
      <c r="X377" s="262"/>
      <c r="Y377" s="262"/>
      <c r="Z377" s="262"/>
    </row>
    <row r="378" spans="1:26" ht="51" outlineLevel="1">
      <c r="A378" s="247" t="s">
        <v>12898</v>
      </c>
      <c r="B378" s="386">
        <v>95472</v>
      </c>
      <c r="C378" s="386" t="s">
        <v>14476</v>
      </c>
      <c r="D378" s="1314" t="str">
        <f>IFERROR(VLOOKUP($B378,'24.08_ND'!$A$4833:$D$12369,2,0),IFERROR(VLOOKUP($B378,'03-CP'!$C$5:$H$4646,2,0),""))</f>
        <v>VASO SANITARIO SIFONADO CONVENCIONAL PARA PCD SEM FURO FRONTAL COM LOUÇA BRANCA SEM ASSENTO, INCLUSO CONJUNTO DE LIGAÇÃO PARA BACIA SANITÁRIA AJUSTÁVEL - FORNECIMENTO E INSTALAÇÃO. AF_01/2020</v>
      </c>
      <c r="E378" s="1315" t="str">
        <f>IFERROR(VLOOKUP($B378,'24.08_ND'!$A:$D,3,0),IFERROR(VLOOKUP($B378,'03-CP'!$C$5:$H$4646,3,0),""))</f>
        <v>UN</v>
      </c>
      <c r="F378" s="389">
        <v>2</v>
      </c>
      <c r="G378" s="1244"/>
      <c r="H378" s="1244"/>
      <c r="I378" s="1409"/>
      <c r="J378" s="1383" t="s">
        <v>16228</v>
      </c>
      <c r="K378" s="262"/>
      <c r="L378" s="1389" t="s">
        <v>16229</v>
      </c>
      <c r="M378" s="262"/>
      <c r="N378" s="262"/>
      <c r="O378" s="262"/>
      <c r="P378" s="262"/>
      <c r="Q378" s="262"/>
      <c r="R378" s="262"/>
      <c r="S378" s="262"/>
      <c r="T378" s="262"/>
      <c r="U378" s="262"/>
      <c r="V378" s="262"/>
      <c r="W378" s="262"/>
      <c r="X378" s="262"/>
      <c r="Y378" s="262"/>
      <c r="Z378" s="262"/>
    </row>
    <row r="379" spans="1:26" ht="25.5" outlineLevel="1">
      <c r="A379" s="247" t="s">
        <v>12899</v>
      </c>
      <c r="B379" s="386">
        <v>100849</v>
      </c>
      <c r="C379" s="386" t="s">
        <v>14476</v>
      </c>
      <c r="D379" s="1314" t="str">
        <f>IFERROR(VLOOKUP($B379,'24.08_ND'!$A$4833:$D$12369,2,0),IFERROR(VLOOKUP($B379,'03-CP'!$C$5:$H$4646,2,0),""))</f>
        <v>ASSENTO SANITÁRIO CONVENCIONAL - FORNECIMENTO E INSTALACAO. AF_01/2020</v>
      </c>
      <c r="E379" s="1315" t="str">
        <f>IFERROR(VLOOKUP($B379,'24.08_ND'!$A:$D,3,0),IFERROR(VLOOKUP($B379,'03-CP'!$C$5:$H$4646,3,0),""))</f>
        <v>UN</v>
      </c>
      <c r="F379" s="389">
        <v>6</v>
      </c>
      <c r="G379" s="1244"/>
      <c r="H379" s="1244"/>
      <c r="I379" s="1409"/>
      <c r="J379" s="1383" t="s">
        <v>16228</v>
      </c>
      <c r="K379" s="262"/>
      <c r="L379" s="386"/>
      <c r="M379" s="262"/>
      <c r="N379" s="262"/>
      <c r="O379" s="262"/>
      <c r="P379" s="262"/>
      <c r="Q379" s="262"/>
      <c r="R379" s="262"/>
      <c r="S379" s="262"/>
      <c r="T379" s="262"/>
      <c r="U379" s="262"/>
      <c r="V379" s="262"/>
      <c r="W379" s="262"/>
      <c r="X379" s="262"/>
      <c r="Y379" s="262"/>
      <c r="Z379" s="262"/>
    </row>
    <row r="380" spans="1:26" ht="25.5" outlineLevel="1">
      <c r="A380" s="247" t="s">
        <v>12900</v>
      </c>
      <c r="B380" s="386" t="s">
        <v>14813</v>
      </c>
      <c r="C380" s="1475" t="s">
        <v>14472</v>
      </c>
      <c r="D380" s="1314" t="str">
        <f>IFERROR(VLOOKUP($B380,'24.08_ND'!$A$4833:$D$12369,2,0),IFERROR(VLOOKUP($B380,'03-CP'!$C$5:$H$4646,2,0),""))</f>
        <v xml:space="preserve"> ACABAMENTO PARA DESCARGA PCD, COM KIT CONVERSOR.  FORNECIMENTO E INSTALAÇÃO</v>
      </c>
      <c r="E380" s="1476" t="str">
        <f>IFERROR(VLOOKUP($B380,'24.08_ND'!$A:$D,3,0),IFERROR(VLOOKUP($B380,'03-CP'!$C$5:$H$4645,3,0),""))</f>
        <v>UN</v>
      </c>
      <c r="F380" s="1477">
        <v>2</v>
      </c>
      <c r="G380" s="1244"/>
      <c r="H380" s="1244"/>
      <c r="I380" s="1409"/>
      <c r="J380" s="1383"/>
      <c r="K380" s="262"/>
      <c r="L380" s="1389" t="s">
        <v>16229</v>
      </c>
      <c r="M380" s="262"/>
      <c r="N380" s="262"/>
      <c r="O380" s="262"/>
      <c r="P380" s="262"/>
      <c r="Q380" s="262"/>
      <c r="R380" s="262"/>
      <c r="S380" s="262"/>
      <c r="T380" s="262"/>
      <c r="U380" s="262"/>
      <c r="V380" s="262"/>
      <c r="W380" s="262"/>
      <c r="X380" s="262"/>
      <c r="Y380" s="262"/>
      <c r="Z380" s="262"/>
    </row>
    <row r="381" spans="1:26" ht="25.5" outlineLevel="1">
      <c r="A381" s="247" t="s">
        <v>12901</v>
      </c>
      <c r="B381" s="386">
        <v>100878</v>
      </c>
      <c r="C381" s="386" t="s">
        <v>14476</v>
      </c>
      <c r="D381" s="1314" t="str">
        <f>IFERROR(VLOOKUP($B381,'24.08_ND'!$A$4833:$D$12369,2,0),IFERROR(VLOOKUP($B381,'03-CP'!$C$5:$H$4646,2,0),""))</f>
        <v>VASO SANITÁRIO SIFONADO COM CAIXA ACOPLADA, LOUÇA BRANCA - PADRÃO ALTO - FORNECIMENTO E INSTALAÇÃO. AF_01/2020</v>
      </c>
      <c r="E381" s="1476" t="str">
        <f>IFERROR(VLOOKUP($B381,'24.08_ND'!$A:$D,3,0),IFERROR(VLOOKUP($B381,'03-CP'!$C$5:$H$4645,3,0),""))</f>
        <v>UN</v>
      </c>
      <c r="F381" s="1477">
        <v>4</v>
      </c>
      <c r="G381" s="1244"/>
      <c r="H381" s="1244"/>
      <c r="I381" s="1409"/>
      <c r="J381" s="1383" t="s">
        <v>16228</v>
      </c>
      <c r="K381" s="262"/>
      <c r="L381" s="1389" t="s">
        <v>16229</v>
      </c>
      <c r="M381" s="262"/>
      <c r="N381" s="262"/>
      <c r="O381" s="262"/>
      <c r="P381" s="262"/>
      <c r="Q381" s="262"/>
      <c r="R381" s="262"/>
      <c r="S381" s="262"/>
      <c r="T381" s="262"/>
      <c r="U381" s="262"/>
      <c r="V381" s="262"/>
      <c r="W381" s="262"/>
      <c r="X381" s="262"/>
      <c r="Y381" s="262"/>
      <c r="Z381" s="262"/>
    </row>
    <row r="382" spans="1:26" ht="25.5" outlineLevel="1">
      <c r="A382" s="247" t="s">
        <v>12902</v>
      </c>
      <c r="B382" s="386">
        <v>100859</v>
      </c>
      <c r="C382" s="386" t="s">
        <v>14476</v>
      </c>
      <c r="D382" s="1314" t="str">
        <f>IFERROR(VLOOKUP($B382,'24.08_ND'!$A$4833:$D$12369,2,0),IFERROR(VLOOKUP($B382,'03-CP'!$C$5:$H$4646,2,0),""))</f>
        <v>MICTÓRIO SIFONADO LOUÇA BRANCA PARA ENTRADA DE ÁGUA EMBUTIDA - PADRÃO ALTO - FORNECIMENTO E INSTALAÇÃO. AF_01/2020</v>
      </c>
      <c r="E382" s="1476" t="str">
        <f>IFERROR(VLOOKUP($B382,'24.08_ND'!$A:$D,3,0),IFERROR(VLOOKUP($B382,'03-CP'!$C$5:$H$4645,3,0),""))</f>
        <v>UN</v>
      </c>
      <c r="F382" s="1477">
        <v>2</v>
      </c>
      <c r="G382" s="1244"/>
      <c r="H382" s="1244"/>
      <c r="I382" s="1409"/>
      <c r="J382" s="1383"/>
      <c r="K382" s="262"/>
      <c r="L382" s="1389" t="s">
        <v>16229</v>
      </c>
      <c r="M382" s="262"/>
      <c r="N382" s="262"/>
      <c r="O382" s="262"/>
      <c r="P382" s="262"/>
      <c r="Q382" s="262"/>
      <c r="R382" s="262"/>
      <c r="S382" s="262"/>
      <c r="T382" s="262"/>
      <c r="U382" s="262"/>
      <c r="V382" s="262"/>
      <c r="W382" s="262"/>
      <c r="X382" s="262"/>
      <c r="Y382" s="262"/>
      <c r="Z382" s="262"/>
    </row>
    <row r="383" spans="1:26" ht="25.5" outlineLevel="1">
      <c r="A383" s="247" t="s">
        <v>12903</v>
      </c>
      <c r="B383" s="386" t="s">
        <v>14806</v>
      </c>
      <c r="C383" s="1475" t="s">
        <v>14472</v>
      </c>
      <c r="D383" s="1314" t="str">
        <f>IFERROR(VLOOKUP($B383,'24.08_ND'!$A$4833:$D$12369,2,0),IFERROR(VLOOKUP($B383,'03-CP'!$C$5:$H$4646,2,0),""))</f>
        <v>LAVATORIO DE CANTO DE LOUCA BRANCA, SUSPENSO (SEM COLUNA), DIMENSOES *40 X 30* CM (L X C) - FORNECIMENTO E INSTALAÇÃO</v>
      </c>
      <c r="E383" s="1476" t="str">
        <f>IFERROR(VLOOKUP($B383,'24.08_ND'!$A:$D,3,0),IFERROR(VLOOKUP($B383,'03-CP'!$C$5:$H$4645,3,0),""))</f>
        <v>UN</v>
      </c>
      <c r="F383" s="1477">
        <v>2</v>
      </c>
      <c r="G383" s="1244"/>
      <c r="H383" s="1244"/>
      <c r="I383" s="1409"/>
      <c r="J383" s="1383"/>
      <c r="K383" s="262"/>
      <c r="L383" s="1389" t="s">
        <v>16229</v>
      </c>
      <c r="M383" s="262"/>
      <c r="N383" s="262"/>
      <c r="O383" s="262"/>
      <c r="P383" s="262"/>
      <c r="Q383" s="262"/>
      <c r="R383" s="262"/>
      <c r="S383" s="262"/>
      <c r="T383" s="262"/>
      <c r="U383" s="262"/>
      <c r="V383" s="262"/>
      <c r="W383" s="262"/>
      <c r="X383" s="262"/>
      <c r="Y383" s="262"/>
      <c r="Z383" s="262"/>
    </row>
    <row r="384" spans="1:26" ht="25.5" outlineLevel="1">
      <c r="A384" s="247" t="s">
        <v>12904</v>
      </c>
      <c r="B384" s="386" t="s">
        <v>14808</v>
      </c>
      <c r="C384" s="1475" t="s">
        <v>14472</v>
      </c>
      <c r="D384" s="1314" t="str">
        <f>IFERROR(VLOOKUP($B384,'24.08_ND'!$A$4833:$D$12369,2,0),IFERROR(VLOOKUP($B384,'03-CP'!$C$5:$H$4646,2,0),""))</f>
        <v>CUBA DE SOBREPOR QUADRADA 35X35 CM - FORNECIMENTO E INSTALAÇÃO</v>
      </c>
      <c r="E384" s="1476" t="str">
        <f>IFERROR(VLOOKUP($B384,'24.08_ND'!$A:$D,3,0),IFERROR(VLOOKUP($B384,'03-CP'!$C$5:$H$4645,3,0),""))</f>
        <v>UN</v>
      </c>
      <c r="F384" s="1477">
        <v>6</v>
      </c>
      <c r="G384" s="1244"/>
      <c r="H384" s="1244"/>
      <c r="I384" s="1409"/>
      <c r="J384" s="1383"/>
      <c r="K384" s="262"/>
      <c r="L384" s="1389" t="s">
        <v>16229</v>
      </c>
      <c r="M384" s="262"/>
      <c r="N384" s="262"/>
      <c r="O384" s="262"/>
      <c r="P384" s="262"/>
      <c r="Q384" s="262"/>
      <c r="R384" s="262"/>
      <c r="S384" s="262"/>
      <c r="T384" s="262"/>
      <c r="U384" s="262"/>
      <c r="V384" s="262"/>
      <c r="W384" s="262"/>
      <c r="X384" s="262"/>
      <c r="Y384" s="262"/>
      <c r="Z384" s="262"/>
    </row>
    <row r="385" spans="1:26" ht="25.5" outlineLevel="1">
      <c r="A385" s="247" t="s">
        <v>12905</v>
      </c>
      <c r="B385" s="386">
        <v>86872</v>
      </c>
      <c r="C385" s="386" t="s">
        <v>14476</v>
      </c>
      <c r="D385" s="1314" t="str">
        <f>IFERROR(VLOOKUP($B385,'24.08_ND'!$A$4833:$D$12369,2,0),IFERROR(VLOOKUP($B385,'03-CP'!$C$5:$H$4646,2,0),""))</f>
        <v>TANQUE DE LOUÇA BRANCA COM COLUNA, 30L OU EQUIVALENTE - FORNECIMENTO E INSTALAÇÃO. AF_01/2020</v>
      </c>
      <c r="E385" s="1476" t="str">
        <f>IFERROR(VLOOKUP($B385,'24.08_ND'!$A:$D,3,0),IFERROR(VLOOKUP($B385,'03-CP'!$C$5:$H$4645,3,0),""))</f>
        <v>UN</v>
      </c>
      <c r="F385" s="1477">
        <v>1</v>
      </c>
      <c r="G385" s="1244"/>
      <c r="H385" s="1244"/>
      <c r="I385" s="1409"/>
      <c r="J385" s="1383"/>
      <c r="K385" s="262"/>
      <c r="L385" s="1389" t="s">
        <v>16229</v>
      </c>
      <c r="M385" s="262"/>
      <c r="N385" s="262"/>
      <c r="O385" s="262"/>
      <c r="P385" s="262"/>
      <c r="Q385" s="262"/>
      <c r="R385" s="262"/>
      <c r="S385" s="262"/>
      <c r="T385" s="262"/>
      <c r="U385" s="262"/>
      <c r="V385" s="262"/>
      <c r="W385" s="262"/>
      <c r="X385" s="262"/>
      <c r="Y385" s="262"/>
      <c r="Z385" s="262"/>
    </row>
    <row r="386" spans="1:26" ht="38.25" outlineLevel="1">
      <c r="A386" s="247" t="s">
        <v>12906</v>
      </c>
      <c r="B386" s="386" t="s">
        <v>14816</v>
      </c>
      <c r="C386" s="1475" t="s">
        <v>14472</v>
      </c>
      <c r="D386" s="1314" t="str">
        <f>IFERROR(VLOOKUP($B386,'24.08_ND'!$A$4833:$D$12369,2,0),IFERROR(VLOOKUP($B386,'03-CP'!$C$5:$H$4646,2,0),""))</f>
        <v>CUBA DE EMBUTIR DE AÇO INOXIDÁVEL (56 X 33 X 12 CM), INCLUSO VÁLVULA TIPO AMERICANA E SIFÃO TIPO GARRAFA EM METAL CROMADO - FORNECIMENTO E INSTALAÇÃO.</v>
      </c>
      <c r="E386" s="1476" t="str">
        <f>IFERROR(VLOOKUP($B386,'24.08_ND'!$A:$D,3,0),IFERROR(VLOOKUP($B386,'03-CP'!$C$5:$H$4645,3,0),""))</f>
        <v>UN</v>
      </c>
      <c r="F386" s="1477">
        <v>4</v>
      </c>
      <c r="G386" s="1244"/>
      <c r="H386" s="1244"/>
      <c r="I386" s="1409"/>
      <c r="J386" s="1383"/>
      <c r="K386" s="262"/>
      <c r="L386" s="1389" t="s">
        <v>16229</v>
      </c>
      <c r="M386" s="262"/>
      <c r="N386" s="262"/>
      <c r="O386" s="262"/>
      <c r="P386" s="262"/>
      <c r="Q386" s="262"/>
      <c r="R386" s="262"/>
      <c r="S386" s="262"/>
      <c r="T386" s="262"/>
      <c r="U386" s="262"/>
      <c r="V386" s="262"/>
      <c r="W386" s="262"/>
      <c r="X386" s="262"/>
      <c r="Y386" s="262"/>
      <c r="Z386" s="262"/>
    </row>
    <row r="387" spans="1:26" ht="25.5" outlineLevel="1">
      <c r="A387" s="247" t="s">
        <v>12907</v>
      </c>
      <c r="B387" s="386">
        <v>86909</v>
      </c>
      <c r="C387" s="386" t="s">
        <v>14476</v>
      </c>
      <c r="D387" s="1314" t="str">
        <f>IFERROR(VLOOKUP($B387,'24.08_ND'!$A$4833:$D$12369,2,0),IFERROR(VLOOKUP($B387,'03-CP'!$C$5:$H$4646,2,0),""))</f>
        <v>TORNEIRA CROMADA TUBO MÓVEL, DE MESA, 1/2" OU 3/4", PARA PIA DE COZINHA, PADRÃO ALTO - FORNECIMENTO E INSTALAÇÃO. AF_01/2020</v>
      </c>
      <c r="E387" s="1476" t="str">
        <f>IFERROR(VLOOKUP($B387,'24.08_ND'!$A:$D,3,0),IFERROR(VLOOKUP($B387,'03-CP'!$C$5:$H$4645,3,0),""))</f>
        <v>UN</v>
      </c>
      <c r="F387" s="1477">
        <v>2</v>
      </c>
      <c r="G387" s="1244"/>
      <c r="H387" s="1244"/>
      <c r="I387" s="1409"/>
      <c r="J387" s="1383"/>
      <c r="K387" s="262"/>
      <c r="L387" s="1389" t="s">
        <v>16229</v>
      </c>
      <c r="M387" s="262"/>
      <c r="N387" s="262"/>
      <c r="O387" s="262"/>
      <c r="P387" s="262"/>
      <c r="Q387" s="262"/>
      <c r="R387" s="262"/>
      <c r="S387" s="262"/>
      <c r="T387" s="262"/>
      <c r="U387" s="262"/>
      <c r="V387" s="262"/>
      <c r="W387" s="262"/>
      <c r="X387" s="262"/>
      <c r="Y387" s="262"/>
      <c r="Z387" s="262"/>
    </row>
    <row r="388" spans="1:26" ht="25.5" outlineLevel="1">
      <c r="A388" s="247" t="s">
        <v>12908</v>
      </c>
      <c r="B388" s="386">
        <v>86914</v>
      </c>
      <c r="C388" s="386" t="s">
        <v>14476</v>
      </c>
      <c r="D388" s="1314" t="str">
        <f>IFERROR(VLOOKUP($B388,'24.08_ND'!$A$4833:$D$12369,2,0),IFERROR(VLOOKUP($B388,'03-CP'!$C$5:$H$4646,2,0),""))</f>
        <v>TORNEIRA CROMADA 1/2" OU 3/4" PARA TANQUE, PADRÃO MÉDIO - FORNECIMENTO E INSTALAÇÃO. AF_01/2020</v>
      </c>
      <c r="E388" s="1476" t="str">
        <f>IFERROR(VLOOKUP($B388,'24.08_ND'!$A:$D,3,0),IFERROR(VLOOKUP($B388,'03-CP'!$C$5:$H$4645,3,0),""))</f>
        <v>UN</v>
      </c>
      <c r="F388" s="1477">
        <v>4</v>
      </c>
      <c r="G388" s="1244"/>
      <c r="H388" s="1244"/>
      <c r="I388" s="1409"/>
      <c r="J388" s="1383"/>
      <c r="K388" s="262"/>
      <c r="L388" s="1389" t="s">
        <v>16229</v>
      </c>
      <c r="M388" s="262"/>
      <c r="N388" s="262"/>
      <c r="O388" s="262"/>
      <c r="P388" s="262"/>
      <c r="Q388" s="262"/>
      <c r="R388" s="262"/>
      <c r="S388" s="262"/>
      <c r="T388" s="262"/>
      <c r="U388" s="262"/>
      <c r="V388" s="262"/>
      <c r="W388" s="262"/>
      <c r="X388" s="262"/>
      <c r="Y388" s="262"/>
      <c r="Z388" s="262"/>
    </row>
    <row r="389" spans="1:26" ht="25.5" outlineLevel="1">
      <c r="A389" s="247" t="s">
        <v>12909</v>
      </c>
      <c r="B389" s="386" t="s">
        <v>14834</v>
      </c>
      <c r="C389" s="1475" t="s">
        <v>14472</v>
      </c>
      <c r="D389" s="1314" t="str">
        <f>IFERROR(VLOOKUP($B389,'24.08_ND'!$A$4833:$D$12369,2,0),IFERROR(VLOOKUP($B389,'03-CP'!$C$5:$H$4646,2,0),""))</f>
        <v>TORNEIRA DE PAREDE COM AREJADOR ARTICULADO, CROMADA. FORNECIMENTO E INSTALAÇÃO</v>
      </c>
      <c r="E389" s="1476" t="str">
        <f>IFERROR(VLOOKUP($B389,'24.08_ND'!$A:$D,3,0),IFERROR(VLOOKUP($B389,'03-CP'!$C$5:$H$4645,3,0),""))</f>
        <v>UN</v>
      </c>
      <c r="F389" s="1477">
        <v>2</v>
      </c>
      <c r="G389" s="1244"/>
      <c r="H389" s="1244"/>
      <c r="I389" s="1409"/>
      <c r="J389" s="1383"/>
      <c r="K389" s="262"/>
      <c r="L389" s="1389" t="s">
        <v>16229</v>
      </c>
      <c r="M389" s="262"/>
      <c r="N389" s="262"/>
      <c r="O389" s="262"/>
      <c r="P389" s="262"/>
      <c r="Q389" s="262"/>
      <c r="R389" s="262"/>
      <c r="S389" s="262"/>
      <c r="T389" s="262"/>
      <c r="U389" s="262"/>
      <c r="V389" s="262"/>
      <c r="W389" s="262"/>
      <c r="X389" s="262"/>
      <c r="Y389" s="262"/>
      <c r="Z389" s="262"/>
    </row>
    <row r="390" spans="1:26" ht="25.5" outlineLevel="1">
      <c r="A390" s="247" t="s">
        <v>12910</v>
      </c>
      <c r="B390" s="386" t="s">
        <v>14838</v>
      </c>
      <c r="C390" s="1475" t="s">
        <v>14472</v>
      </c>
      <c r="D390" s="1314" t="str">
        <f>IFERROR(VLOOKUP($B390,'24.08_ND'!$A$4833:$D$12369,2,0),IFERROR(VLOOKUP($B390,'03-CP'!$C$5:$H$4646,2,0),""))</f>
        <v xml:space="preserve"> TORNEIRA AUTOMÁTICA PAREDE REDUTOR PRESSÃO ECONÔMICO METAL - FORNECIMENTO E INSTALAÇÃO</v>
      </c>
      <c r="E390" s="1476" t="str">
        <f>IFERROR(VLOOKUP($B390,'24.08_ND'!$A:$D,3,0),IFERROR(VLOOKUP($B390,'03-CP'!$C$5:$H$4645,3,0),""))</f>
        <v>UN</v>
      </c>
      <c r="F390" s="1477">
        <v>6</v>
      </c>
      <c r="G390" s="1244"/>
      <c r="H390" s="1244"/>
      <c r="I390" s="1409"/>
      <c r="J390" s="1383"/>
      <c r="K390" s="262"/>
      <c r="L390" s="1389" t="s">
        <v>16229</v>
      </c>
      <c r="M390" s="262"/>
      <c r="N390" s="262"/>
      <c r="O390" s="262"/>
      <c r="P390" s="262"/>
      <c r="Q390" s="262"/>
      <c r="R390" s="262"/>
      <c r="S390" s="262"/>
      <c r="T390" s="262"/>
      <c r="U390" s="262"/>
      <c r="V390" s="262"/>
      <c r="W390" s="262"/>
      <c r="X390" s="262"/>
      <c r="Y390" s="262"/>
      <c r="Z390" s="262"/>
    </row>
    <row r="391" spans="1:26" ht="25.5" outlineLevel="1">
      <c r="A391" s="247" t="s">
        <v>12911</v>
      </c>
      <c r="B391" s="386" t="s">
        <v>14811</v>
      </c>
      <c r="C391" s="1475" t="s">
        <v>14472</v>
      </c>
      <c r="D391" s="1314" t="str">
        <f>IFERROR(VLOOKUP($B391,'24.08_ND'!$A$4833:$D$12369,2,0),IFERROR(VLOOKUP($B391,'03-CP'!$C$5:$H$4646,2,0),""))</f>
        <v>TORNEIRA AUTOMÁTICA DE MESA PARA LAVATÓRIO, CROMADA. FORNECIMENTO E INSTALAÇÃO</v>
      </c>
      <c r="E391" s="1476" t="str">
        <f>IFERROR(VLOOKUP($B391,'24.08_ND'!$A:$D,3,0),IFERROR(VLOOKUP($B391,'03-CP'!$C$5:$H$4645,3,0),""))</f>
        <v>UN</v>
      </c>
      <c r="F391" s="1477">
        <v>2</v>
      </c>
      <c r="G391" s="1244"/>
      <c r="H391" s="1244"/>
      <c r="I391" s="1409"/>
      <c r="J391" s="1383"/>
      <c r="K391" s="262"/>
      <c r="L391" s="1389" t="s">
        <v>16229</v>
      </c>
      <c r="M391" s="262"/>
      <c r="N391" s="262"/>
      <c r="O391" s="262"/>
      <c r="P391" s="262"/>
      <c r="Q391" s="262"/>
      <c r="R391" s="262"/>
      <c r="S391" s="262"/>
      <c r="T391" s="262"/>
      <c r="U391" s="262"/>
      <c r="V391" s="262"/>
      <c r="W391" s="262"/>
      <c r="X391" s="262"/>
      <c r="Y391" s="262"/>
      <c r="Z391" s="262"/>
    </row>
    <row r="392" spans="1:26" ht="25.5" outlineLevel="1">
      <c r="A392" s="247" t="s">
        <v>12912</v>
      </c>
      <c r="B392" s="386" t="s">
        <v>14841</v>
      </c>
      <c r="C392" s="1475" t="s">
        <v>14472</v>
      </c>
      <c r="D392" s="1314" t="str">
        <f>IFERROR(VLOOKUP($B392,'24.08_ND'!$A$4833:$D$12369,2,0),IFERROR(VLOOKUP($B392,'03-CP'!$C$5:$H$4646,2,0),""))</f>
        <v>CHUVEIRO ELÉTRICO, ACABEMENTO CROMADO, COM DUCHA SMART CROMADO- FORNECIMENTO E INSTALAÇÃO</v>
      </c>
      <c r="E392" s="1476" t="str">
        <f>IFERROR(VLOOKUP($B392,'24.08_ND'!$A:$D,3,0),IFERROR(VLOOKUP($B392,'03-CP'!$C$5:$H$4645,3,0),""))</f>
        <v>UN</v>
      </c>
      <c r="F392" s="1477">
        <v>2</v>
      </c>
      <c r="G392" s="1244"/>
      <c r="H392" s="1244"/>
      <c r="I392" s="1409"/>
      <c r="J392" s="1383"/>
      <c r="K392" s="262"/>
      <c r="L392" s="1389" t="s">
        <v>16229</v>
      </c>
      <c r="M392" s="262"/>
      <c r="N392" s="262"/>
      <c r="O392" s="262"/>
      <c r="P392" s="262"/>
      <c r="Q392" s="262"/>
      <c r="R392" s="262"/>
      <c r="S392" s="262"/>
      <c r="T392" s="262"/>
      <c r="U392" s="262"/>
      <c r="V392" s="262"/>
      <c r="W392" s="262"/>
      <c r="X392" s="262"/>
      <c r="Y392" s="262"/>
      <c r="Z392" s="262"/>
    </row>
    <row r="393" spans="1:26" ht="25.5" outlineLevel="1">
      <c r="A393" s="247" t="s">
        <v>12913</v>
      </c>
      <c r="B393" s="386" t="s">
        <v>14843</v>
      </c>
      <c r="C393" s="1475" t="s">
        <v>14472</v>
      </c>
      <c r="D393" s="1314" t="str">
        <f>IFERROR(VLOOKUP($B393,'24.08_ND'!$A$4833:$D$12369,2,0),IFERROR(VLOOKUP($B393,'03-CP'!$C$5:$H$4646,2,0),""))</f>
        <v>CHUVEIRO REDONDO COM DUCHA, ACABAMENTO CROMADO - FORNECIMENTO E INSTALAÇÃO</v>
      </c>
      <c r="E393" s="1476" t="str">
        <f>IFERROR(VLOOKUP($B393,'24.08_ND'!$A:$D,3,0),IFERROR(VLOOKUP($B393,'03-CP'!$C$5:$H$4645,3,0),""))</f>
        <v>UN</v>
      </c>
      <c r="F393" s="1477">
        <v>2</v>
      </c>
      <c r="G393" s="1244"/>
      <c r="H393" s="1244"/>
      <c r="I393" s="1409"/>
      <c r="J393" s="1383"/>
      <c r="K393" s="262"/>
      <c r="L393" s="1389" t="s">
        <v>16229</v>
      </c>
      <c r="M393" s="262"/>
      <c r="N393" s="262"/>
      <c r="O393" s="262"/>
      <c r="P393" s="262"/>
      <c r="Q393" s="262"/>
      <c r="R393" s="262"/>
      <c r="S393" s="262"/>
      <c r="T393" s="262"/>
      <c r="U393" s="262"/>
      <c r="V393" s="262"/>
      <c r="W393" s="262"/>
      <c r="X393" s="262"/>
      <c r="Y393" s="262"/>
      <c r="Z393" s="262"/>
    </row>
    <row r="394" spans="1:26" ht="25.5" outlineLevel="1">
      <c r="A394" s="247" t="s">
        <v>12914</v>
      </c>
      <c r="B394" s="386" t="s">
        <v>14845</v>
      </c>
      <c r="C394" s="1475" t="s">
        <v>14472</v>
      </c>
      <c r="D394" s="1314" t="str">
        <f>IFERROR(VLOOKUP($B394,'24.08_ND'!$A$4833:$D$12369,2,0),IFERROR(VLOOKUP($B394,'03-CP'!$C$5:$H$4646,2,0),""))</f>
        <v>DUCHA QUADRADA, 20X20 CM ACABAMENTO CROMADO - FORNECIMENTO E INSTALAÇÃO</v>
      </c>
      <c r="E394" s="1476" t="str">
        <f>IFERROR(VLOOKUP($B394,'24.08_ND'!$A:$D,3,0),IFERROR(VLOOKUP($B394,'03-CP'!$C$5:$H$4645,3,0),""))</f>
        <v>UN</v>
      </c>
      <c r="F394" s="1477">
        <v>1</v>
      </c>
      <c r="G394" s="1244"/>
      <c r="H394" s="1244"/>
      <c r="I394" s="1409"/>
      <c r="J394" s="1383"/>
      <c r="K394" s="262"/>
      <c r="L394" s="1389" t="s">
        <v>16229</v>
      </c>
      <c r="M394" s="262"/>
      <c r="N394" s="262"/>
      <c r="O394" s="262"/>
      <c r="P394" s="262"/>
      <c r="Q394" s="262"/>
      <c r="R394" s="262"/>
      <c r="S394" s="262"/>
      <c r="T394" s="262"/>
      <c r="U394" s="262"/>
      <c r="V394" s="262"/>
      <c r="W394" s="262"/>
      <c r="X394" s="262"/>
      <c r="Y394" s="262"/>
      <c r="Z394" s="262"/>
    </row>
    <row r="395" spans="1:26" ht="25.5" outlineLevel="1">
      <c r="A395" s="247" t="s">
        <v>12915</v>
      </c>
      <c r="B395" s="386">
        <v>86881</v>
      </c>
      <c r="C395" s="386" t="s">
        <v>14476</v>
      </c>
      <c r="D395" s="1314" t="str">
        <f>IFERROR(VLOOKUP($B395,'24.08_ND'!$A$4833:$D$12369,2,0),IFERROR(VLOOKUP($B395,'03-CP'!$C$5:$H$4646,2,0),""))</f>
        <v>SIFÃO DO TIPO GARRAFA EM METAL CROMADO 1 X 1.1/2" - FORNECIMENTO E INSTALAÇÃO. AF_01/2020</v>
      </c>
      <c r="E395" s="1476" t="str">
        <f>IFERROR(VLOOKUP($B395,'24.08_ND'!$A:$D,3,0),IFERROR(VLOOKUP($B395,'03-CP'!$C$5:$H$4645,3,0),""))</f>
        <v>UN</v>
      </c>
      <c r="F395" s="1477">
        <v>8</v>
      </c>
      <c r="G395" s="1244"/>
      <c r="H395" s="1244"/>
      <c r="I395" s="1409"/>
      <c r="J395" s="1383"/>
      <c r="K395" s="262"/>
      <c r="L395" s="1389" t="s">
        <v>16229</v>
      </c>
      <c r="M395" s="262"/>
      <c r="N395" s="262"/>
      <c r="O395" s="262"/>
      <c r="P395" s="262"/>
      <c r="Q395" s="262"/>
      <c r="R395" s="262"/>
      <c r="S395" s="262"/>
      <c r="T395" s="262"/>
      <c r="U395" s="262"/>
      <c r="V395" s="262"/>
      <c r="W395" s="262"/>
      <c r="X395" s="262"/>
      <c r="Y395" s="262"/>
      <c r="Z395" s="262"/>
    </row>
    <row r="396" spans="1:26" ht="25.5" outlineLevel="1">
      <c r="A396" s="247" t="s">
        <v>12916</v>
      </c>
      <c r="B396" s="386" t="s">
        <v>14848</v>
      </c>
      <c r="C396" s="1475" t="s">
        <v>14472</v>
      </c>
      <c r="D396" s="1314" t="str">
        <f>IFERROR(VLOOKUP($B396,'24.08_ND'!$A$4833:$D$12369,2,0),IFERROR(VLOOKUP($B396,'03-CP'!$C$5:$H$4646,2,0),""))</f>
        <v>VÁLVULA PARA PIA DE BANHEIRO CLICK CROMADA EQUATION - FORNECIMENTO E INSTALAÇÃO</v>
      </c>
      <c r="E396" s="1476" t="str">
        <f>IFERROR(VLOOKUP($B396,'24.08_ND'!$A:$D,3,0),IFERROR(VLOOKUP($B396,'03-CP'!$C$5:$H$4645,3,0),""))</f>
        <v>UN</v>
      </c>
      <c r="F396" s="1477">
        <v>6</v>
      </c>
      <c r="G396" s="1244"/>
      <c r="H396" s="1244"/>
      <c r="I396" s="1409"/>
      <c r="J396" s="1383"/>
      <c r="K396" s="262"/>
      <c r="L396" s="1389" t="s">
        <v>16229</v>
      </c>
      <c r="M396" s="262"/>
      <c r="N396" s="262"/>
      <c r="O396" s="262"/>
      <c r="P396" s="262"/>
      <c r="Q396" s="262"/>
      <c r="R396" s="262"/>
      <c r="S396" s="262"/>
      <c r="T396" s="262"/>
      <c r="U396" s="262"/>
      <c r="V396" s="262"/>
      <c r="W396" s="262"/>
      <c r="X396" s="262"/>
      <c r="Y396" s="262"/>
      <c r="Z396" s="262"/>
    </row>
    <row r="397" spans="1:26" ht="25.5" outlineLevel="1">
      <c r="A397" s="247" t="s">
        <v>12917</v>
      </c>
      <c r="B397" s="386" t="s">
        <v>14850</v>
      </c>
      <c r="C397" s="1475" t="s">
        <v>14472</v>
      </c>
      <c r="D397" s="1314" t="str">
        <f>IFERROR(VLOOKUP($B397,'24.08_ND'!$A$4833:$D$12369,2,0),IFERROR(VLOOKUP($B397,'03-CP'!$C$5:$H$4646,2,0),""))</f>
        <v>VALVULA PARA LAVATORIO 7/8", CROMADA- FORNECIMENTO E INSTALAÇÃO</v>
      </c>
      <c r="E397" s="1476" t="str">
        <f>IFERROR(VLOOKUP($B397,'24.08_ND'!$A:$D,3,0),IFERROR(VLOOKUP($B397,'03-CP'!$C$5:$H$4645,3,0),""))</f>
        <v>UN</v>
      </c>
      <c r="F397" s="1477">
        <v>7</v>
      </c>
      <c r="G397" s="1244"/>
      <c r="H397" s="1244"/>
      <c r="I397" s="1409"/>
      <c r="J397" s="1383"/>
      <c r="K397" s="262"/>
      <c r="L397" s="1389" t="s">
        <v>16229</v>
      </c>
      <c r="M397" s="262"/>
      <c r="N397" s="262"/>
      <c r="O397" s="262"/>
      <c r="P397" s="262"/>
      <c r="Q397" s="262"/>
      <c r="R397" s="262"/>
      <c r="S397" s="262"/>
      <c r="T397" s="262"/>
      <c r="U397" s="262"/>
      <c r="V397" s="262"/>
      <c r="W397" s="262"/>
      <c r="X397" s="262"/>
      <c r="Y397" s="262"/>
      <c r="Z397" s="262"/>
    </row>
    <row r="398" spans="1:26" ht="15.75" outlineLevel="1">
      <c r="A398" s="247" t="s">
        <v>12918</v>
      </c>
      <c r="B398" s="386" t="s">
        <v>14853</v>
      </c>
      <c r="C398" s="1475" t="s">
        <v>14472</v>
      </c>
      <c r="D398" s="1314" t="str">
        <f>IFERROR(VLOOKUP($B398,'24.08_ND'!$A$4833:$D$12369,2,0),IFERROR(VLOOKUP($B398,'03-CP'!$C$5:$H$4646,2,0),""))</f>
        <v>ACABAMENTO E CANOPLA CROMADOS - FORNECIMENTO E INSTALAÇÃO</v>
      </c>
      <c r="E398" s="1476" t="str">
        <f>IFERROR(VLOOKUP($B398,'24.08_ND'!$A:$D,3,0),IFERROR(VLOOKUP($B398,'03-CP'!$C$5:$H$4645,3,0),""))</f>
        <v>UN</v>
      </c>
      <c r="F398" s="1477">
        <v>11</v>
      </c>
      <c r="G398" s="1244"/>
      <c r="H398" s="1244"/>
      <c r="I398" s="1409"/>
      <c r="J398" s="1383"/>
      <c r="K398" s="262"/>
      <c r="L398" s="1389" t="s">
        <v>16229</v>
      </c>
      <c r="M398" s="262"/>
      <c r="N398" s="262"/>
      <c r="O398" s="262"/>
      <c r="P398" s="262"/>
      <c r="Q398" s="262"/>
      <c r="R398" s="262"/>
      <c r="S398" s="262"/>
      <c r="T398" s="262"/>
      <c r="U398" s="262"/>
      <c r="V398" s="262"/>
      <c r="W398" s="262"/>
      <c r="X398" s="262"/>
      <c r="Y398" s="262"/>
      <c r="Z398" s="262"/>
    </row>
    <row r="399" spans="1:26" ht="25.5" outlineLevel="1">
      <c r="A399" s="247" t="s">
        <v>12919</v>
      </c>
      <c r="B399" s="386" t="s">
        <v>14856</v>
      </c>
      <c r="C399" s="1475" t="s">
        <v>14472</v>
      </c>
      <c r="D399" s="1314" t="str">
        <f>IFERROR(VLOOKUP($B399,'24.08_ND'!$A$4833:$D$12369,2,0),IFERROR(VLOOKUP($B399,'03-CP'!$C$5:$H$4646,2,0),""))</f>
        <v>VALVULA PARA MICTÓRIO ANTI-VANDALISMO - FORNECIMENTO E INSTALAÇÃO</v>
      </c>
      <c r="E399" s="1476" t="str">
        <f>IFERROR(VLOOKUP($B399,'24.08_ND'!$A:$D,3,0),IFERROR(VLOOKUP($B399,'03-CP'!$C$5:$H$4645,3,0),""))</f>
        <v>UN</v>
      </c>
      <c r="F399" s="1477">
        <v>2</v>
      </c>
      <c r="G399" s="1244"/>
      <c r="H399" s="1244"/>
      <c r="I399" s="1409"/>
      <c r="J399" s="1383"/>
      <c r="K399" s="262"/>
      <c r="L399" s="1389" t="s">
        <v>16229</v>
      </c>
      <c r="M399" s="262"/>
      <c r="N399" s="262"/>
      <c r="O399" s="262"/>
      <c r="P399" s="262"/>
      <c r="Q399" s="262"/>
      <c r="R399" s="262"/>
      <c r="S399" s="262"/>
      <c r="T399" s="262"/>
      <c r="U399" s="262"/>
      <c r="V399" s="262"/>
      <c r="W399" s="262"/>
      <c r="X399" s="262"/>
      <c r="Y399" s="262"/>
      <c r="Z399" s="262"/>
    </row>
    <row r="400" spans="1:26" ht="51" outlineLevel="1">
      <c r="A400" s="247" t="s">
        <v>12920</v>
      </c>
      <c r="B400" s="386" t="s">
        <v>14986</v>
      </c>
      <c r="C400" s="1475" t="s">
        <v>14472</v>
      </c>
      <c r="D400" s="1314" t="str">
        <f>IFERROR(VLOOKUP($B400,'24.08_ND'!$A$4833:$D$12369,2,0),IFERROR(VLOOKUP($B400,'03-CP'!$C$5:$H$4646,2,0),""))</f>
        <v>GRELHA PLUVIAL EM FERRO FUNDIDO NODULAR, MALHA QUADRICULADA, DIMENSÕES 0,30 x 1,00 ESP 2CM, COM REQUADRO, ASSENTADO COM ARGAMASSA 1:3 (CIMENTO:AREIA), ACABAMENTO EM PINTURA ESMALTE SINTÉTICO COR CARVÃO. FORNECIMENTO E INSTALAÇÃO.</v>
      </c>
      <c r="E400" s="1476" t="str">
        <f>IFERROR(VLOOKUP($B400,'24.08_ND'!$A:$D,3,0),IFERROR(VLOOKUP($B400,'03-CP'!$C$5:$H$4645,3,0),""))</f>
        <v>UN</v>
      </c>
      <c r="F400" s="1477">
        <v>16</v>
      </c>
      <c r="G400" s="1244"/>
      <c r="H400" s="1244"/>
      <c r="I400" s="1409"/>
      <c r="J400" s="1383"/>
      <c r="K400" s="262"/>
      <c r="L400" s="1389" t="s">
        <v>16229</v>
      </c>
      <c r="M400" s="262"/>
      <c r="N400" s="262"/>
      <c r="O400" s="262"/>
      <c r="P400" s="262"/>
      <c r="Q400" s="262"/>
      <c r="R400" s="262"/>
      <c r="S400" s="262"/>
      <c r="T400" s="262"/>
      <c r="U400" s="262"/>
      <c r="V400" s="262"/>
      <c r="W400" s="262"/>
      <c r="X400" s="262"/>
      <c r="Y400" s="262"/>
      <c r="Z400" s="262"/>
    </row>
    <row r="401" spans="1:26" ht="25.5" outlineLevel="1">
      <c r="A401" s="247" t="s">
        <v>12921</v>
      </c>
      <c r="B401" s="386" t="s">
        <v>14864</v>
      </c>
      <c r="C401" s="1475" t="s">
        <v>14472</v>
      </c>
      <c r="D401" s="1314" t="str">
        <f>IFERROR(VLOOKUP($B401,'24.08_ND'!$A$4833:$D$12369,2,0),IFERROR(VLOOKUP($B401,'03-CP'!$C$5:$H$4646,2,0),""))</f>
        <v>RALO  OCULTO, PVC, 10 X10 CM, JUNTA SOLDÁVEL - FORNECIMENTO E INSTALAÇÃO</v>
      </c>
      <c r="E401" s="1476" t="str">
        <f>IFERROR(VLOOKUP($B401,'24.08_ND'!$A:$D,3,0),IFERROR(VLOOKUP($B401,'03-CP'!$C$5:$H$4645,3,0),""))</f>
        <v>UN</v>
      </c>
      <c r="F401" s="1477">
        <v>9</v>
      </c>
      <c r="G401" s="1244"/>
      <c r="H401" s="1244"/>
      <c r="I401" s="1409"/>
      <c r="J401" s="1383"/>
      <c r="K401" s="262"/>
      <c r="L401" s="1389" t="s">
        <v>16229</v>
      </c>
      <c r="M401" s="262"/>
      <c r="N401" s="262"/>
      <c r="O401" s="262"/>
      <c r="P401" s="262"/>
      <c r="Q401" s="262"/>
      <c r="R401" s="262"/>
      <c r="S401" s="262"/>
      <c r="T401" s="262"/>
      <c r="U401" s="262"/>
      <c r="V401" s="262"/>
      <c r="W401" s="262"/>
      <c r="X401" s="262"/>
      <c r="Y401" s="262"/>
      <c r="Z401" s="262"/>
    </row>
    <row r="402" spans="1:26" ht="25.5" outlineLevel="1">
      <c r="A402" s="247" t="s">
        <v>12922</v>
      </c>
      <c r="B402" s="386" t="s">
        <v>14867</v>
      </c>
      <c r="C402" s="1475" t="s">
        <v>14472</v>
      </c>
      <c r="D402" s="1314" t="str">
        <f>IFERROR(VLOOKUP($B402,'24.08_ND'!$A$4833:$D$12369,2,0),IFERROR(VLOOKUP($B402,'03-CP'!$C$5:$H$4646,2,0),""))</f>
        <v>RALO  OCULTO, PVC, 15 X 15 CM, JUNTA SOLDÁVEL - FORNECIMENTO E INSTALAÇÃO</v>
      </c>
      <c r="E402" s="1476" t="str">
        <f>IFERROR(VLOOKUP($B402,'24.08_ND'!$A:$D,3,0),IFERROR(VLOOKUP($B402,'03-CP'!$C$5:$H$4645,3,0),""))</f>
        <v>UN</v>
      </c>
      <c r="F402" s="1477">
        <v>4</v>
      </c>
      <c r="G402" s="1244"/>
      <c r="H402" s="1244"/>
      <c r="I402" s="1409"/>
      <c r="J402" s="1383"/>
      <c r="K402" s="262"/>
      <c r="L402" s="1389" t="s">
        <v>16229</v>
      </c>
      <c r="M402" s="262"/>
      <c r="N402" s="262"/>
      <c r="O402" s="262"/>
      <c r="P402" s="262"/>
      <c r="Q402" s="262"/>
      <c r="R402" s="262"/>
      <c r="S402" s="262"/>
      <c r="T402" s="262"/>
      <c r="U402" s="262"/>
      <c r="V402" s="262"/>
      <c r="W402" s="262"/>
      <c r="X402" s="262"/>
      <c r="Y402" s="262"/>
      <c r="Z402" s="262"/>
    </row>
    <row r="403" spans="1:26" ht="25.5" outlineLevel="1">
      <c r="A403" s="247" t="s">
        <v>12923</v>
      </c>
      <c r="B403" s="386">
        <v>100868</v>
      </c>
      <c r="C403" s="386" t="s">
        <v>14476</v>
      </c>
      <c r="D403" s="1314" t="str">
        <f>IFERROR(VLOOKUP($B403,'24.08_ND'!$A$4833:$D$12369,2,0),IFERROR(VLOOKUP($B403,'03-CP'!$C$5:$H$4646,2,0),""))</f>
        <v>BARRA DE APOIO RETA, EM ACO INOX POLIDO, COMPRIMENTO 80 CM,  FIXADA NA PAREDE - FORNECIMENTO E INSTALAÇÃO. AF_01/2020</v>
      </c>
      <c r="E403" s="1315" t="str">
        <f>IFERROR(VLOOKUP($B403,'24.08_ND'!$A:$D,3,0),IFERROR(VLOOKUP($B403,'03-CP'!$C$5:$H$4646,3,0),""))</f>
        <v>UN</v>
      </c>
      <c r="F403" s="389">
        <v>2</v>
      </c>
      <c r="G403" s="1244"/>
      <c r="H403" s="1244"/>
      <c r="I403" s="1409"/>
      <c r="J403" s="1383" t="s">
        <v>16228</v>
      </c>
      <c r="K403" s="262"/>
      <c r="L403" s="1389" t="s">
        <v>16229</v>
      </c>
      <c r="M403" s="262"/>
      <c r="N403" s="262"/>
      <c r="O403" s="262"/>
      <c r="P403" s="262"/>
      <c r="Q403" s="262"/>
      <c r="R403" s="262"/>
      <c r="S403" s="262"/>
      <c r="T403" s="262"/>
      <c r="U403" s="262"/>
      <c r="V403" s="262"/>
      <c r="W403" s="262"/>
      <c r="X403" s="262"/>
      <c r="Y403" s="262"/>
      <c r="Z403" s="262"/>
    </row>
    <row r="404" spans="1:26" ht="25.5" outlineLevel="1">
      <c r="A404" s="247" t="s">
        <v>12924</v>
      </c>
      <c r="B404" s="386">
        <v>100867</v>
      </c>
      <c r="C404" s="386" t="s">
        <v>14476</v>
      </c>
      <c r="D404" s="1314" t="str">
        <f>IFERROR(VLOOKUP($B404,'24.08_ND'!$A$4833:$D$12369,2,0),IFERROR(VLOOKUP($B404,'03-CP'!$C$5:$H$4646,2,0),""))</f>
        <v>BARRA DE APOIO RETA, EM ACO INOX POLIDO, COMPRIMENTO 70 CM,  FIXADA NA PAREDE - FORNECIMENTO E INSTALAÇÃO. AF_01/2020</v>
      </c>
      <c r="E404" s="1315" t="str">
        <f>IFERROR(VLOOKUP($B404,'24.08_ND'!$A:$D,3,0),IFERROR(VLOOKUP($B404,'03-CP'!$C$5:$H$4646,3,0),""))</f>
        <v>UN</v>
      </c>
      <c r="F404" s="389">
        <v>6</v>
      </c>
      <c r="G404" s="1244"/>
      <c r="H404" s="1244"/>
      <c r="I404" s="1409"/>
      <c r="J404" s="1383" t="s">
        <v>16228</v>
      </c>
      <c r="K404" s="262"/>
      <c r="L404" s="1389" t="s">
        <v>16229</v>
      </c>
      <c r="M404" s="262"/>
      <c r="N404" s="262"/>
      <c r="O404" s="262"/>
      <c r="P404" s="262"/>
      <c r="Q404" s="262"/>
      <c r="R404" s="262"/>
      <c r="S404" s="262"/>
      <c r="T404" s="262"/>
      <c r="U404" s="262"/>
      <c r="V404" s="262"/>
      <c r="W404" s="262"/>
      <c r="X404" s="262"/>
      <c r="Y404" s="262"/>
      <c r="Z404" s="262"/>
    </row>
    <row r="405" spans="1:26" ht="25.5" outlineLevel="1">
      <c r="A405" s="247" t="s">
        <v>12925</v>
      </c>
      <c r="B405" s="386">
        <v>100865</v>
      </c>
      <c r="C405" s="386" t="s">
        <v>14476</v>
      </c>
      <c r="D405" s="1314" t="str">
        <f>IFERROR(VLOOKUP($B405,'24.08_ND'!$A$4833:$D$12369,2,0),IFERROR(VLOOKUP($B405,'03-CP'!$C$5:$H$4646,2,0),""))</f>
        <v>BARRA DE APOIO LATERAL ARTICULADA, COM TRAVA, EM ACO INOX POLIDO, FIXADA NA PAREDE - FORNECIMENTO E INSTALAÇÃO. AF_01/2020</v>
      </c>
      <c r="E405" s="1315" t="str">
        <f>IFERROR(VLOOKUP($B405,'24.08_ND'!$A:$D,3,0),IFERROR(VLOOKUP($B405,'03-CP'!$C$5:$H$4646,3,0),""))</f>
        <v>UN</v>
      </c>
      <c r="F405" s="389">
        <v>2</v>
      </c>
      <c r="G405" s="1244"/>
      <c r="H405" s="1244"/>
      <c r="I405" s="1409"/>
      <c r="J405" s="1383" t="s">
        <v>16228</v>
      </c>
      <c r="K405" s="262"/>
      <c r="L405" s="1389" t="s">
        <v>16229</v>
      </c>
      <c r="M405" s="262"/>
      <c r="N405" s="262"/>
      <c r="O405" s="262"/>
      <c r="P405" s="262"/>
      <c r="Q405" s="262"/>
      <c r="R405" s="262"/>
      <c r="S405" s="262"/>
      <c r="T405" s="262"/>
      <c r="U405" s="262"/>
      <c r="V405" s="262"/>
      <c r="W405" s="262"/>
      <c r="X405" s="262"/>
      <c r="Y405" s="262"/>
      <c r="Z405" s="262"/>
    </row>
    <row r="406" spans="1:26" ht="25.5" outlineLevel="1">
      <c r="A406" s="247" t="s">
        <v>12926</v>
      </c>
      <c r="B406" s="386" t="s">
        <v>14887</v>
      </c>
      <c r="C406" s="1475" t="s">
        <v>14472</v>
      </c>
      <c r="D406" s="1314" t="str">
        <f>IFERROR(VLOOKUP($B406,'24.08_ND'!$A$4833:$D$12369,2,0),IFERROR(VLOOKUP($B406,'03-CP'!$C$5:$H$4646,2,0),""))</f>
        <v xml:space="preserve">BARRA DE APOIO RETA, EM ACO, COMPRIMENTO 40 CM, FIXADA NA PAREDE - FORNECIMENTO E INSTALAÇÃO. </v>
      </c>
      <c r="E406" s="1315" t="str">
        <f>IFERROR(VLOOKUP($B406,'24.08_ND'!$A:$D,3,0),IFERROR(VLOOKUP($B406,'03-CP'!$C$5:$H$4646,3,0),""))</f>
        <v>UN</v>
      </c>
      <c r="F406" s="389">
        <v>4</v>
      </c>
      <c r="G406" s="1244"/>
      <c r="H406" s="1244"/>
      <c r="I406" s="1409"/>
      <c r="J406" s="1383"/>
      <c r="K406" s="262"/>
      <c r="L406" s="1389" t="s">
        <v>16229</v>
      </c>
      <c r="M406" s="262"/>
      <c r="N406" s="262"/>
      <c r="O406" s="262"/>
      <c r="P406" s="262"/>
      <c r="Q406" s="262"/>
      <c r="R406" s="262"/>
      <c r="S406" s="262"/>
      <c r="T406" s="262"/>
      <c r="U406" s="262"/>
      <c r="V406" s="262"/>
      <c r="W406" s="262"/>
      <c r="X406" s="262"/>
      <c r="Y406" s="262"/>
      <c r="Z406" s="262"/>
    </row>
    <row r="407" spans="1:26" ht="25.5" outlineLevel="1">
      <c r="A407" s="247" t="s">
        <v>12927</v>
      </c>
      <c r="B407" s="386" t="s">
        <v>14889</v>
      </c>
      <c r="C407" s="1475" t="s">
        <v>14472</v>
      </c>
      <c r="D407" s="1314" t="str">
        <f>IFERROR(VLOOKUP($B407,'24.08_ND'!$A$4833:$D$12369,2,0),IFERROR(VLOOKUP($B407,'03-CP'!$C$5:$H$4646,2,0),""))</f>
        <v xml:space="preserve">DISPENSER INOX PORTA PAPEL TOALHA INTERFOLHADO - FORNECIMENTO E INSTALAÇÃO. </v>
      </c>
      <c r="E407" s="1315" t="str">
        <f>IFERROR(VLOOKUP($B407,'24.08_ND'!$A:$D,3,0),IFERROR(VLOOKUP($B407,'03-CP'!$C$5:$H$4646,3,0),""))</f>
        <v>UN</v>
      </c>
      <c r="F407" s="389">
        <v>4</v>
      </c>
      <c r="G407" s="1244"/>
      <c r="H407" s="1244"/>
      <c r="I407" s="1409"/>
      <c r="J407" s="1383"/>
      <c r="K407" s="262"/>
      <c r="L407" s="1389" t="s">
        <v>16229</v>
      </c>
      <c r="M407" s="262"/>
      <c r="N407" s="262"/>
      <c r="O407" s="262"/>
      <c r="P407" s="262"/>
      <c r="Q407" s="262"/>
      <c r="R407" s="262"/>
      <c r="S407" s="262"/>
      <c r="T407" s="262"/>
      <c r="U407" s="262"/>
      <c r="V407" s="262"/>
      <c r="W407" s="262"/>
      <c r="X407" s="262"/>
      <c r="Y407" s="262"/>
      <c r="Z407" s="262"/>
    </row>
    <row r="408" spans="1:26" ht="25.5" outlineLevel="1">
      <c r="A408" s="247" t="s">
        <v>12928</v>
      </c>
      <c r="B408" s="386" t="s">
        <v>14892</v>
      </c>
      <c r="C408" s="1475" t="s">
        <v>14472</v>
      </c>
      <c r="D408" s="1314" t="str">
        <f>IFERROR(VLOOKUP($B408,'24.08_ND'!$A$4833:$D$12369,2,0),IFERROR(VLOOKUP($B408,'03-CP'!$C$5:$H$4646,2,0),""))</f>
        <v xml:space="preserve">SUPORTE INOX DE PAPEL HIGIÊNICO ROLO - FORNECIMENTO E INSTALAÇÃO. </v>
      </c>
      <c r="E408" s="1315" t="str">
        <f>IFERROR(VLOOKUP($B408,'24.08_ND'!$A:$D,3,0),IFERROR(VLOOKUP($B408,'03-CP'!$C$5:$H$4646,3,0),""))</f>
        <v>UN</v>
      </c>
      <c r="F408" s="389">
        <v>6</v>
      </c>
      <c r="G408" s="1244"/>
      <c r="H408" s="1244"/>
      <c r="I408" s="1409"/>
      <c r="J408" s="1383"/>
      <c r="K408" s="262"/>
      <c r="L408" s="1389" t="s">
        <v>16229</v>
      </c>
      <c r="M408" s="262"/>
      <c r="N408" s="262"/>
      <c r="O408" s="262"/>
      <c r="P408" s="262"/>
      <c r="Q408" s="262"/>
      <c r="R408" s="262"/>
      <c r="S408" s="262"/>
      <c r="T408" s="262"/>
      <c r="U408" s="262"/>
      <c r="V408" s="262"/>
      <c r="W408" s="262"/>
      <c r="X408" s="262"/>
      <c r="Y408" s="262"/>
      <c r="Z408" s="262"/>
    </row>
    <row r="409" spans="1:26" ht="25.5" outlineLevel="1">
      <c r="A409" s="247" t="s">
        <v>12929</v>
      </c>
      <c r="B409" s="386" t="s">
        <v>14895</v>
      </c>
      <c r="C409" s="1475" t="s">
        <v>14472</v>
      </c>
      <c r="D409" s="1314" t="str">
        <f>IFERROR(VLOOKUP($B409,'24.08_ND'!$A$4833:$D$12369,2,0),IFERROR(VLOOKUP($B409,'03-CP'!$C$5:$H$4646,2,0),""))</f>
        <v xml:space="preserve">DISPENSER INOX SABONETEIRA ATÉ 800ML - FORNECIMENTO E INSTALAÇÃO. </v>
      </c>
      <c r="E409" s="1315" t="str">
        <f>IFERROR(VLOOKUP($B409,'24.08_ND'!$A:$D,3,0),IFERROR(VLOOKUP($B409,'03-CP'!$C$5:$H$4646,3,0),""))</f>
        <v>UN</v>
      </c>
      <c r="F409" s="389">
        <v>4</v>
      </c>
      <c r="G409" s="1244"/>
      <c r="H409" s="1244"/>
      <c r="I409" s="1409"/>
      <c r="J409" s="1383"/>
      <c r="K409" s="262"/>
      <c r="L409" s="1389" t="s">
        <v>16229</v>
      </c>
      <c r="M409" s="262"/>
      <c r="N409" s="262"/>
      <c r="O409" s="262"/>
      <c r="P409" s="262"/>
      <c r="Q409" s="262"/>
      <c r="R409" s="262"/>
      <c r="S409" s="262"/>
      <c r="T409" s="262"/>
      <c r="U409" s="262"/>
      <c r="V409" s="262"/>
      <c r="W409" s="262"/>
      <c r="X409" s="262"/>
      <c r="Y409" s="262"/>
      <c r="Z409" s="262"/>
    </row>
    <row r="410" spans="1:26" ht="25.5" outlineLevel="1">
      <c r="A410" s="247" t="s">
        <v>12930</v>
      </c>
      <c r="B410" s="386" t="s">
        <v>14898</v>
      </c>
      <c r="C410" s="1475" t="s">
        <v>14472</v>
      </c>
      <c r="D410" s="1314" t="str">
        <f>IFERROR(VLOOKUP($B410,'24.08_ND'!$A$4833:$D$12369,2,0),IFERROR(VLOOKUP($B410,'03-CP'!$C$5:$H$4646,2,0),""))</f>
        <v>ESPELHO ESP 4MM COM ACABAMENTO BISOTADO - FORNECIMENTO E INSTALAÇÃO</v>
      </c>
      <c r="E410" s="1315" t="str">
        <f>IFERROR(VLOOKUP($B410,'24.08_ND'!$A:$D,3,0),IFERROR(VLOOKUP($B410,'03-CP'!$C$5:$H$4646,3,0),""))</f>
        <v>M2</v>
      </c>
      <c r="F410" s="389">
        <f>(0.45*0.8)*8</f>
        <v>2.8800000000000003</v>
      </c>
      <c r="G410" s="1244"/>
      <c r="H410" s="1244"/>
      <c r="I410" s="1409"/>
      <c r="J410" s="1383"/>
      <c r="K410" s="262"/>
      <c r="L410" s="1389" t="s">
        <v>16229</v>
      </c>
      <c r="M410" s="262"/>
      <c r="N410" s="262"/>
      <c r="O410" s="262"/>
      <c r="P410" s="262"/>
      <c r="Q410" s="262"/>
      <c r="R410" s="262"/>
      <c r="S410" s="262"/>
      <c r="T410" s="262"/>
      <c r="U410" s="262"/>
      <c r="V410" s="262"/>
      <c r="W410" s="262"/>
      <c r="X410" s="262"/>
      <c r="Y410" s="262"/>
      <c r="Z410" s="262"/>
    </row>
    <row r="411" spans="1:26" ht="15.75" outlineLevel="1">
      <c r="A411" s="247" t="s">
        <v>12931</v>
      </c>
      <c r="B411" s="386" t="s">
        <v>14901</v>
      </c>
      <c r="C411" s="1475" t="s">
        <v>14472</v>
      </c>
      <c r="D411" s="1314" t="str">
        <f>IFERROR(VLOOKUP($B411,'24.08_ND'!$A$4833:$D$12369,2,0),IFERROR(VLOOKUP($B411,'03-CP'!$C$5:$H$4646,2,0),""))</f>
        <v>LIXEIRA EM AÇO INOX 50 LITROS - FORNECIMENTO E COLOCAÇÃO</v>
      </c>
      <c r="E411" s="1315" t="str">
        <f>IFERROR(VLOOKUP($B411,'24.08_ND'!$A:$D,3,0),IFERROR(VLOOKUP($B411,'03-CP'!$C$5:$H$4646,3,0),""))</f>
        <v>UN</v>
      </c>
      <c r="F411" s="389">
        <v>2</v>
      </c>
      <c r="G411" s="1244"/>
      <c r="H411" s="1244"/>
      <c r="I411" s="1409"/>
      <c r="J411" s="1383"/>
      <c r="K411" s="262"/>
      <c r="L411" s="1389" t="s">
        <v>16229</v>
      </c>
      <c r="M411" s="262"/>
      <c r="N411" s="262"/>
      <c r="O411" s="262"/>
      <c r="P411" s="262"/>
      <c r="Q411" s="262"/>
      <c r="R411" s="262"/>
      <c r="S411" s="262"/>
      <c r="T411" s="262"/>
      <c r="U411" s="262"/>
      <c r="V411" s="262"/>
      <c r="W411" s="262"/>
      <c r="X411" s="262"/>
      <c r="Y411" s="262"/>
      <c r="Z411" s="262"/>
    </row>
    <row r="412" spans="1:26" ht="25.5" outlineLevel="1">
      <c r="A412" s="247" t="s">
        <v>12932</v>
      </c>
      <c r="B412" s="386" t="s">
        <v>14904</v>
      </c>
      <c r="C412" s="1475" t="s">
        <v>14472</v>
      </c>
      <c r="D412" s="1314" t="str">
        <f>IFERROR(VLOOKUP($B412,'24.08_ND'!$A$4833:$D$12369,2,0),IFERROR(VLOOKUP($B412,'03-CP'!$C$5:$H$4646,2,0),""))</f>
        <v>LIXEIRA EM AÇO INOX COM TAMPA 5 LITROS - FORNECIMENTO E COLOCAÇÃO</v>
      </c>
      <c r="E412" s="1315" t="str">
        <f>IFERROR(VLOOKUP($B412,'24.08_ND'!$A:$D,3,0),IFERROR(VLOOKUP($B412,'03-CP'!$C$5:$H$4646,3,0),""))</f>
        <v>UN</v>
      </c>
      <c r="F412" s="389">
        <v>6</v>
      </c>
      <c r="G412" s="1244"/>
      <c r="H412" s="1244"/>
      <c r="I412" s="1409"/>
      <c r="J412" s="1383"/>
      <c r="K412" s="262"/>
      <c r="L412" s="1389" t="s">
        <v>16229</v>
      </c>
      <c r="M412" s="262"/>
      <c r="N412" s="262"/>
      <c r="O412" s="262"/>
      <c r="P412" s="262"/>
      <c r="Q412" s="262"/>
      <c r="R412" s="262"/>
      <c r="S412" s="262"/>
      <c r="T412" s="262"/>
      <c r="U412" s="262"/>
      <c r="V412" s="262"/>
      <c r="W412" s="262"/>
      <c r="X412" s="262"/>
      <c r="Y412" s="262"/>
      <c r="Z412" s="262"/>
    </row>
    <row r="413" spans="1:26" ht="12.75" hidden="1" outlineLevel="1">
      <c r="A413" s="247"/>
      <c r="B413" s="386"/>
      <c r="C413" s="386"/>
      <c r="D413" s="253"/>
      <c r="E413" s="1244"/>
      <c r="F413" s="389"/>
      <c r="G413" s="1244"/>
      <c r="H413" s="1244"/>
      <c r="I413" s="1409"/>
      <c r="J413" s="1383" t="s">
        <v>16228</v>
      </c>
      <c r="K413" s="262"/>
      <c r="L413" s="386"/>
      <c r="M413" s="262"/>
      <c r="N413" s="262"/>
      <c r="O413" s="262"/>
      <c r="P413" s="262"/>
      <c r="Q413" s="262"/>
      <c r="R413" s="262"/>
      <c r="S413" s="262"/>
      <c r="T413" s="262"/>
      <c r="U413" s="262"/>
      <c r="V413" s="262"/>
      <c r="W413" s="262"/>
      <c r="X413" s="262"/>
      <c r="Y413" s="262"/>
      <c r="Z413" s="262"/>
    </row>
    <row r="414" spans="1:26" ht="25.5">
      <c r="A414" s="246" t="s">
        <v>12933</v>
      </c>
      <c r="B414" s="1378"/>
      <c r="C414" s="1378"/>
      <c r="D414" s="1379" t="s">
        <v>16301</v>
      </c>
      <c r="E414" s="1380"/>
      <c r="F414" s="1381"/>
      <c r="G414" s="1380"/>
      <c r="H414" s="1381"/>
      <c r="I414" s="1382"/>
      <c r="J414" s="1383" t="s">
        <v>16228</v>
      </c>
      <c r="K414" s="1297" t="e">
        <f>VLOOKUP(#REF!,'Medição '!$A:$G,10,0)</f>
        <v>#REF!</v>
      </c>
      <c r="L414" s="386"/>
      <c r="M414" s="262"/>
      <c r="N414" s="262"/>
      <c r="O414" s="262"/>
      <c r="P414" s="262"/>
      <c r="Q414" s="262"/>
      <c r="R414" s="262"/>
      <c r="S414" s="262"/>
      <c r="T414" s="262"/>
      <c r="U414" s="262"/>
      <c r="V414" s="262"/>
      <c r="W414" s="262"/>
      <c r="X414" s="262"/>
      <c r="Y414" s="262"/>
      <c r="Z414" s="262"/>
    </row>
    <row r="415" spans="1:26" ht="25.5" outlineLevel="1">
      <c r="A415" s="1385" t="s">
        <v>12934</v>
      </c>
      <c r="B415" s="295" t="s">
        <v>14907</v>
      </c>
      <c r="C415" s="295" t="s">
        <v>14472</v>
      </c>
      <c r="D415" s="658" t="str">
        <f>IFERROR(VLOOKUP($B415,'24.08_ND'!$A$4833:$D$12369,2,0),IFERROR(VLOOKUP($B415,'03-CP'!$C$5:$H$4646,2,0),""))</f>
        <v>PLACA DE SINALIZAÇÃO EM BRAILLE EM AÇO INOX,  DIMENSÕES 20X10 CM - FORNECIMENTO E INSTALAÇÃO</v>
      </c>
      <c r="E415" s="1318" t="str">
        <f>IFERROR(VLOOKUP($B415,'24.08_ND'!$A:$D,3,0),IFERROR(VLOOKUP($B415,'03-CP'!$C$5:$H$4646,3,0),""))</f>
        <v>UN</v>
      </c>
      <c r="F415" s="1478">
        <v>2</v>
      </c>
      <c r="G415" s="1387"/>
      <c r="H415" s="1387"/>
      <c r="I415" s="1388"/>
      <c r="J415" s="1383"/>
      <c r="K415" s="262"/>
      <c r="L415" s="1389"/>
      <c r="M415" s="262"/>
      <c r="N415" s="262"/>
      <c r="O415" s="262"/>
      <c r="P415" s="262"/>
      <c r="Q415" s="262"/>
      <c r="R415" s="262"/>
      <c r="S415" s="262"/>
      <c r="T415" s="262"/>
      <c r="U415" s="262"/>
      <c r="V415" s="262"/>
      <c r="W415" s="262"/>
      <c r="X415" s="262"/>
      <c r="Y415" s="262"/>
      <c r="Z415" s="262"/>
    </row>
    <row r="416" spans="1:26" ht="25.5" outlineLevel="1">
      <c r="A416" s="1385" t="s">
        <v>12935</v>
      </c>
      <c r="B416" s="1479">
        <v>103946</v>
      </c>
      <c r="C416" s="295" t="s">
        <v>14476</v>
      </c>
      <c r="D416" s="658" t="str">
        <f>IFERROR(VLOOKUP($B416,'24.08_ND'!$A$4833:$D$12369,2,0),IFERROR(VLOOKUP($B416,'03-CP'!$C$5:$H$4646,2,0),""))</f>
        <v>PLANTIO DE GRAMA ESMERALDA OU SÃO CARLOS OU CURITIBANA, EM PLACAS. AF_07/2024</v>
      </c>
      <c r="E416" s="1318" t="str">
        <f>IFERROR(VLOOKUP($B416,'24.08_ND'!$A:$D,3,0),IFERROR(VLOOKUP($B416,'03-CP'!$C$5:$H$4646,3,0),""))</f>
        <v>M2</v>
      </c>
      <c r="F416" s="1478">
        <v>52.76</v>
      </c>
      <c r="G416" s="1387"/>
      <c r="H416" s="1387"/>
      <c r="I416" s="1388"/>
      <c r="J416" s="1383"/>
      <c r="K416" s="262"/>
      <c r="L416" s="1389" t="s">
        <v>16229</v>
      </c>
      <c r="M416" s="262"/>
      <c r="N416" s="262"/>
      <c r="O416" s="262"/>
      <c r="P416" s="262"/>
      <c r="Q416" s="262"/>
      <c r="R416" s="262"/>
      <c r="S416" s="262"/>
      <c r="T416" s="262"/>
      <c r="U416" s="262"/>
      <c r="V416" s="262"/>
      <c r="W416" s="262"/>
      <c r="X416" s="262"/>
      <c r="Y416" s="262"/>
      <c r="Z416" s="262"/>
    </row>
    <row r="417" spans="1:26" ht="12.75" hidden="1" outlineLevel="1">
      <c r="A417" s="450"/>
      <c r="B417" s="386"/>
      <c r="C417" s="386"/>
      <c r="D417" s="253"/>
      <c r="E417" s="1244"/>
      <c r="F417" s="389"/>
      <c r="G417" s="1244"/>
      <c r="H417" s="1244"/>
      <c r="I417" s="1409"/>
      <c r="J417" s="1383"/>
      <c r="K417" s="262"/>
      <c r="L417" s="386"/>
      <c r="M417" s="262"/>
      <c r="N417" s="262"/>
      <c r="O417" s="262"/>
      <c r="P417" s="262"/>
      <c r="Q417" s="262"/>
      <c r="R417" s="262"/>
      <c r="S417" s="262"/>
      <c r="T417" s="262"/>
      <c r="U417" s="262"/>
      <c r="V417" s="262"/>
      <c r="W417" s="262"/>
      <c r="X417" s="262"/>
      <c r="Y417" s="262"/>
      <c r="Z417" s="262"/>
    </row>
    <row r="418" spans="1:26" ht="17.25" outlineLevel="1">
      <c r="A418" s="1385" t="s">
        <v>12936</v>
      </c>
      <c r="B418" s="1479">
        <v>98509</v>
      </c>
      <c r="C418" s="295" t="s">
        <v>14476</v>
      </c>
      <c r="D418" s="658" t="str">
        <f>IFERROR(VLOOKUP($B418,'24.08_ND'!$A$4833:$D$12369,2,0),IFERROR(VLOOKUP($B418,'03-CP'!$C$5:$H$4646,2,0),""))</f>
        <v>PLANTIO DE ARBUSTO OU  CERCA VIVA. AF_07/2024</v>
      </c>
      <c r="E418" s="1318" t="str">
        <f>IFERROR(VLOOKUP($B418,'24.08_ND'!$A:$D,3,0),IFERROR(VLOOKUP($B418,'03-CP'!$C$5:$H$4646,3,0),""))</f>
        <v>UN</v>
      </c>
      <c r="F418" s="1478">
        <f>SUM(I419:I421)</f>
        <v>63</v>
      </c>
      <c r="G418" s="1387"/>
      <c r="H418" s="1387"/>
      <c r="I418" s="1388"/>
      <c r="J418" s="1383"/>
      <c r="K418" s="262"/>
      <c r="L418" s="1389" t="s">
        <v>16229</v>
      </c>
      <c r="M418" s="262"/>
      <c r="N418" s="262"/>
      <c r="O418" s="262"/>
      <c r="P418" s="262"/>
      <c r="Q418" s="262"/>
      <c r="R418" s="262"/>
      <c r="S418" s="262"/>
      <c r="T418" s="262"/>
      <c r="U418" s="262"/>
      <c r="V418" s="262"/>
      <c r="W418" s="262"/>
      <c r="X418" s="262"/>
      <c r="Y418" s="262"/>
      <c r="Z418" s="262"/>
    </row>
    <row r="419" spans="1:26" ht="12.75" hidden="1" outlineLevel="1">
      <c r="A419" s="450"/>
      <c r="B419" s="386"/>
      <c r="C419" s="386"/>
      <c r="D419" s="1480" t="s">
        <v>16302</v>
      </c>
      <c r="E419" s="1481"/>
      <c r="F419" s="1482"/>
      <c r="G419" s="1481"/>
      <c r="H419" s="1481">
        <v>15</v>
      </c>
      <c r="I419" s="1483">
        <f>H419</f>
        <v>15</v>
      </c>
      <c r="J419" s="1383"/>
      <c r="K419" s="262"/>
      <c r="L419" s="386"/>
      <c r="M419" s="262"/>
      <c r="N419" s="262"/>
      <c r="O419" s="262"/>
      <c r="P419" s="262"/>
      <c r="Q419" s="262"/>
      <c r="R419" s="262"/>
      <c r="S419" s="262"/>
      <c r="T419" s="262"/>
      <c r="U419" s="262"/>
      <c r="V419" s="262"/>
      <c r="W419" s="262"/>
      <c r="X419" s="262"/>
      <c r="Y419" s="262"/>
      <c r="Z419" s="262"/>
    </row>
    <row r="420" spans="1:26" ht="12.75" hidden="1" outlineLevel="1">
      <c r="A420" s="450"/>
      <c r="B420" s="386"/>
      <c r="C420" s="386"/>
      <c r="D420" s="1484" t="s">
        <v>15545</v>
      </c>
      <c r="E420" s="1244"/>
      <c r="F420" s="389"/>
      <c r="G420" s="1244"/>
      <c r="H420" s="1244">
        <v>20</v>
      </c>
      <c r="I420" s="1409">
        <f>H420</f>
        <v>20</v>
      </c>
      <c r="J420" s="1383"/>
      <c r="K420" s="262"/>
      <c r="L420" s="386"/>
      <c r="M420" s="262"/>
      <c r="N420" s="262"/>
      <c r="O420" s="262"/>
      <c r="P420" s="262"/>
      <c r="Q420" s="262"/>
      <c r="R420" s="262"/>
      <c r="S420" s="262"/>
      <c r="T420" s="262"/>
      <c r="U420" s="262"/>
      <c r="V420" s="262"/>
      <c r="W420" s="262"/>
      <c r="X420" s="262"/>
      <c r="Y420" s="262"/>
      <c r="Z420" s="262"/>
    </row>
    <row r="421" spans="1:26" ht="12.75" hidden="1" outlineLevel="1">
      <c r="A421" s="450"/>
      <c r="B421" s="386"/>
      <c r="C421" s="386"/>
      <c r="D421" s="1484" t="s">
        <v>16303</v>
      </c>
      <c r="E421" s="1244"/>
      <c r="F421" s="389"/>
      <c r="G421" s="1244"/>
      <c r="H421" s="1244">
        <v>28</v>
      </c>
      <c r="I421" s="1409">
        <f>H421</f>
        <v>28</v>
      </c>
      <c r="J421" s="1383"/>
      <c r="K421" s="262"/>
      <c r="L421" s="386"/>
      <c r="M421" s="262"/>
      <c r="N421" s="262"/>
      <c r="O421" s="262"/>
      <c r="P421" s="262"/>
      <c r="Q421" s="262"/>
      <c r="R421" s="262"/>
      <c r="S421" s="262"/>
      <c r="T421" s="262"/>
      <c r="U421" s="262"/>
      <c r="V421" s="262"/>
      <c r="W421" s="262"/>
      <c r="X421" s="262"/>
      <c r="Y421" s="262"/>
      <c r="Z421" s="262"/>
    </row>
    <row r="422" spans="1:26" ht="12.75" hidden="1" outlineLevel="1">
      <c r="A422" s="450"/>
      <c r="B422" s="386"/>
      <c r="C422" s="386"/>
      <c r="D422" s="1422" t="s">
        <v>16304</v>
      </c>
      <c r="E422" s="1248"/>
      <c r="F422" s="1436"/>
      <c r="G422" s="1248"/>
      <c r="H422" s="1248"/>
      <c r="I422" s="1281"/>
      <c r="J422" s="1383"/>
      <c r="K422" s="262"/>
      <c r="L422" s="386"/>
      <c r="M422" s="262"/>
      <c r="N422" s="262"/>
      <c r="O422" s="262"/>
      <c r="P422" s="262"/>
      <c r="Q422" s="262"/>
      <c r="R422" s="262"/>
      <c r="S422" s="262"/>
      <c r="T422" s="262"/>
      <c r="U422" s="262"/>
      <c r="V422" s="262"/>
      <c r="W422" s="262"/>
      <c r="X422" s="262"/>
      <c r="Y422" s="262"/>
      <c r="Z422" s="262"/>
    </row>
    <row r="423" spans="1:26" ht="12.75" hidden="1" outlineLevel="1">
      <c r="A423" s="450"/>
      <c r="B423" s="386"/>
      <c r="C423" s="386"/>
      <c r="D423" s="253"/>
      <c r="E423" s="1244"/>
      <c r="F423" s="389"/>
      <c r="G423" s="1244"/>
      <c r="H423" s="1244"/>
      <c r="I423" s="1409"/>
      <c r="J423" s="1383"/>
      <c r="K423" s="262"/>
      <c r="L423" s="386"/>
      <c r="M423" s="262"/>
      <c r="N423" s="262"/>
      <c r="O423" s="262"/>
      <c r="P423" s="262"/>
      <c r="Q423" s="262"/>
      <c r="R423" s="262"/>
      <c r="S423" s="262"/>
      <c r="T423" s="262"/>
      <c r="U423" s="262"/>
      <c r="V423" s="262"/>
      <c r="W423" s="262"/>
      <c r="X423" s="262"/>
      <c r="Y423" s="262"/>
      <c r="Z423" s="262"/>
    </row>
    <row r="424" spans="1:26" ht="25.5" outlineLevel="1">
      <c r="A424" s="1385" t="s">
        <v>12937</v>
      </c>
      <c r="B424" s="1479">
        <v>98510</v>
      </c>
      <c r="C424" s="295" t="s">
        <v>14476</v>
      </c>
      <c r="D424" s="658" t="str">
        <f>IFERROR(VLOOKUP($B424,'24.08_ND'!$A$4833:$D$12369,2,0),IFERROR(VLOOKUP($B424,'03-CP'!$C$5:$H$4646,2,0),""))</f>
        <v>PLANTIO DE ÁRVORE ORNAMENTAL COM ALTURA DE MUDA MENOR OU IGUAL A 2,00 M . AF_07/2024</v>
      </c>
      <c r="E424" s="1318" t="str">
        <f>IFERROR(VLOOKUP($B424,'24.08_ND'!$A:$D,3,0),IFERROR(VLOOKUP($B424,'03-CP'!$C$5:$H$4646,3,0),""))</f>
        <v>UN</v>
      </c>
      <c r="F424" s="1478">
        <f>SUM(I425:I426)</f>
        <v>7</v>
      </c>
      <c r="G424" s="1387"/>
      <c r="H424" s="1387"/>
      <c r="I424" s="1388"/>
      <c r="J424" s="1383"/>
      <c r="K424" s="262"/>
      <c r="L424" s="1389" t="s">
        <v>16229</v>
      </c>
      <c r="M424" s="262"/>
      <c r="N424" s="262"/>
      <c r="O424" s="262"/>
      <c r="P424" s="262"/>
      <c r="Q424" s="262"/>
      <c r="R424" s="262"/>
      <c r="S424" s="262"/>
      <c r="T424" s="262"/>
      <c r="U424" s="262"/>
      <c r="V424" s="262"/>
      <c r="W424" s="262"/>
      <c r="X424" s="262"/>
      <c r="Y424" s="262"/>
      <c r="Z424" s="262"/>
    </row>
    <row r="425" spans="1:26" ht="12.75" hidden="1" outlineLevel="1">
      <c r="A425" s="247"/>
      <c r="B425" s="386"/>
      <c r="C425" s="386"/>
      <c r="D425" s="1485" t="s">
        <v>16305</v>
      </c>
      <c r="E425" s="1481"/>
      <c r="F425" s="1482"/>
      <c r="G425" s="1481"/>
      <c r="H425" s="1481">
        <v>1</v>
      </c>
      <c r="I425" s="1483">
        <v>1</v>
      </c>
      <c r="J425" s="1383"/>
      <c r="K425" s="262"/>
      <c r="L425" s="386"/>
      <c r="M425" s="262"/>
      <c r="N425" s="262"/>
      <c r="O425" s="262"/>
      <c r="P425" s="262"/>
      <c r="Q425" s="262"/>
      <c r="R425" s="262"/>
      <c r="S425" s="262"/>
      <c r="T425" s="262"/>
      <c r="U425" s="262"/>
      <c r="V425" s="262"/>
      <c r="W425" s="262"/>
      <c r="X425" s="262"/>
      <c r="Y425" s="262"/>
      <c r="Z425" s="262"/>
    </row>
    <row r="426" spans="1:26" ht="12.75" hidden="1" outlineLevel="1">
      <c r="A426" s="247"/>
      <c r="B426" s="386"/>
      <c r="C426" s="386"/>
      <c r="D426" s="1486" t="s">
        <v>16306</v>
      </c>
      <c r="E426" s="1244"/>
      <c r="F426" s="389"/>
      <c r="G426" s="1244"/>
      <c r="H426" s="1244">
        <v>6</v>
      </c>
      <c r="I426" s="1409">
        <f>H426</f>
        <v>6</v>
      </c>
      <c r="J426" s="1383"/>
      <c r="K426" s="262"/>
      <c r="L426" s="386"/>
      <c r="M426" s="262"/>
      <c r="N426" s="262"/>
      <c r="O426" s="262"/>
      <c r="P426" s="262"/>
      <c r="Q426" s="262"/>
      <c r="R426" s="262"/>
      <c r="S426" s="262"/>
      <c r="T426" s="262"/>
      <c r="U426" s="262"/>
      <c r="V426" s="262"/>
      <c r="W426" s="262"/>
      <c r="X426" s="262"/>
      <c r="Y426" s="262"/>
      <c r="Z426" s="262"/>
    </row>
    <row r="427" spans="1:26" ht="12.75" hidden="1" outlineLevel="1">
      <c r="A427" s="247"/>
      <c r="B427" s="386"/>
      <c r="C427" s="386"/>
      <c r="D427" s="1422" t="s">
        <v>16304</v>
      </c>
      <c r="E427" s="1248"/>
      <c r="F427" s="1436"/>
      <c r="G427" s="1248"/>
      <c r="H427" s="1248"/>
      <c r="I427" s="1281"/>
      <c r="J427" s="1383"/>
      <c r="K427" s="262"/>
      <c r="L427" s="386"/>
      <c r="M427" s="262"/>
      <c r="N427" s="262"/>
      <c r="O427" s="262"/>
      <c r="P427" s="262"/>
      <c r="Q427" s="262"/>
      <c r="R427" s="262"/>
      <c r="S427" s="262"/>
      <c r="T427" s="262"/>
      <c r="U427" s="262"/>
      <c r="V427" s="262"/>
      <c r="W427" s="262"/>
      <c r="X427" s="262"/>
      <c r="Y427" s="262"/>
      <c r="Z427" s="262"/>
    </row>
    <row r="428" spans="1:26" ht="12.75" hidden="1" outlineLevel="1">
      <c r="A428" s="247"/>
      <c r="B428" s="386"/>
      <c r="C428" s="386"/>
      <c r="D428" s="253"/>
      <c r="E428" s="1244"/>
      <c r="F428" s="389"/>
      <c r="G428" s="1244"/>
      <c r="H428" s="1244"/>
      <c r="I428" s="1409"/>
      <c r="J428" s="1383"/>
      <c r="K428" s="262"/>
      <c r="L428" s="386"/>
      <c r="M428" s="262"/>
      <c r="N428" s="262"/>
      <c r="O428" s="262"/>
      <c r="P428" s="262"/>
      <c r="Q428" s="262"/>
      <c r="R428" s="262"/>
      <c r="S428" s="262"/>
      <c r="T428" s="262"/>
      <c r="U428" s="262"/>
      <c r="V428" s="262"/>
      <c r="W428" s="262"/>
      <c r="X428" s="262"/>
      <c r="Y428" s="262"/>
      <c r="Z428" s="262"/>
    </row>
    <row r="429" spans="1:26" ht="17.25" outlineLevel="1">
      <c r="A429" s="1385" t="s">
        <v>12938</v>
      </c>
      <c r="B429" s="1479" t="s">
        <v>15102</v>
      </c>
      <c r="C429" s="295" t="s">
        <v>14472</v>
      </c>
      <c r="D429" s="658" t="str">
        <f>IFERROR(VLOOKUP($B429,'24.08_ND'!$A$4833:$D$12369,2,0),IFERROR(VLOOKUP($B429,'03-CP'!$C$5:$H$4646,2,0),""))</f>
        <v>PLANTIO DE PALMEIRA ( PALMEIRA CARPENTÁRIA 1,5 A 2,5 M  )</v>
      </c>
      <c r="E429" s="1318" t="str">
        <f>IFERROR(VLOOKUP($B429,'24.08_ND'!$A:$D,3,0),IFERROR(VLOOKUP($B429,'03-CP'!$C$5:$H$4646,3,0),""))</f>
        <v>UN</v>
      </c>
      <c r="F429" s="1478">
        <f>SUM(I431)</f>
        <v>3</v>
      </c>
      <c r="G429" s="1387"/>
      <c r="H429" s="1387"/>
      <c r="I429" s="1388"/>
      <c r="J429" s="1383"/>
      <c r="K429" s="262"/>
      <c r="L429" s="1389" t="s">
        <v>16229</v>
      </c>
      <c r="M429" s="262"/>
      <c r="N429" s="262"/>
      <c r="O429" s="262"/>
      <c r="P429" s="262"/>
      <c r="Q429" s="262"/>
      <c r="R429" s="262"/>
      <c r="S429" s="262"/>
      <c r="T429" s="262"/>
      <c r="U429" s="262"/>
      <c r="V429" s="262"/>
      <c r="W429" s="262"/>
      <c r="X429" s="262"/>
      <c r="Y429" s="262"/>
      <c r="Z429" s="262"/>
    </row>
    <row r="430" spans="1:26" ht="12.75" hidden="1" outlineLevel="1">
      <c r="A430" s="247"/>
      <c r="B430" s="386"/>
      <c r="C430" s="386"/>
      <c r="D430" s="1485" t="s">
        <v>16307</v>
      </c>
      <c r="E430" s="1481"/>
      <c r="F430" s="1482"/>
      <c r="G430" s="1481"/>
      <c r="H430" s="1481"/>
      <c r="I430" s="1483"/>
      <c r="J430" s="1383"/>
      <c r="K430" s="262"/>
      <c r="L430" s="386"/>
      <c r="M430" s="262"/>
      <c r="N430" s="262"/>
      <c r="O430" s="262"/>
      <c r="P430" s="262"/>
      <c r="Q430" s="262"/>
      <c r="R430" s="262"/>
      <c r="S430" s="262"/>
      <c r="T430" s="262"/>
      <c r="U430" s="262"/>
      <c r="V430" s="262"/>
      <c r="W430" s="262"/>
      <c r="X430" s="262"/>
      <c r="Y430" s="262"/>
      <c r="Z430" s="262"/>
    </row>
    <row r="431" spans="1:26" ht="12.75" hidden="1" outlineLevel="1">
      <c r="A431" s="247"/>
      <c r="B431" s="386"/>
      <c r="C431" s="386"/>
      <c r="D431" s="1422" t="s">
        <v>16304</v>
      </c>
      <c r="E431" s="1248"/>
      <c r="F431" s="1436"/>
      <c r="G431" s="1248"/>
      <c r="H431" s="1248">
        <v>3</v>
      </c>
      <c r="I431" s="1281">
        <f>H431</f>
        <v>3</v>
      </c>
      <c r="J431" s="1383"/>
      <c r="K431" s="262"/>
      <c r="L431" s="386"/>
      <c r="M431" s="262"/>
      <c r="N431" s="262"/>
      <c r="O431" s="262"/>
      <c r="P431" s="262"/>
      <c r="Q431" s="262"/>
      <c r="R431" s="262"/>
      <c r="S431" s="262"/>
      <c r="T431" s="262"/>
      <c r="U431" s="262"/>
      <c r="V431" s="262"/>
      <c r="W431" s="262"/>
      <c r="X431" s="262"/>
      <c r="Y431" s="262"/>
      <c r="Z431" s="262"/>
    </row>
    <row r="432" spans="1:26" ht="12.75" hidden="1" outlineLevel="1">
      <c r="A432" s="247"/>
      <c r="B432" s="386"/>
      <c r="C432" s="386"/>
      <c r="D432" s="253"/>
      <c r="E432" s="1244"/>
      <c r="F432" s="389"/>
      <c r="G432" s="1244"/>
      <c r="H432" s="1244"/>
      <c r="I432" s="1409"/>
      <c r="J432" s="1383" t="s">
        <v>16228</v>
      </c>
      <c r="K432" s="262"/>
      <c r="L432" s="386"/>
      <c r="M432" s="262"/>
      <c r="N432" s="262"/>
      <c r="O432" s="262"/>
      <c r="P432" s="262"/>
      <c r="Q432" s="262"/>
      <c r="R432" s="262"/>
      <c r="S432" s="262"/>
      <c r="T432" s="262"/>
      <c r="U432" s="262"/>
      <c r="V432" s="262"/>
      <c r="W432" s="262"/>
      <c r="X432" s="262"/>
      <c r="Y432" s="262"/>
      <c r="Z432" s="262"/>
    </row>
    <row r="433" spans="1:26" ht="17.25" outlineLevel="1">
      <c r="A433" s="1385" t="s">
        <v>12939</v>
      </c>
      <c r="B433" s="1479" t="s">
        <v>15099</v>
      </c>
      <c r="C433" s="295" t="s">
        <v>14472</v>
      </c>
      <c r="D433" s="658" t="str">
        <f>IFERROR(VLOOKUP($B433,'24.08_ND'!$A$4833:$D$12369,2,0),IFERROR(VLOOKUP($B433,'03-CP'!$C$5:$H$4646,2,0),""))</f>
        <v>PLANTIO DE PALMEIRA ( PALMEIRA FÊNIX DUPLA ATÉ 1,5 M )</v>
      </c>
      <c r="E433" s="1318" t="str">
        <f>IFERROR(VLOOKUP($B433,'24.08_ND'!$A:$D,3,0),IFERROR(VLOOKUP($B433,'03-CP'!$C$5:$H$4646,3,0),""))</f>
        <v>UN</v>
      </c>
      <c r="F433" s="1478">
        <f>SUM(I435)</f>
        <v>5</v>
      </c>
      <c r="G433" s="1387"/>
      <c r="H433" s="1387"/>
      <c r="I433" s="1388"/>
      <c r="J433" s="1383" t="s">
        <v>16228</v>
      </c>
      <c r="K433" s="262"/>
      <c r="L433" s="1389" t="s">
        <v>16229</v>
      </c>
      <c r="M433" s="262"/>
      <c r="N433" s="262"/>
      <c r="O433" s="262"/>
      <c r="P433" s="262"/>
      <c r="Q433" s="262"/>
      <c r="R433" s="262"/>
      <c r="S433" s="262"/>
      <c r="T433" s="262"/>
      <c r="U433" s="262"/>
      <c r="V433" s="262"/>
      <c r="W433" s="262"/>
      <c r="X433" s="262"/>
      <c r="Y433" s="262"/>
      <c r="Z433" s="262"/>
    </row>
    <row r="434" spans="1:26" ht="12.75" hidden="1" outlineLevel="1">
      <c r="A434" s="247"/>
      <c r="B434" s="386"/>
      <c r="C434" s="386"/>
      <c r="D434" s="1485" t="s">
        <v>16308</v>
      </c>
      <c r="E434" s="1481"/>
      <c r="F434" s="1482"/>
      <c r="G434" s="1481"/>
      <c r="H434" s="1481"/>
      <c r="I434" s="1483"/>
      <c r="J434" s="1383" t="s">
        <v>16228</v>
      </c>
      <c r="K434" s="262"/>
      <c r="L434" s="386"/>
      <c r="M434" s="262"/>
      <c r="N434" s="262"/>
      <c r="O434" s="262"/>
      <c r="P434" s="262"/>
      <c r="Q434" s="262"/>
      <c r="R434" s="262"/>
      <c r="S434" s="262"/>
      <c r="T434" s="262"/>
      <c r="U434" s="262"/>
      <c r="V434" s="262"/>
      <c r="W434" s="262"/>
      <c r="X434" s="262"/>
      <c r="Y434" s="262"/>
      <c r="Z434" s="262"/>
    </row>
    <row r="435" spans="1:26" ht="12.75" hidden="1" outlineLevel="1">
      <c r="A435" s="247"/>
      <c r="B435" s="386"/>
      <c r="C435" s="386"/>
      <c r="D435" s="1422" t="s">
        <v>16304</v>
      </c>
      <c r="E435" s="1248"/>
      <c r="F435" s="1436"/>
      <c r="G435" s="1248"/>
      <c r="H435" s="1248">
        <v>5</v>
      </c>
      <c r="I435" s="1281">
        <f>H435</f>
        <v>5</v>
      </c>
      <c r="J435" s="1383" t="s">
        <v>16228</v>
      </c>
      <c r="K435" s="262"/>
      <c r="L435" s="386"/>
      <c r="M435" s="262"/>
      <c r="N435" s="262"/>
      <c r="O435" s="262"/>
      <c r="P435" s="262"/>
      <c r="Q435" s="262"/>
      <c r="R435" s="262"/>
      <c r="S435" s="262"/>
      <c r="T435" s="262"/>
      <c r="U435" s="262"/>
      <c r="V435" s="262"/>
      <c r="W435" s="262"/>
      <c r="X435" s="262"/>
      <c r="Y435" s="262"/>
      <c r="Z435" s="262"/>
    </row>
    <row r="436" spans="1:26" ht="12.75" hidden="1" outlineLevel="1">
      <c r="A436" s="247"/>
      <c r="B436" s="386"/>
      <c r="C436" s="386"/>
      <c r="D436" s="253"/>
      <c r="E436" s="1244"/>
      <c r="F436" s="389"/>
      <c r="G436" s="1244"/>
      <c r="H436" s="1244"/>
      <c r="I436" s="1409"/>
      <c r="J436" s="1383" t="s">
        <v>16228</v>
      </c>
      <c r="K436" s="262"/>
      <c r="L436" s="386"/>
      <c r="M436" s="262"/>
      <c r="N436" s="262"/>
      <c r="O436" s="262"/>
      <c r="P436" s="262"/>
      <c r="Q436" s="262"/>
      <c r="R436" s="262"/>
      <c r="S436" s="262"/>
      <c r="T436" s="262"/>
      <c r="U436" s="262"/>
      <c r="V436" s="262"/>
      <c r="W436" s="262"/>
      <c r="X436" s="262"/>
      <c r="Y436" s="262"/>
      <c r="Z436" s="262"/>
    </row>
    <row r="437" spans="1:26" ht="12.75" hidden="1">
      <c r="A437" s="1487"/>
      <c r="B437" s="1488"/>
      <c r="C437" s="1488"/>
      <c r="D437" s="1489"/>
      <c r="E437" s="1490"/>
      <c r="F437" s="1491"/>
      <c r="G437" s="1492"/>
      <c r="H437" s="1493"/>
      <c r="I437" s="1494"/>
      <c r="J437" s="262"/>
      <c r="K437" s="262"/>
      <c r="L437" s="386"/>
      <c r="M437" s="262"/>
      <c r="N437" s="262"/>
      <c r="O437" s="262"/>
      <c r="P437" s="262"/>
      <c r="Q437" s="262"/>
      <c r="R437" s="262"/>
      <c r="S437" s="262"/>
      <c r="T437" s="262"/>
      <c r="U437" s="262"/>
      <c r="V437" s="262"/>
      <c r="W437" s="262"/>
      <c r="X437" s="262"/>
      <c r="Y437" s="262"/>
      <c r="Z437" s="262"/>
    </row>
    <row r="438" spans="1:26" ht="12.75">
      <c r="A438" s="1298" t="s">
        <v>16309</v>
      </c>
      <c r="B438" s="1371"/>
      <c r="C438" s="1371"/>
      <c r="D438" s="1372"/>
      <c r="E438" s="1373"/>
      <c r="F438" s="1374"/>
      <c r="G438" s="1375"/>
      <c r="H438" s="1376"/>
      <c r="I438" s="1377"/>
      <c r="J438" s="262"/>
      <c r="K438" s="262"/>
      <c r="L438" s="386"/>
      <c r="M438" s="262"/>
      <c r="N438" s="262"/>
      <c r="O438" s="262"/>
      <c r="P438" s="262"/>
      <c r="Q438" s="262"/>
      <c r="R438" s="262"/>
      <c r="S438" s="262"/>
      <c r="T438" s="262"/>
      <c r="U438" s="262"/>
      <c r="V438" s="262"/>
      <c r="W438" s="262"/>
      <c r="X438" s="262"/>
      <c r="Y438" s="262"/>
      <c r="Z438" s="262"/>
    </row>
    <row r="439" spans="1:26" ht="12.75">
      <c r="A439" s="238" t="s">
        <v>12626</v>
      </c>
      <c r="B439" s="1304"/>
      <c r="C439" s="1304"/>
      <c r="D439" s="1305" t="s">
        <v>16310</v>
      </c>
      <c r="E439" s="1306"/>
      <c r="F439" s="1307"/>
      <c r="G439" s="1307"/>
      <c r="H439" s="1495"/>
      <c r="I439" s="1496"/>
      <c r="J439" s="262"/>
      <c r="K439" s="262"/>
      <c r="L439" s="504" t="s">
        <v>16311</v>
      </c>
      <c r="M439" s="386"/>
      <c r="N439" s="386"/>
      <c r="O439" s="262"/>
      <c r="P439" s="262"/>
      <c r="Q439" s="262"/>
      <c r="R439" s="262"/>
      <c r="S439" s="262"/>
      <c r="T439" s="262"/>
      <c r="U439" s="262"/>
      <c r="V439" s="262"/>
      <c r="W439" s="262"/>
      <c r="X439" s="262"/>
      <c r="Y439" s="262"/>
      <c r="Z439" s="262"/>
    </row>
    <row r="440" spans="1:26" ht="12.75">
      <c r="A440" s="250" t="s">
        <v>12940</v>
      </c>
      <c r="B440" s="1309"/>
      <c r="C440" s="1497"/>
      <c r="D440" s="1498" t="s">
        <v>16312</v>
      </c>
      <c r="E440" s="234"/>
      <c r="F440" s="1311"/>
      <c r="G440" s="236"/>
      <c r="H440" s="236"/>
      <c r="I440" s="1499"/>
      <c r="J440" s="1500"/>
      <c r="K440" s="1383" t="s">
        <v>16313</v>
      </c>
      <c r="L440" s="1501"/>
      <c r="M440" s="1501" t="s">
        <v>16314</v>
      </c>
      <c r="O440" s="262"/>
      <c r="P440" s="262"/>
      <c r="Q440" s="262"/>
      <c r="R440" s="262"/>
      <c r="S440" s="262"/>
      <c r="T440" s="262"/>
      <c r="U440" s="262"/>
      <c r="V440" s="262"/>
      <c r="W440" s="262"/>
      <c r="X440" s="262"/>
      <c r="Y440" s="262"/>
      <c r="Z440" s="262"/>
    </row>
    <row r="441" spans="1:26" ht="38.25" outlineLevel="1">
      <c r="A441" s="247" t="s">
        <v>12941</v>
      </c>
      <c r="B441" s="386">
        <v>94656</v>
      </c>
      <c r="C441" s="386" t="s">
        <v>14476</v>
      </c>
      <c r="D441" s="1314" t="str">
        <f>IFERROR(VLOOKUP($B441,'24.08_ND'!$A$4833:$D$12369,2,0),IFERROR(VLOOKUP($B441,'03-CP'!$C$5:$H$4646,2,0),""))</f>
        <v>ADAPTADOR CURTO COM BOLSA E ROSCA PARA REGISTRO, PVC, SOLDÁVEL, DN  25 MM X 3/4", INSTALADO EM RESERVAÇÃO PREDIAL DE ÁGUA - FORNECIMENTO E INSTALAÇÃO. AF_04/2024</v>
      </c>
      <c r="E441" s="1315" t="str">
        <f>IFERROR(VLOOKUP($B441,'24.08_ND'!$A:$D,3,0),IFERROR(VLOOKUP($B441,'03-CP'!$C$5:$H$4646,3,0),""))</f>
        <v>UN</v>
      </c>
      <c r="F441" s="389">
        <v>30</v>
      </c>
      <c r="G441" s="1244"/>
      <c r="H441" s="1244"/>
      <c r="I441" s="1409"/>
      <c r="J441" s="262" t="s">
        <v>16315</v>
      </c>
      <c r="K441" s="262"/>
      <c r="L441" s="386"/>
      <c r="M441" s="262" t="s">
        <v>16316</v>
      </c>
      <c r="O441" s="262"/>
      <c r="P441" s="262"/>
      <c r="Q441" s="262"/>
      <c r="R441" s="262"/>
      <c r="S441" s="262"/>
      <c r="T441" s="262"/>
      <c r="U441" s="262"/>
      <c r="V441" s="262"/>
      <c r="W441" s="262"/>
      <c r="X441" s="262"/>
      <c r="Y441" s="262"/>
      <c r="Z441" s="262"/>
    </row>
    <row r="442" spans="1:26" ht="38.25" outlineLevel="1">
      <c r="A442" s="247" t="s">
        <v>12942</v>
      </c>
      <c r="B442" s="386">
        <v>104001</v>
      </c>
      <c r="C442" s="386" t="s">
        <v>14476</v>
      </c>
      <c r="D442" s="1314" t="str">
        <f>IFERROR(VLOOKUP($B442,'24.08_ND'!$A$4833:$D$12369,2,0),IFERROR(VLOOKUP($B442,'03-CP'!$C$5:$H$4646,2,0),""))</f>
        <v>ADAPTADOR CURTO COM BOLSA E ROSCA PARA REGISTRO, PVC, SOLDÁVEL, DN 50MM X 1.1/2", INSTALADO EM RAMAL DE DISTRIBUIÇÃO DE ÁGUA - FORNECIMENTO E INSTALAÇÃO. AF_06/2022</v>
      </c>
      <c r="E442" s="1315" t="str">
        <f>IFERROR(VLOOKUP($B442,'24.08_ND'!$A:$D,3,0),IFERROR(VLOOKUP($B442,'03-CP'!$C$5:$H$4646,3,0),""))</f>
        <v>UN</v>
      </c>
      <c r="F442" s="389">
        <v>7</v>
      </c>
      <c r="G442" s="1244"/>
      <c r="H442" s="1244"/>
      <c r="I442" s="1409"/>
      <c r="J442" s="262" t="s">
        <v>16315</v>
      </c>
      <c r="K442" s="262"/>
      <c r="L442" s="386"/>
      <c r="M442" s="262" t="s">
        <v>16316</v>
      </c>
      <c r="O442" s="262"/>
      <c r="P442" s="262"/>
      <c r="Q442" s="262"/>
      <c r="R442" s="262"/>
      <c r="S442" s="262"/>
      <c r="T442" s="262"/>
      <c r="U442" s="262"/>
      <c r="V442" s="262"/>
      <c r="W442" s="262"/>
      <c r="X442" s="262"/>
      <c r="Y442" s="262"/>
      <c r="Z442" s="262"/>
    </row>
    <row r="443" spans="1:26" ht="38.25" outlineLevel="1">
      <c r="A443" s="247" t="s">
        <v>12943</v>
      </c>
      <c r="B443" s="386">
        <v>105234</v>
      </c>
      <c r="C443" s="386" t="s">
        <v>14476</v>
      </c>
      <c r="D443" s="1314" t="str">
        <f>IFERROR(VLOOKUP($B443,'24.08_ND'!$A$4833:$D$12369,2,0),IFERROR(VLOOKUP($B443,'03-CP'!$C$5:$H$4646,2,0),""))</f>
        <v>BUCHA DE REDUÇÃO PVC, SOLDÁVEL, LONGA, DN 50 X 25 MM, INSTALADO EM RESERVAÇÃO PREDIAL DE ÁGUA - FORNECIMENTO E INSTALAÇÃO. AF_04/2024</v>
      </c>
      <c r="E443" s="1315" t="str">
        <f>IFERROR(VLOOKUP($B443,'24.08_ND'!$A:$D,3,0),IFERROR(VLOOKUP($B443,'03-CP'!$C$5:$H$4646,3,0),""))</f>
        <v>UN</v>
      </c>
      <c r="F443" s="389">
        <v>12</v>
      </c>
      <c r="G443" s="1244"/>
      <c r="H443" s="1244"/>
      <c r="I443" s="1409"/>
      <c r="J443" s="262" t="s">
        <v>16315</v>
      </c>
      <c r="K443" s="262"/>
      <c r="L443" s="386"/>
      <c r="M443" s="262" t="s">
        <v>16316</v>
      </c>
      <c r="O443" s="262"/>
      <c r="P443" s="262"/>
      <c r="Q443" s="262"/>
      <c r="R443" s="262"/>
      <c r="S443" s="262"/>
      <c r="T443" s="262"/>
      <c r="U443" s="262"/>
      <c r="V443" s="262"/>
      <c r="W443" s="262"/>
      <c r="X443" s="262"/>
      <c r="Y443" s="262"/>
      <c r="Z443" s="262"/>
    </row>
    <row r="444" spans="1:26" ht="38.25" outlineLevel="1">
      <c r="A444" s="247" t="s">
        <v>12944</v>
      </c>
      <c r="B444" s="386">
        <v>105140</v>
      </c>
      <c r="C444" s="386" t="s">
        <v>14476</v>
      </c>
      <c r="D444" s="1314" t="str">
        <f>IFERROR(VLOOKUP($B444,'24.08_ND'!$A$4833:$D$12369,2,0),IFERROR(VLOOKUP($B444,'03-CP'!$C$5:$H$4646,2,0),""))</f>
        <v>BUCHA DE REDUÇÃO PVC, SOLDÁVEL, LONGA, DN 60 X 50 MM, INSTALADO EM RESERVAÇÃO PREDIAL DE ÁGUA - FORNECIMENTO E INSTALAÇÃO. AF_04/2024</v>
      </c>
      <c r="E444" s="1315" t="str">
        <f>IFERROR(VLOOKUP($B444,'24.08_ND'!$A:$D,3,0),IFERROR(VLOOKUP($B444,'03-CP'!$C$5:$H$4646,3,0),""))</f>
        <v>UN</v>
      </c>
      <c r="F444" s="389">
        <v>8</v>
      </c>
      <c r="G444" s="1244"/>
      <c r="H444" s="1244"/>
      <c r="I444" s="1409"/>
      <c r="J444" s="262"/>
      <c r="K444" s="262"/>
      <c r="L444" s="386"/>
      <c r="M444" s="262" t="s">
        <v>16316</v>
      </c>
      <c r="O444" s="262"/>
      <c r="P444" s="262"/>
      <c r="Q444" s="262"/>
      <c r="R444" s="262"/>
      <c r="S444" s="262"/>
      <c r="T444" s="262"/>
      <c r="U444" s="262"/>
      <c r="V444" s="262"/>
      <c r="W444" s="262"/>
      <c r="X444" s="262"/>
      <c r="Y444" s="262"/>
      <c r="Z444" s="262"/>
    </row>
    <row r="445" spans="1:26" ht="25.5" outlineLevel="1">
      <c r="A445" s="247" t="s">
        <v>12945</v>
      </c>
      <c r="B445" s="386">
        <v>94681</v>
      </c>
      <c r="C445" s="386" t="s">
        <v>14476</v>
      </c>
      <c r="D445" s="1314" t="str">
        <f>IFERROR(VLOOKUP($B445,'24.08_ND'!$A$4833:$D$12369,2,0),IFERROR(VLOOKUP($B445,'03-CP'!$C$5:$H$4646,2,0),""))</f>
        <v>CURVA 90 GRAUS, PVC, SOLDÁVEL, DN 60 MM, INSTALADO EM RESERVAÇÃO PREDIAL DE ÁGUA - FORNECIMENTO E INSTALAÇÃO. AF_04/2024</v>
      </c>
      <c r="E445" s="1315" t="str">
        <f>IFERROR(VLOOKUP($B445,'24.08_ND'!$A:$D,3,0),IFERROR(VLOOKUP($B445,'03-CP'!$C$5:$H$4646,3,0),""))</f>
        <v>UN</v>
      </c>
      <c r="F445" s="389">
        <v>10</v>
      </c>
      <c r="G445" s="1244"/>
      <c r="H445" s="1244"/>
      <c r="I445" s="1409"/>
      <c r="J445" s="262"/>
      <c r="K445" s="262"/>
      <c r="L445" s="386"/>
      <c r="M445" s="262" t="s">
        <v>16316</v>
      </c>
      <c r="O445" s="262"/>
      <c r="P445" s="262"/>
      <c r="Q445" s="262"/>
      <c r="R445" s="262"/>
      <c r="S445" s="262"/>
      <c r="T445" s="262"/>
      <c r="U445" s="262"/>
      <c r="V445" s="262"/>
      <c r="W445" s="262"/>
      <c r="X445" s="262"/>
      <c r="Y445" s="262"/>
      <c r="Z445" s="262"/>
    </row>
    <row r="446" spans="1:26" ht="25.5" outlineLevel="1">
      <c r="A446" s="247" t="s">
        <v>12946</v>
      </c>
      <c r="B446" s="386">
        <v>94679</v>
      </c>
      <c r="C446" s="386" t="s">
        <v>14476</v>
      </c>
      <c r="D446" s="1314" t="str">
        <f>IFERROR(VLOOKUP($B446,'24.08_ND'!$A$4833:$D$12369,2,0),IFERROR(VLOOKUP($B446,'03-CP'!$C$5:$H$4646,2,0),""))</f>
        <v>CURVA 90 GRAUS, PVC, SOLDÁVEL, DN 50 MM, INSTALADO EM RESERVAÇÃO PREDIAL DE ÁGUA - FORNECIMENTO E INSTALAÇÃO. AF_04/2024</v>
      </c>
      <c r="E446" s="1315" t="str">
        <f>IFERROR(VLOOKUP($B446,'24.08_ND'!$A:$D,3,0),IFERROR(VLOOKUP($B446,'03-CP'!$C$5:$H$4646,3,0),""))</f>
        <v>UN</v>
      </c>
      <c r="F446" s="389">
        <v>28</v>
      </c>
      <c r="G446" s="1244"/>
      <c r="H446" s="1244"/>
      <c r="I446" s="1409"/>
      <c r="J446" s="262" t="s">
        <v>16315</v>
      </c>
      <c r="K446" s="262"/>
      <c r="L446" s="386"/>
      <c r="M446" s="262" t="s">
        <v>16316</v>
      </c>
      <c r="O446" s="262"/>
      <c r="P446" s="262"/>
      <c r="Q446" s="262"/>
      <c r="R446" s="262"/>
      <c r="S446" s="262"/>
      <c r="T446" s="262"/>
      <c r="U446" s="262"/>
      <c r="V446" s="262"/>
      <c r="W446" s="262"/>
      <c r="X446" s="262"/>
      <c r="Y446" s="262"/>
      <c r="Z446" s="262"/>
    </row>
    <row r="447" spans="1:26" ht="25.5" outlineLevel="1">
      <c r="A447" s="247" t="s">
        <v>12947</v>
      </c>
      <c r="B447" s="386">
        <v>89369</v>
      </c>
      <c r="C447" s="386" t="s">
        <v>14476</v>
      </c>
      <c r="D447" s="1314" t="str">
        <f>IFERROR(VLOOKUP($B447,'24.08_ND'!$A$4833:$D$12369,2,0),IFERROR(VLOOKUP($B447,'03-CP'!$C$5:$H$4646,2,0),""))</f>
        <v>CURVA 90 GRAUS, PVC, SOLDÁVEL, DN 32MM, INSTALADO EM RAMAL OU SUB-RAMAL DE ÁGUA - FORNECIMENTO E INSTALAÇÃO. AF_06/2022</v>
      </c>
      <c r="E447" s="1315" t="str">
        <f>IFERROR(VLOOKUP($B447,'24.08_ND'!$A:$D,3,0),IFERROR(VLOOKUP($B447,'03-CP'!$C$5:$H$4646,3,0),""))</f>
        <v>UN</v>
      </c>
      <c r="F447" s="389">
        <v>7</v>
      </c>
      <c r="G447" s="1244"/>
      <c r="H447" s="1244"/>
      <c r="I447" s="1409"/>
      <c r="J447" s="262"/>
      <c r="K447" s="262"/>
      <c r="L447" s="386"/>
      <c r="M447" s="262" t="s">
        <v>16316</v>
      </c>
      <c r="O447" s="262"/>
      <c r="P447" s="262"/>
      <c r="Q447" s="262"/>
      <c r="R447" s="262"/>
      <c r="S447" s="262"/>
      <c r="T447" s="262"/>
      <c r="U447" s="262"/>
      <c r="V447" s="262"/>
      <c r="W447" s="262"/>
      <c r="X447" s="262"/>
      <c r="Y447" s="262"/>
      <c r="Z447" s="262"/>
    </row>
    <row r="448" spans="1:26" ht="25.5" outlineLevel="1">
      <c r="A448" s="247" t="s">
        <v>12948</v>
      </c>
      <c r="B448" s="386">
        <v>89364</v>
      </c>
      <c r="C448" s="386" t="s">
        <v>14476</v>
      </c>
      <c r="D448" s="1314" t="str">
        <f>IFERROR(VLOOKUP($B448,'24.08_ND'!$A$4833:$D$12369,2,0),IFERROR(VLOOKUP($B448,'03-CP'!$C$5:$H$4646,2,0),""))</f>
        <v>CURVA 90 GRAUS, PVC, SOLDÁVEL, DN 25MM, INSTALADO EM RAMAL OU SUB-RAMAL DE ÁGUA - FORNECIMENTO E INSTALAÇÃO. AF_06/2022</v>
      </c>
      <c r="E448" s="1315" t="str">
        <f>IFERROR(VLOOKUP($B448,'24.08_ND'!$A:$D,3,0),IFERROR(VLOOKUP($B448,'03-CP'!$C$5:$H$4646,3,0),""))</f>
        <v>UN</v>
      </c>
      <c r="F448" s="389">
        <v>38</v>
      </c>
      <c r="G448" s="1244"/>
      <c r="H448" s="1244"/>
      <c r="I448" s="1409"/>
      <c r="J448" s="262" t="s">
        <v>16315</v>
      </c>
      <c r="K448" s="262"/>
      <c r="L448" s="386"/>
      <c r="M448" s="262" t="s">
        <v>16316</v>
      </c>
      <c r="O448" s="262"/>
      <c r="P448" s="262"/>
      <c r="Q448" s="262"/>
      <c r="R448" s="262"/>
      <c r="S448" s="262"/>
      <c r="T448" s="262"/>
      <c r="U448" s="262"/>
      <c r="V448" s="262"/>
      <c r="W448" s="262"/>
      <c r="X448" s="262"/>
      <c r="Y448" s="262"/>
      <c r="Z448" s="262"/>
    </row>
    <row r="449" spans="1:26" ht="38.25" outlineLevel="1">
      <c r="A449" s="247" t="s">
        <v>12949</v>
      </c>
      <c r="B449" s="386">
        <v>89430</v>
      </c>
      <c r="C449" s="386" t="s">
        <v>14476</v>
      </c>
      <c r="D449" s="1314" t="str">
        <f>IFERROR(VLOOKUP($B449,'24.08_ND'!$A$4833:$D$12369,2,0),IFERROR(VLOOKUP($B449,'03-CP'!$C$5:$H$4646,2,0),""))</f>
        <v>CURVA DE TRANSPOSIÇÃO, PVC, SOLDÁVEL, DN 25MM, INSTALADO EM RAMAL DE DISTRIBUIÇÃO DE ÁGUA   FORNECIMENTO E INSTALAÇÃO. AF_06/2022</v>
      </c>
      <c r="E449" s="1315" t="str">
        <f>IFERROR(VLOOKUP($B449,'24.08_ND'!$A:$D,3,0),IFERROR(VLOOKUP($B449,'03-CP'!$C$5:$H$4646,3,0),""))</f>
        <v>UN</v>
      </c>
      <c r="F449" s="389">
        <v>2</v>
      </c>
      <c r="G449" s="1244"/>
      <c r="H449" s="1244"/>
      <c r="I449" s="1409"/>
      <c r="J449" s="262" t="s">
        <v>16315</v>
      </c>
      <c r="K449" s="262"/>
      <c r="L449" s="386"/>
      <c r="M449" s="262" t="s">
        <v>16316</v>
      </c>
      <c r="O449" s="262"/>
      <c r="P449" s="262"/>
      <c r="Q449" s="262"/>
      <c r="R449" s="262"/>
      <c r="S449" s="262"/>
      <c r="T449" s="262"/>
      <c r="U449" s="262"/>
      <c r="V449" s="262"/>
      <c r="W449" s="262"/>
      <c r="X449" s="262"/>
      <c r="Y449" s="262"/>
      <c r="Z449" s="262"/>
    </row>
    <row r="450" spans="1:26" ht="25.5" outlineLevel="1">
      <c r="A450" s="247" t="s">
        <v>12950</v>
      </c>
      <c r="B450" s="386">
        <v>89363</v>
      </c>
      <c r="C450" s="386" t="s">
        <v>14476</v>
      </c>
      <c r="D450" s="1314" t="str">
        <f>IFERROR(VLOOKUP($B450,'24.08_ND'!$A$4833:$D$12369,2,0),IFERROR(VLOOKUP($B450,'03-CP'!$C$5:$H$4646,2,0),""))</f>
        <v>JOELHO 45 GRAUS, PVC, SOLDÁVEL, DN 25MM, INSTALADO EM RAMAL OU SUB-RAMAL DE ÁGUA - FORNECIMENTO E INSTALAÇÃO. AF_06/2022</v>
      </c>
      <c r="E450" s="1315" t="str">
        <f>IFERROR(VLOOKUP($B450,'24.08_ND'!$A:$D,3,0),IFERROR(VLOOKUP($B450,'03-CP'!$C$5:$H$4646,3,0),""))</f>
        <v>UN</v>
      </c>
      <c r="F450" s="389">
        <v>2</v>
      </c>
      <c r="G450" s="1244"/>
      <c r="H450" s="1244"/>
      <c r="I450" s="1409"/>
      <c r="J450" s="262" t="s">
        <v>16315</v>
      </c>
      <c r="K450" s="262"/>
      <c r="L450" s="386"/>
      <c r="M450" s="262" t="s">
        <v>16316</v>
      </c>
      <c r="O450" s="262"/>
      <c r="P450" s="262"/>
      <c r="Q450" s="262"/>
      <c r="R450" s="262"/>
      <c r="S450" s="262"/>
      <c r="T450" s="262"/>
      <c r="U450" s="262"/>
      <c r="V450" s="262"/>
      <c r="W450" s="262"/>
      <c r="X450" s="262"/>
      <c r="Y450" s="262"/>
      <c r="Z450" s="262"/>
    </row>
    <row r="451" spans="1:26" ht="38.25" outlineLevel="1">
      <c r="A451" s="247" t="s">
        <v>12951</v>
      </c>
      <c r="B451" s="386">
        <v>89366</v>
      </c>
      <c r="C451" s="386" t="s">
        <v>14476</v>
      </c>
      <c r="D451" s="1314" t="str">
        <f>IFERROR(VLOOKUP($B451,'24.08_ND'!$A$4833:$D$12369,2,0),IFERROR(VLOOKUP($B451,'03-CP'!$C$5:$H$4646,2,0),""))</f>
        <v>JOELHO 90 GRAUS COM BUCHA DE LATÃO, PVC, SOLDÁVEL, DN 25MM, X 3/4  INSTALADO EM RAMAL OU SUB-RAMAL DE ÁGUA - FORNECIMENTO E INSTALAÇÃO. AF_06/2022</v>
      </c>
      <c r="E451" s="1315" t="str">
        <f>IFERROR(VLOOKUP($B451,'24.08_ND'!$A:$D,3,0),IFERROR(VLOOKUP($B451,'03-CP'!$C$5:$H$4646,3,0),""))</f>
        <v>UN</v>
      </c>
      <c r="F451" s="389">
        <v>5</v>
      </c>
      <c r="G451" s="1244"/>
      <c r="H451" s="1244"/>
      <c r="I451" s="1409"/>
      <c r="J451" s="262" t="s">
        <v>16315</v>
      </c>
      <c r="K451" s="262"/>
      <c r="L451" s="386"/>
      <c r="M451" s="262" t="s">
        <v>16316</v>
      </c>
      <c r="O451" s="262"/>
      <c r="P451" s="262"/>
      <c r="Q451" s="262"/>
      <c r="R451" s="262"/>
      <c r="S451" s="262"/>
      <c r="T451" s="262"/>
      <c r="U451" s="262"/>
      <c r="V451" s="262"/>
      <c r="W451" s="262"/>
      <c r="X451" s="262"/>
      <c r="Y451" s="262"/>
      <c r="Z451" s="262"/>
    </row>
    <row r="452" spans="1:26" ht="38.25" outlineLevel="1">
      <c r="A452" s="247" t="s">
        <v>12952</v>
      </c>
      <c r="B452" s="386">
        <v>90373</v>
      </c>
      <c r="C452" s="386" t="s">
        <v>14476</v>
      </c>
      <c r="D452" s="1314" t="str">
        <f>IFERROR(VLOOKUP($B452,'24.08_ND'!$A$4833:$D$12369,2,0),IFERROR(VLOOKUP($B452,'03-CP'!$C$5:$H$4646,2,0),""))</f>
        <v>JOELHO 90 GRAUS COM BUCHA DE LATÃO, PVC, SOLDÁVEL, DN 25MM, X 1/2  INSTALADO EM RAMAL OU SUB-RAMAL DE ÁGUA - FORNECIMENTO E INSTALAÇÃO. AF_06/2022</v>
      </c>
      <c r="E452" s="1315" t="str">
        <f>IFERROR(VLOOKUP($B452,'24.08_ND'!$A:$D,3,0),IFERROR(VLOOKUP($B452,'03-CP'!$C$5:$H$4646,3,0),""))</f>
        <v>UN</v>
      </c>
      <c r="F452" s="389">
        <v>24</v>
      </c>
      <c r="G452" s="1244"/>
      <c r="H452" s="1244"/>
      <c r="I452" s="1409"/>
      <c r="J452" s="262"/>
      <c r="K452" s="262"/>
      <c r="L452" s="386"/>
      <c r="M452" s="262" t="s">
        <v>16316</v>
      </c>
      <c r="O452" s="262"/>
      <c r="P452" s="262"/>
      <c r="Q452" s="262"/>
      <c r="R452" s="262"/>
      <c r="S452" s="262"/>
      <c r="T452" s="262"/>
      <c r="U452" s="262"/>
      <c r="V452" s="262"/>
      <c r="W452" s="262"/>
      <c r="X452" s="262"/>
      <c r="Y452" s="262"/>
      <c r="Z452" s="262"/>
    </row>
    <row r="453" spans="1:26" ht="25.5" outlineLevel="1">
      <c r="A453" s="247" t="s">
        <v>12953</v>
      </c>
      <c r="B453" s="386">
        <v>94663</v>
      </c>
      <c r="C453" s="386" t="s">
        <v>14476</v>
      </c>
      <c r="D453" s="1314" t="str">
        <f>IFERROR(VLOOKUP($B453,'24.08_ND'!$A$4833:$D$12369,2,0),IFERROR(VLOOKUP($B453,'03-CP'!$C$5:$H$4646,2,0),""))</f>
        <v>LUVA, PVC, SOLDÁVEL, DN 50 MM, INSTALADO EM RESERVAÇÃO PREDIAL DE ÁGUA - FORNECIMENTO E INSTALAÇÃO. AF_04/2024</v>
      </c>
      <c r="E453" s="1315" t="str">
        <f>IFERROR(VLOOKUP($B453,'24.08_ND'!$A:$D,3,0),IFERROR(VLOOKUP($B453,'03-CP'!$C$5:$H$4646,3,0),""))</f>
        <v>UN</v>
      </c>
      <c r="F453" s="389">
        <v>14</v>
      </c>
      <c r="G453" s="1244"/>
      <c r="H453" s="1244"/>
      <c r="I453" s="1409"/>
      <c r="J453" s="262"/>
      <c r="K453" s="262"/>
      <c r="L453" s="386"/>
      <c r="M453" s="262" t="s">
        <v>16316</v>
      </c>
      <c r="O453" s="262"/>
      <c r="P453" s="262"/>
      <c r="Q453" s="262"/>
      <c r="R453" s="262"/>
      <c r="S453" s="262"/>
      <c r="T453" s="262"/>
      <c r="U453" s="262"/>
      <c r="V453" s="262"/>
      <c r="W453" s="262"/>
      <c r="X453" s="262"/>
      <c r="Y453" s="262"/>
      <c r="Z453" s="262"/>
    </row>
    <row r="454" spans="1:26" ht="25.5" outlineLevel="1">
      <c r="A454" s="247" t="s">
        <v>12954</v>
      </c>
      <c r="B454" s="386">
        <v>94665</v>
      </c>
      <c r="C454" s="386" t="s">
        <v>14476</v>
      </c>
      <c r="D454" s="1314" t="str">
        <f>IFERROR(VLOOKUP($B454,'24.08_ND'!$A$4833:$D$12369,2,0),IFERROR(VLOOKUP($B454,'03-CP'!$C$5:$H$4646,2,0),""))</f>
        <v>LUVA, PVC, SOLDÁVEL, DN 60 MM, INSTALADO EM RESERVAÇÃO PREDIAL DE ÁGUA - FORNECIMENTO E INSTALAÇÃO. AF_04/2024</v>
      </c>
      <c r="E454" s="1315" t="str">
        <f>IFERROR(VLOOKUP($B454,'24.08_ND'!$A:$D,3,0),IFERROR(VLOOKUP($B454,'03-CP'!$C$5:$H$4646,3,0),""))</f>
        <v>UN</v>
      </c>
      <c r="F454" s="389">
        <v>8</v>
      </c>
      <c r="G454" s="1244"/>
      <c r="H454" s="1244"/>
      <c r="I454" s="1409"/>
      <c r="J454" s="262" t="s">
        <v>16315</v>
      </c>
      <c r="K454" s="262"/>
      <c r="L454" s="386"/>
      <c r="M454" s="262" t="s">
        <v>16316</v>
      </c>
      <c r="O454" s="262"/>
      <c r="P454" s="262"/>
      <c r="Q454" s="262"/>
      <c r="R454" s="262"/>
      <c r="S454" s="262"/>
      <c r="T454" s="262"/>
      <c r="U454" s="262"/>
      <c r="V454" s="262"/>
      <c r="W454" s="262"/>
      <c r="X454" s="262"/>
      <c r="Y454" s="262"/>
      <c r="Z454" s="262"/>
    </row>
    <row r="455" spans="1:26" ht="38.25" outlineLevel="1">
      <c r="A455" s="247" t="s">
        <v>12955</v>
      </c>
      <c r="B455" s="386">
        <v>89385</v>
      </c>
      <c r="C455" s="386" t="s">
        <v>14476</v>
      </c>
      <c r="D455" s="1314" t="str">
        <f>IFERROR(VLOOKUP($B455,'24.08_ND'!$A$4833:$D$12369,2,0),IFERROR(VLOOKUP($B455,'03-CP'!$C$5:$H$4646,2,0),""))</f>
        <v>LUVA SOLDÁVEL E COM ROSCA, PVC, SOLDÁVEL, DN 25MM X 3/4 , INSTALADO EM RAMAL OU SUB-RAMAL DE ÁGUA - FORNECIMENTO E INSTALAÇÃO. AF_06/2022</v>
      </c>
      <c r="E455" s="1315" t="str">
        <f>IFERROR(VLOOKUP($B455,'24.08_ND'!$A:$D,3,0),IFERROR(VLOOKUP($B455,'03-CP'!$C$5:$H$4646,3,0),""))</f>
        <v>UN</v>
      </c>
      <c r="F455" s="389">
        <v>5</v>
      </c>
      <c r="G455" s="1244"/>
      <c r="H455" s="1244"/>
      <c r="I455" s="1409"/>
      <c r="J455" s="262"/>
      <c r="K455" s="262"/>
      <c r="L455" s="386"/>
      <c r="M455" s="262" t="s">
        <v>16316</v>
      </c>
      <c r="O455" s="262"/>
      <c r="P455" s="262"/>
      <c r="Q455" s="262"/>
      <c r="R455" s="262"/>
      <c r="S455" s="262"/>
      <c r="T455" s="262"/>
      <c r="U455" s="262"/>
      <c r="V455" s="262"/>
      <c r="W455" s="262"/>
      <c r="X455" s="262"/>
      <c r="Y455" s="262"/>
      <c r="Z455" s="262"/>
    </row>
    <row r="456" spans="1:26" ht="25.5" outlineLevel="1">
      <c r="A456" s="247" t="s">
        <v>12956</v>
      </c>
      <c r="B456" s="386">
        <v>94696</v>
      </c>
      <c r="C456" s="386" t="s">
        <v>14476</v>
      </c>
      <c r="D456" s="1314" t="str">
        <f>IFERROR(VLOOKUP($B456,'24.08_ND'!$A$4833:$D$12369,2,0),IFERROR(VLOOKUP($B456,'03-CP'!$C$5:$H$4646,2,0),""))</f>
        <v>TÊ, PVC, SOLDÁVEL, DN 60 MM INSTALADO EM RESERVAÇÃO PREDIAL DE ÁGUA - FORNECIMENTO E INSTALAÇÃO. AF_04/2024</v>
      </c>
      <c r="E456" s="1315" t="str">
        <f>IFERROR(VLOOKUP($B456,'24.08_ND'!$A:$D,3,0),IFERROR(VLOOKUP($B456,'03-CP'!$C$5:$H$4646,3,0),""))</f>
        <v>UN</v>
      </c>
      <c r="F456" s="389">
        <v>5</v>
      </c>
      <c r="G456" s="1244"/>
      <c r="H456" s="1244"/>
      <c r="I456" s="1409"/>
      <c r="J456" s="262"/>
      <c r="K456" s="262"/>
      <c r="L456" s="386"/>
      <c r="M456" s="262" t="s">
        <v>16316</v>
      </c>
      <c r="O456" s="262"/>
      <c r="P456" s="262"/>
      <c r="Q456" s="262"/>
      <c r="R456" s="262"/>
      <c r="S456" s="262"/>
      <c r="T456" s="262"/>
      <c r="U456" s="262"/>
      <c r="V456" s="262"/>
      <c r="W456" s="262"/>
      <c r="X456" s="262"/>
      <c r="Y456" s="262"/>
      <c r="Z456" s="262"/>
    </row>
    <row r="457" spans="1:26" ht="25.5" outlineLevel="1">
      <c r="A457" s="247" t="s">
        <v>12957</v>
      </c>
      <c r="B457" s="386">
        <v>104004</v>
      </c>
      <c r="C457" s="386" t="s">
        <v>14476</v>
      </c>
      <c r="D457" s="1314" t="str">
        <f>IFERROR(VLOOKUP($B457,'24.08_ND'!$A$4833:$D$12369,2,0),IFERROR(VLOOKUP($B457,'03-CP'!$C$5:$H$4646,2,0),""))</f>
        <v>TE, PVC, SOLDÁVEL, DN 50MM, INSTALADO EM RAMAL DE DISTRIBUIÇÃO DE ÁGUA - FORNECIMENTO E INSTALAÇÃO. AF_06/2022</v>
      </c>
      <c r="E457" s="1315" t="str">
        <f>IFERROR(VLOOKUP($B457,'24.08_ND'!$A:$D,3,0),IFERROR(VLOOKUP($B457,'03-CP'!$C$5:$H$4646,3,0),""))</f>
        <v>UN</v>
      </c>
      <c r="F457" s="389">
        <v>7</v>
      </c>
      <c r="G457" s="1244"/>
      <c r="H457" s="1244"/>
      <c r="I457" s="1409"/>
      <c r="J457" s="262" t="s">
        <v>16315</v>
      </c>
      <c r="K457" s="262"/>
      <c r="L457" s="386"/>
      <c r="M457" s="262" t="s">
        <v>16316</v>
      </c>
      <c r="O457" s="262"/>
      <c r="P457" s="262"/>
      <c r="Q457" s="262"/>
      <c r="R457" s="262"/>
      <c r="S457" s="262"/>
      <c r="T457" s="262"/>
      <c r="U457" s="262"/>
      <c r="V457" s="262"/>
      <c r="W457" s="262"/>
      <c r="X457" s="262"/>
      <c r="Y457" s="262"/>
      <c r="Z457" s="262"/>
    </row>
    <row r="458" spans="1:26" ht="25.5" outlineLevel="1">
      <c r="A458" s="247" t="s">
        <v>12958</v>
      </c>
      <c r="B458" s="386">
        <v>89443</v>
      </c>
      <c r="C458" s="386" t="s">
        <v>14476</v>
      </c>
      <c r="D458" s="1314" t="str">
        <f>IFERROR(VLOOKUP($B458,'24.08_ND'!$A$4833:$D$12369,2,0),IFERROR(VLOOKUP($B458,'03-CP'!$C$5:$H$4646,2,0),""))</f>
        <v>TE, PVC, SOLDÁVEL, DN 32MM, INSTALADO EM RAMAL DE DISTRIBUIÇÃO DE ÁGUA - FORNECIMENTO E INSTALAÇÃO. AF_06/2022</v>
      </c>
      <c r="E458" s="1315" t="str">
        <f>IFERROR(VLOOKUP($B458,'24.08_ND'!$A:$D,3,0),IFERROR(VLOOKUP($B458,'03-CP'!$C$5:$H$4646,3,0),""))</f>
        <v>UN</v>
      </c>
      <c r="F458" s="389">
        <v>3</v>
      </c>
      <c r="G458" s="1244"/>
      <c r="H458" s="1244"/>
      <c r="I458" s="1409"/>
      <c r="J458" s="262"/>
      <c r="K458" s="262"/>
      <c r="L458" s="386"/>
      <c r="M458" s="262" t="s">
        <v>16316</v>
      </c>
      <c r="O458" s="262"/>
      <c r="P458" s="262"/>
      <c r="Q458" s="262"/>
      <c r="R458" s="262"/>
      <c r="S458" s="262"/>
      <c r="T458" s="262"/>
      <c r="U458" s="262"/>
      <c r="V458" s="262"/>
      <c r="W458" s="262"/>
      <c r="X458" s="262"/>
      <c r="Y458" s="262"/>
      <c r="Z458" s="262"/>
    </row>
    <row r="459" spans="1:26" ht="25.5" outlineLevel="1">
      <c r="A459" s="247" t="s">
        <v>12959</v>
      </c>
      <c r="B459" s="386">
        <v>89395</v>
      </c>
      <c r="C459" s="386" t="s">
        <v>14476</v>
      </c>
      <c r="D459" s="1314" t="str">
        <f>IFERROR(VLOOKUP($B459,'24.08_ND'!$A$4833:$D$12369,2,0),IFERROR(VLOOKUP($B459,'03-CP'!$C$5:$H$4646,2,0),""))</f>
        <v>TE, PVC, SOLDÁVEL, DN 25MM, INSTALADO EM RAMAL OU SUB-RAMAL DE ÁGUA - FORNECIMENTO E INSTALAÇÃO. AF_06/2022</v>
      </c>
      <c r="E459" s="1315" t="str">
        <f>IFERROR(VLOOKUP($B459,'24.08_ND'!$A:$D,3,0),IFERROR(VLOOKUP($B459,'03-CP'!$C$5:$H$4646,3,0),""))</f>
        <v>UN</v>
      </c>
      <c r="F459" s="389">
        <v>4</v>
      </c>
      <c r="G459" s="1244"/>
      <c r="H459" s="1244"/>
      <c r="I459" s="1409"/>
      <c r="J459" s="262" t="s">
        <v>16315</v>
      </c>
      <c r="K459" s="262"/>
      <c r="L459" s="386"/>
      <c r="M459" s="262" t="s">
        <v>16316</v>
      </c>
      <c r="O459" s="262"/>
      <c r="P459" s="262"/>
      <c r="Q459" s="262"/>
      <c r="R459" s="262"/>
      <c r="S459" s="262"/>
      <c r="T459" s="262"/>
      <c r="U459" s="262"/>
      <c r="V459" s="262"/>
      <c r="W459" s="262"/>
      <c r="X459" s="262"/>
      <c r="Y459" s="262"/>
      <c r="Z459" s="262"/>
    </row>
    <row r="460" spans="1:26" ht="38.25" outlineLevel="1">
      <c r="A460" s="247" t="s">
        <v>12960</v>
      </c>
      <c r="B460" s="386">
        <v>94794</v>
      </c>
      <c r="C460" s="386" t="s">
        <v>14476</v>
      </c>
      <c r="D460" s="1314" t="str">
        <f>IFERROR(VLOOKUP($B460,'24.08_ND'!$A$4833:$D$12369,2,0),IFERROR(VLOOKUP($B460,'03-CP'!$C$5:$H$4646,2,0),""))</f>
        <v>REGISTRO DE GAVETA BRUTO, LATÃO, ROSCÁVEL, 1 1/2", COM ACABAMENTO E CANOPLA CROMADOS - FORNECIMENTO E INSTALAÇÃO. AF_08/2021</v>
      </c>
      <c r="E460" s="1315" t="str">
        <f>IFERROR(VLOOKUP($B460,'24.08_ND'!$A:$D,3,0),IFERROR(VLOOKUP($B460,'03-CP'!$C$5:$H$4646,3,0),""))</f>
        <v>UN</v>
      </c>
      <c r="F460" s="389">
        <v>2</v>
      </c>
      <c r="G460" s="1244"/>
      <c r="H460" s="1244"/>
      <c r="I460" s="1409"/>
      <c r="J460" s="262" t="s">
        <v>16315</v>
      </c>
      <c r="K460" s="262"/>
      <c r="L460" s="386"/>
      <c r="M460" s="262" t="s">
        <v>16316</v>
      </c>
      <c r="O460" s="262"/>
      <c r="P460" s="262"/>
      <c r="Q460" s="262"/>
      <c r="R460" s="262"/>
      <c r="S460" s="262"/>
      <c r="T460" s="262"/>
      <c r="U460" s="262"/>
      <c r="V460" s="262"/>
      <c r="W460" s="262"/>
      <c r="X460" s="262"/>
      <c r="Y460" s="262"/>
      <c r="Z460" s="262"/>
    </row>
    <row r="461" spans="1:26" ht="25.5" outlineLevel="1">
      <c r="A461" s="247" t="s">
        <v>12961</v>
      </c>
      <c r="B461" s="386">
        <v>89987</v>
      </c>
      <c r="C461" s="386" t="s">
        <v>14476</v>
      </c>
      <c r="D461" s="1314" t="str">
        <f>IFERROR(VLOOKUP($B461,'24.08_ND'!$A$4833:$D$12369,2,0),IFERROR(VLOOKUP($B461,'03-CP'!$C$5:$H$4646,2,0),""))</f>
        <v>REGISTRO DE GAVETA BRUTO, LATÃO, ROSCÁVEL, 3/4", COM ACABAMENTO E CANOPLA CROMADOS - FORNECIMENTO E INSTALAÇÃO. AF_08/2021</v>
      </c>
      <c r="E461" s="1315" t="str">
        <f>IFERROR(VLOOKUP($B461,'24.08_ND'!$A:$D,3,0),IFERROR(VLOOKUP($B461,'03-CP'!$C$5:$H$4646,3,0),""))</f>
        <v>UN</v>
      </c>
      <c r="F461" s="389">
        <v>12</v>
      </c>
      <c r="G461" s="1244"/>
      <c r="H461" s="1244"/>
      <c r="I461" s="1409"/>
      <c r="J461" s="262" t="s">
        <v>16315</v>
      </c>
      <c r="K461" s="262"/>
      <c r="L461" s="386"/>
      <c r="M461" s="262" t="s">
        <v>16316</v>
      </c>
      <c r="O461" s="262"/>
      <c r="P461" s="262"/>
      <c r="Q461" s="262"/>
      <c r="R461" s="262"/>
      <c r="S461" s="262"/>
      <c r="T461" s="262"/>
      <c r="U461" s="262"/>
      <c r="V461" s="262"/>
      <c r="W461" s="262"/>
      <c r="X461" s="262"/>
      <c r="Y461" s="262"/>
      <c r="Z461" s="262"/>
    </row>
    <row r="462" spans="1:26" ht="25.5" outlineLevel="1">
      <c r="A462" s="247" t="s">
        <v>12962</v>
      </c>
      <c r="B462" s="386">
        <v>94493</v>
      </c>
      <c r="C462" s="386" t="s">
        <v>14476</v>
      </c>
      <c r="D462" s="1314" t="str">
        <f>IFERROR(VLOOKUP($B462,'24.08_ND'!$A$4833:$D$12369,2,0),IFERROR(VLOOKUP($B462,'03-CP'!$C$5:$H$4646,2,0),""))</f>
        <v>REGISTRO DE ESFERA, PVC, SOLDÁVEL, COM VOLANTE, DN  60 MM - FORNECIMENTO E INSTALAÇÃO. AF_08/2021</v>
      </c>
      <c r="E462" s="1315" t="str">
        <f>IFERROR(VLOOKUP($B462,'24.08_ND'!$A:$D,3,0),IFERROR(VLOOKUP($B462,'03-CP'!$C$5:$H$4646,3,0),""))</f>
        <v>UN</v>
      </c>
      <c r="F462" s="389">
        <v>4</v>
      </c>
      <c r="G462" s="1244"/>
      <c r="H462" s="1244"/>
      <c r="I462" s="1409"/>
      <c r="J462" s="262"/>
      <c r="K462" s="262"/>
      <c r="L462" s="386"/>
      <c r="M462" s="262" t="s">
        <v>16316</v>
      </c>
      <c r="O462" s="262"/>
      <c r="P462" s="262"/>
      <c r="Q462" s="262"/>
      <c r="R462" s="262"/>
      <c r="S462" s="262"/>
      <c r="T462" s="262"/>
      <c r="U462" s="262"/>
      <c r="V462" s="262"/>
      <c r="W462" s="262"/>
      <c r="X462" s="262"/>
      <c r="Y462" s="262"/>
      <c r="Z462" s="262"/>
    </row>
    <row r="463" spans="1:26" ht="25.5" outlineLevel="1">
      <c r="A463" s="247" t="s">
        <v>12963</v>
      </c>
      <c r="B463" s="386">
        <v>94492</v>
      </c>
      <c r="C463" s="386" t="s">
        <v>14476</v>
      </c>
      <c r="D463" s="1314" t="str">
        <f>IFERROR(VLOOKUP($B463,'24.08_ND'!$A$4833:$D$12369,2,0),IFERROR(VLOOKUP($B463,'03-CP'!$C$5:$H$4646,2,0),""))</f>
        <v>REGISTRO DE ESFERA, PVC, SOLDÁVEL, COM VOLANTE, DN  50 MM - FORNECIMENTO E INSTALAÇÃO. AF_08/2021</v>
      </c>
      <c r="E463" s="1315" t="str">
        <f>IFERROR(VLOOKUP($B463,'24.08_ND'!$A:$D,3,0),IFERROR(VLOOKUP($B463,'03-CP'!$C$5:$H$4646,3,0),""))</f>
        <v>UN</v>
      </c>
      <c r="F463" s="389">
        <v>1</v>
      </c>
      <c r="G463" s="1244"/>
      <c r="H463" s="1244"/>
      <c r="I463" s="1409"/>
      <c r="J463" s="262"/>
      <c r="K463" s="262"/>
      <c r="L463" s="386"/>
      <c r="M463" s="262" t="s">
        <v>16316</v>
      </c>
      <c r="O463" s="262"/>
      <c r="P463" s="262"/>
      <c r="Q463" s="262"/>
      <c r="R463" s="262"/>
      <c r="S463" s="262"/>
      <c r="T463" s="262"/>
      <c r="U463" s="262"/>
      <c r="V463" s="262"/>
      <c r="W463" s="262"/>
      <c r="X463" s="262"/>
      <c r="Y463" s="262"/>
      <c r="Z463" s="262"/>
    </row>
    <row r="464" spans="1:26" ht="25.5" outlineLevel="1">
      <c r="A464" s="247" t="s">
        <v>12964</v>
      </c>
      <c r="B464" s="386">
        <v>94490</v>
      </c>
      <c r="C464" s="386" t="s">
        <v>14476</v>
      </c>
      <c r="D464" s="1314" t="str">
        <f>IFERROR(VLOOKUP($B464,'24.08_ND'!$A$4833:$D$12369,2,0),IFERROR(VLOOKUP($B464,'03-CP'!$C$5:$H$4646,2,0),""))</f>
        <v>REGISTRO DE ESFERA, PVC, SOLDÁVEL, COM VOLANTE, DN  32 MM - FORNECIMENTO E INSTALAÇÃO. AF_08/2021</v>
      </c>
      <c r="E464" s="1315" t="str">
        <f>IFERROR(VLOOKUP($B464,'24.08_ND'!$A:$D,3,0),IFERROR(VLOOKUP($B464,'03-CP'!$C$5:$H$4646,3,0),""))</f>
        <v>UN</v>
      </c>
      <c r="F464" s="389">
        <v>3</v>
      </c>
      <c r="G464" s="1244"/>
      <c r="H464" s="1244"/>
      <c r="I464" s="1409"/>
      <c r="J464" s="262"/>
      <c r="K464" s="262"/>
      <c r="L464" s="386"/>
      <c r="M464" s="262" t="s">
        <v>16316</v>
      </c>
      <c r="O464" s="262"/>
      <c r="P464" s="262"/>
      <c r="Q464" s="262"/>
      <c r="R464" s="262"/>
      <c r="S464" s="262"/>
      <c r="T464" s="262"/>
      <c r="U464" s="262"/>
      <c r="V464" s="262"/>
      <c r="W464" s="262"/>
      <c r="X464" s="262"/>
      <c r="Y464" s="262"/>
      <c r="Z464" s="262"/>
    </row>
    <row r="465" spans="1:26" ht="25.5" outlineLevel="1">
      <c r="A465" s="247" t="s">
        <v>12965</v>
      </c>
      <c r="B465" s="386">
        <v>94489</v>
      </c>
      <c r="C465" s="386" t="s">
        <v>14476</v>
      </c>
      <c r="D465" s="1314" t="str">
        <f>IFERROR(VLOOKUP($B465,'24.08_ND'!$A$4833:$D$12369,2,0),IFERROR(VLOOKUP($B465,'03-CP'!$C$5:$H$4646,2,0),""))</f>
        <v>REGISTRO DE ESFERA, PVC, SOLDÁVEL, COM VOLANTE, DN  25 MM - FORNECIMENTO E INSTALAÇÃO. AF_08/2021</v>
      </c>
      <c r="E465" s="1315" t="str">
        <f>IFERROR(VLOOKUP($B465,'24.08_ND'!$A:$D,3,0),IFERROR(VLOOKUP($B465,'03-CP'!$C$5:$H$4646,3,0),""))</f>
        <v>UN</v>
      </c>
      <c r="F465" s="389">
        <v>3</v>
      </c>
      <c r="G465" s="1244"/>
      <c r="H465" s="1244"/>
      <c r="I465" s="1409"/>
      <c r="J465" s="262"/>
      <c r="K465" s="262"/>
      <c r="L465" s="386"/>
      <c r="M465" s="262" t="s">
        <v>16316</v>
      </c>
      <c r="O465" s="262"/>
      <c r="P465" s="262"/>
      <c r="Q465" s="262"/>
      <c r="R465" s="262"/>
      <c r="S465" s="262"/>
      <c r="T465" s="262"/>
      <c r="U465" s="262"/>
      <c r="V465" s="262"/>
      <c r="W465" s="262"/>
      <c r="X465" s="262"/>
      <c r="Y465" s="262"/>
      <c r="Z465" s="262"/>
    </row>
    <row r="466" spans="1:26" ht="12.75" outlineLevel="1">
      <c r="A466" s="247" t="s">
        <v>12966</v>
      </c>
      <c r="B466" s="386" t="s">
        <v>15410</v>
      </c>
      <c r="C466" s="386" t="s">
        <v>14472</v>
      </c>
      <c r="D466" s="1314" t="str">
        <f>IFERROR(VLOOKUP($B466,'24.08_ND'!$A$4833:$D$12369,2,0),IFERROR(VLOOKUP($B466,'03-CP'!$C$5:$H$4646,2,0),""))</f>
        <v xml:space="preserve">VALVULA DE DESCARGA HIDRA - BASE 1.1/2" </v>
      </c>
      <c r="E466" s="1244" t="str">
        <f>IFERROR(VLOOKUP($B466,'24.08_ND'!$A:$D,3,0),IFERROR(VLOOKUP($B466,'03-CP'!$C$5:$H$4646,3,0),""))</f>
        <v>UN</v>
      </c>
      <c r="F466" s="389">
        <v>2</v>
      </c>
      <c r="G466" s="1440"/>
      <c r="H466" s="1440"/>
      <c r="I466" s="1502"/>
      <c r="J466" s="1503"/>
      <c r="K466" s="1503"/>
      <c r="L466" s="1438"/>
      <c r="M466" s="262" t="s">
        <v>16316</v>
      </c>
      <c r="O466" s="1503"/>
      <c r="P466" s="1503"/>
      <c r="Q466" s="1503"/>
      <c r="R466" s="1503"/>
      <c r="S466" s="1503"/>
      <c r="T466" s="1503"/>
      <c r="U466" s="1503"/>
      <c r="V466" s="1503"/>
      <c r="W466" s="1503"/>
      <c r="X466" s="1503"/>
      <c r="Y466" s="1503"/>
      <c r="Z466" s="1503"/>
    </row>
    <row r="467" spans="1:26" ht="25.5" outlineLevel="1">
      <c r="A467" s="247" t="s">
        <v>12967</v>
      </c>
      <c r="B467" s="386">
        <v>94652</v>
      </c>
      <c r="C467" s="386" t="s">
        <v>14476</v>
      </c>
      <c r="D467" s="1314" t="str">
        <f>IFERROR(VLOOKUP($B467,'24.08_ND'!$A$4833:$D$12369,2,0),IFERROR(VLOOKUP($B467,'03-CP'!$C$5:$H$4646,2,0),""))</f>
        <v>TUBO, PVC, SOLDÁVEL, DE 60MM, INSTALADO EM RESERVAÇÃO PREDIAL DE ÁGUA - FORNECIMENTO E INSTALAÇÃO. AF_04/2024</v>
      </c>
      <c r="E467" s="1315" t="str">
        <f>IFERROR(VLOOKUP($B467,'24.08_ND'!$A:$D,3,0),IFERROR(VLOOKUP($B467,'03-CP'!$C$5:$H$4646,3,0),""))</f>
        <v>M</v>
      </c>
      <c r="F467" s="389">
        <v>30</v>
      </c>
      <c r="G467" s="1244"/>
      <c r="H467" s="1244"/>
      <c r="I467" s="1409"/>
      <c r="J467" s="262"/>
      <c r="K467" s="262"/>
      <c r="L467" s="386"/>
      <c r="M467" s="262" t="s">
        <v>16316</v>
      </c>
      <c r="O467" s="262"/>
      <c r="P467" s="262"/>
      <c r="Q467" s="262"/>
      <c r="R467" s="262"/>
      <c r="S467" s="262"/>
      <c r="T467" s="262"/>
      <c r="U467" s="262"/>
      <c r="V467" s="262"/>
      <c r="W467" s="262"/>
      <c r="X467" s="262"/>
      <c r="Y467" s="262"/>
      <c r="Z467" s="262"/>
    </row>
    <row r="468" spans="1:26" ht="25.5" outlineLevel="1">
      <c r="A468" s="247" t="s">
        <v>12968</v>
      </c>
      <c r="B468" s="386">
        <v>103979</v>
      </c>
      <c r="C468" s="386" t="s">
        <v>14476</v>
      </c>
      <c r="D468" s="1314" t="str">
        <f>IFERROR(VLOOKUP($B468,'24.08_ND'!$A$4833:$D$12369,2,0),IFERROR(VLOOKUP($B468,'03-CP'!$C$5:$H$4646,2,0),""))</f>
        <v>TUBO, PVC, SOLDÁVEL, DE 50MM, INSTALADO EM RAMAL DE DISTRIBUIÇÃO DE ÁGUA - FORNECIMENTO E INSTALAÇÃO. AF_06/2022</v>
      </c>
      <c r="E468" s="1315" t="str">
        <f>IFERROR(VLOOKUP($B468,'24.08_ND'!$A:$D,3,0),IFERROR(VLOOKUP($B468,'03-CP'!$C$5:$H$4646,3,0),""))</f>
        <v>M</v>
      </c>
      <c r="F468" s="389">
        <v>80</v>
      </c>
      <c r="G468" s="1244"/>
      <c r="H468" s="1244"/>
      <c r="I468" s="1409"/>
      <c r="J468" s="262"/>
      <c r="K468" s="262"/>
      <c r="L468" s="386"/>
      <c r="M468" s="262" t="s">
        <v>16316</v>
      </c>
      <c r="O468" s="262"/>
      <c r="P468" s="262"/>
      <c r="Q468" s="262"/>
      <c r="R468" s="262"/>
      <c r="S468" s="262"/>
      <c r="T468" s="262"/>
      <c r="U468" s="262"/>
      <c r="V468" s="262"/>
      <c r="W468" s="262"/>
      <c r="X468" s="262"/>
      <c r="Y468" s="262"/>
      <c r="Z468" s="262"/>
    </row>
    <row r="469" spans="1:26" ht="25.5" outlineLevel="1">
      <c r="A469" s="247" t="s">
        <v>12969</v>
      </c>
      <c r="B469" s="386">
        <v>89403</v>
      </c>
      <c r="C469" s="386" t="s">
        <v>14476</v>
      </c>
      <c r="D469" s="1314" t="str">
        <f>IFERROR(VLOOKUP($B469,'24.08_ND'!$A$4833:$D$12369,2,0),IFERROR(VLOOKUP($B469,'03-CP'!$C$5:$H$4646,2,0),""))</f>
        <v>TUBO, PVC, SOLDÁVEL, DE 32MM, INSTALADO EM RAMAL DE DISTRIBUIÇÃO DE ÁGUA - FORNECIMENTO E INSTALAÇÃO. AF_06/2022</v>
      </c>
      <c r="E469" s="1315" t="str">
        <f>IFERROR(VLOOKUP($B469,'24.08_ND'!$A:$D,3,0),IFERROR(VLOOKUP($B469,'03-CP'!$C$5:$H$4646,3,0),""))</f>
        <v>M</v>
      </c>
      <c r="F469" s="389">
        <v>15</v>
      </c>
      <c r="G469" s="1244"/>
      <c r="H469" s="1244"/>
      <c r="I469" s="1409"/>
      <c r="J469" s="262"/>
      <c r="K469" s="262"/>
      <c r="L469" s="386"/>
      <c r="M469" s="262" t="s">
        <v>16316</v>
      </c>
      <c r="O469" s="262"/>
      <c r="P469" s="262"/>
      <c r="Q469" s="262"/>
      <c r="R469" s="262"/>
      <c r="S469" s="262"/>
      <c r="T469" s="262"/>
      <c r="U469" s="262"/>
      <c r="V469" s="262"/>
      <c r="W469" s="262"/>
      <c r="X469" s="262"/>
      <c r="Y469" s="262"/>
      <c r="Z469" s="262"/>
    </row>
    <row r="470" spans="1:26" ht="25.5" outlineLevel="1">
      <c r="A470" s="247" t="s">
        <v>12970</v>
      </c>
      <c r="B470" s="386">
        <v>89402</v>
      </c>
      <c r="C470" s="386" t="s">
        <v>14476</v>
      </c>
      <c r="D470" s="1314" t="str">
        <f>IFERROR(VLOOKUP($B470,'24.08_ND'!$A$4833:$D$12369,2,0),IFERROR(VLOOKUP($B470,'03-CP'!$C$5:$H$4646,2,0),""))</f>
        <v>TUBO, PVC, SOLDÁVEL, DE 25MM, INSTALADO EM RAMAL DE DISTRIBUIÇÃO DE ÁGUA - FORNECIMENTO E INSTALAÇÃO. AF_06/2022</v>
      </c>
      <c r="E470" s="1315" t="str">
        <f>IFERROR(VLOOKUP($B470,'24.08_ND'!$A:$D,3,0),IFERROR(VLOOKUP($B470,'03-CP'!$C$5:$H$4646,3,0),""))</f>
        <v>M</v>
      </c>
      <c r="F470" s="389">
        <v>85</v>
      </c>
      <c r="G470" s="1244"/>
      <c r="H470" s="1244"/>
      <c r="I470" s="1409"/>
      <c r="J470" s="262"/>
      <c r="K470" s="262"/>
      <c r="L470" s="386"/>
      <c r="M470" s="262" t="s">
        <v>16316</v>
      </c>
      <c r="O470" s="262"/>
      <c r="P470" s="262"/>
      <c r="Q470" s="262"/>
      <c r="R470" s="262"/>
      <c r="S470" s="262"/>
      <c r="T470" s="262"/>
      <c r="U470" s="262"/>
      <c r="V470" s="262"/>
      <c r="W470" s="262"/>
      <c r="X470" s="262"/>
      <c r="Y470" s="262"/>
      <c r="Z470" s="262"/>
    </row>
    <row r="471" spans="1:26" ht="51" outlineLevel="1">
      <c r="A471" s="247" t="s">
        <v>12971</v>
      </c>
      <c r="B471" s="386">
        <v>91174</v>
      </c>
      <c r="C471" s="386" t="s">
        <v>14476</v>
      </c>
      <c r="D471" s="1314" t="str">
        <f>IFERROR(VLOOKUP($B471,'24.08_ND'!$A$4833:$D$12369,2,0),IFERROR(VLOOKUP($B471,'03-CP'!$C$5:$H$4646,2,0),""))</f>
        <v>FIXAÇÃO DE TUBOS VERTICAIS DE PVC ÁGUA, PVC ESGOTO, PVC ÁGUA PLUVIAL, CPVC, PPR, COBRE OU AÇO, DIÂMETROS MAIORES QUE 40 MM E MENORES OU IGUAIS A 75 MM, COM ABRAÇADEIRA METÁLICA RÍGIDA TIPO U PERFIL 2 1/2", FIXADA EM PERFILADO EM PAREDE. AF_09/2023_PS</v>
      </c>
      <c r="E471" s="1315" t="str">
        <f>IFERROR(VLOOKUP($B471,'24.08_ND'!$A:$D,3,0),IFERROR(VLOOKUP($B471,'03-CP'!$C$5:$H$4646,3,0),""))</f>
        <v>M</v>
      </c>
      <c r="F471" s="389">
        <v>30</v>
      </c>
      <c r="G471" s="1244"/>
      <c r="H471" s="1244"/>
      <c r="I471" s="1409"/>
      <c r="J471" s="262"/>
      <c r="K471" s="262"/>
      <c r="L471" s="386"/>
      <c r="M471" s="262" t="s">
        <v>16316</v>
      </c>
      <c r="O471" s="262"/>
      <c r="P471" s="262"/>
      <c r="Q471" s="262"/>
      <c r="R471" s="262"/>
      <c r="S471" s="262"/>
      <c r="T471" s="262"/>
      <c r="U471" s="262"/>
      <c r="V471" s="262"/>
      <c r="W471" s="262"/>
      <c r="X471" s="262"/>
      <c r="Y471" s="262"/>
      <c r="Z471" s="262"/>
    </row>
    <row r="472" spans="1:26" ht="25.5" outlineLevel="1">
      <c r="A472" s="247" t="s">
        <v>12972</v>
      </c>
      <c r="B472" s="386">
        <v>102607</v>
      </c>
      <c r="C472" s="386" t="s">
        <v>14476</v>
      </c>
      <c r="D472" s="1314" t="str">
        <f>IFERROR(VLOOKUP($B472,'24.08_ND'!$A$4833:$D$12369,2,0),IFERROR(VLOOKUP($B472,'03-CP'!$C$5:$H$4646,2,0),""))</f>
        <v>CAIXA D´ÁGUA EM POLIETILENO, 1000 LITROS - FORNECIMENTO E INSTALAÇÃO. AF_06/2021</v>
      </c>
      <c r="E472" s="1315" t="str">
        <f>IFERROR(VLOOKUP($B472,'24.08_ND'!$A:$D,3,0),IFERROR(VLOOKUP($B472,'03-CP'!$C$5:$H$4646,3,0),""))</f>
        <v>UN</v>
      </c>
      <c r="F472" s="389">
        <v>1</v>
      </c>
      <c r="G472" s="1244"/>
      <c r="H472" s="1244"/>
      <c r="I472" s="1409"/>
      <c r="J472" s="262"/>
      <c r="K472" s="262"/>
      <c r="L472" s="386"/>
      <c r="M472" s="262" t="s">
        <v>16316</v>
      </c>
      <c r="O472" s="262"/>
      <c r="P472" s="262"/>
      <c r="Q472" s="262"/>
      <c r="R472" s="262"/>
      <c r="S472" s="262"/>
      <c r="T472" s="262"/>
      <c r="U472" s="262"/>
      <c r="V472" s="262"/>
      <c r="W472" s="262"/>
      <c r="X472" s="262"/>
      <c r="Y472" s="262"/>
      <c r="Z472" s="262"/>
    </row>
    <row r="473" spans="1:26" ht="25.5" outlineLevel="1">
      <c r="A473" s="247" t="s">
        <v>12973</v>
      </c>
      <c r="B473" s="386">
        <v>102609</v>
      </c>
      <c r="C473" s="386" t="s">
        <v>14476</v>
      </c>
      <c r="D473" s="1314" t="str">
        <f>IFERROR(VLOOKUP($B473,'24.08_ND'!$A$4833:$D$12369,2,0),IFERROR(VLOOKUP($B473,'03-CP'!$C$5:$H$4646,2,0),""))</f>
        <v>CAIXA D´ÁGUA EM POLIETILENO, 2000 LITROS - FORNECIMENTO E INSTALAÇÃO. AF_06/2021</v>
      </c>
      <c r="E473" s="1315" t="str">
        <f>IFERROR(VLOOKUP($B473,'24.08_ND'!$A:$D,3,0),IFERROR(VLOOKUP($B473,'03-CP'!$C$5:$H$4646,3,0),""))</f>
        <v>UN</v>
      </c>
      <c r="F473" s="389">
        <v>2</v>
      </c>
      <c r="G473" s="1244"/>
      <c r="H473" s="1244"/>
      <c r="I473" s="1409"/>
      <c r="J473" s="262"/>
      <c r="K473" s="262"/>
      <c r="L473" s="386"/>
      <c r="M473" s="262" t="s">
        <v>16316</v>
      </c>
      <c r="O473" s="262"/>
      <c r="P473" s="262"/>
      <c r="Q473" s="262"/>
      <c r="R473" s="262"/>
      <c r="S473" s="262"/>
      <c r="T473" s="262"/>
      <c r="U473" s="262"/>
      <c r="V473" s="262"/>
      <c r="W473" s="262"/>
      <c r="X473" s="262"/>
      <c r="Y473" s="262"/>
      <c r="Z473" s="262"/>
    </row>
    <row r="474" spans="1:26" ht="25.5" outlineLevel="1">
      <c r="A474" s="247" t="s">
        <v>12974</v>
      </c>
      <c r="B474" s="386">
        <v>94796</v>
      </c>
      <c r="C474" s="386" t="s">
        <v>14476</v>
      </c>
      <c r="D474" s="1314" t="str">
        <f>IFERROR(VLOOKUP($B474,'24.08_ND'!$A$4833:$D$12369,2,0),IFERROR(VLOOKUP($B474,'03-CP'!$C$5:$H$4646,2,0),""))</f>
        <v>TORNEIRA DE BOIA PARA CAIXA D'ÁGUA, ROSCÁVEL, 3/4" - FORNECIMENTO E INSTALAÇÃO. AF_08/2021</v>
      </c>
      <c r="E474" s="1315" t="str">
        <f>IFERROR(VLOOKUP($B474,'24.08_ND'!$A:$D,3,0),IFERROR(VLOOKUP($B474,'03-CP'!$C$5:$H$4646,3,0),""))</f>
        <v>UN</v>
      </c>
      <c r="F474" s="389">
        <v>3</v>
      </c>
      <c r="G474" s="1244"/>
      <c r="H474" s="1244"/>
      <c r="I474" s="1409"/>
      <c r="J474" s="262"/>
      <c r="K474" s="262"/>
      <c r="L474" s="386"/>
      <c r="M474" s="262" t="s">
        <v>16316</v>
      </c>
      <c r="O474" s="262"/>
      <c r="P474" s="262"/>
      <c r="Q474" s="262"/>
      <c r="R474" s="262"/>
      <c r="S474" s="262"/>
      <c r="T474" s="262"/>
      <c r="U474" s="262"/>
      <c r="V474" s="262"/>
      <c r="W474" s="262"/>
      <c r="X474" s="262"/>
      <c r="Y474" s="262"/>
      <c r="Z474" s="262"/>
    </row>
    <row r="475" spans="1:26" ht="12.75">
      <c r="A475" s="250" t="s">
        <v>12975</v>
      </c>
      <c r="B475" s="1309"/>
      <c r="C475" s="1497"/>
      <c r="D475" s="1498" t="s">
        <v>16317</v>
      </c>
      <c r="E475" s="234"/>
      <c r="F475" s="1311"/>
      <c r="G475" s="236"/>
      <c r="H475" s="236"/>
      <c r="I475" s="1499"/>
      <c r="J475" s="262"/>
      <c r="K475" s="262"/>
      <c r="L475" s="386"/>
      <c r="M475" s="262"/>
      <c r="O475" s="262"/>
      <c r="P475" s="262"/>
      <c r="Q475" s="262"/>
      <c r="R475" s="262"/>
      <c r="S475" s="262"/>
      <c r="T475" s="262"/>
      <c r="U475" s="262"/>
      <c r="V475" s="262"/>
      <c r="W475" s="262"/>
      <c r="X475" s="262"/>
      <c r="Y475" s="262"/>
      <c r="Z475" s="262"/>
    </row>
    <row r="476" spans="1:26" ht="25.5" outlineLevel="1">
      <c r="A476" s="247" t="s">
        <v>12976</v>
      </c>
      <c r="B476" s="386" t="s">
        <v>15366</v>
      </c>
      <c r="C476" s="386" t="s">
        <v>14472</v>
      </c>
      <c r="D476" s="1314" t="str">
        <f>IFERROR(VLOOKUP($B476,'24.08_ND'!$A$4833:$D$12369,2,0),IFERROR(VLOOKUP($B476,'03-CP'!$C$5:$H$4646,2,0),""))</f>
        <v>JOELHO 45 GRAUS, PVC, SERIE R, DN 100 MM, JUNTA ELÁSTICA, FORNECIDO E INSTALADO EM RAMAL DE ENCAMINHAMENTO.</v>
      </c>
      <c r="E476" s="1315" t="str">
        <f>IFERROR(VLOOKUP($B476,'24.08_ND'!$A:$D,3,0),IFERROR(VLOOKUP($B476,'03-CP'!$C$5:$H$4646,3,0),""))</f>
        <v>UN</v>
      </c>
      <c r="F476" s="389">
        <v>4</v>
      </c>
      <c r="G476" s="1244"/>
      <c r="H476" s="1244"/>
      <c r="I476" s="1409"/>
      <c r="J476" s="262"/>
      <c r="K476" s="262"/>
      <c r="L476" s="386"/>
      <c r="M476" s="262" t="s">
        <v>16316</v>
      </c>
      <c r="O476" s="262"/>
      <c r="P476" s="262"/>
      <c r="Q476" s="262"/>
      <c r="R476" s="262"/>
      <c r="S476" s="262"/>
      <c r="T476" s="262"/>
      <c r="U476" s="262"/>
      <c r="V476" s="262"/>
      <c r="W476" s="262"/>
      <c r="X476" s="262"/>
      <c r="Y476" s="262"/>
      <c r="Z476" s="262"/>
    </row>
    <row r="477" spans="1:26" ht="38.25" outlineLevel="1">
      <c r="A477" s="247" t="s">
        <v>12977</v>
      </c>
      <c r="B477" s="386">
        <v>89746</v>
      </c>
      <c r="C477" s="386" t="s">
        <v>14476</v>
      </c>
      <c r="D477" s="1314" t="str">
        <f>IFERROR(VLOOKUP($B477,'24.08_ND'!$A$4833:$D$12369,2,0),IFERROR(VLOOKUP($B477,'03-CP'!$C$5:$H$4646,2,0),""))</f>
        <v>JOELHO 45 GRAUS, PVC, SERIE NORMAL, ESGOTO PREDIAL, DN 100 MM, JUNTA ELÁSTICA, FORNECIDO E INSTALADO EM RAMAL DE DESCARGA OU RAMAL DE ESGOTO SANITÁRIO. AF_08/2022</v>
      </c>
      <c r="E477" s="1315" t="str">
        <f>IFERROR(VLOOKUP($B477,'24.08_ND'!$A:$D,3,0),IFERROR(VLOOKUP($B477,'03-CP'!$C$5:$H$4646,3,0),""))</f>
        <v>UN</v>
      </c>
      <c r="F477" s="389">
        <v>32</v>
      </c>
      <c r="G477" s="1244"/>
      <c r="H477" s="1244"/>
      <c r="I477" s="1409"/>
      <c r="J477" s="262" t="s">
        <v>16315</v>
      </c>
      <c r="K477" s="262"/>
      <c r="L477" s="386"/>
      <c r="M477" s="262" t="s">
        <v>16316</v>
      </c>
      <c r="O477" s="262"/>
      <c r="P477" s="262"/>
      <c r="Q477" s="262"/>
      <c r="R477" s="262"/>
      <c r="S477" s="262"/>
      <c r="T477" s="262"/>
      <c r="U477" s="262"/>
      <c r="V477" s="262"/>
      <c r="W477" s="262"/>
      <c r="X477" s="262"/>
      <c r="Y477" s="262"/>
      <c r="Z477" s="262"/>
    </row>
    <row r="478" spans="1:26" ht="38.25" outlineLevel="1">
      <c r="A478" s="247" t="s">
        <v>12978</v>
      </c>
      <c r="B478" s="386">
        <v>89732</v>
      </c>
      <c r="C478" s="386" t="s">
        <v>14476</v>
      </c>
      <c r="D478" s="1314" t="str">
        <f>IFERROR(VLOOKUP($B478,'24.08_ND'!$A$4833:$D$12369,2,0),IFERROR(VLOOKUP($B478,'03-CP'!$C$5:$H$4646,2,0),""))</f>
        <v>JOELHO 45 GRAUS, PVC, SERIE NORMAL, ESGOTO PREDIAL, DN 50 MM, JUNTA ELÁSTICA, FORNECIDO E INSTALADO EM RAMAL DE DESCARGA OU RAMAL DE ESGOTO SANITÁRIO. AF_08/2022</v>
      </c>
      <c r="E478" s="1315" t="str">
        <f>IFERROR(VLOOKUP($B478,'24.08_ND'!$A:$D,3,0),IFERROR(VLOOKUP($B478,'03-CP'!$C$5:$H$4646,3,0),""))</f>
        <v>UN</v>
      </c>
      <c r="F478" s="389">
        <v>90</v>
      </c>
      <c r="G478" s="1244"/>
      <c r="H478" s="1244"/>
      <c r="I478" s="1409"/>
      <c r="J478" s="262" t="s">
        <v>16315</v>
      </c>
      <c r="K478" s="262"/>
      <c r="L478" s="386"/>
      <c r="M478" s="262" t="s">
        <v>16316</v>
      </c>
      <c r="O478" s="262"/>
      <c r="P478" s="262"/>
      <c r="Q478" s="262"/>
      <c r="R478" s="262"/>
      <c r="S478" s="262"/>
      <c r="T478" s="262"/>
      <c r="U478" s="262"/>
      <c r="V478" s="262"/>
      <c r="W478" s="262"/>
      <c r="X478" s="262"/>
      <c r="Y478" s="262"/>
      <c r="Z478" s="262"/>
    </row>
    <row r="479" spans="1:26" ht="38.25" outlineLevel="1">
      <c r="A479" s="247" t="s">
        <v>12979</v>
      </c>
      <c r="B479" s="386">
        <v>89726</v>
      </c>
      <c r="C479" s="386" t="s">
        <v>14476</v>
      </c>
      <c r="D479" s="1314" t="str">
        <f>IFERROR(VLOOKUP($B479,'24.08_ND'!$A$4833:$D$12369,2,0),IFERROR(VLOOKUP($B479,'03-CP'!$C$5:$H$4646,2,0),""))</f>
        <v>JOELHO 45 GRAUS, PVC, SERIE NORMAL, ESGOTO PREDIAL, DN 40 MM, JUNTA SOLDÁVEL, FORNECIDO E INSTALADO EM RAMAL DE DESCARGA OU RAMAL DE ESGOTO SANITÁRIO. AF_08/2022</v>
      </c>
      <c r="E479" s="1315" t="str">
        <f>IFERROR(VLOOKUP($B479,'24.08_ND'!$A:$D,3,0),IFERROR(VLOOKUP($B479,'03-CP'!$C$5:$H$4646,3,0),""))</f>
        <v>UN</v>
      </c>
      <c r="F479" s="389">
        <v>31</v>
      </c>
      <c r="G479" s="1244"/>
      <c r="H479" s="1244"/>
      <c r="I479" s="1409"/>
      <c r="J479" s="262" t="s">
        <v>16315</v>
      </c>
      <c r="K479" s="262"/>
      <c r="L479" s="386"/>
      <c r="M479" s="262" t="s">
        <v>16316</v>
      </c>
      <c r="O479" s="262"/>
      <c r="P479" s="262"/>
      <c r="Q479" s="262"/>
      <c r="R479" s="262"/>
      <c r="S479" s="262"/>
      <c r="T479" s="262"/>
      <c r="U479" s="262"/>
      <c r="V479" s="262"/>
      <c r="W479" s="262"/>
      <c r="X479" s="262"/>
      <c r="Y479" s="262"/>
      <c r="Z479" s="262"/>
    </row>
    <row r="480" spans="1:26" ht="38.25" outlineLevel="1">
      <c r="A480" s="247" t="s">
        <v>12980</v>
      </c>
      <c r="B480" s="386">
        <v>89748</v>
      </c>
      <c r="C480" s="386" t="s">
        <v>14476</v>
      </c>
      <c r="D480" s="1314" t="str">
        <f>IFERROR(VLOOKUP($B480,'24.08_ND'!$A$4833:$D$12369,2,0),IFERROR(VLOOKUP($B480,'03-CP'!$C$5:$H$4646,2,0),""))</f>
        <v>CURVA CURTA 90 GRAUS, PVC, SERIE NORMAL, ESGOTO PREDIAL, DN 100 MM, JUNTA ELÁSTICA, FORNECIDO E INSTALADO EM RAMAL DE DESCARGA OU RAMAL DE ESGOTO SANITÁRIO. AF_08/2022</v>
      </c>
      <c r="E480" s="1315" t="str">
        <f>IFERROR(VLOOKUP($B480,'24.08_ND'!$A:$D,3,0),IFERROR(VLOOKUP($B480,'03-CP'!$C$5:$H$4646,3,0),""))</f>
        <v>UN</v>
      </c>
      <c r="F480" s="389">
        <v>7</v>
      </c>
      <c r="G480" s="1244"/>
      <c r="H480" s="1244"/>
      <c r="I480" s="1409"/>
      <c r="J480" s="262" t="s">
        <v>16315</v>
      </c>
      <c r="K480" s="262"/>
      <c r="L480" s="386"/>
      <c r="M480" s="262" t="s">
        <v>16316</v>
      </c>
      <c r="O480" s="262"/>
      <c r="P480" s="262"/>
      <c r="Q480" s="262"/>
      <c r="R480" s="262"/>
      <c r="S480" s="262"/>
      <c r="T480" s="262"/>
      <c r="U480" s="262"/>
      <c r="V480" s="262"/>
      <c r="W480" s="262"/>
      <c r="X480" s="262"/>
      <c r="Y480" s="262"/>
      <c r="Z480" s="262"/>
    </row>
    <row r="481" spans="1:26" ht="38.25" outlineLevel="1">
      <c r="A481" s="247" t="s">
        <v>12981</v>
      </c>
      <c r="B481" s="386">
        <v>89733</v>
      </c>
      <c r="C481" s="386" t="s">
        <v>14476</v>
      </c>
      <c r="D481" s="1314" t="str">
        <f>IFERROR(VLOOKUP($B481,'24.08_ND'!$A$4833:$D$12369,2,0),IFERROR(VLOOKUP($B481,'03-CP'!$C$5:$H$4646,2,0),""))</f>
        <v>CURVA CURTA 90 GRAUS, PVC, SERIE NORMAL, ESGOTO PREDIAL, DN 50 MM, JUNTA ELÁSTICA, FORNECIDO E INSTALADO EM RAMAL DE DESCARGA OU RAMAL DE ESGOTO SANITÁRIO. AF_08/2022</v>
      </c>
      <c r="E481" s="1315" t="str">
        <f>IFERROR(VLOOKUP($B481,'24.08_ND'!$A:$D,3,0),IFERROR(VLOOKUP($B481,'03-CP'!$C$5:$H$4646,3,0),""))</f>
        <v>UN</v>
      </c>
      <c r="F481" s="389">
        <v>25</v>
      </c>
      <c r="G481" s="1244"/>
      <c r="H481" s="1244"/>
      <c r="I481" s="1409"/>
      <c r="J481" s="262" t="s">
        <v>16315</v>
      </c>
      <c r="K481" s="262"/>
      <c r="L481" s="386"/>
      <c r="M481" s="262" t="s">
        <v>16316</v>
      </c>
      <c r="O481" s="262"/>
      <c r="P481" s="262"/>
      <c r="Q481" s="262"/>
      <c r="R481" s="262"/>
      <c r="S481" s="262"/>
      <c r="T481" s="262"/>
      <c r="U481" s="262"/>
      <c r="V481" s="262"/>
      <c r="W481" s="262"/>
      <c r="X481" s="262"/>
      <c r="Y481" s="262"/>
      <c r="Z481" s="262"/>
    </row>
    <row r="482" spans="1:26" ht="38.25" outlineLevel="1">
      <c r="A482" s="247" t="s">
        <v>12982</v>
      </c>
      <c r="B482" s="386">
        <v>89724</v>
      </c>
      <c r="C482" s="386" t="s">
        <v>14476</v>
      </c>
      <c r="D482" s="1314" t="str">
        <f>IFERROR(VLOOKUP($B482,'24.08_ND'!$A$4833:$D$12369,2,0),IFERROR(VLOOKUP($B482,'03-CP'!$C$5:$H$4646,2,0),""))</f>
        <v>JOELHO 90 GRAUS, PVC, SERIE NORMAL, ESGOTO PREDIAL, DN 40 MM, JUNTA SOLDÁVEL, FORNECIDO E INSTALADO EM RAMAL DE DESCARGA OU RAMAL DE ESGOTO SANITÁRIO. AF_08/2022</v>
      </c>
      <c r="E482" s="1315" t="str">
        <f>IFERROR(VLOOKUP($B482,'24.08_ND'!$A:$D,3,0),IFERROR(VLOOKUP($B482,'03-CP'!$C$5:$H$4646,3,0),""))</f>
        <v>UN</v>
      </c>
      <c r="F482" s="389">
        <v>5</v>
      </c>
      <c r="G482" s="1244"/>
      <c r="H482" s="1244"/>
      <c r="I482" s="1409"/>
      <c r="J482" s="262" t="s">
        <v>16315</v>
      </c>
      <c r="K482" s="262"/>
      <c r="L482" s="386"/>
      <c r="M482" s="262" t="s">
        <v>16316</v>
      </c>
      <c r="O482" s="262"/>
      <c r="P482" s="262"/>
      <c r="Q482" s="262"/>
      <c r="R482" s="262"/>
      <c r="S482" s="262"/>
      <c r="T482" s="262"/>
      <c r="U482" s="262"/>
      <c r="V482" s="262"/>
      <c r="W482" s="262"/>
      <c r="X482" s="262"/>
      <c r="Y482" s="262"/>
      <c r="Z482" s="262"/>
    </row>
    <row r="483" spans="1:26" ht="38.25" outlineLevel="1">
      <c r="A483" s="247" t="s">
        <v>12983</v>
      </c>
      <c r="B483" s="386">
        <v>89731</v>
      </c>
      <c r="C483" s="386" t="s">
        <v>14476</v>
      </c>
      <c r="D483" s="1314" t="str">
        <f>IFERROR(VLOOKUP($B483,'24.08_ND'!$A$4833:$D$12369,2,0),IFERROR(VLOOKUP($B483,'03-CP'!$C$5:$H$4646,2,0),""))</f>
        <v>JOELHO 90 GRAUS, PVC, SERIE NORMAL, ESGOTO PREDIAL, DN 50 MM, JUNTA ELÁSTICA, FORNECIDO E INSTALADO EM RAMAL DE DESCARGA OU RAMAL DE ESGOTO SANITÁRIO. AF_08/2022</v>
      </c>
      <c r="E483" s="1315" t="str">
        <f>IFERROR(VLOOKUP($B483,'24.08_ND'!$A:$D,3,0),IFERROR(VLOOKUP($B483,'03-CP'!$C$5:$H$4646,3,0),""))</f>
        <v>UN</v>
      </c>
      <c r="F483" s="389">
        <v>51</v>
      </c>
      <c r="G483" s="1244"/>
      <c r="H483" s="1244"/>
      <c r="I483" s="1409"/>
      <c r="J483" s="262"/>
      <c r="K483" s="262"/>
      <c r="L483" s="386"/>
      <c r="M483" s="262" t="s">
        <v>16316</v>
      </c>
      <c r="O483" s="262"/>
      <c r="P483" s="262"/>
      <c r="Q483" s="262"/>
      <c r="R483" s="262"/>
      <c r="S483" s="262"/>
      <c r="T483" s="262"/>
      <c r="U483" s="262"/>
      <c r="V483" s="262"/>
      <c r="W483" s="262"/>
      <c r="X483" s="262"/>
      <c r="Y483" s="262"/>
      <c r="Z483" s="262"/>
    </row>
    <row r="484" spans="1:26" ht="38.25" outlineLevel="1">
      <c r="A484" s="247" t="s">
        <v>12984</v>
      </c>
      <c r="B484" s="386">
        <v>89744</v>
      </c>
      <c r="C484" s="386" t="s">
        <v>14476</v>
      </c>
      <c r="D484" s="1314" t="str">
        <f>IFERROR(VLOOKUP($B484,'24.08_ND'!$A$4833:$D$12369,2,0),IFERROR(VLOOKUP($B484,'03-CP'!$C$5:$H$4646,2,0),""))</f>
        <v>JOELHO 90 GRAUS, PVC, SERIE NORMAL, ESGOTO PREDIAL, DN 100 MM, JUNTA ELÁSTICA, FORNECIDO E INSTALADO EM RAMAL DE DESCARGA OU RAMAL DE ESGOTO SANITÁRIO. AF_08/2022</v>
      </c>
      <c r="E484" s="1315" t="str">
        <f>IFERROR(VLOOKUP($B484,'24.08_ND'!$A:$D,3,0),IFERROR(VLOOKUP($B484,'03-CP'!$C$5:$H$4646,3,0),""))</f>
        <v>UN</v>
      </c>
      <c r="F484" s="389">
        <v>3</v>
      </c>
      <c r="G484" s="1244"/>
      <c r="H484" s="1244"/>
      <c r="I484" s="1409"/>
      <c r="J484" s="262"/>
      <c r="K484" s="262"/>
      <c r="L484" s="386"/>
      <c r="M484" s="262" t="s">
        <v>16316</v>
      </c>
      <c r="O484" s="262"/>
      <c r="P484" s="262"/>
      <c r="Q484" s="262"/>
      <c r="R484" s="262"/>
      <c r="S484" s="262"/>
      <c r="T484" s="262"/>
      <c r="U484" s="262"/>
      <c r="V484" s="262"/>
      <c r="W484" s="262"/>
      <c r="X484" s="262"/>
      <c r="Y484" s="262"/>
      <c r="Z484" s="262"/>
    </row>
    <row r="485" spans="1:26" ht="25.5" outlineLevel="1">
      <c r="A485" s="247" t="s">
        <v>12985</v>
      </c>
      <c r="B485" s="386" t="s">
        <v>15368</v>
      </c>
      <c r="C485" s="386" t="s">
        <v>14472</v>
      </c>
      <c r="D485" s="1314" t="str">
        <f>IFERROR(VLOOKUP($B485,'24.08_ND'!$A$4833:$D$12369,2,0),IFERROR(VLOOKUP($B485,'03-CP'!$C$5:$H$4646,2,0),""))</f>
        <v>JOELHO 90 GRAUS, PVC, SERIE R, DN 50 MM, JUNTA ELÁSTICA, FORNECIDO E INSTALADO EM RAMAL DE ENCAMINHAMENTO.</v>
      </c>
      <c r="E485" s="1315" t="str">
        <f>IFERROR(VLOOKUP($B485,'24.08_ND'!$A:$D,3,0),IFERROR(VLOOKUP($B485,'03-CP'!$C$5:$H$4646,3,0),""))</f>
        <v>UN</v>
      </c>
      <c r="F485" s="389">
        <v>8</v>
      </c>
      <c r="G485" s="1244"/>
      <c r="H485" s="1244"/>
      <c r="I485" s="1409"/>
      <c r="J485" s="262"/>
      <c r="K485" s="262"/>
      <c r="L485" s="386"/>
      <c r="M485" s="262" t="s">
        <v>16316</v>
      </c>
      <c r="O485" s="262"/>
      <c r="P485" s="262"/>
      <c r="Q485" s="262"/>
      <c r="R485" s="262"/>
      <c r="S485" s="262"/>
      <c r="T485" s="262"/>
      <c r="U485" s="262"/>
      <c r="V485" s="262"/>
      <c r="W485" s="262"/>
      <c r="X485" s="262"/>
      <c r="Y485" s="262"/>
      <c r="Z485" s="262"/>
    </row>
    <row r="486" spans="1:26" ht="25.5" outlineLevel="1">
      <c r="A486" s="247" t="s">
        <v>12986</v>
      </c>
      <c r="B486" s="386" t="s">
        <v>15372</v>
      </c>
      <c r="C486" s="386" t="s">
        <v>14472</v>
      </c>
      <c r="D486" s="1314" t="str">
        <f>IFERROR(VLOOKUP($B486,'24.08_ND'!$A$4833:$D$12369,2,0),IFERROR(VLOOKUP($B486,'03-CP'!$C$5:$H$4646,2,0),""))</f>
        <v>CAP, PVC, SÉRIE NORMAL, ESGOTO PREDIAL, DN 100 MM, FORNECIMENTO E INSTALAÇÃO</v>
      </c>
      <c r="E486" s="1315" t="str">
        <f>IFERROR(VLOOKUP($B486,'24.08_ND'!$A:$D,3,0),IFERROR(VLOOKUP($B486,'03-CP'!$C$5:$H$4646,3,0),""))</f>
        <v>UN</v>
      </c>
      <c r="F486" s="389">
        <v>10</v>
      </c>
      <c r="G486" s="1244"/>
      <c r="H486" s="1244"/>
      <c r="I486" s="1409"/>
      <c r="J486" s="262" t="s">
        <v>16315</v>
      </c>
      <c r="K486" s="262"/>
      <c r="L486" s="386"/>
      <c r="M486" s="262" t="s">
        <v>16316</v>
      </c>
      <c r="O486" s="262"/>
      <c r="P486" s="262"/>
      <c r="Q486" s="262"/>
      <c r="R486" s="262"/>
      <c r="S486" s="262"/>
      <c r="T486" s="262"/>
      <c r="U486" s="262"/>
      <c r="V486" s="262"/>
      <c r="W486" s="262"/>
      <c r="X486" s="262"/>
      <c r="Y486" s="262"/>
      <c r="Z486" s="262"/>
    </row>
    <row r="487" spans="1:26" ht="25.5" outlineLevel="1">
      <c r="A487" s="247" t="s">
        <v>12987</v>
      </c>
      <c r="B487" s="386" t="s">
        <v>15374</v>
      </c>
      <c r="C487" s="386" t="s">
        <v>14472</v>
      </c>
      <c r="D487" s="1314" t="str">
        <f>IFERROR(VLOOKUP($B487,'24.08_ND'!$A$4833:$D$12369,2,0),IFERROR(VLOOKUP($B487,'03-CP'!$C$5:$H$4646,2,0),""))</f>
        <v>CAP, PVC, SÉRIE NORMAL, ESGOTO PREDIAL, DN 50 MM, FORNECIMENTO E INSTALAÇÃO</v>
      </c>
      <c r="E487" s="1315" t="str">
        <f>IFERROR(VLOOKUP($B487,'24.08_ND'!$A:$D,3,0),IFERROR(VLOOKUP($B487,'03-CP'!$C$5:$H$4646,3,0),""))</f>
        <v>UN</v>
      </c>
      <c r="F487" s="389">
        <v>4</v>
      </c>
      <c r="G487" s="1244"/>
      <c r="H487" s="1244"/>
      <c r="I487" s="1409"/>
      <c r="J487" s="262" t="s">
        <v>16315</v>
      </c>
      <c r="K487" s="262"/>
      <c r="L487" s="386"/>
      <c r="M487" s="262" t="s">
        <v>16316</v>
      </c>
      <c r="O487" s="262"/>
      <c r="P487" s="262"/>
      <c r="Q487" s="262"/>
      <c r="R487" s="262"/>
      <c r="S487" s="262"/>
      <c r="T487" s="262"/>
      <c r="U487" s="262"/>
      <c r="V487" s="262"/>
      <c r="W487" s="262"/>
      <c r="X487" s="262"/>
      <c r="Y487" s="262"/>
      <c r="Z487" s="262"/>
    </row>
    <row r="488" spans="1:26" ht="25.5" outlineLevel="1">
      <c r="A488" s="247" t="s">
        <v>12988</v>
      </c>
      <c r="B488" s="386" t="str">
        <f>'03-CP'!C2565</f>
        <v>CP-HSD-10</v>
      </c>
      <c r="C488" s="386" t="s">
        <v>14472</v>
      </c>
      <c r="D488" s="1314" t="str">
        <f>IFERROR(VLOOKUP($B488,'24.08_ND'!$A$4833:$D$12369,2,0),IFERROR(VLOOKUP($B488,'03-CP'!$C$5:$H$4646,2,0),""))</f>
        <v>CAP, PVC, SÉRIE NORMAL, ESGOTO PREDIAL, DN 40 MM, FORNECIMENTO E INSTALAÇÃO</v>
      </c>
      <c r="E488" s="1315" t="str">
        <f>IFERROR(VLOOKUP($B488,'24.08_ND'!$A:$D,3,0),IFERROR(VLOOKUP($B488,'03-CP'!$C$5:$H$4646,3,0),""))</f>
        <v>UN</v>
      </c>
      <c r="F488" s="389">
        <v>2</v>
      </c>
      <c r="G488" s="1244"/>
      <c r="H488" s="1244"/>
      <c r="I488" s="1409"/>
      <c r="J488" s="262" t="s">
        <v>16315</v>
      </c>
      <c r="K488" s="262"/>
      <c r="L488" s="386"/>
      <c r="M488" s="262" t="s">
        <v>16316</v>
      </c>
      <c r="O488" s="262"/>
      <c r="P488" s="262"/>
      <c r="Q488" s="262"/>
      <c r="R488" s="262"/>
      <c r="S488" s="262"/>
      <c r="T488" s="262"/>
      <c r="U488" s="262"/>
      <c r="V488" s="262"/>
      <c r="W488" s="262"/>
      <c r="X488" s="262"/>
      <c r="Y488" s="262"/>
      <c r="Z488" s="262"/>
    </row>
    <row r="489" spans="1:26" ht="38.25" outlineLevel="1">
      <c r="A489" s="247" t="s">
        <v>12989</v>
      </c>
      <c r="B489" s="386">
        <v>89797</v>
      </c>
      <c r="C489" s="386" t="s">
        <v>14476</v>
      </c>
      <c r="D489" s="1314" t="str">
        <f>IFERROR(VLOOKUP($B489,'24.08_ND'!$A$4833:$D$12369,2,0),IFERROR(VLOOKUP($B489,'03-CP'!$C$5:$H$4646,2,0),""))</f>
        <v>JUNÇÃO SIMPLES, PVC, SERIE NORMAL, ESGOTO PREDIAL, DN 100 X 100 MM, JUNTA ELÁSTICA, FORNECIDO E INSTALADO EM RAMAL DE DESCARGA OU RAMAL DE ESGOTO SANITÁRIO. AF_08/2022</v>
      </c>
      <c r="E489" s="1315" t="str">
        <f>IFERROR(VLOOKUP($B489,'24.08_ND'!$A:$D,3,0),IFERROR(VLOOKUP($B489,'03-CP'!$C$5:$H$4646,3,0),""))</f>
        <v>UN</v>
      </c>
      <c r="F489" s="389">
        <v>11</v>
      </c>
      <c r="G489" s="1244"/>
      <c r="H489" s="1244"/>
      <c r="I489" s="1409"/>
      <c r="J489" s="262" t="s">
        <v>16315</v>
      </c>
      <c r="K489" s="262"/>
      <c r="L489" s="386"/>
      <c r="M489" s="262" t="s">
        <v>16316</v>
      </c>
      <c r="O489" s="262"/>
      <c r="P489" s="262"/>
      <c r="Q489" s="262"/>
      <c r="R489" s="262"/>
      <c r="S489" s="262"/>
      <c r="T489" s="262"/>
      <c r="U489" s="262"/>
      <c r="V489" s="262"/>
      <c r="W489" s="262"/>
      <c r="X489" s="262"/>
      <c r="Y489" s="262"/>
      <c r="Z489" s="262"/>
    </row>
    <row r="490" spans="1:26" ht="38.25" outlineLevel="1">
      <c r="A490" s="247" t="s">
        <v>12990</v>
      </c>
      <c r="B490" s="386" t="s">
        <v>15370</v>
      </c>
      <c r="C490" s="386" t="s">
        <v>14472</v>
      </c>
      <c r="D490" s="1314" t="str">
        <f>IFERROR(VLOOKUP($B490,'24.08_ND'!$A$4833:$D$12369,2,0),IFERROR(VLOOKUP($B490,'03-CP'!$C$5:$H$4646,2,0),""))</f>
        <v>JUNÇÃO SIMPLES, PVC, SERIE NORMAL, ESGOTO PREDIAL, DN 100 X 50 MM, JUNTA ELÁSTICA, FORNECIDO E INSTALADO EM RAMAL DE DESCARGA OU RAMAL DE ESGOTO SANITÁRIO.</v>
      </c>
      <c r="E490" s="1315" t="str">
        <f>IFERROR(VLOOKUP($B490,'24.08_ND'!$A:$D,3,0),IFERROR(VLOOKUP($B490,'03-CP'!$C$5:$H$4646,3,0),""))</f>
        <v>UN</v>
      </c>
      <c r="F490" s="389">
        <v>12</v>
      </c>
      <c r="G490" s="1244"/>
      <c r="H490" s="1244"/>
      <c r="I490" s="1409"/>
      <c r="J490" s="262" t="s">
        <v>16315</v>
      </c>
      <c r="K490" s="262"/>
      <c r="L490" s="386"/>
      <c r="M490" s="262" t="s">
        <v>16316</v>
      </c>
      <c r="O490" s="262"/>
      <c r="P490" s="262"/>
      <c r="Q490" s="262"/>
      <c r="R490" s="262"/>
      <c r="S490" s="262"/>
      <c r="T490" s="262"/>
      <c r="U490" s="262"/>
      <c r="V490" s="262"/>
      <c r="W490" s="262"/>
      <c r="X490" s="262"/>
      <c r="Y490" s="262"/>
      <c r="Z490" s="262"/>
    </row>
    <row r="491" spans="1:26" ht="38.25" outlineLevel="1">
      <c r="A491" s="247" t="s">
        <v>12991</v>
      </c>
      <c r="B491" s="386">
        <v>89785</v>
      </c>
      <c r="C491" s="386" t="s">
        <v>14476</v>
      </c>
      <c r="D491" s="1314" t="str">
        <f>IFERROR(VLOOKUP($B491,'24.08_ND'!$A$4833:$D$12369,2,0),IFERROR(VLOOKUP($B491,'03-CP'!$C$5:$H$4646,2,0),""))</f>
        <v>JUNÇÃO SIMPLES, PVC, SERIE NORMAL, ESGOTO PREDIAL, DN 50 X 50 MM, JUNTA ELÁSTICA, FORNECIDO E INSTALADO EM RAMAL DE DESCARGA OU RAMAL DE ESGOTO SANITÁRIO. AF_08/2022</v>
      </c>
      <c r="E491" s="1315" t="str">
        <f>IFERROR(VLOOKUP($B491,'24.08_ND'!$A:$D,3,0),IFERROR(VLOOKUP($B491,'03-CP'!$C$5:$H$4646,3,0),""))</f>
        <v>UN</v>
      </c>
      <c r="F491" s="389">
        <v>6</v>
      </c>
      <c r="G491" s="1244"/>
      <c r="H491" s="1244"/>
      <c r="I491" s="1409"/>
      <c r="J491" s="262"/>
      <c r="K491" s="262"/>
      <c r="L491" s="386"/>
      <c r="M491" s="262" t="s">
        <v>16316</v>
      </c>
      <c r="O491" s="262"/>
      <c r="P491" s="262"/>
      <c r="Q491" s="262"/>
      <c r="R491" s="262"/>
      <c r="S491" s="262"/>
      <c r="T491" s="262"/>
      <c r="U491" s="262"/>
      <c r="V491" s="262"/>
      <c r="W491" s="262"/>
      <c r="X491" s="262"/>
      <c r="Y491" s="262"/>
      <c r="Z491" s="262"/>
    </row>
    <row r="492" spans="1:26" ht="38.25" outlineLevel="1">
      <c r="A492" s="247" t="s">
        <v>12992</v>
      </c>
      <c r="B492" s="386">
        <v>89783</v>
      </c>
      <c r="C492" s="386" t="s">
        <v>14476</v>
      </c>
      <c r="D492" s="1314" t="str">
        <f>IFERROR(VLOOKUP($B492,'24.08_ND'!$A$4833:$D$12369,2,0),IFERROR(VLOOKUP($B492,'03-CP'!$C$5:$H$4646,2,0),""))</f>
        <v>JUNÇÃO SIMPLES, PVC, SERIE NORMAL, ESGOTO PREDIAL, DN 40 MM, JUNTA SOLDÁVEL, FORNECIDO E INSTALADO EM RAMAL DE DESCARGA OU RAMAL DE ESGOTO SANITÁRIO. AF_08/2022</v>
      </c>
      <c r="E492" s="1315" t="str">
        <f>IFERROR(VLOOKUP($B492,'24.08_ND'!$A:$D,3,0),IFERROR(VLOOKUP($B492,'03-CP'!$C$5:$H$4646,3,0),""))</f>
        <v>UN</v>
      </c>
      <c r="F492" s="389">
        <v>2</v>
      </c>
      <c r="G492" s="1244"/>
      <c r="H492" s="1244"/>
      <c r="I492" s="1409"/>
      <c r="J492" s="262"/>
      <c r="K492" s="262"/>
      <c r="L492" s="386"/>
      <c r="M492" s="262" t="s">
        <v>16316</v>
      </c>
      <c r="O492" s="262"/>
      <c r="P492" s="262"/>
      <c r="Q492" s="262"/>
      <c r="R492" s="262"/>
      <c r="S492" s="262"/>
      <c r="T492" s="262"/>
      <c r="U492" s="262"/>
      <c r="V492" s="262"/>
      <c r="W492" s="262"/>
      <c r="X492" s="262"/>
      <c r="Y492" s="262"/>
      <c r="Z492" s="262"/>
    </row>
    <row r="493" spans="1:26" ht="38.25" outlineLevel="1">
      <c r="A493" s="247" t="s">
        <v>12993</v>
      </c>
      <c r="B493" s="386">
        <v>104341</v>
      </c>
      <c r="C493" s="386" t="s">
        <v>14476</v>
      </c>
      <c r="D493" s="1314" t="str">
        <f>IFERROR(VLOOKUP($B493,'24.08_ND'!$A$4833:$D$12369,2,0),IFERROR(VLOOKUP($B493,'03-CP'!$C$5:$H$4646,2,0),""))</f>
        <v>BUCHA DE REDUÇÃO LONGA, PVC, SÉRIE NORMAL, ESGOTO PREDIAL, DN 50 X 40 MM, JUNTA SOLDÁVEL E ELÁSTICA, FORNECIDO E INSTALADO EM RAMAL DE DESCARGA OU RAMAL DE ESGOTO SANITÁRIO. AF_08/2022</v>
      </c>
      <c r="E493" s="1315" t="str">
        <f>IFERROR(VLOOKUP($B493,'24.08_ND'!$A:$D,3,0),IFERROR(VLOOKUP($B493,'03-CP'!$C$5:$H$4646,3,0),""))</f>
        <v>UN</v>
      </c>
      <c r="F493" s="389">
        <v>7</v>
      </c>
      <c r="G493" s="1244"/>
      <c r="H493" s="1244"/>
      <c r="I493" s="1409"/>
      <c r="J493" s="262"/>
      <c r="K493" s="262"/>
      <c r="L493" s="386"/>
      <c r="M493" s="262" t="s">
        <v>16316</v>
      </c>
      <c r="O493" s="262"/>
      <c r="P493" s="262"/>
      <c r="Q493" s="262"/>
      <c r="R493" s="262"/>
      <c r="S493" s="262"/>
      <c r="T493" s="262"/>
      <c r="U493" s="262"/>
      <c r="V493" s="262"/>
      <c r="W493" s="262"/>
      <c r="X493" s="262"/>
      <c r="Y493" s="262"/>
      <c r="Z493" s="262"/>
    </row>
    <row r="494" spans="1:26" ht="25.5" outlineLevel="1">
      <c r="A494" s="247" t="s">
        <v>12994</v>
      </c>
      <c r="B494" s="386" t="s">
        <v>15378</v>
      </c>
      <c r="C494" s="386" t="s">
        <v>14472</v>
      </c>
      <c r="D494" s="1314" t="str">
        <f>IFERROR(VLOOKUP($B494,'24.08_ND'!$A$4833:$D$12369,2,0),IFERROR(VLOOKUP($B494,'03-CP'!$C$5:$H$4646,2,0),""))</f>
        <v>REDUÇÃO EXCÊNTRICA, PVC, SERIE R, DN 75 X 50 MM, JUNTA ELÁSTICA, FORNECIDO E INSTALADO EM RAMAL DE ENCAMINHAMENTO. AF_06/2022</v>
      </c>
      <c r="E494" s="1315" t="str">
        <f>IFERROR(VLOOKUP($B494,'24.08_ND'!$A:$D,3,0),IFERROR(VLOOKUP($B494,'03-CP'!$C$5:$H$4646,3,0),""))</f>
        <v>UN</v>
      </c>
      <c r="F494" s="389">
        <v>1</v>
      </c>
      <c r="G494" s="1244"/>
      <c r="H494" s="1244"/>
      <c r="I494" s="1409"/>
      <c r="J494" s="262"/>
      <c r="K494" s="262"/>
      <c r="L494" s="386"/>
      <c r="M494" s="262" t="s">
        <v>16316</v>
      </c>
      <c r="O494" s="262"/>
      <c r="P494" s="262"/>
      <c r="Q494" s="262"/>
      <c r="R494" s="262"/>
      <c r="S494" s="262"/>
      <c r="T494" s="262"/>
      <c r="U494" s="262"/>
      <c r="V494" s="262"/>
      <c r="W494" s="262"/>
      <c r="X494" s="262"/>
      <c r="Y494" s="262"/>
      <c r="Z494" s="262"/>
    </row>
    <row r="495" spans="1:26" ht="25.5" outlineLevel="1">
      <c r="A495" s="247" t="s">
        <v>12995</v>
      </c>
      <c r="B495" s="386" t="s">
        <v>15380</v>
      </c>
      <c r="C495" s="386" t="s">
        <v>14472</v>
      </c>
      <c r="D495" s="1314" t="str">
        <f>IFERROR(VLOOKUP($B495,'24.08_ND'!$A$4833:$D$12369,2,0),IFERROR(VLOOKUP($B495,'03-CP'!$C$5:$H$4646,2,0),""))</f>
        <v>REDUÇÃO EXCÊNTRICA, PVC, SERIE R, DN 100 X 75 MM, JUNTA ELÁSTICA, FORNECIDO E INSTALADO EM RAMAL DE ENCAMINHAMENTO</v>
      </c>
      <c r="E495" s="1315" t="str">
        <f>IFERROR(VLOOKUP($B495,'24.08_ND'!$A:$D,3,0),IFERROR(VLOOKUP($B495,'03-CP'!$C$5:$H$4646,3,0),""))</f>
        <v>UN</v>
      </c>
      <c r="F495" s="389">
        <v>1</v>
      </c>
      <c r="G495" s="1244"/>
      <c r="H495" s="1244"/>
      <c r="I495" s="1409"/>
      <c r="J495" s="262"/>
      <c r="K495" s="262"/>
      <c r="L495" s="386"/>
      <c r="M495" s="262" t="s">
        <v>16316</v>
      </c>
      <c r="O495" s="262"/>
      <c r="P495" s="262"/>
      <c r="Q495" s="262"/>
      <c r="R495" s="262"/>
      <c r="S495" s="262"/>
      <c r="T495" s="262"/>
      <c r="U495" s="262"/>
      <c r="V495" s="262"/>
      <c r="W495" s="262"/>
      <c r="X495" s="262"/>
      <c r="Y495" s="262"/>
      <c r="Z495" s="262"/>
    </row>
    <row r="496" spans="1:26" ht="25.5" outlineLevel="1">
      <c r="A496" s="247" t="s">
        <v>12996</v>
      </c>
      <c r="B496" s="386" t="s">
        <v>15382</v>
      </c>
      <c r="C496" s="386" t="s">
        <v>14472</v>
      </c>
      <c r="D496" s="1314" t="str">
        <f>IFERROR(VLOOKUP($B496,'24.08_ND'!$A$4833:$D$12369,2,0),IFERROR(VLOOKUP($B496,'03-CP'!$C$5:$H$4646,2,0),""))</f>
        <v>LUVA SIMPLES, PVC, SERIE R,  DN 100 MM, JUNTA ELÁSTICA, FORNECIDO E INSTALADO EM RAMAL DE ENCAMINHAMENTO.</v>
      </c>
      <c r="E496" s="1315" t="str">
        <f>IFERROR(VLOOKUP($B496,'24.08_ND'!$A:$D,3,0),IFERROR(VLOOKUP($B496,'03-CP'!$C$5:$H$4646,3,0),""))</f>
        <v>UN</v>
      </c>
      <c r="F496" s="389">
        <v>5</v>
      </c>
      <c r="G496" s="1244"/>
      <c r="H496" s="1244"/>
      <c r="I496" s="1409"/>
      <c r="J496" s="262"/>
      <c r="K496" s="262"/>
      <c r="L496" s="386"/>
      <c r="M496" s="262" t="s">
        <v>16316</v>
      </c>
      <c r="O496" s="262"/>
      <c r="P496" s="262"/>
      <c r="Q496" s="262"/>
      <c r="R496" s="262"/>
      <c r="S496" s="262"/>
      <c r="T496" s="262"/>
      <c r="U496" s="262"/>
      <c r="V496" s="262"/>
      <c r="W496" s="262"/>
      <c r="X496" s="262"/>
      <c r="Y496" s="262"/>
      <c r="Z496" s="262"/>
    </row>
    <row r="497" spans="1:26" ht="38.25" outlineLevel="1">
      <c r="A497" s="247" t="s">
        <v>12997</v>
      </c>
      <c r="B497" s="386">
        <v>89778</v>
      </c>
      <c r="C497" s="386" t="s">
        <v>14476</v>
      </c>
      <c r="D497" s="1314" t="str">
        <f>IFERROR(VLOOKUP($B497,'24.08_ND'!$A$4833:$D$12369,2,0),IFERROR(VLOOKUP($B497,'03-CP'!$C$5:$H$4646,2,0),""))</f>
        <v>LUVA SIMPLES, PVC, SERIE NORMAL, ESGOTO PREDIAL, DN 100 MM, JUNTA ELÁSTICA, FORNECIDO E INSTALADO EM RAMAL DE DESCARGA OU RAMAL DE ESGOTO SANITÁRIO. AF_08/2022</v>
      </c>
      <c r="E497" s="1315" t="str">
        <f>IFERROR(VLOOKUP($B497,'24.08_ND'!$A:$D,3,0),IFERROR(VLOOKUP($B497,'03-CP'!$C$5:$H$4646,3,0),""))</f>
        <v>UN</v>
      </c>
      <c r="F497" s="389">
        <v>65</v>
      </c>
      <c r="G497" s="1244"/>
      <c r="H497" s="1244"/>
      <c r="I497" s="1409"/>
      <c r="J497" s="262" t="s">
        <v>16315</v>
      </c>
      <c r="K497" s="262"/>
      <c r="L497" s="386"/>
      <c r="M497" s="262" t="s">
        <v>16316</v>
      </c>
      <c r="O497" s="262"/>
      <c r="P497" s="262"/>
      <c r="Q497" s="262"/>
      <c r="R497" s="262"/>
      <c r="S497" s="262"/>
      <c r="T497" s="262"/>
      <c r="U497" s="262"/>
      <c r="V497" s="262"/>
      <c r="W497" s="262"/>
      <c r="X497" s="262"/>
      <c r="Y497" s="262"/>
      <c r="Z497" s="262"/>
    </row>
    <row r="498" spans="1:26" ht="38.25" outlineLevel="1">
      <c r="A498" s="247" t="s">
        <v>12998</v>
      </c>
      <c r="B498" s="386">
        <v>89753</v>
      </c>
      <c r="C498" s="386" t="s">
        <v>14476</v>
      </c>
      <c r="D498" s="1314" t="str">
        <f>IFERROR(VLOOKUP($B498,'24.08_ND'!$A$4833:$D$12369,2,0),IFERROR(VLOOKUP($B498,'03-CP'!$C$5:$H$4646,2,0),""))</f>
        <v>LUVA SIMPLES, PVC, SERIE NORMAL, ESGOTO PREDIAL, DN 50 MM, JUNTA ELÁSTICA, FORNECIDO E INSTALADO EM RAMAL DE DESCARGA OU RAMAL DE ESGOTO SANITÁRIO. AF_08/2022</v>
      </c>
      <c r="E498" s="1315" t="str">
        <f>IFERROR(VLOOKUP($B498,'24.08_ND'!$A:$D,3,0),IFERROR(VLOOKUP($B498,'03-CP'!$C$5:$H$4646,3,0),""))</f>
        <v>UN</v>
      </c>
      <c r="F498" s="389">
        <v>150</v>
      </c>
      <c r="G498" s="1244"/>
      <c r="H498" s="1244"/>
      <c r="I498" s="1409"/>
      <c r="J498" s="262" t="s">
        <v>16315</v>
      </c>
      <c r="K498" s="262"/>
      <c r="L498" s="386"/>
      <c r="M498" s="262" t="s">
        <v>16316</v>
      </c>
      <c r="O498" s="262"/>
      <c r="P498" s="262"/>
      <c r="Q498" s="262"/>
      <c r="R498" s="262"/>
      <c r="S498" s="262"/>
      <c r="T498" s="262"/>
      <c r="U498" s="262"/>
      <c r="V498" s="262"/>
      <c r="W498" s="262"/>
      <c r="X498" s="262"/>
      <c r="Y498" s="262"/>
      <c r="Z498" s="262"/>
    </row>
    <row r="499" spans="1:26" ht="38.25" outlineLevel="1">
      <c r="A499" s="247" t="s">
        <v>12999</v>
      </c>
      <c r="B499" s="386">
        <v>89784</v>
      </c>
      <c r="C499" s="386" t="s">
        <v>14476</v>
      </c>
      <c r="D499" s="1314" t="str">
        <f>IFERROR(VLOOKUP($B499,'24.08_ND'!$A$4833:$D$12369,2,0),IFERROR(VLOOKUP($B499,'03-CP'!$C$5:$H$4646,2,0),""))</f>
        <v>TE, PVC, SERIE NORMAL, ESGOTO PREDIAL, DN 50 X 50 MM, JUNTA ELÁSTICA, FORNECIDO E INSTALADO EM RAMAL DE DESCARGA OU RAMAL DE ESGOTO SANITÁRIO. AF_08/2022</v>
      </c>
      <c r="E499" s="1315" t="str">
        <f>IFERROR(VLOOKUP($B499,'24.08_ND'!$A:$D,3,0),IFERROR(VLOOKUP($B499,'03-CP'!$C$5:$H$4646,3,0),""))</f>
        <v>UN</v>
      </c>
      <c r="F499" s="389">
        <v>25</v>
      </c>
      <c r="G499" s="1244"/>
      <c r="H499" s="1244"/>
      <c r="I499" s="1409"/>
      <c r="J499" s="262" t="s">
        <v>16315</v>
      </c>
      <c r="K499" s="262"/>
      <c r="L499" s="386"/>
      <c r="M499" s="262" t="s">
        <v>16316</v>
      </c>
      <c r="O499" s="262"/>
      <c r="P499" s="262"/>
      <c r="Q499" s="262"/>
      <c r="R499" s="262"/>
      <c r="S499" s="262"/>
      <c r="T499" s="262"/>
      <c r="U499" s="262"/>
      <c r="V499" s="262"/>
      <c r="W499" s="262"/>
      <c r="X499" s="262"/>
      <c r="Y499" s="262"/>
      <c r="Z499" s="262"/>
    </row>
    <row r="500" spans="1:26" ht="38.25" outlineLevel="1">
      <c r="A500" s="247" t="s">
        <v>13000</v>
      </c>
      <c r="B500" s="386">
        <v>89782</v>
      </c>
      <c r="C500" s="386" t="s">
        <v>14476</v>
      </c>
      <c r="D500" s="1314" t="str">
        <f>IFERROR(VLOOKUP($B500,'24.08_ND'!$A$4833:$D$12369,2,0),IFERROR(VLOOKUP($B500,'03-CP'!$C$5:$H$4646,2,0),""))</f>
        <v>TE, PVC, SERIE NORMAL, ESGOTO PREDIAL, DN 40 X 40 MM, JUNTA SOLDÁVEL, FORNECIDO E INSTALADO EM RAMAL DE DESCARGA OU RAMAL DE ESGOTO SANITÁRIO. AF_08/2022</v>
      </c>
      <c r="E500" s="1315" t="str">
        <f>IFERROR(VLOOKUP($B500,'24.08_ND'!$A:$D,3,0),IFERROR(VLOOKUP($B500,'03-CP'!$C$5:$H$4646,3,0),""))</f>
        <v>UN</v>
      </c>
      <c r="F500" s="389">
        <v>5</v>
      </c>
      <c r="G500" s="1244"/>
      <c r="H500" s="1244"/>
      <c r="I500" s="1409"/>
      <c r="J500" s="262"/>
      <c r="K500" s="262"/>
      <c r="L500" s="386"/>
      <c r="M500" s="262" t="s">
        <v>16316</v>
      </c>
      <c r="O500" s="262"/>
      <c r="P500" s="262"/>
      <c r="Q500" s="262"/>
      <c r="R500" s="262"/>
      <c r="S500" s="262"/>
      <c r="T500" s="262"/>
      <c r="U500" s="262"/>
      <c r="V500" s="262"/>
      <c r="W500" s="262"/>
      <c r="X500" s="262"/>
      <c r="Y500" s="262"/>
      <c r="Z500" s="262"/>
    </row>
    <row r="501" spans="1:26" ht="38.25" outlineLevel="1">
      <c r="A501" s="247" t="s">
        <v>13001</v>
      </c>
      <c r="B501" s="386">
        <v>104344</v>
      </c>
      <c r="C501" s="386" t="s">
        <v>14476</v>
      </c>
      <c r="D501" s="1314" t="str">
        <f>IFERROR(VLOOKUP($B501,'24.08_ND'!$A$4833:$D$12369,2,0),IFERROR(VLOOKUP($B501,'03-CP'!$C$5:$H$4646,2,0),""))</f>
        <v>TE, PVC, SÉRIE NORMAL, ESGOTO PREDIAL, DN 100 X 50 MM, JUNTA ELÁSTICA, FORNECIDO E INSTALADO EM RAMAL DE DESCARGA OU RAMAL DE ESGOTO SANITÁRIO. AF_08/2022</v>
      </c>
      <c r="E501" s="1315" t="str">
        <f>IFERROR(VLOOKUP($B501,'24.08_ND'!$A:$D,3,0),IFERROR(VLOOKUP($B501,'03-CP'!$C$5:$H$4646,3,0),""))</f>
        <v>UN</v>
      </c>
      <c r="F501" s="389">
        <v>1</v>
      </c>
      <c r="G501" s="1244"/>
      <c r="H501" s="1244"/>
      <c r="I501" s="1409"/>
      <c r="J501" s="262"/>
      <c r="K501" s="262"/>
      <c r="L501" s="386"/>
      <c r="M501" s="262" t="s">
        <v>16316</v>
      </c>
      <c r="O501" s="262"/>
      <c r="P501" s="262"/>
      <c r="Q501" s="262"/>
      <c r="R501" s="262"/>
      <c r="S501" s="262"/>
      <c r="T501" s="262"/>
      <c r="U501" s="262"/>
      <c r="V501" s="262"/>
      <c r="W501" s="262"/>
      <c r="X501" s="262"/>
      <c r="Y501" s="262"/>
      <c r="Z501" s="262"/>
    </row>
    <row r="502" spans="1:26" ht="38.25" outlineLevel="1">
      <c r="A502" s="247" t="s">
        <v>13002</v>
      </c>
      <c r="B502" s="386">
        <v>104348</v>
      </c>
      <c r="C502" s="386" t="s">
        <v>14476</v>
      </c>
      <c r="D502" s="1314" t="str">
        <f>IFERROR(VLOOKUP($B502,'24.08_ND'!$A$4833:$D$12369,2,0),IFERROR(VLOOKUP($B502,'03-CP'!$C$5:$H$4646,2,0),""))</f>
        <v>TERMINAL DE VENTILAÇÃO, PVC, SÉRIE NORMAL, ESGOTO PREDIAL, DN 50 MM, JUNTA SOLDÁVEL, FORNECIDO E INSTALADO EM PRUMADA DE ESGOTO SANITÁRIO OU VENTILAÇÃO. AF_08/2022</v>
      </c>
      <c r="E502" s="1315" t="str">
        <f>IFERROR(VLOOKUP($B502,'24.08_ND'!$A:$D,3,0),IFERROR(VLOOKUP($B502,'03-CP'!$C$5:$H$4646,3,0),""))</f>
        <v>UN</v>
      </c>
      <c r="F502" s="389">
        <v>4</v>
      </c>
      <c r="G502" s="1244"/>
      <c r="H502" s="1244"/>
      <c r="I502" s="1409"/>
      <c r="J502" s="262" t="s">
        <v>16315</v>
      </c>
      <c r="K502" s="262"/>
      <c r="L502" s="386"/>
      <c r="M502" s="262" t="s">
        <v>16316</v>
      </c>
      <c r="O502" s="262"/>
      <c r="P502" s="262"/>
      <c r="Q502" s="262"/>
      <c r="R502" s="262"/>
      <c r="S502" s="262"/>
      <c r="T502" s="262"/>
      <c r="U502" s="262"/>
      <c r="V502" s="262"/>
      <c r="W502" s="262"/>
      <c r="X502" s="262"/>
      <c r="Y502" s="262"/>
      <c r="Z502" s="262"/>
    </row>
    <row r="503" spans="1:26" ht="38.25" outlineLevel="1">
      <c r="A503" s="247" t="s">
        <v>13003</v>
      </c>
      <c r="B503" s="386">
        <v>89714</v>
      </c>
      <c r="C503" s="386" t="s">
        <v>14476</v>
      </c>
      <c r="D503" s="1314" t="str">
        <f>IFERROR(VLOOKUP($B503,'24.08_ND'!$A$4833:$D$12369,2,0),IFERROR(VLOOKUP($B503,'03-CP'!$C$5:$H$4646,2,0),""))</f>
        <v>TUBO PVC, SERIE NORMAL, ESGOTO PREDIAL, DN 100 MM, FORNECIDO E INSTALADO EM RAMAL DE DESCARGA OU RAMAL DE ESGOTO SANITÁRIO. AF_08/2022</v>
      </c>
      <c r="E503" s="1315" t="str">
        <f>IFERROR(VLOOKUP($B503,'24.08_ND'!$A:$D,3,0),IFERROR(VLOOKUP($B503,'03-CP'!$C$5:$H$4646,3,0),""))</f>
        <v>M</v>
      </c>
      <c r="F503" s="389">
        <v>60</v>
      </c>
      <c r="G503" s="1244"/>
      <c r="H503" s="1244"/>
      <c r="I503" s="1409"/>
      <c r="J503" s="262" t="s">
        <v>16315</v>
      </c>
      <c r="K503" s="262"/>
      <c r="L503" s="386"/>
      <c r="M503" s="262" t="s">
        <v>16316</v>
      </c>
      <c r="O503" s="262"/>
      <c r="P503" s="262"/>
      <c r="Q503" s="262"/>
      <c r="R503" s="262"/>
      <c r="S503" s="262"/>
      <c r="T503" s="262"/>
      <c r="U503" s="262"/>
      <c r="V503" s="262"/>
      <c r="W503" s="262"/>
      <c r="X503" s="262"/>
      <c r="Y503" s="262"/>
      <c r="Z503" s="262"/>
    </row>
    <row r="504" spans="1:26" ht="38.25" outlineLevel="1">
      <c r="A504" s="247" t="s">
        <v>13004</v>
      </c>
      <c r="B504" s="386">
        <v>89712</v>
      </c>
      <c r="C504" s="386" t="s">
        <v>14476</v>
      </c>
      <c r="D504" s="1314" t="str">
        <f>IFERROR(VLOOKUP($B504,'24.08_ND'!$A$4833:$D$12369,2,0),IFERROR(VLOOKUP($B504,'03-CP'!$C$5:$H$4646,2,0),""))</f>
        <v>TUBO PVC, SERIE NORMAL, ESGOTO PREDIAL, DN 50 MM, FORNECIDO E INSTALADO EM RAMAL DE DESCARGA OU RAMAL DE ESGOTO SANITÁRIO. AF_08/2022</v>
      </c>
      <c r="E504" s="1315" t="str">
        <f>IFERROR(VLOOKUP($B504,'24.08_ND'!$A:$D,3,0),IFERROR(VLOOKUP($B504,'03-CP'!$C$5:$H$4646,3,0),""))</f>
        <v>M</v>
      </c>
      <c r="F504" s="389">
        <v>130</v>
      </c>
      <c r="G504" s="1244"/>
      <c r="H504" s="1244"/>
      <c r="I504" s="1409"/>
      <c r="J504" s="262" t="s">
        <v>16315</v>
      </c>
      <c r="K504" s="262"/>
      <c r="L504" s="386"/>
      <c r="M504" s="262" t="s">
        <v>16316</v>
      </c>
      <c r="O504" s="262"/>
      <c r="P504" s="262"/>
      <c r="Q504" s="262"/>
      <c r="R504" s="262"/>
      <c r="S504" s="262"/>
      <c r="T504" s="262"/>
      <c r="U504" s="262"/>
      <c r="V504" s="262"/>
      <c r="W504" s="262"/>
      <c r="X504" s="262"/>
      <c r="Y504" s="262"/>
      <c r="Z504" s="262"/>
    </row>
    <row r="505" spans="1:26" ht="38.25" outlineLevel="1">
      <c r="A505" s="247" t="s">
        <v>13005</v>
      </c>
      <c r="B505" s="386">
        <v>89711</v>
      </c>
      <c r="C505" s="386" t="s">
        <v>14476</v>
      </c>
      <c r="D505" s="1314" t="str">
        <f>IFERROR(VLOOKUP($B505,'24.08_ND'!$A$4833:$D$12369,2,0),IFERROR(VLOOKUP($B505,'03-CP'!$C$5:$H$4646,2,0),""))</f>
        <v>TUBO PVC, SERIE NORMAL, ESGOTO PREDIAL, DN 40 MM, FORNECIDO E INSTALADO EM RAMAL DE DESCARGA OU RAMAL DE ESGOTO SANITÁRIO. AF_08/2022</v>
      </c>
      <c r="E505" s="1315" t="str">
        <f>IFERROR(VLOOKUP($B505,'24.08_ND'!$A:$D,3,0),IFERROR(VLOOKUP($B505,'03-CP'!$C$5:$H$4646,3,0),""))</f>
        <v>M</v>
      </c>
      <c r="F505" s="389">
        <v>2</v>
      </c>
      <c r="G505" s="1244"/>
      <c r="H505" s="1244"/>
      <c r="I505" s="1409"/>
      <c r="J505" s="262" t="s">
        <v>16315</v>
      </c>
      <c r="K505" s="262"/>
      <c r="L505" s="386"/>
      <c r="M505" s="262" t="s">
        <v>16316</v>
      </c>
      <c r="O505" s="262"/>
      <c r="P505" s="262"/>
      <c r="Q505" s="262"/>
      <c r="R505" s="262"/>
      <c r="S505" s="262"/>
      <c r="T505" s="262"/>
      <c r="U505" s="262"/>
      <c r="V505" s="262"/>
      <c r="W505" s="262"/>
      <c r="X505" s="262"/>
      <c r="Y505" s="262"/>
      <c r="Z505" s="262"/>
    </row>
    <row r="506" spans="1:26" ht="25.5" outlineLevel="1">
      <c r="A506" s="247" t="s">
        <v>13006</v>
      </c>
      <c r="B506" s="386" t="s">
        <v>15384</v>
      </c>
      <c r="C506" s="386" t="s">
        <v>14472</v>
      </c>
      <c r="D506" s="1314" t="str">
        <f>IFERROR(VLOOKUP($B506,'24.08_ND'!$A$4833:$D$12369,2,0),IFERROR(VLOOKUP($B506,'03-CP'!$C$5:$H$4646,2,0),""))</f>
        <v>TUBO PVC, SÉRIE R, DN 100 MM, FORNECIDO E INSTALADO EM RAMAL DE ENCAMINHAMENTO</v>
      </c>
      <c r="E506" s="1315" t="str">
        <f>IFERROR(VLOOKUP($B506,'24.08_ND'!$A:$D,3,0),IFERROR(VLOOKUP($B506,'03-CP'!$C$5:$H$4646,3,0),""))</f>
        <v>M</v>
      </c>
      <c r="F506" s="389">
        <v>160</v>
      </c>
      <c r="G506" s="1244"/>
      <c r="H506" s="1244"/>
      <c r="I506" s="1409"/>
      <c r="J506" s="262"/>
      <c r="K506" s="262"/>
      <c r="L506" s="386"/>
      <c r="M506" s="262" t="s">
        <v>16316</v>
      </c>
      <c r="O506" s="262"/>
      <c r="P506" s="262"/>
      <c r="Q506" s="262"/>
      <c r="R506" s="262"/>
      <c r="S506" s="262"/>
      <c r="T506" s="262"/>
      <c r="U506" s="262"/>
      <c r="V506" s="262"/>
      <c r="W506" s="262"/>
      <c r="X506" s="262"/>
      <c r="Y506" s="262"/>
      <c r="Z506" s="262"/>
    </row>
    <row r="507" spans="1:26" ht="25.5" outlineLevel="1">
      <c r="A507" s="247" t="s">
        <v>13007</v>
      </c>
      <c r="B507" s="386" t="s">
        <v>15386</v>
      </c>
      <c r="C507" s="386" t="s">
        <v>14472</v>
      </c>
      <c r="D507" s="1314" t="str">
        <f>IFERROR(VLOOKUP($B507,'24.08_ND'!$A$4833:$D$12369,2,0),IFERROR(VLOOKUP($B507,'03-CP'!$C$5:$H$4646,2,0),""))</f>
        <v>TUBO PVC, SÉRIE R, DN 50 MM, FORNECIDO E INSTALADO EM RAMAL DE ENCAMINHAMENTO</v>
      </c>
      <c r="E507" s="1315" t="str">
        <f>IFERROR(VLOOKUP($B507,'24.08_ND'!$A:$D,3,0),IFERROR(VLOOKUP($B507,'03-CP'!$C$5:$H$4646,3,0),""))</f>
        <v>M</v>
      </c>
      <c r="F507" s="389">
        <v>3</v>
      </c>
      <c r="G507" s="1244"/>
      <c r="H507" s="1244"/>
      <c r="I507" s="1409"/>
      <c r="J507" s="262"/>
      <c r="K507" s="262"/>
      <c r="L507" s="386"/>
      <c r="M507" s="262" t="s">
        <v>16316</v>
      </c>
      <c r="O507" s="262"/>
      <c r="P507" s="262"/>
      <c r="Q507" s="262"/>
      <c r="R507" s="262"/>
      <c r="S507" s="262"/>
      <c r="T507" s="262"/>
      <c r="U507" s="262"/>
      <c r="V507" s="262"/>
      <c r="W507" s="262"/>
      <c r="X507" s="262"/>
      <c r="Y507" s="262"/>
      <c r="Z507" s="262"/>
    </row>
    <row r="508" spans="1:26" ht="38.25" outlineLevel="1">
      <c r="A508" s="247" t="s">
        <v>13008</v>
      </c>
      <c r="B508" s="386">
        <v>104328</v>
      </c>
      <c r="C508" s="386" t="s">
        <v>14476</v>
      </c>
      <c r="D508" s="1314" t="str">
        <f>IFERROR(VLOOKUP($B508,'24.08_ND'!$A$4833:$D$12369,2,0),IFERROR(VLOOKUP($B508,'03-CP'!$C$5:$H$4646,2,0),""))</f>
        <v>CAIXA SIFONADA, COM GRELHA QUADRADA, PVC, DN 150 X 150 X 50 MM, JUNTA SOLDÁVEL, FORNECIDA E INSTALADA EM RAMAL DE DESCARGA OU EM RAMAL DE ESGOTO SANITÁRIO. AF_08/2022</v>
      </c>
      <c r="E508" s="1315" t="str">
        <f>IFERROR(VLOOKUP($B508,'24.08_ND'!$A:$D,3,0),IFERROR(VLOOKUP($B508,'03-CP'!$C$5:$H$4646,3,0),""))</f>
        <v>UN</v>
      </c>
      <c r="F508" s="389">
        <v>4</v>
      </c>
      <c r="G508" s="1244"/>
      <c r="H508" s="1244"/>
      <c r="I508" s="1409"/>
      <c r="J508" s="262" t="s">
        <v>16315</v>
      </c>
      <c r="K508" s="262"/>
      <c r="L508" s="386"/>
      <c r="M508" s="262" t="s">
        <v>16316</v>
      </c>
      <c r="O508" s="262"/>
      <c r="P508" s="262"/>
      <c r="Q508" s="262"/>
      <c r="R508" s="262"/>
      <c r="S508" s="262"/>
      <c r="T508" s="262"/>
      <c r="U508" s="262"/>
      <c r="V508" s="262"/>
      <c r="W508" s="262"/>
      <c r="X508" s="262"/>
      <c r="Y508" s="262"/>
      <c r="Z508" s="262"/>
    </row>
    <row r="509" spans="1:26" ht="38.25" outlineLevel="1">
      <c r="A509" s="247" t="s">
        <v>13009</v>
      </c>
      <c r="B509" s="386" t="s">
        <v>15392</v>
      </c>
      <c r="C509" s="386" t="s">
        <v>14472</v>
      </c>
      <c r="D509" s="1314" t="str">
        <f>IFERROR(VLOOKUP($B509,'24.08_ND'!$A$4833:$D$12369,2,0),IFERROR(VLOOKUP($B509,'03-CP'!$C$5:$H$4646,2,0),""))</f>
        <v>CAIXA SIFONADA, COM GRELHA QUADRADA, PVC, DN 100 X 150 X 50 MM, JUNTA ELÁSTICA, FORNECIDA E INSTALADA EM RAMAL DE DESCARGA OU EM RAMAL DE ESGOTO SANITÁRIO</v>
      </c>
      <c r="E509" s="1315" t="str">
        <f>IFERROR(VLOOKUP($B509,'24.08_ND'!$A:$D,3,0),IFERROR(VLOOKUP($B509,'03-CP'!$C$5:$H$4646,3,0),""))</f>
        <v>UN</v>
      </c>
      <c r="F509" s="389">
        <v>8</v>
      </c>
      <c r="G509" s="1244"/>
      <c r="H509" s="1244"/>
      <c r="I509" s="1409"/>
      <c r="J509" s="262"/>
      <c r="K509" s="262"/>
      <c r="L509" s="386"/>
      <c r="M509" s="262" t="s">
        <v>16316</v>
      </c>
      <c r="O509" s="262"/>
      <c r="P509" s="262"/>
      <c r="Q509" s="262"/>
      <c r="R509" s="262"/>
      <c r="S509" s="262"/>
      <c r="T509" s="262"/>
      <c r="U509" s="262"/>
      <c r="V509" s="262"/>
      <c r="W509" s="262"/>
      <c r="X509" s="262"/>
      <c r="Y509" s="262"/>
      <c r="Z509" s="262"/>
    </row>
    <row r="510" spans="1:26" ht="25.5" outlineLevel="1">
      <c r="A510" s="247" t="s">
        <v>13010</v>
      </c>
      <c r="B510" s="386" t="s">
        <v>15396</v>
      </c>
      <c r="C510" s="386" t="s">
        <v>14472</v>
      </c>
      <c r="D510" s="1314" t="str">
        <f>IFERROR(VLOOKUP($B510,'24.08_ND'!$A$4833:$D$12369,2,0),IFERROR(VLOOKUP($B510,'03-CP'!$C$5:$H$4646,2,0),""))</f>
        <v>TAMPA CEGA INOX QUADRADA DN 100 MM, INCLUSO PORTA GRELHA PARA ENCAIXE - FORNECIMENTO E INSTALAÇÃO</v>
      </c>
      <c r="E510" s="1315" t="str">
        <f>IFERROR(VLOOKUP($B510,'24.08_ND'!$A:$D,3,0),IFERROR(VLOOKUP($B510,'03-CP'!$C$5:$H$4646,3,0),""))</f>
        <v>UN</v>
      </c>
      <c r="F510" s="389">
        <v>6</v>
      </c>
      <c r="G510" s="1244"/>
      <c r="H510" s="1244"/>
      <c r="I510" s="1409"/>
      <c r="J510" s="262"/>
      <c r="K510" s="262"/>
      <c r="L510" s="386"/>
      <c r="M510" s="262" t="s">
        <v>16316</v>
      </c>
      <c r="O510" s="262"/>
      <c r="P510" s="262"/>
      <c r="Q510" s="262"/>
      <c r="R510" s="262"/>
      <c r="S510" s="262"/>
      <c r="T510" s="262"/>
      <c r="U510" s="262"/>
      <c r="V510" s="262"/>
      <c r="W510" s="262"/>
      <c r="X510" s="262"/>
      <c r="Y510" s="262"/>
      <c r="Z510" s="262"/>
    </row>
    <row r="511" spans="1:26" ht="51" outlineLevel="1">
      <c r="A511" s="247" t="s">
        <v>13011</v>
      </c>
      <c r="B511" s="386">
        <v>91179</v>
      </c>
      <c r="C511" s="386" t="s">
        <v>14476</v>
      </c>
      <c r="D511" s="1314" t="str">
        <f>IFERROR(VLOOKUP($B511,'24.08_ND'!$A$4833:$D$12369,2,0),IFERROR(VLOOKUP($B511,'03-CP'!$C$5:$H$4646,2,0),""))</f>
        <v>FIXAÇÃO DE TUBOS HORIZONTAIS DE PVC ÁGUA/PVC ESGOTO/PVC PLUVIAL/CPVC/PPR/COBRE OU AÇO, DIÂMETROS MENORES OU IGUAIS A 40 MM, COM ABRAÇADEIRA METÁLICA RÍGIDA TIPO  D  COM PARAFUSO DE FIXAÇÃO 1 1/4", FIXADA DIRETAMENTE NA LAJE OU PAREDE. AF_09/2023</v>
      </c>
      <c r="E511" s="1315" t="str">
        <f>IFERROR(VLOOKUP($B511,'24.08_ND'!$A:$D,3,0),IFERROR(VLOOKUP($B511,'03-CP'!$C$5:$H$4646,3,0),""))</f>
        <v>M</v>
      </c>
      <c r="F511" s="389">
        <v>3</v>
      </c>
      <c r="G511" s="1244"/>
      <c r="H511" s="1244"/>
      <c r="I511" s="1409"/>
      <c r="J511" s="262" t="s">
        <v>16315</v>
      </c>
      <c r="K511" s="262"/>
      <c r="L511" s="386"/>
      <c r="M511" s="262" t="s">
        <v>16316</v>
      </c>
      <c r="O511" s="262"/>
      <c r="P511" s="262"/>
      <c r="Q511" s="262"/>
      <c r="R511" s="262"/>
      <c r="S511" s="262"/>
      <c r="T511" s="262"/>
      <c r="U511" s="262"/>
      <c r="V511" s="262"/>
      <c r="W511" s="262"/>
      <c r="X511" s="262"/>
      <c r="Y511" s="262"/>
      <c r="Z511" s="262"/>
    </row>
    <row r="512" spans="1:26" ht="38.25" outlineLevel="1">
      <c r="A512" s="247" t="s">
        <v>13012</v>
      </c>
      <c r="B512" s="386">
        <v>97906</v>
      </c>
      <c r="C512" s="386" t="s">
        <v>14476</v>
      </c>
      <c r="D512" s="1314" t="str">
        <f>IFERROR(VLOOKUP($B512,'24.08_ND'!$A$4833:$D$12369,2,0),IFERROR(VLOOKUP($B512,'03-CP'!$C$5:$H$4646,2,0),""))</f>
        <v>CAIXA ENTERRADA HIDRÁULICA RETANGULAR, EM ALVENARIA COM BLOCOS DE CONCRETO, DIMENSÕES INTERNAS: 0,6X0,6X0,6 M PARA REDE DE ESGOTO. AF_12/2020</v>
      </c>
      <c r="E512" s="1315" t="str">
        <f>IFERROR(VLOOKUP($B512,'24.08_ND'!$A:$D,3,0),IFERROR(VLOOKUP($B512,'03-CP'!$C$5:$H$4646,3,0),""))</f>
        <v>UN</v>
      </c>
      <c r="F512" s="389">
        <v>1</v>
      </c>
      <c r="G512" s="1244"/>
      <c r="H512" s="1244"/>
      <c r="I512" s="1409"/>
      <c r="J512" s="262" t="s">
        <v>16315</v>
      </c>
      <c r="K512" s="262"/>
      <c r="L512" s="386"/>
      <c r="M512" s="262" t="s">
        <v>16316</v>
      </c>
      <c r="O512" s="262"/>
      <c r="P512" s="262"/>
      <c r="Q512" s="262"/>
      <c r="R512" s="262"/>
      <c r="S512" s="262"/>
      <c r="T512" s="262"/>
      <c r="U512" s="262"/>
      <c r="V512" s="262"/>
      <c r="W512" s="262"/>
      <c r="X512" s="262"/>
      <c r="Y512" s="262"/>
      <c r="Z512" s="262"/>
    </row>
    <row r="513" spans="1:26" ht="38.25" outlineLevel="1">
      <c r="A513" s="247" t="s">
        <v>13013</v>
      </c>
      <c r="B513" s="386">
        <v>97905</v>
      </c>
      <c r="C513" s="386" t="s">
        <v>14476</v>
      </c>
      <c r="D513" s="1314" t="str">
        <f>IFERROR(VLOOKUP($B513,'24.08_ND'!$A$4833:$D$12369,2,0),IFERROR(VLOOKUP($B513,'03-CP'!$C$5:$H$4646,2,0),""))</f>
        <v>CAIXA ENTERRADA HIDRÁULICA RETANGULAR, EM ALVENARIA COM BLOCOS DE CONCRETO, DIMENSÕES INTERNAS: 0,4X0,4X0,4 M PARA REDE DE ESGOTO. AF_12/2020</v>
      </c>
      <c r="E513" s="1315" t="str">
        <f>IFERROR(VLOOKUP($B513,'24.08_ND'!$A:$D,3,0),IFERROR(VLOOKUP($B513,'03-CP'!$C$5:$H$4646,3,0),""))</f>
        <v>UN</v>
      </c>
      <c r="F513" s="389">
        <v>1</v>
      </c>
      <c r="G513" s="1244"/>
      <c r="H513" s="1244"/>
      <c r="I513" s="1409"/>
      <c r="J513" s="262"/>
      <c r="K513" s="262"/>
      <c r="L513" s="386"/>
      <c r="M513" s="262" t="s">
        <v>16316</v>
      </c>
      <c r="O513" s="262"/>
      <c r="P513" s="262"/>
      <c r="Q513" s="262"/>
      <c r="R513" s="262"/>
      <c r="S513" s="262"/>
      <c r="T513" s="262"/>
      <c r="U513" s="262"/>
      <c r="V513" s="262"/>
      <c r="W513" s="262"/>
      <c r="X513" s="262"/>
      <c r="Y513" s="262"/>
      <c r="Z513" s="262"/>
    </row>
    <row r="514" spans="1:26" ht="38.25" outlineLevel="1">
      <c r="A514" s="247" t="s">
        <v>13014</v>
      </c>
      <c r="B514" s="386">
        <v>98053</v>
      </c>
      <c r="C514" s="386" t="s">
        <v>14476</v>
      </c>
      <c r="D514" s="1314" t="str">
        <f>IFERROR(VLOOKUP($B514,'24.08_ND'!$A$4833:$D$12369,2,0),IFERROR(VLOOKUP($B514,'03-CP'!$C$5:$H$4646,2,0),""))</f>
        <v>TANQUE SÉPTICO CIRCULAR, EM CONCRETO PRÉ-MOLDADO, DIÂMETRO INTERNO = 1,40 M, ALTURA INTERNA = 2,50 M, VOLUME ÚTIL: 3463,6 L (PARA 13 CONTRIBUINTES). AF_12/2020_PA</v>
      </c>
      <c r="E514" s="1315" t="str">
        <f>IFERROR(VLOOKUP($B514,'24.08_ND'!$A:$D,3,0),IFERROR(VLOOKUP($B514,'03-CP'!$C$5:$H$4646,3,0),""))</f>
        <v>UN</v>
      </c>
      <c r="F514" s="389">
        <v>1</v>
      </c>
      <c r="G514" s="1244"/>
      <c r="H514" s="1244"/>
      <c r="I514" s="1409"/>
      <c r="J514" s="262"/>
      <c r="K514" s="262"/>
      <c r="L514" s="386"/>
      <c r="M514" s="262" t="s">
        <v>16316</v>
      </c>
      <c r="O514" s="262"/>
      <c r="P514" s="262"/>
      <c r="Q514" s="262"/>
      <c r="R514" s="262"/>
      <c r="S514" s="262"/>
      <c r="T514" s="262"/>
      <c r="U514" s="262"/>
      <c r="V514" s="262"/>
      <c r="W514" s="262"/>
      <c r="X514" s="262"/>
      <c r="Y514" s="262"/>
      <c r="Z514" s="262"/>
    </row>
    <row r="515" spans="1:26" ht="51" outlineLevel="1">
      <c r="A515" s="247" t="s">
        <v>13015</v>
      </c>
      <c r="B515" s="386" t="s">
        <v>15399</v>
      </c>
      <c r="C515" s="386" t="s">
        <v>14472</v>
      </c>
      <c r="D515" s="1314" t="str">
        <f>IFERROR(VLOOKUP($B515,'24.08_ND'!$A$4833:$D$12369,2,0),IFERROR(VLOOKUP($B515,'03-CP'!$C$5:$H$4646,2,0),""))</f>
        <v>FILTRO ANAERÓBIO DE ANÉIS PRÉ-MOLDADOS DE CONCRETO, DIÂMETRO DE 1,20M, ALTURA ÚTIL DE 1,80M. COMPLETO, INCLUSO TAMPA COM VISITA DE 60 CM, CONCRETO PARA FUNDO ESP. 10 CM E TUBULAÇÃO DE SAÍDA DE ESGOTO</v>
      </c>
      <c r="E515" s="1315" t="str">
        <f>IFERROR(VLOOKUP($B515,'24.08_ND'!$A:$D,3,0),IFERROR(VLOOKUP($B515,'03-CP'!$C$5:$H$4646,3,0),""))</f>
        <v>UN</v>
      </c>
      <c r="F515" s="389">
        <v>1</v>
      </c>
      <c r="G515" s="1244"/>
      <c r="H515" s="1244"/>
      <c r="I515" s="1409"/>
      <c r="J515" s="262"/>
      <c r="K515" s="262"/>
      <c r="L515" s="386"/>
      <c r="M515" s="262" t="s">
        <v>16316</v>
      </c>
      <c r="O515" s="262"/>
      <c r="P515" s="262"/>
      <c r="Q515" s="262"/>
      <c r="R515" s="262"/>
      <c r="S515" s="262"/>
      <c r="T515" s="262"/>
      <c r="U515" s="262"/>
      <c r="V515" s="262"/>
      <c r="W515" s="262"/>
      <c r="X515" s="262"/>
      <c r="Y515" s="262"/>
      <c r="Z515" s="262"/>
    </row>
    <row r="516" spans="1:26" ht="25.5" outlineLevel="1">
      <c r="A516" s="247" t="s">
        <v>13016</v>
      </c>
      <c r="B516" s="386" t="s">
        <v>15402</v>
      </c>
      <c r="C516" s="386" t="s">
        <v>14472</v>
      </c>
      <c r="D516" s="1314" t="str">
        <f>IFERROR(VLOOKUP($B516,'24.08_ND'!$A$4833:$D$12369,2,0),IFERROR(VLOOKUP($B516,'03-CP'!$C$5:$H$4646,2,0),""))</f>
        <v>SUMIDOURO ANÉIS PRÉ-MOLDADOS DE CONCRETO, DIÂMETRO DE 1,50M, ALTURA ÚTIL DE 2,80M. COMPLETO.</v>
      </c>
      <c r="E516" s="1315" t="str">
        <f>IFERROR(VLOOKUP($B516,'24.08_ND'!$A:$D,3,0),IFERROR(VLOOKUP($B516,'03-CP'!$C$5:$H$4646,3,0),""))</f>
        <v>UN</v>
      </c>
      <c r="F516" s="389">
        <v>1</v>
      </c>
      <c r="G516" s="1244"/>
      <c r="H516" s="1244"/>
      <c r="I516" s="1409"/>
      <c r="J516" s="262"/>
      <c r="K516" s="262"/>
      <c r="L516" s="386"/>
      <c r="M516" s="262" t="s">
        <v>16316</v>
      </c>
      <c r="O516" s="262"/>
      <c r="P516" s="262"/>
      <c r="Q516" s="262"/>
      <c r="R516" s="262"/>
      <c r="S516" s="262"/>
      <c r="T516" s="262"/>
      <c r="U516" s="262"/>
      <c r="V516" s="262"/>
      <c r="W516" s="262"/>
      <c r="X516" s="262"/>
      <c r="Y516" s="262"/>
      <c r="Z516" s="262"/>
    </row>
    <row r="517" spans="1:26" ht="25.5" outlineLevel="1">
      <c r="A517" s="247" t="s">
        <v>13017</v>
      </c>
      <c r="B517" s="386">
        <v>93358</v>
      </c>
      <c r="C517" s="386" t="s">
        <v>14476</v>
      </c>
      <c r="D517" s="387" t="str">
        <f>IFERROR(VLOOKUP($B517,'24.08_ND'!$A$4833:$D$12369,2,0),IFERROR(VLOOKUP($B517,'03-CP'!$C$5:$H$4646,2,0),""))</f>
        <v>ESCAVAÇÃO MANUAL DE VALA COM PROFUNDIDADE MENOR OU IGUAL A 1,30 M. AF_02/2021</v>
      </c>
      <c r="E517" s="1244" t="str">
        <f>IFERROR(VLOOKUP($B517,'24.08_ND'!$A:$D,3,0),IFERROR(VLOOKUP($B517,'03-CP'!$C$5:$H$4646,3,0),""))</f>
        <v>M3</v>
      </c>
      <c r="F517" s="389">
        <v>35</v>
      </c>
      <c r="G517" s="1244"/>
      <c r="H517" s="1244"/>
      <c r="I517" s="1409"/>
      <c r="J517" s="262" t="s">
        <v>16315</v>
      </c>
      <c r="K517" s="262"/>
      <c r="L517" s="386"/>
      <c r="M517" s="262" t="s">
        <v>16316</v>
      </c>
      <c r="O517" s="262"/>
      <c r="P517" s="262"/>
      <c r="Q517" s="262"/>
      <c r="R517" s="262"/>
      <c r="S517" s="262"/>
      <c r="T517" s="262"/>
      <c r="U517" s="262"/>
      <c r="V517" s="262"/>
      <c r="W517" s="262"/>
      <c r="X517" s="262"/>
      <c r="Y517" s="262"/>
      <c r="Z517" s="262"/>
    </row>
    <row r="518" spans="1:26" ht="12.75" outlineLevel="1">
      <c r="A518" s="247" t="s">
        <v>13018</v>
      </c>
      <c r="B518" s="386">
        <v>102718</v>
      </c>
      <c r="C518" s="386" t="s">
        <v>14476</v>
      </c>
      <c r="D518" s="387" t="str">
        <f>IFERROR(VLOOKUP($B518,'24.08_ND'!$A$4833:$D$12369,2,0),IFERROR(VLOOKUP($B518,'03-CP'!$C$5:$H$4646,2,0),""))</f>
        <v>ENCHIMENTO DE AREIA PARA DRENO, LANÇAMENTO MANUAL. AF_07/2021</v>
      </c>
      <c r="E518" s="1244" t="str">
        <f>IFERROR(VLOOKUP($B518,'24.08_ND'!$A:$D,3,0),IFERROR(VLOOKUP($B518,'03-CP'!$C$5:$H$4646,3,0),""))</f>
        <v>M3</v>
      </c>
      <c r="F518" s="389">
        <v>15</v>
      </c>
      <c r="G518" s="1244"/>
      <c r="H518" s="1244"/>
      <c r="I518" s="1409"/>
      <c r="J518" s="262" t="s">
        <v>16315</v>
      </c>
      <c r="K518" s="262"/>
      <c r="L518" s="386"/>
      <c r="M518" s="262" t="s">
        <v>16316</v>
      </c>
      <c r="O518" s="262"/>
      <c r="P518" s="262"/>
      <c r="Q518" s="262"/>
      <c r="R518" s="262"/>
      <c r="S518" s="262"/>
      <c r="T518" s="262"/>
      <c r="U518" s="262"/>
      <c r="V518" s="262"/>
      <c r="W518" s="262"/>
      <c r="X518" s="262"/>
      <c r="Y518" s="262"/>
      <c r="Z518" s="262"/>
    </row>
    <row r="519" spans="1:26" ht="25.5" outlineLevel="1">
      <c r="A519" s="247" t="s">
        <v>13019</v>
      </c>
      <c r="B519" s="386">
        <v>93382</v>
      </c>
      <c r="C519" s="386" t="s">
        <v>14476</v>
      </c>
      <c r="D519" s="387" t="str">
        <f>IFERROR(VLOOKUP($B519,'24.08_ND'!$A$4833:$D$12369,2,0),IFERROR(VLOOKUP($B519,'03-CP'!$C$5:$H$4646,2,0),""))</f>
        <v>REATERRO MANUAL DE VALAS, COM COMPACTADOR DE SOLOS DE PERCUSSÃO. AF_08/2023</v>
      </c>
      <c r="E519" s="1244" t="str">
        <f>IFERROR(VLOOKUP($B519,'24.08_ND'!$A:$D,3,0),IFERROR(VLOOKUP($B519,'03-CP'!$C$5:$H$4646,3,0),""))</f>
        <v>M3</v>
      </c>
      <c r="F519" s="389">
        <v>25</v>
      </c>
      <c r="G519" s="1244"/>
      <c r="H519" s="1244"/>
      <c r="I519" s="1409"/>
      <c r="J519" s="262" t="s">
        <v>16315</v>
      </c>
      <c r="K519" s="262"/>
      <c r="L519" s="386"/>
      <c r="M519" s="262" t="s">
        <v>16316</v>
      </c>
      <c r="O519" s="262"/>
      <c r="P519" s="262"/>
      <c r="Q519" s="262"/>
      <c r="R519" s="262"/>
      <c r="S519" s="262"/>
      <c r="T519" s="262"/>
      <c r="U519" s="262"/>
      <c r="V519" s="262"/>
      <c r="W519" s="262"/>
      <c r="X519" s="262"/>
      <c r="Y519" s="262"/>
      <c r="Z519" s="262"/>
    </row>
    <row r="520" spans="1:26" ht="12.75">
      <c r="A520" s="250" t="s">
        <v>13020</v>
      </c>
      <c r="B520" s="1309"/>
      <c r="C520" s="1497"/>
      <c r="D520" s="1498" t="s">
        <v>16318</v>
      </c>
      <c r="E520" s="234"/>
      <c r="F520" s="1311"/>
      <c r="G520" s="236"/>
      <c r="H520" s="236"/>
      <c r="I520" s="1499"/>
      <c r="J520" s="262"/>
      <c r="K520" s="262"/>
      <c r="L520" s="386"/>
      <c r="M520" s="262"/>
      <c r="O520" s="262"/>
      <c r="P520" s="262"/>
      <c r="Q520" s="262"/>
      <c r="R520" s="262"/>
      <c r="S520" s="262"/>
      <c r="T520" s="262"/>
      <c r="U520" s="262"/>
      <c r="V520" s="262"/>
      <c r="W520" s="262"/>
      <c r="X520" s="262"/>
      <c r="Y520" s="262"/>
      <c r="Z520" s="262"/>
    </row>
    <row r="521" spans="1:26" ht="38.25" outlineLevel="1">
      <c r="A521" s="247" t="s">
        <v>13021</v>
      </c>
      <c r="B521" s="386" t="s">
        <v>15388</v>
      </c>
      <c r="C521" s="386" t="s">
        <v>14472</v>
      </c>
      <c r="D521" s="1314" t="str">
        <f>IFERROR(VLOOKUP($B521,'24.08_ND'!$A$4833:$D$12369,2,0),IFERROR(VLOOKUP($B521,'03-CP'!$C$5:$H$4646,2,0),""))</f>
        <v>CAIXA ENTERRADA HIDRÁULICA RETANGULAR, EM ALVENARIA COM BLOCOS DE CONCRETO, DIMENSÕES INTERNAS: 0,6X0,6X0,6 M PARA REDE DE DRENAGEM COM RALO FOFO REQUADRO, QUADRADO 400 X 400 MM</v>
      </c>
      <c r="E521" s="1315" t="str">
        <f>IFERROR(VLOOKUP($B521,'24.08_ND'!$A:$D,3,0),IFERROR(VLOOKUP($B521,'03-CP'!$C$5:$H$4646,3,0),""))</f>
        <v>UN</v>
      </c>
      <c r="F521" s="389">
        <v>2</v>
      </c>
      <c r="G521" s="1244"/>
      <c r="H521" s="1244"/>
      <c r="I521" s="1409"/>
      <c r="J521" s="262"/>
      <c r="K521" s="1383"/>
      <c r="L521" s="386"/>
      <c r="M521" s="262" t="s">
        <v>16316</v>
      </c>
      <c r="O521" s="262"/>
      <c r="P521" s="262"/>
      <c r="Q521" s="262"/>
      <c r="R521" s="262"/>
      <c r="S521" s="262"/>
      <c r="T521" s="262"/>
      <c r="U521" s="262"/>
      <c r="V521" s="262"/>
      <c r="W521" s="262"/>
      <c r="X521" s="262"/>
      <c r="Y521" s="262"/>
      <c r="Z521" s="262"/>
    </row>
    <row r="522" spans="1:26" ht="63.75" outlineLevel="1">
      <c r="A522" s="247" t="s">
        <v>13022</v>
      </c>
      <c r="B522" s="386" t="s">
        <v>15414</v>
      </c>
      <c r="C522" s="386" t="s">
        <v>14472</v>
      </c>
      <c r="D522" s="387" t="str">
        <f>IFERROR(VLOOKUP($B522,'24.08_ND'!$A$4833:$D$12369,2,0),IFERROR(VLOOKUP($B522,'03-CP'!$C$5:$H$4646,2,0),""))</f>
        <v>CANALETA DE DRENAGEM EM ALVENARIA DE TIJOLO MACIÇO , DIMENSÕES INTERNAS 30X30CM, REVESTIDA DE ARGAMASSA COM IMPERMEABILIZANTE EM TODAS AS FACES E=2,0CM, EXCLUSO GRELHA, INCLUSO ESCAVAÇÃO, REATERRO, CARGA/DESCARGA E TRANSPORTE DO MATERIAL ESCAVADO INUTILIZADO.</v>
      </c>
      <c r="E522" s="1244" t="str">
        <f>IFERROR(VLOOKUP($B522,'24.08_ND'!$A:$D,3,0),IFERROR(VLOOKUP($B522,'03-CP'!$C$5:$H$4646,3,0),""))</f>
        <v>M</v>
      </c>
      <c r="F522" s="389">
        <v>18</v>
      </c>
      <c r="G522" s="1244"/>
      <c r="H522" s="1244"/>
      <c r="I522" s="1409"/>
      <c r="J522" s="262"/>
      <c r="K522" s="1504"/>
      <c r="L522" s="386"/>
      <c r="M522" s="262" t="s">
        <v>16316</v>
      </c>
      <c r="O522" s="262"/>
      <c r="P522" s="262"/>
      <c r="Q522" s="262"/>
      <c r="R522" s="262"/>
      <c r="S522" s="262"/>
      <c r="T522" s="262"/>
      <c r="U522" s="262"/>
      <c r="V522" s="262"/>
      <c r="W522" s="262"/>
      <c r="X522" s="262"/>
      <c r="Y522" s="262"/>
      <c r="Z522" s="262"/>
    </row>
    <row r="523" spans="1:26" ht="38.25" outlineLevel="1">
      <c r="A523" s="247" t="s">
        <v>13023</v>
      </c>
      <c r="B523" s="386">
        <v>89520</v>
      </c>
      <c r="C523" s="386" t="s">
        <v>14476</v>
      </c>
      <c r="D523" s="1314" t="str">
        <f>IFERROR(VLOOKUP($B523,'24.08_ND'!$A$4833:$D$12369,2,0),IFERROR(VLOOKUP($B523,'03-CP'!$C$5:$H$4646,2,0),""))</f>
        <v>JOELHO 45 GRAUS, PVC, SERIE R, ÁGUA PLUVIAL, DN 50 MM, JUNTA ELÁSTICA, FORNECIDO E INSTALADO EM RAMAL DE ENCAMINHAMENTO. AF_06/2022</v>
      </c>
      <c r="E523" s="1315" t="str">
        <f>IFERROR(VLOOKUP($B523,'24.08_ND'!$A:$D,3,0),IFERROR(VLOOKUP($B523,'03-CP'!$C$5:$H$4646,3,0),""))</f>
        <v>UN</v>
      </c>
      <c r="F523" s="389">
        <v>1</v>
      </c>
      <c r="G523" s="1244"/>
      <c r="H523" s="1244"/>
      <c r="I523" s="1409"/>
      <c r="J523" s="262"/>
      <c r="K523" s="1383" t="s">
        <v>16313</v>
      </c>
      <c r="L523" s="386"/>
      <c r="M523" s="262" t="s">
        <v>16316</v>
      </c>
      <c r="O523" s="262"/>
      <c r="P523" s="262"/>
      <c r="Q523" s="262"/>
      <c r="R523" s="262"/>
      <c r="S523" s="262"/>
      <c r="T523" s="262"/>
      <c r="U523" s="262"/>
      <c r="V523" s="262"/>
      <c r="W523" s="262"/>
      <c r="X523" s="262"/>
      <c r="Y523" s="262"/>
      <c r="Z523" s="262"/>
    </row>
    <row r="524" spans="1:26" ht="38.25" outlineLevel="1">
      <c r="A524" s="247" t="s">
        <v>13024</v>
      </c>
      <c r="B524" s="386">
        <v>89585</v>
      </c>
      <c r="C524" s="386" t="s">
        <v>14476</v>
      </c>
      <c r="D524" s="1314" t="str">
        <f>IFERROR(VLOOKUP($B524,'24.08_ND'!$A$4833:$D$12369,2,0),IFERROR(VLOOKUP($B524,'03-CP'!$C$5:$H$4646,2,0),""))</f>
        <v>JOELHO 45 GRAUS, PVC, SERIE R, ÁGUA PLUVIAL, DN 100 MM, JUNTA ELÁSTICA, FORNECIDO E INSTALADO EM CONDUTORES VERTICAIS DE ÁGUAS PLUVIAIS. AF_06/2022</v>
      </c>
      <c r="E524" s="1315" t="str">
        <f>IFERROR(VLOOKUP($B524,'24.08_ND'!$A:$D,3,0),IFERROR(VLOOKUP($B524,'03-CP'!$C$5:$H$4646,3,0),""))</f>
        <v>UN</v>
      </c>
      <c r="F524" s="389">
        <v>48</v>
      </c>
      <c r="G524" s="1244"/>
      <c r="H524" s="1244"/>
      <c r="I524" s="1409"/>
      <c r="J524" s="262"/>
      <c r="K524" s="1383" t="s">
        <v>16319</v>
      </c>
      <c r="L524" s="386"/>
      <c r="M524" s="262" t="s">
        <v>16316</v>
      </c>
      <c r="O524" s="262"/>
      <c r="P524" s="262"/>
      <c r="Q524" s="262"/>
      <c r="R524" s="262"/>
      <c r="S524" s="262"/>
      <c r="T524" s="262"/>
      <c r="U524" s="262"/>
      <c r="V524" s="262"/>
      <c r="W524" s="262"/>
      <c r="X524" s="262"/>
      <c r="Y524" s="262"/>
      <c r="Z524" s="262"/>
    </row>
    <row r="525" spans="1:26" ht="38.25" outlineLevel="1">
      <c r="A525" s="247" t="s">
        <v>13025</v>
      </c>
      <c r="B525" s="386">
        <v>89591</v>
      </c>
      <c r="C525" s="386" t="s">
        <v>14476</v>
      </c>
      <c r="D525" s="1314" t="str">
        <f>IFERROR(VLOOKUP($B525,'24.08_ND'!$A$4833:$D$12369,2,0),IFERROR(VLOOKUP($B525,'03-CP'!$C$5:$H$4646,2,0),""))</f>
        <v>JOELHO 45 GRAUS, PVC, SERIE R, ÁGUA PLUVIAL, DN 150 MM, JUNTA ELÁSTICA, FORNECIDO E INSTALADO EM CONDUTORES VERTICAIS DE ÁGUAS PLUVIAIS. AF_06/2022</v>
      </c>
      <c r="E525" s="1315" t="str">
        <f>IFERROR(VLOOKUP($B525,'24.08_ND'!$A:$D,3,0),IFERROR(VLOOKUP($B525,'03-CP'!$C$5:$H$4646,3,0),""))</f>
        <v>UN</v>
      </c>
      <c r="F525" s="389">
        <v>13</v>
      </c>
      <c r="G525" s="1244"/>
      <c r="H525" s="1244"/>
      <c r="I525" s="1409"/>
      <c r="J525" s="262"/>
      <c r="K525" s="1383" t="s">
        <v>16320</v>
      </c>
      <c r="L525" s="386"/>
      <c r="M525" s="262" t="s">
        <v>16316</v>
      </c>
      <c r="O525" s="262"/>
      <c r="P525" s="262"/>
      <c r="Q525" s="262"/>
      <c r="R525" s="262"/>
      <c r="S525" s="262"/>
      <c r="T525" s="262"/>
      <c r="U525" s="262"/>
      <c r="V525" s="262"/>
      <c r="W525" s="262"/>
      <c r="X525" s="262"/>
      <c r="Y525" s="262"/>
      <c r="Z525" s="262"/>
    </row>
    <row r="526" spans="1:26" ht="25.5" outlineLevel="1">
      <c r="A526" s="247" t="s">
        <v>13026</v>
      </c>
      <c r="B526" s="386">
        <v>89545</v>
      </c>
      <c r="C526" s="386" t="s">
        <v>14476</v>
      </c>
      <c r="D526" s="1314" t="str">
        <f>IFERROR(VLOOKUP($B526,'24.08_ND'!$A$4833:$D$12369,2,0),IFERROR(VLOOKUP($B526,'03-CP'!$C$5:$H$4646,2,0),""))</f>
        <v>LUVA SIMPLES, PVC, SERIE R, ÁGUA PLUVIAL, DN 50 MM, JUNTA ELÁSTICA, FORNECIDO E INSTALADO EM RAMAL DE ENCAMINHAMENTO. AF_06/2022</v>
      </c>
      <c r="E526" s="1315" t="str">
        <f>IFERROR(VLOOKUP($B526,'24.08_ND'!$A:$D,3,0),IFERROR(VLOOKUP($B526,'03-CP'!$C$5:$H$4646,3,0),""))</f>
        <v>UN</v>
      </c>
      <c r="F526" s="389">
        <v>2</v>
      </c>
      <c r="G526" s="1244"/>
      <c r="H526" s="1244"/>
      <c r="I526" s="1409"/>
      <c r="J526" s="262"/>
      <c r="K526" s="1383" t="s">
        <v>16321</v>
      </c>
      <c r="L526" s="386"/>
      <c r="M526" s="262" t="s">
        <v>16316</v>
      </c>
      <c r="O526" s="262"/>
      <c r="P526" s="262"/>
      <c r="Q526" s="262"/>
      <c r="R526" s="262"/>
      <c r="S526" s="262"/>
      <c r="T526" s="262"/>
      <c r="U526" s="262"/>
      <c r="V526" s="262"/>
      <c r="W526" s="262"/>
      <c r="X526" s="262"/>
      <c r="Y526" s="262"/>
      <c r="Z526" s="262"/>
    </row>
    <row r="527" spans="1:26" ht="25.5" outlineLevel="1">
      <c r="A527" s="247" t="s">
        <v>13027</v>
      </c>
      <c r="B527" s="386">
        <v>89554</v>
      </c>
      <c r="C527" s="386" t="s">
        <v>14476</v>
      </c>
      <c r="D527" s="1314" t="str">
        <f>IFERROR(VLOOKUP($B527,'24.08_ND'!$A$4833:$D$12369,2,0),IFERROR(VLOOKUP($B527,'03-CP'!$C$5:$H$4646,2,0),""))</f>
        <v>LUVA SIMPLES, PVC, SERIE R, ÁGUA PLUVIAL, DN 100 MM, JUNTA ELÁSTICA, FORNECIDO E INSTALADO EM RAMAL DE ENCAMINHAMENTO. AF_06/2022</v>
      </c>
      <c r="E527" s="1315" t="str">
        <f>IFERROR(VLOOKUP($B527,'24.08_ND'!$A:$D,3,0),IFERROR(VLOOKUP($B527,'03-CP'!$C$5:$H$4646,3,0),""))</f>
        <v>UN</v>
      </c>
      <c r="F527" s="389">
        <v>62</v>
      </c>
      <c r="G527" s="1244"/>
      <c r="H527" s="1244"/>
      <c r="I527" s="1409"/>
      <c r="J527" s="262"/>
      <c r="K527" s="1383" t="s">
        <v>16322</v>
      </c>
      <c r="L527" s="386"/>
      <c r="M527" s="262" t="s">
        <v>16316</v>
      </c>
      <c r="O527" s="262"/>
      <c r="P527" s="262"/>
      <c r="Q527" s="262"/>
      <c r="R527" s="262"/>
      <c r="S527" s="262"/>
      <c r="T527" s="262"/>
      <c r="U527" s="262"/>
      <c r="V527" s="262"/>
      <c r="W527" s="262"/>
      <c r="X527" s="262"/>
      <c r="Y527" s="262"/>
      <c r="Z527" s="262"/>
    </row>
    <row r="528" spans="1:26" ht="25.5" outlineLevel="1">
      <c r="A528" s="247" t="s">
        <v>13028</v>
      </c>
      <c r="B528" s="386">
        <v>104170</v>
      </c>
      <c r="C528" s="386" t="s">
        <v>14476</v>
      </c>
      <c r="D528" s="1314" t="str">
        <f>IFERROR(VLOOKUP($B528,'24.08_ND'!$A$4833:$D$12369,2,0),IFERROR(VLOOKUP($B528,'03-CP'!$C$5:$H$4646,2,0),""))</f>
        <v>LUVA SIMPLES, PVC, SERIE R, ÁGUA PLUVIAL, DN 150 MM, JUNTA ELÁSTICA, FORNECIDO E INSTALADO EM RAMAL DE ENCAMINHAMENTO. AF_06/2022</v>
      </c>
      <c r="E528" s="1315" t="str">
        <f>IFERROR(VLOOKUP($B528,'24.08_ND'!$A:$D,3,0),IFERROR(VLOOKUP($B528,'03-CP'!$C$5:$H$4646,3,0),""))</f>
        <v>UN</v>
      </c>
      <c r="F528" s="389">
        <v>15</v>
      </c>
      <c r="G528" s="1244"/>
      <c r="H528" s="1244"/>
      <c r="I528" s="1409"/>
      <c r="J528" s="262"/>
      <c r="K528" s="1383" t="s">
        <v>16323</v>
      </c>
      <c r="L528" s="386"/>
      <c r="M528" s="262" t="s">
        <v>16316</v>
      </c>
      <c r="O528" s="262"/>
      <c r="P528" s="262"/>
      <c r="Q528" s="262"/>
      <c r="R528" s="262"/>
      <c r="S528" s="262"/>
      <c r="T528" s="262"/>
      <c r="U528" s="262"/>
      <c r="V528" s="262"/>
      <c r="W528" s="262"/>
      <c r="X528" s="262"/>
      <c r="Y528" s="262"/>
      <c r="Z528" s="262"/>
    </row>
    <row r="529" spans="1:26" ht="38.25" outlineLevel="1">
      <c r="A529" s="247" t="s">
        <v>13029</v>
      </c>
      <c r="B529" s="386">
        <v>89529</v>
      </c>
      <c r="C529" s="386" t="s">
        <v>14476</v>
      </c>
      <c r="D529" s="1314" t="str">
        <f>IFERROR(VLOOKUP($B529,'24.08_ND'!$A$4833:$D$12369,2,0),IFERROR(VLOOKUP($B529,'03-CP'!$C$5:$H$4646,2,0),""))</f>
        <v>JOELHO 90 GRAUS, PVC, SERIE R, ÁGUA PLUVIAL, DN 100 MM, JUNTA ELÁSTICA, FORNECIDO E INSTALADO EM RAMAL DE ENCAMINHAMENTO. AF_06/2022</v>
      </c>
      <c r="E529" s="1315" t="str">
        <f>IFERROR(VLOOKUP($B529,'24.08_ND'!$A:$D,3,0),IFERROR(VLOOKUP($B529,'03-CP'!$C$5:$H$4646,3,0),""))</f>
        <v>UN</v>
      </c>
      <c r="F529" s="389">
        <v>19</v>
      </c>
      <c r="G529" s="1244"/>
      <c r="H529" s="1244"/>
      <c r="I529" s="1409"/>
      <c r="J529" s="262"/>
      <c r="K529" s="1383" t="s">
        <v>16324</v>
      </c>
      <c r="L529" s="386"/>
      <c r="M529" s="262" t="s">
        <v>16316</v>
      </c>
      <c r="O529" s="262"/>
      <c r="P529" s="262"/>
      <c r="Q529" s="262"/>
      <c r="R529" s="262"/>
      <c r="S529" s="262"/>
      <c r="T529" s="262"/>
      <c r="U529" s="262"/>
      <c r="V529" s="262"/>
      <c r="W529" s="262"/>
      <c r="X529" s="262"/>
      <c r="Y529" s="262"/>
      <c r="Z529" s="262"/>
    </row>
    <row r="530" spans="1:26" ht="25.5" outlineLevel="1">
      <c r="A530" s="247" t="s">
        <v>13030</v>
      </c>
      <c r="B530" s="386" t="s">
        <v>15364</v>
      </c>
      <c r="C530" s="386" t="s">
        <v>14472</v>
      </c>
      <c r="D530" s="1314" t="str">
        <f>IFERROR(VLOOKUP($B530,'24.08_ND'!$A$4833:$D$12369,2,0),IFERROR(VLOOKUP($B530,'03-CP'!$C$5:$H$4646,2,0),""))</f>
        <v>CURVA 90 GRAUS, PVC, SERIE R, DN 50 MM, JUNTA ELÁSTICA, FORNECIDO E INSTALADO EM RAMAL DE ENCAMINHAMENTO.</v>
      </c>
      <c r="E530" s="1315" t="str">
        <f>IFERROR(VLOOKUP($B530,'24.08_ND'!$A:$D,3,0),IFERROR(VLOOKUP($B530,'03-CP'!$C$5:$H$4646,3,0),""))</f>
        <v>UN</v>
      </c>
      <c r="F530" s="389">
        <v>2</v>
      </c>
      <c r="G530" s="1244"/>
      <c r="H530" s="1244"/>
      <c r="I530" s="1409"/>
      <c r="J530" s="262"/>
      <c r="K530" s="1383"/>
      <c r="L530" s="386"/>
      <c r="M530" s="262" t="s">
        <v>16316</v>
      </c>
      <c r="O530" s="262"/>
      <c r="P530" s="262"/>
      <c r="Q530" s="262"/>
      <c r="R530" s="262"/>
      <c r="S530" s="262"/>
      <c r="T530" s="262"/>
      <c r="U530" s="262"/>
      <c r="V530" s="262"/>
      <c r="W530" s="262"/>
      <c r="X530" s="262"/>
      <c r="Y530" s="262"/>
      <c r="Z530" s="262"/>
    </row>
    <row r="531" spans="1:26" ht="25.5" outlineLevel="1">
      <c r="A531" s="247" t="s">
        <v>13031</v>
      </c>
      <c r="B531" s="386" t="s">
        <v>15362</v>
      </c>
      <c r="C531" s="386" t="s">
        <v>14472</v>
      </c>
      <c r="D531" s="1314" t="str">
        <f>IFERROR(VLOOKUP($B531,'24.08_ND'!$A$4833:$D$12369,2,0),IFERROR(VLOOKUP($B531,'03-CP'!$C$5:$H$4646,2,0),""))</f>
        <v>REDUÇÃO EXCÊNTRICA, PVC, SERIE R, DN 100 X 50 MM, JUNTA ELÁSTICA, FORNECIDO E INSTALADO EM RAMAL DE ENCAMINHAMENTO. AF_06/2022</v>
      </c>
      <c r="E531" s="1315" t="str">
        <f>IFERROR(VLOOKUP($B531,'24.08_ND'!$A:$D,3,0),IFERROR(VLOOKUP($B531,'03-CP'!$C$5:$H$4646,3,0),""))</f>
        <v>UN</v>
      </c>
      <c r="F531" s="389">
        <v>1</v>
      </c>
      <c r="G531" s="1244"/>
      <c r="H531" s="1244"/>
      <c r="I531" s="1409"/>
      <c r="J531" s="262"/>
      <c r="K531" s="1383"/>
      <c r="L531" s="386"/>
      <c r="M531" s="262" t="s">
        <v>16316</v>
      </c>
      <c r="O531" s="262"/>
      <c r="P531" s="262"/>
      <c r="Q531" s="262"/>
      <c r="R531" s="262"/>
      <c r="S531" s="262"/>
      <c r="T531" s="262"/>
      <c r="U531" s="262"/>
      <c r="V531" s="262"/>
      <c r="W531" s="262"/>
      <c r="X531" s="262"/>
      <c r="Y531" s="262"/>
      <c r="Z531" s="262"/>
    </row>
    <row r="532" spans="1:26" ht="38.25" outlineLevel="1">
      <c r="A532" s="247" t="s">
        <v>13032</v>
      </c>
      <c r="B532" s="386" t="s">
        <v>15370</v>
      </c>
      <c r="C532" s="386" t="s">
        <v>14472</v>
      </c>
      <c r="D532" s="1314" t="str">
        <f>IFERROR(VLOOKUP($B532,'24.08_ND'!$A$4833:$D$12369,2,0),IFERROR(VLOOKUP($B532,'03-CP'!$C$5:$H$4646,2,0),""))</f>
        <v>JUNÇÃO SIMPLES, PVC, SERIE NORMAL, ESGOTO PREDIAL, DN 100 X 50 MM, JUNTA ELÁSTICA, FORNECIDO E INSTALADO EM RAMAL DE DESCARGA OU RAMAL DE ESGOTO SANITÁRIO.</v>
      </c>
      <c r="E532" s="1315" t="str">
        <f>IFERROR(VLOOKUP($B532,'24.08_ND'!$A:$D,3,0),IFERROR(VLOOKUP($B532,'03-CP'!$C$5:$H$4646,3,0),""))</f>
        <v>UN</v>
      </c>
      <c r="F532" s="389">
        <v>1</v>
      </c>
      <c r="G532" s="1244"/>
      <c r="H532" s="1244"/>
      <c r="I532" s="1409"/>
      <c r="J532" s="262"/>
      <c r="K532" s="1383"/>
      <c r="L532" s="386"/>
      <c r="M532" s="262" t="s">
        <v>16316</v>
      </c>
      <c r="O532" s="262"/>
      <c r="P532" s="262"/>
      <c r="Q532" s="262"/>
      <c r="R532" s="262"/>
      <c r="S532" s="262"/>
      <c r="T532" s="262"/>
      <c r="U532" s="262"/>
      <c r="V532" s="262"/>
      <c r="W532" s="262"/>
      <c r="X532" s="262"/>
      <c r="Y532" s="262"/>
      <c r="Z532" s="262"/>
    </row>
    <row r="533" spans="1:26" ht="38.25" outlineLevel="1">
      <c r="A533" s="247" t="s">
        <v>13033</v>
      </c>
      <c r="B533" s="386">
        <v>89690</v>
      </c>
      <c r="C533" s="386" t="s">
        <v>14476</v>
      </c>
      <c r="D533" s="1314" t="str">
        <f>IFERROR(VLOOKUP($B533,'24.08_ND'!$A$4833:$D$12369,2,0),IFERROR(VLOOKUP($B533,'03-CP'!$C$5:$H$4646,2,0),""))</f>
        <v>JUNÇÃO SIMPLES, PVC, SERIE R, ÁGUA PLUVIAL, DN 100 X 100 MM, JUNTA ELÁSTICA, FORNECIDO E INSTALADO EM CONDUTORES VERTICAIS DE ÁGUAS PLUVIAIS. AF_06/2022</v>
      </c>
      <c r="E533" s="1315" t="str">
        <f>IFERROR(VLOOKUP($B533,'24.08_ND'!$A:$D,3,0),IFERROR(VLOOKUP($B533,'03-CP'!$C$5:$H$4646,3,0),""))</f>
        <v>UN</v>
      </c>
      <c r="F533" s="389">
        <v>3</v>
      </c>
      <c r="G533" s="1244"/>
      <c r="H533" s="1244"/>
      <c r="I533" s="1409"/>
      <c r="J533" s="262"/>
      <c r="K533" s="1383" t="s">
        <v>16324</v>
      </c>
      <c r="L533" s="386"/>
      <c r="M533" s="262" t="s">
        <v>16316</v>
      </c>
      <c r="O533" s="262"/>
      <c r="P533" s="262"/>
      <c r="Q533" s="262"/>
      <c r="R533" s="262"/>
      <c r="S533" s="262"/>
      <c r="T533" s="262"/>
      <c r="U533" s="262"/>
      <c r="V533" s="262"/>
      <c r="W533" s="262"/>
      <c r="X533" s="262"/>
      <c r="Y533" s="262"/>
      <c r="Z533" s="262"/>
    </row>
    <row r="534" spans="1:26" ht="38.25" outlineLevel="1">
      <c r="A534" s="247" t="s">
        <v>13034</v>
      </c>
      <c r="B534" s="386">
        <v>89699</v>
      </c>
      <c r="C534" s="386" t="s">
        <v>14476</v>
      </c>
      <c r="D534" s="1314" t="str">
        <f>IFERROR(VLOOKUP($B534,'24.08_ND'!$A$4833:$D$12369,2,0),IFERROR(VLOOKUP($B534,'03-CP'!$C$5:$H$4646,2,0),""))</f>
        <v>JUNÇÃO SIMPLES, PVC, SERIE R, ÁGUA PLUVIAL, DN 150 X 100 MM, JUNTA ELÁSTICA, FORNECIDO E INSTALADO EM CONDUTORES VERTICAIS DE ÁGUAS PLUVIAIS. AF_06/2022</v>
      </c>
      <c r="E534" s="1315" t="str">
        <f>IFERROR(VLOOKUP($B534,'24.08_ND'!$A:$D,3,0),IFERROR(VLOOKUP($B534,'03-CP'!$C$5:$H$4646,3,0),""))</f>
        <v>UN</v>
      </c>
      <c r="F534" s="389">
        <v>2</v>
      </c>
      <c r="G534" s="1244"/>
      <c r="H534" s="1244"/>
      <c r="I534" s="1409"/>
      <c r="J534" s="262"/>
      <c r="K534" s="1383" t="s">
        <v>16325</v>
      </c>
      <c r="L534" s="386"/>
      <c r="M534" s="262" t="s">
        <v>16316</v>
      </c>
      <c r="O534" s="262"/>
      <c r="P534" s="262"/>
      <c r="Q534" s="262"/>
      <c r="R534" s="262"/>
      <c r="S534" s="262"/>
      <c r="T534" s="262"/>
      <c r="U534" s="262"/>
      <c r="V534" s="262"/>
      <c r="W534" s="262"/>
      <c r="X534" s="262"/>
      <c r="Y534" s="262"/>
      <c r="Z534" s="262"/>
    </row>
    <row r="535" spans="1:26" ht="25.5" outlineLevel="1">
      <c r="A535" s="247" t="s">
        <v>13035</v>
      </c>
      <c r="B535" s="386">
        <v>89512</v>
      </c>
      <c r="C535" s="386" t="s">
        <v>14476</v>
      </c>
      <c r="D535" s="1314" t="str">
        <f>IFERROR(VLOOKUP($B535,'24.08_ND'!$A$4833:$D$12369,2,0),IFERROR(VLOOKUP($B535,'03-CP'!$C$5:$H$4646,2,0),""))</f>
        <v>TUBO PVC, SÉRIE R, ÁGUA PLUVIAL, DN 100 MM, FORNECIDO E INSTALADO EM RAMAL DE ENCAMINHAMENTO. AF_06/2022</v>
      </c>
      <c r="E535" s="1315" t="str">
        <f>IFERROR(VLOOKUP($B535,'24.08_ND'!$A:$D,3,0),IFERROR(VLOOKUP($B535,'03-CP'!$C$5:$H$4646,3,0),""))</f>
        <v>M</v>
      </c>
      <c r="F535" s="389">
        <v>180</v>
      </c>
      <c r="G535" s="1244"/>
      <c r="H535" s="1244"/>
      <c r="I535" s="1409"/>
      <c r="J535" s="262"/>
      <c r="K535" s="1383" t="s">
        <v>16326</v>
      </c>
      <c r="L535" s="386"/>
      <c r="M535" s="262" t="s">
        <v>16316</v>
      </c>
      <c r="O535" s="262"/>
      <c r="P535" s="262"/>
      <c r="Q535" s="262"/>
      <c r="R535" s="262"/>
      <c r="S535" s="262"/>
      <c r="T535" s="262"/>
      <c r="U535" s="262"/>
      <c r="V535" s="262"/>
      <c r="W535" s="262"/>
      <c r="X535" s="262"/>
      <c r="Y535" s="262"/>
      <c r="Z535" s="262"/>
    </row>
    <row r="536" spans="1:26" ht="25.5" outlineLevel="1">
      <c r="A536" s="247" t="s">
        <v>13036</v>
      </c>
      <c r="B536" s="386">
        <v>104166</v>
      </c>
      <c r="C536" s="386" t="s">
        <v>14476</v>
      </c>
      <c r="D536" s="1314" t="str">
        <f>IFERROR(VLOOKUP($B536,'24.08_ND'!$A$4833:$D$12369,2,0),IFERROR(VLOOKUP($B536,'03-CP'!$C$5:$H$4646,2,0),""))</f>
        <v>TUBO PVC, SÉRIE R, ÁGUA PLUVIAL, DN 150 MM, FORNECIDO E INSTALADO EM RAMAL DE ENCAMINHAMENTO. AF_06/2022</v>
      </c>
      <c r="E536" s="1315" t="str">
        <f>IFERROR(VLOOKUP($B536,'24.08_ND'!$A:$D,3,0),IFERROR(VLOOKUP($B536,'03-CP'!$C$5:$H$4646,3,0),""))</f>
        <v>M</v>
      </c>
      <c r="F536" s="389">
        <v>50</v>
      </c>
      <c r="G536" s="1244"/>
      <c r="H536" s="1244"/>
      <c r="I536" s="1409"/>
      <c r="J536" s="262"/>
      <c r="K536" s="1383" t="s">
        <v>16327</v>
      </c>
      <c r="L536" s="386"/>
      <c r="M536" s="262" t="s">
        <v>16316</v>
      </c>
      <c r="O536" s="262"/>
      <c r="P536" s="262"/>
      <c r="Q536" s="262"/>
      <c r="R536" s="262"/>
      <c r="S536" s="262"/>
      <c r="T536" s="262"/>
      <c r="U536" s="262"/>
      <c r="V536" s="262"/>
      <c r="W536" s="262"/>
      <c r="X536" s="262"/>
      <c r="Y536" s="262"/>
      <c r="Z536" s="262"/>
    </row>
    <row r="537" spans="1:26" ht="25.5" outlineLevel="1">
      <c r="A537" s="247" t="s">
        <v>13037</v>
      </c>
      <c r="B537" s="386">
        <v>89509</v>
      </c>
      <c r="C537" s="386" t="s">
        <v>14476</v>
      </c>
      <c r="D537" s="1314" t="str">
        <f>IFERROR(VLOOKUP($B537,'24.08_ND'!$A$4833:$D$12369,2,0),IFERROR(VLOOKUP($B537,'03-CP'!$C$5:$H$4646,2,0),""))</f>
        <v>TUBO PVC, SÉRIE R, ÁGUA PLUVIAL, DN 50 MM, FORNECIDO E INSTALADO EM RAMAL DE ENCAMINHAMENTO. AF_06/2022</v>
      </c>
      <c r="E537" s="1315" t="str">
        <f>IFERROR(VLOOKUP($B537,'24.08_ND'!$A:$D,3,0),IFERROR(VLOOKUP($B537,'03-CP'!$C$5:$H$4646,3,0),""))</f>
        <v>M</v>
      </c>
      <c r="F537" s="389">
        <v>1</v>
      </c>
      <c r="G537" s="1244"/>
      <c r="H537" s="1244"/>
      <c r="I537" s="1409"/>
      <c r="J537" s="262"/>
      <c r="K537" s="1383" t="s">
        <v>16328</v>
      </c>
      <c r="L537" s="386"/>
      <c r="M537" s="262" t="s">
        <v>16316</v>
      </c>
      <c r="O537" s="262"/>
      <c r="P537" s="262"/>
      <c r="Q537" s="262"/>
      <c r="R537" s="262"/>
      <c r="S537" s="262"/>
      <c r="T537" s="262"/>
      <c r="U537" s="262"/>
      <c r="V537" s="262"/>
      <c r="W537" s="262"/>
      <c r="X537" s="262"/>
      <c r="Y537" s="262"/>
      <c r="Z537" s="262"/>
    </row>
    <row r="538" spans="1:26" ht="25.5" outlineLevel="1">
      <c r="A538" s="247" t="s">
        <v>13038</v>
      </c>
      <c r="B538" s="386" t="s">
        <v>15405</v>
      </c>
      <c r="C538" s="386" t="s">
        <v>14472</v>
      </c>
      <c r="D538" s="1314" t="str">
        <f>IFERROR(VLOOKUP($B538,'24.08_ND'!$A$4833:$D$12369,2,0),IFERROR(VLOOKUP($B538,'03-CP'!$C$5:$H$4646,2,0),""))</f>
        <v>GRELHA QUADRADA DN 100 MM, INCLUSO PORTA GRELHA PARA ENCAIXE - FORNECIMENTO E INSTALAÇÃO</v>
      </c>
      <c r="E538" s="1315" t="str">
        <f>IFERROR(VLOOKUP($B538,'24.08_ND'!$A:$D,3,0),IFERROR(VLOOKUP($B538,'03-CP'!$C$5:$H$4646,3,0),""))</f>
        <v>UN</v>
      </c>
      <c r="F538" s="389">
        <v>1</v>
      </c>
      <c r="G538" s="1244"/>
      <c r="H538" s="1244"/>
      <c r="I538" s="1409"/>
      <c r="J538" s="262"/>
      <c r="K538" s="1383"/>
      <c r="L538" s="386"/>
      <c r="M538" s="262" t="s">
        <v>16316</v>
      </c>
      <c r="O538" s="262"/>
      <c r="P538" s="262"/>
      <c r="Q538" s="262"/>
      <c r="R538" s="262"/>
      <c r="S538" s="262"/>
      <c r="T538" s="262"/>
      <c r="U538" s="262"/>
      <c r="V538" s="262"/>
      <c r="W538" s="262"/>
      <c r="X538" s="262"/>
      <c r="Y538" s="262"/>
      <c r="Z538" s="262"/>
    </row>
    <row r="539" spans="1:26" ht="12.75" outlineLevel="1">
      <c r="A539" s="247" t="s">
        <v>13039</v>
      </c>
      <c r="B539" s="386" t="s">
        <v>15408</v>
      </c>
      <c r="C539" s="386" t="s">
        <v>14472</v>
      </c>
      <c r="D539" s="1314" t="str">
        <f>IFERROR(VLOOKUP($B539,'24.08_ND'!$A$4833:$D$12369,2,0),IFERROR(VLOOKUP($B539,'03-CP'!$C$5:$H$4646,2,0),""))</f>
        <v>RALO HEMISFERICO 100MM PVC (RALO ABACAXI)</v>
      </c>
      <c r="E539" s="1315" t="str">
        <f>IFERROR(VLOOKUP($B539,'24.08_ND'!$A:$D,3,0),IFERROR(VLOOKUP($B539,'03-CP'!$C$5:$H$4646,3,0),""))</f>
        <v>UN</v>
      </c>
      <c r="F539" s="389">
        <v>8</v>
      </c>
      <c r="G539" s="1244"/>
      <c r="H539" s="1244"/>
      <c r="I539" s="1409"/>
      <c r="J539" s="262"/>
      <c r="K539" s="1383"/>
      <c r="L539" s="386"/>
      <c r="M539" s="262" t="s">
        <v>16316</v>
      </c>
      <c r="O539" s="262"/>
      <c r="P539" s="262"/>
      <c r="Q539" s="262"/>
      <c r="R539" s="262"/>
      <c r="S539" s="262"/>
      <c r="T539" s="262"/>
      <c r="U539" s="262"/>
      <c r="V539" s="262"/>
      <c r="W539" s="262"/>
      <c r="X539" s="262"/>
      <c r="Y539" s="262"/>
      <c r="Z539" s="262"/>
    </row>
    <row r="540" spans="1:26" ht="12.75">
      <c r="A540" s="1298" t="s">
        <v>16329</v>
      </c>
      <c r="B540" s="1371"/>
      <c r="C540" s="1371"/>
      <c r="D540" s="1372"/>
      <c r="E540" s="1373"/>
      <c r="F540" s="1374"/>
      <c r="G540" s="1375"/>
      <c r="H540" s="1376"/>
      <c r="I540" s="1377"/>
      <c r="J540" s="262"/>
      <c r="K540" s="262"/>
      <c r="L540" s="1505" t="s">
        <v>16330</v>
      </c>
      <c r="M540" s="1296" t="s">
        <v>16331</v>
      </c>
      <c r="N540" s="262"/>
      <c r="O540" s="262"/>
      <c r="P540" s="262"/>
      <c r="Q540" s="262"/>
      <c r="R540" s="262"/>
      <c r="S540" s="262"/>
      <c r="T540" s="262"/>
      <c r="U540" s="262"/>
      <c r="V540" s="262"/>
      <c r="W540" s="262"/>
      <c r="X540" s="262"/>
      <c r="Y540" s="262"/>
      <c r="Z540" s="262"/>
    </row>
    <row r="541" spans="1:26" ht="12.75">
      <c r="A541" s="238" t="s">
        <v>12627</v>
      </c>
      <c r="B541" s="1304"/>
      <c r="C541" s="1304"/>
      <c r="D541" s="1305" t="s">
        <v>16332</v>
      </c>
      <c r="E541" s="1306"/>
      <c r="F541" s="1307"/>
      <c r="G541" s="1307"/>
      <c r="H541" s="1307"/>
      <c r="I541" s="1496"/>
      <c r="J541" s="262"/>
      <c r="K541" s="262"/>
      <c r="L541" s="386"/>
      <c r="M541" s="262"/>
      <c r="N541" s="262"/>
      <c r="O541" s="262"/>
      <c r="P541" s="262"/>
      <c r="Q541" s="262"/>
      <c r="R541" s="262"/>
      <c r="S541" s="262"/>
      <c r="T541" s="262"/>
      <c r="U541" s="262"/>
      <c r="V541" s="262"/>
      <c r="W541" s="262"/>
      <c r="X541" s="262"/>
      <c r="Y541" s="262"/>
      <c r="Z541" s="262"/>
    </row>
    <row r="542" spans="1:26" ht="12.75">
      <c r="A542" s="250" t="s">
        <v>13040</v>
      </c>
      <c r="B542" s="1309"/>
      <c r="C542" s="1497"/>
      <c r="D542" s="1498" t="s">
        <v>16333</v>
      </c>
      <c r="E542" s="234"/>
      <c r="F542" s="1311"/>
      <c r="G542" s="236"/>
      <c r="H542" s="236"/>
      <c r="I542" s="1499"/>
      <c r="J542" s="262"/>
      <c r="K542" s="262"/>
      <c r="L542" s="386"/>
      <c r="M542" s="262"/>
      <c r="N542" s="262"/>
      <c r="O542" s="262"/>
      <c r="P542" s="262"/>
      <c r="Q542" s="262"/>
      <c r="R542" s="262"/>
      <c r="S542" s="262"/>
      <c r="T542" s="262"/>
      <c r="U542" s="262"/>
      <c r="V542" s="262"/>
      <c r="W542" s="262"/>
      <c r="X542" s="262"/>
      <c r="Y542" s="262"/>
      <c r="Z542" s="262"/>
    </row>
    <row r="543" spans="1:26" ht="38.25" outlineLevel="1">
      <c r="A543" s="247" t="s">
        <v>13041</v>
      </c>
      <c r="B543" s="386">
        <v>91855</v>
      </c>
      <c r="C543" s="386" t="s">
        <v>14476</v>
      </c>
      <c r="D543" s="1314" t="str">
        <f>IFERROR(VLOOKUP($B543,'24.08_ND'!$A$4833:$D$12369,2,0),IFERROR(VLOOKUP($B543,'03-CP'!$C$5:$H$4646,2,0),""))</f>
        <v>ELETRODUTO FLEXÍVEL CORRUGADO REFORÇADO, PVC, DN 25 MM (3/4"), PARA CIRCUITOS TERMINAIS, INSTALADO EM PAREDE - FORNECIMENTO E INSTALAÇÃO. AF_03/2023</v>
      </c>
      <c r="E543" s="1315" t="str">
        <f>IFERROR(VLOOKUP($B543,'24.08_ND'!$A:$D,3,0),IFERROR(VLOOKUP($B543,'03-CP'!$C$5:$H$4646,3,0),""))</f>
        <v>M</v>
      </c>
      <c r="F543" s="389">
        <v>217</v>
      </c>
      <c r="G543" s="1244"/>
      <c r="H543" s="1244"/>
      <c r="I543" s="1409"/>
      <c r="J543" s="1506"/>
      <c r="K543" s="262"/>
      <c r="L543" s="386"/>
      <c r="M543" s="262"/>
      <c r="N543" s="262"/>
      <c r="O543" s="262"/>
      <c r="P543" s="262"/>
      <c r="Q543" s="262"/>
      <c r="R543" s="262"/>
      <c r="S543" s="262"/>
      <c r="T543" s="262"/>
      <c r="U543" s="262"/>
      <c r="V543" s="262"/>
      <c r="W543" s="262"/>
      <c r="X543" s="262"/>
      <c r="Y543" s="262"/>
      <c r="Z543" s="262"/>
    </row>
    <row r="544" spans="1:26" ht="38.25" outlineLevel="1">
      <c r="A544" s="247" t="s">
        <v>13042</v>
      </c>
      <c r="B544" s="386">
        <v>91857</v>
      </c>
      <c r="C544" s="386" t="s">
        <v>14476</v>
      </c>
      <c r="D544" s="1314" t="str">
        <f>IFERROR(VLOOKUP($B544,'24.08_ND'!$A$4833:$D$12369,2,0),IFERROR(VLOOKUP($B544,'03-CP'!$C$5:$H$4646,2,0),""))</f>
        <v>ELETRODUTO FLEXÍVEL CORRUGADO REFORÇADO, PVC, DN 32 MM (1"), PARA CIRCUITOS TERMINAIS, INSTALADO EM PAREDE - FORNECIMENTO E INSTALAÇÃO. AF_03/2023</v>
      </c>
      <c r="E544" s="1315" t="str">
        <f>IFERROR(VLOOKUP($B544,'24.08_ND'!$A:$D,3,0),IFERROR(VLOOKUP($B544,'03-CP'!$C$5:$H$4646,3,0),""))</f>
        <v>M</v>
      </c>
      <c r="F544" s="389">
        <v>5</v>
      </c>
      <c r="G544" s="1244"/>
      <c r="H544" s="1244"/>
      <c r="I544" s="1409"/>
      <c r="J544" s="1506"/>
      <c r="K544" s="262"/>
      <c r="L544" s="386"/>
      <c r="M544" s="262"/>
      <c r="N544" s="262"/>
      <c r="O544" s="262"/>
      <c r="P544" s="262"/>
      <c r="Q544" s="262"/>
      <c r="R544" s="262"/>
      <c r="S544" s="262"/>
      <c r="T544" s="262"/>
      <c r="U544" s="262"/>
      <c r="V544" s="262"/>
      <c r="W544" s="262"/>
      <c r="X544" s="262"/>
      <c r="Y544" s="262"/>
      <c r="Z544" s="262"/>
    </row>
    <row r="545" spans="1:26" ht="38.25" outlineLevel="1">
      <c r="A545" s="247" t="s">
        <v>13043</v>
      </c>
      <c r="B545" s="386">
        <v>97667</v>
      </c>
      <c r="C545" s="386" t="s">
        <v>14476</v>
      </c>
      <c r="D545" s="1314" t="str">
        <f>IFERROR(VLOOKUP($B545,'24.08_ND'!$A$4833:$D$12369,2,0),IFERROR(VLOOKUP($B545,'03-CP'!$C$5:$H$4646,2,0),""))</f>
        <v>ELETRODUTO FLEXÍVEL CORRUGADO, PEAD, DN 50 (1 1/2"), PARA REDE ENTERRADA DE DISTRIBUIÇÃO DE ENERGIA ELÉTRICA - FORNECIMENTO E INSTALAÇÃO. AF_12/2021</v>
      </c>
      <c r="E545" s="1315" t="str">
        <f>IFERROR(VLOOKUP($B545,'24.08_ND'!$A:$D,3,0),IFERROR(VLOOKUP($B545,'03-CP'!$C$5:$H$4646,3,0),""))</f>
        <v>M</v>
      </c>
      <c r="F545" s="389">
        <v>75</v>
      </c>
      <c r="G545" s="1244"/>
      <c r="H545" s="1244"/>
      <c r="I545" s="1409"/>
      <c r="J545" s="1506"/>
      <c r="K545" s="262"/>
      <c r="L545" s="386"/>
      <c r="M545" s="262"/>
      <c r="N545" s="262"/>
      <c r="O545" s="262"/>
      <c r="P545" s="262"/>
      <c r="Q545" s="262"/>
      <c r="R545" s="262"/>
      <c r="S545" s="262"/>
      <c r="T545" s="262"/>
      <c r="U545" s="262"/>
      <c r="V545" s="262"/>
      <c r="W545" s="262"/>
      <c r="X545" s="262"/>
      <c r="Y545" s="262"/>
      <c r="Z545" s="262"/>
    </row>
    <row r="546" spans="1:26" ht="38.25" outlineLevel="1">
      <c r="A546" s="247" t="s">
        <v>13044</v>
      </c>
      <c r="B546" s="386">
        <v>91871</v>
      </c>
      <c r="C546" s="386" t="s">
        <v>14476</v>
      </c>
      <c r="D546" s="1314" t="str">
        <f>IFERROR(VLOOKUP($B546,'24.08_ND'!$A$4833:$D$12369,2,0),IFERROR(VLOOKUP($B546,'03-CP'!$C$5:$H$4646,2,0),""))</f>
        <v>ELETRODUTO RÍGIDO ROSCÁVEL, PVC, DN 25 MM (3/4"), PARA CIRCUITOS TERMINAIS, INSTALADO EM PAREDE - FORNECIMENTO E INSTALAÇÃO. AF_03/2023</v>
      </c>
      <c r="E546" s="1315" t="str">
        <f>IFERROR(VLOOKUP($B546,'24.08_ND'!$A:$D,3,0),IFERROR(VLOOKUP($B546,'03-CP'!$C$5:$H$4646,3,0),""))</f>
        <v>M</v>
      </c>
      <c r="F546" s="389">
        <v>60</v>
      </c>
      <c r="G546" s="1244"/>
      <c r="H546" s="1244"/>
      <c r="I546" s="1409"/>
      <c r="J546" s="1506"/>
      <c r="K546" s="262"/>
      <c r="L546" s="386"/>
      <c r="M546" s="262"/>
      <c r="N546" s="262"/>
      <c r="O546" s="262"/>
      <c r="P546" s="262"/>
      <c r="Q546" s="262"/>
      <c r="R546" s="262"/>
      <c r="S546" s="262"/>
      <c r="T546" s="262"/>
      <c r="U546" s="262"/>
      <c r="V546" s="262"/>
      <c r="W546" s="262"/>
      <c r="X546" s="262"/>
      <c r="Y546" s="262"/>
      <c r="Z546" s="262"/>
    </row>
    <row r="547" spans="1:26" ht="25.5" outlineLevel="1">
      <c r="A547" s="247" t="s">
        <v>13045</v>
      </c>
      <c r="B547" s="386" t="s">
        <v>15112</v>
      </c>
      <c r="C547" s="386" t="s">
        <v>14472</v>
      </c>
      <c r="D547" s="1314" t="str">
        <f>IFERROR(VLOOKUP($B547,'24.08_ND'!$A$4833:$D$12369,2,0),IFERROR(VLOOKUP($B547,'03-CP'!$C$5:$H$4646,2,0),""))</f>
        <v>FIXAÇÃO DE ELETRODUTO ATÉ 1" COM ABRAÇADEIRA METÁLICA TIPO D - FORNECIMENTO E INSTALAÇÃO</v>
      </c>
      <c r="E547" s="1315" t="str">
        <f>IFERROR(VLOOKUP($B547,'24.08_ND'!$A:$D,3,0),IFERROR(VLOOKUP($B547,'03-CP'!$C$5:$H$4646,3,0),""))</f>
        <v>UN</v>
      </c>
      <c r="F547" s="389">
        <f>69+12</f>
        <v>81</v>
      </c>
      <c r="G547" s="1244"/>
      <c r="H547" s="1244"/>
      <c r="I547" s="1409"/>
      <c r="J547" s="1506"/>
      <c r="K547" s="262"/>
      <c r="L547" s="386"/>
      <c r="M547" s="262"/>
      <c r="N547" s="262"/>
      <c r="O547" s="262"/>
      <c r="P547" s="262"/>
      <c r="Q547" s="262"/>
      <c r="R547" s="262"/>
      <c r="S547" s="262"/>
      <c r="T547" s="262"/>
      <c r="U547" s="262"/>
      <c r="V547" s="262"/>
      <c r="W547" s="262"/>
      <c r="X547" s="262"/>
      <c r="Y547" s="262"/>
      <c r="Z547" s="262"/>
    </row>
    <row r="548" spans="1:26" ht="38.25" outlineLevel="1">
      <c r="A548" s="247" t="s">
        <v>13046</v>
      </c>
      <c r="B548" s="386">
        <v>91884</v>
      </c>
      <c r="C548" s="386" t="s">
        <v>14476</v>
      </c>
      <c r="D548" s="1314" t="str">
        <f>IFERROR(VLOOKUP($B548,'24.08_ND'!$A$4833:$D$12369,2,0),IFERROR(VLOOKUP($B548,'03-CP'!$C$5:$H$4646,2,0),""))</f>
        <v>LUVA PARA ELETRODUTO, PVC, ROSCÁVEL, DN 25 MM (3/4"), PARA CIRCUITOS TERMINAIS, INSTALADA EM PAREDE - FORNECIMENTO E INSTALAÇÃO. AF_03/2023</v>
      </c>
      <c r="E548" s="1315" t="str">
        <f>IFERROR(VLOOKUP($B548,'24.08_ND'!$A:$D,3,0),IFERROR(VLOOKUP($B548,'03-CP'!$C$5:$H$4646,3,0),""))</f>
        <v>UN</v>
      </c>
      <c r="F548" s="389">
        <v>23</v>
      </c>
      <c r="G548" s="1244"/>
      <c r="H548" s="1244"/>
      <c r="I548" s="1409"/>
      <c r="J548" s="1506"/>
      <c r="K548" s="262"/>
      <c r="L548" s="386"/>
      <c r="M548" s="262"/>
      <c r="N548" s="262"/>
      <c r="O548" s="262"/>
      <c r="P548" s="262"/>
      <c r="Q548" s="262"/>
      <c r="R548" s="262"/>
      <c r="S548" s="262"/>
      <c r="T548" s="262"/>
      <c r="U548" s="262"/>
      <c r="V548" s="262"/>
      <c r="W548" s="262"/>
      <c r="X548" s="262"/>
      <c r="Y548" s="262"/>
      <c r="Z548" s="262"/>
    </row>
    <row r="549" spans="1:26" ht="38.25" outlineLevel="1">
      <c r="A549" s="247" t="s">
        <v>13047</v>
      </c>
      <c r="B549" s="386">
        <v>91872</v>
      </c>
      <c r="C549" s="386" t="s">
        <v>14476</v>
      </c>
      <c r="D549" s="1314" t="str">
        <f>IFERROR(VLOOKUP($B549,'24.08_ND'!$A$4833:$D$12369,2,0),IFERROR(VLOOKUP($B549,'03-CP'!$C$5:$H$4646,2,0),""))</f>
        <v>ELETRODUTO RÍGIDO ROSCÁVEL, PVC, DN 32 MM (1"), PARA CIRCUITOS TERMINAIS, INSTALADO EM PAREDE - FORNECIMENTO E INSTALAÇÃO. AF_03/2023</v>
      </c>
      <c r="E549" s="1315" t="str">
        <f>IFERROR(VLOOKUP($B549,'24.08_ND'!$A:$D,3,0),IFERROR(VLOOKUP($B549,'03-CP'!$C$5:$H$4646,3,0),""))</f>
        <v>M</v>
      </c>
      <c r="F549" s="389">
        <v>12</v>
      </c>
      <c r="G549" s="1244"/>
      <c r="H549" s="1244"/>
      <c r="I549" s="1409"/>
      <c r="J549" s="1506"/>
      <c r="K549" s="262"/>
      <c r="L549" s="386"/>
      <c r="M549" s="262"/>
      <c r="N549" s="262"/>
      <c r="O549" s="262"/>
      <c r="P549" s="262"/>
      <c r="Q549" s="262"/>
      <c r="R549" s="262"/>
      <c r="S549" s="262"/>
      <c r="T549" s="262"/>
      <c r="U549" s="262"/>
      <c r="V549" s="262"/>
      <c r="W549" s="262"/>
      <c r="X549" s="262"/>
      <c r="Y549" s="262"/>
      <c r="Z549" s="262"/>
    </row>
    <row r="550" spans="1:26" ht="38.25" outlineLevel="1">
      <c r="A550" s="247" t="s">
        <v>13048</v>
      </c>
      <c r="B550" s="386">
        <v>91885</v>
      </c>
      <c r="C550" s="386" t="s">
        <v>14476</v>
      </c>
      <c r="D550" s="1314" t="str">
        <f>IFERROR(VLOOKUP($B550,'24.08_ND'!$A$4833:$D$12369,2,0),IFERROR(VLOOKUP($B550,'03-CP'!$C$5:$H$4646,2,0),""))</f>
        <v>LUVA PARA ELETRODUTO, PVC, ROSCÁVEL, DN 32 MM (1"), PARA CIRCUITOS TERMINAIS, INSTALADA EM PAREDE - FORNECIMENTO E INSTALAÇÃO. AF_03/2023</v>
      </c>
      <c r="E550" s="1315" t="str">
        <f>IFERROR(VLOOKUP($B550,'24.08_ND'!$A:$D,3,0),IFERROR(VLOOKUP($B550,'03-CP'!$C$5:$H$4646,3,0),""))</f>
        <v>UN</v>
      </c>
      <c r="F550" s="389">
        <v>5</v>
      </c>
      <c r="G550" s="1244"/>
      <c r="H550" s="1244"/>
      <c r="I550" s="1409"/>
      <c r="J550" s="1506"/>
      <c r="K550" s="262"/>
      <c r="L550" s="386"/>
      <c r="M550" s="262"/>
      <c r="N550" s="262"/>
      <c r="O550" s="262"/>
      <c r="P550" s="262"/>
      <c r="Q550" s="262"/>
      <c r="R550" s="262"/>
      <c r="S550" s="262"/>
      <c r="T550" s="262"/>
      <c r="U550" s="262"/>
      <c r="V550" s="262"/>
      <c r="W550" s="262"/>
      <c r="X550" s="262"/>
      <c r="Y550" s="262"/>
      <c r="Z550" s="262"/>
    </row>
    <row r="551" spans="1:26" ht="38.25" outlineLevel="1">
      <c r="A551" s="247" t="s">
        <v>13049</v>
      </c>
      <c r="B551" s="386">
        <v>91914</v>
      </c>
      <c r="C551" s="386" t="s">
        <v>14476</v>
      </c>
      <c r="D551" s="1314" t="str">
        <f>IFERROR(VLOOKUP($B551,'24.08_ND'!$A$4833:$D$12369,2,0),IFERROR(VLOOKUP($B551,'03-CP'!$C$5:$H$4646,2,0),""))</f>
        <v>CURVA 90 GRAUS PARA ELETRODUTO, PVC, ROSCÁVEL, DN 25 MM (3/4"), PARA CIRCUITOS TERMINAIS, INSTALADA EM PAREDE - FORNECIMENTO E INSTALAÇÃO. AF_03/2023</v>
      </c>
      <c r="E551" s="1315" t="str">
        <f>IFERROR(VLOOKUP($B551,'24.08_ND'!$A:$D,3,0),IFERROR(VLOOKUP($B551,'03-CP'!$C$5:$H$4646,3,0),""))</f>
        <v>UN</v>
      </c>
      <c r="F551" s="389">
        <v>21</v>
      </c>
      <c r="G551" s="1244"/>
      <c r="H551" s="1244"/>
      <c r="I551" s="1409"/>
      <c r="J551" s="1506"/>
      <c r="K551" s="262"/>
      <c r="L551" s="386"/>
      <c r="M551" s="262"/>
      <c r="N551" s="262"/>
      <c r="O551" s="262"/>
      <c r="P551" s="262"/>
      <c r="Q551" s="262"/>
      <c r="R551" s="262"/>
      <c r="S551" s="262"/>
      <c r="T551" s="262"/>
      <c r="U551" s="262"/>
      <c r="V551" s="262"/>
      <c r="W551" s="262"/>
      <c r="X551" s="262"/>
      <c r="Y551" s="262"/>
      <c r="Z551" s="262"/>
    </row>
    <row r="552" spans="1:26" ht="38.25" outlineLevel="1">
      <c r="A552" s="247" t="s">
        <v>13050</v>
      </c>
      <c r="B552" s="386">
        <v>91917</v>
      </c>
      <c r="C552" s="386" t="s">
        <v>14476</v>
      </c>
      <c r="D552" s="1314" t="str">
        <f>IFERROR(VLOOKUP($B552,'24.08_ND'!$A$4833:$D$12369,2,0),IFERROR(VLOOKUP($B552,'03-CP'!$C$5:$H$4646,2,0),""))</f>
        <v>CURVA 90 GRAUS PARA ELETRODUTO, PVC, ROSCÁVEL, DN 32 MM (1"), PARA CIRCUITOS TERMINAIS, INSTALADA EM PAREDE - FORNECIMENTO E INSTALAÇÃO. AF_03/2023</v>
      </c>
      <c r="E552" s="1315" t="str">
        <f>IFERROR(VLOOKUP($B552,'24.08_ND'!$A:$D,3,0),IFERROR(VLOOKUP($B552,'03-CP'!$C$5:$H$4646,3,0),""))</f>
        <v>UN</v>
      </c>
      <c r="F552" s="389">
        <v>4</v>
      </c>
      <c r="G552" s="1244"/>
      <c r="H552" s="1244"/>
      <c r="I552" s="1409"/>
      <c r="J552" s="1506"/>
      <c r="K552" s="262"/>
      <c r="L552" s="386"/>
      <c r="M552" s="262"/>
      <c r="N552" s="262"/>
      <c r="O552" s="262"/>
      <c r="P552" s="262"/>
      <c r="Q552" s="262"/>
      <c r="R552" s="262"/>
      <c r="S552" s="262"/>
      <c r="T552" s="262"/>
      <c r="U552" s="262"/>
      <c r="V552" s="262"/>
      <c r="W552" s="262"/>
      <c r="X552" s="262"/>
      <c r="Y552" s="262"/>
      <c r="Z552" s="262"/>
    </row>
    <row r="553" spans="1:26" ht="25.5" outlineLevel="1">
      <c r="A553" s="247" t="s">
        <v>13051</v>
      </c>
      <c r="B553" s="386" t="s">
        <v>15114</v>
      </c>
      <c r="C553" s="386" t="s">
        <v>14472</v>
      </c>
      <c r="D553" s="1314" t="str">
        <f>IFERROR(VLOOKUP($B553,'24.08_ND'!$A$4833:$D$12369,2,0),IFERROR(VLOOKUP($B553,'03-CP'!$C$5:$H$4646,2,0),""))</f>
        <v>ELETRODUTO DE AÇO GALVANIZADO, CLASSE LEVE, DN 20 MM (3/4''), APARENTE. - FORNECIMENTO E INSTALAÇÃO.</v>
      </c>
      <c r="E553" s="1315" t="str">
        <f>IFERROR(VLOOKUP($B553,'24.08_ND'!$A:$D,3,0),IFERROR(VLOOKUP($B553,'03-CP'!$C$5:$H$4646,3,0),""))</f>
        <v>M</v>
      </c>
      <c r="F553" s="389">
        <v>15</v>
      </c>
      <c r="G553" s="1244"/>
      <c r="H553" s="1244"/>
      <c r="I553" s="1409"/>
      <c r="J553" s="1506"/>
      <c r="K553" s="262"/>
      <c r="L553" s="386"/>
      <c r="M553" s="262"/>
      <c r="N553" s="262"/>
      <c r="O553" s="262"/>
      <c r="P553" s="262"/>
      <c r="Q553" s="262"/>
      <c r="R553" s="262"/>
      <c r="S553" s="262"/>
      <c r="T553" s="262"/>
      <c r="U553" s="262"/>
      <c r="V553" s="262"/>
      <c r="W553" s="262"/>
      <c r="X553" s="262"/>
      <c r="Y553" s="262"/>
      <c r="Z553" s="262"/>
    </row>
    <row r="554" spans="1:26" ht="25.5" outlineLevel="1">
      <c r="A554" s="247" t="s">
        <v>13052</v>
      </c>
      <c r="B554" s="386" t="s">
        <v>15116</v>
      </c>
      <c r="C554" s="386" t="s">
        <v>14472</v>
      </c>
      <c r="D554" s="1314" t="str">
        <f>IFERROR(VLOOKUP($B554,'24.08_ND'!$A$4833:$D$12369,2,0),IFERROR(VLOOKUP($B554,'03-CP'!$C$5:$H$4646,2,0),""))</f>
        <v>ABRAÇADEIRA METÁLICA TIPO U 3/4 (26MM). FORNECIMENTO E INSTALAÇÃO</v>
      </c>
      <c r="E554" s="1315" t="str">
        <f>IFERROR(VLOOKUP($B554,'24.08_ND'!$A:$D,3,0),IFERROR(VLOOKUP($B554,'03-CP'!$C$5:$H$4646,3,0),""))</f>
        <v>UN</v>
      </c>
      <c r="F554" s="389">
        <v>6</v>
      </c>
      <c r="G554" s="1244"/>
      <c r="H554" s="1244"/>
      <c r="I554" s="1409"/>
      <c r="J554" s="1506"/>
      <c r="K554" s="262"/>
      <c r="L554" s="386"/>
      <c r="M554" s="262"/>
      <c r="N554" s="262"/>
      <c r="O554" s="262"/>
      <c r="P554" s="262"/>
      <c r="Q554" s="262"/>
      <c r="R554" s="262"/>
      <c r="S554" s="262"/>
      <c r="T554" s="262"/>
      <c r="U554" s="262"/>
      <c r="V554" s="262"/>
      <c r="W554" s="262"/>
      <c r="X554" s="262"/>
      <c r="Y554" s="262"/>
      <c r="Z554" s="262"/>
    </row>
    <row r="555" spans="1:26" ht="25.5" outlineLevel="1">
      <c r="A555" s="247" t="s">
        <v>13053</v>
      </c>
      <c r="B555" s="386" t="s">
        <v>15118</v>
      </c>
      <c r="C555" s="386" t="s">
        <v>14472</v>
      </c>
      <c r="D555" s="1314" t="str">
        <f>IFERROR(VLOOKUP($B555,'24.08_ND'!$A$4833:$D$12369,2,0),IFERROR(VLOOKUP($B555,'03-CP'!$C$5:$H$4646,2,0),""))</f>
        <v>LUVA DE EMENDA PARA ELETRODUTO, AÇO GALVANIZADO, DN 20 MM (3/4''), APARENTE, INSTALADA EM PAREDE - FORNECIMENTO E INSTALAÇÃO</v>
      </c>
      <c r="E555" s="1315" t="str">
        <f>IFERROR(VLOOKUP($B555,'24.08_ND'!$A:$D,3,0),IFERROR(VLOOKUP($B555,'03-CP'!$C$5:$H$4646,3,0),""))</f>
        <v>UN</v>
      </c>
      <c r="F555" s="389">
        <v>5</v>
      </c>
      <c r="G555" s="1244"/>
      <c r="H555" s="1244"/>
      <c r="I555" s="1409"/>
      <c r="J555" s="1506"/>
      <c r="K555" s="262"/>
      <c r="L555" s="386"/>
      <c r="M555" s="262"/>
      <c r="N555" s="262"/>
      <c r="O555" s="262"/>
      <c r="P555" s="262"/>
      <c r="Q555" s="262"/>
      <c r="R555" s="262"/>
      <c r="S555" s="262"/>
      <c r="T555" s="262"/>
      <c r="U555" s="262"/>
      <c r="V555" s="262"/>
      <c r="W555" s="262"/>
      <c r="X555" s="262"/>
      <c r="Y555" s="262"/>
      <c r="Z555" s="262"/>
    </row>
    <row r="556" spans="1:26" ht="38.25" outlineLevel="1">
      <c r="A556" s="247" t="s">
        <v>13054</v>
      </c>
      <c r="B556" s="386" t="s">
        <v>15120</v>
      </c>
      <c r="C556" s="386" t="s">
        <v>14472</v>
      </c>
      <c r="D556" s="1314" t="str">
        <f>IFERROR(VLOOKUP($B556,'24.08_ND'!$A$4833:$D$12369,2,0),IFERROR(VLOOKUP($B556,'03-CP'!$C$5:$H$4646,2,0),""))</f>
        <v>CURVA 90 GRAUS, PARA ELETRODUTO, EM ACO GALVANIZADO ELETROLITICO, DIAMETRO DE 20 MM (3/4") - FORNECIMENTO E INSTALAÇÃO.</v>
      </c>
      <c r="E556" s="1315" t="str">
        <f>IFERROR(VLOOKUP($B556,'24.08_ND'!$A:$D,3,0),IFERROR(VLOOKUP($B556,'03-CP'!$C$5:$H$4646,3,0),""))</f>
        <v>UN</v>
      </c>
      <c r="F556" s="389">
        <v>3</v>
      </c>
      <c r="G556" s="1244"/>
      <c r="H556" s="1244"/>
      <c r="I556" s="1409"/>
      <c r="J556" s="1506"/>
      <c r="K556" s="262"/>
      <c r="L556" s="386"/>
      <c r="M556" s="262"/>
      <c r="N556" s="262"/>
      <c r="O556" s="262"/>
      <c r="P556" s="262"/>
      <c r="Q556" s="262"/>
      <c r="R556" s="262"/>
      <c r="S556" s="262"/>
      <c r="T556" s="262"/>
      <c r="U556" s="262"/>
      <c r="V556" s="262"/>
      <c r="W556" s="262"/>
      <c r="X556" s="262"/>
      <c r="Y556" s="262"/>
      <c r="Z556" s="262"/>
    </row>
    <row r="557" spans="1:26" ht="25.5" outlineLevel="1">
      <c r="A557" s="247" t="s">
        <v>13055</v>
      </c>
      <c r="B557" s="386">
        <v>93358</v>
      </c>
      <c r="C557" s="386" t="s">
        <v>14476</v>
      </c>
      <c r="D557" s="1314" t="str">
        <f>IFERROR(VLOOKUP($B557,'24.08_ND'!$A$4833:$D$12369,2,0),IFERROR(VLOOKUP($B557,'03-CP'!$C$5:$H$4646,2,0),""))</f>
        <v>ESCAVAÇÃO MANUAL DE VALA COM PROFUNDIDADE MENOR OU IGUAL A 1,30 M. AF_02/2021</v>
      </c>
      <c r="E557" s="1315" t="str">
        <f>IFERROR(VLOOKUP($B557,'24.08_ND'!$A:$D,3,0),IFERROR(VLOOKUP($B557,'03-CP'!$C$5:$H$4646,3,0),""))</f>
        <v>M3</v>
      </c>
      <c r="F557" s="389">
        <v>17.5</v>
      </c>
      <c r="G557" s="1244"/>
      <c r="H557" s="1244"/>
      <c r="I557" s="1409"/>
      <c r="J557" s="1506"/>
      <c r="K557" s="262"/>
      <c r="L557" s="386"/>
      <c r="M557" s="262"/>
      <c r="N557" s="262"/>
      <c r="O557" s="262"/>
      <c r="P557" s="262"/>
      <c r="Q557" s="262"/>
      <c r="R557" s="262"/>
      <c r="S557" s="262"/>
      <c r="T557" s="262"/>
      <c r="U557" s="262"/>
      <c r="V557" s="262"/>
      <c r="W557" s="262"/>
      <c r="X557" s="262"/>
      <c r="Y557" s="262"/>
      <c r="Z557" s="262"/>
    </row>
    <row r="558" spans="1:26" ht="25.5" outlineLevel="1">
      <c r="A558" s="247" t="s">
        <v>13056</v>
      </c>
      <c r="B558" s="386">
        <v>93382</v>
      </c>
      <c r="C558" s="386" t="s">
        <v>14476</v>
      </c>
      <c r="D558" s="1314" t="str">
        <f>IFERROR(VLOOKUP($B558,'24.08_ND'!$A$4833:$D$12369,2,0),IFERROR(VLOOKUP($B558,'03-CP'!$C$5:$H$4646,2,0),""))</f>
        <v>REATERRO MANUAL DE VALAS, COM COMPACTADOR DE SOLOS DE PERCUSSÃO. AF_08/2023</v>
      </c>
      <c r="E558" s="1315" t="str">
        <f>IFERROR(VLOOKUP($B558,'24.08_ND'!$A:$D,3,0),IFERROR(VLOOKUP($B558,'03-CP'!$C$5:$H$4646,3,0),""))</f>
        <v>M3</v>
      </c>
      <c r="F558" s="389">
        <f>F557*1.1</f>
        <v>19.25</v>
      </c>
      <c r="G558" s="1244"/>
      <c r="H558" s="1244"/>
      <c r="I558" s="1409"/>
      <c r="J558" s="1506"/>
      <c r="K558" s="262"/>
      <c r="L558" s="386"/>
      <c r="M558" s="262"/>
      <c r="N558" s="262"/>
      <c r="O558" s="262"/>
      <c r="P558" s="262"/>
      <c r="Q558" s="262"/>
      <c r="R558" s="262"/>
      <c r="S558" s="262"/>
      <c r="T558" s="262"/>
      <c r="U558" s="262"/>
      <c r="V558" s="262"/>
      <c r="W558" s="262"/>
      <c r="X558" s="262"/>
      <c r="Y558" s="262"/>
      <c r="Z558" s="262"/>
    </row>
    <row r="559" spans="1:26" ht="25.5" outlineLevel="1">
      <c r="A559" s="247" t="s">
        <v>13057</v>
      </c>
      <c r="B559" s="386">
        <v>90447</v>
      </c>
      <c r="C559" s="386" t="s">
        <v>14476</v>
      </c>
      <c r="D559" s="1314" t="str">
        <f>IFERROR(VLOOKUP($B559,'24.08_ND'!$A$4833:$D$12369,2,0),IFERROR(VLOOKUP($B559,'03-CP'!$C$5:$H$4646,2,0),""))</f>
        <v>RASGO LINEAR MANUAL EM ALVENARIA, PARA ELETRODUTOS, DIÂMETROS MENORES OU IGUAIS A 40 MM. AF_09/2023</v>
      </c>
      <c r="E559" s="1315" t="str">
        <f>IFERROR(VLOOKUP($B559,'24.08_ND'!$A:$D,3,0),IFERROR(VLOOKUP($B559,'03-CP'!$C$5:$H$4646,3,0),""))</f>
        <v>M</v>
      </c>
      <c r="F559" s="389">
        <v>222</v>
      </c>
      <c r="G559" s="1244"/>
      <c r="H559" s="1244"/>
      <c r="I559" s="1409"/>
      <c r="J559" s="1506"/>
      <c r="K559" s="262"/>
      <c r="L559" s="386"/>
      <c r="M559" s="262"/>
      <c r="N559" s="262"/>
      <c r="O559" s="262"/>
      <c r="P559" s="262"/>
      <c r="Q559" s="262"/>
      <c r="R559" s="262"/>
      <c r="S559" s="262"/>
      <c r="T559" s="262"/>
      <c r="U559" s="262"/>
      <c r="V559" s="262"/>
      <c r="W559" s="262"/>
      <c r="X559" s="262"/>
      <c r="Y559" s="262"/>
      <c r="Z559" s="262"/>
    </row>
    <row r="560" spans="1:26" ht="38.25" outlineLevel="1">
      <c r="A560" s="247" t="s">
        <v>13058</v>
      </c>
      <c r="B560" s="386">
        <v>90466</v>
      </c>
      <c r="C560" s="386" t="s">
        <v>14476</v>
      </c>
      <c r="D560" s="1314" t="str">
        <f>IFERROR(VLOOKUP($B560,'24.08_ND'!$A$4833:$D$12369,2,0),IFERROR(VLOOKUP($B560,'03-CP'!$C$5:$H$4646,2,0),""))</f>
        <v>CHUMBAMENTO LINEAR EM ALVENARIA PARA RAMAIS/DISTRIBUIÇÃO DE INSTALAÇÕES HIDRÁULICAS COM DIÂMETROS MENORES OU IGUAIS A 40 MM. AF_09/2023</v>
      </c>
      <c r="E560" s="1315" t="str">
        <f>IFERROR(VLOOKUP($B560,'24.08_ND'!$A:$D,3,0),IFERROR(VLOOKUP($B560,'03-CP'!$C$5:$H$4646,3,0),""))</f>
        <v>M</v>
      </c>
      <c r="F560" s="389">
        <v>222</v>
      </c>
      <c r="G560" s="1244"/>
      <c r="H560" s="1244"/>
      <c r="I560" s="1409"/>
      <c r="J560" s="1506"/>
      <c r="K560" s="262"/>
      <c r="L560" s="386"/>
      <c r="M560" s="262"/>
      <c r="N560" s="262"/>
      <c r="O560" s="262"/>
      <c r="P560" s="262"/>
      <c r="Q560" s="262"/>
      <c r="R560" s="262"/>
      <c r="S560" s="262"/>
      <c r="T560" s="262"/>
      <c r="U560" s="262"/>
      <c r="V560" s="262"/>
      <c r="W560" s="262"/>
      <c r="X560" s="262"/>
      <c r="Y560" s="262"/>
      <c r="Z560" s="262"/>
    </row>
    <row r="561" spans="1:26" ht="12.75">
      <c r="A561" s="250" t="s">
        <v>13059</v>
      </c>
      <c r="B561" s="1309"/>
      <c r="C561" s="1497"/>
      <c r="D561" s="1498" t="s">
        <v>16334</v>
      </c>
      <c r="E561" s="234"/>
      <c r="F561" s="1311"/>
      <c r="G561" s="236"/>
      <c r="H561" s="236"/>
      <c r="I561" s="1499"/>
      <c r="J561" s="262"/>
      <c r="K561" s="262"/>
      <c r="L561" s="386"/>
      <c r="M561" s="262"/>
      <c r="N561" s="262"/>
      <c r="O561" s="262"/>
      <c r="P561" s="262"/>
      <c r="Q561" s="262"/>
      <c r="R561" s="262"/>
      <c r="S561" s="262"/>
      <c r="T561" s="262"/>
      <c r="U561" s="262"/>
      <c r="V561" s="262"/>
      <c r="W561" s="262"/>
      <c r="X561" s="262"/>
      <c r="Y561" s="262"/>
      <c r="Z561" s="262"/>
    </row>
    <row r="562" spans="1:26" ht="12.75" outlineLevel="1">
      <c r="A562" s="247" t="s">
        <v>13060</v>
      </c>
      <c r="B562" s="386" t="s">
        <v>15122</v>
      </c>
      <c r="C562" s="386" t="s">
        <v>14472</v>
      </c>
      <c r="D562" s="1314" t="str">
        <f>IFERROR(VLOOKUP($B562,'24.08_ND'!$A$4833:$D$12369,2,0),IFERROR(VLOOKUP($B562,'03-CP'!$C$5:$H$4646,2,0),""))</f>
        <v>PERFILADO PERFURADO 38X38 #22 - FORNECIMENTO E INSTALAÇÃO</v>
      </c>
      <c r="E562" s="1315" t="str">
        <f>IFERROR(VLOOKUP($B562,'24.08_ND'!$A:$D,3,0),IFERROR(VLOOKUP($B562,'03-CP'!$C$5:$H$4646,3,0),""))</f>
        <v>M</v>
      </c>
      <c r="F562" s="389">
        <v>33</v>
      </c>
      <c r="G562" s="1244"/>
      <c r="H562" s="1244"/>
      <c r="I562" s="1409"/>
      <c r="J562" s="1506"/>
      <c r="K562" s="262"/>
      <c r="L562" s="386"/>
      <c r="M562" s="262"/>
      <c r="N562" s="262"/>
      <c r="O562" s="262"/>
      <c r="P562" s="262"/>
      <c r="Q562" s="262"/>
      <c r="R562" s="262"/>
      <c r="S562" s="262"/>
      <c r="T562" s="262"/>
      <c r="U562" s="262"/>
      <c r="V562" s="262"/>
      <c r="W562" s="262"/>
      <c r="X562" s="262"/>
      <c r="Y562" s="262"/>
      <c r="Z562" s="262"/>
    </row>
    <row r="563" spans="1:26" ht="25.5" outlineLevel="1">
      <c r="A563" s="247" t="s">
        <v>13061</v>
      </c>
      <c r="B563" s="386" t="s">
        <v>15124</v>
      </c>
      <c r="C563" s="386" t="s">
        <v>14472</v>
      </c>
      <c r="D563" s="1314" t="str">
        <f>IFERROR(VLOOKUP($B563,'24.08_ND'!$A$4833:$D$12369,2,0),IFERROR(VLOOKUP($B563,'03-CP'!$C$5:$H$4646,2,0),""))</f>
        <v>EMENDA EXTERNA, PARA PERFILADO TIPO "I", 38 X 38 MM - FORNECIMENTO E INSTALAÇÃO</v>
      </c>
      <c r="E563" s="1315" t="str">
        <f>IFERROR(VLOOKUP($B563,'24.08_ND'!$A:$D,3,0),IFERROR(VLOOKUP($B563,'03-CP'!$C$5:$H$4646,3,0),""))</f>
        <v>UN</v>
      </c>
      <c r="F563" s="389">
        <v>11</v>
      </c>
      <c r="G563" s="1244"/>
      <c r="H563" s="1244"/>
      <c r="I563" s="1409"/>
      <c r="J563" s="1506"/>
      <c r="K563" s="262"/>
      <c r="L563" s="386"/>
      <c r="M563" s="262"/>
      <c r="N563" s="262"/>
      <c r="O563" s="262"/>
      <c r="P563" s="262"/>
      <c r="Q563" s="262"/>
      <c r="R563" s="262"/>
      <c r="S563" s="262"/>
      <c r="T563" s="262"/>
      <c r="U563" s="262"/>
      <c r="V563" s="262"/>
      <c r="W563" s="262"/>
      <c r="X563" s="262"/>
      <c r="Y563" s="262"/>
      <c r="Z563" s="262"/>
    </row>
    <row r="564" spans="1:26" ht="12.75" outlineLevel="1">
      <c r="A564" s="247" t="s">
        <v>13062</v>
      </c>
      <c r="B564" s="386" t="s">
        <v>15126</v>
      </c>
      <c r="C564" s="386" t="s">
        <v>14472</v>
      </c>
      <c r="D564" s="1314" t="str">
        <f>IFERROR(VLOOKUP($B564,'24.08_ND'!$A$4833:$D$12369,2,0),IFERROR(VLOOKUP($B564,'03-CP'!$C$5:$H$4646,2,0),""))</f>
        <v>SAÍDA PARA PERFILADO 38 X 38 MM - FORNECIMENTO E INSTALAÇÃO</v>
      </c>
      <c r="E564" s="1315" t="str">
        <f>IFERROR(VLOOKUP($B564,'24.08_ND'!$A:$D,3,0),IFERROR(VLOOKUP($B564,'03-CP'!$C$5:$H$4646,3,0),""))</f>
        <v>UN</v>
      </c>
      <c r="F564" s="389">
        <v>3</v>
      </c>
      <c r="G564" s="1244"/>
      <c r="H564" s="1244"/>
      <c r="I564" s="1409"/>
      <c r="J564" s="1506"/>
      <c r="K564" s="262"/>
      <c r="L564" s="386"/>
      <c r="M564" s="262"/>
      <c r="N564" s="262"/>
      <c r="O564" s="262"/>
      <c r="P564" s="262"/>
      <c r="Q564" s="262"/>
      <c r="R564" s="262"/>
      <c r="S564" s="262"/>
      <c r="T564" s="262"/>
      <c r="U564" s="262"/>
      <c r="V564" s="262"/>
      <c r="W564" s="262"/>
      <c r="X564" s="262"/>
      <c r="Y564" s="262"/>
      <c r="Z564" s="262"/>
    </row>
    <row r="565" spans="1:26" ht="25.5" outlineLevel="1">
      <c r="A565" s="247" t="s">
        <v>13063</v>
      </c>
      <c r="B565" s="386" t="s">
        <v>15128</v>
      </c>
      <c r="C565" s="386" t="s">
        <v>14472</v>
      </c>
      <c r="D565" s="1314" t="str">
        <f>IFERROR(VLOOKUP($B565,'24.08_ND'!$A$4833:$D$12369,2,0),IFERROR(VLOOKUP($B565,'03-CP'!$C$5:$H$4646,2,0),""))</f>
        <v>JUNÇÃO INTERNA TIPO ”L” PARA PERFILADO – FORNECIMENTO E INSTALAÇÃO</v>
      </c>
      <c r="E565" s="1315" t="str">
        <f>IFERROR(VLOOKUP($B565,'24.08_ND'!$A:$D,3,0),IFERROR(VLOOKUP($B565,'03-CP'!$C$5:$H$4646,3,0),""))</f>
        <v>UN</v>
      </c>
      <c r="F565" s="389">
        <v>1</v>
      </c>
      <c r="G565" s="1244"/>
      <c r="H565" s="1244"/>
      <c r="I565" s="1409"/>
      <c r="J565" s="1506"/>
      <c r="K565" s="262"/>
      <c r="L565" s="386"/>
      <c r="M565" s="262"/>
      <c r="N565" s="262"/>
      <c r="O565" s="262"/>
      <c r="P565" s="262"/>
      <c r="Q565" s="262"/>
      <c r="R565" s="262"/>
      <c r="S565" s="262"/>
      <c r="T565" s="262"/>
      <c r="U565" s="262"/>
      <c r="V565" s="262"/>
      <c r="W565" s="262"/>
      <c r="X565" s="262"/>
      <c r="Y565" s="262"/>
      <c r="Z565" s="262"/>
    </row>
    <row r="566" spans="1:26" ht="25.5" outlineLevel="1">
      <c r="A566" s="247" t="s">
        <v>13064</v>
      </c>
      <c r="B566" s="386" t="s">
        <v>15130</v>
      </c>
      <c r="C566" s="386" t="s">
        <v>14472</v>
      </c>
      <c r="D566" s="1314" t="str">
        <f>IFERROR(VLOOKUP($B566,'24.08_ND'!$A$4833:$D$12369,2,0),IFERROR(VLOOKUP($B566,'03-CP'!$C$5:$H$4646,2,0),""))</f>
        <v>CURVA VERTICAL EXTERNA/INTERNA PARA ELETROCALHA / PERFILADO ATÉ 50X50 CHAPA 20 - FORNECIMENTO E INSTALAÇÃO</v>
      </c>
      <c r="E566" s="1315" t="str">
        <f>IFERROR(VLOOKUP($B566,'24.08_ND'!$A:$D,3,0),IFERROR(VLOOKUP($B566,'03-CP'!$C$5:$H$4646,3,0),""))</f>
        <v>UN</v>
      </c>
      <c r="F566" s="389">
        <v>4</v>
      </c>
      <c r="G566" s="1244"/>
      <c r="H566" s="1244"/>
      <c r="I566" s="1409"/>
      <c r="J566" s="1506"/>
      <c r="K566" s="262"/>
      <c r="L566" s="386"/>
      <c r="M566" s="262"/>
      <c r="N566" s="262"/>
      <c r="O566" s="262"/>
      <c r="P566" s="262"/>
      <c r="Q566" s="262"/>
      <c r="R566" s="262"/>
      <c r="S566" s="262"/>
      <c r="T566" s="262"/>
      <c r="U566" s="262"/>
      <c r="V566" s="262"/>
      <c r="W566" s="262"/>
      <c r="X566" s="262"/>
      <c r="Y566" s="262"/>
      <c r="Z566" s="262"/>
    </row>
    <row r="567" spans="1:26" ht="25.5" outlineLevel="1">
      <c r="A567" s="247" t="s">
        <v>13065</v>
      </c>
      <c r="B567" s="386" t="s">
        <v>15133</v>
      </c>
      <c r="C567" s="386" t="s">
        <v>14472</v>
      </c>
      <c r="D567" s="1314" t="str">
        <f>IFERROR(VLOOKUP($B567,'24.08_ND'!$A$4833:$D$12369,2,0),IFERROR(VLOOKUP($B567,'03-CP'!$C$5:$H$4646,2,0),""))</f>
        <v>FIXAÇÃO DE PERFILADO COM GANCHO CURTO, PARAFUSO AUTO-BROCANTE, PORCA E ARRUELA  - FORNECIMENTO E INSTALAÇÃO</v>
      </c>
      <c r="E567" s="1315" t="str">
        <f>IFERROR(VLOOKUP($B567,'24.08_ND'!$A:$D,3,0),IFERROR(VLOOKUP($B567,'03-CP'!$C$5:$H$4646,3,0),""))</f>
        <v>M</v>
      </c>
      <c r="F567" s="389">
        <v>16</v>
      </c>
      <c r="G567" s="1244"/>
      <c r="H567" s="1244"/>
      <c r="I567" s="1409"/>
      <c r="J567" s="1506"/>
      <c r="K567" s="262"/>
      <c r="L567" s="386"/>
      <c r="M567" s="262"/>
      <c r="N567" s="262"/>
      <c r="O567" s="262"/>
      <c r="P567" s="262"/>
      <c r="Q567" s="262"/>
      <c r="R567" s="262"/>
      <c r="S567" s="262"/>
      <c r="T567" s="262"/>
      <c r="U567" s="262"/>
      <c r="V567" s="262"/>
      <c r="W567" s="262"/>
      <c r="X567" s="262"/>
      <c r="Y567" s="262"/>
      <c r="Z567" s="262"/>
    </row>
    <row r="568" spans="1:26" ht="25.5" outlineLevel="1">
      <c r="A568" s="247" t="s">
        <v>13066</v>
      </c>
      <c r="B568" s="386" t="s">
        <v>15135</v>
      </c>
      <c r="C568" s="386" t="s">
        <v>14472</v>
      </c>
      <c r="D568" s="1314" t="str">
        <f>IFERROR(VLOOKUP($B568,'24.08_ND'!$A$4833:$D$12369,2,0),IFERROR(VLOOKUP($B568,'03-CP'!$C$5:$H$4646,2,0),""))</f>
        <v>ELETROCALHA LISA OU PERFURADA, SEM TAMPA, 50X50X3000 MM, EXCLUSIVE ACESSÓRIOS DE FIXAÇÃO - FORNECIMENTO E INSTALAÇÃO</v>
      </c>
      <c r="E568" s="1315" t="str">
        <f>IFERROR(VLOOKUP($B568,'24.08_ND'!$A:$D,3,0),IFERROR(VLOOKUP($B568,'03-CP'!$C$5:$H$4646,3,0),""))</f>
        <v>M</v>
      </c>
      <c r="F568" s="389">
        <v>9</v>
      </c>
      <c r="G568" s="1244"/>
      <c r="H568" s="1244"/>
      <c r="I568" s="1409"/>
      <c r="J568" s="1506"/>
      <c r="K568" s="262"/>
      <c r="L568" s="386"/>
      <c r="M568" s="262"/>
      <c r="N568" s="262"/>
      <c r="O568" s="262"/>
      <c r="P568" s="262"/>
      <c r="Q568" s="262"/>
      <c r="R568" s="262"/>
      <c r="S568" s="262"/>
      <c r="T568" s="262"/>
      <c r="U568" s="262"/>
      <c r="V568" s="262"/>
      <c r="W568" s="262"/>
      <c r="X568" s="262"/>
      <c r="Y568" s="262"/>
      <c r="Z568" s="262"/>
    </row>
    <row r="569" spans="1:26" ht="25.5" outlineLevel="1">
      <c r="A569" s="247" t="s">
        <v>13067</v>
      </c>
      <c r="B569" s="386" t="s">
        <v>15137</v>
      </c>
      <c r="C569" s="386" t="s">
        <v>14472</v>
      </c>
      <c r="D569" s="1314" t="str">
        <f>IFERROR(VLOOKUP($B569,'24.08_ND'!$A$4833:$D$12369,2,0),IFERROR(VLOOKUP($B569,'03-CP'!$C$5:$H$4646,2,0),""))</f>
        <v>ACOPLAMENTO PARA ELETROCALHA METÁLICA 38 X 38MM  - FORNECIMENTO E INSTALAÇÃO</v>
      </c>
      <c r="E569" s="1315" t="str">
        <f>IFERROR(VLOOKUP($B569,'24.08_ND'!$A:$D,3,0),IFERROR(VLOOKUP($B569,'03-CP'!$C$5:$H$4646,3,0),""))</f>
        <v xml:space="preserve">UN </v>
      </c>
      <c r="F569" s="389">
        <v>2</v>
      </c>
      <c r="G569" s="1244"/>
      <c r="H569" s="1244"/>
      <c r="I569" s="1409"/>
      <c r="J569" s="1506"/>
      <c r="K569" s="262"/>
      <c r="L569" s="386"/>
      <c r="M569" s="262"/>
      <c r="N569" s="262"/>
      <c r="O569" s="262"/>
      <c r="P569" s="262"/>
      <c r="Q569" s="262"/>
      <c r="R569" s="262"/>
      <c r="S569" s="262"/>
      <c r="T569" s="262"/>
      <c r="U569" s="262"/>
      <c r="V569" s="262"/>
      <c r="W569" s="262"/>
      <c r="X569" s="262"/>
      <c r="Y569" s="262"/>
      <c r="Z569" s="262"/>
    </row>
    <row r="570" spans="1:26" ht="25.5" outlineLevel="1">
      <c r="A570" s="247" t="s">
        <v>13068</v>
      </c>
      <c r="B570" s="386" t="s">
        <v>15141</v>
      </c>
      <c r="C570" s="386" t="s">
        <v>14472</v>
      </c>
      <c r="D570" s="1314" t="str">
        <f>IFERROR(VLOOKUP($B570,'24.08_ND'!$A$4833:$D$12369,2,0),IFERROR(VLOOKUP($B570,'03-CP'!$C$5:$H$4646,2,0),""))</f>
        <v>SAIDA HORIZONTAL PARA ELETRODUTO 3/4" - FORNECIMENTO E INSTALAÇÃO</v>
      </c>
      <c r="E570" s="1315" t="str">
        <f>IFERROR(VLOOKUP($B570,'24.08_ND'!$A:$D,3,0),IFERROR(VLOOKUP($B570,'03-CP'!$C$5:$H$4646,3,0),""))</f>
        <v>UN</v>
      </c>
      <c r="F570" s="389">
        <v>4</v>
      </c>
      <c r="G570" s="1244"/>
      <c r="H570" s="1244"/>
      <c r="I570" s="1409"/>
      <c r="J570" s="1506"/>
      <c r="K570" s="262"/>
      <c r="L570" s="386"/>
      <c r="M570" s="262"/>
      <c r="N570" s="262"/>
      <c r="O570" s="262"/>
      <c r="P570" s="262"/>
      <c r="Q570" s="262"/>
      <c r="R570" s="262"/>
      <c r="S570" s="262"/>
      <c r="T570" s="262"/>
      <c r="U570" s="262"/>
      <c r="V570" s="262"/>
      <c r="W570" s="262"/>
      <c r="X570" s="262"/>
      <c r="Y570" s="262"/>
      <c r="Z570" s="262"/>
    </row>
    <row r="571" spans="1:26" ht="12.75" outlineLevel="1">
      <c r="A571" s="247" t="s">
        <v>13069</v>
      </c>
      <c r="B571" s="386" t="s">
        <v>15143</v>
      </c>
      <c r="C571" s="386" t="s">
        <v>14472</v>
      </c>
      <c r="D571" s="1314" t="str">
        <f>IFERROR(VLOOKUP($B571,'24.08_ND'!$A$4833:$D$12369,2,0),IFERROR(VLOOKUP($B571,'03-CP'!$C$5:$H$4646,2,0),""))</f>
        <v>MÃO FRANCESA SIMPLES 75 MM – FORNECIMENTO E INSTALAÇÃO</v>
      </c>
      <c r="E571" s="1315" t="str">
        <f>IFERROR(VLOOKUP($B571,'24.08_ND'!$A:$D,3,0),IFERROR(VLOOKUP($B571,'03-CP'!$C$5:$H$4646,3,0),""))</f>
        <v>UN</v>
      </c>
      <c r="F571" s="389">
        <v>4</v>
      </c>
      <c r="G571" s="1244"/>
      <c r="H571" s="1244"/>
      <c r="I571" s="1409"/>
      <c r="J571" s="1506"/>
      <c r="K571" s="262"/>
      <c r="L571" s="386"/>
      <c r="M571" s="262"/>
      <c r="N571" s="262"/>
      <c r="O571" s="262"/>
      <c r="P571" s="262"/>
      <c r="Q571" s="262"/>
      <c r="R571" s="262"/>
      <c r="S571" s="262"/>
      <c r="T571" s="262"/>
      <c r="U571" s="262"/>
      <c r="V571" s="262"/>
      <c r="W571" s="262"/>
      <c r="X571" s="262"/>
      <c r="Y571" s="262"/>
      <c r="Z571" s="262"/>
    </row>
    <row r="572" spans="1:26" ht="12.75">
      <c r="A572" s="250" t="s">
        <v>13070</v>
      </c>
      <c r="B572" s="1309"/>
      <c r="C572" s="1497"/>
      <c r="D572" s="1498" t="s">
        <v>16335</v>
      </c>
      <c r="E572" s="234"/>
      <c r="F572" s="1311"/>
      <c r="G572" s="236"/>
      <c r="H572" s="236"/>
      <c r="I572" s="1499"/>
      <c r="J572" s="236"/>
      <c r="K572" s="262"/>
      <c r="L572" s="386"/>
      <c r="M572" s="262"/>
      <c r="N572" s="262"/>
      <c r="O572" s="262"/>
      <c r="P572" s="262"/>
      <c r="Q572" s="262"/>
      <c r="R572" s="262"/>
      <c r="S572" s="262"/>
      <c r="T572" s="262"/>
      <c r="U572" s="262"/>
      <c r="V572" s="262"/>
      <c r="W572" s="262"/>
      <c r="X572" s="262"/>
      <c r="Y572" s="262"/>
      <c r="Z572" s="262"/>
    </row>
    <row r="573" spans="1:26" ht="38.25" outlineLevel="1">
      <c r="A573" s="247" t="s">
        <v>13071</v>
      </c>
      <c r="B573" s="386">
        <v>97886</v>
      </c>
      <c r="C573" s="386" t="s">
        <v>14476</v>
      </c>
      <c r="D573" s="1314" t="str">
        <f>IFERROR(VLOOKUP($B573,'24.08_ND'!$A$4833:$D$12369,2,0),IFERROR(VLOOKUP($B573,'03-CP'!$C$5:$H$4646,2,0),""))</f>
        <v>CAIXA ENTERRADA ELÉTRICA RETANGULAR, EM ALVENARIA COM TIJOLOS CERÂMICOS MACIÇOS, FUNDO COM BRITA, DIMENSÕES INTERNAS: 0,3X0,3X0,3 M. AF_12/2020</v>
      </c>
      <c r="E573" s="1315" t="str">
        <f>IFERROR(VLOOKUP($B573,'24.08_ND'!$A:$D,3,0),IFERROR(VLOOKUP($B573,'03-CP'!$C$5:$H$4646,3,0),""))</f>
        <v>UN</v>
      </c>
      <c r="F573" s="389">
        <v>4</v>
      </c>
      <c r="G573" s="1244"/>
      <c r="H573" s="1244"/>
      <c r="I573" s="1409"/>
      <c r="J573" s="1506"/>
      <c r="K573" s="262"/>
      <c r="L573" s="386"/>
      <c r="M573" s="262"/>
      <c r="N573" s="262"/>
      <c r="O573" s="262"/>
      <c r="P573" s="262"/>
      <c r="Q573" s="262"/>
      <c r="R573" s="262"/>
      <c r="S573" s="262"/>
      <c r="T573" s="262"/>
      <c r="U573" s="262"/>
      <c r="V573" s="262"/>
      <c r="W573" s="262"/>
      <c r="X573" s="262"/>
      <c r="Y573" s="262"/>
      <c r="Z573" s="262"/>
    </row>
    <row r="574" spans="1:26" ht="25.5" outlineLevel="1">
      <c r="A574" s="247" t="s">
        <v>13072</v>
      </c>
      <c r="B574" s="386">
        <v>91939</v>
      </c>
      <c r="C574" s="386" t="s">
        <v>14476</v>
      </c>
      <c r="D574" s="1314" t="str">
        <f>IFERROR(VLOOKUP($B574,'24.08_ND'!$A$4833:$D$12369,2,0),IFERROR(VLOOKUP($B574,'03-CP'!$C$5:$H$4646,2,0),""))</f>
        <v>CAIXA RETANGULAR 4" X 2" ALTA (2,00 M DO PISO), PVC, INSTALADA EM PAREDE - FORNECIMENTO E INSTALAÇÃO. AF_03/2023</v>
      </c>
      <c r="E574" s="1315" t="str">
        <f>IFERROR(VLOOKUP($B574,'24.08_ND'!$A:$D,3,0),IFERROR(VLOOKUP($B574,'03-CP'!$C$5:$H$4646,3,0),""))</f>
        <v>UN</v>
      </c>
      <c r="F574" s="389">
        <v>7</v>
      </c>
      <c r="G574" s="1244"/>
      <c r="H574" s="1244"/>
      <c r="I574" s="1409"/>
      <c r="J574" s="1506"/>
      <c r="K574" s="262"/>
      <c r="L574" s="386"/>
      <c r="M574" s="262"/>
      <c r="N574" s="262"/>
      <c r="O574" s="262"/>
      <c r="P574" s="262"/>
      <c r="Q574" s="262"/>
      <c r="R574" s="262"/>
      <c r="S574" s="262"/>
      <c r="T574" s="262"/>
      <c r="U574" s="262"/>
      <c r="V574" s="262"/>
      <c r="W574" s="262"/>
      <c r="X574" s="262"/>
      <c r="Y574" s="262"/>
      <c r="Z574" s="262"/>
    </row>
    <row r="575" spans="1:26" ht="25.5" outlineLevel="1">
      <c r="A575" s="247" t="s">
        <v>13073</v>
      </c>
      <c r="B575" s="386">
        <v>91940</v>
      </c>
      <c r="C575" s="386" t="s">
        <v>14476</v>
      </c>
      <c r="D575" s="1314" t="str">
        <f>IFERROR(VLOOKUP($B575,'24.08_ND'!$A$4833:$D$12369,2,0),IFERROR(VLOOKUP($B575,'03-CP'!$C$5:$H$4646,2,0),""))</f>
        <v>CAIXA RETANGULAR 4" X 2" MÉDIA (1,30 M DO PISO), PVC, INSTALADA EM PAREDE - FORNECIMENTO E INSTALAÇÃO. AF_03/2023</v>
      </c>
      <c r="E575" s="1315" t="str">
        <f>IFERROR(VLOOKUP($B575,'24.08_ND'!$A:$D,3,0),IFERROR(VLOOKUP($B575,'03-CP'!$C$5:$H$4646,3,0),""))</f>
        <v>UN</v>
      </c>
      <c r="F575" s="389">
        <v>21</v>
      </c>
      <c r="G575" s="1244"/>
      <c r="H575" s="1244"/>
      <c r="I575" s="1409"/>
      <c r="J575" s="1506"/>
      <c r="K575" s="262"/>
      <c r="L575" s="386"/>
      <c r="M575" s="262"/>
      <c r="N575" s="262"/>
      <c r="O575" s="262"/>
      <c r="P575" s="262"/>
      <c r="Q575" s="262"/>
      <c r="R575" s="262"/>
      <c r="S575" s="262"/>
      <c r="T575" s="262"/>
      <c r="U575" s="262"/>
      <c r="V575" s="262"/>
      <c r="W575" s="262"/>
      <c r="X575" s="262"/>
      <c r="Y575" s="262"/>
      <c r="Z575" s="262"/>
    </row>
    <row r="576" spans="1:26" ht="25.5" outlineLevel="1">
      <c r="A576" s="247" t="s">
        <v>13074</v>
      </c>
      <c r="B576" s="386">
        <v>91941</v>
      </c>
      <c r="C576" s="386" t="s">
        <v>14476</v>
      </c>
      <c r="D576" s="1314" t="str">
        <f>IFERROR(VLOOKUP($B576,'24.08_ND'!$A$4833:$D$12369,2,0),IFERROR(VLOOKUP($B576,'03-CP'!$C$5:$H$4646,2,0),""))</f>
        <v>CAIXA RETANGULAR 4" X 2" BAIXA (0,30 M DO PISO), PVC, INSTALADA EM PAREDE - FORNECIMENTO E INSTALAÇÃO. AF_03/2023</v>
      </c>
      <c r="E576" s="1315" t="str">
        <f>IFERROR(VLOOKUP($B576,'24.08_ND'!$A:$D,3,0),IFERROR(VLOOKUP($B576,'03-CP'!$C$5:$H$4646,3,0),""))</f>
        <v>UN</v>
      </c>
      <c r="F576" s="389">
        <v>14</v>
      </c>
      <c r="G576" s="1244"/>
      <c r="H576" s="1244"/>
      <c r="I576" s="1409"/>
      <c r="J576" s="1506"/>
      <c r="K576" s="262"/>
      <c r="L576" s="386"/>
      <c r="M576" s="262"/>
      <c r="N576" s="262"/>
      <c r="O576" s="262"/>
      <c r="P576" s="262"/>
      <c r="Q576" s="262"/>
      <c r="R576" s="262"/>
      <c r="S576" s="262"/>
      <c r="T576" s="262"/>
      <c r="U576" s="262"/>
      <c r="V576" s="262"/>
      <c r="W576" s="262"/>
      <c r="X576" s="262"/>
      <c r="Y576" s="262"/>
      <c r="Z576" s="262"/>
    </row>
    <row r="577" spans="1:26" ht="25.5" outlineLevel="1">
      <c r="A577" s="247" t="s">
        <v>13075</v>
      </c>
      <c r="B577" s="386" t="s">
        <v>15164</v>
      </c>
      <c r="C577" s="386" t="s">
        <v>14472</v>
      </c>
      <c r="D577" s="1314" t="str">
        <f>IFERROR(VLOOKUP($B577,'24.08_ND'!$A$4833:$D$12369,2,0),IFERROR(VLOOKUP($B577,'03-CP'!$C$5:$H$4646,2,0),""))</f>
        <v>CAIXA DE PASSAGEM METÁLICA DE EMBUTIR ATÉ 30X30X12 CM – FORNECIMENTO E INSTALAÇÃO</v>
      </c>
      <c r="E577" s="1315" t="str">
        <f>IFERROR(VLOOKUP($B577,'24.08_ND'!$A:$D,3,0),IFERROR(VLOOKUP($B577,'03-CP'!$C$5:$H$4646,3,0),""))</f>
        <v>UN</v>
      </c>
      <c r="F577" s="389">
        <v>1</v>
      </c>
      <c r="G577" s="1244"/>
      <c r="H577" s="1244"/>
      <c r="I577" s="1409"/>
      <c r="J577" s="1506"/>
      <c r="K577" s="262"/>
      <c r="L577" s="386"/>
      <c r="M577" s="262"/>
      <c r="N577" s="262"/>
      <c r="O577" s="262"/>
      <c r="P577" s="262"/>
      <c r="Q577" s="262"/>
      <c r="R577" s="262"/>
      <c r="S577" s="262"/>
      <c r="T577" s="262"/>
      <c r="U577" s="262"/>
      <c r="V577" s="262"/>
      <c r="W577" s="262"/>
      <c r="X577" s="262"/>
      <c r="Y577" s="262"/>
      <c r="Z577" s="262"/>
    </row>
    <row r="578" spans="1:26" ht="25.5" outlineLevel="1">
      <c r="A578" s="247" t="s">
        <v>13076</v>
      </c>
      <c r="B578" s="386">
        <v>100556</v>
      </c>
      <c r="C578" s="386" t="s">
        <v>14476</v>
      </c>
      <c r="D578" s="1314" t="str">
        <f>IFERROR(VLOOKUP($B578,'24.08_ND'!$A$4833:$D$12369,2,0),IFERROR(VLOOKUP($B578,'03-CP'!$C$5:$H$4646,2,0),""))</f>
        <v>CAIXA DE PASSAGEM PARA TELEFONE 15X15X10CM (SOBREPOR), FORNECIMENTO E INSTALACAO. AF_11/2019</v>
      </c>
      <c r="E578" s="1315" t="str">
        <f>IFERROR(VLOOKUP($B578,'24.08_ND'!$A:$D,3,0),IFERROR(VLOOKUP($B578,'03-CP'!$C$5:$H$4646,3,0),""))</f>
        <v>UN</v>
      </c>
      <c r="F578" s="389">
        <v>2</v>
      </c>
      <c r="G578" s="1244"/>
      <c r="H578" s="1244"/>
      <c r="I578" s="1409"/>
      <c r="J578" s="1506"/>
      <c r="K578" s="262"/>
      <c r="L578" s="386"/>
      <c r="M578" s="262"/>
      <c r="N578" s="262"/>
      <c r="O578" s="262"/>
      <c r="P578" s="262"/>
      <c r="Q578" s="262"/>
      <c r="R578" s="262"/>
      <c r="S578" s="262"/>
      <c r="T578" s="262"/>
      <c r="U578" s="262"/>
      <c r="V578" s="262"/>
      <c r="W578" s="262"/>
      <c r="X578" s="262"/>
      <c r="Y578" s="262"/>
      <c r="Z578" s="262"/>
    </row>
    <row r="579" spans="1:26" ht="25.5" outlineLevel="1">
      <c r="A579" s="247" t="s">
        <v>13077</v>
      </c>
      <c r="B579" s="386">
        <v>95817</v>
      </c>
      <c r="C579" s="386" t="s">
        <v>14476</v>
      </c>
      <c r="D579" s="1314" t="str">
        <f>IFERROR(VLOOKUP($B579,'24.08_ND'!$A$4833:$D$12369,2,0),IFERROR(VLOOKUP($B579,'03-CP'!$C$5:$H$4646,2,0),""))</f>
        <v>CONDULETE DE PVC, TIPO X, PARA ELETRODUTO DE PVC SOLDÁVEL DN 25 MM (3/4"), APARENTE - FORNECIMENTO E INSTALAÇÃO. AF_10/2022</v>
      </c>
      <c r="E579" s="1315" t="str">
        <f>IFERROR(VLOOKUP($B579,'24.08_ND'!$A:$D,3,0),IFERROR(VLOOKUP($B579,'03-CP'!$C$5:$H$4646,3,0),""))</f>
        <v>UN</v>
      </c>
      <c r="F579" s="389">
        <v>32</v>
      </c>
      <c r="G579" s="1244"/>
      <c r="H579" s="1244"/>
      <c r="I579" s="1409"/>
      <c r="J579" s="1506"/>
      <c r="K579" s="262"/>
      <c r="L579" s="386"/>
      <c r="M579" s="262"/>
      <c r="N579" s="262"/>
      <c r="O579" s="262"/>
      <c r="P579" s="262"/>
      <c r="Q579" s="262"/>
      <c r="R579" s="262"/>
      <c r="S579" s="262"/>
      <c r="T579" s="262"/>
      <c r="U579" s="262"/>
      <c r="V579" s="262"/>
      <c r="W579" s="262"/>
      <c r="X579" s="262"/>
      <c r="Y579" s="262"/>
      <c r="Z579" s="262"/>
    </row>
    <row r="580" spans="1:26" ht="12.75">
      <c r="A580" s="250" t="s">
        <v>13078</v>
      </c>
      <c r="B580" s="1309"/>
      <c r="C580" s="1497"/>
      <c r="D580" s="1498" t="s">
        <v>16336</v>
      </c>
      <c r="E580" s="234"/>
      <c r="F580" s="1311"/>
      <c r="G580" s="236"/>
      <c r="H580" s="236"/>
      <c r="I580" s="1499"/>
      <c r="J580" s="236"/>
      <c r="K580" s="262"/>
      <c r="L580" s="386"/>
      <c r="M580" s="262"/>
      <c r="N580" s="262"/>
      <c r="O580" s="262"/>
      <c r="P580" s="262"/>
      <c r="Q580" s="262"/>
      <c r="R580" s="262"/>
      <c r="S580" s="262"/>
      <c r="T580" s="262"/>
      <c r="U580" s="262"/>
      <c r="V580" s="262"/>
      <c r="W580" s="262"/>
      <c r="X580" s="262"/>
      <c r="Y580" s="262"/>
      <c r="Z580" s="262"/>
    </row>
    <row r="581" spans="1:26" ht="25.5" outlineLevel="1">
      <c r="A581" s="247" t="s">
        <v>13079</v>
      </c>
      <c r="B581" s="386">
        <v>91953</v>
      </c>
      <c r="C581" s="386" t="s">
        <v>14476</v>
      </c>
      <c r="D581" s="1314" t="str">
        <f>IFERROR(VLOOKUP($B581,'24.08_ND'!$A$4833:$D$12369,2,0),IFERROR(VLOOKUP($B581,'03-CP'!$C$5:$H$4646,2,0),""))</f>
        <v>INTERRUPTOR SIMPLES (1 MÓDULO), 10A/250V, INCLUINDO SUPORTE E PLACA - FORNECIMENTO E INSTALAÇÃO. AF_03/2023</v>
      </c>
      <c r="E581" s="1315" t="str">
        <f>IFERROR(VLOOKUP($B581,'24.08_ND'!$A:$D,3,0),IFERROR(VLOOKUP($B581,'03-CP'!$C$5:$H$4646,3,0),""))</f>
        <v>UN</v>
      </c>
      <c r="F581" s="389">
        <v>8</v>
      </c>
      <c r="G581" s="1244"/>
      <c r="H581" s="1244"/>
      <c r="I581" s="1409"/>
      <c r="J581" s="1506"/>
      <c r="K581" s="262"/>
      <c r="L581" s="386"/>
      <c r="M581" s="262"/>
      <c r="N581" s="262"/>
      <c r="O581" s="262"/>
      <c r="P581" s="262"/>
      <c r="Q581" s="262"/>
      <c r="R581" s="262"/>
      <c r="S581" s="262"/>
      <c r="T581" s="262"/>
      <c r="U581" s="262"/>
      <c r="V581" s="262"/>
      <c r="W581" s="262"/>
      <c r="X581" s="262"/>
      <c r="Y581" s="262"/>
      <c r="Z581" s="262"/>
    </row>
    <row r="582" spans="1:26" ht="25.5" outlineLevel="1">
      <c r="A582" s="247" t="s">
        <v>13080</v>
      </c>
      <c r="B582" s="386">
        <v>91959</v>
      </c>
      <c r="C582" s="386" t="s">
        <v>14476</v>
      </c>
      <c r="D582" s="1314" t="str">
        <f>IFERROR(VLOOKUP($B582,'24.08_ND'!$A$4833:$D$12369,2,0),IFERROR(VLOOKUP($B582,'03-CP'!$C$5:$H$4646,2,0),""))</f>
        <v>INTERRUPTOR SIMPLES (2 MÓDULOS), 10A/250V, INCLUINDO SUPORTE E PLACA - FORNECIMENTO E INSTALAÇÃO. AF_03/2023</v>
      </c>
      <c r="E582" s="1315" t="str">
        <f>IFERROR(VLOOKUP($B582,'24.08_ND'!$A:$D,3,0),IFERROR(VLOOKUP($B582,'03-CP'!$C$5:$H$4646,3,0),""))</f>
        <v>UN</v>
      </c>
      <c r="F582" s="389">
        <v>1</v>
      </c>
      <c r="G582" s="1244"/>
      <c r="H582" s="1244"/>
      <c r="I582" s="1409"/>
      <c r="J582" s="1506"/>
      <c r="K582" s="262"/>
      <c r="L582" s="386"/>
      <c r="M582" s="262"/>
      <c r="N582" s="262"/>
      <c r="O582" s="262"/>
      <c r="P582" s="262"/>
      <c r="Q582" s="262"/>
      <c r="R582" s="262"/>
      <c r="S582" s="262"/>
      <c r="T582" s="262"/>
      <c r="U582" s="262"/>
      <c r="V582" s="262"/>
      <c r="W582" s="262"/>
      <c r="X582" s="262"/>
      <c r="Y582" s="262"/>
      <c r="Z582" s="262"/>
    </row>
    <row r="583" spans="1:26" ht="25.5" outlineLevel="1">
      <c r="A583" s="247" t="s">
        <v>13081</v>
      </c>
      <c r="B583" s="386">
        <v>91967</v>
      </c>
      <c r="C583" s="386" t="s">
        <v>14476</v>
      </c>
      <c r="D583" s="1314" t="str">
        <f>IFERROR(VLOOKUP($B583,'24.08_ND'!$A$4833:$D$12369,2,0),IFERROR(VLOOKUP($B583,'03-CP'!$C$5:$H$4646,2,0),""))</f>
        <v>INTERRUPTOR SIMPLES (3 MÓDULOS), 10A/250V, INCLUINDO SUPORTE E PLACA - FORNECIMENTO E INSTALAÇÃO. AF_03/2023</v>
      </c>
      <c r="E583" s="1315" t="str">
        <f>IFERROR(VLOOKUP($B583,'24.08_ND'!$A:$D,3,0),IFERROR(VLOOKUP($B583,'03-CP'!$C$5:$H$4646,3,0),""))</f>
        <v>UN</v>
      </c>
      <c r="F583" s="389">
        <v>1</v>
      </c>
      <c r="G583" s="1244"/>
      <c r="H583" s="1244"/>
      <c r="I583" s="1409"/>
      <c r="J583" s="1506"/>
      <c r="K583" s="262"/>
      <c r="L583" s="386"/>
      <c r="M583" s="262"/>
      <c r="N583" s="262"/>
      <c r="O583" s="262"/>
      <c r="P583" s="262"/>
      <c r="Q583" s="262"/>
      <c r="R583" s="262"/>
      <c r="S583" s="262"/>
      <c r="T583" s="262"/>
      <c r="U583" s="262"/>
      <c r="V583" s="262"/>
      <c r="W583" s="262"/>
      <c r="X583" s="262"/>
      <c r="Y583" s="262"/>
      <c r="Z583" s="262"/>
    </row>
    <row r="584" spans="1:26" ht="38.25" outlineLevel="1">
      <c r="A584" s="247" t="s">
        <v>13082</v>
      </c>
      <c r="B584" s="386">
        <v>91985</v>
      </c>
      <c r="C584" s="386" t="s">
        <v>14476</v>
      </c>
      <c r="D584" s="1314" t="str">
        <f>IFERROR(VLOOKUP($B584,'24.08_ND'!$A$4833:$D$12369,2,0),IFERROR(VLOOKUP($B584,'03-CP'!$C$5:$H$4646,2,0),""))</f>
        <v>INTERRUPTOR PULSADOR CAMPAINHA (1 MÓDULO), 10A/250V, INCLUINDO SUPORTE E PLACA - FORNECIMENTO E INSTALAÇÃO. AF_03/2023</v>
      </c>
      <c r="E584" s="1315" t="str">
        <f>IFERROR(VLOOKUP($B584,'24.08_ND'!$A:$D,3,0),IFERROR(VLOOKUP($B584,'03-CP'!$C$5:$H$4646,3,0),""))</f>
        <v>UN</v>
      </c>
      <c r="F584" s="389">
        <v>2</v>
      </c>
      <c r="G584" s="1244"/>
      <c r="H584" s="1244"/>
      <c r="I584" s="1409"/>
      <c r="J584" s="1506"/>
      <c r="K584" s="262"/>
      <c r="L584" s="386"/>
      <c r="M584" s="262"/>
      <c r="N584" s="262"/>
      <c r="O584" s="262"/>
      <c r="P584" s="262"/>
      <c r="Q584" s="262"/>
      <c r="R584" s="262"/>
      <c r="S584" s="262"/>
      <c r="T584" s="262"/>
      <c r="U584" s="262"/>
      <c r="V584" s="262"/>
      <c r="W584" s="262"/>
      <c r="X584" s="262"/>
      <c r="Y584" s="262"/>
      <c r="Z584" s="262"/>
    </row>
    <row r="585" spans="1:26" ht="25.5" outlineLevel="1">
      <c r="A585" s="247" t="s">
        <v>13083</v>
      </c>
      <c r="B585" s="386">
        <v>91987</v>
      </c>
      <c r="C585" s="386" t="s">
        <v>14476</v>
      </c>
      <c r="D585" s="1314" t="str">
        <f>IFERROR(VLOOKUP($B585,'24.08_ND'!$A$4833:$D$12369,2,0),IFERROR(VLOOKUP($B585,'03-CP'!$C$5:$H$4646,2,0),""))</f>
        <v>CAMPAINHA CIGARRA (1 MÓDULO), 10A/250V, INCLUINDO SUPORTE E PLACA - FORNECIMENTO E INSTALAÇÃO. AF_03/2023</v>
      </c>
      <c r="E585" s="1315" t="str">
        <f>IFERROR(VLOOKUP($B585,'24.08_ND'!$A:$D,3,0),IFERROR(VLOOKUP($B585,'03-CP'!$C$5:$H$4646,3,0),""))</f>
        <v>UN</v>
      </c>
      <c r="F585" s="389">
        <v>2</v>
      </c>
      <c r="G585" s="1244"/>
      <c r="H585" s="1244"/>
      <c r="I585" s="1409"/>
      <c r="J585" s="1506"/>
      <c r="K585" s="262"/>
      <c r="L585" s="386"/>
      <c r="M585" s="262"/>
      <c r="N585" s="262"/>
      <c r="O585" s="262"/>
      <c r="P585" s="262"/>
      <c r="Q585" s="262"/>
      <c r="R585" s="262"/>
      <c r="S585" s="262"/>
      <c r="T585" s="262"/>
      <c r="U585" s="262"/>
      <c r="V585" s="262"/>
      <c r="W585" s="262"/>
      <c r="X585" s="262"/>
      <c r="Y585" s="262"/>
      <c r="Z585" s="262"/>
    </row>
    <row r="586" spans="1:26" ht="12.75" outlineLevel="1">
      <c r="A586" s="247" t="s">
        <v>13084</v>
      </c>
      <c r="B586" s="386" t="s">
        <v>15145</v>
      </c>
      <c r="C586" s="386" t="s">
        <v>14472</v>
      </c>
      <c r="D586" s="1314" t="str">
        <f>IFERROR(VLOOKUP($B586,'24.08_ND'!$A$4833:$D$12369,2,0),IFERROR(VLOOKUP($B586,'03-CP'!$C$5:$H$4646,2,0),""))</f>
        <v>SUPORTE E PLACA CEGA 4X2'' - FORNECIMENTO E INSTALAÇÃO</v>
      </c>
      <c r="E586" s="1315" t="str">
        <f>IFERROR(VLOOKUP($B586,'24.08_ND'!$A:$D,3,0),IFERROR(VLOOKUP($B586,'03-CP'!$C$5:$H$4646,3,0),""))</f>
        <v>UN</v>
      </c>
      <c r="F586" s="389">
        <v>25</v>
      </c>
      <c r="G586" s="1244"/>
      <c r="H586" s="1244"/>
      <c r="I586" s="1409"/>
      <c r="J586" s="1506"/>
      <c r="K586" s="262"/>
      <c r="L586" s="386"/>
      <c r="M586" s="262"/>
      <c r="N586" s="262"/>
      <c r="O586" s="262"/>
      <c r="P586" s="262"/>
      <c r="Q586" s="262"/>
      <c r="R586" s="262"/>
      <c r="S586" s="262"/>
      <c r="T586" s="262"/>
      <c r="U586" s="262"/>
      <c r="V586" s="262"/>
      <c r="W586" s="262"/>
      <c r="X586" s="262"/>
      <c r="Y586" s="262"/>
      <c r="Z586" s="262"/>
    </row>
    <row r="587" spans="1:26" ht="25.5" outlineLevel="1">
      <c r="A587" s="247" t="s">
        <v>13085</v>
      </c>
      <c r="B587" s="386">
        <v>91992</v>
      </c>
      <c r="C587" s="386" t="s">
        <v>14476</v>
      </c>
      <c r="D587" s="1314" t="str">
        <f>IFERROR(VLOOKUP($B587,'24.08_ND'!$A$4833:$D$12369,2,0),IFERROR(VLOOKUP($B587,'03-CP'!$C$5:$H$4646,2,0),""))</f>
        <v>TOMADA ALTA DE EMBUTIR (1 MÓDULO), 2P+T 10 A, INCLUINDO SUPORTE E PLACA - FORNECIMENTO E INSTALAÇÃO. AF_03/2023</v>
      </c>
      <c r="E587" s="1315" t="str">
        <f>IFERROR(VLOOKUP($B587,'24.08_ND'!$A:$D,3,0),IFERROR(VLOOKUP($B587,'03-CP'!$C$5:$H$4646,3,0),""))</f>
        <v>UN</v>
      </c>
      <c r="F587" s="389">
        <v>3</v>
      </c>
      <c r="G587" s="1244"/>
      <c r="H587" s="1244"/>
      <c r="I587" s="1409"/>
      <c r="J587" s="1506"/>
      <c r="K587" s="262"/>
      <c r="L587" s="386"/>
      <c r="M587" s="262"/>
      <c r="N587" s="262"/>
      <c r="O587" s="262"/>
      <c r="P587" s="262"/>
      <c r="Q587" s="262"/>
      <c r="R587" s="262"/>
      <c r="S587" s="262"/>
      <c r="T587" s="262"/>
      <c r="U587" s="262"/>
      <c r="V587" s="262"/>
      <c r="W587" s="262"/>
      <c r="X587" s="262"/>
      <c r="Y587" s="262"/>
      <c r="Z587" s="262"/>
    </row>
    <row r="588" spans="1:26" ht="25.5" outlineLevel="1">
      <c r="A588" s="247" t="s">
        <v>13086</v>
      </c>
      <c r="B588" s="386">
        <v>91996</v>
      </c>
      <c r="C588" s="386" t="s">
        <v>14476</v>
      </c>
      <c r="D588" s="1314" t="str">
        <f>IFERROR(VLOOKUP($B588,'24.08_ND'!$A$4833:$D$12369,2,0),IFERROR(VLOOKUP($B588,'03-CP'!$C$5:$H$4646,2,0),""))</f>
        <v>TOMADA MÉDIA DE EMBUTIR (1 MÓDULO), 2P+T 10 A, INCLUINDO SUPORTE E PLACA - FORNECIMENTO E INSTALAÇÃO. AF_03/2023</v>
      </c>
      <c r="E588" s="1315" t="str">
        <f>IFERROR(VLOOKUP($B588,'24.08_ND'!$A:$D,3,0),IFERROR(VLOOKUP($B588,'03-CP'!$C$5:$H$4646,3,0),""))</f>
        <v>UN</v>
      </c>
      <c r="F588" s="389">
        <v>5</v>
      </c>
      <c r="G588" s="1244"/>
      <c r="H588" s="1244"/>
      <c r="I588" s="1409"/>
      <c r="J588" s="1506"/>
      <c r="K588" s="262"/>
      <c r="L588" s="386"/>
      <c r="M588" s="262"/>
      <c r="N588" s="262"/>
      <c r="O588" s="262"/>
      <c r="P588" s="262"/>
      <c r="Q588" s="262"/>
      <c r="R588" s="262"/>
      <c r="S588" s="262"/>
      <c r="T588" s="262"/>
      <c r="U588" s="262"/>
      <c r="V588" s="262"/>
      <c r="W588" s="262"/>
      <c r="X588" s="262"/>
      <c r="Y588" s="262"/>
      <c r="Z588" s="262"/>
    </row>
    <row r="589" spans="1:26" ht="25.5" outlineLevel="1">
      <c r="A589" s="247" t="s">
        <v>13087</v>
      </c>
      <c r="B589" s="386">
        <v>92004</v>
      </c>
      <c r="C589" s="386" t="s">
        <v>14476</v>
      </c>
      <c r="D589" s="1314" t="str">
        <f>IFERROR(VLOOKUP($B589,'24.08_ND'!$A$4833:$D$12369,2,0),IFERROR(VLOOKUP($B589,'03-CP'!$C$5:$H$4646,2,0),""))</f>
        <v>TOMADA MÉDIA DE EMBUTIR (2 MÓDULOS), 2P+T 10 A, INCLUINDO SUPORTE E PLACA - FORNECIMENTO E INSTALAÇÃO. AF_03/2023</v>
      </c>
      <c r="E589" s="1315" t="str">
        <f>IFERROR(VLOOKUP($B589,'24.08_ND'!$A:$D,3,0),IFERROR(VLOOKUP($B589,'03-CP'!$C$5:$H$4646,3,0),""))</f>
        <v>UN</v>
      </c>
      <c r="F589" s="389">
        <v>6</v>
      </c>
      <c r="G589" s="1244"/>
      <c r="H589" s="1244"/>
      <c r="I589" s="1409"/>
      <c r="J589" s="1506"/>
      <c r="K589" s="262"/>
      <c r="L589" s="386"/>
      <c r="M589" s="262"/>
      <c r="N589" s="262"/>
      <c r="O589" s="262"/>
      <c r="P589" s="262"/>
      <c r="Q589" s="262"/>
      <c r="R589" s="262"/>
      <c r="S589" s="262"/>
      <c r="T589" s="262"/>
      <c r="U589" s="262"/>
      <c r="V589" s="262"/>
      <c r="W589" s="262"/>
      <c r="X589" s="262"/>
      <c r="Y589" s="262"/>
      <c r="Z589" s="262"/>
    </row>
    <row r="590" spans="1:26" ht="25.5" outlineLevel="1">
      <c r="A590" s="247" t="s">
        <v>13088</v>
      </c>
      <c r="B590" s="386">
        <v>92000</v>
      </c>
      <c r="C590" s="386" t="s">
        <v>14476</v>
      </c>
      <c r="D590" s="1314" t="str">
        <f>IFERROR(VLOOKUP($B590,'24.08_ND'!$A$4833:$D$12369,2,0),IFERROR(VLOOKUP($B590,'03-CP'!$C$5:$H$4646,2,0),""))</f>
        <v>TOMADA BAIXA DE EMBUTIR (1 MÓDULO), 2P+T 10 A, INCLUINDO SUPORTE E PLACA - FORNECIMENTO E INSTALAÇÃO. AF_03/2023</v>
      </c>
      <c r="E590" s="1315" t="str">
        <f>IFERROR(VLOOKUP($B590,'24.08_ND'!$A:$D,3,0),IFERROR(VLOOKUP($B590,'03-CP'!$C$5:$H$4646,3,0),""))</f>
        <v>UN</v>
      </c>
      <c r="F590" s="389">
        <v>11</v>
      </c>
      <c r="G590" s="1244"/>
      <c r="H590" s="1244"/>
      <c r="I590" s="1409"/>
      <c r="J590" s="1506"/>
      <c r="K590" s="262"/>
      <c r="L590" s="386"/>
      <c r="M590" s="262"/>
      <c r="N590" s="262"/>
      <c r="O590" s="262"/>
      <c r="P590" s="262"/>
      <c r="Q590" s="262"/>
      <c r="R590" s="262"/>
      <c r="S590" s="262"/>
      <c r="T590" s="262"/>
      <c r="U590" s="262"/>
      <c r="V590" s="262"/>
      <c r="W590" s="262"/>
      <c r="X590" s="262"/>
      <c r="Y590" s="262"/>
      <c r="Z590" s="262"/>
    </row>
    <row r="591" spans="1:26" ht="25.5" outlineLevel="1">
      <c r="A591" s="247" t="s">
        <v>13089</v>
      </c>
      <c r="B591" s="386">
        <v>92008</v>
      </c>
      <c r="C591" s="386" t="s">
        <v>14476</v>
      </c>
      <c r="D591" s="1314" t="str">
        <f>IFERROR(VLOOKUP($B591,'24.08_ND'!$A$4833:$D$12369,2,0),IFERROR(VLOOKUP($B591,'03-CP'!$C$5:$H$4646,2,0),""))</f>
        <v>TOMADA BAIXA DE EMBUTIR (2 MÓDULOS), 2P+T 10 A, INCLUINDO SUPORTE E PLACA - FORNECIMENTO E INSTALAÇÃO. AF_03/2023</v>
      </c>
      <c r="E591" s="1315" t="str">
        <f>IFERROR(VLOOKUP($B591,'24.08_ND'!$A:$D,3,0),IFERROR(VLOOKUP($B591,'03-CP'!$C$5:$H$4646,3,0),""))</f>
        <v>UN</v>
      </c>
      <c r="F591" s="389">
        <v>1</v>
      </c>
      <c r="G591" s="1244"/>
      <c r="H591" s="1244"/>
      <c r="I591" s="1409"/>
      <c r="J591" s="1506"/>
      <c r="K591" s="262"/>
      <c r="L591" s="386"/>
      <c r="M591" s="262"/>
      <c r="N591" s="262"/>
      <c r="O591" s="262"/>
      <c r="P591" s="262"/>
      <c r="Q591" s="262"/>
      <c r="R591" s="262"/>
      <c r="S591" s="262"/>
      <c r="T591" s="262"/>
      <c r="U591" s="262"/>
      <c r="V591" s="262"/>
      <c r="W591" s="262"/>
      <c r="X591" s="262"/>
      <c r="Y591" s="262"/>
      <c r="Z591" s="262"/>
    </row>
    <row r="592" spans="1:26" ht="38.25" outlineLevel="1">
      <c r="A592" s="247" t="s">
        <v>13090</v>
      </c>
      <c r="B592" s="386" t="s">
        <v>15147</v>
      </c>
      <c r="C592" s="386" t="s">
        <v>14472</v>
      </c>
      <c r="D592" s="1314" t="str">
        <f>IFERROR(VLOOKUP($B592,'24.08_ND'!$A$4833:$D$12369,2,0),IFERROR(VLOOKUP($B592,'03-CP'!$C$5:$H$4646,2,0),""))</f>
        <v>CONDULETE DE ALUMÍNIO, TIPO E, PARA ELETRODUTO DE AÇO GALVANIZADO DN 25 MM (1''), APARENTE - COM TOMADA 2P+T 10A - FORNECIMENTO E INSTALAÇÃO.</v>
      </c>
      <c r="E592" s="1315" t="str">
        <f>IFERROR(VLOOKUP($B592,'24.08_ND'!$A:$D,3,0),IFERROR(VLOOKUP($B592,'03-CP'!$C$5:$H$4646,3,0),""))</f>
        <v>UN</v>
      </c>
      <c r="F592" s="389">
        <v>1</v>
      </c>
      <c r="G592" s="1244"/>
      <c r="H592" s="1244"/>
      <c r="I592" s="1409"/>
      <c r="J592" s="1506"/>
      <c r="K592" s="262"/>
      <c r="L592" s="386"/>
      <c r="M592" s="262"/>
      <c r="N592" s="262"/>
      <c r="O592" s="262"/>
      <c r="P592" s="262"/>
      <c r="Q592" s="262"/>
      <c r="R592" s="262"/>
      <c r="S592" s="262"/>
      <c r="T592" s="262"/>
      <c r="U592" s="262"/>
      <c r="V592" s="262"/>
      <c r="W592" s="262"/>
      <c r="X592" s="262"/>
      <c r="Y592" s="262"/>
      <c r="Z592" s="262"/>
    </row>
    <row r="593" spans="1:26" ht="25.5" outlineLevel="1">
      <c r="A593" s="247" t="s">
        <v>13091</v>
      </c>
      <c r="B593" s="386">
        <v>97596</v>
      </c>
      <c r="C593" s="386" t="s">
        <v>14476</v>
      </c>
      <c r="D593" s="1314" t="str">
        <f>IFERROR(VLOOKUP($B593,'24.08_ND'!$A$4833:$D$12369,2,0),IFERROR(VLOOKUP($B593,'03-CP'!$C$5:$H$4646,2,0),""))</f>
        <v>SENSOR DE PRESENÇA SEM FOTOCÉLULA, FIXAÇÃO EM PAREDE - FORNECIMENTO E INSTALAÇÃO. AF_02/2020</v>
      </c>
      <c r="E593" s="1315" t="str">
        <f>IFERROR(VLOOKUP($B593,'24.08_ND'!$A:$D,3,0),IFERROR(VLOOKUP($B593,'03-CP'!$C$5:$H$4646,3,0),""))</f>
        <v>UN</v>
      </c>
      <c r="F593" s="389">
        <v>3</v>
      </c>
      <c r="G593" s="1244"/>
      <c r="H593" s="1244"/>
      <c r="I593" s="1409"/>
      <c r="J593" s="1506"/>
      <c r="K593" s="262"/>
      <c r="L593" s="386"/>
      <c r="M593" s="262"/>
      <c r="N593" s="262"/>
      <c r="O593" s="262"/>
      <c r="P593" s="262"/>
      <c r="Q593" s="262"/>
      <c r="R593" s="262"/>
      <c r="S593" s="262"/>
      <c r="T593" s="262"/>
      <c r="U593" s="262"/>
      <c r="V593" s="262"/>
      <c r="W593" s="262"/>
      <c r="X593" s="262"/>
      <c r="Y593" s="262"/>
      <c r="Z593" s="262"/>
    </row>
    <row r="594" spans="1:26" ht="12.75">
      <c r="A594" s="250" t="s">
        <v>13092</v>
      </c>
      <c r="B594" s="1309"/>
      <c r="C594" s="1497"/>
      <c r="D594" s="1498" t="s">
        <v>16337</v>
      </c>
      <c r="E594" s="234"/>
      <c r="F594" s="1311"/>
      <c r="G594" s="236"/>
      <c r="H594" s="236"/>
      <c r="I594" s="1499"/>
      <c r="J594" s="1506"/>
      <c r="K594" s="262"/>
      <c r="L594" s="386"/>
      <c r="M594" s="262"/>
      <c r="N594" s="262"/>
      <c r="O594" s="262"/>
      <c r="P594" s="262"/>
      <c r="Q594" s="262"/>
      <c r="R594" s="262"/>
      <c r="S594" s="262"/>
      <c r="T594" s="262"/>
      <c r="U594" s="262"/>
      <c r="V594" s="262"/>
      <c r="W594" s="262"/>
      <c r="X594" s="262"/>
      <c r="Y594" s="262"/>
      <c r="Z594" s="262"/>
    </row>
    <row r="595" spans="1:26" ht="25.5" outlineLevel="1">
      <c r="A595" s="247" t="s">
        <v>13093</v>
      </c>
      <c r="B595" s="386" t="s">
        <v>15150</v>
      </c>
      <c r="C595" s="386" t="s">
        <v>14472</v>
      </c>
      <c r="D595" s="1314" t="str">
        <f>IFERROR(VLOOKUP($B595,'24.08_ND'!$A$4833:$D$12369,2,0),IFERROR(VLOOKUP($B595,'03-CP'!$C$5:$H$4646,2,0),""))</f>
        <v>CABO DE COBRE PP 2 X 2,5 MM2, 450/750V – FORNECIMENTO E INSTALAÇÃO</v>
      </c>
      <c r="E595" s="1315" t="str">
        <f>IFERROR(VLOOKUP($B595,'24.08_ND'!$A:$D,3,0),IFERROR(VLOOKUP($B595,'03-CP'!$C$5:$H$4646,3,0),""))</f>
        <v>M</v>
      </c>
      <c r="F595" s="389">
        <v>290</v>
      </c>
      <c r="G595" s="1244"/>
      <c r="H595" s="1244"/>
      <c r="I595" s="1409"/>
      <c r="J595" s="1506"/>
      <c r="K595" s="262"/>
      <c r="L595" s="386"/>
      <c r="M595" s="262"/>
      <c r="N595" s="262"/>
      <c r="O595" s="262"/>
      <c r="P595" s="262"/>
      <c r="Q595" s="262"/>
      <c r="R595" s="262"/>
      <c r="S595" s="262"/>
      <c r="T595" s="262"/>
      <c r="U595" s="262"/>
      <c r="V595" s="262"/>
      <c r="W595" s="262"/>
      <c r="X595" s="262"/>
      <c r="Y595" s="262"/>
      <c r="Z595" s="262"/>
    </row>
    <row r="596" spans="1:26" ht="25.5" outlineLevel="1">
      <c r="A596" s="247" t="s">
        <v>13094</v>
      </c>
      <c r="B596" s="386">
        <v>91926</v>
      </c>
      <c r="C596" s="386" t="s">
        <v>14476</v>
      </c>
      <c r="D596" s="1314" t="str">
        <f>IFERROR(VLOOKUP($B596,'24.08_ND'!$A$4833:$D$12369,2,0),IFERROR(VLOOKUP($B596,'03-CP'!$C$5:$H$4646,2,0),""))</f>
        <v>CABO DE COBRE FLEXÍVEL ISOLADO, 2,5 MM², ANTI-CHAMA 450/750 V, PARA CIRCUITOS TERMINAIS - FORNECIMENTO E INSTALAÇÃO. AF_03/2023</v>
      </c>
      <c r="E596" s="1315" t="str">
        <f>IFERROR(VLOOKUP($B596,'24.08_ND'!$A:$D,3,0),IFERROR(VLOOKUP($B596,'03-CP'!$C$5:$H$4646,3,0),""))</f>
        <v>M</v>
      </c>
      <c r="F596" s="389">
        <v>475</v>
      </c>
      <c r="G596" s="1244"/>
      <c r="H596" s="1244"/>
      <c r="I596" s="1409"/>
      <c r="J596" s="1506"/>
      <c r="K596" s="262"/>
      <c r="L596" s="386"/>
      <c r="M596" s="262"/>
      <c r="N596" s="262"/>
      <c r="O596" s="262"/>
      <c r="P596" s="262"/>
      <c r="Q596" s="262"/>
      <c r="R596" s="262"/>
      <c r="S596" s="262"/>
      <c r="T596" s="262"/>
      <c r="U596" s="262"/>
      <c r="V596" s="262"/>
      <c r="W596" s="262"/>
      <c r="X596" s="262"/>
      <c r="Y596" s="262"/>
      <c r="Z596" s="262"/>
    </row>
    <row r="597" spans="1:26" ht="25.5" outlineLevel="1">
      <c r="A597" s="247" t="s">
        <v>13095</v>
      </c>
      <c r="B597" s="386">
        <v>91928</v>
      </c>
      <c r="C597" s="386" t="s">
        <v>14476</v>
      </c>
      <c r="D597" s="1314" t="str">
        <f>IFERROR(VLOOKUP($B597,'24.08_ND'!$A$4833:$D$12369,2,0),IFERROR(VLOOKUP($B597,'03-CP'!$C$5:$H$4646,2,0),""))</f>
        <v>CABO DE COBRE FLEXÍVEL ISOLADO, 4 MM², ANTI-CHAMA 450/750 V, PARA CIRCUITOS TERMINAIS - FORNECIMENTO E INSTALAÇÃO. AF_03/2023</v>
      </c>
      <c r="E597" s="1315" t="str">
        <f>IFERROR(VLOOKUP($B597,'24.08_ND'!$A:$D,3,0),IFERROR(VLOOKUP($B597,'03-CP'!$C$5:$H$4646,3,0),""))</f>
        <v>M</v>
      </c>
      <c r="F597" s="389">
        <v>1500</v>
      </c>
      <c r="G597" s="1244"/>
      <c r="H597" s="1244"/>
      <c r="I597" s="1409"/>
      <c r="J597" s="1506"/>
      <c r="K597" s="262"/>
      <c r="L597" s="386"/>
      <c r="M597" s="262"/>
      <c r="N597" s="262"/>
      <c r="O597" s="262"/>
      <c r="P597" s="262"/>
      <c r="Q597" s="262"/>
      <c r="R597" s="262"/>
      <c r="S597" s="262"/>
      <c r="T597" s="262"/>
      <c r="U597" s="262"/>
      <c r="V597" s="262"/>
      <c r="W597" s="262"/>
      <c r="X597" s="262"/>
      <c r="Y597" s="262"/>
      <c r="Z597" s="262"/>
    </row>
    <row r="598" spans="1:26" ht="25.5" outlineLevel="1">
      <c r="A598" s="247" t="s">
        <v>13096</v>
      </c>
      <c r="B598" s="386">
        <v>91933</v>
      </c>
      <c r="C598" s="386" t="s">
        <v>14476</v>
      </c>
      <c r="D598" s="1314" t="str">
        <f>IFERROR(VLOOKUP($B598,'24.08_ND'!$A$4833:$D$12369,2,0),IFERROR(VLOOKUP($B598,'03-CP'!$C$5:$H$4646,2,0),""))</f>
        <v>CABO DE COBRE FLEXÍVEL ISOLADO, 10 MM², ANTI-CHAMA 0,6/1,0 KV, PARA CIRCUITOS TERMINAIS - FORNECIMENTO E INSTALAÇÃO. AF_03/2023</v>
      </c>
      <c r="E598" s="1315" t="str">
        <f>IFERROR(VLOOKUP($B598,'24.08_ND'!$A:$D,3,0),IFERROR(VLOOKUP($B598,'03-CP'!$C$5:$H$4646,3,0),""))</f>
        <v>M</v>
      </c>
      <c r="F598" s="389">
        <v>240</v>
      </c>
      <c r="G598" s="1244"/>
      <c r="H598" s="1244"/>
      <c r="I598" s="1409"/>
      <c r="J598" s="1506"/>
      <c r="K598" s="262"/>
      <c r="L598" s="386"/>
      <c r="M598" s="262"/>
      <c r="N598" s="262"/>
      <c r="O598" s="262"/>
      <c r="P598" s="262"/>
      <c r="Q598" s="262"/>
      <c r="R598" s="262"/>
      <c r="S598" s="262"/>
      <c r="T598" s="262"/>
      <c r="U598" s="262"/>
      <c r="V598" s="262"/>
      <c r="W598" s="262"/>
      <c r="X598" s="262"/>
      <c r="Y598" s="262"/>
      <c r="Z598" s="262"/>
    </row>
    <row r="599" spans="1:26" ht="12.75">
      <c r="A599" s="250" t="s">
        <v>13097</v>
      </c>
      <c r="B599" s="1309"/>
      <c r="C599" s="1497"/>
      <c r="D599" s="1498" t="s">
        <v>16338</v>
      </c>
      <c r="E599" s="234"/>
      <c r="F599" s="1311"/>
      <c r="G599" s="236"/>
      <c r="H599" s="236"/>
      <c r="I599" s="1499"/>
      <c r="J599" s="236"/>
      <c r="K599" s="262"/>
      <c r="L599" s="386"/>
      <c r="M599" s="262"/>
      <c r="N599" s="262"/>
      <c r="O599" s="262"/>
      <c r="P599" s="262"/>
      <c r="Q599" s="262"/>
      <c r="R599" s="262"/>
      <c r="S599" s="262"/>
      <c r="T599" s="262"/>
      <c r="U599" s="262"/>
      <c r="V599" s="262"/>
      <c r="W599" s="262"/>
      <c r="X599" s="262"/>
      <c r="Y599" s="262"/>
      <c r="Z599" s="262"/>
    </row>
    <row r="600" spans="1:26" ht="25.5" outlineLevel="1">
      <c r="A600" s="247" t="s">
        <v>13098</v>
      </c>
      <c r="B600" s="386">
        <v>96985</v>
      </c>
      <c r="C600" s="386" t="s">
        <v>14476</v>
      </c>
      <c r="D600" s="1314" t="str">
        <f>IFERROR(VLOOKUP($B600,'24.08_ND'!$A$4833:$D$12369,2,0),IFERROR(VLOOKUP($B600,'03-CP'!$C$5:$H$4646,2,0),""))</f>
        <v>HASTE DE ATERRAMENTO, DIÂMETRO 5/8", COM 3 METROS - FORNECIMENTO E INSTALAÇÃO. AF_08/2023</v>
      </c>
      <c r="E600" s="1315" t="str">
        <f>IFERROR(VLOOKUP($B600,'24.08_ND'!$A:$D,3,0),IFERROR(VLOOKUP($B600,'03-CP'!$C$5:$H$4646,3,0),""))</f>
        <v>UN</v>
      </c>
      <c r="F600" s="389">
        <v>3</v>
      </c>
      <c r="G600" s="1244"/>
      <c r="H600" s="1244"/>
      <c r="I600" s="1409"/>
      <c r="J600" s="1506"/>
      <c r="K600" s="262"/>
      <c r="L600" s="386"/>
      <c r="M600" s="262"/>
      <c r="N600" s="262"/>
      <c r="O600" s="262"/>
      <c r="P600" s="262"/>
      <c r="Q600" s="262"/>
      <c r="R600" s="262"/>
      <c r="S600" s="262"/>
      <c r="T600" s="262"/>
      <c r="U600" s="262"/>
      <c r="V600" s="262"/>
      <c r="W600" s="262"/>
      <c r="X600" s="262"/>
      <c r="Y600" s="262"/>
      <c r="Z600" s="262"/>
    </row>
    <row r="601" spans="1:26" ht="25.5" outlineLevel="1">
      <c r="A601" s="247" t="s">
        <v>13099</v>
      </c>
      <c r="B601" s="386">
        <v>96977</v>
      </c>
      <c r="C601" s="386" t="s">
        <v>14476</v>
      </c>
      <c r="D601" s="1314" t="str">
        <f>IFERROR(VLOOKUP($B601,'24.08_ND'!$A$4833:$D$12369,2,0),IFERROR(VLOOKUP($B601,'03-CP'!$C$5:$H$4646,2,0),""))</f>
        <v>CORDOALHA DE COBRE NU 50 MM², ENTERRADA - FORNECIMENTO E INSTALAÇÃO. AF_08/2023</v>
      </c>
      <c r="E601" s="1315" t="str">
        <f>IFERROR(VLOOKUP($B601,'24.08_ND'!$A:$D,3,0),IFERROR(VLOOKUP($B601,'03-CP'!$C$5:$H$4646,3,0),""))</f>
        <v>M</v>
      </c>
      <c r="F601" s="389">
        <v>8</v>
      </c>
      <c r="G601" s="1244"/>
      <c r="H601" s="1244"/>
      <c r="I601" s="1409"/>
      <c r="J601" s="1506"/>
      <c r="K601" s="262"/>
      <c r="L601" s="386"/>
      <c r="M601" s="262"/>
      <c r="N601" s="262"/>
      <c r="O601" s="262"/>
      <c r="P601" s="262"/>
      <c r="Q601" s="262"/>
      <c r="R601" s="262"/>
      <c r="S601" s="262"/>
      <c r="T601" s="262"/>
      <c r="U601" s="262"/>
      <c r="V601" s="262"/>
      <c r="W601" s="262"/>
      <c r="X601" s="262"/>
      <c r="Y601" s="262"/>
      <c r="Z601" s="262"/>
    </row>
    <row r="602" spans="1:26" ht="25.5" outlineLevel="1">
      <c r="A602" s="247" t="s">
        <v>13100</v>
      </c>
      <c r="B602" s="386">
        <v>98111</v>
      </c>
      <c r="C602" s="386" t="s">
        <v>14476</v>
      </c>
      <c r="D602" s="1314" t="str">
        <f>IFERROR(VLOOKUP($B602,'24.08_ND'!$A$4833:$D$12369,2,0),IFERROR(VLOOKUP($B602,'03-CP'!$C$5:$H$4646,2,0),""))</f>
        <v>CAIXA DE INSPEÇÃO PARA ATERRAMENTO, CIRCULAR, EM POLIETILENO, DIÂMETRO INTERNO = 0,3 M. AF_12/2020</v>
      </c>
      <c r="E602" s="1315" t="str">
        <f>IFERROR(VLOOKUP($B602,'24.08_ND'!$A:$D,3,0),IFERROR(VLOOKUP($B602,'03-CP'!$C$5:$H$4646,3,0),""))</f>
        <v>UN</v>
      </c>
      <c r="F602" s="389">
        <v>3</v>
      </c>
      <c r="G602" s="1244"/>
      <c r="H602" s="1244"/>
      <c r="I602" s="1409"/>
      <c r="J602" s="1506"/>
      <c r="K602" s="262"/>
      <c r="L602" s="386"/>
      <c r="M602" s="262"/>
      <c r="N602" s="262"/>
      <c r="O602" s="262"/>
      <c r="P602" s="262"/>
      <c r="Q602" s="262"/>
      <c r="R602" s="262"/>
      <c r="S602" s="262"/>
      <c r="T602" s="262"/>
      <c r="U602" s="262"/>
      <c r="V602" s="262"/>
      <c r="W602" s="262"/>
      <c r="X602" s="262"/>
      <c r="Y602" s="262"/>
      <c r="Z602" s="262"/>
    </row>
    <row r="603" spans="1:26" ht="38.25" outlineLevel="1">
      <c r="A603" s="247" t="s">
        <v>13101</v>
      </c>
      <c r="B603" s="386">
        <v>104750</v>
      </c>
      <c r="C603" s="386" t="s">
        <v>14476</v>
      </c>
      <c r="D603" s="1314" t="str">
        <f>IFERROR(VLOOKUP($B603,'24.08_ND'!$A$4833:$D$12369,2,0),IFERROR(VLOOKUP($B603,'03-CP'!$C$5:$H$4646,2,0),""))</f>
        <v>CONECTOR GRAMPO METÁLICO TIPO OLHAL, PARA SPDA, PARA HASTE DE ATERRAMENTO DE 5/8'' E CABOS DE 10 A 50 MM2 - FORNECIMENTO E INSTALAÇÃO. AF_08/2023</v>
      </c>
      <c r="E603" s="1315" t="str">
        <f>IFERROR(VLOOKUP($B603,'24.08_ND'!$A:$D,3,0),IFERROR(VLOOKUP($B603,'03-CP'!$C$5:$H$4646,3,0),""))</f>
        <v>UN</v>
      </c>
      <c r="F603" s="389">
        <v>3</v>
      </c>
      <c r="G603" s="1244"/>
      <c r="H603" s="1244"/>
      <c r="I603" s="1409"/>
      <c r="J603" s="1506"/>
      <c r="K603" s="262"/>
      <c r="L603" s="386"/>
      <c r="M603" s="262"/>
      <c r="N603" s="262"/>
      <c r="O603" s="262"/>
      <c r="P603" s="262"/>
      <c r="Q603" s="262"/>
      <c r="R603" s="262"/>
      <c r="S603" s="262"/>
      <c r="T603" s="262"/>
      <c r="U603" s="262"/>
      <c r="V603" s="262"/>
      <c r="W603" s="262"/>
      <c r="X603" s="262"/>
      <c r="Y603" s="262"/>
      <c r="Z603" s="262"/>
    </row>
    <row r="604" spans="1:26" ht="25.5" outlineLevel="1">
      <c r="A604" s="247" t="s">
        <v>13102</v>
      </c>
      <c r="B604" s="386" t="s">
        <v>15152</v>
      </c>
      <c r="C604" s="386" t="s">
        <v>14472</v>
      </c>
      <c r="D604" s="1314" t="str">
        <f>IFERROR(VLOOKUP($B604,'24.08_ND'!$A$4833:$D$12369,2,0),IFERROR(VLOOKUP($B604,'03-CP'!$C$5:$H$4646,2,0),""))</f>
        <v>TERMINAL METALICO A PRESSAO PARA 1 CABO DE 25 A 70 MM2, COM 1 FURO DE FIXACAO - FORNECIMENTO E INSTALAÇÃO</v>
      </c>
      <c r="E604" s="1315" t="str">
        <f>IFERROR(VLOOKUP($B604,'24.08_ND'!$A:$D,3,0),IFERROR(VLOOKUP($B604,'03-CP'!$C$5:$H$4646,3,0),""))</f>
        <v>UN</v>
      </c>
      <c r="F604" s="389">
        <v>1</v>
      </c>
      <c r="G604" s="1244"/>
      <c r="H604" s="1244"/>
      <c r="I604" s="1409"/>
      <c r="J604" s="1506"/>
      <c r="K604" s="262"/>
      <c r="L604" s="386"/>
      <c r="M604" s="262"/>
      <c r="N604" s="262"/>
      <c r="O604" s="262"/>
      <c r="P604" s="262"/>
      <c r="Q604" s="262"/>
      <c r="R604" s="262"/>
      <c r="S604" s="262"/>
      <c r="T604" s="262"/>
      <c r="U604" s="262"/>
      <c r="V604" s="262"/>
      <c r="W604" s="262"/>
      <c r="X604" s="262"/>
      <c r="Y604" s="262"/>
      <c r="Z604" s="262"/>
    </row>
    <row r="605" spans="1:26" ht="25.5" outlineLevel="1">
      <c r="A605" s="247" t="s">
        <v>13103</v>
      </c>
      <c r="B605" s="386">
        <v>93653</v>
      </c>
      <c r="C605" s="386" t="s">
        <v>14476</v>
      </c>
      <c r="D605" s="1314" t="str">
        <f>IFERROR(VLOOKUP($B605,'24.08_ND'!$A$4833:$D$12369,2,0),IFERROR(VLOOKUP($B605,'03-CP'!$C$5:$H$4646,2,0),""))</f>
        <v>DISJUNTOR MONOPOLAR TIPO DIN, CORRENTE NOMINAL DE 10A - FORNECIMENTO E INSTALAÇÃO. AF_10/2020</v>
      </c>
      <c r="E605" s="1315" t="str">
        <f>IFERROR(VLOOKUP($B605,'24.08_ND'!$A:$D,3,0),IFERROR(VLOOKUP($B605,'03-CP'!$C$5:$H$4646,3,0),""))</f>
        <v>UN</v>
      </c>
      <c r="F605" s="389">
        <v>1</v>
      </c>
      <c r="G605" s="1244"/>
      <c r="H605" s="1244"/>
      <c r="I605" s="1409"/>
      <c r="J605" s="1506"/>
      <c r="K605" s="262"/>
      <c r="L605" s="386"/>
      <c r="M605" s="262"/>
      <c r="N605" s="262"/>
      <c r="O605" s="262"/>
      <c r="P605" s="262"/>
      <c r="Q605" s="262"/>
      <c r="R605" s="262"/>
      <c r="S605" s="262"/>
      <c r="T605" s="262"/>
      <c r="U605" s="262"/>
      <c r="V605" s="262"/>
      <c r="W605" s="262"/>
      <c r="X605" s="262"/>
      <c r="Y605" s="262"/>
      <c r="Z605" s="262"/>
    </row>
    <row r="606" spans="1:26" ht="25.5" outlineLevel="1">
      <c r="A606" s="247" t="s">
        <v>13104</v>
      </c>
      <c r="B606" s="386">
        <v>93654</v>
      </c>
      <c r="C606" s="386" t="s">
        <v>14476</v>
      </c>
      <c r="D606" s="1314" t="str">
        <f>IFERROR(VLOOKUP($B606,'24.08_ND'!$A$4833:$D$12369,2,0),IFERROR(VLOOKUP($B606,'03-CP'!$C$5:$H$4646,2,0),""))</f>
        <v>DISJUNTOR MONOPOLAR TIPO DIN, CORRENTE NOMINAL DE 16A - FORNECIMENTO E INSTALAÇÃO. AF_10/2020</v>
      </c>
      <c r="E606" s="1315" t="str">
        <f>IFERROR(VLOOKUP($B606,'24.08_ND'!$A:$D,3,0),IFERROR(VLOOKUP($B606,'03-CP'!$C$5:$H$4646,3,0),""))</f>
        <v>UN</v>
      </c>
      <c r="F606" s="389">
        <v>1</v>
      </c>
      <c r="G606" s="1244"/>
      <c r="H606" s="1244"/>
      <c r="I606" s="1409"/>
      <c r="J606" s="1506"/>
      <c r="K606" s="262"/>
      <c r="L606" s="386"/>
      <c r="M606" s="262"/>
      <c r="N606" s="262"/>
      <c r="O606" s="262"/>
      <c r="P606" s="262"/>
      <c r="Q606" s="262"/>
      <c r="R606" s="262"/>
      <c r="S606" s="262"/>
      <c r="T606" s="262"/>
      <c r="U606" s="262"/>
      <c r="V606" s="262"/>
      <c r="W606" s="262"/>
      <c r="X606" s="262"/>
      <c r="Y606" s="262"/>
      <c r="Z606" s="262"/>
    </row>
    <row r="607" spans="1:26" ht="25.5" outlineLevel="1">
      <c r="A607" s="247" t="s">
        <v>13105</v>
      </c>
      <c r="B607" s="386">
        <v>93655</v>
      </c>
      <c r="C607" s="386" t="s">
        <v>14476</v>
      </c>
      <c r="D607" s="1314" t="str">
        <f>IFERROR(VLOOKUP($B607,'24.08_ND'!$A$4833:$D$12369,2,0),IFERROR(VLOOKUP($B607,'03-CP'!$C$5:$H$4646,2,0),""))</f>
        <v>DISJUNTOR MONOPOLAR TIPO DIN, CORRENTE NOMINAL DE 20A - FORNECIMENTO E INSTALAÇÃO. AF_10/2020</v>
      </c>
      <c r="E607" s="1315" t="str">
        <f>IFERROR(VLOOKUP($B607,'24.08_ND'!$A:$D,3,0),IFERROR(VLOOKUP($B607,'03-CP'!$C$5:$H$4646,3,0),""))</f>
        <v>UN</v>
      </c>
      <c r="F607" s="389">
        <v>3</v>
      </c>
      <c r="G607" s="1244"/>
      <c r="H607" s="1244"/>
      <c r="I607" s="1409"/>
      <c r="J607" s="1506"/>
      <c r="K607" s="262"/>
      <c r="L607" s="386"/>
      <c r="M607" s="262"/>
      <c r="N607" s="262"/>
      <c r="O607" s="262"/>
      <c r="P607" s="262"/>
      <c r="Q607" s="262"/>
      <c r="R607" s="262"/>
      <c r="S607" s="262"/>
      <c r="T607" s="262"/>
      <c r="U607" s="262"/>
      <c r="V607" s="262"/>
      <c r="W607" s="262"/>
      <c r="X607" s="262"/>
      <c r="Y607" s="262"/>
      <c r="Z607" s="262"/>
    </row>
    <row r="608" spans="1:26" ht="25.5" outlineLevel="1">
      <c r="A608" s="247" t="s">
        <v>13106</v>
      </c>
      <c r="B608" s="386">
        <v>93665</v>
      </c>
      <c r="C608" s="386" t="s">
        <v>14476</v>
      </c>
      <c r="D608" s="1314" t="str">
        <f>IFERROR(VLOOKUP($B608,'24.08_ND'!$A$4833:$D$12369,2,0),IFERROR(VLOOKUP($B608,'03-CP'!$C$5:$H$4646,2,0),""))</f>
        <v>DISJUNTOR BIPOLAR TIPO DIN, CORRENTE NOMINAL DE 40A - FORNECIMENTO E INSTALAÇÃO. AF_10/2020</v>
      </c>
      <c r="E608" s="1315" t="str">
        <f>IFERROR(VLOOKUP($B608,'24.08_ND'!$A:$D,3,0),IFERROR(VLOOKUP($B608,'03-CP'!$C$5:$H$4646,3,0),""))</f>
        <v>UN</v>
      </c>
      <c r="F608" s="389">
        <v>1</v>
      </c>
      <c r="G608" s="1244"/>
      <c r="H608" s="1244"/>
      <c r="I608" s="1409"/>
      <c r="J608" s="1506"/>
      <c r="K608" s="262"/>
      <c r="L608" s="386"/>
      <c r="M608" s="262"/>
      <c r="N608" s="262"/>
      <c r="O608" s="262"/>
      <c r="P608" s="262"/>
      <c r="Q608" s="262"/>
      <c r="R608" s="262"/>
      <c r="S608" s="262"/>
      <c r="T608" s="262"/>
      <c r="U608" s="262"/>
      <c r="V608" s="262"/>
      <c r="W608" s="262"/>
      <c r="X608" s="262"/>
      <c r="Y608" s="262"/>
      <c r="Z608" s="262"/>
    </row>
    <row r="609" spans="1:26" ht="25.5" outlineLevel="1">
      <c r="A609" s="247" t="s">
        <v>13107</v>
      </c>
      <c r="B609" s="386" t="s">
        <v>15157</v>
      </c>
      <c r="C609" s="386" t="s">
        <v>14472</v>
      </c>
      <c r="D609" s="1314" t="str">
        <f>IFERROR(VLOOKUP($B609,'24.08_ND'!$A$4833:$D$12369,2,0),IFERROR(VLOOKUP($B609,'03-CP'!$C$5:$H$4646,2,0),""))</f>
        <v>DISPOSITIVO DR, 2 POLOS, SENSIBILIDADE DE 30 MA, CORRENTE DE 25 A, TIPO AC. - FORNECIMENTO E INSTALAÇÃO</v>
      </c>
      <c r="E609" s="1315" t="str">
        <f>IFERROR(VLOOKUP($B609,'24.08_ND'!$A:$D,3,0),IFERROR(VLOOKUP($B609,'03-CP'!$C$5:$H$4646,3,0),""))</f>
        <v>UN</v>
      </c>
      <c r="F609" s="389">
        <v>3</v>
      </c>
      <c r="G609" s="1244"/>
      <c r="H609" s="1244"/>
      <c r="I609" s="1409"/>
      <c r="J609" s="1506"/>
      <c r="K609" s="262"/>
      <c r="L609" s="386"/>
      <c r="M609" s="262"/>
      <c r="N609" s="262"/>
      <c r="O609" s="262"/>
      <c r="P609" s="262"/>
      <c r="Q609" s="262"/>
      <c r="R609" s="262"/>
      <c r="S609" s="262"/>
      <c r="T609" s="262"/>
      <c r="U609" s="262"/>
      <c r="V609" s="262"/>
      <c r="W609" s="262"/>
      <c r="X609" s="262"/>
      <c r="Y609" s="262"/>
      <c r="Z609" s="262"/>
    </row>
    <row r="610" spans="1:26" ht="25.5" outlineLevel="1">
      <c r="A610" s="247" t="s">
        <v>13108</v>
      </c>
      <c r="B610" s="386" t="s">
        <v>15155</v>
      </c>
      <c r="C610" s="386" t="s">
        <v>14472</v>
      </c>
      <c r="D610" s="1314" t="str">
        <f>IFERROR(VLOOKUP($B610,'24.08_ND'!$A$4833:$D$12369,2,0),IFERROR(VLOOKUP($B610,'03-CP'!$C$5:$H$4646,2,0),""))</f>
        <v xml:space="preserve"> DISPOSITIVO DPS CLASSE II, 1 POLO, TENSAO MAXIMA DE 275 V, CORRENTE MAXIMA DE *20* KA (TIPO AC)  - FORNECIMENTO E INSTALACAO</v>
      </c>
      <c r="E610" s="1315" t="str">
        <f>IFERROR(VLOOKUP($B610,'24.08_ND'!$A:$D,3,0),IFERROR(VLOOKUP($B610,'03-CP'!$C$5:$H$4646,3,0),""))</f>
        <v>UN</v>
      </c>
      <c r="F610" s="389">
        <v>3</v>
      </c>
      <c r="G610" s="1244"/>
      <c r="H610" s="1244"/>
      <c r="I610" s="1409"/>
      <c r="J610" s="1506"/>
      <c r="K610" s="262"/>
      <c r="L610" s="386"/>
      <c r="M610" s="262"/>
      <c r="N610" s="262"/>
      <c r="O610" s="262"/>
      <c r="P610" s="262"/>
      <c r="Q610" s="262"/>
      <c r="R610" s="262"/>
      <c r="S610" s="262"/>
      <c r="T610" s="262"/>
      <c r="U610" s="262"/>
      <c r="V610" s="262"/>
      <c r="W610" s="262"/>
      <c r="X610" s="262"/>
      <c r="Y610" s="262"/>
      <c r="Z610" s="262"/>
    </row>
    <row r="611" spans="1:26" ht="38.25" outlineLevel="1">
      <c r="A611" s="247" t="s">
        <v>13109</v>
      </c>
      <c r="B611" s="386">
        <v>101880</v>
      </c>
      <c r="C611" s="386" t="s">
        <v>14476</v>
      </c>
      <c r="D611" s="1314" t="str">
        <f>IFERROR(VLOOKUP($B611,'24.08_ND'!$A$4833:$D$12369,2,0),IFERROR(VLOOKUP($B611,'03-CP'!$C$5:$H$4646,2,0),""))</f>
        <v>QUADRO DE DISTRIBUIÇÃO DE ENERGIA EM CHAPA DE AÇO GALVANIZADO, DE EMBUTIR, COM BARRAMENTO TRIFÁSICO, PARA 30 DISJUNTORES DIN 150A - FORNECIMENTO E INSTALAÇÃO. AF_10/2020</v>
      </c>
      <c r="E611" s="1315" t="str">
        <f>IFERROR(VLOOKUP($B611,'24.08_ND'!$A:$D,3,0),IFERROR(VLOOKUP($B611,'03-CP'!$C$5:$H$4646,3,0),""))</f>
        <v>UN</v>
      </c>
      <c r="F611" s="389">
        <v>1</v>
      </c>
      <c r="G611" s="1244"/>
      <c r="H611" s="1244"/>
      <c r="I611" s="1409"/>
      <c r="J611" s="1506"/>
      <c r="K611" s="262"/>
      <c r="L611" s="386"/>
      <c r="M611" s="262"/>
      <c r="N611" s="262"/>
      <c r="O611" s="262"/>
      <c r="P611" s="262"/>
      <c r="Q611" s="262"/>
      <c r="R611" s="262"/>
      <c r="S611" s="262"/>
      <c r="T611" s="262"/>
      <c r="U611" s="262"/>
      <c r="V611" s="262"/>
      <c r="W611" s="262"/>
      <c r="X611" s="262"/>
      <c r="Y611" s="262"/>
      <c r="Z611" s="262"/>
    </row>
    <row r="612" spans="1:26" ht="25.5" outlineLevel="1">
      <c r="A612" s="247" t="s">
        <v>13110</v>
      </c>
      <c r="B612" s="386" t="s">
        <v>15159</v>
      </c>
      <c r="C612" s="386" t="s">
        <v>14472</v>
      </c>
      <c r="D612" s="1314" t="str">
        <f>IFERROR(VLOOKUP($B612,'24.08_ND'!$A$4833:$D$12369,2,0),IFERROR(VLOOKUP($B612,'03-CP'!$C$5:$H$4646,2,0),""))</f>
        <v>PLACA DE SINALIZAÇÃO, FOTOLUMINESCENTE, EM PVC, COM LOGOTIPO "CUIDADO RISCO DE CHOQUE ELÉTRICO"- FORNECIMENTO E INSTALAÇÃO</v>
      </c>
      <c r="E612" s="1315" t="str">
        <f>IFERROR(VLOOKUP($B612,'24.08_ND'!$A:$D,3,0),IFERROR(VLOOKUP($B612,'03-CP'!$C$5:$H$4646,3,0),""))</f>
        <v>UN</v>
      </c>
      <c r="F612" s="389">
        <v>1</v>
      </c>
      <c r="G612" s="1244"/>
      <c r="H612" s="1244"/>
      <c r="I612" s="1409"/>
      <c r="J612" s="1506"/>
      <c r="K612" s="262"/>
      <c r="L612" s="386"/>
      <c r="M612" s="262"/>
      <c r="N612" s="262"/>
      <c r="O612" s="262"/>
      <c r="P612" s="262"/>
      <c r="Q612" s="262"/>
      <c r="R612" s="262"/>
      <c r="S612" s="262"/>
      <c r="T612" s="262"/>
      <c r="U612" s="262"/>
      <c r="V612" s="262"/>
      <c r="W612" s="262"/>
      <c r="X612" s="262"/>
      <c r="Y612" s="262"/>
      <c r="Z612" s="262"/>
    </row>
    <row r="613" spans="1:26" ht="25.5" outlineLevel="1">
      <c r="A613" s="247" t="s">
        <v>13111</v>
      </c>
      <c r="B613" s="386" t="s">
        <v>15161</v>
      </c>
      <c r="C613" s="386" t="s">
        <v>14472</v>
      </c>
      <c r="D613" s="1314" t="str">
        <f>IFERROR(VLOOKUP($B613,'24.08_ND'!$A$4833:$D$12369,2,0),IFERROR(VLOOKUP($B613,'03-CP'!$C$5:$H$4646,2,0),""))</f>
        <v>PORTA FOLHA A4 DE PAREDE EM ACRÍLICO – FORNECIMENTO E INSTALAÇÃO</v>
      </c>
      <c r="E613" s="1315" t="str">
        <f>IFERROR(VLOOKUP($B613,'24.08_ND'!$A:$D,3,0),IFERROR(VLOOKUP($B613,'03-CP'!$C$5:$H$4646,3,0),""))</f>
        <v>UN</v>
      </c>
      <c r="F613" s="389">
        <v>1</v>
      </c>
      <c r="G613" s="1244"/>
      <c r="H613" s="1244"/>
      <c r="I613" s="1409"/>
      <c r="J613" s="1506"/>
      <c r="K613" s="262"/>
      <c r="L613" s="386"/>
      <c r="M613" s="262"/>
      <c r="N613" s="262"/>
      <c r="O613" s="262"/>
      <c r="P613" s="262"/>
      <c r="Q613" s="262"/>
      <c r="R613" s="262"/>
      <c r="S613" s="262"/>
      <c r="T613" s="262"/>
      <c r="U613" s="262"/>
      <c r="V613" s="262"/>
      <c r="W613" s="262"/>
      <c r="X613" s="262"/>
      <c r="Y613" s="262"/>
      <c r="Z613" s="262"/>
    </row>
    <row r="614" spans="1:26" ht="12.75">
      <c r="A614" s="250" t="s">
        <v>13112</v>
      </c>
      <c r="B614" s="1309"/>
      <c r="C614" s="1497"/>
      <c r="D614" s="1498" t="s">
        <v>16339</v>
      </c>
      <c r="E614" s="234"/>
      <c r="F614" s="1311"/>
      <c r="G614" s="236"/>
      <c r="H614" s="236"/>
      <c r="I614" s="1499"/>
      <c r="J614" s="236"/>
      <c r="K614" s="262"/>
      <c r="L614" s="386"/>
      <c r="M614" s="262"/>
      <c r="N614" s="262"/>
      <c r="O614" s="262"/>
      <c r="P614" s="262"/>
      <c r="Q614" s="262"/>
      <c r="R614" s="262"/>
      <c r="S614" s="262"/>
      <c r="T614" s="262"/>
      <c r="U614" s="262"/>
      <c r="V614" s="262"/>
      <c r="W614" s="262"/>
      <c r="X614" s="262"/>
      <c r="Y614" s="262"/>
      <c r="Z614" s="262"/>
    </row>
    <row r="615" spans="1:26" ht="25.5" outlineLevel="1">
      <c r="A615" s="247" t="s">
        <v>13113</v>
      </c>
      <c r="B615" s="386" t="s">
        <v>15167</v>
      </c>
      <c r="C615" s="386" t="s">
        <v>14472</v>
      </c>
      <c r="D615" s="1314" t="str">
        <f>IFERROR(VLOOKUP($B615,'24.08_ND'!$A$4833:$D$12369,2,0),IFERROR(VLOOKUP($B615,'03-CP'!$C$5:$H$4646,2,0),""))</f>
        <v>LUMINÁRIA PLAFON DE EMBUTIR EM LED 29.5X29.5 CM, 24W 4000K - FORNECIMENTO E INSTALAÇÃO</v>
      </c>
      <c r="E615" s="1315" t="str">
        <f>IFERROR(VLOOKUP($B615,'24.08_ND'!$A:$D,3,0),IFERROR(VLOOKUP($B615,'03-CP'!$C$5:$H$4646,3,0),""))</f>
        <v>UN</v>
      </c>
      <c r="F615" s="389">
        <v>2</v>
      </c>
      <c r="G615" s="1244"/>
      <c r="H615" s="1244"/>
      <c r="I615" s="1409"/>
      <c r="J615" s="1507"/>
      <c r="K615" s="262"/>
      <c r="L615" s="386"/>
      <c r="M615" s="262"/>
      <c r="N615" s="262"/>
      <c r="O615" s="262"/>
      <c r="P615" s="262"/>
      <c r="Q615" s="262"/>
      <c r="R615" s="262"/>
      <c r="S615" s="262"/>
      <c r="T615" s="262"/>
      <c r="U615" s="262"/>
      <c r="V615" s="262"/>
      <c r="W615" s="262"/>
      <c r="X615" s="262"/>
      <c r="Y615" s="262"/>
      <c r="Z615" s="262"/>
    </row>
    <row r="616" spans="1:26" ht="25.5" outlineLevel="1">
      <c r="A616" s="247" t="s">
        <v>13114</v>
      </c>
      <c r="B616" s="386" t="s">
        <v>15169</v>
      </c>
      <c r="C616" s="386" t="s">
        <v>14472</v>
      </c>
      <c r="D616" s="1314" t="str">
        <f>IFERROR(VLOOKUP($B616,'24.08_ND'!$A$4833:$D$12369,2,0),IFERROR(VLOOKUP($B616,'03-CP'!$C$5:$H$4646,2,0),""))</f>
        <v xml:space="preserve"> PAINEL SLIM LED PROJETO QUADRADO SOBREPOR 40W 6000K Ângulo 120  - FORNECIMENTO E INSTALAÇÃO</v>
      </c>
      <c r="E616" s="1315" t="str">
        <f>IFERROR(VLOOKUP($B616,'24.08_ND'!$A:$D,3,0),IFERROR(VLOOKUP($B616,'03-CP'!$C$5:$H$4646,3,0),""))</f>
        <v>UN</v>
      </c>
      <c r="F616" s="389">
        <v>4</v>
      </c>
      <c r="G616" s="1244"/>
      <c r="H616" s="1244"/>
      <c r="I616" s="1409"/>
      <c r="J616" s="1507"/>
      <c r="K616" s="262"/>
      <c r="L616" s="386"/>
      <c r="M616" s="262"/>
      <c r="N616" s="262"/>
      <c r="O616" s="262"/>
      <c r="P616" s="262"/>
      <c r="Q616" s="262"/>
      <c r="R616" s="262"/>
      <c r="S616" s="262"/>
      <c r="T616" s="262"/>
      <c r="U616" s="262"/>
      <c r="V616" s="262"/>
      <c r="W616" s="262"/>
      <c r="X616" s="262"/>
      <c r="Y616" s="262"/>
      <c r="Z616" s="262"/>
    </row>
    <row r="617" spans="1:26" ht="12.75" outlineLevel="1">
      <c r="A617" s="247" t="s">
        <v>13115</v>
      </c>
      <c r="B617" s="386" t="s">
        <v>15214</v>
      </c>
      <c r="C617" s="386" t="s">
        <v>14472</v>
      </c>
      <c r="D617" s="1314" t="str">
        <f>IFERROR(VLOOKUP($B617,'24.08_ND'!$A$4833:$D$12369,2,0),IFERROR(VLOOKUP($B617,'03-CP'!$C$5:$H$4646,2,0),""))</f>
        <v xml:space="preserve"> LUMINÁRIA 32W LED LINEAR 4000K  - FORNECIMENTO E INSTALAÇÃO</v>
      </c>
      <c r="E617" s="1315" t="str">
        <f>IFERROR(VLOOKUP($B617,'24.08_ND'!$A:$D,3,0),IFERROR(VLOOKUP($B617,'03-CP'!$C$5:$H$4646,3,0),""))</f>
        <v>UN</v>
      </c>
      <c r="F617" s="389">
        <v>4</v>
      </c>
      <c r="G617" s="1244"/>
      <c r="H617" s="1244"/>
      <c r="I617" s="1409"/>
      <c r="J617" s="1507"/>
      <c r="K617" s="262"/>
      <c r="L617" s="386"/>
      <c r="M617" s="262"/>
      <c r="N617" s="262"/>
      <c r="O617" s="262"/>
      <c r="P617" s="262"/>
      <c r="Q617" s="262"/>
      <c r="R617" s="262"/>
      <c r="S617" s="262"/>
      <c r="T617" s="262"/>
      <c r="U617" s="262"/>
      <c r="V617" s="262"/>
      <c r="W617" s="262"/>
      <c r="X617" s="262"/>
      <c r="Y617" s="262"/>
      <c r="Z617" s="262"/>
    </row>
    <row r="618" spans="1:26" ht="25.5" outlineLevel="1">
      <c r="A618" s="247" t="s">
        <v>13116</v>
      </c>
      <c r="B618" s="386" t="s">
        <v>15187</v>
      </c>
      <c r="C618" s="386" t="s">
        <v>14472</v>
      </c>
      <c r="D618" s="1314" t="str">
        <f>IFERROR(VLOOKUP($B618,'24.08_ND'!$A$4833:$D$12369,2,0),IFERROR(VLOOKUP($B618,'03-CP'!$C$5:$H$4646,2,0),""))</f>
        <v xml:space="preserve"> LUMINÁRIA SPOT SOBREPOR P/ LAMPADA PAR30 INCLUSIVE LAMPADA  - FORNECIMENTO E INSTALAÇÃO</v>
      </c>
      <c r="E618" s="1315" t="str">
        <f>IFERROR(VLOOKUP($B618,'24.08_ND'!$A:$D,3,0),IFERROR(VLOOKUP($B618,'03-CP'!$C$5:$H$4646,3,0),""))</f>
        <v>UN</v>
      </c>
      <c r="F618" s="389">
        <v>26</v>
      </c>
      <c r="G618" s="1244"/>
      <c r="H618" s="1244"/>
      <c r="I618" s="1409"/>
      <c r="J618" s="1507"/>
      <c r="K618" s="262"/>
      <c r="L618" s="386"/>
      <c r="M618" s="262"/>
      <c r="N618" s="262"/>
      <c r="O618" s="262"/>
      <c r="P618" s="262"/>
      <c r="Q618" s="262"/>
      <c r="R618" s="262"/>
      <c r="S618" s="262"/>
      <c r="T618" s="262"/>
      <c r="U618" s="262"/>
      <c r="V618" s="262"/>
      <c r="W618" s="262"/>
      <c r="X618" s="262"/>
      <c r="Y618" s="262"/>
      <c r="Z618" s="262"/>
    </row>
    <row r="619" spans="1:26" ht="25.5" outlineLevel="1">
      <c r="A619" s="247" t="s">
        <v>13117</v>
      </c>
      <c r="B619" s="386" t="s">
        <v>15211</v>
      </c>
      <c r="C619" s="386" t="s">
        <v>14472</v>
      </c>
      <c r="D619" s="1314" t="str">
        <f>IFERROR(VLOOKUP($B619,'24.08_ND'!$A$4833:$D$12369,2,0),IFERROR(VLOOKUP($B619,'03-CP'!$C$5:$H$4646,2,0),""))</f>
        <v xml:space="preserve"> LUMINÁRIA TIPO SPOT LED PAR20, EMBUTIR, 6W OU 9W, 4000K A 4500K  - FORNECIMENTO E INSTALAÇÃO</v>
      </c>
      <c r="E619" s="1315" t="str">
        <f>IFERROR(VLOOKUP($B619,'24.08_ND'!$A:$D,3,0),IFERROR(VLOOKUP($B619,'03-CP'!$C$5:$H$4646,3,0),""))</f>
        <v>UN</v>
      </c>
      <c r="F619" s="389">
        <v>20</v>
      </c>
      <c r="G619" s="1244"/>
      <c r="H619" s="1244"/>
      <c r="I619" s="1409"/>
      <c r="J619" s="1507"/>
      <c r="K619" s="262"/>
      <c r="L619" s="386"/>
      <c r="M619" s="262"/>
      <c r="N619" s="262"/>
      <c r="O619" s="262"/>
      <c r="P619" s="262"/>
      <c r="Q619" s="262"/>
      <c r="R619" s="262"/>
      <c r="S619" s="262"/>
      <c r="T619" s="262"/>
      <c r="U619" s="262"/>
      <c r="V619" s="262"/>
      <c r="W619" s="262"/>
      <c r="X619" s="262"/>
      <c r="Y619" s="262"/>
      <c r="Z619" s="262"/>
    </row>
    <row r="620" spans="1:26" ht="25.5" outlineLevel="1">
      <c r="A620" s="247" t="s">
        <v>13118</v>
      </c>
      <c r="B620" s="386" t="s">
        <v>15171</v>
      </c>
      <c r="C620" s="386" t="s">
        <v>14472</v>
      </c>
      <c r="D620" s="1314" t="str">
        <f>IFERROR(VLOOKUP($B620,'24.08_ND'!$A$4833:$D$12369,2,0),IFERROR(VLOOKUP($B620,'03-CP'!$C$5:$H$4646,2,0),""))</f>
        <v>LUMINÁRIA LLS FLEX II EMBUTIR BRANCO 2M, 50W, 120°, 2600lm 4000K   - FORNECIMENTO E INSTALAÇÃO</v>
      </c>
      <c r="E620" s="1315" t="str">
        <f>IFERROR(VLOOKUP($B620,'24.08_ND'!$A:$D,3,0),IFERROR(VLOOKUP($B620,'03-CP'!$C$5:$H$4646,3,0),""))</f>
        <v>UN</v>
      </c>
      <c r="F620" s="389">
        <v>1</v>
      </c>
      <c r="G620" s="1244"/>
      <c r="H620" s="1244"/>
      <c r="I620" s="1409"/>
      <c r="J620" s="1507"/>
      <c r="K620" s="262"/>
      <c r="L620" s="386"/>
      <c r="M620" s="262"/>
      <c r="N620" s="262"/>
      <c r="O620" s="262"/>
      <c r="P620" s="262"/>
      <c r="Q620" s="262"/>
      <c r="R620" s="262"/>
      <c r="S620" s="262"/>
      <c r="T620" s="262"/>
      <c r="U620" s="262"/>
      <c r="V620" s="262"/>
      <c r="W620" s="262"/>
      <c r="X620" s="262"/>
      <c r="Y620" s="262"/>
      <c r="Z620" s="262"/>
    </row>
    <row r="621" spans="1:26" ht="25.5" outlineLevel="1">
      <c r="A621" s="247" t="s">
        <v>13119</v>
      </c>
      <c r="B621" s="386" t="s">
        <v>15174</v>
      </c>
      <c r="C621" s="386" t="s">
        <v>14472</v>
      </c>
      <c r="D621" s="1314" t="str">
        <f>IFERROR(VLOOKUP($B621,'24.08_ND'!$A$4833:$D$12369,2,0),IFERROR(VLOOKUP($B621,'03-CP'!$C$5:$H$4646,2,0),""))</f>
        <v>PENDENTE SAFIRA Ø27X16CM METAL BRANCO E COBRE    - FORNECIMENTO E INSTALAÇÃO</v>
      </c>
      <c r="E621" s="1315" t="str">
        <f>IFERROR(VLOOKUP($B621,'24.08_ND'!$A:$D,3,0),IFERROR(VLOOKUP($B621,'03-CP'!$C$5:$H$4646,3,0),""))</f>
        <v>UN</v>
      </c>
      <c r="F621" s="389">
        <v>5</v>
      </c>
      <c r="G621" s="1244"/>
      <c r="H621" s="1244"/>
      <c r="I621" s="1409"/>
      <c r="J621" s="1507"/>
      <c r="K621" s="262"/>
      <c r="L621" s="386"/>
      <c r="M621" s="262"/>
      <c r="N621" s="262"/>
      <c r="O621" s="262"/>
      <c r="P621" s="262"/>
      <c r="Q621" s="262"/>
      <c r="R621" s="262"/>
      <c r="S621" s="262"/>
      <c r="T621" s="262"/>
      <c r="U621" s="262"/>
      <c r="V621" s="262"/>
      <c r="W621" s="262"/>
      <c r="X621" s="262"/>
      <c r="Y621" s="262"/>
      <c r="Z621" s="262"/>
    </row>
    <row r="622" spans="1:26" ht="12.75" outlineLevel="1">
      <c r="A622" s="247" t="s">
        <v>13120</v>
      </c>
      <c r="B622" s="386" t="s">
        <v>15177</v>
      </c>
      <c r="C622" s="386" t="s">
        <v>14472</v>
      </c>
      <c r="D622" s="1314" t="str">
        <f>IFERROR(VLOOKUP($B622,'24.08_ND'!$A$4833:$D$12369,2,0),IFERROR(VLOOKUP($B622,'03-CP'!$C$5:$H$4646,2,0),""))</f>
        <v>FITA ALL LIGHT 24V PRO 8W/m 4000K  - FORNECIMENTO E INSTALAÇÃO</v>
      </c>
      <c r="E622" s="1315" t="str">
        <f>IFERROR(VLOOKUP($B622,'24.08_ND'!$A:$D,3,0),IFERROR(VLOOKUP($B622,'03-CP'!$C$5:$H$4646,3,0),""))</f>
        <v>M</v>
      </c>
      <c r="F622" s="389">
        <v>19</v>
      </c>
      <c r="G622" s="1244"/>
      <c r="H622" s="1244"/>
      <c r="I622" s="1409"/>
      <c r="J622" s="1507"/>
      <c r="K622" s="262"/>
      <c r="L622" s="386"/>
      <c r="M622" s="262"/>
      <c r="N622" s="262"/>
      <c r="O622" s="262"/>
      <c r="P622" s="262"/>
      <c r="Q622" s="262"/>
      <c r="R622" s="262"/>
      <c r="S622" s="262"/>
      <c r="T622" s="262"/>
      <c r="U622" s="262"/>
      <c r="V622" s="262"/>
      <c r="W622" s="262"/>
      <c r="X622" s="262"/>
      <c r="Y622" s="262"/>
      <c r="Z622" s="262"/>
    </row>
    <row r="623" spans="1:26" ht="25.5" outlineLevel="1">
      <c r="A623" s="247" t="s">
        <v>13121</v>
      </c>
      <c r="B623" s="386" t="s">
        <v>15181</v>
      </c>
      <c r="C623" s="386" t="s">
        <v>14472</v>
      </c>
      <c r="D623" s="1314" t="str">
        <f>IFERROR(VLOOKUP($B623,'24.08_ND'!$A$4833:$D$12369,2,0),IFERROR(VLOOKUP($B623,'03-CP'!$C$5:$H$4646,2,0),""))</f>
        <v>FONTE DRIVER PARA FITA LED 100W 100 277V 24V IP20  - FORNECIMENTO E INSTALAÇÃO</v>
      </c>
      <c r="E623" s="1315" t="str">
        <f>IFERROR(VLOOKUP($B623,'24.08_ND'!$A:$D,3,0),IFERROR(VLOOKUP($B623,'03-CP'!$C$5:$H$4646,3,0),""))</f>
        <v>UN</v>
      </c>
      <c r="F623" s="389">
        <v>1</v>
      </c>
      <c r="G623" s="1244"/>
      <c r="H623" s="1244"/>
      <c r="I623" s="1409"/>
      <c r="J623" s="1507"/>
      <c r="K623" s="262"/>
      <c r="L623" s="386"/>
      <c r="M623" s="262"/>
      <c r="N623" s="262"/>
      <c r="O623" s="262"/>
      <c r="P623" s="262"/>
      <c r="Q623" s="262"/>
      <c r="R623" s="262"/>
      <c r="S623" s="262"/>
      <c r="T623" s="262"/>
      <c r="U623" s="262"/>
      <c r="V623" s="262"/>
      <c r="W623" s="262"/>
      <c r="X623" s="262"/>
      <c r="Y623" s="262"/>
      <c r="Z623" s="262"/>
    </row>
    <row r="624" spans="1:26" ht="12.75" outlineLevel="1">
      <c r="A624" s="247" t="s">
        <v>13122</v>
      </c>
      <c r="B624" s="386" t="s">
        <v>15184</v>
      </c>
      <c r="C624" s="386" t="s">
        <v>14472</v>
      </c>
      <c r="D624" s="1314" t="str">
        <f>IFERROR(VLOOKUP($B624,'24.08_ND'!$A$4833:$D$12369,2,0),IFERROR(VLOOKUP($B624,'03-CP'!$C$5:$H$4646,2,0),""))</f>
        <v>FONTE PARA FITA LED 24V 25W   - FORNECIMENTO E INSTALAÇÃO</v>
      </c>
      <c r="E624" s="1315" t="str">
        <f>IFERROR(VLOOKUP($B624,'24.08_ND'!$A:$D,3,0),IFERROR(VLOOKUP($B624,'03-CP'!$C$5:$H$4646,3,0),""))</f>
        <v>UN</v>
      </c>
      <c r="F624" s="389">
        <v>2</v>
      </c>
      <c r="G624" s="1244"/>
      <c r="H624" s="1244"/>
      <c r="I624" s="1409"/>
      <c r="J624" s="1507"/>
      <c r="K624" s="262"/>
      <c r="L624" s="386"/>
      <c r="M624" s="262"/>
      <c r="N624" s="262"/>
      <c r="O624" s="262"/>
      <c r="P624" s="262"/>
      <c r="Q624" s="262"/>
      <c r="R624" s="262"/>
      <c r="S624" s="262"/>
      <c r="T624" s="262"/>
      <c r="U624" s="262"/>
      <c r="V624" s="262"/>
      <c r="W624" s="262"/>
      <c r="X624" s="262"/>
      <c r="Y624" s="262"/>
      <c r="Z624" s="262"/>
    </row>
    <row r="625" spans="1:26" ht="25.5" outlineLevel="1">
      <c r="A625" s="247" t="s">
        <v>13123</v>
      </c>
      <c r="B625" s="386" t="s">
        <v>15191</v>
      </c>
      <c r="C625" s="386" t="s">
        <v>14472</v>
      </c>
      <c r="D625" s="1314" t="str">
        <f>IFERROR(VLOOKUP($B625,'24.08_ND'!$A$4833:$D$12369,2,0),IFERROR(VLOOKUP($B625,'03-CP'!$C$5:$H$4646,2,0),""))</f>
        <v>SPOT DE SOBREPOR LOCH LAMP REDONDO DICROICA PAR16 Ø8X14CM POLICARBONATO COM LÂMPADA - FORNECIMENTO E INSTALAÇÃO</v>
      </c>
      <c r="E625" s="1315" t="str">
        <f>IFERROR(VLOOKUP($B625,'24.08_ND'!$A:$D,3,0),IFERROR(VLOOKUP($B625,'03-CP'!$C$5:$H$4646,3,0),""))</f>
        <v>UN</v>
      </c>
      <c r="F625" s="389">
        <v>30</v>
      </c>
      <c r="G625" s="1244"/>
      <c r="H625" s="1244"/>
      <c r="I625" s="1409"/>
      <c r="J625" s="1507"/>
      <c r="K625" s="262"/>
      <c r="L625" s="386"/>
      <c r="M625" s="262"/>
      <c r="N625" s="262"/>
      <c r="O625" s="262"/>
      <c r="P625" s="262"/>
      <c r="Q625" s="262"/>
      <c r="R625" s="262"/>
      <c r="S625" s="262"/>
      <c r="T625" s="262"/>
      <c r="U625" s="262"/>
      <c r="V625" s="262"/>
      <c r="W625" s="262"/>
      <c r="X625" s="262"/>
      <c r="Y625" s="262"/>
      <c r="Z625" s="262"/>
    </row>
    <row r="626" spans="1:26" ht="25.5" outlineLevel="1">
      <c r="A626" s="247" t="s">
        <v>13124</v>
      </c>
      <c r="B626" s="386" t="s">
        <v>15198</v>
      </c>
      <c r="C626" s="386" t="s">
        <v>14472</v>
      </c>
      <c r="D626" s="1314" t="str">
        <f>IFERROR(VLOOKUP($B626,'24.08_ND'!$A$4833:$D$12369,2,0),IFERROR(VLOOKUP($B626,'03-CP'!$C$5:$H$4646,2,0),""))</f>
        <v>ARANDELA DE LUZ INDIRETA 72CM, FLUXO LUMINOSO STH9741BR/30: 1900LM  - FORNECIMENTO E INSTALAÇÃO</v>
      </c>
      <c r="E626" s="1315" t="str">
        <f>IFERROR(VLOOKUP($B626,'24.08_ND'!$A:$D,3,0),IFERROR(VLOOKUP($B626,'03-CP'!$C$5:$H$4646,3,0),""))</f>
        <v>UN</v>
      </c>
      <c r="F626" s="389">
        <v>7</v>
      </c>
      <c r="G626" s="1244"/>
      <c r="H626" s="1244"/>
      <c r="I626" s="1409"/>
      <c r="J626" s="1507"/>
      <c r="K626" s="262"/>
      <c r="L626" s="386"/>
      <c r="M626" s="262"/>
      <c r="N626" s="262"/>
      <c r="O626" s="262"/>
      <c r="P626" s="262"/>
      <c r="Q626" s="262"/>
      <c r="R626" s="262"/>
      <c r="S626" s="262"/>
      <c r="T626" s="262"/>
      <c r="U626" s="262"/>
      <c r="V626" s="262"/>
      <c r="W626" s="262"/>
      <c r="X626" s="262"/>
      <c r="Y626" s="262"/>
      <c r="Z626" s="262"/>
    </row>
    <row r="627" spans="1:26" ht="25.5" outlineLevel="1">
      <c r="A627" s="247" t="s">
        <v>13125</v>
      </c>
      <c r="B627" s="386" t="s">
        <v>15195</v>
      </c>
      <c r="C627" s="386" t="s">
        <v>14472</v>
      </c>
      <c r="D627" s="1314" t="str">
        <f>IFERROR(VLOOKUP($B627,'24.08_ND'!$A$4833:$D$12369,2,0),IFERROR(VLOOKUP($B627,'03-CP'!$C$5:$H$4646,2,0),""))</f>
        <v>ARANDELA DE LUZ INDIRETA, PAREDE, COR BRANCA, 42CM, 12W, ACABAMENTO ALUMINIO COR BRANCA  - FORNECIMENTO E INSTALAÇÃO</v>
      </c>
      <c r="E627" s="1315" t="str">
        <f>IFERROR(VLOOKUP($B627,'24.08_ND'!$A:$D,3,0),IFERROR(VLOOKUP($B627,'03-CP'!$C$5:$H$4646,3,0),""))</f>
        <v>UN</v>
      </c>
      <c r="F627" s="389">
        <v>4</v>
      </c>
      <c r="G627" s="1244"/>
      <c r="H627" s="1244"/>
      <c r="I627" s="1409"/>
      <c r="J627" s="1507"/>
      <c r="K627" s="262"/>
      <c r="L627" s="386"/>
      <c r="M627" s="262"/>
      <c r="N627" s="262"/>
      <c r="O627" s="262"/>
      <c r="P627" s="262"/>
      <c r="Q627" s="262"/>
      <c r="R627" s="262"/>
      <c r="S627" s="262"/>
      <c r="T627" s="262"/>
      <c r="U627" s="262"/>
      <c r="V627" s="262"/>
      <c r="W627" s="262"/>
      <c r="X627" s="262"/>
      <c r="Y627" s="262"/>
      <c r="Z627" s="262"/>
    </row>
    <row r="628" spans="1:26" ht="25.5" outlineLevel="1">
      <c r="A628" s="247" t="s">
        <v>13126</v>
      </c>
      <c r="B628" s="386" t="s">
        <v>15201</v>
      </c>
      <c r="C628" s="386" t="s">
        <v>14472</v>
      </c>
      <c r="D628" s="1314" t="str">
        <f>IFERROR(VLOOKUP($B628,'24.08_ND'!$A$4833:$D$12369,2,0),IFERROR(VLOOKUP($B628,'03-CP'!$C$5:$H$4646,2,0),""))</f>
        <v>ESPETO DE JARDIM LED 7W IP65 2700K BIVOLT  - FORNECIMENTO E INSTALAÇÃO</v>
      </c>
      <c r="E628" s="1315" t="str">
        <f>IFERROR(VLOOKUP($B628,'24.08_ND'!$A:$D,3,0),IFERROR(VLOOKUP($B628,'03-CP'!$C$5:$H$4646,3,0),""))</f>
        <v>UN</v>
      </c>
      <c r="F628" s="389">
        <v>18</v>
      </c>
      <c r="G628" s="1244"/>
      <c r="H628" s="1244"/>
      <c r="I628" s="1409"/>
      <c r="J628" s="1507"/>
      <c r="K628" s="262"/>
      <c r="L628" s="386"/>
      <c r="M628" s="262"/>
      <c r="N628" s="262"/>
      <c r="O628" s="262"/>
      <c r="P628" s="262"/>
      <c r="Q628" s="262"/>
      <c r="R628" s="262"/>
      <c r="S628" s="262"/>
      <c r="T628" s="262"/>
      <c r="U628" s="262"/>
      <c r="V628" s="262"/>
      <c r="W628" s="262"/>
      <c r="X628" s="262"/>
      <c r="Y628" s="262"/>
      <c r="Z628" s="262"/>
    </row>
    <row r="629" spans="1:26" ht="25.5" outlineLevel="1">
      <c r="A629" s="247" t="s">
        <v>13127</v>
      </c>
      <c r="B629" s="386" t="s">
        <v>15204</v>
      </c>
      <c r="C629" s="386" t="s">
        <v>14472</v>
      </c>
      <c r="D629" s="1314" t="str">
        <f>IFERROR(VLOOKUP($B629,'24.08_ND'!$A$4833:$D$12369,2,0),IFERROR(VLOOKUP($B629,'03-CP'!$C$5:$H$4646,2,0),""))</f>
        <v>SPOT LED BALIZADOR CHÃO PISO 5W EMBUTIR BRANCO QUENTE 3000K  - FORNECIMENTO E INSTALAÇÃO</v>
      </c>
      <c r="E629" s="1315" t="str">
        <f>IFERROR(VLOOKUP($B629,'24.08_ND'!$A:$D,3,0),IFERROR(VLOOKUP($B629,'03-CP'!$C$5:$H$4646,3,0),""))</f>
        <v>UN</v>
      </c>
      <c r="F629" s="389">
        <v>8</v>
      </c>
      <c r="G629" s="1244"/>
      <c r="H629" s="1244"/>
      <c r="I629" s="1409"/>
      <c r="J629" s="1507"/>
      <c r="K629" s="262"/>
      <c r="L629" s="386"/>
      <c r="M629" s="262"/>
      <c r="N629" s="262"/>
      <c r="O629" s="262"/>
      <c r="P629" s="262"/>
      <c r="Q629" s="262"/>
      <c r="R629" s="262"/>
      <c r="S629" s="262"/>
      <c r="T629" s="262"/>
      <c r="U629" s="262"/>
      <c r="V629" s="262"/>
      <c r="W629" s="262"/>
      <c r="X629" s="262"/>
      <c r="Y629" s="262"/>
      <c r="Z629" s="262"/>
    </row>
    <row r="630" spans="1:26" ht="25.5" outlineLevel="1">
      <c r="A630" s="247" t="s">
        <v>13128</v>
      </c>
      <c r="B630" s="386" t="s">
        <v>15208</v>
      </c>
      <c r="C630" s="386" t="s">
        <v>14472</v>
      </c>
      <c r="D630" s="1314" t="str">
        <f>IFERROR(VLOOKUP($B630,'24.08_ND'!$A$4833:$D$12369,2,0),IFERROR(VLOOKUP($B630,'03-CP'!$C$5:$H$4646,2,0),""))</f>
        <v>BALIZADOR PAREDE EXTERNO EMBUTIDO QUADRADO LED   - FORNECIMENTO E INSTALAÇÃO</v>
      </c>
      <c r="E630" s="1315" t="str">
        <f>IFERROR(VLOOKUP($B630,'24.08_ND'!$A:$D,3,0),IFERROR(VLOOKUP($B630,'03-CP'!$C$5:$H$4646,3,0),""))</f>
        <v>UN</v>
      </c>
      <c r="F630" s="389">
        <v>8</v>
      </c>
      <c r="G630" s="1244"/>
      <c r="H630" s="1244"/>
      <c r="I630" s="1409"/>
      <c r="J630" s="1507"/>
      <c r="K630" s="262"/>
      <c r="L630" s="386"/>
      <c r="M630" s="262"/>
      <c r="N630" s="262"/>
      <c r="O630" s="262"/>
      <c r="P630" s="262"/>
      <c r="Q630" s="262"/>
      <c r="R630" s="262"/>
      <c r="S630" s="262"/>
      <c r="T630" s="262"/>
      <c r="U630" s="262"/>
      <c r="V630" s="262"/>
      <c r="W630" s="262"/>
      <c r="X630" s="262"/>
      <c r="Y630" s="262"/>
      <c r="Z630" s="262"/>
    </row>
    <row r="631" spans="1:26" ht="25.5" outlineLevel="1">
      <c r="A631" s="247" t="s">
        <v>13129</v>
      </c>
      <c r="B631" s="386">
        <v>100903</v>
      </c>
      <c r="C631" s="386" t="s">
        <v>14476</v>
      </c>
      <c r="D631" s="1314" t="str">
        <f>IFERROR(VLOOKUP($B631,'24.08_ND'!$A$4833:$D$12369,2,0),IFERROR(VLOOKUP($B631,'03-CP'!$C$5:$H$4646,2,0),""))</f>
        <v>LÂMPADA TUBULAR LED DE 18/20 W, BASE G13 - FORNECIMENTO E INSTALAÇÃO. AF_02/2020_PS</v>
      </c>
      <c r="E631" s="1315" t="str">
        <f>IFERROR(VLOOKUP($B631,'24.08_ND'!$A:$D,3,0),IFERROR(VLOOKUP($B631,'03-CP'!$C$5:$H$4646,3,0),""))</f>
        <v>UN</v>
      </c>
      <c r="F631" s="389">
        <v>47</v>
      </c>
      <c r="G631" s="1244"/>
      <c r="H631" s="1244"/>
      <c r="I631" s="1409"/>
      <c r="J631" s="1507"/>
      <c r="K631" s="262"/>
      <c r="L631" s="386"/>
      <c r="M631" s="262"/>
      <c r="N631" s="262"/>
      <c r="O631" s="262"/>
      <c r="P631" s="262"/>
      <c r="Q631" s="262"/>
      <c r="R631" s="262"/>
      <c r="S631" s="262"/>
      <c r="T631" s="262"/>
      <c r="U631" s="262"/>
      <c r="V631" s="262"/>
      <c r="W631" s="262"/>
      <c r="X631" s="262"/>
      <c r="Y631" s="262"/>
      <c r="Z631" s="262"/>
    </row>
    <row r="632" spans="1:26" ht="25.5" outlineLevel="1">
      <c r="A632" s="247" t="s">
        <v>13130</v>
      </c>
      <c r="B632" s="386">
        <v>100902</v>
      </c>
      <c r="C632" s="386" t="s">
        <v>14476</v>
      </c>
      <c r="D632" s="1314" t="str">
        <f>IFERROR(VLOOKUP($B632,'24.08_ND'!$A$4833:$D$12369,2,0),IFERROR(VLOOKUP($B632,'03-CP'!$C$5:$H$4646,2,0),""))</f>
        <v>LÂMPADA TUBULAR LED DE 9/10 W, BASE G13 - FORNECIMENTO E INSTALAÇÃO. AF_02/2020_PS</v>
      </c>
      <c r="E632" s="1315" t="str">
        <f>IFERROR(VLOOKUP($B632,'24.08_ND'!$A:$D,3,0),IFERROR(VLOOKUP($B632,'03-CP'!$C$5:$H$4646,3,0),""))</f>
        <v>UN</v>
      </c>
      <c r="F632" s="389">
        <v>6</v>
      </c>
      <c r="G632" s="1244"/>
      <c r="H632" s="1244"/>
      <c r="I632" s="1409"/>
      <c r="J632" s="1507"/>
      <c r="K632" s="262"/>
      <c r="L632" s="386"/>
      <c r="M632" s="262"/>
      <c r="N632" s="262"/>
      <c r="O632" s="262"/>
      <c r="P632" s="262"/>
      <c r="Q632" s="262"/>
      <c r="R632" s="262"/>
      <c r="S632" s="262"/>
      <c r="T632" s="262"/>
      <c r="U632" s="262"/>
      <c r="V632" s="262"/>
      <c r="W632" s="262"/>
      <c r="X632" s="262"/>
      <c r="Y632" s="262"/>
      <c r="Z632" s="262"/>
    </row>
    <row r="633" spans="1:26" ht="12.75">
      <c r="A633" s="250" t="s">
        <v>13131</v>
      </c>
      <c r="B633" s="1309"/>
      <c r="C633" s="1497"/>
      <c r="D633" s="1498" t="s">
        <v>16340</v>
      </c>
      <c r="E633" s="234"/>
      <c r="F633" s="1311"/>
      <c r="G633" s="236"/>
      <c r="H633" s="236"/>
      <c r="I633" s="1499"/>
      <c r="J633" s="236"/>
      <c r="K633" s="262"/>
      <c r="L633" s="386"/>
      <c r="M633" s="262"/>
      <c r="N633" s="262"/>
      <c r="O633" s="262"/>
      <c r="P633" s="262"/>
      <c r="Q633" s="262"/>
      <c r="R633" s="262"/>
      <c r="S633" s="262"/>
      <c r="T633" s="262"/>
      <c r="U633" s="262"/>
      <c r="V633" s="262"/>
      <c r="W633" s="262"/>
      <c r="X633" s="262"/>
      <c r="Y633" s="262"/>
      <c r="Z633" s="262"/>
    </row>
    <row r="634" spans="1:26" ht="38.25" outlineLevel="1">
      <c r="A634" s="247" t="s">
        <v>13132</v>
      </c>
      <c r="B634" s="386" t="s">
        <v>16341</v>
      </c>
      <c r="C634" s="386" t="s">
        <v>14472</v>
      </c>
      <c r="D634" s="1314" t="str">
        <f>IFERROR(VLOOKUP($B634,'24.08_ND'!$A$4833:$D$12369,2,0),IFERROR(VLOOKUP($B634,'03-CP'!$C$5:$H$4646,2,0),""))</f>
        <v xml:space="preserve">FORNECIMENTO E INSTALAÇÃO DE MINI RACK DE PAREDE 19" X 5U X 350MM – FORNECIMENTO E INSTALAÇÃO
</v>
      </c>
      <c r="E634" s="1315" t="str">
        <f>IFERROR(VLOOKUP($B634,'24.08_ND'!$A:$D,3,0),IFERROR(VLOOKUP($B634,'03-CP'!$C$5:$H$4646,3,0),""))</f>
        <v>UN</v>
      </c>
      <c r="F634" s="389">
        <v>1</v>
      </c>
      <c r="G634" s="1244"/>
      <c r="H634" s="1244"/>
      <c r="I634" s="1409"/>
      <c r="J634" s="1507"/>
      <c r="K634" s="262"/>
      <c r="L634" s="386"/>
      <c r="M634" s="262"/>
      <c r="N634" s="262"/>
      <c r="O634" s="262"/>
      <c r="P634" s="262"/>
      <c r="Q634" s="262"/>
      <c r="R634" s="262"/>
      <c r="S634" s="262"/>
      <c r="T634" s="262"/>
      <c r="U634" s="262"/>
      <c r="V634" s="262"/>
      <c r="W634" s="262"/>
      <c r="X634" s="262"/>
      <c r="Y634" s="262"/>
      <c r="Z634" s="262"/>
    </row>
    <row r="635" spans="1:26" ht="25.5" outlineLevel="1">
      <c r="A635" s="247" t="s">
        <v>13133</v>
      </c>
      <c r="B635" s="386" t="s">
        <v>15338</v>
      </c>
      <c r="C635" s="386" t="s">
        <v>14472</v>
      </c>
      <c r="D635" s="1314" t="str">
        <f>IFERROR(VLOOKUP($B635,'24.08_ND'!$A$4833:$D$12369,2,0),IFERROR(VLOOKUP($B635,'03-CP'!$C$5:$H$4646,2,0),""))</f>
        <v>GUIA DE CABOS FECHADO 19" 1U GUIA DE CABOS FECHADO 19"1U. FORNECIMENTO E MONTAGEM</v>
      </c>
      <c r="E635" s="1315" t="str">
        <f>IFERROR(VLOOKUP($B635,'24.08_ND'!$A:$D,3,0),IFERROR(VLOOKUP($B635,'03-CP'!$C$5:$H$4646,3,0),""))</f>
        <v>UN</v>
      </c>
      <c r="F635" s="389">
        <v>1</v>
      </c>
      <c r="G635" s="1244"/>
      <c r="H635" s="1244"/>
      <c r="I635" s="1409"/>
      <c r="J635" s="1507"/>
      <c r="K635" s="262"/>
      <c r="L635" s="386"/>
      <c r="M635" s="262"/>
      <c r="N635" s="262"/>
      <c r="O635" s="262"/>
      <c r="P635" s="262"/>
      <c r="Q635" s="262"/>
      <c r="R635" s="262"/>
      <c r="S635" s="262"/>
      <c r="T635" s="262"/>
      <c r="U635" s="262"/>
      <c r="V635" s="262"/>
      <c r="W635" s="262"/>
      <c r="X635" s="262"/>
      <c r="Y635" s="262"/>
      <c r="Z635" s="262"/>
    </row>
    <row r="636" spans="1:26" ht="25.5" outlineLevel="1">
      <c r="A636" s="247" t="s">
        <v>13134</v>
      </c>
      <c r="B636" s="386" t="s">
        <v>15341</v>
      </c>
      <c r="C636" s="386" t="s">
        <v>14472</v>
      </c>
      <c r="D636" s="1314" t="str">
        <f>IFERROR(VLOOKUP($B636,'24.08_ND'!$A$4833:$D$12369,2,0),IFERROR(VLOOKUP($B636,'03-CP'!$C$5:$H$4646,2,0),""))</f>
        <v>DISTRIBUIDOR INTERNO ÓPTICO DIO 12 FIBRAS, SM, SC/APC, INCLUINDO CONECTOR ÓPTICO - FORNECIMENTO E INSTALAÇÃO</v>
      </c>
      <c r="E636" s="1315" t="str">
        <f>IFERROR(VLOOKUP($B636,'24.08_ND'!$A:$D,3,0),IFERROR(VLOOKUP($B636,'03-CP'!$C$5:$H$4646,3,0),""))</f>
        <v>UN</v>
      </c>
      <c r="F636" s="389">
        <v>1</v>
      </c>
      <c r="G636" s="1244"/>
      <c r="H636" s="1244"/>
      <c r="I636" s="1409"/>
      <c r="J636" s="1507"/>
      <c r="K636" s="262"/>
      <c r="L636" s="386"/>
      <c r="M636" s="262"/>
      <c r="N636" s="262"/>
      <c r="O636" s="262"/>
      <c r="P636" s="262"/>
      <c r="Q636" s="262"/>
      <c r="R636" s="262"/>
      <c r="S636" s="262"/>
      <c r="T636" s="262"/>
      <c r="U636" s="262"/>
      <c r="V636" s="262"/>
      <c r="W636" s="262"/>
      <c r="X636" s="262"/>
      <c r="Y636" s="262"/>
      <c r="Z636" s="262"/>
    </row>
    <row r="637" spans="1:26" ht="25.5" outlineLevel="1">
      <c r="A637" s="247" t="s">
        <v>13135</v>
      </c>
      <c r="B637" s="386">
        <v>98302</v>
      </c>
      <c r="C637" s="386" t="s">
        <v>14476</v>
      </c>
      <c r="D637" s="1314" t="str">
        <f>IFERROR(VLOOKUP($B637,'24.08_ND'!$A$4833:$D$12369,2,0),IFERROR(VLOOKUP($B637,'03-CP'!$C$5:$H$4646,2,0),""))</f>
        <v>PATCH PANEL 24 PORTAS, CATEGORIA 6 - FORNECIMENTO E INSTALAÇÃO. AF_11/2019</v>
      </c>
      <c r="E637" s="1315" t="str">
        <f>IFERROR(VLOOKUP($B637,'24.08_ND'!$A:$D,3,0),IFERROR(VLOOKUP($B637,'03-CP'!$C$5:$H$4646,3,0),""))</f>
        <v>UN</v>
      </c>
      <c r="F637" s="389">
        <v>1</v>
      </c>
      <c r="G637" s="1244"/>
      <c r="H637" s="1244"/>
      <c r="I637" s="1409"/>
      <c r="J637" s="1507"/>
      <c r="K637" s="262"/>
      <c r="L637" s="386"/>
      <c r="M637" s="262"/>
      <c r="N637" s="262"/>
      <c r="O637" s="262"/>
      <c r="P637" s="262"/>
      <c r="Q637" s="262"/>
      <c r="R637" s="262"/>
      <c r="S637" s="262"/>
      <c r="T637" s="262"/>
      <c r="U637" s="262"/>
      <c r="V637" s="262"/>
      <c r="W637" s="262"/>
      <c r="X637" s="262"/>
      <c r="Y637" s="262"/>
      <c r="Z637" s="262"/>
    </row>
    <row r="638" spans="1:26" ht="12.75" outlineLevel="1">
      <c r="A638" s="247" t="s">
        <v>13136</v>
      </c>
      <c r="B638" s="386" t="s">
        <v>15145</v>
      </c>
      <c r="C638" s="386" t="s">
        <v>14472</v>
      </c>
      <c r="D638" s="1314" t="str">
        <f>IFERROR(VLOOKUP($B638,'24.08_ND'!$A$4833:$D$12369,2,0),IFERROR(VLOOKUP($B638,'03-CP'!$C$5:$H$4646,2,0),""))</f>
        <v>SUPORTE E PLACA CEGA 4X2'' - FORNECIMENTO E INSTALAÇÃO</v>
      </c>
      <c r="E638" s="1315" t="str">
        <f>IFERROR(VLOOKUP($B638,'24.08_ND'!$A:$D,3,0),IFERROR(VLOOKUP($B638,'03-CP'!$C$5:$H$4646,3,0),""))</f>
        <v>UN</v>
      </c>
      <c r="F638" s="389">
        <v>8</v>
      </c>
      <c r="G638" s="1244"/>
      <c r="H638" s="1244"/>
      <c r="I638" s="1409"/>
      <c r="J638" s="1507"/>
      <c r="K638" s="262"/>
      <c r="L638" s="386"/>
      <c r="M638" s="262"/>
      <c r="N638" s="262"/>
      <c r="O638" s="262"/>
      <c r="P638" s="262"/>
      <c r="Q638" s="262"/>
      <c r="R638" s="262"/>
      <c r="S638" s="262"/>
      <c r="T638" s="262"/>
      <c r="U638" s="262"/>
      <c r="V638" s="262"/>
      <c r="W638" s="262"/>
      <c r="X638" s="262"/>
      <c r="Y638" s="262"/>
      <c r="Z638" s="262"/>
    </row>
    <row r="639" spans="1:26" ht="25.5" outlineLevel="1">
      <c r="A639" s="247" t="s">
        <v>13137</v>
      </c>
      <c r="B639" s="386" t="s">
        <v>15344</v>
      </c>
      <c r="C639" s="386" t="s">
        <v>14472</v>
      </c>
      <c r="D639" s="1314" t="str">
        <f>IFERROR(VLOOKUP($B639,'24.08_ND'!$A$4833:$D$12369,2,0),IFERROR(VLOOKUP($B639,'03-CP'!$C$5:$H$4646,2,0),""))</f>
        <v>TOMADA (2 MÓDULO), RJ45, CATEGORIA 6, INCLUINDO SUPORTE E PLACA COM TAMPA - FORNECIMENTO E INSTALAÇÃO</v>
      </c>
      <c r="E639" s="1315" t="str">
        <f>IFERROR(VLOOKUP($B639,'24.08_ND'!$A:$D,3,0),IFERROR(VLOOKUP($B639,'03-CP'!$C$5:$H$4646,3,0),""))</f>
        <v>UN</v>
      </c>
      <c r="F639" s="389">
        <v>3</v>
      </c>
      <c r="G639" s="1244"/>
      <c r="H639" s="1244"/>
      <c r="I639" s="1409"/>
      <c r="J639" s="1507"/>
      <c r="K639" s="262"/>
      <c r="L639" s="386"/>
      <c r="M639" s="262"/>
      <c r="N639" s="262"/>
      <c r="O639" s="262"/>
      <c r="P639" s="262"/>
      <c r="Q639" s="262"/>
      <c r="R639" s="262"/>
      <c r="S639" s="262"/>
      <c r="T639" s="262"/>
      <c r="U639" s="262"/>
      <c r="V639" s="262"/>
      <c r="W639" s="262"/>
      <c r="X639" s="262"/>
      <c r="Y639" s="262"/>
      <c r="Z639" s="262"/>
    </row>
    <row r="640" spans="1:26" ht="12.75" outlineLevel="1">
      <c r="A640" s="247" t="s">
        <v>13138</v>
      </c>
      <c r="B640" s="386" t="s">
        <v>15346</v>
      </c>
      <c r="C640" s="386" t="s">
        <v>14472</v>
      </c>
      <c r="D640" s="1314" t="str">
        <f>IFERROR(VLOOKUP($B640,'24.08_ND'!$A$4833:$D$12369,2,0),IFERROR(VLOOKUP($B640,'03-CP'!$C$5:$H$4646,2,0),""))</f>
        <v>CRIMPAGEM, CERTIFICAÇÃO E IDENTIFICACAO DOS CABOS UTP</v>
      </c>
      <c r="E640" s="1315" t="str">
        <f>IFERROR(VLOOKUP($B640,'24.08_ND'!$A:$D,3,0),IFERROR(VLOOKUP($B640,'03-CP'!$C$5:$H$4646,3,0),""))</f>
        <v>UN</v>
      </c>
      <c r="F640" s="389">
        <v>6</v>
      </c>
      <c r="G640" s="1244"/>
      <c r="H640" s="1244"/>
      <c r="I640" s="1409"/>
      <c r="J640" s="1507"/>
      <c r="K640" s="262"/>
      <c r="L640" s="386"/>
      <c r="M640" s="262"/>
      <c r="N640" s="262"/>
      <c r="O640" s="262"/>
      <c r="P640" s="262"/>
      <c r="Q640" s="262"/>
      <c r="R640" s="262"/>
      <c r="S640" s="262"/>
      <c r="T640" s="262"/>
      <c r="U640" s="262"/>
      <c r="V640" s="262"/>
      <c r="W640" s="262"/>
      <c r="X640" s="262"/>
      <c r="Y640" s="262"/>
      <c r="Z640" s="262"/>
    </row>
    <row r="641" spans="1:26" ht="25.5" outlineLevel="1">
      <c r="A641" s="247" t="s">
        <v>13139</v>
      </c>
      <c r="B641" s="386">
        <v>95817</v>
      </c>
      <c r="C641" s="386" t="s">
        <v>14476</v>
      </c>
      <c r="D641" s="1314" t="str">
        <f>IFERROR(VLOOKUP($B641,'24.08_ND'!$A$4833:$D$12369,2,0),IFERROR(VLOOKUP($B641,'03-CP'!$C$5:$H$4646,2,0),""))</f>
        <v>CONDULETE DE PVC, TIPO X, PARA ELETRODUTO DE PVC SOLDÁVEL DN 25 MM (3/4"), APARENTE - FORNECIMENTO E INSTALAÇÃO. AF_10/2022</v>
      </c>
      <c r="E641" s="1315" t="str">
        <f>IFERROR(VLOOKUP($B641,'24.08_ND'!$A:$D,3,0),IFERROR(VLOOKUP($B641,'03-CP'!$C$5:$H$4646,3,0),""))</f>
        <v>UN</v>
      </c>
      <c r="F641" s="389">
        <v>3</v>
      </c>
      <c r="G641" s="1244"/>
      <c r="H641" s="1244"/>
      <c r="I641" s="1409"/>
      <c r="J641" s="1507"/>
      <c r="K641" s="262"/>
      <c r="L641" s="386"/>
      <c r="M641" s="262"/>
      <c r="N641" s="262"/>
      <c r="O641" s="262"/>
      <c r="P641" s="262"/>
      <c r="Q641" s="262"/>
      <c r="R641" s="262"/>
      <c r="S641" s="262"/>
      <c r="T641" s="262"/>
      <c r="U641" s="262"/>
      <c r="V641" s="262"/>
      <c r="W641" s="262"/>
      <c r="X641" s="262"/>
      <c r="Y641" s="262"/>
      <c r="Z641" s="262"/>
    </row>
    <row r="642" spans="1:26" ht="38.25" outlineLevel="1">
      <c r="A642" s="247" t="s">
        <v>13140</v>
      </c>
      <c r="B642" s="386">
        <v>97886</v>
      </c>
      <c r="C642" s="386" t="s">
        <v>14476</v>
      </c>
      <c r="D642" s="1314" t="str">
        <f>IFERROR(VLOOKUP($B642,'24.08_ND'!$A$4833:$D$12369,2,0),IFERROR(VLOOKUP($B642,'03-CP'!$C$5:$H$4646,2,0),""))</f>
        <v>CAIXA ENTERRADA ELÉTRICA RETANGULAR, EM ALVENARIA COM TIJOLOS CERÂMICOS MACIÇOS, FUNDO COM BRITA, DIMENSÕES INTERNAS: 0,3X0,3X0,3 M. AF_12/2020</v>
      </c>
      <c r="E642" s="1315" t="str">
        <f>IFERROR(VLOOKUP($B642,'24.08_ND'!$A:$D,3,0),IFERROR(VLOOKUP($B642,'03-CP'!$C$5:$H$4646,3,0),""))</f>
        <v>UN</v>
      </c>
      <c r="F642" s="389">
        <v>1</v>
      </c>
      <c r="G642" s="1244"/>
      <c r="H642" s="1244"/>
      <c r="I642" s="1409"/>
      <c r="J642" s="1507"/>
      <c r="K642" s="262"/>
      <c r="L642" s="386"/>
      <c r="M642" s="262"/>
      <c r="N642" s="262"/>
      <c r="O642" s="262"/>
      <c r="P642" s="262"/>
      <c r="Q642" s="262"/>
      <c r="R642" s="262"/>
      <c r="S642" s="262"/>
      <c r="T642" s="262"/>
      <c r="U642" s="262"/>
      <c r="V642" s="262"/>
      <c r="W642" s="262"/>
      <c r="X642" s="262"/>
      <c r="Y642" s="262"/>
      <c r="Z642" s="262"/>
    </row>
    <row r="643" spans="1:26" ht="25.5" outlineLevel="1">
      <c r="A643" s="247" t="s">
        <v>13141</v>
      </c>
      <c r="B643" s="386">
        <v>98297</v>
      </c>
      <c r="C643" s="386" t="s">
        <v>14476</v>
      </c>
      <c r="D643" s="1314" t="str">
        <f>IFERROR(VLOOKUP($B643,'24.08_ND'!$A$4833:$D$12369,2,0),IFERROR(VLOOKUP($B643,'03-CP'!$C$5:$H$4646,2,0),""))</f>
        <v>CABO ELETRÔNICO CATEGORIA 6, INSTALADO EM EDIFICAÇÃO INSTITUCIONAL - FORNECIMENTO E INSTALAÇÃO. AF_11/2019</v>
      </c>
      <c r="E643" s="1315" t="str">
        <f>IFERROR(VLOOKUP($B643,'24.08_ND'!$A:$D,3,0),IFERROR(VLOOKUP($B643,'03-CP'!$C$5:$H$4646,3,0),""))</f>
        <v>M</v>
      </c>
      <c r="F643" s="389">
        <v>70</v>
      </c>
      <c r="G643" s="1244"/>
      <c r="H643" s="1244"/>
      <c r="I643" s="1409"/>
      <c r="J643" s="1507"/>
      <c r="K643" s="262"/>
      <c r="L643" s="386"/>
      <c r="M643" s="262"/>
      <c r="N643" s="262"/>
      <c r="O643" s="262"/>
      <c r="P643" s="262"/>
      <c r="Q643" s="262"/>
      <c r="R643" s="262"/>
      <c r="S643" s="262"/>
      <c r="T643" s="262"/>
      <c r="U643" s="262"/>
      <c r="V643" s="262"/>
      <c r="W643" s="262"/>
      <c r="X643" s="262"/>
      <c r="Y643" s="262"/>
      <c r="Z643" s="262"/>
    </row>
    <row r="644" spans="1:26" ht="25.5" outlineLevel="1">
      <c r="A644" s="247" t="s">
        <v>13142</v>
      </c>
      <c r="B644" s="386" t="s">
        <v>15348</v>
      </c>
      <c r="C644" s="386" t="s">
        <v>14472</v>
      </c>
      <c r="D644" s="1314" t="str">
        <f>IFERROR(VLOOKUP($B644,'24.08_ND'!$A$4833:$D$12369,2,0),IFERROR(VLOOKUP($B644,'03-CP'!$C$5:$H$4646,2,0),""))</f>
        <v>PATCH CORD (CABO DE REDE), CATEGORIA 6 (CAT 6) UTP, 23 AWG, 4 PARES, EXTENSAO DE 1,50 M  – FORNECIMENTO E INSTALAÇÃO</v>
      </c>
      <c r="E644" s="1315" t="str">
        <f>IFERROR(VLOOKUP($B644,'24.08_ND'!$A:$D,3,0),IFERROR(VLOOKUP($B644,'03-CP'!$C$5:$H$4646,3,0),""))</f>
        <v>UN</v>
      </c>
      <c r="F644" s="389">
        <v>4</v>
      </c>
      <c r="G644" s="1244"/>
      <c r="H644" s="1244"/>
      <c r="I644" s="1409"/>
      <c r="J644" s="1507"/>
      <c r="K644" s="262"/>
      <c r="L644" s="386"/>
      <c r="M644" s="262"/>
      <c r="N644" s="262"/>
      <c r="O644" s="262"/>
      <c r="P644" s="262"/>
      <c r="Q644" s="262"/>
      <c r="R644" s="262"/>
      <c r="S644" s="262"/>
      <c r="T644" s="262"/>
      <c r="U644" s="262"/>
      <c r="V644" s="262"/>
      <c r="W644" s="262"/>
      <c r="X644" s="262"/>
      <c r="Y644" s="262"/>
      <c r="Z644" s="262"/>
    </row>
    <row r="645" spans="1:26" ht="38.25" outlineLevel="1">
      <c r="A645" s="247" t="s">
        <v>13143</v>
      </c>
      <c r="B645" s="386">
        <v>91855</v>
      </c>
      <c r="C645" s="386" t="s">
        <v>14476</v>
      </c>
      <c r="D645" s="1314" t="str">
        <f>IFERROR(VLOOKUP($B645,'24.08_ND'!$A$4833:$D$12369,2,0),IFERROR(VLOOKUP($B645,'03-CP'!$C$5:$H$4646,2,0),""))</f>
        <v>ELETRODUTO FLEXÍVEL CORRUGADO REFORÇADO, PVC, DN 25 MM (3/4"), PARA CIRCUITOS TERMINAIS, INSTALADO EM PAREDE - FORNECIMENTO E INSTALAÇÃO. AF_03/2023</v>
      </c>
      <c r="E645" s="1315" t="str">
        <f>IFERROR(VLOOKUP($B645,'24.08_ND'!$A:$D,3,0),IFERROR(VLOOKUP($B645,'03-CP'!$C$5:$H$4646,3,0),""))</f>
        <v>M</v>
      </c>
      <c r="F645" s="389">
        <v>12</v>
      </c>
      <c r="G645" s="1244"/>
      <c r="H645" s="1244"/>
      <c r="I645" s="1409"/>
      <c r="J645" s="1507"/>
      <c r="K645" s="262"/>
      <c r="L645" s="386"/>
      <c r="M645" s="262"/>
      <c r="N645" s="262"/>
      <c r="O645" s="262"/>
      <c r="P645" s="262"/>
      <c r="Q645" s="262"/>
      <c r="R645" s="262"/>
      <c r="S645" s="262"/>
      <c r="T645" s="262"/>
      <c r="U645" s="262"/>
      <c r="V645" s="262"/>
      <c r="W645" s="262"/>
      <c r="X645" s="262"/>
      <c r="Y645" s="262"/>
      <c r="Z645" s="262"/>
    </row>
    <row r="646" spans="1:26" ht="38.25" outlineLevel="1">
      <c r="A646" s="247" t="s">
        <v>13144</v>
      </c>
      <c r="B646" s="386">
        <v>91871</v>
      </c>
      <c r="C646" s="386" t="s">
        <v>14476</v>
      </c>
      <c r="D646" s="1314" t="str">
        <f>IFERROR(VLOOKUP($B646,'24.08_ND'!$A$4833:$D$12369,2,0),IFERROR(VLOOKUP($B646,'03-CP'!$C$5:$H$4646,2,0),""))</f>
        <v>ELETRODUTO RÍGIDO ROSCÁVEL, PVC, DN 25 MM (3/4"), PARA CIRCUITOS TERMINAIS, INSTALADO EM PAREDE - FORNECIMENTO E INSTALAÇÃO. AF_03/2023</v>
      </c>
      <c r="E646" s="1315" t="str">
        <f>IFERROR(VLOOKUP($B646,'24.08_ND'!$A:$D,3,0),IFERROR(VLOOKUP($B646,'03-CP'!$C$5:$H$4646,3,0),""))</f>
        <v>M</v>
      </c>
      <c r="F646" s="389">
        <v>18</v>
      </c>
      <c r="G646" s="1244"/>
      <c r="H646" s="1244"/>
      <c r="I646" s="1409"/>
      <c r="J646" s="1507"/>
      <c r="K646" s="262"/>
      <c r="L646" s="386"/>
      <c r="M646" s="262"/>
      <c r="N646" s="262"/>
      <c r="O646" s="262"/>
      <c r="P646" s="262"/>
      <c r="Q646" s="262"/>
      <c r="R646" s="262"/>
      <c r="S646" s="262"/>
      <c r="T646" s="262"/>
      <c r="U646" s="262"/>
      <c r="V646" s="262"/>
      <c r="W646" s="262"/>
      <c r="X646" s="262"/>
      <c r="Y646" s="262"/>
      <c r="Z646" s="262"/>
    </row>
    <row r="647" spans="1:26" ht="25.5" outlineLevel="1">
      <c r="A647" s="247" t="s">
        <v>13145</v>
      </c>
      <c r="B647" s="386" t="s">
        <v>15116</v>
      </c>
      <c r="C647" s="386" t="s">
        <v>14472</v>
      </c>
      <c r="D647" s="1314" t="str">
        <f>IFERROR(VLOOKUP($B647,'24.08_ND'!$A$4833:$D$12369,2,0),IFERROR(VLOOKUP($B647,'03-CP'!$C$5:$H$4646,2,0),""))</f>
        <v>ABRAÇADEIRA METÁLICA TIPO U 3/4 (26MM). FORNECIMENTO E INSTALAÇÃO</v>
      </c>
      <c r="E647" s="1315" t="str">
        <f>IFERROR(VLOOKUP($B647,'24.08_ND'!$A:$D,3,0),IFERROR(VLOOKUP($B647,'03-CP'!$C$5:$H$4646,3,0),""))</f>
        <v>UN</v>
      </c>
      <c r="F647" s="389">
        <v>18</v>
      </c>
      <c r="G647" s="1244"/>
      <c r="H647" s="1244"/>
      <c r="I647" s="1409"/>
      <c r="J647" s="1507"/>
      <c r="K647" s="262"/>
      <c r="L647" s="386"/>
      <c r="M647" s="262"/>
      <c r="N647" s="262"/>
      <c r="O647" s="262"/>
      <c r="P647" s="262"/>
      <c r="Q647" s="262"/>
      <c r="R647" s="262"/>
      <c r="S647" s="262"/>
      <c r="T647" s="262"/>
      <c r="U647" s="262"/>
      <c r="V647" s="262"/>
      <c r="W647" s="262"/>
      <c r="X647" s="262"/>
      <c r="Y647" s="262"/>
      <c r="Z647" s="262"/>
    </row>
    <row r="648" spans="1:26" ht="38.25" outlineLevel="1">
      <c r="A648" s="247" t="s">
        <v>13146</v>
      </c>
      <c r="B648" s="386">
        <v>91884</v>
      </c>
      <c r="C648" s="386" t="s">
        <v>14476</v>
      </c>
      <c r="D648" s="1314" t="str">
        <f>IFERROR(VLOOKUP($B648,'24.08_ND'!$A$4833:$D$12369,2,0),IFERROR(VLOOKUP($B648,'03-CP'!$C$5:$H$4646,2,0),""))</f>
        <v>LUVA PARA ELETRODUTO, PVC, ROSCÁVEL, DN 25 MM (3/4"), PARA CIRCUITOS TERMINAIS, INSTALADA EM PAREDE - FORNECIMENTO E INSTALAÇÃO. AF_03/2023</v>
      </c>
      <c r="E648" s="1315" t="str">
        <f>IFERROR(VLOOKUP($B648,'24.08_ND'!$A:$D,3,0),IFERROR(VLOOKUP($B648,'03-CP'!$C$5:$H$4646,3,0),""))</f>
        <v>UN</v>
      </c>
      <c r="F648" s="389">
        <v>7</v>
      </c>
      <c r="G648" s="1244"/>
      <c r="H648" s="1244"/>
      <c r="I648" s="1409"/>
      <c r="J648" s="1507"/>
      <c r="K648" s="262"/>
      <c r="L648" s="386"/>
      <c r="M648" s="262"/>
      <c r="N648" s="262"/>
      <c r="O648" s="262"/>
      <c r="P648" s="262"/>
      <c r="Q648" s="262"/>
      <c r="R648" s="262"/>
      <c r="S648" s="262"/>
      <c r="T648" s="262"/>
      <c r="U648" s="262"/>
      <c r="V648" s="262"/>
      <c r="W648" s="262"/>
      <c r="X648" s="262"/>
      <c r="Y648" s="262"/>
      <c r="Z648" s="262"/>
    </row>
    <row r="649" spans="1:26" ht="38.25" outlineLevel="1">
      <c r="A649" s="247" t="s">
        <v>13147</v>
      </c>
      <c r="B649" s="386">
        <v>91914</v>
      </c>
      <c r="C649" s="386" t="s">
        <v>14476</v>
      </c>
      <c r="D649" s="1314" t="str">
        <f>IFERROR(VLOOKUP($B649,'24.08_ND'!$A$4833:$D$12369,2,0),IFERROR(VLOOKUP($B649,'03-CP'!$C$5:$H$4646,2,0),""))</f>
        <v>CURVA 90 GRAUS PARA ELETRODUTO, PVC, ROSCÁVEL, DN 25 MM (3/4"), PARA CIRCUITOS TERMINAIS, INSTALADA EM PAREDE - FORNECIMENTO E INSTALAÇÃO. AF_03/2023</v>
      </c>
      <c r="E649" s="1315" t="str">
        <f>IFERROR(VLOOKUP($B649,'24.08_ND'!$A:$D,3,0),IFERROR(VLOOKUP($B649,'03-CP'!$C$5:$H$4646,3,0),""))</f>
        <v>UN</v>
      </c>
      <c r="F649" s="389">
        <v>8</v>
      </c>
      <c r="G649" s="1244"/>
      <c r="H649" s="1244"/>
      <c r="I649" s="1409"/>
      <c r="J649" s="1507"/>
      <c r="K649" s="262"/>
      <c r="L649" s="386"/>
      <c r="M649" s="262"/>
      <c r="N649" s="262"/>
      <c r="O649" s="262"/>
      <c r="P649" s="262"/>
      <c r="Q649" s="262"/>
      <c r="R649" s="262"/>
      <c r="S649" s="262"/>
      <c r="T649" s="262"/>
      <c r="U649" s="262"/>
      <c r="V649" s="262"/>
      <c r="W649" s="262"/>
      <c r="X649" s="262"/>
      <c r="Y649" s="262"/>
      <c r="Z649" s="262"/>
    </row>
    <row r="650" spans="1:26" ht="25.5" outlineLevel="1">
      <c r="A650" s="247" t="s">
        <v>13148</v>
      </c>
      <c r="B650" s="386">
        <v>90447</v>
      </c>
      <c r="C650" s="386" t="s">
        <v>14476</v>
      </c>
      <c r="D650" s="1314" t="str">
        <f>IFERROR(VLOOKUP($B650,'24.08_ND'!$A$4833:$D$12369,2,0),IFERROR(VLOOKUP($B650,'03-CP'!$C$5:$H$4646,2,0),""))</f>
        <v>RASGO LINEAR MANUAL EM ALVENARIA, PARA ELETRODUTOS, DIÂMETROS MENORES OU IGUAIS A 40 MM. AF_09/2023</v>
      </c>
      <c r="E650" s="1315" t="str">
        <f>IFERROR(VLOOKUP($B650,'24.08_ND'!$A:$D,3,0),IFERROR(VLOOKUP($B650,'03-CP'!$C$5:$H$4646,3,0),""))</f>
        <v>M</v>
      </c>
      <c r="F650" s="389">
        <v>12</v>
      </c>
      <c r="G650" s="1244"/>
      <c r="H650" s="1244"/>
      <c r="I650" s="1409"/>
      <c r="J650" s="1507"/>
      <c r="K650" s="262"/>
      <c r="L650" s="386"/>
      <c r="M650" s="262"/>
      <c r="N650" s="262"/>
      <c r="O650" s="262"/>
      <c r="P650" s="262"/>
      <c r="Q650" s="262"/>
      <c r="R650" s="262"/>
      <c r="S650" s="262"/>
      <c r="T650" s="262"/>
      <c r="U650" s="262"/>
      <c r="V650" s="262"/>
      <c r="W650" s="262"/>
      <c r="X650" s="262"/>
      <c r="Y650" s="262"/>
      <c r="Z650" s="262"/>
    </row>
    <row r="651" spans="1:26" ht="38.25" outlineLevel="1">
      <c r="A651" s="247" t="s">
        <v>13149</v>
      </c>
      <c r="B651" s="386">
        <v>90466</v>
      </c>
      <c r="C651" s="386" t="s">
        <v>14476</v>
      </c>
      <c r="D651" s="1314" t="str">
        <f>IFERROR(VLOOKUP($B651,'24.08_ND'!$A$4833:$D$12369,2,0),IFERROR(VLOOKUP($B651,'03-CP'!$C$5:$H$4646,2,0),""))</f>
        <v>CHUMBAMENTO LINEAR EM ALVENARIA PARA RAMAIS/DISTRIBUIÇÃO DE INSTALAÇÕES HIDRÁULICAS COM DIÂMETROS MENORES OU IGUAIS A 40 MM. AF_09/2023</v>
      </c>
      <c r="E651" s="1315" t="str">
        <f>IFERROR(VLOOKUP($B651,'24.08_ND'!$A:$D,3,0),IFERROR(VLOOKUP($B651,'03-CP'!$C$5:$H$4646,3,0),""))</f>
        <v>M</v>
      </c>
      <c r="F651" s="389">
        <v>12</v>
      </c>
      <c r="G651" s="1244"/>
      <c r="H651" s="1244"/>
      <c r="I651" s="1409"/>
      <c r="J651" s="1507"/>
      <c r="K651" s="262"/>
      <c r="L651" s="386"/>
      <c r="M651" s="262"/>
      <c r="N651" s="262"/>
      <c r="O651" s="262"/>
      <c r="P651" s="262"/>
      <c r="Q651" s="262"/>
      <c r="R651" s="262"/>
      <c r="S651" s="262"/>
      <c r="T651" s="262"/>
      <c r="U651" s="262"/>
      <c r="V651" s="262"/>
      <c r="W651" s="262"/>
      <c r="X651" s="262"/>
      <c r="Y651" s="262"/>
      <c r="Z651" s="262"/>
    </row>
    <row r="652" spans="1:26" ht="38.25" outlineLevel="1">
      <c r="A652" s="247" t="s">
        <v>13150</v>
      </c>
      <c r="B652" s="386">
        <v>97667</v>
      </c>
      <c r="C652" s="386" t="s">
        <v>14476</v>
      </c>
      <c r="D652" s="1314" t="str">
        <f>IFERROR(VLOOKUP($B652,'24.08_ND'!$A$4833:$D$12369,2,0),IFERROR(VLOOKUP($B652,'03-CP'!$C$5:$H$4646,2,0),""))</f>
        <v>ELETRODUTO FLEXÍVEL CORRUGADO, PEAD, DN 50 (1 1/2"), PARA REDE ENTERRADA DE DISTRIBUIÇÃO DE ENERGIA ELÉTRICA - FORNECIMENTO E INSTALAÇÃO. AF_12/2021</v>
      </c>
      <c r="E652" s="1315" t="str">
        <f>IFERROR(VLOOKUP($B652,'24.08_ND'!$A:$D,3,0),IFERROR(VLOOKUP($B652,'03-CP'!$C$5:$H$4646,3,0),""))</f>
        <v>M</v>
      </c>
      <c r="F652" s="389">
        <v>32</v>
      </c>
      <c r="G652" s="1244"/>
      <c r="H652" s="1244"/>
      <c r="I652" s="1409"/>
      <c r="J652" s="1507"/>
      <c r="K652" s="262"/>
      <c r="L652" s="386"/>
      <c r="M652" s="262"/>
      <c r="N652" s="262"/>
      <c r="O652" s="262"/>
      <c r="P652" s="262"/>
      <c r="Q652" s="262"/>
      <c r="R652" s="262"/>
      <c r="S652" s="262"/>
      <c r="T652" s="262"/>
      <c r="U652" s="262"/>
      <c r="V652" s="262"/>
      <c r="W652" s="262"/>
      <c r="X652" s="262"/>
      <c r="Y652" s="262"/>
      <c r="Z652" s="262"/>
    </row>
    <row r="653" spans="1:26" ht="38.25" outlineLevel="1">
      <c r="A653" s="247" t="s">
        <v>13151</v>
      </c>
      <c r="B653" s="386">
        <v>91859</v>
      </c>
      <c r="C653" s="386" t="s">
        <v>14476</v>
      </c>
      <c r="D653" s="1314" t="str">
        <f>IFERROR(VLOOKUP($B653,'24.08_ND'!$A$4833:$D$12369,2,0),IFERROR(VLOOKUP($B653,'03-CP'!$C$5:$H$4646,2,0),""))</f>
        <v>ELETRODUTO FLEXÍVEL LISO, PEAD, DN 32 MM (1"), PARA CIRCUITOS TERMINAIS, INSTALADO EM PAREDE - FORNECIMENTO E INSTALAÇÃO. AF_03/2023</v>
      </c>
      <c r="E653" s="1315" t="str">
        <f>IFERROR(VLOOKUP($B653,'24.08_ND'!$A:$D,3,0),IFERROR(VLOOKUP($B653,'03-CP'!$C$5:$H$4646,3,0),""))</f>
        <v>M</v>
      </c>
      <c r="F653" s="389">
        <v>6</v>
      </c>
      <c r="G653" s="1244"/>
      <c r="H653" s="1244"/>
      <c r="I653" s="1409"/>
      <c r="J653" s="1507"/>
      <c r="K653" s="262"/>
      <c r="L653" s="386"/>
      <c r="M653" s="262"/>
      <c r="N653" s="262"/>
      <c r="O653" s="262"/>
      <c r="P653" s="262"/>
      <c r="Q653" s="262"/>
      <c r="R653" s="262"/>
      <c r="S653" s="262"/>
      <c r="T653" s="262"/>
      <c r="U653" s="262"/>
      <c r="V653" s="262"/>
      <c r="W653" s="262"/>
      <c r="X653" s="262"/>
      <c r="Y653" s="262"/>
      <c r="Z653" s="262"/>
    </row>
    <row r="654" spans="1:26" ht="25.5" outlineLevel="1">
      <c r="A654" s="247" t="s">
        <v>13152</v>
      </c>
      <c r="B654" s="386">
        <v>93358</v>
      </c>
      <c r="C654" s="386" t="s">
        <v>14476</v>
      </c>
      <c r="D654" s="1314" t="str">
        <f>IFERROR(VLOOKUP($B654,'24.08_ND'!$A$4833:$D$12369,2,0),IFERROR(VLOOKUP($B654,'03-CP'!$C$5:$H$4646,2,0),""))</f>
        <v>ESCAVAÇÃO MANUAL DE VALA COM PROFUNDIDADE MENOR OU IGUAL A 1,30 M. AF_02/2021</v>
      </c>
      <c r="E654" s="1315" t="str">
        <f>IFERROR(VLOOKUP($B654,'24.08_ND'!$A:$D,3,0),IFERROR(VLOOKUP($B654,'03-CP'!$C$5:$H$4646,3,0),""))</f>
        <v>M3</v>
      </c>
      <c r="F654" s="389">
        <v>8</v>
      </c>
      <c r="G654" s="1244"/>
      <c r="H654" s="1244"/>
      <c r="I654" s="1409"/>
      <c r="J654" s="1507"/>
      <c r="K654" s="262"/>
      <c r="L654" s="386"/>
      <c r="M654" s="262"/>
      <c r="N654" s="262"/>
      <c r="O654" s="262"/>
      <c r="P654" s="262"/>
      <c r="Q654" s="262"/>
      <c r="R654" s="262"/>
      <c r="S654" s="262"/>
      <c r="T654" s="262"/>
      <c r="U654" s="262"/>
      <c r="V654" s="262"/>
      <c r="W654" s="262"/>
      <c r="X654" s="262"/>
      <c r="Y654" s="262"/>
      <c r="Z654" s="262"/>
    </row>
    <row r="655" spans="1:26" ht="25.5" outlineLevel="1">
      <c r="A655" s="247" t="s">
        <v>13153</v>
      </c>
      <c r="B655" s="386">
        <v>93382</v>
      </c>
      <c r="C655" s="386" t="s">
        <v>14476</v>
      </c>
      <c r="D655" s="1314" t="str">
        <f>IFERROR(VLOOKUP($B655,'24.08_ND'!$A$4833:$D$12369,2,0),IFERROR(VLOOKUP($B655,'03-CP'!$C$5:$H$4646,2,0),""))</f>
        <v>REATERRO MANUAL DE VALAS, COM COMPACTADOR DE SOLOS DE PERCUSSÃO. AF_08/2023</v>
      </c>
      <c r="E655" s="1315" t="str">
        <f>IFERROR(VLOOKUP($B655,'24.08_ND'!$A:$D,3,0),IFERROR(VLOOKUP($B655,'03-CP'!$C$5:$H$4646,3,0),""))</f>
        <v>M3</v>
      </c>
      <c r="F655" s="389">
        <f>F654*1.1</f>
        <v>8.8000000000000007</v>
      </c>
      <c r="G655" s="1244"/>
      <c r="H655" s="1244"/>
      <c r="I655" s="1409"/>
      <c r="J655" s="1507"/>
      <c r="K655" s="262"/>
      <c r="L655" s="386"/>
      <c r="M655" s="262"/>
      <c r="N655" s="262"/>
      <c r="O655" s="262"/>
      <c r="P655" s="262"/>
      <c r="Q655" s="262"/>
      <c r="R655" s="262"/>
      <c r="S655" s="262"/>
      <c r="T655" s="262"/>
      <c r="U655" s="262"/>
      <c r="V655" s="262"/>
      <c r="W655" s="262"/>
      <c r="X655" s="262"/>
      <c r="Y655" s="262"/>
      <c r="Z655" s="262"/>
    </row>
    <row r="656" spans="1:26" ht="12.75">
      <c r="A656" s="1298" t="s">
        <v>16342</v>
      </c>
      <c r="B656" s="1371"/>
      <c r="C656" s="1371"/>
      <c r="D656" s="1372"/>
      <c r="E656" s="1373"/>
      <c r="F656" s="1374"/>
      <c r="G656" s="1375"/>
      <c r="H656" s="1376"/>
      <c r="I656" s="1377"/>
      <c r="J656" s="1508"/>
      <c r="K656" s="1508"/>
      <c r="L656" s="1509" t="s">
        <v>16343</v>
      </c>
      <c r="M656" s="1510" t="s">
        <v>16344</v>
      </c>
      <c r="N656" s="1511"/>
      <c r="O656" s="1511"/>
      <c r="P656" s="1511"/>
      <c r="Q656" s="1511"/>
      <c r="R656" s="1511"/>
      <c r="S656" s="1511"/>
      <c r="T656" s="1493"/>
      <c r="U656" s="512"/>
      <c r="V656" s="262"/>
      <c r="W656" s="262"/>
      <c r="X656" s="262"/>
      <c r="Y656" s="262"/>
      <c r="Z656" s="262"/>
    </row>
    <row r="657" spans="1:26" ht="12.75">
      <c r="A657" s="238" t="s">
        <v>12628</v>
      </c>
      <c r="B657" s="1304"/>
      <c r="C657" s="1304"/>
      <c r="D657" s="1305" t="s">
        <v>16345</v>
      </c>
      <c r="E657" s="1306"/>
      <c r="F657" s="1307"/>
      <c r="G657" s="1307"/>
      <c r="H657" s="1307"/>
      <c r="I657" s="1496"/>
      <c r="J657" s="1508"/>
      <c r="K657" s="1508"/>
      <c r="L657" s="1512"/>
      <c r="M657" s="1488" t="s">
        <v>16346</v>
      </c>
      <c r="N657" s="3491"/>
      <c r="O657" s="2588"/>
      <c r="P657" s="2588"/>
      <c r="Q657" s="2588"/>
      <c r="R657" s="2588"/>
      <c r="S657" s="2588"/>
      <c r="T657" s="1493"/>
      <c r="U657" s="512"/>
      <c r="V657" s="262"/>
      <c r="W657" s="262"/>
      <c r="X657" s="262"/>
      <c r="Y657" s="262"/>
      <c r="Z657" s="262"/>
    </row>
    <row r="658" spans="1:26" ht="25.5" outlineLevel="1">
      <c r="A658" s="247" t="s">
        <v>13154</v>
      </c>
      <c r="B658" s="386">
        <v>101908</v>
      </c>
      <c r="C658" s="386" t="s">
        <v>14476</v>
      </c>
      <c r="D658" s="1314" t="str">
        <f>IFERROR(VLOOKUP($B658,'24.08_ND'!$A$4833:$D$12369,2,0),IFERROR(VLOOKUP($B658,'03-CP'!$C$5:$H$4646,2,0),""))</f>
        <v>EXTINTOR DE INCÊNDIO PORTÁTIL COM CARGA DE PQS DE 4 KG, CLASSE BC - FORNECIMENTO E INSTALAÇÃO. AF_10/2020_PE</v>
      </c>
      <c r="E658" s="1315" t="str">
        <f>IFERROR(VLOOKUP($B658,'24.08_ND'!$A:$D,3,0),IFERROR(VLOOKUP($B658,'03-CP'!$C$5:$H$4646,3,0),""))</f>
        <v>UN</v>
      </c>
      <c r="F658" s="389">
        <v>2</v>
      </c>
      <c r="G658" s="1244"/>
      <c r="H658" s="1244"/>
      <c r="I658" s="1409"/>
      <c r="J658" s="836"/>
      <c r="K658" s="262"/>
      <c r="L658" s="1512"/>
      <c r="M658" s="1513"/>
      <c r="N658" s="3490"/>
      <c r="O658" s="2588"/>
      <c r="P658" s="2588"/>
      <c r="Q658" s="2588"/>
      <c r="R658" s="2588"/>
      <c r="S658" s="2588"/>
      <c r="T658" s="339"/>
      <c r="U658" s="512"/>
      <c r="V658" s="262"/>
      <c r="W658" s="262"/>
      <c r="X658" s="262"/>
      <c r="Y658" s="262"/>
      <c r="Z658" s="262"/>
    </row>
    <row r="659" spans="1:26" ht="25.5" outlineLevel="1">
      <c r="A659" s="247" t="s">
        <v>13155</v>
      </c>
      <c r="B659" s="386">
        <v>97599</v>
      </c>
      <c r="C659" s="386" t="s">
        <v>14476</v>
      </c>
      <c r="D659" s="1314" t="str">
        <f>IFERROR(VLOOKUP($B659,'24.08_ND'!$A$4833:$D$12369,2,0),IFERROR(VLOOKUP($B659,'03-CP'!$C$5:$H$4646,2,0),""))</f>
        <v>LUMINÁRIA DE EMERGÊNCIA, COM 30 LÂMPADAS LED DE 2 W, SEM REATOR - FORNECIMENTO E INSTALAÇÃO. AF_02/2020</v>
      </c>
      <c r="E659" s="1315" t="str">
        <f>IFERROR(VLOOKUP($B659,'24.08_ND'!$A:$D,3,0),IFERROR(VLOOKUP($B659,'03-CP'!$C$5:$H$4646,3,0),""))</f>
        <v>UN</v>
      </c>
      <c r="F659" s="389">
        <v>5</v>
      </c>
      <c r="G659" s="1244"/>
      <c r="H659" s="1244"/>
      <c r="I659" s="1409"/>
      <c r="J659" s="262"/>
      <c r="K659" s="262"/>
      <c r="L659" s="1512"/>
      <c r="M659" s="262"/>
      <c r="N659" s="3491"/>
      <c r="O659" s="2588"/>
      <c r="P659" s="2588"/>
      <c r="Q659" s="2588"/>
      <c r="R659" s="2588"/>
      <c r="S659" s="2588"/>
      <c r="T659" s="262"/>
      <c r="U659" s="262"/>
      <c r="V659" s="262"/>
      <c r="W659" s="262"/>
      <c r="X659" s="262"/>
      <c r="Y659" s="262"/>
      <c r="Z659" s="262"/>
    </row>
    <row r="660" spans="1:26" ht="38.25" outlineLevel="1">
      <c r="A660" s="254" t="s">
        <v>13156</v>
      </c>
      <c r="B660" s="1186" t="s">
        <v>15359</v>
      </c>
      <c r="C660" s="1186" t="s">
        <v>14472</v>
      </c>
      <c r="D660" s="1514" t="str">
        <f>IFERROR(VLOOKUP($B660,'24.08_ND'!$A$4833:$D$12369,2,0),IFERROR(VLOOKUP($B660,'03-CP'!$C$5:$H$4646,2,0),""))</f>
        <v>PLACA DE SINALIZAÇÃO DE SEGURANÇA CONTRA INCENDIO, FOTOLUMINESCENTE, QUADRADA 20X40 CM EM PVC 2 MM ANTI-CHAMAS - FORNECIMENTO E INSTALAÇÃO</v>
      </c>
      <c r="E660" s="1515" t="str">
        <f>IFERROR(VLOOKUP($B660,'24.08_ND'!$A:$D,3,0),IFERROR(VLOOKUP($B660,'03-CP'!$C$5:$H$4646,3,0),""))</f>
        <v>UN</v>
      </c>
      <c r="F660" s="1516">
        <v>4</v>
      </c>
      <c r="G660" s="1517"/>
      <c r="H660" s="1517"/>
      <c r="I660" s="1518"/>
      <c r="J660" s="262"/>
      <c r="K660" s="262"/>
      <c r="L660" s="1512"/>
      <c r="M660" s="262"/>
      <c r="N660" s="3491"/>
      <c r="O660" s="2588"/>
      <c r="P660" s="2588"/>
      <c r="Q660" s="2588"/>
      <c r="R660" s="2588"/>
      <c r="S660" s="2588"/>
      <c r="T660" s="262"/>
      <c r="U660" s="262"/>
      <c r="V660" s="262"/>
      <c r="W660" s="262"/>
      <c r="X660" s="262"/>
      <c r="Y660" s="262"/>
      <c r="Z660" s="262"/>
    </row>
  </sheetData>
  <autoFilter ref="A1:Z660" xr:uid="{00000000-0009-0000-0000-00000E000000}">
    <filterColumn colId="0">
      <filters>
        <filter val="(B) - WAKE BAR - PLANILHA QUANTITATIVA"/>
        <filter val="• ARQUITETURA"/>
        <filter val="• ESTRUTURAL"/>
        <filter val="• INSTALAÇÕES ELÉTRICAS E LÓGICA"/>
        <filter val="• INSTALAÇÕES HIDROSSANITÁRIAS"/>
        <filter val="• INSTALAÇÕES PREVENÇÃO E COMBATE A INCENDIO E PANICO"/>
        <filter val="B.1"/>
        <filter val="B.1.1"/>
        <filter val="B.1.1.1"/>
        <filter val="B.1.1.10"/>
        <filter val="B.1.1.11"/>
        <filter val="B.1.1.12"/>
        <filter val="B.1.1.13"/>
        <filter val="B.1.1.2"/>
        <filter val="B.1.1.3"/>
        <filter val="B.1.1.4"/>
        <filter val="B.1.1.5"/>
        <filter val="B.1.1.6"/>
        <filter val="B.1.1.7"/>
        <filter val="B.1.1.8"/>
        <filter val="B.1.1.9"/>
        <filter val="B.1.10"/>
        <filter val="B.1.10.1"/>
        <filter val="B.1.10.2"/>
        <filter val="B.1.10.3"/>
        <filter val="B.1.10.4"/>
        <filter val="B.1.11"/>
        <filter val="B.1.11.1"/>
        <filter val="B.1.11.2"/>
        <filter val="B.1.11.3"/>
        <filter val="B.1.11.4"/>
        <filter val="B.1.11.5"/>
        <filter val="B.1.11.6"/>
        <filter val="B.1.11.7"/>
        <filter val="B.1.11.8"/>
        <filter val="B.1.11.9"/>
        <filter val="B.1.12"/>
        <filter val="B.1.12.1"/>
        <filter val="B.1.12.2"/>
        <filter val="B.1.12.3"/>
        <filter val="B.1.12.4"/>
        <filter val="B.1.13"/>
        <filter val="B.1.13.1"/>
        <filter val="B.1.13.2"/>
        <filter val="B.1.13.3"/>
        <filter val="B.1.13.4"/>
        <filter val="B.1.14"/>
        <filter val="B.1.14.1"/>
        <filter val="B.1.2"/>
        <filter val="B.1.2.1"/>
        <filter val="B.1.2.2"/>
        <filter val="B.1.2.3"/>
        <filter val="B.1.2.4"/>
        <filter val="B.1.2.5"/>
        <filter val="B.1.3"/>
        <filter val="B.1.3.1"/>
        <filter val="B.1.3.2"/>
        <filter val="B.1.3.3"/>
        <filter val="B.1.3.4"/>
        <filter val="B.1.3.5"/>
        <filter val="B.1.3.6"/>
        <filter val="B.1.4"/>
        <filter val="B.1.4.1"/>
        <filter val="B.1.4.10"/>
        <filter val="B.1.4.11"/>
        <filter val="B.1.4.12"/>
        <filter val="B.1.4.13"/>
        <filter val="B.1.4.2"/>
        <filter val="B.1.4.3"/>
        <filter val="B.1.4.4"/>
        <filter val="B.1.4.5"/>
        <filter val="B.1.4.6"/>
        <filter val="B.1.4.7"/>
        <filter val="B.1.4.8"/>
        <filter val="B.1.4.9"/>
        <filter val="B.1.5"/>
        <filter val="B.1.5.1"/>
        <filter val="B.1.5.2"/>
        <filter val="B.1.5.3"/>
        <filter val="B.1.5.4"/>
        <filter val="B.1.6"/>
        <filter val="B.1.6.1"/>
        <filter val="B.1.6.2"/>
        <filter val="B.1.6.3"/>
        <filter val="B.1.6.4"/>
        <filter val="B.1.6.5"/>
        <filter val="B.1.6.6"/>
        <filter val="B.1.6.7"/>
        <filter val="B.1.7"/>
        <filter val="B.1.7.1"/>
        <filter val="B.1.7.2"/>
        <filter val="B.1.8"/>
        <filter val="B.1.8.1"/>
        <filter val="B.1.8.2"/>
        <filter val="B.1.8.3"/>
        <filter val="B.1.8.4"/>
        <filter val="B.1.9"/>
        <filter val="B.1.9.1"/>
        <filter val="B.1.9.2"/>
        <filter val="B.1.9.3"/>
        <filter val="B.1.9.4"/>
        <filter val="B.2"/>
        <filter val="B.2.1"/>
        <filter val="B.2.1.1"/>
        <filter val="B.2.1.2"/>
        <filter val="B.2.1.3"/>
        <filter val="B.2.1.4"/>
        <filter val="B.2.1.5"/>
        <filter val="B.2.1.6"/>
        <filter val="B.2.1.7"/>
        <filter val="B.2.1.8"/>
        <filter val="B.2.1.9"/>
        <filter val="B.2.2"/>
        <filter val="B.2.2.1"/>
        <filter val="B.2.2.2"/>
        <filter val="B.2.2.3"/>
        <filter val="B.2.3"/>
        <filter val="B.2.3.1"/>
        <filter val="B.2.3.10"/>
        <filter val="B.2.3.2"/>
        <filter val="B.2.3.3"/>
        <filter val="B.2.3.4"/>
        <filter val="B.2.3.5"/>
        <filter val="B.2.3.6"/>
        <filter val="B.2.3.7"/>
        <filter val="B.2.3.8"/>
        <filter val="B.2.3.9"/>
        <filter val="B.2.4"/>
        <filter val="B.2.4.1"/>
        <filter val="B.2.4.2"/>
        <filter val="B.2.4.3"/>
        <filter val="B.2.4.4"/>
        <filter val="B.2.4.5"/>
        <filter val="B.2.4.6"/>
        <filter val="B.2.4.7"/>
        <filter val="B.2.4.8"/>
        <filter val="B.2.4.9"/>
        <filter val="B.2.5"/>
        <filter val="B.2.5.1"/>
        <filter val="B.2.5.2"/>
        <filter val="B.2.5.3"/>
        <filter val="B.2.5.4"/>
        <filter val="B.2.5.5"/>
        <filter val="B.2.5.6"/>
        <filter val="B.2.5.7"/>
        <filter val="B.2.5.8"/>
        <filter val="B.2.5.9"/>
        <filter val="B.2.6"/>
        <filter val="B.2.6.1"/>
        <filter val="B.2.6.10"/>
        <filter val="B.2.6.11"/>
        <filter val="B.2.6.12"/>
        <filter val="B.2.6.13"/>
        <filter val="B.2.6.14"/>
        <filter val="B.2.6.2"/>
        <filter val="B.2.6.3"/>
        <filter val="B.2.6.4"/>
        <filter val="B.2.6.5"/>
        <filter val="B.2.6.6"/>
        <filter val="B.2.6.7"/>
        <filter val="B.2.6.8"/>
        <filter val="B.2.6.9"/>
        <filter val="B.2.7"/>
        <filter val="B.2.7.1"/>
        <filter val="B.2.7.10"/>
        <filter val="B.2.7.11"/>
        <filter val="B.2.7.12"/>
        <filter val="B.2.7.2"/>
        <filter val="B.2.7.3"/>
        <filter val="B.2.7.4"/>
        <filter val="B.2.7.5"/>
        <filter val="B.2.7.6"/>
        <filter val="B.2.7.7"/>
        <filter val="B.2.7.8"/>
        <filter val="B.2.7.9"/>
        <filter val="B.2.8"/>
        <filter val="B.2.8.1"/>
        <filter val="B.2.8.10"/>
        <filter val="B.2.8.11"/>
        <filter val="B.2.8.12"/>
        <filter val="B.2.8.13"/>
        <filter val="B.2.8.14"/>
        <filter val="B.2.8.15"/>
        <filter val="B.2.8.16"/>
        <filter val="B.2.8.17"/>
        <filter val="B.2.8.18"/>
        <filter val="B.2.8.19"/>
        <filter val="B.2.8.2"/>
        <filter val="B.2.8.20"/>
        <filter val="B.2.8.21"/>
        <filter val="B.2.8.22"/>
        <filter val="B.2.8.23"/>
        <filter val="B.2.8.24"/>
        <filter val="B.2.8.25"/>
        <filter val="B.2.8.26"/>
        <filter val="B.2.8.27"/>
        <filter val="B.2.8.28"/>
        <filter val="B.2.8.29"/>
        <filter val="B.2.8.3"/>
        <filter val="B.2.8.30"/>
        <filter val="B.2.8.31"/>
        <filter val="B.2.8.32"/>
        <filter val="B.2.8.33"/>
        <filter val="B.2.8.34"/>
        <filter val="B.2.8.35"/>
        <filter val="B.2.8.4"/>
        <filter val="B.2.8.5"/>
        <filter val="B.2.8.6"/>
        <filter val="B.2.8.7"/>
        <filter val="B.2.8.8"/>
        <filter val="B.2.8.9"/>
        <filter val="B.2.9"/>
        <filter val="B.2.9.1"/>
        <filter val="B.2.9.2"/>
        <filter val="B.2.9.3"/>
        <filter val="B.2.9.4"/>
        <filter val="B.2.9.5"/>
        <filter val="B.2.9.6"/>
        <filter val="B.3"/>
        <filter val="B.3.1"/>
        <filter val="B.3.1.1"/>
        <filter val="B.3.1.10"/>
        <filter val="B.3.1.11"/>
        <filter val="B.3.1.12"/>
        <filter val="B.3.1.13"/>
        <filter val="B.3.1.14"/>
        <filter val="B.3.1.15"/>
        <filter val="B.3.1.16"/>
        <filter val="B.3.1.17"/>
        <filter val="B.3.1.18"/>
        <filter val="B.3.1.19"/>
        <filter val="B.3.1.2"/>
        <filter val="B.3.1.20"/>
        <filter val="B.3.1.21"/>
        <filter val="B.3.1.22"/>
        <filter val="B.3.1.23"/>
        <filter val="B.3.1.24"/>
        <filter val="B.3.1.25"/>
        <filter val="B.3.1.26"/>
        <filter val="B.3.1.27"/>
        <filter val="B.3.1.28"/>
        <filter val="B.3.1.29"/>
        <filter val="B.3.1.3"/>
        <filter val="B.3.1.30"/>
        <filter val="B.3.1.31"/>
        <filter val="B.3.1.32"/>
        <filter val="B.3.1.33"/>
        <filter val="B.3.1.34"/>
        <filter val="B.3.1.4"/>
        <filter val="B.3.1.5"/>
        <filter val="B.3.1.6"/>
        <filter val="B.3.1.7"/>
        <filter val="B.3.1.8"/>
        <filter val="B.3.1.9"/>
        <filter val="B.3.2"/>
        <filter val="B.3.2.1"/>
        <filter val="B.3.2.10"/>
        <filter val="B.3.2.11"/>
        <filter val="B.3.2.12"/>
        <filter val="B.3.2.13"/>
        <filter val="B.3.2.14"/>
        <filter val="B.3.2.15"/>
        <filter val="B.3.2.16"/>
        <filter val="B.3.2.17"/>
        <filter val="B.3.2.18"/>
        <filter val="B.3.2.19"/>
        <filter val="B.3.2.2"/>
        <filter val="B.3.2.20"/>
        <filter val="B.3.2.21"/>
        <filter val="B.3.2.22"/>
        <filter val="B.3.2.23"/>
        <filter val="B.3.2.24"/>
        <filter val="B.3.2.25"/>
        <filter val="B.3.2.26"/>
        <filter val="B.3.2.27"/>
        <filter val="B.3.2.28"/>
        <filter val="B.3.2.29"/>
        <filter val="B.3.2.3"/>
        <filter val="B.3.2.30"/>
        <filter val="B.3.2.31"/>
        <filter val="B.3.2.32"/>
        <filter val="B.3.2.33"/>
        <filter val="B.3.2.34"/>
        <filter val="B.3.2.35"/>
        <filter val="B.3.2.36"/>
        <filter val="B.3.2.37"/>
        <filter val="B.3.2.38"/>
        <filter val="B.3.2.39"/>
        <filter val="B.3.2.4"/>
        <filter val="B.3.2.40"/>
        <filter val="B.3.2.41"/>
        <filter val="B.3.2.42"/>
        <filter val="B.3.2.43"/>
        <filter val="B.3.2.44"/>
        <filter val="B.3.2.5"/>
        <filter val="B.3.2.6"/>
        <filter val="B.3.2.7"/>
        <filter val="B.3.2.8"/>
        <filter val="B.3.2.9"/>
        <filter val="B.3.3"/>
        <filter val="B.3.3.1"/>
        <filter val="B.3.3.10"/>
        <filter val="B.3.3.11"/>
        <filter val="B.3.3.12"/>
        <filter val="B.3.3.13"/>
        <filter val="B.3.3.14"/>
        <filter val="B.3.3.15"/>
        <filter val="B.3.3.16"/>
        <filter val="B.3.3.17"/>
        <filter val="B.3.3.18"/>
        <filter val="B.3.3.19"/>
        <filter val="B.3.3.2"/>
        <filter val="B.3.3.3"/>
        <filter val="B.3.3.4"/>
        <filter val="B.3.3.5"/>
        <filter val="B.3.3.6"/>
        <filter val="B.3.3.7"/>
        <filter val="B.3.3.8"/>
        <filter val="B.3.3.9"/>
        <filter val="B.4"/>
        <filter val="B.4.1"/>
        <filter val="B.4.1.1"/>
        <filter val="B.4.1.10"/>
        <filter val="B.4.1.11"/>
        <filter val="B.4.1.12"/>
        <filter val="B.4.1.13"/>
        <filter val="B.4.1.14"/>
        <filter val="B.4.1.15"/>
        <filter val="B.4.1.16"/>
        <filter val="B.4.1.17"/>
        <filter val="B.4.1.18"/>
        <filter val="B.4.1.2"/>
        <filter val="B.4.1.3"/>
        <filter val="B.4.1.4"/>
        <filter val="B.4.1.5"/>
        <filter val="B.4.1.6"/>
        <filter val="B.4.1.7"/>
        <filter val="B.4.1.8"/>
        <filter val="B.4.1.9"/>
        <filter val="B.4.2"/>
        <filter val="B.4.2.1"/>
        <filter val="B.4.2.10"/>
        <filter val="B.4.2.2"/>
        <filter val="B.4.2.3"/>
        <filter val="B.4.2.4"/>
        <filter val="B.4.2.5"/>
        <filter val="B.4.2.6"/>
        <filter val="B.4.2.7"/>
        <filter val="B.4.2.8"/>
        <filter val="B.4.2.9"/>
        <filter val="B.4.3"/>
        <filter val="B.4.3.1"/>
        <filter val="B.4.3.2"/>
        <filter val="B.4.3.3"/>
        <filter val="B.4.3.4"/>
        <filter val="B.4.3.5"/>
        <filter val="B.4.3.6"/>
        <filter val="B.4.3.7"/>
        <filter val="B.4.4"/>
        <filter val="B.4.4.1"/>
        <filter val="B.4.4.10"/>
        <filter val="B.4.4.11"/>
        <filter val="B.4.4.12"/>
        <filter val="B.4.4.13"/>
        <filter val="B.4.4.2"/>
        <filter val="B.4.4.3"/>
        <filter val="B.4.4.4"/>
        <filter val="B.4.4.5"/>
        <filter val="B.4.4.6"/>
        <filter val="B.4.4.7"/>
        <filter val="B.4.4.8"/>
        <filter val="B.4.4.9"/>
        <filter val="B.4.5"/>
        <filter val="B.4.5.1"/>
        <filter val="B.4.5.2"/>
        <filter val="B.4.5.3"/>
        <filter val="B.4.5.4"/>
        <filter val="B.4.6"/>
        <filter val="B.4.6.1"/>
        <filter val="B.4.6.10"/>
        <filter val="B.4.6.11"/>
        <filter val="B.4.6.12"/>
        <filter val="B.4.6.13"/>
        <filter val="B.4.6.14"/>
        <filter val="B.4.6.2"/>
        <filter val="B.4.6.3"/>
        <filter val="B.4.6.4"/>
        <filter val="B.4.6.5"/>
        <filter val="B.4.6.6"/>
        <filter val="B.4.6.7"/>
        <filter val="B.4.6.8"/>
        <filter val="B.4.6.9"/>
        <filter val="B.4.7"/>
        <filter val="B.4.7.1"/>
        <filter val="B.4.7.10"/>
        <filter val="B.4.7.11"/>
        <filter val="B.4.7.12"/>
        <filter val="B.4.7.13"/>
        <filter val="B.4.7.14"/>
        <filter val="B.4.7.15"/>
        <filter val="B.4.7.16"/>
        <filter val="B.4.7.17"/>
        <filter val="B.4.7.18"/>
        <filter val="B.4.7.2"/>
        <filter val="B.4.7.3"/>
        <filter val="B.4.7.4"/>
        <filter val="B.4.7.5"/>
        <filter val="B.4.7.6"/>
        <filter val="B.4.7.7"/>
        <filter val="B.4.7.8"/>
        <filter val="B.4.7.9"/>
        <filter val="B.4.8"/>
        <filter val="B.4.8.1"/>
        <filter val="B.4.8.10"/>
        <filter val="B.4.8.11"/>
        <filter val="B.4.8.12"/>
        <filter val="B.4.8.13"/>
        <filter val="B.4.8.14"/>
        <filter val="B.4.8.15"/>
        <filter val="B.4.8.16"/>
        <filter val="B.4.8.17"/>
        <filter val="B.4.8.18"/>
        <filter val="B.4.8.19"/>
        <filter val="B.4.8.2"/>
        <filter val="B.4.8.20"/>
        <filter val="B.4.8.21"/>
        <filter val="B.4.8.22"/>
        <filter val="B.4.8.3"/>
        <filter val="B.4.8.4"/>
        <filter val="B.4.8.5"/>
        <filter val="B.4.8.6"/>
        <filter val="B.4.8.7"/>
        <filter val="B.4.8.8"/>
        <filter val="B.4.8.9"/>
        <filter val="B.5"/>
        <filter val="B.5.1"/>
        <filter val="B.5.2"/>
        <filter val="B.5.3"/>
        <filter val="ENDEREÇO:"/>
        <filter val="ITEM"/>
        <filter val="MUNICÍPIO:"/>
        <filter val="OBJETO:"/>
      </filters>
    </filterColumn>
  </autoFilter>
  <mergeCells count="10">
    <mergeCell ref="N658:S658"/>
    <mergeCell ref="N659:S659"/>
    <mergeCell ref="N660:S660"/>
    <mergeCell ref="B1:I1"/>
    <mergeCell ref="B2:I2"/>
    <mergeCell ref="B3:I3"/>
    <mergeCell ref="B4:I4"/>
    <mergeCell ref="A5:I5"/>
    <mergeCell ref="G6:I6"/>
    <mergeCell ref="N657:S657"/>
  </mergeCells>
  <printOptions horizontalCentered="1"/>
  <pageMargins left="0.39370078740157477" right="0.39370078740157477" top="0.39370078740157477" bottom="0.39370078740157477" header="0" footer="0"/>
  <pageSetup paperSize="9" fitToHeight="0" orientation="portrait" cellComments="atEnd"/>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outlinePr summaryBelow="0"/>
    <pageSetUpPr fitToPage="1"/>
  </sheetPr>
  <dimension ref="A1:Z546"/>
  <sheetViews>
    <sheetView workbookViewId="0"/>
  </sheetViews>
  <sheetFormatPr defaultColWidth="12.5703125" defaultRowHeight="15" customHeight="1" outlineLevelRow="1"/>
  <cols>
    <col min="1" max="1" width="12" customWidth="1"/>
    <col min="2" max="2" width="13.5703125" customWidth="1"/>
    <col min="3" max="3" width="10.5703125" customWidth="1"/>
    <col min="4" max="4" width="60" customWidth="1"/>
    <col min="5" max="5" width="11.5703125" customWidth="1"/>
    <col min="6" max="6" width="12.7109375" customWidth="1"/>
    <col min="7" max="7" width="12" customWidth="1"/>
    <col min="8" max="8" width="16.7109375" customWidth="1"/>
    <col min="9" max="9" width="7.7109375" customWidth="1"/>
    <col min="10" max="10" width="19.42578125" hidden="1" customWidth="1"/>
    <col min="11" max="11" width="13.85546875" hidden="1" customWidth="1"/>
    <col min="12" max="12" width="25.42578125" hidden="1" customWidth="1"/>
    <col min="13" max="13" width="19.5703125" hidden="1" customWidth="1"/>
    <col min="14" max="26" width="13.85546875" hidden="1" customWidth="1"/>
  </cols>
  <sheetData>
    <row r="1" spans="1:26">
      <c r="A1" s="1188" t="e">
        <f>'Medição '!$V$5:$AB$5</f>
        <v>#VALUE!</v>
      </c>
      <c r="B1" s="3492" t="str">
        <f>'Medição '!W5</f>
        <v>COMPLEXO SUNSET DO PARQUE NOVO MATO GROSSO</v>
      </c>
      <c r="C1" s="2607"/>
      <c r="D1" s="2607"/>
      <c r="E1" s="2607"/>
      <c r="F1" s="2607"/>
      <c r="G1" s="2607"/>
      <c r="H1" s="2607"/>
      <c r="I1" s="3400"/>
      <c r="J1" s="130"/>
      <c r="K1" s="130"/>
      <c r="L1" s="129"/>
      <c r="M1" s="130"/>
      <c r="N1" s="130"/>
      <c r="O1" s="130"/>
      <c r="P1" s="130"/>
      <c r="Q1" s="130"/>
      <c r="R1" s="130"/>
      <c r="S1" s="130"/>
      <c r="T1" s="130"/>
      <c r="U1" s="130"/>
      <c r="V1" s="130"/>
      <c r="W1" s="130"/>
      <c r="X1" s="130"/>
      <c r="Y1" s="130"/>
      <c r="Z1" s="130"/>
    </row>
    <row r="2" spans="1:26">
      <c r="A2" s="1189" t="e">
        <f>'Medição '!$V$6:$AB$6</f>
        <v>#VALUE!</v>
      </c>
      <c r="B2" s="3493" t="str">
        <f>'Medição '!W6</f>
        <v>MT 251, KM 11, S/N, ÁREA RURAL - PARQUE NOVO MATO GROSSO, CEP 78099-899</v>
      </c>
      <c r="C2" s="2634"/>
      <c r="D2" s="2634"/>
      <c r="E2" s="2634"/>
      <c r="F2" s="2634"/>
      <c r="G2" s="2634"/>
      <c r="H2" s="2634"/>
      <c r="I2" s="2635"/>
      <c r="J2" s="130"/>
      <c r="K2" s="130"/>
      <c r="L2" s="129"/>
      <c r="M2" s="130"/>
      <c r="N2" s="130"/>
      <c r="O2" s="130"/>
      <c r="P2" s="130"/>
      <c r="Q2" s="130"/>
      <c r="R2" s="130"/>
      <c r="S2" s="130"/>
      <c r="T2" s="130"/>
      <c r="U2" s="130"/>
      <c r="V2" s="130"/>
      <c r="W2" s="130"/>
      <c r="X2" s="130"/>
      <c r="Y2" s="130"/>
      <c r="Z2" s="130"/>
    </row>
    <row r="3" spans="1:26">
      <c r="A3" s="1189" t="e">
        <f>'Medição '!$V$7:$AB$7</f>
        <v>#VALUE!</v>
      </c>
      <c r="B3" s="3493" t="str">
        <f>'Medição '!W7</f>
        <v>CUIABÁ - MT</v>
      </c>
      <c r="C3" s="2634"/>
      <c r="D3" s="2634"/>
      <c r="E3" s="2634"/>
      <c r="F3" s="2634"/>
      <c r="G3" s="2634"/>
      <c r="H3" s="2634"/>
      <c r="I3" s="2635"/>
      <c r="J3" s="130"/>
      <c r="K3" s="130"/>
      <c r="L3" s="129"/>
      <c r="M3" s="130"/>
      <c r="N3" s="130"/>
      <c r="O3" s="130"/>
      <c r="P3" s="130"/>
      <c r="Q3" s="130"/>
      <c r="R3" s="130"/>
      <c r="S3" s="130"/>
      <c r="T3" s="130"/>
      <c r="U3" s="130"/>
      <c r="V3" s="130"/>
      <c r="W3" s="130"/>
      <c r="X3" s="130"/>
      <c r="Y3" s="130"/>
      <c r="Z3" s="130"/>
    </row>
    <row r="4" spans="1:26">
      <c r="A4" s="1189" t="e">
        <f>'Medição '!$V$8:$AB$8</f>
        <v>#VALUE!</v>
      </c>
      <c r="B4" s="3494" t="str">
        <f>'Medição '!W8</f>
        <v>CONTRATAÇÃO DE EMPRESA ESPECIALIZADA PARA EXECUÇÃO DAS OBRAS DO "COMPLEXO SUNSET (WAKE BAR, PRAÇA SUNSET, QUIOSQUE, BANHEIROS DE APOIO E INFRA DE CONTÊINER) DO PARQUE NOVO MATO GROSSO"</v>
      </c>
      <c r="C4" s="2634"/>
      <c r="D4" s="2634"/>
      <c r="E4" s="2634"/>
      <c r="F4" s="2634"/>
      <c r="G4" s="2634"/>
      <c r="H4" s="2634"/>
      <c r="I4" s="2635"/>
      <c r="J4" s="130"/>
      <c r="K4" s="130"/>
      <c r="L4" s="129"/>
      <c r="M4" s="130"/>
      <c r="N4" s="130"/>
      <c r="O4" s="130"/>
      <c r="P4" s="130"/>
      <c r="Q4" s="130"/>
      <c r="R4" s="130"/>
      <c r="S4" s="130"/>
      <c r="T4" s="130"/>
      <c r="U4" s="130"/>
      <c r="V4" s="130"/>
      <c r="W4" s="130"/>
      <c r="X4" s="130"/>
      <c r="Y4" s="130"/>
      <c r="Z4" s="130"/>
    </row>
    <row r="5" spans="1:26" ht="30" customHeight="1">
      <c r="A5" s="3495" t="s">
        <v>16347</v>
      </c>
      <c r="B5" s="2588"/>
      <c r="C5" s="2588"/>
      <c r="D5" s="2588"/>
      <c r="E5" s="2588"/>
      <c r="F5" s="2588"/>
      <c r="G5" s="2588"/>
      <c r="H5" s="2588"/>
      <c r="I5" s="2621"/>
      <c r="J5" s="1290"/>
      <c r="K5" s="1290"/>
      <c r="L5" s="1519"/>
      <c r="M5" s="110"/>
      <c r="N5" s="339"/>
      <c r="O5" s="1520"/>
      <c r="P5" s="1520"/>
      <c r="Q5" s="1520"/>
      <c r="R5" s="1520"/>
      <c r="S5" s="1290"/>
      <c r="T5" s="1290"/>
      <c r="U5" s="1290"/>
      <c r="V5" s="1290"/>
      <c r="W5" s="1290"/>
      <c r="X5" s="1290"/>
      <c r="Y5" s="1290"/>
      <c r="Z5" s="1290"/>
    </row>
    <row r="6" spans="1:26" ht="25.5">
      <c r="A6" s="1292" t="s">
        <v>12613</v>
      </c>
      <c r="B6" s="1293" t="s">
        <v>16147</v>
      </c>
      <c r="C6" s="1293" t="s">
        <v>16148</v>
      </c>
      <c r="D6" s="1293" t="s">
        <v>16149</v>
      </c>
      <c r="E6" s="1294" t="s">
        <v>16197</v>
      </c>
      <c r="F6" s="1295" t="s">
        <v>16150</v>
      </c>
      <c r="G6" s="3496" t="s">
        <v>16151</v>
      </c>
      <c r="H6" s="2610"/>
      <c r="I6" s="3432"/>
      <c r="J6" s="1296"/>
      <c r="K6" s="1296"/>
      <c r="L6" s="1519"/>
      <c r="M6" s="110"/>
      <c r="N6" s="339"/>
      <c r="O6" s="1520"/>
      <c r="P6" s="1520"/>
      <c r="Q6" s="1520"/>
      <c r="R6" s="1520"/>
      <c r="S6" s="1296"/>
      <c r="T6" s="1296"/>
      <c r="U6" s="1296"/>
      <c r="V6" s="1296"/>
      <c r="W6" s="1296"/>
      <c r="X6" s="1296"/>
      <c r="Y6" s="1296"/>
      <c r="Z6" s="1296"/>
    </row>
    <row r="7" spans="1:26" ht="12.75">
      <c r="A7" s="1298" t="s">
        <v>14584</v>
      </c>
      <c r="B7" s="1299"/>
      <c r="C7" s="1299"/>
      <c r="D7" s="1300"/>
      <c r="E7" s="1301"/>
      <c r="F7" s="1302"/>
      <c r="G7" s="1301"/>
      <c r="H7" s="1302"/>
      <c r="I7" s="1303"/>
      <c r="J7" s="262"/>
      <c r="K7" s="262"/>
      <c r="L7" s="1519"/>
      <c r="N7" s="339"/>
      <c r="O7" s="1520"/>
      <c r="P7" s="1520"/>
      <c r="Q7" s="1520"/>
      <c r="R7" s="1520"/>
      <c r="S7" s="262"/>
      <c r="T7" s="262"/>
      <c r="U7" s="262"/>
      <c r="V7" s="262"/>
      <c r="W7" s="262"/>
      <c r="X7" s="262"/>
      <c r="Y7" s="262"/>
      <c r="Z7" s="262"/>
    </row>
    <row r="8" spans="1:26" ht="12.75">
      <c r="A8" s="238" t="s">
        <v>12630</v>
      </c>
      <c r="B8" s="1304"/>
      <c r="C8" s="1304"/>
      <c r="D8" s="1305" t="s">
        <v>16348</v>
      </c>
      <c r="E8" s="1306"/>
      <c r="F8" s="1307"/>
      <c r="G8" s="1306"/>
      <c r="H8" s="1306"/>
      <c r="I8" s="1308"/>
      <c r="J8" s="512"/>
      <c r="K8" s="262"/>
      <c r="L8" s="1521" t="s">
        <v>16349</v>
      </c>
      <c r="M8" s="948" t="s">
        <v>16350</v>
      </c>
      <c r="N8" s="339"/>
      <c r="O8" s="1520"/>
      <c r="P8" s="1520"/>
      <c r="Q8" s="1520"/>
      <c r="R8" s="1520"/>
      <c r="S8" s="262"/>
      <c r="T8" s="262"/>
      <c r="U8" s="262"/>
      <c r="V8" s="262"/>
      <c r="W8" s="262"/>
      <c r="X8" s="262"/>
      <c r="Y8" s="262"/>
      <c r="Z8" s="262"/>
    </row>
    <row r="9" spans="1:26" ht="12.75">
      <c r="A9" s="239" t="s">
        <v>13158</v>
      </c>
      <c r="B9" s="1309"/>
      <c r="C9" s="1309"/>
      <c r="D9" s="1310" t="s">
        <v>16351</v>
      </c>
      <c r="E9" s="1311" t="s">
        <v>409</v>
      </c>
      <c r="F9" s="1312">
        <v>3717.6</v>
      </c>
      <c r="G9" s="1310"/>
      <c r="H9" s="1310"/>
      <c r="I9" s="1313"/>
      <c r="J9" s="512"/>
      <c r="K9" s="262"/>
      <c r="L9" s="1519"/>
      <c r="M9" s="110"/>
      <c r="N9" s="339"/>
      <c r="O9" s="1520"/>
      <c r="P9" s="1520"/>
      <c r="Q9" s="1520"/>
      <c r="R9" s="1520"/>
      <c r="S9" s="262"/>
      <c r="T9" s="262"/>
      <c r="U9" s="262"/>
      <c r="V9" s="262"/>
      <c r="W9" s="262"/>
      <c r="X9" s="262"/>
      <c r="Y9" s="262"/>
      <c r="Z9" s="262"/>
    </row>
    <row r="10" spans="1:26" ht="38.25" outlineLevel="1">
      <c r="A10" s="241" t="s">
        <v>12603</v>
      </c>
      <c r="B10" s="386" t="s">
        <v>12604</v>
      </c>
      <c r="C10" s="386" t="s">
        <v>14472</v>
      </c>
      <c r="D10" s="1314" t="str">
        <f>IFERROR(VLOOKUP($B10,'24.08_ND'!$A$4833:$D$12369,2,0),IFERROR(VLOOKUP($B10,'03-CP'!$C$5:$H$4646,2,0),""))</f>
        <v xml:space="preserve">EXECUÇÃO DE PASSEIO (CALÇADA) OU PISO DE CONCRETO C25 MOLDADO IN LOCO, USINADO, ACABAMENTO CONVENCIONAL, ESPESSURA 8 CM, ARMADO. </v>
      </c>
      <c r="E10" s="1315" t="str">
        <f>IFERROR(VLOOKUP($B10,'24.08_ND'!$A:$D,3,0),IFERROR(VLOOKUP($B10,'03-CP'!$C$5:$H$4646,3,0),""))</f>
        <v>M2</v>
      </c>
      <c r="F10" s="389">
        <v>3717.6</v>
      </c>
      <c r="G10" s="386"/>
      <c r="H10" s="386"/>
      <c r="I10" s="1316"/>
      <c r="J10" s="386"/>
      <c r="K10" s="386"/>
      <c r="L10" s="1297" t="s">
        <v>16202</v>
      </c>
      <c r="M10" s="948"/>
      <c r="N10" s="339"/>
      <c r="O10" s="1520"/>
      <c r="P10" s="1520"/>
      <c r="Q10" s="1520"/>
      <c r="R10" s="1520"/>
      <c r="S10" s="262"/>
      <c r="T10" s="262"/>
      <c r="U10" s="262"/>
      <c r="V10" s="262"/>
      <c r="W10" s="262"/>
      <c r="X10" s="262"/>
      <c r="Y10" s="262"/>
      <c r="Z10" s="262"/>
    </row>
    <row r="11" spans="1:26" ht="25.5" outlineLevel="1">
      <c r="A11" s="241" t="s">
        <v>13159</v>
      </c>
      <c r="B11" s="386">
        <v>100576</v>
      </c>
      <c r="C11" s="386" t="s">
        <v>14476</v>
      </c>
      <c r="D11" s="1314" t="str">
        <f>IFERROR(VLOOKUP($B11,'24.08_ND'!$A$4833:$D$12369,2,0),IFERROR(VLOOKUP($B11,'03-CP'!$C$5:$H$4646,2,0),""))</f>
        <v>REGULARIZAÇÃO E COMPACTAÇÃO DE SUBLEITO DE SOLO  PREDOMINANTEMENTE ARGILOSO. AF_11/2019</v>
      </c>
      <c r="E11" s="1315" t="str">
        <f>IFERROR(VLOOKUP($B11,'24.08_ND'!$A:$D,3,0),IFERROR(VLOOKUP($B11,'03-CP'!$C$5:$H$4646,3,0),""))</f>
        <v>M2</v>
      </c>
      <c r="F11" s="389">
        <v>3717.6</v>
      </c>
      <c r="G11" s="386"/>
      <c r="H11" s="386"/>
      <c r="I11" s="1316"/>
      <c r="J11" s="386"/>
      <c r="K11" s="386"/>
      <c r="L11" s="1297" t="s">
        <v>16202</v>
      </c>
      <c r="M11" s="110"/>
      <c r="N11" s="339"/>
      <c r="O11" s="1520"/>
      <c r="P11" s="1520"/>
      <c r="Q11" s="1520"/>
      <c r="R11" s="1520"/>
      <c r="S11" s="262"/>
      <c r="T11" s="262"/>
      <c r="U11" s="262"/>
      <c r="V11" s="262"/>
      <c r="W11" s="262"/>
      <c r="X11" s="262"/>
      <c r="Y11" s="262"/>
      <c r="Z11" s="262"/>
    </row>
    <row r="12" spans="1:26" ht="25.5" outlineLevel="1">
      <c r="A12" s="241" t="s">
        <v>13160</v>
      </c>
      <c r="B12" s="386">
        <v>96622</v>
      </c>
      <c r="C12" s="386" t="s">
        <v>14476</v>
      </c>
      <c r="D12" s="1314" t="str">
        <f>IFERROR(VLOOKUP($B12,'24.08_ND'!$A$4833:$D$12369,2,0),IFERROR(VLOOKUP($B12,'03-CP'!$C$5:$H$4646,2,0),""))</f>
        <v>LASTRO COM MATERIAL GRANULAR, APLICADO EM PISOS OU LAJES SOBRE SOLO, ESPESSURA DE *5 CM*. AF_01/2024</v>
      </c>
      <c r="E12" s="1315" t="str">
        <f>IFERROR(VLOOKUP($B12,'24.08_ND'!$A:$D,3,0),IFERROR(VLOOKUP($B12,'03-CP'!$C$5:$H$4646,3,0),""))</f>
        <v>M3</v>
      </c>
      <c r="F12" s="389">
        <v>185.88</v>
      </c>
      <c r="G12" s="386"/>
      <c r="H12" s="386"/>
      <c r="I12" s="1316"/>
      <c r="J12" s="386"/>
      <c r="K12" s="386"/>
      <c r="L12" s="1297" t="s">
        <v>16202</v>
      </c>
      <c r="M12" s="110"/>
      <c r="N12" s="339"/>
      <c r="O12" s="1520"/>
      <c r="P12" s="1520"/>
      <c r="Q12" s="1520"/>
      <c r="R12" s="1520"/>
      <c r="S12" s="262"/>
      <c r="T12" s="262"/>
      <c r="U12" s="262"/>
      <c r="V12" s="262"/>
      <c r="W12" s="262"/>
      <c r="X12" s="262"/>
      <c r="Y12" s="262"/>
      <c r="Z12" s="262"/>
    </row>
    <row r="13" spans="1:26" ht="38.25" outlineLevel="1">
      <c r="A13" s="241" t="s">
        <v>13161</v>
      </c>
      <c r="B13" s="386">
        <v>98575</v>
      </c>
      <c r="C13" s="386" t="s">
        <v>14476</v>
      </c>
      <c r="D13" s="1314" t="str">
        <f>IFERROR(VLOOKUP($B13,'24.08_ND'!$A$4833:$D$12369,2,0),IFERROR(VLOOKUP($B13,'03-CP'!$C$5:$H$4646,2,0),""))</f>
        <v>TRATAMENTO DE JUNTA DE DILATAÇÃO, COM TARUGO DE POLIETILENO E SELANTE PU, INCLUSO PREENCHIMENTO COM ESPUMA EXPANSIVA PU. AF_09/2023</v>
      </c>
      <c r="E13" s="1315" t="str">
        <f>IFERROR(VLOOKUP($B13,'24.08_ND'!$A:$D,3,0),IFERROR(VLOOKUP($B13,'03-CP'!$C$5:$H$4646,3,0),""))</f>
        <v>M</v>
      </c>
      <c r="F13" s="389">
        <v>2683</v>
      </c>
      <c r="G13" s="386"/>
      <c r="H13" s="386"/>
      <c r="I13" s="1316"/>
      <c r="J13" s="386"/>
      <c r="K13" s="386"/>
      <c r="L13" s="1297" t="s">
        <v>16202</v>
      </c>
      <c r="M13" s="110"/>
      <c r="N13" s="339"/>
      <c r="O13" s="1520"/>
      <c r="P13" s="1520"/>
      <c r="Q13" s="1520"/>
      <c r="R13" s="1520"/>
      <c r="S13" s="262"/>
      <c r="T13" s="262"/>
      <c r="U13" s="262"/>
      <c r="V13" s="262"/>
      <c r="W13" s="262"/>
      <c r="X13" s="262"/>
      <c r="Y13" s="262"/>
      <c r="Z13" s="262"/>
    </row>
    <row r="14" spans="1:26" ht="38.25" outlineLevel="1">
      <c r="A14" s="241" t="s">
        <v>13162</v>
      </c>
      <c r="B14" s="1522" t="s">
        <v>14585</v>
      </c>
      <c r="C14" s="386" t="s">
        <v>14472</v>
      </c>
      <c r="D14" s="1314" t="str">
        <f>IFERROR(VLOOKUP($B14,'24.08_ND'!$A$4833:$D$12369,2,0),IFERROR(VLOOKUP($B14,'03-CP'!$C$5:$H$4646,2,0),""))</f>
        <v>TRATAMENTO DE JUNTA DE DILATAÇÃO, COM TARUGO DE POLIETILENO E SELANTE PU, INCLUSO PREENCHIMENTO COM ESPUMA EXPANSIVA PU  EPS 20MM</v>
      </c>
      <c r="E14" s="1315" t="str">
        <f>IFERROR(VLOOKUP($B14,'24.08_ND'!$A:$D,3,0),IFERROR(VLOOKUP($B14,'03-CP'!$C$5:$H$4646,3,0),""))</f>
        <v>M</v>
      </c>
      <c r="F14" s="389">
        <v>163</v>
      </c>
      <c r="G14" s="386"/>
      <c r="H14" s="386"/>
      <c r="I14" s="1316"/>
      <c r="J14" s="386"/>
      <c r="K14" s="386"/>
      <c r="L14" s="1297" t="s">
        <v>16202</v>
      </c>
      <c r="M14" s="110"/>
      <c r="N14" s="339"/>
      <c r="O14" s="1520"/>
      <c r="P14" s="1520"/>
      <c r="Q14" s="1520"/>
      <c r="R14" s="1520"/>
      <c r="S14" s="262"/>
      <c r="T14" s="262"/>
      <c r="U14" s="262"/>
      <c r="V14" s="262"/>
      <c r="W14" s="262"/>
      <c r="X14" s="262"/>
      <c r="Y14" s="262"/>
      <c r="Z14" s="262"/>
    </row>
    <row r="15" spans="1:26" ht="25.5" outlineLevel="1">
      <c r="A15" s="241" t="s">
        <v>13163</v>
      </c>
      <c r="B15" s="386">
        <v>97087</v>
      </c>
      <c r="C15" s="386" t="s">
        <v>14476</v>
      </c>
      <c r="D15" s="1314" t="str">
        <f>IFERROR(VLOOKUP($B15,'24.08_ND'!$A$4833:$D$12369,2,0),IFERROR(VLOOKUP($B15,'03-CP'!$C$5:$H$4646,2,0),""))</f>
        <v>CAMADA SEPARADORA PARA EXECUÇÃO DE RADIER, PISO DE CONCRETO OU LAJE SOBRE SOLO, EM LONA PLÁSTICA. AF_09/2021</v>
      </c>
      <c r="E15" s="1315" t="str">
        <f>IFERROR(VLOOKUP($B15,'24.08_ND'!$A:$D,3,0),IFERROR(VLOOKUP($B15,'03-CP'!$C$5:$H$4646,3,0),""))</f>
        <v>M2</v>
      </c>
      <c r="F15" s="389">
        <v>4089.36</v>
      </c>
      <c r="G15" s="386"/>
      <c r="H15" s="386"/>
      <c r="I15" s="1316"/>
      <c r="J15" s="386"/>
      <c r="K15" s="386"/>
      <c r="L15" s="1297" t="s">
        <v>16202</v>
      </c>
      <c r="M15" s="110"/>
      <c r="N15" s="339"/>
      <c r="O15" s="1520"/>
      <c r="P15" s="1520"/>
      <c r="Q15" s="1520"/>
      <c r="R15" s="1520"/>
      <c r="S15" s="262"/>
      <c r="T15" s="262"/>
      <c r="U15" s="262"/>
      <c r="V15" s="262"/>
      <c r="W15" s="262"/>
      <c r="X15" s="262"/>
      <c r="Y15" s="262"/>
      <c r="Z15" s="262"/>
    </row>
    <row r="16" spans="1:26" ht="38.25" outlineLevel="1">
      <c r="A16" s="241" t="s">
        <v>13164</v>
      </c>
      <c r="B16" s="386" t="s">
        <v>14598</v>
      </c>
      <c r="C16" s="386" t="s">
        <v>14472</v>
      </c>
      <c r="D16" s="1314" t="str">
        <f>IFERROR(VLOOKUP($B16,'24.08_ND'!$A$4833:$D$12369,2,0),IFERROR(VLOOKUP($B16,'03-CP'!$C$5:$H$4646,2,0),""))</f>
        <v>CURA ÚMIDA POR ASPERSÃO DE ÁGUA DURANTE 3 DIAS COM UTILIZAÇÃO DE MANTA GEOTEXTIL NAO TECIDO AGULHADO DE FILAMENTOS CONTINUOS 100% POLIESTER - 4 UTILIZAÇÕES</v>
      </c>
      <c r="E16" s="1315" t="str">
        <f>IFERROR(VLOOKUP($B16,'24.08_ND'!$A:$D,3,0),IFERROR(VLOOKUP($B16,'03-CP'!$C$5:$H$4646,3,0),""))</f>
        <v>M2</v>
      </c>
      <c r="F16" s="389">
        <v>3717.6</v>
      </c>
      <c r="G16" s="386"/>
      <c r="H16" s="386"/>
      <c r="I16" s="1316"/>
      <c r="J16" s="386"/>
      <c r="K16" s="386"/>
      <c r="L16" s="1297" t="s">
        <v>16202</v>
      </c>
      <c r="M16" s="110"/>
      <c r="N16" s="339"/>
      <c r="O16" s="1520"/>
      <c r="P16" s="1520"/>
      <c r="Q16" s="1520"/>
      <c r="R16" s="1520"/>
      <c r="S16" s="262"/>
      <c r="T16" s="262"/>
      <c r="U16" s="262"/>
      <c r="V16" s="262"/>
      <c r="W16" s="262"/>
      <c r="X16" s="262"/>
      <c r="Y16" s="262"/>
      <c r="Z16" s="262"/>
    </row>
    <row r="17" spans="1:26" ht="38.25" outlineLevel="1">
      <c r="A17" s="241" t="s">
        <v>13165</v>
      </c>
      <c r="B17" s="386">
        <v>92917</v>
      </c>
      <c r="C17" s="386" t="s">
        <v>14476</v>
      </c>
      <c r="D17" s="1314" t="str">
        <f>IFERROR(VLOOKUP($B17,'24.08_ND'!$A$4833:$D$12369,2,0),IFERROR(VLOOKUP($B17,'03-CP'!$C$5:$H$4646,2,0),""))</f>
        <v>ARMAÇÃO DE ESTRUTURAS DIVERSAS DE CONCRETO ARMADO, EXCETO VIGAS, PILARES, LAJES E FUNDAÇÕES, UTILIZANDO AÇO CA-50 DE 8,0 MM - MONTAGEM. AF_06/2022</v>
      </c>
      <c r="E17" s="1315" t="str">
        <f>IFERROR(VLOOKUP($B17,'24.08_ND'!$A:$D,3,0),IFERROR(VLOOKUP($B17,'03-CP'!$C$5:$H$4646,3,0),""))</f>
        <v>KG</v>
      </c>
      <c r="F17" s="389">
        <v>64.39</v>
      </c>
      <c r="G17" s="386"/>
      <c r="H17" s="1438"/>
      <c r="I17" s="1316"/>
      <c r="J17" s="386"/>
      <c r="K17" s="386"/>
      <c r="L17" s="1297" t="s">
        <v>16202</v>
      </c>
      <c r="M17" s="1523" t="s">
        <v>16352</v>
      </c>
      <c r="N17" s="339"/>
      <c r="O17" s="1520"/>
      <c r="P17" s="1520"/>
      <c r="Q17" s="1520"/>
      <c r="R17" s="1520"/>
      <c r="S17" s="262"/>
      <c r="T17" s="262"/>
      <c r="U17" s="262"/>
      <c r="V17" s="262"/>
      <c r="W17" s="262"/>
      <c r="X17" s="262"/>
      <c r="Y17" s="262"/>
      <c r="Z17" s="262"/>
    </row>
    <row r="18" spans="1:26" ht="12.75" hidden="1" outlineLevel="1">
      <c r="A18" s="247"/>
      <c r="B18" s="386"/>
      <c r="C18" s="386"/>
      <c r="D18" s="253"/>
      <c r="E18" s="1244"/>
      <c r="F18" s="389"/>
      <c r="G18" s="1244"/>
      <c r="H18" s="1244"/>
      <c r="I18" s="1409"/>
      <c r="J18" s="1383"/>
      <c r="K18" s="262"/>
      <c r="L18" s="386"/>
      <c r="M18" s="262"/>
      <c r="N18" s="262"/>
      <c r="O18" s="262"/>
      <c r="P18" s="262"/>
      <c r="Q18" s="262"/>
      <c r="R18" s="262"/>
      <c r="S18" s="262"/>
      <c r="T18" s="262"/>
      <c r="U18" s="262"/>
      <c r="V18" s="262"/>
      <c r="W18" s="262"/>
      <c r="X18" s="262"/>
      <c r="Y18" s="262"/>
      <c r="Z18" s="262"/>
    </row>
    <row r="19" spans="1:26" ht="12.75">
      <c r="A19" s="239" t="s">
        <v>13166</v>
      </c>
      <c r="B19" s="1309"/>
      <c r="C19" s="1309"/>
      <c r="D19" s="1310" t="s">
        <v>16353</v>
      </c>
      <c r="E19" s="1311" t="s">
        <v>6</v>
      </c>
      <c r="F19" s="1312">
        <v>13</v>
      </c>
      <c r="G19" s="1310"/>
      <c r="H19" s="1524"/>
      <c r="I19" s="1313"/>
      <c r="J19" s="512"/>
      <c r="K19" s="262"/>
      <c r="L19" s="1521" t="s">
        <v>16349</v>
      </c>
      <c r="M19" s="948" t="s">
        <v>16350</v>
      </c>
      <c r="N19" s="262"/>
      <c r="O19" s="262"/>
      <c r="P19" s="262"/>
      <c r="Q19" s="262"/>
      <c r="R19" s="262"/>
      <c r="S19" s="262"/>
      <c r="T19" s="262"/>
      <c r="U19" s="262"/>
      <c r="V19" s="262"/>
      <c r="W19" s="262"/>
      <c r="X19" s="262"/>
      <c r="Y19" s="262"/>
      <c r="Z19" s="262"/>
    </row>
    <row r="20" spans="1:26" ht="38.25" outlineLevel="1">
      <c r="A20" s="240" t="s">
        <v>13167</v>
      </c>
      <c r="B20" s="303" t="s">
        <v>14588</v>
      </c>
      <c r="C20" s="303" t="s">
        <v>14472</v>
      </c>
      <c r="D20" s="1446" t="str">
        <f>IFERROR(VLOOKUP($B20,'24.08_ND'!$A$4833:$D$12369,2,0),IFERROR(VLOOKUP($B20,'03-CP'!$C$5:$H$4646,2,0),""))</f>
        <v>ESTACA ESCAVADA MECANICAMENTE, SEM FLUIDO ESTABILIZANTE, COM 40CM DE DIÂMETRO. (EXCLUSIVE MOBILIZAÇÃO E DESMOBILIZAÇÃO, ARMADURA, CONCRETAGEM E DESCARTE DO SOLO)</v>
      </c>
      <c r="E20" s="1447" t="str">
        <f>IFERROR(VLOOKUP($B20,'24.08_ND'!$A:$D,3,0),IFERROR(VLOOKUP($B20,'03-CP'!$C$5:$H$4646,3,0),""))</f>
        <v>M</v>
      </c>
      <c r="F20" s="306">
        <v>26</v>
      </c>
      <c r="G20" s="303"/>
      <c r="H20" s="303"/>
      <c r="I20" s="1525"/>
      <c r="J20" s="1526"/>
      <c r="K20" s="1320"/>
      <c r="L20" s="1297" t="s">
        <v>16202</v>
      </c>
      <c r="M20" s="1320"/>
      <c r="N20" s="1320"/>
      <c r="O20" s="1320"/>
      <c r="P20" s="1320"/>
      <c r="Q20" s="1320"/>
      <c r="R20" s="1320"/>
      <c r="S20" s="1320"/>
      <c r="T20" s="1320"/>
      <c r="U20" s="1320"/>
      <c r="V20" s="1320"/>
      <c r="W20" s="1320"/>
      <c r="X20" s="1320"/>
      <c r="Y20" s="1320"/>
      <c r="Z20" s="1320"/>
    </row>
    <row r="21" spans="1:26" ht="25.5" outlineLevel="1">
      <c r="A21" s="240" t="s">
        <v>13168</v>
      </c>
      <c r="B21" s="303" t="s">
        <v>14590</v>
      </c>
      <c r="C21" s="303" t="s">
        <v>14472</v>
      </c>
      <c r="D21" s="1446" t="str">
        <f>IFERROR(VLOOKUP($B21,'24.08_ND'!$A$4833:$D$12369,2,0),IFERROR(VLOOKUP($B21,'03-CP'!$C$5:$H$4646,2,0),""))</f>
        <v>CONCRETAGEM FCK = 25 MPA, COM USO DE BOMBA - LANÇAMENTO, ADENSAMENTO E ACABAMENTO</v>
      </c>
      <c r="E21" s="1447" t="str">
        <f>IFERROR(VLOOKUP($B21,'24.08_ND'!$A:$D,3,0),IFERROR(VLOOKUP($B21,'03-CP'!$C$5:$H$4646,3,0),""))</f>
        <v>M3</v>
      </c>
      <c r="F21" s="306">
        <v>3.27</v>
      </c>
      <c r="G21" s="303"/>
      <c r="H21" s="303"/>
      <c r="I21" s="1525"/>
      <c r="J21" s="1526"/>
      <c r="K21" s="1320"/>
      <c r="L21" s="1297" t="s">
        <v>16202</v>
      </c>
      <c r="M21" s="1320"/>
      <c r="N21" s="1320"/>
      <c r="O21" s="1320"/>
      <c r="P21" s="1320"/>
      <c r="Q21" s="1320"/>
      <c r="R21" s="1320"/>
      <c r="S21" s="1320"/>
      <c r="T21" s="1320"/>
      <c r="U21" s="1320"/>
      <c r="V21" s="1320"/>
      <c r="W21" s="1320"/>
      <c r="X21" s="1320"/>
      <c r="Y21" s="1320"/>
      <c r="Z21" s="1320"/>
    </row>
    <row r="22" spans="1:26" ht="25.5" outlineLevel="1">
      <c r="A22" s="240" t="s">
        <v>13169</v>
      </c>
      <c r="B22" s="303">
        <v>95577</v>
      </c>
      <c r="C22" s="303" t="s">
        <v>14476</v>
      </c>
      <c r="D22" s="1446" t="str">
        <f>IFERROR(VLOOKUP($B22,'24.08_ND'!$A$4833:$D$12369,2,0),IFERROR(VLOOKUP($B22,'03-CP'!$C$5:$H$4646,2,0),""))</f>
        <v>MONTAGEM DE ARMADURA DE ESTACAS, DIÂMETRO = 10,0 MM. AF_09/2021_PS</v>
      </c>
      <c r="E22" s="1447" t="str">
        <f>IFERROR(VLOOKUP($B22,'24.08_ND'!$A:$D,3,0),IFERROR(VLOOKUP($B22,'03-CP'!$C$5:$H$4646,3,0),""))</f>
        <v>KG</v>
      </c>
      <c r="F22" s="306">
        <v>60.96</v>
      </c>
      <c r="G22" s="303"/>
      <c r="H22" s="303"/>
      <c r="I22" s="1525"/>
      <c r="J22" s="1526"/>
      <c r="K22" s="1320"/>
      <c r="L22" s="1297" t="s">
        <v>16202</v>
      </c>
      <c r="M22" s="1320"/>
      <c r="N22" s="1320"/>
      <c r="O22" s="1320"/>
      <c r="P22" s="1320"/>
      <c r="Q22" s="1320"/>
      <c r="R22" s="1320"/>
      <c r="S22" s="1320"/>
      <c r="T22" s="1320"/>
      <c r="U22" s="1320"/>
      <c r="V22" s="1320"/>
      <c r="W22" s="1320"/>
      <c r="X22" s="1320"/>
      <c r="Y22" s="1320"/>
      <c r="Z22" s="1320"/>
    </row>
    <row r="23" spans="1:26" ht="25.5" outlineLevel="1">
      <c r="A23" s="240" t="s">
        <v>13170</v>
      </c>
      <c r="B23" s="303">
        <v>95583</v>
      </c>
      <c r="C23" s="303" t="s">
        <v>14476</v>
      </c>
      <c r="D23" s="1446" t="str">
        <f>IFERROR(VLOOKUP($B23,'24.08_ND'!$A$4833:$D$12369,2,0),IFERROR(VLOOKUP($B23,'03-CP'!$C$5:$H$4646,2,0),""))</f>
        <v>MONTAGEM DE ARMADURA TRANSVERSAL DE ESTACAS DE SEÇÃO CIRCULAR, DIÂMETRO = 5,0 MM. AF_09/2021_PS</v>
      </c>
      <c r="E23" s="1447" t="str">
        <f>IFERROR(VLOOKUP($B23,'24.08_ND'!$A:$D,3,0),IFERROR(VLOOKUP($B23,'03-CP'!$C$5:$H$4646,3,0),""))</f>
        <v>KG</v>
      </c>
      <c r="F23" s="306">
        <v>18.920000000000002</v>
      </c>
      <c r="G23" s="303"/>
      <c r="H23" s="303"/>
      <c r="I23" s="1525"/>
      <c r="J23" s="303"/>
      <c r="K23" s="303"/>
      <c r="L23" s="1297" t="s">
        <v>16202</v>
      </c>
      <c r="M23" s="1320"/>
      <c r="N23" s="1320"/>
      <c r="O23" s="1320"/>
      <c r="P23" s="1320"/>
      <c r="Q23" s="1320"/>
      <c r="R23" s="1320"/>
      <c r="S23" s="1320"/>
      <c r="T23" s="1320"/>
      <c r="U23" s="1320"/>
      <c r="V23" s="1320"/>
      <c r="W23" s="1320"/>
      <c r="X23" s="1320"/>
      <c r="Y23" s="1320"/>
      <c r="Z23" s="1320"/>
    </row>
    <row r="24" spans="1:26" ht="51" outlineLevel="1">
      <c r="A24" s="1527" t="s">
        <v>13171</v>
      </c>
      <c r="B24" s="295">
        <v>100978</v>
      </c>
      <c r="C24" s="295" t="s">
        <v>14476</v>
      </c>
      <c r="D24" s="658" t="str">
        <f>IFERROR(VLOOKUP($B24,'24.08_ND'!$A$4833:$D$12369,2,0),IFERROR(VLOOKUP($B24,'03-CP'!$C$5:$H$4646,2,0),""))</f>
        <v>CARGA, MANOBRA E DESCARGA DE SOLOS E MATERIAIS GRANULARES EM CAMINHÃO BASCULANTE 10 M³ - CARGA COM ESCAVADEIRA HIDRÁULICA (CAÇAMBA DE 1,20 M³ / 155 HP) E DESCARGA LIVRE (UNIDADE: M3). AF_07/2020</v>
      </c>
      <c r="E24" s="1318" t="str">
        <f>IFERROR(VLOOKUP($B24,'24.08_ND'!$A:$D,3,0),IFERROR(VLOOKUP($B24,'03-CP'!$C$5:$H$4646,3,0),""))</f>
        <v>M3</v>
      </c>
      <c r="F24" s="298">
        <f>D28</f>
        <v>4.5779999999999994</v>
      </c>
      <c r="G24" s="295"/>
      <c r="H24" s="295"/>
      <c r="I24" s="1319"/>
      <c r="J24" s="295"/>
      <c r="K24" s="295"/>
      <c r="L24" s="1528" t="s">
        <v>16202</v>
      </c>
      <c r="M24" s="262"/>
      <c r="N24" s="262"/>
      <c r="O24" s="262"/>
      <c r="P24" s="262"/>
      <c r="Q24" s="262"/>
      <c r="R24" s="262"/>
      <c r="S24" s="1320"/>
      <c r="T24" s="1320"/>
      <c r="U24" s="1320"/>
      <c r="V24" s="1320"/>
      <c r="W24" s="1320"/>
      <c r="X24" s="1320"/>
      <c r="Y24" s="1320"/>
      <c r="Z24" s="1320"/>
    </row>
    <row r="25" spans="1:26" ht="12.75" hidden="1" outlineLevel="1">
      <c r="A25" s="1321"/>
      <c r="B25" s="1322" t="s">
        <v>16206</v>
      </c>
      <c r="C25" s="1323" t="s">
        <v>16207</v>
      </c>
      <c r="D25" s="1324" t="s">
        <v>16208</v>
      </c>
      <c r="E25" s="1334"/>
      <c r="F25" s="1335"/>
      <c r="G25" s="1327"/>
      <c r="H25" s="1327"/>
      <c r="I25" s="1328"/>
      <c r="J25" s="1327"/>
      <c r="K25" s="1327"/>
      <c r="L25" s="1327"/>
      <c r="M25" s="262"/>
      <c r="N25" s="262"/>
      <c r="O25" s="262"/>
      <c r="P25" s="262"/>
      <c r="Q25" s="262"/>
      <c r="R25" s="262"/>
      <c r="S25" s="1320"/>
      <c r="T25" s="1320"/>
      <c r="U25" s="1320"/>
      <c r="V25" s="1320"/>
      <c r="W25" s="1320"/>
      <c r="X25" s="1320"/>
      <c r="Y25" s="1320"/>
      <c r="Z25" s="1320"/>
    </row>
    <row r="26" spans="1:26" ht="12.75" hidden="1" outlineLevel="1">
      <c r="A26" s="1321"/>
      <c r="B26" s="1336">
        <f>F21</f>
        <v>3.27</v>
      </c>
      <c r="C26" s="1327">
        <v>1.4</v>
      </c>
      <c r="D26" s="1337">
        <f>B26*C26</f>
        <v>4.5779999999999994</v>
      </c>
      <c r="E26" s="1338"/>
      <c r="F26" s="1339"/>
      <c r="G26" s="1327"/>
      <c r="H26" s="1327"/>
      <c r="I26" s="1328"/>
      <c r="J26" s="1327"/>
      <c r="K26" s="1327"/>
      <c r="L26" s="1327"/>
      <c r="M26" s="262"/>
      <c r="N26" s="262"/>
      <c r="O26" s="262"/>
      <c r="P26" s="262"/>
      <c r="Q26" s="262"/>
      <c r="R26" s="262"/>
      <c r="S26" s="1320"/>
      <c r="T26" s="1320"/>
      <c r="U26" s="1320"/>
      <c r="V26" s="1320"/>
      <c r="W26" s="1320"/>
      <c r="X26" s="1320"/>
      <c r="Y26" s="1320"/>
      <c r="Z26" s="1320"/>
    </row>
    <row r="27" spans="1:26" ht="12.75" hidden="1" outlineLevel="1">
      <c r="A27" s="1321"/>
      <c r="B27" s="1340" t="s">
        <v>16209</v>
      </c>
      <c r="C27" s="1327" t="s">
        <v>16205</v>
      </c>
      <c r="D27" s="1341" t="s">
        <v>16210</v>
      </c>
      <c r="E27" s="1338"/>
      <c r="F27" s="1339"/>
      <c r="G27" s="1327"/>
      <c r="H27" s="1327"/>
      <c r="I27" s="1328"/>
      <c r="J27" s="1327"/>
      <c r="K27" s="1327"/>
      <c r="L27" s="1327"/>
      <c r="M27" s="262"/>
      <c r="N27" s="262"/>
      <c r="O27" s="262"/>
      <c r="P27" s="262"/>
      <c r="Q27" s="262"/>
      <c r="R27" s="262"/>
      <c r="S27" s="1320"/>
      <c r="T27" s="1320"/>
      <c r="U27" s="1320"/>
      <c r="V27" s="1320"/>
      <c r="W27" s="1320"/>
      <c r="X27" s="1320"/>
      <c r="Y27" s="1320"/>
      <c r="Z27" s="1320"/>
    </row>
    <row r="28" spans="1:26" ht="12.75" hidden="1" outlineLevel="1">
      <c r="A28" s="1321"/>
      <c r="B28" s="1329">
        <f>D26</f>
        <v>4.5779999999999994</v>
      </c>
      <c r="C28" s="1330">
        <v>0</v>
      </c>
      <c r="D28" s="1365">
        <f>B28-C28</f>
        <v>4.5779999999999994</v>
      </c>
      <c r="E28" s="1344"/>
      <c r="F28" s="1345"/>
      <c r="G28" s="1327"/>
      <c r="H28" s="1327"/>
      <c r="I28" s="1328"/>
      <c r="J28" s="1327"/>
      <c r="K28" s="1327"/>
      <c r="L28" s="1327"/>
      <c r="M28" s="262"/>
      <c r="N28" s="262"/>
      <c r="O28" s="262"/>
      <c r="P28" s="262"/>
      <c r="Q28" s="262"/>
      <c r="R28" s="262"/>
      <c r="S28" s="1320"/>
      <c r="T28" s="1320"/>
      <c r="U28" s="1320"/>
      <c r="V28" s="1320"/>
      <c r="W28" s="1320"/>
      <c r="X28" s="1320"/>
      <c r="Y28" s="1320"/>
      <c r="Z28" s="1320"/>
    </row>
    <row r="29" spans="1:26" ht="25.5" outlineLevel="1">
      <c r="A29" s="1527" t="s">
        <v>13172</v>
      </c>
      <c r="B29" s="295">
        <v>100938</v>
      </c>
      <c r="C29" s="295" t="s">
        <v>14476</v>
      </c>
      <c r="D29" s="658" t="str">
        <f>IFERROR(VLOOKUP($B29,'24.08_ND'!$A$4833:$D$12369,2,0),IFERROR(VLOOKUP($B29,'03-CP'!$C$5:$H$4646,2,0),""))</f>
        <v>TRANSPORTE COM CAMINHÃO BASCULANTE DE 10 M³, EM VIA INTERNA (DENTRO DO CANTEIRO - UNIDADE: M3XKM). AF_07/2020</v>
      </c>
      <c r="E29" s="1318" t="str">
        <f>IFERROR(VLOOKUP($B29,'24.08_ND'!$A:$D,3,0),IFERROR(VLOOKUP($B29,'03-CP'!$C$5:$H$4646,3,0),""))</f>
        <v>M3XKM</v>
      </c>
      <c r="F29" s="298">
        <f>F31</f>
        <v>9.1559999999999988</v>
      </c>
      <c r="G29" s="295"/>
      <c r="H29" s="295"/>
      <c r="I29" s="1319"/>
      <c r="J29" s="295"/>
      <c r="K29" s="295"/>
      <c r="L29" s="1528" t="s">
        <v>16202</v>
      </c>
      <c r="M29" s="262"/>
      <c r="N29" s="262"/>
      <c r="O29" s="262"/>
      <c r="P29" s="262"/>
      <c r="Q29" s="262"/>
      <c r="R29" s="262"/>
      <c r="S29" s="1320"/>
      <c r="T29" s="1320"/>
      <c r="U29" s="1320"/>
      <c r="V29" s="1320"/>
      <c r="W29" s="1320"/>
      <c r="X29" s="1320"/>
      <c r="Y29" s="1320"/>
      <c r="Z29" s="1320"/>
    </row>
    <row r="30" spans="1:26" ht="12.75" hidden="1" outlineLevel="1">
      <c r="A30" s="1346"/>
      <c r="B30" s="1322"/>
      <c r="C30" s="1334"/>
      <c r="D30" s="1325" t="s">
        <v>16211</v>
      </c>
      <c r="E30" s="1347" t="s">
        <v>16212</v>
      </c>
      <c r="F30" s="1348" t="s">
        <v>16213</v>
      </c>
      <c r="G30" s="1349"/>
      <c r="H30" s="1349"/>
      <c r="I30" s="1350"/>
      <c r="J30" s="1351"/>
      <c r="K30" s="1352"/>
      <c r="L30" s="1353"/>
      <c r="M30" s="948"/>
      <c r="N30" s="262"/>
      <c r="O30" s="262"/>
      <c r="P30" s="262"/>
      <c r="Q30" s="262"/>
      <c r="R30" s="262"/>
      <c r="S30" s="262"/>
      <c r="T30" s="262"/>
      <c r="U30" s="262"/>
      <c r="V30" s="262"/>
      <c r="W30" s="262"/>
      <c r="X30" s="262"/>
      <c r="Y30" s="262"/>
      <c r="Z30" s="262"/>
    </row>
    <row r="31" spans="1:26" ht="12.75" hidden="1" outlineLevel="1">
      <c r="A31" s="1346"/>
      <c r="B31" s="1329"/>
      <c r="C31" s="1344"/>
      <c r="D31" s="1332">
        <f>D28</f>
        <v>4.5779999999999994</v>
      </c>
      <c r="E31" s="1355">
        <v>2</v>
      </c>
      <c r="F31" s="1356">
        <f>D31*E31</f>
        <v>9.1559999999999988</v>
      </c>
      <c r="G31" s="1349"/>
      <c r="H31" s="1349"/>
      <c r="I31" s="1350"/>
      <c r="J31" s="1351"/>
      <c r="K31" s="1352"/>
      <c r="L31" s="1353"/>
      <c r="M31" s="948"/>
      <c r="N31" s="262"/>
      <c r="O31" s="262"/>
      <c r="P31" s="262"/>
      <c r="Q31" s="262"/>
      <c r="R31" s="262"/>
      <c r="S31" s="262"/>
      <c r="T31" s="262"/>
      <c r="U31" s="262"/>
      <c r="V31" s="262"/>
      <c r="W31" s="262"/>
      <c r="X31" s="262"/>
      <c r="Y31" s="262"/>
      <c r="Z31" s="262"/>
    </row>
    <row r="32" spans="1:26" ht="12.75">
      <c r="A32" s="239" t="s">
        <v>13173</v>
      </c>
      <c r="B32" s="1309"/>
      <c r="C32" s="1309"/>
      <c r="D32" s="1310" t="s">
        <v>16354</v>
      </c>
      <c r="E32" s="1311" t="s">
        <v>6</v>
      </c>
      <c r="F32" s="1312">
        <v>26</v>
      </c>
      <c r="G32" s="1310"/>
      <c r="H32" s="1524"/>
      <c r="I32" s="1313"/>
      <c r="J32" s="512"/>
      <c r="K32" s="262"/>
      <c r="L32" s="1521"/>
      <c r="M32" s="948"/>
      <c r="N32" s="262"/>
      <c r="O32" s="262"/>
      <c r="P32" s="262"/>
      <c r="Q32" s="262"/>
      <c r="R32" s="262"/>
      <c r="S32" s="262"/>
      <c r="T32" s="262"/>
      <c r="U32" s="262"/>
      <c r="V32" s="262"/>
      <c r="W32" s="262"/>
      <c r="X32" s="262"/>
      <c r="Y32" s="262"/>
      <c r="Z32" s="262"/>
    </row>
    <row r="33" spans="1:26" ht="38.25" outlineLevel="1">
      <c r="A33" s="242" t="s">
        <v>13174</v>
      </c>
      <c r="B33" s="303" t="s">
        <v>14588</v>
      </c>
      <c r="C33" s="303" t="s">
        <v>14472</v>
      </c>
      <c r="D33" s="1446" t="str">
        <f>IFERROR(VLOOKUP($B33,'24.08_ND'!$A$4833:$D$12369,2,0),IFERROR(VLOOKUP($B33,'03-CP'!$C$5:$H$4646,2,0),""))</f>
        <v>ESTACA ESCAVADA MECANICAMENTE, SEM FLUIDO ESTABILIZANTE, COM 40CM DE DIÂMETRO. (EXCLUSIVE MOBILIZAÇÃO E DESMOBILIZAÇÃO, ARMADURA, CONCRETAGEM E DESCARTE DO SOLO)</v>
      </c>
      <c r="E33" s="1447" t="str">
        <f>IFERROR(VLOOKUP($B33,'24.08_ND'!$A:$D,3,0),IFERROR(VLOOKUP($B33,'03-CP'!$C$5:$H$4646,3,0),""))</f>
        <v>M</v>
      </c>
      <c r="F33" s="306">
        <v>15.6</v>
      </c>
      <c r="G33" s="303"/>
      <c r="H33" s="303"/>
      <c r="I33" s="1525"/>
      <c r="J33" s="295"/>
      <c r="K33" s="295"/>
      <c r="L33" s="1297" t="s">
        <v>16202</v>
      </c>
      <c r="M33" s="262"/>
      <c r="N33" s="262"/>
      <c r="O33" s="262"/>
      <c r="P33" s="262"/>
      <c r="Q33" s="262"/>
      <c r="R33" s="262"/>
      <c r="S33" s="1320"/>
      <c r="T33" s="1320"/>
      <c r="U33" s="1320"/>
      <c r="V33" s="1320"/>
      <c r="W33" s="1320"/>
      <c r="X33" s="1320"/>
      <c r="Y33" s="1320"/>
      <c r="Z33" s="1320"/>
    </row>
    <row r="34" spans="1:26" ht="25.5" outlineLevel="1">
      <c r="A34" s="242" t="s">
        <v>13175</v>
      </c>
      <c r="B34" s="303" t="s">
        <v>14590</v>
      </c>
      <c r="C34" s="303" t="s">
        <v>14472</v>
      </c>
      <c r="D34" s="1446" t="str">
        <f>IFERROR(VLOOKUP($B34,'24.08_ND'!$A$4833:$D$12369,2,0),IFERROR(VLOOKUP($B34,'03-CP'!$C$5:$H$4646,2,0),""))</f>
        <v>CONCRETAGEM FCK = 25 MPA, COM USO DE BOMBA - LANÇAMENTO, ADENSAMENTO E ACABAMENTO</v>
      </c>
      <c r="E34" s="1447" t="str">
        <f>IFERROR(VLOOKUP($B34,'24.08_ND'!$A:$D,3,0),IFERROR(VLOOKUP($B34,'03-CP'!$C$5:$H$4646,3,0),""))</f>
        <v>M3</v>
      </c>
      <c r="F34" s="306">
        <v>1.96</v>
      </c>
      <c r="G34" s="303"/>
      <c r="H34" s="303"/>
      <c r="I34" s="1525"/>
      <c r="J34" s="295"/>
      <c r="K34" s="295"/>
      <c r="L34" s="1297" t="s">
        <v>16202</v>
      </c>
      <c r="M34" s="262"/>
      <c r="N34" s="262"/>
      <c r="O34" s="262"/>
      <c r="P34" s="262"/>
      <c r="Q34" s="262"/>
      <c r="R34" s="262"/>
      <c r="S34" s="1320"/>
      <c r="T34" s="1320"/>
      <c r="U34" s="1320"/>
      <c r="V34" s="1320"/>
      <c r="W34" s="1320"/>
      <c r="X34" s="1320"/>
      <c r="Y34" s="1320"/>
      <c r="Z34" s="1320"/>
    </row>
    <row r="35" spans="1:26" ht="51" outlineLevel="1">
      <c r="A35" s="1317" t="s">
        <v>13176</v>
      </c>
      <c r="B35" s="295">
        <v>100978</v>
      </c>
      <c r="C35" s="295" t="s">
        <v>14476</v>
      </c>
      <c r="D35" s="658" t="str">
        <f>IFERROR(VLOOKUP($B35,'24.08_ND'!$A$4833:$D$12369,2,0),IFERROR(VLOOKUP($B35,'03-CP'!$C$5:$H$4646,2,0),""))</f>
        <v>CARGA, MANOBRA E DESCARGA DE SOLOS E MATERIAIS GRANULARES EM CAMINHÃO BASCULANTE 10 M³ - CARGA COM ESCAVADEIRA HIDRÁULICA (CAÇAMBA DE 1,20 M³ / 155 HP) E DESCARGA LIVRE (UNIDADE: M3). AF_07/2020</v>
      </c>
      <c r="E35" s="1318" t="str">
        <f>IFERROR(VLOOKUP($B35,'24.08_ND'!$A:$D,3,0),IFERROR(VLOOKUP($B35,'03-CP'!$C$5:$H$4646,3,0),""))</f>
        <v>M3</v>
      </c>
      <c r="F35" s="298">
        <f>D39</f>
        <v>2.7439999999999998</v>
      </c>
      <c r="G35" s="295"/>
      <c r="H35" s="295"/>
      <c r="I35" s="1319"/>
      <c r="J35" s="295"/>
      <c r="K35" s="295"/>
      <c r="L35" s="1528" t="s">
        <v>16202</v>
      </c>
      <c r="M35" s="262"/>
      <c r="N35" s="262"/>
      <c r="O35" s="262"/>
      <c r="P35" s="262"/>
      <c r="Q35" s="262"/>
      <c r="R35" s="262"/>
      <c r="S35" s="1320"/>
      <c r="T35" s="1320"/>
      <c r="U35" s="1320"/>
      <c r="V35" s="1320"/>
      <c r="W35" s="1320"/>
      <c r="X35" s="1320"/>
      <c r="Y35" s="1320"/>
      <c r="Z35" s="1320"/>
    </row>
    <row r="36" spans="1:26" ht="12.75" hidden="1" outlineLevel="1">
      <c r="A36" s="1321"/>
      <c r="B36" s="1322" t="s">
        <v>16206</v>
      </c>
      <c r="C36" s="1323" t="s">
        <v>16207</v>
      </c>
      <c r="D36" s="1324" t="s">
        <v>16208</v>
      </c>
      <c r="E36" s="1334"/>
      <c r="F36" s="1335"/>
      <c r="G36" s="1327"/>
      <c r="H36" s="1327"/>
      <c r="I36" s="1328"/>
      <c r="J36" s="1327"/>
      <c r="K36" s="1327"/>
      <c r="L36" s="1327"/>
      <c r="M36" s="262"/>
      <c r="N36" s="262"/>
      <c r="O36" s="262"/>
      <c r="P36" s="262"/>
      <c r="Q36" s="262"/>
      <c r="R36" s="262"/>
      <c r="S36" s="1320"/>
      <c r="T36" s="1320"/>
      <c r="U36" s="1320"/>
      <c r="V36" s="1320"/>
      <c r="W36" s="1320"/>
      <c r="X36" s="1320"/>
      <c r="Y36" s="1320"/>
      <c r="Z36" s="1320"/>
    </row>
    <row r="37" spans="1:26" ht="12.75" hidden="1" outlineLevel="1">
      <c r="A37" s="1321"/>
      <c r="B37" s="1336">
        <f>F34</f>
        <v>1.96</v>
      </c>
      <c r="C37" s="1327">
        <v>1.4</v>
      </c>
      <c r="D37" s="1337">
        <f>B37*C37</f>
        <v>2.7439999999999998</v>
      </c>
      <c r="E37" s="1338"/>
      <c r="F37" s="1339"/>
      <c r="G37" s="1327"/>
      <c r="H37" s="1327"/>
      <c r="I37" s="1328"/>
      <c r="J37" s="1327"/>
      <c r="K37" s="1327"/>
      <c r="L37" s="1327"/>
      <c r="M37" s="262"/>
      <c r="N37" s="262"/>
      <c r="O37" s="262"/>
      <c r="P37" s="262"/>
      <c r="Q37" s="262"/>
      <c r="R37" s="262"/>
      <c r="S37" s="1320"/>
      <c r="T37" s="1320"/>
      <c r="U37" s="1320"/>
      <c r="V37" s="1320"/>
      <c r="W37" s="1320"/>
      <c r="X37" s="1320"/>
      <c r="Y37" s="1320"/>
      <c r="Z37" s="1320"/>
    </row>
    <row r="38" spans="1:26" ht="12.75" hidden="1" outlineLevel="1">
      <c r="A38" s="1321"/>
      <c r="B38" s="1340" t="s">
        <v>16209</v>
      </c>
      <c r="C38" s="1327" t="s">
        <v>16205</v>
      </c>
      <c r="D38" s="1341" t="s">
        <v>16210</v>
      </c>
      <c r="E38" s="1338"/>
      <c r="F38" s="1339"/>
      <c r="G38" s="1327"/>
      <c r="H38" s="1327"/>
      <c r="I38" s="1328"/>
      <c r="J38" s="1327"/>
      <c r="K38" s="1327"/>
      <c r="L38" s="1327"/>
      <c r="M38" s="262"/>
      <c r="N38" s="262"/>
      <c r="O38" s="262"/>
      <c r="P38" s="262"/>
      <c r="Q38" s="262"/>
      <c r="R38" s="262"/>
      <c r="S38" s="1320"/>
      <c r="T38" s="1320"/>
      <c r="U38" s="1320"/>
      <c r="V38" s="1320"/>
      <c r="W38" s="1320"/>
      <c r="X38" s="1320"/>
      <c r="Y38" s="1320"/>
      <c r="Z38" s="1320"/>
    </row>
    <row r="39" spans="1:26" ht="12.75" hidden="1" outlineLevel="1">
      <c r="A39" s="1321"/>
      <c r="B39" s="1329">
        <f>D37</f>
        <v>2.7439999999999998</v>
      </c>
      <c r="C39" s="1330">
        <v>0</v>
      </c>
      <c r="D39" s="1365">
        <f>B39-C39</f>
        <v>2.7439999999999998</v>
      </c>
      <c r="E39" s="1344"/>
      <c r="F39" s="1345"/>
      <c r="G39" s="1327"/>
      <c r="H39" s="1327"/>
      <c r="I39" s="1328"/>
      <c r="J39" s="1327"/>
      <c r="K39" s="1327"/>
      <c r="L39" s="1327"/>
      <c r="M39" s="262"/>
      <c r="N39" s="262"/>
      <c r="O39" s="262"/>
      <c r="P39" s="262"/>
      <c r="Q39" s="262"/>
      <c r="R39" s="262"/>
      <c r="S39" s="1320"/>
      <c r="T39" s="1320"/>
      <c r="U39" s="1320"/>
      <c r="V39" s="1320"/>
      <c r="W39" s="1320"/>
      <c r="X39" s="1320"/>
      <c r="Y39" s="1320"/>
      <c r="Z39" s="1320"/>
    </row>
    <row r="40" spans="1:26" ht="25.5" outlineLevel="1">
      <c r="A40" s="1317" t="s">
        <v>13177</v>
      </c>
      <c r="B40" s="295">
        <v>100938</v>
      </c>
      <c r="C40" s="295" t="s">
        <v>14476</v>
      </c>
      <c r="D40" s="658" t="str">
        <f>IFERROR(VLOOKUP($B40,'24.08_ND'!$A$4833:$D$12369,2,0),IFERROR(VLOOKUP($B40,'03-CP'!$C$5:$H$4646,2,0),""))</f>
        <v>TRANSPORTE COM CAMINHÃO BASCULANTE DE 10 M³, EM VIA INTERNA (DENTRO DO CANTEIRO - UNIDADE: M3XKM). AF_07/2020</v>
      </c>
      <c r="E40" s="1318" t="str">
        <f>IFERROR(VLOOKUP($B40,'24.08_ND'!$A:$D,3,0),IFERROR(VLOOKUP($B40,'03-CP'!$C$5:$H$4646,3,0),""))</f>
        <v>M3XKM</v>
      </c>
      <c r="F40" s="298">
        <f>F35*2</f>
        <v>5.4879999999999995</v>
      </c>
      <c r="G40" s="295"/>
      <c r="H40" s="295"/>
      <c r="I40" s="1319"/>
      <c r="J40" s="295"/>
      <c r="K40" s="295"/>
      <c r="L40" s="1528" t="s">
        <v>16202</v>
      </c>
      <c r="M40" s="262"/>
      <c r="N40" s="262"/>
      <c r="O40" s="262"/>
      <c r="P40" s="262"/>
      <c r="Q40" s="262"/>
      <c r="R40" s="262"/>
      <c r="S40" s="1320"/>
      <c r="T40" s="1320"/>
      <c r="U40" s="1320"/>
      <c r="V40" s="1320"/>
      <c r="W40" s="1320"/>
      <c r="X40" s="1320"/>
      <c r="Y40" s="1320"/>
      <c r="Z40" s="1320"/>
    </row>
    <row r="41" spans="1:26" ht="12.75" hidden="1" outlineLevel="1">
      <c r="A41" s="1346"/>
      <c r="B41" s="1322"/>
      <c r="C41" s="1334"/>
      <c r="D41" s="1325" t="s">
        <v>16211</v>
      </c>
      <c r="E41" s="1347" t="s">
        <v>16212</v>
      </c>
      <c r="F41" s="1348" t="s">
        <v>16213</v>
      </c>
      <c r="G41" s="1349"/>
      <c r="H41" s="1349"/>
      <c r="I41" s="1350"/>
      <c r="J41" s="1351"/>
      <c r="K41" s="1352"/>
      <c r="L41" s="1353"/>
      <c r="M41" s="948"/>
      <c r="N41" s="262"/>
      <c r="O41" s="262"/>
      <c r="P41" s="262"/>
      <c r="Q41" s="262"/>
      <c r="R41" s="262"/>
      <c r="S41" s="262"/>
      <c r="T41" s="262"/>
      <c r="U41" s="262"/>
      <c r="V41" s="262"/>
      <c r="W41" s="262"/>
      <c r="X41" s="262"/>
      <c r="Y41" s="262"/>
      <c r="Z41" s="262"/>
    </row>
    <row r="42" spans="1:26" ht="12.75" hidden="1" outlineLevel="1">
      <c r="A42" s="1346"/>
      <c r="B42" s="1329"/>
      <c r="C42" s="1344"/>
      <c r="D42" s="1332">
        <f>D39</f>
        <v>2.7439999999999998</v>
      </c>
      <c r="E42" s="1355">
        <v>2</v>
      </c>
      <c r="F42" s="1356">
        <f>D42*E42</f>
        <v>5.4879999999999995</v>
      </c>
      <c r="G42" s="1349"/>
      <c r="H42" s="1349"/>
      <c r="I42" s="1350"/>
      <c r="J42" s="1351"/>
      <c r="K42" s="1352"/>
      <c r="L42" s="1353"/>
      <c r="M42" s="948"/>
      <c r="N42" s="262"/>
      <c r="O42" s="262"/>
      <c r="P42" s="262"/>
      <c r="Q42" s="262"/>
      <c r="R42" s="262"/>
      <c r="S42" s="262"/>
      <c r="T42" s="262"/>
      <c r="U42" s="262"/>
      <c r="V42" s="262"/>
      <c r="W42" s="262"/>
      <c r="X42" s="262"/>
      <c r="Y42" s="262"/>
      <c r="Z42" s="262"/>
    </row>
    <row r="43" spans="1:26" ht="12.75">
      <c r="A43" s="239" t="s">
        <v>13178</v>
      </c>
      <c r="B43" s="1309"/>
      <c r="C43" s="1309"/>
      <c r="D43" s="1310" t="s">
        <v>16355</v>
      </c>
      <c r="E43" s="1311" t="s">
        <v>6</v>
      </c>
      <c r="F43" s="1312">
        <v>109</v>
      </c>
      <c r="G43" s="1310"/>
      <c r="H43" s="1524"/>
      <c r="I43" s="1313"/>
      <c r="J43" s="512"/>
      <c r="K43" s="262"/>
      <c r="L43" s="1521"/>
      <c r="M43" s="948"/>
      <c r="N43" s="262"/>
      <c r="O43" s="262"/>
      <c r="P43" s="262"/>
      <c r="Q43" s="262"/>
      <c r="R43" s="262"/>
      <c r="S43" s="262"/>
      <c r="T43" s="262"/>
      <c r="U43" s="262"/>
      <c r="V43" s="262"/>
      <c r="W43" s="262"/>
      <c r="X43" s="262"/>
      <c r="Y43" s="262"/>
      <c r="Z43" s="262"/>
    </row>
    <row r="44" spans="1:26" ht="38.25" outlineLevel="1">
      <c r="A44" s="242" t="s">
        <v>13179</v>
      </c>
      <c r="B44" s="303" t="s">
        <v>14647</v>
      </c>
      <c r="C44" s="303" t="s">
        <v>14472</v>
      </c>
      <c r="D44" s="1446" t="str">
        <f>IFERROR(VLOOKUP($B44,'24.08_ND'!$A$4833:$D$12369,2,0),IFERROR(VLOOKUP($B44,'03-CP'!$C$5:$H$4646,2,0),""))</f>
        <v>ESTACA BROCA DE CONCRETO, DIÂMETRO DE 20CM, ESCAVAÇÃO MANUAL COM TRADO CONCHA (EXCLUSIVE ARMADURA E CONCRETO) - PROFUNDIDADE ATÉ 2,00M</v>
      </c>
      <c r="E44" s="1447" t="str">
        <f>IFERROR(VLOOKUP($B44,'24.08_ND'!$A:$D,3,0),IFERROR(VLOOKUP($B44,'03-CP'!$C$5:$H$4646,3,0),""))</f>
        <v>M</v>
      </c>
      <c r="F44" s="306">
        <v>32.700000000000003</v>
      </c>
      <c r="G44" s="303"/>
      <c r="H44" s="303"/>
      <c r="I44" s="1525"/>
      <c r="J44" s="295"/>
      <c r="K44" s="295"/>
      <c r="L44" s="1297" t="s">
        <v>16202</v>
      </c>
      <c r="M44" s="262"/>
      <c r="N44" s="262"/>
      <c r="O44" s="262"/>
      <c r="P44" s="262"/>
      <c r="Q44" s="262"/>
      <c r="R44" s="262"/>
      <c r="S44" s="1320"/>
      <c r="T44" s="1320"/>
      <c r="U44" s="1320"/>
      <c r="V44" s="1320"/>
      <c r="W44" s="1320"/>
      <c r="X44" s="1320"/>
      <c r="Y44" s="1320"/>
      <c r="Z44" s="1320"/>
    </row>
    <row r="45" spans="1:26" ht="25.5" outlineLevel="1">
      <c r="A45" s="242" t="s">
        <v>13180</v>
      </c>
      <c r="B45" s="303" t="s">
        <v>14590</v>
      </c>
      <c r="C45" s="303" t="s">
        <v>14472</v>
      </c>
      <c r="D45" s="1446" t="str">
        <f>IFERROR(VLOOKUP($B45,'24.08_ND'!$A$4833:$D$12369,2,0),IFERROR(VLOOKUP($B45,'03-CP'!$C$5:$H$4646,2,0),""))</f>
        <v>CONCRETAGEM FCK = 25 MPA, COM USO DE BOMBA - LANÇAMENTO, ADENSAMENTO E ACABAMENTO</v>
      </c>
      <c r="E45" s="1447" t="str">
        <f>IFERROR(VLOOKUP($B45,'24.08_ND'!$A:$D,3,0),IFERROR(VLOOKUP($B45,'03-CP'!$C$5:$H$4646,3,0),""))</f>
        <v>M3</v>
      </c>
      <c r="F45" s="306">
        <v>1.03</v>
      </c>
      <c r="G45" s="303"/>
      <c r="H45" s="303"/>
      <c r="I45" s="1525"/>
      <c r="J45" s="295"/>
      <c r="K45" s="295"/>
      <c r="L45" s="1297" t="s">
        <v>16202</v>
      </c>
      <c r="M45" s="262"/>
      <c r="N45" s="262"/>
      <c r="O45" s="262"/>
      <c r="P45" s="262"/>
      <c r="Q45" s="262"/>
      <c r="R45" s="262"/>
      <c r="S45" s="1320"/>
      <c r="T45" s="1320"/>
      <c r="U45" s="1320"/>
      <c r="V45" s="1320"/>
      <c r="W45" s="1320"/>
      <c r="X45" s="1320"/>
      <c r="Y45" s="1320"/>
      <c r="Z45" s="1320"/>
    </row>
    <row r="46" spans="1:26" ht="51" outlineLevel="1">
      <c r="A46" s="1317" t="s">
        <v>13181</v>
      </c>
      <c r="B46" s="295">
        <v>100978</v>
      </c>
      <c r="C46" s="295" t="s">
        <v>14476</v>
      </c>
      <c r="D46" s="658" t="str">
        <f>IFERROR(VLOOKUP($B46,'24.08_ND'!$A$4833:$D$12369,2,0),IFERROR(VLOOKUP($B46,'03-CP'!$C$5:$H$4646,2,0),""))</f>
        <v>CARGA, MANOBRA E DESCARGA DE SOLOS E MATERIAIS GRANULARES EM CAMINHÃO BASCULANTE 10 M³ - CARGA COM ESCAVADEIRA HIDRÁULICA (CAÇAMBA DE 1,20 M³ / 155 HP) E DESCARGA LIVRE (UNIDADE: M3). AF_07/2020</v>
      </c>
      <c r="E46" s="1318" t="str">
        <f>IFERROR(VLOOKUP($B46,'24.08_ND'!$A:$D,3,0),IFERROR(VLOOKUP($B46,'03-CP'!$C$5:$H$4646,3,0),""))</f>
        <v>M3</v>
      </c>
      <c r="F46" s="298">
        <f>D50</f>
        <v>1.4419999999999999</v>
      </c>
      <c r="G46" s="295"/>
      <c r="H46" s="295"/>
      <c r="I46" s="1319"/>
      <c r="J46" s="295"/>
      <c r="K46" s="295"/>
      <c r="L46" s="1528" t="s">
        <v>16202</v>
      </c>
      <c r="M46" s="262"/>
      <c r="N46" s="262"/>
      <c r="O46" s="262"/>
      <c r="P46" s="262"/>
      <c r="Q46" s="262"/>
      <c r="R46" s="262"/>
      <c r="S46" s="1320"/>
      <c r="T46" s="1320"/>
      <c r="U46" s="1320"/>
      <c r="V46" s="1320"/>
      <c r="W46" s="1320"/>
      <c r="X46" s="1320"/>
      <c r="Y46" s="1320"/>
      <c r="Z46" s="1320"/>
    </row>
    <row r="47" spans="1:26" ht="12.75" hidden="1" outlineLevel="1">
      <c r="A47" s="1321"/>
      <c r="B47" s="1322" t="s">
        <v>16206</v>
      </c>
      <c r="C47" s="1323" t="s">
        <v>16207</v>
      </c>
      <c r="D47" s="1324" t="s">
        <v>16208</v>
      </c>
      <c r="E47" s="1334"/>
      <c r="F47" s="1335"/>
      <c r="G47" s="1327"/>
      <c r="H47" s="1327"/>
      <c r="I47" s="1328"/>
      <c r="J47" s="1327"/>
      <c r="K47" s="1327"/>
      <c r="L47" s="1327"/>
      <c r="M47" s="262"/>
      <c r="N47" s="262"/>
      <c r="O47" s="262"/>
      <c r="P47" s="262"/>
      <c r="Q47" s="262"/>
      <c r="R47" s="262"/>
      <c r="S47" s="1320"/>
      <c r="T47" s="1320"/>
      <c r="U47" s="1320"/>
      <c r="V47" s="1320"/>
      <c r="W47" s="1320"/>
      <c r="X47" s="1320"/>
      <c r="Y47" s="1320"/>
      <c r="Z47" s="1320"/>
    </row>
    <row r="48" spans="1:26" ht="12.75" hidden="1" outlineLevel="1">
      <c r="A48" s="1321"/>
      <c r="B48" s="1336">
        <f>F45</f>
        <v>1.03</v>
      </c>
      <c r="C48" s="1327">
        <v>1.4</v>
      </c>
      <c r="D48" s="1337">
        <f>B48*C48</f>
        <v>1.4419999999999999</v>
      </c>
      <c r="E48" s="1338"/>
      <c r="F48" s="1339"/>
      <c r="G48" s="1327"/>
      <c r="H48" s="1327"/>
      <c r="I48" s="1328"/>
      <c r="J48" s="1327"/>
      <c r="K48" s="1327"/>
      <c r="L48" s="1327"/>
      <c r="M48" s="262"/>
      <c r="N48" s="262"/>
      <c r="O48" s="262"/>
      <c r="P48" s="262"/>
      <c r="Q48" s="262"/>
      <c r="R48" s="262"/>
      <c r="S48" s="1320"/>
      <c r="T48" s="1320"/>
      <c r="U48" s="1320"/>
      <c r="V48" s="1320"/>
      <c r="W48" s="1320"/>
      <c r="X48" s="1320"/>
      <c r="Y48" s="1320"/>
      <c r="Z48" s="1320"/>
    </row>
    <row r="49" spans="1:26" ht="12.75" hidden="1" outlineLevel="1">
      <c r="A49" s="1321"/>
      <c r="B49" s="1340" t="s">
        <v>16209</v>
      </c>
      <c r="C49" s="1327" t="s">
        <v>16205</v>
      </c>
      <c r="D49" s="1341" t="s">
        <v>16210</v>
      </c>
      <c r="E49" s="1338"/>
      <c r="F49" s="1339"/>
      <c r="G49" s="1327"/>
      <c r="H49" s="1327"/>
      <c r="I49" s="1328"/>
      <c r="J49" s="1327"/>
      <c r="K49" s="1327"/>
      <c r="L49" s="1327"/>
      <c r="M49" s="262"/>
      <c r="N49" s="262"/>
      <c r="O49" s="262"/>
      <c r="P49" s="262"/>
      <c r="Q49" s="262"/>
      <c r="R49" s="262"/>
      <c r="S49" s="1320"/>
      <c r="T49" s="1320"/>
      <c r="U49" s="1320"/>
      <c r="V49" s="1320"/>
      <c r="W49" s="1320"/>
      <c r="X49" s="1320"/>
      <c r="Y49" s="1320"/>
      <c r="Z49" s="1320"/>
    </row>
    <row r="50" spans="1:26" ht="12.75" hidden="1" outlineLevel="1">
      <c r="A50" s="1321"/>
      <c r="B50" s="1329">
        <f>D48</f>
        <v>1.4419999999999999</v>
      </c>
      <c r="C50" s="1330">
        <v>0</v>
      </c>
      <c r="D50" s="1365">
        <f>B50-C50</f>
        <v>1.4419999999999999</v>
      </c>
      <c r="E50" s="1344"/>
      <c r="F50" s="1345"/>
      <c r="G50" s="1327"/>
      <c r="H50" s="1327"/>
      <c r="I50" s="1328"/>
      <c r="J50" s="1327"/>
      <c r="K50" s="1327"/>
      <c r="L50" s="1327"/>
      <c r="M50" s="262"/>
      <c r="N50" s="262"/>
      <c r="O50" s="262"/>
      <c r="P50" s="262"/>
      <c r="Q50" s="262"/>
      <c r="R50" s="262"/>
      <c r="S50" s="1320"/>
      <c r="T50" s="1320"/>
      <c r="U50" s="1320"/>
      <c r="V50" s="1320"/>
      <c r="W50" s="1320"/>
      <c r="X50" s="1320"/>
      <c r="Y50" s="1320"/>
      <c r="Z50" s="1320"/>
    </row>
    <row r="51" spans="1:26" ht="25.5" outlineLevel="1">
      <c r="A51" s="1317" t="s">
        <v>13182</v>
      </c>
      <c r="B51" s="295">
        <v>100938</v>
      </c>
      <c r="C51" s="295" t="s">
        <v>14476</v>
      </c>
      <c r="D51" s="658" t="str">
        <f>IFERROR(VLOOKUP($B51,'24.08_ND'!$A$4833:$D$12369,2,0),IFERROR(VLOOKUP($B51,'03-CP'!$C$5:$H$4646,2,0),""))</f>
        <v>TRANSPORTE COM CAMINHÃO BASCULANTE DE 10 M³, EM VIA INTERNA (DENTRO DO CANTEIRO - UNIDADE: M3XKM). AF_07/2020</v>
      </c>
      <c r="E51" s="1318" t="str">
        <f>IFERROR(VLOOKUP($B51,'24.08_ND'!$A:$D,3,0),IFERROR(VLOOKUP($B51,'03-CP'!$C$5:$H$4646,3,0),""))</f>
        <v>M3XKM</v>
      </c>
      <c r="F51" s="298">
        <f>F53</f>
        <v>2.8839999999999999</v>
      </c>
      <c r="G51" s="295"/>
      <c r="H51" s="295"/>
      <c r="I51" s="1319"/>
      <c r="J51" s="295"/>
      <c r="K51" s="295"/>
      <c r="L51" s="1528" t="s">
        <v>16202</v>
      </c>
      <c r="M51" s="262"/>
      <c r="N51" s="262"/>
      <c r="O51" s="262"/>
      <c r="P51" s="262"/>
      <c r="Q51" s="262"/>
      <c r="R51" s="262"/>
      <c r="S51" s="1320"/>
      <c r="T51" s="1320"/>
      <c r="U51" s="1320"/>
      <c r="V51" s="1320"/>
      <c r="W51" s="1320"/>
      <c r="X51" s="1320"/>
      <c r="Y51" s="1320"/>
      <c r="Z51" s="1320"/>
    </row>
    <row r="52" spans="1:26" ht="12.75" hidden="1" outlineLevel="1">
      <c r="A52" s="1346"/>
      <c r="B52" s="1322"/>
      <c r="C52" s="1334"/>
      <c r="D52" s="1325" t="s">
        <v>16211</v>
      </c>
      <c r="E52" s="1347" t="s">
        <v>16212</v>
      </c>
      <c r="F52" s="1348" t="s">
        <v>16213</v>
      </c>
      <c r="G52" s="1349"/>
      <c r="H52" s="1349"/>
      <c r="I52" s="1350"/>
      <c r="J52" s="1351"/>
      <c r="K52" s="1352"/>
      <c r="L52" s="1353"/>
      <c r="M52" s="948"/>
      <c r="N52" s="262"/>
      <c r="O52" s="262"/>
      <c r="P52" s="262"/>
      <c r="Q52" s="262"/>
      <c r="R52" s="262"/>
      <c r="S52" s="262"/>
      <c r="T52" s="262"/>
      <c r="U52" s="262"/>
      <c r="V52" s="262"/>
      <c r="W52" s="262"/>
      <c r="X52" s="262"/>
      <c r="Y52" s="262"/>
      <c r="Z52" s="262"/>
    </row>
    <row r="53" spans="1:26" ht="12.75" hidden="1" outlineLevel="1">
      <c r="A53" s="1346"/>
      <c r="B53" s="1329"/>
      <c r="C53" s="1344"/>
      <c r="D53" s="1332">
        <f>D50</f>
        <v>1.4419999999999999</v>
      </c>
      <c r="E53" s="1355">
        <v>2</v>
      </c>
      <c r="F53" s="1356">
        <f>D53*E53</f>
        <v>2.8839999999999999</v>
      </c>
      <c r="G53" s="1349"/>
      <c r="H53" s="1349"/>
      <c r="I53" s="1350"/>
      <c r="J53" s="1351"/>
      <c r="K53" s="1352"/>
      <c r="L53" s="1353"/>
      <c r="M53" s="948"/>
      <c r="N53" s="262"/>
      <c r="O53" s="262"/>
      <c r="P53" s="262"/>
      <c r="Q53" s="262"/>
      <c r="R53" s="262"/>
      <c r="S53" s="262"/>
      <c r="T53" s="262"/>
      <c r="U53" s="262"/>
      <c r="V53" s="262"/>
      <c r="W53" s="262"/>
      <c r="X53" s="262"/>
      <c r="Y53" s="262"/>
      <c r="Z53" s="262"/>
    </row>
    <row r="54" spans="1:26" ht="12.75">
      <c r="A54" s="239" t="s">
        <v>13183</v>
      </c>
      <c r="B54" s="1309"/>
      <c r="C54" s="1309"/>
      <c r="D54" s="1310" t="s">
        <v>16356</v>
      </c>
      <c r="E54" s="1311" t="s">
        <v>6</v>
      </c>
      <c r="F54" s="1312">
        <v>45</v>
      </c>
      <c r="G54" s="1310"/>
      <c r="H54" s="1524"/>
      <c r="I54" s="1313"/>
      <c r="J54" s="512"/>
      <c r="K54" s="262"/>
      <c r="L54" s="1521"/>
      <c r="M54" s="948"/>
      <c r="N54" s="262"/>
      <c r="O54" s="262"/>
      <c r="P54" s="262"/>
      <c r="Q54" s="262"/>
      <c r="R54" s="262"/>
      <c r="S54" s="262"/>
      <c r="T54" s="262"/>
      <c r="U54" s="262"/>
      <c r="V54" s="262"/>
      <c r="W54" s="262"/>
      <c r="X54" s="262"/>
      <c r="Y54" s="262"/>
      <c r="Z54" s="262"/>
    </row>
    <row r="55" spans="1:26" ht="38.25" outlineLevel="1">
      <c r="A55" s="242" t="s">
        <v>13184</v>
      </c>
      <c r="B55" s="303" t="s">
        <v>14647</v>
      </c>
      <c r="C55" s="303" t="s">
        <v>14472</v>
      </c>
      <c r="D55" s="1446" t="str">
        <f>IFERROR(VLOOKUP($B55,'24.08_ND'!$A$4833:$D$12369,2,0),IFERROR(VLOOKUP($B55,'03-CP'!$C$5:$H$4646,2,0),""))</f>
        <v>ESTACA BROCA DE CONCRETO, DIÂMETRO DE 20CM, ESCAVAÇÃO MANUAL COM TRADO CONCHA (EXCLUSIVE ARMADURA E CONCRETO) - PROFUNDIDADE ATÉ 2,00M</v>
      </c>
      <c r="E55" s="1447" t="str">
        <f>IFERROR(VLOOKUP($B55,'24.08_ND'!$A:$D,3,0),IFERROR(VLOOKUP($B55,'03-CP'!$C$5:$H$4646,3,0),""))</f>
        <v>M</v>
      </c>
      <c r="F55" s="306">
        <v>13.5</v>
      </c>
      <c r="G55" s="303"/>
      <c r="H55" s="303"/>
      <c r="I55" s="1525"/>
      <c r="J55" s="295"/>
      <c r="K55" s="295"/>
      <c r="L55" s="1297" t="s">
        <v>16202</v>
      </c>
      <c r="M55" s="262"/>
      <c r="N55" s="262"/>
      <c r="O55" s="262"/>
      <c r="P55" s="262"/>
      <c r="Q55" s="262"/>
      <c r="R55" s="262"/>
      <c r="S55" s="1320"/>
      <c r="T55" s="1320"/>
      <c r="U55" s="1320"/>
      <c r="V55" s="1320"/>
      <c r="W55" s="1320"/>
      <c r="X55" s="1320"/>
      <c r="Y55" s="1320"/>
      <c r="Z55" s="1320"/>
    </row>
    <row r="56" spans="1:26" ht="25.5" outlineLevel="1">
      <c r="A56" s="242" t="s">
        <v>13185</v>
      </c>
      <c r="B56" s="303" t="s">
        <v>14590</v>
      </c>
      <c r="C56" s="303" t="s">
        <v>14472</v>
      </c>
      <c r="D56" s="1446" t="str">
        <f>IFERROR(VLOOKUP($B56,'24.08_ND'!$A$4833:$D$12369,2,0),IFERROR(VLOOKUP($B56,'03-CP'!$C$5:$H$4646,2,0),""))</f>
        <v>CONCRETAGEM FCK = 25 MPA, COM USO DE BOMBA - LANÇAMENTO, ADENSAMENTO E ACABAMENTO</v>
      </c>
      <c r="E56" s="1447" t="str">
        <f>IFERROR(VLOOKUP($B56,'24.08_ND'!$A:$D,3,0),IFERROR(VLOOKUP($B56,'03-CP'!$C$5:$H$4646,3,0),""))</f>
        <v>M3</v>
      </c>
      <c r="F56" s="306">
        <v>0.42</v>
      </c>
      <c r="G56" s="303"/>
      <c r="H56" s="303"/>
      <c r="I56" s="1525"/>
      <c r="J56" s="1369"/>
      <c r="K56" s="339"/>
      <c r="L56" s="1297" t="s">
        <v>16202</v>
      </c>
      <c r="M56" s="262"/>
      <c r="N56" s="262"/>
      <c r="O56" s="262"/>
      <c r="P56" s="262"/>
      <c r="Q56" s="262"/>
      <c r="R56" s="262"/>
      <c r="S56" s="1520"/>
      <c r="T56" s="339"/>
      <c r="U56" s="1369"/>
      <c r="V56" s="339"/>
      <c r="W56" s="262"/>
      <c r="X56" s="262"/>
      <c r="Y56" s="262"/>
      <c r="Z56" s="262"/>
    </row>
    <row r="57" spans="1:26" ht="51" outlineLevel="1">
      <c r="A57" s="1317" t="s">
        <v>13186</v>
      </c>
      <c r="B57" s="295">
        <v>100978</v>
      </c>
      <c r="C57" s="295" t="s">
        <v>14476</v>
      </c>
      <c r="D57" s="658" t="str">
        <f>IFERROR(VLOOKUP($B57,'24.08_ND'!$A$4833:$D$12369,2,0),IFERROR(VLOOKUP($B57,'03-CP'!$C$5:$H$4646,2,0),""))</f>
        <v>CARGA, MANOBRA E DESCARGA DE SOLOS E MATERIAIS GRANULARES EM CAMINHÃO BASCULANTE 10 M³ - CARGA COM ESCAVADEIRA HIDRÁULICA (CAÇAMBA DE 1,20 M³ / 155 HP) E DESCARGA LIVRE (UNIDADE: M3). AF_07/2020</v>
      </c>
      <c r="E57" s="1318" t="str">
        <f>IFERROR(VLOOKUP($B57,'24.08_ND'!$A:$D,3,0),IFERROR(VLOOKUP($B57,'03-CP'!$C$5:$H$4646,3,0),""))</f>
        <v>M3</v>
      </c>
      <c r="F57" s="298">
        <f>D61</f>
        <v>0.58799999999999997</v>
      </c>
      <c r="G57" s="295"/>
      <c r="H57" s="295"/>
      <c r="I57" s="1319"/>
      <c r="J57" s="1369"/>
      <c r="K57" s="339"/>
      <c r="L57" s="1528" t="s">
        <v>16202</v>
      </c>
      <c r="M57" s="262"/>
      <c r="N57" s="262"/>
      <c r="O57" s="262"/>
      <c r="P57" s="262"/>
      <c r="Q57" s="262"/>
      <c r="R57" s="262"/>
      <c r="S57" s="1520"/>
      <c r="T57" s="339"/>
      <c r="U57" s="1369"/>
      <c r="V57" s="339"/>
      <c r="W57" s="262"/>
      <c r="X57" s="262"/>
      <c r="Y57" s="262"/>
      <c r="Z57" s="262"/>
    </row>
    <row r="58" spans="1:26" ht="12.75" hidden="1" outlineLevel="1">
      <c r="A58" s="1321"/>
      <c r="B58" s="1322" t="s">
        <v>16206</v>
      </c>
      <c r="C58" s="1323" t="s">
        <v>16207</v>
      </c>
      <c r="D58" s="1324" t="s">
        <v>16208</v>
      </c>
      <c r="E58" s="1334"/>
      <c r="F58" s="1335"/>
      <c r="G58" s="1327"/>
      <c r="H58" s="1327"/>
      <c r="I58" s="1328"/>
      <c r="J58" s="1327"/>
      <c r="K58" s="1327"/>
      <c r="L58" s="1327"/>
      <c r="M58" s="262"/>
      <c r="N58" s="262"/>
      <c r="O58" s="262"/>
      <c r="P58" s="262"/>
      <c r="Q58" s="262"/>
      <c r="R58" s="262"/>
      <c r="S58" s="1320"/>
      <c r="T58" s="1320"/>
      <c r="U58" s="1320"/>
      <c r="V58" s="1320"/>
      <c r="W58" s="1320"/>
      <c r="X58" s="1320"/>
      <c r="Y58" s="1320"/>
      <c r="Z58" s="1320"/>
    </row>
    <row r="59" spans="1:26" ht="12.75" hidden="1" outlineLevel="1">
      <c r="A59" s="1321"/>
      <c r="B59" s="1336">
        <f>F56</f>
        <v>0.42</v>
      </c>
      <c r="C59" s="1327">
        <v>1.4</v>
      </c>
      <c r="D59" s="1337">
        <f>B59*C59</f>
        <v>0.58799999999999997</v>
      </c>
      <c r="E59" s="1338"/>
      <c r="F59" s="1339"/>
      <c r="G59" s="1327"/>
      <c r="H59" s="1327"/>
      <c r="I59" s="1328"/>
      <c r="J59" s="1327"/>
      <c r="K59" s="1327"/>
      <c r="L59" s="1327"/>
      <c r="M59" s="262"/>
      <c r="N59" s="262"/>
      <c r="O59" s="262"/>
      <c r="P59" s="262"/>
      <c r="Q59" s="262"/>
      <c r="R59" s="262"/>
      <c r="S59" s="1320"/>
      <c r="T59" s="1320"/>
      <c r="U59" s="1320"/>
      <c r="V59" s="1320"/>
      <c r="W59" s="1320"/>
      <c r="X59" s="1320"/>
      <c r="Y59" s="1320"/>
      <c r="Z59" s="1320"/>
    </row>
    <row r="60" spans="1:26" ht="12.75" hidden="1" outlineLevel="1">
      <c r="A60" s="1321"/>
      <c r="B60" s="1340" t="s">
        <v>16209</v>
      </c>
      <c r="C60" s="1327" t="s">
        <v>16205</v>
      </c>
      <c r="D60" s="1341" t="s">
        <v>16210</v>
      </c>
      <c r="E60" s="1338"/>
      <c r="F60" s="1339"/>
      <c r="G60" s="1327"/>
      <c r="H60" s="1327"/>
      <c r="I60" s="1328"/>
      <c r="J60" s="1327"/>
      <c r="K60" s="1327"/>
      <c r="L60" s="1327"/>
      <c r="M60" s="262"/>
      <c r="N60" s="262"/>
      <c r="O60" s="262"/>
      <c r="P60" s="262"/>
      <c r="Q60" s="262"/>
      <c r="R60" s="262"/>
      <c r="S60" s="1320"/>
      <c r="T60" s="1320"/>
      <c r="U60" s="1320"/>
      <c r="V60" s="1320"/>
      <c r="W60" s="1320"/>
      <c r="X60" s="1320"/>
      <c r="Y60" s="1320"/>
      <c r="Z60" s="1320"/>
    </row>
    <row r="61" spans="1:26" ht="12.75" hidden="1" outlineLevel="1">
      <c r="A61" s="1321"/>
      <c r="B61" s="1329">
        <f>D59</f>
        <v>0.58799999999999997</v>
      </c>
      <c r="C61" s="1330">
        <v>0</v>
      </c>
      <c r="D61" s="1365">
        <f>B61-C61</f>
        <v>0.58799999999999997</v>
      </c>
      <c r="E61" s="1344"/>
      <c r="F61" s="1345"/>
      <c r="G61" s="1327"/>
      <c r="H61" s="1327"/>
      <c r="I61" s="1328"/>
      <c r="J61" s="1327"/>
      <c r="K61" s="1327"/>
      <c r="L61" s="1327"/>
      <c r="M61" s="262"/>
      <c r="N61" s="262"/>
      <c r="O61" s="262"/>
      <c r="P61" s="262"/>
      <c r="Q61" s="262"/>
      <c r="R61" s="262"/>
      <c r="S61" s="1320"/>
      <c r="T61" s="1320"/>
      <c r="U61" s="1320"/>
      <c r="V61" s="1320"/>
      <c r="W61" s="1320"/>
      <c r="X61" s="1320"/>
      <c r="Y61" s="1320"/>
      <c r="Z61" s="1320"/>
    </row>
    <row r="62" spans="1:26" ht="25.5" outlineLevel="1">
      <c r="A62" s="1317" t="s">
        <v>13187</v>
      </c>
      <c r="B62" s="295">
        <v>100938</v>
      </c>
      <c r="C62" s="295" t="s">
        <v>14476</v>
      </c>
      <c r="D62" s="658" t="str">
        <f>IFERROR(VLOOKUP($B62,'24.08_ND'!$A$4833:$D$12369,2,0),IFERROR(VLOOKUP($B62,'03-CP'!$C$5:$H$4646,2,0),""))</f>
        <v>TRANSPORTE COM CAMINHÃO BASCULANTE DE 10 M³, EM VIA INTERNA (DENTRO DO CANTEIRO - UNIDADE: M3XKM). AF_07/2020</v>
      </c>
      <c r="E62" s="1318" t="str">
        <f>IFERROR(VLOOKUP($B62,'24.08_ND'!$A:$D,3,0),IFERROR(VLOOKUP($B62,'03-CP'!$C$5:$H$4646,3,0),""))</f>
        <v>M3XKM</v>
      </c>
      <c r="F62" s="298">
        <f>F64</f>
        <v>1.1759999999999999</v>
      </c>
      <c r="G62" s="295"/>
      <c r="H62" s="295"/>
      <c r="I62" s="1319"/>
      <c r="J62" s="1369"/>
      <c r="K62" s="339"/>
      <c r="L62" s="1528" t="s">
        <v>16202</v>
      </c>
      <c r="M62" s="262"/>
      <c r="N62" s="262"/>
      <c r="O62" s="262"/>
      <c r="P62" s="262"/>
      <c r="Q62" s="262"/>
      <c r="R62" s="262"/>
      <c r="S62" s="1520"/>
      <c r="T62" s="339"/>
      <c r="U62" s="1369"/>
      <c r="V62" s="339"/>
      <c r="W62" s="262"/>
      <c r="X62" s="262"/>
      <c r="Y62" s="262"/>
      <c r="Z62" s="262"/>
    </row>
    <row r="63" spans="1:26" ht="12.75" hidden="1" outlineLevel="1">
      <c r="A63" s="1346"/>
      <c r="B63" s="1322"/>
      <c r="C63" s="1334"/>
      <c r="D63" s="1325" t="s">
        <v>16211</v>
      </c>
      <c r="E63" s="1347" t="s">
        <v>16212</v>
      </c>
      <c r="F63" s="1348" t="s">
        <v>16213</v>
      </c>
      <c r="G63" s="1349"/>
      <c r="H63" s="1349"/>
      <c r="I63" s="1350"/>
      <c r="J63" s="1351"/>
      <c r="K63" s="1352"/>
      <c r="L63" s="1353"/>
      <c r="M63" s="948"/>
      <c r="N63" s="262"/>
      <c r="O63" s="262"/>
      <c r="P63" s="262"/>
      <c r="Q63" s="262"/>
      <c r="R63" s="262"/>
      <c r="S63" s="262"/>
      <c r="T63" s="262"/>
      <c r="U63" s="262"/>
      <c r="V63" s="262"/>
      <c r="W63" s="262"/>
      <c r="X63" s="262"/>
      <c r="Y63" s="262"/>
      <c r="Z63" s="262"/>
    </row>
    <row r="64" spans="1:26" ht="12.75" hidden="1" outlineLevel="1">
      <c r="A64" s="1346"/>
      <c r="B64" s="1329"/>
      <c r="C64" s="1344"/>
      <c r="D64" s="1332">
        <f>D61</f>
        <v>0.58799999999999997</v>
      </c>
      <c r="E64" s="1355">
        <v>2</v>
      </c>
      <c r="F64" s="1356">
        <f>D64*E64</f>
        <v>1.1759999999999999</v>
      </c>
      <c r="G64" s="1349"/>
      <c r="H64" s="1349"/>
      <c r="I64" s="1350"/>
      <c r="J64" s="1351"/>
      <c r="K64" s="1352"/>
      <c r="L64" s="1353"/>
      <c r="M64" s="948"/>
      <c r="N64" s="262"/>
      <c r="O64" s="262"/>
      <c r="P64" s="262"/>
      <c r="Q64" s="262"/>
      <c r="R64" s="262"/>
      <c r="S64" s="262"/>
      <c r="T64" s="262"/>
      <c r="U64" s="262"/>
      <c r="V64" s="262"/>
      <c r="W64" s="262"/>
      <c r="X64" s="262"/>
      <c r="Y64" s="262"/>
      <c r="Z64" s="262"/>
    </row>
    <row r="65" spans="1:26" ht="12.75">
      <c r="A65" s="239" t="s">
        <v>13188</v>
      </c>
      <c r="B65" s="1309"/>
      <c r="C65" s="1309"/>
      <c r="D65" s="1310" t="s">
        <v>16357</v>
      </c>
      <c r="E65" s="1311" t="s">
        <v>6</v>
      </c>
      <c r="F65" s="1312">
        <v>12</v>
      </c>
      <c r="G65" s="1310"/>
      <c r="H65" s="1524"/>
      <c r="I65" s="1313"/>
      <c r="J65" s="512"/>
      <c r="K65" s="262"/>
      <c r="L65" s="1521"/>
      <c r="M65" s="948"/>
      <c r="N65" s="262"/>
      <c r="O65" s="262"/>
      <c r="P65" s="262"/>
      <c r="Q65" s="262"/>
      <c r="R65" s="262"/>
      <c r="S65" s="262"/>
      <c r="T65" s="262"/>
      <c r="U65" s="262"/>
      <c r="V65" s="262"/>
      <c r="W65" s="262"/>
      <c r="X65" s="262"/>
      <c r="Y65" s="262"/>
      <c r="Z65" s="262"/>
    </row>
    <row r="66" spans="1:26" ht="38.25" outlineLevel="1">
      <c r="A66" s="242" t="s">
        <v>13189</v>
      </c>
      <c r="B66" s="303" t="s">
        <v>14649</v>
      </c>
      <c r="C66" s="303" t="s">
        <v>14472</v>
      </c>
      <c r="D66" s="1446" t="str">
        <f>IFERROR(VLOOKUP($B66,'24.08_ND'!$A$4833:$D$12369,2,0),IFERROR(VLOOKUP($B66,'03-CP'!$C$5:$H$4646,2,0),""))</f>
        <v>ESTACA BROCA DE CONCRETO, DIÂMETRO DE 25CM, ESCAVAÇÃO MANUAL COM TRADO CONCHA (EXCLUSIVE ARMADURA E CONCRETO) - PROFUNDIDADE ATÉ 2,00M</v>
      </c>
      <c r="E66" s="1447" t="str">
        <f>IFERROR(VLOOKUP($B66,'24.08_ND'!$A:$D,3,0),IFERROR(VLOOKUP($B66,'03-CP'!$C$5:$H$4646,3,0),""))</f>
        <v>M</v>
      </c>
      <c r="F66" s="306">
        <v>3.6</v>
      </c>
      <c r="G66" s="303"/>
      <c r="H66" s="303"/>
      <c r="I66" s="1525"/>
      <c r="J66" s="295"/>
      <c r="K66" s="295"/>
      <c r="L66" s="1297" t="s">
        <v>16202</v>
      </c>
      <c r="M66" s="262"/>
      <c r="N66" s="262"/>
      <c r="O66" s="262"/>
      <c r="P66" s="262"/>
      <c r="Q66" s="262"/>
      <c r="R66" s="262"/>
      <c r="S66" s="1320"/>
      <c r="T66" s="1320"/>
      <c r="U66" s="1320"/>
      <c r="V66" s="1320"/>
      <c r="W66" s="1320"/>
      <c r="X66" s="1320"/>
      <c r="Y66" s="1320"/>
      <c r="Z66" s="1320"/>
    </row>
    <row r="67" spans="1:26" ht="25.5" outlineLevel="1">
      <c r="A67" s="242" t="s">
        <v>13190</v>
      </c>
      <c r="B67" s="303" t="s">
        <v>14590</v>
      </c>
      <c r="C67" s="303" t="s">
        <v>14472</v>
      </c>
      <c r="D67" s="1446" t="str">
        <f>IFERROR(VLOOKUP($B67,'24.08_ND'!$A$4833:$D$12369,2,0),IFERROR(VLOOKUP($B67,'03-CP'!$C$5:$H$4646,2,0),""))</f>
        <v>CONCRETAGEM FCK = 25 MPA, COM USO DE BOMBA - LANÇAMENTO, ADENSAMENTO E ACABAMENTO</v>
      </c>
      <c r="E67" s="1447" t="str">
        <f>IFERROR(VLOOKUP($B67,'24.08_ND'!$A:$D,3,0),IFERROR(VLOOKUP($B67,'03-CP'!$C$5:$H$4646,3,0),""))</f>
        <v>M3</v>
      </c>
      <c r="F67" s="306">
        <v>0.18</v>
      </c>
      <c r="G67" s="303"/>
      <c r="H67" s="303"/>
      <c r="I67" s="1525"/>
      <c r="J67" s="295"/>
      <c r="K67" s="295"/>
      <c r="L67" s="1297" t="s">
        <v>16202</v>
      </c>
      <c r="M67" s="262"/>
      <c r="N67" s="262"/>
      <c r="O67" s="262"/>
      <c r="P67" s="262"/>
      <c r="Q67" s="262"/>
      <c r="R67" s="262"/>
      <c r="S67" s="1320"/>
      <c r="T67" s="1320"/>
      <c r="U67" s="1320"/>
      <c r="V67" s="1320"/>
      <c r="W67" s="1320"/>
      <c r="X67" s="1320"/>
      <c r="Y67" s="1320"/>
      <c r="Z67" s="1320"/>
    </row>
    <row r="68" spans="1:26" ht="51" outlineLevel="1">
      <c r="A68" s="1317" t="s">
        <v>13191</v>
      </c>
      <c r="B68" s="295">
        <v>100978</v>
      </c>
      <c r="C68" s="295" t="s">
        <v>14476</v>
      </c>
      <c r="D68" s="658" t="str">
        <f>IFERROR(VLOOKUP($B68,'24.08_ND'!$A$4833:$D$12369,2,0),IFERROR(VLOOKUP($B68,'03-CP'!$C$5:$H$4646,2,0),""))</f>
        <v>CARGA, MANOBRA E DESCARGA DE SOLOS E MATERIAIS GRANULARES EM CAMINHÃO BASCULANTE 10 M³ - CARGA COM ESCAVADEIRA HIDRÁULICA (CAÇAMBA DE 1,20 M³ / 155 HP) E DESCARGA LIVRE (UNIDADE: M3). AF_07/2020</v>
      </c>
      <c r="E68" s="1318" t="str">
        <f>IFERROR(VLOOKUP($B68,'24.08_ND'!$A:$D,3,0),IFERROR(VLOOKUP($B68,'03-CP'!$C$5:$H$4646,3,0),""))</f>
        <v>M3</v>
      </c>
      <c r="F68" s="298">
        <f>D72</f>
        <v>0.252</v>
      </c>
      <c r="G68" s="295"/>
      <c r="H68" s="295"/>
      <c r="I68" s="1319"/>
      <c r="J68" s="295"/>
      <c r="K68" s="295"/>
      <c r="L68" s="1528" t="s">
        <v>16202</v>
      </c>
      <c r="M68" s="262"/>
      <c r="N68" s="262"/>
      <c r="O68" s="262"/>
      <c r="P68" s="262"/>
      <c r="Q68" s="262"/>
      <c r="R68" s="262"/>
      <c r="S68" s="1320"/>
      <c r="T68" s="1320"/>
      <c r="U68" s="1320"/>
      <c r="V68" s="1320"/>
      <c r="W68" s="1320"/>
      <c r="X68" s="1320"/>
      <c r="Y68" s="1320"/>
      <c r="Z68" s="1320"/>
    </row>
    <row r="69" spans="1:26" ht="12.75" hidden="1" outlineLevel="1">
      <c r="A69" s="1321"/>
      <c r="B69" s="1322" t="s">
        <v>16206</v>
      </c>
      <c r="C69" s="1323" t="s">
        <v>16207</v>
      </c>
      <c r="D69" s="1324" t="s">
        <v>16208</v>
      </c>
      <c r="E69" s="1334"/>
      <c r="F69" s="1335"/>
      <c r="G69" s="1327"/>
      <c r="H69" s="1327"/>
      <c r="I69" s="1328"/>
      <c r="J69" s="1327"/>
      <c r="K69" s="1327"/>
      <c r="L69" s="1327"/>
      <c r="M69" s="262"/>
      <c r="N69" s="262"/>
      <c r="O69" s="262"/>
      <c r="P69" s="262"/>
      <c r="Q69" s="262"/>
      <c r="R69" s="262"/>
      <c r="S69" s="1320"/>
      <c r="T69" s="1320"/>
      <c r="U69" s="1320"/>
      <c r="V69" s="1320"/>
      <c r="W69" s="1320"/>
      <c r="X69" s="1320"/>
      <c r="Y69" s="1320"/>
      <c r="Z69" s="1320"/>
    </row>
    <row r="70" spans="1:26" ht="12.75" hidden="1" outlineLevel="1">
      <c r="A70" s="1321"/>
      <c r="B70" s="1336">
        <f>F67</f>
        <v>0.18</v>
      </c>
      <c r="C70" s="1327">
        <v>1.4</v>
      </c>
      <c r="D70" s="1337">
        <f>B70*C70</f>
        <v>0.252</v>
      </c>
      <c r="E70" s="1338"/>
      <c r="F70" s="1339"/>
      <c r="G70" s="1327"/>
      <c r="H70" s="1327"/>
      <c r="I70" s="1328"/>
      <c r="J70" s="1327"/>
      <c r="K70" s="1327"/>
      <c r="L70" s="1327"/>
      <c r="M70" s="262"/>
      <c r="N70" s="262"/>
      <c r="O70" s="262"/>
      <c r="P70" s="262"/>
      <c r="Q70" s="262"/>
      <c r="R70" s="262"/>
      <c r="S70" s="1320"/>
      <c r="T70" s="1320"/>
      <c r="U70" s="1320"/>
      <c r="V70" s="1320"/>
      <c r="W70" s="1320"/>
      <c r="X70" s="1320"/>
      <c r="Y70" s="1320"/>
      <c r="Z70" s="1320"/>
    </row>
    <row r="71" spans="1:26" ht="12.75" hidden="1" outlineLevel="1">
      <c r="A71" s="1321"/>
      <c r="B71" s="1340" t="s">
        <v>16209</v>
      </c>
      <c r="C71" s="1327" t="s">
        <v>16205</v>
      </c>
      <c r="D71" s="1341" t="s">
        <v>16210</v>
      </c>
      <c r="E71" s="1338"/>
      <c r="F71" s="1339"/>
      <c r="G71" s="1327"/>
      <c r="H71" s="1327"/>
      <c r="I71" s="1328"/>
      <c r="J71" s="1327"/>
      <c r="K71" s="1327"/>
      <c r="L71" s="1327"/>
      <c r="M71" s="262"/>
      <c r="N71" s="262"/>
      <c r="O71" s="262"/>
      <c r="P71" s="262"/>
      <c r="Q71" s="262"/>
      <c r="R71" s="262"/>
      <c r="S71" s="1320"/>
      <c r="T71" s="1320"/>
      <c r="U71" s="1320"/>
      <c r="V71" s="1320"/>
      <c r="W71" s="1320"/>
      <c r="X71" s="1320"/>
      <c r="Y71" s="1320"/>
      <c r="Z71" s="1320"/>
    </row>
    <row r="72" spans="1:26" ht="12.75" hidden="1" outlineLevel="1">
      <c r="A72" s="1321"/>
      <c r="B72" s="1329">
        <f>D70</f>
        <v>0.252</v>
      </c>
      <c r="C72" s="1330">
        <v>0</v>
      </c>
      <c r="D72" s="1365">
        <f>B72-C72</f>
        <v>0.252</v>
      </c>
      <c r="E72" s="1344"/>
      <c r="F72" s="1345"/>
      <c r="G72" s="1327"/>
      <c r="H72" s="1327"/>
      <c r="I72" s="1328"/>
      <c r="J72" s="1327"/>
      <c r="K72" s="1327"/>
      <c r="L72" s="1327"/>
      <c r="M72" s="262"/>
      <c r="N72" s="262"/>
      <c r="O72" s="262"/>
      <c r="P72" s="262"/>
      <c r="Q72" s="262"/>
      <c r="R72" s="262"/>
      <c r="S72" s="1320"/>
      <c r="T72" s="1320"/>
      <c r="U72" s="1320"/>
      <c r="V72" s="1320"/>
      <c r="W72" s="1320"/>
      <c r="X72" s="1320"/>
      <c r="Y72" s="1320"/>
      <c r="Z72" s="1320"/>
    </row>
    <row r="73" spans="1:26" ht="25.5" outlineLevel="1">
      <c r="A73" s="1317" t="s">
        <v>13192</v>
      </c>
      <c r="B73" s="295">
        <v>100938</v>
      </c>
      <c r="C73" s="295" t="s">
        <v>14476</v>
      </c>
      <c r="D73" s="658" t="str">
        <f>IFERROR(VLOOKUP($B73,'24.08_ND'!$A$4833:$D$12369,2,0),IFERROR(VLOOKUP($B73,'03-CP'!$C$5:$H$4646,2,0),""))</f>
        <v>TRANSPORTE COM CAMINHÃO BASCULANTE DE 10 M³, EM VIA INTERNA (DENTRO DO CANTEIRO - UNIDADE: M3XKM). AF_07/2020</v>
      </c>
      <c r="E73" s="1318" t="str">
        <f>IFERROR(VLOOKUP($B73,'24.08_ND'!$A:$D,3,0),IFERROR(VLOOKUP($B73,'03-CP'!$C$5:$H$4646,3,0),""))</f>
        <v>M3XKM</v>
      </c>
      <c r="F73" s="298">
        <f>F75</f>
        <v>0.504</v>
      </c>
      <c r="G73" s="295"/>
      <c r="H73" s="295"/>
      <c r="I73" s="1319"/>
      <c r="J73" s="295"/>
      <c r="K73" s="295"/>
      <c r="L73" s="1528" t="s">
        <v>16202</v>
      </c>
      <c r="M73" s="262"/>
      <c r="N73" s="262"/>
      <c r="O73" s="262"/>
      <c r="P73" s="262"/>
      <c r="Q73" s="262"/>
      <c r="R73" s="262"/>
      <c r="S73" s="1320"/>
      <c r="T73" s="1320"/>
      <c r="U73" s="1320"/>
      <c r="V73" s="1320"/>
      <c r="W73" s="1320"/>
      <c r="X73" s="1320"/>
      <c r="Y73" s="1320"/>
      <c r="Z73" s="1320"/>
    </row>
    <row r="74" spans="1:26" ht="12.75" hidden="1" outlineLevel="1">
      <c r="A74" s="1346"/>
      <c r="B74" s="1322"/>
      <c r="C74" s="1334"/>
      <c r="D74" s="1325" t="s">
        <v>16211</v>
      </c>
      <c r="E74" s="1347" t="s">
        <v>16212</v>
      </c>
      <c r="F74" s="1348" t="s">
        <v>16213</v>
      </c>
      <c r="G74" s="1349"/>
      <c r="H74" s="1349"/>
      <c r="I74" s="1350"/>
      <c r="J74" s="1351"/>
      <c r="K74" s="1352"/>
      <c r="L74" s="1353"/>
      <c r="M74" s="948"/>
      <c r="N74" s="262"/>
      <c r="O74" s="262"/>
      <c r="P74" s="262"/>
      <c r="Q74" s="262"/>
      <c r="R74" s="262"/>
      <c r="S74" s="262"/>
      <c r="T74" s="262"/>
      <c r="U74" s="262"/>
      <c r="V74" s="262"/>
      <c r="W74" s="262"/>
      <c r="X74" s="262"/>
      <c r="Y74" s="262"/>
      <c r="Z74" s="262"/>
    </row>
    <row r="75" spans="1:26" ht="12.75" hidden="1" outlineLevel="1">
      <c r="A75" s="1346"/>
      <c r="B75" s="1329"/>
      <c r="C75" s="1344"/>
      <c r="D75" s="1332">
        <f>D72</f>
        <v>0.252</v>
      </c>
      <c r="E75" s="1355">
        <v>2</v>
      </c>
      <c r="F75" s="1356">
        <f>D75*E75</f>
        <v>0.504</v>
      </c>
      <c r="G75" s="1349"/>
      <c r="H75" s="1349"/>
      <c r="I75" s="1350"/>
      <c r="J75" s="1351"/>
      <c r="K75" s="1352"/>
      <c r="L75" s="1353"/>
      <c r="M75" s="948"/>
      <c r="N75" s="262"/>
      <c r="O75" s="262"/>
      <c r="P75" s="262"/>
      <c r="Q75" s="262"/>
      <c r="R75" s="262"/>
      <c r="S75" s="262"/>
      <c r="T75" s="262"/>
      <c r="U75" s="262"/>
      <c r="V75" s="262"/>
      <c r="W75" s="262"/>
      <c r="X75" s="262"/>
      <c r="Y75" s="262"/>
      <c r="Z75" s="262"/>
    </row>
    <row r="76" spans="1:26" ht="12.75">
      <c r="A76" s="239" t="s">
        <v>13193</v>
      </c>
      <c r="B76" s="1309"/>
      <c r="C76" s="1309"/>
      <c r="D76" s="1310" t="s">
        <v>16358</v>
      </c>
      <c r="E76" s="1311" t="s">
        <v>6</v>
      </c>
      <c r="F76" s="1312">
        <v>3</v>
      </c>
      <c r="G76" s="1310"/>
      <c r="H76" s="1524"/>
      <c r="I76" s="1313"/>
      <c r="J76" s="512"/>
      <c r="K76" s="262"/>
      <c r="L76" s="1521"/>
      <c r="M76" s="948"/>
      <c r="N76" s="262"/>
      <c r="O76" s="262"/>
      <c r="P76" s="262"/>
      <c r="Q76" s="262"/>
      <c r="R76" s="262"/>
      <c r="S76" s="262"/>
      <c r="T76" s="262"/>
      <c r="U76" s="262"/>
      <c r="V76" s="262"/>
      <c r="W76" s="262"/>
      <c r="X76" s="262"/>
      <c r="Y76" s="262"/>
      <c r="Z76" s="262"/>
    </row>
    <row r="77" spans="1:26" ht="38.25" outlineLevel="1">
      <c r="A77" s="242" t="s">
        <v>13194</v>
      </c>
      <c r="B77" s="303" t="s">
        <v>14647</v>
      </c>
      <c r="C77" s="303" t="s">
        <v>14472</v>
      </c>
      <c r="D77" s="1446" t="str">
        <f>IFERROR(VLOOKUP($B77,'24.08_ND'!$A$4833:$D$12369,2,0),IFERROR(VLOOKUP($B77,'03-CP'!$C$5:$H$4646,2,0),""))</f>
        <v>ESTACA BROCA DE CONCRETO, DIÂMETRO DE 20CM, ESCAVAÇÃO MANUAL COM TRADO CONCHA (EXCLUSIVE ARMADURA E CONCRETO) - PROFUNDIDADE ATÉ 2,00M</v>
      </c>
      <c r="E77" s="1447" t="str">
        <f>IFERROR(VLOOKUP($B77,'24.08_ND'!$A:$D,3,0),IFERROR(VLOOKUP($B77,'03-CP'!$C$5:$H$4646,3,0),""))</f>
        <v>M</v>
      </c>
      <c r="F77" s="306">
        <v>0.9</v>
      </c>
      <c r="G77" s="303"/>
      <c r="H77" s="303"/>
      <c r="I77" s="1525"/>
      <c r="J77" s="295"/>
      <c r="K77" s="295"/>
      <c r="L77" s="1297" t="s">
        <v>16202</v>
      </c>
      <c r="M77" s="262"/>
      <c r="N77" s="262"/>
      <c r="O77" s="262"/>
      <c r="P77" s="262"/>
      <c r="Q77" s="262"/>
      <c r="R77" s="262"/>
      <c r="S77" s="1320"/>
      <c r="T77" s="1320"/>
      <c r="U77" s="1320"/>
      <c r="V77" s="1320"/>
      <c r="W77" s="1320"/>
      <c r="X77" s="1320"/>
      <c r="Y77" s="1320"/>
      <c r="Z77" s="1320"/>
    </row>
    <row r="78" spans="1:26" ht="25.5" outlineLevel="1">
      <c r="A78" s="242" t="s">
        <v>13195</v>
      </c>
      <c r="B78" s="303" t="s">
        <v>14590</v>
      </c>
      <c r="C78" s="303" t="s">
        <v>14472</v>
      </c>
      <c r="D78" s="1446" t="str">
        <f>IFERROR(VLOOKUP($B78,'24.08_ND'!$A$4833:$D$12369,2,0),IFERROR(VLOOKUP($B78,'03-CP'!$C$5:$H$4646,2,0),""))</f>
        <v>CONCRETAGEM FCK = 25 MPA, COM USO DE BOMBA - LANÇAMENTO, ADENSAMENTO E ACABAMENTO</v>
      </c>
      <c r="E78" s="1447" t="str">
        <f>IFERROR(VLOOKUP($B78,'24.08_ND'!$A:$D,3,0),IFERROR(VLOOKUP($B78,'03-CP'!$C$5:$H$4646,3,0),""))</f>
        <v>M3</v>
      </c>
      <c r="F78" s="306">
        <v>0.03</v>
      </c>
      <c r="G78" s="303"/>
      <c r="H78" s="303"/>
      <c r="I78" s="1525"/>
      <c r="J78" s="295"/>
      <c r="K78" s="295"/>
      <c r="L78" s="1297" t="s">
        <v>16202</v>
      </c>
      <c r="M78" s="262"/>
      <c r="N78" s="262"/>
      <c r="O78" s="262"/>
      <c r="P78" s="262"/>
      <c r="Q78" s="262"/>
      <c r="R78" s="262"/>
      <c r="S78" s="1320"/>
      <c r="T78" s="1320"/>
      <c r="U78" s="1320"/>
      <c r="V78" s="1320"/>
      <c r="W78" s="1320"/>
      <c r="X78" s="1320"/>
      <c r="Y78" s="1320"/>
      <c r="Z78" s="1320"/>
    </row>
    <row r="79" spans="1:26" ht="51" outlineLevel="1">
      <c r="A79" s="1317" t="s">
        <v>13196</v>
      </c>
      <c r="B79" s="295">
        <v>100978</v>
      </c>
      <c r="C79" s="295" t="s">
        <v>14476</v>
      </c>
      <c r="D79" s="658" t="str">
        <f>IFERROR(VLOOKUP($B79,'24.08_ND'!$A$4833:$D$12369,2,0),IFERROR(VLOOKUP($B79,'03-CP'!$C$5:$H$4646,2,0),""))</f>
        <v>CARGA, MANOBRA E DESCARGA DE SOLOS E MATERIAIS GRANULARES EM CAMINHÃO BASCULANTE 10 M³ - CARGA COM ESCAVADEIRA HIDRÁULICA (CAÇAMBA DE 1,20 M³ / 155 HP) E DESCARGA LIVRE (UNIDADE: M3). AF_07/2020</v>
      </c>
      <c r="E79" s="1318" t="str">
        <f>IFERROR(VLOOKUP($B79,'24.08_ND'!$A:$D,3,0),IFERROR(VLOOKUP($B79,'03-CP'!$C$5:$H$4646,3,0),""))</f>
        <v>M3</v>
      </c>
      <c r="F79" s="298">
        <f>D83</f>
        <v>4.1999999999999996E-2</v>
      </c>
      <c r="G79" s="295"/>
      <c r="H79" s="295"/>
      <c r="I79" s="1319"/>
      <c r="J79" s="295"/>
      <c r="K79" s="295"/>
      <c r="L79" s="1528" t="s">
        <v>16202</v>
      </c>
      <c r="M79" s="262"/>
      <c r="N79" s="262"/>
      <c r="O79" s="262"/>
      <c r="P79" s="262"/>
      <c r="Q79" s="262"/>
      <c r="R79" s="262"/>
      <c r="S79" s="1320"/>
      <c r="T79" s="1320"/>
      <c r="U79" s="1320"/>
      <c r="V79" s="1320"/>
      <c r="W79" s="1320"/>
      <c r="X79" s="1320"/>
      <c r="Y79" s="1320"/>
      <c r="Z79" s="1320"/>
    </row>
    <row r="80" spans="1:26" ht="12.75" hidden="1" outlineLevel="1">
      <c r="A80" s="1321"/>
      <c r="B80" s="1322" t="s">
        <v>16206</v>
      </c>
      <c r="C80" s="1323" t="s">
        <v>16207</v>
      </c>
      <c r="D80" s="1324" t="s">
        <v>16208</v>
      </c>
      <c r="E80" s="1334"/>
      <c r="F80" s="1335"/>
      <c r="G80" s="1327"/>
      <c r="H80" s="1327"/>
      <c r="I80" s="1328"/>
      <c r="J80" s="1327"/>
      <c r="K80" s="1327"/>
      <c r="L80" s="1327"/>
      <c r="M80" s="262"/>
      <c r="N80" s="262"/>
      <c r="O80" s="262"/>
      <c r="P80" s="262"/>
      <c r="Q80" s="262"/>
      <c r="R80" s="262"/>
      <c r="S80" s="1320"/>
      <c r="T80" s="1320"/>
      <c r="U80" s="1320"/>
      <c r="V80" s="1320"/>
      <c r="W80" s="1320"/>
      <c r="X80" s="1320"/>
      <c r="Y80" s="1320"/>
      <c r="Z80" s="1320"/>
    </row>
    <row r="81" spans="1:26" ht="12.75" hidden="1" outlineLevel="1">
      <c r="A81" s="1321"/>
      <c r="B81" s="1336">
        <f>F78</f>
        <v>0.03</v>
      </c>
      <c r="C81" s="1327">
        <v>1.4</v>
      </c>
      <c r="D81" s="1337">
        <f>B81*C81</f>
        <v>4.1999999999999996E-2</v>
      </c>
      <c r="E81" s="1338"/>
      <c r="F81" s="1339"/>
      <c r="G81" s="1327"/>
      <c r="H81" s="1327"/>
      <c r="I81" s="1328"/>
      <c r="J81" s="1327"/>
      <c r="K81" s="1327"/>
      <c r="L81" s="1327"/>
      <c r="M81" s="262"/>
      <c r="N81" s="262"/>
      <c r="O81" s="262"/>
      <c r="P81" s="262"/>
      <c r="Q81" s="262"/>
      <c r="R81" s="262"/>
      <c r="S81" s="1320"/>
      <c r="T81" s="1320"/>
      <c r="U81" s="1320"/>
      <c r="V81" s="1320"/>
      <c r="W81" s="1320"/>
      <c r="X81" s="1320"/>
      <c r="Y81" s="1320"/>
      <c r="Z81" s="1320"/>
    </row>
    <row r="82" spans="1:26" ht="12.75" hidden="1" outlineLevel="1">
      <c r="A82" s="1321"/>
      <c r="B82" s="1340" t="s">
        <v>16209</v>
      </c>
      <c r="C82" s="1327" t="s">
        <v>16205</v>
      </c>
      <c r="D82" s="1341" t="s">
        <v>16210</v>
      </c>
      <c r="E82" s="1338"/>
      <c r="F82" s="1339"/>
      <c r="G82" s="1327"/>
      <c r="H82" s="1327"/>
      <c r="I82" s="1328"/>
      <c r="J82" s="1327"/>
      <c r="K82" s="1327"/>
      <c r="L82" s="1327"/>
      <c r="M82" s="262"/>
      <c r="N82" s="262"/>
      <c r="O82" s="262"/>
      <c r="P82" s="262"/>
      <c r="Q82" s="262"/>
      <c r="R82" s="262"/>
      <c r="S82" s="1320"/>
      <c r="T82" s="1320"/>
      <c r="U82" s="1320"/>
      <c r="V82" s="1320"/>
      <c r="W82" s="1320"/>
      <c r="X82" s="1320"/>
      <c r="Y82" s="1320"/>
      <c r="Z82" s="1320"/>
    </row>
    <row r="83" spans="1:26" ht="12.75" hidden="1" outlineLevel="1">
      <c r="A83" s="1321"/>
      <c r="B83" s="1329">
        <f>D81</f>
        <v>4.1999999999999996E-2</v>
      </c>
      <c r="C83" s="1330">
        <v>0</v>
      </c>
      <c r="D83" s="1365">
        <f>B83-C83</f>
        <v>4.1999999999999996E-2</v>
      </c>
      <c r="E83" s="1344"/>
      <c r="F83" s="1345"/>
      <c r="G83" s="1327"/>
      <c r="H83" s="1327"/>
      <c r="I83" s="1328"/>
      <c r="J83" s="1327"/>
      <c r="K83" s="1327"/>
      <c r="L83" s="1327"/>
      <c r="M83" s="262"/>
      <c r="N83" s="262"/>
      <c r="O83" s="262"/>
      <c r="P83" s="262"/>
      <c r="Q83" s="262"/>
      <c r="R83" s="262"/>
      <c r="S83" s="1320"/>
      <c r="T83" s="1320"/>
      <c r="U83" s="1320"/>
      <c r="V83" s="1320"/>
      <c r="W83" s="1320"/>
      <c r="X83" s="1320"/>
      <c r="Y83" s="1320"/>
      <c r="Z83" s="1320"/>
    </row>
    <row r="84" spans="1:26" ht="25.5" outlineLevel="1">
      <c r="A84" s="1317" t="s">
        <v>13197</v>
      </c>
      <c r="B84" s="295">
        <v>100938</v>
      </c>
      <c r="C84" s="295" t="s">
        <v>14476</v>
      </c>
      <c r="D84" s="658" t="str">
        <f>IFERROR(VLOOKUP($B84,'24.08_ND'!$A$4833:$D$12369,2,0),IFERROR(VLOOKUP($B84,'03-CP'!$C$5:$H$4646,2,0),""))</f>
        <v>TRANSPORTE COM CAMINHÃO BASCULANTE DE 10 M³, EM VIA INTERNA (DENTRO DO CANTEIRO - UNIDADE: M3XKM). AF_07/2020</v>
      </c>
      <c r="E84" s="1318" t="str">
        <f>IFERROR(VLOOKUP($B84,'24.08_ND'!$A:$D,3,0),IFERROR(VLOOKUP($B84,'03-CP'!$C$5:$H$4646,3,0),""))</f>
        <v>M3XKM</v>
      </c>
      <c r="F84" s="298">
        <f>F86</f>
        <v>8.3999999999999991E-2</v>
      </c>
      <c r="G84" s="295"/>
      <c r="H84" s="295"/>
      <c r="I84" s="1319"/>
      <c r="J84" s="295"/>
      <c r="K84" s="295"/>
      <c r="L84" s="1528" t="s">
        <v>16202</v>
      </c>
      <c r="M84" s="262"/>
      <c r="N84" s="262"/>
      <c r="O84" s="262"/>
      <c r="P84" s="262"/>
      <c r="Q84" s="262"/>
      <c r="R84" s="262"/>
      <c r="S84" s="1320"/>
      <c r="T84" s="1320"/>
      <c r="U84" s="1320"/>
      <c r="V84" s="1320"/>
      <c r="W84" s="1320"/>
      <c r="X84" s="1320"/>
      <c r="Y84" s="1320"/>
      <c r="Z84" s="1320"/>
    </row>
    <row r="85" spans="1:26" ht="12.75" hidden="1" outlineLevel="1">
      <c r="A85" s="1346"/>
      <c r="B85" s="1322"/>
      <c r="C85" s="1334"/>
      <c r="D85" s="1325" t="s">
        <v>16211</v>
      </c>
      <c r="E85" s="1347" t="s">
        <v>16212</v>
      </c>
      <c r="F85" s="1348" t="s">
        <v>16213</v>
      </c>
      <c r="G85" s="1349"/>
      <c r="H85" s="1349"/>
      <c r="I85" s="1350"/>
      <c r="J85" s="1351"/>
      <c r="K85" s="1352"/>
      <c r="L85" s="1353"/>
      <c r="M85" s="948"/>
      <c r="N85" s="262"/>
      <c r="O85" s="262"/>
      <c r="P85" s="262"/>
      <c r="Q85" s="262"/>
      <c r="R85" s="262"/>
      <c r="S85" s="262"/>
      <c r="T85" s="262"/>
      <c r="U85" s="262"/>
      <c r="V85" s="262"/>
      <c r="W85" s="262"/>
      <c r="X85" s="262"/>
      <c r="Y85" s="262"/>
      <c r="Z85" s="262"/>
    </row>
    <row r="86" spans="1:26" ht="12.75" hidden="1" outlineLevel="1">
      <c r="A86" s="1346"/>
      <c r="B86" s="1329"/>
      <c r="C86" s="1344"/>
      <c r="D86" s="1332">
        <f>D83</f>
        <v>4.1999999999999996E-2</v>
      </c>
      <c r="E86" s="1355">
        <v>2</v>
      </c>
      <c r="F86" s="1356">
        <f>D86*E86</f>
        <v>8.3999999999999991E-2</v>
      </c>
      <c r="G86" s="1349"/>
      <c r="H86" s="1349"/>
      <c r="I86" s="1350"/>
      <c r="J86" s="1351"/>
      <c r="K86" s="1352"/>
      <c r="L86" s="1353"/>
      <c r="M86" s="948"/>
      <c r="N86" s="262"/>
      <c r="O86" s="262"/>
      <c r="P86" s="262"/>
      <c r="Q86" s="262"/>
      <c r="R86" s="262"/>
      <c r="S86" s="262"/>
      <c r="T86" s="262"/>
      <c r="U86" s="262"/>
      <c r="V86" s="262"/>
      <c r="W86" s="262"/>
      <c r="X86" s="262"/>
      <c r="Y86" s="262"/>
      <c r="Z86" s="262"/>
    </row>
    <row r="87" spans="1:26" ht="12.75" hidden="1" outlineLevel="1">
      <c r="A87" s="247"/>
      <c r="B87" s="386"/>
      <c r="C87" s="386"/>
      <c r="D87" s="253"/>
      <c r="E87" s="1244"/>
      <c r="F87" s="389"/>
      <c r="G87" s="1244"/>
      <c r="H87" s="1244"/>
      <c r="I87" s="1409"/>
      <c r="J87" s="1383"/>
      <c r="K87" s="262"/>
      <c r="L87" s="386"/>
      <c r="M87" s="262"/>
      <c r="N87" s="262"/>
      <c r="O87" s="262"/>
      <c r="P87" s="262"/>
      <c r="Q87" s="262"/>
      <c r="R87" s="262"/>
      <c r="S87" s="262"/>
      <c r="T87" s="262"/>
      <c r="U87" s="262"/>
      <c r="V87" s="262"/>
      <c r="W87" s="262"/>
      <c r="X87" s="262"/>
      <c r="Y87" s="262"/>
      <c r="Z87" s="262"/>
    </row>
    <row r="88" spans="1:26" ht="12.75">
      <c r="A88" s="239" t="s">
        <v>13198</v>
      </c>
      <c r="B88" s="1309"/>
      <c r="C88" s="1309"/>
      <c r="D88" s="1310" t="s">
        <v>16359</v>
      </c>
      <c r="E88" s="1311"/>
      <c r="F88" s="1312"/>
      <c r="G88" s="1310"/>
      <c r="H88" s="1524"/>
      <c r="I88" s="1313"/>
      <c r="J88" s="512"/>
      <c r="K88" s="262"/>
      <c r="L88" s="1521" t="s">
        <v>16349</v>
      </c>
      <c r="M88" s="948" t="s">
        <v>16350</v>
      </c>
      <c r="N88" s="262"/>
      <c r="O88" s="262"/>
      <c r="P88" s="262"/>
      <c r="Q88" s="262"/>
      <c r="R88" s="262"/>
      <c r="S88" s="262"/>
      <c r="T88" s="262"/>
      <c r="U88" s="262"/>
      <c r="V88" s="262"/>
      <c r="W88" s="262"/>
      <c r="X88" s="262"/>
      <c r="Y88" s="262"/>
      <c r="Z88" s="262"/>
    </row>
    <row r="89" spans="1:26" ht="12.75" outlineLevel="1">
      <c r="A89" s="1529" t="s">
        <v>13199</v>
      </c>
      <c r="B89" s="1530"/>
      <c r="C89" s="1530"/>
      <c r="D89" s="1531" t="s">
        <v>16360</v>
      </c>
      <c r="E89" s="1532"/>
      <c r="F89" s="1533"/>
      <c r="G89" s="1531"/>
      <c r="H89" s="1534"/>
      <c r="I89" s="1535"/>
      <c r="J89" s="512"/>
      <c r="K89" s="262"/>
      <c r="L89" s="386"/>
      <c r="M89" s="262"/>
      <c r="N89" s="262"/>
      <c r="O89" s="262"/>
      <c r="P89" s="262"/>
      <c r="Q89" s="262"/>
      <c r="R89" s="262"/>
      <c r="S89" s="262"/>
      <c r="T89" s="262"/>
      <c r="U89" s="262"/>
      <c r="V89" s="262"/>
      <c r="W89" s="262"/>
      <c r="X89" s="262"/>
      <c r="Y89" s="262"/>
      <c r="Z89" s="262"/>
    </row>
    <row r="90" spans="1:26" ht="25.5" outlineLevel="1">
      <c r="A90" s="242" t="s">
        <v>13200</v>
      </c>
      <c r="B90" s="303">
        <v>96527</v>
      </c>
      <c r="C90" s="303" t="s">
        <v>14476</v>
      </c>
      <c r="D90" s="1446" t="str">
        <f>IFERROR(VLOOKUP($B90,'24.08_ND'!$A$4833:$D$12369,2,0),IFERROR(VLOOKUP($B90,'03-CP'!$C$5:$H$4646,2,0),""))</f>
        <v>ESCAVAÇÃO MANUAL PARA VIGA BALDRAME OU SAPATA CORRIDA (INCLUINDO ESCAVAÇÃO PARA COLOCAÇÃO DE FÔRMAS). AF_01/2024</v>
      </c>
      <c r="E90" s="1447" t="str">
        <f>IFERROR(VLOOKUP($B90,'24.08_ND'!$A:$D,3,0),IFERROR(VLOOKUP($B90,'03-CP'!$C$5:$H$4646,3,0),""))</f>
        <v>M3</v>
      </c>
      <c r="F90" s="306">
        <v>4.95</v>
      </c>
      <c r="G90" s="1536"/>
      <c r="H90" s="568"/>
      <c r="I90" s="1537"/>
      <c r="J90" s="512"/>
      <c r="K90" s="262"/>
      <c r="L90" s="1297" t="s">
        <v>16202</v>
      </c>
      <c r="M90" s="262"/>
      <c r="N90" s="262"/>
      <c r="O90" s="262"/>
      <c r="P90" s="262"/>
      <c r="Q90" s="262"/>
      <c r="R90" s="262"/>
      <c r="S90" s="262"/>
      <c r="T90" s="262"/>
      <c r="U90" s="262"/>
      <c r="V90" s="262"/>
      <c r="W90" s="262"/>
      <c r="X90" s="262"/>
      <c r="Y90" s="262"/>
      <c r="Z90" s="262"/>
    </row>
    <row r="91" spans="1:26" ht="25.5" outlineLevel="1">
      <c r="A91" s="242" t="s">
        <v>13201</v>
      </c>
      <c r="B91" s="303">
        <v>101616</v>
      </c>
      <c r="C91" s="303" t="s">
        <v>14476</v>
      </c>
      <c r="D91" s="1446" t="str">
        <f>IFERROR(VLOOKUP($B91,'24.08_ND'!$A$4833:$D$12369,2,0),IFERROR(VLOOKUP($B91,'03-CP'!$C$5:$H$4646,2,0),""))</f>
        <v>PREPARO DE FUNDO DE VALA COM LARGURA MENOR QUE 1,5 M (ACERTO DO SOLO NATURAL). AF_08/2020</v>
      </c>
      <c r="E91" s="1447" t="str">
        <f>IFERROR(VLOOKUP($B91,'24.08_ND'!$A:$D,3,0),IFERROR(VLOOKUP($B91,'03-CP'!$C$5:$H$4646,3,0),""))</f>
        <v>M2</v>
      </c>
      <c r="F91" s="306">
        <v>29.7</v>
      </c>
      <c r="G91" s="1536"/>
      <c r="H91" s="568"/>
      <c r="I91" s="1537"/>
      <c r="J91" s="512"/>
      <c r="K91" s="262"/>
      <c r="L91" s="1297" t="s">
        <v>16202</v>
      </c>
      <c r="M91" s="262"/>
      <c r="N91" s="262"/>
      <c r="O91" s="262"/>
      <c r="P91" s="262"/>
      <c r="Q91" s="262"/>
      <c r="R91" s="262"/>
      <c r="S91" s="262"/>
      <c r="T91" s="262"/>
      <c r="U91" s="262"/>
      <c r="V91" s="262"/>
      <c r="W91" s="262"/>
      <c r="X91" s="262"/>
      <c r="Y91" s="262"/>
      <c r="Z91" s="262"/>
    </row>
    <row r="92" spans="1:26" ht="25.5" outlineLevel="1">
      <c r="A92" s="242" t="s">
        <v>13202</v>
      </c>
      <c r="B92" s="303">
        <v>96622</v>
      </c>
      <c r="C92" s="303" t="s">
        <v>14476</v>
      </c>
      <c r="D92" s="1446" t="str">
        <f>IFERROR(VLOOKUP($B92,'24.08_ND'!$A$4833:$D$12369,2,0),IFERROR(VLOOKUP($B92,'03-CP'!$C$5:$H$4646,2,0),""))</f>
        <v>LASTRO COM MATERIAL GRANULAR, APLICADO EM PISOS OU LAJES SOBRE SOLO, ESPESSURA DE *5 CM*. AF_01/2024</v>
      </c>
      <c r="E92" s="1447" t="str">
        <f>IFERROR(VLOOKUP($B92,'24.08_ND'!$A:$D,3,0),IFERROR(VLOOKUP($B92,'03-CP'!$C$5:$H$4646,3,0),""))</f>
        <v>M3</v>
      </c>
      <c r="F92" s="306">
        <v>1.49</v>
      </c>
      <c r="G92" s="1536"/>
      <c r="H92" s="568"/>
      <c r="I92" s="1537"/>
      <c r="J92" s="512"/>
      <c r="K92" s="262"/>
      <c r="L92" s="1297" t="s">
        <v>16202</v>
      </c>
      <c r="M92" s="262"/>
      <c r="N92" s="262"/>
      <c r="O92" s="262"/>
      <c r="P92" s="262"/>
      <c r="Q92" s="262"/>
      <c r="R92" s="262"/>
      <c r="S92" s="262"/>
      <c r="T92" s="262"/>
      <c r="U92" s="262"/>
      <c r="V92" s="262"/>
      <c r="W92" s="262"/>
      <c r="X92" s="262"/>
      <c r="Y92" s="262"/>
      <c r="Z92" s="262"/>
    </row>
    <row r="93" spans="1:26" ht="25.5" outlineLevel="1">
      <c r="A93" s="242" t="s">
        <v>13203</v>
      </c>
      <c r="B93" s="303">
        <v>92264</v>
      </c>
      <c r="C93" s="303" t="s">
        <v>14476</v>
      </c>
      <c r="D93" s="1446" t="str">
        <f>IFERROR(VLOOKUP($B93,'24.08_ND'!$A$4833:$D$12369,2,0),IFERROR(VLOOKUP($B93,'03-CP'!$C$5:$H$4646,2,0),""))</f>
        <v>FABRICAÇÃO DE FÔRMA PARA PILARES E ESTRUTURAS SIMILARES, EM CHAPA DE MADEIRA COMPENSADA PLASTIFICADA, E = 18 MM. AF_09/2020</v>
      </c>
      <c r="E93" s="1447" t="str">
        <f>IFERROR(VLOOKUP($B93,'24.08_ND'!$A:$D,3,0),IFERROR(VLOOKUP($B93,'03-CP'!$C$5:$H$4646,3,0),""))</f>
        <v>M2</v>
      </c>
      <c r="F93" s="306">
        <v>75.239999999999995</v>
      </c>
      <c r="G93" s="1536"/>
      <c r="H93" s="568"/>
      <c r="I93" s="1537"/>
      <c r="J93" s="512"/>
      <c r="K93" s="262"/>
      <c r="L93" s="1297" t="s">
        <v>16202</v>
      </c>
      <c r="M93" s="262"/>
      <c r="N93" s="262"/>
      <c r="O93" s="262"/>
      <c r="P93" s="262"/>
      <c r="Q93" s="262"/>
      <c r="R93" s="262"/>
      <c r="S93" s="262"/>
      <c r="T93" s="262"/>
      <c r="U93" s="262"/>
      <c r="V93" s="262"/>
      <c r="W93" s="262"/>
      <c r="X93" s="262"/>
      <c r="Y93" s="262"/>
      <c r="Z93" s="262"/>
    </row>
    <row r="94" spans="1:26" ht="38.25" outlineLevel="1">
      <c r="A94" s="242" t="s">
        <v>13204</v>
      </c>
      <c r="B94" s="303">
        <v>92760</v>
      </c>
      <c r="C94" s="303" t="s">
        <v>14476</v>
      </c>
      <c r="D94" s="1446" t="str">
        <f>IFERROR(VLOOKUP($B94,'24.08_ND'!$A$4833:$D$12369,2,0),IFERROR(VLOOKUP($B94,'03-CP'!$C$5:$H$4646,2,0),""))</f>
        <v>ARMAÇÃO DE PILAR OU VIGA DE ESTRUTURA CONVENCIONAL DE CONCRETO ARMADO UTILIZANDO AÇO CA-50 DE 6,3 MM - MONTAGEM. AF_06/2022</v>
      </c>
      <c r="E94" s="1447" t="str">
        <f>IFERROR(VLOOKUP($B94,'24.08_ND'!$A:$D,3,0),IFERROR(VLOOKUP($B94,'03-CP'!$C$5:$H$4646,3,0),""))</f>
        <v>KG</v>
      </c>
      <c r="F94" s="306">
        <v>289.22000000000003</v>
      </c>
      <c r="G94" s="1536"/>
      <c r="H94" s="568"/>
      <c r="I94" s="1537"/>
      <c r="J94" s="512"/>
      <c r="K94" s="262"/>
      <c r="L94" s="1297" t="s">
        <v>16202</v>
      </c>
      <c r="M94" s="262"/>
      <c r="N94" s="262"/>
      <c r="O94" s="262"/>
      <c r="P94" s="262"/>
      <c r="Q94" s="262"/>
      <c r="R94" s="262"/>
      <c r="S94" s="262"/>
      <c r="T94" s="262"/>
      <c r="U94" s="262"/>
      <c r="V94" s="262"/>
      <c r="W94" s="262"/>
      <c r="X94" s="262"/>
      <c r="Y94" s="262"/>
      <c r="Z94" s="262"/>
    </row>
    <row r="95" spans="1:26" ht="25.5" outlineLevel="1">
      <c r="A95" s="242" t="s">
        <v>13205</v>
      </c>
      <c r="B95" s="303" t="s">
        <v>14590</v>
      </c>
      <c r="C95" s="303" t="s">
        <v>14472</v>
      </c>
      <c r="D95" s="1446" t="str">
        <f>IFERROR(VLOOKUP($B95,'24.08_ND'!$A$4833:$D$12369,2,0),IFERROR(VLOOKUP($B95,'03-CP'!$C$5:$H$4646,2,0),""))</f>
        <v>CONCRETAGEM FCK = 25 MPA, COM USO DE BOMBA - LANÇAMENTO, ADENSAMENTO E ACABAMENTO</v>
      </c>
      <c r="E95" s="1447" t="str">
        <f>IFERROR(VLOOKUP($B95,'24.08_ND'!$A:$D,3,0),IFERROR(VLOOKUP($B95,'03-CP'!$C$5:$H$4646,3,0),""))</f>
        <v>M3</v>
      </c>
      <c r="F95" s="306">
        <v>15.84</v>
      </c>
      <c r="G95" s="1536"/>
      <c r="H95" s="568"/>
      <c r="I95" s="1537"/>
      <c r="J95" s="512"/>
      <c r="K95" s="262"/>
      <c r="L95" s="1297" t="s">
        <v>16202</v>
      </c>
      <c r="M95" s="262"/>
      <c r="N95" s="262"/>
      <c r="O95" s="262"/>
      <c r="P95" s="262"/>
      <c r="Q95" s="262"/>
      <c r="R95" s="262"/>
      <c r="S95" s="262"/>
      <c r="T95" s="262"/>
      <c r="U95" s="262"/>
      <c r="V95" s="262"/>
      <c r="W95" s="262"/>
      <c r="X95" s="262"/>
      <c r="Y95" s="262"/>
      <c r="Z95" s="262"/>
    </row>
    <row r="96" spans="1:26" ht="25.5" outlineLevel="1">
      <c r="A96" s="1317" t="s">
        <v>13206</v>
      </c>
      <c r="B96" s="384">
        <v>93382</v>
      </c>
      <c r="C96" s="295" t="s">
        <v>14476</v>
      </c>
      <c r="D96" s="658" t="str">
        <f>IFERROR(VLOOKUP($B96,'24.08_ND'!$A$4833:$D$12369,2,0),IFERROR(VLOOKUP($B96,'03-CP'!$C$5:$H$4646,2,0),""))</f>
        <v>REATERRO MANUAL DE VALAS, COM COMPACTADOR DE SOLOS DE PERCUSSÃO. AF_08/2023</v>
      </c>
      <c r="E96" s="1318" t="str">
        <f>IFERROR(VLOOKUP($B96,'24.08_ND'!$A:$D,3,0),IFERROR(VLOOKUP($B96,'03-CP'!$C$5:$H$4646,3,0),""))</f>
        <v>M3</v>
      </c>
      <c r="F96" s="298">
        <f>F98</f>
        <v>2.1779999999999999</v>
      </c>
      <c r="G96" s="295"/>
      <c r="H96" s="295"/>
      <c r="I96" s="1319"/>
      <c r="J96" s="512"/>
      <c r="K96" s="262"/>
      <c r="L96" s="1528" t="s">
        <v>16202</v>
      </c>
      <c r="M96" s="262"/>
      <c r="N96" s="262"/>
      <c r="O96" s="262"/>
      <c r="P96" s="262"/>
      <c r="Q96" s="262"/>
      <c r="R96" s="262"/>
      <c r="S96" s="262"/>
      <c r="T96" s="262"/>
      <c r="U96" s="262"/>
      <c r="V96" s="262"/>
      <c r="W96" s="262"/>
      <c r="X96" s="262"/>
      <c r="Y96" s="262"/>
      <c r="Z96" s="262"/>
    </row>
    <row r="97" spans="1:26" ht="12.75" hidden="1" outlineLevel="1">
      <c r="A97" s="1321"/>
      <c r="B97" s="1322"/>
      <c r="C97" s="1323"/>
      <c r="D97" s="1324" t="s">
        <v>16361</v>
      </c>
      <c r="E97" s="1325" t="s">
        <v>16204</v>
      </c>
      <c r="F97" s="1326" t="s">
        <v>16205</v>
      </c>
      <c r="G97" s="1327"/>
      <c r="H97" s="1327"/>
      <c r="I97" s="1328"/>
      <c r="J97" s="1327"/>
      <c r="K97" s="1327"/>
      <c r="L97" s="1327"/>
      <c r="M97" s="262"/>
      <c r="N97" s="262"/>
      <c r="O97" s="262"/>
      <c r="P97" s="262"/>
      <c r="Q97" s="262"/>
      <c r="R97" s="262"/>
      <c r="S97" s="262"/>
      <c r="T97" s="262"/>
      <c r="U97" s="262"/>
      <c r="V97" s="262"/>
      <c r="W97" s="262"/>
      <c r="X97" s="262"/>
      <c r="Y97" s="262"/>
      <c r="Z97" s="262"/>
    </row>
    <row r="98" spans="1:26" ht="12.75" hidden="1" outlineLevel="1">
      <c r="A98" s="1321"/>
      <c r="B98" s="1329"/>
      <c r="C98" s="1330"/>
      <c r="D98" s="1538">
        <v>1.98</v>
      </c>
      <c r="E98" s="1332">
        <v>1.1000000000000001</v>
      </c>
      <c r="F98" s="1333">
        <f>D98*E98</f>
        <v>2.1779999999999999</v>
      </c>
      <c r="G98" s="1327"/>
      <c r="H98" s="1327"/>
      <c r="I98" s="1328"/>
      <c r="J98" s="1327"/>
      <c r="K98" s="1327"/>
      <c r="L98" s="1327"/>
      <c r="M98" s="262"/>
      <c r="N98" s="262"/>
      <c r="O98" s="262"/>
      <c r="P98" s="262"/>
      <c r="Q98" s="262"/>
      <c r="R98" s="262"/>
      <c r="S98" s="262"/>
      <c r="T98" s="262"/>
      <c r="U98" s="262"/>
      <c r="V98" s="262"/>
      <c r="W98" s="262"/>
      <c r="X98" s="262"/>
      <c r="Y98" s="262"/>
      <c r="Z98" s="262"/>
    </row>
    <row r="99" spans="1:26" ht="51" outlineLevel="1">
      <c r="A99" s="1317" t="s">
        <v>13207</v>
      </c>
      <c r="B99" s="295">
        <v>100978</v>
      </c>
      <c r="C99" s="295" t="s">
        <v>14476</v>
      </c>
      <c r="D99" s="658" t="str">
        <f>IFERROR(VLOOKUP($B99,'24.08_ND'!$A$4833:$D$12369,2,0),IFERROR(VLOOKUP($B99,'03-CP'!$C$5:$H$4646,2,0),""))</f>
        <v>CARGA, MANOBRA E DESCARGA DE SOLOS E MATERIAIS GRANULARES EM CAMINHÃO BASCULANTE 10 M³ - CARGA COM ESCAVADEIRA HIDRÁULICA (CAÇAMBA DE 1,20 M³ / 155 HP) E DESCARGA LIVRE (UNIDADE: M3). AF_07/2020</v>
      </c>
      <c r="E99" s="1318" t="str">
        <f>IFERROR(VLOOKUP($B99,'24.08_ND'!$A:$D,3,0),IFERROR(VLOOKUP($B99,'03-CP'!$C$5:$H$4646,3,0),""))</f>
        <v>M3</v>
      </c>
      <c r="F99" s="298">
        <f>D103</f>
        <v>4.7519999999999998</v>
      </c>
      <c r="G99" s="1539"/>
      <c r="H99" s="1540"/>
      <c r="I99" s="1541"/>
      <c r="J99" s="512"/>
      <c r="K99" s="262"/>
      <c r="L99" s="1528" t="s">
        <v>16202</v>
      </c>
      <c r="M99" s="262"/>
      <c r="N99" s="262"/>
      <c r="O99" s="262"/>
      <c r="P99" s="262"/>
      <c r="Q99" s="262"/>
      <c r="R99" s="262"/>
      <c r="S99" s="262"/>
      <c r="T99" s="262"/>
      <c r="U99" s="262"/>
      <c r="V99" s="262"/>
      <c r="W99" s="262"/>
      <c r="X99" s="262"/>
      <c r="Y99" s="262"/>
      <c r="Z99" s="262"/>
    </row>
    <row r="100" spans="1:26" ht="12.75" hidden="1" outlineLevel="1">
      <c r="A100" s="1321"/>
      <c r="B100" s="1322" t="s">
        <v>16206</v>
      </c>
      <c r="C100" s="1323" t="s">
        <v>16207</v>
      </c>
      <c r="D100" s="1324" t="s">
        <v>16208</v>
      </c>
      <c r="E100" s="1334"/>
      <c r="F100" s="1335"/>
      <c r="G100" s="1327"/>
      <c r="H100" s="1327"/>
      <c r="I100" s="1328"/>
      <c r="J100" s="1327"/>
      <c r="K100" s="1327"/>
      <c r="L100" s="1327"/>
      <c r="M100" s="262"/>
      <c r="N100" s="262"/>
      <c r="O100" s="262"/>
      <c r="P100" s="262"/>
      <c r="Q100" s="262"/>
      <c r="R100" s="262"/>
      <c r="S100" s="1320"/>
      <c r="T100" s="1320"/>
      <c r="U100" s="1320"/>
      <c r="V100" s="1320"/>
      <c r="W100" s="1320"/>
      <c r="X100" s="1320"/>
      <c r="Y100" s="1320"/>
      <c r="Z100" s="1320"/>
    </row>
    <row r="101" spans="1:26" ht="12.75" hidden="1" outlineLevel="1">
      <c r="A101" s="1321"/>
      <c r="B101" s="1336">
        <f>F90</f>
        <v>4.95</v>
      </c>
      <c r="C101" s="1327">
        <v>1.4</v>
      </c>
      <c r="D101" s="1337">
        <f>B101*C101</f>
        <v>6.93</v>
      </c>
      <c r="E101" s="1338"/>
      <c r="F101" s="1339"/>
      <c r="G101" s="1327"/>
      <c r="H101" s="1327"/>
      <c r="I101" s="1328"/>
      <c r="J101" s="1327"/>
      <c r="K101" s="1327"/>
      <c r="L101" s="1327"/>
      <c r="M101" s="262"/>
      <c r="N101" s="262"/>
      <c r="O101" s="262"/>
      <c r="P101" s="262"/>
      <c r="Q101" s="262"/>
      <c r="R101" s="262"/>
      <c r="S101" s="1320"/>
      <c r="T101" s="1320"/>
      <c r="U101" s="1320"/>
      <c r="V101" s="1320"/>
      <c r="W101" s="1320"/>
      <c r="X101" s="1320"/>
      <c r="Y101" s="1320"/>
      <c r="Z101" s="1320"/>
    </row>
    <row r="102" spans="1:26" ht="12.75" hidden="1" outlineLevel="1">
      <c r="A102" s="1321"/>
      <c r="B102" s="1340" t="s">
        <v>16209</v>
      </c>
      <c r="C102" s="1327" t="s">
        <v>16205</v>
      </c>
      <c r="D102" s="1341" t="s">
        <v>16210</v>
      </c>
      <c r="E102" s="1338"/>
      <c r="F102" s="1339"/>
      <c r="G102" s="1327"/>
      <c r="H102" s="1327"/>
      <c r="I102" s="1328"/>
      <c r="J102" s="1327"/>
      <c r="K102" s="1327"/>
      <c r="L102" s="1327"/>
      <c r="M102" s="262"/>
      <c r="N102" s="262"/>
      <c r="O102" s="262"/>
      <c r="P102" s="262"/>
      <c r="Q102" s="262"/>
      <c r="R102" s="262"/>
      <c r="S102" s="1320"/>
      <c r="T102" s="1320"/>
      <c r="U102" s="1320"/>
      <c r="V102" s="1320"/>
      <c r="W102" s="1320"/>
      <c r="X102" s="1320"/>
      <c r="Y102" s="1320"/>
      <c r="Z102" s="1320"/>
    </row>
    <row r="103" spans="1:26" ht="12.75" hidden="1" outlineLevel="1">
      <c r="A103" s="1321"/>
      <c r="B103" s="1329">
        <f>D101</f>
        <v>6.93</v>
      </c>
      <c r="C103" s="1342">
        <f>F98</f>
        <v>2.1779999999999999</v>
      </c>
      <c r="D103" s="1343">
        <f>B103-C103</f>
        <v>4.7519999999999998</v>
      </c>
      <c r="E103" s="1344"/>
      <c r="F103" s="1345"/>
      <c r="G103" s="1327"/>
      <c r="H103" s="1327"/>
      <c r="I103" s="1328"/>
      <c r="J103" s="1327"/>
      <c r="K103" s="1327"/>
      <c r="L103" s="1327"/>
      <c r="M103" s="262"/>
      <c r="N103" s="262"/>
      <c r="O103" s="262"/>
      <c r="P103" s="262"/>
      <c r="Q103" s="262"/>
      <c r="R103" s="262"/>
      <c r="S103" s="1320"/>
      <c r="T103" s="1320"/>
      <c r="U103" s="1320"/>
      <c r="V103" s="1320"/>
      <c r="W103" s="1320"/>
      <c r="X103" s="1320"/>
      <c r="Y103" s="1320"/>
      <c r="Z103" s="1320"/>
    </row>
    <row r="104" spans="1:26" ht="25.5" outlineLevel="1">
      <c r="A104" s="1317" t="s">
        <v>13208</v>
      </c>
      <c r="B104" s="295">
        <v>100938</v>
      </c>
      <c r="C104" s="295" t="s">
        <v>14476</v>
      </c>
      <c r="D104" s="658" t="str">
        <f>IFERROR(VLOOKUP($B104,'24.08_ND'!$A$4833:$D$12369,2,0),IFERROR(VLOOKUP($B104,'03-CP'!$C$5:$H$4646,2,0),""))</f>
        <v>TRANSPORTE COM CAMINHÃO BASCULANTE DE 10 M³, EM VIA INTERNA (DENTRO DO CANTEIRO - UNIDADE: M3XKM). AF_07/2020</v>
      </c>
      <c r="E104" s="1318" t="str">
        <f>IFERROR(VLOOKUP($B104,'24.08_ND'!$A:$D,3,0),IFERROR(VLOOKUP($B104,'03-CP'!$C$5:$H$4646,3,0),""))</f>
        <v>M3XKM</v>
      </c>
      <c r="F104" s="298">
        <f>F106</f>
        <v>9.5039999999999996</v>
      </c>
      <c r="G104" s="1539"/>
      <c r="H104" s="1540"/>
      <c r="I104" s="1541"/>
      <c r="J104" s="512"/>
      <c r="K104" s="262"/>
      <c r="L104" s="1528" t="s">
        <v>16202</v>
      </c>
      <c r="M104" s="262"/>
      <c r="N104" s="262"/>
      <c r="O104" s="262"/>
      <c r="P104" s="262"/>
      <c r="Q104" s="262"/>
      <c r="R104" s="262"/>
      <c r="S104" s="262"/>
      <c r="T104" s="262"/>
      <c r="U104" s="262"/>
      <c r="V104" s="262"/>
      <c r="W104" s="262"/>
      <c r="X104" s="262"/>
      <c r="Y104" s="262"/>
      <c r="Z104" s="262"/>
    </row>
    <row r="105" spans="1:26" ht="12.75" hidden="1" outlineLevel="1">
      <c r="A105" s="1346"/>
      <c r="B105" s="1322"/>
      <c r="C105" s="1334"/>
      <c r="D105" s="1325" t="s">
        <v>16211</v>
      </c>
      <c r="E105" s="1347" t="s">
        <v>16212</v>
      </c>
      <c r="F105" s="1348" t="s">
        <v>16213</v>
      </c>
      <c r="G105" s="1349"/>
      <c r="H105" s="1349"/>
      <c r="I105" s="1350"/>
      <c r="J105" s="1351"/>
      <c r="K105" s="1352"/>
      <c r="L105" s="1353"/>
      <c r="M105" s="948"/>
      <c r="N105" s="262"/>
      <c r="O105" s="262"/>
      <c r="P105" s="262"/>
      <c r="Q105" s="262"/>
      <c r="R105" s="262"/>
      <c r="S105" s="262"/>
      <c r="T105" s="262"/>
      <c r="U105" s="262"/>
      <c r="V105" s="262"/>
      <c r="W105" s="262"/>
      <c r="X105" s="262"/>
      <c r="Y105" s="262"/>
      <c r="Z105" s="262"/>
    </row>
    <row r="106" spans="1:26" ht="12.75" hidden="1" outlineLevel="1">
      <c r="A106" s="1346"/>
      <c r="B106" s="1329"/>
      <c r="C106" s="1344"/>
      <c r="D106" s="1354">
        <f>D103</f>
        <v>4.7519999999999998</v>
      </c>
      <c r="E106" s="1355">
        <v>2</v>
      </c>
      <c r="F106" s="1356">
        <f>D106*E106</f>
        <v>9.5039999999999996</v>
      </c>
      <c r="G106" s="1349"/>
      <c r="H106" s="1349"/>
      <c r="I106" s="1350"/>
      <c r="J106" s="1351"/>
      <c r="K106" s="1352"/>
      <c r="L106" s="1353"/>
      <c r="M106" s="948"/>
      <c r="N106" s="262"/>
      <c r="O106" s="262"/>
      <c r="P106" s="262"/>
      <c r="Q106" s="262"/>
      <c r="R106" s="262"/>
      <c r="S106" s="262"/>
      <c r="T106" s="262"/>
      <c r="U106" s="262"/>
      <c r="V106" s="262"/>
      <c r="W106" s="262"/>
      <c r="X106" s="262"/>
      <c r="Y106" s="262"/>
      <c r="Z106" s="262"/>
    </row>
    <row r="107" spans="1:26" ht="12.75" outlineLevel="1">
      <c r="A107" s="1529" t="s">
        <v>13209</v>
      </c>
      <c r="B107" s="1530"/>
      <c r="C107" s="1530"/>
      <c r="D107" s="1531" t="s">
        <v>16362</v>
      </c>
      <c r="E107" s="1532"/>
      <c r="F107" s="1533"/>
      <c r="G107" s="1531"/>
      <c r="H107" s="1534"/>
      <c r="I107" s="1535"/>
      <c r="J107" s="512"/>
      <c r="K107" s="262"/>
      <c r="L107" s="386"/>
      <c r="M107" s="262"/>
      <c r="N107" s="262"/>
      <c r="O107" s="262"/>
      <c r="P107" s="262"/>
      <c r="Q107" s="262"/>
      <c r="R107" s="262"/>
      <c r="S107" s="262"/>
      <c r="T107" s="262"/>
      <c r="U107" s="262"/>
      <c r="V107" s="262"/>
      <c r="W107" s="262"/>
      <c r="X107" s="262"/>
      <c r="Y107" s="262"/>
      <c r="Z107" s="262"/>
    </row>
    <row r="108" spans="1:26" ht="38.25" outlineLevel="1">
      <c r="A108" s="242" t="s">
        <v>13210</v>
      </c>
      <c r="B108" s="303" t="s">
        <v>14649</v>
      </c>
      <c r="C108" s="303" t="s">
        <v>14472</v>
      </c>
      <c r="D108" s="1446" t="str">
        <f>IFERROR(VLOOKUP($B108,'24.08_ND'!$A$4833:$D$12369,2,0),IFERROR(VLOOKUP($B108,'03-CP'!$C$5:$H$4646,2,0),""))</f>
        <v>ESTACA BROCA DE CONCRETO, DIÂMETRO DE 25CM, ESCAVAÇÃO MANUAL COM TRADO CONCHA (EXCLUSIVE ARMADURA E CONCRETO) - PROFUNDIDADE ATÉ 2,00M</v>
      </c>
      <c r="E108" s="1447" t="str">
        <f>IFERROR(VLOOKUP($B108,'24.08_ND'!$A:$D,3,0),IFERROR(VLOOKUP($B108,'03-CP'!$C$5:$H$4646,3,0),""))</f>
        <v>M</v>
      </c>
      <c r="F108" s="306">
        <v>53</v>
      </c>
      <c r="G108" s="1536"/>
      <c r="H108" s="568"/>
      <c r="I108" s="1537"/>
      <c r="J108" s="512"/>
      <c r="K108" s="262"/>
      <c r="L108" s="1297" t="s">
        <v>16202</v>
      </c>
      <c r="M108" s="262"/>
      <c r="N108" s="262"/>
      <c r="O108" s="262"/>
      <c r="P108" s="262"/>
      <c r="Q108" s="262"/>
      <c r="R108" s="262"/>
      <c r="S108" s="262"/>
      <c r="T108" s="262"/>
      <c r="U108" s="262"/>
      <c r="V108" s="262"/>
      <c r="W108" s="262"/>
      <c r="X108" s="262"/>
      <c r="Y108" s="262"/>
      <c r="Z108" s="262"/>
    </row>
    <row r="109" spans="1:26" ht="25.5" outlineLevel="1">
      <c r="A109" s="242" t="s">
        <v>13211</v>
      </c>
      <c r="B109" s="303">
        <v>101616</v>
      </c>
      <c r="C109" s="303" t="s">
        <v>14476</v>
      </c>
      <c r="D109" s="1446" t="str">
        <f>IFERROR(VLOOKUP($B109,'24.08_ND'!$A$4833:$D$12369,2,0),IFERROR(VLOOKUP($B109,'03-CP'!$C$5:$H$4646,2,0),""))</f>
        <v>PREPARO DE FUNDO DE VALA COM LARGURA MENOR QUE 1,5 M (ACERTO DO SOLO NATURAL). AF_08/2020</v>
      </c>
      <c r="E109" s="1447" t="str">
        <f>IFERROR(VLOOKUP($B109,'24.08_ND'!$A:$D,3,0),IFERROR(VLOOKUP($B109,'03-CP'!$C$5:$H$4646,3,0),""))</f>
        <v>M2</v>
      </c>
      <c r="F109" s="306">
        <v>2.6</v>
      </c>
      <c r="G109" s="1536"/>
      <c r="H109" s="568"/>
      <c r="I109" s="1537"/>
      <c r="J109" s="512"/>
      <c r="K109" s="262"/>
      <c r="L109" s="1297" t="s">
        <v>16202</v>
      </c>
      <c r="M109" s="262"/>
      <c r="N109" s="262"/>
      <c r="O109" s="262"/>
      <c r="P109" s="262"/>
      <c r="Q109" s="262"/>
      <c r="R109" s="262"/>
      <c r="S109" s="262"/>
      <c r="T109" s="262"/>
      <c r="U109" s="262"/>
      <c r="V109" s="262"/>
      <c r="W109" s="262"/>
      <c r="X109" s="262"/>
      <c r="Y109" s="262"/>
      <c r="Z109" s="262"/>
    </row>
    <row r="110" spans="1:26" ht="25.5" outlineLevel="1">
      <c r="A110" s="242" t="s">
        <v>13212</v>
      </c>
      <c r="B110" s="303" t="s">
        <v>14590</v>
      </c>
      <c r="C110" s="303" t="s">
        <v>14472</v>
      </c>
      <c r="D110" s="1446" t="str">
        <f>IFERROR(VLOOKUP($B110,'24.08_ND'!$A$4833:$D$12369,2,0),IFERROR(VLOOKUP($B110,'03-CP'!$C$5:$H$4646,2,0),""))</f>
        <v>CONCRETAGEM FCK = 25 MPA, COM USO DE BOMBA - LANÇAMENTO, ADENSAMENTO E ACABAMENTO</v>
      </c>
      <c r="E110" s="1447" t="str">
        <f>IFERROR(VLOOKUP($B110,'24.08_ND'!$A:$D,3,0),IFERROR(VLOOKUP($B110,'03-CP'!$C$5:$H$4646,3,0),""))</f>
        <v>M3</v>
      </c>
      <c r="F110" s="306">
        <v>2.6</v>
      </c>
      <c r="G110" s="1536"/>
      <c r="H110" s="568"/>
      <c r="I110" s="1537"/>
      <c r="J110" s="512"/>
      <c r="K110" s="262"/>
      <c r="L110" s="1297" t="s">
        <v>16202</v>
      </c>
      <c r="M110" s="262"/>
      <c r="N110" s="262"/>
      <c r="O110" s="262"/>
      <c r="P110" s="262"/>
      <c r="Q110" s="262"/>
      <c r="R110" s="262"/>
      <c r="S110" s="262"/>
      <c r="T110" s="262"/>
      <c r="U110" s="262"/>
      <c r="V110" s="262"/>
      <c r="W110" s="262"/>
      <c r="X110" s="262"/>
      <c r="Y110" s="262"/>
      <c r="Z110" s="262"/>
    </row>
    <row r="111" spans="1:26" ht="25.5" outlineLevel="1">
      <c r="A111" s="242" t="s">
        <v>13213</v>
      </c>
      <c r="B111" s="303">
        <v>95576</v>
      </c>
      <c r="C111" s="303" t="s">
        <v>14476</v>
      </c>
      <c r="D111" s="1446" t="str">
        <f>IFERROR(VLOOKUP($B111,'24.08_ND'!$A$4833:$D$12369,2,0),IFERROR(VLOOKUP($B111,'03-CP'!$C$5:$H$4646,2,0),""))</f>
        <v>MONTAGEM DE ARMADURA DE ESTACAS, DIÂMETRO = 8,0 MM. AF_09/2021_PS</v>
      </c>
      <c r="E111" s="1447" t="str">
        <f>IFERROR(VLOOKUP($B111,'24.08_ND'!$A:$D,3,0),IFERROR(VLOOKUP($B111,'03-CP'!$C$5:$H$4646,3,0),""))</f>
        <v>KG</v>
      </c>
      <c r="F111" s="306">
        <v>102.16</v>
      </c>
      <c r="G111" s="1536"/>
      <c r="H111" s="568"/>
      <c r="I111" s="1537"/>
      <c r="J111" s="512"/>
      <c r="K111" s="262"/>
      <c r="L111" s="1297" t="s">
        <v>16202</v>
      </c>
      <c r="M111" s="262"/>
      <c r="N111" s="262"/>
      <c r="O111" s="262"/>
      <c r="P111" s="262"/>
      <c r="Q111" s="262"/>
      <c r="R111" s="262"/>
      <c r="S111" s="262"/>
      <c r="T111" s="262"/>
      <c r="U111" s="262"/>
      <c r="V111" s="262"/>
      <c r="W111" s="262"/>
      <c r="X111" s="262"/>
      <c r="Y111" s="262"/>
      <c r="Z111" s="262"/>
    </row>
    <row r="112" spans="1:26" ht="25.5" outlineLevel="1">
      <c r="A112" s="242" t="s">
        <v>13214</v>
      </c>
      <c r="B112" s="303">
        <v>95583</v>
      </c>
      <c r="C112" s="303" t="s">
        <v>14476</v>
      </c>
      <c r="D112" s="1446" t="str">
        <f>IFERROR(VLOOKUP($B112,'24.08_ND'!$A$4833:$D$12369,2,0),IFERROR(VLOOKUP($B112,'03-CP'!$C$5:$H$4646,2,0),""))</f>
        <v>MONTAGEM DE ARMADURA TRANSVERSAL DE ESTACAS DE SEÇÃO CIRCULAR, DIÂMETRO = 5,0 MM. AF_09/2021_PS</v>
      </c>
      <c r="E112" s="1447" t="str">
        <f>IFERROR(VLOOKUP($B112,'24.08_ND'!$A:$D,3,0),IFERROR(VLOOKUP($B112,'03-CP'!$C$5:$H$4646,3,0),""))</f>
        <v>KG</v>
      </c>
      <c r="F112" s="306">
        <v>21.22</v>
      </c>
      <c r="G112" s="1536"/>
      <c r="H112" s="568"/>
      <c r="I112" s="1537"/>
      <c r="J112" s="512"/>
      <c r="K112" s="262"/>
      <c r="L112" s="1297" t="s">
        <v>16202</v>
      </c>
      <c r="M112" s="262"/>
      <c r="N112" s="262"/>
      <c r="O112" s="262"/>
      <c r="P112" s="262"/>
      <c r="Q112" s="262"/>
      <c r="R112" s="262"/>
      <c r="S112" s="262"/>
      <c r="T112" s="262"/>
      <c r="U112" s="262"/>
      <c r="V112" s="262"/>
      <c r="W112" s="262"/>
      <c r="X112" s="262"/>
      <c r="Y112" s="262"/>
      <c r="Z112" s="262"/>
    </row>
    <row r="113" spans="1:26" ht="51" outlineLevel="1">
      <c r="A113" s="1317" t="s">
        <v>13215</v>
      </c>
      <c r="B113" s="295">
        <v>100978</v>
      </c>
      <c r="C113" s="295" t="s">
        <v>14476</v>
      </c>
      <c r="D113" s="658" t="str">
        <f>IFERROR(VLOOKUP($B113,'24.08_ND'!$A$4833:$D$12369,2,0),IFERROR(VLOOKUP($B113,'03-CP'!$C$5:$H$4646,2,0),""))</f>
        <v>CARGA, MANOBRA E DESCARGA DE SOLOS E MATERIAIS GRANULARES EM CAMINHÃO BASCULANTE 10 M³ - CARGA COM ESCAVADEIRA HIDRÁULICA (CAÇAMBA DE 1,20 M³ / 155 HP) E DESCARGA LIVRE (UNIDADE: M3). AF_07/2020</v>
      </c>
      <c r="E113" s="1318" t="str">
        <f>IFERROR(VLOOKUP($B113,'24.08_ND'!$A:$D,3,0),IFERROR(VLOOKUP($B113,'03-CP'!$C$5:$H$4646,3,0),""))</f>
        <v>M3</v>
      </c>
      <c r="F113" s="298">
        <f>D117</f>
        <v>3.6399999999999997</v>
      </c>
      <c r="G113" s="1539"/>
      <c r="H113" s="1540"/>
      <c r="I113" s="1541"/>
      <c r="J113" s="512"/>
      <c r="K113" s="262"/>
      <c r="L113" s="1528" t="s">
        <v>16202</v>
      </c>
      <c r="M113" s="262"/>
      <c r="N113" s="262"/>
      <c r="O113" s="262"/>
      <c r="P113" s="262"/>
      <c r="Q113" s="262"/>
      <c r="R113" s="262"/>
      <c r="S113" s="262"/>
      <c r="T113" s="262"/>
      <c r="U113" s="262"/>
      <c r="V113" s="262"/>
      <c r="W113" s="262"/>
      <c r="X113" s="262"/>
      <c r="Y113" s="262"/>
      <c r="Z113" s="262"/>
    </row>
    <row r="114" spans="1:26" ht="12.75" hidden="1" outlineLevel="1">
      <c r="A114" s="1321"/>
      <c r="B114" s="1322" t="s">
        <v>16206</v>
      </c>
      <c r="C114" s="1323" t="s">
        <v>16207</v>
      </c>
      <c r="D114" s="1324" t="s">
        <v>16208</v>
      </c>
      <c r="E114" s="1334"/>
      <c r="F114" s="1335"/>
      <c r="G114" s="1327"/>
      <c r="H114" s="1327"/>
      <c r="I114" s="1328"/>
      <c r="J114" s="1327"/>
      <c r="K114" s="1327"/>
      <c r="L114" s="1327"/>
      <c r="M114" s="262"/>
      <c r="N114" s="262"/>
      <c r="O114" s="262"/>
      <c r="P114" s="262"/>
      <c r="Q114" s="262"/>
      <c r="R114" s="262"/>
      <c r="S114" s="1320"/>
      <c r="T114" s="1320"/>
      <c r="U114" s="1320"/>
      <c r="V114" s="1320"/>
      <c r="W114" s="1320"/>
      <c r="X114" s="1320"/>
      <c r="Y114" s="1320"/>
      <c r="Z114" s="1320"/>
    </row>
    <row r="115" spans="1:26" ht="12.75" hidden="1" outlineLevel="1">
      <c r="A115" s="1321"/>
      <c r="B115" s="1336">
        <f>F110</f>
        <v>2.6</v>
      </c>
      <c r="C115" s="1327">
        <v>1.4</v>
      </c>
      <c r="D115" s="1337">
        <f>B115*C115</f>
        <v>3.6399999999999997</v>
      </c>
      <c r="E115" s="1338"/>
      <c r="F115" s="1339"/>
      <c r="G115" s="1327"/>
      <c r="H115" s="1327"/>
      <c r="I115" s="1328"/>
      <c r="J115" s="1327"/>
      <c r="K115" s="1327"/>
      <c r="L115" s="1327"/>
      <c r="M115" s="262"/>
      <c r="N115" s="262"/>
      <c r="O115" s="262"/>
      <c r="P115" s="262"/>
      <c r="Q115" s="262"/>
      <c r="R115" s="262"/>
      <c r="S115" s="1320"/>
      <c r="T115" s="1320"/>
      <c r="U115" s="1320"/>
      <c r="V115" s="1320"/>
      <c r="W115" s="1320"/>
      <c r="X115" s="1320"/>
      <c r="Y115" s="1320"/>
      <c r="Z115" s="1320"/>
    </row>
    <row r="116" spans="1:26" ht="12.75" hidden="1" outlineLevel="1">
      <c r="A116" s="1321"/>
      <c r="B116" s="1340" t="s">
        <v>16209</v>
      </c>
      <c r="C116" s="1327" t="s">
        <v>16205</v>
      </c>
      <c r="D116" s="1341" t="s">
        <v>16210</v>
      </c>
      <c r="E116" s="1338"/>
      <c r="F116" s="1339"/>
      <c r="G116" s="1327"/>
      <c r="H116" s="1327"/>
      <c r="I116" s="1328"/>
      <c r="J116" s="1327"/>
      <c r="K116" s="1327"/>
      <c r="L116" s="1327"/>
      <c r="M116" s="262"/>
      <c r="N116" s="262"/>
      <c r="O116" s="262"/>
      <c r="P116" s="262"/>
      <c r="Q116" s="262"/>
      <c r="R116" s="262"/>
      <c r="S116" s="1320"/>
      <c r="T116" s="1320"/>
      <c r="U116" s="1320"/>
      <c r="V116" s="1320"/>
      <c r="W116" s="1320"/>
      <c r="X116" s="1320"/>
      <c r="Y116" s="1320"/>
      <c r="Z116" s="1320"/>
    </row>
    <row r="117" spans="1:26" ht="12.75" hidden="1" outlineLevel="1">
      <c r="A117" s="1321"/>
      <c r="B117" s="1329">
        <f>D115</f>
        <v>3.6399999999999997</v>
      </c>
      <c r="C117" s="1330">
        <v>0</v>
      </c>
      <c r="D117" s="1365">
        <f>B117-C117</f>
        <v>3.6399999999999997</v>
      </c>
      <c r="E117" s="1344"/>
      <c r="F117" s="1345"/>
      <c r="G117" s="1327"/>
      <c r="H117" s="1327"/>
      <c r="I117" s="1328"/>
      <c r="J117" s="1327"/>
      <c r="K117" s="1327"/>
      <c r="L117" s="1327"/>
      <c r="M117" s="262"/>
      <c r="N117" s="262"/>
      <c r="O117" s="262"/>
      <c r="P117" s="262"/>
      <c r="Q117" s="262"/>
      <c r="R117" s="262"/>
      <c r="S117" s="1320"/>
      <c r="T117" s="1320"/>
      <c r="U117" s="1320"/>
      <c r="V117" s="1320"/>
      <c r="W117" s="1320"/>
      <c r="X117" s="1320"/>
      <c r="Y117" s="1320"/>
      <c r="Z117" s="1320"/>
    </row>
    <row r="118" spans="1:26" ht="25.5" outlineLevel="1">
      <c r="A118" s="1317" t="s">
        <v>13216</v>
      </c>
      <c r="B118" s="295">
        <v>100938</v>
      </c>
      <c r="C118" s="295" t="s">
        <v>14476</v>
      </c>
      <c r="D118" s="658" t="str">
        <f>IFERROR(VLOOKUP($B118,'24.08_ND'!$A$4833:$D$12369,2,0),IFERROR(VLOOKUP($B118,'03-CP'!$C$5:$H$4646,2,0),""))</f>
        <v>TRANSPORTE COM CAMINHÃO BASCULANTE DE 10 M³, EM VIA INTERNA (DENTRO DO CANTEIRO - UNIDADE: M3XKM). AF_07/2020</v>
      </c>
      <c r="E118" s="1318" t="str">
        <f>IFERROR(VLOOKUP($B118,'24.08_ND'!$A:$D,3,0),IFERROR(VLOOKUP($B118,'03-CP'!$C$5:$H$4646,3,0),""))</f>
        <v>M3XKM</v>
      </c>
      <c r="F118" s="298">
        <f>F120</f>
        <v>7.2799999999999994</v>
      </c>
      <c r="G118" s="1539"/>
      <c r="H118" s="1540"/>
      <c r="I118" s="1541"/>
      <c r="J118" s="295"/>
      <c r="K118" s="295"/>
      <c r="L118" s="1528" t="s">
        <v>16202</v>
      </c>
      <c r="M118" s="262"/>
      <c r="N118" s="262"/>
      <c r="O118" s="262"/>
      <c r="P118" s="262"/>
      <c r="Q118" s="262"/>
      <c r="R118" s="262"/>
      <c r="S118" s="262"/>
      <c r="T118" s="1320"/>
      <c r="U118" s="1320"/>
      <c r="V118" s="1320"/>
      <c r="W118" s="1320"/>
      <c r="X118" s="1320"/>
      <c r="Y118" s="1320"/>
      <c r="Z118" s="1320"/>
    </row>
    <row r="119" spans="1:26" ht="12.75" hidden="1" outlineLevel="1">
      <c r="A119" s="1346"/>
      <c r="B119" s="1322"/>
      <c r="C119" s="1334"/>
      <c r="D119" s="1325" t="s">
        <v>16211</v>
      </c>
      <c r="E119" s="1347" t="s">
        <v>16212</v>
      </c>
      <c r="F119" s="1348" t="s">
        <v>16213</v>
      </c>
      <c r="G119" s="1349"/>
      <c r="H119" s="1349"/>
      <c r="I119" s="1350"/>
      <c r="J119" s="1351"/>
      <c r="K119" s="1352"/>
      <c r="L119" s="1353"/>
      <c r="M119" s="948"/>
      <c r="N119" s="262"/>
      <c r="O119" s="262"/>
      <c r="P119" s="262"/>
      <c r="Q119" s="262"/>
      <c r="R119" s="262"/>
      <c r="S119" s="262"/>
      <c r="T119" s="262"/>
      <c r="U119" s="262"/>
      <c r="V119" s="262"/>
      <c r="W119" s="262"/>
      <c r="X119" s="262"/>
      <c r="Y119" s="262"/>
      <c r="Z119" s="262"/>
    </row>
    <row r="120" spans="1:26" ht="12.75" hidden="1" outlineLevel="1">
      <c r="A120" s="1346"/>
      <c r="B120" s="1329"/>
      <c r="C120" s="1344"/>
      <c r="D120" s="1332">
        <f>D117</f>
        <v>3.6399999999999997</v>
      </c>
      <c r="E120" s="1355">
        <v>2</v>
      </c>
      <c r="F120" s="1356">
        <f>D120*E120</f>
        <v>7.2799999999999994</v>
      </c>
      <c r="G120" s="1349"/>
      <c r="H120" s="1349"/>
      <c r="I120" s="1350"/>
      <c r="J120" s="1351"/>
      <c r="K120" s="1352"/>
      <c r="L120" s="1353"/>
      <c r="M120" s="948"/>
      <c r="N120" s="262"/>
      <c r="O120" s="262"/>
      <c r="P120" s="262"/>
      <c r="Q120" s="262"/>
      <c r="R120" s="262"/>
      <c r="S120" s="262"/>
      <c r="T120" s="262"/>
      <c r="U120" s="262"/>
      <c r="V120" s="262"/>
      <c r="W120" s="262"/>
      <c r="X120" s="262"/>
      <c r="Y120" s="262"/>
      <c r="Z120" s="262"/>
    </row>
    <row r="121" spans="1:26" ht="12.75">
      <c r="A121" s="239" t="s">
        <v>13217</v>
      </c>
      <c r="B121" s="1309"/>
      <c r="C121" s="1309"/>
      <c r="D121" s="1310" t="s">
        <v>16363</v>
      </c>
      <c r="E121" s="1311"/>
      <c r="F121" s="1312"/>
      <c r="G121" s="1310"/>
      <c r="H121" s="1524"/>
      <c r="I121" s="1313"/>
      <c r="J121" s="512"/>
      <c r="K121" s="262"/>
      <c r="L121" s="1521"/>
      <c r="M121" s="948"/>
      <c r="N121" s="262"/>
      <c r="O121" s="262"/>
      <c r="P121" s="262"/>
      <c r="Q121" s="262"/>
      <c r="R121" s="262"/>
      <c r="S121" s="262"/>
      <c r="T121" s="262"/>
      <c r="U121" s="262"/>
      <c r="V121" s="262"/>
      <c r="W121" s="262"/>
      <c r="X121" s="262"/>
      <c r="Y121" s="262"/>
      <c r="Z121" s="262"/>
    </row>
    <row r="122" spans="1:26" ht="12.75" outlineLevel="1">
      <c r="A122" s="1529" t="s">
        <v>13218</v>
      </c>
      <c r="B122" s="1530"/>
      <c r="C122" s="1530"/>
      <c r="D122" s="1531" t="s">
        <v>16364</v>
      </c>
      <c r="E122" s="1532"/>
      <c r="F122" s="1533"/>
      <c r="G122" s="1531"/>
      <c r="H122" s="1534"/>
      <c r="I122" s="1535"/>
      <c r="J122" s="512"/>
      <c r="K122" s="262"/>
      <c r="L122" s="386"/>
      <c r="M122" s="262"/>
      <c r="N122" s="262"/>
      <c r="O122" s="262"/>
      <c r="P122" s="262"/>
      <c r="Q122" s="262"/>
      <c r="R122" s="262"/>
      <c r="S122" s="262"/>
      <c r="T122" s="262"/>
      <c r="U122" s="262"/>
      <c r="V122" s="262"/>
      <c r="W122" s="262"/>
      <c r="X122" s="262"/>
      <c r="Y122" s="262"/>
      <c r="Z122" s="262"/>
    </row>
    <row r="123" spans="1:26" ht="25.5" outlineLevel="1">
      <c r="A123" s="242" t="s">
        <v>13219</v>
      </c>
      <c r="B123" s="303">
        <v>92264</v>
      </c>
      <c r="C123" s="303" t="s">
        <v>14476</v>
      </c>
      <c r="D123" s="1446" t="str">
        <f>IFERROR(VLOOKUP($B123,'24.08_ND'!$A$4833:$D$12369,2,0),IFERROR(VLOOKUP($B123,'03-CP'!$C$5:$H$4646,2,0),""))</f>
        <v>FABRICAÇÃO DE FÔRMA PARA PILARES E ESTRUTURAS SIMILARES, EM CHAPA DE MADEIRA COMPENSADA PLASTIFICADA, E = 18 MM. AF_09/2020</v>
      </c>
      <c r="E123" s="1447" t="str">
        <f>IFERROR(VLOOKUP($B123,'24.08_ND'!$A:$D,3,0),IFERROR(VLOOKUP($B123,'03-CP'!$C$5:$H$4646,3,0),""))</f>
        <v>M2</v>
      </c>
      <c r="F123" s="306">
        <v>330.48</v>
      </c>
      <c r="G123" s="1536"/>
      <c r="H123" s="568"/>
      <c r="I123" s="1537"/>
      <c r="J123" s="1526"/>
      <c r="K123" s="1320"/>
      <c r="L123" s="1297" t="s">
        <v>16202</v>
      </c>
      <c r="M123" s="1320"/>
      <c r="N123" s="1320"/>
      <c r="O123" s="1320"/>
      <c r="P123" s="1320"/>
      <c r="Q123" s="1320"/>
      <c r="R123" s="1320"/>
      <c r="S123" s="1320"/>
      <c r="T123" s="1320"/>
      <c r="U123" s="1320"/>
      <c r="V123" s="1320"/>
      <c r="W123" s="1320"/>
      <c r="X123" s="1320"/>
      <c r="Y123" s="1320"/>
      <c r="Z123" s="1320"/>
    </row>
    <row r="124" spans="1:26" ht="38.25" outlineLevel="1">
      <c r="A124" s="242" t="s">
        <v>13220</v>
      </c>
      <c r="B124" s="303">
        <v>92760</v>
      </c>
      <c r="C124" s="303" t="s">
        <v>14476</v>
      </c>
      <c r="D124" s="1446" t="str">
        <f>IFERROR(VLOOKUP($B124,'24.08_ND'!$A$4833:$D$12369,2,0),IFERROR(VLOOKUP($B124,'03-CP'!$C$5:$H$4646,2,0),""))</f>
        <v>ARMAÇÃO DE PILAR OU VIGA DE ESTRUTURA CONVENCIONAL DE CONCRETO ARMADO UTILIZANDO AÇO CA-50 DE 6,3 MM - MONTAGEM. AF_06/2022</v>
      </c>
      <c r="E124" s="1447" t="str">
        <f>IFERROR(VLOOKUP($B124,'24.08_ND'!$A:$D,3,0),IFERROR(VLOOKUP($B124,'03-CP'!$C$5:$H$4646,3,0),""))</f>
        <v>KG</v>
      </c>
      <c r="F124" s="306">
        <v>1504.01</v>
      </c>
      <c r="G124" s="1536"/>
      <c r="H124" s="568"/>
      <c r="I124" s="1537"/>
      <c r="J124" s="1526"/>
      <c r="K124" s="1320"/>
      <c r="L124" s="1297" t="s">
        <v>16202</v>
      </c>
      <c r="M124" s="1320"/>
      <c r="N124" s="1320"/>
      <c r="O124" s="1320"/>
      <c r="P124" s="1320"/>
      <c r="Q124" s="1320"/>
      <c r="R124" s="1320"/>
      <c r="S124" s="1320"/>
      <c r="T124" s="1320"/>
      <c r="U124" s="1320"/>
      <c r="V124" s="1320"/>
      <c r="W124" s="1320"/>
      <c r="X124" s="1320"/>
      <c r="Y124" s="1320"/>
      <c r="Z124" s="1320"/>
    </row>
    <row r="125" spans="1:26" ht="25.5" outlineLevel="1">
      <c r="A125" s="242" t="s">
        <v>13221</v>
      </c>
      <c r="B125" s="1542" t="s">
        <v>14590</v>
      </c>
      <c r="C125" s="303" t="s">
        <v>14472</v>
      </c>
      <c r="D125" s="1446" t="str">
        <f>IFERROR(VLOOKUP($B125,'24.08_ND'!$A$4833:$D$12369,2,0),IFERROR(VLOOKUP($B125,'03-CP'!$C$5:$H$4646,2,0),""))</f>
        <v>CONCRETAGEM FCK = 25 MPA, COM USO DE BOMBA - LANÇAMENTO, ADENSAMENTO E ACABAMENTO</v>
      </c>
      <c r="E125" s="1447" t="str">
        <f>IFERROR(VLOOKUP($B125,'24.08_ND'!$A:$D,3,0),IFERROR(VLOOKUP($B125,'03-CP'!$C$5:$H$4646,3,0),""))</f>
        <v>M3</v>
      </c>
      <c r="F125" s="306">
        <v>31.59</v>
      </c>
      <c r="G125" s="1536"/>
      <c r="H125" s="568"/>
      <c r="I125" s="1537"/>
      <c r="J125" s="1526"/>
      <c r="K125" s="1320"/>
      <c r="L125" s="1297" t="s">
        <v>16202</v>
      </c>
      <c r="M125" s="1320"/>
      <c r="N125" s="1320"/>
      <c r="O125" s="1320"/>
      <c r="P125" s="1320"/>
      <c r="Q125" s="1320"/>
      <c r="R125" s="1320"/>
      <c r="S125" s="1320"/>
      <c r="T125" s="1320"/>
      <c r="U125" s="1320"/>
      <c r="V125" s="1320"/>
      <c r="W125" s="1320"/>
      <c r="X125" s="1320"/>
      <c r="Y125" s="1320"/>
      <c r="Z125" s="1320"/>
    </row>
    <row r="126" spans="1:26" ht="25.5" outlineLevel="1">
      <c r="A126" s="242" t="s">
        <v>13222</v>
      </c>
      <c r="B126" s="303">
        <v>98555</v>
      </c>
      <c r="C126" s="303" t="s">
        <v>14476</v>
      </c>
      <c r="D126" s="1446" t="str">
        <f>IFERROR(VLOOKUP($B126,'24.08_ND'!$A$4833:$D$12369,2,0),IFERROR(VLOOKUP($B126,'03-CP'!$C$5:$H$4646,2,0),""))</f>
        <v>IMPERMEABILIZAÇÃO DE SUPERFÍCIE COM ARGAMASSA POLIMÉRICA / MEMBRANA ACRÍLICA, 3 DEMÃOS. AF_09/2023</v>
      </c>
      <c r="E126" s="1447" t="str">
        <f>IFERROR(VLOOKUP($B126,'24.08_ND'!$A:$D,3,0),IFERROR(VLOOKUP($B126,'03-CP'!$C$5:$H$4646,3,0),""))</f>
        <v>M2</v>
      </c>
      <c r="F126" s="306">
        <v>174.41</v>
      </c>
      <c r="G126" s="1536"/>
      <c r="H126" s="568"/>
      <c r="I126" s="1537"/>
      <c r="J126" s="1526"/>
      <c r="K126" s="1320"/>
      <c r="L126" s="1297" t="s">
        <v>16202</v>
      </c>
      <c r="M126" s="1320"/>
      <c r="N126" s="1320"/>
      <c r="O126" s="1320"/>
      <c r="P126" s="1320"/>
      <c r="Q126" s="1320"/>
      <c r="R126" s="1320"/>
      <c r="S126" s="1320"/>
      <c r="T126" s="1320"/>
      <c r="U126" s="1320"/>
      <c r="V126" s="1320"/>
      <c r="W126" s="1320"/>
      <c r="X126" s="1320"/>
      <c r="Y126" s="1320"/>
      <c r="Z126" s="1320"/>
    </row>
    <row r="127" spans="1:26" ht="12.75" outlineLevel="1">
      <c r="A127" s="1529" t="s">
        <v>13223</v>
      </c>
      <c r="B127" s="1530"/>
      <c r="C127" s="1530"/>
      <c r="D127" s="1531" t="s">
        <v>16365</v>
      </c>
      <c r="E127" s="1532"/>
      <c r="F127" s="1533"/>
      <c r="G127" s="1531"/>
      <c r="H127" s="1534"/>
      <c r="I127" s="1535"/>
      <c r="J127" s="512"/>
      <c r="K127" s="262"/>
      <c r="L127" s="386"/>
      <c r="M127" s="262"/>
      <c r="N127" s="262"/>
      <c r="O127" s="262"/>
      <c r="P127" s="262"/>
      <c r="Q127" s="262"/>
      <c r="R127" s="262"/>
      <c r="S127" s="262"/>
      <c r="T127" s="262"/>
      <c r="U127" s="262"/>
      <c r="V127" s="262"/>
      <c r="W127" s="262"/>
      <c r="X127" s="262"/>
      <c r="Y127" s="262"/>
      <c r="Z127" s="262"/>
    </row>
    <row r="128" spans="1:26" ht="12.75" outlineLevel="1">
      <c r="A128" s="242" t="s">
        <v>13224</v>
      </c>
      <c r="B128" s="303">
        <v>97082</v>
      </c>
      <c r="C128" s="303" t="s">
        <v>14476</v>
      </c>
      <c r="D128" s="1446" t="str">
        <f>IFERROR(VLOOKUP($B128,'24.08_ND'!$A$4833:$D$12369,2,0),IFERROR(VLOOKUP($B128,'03-CP'!$C$5:$H$4646,2,0),""))</f>
        <v>ESCAVAÇÃO MANUAL DE VIGA DE BORDA PARA RADIER. AF_09/2021</v>
      </c>
      <c r="E128" s="1447" t="str">
        <f>IFERROR(VLOOKUP($B128,'24.08_ND'!$A:$D,3,0),IFERROR(VLOOKUP($B128,'03-CP'!$C$5:$H$4646,3,0),""))</f>
        <v>M3</v>
      </c>
      <c r="F128" s="306">
        <v>29.05</v>
      </c>
      <c r="G128" s="1536"/>
      <c r="H128" s="568"/>
      <c r="I128" s="1537"/>
      <c r="J128" s="512"/>
      <c r="K128" s="262"/>
      <c r="L128" s="1297" t="s">
        <v>16202</v>
      </c>
      <c r="M128" s="262"/>
      <c r="N128" s="262"/>
      <c r="O128" s="262"/>
      <c r="P128" s="262"/>
      <c r="Q128" s="262"/>
      <c r="R128" s="262"/>
      <c r="S128" s="262"/>
      <c r="T128" s="262"/>
      <c r="U128" s="262"/>
      <c r="V128" s="262"/>
      <c r="W128" s="262"/>
      <c r="X128" s="262"/>
      <c r="Y128" s="262"/>
      <c r="Z128" s="262"/>
    </row>
    <row r="129" spans="1:26" ht="38.25" outlineLevel="1">
      <c r="A129" s="242" t="s">
        <v>13225</v>
      </c>
      <c r="B129" s="1542">
        <v>97083</v>
      </c>
      <c r="C129" s="303" t="s">
        <v>14476</v>
      </c>
      <c r="D129" s="1446" t="str">
        <f>IFERROR(VLOOKUP($B129,'24.08_ND'!$A$4833:$D$12369,2,0),IFERROR(VLOOKUP($B129,'03-CP'!$C$5:$H$4646,2,0),""))</f>
        <v>COMPACTAÇÃO MECÂNICA DE SOLO PARA EXECUÇÃO DE RADIER, PISO DE CONCRETO OU LAJE SOBRE SOLO, COM COMPACTADOR DE SOLOS A PERCUSSÃO. AF_09/2021</v>
      </c>
      <c r="E129" s="1447" t="str">
        <f>IFERROR(VLOOKUP($B129,'24.08_ND'!$A:$D,3,0),IFERROR(VLOOKUP($B129,'03-CP'!$C$5:$H$4646,3,0),""))</f>
        <v>M2</v>
      </c>
      <c r="F129" s="306">
        <v>145.24</v>
      </c>
      <c r="G129" s="1536"/>
      <c r="H129" s="568"/>
      <c r="I129" s="1537"/>
      <c r="J129" s="512"/>
      <c r="K129" s="262"/>
      <c r="L129" s="1297" t="s">
        <v>16202</v>
      </c>
      <c r="M129" s="262"/>
      <c r="N129" s="262"/>
      <c r="O129" s="262"/>
      <c r="P129" s="262"/>
      <c r="Q129" s="262"/>
      <c r="R129" s="262"/>
      <c r="S129" s="262"/>
      <c r="T129" s="262"/>
      <c r="U129" s="262"/>
      <c r="V129" s="262"/>
      <c r="W129" s="262"/>
      <c r="X129" s="262"/>
      <c r="Y129" s="262"/>
      <c r="Z129" s="262"/>
    </row>
    <row r="130" spans="1:26" ht="25.5" outlineLevel="1">
      <c r="A130" s="242" t="s">
        <v>13226</v>
      </c>
      <c r="B130" s="303">
        <v>96622</v>
      </c>
      <c r="C130" s="303" t="s">
        <v>14476</v>
      </c>
      <c r="D130" s="1446" t="str">
        <f>IFERROR(VLOOKUP($B130,'24.08_ND'!$A$4833:$D$12369,2,0),IFERROR(VLOOKUP($B130,'03-CP'!$C$5:$H$4646,2,0),""))</f>
        <v>LASTRO COM MATERIAL GRANULAR, APLICADO EM PISOS OU LAJES SOBRE SOLO, ESPESSURA DE *5 CM*. AF_01/2024</v>
      </c>
      <c r="E130" s="1447" t="str">
        <f>IFERROR(VLOOKUP($B130,'24.08_ND'!$A:$D,3,0),IFERROR(VLOOKUP($B130,'03-CP'!$C$5:$H$4646,3,0),""))</f>
        <v>M3</v>
      </c>
      <c r="F130" s="306">
        <v>7.26</v>
      </c>
      <c r="G130" s="1536"/>
      <c r="H130" s="568"/>
      <c r="I130" s="1537"/>
      <c r="J130" s="512"/>
      <c r="K130" s="262"/>
      <c r="L130" s="1297" t="s">
        <v>16202</v>
      </c>
      <c r="M130" s="262"/>
      <c r="N130" s="262"/>
      <c r="O130" s="262"/>
      <c r="P130" s="262"/>
      <c r="Q130" s="262"/>
      <c r="R130" s="262"/>
      <c r="S130" s="262"/>
      <c r="T130" s="262"/>
      <c r="U130" s="262"/>
      <c r="V130" s="262"/>
      <c r="W130" s="262"/>
      <c r="X130" s="262"/>
      <c r="Y130" s="262"/>
      <c r="Z130" s="262"/>
    </row>
    <row r="131" spans="1:26" ht="25.5" outlineLevel="1">
      <c r="A131" s="242" t="s">
        <v>13227</v>
      </c>
      <c r="B131" s="1542">
        <v>97087</v>
      </c>
      <c r="C131" s="303" t="s">
        <v>14476</v>
      </c>
      <c r="D131" s="1446" t="str">
        <f>IFERROR(VLOOKUP($B131,'24.08_ND'!$A$4833:$D$12369,2,0),IFERROR(VLOOKUP($B131,'03-CP'!$C$5:$H$4646,2,0),""))</f>
        <v>CAMADA SEPARADORA PARA EXECUÇÃO DE RADIER, PISO DE CONCRETO OU LAJE SOBRE SOLO, EM LONA PLÁSTICA. AF_09/2021</v>
      </c>
      <c r="E131" s="1447" t="str">
        <f>IFERROR(VLOOKUP($B131,'24.08_ND'!$A:$D,3,0),IFERROR(VLOOKUP($B131,'03-CP'!$C$5:$H$4646,3,0),""))</f>
        <v>M2</v>
      </c>
      <c r="F131" s="306">
        <v>159.76</v>
      </c>
      <c r="G131" s="1536"/>
      <c r="H131" s="568"/>
      <c r="I131" s="1537"/>
      <c r="J131" s="512"/>
      <c r="K131" s="262"/>
      <c r="L131" s="1297" t="s">
        <v>16202</v>
      </c>
      <c r="M131" s="262"/>
      <c r="N131" s="262"/>
      <c r="O131" s="262"/>
      <c r="P131" s="262"/>
      <c r="Q131" s="262"/>
      <c r="R131" s="262"/>
      <c r="S131" s="262"/>
      <c r="T131" s="262"/>
      <c r="U131" s="262"/>
      <c r="V131" s="262"/>
      <c r="W131" s="262"/>
      <c r="X131" s="262"/>
      <c r="Y131" s="262"/>
      <c r="Z131" s="262"/>
    </row>
    <row r="132" spans="1:26" ht="38.25" outlineLevel="1">
      <c r="A132" s="242" t="s">
        <v>13228</v>
      </c>
      <c r="B132" s="1542">
        <v>92916</v>
      </c>
      <c r="C132" s="303" t="s">
        <v>14476</v>
      </c>
      <c r="D132" s="1446" t="str">
        <f>IFERROR(VLOOKUP($B132,'24.08_ND'!$A$4833:$D$12369,2,0),IFERROR(VLOOKUP($B132,'03-CP'!$C$5:$H$4646,2,0),""))</f>
        <v>ARMAÇÃO DE ESTRUTURAS DIVERSAS DE CONCRETO ARMADO, EXCETO VIGAS, PILARES, LAJES E FUNDAÇÕES, UTILIZANDO AÇO CA-50 DE 6,3 MM - MONTAGEM. AF_06/2022</v>
      </c>
      <c r="E132" s="1447" t="str">
        <f>IFERROR(VLOOKUP($B132,'24.08_ND'!$A:$D,3,0),IFERROR(VLOOKUP($B132,'03-CP'!$C$5:$H$4646,3,0),""))</f>
        <v>KG</v>
      </c>
      <c r="F132" s="306">
        <v>1546.36</v>
      </c>
      <c r="G132" s="1536"/>
      <c r="H132" s="568"/>
      <c r="I132" s="1537"/>
      <c r="J132" s="512"/>
      <c r="K132" s="262"/>
      <c r="L132" s="1297" t="s">
        <v>16202</v>
      </c>
      <c r="M132" s="262"/>
      <c r="N132" s="262"/>
      <c r="O132" s="262"/>
      <c r="P132" s="262"/>
      <c r="Q132" s="262"/>
      <c r="R132" s="262"/>
      <c r="S132" s="262"/>
      <c r="T132" s="262"/>
      <c r="U132" s="262"/>
      <c r="V132" s="262"/>
      <c r="W132" s="262"/>
      <c r="X132" s="262"/>
      <c r="Y132" s="262"/>
      <c r="Z132" s="262"/>
    </row>
    <row r="133" spans="1:26" ht="25.5" outlineLevel="1">
      <c r="A133" s="242" t="s">
        <v>13229</v>
      </c>
      <c r="B133" s="1542" t="s">
        <v>14590</v>
      </c>
      <c r="C133" s="303" t="s">
        <v>14472</v>
      </c>
      <c r="D133" s="1446" t="str">
        <f>IFERROR(VLOOKUP($B133,'24.08_ND'!$A$4833:$D$12369,2,0),IFERROR(VLOOKUP($B133,'03-CP'!$C$5:$H$4646,2,0),""))</f>
        <v>CONCRETAGEM FCK = 25 MPA, COM USO DE BOMBA - LANÇAMENTO, ADENSAMENTO E ACABAMENTO</v>
      </c>
      <c r="E133" s="1447" t="str">
        <f>IFERROR(VLOOKUP($B133,'24.08_ND'!$A:$D,3,0),IFERROR(VLOOKUP($B133,'03-CP'!$C$5:$H$4646,3,0),""))</f>
        <v>M3</v>
      </c>
      <c r="F133" s="306">
        <v>21.79</v>
      </c>
      <c r="G133" s="1536"/>
      <c r="H133" s="568"/>
      <c r="I133" s="1537"/>
      <c r="J133" s="512"/>
      <c r="K133" s="262"/>
      <c r="L133" s="1297" t="s">
        <v>16202</v>
      </c>
      <c r="M133" s="262"/>
      <c r="N133" s="262"/>
      <c r="O133" s="262"/>
      <c r="P133" s="262"/>
      <c r="Q133" s="262"/>
      <c r="R133" s="262"/>
      <c r="S133" s="262"/>
      <c r="T133" s="262"/>
      <c r="U133" s="262"/>
      <c r="V133" s="262"/>
      <c r="W133" s="262"/>
      <c r="X133" s="262"/>
      <c r="Y133" s="262"/>
      <c r="Z133" s="262"/>
    </row>
    <row r="134" spans="1:26" ht="51" outlineLevel="1">
      <c r="A134" s="1317" t="s">
        <v>13230</v>
      </c>
      <c r="B134" s="384">
        <v>100978</v>
      </c>
      <c r="C134" s="295" t="s">
        <v>14476</v>
      </c>
      <c r="D134" s="658" t="str">
        <f>IFERROR(VLOOKUP($B134,'24.08_ND'!$A$4833:$D$12369,2,0),IFERROR(VLOOKUP($B134,'03-CP'!$C$5:$H$4646,2,0),""))</f>
        <v>CARGA, MANOBRA E DESCARGA DE SOLOS E MATERIAIS GRANULARES EM CAMINHÃO BASCULANTE 10 M³ - CARGA COM ESCAVADEIRA HIDRÁULICA (CAÇAMBA DE 1,20 M³ / 155 HP) E DESCARGA LIVRE (UNIDADE: M3). AF_07/2020</v>
      </c>
      <c r="E134" s="1318" t="str">
        <f>IFERROR(VLOOKUP($B134,'24.08_ND'!$A:$D,3,0),IFERROR(VLOOKUP($B134,'03-CP'!$C$5:$H$4646,3,0),""))</f>
        <v>M3</v>
      </c>
      <c r="F134" s="298">
        <f>D138</f>
        <v>32.683999999999997</v>
      </c>
      <c r="G134" s="1539"/>
      <c r="H134" s="1540"/>
      <c r="I134" s="1541"/>
      <c r="J134" s="512"/>
      <c r="K134" s="262"/>
      <c r="L134" s="1528" t="s">
        <v>16202</v>
      </c>
      <c r="M134" s="262"/>
      <c r="N134" s="262"/>
      <c r="O134" s="262"/>
      <c r="P134" s="262"/>
      <c r="Q134" s="262"/>
      <c r="R134" s="262"/>
      <c r="S134" s="262"/>
      <c r="T134" s="262"/>
      <c r="U134" s="262"/>
      <c r="V134" s="262"/>
      <c r="W134" s="262"/>
      <c r="X134" s="262"/>
      <c r="Y134" s="262"/>
      <c r="Z134" s="262"/>
    </row>
    <row r="135" spans="1:26" ht="12.75" hidden="1" outlineLevel="1">
      <c r="A135" s="1321"/>
      <c r="B135" s="1322" t="s">
        <v>16206</v>
      </c>
      <c r="C135" s="1323" t="s">
        <v>16207</v>
      </c>
      <c r="D135" s="1324" t="s">
        <v>16208</v>
      </c>
      <c r="E135" s="1334"/>
      <c r="F135" s="1335"/>
      <c r="G135" s="1327"/>
      <c r="H135" s="1327"/>
      <c r="I135" s="1328"/>
      <c r="J135" s="1327"/>
      <c r="K135" s="1327"/>
      <c r="L135" s="1327"/>
      <c r="M135" s="262"/>
      <c r="N135" s="262"/>
      <c r="O135" s="262"/>
      <c r="P135" s="262"/>
      <c r="Q135" s="262"/>
      <c r="R135" s="262"/>
      <c r="S135" s="1320"/>
      <c r="T135" s="1320"/>
      <c r="U135" s="1320"/>
      <c r="V135" s="1320"/>
      <c r="W135" s="1320"/>
      <c r="X135" s="1320"/>
      <c r="Y135" s="1320"/>
      <c r="Z135" s="1320"/>
    </row>
    <row r="136" spans="1:26" ht="12.75" hidden="1" outlineLevel="1">
      <c r="A136" s="1321"/>
      <c r="B136" s="1336">
        <f>F128</f>
        <v>29.05</v>
      </c>
      <c r="C136" s="1327">
        <v>1.4</v>
      </c>
      <c r="D136" s="1337">
        <f>B136*C136</f>
        <v>40.67</v>
      </c>
      <c r="E136" s="1338"/>
      <c r="F136" s="1339"/>
      <c r="G136" s="1327"/>
      <c r="H136" s="1327"/>
      <c r="I136" s="1328"/>
      <c r="J136" s="1327"/>
      <c r="K136" s="1327"/>
      <c r="L136" s="1327"/>
      <c r="M136" s="262"/>
      <c r="N136" s="262"/>
      <c r="O136" s="262"/>
      <c r="P136" s="262"/>
      <c r="Q136" s="262"/>
      <c r="R136" s="262"/>
      <c r="S136" s="1320"/>
      <c r="T136" s="1320"/>
      <c r="U136" s="1320"/>
      <c r="V136" s="1320"/>
      <c r="W136" s="1320"/>
      <c r="X136" s="1320"/>
      <c r="Y136" s="1320"/>
      <c r="Z136" s="1320"/>
    </row>
    <row r="137" spans="1:26" ht="12.75" hidden="1" outlineLevel="1">
      <c r="A137" s="1321"/>
      <c r="B137" s="1340" t="s">
        <v>16209</v>
      </c>
      <c r="C137" s="1327" t="s">
        <v>16205</v>
      </c>
      <c r="D137" s="1341" t="s">
        <v>16210</v>
      </c>
      <c r="E137" s="1338"/>
      <c r="F137" s="1339"/>
      <c r="G137" s="1327"/>
      <c r="H137" s="1327"/>
      <c r="I137" s="1328"/>
      <c r="J137" s="1327"/>
      <c r="K137" s="1327"/>
      <c r="L137" s="1327"/>
      <c r="M137" s="262"/>
      <c r="N137" s="262"/>
      <c r="O137" s="262"/>
      <c r="P137" s="262"/>
      <c r="Q137" s="262"/>
      <c r="R137" s="262"/>
      <c r="S137" s="1320"/>
      <c r="T137" s="1320"/>
      <c r="U137" s="1320"/>
      <c r="V137" s="1320"/>
      <c r="W137" s="1320"/>
      <c r="X137" s="1320"/>
      <c r="Y137" s="1320"/>
      <c r="Z137" s="1320"/>
    </row>
    <row r="138" spans="1:26" ht="12.75" hidden="1" outlineLevel="1">
      <c r="A138" s="1321"/>
      <c r="B138" s="1329">
        <f>D136</f>
        <v>40.67</v>
      </c>
      <c r="C138" s="1330">
        <f>(F128-F133)*1.1</f>
        <v>7.9860000000000024</v>
      </c>
      <c r="D138" s="1365">
        <f>B138-C138</f>
        <v>32.683999999999997</v>
      </c>
      <c r="E138" s="1344"/>
      <c r="F138" s="1345"/>
      <c r="G138" s="1327"/>
      <c r="H138" s="1327"/>
      <c r="I138" s="1328"/>
      <c r="J138" s="1327"/>
      <c r="K138" s="1327"/>
      <c r="L138" s="1327"/>
      <c r="M138" s="262"/>
      <c r="N138" s="262"/>
      <c r="O138" s="262"/>
      <c r="P138" s="262"/>
      <c r="Q138" s="262"/>
      <c r="R138" s="262"/>
      <c r="S138" s="1320"/>
      <c r="T138" s="1320"/>
      <c r="U138" s="1320"/>
      <c r="V138" s="1320"/>
      <c r="W138" s="1320"/>
      <c r="X138" s="1320"/>
      <c r="Y138" s="1320"/>
      <c r="Z138" s="1320"/>
    </row>
    <row r="139" spans="1:26" ht="25.5" outlineLevel="1">
      <c r="A139" s="1317" t="s">
        <v>13231</v>
      </c>
      <c r="B139" s="384">
        <v>100938</v>
      </c>
      <c r="C139" s="295" t="s">
        <v>14476</v>
      </c>
      <c r="D139" s="658" t="str">
        <f>IFERROR(VLOOKUP($B139,'24.08_ND'!$A$4833:$D$12369,2,0),IFERROR(VLOOKUP($B139,'03-CP'!$C$5:$H$4646,2,0),""))</f>
        <v>TRANSPORTE COM CAMINHÃO BASCULANTE DE 10 M³, EM VIA INTERNA (DENTRO DO CANTEIRO - UNIDADE: M3XKM). AF_07/2020</v>
      </c>
      <c r="E139" s="1318" t="str">
        <f>IFERROR(VLOOKUP($B139,'24.08_ND'!$A:$D,3,0),IFERROR(VLOOKUP($B139,'03-CP'!$C$5:$H$4646,3,0),""))</f>
        <v>M3XKM</v>
      </c>
      <c r="F139" s="298">
        <f>F141</f>
        <v>65.367999999999995</v>
      </c>
      <c r="G139" s="1539"/>
      <c r="H139" s="1540"/>
      <c r="I139" s="1541"/>
      <c r="J139" s="512"/>
      <c r="K139" s="262"/>
      <c r="L139" s="1528" t="s">
        <v>16202</v>
      </c>
      <c r="M139" s="262"/>
      <c r="N139" s="262"/>
      <c r="O139" s="262"/>
      <c r="P139" s="262"/>
      <c r="Q139" s="262"/>
      <c r="R139" s="262"/>
      <c r="S139" s="262"/>
      <c r="T139" s="262"/>
      <c r="U139" s="262"/>
      <c r="V139" s="262"/>
      <c r="W139" s="262"/>
      <c r="X139" s="262"/>
      <c r="Y139" s="262"/>
      <c r="Z139" s="262"/>
    </row>
    <row r="140" spans="1:26" ht="12.75" hidden="1" outlineLevel="1">
      <c r="A140" s="1346"/>
      <c r="B140" s="1322"/>
      <c r="C140" s="1334"/>
      <c r="D140" s="1325" t="s">
        <v>16211</v>
      </c>
      <c r="E140" s="1347" t="s">
        <v>16212</v>
      </c>
      <c r="F140" s="1348" t="s">
        <v>16213</v>
      </c>
      <c r="G140" s="1349"/>
      <c r="H140" s="1349"/>
      <c r="I140" s="1350"/>
      <c r="J140" s="1351"/>
      <c r="K140" s="1352"/>
      <c r="L140" s="1353"/>
      <c r="M140" s="948"/>
      <c r="N140" s="262"/>
      <c r="O140" s="262"/>
      <c r="P140" s="262"/>
      <c r="Q140" s="262"/>
      <c r="R140" s="262"/>
      <c r="S140" s="262"/>
      <c r="T140" s="262"/>
      <c r="U140" s="262"/>
      <c r="V140" s="262"/>
      <c r="W140" s="262"/>
      <c r="X140" s="262"/>
      <c r="Y140" s="262"/>
      <c r="Z140" s="262"/>
    </row>
    <row r="141" spans="1:26" ht="12.75" hidden="1" outlineLevel="1">
      <c r="A141" s="1346"/>
      <c r="B141" s="1329"/>
      <c r="C141" s="1344"/>
      <c r="D141" s="1332">
        <f>D138</f>
        <v>32.683999999999997</v>
      </c>
      <c r="E141" s="1355">
        <v>2</v>
      </c>
      <c r="F141" s="1356">
        <f>D141*E141</f>
        <v>65.367999999999995</v>
      </c>
      <c r="G141" s="1349"/>
      <c r="H141" s="1349"/>
      <c r="I141" s="1350"/>
      <c r="J141" s="1351"/>
      <c r="K141" s="1352"/>
      <c r="L141" s="1353"/>
      <c r="M141" s="948"/>
      <c r="N141" s="262"/>
      <c r="O141" s="262"/>
      <c r="P141" s="262"/>
      <c r="Q141" s="262"/>
      <c r="R141" s="262"/>
      <c r="S141" s="262"/>
      <c r="T141" s="262"/>
      <c r="U141" s="262"/>
      <c r="V141" s="262"/>
      <c r="W141" s="262"/>
      <c r="X141" s="262"/>
      <c r="Y141" s="262"/>
      <c r="Z141" s="262"/>
    </row>
    <row r="142" spans="1:26" ht="12.75" hidden="1" outlineLevel="1">
      <c r="A142" s="247"/>
      <c r="B142" s="386"/>
      <c r="C142" s="386"/>
      <c r="D142" s="253"/>
      <c r="E142" s="1244"/>
      <c r="F142" s="389"/>
      <c r="G142" s="1244"/>
      <c r="H142" s="1244"/>
      <c r="I142" s="1409"/>
      <c r="J142" s="1383"/>
      <c r="K142" s="262"/>
      <c r="L142" s="386"/>
      <c r="M142" s="262"/>
      <c r="N142" s="262"/>
      <c r="O142" s="262"/>
      <c r="P142" s="262"/>
      <c r="Q142" s="262"/>
      <c r="R142" s="262"/>
      <c r="S142" s="262"/>
      <c r="T142" s="262"/>
      <c r="U142" s="262"/>
      <c r="V142" s="262"/>
      <c r="W142" s="262"/>
      <c r="X142" s="262"/>
      <c r="Y142" s="262"/>
      <c r="Z142" s="262"/>
    </row>
    <row r="143" spans="1:26" ht="12.75">
      <c r="A143" s="239" t="s">
        <v>13232</v>
      </c>
      <c r="B143" s="1309"/>
      <c r="C143" s="1309"/>
      <c r="D143" s="1310" t="s">
        <v>16366</v>
      </c>
      <c r="E143" s="1311"/>
      <c r="F143" s="1312"/>
      <c r="G143" s="1310"/>
      <c r="H143" s="1524"/>
      <c r="I143" s="1313"/>
      <c r="J143" s="512"/>
      <c r="K143" s="262"/>
      <c r="L143" s="1521" t="s">
        <v>16349</v>
      </c>
      <c r="M143" s="948" t="s">
        <v>16350</v>
      </c>
      <c r="N143" s="262"/>
      <c r="O143" s="262"/>
      <c r="P143" s="262"/>
      <c r="Q143" s="262"/>
      <c r="R143" s="262"/>
      <c r="S143" s="262"/>
      <c r="T143" s="262"/>
      <c r="U143" s="262"/>
      <c r="V143" s="262"/>
      <c r="W143" s="262"/>
      <c r="X143" s="262"/>
      <c r="Y143" s="262"/>
      <c r="Z143" s="262"/>
    </row>
    <row r="144" spans="1:26" ht="12.75" outlineLevel="1">
      <c r="A144" s="1529" t="s">
        <v>13233</v>
      </c>
      <c r="B144" s="1530"/>
      <c r="C144" s="1530"/>
      <c r="D144" s="1531" t="s">
        <v>16367</v>
      </c>
      <c r="E144" s="1532" t="s">
        <v>409</v>
      </c>
      <c r="F144" s="1533">
        <v>290.11</v>
      </c>
      <c r="G144" s="1531"/>
      <c r="H144" s="1531"/>
      <c r="I144" s="1535"/>
      <c r="J144" s="295"/>
      <c r="K144" s="295"/>
      <c r="L144" s="386"/>
      <c r="M144" s="262"/>
      <c r="N144" s="262"/>
      <c r="O144" s="262"/>
      <c r="P144" s="262"/>
      <c r="Q144" s="262"/>
      <c r="R144" s="262"/>
      <c r="S144" s="262"/>
      <c r="T144" s="1320"/>
      <c r="U144" s="1320"/>
      <c r="V144" s="1320"/>
      <c r="W144" s="1320"/>
      <c r="X144" s="1320"/>
      <c r="Y144" s="1320"/>
      <c r="Z144" s="1320"/>
    </row>
    <row r="145" spans="1:26" ht="38.25" outlineLevel="1">
      <c r="A145" s="240" t="s">
        <v>12606</v>
      </c>
      <c r="B145" s="303" t="s">
        <v>12604</v>
      </c>
      <c r="C145" s="303" t="s">
        <v>14472</v>
      </c>
      <c r="D145" s="1446" t="str">
        <f>IFERROR(VLOOKUP($B145,'24.08_ND'!$A$4833:$D$12369,2,0),IFERROR(VLOOKUP($B145,'03-CP'!$C$5:$H$4646,2,0),""))</f>
        <v xml:space="preserve">EXECUÇÃO DE PASSEIO (CALÇADA) OU PISO DE CONCRETO C25 MOLDADO IN LOCO, USINADO, ACABAMENTO CONVENCIONAL, ESPESSURA 8 CM, ARMADO. </v>
      </c>
      <c r="E145" s="1447" t="str">
        <f>IFERROR(VLOOKUP($B145,'24.08_ND'!$A:$D,3,0),IFERROR(VLOOKUP($B145,'03-CP'!$C$5:$H$4646,3,0),""))</f>
        <v>M2</v>
      </c>
      <c r="F145" s="306">
        <v>290.11</v>
      </c>
      <c r="G145" s="303"/>
      <c r="H145" s="303"/>
      <c r="I145" s="1525"/>
      <c r="J145" s="303"/>
      <c r="K145" s="303"/>
      <c r="L145" s="1297" t="s">
        <v>16202</v>
      </c>
      <c r="M145" s="1320"/>
      <c r="N145" s="1320"/>
      <c r="O145" s="1320"/>
      <c r="P145" s="1320"/>
      <c r="Q145" s="1320"/>
      <c r="R145" s="1320"/>
      <c r="S145" s="1320"/>
      <c r="T145" s="1320"/>
      <c r="U145" s="1320"/>
      <c r="V145" s="1320"/>
      <c r="W145" s="1320"/>
      <c r="X145" s="1320"/>
      <c r="Y145" s="1320"/>
      <c r="Z145" s="1320"/>
    </row>
    <row r="146" spans="1:26" ht="38.25" outlineLevel="1">
      <c r="A146" s="240" t="s">
        <v>13234</v>
      </c>
      <c r="B146" s="303">
        <v>97083</v>
      </c>
      <c r="C146" s="303" t="s">
        <v>14476</v>
      </c>
      <c r="D146" s="1446" t="str">
        <f>IFERROR(VLOOKUP($B146,'24.08_ND'!$A$4833:$D$12369,2,0),IFERROR(VLOOKUP($B146,'03-CP'!$C$5:$H$4646,2,0),""))</f>
        <v>COMPACTAÇÃO MECÂNICA DE SOLO PARA EXECUÇÃO DE RADIER, PISO DE CONCRETO OU LAJE SOBRE SOLO, COM COMPACTADOR DE SOLOS A PERCUSSÃO. AF_09/2021</v>
      </c>
      <c r="E146" s="1447" t="str">
        <f>IFERROR(VLOOKUP($B146,'24.08_ND'!$A:$D,3,0),IFERROR(VLOOKUP($B146,'03-CP'!$C$5:$H$4646,3,0),""))</f>
        <v>M2</v>
      </c>
      <c r="F146" s="306">
        <v>290.11</v>
      </c>
      <c r="G146" s="303"/>
      <c r="H146" s="303"/>
      <c r="I146" s="1525"/>
      <c r="J146" s="303"/>
      <c r="K146" s="303"/>
      <c r="L146" s="1297" t="s">
        <v>16202</v>
      </c>
      <c r="M146" s="1320"/>
      <c r="N146" s="1320"/>
      <c r="O146" s="1320"/>
      <c r="P146" s="1320"/>
      <c r="Q146" s="1320"/>
      <c r="R146" s="1320"/>
      <c r="S146" s="1320"/>
      <c r="T146" s="1320"/>
      <c r="U146" s="1320"/>
      <c r="V146" s="1320"/>
      <c r="W146" s="1320"/>
      <c r="X146" s="1320"/>
      <c r="Y146" s="1320"/>
      <c r="Z146" s="1320"/>
    </row>
    <row r="147" spans="1:26" ht="25.5" outlineLevel="1">
      <c r="A147" s="240" t="s">
        <v>13235</v>
      </c>
      <c r="B147" s="303">
        <v>96622</v>
      </c>
      <c r="C147" s="303" t="s">
        <v>14476</v>
      </c>
      <c r="D147" s="1446" t="str">
        <f>IFERROR(VLOOKUP($B147,'24.08_ND'!$A$4833:$D$12369,2,0),IFERROR(VLOOKUP($B147,'03-CP'!$C$5:$H$4646,2,0),""))</f>
        <v>LASTRO COM MATERIAL GRANULAR, APLICADO EM PISOS OU LAJES SOBRE SOLO, ESPESSURA DE *5 CM*. AF_01/2024</v>
      </c>
      <c r="E147" s="1447" t="str">
        <f>IFERROR(VLOOKUP($B147,'24.08_ND'!$A:$D,3,0),IFERROR(VLOOKUP($B147,'03-CP'!$C$5:$H$4646,3,0),""))</f>
        <v>M3</v>
      </c>
      <c r="F147" s="306">
        <v>14.51</v>
      </c>
      <c r="G147" s="303"/>
      <c r="H147" s="303"/>
      <c r="I147" s="1525"/>
      <c r="J147" s="303"/>
      <c r="K147" s="303"/>
      <c r="L147" s="1297" t="s">
        <v>16202</v>
      </c>
      <c r="M147" s="1320"/>
      <c r="N147" s="1320"/>
      <c r="O147" s="1320"/>
      <c r="P147" s="1320"/>
      <c r="Q147" s="1320"/>
      <c r="R147" s="1320"/>
      <c r="S147" s="1320"/>
      <c r="T147" s="1320"/>
      <c r="U147" s="1320"/>
      <c r="V147" s="1320"/>
      <c r="W147" s="1320"/>
      <c r="X147" s="1320"/>
      <c r="Y147" s="1320"/>
      <c r="Z147" s="1320"/>
    </row>
    <row r="148" spans="1:26" ht="38.25" outlineLevel="1">
      <c r="A148" s="240" t="s">
        <v>13236</v>
      </c>
      <c r="B148" s="303">
        <v>98575</v>
      </c>
      <c r="C148" s="303" t="s">
        <v>14476</v>
      </c>
      <c r="D148" s="1446" t="str">
        <f>IFERROR(VLOOKUP($B148,'24.08_ND'!$A$4833:$D$12369,2,0),IFERROR(VLOOKUP($B148,'03-CP'!$C$5:$H$4646,2,0),""))</f>
        <v>TRATAMENTO DE JUNTA DE DILATAÇÃO, COM TARUGO DE POLIETILENO E SELANTE PU, INCLUSO PREENCHIMENTO COM ESPUMA EXPANSIVA PU. AF_09/2023</v>
      </c>
      <c r="E148" s="1447" t="str">
        <f>IFERROR(VLOOKUP($B148,'24.08_ND'!$A:$D,3,0),IFERROR(VLOOKUP($B148,'03-CP'!$C$5:$H$4646,3,0),""))</f>
        <v>M</v>
      </c>
      <c r="F148" s="306">
        <v>85</v>
      </c>
      <c r="G148" s="303"/>
      <c r="H148" s="303"/>
      <c r="I148" s="1525"/>
      <c r="J148" s="303"/>
      <c r="K148" s="303"/>
      <c r="L148" s="1297" t="s">
        <v>16202</v>
      </c>
      <c r="M148" s="1320"/>
      <c r="N148" s="1320"/>
      <c r="O148" s="1320"/>
      <c r="P148" s="1320"/>
      <c r="Q148" s="1320"/>
      <c r="R148" s="1320"/>
      <c r="S148" s="1320"/>
      <c r="T148" s="1320"/>
      <c r="U148" s="1320"/>
      <c r="V148" s="1320"/>
      <c r="W148" s="1320"/>
      <c r="X148" s="1320"/>
      <c r="Y148" s="1320"/>
      <c r="Z148" s="1320"/>
    </row>
    <row r="149" spans="1:26" ht="25.5" outlineLevel="1">
      <c r="A149" s="240" t="s">
        <v>13237</v>
      </c>
      <c r="B149" s="303">
        <v>97087</v>
      </c>
      <c r="C149" s="303" t="s">
        <v>14476</v>
      </c>
      <c r="D149" s="1446" t="str">
        <f>IFERROR(VLOOKUP($B149,'24.08_ND'!$A$4833:$D$12369,2,0),IFERROR(VLOOKUP($B149,'03-CP'!$C$5:$H$4646,2,0),""))</f>
        <v>CAMADA SEPARADORA PARA EXECUÇÃO DE RADIER, PISO DE CONCRETO OU LAJE SOBRE SOLO, EM LONA PLÁSTICA. AF_09/2021</v>
      </c>
      <c r="E149" s="1447" t="str">
        <f>IFERROR(VLOOKUP($B149,'24.08_ND'!$A:$D,3,0),IFERROR(VLOOKUP($B149,'03-CP'!$C$5:$H$4646,3,0),""))</f>
        <v>M2</v>
      </c>
      <c r="F149" s="306">
        <v>319.10000000000002</v>
      </c>
      <c r="G149" s="303"/>
      <c r="H149" s="303"/>
      <c r="I149" s="1525"/>
      <c r="J149" s="303"/>
      <c r="K149" s="303"/>
      <c r="L149" s="1297" t="s">
        <v>16202</v>
      </c>
      <c r="M149" s="1320"/>
      <c r="N149" s="1320"/>
      <c r="O149" s="1320"/>
      <c r="P149" s="1320"/>
      <c r="Q149" s="1320"/>
      <c r="R149" s="1320"/>
      <c r="S149" s="1320"/>
      <c r="T149" s="1320"/>
      <c r="U149" s="1320"/>
      <c r="V149" s="1320"/>
      <c r="W149" s="1320"/>
      <c r="X149" s="1320"/>
      <c r="Y149" s="1320"/>
      <c r="Z149" s="1320"/>
    </row>
    <row r="150" spans="1:26" ht="38.25" outlineLevel="1">
      <c r="A150" s="240" t="s">
        <v>13238</v>
      </c>
      <c r="B150" s="303" t="s">
        <v>14598</v>
      </c>
      <c r="C150" s="303" t="s">
        <v>14472</v>
      </c>
      <c r="D150" s="1446" t="str">
        <f>IFERROR(VLOOKUP($B150,'24.08_ND'!$A$4833:$D$12369,2,0),IFERROR(VLOOKUP($B150,'03-CP'!$C$5:$H$4646,2,0),""))</f>
        <v>CURA ÚMIDA POR ASPERSÃO DE ÁGUA DURANTE 3 DIAS COM UTILIZAÇÃO DE MANTA GEOTEXTIL NAO TECIDO AGULHADO DE FILAMENTOS CONTINUOS 100% POLIESTER - 4 UTILIZAÇÕES</v>
      </c>
      <c r="E150" s="1447" t="str">
        <f>IFERROR(VLOOKUP($B150,'24.08_ND'!$A:$D,3,0),IFERROR(VLOOKUP($B150,'03-CP'!$C$5:$H$4646,3,0),""))</f>
        <v>M2</v>
      </c>
      <c r="F150" s="306">
        <v>290.11</v>
      </c>
      <c r="G150" s="303"/>
      <c r="H150" s="303"/>
      <c r="I150" s="1525"/>
      <c r="J150" s="303"/>
      <c r="K150" s="303"/>
      <c r="L150" s="1297" t="s">
        <v>16202</v>
      </c>
      <c r="M150" s="1320"/>
      <c r="N150" s="1320"/>
      <c r="O150" s="1320"/>
      <c r="P150" s="1320"/>
      <c r="Q150" s="1320"/>
      <c r="R150" s="1320"/>
      <c r="S150" s="1320"/>
      <c r="T150" s="1320"/>
      <c r="U150" s="1320"/>
      <c r="V150" s="1320"/>
      <c r="W150" s="1320"/>
      <c r="X150" s="1320"/>
      <c r="Y150" s="1320"/>
      <c r="Z150" s="1320"/>
    </row>
    <row r="151" spans="1:26" ht="12.75" outlineLevel="1">
      <c r="A151" s="1529" t="s">
        <v>13239</v>
      </c>
      <c r="B151" s="1530"/>
      <c r="C151" s="1530"/>
      <c r="D151" s="1531" t="s">
        <v>16368</v>
      </c>
      <c r="E151" s="1532"/>
      <c r="F151" s="1533"/>
      <c r="G151" s="1531"/>
      <c r="H151" s="1531"/>
      <c r="I151" s="1535"/>
      <c r="J151" s="512"/>
      <c r="K151" s="262"/>
      <c r="L151" s="386"/>
      <c r="M151" s="262"/>
      <c r="N151" s="262"/>
      <c r="O151" s="262"/>
      <c r="P151" s="262"/>
      <c r="Q151" s="262"/>
      <c r="R151" s="262"/>
      <c r="S151" s="262"/>
      <c r="T151" s="262"/>
      <c r="U151" s="262"/>
      <c r="V151" s="262"/>
      <c r="W151" s="262"/>
      <c r="X151" s="262"/>
      <c r="Y151" s="262"/>
      <c r="Z151" s="262"/>
    </row>
    <row r="152" spans="1:26" ht="38.25" outlineLevel="1">
      <c r="A152" s="240" t="s">
        <v>13240</v>
      </c>
      <c r="B152" s="303">
        <v>96521</v>
      </c>
      <c r="C152" s="303" t="s">
        <v>14476</v>
      </c>
      <c r="D152" s="1446" t="str">
        <f>IFERROR(VLOOKUP($B152,'24.08_ND'!$A$4833:$D$12369,2,0),IFERROR(VLOOKUP($B152,'03-CP'!$C$5:$H$4646,2,0),""))</f>
        <v>ESCAVAÇÃO MECANIZADA PARA BLOCO DE COROAMENTO OU SAPATA COM RETROESCAVADEIRA (INCLUINDO ESCAVAÇÃO PARA COLOCAÇÃO DE FÔRMAS). AF_01/2024</v>
      </c>
      <c r="E152" s="1447" t="str">
        <f>IFERROR(VLOOKUP($B152,'24.08_ND'!$A:$D,3,0),IFERROR(VLOOKUP($B152,'03-CP'!$C$5:$H$4646,3,0),""))</f>
        <v>M3</v>
      </c>
      <c r="F152" s="306">
        <v>214.93</v>
      </c>
      <c r="G152" s="303"/>
      <c r="H152" s="303"/>
      <c r="I152" s="1525"/>
      <c r="J152" s="1369"/>
      <c r="K152" s="262"/>
      <c r="L152" s="1297" t="s">
        <v>16202</v>
      </c>
      <c r="M152" s="262"/>
      <c r="N152" s="262"/>
      <c r="O152" s="262"/>
      <c r="P152" s="262"/>
      <c r="Q152" s="262"/>
      <c r="R152" s="262"/>
      <c r="S152" s="262"/>
      <c r="T152" s="262"/>
      <c r="U152" s="262"/>
      <c r="V152" s="262"/>
      <c r="W152" s="262"/>
      <c r="X152" s="262"/>
      <c r="Y152" s="262"/>
      <c r="Z152" s="262"/>
    </row>
    <row r="153" spans="1:26" ht="25.5" outlineLevel="1">
      <c r="A153" s="240" t="s">
        <v>13241</v>
      </c>
      <c r="B153" s="303">
        <v>101616</v>
      </c>
      <c r="C153" s="303" t="s">
        <v>14476</v>
      </c>
      <c r="D153" s="1446" t="str">
        <f>IFERROR(VLOOKUP($B153,'24.08_ND'!$A$4833:$D$12369,2,0),IFERROR(VLOOKUP($B153,'03-CP'!$C$5:$H$4646,2,0),""))</f>
        <v>PREPARO DE FUNDO DE VALA COM LARGURA MENOR QUE 1,5 M (ACERTO DO SOLO NATURAL). AF_08/2020</v>
      </c>
      <c r="E153" s="1447" t="str">
        <f>IFERROR(VLOOKUP($B153,'24.08_ND'!$A:$D,3,0),IFERROR(VLOOKUP($B153,'03-CP'!$C$5:$H$4646,3,0),""))</f>
        <v>M2</v>
      </c>
      <c r="F153" s="306">
        <v>84.39</v>
      </c>
      <c r="G153" s="303"/>
      <c r="H153" s="303"/>
      <c r="I153" s="1525"/>
      <c r="J153" s="1369"/>
      <c r="K153" s="262"/>
      <c r="L153" s="1297" t="s">
        <v>16202</v>
      </c>
      <c r="M153" s="262"/>
      <c r="N153" s="262"/>
      <c r="O153" s="262"/>
      <c r="P153" s="262"/>
      <c r="Q153" s="262"/>
      <c r="R153" s="262"/>
      <c r="S153" s="262"/>
      <c r="T153" s="262"/>
      <c r="U153" s="262"/>
      <c r="V153" s="262"/>
      <c r="W153" s="262"/>
      <c r="X153" s="262"/>
      <c r="Y153" s="262"/>
      <c r="Z153" s="262"/>
    </row>
    <row r="154" spans="1:26" ht="25.5" outlineLevel="1">
      <c r="A154" s="240" t="s">
        <v>13242</v>
      </c>
      <c r="B154" s="1543">
        <v>96619</v>
      </c>
      <c r="C154" s="303" t="s">
        <v>14476</v>
      </c>
      <c r="D154" s="1446" t="str">
        <f>IFERROR(VLOOKUP($B154,'24.08_ND'!$A$4833:$D$12369,2,0),IFERROR(VLOOKUP($B154,'03-CP'!$C$5:$H$4646,2,0),""))</f>
        <v>LASTRO DE CONCRETO MAGRO, APLICADO EM BLOCOS DE COROAMENTO OU SAPATAS, ESPESSURA DE 5 CM. AF_01/2024</v>
      </c>
      <c r="E154" s="1447" t="str">
        <f>IFERROR(VLOOKUP($B154,'24.08_ND'!$A:$D,3,0),IFERROR(VLOOKUP($B154,'03-CP'!$C$5:$H$4646,3,0),""))</f>
        <v>M2</v>
      </c>
      <c r="F154" s="306">
        <v>84.39</v>
      </c>
      <c r="G154" s="303"/>
      <c r="H154" s="303"/>
      <c r="I154" s="1525"/>
      <c r="J154" s="1369"/>
      <c r="K154" s="262"/>
      <c r="L154" s="1297" t="s">
        <v>16202</v>
      </c>
      <c r="M154" s="262"/>
      <c r="N154" s="262"/>
      <c r="O154" s="262"/>
      <c r="P154" s="262"/>
      <c r="Q154" s="262"/>
      <c r="R154" s="262"/>
      <c r="S154" s="262"/>
      <c r="T154" s="262"/>
      <c r="U154" s="262"/>
      <c r="V154" s="262"/>
      <c r="W154" s="262"/>
      <c r="X154" s="262"/>
      <c r="Y154" s="262"/>
      <c r="Z154" s="262"/>
    </row>
    <row r="155" spans="1:26" ht="25.5" outlineLevel="1">
      <c r="A155" s="240" t="s">
        <v>13243</v>
      </c>
      <c r="B155" s="1543">
        <v>96535</v>
      </c>
      <c r="C155" s="303" t="s">
        <v>14476</v>
      </c>
      <c r="D155" s="1446" t="str">
        <f>IFERROR(VLOOKUP($B155,'24.08_ND'!$A$4833:$D$12369,2,0),IFERROR(VLOOKUP($B155,'03-CP'!$C$5:$H$4646,2,0),""))</f>
        <v>FABRICAÇÃO, MONTAGEM E DESMONTAGEM DE FÔRMA PARA SAPATA, EM MADEIRA SERRADA, E=25 MM, 4 UTILIZAÇÕES. AF_01/2024</v>
      </c>
      <c r="E155" s="1447" t="str">
        <f>IFERROR(VLOOKUP($B155,'24.08_ND'!$A:$D,3,0),IFERROR(VLOOKUP($B155,'03-CP'!$C$5:$H$4646,3,0),""))</f>
        <v>M2</v>
      </c>
      <c r="F155" s="306">
        <v>52.33</v>
      </c>
      <c r="G155" s="303"/>
      <c r="H155" s="303"/>
      <c r="I155" s="1525"/>
      <c r="J155" s="1369"/>
      <c r="K155" s="262"/>
      <c r="L155" s="1297" t="s">
        <v>16202</v>
      </c>
      <c r="M155" s="262"/>
      <c r="N155" s="262"/>
      <c r="O155" s="262"/>
      <c r="P155" s="262"/>
      <c r="Q155" s="262"/>
      <c r="R155" s="262"/>
      <c r="S155" s="262"/>
      <c r="T155" s="262"/>
      <c r="U155" s="262"/>
      <c r="V155" s="262"/>
      <c r="W155" s="262"/>
      <c r="X155" s="262"/>
      <c r="Y155" s="262"/>
      <c r="Z155" s="262"/>
    </row>
    <row r="156" spans="1:26" ht="25.5" outlineLevel="1">
      <c r="A156" s="240" t="s">
        <v>13244</v>
      </c>
      <c r="B156" s="1543">
        <v>104918</v>
      </c>
      <c r="C156" s="303" t="s">
        <v>14476</v>
      </c>
      <c r="D156" s="1446" t="str">
        <f>IFERROR(VLOOKUP($B156,'24.08_ND'!$A$4833:$D$12369,2,0),IFERROR(VLOOKUP($B156,'03-CP'!$C$5:$H$4646,2,0),""))</f>
        <v>ARMAÇÃO DE SAPATA ISOLADA, VIGA BALDRAME E SAPATA CORRIDA UTILIZANDO AÇO CA-50 DE 8 MM - MONTAGEM. AF_01/2024</v>
      </c>
      <c r="E156" s="1447" t="str">
        <f>IFERROR(VLOOKUP($B156,'24.08_ND'!$A:$D,3,0),IFERROR(VLOOKUP($B156,'03-CP'!$C$5:$H$4646,3,0),""))</f>
        <v>KG</v>
      </c>
      <c r="F156" s="306">
        <v>453.47</v>
      </c>
      <c r="G156" s="303"/>
      <c r="H156" s="303"/>
      <c r="I156" s="1525"/>
      <c r="J156" s="1369"/>
      <c r="K156" s="262"/>
      <c r="L156" s="1297" t="s">
        <v>16202</v>
      </c>
      <c r="M156" s="262"/>
      <c r="N156" s="262"/>
      <c r="O156" s="262"/>
      <c r="P156" s="262"/>
      <c r="Q156" s="262"/>
      <c r="R156" s="262"/>
      <c r="S156" s="262"/>
      <c r="T156" s="262"/>
      <c r="U156" s="262"/>
      <c r="V156" s="262"/>
      <c r="W156" s="262"/>
      <c r="X156" s="262"/>
      <c r="Y156" s="262"/>
      <c r="Z156" s="262"/>
    </row>
    <row r="157" spans="1:26" ht="25.5" outlineLevel="1">
      <c r="A157" s="240" t="s">
        <v>13245</v>
      </c>
      <c r="B157" s="1543">
        <v>104919</v>
      </c>
      <c r="C157" s="303" t="s">
        <v>14476</v>
      </c>
      <c r="D157" s="1446" t="str">
        <f>IFERROR(VLOOKUP($B157,'24.08_ND'!$A$4833:$D$12369,2,0),IFERROR(VLOOKUP($B157,'03-CP'!$C$5:$H$4646,2,0),""))</f>
        <v>ARMAÇÃO DE SAPATA ISOLADA, VIGA BALDRAME E SAPATA CORRIDA UTILIZANDO AÇO CA-50 DE 10 MM - MONTAGEM. AF_01/2024</v>
      </c>
      <c r="E157" s="1447" t="str">
        <f>IFERROR(VLOOKUP($B157,'24.08_ND'!$A:$D,3,0),IFERROR(VLOOKUP($B157,'03-CP'!$C$5:$H$4646,3,0),""))</f>
        <v>KG</v>
      </c>
      <c r="F157" s="306">
        <v>67.31</v>
      </c>
      <c r="G157" s="303"/>
      <c r="H157" s="303"/>
      <c r="I157" s="1525"/>
      <c r="J157" s="1369"/>
      <c r="K157" s="262"/>
      <c r="L157" s="1297" t="s">
        <v>16202</v>
      </c>
      <c r="M157" s="262"/>
      <c r="N157" s="262"/>
      <c r="O157" s="262"/>
      <c r="P157" s="262"/>
      <c r="Q157" s="262"/>
      <c r="R157" s="262"/>
      <c r="S157" s="262"/>
      <c r="T157" s="262"/>
      <c r="U157" s="262"/>
      <c r="V157" s="262"/>
      <c r="W157" s="262"/>
      <c r="X157" s="262"/>
      <c r="Y157" s="262"/>
      <c r="Z157" s="262"/>
    </row>
    <row r="158" spans="1:26" ht="25.5" outlineLevel="1">
      <c r="A158" s="240" t="s">
        <v>13246</v>
      </c>
      <c r="B158" s="1543">
        <v>104920</v>
      </c>
      <c r="C158" s="303" t="s">
        <v>14476</v>
      </c>
      <c r="D158" s="1446" t="str">
        <f>IFERROR(VLOOKUP($B158,'24.08_ND'!$A$4833:$D$12369,2,0),IFERROR(VLOOKUP($B158,'03-CP'!$C$5:$H$4646,2,0),""))</f>
        <v>ARMAÇÃO DE BLOCO, SAPATA ISOLADA, VIGA BALDRAME E SAPATA CORRIDA UTILIZANDO AÇO CA-50 DE 12,5 MM - MONTAGEM. AF_01/2024</v>
      </c>
      <c r="E158" s="1447" t="str">
        <f>IFERROR(VLOOKUP($B158,'24.08_ND'!$A:$D,3,0),IFERROR(VLOOKUP($B158,'03-CP'!$C$5:$H$4646,3,0),""))</f>
        <v>KG</v>
      </c>
      <c r="F158" s="306">
        <v>1329.83</v>
      </c>
      <c r="G158" s="303"/>
      <c r="H158" s="303"/>
      <c r="I158" s="1525"/>
      <c r="J158" s="1369"/>
      <c r="K158" s="262"/>
      <c r="L158" s="1297" t="s">
        <v>16202</v>
      </c>
      <c r="M158" s="262"/>
      <c r="N158" s="262"/>
      <c r="O158" s="262"/>
      <c r="P158" s="262"/>
      <c r="Q158" s="262"/>
      <c r="R158" s="262"/>
      <c r="S158" s="262"/>
      <c r="T158" s="262"/>
      <c r="U158" s="262"/>
      <c r="V158" s="262"/>
      <c r="W158" s="262"/>
      <c r="X158" s="262"/>
      <c r="Y158" s="262"/>
      <c r="Z158" s="262"/>
    </row>
    <row r="159" spans="1:26" ht="25.5" outlineLevel="1">
      <c r="A159" s="240" t="s">
        <v>13247</v>
      </c>
      <c r="B159" s="1543">
        <v>96558</v>
      </c>
      <c r="C159" s="303" t="s">
        <v>14476</v>
      </c>
      <c r="D159" s="1446" t="str">
        <f>IFERROR(VLOOKUP($B159,'24.08_ND'!$A$4833:$D$12369,2,0),IFERROR(VLOOKUP($B159,'03-CP'!$C$5:$H$4646,2,0),""))</f>
        <v>CONCRETAGEM DE SAPATA, FCK 30 MPA, COM USO DE BOMBA - LANÇAMENTO, ADENSAMENTO E ACABAMENTO. AF_01/2024</v>
      </c>
      <c r="E159" s="1447" t="str">
        <f>IFERROR(VLOOKUP($B159,'24.08_ND'!$A:$D,3,0),IFERROR(VLOOKUP($B159,'03-CP'!$C$5:$H$4646,3,0),""))</f>
        <v>M3</v>
      </c>
      <c r="F159" s="306">
        <v>37.78</v>
      </c>
      <c r="G159" s="303"/>
      <c r="H159" s="303"/>
      <c r="I159" s="1525"/>
      <c r="L159" s="1297" t="s">
        <v>16202</v>
      </c>
      <c r="M159" s="262"/>
      <c r="N159" s="262"/>
      <c r="O159" s="262"/>
      <c r="P159" s="262"/>
      <c r="Q159" s="262"/>
      <c r="R159" s="262"/>
      <c r="S159" s="262"/>
    </row>
    <row r="160" spans="1:26" ht="25.5" outlineLevel="1">
      <c r="A160" s="1527" t="s">
        <v>13248</v>
      </c>
      <c r="B160" s="1544">
        <v>93382</v>
      </c>
      <c r="C160" s="295" t="s">
        <v>14476</v>
      </c>
      <c r="D160" s="658" t="str">
        <f>IFERROR(VLOOKUP($B160,'24.08_ND'!$A$4833:$D$12369,2,0),IFERROR(VLOOKUP($B160,'03-CP'!$C$5:$H$4646,2,0),""))</f>
        <v>REATERRO MANUAL DE VALAS, COM COMPACTADOR DE SOLOS DE PERCUSSÃO. AF_08/2023</v>
      </c>
      <c r="E160" s="1318" t="str">
        <f>IFERROR(VLOOKUP($B160,'24.08_ND'!$A:$D,3,0),IFERROR(VLOOKUP($B160,'03-CP'!$C$5:$H$4646,3,0),""))</f>
        <v>M3</v>
      </c>
      <c r="F160" s="298">
        <f>F162</f>
        <v>194.86500000000001</v>
      </c>
      <c r="G160" s="295"/>
      <c r="H160" s="295"/>
      <c r="I160" s="1319"/>
      <c r="L160" s="1528" t="s">
        <v>16202</v>
      </c>
      <c r="M160" s="262"/>
      <c r="N160" s="262"/>
      <c r="O160" s="262"/>
      <c r="P160" s="262"/>
      <c r="Q160" s="262"/>
      <c r="R160" s="262"/>
      <c r="S160" s="262"/>
    </row>
    <row r="161" spans="1:26" ht="12.75" hidden="1" outlineLevel="1">
      <c r="A161" s="1321"/>
      <c r="B161" s="1322"/>
      <c r="C161" s="1323"/>
      <c r="D161" s="1324" t="s">
        <v>16369</v>
      </c>
      <c r="E161" s="1325" t="s">
        <v>16204</v>
      </c>
      <c r="F161" s="1326" t="s">
        <v>16205</v>
      </c>
      <c r="G161" s="1327"/>
      <c r="H161" s="1327"/>
      <c r="I161" s="1328"/>
      <c r="J161" s="1327"/>
      <c r="K161" s="1327"/>
      <c r="L161" s="1327"/>
      <c r="M161" s="262"/>
      <c r="N161" s="262"/>
      <c r="O161" s="262"/>
      <c r="P161" s="262"/>
      <c r="Q161" s="262"/>
      <c r="R161" s="262"/>
      <c r="S161" s="262"/>
      <c r="T161" s="262"/>
      <c r="U161" s="262"/>
      <c r="V161" s="262"/>
      <c r="W161" s="262"/>
      <c r="X161" s="262"/>
      <c r="Y161" s="262"/>
      <c r="Z161" s="262"/>
    </row>
    <row r="162" spans="1:26" ht="12.75" hidden="1" outlineLevel="1">
      <c r="A162" s="1321"/>
      <c r="B162" s="1329"/>
      <c r="C162" s="1330"/>
      <c r="D162" s="1331">
        <f>F152-F159</f>
        <v>177.15</v>
      </c>
      <c r="E162" s="1332">
        <v>1.1000000000000001</v>
      </c>
      <c r="F162" s="1333">
        <f>D162*E162</f>
        <v>194.86500000000001</v>
      </c>
      <c r="G162" s="1327"/>
      <c r="H162" s="1327"/>
      <c r="I162" s="1328"/>
      <c r="J162" s="1327"/>
      <c r="K162" s="1327"/>
      <c r="L162" s="1327"/>
      <c r="M162" s="262"/>
      <c r="N162" s="262"/>
      <c r="O162" s="262"/>
      <c r="P162" s="262"/>
      <c r="Q162" s="262"/>
      <c r="R162" s="262"/>
      <c r="S162" s="262"/>
      <c r="T162" s="262"/>
      <c r="U162" s="262"/>
      <c r="V162" s="262"/>
      <c r="W162" s="262"/>
      <c r="X162" s="262"/>
      <c r="Y162" s="262"/>
      <c r="Z162" s="262"/>
    </row>
    <row r="163" spans="1:26" ht="12.75" outlineLevel="1">
      <c r="A163" s="1529" t="s">
        <v>13249</v>
      </c>
      <c r="B163" s="1530"/>
      <c r="C163" s="1530"/>
      <c r="D163" s="1531" t="s">
        <v>16370</v>
      </c>
      <c r="E163" s="1532"/>
      <c r="F163" s="1533"/>
      <c r="G163" s="1531"/>
      <c r="H163" s="1531"/>
      <c r="I163" s="1535"/>
      <c r="J163" s="1383" t="s">
        <v>16371</v>
      </c>
      <c r="K163" s="262"/>
      <c r="L163" s="386"/>
      <c r="M163" s="262"/>
      <c r="N163" s="262"/>
      <c r="O163" s="262"/>
      <c r="P163" s="262"/>
      <c r="Q163" s="262"/>
      <c r="R163" s="262"/>
      <c r="S163" s="262"/>
      <c r="T163" s="262"/>
      <c r="U163" s="262"/>
      <c r="V163" s="262"/>
      <c r="W163" s="262"/>
      <c r="X163" s="262"/>
      <c r="Y163" s="262"/>
      <c r="Z163" s="262"/>
    </row>
    <row r="164" spans="1:26" ht="38.25" outlineLevel="1">
      <c r="A164" s="240" t="s">
        <v>13250</v>
      </c>
      <c r="B164" s="1543">
        <v>92413</v>
      </c>
      <c r="C164" s="303" t="s">
        <v>14476</v>
      </c>
      <c r="D164" s="1446" t="str">
        <f>IFERROR(VLOOKUP($B164,'24.08_ND'!$A$4833:$D$12369,2,0),IFERROR(VLOOKUP($B164,'03-CP'!$C$5:$H$4646,2,0),""))</f>
        <v>MONTAGEM E DESMONTAGEM DE FÔRMA DE PILARES RETANGULARES E ESTRUTURAS SIMILARES, PÉ-DIREITO SIMPLES, EM MADEIRA SERRADA, 4 UTILIZAÇÕES. AF_09/2020</v>
      </c>
      <c r="E164" s="1447" t="str">
        <f>IFERROR(VLOOKUP($B164,'24.08_ND'!$A:$D,3,0),IFERROR(VLOOKUP($B164,'03-CP'!$C$5:$H$4646,3,0),""))</f>
        <v>M2</v>
      </c>
      <c r="F164" s="306">
        <v>70.819999999999993</v>
      </c>
      <c r="G164" s="303"/>
      <c r="H164" s="303"/>
      <c r="I164" s="1525"/>
      <c r="J164" s="1545"/>
      <c r="K164" s="1320"/>
      <c r="L164" s="1297" t="s">
        <v>16202</v>
      </c>
      <c r="M164" s="1320"/>
      <c r="N164" s="1320"/>
      <c r="O164" s="1320"/>
      <c r="P164" s="1320"/>
      <c r="Q164" s="1320"/>
      <c r="R164" s="1320"/>
      <c r="S164" s="1320"/>
      <c r="T164" s="1320"/>
      <c r="U164" s="1320"/>
      <c r="V164" s="1320"/>
      <c r="W164" s="1320"/>
      <c r="X164" s="1320"/>
      <c r="Y164" s="1320"/>
      <c r="Z164" s="1320"/>
    </row>
    <row r="165" spans="1:26" ht="38.25" outlineLevel="1">
      <c r="A165" s="240" t="s">
        <v>13251</v>
      </c>
      <c r="B165" s="1543">
        <v>92759</v>
      </c>
      <c r="C165" s="303" t="s">
        <v>14476</v>
      </c>
      <c r="D165" s="1446" t="str">
        <f>IFERROR(VLOOKUP($B165,'24.08_ND'!$A$4833:$D$12369,2,0),IFERROR(VLOOKUP($B165,'03-CP'!$C$5:$H$4646,2,0),""))</f>
        <v>ARMAÇÃO DE PILAR OU VIGA DE ESTRUTURA CONVENCIONAL DE CONCRETO ARMADO UTILIZANDO AÇO CA-60 DE 5,0 MM - MONTAGEM. AF_06/2022</v>
      </c>
      <c r="E165" s="1447" t="str">
        <f>IFERROR(VLOOKUP($B165,'24.08_ND'!$A:$D,3,0),IFERROR(VLOOKUP($B165,'03-CP'!$C$5:$H$4646,3,0),""))</f>
        <v>KG</v>
      </c>
      <c r="F165" s="306">
        <v>66.77</v>
      </c>
      <c r="G165" s="303"/>
      <c r="H165" s="303"/>
      <c r="I165" s="1525"/>
      <c r="J165" s="1545"/>
      <c r="K165" s="1320"/>
      <c r="L165" s="1297" t="s">
        <v>16202</v>
      </c>
      <c r="M165" s="1320"/>
      <c r="N165" s="1320"/>
      <c r="O165" s="1320"/>
      <c r="P165" s="1320"/>
      <c r="Q165" s="1320"/>
      <c r="R165" s="1320"/>
      <c r="S165" s="1320"/>
      <c r="T165" s="1320"/>
      <c r="U165" s="1320"/>
      <c r="V165" s="1320"/>
      <c r="W165" s="1320"/>
      <c r="X165" s="1320"/>
      <c r="Y165" s="1320"/>
      <c r="Z165" s="1320"/>
    </row>
    <row r="166" spans="1:26" ht="38.25" outlineLevel="1">
      <c r="A166" s="240" t="s">
        <v>13252</v>
      </c>
      <c r="B166" s="1543">
        <v>92762</v>
      </c>
      <c r="C166" s="303" t="s">
        <v>14476</v>
      </c>
      <c r="D166" s="1446" t="str">
        <f>IFERROR(VLOOKUP($B166,'24.08_ND'!$A$4833:$D$12369,2,0),IFERROR(VLOOKUP($B166,'03-CP'!$C$5:$H$4646,2,0),""))</f>
        <v>ARMAÇÃO DE PILAR OU VIGA DE ESTRUTURA CONVENCIONAL DE CONCRETO ARMADO UTILIZANDO AÇO CA-50 DE 10,0 MM - MONTAGEM. AF_06/2022</v>
      </c>
      <c r="E166" s="1447" t="str">
        <f>IFERROR(VLOOKUP($B166,'24.08_ND'!$A:$D,3,0),IFERROR(VLOOKUP($B166,'03-CP'!$C$5:$H$4646,3,0),""))</f>
        <v>KG</v>
      </c>
      <c r="F166" s="306">
        <v>15.13</v>
      </c>
      <c r="G166" s="303"/>
      <c r="H166" s="303"/>
      <c r="I166" s="1525"/>
      <c r="J166" s="1545"/>
      <c r="K166" s="1320"/>
      <c r="L166" s="1297" t="s">
        <v>16202</v>
      </c>
      <c r="M166" s="1320"/>
      <c r="N166" s="1320"/>
      <c r="O166" s="1320"/>
      <c r="P166" s="1320"/>
      <c r="Q166" s="1320"/>
      <c r="R166" s="1320"/>
      <c r="S166" s="1320"/>
      <c r="T166" s="1320"/>
      <c r="U166" s="1320"/>
      <c r="V166" s="1320"/>
      <c r="W166" s="1320"/>
      <c r="X166" s="1320"/>
      <c r="Y166" s="1320"/>
      <c r="Z166" s="1320"/>
    </row>
    <row r="167" spans="1:26" ht="38.25" outlineLevel="1">
      <c r="A167" s="240" t="s">
        <v>13253</v>
      </c>
      <c r="B167" s="1543">
        <v>92763</v>
      </c>
      <c r="C167" s="303" t="s">
        <v>14476</v>
      </c>
      <c r="D167" s="1446" t="str">
        <f>IFERROR(VLOOKUP($B167,'24.08_ND'!$A$4833:$D$12369,2,0),IFERROR(VLOOKUP($B167,'03-CP'!$C$5:$H$4646,2,0),""))</f>
        <v>ARMAÇÃO DE PILAR OU VIGA DE ESTRUTURA CONVENCIONAL DE CONCRETO ARMADO UTILIZANDO AÇO CA-50 DE 12,5 MM - MONTAGEM. AF_06/2022</v>
      </c>
      <c r="E167" s="1447" t="str">
        <f>IFERROR(VLOOKUP($B167,'24.08_ND'!$A:$D,3,0),IFERROR(VLOOKUP($B167,'03-CP'!$C$5:$H$4646,3,0),""))</f>
        <v>KG</v>
      </c>
      <c r="F167" s="306">
        <v>193.72</v>
      </c>
      <c r="G167" s="303"/>
      <c r="H167" s="303"/>
      <c r="I167" s="1525"/>
      <c r="J167" s="1545"/>
      <c r="K167" s="1320"/>
      <c r="L167" s="1297" t="s">
        <v>16202</v>
      </c>
      <c r="M167" s="1320"/>
      <c r="N167" s="1320"/>
      <c r="O167" s="1320"/>
      <c r="P167" s="1320"/>
      <c r="Q167" s="1320"/>
      <c r="R167" s="1320"/>
      <c r="S167" s="1320"/>
      <c r="T167" s="1320"/>
      <c r="U167" s="1320"/>
      <c r="V167" s="1320"/>
      <c r="W167" s="1320"/>
      <c r="X167" s="1320"/>
      <c r="Y167" s="1320"/>
      <c r="Z167" s="1320"/>
    </row>
    <row r="168" spans="1:26" ht="38.25" outlineLevel="1">
      <c r="A168" s="240" t="s">
        <v>13254</v>
      </c>
      <c r="B168" s="1543">
        <v>92764</v>
      </c>
      <c r="C168" s="303" t="s">
        <v>14476</v>
      </c>
      <c r="D168" s="1446" t="str">
        <f>IFERROR(VLOOKUP($B168,'24.08_ND'!$A$4833:$D$12369,2,0),IFERROR(VLOOKUP($B168,'03-CP'!$C$5:$H$4646,2,0),""))</f>
        <v>ARMAÇÃO DE PILAR OU VIGA DE ESTRUTURA CONVENCIONAL DE CONCRETO ARMADO UTILIZANDO AÇO CA-50 DE 16,0 MM - MONTAGEM. AF_06/2022</v>
      </c>
      <c r="E168" s="1447" t="str">
        <f>IFERROR(VLOOKUP($B168,'24.08_ND'!$A:$D,3,0),IFERROR(VLOOKUP($B168,'03-CP'!$C$5:$H$4646,3,0),""))</f>
        <v>KG</v>
      </c>
      <c r="F168" s="306">
        <v>311.14999999999998</v>
      </c>
      <c r="G168" s="303"/>
      <c r="H168" s="303"/>
      <c r="I168" s="1525"/>
      <c r="J168" s="1545"/>
      <c r="K168" s="1320"/>
      <c r="L168" s="1297" t="s">
        <v>16202</v>
      </c>
      <c r="M168" s="1320"/>
      <c r="N168" s="1320"/>
      <c r="O168" s="1320"/>
      <c r="P168" s="1320"/>
      <c r="Q168" s="1320"/>
      <c r="R168" s="1320"/>
      <c r="S168" s="1320"/>
      <c r="T168" s="1320"/>
      <c r="U168" s="1320"/>
      <c r="V168" s="1320"/>
      <c r="W168" s="1320"/>
      <c r="X168" s="1320"/>
      <c r="Y168" s="1320"/>
      <c r="Z168" s="1320"/>
    </row>
    <row r="169" spans="1:26" ht="25.5" outlineLevel="1">
      <c r="A169" s="240" t="s">
        <v>13255</v>
      </c>
      <c r="B169" s="1543">
        <v>96558</v>
      </c>
      <c r="C169" s="303" t="s">
        <v>14476</v>
      </c>
      <c r="D169" s="1446" t="str">
        <f>IFERROR(VLOOKUP($B169,'24.08_ND'!$A$4833:$D$12369,2,0),IFERROR(VLOOKUP($B169,'03-CP'!$C$5:$H$4646,2,0),""))</f>
        <v>CONCRETAGEM DE SAPATA, FCK 30 MPA, COM USO DE BOMBA - LANÇAMENTO, ADENSAMENTO E ACABAMENTO. AF_01/2024</v>
      </c>
      <c r="E169" s="1447" t="str">
        <f>IFERROR(VLOOKUP($B169,'24.08_ND'!$A:$D,3,0),IFERROR(VLOOKUP($B169,'03-CP'!$C$5:$H$4646,3,0),""))</f>
        <v>M3</v>
      </c>
      <c r="F169" s="306">
        <v>4.72</v>
      </c>
      <c r="G169" s="303"/>
      <c r="H169" s="303"/>
      <c r="I169" s="1525"/>
      <c r="J169" s="1545"/>
      <c r="K169" s="1320"/>
      <c r="L169" s="1297" t="s">
        <v>16202</v>
      </c>
      <c r="M169" s="1320"/>
      <c r="N169" s="1320"/>
      <c r="O169" s="1320"/>
      <c r="P169" s="1320"/>
      <c r="Q169" s="1320"/>
      <c r="R169" s="1320"/>
      <c r="S169" s="1320"/>
      <c r="T169" s="1320"/>
      <c r="U169" s="1320"/>
      <c r="V169" s="1320"/>
      <c r="W169" s="1320"/>
      <c r="X169" s="1320"/>
      <c r="Y169" s="1320"/>
      <c r="Z169" s="1320"/>
    </row>
    <row r="170" spans="1:26" ht="12.75" outlineLevel="1">
      <c r="A170" s="1529" t="s">
        <v>13256</v>
      </c>
      <c r="B170" s="1530"/>
      <c r="C170" s="1530"/>
      <c r="D170" s="1531" t="s">
        <v>16372</v>
      </c>
      <c r="E170" s="1532"/>
      <c r="F170" s="1533"/>
      <c r="G170" s="1531"/>
      <c r="H170" s="1531"/>
      <c r="I170" s="1535"/>
      <c r="J170" s="512"/>
      <c r="K170" s="262"/>
      <c r="L170" s="1546"/>
      <c r="M170" s="386"/>
      <c r="N170" s="253"/>
      <c r="O170" s="1446"/>
      <c r="P170" s="1547"/>
      <c r="Q170" s="1548"/>
      <c r="R170" s="253"/>
      <c r="S170" s="253"/>
      <c r="T170" s="253"/>
      <c r="U170" s="512"/>
      <c r="V170" s="262"/>
      <c r="W170" s="262"/>
      <c r="X170" s="262"/>
      <c r="Y170" s="262"/>
      <c r="Z170" s="262"/>
    </row>
    <row r="171" spans="1:26" ht="25.5" outlineLevel="1">
      <c r="A171" s="240" t="s">
        <v>13257</v>
      </c>
      <c r="B171" s="1543">
        <v>96536</v>
      </c>
      <c r="C171" s="303" t="s">
        <v>14476</v>
      </c>
      <c r="D171" s="1446" t="str">
        <f>IFERROR(VLOOKUP($B171,'24.08_ND'!$A$4833:$D$12369,2,0),IFERROR(VLOOKUP($B171,'03-CP'!$C$5:$H$4646,2,0),""))</f>
        <v>FABRICAÇÃO, MONTAGEM E DESMONTAGEM DE FÔRMA PARA VIGA BALDRAME, EM MADEIRA SERRADA, E=25 MM, 4 UTILIZAÇÕES. AF_01/2024</v>
      </c>
      <c r="E171" s="1447" t="str">
        <f>IFERROR(VLOOKUP($B171,'24.08_ND'!$A:$D,3,0),IFERROR(VLOOKUP($B171,'03-CP'!$C$5:$H$4646,3,0),""))</f>
        <v>M2</v>
      </c>
      <c r="F171" s="306">
        <v>1.7</v>
      </c>
      <c r="G171" s="303"/>
      <c r="H171" s="303"/>
      <c r="I171" s="1525"/>
      <c r="J171" s="1526"/>
      <c r="K171" s="1320"/>
      <c r="L171" s="1297" t="s">
        <v>16202</v>
      </c>
      <c r="M171" s="303"/>
      <c r="N171" s="1549"/>
      <c r="O171" s="1446"/>
      <c r="P171" s="1547"/>
      <c r="Q171" s="1550"/>
      <c r="R171" s="1549"/>
      <c r="S171" s="1549"/>
      <c r="T171" s="1549"/>
      <c r="U171" s="1526"/>
      <c r="V171" s="1320"/>
      <c r="W171" s="1320"/>
      <c r="X171" s="1320"/>
      <c r="Y171" s="1320"/>
      <c r="Z171" s="1320"/>
    </row>
    <row r="172" spans="1:26" ht="25.5" outlineLevel="1">
      <c r="A172" s="240" t="s">
        <v>13258</v>
      </c>
      <c r="B172" s="1543">
        <v>104916</v>
      </c>
      <c r="C172" s="303" t="s">
        <v>14476</v>
      </c>
      <c r="D172" s="1446" t="str">
        <f>IFERROR(VLOOKUP($B172,'24.08_ND'!$A$4833:$D$12369,2,0),IFERROR(VLOOKUP($B172,'03-CP'!$C$5:$H$4646,2,0),""))</f>
        <v>ARMAÇÃO DE SAPATA ISOLADA, VIGA BALDRAME E SAPATA CORRIDA UTILIZANDO AÇO CA-60 DE 5 MM - MONTAGEM. AF_01/2024</v>
      </c>
      <c r="E172" s="1447" t="str">
        <f>IFERROR(VLOOKUP($B172,'24.08_ND'!$A:$D,3,0),IFERROR(VLOOKUP($B172,'03-CP'!$C$5:$H$4646,3,0),""))</f>
        <v>KG</v>
      </c>
      <c r="F172" s="306">
        <v>2.65</v>
      </c>
      <c r="G172" s="303"/>
      <c r="H172" s="303"/>
      <c r="I172" s="1525"/>
      <c r="J172" s="1526"/>
      <c r="K172" s="1320"/>
      <c r="L172" s="1297" t="s">
        <v>16202</v>
      </c>
      <c r="M172" s="303"/>
      <c r="N172" s="1549"/>
      <c r="O172" s="1446"/>
      <c r="P172" s="1547"/>
      <c r="Q172" s="1550"/>
      <c r="R172" s="1549"/>
      <c r="S172" s="1549"/>
      <c r="T172" s="1549"/>
      <c r="U172" s="1526"/>
      <c r="V172" s="1320"/>
      <c r="W172" s="1320"/>
      <c r="X172" s="1320"/>
      <c r="Y172" s="1320"/>
      <c r="Z172" s="1320"/>
    </row>
    <row r="173" spans="1:26" ht="25.5" outlineLevel="1">
      <c r="A173" s="240" t="s">
        <v>13259</v>
      </c>
      <c r="B173" s="1543">
        <v>104919</v>
      </c>
      <c r="C173" s="303" t="s">
        <v>14476</v>
      </c>
      <c r="D173" s="1446" t="str">
        <f>IFERROR(VLOOKUP($B173,'24.08_ND'!$A$4833:$D$12369,2,0),IFERROR(VLOOKUP($B173,'03-CP'!$C$5:$H$4646,2,0),""))</f>
        <v>ARMAÇÃO DE SAPATA ISOLADA, VIGA BALDRAME E SAPATA CORRIDA UTILIZANDO AÇO CA-50 DE 10 MM - MONTAGEM. AF_01/2024</v>
      </c>
      <c r="E173" s="1447" t="str">
        <f>IFERROR(VLOOKUP($B173,'24.08_ND'!$A:$D,3,0),IFERROR(VLOOKUP($B173,'03-CP'!$C$5:$H$4646,3,0),""))</f>
        <v>KG</v>
      </c>
      <c r="F173" s="306">
        <v>7.35</v>
      </c>
      <c r="G173" s="303"/>
      <c r="H173" s="303"/>
      <c r="I173" s="1525"/>
      <c r="J173" s="1526"/>
      <c r="K173" s="1320"/>
      <c r="L173" s="1297" t="s">
        <v>16202</v>
      </c>
      <c r="M173" s="303"/>
      <c r="N173" s="1549"/>
      <c r="O173" s="1446"/>
      <c r="P173" s="1547"/>
      <c r="Q173" s="1550"/>
      <c r="R173" s="1549"/>
      <c r="S173" s="1549"/>
      <c r="T173" s="1549"/>
      <c r="U173" s="1526"/>
      <c r="V173" s="1320"/>
      <c r="W173" s="1320"/>
      <c r="X173" s="1320"/>
      <c r="Y173" s="1320"/>
      <c r="Z173" s="1320"/>
    </row>
    <row r="174" spans="1:26" ht="38.25" outlineLevel="1">
      <c r="A174" s="240" t="s">
        <v>13260</v>
      </c>
      <c r="B174" s="1543">
        <v>96557</v>
      </c>
      <c r="C174" s="303" t="s">
        <v>14476</v>
      </c>
      <c r="D174" s="1446" t="str">
        <f>IFERROR(VLOOKUP($B174,'24.08_ND'!$A$4833:$D$12369,2,0),IFERROR(VLOOKUP($B174,'03-CP'!$C$5:$H$4646,2,0),""))</f>
        <v>CONCRETAGEM DE BLOCO DE COROAMENTO OU VIGA BALDRAME, FCK 30 MPA, COM USO DE BOMBA - LANÇAMENTO, ADENSAMENTO E ACABAMENTO. AF_01/2024</v>
      </c>
      <c r="E174" s="1447" t="str">
        <f>IFERROR(VLOOKUP($B174,'24.08_ND'!$A:$D,3,0),IFERROR(VLOOKUP($B174,'03-CP'!$C$5:$H$4646,3,0),""))</f>
        <v>M3</v>
      </c>
      <c r="F174" s="306">
        <v>0.17</v>
      </c>
      <c r="G174" s="303"/>
      <c r="H174" s="303"/>
      <c r="I174" s="1525"/>
      <c r="J174" s="1526"/>
      <c r="K174" s="1320"/>
      <c r="L174" s="1297" t="s">
        <v>16202</v>
      </c>
      <c r="M174" s="303"/>
      <c r="N174" s="1549"/>
      <c r="O174" s="1446"/>
      <c r="P174" s="1547"/>
      <c r="Q174" s="1550"/>
      <c r="R174" s="1549"/>
      <c r="S174" s="1549"/>
      <c r="T174" s="1549"/>
      <c r="U174" s="1526"/>
      <c r="V174" s="1320"/>
      <c r="W174" s="1320"/>
      <c r="X174" s="1320"/>
      <c r="Y174" s="1320"/>
      <c r="Z174" s="1320"/>
    </row>
    <row r="175" spans="1:26" ht="25.5" outlineLevel="1">
      <c r="A175" s="240" t="s">
        <v>13261</v>
      </c>
      <c r="B175" s="303">
        <v>98555</v>
      </c>
      <c r="C175" s="303" t="s">
        <v>14476</v>
      </c>
      <c r="D175" s="1446" t="str">
        <f>IFERROR(VLOOKUP($B175,'24.08_ND'!$A$4833:$D$12369,2,0),IFERROR(VLOOKUP($B175,'03-CP'!$C$5:$H$4646,2,0),""))</f>
        <v>IMPERMEABILIZAÇÃO DE SUPERFÍCIE COM ARGAMASSA POLIMÉRICA / MEMBRANA ACRÍLICA, 3 DEMÃOS. AF_09/2023</v>
      </c>
      <c r="E175" s="1447" t="str">
        <f>IFERROR(VLOOKUP($B175,'24.08_ND'!$A:$D,3,0),IFERROR(VLOOKUP($B175,'03-CP'!$C$5:$H$4646,3,0),""))</f>
        <v>M2</v>
      </c>
      <c r="F175" s="306">
        <v>2.2599999999999998</v>
      </c>
      <c r="G175" s="303"/>
      <c r="H175" s="303"/>
      <c r="I175" s="1525"/>
      <c r="J175" s="1526"/>
      <c r="K175" s="1320"/>
      <c r="L175" s="1297" t="s">
        <v>16202</v>
      </c>
      <c r="M175" s="303"/>
      <c r="N175" s="1549"/>
      <c r="O175" s="1446"/>
      <c r="P175" s="1547"/>
      <c r="Q175" s="1550"/>
      <c r="R175" s="1549"/>
      <c r="S175" s="1549"/>
      <c r="T175" s="1549"/>
      <c r="U175" s="1526"/>
      <c r="V175" s="1320"/>
      <c r="W175" s="1320"/>
      <c r="X175" s="1320"/>
      <c r="Y175" s="1320"/>
      <c r="Z175" s="1320"/>
    </row>
    <row r="176" spans="1:26" ht="12.75" outlineLevel="1">
      <c r="A176" s="1529" t="s">
        <v>13262</v>
      </c>
      <c r="B176" s="1530"/>
      <c r="C176" s="1530"/>
      <c r="D176" s="1531" t="s">
        <v>16373</v>
      </c>
      <c r="E176" s="1532"/>
      <c r="F176" s="1533"/>
      <c r="G176" s="1531"/>
      <c r="H176" s="1531"/>
      <c r="I176" s="1535"/>
      <c r="J176" s="512"/>
      <c r="K176" s="262"/>
      <c r="L176" s="386"/>
      <c r="M176" s="262"/>
      <c r="N176" s="262"/>
      <c r="O176" s="262"/>
      <c r="P176" s="262"/>
      <c r="Q176" s="262"/>
      <c r="R176" s="262"/>
      <c r="S176" s="262"/>
      <c r="T176" s="262"/>
      <c r="U176" s="262"/>
      <c r="V176" s="262"/>
      <c r="W176" s="262"/>
      <c r="X176" s="262"/>
      <c r="Y176" s="262"/>
      <c r="Z176" s="262"/>
    </row>
    <row r="177" spans="1:26" ht="38.25" outlineLevel="1">
      <c r="A177" s="240" t="s">
        <v>13263</v>
      </c>
      <c r="B177" s="303" t="s">
        <v>14588</v>
      </c>
      <c r="C177" s="386" t="s">
        <v>14472</v>
      </c>
      <c r="D177" s="1446" t="str">
        <f>IFERROR(VLOOKUP($B177,'24.08_ND'!$A$4833:$D$12369,2,0),IFERROR(VLOOKUP($B177,'03-CP'!$C$5:$H$4646,2,0),""))</f>
        <v>ESTACA ESCAVADA MECANICAMENTE, SEM FLUIDO ESTABILIZANTE, COM 40CM DE DIÂMETRO. (EXCLUSIVE MOBILIZAÇÃO E DESMOBILIZAÇÃO, ARMADURA, CONCRETAGEM E DESCARTE DO SOLO)</v>
      </c>
      <c r="E177" s="1447" t="str">
        <f>IFERROR(VLOOKUP($B177,'24.08_ND'!$A:$D,3,0),IFERROR(VLOOKUP($B177,'03-CP'!$C$5:$H$4646,3,0),""))</f>
        <v>M</v>
      </c>
      <c r="F177" s="306">
        <v>3</v>
      </c>
      <c r="G177" s="303"/>
      <c r="H177" s="303"/>
      <c r="I177" s="1525"/>
      <c r="J177" s="512"/>
      <c r="K177" s="262"/>
      <c r="L177" s="1297" t="s">
        <v>16202</v>
      </c>
      <c r="M177" s="262"/>
      <c r="N177" s="262"/>
      <c r="O177" s="262"/>
      <c r="P177" s="262"/>
      <c r="Q177" s="262"/>
      <c r="R177" s="262"/>
      <c r="S177" s="262"/>
      <c r="T177" s="262"/>
      <c r="U177" s="262"/>
      <c r="V177" s="262"/>
      <c r="W177" s="262"/>
      <c r="X177" s="262"/>
      <c r="Y177" s="262"/>
      <c r="Z177" s="262"/>
    </row>
    <row r="178" spans="1:26" ht="25.5" outlineLevel="1">
      <c r="A178" s="240" t="s">
        <v>13264</v>
      </c>
      <c r="B178" s="1543">
        <v>101616</v>
      </c>
      <c r="C178" s="303" t="s">
        <v>14476</v>
      </c>
      <c r="D178" s="1446" t="str">
        <f>IFERROR(VLOOKUP($B178,'24.08_ND'!$A$4833:$D$12369,2,0),IFERROR(VLOOKUP($B178,'03-CP'!$C$5:$H$4646,2,0),""))</f>
        <v>PREPARO DE FUNDO DE VALA COM LARGURA MENOR QUE 1,5 M (ACERTO DO SOLO NATURAL). AF_08/2020</v>
      </c>
      <c r="E178" s="1447" t="str">
        <f>IFERROR(VLOOKUP($B178,'24.08_ND'!$A:$D,3,0),IFERROR(VLOOKUP($B178,'03-CP'!$C$5:$H$4646,3,0),""))</f>
        <v>M2</v>
      </c>
      <c r="F178" s="306">
        <v>0.25</v>
      </c>
      <c r="G178" s="303"/>
      <c r="H178" s="303"/>
      <c r="I178" s="1525"/>
      <c r="J178" s="512"/>
      <c r="K178" s="262"/>
      <c r="L178" s="1297" t="s">
        <v>16202</v>
      </c>
      <c r="M178" s="262"/>
      <c r="N178" s="262"/>
      <c r="O178" s="262"/>
      <c r="P178" s="262"/>
      <c r="Q178" s="262"/>
      <c r="R178" s="262"/>
      <c r="S178" s="262"/>
      <c r="T178" s="262"/>
      <c r="U178" s="262"/>
      <c r="V178" s="262"/>
      <c r="W178" s="262"/>
      <c r="X178" s="262"/>
      <c r="Y178" s="262"/>
      <c r="Z178" s="262"/>
    </row>
    <row r="179" spans="1:26" ht="38.25" outlineLevel="1">
      <c r="A179" s="240" t="s">
        <v>13265</v>
      </c>
      <c r="B179" s="1543">
        <v>96557</v>
      </c>
      <c r="C179" s="303" t="s">
        <v>14476</v>
      </c>
      <c r="D179" s="1446" t="str">
        <f>IFERROR(VLOOKUP($B179,'24.08_ND'!$A$4833:$D$12369,2,0),IFERROR(VLOOKUP($B179,'03-CP'!$C$5:$H$4646,2,0),""))</f>
        <v>CONCRETAGEM DE BLOCO DE COROAMENTO OU VIGA BALDRAME, FCK 30 MPA, COM USO DE BOMBA - LANÇAMENTO, ADENSAMENTO E ACABAMENTO. AF_01/2024</v>
      </c>
      <c r="E179" s="1447" t="str">
        <f>IFERROR(VLOOKUP($B179,'24.08_ND'!$A:$D,3,0),IFERROR(VLOOKUP($B179,'03-CP'!$C$5:$H$4646,3,0),""))</f>
        <v>M3</v>
      </c>
      <c r="F179" s="306">
        <v>0.38</v>
      </c>
      <c r="G179" s="303"/>
      <c r="H179" s="303"/>
      <c r="I179" s="1525"/>
      <c r="J179" s="512"/>
      <c r="K179" s="262"/>
      <c r="L179" s="1297" t="s">
        <v>16202</v>
      </c>
      <c r="M179" s="262"/>
      <c r="N179" s="262"/>
      <c r="O179" s="262"/>
      <c r="P179" s="262"/>
      <c r="Q179" s="262"/>
      <c r="R179" s="262"/>
      <c r="S179" s="262"/>
      <c r="T179" s="262"/>
      <c r="U179" s="262"/>
      <c r="V179" s="262"/>
      <c r="W179" s="262"/>
      <c r="X179" s="262"/>
      <c r="Y179" s="262"/>
      <c r="Z179" s="262"/>
    </row>
    <row r="180" spans="1:26" ht="25.5" outlineLevel="1">
      <c r="A180" s="240" t="s">
        <v>13266</v>
      </c>
      <c r="B180" s="1543">
        <v>95577</v>
      </c>
      <c r="C180" s="303" t="s">
        <v>14476</v>
      </c>
      <c r="D180" s="1446" t="str">
        <f>IFERROR(VLOOKUP($B180,'24.08_ND'!$A$4833:$D$12369,2,0),IFERROR(VLOOKUP($B180,'03-CP'!$C$5:$H$4646,2,0),""))</f>
        <v>MONTAGEM DE ARMADURA DE ESTACAS, DIÂMETRO = 10,0 MM. AF_09/2021_PS</v>
      </c>
      <c r="E180" s="1447" t="str">
        <f>IFERROR(VLOOKUP($B180,'24.08_ND'!$A:$D,3,0),IFERROR(VLOOKUP($B180,'03-CP'!$C$5:$H$4646,3,0),""))</f>
        <v>KG</v>
      </c>
      <c r="F180" s="306">
        <v>6.91</v>
      </c>
      <c r="G180" s="303"/>
      <c r="H180" s="303"/>
      <c r="I180" s="1525"/>
      <c r="J180" s="512"/>
      <c r="K180" s="262"/>
      <c r="L180" s="1297" t="s">
        <v>16202</v>
      </c>
      <c r="M180" s="262"/>
      <c r="N180" s="262"/>
      <c r="O180" s="262"/>
      <c r="P180" s="262"/>
      <c r="Q180" s="262"/>
      <c r="R180" s="262"/>
      <c r="S180" s="262"/>
      <c r="T180" s="262"/>
      <c r="U180" s="262"/>
      <c r="V180" s="262"/>
      <c r="W180" s="262"/>
      <c r="X180" s="262"/>
      <c r="Y180" s="262"/>
      <c r="Z180" s="262"/>
    </row>
    <row r="181" spans="1:26" ht="25.5" outlineLevel="1">
      <c r="A181" s="240" t="s">
        <v>13267</v>
      </c>
      <c r="B181" s="1543">
        <v>95593</v>
      </c>
      <c r="C181" s="303" t="s">
        <v>14476</v>
      </c>
      <c r="D181" s="1446" t="str">
        <f>IFERROR(VLOOKUP($B181,'24.08_ND'!$A$4833:$D$12369,2,0),IFERROR(VLOOKUP($B181,'03-CP'!$C$5:$H$4646,2,0),""))</f>
        <v>MONTAGEM DE ARMADURA TRANSVERSAL DE ESTACAS DE SEÇÃO RETANGULAR, DIÂMETRO = 6,30 MM. AF_09/2021_PS</v>
      </c>
      <c r="E181" s="1447" t="str">
        <f>IFERROR(VLOOKUP($B181,'24.08_ND'!$A:$D,3,0),IFERROR(VLOOKUP($B181,'03-CP'!$C$5:$H$4646,3,0),""))</f>
        <v>KG</v>
      </c>
      <c r="F181" s="306">
        <v>3.09</v>
      </c>
      <c r="G181" s="303"/>
      <c r="H181" s="303"/>
      <c r="I181" s="1525"/>
      <c r="J181" s="512"/>
      <c r="K181" s="262"/>
      <c r="L181" s="1297" t="s">
        <v>16202</v>
      </c>
      <c r="M181" s="262"/>
      <c r="N181" s="262"/>
      <c r="O181" s="262"/>
      <c r="P181" s="262"/>
      <c r="Q181" s="262"/>
      <c r="R181" s="262"/>
      <c r="S181" s="262"/>
      <c r="T181" s="262"/>
      <c r="U181" s="262"/>
      <c r="V181" s="262"/>
      <c r="W181" s="262"/>
      <c r="X181" s="262"/>
      <c r="Y181" s="262"/>
      <c r="Z181" s="262"/>
    </row>
    <row r="182" spans="1:26" ht="51" outlineLevel="1">
      <c r="A182" s="1527" t="s">
        <v>13268</v>
      </c>
      <c r="B182" s="295">
        <v>100978</v>
      </c>
      <c r="C182" s="295" t="s">
        <v>14476</v>
      </c>
      <c r="D182" s="658" t="str">
        <f>IFERROR(VLOOKUP($B182,'24.08_ND'!$A$4833:$D$12369,2,0),IFERROR(VLOOKUP($B182,'03-CP'!$C$5:$H$4646,2,0),""))</f>
        <v>CARGA, MANOBRA E DESCARGA DE SOLOS E MATERIAIS GRANULARES EM CAMINHÃO BASCULANTE 10 M³ - CARGA COM ESCAVADEIRA HIDRÁULICA (CAÇAMBA DE 1,20 M³ / 155 HP) E DESCARGA LIVRE (UNIDADE: M3). AF_07/2020</v>
      </c>
      <c r="E182" s="1318" t="str">
        <f>IFERROR(VLOOKUP($B182,'24.08_ND'!$A:$D,3,0),IFERROR(VLOOKUP($B182,'03-CP'!$C$5:$H$4646,3,0),""))</f>
        <v>M3</v>
      </c>
      <c r="F182" s="298">
        <f>D186</f>
        <v>0.53199999999999992</v>
      </c>
      <c r="G182" s="295"/>
      <c r="H182" s="295"/>
      <c r="I182" s="1319"/>
      <c r="J182" s="295"/>
      <c r="K182" s="295"/>
      <c r="L182" s="1528" t="s">
        <v>16202</v>
      </c>
      <c r="M182" s="262"/>
      <c r="N182" s="262"/>
      <c r="O182" s="262"/>
      <c r="P182" s="262"/>
      <c r="Q182" s="262"/>
      <c r="R182" s="262"/>
      <c r="S182" s="1320"/>
      <c r="T182" s="1320"/>
      <c r="U182" s="1320"/>
      <c r="V182" s="1320"/>
      <c r="W182" s="1320"/>
      <c r="X182" s="1320"/>
      <c r="Y182" s="1320"/>
      <c r="Z182" s="1320"/>
    </row>
    <row r="183" spans="1:26" ht="12.75" hidden="1" outlineLevel="1">
      <c r="A183" s="1321"/>
      <c r="B183" s="1322" t="s">
        <v>16206</v>
      </c>
      <c r="C183" s="1323" t="s">
        <v>16207</v>
      </c>
      <c r="D183" s="1324" t="s">
        <v>16208</v>
      </c>
      <c r="E183" s="1334"/>
      <c r="F183" s="1335"/>
      <c r="G183" s="1327"/>
      <c r="H183" s="1327"/>
      <c r="I183" s="1328"/>
      <c r="J183" s="1327"/>
      <c r="K183" s="1327"/>
      <c r="L183" s="1327"/>
      <c r="M183" s="262"/>
      <c r="N183" s="262"/>
      <c r="O183" s="262"/>
      <c r="P183" s="262"/>
      <c r="Q183" s="262"/>
      <c r="R183" s="262"/>
      <c r="S183" s="1320"/>
      <c r="T183" s="1320"/>
      <c r="U183" s="1320"/>
      <c r="V183" s="1320"/>
      <c r="W183" s="1320"/>
      <c r="X183" s="1320"/>
      <c r="Y183" s="1320"/>
      <c r="Z183" s="1320"/>
    </row>
    <row r="184" spans="1:26" ht="12.75" hidden="1" outlineLevel="1">
      <c r="A184" s="1321"/>
      <c r="B184" s="1336">
        <f>F179</f>
        <v>0.38</v>
      </c>
      <c r="C184" s="1327">
        <v>1.4</v>
      </c>
      <c r="D184" s="1337">
        <f>B184*C184</f>
        <v>0.53199999999999992</v>
      </c>
      <c r="E184" s="1338"/>
      <c r="F184" s="1339"/>
      <c r="G184" s="1327"/>
      <c r="H184" s="1327"/>
      <c r="I184" s="1328"/>
      <c r="J184" s="1327"/>
      <c r="K184" s="1327"/>
      <c r="L184" s="1327"/>
      <c r="M184" s="262"/>
      <c r="N184" s="262"/>
      <c r="O184" s="262"/>
      <c r="P184" s="262"/>
      <c r="Q184" s="262"/>
      <c r="R184" s="262"/>
      <c r="S184" s="1320"/>
      <c r="T184" s="1320"/>
      <c r="U184" s="1320"/>
      <c r="V184" s="1320"/>
      <c r="W184" s="1320"/>
      <c r="X184" s="1320"/>
      <c r="Y184" s="1320"/>
      <c r="Z184" s="1320"/>
    </row>
    <row r="185" spans="1:26" ht="12.75" hidden="1" outlineLevel="1">
      <c r="A185" s="1321"/>
      <c r="B185" s="1340" t="s">
        <v>16209</v>
      </c>
      <c r="C185" s="1327" t="s">
        <v>16205</v>
      </c>
      <c r="D185" s="1341" t="s">
        <v>16210</v>
      </c>
      <c r="E185" s="1338"/>
      <c r="F185" s="1339"/>
      <c r="G185" s="1327"/>
      <c r="H185" s="1327"/>
      <c r="I185" s="1328"/>
      <c r="J185" s="1327"/>
      <c r="K185" s="1327"/>
      <c r="L185" s="1327"/>
      <c r="M185" s="262"/>
      <c r="N185" s="262"/>
      <c r="O185" s="262"/>
      <c r="P185" s="262"/>
      <c r="Q185" s="262"/>
      <c r="R185" s="262"/>
      <c r="S185" s="1320"/>
      <c r="T185" s="1320"/>
      <c r="U185" s="1320"/>
      <c r="V185" s="1320"/>
      <c r="W185" s="1320"/>
      <c r="X185" s="1320"/>
      <c r="Y185" s="1320"/>
      <c r="Z185" s="1320"/>
    </row>
    <row r="186" spans="1:26" ht="12.75" hidden="1" outlineLevel="1">
      <c r="A186" s="1321"/>
      <c r="B186" s="1329">
        <f>D184</f>
        <v>0.53199999999999992</v>
      </c>
      <c r="C186" s="1330">
        <v>0</v>
      </c>
      <c r="D186" s="1365">
        <f>B186-C186</f>
        <v>0.53199999999999992</v>
      </c>
      <c r="E186" s="1344"/>
      <c r="F186" s="1345"/>
      <c r="G186" s="1327"/>
      <c r="H186" s="1327"/>
      <c r="I186" s="1328"/>
      <c r="J186" s="1327"/>
      <c r="K186" s="1327"/>
      <c r="L186" s="1327"/>
      <c r="M186" s="262"/>
      <c r="N186" s="262"/>
      <c r="O186" s="262"/>
      <c r="P186" s="262"/>
      <c r="Q186" s="262"/>
      <c r="R186" s="262"/>
      <c r="S186" s="1320"/>
      <c r="T186" s="1320"/>
      <c r="U186" s="1320"/>
      <c r="V186" s="1320"/>
      <c r="W186" s="1320"/>
      <c r="X186" s="1320"/>
      <c r="Y186" s="1320"/>
      <c r="Z186" s="1320"/>
    </row>
    <row r="187" spans="1:26" ht="25.5" outlineLevel="1">
      <c r="A187" s="1527" t="s">
        <v>13269</v>
      </c>
      <c r="B187" s="295">
        <v>100938</v>
      </c>
      <c r="C187" s="295" t="s">
        <v>14476</v>
      </c>
      <c r="D187" s="658" t="str">
        <f>IFERROR(VLOOKUP($B187,'24.08_ND'!$A$4833:$D$12369,2,0),IFERROR(VLOOKUP($B187,'03-CP'!$C$5:$H$4646,2,0),""))</f>
        <v>TRANSPORTE COM CAMINHÃO BASCULANTE DE 10 M³, EM VIA INTERNA (DENTRO DO CANTEIRO - UNIDADE: M3XKM). AF_07/2020</v>
      </c>
      <c r="E187" s="1318" t="str">
        <f>IFERROR(VLOOKUP($B187,'24.08_ND'!$A:$D,3,0),IFERROR(VLOOKUP($B187,'03-CP'!$C$5:$H$4646,3,0),""))</f>
        <v>M3XKM</v>
      </c>
      <c r="F187" s="298">
        <f>F189</f>
        <v>1.0639999999999998</v>
      </c>
      <c r="G187" s="295"/>
      <c r="H187" s="295"/>
      <c r="I187" s="1319"/>
      <c r="J187" s="295"/>
      <c r="K187" s="295"/>
      <c r="L187" s="1528" t="s">
        <v>16202</v>
      </c>
      <c r="M187" s="262"/>
      <c r="N187" s="262"/>
      <c r="O187" s="262"/>
      <c r="P187" s="262"/>
      <c r="Q187" s="262"/>
      <c r="R187" s="262"/>
      <c r="S187" s="1320"/>
      <c r="T187" s="1320"/>
      <c r="U187" s="1320"/>
      <c r="V187" s="1320"/>
      <c r="W187" s="1320"/>
      <c r="X187" s="1320"/>
      <c r="Y187" s="1320"/>
      <c r="Z187" s="1320"/>
    </row>
    <row r="188" spans="1:26" ht="12.75" hidden="1" outlineLevel="1">
      <c r="A188" s="1346"/>
      <c r="B188" s="1322"/>
      <c r="C188" s="1334"/>
      <c r="D188" s="1325" t="s">
        <v>16211</v>
      </c>
      <c r="E188" s="1347" t="s">
        <v>16212</v>
      </c>
      <c r="F188" s="1348" t="s">
        <v>16213</v>
      </c>
      <c r="G188" s="1349"/>
      <c r="H188" s="1349"/>
      <c r="I188" s="1350"/>
      <c r="J188" s="1351"/>
      <c r="K188" s="1352"/>
      <c r="L188" s="1353"/>
      <c r="M188" s="948"/>
      <c r="N188" s="262"/>
      <c r="O188" s="262"/>
      <c r="P188" s="262"/>
      <c r="Q188" s="262"/>
      <c r="R188" s="262"/>
      <c r="S188" s="262"/>
      <c r="T188" s="262"/>
      <c r="U188" s="262"/>
      <c r="V188" s="262"/>
      <c r="W188" s="262"/>
      <c r="X188" s="262"/>
      <c r="Y188" s="262"/>
      <c r="Z188" s="262"/>
    </row>
    <row r="189" spans="1:26" ht="12.75" hidden="1" outlineLevel="1">
      <c r="A189" s="1346"/>
      <c r="B189" s="1329"/>
      <c r="C189" s="1344"/>
      <c r="D189" s="1332">
        <f>D186</f>
        <v>0.53199999999999992</v>
      </c>
      <c r="E189" s="1355">
        <v>2</v>
      </c>
      <c r="F189" s="1356">
        <f>D189*E189</f>
        <v>1.0639999999999998</v>
      </c>
      <c r="G189" s="1349"/>
      <c r="H189" s="1349"/>
      <c r="I189" s="1350"/>
      <c r="J189" s="1351"/>
      <c r="K189" s="1352"/>
      <c r="L189" s="1353"/>
      <c r="M189" s="948"/>
      <c r="N189" s="262"/>
      <c r="O189" s="262"/>
      <c r="P189" s="262"/>
      <c r="Q189" s="262"/>
      <c r="R189" s="262"/>
      <c r="S189" s="262"/>
      <c r="T189" s="262"/>
      <c r="U189" s="262"/>
      <c r="V189" s="262"/>
      <c r="W189" s="262"/>
      <c r="X189" s="262"/>
      <c r="Y189" s="262"/>
      <c r="Z189" s="262"/>
    </row>
    <row r="190" spans="1:26" ht="12.75" outlineLevel="1">
      <c r="A190" s="1529" t="s">
        <v>13270</v>
      </c>
      <c r="B190" s="1530"/>
      <c r="C190" s="1530"/>
      <c r="D190" s="1531" t="s">
        <v>16374</v>
      </c>
      <c r="E190" s="1532"/>
      <c r="F190" s="1533"/>
      <c r="G190" s="1531"/>
      <c r="H190" s="1531"/>
      <c r="I190" s="1535"/>
      <c r="J190" s="512"/>
      <c r="K190" s="262"/>
      <c r="L190" s="386"/>
      <c r="M190" s="262"/>
      <c r="N190" s="262"/>
      <c r="O190" s="262"/>
      <c r="P190" s="262"/>
      <c r="Q190" s="262"/>
      <c r="R190" s="262"/>
      <c r="S190" s="262"/>
      <c r="T190" s="262"/>
      <c r="U190" s="262"/>
      <c r="V190" s="262"/>
      <c r="W190" s="262"/>
      <c r="X190" s="262"/>
      <c r="Y190" s="262"/>
      <c r="Z190" s="262"/>
    </row>
    <row r="191" spans="1:26" ht="38.25" outlineLevel="1">
      <c r="A191" s="240" t="s">
        <v>13271</v>
      </c>
      <c r="B191" s="1543">
        <v>92468</v>
      </c>
      <c r="C191" s="303" t="s">
        <v>14476</v>
      </c>
      <c r="D191" s="1446" t="str">
        <f>IFERROR(VLOOKUP($B191,'24.08_ND'!$A$4833:$D$12369,2,0),IFERROR(VLOOKUP($B191,'03-CP'!$C$5:$H$4646,2,0),""))</f>
        <v>MONTAGEM E DESMONTAGEM DE FÔRMA DE VIGA, ESCORAMENTO METÁLICO, PÉ-DIREITO SIMPLES, EM CHAPA DE MADEIRA PLASTIFICADA, 10 UTILIZAÇÕES. AF_09/2020</v>
      </c>
      <c r="E191" s="1447" t="str">
        <f>IFERROR(VLOOKUP($B191,'24.08_ND'!$A:$D,3,0),IFERROR(VLOOKUP($B191,'03-CP'!$C$5:$H$4646,3,0),""))</f>
        <v>M2</v>
      </c>
      <c r="F191" s="306">
        <v>24.54</v>
      </c>
      <c r="G191" s="303"/>
      <c r="H191" s="303"/>
      <c r="I191" s="1525"/>
      <c r="J191" s="1526"/>
      <c r="K191" s="1320"/>
      <c r="L191" s="1297" t="s">
        <v>16202</v>
      </c>
      <c r="M191" s="1320"/>
      <c r="N191" s="1320"/>
      <c r="O191" s="1320"/>
      <c r="P191" s="1320"/>
      <c r="Q191" s="1320"/>
      <c r="R191" s="1320"/>
      <c r="S191" s="1320"/>
      <c r="T191" s="1320"/>
      <c r="U191" s="1320"/>
      <c r="V191" s="1320"/>
      <c r="W191" s="1320"/>
      <c r="X191" s="1320"/>
      <c r="Y191" s="1320"/>
      <c r="Z191" s="1320"/>
    </row>
    <row r="192" spans="1:26" ht="38.25" outlineLevel="1">
      <c r="A192" s="240" t="s">
        <v>13272</v>
      </c>
      <c r="B192" s="1543">
        <v>92759</v>
      </c>
      <c r="C192" s="303" t="s">
        <v>14476</v>
      </c>
      <c r="D192" s="1446" t="str">
        <f>IFERROR(VLOOKUP($B192,'24.08_ND'!$A$4833:$D$12369,2,0),IFERROR(VLOOKUP($B192,'03-CP'!$C$5:$H$4646,2,0),""))</f>
        <v>ARMAÇÃO DE PILAR OU VIGA DE ESTRUTURA CONVENCIONAL DE CONCRETO ARMADO UTILIZANDO AÇO CA-60 DE 5,0 MM - MONTAGEM. AF_06/2022</v>
      </c>
      <c r="E192" s="1447" t="str">
        <f>IFERROR(VLOOKUP($B192,'24.08_ND'!$A:$D,3,0),IFERROR(VLOOKUP($B192,'03-CP'!$C$5:$H$4646,3,0),""))</f>
        <v>KG</v>
      </c>
      <c r="F192" s="306">
        <v>32.67</v>
      </c>
      <c r="G192" s="303"/>
      <c r="H192" s="303"/>
      <c r="I192" s="1525"/>
      <c r="J192" s="1526"/>
      <c r="K192" s="1320"/>
      <c r="L192" s="1297" t="s">
        <v>16202</v>
      </c>
      <c r="M192" s="1320"/>
      <c r="N192" s="1320"/>
      <c r="O192" s="1320"/>
      <c r="P192" s="1320"/>
      <c r="Q192" s="1320"/>
      <c r="R192" s="1320"/>
      <c r="S192" s="1320"/>
      <c r="T192" s="1320"/>
      <c r="U192" s="1320"/>
      <c r="V192" s="1320"/>
      <c r="W192" s="1320"/>
      <c r="X192" s="1320"/>
      <c r="Y192" s="1320"/>
      <c r="Z192" s="1320"/>
    </row>
    <row r="193" spans="1:26" ht="38.25" outlineLevel="1">
      <c r="A193" s="240" t="s">
        <v>13273</v>
      </c>
      <c r="B193" s="1543">
        <v>92762</v>
      </c>
      <c r="C193" s="303" t="s">
        <v>14476</v>
      </c>
      <c r="D193" s="1446" t="str">
        <f>IFERROR(VLOOKUP($B193,'24.08_ND'!$A$4833:$D$12369,2,0),IFERROR(VLOOKUP($B193,'03-CP'!$C$5:$H$4646,2,0),""))</f>
        <v>ARMAÇÃO DE PILAR OU VIGA DE ESTRUTURA CONVENCIONAL DE CONCRETO ARMADO UTILIZANDO AÇO CA-50 DE 10,0 MM - MONTAGEM. AF_06/2022</v>
      </c>
      <c r="E193" s="1447" t="str">
        <f>IFERROR(VLOOKUP($B193,'24.08_ND'!$A:$D,3,0),IFERROR(VLOOKUP($B193,'03-CP'!$C$5:$H$4646,3,0),""))</f>
        <v>KG</v>
      </c>
      <c r="F193" s="306">
        <v>78.67</v>
      </c>
      <c r="G193" s="303"/>
      <c r="H193" s="303"/>
      <c r="I193" s="1525"/>
      <c r="J193" s="1526"/>
      <c r="K193" s="1320"/>
      <c r="L193" s="1297" t="s">
        <v>16202</v>
      </c>
      <c r="M193" s="1320"/>
      <c r="N193" s="1320"/>
      <c r="O193" s="1320"/>
      <c r="P193" s="1320"/>
      <c r="Q193" s="1320"/>
      <c r="R193" s="1320"/>
      <c r="S193" s="1320"/>
      <c r="T193" s="1320"/>
      <c r="U193" s="1320"/>
      <c r="V193" s="1320"/>
      <c r="W193" s="1320"/>
      <c r="X193" s="1320"/>
      <c r="Y193" s="1320"/>
      <c r="Z193" s="1320"/>
    </row>
    <row r="194" spans="1:26" ht="38.25" outlineLevel="1">
      <c r="A194" s="240" t="s">
        <v>13274</v>
      </c>
      <c r="B194" s="1543" t="s">
        <v>14622</v>
      </c>
      <c r="C194" s="303" t="s">
        <v>14472</v>
      </c>
      <c r="D194" s="1446" t="str">
        <f>IFERROR(VLOOKUP($B194,'24.08_ND'!$A$4833:$D$12369,2,0),IFERROR(VLOOKUP($B194,'03-CP'!$C$5:$H$4646,2,0),""))</f>
        <v>CONCRETAGEM DE VIGAS E LAJES, FCK=30 MPA, PARA LAJES MACIÇAS OU NERVURADAS COM USO DE BOMBAS - LANÇAMENTO, ADENSAMENTO E ACABAMENTO</v>
      </c>
      <c r="E194" s="1447" t="str">
        <f>IFERROR(VLOOKUP($B194,'24.08_ND'!$A:$D,3,0),IFERROR(VLOOKUP($B194,'03-CP'!$C$5:$H$4646,3,0),""))</f>
        <v>M3</v>
      </c>
      <c r="F194" s="306">
        <v>2.4500000000000002</v>
      </c>
      <c r="G194" s="303"/>
      <c r="H194" s="303"/>
      <c r="I194" s="1525"/>
      <c r="J194" s="1526"/>
      <c r="K194" s="1320"/>
      <c r="L194" s="1297" t="s">
        <v>16202</v>
      </c>
      <c r="M194" s="1320"/>
      <c r="N194" s="1320"/>
      <c r="O194" s="1320"/>
      <c r="P194" s="1320"/>
      <c r="Q194" s="1320"/>
      <c r="R194" s="1320"/>
      <c r="S194" s="1320"/>
      <c r="T194" s="1320"/>
      <c r="U194" s="1320"/>
      <c r="V194" s="1320"/>
      <c r="W194" s="1320"/>
      <c r="X194" s="1320"/>
      <c r="Y194" s="1320"/>
      <c r="Z194" s="1320"/>
    </row>
    <row r="195" spans="1:26" ht="12.75" outlineLevel="1">
      <c r="A195" s="1529" t="s">
        <v>13275</v>
      </c>
      <c r="B195" s="1530"/>
      <c r="C195" s="1530"/>
      <c r="D195" s="1531" t="s">
        <v>16375</v>
      </c>
      <c r="E195" s="1532"/>
      <c r="F195" s="1533"/>
      <c r="G195" s="1531"/>
      <c r="H195" s="1531"/>
      <c r="I195" s="1535"/>
      <c r="J195" s="512"/>
      <c r="K195" s="262"/>
      <c r="L195" s="386"/>
      <c r="M195" s="262"/>
      <c r="N195" s="262"/>
      <c r="O195" s="262"/>
      <c r="P195" s="262"/>
      <c r="Q195" s="262"/>
      <c r="R195" s="262"/>
      <c r="S195" s="262"/>
      <c r="T195" s="262"/>
      <c r="U195" s="262"/>
      <c r="V195" s="262"/>
      <c r="W195" s="262"/>
      <c r="X195" s="262"/>
      <c r="Y195" s="262"/>
      <c r="Z195" s="262"/>
    </row>
    <row r="196" spans="1:26" ht="38.25" outlineLevel="1">
      <c r="A196" s="240" t="s">
        <v>13276</v>
      </c>
      <c r="B196" s="1543">
        <v>92468</v>
      </c>
      <c r="C196" s="303" t="s">
        <v>14476</v>
      </c>
      <c r="D196" s="1446" t="str">
        <f>IFERROR(VLOOKUP($B196,'24.08_ND'!$A$4833:$D$12369,2,0),IFERROR(VLOOKUP($B196,'03-CP'!$C$5:$H$4646,2,0),""))</f>
        <v>MONTAGEM E DESMONTAGEM DE FÔRMA DE VIGA, ESCORAMENTO METÁLICO, PÉ-DIREITO SIMPLES, EM CHAPA DE MADEIRA PLASTIFICADA, 10 UTILIZAÇÕES. AF_09/2020</v>
      </c>
      <c r="E196" s="1447" t="str">
        <f>IFERROR(VLOOKUP($B196,'24.08_ND'!$A:$D,3,0),IFERROR(VLOOKUP($B196,'03-CP'!$C$5:$H$4646,3,0),""))</f>
        <v>M2</v>
      </c>
      <c r="F196" s="306">
        <v>32.54</v>
      </c>
      <c r="G196" s="303"/>
      <c r="H196" s="303"/>
      <c r="I196" s="1525"/>
      <c r="J196" s="1526"/>
      <c r="K196" s="1320"/>
      <c r="L196" s="1297" t="s">
        <v>16202</v>
      </c>
      <c r="M196" s="1320"/>
      <c r="N196" s="1320"/>
      <c r="O196" s="1320"/>
      <c r="P196" s="1320"/>
      <c r="Q196" s="1320"/>
      <c r="R196" s="1320"/>
      <c r="S196" s="1320"/>
      <c r="T196" s="1320"/>
      <c r="U196" s="1320"/>
      <c r="V196" s="1320"/>
      <c r="W196" s="1320"/>
      <c r="X196" s="1320"/>
      <c r="Y196" s="1320"/>
      <c r="Z196" s="1320"/>
    </row>
    <row r="197" spans="1:26" ht="38.25" outlineLevel="1">
      <c r="A197" s="240" t="s">
        <v>13277</v>
      </c>
      <c r="B197" s="1543">
        <v>92759</v>
      </c>
      <c r="C197" s="303" t="s">
        <v>14476</v>
      </c>
      <c r="D197" s="1446" t="str">
        <f>IFERROR(VLOOKUP($B197,'24.08_ND'!$A$4833:$D$12369,2,0),IFERROR(VLOOKUP($B197,'03-CP'!$C$5:$H$4646,2,0),""))</f>
        <v>ARMAÇÃO DE PILAR OU VIGA DE ESTRUTURA CONVENCIONAL DE CONCRETO ARMADO UTILIZANDO AÇO CA-60 DE 5,0 MM - MONTAGEM. AF_06/2022</v>
      </c>
      <c r="E197" s="1447" t="str">
        <f>IFERROR(VLOOKUP($B197,'24.08_ND'!$A:$D,3,0),IFERROR(VLOOKUP($B197,'03-CP'!$C$5:$H$4646,3,0),""))</f>
        <v>KG</v>
      </c>
      <c r="F197" s="306">
        <v>43.04</v>
      </c>
      <c r="G197" s="303"/>
      <c r="H197" s="303"/>
      <c r="I197" s="1525"/>
      <c r="J197" s="1526"/>
      <c r="K197" s="1320"/>
      <c r="L197" s="1297" t="s">
        <v>16202</v>
      </c>
      <c r="M197" s="1320"/>
      <c r="N197" s="1320"/>
      <c r="O197" s="1320"/>
      <c r="P197" s="1320"/>
      <c r="Q197" s="1320"/>
      <c r="R197" s="1320"/>
      <c r="S197" s="1320"/>
      <c r="T197" s="1320"/>
      <c r="U197" s="1320"/>
      <c r="V197" s="1320"/>
      <c r="W197" s="1320"/>
      <c r="X197" s="1320"/>
      <c r="Y197" s="1320"/>
      <c r="Z197" s="1320"/>
    </row>
    <row r="198" spans="1:26" ht="38.25" outlineLevel="1">
      <c r="A198" s="240" t="s">
        <v>13278</v>
      </c>
      <c r="B198" s="1543">
        <v>92762</v>
      </c>
      <c r="C198" s="303" t="s">
        <v>14476</v>
      </c>
      <c r="D198" s="1446" t="str">
        <f>IFERROR(VLOOKUP($B198,'24.08_ND'!$A$4833:$D$12369,2,0),IFERROR(VLOOKUP($B198,'03-CP'!$C$5:$H$4646,2,0),""))</f>
        <v>ARMAÇÃO DE PILAR OU VIGA DE ESTRUTURA CONVENCIONAL DE CONCRETO ARMADO UTILIZANDO AÇO CA-50 DE 10,0 MM - MONTAGEM. AF_06/2022</v>
      </c>
      <c r="E198" s="1447" t="str">
        <f>IFERROR(VLOOKUP($B198,'24.08_ND'!$A:$D,3,0),IFERROR(VLOOKUP($B198,'03-CP'!$C$5:$H$4646,3,0),""))</f>
        <v>KG</v>
      </c>
      <c r="F198" s="306">
        <v>103.56</v>
      </c>
      <c r="G198" s="303"/>
      <c r="H198" s="303"/>
      <c r="I198" s="1525"/>
      <c r="J198" s="1526"/>
      <c r="K198" s="1320"/>
      <c r="L198" s="1297" t="s">
        <v>16202</v>
      </c>
      <c r="M198" s="1320"/>
      <c r="N198" s="1320"/>
      <c r="O198" s="1320"/>
      <c r="P198" s="1320"/>
      <c r="Q198" s="1320"/>
      <c r="R198" s="1320"/>
      <c r="S198" s="1320"/>
      <c r="T198" s="1320"/>
      <c r="U198" s="1320"/>
      <c r="V198" s="1320"/>
      <c r="W198" s="1320"/>
      <c r="X198" s="1320"/>
      <c r="Y198" s="1320"/>
      <c r="Z198" s="1320"/>
    </row>
    <row r="199" spans="1:26" ht="38.25" outlineLevel="1">
      <c r="A199" s="240" t="s">
        <v>13279</v>
      </c>
      <c r="B199" s="1543" t="s">
        <v>14622</v>
      </c>
      <c r="C199" s="303" t="s">
        <v>14472</v>
      </c>
      <c r="D199" s="1446" t="str">
        <f>IFERROR(VLOOKUP($B199,'24.08_ND'!$A$4833:$D$12369,2,0),IFERROR(VLOOKUP($B199,'03-CP'!$C$5:$H$4646,2,0),""))</f>
        <v>CONCRETAGEM DE VIGAS E LAJES, FCK=30 MPA, PARA LAJES MACIÇAS OU NERVURADAS COM USO DE BOMBAS - LANÇAMENTO, ADENSAMENTO E ACABAMENTO</v>
      </c>
      <c r="E199" s="1447" t="str">
        <f>IFERROR(VLOOKUP($B199,'24.08_ND'!$A:$D,3,0),IFERROR(VLOOKUP($B199,'03-CP'!$C$5:$H$4646,3,0),""))</f>
        <v>M3</v>
      </c>
      <c r="F199" s="306">
        <v>3.25</v>
      </c>
      <c r="G199" s="303"/>
      <c r="H199" s="303"/>
      <c r="I199" s="1525"/>
      <c r="J199" s="1526"/>
      <c r="K199" s="1320"/>
      <c r="L199" s="1297" t="s">
        <v>16202</v>
      </c>
      <c r="M199" s="1320"/>
      <c r="N199" s="1320"/>
      <c r="O199" s="1320"/>
      <c r="P199" s="1320"/>
      <c r="Q199" s="1320"/>
      <c r="R199" s="1320"/>
      <c r="S199" s="1320"/>
      <c r="T199" s="1320"/>
      <c r="U199" s="1320"/>
      <c r="V199" s="1320"/>
      <c r="W199" s="1320"/>
      <c r="X199" s="1320"/>
      <c r="Y199" s="1320"/>
      <c r="Z199" s="1320"/>
    </row>
    <row r="200" spans="1:26" ht="12.75" outlineLevel="1">
      <c r="A200" s="1529" t="s">
        <v>13280</v>
      </c>
      <c r="B200" s="1530"/>
      <c r="C200" s="1530"/>
      <c r="D200" s="1531" t="s">
        <v>16376</v>
      </c>
      <c r="E200" s="1532"/>
      <c r="F200" s="1533"/>
      <c r="G200" s="1531"/>
      <c r="H200" s="1531"/>
      <c r="I200" s="1535"/>
      <c r="J200" s="512"/>
      <c r="K200" s="262"/>
      <c r="L200" s="386"/>
      <c r="M200" s="262"/>
      <c r="N200" s="262"/>
      <c r="O200" s="262"/>
      <c r="P200" s="262"/>
      <c r="Q200" s="262"/>
      <c r="R200" s="262"/>
      <c r="S200" s="262"/>
      <c r="T200" s="262"/>
      <c r="U200" s="262"/>
      <c r="V200" s="262"/>
      <c r="W200" s="262"/>
      <c r="X200" s="262"/>
      <c r="Y200" s="262"/>
      <c r="Z200" s="262"/>
    </row>
    <row r="201" spans="1:26" ht="38.25" outlineLevel="1">
      <c r="A201" s="240" t="s">
        <v>13281</v>
      </c>
      <c r="B201" s="1543" t="s">
        <v>14605</v>
      </c>
      <c r="C201" s="303" t="s">
        <v>14472</v>
      </c>
      <c r="D201" s="1446" t="str">
        <f>IFERROR(VLOOKUP($B201,'24.08_ND'!$A$4833:$D$12369,2,0),IFERROR(VLOOKUP($B201,'03-CP'!$C$5:$H$4646,2,0),""))</f>
        <v>ALVENARIA DE BLOCOS DE CONCRETO ESTRUTURAL 19X19X39 CM (ESPESSURA 19 CM) FBK = 8 MPA E ARGAMASSA DE ASSENTAMENTO COM PREPARO EM BETONEIRA</v>
      </c>
      <c r="E201" s="1447" t="str">
        <f>IFERROR(VLOOKUP($B201,'24.08_ND'!$A:$D,3,0),IFERROR(VLOOKUP($B201,'03-CP'!$C$5:$H$4646,3,0),""))</f>
        <v>M2</v>
      </c>
      <c r="F201" s="306">
        <v>76.88</v>
      </c>
      <c r="G201" s="303"/>
      <c r="H201" s="303"/>
      <c r="I201" s="1525"/>
      <c r="J201" s="1526"/>
      <c r="K201" s="1320"/>
      <c r="L201" s="1297" t="s">
        <v>16202</v>
      </c>
      <c r="M201" s="1320"/>
      <c r="N201" s="1320"/>
      <c r="O201" s="1320"/>
      <c r="P201" s="1320"/>
      <c r="Q201" s="1320"/>
      <c r="R201" s="1320"/>
      <c r="S201" s="1320"/>
      <c r="T201" s="1320"/>
      <c r="U201" s="1320"/>
      <c r="V201" s="1320"/>
      <c r="W201" s="1320"/>
      <c r="X201" s="1320"/>
      <c r="Y201" s="1320"/>
      <c r="Z201" s="1320"/>
    </row>
    <row r="202" spans="1:26" ht="12.75" outlineLevel="1">
      <c r="A202" s="240" t="s">
        <v>13282</v>
      </c>
      <c r="B202" s="1543">
        <v>89993</v>
      </c>
      <c r="C202" s="303" t="s">
        <v>14476</v>
      </c>
      <c r="D202" s="1446" t="str">
        <f>IFERROR(VLOOKUP($B202,'24.08_ND'!$A$4833:$D$12369,2,0),IFERROR(VLOOKUP($B202,'03-CP'!$C$5:$H$4646,2,0),""))</f>
        <v>GRAUTEAMENTO VERTICAL EM ALVENARIA ESTRUTURAL. AF_09/2021</v>
      </c>
      <c r="E202" s="1447" t="str">
        <f>IFERROR(VLOOKUP($B202,'24.08_ND'!$A:$D,3,0),IFERROR(VLOOKUP($B202,'03-CP'!$C$5:$H$4646,3,0),""))</f>
        <v>M3</v>
      </c>
      <c r="F202" s="306">
        <v>8.4499999999999993</v>
      </c>
      <c r="G202" s="303"/>
      <c r="H202" s="303"/>
      <c r="I202" s="1525"/>
      <c r="J202" s="1526"/>
      <c r="K202" s="1320"/>
      <c r="L202" s="1297" t="s">
        <v>16202</v>
      </c>
      <c r="M202" s="1320"/>
      <c r="N202" s="1320"/>
      <c r="O202" s="1320"/>
      <c r="P202" s="1320"/>
      <c r="Q202" s="1320"/>
      <c r="R202" s="1320"/>
      <c r="S202" s="1320"/>
      <c r="T202" s="1320"/>
      <c r="U202" s="1320"/>
      <c r="V202" s="1320"/>
      <c r="W202" s="1320"/>
      <c r="X202" s="1320"/>
      <c r="Y202" s="1320"/>
      <c r="Z202" s="1320"/>
    </row>
    <row r="203" spans="1:26" ht="12.75" outlineLevel="1">
      <c r="A203" s="240" t="s">
        <v>13283</v>
      </c>
      <c r="B203" s="1543" t="s">
        <v>14603</v>
      </c>
      <c r="C203" s="303" t="s">
        <v>14472</v>
      </c>
      <c r="D203" s="1446" t="str">
        <f>IFERROR(VLOOKUP($B203,'24.08_ND'!$A$4833:$D$12369,2,0),IFERROR(VLOOKUP($B203,'03-CP'!$C$5:$H$4646,2,0),""))</f>
        <v>ARMAÇÃO VERTICAL DE ALVENARIA ESTRUTURAL; DIÂMETRO DE 8,0 MM</v>
      </c>
      <c r="E203" s="1447" t="str">
        <f>IFERROR(VLOOKUP($B203,'24.08_ND'!$A:$D,3,0),IFERROR(VLOOKUP($B203,'03-CP'!$C$5:$H$4646,3,0),""))</f>
        <v>M2</v>
      </c>
      <c r="F203" s="306">
        <v>203.82</v>
      </c>
      <c r="G203" s="303"/>
      <c r="H203" s="303"/>
      <c r="I203" s="1525"/>
      <c r="J203" s="1526"/>
      <c r="K203" s="1320"/>
      <c r="L203" s="1297" t="s">
        <v>16202</v>
      </c>
      <c r="M203" s="1320"/>
      <c r="N203" s="1320"/>
      <c r="O203" s="1320"/>
      <c r="P203" s="1320"/>
      <c r="Q203" s="1320"/>
      <c r="R203" s="1320"/>
      <c r="S203" s="1320"/>
      <c r="T203" s="1320"/>
      <c r="U203" s="1320"/>
      <c r="V203" s="1320"/>
      <c r="W203" s="1320"/>
      <c r="X203" s="1320"/>
      <c r="Y203" s="1320"/>
      <c r="Z203" s="1320"/>
    </row>
    <row r="204" spans="1:26" ht="12.75" outlineLevel="1">
      <c r="A204" s="240" t="s">
        <v>13284</v>
      </c>
      <c r="B204" s="1543" t="s">
        <v>14607</v>
      </c>
      <c r="C204" s="303" t="s">
        <v>14472</v>
      </c>
      <c r="D204" s="1446" t="str">
        <f>IFERROR(VLOOKUP($B204,'24.08_ND'!$A$4833:$D$12369,2,0),IFERROR(VLOOKUP($B204,'03-CP'!$C$5:$H$4646,2,0),""))</f>
        <v>ARGAMASSA DE REGULARIZAÇÃO ESPESSURA 15MM</v>
      </c>
      <c r="E204" s="1447" t="str">
        <f>IFERROR(VLOOKUP($B204,'24.08_ND'!$A:$D,3,0),IFERROR(VLOOKUP($B204,'03-CP'!$C$5:$H$4646,3,0),""))</f>
        <v>M2</v>
      </c>
      <c r="F204" s="306">
        <v>164.24</v>
      </c>
      <c r="G204" s="303"/>
      <c r="H204" s="303"/>
      <c r="I204" s="1525"/>
      <c r="J204" s="1526"/>
      <c r="K204" s="1320"/>
      <c r="L204" s="1297" t="s">
        <v>16202</v>
      </c>
      <c r="M204" s="1320"/>
      <c r="N204" s="1320"/>
      <c r="O204" s="1320"/>
      <c r="P204" s="1320"/>
      <c r="Q204" s="1320"/>
      <c r="R204" s="1320"/>
      <c r="S204" s="1320"/>
      <c r="T204" s="1320"/>
      <c r="U204" s="1320"/>
      <c r="V204" s="1320"/>
      <c r="W204" s="1320"/>
      <c r="X204" s="1320"/>
      <c r="Y204" s="1320"/>
      <c r="Z204" s="1320"/>
    </row>
    <row r="205" spans="1:26" ht="25.5" outlineLevel="1">
      <c r="A205" s="240" t="s">
        <v>13285</v>
      </c>
      <c r="B205" s="1543">
        <v>98555</v>
      </c>
      <c r="C205" s="303" t="s">
        <v>14476</v>
      </c>
      <c r="D205" s="1446" t="str">
        <f>IFERROR(VLOOKUP($B205,'24.08_ND'!$A$4833:$D$12369,2,0),IFERROR(VLOOKUP($B205,'03-CP'!$C$5:$H$4646,2,0),""))</f>
        <v>IMPERMEABILIZAÇÃO DE SUPERFÍCIE COM ARGAMASSA POLIMÉRICA / MEMBRANA ACRÍLICA, 3 DEMÃOS. AF_09/2023</v>
      </c>
      <c r="E205" s="1447" t="str">
        <f>IFERROR(VLOOKUP($B205,'24.08_ND'!$A:$D,3,0),IFERROR(VLOOKUP($B205,'03-CP'!$C$5:$H$4646,3,0),""))</f>
        <v>M2</v>
      </c>
      <c r="F205" s="306">
        <v>164.24</v>
      </c>
      <c r="G205" s="303"/>
      <c r="H205" s="303"/>
      <c r="I205" s="1525"/>
      <c r="J205" s="1526"/>
      <c r="K205" s="1320"/>
      <c r="L205" s="1297" t="s">
        <v>16202</v>
      </c>
      <c r="M205" s="1320"/>
      <c r="N205" s="1320"/>
      <c r="O205" s="1320"/>
      <c r="P205" s="1320"/>
      <c r="Q205" s="1320"/>
      <c r="R205" s="1320"/>
      <c r="S205" s="1320"/>
      <c r="T205" s="1320"/>
      <c r="U205" s="1320"/>
      <c r="V205" s="1320"/>
      <c r="W205" s="1320"/>
      <c r="X205" s="1320"/>
      <c r="Y205" s="1320"/>
      <c r="Z205" s="1320"/>
    </row>
    <row r="206" spans="1:26" ht="25.5" outlineLevel="1">
      <c r="A206" s="240" t="s">
        <v>13286</v>
      </c>
      <c r="B206" s="1543">
        <v>98562</v>
      </c>
      <c r="C206" s="303" t="s">
        <v>14476</v>
      </c>
      <c r="D206" s="1446" t="str">
        <f>IFERROR(VLOOKUP($B206,'24.08_ND'!$A$4833:$D$12369,2,0),IFERROR(VLOOKUP($B206,'03-CP'!$C$5:$H$4646,2,0),""))</f>
        <v>IMPERMEABILIZAÇÃO DE SUPERFÍCIE COM ARGAMASSA DE CIMENTO E AREIA, COM ADITIVO IMPERMEABILIZANTE, E = 1,5CM. AF_09/2023</v>
      </c>
      <c r="E206" s="1447" t="str">
        <f>IFERROR(VLOOKUP($B206,'24.08_ND'!$A:$D,3,0),IFERROR(VLOOKUP($B206,'03-CP'!$C$5:$H$4646,3,0),""))</f>
        <v>M2</v>
      </c>
      <c r="F206" s="306">
        <v>164.24</v>
      </c>
      <c r="G206" s="303"/>
      <c r="H206" s="303"/>
      <c r="I206" s="1525"/>
      <c r="J206" s="1526"/>
      <c r="K206" s="1320"/>
      <c r="L206" s="1297" t="s">
        <v>16202</v>
      </c>
      <c r="M206" s="1320"/>
      <c r="N206" s="1320"/>
      <c r="O206" s="1320"/>
      <c r="P206" s="1320"/>
      <c r="Q206" s="1320"/>
      <c r="R206" s="1320"/>
      <c r="S206" s="1320"/>
      <c r="T206" s="1320"/>
      <c r="U206" s="1320"/>
      <c r="V206" s="1320"/>
      <c r="W206" s="1320"/>
      <c r="X206" s="1320"/>
      <c r="Y206" s="1320"/>
      <c r="Z206" s="1320"/>
    </row>
    <row r="207" spans="1:26" ht="38.25" outlineLevel="1">
      <c r="A207" s="240" t="s">
        <v>13287</v>
      </c>
      <c r="B207" s="303">
        <v>98575</v>
      </c>
      <c r="C207" s="303" t="s">
        <v>14476</v>
      </c>
      <c r="D207" s="1446" t="str">
        <f>IFERROR(VLOOKUP($B207,'24.08_ND'!$A$4833:$D$12369,2,0),IFERROR(VLOOKUP($B207,'03-CP'!$C$5:$H$4646,2,0),""))</f>
        <v>TRATAMENTO DE JUNTA DE DILATAÇÃO, COM TARUGO DE POLIETILENO E SELANTE PU, INCLUSO PREENCHIMENTO COM ESPUMA EXPANSIVA PU. AF_09/2023</v>
      </c>
      <c r="E207" s="1447" t="str">
        <f>IFERROR(VLOOKUP($B207,'24.08_ND'!$A:$D,3,0),IFERROR(VLOOKUP($B207,'03-CP'!$C$5:$H$4646,3,0),""))</f>
        <v>M</v>
      </c>
      <c r="F207" s="306">
        <v>5.72</v>
      </c>
      <c r="G207" s="303"/>
      <c r="H207" s="303"/>
      <c r="I207" s="1525"/>
      <c r="J207" s="1526"/>
      <c r="K207" s="1320"/>
      <c r="L207" s="1297" t="s">
        <v>16202</v>
      </c>
      <c r="M207" s="1320"/>
      <c r="N207" s="1320"/>
      <c r="O207" s="1320"/>
      <c r="P207" s="1320"/>
      <c r="Q207" s="1320"/>
      <c r="R207" s="1320"/>
      <c r="S207" s="1320"/>
      <c r="T207" s="1320"/>
      <c r="U207" s="1320"/>
      <c r="V207" s="1320"/>
      <c r="W207" s="1320"/>
      <c r="X207" s="1320"/>
      <c r="Y207" s="1320"/>
      <c r="Z207" s="1320"/>
    </row>
    <row r="208" spans="1:26" ht="12.75" hidden="1" outlineLevel="1">
      <c r="A208" s="247"/>
      <c r="B208" s="386"/>
      <c r="C208" s="386"/>
      <c r="D208" s="253"/>
      <c r="E208" s="1244"/>
      <c r="F208" s="389"/>
      <c r="G208" s="1244"/>
      <c r="H208" s="1244"/>
      <c r="I208" s="1409"/>
      <c r="J208" s="1383"/>
      <c r="K208" s="262"/>
      <c r="L208" s="386"/>
      <c r="M208" s="262"/>
      <c r="N208" s="262"/>
      <c r="O208" s="262"/>
      <c r="P208" s="262"/>
      <c r="Q208" s="262"/>
      <c r="R208" s="262"/>
      <c r="S208" s="262"/>
      <c r="T208" s="262"/>
      <c r="U208" s="262"/>
      <c r="V208" s="262"/>
      <c r="W208" s="262"/>
      <c r="X208" s="262"/>
      <c r="Y208" s="262"/>
      <c r="Z208" s="262"/>
    </row>
    <row r="209" spans="1:26" ht="12.75">
      <c r="A209" s="239" t="s">
        <v>13288</v>
      </c>
      <c r="B209" s="1309"/>
      <c r="C209" s="1309"/>
      <c r="D209" s="1310" t="s">
        <v>16377</v>
      </c>
      <c r="E209" s="1311"/>
      <c r="F209" s="1312"/>
      <c r="G209" s="1310"/>
      <c r="H209" s="1524"/>
      <c r="I209" s="1313"/>
      <c r="J209" s="512"/>
      <c r="K209" s="262"/>
      <c r="L209" s="1521" t="s">
        <v>16349</v>
      </c>
      <c r="M209" s="948" t="s">
        <v>16350</v>
      </c>
      <c r="N209" s="262"/>
      <c r="O209" s="262"/>
      <c r="P209" s="262"/>
      <c r="Q209" s="262"/>
      <c r="R209" s="262"/>
      <c r="S209" s="262"/>
      <c r="T209" s="262"/>
      <c r="U209" s="262"/>
      <c r="V209" s="262"/>
      <c r="W209" s="262"/>
      <c r="X209" s="262"/>
      <c r="Y209" s="262"/>
      <c r="Z209" s="262"/>
    </row>
    <row r="210" spans="1:26" ht="38.25" outlineLevel="1">
      <c r="A210" s="1551" t="s">
        <v>13289</v>
      </c>
      <c r="B210" s="1542">
        <v>92431</v>
      </c>
      <c r="C210" s="303" t="s">
        <v>14476</v>
      </c>
      <c r="D210" s="1552" t="str">
        <f>IFERROR(VLOOKUP($B210,'24.08_ND'!$A$4833:$D$12369,2,0),IFERROR(VLOOKUP($B210,'03-CP'!$C$5:$H$4646,2,0),""))</f>
        <v>MONTAGEM E DESMONTAGEM DE FÔRMA DE PILARES RETANGULARES E ESTRUTURAS SIMILARES, PÉ-DIREITO SIMPLES, EM CHAPA DE MADEIRA COMPENSADA PLASTIFICADA, 10 UTILIZAÇÕES. AF_09/2020</v>
      </c>
      <c r="E210" s="1553" t="str">
        <f>IFERROR(VLOOKUP($B210,'24.08_ND'!$A:$D,3,0),IFERROR(VLOOKUP($B210,'03-CP'!$C$5:$H$4646,3,0),""))</f>
        <v>M2</v>
      </c>
      <c r="F210" s="306">
        <v>78.39</v>
      </c>
      <c r="G210" s="416"/>
      <c r="H210" s="303"/>
      <c r="I210" s="1554"/>
      <c r="J210" s="416"/>
      <c r="K210" s="416"/>
      <c r="L210" s="1297" t="s">
        <v>16202</v>
      </c>
      <c r="M210" s="416"/>
      <c r="N210" s="416"/>
      <c r="O210" s="416"/>
      <c r="P210" s="416"/>
      <c r="Q210" s="416"/>
      <c r="R210" s="416"/>
      <c r="S210" s="416"/>
      <c r="T210" s="416"/>
      <c r="U210" s="416"/>
      <c r="V210" s="416"/>
      <c r="W210" s="416"/>
      <c r="X210" s="416"/>
      <c r="Y210" s="416"/>
      <c r="Z210" s="416"/>
    </row>
    <row r="211" spans="1:26" ht="25.5" outlineLevel="1">
      <c r="A211" s="1551" t="s">
        <v>13290</v>
      </c>
      <c r="B211" s="1555">
        <v>91601</v>
      </c>
      <c r="C211" s="303" t="s">
        <v>14476</v>
      </c>
      <c r="D211" s="1552" t="str">
        <f>IFERROR(VLOOKUP($B211,'24.08_ND'!$A$4833:$D$12369,2,0),IFERROR(VLOOKUP($B211,'03-CP'!$C$5:$H$4646,2,0),""))</f>
        <v>ARMAÇÃO DO SISTEMA DE PAREDES DE CONCRETO, EXECUTADA COMO REFORÇO, VERGALHÃO DE 6,3 MM DE DIÂMETRO. AF_06/2019</v>
      </c>
      <c r="E211" s="1553" t="str">
        <f>IFERROR(VLOOKUP($B211,'24.08_ND'!$A:$D,3,0),IFERROR(VLOOKUP($B211,'03-CP'!$C$5:$H$4646,3,0),""))</f>
        <v>KG</v>
      </c>
      <c r="F211" s="306">
        <v>922.92</v>
      </c>
      <c r="G211" s="416"/>
      <c r="H211" s="303"/>
      <c r="I211" s="1554"/>
      <c r="J211" s="416"/>
      <c r="K211" s="416"/>
      <c r="L211" s="1297" t="s">
        <v>16202</v>
      </c>
      <c r="M211" s="416"/>
      <c r="N211" s="416"/>
      <c r="O211" s="416"/>
      <c r="P211" s="416"/>
      <c r="Q211" s="416"/>
      <c r="R211" s="416"/>
      <c r="S211" s="416"/>
      <c r="T211" s="416"/>
      <c r="U211" s="416"/>
      <c r="V211" s="416"/>
      <c r="W211" s="416"/>
      <c r="X211" s="416"/>
      <c r="Y211" s="416"/>
      <c r="Z211" s="416"/>
    </row>
    <row r="212" spans="1:26" ht="25.5" outlineLevel="1">
      <c r="A212" s="1551" t="s">
        <v>13291</v>
      </c>
      <c r="B212" s="1543">
        <v>103685</v>
      </c>
      <c r="C212" s="303" t="s">
        <v>14476</v>
      </c>
      <c r="D212" s="1446" t="str">
        <f>IFERROR(VLOOKUP($B212,'24.08_ND'!$A$4833:$D$12369,2,0),IFERROR(VLOOKUP($B212,'03-CP'!$C$5:$H$4646,2,0),""))</f>
        <v>CONCRETAGEM DE MURETAS, FCK=25 MPA, COM USO DE BOMBA - LANÇAMENTO, ADENSAMENTO E ACABAMENTO. AF_02/2022_PS</v>
      </c>
      <c r="E212" s="1447" t="str">
        <f>IFERROR(VLOOKUP($B212,'24.08_ND'!$A:$D,3,0),IFERROR(VLOOKUP($B212,'03-CP'!$C$5:$H$4646,3,0),""))</f>
        <v>M3</v>
      </c>
      <c r="F212" s="306">
        <v>4.7</v>
      </c>
      <c r="G212" s="303"/>
      <c r="H212" s="303"/>
      <c r="I212" s="1525"/>
      <c r="J212" s="1526"/>
      <c r="K212" s="1320"/>
      <c r="L212" s="1297" t="s">
        <v>16202</v>
      </c>
      <c r="M212" s="1320"/>
      <c r="N212" s="1320"/>
      <c r="O212" s="1320"/>
      <c r="P212" s="1320"/>
      <c r="Q212" s="1320"/>
      <c r="R212" s="1320"/>
      <c r="S212" s="1320"/>
      <c r="T212" s="1320"/>
      <c r="U212" s="1320"/>
      <c r="V212" s="1320"/>
      <c r="W212" s="1320"/>
      <c r="X212" s="1320"/>
      <c r="Y212" s="1320"/>
      <c r="Z212" s="1320"/>
    </row>
    <row r="213" spans="1:26" ht="12.75" outlineLevel="1">
      <c r="A213" s="1551" t="s">
        <v>13292</v>
      </c>
      <c r="B213" s="1543" t="s">
        <v>14607</v>
      </c>
      <c r="C213" s="303" t="s">
        <v>14472</v>
      </c>
      <c r="D213" s="1446" t="str">
        <f>IFERROR(VLOOKUP($B213,'24.08_ND'!$A$4833:$D$12369,2,0),IFERROR(VLOOKUP($B213,'03-CP'!$C$5:$H$4646,2,0),""))</f>
        <v>ARGAMASSA DE REGULARIZAÇÃO ESPESSURA 15MM</v>
      </c>
      <c r="E213" s="1447" t="str">
        <f>IFERROR(VLOOKUP($B213,'24.08_ND'!$A:$D,3,0),IFERROR(VLOOKUP($B213,'03-CP'!$C$5:$H$4646,3,0),""))</f>
        <v>M2</v>
      </c>
      <c r="F213" s="306">
        <v>48.9</v>
      </c>
      <c r="G213" s="303"/>
      <c r="H213" s="303"/>
      <c r="I213" s="1525"/>
      <c r="J213" s="1526"/>
      <c r="K213" s="1320"/>
      <c r="L213" s="1297" t="s">
        <v>16202</v>
      </c>
      <c r="M213" s="1320"/>
      <c r="N213" s="1320"/>
      <c r="O213" s="1320"/>
      <c r="P213" s="1320"/>
      <c r="Q213" s="1320"/>
      <c r="R213" s="1320"/>
      <c r="S213" s="1320"/>
      <c r="T213" s="1320"/>
      <c r="U213" s="1320"/>
      <c r="V213" s="1320"/>
      <c r="W213" s="1320"/>
      <c r="X213" s="1320"/>
      <c r="Y213" s="1320"/>
      <c r="Z213" s="1320"/>
    </row>
    <row r="214" spans="1:26" ht="25.5" outlineLevel="1">
      <c r="A214" s="1551" t="s">
        <v>13293</v>
      </c>
      <c r="B214" s="1543">
        <v>98555</v>
      </c>
      <c r="C214" s="303" t="s">
        <v>14476</v>
      </c>
      <c r="D214" s="1446" t="str">
        <f>IFERROR(VLOOKUP($B214,'24.08_ND'!$A$4833:$D$12369,2,0),IFERROR(VLOOKUP($B214,'03-CP'!$C$5:$H$4646,2,0),""))</f>
        <v>IMPERMEABILIZAÇÃO DE SUPERFÍCIE COM ARGAMASSA POLIMÉRICA / MEMBRANA ACRÍLICA, 3 DEMÃOS. AF_09/2023</v>
      </c>
      <c r="E214" s="1447" t="str">
        <f>IFERROR(VLOOKUP($B214,'24.08_ND'!$A:$D,3,0),IFERROR(VLOOKUP($B214,'03-CP'!$C$5:$H$4646,3,0),""))</f>
        <v>M2</v>
      </c>
      <c r="F214" s="306">
        <v>48.9</v>
      </c>
      <c r="G214" s="303"/>
      <c r="H214" s="303"/>
      <c r="I214" s="1525"/>
      <c r="J214" s="1526"/>
      <c r="K214" s="1320"/>
      <c r="L214" s="1297" t="s">
        <v>16202</v>
      </c>
      <c r="M214" s="1320"/>
      <c r="N214" s="1320"/>
      <c r="O214" s="1320"/>
      <c r="P214" s="1320"/>
      <c r="Q214" s="1320"/>
      <c r="R214" s="1320"/>
      <c r="S214" s="1320"/>
      <c r="T214" s="1320"/>
      <c r="U214" s="1320"/>
      <c r="V214" s="1320"/>
      <c r="W214" s="1320"/>
      <c r="X214" s="1320"/>
      <c r="Y214" s="1320"/>
      <c r="Z214" s="1320"/>
    </row>
    <row r="215" spans="1:26" ht="25.5" outlineLevel="1">
      <c r="A215" s="1551" t="s">
        <v>13294</v>
      </c>
      <c r="B215" s="1543">
        <v>98562</v>
      </c>
      <c r="C215" s="303" t="s">
        <v>14476</v>
      </c>
      <c r="D215" s="1446" t="str">
        <f>IFERROR(VLOOKUP($B215,'24.08_ND'!$A$4833:$D$12369,2,0),IFERROR(VLOOKUP($B215,'03-CP'!$C$5:$H$4646,2,0),""))</f>
        <v>IMPERMEABILIZAÇÃO DE SUPERFÍCIE COM ARGAMASSA DE CIMENTO E AREIA, COM ADITIVO IMPERMEABILIZANTE, E = 1,5CM. AF_09/2023</v>
      </c>
      <c r="E215" s="1447" t="str">
        <f>IFERROR(VLOOKUP($B215,'24.08_ND'!$A:$D,3,0),IFERROR(VLOOKUP($B215,'03-CP'!$C$5:$H$4646,3,0),""))</f>
        <v>M2</v>
      </c>
      <c r="F215" s="306">
        <v>48.9</v>
      </c>
      <c r="G215" s="303"/>
      <c r="H215" s="303"/>
      <c r="I215" s="1525"/>
      <c r="J215" s="1526"/>
      <c r="K215" s="1320"/>
      <c r="L215" s="1297" t="s">
        <v>16202</v>
      </c>
      <c r="M215" s="1320"/>
      <c r="N215" s="1320"/>
      <c r="O215" s="1320"/>
      <c r="P215" s="1320"/>
      <c r="Q215" s="1320"/>
      <c r="R215" s="1320"/>
      <c r="S215" s="1320"/>
      <c r="T215" s="1320"/>
      <c r="U215" s="1320"/>
      <c r="V215" s="1320"/>
      <c r="W215" s="1320"/>
      <c r="X215" s="1320"/>
      <c r="Y215" s="1320"/>
      <c r="Z215" s="1320"/>
    </row>
    <row r="216" spans="1:26" ht="12.75" hidden="1" outlineLevel="1">
      <c r="A216" s="247"/>
      <c r="B216" s="386"/>
      <c r="C216" s="386"/>
      <c r="D216" s="253"/>
      <c r="E216" s="1244"/>
      <c r="F216" s="389"/>
      <c r="G216" s="1244"/>
      <c r="H216" s="1244"/>
      <c r="I216" s="1409"/>
      <c r="J216" s="1383"/>
      <c r="K216" s="262"/>
      <c r="L216" s="386"/>
      <c r="M216" s="262"/>
      <c r="N216" s="262"/>
      <c r="O216" s="262"/>
      <c r="P216" s="262"/>
      <c r="Q216" s="262"/>
      <c r="R216" s="262"/>
      <c r="S216" s="262"/>
      <c r="T216" s="262"/>
      <c r="U216" s="262"/>
      <c r="V216" s="262"/>
      <c r="W216" s="262"/>
      <c r="X216" s="262"/>
      <c r="Y216" s="262"/>
      <c r="Z216" s="262"/>
    </row>
    <row r="217" spans="1:26" ht="12.75">
      <c r="A217" s="239" t="s">
        <v>13295</v>
      </c>
      <c r="B217" s="1309"/>
      <c r="C217" s="1309"/>
      <c r="D217" s="1310" t="s">
        <v>16378</v>
      </c>
      <c r="E217" s="1311"/>
      <c r="F217" s="1312"/>
      <c r="G217" s="1310"/>
      <c r="H217" s="1524"/>
      <c r="I217" s="1313"/>
      <c r="J217" s="512"/>
      <c r="K217" s="262"/>
      <c r="L217" s="1521" t="s">
        <v>16349</v>
      </c>
      <c r="M217" s="948" t="s">
        <v>16350</v>
      </c>
      <c r="N217" s="262"/>
      <c r="O217" s="262"/>
      <c r="P217" s="262"/>
      <c r="Q217" s="262"/>
      <c r="R217" s="262"/>
      <c r="S217" s="262"/>
      <c r="T217" s="262"/>
      <c r="U217" s="262"/>
      <c r="V217" s="262"/>
      <c r="W217" s="262"/>
      <c r="X217" s="262"/>
      <c r="Y217" s="262"/>
      <c r="Z217" s="262"/>
    </row>
    <row r="218" spans="1:26" ht="25.5" outlineLevel="1">
      <c r="A218" s="240" t="s">
        <v>13296</v>
      </c>
      <c r="B218" s="1543">
        <v>93358</v>
      </c>
      <c r="C218" s="303" t="s">
        <v>14476</v>
      </c>
      <c r="D218" s="1446" t="str">
        <f>IFERROR(VLOOKUP($B218,'24.08_ND'!$A$4833:$D$12369,2,0),IFERROR(VLOOKUP($B218,'03-CP'!$C$5:$H$4646,2,0),""))</f>
        <v>ESCAVAÇÃO MANUAL DE VALA COM PROFUNDIDADE MENOR OU IGUAL A 1,30 M. AF_02/2021</v>
      </c>
      <c r="E218" s="1447" t="str">
        <f>IFERROR(VLOOKUP($B218,'24.08_ND'!$A:$D,3,0),IFERROR(VLOOKUP($B218,'03-CP'!$C$5:$H$4646,3,0),""))</f>
        <v>M3</v>
      </c>
      <c r="F218" s="306">
        <v>23.07</v>
      </c>
      <c r="G218" s="303"/>
      <c r="H218" s="303"/>
      <c r="I218" s="1525"/>
      <c r="J218" s="512"/>
      <c r="K218" s="262"/>
      <c r="L218" s="1297" t="s">
        <v>16202</v>
      </c>
      <c r="M218" s="262"/>
      <c r="N218" s="262"/>
      <c r="O218" s="262"/>
      <c r="P218" s="262"/>
      <c r="Q218" s="262"/>
      <c r="R218" s="262"/>
      <c r="S218" s="262"/>
      <c r="T218" s="262"/>
      <c r="U218" s="262"/>
      <c r="V218" s="262"/>
      <c r="W218" s="262"/>
      <c r="X218" s="262"/>
      <c r="Y218" s="262"/>
      <c r="Z218" s="262"/>
    </row>
    <row r="219" spans="1:26" ht="25.5" outlineLevel="1">
      <c r="A219" s="240" t="s">
        <v>13297</v>
      </c>
      <c r="B219" s="303">
        <v>101616</v>
      </c>
      <c r="C219" s="303" t="s">
        <v>14476</v>
      </c>
      <c r="D219" s="1446" t="str">
        <f>IFERROR(VLOOKUP($B219,'24.08_ND'!$A$4833:$D$12369,2,0),IFERROR(VLOOKUP($B219,'03-CP'!$C$5:$H$4646,2,0),""))</f>
        <v>PREPARO DE FUNDO DE VALA COM LARGURA MENOR QUE 1,5 M (ACERTO DO SOLO NATURAL). AF_08/2020</v>
      </c>
      <c r="E219" s="1447" t="str">
        <f>IFERROR(VLOOKUP($B219,'24.08_ND'!$A:$D,3,0),IFERROR(VLOOKUP($B219,'03-CP'!$C$5:$H$4646,3,0),""))</f>
        <v>M2</v>
      </c>
      <c r="F219" s="306">
        <v>101.8</v>
      </c>
      <c r="G219" s="303"/>
      <c r="H219" s="303"/>
      <c r="I219" s="1525"/>
      <c r="J219" s="512"/>
      <c r="K219" s="262"/>
      <c r="L219" s="1297" t="s">
        <v>16202</v>
      </c>
      <c r="M219" s="262"/>
      <c r="N219" s="262"/>
      <c r="O219" s="262"/>
      <c r="P219" s="262"/>
      <c r="Q219" s="262"/>
      <c r="R219" s="262"/>
      <c r="S219" s="262"/>
      <c r="T219" s="262"/>
      <c r="U219" s="262"/>
      <c r="V219" s="262"/>
      <c r="W219" s="262"/>
      <c r="X219" s="262"/>
      <c r="Y219" s="262"/>
      <c r="Z219" s="262"/>
    </row>
    <row r="220" spans="1:26" ht="25.5" outlineLevel="1">
      <c r="A220" s="240" t="s">
        <v>13298</v>
      </c>
      <c r="B220" s="1543">
        <v>96536</v>
      </c>
      <c r="C220" s="303" t="s">
        <v>14476</v>
      </c>
      <c r="D220" s="1446" t="str">
        <f>IFERROR(VLOOKUP($B220,'24.08_ND'!$A$4833:$D$12369,2,0),IFERROR(VLOOKUP($B220,'03-CP'!$C$5:$H$4646,2,0),""))</f>
        <v>FABRICAÇÃO, MONTAGEM E DESMONTAGEM DE FÔRMA PARA VIGA BALDRAME, EM MADEIRA SERRADA, E=25 MM, 4 UTILIZAÇÕES. AF_01/2024</v>
      </c>
      <c r="E220" s="1447" t="str">
        <f>IFERROR(VLOOKUP($B220,'24.08_ND'!$A:$D,3,0),IFERROR(VLOOKUP($B220,'03-CP'!$C$5:$H$4646,3,0),""))</f>
        <v>M2</v>
      </c>
      <c r="F220" s="306">
        <v>309.08</v>
      </c>
      <c r="G220" s="303"/>
      <c r="H220" s="303"/>
      <c r="I220" s="1525"/>
      <c r="J220" s="512"/>
      <c r="K220" s="262"/>
      <c r="L220" s="1297" t="s">
        <v>16202</v>
      </c>
      <c r="M220" s="262"/>
      <c r="N220" s="262"/>
      <c r="O220" s="262"/>
      <c r="P220" s="262"/>
      <c r="Q220" s="262"/>
      <c r="R220" s="262"/>
      <c r="S220" s="262"/>
      <c r="T220" s="262"/>
      <c r="U220" s="262"/>
      <c r="V220" s="262"/>
      <c r="W220" s="262"/>
      <c r="X220" s="262"/>
      <c r="Y220" s="262"/>
      <c r="Z220" s="262"/>
    </row>
    <row r="221" spans="1:26" ht="25.5" outlineLevel="1">
      <c r="A221" s="240" t="s">
        <v>13299</v>
      </c>
      <c r="B221" s="1543">
        <v>104916</v>
      </c>
      <c r="C221" s="303" t="s">
        <v>14476</v>
      </c>
      <c r="D221" s="1446" t="str">
        <f>IFERROR(VLOOKUP($B221,'24.08_ND'!$A$4833:$D$12369,2,0),IFERROR(VLOOKUP($B221,'03-CP'!$C$5:$H$4646,2,0),""))</f>
        <v>ARMAÇÃO DE SAPATA ISOLADA, VIGA BALDRAME E SAPATA CORRIDA UTILIZANDO AÇO CA-60 DE 5 MM - MONTAGEM. AF_01/2024</v>
      </c>
      <c r="E221" s="1447" t="str">
        <f>IFERROR(VLOOKUP($B221,'24.08_ND'!$A:$D,3,0),IFERROR(VLOOKUP($B221,'03-CP'!$C$5:$H$4646,3,0),""))</f>
        <v>KG</v>
      </c>
      <c r="F221" s="306">
        <v>519.26</v>
      </c>
      <c r="G221" s="303"/>
      <c r="H221" s="303"/>
      <c r="I221" s="1525"/>
      <c r="J221" s="512"/>
      <c r="K221" s="262"/>
      <c r="L221" s="1297" t="s">
        <v>16202</v>
      </c>
      <c r="M221" s="262"/>
      <c r="N221" s="262"/>
      <c r="O221" s="262"/>
      <c r="P221" s="262"/>
      <c r="Q221" s="262"/>
      <c r="R221" s="262"/>
      <c r="S221" s="262"/>
      <c r="T221" s="262"/>
      <c r="U221" s="262"/>
      <c r="V221" s="262"/>
      <c r="W221" s="262"/>
      <c r="X221" s="262"/>
      <c r="Y221" s="262"/>
      <c r="Z221" s="262"/>
    </row>
    <row r="222" spans="1:26" ht="25.5" outlineLevel="1">
      <c r="A222" s="240" t="s">
        <v>13300</v>
      </c>
      <c r="B222" s="1543">
        <v>104918</v>
      </c>
      <c r="C222" s="303" t="s">
        <v>14476</v>
      </c>
      <c r="D222" s="1446" t="str">
        <f>IFERROR(VLOOKUP($B222,'24.08_ND'!$A$4833:$D$12369,2,0),IFERROR(VLOOKUP($B222,'03-CP'!$C$5:$H$4646,2,0),""))</f>
        <v>ARMAÇÃO DE SAPATA ISOLADA, VIGA BALDRAME E SAPATA CORRIDA UTILIZANDO AÇO CA-50 DE 8 MM - MONTAGEM. AF_01/2024</v>
      </c>
      <c r="E222" s="1447" t="str">
        <f>IFERROR(VLOOKUP($B222,'24.08_ND'!$A:$D,3,0),IFERROR(VLOOKUP($B222,'03-CP'!$C$5:$H$4646,3,0),""))</f>
        <v>KG</v>
      </c>
      <c r="F222" s="306">
        <v>149.07</v>
      </c>
      <c r="G222" s="303"/>
      <c r="H222" s="303"/>
      <c r="I222" s="1525"/>
      <c r="J222" s="512"/>
      <c r="K222" s="262"/>
      <c r="L222" s="1297" t="s">
        <v>16202</v>
      </c>
      <c r="M222" s="262"/>
      <c r="N222" s="262"/>
      <c r="O222" s="262"/>
      <c r="P222" s="262"/>
      <c r="Q222" s="262"/>
      <c r="R222" s="262"/>
      <c r="S222" s="262"/>
      <c r="T222" s="262"/>
      <c r="U222" s="262"/>
      <c r="V222" s="262"/>
      <c r="W222" s="262"/>
      <c r="X222" s="262"/>
      <c r="Y222" s="262"/>
      <c r="Z222" s="262"/>
    </row>
    <row r="223" spans="1:26" ht="25.5" outlineLevel="1">
      <c r="A223" s="240" t="s">
        <v>13301</v>
      </c>
      <c r="B223" s="1543">
        <v>103685</v>
      </c>
      <c r="C223" s="303" t="s">
        <v>14476</v>
      </c>
      <c r="D223" s="1446" t="str">
        <f>IFERROR(VLOOKUP($B223,'24.08_ND'!$A$4833:$D$12369,2,0),IFERROR(VLOOKUP($B223,'03-CP'!$C$5:$H$4646,2,0),""))</f>
        <v>CONCRETAGEM DE MURETAS, FCK=25 MPA, COM USO DE BOMBA - LANÇAMENTO, ADENSAMENTO E ACABAMENTO. AF_02/2022_PS</v>
      </c>
      <c r="E223" s="1447" t="str">
        <f>IFERROR(VLOOKUP($B223,'24.08_ND'!$A:$D,3,0),IFERROR(VLOOKUP($B223,'03-CP'!$C$5:$H$4646,3,0),""))</f>
        <v>M3</v>
      </c>
      <c r="F223" s="306">
        <v>39.81</v>
      </c>
      <c r="G223" s="303"/>
      <c r="H223" s="303"/>
      <c r="I223" s="1525"/>
      <c r="J223" s="512"/>
      <c r="K223" s="262"/>
      <c r="L223" s="1297" t="s">
        <v>16202</v>
      </c>
      <c r="M223" s="262"/>
      <c r="N223" s="262"/>
      <c r="O223" s="262"/>
      <c r="P223" s="262"/>
      <c r="Q223" s="262"/>
      <c r="R223" s="262"/>
      <c r="S223" s="262"/>
      <c r="T223" s="262"/>
      <c r="U223" s="262"/>
      <c r="V223" s="262"/>
      <c r="W223" s="262"/>
      <c r="X223" s="262"/>
      <c r="Y223" s="262"/>
      <c r="Z223" s="262"/>
    </row>
    <row r="224" spans="1:26" ht="25.5" outlineLevel="1">
      <c r="A224" s="1527" t="s">
        <v>13302</v>
      </c>
      <c r="B224" s="384">
        <v>93382</v>
      </c>
      <c r="C224" s="295" t="s">
        <v>14476</v>
      </c>
      <c r="D224" s="658" t="str">
        <f>IFERROR(VLOOKUP($B224,'24.08_ND'!$A$4833:$D$12369,2,0),IFERROR(VLOOKUP($B224,'03-CP'!$C$5:$H$4646,2,0),""))</f>
        <v>REATERRO MANUAL DE VALAS, COM COMPACTADOR DE SOLOS DE PERCUSSÃO. AF_08/2023</v>
      </c>
      <c r="E224" s="1318" t="str">
        <f>IFERROR(VLOOKUP($B224,'24.08_ND'!$A:$D,3,0),IFERROR(VLOOKUP($B224,'03-CP'!$C$5:$H$4646,3,0),""))</f>
        <v>M3</v>
      </c>
      <c r="F224" s="298">
        <f>F226</f>
        <v>14.245000000000001</v>
      </c>
      <c r="G224" s="295"/>
      <c r="H224" s="295"/>
      <c r="I224" s="1319"/>
      <c r="J224" s="512"/>
      <c r="K224" s="262"/>
      <c r="L224" s="1528" t="s">
        <v>16202</v>
      </c>
      <c r="M224" s="262"/>
      <c r="N224" s="262"/>
      <c r="O224" s="262"/>
      <c r="P224" s="262"/>
      <c r="Q224" s="262"/>
      <c r="R224" s="262"/>
      <c r="S224" s="262"/>
      <c r="T224" s="262"/>
      <c r="U224" s="262"/>
      <c r="V224" s="262"/>
      <c r="W224" s="262"/>
      <c r="X224" s="262"/>
      <c r="Y224" s="262"/>
      <c r="Z224" s="262"/>
    </row>
    <row r="225" spans="1:26" ht="12.75" hidden="1" outlineLevel="1">
      <c r="A225" s="1321"/>
      <c r="B225" s="1322"/>
      <c r="C225" s="1323"/>
      <c r="D225" s="1324" t="s">
        <v>16361</v>
      </c>
      <c r="E225" s="1325" t="s">
        <v>16204</v>
      </c>
      <c r="F225" s="1326" t="s">
        <v>16205</v>
      </c>
      <c r="G225" s="1327"/>
      <c r="H225" s="1327"/>
      <c r="I225" s="1328"/>
      <c r="J225" s="1327"/>
      <c r="K225" s="1327"/>
      <c r="L225" s="1327"/>
      <c r="M225" s="262"/>
      <c r="N225" s="262"/>
      <c r="O225" s="262"/>
      <c r="P225" s="262"/>
      <c r="Q225" s="262"/>
      <c r="R225" s="262"/>
      <c r="S225" s="262"/>
      <c r="T225" s="262"/>
      <c r="U225" s="262"/>
      <c r="V225" s="262"/>
      <c r="W225" s="262"/>
      <c r="X225" s="262"/>
      <c r="Y225" s="262"/>
      <c r="Z225" s="262"/>
    </row>
    <row r="226" spans="1:26" ht="12.75" hidden="1" outlineLevel="1">
      <c r="A226" s="1321"/>
      <c r="B226" s="1329"/>
      <c r="C226" s="1330"/>
      <c r="D226" s="1538">
        <v>12.95</v>
      </c>
      <c r="E226" s="1332">
        <v>1.1000000000000001</v>
      </c>
      <c r="F226" s="1333">
        <f>D226*E226</f>
        <v>14.245000000000001</v>
      </c>
      <c r="G226" s="1327"/>
      <c r="H226" s="1327"/>
      <c r="I226" s="1328"/>
      <c r="J226" s="1327"/>
      <c r="K226" s="1327"/>
      <c r="L226" s="1327"/>
      <c r="M226" s="262"/>
      <c r="N226" s="262"/>
      <c r="O226" s="262"/>
      <c r="P226" s="262"/>
      <c r="Q226" s="262"/>
      <c r="R226" s="262"/>
      <c r="S226" s="262"/>
      <c r="T226" s="262"/>
      <c r="U226" s="262"/>
      <c r="V226" s="262"/>
      <c r="W226" s="262"/>
      <c r="X226" s="262"/>
      <c r="Y226" s="262"/>
      <c r="Z226" s="262"/>
    </row>
    <row r="227" spans="1:26" ht="51" outlineLevel="1">
      <c r="A227" s="1527" t="s">
        <v>13303</v>
      </c>
      <c r="B227" s="384">
        <v>100978</v>
      </c>
      <c r="C227" s="295" t="s">
        <v>14476</v>
      </c>
      <c r="D227" s="658" t="str">
        <f>IFERROR(VLOOKUP($B227,'24.08_ND'!$A$4833:$D$12369,2,0),IFERROR(VLOOKUP($B227,'03-CP'!$C$5:$H$4646,2,0),""))</f>
        <v>CARGA, MANOBRA E DESCARGA DE SOLOS E MATERIAIS GRANULARES EM CAMINHÃO BASCULANTE 10 M³ - CARGA COM ESCAVADEIRA HIDRÁULICA (CAÇAMBA DE 1,20 M³ / 155 HP) E DESCARGA LIVRE (UNIDADE: M3). AF_07/2020</v>
      </c>
      <c r="E227" s="1318" t="str">
        <f>IFERROR(VLOOKUP($B227,'24.08_ND'!$A:$D,3,0),IFERROR(VLOOKUP($B227,'03-CP'!$C$5:$H$4646,3,0),""))</f>
        <v>M3</v>
      </c>
      <c r="F227" s="298">
        <f>D231</f>
        <v>18.053000000000001</v>
      </c>
      <c r="G227" s="295"/>
      <c r="H227" s="295"/>
      <c r="I227" s="1319"/>
      <c r="J227" s="512"/>
      <c r="K227" s="262"/>
      <c r="L227" s="1528" t="s">
        <v>16202</v>
      </c>
      <c r="M227" s="262"/>
      <c r="N227" s="262"/>
      <c r="O227" s="262"/>
      <c r="P227" s="262"/>
      <c r="Q227" s="262"/>
      <c r="R227" s="262"/>
      <c r="S227" s="262"/>
      <c r="T227" s="262"/>
      <c r="U227" s="262"/>
      <c r="V227" s="262"/>
      <c r="W227" s="262"/>
      <c r="X227" s="262"/>
      <c r="Y227" s="262"/>
      <c r="Z227" s="262"/>
    </row>
    <row r="228" spans="1:26" ht="12.75" hidden="1" outlineLevel="1">
      <c r="A228" s="1321"/>
      <c r="B228" s="1322" t="s">
        <v>16206</v>
      </c>
      <c r="C228" s="1323" t="s">
        <v>16207</v>
      </c>
      <c r="D228" s="1324" t="s">
        <v>16208</v>
      </c>
      <c r="E228" s="1334"/>
      <c r="F228" s="1335"/>
      <c r="G228" s="1327"/>
      <c r="H228" s="1327"/>
      <c r="I228" s="1328"/>
      <c r="J228" s="1327"/>
      <c r="K228" s="1327"/>
      <c r="L228" s="1327"/>
      <c r="M228" s="262"/>
      <c r="N228" s="262"/>
      <c r="O228" s="262"/>
      <c r="P228" s="262"/>
      <c r="Q228" s="262"/>
      <c r="R228" s="262"/>
      <c r="S228" s="1320"/>
      <c r="T228" s="1320"/>
      <c r="U228" s="1320"/>
      <c r="V228" s="1320"/>
      <c r="W228" s="1320"/>
      <c r="X228" s="1320"/>
      <c r="Y228" s="1320"/>
      <c r="Z228" s="1320"/>
    </row>
    <row r="229" spans="1:26" ht="12.75" hidden="1" outlineLevel="1">
      <c r="A229" s="1321"/>
      <c r="B229" s="1336">
        <f>F218</f>
        <v>23.07</v>
      </c>
      <c r="C229" s="1327">
        <v>1.4</v>
      </c>
      <c r="D229" s="1337">
        <f>B229*C229</f>
        <v>32.298000000000002</v>
      </c>
      <c r="E229" s="1338"/>
      <c r="F229" s="1339"/>
      <c r="G229" s="1327"/>
      <c r="H229" s="1327"/>
      <c r="I229" s="1328"/>
      <c r="J229" s="1327"/>
      <c r="K229" s="1327"/>
      <c r="L229" s="1327"/>
      <c r="M229" s="262"/>
      <c r="N229" s="262"/>
      <c r="O229" s="262"/>
      <c r="P229" s="262"/>
      <c r="Q229" s="262"/>
      <c r="R229" s="262"/>
      <c r="S229" s="1320"/>
      <c r="T229" s="1320"/>
      <c r="U229" s="1320"/>
      <c r="V229" s="1320"/>
      <c r="W229" s="1320"/>
      <c r="X229" s="1320"/>
      <c r="Y229" s="1320"/>
      <c r="Z229" s="1320"/>
    </row>
    <row r="230" spans="1:26" ht="12.75" hidden="1" outlineLevel="1">
      <c r="A230" s="1321"/>
      <c r="B230" s="1340" t="s">
        <v>16209</v>
      </c>
      <c r="C230" s="1327" t="s">
        <v>16205</v>
      </c>
      <c r="D230" s="1341" t="s">
        <v>16210</v>
      </c>
      <c r="E230" s="1338"/>
      <c r="F230" s="1339"/>
      <c r="G230" s="1327"/>
      <c r="H230" s="1327"/>
      <c r="I230" s="1328"/>
      <c r="J230" s="1327"/>
      <c r="K230" s="1327"/>
      <c r="L230" s="1327"/>
      <c r="M230" s="262"/>
      <c r="N230" s="262"/>
      <c r="O230" s="262"/>
      <c r="P230" s="262"/>
      <c r="Q230" s="262"/>
      <c r="R230" s="262"/>
      <c r="S230" s="1320"/>
      <c r="T230" s="1320"/>
      <c r="U230" s="1320"/>
      <c r="V230" s="1320"/>
      <c r="W230" s="1320"/>
      <c r="X230" s="1320"/>
      <c r="Y230" s="1320"/>
      <c r="Z230" s="1320"/>
    </row>
    <row r="231" spans="1:26" ht="12.75" hidden="1" outlineLevel="1">
      <c r="A231" s="1321"/>
      <c r="B231" s="1329">
        <f>D229</f>
        <v>32.298000000000002</v>
      </c>
      <c r="C231" s="1342">
        <f>F226</f>
        <v>14.245000000000001</v>
      </c>
      <c r="D231" s="1343">
        <f>B231-C231</f>
        <v>18.053000000000001</v>
      </c>
      <c r="E231" s="1344"/>
      <c r="F231" s="1345"/>
      <c r="G231" s="1327"/>
      <c r="H231" s="1327"/>
      <c r="I231" s="1328"/>
      <c r="J231" s="1327"/>
      <c r="K231" s="1327"/>
      <c r="L231" s="1327"/>
      <c r="M231" s="262"/>
      <c r="N231" s="262"/>
      <c r="O231" s="262"/>
      <c r="P231" s="262"/>
      <c r="Q231" s="262"/>
      <c r="R231" s="262"/>
      <c r="S231" s="1320"/>
      <c r="T231" s="1320"/>
      <c r="U231" s="1320"/>
      <c r="V231" s="1320"/>
      <c r="W231" s="1320"/>
      <c r="X231" s="1320"/>
      <c r="Y231" s="1320"/>
      <c r="Z231" s="1320"/>
    </row>
    <row r="232" spans="1:26" ht="25.5" outlineLevel="1">
      <c r="A232" s="1527" t="s">
        <v>13304</v>
      </c>
      <c r="B232" s="384">
        <v>100938</v>
      </c>
      <c r="C232" s="295" t="s">
        <v>14476</v>
      </c>
      <c r="D232" s="658" t="str">
        <f>IFERROR(VLOOKUP($B232,'24.08_ND'!$A$4833:$D$12369,2,0),IFERROR(VLOOKUP($B232,'03-CP'!$C$5:$H$4646,2,0),""))</f>
        <v>TRANSPORTE COM CAMINHÃO BASCULANTE DE 10 M³, EM VIA INTERNA (DENTRO DO CANTEIRO - UNIDADE: M3XKM). AF_07/2020</v>
      </c>
      <c r="E232" s="1318" t="str">
        <f>IFERROR(VLOOKUP($B232,'24.08_ND'!$A:$D,3,0),IFERROR(VLOOKUP($B232,'03-CP'!$C$5:$H$4646,3,0),""))</f>
        <v>M3XKM</v>
      </c>
      <c r="F232" s="298">
        <f>F234</f>
        <v>36.106000000000002</v>
      </c>
      <c r="G232" s="295"/>
      <c r="H232" s="295"/>
      <c r="I232" s="1319"/>
      <c r="J232" s="512"/>
      <c r="K232" s="262"/>
      <c r="L232" s="1297" t="s">
        <v>16202</v>
      </c>
      <c r="M232" s="262"/>
      <c r="N232" s="262"/>
      <c r="O232" s="262"/>
      <c r="P232" s="262"/>
      <c r="Q232" s="262"/>
      <c r="R232" s="262"/>
      <c r="S232" s="262"/>
      <c r="T232" s="262"/>
      <c r="U232" s="262"/>
      <c r="V232" s="262"/>
      <c r="W232" s="262"/>
      <c r="X232" s="262"/>
      <c r="Y232" s="262"/>
      <c r="Z232" s="262"/>
    </row>
    <row r="233" spans="1:26" ht="12.75" hidden="1" outlineLevel="1">
      <c r="A233" s="1346"/>
      <c r="B233" s="1322"/>
      <c r="C233" s="1334"/>
      <c r="D233" s="1325" t="s">
        <v>16211</v>
      </c>
      <c r="E233" s="1347" t="s">
        <v>16212</v>
      </c>
      <c r="F233" s="1348" t="s">
        <v>16213</v>
      </c>
      <c r="G233" s="1349"/>
      <c r="H233" s="1349"/>
      <c r="I233" s="1350"/>
      <c r="J233" s="1351"/>
      <c r="K233" s="1352"/>
      <c r="L233" s="1353"/>
      <c r="M233" s="948"/>
      <c r="N233" s="262"/>
      <c r="O233" s="262"/>
      <c r="P233" s="262"/>
      <c r="Q233" s="262"/>
      <c r="R233" s="262"/>
      <c r="S233" s="262"/>
      <c r="T233" s="262"/>
      <c r="U233" s="262"/>
      <c r="V233" s="262"/>
      <c r="W233" s="262"/>
      <c r="X233" s="262"/>
      <c r="Y233" s="262"/>
      <c r="Z233" s="262"/>
    </row>
    <row r="234" spans="1:26" ht="12.75" hidden="1" outlineLevel="1">
      <c r="A234" s="1346"/>
      <c r="B234" s="1329"/>
      <c r="C234" s="1344"/>
      <c r="D234" s="1354">
        <f>D231</f>
        <v>18.053000000000001</v>
      </c>
      <c r="E234" s="1355">
        <v>2</v>
      </c>
      <c r="F234" s="1356">
        <f>D234*E234</f>
        <v>36.106000000000002</v>
      </c>
      <c r="G234" s="1349"/>
      <c r="H234" s="1349"/>
      <c r="I234" s="1350"/>
      <c r="J234" s="1351"/>
      <c r="K234" s="1352"/>
      <c r="L234" s="1353"/>
      <c r="M234" s="948"/>
      <c r="N234" s="262"/>
      <c r="O234" s="262"/>
      <c r="P234" s="262"/>
      <c r="Q234" s="262"/>
      <c r="R234" s="262"/>
      <c r="S234" s="262"/>
      <c r="T234" s="262"/>
      <c r="U234" s="262"/>
      <c r="V234" s="262"/>
      <c r="W234" s="262"/>
      <c r="X234" s="262"/>
      <c r="Y234" s="262"/>
      <c r="Z234" s="262"/>
    </row>
    <row r="235" spans="1:26" ht="25.5" outlineLevel="1">
      <c r="A235" s="240" t="s">
        <v>13305</v>
      </c>
      <c r="B235" s="303">
        <v>88631</v>
      </c>
      <c r="C235" s="303" t="s">
        <v>14476</v>
      </c>
      <c r="D235" s="1446" t="str">
        <f>IFERROR(VLOOKUP($B235,'24.08_ND'!$A$4833:$D$12369,2,0),IFERROR(VLOOKUP($B235,'03-CP'!$C$5:$H$4646,2,0),""))</f>
        <v>ARGAMASSA TRAÇO 1:4 (EM VOLUME DE CIMENTO E AREIA MÉDIA ÚMIDA), PREPARO MANUAL. AF_08/2019</v>
      </c>
      <c r="E235" s="1447" t="str">
        <f>IFERROR(VLOOKUP($B235,'24.08_ND'!$A:$D,3,0),IFERROR(VLOOKUP($B235,'03-CP'!$C$5:$H$4646,3,0),""))</f>
        <v>M3</v>
      </c>
      <c r="F235" s="306">
        <v>4.0999999999999996</v>
      </c>
      <c r="G235" s="303"/>
      <c r="H235" s="303"/>
      <c r="I235" s="1525"/>
      <c r="J235" s="512"/>
      <c r="K235" s="262"/>
      <c r="L235" s="1521"/>
      <c r="M235" s="948"/>
      <c r="N235" s="262"/>
      <c r="O235" s="262"/>
      <c r="P235" s="262"/>
      <c r="Q235" s="262"/>
      <c r="R235" s="262"/>
      <c r="S235" s="262"/>
      <c r="T235" s="262"/>
      <c r="U235" s="262"/>
      <c r="V235" s="262"/>
      <c r="W235" s="262"/>
      <c r="X235" s="262"/>
      <c r="Y235" s="262"/>
      <c r="Z235" s="262"/>
    </row>
    <row r="236" spans="1:26" ht="12.75" hidden="1" outlineLevel="1">
      <c r="A236" s="247"/>
      <c r="B236" s="386"/>
      <c r="C236" s="386"/>
      <c r="D236" s="253"/>
      <c r="E236" s="1244"/>
      <c r="F236" s="389"/>
      <c r="G236" s="1244"/>
      <c r="H236" s="1244"/>
      <c r="I236" s="1409"/>
      <c r="J236" s="1383"/>
      <c r="K236" s="262"/>
      <c r="L236" s="386"/>
      <c r="M236" s="262"/>
      <c r="N236" s="262"/>
      <c r="O236" s="262"/>
      <c r="P236" s="262"/>
      <c r="Q236" s="262"/>
      <c r="R236" s="262"/>
      <c r="S236" s="262"/>
      <c r="T236" s="262"/>
      <c r="U236" s="262"/>
      <c r="V236" s="262"/>
      <c r="W236" s="262"/>
      <c r="X236" s="262"/>
      <c r="Y236" s="262"/>
      <c r="Z236" s="262"/>
    </row>
    <row r="237" spans="1:26" ht="12.75">
      <c r="A237" s="239" t="s">
        <v>13306</v>
      </c>
      <c r="B237" s="1309"/>
      <c r="C237" s="1309"/>
      <c r="D237" s="1310" t="s">
        <v>16379</v>
      </c>
      <c r="E237" s="1311" t="s">
        <v>6</v>
      </c>
      <c r="F237" s="1312">
        <v>11</v>
      </c>
      <c r="G237" s="1310"/>
      <c r="H237" s="1524"/>
      <c r="I237" s="1313"/>
      <c r="J237" s="512"/>
      <c r="K237" s="262"/>
      <c r="L237" s="1521" t="s">
        <v>16349</v>
      </c>
      <c r="M237" s="948" t="s">
        <v>16350</v>
      </c>
      <c r="N237" s="262"/>
      <c r="O237" s="262"/>
      <c r="P237" s="262"/>
      <c r="Q237" s="262"/>
      <c r="R237" s="262"/>
      <c r="S237" s="262"/>
      <c r="T237" s="262"/>
      <c r="U237" s="262"/>
      <c r="V237" s="262"/>
      <c r="W237" s="262"/>
      <c r="X237" s="262"/>
      <c r="Y237" s="262"/>
      <c r="Z237" s="262"/>
    </row>
    <row r="238" spans="1:26" ht="38.25" outlineLevel="1">
      <c r="A238" s="240" t="s">
        <v>13307</v>
      </c>
      <c r="B238" s="303" t="s">
        <v>14588</v>
      </c>
      <c r="C238" s="303" t="s">
        <v>14472</v>
      </c>
      <c r="D238" s="1446" t="str">
        <f>IFERROR(VLOOKUP($B238,'24.08_ND'!$A$4833:$D$12369,2,0),IFERROR(VLOOKUP($B238,'03-CP'!$C$5:$H$4646,2,0),""))</f>
        <v>ESTACA ESCAVADA MECANICAMENTE, SEM FLUIDO ESTABILIZANTE, COM 40CM DE DIÂMETRO. (EXCLUSIVE MOBILIZAÇÃO E DESMOBILIZAÇÃO, ARMADURA, CONCRETAGEM E DESCARTE DO SOLO)</v>
      </c>
      <c r="E238" s="1447" t="str">
        <f>IFERROR(VLOOKUP($B238,'24.08_ND'!$A:$D,3,0),IFERROR(VLOOKUP($B238,'03-CP'!$C$5:$H$4646,3,0),""))</f>
        <v>M</v>
      </c>
      <c r="F238" s="306">
        <v>22</v>
      </c>
      <c r="G238" s="303"/>
      <c r="H238" s="303"/>
      <c r="I238" s="1525"/>
      <c r="J238" s="512"/>
      <c r="K238" s="262"/>
      <c r="L238" s="1297" t="s">
        <v>16202</v>
      </c>
      <c r="M238" s="262"/>
      <c r="N238" s="262"/>
      <c r="O238" s="262"/>
      <c r="P238" s="262"/>
      <c r="Q238" s="262"/>
      <c r="R238" s="262"/>
      <c r="S238" s="262"/>
      <c r="T238" s="262"/>
      <c r="U238" s="262"/>
      <c r="V238" s="262"/>
      <c r="W238" s="262"/>
      <c r="X238" s="262"/>
      <c r="Y238" s="262"/>
      <c r="Z238" s="262"/>
    </row>
    <row r="239" spans="1:26" ht="25.5" outlineLevel="1">
      <c r="A239" s="240" t="s">
        <v>13308</v>
      </c>
      <c r="B239" s="303">
        <v>101616</v>
      </c>
      <c r="C239" s="303" t="s">
        <v>14476</v>
      </c>
      <c r="D239" s="1446" t="str">
        <f>IFERROR(VLOOKUP($B239,'24.08_ND'!$A$4833:$D$12369,2,0),IFERROR(VLOOKUP($B239,'03-CP'!$C$5:$H$4646,2,0),""))</f>
        <v>PREPARO DE FUNDO DE VALA COM LARGURA MENOR QUE 1,5 M (ACERTO DO SOLO NATURAL). AF_08/2020</v>
      </c>
      <c r="E239" s="1447" t="str">
        <f>IFERROR(VLOOKUP($B239,'24.08_ND'!$A:$D,3,0),IFERROR(VLOOKUP($B239,'03-CP'!$C$5:$H$4646,3,0),""))</f>
        <v>M2</v>
      </c>
      <c r="F239" s="306">
        <v>1.38</v>
      </c>
      <c r="G239" s="303"/>
      <c r="H239" s="303"/>
      <c r="I239" s="1525"/>
      <c r="J239" s="512"/>
      <c r="K239" s="262"/>
      <c r="L239" s="1297" t="s">
        <v>16202</v>
      </c>
      <c r="M239" s="262"/>
      <c r="N239" s="262"/>
      <c r="O239" s="262"/>
      <c r="P239" s="262"/>
      <c r="Q239" s="262"/>
      <c r="R239" s="262"/>
      <c r="S239" s="262"/>
      <c r="T239" s="262"/>
      <c r="U239" s="262"/>
      <c r="V239" s="262"/>
      <c r="W239" s="262"/>
      <c r="X239" s="262"/>
      <c r="Y239" s="262"/>
      <c r="Z239" s="262"/>
    </row>
    <row r="240" spans="1:26" ht="25.5" outlineLevel="1">
      <c r="A240" s="240" t="s">
        <v>13309</v>
      </c>
      <c r="B240" s="303" t="s">
        <v>14590</v>
      </c>
      <c r="C240" s="303" t="s">
        <v>14472</v>
      </c>
      <c r="D240" s="1446" t="str">
        <f>IFERROR(VLOOKUP($B240,'24.08_ND'!$A$4833:$D$12369,2,0),IFERROR(VLOOKUP($B240,'03-CP'!$C$5:$H$4646,2,0),""))</f>
        <v>CONCRETAGEM FCK = 25 MPA, COM USO DE BOMBA - LANÇAMENTO, ADENSAMENTO E ACABAMENTO</v>
      </c>
      <c r="E240" s="1447" t="str">
        <f>IFERROR(VLOOKUP($B240,'24.08_ND'!$A:$D,3,0),IFERROR(VLOOKUP($B240,'03-CP'!$C$5:$H$4646,3,0),""))</f>
        <v>M3</v>
      </c>
      <c r="F240" s="306">
        <v>2.76</v>
      </c>
      <c r="G240" s="303"/>
      <c r="H240" s="303"/>
      <c r="I240" s="1525"/>
      <c r="J240" s="512"/>
      <c r="K240" s="262"/>
      <c r="L240" s="1297" t="s">
        <v>16202</v>
      </c>
      <c r="M240" s="262"/>
      <c r="N240" s="262"/>
      <c r="O240" s="262"/>
      <c r="P240" s="262"/>
      <c r="Q240" s="262"/>
      <c r="R240" s="262"/>
      <c r="S240" s="262"/>
      <c r="T240" s="262"/>
      <c r="U240" s="262"/>
      <c r="V240" s="262"/>
      <c r="W240" s="262"/>
      <c r="X240" s="262"/>
      <c r="Y240" s="262"/>
      <c r="Z240" s="262"/>
    </row>
    <row r="241" spans="1:26" ht="25.5" outlineLevel="1">
      <c r="A241" s="240" t="s">
        <v>13310</v>
      </c>
      <c r="B241" s="303">
        <v>95577</v>
      </c>
      <c r="C241" s="303" t="s">
        <v>14476</v>
      </c>
      <c r="D241" s="1446" t="str">
        <f>IFERROR(VLOOKUP($B241,'24.08_ND'!$A$4833:$D$12369,2,0),IFERROR(VLOOKUP($B241,'03-CP'!$C$5:$H$4646,2,0),""))</f>
        <v>MONTAGEM DE ARMADURA DE ESTACAS, DIÂMETRO = 10,0 MM. AF_09/2021_PS</v>
      </c>
      <c r="E241" s="1447" t="str">
        <f>IFERROR(VLOOKUP($B241,'24.08_ND'!$A:$D,3,0),IFERROR(VLOOKUP($B241,'03-CP'!$C$5:$H$4646,3,0),""))</f>
        <v>KG</v>
      </c>
      <c r="F241" s="306">
        <v>90.27</v>
      </c>
      <c r="G241" s="303"/>
      <c r="H241" s="303"/>
      <c r="I241" s="1525"/>
      <c r="J241" s="512"/>
      <c r="K241" s="262"/>
      <c r="L241" s="1297" t="s">
        <v>16202</v>
      </c>
      <c r="M241" s="262"/>
      <c r="N241" s="262"/>
      <c r="O241" s="262"/>
      <c r="P241" s="262"/>
      <c r="Q241" s="262"/>
      <c r="R241" s="262"/>
      <c r="S241" s="262"/>
      <c r="T241" s="262"/>
      <c r="U241" s="262"/>
      <c r="V241" s="262"/>
      <c r="W241" s="262"/>
      <c r="X241" s="262"/>
      <c r="Y241" s="262"/>
      <c r="Z241" s="262"/>
    </row>
    <row r="242" spans="1:26" ht="25.5" outlineLevel="1">
      <c r="A242" s="240" t="s">
        <v>13311</v>
      </c>
      <c r="B242" s="303">
        <v>95584</v>
      </c>
      <c r="C242" s="303" t="s">
        <v>14476</v>
      </c>
      <c r="D242" s="1446" t="str">
        <f>IFERROR(VLOOKUP($B242,'24.08_ND'!$A$4833:$D$12369,2,0),IFERROR(VLOOKUP($B242,'03-CP'!$C$5:$H$4646,2,0),""))</f>
        <v>MONTAGEM DE ARMADURA TRANSVERSAL DE ESTACAS DE SEÇÃO CIRCULAR, DIÂMETRO = 6,30 MM. AF_09/2021_PS</v>
      </c>
      <c r="E242" s="1447" t="str">
        <f>IFERROR(VLOOKUP($B242,'24.08_ND'!$A:$D,3,0),IFERROR(VLOOKUP($B242,'03-CP'!$C$5:$H$4646,3,0),""))</f>
        <v>KG</v>
      </c>
      <c r="F242" s="306">
        <v>25.47</v>
      </c>
      <c r="G242" s="303"/>
      <c r="H242" s="303"/>
      <c r="I242" s="1525"/>
      <c r="J242" s="512"/>
      <c r="K242" s="262"/>
      <c r="L242" s="1297" t="s">
        <v>16202</v>
      </c>
      <c r="M242" s="262"/>
      <c r="N242" s="262"/>
      <c r="O242" s="262"/>
      <c r="P242" s="262"/>
      <c r="Q242" s="262"/>
      <c r="R242" s="262"/>
      <c r="S242" s="262"/>
      <c r="T242" s="262"/>
      <c r="U242" s="262"/>
      <c r="V242" s="262"/>
      <c r="W242" s="262"/>
      <c r="X242" s="262"/>
      <c r="Y242" s="262"/>
      <c r="Z242" s="262"/>
    </row>
    <row r="243" spans="1:26" ht="51" outlineLevel="1">
      <c r="A243" s="1527" t="s">
        <v>13312</v>
      </c>
      <c r="B243" s="295">
        <v>100978</v>
      </c>
      <c r="C243" s="295" t="s">
        <v>14476</v>
      </c>
      <c r="D243" s="658" t="str">
        <f>IFERROR(VLOOKUP($B243,'24.08_ND'!$A$4833:$D$12369,2,0),IFERROR(VLOOKUP($B243,'03-CP'!$C$5:$H$4646,2,0),""))</f>
        <v>CARGA, MANOBRA E DESCARGA DE SOLOS E MATERIAIS GRANULARES EM CAMINHÃO BASCULANTE 10 M³ - CARGA COM ESCAVADEIRA HIDRÁULICA (CAÇAMBA DE 1,20 M³ / 155 HP) E DESCARGA LIVRE (UNIDADE: M3). AF_07/2020</v>
      </c>
      <c r="E243" s="1318" t="str">
        <f>IFERROR(VLOOKUP($B243,'24.08_ND'!$A:$D,3,0),IFERROR(VLOOKUP($B243,'03-CP'!$C$5:$H$4646,3,0),""))</f>
        <v>M3</v>
      </c>
      <c r="F243" s="298">
        <f>D247</f>
        <v>3.8639999999999994</v>
      </c>
      <c r="G243" s="295"/>
      <c r="H243" s="295"/>
      <c r="I243" s="1319"/>
      <c r="J243" s="512"/>
      <c r="K243" s="262"/>
      <c r="L243" s="1528" t="s">
        <v>16202</v>
      </c>
      <c r="M243" s="262"/>
      <c r="N243" s="262"/>
      <c r="O243" s="262"/>
      <c r="P243" s="262"/>
      <c r="Q243" s="262"/>
      <c r="R243" s="262"/>
      <c r="S243" s="262"/>
      <c r="T243" s="262"/>
      <c r="U243" s="262"/>
      <c r="V243" s="262"/>
      <c r="W243" s="262"/>
      <c r="X243" s="262"/>
      <c r="Y243" s="262"/>
      <c r="Z243" s="262"/>
    </row>
    <row r="244" spans="1:26" ht="12.75" hidden="1" outlineLevel="1">
      <c r="A244" s="1321"/>
      <c r="B244" s="1322" t="s">
        <v>16206</v>
      </c>
      <c r="C244" s="1323" t="s">
        <v>16207</v>
      </c>
      <c r="D244" s="1324" t="s">
        <v>16208</v>
      </c>
      <c r="E244" s="1334"/>
      <c r="F244" s="1335"/>
      <c r="G244" s="1327"/>
      <c r="H244" s="1327"/>
      <c r="I244" s="1328"/>
      <c r="J244" s="1327"/>
      <c r="K244" s="1327"/>
      <c r="L244" s="1327"/>
      <c r="M244" s="262"/>
      <c r="N244" s="262"/>
      <c r="O244" s="262"/>
      <c r="P244" s="262"/>
      <c r="Q244" s="262"/>
      <c r="R244" s="262"/>
      <c r="S244" s="1320"/>
      <c r="T244" s="1320"/>
      <c r="U244" s="1320"/>
      <c r="V244" s="1320"/>
      <c r="W244" s="1320"/>
      <c r="X244" s="1320"/>
      <c r="Y244" s="1320"/>
      <c r="Z244" s="1320"/>
    </row>
    <row r="245" spans="1:26" ht="12.75" hidden="1" outlineLevel="1">
      <c r="A245" s="1321"/>
      <c r="B245" s="1336">
        <f>F240</f>
        <v>2.76</v>
      </c>
      <c r="C245" s="1327">
        <v>1.4</v>
      </c>
      <c r="D245" s="1337">
        <f>B245*C245</f>
        <v>3.8639999999999994</v>
      </c>
      <c r="E245" s="1338"/>
      <c r="F245" s="1339"/>
      <c r="G245" s="1327"/>
      <c r="H245" s="1327"/>
      <c r="I245" s="1328"/>
      <c r="J245" s="1327"/>
      <c r="K245" s="1327"/>
      <c r="L245" s="1327"/>
      <c r="M245" s="262"/>
      <c r="N245" s="262"/>
      <c r="O245" s="262"/>
      <c r="P245" s="262"/>
      <c r="Q245" s="262"/>
      <c r="R245" s="262"/>
      <c r="S245" s="1320"/>
      <c r="T245" s="1320"/>
      <c r="U245" s="1320"/>
      <c r="V245" s="1320"/>
      <c r="W245" s="1320"/>
      <c r="X245" s="1320"/>
      <c r="Y245" s="1320"/>
      <c r="Z245" s="1320"/>
    </row>
    <row r="246" spans="1:26" ht="12.75" hidden="1" outlineLevel="1">
      <c r="A246" s="1321"/>
      <c r="B246" s="1340" t="s">
        <v>16209</v>
      </c>
      <c r="C246" s="1327" t="s">
        <v>16205</v>
      </c>
      <c r="D246" s="1341" t="s">
        <v>16210</v>
      </c>
      <c r="E246" s="1338"/>
      <c r="F246" s="1339"/>
      <c r="G246" s="1327"/>
      <c r="H246" s="1327"/>
      <c r="I246" s="1328"/>
      <c r="J246" s="1327"/>
      <c r="K246" s="1327"/>
      <c r="L246" s="1327"/>
      <c r="M246" s="262"/>
      <c r="N246" s="262"/>
      <c r="O246" s="262"/>
      <c r="P246" s="262"/>
      <c r="Q246" s="262"/>
      <c r="R246" s="262"/>
      <c r="S246" s="1320"/>
      <c r="T246" s="1320"/>
      <c r="U246" s="1320"/>
      <c r="V246" s="1320"/>
      <c r="W246" s="1320"/>
      <c r="X246" s="1320"/>
      <c r="Y246" s="1320"/>
      <c r="Z246" s="1320"/>
    </row>
    <row r="247" spans="1:26" ht="12.75" hidden="1" outlineLevel="1">
      <c r="A247" s="1321"/>
      <c r="B247" s="1329">
        <f>D245</f>
        <v>3.8639999999999994</v>
      </c>
      <c r="C247" s="1330">
        <v>0</v>
      </c>
      <c r="D247" s="1365">
        <f>B247-C247</f>
        <v>3.8639999999999994</v>
      </c>
      <c r="E247" s="1344"/>
      <c r="F247" s="1345"/>
      <c r="G247" s="1327"/>
      <c r="H247" s="1327"/>
      <c r="I247" s="1328"/>
      <c r="J247" s="1327"/>
      <c r="K247" s="1327"/>
      <c r="L247" s="1327"/>
      <c r="M247" s="262"/>
      <c r="N247" s="262"/>
      <c r="O247" s="262"/>
      <c r="P247" s="262"/>
      <c r="Q247" s="262"/>
      <c r="R247" s="262"/>
      <c r="S247" s="1320"/>
      <c r="T247" s="1320"/>
      <c r="U247" s="1320"/>
      <c r="V247" s="1320"/>
      <c r="W247" s="1320"/>
      <c r="X247" s="1320"/>
      <c r="Y247" s="1320"/>
      <c r="Z247" s="1320"/>
    </row>
    <row r="248" spans="1:26" ht="25.5" outlineLevel="1">
      <c r="A248" s="1527" t="s">
        <v>13313</v>
      </c>
      <c r="B248" s="295">
        <v>100938</v>
      </c>
      <c r="C248" s="295" t="s">
        <v>14476</v>
      </c>
      <c r="D248" s="658" t="str">
        <f>IFERROR(VLOOKUP($B248,'24.08_ND'!$A$4833:$D$12369,2,0),IFERROR(VLOOKUP($B248,'03-CP'!$C$5:$H$4646,2,0),""))</f>
        <v>TRANSPORTE COM CAMINHÃO BASCULANTE DE 10 M³, EM VIA INTERNA (DENTRO DO CANTEIRO - UNIDADE: M3XKM). AF_07/2020</v>
      </c>
      <c r="E248" s="1318" t="str">
        <f>IFERROR(VLOOKUP($B248,'24.08_ND'!$A:$D,3,0),IFERROR(VLOOKUP($B248,'03-CP'!$C$5:$H$4646,3,0),""))</f>
        <v>M3XKM</v>
      </c>
      <c r="F248" s="298">
        <f>F250</f>
        <v>7.7279999999999989</v>
      </c>
      <c r="G248" s="295"/>
      <c r="H248" s="295"/>
      <c r="I248" s="1319"/>
      <c r="J248" s="512"/>
      <c r="K248" s="262"/>
      <c r="L248" s="1528" t="s">
        <v>16202</v>
      </c>
      <c r="M248" s="262"/>
      <c r="N248" s="262"/>
      <c r="O248" s="262"/>
      <c r="P248" s="262"/>
      <c r="Q248" s="262"/>
      <c r="R248" s="262"/>
      <c r="S248" s="262"/>
      <c r="T248" s="262"/>
      <c r="U248" s="262"/>
      <c r="V248" s="262"/>
      <c r="W248" s="262"/>
      <c r="X248" s="262"/>
      <c r="Y248" s="262"/>
      <c r="Z248" s="262"/>
    </row>
    <row r="249" spans="1:26" ht="12.75" hidden="1" outlineLevel="1">
      <c r="A249" s="1346"/>
      <c r="B249" s="1322"/>
      <c r="C249" s="1334"/>
      <c r="D249" s="1325" t="s">
        <v>16211</v>
      </c>
      <c r="E249" s="1347" t="s">
        <v>16212</v>
      </c>
      <c r="F249" s="1348" t="s">
        <v>16213</v>
      </c>
      <c r="G249" s="1349"/>
      <c r="H249" s="1349"/>
      <c r="I249" s="1350"/>
      <c r="J249" s="1351"/>
      <c r="K249" s="1352"/>
      <c r="L249" s="1353"/>
      <c r="M249" s="948"/>
      <c r="N249" s="262"/>
      <c r="O249" s="262"/>
      <c r="P249" s="262"/>
      <c r="Q249" s="262"/>
      <c r="R249" s="262"/>
      <c r="S249" s="262"/>
      <c r="T249" s="262"/>
      <c r="U249" s="262"/>
      <c r="V249" s="262"/>
      <c r="W249" s="262"/>
      <c r="X249" s="262"/>
      <c r="Y249" s="262"/>
      <c r="Z249" s="262"/>
    </row>
    <row r="250" spans="1:26" ht="12.75" hidden="1" outlineLevel="1">
      <c r="A250" s="1346"/>
      <c r="B250" s="1329"/>
      <c r="C250" s="1344"/>
      <c r="D250" s="1332">
        <f>D247</f>
        <v>3.8639999999999994</v>
      </c>
      <c r="E250" s="1355">
        <v>2</v>
      </c>
      <c r="F250" s="1356">
        <f>D250*E250</f>
        <v>7.7279999999999989</v>
      </c>
      <c r="G250" s="1349"/>
      <c r="H250" s="1349"/>
      <c r="I250" s="1350"/>
      <c r="J250" s="1351"/>
      <c r="K250" s="1352"/>
      <c r="L250" s="1353"/>
      <c r="M250" s="948"/>
      <c r="N250" s="262"/>
      <c r="O250" s="262"/>
      <c r="P250" s="262"/>
      <c r="Q250" s="262"/>
      <c r="R250" s="262"/>
      <c r="S250" s="262"/>
      <c r="T250" s="262"/>
      <c r="U250" s="262"/>
      <c r="V250" s="262"/>
      <c r="W250" s="262"/>
      <c r="X250" s="262"/>
      <c r="Y250" s="262"/>
      <c r="Z250" s="262"/>
    </row>
    <row r="251" spans="1:26" ht="12.75" hidden="1" outlineLevel="1">
      <c r="A251" s="247"/>
      <c r="B251" s="386"/>
      <c r="C251" s="386"/>
      <c r="D251" s="253"/>
      <c r="E251" s="1244"/>
      <c r="F251" s="389"/>
      <c r="G251" s="1244"/>
      <c r="H251" s="1244"/>
      <c r="I251" s="1409"/>
      <c r="J251" s="1383"/>
      <c r="K251" s="262"/>
      <c r="L251" s="386"/>
      <c r="M251" s="262"/>
      <c r="N251" s="262"/>
      <c r="O251" s="262"/>
      <c r="P251" s="262"/>
      <c r="Q251" s="262"/>
      <c r="R251" s="262"/>
      <c r="S251" s="262"/>
      <c r="T251" s="262"/>
      <c r="U251" s="262"/>
      <c r="V251" s="262"/>
      <c r="W251" s="262"/>
      <c r="X251" s="262"/>
      <c r="Y251" s="262"/>
      <c r="Z251" s="262"/>
    </row>
    <row r="252" spans="1:26" ht="12.75">
      <c r="A252" s="239" t="s">
        <v>13314</v>
      </c>
      <c r="B252" s="1309"/>
      <c r="C252" s="1309"/>
      <c r="D252" s="1310" t="s">
        <v>16380</v>
      </c>
      <c r="E252" s="1311"/>
      <c r="F252" s="1312"/>
      <c r="G252" s="1310"/>
      <c r="H252" s="1524"/>
      <c r="I252" s="1313"/>
      <c r="J252" s="512"/>
      <c r="K252" s="262"/>
      <c r="L252" s="1521" t="s">
        <v>16349</v>
      </c>
      <c r="M252" s="948" t="s">
        <v>16350</v>
      </c>
      <c r="N252" s="262"/>
      <c r="O252" s="262"/>
      <c r="P252" s="262"/>
      <c r="Q252" s="262"/>
      <c r="R252" s="262"/>
      <c r="S252" s="262"/>
      <c r="T252" s="262"/>
      <c r="U252" s="262"/>
      <c r="V252" s="262"/>
      <c r="W252" s="262"/>
      <c r="X252" s="262"/>
      <c r="Y252" s="262"/>
      <c r="Z252" s="262"/>
    </row>
    <row r="253" spans="1:26" ht="12.75" outlineLevel="1">
      <c r="A253" s="1529" t="s">
        <v>13315</v>
      </c>
      <c r="B253" s="1530"/>
      <c r="C253" s="1530"/>
      <c r="D253" s="1531" t="s">
        <v>16367</v>
      </c>
      <c r="E253" s="1532"/>
      <c r="F253" s="1533"/>
      <c r="G253" s="1531"/>
      <c r="H253" s="1531"/>
      <c r="I253" s="1535"/>
      <c r="J253" s="512"/>
      <c r="K253" s="262"/>
      <c r="L253" s="386"/>
      <c r="M253" s="262"/>
      <c r="N253" s="262"/>
      <c r="O253" s="262"/>
      <c r="P253" s="262"/>
      <c r="Q253" s="262"/>
      <c r="R253" s="262"/>
      <c r="S253" s="262"/>
      <c r="T253" s="262"/>
      <c r="U253" s="262"/>
      <c r="V253" s="262"/>
      <c r="W253" s="262"/>
      <c r="X253" s="262"/>
      <c r="Y253" s="262"/>
      <c r="Z253" s="262"/>
    </row>
    <row r="254" spans="1:26" ht="38.25" outlineLevel="1">
      <c r="A254" s="241" t="s">
        <v>13316</v>
      </c>
      <c r="B254" s="386" t="s">
        <v>12604</v>
      </c>
      <c r="C254" s="386" t="s">
        <v>14472</v>
      </c>
      <c r="D254" s="1314" t="str">
        <f>IFERROR(VLOOKUP($B254,'24.08_ND'!$A$4833:$D$12369,2,0),IFERROR(VLOOKUP($B254,'03-CP'!$C$5:$H$4646,2,0),""))</f>
        <v xml:space="preserve">EXECUÇÃO DE PASSEIO (CALÇADA) OU PISO DE CONCRETO C25 MOLDADO IN LOCO, USINADO, ACABAMENTO CONVENCIONAL, ESPESSURA 8 CM, ARMADO. </v>
      </c>
      <c r="E254" s="1315" t="str">
        <f>IFERROR(VLOOKUP($B254,'24.08_ND'!$A:$D,3,0),IFERROR(VLOOKUP($B254,'03-CP'!$C$5:$H$4646,3,0),""))</f>
        <v>M2</v>
      </c>
      <c r="F254" s="389">
        <v>25.51</v>
      </c>
      <c r="G254" s="386"/>
      <c r="H254" s="386"/>
      <c r="I254" s="1316"/>
      <c r="J254" s="512"/>
      <c r="K254" s="262"/>
      <c r="L254" s="1297" t="s">
        <v>16202</v>
      </c>
      <c r="M254" s="262"/>
      <c r="N254" s="262"/>
      <c r="O254" s="262"/>
      <c r="P254" s="262"/>
      <c r="Q254" s="262"/>
      <c r="R254" s="262"/>
      <c r="S254" s="262"/>
      <c r="T254" s="262"/>
      <c r="U254" s="262"/>
      <c r="V254" s="262"/>
      <c r="W254" s="262"/>
      <c r="X254" s="262"/>
      <c r="Y254" s="262"/>
      <c r="Z254" s="262"/>
    </row>
    <row r="255" spans="1:26" ht="25.5" outlineLevel="1">
      <c r="A255" s="241" t="s">
        <v>13317</v>
      </c>
      <c r="B255" s="386">
        <v>101616</v>
      </c>
      <c r="C255" s="386" t="s">
        <v>14476</v>
      </c>
      <c r="D255" s="1314" t="str">
        <f>IFERROR(VLOOKUP($B255,'24.08_ND'!$A$4833:$D$12369,2,0),IFERROR(VLOOKUP($B255,'03-CP'!$C$5:$H$4646,2,0),""))</f>
        <v>PREPARO DE FUNDO DE VALA COM LARGURA MENOR QUE 1,5 M (ACERTO DO SOLO NATURAL). AF_08/2020</v>
      </c>
      <c r="E255" s="1315" t="str">
        <f>IFERROR(VLOOKUP($B255,'24.08_ND'!$A:$D,3,0),IFERROR(VLOOKUP($B255,'03-CP'!$C$5:$H$4646,3,0),""))</f>
        <v>M2</v>
      </c>
      <c r="F255" s="389">
        <v>25.51</v>
      </c>
      <c r="G255" s="386"/>
      <c r="H255" s="386"/>
      <c r="I255" s="1316"/>
      <c r="J255" s="512"/>
      <c r="K255" s="262"/>
      <c r="L255" s="1297" t="s">
        <v>16202</v>
      </c>
      <c r="M255" s="262"/>
      <c r="N255" s="262"/>
      <c r="O255" s="262"/>
      <c r="P255" s="262"/>
      <c r="Q255" s="262"/>
      <c r="R255" s="262"/>
      <c r="S255" s="262"/>
      <c r="T255" s="262"/>
      <c r="U255" s="262"/>
      <c r="V255" s="262"/>
      <c r="W255" s="262"/>
      <c r="X255" s="262"/>
      <c r="Y255" s="262"/>
      <c r="Z255" s="262"/>
    </row>
    <row r="256" spans="1:26" ht="25.5" outlineLevel="1">
      <c r="A256" s="241" t="s">
        <v>13318</v>
      </c>
      <c r="B256" s="386">
        <v>96622</v>
      </c>
      <c r="C256" s="386" t="s">
        <v>14476</v>
      </c>
      <c r="D256" s="1314" t="str">
        <f>IFERROR(VLOOKUP($B256,'24.08_ND'!$A$4833:$D$12369,2,0),IFERROR(VLOOKUP($B256,'03-CP'!$C$5:$H$4646,2,0),""))</f>
        <v>LASTRO COM MATERIAL GRANULAR, APLICADO EM PISOS OU LAJES SOBRE SOLO, ESPESSURA DE *5 CM*. AF_01/2024</v>
      </c>
      <c r="E256" s="1315" t="str">
        <f>IFERROR(VLOOKUP($B256,'24.08_ND'!$A:$D,3,0),IFERROR(VLOOKUP($B256,'03-CP'!$C$5:$H$4646,3,0),""))</f>
        <v>M3</v>
      </c>
      <c r="F256" s="389">
        <v>1.28</v>
      </c>
      <c r="G256" s="386"/>
      <c r="H256" s="386"/>
      <c r="I256" s="1316"/>
      <c r="J256" s="512"/>
      <c r="K256" s="262"/>
      <c r="L256" s="1297" t="s">
        <v>16202</v>
      </c>
      <c r="M256" s="262"/>
      <c r="N256" s="262"/>
      <c r="O256" s="262"/>
      <c r="P256" s="262"/>
      <c r="Q256" s="262"/>
      <c r="R256" s="262"/>
      <c r="S256" s="262"/>
      <c r="T256" s="262"/>
      <c r="U256" s="262"/>
      <c r="V256" s="262"/>
      <c r="W256" s="262"/>
      <c r="X256" s="262"/>
      <c r="Y256" s="262"/>
      <c r="Z256" s="262"/>
    </row>
    <row r="257" spans="1:26" ht="25.5" outlineLevel="1">
      <c r="A257" s="241" t="s">
        <v>13319</v>
      </c>
      <c r="B257" s="386">
        <v>97087</v>
      </c>
      <c r="C257" s="386" t="s">
        <v>14476</v>
      </c>
      <c r="D257" s="1314" t="str">
        <f>IFERROR(VLOOKUP($B257,'24.08_ND'!$A$4833:$D$12369,2,0),IFERROR(VLOOKUP($B257,'03-CP'!$C$5:$H$4646,2,0),""))</f>
        <v>CAMADA SEPARADORA PARA EXECUÇÃO DE RADIER, PISO DE CONCRETO OU LAJE SOBRE SOLO, EM LONA PLÁSTICA. AF_09/2021</v>
      </c>
      <c r="E257" s="1315" t="str">
        <f>IFERROR(VLOOKUP($B257,'24.08_ND'!$A:$D,3,0),IFERROR(VLOOKUP($B257,'03-CP'!$C$5:$H$4646,3,0),""))</f>
        <v>M2</v>
      </c>
      <c r="F257" s="389">
        <v>28.06</v>
      </c>
      <c r="G257" s="386"/>
      <c r="H257" s="386"/>
      <c r="I257" s="1316"/>
      <c r="J257" s="512"/>
      <c r="K257" s="262"/>
      <c r="L257" s="1297" t="s">
        <v>16202</v>
      </c>
      <c r="M257" s="262"/>
      <c r="N257" s="262"/>
      <c r="O257" s="262"/>
      <c r="P257" s="262"/>
      <c r="Q257" s="262"/>
      <c r="R257" s="262"/>
      <c r="S257" s="262"/>
      <c r="T257" s="262"/>
      <c r="U257" s="262"/>
      <c r="V257" s="262"/>
      <c r="W257" s="262"/>
      <c r="X257" s="262"/>
      <c r="Y257" s="262"/>
      <c r="Z257" s="262"/>
    </row>
    <row r="258" spans="1:26" ht="38.25" outlineLevel="1">
      <c r="A258" s="241" t="s">
        <v>12608</v>
      </c>
      <c r="B258" s="386" t="s">
        <v>14598</v>
      </c>
      <c r="C258" s="386" t="s">
        <v>14472</v>
      </c>
      <c r="D258" s="1314" t="str">
        <f>IFERROR(VLOOKUP($B258,'24.08_ND'!$A$4833:$D$12369,2,0),IFERROR(VLOOKUP($B258,'03-CP'!$C$5:$H$4646,2,0),""))</f>
        <v>CURA ÚMIDA POR ASPERSÃO DE ÁGUA DURANTE 3 DIAS COM UTILIZAÇÃO DE MANTA GEOTEXTIL NAO TECIDO AGULHADO DE FILAMENTOS CONTINUOS 100% POLIESTER - 4 UTILIZAÇÕES</v>
      </c>
      <c r="E258" s="1315" t="str">
        <f>IFERROR(VLOOKUP($B258,'24.08_ND'!$A:$D,3,0),IFERROR(VLOOKUP($B258,'03-CP'!$C$5:$H$4646,3,0),""))</f>
        <v>M2</v>
      </c>
      <c r="F258" s="389">
        <v>25.51</v>
      </c>
      <c r="G258" s="386"/>
      <c r="H258" s="386"/>
      <c r="I258" s="1316"/>
      <c r="J258" s="512"/>
      <c r="K258" s="262"/>
      <c r="L258" s="1297" t="s">
        <v>16202</v>
      </c>
      <c r="M258" s="262"/>
      <c r="N258" s="262"/>
      <c r="O258" s="262"/>
      <c r="P258" s="262"/>
      <c r="Q258" s="262"/>
      <c r="R258" s="262"/>
      <c r="S258" s="262"/>
      <c r="T258" s="262"/>
      <c r="U258" s="262"/>
      <c r="V258" s="262"/>
      <c r="W258" s="262"/>
      <c r="X258" s="262"/>
      <c r="Y258" s="262"/>
      <c r="Z258" s="262"/>
    </row>
    <row r="259" spans="1:26" ht="12.75" outlineLevel="1">
      <c r="A259" s="1529" t="s">
        <v>13320</v>
      </c>
      <c r="B259" s="1530"/>
      <c r="C259" s="1530"/>
      <c r="D259" s="1531" t="s">
        <v>16381</v>
      </c>
      <c r="E259" s="1532"/>
      <c r="F259" s="1533"/>
      <c r="G259" s="1531"/>
      <c r="H259" s="1531"/>
      <c r="I259" s="1535"/>
      <c r="J259" s="512"/>
      <c r="K259" s="262"/>
      <c r="L259" s="386"/>
      <c r="M259" s="262"/>
      <c r="N259" s="262"/>
      <c r="O259" s="262"/>
      <c r="P259" s="262"/>
      <c r="Q259" s="262"/>
      <c r="R259" s="262"/>
      <c r="S259" s="262"/>
      <c r="T259" s="262"/>
      <c r="U259" s="262"/>
      <c r="V259" s="262"/>
      <c r="W259" s="262"/>
      <c r="X259" s="262"/>
      <c r="Y259" s="262"/>
      <c r="Z259" s="262"/>
    </row>
    <row r="260" spans="1:26" ht="25.5" outlineLevel="1">
      <c r="A260" s="241" t="s">
        <v>13321</v>
      </c>
      <c r="B260" s="386">
        <v>101616</v>
      </c>
      <c r="C260" s="386" t="s">
        <v>14476</v>
      </c>
      <c r="D260" s="1314" t="str">
        <f>IFERROR(VLOOKUP($B260,'24.08_ND'!$A$4833:$D$12369,2,0),IFERROR(VLOOKUP($B260,'03-CP'!$C$5:$H$4646,2,0),""))</f>
        <v>PREPARO DE FUNDO DE VALA COM LARGURA MENOR QUE 1,5 M (ACERTO DO SOLO NATURAL). AF_08/2020</v>
      </c>
      <c r="E260" s="1315" t="str">
        <f>IFERROR(VLOOKUP($B260,'24.08_ND'!$A:$D,3,0),IFERROR(VLOOKUP($B260,'03-CP'!$C$5:$H$4646,3,0),""))</f>
        <v>M2</v>
      </c>
      <c r="F260" s="389">
        <v>12.69</v>
      </c>
      <c r="G260" s="386"/>
      <c r="H260" s="386"/>
      <c r="I260" s="1316"/>
      <c r="J260" s="512"/>
      <c r="K260" s="262"/>
      <c r="L260" s="1297" t="s">
        <v>16202</v>
      </c>
      <c r="M260" s="262"/>
      <c r="N260" s="262"/>
      <c r="O260" s="262"/>
      <c r="P260" s="262"/>
      <c r="Q260" s="262"/>
      <c r="R260" s="262"/>
      <c r="S260" s="262"/>
      <c r="T260" s="262"/>
      <c r="U260" s="262"/>
      <c r="V260" s="262"/>
      <c r="W260" s="262"/>
      <c r="X260" s="262"/>
      <c r="Y260" s="262"/>
      <c r="Z260" s="262"/>
    </row>
    <row r="261" spans="1:26" ht="25.5" outlineLevel="1">
      <c r="A261" s="241" t="s">
        <v>13322</v>
      </c>
      <c r="B261" s="1556">
        <v>96624</v>
      </c>
      <c r="C261" s="386" t="s">
        <v>14476</v>
      </c>
      <c r="D261" s="1314" t="str">
        <f>IFERROR(VLOOKUP($B261,'24.08_ND'!$A$4833:$D$12369,2,0),IFERROR(VLOOKUP($B261,'03-CP'!$C$5:$H$4646,2,0),""))</f>
        <v>LASTRO COM MATERIAL GRANULAR (PEDRA BRITADA N.2), APLICADO EM PISOS OU LAJES SOBRE SOLO, ESPESSURA DE *10 CM*. AF_01/2024</v>
      </c>
      <c r="E261" s="1315" t="str">
        <f>IFERROR(VLOOKUP($B261,'24.08_ND'!$A:$D,3,0),IFERROR(VLOOKUP($B261,'03-CP'!$C$5:$H$4646,3,0),""))</f>
        <v>M3</v>
      </c>
      <c r="F261" s="389">
        <v>0.63</v>
      </c>
      <c r="G261" s="386"/>
      <c r="H261" s="386"/>
      <c r="I261" s="1316"/>
      <c r="J261" s="512"/>
      <c r="K261" s="262"/>
      <c r="L261" s="1297" t="s">
        <v>16202</v>
      </c>
      <c r="M261" s="262"/>
      <c r="N261" s="262"/>
      <c r="O261" s="262"/>
      <c r="P261" s="262"/>
      <c r="Q261" s="262"/>
      <c r="R261" s="262"/>
      <c r="S261" s="262"/>
      <c r="T261" s="262"/>
      <c r="U261" s="262"/>
      <c r="V261" s="262"/>
      <c r="W261" s="262"/>
      <c r="X261" s="262"/>
      <c r="Y261" s="262"/>
      <c r="Z261" s="262"/>
    </row>
    <row r="262" spans="1:26" ht="25.5" outlineLevel="1">
      <c r="A262" s="241" t="s">
        <v>13323</v>
      </c>
      <c r="B262" s="1556">
        <v>96536</v>
      </c>
      <c r="C262" s="386" t="s">
        <v>14476</v>
      </c>
      <c r="D262" s="1314" t="str">
        <f>IFERROR(VLOOKUP($B262,'24.08_ND'!$A$4833:$D$12369,2,0),IFERROR(VLOOKUP($B262,'03-CP'!$C$5:$H$4646,2,0),""))</f>
        <v>FABRICAÇÃO, MONTAGEM E DESMONTAGEM DE FÔRMA PARA VIGA BALDRAME, EM MADEIRA SERRADA, E=25 MM, 4 UTILIZAÇÕES. AF_01/2024</v>
      </c>
      <c r="E262" s="1315" t="str">
        <f>IFERROR(VLOOKUP($B262,'24.08_ND'!$A:$D,3,0),IFERROR(VLOOKUP($B262,'03-CP'!$C$5:$H$4646,3,0),""))</f>
        <v>M2</v>
      </c>
      <c r="F262" s="389">
        <v>50.75</v>
      </c>
      <c r="G262" s="386"/>
      <c r="H262" s="386"/>
      <c r="I262" s="1316"/>
      <c r="J262" s="512"/>
      <c r="K262" s="262"/>
      <c r="L262" s="1297" t="s">
        <v>16202</v>
      </c>
      <c r="M262" s="262"/>
      <c r="N262" s="262"/>
      <c r="O262" s="262"/>
      <c r="P262" s="262"/>
      <c r="Q262" s="262"/>
      <c r="R262" s="262"/>
      <c r="S262" s="262"/>
      <c r="T262" s="262"/>
      <c r="U262" s="262"/>
      <c r="V262" s="262"/>
      <c r="W262" s="262"/>
      <c r="X262" s="262"/>
      <c r="Y262" s="262"/>
      <c r="Z262" s="262"/>
    </row>
    <row r="263" spans="1:26" ht="25.5" outlineLevel="1">
      <c r="A263" s="241" t="s">
        <v>13324</v>
      </c>
      <c r="B263" s="1556">
        <v>104919</v>
      </c>
      <c r="C263" s="386" t="s">
        <v>14476</v>
      </c>
      <c r="D263" s="1314" t="str">
        <f>IFERROR(VLOOKUP($B263,'24.08_ND'!$A$4833:$D$12369,2,0),IFERROR(VLOOKUP($B263,'03-CP'!$C$5:$H$4646,2,0),""))</f>
        <v>ARMAÇÃO DE SAPATA ISOLADA, VIGA BALDRAME E SAPATA CORRIDA UTILIZANDO AÇO CA-50 DE 10 MM - MONTAGEM. AF_01/2024</v>
      </c>
      <c r="E263" s="1315" t="str">
        <f>IFERROR(VLOOKUP($B263,'24.08_ND'!$A:$D,3,0),IFERROR(VLOOKUP($B263,'03-CP'!$C$5:$H$4646,3,0),""))</f>
        <v>KG</v>
      </c>
      <c r="F263" s="389">
        <v>167.32</v>
      </c>
      <c r="G263" s="386"/>
      <c r="H263" s="386"/>
      <c r="I263" s="1316"/>
      <c r="J263" s="512"/>
      <c r="K263" s="262"/>
      <c r="L263" s="1297" t="s">
        <v>16202</v>
      </c>
      <c r="M263" s="262"/>
      <c r="N263" s="262"/>
      <c r="O263" s="262"/>
      <c r="P263" s="262"/>
      <c r="Q263" s="262"/>
      <c r="R263" s="262"/>
      <c r="S263" s="262"/>
      <c r="T263" s="262"/>
      <c r="U263" s="262"/>
      <c r="V263" s="262"/>
      <c r="W263" s="262"/>
      <c r="X263" s="262"/>
      <c r="Y263" s="262"/>
      <c r="Z263" s="262"/>
    </row>
    <row r="264" spans="1:26" ht="25.5" outlineLevel="1">
      <c r="A264" s="241" t="s">
        <v>13325</v>
      </c>
      <c r="B264" s="1556">
        <v>104916</v>
      </c>
      <c r="C264" s="386" t="s">
        <v>14476</v>
      </c>
      <c r="D264" s="1314" t="str">
        <f>IFERROR(VLOOKUP($B264,'24.08_ND'!$A$4833:$D$12369,2,0),IFERROR(VLOOKUP($B264,'03-CP'!$C$5:$H$4646,2,0),""))</f>
        <v>ARMAÇÃO DE SAPATA ISOLADA, VIGA BALDRAME E SAPATA CORRIDA UTILIZANDO AÇO CA-60 DE 5 MM - MONTAGEM. AF_01/2024</v>
      </c>
      <c r="E264" s="1315" t="str">
        <f>IFERROR(VLOOKUP($B264,'24.08_ND'!$A:$D,3,0),IFERROR(VLOOKUP($B264,'03-CP'!$C$5:$H$4646,3,0),""))</f>
        <v>KG</v>
      </c>
      <c r="F264" s="389">
        <v>64.31</v>
      </c>
      <c r="G264" s="386"/>
      <c r="H264" s="386"/>
      <c r="I264" s="1316"/>
      <c r="J264" s="512"/>
      <c r="K264" s="262"/>
      <c r="L264" s="1297" t="s">
        <v>16202</v>
      </c>
      <c r="M264" s="262"/>
      <c r="N264" s="262"/>
      <c r="O264" s="262"/>
      <c r="P264" s="262"/>
      <c r="Q264" s="262"/>
      <c r="R264" s="262"/>
      <c r="S264" s="262"/>
      <c r="T264" s="262"/>
      <c r="U264" s="262"/>
      <c r="V264" s="262"/>
      <c r="W264" s="262"/>
      <c r="X264" s="262"/>
      <c r="Y264" s="262"/>
      <c r="Z264" s="262"/>
    </row>
    <row r="265" spans="1:26" ht="25.5" outlineLevel="1">
      <c r="A265" s="241" t="s">
        <v>13326</v>
      </c>
      <c r="B265" s="386" t="s">
        <v>14590</v>
      </c>
      <c r="C265" s="386" t="s">
        <v>14472</v>
      </c>
      <c r="D265" s="1314" t="str">
        <f>IFERROR(VLOOKUP($B265,'24.08_ND'!$A$4833:$D$12369,2,0),IFERROR(VLOOKUP($B265,'03-CP'!$C$5:$H$4646,2,0),""))</f>
        <v>CONCRETAGEM FCK = 25 MPA, COM USO DE BOMBA - LANÇAMENTO, ADENSAMENTO E ACABAMENTO</v>
      </c>
      <c r="E265" s="1315" t="str">
        <f>IFERROR(VLOOKUP($B265,'24.08_ND'!$A:$D,3,0),IFERROR(VLOOKUP($B265,'03-CP'!$C$5:$H$4646,3,0),""))</f>
        <v>M3</v>
      </c>
      <c r="F265" s="389">
        <v>5.08</v>
      </c>
      <c r="G265" s="386"/>
      <c r="H265" s="386"/>
      <c r="I265" s="1316"/>
      <c r="J265" s="512"/>
      <c r="K265" s="262"/>
      <c r="L265" s="1297" t="s">
        <v>16202</v>
      </c>
      <c r="M265" s="262"/>
      <c r="N265" s="262"/>
      <c r="O265" s="262"/>
      <c r="P265" s="262"/>
      <c r="Q265" s="262"/>
      <c r="R265" s="262"/>
      <c r="S265" s="262"/>
      <c r="T265" s="262"/>
      <c r="U265" s="262"/>
      <c r="V265" s="262"/>
      <c r="W265" s="262"/>
      <c r="X265" s="262"/>
      <c r="Y265" s="262"/>
      <c r="Z265" s="262"/>
    </row>
    <row r="266" spans="1:26" ht="12.75" outlineLevel="1">
      <c r="A266" s="1529" t="s">
        <v>13327</v>
      </c>
      <c r="B266" s="1530"/>
      <c r="C266" s="1530"/>
      <c r="D266" s="1531" t="s">
        <v>16370</v>
      </c>
      <c r="E266" s="1532"/>
      <c r="F266" s="1533"/>
      <c r="G266" s="1531"/>
      <c r="H266" s="1531"/>
      <c r="I266" s="1535"/>
      <c r="J266" s="512"/>
      <c r="K266" s="262"/>
      <c r="L266" s="386"/>
      <c r="M266" s="262"/>
      <c r="N266" s="262"/>
      <c r="O266" s="262"/>
      <c r="P266" s="262"/>
      <c r="Q266" s="262"/>
      <c r="R266" s="262"/>
      <c r="S266" s="262"/>
      <c r="T266" s="262"/>
      <c r="U266" s="262"/>
      <c r="V266" s="262"/>
      <c r="W266" s="262"/>
      <c r="X266" s="262"/>
      <c r="Y266" s="262"/>
      <c r="Z266" s="262"/>
    </row>
    <row r="267" spans="1:26" ht="38.25" outlineLevel="1">
      <c r="A267" s="240" t="s">
        <v>13328</v>
      </c>
      <c r="B267" s="303">
        <v>92431</v>
      </c>
      <c r="C267" s="303" t="s">
        <v>14476</v>
      </c>
      <c r="D267" s="1446" t="str">
        <f>IFERROR(VLOOKUP($B267,'24.08_ND'!$A$4833:$D$12369,2,0),IFERROR(VLOOKUP($B267,'03-CP'!$C$5:$H$4646,2,0),""))</f>
        <v>MONTAGEM E DESMONTAGEM DE FÔRMA DE PILARES RETANGULARES E ESTRUTURAS SIMILARES, PÉ-DIREITO SIMPLES, EM CHAPA DE MADEIRA COMPENSADA PLASTIFICADA, 10 UTILIZAÇÕES. AF_09/2020</v>
      </c>
      <c r="E267" s="1447" t="str">
        <f>IFERROR(VLOOKUP($B267,'24.08_ND'!$A:$D,3,0),IFERROR(VLOOKUP($B267,'03-CP'!$C$5:$H$4646,3,0),""))</f>
        <v>M2</v>
      </c>
      <c r="F267" s="306">
        <v>20.55</v>
      </c>
      <c r="G267" s="303"/>
      <c r="H267" s="303"/>
      <c r="I267" s="1525"/>
      <c r="J267" s="1526"/>
      <c r="K267" s="1320"/>
      <c r="L267" s="1297" t="s">
        <v>16202</v>
      </c>
      <c r="M267" s="1320"/>
      <c r="N267" s="1320"/>
      <c r="O267" s="1320"/>
      <c r="P267" s="1320"/>
      <c r="Q267" s="1320"/>
      <c r="R267" s="1320"/>
      <c r="S267" s="1320"/>
      <c r="T267" s="1320"/>
      <c r="U267" s="1320"/>
      <c r="V267" s="1320"/>
      <c r="W267" s="1320"/>
      <c r="X267" s="1320"/>
      <c r="Y267" s="1320"/>
      <c r="Z267" s="1320"/>
    </row>
    <row r="268" spans="1:26" ht="38.25" outlineLevel="1">
      <c r="A268" s="240" t="s">
        <v>13329</v>
      </c>
      <c r="B268" s="1543">
        <v>92762</v>
      </c>
      <c r="C268" s="303" t="s">
        <v>14476</v>
      </c>
      <c r="D268" s="1446" t="str">
        <f>IFERROR(VLOOKUP($B268,'24.08_ND'!$A$4833:$D$12369,2,0),IFERROR(VLOOKUP($B268,'03-CP'!$C$5:$H$4646,2,0),""))</f>
        <v>ARMAÇÃO DE PILAR OU VIGA DE ESTRUTURA CONVENCIONAL DE CONCRETO ARMADO UTILIZANDO AÇO CA-50 DE 10,0 MM - MONTAGEM. AF_06/2022</v>
      </c>
      <c r="E268" s="1447" t="str">
        <f>IFERROR(VLOOKUP($B268,'24.08_ND'!$A:$D,3,0),IFERROR(VLOOKUP($B268,'03-CP'!$C$5:$H$4646,3,0),""))</f>
        <v>KG</v>
      </c>
      <c r="F268" s="306">
        <v>53.8</v>
      </c>
      <c r="G268" s="303"/>
      <c r="H268" s="303"/>
      <c r="I268" s="1525"/>
      <c r="J268" s="1526"/>
      <c r="K268" s="1320"/>
      <c r="L268" s="1297" t="s">
        <v>16202</v>
      </c>
      <c r="M268" s="1320"/>
      <c r="N268" s="1320"/>
      <c r="O268" s="1320"/>
      <c r="P268" s="1320"/>
      <c r="Q268" s="1320"/>
      <c r="R268" s="1320"/>
      <c r="S268" s="1320"/>
      <c r="T268" s="1320"/>
      <c r="U268" s="1320"/>
      <c r="V268" s="1320"/>
      <c r="W268" s="1320"/>
      <c r="X268" s="1320"/>
      <c r="Y268" s="1320"/>
      <c r="Z268" s="1320"/>
    </row>
    <row r="269" spans="1:26" ht="38.25" outlineLevel="1">
      <c r="A269" s="240" t="s">
        <v>13330</v>
      </c>
      <c r="B269" s="1543">
        <v>92915</v>
      </c>
      <c r="C269" s="303" t="s">
        <v>14476</v>
      </c>
      <c r="D269" s="1446" t="str">
        <f>IFERROR(VLOOKUP($B269,'24.08_ND'!$A$4833:$D$12369,2,0),IFERROR(VLOOKUP($B269,'03-CP'!$C$5:$H$4646,2,0),""))</f>
        <v>ARMAÇÃO DE ESTRUTURAS DIVERSAS DE CONCRETO ARMADO, EXCETO VIGAS, PILARES, LAJES E FUNDAÇÕES, UTILIZANDO AÇO CA-60 DE 5,0 MM - MONTAGEM. AF_06/2022</v>
      </c>
      <c r="E269" s="1447" t="str">
        <f>IFERROR(VLOOKUP($B269,'24.08_ND'!$A:$D,3,0),IFERROR(VLOOKUP($B269,'03-CP'!$C$5:$H$4646,3,0),""))</f>
        <v>KG</v>
      </c>
      <c r="F269" s="306">
        <v>22.75</v>
      </c>
      <c r="G269" s="303"/>
      <c r="H269" s="303"/>
      <c r="I269" s="1525"/>
      <c r="J269" s="1526"/>
      <c r="K269" s="1320"/>
      <c r="L269" s="1297" t="s">
        <v>16202</v>
      </c>
      <c r="M269" s="1320"/>
      <c r="N269" s="1320"/>
      <c r="O269" s="1320"/>
      <c r="P269" s="1320"/>
      <c r="Q269" s="1320"/>
      <c r="R269" s="1320"/>
      <c r="S269" s="1320"/>
      <c r="T269" s="1320"/>
      <c r="U269" s="1320"/>
      <c r="V269" s="1320"/>
      <c r="W269" s="1320"/>
      <c r="X269" s="1320"/>
      <c r="Y269" s="1320"/>
      <c r="Z269" s="1320"/>
    </row>
    <row r="270" spans="1:26" ht="25.5" outlineLevel="1">
      <c r="A270" s="240" t="s">
        <v>13331</v>
      </c>
      <c r="B270" s="1543">
        <v>103672</v>
      </c>
      <c r="C270" s="303" t="s">
        <v>14476</v>
      </c>
      <c r="D270" s="1446" t="str">
        <f>IFERROR(VLOOKUP($B270,'24.08_ND'!$A$4833:$D$12369,2,0),IFERROR(VLOOKUP($B270,'03-CP'!$C$5:$H$4646,2,0),""))</f>
        <v>CONCRETAGEM DE PILARES, FCK = 25 MPA, COM USO DE BOMBA - LANÇAMENTO, ADENSAMENTO E ACABAMENTO. AF_02/2022_PS</v>
      </c>
      <c r="E270" s="1447" t="str">
        <f>IFERROR(VLOOKUP($B270,'24.08_ND'!$A:$D,3,0),IFERROR(VLOOKUP($B270,'03-CP'!$C$5:$H$4646,3,0),""))</f>
        <v>M3</v>
      </c>
      <c r="F270" s="306">
        <v>1.36</v>
      </c>
      <c r="G270" s="303"/>
      <c r="H270" s="303"/>
      <c r="I270" s="1525"/>
      <c r="J270" s="1526"/>
      <c r="K270" s="1320"/>
      <c r="L270" s="1297" t="s">
        <v>16202</v>
      </c>
      <c r="M270" s="1320"/>
      <c r="N270" s="1320"/>
      <c r="O270" s="1320"/>
      <c r="P270" s="1320"/>
      <c r="Q270" s="1320"/>
      <c r="R270" s="1320"/>
      <c r="S270" s="1320"/>
      <c r="T270" s="1320"/>
      <c r="U270" s="1320"/>
      <c r="V270" s="1320"/>
      <c r="W270" s="1320"/>
      <c r="X270" s="1320"/>
      <c r="Y270" s="1320"/>
      <c r="Z270" s="1320"/>
    </row>
    <row r="271" spans="1:26" ht="12.75" outlineLevel="1">
      <c r="A271" s="1529" t="s">
        <v>13332</v>
      </c>
      <c r="B271" s="1530"/>
      <c r="C271" s="1530"/>
      <c r="D271" s="1531" t="s">
        <v>16382</v>
      </c>
      <c r="E271" s="1532"/>
      <c r="F271" s="1533"/>
      <c r="G271" s="1531"/>
      <c r="H271" s="1531"/>
      <c r="I271" s="1535"/>
      <c r="J271" s="512"/>
      <c r="K271" s="262"/>
      <c r="L271" s="386"/>
      <c r="M271" s="262"/>
      <c r="N271" s="262"/>
      <c r="O271" s="262"/>
      <c r="P271" s="262"/>
      <c r="Q271" s="262"/>
      <c r="R271" s="262"/>
      <c r="S271" s="262"/>
      <c r="T271" s="262"/>
      <c r="U271" s="262"/>
      <c r="V271" s="262"/>
      <c r="W271" s="262"/>
      <c r="X271" s="262"/>
      <c r="Y271" s="262"/>
      <c r="Z271" s="262"/>
    </row>
    <row r="272" spans="1:26" ht="25.5" outlineLevel="1">
      <c r="A272" s="240" t="s">
        <v>13333</v>
      </c>
      <c r="B272" s="303">
        <v>101616</v>
      </c>
      <c r="C272" s="303" t="s">
        <v>14476</v>
      </c>
      <c r="D272" s="1446" t="str">
        <f>IFERROR(VLOOKUP($B272,'24.08_ND'!$A$4833:$D$12369,2,0),IFERROR(VLOOKUP($B272,'03-CP'!$C$5:$H$4646,2,0),""))</f>
        <v>PREPARO DE FUNDO DE VALA COM LARGURA MENOR QUE 1,5 M (ACERTO DO SOLO NATURAL). AF_08/2020</v>
      </c>
      <c r="E272" s="1447" t="str">
        <f>IFERROR(VLOOKUP($B272,'24.08_ND'!$A:$D,3,0),IFERROR(VLOOKUP($B272,'03-CP'!$C$5:$H$4646,3,0),""))</f>
        <v>M2</v>
      </c>
      <c r="F272" s="306">
        <v>82.71</v>
      </c>
      <c r="G272" s="303"/>
      <c r="H272" s="303"/>
      <c r="I272" s="1525"/>
      <c r="J272" s="1526"/>
      <c r="K272" s="1320"/>
      <c r="L272" s="1297" t="s">
        <v>16202</v>
      </c>
      <c r="M272" s="1320"/>
      <c r="N272" s="1320"/>
      <c r="O272" s="1320"/>
      <c r="P272" s="1320"/>
      <c r="Q272" s="1320"/>
      <c r="R272" s="1320"/>
      <c r="S272" s="1320"/>
      <c r="T272" s="1320"/>
      <c r="U272" s="1320"/>
      <c r="V272" s="1320"/>
      <c r="W272" s="1320"/>
      <c r="X272" s="1320"/>
      <c r="Y272" s="1320"/>
      <c r="Z272" s="1320"/>
    </row>
    <row r="273" spans="1:26" ht="25.5" outlineLevel="1">
      <c r="A273" s="240" t="s">
        <v>13334</v>
      </c>
      <c r="B273" s="1543">
        <v>96624</v>
      </c>
      <c r="C273" s="303" t="s">
        <v>14476</v>
      </c>
      <c r="D273" s="1446" t="str">
        <f>IFERROR(VLOOKUP($B273,'24.08_ND'!$A$4833:$D$12369,2,0),IFERROR(VLOOKUP($B273,'03-CP'!$C$5:$H$4646,2,0),""))</f>
        <v>LASTRO COM MATERIAL GRANULAR (PEDRA BRITADA N.2), APLICADO EM PISOS OU LAJES SOBRE SOLO, ESPESSURA DE *10 CM*. AF_01/2024</v>
      </c>
      <c r="E273" s="1447" t="str">
        <f>IFERROR(VLOOKUP($B273,'24.08_ND'!$A:$D,3,0),IFERROR(VLOOKUP($B273,'03-CP'!$C$5:$H$4646,3,0),""))</f>
        <v>M3</v>
      </c>
      <c r="F273" s="306">
        <v>4.1399999999999997</v>
      </c>
      <c r="G273" s="303"/>
      <c r="H273" s="303"/>
      <c r="I273" s="1525"/>
      <c r="J273" s="1526"/>
      <c r="K273" s="1320"/>
      <c r="L273" s="1297" t="s">
        <v>16202</v>
      </c>
      <c r="M273" s="1320"/>
      <c r="N273" s="1320"/>
      <c r="O273" s="1320"/>
      <c r="P273" s="1320"/>
      <c r="Q273" s="1320"/>
      <c r="R273" s="1320"/>
      <c r="S273" s="1320"/>
      <c r="T273" s="1320"/>
      <c r="U273" s="1320"/>
      <c r="V273" s="1320"/>
      <c r="W273" s="1320"/>
      <c r="X273" s="1320"/>
      <c r="Y273" s="1320"/>
      <c r="Z273" s="1320"/>
    </row>
    <row r="274" spans="1:26" ht="38.25" outlineLevel="1">
      <c r="A274" s="240" t="s">
        <v>13335</v>
      </c>
      <c r="B274" s="1543">
        <v>102012</v>
      </c>
      <c r="C274" s="303" t="s">
        <v>14476</v>
      </c>
      <c r="D274" s="1446" t="str">
        <f>IFERROR(VLOOKUP($B274,'24.08_ND'!$A$4833:$D$12369,2,0),IFERROR(VLOOKUP($B274,'03-CP'!$C$5:$H$4646,2,0),""))</f>
        <v>MONTAGEM E DESMONTAGEM DE FÔRMA PARA ESCADAS, COM 2 LANCES EM "L" E LAJE PLANA, EM CHAPA DE MADEIRA COMPENSADA PLASTIFICADA, 8 UTILIZAÇÕES. AF_11/2020</v>
      </c>
      <c r="E274" s="1447" t="str">
        <f>IFERROR(VLOOKUP($B274,'24.08_ND'!$A:$D,3,0),IFERROR(VLOOKUP($B274,'03-CP'!$C$5:$H$4646,3,0),""))</f>
        <v>M2</v>
      </c>
      <c r="F274" s="306">
        <v>44.45</v>
      </c>
      <c r="G274" s="303"/>
      <c r="H274" s="303"/>
      <c r="I274" s="1525"/>
      <c r="J274" s="1526"/>
      <c r="K274" s="1320"/>
      <c r="L274" s="1297" t="s">
        <v>16202</v>
      </c>
      <c r="M274" s="1320"/>
      <c r="N274" s="1320"/>
      <c r="O274" s="1320"/>
      <c r="P274" s="1320"/>
      <c r="Q274" s="1320"/>
      <c r="R274" s="1320"/>
      <c r="S274" s="1320"/>
      <c r="T274" s="1320"/>
      <c r="U274" s="1320"/>
      <c r="V274" s="1320"/>
      <c r="W274" s="1320"/>
      <c r="X274" s="1320"/>
      <c r="Y274" s="1320"/>
      <c r="Z274" s="1320"/>
    </row>
    <row r="275" spans="1:26" ht="25.5" outlineLevel="1">
      <c r="A275" s="240" t="s">
        <v>13336</v>
      </c>
      <c r="B275" s="1543">
        <v>103686</v>
      </c>
      <c r="C275" s="303" t="s">
        <v>14476</v>
      </c>
      <c r="D275" s="1446" t="str">
        <f>IFERROR(VLOOKUP($B275,'24.08_ND'!$A$4833:$D$12369,2,0),IFERROR(VLOOKUP($B275,'03-CP'!$C$5:$H$4646,2,0),""))</f>
        <v>CONCRETAGEM DE ESCADAS, FCK=25 MPA, COM USO DE BOMBA - LANÇAMENTO, ADENSAMENTO E ACABAMENTO. AF_02/2022_PS</v>
      </c>
      <c r="E275" s="1447" t="str">
        <f>IFERROR(VLOOKUP($B275,'24.08_ND'!$A:$D,3,0),IFERROR(VLOOKUP($B275,'03-CP'!$C$5:$H$4646,3,0),""))</f>
        <v>M3</v>
      </c>
      <c r="F275" s="306">
        <v>14.5</v>
      </c>
      <c r="G275" s="303"/>
      <c r="H275" s="303"/>
      <c r="I275" s="1525"/>
      <c r="J275" s="1526"/>
      <c r="K275" s="1320"/>
      <c r="L275" s="1297" t="s">
        <v>16202</v>
      </c>
      <c r="M275" s="1320"/>
      <c r="N275" s="1320"/>
      <c r="O275" s="1320"/>
      <c r="P275" s="1320"/>
      <c r="Q275" s="1320"/>
      <c r="R275" s="1320"/>
      <c r="S275" s="1320"/>
      <c r="T275" s="1320"/>
      <c r="U275" s="1320"/>
      <c r="V275" s="1320"/>
      <c r="W275" s="1320"/>
      <c r="X275" s="1320"/>
      <c r="Y275" s="1320"/>
      <c r="Z275" s="1320"/>
    </row>
    <row r="276" spans="1:26" ht="25.5" outlineLevel="1">
      <c r="A276" s="240" t="s">
        <v>13337</v>
      </c>
      <c r="B276" s="1543">
        <v>95943</v>
      </c>
      <c r="C276" s="303" t="s">
        <v>14476</v>
      </c>
      <c r="D276" s="1446" t="str">
        <f>IFERROR(VLOOKUP($B276,'24.08_ND'!$A$4833:$D$12369,2,0),IFERROR(VLOOKUP($B276,'03-CP'!$C$5:$H$4646,2,0),""))</f>
        <v>ARMAÇÃO DE ESCADA, DE UMA ESTRUTURA CONVENCIONAL DE CONCRETO ARMADO UTILIZANDO AÇO CA-60 DE 5,0 MM - MONTAGEM. AF_11/2020</v>
      </c>
      <c r="E276" s="1447" t="str">
        <f>IFERROR(VLOOKUP($B276,'24.08_ND'!$A:$D,3,0),IFERROR(VLOOKUP($B276,'03-CP'!$C$5:$H$4646,3,0),""))</f>
        <v>KG</v>
      </c>
      <c r="F276" s="306">
        <v>290.27</v>
      </c>
      <c r="G276" s="303"/>
      <c r="H276" s="303"/>
      <c r="I276" s="1525"/>
      <c r="J276" s="1526"/>
      <c r="K276" s="1320"/>
      <c r="L276" s="1297" t="s">
        <v>16202</v>
      </c>
      <c r="M276" s="1320"/>
      <c r="N276" s="1320"/>
      <c r="O276" s="1320"/>
      <c r="P276" s="1320"/>
      <c r="Q276" s="1320"/>
      <c r="R276" s="1320"/>
      <c r="S276" s="1320"/>
      <c r="T276" s="1320"/>
      <c r="U276" s="1320"/>
      <c r="V276" s="1320"/>
      <c r="W276" s="1320"/>
      <c r="X276" s="1320"/>
      <c r="Y276" s="1320"/>
      <c r="Z276" s="1320"/>
    </row>
    <row r="277" spans="1:26" ht="12.75" outlineLevel="1">
      <c r="A277" s="1529" t="s">
        <v>13338</v>
      </c>
      <c r="B277" s="1530"/>
      <c r="C277" s="1530"/>
      <c r="D277" s="1531" t="s">
        <v>16383</v>
      </c>
      <c r="E277" s="1532"/>
      <c r="F277" s="1533"/>
      <c r="G277" s="1531"/>
      <c r="H277" s="1531"/>
      <c r="I277" s="1535"/>
      <c r="J277" s="512"/>
      <c r="K277" s="262"/>
      <c r="L277" s="386"/>
      <c r="M277" s="262"/>
      <c r="N277" s="262"/>
      <c r="O277" s="262"/>
      <c r="P277" s="262"/>
      <c r="Q277" s="262"/>
      <c r="R277" s="262"/>
      <c r="S277" s="262"/>
      <c r="T277" s="262"/>
      <c r="U277" s="262"/>
      <c r="V277" s="262"/>
      <c r="W277" s="262"/>
      <c r="X277" s="262"/>
      <c r="Y277" s="262"/>
      <c r="Z277" s="262"/>
    </row>
    <row r="278" spans="1:26" ht="38.25" outlineLevel="1">
      <c r="A278" s="240" t="s">
        <v>13339</v>
      </c>
      <c r="B278" s="303" t="s">
        <v>14588</v>
      </c>
      <c r="C278" s="303" t="s">
        <v>14472</v>
      </c>
      <c r="D278" s="1446" t="str">
        <f>IFERROR(VLOOKUP($B278,'24.08_ND'!$A$4833:$D$12369,2,0),IFERROR(VLOOKUP($B278,'03-CP'!$C$5:$H$4646,2,0),""))</f>
        <v>ESTACA ESCAVADA MECANICAMENTE, SEM FLUIDO ESTABILIZANTE, COM 40CM DE DIÂMETRO. (EXCLUSIVE MOBILIZAÇÃO E DESMOBILIZAÇÃO, ARMADURA, CONCRETAGEM E DESCARTE DO SOLO)</v>
      </c>
      <c r="E278" s="1447" t="str">
        <f>IFERROR(VLOOKUP($B278,'24.08_ND'!$A:$D,3,0),IFERROR(VLOOKUP($B278,'03-CP'!$C$5:$H$4646,3,0),""))</f>
        <v>M</v>
      </c>
      <c r="F278" s="306">
        <v>60</v>
      </c>
      <c r="G278" s="303"/>
      <c r="H278" s="303"/>
      <c r="I278" s="1525"/>
      <c r="J278" s="512"/>
      <c r="K278" s="262"/>
      <c r="L278" s="1297" t="s">
        <v>16202</v>
      </c>
      <c r="M278" s="262"/>
      <c r="N278" s="262"/>
      <c r="O278" s="262"/>
      <c r="P278" s="262"/>
      <c r="Q278" s="262"/>
      <c r="R278" s="262"/>
      <c r="S278" s="262"/>
      <c r="T278" s="262"/>
      <c r="U278" s="262"/>
      <c r="V278" s="262"/>
      <c r="W278" s="262"/>
      <c r="X278" s="262"/>
      <c r="Y278" s="262"/>
      <c r="Z278" s="262"/>
    </row>
    <row r="279" spans="1:26" ht="25.5" outlineLevel="1">
      <c r="A279" s="240" t="s">
        <v>13340</v>
      </c>
      <c r="B279" s="303">
        <v>101616</v>
      </c>
      <c r="C279" s="303" t="s">
        <v>14476</v>
      </c>
      <c r="D279" s="1446" t="str">
        <f>IFERROR(VLOOKUP($B279,'24.08_ND'!$A$4833:$D$12369,2,0),IFERROR(VLOOKUP($B279,'03-CP'!$C$5:$H$4646,2,0),""))</f>
        <v>PREPARO DE FUNDO DE VALA COM LARGURA MENOR QUE 1,5 M (ACERTO DO SOLO NATURAL). AF_08/2020</v>
      </c>
      <c r="E279" s="1447" t="str">
        <f>IFERROR(VLOOKUP($B279,'24.08_ND'!$A:$D,3,0),IFERROR(VLOOKUP($B279,'03-CP'!$C$5:$H$4646,3,0),""))</f>
        <v>M2</v>
      </c>
      <c r="F279" s="306">
        <v>2.5099999999999998</v>
      </c>
      <c r="G279" s="303"/>
      <c r="H279" s="303"/>
      <c r="I279" s="1525"/>
      <c r="J279" s="512"/>
      <c r="K279" s="262"/>
      <c r="L279" s="1297" t="s">
        <v>16202</v>
      </c>
      <c r="M279" s="262"/>
      <c r="N279" s="262"/>
      <c r="O279" s="262"/>
      <c r="P279" s="262"/>
      <c r="Q279" s="262"/>
      <c r="R279" s="262"/>
      <c r="S279" s="262"/>
      <c r="T279" s="262"/>
      <c r="U279" s="262"/>
      <c r="V279" s="262"/>
      <c r="W279" s="262"/>
      <c r="X279" s="262"/>
      <c r="Y279" s="262"/>
      <c r="Z279" s="262"/>
    </row>
    <row r="280" spans="1:26" ht="25.5" outlineLevel="1">
      <c r="A280" s="240" t="s">
        <v>13341</v>
      </c>
      <c r="B280" s="303">
        <v>95577</v>
      </c>
      <c r="C280" s="303" t="s">
        <v>14476</v>
      </c>
      <c r="D280" s="1446" t="str">
        <f>IFERROR(VLOOKUP($B280,'24.08_ND'!$A$4833:$D$12369,2,0),IFERROR(VLOOKUP($B280,'03-CP'!$C$5:$H$4646,2,0),""))</f>
        <v>MONTAGEM DE ARMADURA DE ESTACAS, DIÂMETRO = 10,0 MM. AF_09/2021_PS</v>
      </c>
      <c r="E280" s="1447" t="str">
        <f>IFERROR(VLOOKUP($B280,'24.08_ND'!$A:$D,3,0),IFERROR(VLOOKUP($B280,'03-CP'!$C$5:$H$4646,3,0),""))</f>
        <v>KG</v>
      </c>
      <c r="F280" s="306">
        <v>250.5</v>
      </c>
      <c r="G280" s="303"/>
      <c r="H280" s="303"/>
      <c r="I280" s="1525"/>
      <c r="J280" s="512"/>
      <c r="K280" s="262"/>
      <c r="L280" s="1297" t="s">
        <v>16202</v>
      </c>
      <c r="M280" s="262"/>
      <c r="N280" s="262"/>
      <c r="O280" s="262"/>
      <c r="P280" s="262"/>
      <c r="Q280" s="262"/>
      <c r="R280" s="262"/>
      <c r="S280" s="262"/>
      <c r="T280" s="262"/>
      <c r="U280" s="262"/>
      <c r="V280" s="262"/>
      <c r="W280" s="262"/>
      <c r="X280" s="262"/>
      <c r="Y280" s="262"/>
      <c r="Z280" s="262"/>
    </row>
    <row r="281" spans="1:26" ht="25.5" outlineLevel="1">
      <c r="A281" s="240" t="s">
        <v>13342</v>
      </c>
      <c r="B281" s="303">
        <v>95584</v>
      </c>
      <c r="C281" s="303" t="s">
        <v>14476</v>
      </c>
      <c r="D281" s="1446" t="str">
        <f>IFERROR(VLOOKUP($B281,'24.08_ND'!$A$4833:$D$12369,2,0),IFERROR(VLOOKUP($B281,'03-CP'!$C$5:$H$4646,2,0),""))</f>
        <v>MONTAGEM DE ARMADURA TRANSVERSAL DE ESTACAS DE SEÇÃO CIRCULAR, DIÂMETRO = 6,30 MM. AF_09/2021_PS</v>
      </c>
      <c r="E281" s="1447" t="str">
        <f>IFERROR(VLOOKUP($B281,'24.08_ND'!$A:$D,3,0),IFERROR(VLOOKUP($B281,'03-CP'!$C$5:$H$4646,3,0),""))</f>
        <v>KG</v>
      </c>
      <c r="F281" s="306">
        <v>45.28</v>
      </c>
      <c r="G281" s="303"/>
      <c r="H281" s="303"/>
      <c r="I281" s="1525"/>
      <c r="J281" s="512"/>
      <c r="K281" s="262"/>
      <c r="L281" s="1297" t="s">
        <v>16202</v>
      </c>
      <c r="M281" s="262"/>
      <c r="N281" s="262"/>
      <c r="O281" s="262"/>
      <c r="P281" s="262"/>
      <c r="Q281" s="262"/>
      <c r="R281" s="262"/>
      <c r="S281" s="262"/>
      <c r="T281" s="262"/>
      <c r="U281" s="262"/>
      <c r="V281" s="262"/>
      <c r="W281" s="262"/>
      <c r="X281" s="262"/>
      <c r="Y281" s="262"/>
      <c r="Z281" s="262"/>
    </row>
    <row r="282" spans="1:26" ht="25.5" outlineLevel="1">
      <c r="A282" s="240" t="s">
        <v>13343</v>
      </c>
      <c r="B282" s="303" t="s">
        <v>14590</v>
      </c>
      <c r="C282" s="303" t="s">
        <v>14472</v>
      </c>
      <c r="D282" s="1446" t="str">
        <f>IFERROR(VLOOKUP($B282,'24.08_ND'!$A$4833:$D$12369,2,0),IFERROR(VLOOKUP($B282,'03-CP'!$C$5:$H$4646,2,0),""))</f>
        <v>CONCRETAGEM FCK = 25 MPA, COM USO DE BOMBA - LANÇAMENTO, ADENSAMENTO E ACABAMENTO</v>
      </c>
      <c r="E282" s="1447" t="str">
        <f>IFERROR(VLOOKUP($B282,'24.08_ND'!$A:$D,3,0),IFERROR(VLOOKUP($B282,'03-CP'!$C$5:$H$4646,3,0),""))</f>
        <v>M3</v>
      </c>
      <c r="F282" s="306">
        <v>7.54</v>
      </c>
      <c r="G282" s="303"/>
      <c r="H282" s="303"/>
      <c r="I282" s="1525"/>
      <c r="J282" s="512"/>
      <c r="K282" s="262"/>
      <c r="L282" s="1297" t="s">
        <v>16202</v>
      </c>
      <c r="M282" s="262"/>
      <c r="N282" s="262"/>
      <c r="O282" s="262"/>
      <c r="P282" s="262"/>
      <c r="Q282" s="262"/>
      <c r="R282" s="262"/>
      <c r="S282" s="262"/>
      <c r="T282" s="262"/>
      <c r="U282" s="262"/>
      <c r="V282" s="262"/>
      <c r="W282" s="262"/>
      <c r="X282" s="262"/>
      <c r="Y282" s="262"/>
      <c r="Z282" s="262"/>
    </row>
    <row r="283" spans="1:26" ht="51" outlineLevel="1">
      <c r="A283" s="1527" t="s">
        <v>13344</v>
      </c>
      <c r="B283" s="295">
        <v>100978</v>
      </c>
      <c r="C283" s="295" t="s">
        <v>14476</v>
      </c>
      <c r="D283" s="658" t="str">
        <f>IFERROR(VLOOKUP($B283,'24.08_ND'!$A$4833:$D$12369,2,0),IFERROR(VLOOKUP($B283,'03-CP'!$C$5:$H$4646,2,0),""))</f>
        <v>CARGA, MANOBRA E DESCARGA DE SOLOS E MATERIAIS GRANULARES EM CAMINHÃO BASCULANTE 10 M³ - CARGA COM ESCAVADEIRA HIDRÁULICA (CAÇAMBA DE 1,20 M³ / 155 HP) E DESCARGA LIVRE (UNIDADE: M3). AF_07/2020</v>
      </c>
      <c r="E283" s="1318" t="str">
        <f>IFERROR(VLOOKUP($B283,'24.08_ND'!$A:$D,3,0),IFERROR(VLOOKUP($B283,'03-CP'!$C$5:$H$4646,3,0),""))</f>
        <v>M3</v>
      </c>
      <c r="F283" s="298">
        <f>D287</f>
        <v>10.555999999999999</v>
      </c>
      <c r="G283" s="295"/>
      <c r="H283" s="295"/>
      <c r="I283" s="1319"/>
      <c r="J283" s="512"/>
      <c r="K283" s="262"/>
      <c r="L283" s="1528" t="s">
        <v>16202</v>
      </c>
      <c r="M283" s="262"/>
      <c r="N283" s="262"/>
      <c r="O283" s="262"/>
      <c r="P283" s="262"/>
      <c r="Q283" s="262"/>
      <c r="R283" s="262"/>
      <c r="S283" s="262"/>
      <c r="T283" s="262"/>
      <c r="U283" s="262"/>
      <c r="V283" s="262"/>
      <c r="W283" s="262"/>
      <c r="X283" s="262"/>
      <c r="Y283" s="262"/>
      <c r="Z283" s="262"/>
    </row>
    <row r="284" spans="1:26" ht="12.75" hidden="1" outlineLevel="1">
      <c r="A284" s="1321"/>
      <c r="B284" s="1322" t="s">
        <v>16206</v>
      </c>
      <c r="C284" s="1323" t="s">
        <v>16207</v>
      </c>
      <c r="D284" s="1324" t="s">
        <v>16208</v>
      </c>
      <c r="E284" s="1334"/>
      <c r="F284" s="1335"/>
      <c r="G284" s="1327"/>
      <c r="H284" s="1327"/>
      <c r="I284" s="1328"/>
      <c r="J284" s="1327"/>
      <c r="K284" s="1327"/>
      <c r="L284" s="1327"/>
      <c r="M284" s="262"/>
      <c r="N284" s="262"/>
      <c r="O284" s="262"/>
      <c r="P284" s="262"/>
      <c r="Q284" s="262"/>
      <c r="R284" s="262"/>
      <c r="S284" s="1320"/>
      <c r="T284" s="1320"/>
      <c r="U284" s="1320"/>
      <c r="V284" s="1320"/>
      <c r="W284" s="1320"/>
      <c r="X284" s="1320"/>
      <c r="Y284" s="1320"/>
      <c r="Z284" s="1320"/>
    </row>
    <row r="285" spans="1:26" ht="12.75" hidden="1" outlineLevel="1">
      <c r="A285" s="1321"/>
      <c r="B285" s="1336">
        <f>F282</f>
        <v>7.54</v>
      </c>
      <c r="C285" s="1327">
        <v>1.4</v>
      </c>
      <c r="D285" s="1337">
        <f>B285*C285</f>
        <v>10.555999999999999</v>
      </c>
      <c r="E285" s="1338"/>
      <c r="F285" s="1339"/>
      <c r="G285" s="1327"/>
      <c r="H285" s="1327"/>
      <c r="I285" s="1328"/>
      <c r="J285" s="1327"/>
      <c r="K285" s="1327"/>
      <c r="L285" s="1327"/>
      <c r="M285" s="262"/>
      <c r="N285" s="262"/>
      <c r="O285" s="262"/>
      <c r="P285" s="262"/>
      <c r="Q285" s="262"/>
      <c r="R285" s="262"/>
      <c r="S285" s="1320"/>
      <c r="T285" s="1320"/>
      <c r="U285" s="1320"/>
      <c r="V285" s="1320"/>
      <c r="W285" s="1320"/>
      <c r="X285" s="1320"/>
      <c r="Y285" s="1320"/>
      <c r="Z285" s="1320"/>
    </row>
    <row r="286" spans="1:26" ht="12.75" hidden="1" outlineLevel="1">
      <c r="A286" s="1321"/>
      <c r="B286" s="1340" t="s">
        <v>16209</v>
      </c>
      <c r="C286" s="1327" t="s">
        <v>16205</v>
      </c>
      <c r="D286" s="1341" t="s">
        <v>16210</v>
      </c>
      <c r="E286" s="1338"/>
      <c r="F286" s="1339"/>
      <c r="G286" s="1327"/>
      <c r="H286" s="1327"/>
      <c r="I286" s="1328"/>
      <c r="J286" s="1327"/>
      <c r="K286" s="1327"/>
      <c r="L286" s="1327"/>
      <c r="M286" s="262"/>
      <c r="N286" s="262"/>
      <c r="O286" s="262"/>
      <c r="P286" s="262"/>
      <c r="Q286" s="262"/>
      <c r="R286" s="262"/>
      <c r="S286" s="1320"/>
      <c r="T286" s="1320"/>
      <c r="U286" s="1320"/>
      <c r="V286" s="1320"/>
      <c r="W286" s="1320"/>
      <c r="X286" s="1320"/>
      <c r="Y286" s="1320"/>
      <c r="Z286" s="1320"/>
    </row>
    <row r="287" spans="1:26" ht="12.75" hidden="1" outlineLevel="1">
      <c r="A287" s="1321"/>
      <c r="B287" s="1329">
        <f>D285</f>
        <v>10.555999999999999</v>
      </c>
      <c r="C287" s="1330">
        <v>0</v>
      </c>
      <c r="D287" s="1365">
        <f>B287-C287</f>
        <v>10.555999999999999</v>
      </c>
      <c r="E287" s="1344"/>
      <c r="F287" s="1345"/>
      <c r="G287" s="1327"/>
      <c r="H287" s="1327"/>
      <c r="I287" s="1328"/>
      <c r="J287" s="1327"/>
      <c r="K287" s="1327"/>
      <c r="L287" s="1327"/>
      <c r="M287" s="262"/>
      <c r="N287" s="262"/>
      <c r="O287" s="262"/>
      <c r="P287" s="262"/>
      <c r="Q287" s="262"/>
      <c r="R287" s="262"/>
      <c r="S287" s="1320"/>
      <c r="T287" s="1320"/>
      <c r="U287" s="1320"/>
      <c r="V287" s="1320"/>
      <c r="W287" s="1320"/>
      <c r="X287" s="1320"/>
      <c r="Y287" s="1320"/>
      <c r="Z287" s="1320"/>
    </row>
    <row r="288" spans="1:26" ht="25.5" outlineLevel="1">
      <c r="A288" s="1527" t="s">
        <v>13345</v>
      </c>
      <c r="B288" s="295">
        <v>100938</v>
      </c>
      <c r="C288" s="295" t="s">
        <v>14476</v>
      </c>
      <c r="D288" s="658" t="str">
        <f>IFERROR(VLOOKUP($B288,'24.08_ND'!$A$4833:$D$12369,2,0),IFERROR(VLOOKUP($B288,'03-CP'!$C$5:$H$4646,2,0),""))</f>
        <v>TRANSPORTE COM CAMINHÃO BASCULANTE DE 10 M³, EM VIA INTERNA (DENTRO DO CANTEIRO - UNIDADE: M3XKM). AF_07/2020</v>
      </c>
      <c r="E288" s="1318" t="str">
        <f>IFERROR(VLOOKUP($B288,'24.08_ND'!$A:$D,3,0),IFERROR(VLOOKUP($B288,'03-CP'!$C$5:$H$4646,3,0),""))</f>
        <v>M3XKM</v>
      </c>
      <c r="F288" s="298">
        <f>F290</f>
        <v>21.111999999999998</v>
      </c>
      <c r="G288" s="295"/>
      <c r="H288" s="295"/>
      <c r="I288" s="1319"/>
      <c r="J288" s="512"/>
      <c r="K288" s="262"/>
      <c r="L288" s="1528" t="s">
        <v>16202</v>
      </c>
      <c r="M288" s="262"/>
      <c r="N288" s="262"/>
      <c r="O288" s="262"/>
      <c r="P288" s="262"/>
      <c r="Q288" s="262"/>
      <c r="R288" s="262"/>
      <c r="S288" s="262"/>
      <c r="T288" s="262"/>
      <c r="U288" s="262"/>
      <c r="V288" s="262"/>
      <c r="W288" s="262"/>
      <c r="X288" s="262"/>
      <c r="Y288" s="262"/>
      <c r="Z288" s="262"/>
    </row>
    <row r="289" spans="1:26" ht="12.75" hidden="1" outlineLevel="1">
      <c r="A289" s="1346"/>
      <c r="B289" s="1322"/>
      <c r="C289" s="1334"/>
      <c r="D289" s="1325" t="s">
        <v>16211</v>
      </c>
      <c r="E289" s="1347" t="s">
        <v>16212</v>
      </c>
      <c r="F289" s="1348" t="s">
        <v>16213</v>
      </c>
      <c r="G289" s="1349"/>
      <c r="H289" s="1349"/>
      <c r="I289" s="1350"/>
      <c r="J289" s="1351"/>
      <c r="K289" s="1352"/>
      <c r="L289" s="1353"/>
      <c r="M289" s="948"/>
      <c r="N289" s="262"/>
      <c r="O289" s="262"/>
      <c r="P289" s="262"/>
      <c r="Q289" s="262"/>
      <c r="R289" s="262"/>
      <c r="S289" s="262"/>
      <c r="T289" s="262"/>
      <c r="U289" s="262"/>
      <c r="V289" s="262"/>
      <c r="W289" s="262"/>
      <c r="X289" s="262"/>
      <c r="Y289" s="262"/>
      <c r="Z289" s="262"/>
    </row>
    <row r="290" spans="1:26" ht="12.75" hidden="1" outlineLevel="1">
      <c r="A290" s="1346"/>
      <c r="B290" s="1329"/>
      <c r="C290" s="1344"/>
      <c r="D290" s="1332">
        <f>D287</f>
        <v>10.555999999999999</v>
      </c>
      <c r="E290" s="1355">
        <v>2</v>
      </c>
      <c r="F290" s="1356">
        <f>D290*E290</f>
        <v>21.111999999999998</v>
      </c>
      <c r="G290" s="1349"/>
      <c r="H290" s="1349"/>
      <c r="I290" s="1350"/>
      <c r="J290" s="1351"/>
      <c r="K290" s="1352"/>
      <c r="L290" s="1353"/>
      <c r="M290" s="948"/>
      <c r="N290" s="262"/>
      <c r="O290" s="262"/>
      <c r="P290" s="262"/>
      <c r="Q290" s="262"/>
      <c r="R290" s="262"/>
      <c r="S290" s="262"/>
      <c r="T290" s="262"/>
      <c r="U290" s="262"/>
      <c r="V290" s="262"/>
      <c r="W290" s="262"/>
      <c r="X290" s="262"/>
      <c r="Y290" s="262"/>
      <c r="Z290" s="262"/>
    </row>
    <row r="291" spans="1:26" ht="12.75" outlineLevel="1">
      <c r="A291" s="1529" t="s">
        <v>13346</v>
      </c>
      <c r="B291" s="1530"/>
      <c r="C291" s="1530"/>
      <c r="D291" s="1531" t="s">
        <v>16376</v>
      </c>
      <c r="E291" s="1532"/>
      <c r="F291" s="1533"/>
      <c r="G291" s="1531"/>
      <c r="H291" s="1531"/>
      <c r="I291" s="1535"/>
      <c r="J291" s="512"/>
      <c r="K291" s="262"/>
      <c r="L291" s="386"/>
      <c r="M291" s="262"/>
      <c r="N291" s="262"/>
      <c r="O291" s="262"/>
      <c r="P291" s="262"/>
      <c r="Q291" s="262"/>
      <c r="R291" s="262"/>
      <c r="S291" s="262"/>
      <c r="T291" s="262"/>
      <c r="U291" s="262"/>
      <c r="V291" s="262"/>
      <c r="W291" s="262"/>
      <c r="X291" s="262"/>
      <c r="Y291" s="262"/>
      <c r="Z291" s="262"/>
    </row>
    <row r="292" spans="1:26" ht="25.5" outlineLevel="1">
      <c r="A292" s="240" t="s">
        <v>13347</v>
      </c>
      <c r="B292" s="1543">
        <v>93358</v>
      </c>
      <c r="C292" s="303" t="s">
        <v>14476</v>
      </c>
      <c r="D292" s="1446" t="str">
        <f>IFERROR(VLOOKUP($B292,'24.08_ND'!$A$4833:$D$12369,2,0),IFERROR(VLOOKUP($B292,'03-CP'!$C$5:$H$4646,2,0),""))</f>
        <v>ESCAVAÇÃO MANUAL DE VALA COM PROFUNDIDADE MENOR OU IGUAL A 1,30 M. AF_02/2021</v>
      </c>
      <c r="E292" s="1447" t="str">
        <f>IFERROR(VLOOKUP($B292,'24.08_ND'!$A:$D,3,0),IFERROR(VLOOKUP($B292,'03-CP'!$C$5:$H$4646,3,0),""))</f>
        <v>M3</v>
      </c>
      <c r="F292" s="306">
        <v>28.8</v>
      </c>
      <c r="G292" s="303"/>
      <c r="H292" s="303"/>
      <c r="I292" s="1525"/>
      <c r="J292" s="512"/>
      <c r="K292" s="262"/>
      <c r="L292" s="1297" t="s">
        <v>16202</v>
      </c>
      <c r="M292" s="262"/>
      <c r="N292" s="262"/>
      <c r="O292" s="262"/>
      <c r="P292" s="262"/>
      <c r="Q292" s="262"/>
      <c r="R292" s="262"/>
      <c r="S292" s="262"/>
      <c r="T292" s="262"/>
      <c r="U292" s="262"/>
      <c r="V292" s="262"/>
      <c r="W292" s="262"/>
      <c r="X292" s="262"/>
      <c r="Y292" s="262"/>
      <c r="Z292" s="262"/>
    </row>
    <row r="293" spans="1:26" ht="38.25" outlineLevel="1">
      <c r="A293" s="240" t="s">
        <v>13348</v>
      </c>
      <c r="B293" s="1543" t="s">
        <v>14605</v>
      </c>
      <c r="C293" s="303" t="s">
        <v>14472</v>
      </c>
      <c r="D293" s="1446" t="str">
        <f>IFERROR(VLOOKUP($B293,'24.08_ND'!$A$4833:$D$12369,2,0),IFERROR(VLOOKUP($B293,'03-CP'!$C$5:$H$4646,2,0),""))</f>
        <v>ALVENARIA DE BLOCOS DE CONCRETO ESTRUTURAL 19X19X39 CM (ESPESSURA 19 CM) FBK = 8 MPA E ARGAMASSA DE ASSENTAMENTO COM PREPARO EM BETONEIRA</v>
      </c>
      <c r="E293" s="1447" t="str">
        <f>IFERROR(VLOOKUP($B293,'24.08_ND'!$A:$D,3,0),IFERROR(VLOOKUP($B293,'03-CP'!$C$5:$H$4646,3,0),""))</f>
        <v>M2</v>
      </c>
      <c r="F293" s="306">
        <v>53.68</v>
      </c>
      <c r="G293" s="303"/>
      <c r="H293" s="303"/>
      <c r="I293" s="1525"/>
      <c r="J293" s="512"/>
      <c r="K293" s="262"/>
      <c r="L293" s="1297" t="s">
        <v>16202</v>
      </c>
      <c r="M293" s="262"/>
      <c r="N293" s="262"/>
      <c r="O293" s="262"/>
      <c r="P293" s="262"/>
      <c r="Q293" s="262"/>
      <c r="R293" s="262"/>
      <c r="S293" s="262"/>
      <c r="T293" s="262"/>
      <c r="U293" s="262"/>
      <c r="V293" s="262"/>
      <c r="W293" s="262"/>
      <c r="X293" s="262"/>
      <c r="Y293" s="262"/>
      <c r="Z293" s="262"/>
    </row>
    <row r="294" spans="1:26" ht="12.75" outlineLevel="1">
      <c r="A294" s="240" t="s">
        <v>13349</v>
      </c>
      <c r="B294" s="1543">
        <v>89993</v>
      </c>
      <c r="C294" s="303" t="s">
        <v>14476</v>
      </c>
      <c r="D294" s="1446" t="str">
        <f>IFERROR(VLOOKUP($B294,'24.08_ND'!$A$4833:$D$12369,2,0),IFERROR(VLOOKUP($B294,'03-CP'!$C$5:$H$4646,2,0),""))</f>
        <v>GRAUTEAMENTO VERTICAL EM ALVENARIA ESTRUTURAL. AF_09/2021</v>
      </c>
      <c r="E294" s="1447" t="str">
        <f>IFERROR(VLOOKUP($B294,'24.08_ND'!$A:$D,3,0),IFERROR(VLOOKUP($B294,'03-CP'!$C$5:$H$4646,3,0),""))</f>
        <v>M3</v>
      </c>
      <c r="F294" s="306">
        <v>5.12</v>
      </c>
      <c r="G294" s="303"/>
      <c r="H294" s="303"/>
      <c r="I294" s="1525"/>
      <c r="J294" s="512"/>
      <c r="K294" s="262"/>
      <c r="L294" s="1297" t="s">
        <v>16202</v>
      </c>
      <c r="M294" s="262"/>
      <c r="N294" s="262"/>
      <c r="O294" s="262"/>
      <c r="P294" s="262"/>
      <c r="Q294" s="262"/>
      <c r="R294" s="262"/>
      <c r="S294" s="262"/>
      <c r="T294" s="262"/>
      <c r="U294" s="262"/>
      <c r="V294" s="262"/>
      <c r="W294" s="262"/>
      <c r="X294" s="262"/>
      <c r="Y294" s="262"/>
      <c r="Z294" s="262"/>
    </row>
    <row r="295" spans="1:26" ht="12.75" outlineLevel="1">
      <c r="A295" s="240" t="s">
        <v>13350</v>
      </c>
      <c r="B295" s="1543" t="s">
        <v>14603</v>
      </c>
      <c r="C295" s="303" t="s">
        <v>14472</v>
      </c>
      <c r="D295" s="1446" t="str">
        <f>IFERROR(VLOOKUP($B295,'24.08_ND'!$A$4833:$D$12369,2,0),IFERROR(VLOOKUP($B295,'03-CP'!$C$5:$H$4646,2,0),""))</f>
        <v>ARMAÇÃO VERTICAL DE ALVENARIA ESTRUTURAL; DIÂMETRO DE 8,0 MM</v>
      </c>
      <c r="E295" s="1447" t="str">
        <f>IFERROR(VLOOKUP($B295,'24.08_ND'!$A:$D,3,0),IFERROR(VLOOKUP($B295,'03-CP'!$C$5:$H$4646,3,0),""))</f>
        <v>M2</v>
      </c>
      <c r="F295" s="306">
        <v>343.8</v>
      </c>
      <c r="G295" s="303"/>
      <c r="H295" s="303"/>
      <c r="I295" s="1525"/>
      <c r="J295" s="512"/>
      <c r="K295" s="262"/>
      <c r="L295" s="1297" t="s">
        <v>16202</v>
      </c>
      <c r="M295" s="262"/>
      <c r="N295" s="262"/>
      <c r="O295" s="262"/>
      <c r="P295" s="262"/>
      <c r="Q295" s="262"/>
      <c r="R295" s="262"/>
      <c r="S295" s="262"/>
      <c r="T295" s="262"/>
      <c r="U295" s="262"/>
      <c r="V295" s="262"/>
      <c r="W295" s="262"/>
      <c r="X295" s="262"/>
      <c r="Y295" s="262"/>
      <c r="Z295" s="262"/>
    </row>
    <row r="296" spans="1:26" ht="12.75" outlineLevel="1">
      <c r="A296" s="240" t="s">
        <v>13351</v>
      </c>
      <c r="B296" s="1543" t="s">
        <v>14607</v>
      </c>
      <c r="C296" s="303" t="s">
        <v>14472</v>
      </c>
      <c r="D296" s="1446" t="str">
        <f>IFERROR(VLOOKUP($B296,'24.08_ND'!$A$4833:$D$12369,2,0),IFERROR(VLOOKUP($B296,'03-CP'!$C$5:$H$4646,2,0),""))</f>
        <v>ARGAMASSA DE REGULARIZAÇÃO ESPESSURA 15MM</v>
      </c>
      <c r="E296" s="1447" t="str">
        <f>IFERROR(VLOOKUP($B296,'24.08_ND'!$A:$D,3,0),IFERROR(VLOOKUP($B296,'03-CP'!$C$5:$H$4646,3,0),""))</f>
        <v>M2</v>
      </c>
      <c r="F296" s="306">
        <v>53.68</v>
      </c>
      <c r="G296" s="303"/>
      <c r="H296" s="303"/>
      <c r="I296" s="1525"/>
      <c r="J296" s="512"/>
      <c r="K296" s="262"/>
      <c r="L296" s="1297" t="s">
        <v>16202</v>
      </c>
      <c r="M296" s="262"/>
      <c r="N296" s="262"/>
      <c r="O296" s="262"/>
      <c r="P296" s="262"/>
      <c r="Q296" s="262"/>
      <c r="R296" s="262"/>
      <c r="S296" s="262"/>
      <c r="T296" s="262"/>
      <c r="U296" s="262"/>
      <c r="V296" s="262"/>
      <c r="W296" s="262"/>
      <c r="X296" s="262"/>
      <c r="Y296" s="262"/>
      <c r="Z296" s="262"/>
    </row>
    <row r="297" spans="1:26" ht="25.5" outlineLevel="1">
      <c r="A297" s="240" t="s">
        <v>13352</v>
      </c>
      <c r="B297" s="1543">
        <v>98555</v>
      </c>
      <c r="C297" s="303" t="s">
        <v>14476</v>
      </c>
      <c r="D297" s="1446" t="str">
        <f>IFERROR(VLOOKUP($B297,'24.08_ND'!$A$4833:$D$12369,2,0),IFERROR(VLOOKUP($B297,'03-CP'!$C$5:$H$4646,2,0),""))</f>
        <v>IMPERMEABILIZAÇÃO DE SUPERFÍCIE COM ARGAMASSA POLIMÉRICA / MEMBRANA ACRÍLICA, 3 DEMÃOS. AF_09/2023</v>
      </c>
      <c r="E297" s="1447" t="str">
        <f>IFERROR(VLOOKUP($B297,'24.08_ND'!$A:$D,3,0),IFERROR(VLOOKUP($B297,'03-CP'!$C$5:$H$4646,3,0),""))</f>
        <v>M2</v>
      </c>
      <c r="F297" s="306">
        <v>53.68</v>
      </c>
      <c r="G297" s="303"/>
      <c r="H297" s="303"/>
      <c r="I297" s="1525"/>
      <c r="J297" s="512"/>
      <c r="K297" s="262"/>
      <c r="L297" s="1297" t="s">
        <v>16202</v>
      </c>
      <c r="M297" s="262"/>
      <c r="N297" s="262"/>
      <c r="O297" s="262"/>
      <c r="P297" s="262"/>
      <c r="Q297" s="262"/>
      <c r="R297" s="262"/>
      <c r="S297" s="262"/>
      <c r="T297" s="262"/>
      <c r="U297" s="262"/>
      <c r="V297" s="262"/>
      <c r="W297" s="262"/>
      <c r="X297" s="262"/>
      <c r="Y297" s="262"/>
      <c r="Z297" s="262"/>
    </row>
    <row r="298" spans="1:26" ht="25.5" outlineLevel="1">
      <c r="A298" s="240" t="s">
        <v>13353</v>
      </c>
      <c r="B298" s="1543">
        <v>98562</v>
      </c>
      <c r="C298" s="303" t="s">
        <v>14476</v>
      </c>
      <c r="D298" s="1446" t="str">
        <f>IFERROR(VLOOKUP($B298,'24.08_ND'!$A$4833:$D$12369,2,0),IFERROR(VLOOKUP($B298,'03-CP'!$C$5:$H$4646,2,0),""))</f>
        <v>IMPERMEABILIZAÇÃO DE SUPERFÍCIE COM ARGAMASSA DE CIMENTO E AREIA, COM ADITIVO IMPERMEABILIZANTE, E = 1,5CM. AF_09/2023</v>
      </c>
      <c r="E298" s="1447" t="str">
        <f>IFERROR(VLOOKUP($B298,'24.08_ND'!$A:$D,3,0),IFERROR(VLOOKUP($B298,'03-CP'!$C$5:$H$4646,3,0),""))</f>
        <v>M2</v>
      </c>
      <c r="F298" s="306">
        <v>53.68</v>
      </c>
      <c r="G298" s="303"/>
      <c r="H298" s="303"/>
      <c r="I298" s="1525"/>
      <c r="J298" s="512"/>
      <c r="K298" s="262"/>
      <c r="L298" s="1297" t="s">
        <v>16202</v>
      </c>
      <c r="M298" s="262"/>
      <c r="N298" s="262"/>
      <c r="O298" s="262"/>
      <c r="P298" s="262"/>
      <c r="Q298" s="262"/>
      <c r="R298" s="262"/>
      <c r="S298" s="262"/>
      <c r="T298" s="262"/>
      <c r="U298" s="262"/>
      <c r="V298" s="262"/>
      <c r="W298" s="262"/>
      <c r="X298" s="262"/>
      <c r="Y298" s="262"/>
      <c r="Z298" s="262"/>
    </row>
    <row r="299" spans="1:26" ht="25.5" outlineLevel="1">
      <c r="A299" s="1527" t="s">
        <v>13354</v>
      </c>
      <c r="B299" s="1544">
        <v>93382</v>
      </c>
      <c r="C299" s="295" t="s">
        <v>14476</v>
      </c>
      <c r="D299" s="658" t="str">
        <f>IFERROR(VLOOKUP($B299,'24.08_ND'!$A$4833:$D$12369,2,0),IFERROR(VLOOKUP($B299,'03-CP'!$C$5:$H$4646,2,0),""))</f>
        <v>REATERRO MANUAL DE VALAS, COM COMPACTADOR DE SOLOS DE PERCUSSÃO. AF_08/2023</v>
      </c>
      <c r="E299" s="1318" t="str">
        <f>IFERROR(VLOOKUP($B299,'24.08_ND'!$A:$D,3,0),IFERROR(VLOOKUP($B299,'03-CP'!$C$5:$H$4646,3,0),""))</f>
        <v>M3</v>
      </c>
      <c r="F299" s="298">
        <f>F301</f>
        <v>57.53</v>
      </c>
      <c r="G299" s="295"/>
      <c r="H299" s="295"/>
      <c r="I299" s="1319"/>
      <c r="J299" s="512"/>
      <c r="K299" s="262"/>
      <c r="L299" s="1528" t="s">
        <v>16202</v>
      </c>
      <c r="M299" s="262"/>
      <c r="N299" s="262"/>
      <c r="O299" s="262"/>
      <c r="P299" s="262"/>
      <c r="Q299" s="262"/>
      <c r="R299" s="262"/>
      <c r="S299" s="262"/>
      <c r="T299" s="262"/>
      <c r="U299" s="262"/>
      <c r="V299" s="262"/>
      <c r="W299" s="262"/>
      <c r="X299" s="262"/>
      <c r="Y299" s="262"/>
      <c r="Z299" s="262"/>
    </row>
    <row r="300" spans="1:26" ht="12.75" hidden="1" outlineLevel="1">
      <c r="A300" s="1321"/>
      <c r="B300" s="1322"/>
      <c r="C300" s="1323"/>
      <c r="D300" s="1324" t="s">
        <v>16361</v>
      </c>
      <c r="E300" s="1325" t="s">
        <v>16204</v>
      </c>
      <c r="F300" s="1326" t="s">
        <v>16205</v>
      </c>
      <c r="G300" s="1327"/>
      <c r="H300" s="1327"/>
      <c r="I300" s="1328"/>
      <c r="J300" s="1327"/>
      <c r="K300" s="1327"/>
      <c r="L300" s="1327"/>
      <c r="M300" s="262"/>
      <c r="N300" s="262"/>
      <c r="O300" s="262"/>
      <c r="P300" s="262"/>
      <c r="Q300" s="262"/>
      <c r="R300" s="262"/>
      <c r="S300" s="262"/>
      <c r="T300" s="262"/>
      <c r="U300" s="262"/>
      <c r="V300" s="262"/>
      <c r="W300" s="262"/>
      <c r="X300" s="262"/>
      <c r="Y300" s="262"/>
      <c r="Z300" s="262"/>
    </row>
    <row r="301" spans="1:26" ht="12.75" hidden="1" outlineLevel="1">
      <c r="A301" s="1321"/>
      <c r="B301" s="1329"/>
      <c r="C301" s="1330"/>
      <c r="D301" s="1538">
        <v>52.3</v>
      </c>
      <c r="E301" s="1332">
        <v>1.1000000000000001</v>
      </c>
      <c r="F301" s="1333">
        <f>D301*E301</f>
        <v>57.53</v>
      </c>
      <c r="G301" s="1327"/>
      <c r="H301" s="1327"/>
      <c r="I301" s="1328"/>
      <c r="J301" s="1327"/>
      <c r="K301" s="1327"/>
      <c r="L301" s="1327"/>
      <c r="M301" s="262"/>
      <c r="N301" s="262"/>
      <c r="O301" s="262"/>
      <c r="P301" s="262"/>
      <c r="Q301" s="262"/>
      <c r="R301" s="262"/>
      <c r="S301" s="262"/>
      <c r="T301" s="262"/>
      <c r="U301" s="262"/>
      <c r="V301" s="262"/>
      <c r="W301" s="262"/>
      <c r="X301" s="262"/>
      <c r="Y301" s="262"/>
      <c r="Z301" s="262"/>
    </row>
    <row r="302" spans="1:26" ht="12.75" hidden="1" outlineLevel="1">
      <c r="A302" s="247"/>
      <c r="B302" s="386"/>
      <c r="C302" s="386"/>
      <c r="D302" s="253"/>
      <c r="E302" s="1244"/>
      <c r="F302" s="389"/>
      <c r="G302" s="1244"/>
      <c r="H302" s="1244"/>
      <c r="I302" s="1409"/>
      <c r="J302" s="1383"/>
      <c r="K302" s="262"/>
      <c r="L302" s="386"/>
      <c r="M302" s="262"/>
      <c r="N302" s="262"/>
      <c r="O302" s="262"/>
      <c r="P302" s="262"/>
      <c r="Q302" s="262"/>
      <c r="R302" s="262"/>
      <c r="S302" s="262"/>
      <c r="T302" s="262"/>
      <c r="U302" s="262"/>
      <c r="V302" s="262"/>
      <c r="W302" s="262"/>
      <c r="X302" s="262"/>
      <c r="Y302" s="262"/>
      <c r="Z302" s="262"/>
    </row>
    <row r="303" spans="1:26" ht="12.75">
      <c r="A303" s="239" t="s">
        <v>13355</v>
      </c>
      <c r="B303" s="1309"/>
      <c r="C303" s="1309"/>
      <c r="D303" s="1310" t="s">
        <v>16384</v>
      </c>
      <c r="E303" s="1311"/>
      <c r="F303" s="1312"/>
      <c r="G303" s="1310"/>
      <c r="H303" s="1524"/>
      <c r="I303" s="1313"/>
      <c r="J303" s="512"/>
      <c r="K303" s="262"/>
      <c r="L303" s="1521" t="s">
        <v>16349</v>
      </c>
      <c r="M303" s="948" t="s">
        <v>16350</v>
      </c>
      <c r="N303" s="262"/>
      <c r="O303" s="262"/>
      <c r="P303" s="262"/>
      <c r="Q303" s="262"/>
      <c r="R303" s="262"/>
      <c r="S303" s="262"/>
      <c r="T303" s="262"/>
      <c r="U303" s="262"/>
      <c r="V303" s="262"/>
      <c r="W303" s="262"/>
      <c r="X303" s="262"/>
      <c r="Y303" s="262"/>
      <c r="Z303" s="262"/>
    </row>
    <row r="304" spans="1:26" ht="38.25" outlineLevel="1">
      <c r="A304" s="240" t="s">
        <v>13356</v>
      </c>
      <c r="B304" s="1542" t="s">
        <v>14596</v>
      </c>
      <c r="C304" s="303" t="s">
        <v>14472</v>
      </c>
      <c r="D304" s="1446" t="str">
        <f>IFERROR(VLOOKUP($B304,'24.08_ND'!$A$4833:$D$12369,2,0),IFERROR(VLOOKUP($B304,'03-CP'!$C$5:$H$4646,2,0),""))</f>
        <v>MOLDAGEM E ENSAIO PARA DETERMINACAO DA RESISTENCIA A COMPRESSAO DE CORPOS DE PROVA CILINDRICOS , INCLUSO ROMPIMENTO E LAUDO TÉCNICO (1 ENSAIO A CADA 5M3)</v>
      </c>
      <c r="E304" s="1447" t="str">
        <f>IFERROR(VLOOKUP($B304,'24.08_ND'!$A:$D,3,0),IFERROR(VLOOKUP($B304,'03-CP'!$C$5:$H$4646,3,0),""))</f>
        <v>M3</v>
      </c>
      <c r="F304" s="306">
        <v>539.42999999999995</v>
      </c>
      <c r="G304" s="303"/>
      <c r="H304" s="303"/>
      <c r="I304" s="1525"/>
      <c r="J304" s="1526"/>
      <c r="K304" s="1320"/>
      <c r="L304" s="1297" t="s">
        <v>16202</v>
      </c>
      <c r="M304" s="1320"/>
      <c r="N304" s="1320"/>
      <c r="O304" s="1320"/>
      <c r="P304" s="1320"/>
      <c r="Q304" s="1320"/>
      <c r="R304" s="1320"/>
      <c r="S304" s="1320"/>
      <c r="T304" s="1320"/>
      <c r="U304" s="1320"/>
      <c r="V304" s="1320"/>
      <c r="W304" s="1320"/>
      <c r="X304" s="1320"/>
      <c r="Y304" s="1320"/>
      <c r="Z304" s="1320"/>
    </row>
    <row r="305" spans="1:26" ht="12.75" hidden="1" outlineLevel="1">
      <c r="A305" s="1527"/>
      <c r="B305" s="384"/>
      <c r="C305" s="295"/>
      <c r="D305" s="658"/>
      <c r="E305" s="1318"/>
      <c r="F305" s="298"/>
      <c r="G305" s="295"/>
      <c r="H305" s="295"/>
      <c r="I305" s="1319"/>
      <c r="J305" s="512"/>
      <c r="K305" s="262"/>
      <c r="L305" s="386"/>
      <c r="M305" s="262"/>
      <c r="N305" s="262"/>
      <c r="O305" s="262"/>
      <c r="P305" s="262"/>
      <c r="Q305" s="262"/>
      <c r="R305" s="262"/>
      <c r="S305" s="262"/>
      <c r="T305" s="262"/>
      <c r="U305" s="262"/>
      <c r="V305" s="262"/>
      <c r="W305" s="262"/>
      <c r="X305" s="262"/>
      <c r="Y305" s="262"/>
      <c r="Z305" s="262"/>
    </row>
    <row r="306" spans="1:26" ht="12.75" hidden="1">
      <c r="A306" s="1487"/>
      <c r="B306" s="1488"/>
      <c r="C306" s="1488"/>
      <c r="D306" s="1489"/>
      <c r="E306" s="1490"/>
      <c r="F306" s="1491"/>
      <c r="G306" s="1492"/>
      <c r="H306" s="1493"/>
      <c r="I306" s="1494"/>
      <c r="J306" s="512"/>
      <c r="K306" s="262"/>
      <c r="L306" s="386"/>
      <c r="M306" s="262"/>
      <c r="N306" s="262"/>
      <c r="O306" s="262"/>
      <c r="P306" s="262"/>
      <c r="Q306" s="262"/>
      <c r="R306" s="262"/>
      <c r="S306" s="262"/>
      <c r="T306" s="262"/>
      <c r="U306" s="262"/>
      <c r="V306" s="262"/>
      <c r="W306" s="262"/>
      <c r="X306" s="262"/>
      <c r="Y306" s="262"/>
      <c r="Z306" s="262"/>
    </row>
    <row r="307" spans="1:26" ht="12.75">
      <c r="A307" s="1298" t="s">
        <v>14728</v>
      </c>
      <c r="B307" s="1371"/>
      <c r="C307" s="1371"/>
      <c r="D307" s="1372"/>
      <c r="E307" s="1373"/>
      <c r="F307" s="1374"/>
      <c r="G307" s="1375"/>
      <c r="H307" s="1376"/>
      <c r="I307" s="1377"/>
      <c r="J307" s="512"/>
      <c r="K307" s="262"/>
      <c r="L307" s="386"/>
      <c r="M307" s="262"/>
      <c r="N307" s="262"/>
      <c r="O307" s="262"/>
      <c r="P307" s="262"/>
      <c r="Q307" s="262"/>
      <c r="R307" s="262"/>
      <c r="S307" s="262"/>
      <c r="T307" s="262"/>
      <c r="U307" s="262"/>
      <c r="V307" s="262"/>
      <c r="W307" s="262"/>
      <c r="X307" s="262"/>
      <c r="Y307" s="262"/>
      <c r="Z307" s="262"/>
    </row>
    <row r="308" spans="1:26" ht="12.75">
      <c r="A308" s="238" t="s">
        <v>12631</v>
      </c>
      <c r="B308" s="1304"/>
      <c r="C308" s="1304"/>
      <c r="D308" s="1305" t="s">
        <v>12486</v>
      </c>
      <c r="E308" s="1306"/>
      <c r="F308" s="1307"/>
      <c r="G308" s="1306"/>
      <c r="H308" s="1306"/>
      <c r="I308" s="1308"/>
      <c r="J308" s="512"/>
      <c r="K308" s="262"/>
      <c r="L308" s="1557" t="s">
        <v>16385</v>
      </c>
      <c r="M308" s="948" t="s">
        <v>16386</v>
      </c>
      <c r="N308" s="262"/>
      <c r="O308" s="262"/>
      <c r="P308" s="262"/>
      <c r="Q308" s="262"/>
      <c r="R308" s="262"/>
      <c r="S308" s="262"/>
      <c r="T308" s="262"/>
      <c r="U308" s="262"/>
      <c r="V308" s="262"/>
      <c r="W308" s="262"/>
      <c r="X308" s="262"/>
      <c r="Y308" s="262"/>
      <c r="Z308" s="262"/>
    </row>
    <row r="309" spans="1:26" ht="18.75" customHeight="1">
      <c r="A309" s="246" t="s">
        <v>13357</v>
      </c>
      <c r="B309" s="1378"/>
      <c r="C309" s="1378"/>
      <c r="D309" s="1379" t="s">
        <v>16227</v>
      </c>
      <c r="E309" s="1380"/>
      <c r="F309" s="1381"/>
      <c r="G309" s="1380"/>
      <c r="H309" s="1381"/>
      <c r="I309" s="1382"/>
      <c r="J309" s="1383" t="s">
        <v>16228</v>
      </c>
      <c r="K309" s="1384" t="e">
        <f>VLOOKUP(A309,'Medição '!$A:$G,10,0)</f>
        <v>#REF!</v>
      </c>
      <c r="L309" s="386"/>
      <c r="M309" s="386"/>
      <c r="N309" s="386"/>
      <c r="O309" s="386"/>
      <c r="P309" s="386"/>
      <c r="Q309" s="386"/>
      <c r="R309" s="386"/>
      <c r="S309" s="386"/>
      <c r="T309" s="386"/>
      <c r="U309" s="386"/>
      <c r="V309" s="386"/>
      <c r="W309" s="386"/>
      <c r="X309" s="386"/>
      <c r="Y309" s="386"/>
      <c r="Z309" s="386"/>
    </row>
    <row r="310" spans="1:26" ht="38.25" outlineLevel="1">
      <c r="A310" s="1385" t="s">
        <v>13358</v>
      </c>
      <c r="B310" s="295">
        <v>103324</v>
      </c>
      <c r="C310" s="295" t="s">
        <v>14476</v>
      </c>
      <c r="D310" s="658" t="str">
        <f>IFERROR(VLOOKUP($B310,'24.08_ND'!$A$4833:$D$12369,2,0),IFERROR(VLOOKUP($B310,'03-CP'!$C$5:$H$4646,2,0),""))</f>
        <v>ALVENARIA DE VEDAÇÃO DE BLOCOS CERÂMICOS FURADOS NA VERTICAL DE 14X19X39 CM (ESPESSURA 14 CM) E ARGAMASSA DE ASSENTAMENTO COM PREPARO EM BETONEIRA. AF_12/2021</v>
      </c>
      <c r="E310" s="1318" t="str">
        <f>IFERROR(VLOOKUP($B310,'24.08_ND'!$A:$D,3,0),IFERROR(VLOOKUP($B310,'03-CP'!$C$5:$H$4646,3,0),""))</f>
        <v>M2</v>
      </c>
      <c r="F310" s="1558">
        <f>SUM(I312)</f>
        <v>2.4</v>
      </c>
      <c r="G310" s="1387"/>
      <c r="H310" s="1387"/>
      <c r="I310" s="1388"/>
      <c r="J310" s="512"/>
      <c r="K310" s="386"/>
      <c r="L310" s="1559" t="s">
        <v>16387</v>
      </c>
      <c r="M310" s="386"/>
      <c r="N310" s="386"/>
      <c r="O310" s="386"/>
      <c r="P310" s="386"/>
      <c r="Q310" s="386"/>
      <c r="R310" s="386"/>
      <c r="S310" s="386"/>
      <c r="T310" s="386"/>
      <c r="U310" s="386"/>
      <c r="V310" s="386"/>
      <c r="W310" s="386"/>
      <c r="X310" s="386"/>
      <c r="Y310" s="386"/>
      <c r="Z310" s="386"/>
    </row>
    <row r="311" spans="1:26" ht="25.5" hidden="1" outlineLevel="1">
      <c r="A311" s="1401"/>
      <c r="B311" s="386"/>
      <c r="C311" s="386"/>
      <c r="D311" s="1435" t="s">
        <v>16230</v>
      </c>
      <c r="E311" s="1391" t="s">
        <v>16231</v>
      </c>
      <c r="F311" s="1392" t="s">
        <v>16232</v>
      </c>
      <c r="G311" s="1391" t="s">
        <v>16233</v>
      </c>
      <c r="H311" s="1392" t="s">
        <v>16234</v>
      </c>
      <c r="I311" s="1393" t="s">
        <v>12615</v>
      </c>
      <c r="J311" s="512"/>
      <c r="K311" s="262"/>
      <c r="L311" s="386"/>
      <c r="M311" s="262"/>
      <c r="N311" s="262"/>
      <c r="O311" s="262"/>
      <c r="P311" s="262"/>
      <c r="Q311" s="262"/>
      <c r="R311" s="262"/>
      <c r="S311" s="262"/>
      <c r="T311" s="262"/>
      <c r="U311" s="262"/>
      <c r="V311" s="262"/>
      <c r="W311" s="262"/>
      <c r="X311" s="262"/>
      <c r="Y311" s="262"/>
      <c r="Z311" s="262"/>
    </row>
    <row r="312" spans="1:26" ht="12.75" hidden="1" outlineLevel="1">
      <c r="A312" s="1401"/>
      <c r="B312" s="386"/>
      <c r="C312" s="386"/>
      <c r="D312" s="1422" t="s">
        <v>16388</v>
      </c>
      <c r="E312" s="1248"/>
      <c r="F312" s="1436"/>
      <c r="G312" s="1248">
        <v>2.4</v>
      </c>
      <c r="H312" s="1248"/>
      <c r="I312" s="1397">
        <f>G312</f>
        <v>2.4</v>
      </c>
      <c r="J312" s="512"/>
      <c r="K312" s="262"/>
      <c r="L312" s="386"/>
      <c r="M312" s="262"/>
      <c r="N312" s="262"/>
      <c r="O312" s="262"/>
      <c r="P312" s="262"/>
      <c r="Q312" s="262"/>
      <c r="R312" s="262"/>
      <c r="S312" s="262"/>
      <c r="T312" s="262"/>
      <c r="U312" s="262"/>
      <c r="V312" s="262"/>
      <c r="W312" s="262"/>
      <c r="X312" s="262"/>
      <c r="Y312" s="262"/>
      <c r="Z312" s="262"/>
    </row>
    <row r="313" spans="1:26" ht="12.75" hidden="1" outlineLevel="1">
      <c r="A313" s="247"/>
      <c r="B313" s="386"/>
      <c r="C313" s="386"/>
      <c r="D313" s="253"/>
      <c r="E313" s="1244"/>
      <c r="F313" s="389"/>
      <c r="G313" s="1244"/>
      <c r="H313" s="1244"/>
      <c r="I313" s="1409"/>
      <c r="J313" s="512"/>
      <c r="K313" s="262"/>
      <c r="L313" s="386"/>
      <c r="M313" s="262"/>
      <c r="N313" s="262"/>
      <c r="O313" s="262"/>
      <c r="P313" s="262"/>
      <c r="Q313" s="262"/>
      <c r="R313" s="262"/>
      <c r="S313" s="262"/>
      <c r="T313" s="262"/>
      <c r="U313" s="262"/>
      <c r="V313" s="262"/>
      <c r="W313" s="262"/>
      <c r="X313" s="262"/>
      <c r="Y313" s="262"/>
      <c r="Z313" s="262"/>
    </row>
    <row r="314" spans="1:26" ht="38.25" outlineLevel="1">
      <c r="A314" s="1385" t="s">
        <v>13359</v>
      </c>
      <c r="B314" s="295">
        <v>94271</v>
      </c>
      <c r="C314" s="295" t="s">
        <v>14476</v>
      </c>
      <c r="D314" s="658" t="str">
        <f>IFERROR(VLOOKUP($B314,'24.08_ND'!$A$4833:$D$12369,2,0),IFERROR(VLOOKUP($B314,'03-CP'!$C$5:$H$4646,2,0),""))</f>
        <v>GUIA (MEIO-FIO) E SARJETA CONJUGADOS DE CONCRETO, MOLDADA  IN LOCO  EM TRECHO RETO COM EXTRUSORA, 65 CM BASE (15 CM BASE DA GUIA + 50 CM BASE DA SARJETA) X 26 CM ALTURA. AF_01/2024</v>
      </c>
      <c r="E314" s="1318" t="str">
        <f>IFERROR(VLOOKUP($B314,'24.08_ND'!$A:$D,3,0),IFERROR(VLOOKUP($B314,'03-CP'!$C$5:$H$4646,3,0),""))</f>
        <v>M</v>
      </c>
      <c r="F314" s="1558">
        <f>SUM(I316)</f>
        <v>149.62</v>
      </c>
      <c r="G314" s="1387"/>
      <c r="H314" s="1387"/>
      <c r="I314" s="1388"/>
      <c r="J314" s="512"/>
      <c r="K314" s="262"/>
      <c r="L314" s="1559" t="s">
        <v>16387</v>
      </c>
      <c r="M314" s="262"/>
      <c r="N314" s="262"/>
      <c r="O314" s="262"/>
      <c r="P314" s="262"/>
      <c r="Q314" s="262"/>
      <c r="R314" s="262"/>
      <c r="S314" s="262"/>
      <c r="T314" s="262"/>
      <c r="U314" s="262"/>
      <c r="V314" s="262"/>
      <c r="W314" s="262"/>
      <c r="X314" s="262"/>
      <c r="Y314" s="262"/>
      <c r="Z314" s="262"/>
    </row>
    <row r="315" spans="1:26" ht="25.5" hidden="1" outlineLevel="1">
      <c r="A315" s="1401"/>
      <c r="B315" s="386"/>
      <c r="C315" s="386"/>
      <c r="D315" s="1390" t="s">
        <v>16230</v>
      </c>
      <c r="E315" s="1391" t="s">
        <v>16231</v>
      </c>
      <c r="F315" s="1392" t="s">
        <v>16232</v>
      </c>
      <c r="G315" s="1391" t="s">
        <v>16233</v>
      </c>
      <c r="H315" s="1392" t="s">
        <v>16234</v>
      </c>
      <c r="I315" s="1393" t="s">
        <v>12615</v>
      </c>
      <c r="J315" s="512"/>
      <c r="K315" s="262"/>
      <c r="L315" s="386"/>
      <c r="M315" s="262"/>
      <c r="N315" s="262"/>
      <c r="O315" s="262"/>
      <c r="P315" s="262"/>
      <c r="Q315" s="262"/>
      <c r="R315" s="262"/>
      <c r="S315" s="262"/>
      <c r="T315" s="262"/>
      <c r="U315" s="262"/>
      <c r="V315" s="262"/>
      <c r="W315" s="262"/>
      <c r="X315" s="262"/>
      <c r="Y315" s="262"/>
      <c r="Z315" s="262"/>
    </row>
    <row r="316" spans="1:26" ht="12.75" hidden="1" outlineLevel="1">
      <c r="A316" s="247"/>
      <c r="B316" s="386"/>
      <c r="C316" s="386"/>
      <c r="D316" s="1394" t="s">
        <v>16389</v>
      </c>
      <c r="E316" s="1395">
        <v>149.62</v>
      </c>
      <c r="F316" s="1396"/>
      <c r="G316" s="1395"/>
      <c r="H316" s="1396"/>
      <c r="I316" s="1397">
        <f>E316</f>
        <v>149.62</v>
      </c>
      <c r="J316" s="512"/>
      <c r="K316" s="262"/>
      <c r="L316" s="386"/>
      <c r="M316" s="262"/>
      <c r="N316" s="262"/>
      <c r="O316" s="262"/>
      <c r="P316" s="262"/>
      <c r="Q316" s="262"/>
      <c r="R316" s="262"/>
      <c r="S316" s="262"/>
      <c r="T316" s="262"/>
      <c r="U316" s="262"/>
      <c r="V316" s="262"/>
      <c r="W316" s="262"/>
      <c r="X316" s="262"/>
      <c r="Y316" s="262"/>
      <c r="Z316" s="262"/>
    </row>
    <row r="317" spans="1:26" ht="12.75" hidden="1" outlineLevel="1">
      <c r="A317" s="247"/>
      <c r="B317" s="8"/>
      <c r="C317" s="8"/>
      <c r="D317" s="253"/>
      <c r="E317" s="1244"/>
      <c r="F317" s="1244"/>
      <c r="G317" s="1244"/>
      <c r="H317" s="1244"/>
      <c r="I317" s="1409"/>
      <c r="J317" s="512"/>
      <c r="K317" s="262"/>
      <c r="L317" s="386"/>
      <c r="M317" s="262"/>
      <c r="N317" s="262"/>
      <c r="O317" s="262"/>
      <c r="P317" s="262"/>
      <c r="Q317" s="262"/>
      <c r="R317" s="262"/>
      <c r="S317" s="262"/>
      <c r="T317" s="262"/>
      <c r="U317" s="262"/>
      <c r="V317" s="262"/>
      <c r="W317" s="262"/>
      <c r="X317" s="262"/>
      <c r="Y317" s="262"/>
      <c r="Z317" s="262"/>
    </row>
    <row r="318" spans="1:26" ht="12.75">
      <c r="A318" s="246" t="s">
        <v>13360</v>
      </c>
      <c r="B318" s="1378"/>
      <c r="C318" s="1378"/>
      <c r="D318" s="1379" t="s">
        <v>16251</v>
      </c>
      <c r="E318" s="1380"/>
      <c r="F318" s="1381"/>
      <c r="G318" s="1380"/>
      <c r="H318" s="1381"/>
      <c r="I318" s="1382"/>
      <c r="J318" s="1383" t="s">
        <v>16228</v>
      </c>
      <c r="K318" s="1384" t="e">
        <f>VLOOKUP(A318,'Medição '!$A:$G,10,0)</f>
        <v>#REF!</v>
      </c>
      <c r="L318" s="386"/>
      <c r="M318" s="262"/>
      <c r="N318" s="262"/>
      <c r="O318" s="262"/>
      <c r="P318" s="262"/>
      <c r="Q318" s="262"/>
      <c r="R318" s="262"/>
      <c r="S318" s="262"/>
      <c r="T318" s="262"/>
      <c r="U318" s="262"/>
      <c r="V318" s="262"/>
      <c r="W318" s="262"/>
      <c r="X318" s="262"/>
      <c r="Y318" s="262"/>
      <c r="Z318" s="262"/>
    </row>
    <row r="319" spans="1:26" ht="38.25" outlineLevel="1">
      <c r="A319" s="1423" t="s">
        <v>13361</v>
      </c>
      <c r="B319" s="559">
        <v>87879</v>
      </c>
      <c r="C319" s="559" t="s">
        <v>14476</v>
      </c>
      <c r="D319" s="658" t="str">
        <f>IFERROR(VLOOKUP($B319,'24.08_ND'!$A$4833:$D$12369,2,0),IFERROR(VLOOKUP($B319,'03-CP'!$C$5:$H$4646,2,0),""))</f>
        <v>CHAPISCO APLICADO EM ALVENARIAS E ESTRUTURAS DE CONCRETO INTERNAS, COM COLHER DE PEDREIRO.  ARGAMASSA TRAÇO 1:3 COM PREPARO EM BETONEIRA 400L. AF_10/2022</v>
      </c>
      <c r="E319" s="1318" t="str">
        <f>IFERROR(VLOOKUP($B319,'24.08_ND'!$A:$D,3,0),IFERROR(VLOOKUP($B319,'03-CP'!$C$5:$H$4646,3,0),""))</f>
        <v>M2</v>
      </c>
      <c r="F319" s="1558">
        <f>SUM(I321:I328)</f>
        <v>925.57</v>
      </c>
      <c r="G319" s="1387"/>
      <c r="H319" s="1387"/>
      <c r="I319" s="1388"/>
      <c r="J319" s="1383" t="s">
        <v>16228</v>
      </c>
      <c r="K319" s="262"/>
      <c r="L319" s="1559" t="s">
        <v>16387</v>
      </c>
      <c r="M319" s="262"/>
      <c r="N319" s="262"/>
      <c r="O319" s="262"/>
      <c r="P319" s="262"/>
      <c r="Q319" s="262"/>
      <c r="R319" s="262"/>
      <c r="S319" s="262"/>
      <c r="T319" s="262"/>
      <c r="U319" s="262"/>
      <c r="V319" s="262"/>
      <c r="W319" s="262"/>
      <c r="X319" s="262"/>
      <c r="Y319" s="262"/>
      <c r="Z319" s="262"/>
    </row>
    <row r="320" spans="1:26" ht="12.75" hidden="1" outlineLevel="1">
      <c r="A320" s="1401"/>
      <c r="B320" s="386"/>
      <c r="C320" s="386"/>
      <c r="D320" s="1390" t="s">
        <v>16230</v>
      </c>
      <c r="E320" s="1240" t="s">
        <v>16252</v>
      </c>
      <c r="F320" s="1425" t="s">
        <v>16232</v>
      </c>
      <c r="G320" s="1391" t="s">
        <v>16233</v>
      </c>
      <c r="H320" s="1240" t="s">
        <v>16234</v>
      </c>
      <c r="I320" s="1426" t="s">
        <v>12615</v>
      </c>
      <c r="J320" s="1383" t="s">
        <v>16228</v>
      </c>
      <c r="K320" s="262"/>
      <c r="L320" s="386"/>
      <c r="M320" s="262"/>
      <c r="N320" s="262"/>
      <c r="O320" s="262"/>
      <c r="P320" s="262"/>
      <c r="Q320" s="262"/>
      <c r="R320" s="262"/>
      <c r="S320" s="262"/>
      <c r="T320" s="262"/>
      <c r="U320" s="262"/>
      <c r="V320" s="262"/>
      <c r="W320" s="262"/>
      <c r="X320" s="262"/>
      <c r="Y320" s="262"/>
      <c r="Z320" s="262"/>
    </row>
    <row r="321" spans="1:26" ht="12.75" hidden="1" outlineLevel="1">
      <c r="A321" s="247"/>
      <c r="B321" s="386"/>
      <c r="C321" s="386"/>
      <c r="D321" s="1419" t="s">
        <v>16390</v>
      </c>
      <c r="E321" s="1420"/>
      <c r="F321" s="1421"/>
      <c r="G321" s="1420">
        <v>163.92</v>
      </c>
      <c r="H321" s="1421"/>
      <c r="I321" s="1429">
        <f t="shared" ref="I321:I328" si="0">G321</f>
        <v>163.92</v>
      </c>
      <c r="J321" s="1383" t="s">
        <v>16228</v>
      </c>
      <c r="K321" s="262"/>
      <c r="L321" s="386"/>
      <c r="M321" s="262"/>
      <c r="N321" s="262"/>
      <c r="O321" s="262"/>
      <c r="P321" s="262"/>
      <c r="Q321" s="262"/>
      <c r="R321" s="262"/>
      <c r="S321" s="262"/>
      <c r="T321" s="262"/>
      <c r="U321" s="262"/>
      <c r="V321" s="262"/>
      <c r="W321" s="262"/>
      <c r="X321" s="262"/>
      <c r="Y321" s="262"/>
      <c r="Z321" s="262"/>
    </row>
    <row r="322" spans="1:26" ht="12.75" hidden="1" outlineLevel="1">
      <c r="A322" s="247"/>
      <c r="B322" s="386"/>
      <c r="C322" s="386"/>
      <c r="D322" s="1419" t="s">
        <v>16391</v>
      </c>
      <c r="E322" s="1420"/>
      <c r="F322" s="1421"/>
      <c r="G322" s="1420">
        <v>80.52</v>
      </c>
      <c r="H322" s="1421"/>
      <c r="I322" s="1429">
        <f t="shared" si="0"/>
        <v>80.52</v>
      </c>
      <c r="J322" s="1383" t="s">
        <v>16228</v>
      </c>
      <c r="K322" s="262"/>
      <c r="L322" s="386"/>
      <c r="M322" s="262"/>
      <c r="N322" s="262"/>
      <c r="O322" s="262"/>
      <c r="P322" s="262"/>
      <c r="Q322" s="262"/>
      <c r="R322" s="262"/>
      <c r="S322" s="262"/>
      <c r="T322" s="262"/>
      <c r="U322" s="262"/>
      <c r="V322" s="262"/>
      <c r="W322" s="262"/>
      <c r="X322" s="262"/>
      <c r="Y322" s="262"/>
      <c r="Z322" s="262"/>
    </row>
    <row r="323" spans="1:26" ht="12.75" hidden="1" outlineLevel="1">
      <c r="A323" s="247"/>
      <c r="B323" s="386"/>
      <c r="C323" s="386"/>
      <c r="D323" s="1419" t="s">
        <v>16392</v>
      </c>
      <c r="E323" s="1420"/>
      <c r="F323" s="1421"/>
      <c r="G323" s="1420">
        <v>6.66</v>
      </c>
      <c r="H323" s="1421"/>
      <c r="I323" s="1429">
        <f t="shared" si="0"/>
        <v>6.66</v>
      </c>
      <c r="J323" s="1383"/>
      <c r="K323" s="262"/>
      <c r="L323" s="386"/>
      <c r="M323" s="262"/>
      <c r="N323" s="262"/>
      <c r="O323" s="262"/>
      <c r="P323" s="262"/>
      <c r="Q323" s="262"/>
      <c r="R323" s="262"/>
      <c r="S323" s="262"/>
      <c r="T323" s="262"/>
      <c r="U323" s="262"/>
      <c r="V323" s="262"/>
      <c r="W323" s="262"/>
      <c r="X323" s="262"/>
      <c r="Y323" s="262"/>
      <c r="Z323" s="262"/>
    </row>
    <row r="324" spans="1:26" ht="12.75" hidden="1" outlineLevel="1">
      <c r="A324" s="247"/>
      <c r="B324" s="386"/>
      <c r="C324" s="386"/>
      <c r="D324" s="1419" t="s">
        <v>16393</v>
      </c>
      <c r="E324" s="1420">
        <v>255.41</v>
      </c>
      <c r="F324" s="1421">
        <v>1.8</v>
      </c>
      <c r="G324" s="1420">
        <v>459.74</v>
      </c>
      <c r="H324" s="1421"/>
      <c r="I324" s="1429">
        <f t="shared" si="0"/>
        <v>459.74</v>
      </c>
      <c r="J324" s="1383"/>
      <c r="K324" s="262"/>
      <c r="L324" s="386"/>
      <c r="M324" s="262"/>
      <c r="N324" s="262"/>
      <c r="O324" s="262"/>
      <c r="P324" s="262"/>
      <c r="Q324" s="262"/>
      <c r="R324" s="262"/>
      <c r="S324" s="262"/>
      <c r="T324" s="262"/>
      <c r="U324" s="262"/>
      <c r="V324" s="262"/>
      <c r="W324" s="262"/>
      <c r="X324" s="262"/>
      <c r="Y324" s="262"/>
      <c r="Z324" s="262"/>
    </row>
    <row r="325" spans="1:26" ht="12.75" hidden="1" outlineLevel="1">
      <c r="A325" s="247"/>
      <c r="B325" s="386"/>
      <c r="C325" s="386"/>
      <c r="D325" s="1419" t="s">
        <v>16394</v>
      </c>
      <c r="E325" s="1420">
        <v>39.6</v>
      </c>
      <c r="F325" s="1421">
        <v>1</v>
      </c>
      <c r="G325" s="1420">
        <v>47.52</v>
      </c>
      <c r="H325" s="1421"/>
      <c r="I325" s="1429">
        <f t="shared" si="0"/>
        <v>47.52</v>
      </c>
      <c r="J325" s="1383"/>
      <c r="K325" s="262"/>
      <c r="L325" s="386"/>
      <c r="M325" s="262"/>
      <c r="N325" s="262"/>
      <c r="O325" s="262"/>
      <c r="P325" s="262"/>
      <c r="Q325" s="262"/>
      <c r="R325" s="262"/>
      <c r="S325" s="262"/>
      <c r="T325" s="262"/>
      <c r="U325" s="262"/>
      <c r="V325" s="262"/>
      <c r="W325" s="262"/>
      <c r="X325" s="262"/>
      <c r="Y325" s="262"/>
      <c r="Z325" s="262"/>
    </row>
    <row r="326" spans="1:26" ht="12.75" hidden="1" outlineLevel="1">
      <c r="A326" s="247"/>
      <c r="B326" s="386"/>
      <c r="C326" s="386"/>
      <c r="D326" s="1419" t="s">
        <v>16395</v>
      </c>
      <c r="E326" s="1420">
        <v>123.45</v>
      </c>
      <c r="F326" s="1421">
        <v>0.45</v>
      </c>
      <c r="G326" s="1420">
        <v>111.11</v>
      </c>
      <c r="H326" s="1421"/>
      <c r="I326" s="1429">
        <f t="shared" si="0"/>
        <v>111.11</v>
      </c>
      <c r="J326" s="1383"/>
      <c r="K326" s="262"/>
      <c r="L326" s="386"/>
      <c r="M326" s="262"/>
      <c r="N326" s="262"/>
      <c r="O326" s="262"/>
      <c r="P326" s="262"/>
      <c r="Q326" s="262"/>
      <c r="R326" s="262"/>
      <c r="S326" s="262"/>
      <c r="T326" s="262"/>
      <c r="U326" s="262"/>
      <c r="V326" s="262"/>
      <c r="W326" s="262"/>
      <c r="X326" s="262"/>
      <c r="Y326" s="262"/>
      <c r="Z326" s="262"/>
    </row>
    <row r="327" spans="1:26" ht="12.75" hidden="1" outlineLevel="1">
      <c r="A327" s="247"/>
      <c r="B327" s="386"/>
      <c r="C327" s="386"/>
      <c r="D327" s="1419" t="s">
        <v>16396</v>
      </c>
      <c r="E327" s="1420">
        <v>39.51</v>
      </c>
      <c r="F327" s="1421">
        <v>1.35</v>
      </c>
      <c r="G327" s="1420">
        <v>53.7</v>
      </c>
      <c r="H327" s="1421"/>
      <c r="I327" s="1429">
        <f t="shared" si="0"/>
        <v>53.7</v>
      </c>
      <c r="J327" s="1383"/>
      <c r="K327" s="262"/>
      <c r="L327" s="386"/>
      <c r="M327" s="262"/>
      <c r="N327" s="262"/>
      <c r="O327" s="262"/>
      <c r="P327" s="262"/>
      <c r="Q327" s="262"/>
      <c r="R327" s="262"/>
      <c r="S327" s="262"/>
      <c r="T327" s="262"/>
      <c r="U327" s="262"/>
      <c r="V327" s="262"/>
      <c r="W327" s="262"/>
      <c r="X327" s="262"/>
      <c r="Y327" s="262"/>
      <c r="Z327" s="262"/>
    </row>
    <row r="328" spans="1:26" ht="12.75" hidden="1" outlineLevel="1">
      <c r="A328" s="247"/>
      <c r="B328" s="386"/>
      <c r="C328" s="386"/>
      <c r="D328" s="1427" t="s">
        <v>16397</v>
      </c>
      <c r="E328" s="1395"/>
      <c r="F328" s="1396"/>
      <c r="G328" s="1395">
        <v>2.4</v>
      </c>
      <c r="H328" s="1396"/>
      <c r="I328" s="1397">
        <f t="shared" si="0"/>
        <v>2.4</v>
      </c>
      <c r="J328" s="1383"/>
      <c r="K328" s="262"/>
      <c r="L328" s="386"/>
      <c r="M328" s="262"/>
      <c r="N328" s="262"/>
      <c r="O328" s="262"/>
      <c r="P328" s="262"/>
      <c r="Q328" s="262"/>
      <c r="R328" s="262"/>
      <c r="S328" s="262"/>
      <c r="T328" s="262"/>
      <c r="U328" s="262"/>
      <c r="V328" s="262"/>
      <c r="W328" s="262"/>
      <c r="X328" s="262"/>
      <c r="Y328" s="262"/>
      <c r="Z328" s="262"/>
    </row>
    <row r="329" spans="1:26" ht="12.75" hidden="1" outlineLevel="1">
      <c r="A329" s="247"/>
      <c r="B329" s="386"/>
      <c r="C329" s="386"/>
      <c r="D329" s="1428"/>
      <c r="E329" s="1420"/>
      <c r="F329" s="1421"/>
      <c r="G329" s="1420"/>
      <c r="H329" s="1421"/>
      <c r="I329" s="1429"/>
      <c r="J329" s="1383" t="s">
        <v>16228</v>
      </c>
      <c r="K329" s="262"/>
      <c r="L329" s="386"/>
      <c r="M329" s="262"/>
      <c r="N329" s="262"/>
      <c r="O329" s="262"/>
      <c r="P329" s="262"/>
      <c r="Q329" s="262"/>
      <c r="R329" s="262"/>
      <c r="S329" s="262"/>
      <c r="T329" s="262"/>
      <c r="U329" s="262"/>
      <c r="V329" s="262"/>
      <c r="W329" s="262"/>
      <c r="X329" s="262"/>
      <c r="Y329" s="262"/>
      <c r="Z329" s="262"/>
    </row>
    <row r="330" spans="1:26" ht="38.25" outlineLevel="1">
      <c r="A330" s="1423" t="s">
        <v>13362</v>
      </c>
      <c r="B330" s="295">
        <v>87775</v>
      </c>
      <c r="C330" s="559" t="s">
        <v>14476</v>
      </c>
      <c r="D330" s="658" t="str">
        <f>IFERROR(VLOOKUP($B330,'24.08_ND'!$A$4833:$D$12369,2,0),IFERROR(VLOOKUP($B330,'03-CP'!$C$5:$H$4646,2,0),""))</f>
        <v>EMBOÇO OU MASSA ÚNICA EM ARGAMASSA TRAÇO 1:2:8, PREPARO MECÂNICO COM BETONEIRA 400 L, APLICADA MANUALMENTE EM PANOS DE FACHADA COM PRESENÇA DE VÃOS, ESPESSURA DE 25 MM. AF_08/2022</v>
      </c>
      <c r="E330" s="1318" t="str">
        <f>IFERROR(VLOOKUP($B330,'24.08_ND'!$A:$D,3,0),IFERROR(VLOOKUP($B330,'03-CP'!$C$5:$H$4646,3,0),""))</f>
        <v>M2</v>
      </c>
      <c r="F330" s="1558">
        <f>SUM(I332:I341)</f>
        <v>1102.3800000000001</v>
      </c>
      <c r="G330" s="1430"/>
      <c r="H330" s="1431"/>
      <c r="I330" s="1432"/>
      <c r="J330" s="1383" t="s">
        <v>16228</v>
      </c>
      <c r="K330" s="262"/>
      <c r="L330" s="1559" t="s">
        <v>16387</v>
      </c>
      <c r="M330" s="262"/>
      <c r="N330" s="262"/>
      <c r="O330" s="262"/>
      <c r="P330" s="262"/>
      <c r="Q330" s="262"/>
      <c r="R330" s="262"/>
      <c r="S330" s="262"/>
      <c r="T330" s="262"/>
      <c r="U330" s="262"/>
      <c r="V330" s="262"/>
      <c r="W330" s="262"/>
      <c r="X330" s="262"/>
      <c r="Y330" s="262"/>
      <c r="Z330" s="262"/>
    </row>
    <row r="331" spans="1:26" ht="12.75" hidden="1" outlineLevel="1">
      <c r="A331" s="247"/>
      <c r="B331" s="386"/>
      <c r="C331" s="386"/>
      <c r="D331" s="1390" t="s">
        <v>16230</v>
      </c>
      <c r="E331" s="1240" t="s">
        <v>16252</v>
      </c>
      <c r="F331" s="1425" t="s">
        <v>16232</v>
      </c>
      <c r="G331" s="1391" t="s">
        <v>16233</v>
      </c>
      <c r="H331" s="1240" t="s">
        <v>16234</v>
      </c>
      <c r="I331" s="1426" t="s">
        <v>12615</v>
      </c>
      <c r="J331" s="1383" t="s">
        <v>16228</v>
      </c>
      <c r="K331" s="262"/>
      <c r="L331" s="386"/>
      <c r="M331" s="262"/>
      <c r="N331" s="262"/>
      <c r="O331" s="262"/>
      <c r="P331" s="262"/>
      <c r="Q331" s="262"/>
      <c r="R331" s="262"/>
      <c r="S331" s="262"/>
      <c r="T331" s="262"/>
      <c r="U331" s="262"/>
      <c r="V331" s="262"/>
      <c r="W331" s="262"/>
      <c r="X331" s="262"/>
      <c r="Y331" s="262"/>
      <c r="Z331" s="262"/>
    </row>
    <row r="332" spans="1:26" ht="12.75" hidden="1" outlineLevel="1">
      <c r="A332" s="247"/>
      <c r="B332" s="386"/>
      <c r="C332" s="386"/>
      <c r="D332" s="1419" t="s">
        <v>16390</v>
      </c>
      <c r="E332" s="1420"/>
      <c r="F332" s="1421"/>
      <c r="G332" s="1420">
        <v>163.92</v>
      </c>
      <c r="H332" s="1421"/>
      <c r="I332" s="1429">
        <f t="shared" ref="I332:I338" si="1">G332</f>
        <v>163.92</v>
      </c>
      <c r="J332" s="1383" t="s">
        <v>16228</v>
      </c>
      <c r="K332" s="262"/>
      <c r="L332" s="386"/>
      <c r="M332" s="262"/>
      <c r="N332" s="262"/>
      <c r="O332" s="262"/>
      <c r="P332" s="262"/>
      <c r="Q332" s="262"/>
      <c r="R332" s="262"/>
      <c r="S332" s="262"/>
      <c r="T332" s="262"/>
      <c r="U332" s="262"/>
      <c r="V332" s="262"/>
      <c r="W332" s="262"/>
      <c r="X332" s="262"/>
      <c r="Y332" s="262"/>
      <c r="Z332" s="262"/>
    </row>
    <row r="333" spans="1:26" ht="12.75" hidden="1" outlineLevel="1">
      <c r="A333" s="247"/>
      <c r="B333" s="386"/>
      <c r="C333" s="386"/>
      <c r="D333" s="1419" t="s">
        <v>16391</v>
      </c>
      <c r="E333" s="1420"/>
      <c r="F333" s="1421"/>
      <c r="G333" s="1420">
        <v>80.52</v>
      </c>
      <c r="H333" s="1421"/>
      <c r="I333" s="1429">
        <f t="shared" si="1"/>
        <v>80.52</v>
      </c>
      <c r="J333" s="1383"/>
      <c r="K333" s="262"/>
      <c r="L333" s="386"/>
      <c r="M333" s="262"/>
      <c r="N333" s="262"/>
      <c r="O333" s="262"/>
      <c r="P333" s="262"/>
      <c r="Q333" s="262"/>
      <c r="R333" s="262"/>
      <c r="S333" s="262"/>
      <c r="T333" s="262"/>
      <c r="U333" s="262"/>
      <c r="V333" s="262"/>
      <c r="W333" s="262"/>
      <c r="X333" s="262"/>
      <c r="Y333" s="262"/>
      <c r="Z333" s="262"/>
    </row>
    <row r="334" spans="1:26" ht="12.75" hidden="1" outlineLevel="1">
      <c r="A334" s="247"/>
      <c r="B334" s="386"/>
      <c r="C334" s="386"/>
      <c r="D334" s="1419" t="s">
        <v>16392</v>
      </c>
      <c r="E334" s="1420"/>
      <c r="F334" s="1421"/>
      <c r="G334" s="1420">
        <v>6.66</v>
      </c>
      <c r="H334" s="1421"/>
      <c r="I334" s="1429">
        <f t="shared" si="1"/>
        <v>6.66</v>
      </c>
      <c r="J334" s="1383"/>
      <c r="K334" s="262"/>
      <c r="L334" s="386"/>
      <c r="M334" s="262"/>
      <c r="N334" s="262"/>
      <c r="O334" s="262"/>
      <c r="P334" s="262"/>
      <c r="Q334" s="262"/>
      <c r="R334" s="262"/>
      <c r="S334" s="262"/>
      <c r="T334" s="262"/>
      <c r="U334" s="262"/>
      <c r="V334" s="262"/>
      <c r="W334" s="262"/>
      <c r="X334" s="262"/>
      <c r="Y334" s="262"/>
      <c r="Z334" s="262"/>
    </row>
    <row r="335" spans="1:26" ht="12.75" hidden="1" outlineLevel="1">
      <c r="A335" s="247"/>
      <c r="B335" s="386"/>
      <c r="C335" s="386"/>
      <c r="D335" s="1419" t="s">
        <v>16393</v>
      </c>
      <c r="E335" s="1420">
        <v>255.41</v>
      </c>
      <c r="F335" s="1421">
        <v>1.8</v>
      </c>
      <c r="G335" s="1420">
        <v>459.74</v>
      </c>
      <c r="H335" s="1421"/>
      <c r="I335" s="1429">
        <f t="shared" si="1"/>
        <v>459.74</v>
      </c>
      <c r="J335" s="1383"/>
      <c r="K335" s="262"/>
      <c r="L335" s="386"/>
      <c r="M335" s="262"/>
      <c r="N335" s="262"/>
      <c r="O335" s="262"/>
      <c r="P335" s="262"/>
      <c r="Q335" s="262"/>
      <c r="R335" s="262"/>
      <c r="S335" s="262"/>
      <c r="T335" s="262"/>
      <c r="U335" s="262"/>
      <c r="V335" s="262"/>
      <c r="W335" s="262"/>
      <c r="X335" s="262"/>
      <c r="Y335" s="262"/>
      <c r="Z335" s="262"/>
    </row>
    <row r="336" spans="1:26" ht="12.75" hidden="1" outlineLevel="1">
      <c r="A336" s="247"/>
      <c r="B336" s="386"/>
      <c r="C336" s="386"/>
      <c r="D336" s="1419" t="s">
        <v>16394</v>
      </c>
      <c r="E336" s="1420">
        <v>39.6</v>
      </c>
      <c r="F336" s="1421">
        <v>1</v>
      </c>
      <c r="G336" s="1420">
        <v>47.52</v>
      </c>
      <c r="H336" s="1421"/>
      <c r="I336" s="1429">
        <f t="shared" si="1"/>
        <v>47.52</v>
      </c>
      <c r="J336" s="1383"/>
      <c r="K336" s="262"/>
      <c r="L336" s="386"/>
      <c r="M336" s="262"/>
      <c r="N336" s="262"/>
      <c r="O336" s="262"/>
      <c r="P336" s="262"/>
      <c r="Q336" s="262"/>
      <c r="R336" s="262"/>
      <c r="S336" s="262"/>
      <c r="T336" s="262"/>
      <c r="U336" s="262"/>
      <c r="V336" s="262"/>
      <c r="W336" s="262"/>
      <c r="X336" s="262"/>
      <c r="Y336" s="262"/>
      <c r="Z336" s="262"/>
    </row>
    <row r="337" spans="1:26" ht="12.75" hidden="1" outlineLevel="1">
      <c r="A337" s="247"/>
      <c r="B337" s="386"/>
      <c r="C337" s="386"/>
      <c r="D337" s="1419" t="s">
        <v>16395</v>
      </c>
      <c r="E337" s="1420">
        <v>123.45</v>
      </c>
      <c r="F337" s="1421">
        <v>0.45</v>
      </c>
      <c r="G337" s="1420">
        <v>111.11</v>
      </c>
      <c r="H337" s="1421"/>
      <c r="I337" s="1429">
        <f t="shared" si="1"/>
        <v>111.11</v>
      </c>
      <c r="J337" s="1383" t="s">
        <v>16228</v>
      </c>
      <c r="K337" s="262"/>
      <c r="L337" s="386"/>
      <c r="M337" s="262"/>
      <c r="N337" s="262"/>
      <c r="O337" s="262"/>
      <c r="P337" s="262"/>
      <c r="Q337" s="262"/>
      <c r="R337" s="262"/>
      <c r="S337" s="262"/>
      <c r="T337" s="262"/>
      <c r="U337" s="262"/>
      <c r="V337" s="262"/>
      <c r="W337" s="262"/>
      <c r="X337" s="262"/>
      <c r="Y337" s="262"/>
      <c r="Z337" s="262"/>
    </row>
    <row r="338" spans="1:26" ht="12.75" hidden="1" outlineLevel="1">
      <c r="A338" s="247"/>
      <c r="B338" s="386"/>
      <c r="C338" s="386"/>
      <c r="D338" s="1419" t="s">
        <v>16396</v>
      </c>
      <c r="E338" s="1420">
        <v>39.51</v>
      </c>
      <c r="F338" s="1421">
        <v>1.35</v>
      </c>
      <c r="G338" s="1420">
        <v>53.7</v>
      </c>
      <c r="H338" s="1421"/>
      <c r="I338" s="1429">
        <f t="shared" si="1"/>
        <v>53.7</v>
      </c>
      <c r="J338" s="1383" t="s">
        <v>16228</v>
      </c>
      <c r="K338" s="262"/>
      <c r="L338" s="386"/>
      <c r="M338" s="262"/>
      <c r="N338" s="262"/>
      <c r="O338" s="262"/>
      <c r="P338" s="262"/>
      <c r="Q338" s="262"/>
      <c r="R338" s="262"/>
      <c r="S338" s="262"/>
      <c r="T338" s="262"/>
      <c r="U338" s="262"/>
      <c r="V338" s="262"/>
      <c r="W338" s="262"/>
      <c r="X338" s="262"/>
      <c r="Y338" s="262"/>
      <c r="Z338" s="262"/>
    </row>
    <row r="339" spans="1:26" ht="12.75" hidden="1" outlineLevel="1">
      <c r="A339" s="247"/>
      <c r="B339" s="386"/>
      <c r="C339" s="386"/>
      <c r="D339" s="1419" t="s">
        <v>16397</v>
      </c>
      <c r="E339" s="1420"/>
      <c r="F339" s="1421"/>
      <c r="G339" s="1420">
        <v>2.4</v>
      </c>
      <c r="H339" s="1421"/>
      <c r="I339" s="1429">
        <v>2.4</v>
      </c>
      <c r="J339" s="1383"/>
      <c r="K339" s="262"/>
      <c r="L339" s="386"/>
      <c r="M339" s="262"/>
      <c r="N339" s="262"/>
      <c r="O339" s="262"/>
      <c r="P339" s="262"/>
      <c r="Q339" s="262"/>
      <c r="R339" s="262"/>
      <c r="S339" s="262"/>
      <c r="T339" s="262"/>
      <c r="U339" s="262"/>
      <c r="V339" s="262"/>
      <c r="W339" s="262"/>
      <c r="X339" s="262"/>
      <c r="Y339" s="262"/>
      <c r="Z339" s="262"/>
    </row>
    <row r="340" spans="1:26" ht="12.75" hidden="1" outlineLevel="1">
      <c r="A340" s="247"/>
      <c r="B340" s="386"/>
      <c r="C340" s="386"/>
      <c r="D340" s="1419" t="s">
        <v>16398</v>
      </c>
      <c r="E340" s="1420">
        <v>53.83</v>
      </c>
      <c r="F340" s="1421">
        <v>3.24</v>
      </c>
      <c r="G340" s="1420">
        <v>174.41</v>
      </c>
      <c r="H340" s="1421"/>
      <c r="I340" s="1429">
        <v>174.41</v>
      </c>
      <c r="J340" s="1383"/>
      <c r="K340" s="262"/>
      <c r="L340" s="386"/>
      <c r="M340" s="262"/>
      <c r="N340" s="262"/>
      <c r="O340" s="262"/>
      <c r="P340" s="262"/>
      <c r="Q340" s="262"/>
      <c r="R340" s="262"/>
      <c r="S340" s="262"/>
      <c r="T340" s="262"/>
      <c r="U340" s="262"/>
      <c r="V340" s="262"/>
      <c r="W340" s="262"/>
      <c r="X340" s="262"/>
      <c r="Y340" s="262"/>
      <c r="Z340" s="262"/>
    </row>
    <row r="341" spans="1:26" ht="12.75" hidden="1" outlineLevel="1">
      <c r="A341" s="247"/>
      <c r="B341" s="386"/>
      <c r="C341" s="386"/>
      <c r="D341" s="1427" t="s">
        <v>16397</v>
      </c>
      <c r="E341" s="1395"/>
      <c r="F341" s="1396"/>
      <c r="G341" s="1395"/>
      <c r="H341" s="1396"/>
      <c r="I341" s="1397">
        <v>2.4</v>
      </c>
      <c r="J341" s="1383" t="s">
        <v>16228</v>
      </c>
      <c r="K341" s="262"/>
      <c r="L341" s="386"/>
      <c r="M341" s="262"/>
      <c r="N341" s="262"/>
      <c r="O341" s="262"/>
      <c r="P341" s="262"/>
      <c r="Q341" s="262"/>
      <c r="R341" s="262"/>
      <c r="S341" s="262"/>
      <c r="T341" s="262"/>
      <c r="U341" s="262"/>
      <c r="V341" s="262"/>
      <c r="W341" s="262"/>
      <c r="X341" s="262"/>
      <c r="Y341" s="262"/>
      <c r="Z341" s="262"/>
    </row>
    <row r="342" spans="1:26" ht="12.75" hidden="1" outlineLevel="1">
      <c r="A342" s="450"/>
      <c r="B342" s="451"/>
      <c r="I342" s="453"/>
      <c r="J342" s="1383" t="s">
        <v>16228</v>
      </c>
      <c r="K342" s="262"/>
      <c r="L342" s="386"/>
      <c r="M342" s="262"/>
      <c r="N342" s="262"/>
      <c r="O342" s="262"/>
      <c r="P342" s="262"/>
      <c r="Q342" s="262"/>
      <c r="R342" s="262"/>
      <c r="S342" s="262"/>
      <c r="T342" s="262"/>
      <c r="U342" s="262"/>
      <c r="V342" s="262"/>
      <c r="W342" s="262"/>
      <c r="X342" s="262"/>
      <c r="Y342" s="262"/>
      <c r="Z342" s="262"/>
    </row>
    <row r="343" spans="1:26" ht="12.75">
      <c r="A343" s="246" t="s">
        <v>13363</v>
      </c>
      <c r="B343" s="1378"/>
      <c r="C343" s="1378"/>
      <c r="D343" s="1379" t="s">
        <v>16256</v>
      </c>
      <c r="E343" s="1380"/>
      <c r="F343" s="1381"/>
      <c r="G343" s="1380"/>
      <c r="H343" s="1381"/>
      <c r="I343" s="1382"/>
      <c r="J343" s="1383"/>
      <c r="K343" s="262"/>
      <c r="L343" s="386"/>
      <c r="M343" s="262"/>
      <c r="N343" s="262"/>
      <c r="O343" s="262"/>
      <c r="P343" s="262"/>
      <c r="Q343" s="262"/>
      <c r="R343" s="262"/>
      <c r="S343" s="262"/>
      <c r="T343" s="262"/>
      <c r="U343" s="262"/>
      <c r="V343" s="262"/>
      <c r="W343" s="262"/>
      <c r="X343" s="262"/>
      <c r="Y343" s="262"/>
      <c r="Z343" s="262"/>
    </row>
    <row r="344" spans="1:26" ht="51" outlineLevel="1">
      <c r="A344" s="1385" t="s">
        <v>13364</v>
      </c>
      <c r="B344" s="295" t="s">
        <v>14918</v>
      </c>
      <c r="C344" s="295" t="s">
        <v>14472</v>
      </c>
      <c r="D344" s="658" t="str">
        <f>IFERROR(VLOOKUP($B344,'24.08_ND'!$A$4833:$D$12369,2,0),IFERROR(VLOOKUP($B344,'03-CP'!$C$5:$H$4646,2,0),""))</f>
        <v xml:space="preserve">ACABAMENTO EM FORMATO LEQUE EUROPEU, PREVENDO A QUEIMA, APLICAÇÃO E IMPRESSÃO DE FÔRMAS DE ESTAMPAGEM, CORTE DE INDUÇÃO, LAVAGEM DE PISO E 03 DEMÃOS DE IMPERMEABILIZAÇÃO COM RESINA ACRÍLICA </v>
      </c>
      <c r="E344" s="1318" t="str">
        <f>IFERROR(VLOOKUP($B344,'24.08_ND'!$A:$D,3,0),IFERROR(VLOOKUP($B344,'03-CP'!$C$5:$H$4646,3,0),""))</f>
        <v>M2</v>
      </c>
      <c r="F344" s="1560">
        <f>SUM(I346)</f>
        <v>276.92</v>
      </c>
      <c r="G344" s="1387"/>
      <c r="H344" s="1387"/>
      <c r="I344" s="1388"/>
      <c r="J344" s="1383"/>
      <c r="K344" s="262"/>
      <c r="L344" s="1559" t="s">
        <v>16387</v>
      </c>
      <c r="M344" s="262"/>
      <c r="N344" s="262"/>
      <c r="O344" s="262"/>
      <c r="P344" s="262"/>
      <c r="Q344" s="262"/>
      <c r="R344" s="262"/>
      <c r="S344" s="262"/>
      <c r="T344" s="262"/>
      <c r="U344" s="262"/>
      <c r="V344" s="262"/>
      <c r="W344" s="262"/>
      <c r="X344" s="262"/>
      <c r="Y344" s="262"/>
      <c r="Z344" s="262"/>
    </row>
    <row r="345" spans="1:26" ht="12.75" hidden="1" outlineLevel="1">
      <c r="A345" s="450"/>
      <c r="B345" s="512"/>
      <c r="C345" s="512"/>
      <c r="D345" s="1435" t="s">
        <v>16253</v>
      </c>
      <c r="E345" s="1240" t="s">
        <v>16252</v>
      </c>
      <c r="F345" s="1425" t="s">
        <v>16232</v>
      </c>
      <c r="G345" s="1391" t="s">
        <v>16233</v>
      </c>
      <c r="H345" s="1240" t="s">
        <v>16234</v>
      </c>
      <c r="I345" s="1426" t="s">
        <v>12615</v>
      </c>
      <c r="J345" s="1383"/>
      <c r="K345" s="262"/>
      <c r="L345" s="386"/>
      <c r="M345" s="262"/>
      <c r="N345" s="262"/>
      <c r="O345" s="262"/>
      <c r="P345" s="262"/>
      <c r="Q345" s="262"/>
      <c r="R345" s="262"/>
      <c r="S345" s="262"/>
      <c r="T345" s="262"/>
      <c r="U345" s="262"/>
      <c r="V345" s="262"/>
      <c r="W345" s="262"/>
      <c r="X345" s="262"/>
      <c r="Y345" s="262"/>
      <c r="Z345" s="262"/>
    </row>
    <row r="346" spans="1:26" ht="12.75" hidden="1" outlineLevel="1">
      <c r="A346" s="450"/>
      <c r="B346" s="386"/>
      <c r="C346" s="386"/>
      <c r="D346" s="1422" t="s">
        <v>16399</v>
      </c>
      <c r="E346" s="1248"/>
      <c r="F346" s="1436"/>
      <c r="G346" s="1248">
        <v>276.92</v>
      </c>
      <c r="H346" s="1248"/>
      <c r="I346" s="1281">
        <f>G346</f>
        <v>276.92</v>
      </c>
      <c r="J346" s="1383"/>
      <c r="K346" s="262"/>
      <c r="L346" s="386"/>
      <c r="M346" s="262"/>
      <c r="N346" s="262"/>
      <c r="O346" s="262"/>
      <c r="P346" s="262"/>
      <c r="Q346" s="262"/>
      <c r="R346" s="262"/>
      <c r="S346" s="262"/>
      <c r="T346" s="262"/>
      <c r="U346" s="262"/>
      <c r="V346" s="262"/>
      <c r="W346" s="262"/>
      <c r="X346" s="262"/>
      <c r="Y346" s="262"/>
      <c r="Z346" s="262"/>
    </row>
    <row r="347" spans="1:26" ht="12.75" hidden="1" outlineLevel="1">
      <c r="A347" s="450"/>
      <c r="B347" s="386"/>
      <c r="C347" s="386"/>
      <c r="D347" s="253"/>
      <c r="E347" s="1244"/>
      <c r="F347" s="389"/>
      <c r="G347" s="1244"/>
      <c r="H347" s="1244"/>
      <c r="I347" s="1409"/>
      <c r="J347" s="1383"/>
      <c r="K347" s="262"/>
      <c r="L347" s="386"/>
      <c r="M347" s="262"/>
      <c r="N347" s="262"/>
      <c r="O347" s="262"/>
      <c r="P347" s="262"/>
      <c r="Q347" s="262"/>
      <c r="R347" s="262"/>
      <c r="S347" s="262"/>
      <c r="T347" s="262"/>
      <c r="U347" s="262"/>
      <c r="V347" s="262"/>
      <c r="W347" s="262"/>
      <c r="X347" s="262"/>
      <c r="Y347" s="262"/>
      <c r="Z347" s="262"/>
    </row>
    <row r="348" spans="1:26" ht="25.5" outlineLevel="1">
      <c r="A348" s="1385" t="s">
        <v>13365</v>
      </c>
      <c r="B348" s="295" t="s">
        <v>12600</v>
      </c>
      <c r="C348" s="295" t="s">
        <v>14472</v>
      </c>
      <c r="D348" s="658" t="str">
        <f>IFERROR(VLOOKUP($B348,'24.08_ND'!$A$4833:$D$12369,2,0),IFERROR(VLOOKUP($B348,'03-CP'!$C$5:$H$4646,2,0),""))</f>
        <v>PISO EM GRANITO CINZA ANDORINHA, FRISOS ANTIDERRAPANTES, LEVIGADO, E=2CM -  FORNECIMENTO E APLICAÇÃO</v>
      </c>
      <c r="E348" s="1318" t="str">
        <f>IFERROR(VLOOKUP($B348,'24.08_ND'!$A:$D,3,0),IFERROR(VLOOKUP($B348,'03-CP'!$C$5:$H$4646,3,0),""))</f>
        <v>M2</v>
      </c>
      <c r="F348" s="1560">
        <f>SUM(I350:I352)</f>
        <v>2750.69</v>
      </c>
      <c r="G348" s="1387"/>
      <c r="H348" s="1387"/>
      <c r="I348" s="1388"/>
      <c r="J348" s="1383"/>
      <c r="K348" s="262"/>
      <c r="L348" s="1559" t="s">
        <v>16387</v>
      </c>
      <c r="M348" s="262"/>
      <c r="N348" s="262"/>
      <c r="O348" s="262"/>
      <c r="P348" s="262"/>
      <c r="Q348" s="262"/>
      <c r="R348" s="262"/>
      <c r="S348" s="262"/>
      <c r="T348" s="262"/>
      <c r="U348" s="262"/>
      <c r="V348" s="262"/>
      <c r="W348" s="262"/>
      <c r="X348" s="262"/>
      <c r="Y348" s="262"/>
      <c r="Z348" s="262"/>
    </row>
    <row r="349" spans="1:26" ht="12.75" hidden="1" outlineLevel="1">
      <c r="A349" s="1401"/>
      <c r="B349" s="512"/>
      <c r="C349" s="512"/>
      <c r="D349" s="1390" t="s">
        <v>16230</v>
      </c>
      <c r="E349" s="1240" t="s">
        <v>16252</v>
      </c>
      <c r="F349" s="1425" t="s">
        <v>16232</v>
      </c>
      <c r="G349" s="1391" t="s">
        <v>16233</v>
      </c>
      <c r="H349" s="1240" t="s">
        <v>16234</v>
      </c>
      <c r="I349" s="1426" t="s">
        <v>12615</v>
      </c>
      <c r="J349" s="1383"/>
      <c r="K349" s="262"/>
      <c r="L349" s="386"/>
      <c r="M349" s="262"/>
      <c r="N349" s="262"/>
      <c r="O349" s="262"/>
      <c r="P349" s="262"/>
      <c r="Q349" s="262"/>
      <c r="R349" s="262"/>
      <c r="S349" s="262"/>
      <c r="T349" s="262"/>
      <c r="U349" s="262"/>
      <c r="V349" s="262"/>
      <c r="W349" s="262"/>
      <c r="X349" s="262"/>
      <c r="Y349" s="262"/>
      <c r="Z349" s="262"/>
    </row>
    <row r="350" spans="1:26" ht="12.75" hidden="1" outlineLevel="1">
      <c r="A350" s="247"/>
      <c r="B350" s="386"/>
      <c r="C350" s="386"/>
      <c r="D350" s="1419" t="s">
        <v>16380</v>
      </c>
      <c r="E350" s="1420"/>
      <c r="F350" s="1421"/>
      <c r="G350" s="1420">
        <v>27.98</v>
      </c>
      <c r="H350" s="1421"/>
      <c r="I350" s="1409">
        <f>G350</f>
        <v>27.98</v>
      </c>
      <c r="J350" s="1383"/>
      <c r="K350" s="262"/>
      <c r="L350" s="386"/>
      <c r="M350" s="262"/>
      <c r="N350" s="262"/>
      <c r="O350" s="262"/>
      <c r="P350" s="262"/>
      <c r="Q350" s="262"/>
      <c r="R350" s="262"/>
      <c r="S350" s="262"/>
      <c r="T350" s="262"/>
      <c r="U350" s="262"/>
      <c r="V350" s="262"/>
      <c r="W350" s="262"/>
      <c r="X350" s="262"/>
      <c r="Y350" s="262"/>
      <c r="Z350" s="262"/>
    </row>
    <row r="351" spans="1:26" ht="12.75" hidden="1" outlineLevel="1">
      <c r="A351" s="247"/>
      <c r="B351" s="386"/>
      <c r="C351" s="386"/>
      <c r="D351" s="1419" t="s">
        <v>16400</v>
      </c>
      <c r="E351" s="1420"/>
      <c r="F351" s="1421"/>
      <c r="G351" s="1420">
        <v>2690.91</v>
      </c>
      <c r="H351" s="1421"/>
      <c r="I351" s="1409">
        <f>G351</f>
        <v>2690.91</v>
      </c>
      <c r="J351" s="1383"/>
      <c r="K351" s="262"/>
      <c r="L351" s="386"/>
      <c r="M351" s="262"/>
      <c r="N351" s="262"/>
      <c r="O351" s="262"/>
      <c r="P351" s="262"/>
      <c r="Q351" s="262"/>
      <c r="R351" s="262"/>
      <c r="S351" s="262"/>
      <c r="T351" s="262"/>
      <c r="U351" s="262"/>
      <c r="V351" s="262"/>
      <c r="W351" s="262"/>
      <c r="X351" s="262"/>
      <c r="Y351" s="262"/>
      <c r="Z351" s="262"/>
    </row>
    <row r="352" spans="1:26" ht="12.75" hidden="1" outlineLevel="1">
      <c r="A352" s="247"/>
      <c r="B352" s="386"/>
      <c r="C352" s="386"/>
      <c r="D352" s="1427" t="s">
        <v>16401</v>
      </c>
      <c r="E352" s="1395"/>
      <c r="F352" s="1396"/>
      <c r="G352" s="1395">
        <v>31.8</v>
      </c>
      <c r="H352" s="1396"/>
      <c r="I352" s="1281">
        <f>G352</f>
        <v>31.8</v>
      </c>
      <c r="J352" s="1383"/>
      <c r="K352" s="262"/>
      <c r="L352" s="386"/>
      <c r="M352" s="262"/>
      <c r="N352" s="262"/>
      <c r="O352" s="262"/>
      <c r="P352" s="262"/>
      <c r="Q352" s="262"/>
      <c r="R352" s="262"/>
      <c r="S352" s="262"/>
      <c r="T352" s="262"/>
      <c r="U352" s="262"/>
      <c r="V352" s="262"/>
      <c r="W352" s="262"/>
      <c r="X352" s="262"/>
      <c r="Y352" s="262"/>
      <c r="Z352" s="262"/>
    </row>
    <row r="353" spans="1:26" ht="12.75" hidden="1" outlineLevel="1">
      <c r="A353" s="247"/>
      <c r="B353" s="386"/>
      <c r="C353" s="386"/>
      <c r="D353" s="253"/>
      <c r="E353" s="1244"/>
      <c r="F353" s="389"/>
      <c r="G353" s="1244"/>
      <c r="H353" s="1244"/>
      <c r="I353" s="1409"/>
      <c r="J353" s="1383"/>
      <c r="K353" s="262"/>
      <c r="L353" s="386"/>
      <c r="M353" s="262"/>
      <c r="N353" s="262"/>
      <c r="O353" s="262"/>
      <c r="P353" s="262"/>
      <c r="Q353" s="262"/>
      <c r="R353" s="262"/>
      <c r="S353" s="262"/>
      <c r="T353" s="262"/>
      <c r="U353" s="262"/>
      <c r="V353" s="262"/>
      <c r="W353" s="262"/>
      <c r="X353" s="262"/>
      <c r="Y353" s="262"/>
      <c r="Z353" s="262"/>
    </row>
    <row r="354" spans="1:26" ht="25.5" outlineLevel="1">
      <c r="A354" s="1385" t="s">
        <v>13366</v>
      </c>
      <c r="B354" s="295" t="s">
        <v>12601</v>
      </c>
      <c r="C354" s="295" t="s">
        <v>14472</v>
      </c>
      <c r="D354" s="658" t="str">
        <f>IFERROR(VLOOKUP($B354,'24.08_ND'!$A$4833:$D$12369,2,0),IFERROR(VLOOKUP($B354,'03-CP'!$C$5:$H$4646,2,0),""))</f>
        <v>PISO EM GRANITO BRANCO MARFIM, FRISOS ANTIDERRAPANTES, LEVIGADO, E=2CM -  FORNECIMENTO E APLICAÇÃO</v>
      </c>
      <c r="E354" s="1318" t="str">
        <f>IFERROR(VLOOKUP($B354,'24.08_ND'!$A:$D,3,0),IFERROR(VLOOKUP($B354,'03-CP'!$C$5:$H$4646,3,0),""))</f>
        <v>M2</v>
      </c>
      <c r="F354" s="1560">
        <f>SUM(I356:I358)</f>
        <v>2784.33</v>
      </c>
      <c r="G354" s="1387"/>
      <c r="H354" s="1387"/>
      <c r="I354" s="1388"/>
      <c r="J354" s="1383"/>
      <c r="K354" s="262"/>
      <c r="L354" s="1559" t="s">
        <v>16387</v>
      </c>
      <c r="M354" s="262"/>
      <c r="N354" s="262"/>
      <c r="O354" s="262"/>
      <c r="P354" s="262"/>
      <c r="Q354" s="262"/>
      <c r="R354" s="262"/>
      <c r="S354" s="262"/>
      <c r="T354" s="262"/>
      <c r="U354" s="262"/>
      <c r="V354" s="262"/>
      <c r="W354" s="262"/>
      <c r="X354" s="262"/>
      <c r="Y354" s="262"/>
      <c r="Z354" s="262"/>
    </row>
    <row r="355" spans="1:26" ht="12.75" hidden="1" outlineLevel="1">
      <c r="A355" s="1401"/>
      <c r="B355" s="512"/>
      <c r="C355" s="512"/>
      <c r="D355" s="1390" t="s">
        <v>16230</v>
      </c>
      <c r="E355" s="1240" t="s">
        <v>16252</v>
      </c>
      <c r="F355" s="1425" t="s">
        <v>16232</v>
      </c>
      <c r="G355" s="1391" t="s">
        <v>16233</v>
      </c>
      <c r="H355" s="1240" t="s">
        <v>16234</v>
      </c>
      <c r="I355" s="1426" t="s">
        <v>12615</v>
      </c>
      <c r="J355" s="1383"/>
      <c r="K355" s="262"/>
      <c r="L355" s="386"/>
      <c r="M355" s="262"/>
      <c r="N355" s="262"/>
      <c r="O355" s="262"/>
      <c r="P355" s="262"/>
      <c r="Q355" s="262"/>
      <c r="R355" s="262"/>
      <c r="S355" s="262"/>
      <c r="T355" s="262"/>
      <c r="U355" s="262"/>
      <c r="V355" s="262"/>
      <c r="W355" s="262"/>
      <c r="X355" s="262"/>
      <c r="Y355" s="262"/>
      <c r="Z355" s="262"/>
    </row>
    <row r="356" spans="1:26" ht="12.75" hidden="1" outlineLevel="1">
      <c r="A356" s="247"/>
      <c r="B356" s="386"/>
      <c r="C356" s="386"/>
      <c r="D356" s="1419" t="s">
        <v>16380</v>
      </c>
      <c r="E356" s="1420"/>
      <c r="F356" s="1421"/>
      <c r="G356" s="1444">
        <v>34.31</v>
      </c>
      <c r="H356" s="1421"/>
      <c r="I356" s="1409">
        <f>G356</f>
        <v>34.31</v>
      </c>
      <c r="J356" s="1383"/>
      <c r="K356" s="262"/>
      <c r="L356" s="386"/>
      <c r="M356" s="262"/>
      <c r="N356" s="262"/>
      <c r="O356" s="262"/>
      <c r="P356" s="262"/>
      <c r="Q356" s="262"/>
      <c r="R356" s="262"/>
      <c r="S356" s="262"/>
      <c r="T356" s="262"/>
      <c r="U356" s="262"/>
      <c r="V356" s="262"/>
      <c r="W356" s="262"/>
      <c r="X356" s="262"/>
      <c r="Y356" s="262"/>
      <c r="Z356" s="262"/>
    </row>
    <row r="357" spans="1:26" ht="12.75" hidden="1" outlineLevel="1">
      <c r="A357" s="247"/>
      <c r="B357" s="386"/>
      <c r="C357" s="386"/>
      <c r="D357" s="1419" t="s">
        <v>16400</v>
      </c>
      <c r="E357" s="1420"/>
      <c r="F357" s="1421"/>
      <c r="G357" s="1444">
        <v>2459.91</v>
      </c>
      <c r="H357" s="1421"/>
      <c r="I357" s="1409">
        <f>G357</f>
        <v>2459.91</v>
      </c>
      <c r="J357" s="1383"/>
      <c r="K357" s="262"/>
      <c r="L357" s="386"/>
      <c r="M357" s="262"/>
      <c r="N357" s="262"/>
      <c r="O357" s="262"/>
      <c r="P357" s="262"/>
      <c r="Q357" s="262"/>
      <c r="R357" s="262"/>
      <c r="S357" s="262"/>
      <c r="T357" s="262"/>
      <c r="U357" s="262"/>
      <c r="V357" s="262"/>
      <c r="W357" s="262"/>
      <c r="X357" s="262"/>
      <c r="Y357" s="262"/>
      <c r="Z357" s="262"/>
    </row>
    <row r="358" spans="1:26" ht="12.75" hidden="1" outlineLevel="1">
      <c r="A358" s="247"/>
      <c r="B358" s="386"/>
      <c r="C358" s="386"/>
      <c r="D358" s="1427" t="s">
        <v>16366</v>
      </c>
      <c r="E358" s="1395"/>
      <c r="F358" s="1396"/>
      <c r="G358" s="1443">
        <v>290.11</v>
      </c>
      <c r="H358" s="1396"/>
      <c r="I358" s="1281">
        <f>G358</f>
        <v>290.11</v>
      </c>
      <c r="J358" s="1383"/>
      <c r="K358" s="262"/>
      <c r="L358" s="386"/>
      <c r="M358" s="262"/>
      <c r="N358" s="262"/>
      <c r="O358" s="262"/>
      <c r="P358" s="262"/>
      <c r="Q358" s="262"/>
      <c r="R358" s="262"/>
      <c r="S358" s="262"/>
      <c r="T358" s="262"/>
      <c r="U358" s="262"/>
      <c r="V358" s="262"/>
      <c r="W358" s="262"/>
      <c r="X358" s="262"/>
      <c r="Y358" s="262"/>
      <c r="Z358" s="262"/>
    </row>
    <row r="359" spans="1:26" ht="12.75" hidden="1" outlineLevel="1">
      <c r="A359" s="247"/>
      <c r="B359" s="386"/>
      <c r="C359" s="386"/>
      <c r="D359" s="253"/>
      <c r="E359" s="1244"/>
      <c r="F359" s="389"/>
      <c r="G359" s="1244"/>
      <c r="H359" s="1244"/>
      <c r="I359" s="1409"/>
      <c r="J359" s="1383"/>
      <c r="K359" s="262"/>
      <c r="L359" s="386"/>
      <c r="M359" s="262"/>
      <c r="N359" s="262"/>
      <c r="O359" s="262"/>
      <c r="P359" s="262"/>
      <c r="Q359" s="262"/>
      <c r="R359" s="262"/>
      <c r="S359" s="262"/>
      <c r="T359" s="262"/>
      <c r="U359" s="262"/>
      <c r="V359" s="262"/>
      <c r="W359" s="262"/>
      <c r="X359" s="262"/>
      <c r="Y359" s="262"/>
      <c r="Z359" s="262"/>
    </row>
    <row r="360" spans="1:26" ht="25.5" outlineLevel="1">
      <c r="A360" s="1385" t="s">
        <v>13367</v>
      </c>
      <c r="B360" s="295" t="s">
        <v>12602</v>
      </c>
      <c r="C360" s="295" t="s">
        <v>14472</v>
      </c>
      <c r="D360" s="658" t="str">
        <f>IFERROR(VLOOKUP($B360,'24.08_ND'!$A$4833:$D$12369,2,0),IFERROR(VLOOKUP($B360,'03-CP'!$C$5:$H$4646,2,0),""))</f>
        <v>PISO EM GRANITO SÃO GABRIEL, FRISOS ANTIDERRAPANTES, LEVIGADO, E=2CM -  FORNECIMENTO E APLICAÇÃO</v>
      </c>
      <c r="E360" s="1318" t="str">
        <f>IFERROR(VLOOKUP($B360,'24.08_ND'!$A:$D,3,0),IFERROR(VLOOKUP($B360,'03-CP'!$C$5:$H$4646,3,0),""))</f>
        <v>M2</v>
      </c>
      <c r="F360" s="1558">
        <f>SUM(I362:I363)</f>
        <v>476.53000000000003</v>
      </c>
      <c r="G360" s="1387"/>
      <c r="H360" s="1387"/>
      <c r="I360" s="1388"/>
      <c r="J360" s="1383"/>
      <c r="K360" s="262"/>
      <c r="L360" s="1559" t="s">
        <v>16387</v>
      </c>
      <c r="M360" s="262"/>
      <c r="N360" s="262"/>
      <c r="O360" s="262"/>
      <c r="P360" s="262"/>
      <c r="Q360" s="262"/>
      <c r="R360" s="262"/>
      <c r="S360" s="262"/>
      <c r="T360" s="262"/>
      <c r="U360" s="262"/>
      <c r="V360" s="262"/>
      <c r="W360" s="262"/>
      <c r="X360" s="262"/>
      <c r="Y360" s="262"/>
      <c r="Z360" s="262"/>
    </row>
    <row r="361" spans="1:26" ht="12.75" hidden="1" outlineLevel="1">
      <c r="A361" s="1401"/>
      <c r="B361" s="512"/>
      <c r="C361" s="512"/>
      <c r="D361" s="1390" t="s">
        <v>16230</v>
      </c>
      <c r="E361" s="1240" t="s">
        <v>16252</v>
      </c>
      <c r="F361" s="1425" t="s">
        <v>16232</v>
      </c>
      <c r="G361" s="1391" t="s">
        <v>16233</v>
      </c>
      <c r="H361" s="1240" t="s">
        <v>16234</v>
      </c>
      <c r="I361" s="1426" t="s">
        <v>12615</v>
      </c>
      <c r="J361" s="1383"/>
      <c r="K361" s="262"/>
      <c r="L361" s="386"/>
      <c r="M361" s="262"/>
      <c r="N361" s="262"/>
      <c r="O361" s="262"/>
      <c r="P361" s="262"/>
      <c r="Q361" s="262"/>
      <c r="R361" s="262"/>
      <c r="S361" s="262"/>
      <c r="T361" s="262"/>
      <c r="U361" s="262"/>
      <c r="V361" s="262"/>
      <c r="W361" s="262"/>
      <c r="X361" s="262"/>
      <c r="Y361" s="262"/>
      <c r="Z361" s="262"/>
    </row>
    <row r="362" spans="1:26" ht="12.75" hidden="1" outlineLevel="1">
      <c r="A362" s="247"/>
      <c r="B362" s="386"/>
      <c r="C362" s="386"/>
      <c r="D362" s="1419" t="s">
        <v>16380</v>
      </c>
      <c r="E362" s="1420"/>
      <c r="F362" s="1421"/>
      <c r="G362" s="1444">
        <v>40.36</v>
      </c>
      <c r="H362" s="1421"/>
      <c r="I362" s="1409">
        <f>G362</f>
        <v>40.36</v>
      </c>
      <c r="J362" s="1383"/>
      <c r="K362" s="262"/>
      <c r="L362" s="386"/>
      <c r="M362" s="262"/>
      <c r="N362" s="262"/>
      <c r="O362" s="262"/>
      <c r="P362" s="262"/>
      <c r="Q362" s="262"/>
      <c r="R362" s="262"/>
      <c r="S362" s="262"/>
      <c r="T362" s="262"/>
      <c r="U362" s="262"/>
      <c r="V362" s="262"/>
      <c r="W362" s="262"/>
      <c r="X362" s="262"/>
      <c r="Y362" s="262"/>
      <c r="Z362" s="262"/>
    </row>
    <row r="363" spans="1:26" ht="12.75" hidden="1" outlineLevel="1">
      <c r="A363" s="247"/>
      <c r="B363" s="386"/>
      <c r="C363" s="386"/>
      <c r="D363" s="1427" t="s">
        <v>16400</v>
      </c>
      <c r="E363" s="1395"/>
      <c r="F363" s="1396"/>
      <c r="G363" s="1443">
        <v>436.17</v>
      </c>
      <c r="H363" s="1396"/>
      <c r="I363" s="1281">
        <f>G363</f>
        <v>436.17</v>
      </c>
      <c r="J363" s="1383"/>
      <c r="K363" s="262"/>
      <c r="L363" s="386"/>
      <c r="M363" s="262"/>
      <c r="N363" s="262"/>
      <c r="O363" s="262"/>
      <c r="P363" s="262"/>
      <c r="Q363" s="262"/>
      <c r="R363" s="262"/>
      <c r="S363" s="262"/>
      <c r="T363" s="262"/>
      <c r="U363" s="262"/>
      <c r="V363" s="262"/>
      <c r="W363" s="262"/>
      <c r="X363" s="262"/>
      <c r="Y363" s="262"/>
      <c r="Z363" s="262"/>
    </row>
    <row r="364" spans="1:26" ht="12.75" hidden="1" outlineLevel="1">
      <c r="A364" s="247"/>
      <c r="B364" s="386"/>
      <c r="C364" s="386"/>
      <c r="D364" s="253"/>
      <c r="E364" s="1244"/>
      <c r="F364" s="389"/>
      <c r="G364" s="1244"/>
      <c r="H364" s="1244"/>
      <c r="I364" s="1409"/>
      <c r="J364" s="1383"/>
      <c r="K364" s="262"/>
      <c r="L364" s="386"/>
      <c r="M364" s="262"/>
      <c r="N364" s="262"/>
      <c r="O364" s="262"/>
      <c r="P364" s="262"/>
      <c r="Q364" s="262"/>
      <c r="R364" s="262"/>
      <c r="S364" s="262"/>
      <c r="T364" s="262"/>
      <c r="U364" s="262"/>
      <c r="V364" s="262"/>
      <c r="W364" s="262"/>
      <c r="X364" s="262"/>
      <c r="Y364" s="262"/>
      <c r="Z364" s="262"/>
    </row>
    <row r="365" spans="1:26" ht="12.75">
      <c r="A365" s="246" t="s">
        <v>13368</v>
      </c>
      <c r="B365" s="1450"/>
      <c r="C365" s="1450"/>
      <c r="D365" s="1451" t="s">
        <v>16267</v>
      </c>
      <c r="E365" s="1561"/>
      <c r="F365" s="1561"/>
      <c r="G365" s="1561"/>
      <c r="H365" s="1561"/>
      <c r="I365" s="1562"/>
      <c r="J365" s="1383"/>
      <c r="K365" s="262"/>
      <c r="L365" s="386"/>
      <c r="M365" s="262"/>
      <c r="N365" s="262"/>
      <c r="O365" s="262"/>
      <c r="P365" s="262"/>
      <c r="Q365" s="262"/>
      <c r="R365" s="262"/>
      <c r="S365" s="262"/>
      <c r="T365" s="262"/>
      <c r="U365" s="262"/>
      <c r="V365" s="262"/>
      <c r="W365" s="262"/>
      <c r="X365" s="262"/>
      <c r="Y365" s="262"/>
      <c r="Z365" s="262"/>
    </row>
    <row r="366" spans="1:26" ht="25.5" outlineLevel="1">
      <c r="A366" s="1563" t="s">
        <v>13369</v>
      </c>
      <c r="B366" s="384">
        <v>88485</v>
      </c>
      <c r="C366" s="384" t="s">
        <v>14476</v>
      </c>
      <c r="D366" s="596" t="str">
        <f>IFERROR(VLOOKUP($B366,'24.08_ND'!$A$4833:$D$12369,2,0),IFERROR(VLOOKUP($B366,'03-CP'!$C$5:$H$4646,2,0),""))</f>
        <v>FUNDO SELADOR ACRÍLICO, APLICAÇÃO MANUAL EM PAREDE, UMA DEMÃO. AF_04/2023</v>
      </c>
      <c r="E366" s="759" t="str">
        <f>IFERROR(VLOOKUP($B366,'24.08_ND'!$A:$D,3,0),IFERROR(VLOOKUP($B366,'03-CP'!$C$5:$H$4646,3,0),""))</f>
        <v>M2</v>
      </c>
      <c r="F366" s="1558">
        <f>SUM(I368:I375)</f>
        <v>925.57</v>
      </c>
      <c r="G366" s="1453"/>
      <c r="H366" s="1453"/>
      <c r="I366" s="1454"/>
      <c r="J366" s="1383"/>
      <c r="K366" s="262"/>
      <c r="L366" s="1559" t="s">
        <v>16387</v>
      </c>
      <c r="M366" s="262"/>
      <c r="N366" s="262"/>
      <c r="O366" s="262"/>
      <c r="P366" s="262"/>
      <c r="Q366" s="262"/>
      <c r="R366" s="262"/>
      <c r="S366" s="262"/>
      <c r="T366" s="262"/>
      <c r="U366" s="262"/>
      <c r="V366" s="262"/>
      <c r="W366" s="262"/>
      <c r="X366" s="262"/>
      <c r="Y366" s="262"/>
      <c r="Z366" s="262"/>
    </row>
    <row r="367" spans="1:26" ht="18.75" hidden="1" customHeight="1" outlineLevel="1">
      <c r="A367" s="1564"/>
      <c r="B367" s="368"/>
      <c r="C367" s="368"/>
      <c r="D367" s="1455" t="s">
        <v>16253</v>
      </c>
      <c r="E367" s="1456" t="s">
        <v>16252</v>
      </c>
      <c r="F367" s="1457" t="s">
        <v>16232</v>
      </c>
      <c r="G367" s="1456" t="s">
        <v>16233</v>
      </c>
      <c r="H367" s="1456" t="s">
        <v>16234</v>
      </c>
      <c r="I367" s="1458" t="s">
        <v>12615</v>
      </c>
      <c r="J367" s="1383"/>
      <c r="K367" s="262"/>
      <c r="L367" s="386"/>
      <c r="M367" s="262"/>
      <c r="N367" s="262"/>
      <c r="O367" s="262"/>
      <c r="P367" s="262"/>
      <c r="Q367" s="262"/>
      <c r="R367" s="262"/>
      <c r="S367" s="262"/>
      <c r="T367" s="262"/>
      <c r="U367" s="262"/>
      <c r="V367" s="262"/>
      <c r="W367" s="262"/>
      <c r="X367" s="262"/>
      <c r="Y367" s="262"/>
      <c r="Z367" s="262"/>
    </row>
    <row r="368" spans="1:26" ht="18.75" hidden="1" customHeight="1" outlineLevel="1">
      <c r="A368" s="1564"/>
      <c r="B368" s="368"/>
      <c r="C368" s="368"/>
      <c r="D368" s="1565" t="s">
        <v>16390</v>
      </c>
      <c r="E368" s="645"/>
      <c r="F368" s="645"/>
      <c r="G368" s="1553"/>
      <c r="H368" s="645"/>
      <c r="I368" s="1566">
        <v>163.92</v>
      </c>
      <c r="J368" s="1383"/>
      <c r="K368" s="262"/>
      <c r="L368" s="386"/>
      <c r="M368" s="262"/>
      <c r="N368" s="262"/>
      <c r="O368" s="262"/>
      <c r="P368" s="262"/>
      <c r="Q368" s="262"/>
      <c r="R368" s="262"/>
      <c r="S368" s="262"/>
      <c r="T368" s="262"/>
      <c r="U368" s="262"/>
      <c r="V368" s="262"/>
      <c r="W368" s="262"/>
      <c r="X368" s="262"/>
      <c r="Y368" s="262"/>
      <c r="Z368" s="262"/>
    </row>
    <row r="369" spans="1:26" ht="18.75" hidden="1" customHeight="1" outlineLevel="1">
      <c r="A369" s="1564"/>
      <c r="B369" s="368"/>
      <c r="C369" s="368"/>
      <c r="D369" s="1565" t="s">
        <v>16391</v>
      </c>
      <c r="E369" s="645"/>
      <c r="F369" s="645"/>
      <c r="G369" s="1553"/>
      <c r="H369" s="645"/>
      <c r="I369" s="1566">
        <v>80.52</v>
      </c>
      <c r="J369" s="1383"/>
      <c r="K369" s="262"/>
      <c r="L369" s="386"/>
      <c r="M369" s="262"/>
      <c r="N369" s="262"/>
      <c r="O369" s="262"/>
      <c r="P369" s="262"/>
      <c r="Q369" s="262"/>
      <c r="R369" s="262"/>
      <c r="S369" s="262"/>
      <c r="T369" s="262"/>
      <c r="U369" s="262"/>
      <c r="V369" s="262"/>
      <c r="W369" s="262"/>
      <c r="X369" s="262"/>
      <c r="Y369" s="262"/>
      <c r="Z369" s="262"/>
    </row>
    <row r="370" spans="1:26" ht="18.75" hidden="1" customHeight="1" outlineLevel="1">
      <c r="A370" s="1564"/>
      <c r="B370" s="368"/>
      <c r="C370" s="368"/>
      <c r="D370" s="1565" t="s">
        <v>16392</v>
      </c>
      <c r="E370" s="645"/>
      <c r="F370" s="645"/>
      <c r="G370" s="1553"/>
      <c r="H370" s="645"/>
      <c r="I370" s="1566">
        <v>6.66</v>
      </c>
      <c r="J370" s="1383"/>
      <c r="K370" s="262"/>
      <c r="L370" s="386"/>
      <c r="M370" s="262"/>
      <c r="N370" s="262"/>
      <c r="O370" s="262"/>
      <c r="P370" s="262"/>
      <c r="Q370" s="262"/>
      <c r="R370" s="262"/>
      <c r="S370" s="262"/>
      <c r="T370" s="262"/>
      <c r="U370" s="262"/>
      <c r="V370" s="262"/>
      <c r="W370" s="262"/>
      <c r="X370" s="262"/>
      <c r="Y370" s="262"/>
      <c r="Z370" s="262"/>
    </row>
    <row r="371" spans="1:26" ht="18.75" hidden="1" customHeight="1" outlineLevel="1">
      <c r="A371" s="1564"/>
      <c r="B371" s="368"/>
      <c r="C371" s="368"/>
      <c r="D371" s="1565" t="s">
        <v>16393</v>
      </c>
      <c r="E371" s="645"/>
      <c r="F371" s="645"/>
      <c r="G371" s="1553"/>
      <c r="H371" s="645"/>
      <c r="I371" s="1566">
        <v>459.74</v>
      </c>
      <c r="J371" s="1383"/>
      <c r="K371" s="262"/>
      <c r="L371" s="386"/>
      <c r="M371" s="262"/>
      <c r="N371" s="262"/>
      <c r="O371" s="262"/>
      <c r="P371" s="262"/>
      <c r="Q371" s="262"/>
      <c r="R371" s="262"/>
      <c r="S371" s="262"/>
      <c r="T371" s="262"/>
      <c r="U371" s="262"/>
      <c r="V371" s="262"/>
      <c r="W371" s="262"/>
      <c r="X371" s="262"/>
      <c r="Y371" s="262"/>
      <c r="Z371" s="262"/>
    </row>
    <row r="372" spans="1:26" ht="18.75" hidden="1" customHeight="1" outlineLevel="1">
      <c r="A372" s="1564"/>
      <c r="B372" s="368"/>
      <c r="C372" s="368"/>
      <c r="D372" s="1565" t="s">
        <v>16394</v>
      </c>
      <c r="E372" s="645"/>
      <c r="F372" s="645"/>
      <c r="G372" s="1553"/>
      <c r="H372" s="645"/>
      <c r="I372" s="1566">
        <v>47.52</v>
      </c>
      <c r="J372" s="1383"/>
      <c r="K372" s="262"/>
      <c r="L372" s="386"/>
      <c r="M372" s="262"/>
      <c r="N372" s="262"/>
      <c r="O372" s="262"/>
      <c r="P372" s="262"/>
      <c r="Q372" s="262"/>
      <c r="R372" s="262"/>
      <c r="S372" s="262"/>
      <c r="T372" s="262"/>
      <c r="U372" s="262"/>
      <c r="V372" s="262"/>
      <c r="W372" s="262"/>
      <c r="X372" s="262"/>
      <c r="Y372" s="262"/>
      <c r="Z372" s="262"/>
    </row>
    <row r="373" spans="1:26" ht="18.75" hidden="1" customHeight="1" outlineLevel="1">
      <c r="A373" s="1564"/>
      <c r="B373" s="368"/>
      <c r="C373" s="368"/>
      <c r="D373" s="1565" t="s">
        <v>16395</v>
      </c>
      <c r="E373" s="645"/>
      <c r="F373" s="645"/>
      <c r="G373" s="1553"/>
      <c r="H373" s="645"/>
      <c r="I373" s="1566">
        <v>111.11</v>
      </c>
      <c r="J373" s="1383"/>
      <c r="K373" s="262"/>
      <c r="L373" s="386"/>
      <c r="M373" s="262"/>
      <c r="N373" s="262"/>
      <c r="O373" s="262"/>
      <c r="P373" s="262"/>
      <c r="Q373" s="262"/>
      <c r="R373" s="262"/>
      <c r="S373" s="262"/>
      <c r="T373" s="262"/>
      <c r="U373" s="262"/>
      <c r="V373" s="262"/>
      <c r="W373" s="262"/>
      <c r="X373" s="262"/>
      <c r="Y373" s="262"/>
      <c r="Z373" s="262"/>
    </row>
    <row r="374" spans="1:26" ht="18.75" hidden="1" customHeight="1" outlineLevel="1">
      <c r="A374" s="1564"/>
      <c r="B374" s="368"/>
      <c r="C374" s="368"/>
      <c r="D374" s="1565" t="s">
        <v>16396</v>
      </c>
      <c r="E374" s="645"/>
      <c r="F374" s="645"/>
      <c r="G374" s="1553"/>
      <c r="H374" s="645"/>
      <c r="I374" s="1566">
        <v>53.7</v>
      </c>
      <c r="J374" s="1383"/>
      <c r="K374" s="262"/>
      <c r="L374" s="386"/>
      <c r="M374" s="262"/>
      <c r="N374" s="262"/>
      <c r="O374" s="262"/>
      <c r="P374" s="262"/>
      <c r="Q374" s="262"/>
      <c r="R374" s="262"/>
      <c r="S374" s="262"/>
      <c r="T374" s="262"/>
      <c r="U374" s="262"/>
      <c r="V374" s="262"/>
      <c r="W374" s="262"/>
      <c r="X374" s="262"/>
      <c r="Y374" s="262"/>
      <c r="Z374" s="262"/>
    </row>
    <row r="375" spans="1:26" ht="18.75" hidden="1" customHeight="1" outlineLevel="1">
      <c r="A375" s="1564"/>
      <c r="B375" s="368"/>
      <c r="C375" s="368"/>
      <c r="D375" s="1567" t="s">
        <v>16397</v>
      </c>
      <c r="E375" s="1460"/>
      <c r="F375" s="1460"/>
      <c r="G375" s="1568"/>
      <c r="H375" s="1460"/>
      <c r="I375" s="1569">
        <v>2.4</v>
      </c>
      <c r="J375" s="1383"/>
      <c r="K375" s="262"/>
      <c r="L375" s="386"/>
      <c r="M375" s="262"/>
      <c r="N375" s="262"/>
      <c r="O375" s="262"/>
      <c r="P375" s="262"/>
      <c r="Q375" s="262"/>
      <c r="R375" s="262"/>
      <c r="S375" s="262"/>
      <c r="T375" s="262"/>
      <c r="U375" s="262"/>
      <c r="V375" s="262"/>
      <c r="W375" s="262"/>
      <c r="X375" s="262"/>
      <c r="Y375" s="262"/>
      <c r="Z375" s="262"/>
    </row>
    <row r="376" spans="1:26" ht="18.75" hidden="1" customHeight="1" outlineLevel="1">
      <c r="A376" s="1564"/>
      <c r="B376" s="368"/>
      <c r="C376" s="368"/>
      <c r="D376" s="368"/>
      <c r="E376" s="642"/>
      <c r="F376" s="642"/>
      <c r="G376" s="642"/>
      <c r="H376" s="642"/>
      <c r="I376" s="1570"/>
      <c r="J376" s="1383"/>
      <c r="K376" s="262"/>
      <c r="L376" s="386"/>
      <c r="M376" s="262"/>
      <c r="N376" s="262"/>
      <c r="O376" s="262"/>
      <c r="P376" s="262"/>
      <c r="Q376" s="262"/>
      <c r="R376" s="262"/>
      <c r="S376" s="262"/>
      <c r="T376" s="262"/>
      <c r="U376" s="262"/>
      <c r="V376" s="262"/>
      <c r="W376" s="262"/>
      <c r="X376" s="262"/>
      <c r="Y376" s="262"/>
      <c r="Z376" s="262"/>
    </row>
    <row r="377" spans="1:26" ht="25.5" outlineLevel="1">
      <c r="A377" s="1563" t="s">
        <v>13370</v>
      </c>
      <c r="B377" s="384">
        <v>96135</v>
      </c>
      <c r="C377" s="384" t="s">
        <v>14476</v>
      </c>
      <c r="D377" s="596" t="str">
        <f>IFERROR(VLOOKUP($B377,'24.08_ND'!$A$4833:$D$12369,2,0),IFERROR(VLOOKUP($B377,'03-CP'!$C$5:$H$4646,2,0),""))</f>
        <v>APLICAÇÃO MANUAL DE MASSA ACRÍLICA EM PAREDES EXTERNAS DE CASAS, DUAS DEMÃOS. AF_03/2024</v>
      </c>
      <c r="E377" s="759" t="str">
        <f>IFERROR(VLOOKUP($B377,'24.08_ND'!$A:$D,3,0),IFERROR(VLOOKUP($B377,'03-CP'!$C$5:$H$4646,3,0),""))</f>
        <v>M2</v>
      </c>
      <c r="F377" s="1558">
        <f>SUM(I379:I386)</f>
        <v>925.57</v>
      </c>
      <c r="G377" s="1453"/>
      <c r="H377" s="1453"/>
      <c r="I377" s="1454"/>
      <c r="J377" s="1383"/>
      <c r="K377" s="262"/>
      <c r="L377" s="1559" t="s">
        <v>16387</v>
      </c>
      <c r="M377" s="262"/>
      <c r="N377" s="262"/>
      <c r="O377" s="262"/>
      <c r="P377" s="262"/>
      <c r="Q377" s="262"/>
      <c r="R377" s="262"/>
      <c r="S377" s="262"/>
      <c r="T377" s="262"/>
      <c r="U377" s="262"/>
      <c r="V377" s="262"/>
      <c r="W377" s="262"/>
      <c r="X377" s="262"/>
      <c r="Y377" s="262"/>
      <c r="Z377" s="262"/>
    </row>
    <row r="378" spans="1:26" ht="12.75" hidden="1" outlineLevel="1">
      <c r="A378" s="450"/>
      <c r="B378" s="368"/>
      <c r="C378" s="368"/>
      <c r="D378" s="1455" t="s">
        <v>16253</v>
      </c>
      <c r="E378" s="1456" t="s">
        <v>16252</v>
      </c>
      <c r="F378" s="1457" t="s">
        <v>16232</v>
      </c>
      <c r="G378" s="1456" t="s">
        <v>16233</v>
      </c>
      <c r="H378" s="1456" t="s">
        <v>16234</v>
      </c>
      <c r="I378" s="1458" t="s">
        <v>12615</v>
      </c>
      <c r="J378" s="1383"/>
      <c r="K378" s="262"/>
      <c r="L378" s="386"/>
      <c r="M378" s="262"/>
      <c r="N378" s="262"/>
      <c r="O378" s="262"/>
      <c r="P378" s="262"/>
      <c r="Q378" s="262"/>
      <c r="R378" s="262"/>
      <c r="S378" s="262"/>
      <c r="T378" s="262"/>
      <c r="U378" s="262"/>
      <c r="V378" s="262"/>
      <c r="W378" s="262"/>
      <c r="X378" s="262"/>
      <c r="Y378" s="262"/>
      <c r="Z378" s="262"/>
    </row>
    <row r="379" spans="1:26" ht="12.75" hidden="1" outlineLevel="1">
      <c r="A379" s="450"/>
      <c r="B379" s="368"/>
      <c r="C379" s="368"/>
      <c r="D379" s="1565" t="s">
        <v>16390</v>
      </c>
      <c r="E379" s="645"/>
      <c r="F379" s="645"/>
      <c r="G379" s="1553"/>
      <c r="H379" s="645"/>
      <c r="I379" s="1566">
        <v>163.92</v>
      </c>
      <c r="J379" s="1383"/>
      <c r="K379" s="262"/>
      <c r="L379" s="386"/>
      <c r="M379" s="262"/>
      <c r="N379" s="262"/>
      <c r="O379" s="262"/>
      <c r="P379" s="262"/>
      <c r="Q379" s="262"/>
      <c r="R379" s="262"/>
      <c r="S379" s="262"/>
      <c r="T379" s="262"/>
      <c r="U379" s="262"/>
      <c r="V379" s="262"/>
      <c r="W379" s="262"/>
      <c r="X379" s="262"/>
      <c r="Y379" s="262"/>
      <c r="Z379" s="262"/>
    </row>
    <row r="380" spans="1:26" ht="12.75" hidden="1" outlineLevel="1">
      <c r="A380" s="1564"/>
      <c r="B380" s="368"/>
      <c r="C380" s="368"/>
      <c r="D380" s="1565" t="s">
        <v>16391</v>
      </c>
      <c r="E380" s="645"/>
      <c r="F380" s="645"/>
      <c r="G380" s="1553"/>
      <c r="H380" s="645"/>
      <c r="I380" s="1566">
        <v>80.52</v>
      </c>
      <c r="J380" s="1383"/>
      <c r="K380" s="262"/>
      <c r="L380" s="386"/>
      <c r="M380" s="262"/>
      <c r="N380" s="262"/>
      <c r="O380" s="262"/>
      <c r="P380" s="262"/>
      <c r="Q380" s="262"/>
      <c r="R380" s="262"/>
      <c r="S380" s="262"/>
      <c r="T380" s="262"/>
      <c r="U380" s="262"/>
      <c r="V380" s="262"/>
      <c r="W380" s="262"/>
      <c r="X380" s="262"/>
      <c r="Y380" s="262"/>
      <c r="Z380" s="262"/>
    </row>
    <row r="381" spans="1:26" ht="12.75" hidden="1" outlineLevel="1">
      <c r="A381" s="1564"/>
      <c r="B381" s="368"/>
      <c r="C381" s="368"/>
      <c r="D381" s="1565" t="s">
        <v>16392</v>
      </c>
      <c r="E381" s="645"/>
      <c r="F381" s="645"/>
      <c r="G381" s="1553"/>
      <c r="H381" s="645"/>
      <c r="I381" s="1566">
        <v>6.66</v>
      </c>
      <c r="J381" s="1383"/>
      <c r="K381" s="262"/>
      <c r="L381" s="386"/>
      <c r="M381" s="262"/>
      <c r="N381" s="262"/>
      <c r="O381" s="262"/>
      <c r="P381" s="262"/>
      <c r="Q381" s="262"/>
      <c r="R381" s="262"/>
      <c r="S381" s="262"/>
      <c r="T381" s="262"/>
      <c r="U381" s="262"/>
      <c r="V381" s="262"/>
      <c r="W381" s="262"/>
      <c r="X381" s="262"/>
      <c r="Y381" s="262"/>
      <c r="Z381" s="262"/>
    </row>
    <row r="382" spans="1:26" ht="12.75" hidden="1" outlineLevel="1">
      <c r="A382" s="1564"/>
      <c r="B382" s="368"/>
      <c r="C382" s="368"/>
      <c r="D382" s="1565" t="s">
        <v>16393</v>
      </c>
      <c r="E382" s="645"/>
      <c r="F382" s="645"/>
      <c r="G382" s="1553"/>
      <c r="H382" s="645"/>
      <c r="I382" s="1566">
        <v>459.74</v>
      </c>
      <c r="J382" s="1383"/>
      <c r="K382" s="262"/>
      <c r="L382" s="386"/>
      <c r="M382" s="262"/>
      <c r="N382" s="262"/>
      <c r="O382" s="262"/>
      <c r="P382" s="262"/>
      <c r="Q382" s="262"/>
      <c r="R382" s="262"/>
      <c r="S382" s="262"/>
      <c r="T382" s="262"/>
      <c r="U382" s="262"/>
      <c r="V382" s="262"/>
      <c r="W382" s="262"/>
      <c r="X382" s="262"/>
      <c r="Y382" s="262"/>
      <c r="Z382" s="262"/>
    </row>
    <row r="383" spans="1:26" ht="12.75" hidden="1" outlineLevel="1">
      <c r="A383" s="1564"/>
      <c r="B383" s="368"/>
      <c r="C383" s="368"/>
      <c r="D383" s="1565" t="s">
        <v>16394</v>
      </c>
      <c r="E383" s="645"/>
      <c r="F383" s="645"/>
      <c r="G383" s="1553"/>
      <c r="H383" s="645"/>
      <c r="I383" s="1566">
        <v>47.52</v>
      </c>
      <c r="J383" s="1383"/>
      <c r="K383" s="262"/>
      <c r="L383" s="386"/>
      <c r="M383" s="262"/>
      <c r="N383" s="262"/>
      <c r="O383" s="262"/>
      <c r="P383" s="262"/>
      <c r="Q383" s="262"/>
      <c r="R383" s="262"/>
      <c r="S383" s="262"/>
      <c r="T383" s="262"/>
      <c r="U383" s="262"/>
      <c r="V383" s="262"/>
      <c r="W383" s="262"/>
      <c r="X383" s="262"/>
      <c r="Y383" s="262"/>
      <c r="Z383" s="262"/>
    </row>
    <row r="384" spans="1:26" ht="12.75" hidden="1" outlineLevel="1">
      <c r="A384" s="1564"/>
      <c r="B384" s="368"/>
      <c r="C384" s="368"/>
      <c r="D384" s="1565" t="s">
        <v>16395</v>
      </c>
      <c r="E384" s="645"/>
      <c r="F384" s="645"/>
      <c r="G384" s="1553"/>
      <c r="H384" s="645"/>
      <c r="I384" s="1566">
        <v>111.11</v>
      </c>
      <c r="J384" s="1383"/>
      <c r="K384" s="262"/>
      <c r="L384" s="386"/>
      <c r="M384" s="262"/>
      <c r="N384" s="262"/>
      <c r="O384" s="262"/>
      <c r="P384" s="262"/>
      <c r="Q384" s="262"/>
      <c r="R384" s="262"/>
      <c r="S384" s="262"/>
      <c r="T384" s="262"/>
      <c r="U384" s="262"/>
      <c r="V384" s="262"/>
      <c r="W384" s="262"/>
      <c r="X384" s="262"/>
      <c r="Y384" s="262"/>
      <c r="Z384" s="262"/>
    </row>
    <row r="385" spans="1:26" ht="12.75" hidden="1" outlineLevel="1">
      <c r="A385" s="1564"/>
      <c r="B385" s="368"/>
      <c r="C385" s="368"/>
      <c r="D385" s="1565" t="s">
        <v>16396</v>
      </c>
      <c r="E385" s="645"/>
      <c r="F385" s="645"/>
      <c r="G385" s="1553"/>
      <c r="H385" s="645"/>
      <c r="I385" s="1566">
        <v>53.7</v>
      </c>
      <c r="J385" s="1383"/>
      <c r="K385" s="262"/>
      <c r="L385" s="386"/>
      <c r="M385" s="262"/>
      <c r="N385" s="262"/>
      <c r="O385" s="262"/>
      <c r="P385" s="262"/>
      <c r="Q385" s="262"/>
      <c r="R385" s="262"/>
      <c r="S385" s="262"/>
      <c r="T385" s="262"/>
      <c r="U385" s="262"/>
      <c r="V385" s="262"/>
      <c r="W385" s="262"/>
      <c r="X385" s="262"/>
      <c r="Y385" s="262"/>
      <c r="Z385" s="262"/>
    </row>
    <row r="386" spans="1:26" ht="12.75" hidden="1" outlineLevel="1">
      <c r="A386" s="1564"/>
      <c r="B386" s="368"/>
      <c r="C386" s="368"/>
      <c r="D386" s="1567" t="s">
        <v>16397</v>
      </c>
      <c r="E386" s="1460"/>
      <c r="F386" s="1460"/>
      <c r="G386" s="1568"/>
      <c r="H386" s="1460"/>
      <c r="I386" s="1569">
        <v>2.4</v>
      </c>
      <c r="J386" s="1383"/>
      <c r="K386" s="262"/>
      <c r="L386" s="386"/>
      <c r="M386" s="262"/>
      <c r="N386" s="262"/>
      <c r="O386" s="262"/>
      <c r="P386" s="262"/>
      <c r="Q386" s="262"/>
      <c r="R386" s="262"/>
      <c r="S386" s="262"/>
      <c r="T386" s="262"/>
      <c r="U386" s="262"/>
      <c r="V386" s="262"/>
      <c r="W386" s="262"/>
      <c r="X386" s="262"/>
      <c r="Y386" s="262"/>
      <c r="Z386" s="262"/>
    </row>
    <row r="387" spans="1:26" ht="25.5" outlineLevel="1">
      <c r="A387" s="1563" t="s">
        <v>13371</v>
      </c>
      <c r="B387" s="384">
        <v>102492</v>
      </c>
      <c r="C387" s="384" t="s">
        <v>14476</v>
      </c>
      <c r="D387" s="596" t="str">
        <f>IFERROR(VLOOKUP($B387,'24.08_ND'!$A$4833:$D$12369,2,0),IFERROR(VLOOKUP($B387,'03-CP'!$C$5:$H$4646,2,0),""))</f>
        <v>PINTURA DE PISO COM TINTA ACRÍLICA, APLICAÇÃO MANUAL, 3 DEMÃOS, INCLUSO FUNDO PREPARADOR. AF_05/2021</v>
      </c>
      <c r="E387" s="759" t="str">
        <f>IFERROR(VLOOKUP($B387,'24.08_ND'!$A:$D,3,0),IFERROR(VLOOKUP($B387,'03-CP'!$C$5:$H$4646,3,0),""))</f>
        <v>M2</v>
      </c>
      <c r="F387" s="1558">
        <f>SUM(I389:I391)</f>
        <v>546.31999999999994</v>
      </c>
      <c r="G387" s="1453"/>
      <c r="H387" s="1453"/>
      <c r="I387" s="1454"/>
      <c r="J387" s="1383"/>
      <c r="K387" s="262"/>
      <c r="L387" s="1559" t="s">
        <v>16387</v>
      </c>
      <c r="M387" s="262"/>
      <c r="N387" s="262"/>
      <c r="O387" s="262"/>
      <c r="P387" s="262"/>
      <c r="Q387" s="262"/>
      <c r="R387" s="262"/>
      <c r="S387" s="262"/>
      <c r="T387" s="262"/>
      <c r="U387" s="262"/>
      <c r="V387" s="262"/>
      <c r="W387" s="262"/>
      <c r="X387" s="262"/>
      <c r="Y387" s="262"/>
      <c r="Z387" s="262"/>
    </row>
    <row r="388" spans="1:26" ht="12.75" hidden="1" outlineLevel="1">
      <c r="A388" s="1564"/>
      <c r="B388" s="368"/>
      <c r="C388" s="368"/>
      <c r="D388" s="1455" t="s">
        <v>16253</v>
      </c>
      <c r="E388" s="1456" t="s">
        <v>16252</v>
      </c>
      <c r="F388" s="1457" t="s">
        <v>16232</v>
      </c>
      <c r="G388" s="1456" t="s">
        <v>16233</v>
      </c>
      <c r="H388" s="1456" t="s">
        <v>16234</v>
      </c>
      <c r="I388" s="1458" t="s">
        <v>12615</v>
      </c>
      <c r="J388" s="1383"/>
      <c r="K388" s="262"/>
      <c r="L388" s="386"/>
      <c r="M388" s="262"/>
      <c r="N388" s="262"/>
      <c r="O388" s="262"/>
      <c r="P388" s="262"/>
      <c r="Q388" s="262"/>
      <c r="R388" s="262"/>
      <c r="S388" s="262"/>
      <c r="T388" s="262"/>
      <c r="U388" s="262"/>
      <c r="V388" s="262"/>
      <c r="W388" s="262"/>
      <c r="X388" s="262"/>
      <c r="Y388" s="262"/>
      <c r="Z388" s="262"/>
    </row>
    <row r="389" spans="1:26" ht="12.75" hidden="1" outlineLevel="1">
      <c r="A389" s="1564"/>
      <c r="B389" s="368"/>
      <c r="C389" s="368"/>
      <c r="D389" s="1466" t="s">
        <v>16402</v>
      </c>
      <c r="E389" s="645"/>
      <c r="F389" s="645"/>
      <c r="G389" s="691">
        <v>432.81</v>
      </c>
      <c r="H389" s="645"/>
      <c r="I389" s="1467">
        <v>432.81</v>
      </c>
      <c r="J389" s="1383"/>
      <c r="K389" s="262"/>
      <c r="L389" s="386"/>
      <c r="M389" s="262"/>
      <c r="N389" s="262"/>
      <c r="O389" s="262"/>
      <c r="P389" s="262"/>
      <c r="Q389" s="262"/>
      <c r="R389" s="262"/>
      <c r="S389" s="262"/>
      <c r="T389" s="262"/>
      <c r="U389" s="262"/>
      <c r="V389" s="262"/>
      <c r="W389" s="262"/>
      <c r="X389" s="262"/>
      <c r="Y389" s="262"/>
      <c r="Z389" s="262"/>
    </row>
    <row r="390" spans="1:26" ht="12.75" hidden="1" outlineLevel="1">
      <c r="A390" s="1564"/>
      <c r="B390" s="368"/>
      <c r="C390" s="368"/>
      <c r="D390" s="1466" t="s">
        <v>16395</v>
      </c>
      <c r="E390" s="645"/>
      <c r="F390" s="645"/>
      <c r="G390" s="691">
        <v>111.11</v>
      </c>
      <c r="H390" s="645"/>
      <c r="I390" s="1467">
        <v>111.11</v>
      </c>
      <c r="J390" s="1383"/>
      <c r="K390" s="262"/>
      <c r="L390" s="386"/>
      <c r="M390" s="262"/>
      <c r="N390" s="262"/>
      <c r="O390" s="262"/>
      <c r="P390" s="262"/>
      <c r="Q390" s="262"/>
      <c r="R390" s="262"/>
      <c r="S390" s="262"/>
      <c r="T390" s="262"/>
      <c r="U390" s="262"/>
      <c r="V390" s="262"/>
      <c r="W390" s="262"/>
      <c r="X390" s="262"/>
      <c r="Y390" s="262"/>
      <c r="Z390" s="262"/>
    </row>
    <row r="391" spans="1:26" ht="12.75" hidden="1" outlineLevel="1">
      <c r="A391" s="1564"/>
      <c r="B391" s="368"/>
      <c r="C391" s="368"/>
      <c r="D391" s="1459" t="s">
        <v>16397</v>
      </c>
      <c r="E391" s="1460"/>
      <c r="F391" s="1460"/>
      <c r="G391" s="1462">
        <v>2.4</v>
      </c>
      <c r="H391" s="1460"/>
      <c r="I391" s="1463">
        <v>2.4</v>
      </c>
      <c r="J391" s="1383"/>
      <c r="K391" s="262"/>
      <c r="L391" s="386"/>
      <c r="M391" s="262"/>
      <c r="N391" s="262"/>
      <c r="O391" s="262"/>
      <c r="P391" s="262"/>
      <c r="Q391" s="262"/>
      <c r="R391" s="262"/>
      <c r="S391" s="262"/>
      <c r="T391" s="262"/>
      <c r="U391" s="262"/>
      <c r="V391" s="262"/>
      <c r="W391" s="262"/>
      <c r="X391" s="262"/>
      <c r="Y391" s="262"/>
      <c r="Z391" s="262"/>
    </row>
    <row r="392" spans="1:26" ht="21.75" outlineLevel="1">
      <c r="A392" s="1563" t="s">
        <v>13372</v>
      </c>
      <c r="B392" s="384" t="s">
        <v>14765</v>
      </c>
      <c r="C392" s="384" t="s">
        <v>14472</v>
      </c>
      <c r="D392" s="596" t="str">
        <f>IFERROR(VLOOKUP($B392,'24.08_ND'!$A$4833:$D$12369,2,0),IFERROR(VLOOKUP($B392,'03-CP'!$C$5:$H$4646,2,0),""))</f>
        <v>PINTURA COM TINTA ACRÍLICA PREMIUM EM PAREDES, DUAS DEMÃOS.</v>
      </c>
      <c r="E392" s="759" t="str">
        <f>IFERROR(VLOOKUP($B392,'24.08_ND'!$A:$D,3,0),IFERROR(VLOOKUP($B392,'03-CP'!$C$5:$H$4646,3,0),""))</f>
        <v>M2</v>
      </c>
      <c r="F392" s="1558">
        <f>SUM(I394:I399)</f>
        <v>379.24999999999994</v>
      </c>
      <c r="G392" s="1453"/>
      <c r="H392" s="1453"/>
      <c r="I392" s="1454"/>
      <c r="J392" s="1383"/>
      <c r="K392" s="262"/>
      <c r="L392" s="1559" t="s">
        <v>16387</v>
      </c>
      <c r="M392" s="262"/>
      <c r="N392" s="262"/>
      <c r="O392" s="262"/>
      <c r="P392" s="262"/>
      <c r="Q392" s="262"/>
      <c r="R392" s="262"/>
      <c r="S392" s="262"/>
      <c r="T392" s="262"/>
      <c r="U392" s="262"/>
      <c r="V392" s="262"/>
      <c r="W392" s="262"/>
      <c r="X392" s="262"/>
      <c r="Y392" s="262"/>
      <c r="Z392" s="262"/>
    </row>
    <row r="393" spans="1:26" ht="12.75" hidden="1" outlineLevel="1">
      <c r="A393" s="1564"/>
      <c r="B393" s="368"/>
      <c r="C393" s="368"/>
      <c r="D393" s="1455" t="s">
        <v>16274</v>
      </c>
      <c r="E393" s="1456" t="s">
        <v>16252</v>
      </c>
      <c r="F393" s="1457" t="s">
        <v>16232</v>
      </c>
      <c r="G393" s="1456" t="s">
        <v>16233</v>
      </c>
      <c r="H393" s="1456" t="s">
        <v>16234</v>
      </c>
      <c r="I393" s="1458" t="s">
        <v>12615</v>
      </c>
      <c r="J393" s="1383"/>
      <c r="K393" s="262"/>
      <c r="L393" s="386"/>
      <c r="M393" s="262"/>
      <c r="N393" s="262"/>
      <c r="O393" s="262"/>
      <c r="P393" s="262"/>
      <c r="Q393" s="262"/>
      <c r="R393" s="262"/>
      <c r="S393" s="262"/>
      <c r="T393" s="262"/>
      <c r="U393" s="262"/>
      <c r="V393" s="262"/>
      <c r="W393" s="262"/>
      <c r="X393" s="262"/>
      <c r="Y393" s="262"/>
      <c r="Z393" s="262"/>
    </row>
    <row r="394" spans="1:26" ht="12.75" hidden="1" outlineLevel="1">
      <c r="A394" s="1564"/>
      <c r="B394" s="368"/>
      <c r="C394" s="368"/>
      <c r="D394" s="1466" t="s">
        <v>16390</v>
      </c>
      <c r="E394" s="642"/>
      <c r="F394" s="642"/>
      <c r="G394" s="691"/>
      <c r="H394" s="642"/>
      <c r="I394" s="1467">
        <v>163.92</v>
      </c>
      <c r="J394" s="1383"/>
      <c r="K394" s="262"/>
      <c r="L394" s="386"/>
      <c r="M394" s="262"/>
      <c r="N394" s="262"/>
      <c r="O394" s="262"/>
      <c r="P394" s="262"/>
      <c r="Q394" s="262"/>
      <c r="R394" s="262"/>
      <c r="S394" s="262"/>
      <c r="T394" s="262"/>
      <c r="U394" s="262"/>
      <c r="V394" s="262"/>
      <c r="W394" s="262"/>
      <c r="X394" s="262"/>
      <c r="Y394" s="262"/>
      <c r="Z394" s="262"/>
    </row>
    <row r="395" spans="1:26" ht="12.75" hidden="1" outlineLevel="1">
      <c r="A395" s="1564"/>
      <c r="B395" s="368"/>
      <c r="C395" s="368"/>
      <c r="D395" s="1466" t="s">
        <v>16391</v>
      </c>
      <c r="E395" s="642"/>
      <c r="F395" s="642"/>
      <c r="G395" s="691"/>
      <c r="H395" s="642"/>
      <c r="I395" s="1467">
        <v>80.52</v>
      </c>
      <c r="J395" s="1383"/>
      <c r="K395" s="262"/>
      <c r="L395" s="386"/>
      <c r="M395" s="262"/>
      <c r="N395" s="262"/>
      <c r="O395" s="262"/>
      <c r="P395" s="262"/>
      <c r="Q395" s="262"/>
      <c r="R395" s="262"/>
      <c r="S395" s="262"/>
      <c r="T395" s="262"/>
      <c r="U395" s="262"/>
      <c r="V395" s="262"/>
      <c r="W395" s="262"/>
      <c r="X395" s="262"/>
      <c r="Y395" s="262"/>
      <c r="Z395" s="262"/>
    </row>
    <row r="396" spans="1:26" ht="12.75" hidden="1" outlineLevel="1">
      <c r="A396" s="1564"/>
      <c r="B396" s="368"/>
      <c r="C396" s="368"/>
      <c r="D396" s="1466" t="s">
        <v>16392</v>
      </c>
      <c r="E396" s="642"/>
      <c r="F396" s="642"/>
      <c r="G396" s="691"/>
      <c r="H396" s="642"/>
      <c r="I396" s="1467">
        <v>6.66</v>
      </c>
      <c r="J396" s="1383"/>
      <c r="K396" s="262"/>
      <c r="L396" s="386"/>
      <c r="M396" s="262"/>
      <c r="N396" s="262"/>
      <c r="O396" s="262"/>
      <c r="P396" s="262"/>
      <c r="Q396" s="262"/>
      <c r="R396" s="262"/>
      <c r="S396" s="262"/>
      <c r="T396" s="262"/>
      <c r="U396" s="262"/>
      <c r="V396" s="262"/>
      <c r="W396" s="262"/>
      <c r="X396" s="262"/>
      <c r="Y396" s="262"/>
      <c r="Z396" s="262"/>
    </row>
    <row r="397" spans="1:26" ht="12.75" hidden="1" outlineLevel="1">
      <c r="A397" s="1564"/>
      <c r="B397" s="368"/>
      <c r="C397" s="368"/>
      <c r="D397" s="1466" t="s">
        <v>16403</v>
      </c>
      <c r="E397" s="642"/>
      <c r="F397" s="642"/>
      <c r="G397" s="691"/>
      <c r="H397" s="642"/>
      <c r="I397" s="1467">
        <v>26.93</v>
      </c>
      <c r="J397" s="1383"/>
      <c r="K397" s="262"/>
      <c r="L397" s="386"/>
      <c r="M397" s="262"/>
      <c r="N397" s="262"/>
      <c r="O397" s="262"/>
      <c r="P397" s="262"/>
      <c r="Q397" s="262"/>
      <c r="R397" s="262"/>
      <c r="S397" s="262"/>
      <c r="T397" s="262"/>
      <c r="U397" s="262"/>
      <c r="V397" s="262"/>
      <c r="W397" s="262"/>
      <c r="X397" s="262"/>
      <c r="Y397" s="262"/>
      <c r="Z397" s="262"/>
    </row>
    <row r="398" spans="1:26" ht="12.75" hidden="1" outlineLevel="1">
      <c r="A398" s="1564"/>
      <c r="B398" s="368"/>
      <c r="C398" s="368"/>
      <c r="D398" s="1466" t="s">
        <v>16394</v>
      </c>
      <c r="E398" s="642"/>
      <c r="F398" s="642"/>
      <c r="G398" s="691"/>
      <c r="H398" s="642"/>
      <c r="I398" s="1467">
        <v>47.52</v>
      </c>
      <c r="J398" s="1383"/>
      <c r="K398" s="262"/>
      <c r="L398" s="386"/>
      <c r="M398" s="262"/>
      <c r="N398" s="262"/>
      <c r="O398" s="262"/>
      <c r="P398" s="262"/>
      <c r="Q398" s="262"/>
      <c r="R398" s="262"/>
      <c r="S398" s="262"/>
      <c r="T398" s="262"/>
      <c r="U398" s="262"/>
      <c r="V398" s="262"/>
      <c r="W398" s="262"/>
      <c r="X398" s="262"/>
      <c r="Y398" s="262"/>
      <c r="Z398" s="262"/>
    </row>
    <row r="399" spans="1:26" ht="12.75" hidden="1" outlineLevel="1">
      <c r="A399" s="1564"/>
      <c r="B399" s="368"/>
      <c r="C399" s="368"/>
      <c r="D399" s="1459" t="s">
        <v>16396</v>
      </c>
      <c r="E399" s="1464"/>
      <c r="F399" s="1464"/>
      <c r="G399" s="1462"/>
      <c r="H399" s="1464"/>
      <c r="I399" s="1463">
        <v>53.7</v>
      </c>
      <c r="J399" s="1383"/>
      <c r="K399" s="262"/>
      <c r="L399" s="386"/>
      <c r="M399" s="262"/>
      <c r="N399" s="262"/>
      <c r="O399" s="262"/>
      <c r="P399" s="262"/>
      <c r="Q399" s="262"/>
      <c r="R399" s="262"/>
      <c r="S399" s="262"/>
      <c r="T399" s="262"/>
      <c r="U399" s="262"/>
      <c r="V399" s="262"/>
      <c r="W399" s="262"/>
      <c r="X399" s="262"/>
      <c r="Y399" s="262"/>
      <c r="Z399" s="262"/>
    </row>
    <row r="400" spans="1:26" ht="12.75" hidden="1" outlineLevel="1">
      <c r="A400" s="247"/>
      <c r="B400" s="386"/>
      <c r="C400" s="386"/>
      <c r="D400" s="253"/>
      <c r="E400" s="1244"/>
      <c r="F400" s="389"/>
      <c r="G400" s="1244"/>
      <c r="H400" s="1244"/>
      <c r="I400" s="1409"/>
      <c r="J400" s="1383" t="s">
        <v>16228</v>
      </c>
      <c r="K400" s="262"/>
      <c r="L400" s="386"/>
      <c r="M400" s="262"/>
      <c r="N400" s="262"/>
      <c r="O400" s="262"/>
      <c r="P400" s="262"/>
      <c r="Q400" s="262"/>
      <c r="R400" s="262"/>
      <c r="S400" s="262"/>
      <c r="T400" s="262"/>
      <c r="U400" s="262"/>
      <c r="V400" s="262"/>
      <c r="W400" s="262"/>
      <c r="X400" s="262"/>
      <c r="Y400" s="262"/>
      <c r="Z400" s="262"/>
    </row>
    <row r="401" spans="1:26" ht="12.75">
      <c r="A401" s="246" t="s">
        <v>13373</v>
      </c>
      <c r="B401" s="1378"/>
      <c r="C401" s="1378"/>
      <c r="D401" s="1379" t="s">
        <v>16290</v>
      </c>
      <c r="E401" s="1380"/>
      <c r="F401" s="1381"/>
      <c r="G401" s="1380"/>
      <c r="H401" s="1381"/>
      <c r="I401" s="1382"/>
      <c r="J401" s="1383" t="s">
        <v>16228</v>
      </c>
      <c r="K401" s="1384" t="e">
        <f>VLOOKUP(A401,'Medição '!$A:$G,10,0)</f>
        <v>#REF!</v>
      </c>
      <c r="L401" s="386"/>
      <c r="M401" s="262"/>
      <c r="N401" s="262"/>
      <c r="O401" s="262"/>
      <c r="P401" s="262"/>
      <c r="Q401" s="262"/>
      <c r="R401" s="262"/>
      <c r="S401" s="262"/>
      <c r="T401" s="262"/>
      <c r="U401" s="262"/>
      <c r="V401" s="262"/>
      <c r="W401" s="262"/>
      <c r="X401" s="262"/>
      <c r="Y401" s="262"/>
      <c r="Z401" s="262"/>
    </row>
    <row r="402" spans="1:26" ht="63.75" outlineLevel="1">
      <c r="A402" s="1385" t="s">
        <v>13374</v>
      </c>
      <c r="B402" s="295" t="s">
        <v>14920</v>
      </c>
      <c r="C402" s="295" t="s">
        <v>14472</v>
      </c>
      <c r="D402" s="296" t="str">
        <f>IFERROR(VLOOKUP($B402,'24.08_ND'!$A$4833:$D$12369,2,0),IFERROR(VLOOKUP($B402,'03-CP'!$C$5:$H$4646,2,0),""))</f>
        <v>GUARDA CORPO EM AÇO, H=1,10M, COM CABOS DE AÇO TENSIONADOS, CORRIMÃO EM PERFIL METÁLICO REVESTIDO COM MADEIRA PLÁSTICA, FIXADO COM CHUMBADOR MECÂNICO, ACABAMENTO EM ZARCÃO E PINTURA COM TINTA ALQUÍDICA DE ACABAMENTO (ESMALTE SINTÉTICO FOSCO) PULVERIZADA SOBRE SUPERFÍCIES METÁLICAS, 02 DEMÃOS.</v>
      </c>
      <c r="E402" s="1387" t="str">
        <f>IFERROR(VLOOKUP($B402,'24.08_ND'!$A:$D,3,0),IFERROR(VLOOKUP($B402,'03-CP'!$C$5:$H$4646,3,0),""))</f>
        <v>M</v>
      </c>
      <c r="F402" s="1571">
        <f>SUM(I404)</f>
        <v>146.34</v>
      </c>
      <c r="G402" s="1387"/>
      <c r="H402" s="1387"/>
      <c r="I402" s="1388"/>
      <c r="J402" s="1383" t="s">
        <v>16228</v>
      </c>
      <c r="K402" s="262"/>
      <c r="L402" s="1559" t="s">
        <v>16387</v>
      </c>
      <c r="M402" s="262"/>
      <c r="N402" s="262"/>
      <c r="O402" s="262"/>
      <c r="P402" s="262"/>
      <c r="Q402" s="262"/>
      <c r="R402" s="262"/>
      <c r="S402" s="262"/>
      <c r="T402" s="262"/>
      <c r="U402" s="262"/>
      <c r="V402" s="262"/>
      <c r="W402" s="262"/>
      <c r="X402" s="262"/>
      <c r="Y402" s="262"/>
      <c r="Z402" s="262"/>
    </row>
    <row r="403" spans="1:26" ht="12.75" hidden="1" outlineLevel="1">
      <c r="A403" s="450"/>
      <c r="B403" s="512"/>
      <c r="C403" s="512"/>
      <c r="D403" s="1390" t="s">
        <v>16404</v>
      </c>
      <c r="E403" s="1240" t="s">
        <v>16252</v>
      </c>
      <c r="F403" s="1425" t="s">
        <v>16232</v>
      </c>
      <c r="G403" s="1572" t="s">
        <v>16233</v>
      </c>
      <c r="H403" s="1240" t="s">
        <v>16234</v>
      </c>
      <c r="I403" s="1426" t="s">
        <v>12615</v>
      </c>
      <c r="J403" s="1383" t="s">
        <v>16228</v>
      </c>
      <c r="K403" s="262"/>
      <c r="L403" s="386"/>
      <c r="M403" s="262"/>
      <c r="N403" s="262"/>
      <c r="O403" s="262"/>
      <c r="P403" s="262"/>
      <c r="Q403" s="262"/>
      <c r="R403" s="262"/>
      <c r="S403" s="262"/>
      <c r="T403" s="262"/>
      <c r="U403" s="262"/>
      <c r="V403" s="262"/>
      <c r="W403" s="262"/>
      <c r="X403" s="262"/>
      <c r="Y403" s="262"/>
      <c r="Z403" s="262"/>
    </row>
    <row r="404" spans="1:26" ht="12.75" hidden="1" outlineLevel="1">
      <c r="A404" s="450"/>
      <c r="B404" s="512"/>
      <c r="C404" s="512"/>
      <c r="D404" s="1573" t="s">
        <v>16405</v>
      </c>
      <c r="E404" s="1574">
        <v>146.34</v>
      </c>
      <c r="F404" s="1575"/>
      <c r="G404" s="1574"/>
      <c r="H404" s="1575"/>
      <c r="I404" s="1576">
        <f>E404</f>
        <v>146.34</v>
      </c>
      <c r="J404" s="1383" t="s">
        <v>16228</v>
      </c>
      <c r="K404" s="262"/>
      <c r="L404" s="386"/>
      <c r="M404" s="262"/>
      <c r="N404" s="262"/>
      <c r="O404" s="262"/>
      <c r="P404" s="262"/>
      <c r="Q404" s="262"/>
      <c r="R404" s="262"/>
      <c r="S404" s="262"/>
      <c r="T404" s="262"/>
      <c r="U404" s="262"/>
      <c r="V404" s="262"/>
      <c r="W404" s="262"/>
      <c r="X404" s="262"/>
      <c r="Y404" s="262"/>
      <c r="Z404" s="262"/>
    </row>
    <row r="405" spans="1:26" hidden="1" outlineLevel="1">
      <c r="A405" s="450"/>
      <c r="I405" s="453"/>
      <c r="J405" s="1383" t="s">
        <v>16228</v>
      </c>
      <c r="K405" s="261"/>
      <c r="L405" s="1407"/>
      <c r="M405" s="261"/>
      <c r="N405" s="261"/>
      <c r="O405" s="261"/>
      <c r="P405" s="261"/>
      <c r="Q405" s="261"/>
      <c r="R405" s="261"/>
      <c r="S405" s="261"/>
      <c r="T405" s="261"/>
      <c r="U405" s="261"/>
      <c r="V405" s="261"/>
      <c r="W405" s="261"/>
      <c r="X405" s="261"/>
      <c r="Y405" s="261"/>
      <c r="Z405" s="261"/>
    </row>
    <row r="406" spans="1:26" ht="25.5" outlineLevel="1">
      <c r="A406" s="1385" t="s">
        <v>13375</v>
      </c>
      <c r="B406" s="295" t="s">
        <v>14983</v>
      </c>
      <c r="C406" s="295" t="s">
        <v>14472</v>
      </c>
      <c r="D406" s="658" t="str">
        <f>IFERROR(VLOOKUP($B406,'24.08_ND'!$A$4833:$D$12369,2,0),IFERROR(VLOOKUP($B406,'03-CP'!$C$5:$H$4646,2,0),""))</f>
        <v xml:space="preserve"> GRELHA ARVOREIRA EM FERRO FUNDIDO, DIMENSÕES Ø1,50 M. FORNECIMENTO E INSTALAÇÃO.</v>
      </c>
      <c r="E406" s="1318" t="str">
        <f>IFERROR(VLOOKUP($B406,'24.08_ND'!$A:$D,3,0),IFERROR(VLOOKUP($B406,'03-CP'!$C$5:$H$4646,3,0),""))</f>
        <v>UN</v>
      </c>
      <c r="F406" s="1571">
        <f>SUM(I408)</f>
        <v>6</v>
      </c>
      <c r="G406" s="1387"/>
      <c r="H406" s="1387"/>
      <c r="I406" s="1388"/>
      <c r="J406" s="1383" t="s">
        <v>16228</v>
      </c>
      <c r="K406" s="262"/>
      <c r="L406" s="1559" t="s">
        <v>16387</v>
      </c>
      <c r="M406" s="262"/>
      <c r="N406" s="262"/>
      <c r="O406" s="262"/>
      <c r="P406" s="262"/>
      <c r="Q406" s="262"/>
      <c r="R406" s="262"/>
      <c r="S406" s="262"/>
      <c r="T406" s="262"/>
      <c r="U406" s="262"/>
      <c r="V406" s="262"/>
      <c r="W406" s="262"/>
      <c r="X406" s="262"/>
      <c r="Y406" s="262"/>
      <c r="Z406" s="262"/>
    </row>
    <row r="407" spans="1:26" ht="12.75" hidden="1" outlineLevel="1">
      <c r="A407" s="1401"/>
      <c r="B407" s="512"/>
      <c r="C407" s="512"/>
      <c r="D407" s="1390" t="s">
        <v>16404</v>
      </c>
      <c r="E407" s="1240" t="s">
        <v>16252</v>
      </c>
      <c r="F407" s="1425" t="s">
        <v>16232</v>
      </c>
      <c r="G407" s="1391" t="s">
        <v>16233</v>
      </c>
      <c r="H407" s="1240" t="s">
        <v>16234</v>
      </c>
      <c r="I407" s="1426" t="s">
        <v>12615</v>
      </c>
      <c r="J407" s="1383" t="s">
        <v>16228</v>
      </c>
      <c r="K407" s="262"/>
      <c r="L407" s="386"/>
      <c r="M407" s="262"/>
      <c r="N407" s="262"/>
      <c r="O407" s="262"/>
      <c r="P407" s="262"/>
      <c r="Q407" s="262"/>
      <c r="R407" s="262"/>
      <c r="S407" s="262"/>
      <c r="T407" s="262"/>
      <c r="U407" s="262"/>
      <c r="V407" s="262"/>
      <c r="W407" s="262"/>
      <c r="X407" s="262"/>
      <c r="Y407" s="262"/>
      <c r="Z407" s="262"/>
    </row>
    <row r="408" spans="1:26" ht="12.75" hidden="1" outlineLevel="1">
      <c r="A408" s="247"/>
      <c r="B408" s="386"/>
      <c r="C408" s="386"/>
      <c r="D408" s="1422" t="s">
        <v>16406</v>
      </c>
      <c r="E408" s="1248"/>
      <c r="F408" s="1436"/>
      <c r="G408" s="1248"/>
      <c r="H408" s="1248">
        <v>6</v>
      </c>
      <c r="I408" s="1281">
        <f>H408</f>
        <v>6</v>
      </c>
      <c r="J408" s="1383" t="s">
        <v>16228</v>
      </c>
      <c r="K408" s="262"/>
      <c r="L408" s="386"/>
      <c r="M408" s="262"/>
      <c r="N408" s="262"/>
      <c r="O408" s="262"/>
      <c r="P408" s="262"/>
      <c r="Q408" s="262"/>
      <c r="R408" s="262"/>
      <c r="S408" s="262"/>
      <c r="T408" s="262"/>
      <c r="U408" s="262"/>
      <c r="V408" s="262"/>
      <c r="W408" s="262"/>
      <c r="X408" s="262"/>
      <c r="Y408" s="262"/>
      <c r="Z408" s="262"/>
    </row>
    <row r="409" spans="1:26" ht="12.75" hidden="1" outlineLevel="1">
      <c r="A409" s="247"/>
      <c r="B409" s="386"/>
      <c r="C409" s="386"/>
      <c r="D409" s="253"/>
      <c r="E409" s="1244"/>
      <c r="F409" s="389"/>
      <c r="G409" s="1244"/>
      <c r="H409" s="1244"/>
      <c r="I409" s="1409"/>
      <c r="J409" s="1383" t="s">
        <v>16228</v>
      </c>
      <c r="K409" s="262"/>
      <c r="L409" s="386"/>
      <c r="M409" s="262"/>
      <c r="N409" s="262"/>
      <c r="O409" s="262"/>
      <c r="P409" s="262"/>
      <c r="Q409" s="262"/>
      <c r="R409" s="262"/>
      <c r="S409" s="262"/>
      <c r="T409" s="262"/>
      <c r="U409" s="262"/>
      <c r="V409" s="262"/>
      <c r="W409" s="262"/>
      <c r="X409" s="262"/>
      <c r="Y409" s="262"/>
      <c r="Z409" s="262"/>
    </row>
    <row r="410" spans="1:26" ht="51" outlineLevel="1">
      <c r="A410" s="1385" t="s">
        <v>13376</v>
      </c>
      <c r="B410" s="295" t="s">
        <v>14986</v>
      </c>
      <c r="C410" s="295" t="s">
        <v>14472</v>
      </c>
      <c r="D410" s="658" t="str">
        <f>IFERROR(VLOOKUP($B410,'24.08_ND'!$A$4833:$D$12369,2,0),IFERROR(VLOOKUP($B410,'03-CP'!$C$5:$H$4646,2,0),""))</f>
        <v>GRELHA PLUVIAL EM FERRO FUNDIDO NODULAR, MALHA QUADRICULADA, DIMENSÕES 0,30 x 1,00 ESP 2CM, COM REQUADRO, ASSENTADO COM ARGAMASSA 1:3 (CIMENTO:AREIA), ACABAMENTO EM PINTURA ESMALTE SINTÉTICO COR CARVÃO. FORNECIMENTO E INSTALAÇÃO.</v>
      </c>
      <c r="E410" s="1318" t="str">
        <f>IFERROR(VLOOKUP($B410,'24.08_ND'!$A:$D,3,0),IFERROR(VLOOKUP($B410,'03-CP'!$C$5:$H$4646,3,0),""))</f>
        <v>UN</v>
      </c>
      <c r="F410" s="1571">
        <f>SUM(I412)</f>
        <v>87</v>
      </c>
      <c r="G410" s="1387"/>
      <c r="H410" s="1387"/>
      <c r="I410" s="1388"/>
      <c r="J410" s="1383" t="s">
        <v>16228</v>
      </c>
      <c r="K410" s="262"/>
      <c r="L410" s="1559" t="s">
        <v>16387</v>
      </c>
      <c r="M410" s="262"/>
      <c r="N410" s="262"/>
      <c r="O410" s="262"/>
      <c r="P410" s="262"/>
      <c r="Q410" s="262"/>
      <c r="R410" s="262"/>
      <c r="S410" s="262"/>
      <c r="T410" s="262"/>
      <c r="U410" s="262"/>
      <c r="V410" s="262"/>
      <c r="W410" s="262"/>
      <c r="X410" s="262"/>
      <c r="Y410" s="262"/>
      <c r="Z410" s="262"/>
    </row>
    <row r="411" spans="1:26" ht="12.75" hidden="1" outlineLevel="1">
      <c r="A411" s="1401"/>
      <c r="B411" s="512"/>
      <c r="C411" s="512"/>
      <c r="D411" s="1390" t="s">
        <v>16404</v>
      </c>
      <c r="E411" s="1240" t="s">
        <v>16252</v>
      </c>
      <c r="F411" s="1425" t="s">
        <v>16232</v>
      </c>
      <c r="G411" s="1391" t="s">
        <v>16233</v>
      </c>
      <c r="H411" s="1240" t="s">
        <v>16234</v>
      </c>
      <c r="I411" s="1426" t="s">
        <v>12615</v>
      </c>
      <c r="J411" s="1383" t="s">
        <v>16228</v>
      </c>
      <c r="K411" s="262"/>
      <c r="L411" s="386"/>
      <c r="M411" s="262"/>
      <c r="N411" s="262"/>
      <c r="O411" s="262"/>
      <c r="P411" s="262"/>
      <c r="Q411" s="262"/>
      <c r="R411" s="262"/>
      <c r="S411" s="262"/>
      <c r="T411" s="262"/>
      <c r="U411" s="262"/>
      <c r="V411" s="262"/>
      <c r="W411" s="262"/>
      <c r="X411" s="262"/>
      <c r="Y411" s="262"/>
      <c r="Z411" s="262"/>
    </row>
    <row r="412" spans="1:26" ht="12.75" hidden="1" outlineLevel="1">
      <c r="A412" s="247"/>
      <c r="B412" s="386"/>
      <c r="C412" s="386"/>
      <c r="D412" s="1422" t="s">
        <v>16407</v>
      </c>
      <c r="E412" s="1248"/>
      <c r="F412" s="1436"/>
      <c r="G412" s="1248"/>
      <c r="H412" s="1248">
        <v>87</v>
      </c>
      <c r="I412" s="1281">
        <f>H412</f>
        <v>87</v>
      </c>
      <c r="J412" s="1383" t="s">
        <v>16228</v>
      </c>
      <c r="K412" s="262"/>
      <c r="L412" s="386"/>
      <c r="M412" s="262"/>
      <c r="N412" s="262"/>
      <c r="O412" s="262"/>
      <c r="P412" s="262"/>
      <c r="Q412" s="262"/>
      <c r="R412" s="262"/>
      <c r="S412" s="262"/>
      <c r="T412" s="262"/>
      <c r="U412" s="262"/>
      <c r="V412" s="262"/>
      <c r="W412" s="262"/>
      <c r="X412" s="262"/>
      <c r="Y412" s="262"/>
      <c r="Z412" s="262"/>
    </row>
    <row r="413" spans="1:26" ht="12.75" hidden="1" outlineLevel="1">
      <c r="A413" s="247"/>
      <c r="B413" s="386"/>
      <c r="C413" s="386"/>
      <c r="D413" s="253"/>
      <c r="E413" s="1244"/>
      <c r="F413" s="389"/>
      <c r="G413" s="1244"/>
      <c r="H413" s="1244"/>
      <c r="I413" s="1409"/>
      <c r="J413" s="1383" t="s">
        <v>16228</v>
      </c>
      <c r="K413" s="262"/>
      <c r="L413" s="386"/>
      <c r="M413" s="262"/>
      <c r="N413" s="262"/>
      <c r="O413" s="262"/>
      <c r="P413" s="262"/>
      <c r="Q413" s="262"/>
      <c r="R413" s="262"/>
      <c r="S413" s="262"/>
      <c r="T413" s="262"/>
      <c r="U413" s="262"/>
      <c r="V413" s="262"/>
      <c r="W413" s="262"/>
      <c r="X413" s="262"/>
      <c r="Y413" s="262"/>
      <c r="Z413" s="262"/>
    </row>
    <row r="414" spans="1:26" ht="21.75" outlineLevel="1">
      <c r="A414" s="1385" t="s">
        <v>13377</v>
      </c>
      <c r="B414" s="295">
        <v>101979</v>
      </c>
      <c r="C414" s="295" t="s">
        <v>14476</v>
      </c>
      <c r="D414" s="658" t="str">
        <f>IFERROR(VLOOKUP($B414,'24.08_ND'!$A$4833:$D$12369,2,0),IFERROR(VLOOKUP($B414,'03-CP'!$C$5:$H$4646,2,0),""))</f>
        <v>CHAPIM (RUFO CAPA) EM AÇO GALVANIZADO, CORTE 33. AF_11/2020</v>
      </c>
      <c r="E414" s="1318" t="str">
        <f>IFERROR(VLOOKUP($B414,'24.08_ND'!$A:$D,3,0),IFERROR(VLOOKUP($B414,'03-CP'!$C$5:$H$4646,3,0),""))</f>
        <v>M</v>
      </c>
      <c r="F414" s="1571">
        <f>SUM(I416)</f>
        <v>84.699999999999989</v>
      </c>
      <c r="G414" s="1387"/>
      <c r="H414" s="1387"/>
      <c r="I414" s="1388"/>
      <c r="J414" s="1383" t="s">
        <v>16228</v>
      </c>
      <c r="K414" s="262"/>
      <c r="L414" s="1559" t="s">
        <v>16387</v>
      </c>
      <c r="M414" s="262"/>
      <c r="N414" s="262"/>
      <c r="O414" s="262"/>
      <c r="P414" s="262"/>
      <c r="Q414" s="262"/>
      <c r="R414" s="262"/>
      <c r="S414" s="262"/>
      <c r="T414" s="262"/>
      <c r="U414" s="262"/>
      <c r="V414" s="262"/>
      <c r="W414" s="262"/>
      <c r="X414" s="262"/>
      <c r="Y414" s="262"/>
      <c r="Z414" s="262"/>
    </row>
    <row r="415" spans="1:26" ht="12.75" hidden="1" outlineLevel="1">
      <c r="A415" s="450"/>
      <c r="B415" s="512"/>
      <c r="C415" s="512"/>
      <c r="D415" s="1390" t="s">
        <v>16404</v>
      </c>
      <c r="E415" s="1240" t="s">
        <v>16252</v>
      </c>
      <c r="F415" s="1425" t="s">
        <v>16232</v>
      </c>
      <c r="G415" s="1391" t="s">
        <v>16233</v>
      </c>
      <c r="H415" s="1240" t="s">
        <v>16234</v>
      </c>
      <c r="I415" s="1426" t="s">
        <v>12615</v>
      </c>
      <c r="J415" s="1383" t="s">
        <v>16228</v>
      </c>
      <c r="K415" s="262"/>
      <c r="L415" s="386"/>
      <c r="M415" s="262"/>
      <c r="N415" s="262"/>
      <c r="O415" s="262"/>
      <c r="P415" s="262"/>
      <c r="Q415" s="262"/>
      <c r="R415" s="262"/>
      <c r="S415" s="262"/>
      <c r="T415" s="262"/>
      <c r="U415" s="262"/>
      <c r="V415" s="262"/>
      <c r="W415" s="262"/>
      <c r="X415" s="262"/>
      <c r="Y415" s="262"/>
      <c r="Z415" s="262"/>
    </row>
    <row r="416" spans="1:26" ht="25.5" hidden="1" outlineLevel="1">
      <c r="A416" s="450"/>
      <c r="B416" s="386"/>
      <c r="C416" s="386"/>
      <c r="D416" s="1422" t="s">
        <v>16408</v>
      </c>
      <c r="E416" s="1248"/>
      <c r="F416" s="1436">
        <f>(6.27*6)+(9.24+6.5+7.8)*2</f>
        <v>84.699999999999989</v>
      </c>
      <c r="G416" s="1248"/>
      <c r="H416" s="1248"/>
      <c r="I416" s="1281">
        <f>F416</f>
        <v>84.699999999999989</v>
      </c>
      <c r="J416" s="1383" t="s">
        <v>16228</v>
      </c>
      <c r="K416" s="262"/>
      <c r="L416" s="386"/>
      <c r="M416" s="262"/>
      <c r="N416" s="262"/>
      <c r="O416" s="262"/>
      <c r="P416" s="262"/>
      <c r="Q416" s="262"/>
      <c r="R416" s="262"/>
      <c r="S416" s="262"/>
      <c r="T416" s="262"/>
      <c r="U416" s="262"/>
      <c r="V416" s="262"/>
      <c r="W416" s="262"/>
      <c r="X416" s="262"/>
      <c r="Y416" s="262"/>
      <c r="Z416" s="262"/>
    </row>
    <row r="417" spans="1:26" ht="12.75" hidden="1" outlineLevel="1">
      <c r="A417" s="247"/>
      <c r="B417" s="386"/>
      <c r="C417" s="386"/>
      <c r="D417" s="253"/>
      <c r="E417" s="1244"/>
      <c r="F417" s="389"/>
      <c r="G417" s="1244"/>
      <c r="H417" s="1244"/>
      <c r="I417" s="1409"/>
      <c r="J417" s="1383" t="s">
        <v>16228</v>
      </c>
      <c r="K417" s="262"/>
      <c r="L417" s="386"/>
      <c r="M417" s="262"/>
      <c r="N417" s="262"/>
      <c r="O417" s="262"/>
      <c r="P417" s="262"/>
      <c r="Q417" s="262"/>
      <c r="R417" s="262"/>
      <c r="S417" s="262"/>
      <c r="T417" s="262"/>
      <c r="U417" s="262"/>
      <c r="V417" s="262"/>
      <c r="W417" s="262"/>
      <c r="X417" s="262"/>
      <c r="Y417" s="262"/>
      <c r="Z417" s="262"/>
    </row>
    <row r="418" spans="1:26" ht="38.25" outlineLevel="1">
      <c r="A418" s="1385" t="s">
        <v>13378</v>
      </c>
      <c r="B418" s="295">
        <v>100721</v>
      </c>
      <c r="C418" s="295" t="s">
        <v>14476</v>
      </c>
      <c r="D418" s="296" t="str">
        <f>IFERROR(VLOOKUP($B418,'24.08_ND'!$A$4833:$D$12369,2,0),IFERROR(VLOOKUP($B418,'03-CP'!$C$5:$H$4646,2,0),""))</f>
        <v>PINTURA COM TINTA ALQUÍDICA DE FUNDO (TIPO ZARCÃO) PULVERIZADA SOBRE SUPERFÍCIES METÁLICAS (EXCETO PERFIL) EXECUTADO EM OBRA (POR DEMÃO). AF_01/2020_PE</v>
      </c>
      <c r="E418" s="1387" t="str">
        <f>IFERROR(VLOOKUP($B418,'24.08_ND'!$A:$D,3,0),IFERROR(VLOOKUP($B418,'03-CP'!$C$5:$H$4646,3,0),""))</f>
        <v>M2</v>
      </c>
      <c r="F418" s="1571">
        <f>SUM(F414*0.35)</f>
        <v>29.644999999999992</v>
      </c>
      <c r="G418" s="1387"/>
      <c r="H418" s="1387"/>
      <c r="I418" s="1388"/>
      <c r="J418" s="1383" t="s">
        <v>16228</v>
      </c>
      <c r="K418" s="262"/>
      <c r="L418" s="1559" t="s">
        <v>16387</v>
      </c>
      <c r="M418" s="262"/>
      <c r="N418" s="262"/>
      <c r="O418" s="262"/>
      <c r="P418" s="262"/>
      <c r="Q418" s="262"/>
      <c r="R418" s="262"/>
      <c r="S418" s="262"/>
      <c r="T418" s="262"/>
      <c r="U418" s="262"/>
      <c r="V418" s="262"/>
      <c r="W418" s="262"/>
      <c r="X418" s="262"/>
      <c r="Y418" s="262"/>
      <c r="Z418" s="262"/>
    </row>
    <row r="419" spans="1:26" ht="38.25" outlineLevel="1">
      <c r="A419" s="1385" t="s">
        <v>13379</v>
      </c>
      <c r="B419" s="295">
        <v>100761</v>
      </c>
      <c r="C419" s="295" t="s">
        <v>14476</v>
      </c>
      <c r="D419" s="658" t="str">
        <f>IFERROR(VLOOKUP($B419,'24.08_ND'!$A$4833:$D$12369,2,0),IFERROR(VLOOKUP($B419,'03-CP'!$C$5:$H$4646,2,0),""))</f>
        <v>PINTURA COM TINTA ALQUÍDICA DE ACABAMENTO (ESMALTE SINTÉTICO FOSCO) PULVERIZADA SOBRE SUPERFÍCIES METÁLICAS (EXCETO PERFIL) EXECUTADO EM OBRA (02 DEMÃOS). AF_01/2020_PE</v>
      </c>
      <c r="E419" s="1318" t="str">
        <f>IFERROR(VLOOKUP($B419,'24.08_ND'!$A:$D,3,0),IFERROR(VLOOKUP($B419,'03-CP'!$C$5:$H$4646,3,0),""))</f>
        <v>M2</v>
      </c>
      <c r="F419" s="1571">
        <f>F418</f>
        <v>29.644999999999992</v>
      </c>
      <c r="G419" s="1387"/>
      <c r="H419" s="1387"/>
      <c r="I419" s="1388"/>
      <c r="J419" s="1383" t="s">
        <v>16228</v>
      </c>
      <c r="K419" s="262"/>
      <c r="L419" s="1559" t="s">
        <v>16387</v>
      </c>
      <c r="M419" s="262"/>
      <c r="N419" s="262"/>
      <c r="O419" s="262"/>
      <c r="P419" s="262"/>
      <c r="Q419" s="262"/>
      <c r="R419" s="262"/>
      <c r="S419" s="262"/>
      <c r="T419" s="262"/>
      <c r="U419" s="262"/>
      <c r="V419" s="262"/>
      <c r="W419" s="262"/>
      <c r="X419" s="262"/>
      <c r="Y419" s="262"/>
      <c r="Z419" s="262"/>
    </row>
    <row r="420" spans="1:26" ht="12.75" hidden="1" outlineLevel="1">
      <c r="A420" s="247"/>
      <c r="B420" s="386"/>
      <c r="C420" s="386"/>
      <c r="D420" s="253"/>
      <c r="E420" s="1244"/>
      <c r="F420" s="389"/>
      <c r="G420" s="1244"/>
      <c r="H420" s="1244"/>
      <c r="I420" s="1409"/>
      <c r="J420" s="1383" t="s">
        <v>16228</v>
      </c>
      <c r="K420" s="262"/>
      <c r="L420" s="386"/>
      <c r="M420" s="262"/>
      <c r="N420" s="262"/>
      <c r="O420" s="262"/>
      <c r="P420" s="262"/>
      <c r="Q420" s="262"/>
      <c r="R420" s="262"/>
      <c r="S420" s="262"/>
      <c r="T420" s="262"/>
      <c r="U420" s="262"/>
      <c r="V420" s="262"/>
      <c r="W420" s="262"/>
      <c r="X420" s="262"/>
      <c r="Y420" s="262"/>
      <c r="Z420" s="262"/>
    </row>
    <row r="421" spans="1:26" ht="25.5">
      <c r="A421" s="246" t="s">
        <v>13380</v>
      </c>
      <c r="B421" s="1378"/>
      <c r="C421" s="1378"/>
      <c r="D421" s="1379" t="s">
        <v>16301</v>
      </c>
      <c r="E421" s="1380"/>
      <c r="F421" s="1381"/>
      <c r="G421" s="1380"/>
      <c r="H421" s="1381"/>
      <c r="I421" s="1382"/>
      <c r="J421" s="1383" t="s">
        <v>16228</v>
      </c>
      <c r="K421" s="1384" t="e">
        <f>VLOOKUP(A421,'Medição '!$A:$G,10,0)</f>
        <v>#REF!</v>
      </c>
      <c r="L421" s="386"/>
      <c r="M421" s="262"/>
      <c r="N421" s="262"/>
      <c r="O421" s="262"/>
      <c r="P421" s="262"/>
      <c r="Q421" s="262"/>
      <c r="R421" s="262"/>
      <c r="S421" s="262"/>
      <c r="T421" s="262"/>
      <c r="U421" s="262"/>
      <c r="V421" s="262"/>
      <c r="W421" s="262"/>
      <c r="X421" s="262"/>
      <c r="Y421" s="262"/>
      <c r="Z421" s="262"/>
    </row>
    <row r="422" spans="1:26" ht="25.5" outlineLevel="1">
      <c r="A422" s="1385" t="s">
        <v>13381</v>
      </c>
      <c r="B422" s="295" t="s">
        <v>14923</v>
      </c>
      <c r="C422" s="295" t="s">
        <v>14472</v>
      </c>
      <c r="D422" s="296" t="str">
        <f>IFERROR(VLOOKUP($B422,'24.08_ND'!$A$4833:$D$12369,2,0),IFERROR(VLOOKUP($B422,'03-CP'!$C$5:$H$4646,2,0),""))</f>
        <v>PLACA BRAILLE PARA CORRIMÃO COM AS PALAVRAS "INICIO", "FIM", "TÉRREO"  EM AÇO INOX - FORNECIMENTO E INSTALAÇÃO</v>
      </c>
      <c r="E422" s="1387" t="str">
        <f>IFERROR(VLOOKUP($B422,'24.08_ND'!$A:$D,3,0),IFERROR(VLOOKUP($B422,'03-CP'!$C$5:$H$4646,3,0),""))</f>
        <v>UN</v>
      </c>
      <c r="F422" s="1571">
        <f>SUM(I424)</f>
        <v>8</v>
      </c>
      <c r="G422" s="1387"/>
      <c r="H422" s="1387"/>
      <c r="I422" s="1388"/>
      <c r="J422" s="1383"/>
      <c r="K422" s="262"/>
      <c r="L422" s="386"/>
      <c r="M422" s="262"/>
      <c r="N422" s="262"/>
      <c r="O422" s="262"/>
      <c r="P422" s="262"/>
      <c r="Q422" s="262"/>
      <c r="R422" s="262"/>
      <c r="S422" s="262"/>
      <c r="T422" s="262"/>
      <c r="U422" s="262"/>
      <c r="V422" s="262"/>
      <c r="W422" s="262"/>
      <c r="X422" s="262"/>
      <c r="Y422" s="262"/>
      <c r="Z422" s="262"/>
    </row>
    <row r="423" spans="1:26" ht="12.75" hidden="1" outlineLevel="1">
      <c r="A423" s="1401"/>
      <c r="B423" s="512"/>
      <c r="C423" s="512"/>
      <c r="D423" s="1390" t="s">
        <v>16404</v>
      </c>
      <c r="E423" s="1240" t="s">
        <v>16252</v>
      </c>
      <c r="F423" s="1425" t="s">
        <v>16232</v>
      </c>
      <c r="G423" s="1391" t="s">
        <v>16233</v>
      </c>
      <c r="H423" s="1240" t="s">
        <v>16234</v>
      </c>
      <c r="I423" s="1426" t="s">
        <v>12615</v>
      </c>
      <c r="J423" s="1383"/>
      <c r="K423" s="262"/>
      <c r="L423" s="386"/>
      <c r="M423" s="262"/>
      <c r="N423" s="262"/>
      <c r="O423" s="262"/>
      <c r="P423" s="262"/>
      <c r="Q423" s="262"/>
      <c r="R423" s="262"/>
      <c r="S423" s="262"/>
      <c r="T423" s="262"/>
      <c r="U423" s="262"/>
      <c r="V423" s="262"/>
      <c r="W423" s="262"/>
      <c r="X423" s="262"/>
      <c r="Y423" s="262"/>
      <c r="Z423" s="262"/>
    </row>
    <row r="424" spans="1:26" ht="12.75" hidden="1" outlineLevel="1">
      <c r="A424" s="247"/>
      <c r="B424" s="386"/>
      <c r="C424" s="386"/>
      <c r="D424" s="1422" t="s">
        <v>16409</v>
      </c>
      <c r="E424" s="1248"/>
      <c r="F424" s="1436"/>
      <c r="G424" s="1248"/>
      <c r="H424" s="1248">
        <v>8</v>
      </c>
      <c r="I424" s="1281">
        <f>H424</f>
        <v>8</v>
      </c>
      <c r="J424" s="1383"/>
      <c r="K424" s="262"/>
      <c r="L424" s="386"/>
      <c r="M424" s="262"/>
      <c r="N424" s="262"/>
      <c r="O424" s="262"/>
      <c r="P424" s="262"/>
      <c r="Q424" s="262"/>
      <c r="R424" s="262"/>
      <c r="S424" s="262"/>
      <c r="T424" s="262"/>
      <c r="U424" s="262"/>
      <c r="V424" s="262"/>
      <c r="W424" s="262"/>
      <c r="X424" s="262"/>
      <c r="Y424" s="262"/>
      <c r="Z424" s="262"/>
    </row>
    <row r="425" spans="1:26" ht="12.75" hidden="1" outlineLevel="1">
      <c r="A425" s="247"/>
      <c r="B425" s="386"/>
      <c r="C425" s="386"/>
      <c r="D425" s="253"/>
      <c r="E425" s="1244"/>
      <c r="F425" s="389"/>
      <c r="G425" s="1244"/>
      <c r="H425" s="1244"/>
      <c r="I425" s="1409"/>
      <c r="J425" s="1383"/>
      <c r="K425" s="262"/>
      <c r="L425" s="386"/>
      <c r="M425" s="262"/>
      <c r="N425" s="262"/>
      <c r="O425" s="262"/>
      <c r="P425" s="262"/>
      <c r="Q425" s="262"/>
      <c r="R425" s="262"/>
      <c r="S425" s="262"/>
      <c r="T425" s="262"/>
      <c r="U425" s="262"/>
      <c r="V425" s="262"/>
      <c r="W425" s="262"/>
      <c r="X425" s="262"/>
      <c r="Y425" s="262"/>
      <c r="Z425" s="262"/>
    </row>
    <row r="426" spans="1:26" ht="63.75" outlineLevel="1">
      <c r="A426" s="1385" t="s">
        <v>13382</v>
      </c>
      <c r="B426" s="295" t="s">
        <v>14926</v>
      </c>
      <c r="C426" s="295" t="s">
        <v>14472</v>
      </c>
      <c r="D426" s="296" t="str">
        <f>IFERROR(VLOOKUP($B426,'24.08_ND'!$A$4833:$D$12369,2,0),IFERROR(VLOOKUP($B426,'03-CP'!$C$5:$H$4646,2,0),""))</f>
        <v>CORRIMÃO AÉREO DUPLO (H=0,92M E 0,70M) + CORRIMÃO SUPERIOR, METÁLICO, FIXADO COM CHUMBADOR MECÂNICO, ACABAMENTO EM ZARCÃO E PINTURA COM TINTA ALQUÍDICA DE ACABAMENTO (ESMALTE SINTÉTICO FOSCO) PULVERIZADA SOBRE SUPERFÍCIES METÁLICAS, 02 DEMÃOS.</v>
      </c>
      <c r="E426" s="1387" t="str">
        <f>IFERROR(VLOOKUP($B426,'24.08_ND'!$A:$D,3,0),IFERROR(VLOOKUP($B426,'03-CP'!$C$5:$H$4646,3,0),""))</f>
        <v>M</v>
      </c>
      <c r="F426" s="1571">
        <f>SUM(I428)</f>
        <v>141.65</v>
      </c>
      <c r="G426" s="1387"/>
      <c r="H426" s="1387"/>
      <c r="I426" s="1388"/>
      <c r="J426" s="1383"/>
      <c r="K426" s="262"/>
      <c r="L426" s="1559" t="s">
        <v>16387</v>
      </c>
      <c r="M426" s="262"/>
      <c r="N426" s="262"/>
      <c r="O426" s="262"/>
      <c r="P426" s="262"/>
      <c r="Q426" s="262"/>
      <c r="R426" s="262"/>
      <c r="S426" s="262"/>
      <c r="T426" s="262"/>
      <c r="U426" s="262"/>
      <c r="V426" s="262"/>
      <c r="W426" s="262"/>
      <c r="X426" s="262"/>
      <c r="Y426" s="262"/>
      <c r="Z426" s="262"/>
    </row>
    <row r="427" spans="1:26" ht="12.75" hidden="1" outlineLevel="1">
      <c r="A427" s="450"/>
      <c r="B427" s="512"/>
      <c r="C427" s="512"/>
      <c r="D427" s="1390" t="s">
        <v>16404</v>
      </c>
      <c r="E427" s="1240" t="s">
        <v>16252</v>
      </c>
      <c r="F427" s="1425" t="s">
        <v>16232</v>
      </c>
      <c r="G427" s="1391" t="s">
        <v>16233</v>
      </c>
      <c r="H427" s="1240" t="s">
        <v>16234</v>
      </c>
      <c r="I427" s="1426" t="s">
        <v>12615</v>
      </c>
      <c r="J427" s="1383"/>
      <c r="K427" s="262"/>
      <c r="L427" s="386"/>
      <c r="M427" s="262"/>
      <c r="N427" s="262"/>
      <c r="O427" s="262"/>
      <c r="P427" s="262"/>
      <c r="Q427" s="262"/>
      <c r="R427" s="262"/>
      <c r="S427" s="262"/>
      <c r="T427" s="262"/>
      <c r="U427" s="262"/>
      <c r="V427" s="262"/>
      <c r="W427" s="262"/>
      <c r="X427" s="262"/>
      <c r="Y427" s="262"/>
      <c r="Z427" s="262"/>
    </row>
    <row r="428" spans="1:26" ht="12.75" hidden="1" outlineLevel="1">
      <c r="A428" s="450"/>
      <c r="B428" s="386"/>
      <c r="C428" s="386"/>
      <c r="D428" s="1422" t="s">
        <v>16409</v>
      </c>
      <c r="E428" s="1248">
        <v>141.65</v>
      </c>
      <c r="F428" s="1436"/>
      <c r="G428" s="1248"/>
      <c r="H428" s="1248"/>
      <c r="I428" s="1281">
        <f>E428</f>
        <v>141.65</v>
      </c>
      <c r="J428" s="1383"/>
      <c r="K428" s="262"/>
      <c r="L428" s="386"/>
      <c r="M428" s="262"/>
      <c r="N428" s="262"/>
      <c r="O428" s="262"/>
      <c r="P428" s="262"/>
      <c r="Q428" s="262"/>
      <c r="R428" s="262"/>
      <c r="S428" s="262"/>
      <c r="T428" s="262"/>
      <c r="U428" s="262"/>
      <c r="V428" s="262"/>
      <c r="W428" s="262"/>
      <c r="X428" s="262"/>
      <c r="Y428" s="262"/>
      <c r="Z428" s="262"/>
    </row>
    <row r="429" spans="1:26" ht="21.75" hidden="1" outlineLevel="1">
      <c r="A429" s="450"/>
      <c r="B429" s="3"/>
      <c r="C429" s="3"/>
      <c r="D429" s="38"/>
      <c r="E429" s="34"/>
      <c r="F429" s="1577"/>
      <c r="G429" s="642"/>
      <c r="H429" s="642"/>
      <c r="I429" s="1570"/>
      <c r="J429" s="1383"/>
      <c r="K429" s="262"/>
      <c r="L429" s="1578"/>
      <c r="M429" s="262"/>
      <c r="N429" s="262"/>
      <c r="O429" s="262"/>
      <c r="P429" s="262"/>
      <c r="Q429" s="262"/>
      <c r="R429" s="262"/>
      <c r="S429" s="262"/>
      <c r="T429" s="262"/>
      <c r="U429" s="262"/>
      <c r="V429" s="262"/>
      <c r="W429" s="262"/>
      <c r="X429" s="262"/>
      <c r="Y429" s="262"/>
      <c r="Z429" s="262"/>
    </row>
    <row r="430" spans="1:26" ht="21.75" outlineLevel="1">
      <c r="A430" s="247" t="s">
        <v>13383</v>
      </c>
      <c r="B430" s="3">
        <v>98504</v>
      </c>
      <c r="C430" s="3" t="s">
        <v>14476</v>
      </c>
      <c r="D430" s="1579" t="str">
        <f>IFERROR(VLOOKUP($B430,'24.08_ND'!$A:$D,2,0),IFERROR(VLOOKUP($B430,'03-CP'!$C$5:$H$2836,2,0),""))</f>
        <v>PLANTIO DE GRAMA BATATAIS EM PLACAS. AF_07/2024</v>
      </c>
      <c r="E430" s="1580" t="str">
        <f>IFERROR(VLOOKUP($B430,'24.08_ND'!$A:$D,3,0),IFERROR(VLOOKUP($B430,'03-CP'!$C$5:$H$2836,3,0),""))</f>
        <v>M2</v>
      </c>
      <c r="F430" s="1577">
        <f>10.39+73.25+36.61+166.3+64+40.78+84.83+41.23+73.29+21.16+31.08+22.47+100.89</f>
        <v>766.28</v>
      </c>
      <c r="G430" s="642"/>
      <c r="H430" s="642"/>
      <c r="I430" s="1570"/>
      <c r="J430" s="1383"/>
      <c r="K430" s="262"/>
      <c r="L430" s="1559" t="s">
        <v>16387</v>
      </c>
      <c r="M430" s="262"/>
      <c r="N430" s="262"/>
      <c r="O430" s="262"/>
      <c r="P430" s="262"/>
      <c r="Q430" s="262"/>
      <c r="R430" s="262"/>
      <c r="S430" s="262"/>
      <c r="T430" s="262"/>
      <c r="U430" s="262"/>
      <c r="V430" s="262"/>
      <c r="W430" s="262"/>
      <c r="X430" s="262"/>
      <c r="Y430" s="262"/>
      <c r="Z430" s="262"/>
    </row>
    <row r="431" spans="1:26" ht="27" outlineLevel="1">
      <c r="A431" s="247" t="s">
        <v>13384</v>
      </c>
      <c r="B431" s="3">
        <v>103946</v>
      </c>
      <c r="C431" s="3" t="s">
        <v>14476</v>
      </c>
      <c r="D431" s="1579" t="str">
        <f>IFERROR(VLOOKUP($B431,'24.08_ND'!$A:$D,2,0),IFERROR(VLOOKUP($B431,'03-CP'!$C$5:$H$2836,2,0),""))</f>
        <v>PLANTIO DE GRAMA ESMERALDA OU SÃO CARLOS OU CURITIBANA, EM PLACAS. AF_07/2024</v>
      </c>
      <c r="E431" s="1580" t="str">
        <f>IFERROR(VLOOKUP($B431,'24.08_ND'!$A:$D,3,0),IFERROR(VLOOKUP($B431,'03-CP'!$C$5:$H$2836,3,0),""))</f>
        <v>M2</v>
      </c>
      <c r="F431" s="1577">
        <f>206.74+472.04+160.05</f>
        <v>838.82999999999993</v>
      </c>
      <c r="G431" s="642"/>
      <c r="H431" s="642"/>
      <c r="I431" s="1570"/>
      <c r="J431" s="1383" t="s">
        <v>16228</v>
      </c>
      <c r="K431" s="262"/>
      <c r="L431" s="1559" t="s">
        <v>16387</v>
      </c>
      <c r="M431" s="262"/>
      <c r="N431" s="262"/>
      <c r="O431" s="262"/>
      <c r="P431" s="262"/>
      <c r="Q431" s="262"/>
      <c r="R431" s="262"/>
      <c r="S431" s="262"/>
      <c r="T431" s="262"/>
      <c r="U431" s="262"/>
      <c r="V431" s="262"/>
      <c r="W431" s="262"/>
      <c r="X431" s="262"/>
      <c r="Y431" s="262"/>
      <c r="Z431" s="262"/>
    </row>
    <row r="432" spans="1:26" ht="21.75" outlineLevel="1">
      <c r="A432" s="1385" t="s">
        <v>13385</v>
      </c>
      <c r="B432" s="384">
        <v>98505</v>
      </c>
      <c r="C432" s="384" t="s">
        <v>14476</v>
      </c>
      <c r="D432" s="1581" t="str">
        <f>IFERROR(VLOOKUP($B432,'24.08_ND'!$A:$D,2,0),IFERROR(VLOOKUP($B432,'03-CP'!$C$5:$H$2836,2,0),""))</f>
        <v>PLANTIO DE FORRAÇÃO. AF_07/2024</v>
      </c>
      <c r="E432" s="1582" t="str">
        <f>IFERROR(VLOOKUP($B432,'24.08_ND'!$A:$D,3,0),IFERROR(VLOOKUP($B432,'03-CP'!$C$5:$H$2836,3,0),""))</f>
        <v>M2</v>
      </c>
      <c r="F432" s="1583">
        <f>SUM(I434)</f>
        <v>22.17</v>
      </c>
      <c r="G432" s="1453"/>
      <c r="H432" s="1453"/>
      <c r="I432" s="1454"/>
      <c r="J432" s="1383" t="s">
        <v>16228</v>
      </c>
      <c r="K432" s="262"/>
      <c r="L432" s="1559" t="s">
        <v>16387</v>
      </c>
      <c r="M432" s="262"/>
      <c r="N432" s="262"/>
      <c r="O432" s="262"/>
      <c r="P432" s="262"/>
      <c r="Q432" s="262"/>
      <c r="R432" s="262"/>
      <c r="S432" s="262"/>
      <c r="T432" s="262"/>
      <c r="U432" s="262"/>
      <c r="V432" s="262"/>
      <c r="W432" s="262"/>
      <c r="X432" s="262"/>
      <c r="Y432" s="262"/>
      <c r="Z432" s="262"/>
    </row>
    <row r="433" spans="1:26" ht="12.75" hidden="1" outlineLevel="1">
      <c r="A433" s="450"/>
      <c r="B433" s="416"/>
      <c r="C433" s="416"/>
      <c r="D433" s="1455" t="s">
        <v>16410</v>
      </c>
      <c r="E433" s="1456" t="s">
        <v>16252</v>
      </c>
      <c r="F433" s="1457" t="s">
        <v>16232</v>
      </c>
      <c r="G433" s="1456" t="s">
        <v>16233</v>
      </c>
      <c r="H433" s="1456" t="s">
        <v>16234</v>
      </c>
      <c r="I433" s="1458" t="s">
        <v>12615</v>
      </c>
      <c r="J433" s="1383" t="s">
        <v>16228</v>
      </c>
      <c r="K433" s="262"/>
      <c r="L433" s="386"/>
      <c r="M433" s="262"/>
      <c r="N433" s="262"/>
      <c r="O433" s="262"/>
      <c r="P433" s="262"/>
      <c r="Q433" s="262"/>
      <c r="R433" s="262"/>
      <c r="S433" s="262"/>
      <c r="T433" s="262"/>
      <c r="U433" s="262"/>
      <c r="V433" s="262"/>
      <c r="W433" s="262"/>
      <c r="X433" s="262"/>
      <c r="Y433" s="262"/>
      <c r="Z433" s="262"/>
    </row>
    <row r="434" spans="1:26" ht="12.75" hidden="1" outlineLevel="1">
      <c r="A434" s="450"/>
      <c r="B434" s="416"/>
      <c r="C434" s="416"/>
      <c r="D434" s="1459" t="s">
        <v>16411</v>
      </c>
      <c r="E434" s="1465"/>
      <c r="F434" s="1464"/>
      <c r="G434" s="1462">
        <f>4.74+3.86+2.44+2.46+3.89+4.78</f>
        <v>22.17</v>
      </c>
      <c r="H434" s="1464"/>
      <c r="I434" s="1463">
        <f>G434</f>
        <v>22.17</v>
      </c>
      <c r="J434" s="1383" t="s">
        <v>16228</v>
      </c>
      <c r="K434" s="262"/>
      <c r="L434" s="386"/>
      <c r="M434" s="262"/>
      <c r="N434" s="262"/>
      <c r="O434" s="262"/>
      <c r="P434" s="262"/>
      <c r="Q434" s="262"/>
      <c r="R434" s="262"/>
      <c r="S434" s="262"/>
      <c r="T434" s="262"/>
      <c r="U434" s="262"/>
      <c r="V434" s="262"/>
      <c r="W434" s="262"/>
      <c r="X434" s="262"/>
      <c r="Y434" s="262"/>
      <c r="Z434" s="262"/>
    </row>
    <row r="435" spans="1:26" ht="21.75" outlineLevel="1">
      <c r="A435" s="1385" t="s">
        <v>13386</v>
      </c>
      <c r="B435" s="384" t="s">
        <v>15083</v>
      </c>
      <c r="C435" s="384" t="s">
        <v>14472</v>
      </c>
      <c r="D435" s="1581" t="str">
        <f>IFERROR(VLOOKUP($B435,'24.08_ND'!$A:$D,2,0),IFERROR(VLOOKUP($B435,'03-CP'!$C$5:$H$2836,2,0),""))</f>
        <v>PLANTIO DE GRAMA PRETA</v>
      </c>
      <c r="E435" s="1582" t="str">
        <f>IFERROR(VLOOKUP($B435,'24.08_ND'!$A:$D,3,0),IFERROR(VLOOKUP($B435,'03-CP'!$C$5:$H$2836,3,0),""))</f>
        <v>M2</v>
      </c>
      <c r="F435" s="1584">
        <f>12.69+12.69+9.74</f>
        <v>35.119999999999997</v>
      </c>
      <c r="G435" s="1453"/>
      <c r="H435" s="1453"/>
      <c r="I435" s="1454"/>
      <c r="J435" s="1383" t="s">
        <v>16228</v>
      </c>
      <c r="K435" s="262"/>
      <c r="L435" s="1559" t="s">
        <v>16387</v>
      </c>
      <c r="M435" s="262"/>
      <c r="N435" s="262"/>
      <c r="O435" s="262"/>
      <c r="P435" s="262"/>
      <c r="Q435" s="262"/>
      <c r="R435" s="262"/>
      <c r="S435" s="262"/>
      <c r="T435" s="262"/>
      <c r="U435" s="262"/>
      <c r="V435" s="262"/>
      <c r="W435" s="262"/>
      <c r="X435" s="262"/>
      <c r="Y435" s="262"/>
      <c r="Z435" s="262"/>
    </row>
    <row r="436" spans="1:26" ht="27" outlineLevel="1">
      <c r="A436" s="1385" t="s">
        <v>13387</v>
      </c>
      <c r="B436" s="384">
        <v>98511</v>
      </c>
      <c r="C436" s="384" t="s">
        <v>14476</v>
      </c>
      <c r="D436" s="1581" t="str">
        <f>IFERROR(VLOOKUP($B436,'24.08_ND'!$A:$D,2,0),IFERROR(VLOOKUP($B436,'03-CP'!$C$5:$H$2836,2,0),""))</f>
        <v>PLANTIO DE ÁRVORE ORNAMENTAL COM ALTURA DE MUDA MAIOR QUE 2,00 M E MENOR OU IGUAL A 4,00 M . AF_07/2024</v>
      </c>
      <c r="E436" s="1582" t="str">
        <f>IFERROR(VLOOKUP($B436,'24.08_ND'!$A:$D,3,0),IFERROR(VLOOKUP($B436,'03-CP'!$C$5:$H$2836,3,0),""))</f>
        <v>UN</v>
      </c>
      <c r="F436" s="1584">
        <f>SUM(I438)</f>
        <v>16</v>
      </c>
      <c r="G436" s="1453"/>
      <c r="H436" s="1453"/>
      <c r="I436" s="1454"/>
      <c r="J436" s="1383" t="s">
        <v>16228</v>
      </c>
      <c r="K436" s="262"/>
      <c r="L436" s="1559" t="s">
        <v>16387</v>
      </c>
      <c r="M436" s="262"/>
      <c r="N436" s="262"/>
      <c r="O436" s="262"/>
      <c r="P436" s="262"/>
      <c r="Q436" s="262"/>
      <c r="R436" s="262"/>
      <c r="S436" s="262"/>
      <c r="T436" s="262"/>
      <c r="U436" s="262"/>
      <c r="V436" s="262"/>
      <c r="W436" s="262"/>
      <c r="X436" s="262"/>
      <c r="Y436" s="262"/>
      <c r="Z436" s="262"/>
    </row>
    <row r="437" spans="1:26" ht="12.75" hidden="1" outlineLevel="1">
      <c r="A437" s="450"/>
      <c r="B437" s="416"/>
      <c r="C437" s="416"/>
      <c r="D437" s="1455" t="s">
        <v>16412</v>
      </c>
      <c r="E437" s="1456" t="s">
        <v>16252</v>
      </c>
      <c r="F437" s="1457" t="s">
        <v>16232</v>
      </c>
      <c r="G437" s="1456" t="s">
        <v>16233</v>
      </c>
      <c r="H437" s="1456" t="s">
        <v>16234</v>
      </c>
      <c r="I437" s="1458" t="s">
        <v>12615</v>
      </c>
      <c r="J437" s="1383" t="s">
        <v>16228</v>
      </c>
      <c r="K437" s="262"/>
      <c r="L437" s="386"/>
      <c r="M437" s="262"/>
      <c r="N437" s="262"/>
      <c r="O437" s="262"/>
      <c r="P437" s="262"/>
      <c r="Q437" s="262"/>
      <c r="R437" s="262"/>
      <c r="S437" s="262"/>
      <c r="T437" s="262"/>
      <c r="U437" s="262"/>
      <c r="V437" s="262"/>
      <c r="W437" s="262"/>
      <c r="X437" s="262"/>
      <c r="Y437" s="262"/>
      <c r="Z437" s="262"/>
    </row>
    <row r="438" spans="1:26" ht="12.75" hidden="1" outlineLevel="1">
      <c r="A438" s="450"/>
      <c r="B438" s="416"/>
      <c r="C438" s="416"/>
      <c r="D438" s="1459" t="s">
        <v>16413</v>
      </c>
      <c r="E438" s="1465"/>
      <c r="F438" s="1464"/>
      <c r="G438" s="1464"/>
      <c r="H438" s="1462">
        <v>16</v>
      </c>
      <c r="I438" s="1463">
        <f>H438</f>
        <v>16</v>
      </c>
      <c r="J438" s="1383" t="s">
        <v>16228</v>
      </c>
      <c r="K438" s="262"/>
      <c r="L438" s="386"/>
      <c r="M438" s="262"/>
      <c r="N438" s="262"/>
      <c r="O438" s="262"/>
      <c r="P438" s="262"/>
      <c r="Q438" s="262"/>
      <c r="R438" s="262"/>
      <c r="S438" s="262"/>
      <c r="T438" s="262"/>
      <c r="U438" s="262"/>
      <c r="V438" s="262"/>
      <c r="W438" s="262"/>
      <c r="X438" s="262"/>
      <c r="Y438" s="262"/>
      <c r="Z438" s="262"/>
    </row>
    <row r="439" spans="1:26" ht="27" outlineLevel="1">
      <c r="A439" s="1385" t="s">
        <v>13388</v>
      </c>
      <c r="B439" s="384">
        <v>98510</v>
      </c>
      <c r="C439" s="384" t="s">
        <v>14476</v>
      </c>
      <c r="D439" s="1581" t="str">
        <f>IFERROR(VLOOKUP($B439,'24.08_ND'!$A:$D,2,0),IFERROR(VLOOKUP($B439,'03-CP'!$C$5:$H$2836,2,0),""))</f>
        <v>PLANTIO DE ÁRVORE ORNAMENTAL COM ALTURA DE MUDA MENOR OU IGUAL A 2,00 M . AF_07/2024</v>
      </c>
      <c r="E439" s="1582" t="str">
        <f>IFERROR(VLOOKUP($B439,'24.08_ND'!$A:$D,3,0),IFERROR(VLOOKUP($B439,'03-CP'!$C$5:$H$2836,3,0),""))</f>
        <v>UN</v>
      </c>
      <c r="F439" s="1584">
        <f>SUM(I441)</f>
        <v>40</v>
      </c>
      <c r="G439" s="1453"/>
      <c r="H439" s="1453"/>
      <c r="I439" s="1454"/>
      <c r="J439" s="1383" t="s">
        <v>16228</v>
      </c>
      <c r="K439" s="262"/>
      <c r="L439" s="1559" t="s">
        <v>16387</v>
      </c>
      <c r="M439" s="262"/>
      <c r="N439" s="262"/>
      <c r="O439" s="262"/>
      <c r="P439" s="262"/>
      <c r="Q439" s="262"/>
      <c r="R439" s="262"/>
      <c r="S439" s="262"/>
      <c r="T439" s="262"/>
      <c r="U439" s="262"/>
      <c r="V439" s="262"/>
      <c r="W439" s="262"/>
      <c r="X439" s="262"/>
      <c r="Y439" s="262"/>
      <c r="Z439" s="262"/>
    </row>
    <row r="440" spans="1:26" ht="12.75" hidden="1" outlineLevel="1">
      <c r="A440" s="1585"/>
      <c r="B440" s="416"/>
      <c r="C440" s="416"/>
      <c r="D440" s="1455" t="s">
        <v>16414</v>
      </c>
      <c r="E440" s="1456" t="s">
        <v>16252</v>
      </c>
      <c r="F440" s="1457" t="s">
        <v>16232</v>
      </c>
      <c r="G440" s="1456" t="s">
        <v>16233</v>
      </c>
      <c r="H440" s="1456" t="s">
        <v>16234</v>
      </c>
      <c r="I440" s="1458" t="s">
        <v>12615</v>
      </c>
      <c r="J440" s="1383" t="s">
        <v>16228</v>
      </c>
      <c r="K440" s="262"/>
      <c r="L440" s="386"/>
      <c r="M440" s="262"/>
      <c r="N440" s="262"/>
      <c r="O440" s="262"/>
      <c r="P440" s="262"/>
      <c r="Q440" s="262"/>
      <c r="R440" s="262"/>
      <c r="S440" s="262"/>
      <c r="T440" s="262"/>
      <c r="U440" s="262"/>
      <c r="V440" s="262"/>
      <c r="W440" s="262"/>
      <c r="X440" s="262"/>
      <c r="Y440" s="262"/>
      <c r="Z440" s="262"/>
    </row>
    <row r="441" spans="1:26" ht="12.75" hidden="1" outlineLevel="1">
      <c r="A441" s="1585"/>
      <c r="B441" s="416"/>
      <c r="C441" s="416"/>
      <c r="D441" s="1459" t="s">
        <v>16415</v>
      </c>
      <c r="E441" s="1465"/>
      <c r="F441" s="1464"/>
      <c r="G441" s="1464"/>
      <c r="H441" s="1462">
        <v>40</v>
      </c>
      <c r="I441" s="1463">
        <f>H441</f>
        <v>40</v>
      </c>
      <c r="J441" s="1383"/>
      <c r="K441" s="262"/>
      <c r="L441" s="386"/>
      <c r="M441" s="262"/>
      <c r="N441" s="262"/>
      <c r="O441" s="262"/>
      <c r="P441" s="262"/>
      <c r="Q441" s="262"/>
      <c r="R441" s="262"/>
      <c r="S441" s="262"/>
      <c r="T441" s="262"/>
      <c r="U441" s="262"/>
      <c r="V441" s="262"/>
      <c r="W441" s="262"/>
      <c r="X441" s="262"/>
      <c r="Y441" s="262"/>
      <c r="Z441" s="262"/>
    </row>
    <row r="442" spans="1:26" ht="21.75" outlineLevel="1">
      <c r="A442" s="1385" t="s">
        <v>13389</v>
      </c>
      <c r="B442" s="384">
        <v>98509</v>
      </c>
      <c r="C442" s="384" t="s">
        <v>14476</v>
      </c>
      <c r="D442" s="1581" t="str">
        <f>IFERROR(VLOOKUP($B442,'24.08_ND'!$A:$D,2,0),IFERROR(VLOOKUP($B442,'03-CP'!$C$5:$H$2836,2,0),""))</f>
        <v>PLANTIO DE ARBUSTO OU  CERCA VIVA. AF_07/2024</v>
      </c>
      <c r="E442" s="1582" t="str">
        <f>IFERROR(VLOOKUP($B442,'24.08_ND'!$A:$D,3,0),IFERROR(VLOOKUP($B442,'03-CP'!$C$5:$H$2836,3,0),""))</f>
        <v>UN</v>
      </c>
      <c r="F442" s="1584">
        <f>SUM(I444)</f>
        <v>108</v>
      </c>
      <c r="G442" s="1453"/>
      <c r="H442" s="1453"/>
      <c r="I442" s="1454"/>
      <c r="J442" s="1383" t="s">
        <v>16228</v>
      </c>
      <c r="K442" s="262"/>
      <c r="L442" s="1559" t="s">
        <v>16387</v>
      </c>
      <c r="M442" s="262"/>
      <c r="N442" s="262"/>
      <c r="O442" s="262"/>
      <c r="P442" s="262"/>
      <c r="Q442" s="262"/>
      <c r="R442" s="262"/>
      <c r="S442" s="262"/>
      <c r="T442" s="262"/>
      <c r="U442" s="262"/>
      <c r="V442" s="262"/>
      <c r="W442" s="262"/>
      <c r="X442" s="262"/>
      <c r="Y442" s="262"/>
      <c r="Z442" s="262"/>
    </row>
    <row r="443" spans="1:26" ht="25.5" hidden="1" outlineLevel="1">
      <c r="A443" s="450"/>
      <c r="B443" s="416"/>
      <c r="C443" s="416"/>
      <c r="D443" s="1455" t="s">
        <v>16416</v>
      </c>
      <c r="E443" s="1456" t="s">
        <v>16252</v>
      </c>
      <c r="F443" s="1457" t="s">
        <v>16232</v>
      </c>
      <c r="G443" s="1456" t="s">
        <v>16233</v>
      </c>
      <c r="H443" s="1456" t="s">
        <v>16234</v>
      </c>
      <c r="I443" s="1458" t="s">
        <v>12615</v>
      </c>
      <c r="J443" s="1383" t="s">
        <v>16228</v>
      </c>
      <c r="K443" s="262"/>
      <c r="L443" s="386"/>
      <c r="M443" s="262"/>
      <c r="N443" s="262"/>
      <c r="O443" s="262"/>
      <c r="P443" s="262"/>
      <c r="Q443" s="262"/>
      <c r="R443" s="262"/>
      <c r="S443" s="262"/>
      <c r="T443" s="262"/>
      <c r="U443" s="262"/>
      <c r="V443" s="262"/>
      <c r="W443" s="262"/>
      <c r="X443" s="262"/>
      <c r="Y443" s="262"/>
      <c r="Z443" s="262"/>
    </row>
    <row r="444" spans="1:26" ht="12.75" hidden="1" outlineLevel="1">
      <c r="A444" s="450"/>
      <c r="B444" s="416"/>
      <c r="C444" s="416"/>
      <c r="D444" s="1459" t="s">
        <v>16417</v>
      </c>
      <c r="E444" s="1465"/>
      <c r="F444" s="1464"/>
      <c r="G444" s="1464"/>
      <c r="H444" s="1462">
        <v>108</v>
      </c>
      <c r="I444" s="1463">
        <f>H444</f>
        <v>108</v>
      </c>
      <c r="J444" s="1383"/>
      <c r="K444" s="262"/>
      <c r="L444" s="386"/>
      <c r="M444" s="262"/>
      <c r="N444" s="262"/>
      <c r="O444" s="262"/>
      <c r="P444" s="262"/>
      <c r="Q444" s="262"/>
      <c r="R444" s="262"/>
      <c r="S444" s="262"/>
      <c r="T444" s="262"/>
      <c r="U444" s="262"/>
      <c r="V444" s="262"/>
      <c r="W444" s="262"/>
      <c r="X444" s="262"/>
      <c r="Y444" s="262"/>
      <c r="Z444" s="262"/>
    </row>
    <row r="445" spans="1:26" ht="21.75" outlineLevel="1">
      <c r="A445" s="247" t="s">
        <v>13390</v>
      </c>
      <c r="B445" s="3" t="s">
        <v>15086</v>
      </c>
      <c r="C445" s="3" t="s">
        <v>14472</v>
      </c>
      <c r="D445" s="1579" t="str">
        <f>IFERROR(VLOOKUP($B445,'24.08_ND'!$A:$D,2,0),IFERROR(VLOOKUP($B445,'03-CP'!$C$5:$H$2836,2,0),""))</f>
        <v>PLANTIO DE ARBUSTO OU CERCA VIVA (FILODENDRO XANADU)</v>
      </c>
      <c r="E445" s="1580" t="str">
        <f>IFERROR(VLOOKUP($B445,'24.08_ND'!$A:$D,3,0),IFERROR(VLOOKUP($B445,'03-CP'!$C$5:$H$2836,3,0),""))</f>
        <v>UN</v>
      </c>
      <c r="F445" s="1577">
        <v>168</v>
      </c>
      <c r="G445" s="642"/>
      <c r="H445" s="642"/>
      <c r="I445" s="1570"/>
      <c r="J445" s="1441" t="s">
        <v>16228</v>
      </c>
      <c r="K445" s="262"/>
      <c r="L445" s="1559" t="s">
        <v>16387</v>
      </c>
      <c r="M445" s="262"/>
      <c r="N445" s="262"/>
      <c r="O445" s="262"/>
      <c r="P445" s="262"/>
      <c r="Q445" s="262"/>
      <c r="R445" s="262"/>
      <c r="S445" s="262"/>
      <c r="T445" s="262"/>
      <c r="U445" s="262"/>
      <c r="V445" s="262"/>
      <c r="W445" s="262"/>
      <c r="X445" s="262"/>
      <c r="Y445" s="262"/>
      <c r="Z445" s="262"/>
    </row>
    <row r="446" spans="1:26" ht="21.75" outlineLevel="1">
      <c r="A446" s="247" t="s">
        <v>13391</v>
      </c>
      <c r="B446" s="3" t="s">
        <v>15089</v>
      </c>
      <c r="C446" s="3" t="s">
        <v>14472</v>
      </c>
      <c r="D446" s="1579" t="str">
        <f>IFERROR(VLOOKUP($B446,'24.08_ND'!$A:$D,2,0),IFERROR(VLOOKUP($B446,'03-CP'!$C$5:$H$2836,2,0),""))</f>
        <v>PLANTIO DE ARBUSTO OU CERCA VIVA (FLOR-DE-CORAL)</v>
      </c>
      <c r="E446" s="1580" t="str">
        <f>IFERROR(VLOOKUP($B446,'24.08_ND'!$A:$D,3,0),IFERROR(VLOOKUP($B446,'03-CP'!$C$5:$H$2836,3,0),""))</f>
        <v>UN</v>
      </c>
      <c r="F446" s="1577">
        <v>83</v>
      </c>
      <c r="G446" s="642"/>
      <c r="H446" s="642"/>
      <c r="I446" s="1570"/>
      <c r="J446" s="1441" t="s">
        <v>16228</v>
      </c>
      <c r="K446" s="262"/>
      <c r="L446" s="1559" t="s">
        <v>16387</v>
      </c>
      <c r="M446" s="262"/>
      <c r="N446" s="262"/>
      <c r="O446" s="262"/>
      <c r="P446" s="262"/>
      <c r="Q446" s="262"/>
      <c r="R446" s="262"/>
      <c r="S446" s="262"/>
      <c r="T446" s="262"/>
      <c r="U446" s="262"/>
      <c r="V446" s="262"/>
      <c r="W446" s="262"/>
      <c r="X446" s="262"/>
      <c r="Y446" s="262"/>
      <c r="Z446" s="262"/>
    </row>
    <row r="447" spans="1:26" ht="21.75" outlineLevel="1">
      <c r="A447" s="247" t="s">
        <v>13392</v>
      </c>
      <c r="B447" s="3" t="s">
        <v>15091</v>
      </c>
      <c r="C447" s="3" t="s">
        <v>14472</v>
      </c>
      <c r="D447" s="1579" t="str">
        <f>IFERROR(VLOOKUP($B447,'24.08_ND'!$A:$D,2,0),IFERROR(VLOOKUP($B447,'03-CP'!$C$5:$H$2836,2,0),""))</f>
        <v>PLANTIO DE ARBUSTO OU CERCA VIVA (CLÚSIA)</v>
      </c>
      <c r="E447" s="1580" t="str">
        <f>IFERROR(VLOOKUP($B447,'24.08_ND'!$A:$D,3,0),IFERROR(VLOOKUP($B447,'03-CP'!$C$5:$H$2836,3,0),""))</f>
        <v>UN</v>
      </c>
      <c r="F447" s="1577">
        <v>84</v>
      </c>
      <c r="G447" s="642"/>
      <c r="H447" s="642"/>
      <c r="I447" s="1570"/>
      <c r="J447" s="1441" t="s">
        <v>16228</v>
      </c>
      <c r="K447" s="262"/>
      <c r="L447" s="1559" t="s">
        <v>16387</v>
      </c>
      <c r="M447" s="262"/>
      <c r="N447" s="262"/>
      <c r="O447" s="262"/>
      <c r="P447" s="262"/>
      <c r="Q447" s="262"/>
      <c r="R447" s="262"/>
      <c r="S447" s="262"/>
      <c r="T447" s="262"/>
      <c r="U447" s="262"/>
      <c r="V447" s="262"/>
      <c r="W447" s="262"/>
      <c r="X447" s="262"/>
      <c r="Y447" s="262"/>
      <c r="Z447" s="262"/>
    </row>
    <row r="448" spans="1:26" ht="21.75" outlineLevel="1">
      <c r="A448" s="247" t="s">
        <v>13393</v>
      </c>
      <c r="B448" s="3" t="s">
        <v>15095</v>
      </c>
      <c r="C448" s="3" t="s">
        <v>14472</v>
      </c>
      <c r="D448" s="1579" t="str">
        <f>IFERROR(VLOOKUP($B448,'24.08_ND'!$A:$D,2,0),IFERROR(VLOOKUP($B448,'03-CP'!$C$5:$H$2836,2,0),""))</f>
        <v>PLANTIO DE ARBUSTO OU CERCA VIVA (DIONELLA TASMANICA)</v>
      </c>
      <c r="E448" s="1580" t="str">
        <f>IFERROR(VLOOKUP($B448,'24.08_ND'!$A:$D,3,0),IFERROR(VLOOKUP($B448,'03-CP'!$C$5:$H$2836,3,0),""))</f>
        <v>UN</v>
      </c>
      <c r="F448" s="1577">
        <v>248</v>
      </c>
      <c r="G448" s="642"/>
      <c r="H448" s="642"/>
      <c r="I448" s="1570"/>
      <c r="J448" s="1441" t="s">
        <v>16228</v>
      </c>
      <c r="K448" s="262"/>
      <c r="L448" s="1559" t="s">
        <v>16387</v>
      </c>
      <c r="M448" s="262"/>
      <c r="N448" s="262"/>
      <c r="O448" s="262"/>
      <c r="P448" s="262"/>
      <c r="Q448" s="262"/>
      <c r="R448" s="262"/>
      <c r="S448" s="262"/>
      <c r="T448" s="262"/>
      <c r="U448" s="262"/>
      <c r="V448" s="262"/>
      <c r="W448" s="262"/>
      <c r="X448" s="262"/>
      <c r="Y448" s="262"/>
      <c r="Z448" s="262"/>
    </row>
    <row r="449" spans="1:26" ht="21.75" outlineLevel="1">
      <c r="A449" s="247" t="s">
        <v>13394</v>
      </c>
      <c r="B449" s="3" t="s">
        <v>15097</v>
      </c>
      <c r="C449" s="3" t="s">
        <v>14472</v>
      </c>
      <c r="D449" s="1579" t="str">
        <f>IFERROR(VLOOKUP($B449,'24.08_ND'!$A:$D,2,0),IFERROR(VLOOKUP($B449,'03-CP'!$C$5:$H$2836,2,0),""))</f>
        <v>TERRA VEGETAL - FORNECIMENTO E ESPALHAMENTO (E= 5 CM)</v>
      </c>
      <c r="E449" s="1580" t="str">
        <f>IFERROR(VLOOKUP($B449,'24.08_ND'!$A:$D,3,0),IFERROR(VLOOKUP($B449,'03-CP'!$C$5:$H$2836,3,0),""))</f>
        <v>M3</v>
      </c>
      <c r="F449" s="1577">
        <v>20</v>
      </c>
      <c r="G449" s="642"/>
      <c r="H449" s="642"/>
      <c r="I449" s="1570"/>
      <c r="J449" s="1441" t="s">
        <v>16228</v>
      </c>
      <c r="K449" s="262"/>
      <c r="L449" s="1559" t="s">
        <v>16387</v>
      </c>
      <c r="M449" s="262"/>
      <c r="N449" s="262"/>
      <c r="O449" s="262"/>
      <c r="P449" s="262"/>
      <c r="Q449" s="262"/>
      <c r="R449" s="262"/>
      <c r="S449" s="262"/>
      <c r="T449" s="262"/>
      <c r="U449" s="262"/>
      <c r="V449" s="262"/>
      <c r="W449" s="262"/>
      <c r="X449" s="262"/>
      <c r="Y449" s="262"/>
      <c r="Z449" s="262"/>
    </row>
    <row r="450" spans="1:26" ht="21.75" outlineLevel="1">
      <c r="A450" s="247" t="s">
        <v>13395</v>
      </c>
      <c r="B450" s="3" t="s">
        <v>15099</v>
      </c>
      <c r="C450" s="3" t="s">
        <v>14472</v>
      </c>
      <c r="D450" s="1579" t="str">
        <f>IFERROR(VLOOKUP($B450,'24.08_ND'!$A:$D,2,0),IFERROR(VLOOKUP($B450,'03-CP'!$C$5:$H$2836,2,0),""))</f>
        <v>PLANTIO DE PALMEIRA ( PALMEIRA FÊNIX DUPLA ATÉ 1,5 M )</v>
      </c>
      <c r="E450" s="1580" t="str">
        <f>IFERROR(VLOOKUP($B450,'24.08_ND'!$A:$D,3,0),IFERROR(VLOOKUP($B450,'03-CP'!$C$5:$H$2836,3,0),""))</f>
        <v>UN</v>
      </c>
      <c r="F450" s="1577">
        <v>32</v>
      </c>
      <c r="G450" s="642"/>
      <c r="H450" s="642"/>
      <c r="I450" s="1570"/>
      <c r="J450" s="1441"/>
      <c r="K450" s="262"/>
      <c r="L450" s="1559" t="s">
        <v>16387</v>
      </c>
      <c r="M450" s="262"/>
      <c r="N450" s="262"/>
      <c r="O450" s="262"/>
      <c r="P450" s="262"/>
      <c r="Q450" s="262"/>
      <c r="R450" s="262"/>
      <c r="S450" s="262"/>
      <c r="T450" s="262"/>
      <c r="U450" s="262"/>
      <c r="V450" s="262"/>
      <c r="W450" s="262"/>
      <c r="X450" s="262"/>
      <c r="Y450" s="262"/>
      <c r="Z450" s="262"/>
    </row>
    <row r="451" spans="1:26" ht="21.75" outlineLevel="1">
      <c r="A451" s="247" t="s">
        <v>13396</v>
      </c>
      <c r="B451" s="3" t="s">
        <v>15102</v>
      </c>
      <c r="C451" s="3" t="s">
        <v>14472</v>
      </c>
      <c r="D451" s="1579" t="str">
        <f>IFERROR(VLOOKUP($B451,'24.08_ND'!$A:$D,2,0),IFERROR(VLOOKUP($B451,'03-CP'!$C$5:$H$2836,2,0),""))</f>
        <v>PLANTIO DE PALMEIRA ( PALMEIRA CARPENTÁRIA 1,5 A 2,5 M  )</v>
      </c>
      <c r="E451" s="1580" t="str">
        <f>IFERROR(VLOOKUP($B451,'24.08_ND'!$A:$D,3,0),IFERROR(VLOOKUP($B451,'03-CP'!$C$5:$H$2836,3,0),""))</f>
        <v>UN</v>
      </c>
      <c r="F451" s="1577">
        <v>28</v>
      </c>
      <c r="G451" s="642"/>
      <c r="H451" s="642"/>
      <c r="I451" s="1570"/>
      <c r="J451" s="1441"/>
      <c r="K451" s="262"/>
      <c r="L451" s="1559" t="s">
        <v>16387</v>
      </c>
      <c r="M451" s="262"/>
      <c r="N451" s="262"/>
      <c r="O451" s="262"/>
      <c r="P451" s="262"/>
      <c r="Q451" s="262"/>
      <c r="R451" s="262"/>
      <c r="S451" s="262"/>
      <c r="T451" s="262"/>
      <c r="U451" s="262"/>
      <c r="V451" s="262"/>
      <c r="W451" s="262"/>
      <c r="X451" s="262"/>
      <c r="Y451" s="262"/>
      <c r="Z451" s="262"/>
    </row>
    <row r="452" spans="1:26" ht="21.75" outlineLevel="1">
      <c r="A452" s="247" t="s">
        <v>13397</v>
      </c>
      <c r="B452" s="3" t="s">
        <v>15105</v>
      </c>
      <c r="C452" s="3" t="s">
        <v>14472</v>
      </c>
      <c r="D452" s="1579" t="str">
        <f>IFERROR(VLOOKUP($B452,'24.08_ND'!$A:$D,2,0),IFERROR(VLOOKUP($B452,'03-CP'!$C$5:$H$2836,2,0),""))</f>
        <v>PLANTIO DE PALMEIRA ( PALMEIRA TAMAREIRA 2,5 a 3,5 M )</v>
      </c>
      <c r="E452" s="1580" t="str">
        <f>IFERROR(VLOOKUP($B452,'24.08_ND'!$A:$D,3,0),IFERROR(VLOOKUP($B452,'03-CP'!$C$5:$H$2836,3,0),""))</f>
        <v>UN</v>
      </c>
      <c r="F452" s="1577">
        <v>3</v>
      </c>
      <c r="G452" s="642"/>
      <c r="H452" s="642"/>
      <c r="I452" s="1570"/>
      <c r="J452" s="1441"/>
      <c r="K452" s="262"/>
      <c r="L452" s="1559" t="s">
        <v>16387</v>
      </c>
      <c r="M452" s="262"/>
      <c r="N452" s="262"/>
      <c r="O452" s="262"/>
      <c r="P452" s="262"/>
      <c r="Q452" s="262"/>
      <c r="R452" s="262"/>
      <c r="S452" s="262"/>
      <c r="T452" s="262"/>
      <c r="U452" s="262"/>
      <c r="V452" s="262"/>
      <c r="W452" s="262"/>
      <c r="X452" s="262"/>
      <c r="Y452" s="262"/>
      <c r="Z452" s="262"/>
    </row>
    <row r="453" spans="1:26" ht="21.75" outlineLevel="1">
      <c r="A453" s="247" t="s">
        <v>13398</v>
      </c>
      <c r="B453" s="3" t="s">
        <v>15108</v>
      </c>
      <c r="C453" s="3" t="s">
        <v>14472</v>
      </c>
      <c r="D453" s="1579" t="str">
        <f>IFERROR(VLOOKUP($B453,'24.08_ND'!$A:$D,2,0),IFERROR(VLOOKUP($B453,'03-CP'!$C$5:$H$2836,2,0),""))</f>
        <v>PLANTIO DE PALMEIRA ( FARINHA SECA 3,0 a 3,5 M )</v>
      </c>
      <c r="E453" s="1580" t="str">
        <f>IFERROR(VLOOKUP($B453,'24.08_ND'!$A:$D,3,0),IFERROR(VLOOKUP($B453,'03-CP'!$C$5:$H$2836,3,0),""))</f>
        <v>UN</v>
      </c>
      <c r="F453" s="1577">
        <v>16</v>
      </c>
      <c r="G453" s="642"/>
      <c r="H453" s="642"/>
      <c r="I453" s="1570"/>
      <c r="J453" s="1441"/>
      <c r="K453" s="262"/>
      <c r="L453" s="1559" t="s">
        <v>16387</v>
      </c>
      <c r="M453" s="262"/>
      <c r="N453" s="262"/>
      <c r="O453" s="262"/>
      <c r="P453" s="262"/>
      <c r="Q453" s="262"/>
      <c r="R453" s="262"/>
      <c r="S453" s="262"/>
      <c r="T453" s="262"/>
      <c r="U453" s="262"/>
      <c r="V453" s="262"/>
      <c r="W453" s="262"/>
      <c r="X453" s="262"/>
      <c r="Y453" s="262"/>
      <c r="Z453" s="262"/>
    </row>
    <row r="454" spans="1:26" ht="39.75" outlineLevel="1">
      <c r="A454" s="247" t="s">
        <v>13399</v>
      </c>
      <c r="B454" s="3" t="s">
        <v>14989</v>
      </c>
      <c r="C454" s="3" t="s">
        <v>14472</v>
      </c>
      <c r="D454" s="1579" t="str">
        <f>IFERROR(VLOOKUP($B454,'24.08_ND'!$A:$D,2,0),IFERROR(VLOOKUP($B454,'03-CP'!$C$5:$H$2836,2,0),""))</f>
        <v>REVESTIMENTO ATÉRMICO, ACABAMENTO MEIA-CANA NAS BORDAS DE ASSENTO, REJUNTE CIMENTÍCIO, E IMPERMEABILIZANTE OLEOFUGANTE -  FORNECIMENTO E APLICAÇÃO</v>
      </c>
      <c r="E454" s="1580" t="str">
        <f>IFERROR(VLOOKUP($B454,'24.08_ND'!$A:$D,3,0),IFERROR(VLOOKUP($B454,'03-CP'!$C$5:$H$2836,3,0),""))</f>
        <v>M2</v>
      </c>
      <c r="F454" s="1577">
        <f>123.45*0.45</f>
        <v>55.552500000000002</v>
      </c>
      <c r="G454" s="1492"/>
      <c r="H454" s="1493"/>
      <c r="I454" s="1570"/>
      <c r="J454" s="262"/>
      <c r="K454" s="262"/>
      <c r="L454" s="1559" t="s">
        <v>16387</v>
      </c>
      <c r="M454" s="262"/>
      <c r="N454" s="262"/>
      <c r="O454" s="262"/>
      <c r="P454" s="262"/>
      <c r="Q454" s="262"/>
      <c r="R454" s="262"/>
      <c r="S454" s="262"/>
      <c r="T454" s="262"/>
      <c r="U454" s="262"/>
      <c r="V454" s="262"/>
      <c r="W454" s="262"/>
      <c r="X454" s="262"/>
      <c r="Y454" s="262"/>
      <c r="Z454" s="262"/>
    </row>
    <row r="455" spans="1:26" ht="65.25" outlineLevel="1">
      <c r="A455" s="247" t="s">
        <v>13400</v>
      </c>
      <c r="B455" s="3" t="s">
        <v>14993</v>
      </c>
      <c r="C455" s="3" t="s">
        <v>14472</v>
      </c>
      <c r="D455" s="1579" t="str">
        <f>IFERROR(VLOOKUP($B455,'24.08_ND'!$A:$D,2,0),IFERROR(VLOOKUP($B455,'03-CP'!$C$5:$H$2836,2,0),""))</f>
        <v>BANCO ESCADARIA ESTRUTURA DE FIXAÇÃO METALON PARAFUSADO EM ALVENARIA ESTRUTURAL E ASSENTO EM MADEIRA PLASTICA, ESTRUTURA DE APOIO (03 UNIDADES POR METRO) COM PROTEÇÃO SUPERFICIAL COM 01 DEMÃO DE ZARCÃO E 02 DEMÃOS DE ESMALTE SINTÉTICO FOSCO - FORNECIMENTO E INSTALAÇÃO</v>
      </c>
      <c r="E455" s="1580" t="str">
        <f>IFERROR(VLOOKUP($B455,'24.08_ND'!$A:$D,3,0),IFERROR(VLOOKUP($B455,'03-CP'!$C$5:$H$2836,3,0),""))</f>
        <v>M</v>
      </c>
      <c r="F455" s="1577">
        <v>68</v>
      </c>
      <c r="G455" s="1492"/>
      <c r="H455" s="1493"/>
      <c r="I455" s="1570"/>
      <c r="J455" s="262"/>
      <c r="K455" s="262"/>
      <c r="L455" s="1559" t="s">
        <v>16387</v>
      </c>
      <c r="M455" s="262"/>
      <c r="N455" s="262"/>
      <c r="O455" s="262"/>
      <c r="P455" s="262"/>
      <c r="Q455" s="262"/>
      <c r="R455" s="262"/>
      <c r="S455" s="262"/>
      <c r="T455" s="262"/>
      <c r="U455" s="262"/>
      <c r="V455" s="262"/>
      <c r="W455" s="262"/>
      <c r="X455" s="262"/>
      <c r="Y455" s="262"/>
      <c r="Z455" s="262"/>
    </row>
    <row r="456" spans="1:26" ht="21.75" outlineLevel="1">
      <c r="A456" s="247" t="s">
        <v>13401</v>
      </c>
      <c r="B456" s="3" t="s">
        <v>14995</v>
      </c>
      <c r="C456" s="3" t="s">
        <v>14472</v>
      </c>
      <c r="D456" s="1579" t="str">
        <f>IFERROR(VLOOKUP($B456,'24.08_ND'!$A:$D,2,0),IFERROR(VLOOKUP($B456,'03-CP'!$C$5:$H$2836,2,0),""))</f>
        <v>REVESTIMENTO EM MADEIRA PLÁSTICA - FORNECIMENTO E INSTALAÇÃO</v>
      </c>
      <c r="E456" s="1580" t="str">
        <f>IFERROR(VLOOKUP($B456,'24.08_ND'!$A:$D,3,0),IFERROR(VLOOKUP($B456,'03-CP'!$C$5:$H$2836,3,0),""))</f>
        <v>M2</v>
      </c>
      <c r="F456" s="1577">
        <f>53.83*3.24</f>
        <v>174.4092</v>
      </c>
      <c r="G456" s="1492"/>
      <c r="H456" s="1493"/>
      <c r="I456" s="1570"/>
      <c r="J456" s="262"/>
      <c r="K456" s="262"/>
      <c r="L456" s="1559" t="s">
        <v>16387</v>
      </c>
      <c r="M456" s="262"/>
      <c r="N456" s="262"/>
      <c r="O456" s="262"/>
      <c r="P456" s="262"/>
      <c r="Q456" s="262"/>
      <c r="R456" s="262"/>
      <c r="S456" s="262"/>
      <c r="T456" s="262"/>
      <c r="U456" s="262"/>
      <c r="V456" s="262"/>
      <c r="W456" s="262"/>
      <c r="X456" s="262"/>
      <c r="Y456" s="262"/>
      <c r="Z456" s="262"/>
    </row>
    <row r="457" spans="1:26" ht="12.75" hidden="1">
      <c r="A457" s="1487"/>
      <c r="B457" s="1488"/>
      <c r="C457" s="1488"/>
      <c r="D457" s="1489"/>
      <c r="E457" s="1490"/>
      <c r="F457" s="1491"/>
      <c r="G457" s="1492"/>
      <c r="H457" s="1493"/>
      <c r="I457" s="1494"/>
      <c r="J457" s="262"/>
      <c r="K457" s="262"/>
      <c r="L457" s="386"/>
      <c r="M457" s="262"/>
      <c r="N457" s="262"/>
      <c r="O457" s="262"/>
      <c r="P457" s="262"/>
      <c r="Q457" s="262"/>
      <c r="R457" s="262"/>
      <c r="S457" s="262"/>
      <c r="T457" s="262"/>
      <c r="U457" s="262"/>
      <c r="V457" s="262"/>
      <c r="W457" s="262"/>
      <c r="X457" s="262"/>
      <c r="Y457" s="262"/>
      <c r="Z457" s="262"/>
    </row>
    <row r="458" spans="1:26" ht="12.75">
      <c r="A458" s="1298" t="s">
        <v>16309</v>
      </c>
      <c r="B458" s="1371"/>
      <c r="C458" s="1371"/>
      <c r="D458" s="1372"/>
      <c r="E458" s="1373"/>
      <c r="F458" s="1374"/>
      <c r="G458" s="1375"/>
      <c r="H458" s="1376"/>
      <c r="I458" s="1377"/>
      <c r="J458" s="262"/>
      <c r="K458" s="262"/>
      <c r="L458" s="386"/>
      <c r="M458" s="262"/>
      <c r="N458" s="262"/>
      <c r="O458" s="262"/>
      <c r="P458" s="262"/>
      <c r="Q458" s="262"/>
      <c r="R458" s="262"/>
      <c r="S458" s="262"/>
      <c r="T458" s="262"/>
      <c r="U458" s="262"/>
      <c r="V458" s="262"/>
      <c r="W458" s="262"/>
      <c r="X458" s="262"/>
      <c r="Y458" s="262"/>
      <c r="Z458" s="262"/>
    </row>
    <row r="459" spans="1:26" ht="15.75">
      <c r="A459" s="238" t="s">
        <v>12632</v>
      </c>
      <c r="B459" s="1304"/>
      <c r="C459" s="1304"/>
      <c r="D459" s="1305" t="s">
        <v>16310</v>
      </c>
      <c r="E459" s="1306"/>
      <c r="F459" s="1307"/>
      <c r="G459" s="1307"/>
      <c r="H459" s="1586"/>
      <c r="I459" s="1496"/>
      <c r="J459" s="262"/>
      <c r="K459" s="262"/>
      <c r="L459" s="1587"/>
      <c r="M459" s="504"/>
      <c r="N459" s="262"/>
      <c r="O459" s="262"/>
      <c r="P459" s="262"/>
      <c r="Q459" s="262"/>
      <c r="R459" s="262"/>
      <c r="S459" s="262"/>
      <c r="T459" s="262"/>
      <c r="U459" s="262"/>
      <c r="V459" s="262"/>
      <c r="W459" s="262"/>
      <c r="X459" s="262"/>
      <c r="Y459" s="262"/>
      <c r="Z459" s="262"/>
    </row>
    <row r="460" spans="1:26" ht="18.75" customHeight="1">
      <c r="A460" s="250" t="s">
        <v>13402</v>
      </c>
      <c r="B460" s="1309"/>
      <c r="C460" s="1497"/>
      <c r="D460" s="1498" t="s">
        <v>16312</v>
      </c>
      <c r="E460" s="234"/>
      <c r="F460" s="1311"/>
      <c r="G460" s="236"/>
      <c r="H460" s="236"/>
      <c r="I460" s="1499"/>
      <c r="J460" s="1500"/>
      <c r="K460" s="1383" t="s">
        <v>16313</v>
      </c>
      <c r="L460" s="1501" t="s">
        <v>16314</v>
      </c>
      <c r="M460" s="1588" t="s">
        <v>16418</v>
      </c>
      <c r="N460" s="262"/>
      <c r="O460" s="262"/>
      <c r="P460" s="262"/>
      <c r="Q460" s="262"/>
      <c r="R460" s="262"/>
      <c r="S460" s="262"/>
      <c r="T460" s="262"/>
      <c r="U460" s="262"/>
      <c r="V460" s="262"/>
      <c r="W460" s="262"/>
      <c r="X460" s="262"/>
      <c r="Y460" s="262"/>
      <c r="Z460" s="262"/>
    </row>
    <row r="461" spans="1:26" ht="38.25" outlineLevel="1">
      <c r="A461" s="247" t="s">
        <v>13403</v>
      </c>
      <c r="B461" s="386" t="s">
        <v>15003</v>
      </c>
      <c r="C461" s="386" t="s">
        <v>14472</v>
      </c>
      <c r="D461" s="1314" t="str">
        <f>IFERROR(VLOOKUP($B461,'24.08_ND'!$A$4833:$D$12369,2,0),IFERROR(VLOOKUP($B461,'03-CP'!$C$5:$H$4646,2,0),""))</f>
        <v>TORNEIRA DE JARDIM, COM SUPORTE PARA PROTEÇÃO ANTI-IMPACTO EM AÇO INOX, ACIMA DO SOLO, INCLUSO ESCAVAÇÃO E DESCARTE DE SOLO. FORNECIMENTO E INSTALAÇÃO.</v>
      </c>
      <c r="E461" s="1315" t="str">
        <f>IFERROR(VLOOKUP($B461,'24.08_ND'!$A:$D,3,0),IFERROR(VLOOKUP($B461,'03-CP'!$C$5:$H$4646,3,0),""))</f>
        <v>UN</v>
      </c>
      <c r="F461" s="389">
        <v>3</v>
      </c>
      <c r="G461" s="1244"/>
      <c r="H461" s="1244"/>
      <c r="I461" s="1409"/>
      <c r="J461" s="262"/>
      <c r="K461" s="262"/>
      <c r="L461" s="386" t="s">
        <v>16316</v>
      </c>
      <c r="N461" s="262"/>
      <c r="O461" s="262"/>
      <c r="P461" s="262"/>
      <c r="Q461" s="262"/>
      <c r="R461" s="262"/>
      <c r="S461" s="262"/>
      <c r="T461" s="262"/>
      <c r="U461" s="262"/>
      <c r="V461" s="262"/>
      <c r="W461" s="262"/>
      <c r="X461" s="262"/>
      <c r="Y461" s="262"/>
      <c r="Z461" s="262"/>
    </row>
    <row r="462" spans="1:26" ht="38.25" outlineLevel="1">
      <c r="A462" s="247" t="s">
        <v>13404</v>
      </c>
      <c r="B462" s="386">
        <v>94724</v>
      </c>
      <c r="C462" s="386" t="s">
        <v>14476</v>
      </c>
      <c r="D462" s="1314" t="str">
        <f>IFERROR(VLOOKUP($B462,'24.08_ND'!$A$4833:$D$12369,2,0),IFERROR(VLOOKUP($B462,'03-CP'!$C$5:$H$4646,2,0),""))</f>
        <v>CONECTOR, CPVC, SOLDÁVEL, DN 22 MM X 3/4", INSTALADO EM RESERVAÇÃO PREDIAL DE ÁGUA - FORNECIMENTO E INSTALAÇÃO. AF_04/2024</v>
      </c>
      <c r="E462" s="1315" t="str">
        <f>IFERROR(VLOOKUP($B462,'24.08_ND'!$A:$D,3,0),IFERROR(VLOOKUP($B462,'03-CP'!$C$5:$H$4646,3,0),""))</f>
        <v>UN</v>
      </c>
      <c r="F462" s="389">
        <v>2</v>
      </c>
      <c r="G462" s="1244"/>
      <c r="H462" s="1244"/>
      <c r="I462" s="1409"/>
      <c r="J462" s="262"/>
      <c r="K462" s="262"/>
      <c r="L462" s="386" t="s">
        <v>16316</v>
      </c>
      <c r="M462" s="262"/>
      <c r="N462" s="262"/>
      <c r="O462" s="262"/>
      <c r="P462" s="262"/>
      <c r="Q462" s="262"/>
      <c r="R462" s="262"/>
      <c r="S462" s="262"/>
      <c r="T462" s="262"/>
      <c r="U462" s="262"/>
      <c r="V462" s="262"/>
      <c r="W462" s="262"/>
      <c r="X462" s="262"/>
      <c r="Y462" s="262"/>
      <c r="Z462" s="262"/>
    </row>
    <row r="463" spans="1:26" ht="25.5" outlineLevel="1">
      <c r="A463" s="247" t="s">
        <v>13405</v>
      </c>
      <c r="B463" s="386">
        <v>89719</v>
      </c>
      <c r="C463" s="386" t="s">
        <v>14476</v>
      </c>
      <c r="D463" s="1314" t="str">
        <f>IFERROR(VLOOKUP($B463,'24.08_ND'!$A$4833:$D$12369,2,0),IFERROR(VLOOKUP($B463,'03-CP'!$C$5:$H$4646,2,0),""))</f>
        <v>JOELHO 90 GRAUS, CPVC, SOLDÁVEL, DN 22MM, INSTALADO EM RAMAL DE DISTRIBUIÇÃO DE ÁGUA   FORNECIMENTO E INSTALAÇÃO. AF_06/2022</v>
      </c>
      <c r="E463" s="1315" t="str">
        <f>IFERROR(VLOOKUP($B463,'24.08_ND'!$A:$D,3,0),IFERROR(VLOOKUP($B463,'03-CP'!$C$5:$H$4646,3,0),""))</f>
        <v>UN</v>
      </c>
      <c r="F463" s="389">
        <v>1</v>
      </c>
      <c r="G463" s="1244"/>
      <c r="H463" s="1244"/>
      <c r="I463" s="1409"/>
      <c r="J463" s="262" t="s">
        <v>16315</v>
      </c>
      <c r="K463" s="262"/>
      <c r="L463" s="386" t="s">
        <v>16316</v>
      </c>
      <c r="M463" s="262"/>
      <c r="N463" s="262"/>
      <c r="O463" s="262"/>
      <c r="P463" s="262"/>
      <c r="Q463" s="262"/>
      <c r="R463" s="262"/>
      <c r="S463" s="262"/>
      <c r="T463" s="262"/>
      <c r="U463" s="262"/>
      <c r="V463" s="262"/>
      <c r="W463" s="262"/>
      <c r="X463" s="262"/>
      <c r="Y463" s="262"/>
      <c r="Z463" s="262"/>
    </row>
    <row r="464" spans="1:26" ht="38.25" outlineLevel="1">
      <c r="A464" s="247" t="s">
        <v>13406</v>
      </c>
      <c r="B464" s="386">
        <v>89644</v>
      </c>
      <c r="C464" s="386" t="s">
        <v>14476</v>
      </c>
      <c r="D464" s="1314" t="str">
        <f>IFERROR(VLOOKUP($B464,'24.08_ND'!$A$4833:$D$12369,2,0),IFERROR(VLOOKUP($B464,'03-CP'!$C$5:$H$4646,2,0),""))</f>
        <v>JOELHO DE TRANSIÇÃO, 90 GRAUS, CPVC, SOLDÁVEL, DN 22MM X 1/2", INSTALADO EM RAMAL OU SUB-RAMAL DE ÁGUA - FORNECIMENTO E INSTALAÇÃO. AF_06/2022</v>
      </c>
      <c r="E464" s="1315" t="str">
        <f>IFERROR(VLOOKUP($B464,'24.08_ND'!$A:$D,3,0),IFERROR(VLOOKUP($B464,'03-CP'!$C$5:$H$4646,3,0),""))</f>
        <v>UN</v>
      </c>
      <c r="F464" s="389">
        <v>1</v>
      </c>
      <c r="G464" s="1244"/>
      <c r="H464" s="1244"/>
      <c r="I464" s="1409"/>
      <c r="J464" s="262"/>
      <c r="K464" s="262"/>
      <c r="L464" s="386" t="s">
        <v>16316</v>
      </c>
      <c r="M464" s="262"/>
      <c r="N464" s="262"/>
      <c r="O464" s="262"/>
      <c r="P464" s="262"/>
      <c r="Q464" s="262"/>
      <c r="R464" s="262"/>
      <c r="S464" s="262"/>
      <c r="T464" s="262"/>
      <c r="U464" s="262"/>
      <c r="V464" s="262"/>
      <c r="W464" s="262"/>
      <c r="X464" s="262"/>
      <c r="Y464" s="262"/>
      <c r="Z464" s="262"/>
    </row>
    <row r="465" spans="1:26" ht="38.25" outlineLevel="1">
      <c r="A465" s="247" t="s">
        <v>13407</v>
      </c>
      <c r="B465" s="386">
        <v>89740</v>
      </c>
      <c r="C465" s="386" t="s">
        <v>14476</v>
      </c>
      <c r="D465" s="1314" t="str">
        <f>IFERROR(VLOOKUP($B465,'24.08_ND'!$A$4833:$D$12369,2,0),IFERROR(VLOOKUP($B465,'03-CP'!$C$5:$H$4646,2,0),""))</f>
        <v>LUVA DE TRANSIÇÃO, CPVC, SOLDÁVEL, DN 22MM X 25MM, INSTALADO EM RAMAL DE DISTRIBUIÇÃO DE ÁGUA   FORNECIMENTO E INSTALAÇÃO. AF_06/2022</v>
      </c>
      <c r="E465" s="1315" t="str">
        <f>IFERROR(VLOOKUP($B465,'24.08_ND'!$A:$D,3,0),IFERROR(VLOOKUP($B465,'03-CP'!$C$5:$H$4646,3,0),""))</f>
        <v>UN</v>
      </c>
      <c r="F465" s="389">
        <v>1</v>
      </c>
      <c r="G465" s="1244"/>
      <c r="H465" s="1244"/>
      <c r="I465" s="1409"/>
      <c r="J465" s="262" t="s">
        <v>16315</v>
      </c>
      <c r="K465" s="262"/>
      <c r="L465" s="386" t="s">
        <v>16316</v>
      </c>
      <c r="M465" s="262"/>
      <c r="N465" s="262"/>
      <c r="O465" s="262"/>
      <c r="P465" s="262"/>
      <c r="Q465" s="262"/>
      <c r="R465" s="262"/>
      <c r="S465" s="262"/>
      <c r="T465" s="262"/>
      <c r="U465" s="262"/>
      <c r="V465" s="262"/>
      <c r="W465" s="262"/>
      <c r="X465" s="262"/>
      <c r="Y465" s="262"/>
      <c r="Z465" s="262"/>
    </row>
    <row r="466" spans="1:26" ht="25.5" outlineLevel="1">
      <c r="A466" s="247" t="s">
        <v>13408</v>
      </c>
      <c r="B466" s="386">
        <v>89716</v>
      </c>
      <c r="C466" s="386" t="s">
        <v>14476</v>
      </c>
      <c r="D466" s="1314" t="str">
        <f>IFERROR(VLOOKUP($B466,'24.08_ND'!$A$4833:$D$12369,2,0),IFERROR(VLOOKUP($B466,'03-CP'!$C$5:$H$4646,2,0),""))</f>
        <v>TUBO, CPVC, SOLDÁVEL, DN 22MM, INSTALADO EM RAMAL DE DISTRIBUIÇÃO DE ÁGUA - FORNECIMENTO E INSTALAÇÃO. AF_06/2022</v>
      </c>
      <c r="E466" s="1315" t="str">
        <f>IFERROR(VLOOKUP($B466,'24.08_ND'!$A:$D,3,0),IFERROR(VLOOKUP($B466,'03-CP'!$C$5:$H$4646,3,0),""))</f>
        <v>M</v>
      </c>
      <c r="F466" s="389">
        <v>8.3000000000000007</v>
      </c>
      <c r="G466" s="1244"/>
      <c r="H466" s="1244"/>
      <c r="I466" s="1409"/>
      <c r="J466" s="262" t="s">
        <v>16315</v>
      </c>
      <c r="K466" s="262"/>
      <c r="L466" s="386" t="s">
        <v>16316</v>
      </c>
      <c r="M466" s="262"/>
      <c r="N466" s="262"/>
      <c r="O466" s="262"/>
      <c r="P466" s="262"/>
      <c r="Q466" s="262"/>
      <c r="R466" s="262"/>
      <c r="S466" s="262"/>
      <c r="T466" s="262"/>
      <c r="U466" s="262"/>
      <c r="V466" s="262"/>
      <c r="W466" s="262"/>
      <c r="X466" s="262"/>
      <c r="Y466" s="262"/>
      <c r="Z466" s="262"/>
    </row>
    <row r="467" spans="1:26" ht="12.75" outlineLevel="1">
      <c r="A467" s="247" t="s">
        <v>13409</v>
      </c>
      <c r="B467" s="386" t="s">
        <v>15412</v>
      </c>
      <c r="C467" s="386" t="s">
        <v>14472</v>
      </c>
      <c r="D467" s="1314" t="str">
        <f>IFERROR(VLOOKUP($B467,'24.08_ND'!$A$4833:$D$12369,2,0),IFERROR(VLOOKUP($B467,'03-CP'!$C$5:$H$4646,2,0),""))</f>
        <v>VALVULA REGULADORA DE PRESSÃO COM MANOMETRO INTEGRADO</v>
      </c>
      <c r="E467" s="1315" t="str">
        <f>IFERROR(VLOOKUP($B467,'24.08_ND'!$A:$D,3,0),IFERROR(VLOOKUP($B467,'03-CP'!$C$5:$H$4646,3,0),""))</f>
        <v>UN</v>
      </c>
      <c r="F467" s="389">
        <v>1</v>
      </c>
      <c r="G467" s="1244"/>
      <c r="H467" s="1244"/>
      <c r="I467" s="1409"/>
      <c r="J467" s="262"/>
      <c r="K467" s="262"/>
      <c r="L467" s="386" t="s">
        <v>16316</v>
      </c>
      <c r="M467" s="262"/>
      <c r="N467" s="262"/>
      <c r="O467" s="262"/>
      <c r="P467" s="262"/>
      <c r="Q467" s="262"/>
      <c r="R467" s="262"/>
      <c r="S467" s="262"/>
      <c r="T467" s="262"/>
      <c r="U467" s="262"/>
      <c r="V467" s="262"/>
      <c r="W467" s="262"/>
      <c r="X467" s="262"/>
      <c r="Y467" s="262"/>
      <c r="Z467" s="262"/>
    </row>
    <row r="468" spans="1:26" ht="38.25" outlineLevel="1">
      <c r="A468" s="247" t="s">
        <v>13410</v>
      </c>
      <c r="B468" s="386">
        <v>89427</v>
      </c>
      <c r="C468" s="386" t="s">
        <v>14476</v>
      </c>
      <c r="D468" s="1314" t="str">
        <f>IFERROR(VLOOKUP($B468,'24.08_ND'!$A$4833:$D$12369,2,0),IFERROR(VLOOKUP($B468,'03-CP'!$C$5:$H$4646,2,0),""))</f>
        <v>LUVA COM BUCHA DE LATÃO, PVC, SOLDÁVEL, DN 25MM X 3/4 , INSTALADO EM RAMAL DE DISTRIBUIÇÃO DE ÁGUA - FORNECIMENTO E INSTALAÇÃO. AF_06/2022</v>
      </c>
      <c r="E468" s="1315" t="str">
        <f>IFERROR(VLOOKUP($B468,'24.08_ND'!$A:$D,3,0),IFERROR(VLOOKUP($B468,'03-CP'!$C$5:$H$4646,3,0),""))</f>
        <v>UN</v>
      </c>
      <c r="F468" s="389">
        <v>4</v>
      </c>
      <c r="G468" s="1244"/>
      <c r="H468" s="1244"/>
      <c r="I468" s="1409"/>
      <c r="J468" s="262"/>
      <c r="K468" s="262"/>
      <c r="L468" s="386" t="s">
        <v>16316</v>
      </c>
      <c r="M468" s="262"/>
      <c r="N468" s="262"/>
      <c r="O468" s="262"/>
      <c r="P468" s="262"/>
      <c r="Q468" s="262"/>
      <c r="R468" s="262"/>
      <c r="S468" s="262"/>
      <c r="T468" s="262"/>
      <c r="U468" s="262"/>
      <c r="V468" s="262"/>
      <c r="W468" s="262"/>
      <c r="X468" s="262"/>
      <c r="Y468" s="262"/>
      <c r="Z468" s="262"/>
    </row>
    <row r="469" spans="1:26" ht="12.75" outlineLevel="1">
      <c r="A469" s="247" t="s">
        <v>13411</v>
      </c>
      <c r="B469" s="386" t="s">
        <v>15445</v>
      </c>
      <c r="C469" s="386" t="s">
        <v>14472</v>
      </c>
      <c r="D469" s="1314" t="str">
        <f>IFERROR(VLOOKUP($B469,'24.08_ND'!$A$4833:$D$12369,2,0),IFERROR(VLOOKUP($B469,'03-CP'!$C$5:$H$4646,2,0),""))</f>
        <v>NIPLE DUPLO 3/4'' - FORNECIMENTO E INSTALAÇÃO</v>
      </c>
      <c r="E469" s="1315" t="str">
        <f>IFERROR(VLOOKUP($B469,'24.08_ND'!$A:$D,3,0),IFERROR(VLOOKUP($B469,'03-CP'!$C$5:$H$4646,3,0),""))</f>
        <v>UN</v>
      </c>
      <c r="F469" s="389">
        <v>4</v>
      </c>
      <c r="G469" s="1244"/>
      <c r="H469" s="1244"/>
      <c r="I469" s="1409"/>
      <c r="J469" s="262"/>
      <c r="K469" s="262"/>
      <c r="L469" s="386" t="s">
        <v>16316</v>
      </c>
      <c r="M469" s="262"/>
      <c r="N469" s="262"/>
      <c r="O469" s="262"/>
      <c r="P469" s="262"/>
      <c r="Q469" s="262"/>
      <c r="R469" s="262"/>
      <c r="S469" s="262"/>
      <c r="T469" s="262"/>
      <c r="U469" s="262"/>
      <c r="V469" s="262"/>
      <c r="W469" s="262"/>
      <c r="X469" s="262"/>
      <c r="Y469" s="262"/>
      <c r="Z469" s="262"/>
    </row>
    <row r="470" spans="1:26" ht="25.5" outlineLevel="1">
      <c r="A470" s="247" t="s">
        <v>13412</v>
      </c>
      <c r="B470" s="386">
        <v>94489</v>
      </c>
      <c r="C470" s="386" t="s">
        <v>14476</v>
      </c>
      <c r="D470" s="1314" t="str">
        <f>IFERROR(VLOOKUP($B470,'24.08_ND'!$A$4833:$D$12369,2,0),IFERROR(VLOOKUP($B470,'03-CP'!$C$5:$H$4646,2,0),""))</f>
        <v>REGISTRO DE ESFERA, PVC, SOLDÁVEL, COM VOLANTE, DN  25 MM - FORNECIMENTO E INSTALAÇÃO. AF_08/2021</v>
      </c>
      <c r="E470" s="1315" t="str">
        <f>IFERROR(VLOOKUP($B470,'24.08_ND'!$A:$D,3,0),IFERROR(VLOOKUP($B470,'03-CP'!$C$5:$H$4646,3,0),""))</f>
        <v>UN</v>
      </c>
      <c r="F470" s="389">
        <v>1</v>
      </c>
      <c r="G470" s="1244"/>
      <c r="H470" s="1244"/>
      <c r="I470" s="1409"/>
      <c r="J470" s="262"/>
      <c r="K470" s="262"/>
      <c r="L470" s="386" t="s">
        <v>16316</v>
      </c>
      <c r="M470" s="262"/>
      <c r="N470" s="262"/>
      <c r="O470" s="262"/>
      <c r="P470" s="262"/>
      <c r="Q470" s="262"/>
      <c r="R470" s="262"/>
      <c r="S470" s="262"/>
      <c r="T470" s="262"/>
      <c r="U470" s="262"/>
      <c r="V470" s="262"/>
      <c r="W470" s="262"/>
      <c r="X470" s="262"/>
      <c r="Y470" s="262"/>
      <c r="Z470" s="262"/>
    </row>
    <row r="471" spans="1:26" ht="38.25" outlineLevel="1">
      <c r="A471" s="247" t="s">
        <v>13413</v>
      </c>
      <c r="B471" s="386">
        <v>94656</v>
      </c>
      <c r="C471" s="386" t="s">
        <v>14476</v>
      </c>
      <c r="D471" s="1314" t="str">
        <f>IFERROR(VLOOKUP($B471,'24.08_ND'!$A$4833:$D$12369,2,0),IFERROR(VLOOKUP($B471,'03-CP'!$C$5:$H$4646,2,0),""))</f>
        <v>ADAPTADOR CURTO COM BOLSA E ROSCA PARA REGISTRO, PVC, SOLDÁVEL, DN  25 MM X 3/4", INSTALADO EM RESERVAÇÃO PREDIAL DE ÁGUA - FORNECIMENTO E INSTALAÇÃO. AF_04/2024</v>
      </c>
      <c r="E471" s="1315" t="str">
        <f>IFERROR(VLOOKUP($B471,'24.08_ND'!$A:$D,3,0),IFERROR(VLOOKUP($B471,'03-CP'!$C$5:$H$4646,3,0),""))</f>
        <v>UN</v>
      </c>
      <c r="F471" s="389">
        <v>2</v>
      </c>
      <c r="G471" s="1244"/>
      <c r="H471" s="1244"/>
      <c r="I471" s="1409"/>
      <c r="J471" s="262" t="s">
        <v>16315</v>
      </c>
      <c r="K471" s="262"/>
      <c r="L471" s="386" t="s">
        <v>16316</v>
      </c>
      <c r="M471" s="262"/>
      <c r="N471" s="262"/>
      <c r="O471" s="262"/>
      <c r="P471" s="262"/>
      <c r="Q471" s="262"/>
      <c r="R471" s="262"/>
      <c r="S471" s="262"/>
      <c r="T471" s="262"/>
      <c r="U471" s="262"/>
      <c r="V471" s="262"/>
      <c r="W471" s="262"/>
      <c r="X471" s="262"/>
      <c r="Y471" s="262"/>
      <c r="Z471" s="262"/>
    </row>
    <row r="472" spans="1:26" ht="38.25" outlineLevel="1">
      <c r="A472" s="247" t="s">
        <v>13414</v>
      </c>
      <c r="B472" s="386">
        <v>105234</v>
      </c>
      <c r="C472" s="386" t="s">
        <v>14476</v>
      </c>
      <c r="D472" s="1314" t="str">
        <f>IFERROR(VLOOKUP($B472,'24.08_ND'!$A$4833:$D$12369,2,0),IFERROR(VLOOKUP($B472,'03-CP'!$C$5:$H$4646,2,0),""))</f>
        <v>BUCHA DE REDUÇÃO PVC, SOLDÁVEL, LONGA, DN 50 X 25 MM, INSTALADO EM RESERVAÇÃO PREDIAL DE ÁGUA - FORNECIMENTO E INSTALAÇÃO. AF_04/2024</v>
      </c>
      <c r="E472" s="1315" t="str">
        <f>IFERROR(VLOOKUP($B472,'24.08_ND'!$A:$D,3,0),IFERROR(VLOOKUP($B472,'03-CP'!$C$5:$H$4646,3,0),""))</f>
        <v>UN</v>
      </c>
      <c r="F472" s="389">
        <v>1</v>
      </c>
      <c r="G472" s="1244"/>
      <c r="H472" s="1244"/>
      <c r="I472" s="1409"/>
      <c r="J472" s="262" t="s">
        <v>16315</v>
      </c>
      <c r="K472" s="262"/>
      <c r="L472" s="386" t="s">
        <v>16316</v>
      </c>
      <c r="M472" s="262"/>
      <c r="N472" s="262"/>
      <c r="O472" s="262"/>
      <c r="P472" s="262"/>
      <c r="Q472" s="262"/>
      <c r="R472" s="262"/>
      <c r="S472" s="262"/>
      <c r="T472" s="262"/>
      <c r="U472" s="262"/>
      <c r="V472" s="262"/>
      <c r="W472" s="262"/>
      <c r="X472" s="262"/>
      <c r="Y472" s="262"/>
      <c r="Z472" s="262"/>
    </row>
    <row r="473" spans="1:26" ht="25.5" outlineLevel="1">
      <c r="A473" s="247" t="s">
        <v>13415</v>
      </c>
      <c r="B473" s="386">
        <v>105154</v>
      </c>
      <c r="C473" s="386" t="s">
        <v>14476</v>
      </c>
      <c r="D473" s="1314" t="str">
        <f>IFERROR(VLOOKUP($B473,'24.08_ND'!$A$4833:$D$12369,2,0),IFERROR(VLOOKUP($B473,'03-CP'!$C$5:$H$4646,2,0),""))</f>
        <v>CURVA PVC 45 GRAUS, SOLDÁVEL, DN 25 MM, INSTALADO EM RESERVAÇÃO PREDIAL DE ÁGUA - FORNECIMENTO E INSTALAÇÃO. AF_04/2024</v>
      </c>
      <c r="E473" s="1315" t="str">
        <f>IFERROR(VLOOKUP($B473,'24.08_ND'!$A:$D,3,0),IFERROR(VLOOKUP($B473,'03-CP'!$C$5:$H$4646,3,0),""))</f>
        <v>UN</v>
      </c>
      <c r="F473" s="389">
        <v>1</v>
      </c>
      <c r="G473" s="1244"/>
      <c r="H473" s="1244"/>
      <c r="I473" s="1409"/>
      <c r="J473" s="262"/>
      <c r="K473" s="262"/>
      <c r="L473" s="386" t="s">
        <v>16316</v>
      </c>
      <c r="M473" s="262"/>
      <c r="N473" s="262"/>
      <c r="O473" s="262"/>
      <c r="P473" s="262"/>
      <c r="Q473" s="262"/>
      <c r="R473" s="262"/>
      <c r="S473" s="262"/>
      <c r="T473" s="262"/>
      <c r="U473" s="262"/>
      <c r="V473" s="262"/>
      <c r="W473" s="262"/>
      <c r="X473" s="262"/>
      <c r="Y473" s="262"/>
      <c r="Z473" s="262"/>
    </row>
    <row r="474" spans="1:26" ht="38.25" outlineLevel="1">
      <c r="A474" s="247" t="s">
        <v>13416</v>
      </c>
      <c r="B474" s="386">
        <v>94673</v>
      </c>
      <c r="C474" s="386" t="s">
        <v>14476</v>
      </c>
      <c r="D474" s="1314" t="str">
        <f>IFERROR(VLOOKUP($B474,'24.08_ND'!$A$4833:$D$12369,2,0),IFERROR(VLOOKUP($B474,'03-CP'!$C$5:$H$4646,2,0),""))</f>
        <v>CURVA 90 GRAUS, PVC, SOLDÁVEL, DN  25 MM, INSTALADO EM RESERVAÇÃO PREDIAL DE ÁGUA - FORNECIMENTO E INSTALAÇÃO. AF_04/2024</v>
      </c>
      <c r="E474" s="1315" t="str">
        <f>IFERROR(VLOOKUP($B474,'24.08_ND'!$A:$D,3,0),IFERROR(VLOOKUP($B474,'03-CP'!$C$5:$H$4646,3,0),""))</f>
        <v>UN</v>
      </c>
      <c r="F474" s="389">
        <v>15</v>
      </c>
      <c r="G474" s="1244"/>
      <c r="H474" s="1244"/>
      <c r="I474" s="1409"/>
      <c r="J474" s="262"/>
      <c r="K474" s="262"/>
      <c r="L474" s="386" t="s">
        <v>16316</v>
      </c>
      <c r="M474" s="262"/>
      <c r="N474" s="262"/>
      <c r="O474" s="262"/>
      <c r="P474" s="262"/>
      <c r="Q474" s="262"/>
      <c r="R474" s="262"/>
      <c r="S474" s="262"/>
      <c r="T474" s="262"/>
      <c r="U474" s="262"/>
      <c r="V474" s="262"/>
      <c r="W474" s="262"/>
      <c r="X474" s="262"/>
      <c r="Y474" s="262"/>
      <c r="Z474" s="262"/>
    </row>
    <row r="475" spans="1:26" ht="25.5" outlineLevel="1">
      <c r="A475" s="247" t="s">
        <v>13417</v>
      </c>
      <c r="B475" s="386">
        <v>94679</v>
      </c>
      <c r="C475" s="386" t="s">
        <v>14476</v>
      </c>
      <c r="D475" s="1314" t="str">
        <f>IFERROR(VLOOKUP($B475,'24.08_ND'!$A$4833:$D$12369,2,0),IFERROR(VLOOKUP($B475,'03-CP'!$C$5:$H$4646,2,0),""))</f>
        <v>CURVA 90 GRAUS, PVC, SOLDÁVEL, DN 50 MM, INSTALADO EM RESERVAÇÃO PREDIAL DE ÁGUA - FORNECIMENTO E INSTALAÇÃO. AF_04/2024</v>
      </c>
      <c r="E475" s="1315" t="str">
        <f>IFERROR(VLOOKUP($B475,'24.08_ND'!$A:$D,3,0),IFERROR(VLOOKUP($B475,'03-CP'!$C$5:$H$4646,3,0),""))</f>
        <v>UN</v>
      </c>
      <c r="F475" s="389">
        <v>5</v>
      </c>
      <c r="G475" s="1244"/>
      <c r="H475" s="1244"/>
      <c r="I475" s="1409"/>
      <c r="J475" s="262"/>
      <c r="K475" s="262"/>
      <c r="L475" s="386" t="s">
        <v>16316</v>
      </c>
      <c r="M475" s="262"/>
      <c r="N475" s="262"/>
      <c r="O475" s="262"/>
      <c r="P475" s="262"/>
      <c r="Q475" s="262"/>
      <c r="R475" s="262"/>
      <c r="S475" s="262"/>
      <c r="T475" s="262"/>
      <c r="U475" s="262"/>
      <c r="V475" s="262"/>
      <c r="W475" s="262"/>
      <c r="X475" s="262"/>
      <c r="Y475" s="262"/>
      <c r="Z475" s="262"/>
    </row>
    <row r="476" spans="1:26" ht="25.5" outlineLevel="1">
      <c r="A476" s="247" t="s">
        <v>13418</v>
      </c>
      <c r="B476" s="386">
        <v>94663</v>
      </c>
      <c r="C476" s="386" t="s">
        <v>14476</v>
      </c>
      <c r="D476" s="1314" t="str">
        <f>IFERROR(VLOOKUP($B476,'24.08_ND'!$A$4833:$D$12369,2,0),IFERROR(VLOOKUP($B476,'03-CP'!$C$5:$H$4646,2,0),""))</f>
        <v>LUVA, PVC, SOLDÁVEL, DN 50 MM, INSTALADO EM RESERVAÇÃO PREDIAL DE ÁGUA - FORNECIMENTO E INSTALAÇÃO. AF_04/2024</v>
      </c>
      <c r="E476" s="1315" t="str">
        <f>IFERROR(VLOOKUP($B476,'24.08_ND'!$A:$D,3,0),IFERROR(VLOOKUP($B476,'03-CP'!$C$5:$H$4646,3,0),""))</f>
        <v>UN</v>
      </c>
      <c r="F476" s="389">
        <v>1</v>
      </c>
      <c r="G476" s="1244"/>
      <c r="H476" s="1244"/>
      <c r="I476" s="1409"/>
      <c r="J476" s="262"/>
      <c r="K476" s="262"/>
      <c r="L476" s="386" t="s">
        <v>16316</v>
      </c>
      <c r="M476" s="262"/>
      <c r="N476" s="262"/>
      <c r="O476" s="262"/>
      <c r="P476" s="262"/>
      <c r="Q476" s="262"/>
      <c r="R476" s="262"/>
      <c r="S476" s="262"/>
      <c r="T476" s="262"/>
      <c r="U476" s="262"/>
      <c r="V476" s="262"/>
      <c r="W476" s="262"/>
      <c r="X476" s="262"/>
      <c r="Y476" s="262"/>
      <c r="Z476" s="262"/>
    </row>
    <row r="477" spans="1:26" ht="25.5" outlineLevel="1">
      <c r="A477" s="247" t="s">
        <v>13419</v>
      </c>
      <c r="B477" s="386">
        <v>89402</v>
      </c>
      <c r="C477" s="386" t="s">
        <v>14476</v>
      </c>
      <c r="D477" s="1314" t="str">
        <f>IFERROR(VLOOKUP($B477,'24.08_ND'!$A$4833:$D$12369,2,0),IFERROR(VLOOKUP($B477,'03-CP'!$C$5:$H$4646,2,0),""))</f>
        <v>TUBO, PVC, SOLDÁVEL, DE 25MM, INSTALADO EM RAMAL DE DISTRIBUIÇÃO DE ÁGUA - FORNECIMENTO E INSTALAÇÃO. AF_06/2022</v>
      </c>
      <c r="E477" s="1315" t="str">
        <f>IFERROR(VLOOKUP($B477,'24.08_ND'!$A:$D,3,0),IFERROR(VLOOKUP($B477,'03-CP'!$C$5:$H$4646,3,0),""))</f>
        <v>M</v>
      </c>
      <c r="F477" s="389">
        <v>134</v>
      </c>
      <c r="G477" s="1244"/>
      <c r="H477" s="1244"/>
      <c r="I477" s="1409"/>
      <c r="J477" s="262"/>
      <c r="K477" s="262"/>
      <c r="L477" s="386" t="s">
        <v>16316</v>
      </c>
      <c r="M477" s="262"/>
      <c r="N477" s="262"/>
      <c r="O477" s="262"/>
      <c r="P477" s="262"/>
      <c r="Q477" s="262"/>
      <c r="R477" s="262"/>
      <c r="S477" s="262"/>
      <c r="T477" s="262"/>
      <c r="U477" s="262"/>
      <c r="V477" s="262"/>
      <c r="W477" s="262"/>
      <c r="X477" s="262"/>
      <c r="Y477" s="262"/>
      <c r="Z477" s="262"/>
    </row>
    <row r="478" spans="1:26" ht="25.5" outlineLevel="1">
      <c r="A478" s="247" t="s">
        <v>13420</v>
      </c>
      <c r="B478" s="386">
        <v>103979</v>
      </c>
      <c r="C478" s="386" t="s">
        <v>14476</v>
      </c>
      <c r="D478" s="1314" t="str">
        <f>IFERROR(VLOOKUP($B478,'24.08_ND'!$A$4833:$D$12369,2,0),IFERROR(VLOOKUP($B478,'03-CP'!$C$5:$H$4646,2,0),""))</f>
        <v>TUBO, PVC, SOLDÁVEL, DE 50MM, INSTALADO EM RAMAL DE DISTRIBUIÇÃO DE ÁGUA - FORNECIMENTO E INSTALAÇÃO. AF_06/2022</v>
      </c>
      <c r="E478" s="1315" t="str">
        <f>IFERROR(VLOOKUP($B478,'24.08_ND'!$A:$D,3,0),IFERROR(VLOOKUP($B478,'03-CP'!$C$5:$H$4646,3,0),""))</f>
        <v>M</v>
      </c>
      <c r="F478" s="389">
        <v>78</v>
      </c>
      <c r="G478" s="1244"/>
      <c r="H478" s="1244"/>
      <c r="I478" s="1409"/>
      <c r="J478" s="262"/>
      <c r="K478" s="262"/>
      <c r="L478" s="386" t="s">
        <v>16316</v>
      </c>
      <c r="M478" s="262"/>
      <c r="N478" s="262"/>
      <c r="O478" s="262"/>
      <c r="P478" s="262"/>
      <c r="Q478" s="262"/>
      <c r="R478" s="262"/>
      <c r="S478" s="262"/>
      <c r="T478" s="262"/>
      <c r="U478" s="262"/>
      <c r="V478" s="262"/>
      <c r="W478" s="262"/>
      <c r="X478" s="262"/>
      <c r="Y478" s="262"/>
      <c r="Z478" s="262"/>
    </row>
    <row r="479" spans="1:26" ht="25.5" outlineLevel="1">
      <c r="A479" s="247" t="s">
        <v>13421</v>
      </c>
      <c r="B479" s="386">
        <v>89395</v>
      </c>
      <c r="C479" s="386" t="s">
        <v>14476</v>
      </c>
      <c r="D479" s="1314" t="str">
        <f>IFERROR(VLOOKUP($B479,'24.08_ND'!$A$4833:$D$12369,2,0),IFERROR(VLOOKUP($B479,'03-CP'!$C$5:$H$4646,2,0),""))</f>
        <v>TE, PVC, SOLDÁVEL, DN 25MM, INSTALADO EM RAMAL OU SUB-RAMAL DE ÁGUA - FORNECIMENTO E INSTALAÇÃO. AF_06/2022</v>
      </c>
      <c r="E479" s="1315" t="str">
        <f>IFERROR(VLOOKUP($B479,'24.08_ND'!$A:$D,3,0),IFERROR(VLOOKUP($B479,'03-CP'!$C$5:$H$4646,3,0),""))</f>
        <v>UN</v>
      </c>
      <c r="F479" s="389">
        <v>1</v>
      </c>
      <c r="G479" s="1244"/>
      <c r="H479" s="1244"/>
      <c r="I479" s="1409"/>
      <c r="J479" s="262" t="s">
        <v>16315</v>
      </c>
      <c r="K479" s="262"/>
      <c r="L479" s="386" t="s">
        <v>16316</v>
      </c>
      <c r="M479" s="262"/>
      <c r="N479" s="262"/>
      <c r="O479" s="262"/>
      <c r="P479" s="262"/>
      <c r="Q479" s="262"/>
      <c r="R479" s="262"/>
      <c r="S479" s="262"/>
      <c r="T479" s="262"/>
      <c r="U479" s="262"/>
      <c r="V479" s="262"/>
      <c r="W479" s="262"/>
      <c r="X479" s="262"/>
      <c r="Y479" s="262"/>
      <c r="Z479" s="262"/>
    </row>
    <row r="480" spans="1:26" ht="38.25" outlineLevel="1">
      <c r="A480" s="247" t="s">
        <v>13422</v>
      </c>
      <c r="B480" s="386">
        <v>105189</v>
      </c>
      <c r="C480" s="386" t="s">
        <v>14476</v>
      </c>
      <c r="D480" s="1314" t="str">
        <f>IFERROR(VLOOKUP($B480,'24.08_ND'!$A$4833:$D$12369,2,0),IFERROR(VLOOKUP($B480,'03-CP'!$C$5:$H$4646,2,0),""))</f>
        <v>TE DE REDUÇÃO, PVC, SOLDÁVEL, 90 GRAUS, DN 50 MM X 25 MM, INSTALADO EM RESERVAÇÃO PREDIAL DE ÁGUA - FORNECIMENTO E INSTALAÇÃO. AF_04/2024</v>
      </c>
      <c r="E480" s="1315" t="str">
        <f>IFERROR(VLOOKUP($B480,'24.08_ND'!$A:$D,3,0),IFERROR(VLOOKUP($B480,'03-CP'!$C$5:$H$4646,3,0),""))</f>
        <v>UN</v>
      </c>
      <c r="F480" s="389">
        <v>1</v>
      </c>
      <c r="G480" s="1244"/>
      <c r="H480" s="1244"/>
      <c r="I480" s="1409"/>
      <c r="J480" s="262"/>
      <c r="K480" s="262"/>
      <c r="L480" s="386" t="s">
        <v>16316</v>
      </c>
      <c r="M480" s="262"/>
      <c r="N480" s="262"/>
      <c r="O480" s="262"/>
      <c r="P480" s="262"/>
      <c r="Q480" s="262"/>
      <c r="R480" s="262"/>
      <c r="S480" s="262"/>
      <c r="T480" s="262"/>
      <c r="U480" s="262"/>
      <c r="V480" s="262"/>
      <c r="W480" s="262"/>
      <c r="X480" s="262"/>
      <c r="Y480" s="262"/>
      <c r="Z480" s="262"/>
    </row>
    <row r="481" spans="1:26" ht="38.25" outlineLevel="1">
      <c r="A481" s="247" t="s">
        <v>13423</v>
      </c>
      <c r="B481" s="386">
        <v>90373</v>
      </c>
      <c r="C481" s="386" t="s">
        <v>14476</v>
      </c>
      <c r="D481" s="1314" t="str">
        <f>IFERROR(VLOOKUP($B481,'24.08_ND'!$A$4833:$D$12369,2,0),IFERROR(VLOOKUP($B481,'03-CP'!$C$5:$H$4646,2,0),""))</f>
        <v>JOELHO 90 GRAUS COM BUCHA DE LATÃO, PVC, SOLDÁVEL, DN 25MM, X 1/2  INSTALADO EM RAMAL OU SUB-RAMAL DE ÁGUA - FORNECIMENTO E INSTALAÇÃO. AF_06/2022</v>
      </c>
      <c r="E481" s="1315" t="str">
        <f>IFERROR(VLOOKUP($B481,'24.08_ND'!$A:$D,3,0),IFERROR(VLOOKUP($B481,'03-CP'!$C$5:$H$4646,3,0),""))</f>
        <v>UN</v>
      </c>
      <c r="F481" s="389">
        <v>2</v>
      </c>
      <c r="G481" s="1244"/>
      <c r="H481" s="1244"/>
      <c r="I481" s="1409"/>
      <c r="J481" s="262"/>
      <c r="K481" s="262"/>
      <c r="L481" s="386" t="s">
        <v>16316</v>
      </c>
      <c r="M481" s="262"/>
      <c r="N481" s="262"/>
      <c r="O481" s="262"/>
      <c r="P481" s="262"/>
      <c r="Q481" s="262"/>
      <c r="R481" s="262"/>
      <c r="S481" s="262"/>
      <c r="T481" s="262"/>
      <c r="U481" s="262"/>
      <c r="V481" s="262"/>
      <c r="W481" s="262"/>
      <c r="X481" s="262"/>
      <c r="Y481" s="262"/>
      <c r="Z481" s="262"/>
    </row>
    <row r="482" spans="1:26" ht="25.5" outlineLevel="1">
      <c r="A482" s="247" t="s">
        <v>13424</v>
      </c>
      <c r="B482" s="386">
        <v>93358</v>
      </c>
      <c r="C482" s="386" t="s">
        <v>14476</v>
      </c>
      <c r="D482" s="387" t="str">
        <f>IFERROR(VLOOKUP($B482,'24.08_ND'!$A$4833:$D$12369,2,0),IFERROR(VLOOKUP($B482,'03-CP'!$C$5:$H$4646,2,0),""))</f>
        <v>ESCAVAÇÃO MANUAL DE VALA COM PROFUNDIDADE MENOR OU IGUAL A 1,30 M. AF_02/2021</v>
      </c>
      <c r="E482" s="1244" t="str">
        <f>IFERROR(VLOOKUP($B482,'24.08_ND'!$A:$D,3,0),IFERROR(VLOOKUP($B482,'03-CP'!$C$5:$H$4646,3,0),""))</f>
        <v>M3</v>
      </c>
      <c r="F482" s="389">
        <f>(32+39+7.1)</f>
        <v>78.099999999999994</v>
      </c>
      <c r="G482" s="1244"/>
      <c r="H482" s="1244"/>
      <c r="I482" s="1409"/>
      <c r="J482" s="262" t="s">
        <v>16315</v>
      </c>
      <c r="K482" s="262"/>
      <c r="L482" s="386" t="s">
        <v>16316</v>
      </c>
      <c r="M482" s="262"/>
      <c r="N482" s="262"/>
      <c r="O482" s="262"/>
      <c r="P482" s="262"/>
      <c r="Q482" s="262"/>
      <c r="R482" s="262"/>
      <c r="S482" s="262"/>
      <c r="T482" s="262"/>
      <c r="U482" s="262"/>
      <c r="V482" s="262"/>
      <c r="W482" s="262"/>
      <c r="X482" s="262"/>
      <c r="Y482" s="262"/>
      <c r="Z482" s="262"/>
    </row>
    <row r="483" spans="1:26" ht="25.5" outlineLevel="1">
      <c r="A483" s="247" t="s">
        <v>13425</v>
      </c>
      <c r="B483" s="386">
        <v>93382</v>
      </c>
      <c r="C483" s="386" t="s">
        <v>14476</v>
      </c>
      <c r="D483" s="387" t="str">
        <f>IFERROR(VLOOKUP($B483,'24.08_ND'!$A$4833:$D$12369,2,0),IFERROR(VLOOKUP($B483,'03-CP'!$C$5:$H$4646,2,0),""))</f>
        <v>REATERRO MANUAL DE VALAS, COM COMPACTADOR DE SOLOS DE PERCUSSÃO. AF_08/2023</v>
      </c>
      <c r="E483" s="1244" t="str">
        <f>IFERROR(VLOOKUP($B483,'24.08_ND'!$A:$D,3,0),IFERROR(VLOOKUP($B483,'03-CP'!$C$5:$H$4646,3,0),""))</f>
        <v>M3</v>
      </c>
      <c r="F483" s="389">
        <f>(44.8+55+10)</f>
        <v>109.8</v>
      </c>
      <c r="G483" s="1244"/>
      <c r="H483" s="1244"/>
      <c r="I483" s="1409"/>
      <c r="J483" s="262" t="s">
        <v>16315</v>
      </c>
      <c r="K483" s="262"/>
      <c r="L483" s="386" t="s">
        <v>16316</v>
      </c>
      <c r="M483" s="262"/>
      <c r="N483" s="262"/>
      <c r="O483" s="262"/>
      <c r="P483" s="262"/>
      <c r="Q483" s="262"/>
      <c r="R483" s="262"/>
      <c r="S483" s="262"/>
      <c r="T483" s="262"/>
      <c r="U483" s="262"/>
      <c r="V483" s="262"/>
      <c r="W483" s="262"/>
      <c r="X483" s="262"/>
      <c r="Y483" s="262"/>
      <c r="Z483" s="262"/>
    </row>
    <row r="484" spans="1:26" ht="18.75" customHeight="1">
      <c r="A484" s="250" t="s">
        <v>13426</v>
      </c>
      <c r="B484" s="1309"/>
      <c r="C484" s="1497"/>
      <c r="D484" s="1498" t="s">
        <v>16318</v>
      </c>
      <c r="E484" s="234"/>
      <c r="F484" s="1311"/>
      <c r="G484" s="236"/>
      <c r="H484" s="236"/>
      <c r="I484" s="1499"/>
      <c r="J484" s="1500"/>
      <c r="K484" s="1383"/>
      <c r="L484" s="1441"/>
      <c r="M484" s="1588"/>
      <c r="N484" s="262"/>
      <c r="O484" s="262"/>
      <c r="P484" s="262"/>
      <c r="Q484" s="262"/>
      <c r="R484" s="262"/>
      <c r="S484" s="262"/>
      <c r="T484" s="262"/>
      <c r="U484" s="262"/>
      <c r="V484" s="262"/>
      <c r="W484" s="262"/>
      <c r="X484" s="262"/>
      <c r="Y484" s="262"/>
      <c r="Z484" s="262"/>
    </row>
    <row r="485" spans="1:26" ht="38.25" outlineLevel="1">
      <c r="A485" s="247" t="s">
        <v>13427</v>
      </c>
      <c r="B485" s="386" t="s">
        <v>15388</v>
      </c>
      <c r="C485" s="386" t="s">
        <v>14472</v>
      </c>
      <c r="D485" s="1314" t="str">
        <f>IFERROR(VLOOKUP($B485,'24.08_ND'!$A$4833:$D$12369,2,0),IFERROR(VLOOKUP($B485,'03-CP'!$C$5:$H$4646,2,0),""))</f>
        <v>CAIXA ENTERRADA HIDRÁULICA RETANGULAR, EM ALVENARIA COM BLOCOS DE CONCRETO, DIMENSÕES INTERNAS: 0,6X0,6X0,6 M PARA REDE DE DRENAGEM COM RALO FOFO REQUADRO, QUADRADO 400 X 400 MM</v>
      </c>
      <c r="E485" s="1315" t="str">
        <f>IFERROR(VLOOKUP($B485,'24.08_ND'!$A:$D,3,0),IFERROR(VLOOKUP($B485,'03-CP'!$C$5:$H$4646,3,0),""))</f>
        <v>UN</v>
      </c>
      <c r="F485" s="389">
        <v>2</v>
      </c>
      <c r="G485" s="1244"/>
      <c r="H485" s="1244"/>
      <c r="I485" s="1409"/>
      <c r="J485" s="262"/>
      <c r="K485" s="1383"/>
      <c r="L485" s="386" t="s">
        <v>16316</v>
      </c>
      <c r="M485" s="262"/>
      <c r="N485" s="262"/>
      <c r="O485" s="262"/>
      <c r="P485" s="262"/>
      <c r="Q485" s="262"/>
      <c r="R485" s="262"/>
      <c r="S485" s="262"/>
      <c r="T485" s="262"/>
      <c r="U485" s="262"/>
      <c r="V485" s="262"/>
      <c r="W485" s="262"/>
      <c r="X485" s="262"/>
      <c r="Y485" s="262"/>
      <c r="Z485" s="262"/>
    </row>
    <row r="486" spans="1:26" ht="38.25" outlineLevel="1">
      <c r="A486" s="247" t="s">
        <v>13428</v>
      </c>
      <c r="B486" s="386">
        <v>99260</v>
      </c>
      <c r="C486" s="386" t="s">
        <v>14476</v>
      </c>
      <c r="D486" s="1314" t="str">
        <f>IFERROR(VLOOKUP($B486,'24.08_ND'!$A$4833:$D$12369,2,0),IFERROR(VLOOKUP($B486,'03-CP'!$C$5:$H$4646,2,0),""))</f>
        <v>CAIXA ENTERRADA HIDRÁULICA RETANGULAR, EM ALVENARIA COM BLOCOS DE CONCRETO, DIMENSÕES INTERNAS: 0,6X0,6X0,6 M PARA REDE DE DRENAGEM. AF_12/2020</v>
      </c>
      <c r="E486" s="1315" t="str">
        <f>IFERROR(VLOOKUP($B486,'24.08_ND'!$A:$D,3,0),IFERROR(VLOOKUP($B486,'03-CP'!$C$5:$H$4646,3,0),""))</f>
        <v>UN</v>
      </c>
      <c r="F486" s="389">
        <v>3</v>
      </c>
      <c r="G486" s="1244"/>
      <c r="H486" s="1244"/>
      <c r="I486" s="1409"/>
      <c r="J486" s="262"/>
      <c r="K486" s="1383"/>
      <c r="L486" s="386" t="s">
        <v>16316</v>
      </c>
      <c r="M486" s="262"/>
      <c r="N486" s="262"/>
      <c r="O486" s="262"/>
      <c r="P486" s="262"/>
      <c r="Q486" s="262"/>
      <c r="R486" s="262"/>
      <c r="S486" s="262"/>
      <c r="T486" s="262"/>
      <c r="U486" s="262"/>
      <c r="V486" s="262"/>
      <c r="W486" s="262"/>
      <c r="X486" s="262"/>
      <c r="Y486" s="262"/>
      <c r="Z486" s="262"/>
    </row>
    <row r="487" spans="1:26" ht="63.75" outlineLevel="1">
      <c r="A487" s="247" t="s">
        <v>13429</v>
      </c>
      <c r="B487" s="386" t="s">
        <v>15414</v>
      </c>
      <c r="C487" s="386" t="s">
        <v>14472</v>
      </c>
      <c r="D487" s="1314" t="str">
        <f>IFERROR(VLOOKUP($B487,'24.08_ND'!$A$4833:$D$12369,2,0),IFERROR(VLOOKUP($B487,'03-CP'!$C$5:$H$4646,2,0),""))</f>
        <v>CANALETA DE DRENAGEM EM ALVENARIA DE TIJOLO MACIÇO , DIMENSÕES INTERNAS 30X30CM, REVESTIDA DE ARGAMASSA COM IMPERMEABILIZANTE EM TODAS AS FACES E=2,0CM, EXCLUSO GRELHA, INCLUSO ESCAVAÇÃO, REATERRO, CARGA/DESCARGA E TRANSPORTE DO MATERIAL ESCAVADO INUTILIZADO.</v>
      </c>
      <c r="E487" s="1315" t="str">
        <f>IFERROR(VLOOKUP($B487,'24.08_ND'!$A:$D,3,0),IFERROR(VLOOKUP($B487,'03-CP'!$C$5:$H$4646,3,0),""))</f>
        <v>M</v>
      </c>
      <c r="F487" s="389">
        <v>90</v>
      </c>
      <c r="G487" s="1589"/>
      <c r="H487" s="1440"/>
      <c r="I487" s="1409"/>
      <c r="J487" s="262"/>
      <c r="K487" s="1383" t="s">
        <v>16313</v>
      </c>
      <c r="L487" s="386" t="s">
        <v>16316</v>
      </c>
      <c r="M487" s="262"/>
      <c r="N487" s="262"/>
      <c r="O487" s="262"/>
      <c r="P487" s="262"/>
      <c r="Q487" s="262"/>
      <c r="R487" s="262"/>
      <c r="S487" s="262"/>
      <c r="T487" s="262"/>
      <c r="U487" s="262"/>
      <c r="V487" s="262"/>
      <c r="W487" s="262"/>
      <c r="X487" s="262"/>
      <c r="Y487" s="262"/>
      <c r="Z487" s="262"/>
    </row>
    <row r="488" spans="1:26" ht="25.5" outlineLevel="1">
      <c r="A488" s="247" t="s">
        <v>13430</v>
      </c>
      <c r="B488" s="386">
        <v>102704</v>
      </c>
      <c r="C488" s="386" t="s">
        <v>14476</v>
      </c>
      <c r="D488" s="1314" t="str">
        <f>IFERROR(VLOOKUP($B488,'24.08_ND'!$A$4833:$D$12369,2,0),IFERROR(VLOOKUP($B488,'03-CP'!$C$5:$H$4646,2,0),""))</f>
        <v>TUBO DE PEAD CORRUGADO PERFURADO, DN 100 MM, PARA DRENO - FORNECIMENTO E ASSENTAMENTO. AF_07/2021</v>
      </c>
      <c r="E488" s="1315" t="str">
        <f>IFERROR(VLOOKUP($B488,'24.08_ND'!$A:$D,3,0),IFERROR(VLOOKUP($B488,'03-CP'!$C$5:$H$4646,3,0),""))</f>
        <v>M</v>
      </c>
      <c r="F488" s="389">
        <v>191</v>
      </c>
      <c r="G488" s="1244"/>
      <c r="H488" s="1244"/>
      <c r="I488" s="1409"/>
      <c r="J488" s="262"/>
      <c r="K488" s="1383" t="s">
        <v>16319</v>
      </c>
      <c r="L488" s="386" t="s">
        <v>16316</v>
      </c>
      <c r="M488" s="262"/>
      <c r="N488" s="262"/>
      <c r="O488" s="262"/>
      <c r="P488" s="262"/>
      <c r="Q488" s="262"/>
      <c r="R488" s="262"/>
      <c r="S488" s="262"/>
      <c r="T488" s="262"/>
      <c r="U488" s="262"/>
      <c r="V488" s="262"/>
      <c r="W488" s="262"/>
      <c r="X488" s="262"/>
      <c r="Y488" s="262"/>
      <c r="Z488" s="262"/>
    </row>
    <row r="489" spans="1:26" ht="25.5" outlineLevel="1">
      <c r="A489" s="247" t="s">
        <v>13431</v>
      </c>
      <c r="B489" s="386">
        <v>104178</v>
      </c>
      <c r="C489" s="386" t="s">
        <v>14476</v>
      </c>
      <c r="D489" s="1314" t="str">
        <f>IFERROR(VLOOKUP($B489,'24.08_ND'!$A$4833:$D$12369,2,0),IFERROR(VLOOKUP($B489,'03-CP'!$C$5:$H$4646,2,0),""))</f>
        <v>CAP, PVC, SERIE R, ÁGUA PLUVIAL, DN 100 MM, JUNTA ELÁSTICA, FORNECIDO E INSTALADO EM RAMAL DE ENCAMINHAMENTO. AF_06/2022</v>
      </c>
      <c r="E489" s="1315" t="str">
        <f>IFERROR(VLOOKUP($B489,'24.08_ND'!$A:$D,3,0),IFERROR(VLOOKUP($B489,'03-CP'!$C$5:$H$4646,3,0),""))</f>
        <v>UN</v>
      </c>
      <c r="F489" s="389">
        <v>3</v>
      </c>
      <c r="G489" s="1244"/>
      <c r="H489" s="1244"/>
      <c r="I489" s="1409"/>
      <c r="J489" s="262"/>
      <c r="K489" s="1383"/>
      <c r="L489" s="386" t="s">
        <v>16316</v>
      </c>
      <c r="M489" s="262"/>
      <c r="N489" s="262"/>
      <c r="O489" s="262"/>
      <c r="P489" s="262"/>
      <c r="Q489" s="262"/>
      <c r="R489" s="262"/>
      <c r="S489" s="262"/>
      <c r="T489" s="262"/>
      <c r="U489" s="262"/>
      <c r="V489" s="262"/>
      <c r="W489" s="262"/>
      <c r="X489" s="262"/>
      <c r="Y489" s="262"/>
      <c r="Z489" s="262"/>
    </row>
    <row r="490" spans="1:26" ht="38.25" outlineLevel="1">
      <c r="A490" s="247" t="s">
        <v>13432</v>
      </c>
      <c r="B490" s="386">
        <v>89591</v>
      </c>
      <c r="C490" s="386" t="s">
        <v>14476</v>
      </c>
      <c r="D490" s="1314" t="str">
        <f>IFERROR(VLOOKUP($B490,'24.08_ND'!$A$4833:$D$12369,2,0),IFERROR(VLOOKUP($B490,'03-CP'!$C$5:$H$4646,2,0),""))</f>
        <v>JOELHO 45 GRAUS, PVC, SERIE R, ÁGUA PLUVIAL, DN 150 MM, JUNTA ELÁSTICA, FORNECIDO E INSTALADO EM CONDUTORES VERTICAIS DE ÁGUAS PLUVIAIS. AF_06/2022</v>
      </c>
      <c r="E490" s="1315" t="str">
        <f>IFERROR(VLOOKUP($B490,'24.08_ND'!$A:$D,3,0),IFERROR(VLOOKUP($B490,'03-CP'!$C$5:$H$4646,3,0),""))</f>
        <v>UN</v>
      </c>
      <c r="F490" s="389">
        <v>4</v>
      </c>
      <c r="G490" s="1244"/>
      <c r="H490" s="1244"/>
      <c r="I490" s="1409"/>
      <c r="J490" s="262"/>
      <c r="K490" s="1383" t="s">
        <v>16320</v>
      </c>
      <c r="L490" s="386" t="s">
        <v>16316</v>
      </c>
      <c r="M490" s="262"/>
      <c r="N490" s="262"/>
      <c r="O490" s="262"/>
      <c r="P490" s="262"/>
      <c r="Q490" s="262"/>
      <c r="R490" s="262"/>
      <c r="S490" s="262"/>
      <c r="T490" s="262"/>
      <c r="U490" s="262"/>
      <c r="V490" s="262"/>
      <c r="W490" s="262"/>
      <c r="X490" s="262"/>
      <c r="Y490" s="262"/>
      <c r="Z490" s="262"/>
    </row>
    <row r="491" spans="1:26" ht="38.25" outlineLevel="1">
      <c r="A491" s="247" t="s">
        <v>13433</v>
      </c>
      <c r="B491" s="386">
        <v>104167</v>
      </c>
      <c r="C491" s="386" t="s">
        <v>14476</v>
      </c>
      <c r="D491" s="1314" t="str">
        <f>IFERROR(VLOOKUP($B491,'24.08_ND'!$A$4833:$D$12369,2,0),IFERROR(VLOOKUP($B491,'03-CP'!$C$5:$H$4646,2,0),""))</f>
        <v>JOELHO 90 GRAUS, PVC, SERIE R, ÁGUA PLUVIAL, DN 150 MM, JUNTA ELÁSTICA, FORNECIDO E INSTALADO EM RAMAL DE ENCAMINHAMENTO. AF_06/2022</v>
      </c>
      <c r="E491" s="1315" t="str">
        <f>IFERROR(VLOOKUP($B491,'24.08_ND'!$A:$D,3,0),IFERROR(VLOOKUP($B491,'03-CP'!$C$5:$H$4646,3,0),""))</f>
        <v>UN</v>
      </c>
      <c r="F491" s="389">
        <v>10</v>
      </c>
      <c r="G491" s="1244"/>
      <c r="H491" s="1244"/>
      <c r="I491" s="1409"/>
      <c r="J491" s="262"/>
      <c r="K491" s="1383" t="s">
        <v>16321</v>
      </c>
      <c r="L491" s="386" t="s">
        <v>16316</v>
      </c>
      <c r="M491" s="262"/>
      <c r="N491" s="262"/>
      <c r="O491" s="262"/>
      <c r="P491" s="262"/>
      <c r="Q491" s="262"/>
      <c r="R491" s="262"/>
      <c r="S491" s="262"/>
      <c r="T491" s="262"/>
      <c r="U491" s="262"/>
      <c r="V491" s="262"/>
      <c r="W491" s="262"/>
      <c r="X491" s="262"/>
      <c r="Y491" s="262"/>
      <c r="Z491" s="262"/>
    </row>
    <row r="492" spans="1:26" ht="25.5" outlineLevel="1">
      <c r="A492" s="247" t="s">
        <v>13434</v>
      </c>
      <c r="B492" s="386">
        <v>104166</v>
      </c>
      <c r="C492" s="386" t="s">
        <v>14476</v>
      </c>
      <c r="D492" s="1314" t="str">
        <f>IFERROR(VLOOKUP($B492,'24.08_ND'!$A$4833:$D$12369,2,0),IFERROR(VLOOKUP($B492,'03-CP'!$C$5:$H$4646,2,0),""))</f>
        <v>TUBO PVC, SÉRIE R, ÁGUA PLUVIAL, DN 150 MM, FORNECIDO E INSTALADO EM RAMAL DE ENCAMINHAMENTO. AF_06/2022</v>
      </c>
      <c r="E492" s="1315" t="str">
        <f>IFERROR(VLOOKUP($B492,'24.08_ND'!$A:$D,3,0),IFERROR(VLOOKUP($B492,'03-CP'!$C$5:$H$4646,3,0),""))</f>
        <v>M</v>
      </c>
      <c r="F492" s="389">
        <v>266</v>
      </c>
      <c r="G492" s="1244"/>
      <c r="H492" s="1244"/>
      <c r="I492" s="1409"/>
      <c r="J492" s="262"/>
      <c r="K492" s="1383" t="s">
        <v>16327</v>
      </c>
      <c r="L492" s="386" t="s">
        <v>16316</v>
      </c>
      <c r="M492" s="262"/>
      <c r="N492" s="262"/>
      <c r="O492" s="262"/>
      <c r="P492" s="262"/>
      <c r="Q492" s="262"/>
      <c r="R492" s="262"/>
      <c r="S492" s="262"/>
      <c r="T492" s="262"/>
      <c r="U492" s="262"/>
      <c r="V492" s="262"/>
      <c r="W492" s="262"/>
      <c r="X492" s="262"/>
      <c r="Y492" s="262"/>
      <c r="Z492" s="262"/>
    </row>
    <row r="493" spans="1:26" ht="25.5" outlineLevel="1">
      <c r="A493" s="247" t="s">
        <v>13435</v>
      </c>
      <c r="B493" s="386" t="s">
        <v>15447</v>
      </c>
      <c r="C493" s="386" t="s">
        <v>14472</v>
      </c>
      <c r="D493" s="1314" t="str">
        <f>IFERROR(VLOOKUP($B493,'24.08_ND'!$A$4833:$D$12369,2,0),IFERROR(VLOOKUP($B493,'03-CP'!$C$5:$H$4646,2,0),""))</f>
        <v>VÁLVULA DE RETENÇÃO PVC P/ ESGOTO D=150MM - FORNECIMENTO E INSTALAÇÃO</v>
      </c>
      <c r="E493" s="1315" t="str">
        <f>IFERROR(VLOOKUP($B493,'24.08_ND'!$A:$D,3,0),IFERROR(VLOOKUP($B493,'03-CP'!$C$5:$H$4646,3,0),""))</f>
        <v>UN</v>
      </c>
      <c r="F493" s="389">
        <v>13</v>
      </c>
      <c r="G493" s="1244"/>
      <c r="H493" s="1244"/>
      <c r="I493" s="1409"/>
      <c r="J493" s="262"/>
      <c r="K493" s="262"/>
      <c r="L493" s="386" t="s">
        <v>16316</v>
      </c>
      <c r="M493" s="262"/>
      <c r="N493" s="262"/>
      <c r="O493" s="262"/>
      <c r="P493" s="262"/>
      <c r="Q493" s="262"/>
      <c r="R493" s="262"/>
      <c r="S493" s="262"/>
      <c r="T493" s="262"/>
      <c r="U493" s="262"/>
      <c r="V493" s="262"/>
      <c r="W493" s="262"/>
      <c r="X493" s="262"/>
      <c r="Y493" s="262"/>
      <c r="Z493" s="262"/>
    </row>
    <row r="494" spans="1:26" ht="25.5" outlineLevel="1">
      <c r="A494" s="247" t="s">
        <v>13436</v>
      </c>
      <c r="B494" s="386">
        <v>93358</v>
      </c>
      <c r="C494" s="386" t="s">
        <v>14476</v>
      </c>
      <c r="D494" s="387" t="str">
        <f>IFERROR(VLOOKUP($B494,'24.08_ND'!$A$4833:$D$12369,2,0),IFERROR(VLOOKUP($B494,'03-CP'!$C$5:$H$4646,2,0),""))</f>
        <v>ESCAVAÇÃO MANUAL DE VALA COM PROFUNDIDADE MENOR OU IGUAL A 1,30 M. AF_02/2021</v>
      </c>
      <c r="E494" s="1244" t="str">
        <f>IFERROR(VLOOKUP($B494,'24.08_ND'!$A:$D,3,0),IFERROR(VLOOKUP($B494,'03-CP'!$C$5:$H$4646,3,0),""))</f>
        <v>M3</v>
      </c>
      <c r="F494" s="389">
        <f>43+32.4+46</f>
        <v>121.4</v>
      </c>
      <c r="G494" s="1244"/>
      <c r="H494" s="1244"/>
      <c r="I494" s="1409"/>
      <c r="J494" s="262" t="s">
        <v>16315</v>
      </c>
      <c r="K494" s="262"/>
      <c r="L494" s="386" t="s">
        <v>16316</v>
      </c>
      <c r="M494" s="262"/>
      <c r="N494" s="262"/>
      <c r="O494" s="262"/>
      <c r="P494" s="262"/>
      <c r="Q494" s="262"/>
      <c r="R494" s="262"/>
      <c r="S494" s="262"/>
      <c r="T494" s="262"/>
      <c r="U494" s="262"/>
      <c r="V494" s="262"/>
      <c r="W494" s="262"/>
      <c r="X494" s="262"/>
      <c r="Y494" s="262"/>
      <c r="Z494" s="262"/>
    </row>
    <row r="495" spans="1:26" ht="12.75" outlineLevel="1">
      <c r="A495" s="247" t="s">
        <v>13437</v>
      </c>
      <c r="B495" s="386">
        <v>102718</v>
      </c>
      <c r="C495" s="386" t="s">
        <v>14476</v>
      </c>
      <c r="D495" s="387" t="str">
        <f>IFERROR(VLOOKUP($B495,'24.08_ND'!$A$4833:$D$12369,2,0),IFERROR(VLOOKUP($B495,'03-CP'!$C$5:$H$4646,2,0),""))</f>
        <v>ENCHIMENTO DE AREIA PARA DRENO, LANÇAMENTO MANUAL. AF_07/2021</v>
      </c>
      <c r="E495" s="1244" t="str">
        <f>IFERROR(VLOOKUP($B495,'24.08_ND'!$A:$D,3,0),IFERROR(VLOOKUP($B495,'03-CP'!$C$5:$H$4646,3,0),""))</f>
        <v>M3</v>
      </c>
      <c r="F495" s="389">
        <v>6</v>
      </c>
      <c r="G495" s="1244"/>
      <c r="H495" s="1244"/>
      <c r="I495" s="1409"/>
      <c r="J495" s="262" t="s">
        <v>16315</v>
      </c>
      <c r="K495" s="262"/>
      <c r="L495" s="386" t="s">
        <v>16316</v>
      </c>
      <c r="M495" s="262"/>
      <c r="N495" s="262"/>
      <c r="O495" s="262"/>
      <c r="P495" s="262"/>
      <c r="Q495" s="262"/>
      <c r="R495" s="262"/>
      <c r="S495" s="262"/>
      <c r="T495" s="262"/>
      <c r="U495" s="262"/>
      <c r="V495" s="262"/>
      <c r="W495" s="262"/>
      <c r="X495" s="262"/>
      <c r="Y495" s="262"/>
      <c r="Z495" s="262"/>
    </row>
    <row r="496" spans="1:26" ht="38.25" outlineLevel="1">
      <c r="A496" s="247" t="s">
        <v>13438</v>
      </c>
      <c r="B496" s="386">
        <v>100324</v>
      </c>
      <c r="C496" s="386" t="s">
        <v>14476</v>
      </c>
      <c r="D496" s="387" t="str">
        <f>IFERROR(VLOOKUP($B496,'24.08_ND'!$A$4833:$D$12369,2,0),IFERROR(VLOOKUP($B496,'03-CP'!$C$5:$H$4646,2,0),""))</f>
        <v>LASTRO COM MATERIAL GRANULAR (PEDRA BRITADA N.1 E PEDRA BRITADA N.2), APLICADO EM PISOS OU LAJES SOBRE SOLO, ESPESSURA DE *10 CM*. AF_01/2024</v>
      </c>
      <c r="E496" s="1244" t="str">
        <f>IFERROR(VLOOKUP($B496,'24.08_ND'!$A:$D,3,0),IFERROR(VLOOKUP($B496,'03-CP'!$C$5:$H$4646,3,0),""))</f>
        <v>M3</v>
      </c>
      <c r="F496" s="389">
        <v>46</v>
      </c>
      <c r="G496" s="1244"/>
      <c r="H496" s="1244"/>
      <c r="I496" s="1409"/>
      <c r="J496" s="262"/>
      <c r="K496" s="262"/>
      <c r="L496" s="386" t="s">
        <v>16316</v>
      </c>
      <c r="M496" s="262"/>
      <c r="N496" s="262"/>
      <c r="O496" s="262"/>
      <c r="P496" s="262"/>
      <c r="Q496" s="262"/>
      <c r="R496" s="262"/>
      <c r="S496" s="262"/>
      <c r="T496" s="262"/>
      <c r="U496" s="262"/>
      <c r="V496" s="262"/>
      <c r="W496" s="262"/>
      <c r="X496" s="262"/>
      <c r="Y496" s="262"/>
      <c r="Z496" s="262"/>
    </row>
    <row r="497" spans="1:26" ht="38.25" outlineLevel="1">
      <c r="A497" s="247" t="s">
        <v>13439</v>
      </c>
      <c r="B497" s="386">
        <v>102713</v>
      </c>
      <c r="C497" s="386" t="s">
        <v>14476</v>
      </c>
      <c r="D497" s="387" t="str">
        <f>IFERROR(VLOOKUP($B497,'24.08_ND'!$A$4833:$D$12369,2,0),IFERROR(VLOOKUP($B497,'03-CP'!$C$5:$H$4646,2,0),""))</f>
        <v>GEOTÊXTIL NÃO TECIDO 100% POLIÉSTER, RESISTÊNCIA A TRAÇÃO DE 14 KN/M (RT - 14), INSTALADO EM DRENO - FORNECIMENTO E INSTALAÇÃO. AF_07/2021</v>
      </c>
      <c r="E497" s="1244" t="str">
        <f>IFERROR(VLOOKUP($B497,'24.08_ND'!$A:$D,3,0),IFERROR(VLOOKUP($B497,'03-CP'!$C$5:$H$4646,3,0),""))</f>
        <v>M2</v>
      </c>
      <c r="F497" s="389">
        <v>382</v>
      </c>
      <c r="G497" s="1244"/>
      <c r="H497" s="1244"/>
      <c r="I497" s="1409"/>
      <c r="J497" s="262"/>
      <c r="K497" s="262"/>
      <c r="L497" s="386" t="s">
        <v>16316</v>
      </c>
      <c r="M497" s="262"/>
      <c r="N497" s="262"/>
      <c r="O497" s="262"/>
      <c r="P497" s="262"/>
      <c r="Q497" s="262"/>
      <c r="R497" s="262"/>
      <c r="S497" s="262"/>
      <c r="T497" s="262"/>
      <c r="U497" s="262"/>
      <c r="V497" s="262"/>
      <c r="W497" s="262"/>
      <c r="X497" s="262"/>
      <c r="Y497" s="262"/>
      <c r="Z497" s="262"/>
    </row>
    <row r="498" spans="1:26" ht="25.5" outlineLevel="1">
      <c r="A498" s="247" t="s">
        <v>13440</v>
      </c>
      <c r="B498" s="386">
        <v>93382</v>
      </c>
      <c r="C498" s="386" t="s">
        <v>14476</v>
      </c>
      <c r="D498" s="387" t="str">
        <f>IFERROR(VLOOKUP($B498,'24.08_ND'!$A$4833:$D$12369,2,0),IFERROR(VLOOKUP($B498,'03-CP'!$C$5:$H$4646,2,0),""))</f>
        <v>REATERRO MANUAL DE VALAS, COM COMPACTADOR DE SOLOS DE PERCUSSÃO. AF_08/2023</v>
      </c>
      <c r="E498" s="1244" t="str">
        <f>IFERROR(VLOOKUP($B498,'24.08_ND'!$A:$D,3,0),IFERROR(VLOOKUP($B498,'03-CP'!$C$5:$H$4646,3,0),""))</f>
        <v>M3</v>
      </c>
      <c r="F498" s="389">
        <f>60.2+14</f>
        <v>74.2</v>
      </c>
      <c r="G498" s="1244"/>
      <c r="H498" s="1244"/>
      <c r="I498" s="1409"/>
      <c r="J498" s="262" t="s">
        <v>16315</v>
      </c>
      <c r="K498" s="262"/>
      <c r="L498" s="386" t="s">
        <v>16316</v>
      </c>
      <c r="M498" s="262"/>
      <c r="N498" s="262"/>
      <c r="O498" s="262"/>
      <c r="P498" s="262"/>
      <c r="Q498" s="262"/>
      <c r="R498" s="262"/>
      <c r="S498" s="262"/>
      <c r="T498" s="262"/>
      <c r="U498" s="262"/>
      <c r="V498" s="262"/>
      <c r="W498" s="262"/>
      <c r="X498" s="262"/>
      <c r="Y498" s="262"/>
      <c r="Z498" s="262"/>
    </row>
    <row r="499" spans="1:26" ht="12.75" hidden="1">
      <c r="A499" s="1487"/>
      <c r="B499" s="1488"/>
      <c r="C499" s="1488"/>
      <c r="D499" s="1489"/>
      <c r="E499" s="1490"/>
      <c r="F499" s="1491"/>
      <c r="G499" s="1492"/>
      <c r="H499" s="1493"/>
      <c r="I499" s="1494"/>
      <c r="J499" s="262"/>
      <c r="K499" s="262"/>
      <c r="L499" s="386"/>
      <c r="M499" s="262"/>
      <c r="N499" s="262"/>
      <c r="O499" s="262"/>
      <c r="P499" s="262"/>
      <c r="Q499" s="262"/>
      <c r="R499" s="262"/>
      <c r="S499" s="262"/>
      <c r="T499" s="262"/>
      <c r="U499" s="262"/>
      <c r="V499" s="262"/>
      <c r="W499" s="262"/>
      <c r="X499" s="262"/>
      <c r="Y499" s="262"/>
      <c r="Z499" s="262"/>
    </row>
    <row r="500" spans="1:26" ht="12.75">
      <c r="A500" s="1298" t="s">
        <v>16419</v>
      </c>
      <c r="B500" s="1371"/>
      <c r="C500" s="1371"/>
      <c r="D500" s="1372"/>
      <c r="E500" s="1373"/>
      <c r="F500" s="1374"/>
      <c r="G500" s="1375"/>
      <c r="H500" s="1376"/>
      <c r="I500" s="1377"/>
      <c r="J500" s="262"/>
      <c r="K500" s="262"/>
      <c r="L500" s="386"/>
      <c r="M500" s="262"/>
      <c r="N500" s="262"/>
      <c r="O500" s="262"/>
      <c r="P500" s="262"/>
      <c r="Q500" s="262"/>
      <c r="R500" s="262"/>
      <c r="S500" s="262"/>
      <c r="T500" s="262"/>
      <c r="U500" s="262"/>
      <c r="V500" s="262"/>
      <c r="W500" s="262"/>
      <c r="X500" s="262"/>
      <c r="Y500" s="262"/>
      <c r="Z500" s="262"/>
    </row>
    <row r="501" spans="1:26" ht="12.75">
      <c r="A501" s="238" t="s">
        <v>12633</v>
      </c>
      <c r="B501" s="1304"/>
      <c r="C501" s="1304"/>
      <c r="D501" s="1305" t="s">
        <v>12510</v>
      </c>
      <c r="E501" s="1306"/>
      <c r="F501" s="1307"/>
      <c r="G501" s="1307"/>
      <c r="H501" s="1307"/>
      <c r="I501" s="1496"/>
      <c r="J501" s="262"/>
      <c r="K501" s="262"/>
      <c r="L501" s="1383" t="s">
        <v>16420</v>
      </c>
      <c r="M501" s="1588" t="s">
        <v>16421</v>
      </c>
      <c r="N501" s="262"/>
      <c r="O501" s="262"/>
      <c r="P501" s="262"/>
      <c r="Q501" s="262"/>
      <c r="R501" s="262"/>
      <c r="S501" s="262"/>
      <c r="T501" s="262"/>
      <c r="U501" s="262"/>
      <c r="V501" s="262"/>
      <c r="W501" s="262"/>
      <c r="X501" s="262"/>
      <c r="Y501" s="262"/>
      <c r="Z501" s="262"/>
    </row>
    <row r="502" spans="1:26" ht="18.75" customHeight="1">
      <c r="A502" s="250" t="s">
        <v>13441</v>
      </c>
      <c r="B502" s="1309"/>
      <c r="C502" s="1497"/>
      <c r="D502" s="1498" t="s">
        <v>16422</v>
      </c>
      <c r="E502" s="234"/>
      <c r="F502" s="1311"/>
      <c r="G502" s="236"/>
      <c r="H502" s="236"/>
      <c r="I502" s="1499"/>
      <c r="J502" s="262"/>
      <c r="K502" s="262"/>
      <c r="L502" s="386"/>
      <c r="M502" s="262"/>
      <c r="N502" s="262"/>
      <c r="O502" s="262"/>
      <c r="P502" s="262"/>
      <c r="Q502" s="262"/>
      <c r="R502" s="262"/>
      <c r="S502" s="262"/>
      <c r="T502" s="262"/>
      <c r="U502" s="262"/>
      <c r="V502" s="262"/>
      <c r="W502" s="262"/>
      <c r="X502" s="262"/>
      <c r="Y502" s="262"/>
      <c r="Z502" s="262"/>
    </row>
    <row r="503" spans="1:26" ht="38.25" outlineLevel="1">
      <c r="A503" s="247" t="s">
        <v>13442</v>
      </c>
      <c r="B503" s="386" t="s">
        <v>16423</v>
      </c>
      <c r="C503" s="386" t="s">
        <v>14472</v>
      </c>
      <c r="D503" s="1314" t="str">
        <f>IFERROR(VLOOKUP($B503,'24.08_ND'!$A$4833:$D$12369,2,0),IFERROR(VLOOKUP($B503,'03-CP'!$C$5:$H$4646,2,0),""))</f>
        <v>ELETRODUTO FLEXÍVEL CORRUGADO, PEAD, DN ATÉ 40 MM (1 1/4"), PARA REDE ENTERRADA DE DISTRIBUIÇÃO DE ENERGIA ELÉTRICA - FORNECIMENTO E INSTALAÇÃO</v>
      </c>
      <c r="E503" s="1315" t="str">
        <f>IFERROR(VLOOKUP($B503,'24.08_ND'!$A:$D,3,0),IFERROR(VLOOKUP($B503,'03-CP'!$C$5:$H$4646,3,0),""))</f>
        <v>M</v>
      </c>
      <c r="F503" s="389">
        <v>1200</v>
      </c>
      <c r="G503" s="1244"/>
      <c r="H503" s="1244"/>
      <c r="I503" s="1409"/>
      <c r="J503" s="1507"/>
      <c r="K503" s="262"/>
      <c r="L503" s="386"/>
      <c r="M503" s="1590" t="s">
        <v>16333</v>
      </c>
      <c r="N503" s="262"/>
      <c r="O503" s="262"/>
      <c r="P503" s="262"/>
      <c r="Q503" s="262"/>
      <c r="R503" s="262"/>
      <c r="S503" s="262"/>
      <c r="T503" s="262"/>
      <c r="U503" s="262"/>
      <c r="V503" s="262"/>
      <c r="W503" s="262"/>
      <c r="X503" s="262"/>
      <c r="Y503" s="262"/>
      <c r="Z503" s="262"/>
    </row>
    <row r="504" spans="1:26" ht="38.25" outlineLevel="1">
      <c r="A504" s="247" t="s">
        <v>13443</v>
      </c>
      <c r="B504" s="386">
        <v>97667</v>
      </c>
      <c r="C504" s="386" t="s">
        <v>14476</v>
      </c>
      <c r="D504" s="1314" t="str">
        <f>IFERROR(VLOOKUP($B504,'24.08_ND'!$A$4833:$D$12369,2,0),IFERROR(VLOOKUP($B504,'03-CP'!$C$5:$H$4646,2,0),""))</f>
        <v>ELETRODUTO FLEXÍVEL CORRUGADO, PEAD, DN 50 (1 1/2"), PARA REDE ENTERRADA DE DISTRIBUIÇÃO DE ENERGIA ELÉTRICA - FORNECIMENTO E INSTALAÇÃO. AF_12/2021</v>
      </c>
      <c r="E504" s="1315" t="str">
        <f>IFERROR(VLOOKUP($B504,'24.08_ND'!$A:$D,3,0),IFERROR(VLOOKUP($B504,'03-CP'!$C$5:$H$4646,3,0),""))</f>
        <v>M</v>
      </c>
      <c r="F504" s="389">
        <v>240</v>
      </c>
      <c r="G504" s="1244"/>
      <c r="H504" s="1244"/>
      <c r="I504" s="1409"/>
      <c r="J504" s="1507"/>
      <c r="K504" s="262"/>
      <c r="L504" s="386"/>
      <c r="M504" s="1590" t="s">
        <v>16334</v>
      </c>
      <c r="N504" s="262"/>
      <c r="O504" s="262"/>
      <c r="P504" s="262"/>
      <c r="Q504" s="262"/>
      <c r="R504" s="262"/>
      <c r="S504" s="262"/>
      <c r="T504" s="262"/>
      <c r="U504" s="262"/>
      <c r="V504" s="262"/>
      <c r="W504" s="262"/>
      <c r="X504" s="262"/>
      <c r="Y504" s="262"/>
      <c r="Z504" s="262"/>
    </row>
    <row r="505" spans="1:26" ht="38.25" outlineLevel="1">
      <c r="A505" s="247" t="s">
        <v>13444</v>
      </c>
      <c r="B505" s="386">
        <v>97668</v>
      </c>
      <c r="C505" s="386" t="s">
        <v>14476</v>
      </c>
      <c r="D505" s="1314" t="str">
        <f>IFERROR(VLOOKUP($B505,'24.08_ND'!$A$4833:$D$12369,2,0),IFERROR(VLOOKUP($B505,'03-CP'!$C$5:$H$4646,2,0),""))</f>
        <v>ELETRODUTO FLEXÍVEL CORRUGADO, PEAD, DN 63 (2"), PARA REDE ENTERRADA DE DISTRIBUIÇÃO DE ENERGIA ELÉTRICA - FORNECIMENTO E INSTALAÇÃO. AF_12/2021</v>
      </c>
      <c r="E505" s="1315" t="str">
        <f>IFERROR(VLOOKUP($B505,'24.08_ND'!$A:$D,3,0),IFERROR(VLOOKUP($B505,'03-CP'!$C$5:$H$4646,3,0),""))</f>
        <v>M</v>
      </c>
      <c r="F505" s="389">
        <v>230</v>
      </c>
      <c r="G505" s="1244"/>
      <c r="H505" s="1244"/>
      <c r="I505" s="1409"/>
      <c r="J505" s="1507"/>
      <c r="K505" s="262"/>
      <c r="L505" s="386"/>
      <c r="M505" s="1590" t="s">
        <v>16335</v>
      </c>
      <c r="N505" s="262"/>
      <c r="O505" s="262"/>
      <c r="P505" s="262"/>
      <c r="Q505" s="262"/>
      <c r="R505" s="262"/>
      <c r="S505" s="262"/>
      <c r="T505" s="262"/>
      <c r="U505" s="262"/>
      <c r="V505" s="262"/>
      <c r="W505" s="262"/>
      <c r="X505" s="262"/>
      <c r="Y505" s="262"/>
      <c r="Z505" s="262"/>
    </row>
    <row r="506" spans="1:26" ht="38.25" outlineLevel="1">
      <c r="A506" s="247" t="s">
        <v>13445</v>
      </c>
      <c r="B506" s="386">
        <v>97669</v>
      </c>
      <c r="C506" s="386" t="s">
        <v>14476</v>
      </c>
      <c r="D506" s="1314" t="str">
        <f>IFERROR(VLOOKUP($B506,'24.08_ND'!$A$4833:$D$12369,2,0),IFERROR(VLOOKUP($B506,'03-CP'!$C$5:$H$4646,2,0),""))</f>
        <v>ELETRODUTO FLEXÍVEL CORRUGADO, PEAD, DN 90 (3"), PARA REDE ENTERRADA DE DISTRIBUIÇÃO DE ENERGIA ELÉTRICA - FORNECIMENTO E INSTALAÇÃO. AF_12/2021</v>
      </c>
      <c r="E506" s="1315" t="str">
        <f>IFERROR(VLOOKUP($B506,'24.08_ND'!$A:$D,3,0),IFERROR(VLOOKUP($B506,'03-CP'!$C$5:$H$4646,3,0),""))</f>
        <v>M</v>
      </c>
      <c r="F506" s="389">
        <v>72</v>
      </c>
      <c r="G506" s="1244"/>
      <c r="H506" s="1244"/>
      <c r="I506" s="1409"/>
      <c r="J506" s="1507"/>
      <c r="K506" s="262"/>
      <c r="L506" s="386"/>
      <c r="M506" s="1590" t="s">
        <v>16336</v>
      </c>
      <c r="N506" s="262"/>
      <c r="O506" s="262"/>
      <c r="P506" s="262"/>
      <c r="Q506" s="262"/>
      <c r="R506" s="262"/>
      <c r="S506" s="262"/>
      <c r="T506" s="262"/>
      <c r="U506" s="262"/>
      <c r="V506" s="262"/>
      <c r="W506" s="262"/>
      <c r="X506" s="262"/>
      <c r="Y506" s="262"/>
      <c r="Z506" s="262"/>
    </row>
    <row r="507" spans="1:26" ht="51" outlineLevel="1">
      <c r="A507" s="247" t="s">
        <v>13446</v>
      </c>
      <c r="B507" s="386">
        <v>102306</v>
      </c>
      <c r="C507" s="386" t="s">
        <v>14476</v>
      </c>
      <c r="D507" s="1314" t="str">
        <f>IFERROR(VLOOKUP($B507,'24.08_ND'!$A$4833:$D$12369,2,0),IFERROR(VLOOKUP($B507,'03-CP'!$C$5:$H$4646,2,0),""))</f>
        <v>ESCAVAÇÃO MECANIZADA DE VALA COM PROF. ATÉ 1,5 M (MÉDIA MONTANTE E JUSANTE/UMA COMPOSIÇÃO POR TRECHO), ESCAVADEIRA (0,8 M3),LARG. ATÉ 1,5 M, EM SOLO DE 2A CATEGORIA, EM LOCAIS COM ALTO NÍVEL DE INTERFERÊNCIA.  AF_02/2021</v>
      </c>
      <c r="E507" s="1315" t="str">
        <f>IFERROR(VLOOKUP($B507,'24.08_ND'!$A:$D,3,0),IFERROR(VLOOKUP($B507,'03-CP'!$C$5:$H$4646,3,0),""))</f>
        <v>M3</v>
      </c>
      <c r="F507" s="389">
        <v>174.2</v>
      </c>
      <c r="G507" s="1244"/>
      <c r="H507" s="1244"/>
      <c r="I507" s="1409"/>
      <c r="J507" s="1507"/>
      <c r="K507" s="262"/>
      <c r="L507" s="386"/>
      <c r="M507" s="1590" t="s">
        <v>16337</v>
      </c>
      <c r="N507" s="262"/>
      <c r="O507" s="262"/>
      <c r="P507" s="262"/>
      <c r="Q507" s="262"/>
      <c r="R507" s="262"/>
      <c r="S507" s="262"/>
      <c r="T507" s="262"/>
      <c r="U507" s="262"/>
      <c r="V507" s="262"/>
      <c r="W507" s="262"/>
      <c r="X507" s="262"/>
      <c r="Y507" s="262"/>
      <c r="Z507" s="262"/>
    </row>
    <row r="508" spans="1:26" ht="38.25" outlineLevel="1">
      <c r="A508" s="247" t="s">
        <v>13447</v>
      </c>
      <c r="B508" s="386">
        <v>104737</v>
      </c>
      <c r="C508" s="386" t="s">
        <v>14476</v>
      </c>
      <c r="D508" s="1314" t="str">
        <f>IFERROR(VLOOKUP($B508,'24.08_ND'!$A$4833:$D$12369,2,0),IFERROR(VLOOKUP($B508,'03-CP'!$C$5:$H$4646,2,0),""))</f>
        <v>REATERRO MANUAL DE VALAS, COM PLACA VIBRATÓRIA. AF_08/2023</v>
      </c>
      <c r="E508" s="1315" t="str">
        <f>IFERROR(VLOOKUP($B508,'24.08_ND'!$A:$D,3,0),IFERROR(VLOOKUP($B508,'03-CP'!$C$5:$H$4646,3,0),""))</f>
        <v>M3</v>
      </c>
      <c r="F508" s="389">
        <f>F507*1.1</f>
        <v>191.62</v>
      </c>
      <c r="G508" s="1244"/>
      <c r="H508" s="1244"/>
      <c r="I508" s="1409"/>
      <c r="J508" s="1507"/>
      <c r="K508" s="262"/>
      <c r="L508" s="386"/>
      <c r="M508" s="1590" t="s">
        <v>16338</v>
      </c>
      <c r="N508" s="262"/>
      <c r="O508" s="262"/>
      <c r="P508" s="262"/>
      <c r="Q508" s="262"/>
      <c r="R508" s="262"/>
      <c r="S508" s="262"/>
      <c r="T508" s="262"/>
      <c r="U508" s="262"/>
      <c r="V508" s="262"/>
      <c r="W508" s="262"/>
      <c r="X508" s="262"/>
      <c r="Y508" s="262"/>
      <c r="Z508" s="262"/>
    </row>
    <row r="509" spans="1:26" ht="18.75" customHeight="1">
      <c r="A509" s="250" t="s">
        <v>13448</v>
      </c>
      <c r="B509" s="1309"/>
      <c r="C509" s="1497"/>
      <c r="D509" s="1498" t="s">
        <v>16335</v>
      </c>
      <c r="E509" s="234"/>
      <c r="F509" s="1311"/>
      <c r="G509" s="236"/>
      <c r="H509" s="236"/>
      <c r="I509" s="1499"/>
      <c r="J509" s="262"/>
      <c r="K509" s="262"/>
      <c r="L509" s="386"/>
      <c r="M509" s="237" t="s">
        <v>16339</v>
      </c>
      <c r="N509" s="262"/>
      <c r="O509" s="262"/>
      <c r="P509" s="262"/>
      <c r="Q509" s="262"/>
      <c r="R509" s="262"/>
      <c r="S509" s="262"/>
      <c r="T509" s="262"/>
      <c r="U509" s="262"/>
      <c r="V509" s="262"/>
      <c r="W509" s="262"/>
      <c r="X509" s="262"/>
      <c r="Y509" s="262"/>
      <c r="Z509" s="262"/>
    </row>
    <row r="510" spans="1:26" ht="38.25" outlineLevel="1">
      <c r="A510" s="247" t="s">
        <v>13449</v>
      </c>
      <c r="B510" s="386">
        <v>97886</v>
      </c>
      <c r="C510" s="386" t="s">
        <v>14476</v>
      </c>
      <c r="D510" s="1314" t="str">
        <f>IFERROR(VLOOKUP($B510,'24.08_ND'!$A$4833:$D$12369,2,0),IFERROR(VLOOKUP($B510,'03-CP'!$C$5:$H$4646,2,0),""))</f>
        <v>CAIXA ENTERRADA ELÉTRICA RETANGULAR, EM ALVENARIA COM TIJOLOS CERÂMICOS MACIÇOS, FUNDO COM BRITA, DIMENSÕES INTERNAS: 0,3X0,3X0,3 M. AF_12/2020</v>
      </c>
      <c r="E510" s="1315" t="str">
        <f>IFERROR(VLOOKUP($B510,'24.08_ND'!$A:$D,3,0),IFERROR(VLOOKUP($B510,'03-CP'!$C$5:$H$4646,3,0),""))</f>
        <v>UN</v>
      </c>
      <c r="F510" s="389">
        <f>37+13</f>
        <v>50</v>
      </c>
      <c r="G510" s="1244"/>
      <c r="H510" s="1244"/>
      <c r="I510" s="1409"/>
      <c r="J510" s="1507"/>
      <c r="K510" s="262"/>
      <c r="L510" s="386"/>
      <c r="M510" s="262"/>
      <c r="N510" s="262"/>
      <c r="O510" s="262"/>
      <c r="P510" s="262"/>
      <c r="Q510" s="262"/>
      <c r="R510" s="262"/>
      <c r="S510" s="262"/>
      <c r="T510" s="262"/>
      <c r="U510" s="262"/>
      <c r="V510" s="262"/>
      <c r="W510" s="262"/>
      <c r="X510" s="262"/>
      <c r="Y510" s="262"/>
      <c r="Z510" s="262"/>
    </row>
    <row r="511" spans="1:26" ht="38.25" outlineLevel="1">
      <c r="A511" s="247" t="s">
        <v>13450</v>
      </c>
      <c r="B511" s="386">
        <v>97891</v>
      </c>
      <c r="C511" s="386" t="s">
        <v>14476</v>
      </c>
      <c r="D511" s="1314" t="str">
        <f>IFERROR(VLOOKUP($B511,'24.08_ND'!$A$4833:$D$12369,2,0),IFERROR(VLOOKUP($B511,'03-CP'!$C$5:$H$4646,2,0),""))</f>
        <v>CAIXA ENTERRADA ELÉTRICA RETANGULAR, EM ALVENARIA COM BLOCOS DE CONCRETO, FUNDO COM BRITA, DIMENSÕES INTERNAS: 0,4X0,4X0,4 M. AF_12/2020</v>
      </c>
      <c r="E511" s="1315" t="str">
        <f>IFERROR(VLOOKUP($B511,'24.08_ND'!$A:$D,3,0),IFERROR(VLOOKUP($B511,'03-CP'!$C$5:$H$4646,3,0),""))</f>
        <v>UN</v>
      </c>
      <c r="F511" s="389">
        <v>6</v>
      </c>
      <c r="G511" s="1244"/>
      <c r="H511" s="1244"/>
      <c r="I511" s="1409"/>
      <c r="J511" s="1507"/>
      <c r="K511" s="262"/>
      <c r="L511" s="386"/>
      <c r="M511" s="262"/>
      <c r="N511" s="262"/>
      <c r="O511" s="262"/>
      <c r="P511" s="262"/>
      <c r="Q511" s="262"/>
      <c r="R511" s="262"/>
      <c r="S511" s="262"/>
      <c r="T511" s="262"/>
      <c r="U511" s="262"/>
      <c r="V511" s="262"/>
      <c r="W511" s="262"/>
      <c r="X511" s="262"/>
      <c r="Y511" s="262"/>
      <c r="Z511" s="262"/>
    </row>
    <row r="512" spans="1:26" ht="38.25" outlineLevel="1">
      <c r="A512" s="247" t="s">
        <v>13451</v>
      </c>
      <c r="B512" s="386">
        <v>95778</v>
      </c>
      <c r="C512" s="386" t="s">
        <v>14476</v>
      </c>
      <c r="D512" s="1314" t="str">
        <f>IFERROR(VLOOKUP($B512,'24.08_ND'!$A$4833:$D$12369,2,0),IFERROR(VLOOKUP($B512,'03-CP'!$C$5:$H$4646,2,0),""))</f>
        <v>CONDULETE DE ALUMÍNIO, TIPO C, PARA ELETRODUTO DE AÇO GALVANIZADO DN 20 MM (3/4''), APARENTE - FORNECIMENTO E INSTALAÇÃO. AF_10/2022</v>
      </c>
      <c r="E512" s="1315" t="str">
        <f>IFERROR(VLOOKUP($B512,'24.08_ND'!$A:$D,3,0),IFERROR(VLOOKUP($B512,'03-CP'!$C$5:$H$4646,3,0),""))</f>
        <v>UN</v>
      </c>
      <c r="F512" s="389">
        <v>1</v>
      </c>
      <c r="G512" s="1244"/>
      <c r="H512" s="1244"/>
      <c r="I512" s="1409"/>
      <c r="J512" s="1507"/>
      <c r="K512" s="262"/>
      <c r="L512" s="386"/>
      <c r="M512" s="262"/>
      <c r="N512" s="262"/>
      <c r="O512" s="262"/>
      <c r="P512" s="262"/>
      <c r="Q512" s="262"/>
      <c r="R512" s="262"/>
      <c r="S512" s="262"/>
      <c r="T512" s="262"/>
      <c r="U512" s="262"/>
      <c r="V512" s="262"/>
      <c r="W512" s="262"/>
      <c r="X512" s="262"/>
      <c r="Y512" s="262"/>
      <c r="Z512" s="262"/>
    </row>
    <row r="513" spans="1:26" ht="18.75" customHeight="1">
      <c r="A513" s="250" t="s">
        <v>13452</v>
      </c>
      <c r="B513" s="1309"/>
      <c r="C513" s="1497"/>
      <c r="D513" s="1498" t="s">
        <v>16337</v>
      </c>
      <c r="E513" s="234"/>
      <c r="F513" s="1311"/>
      <c r="G513" s="236"/>
      <c r="H513" s="236"/>
      <c r="I513" s="1499"/>
      <c r="J513" s="236"/>
      <c r="K513" s="262"/>
      <c r="L513" s="386"/>
      <c r="M513" s="262"/>
      <c r="N513" s="262"/>
      <c r="O513" s="262"/>
      <c r="P513" s="262"/>
      <c r="Q513" s="262"/>
      <c r="R513" s="262"/>
      <c r="S513" s="262"/>
      <c r="T513" s="262"/>
      <c r="U513" s="262"/>
      <c r="V513" s="262"/>
      <c r="W513" s="262"/>
      <c r="X513" s="262"/>
      <c r="Y513" s="262"/>
      <c r="Z513" s="262"/>
    </row>
    <row r="514" spans="1:26" ht="25.5" outlineLevel="1">
      <c r="A514" s="247" t="s">
        <v>13453</v>
      </c>
      <c r="B514" s="386" t="s">
        <v>15220</v>
      </c>
      <c r="C514" s="386" t="s">
        <v>14472</v>
      </c>
      <c r="D514" s="1314" t="str">
        <f>IFERROR(VLOOKUP($B514,'24.08_ND'!$A$4833:$D$12369,2,0),IFERROR(VLOOKUP($B514,'03-CP'!$C$5:$H$4646,2,0),""))</f>
        <v>CABO DE COBRE PP 3 X 2,5 MM2, 450/750V – FORNECIMENTO E INSTALAÇÃO</v>
      </c>
      <c r="E514" s="1315" t="str">
        <f>IFERROR(VLOOKUP($B514,'24.08_ND'!$A:$D,3,0),IFERROR(VLOOKUP($B514,'03-CP'!$C$5:$H$4646,3,0),""))</f>
        <v>M</v>
      </c>
      <c r="F514" s="389">
        <v>330</v>
      </c>
      <c r="G514" s="1244"/>
      <c r="H514" s="1244"/>
      <c r="I514" s="1409"/>
      <c r="J514" s="1507"/>
      <c r="K514" s="262"/>
      <c r="L514" s="386"/>
      <c r="M514" s="262"/>
      <c r="N514" s="262"/>
      <c r="O514" s="262"/>
      <c r="P514" s="262"/>
      <c r="Q514" s="262"/>
      <c r="R514" s="262"/>
      <c r="S514" s="262"/>
      <c r="T514" s="262"/>
      <c r="U514" s="262"/>
      <c r="V514" s="262"/>
      <c r="W514" s="262"/>
      <c r="X514" s="262"/>
      <c r="Y514" s="262"/>
      <c r="Z514" s="262"/>
    </row>
    <row r="515" spans="1:26" ht="25.5" outlineLevel="1">
      <c r="A515" s="247" t="s">
        <v>13454</v>
      </c>
      <c r="B515" s="386" t="s">
        <v>15222</v>
      </c>
      <c r="C515" s="386" t="s">
        <v>14472</v>
      </c>
      <c r="D515" s="1314" t="str">
        <f>IFERROR(VLOOKUP($B515,'24.08_ND'!$A$4833:$D$12369,2,0),IFERROR(VLOOKUP($B515,'03-CP'!$C$5:$H$4646,2,0),""))</f>
        <v>CABO DE COBRE PP 3 X 4,0 MM2, 450/750V – FORNECIMENTO E INSTALAÇÃO</v>
      </c>
      <c r="E515" s="1315" t="str">
        <f>IFERROR(VLOOKUP($B515,'24.08_ND'!$A:$D,3,0),IFERROR(VLOOKUP($B515,'03-CP'!$C$5:$H$4646,3,0),""))</f>
        <v>M</v>
      </c>
      <c r="F515" s="389">
        <v>5</v>
      </c>
      <c r="G515" s="1244"/>
      <c r="H515" s="1244"/>
      <c r="I515" s="1409"/>
      <c r="J515" s="1507"/>
      <c r="K515" s="262"/>
      <c r="L515" s="386"/>
      <c r="M515" s="262"/>
      <c r="N515" s="262"/>
      <c r="O515" s="262"/>
      <c r="P515" s="262"/>
      <c r="Q515" s="262"/>
      <c r="R515" s="262"/>
      <c r="S515" s="262"/>
      <c r="T515" s="262"/>
      <c r="U515" s="262"/>
      <c r="V515" s="262"/>
      <c r="W515" s="262"/>
      <c r="X515" s="262"/>
      <c r="Y515" s="262"/>
      <c r="Z515" s="262"/>
    </row>
    <row r="516" spans="1:26" ht="25.5" outlineLevel="1">
      <c r="A516" s="247" t="s">
        <v>13455</v>
      </c>
      <c r="B516" s="386">
        <v>91926</v>
      </c>
      <c r="C516" s="386" t="s">
        <v>14476</v>
      </c>
      <c r="D516" s="1314" t="str">
        <f>IFERROR(VLOOKUP($B516,'24.08_ND'!$A$4833:$D$12369,2,0),IFERROR(VLOOKUP($B516,'03-CP'!$C$5:$H$4646,2,0),""))</f>
        <v>CABO DE COBRE FLEXÍVEL ISOLADO, 2,5 MM², ANTI-CHAMA 450/750 V, PARA CIRCUITOS TERMINAIS - FORNECIMENTO E INSTALAÇÃO. AF_03/2023</v>
      </c>
      <c r="E516" s="1315" t="str">
        <f>IFERROR(VLOOKUP($B516,'24.08_ND'!$A:$D,3,0),IFERROR(VLOOKUP($B516,'03-CP'!$C$5:$H$4646,3,0),""))</f>
        <v>M</v>
      </c>
      <c r="F516" s="389">
        <v>2800</v>
      </c>
      <c r="G516" s="1244"/>
      <c r="H516" s="1244"/>
      <c r="I516" s="1409"/>
      <c r="J516" s="1507"/>
      <c r="K516" s="262"/>
      <c r="L516" s="386"/>
      <c r="M516" s="262"/>
      <c r="N516" s="262"/>
      <c r="O516" s="262"/>
      <c r="P516" s="262"/>
      <c r="Q516" s="262"/>
      <c r="R516" s="262"/>
      <c r="S516" s="262"/>
      <c r="T516" s="262"/>
      <c r="U516" s="262"/>
      <c r="V516" s="262"/>
      <c r="W516" s="262"/>
      <c r="X516" s="262"/>
      <c r="Y516" s="262"/>
      <c r="Z516" s="262"/>
    </row>
    <row r="517" spans="1:26" ht="25.5" outlineLevel="1">
      <c r="A517" s="247" t="s">
        <v>13456</v>
      </c>
      <c r="B517" s="386">
        <v>91928</v>
      </c>
      <c r="C517" s="386" t="s">
        <v>14476</v>
      </c>
      <c r="D517" s="1314" t="str">
        <f>IFERROR(VLOOKUP($B517,'24.08_ND'!$A$4833:$D$12369,2,0),IFERROR(VLOOKUP($B517,'03-CP'!$C$5:$H$4646,2,0),""))</f>
        <v>CABO DE COBRE FLEXÍVEL ISOLADO, 4 MM², ANTI-CHAMA 450/750 V, PARA CIRCUITOS TERMINAIS - FORNECIMENTO E INSTALAÇÃO. AF_03/2023</v>
      </c>
      <c r="E517" s="1315" t="str">
        <f>IFERROR(VLOOKUP($B517,'24.08_ND'!$A:$D,3,0),IFERROR(VLOOKUP($B517,'03-CP'!$C$5:$H$4646,3,0),""))</f>
        <v>M</v>
      </c>
      <c r="F517" s="389">
        <v>1500</v>
      </c>
      <c r="G517" s="1244"/>
      <c r="H517" s="1244"/>
      <c r="I517" s="1409"/>
      <c r="J517" s="1507"/>
      <c r="K517" s="262"/>
      <c r="L517" s="386"/>
      <c r="M517" s="262"/>
      <c r="N517" s="262"/>
      <c r="O517" s="262"/>
      <c r="P517" s="262"/>
      <c r="Q517" s="262"/>
      <c r="R517" s="262"/>
      <c r="S517" s="262"/>
      <c r="T517" s="262"/>
      <c r="U517" s="262"/>
      <c r="V517" s="262"/>
      <c r="W517" s="262"/>
      <c r="X517" s="262"/>
      <c r="Y517" s="262"/>
      <c r="Z517" s="262"/>
    </row>
    <row r="518" spans="1:26" ht="38.25" outlineLevel="1">
      <c r="A518" s="247" t="s">
        <v>13457</v>
      </c>
      <c r="B518" s="386">
        <v>92988</v>
      </c>
      <c r="C518" s="386" t="s">
        <v>14476</v>
      </c>
      <c r="D518" s="1314" t="str">
        <f>IFERROR(VLOOKUP($B518,'24.08_ND'!$A$4833:$D$12369,2,0),IFERROR(VLOOKUP($B518,'03-CP'!$C$5:$H$4646,2,0),""))</f>
        <v>CABO DE COBRE FLEXÍVEL ISOLADO, 50 MM², ANTI-CHAMA 0,6/1,0 KV, PARA REDE ENTERRADA DE DISTRIBUIÇÃO DE ENERGIA ELÉTRICA - FORNECIMENTO E INSTALAÇÃO. AF_12/2021</v>
      </c>
      <c r="E518" s="1315" t="str">
        <f>IFERROR(VLOOKUP($B518,'24.08_ND'!$A:$D,3,0),IFERROR(VLOOKUP($B518,'03-CP'!$C$5:$H$4646,3,0),""))</f>
        <v>M</v>
      </c>
      <c r="F518" s="389">
        <v>200</v>
      </c>
      <c r="G518" s="1244"/>
      <c r="H518" s="1244"/>
      <c r="I518" s="1409"/>
      <c r="J518" s="1507"/>
      <c r="K518" s="262"/>
      <c r="L518" s="386"/>
      <c r="M518" s="262"/>
      <c r="N518" s="262"/>
      <c r="O518" s="262"/>
      <c r="P518" s="262"/>
      <c r="Q518" s="262"/>
      <c r="R518" s="262"/>
      <c r="S518" s="262"/>
      <c r="T518" s="262"/>
      <c r="U518" s="262"/>
      <c r="V518" s="262"/>
      <c r="W518" s="262"/>
      <c r="X518" s="262"/>
      <c r="Y518" s="262"/>
      <c r="Z518" s="262"/>
    </row>
    <row r="519" spans="1:26" ht="18.75" customHeight="1">
      <c r="A519" s="250" t="s">
        <v>13458</v>
      </c>
      <c r="B519" s="1309"/>
      <c r="C519" s="1497"/>
      <c r="D519" s="1498" t="s">
        <v>16424</v>
      </c>
      <c r="E519" s="234"/>
      <c r="F519" s="1311"/>
      <c r="G519" s="236"/>
      <c r="H519" s="236"/>
      <c r="I519" s="1499"/>
      <c r="J519" s="236"/>
      <c r="K519" s="262"/>
      <c r="L519" s="386"/>
      <c r="M519" s="262"/>
      <c r="N519" s="262"/>
      <c r="O519" s="262"/>
      <c r="P519" s="262"/>
      <c r="Q519" s="262"/>
      <c r="R519" s="262"/>
      <c r="S519" s="262"/>
      <c r="T519" s="262"/>
      <c r="U519" s="262"/>
      <c r="V519" s="262"/>
      <c r="W519" s="262"/>
      <c r="X519" s="262"/>
      <c r="Y519" s="262"/>
      <c r="Z519" s="262"/>
    </row>
    <row r="520" spans="1:26" ht="25.5" outlineLevel="1">
      <c r="A520" s="247" t="s">
        <v>13459</v>
      </c>
      <c r="B520" s="386">
        <v>96985</v>
      </c>
      <c r="C520" s="386" t="s">
        <v>14476</v>
      </c>
      <c r="D520" s="1314" t="str">
        <f>IFERROR(VLOOKUP($B520,'24.08_ND'!$A$4833:$D$12369,2,0),IFERROR(VLOOKUP($B520,'03-CP'!$C$5:$H$4646,2,0),""))</f>
        <v>HASTE DE ATERRAMENTO, DIÂMETRO 5/8", COM 3 METROS - FORNECIMENTO E INSTALAÇÃO. AF_08/2023</v>
      </c>
      <c r="E520" s="1315" t="str">
        <f>IFERROR(VLOOKUP($B520,'24.08_ND'!$A:$D,3,0),IFERROR(VLOOKUP($B520,'03-CP'!$C$5:$H$4646,3,0),""))</f>
        <v>UN</v>
      </c>
      <c r="F520" s="389">
        <f>3+40</f>
        <v>43</v>
      </c>
      <c r="G520" s="1244"/>
      <c r="H520" s="1244"/>
      <c r="I520" s="1409"/>
      <c r="J520" s="1507"/>
      <c r="K520" s="262"/>
      <c r="L520" s="386"/>
      <c r="M520" s="262"/>
      <c r="N520" s="262"/>
      <c r="O520" s="262"/>
      <c r="P520" s="262"/>
      <c r="Q520" s="262"/>
      <c r="R520" s="262"/>
      <c r="S520" s="262"/>
      <c r="T520" s="262"/>
      <c r="U520" s="262"/>
      <c r="V520" s="262"/>
      <c r="W520" s="262"/>
      <c r="X520" s="262"/>
      <c r="Y520" s="262"/>
      <c r="Z520" s="262"/>
    </row>
    <row r="521" spans="1:26" ht="25.5" outlineLevel="1">
      <c r="A521" s="247" t="s">
        <v>13460</v>
      </c>
      <c r="B521" s="386" t="s">
        <v>15228</v>
      </c>
      <c r="C521" s="386" t="s">
        <v>14472</v>
      </c>
      <c r="D521" s="1314" t="str">
        <f>IFERROR(VLOOKUP($B521,'24.08_ND'!$A$4833:$D$12369,2,0),IFERROR(VLOOKUP($B521,'03-CP'!$C$5:$H$4646,2,0),""))</f>
        <v>CABO DE COBRE NÚ 50MM² PARA ATERRAMENTO DE QUADRO OU POSTE - FORNECIMENTO E INSTALAÇÃO</v>
      </c>
      <c r="E521" s="1315" t="str">
        <f>IFERROR(VLOOKUP($B521,'24.08_ND'!$A:$D,3,0),IFERROR(VLOOKUP($B521,'03-CP'!$C$5:$H$4646,3,0),""))</f>
        <v>M</v>
      </c>
      <c r="F521" s="389">
        <f>20+8</f>
        <v>28</v>
      </c>
      <c r="G521" s="1244"/>
      <c r="H521" s="1244"/>
      <c r="I521" s="1409"/>
      <c r="J521" s="1507"/>
      <c r="K521" s="262"/>
      <c r="L521" s="386"/>
      <c r="M521" s="262"/>
      <c r="N521" s="262"/>
      <c r="O521" s="262"/>
      <c r="P521" s="262"/>
      <c r="Q521" s="262"/>
      <c r="R521" s="262"/>
      <c r="S521" s="262"/>
      <c r="T521" s="262"/>
      <c r="U521" s="262"/>
      <c r="V521" s="262"/>
      <c r="W521" s="262"/>
      <c r="X521" s="262"/>
      <c r="Y521" s="262"/>
      <c r="Z521" s="262"/>
    </row>
    <row r="522" spans="1:26" ht="25.5" outlineLevel="1">
      <c r="A522" s="247" t="s">
        <v>13461</v>
      </c>
      <c r="B522" s="386">
        <v>98111</v>
      </c>
      <c r="C522" s="386" t="s">
        <v>14476</v>
      </c>
      <c r="D522" s="1314" t="str">
        <f>IFERROR(VLOOKUP($B522,'24.08_ND'!$A$4833:$D$12369,2,0),IFERROR(VLOOKUP($B522,'03-CP'!$C$5:$H$4646,2,0),""))</f>
        <v>CAIXA DE INSPEÇÃO PARA ATERRAMENTO, CIRCULAR, EM POLIETILENO, DIÂMETRO INTERNO = 0,3 M. AF_12/2020</v>
      </c>
      <c r="E522" s="1315" t="str">
        <f>IFERROR(VLOOKUP($B522,'24.08_ND'!$A:$D,3,0),IFERROR(VLOOKUP($B522,'03-CP'!$C$5:$H$4646,3,0),""))</f>
        <v>UN</v>
      </c>
      <c r="F522" s="389">
        <v>3</v>
      </c>
      <c r="G522" s="1244"/>
      <c r="H522" s="1244"/>
      <c r="I522" s="1409"/>
      <c r="J522" s="1507"/>
      <c r="K522" s="262"/>
      <c r="L522" s="386"/>
      <c r="M522" s="262"/>
      <c r="N522" s="262"/>
      <c r="O522" s="262"/>
      <c r="P522" s="262"/>
      <c r="Q522" s="262"/>
      <c r="R522" s="262"/>
      <c r="S522" s="262"/>
      <c r="T522" s="262"/>
      <c r="U522" s="262"/>
      <c r="V522" s="262"/>
      <c r="W522" s="262"/>
      <c r="X522" s="262"/>
      <c r="Y522" s="262"/>
      <c r="Z522" s="262"/>
    </row>
    <row r="523" spans="1:26" ht="38.25" outlineLevel="1">
      <c r="A523" s="247" t="s">
        <v>13462</v>
      </c>
      <c r="B523" s="386">
        <v>104750</v>
      </c>
      <c r="C523" s="386" t="s">
        <v>14476</v>
      </c>
      <c r="D523" s="1314" t="str">
        <f>IFERROR(VLOOKUP($B523,'24.08_ND'!$A$4833:$D$12369,2,0),IFERROR(VLOOKUP($B523,'03-CP'!$C$5:$H$4646,2,0),""))</f>
        <v>CONECTOR GRAMPO METÁLICO TIPO OLHAL, PARA SPDA, PARA HASTE DE ATERRAMENTO DE 5/8'' E CABOS DE 10 A 50 MM2 - FORNECIMENTO E INSTALAÇÃO. AF_08/2023</v>
      </c>
      <c r="E523" s="1315" t="str">
        <f>IFERROR(VLOOKUP($B523,'24.08_ND'!$A:$D,3,0),IFERROR(VLOOKUP($B523,'03-CP'!$C$5:$H$4646,3,0),""))</f>
        <v>UN</v>
      </c>
      <c r="F523" s="389">
        <f>3+40</f>
        <v>43</v>
      </c>
      <c r="G523" s="1244"/>
      <c r="H523" s="1244"/>
      <c r="I523" s="1409"/>
      <c r="J523" s="1507"/>
      <c r="K523" s="262"/>
      <c r="L523" s="386"/>
      <c r="M523" s="262"/>
      <c r="N523" s="262"/>
      <c r="O523" s="262"/>
      <c r="P523" s="262"/>
      <c r="Q523" s="262"/>
      <c r="R523" s="262"/>
      <c r="S523" s="262"/>
      <c r="T523" s="262"/>
      <c r="U523" s="262"/>
      <c r="V523" s="262"/>
      <c r="W523" s="262"/>
      <c r="X523" s="262"/>
      <c r="Y523" s="262"/>
      <c r="Z523" s="262"/>
    </row>
    <row r="524" spans="1:26" ht="25.5" outlineLevel="1">
      <c r="A524" s="247" t="s">
        <v>13463</v>
      </c>
      <c r="B524" s="386" t="s">
        <v>15224</v>
      </c>
      <c r="C524" s="386" t="s">
        <v>14472</v>
      </c>
      <c r="D524" s="1314" t="str">
        <f>IFERROR(VLOOKUP($B524,'24.08_ND'!$A$4833:$D$12369,2,0),IFERROR(VLOOKUP($B524,'03-CP'!$C$5:$H$4646,2,0),""))</f>
        <v>TERMINAL MECANICO A COMPRESSAO,FABRICADO EM BRONZE,PARA CABO DE 50MM² (02 FUROS) - FORNECIMENTO E COLOCAÇÃO</v>
      </c>
      <c r="E524" s="1315" t="str">
        <f>IFERROR(VLOOKUP($B524,'24.08_ND'!$A:$D,3,0),IFERROR(VLOOKUP($B524,'03-CP'!$C$5:$H$4646,3,0),""))</f>
        <v>UN</v>
      </c>
      <c r="F524" s="389">
        <f>40+1</f>
        <v>41</v>
      </c>
      <c r="G524" s="1244"/>
      <c r="H524" s="1244"/>
      <c r="I524" s="1409"/>
      <c r="J524" s="1507"/>
      <c r="K524" s="262"/>
      <c r="L524" s="386"/>
      <c r="M524" s="262"/>
      <c r="N524" s="262"/>
      <c r="O524" s="262"/>
      <c r="P524" s="262"/>
      <c r="Q524" s="262"/>
      <c r="R524" s="262"/>
      <c r="S524" s="262"/>
      <c r="T524" s="262"/>
      <c r="U524" s="262"/>
      <c r="V524" s="262"/>
      <c r="W524" s="262"/>
      <c r="X524" s="262"/>
      <c r="Y524" s="262"/>
      <c r="Z524" s="262"/>
    </row>
    <row r="525" spans="1:26" ht="18.75" customHeight="1">
      <c r="A525" s="250" t="s">
        <v>13464</v>
      </c>
      <c r="B525" s="1309"/>
      <c r="C525" s="1497"/>
      <c r="D525" s="1498" t="s">
        <v>16425</v>
      </c>
      <c r="E525" s="234"/>
      <c r="F525" s="1311"/>
      <c r="G525" s="236"/>
      <c r="H525" s="236"/>
      <c r="I525" s="1499"/>
      <c r="J525" s="236"/>
      <c r="K525" s="262"/>
      <c r="L525" s="386"/>
      <c r="M525" s="262"/>
      <c r="N525" s="262"/>
      <c r="O525" s="262"/>
      <c r="P525" s="262"/>
      <c r="Q525" s="262"/>
      <c r="R525" s="262"/>
      <c r="S525" s="262"/>
      <c r="T525" s="262"/>
      <c r="U525" s="262"/>
      <c r="V525" s="262"/>
      <c r="W525" s="262"/>
      <c r="X525" s="262"/>
      <c r="Y525" s="262"/>
      <c r="Z525" s="262"/>
    </row>
    <row r="526" spans="1:26" ht="25.5" outlineLevel="1">
      <c r="A526" s="247" t="s">
        <v>13465</v>
      </c>
      <c r="B526" s="386">
        <v>93660</v>
      </c>
      <c r="C526" s="386" t="s">
        <v>14476</v>
      </c>
      <c r="D526" s="1314" t="str">
        <f>IFERROR(VLOOKUP($B526,'24.08_ND'!$A$4833:$D$12369,2,0),IFERROR(VLOOKUP($B526,'03-CP'!$C$5:$H$4646,2,0),""))</f>
        <v>DISJUNTOR BIPOLAR TIPO DIN, CORRENTE NOMINAL DE 10A - FORNECIMENTO E INSTALAÇÃO. AF_10/2020</v>
      </c>
      <c r="E526" s="1315" t="str">
        <f>IFERROR(VLOOKUP($B526,'24.08_ND'!$A:$D,3,0),IFERROR(VLOOKUP($B526,'03-CP'!$C$5:$H$4646,3,0),""))</f>
        <v>UN</v>
      </c>
      <c r="F526" s="389">
        <v>3</v>
      </c>
      <c r="G526" s="1244"/>
      <c r="H526" s="1244"/>
      <c r="I526" s="1409"/>
      <c r="J526" s="1507"/>
      <c r="K526" s="262"/>
      <c r="L526" s="386"/>
      <c r="M526" s="262"/>
      <c r="N526" s="262"/>
      <c r="O526" s="262"/>
      <c r="P526" s="262"/>
      <c r="Q526" s="262"/>
      <c r="R526" s="262"/>
      <c r="S526" s="262"/>
      <c r="T526" s="262"/>
      <c r="U526" s="262"/>
      <c r="V526" s="262"/>
      <c r="W526" s="262"/>
      <c r="X526" s="262"/>
      <c r="Y526" s="262"/>
      <c r="Z526" s="262"/>
    </row>
    <row r="527" spans="1:26" ht="25.5" outlineLevel="1">
      <c r="A527" s="247" t="s">
        <v>13466</v>
      </c>
      <c r="B527" s="386">
        <v>93661</v>
      </c>
      <c r="C527" s="386" t="s">
        <v>14476</v>
      </c>
      <c r="D527" s="1314" t="str">
        <f>IFERROR(VLOOKUP($B527,'24.08_ND'!$A$4833:$D$12369,2,0),IFERROR(VLOOKUP($B527,'03-CP'!$C$5:$H$4646,2,0),""))</f>
        <v>DISJUNTOR BIPOLAR TIPO DIN, CORRENTE NOMINAL DE 16A - FORNECIMENTO E INSTALAÇÃO. AF_10/2020</v>
      </c>
      <c r="E527" s="1315" t="str">
        <f>IFERROR(VLOOKUP($B527,'24.08_ND'!$A:$D,3,0),IFERROR(VLOOKUP($B527,'03-CP'!$C$5:$H$4646,3,0),""))</f>
        <v>UN</v>
      </c>
      <c r="F527" s="389">
        <v>2</v>
      </c>
      <c r="G527" s="1244"/>
      <c r="H527" s="1244"/>
      <c r="I527" s="1409"/>
      <c r="J527" s="1507"/>
      <c r="K527" s="262"/>
      <c r="L527" s="386"/>
      <c r="M527" s="262"/>
      <c r="N527" s="262"/>
      <c r="O527" s="262"/>
      <c r="P527" s="262"/>
      <c r="Q527" s="262"/>
      <c r="R527" s="262"/>
      <c r="S527" s="262"/>
      <c r="T527" s="262"/>
      <c r="U527" s="262"/>
      <c r="V527" s="262"/>
      <c r="W527" s="262"/>
      <c r="X527" s="262"/>
      <c r="Y527" s="262"/>
      <c r="Z527" s="262"/>
    </row>
    <row r="528" spans="1:26" ht="12.75" outlineLevel="1">
      <c r="A528" s="247" t="s">
        <v>13467</v>
      </c>
      <c r="B528" s="386" t="s">
        <v>15230</v>
      </c>
      <c r="C528" s="386" t="s">
        <v>14472</v>
      </c>
      <c r="D528" s="1314" t="str">
        <f>IFERROR(VLOOKUP($B528,'24.08_ND'!$A$4833:$D$12369,2,0),IFERROR(VLOOKUP($B528,'03-CP'!$C$5:$H$4646,2,0),""))</f>
        <v>DISJUNTOR BIPOLAR 125A CURVA C – FORNECIMENTO E INSTALAÇÃO</v>
      </c>
      <c r="E528" s="1315" t="str">
        <f>IFERROR(VLOOKUP($B528,'24.08_ND'!$A:$D,3,0),IFERROR(VLOOKUP($B528,'03-CP'!$C$5:$H$4646,3,0),""))</f>
        <v>UN</v>
      </c>
      <c r="F528" s="389">
        <v>1</v>
      </c>
      <c r="G528" s="1244"/>
      <c r="H528" s="1244"/>
      <c r="I528" s="1409"/>
      <c r="J528" s="1507"/>
      <c r="K528" s="262"/>
      <c r="L528" s="386"/>
      <c r="M528" s="262"/>
      <c r="N528" s="262"/>
      <c r="O528" s="262"/>
      <c r="P528" s="262"/>
      <c r="Q528" s="262"/>
      <c r="R528" s="262"/>
      <c r="S528" s="262"/>
      <c r="T528" s="262"/>
      <c r="U528" s="262"/>
      <c r="V528" s="262"/>
      <c r="W528" s="262"/>
      <c r="X528" s="262"/>
      <c r="Y528" s="262"/>
      <c r="Z528" s="262"/>
    </row>
    <row r="529" spans="1:26" ht="25.5" outlineLevel="1">
      <c r="A529" s="247" t="s">
        <v>13468</v>
      </c>
      <c r="B529" s="386" t="s">
        <v>15234</v>
      </c>
      <c r="C529" s="386" t="s">
        <v>14472</v>
      </c>
      <c r="D529" s="1314" t="str">
        <f>IFERROR(VLOOKUP($B529,'24.08_ND'!$A$4833:$D$12369,2,0),IFERROR(VLOOKUP($B529,'03-CP'!$C$5:$H$4646,2,0),""))</f>
        <v>CONTATOR MODULAR MONO 220V 20A 2NA  - FORNECIMENTO E INSTALACAO</v>
      </c>
      <c r="E529" s="1315" t="str">
        <f>IFERROR(VLOOKUP($B529,'24.08_ND'!$A:$D,3,0),IFERROR(VLOOKUP($B529,'03-CP'!$C$5:$H$4646,3,0),""))</f>
        <v>UN</v>
      </c>
      <c r="F529" s="389">
        <v>4</v>
      </c>
      <c r="G529" s="1244"/>
      <c r="H529" s="1244"/>
      <c r="I529" s="1409"/>
      <c r="J529" s="1507"/>
      <c r="K529" s="262"/>
      <c r="L529" s="386"/>
      <c r="M529" s="262"/>
      <c r="N529" s="262"/>
      <c r="O529" s="262"/>
      <c r="P529" s="262"/>
      <c r="Q529" s="262"/>
      <c r="R529" s="262"/>
      <c r="S529" s="262"/>
      <c r="T529" s="262"/>
      <c r="U529" s="262"/>
      <c r="V529" s="262"/>
      <c r="W529" s="262"/>
      <c r="X529" s="262"/>
      <c r="Y529" s="262"/>
      <c r="Z529" s="262"/>
    </row>
    <row r="530" spans="1:26" ht="25.5" outlineLevel="1">
      <c r="A530" s="247" t="s">
        <v>13469</v>
      </c>
      <c r="B530" s="386" t="s">
        <v>15155</v>
      </c>
      <c r="C530" s="386" t="s">
        <v>14472</v>
      </c>
      <c r="D530" s="1314" t="str">
        <f>IFERROR(VLOOKUP($B530,'24.08_ND'!$A$4833:$D$12369,2,0),IFERROR(VLOOKUP($B530,'03-CP'!$C$5:$H$4646,2,0),""))</f>
        <v xml:space="preserve"> DISPOSITIVO DPS CLASSE II, 1 POLO, TENSAO MAXIMA DE 275 V, CORRENTE MAXIMA DE *20* KA (TIPO AC)  - FORNECIMENTO E INSTALACAO</v>
      </c>
      <c r="E530" s="1315" t="str">
        <f>IFERROR(VLOOKUP($B530,'24.08_ND'!$A:$D,3,0),IFERROR(VLOOKUP($B530,'03-CP'!$C$5:$H$4646,3,0),""))</f>
        <v>UN</v>
      </c>
      <c r="F530" s="389">
        <v>2</v>
      </c>
      <c r="G530" s="1244"/>
      <c r="H530" s="1244"/>
      <c r="I530" s="1409"/>
      <c r="J530" s="1507"/>
      <c r="K530" s="262"/>
      <c r="L530" s="386"/>
      <c r="M530" s="262"/>
      <c r="N530" s="262"/>
      <c r="O530" s="262"/>
      <c r="P530" s="262"/>
      <c r="Q530" s="262"/>
      <c r="R530" s="262"/>
      <c r="S530" s="262"/>
      <c r="T530" s="262"/>
      <c r="U530" s="262"/>
      <c r="V530" s="262"/>
      <c r="W530" s="262"/>
      <c r="X530" s="262"/>
      <c r="Y530" s="262"/>
      <c r="Z530" s="262"/>
    </row>
    <row r="531" spans="1:26" ht="25.5" outlineLevel="1">
      <c r="A531" s="247" t="s">
        <v>13470</v>
      </c>
      <c r="B531" s="386" t="s">
        <v>15237</v>
      </c>
      <c r="C531" s="386" t="s">
        <v>14472</v>
      </c>
      <c r="D531" s="1314" t="str">
        <f>IFERROR(VLOOKUP($B531,'24.08_ND'!$A$4833:$D$12369,2,0),IFERROR(VLOOKUP($B531,'03-CP'!$C$5:$H$4646,2,0),""))</f>
        <v>QUADRO DE COMANDO CAIXA EM CHAPA METÁLICA GALVANIZADA 60X50X20CM – FORNECIMENTO E INSTALAÇÃO</v>
      </c>
      <c r="E531" s="1315" t="str">
        <f>IFERROR(VLOOKUP($B531,'24.08_ND'!$A:$D,3,0),IFERROR(VLOOKUP($B531,'03-CP'!$C$5:$H$4646,3,0),""))</f>
        <v>UN</v>
      </c>
      <c r="F531" s="389">
        <v>1</v>
      </c>
      <c r="G531" s="1244"/>
      <c r="H531" s="1244"/>
      <c r="I531" s="1409"/>
      <c r="J531" s="1507"/>
      <c r="K531" s="262"/>
      <c r="L531" s="386"/>
      <c r="M531" s="262"/>
      <c r="N531" s="262"/>
      <c r="O531" s="262"/>
      <c r="P531" s="262"/>
      <c r="Q531" s="262"/>
      <c r="R531" s="262"/>
      <c r="S531" s="262"/>
      <c r="T531" s="262"/>
      <c r="U531" s="262"/>
      <c r="V531" s="262"/>
      <c r="W531" s="262"/>
      <c r="X531" s="262"/>
      <c r="Y531" s="262"/>
      <c r="Z531" s="262"/>
    </row>
    <row r="532" spans="1:26" ht="38.25" outlineLevel="1">
      <c r="A532" s="247" t="s">
        <v>13471</v>
      </c>
      <c r="B532" s="386">
        <v>92986</v>
      </c>
      <c r="C532" s="386" t="s">
        <v>14476</v>
      </c>
      <c r="D532" s="1314" t="str">
        <f>IFERROR(VLOOKUP($B532,'24.08_ND'!$A$4833:$D$12369,2,0),IFERROR(VLOOKUP($B532,'03-CP'!$C$5:$H$4646,2,0),""))</f>
        <v>CABO DE COBRE FLEXÍVEL ISOLADO, 35 MM², ANTI-CHAMA 0,6/1,0 KV, PARA REDE ENTERRADA DE DISTRIBUIÇÃO DE ENERGIA ELÉTRICA - FORNECIMENTO E INSTALAÇÃO. AF_12/2021</v>
      </c>
      <c r="E532" s="1315" t="str">
        <f>IFERROR(VLOOKUP($B532,'24.08_ND'!$A:$D,3,0),IFERROR(VLOOKUP($B532,'03-CP'!$C$5:$H$4646,3,0),""))</f>
        <v>M</v>
      </c>
      <c r="F532" s="389">
        <v>1</v>
      </c>
      <c r="G532" s="1244"/>
      <c r="H532" s="1244"/>
      <c r="I532" s="1409"/>
      <c r="J532" s="1507"/>
      <c r="K532" s="262"/>
      <c r="L532" s="386"/>
      <c r="M532" s="262"/>
      <c r="N532" s="262"/>
      <c r="O532" s="262"/>
      <c r="P532" s="262"/>
      <c r="Q532" s="262"/>
      <c r="R532" s="262"/>
      <c r="S532" s="262"/>
      <c r="T532" s="262"/>
      <c r="U532" s="262"/>
      <c r="V532" s="262"/>
      <c r="W532" s="262"/>
      <c r="X532" s="262"/>
      <c r="Y532" s="262"/>
      <c r="Z532" s="262"/>
    </row>
    <row r="533" spans="1:26" ht="25.5" outlineLevel="1">
      <c r="A533" s="247" t="s">
        <v>13472</v>
      </c>
      <c r="B533" s="386">
        <v>91926</v>
      </c>
      <c r="C533" s="386" t="s">
        <v>14476</v>
      </c>
      <c r="D533" s="1314" t="str">
        <f>IFERROR(VLOOKUP($B533,'24.08_ND'!$A$4833:$D$12369,2,0),IFERROR(VLOOKUP($B533,'03-CP'!$C$5:$H$4646,2,0),""))</f>
        <v>CABO DE COBRE FLEXÍVEL ISOLADO, 2,5 MM², ANTI-CHAMA 450/750 V, PARA CIRCUITOS TERMINAIS - FORNECIMENTO E INSTALAÇÃO. AF_03/2023</v>
      </c>
      <c r="E533" s="1315" t="str">
        <f>IFERROR(VLOOKUP($B533,'24.08_ND'!$A:$D,3,0),IFERROR(VLOOKUP($B533,'03-CP'!$C$5:$H$4646,3,0),""))</f>
        <v>M</v>
      </c>
      <c r="F533" s="389">
        <v>8</v>
      </c>
      <c r="G533" s="1244"/>
      <c r="H533" s="1244"/>
      <c r="I533" s="1409"/>
      <c r="J533" s="1507"/>
      <c r="K533" s="262"/>
      <c r="L533" s="386"/>
      <c r="M533" s="262"/>
      <c r="N533" s="262"/>
      <c r="O533" s="262"/>
      <c r="P533" s="262"/>
      <c r="Q533" s="262"/>
      <c r="R533" s="262"/>
      <c r="S533" s="262"/>
      <c r="T533" s="262"/>
      <c r="U533" s="262"/>
      <c r="V533" s="262"/>
      <c r="W533" s="262"/>
      <c r="X533" s="262"/>
      <c r="Y533" s="262"/>
      <c r="Z533" s="262"/>
    </row>
    <row r="534" spans="1:26" ht="25.5" outlineLevel="1">
      <c r="A534" s="247" t="s">
        <v>13473</v>
      </c>
      <c r="B534" s="386">
        <v>91928</v>
      </c>
      <c r="C534" s="386" t="s">
        <v>14476</v>
      </c>
      <c r="D534" s="1314" t="str">
        <f>IFERROR(VLOOKUP($B534,'24.08_ND'!$A$4833:$D$12369,2,0),IFERROR(VLOOKUP($B534,'03-CP'!$C$5:$H$4646,2,0),""))</f>
        <v>CABO DE COBRE FLEXÍVEL ISOLADO, 4 MM², ANTI-CHAMA 450/750 V, PARA CIRCUITOS TERMINAIS - FORNECIMENTO E INSTALAÇÃO. AF_03/2023</v>
      </c>
      <c r="E534" s="1315" t="str">
        <f>IFERROR(VLOOKUP($B534,'24.08_ND'!$A:$D,3,0),IFERROR(VLOOKUP($B534,'03-CP'!$C$5:$H$4646,3,0),""))</f>
        <v>M</v>
      </c>
      <c r="F534" s="389">
        <v>3</v>
      </c>
      <c r="G534" s="1244"/>
      <c r="H534" s="1244"/>
      <c r="I534" s="1409"/>
      <c r="J534" s="1507"/>
      <c r="K534" s="262"/>
      <c r="L534" s="386"/>
      <c r="M534" s="262"/>
      <c r="N534" s="262"/>
      <c r="O534" s="262"/>
      <c r="P534" s="262"/>
      <c r="Q534" s="262"/>
      <c r="R534" s="262"/>
      <c r="S534" s="262"/>
      <c r="T534" s="262"/>
      <c r="U534" s="262"/>
      <c r="V534" s="262"/>
      <c r="W534" s="262"/>
      <c r="X534" s="262"/>
      <c r="Y534" s="262"/>
      <c r="Z534" s="262"/>
    </row>
    <row r="535" spans="1:26" ht="25.5" outlineLevel="1">
      <c r="A535" s="247" t="s">
        <v>13474</v>
      </c>
      <c r="B535" s="386" t="s">
        <v>15150</v>
      </c>
      <c r="C535" s="386" t="s">
        <v>14472</v>
      </c>
      <c r="D535" s="1314" t="str">
        <f>IFERROR(VLOOKUP($B535,'24.08_ND'!$A$4833:$D$12369,2,0),IFERROR(VLOOKUP($B535,'03-CP'!$C$5:$H$4646,2,0),""))</f>
        <v>CABO DE COBRE PP 2 X 2,5 MM2, 450/750V – FORNECIMENTO E INSTALAÇÃO</v>
      </c>
      <c r="E535" s="1315" t="str">
        <f>IFERROR(VLOOKUP($B535,'24.08_ND'!$A:$D,3,0),IFERROR(VLOOKUP($B535,'03-CP'!$C$5:$H$4646,3,0),""))</f>
        <v>M</v>
      </c>
      <c r="F535" s="389">
        <v>5</v>
      </c>
      <c r="G535" s="1244"/>
      <c r="H535" s="1244"/>
      <c r="I535" s="1409"/>
      <c r="J535" s="1507"/>
      <c r="K535" s="262"/>
      <c r="L535" s="386"/>
      <c r="M535" s="262"/>
      <c r="N535" s="262"/>
      <c r="O535" s="262"/>
      <c r="P535" s="262"/>
      <c r="Q535" s="262"/>
      <c r="R535" s="262"/>
      <c r="S535" s="262"/>
      <c r="T535" s="262"/>
      <c r="U535" s="262"/>
      <c r="V535" s="262"/>
      <c r="W535" s="262"/>
      <c r="X535" s="262"/>
      <c r="Y535" s="262"/>
      <c r="Z535" s="262"/>
    </row>
    <row r="536" spans="1:26" ht="25.5" outlineLevel="1">
      <c r="A536" s="247" t="s">
        <v>13475</v>
      </c>
      <c r="B536" s="386">
        <v>101632</v>
      </c>
      <c r="C536" s="386" t="s">
        <v>14476</v>
      </c>
      <c r="D536" s="1314" t="str">
        <f>IFERROR(VLOOKUP($B536,'24.08_ND'!$A$4833:$D$12369,2,0),IFERROR(VLOOKUP($B536,'03-CP'!$C$5:$H$4646,2,0),""))</f>
        <v>RELÉ FOTOELÉTRICO PARA COMANDO DE ILUMINAÇÃO EXTERNA 1000 W - FORNECIMENTO E INSTALAÇÃO. AF_08/2020</v>
      </c>
      <c r="E536" s="1315" t="str">
        <f>IFERROR(VLOOKUP($B536,'24.08_ND'!$A:$D,3,0),IFERROR(VLOOKUP($B536,'03-CP'!$C$5:$H$4646,3,0),""))</f>
        <v>UN</v>
      </c>
      <c r="F536" s="389">
        <v>1</v>
      </c>
      <c r="G536" s="1244"/>
      <c r="H536" s="1244"/>
      <c r="I536" s="1409"/>
      <c r="J536" s="1507"/>
      <c r="K536" s="262"/>
      <c r="L536" s="386"/>
      <c r="M536" s="262"/>
      <c r="N536" s="262"/>
      <c r="O536" s="262"/>
      <c r="P536" s="262"/>
      <c r="Q536" s="262"/>
      <c r="R536" s="262"/>
      <c r="S536" s="262"/>
      <c r="T536" s="262"/>
      <c r="U536" s="262"/>
      <c r="V536" s="262"/>
      <c r="W536" s="262"/>
      <c r="X536" s="262"/>
      <c r="Y536" s="262"/>
      <c r="Z536" s="262"/>
    </row>
    <row r="537" spans="1:26" ht="18.75" customHeight="1">
      <c r="A537" s="250" t="s">
        <v>13476</v>
      </c>
      <c r="B537" s="1309"/>
      <c r="C537" s="1497"/>
      <c r="D537" s="1498" t="s">
        <v>16426</v>
      </c>
      <c r="E537" s="234"/>
      <c r="F537" s="1311"/>
      <c r="G537" s="236"/>
      <c r="H537" s="236"/>
      <c r="I537" s="1499"/>
      <c r="J537" s="236"/>
      <c r="K537" s="262"/>
      <c r="L537" s="386"/>
      <c r="M537" s="262"/>
      <c r="N537" s="262"/>
      <c r="O537" s="262"/>
      <c r="P537" s="262"/>
      <c r="Q537" s="262"/>
      <c r="R537" s="262"/>
      <c r="S537" s="262"/>
      <c r="T537" s="262"/>
      <c r="U537" s="262"/>
      <c r="V537" s="262"/>
      <c r="W537" s="262"/>
      <c r="X537" s="262"/>
      <c r="Y537" s="262"/>
      <c r="Z537" s="262"/>
    </row>
    <row r="538" spans="1:26" ht="25.5" outlineLevel="1">
      <c r="A538" s="247" t="s">
        <v>13477</v>
      </c>
      <c r="B538" s="386" t="s">
        <v>15311</v>
      </c>
      <c r="C538" s="386" t="s">
        <v>14472</v>
      </c>
      <c r="D538" s="1314" t="str">
        <f>IFERROR(VLOOKUP($B538,'24.08_ND'!$A$4833:$D$12369,2,0),IFERROR(VLOOKUP($B538,'03-CP'!$C$5:$H$4646,2,0),""))</f>
        <v>POSTE COM ALTURA DE 10 METROS LIVRES COM SUPORTE PARA 1 LUMINÁRIA - FORNECIMENTO E INSTALAÇÃO</v>
      </c>
      <c r="E538" s="1315" t="str">
        <f>IFERROR(VLOOKUP($B538,'24.08_ND'!$A:$D,3,0),IFERROR(VLOOKUP($B538,'03-CP'!$C$5:$H$4646,3,0),""))</f>
        <v>UN</v>
      </c>
      <c r="F538" s="389">
        <v>13</v>
      </c>
      <c r="G538" s="1244"/>
      <c r="H538" s="1244"/>
      <c r="I538" s="1409"/>
      <c r="J538" s="1507"/>
      <c r="K538" s="262"/>
      <c r="L538" s="386"/>
      <c r="M538" s="262"/>
      <c r="N538" s="262"/>
      <c r="O538" s="262"/>
      <c r="P538" s="262"/>
      <c r="Q538" s="262"/>
      <c r="R538" s="262"/>
      <c r="S538" s="262"/>
      <c r="T538" s="262"/>
      <c r="U538" s="262"/>
      <c r="V538" s="262"/>
      <c r="W538" s="262"/>
      <c r="X538" s="262"/>
      <c r="Y538" s="262"/>
      <c r="Z538" s="262"/>
    </row>
    <row r="539" spans="1:26" ht="25.5" outlineLevel="1">
      <c r="A539" s="247" t="s">
        <v>13478</v>
      </c>
      <c r="B539" s="386" t="s">
        <v>15314</v>
      </c>
      <c r="C539" s="386" t="s">
        <v>14472</v>
      </c>
      <c r="D539" s="1314" t="str">
        <f>IFERROR(VLOOKUP($B539,'24.08_ND'!$A$4833:$D$12369,2,0),IFERROR(VLOOKUP($B539,'03-CP'!$C$5:$H$4646,2,0),""))</f>
        <v>LUMINÁRIA PÚBLICA LED 150W 4000K, PROTEÇÃO CONTRA SURTO 10 KV / 12 KA, IP66 - FORNECIMENTO E INSTALAÇÃO</v>
      </c>
      <c r="E539" s="1315" t="str">
        <f>IFERROR(VLOOKUP($B539,'24.08_ND'!$A:$D,3,0),IFERROR(VLOOKUP($B539,'03-CP'!$C$5:$H$4646,3,0),""))</f>
        <v>UN</v>
      </c>
      <c r="F539" s="389">
        <v>13</v>
      </c>
      <c r="G539" s="1244"/>
      <c r="H539" s="1244"/>
      <c r="I539" s="1409"/>
      <c r="J539" s="1507"/>
      <c r="K539" s="262"/>
      <c r="L539" s="386"/>
      <c r="M539" s="262"/>
      <c r="N539" s="262"/>
      <c r="O539" s="262"/>
      <c r="P539" s="262"/>
      <c r="Q539" s="262"/>
      <c r="R539" s="262"/>
      <c r="S539" s="262"/>
      <c r="T539" s="262"/>
      <c r="U539" s="262"/>
      <c r="V539" s="262"/>
      <c r="W539" s="262"/>
      <c r="X539" s="262"/>
      <c r="Y539" s="262"/>
      <c r="Z539" s="262"/>
    </row>
    <row r="540" spans="1:26" ht="25.5" outlineLevel="1">
      <c r="A540" s="247" t="s">
        <v>13479</v>
      </c>
      <c r="B540" s="386" t="s">
        <v>15242</v>
      </c>
      <c r="C540" s="386" t="s">
        <v>14472</v>
      </c>
      <c r="D540" s="1314" t="str">
        <f>IFERROR(VLOOKUP($B540,'24.08_ND'!$A$4833:$D$12369,2,0),IFERROR(VLOOKUP($B540,'03-CP'!$C$5:$H$4646,2,0),""))</f>
        <v>POSTE BALIZADOR RETANGULAR EXTERNO 50X7,5X7,5CM ALUMÍNIO COM LÂMPADA LED BULBO E27   - FORNECIMENTO E INSTALAÇÃO</v>
      </c>
      <c r="E540" s="1315" t="str">
        <f>IFERROR(VLOOKUP($B540,'24.08_ND'!$A:$D,3,0),IFERROR(VLOOKUP($B540,'03-CP'!$C$5:$H$4646,3,0),""))</f>
        <v>UN</v>
      </c>
      <c r="F540" s="389">
        <v>45</v>
      </c>
      <c r="G540" s="1244"/>
      <c r="H540" s="1244"/>
      <c r="I540" s="1409"/>
      <c r="J540" s="1507"/>
      <c r="K540" s="262"/>
      <c r="L540" s="386"/>
      <c r="M540" s="262"/>
      <c r="N540" s="262"/>
      <c r="O540" s="262"/>
      <c r="P540" s="262"/>
      <c r="Q540" s="262"/>
      <c r="R540" s="262"/>
      <c r="S540" s="262"/>
      <c r="T540" s="262"/>
      <c r="U540" s="262"/>
      <c r="V540" s="262"/>
      <c r="W540" s="262"/>
      <c r="X540" s="262"/>
      <c r="Y540" s="262"/>
      <c r="Z540" s="262"/>
    </row>
    <row r="541" spans="1:26" ht="25.5" outlineLevel="1">
      <c r="A541" s="247" t="s">
        <v>13480</v>
      </c>
      <c r="B541" s="386" t="s">
        <v>15246</v>
      </c>
      <c r="C541" s="386" t="s">
        <v>14472</v>
      </c>
      <c r="D541" s="1314" t="str">
        <f>IFERROR(VLOOKUP($B541,'24.08_ND'!$A$4833:$D$12369,2,0),IFERROR(VLOOKUP($B541,'03-CP'!$C$5:$H$4646,2,0),""))</f>
        <v>ESPETO DE JARDIM LED FOCCO 7W 3000K BIVOLT - FORNECIMENTO E INSTALAÇÃO</v>
      </c>
      <c r="E541" s="1315" t="str">
        <f>IFERROR(VLOOKUP($B541,'24.08_ND'!$A:$D,3,0),IFERROR(VLOOKUP($B541,'03-CP'!$C$5:$H$4646,3,0),""))</f>
        <v>UN</v>
      </c>
      <c r="F541" s="389">
        <v>83</v>
      </c>
      <c r="G541" s="1244"/>
      <c r="H541" s="1244"/>
      <c r="I541" s="1409"/>
      <c r="J541" s="1507"/>
      <c r="K541" s="262"/>
      <c r="L541" s="386"/>
      <c r="M541" s="262"/>
      <c r="N541" s="262"/>
      <c r="O541" s="262"/>
      <c r="P541" s="262"/>
      <c r="Q541" s="262"/>
      <c r="R541" s="262"/>
      <c r="S541" s="262"/>
      <c r="T541" s="262"/>
      <c r="U541" s="262"/>
      <c r="V541" s="262"/>
      <c r="W541" s="262"/>
      <c r="X541" s="262"/>
      <c r="Y541" s="262"/>
      <c r="Z541" s="262"/>
    </row>
    <row r="542" spans="1:26" ht="25.5" outlineLevel="1">
      <c r="A542" s="247" t="s">
        <v>13481</v>
      </c>
      <c r="B542" s="386" t="s">
        <v>15249</v>
      </c>
      <c r="C542" s="386" t="s">
        <v>14472</v>
      </c>
      <c r="D542" s="1314" t="str">
        <f>IFERROR(VLOOKUP($B542,'24.08_ND'!$A$4833:$D$12369,2,0),IFERROR(VLOOKUP($B542,'03-CP'!$C$5:$H$4646,2,0),""))</f>
        <v>ESPETO LED ALUMINIO PRETO 11,5W 950LM IP67 3000K  - FORNECIMENTO E INSTALAÇÃO</v>
      </c>
      <c r="E542" s="1315" t="str">
        <f>IFERROR(VLOOKUP($B542,'24.08_ND'!$A:$D,3,0),IFERROR(VLOOKUP($B542,'03-CP'!$C$5:$H$4646,3,0),""))</f>
        <v>UN</v>
      </c>
      <c r="F542" s="389">
        <v>26</v>
      </c>
      <c r="G542" s="1244"/>
      <c r="H542" s="1244"/>
      <c r="I542" s="1409"/>
      <c r="J542" s="1507"/>
      <c r="K542" s="262"/>
      <c r="L542" s="386"/>
      <c r="M542" s="262"/>
      <c r="N542" s="262"/>
      <c r="O542" s="262"/>
      <c r="P542" s="262"/>
      <c r="Q542" s="262"/>
      <c r="R542" s="262"/>
      <c r="S542" s="262"/>
      <c r="T542" s="262"/>
      <c r="U542" s="262"/>
      <c r="V542" s="262"/>
      <c r="W542" s="262"/>
      <c r="X542" s="262"/>
      <c r="Y542" s="262"/>
      <c r="Z542" s="262"/>
    </row>
    <row r="543" spans="1:26" ht="25.5" outlineLevel="1">
      <c r="A543" s="247" t="s">
        <v>13482</v>
      </c>
      <c r="B543" s="386" t="s">
        <v>15252</v>
      </c>
      <c r="C543" s="386" t="s">
        <v>14472</v>
      </c>
      <c r="D543" s="1314" t="str">
        <f>IFERROR(VLOOKUP($B543,'24.08_ND'!$A$4833:$D$12369,2,0),IFERROR(VLOOKUP($B543,'03-CP'!$C$5:$H$4646,2,0),""))</f>
        <v>ARANDELA DE PAREDE LED RETANGULAR EXTERNO 3000K 5W BIVOLT 20X8,2X4,2CM POLICARBONATO BRANCO - FORNECIMENTO E INSTALAÇÃO</v>
      </c>
      <c r="E543" s="1315" t="str">
        <f>IFERROR(VLOOKUP($B543,'24.08_ND'!$A:$D,3,0),IFERROR(VLOOKUP($B543,'03-CP'!$C$5:$H$4646,3,0),""))</f>
        <v>UN</v>
      </c>
      <c r="F543" s="389">
        <v>11</v>
      </c>
      <c r="G543" s="1244"/>
      <c r="H543" s="1244"/>
      <c r="I543" s="1409"/>
      <c r="J543" s="1507"/>
      <c r="K543" s="262"/>
      <c r="L543" s="386"/>
      <c r="M543" s="262"/>
      <c r="N543" s="262"/>
      <c r="O543" s="262" t="s">
        <v>16346</v>
      </c>
      <c r="P543" s="262"/>
      <c r="Q543" s="262"/>
      <c r="R543" s="262"/>
      <c r="S543" s="262"/>
      <c r="T543" s="262"/>
      <c r="U543" s="262"/>
      <c r="V543" s="262"/>
      <c r="W543" s="262"/>
      <c r="X543" s="262"/>
      <c r="Y543" s="262"/>
      <c r="Z543" s="262"/>
    </row>
    <row r="544" spans="1:26" ht="25.5" outlineLevel="1">
      <c r="A544" s="247" t="s">
        <v>13483</v>
      </c>
      <c r="B544" s="386" t="s">
        <v>15255</v>
      </c>
      <c r="C544" s="386" t="s">
        <v>14472</v>
      </c>
      <c r="D544" s="1314" t="str">
        <f>IFERROR(VLOOKUP($B544,'24.08_ND'!$A$4833:$D$12369,2,0),IFERROR(VLOOKUP($B544,'03-CP'!$C$5:$H$4646,2,0),""))</f>
        <v>EMBUTIDO DE SOLO PARA LÂMPADA PAR38 - FORNECIMENTO E INSTALAÇÃO</v>
      </c>
      <c r="E544" s="1315" t="str">
        <f>IFERROR(VLOOKUP($B544,'24.08_ND'!$A:$D,3,0),IFERROR(VLOOKUP($B544,'03-CP'!$C$5:$H$4646,3,0),""))</f>
        <v>UN</v>
      </c>
      <c r="F544" s="389">
        <v>12</v>
      </c>
      <c r="G544" s="1244"/>
      <c r="H544" s="1244"/>
      <c r="I544" s="1409"/>
      <c r="J544" s="1507"/>
      <c r="K544" s="262"/>
      <c r="L544" s="386"/>
      <c r="M544" s="262"/>
      <c r="N544" s="262"/>
      <c r="O544" s="262"/>
      <c r="P544" s="262"/>
      <c r="Q544" s="262"/>
      <c r="R544" s="262"/>
      <c r="S544" s="262"/>
      <c r="T544" s="262"/>
      <c r="U544" s="262"/>
      <c r="V544" s="262"/>
      <c r="W544" s="262"/>
      <c r="X544" s="262"/>
      <c r="Y544" s="262"/>
      <c r="Z544" s="262"/>
    </row>
    <row r="545" spans="1:26" ht="25.5" outlineLevel="1">
      <c r="A545" s="247" t="s">
        <v>13484</v>
      </c>
      <c r="B545" s="386" t="s">
        <v>15259</v>
      </c>
      <c r="C545" s="386" t="s">
        <v>14472</v>
      </c>
      <c r="D545" s="1314" t="str">
        <f>IFERROR(VLOOKUP($B545,'24.08_ND'!$A$4833:$D$12369,2,0),IFERROR(VLOOKUP($B545,'03-CP'!$C$5:$H$4646,2,0),""))</f>
        <v>POSTE GIRAFA RETO LED AÇO GALVANIZADO À FOGO PINTURA ELETROSTÁTICA 4M - FORNECIMENTO E INSTALAÇÃO</v>
      </c>
      <c r="E545" s="1315" t="str">
        <f>IFERROR(VLOOKUP($B545,'24.08_ND'!$A:$D,3,0),IFERROR(VLOOKUP($B545,'03-CP'!$C$5:$H$4646,3,0),""))</f>
        <v>UN</v>
      </c>
      <c r="F545" s="389">
        <v>23</v>
      </c>
      <c r="G545" s="1244"/>
      <c r="H545" s="1244"/>
      <c r="I545" s="1409"/>
      <c r="J545" s="1507"/>
      <c r="K545" s="262"/>
      <c r="L545" s="386"/>
      <c r="M545" s="262"/>
      <c r="N545" s="262"/>
      <c r="O545" s="262"/>
      <c r="P545" s="262"/>
      <c r="Q545" s="262"/>
      <c r="R545" s="262"/>
      <c r="S545" s="262"/>
      <c r="T545" s="262"/>
      <c r="U545" s="262"/>
      <c r="V545" s="262"/>
      <c r="W545" s="262"/>
      <c r="X545" s="262"/>
      <c r="Y545" s="262"/>
      <c r="Z545" s="262"/>
    </row>
    <row r="546" spans="1:26" ht="25.5" outlineLevel="1">
      <c r="A546" s="254" t="s">
        <v>13485</v>
      </c>
      <c r="B546" s="1186" t="s">
        <v>15262</v>
      </c>
      <c r="C546" s="1186" t="s">
        <v>14472</v>
      </c>
      <c r="D546" s="1514" t="str">
        <f>IFERROR(VLOOKUP($B546,'24.08_ND'!$A$4833:$D$12369,2,0),IFERROR(VLOOKUP($B546,'03-CP'!$C$5:$H$4646,2,0),""))</f>
        <v>POSTE GIRAFA DUPLO RETO LED AÇO GALVANIZADO À FOGO PINTURA ELETROSTÁTICA 100W 4M - FORNECIMENTO E INSTALAÇÃO</v>
      </c>
      <c r="E546" s="1515" t="str">
        <f>IFERROR(VLOOKUP($B546,'24.08_ND'!$A:$D,3,0),IFERROR(VLOOKUP($B546,'03-CP'!$C$5:$H$4646,3,0),""))</f>
        <v>UN</v>
      </c>
      <c r="F546" s="1516">
        <v>2</v>
      </c>
      <c r="G546" s="1517"/>
      <c r="H546" s="1517"/>
      <c r="I546" s="1518"/>
      <c r="J546" s="1507"/>
      <c r="K546" s="262"/>
      <c r="L546" s="386"/>
      <c r="M546" s="262"/>
      <c r="N546" s="262"/>
      <c r="O546" s="262"/>
      <c r="P546" s="262"/>
      <c r="Q546" s="262"/>
      <c r="R546" s="262"/>
      <c r="S546" s="262"/>
      <c r="T546" s="262"/>
      <c r="U546" s="262"/>
      <c r="V546" s="262"/>
      <c r="W546" s="262"/>
      <c r="X546" s="262"/>
      <c r="Y546" s="262"/>
      <c r="Z546" s="262"/>
    </row>
  </sheetData>
  <autoFilter ref="A1:Z546" xr:uid="{00000000-0009-0000-0000-00000F000000}">
    <filterColumn colId="0">
      <filters>
        <filter val="(C) - PRAÇA SUNSET - PLANILHA QUANTITATIVA"/>
        <filter val="• ARQUITETURA"/>
        <filter val="• ESTRUTURAL"/>
        <filter val="• INSTALAÇÕES ELÉTRICAS"/>
        <filter val="• INSTALAÇÕES HIDROSSANITÁRIAS"/>
        <filter val="C.1"/>
        <filter val="C.1.1"/>
        <filter val="C.1.1.1"/>
        <filter val="C.1.1.2"/>
        <filter val="C.1.1.3"/>
        <filter val="C.1.1.4"/>
        <filter val="C.1.1.5"/>
        <filter val="C.1.1.6"/>
        <filter val="C.1.1.7"/>
        <filter val="C.1.1.8"/>
        <filter val="C.1.10"/>
        <filter val="C.1.10.1"/>
        <filter val="C.1.10.1.1"/>
        <filter val="C.1.10.1.2"/>
        <filter val="C.1.10.1.3"/>
        <filter val="C.1.10.1.4"/>
        <filter val="C.1.10.1.5"/>
        <filter val="C.1.10.1.6"/>
        <filter val="C.1.10.2"/>
        <filter val="C.1.10.2.1"/>
        <filter val="C.1.10.2.2"/>
        <filter val="C.1.10.2.3"/>
        <filter val="C.1.10.2.4"/>
        <filter val="C.1.10.2.5"/>
        <filter val="C.1.10.2.6"/>
        <filter val="C.1.10.2.7"/>
        <filter val="C.1.10.2.8"/>
        <filter val="C.1.10.2.9"/>
        <filter val="C.1.10.3"/>
        <filter val="C.1.10.3.1"/>
        <filter val="C.1.10.3.2"/>
        <filter val="C.1.10.3.3"/>
        <filter val="C.1.10.3.4"/>
        <filter val="C.1.10.3.5"/>
        <filter val="C.1.10.3.6"/>
        <filter val="C.1.10.4"/>
        <filter val="C.1.10.4.1"/>
        <filter val="C.1.10.4.2"/>
        <filter val="C.1.10.4.3"/>
        <filter val="C.1.10.4.4"/>
        <filter val="C.1.10.4.5"/>
        <filter val="C.1.10.5"/>
        <filter val="C.1.10.5.1"/>
        <filter val="C.1.10.5.2"/>
        <filter val="C.1.10.5.3"/>
        <filter val="C.1.10.5.4"/>
        <filter val="C.1.10.5.5"/>
        <filter val="C.1.10.5.6"/>
        <filter val="C.1.10.5.7"/>
        <filter val="C.1.10.6"/>
        <filter val="C.1.10.6.1"/>
        <filter val="C.1.10.6.2"/>
        <filter val="C.1.10.6.3"/>
        <filter val="C.1.10.6.4"/>
        <filter val="C.1.10.7"/>
        <filter val="C.1.10.7.1"/>
        <filter val="C.1.10.7.2"/>
        <filter val="C.1.10.7.3"/>
        <filter val="C.1.10.7.4"/>
        <filter val="C.1.10.8"/>
        <filter val="C.1.10.8.1"/>
        <filter val="C.1.10.8.2"/>
        <filter val="C.1.10.8.3"/>
        <filter val="C.1.10.8.4"/>
        <filter val="C.1.10.8.5"/>
        <filter val="C.1.10.8.6"/>
        <filter val="C.1.10.8.7"/>
        <filter val="C.1.11"/>
        <filter val="C.1.11.1"/>
        <filter val="C.1.11.2"/>
        <filter val="C.1.11.3"/>
        <filter val="C.1.11.4"/>
        <filter val="C.1.11.5"/>
        <filter val="C.1.11.6"/>
        <filter val="C.1.12"/>
        <filter val="C.1.12.1"/>
        <filter val="C.1.12.10"/>
        <filter val="C.1.12.2"/>
        <filter val="C.1.12.3"/>
        <filter val="C.1.12.4"/>
        <filter val="C.1.12.5"/>
        <filter val="C.1.12.6"/>
        <filter val="C.1.12.7"/>
        <filter val="C.1.12.8"/>
        <filter val="C.1.12.9"/>
        <filter val="C.1.13"/>
        <filter val="C.1.13.1"/>
        <filter val="C.1.13.2"/>
        <filter val="C.1.13.3"/>
        <filter val="C.1.13.4"/>
        <filter val="C.1.13.5"/>
        <filter val="C.1.13.6"/>
        <filter val="C.1.13.7"/>
        <filter val="C.1.14"/>
        <filter val="C.1.14.1"/>
        <filter val="C.1.14.1.1"/>
        <filter val="C.1.14.1.2"/>
        <filter val="C.1.14.1.3"/>
        <filter val="C.1.14.1.4"/>
        <filter val="C.1.14.1.5"/>
        <filter val="C.1.14.2"/>
        <filter val="C.1.14.2.1"/>
        <filter val="C.1.14.2.2"/>
        <filter val="C.1.14.2.3"/>
        <filter val="C.1.14.2.4"/>
        <filter val="C.1.14.2.5"/>
        <filter val="C.1.14.2.6"/>
        <filter val="C.1.14.3"/>
        <filter val="C.1.14.3.1"/>
        <filter val="C.1.14.3.2"/>
        <filter val="C.1.14.3.3"/>
        <filter val="C.1.14.3.4"/>
        <filter val="C.1.14.4"/>
        <filter val="C.1.14.4.1"/>
        <filter val="C.1.14.4.2"/>
        <filter val="C.1.14.4.3"/>
        <filter val="C.1.14.4.4"/>
        <filter val="C.1.14.4.5"/>
        <filter val="C.1.14.5"/>
        <filter val="C.1.14.5.1"/>
        <filter val="C.1.14.5.2"/>
        <filter val="C.1.14.5.3"/>
        <filter val="C.1.14.5.4"/>
        <filter val="C.1.14.5.5"/>
        <filter val="C.1.14.5.6"/>
        <filter val="C.1.14.5.7"/>
        <filter val="C.1.14.6"/>
        <filter val="C.1.14.6.1"/>
        <filter val="C.1.14.6.2"/>
        <filter val="C.1.14.6.3"/>
        <filter val="C.1.14.6.4"/>
        <filter val="C.1.14.6.5"/>
        <filter val="C.1.14.6.6"/>
        <filter val="C.1.14.6.7"/>
        <filter val="C.1.14.6.8"/>
        <filter val="C.1.15"/>
        <filter val="C.1.15.1"/>
        <filter val="C.1.2"/>
        <filter val="C.1.2.1"/>
        <filter val="C.1.2.2"/>
        <filter val="C.1.2.3"/>
        <filter val="C.1.2.4"/>
        <filter val="C.1.2.5"/>
        <filter val="C.1.2.6"/>
        <filter val="C.1.3"/>
        <filter val="C.1.3.1"/>
        <filter val="C.1.3.2"/>
        <filter val="C.1.3.3"/>
        <filter val="C.1.3.4"/>
        <filter val="C.1.4"/>
        <filter val="C.1.4.1"/>
        <filter val="C.1.4.2"/>
        <filter val="C.1.4.3"/>
        <filter val="C.1.4.4"/>
        <filter val="C.1.5"/>
        <filter val="C.1.5.1"/>
        <filter val="C.1.5.2"/>
        <filter val="C.1.5.3"/>
        <filter val="C.1.5.4"/>
        <filter val="C.1.6"/>
        <filter val="C.1.6.1"/>
        <filter val="C.1.6.2"/>
        <filter val="C.1.6.3"/>
        <filter val="C.1.6.4"/>
        <filter val="C.1.7"/>
        <filter val="C.1.7.1"/>
        <filter val="C.1.7.2"/>
        <filter val="C.1.7.3"/>
        <filter val="C.1.7.4"/>
        <filter val="C.1.8"/>
        <filter val="C.1.8.1"/>
        <filter val="C.1.8.1.1"/>
        <filter val="C.1.8.1.2"/>
        <filter val="C.1.8.1.3"/>
        <filter val="C.1.8.1.4"/>
        <filter val="C.1.8.1.5"/>
        <filter val="C.1.8.1.6"/>
        <filter val="C.1.8.1.7"/>
        <filter val="C.1.8.1.8"/>
        <filter val="C.1.8.1.9"/>
        <filter val="C.1.8.2"/>
        <filter val="C.1.8.2.1"/>
        <filter val="C.1.8.2.2"/>
        <filter val="C.1.8.2.3"/>
        <filter val="C.1.8.2.4"/>
        <filter val="C.1.8.2.5"/>
        <filter val="C.1.8.2.6"/>
        <filter val="C.1.8.2.7"/>
        <filter val="C.1.9"/>
        <filter val="C.1.9.1"/>
        <filter val="C.1.9.1.1"/>
        <filter val="C.1.9.1.2"/>
        <filter val="C.1.9.1.3"/>
        <filter val="C.1.9.1.4"/>
        <filter val="C.1.9.2"/>
        <filter val="C.1.9.2.1"/>
        <filter val="C.1.9.2.2"/>
        <filter val="C.1.9.2.3"/>
        <filter val="C.1.9.2.4"/>
        <filter val="C.1.9.2.5"/>
        <filter val="C.1.9.2.6"/>
        <filter val="C.1.9.2.7"/>
        <filter val="C.1.9.2.8"/>
        <filter val="C.2"/>
        <filter val="C.2.1"/>
        <filter val="C.2.1.1"/>
        <filter val="C.2.1.2"/>
        <filter val="C.2.2"/>
        <filter val="C.2.2.1"/>
        <filter val="C.2.2.2"/>
        <filter val="C.2.3"/>
        <filter val="C.2.3.1"/>
        <filter val="C.2.3.2"/>
        <filter val="C.2.3.3"/>
        <filter val="C.2.3.4"/>
        <filter val="C.2.4"/>
        <filter val="C.2.4.1"/>
        <filter val="C.2.4.2"/>
        <filter val="C.2.4.3"/>
        <filter val="C.2.4.4"/>
        <filter val="C.2.5"/>
        <filter val="C.2.5.1"/>
        <filter val="C.2.5.2"/>
        <filter val="C.2.5.3"/>
        <filter val="C.2.5.4"/>
        <filter val="C.2.5.5"/>
        <filter val="C.2.5.6"/>
        <filter val="C.2.6"/>
        <filter val="C.2.6.1"/>
        <filter val="C.2.6.10"/>
        <filter val="C.2.6.11"/>
        <filter val="C.2.6.12"/>
        <filter val="C.2.6.13"/>
        <filter val="C.2.6.14"/>
        <filter val="C.2.6.15"/>
        <filter val="C.2.6.16"/>
        <filter val="C.2.6.17"/>
        <filter val="C.2.6.18"/>
        <filter val="C.2.6.19"/>
        <filter val="C.2.6.2"/>
        <filter val="C.2.6.20"/>
        <filter val="C.2.6.21"/>
        <filter val="C.2.6.3"/>
        <filter val="C.2.6.4"/>
        <filter val="C.2.6.5"/>
        <filter val="C.2.6.6"/>
        <filter val="C.2.6.7"/>
        <filter val="C.2.6.8"/>
        <filter val="C.2.6.9"/>
        <filter val="C.3"/>
        <filter val="C.3.1"/>
        <filter val="C.3.1.1"/>
        <filter val="C.3.1.10"/>
        <filter val="C.3.1.11"/>
        <filter val="C.3.1.12"/>
        <filter val="C.3.1.13"/>
        <filter val="C.3.1.14"/>
        <filter val="C.3.1.15"/>
        <filter val="C.3.1.16"/>
        <filter val="C.3.1.17"/>
        <filter val="C.3.1.18"/>
        <filter val="C.3.1.19"/>
        <filter val="C.3.1.2"/>
        <filter val="C.3.1.20"/>
        <filter val="C.3.1.21"/>
        <filter val="C.3.1.22"/>
        <filter val="C.3.1.23"/>
        <filter val="C.3.1.3"/>
        <filter val="C.3.1.4"/>
        <filter val="C.3.1.5"/>
        <filter val="C.3.1.6"/>
        <filter val="C.3.1.7"/>
        <filter val="C.3.1.8"/>
        <filter val="C.3.1.9"/>
        <filter val="C.3.2"/>
        <filter val="C.3.2.1"/>
        <filter val="C.3.2.10"/>
        <filter val="C.3.2.11"/>
        <filter val="C.3.2.12"/>
        <filter val="C.3.2.13"/>
        <filter val="C.3.2.14"/>
        <filter val="C.3.2.2"/>
        <filter val="C.3.2.3"/>
        <filter val="C.3.2.4"/>
        <filter val="C.3.2.5"/>
        <filter val="C.3.2.6"/>
        <filter val="C.3.2.7"/>
        <filter val="C.3.2.8"/>
        <filter val="C.3.2.9"/>
        <filter val="C.4"/>
        <filter val="C.4.1"/>
        <filter val="C.4.1.1"/>
        <filter val="C.4.1.2"/>
        <filter val="C.4.1.3"/>
        <filter val="C.4.1.4"/>
        <filter val="C.4.1.5"/>
        <filter val="C.4.1.6"/>
        <filter val="C.4.2"/>
        <filter val="C.4.2.1"/>
        <filter val="C.4.2.2"/>
        <filter val="C.4.2.3"/>
        <filter val="C.4.3"/>
        <filter val="C.4.3.1"/>
        <filter val="C.4.3.2"/>
        <filter val="C.4.3.3"/>
        <filter val="C.4.3.4"/>
        <filter val="C.4.3.5"/>
        <filter val="C.4.4"/>
        <filter val="C.4.4.1"/>
        <filter val="C.4.4.2"/>
        <filter val="C.4.4.3"/>
        <filter val="C.4.4.4"/>
        <filter val="C.4.4.5"/>
        <filter val="C.4.5"/>
        <filter val="C.4.5.1"/>
        <filter val="C.4.5.10"/>
        <filter val="C.4.5.11"/>
        <filter val="C.4.5.2"/>
        <filter val="C.4.5.3"/>
        <filter val="C.4.5.4"/>
        <filter val="C.4.5.5"/>
        <filter val="C.4.5.6"/>
        <filter val="C.4.5.7"/>
        <filter val="C.4.5.8"/>
        <filter val="C.4.5.9"/>
        <filter val="C.4.6"/>
        <filter val="C.4.6.1"/>
        <filter val="C.4.6.2"/>
        <filter val="C.4.6.3"/>
        <filter val="C.4.6.4"/>
        <filter val="C.4.6.5"/>
        <filter val="C.4.6.6"/>
        <filter val="C.4.6.7"/>
        <filter val="C.4.6.8"/>
        <filter val="C.4.6.9"/>
        <filter val="ENDEREÇO:"/>
        <filter val="ITEM"/>
        <filter val="MUNICÍPIO:"/>
        <filter val="OBJETO:"/>
      </filters>
    </filterColumn>
  </autoFilter>
  <mergeCells count="6">
    <mergeCell ref="G6:I6"/>
    <mergeCell ref="B1:I1"/>
    <mergeCell ref="B2:I2"/>
    <mergeCell ref="B3:I3"/>
    <mergeCell ref="B4:I4"/>
    <mergeCell ref="A5:I5"/>
  </mergeCells>
  <printOptions horizontalCentered="1"/>
  <pageMargins left="0.39370078740157477" right="0.39370078740157477" top="0.39370078740157477" bottom="0.39370078740157477" header="0" footer="0"/>
  <pageSetup paperSize="9" fitToHeight="0" orientation="portrait" cellComments="atEnd"/>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outlinePr summaryBelow="0"/>
    <pageSetUpPr fitToPage="1"/>
  </sheetPr>
  <dimension ref="A1:Z367"/>
  <sheetViews>
    <sheetView topLeftCell="A132" workbookViewId="0">
      <selection activeCell="H184" sqref="H184"/>
    </sheetView>
  </sheetViews>
  <sheetFormatPr defaultColWidth="12.5703125" defaultRowHeight="15" customHeight="1" outlineLevelRow="1"/>
  <cols>
    <col min="1" max="1" width="12" customWidth="1"/>
    <col min="2" max="2" width="13.5703125" customWidth="1"/>
    <col min="3" max="3" width="10.5703125" customWidth="1"/>
    <col min="4" max="4" width="60" customWidth="1"/>
    <col min="5" max="5" width="11.5703125" customWidth="1"/>
    <col min="6" max="6" width="12.7109375" customWidth="1"/>
    <col min="7" max="7" width="12" customWidth="1"/>
    <col min="8" max="8" width="16.7109375" customWidth="1"/>
    <col min="9" max="9" width="7.7109375" customWidth="1"/>
    <col min="10" max="10" width="20.7109375" hidden="1" customWidth="1"/>
    <col min="11" max="11" width="47.7109375" hidden="1" customWidth="1"/>
    <col min="12" max="26" width="60.85546875" hidden="1" customWidth="1"/>
  </cols>
  <sheetData>
    <row r="1" spans="1:26">
      <c r="A1" s="1188" t="e">
        <f>'Medição '!$V$5:$AB$5</f>
        <v>#VALUE!</v>
      </c>
      <c r="B1" s="3498" t="str">
        <f>'Medição '!W5</f>
        <v>COMPLEXO SUNSET DO PARQUE NOVO MATO GROSSO</v>
      </c>
      <c r="C1" s="2607"/>
      <c r="D1" s="2607"/>
      <c r="E1" s="2607"/>
      <c r="F1" s="2607"/>
      <c r="G1" s="2607"/>
      <c r="H1" s="2607"/>
      <c r="I1" s="3400"/>
      <c r="J1" s="130"/>
      <c r="K1" s="130"/>
      <c r="L1" s="130"/>
      <c r="M1" s="130"/>
      <c r="N1" s="130"/>
      <c r="O1" s="130"/>
      <c r="P1" s="130"/>
      <c r="Q1" s="130"/>
      <c r="R1" s="130"/>
      <c r="S1" s="130"/>
      <c r="T1" s="130"/>
      <c r="U1" s="130"/>
      <c r="V1" s="130"/>
      <c r="W1" s="130"/>
      <c r="X1" s="130"/>
      <c r="Y1" s="130"/>
      <c r="Z1" s="130"/>
    </row>
    <row r="2" spans="1:26">
      <c r="A2" s="1189" t="e">
        <f>'Medição '!$V$6:$AB$6</f>
        <v>#VALUE!</v>
      </c>
      <c r="B2" s="3499" t="str">
        <f>'Medição '!W6</f>
        <v>MT 251, KM 11, S/N, ÁREA RURAL - PARQUE NOVO MATO GROSSO, CEP 78099-899</v>
      </c>
      <c r="C2" s="2634"/>
      <c r="D2" s="2634"/>
      <c r="E2" s="2634"/>
      <c r="F2" s="2634"/>
      <c r="G2" s="2634"/>
      <c r="H2" s="2634"/>
      <c r="I2" s="2635"/>
      <c r="J2" s="130"/>
      <c r="K2" s="130"/>
      <c r="L2" s="130"/>
      <c r="M2" s="130"/>
      <c r="N2" s="130"/>
      <c r="O2" s="130"/>
      <c r="P2" s="130"/>
      <c r="Q2" s="130"/>
      <c r="R2" s="130"/>
      <c r="S2" s="130"/>
      <c r="T2" s="130"/>
      <c r="U2" s="130"/>
      <c r="V2" s="130"/>
      <c r="W2" s="130"/>
      <c r="X2" s="130"/>
      <c r="Y2" s="130"/>
      <c r="Z2" s="130"/>
    </row>
    <row r="3" spans="1:26">
      <c r="A3" s="1189" t="e">
        <f>'Medição '!$V$7:$AB$7</f>
        <v>#VALUE!</v>
      </c>
      <c r="B3" s="3499" t="str">
        <f>'Medição '!W7</f>
        <v>CUIABÁ - MT</v>
      </c>
      <c r="C3" s="2634"/>
      <c r="D3" s="2634"/>
      <c r="E3" s="2634"/>
      <c r="F3" s="2634"/>
      <c r="G3" s="2634"/>
      <c r="H3" s="2634"/>
      <c r="I3" s="2635"/>
      <c r="J3" s="130"/>
      <c r="K3" s="130"/>
      <c r="L3" s="130"/>
      <c r="M3" s="130"/>
      <c r="N3" s="130"/>
      <c r="O3" s="130"/>
      <c r="P3" s="130"/>
      <c r="Q3" s="130"/>
      <c r="R3" s="130"/>
      <c r="S3" s="130"/>
      <c r="T3" s="130"/>
      <c r="U3" s="130"/>
      <c r="V3" s="130"/>
      <c r="W3" s="130"/>
      <c r="X3" s="130"/>
      <c r="Y3" s="130"/>
      <c r="Z3" s="130"/>
    </row>
    <row r="4" spans="1:26">
      <c r="A4" s="1189" t="e">
        <f>'Medição '!$V$8:$AB$8</f>
        <v>#VALUE!</v>
      </c>
      <c r="B4" s="3500" t="str">
        <f>'Medição '!W8</f>
        <v>CONTRATAÇÃO DE EMPRESA ESPECIALIZADA PARA EXECUÇÃO DAS OBRAS DO "COMPLEXO SUNSET (WAKE BAR, PRAÇA SUNSET, QUIOSQUE, BANHEIROS DE APOIO E INFRA DE CONTÊINER) DO PARQUE NOVO MATO GROSSO"</v>
      </c>
      <c r="C4" s="2634"/>
      <c r="D4" s="2634"/>
      <c r="E4" s="2634"/>
      <c r="F4" s="2634"/>
      <c r="G4" s="2634"/>
      <c r="H4" s="2634"/>
      <c r="I4" s="2635"/>
      <c r="J4" s="130"/>
      <c r="K4" s="130"/>
      <c r="L4" s="130"/>
      <c r="M4" s="130"/>
      <c r="N4" s="130"/>
      <c r="O4" s="130"/>
      <c r="P4" s="130"/>
      <c r="Q4" s="130"/>
      <c r="R4" s="130"/>
      <c r="S4" s="130"/>
      <c r="T4" s="130"/>
      <c r="U4" s="130"/>
      <c r="V4" s="130"/>
      <c r="W4" s="130"/>
      <c r="X4" s="130"/>
      <c r="Y4" s="130"/>
      <c r="Z4" s="130"/>
    </row>
    <row r="5" spans="1:26" ht="30" customHeight="1">
      <c r="A5" s="3495" t="s">
        <v>16427</v>
      </c>
      <c r="B5" s="2588"/>
      <c r="C5" s="2588"/>
      <c r="D5" s="2588"/>
      <c r="E5" s="2588"/>
      <c r="F5" s="2588"/>
      <c r="G5" s="2588"/>
      <c r="H5" s="2588"/>
      <c r="I5" s="2621"/>
      <c r="J5" s="130"/>
      <c r="K5" s="130"/>
      <c r="L5" s="130"/>
      <c r="M5" s="130"/>
      <c r="N5" s="130"/>
      <c r="O5" s="130"/>
      <c r="P5" s="130"/>
      <c r="Q5" s="130"/>
      <c r="R5" s="130"/>
      <c r="S5" s="130"/>
      <c r="T5" s="130"/>
      <c r="U5" s="130"/>
      <c r="V5" s="130"/>
      <c r="W5" s="130"/>
      <c r="X5" s="130"/>
      <c r="Y5" s="130"/>
      <c r="Z5" s="130"/>
    </row>
    <row r="6" spans="1:26" ht="25.5">
      <c r="A6" s="1292" t="s">
        <v>12613</v>
      </c>
      <c r="B6" s="1293" t="s">
        <v>16147</v>
      </c>
      <c r="C6" s="1293" t="s">
        <v>16148</v>
      </c>
      <c r="D6" s="1293" t="s">
        <v>16149</v>
      </c>
      <c r="E6" s="1294" t="s">
        <v>16197</v>
      </c>
      <c r="F6" s="1295" t="s">
        <v>16150</v>
      </c>
      <c r="G6" s="3496" t="s">
        <v>16151</v>
      </c>
      <c r="H6" s="2610"/>
      <c r="I6" s="3432"/>
      <c r="J6" s="130"/>
      <c r="K6" s="130"/>
      <c r="L6" s="130"/>
      <c r="M6" s="130"/>
      <c r="N6" s="130"/>
      <c r="O6" s="130"/>
      <c r="P6" s="130"/>
      <c r="Q6" s="130"/>
      <c r="R6" s="130"/>
      <c r="S6" s="130"/>
      <c r="T6" s="130"/>
      <c r="U6" s="130"/>
      <c r="V6" s="130"/>
      <c r="W6" s="130"/>
      <c r="X6" s="130"/>
      <c r="Y6" s="130"/>
      <c r="Z6" s="130"/>
    </row>
    <row r="7" spans="1:26">
      <c r="A7" s="1298" t="s">
        <v>14584</v>
      </c>
      <c r="B7" s="1299"/>
      <c r="C7" s="1299"/>
      <c r="D7" s="1300"/>
      <c r="E7" s="1301"/>
      <c r="F7" s="1302"/>
      <c r="G7" s="1301"/>
      <c r="H7" s="1302"/>
      <c r="I7" s="1303"/>
      <c r="J7" s="130"/>
      <c r="K7" s="1588"/>
      <c r="L7" s="130"/>
      <c r="M7" s="130"/>
      <c r="N7" s="130"/>
      <c r="O7" s="130"/>
      <c r="P7" s="130"/>
      <c r="Q7" s="130"/>
      <c r="R7" s="130"/>
      <c r="S7" s="130"/>
      <c r="T7" s="130"/>
      <c r="U7" s="130"/>
      <c r="V7" s="130"/>
      <c r="W7" s="130"/>
      <c r="X7" s="130"/>
      <c r="Y7" s="130"/>
      <c r="Z7" s="130"/>
    </row>
    <row r="8" spans="1:26">
      <c r="A8" s="238" t="s">
        <v>12635</v>
      </c>
      <c r="B8" s="1304"/>
      <c r="C8" s="1304"/>
      <c r="D8" s="1305" t="s">
        <v>16198</v>
      </c>
      <c r="E8" s="1306"/>
      <c r="F8" s="1307"/>
      <c r="G8" s="1306"/>
      <c r="H8" s="1306"/>
      <c r="I8" s="1308"/>
      <c r="J8" s="1588" t="s">
        <v>16428</v>
      </c>
      <c r="K8" s="1588" t="s">
        <v>16429</v>
      </c>
      <c r="L8" s="130"/>
      <c r="M8" s="130"/>
      <c r="N8" s="130"/>
      <c r="O8" s="130"/>
      <c r="P8" s="130"/>
      <c r="Q8" s="130"/>
      <c r="R8" s="130"/>
      <c r="S8" s="130"/>
      <c r="T8" s="130"/>
      <c r="U8" s="130"/>
      <c r="V8" s="130"/>
      <c r="W8" s="130"/>
      <c r="X8" s="130"/>
      <c r="Y8" s="130"/>
      <c r="Z8" s="130"/>
    </row>
    <row r="9" spans="1:26">
      <c r="A9" s="239" t="s">
        <v>13487</v>
      </c>
      <c r="B9" s="1309"/>
      <c r="C9" s="1309"/>
      <c r="D9" s="1310" t="s">
        <v>16430</v>
      </c>
      <c r="E9" s="1311"/>
      <c r="F9" s="1312"/>
      <c r="G9" s="1310"/>
      <c r="H9" s="1310"/>
      <c r="I9" s="1313"/>
      <c r="J9" s="512"/>
      <c r="K9" s="1588"/>
      <c r="L9" s="130"/>
      <c r="M9" s="130"/>
      <c r="N9" s="130"/>
      <c r="O9" s="130"/>
      <c r="P9" s="130"/>
      <c r="Q9" s="130"/>
      <c r="R9" s="130"/>
      <c r="S9" s="130"/>
      <c r="T9" s="130"/>
      <c r="U9" s="130"/>
      <c r="V9" s="130"/>
      <c r="W9" s="130"/>
      <c r="X9" s="130"/>
      <c r="Y9" s="130"/>
      <c r="Z9" s="130"/>
    </row>
    <row r="10" spans="1:26" ht="25.5" outlineLevel="1">
      <c r="A10" s="243" t="s">
        <v>13488</v>
      </c>
      <c r="B10" s="386">
        <v>96523</v>
      </c>
      <c r="C10" s="386" t="s">
        <v>14476</v>
      </c>
      <c r="D10" s="387" t="str">
        <f>IFERROR(VLOOKUP($B10,'24.08_ND'!$A:$D,2,0),IFERROR(VLOOKUP(#REF!,'03-CP'!$C$5:$H$4646,2,0),""))</f>
        <v>ESCAVAÇÃO MANUAL PARA BLOCO DE COROAMENTO OU SAPATA (INCLUINDO ESCAVAÇÃO PARA COLOCAÇÃO DE FÔRMAS). AF_01/2024</v>
      </c>
      <c r="E10" s="253" t="str">
        <f>IFERROR(VLOOKUP($B10,'24.08_ND'!$A:$D,3,0),IFERROR(VLOOKUP(#REF!,'03-CP'!$C$5:$H$4646,3,0),""))</f>
        <v>M3</v>
      </c>
      <c r="F10" s="389">
        <v>5.13</v>
      </c>
      <c r="G10" s="386"/>
      <c r="H10" s="386"/>
      <c r="I10" s="1316"/>
      <c r="J10" s="1591" t="s">
        <v>16202</v>
      </c>
      <c r="K10" s="1588"/>
      <c r="L10" s="130"/>
      <c r="M10" s="130"/>
      <c r="N10" s="130"/>
      <c r="O10" s="130"/>
      <c r="P10" s="130"/>
      <c r="Q10" s="130"/>
      <c r="R10" s="130"/>
      <c r="S10" s="130"/>
      <c r="T10" s="130"/>
      <c r="U10" s="130"/>
      <c r="V10" s="130"/>
      <c r="W10" s="130"/>
      <c r="X10" s="130"/>
      <c r="Y10" s="130"/>
      <c r="Z10" s="130"/>
    </row>
    <row r="11" spans="1:26" ht="25.5" outlineLevel="1">
      <c r="A11" s="243" t="s">
        <v>13489</v>
      </c>
      <c r="B11" s="386">
        <v>101616</v>
      </c>
      <c r="C11" s="386" t="s">
        <v>14476</v>
      </c>
      <c r="D11" s="387" t="str">
        <f>IFERROR(VLOOKUP($B11,'24.08_ND'!$A:$D,2,0),IFERROR(VLOOKUP(#REF!,'03-CP'!$C$5:$H$4646,2,0),""))</f>
        <v>PREPARO DE FUNDO DE VALA COM LARGURA MENOR QUE 1,5 M (ACERTO DO SOLO NATURAL). AF_08/2020</v>
      </c>
      <c r="E11" s="253" t="str">
        <f>IFERROR(VLOOKUP($B11,'24.08_ND'!$A:$D,3,0),IFERROR(VLOOKUP(#REF!,'03-CP'!$C$5:$H$4646,3,0),""))</f>
        <v>M2</v>
      </c>
      <c r="F11" s="389">
        <v>2.52</v>
      </c>
      <c r="G11" s="386"/>
      <c r="H11" s="386"/>
      <c r="I11" s="1316"/>
      <c r="J11" s="1591" t="s">
        <v>16202</v>
      </c>
      <c r="K11" s="368"/>
      <c r="L11" s="368"/>
      <c r="M11" s="368"/>
      <c r="N11" s="368"/>
      <c r="O11" s="368"/>
      <c r="P11" s="368"/>
      <c r="Q11" s="368"/>
      <c r="R11" s="368"/>
      <c r="S11" s="368"/>
      <c r="T11" s="368"/>
      <c r="U11" s="368"/>
      <c r="V11" s="368"/>
      <c r="W11" s="368"/>
      <c r="X11" s="368"/>
      <c r="Y11" s="368"/>
      <c r="Z11" s="368"/>
    </row>
    <row r="12" spans="1:26" ht="25.5" outlineLevel="1">
      <c r="A12" s="243" t="s">
        <v>13490</v>
      </c>
      <c r="B12" s="386">
        <v>96616</v>
      </c>
      <c r="C12" s="386" t="s">
        <v>14476</v>
      </c>
      <c r="D12" s="387" t="str">
        <f>IFERROR(VLOOKUP($B12,'24.08_ND'!$A:$D,2,0),IFERROR(VLOOKUP(#REF!,'03-CP'!$C$5:$H$4646,2,0),""))</f>
        <v>LASTRO DE CONCRETO MAGRO, APLICADO EM BLOCOS DE COROAMENTO OU SAPATAS. AF_01/2024</v>
      </c>
      <c r="E12" s="253" t="str">
        <f>IFERROR(VLOOKUP($B12,'24.08_ND'!$A:$D,3,0),IFERROR(VLOOKUP(#REF!,'03-CP'!$C$5:$H$4646,3,0),""))</f>
        <v>M3</v>
      </c>
      <c r="F12" s="389">
        <v>0.13</v>
      </c>
      <c r="G12" s="386"/>
      <c r="H12" s="386"/>
      <c r="I12" s="1316"/>
      <c r="J12" s="1591" t="s">
        <v>16202</v>
      </c>
      <c r="K12" s="1588"/>
      <c r="L12" s="130"/>
      <c r="M12" s="130"/>
      <c r="N12" s="130"/>
      <c r="O12" s="130"/>
      <c r="P12" s="130"/>
      <c r="Q12" s="130"/>
      <c r="R12" s="130"/>
      <c r="S12" s="130"/>
      <c r="T12" s="130"/>
      <c r="U12" s="130"/>
      <c r="V12" s="130"/>
      <c r="W12" s="130"/>
      <c r="X12" s="130"/>
      <c r="Y12" s="130"/>
      <c r="Z12" s="130"/>
    </row>
    <row r="13" spans="1:26" ht="25.5" outlineLevel="1">
      <c r="A13" s="243" t="s">
        <v>13491</v>
      </c>
      <c r="B13" s="386">
        <v>96535</v>
      </c>
      <c r="C13" s="386" t="s">
        <v>14476</v>
      </c>
      <c r="D13" s="387" t="str">
        <f>IFERROR(VLOOKUP($B13,'24.08_ND'!$A:$D,2,0),IFERROR(VLOOKUP(#REF!,'03-CP'!$C$5:$H$4646,2,0),""))</f>
        <v>FABRICAÇÃO, MONTAGEM E DESMONTAGEM DE FÔRMA PARA SAPATA, EM MADEIRA SERRADA, E=25 MM, 4 UTILIZAÇÕES. AF_01/2024</v>
      </c>
      <c r="E13" s="253" t="str">
        <f>IFERROR(VLOOKUP($B13,'24.08_ND'!$A:$D,3,0),IFERROR(VLOOKUP(#REF!,'03-CP'!$C$5:$H$4646,3,0),""))</f>
        <v>M2</v>
      </c>
      <c r="F13" s="389">
        <v>3.9</v>
      </c>
      <c r="G13" s="386"/>
      <c r="H13" s="386"/>
      <c r="I13" s="1316"/>
      <c r="J13" s="1591" t="s">
        <v>16202</v>
      </c>
      <c r="K13" s="1588"/>
      <c r="L13" s="130"/>
      <c r="M13" s="130"/>
      <c r="N13" s="130"/>
      <c r="O13" s="130"/>
      <c r="P13" s="130"/>
      <c r="Q13" s="130"/>
      <c r="R13" s="130"/>
      <c r="S13" s="130"/>
      <c r="T13" s="130"/>
      <c r="U13" s="130"/>
      <c r="V13" s="130"/>
      <c r="W13" s="130"/>
      <c r="X13" s="130"/>
      <c r="Y13" s="130"/>
      <c r="Z13" s="130"/>
    </row>
    <row r="14" spans="1:26" ht="25.5" outlineLevel="1">
      <c r="A14" s="243" t="s">
        <v>13492</v>
      </c>
      <c r="B14" s="386">
        <v>104916</v>
      </c>
      <c r="C14" s="386" t="s">
        <v>14476</v>
      </c>
      <c r="D14" s="387" t="str">
        <f>IFERROR(VLOOKUP($B14,'24.08_ND'!$A:$D,2,0),IFERROR(VLOOKUP(#REF!,'03-CP'!$C$5:$H$4646,2,0),""))</f>
        <v>ARMAÇÃO DE SAPATA ISOLADA, VIGA BALDRAME E SAPATA CORRIDA UTILIZANDO AÇO CA-60 DE 5 MM - MONTAGEM. AF_01/2024</v>
      </c>
      <c r="E14" s="253" t="str">
        <f>IFERROR(VLOOKUP($B14,'24.08_ND'!$A:$D,3,0),IFERROR(VLOOKUP(#REF!,'03-CP'!$C$5:$H$4646,3,0),""))</f>
        <v>KG</v>
      </c>
      <c r="F14" s="389">
        <v>7.4</v>
      </c>
      <c r="G14" s="386"/>
      <c r="H14" s="386"/>
      <c r="I14" s="1316"/>
      <c r="J14" s="1591" t="s">
        <v>16202</v>
      </c>
      <c r="K14" s="1588"/>
      <c r="L14" s="130"/>
      <c r="M14" s="130"/>
      <c r="N14" s="130"/>
      <c r="O14" s="130"/>
      <c r="P14" s="130"/>
      <c r="Q14" s="130"/>
      <c r="R14" s="130"/>
      <c r="S14" s="130"/>
      <c r="T14" s="130"/>
      <c r="U14" s="130"/>
      <c r="V14" s="130"/>
      <c r="W14" s="130"/>
      <c r="X14" s="130"/>
      <c r="Y14" s="130"/>
      <c r="Z14" s="130"/>
    </row>
    <row r="15" spans="1:26" ht="25.5" outlineLevel="1">
      <c r="A15" s="243" t="s">
        <v>13493</v>
      </c>
      <c r="B15" s="386">
        <v>104918</v>
      </c>
      <c r="C15" s="386" t="s">
        <v>14476</v>
      </c>
      <c r="D15" s="387" t="str">
        <f>IFERROR(VLOOKUP($B15,'24.08_ND'!$A:$D,2,0),IFERROR(VLOOKUP(#REF!,'03-CP'!$C$5:$H$4646,2,0),""))</f>
        <v>ARMAÇÃO DE SAPATA ISOLADA, VIGA BALDRAME E SAPATA CORRIDA UTILIZANDO AÇO CA-50 DE 8 MM - MONTAGEM. AF_01/2024</v>
      </c>
      <c r="E15" s="253" t="str">
        <f>IFERROR(VLOOKUP($B15,'24.08_ND'!$A:$D,3,0),IFERROR(VLOOKUP(#REF!,'03-CP'!$C$5:$H$4646,3,0),""))</f>
        <v>KG</v>
      </c>
      <c r="F15" s="389">
        <v>23.9</v>
      </c>
      <c r="G15" s="386"/>
      <c r="H15" s="386"/>
      <c r="I15" s="1316"/>
      <c r="J15" s="1591" t="s">
        <v>16202</v>
      </c>
      <c r="K15" s="1588"/>
      <c r="L15" s="130"/>
      <c r="M15" s="130"/>
      <c r="N15" s="130"/>
      <c r="O15" s="130"/>
      <c r="P15" s="130"/>
      <c r="Q15" s="130"/>
      <c r="R15" s="130"/>
      <c r="S15" s="130"/>
      <c r="T15" s="130"/>
      <c r="U15" s="130"/>
      <c r="V15" s="130"/>
      <c r="W15" s="130"/>
      <c r="X15" s="130"/>
      <c r="Y15" s="130"/>
      <c r="Z15" s="130"/>
    </row>
    <row r="16" spans="1:26" ht="25.5" outlineLevel="1">
      <c r="A16" s="243" t="s">
        <v>13494</v>
      </c>
      <c r="B16" s="386">
        <v>104919</v>
      </c>
      <c r="C16" s="386" t="s">
        <v>14476</v>
      </c>
      <c r="D16" s="387" t="str">
        <f>IFERROR(VLOOKUP($B16,'24.08_ND'!$A:$D,2,0),IFERROR(VLOOKUP(#REF!,'03-CP'!$C$5:$H$4646,2,0),""))</f>
        <v>ARMAÇÃO DE SAPATA ISOLADA, VIGA BALDRAME E SAPATA CORRIDA UTILIZANDO AÇO CA-50 DE 10 MM - MONTAGEM. AF_01/2024</v>
      </c>
      <c r="E16" s="253" t="str">
        <f>IFERROR(VLOOKUP($B16,'24.08_ND'!$A:$D,3,0),IFERROR(VLOOKUP(#REF!,'03-CP'!$C$5:$H$4646,3,0),""))</f>
        <v>KG</v>
      </c>
      <c r="F16" s="389">
        <v>25.4</v>
      </c>
      <c r="G16" s="386"/>
      <c r="H16" s="386"/>
      <c r="I16" s="1316"/>
      <c r="J16" s="1591" t="s">
        <v>16202</v>
      </c>
      <c r="K16" s="1588"/>
      <c r="L16" s="130"/>
      <c r="M16" s="130"/>
      <c r="N16" s="130"/>
      <c r="O16" s="130"/>
      <c r="P16" s="130"/>
      <c r="Q16" s="130"/>
      <c r="R16" s="130"/>
      <c r="S16" s="130"/>
      <c r="T16" s="130"/>
      <c r="U16" s="130"/>
      <c r="V16" s="130"/>
      <c r="W16" s="130"/>
      <c r="X16" s="130"/>
      <c r="Y16" s="130"/>
      <c r="Z16" s="130"/>
    </row>
    <row r="17" spans="1:26" ht="25.5" outlineLevel="1">
      <c r="A17" s="243" t="s">
        <v>13495</v>
      </c>
      <c r="B17" s="386">
        <v>96558</v>
      </c>
      <c r="C17" s="386" t="s">
        <v>14476</v>
      </c>
      <c r="D17" s="387" t="str">
        <f>IFERROR(VLOOKUP($B17,'24.08_ND'!$A:$D,2,0),IFERROR(VLOOKUP(#REF!,'03-CP'!$C$5:$H$4646,2,0),""))</f>
        <v>CONCRETAGEM DE SAPATA, FCK 30 MPA, COM USO DE BOMBA - LANÇAMENTO, ADENSAMENTO E ACABAMENTO. AF_01/2024</v>
      </c>
      <c r="E17" s="253" t="str">
        <f>IFERROR(VLOOKUP($B17,'24.08_ND'!$A:$D,3,0),IFERROR(VLOOKUP(#REF!,'03-CP'!$C$5:$H$4646,3,0),""))</f>
        <v>M3</v>
      </c>
      <c r="F17" s="389">
        <v>0.82</v>
      </c>
      <c r="G17" s="386"/>
      <c r="H17" s="386"/>
      <c r="I17" s="1316"/>
      <c r="J17" s="1591" t="s">
        <v>16202</v>
      </c>
      <c r="K17" s="1588"/>
      <c r="L17" s="130"/>
      <c r="M17" s="130"/>
      <c r="N17" s="130"/>
      <c r="O17" s="130"/>
      <c r="P17" s="130"/>
      <c r="Q17" s="130"/>
      <c r="R17" s="130"/>
      <c r="S17" s="130"/>
      <c r="T17" s="130"/>
      <c r="U17" s="130"/>
      <c r="V17" s="130"/>
      <c r="W17" s="130"/>
      <c r="X17" s="130"/>
      <c r="Y17" s="130"/>
      <c r="Z17" s="130"/>
    </row>
    <row r="18" spans="1:26" ht="25.5" outlineLevel="1">
      <c r="A18" s="1317" t="s">
        <v>13496</v>
      </c>
      <c r="B18" s="295">
        <v>93382</v>
      </c>
      <c r="C18" s="295" t="s">
        <v>14476</v>
      </c>
      <c r="D18" s="296" t="str">
        <f>IFERROR(VLOOKUP($B18,'24.08_ND'!$A:$D,2,0),IFERROR(VLOOKUP(#REF!,'03-CP'!$C$5:$H$4646,2,0),""))</f>
        <v>REATERRO MANUAL DE VALAS, COM COMPACTADOR DE SOLOS DE PERCUSSÃO. AF_08/2023</v>
      </c>
      <c r="E18" s="297" t="str">
        <f>IFERROR(VLOOKUP($B18,'24.08_ND'!$A:$D,3,0),IFERROR(VLOOKUP(#REF!,'03-CP'!$C$5:$H$4646,3,0),""))</f>
        <v>M3</v>
      </c>
      <c r="F18" s="298">
        <f>F20</f>
        <v>4.7409999999999997</v>
      </c>
      <c r="G18" s="295"/>
      <c r="H18" s="295"/>
      <c r="I18" s="1319"/>
      <c r="J18" s="1591" t="s">
        <v>16202</v>
      </c>
      <c r="K18" s="1588"/>
      <c r="L18" s="130"/>
      <c r="M18" s="130"/>
      <c r="N18" s="130"/>
      <c r="O18" s="130"/>
      <c r="P18" s="130"/>
      <c r="Q18" s="130"/>
      <c r="R18" s="130"/>
      <c r="S18" s="130"/>
      <c r="T18" s="130"/>
      <c r="U18" s="130"/>
      <c r="V18" s="130"/>
      <c r="W18" s="130"/>
      <c r="X18" s="130"/>
      <c r="Y18" s="130"/>
      <c r="Z18" s="130"/>
    </row>
    <row r="19" spans="1:26" ht="12.75" hidden="1" outlineLevel="1">
      <c r="A19" s="664"/>
      <c r="B19" s="1592"/>
      <c r="C19" s="1593"/>
      <c r="D19" s="1594" t="s">
        <v>16369</v>
      </c>
      <c r="E19" s="1595" t="s">
        <v>16204</v>
      </c>
      <c r="F19" s="1596" t="s">
        <v>16205</v>
      </c>
      <c r="G19" s="368"/>
      <c r="H19" s="368"/>
      <c r="I19" s="870"/>
      <c r="J19" s="368"/>
      <c r="K19" s="368"/>
      <c r="L19" s="368"/>
      <c r="M19" s="368"/>
      <c r="N19" s="368"/>
      <c r="O19" s="368"/>
      <c r="P19" s="368"/>
      <c r="Q19" s="368"/>
      <c r="R19" s="368"/>
      <c r="S19" s="368"/>
      <c r="T19" s="368"/>
      <c r="U19" s="368"/>
      <c r="V19" s="368"/>
      <c r="W19" s="368"/>
      <c r="X19" s="368"/>
      <c r="Y19" s="368"/>
      <c r="Z19" s="368"/>
    </row>
    <row r="20" spans="1:26" ht="12.75" hidden="1" outlineLevel="1">
      <c r="A20" s="664"/>
      <c r="B20" s="1597"/>
      <c r="C20" s="1598"/>
      <c r="D20" s="1599">
        <f>F10-F17</f>
        <v>4.3099999999999996</v>
      </c>
      <c r="E20" s="1600">
        <v>1.1000000000000001</v>
      </c>
      <c r="F20" s="1601">
        <f>D20*E20</f>
        <v>4.7409999999999997</v>
      </c>
      <c r="G20" s="368"/>
      <c r="H20" s="368"/>
      <c r="I20" s="870"/>
      <c r="J20" s="368"/>
      <c r="K20" s="368"/>
      <c r="L20" s="368"/>
      <c r="M20" s="368"/>
      <c r="N20" s="368"/>
      <c r="O20" s="368"/>
      <c r="P20" s="368"/>
      <c r="Q20" s="368"/>
      <c r="R20" s="368"/>
      <c r="S20" s="368"/>
      <c r="T20" s="368"/>
      <c r="U20" s="368"/>
      <c r="V20" s="368"/>
      <c r="W20" s="368"/>
      <c r="X20" s="368"/>
      <c r="Y20" s="368"/>
      <c r="Z20" s="368"/>
    </row>
    <row r="21" spans="1:26" ht="51" outlineLevel="1">
      <c r="A21" s="1317" t="s">
        <v>13497</v>
      </c>
      <c r="B21" s="295">
        <v>100978</v>
      </c>
      <c r="C21" s="295" t="s">
        <v>14476</v>
      </c>
      <c r="D21" s="296" t="str">
        <f>IFERROR(VLOOKUP($B21,'24.08_ND'!$A:$D,2,0),IFERROR(VLOOKUP(#REF!,'03-CP'!$C$5:$H$4646,2,0),""))</f>
        <v>CARGA, MANOBRA E DESCARGA DE SOLOS E MATERIAIS GRANULARES EM CAMINHÃO BASCULANTE 10 M³ - CARGA COM ESCAVADEIRA HIDRÁULICA (CAÇAMBA DE 1,20 M³ / 155 HP) E DESCARGA LIVRE (UNIDADE: M3). AF_07/2020</v>
      </c>
      <c r="E21" s="297" t="str">
        <f>IFERROR(VLOOKUP($B21,'24.08_ND'!$A:$D,3,0),IFERROR(VLOOKUP(#REF!,'03-CP'!$C$5:$H$4646,3,0),""))</f>
        <v>M3</v>
      </c>
      <c r="F21" s="298">
        <f>D25</f>
        <v>2.4409999999999998</v>
      </c>
      <c r="G21" s="295"/>
      <c r="H21" s="295"/>
      <c r="I21" s="1319"/>
      <c r="J21" s="1591" t="s">
        <v>16202</v>
      </c>
      <c r="K21" s="1588"/>
      <c r="L21" s="130"/>
      <c r="M21" s="130"/>
      <c r="N21" s="130"/>
      <c r="O21" s="130"/>
      <c r="P21" s="130"/>
      <c r="Q21" s="130"/>
      <c r="R21" s="130"/>
      <c r="S21" s="130"/>
      <c r="T21" s="130"/>
      <c r="U21" s="130"/>
      <c r="V21" s="130"/>
      <c r="W21" s="130"/>
      <c r="X21" s="130"/>
      <c r="Y21" s="130"/>
      <c r="Z21" s="130"/>
    </row>
    <row r="22" spans="1:26" ht="12.75" hidden="1" outlineLevel="1">
      <c r="A22" s="664"/>
      <c r="B22" s="1602" t="s">
        <v>16206</v>
      </c>
      <c r="C22" s="1603" t="s">
        <v>16207</v>
      </c>
      <c r="D22" s="1594" t="s">
        <v>16208</v>
      </c>
      <c r="E22" s="1593"/>
      <c r="F22" s="1604"/>
      <c r="G22" s="368"/>
      <c r="H22" s="368"/>
      <c r="I22" s="870"/>
      <c r="J22" s="368"/>
      <c r="K22" s="368"/>
      <c r="L22" s="368"/>
      <c r="M22" s="368"/>
      <c r="N22" s="368"/>
      <c r="O22" s="368"/>
      <c r="P22" s="368"/>
      <c r="Q22" s="368"/>
      <c r="R22" s="368"/>
      <c r="S22" s="416"/>
      <c r="T22" s="416"/>
      <c r="U22" s="416"/>
      <c r="V22" s="416"/>
      <c r="W22" s="416"/>
      <c r="X22" s="416"/>
      <c r="Y22" s="416"/>
      <c r="Z22" s="416"/>
    </row>
    <row r="23" spans="1:26" ht="12.75" hidden="1" outlineLevel="1">
      <c r="A23" s="664"/>
      <c r="B23" s="1605">
        <f>F10</f>
        <v>5.13</v>
      </c>
      <c r="C23" s="1606">
        <v>1.4</v>
      </c>
      <c r="D23" s="1607">
        <f>B23*C23</f>
        <v>7.1819999999999995</v>
      </c>
      <c r="E23" s="368"/>
      <c r="F23" s="1608"/>
      <c r="G23" s="368"/>
      <c r="H23" s="368"/>
      <c r="I23" s="870"/>
      <c r="J23" s="368"/>
      <c r="K23" s="368"/>
      <c r="L23" s="368"/>
      <c r="M23" s="368"/>
      <c r="N23" s="368"/>
      <c r="O23" s="368"/>
      <c r="P23" s="368"/>
      <c r="Q23" s="368"/>
      <c r="R23" s="368"/>
      <c r="S23" s="416"/>
      <c r="T23" s="416"/>
      <c r="U23" s="416"/>
      <c r="V23" s="416"/>
      <c r="W23" s="416"/>
      <c r="X23" s="416"/>
      <c r="Y23" s="416"/>
      <c r="Z23" s="416"/>
    </row>
    <row r="24" spans="1:26" ht="12.75" hidden="1" outlineLevel="1">
      <c r="A24" s="664"/>
      <c r="B24" s="1609" t="s">
        <v>16209</v>
      </c>
      <c r="C24" s="1606" t="s">
        <v>16205</v>
      </c>
      <c r="D24" s="1610" t="s">
        <v>16210</v>
      </c>
      <c r="E24" s="368"/>
      <c r="F24" s="1608"/>
      <c r="G24" s="368"/>
      <c r="H24" s="368"/>
      <c r="I24" s="870"/>
      <c r="J24" s="368"/>
      <c r="K24" s="368"/>
      <c r="L24" s="368"/>
      <c r="M24" s="368"/>
      <c r="N24" s="368"/>
      <c r="O24" s="368"/>
      <c r="P24" s="368"/>
      <c r="Q24" s="368"/>
      <c r="R24" s="368"/>
      <c r="S24" s="416"/>
      <c r="T24" s="416"/>
      <c r="U24" s="416"/>
      <c r="V24" s="416"/>
      <c r="W24" s="416"/>
      <c r="X24" s="416"/>
      <c r="Y24" s="416"/>
      <c r="Z24" s="416"/>
    </row>
    <row r="25" spans="1:26" ht="12.75" hidden="1" outlineLevel="1">
      <c r="A25" s="664"/>
      <c r="B25" s="1611">
        <f>D23</f>
        <v>7.1819999999999995</v>
      </c>
      <c r="C25" s="1612">
        <f>F20</f>
        <v>4.7409999999999997</v>
      </c>
      <c r="D25" s="1613">
        <f>B25-C25</f>
        <v>2.4409999999999998</v>
      </c>
      <c r="E25" s="1598"/>
      <c r="F25" s="1614"/>
      <c r="G25" s="368"/>
      <c r="H25" s="368"/>
      <c r="I25" s="870"/>
      <c r="J25" s="368"/>
      <c r="K25" s="368"/>
      <c r="L25" s="368"/>
      <c r="M25" s="368"/>
      <c r="N25" s="368"/>
      <c r="O25" s="368"/>
      <c r="P25" s="368"/>
      <c r="Q25" s="368"/>
      <c r="R25" s="368"/>
      <c r="S25" s="416"/>
      <c r="T25" s="416"/>
      <c r="U25" s="416"/>
      <c r="V25" s="416"/>
      <c r="W25" s="416"/>
      <c r="X25" s="416"/>
      <c r="Y25" s="416"/>
      <c r="Z25" s="416"/>
    </row>
    <row r="26" spans="1:26" ht="25.5" outlineLevel="1">
      <c r="A26" s="1317" t="s">
        <v>13498</v>
      </c>
      <c r="B26" s="295">
        <v>100938</v>
      </c>
      <c r="C26" s="295" t="s">
        <v>14476</v>
      </c>
      <c r="D26" s="296" t="str">
        <f>IFERROR(VLOOKUP($B26,'24.08_ND'!$A:$D,2,0),IFERROR(VLOOKUP(#REF!,'03-CP'!$C$5:$H$4646,2,0),""))</f>
        <v>TRANSPORTE COM CAMINHÃO BASCULANTE DE 10 M³, EM VIA INTERNA (DENTRO DO CANTEIRO - UNIDADE: M3XKM). AF_07/2020</v>
      </c>
      <c r="E26" s="297" t="str">
        <f>IFERROR(VLOOKUP($B26,'24.08_ND'!$A:$D,3,0),IFERROR(VLOOKUP(#REF!,'03-CP'!$C$5:$H$4646,3,0),""))</f>
        <v>M3XKM</v>
      </c>
      <c r="F26" s="298">
        <f>F28</f>
        <v>4.8819999999999997</v>
      </c>
      <c r="G26" s="295"/>
      <c r="H26" s="295"/>
      <c r="I26" s="1319"/>
      <c r="J26" s="1591" t="s">
        <v>16202</v>
      </c>
      <c r="K26" s="1588"/>
      <c r="L26" s="130"/>
      <c r="M26" s="130"/>
      <c r="N26" s="130"/>
      <c r="O26" s="130"/>
      <c r="P26" s="130"/>
      <c r="Q26" s="130"/>
      <c r="R26" s="130"/>
      <c r="S26" s="130"/>
      <c r="T26" s="130"/>
      <c r="U26" s="130"/>
      <c r="V26" s="130"/>
      <c r="W26" s="130"/>
      <c r="X26" s="130"/>
      <c r="Y26" s="130"/>
      <c r="Z26" s="130"/>
    </row>
    <row r="27" spans="1:26" ht="12.75" hidden="1" outlineLevel="1">
      <c r="A27" s="1585"/>
      <c r="B27" s="1592"/>
      <c r="C27" s="1593"/>
      <c r="D27" s="1615" t="s">
        <v>16211</v>
      </c>
      <c r="E27" s="1616" t="s">
        <v>16212</v>
      </c>
      <c r="F27" s="1617" t="s">
        <v>16213</v>
      </c>
      <c r="G27" s="641"/>
      <c r="H27" s="641"/>
      <c r="I27" s="865"/>
      <c r="J27" s="642"/>
      <c r="K27" s="641"/>
      <c r="L27" s="1618"/>
      <c r="M27" s="368"/>
      <c r="N27" s="368"/>
      <c r="O27" s="368"/>
      <c r="P27" s="368"/>
      <c r="Q27" s="368"/>
      <c r="R27" s="368"/>
      <c r="S27" s="368"/>
      <c r="T27" s="368"/>
      <c r="U27" s="368"/>
      <c r="V27" s="368"/>
      <c r="W27" s="368"/>
      <c r="X27" s="368"/>
      <c r="Y27" s="368"/>
      <c r="Z27" s="368"/>
    </row>
    <row r="28" spans="1:26" ht="12.75" hidden="1" outlineLevel="1">
      <c r="A28" s="1585"/>
      <c r="B28" s="1597"/>
      <c r="C28" s="1598"/>
      <c r="D28" s="1619">
        <f>D25</f>
        <v>2.4409999999999998</v>
      </c>
      <c r="E28" s="1620">
        <v>2</v>
      </c>
      <c r="F28" s="1621">
        <f>D28*E28</f>
        <v>4.8819999999999997</v>
      </c>
      <c r="G28" s="641"/>
      <c r="H28" s="641"/>
      <c r="I28" s="865"/>
      <c r="J28" s="642"/>
      <c r="K28" s="641"/>
      <c r="L28" s="1618"/>
      <c r="M28" s="368"/>
      <c r="N28" s="368"/>
      <c r="O28" s="368"/>
      <c r="P28" s="368"/>
      <c r="Q28" s="368"/>
      <c r="R28" s="368"/>
      <c r="S28" s="368"/>
      <c r="T28" s="368"/>
      <c r="U28" s="368"/>
      <c r="V28" s="368"/>
      <c r="W28" s="368"/>
      <c r="X28" s="368"/>
      <c r="Y28" s="368"/>
      <c r="Z28" s="368"/>
    </row>
    <row r="29" spans="1:26">
      <c r="A29" s="239" t="s">
        <v>13499</v>
      </c>
      <c r="B29" s="1309"/>
      <c r="C29" s="1309"/>
      <c r="D29" s="1310" t="s">
        <v>16431</v>
      </c>
      <c r="E29" s="1311"/>
      <c r="F29" s="1312"/>
      <c r="G29" s="1310"/>
      <c r="H29" s="1310"/>
      <c r="I29" s="1313"/>
      <c r="J29" s="1591" t="s">
        <v>16202</v>
      </c>
      <c r="K29" s="1588"/>
      <c r="L29" s="130"/>
      <c r="M29" s="130"/>
      <c r="N29" s="130"/>
      <c r="O29" s="130"/>
      <c r="P29" s="130"/>
      <c r="Q29" s="130"/>
      <c r="R29" s="130"/>
      <c r="S29" s="130"/>
      <c r="T29" s="130"/>
      <c r="U29" s="130"/>
      <c r="V29" s="130"/>
      <c r="W29" s="130"/>
      <c r="X29" s="130"/>
      <c r="Y29" s="130"/>
      <c r="Z29" s="130"/>
    </row>
    <row r="30" spans="1:26" ht="25.5" outlineLevel="1">
      <c r="A30" s="243" t="s">
        <v>13500</v>
      </c>
      <c r="B30" s="386">
        <v>96527</v>
      </c>
      <c r="C30" s="386" t="s">
        <v>14476</v>
      </c>
      <c r="D30" s="387" t="str">
        <f>IFERROR(VLOOKUP($B30,'24.08_ND'!$A:$D,2,0),IFERROR(VLOOKUP(#REF!,'03-CP'!$C$5:$H$4646,2,0),""))</f>
        <v>ESCAVAÇÃO MANUAL PARA VIGA BALDRAME OU SAPATA CORRIDA (INCLUINDO ESCAVAÇÃO PARA COLOCAÇÃO DE FÔRMAS). AF_01/2024</v>
      </c>
      <c r="E30" s="253" t="str">
        <f>IFERROR(VLOOKUP($B30,'24.08_ND'!$A:$D,3,0),IFERROR(VLOOKUP(#REF!,'03-CP'!$C$5:$H$4646,3,0),""))</f>
        <v>M3</v>
      </c>
      <c r="F30" s="389">
        <v>3.33</v>
      </c>
      <c r="G30" s="386"/>
      <c r="H30" s="386"/>
      <c r="I30" s="1316"/>
      <c r="J30" s="1591" t="s">
        <v>16202</v>
      </c>
      <c r="K30" s="1588"/>
      <c r="L30" s="130"/>
      <c r="M30" s="130"/>
      <c r="N30" s="130"/>
      <c r="O30" s="130"/>
      <c r="P30" s="130"/>
      <c r="Q30" s="130"/>
      <c r="R30" s="130"/>
      <c r="S30" s="130"/>
      <c r="T30" s="130"/>
      <c r="U30" s="130"/>
      <c r="V30" s="130"/>
      <c r="W30" s="130"/>
      <c r="X30" s="130"/>
      <c r="Y30" s="130"/>
      <c r="Z30" s="130"/>
    </row>
    <row r="31" spans="1:26" ht="25.5" outlineLevel="1">
      <c r="A31" s="243" t="s">
        <v>13501</v>
      </c>
      <c r="B31" s="386">
        <v>96616</v>
      </c>
      <c r="C31" s="386" t="s">
        <v>14476</v>
      </c>
      <c r="D31" s="387" t="str">
        <f>IFERROR(VLOOKUP($B31,'24.08_ND'!$A:$D,2,0),IFERROR(VLOOKUP(#REF!,'03-CP'!$C$5:$H$4646,2,0),""))</f>
        <v>LASTRO DE CONCRETO MAGRO, APLICADO EM BLOCOS DE COROAMENTO OU SAPATAS. AF_01/2024</v>
      </c>
      <c r="E31" s="253" t="str">
        <f>IFERROR(VLOOKUP($B31,'24.08_ND'!$A:$D,3,0),IFERROR(VLOOKUP(#REF!,'03-CP'!$C$5:$H$4646,3,0),""))</f>
        <v>M3</v>
      </c>
      <c r="F31" s="389">
        <v>0.2</v>
      </c>
      <c r="G31" s="386"/>
      <c r="H31" s="386"/>
      <c r="I31" s="1316"/>
      <c r="J31" s="1591" t="s">
        <v>16202</v>
      </c>
      <c r="K31" s="1588"/>
      <c r="L31" s="130"/>
      <c r="M31" s="130"/>
      <c r="N31" s="130"/>
      <c r="O31" s="130"/>
      <c r="P31" s="130"/>
      <c r="Q31" s="130"/>
      <c r="R31" s="130"/>
      <c r="S31" s="130"/>
      <c r="T31" s="130"/>
      <c r="U31" s="130"/>
      <c r="V31" s="130"/>
      <c r="W31" s="130"/>
      <c r="X31" s="130"/>
      <c r="Y31" s="130"/>
      <c r="Z31" s="130"/>
    </row>
    <row r="32" spans="1:26" ht="25.5" outlineLevel="1">
      <c r="A32" s="243" t="s">
        <v>13502</v>
      </c>
      <c r="B32" s="386">
        <v>96536</v>
      </c>
      <c r="C32" s="386" t="s">
        <v>14476</v>
      </c>
      <c r="D32" s="387" t="str">
        <f>IFERROR(VLOOKUP($B32,'24.08_ND'!$A:$D,2,0),IFERROR(VLOOKUP(#REF!,'03-CP'!$C$5:$H$4646,2,0),""))</f>
        <v>FABRICAÇÃO, MONTAGEM E DESMONTAGEM DE FÔRMA PARA VIGA BALDRAME, EM MADEIRA SERRADA, E=25 MM, 4 UTILIZAÇÕES. AF_01/2024</v>
      </c>
      <c r="E32" s="253" t="str">
        <f>IFERROR(VLOOKUP($B32,'24.08_ND'!$A:$D,3,0),IFERROR(VLOOKUP(#REF!,'03-CP'!$C$5:$H$4646,3,0),""))</f>
        <v>M2</v>
      </c>
      <c r="F32" s="389">
        <v>19.82</v>
      </c>
      <c r="G32" s="386"/>
      <c r="H32" s="386"/>
      <c r="I32" s="1316"/>
      <c r="J32" s="1591" t="s">
        <v>16202</v>
      </c>
      <c r="K32" s="1588"/>
      <c r="L32" s="130"/>
      <c r="M32" s="130"/>
      <c r="N32" s="130"/>
      <c r="O32" s="130"/>
      <c r="P32" s="130"/>
      <c r="Q32" s="130"/>
      <c r="R32" s="130"/>
      <c r="S32" s="130"/>
      <c r="T32" s="130"/>
      <c r="U32" s="130"/>
      <c r="V32" s="130"/>
      <c r="W32" s="130"/>
      <c r="X32" s="130"/>
      <c r="Y32" s="130"/>
      <c r="Z32" s="130"/>
    </row>
    <row r="33" spans="1:26" ht="25.5" outlineLevel="1">
      <c r="A33" s="243" t="s">
        <v>13503</v>
      </c>
      <c r="B33" s="386">
        <v>104918</v>
      </c>
      <c r="C33" s="386" t="s">
        <v>14476</v>
      </c>
      <c r="D33" s="387" t="str">
        <f>IFERROR(VLOOKUP($B33,'24.08_ND'!$A:$D,2,0),IFERROR(VLOOKUP(#REF!,'03-CP'!$C$5:$H$4646,2,0),""))</f>
        <v>ARMAÇÃO DE SAPATA ISOLADA, VIGA BALDRAME E SAPATA CORRIDA UTILIZANDO AÇO CA-50 DE 8 MM - MONTAGEM. AF_01/2024</v>
      </c>
      <c r="E33" s="253" t="str">
        <f>IFERROR(VLOOKUP($B33,'24.08_ND'!$A:$D,3,0),IFERROR(VLOOKUP(#REF!,'03-CP'!$C$5:$H$4646,3,0),""))</f>
        <v>KG</v>
      </c>
      <c r="F33" s="389">
        <v>39.5</v>
      </c>
      <c r="G33" s="386"/>
      <c r="H33" s="386"/>
      <c r="I33" s="1316"/>
      <c r="J33" s="1591" t="s">
        <v>16202</v>
      </c>
      <c r="K33" s="1588"/>
      <c r="L33" s="130"/>
      <c r="M33" s="130"/>
      <c r="N33" s="130"/>
      <c r="O33" s="130"/>
      <c r="P33" s="130"/>
      <c r="Q33" s="130"/>
      <c r="R33" s="130"/>
      <c r="S33" s="130"/>
      <c r="T33" s="130"/>
      <c r="U33" s="130"/>
      <c r="V33" s="130"/>
      <c r="W33" s="130"/>
      <c r="X33" s="130"/>
      <c r="Y33" s="130"/>
      <c r="Z33" s="130"/>
    </row>
    <row r="34" spans="1:26" ht="25.5" outlineLevel="1">
      <c r="A34" s="243" t="s">
        <v>13504</v>
      </c>
      <c r="B34" s="386">
        <v>104919</v>
      </c>
      <c r="C34" s="386" t="s">
        <v>14476</v>
      </c>
      <c r="D34" s="387" t="str">
        <f>IFERROR(VLOOKUP($B34,'24.08_ND'!$A:$D,2,0),IFERROR(VLOOKUP(#REF!,'03-CP'!$C$5:$H$4646,2,0),""))</f>
        <v>ARMAÇÃO DE SAPATA ISOLADA, VIGA BALDRAME E SAPATA CORRIDA UTILIZANDO AÇO CA-50 DE 10 MM - MONTAGEM. AF_01/2024</v>
      </c>
      <c r="E34" s="253" t="str">
        <f>IFERROR(VLOOKUP($B34,'24.08_ND'!$A:$D,3,0),IFERROR(VLOOKUP(#REF!,'03-CP'!$C$5:$H$4646,3,0),""))</f>
        <v>KG</v>
      </c>
      <c r="F34" s="389">
        <v>23.7</v>
      </c>
      <c r="G34" s="386"/>
      <c r="H34" s="386"/>
      <c r="I34" s="1316"/>
      <c r="J34" s="1591" t="s">
        <v>16202</v>
      </c>
      <c r="K34" s="1588"/>
      <c r="L34" s="130"/>
      <c r="M34" s="130"/>
      <c r="N34" s="130"/>
      <c r="O34" s="130"/>
      <c r="P34" s="130"/>
      <c r="Q34" s="130"/>
      <c r="R34" s="130"/>
      <c r="S34" s="130"/>
      <c r="T34" s="130"/>
      <c r="U34" s="130"/>
      <c r="V34" s="130"/>
      <c r="W34" s="130"/>
      <c r="X34" s="130"/>
      <c r="Y34" s="130"/>
      <c r="Z34" s="130"/>
    </row>
    <row r="35" spans="1:26" ht="25.5" outlineLevel="1">
      <c r="A35" s="243" t="s">
        <v>13505</v>
      </c>
      <c r="B35" s="386">
        <v>104916</v>
      </c>
      <c r="C35" s="386" t="s">
        <v>14476</v>
      </c>
      <c r="D35" s="387" t="str">
        <f>IFERROR(VLOOKUP($B35,'24.08_ND'!$A:$D,2,0),IFERROR(VLOOKUP(#REF!,'03-CP'!$C$5:$H$4646,2,0),""))</f>
        <v>ARMAÇÃO DE SAPATA ISOLADA, VIGA BALDRAME E SAPATA CORRIDA UTILIZANDO AÇO CA-60 DE 5 MM - MONTAGEM. AF_01/2024</v>
      </c>
      <c r="E35" s="253" t="str">
        <f>IFERROR(VLOOKUP($B35,'24.08_ND'!$A:$D,3,0),IFERROR(VLOOKUP(#REF!,'03-CP'!$C$5:$H$4646,3,0),""))</f>
        <v>KG</v>
      </c>
      <c r="F35" s="389">
        <v>20.6</v>
      </c>
      <c r="G35" s="386"/>
      <c r="H35" s="386"/>
      <c r="I35" s="1316"/>
      <c r="J35" s="1591" t="s">
        <v>16202</v>
      </c>
      <c r="K35" s="1588"/>
      <c r="L35" s="130"/>
      <c r="M35" s="130"/>
      <c r="N35" s="130"/>
      <c r="O35" s="130"/>
      <c r="P35" s="130"/>
      <c r="Q35" s="130"/>
      <c r="R35" s="130"/>
      <c r="S35" s="130"/>
      <c r="T35" s="130"/>
      <c r="U35" s="130"/>
      <c r="V35" s="130"/>
      <c r="W35" s="130"/>
      <c r="X35" s="130"/>
      <c r="Y35" s="130"/>
      <c r="Z35" s="130"/>
    </row>
    <row r="36" spans="1:26" ht="38.25" outlineLevel="1">
      <c r="A36" s="243" t="s">
        <v>13506</v>
      </c>
      <c r="B36" s="386">
        <v>96557</v>
      </c>
      <c r="C36" s="386" t="s">
        <v>14476</v>
      </c>
      <c r="D36" s="387" t="str">
        <f>IFERROR(VLOOKUP($B36,'24.08_ND'!$A:$D,2,0),IFERROR(VLOOKUP(#REF!,'03-CP'!$C$5:$H$4646,2,0),""))</f>
        <v>CONCRETAGEM DE BLOCO DE COROAMENTO OU VIGA BALDRAME, FCK 30 MPA, COM USO DE BOMBA - LANÇAMENTO, ADENSAMENTO E ACABAMENTO. AF_01/2024</v>
      </c>
      <c r="E36" s="253" t="str">
        <f>IFERROR(VLOOKUP($B36,'24.08_ND'!$A:$D,3,0),IFERROR(VLOOKUP(#REF!,'03-CP'!$C$5:$H$4646,3,0),""))</f>
        <v>M3</v>
      </c>
      <c r="F36" s="389">
        <v>1.1200000000000001</v>
      </c>
      <c r="G36" s="386"/>
      <c r="H36" s="386"/>
      <c r="I36" s="1316"/>
      <c r="J36" s="1591" t="s">
        <v>16202</v>
      </c>
      <c r="K36" s="1588"/>
      <c r="L36" s="130"/>
      <c r="M36" s="130"/>
      <c r="N36" s="130"/>
      <c r="O36" s="130"/>
      <c r="P36" s="130"/>
      <c r="Q36" s="130"/>
      <c r="R36" s="130"/>
      <c r="S36" s="130"/>
      <c r="T36" s="130"/>
      <c r="U36" s="130"/>
      <c r="V36" s="130"/>
      <c r="W36" s="130"/>
      <c r="X36" s="130"/>
      <c r="Y36" s="130"/>
      <c r="Z36" s="130"/>
    </row>
    <row r="37" spans="1:26" ht="25.5" outlineLevel="1">
      <c r="A37" s="1317" t="s">
        <v>13507</v>
      </c>
      <c r="B37" s="295">
        <v>93382</v>
      </c>
      <c r="C37" s="295" t="s">
        <v>14476</v>
      </c>
      <c r="D37" s="296" t="str">
        <f>IFERROR(VLOOKUP($B37,'24.08_ND'!$A:$D,2,0),IFERROR(VLOOKUP(#REF!,'03-CP'!$C$5:$H$4646,2,0),""))</f>
        <v>REATERRO MANUAL DE VALAS, COM COMPACTADOR DE SOLOS DE PERCUSSÃO. AF_08/2023</v>
      </c>
      <c r="E37" s="297" t="str">
        <f>IFERROR(VLOOKUP($B37,'24.08_ND'!$A:$D,3,0),IFERROR(VLOOKUP(#REF!,'03-CP'!$C$5:$H$4646,3,0),""))</f>
        <v>M3</v>
      </c>
      <c r="F37" s="298">
        <f>F39</f>
        <v>2.431</v>
      </c>
      <c r="G37" s="295"/>
      <c r="H37" s="295"/>
      <c r="I37" s="1319"/>
      <c r="J37" s="1591" t="s">
        <v>16202</v>
      </c>
      <c r="K37" s="1588"/>
      <c r="L37" s="130"/>
      <c r="M37" s="130"/>
      <c r="N37" s="130"/>
      <c r="O37" s="130"/>
      <c r="P37" s="130"/>
      <c r="Q37" s="130"/>
      <c r="R37" s="130"/>
      <c r="S37" s="130"/>
      <c r="T37" s="130"/>
      <c r="U37" s="130"/>
      <c r="V37" s="130"/>
      <c r="W37" s="130"/>
      <c r="X37" s="130"/>
      <c r="Y37" s="130"/>
      <c r="Z37" s="130"/>
    </row>
    <row r="38" spans="1:26" ht="12.75" hidden="1" outlineLevel="1">
      <c r="A38" s="664"/>
      <c r="B38" s="1592"/>
      <c r="C38" s="1593"/>
      <c r="D38" s="1594" t="s">
        <v>16369</v>
      </c>
      <c r="E38" s="1595" t="s">
        <v>16204</v>
      </c>
      <c r="F38" s="1596" t="s">
        <v>16205</v>
      </c>
      <c r="G38" s="368"/>
      <c r="H38" s="368"/>
      <c r="I38" s="870"/>
      <c r="J38" s="368"/>
      <c r="K38" s="368"/>
      <c r="L38" s="368"/>
      <c r="M38" s="368"/>
      <c r="N38" s="368"/>
      <c r="O38" s="368"/>
      <c r="P38" s="368"/>
      <c r="Q38" s="368"/>
      <c r="R38" s="368"/>
      <c r="S38" s="368"/>
      <c r="T38" s="368"/>
      <c r="U38" s="368"/>
      <c r="V38" s="368"/>
      <c r="W38" s="368"/>
      <c r="X38" s="368"/>
      <c r="Y38" s="368"/>
      <c r="Z38" s="368"/>
    </row>
    <row r="39" spans="1:26" ht="12.75" hidden="1" outlineLevel="1">
      <c r="A39" s="664"/>
      <c r="B39" s="1597"/>
      <c r="C39" s="1598"/>
      <c r="D39" s="1599">
        <f>F30-F36</f>
        <v>2.21</v>
      </c>
      <c r="E39" s="1600">
        <v>1.1000000000000001</v>
      </c>
      <c r="F39" s="1601">
        <f>D39*E39</f>
        <v>2.431</v>
      </c>
      <c r="G39" s="368"/>
      <c r="H39" s="368"/>
      <c r="I39" s="870"/>
      <c r="J39" s="368"/>
      <c r="K39" s="368"/>
      <c r="L39" s="368"/>
      <c r="M39" s="368"/>
      <c r="N39" s="368"/>
      <c r="O39" s="368"/>
      <c r="P39" s="368"/>
      <c r="Q39" s="368"/>
      <c r="R39" s="368"/>
      <c r="S39" s="368"/>
      <c r="T39" s="368"/>
      <c r="U39" s="368"/>
      <c r="V39" s="368"/>
      <c r="W39" s="368"/>
      <c r="X39" s="368"/>
      <c r="Y39" s="368"/>
      <c r="Z39" s="368"/>
    </row>
    <row r="40" spans="1:26" ht="51" outlineLevel="1">
      <c r="A40" s="1317" t="s">
        <v>13508</v>
      </c>
      <c r="B40" s="295">
        <v>100978</v>
      </c>
      <c r="C40" s="295" t="s">
        <v>14476</v>
      </c>
      <c r="D40" s="296" t="str">
        <f>IFERROR(VLOOKUP($B40,'24.08_ND'!$A:$D,2,0),IFERROR(VLOOKUP(#REF!,'03-CP'!$C$5:$H$4646,2,0),""))</f>
        <v>CARGA, MANOBRA E DESCARGA DE SOLOS E MATERIAIS GRANULARES EM CAMINHÃO BASCULANTE 10 M³ - CARGA COM ESCAVADEIRA HIDRÁULICA (CAÇAMBA DE 1,20 M³ / 155 HP) E DESCARGA LIVRE (UNIDADE: M3). AF_07/2020</v>
      </c>
      <c r="E40" s="297" t="str">
        <f>IFERROR(VLOOKUP($B40,'24.08_ND'!$A:$D,3,0),IFERROR(VLOOKUP(#REF!,'03-CP'!$C$5:$H$4646,3,0),""))</f>
        <v>M3</v>
      </c>
      <c r="F40" s="298">
        <f>D44</f>
        <v>2.2309999999999999</v>
      </c>
      <c r="G40" s="295"/>
      <c r="H40" s="295"/>
      <c r="I40" s="1319"/>
      <c r="J40" s="1591" t="s">
        <v>16202</v>
      </c>
      <c r="K40" s="1588"/>
      <c r="L40" s="130"/>
      <c r="M40" s="130"/>
      <c r="N40" s="130"/>
      <c r="O40" s="130"/>
      <c r="P40" s="130"/>
      <c r="Q40" s="130"/>
      <c r="R40" s="130"/>
      <c r="S40" s="130"/>
      <c r="T40" s="130"/>
      <c r="U40" s="130"/>
      <c r="V40" s="130"/>
      <c r="W40" s="130"/>
      <c r="X40" s="130"/>
      <c r="Y40" s="130"/>
      <c r="Z40" s="130"/>
    </row>
    <row r="41" spans="1:26" ht="12.75" hidden="1" outlineLevel="1">
      <c r="A41" s="664"/>
      <c r="B41" s="1602" t="s">
        <v>16206</v>
      </c>
      <c r="C41" s="1603" t="s">
        <v>16207</v>
      </c>
      <c r="D41" s="1594" t="s">
        <v>16208</v>
      </c>
      <c r="E41" s="1593"/>
      <c r="F41" s="1604"/>
      <c r="G41" s="368"/>
      <c r="H41" s="368"/>
      <c r="I41" s="870"/>
      <c r="J41" s="368"/>
      <c r="K41" s="368"/>
      <c r="L41" s="368"/>
      <c r="M41" s="368"/>
      <c r="N41" s="368"/>
      <c r="O41" s="368"/>
      <c r="P41" s="368"/>
      <c r="Q41" s="368"/>
      <c r="R41" s="368"/>
      <c r="S41" s="416"/>
      <c r="T41" s="416"/>
      <c r="U41" s="416"/>
      <c r="V41" s="416"/>
      <c r="W41" s="416"/>
      <c r="X41" s="416"/>
      <c r="Y41" s="416"/>
      <c r="Z41" s="416"/>
    </row>
    <row r="42" spans="1:26" ht="12.75" hidden="1" outlineLevel="1">
      <c r="A42" s="664"/>
      <c r="B42" s="1605">
        <f>F30</f>
        <v>3.33</v>
      </c>
      <c r="C42" s="1606">
        <v>1.4</v>
      </c>
      <c r="D42" s="1607">
        <f>B42*C42</f>
        <v>4.6619999999999999</v>
      </c>
      <c r="E42" s="368"/>
      <c r="F42" s="1608"/>
      <c r="G42" s="368"/>
      <c r="H42" s="368"/>
      <c r="I42" s="870"/>
      <c r="J42" s="368"/>
      <c r="K42" s="368"/>
      <c r="L42" s="368"/>
      <c r="M42" s="368"/>
      <c r="N42" s="368"/>
      <c r="O42" s="368"/>
      <c r="P42" s="368"/>
      <c r="Q42" s="368"/>
      <c r="R42" s="368"/>
      <c r="S42" s="416"/>
      <c r="T42" s="416"/>
      <c r="U42" s="416"/>
      <c r="V42" s="416"/>
      <c r="W42" s="416"/>
      <c r="X42" s="416"/>
      <c r="Y42" s="416"/>
      <c r="Z42" s="416"/>
    </row>
    <row r="43" spans="1:26" ht="12.75" hidden="1" outlineLevel="1">
      <c r="A43" s="664"/>
      <c r="B43" s="1609" t="s">
        <v>16209</v>
      </c>
      <c r="C43" s="1606" t="s">
        <v>16205</v>
      </c>
      <c r="D43" s="1610" t="s">
        <v>16210</v>
      </c>
      <c r="E43" s="368"/>
      <c r="F43" s="1608"/>
      <c r="G43" s="368"/>
      <c r="H43" s="368"/>
      <c r="I43" s="870"/>
      <c r="J43" s="368"/>
      <c r="K43" s="368"/>
      <c r="L43" s="368"/>
      <c r="M43" s="368"/>
      <c r="N43" s="368"/>
      <c r="O43" s="368"/>
      <c r="P43" s="368"/>
      <c r="Q43" s="368"/>
      <c r="R43" s="368"/>
      <c r="S43" s="416"/>
      <c r="T43" s="416"/>
      <c r="U43" s="416"/>
      <c r="V43" s="416"/>
      <c r="W43" s="416"/>
      <c r="X43" s="416"/>
      <c r="Y43" s="416"/>
      <c r="Z43" s="416"/>
    </row>
    <row r="44" spans="1:26" ht="12.75" hidden="1" outlineLevel="1">
      <c r="A44" s="664"/>
      <c r="B44" s="1611">
        <f>D42</f>
        <v>4.6619999999999999</v>
      </c>
      <c r="C44" s="1612">
        <f>F39</f>
        <v>2.431</v>
      </c>
      <c r="D44" s="1613">
        <f>B44-C44</f>
        <v>2.2309999999999999</v>
      </c>
      <c r="E44" s="1598"/>
      <c r="F44" s="1614"/>
      <c r="G44" s="368"/>
      <c r="H44" s="368"/>
      <c r="I44" s="870"/>
      <c r="J44" s="368"/>
      <c r="K44" s="368"/>
      <c r="L44" s="368"/>
      <c r="M44" s="368"/>
      <c r="N44" s="368"/>
      <c r="O44" s="368"/>
      <c r="P44" s="368"/>
      <c r="Q44" s="368"/>
      <c r="R44" s="368"/>
      <c r="S44" s="416"/>
      <c r="T44" s="416"/>
      <c r="U44" s="416"/>
      <c r="V44" s="416"/>
      <c r="W44" s="416"/>
      <c r="X44" s="416"/>
      <c r="Y44" s="416"/>
      <c r="Z44" s="416"/>
    </row>
    <row r="45" spans="1:26" ht="25.5" outlineLevel="1">
      <c r="A45" s="1317" t="s">
        <v>13509</v>
      </c>
      <c r="B45" s="295">
        <v>100938</v>
      </c>
      <c r="C45" s="295" t="s">
        <v>14476</v>
      </c>
      <c r="D45" s="296" t="str">
        <f>IFERROR(VLOOKUP($B45,'24.08_ND'!$A:$D,2,0),IFERROR(VLOOKUP(#REF!,'03-CP'!$C$5:$H$4646,2,0),""))</f>
        <v>TRANSPORTE COM CAMINHÃO BASCULANTE DE 10 M³, EM VIA INTERNA (DENTRO DO CANTEIRO - UNIDADE: M3XKM). AF_07/2020</v>
      </c>
      <c r="E45" s="297" t="str">
        <f>IFERROR(VLOOKUP($B45,'24.08_ND'!$A:$D,3,0),IFERROR(VLOOKUP(#REF!,'03-CP'!$C$5:$H$4646,3,0),""))</f>
        <v>M3XKM</v>
      </c>
      <c r="F45" s="298">
        <f>F47</f>
        <v>4.4619999999999997</v>
      </c>
      <c r="G45" s="295"/>
      <c r="H45" s="295"/>
      <c r="I45" s="1319"/>
      <c r="J45" s="1591" t="s">
        <v>16202</v>
      </c>
      <c r="K45" s="1588"/>
      <c r="L45" s="130"/>
      <c r="M45" s="130"/>
      <c r="N45" s="130"/>
      <c r="O45" s="130"/>
      <c r="P45" s="130"/>
      <c r="Q45" s="130"/>
      <c r="R45" s="130"/>
      <c r="S45" s="130"/>
      <c r="T45" s="130"/>
      <c r="U45" s="130"/>
      <c r="V45" s="130"/>
      <c r="W45" s="130"/>
      <c r="X45" s="130"/>
      <c r="Y45" s="130"/>
      <c r="Z45" s="130"/>
    </row>
    <row r="46" spans="1:26" hidden="1" outlineLevel="1">
      <c r="A46" s="1585"/>
      <c r="B46" s="1592"/>
      <c r="C46" s="1593"/>
      <c r="D46" s="1615" t="s">
        <v>16211</v>
      </c>
      <c r="E46" s="1616" t="s">
        <v>16212</v>
      </c>
      <c r="F46" s="1617" t="s">
        <v>16213</v>
      </c>
      <c r="G46" s="641"/>
      <c r="H46" s="641"/>
      <c r="I46" s="865"/>
      <c r="J46" s="512"/>
      <c r="K46" s="1588"/>
      <c r="L46" s="130"/>
      <c r="M46" s="130"/>
      <c r="N46" s="130"/>
      <c r="O46" s="130"/>
      <c r="P46" s="130"/>
      <c r="Q46" s="130"/>
      <c r="R46" s="130"/>
      <c r="S46" s="130"/>
      <c r="T46" s="130"/>
      <c r="U46" s="130"/>
      <c r="V46" s="130"/>
      <c r="W46" s="130"/>
      <c r="X46" s="130"/>
      <c r="Y46" s="130"/>
      <c r="Z46" s="130"/>
    </row>
    <row r="47" spans="1:26" hidden="1" outlineLevel="1">
      <c r="A47" s="1585"/>
      <c r="B47" s="1597"/>
      <c r="C47" s="1598"/>
      <c r="D47" s="1619">
        <f>D44</f>
        <v>2.2309999999999999</v>
      </c>
      <c r="E47" s="1620">
        <v>2</v>
      </c>
      <c r="F47" s="1621">
        <f>D47*E47</f>
        <v>4.4619999999999997</v>
      </c>
      <c r="G47" s="641"/>
      <c r="H47" s="641"/>
      <c r="I47" s="865"/>
      <c r="J47" s="512"/>
      <c r="K47" s="1588"/>
      <c r="L47" s="130"/>
      <c r="M47" s="130"/>
      <c r="N47" s="130"/>
      <c r="O47" s="130"/>
      <c r="P47" s="130"/>
      <c r="Q47" s="130"/>
      <c r="R47" s="130"/>
      <c r="S47" s="130"/>
      <c r="T47" s="130"/>
      <c r="U47" s="130"/>
      <c r="V47" s="130"/>
      <c r="W47" s="130"/>
      <c r="X47" s="130"/>
      <c r="Y47" s="130"/>
      <c r="Z47" s="130"/>
    </row>
    <row r="48" spans="1:26" ht="25.5" outlineLevel="1">
      <c r="A48" s="243" t="s">
        <v>13510</v>
      </c>
      <c r="B48" s="386">
        <v>98557</v>
      </c>
      <c r="C48" s="386" t="s">
        <v>14476</v>
      </c>
      <c r="D48" s="387" t="str">
        <f>IFERROR(VLOOKUP($B48,'24.08_ND'!$A:$D,2,0),IFERROR(VLOOKUP(#REF!,'03-CP'!$C$5:$H$4646,2,0),""))</f>
        <v>IMPERMEABILIZAÇÃO DE SUPERFÍCIE COM EMULSÃO ASFÁLTICA, 2 DEMÃOS. AF_09/2023</v>
      </c>
      <c r="E48" s="253" t="str">
        <f>IFERROR(VLOOKUP($B48,'24.08_ND'!$A:$D,3,0),IFERROR(VLOOKUP(#REF!,'03-CP'!$C$5:$H$4646,3,0),""))</f>
        <v>M2</v>
      </c>
      <c r="F48" s="389">
        <v>23.73</v>
      </c>
      <c r="G48" s="386"/>
      <c r="H48" s="386"/>
      <c r="I48" s="1316"/>
      <c r="J48" s="1591" t="s">
        <v>16202</v>
      </c>
      <c r="K48" s="1588"/>
      <c r="L48" s="130"/>
      <c r="M48" s="130"/>
      <c r="N48" s="130"/>
      <c r="O48" s="130"/>
      <c r="P48" s="130"/>
      <c r="Q48" s="130"/>
      <c r="R48" s="130"/>
      <c r="S48" s="130"/>
      <c r="T48" s="130"/>
      <c r="U48" s="130"/>
      <c r="V48" s="130"/>
      <c r="W48" s="130"/>
      <c r="X48" s="130"/>
      <c r="Y48" s="130"/>
      <c r="Z48" s="130"/>
    </row>
    <row r="49" spans="1:26">
      <c r="A49" s="239" t="s">
        <v>13511</v>
      </c>
      <c r="B49" s="1309"/>
      <c r="C49" s="1309"/>
      <c r="D49" s="1310" t="s">
        <v>16432</v>
      </c>
      <c r="E49" s="1311"/>
      <c r="F49" s="1312"/>
      <c r="G49" s="1310"/>
      <c r="H49" s="1310"/>
      <c r="I49" s="1313"/>
      <c r="J49" s="1591" t="s">
        <v>16202</v>
      </c>
      <c r="K49" s="1588"/>
      <c r="L49" s="130"/>
      <c r="M49" s="130"/>
      <c r="N49" s="130"/>
      <c r="O49" s="130"/>
      <c r="P49" s="130"/>
      <c r="Q49" s="130"/>
      <c r="R49" s="130"/>
      <c r="S49" s="130"/>
      <c r="T49" s="130"/>
      <c r="U49" s="130"/>
      <c r="V49" s="130"/>
      <c r="W49" s="130"/>
      <c r="X49" s="130"/>
      <c r="Y49" s="130"/>
      <c r="Z49" s="130"/>
    </row>
    <row r="50" spans="1:26" ht="38.25" outlineLevel="1">
      <c r="A50" s="243" t="s">
        <v>13512</v>
      </c>
      <c r="B50" s="386" t="s">
        <v>14643</v>
      </c>
      <c r="C50" s="386" t="s">
        <v>14472</v>
      </c>
      <c r="D50" s="1314" t="str">
        <f>IFERROR(VLOOKUP($B50,'24.08_ND'!$A$4833:$D$12369,2,0),IFERROR(VLOOKUP($B50,'03-CP'!$C$5:$H$4646,2,0),""))</f>
        <v>ESTACA BROCA DE CONCRETO, DIÂMETRO 30 CM, PROFUNDIDADE ATÉ 3M, ESCAVAÇÃO MANUAL COM TRADO CONCHA,INCLUSIVE CONCRETO USINADO BOMBEAVEL 30 MPA, EXCLUSIVE ARMAÇÃO</v>
      </c>
      <c r="E50" s="1315" t="str">
        <f>IFERROR(VLOOKUP($B50,'24.08_ND'!$A:$D,3,0),IFERROR(VLOOKUP($B50,'03-CP'!$C$5:$H$4646,3,0),""))</f>
        <v>M</v>
      </c>
      <c r="F50" s="389">
        <v>5</v>
      </c>
      <c r="G50" s="386"/>
      <c r="H50" s="386"/>
      <c r="I50" s="1316"/>
      <c r="J50" s="1591" t="s">
        <v>16202</v>
      </c>
      <c r="K50" s="386"/>
      <c r="L50" s="1297"/>
      <c r="M50" s="262"/>
      <c r="N50" s="1290"/>
      <c r="O50" s="262"/>
      <c r="P50" s="262"/>
      <c r="Q50" s="262"/>
      <c r="R50" s="262"/>
      <c r="S50" s="262"/>
      <c r="T50" s="262"/>
      <c r="U50" s="262"/>
      <c r="V50" s="262"/>
      <c r="W50" s="262"/>
      <c r="X50" s="262"/>
      <c r="Y50" s="262"/>
      <c r="Z50" s="262"/>
    </row>
    <row r="51" spans="1:26" ht="51" outlineLevel="1">
      <c r="A51" s="1317" t="s">
        <v>13513</v>
      </c>
      <c r="B51" s="295">
        <v>100978</v>
      </c>
      <c r="C51" s="295" t="s">
        <v>14476</v>
      </c>
      <c r="D51" s="658" t="str">
        <f>IFERROR(VLOOKUP($B51,'24.08_ND'!$A$4833:$D$12369,2,0),IFERROR(VLOOKUP($B51,'03-CP'!$C$5:$H$4646,2,0),""))</f>
        <v>CARGA, MANOBRA E DESCARGA DE SOLOS E MATERIAIS GRANULARES EM CAMINHÃO BASCULANTE 10 M³ - CARGA COM ESCAVADEIRA HIDRÁULICA (CAÇAMBA DE 1,20 M³ / 155 HP) E DESCARGA LIVRE (UNIDADE: M3). AF_07/2020</v>
      </c>
      <c r="E51" s="1318" t="str">
        <f>IFERROR(VLOOKUP($B51,'24.08_ND'!$A:$D,3,0),IFERROR(VLOOKUP($B51,'03-CP'!$C$5:$H$4646,3,0),""))</f>
        <v>M3</v>
      </c>
      <c r="F51" s="298">
        <f>D55</f>
        <v>0.48999999999999994</v>
      </c>
      <c r="G51" s="295"/>
      <c r="H51" s="295"/>
      <c r="I51" s="1319"/>
      <c r="J51" s="1591" t="s">
        <v>16202</v>
      </c>
      <c r="K51" s="386"/>
      <c r="L51" s="1297"/>
      <c r="M51" s="1296"/>
      <c r="N51" s="1290"/>
      <c r="O51" s="1296"/>
      <c r="P51" s="1296"/>
      <c r="Q51" s="1296"/>
      <c r="R51" s="1296"/>
      <c r="S51" s="1296"/>
      <c r="T51" s="1296"/>
      <c r="U51" s="262"/>
      <c r="V51" s="262"/>
      <c r="W51" s="262"/>
      <c r="X51" s="262"/>
      <c r="Y51" s="262"/>
      <c r="Z51" s="262"/>
    </row>
    <row r="52" spans="1:26" ht="21" hidden="1" outlineLevel="1">
      <c r="A52" s="664"/>
      <c r="B52" s="1602" t="s">
        <v>16206</v>
      </c>
      <c r="C52" s="1603" t="s">
        <v>16207</v>
      </c>
      <c r="D52" s="1594" t="s">
        <v>16208</v>
      </c>
      <c r="E52" s="1593"/>
      <c r="F52" s="1604"/>
      <c r="G52" s="368"/>
      <c r="H52" s="368"/>
      <c r="I52" s="870"/>
      <c r="J52" s="295"/>
      <c r="K52" s="295"/>
      <c r="L52" s="386"/>
      <c r="M52" s="262"/>
      <c r="N52" s="1290"/>
      <c r="O52" s="262"/>
      <c r="P52" s="262"/>
      <c r="Q52" s="262"/>
      <c r="R52" s="262"/>
      <c r="S52" s="262"/>
      <c r="T52" s="262"/>
      <c r="U52" s="1320"/>
      <c r="V52" s="1320"/>
      <c r="W52" s="1320"/>
      <c r="X52" s="1320"/>
      <c r="Y52" s="1320"/>
      <c r="Z52" s="1320"/>
    </row>
    <row r="53" spans="1:26" ht="21" hidden="1" outlineLevel="1">
      <c r="A53" s="664"/>
      <c r="B53" s="1605">
        <v>0.35</v>
      </c>
      <c r="C53" s="1606">
        <v>1.4</v>
      </c>
      <c r="D53" s="1607">
        <f>B53*C53</f>
        <v>0.48999999999999994</v>
      </c>
      <c r="E53" s="368"/>
      <c r="F53" s="1608"/>
      <c r="G53" s="368"/>
      <c r="H53" s="368"/>
      <c r="I53" s="870"/>
      <c r="J53" s="295"/>
      <c r="K53" s="295"/>
      <c r="L53" s="386"/>
      <c r="M53" s="262"/>
      <c r="N53" s="1290"/>
      <c r="O53" s="262"/>
      <c r="P53" s="262"/>
      <c r="Q53" s="262"/>
      <c r="R53" s="262"/>
      <c r="S53" s="262"/>
      <c r="T53" s="262"/>
      <c r="U53" s="1320"/>
      <c r="V53" s="1320"/>
      <c r="W53" s="1320"/>
      <c r="X53" s="1320"/>
      <c r="Y53" s="1320"/>
      <c r="Z53" s="1320"/>
    </row>
    <row r="54" spans="1:26" ht="21" hidden="1" outlineLevel="1">
      <c r="A54" s="664"/>
      <c r="B54" s="1609" t="s">
        <v>16209</v>
      </c>
      <c r="C54" s="1606" t="s">
        <v>16205</v>
      </c>
      <c r="D54" s="1610" t="s">
        <v>16210</v>
      </c>
      <c r="E54" s="368"/>
      <c r="F54" s="1608"/>
      <c r="G54" s="368"/>
      <c r="H54" s="368"/>
      <c r="I54" s="870"/>
      <c r="J54" s="295"/>
      <c r="K54" s="295"/>
      <c r="L54" s="386"/>
      <c r="M54" s="262"/>
      <c r="N54" s="1290"/>
      <c r="O54" s="262"/>
      <c r="P54" s="262"/>
      <c r="Q54" s="262"/>
      <c r="R54" s="262"/>
      <c r="S54" s="262"/>
      <c r="T54" s="262"/>
      <c r="U54" s="1320"/>
      <c r="V54" s="1320"/>
      <c r="W54" s="1320"/>
      <c r="X54" s="1320"/>
      <c r="Y54" s="1320"/>
      <c r="Z54" s="1320"/>
    </row>
    <row r="55" spans="1:26" ht="21" hidden="1" outlineLevel="1">
      <c r="A55" s="664"/>
      <c r="B55" s="1611">
        <f>D53</f>
        <v>0.48999999999999994</v>
      </c>
      <c r="C55" s="1622">
        <v>0</v>
      </c>
      <c r="D55" s="1623">
        <f>B55-C55</f>
        <v>0.48999999999999994</v>
      </c>
      <c r="E55" s="1598"/>
      <c r="F55" s="1614"/>
      <c r="G55" s="368"/>
      <c r="H55" s="368"/>
      <c r="I55" s="870"/>
      <c r="J55" s="295"/>
      <c r="K55" s="295"/>
      <c r="L55" s="386"/>
      <c r="M55" s="262"/>
      <c r="N55" s="1290"/>
      <c r="O55" s="262"/>
      <c r="P55" s="262"/>
      <c r="Q55" s="262"/>
      <c r="R55" s="262"/>
      <c r="S55" s="262"/>
      <c r="T55" s="262"/>
      <c r="U55" s="1320"/>
      <c r="V55" s="1320"/>
      <c r="W55" s="1320"/>
      <c r="X55" s="1320"/>
      <c r="Y55" s="1320"/>
      <c r="Z55" s="1320"/>
    </row>
    <row r="56" spans="1:26" ht="25.5" outlineLevel="1">
      <c r="A56" s="1317" t="s">
        <v>13514</v>
      </c>
      <c r="B56" s="295">
        <v>100938</v>
      </c>
      <c r="C56" s="295" t="s">
        <v>14476</v>
      </c>
      <c r="D56" s="658" t="str">
        <f>IFERROR(VLOOKUP($B56,'24.08_ND'!$A$4833:$D$12369,2,0),IFERROR(VLOOKUP($B56,'03-CP'!$C$5:$H$4646,2,0),""))</f>
        <v>TRANSPORTE COM CAMINHÃO BASCULANTE DE 10 M³, EM VIA INTERNA (DENTRO DO CANTEIRO - UNIDADE: M3XKM). AF_07/2020</v>
      </c>
      <c r="E56" s="1318" t="str">
        <f>IFERROR(VLOOKUP($B56,'24.08_ND'!$A:$D,3,0),IFERROR(VLOOKUP($B56,'03-CP'!$C$5:$H$4646,3,0),""))</f>
        <v>M3XKM</v>
      </c>
      <c r="F56" s="298">
        <f>F58</f>
        <v>0.97999999999999987</v>
      </c>
      <c r="G56" s="295"/>
      <c r="H56" s="295"/>
      <c r="I56" s="1319"/>
      <c r="J56" s="1591" t="s">
        <v>16202</v>
      </c>
      <c r="K56" s="386"/>
      <c r="L56" s="386"/>
      <c r="M56" s="262"/>
      <c r="N56" s="1290"/>
      <c r="O56" s="262"/>
      <c r="P56" s="262"/>
      <c r="Q56" s="262"/>
      <c r="R56" s="262"/>
      <c r="S56" s="262"/>
      <c r="T56" s="262"/>
      <c r="U56" s="262"/>
      <c r="V56" s="262"/>
      <c r="W56" s="262"/>
      <c r="X56" s="262"/>
      <c r="Y56" s="262"/>
      <c r="Z56" s="262"/>
    </row>
    <row r="57" spans="1:26" hidden="1" outlineLevel="1">
      <c r="A57" s="1585"/>
      <c r="B57" s="1592"/>
      <c r="C57" s="1593"/>
      <c r="D57" s="1615" t="s">
        <v>16211</v>
      </c>
      <c r="E57" s="1616" t="s">
        <v>16212</v>
      </c>
      <c r="F57" s="1617" t="s">
        <v>16213</v>
      </c>
      <c r="G57" s="641"/>
      <c r="H57" s="641"/>
      <c r="I57" s="865"/>
      <c r="J57" s="1588"/>
      <c r="K57" s="1588"/>
      <c r="L57" s="130"/>
      <c r="M57" s="130"/>
      <c r="N57" s="130"/>
      <c r="O57" s="130"/>
      <c r="P57" s="130"/>
      <c r="Q57" s="130"/>
      <c r="R57" s="130"/>
      <c r="S57" s="130"/>
      <c r="T57" s="130"/>
      <c r="U57" s="130"/>
      <c r="V57" s="130"/>
      <c r="W57" s="130"/>
      <c r="X57" s="130"/>
      <c r="Y57" s="130"/>
      <c r="Z57" s="130"/>
    </row>
    <row r="58" spans="1:26" hidden="1" outlineLevel="1">
      <c r="A58" s="1585"/>
      <c r="B58" s="1597"/>
      <c r="C58" s="1598"/>
      <c r="D58" s="1619">
        <f>D55</f>
        <v>0.48999999999999994</v>
      </c>
      <c r="E58" s="1620">
        <v>2</v>
      </c>
      <c r="F58" s="1621">
        <f>D58*E58</f>
        <v>0.97999999999999987</v>
      </c>
      <c r="G58" s="641"/>
      <c r="H58" s="641"/>
      <c r="I58" s="865"/>
      <c r="J58" s="1588"/>
      <c r="K58" s="1588"/>
      <c r="L58" s="130"/>
      <c r="M58" s="130"/>
      <c r="N58" s="130"/>
      <c r="O58" s="130"/>
      <c r="P58" s="130"/>
      <c r="Q58" s="130"/>
      <c r="R58" s="130"/>
      <c r="S58" s="130"/>
      <c r="T58" s="130"/>
      <c r="U58" s="130"/>
      <c r="V58" s="130"/>
      <c r="W58" s="130"/>
      <c r="X58" s="130"/>
      <c r="Y58" s="130"/>
      <c r="Z58" s="130"/>
    </row>
    <row r="59" spans="1:26">
      <c r="A59" s="239" t="s">
        <v>13515</v>
      </c>
      <c r="B59" s="1309"/>
      <c r="C59" s="1309"/>
      <c r="D59" s="1310" t="s">
        <v>16217</v>
      </c>
      <c r="E59" s="1311"/>
      <c r="F59" s="1312"/>
      <c r="G59" s="1310"/>
      <c r="H59" s="1310"/>
      <c r="I59" s="1313"/>
      <c r="J59" s="1588" t="s">
        <v>16428</v>
      </c>
      <c r="K59" s="1588" t="s">
        <v>16429</v>
      </c>
      <c r="L59" s="130"/>
      <c r="M59" s="130"/>
      <c r="N59" s="130"/>
      <c r="O59" s="130"/>
      <c r="P59" s="130"/>
      <c r="Q59" s="130"/>
      <c r="R59" s="130"/>
      <c r="S59" s="130"/>
      <c r="T59" s="130"/>
      <c r="U59" s="130"/>
      <c r="V59" s="130"/>
      <c r="W59" s="130"/>
      <c r="X59" s="130"/>
      <c r="Y59" s="130"/>
      <c r="Z59" s="130"/>
    </row>
    <row r="60" spans="1:26" ht="38.25" outlineLevel="1">
      <c r="A60" s="243" t="s">
        <v>13516</v>
      </c>
      <c r="B60" s="386">
        <v>92431</v>
      </c>
      <c r="C60" s="386" t="s">
        <v>14476</v>
      </c>
      <c r="D60" s="1314" t="str">
        <f>IFERROR(VLOOKUP($B60,'24.08_ND'!$A:$D,2,0),IFERROR(VLOOKUP(#REF!,'03-CP'!$C$5:$H$4646,2,0),""))</f>
        <v>MONTAGEM E DESMONTAGEM DE FÔRMA DE PILARES RETANGULARES E ESTRUTURAS SIMILARES, PÉ-DIREITO SIMPLES, EM CHAPA DE MADEIRA COMPENSADA PLASTIFICADA, 10 UTILIZAÇÕES. AF_09/2020</v>
      </c>
      <c r="E60" s="1315" t="str">
        <f>IFERROR(VLOOKUP($B60,'24.08_ND'!$A:$D,3,0),IFERROR(VLOOKUP(#REF!,'03-CP'!$C$5:$H$4646,3,0),""))</f>
        <v>M2</v>
      </c>
      <c r="F60" s="389">
        <v>7.39</v>
      </c>
      <c r="G60" s="386"/>
      <c r="H60" s="386"/>
      <c r="I60" s="1316"/>
      <c r="J60" s="1591" t="s">
        <v>16202</v>
      </c>
      <c r="K60" s="1588"/>
      <c r="L60" s="130"/>
      <c r="M60" s="130"/>
      <c r="N60" s="130"/>
      <c r="O60" s="130"/>
      <c r="P60" s="130"/>
      <c r="Q60" s="130"/>
      <c r="R60" s="130"/>
      <c r="S60" s="130"/>
      <c r="T60" s="130"/>
      <c r="U60" s="130"/>
      <c r="V60" s="130"/>
      <c r="W60" s="130"/>
      <c r="X60" s="130"/>
      <c r="Y60" s="130"/>
      <c r="Z60" s="130"/>
    </row>
    <row r="61" spans="1:26" ht="38.25" outlineLevel="1">
      <c r="A61" s="243" t="s">
        <v>13517</v>
      </c>
      <c r="B61" s="386">
        <v>92759</v>
      </c>
      <c r="C61" s="386" t="s">
        <v>14476</v>
      </c>
      <c r="D61" s="1314" t="str">
        <f>IFERROR(VLOOKUP($B61,'24.08_ND'!$A:$D,2,0),IFERROR(VLOOKUP(#REF!,'03-CP'!$C$5:$H$4646,2,0),""))</f>
        <v>ARMAÇÃO DE PILAR OU VIGA DE ESTRUTURA CONVENCIONAL DE CONCRETO ARMADO UTILIZANDO AÇO CA-60 DE 5,0 MM - MONTAGEM. AF_06/2022</v>
      </c>
      <c r="E61" s="1315" t="str">
        <f>IFERROR(VLOOKUP($B61,'24.08_ND'!$A:$D,3,0),IFERROR(VLOOKUP(#REF!,'03-CP'!$C$5:$H$4646,3,0),""))</f>
        <v>KG</v>
      </c>
      <c r="F61" s="389">
        <v>11.6</v>
      </c>
      <c r="G61" s="386"/>
      <c r="H61" s="386"/>
      <c r="I61" s="1316"/>
      <c r="J61" s="1591" t="s">
        <v>16202</v>
      </c>
      <c r="K61" s="1588"/>
      <c r="L61" s="130"/>
      <c r="M61" s="130"/>
      <c r="N61" s="130"/>
      <c r="O61" s="130"/>
      <c r="P61" s="130"/>
      <c r="Q61" s="130"/>
      <c r="R61" s="130"/>
      <c r="S61" s="130"/>
      <c r="T61" s="130"/>
      <c r="U61" s="130"/>
      <c r="V61" s="130"/>
      <c r="W61" s="130"/>
      <c r="X61" s="130"/>
      <c r="Y61" s="130"/>
      <c r="Z61" s="130"/>
    </row>
    <row r="62" spans="1:26" ht="38.25" outlineLevel="1">
      <c r="A62" s="243" t="s">
        <v>13518</v>
      </c>
      <c r="B62" s="386">
        <v>92762</v>
      </c>
      <c r="C62" s="386" t="s">
        <v>14476</v>
      </c>
      <c r="D62" s="1314" t="str">
        <f>IFERROR(VLOOKUP($B62,'24.08_ND'!$A:$D,2,0),IFERROR(VLOOKUP(#REF!,'03-CP'!$C$5:$H$4646,2,0),""))</f>
        <v>ARMAÇÃO DE PILAR OU VIGA DE ESTRUTURA CONVENCIONAL DE CONCRETO ARMADO UTILIZANDO AÇO CA-50 DE 10,0 MM - MONTAGEM. AF_06/2022</v>
      </c>
      <c r="E62" s="1315" t="str">
        <f>IFERROR(VLOOKUP($B62,'24.08_ND'!$A:$D,3,0),IFERROR(VLOOKUP(#REF!,'03-CP'!$C$5:$H$4646,3,0),""))</f>
        <v>KG</v>
      </c>
      <c r="F62" s="389">
        <v>23.7</v>
      </c>
      <c r="G62" s="386"/>
      <c r="H62" s="386"/>
      <c r="I62" s="1316"/>
      <c r="J62" s="1591" t="s">
        <v>16202</v>
      </c>
      <c r="K62" s="1588"/>
      <c r="L62" s="130"/>
      <c r="M62" s="130"/>
      <c r="N62" s="130"/>
      <c r="O62" s="130"/>
      <c r="P62" s="130"/>
      <c r="Q62" s="130"/>
      <c r="R62" s="130"/>
      <c r="S62" s="130"/>
      <c r="T62" s="130"/>
      <c r="U62" s="130"/>
      <c r="V62" s="130"/>
      <c r="W62" s="130"/>
      <c r="X62" s="130"/>
      <c r="Y62" s="130"/>
      <c r="Z62" s="130"/>
    </row>
    <row r="63" spans="1:26" ht="25.5" outlineLevel="1">
      <c r="A63" s="243" t="s">
        <v>13519</v>
      </c>
      <c r="B63" s="386" t="s">
        <v>14620</v>
      </c>
      <c r="C63" s="386" t="s">
        <v>14472</v>
      </c>
      <c r="D63" s="1314" t="str">
        <f>IFERROR(VLOOKUP($B63,'24.08_ND'!$A$4833:$D$12369,2,0),IFERROR(VLOOKUP($B63,'03-CP'!$C$5:$H$4646,2,0),""))</f>
        <v>CONCRETAGEM DE PILARES, FCK=30 MPA - LANÇAMENTO, ADENSAMENTO E ACABAMENTO</v>
      </c>
      <c r="E63" s="1315" t="str">
        <f>IFERROR(VLOOKUP($B63,'24.08_ND'!$A:$D,3,0),IFERROR(VLOOKUP($B63,'03-CP'!$C$5:$H$4646,3,0),""))</f>
        <v>M3</v>
      </c>
      <c r="F63" s="389">
        <v>0.35</v>
      </c>
      <c r="G63" s="386"/>
      <c r="H63" s="386"/>
      <c r="I63" s="1316"/>
      <c r="J63" s="1591" t="s">
        <v>16202</v>
      </c>
      <c r="K63" s="1588"/>
      <c r="L63" s="130"/>
      <c r="M63" s="130"/>
      <c r="N63" s="130"/>
      <c r="O63" s="130"/>
      <c r="P63" s="130"/>
      <c r="Q63" s="130"/>
      <c r="R63" s="130"/>
      <c r="S63" s="130"/>
      <c r="T63" s="130"/>
      <c r="U63" s="130"/>
      <c r="V63" s="130"/>
      <c r="W63" s="130"/>
      <c r="X63" s="130"/>
      <c r="Y63" s="130"/>
      <c r="Z63" s="130"/>
    </row>
    <row r="64" spans="1:26">
      <c r="A64" s="239" t="s">
        <v>13520</v>
      </c>
      <c r="B64" s="1309"/>
      <c r="C64" s="1309"/>
      <c r="D64" s="1310" t="s">
        <v>16433</v>
      </c>
      <c r="E64" s="1311"/>
      <c r="F64" s="1312"/>
      <c r="G64" s="1310"/>
      <c r="H64" s="1310"/>
      <c r="I64" s="1313"/>
      <c r="J64" s="512"/>
      <c r="K64" s="1588"/>
      <c r="L64" s="130"/>
      <c r="M64" s="130"/>
      <c r="N64" s="130"/>
      <c r="O64" s="130"/>
      <c r="P64" s="130"/>
      <c r="Q64" s="130"/>
      <c r="R64" s="130"/>
      <c r="S64" s="130"/>
      <c r="T64" s="130"/>
      <c r="U64" s="130"/>
      <c r="V64" s="130"/>
      <c r="W64" s="130"/>
      <c r="X64" s="130"/>
      <c r="Y64" s="130"/>
      <c r="Z64" s="130"/>
    </row>
    <row r="65" spans="1:26" ht="38.25" outlineLevel="1">
      <c r="A65" s="243" t="s">
        <v>13521</v>
      </c>
      <c r="B65" s="386">
        <v>92431</v>
      </c>
      <c r="C65" s="386" t="s">
        <v>14476</v>
      </c>
      <c r="D65" s="1314" t="str">
        <f>IFERROR(VLOOKUP($B65,'24.08_ND'!$A:$D,2,0),IFERROR(VLOOKUP($B92,'03-CP'!$C$5:$H$4646,2,0),""))</f>
        <v>MONTAGEM E DESMONTAGEM DE FÔRMA DE PILARES RETANGULARES E ESTRUTURAS SIMILARES, PÉ-DIREITO SIMPLES, EM CHAPA DE MADEIRA COMPENSADA PLASTIFICADA, 10 UTILIZAÇÕES. AF_09/2020</v>
      </c>
      <c r="E65" s="1315" t="str">
        <f>IFERROR(VLOOKUP($B65,'24.08_ND'!$A:$D,3,0),IFERROR(VLOOKUP($B92,'03-CP'!$C$5:$H$4646,3,0),""))</f>
        <v>M2</v>
      </c>
      <c r="F65" s="389">
        <v>16.37</v>
      </c>
      <c r="G65" s="386"/>
      <c r="H65" s="386"/>
      <c r="I65" s="1316"/>
      <c r="J65" s="1591" t="s">
        <v>16202</v>
      </c>
      <c r="K65" s="1588"/>
      <c r="L65" s="130"/>
      <c r="M65" s="130"/>
      <c r="N65" s="130"/>
      <c r="O65" s="130"/>
      <c r="P65" s="130"/>
      <c r="Q65" s="130"/>
      <c r="R65" s="130"/>
      <c r="S65" s="130"/>
      <c r="T65" s="130"/>
      <c r="U65" s="130"/>
      <c r="V65" s="130"/>
      <c r="W65" s="130"/>
      <c r="X65" s="130"/>
      <c r="Y65" s="130"/>
      <c r="Z65" s="130"/>
    </row>
    <row r="66" spans="1:26" ht="38.25" outlineLevel="1">
      <c r="A66" s="243" t="s">
        <v>13522</v>
      </c>
      <c r="B66" s="386">
        <v>92759</v>
      </c>
      <c r="C66" s="386" t="s">
        <v>14476</v>
      </c>
      <c r="D66" s="1314" t="str">
        <f>IFERROR(VLOOKUP($B66,'24.08_ND'!$A:$D,2,0),IFERROR(VLOOKUP($B93,'03-CP'!$C$5:$H$4646,2,0),""))</f>
        <v>ARMAÇÃO DE PILAR OU VIGA DE ESTRUTURA CONVENCIONAL DE CONCRETO ARMADO UTILIZANDO AÇO CA-60 DE 5,0 MM - MONTAGEM. AF_06/2022</v>
      </c>
      <c r="E66" s="1315" t="str">
        <f>IFERROR(VLOOKUP($B66,'24.08_ND'!$A:$D,3,0),IFERROR(VLOOKUP($B93,'03-CP'!$C$5:$H$4646,3,0),""))</f>
        <v>KG</v>
      </c>
      <c r="F66" s="389">
        <v>22.6</v>
      </c>
      <c r="G66" s="386"/>
      <c r="H66" s="386"/>
      <c r="I66" s="1316"/>
      <c r="J66" s="1591" t="s">
        <v>16202</v>
      </c>
      <c r="K66" s="1588"/>
      <c r="L66" s="130"/>
      <c r="M66" s="130"/>
      <c r="N66" s="130"/>
      <c r="O66" s="130"/>
      <c r="P66" s="130"/>
      <c r="Q66" s="130"/>
      <c r="R66" s="130"/>
      <c r="S66" s="130"/>
      <c r="T66" s="130"/>
      <c r="U66" s="130"/>
      <c r="V66" s="130"/>
      <c r="W66" s="130"/>
      <c r="X66" s="130"/>
      <c r="Y66" s="130"/>
      <c r="Z66" s="130"/>
    </row>
    <row r="67" spans="1:26" ht="38.25" outlineLevel="1">
      <c r="A67" s="243" t="s">
        <v>13523</v>
      </c>
      <c r="B67" s="386">
        <v>92762</v>
      </c>
      <c r="C67" s="386" t="s">
        <v>14476</v>
      </c>
      <c r="D67" s="1314" t="str">
        <f>IFERROR(VLOOKUP($B67,'24.08_ND'!$A:$D,2,0),IFERROR(VLOOKUP($B93,'03-CP'!$C$5:$H$4646,2,0),""))</f>
        <v>ARMAÇÃO DE PILAR OU VIGA DE ESTRUTURA CONVENCIONAL DE CONCRETO ARMADO UTILIZANDO AÇO CA-50 DE 10,0 MM - MONTAGEM. AF_06/2022</v>
      </c>
      <c r="E67" s="1315" t="str">
        <f>IFERROR(VLOOKUP($B67,'24.08_ND'!$A:$D,3,0),IFERROR(VLOOKUP($B93,'03-CP'!$C$5:$H$4646,3,0),""))</f>
        <v>KG</v>
      </c>
      <c r="F67" s="389">
        <v>59.2</v>
      </c>
      <c r="G67" s="386"/>
      <c r="H67" s="386"/>
      <c r="I67" s="1316"/>
      <c r="J67" s="1591" t="s">
        <v>16202</v>
      </c>
      <c r="K67" s="1588"/>
      <c r="L67" s="130"/>
      <c r="M67" s="130"/>
      <c r="N67" s="130"/>
      <c r="O67" s="130"/>
      <c r="P67" s="130"/>
      <c r="Q67" s="130"/>
      <c r="R67" s="130"/>
      <c r="S67" s="130"/>
      <c r="T67" s="130"/>
      <c r="U67" s="130"/>
      <c r="V67" s="130"/>
      <c r="W67" s="130"/>
      <c r="X67" s="130"/>
      <c r="Y67" s="130"/>
      <c r="Z67" s="130"/>
    </row>
    <row r="68" spans="1:26" ht="25.5" outlineLevel="1">
      <c r="A68" s="243" t="s">
        <v>13524</v>
      </c>
      <c r="B68" s="386" t="s">
        <v>14620</v>
      </c>
      <c r="C68" s="386" t="s">
        <v>14472</v>
      </c>
      <c r="D68" s="1314" t="str">
        <f>IFERROR(VLOOKUP($B68,'24.08_ND'!$A$4833:$D$12369,2,0),IFERROR(VLOOKUP($B68,'03-CP'!$C$5:$H$4646,2,0),""))</f>
        <v>CONCRETAGEM DE PILARES, FCK=30 MPA - LANÇAMENTO, ADENSAMENTO E ACABAMENTO</v>
      </c>
      <c r="E68" s="1315" t="str">
        <f>IFERROR(VLOOKUP($B68,'24.08_ND'!$A:$D,3,0),IFERROR(VLOOKUP($B68,'03-CP'!$C$5:$H$4646,3,0),""))</f>
        <v>M3</v>
      </c>
      <c r="F68" s="389">
        <v>0.78</v>
      </c>
      <c r="G68" s="386"/>
      <c r="H68" s="386"/>
      <c r="I68" s="1316"/>
      <c r="J68" s="1591" t="s">
        <v>16202</v>
      </c>
      <c r="K68" s="1588"/>
      <c r="L68" s="130"/>
      <c r="M68" s="130"/>
      <c r="N68" s="130"/>
      <c r="O68" s="130"/>
      <c r="P68" s="130"/>
      <c r="Q68" s="130"/>
      <c r="R68" s="130"/>
      <c r="S68" s="130"/>
      <c r="T68" s="130"/>
      <c r="U68" s="130"/>
      <c r="V68" s="130"/>
      <c r="W68" s="130"/>
      <c r="X68" s="130"/>
      <c r="Y68" s="130"/>
      <c r="Z68" s="130"/>
    </row>
    <row r="69" spans="1:26">
      <c r="A69" s="239" t="s">
        <v>13525</v>
      </c>
      <c r="B69" s="1309"/>
      <c r="C69" s="1309"/>
      <c r="D69" s="1310" t="s">
        <v>16434</v>
      </c>
      <c r="E69" s="1311"/>
      <c r="F69" s="1312"/>
      <c r="G69" s="1310"/>
      <c r="H69" s="1310"/>
      <c r="I69" s="1313"/>
      <c r="J69" s="512"/>
      <c r="K69" s="1588"/>
      <c r="L69" s="130"/>
      <c r="M69" s="130"/>
      <c r="N69" s="130"/>
      <c r="O69" s="130"/>
      <c r="P69" s="130"/>
      <c r="Q69" s="130"/>
      <c r="R69" s="130"/>
      <c r="S69" s="130"/>
      <c r="T69" s="130"/>
      <c r="U69" s="130"/>
      <c r="V69" s="130"/>
      <c r="W69" s="130"/>
      <c r="X69" s="130"/>
      <c r="Y69" s="130"/>
      <c r="Z69" s="130"/>
    </row>
    <row r="70" spans="1:26" ht="38.25" outlineLevel="1">
      <c r="A70" s="243" t="s">
        <v>13526</v>
      </c>
      <c r="B70" s="386">
        <v>92468</v>
      </c>
      <c r="C70" s="386" t="s">
        <v>14476</v>
      </c>
      <c r="D70" s="1314" t="str">
        <f>IFERROR(VLOOKUP($B70,'24.08_ND'!$A:$D,2,0),IFERROR(VLOOKUP($B97,'03-CP'!$C$5:$H$4646,2,0),""))</f>
        <v>MONTAGEM E DESMONTAGEM DE FÔRMA DE VIGA, ESCORAMENTO METÁLICO, PÉ-DIREITO SIMPLES, EM CHAPA DE MADEIRA PLASTIFICADA, 10 UTILIZAÇÕES. AF_09/2020</v>
      </c>
      <c r="E70" s="1315" t="str">
        <f>IFERROR(VLOOKUP($B70,'24.08_ND'!$A:$D,3,0),IFERROR(VLOOKUP($B97,'03-CP'!$C$5:$H$4646,3,0),""))</f>
        <v>M2</v>
      </c>
      <c r="F70" s="389">
        <v>29.84</v>
      </c>
      <c r="G70" s="386"/>
      <c r="H70" s="386"/>
      <c r="I70" s="1316"/>
      <c r="J70" s="1591" t="s">
        <v>16202</v>
      </c>
      <c r="K70" s="1588"/>
      <c r="L70" s="130"/>
      <c r="M70" s="130"/>
      <c r="N70" s="130"/>
      <c r="O70" s="130"/>
      <c r="P70" s="130"/>
      <c r="Q70" s="130"/>
      <c r="R70" s="130"/>
      <c r="S70" s="130"/>
      <c r="T70" s="130"/>
      <c r="U70" s="130"/>
      <c r="V70" s="130"/>
      <c r="W70" s="130"/>
      <c r="X70" s="130"/>
      <c r="Y70" s="130"/>
      <c r="Z70" s="130"/>
    </row>
    <row r="71" spans="1:26" ht="38.25" outlineLevel="1">
      <c r="A71" s="243" t="s">
        <v>13527</v>
      </c>
      <c r="B71" s="386">
        <v>92759</v>
      </c>
      <c r="C71" s="386" t="s">
        <v>14476</v>
      </c>
      <c r="D71" s="1314" t="str">
        <f>IFERROR(VLOOKUP($B71,'24.08_ND'!$A:$D,2,0),IFERROR(VLOOKUP($B99,'03-CP'!$C$5:$H$4646,2,0),""))</f>
        <v>ARMAÇÃO DE PILAR OU VIGA DE ESTRUTURA CONVENCIONAL DE CONCRETO ARMADO UTILIZANDO AÇO CA-60 DE 5,0 MM - MONTAGEM. AF_06/2022</v>
      </c>
      <c r="E71" s="1315" t="str">
        <f>IFERROR(VLOOKUP($B71,'24.08_ND'!$A:$D,3,0),IFERROR(VLOOKUP($B99,'03-CP'!$C$5:$H$4646,3,0),""))</f>
        <v>KG</v>
      </c>
      <c r="F71" s="389">
        <v>32.700000000000003</v>
      </c>
      <c r="G71" s="386"/>
      <c r="H71" s="386"/>
      <c r="I71" s="1316"/>
      <c r="J71" s="1591" t="s">
        <v>16202</v>
      </c>
      <c r="K71" s="1588"/>
      <c r="L71" s="130"/>
      <c r="M71" s="130"/>
      <c r="N71" s="130"/>
      <c r="O71" s="130"/>
      <c r="P71" s="130"/>
      <c r="Q71" s="130"/>
      <c r="R71" s="130"/>
      <c r="S71" s="130"/>
      <c r="T71" s="130"/>
      <c r="U71" s="130"/>
      <c r="V71" s="130"/>
      <c r="W71" s="130"/>
      <c r="X71" s="130"/>
      <c r="Y71" s="130"/>
      <c r="Z71" s="130"/>
    </row>
    <row r="72" spans="1:26" ht="38.25" outlineLevel="1">
      <c r="A72" s="243" t="s">
        <v>13528</v>
      </c>
      <c r="B72" s="386">
        <v>92761</v>
      </c>
      <c r="C72" s="386" t="s">
        <v>14476</v>
      </c>
      <c r="D72" s="1314" t="str">
        <f>IFERROR(VLOOKUP($B72,'24.08_ND'!$A:$D,2,0),IFERROR(VLOOKUP(#REF!,'03-CP'!$C$5:$H$4646,2,0),""))</f>
        <v>ARMAÇÃO DE PILAR OU VIGA DE ESTRUTURA CONVENCIONAL DE CONCRETO ARMADO UTILIZANDO AÇO CA-50 DE 8,0 MM - MONTAGEM. AF_06/2022</v>
      </c>
      <c r="E72" s="1315" t="str">
        <f>IFERROR(VLOOKUP($B72,'24.08_ND'!$A:$D,3,0),IFERROR(VLOOKUP(#REF!,'03-CP'!$C$5:$H$4646,3,0),""))</f>
        <v>KG</v>
      </c>
      <c r="F72" s="389">
        <v>61.3</v>
      </c>
      <c r="G72" s="386"/>
      <c r="H72" s="386"/>
      <c r="I72" s="1316"/>
      <c r="J72" s="1591" t="s">
        <v>16202</v>
      </c>
      <c r="K72" s="1588"/>
      <c r="L72" s="130"/>
      <c r="M72" s="130"/>
      <c r="N72" s="130"/>
      <c r="O72" s="130"/>
      <c r="P72" s="130"/>
      <c r="Q72" s="130"/>
      <c r="R72" s="130"/>
      <c r="S72" s="130"/>
      <c r="T72" s="130"/>
      <c r="U72" s="130"/>
      <c r="V72" s="130"/>
      <c r="W72" s="130"/>
      <c r="X72" s="130"/>
      <c r="Y72" s="130"/>
      <c r="Z72" s="130"/>
    </row>
    <row r="73" spans="1:26" ht="38.25" outlineLevel="1">
      <c r="A73" s="243" t="s">
        <v>13529</v>
      </c>
      <c r="B73" s="386">
        <v>92762</v>
      </c>
      <c r="C73" s="386" t="s">
        <v>14476</v>
      </c>
      <c r="D73" s="1314" t="str">
        <f>IFERROR(VLOOKUP($B73,'24.08_ND'!$A:$D,2,0),IFERROR(VLOOKUP(#REF!,'03-CP'!$C$5:$H$4646,2,0),""))</f>
        <v>ARMAÇÃO DE PILAR OU VIGA DE ESTRUTURA CONVENCIONAL DE CONCRETO ARMADO UTILIZANDO AÇO CA-50 DE 10,0 MM - MONTAGEM. AF_06/2022</v>
      </c>
      <c r="E73" s="1315" t="str">
        <f>IFERROR(VLOOKUP($B73,'24.08_ND'!$A:$D,3,0),IFERROR(VLOOKUP(#REF!,'03-CP'!$C$5:$H$4646,3,0),""))</f>
        <v>KG</v>
      </c>
      <c r="F73" s="389">
        <v>22.3</v>
      </c>
      <c r="G73" s="386"/>
      <c r="H73" s="386"/>
      <c r="I73" s="1316"/>
      <c r="J73" s="1591" t="s">
        <v>16202</v>
      </c>
      <c r="K73" s="1588"/>
      <c r="L73" s="130"/>
      <c r="M73" s="130"/>
      <c r="N73" s="130"/>
      <c r="O73" s="130"/>
      <c r="P73" s="130"/>
      <c r="Q73" s="130"/>
      <c r="R73" s="130"/>
      <c r="S73" s="130"/>
      <c r="T73" s="130"/>
      <c r="U73" s="130"/>
      <c r="V73" s="130"/>
      <c r="W73" s="130"/>
      <c r="X73" s="130"/>
      <c r="Y73" s="130"/>
      <c r="Z73" s="130"/>
    </row>
    <row r="74" spans="1:26" ht="38.25" outlineLevel="1">
      <c r="A74" s="243" t="s">
        <v>13530</v>
      </c>
      <c r="B74" s="386" t="s">
        <v>14622</v>
      </c>
      <c r="C74" s="386" t="s">
        <v>14472</v>
      </c>
      <c r="D74" s="1314" t="str">
        <f>IFERROR(VLOOKUP($B74,'24.08_ND'!$A$4833:$D$12369,2,0),IFERROR(VLOOKUP($B74,'03-CP'!$C$5:$H$4646,2,0),""))</f>
        <v>CONCRETAGEM DE VIGAS E LAJES, FCK=30 MPA, PARA LAJES MACIÇAS OU NERVURADAS COM USO DE BOMBAS - LANÇAMENTO, ADENSAMENTO E ACABAMENTO</v>
      </c>
      <c r="E74" s="1315" t="str">
        <f>IFERROR(VLOOKUP($B74,'24.08_ND'!$A:$D,3,0),IFERROR(VLOOKUP($B74,'03-CP'!$C$5:$H$4646,3,0),""))</f>
        <v>M3</v>
      </c>
      <c r="F74" s="389">
        <v>1.76</v>
      </c>
      <c r="G74" s="386"/>
      <c r="H74" s="386"/>
      <c r="I74" s="1316"/>
      <c r="J74" s="1591" t="s">
        <v>16202</v>
      </c>
      <c r="K74" s="1588"/>
      <c r="L74" s="130"/>
      <c r="M74" s="130"/>
      <c r="N74" s="130"/>
      <c r="O74" s="130"/>
      <c r="P74" s="130"/>
      <c r="Q74" s="130"/>
      <c r="R74" s="130"/>
      <c r="S74" s="130"/>
      <c r="T74" s="130"/>
      <c r="U74" s="130"/>
      <c r="V74" s="130"/>
      <c r="W74" s="130"/>
      <c r="X74" s="130"/>
      <c r="Y74" s="130"/>
      <c r="Z74" s="130"/>
    </row>
    <row r="75" spans="1:26">
      <c r="A75" s="239" t="s">
        <v>13531</v>
      </c>
      <c r="B75" s="1309"/>
      <c r="C75" s="1309"/>
      <c r="D75" s="1310" t="s">
        <v>16435</v>
      </c>
      <c r="E75" s="1311"/>
      <c r="F75" s="1312"/>
      <c r="G75" s="1310"/>
      <c r="H75" s="1310"/>
      <c r="I75" s="1313"/>
      <c r="J75" s="512"/>
      <c r="K75" s="1588"/>
      <c r="L75" s="130"/>
      <c r="M75" s="130"/>
      <c r="N75" s="130"/>
      <c r="O75" s="130"/>
      <c r="P75" s="130"/>
      <c r="Q75" s="130"/>
      <c r="R75" s="130"/>
      <c r="S75" s="130"/>
      <c r="T75" s="130"/>
      <c r="U75" s="130"/>
      <c r="V75" s="130"/>
      <c r="W75" s="130"/>
      <c r="X75" s="130"/>
      <c r="Y75" s="130"/>
      <c r="Z75" s="130"/>
    </row>
    <row r="76" spans="1:26" ht="38.25" outlineLevel="1">
      <c r="A76" s="243" t="s">
        <v>13532</v>
      </c>
      <c r="B76" s="386" t="s">
        <v>14645</v>
      </c>
      <c r="C76" s="386" t="s">
        <v>14472</v>
      </c>
      <c r="D76" s="1314" t="str">
        <f>IFERROR(VLOOKUP($B76,'24.08_ND'!$A$4833:$D$12369,2,0),IFERROR(VLOOKUP($B76,'03-CP'!$C$5:$H$4646,2,0),""))</f>
        <v>LAJE TRELIÇADA UNIDIRECIONAL COM TRELIÇA TR12645 - ENCHIMENTO DE EPS H12 - 12X40X100CM - CAPA DE 5CM - FCK 25MPA - TELA DE AÇO SOLDADA NERVURADA Q92 , INCLUSIVE ESCORAMENTO</v>
      </c>
      <c r="E76" s="1315" t="str">
        <f>IFERROR(VLOOKUP($B76,'24.08_ND'!$A:$D,3,0),IFERROR(VLOOKUP($B76,'03-CP'!$C$5:$H$4646,3,0),""))</f>
        <v>M2</v>
      </c>
      <c r="F76" s="389">
        <v>6.24</v>
      </c>
      <c r="G76" s="386"/>
      <c r="H76" s="386"/>
      <c r="I76" s="1316"/>
      <c r="J76" s="1591" t="s">
        <v>16202</v>
      </c>
      <c r="K76" s="1588"/>
      <c r="L76" s="130"/>
      <c r="M76" s="130"/>
      <c r="N76" s="130"/>
      <c r="O76" s="130"/>
      <c r="P76" s="130"/>
      <c r="Q76" s="130"/>
      <c r="R76" s="130"/>
      <c r="S76" s="130"/>
      <c r="T76" s="130"/>
      <c r="U76" s="130"/>
      <c r="V76" s="130"/>
      <c r="W76" s="130"/>
      <c r="X76" s="130"/>
      <c r="Y76" s="130"/>
      <c r="Z76" s="130"/>
    </row>
    <row r="77" spans="1:26" ht="38.25" outlineLevel="1">
      <c r="A77" s="243" t="s">
        <v>13533</v>
      </c>
      <c r="B77" s="386">
        <v>87737</v>
      </c>
      <c r="C77" s="386" t="s">
        <v>14476</v>
      </c>
      <c r="D77" s="1314" t="str">
        <f>IFERROR(VLOOKUP($B77,'24.08_ND'!$A$4833:$D$12369,2,0),IFERROR(VLOOKUP($B77,'03-CP'!$C$5:$H$4646,2,0),""))</f>
        <v>CONTRAPISO EM ARGAMASSA TRAÇO 1:4 (CIMENTO E AREIA), PREPARO MANUAL, APLICADO EM ÁREAS MOLHADAS SOBRE LAJE, ADERIDO, ACABAMENTO NÃO REFORÇADO, ESPESSURA 2CM. AF_07/2021</v>
      </c>
      <c r="E77" s="1315" t="str">
        <f>IFERROR(VLOOKUP($B77,'24.08_ND'!$A:$D,3,0),IFERROR(VLOOKUP($B77,'03-CP'!$C$5:$H$4646,3,0),""))</f>
        <v>M2</v>
      </c>
      <c r="F77" s="389">
        <v>6.24</v>
      </c>
      <c r="G77" s="386"/>
      <c r="H77" s="386"/>
      <c r="I77" s="1316"/>
      <c r="J77" s="1591" t="s">
        <v>16202</v>
      </c>
      <c r="K77" s="1588"/>
      <c r="L77" s="130"/>
      <c r="M77" s="130"/>
      <c r="N77" s="130"/>
      <c r="O77" s="130"/>
      <c r="P77" s="130"/>
      <c r="Q77" s="130"/>
      <c r="R77" s="130"/>
      <c r="S77" s="130"/>
      <c r="T77" s="130"/>
      <c r="U77" s="130"/>
      <c r="V77" s="130"/>
      <c r="W77" s="130"/>
      <c r="X77" s="130"/>
      <c r="Y77" s="130"/>
      <c r="Z77" s="130"/>
    </row>
    <row r="78" spans="1:26" ht="25.5" outlineLevel="1">
      <c r="A78" s="243" t="s">
        <v>13534</v>
      </c>
      <c r="B78" s="386">
        <v>98554</v>
      </c>
      <c r="C78" s="386" t="s">
        <v>14476</v>
      </c>
      <c r="D78" s="1314" t="str">
        <f>IFERROR(VLOOKUP($B78,'24.08_ND'!$A$4833:$D$12369,2,0),IFERROR(VLOOKUP($B78,'03-CP'!$C$5:$H$4646,2,0),""))</f>
        <v>IMPERMEABILIZAÇÃO DE SUPERFÍCIE COM MEMBRANA À BASE DE RESINA ACRÍLICA, 3 DEMÃOS. AF_09/2023</v>
      </c>
      <c r="E78" s="1315" t="str">
        <f>IFERROR(VLOOKUP($B78,'24.08_ND'!$A:$D,3,0),IFERROR(VLOOKUP($B78,'03-CP'!$C$5:$H$4646,3,0),""))</f>
        <v>M2</v>
      </c>
      <c r="F78" s="389">
        <v>6.24</v>
      </c>
      <c r="G78" s="386"/>
      <c r="H78" s="386"/>
      <c r="I78" s="1316"/>
      <c r="J78" s="1591" t="s">
        <v>16202</v>
      </c>
      <c r="K78" s="1588"/>
      <c r="L78" s="130"/>
      <c r="M78" s="130"/>
      <c r="N78" s="130"/>
      <c r="O78" s="130"/>
      <c r="P78" s="130"/>
      <c r="Q78" s="130"/>
      <c r="R78" s="130"/>
      <c r="S78" s="130"/>
      <c r="T78" s="130"/>
      <c r="U78" s="130"/>
      <c r="V78" s="130"/>
      <c r="W78" s="130"/>
      <c r="X78" s="130"/>
      <c r="Y78" s="130"/>
      <c r="Z78" s="130"/>
    </row>
    <row r="79" spans="1:26" ht="25.5" outlineLevel="1">
      <c r="A79" s="243" t="s">
        <v>13535</v>
      </c>
      <c r="B79" s="386">
        <v>98563</v>
      </c>
      <c r="C79" s="386" t="s">
        <v>14476</v>
      </c>
      <c r="D79" s="1314" t="str">
        <f>IFERROR(VLOOKUP($B79,'24.08_ND'!$A$4833:$D$12369,2,0),IFERROR(VLOOKUP($B79,'03-CP'!$C$5:$H$4646,2,0),""))</f>
        <v>PROTEÇÃO MECÂNICA DE SUPERFÍCIE HORIZONTAL COM ARGAMASSA DE CIMENTO E AREIA, TRAÇO 1:3, E=2CM. AF_09/2023</v>
      </c>
      <c r="E79" s="1315" t="str">
        <f>IFERROR(VLOOKUP($B79,'24.08_ND'!$A:$D,3,0),IFERROR(VLOOKUP($B79,'03-CP'!$C$5:$H$4646,3,0),""))</f>
        <v>M2</v>
      </c>
      <c r="F79" s="389">
        <v>6.24</v>
      </c>
      <c r="G79" s="386"/>
      <c r="H79" s="386"/>
      <c r="I79" s="1316"/>
      <c r="J79" s="1591" t="s">
        <v>16202</v>
      </c>
      <c r="K79" s="1588"/>
      <c r="L79" s="130"/>
      <c r="M79" s="130"/>
      <c r="N79" s="130"/>
      <c r="O79" s="130"/>
      <c r="P79" s="130"/>
      <c r="Q79" s="130"/>
      <c r="R79" s="130"/>
      <c r="S79" s="130"/>
      <c r="T79" s="130"/>
      <c r="U79" s="130"/>
      <c r="V79" s="130"/>
      <c r="W79" s="130"/>
      <c r="X79" s="130"/>
      <c r="Y79" s="130"/>
      <c r="Z79" s="130"/>
    </row>
    <row r="80" spans="1:26" ht="13.5" customHeight="1">
      <c r="A80" s="239" t="s">
        <v>13536</v>
      </c>
      <c r="B80" s="1309"/>
      <c r="C80" s="1309"/>
      <c r="D80" s="1310" t="s">
        <v>16384</v>
      </c>
      <c r="E80" s="1311"/>
      <c r="F80" s="1312"/>
      <c r="G80" s="1310"/>
      <c r="H80" s="1310"/>
      <c r="I80" s="1313"/>
      <c r="J80" s="512"/>
      <c r="K80" s="1588"/>
      <c r="L80" s="130"/>
      <c r="M80" s="130"/>
      <c r="N80" s="130"/>
      <c r="O80" s="130"/>
      <c r="P80" s="130"/>
      <c r="Q80" s="130"/>
      <c r="R80" s="130"/>
      <c r="S80" s="130"/>
      <c r="T80" s="130"/>
      <c r="U80" s="130"/>
      <c r="V80" s="130"/>
      <c r="W80" s="130"/>
      <c r="X80" s="130"/>
      <c r="Y80" s="130"/>
      <c r="Z80" s="130"/>
    </row>
    <row r="81" spans="1:26" ht="38.25" outlineLevel="1">
      <c r="A81" s="243" t="s">
        <v>13537</v>
      </c>
      <c r="B81" s="386" t="s">
        <v>14596</v>
      </c>
      <c r="C81" s="386" t="s">
        <v>14472</v>
      </c>
      <c r="D81" s="1314" t="str">
        <f>IFERROR(VLOOKUP($B81,'24.08_ND'!$A$4833:$D$12369,2,0),IFERROR(VLOOKUP($B81,'03-CP'!$C$5:$H$4646,2,0),""))</f>
        <v>MOLDAGEM E ENSAIO PARA DETERMINACAO DA RESISTENCIA A COMPRESSAO DE CORPOS DE PROVA CILINDRICOS , INCLUSO ROMPIMENTO E LAUDO TÉCNICO (1 ENSAIO A CADA 5M3)</v>
      </c>
      <c r="E81" s="1315" t="str">
        <f>IFERROR(VLOOKUP($B81,'24.08_ND'!$A:$D,3,0),IFERROR(VLOOKUP($B81,'03-CP'!$C$5:$H$4646,3,0),""))</f>
        <v>M3</v>
      </c>
      <c r="F81" s="389">
        <v>5.47</v>
      </c>
      <c r="G81" s="386"/>
      <c r="H81" s="386"/>
      <c r="I81" s="1316"/>
      <c r="J81" s="1591" t="s">
        <v>16202</v>
      </c>
      <c r="K81" s="1588"/>
      <c r="L81" s="130"/>
      <c r="M81" s="130"/>
      <c r="N81" s="130"/>
      <c r="O81" s="130"/>
      <c r="P81" s="130"/>
      <c r="Q81" s="130"/>
      <c r="R81" s="130"/>
      <c r="S81" s="130"/>
      <c r="T81" s="130"/>
      <c r="U81" s="130"/>
      <c r="V81" s="130"/>
      <c r="W81" s="130"/>
      <c r="X81" s="130"/>
      <c r="Y81" s="130"/>
      <c r="Z81" s="130"/>
    </row>
    <row r="82" spans="1:26" ht="13.5" customHeight="1">
      <c r="A82" s="239" t="s">
        <v>13538</v>
      </c>
      <c r="B82" s="1309"/>
      <c r="C82" s="1309"/>
      <c r="D82" s="1310" t="s">
        <v>12504</v>
      </c>
      <c r="E82" s="1311"/>
      <c r="F82" s="1312"/>
      <c r="G82" s="1310"/>
      <c r="H82" s="1310"/>
      <c r="I82" s="1313"/>
      <c r="J82" s="1588" t="s">
        <v>16436</v>
      </c>
      <c r="K82" s="1588" t="s">
        <v>16437</v>
      </c>
      <c r="L82" s="130"/>
      <c r="M82" s="130"/>
      <c r="N82" s="130"/>
      <c r="O82" s="130"/>
      <c r="P82" s="130"/>
      <c r="Q82" s="130"/>
      <c r="R82" s="130"/>
      <c r="S82" s="130"/>
      <c r="T82" s="130"/>
      <c r="U82" s="130"/>
      <c r="V82" s="130"/>
      <c r="W82" s="130"/>
      <c r="X82" s="130"/>
      <c r="Y82" s="130"/>
      <c r="Z82" s="130"/>
    </row>
    <row r="83" spans="1:26" ht="38.25" outlineLevel="1">
      <c r="A83" s="243" t="s">
        <v>13539</v>
      </c>
      <c r="B83" s="386" t="s">
        <v>14610</v>
      </c>
      <c r="C83" s="386" t="s">
        <v>14472</v>
      </c>
      <c r="D83" s="1314" t="str">
        <f>IFERROR(VLOOKUP($B83,'24.08_ND'!$A$4833:$D$12369,2,0),IFERROR(VLOOKUP($B83,'03-CP'!$C$5:$H$4646,2,0),""))</f>
        <v xml:space="preserve"> FORNECIMENTO E MONTAGEM DE ESTRUTURA METÁLICA SOLDADAS ESTRUTURA METÁLICA - QUIOSQUE, INCLUSO UMA DEMÃO PINTURA DE FUNDO COM ZARCÃO  E ACABAMENTO EM ESMALTE</v>
      </c>
      <c r="E83" s="1315" t="str">
        <f>IFERROR(VLOOKUP($B83,'24.08_ND'!$A:$D,3,0),IFERROR(VLOOKUP($B83,'03-CP'!$C$5:$H$4646,3,0),""))</f>
        <v>KG</v>
      </c>
      <c r="F83" s="389">
        <v>157.25</v>
      </c>
      <c r="G83" s="386"/>
      <c r="H83" s="386"/>
      <c r="I83" s="1316"/>
      <c r="J83" s="1591" t="s">
        <v>16202</v>
      </c>
      <c r="K83" s="1588"/>
      <c r="L83" s="130"/>
      <c r="M83" s="130"/>
      <c r="N83" s="130"/>
      <c r="O83" s="130"/>
      <c r="P83" s="130"/>
      <c r="Q83" s="130"/>
      <c r="R83" s="130"/>
      <c r="S83" s="130"/>
      <c r="T83" s="130"/>
      <c r="U83" s="130"/>
      <c r="V83" s="130"/>
      <c r="W83" s="130"/>
      <c r="X83" s="130"/>
      <c r="Y83" s="130"/>
      <c r="Z83" s="130"/>
    </row>
    <row r="84" spans="1:26" ht="12.75" hidden="1">
      <c r="A84" s="1487"/>
      <c r="B84" s="1488"/>
      <c r="C84" s="1488"/>
      <c r="D84" s="1489"/>
      <c r="E84" s="1490"/>
      <c r="F84" s="1491"/>
      <c r="G84" s="1492"/>
      <c r="H84" s="1493"/>
      <c r="I84" s="1494"/>
      <c r="J84" s="512"/>
      <c r="K84" s="1588"/>
      <c r="L84" s="262"/>
      <c r="M84" s="262"/>
      <c r="N84" s="262"/>
      <c r="O84" s="262"/>
      <c r="P84" s="262"/>
      <c r="Q84" s="262"/>
      <c r="R84" s="262"/>
      <c r="S84" s="262"/>
      <c r="T84" s="262"/>
      <c r="U84" s="262"/>
      <c r="V84" s="262"/>
      <c r="W84" s="262"/>
      <c r="X84" s="262"/>
      <c r="Y84" s="262"/>
      <c r="Z84" s="262"/>
    </row>
    <row r="85" spans="1:26" ht="12.75">
      <c r="A85" s="1298" t="s">
        <v>14728</v>
      </c>
      <c r="B85" s="1371"/>
      <c r="C85" s="1371"/>
      <c r="D85" s="1372"/>
      <c r="E85" s="1373"/>
      <c r="F85" s="1374"/>
      <c r="G85" s="1375"/>
      <c r="H85" s="1376"/>
      <c r="I85" s="1377"/>
      <c r="J85" s="512"/>
      <c r="K85" s="1588"/>
      <c r="L85" s="262"/>
      <c r="M85" s="262"/>
      <c r="N85" s="262"/>
      <c r="O85" s="262"/>
      <c r="P85" s="262"/>
      <c r="Q85" s="262"/>
      <c r="R85" s="262"/>
      <c r="S85" s="262"/>
      <c r="T85" s="262"/>
      <c r="U85" s="262"/>
      <c r="V85" s="262"/>
      <c r="W85" s="262"/>
      <c r="X85" s="262"/>
      <c r="Y85" s="262"/>
      <c r="Z85" s="262"/>
    </row>
    <row r="86" spans="1:26" ht="12.75">
      <c r="A86" s="238" t="s">
        <v>12636</v>
      </c>
      <c r="B86" s="1304"/>
      <c r="C86" s="1304"/>
      <c r="D86" s="1305" t="s">
        <v>12486</v>
      </c>
      <c r="E86" s="1306"/>
      <c r="F86" s="1307"/>
      <c r="G86" s="1306"/>
      <c r="H86" s="1306"/>
      <c r="I86" s="1308"/>
      <c r="J86" s="1624" t="s">
        <v>16385</v>
      </c>
      <c r="K86" s="1625" t="s">
        <v>16438</v>
      </c>
      <c r="L86" s="262"/>
      <c r="M86" s="262"/>
      <c r="N86" s="262"/>
      <c r="O86" s="262"/>
      <c r="P86" s="262"/>
      <c r="Q86" s="262"/>
      <c r="R86" s="262"/>
      <c r="S86" s="262"/>
      <c r="T86" s="262"/>
      <c r="U86" s="262"/>
      <c r="V86" s="262"/>
      <c r="W86" s="262"/>
      <c r="X86" s="262"/>
      <c r="Y86" s="262"/>
      <c r="Z86" s="262"/>
    </row>
    <row r="87" spans="1:26" ht="12.75">
      <c r="A87" s="246" t="s">
        <v>13540</v>
      </c>
      <c r="B87" s="1378"/>
      <c r="C87" s="1378"/>
      <c r="D87" s="1379" t="s">
        <v>16227</v>
      </c>
      <c r="E87" s="1380"/>
      <c r="F87" s="1381"/>
      <c r="G87" s="1380"/>
      <c r="H87" s="1381"/>
      <c r="I87" s="1382"/>
      <c r="J87" s="512"/>
      <c r="K87" s="1588" t="s">
        <v>16439</v>
      </c>
      <c r="L87" s="386"/>
      <c r="M87" s="386"/>
      <c r="N87" s="386"/>
      <c r="O87" s="386"/>
      <c r="P87" s="386"/>
      <c r="Q87" s="386"/>
      <c r="R87" s="386"/>
      <c r="S87" s="386"/>
      <c r="T87" s="386"/>
      <c r="U87" s="386"/>
      <c r="V87" s="386"/>
      <c r="W87" s="386"/>
      <c r="X87" s="386"/>
      <c r="Y87" s="386"/>
      <c r="Z87" s="386"/>
    </row>
    <row r="88" spans="1:26" ht="38.25" outlineLevel="1">
      <c r="A88" s="1385" t="s">
        <v>13541</v>
      </c>
      <c r="B88" s="295">
        <v>103324</v>
      </c>
      <c r="C88" s="295" t="s">
        <v>14476</v>
      </c>
      <c r="D88" s="658" t="str">
        <f>IFERROR(VLOOKUP($B88,'24.08_ND'!$A$4833:$D$12369,2,0),IFERROR(VLOOKUP($B88,'03-CP'!$C$5:$H$4646,2,0),""))</f>
        <v>ALVENARIA DE VEDAÇÃO DE BLOCOS CERÂMICOS FURADOS NA VERTICAL DE 14X19X39 CM (ESPESSURA 14 CM) E ARGAMASSA DE ASSENTAMENTO COM PREPARO EM BETONEIRA. AF_12/2021</v>
      </c>
      <c r="E88" s="1318" t="str">
        <f>IFERROR(VLOOKUP($B88,'24.08_ND'!$A:$D,3,0),IFERROR(VLOOKUP($B88,'03-CP'!$C$5:$H$4646,3,0),""))</f>
        <v>M2</v>
      </c>
      <c r="F88" s="1558">
        <f>SUM(I90)</f>
        <v>98.3</v>
      </c>
      <c r="G88" s="1387"/>
      <c r="H88" s="1387"/>
      <c r="I88" s="1388"/>
      <c r="J88" s="1626" t="s">
        <v>16387</v>
      </c>
      <c r="K88" s="262"/>
      <c r="L88" s="262"/>
      <c r="M88" s="262"/>
      <c r="N88" s="262"/>
      <c r="O88" s="262"/>
      <c r="P88" s="262"/>
      <c r="Q88" s="262"/>
      <c r="R88" s="262"/>
      <c r="S88" s="262"/>
      <c r="T88" s="262"/>
      <c r="U88" s="262"/>
      <c r="V88" s="262"/>
      <c r="W88" s="262"/>
      <c r="X88" s="262"/>
      <c r="Y88" s="262"/>
      <c r="Z88" s="262"/>
    </row>
    <row r="89" spans="1:26" ht="25.5" hidden="1" outlineLevel="1">
      <c r="A89" s="450"/>
      <c r="B89" s="386"/>
      <c r="C89" s="386"/>
      <c r="D89" s="1390" t="s">
        <v>16230</v>
      </c>
      <c r="E89" s="1391" t="s">
        <v>16231</v>
      </c>
      <c r="F89" s="1392" t="s">
        <v>16232</v>
      </c>
      <c r="G89" s="1391" t="s">
        <v>16233</v>
      </c>
      <c r="H89" s="1392" t="s">
        <v>16234</v>
      </c>
      <c r="I89" s="1393" t="s">
        <v>12615</v>
      </c>
      <c r="J89" s="512"/>
      <c r="K89" s="262"/>
      <c r="L89" s="262"/>
      <c r="M89" s="262"/>
      <c r="N89" s="262"/>
      <c r="O89" s="262"/>
      <c r="P89" s="262"/>
      <c r="Q89" s="262"/>
      <c r="R89" s="262"/>
      <c r="S89" s="262"/>
      <c r="T89" s="262"/>
      <c r="U89" s="262"/>
      <c r="V89" s="262"/>
      <c r="W89" s="262"/>
      <c r="X89" s="262"/>
      <c r="Y89" s="262"/>
      <c r="Z89" s="262"/>
    </row>
    <row r="90" spans="1:26" ht="12.75" hidden="1" outlineLevel="1">
      <c r="A90" s="450"/>
      <c r="B90" s="386"/>
      <c r="C90" s="386"/>
      <c r="D90" s="1394" t="s">
        <v>16440</v>
      </c>
      <c r="E90" s="3497" t="s">
        <v>16441</v>
      </c>
      <c r="F90" s="2631"/>
      <c r="G90" s="1395">
        <v>98.3</v>
      </c>
      <c r="H90" s="1396"/>
      <c r="I90" s="1397">
        <f>G90</f>
        <v>98.3</v>
      </c>
      <c r="J90" s="512"/>
      <c r="K90" s="262"/>
      <c r="L90" s="262"/>
      <c r="M90" s="262"/>
      <c r="N90" s="262"/>
      <c r="O90" s="262"/>
      <c r="P90" s="262"/>
      <c r="Q90" s="262"/>
      <c r="R90" s="262"/>
      <c r="S90" s="262"/>
      <c r="T90" s="262"/>
      <c r="U90" s="262"/>
      <c r="V90" s="262"/>
      <c r="W90" s="262"/>
      <c r="X90" s="262"/>
      <c r="Y90" s="262"/>
      <c r="Z90" s="262"/>
    </row>
    <row r="91" spans="1:26" hidden="1" outlineLevel="1">
      <c r="A91" s="450"/>
      <c r="B91" s="129"/>
      <c r="C91" s="129"/>
      <c r="D91" s="1403"/>
      <c r="E91" s="1404"/>
      <c r="F91" s="1405"/>
      <c r="G91" s="1405"/>
      <c r="H91" s="1405"/>
      <c r="I91" s="1406"/>
      <c r="J91" s="512"/>
      <c r="K91" s="261"/>
      <c r="L91" s="261"/>
      <c r="M91" s="261"/>
      <c r="N91" s="261"/>
      <c r="O91" s="261"/>
      <c r="P91" s="261"/>
      <c r="Q91" s="261"/>
      <c r="R91" s="261"/>
      <c r="S91" s="261"/>
      <c r="T91" s="261"/>
      <c r="U91" s="261"/>
      <c r="V91" s="261"/>
      <c r="W91" s="261"/>
      <c r="X91" s="261"/>
      <c r="Y91" s="261"/>
      <c r="Z91" s="261"/>
    </row>
    <row r="92" spans="1:26" ht="25.5" outlineLevel="1">
      <c r="A92" s="1385" t="s">
        <v>13542</v>
      </c>
      <c r="B92" s="559">
        <v>93203</v>
      </c>
      <c r="C92" s="559" t="s">
        <v>14476</v>
      </c>
      <c r="D92" s="658" t="str">
        <f>IFERROR(VLOOKUP($B92,'24.08_ND'!$A$4833:$D$12369,2,0),IFERROR(VLOOKUP($B92,'03-CP'!$C$5:$H$4646,2,0),""))</f>
        <v>FIXAÇÃO (ENCUNHAMENTO) DE ALVENARIA DE VEDAÇÃO COM ESPUMA DE POLIURETANO EXPANSIVA. AF_03/2024</v>
      </c>
      <c r="E92" s="1318" t="str">
        <f>IFERROR(VLOOKUP($B92,'24.08_ND'!$A:$D,3,0),IFERROR(VLOOKUP($B92,'03-CP'!$C$5:$H$4646,3,0),""))</f>
        <v>M</v>
      </c>
      <c r="F92" s="1558">
        <v>29.37</v>
      </c>
      <c r="G92" s="1387"/>
      <c r="H92" s="1387"/>
      <c r="I92" s="1388"/>
      <c r="J92" s="1626" t="s">
        <v>16387</v>
      </c>
      <c r="K92" s="262"/>
      <c r="L92" s="262"/>
      <c r="M92" s="262"/>
      <c r="N92" s="262"/>
      <c r="O92" s="262"/>
      <c r="P92" s="262"/>
      <c r="Q92" s="262"/>
      <c r="R92" s="262"/>
      <c r="S92" s="262"/>
      <c r="T92" s="262"/>
      <c r="U92" s="262"/>
      <c r="V92" s="262"/>
      <c r="W92" s="262"/>
      <c r="X92" s="262"/>
      <c r="Y92" s="262"/>
      <c r="Z92" s="262"/>
    </row>
    <row r="93" spans="1:26" ht="25.5" outlineLevel="1">
      <c r="A93" s="1385" t="s">
        <v>13543</v>
      </c>
      <c r="B93" s="559">
        <v>105036</v>
      </c>
      <c r="C93" s="559" t="s">
        <v>14476</v>
      </c>
      <c r="D93" s="658" t="str">
        <f>IFERROR(VLOOKUP($B93,'24.08_ND'!$A$4833:$D$12369,2,0),IFERROR(VLOOKUP($B93,'03-CP'!$C$5:$H$4646,2,0),""))</f>
        <v>VERGA PRÉ-FABRICADA COM ATÉ 1,5 M DE VÃO, ESPESSURA DE *15* CM. AF_03/2024</v>
      </c>
      <c r="E93" s="1318" t="str">
        <f>IFERROR(VLOOKUP($B93,'24.08_ND'!$A:$D,3,0),IFERROR(VLOOKUP($B93,'03-CP'!$C$5:$H$4646,3,0),""))</f>
        <v>M</v>
      </c>
      <c r="F93" s="1558">
        <f>SUM(I95:I99)</f>
        <v>12.4</v>
      </c>
      <c r="G93" s="1387"/>
      <c r="H93" s="1387"/>
      <c r="I93" s="1388"/>
      <c r="J93" s="1626" t="s">
        <v>16387</v>
      </c>
      <c r="K93" s="262"/>
      <c r="L93" s="262"/>
      <c r="M93" s="262"/>
      <c r="N93" s="262"/>
      <c r="O93" s="262"/>
      <c r="P93" s="262"/>
      <c r="Q93" s="262"/>
      <c r="R93" s="262"/>
      <c r="S93" s="262"/>
      <c r="T93" s="262"/>
      <c r="U93" s="262"/>
      <c r="V93" s="262"/>
      <c r="W93" s="262"/>
      <c r="X93" s="262"/>
      <c r="Y93" s="262"/>
      <c r="Z93" s="262"/>
    </row>
    <row r="94" spans="1:26" ht="25.5" hidden="1" outlineLevel="1">
      <c r="A94" s="1401"/>
      <c r="B94" s="1410"/>
      <c r="C94" s="1410"/>
      <c r="D94" s="1390" t="s">
        <v>16230</v>
      </c>
      <c r="E94" s="1391" t="s">
        <v>16237</v>
      </c>
      <c r="F94" s="1392" t="s">
        <v>16238</v>
      </c>
      <c r="G94" s="1391" t="s">
        <v>16239</v>
      </c>
      <c r="H94" s="1392" t="s">
        <v>16234</v>
      </c>
      <c r="I94" s="1393" t="s">
        <v>12615</v>
      </c>
      <c r="J94" s="512"/>
      <c r="K94" s="262"/>
      <c r="L94" s="262"/>
      <c r="M94" s="262"/>
      <c r="N94" s="262"/>
      <c r="O94" s="262"/>
      <c r="P94" s="262"/>
      <c r="Q94" s="262"/>
      <c r="R94" s="262"/>
      <c r="S94" s="262"/>
      <c r="T94" s="262"/>
      <c r="U94" s="262"/>
      <c r="V94" s="262"/>
      <c r="W94" s="262"/>
      <c r="X94" s="262"/>
      <c r="Y94" s="262"/>
      <c r="Z94" s="262"/>
    </row>
    <row r="95" spans="1:26" ht="12.75" hidden="1" outlineLevel="1">
      <c r="A95" s="1401"/>
      <c r="B95" s="8"/>
      <c r="C95" s="8"/>
      <c r="D95" s="1627" t="s">
        <v>16240</v>
      </c>
      <c r="E95" s="691">
        <v>0.8</v>
      </c>
      <c r="F95" s="691">
        <v>0.2</v>
      </c>
      <c r="G95" s="1244"/>
      <c r="H95" s="1244">
        <v>1</v>
      </c>
      <c r="I95" s="1409">
        <f>((F95*2)+E95)*H95</f>
        <v>1.2000000000000002</v>
      </c>
      <c r="J95" s="512"/>
      <c r="K95" s="262"/>
      <c r="L95" s="262"/>
      <c r="M95" s="262"/>
      <c r="N95" s="262"/>
      <c r="O95" s="262"/>
      <c r="P95" s="262"/>
      <c r="Q95" s="262"/>
      <c r="R95" s="262"/>
      <c r="S95" s="262"/>
      <c r="T95" s="262"/>
      <c r="U95" s="262"/>
      <c r="V95" s="262"/>
      <c r="W95" s="262"/>
      <c r="X95" s="262"/>
      <c r="Y95" s="262"/>
      <c r="Z95" s="262"/>
    </row>
    <row r="96" spans="1:26" ht="12.75" hidden="1" outlineLevel="1">
      <c r="A96" s="1401"/>
      <c r="B96" s="8"/>
      <c r="C96" s="8"/>
      <c r="D96" s="1418" t="s">
        <v>16244</v>
      </c>
      <c r="E96" s="1244">
        <v>0.7</v>
      </c>
      <c r="F96" s="1244">
        <v>0.2</v>
      </c>
      <c r="G96" s="1244"/>
      <c r="H96" s="1244">
        <v>2</v>
      </c>
      <c r="I96" s="1409">
        <f>((F96*2)+E96)*H96</f>
        <v>2.2000000000000002</v>
      </c>
      <c r="J96" s="512"/>
      <c r="K96" s="262"/>
      <c r="L96" s="262"/>
      <c r="M96" s="262"/>
      <c r="N96" s="262"/>
      <c r="O96" s="262"/>
      <c r="P96" s="262"/>
      <c r="Q96" s="262"/>
      <c r="R96" s="262"/>
      <c r="S96" s="262"/>
      <c r="T96" s="262"/>
      <c r="U96" s="262"/>
      <c r="V96" s="262"/>
      <c r="W96" s="262"/>
      <c r="X96" s="262"/>
      <c r="Y96" s="262"/>
      <c r="Z96" s="262"/>
    </row>
    <row r="97" spans="1:26" ht="12.75" hidden="1" outlineLevel="1">
      <c r="A97" s="1401"/>
      <c r="B97" s="8"/>
      <c r="C97" s="8"/>
      <c r="D97" s="1418" t="s">
        <v>16245</v>
      </c>
      <c r="E97" s="1244">
        <v>0.8</v>
      </c>
      <c r="F97" s="1244">
        <v>0.2</v>
      </c>
      <c r="G97" s="1244"/>
      <c r="H97" s="1244">
        <v>1</v>
      </c>
      <c r="I97" s="1409">
        <f>((F97*2)+E97)*H97</f>
        <v>1.2000000000000002</v>
      </c>
      <c r="J97" s="512"/>
      <c r="K97" s="262"/>
      <c r="L97" s="262"/>
      <c r="M97" s="262"/>
      <c r="N97" s="262"/>
      <c r="O97" s="262"/>
      <c r="P97" s="262"/>
      <c r="Q97" s="262"/>
      <c r="R97" s="262"/>
      <c r="S97" s="262"/>
      <c r="T97" s="262"/>
      <c r="U97" s="262"/>
      <c r="V97" s="262"/>
      <c r="W97" s="262"/>
      <c r="X97" s="262"/>
      <c r="Y97" s="262"/>
      <c r="Z97" s="262"/>
    </row>
    <row r="98" spans="1:26" ht="12.75" hidden="1" outlineLevel="1">
      <c r="A98" s="1401"/>
      <c r="B98" s="8"/>
      <c r="C98" s="8"/>
      <c r="D98" s="1418" t="s">
        <v>16246</v>
      </c>
      <c r="E98" s="1244">
        <v>1.3</v>
      </c>
      <c r="F98" s="1244">
        <v>0.2</v>
      </c>
      <c r="G98" s="1244"/>
      <c r="H98" s="1244">
        <v>2</v>
      </c>
      <c r="I98" s="1409">
        <f>((F98*2)+E98)*H98</f>
        <v>3.4000000000000004</v>
      </c>
      <c r="J98" s="512"/>
      <c r="K98" s="262"/>
      <c r="L98" s="262"/>
      <c r="M98" s="262"/>
      <c r="N98" s="262"/>
      <c r="O98" s="262"/>
      <c r="P98" s="262"/>
      <c r="Q98" s="262"/>
      <c r="R98" s="262"/>
      <c r="S98" s="262"/>
      <c r="T98" s="262"/>
      <c r="U98" s="262"/>
      <c r="V98" s="262"/>
      <c r="W98" s="262"/>
      <c r="X98" s="262"/>
      <c r="Y98" s="262"/>
      <c r="Z98" s="262"/>
    </row>
    <row r="99" spans="1:26" ht="12.75" hidden="1" outlineLevel="1">
      <c r="A99" s="1401"/>
      <c r="B99" s="8"/>
      <c r="C99" s="8"/>
      <c r="D99" s="1422" t="s">
        <v>16247</v>
      </c>
      <c r="E99" s="1248">
        <v>1.8</v>
      </c>
      <c r="F99" s="1248">
        <v>0.2</v>
      </c>
      <c r="G99" s="1248"/>
      <c r="H99" s="1248">
        <v>2</v>
      </c>
      <c r="I99" s="1281">
        <f>((F99*2)+E99)*H99</f>
        <v>4.4000000000000004</v>
      </c>
      <c r="J99" s="512"/>
      <c r="K99" s="262"/>
      <c r="L99" s="262"/>
      <c r="M99" s="262"/>
      <c r="N99" s="262"/>
      <c r="O99" s="262"/>
      <c r="P99" s="262"/>
      <c r="Q99" s="262"/>
      <c r="R99" s="262"/>
      <c r="S99" s="262"/>
      <c r="T99" s="262"/>
      <c r="U99" s="262"/>
      <c r="V99" s="262"/>
      <c r="W99" s="262"/>
      <c r="X99" s="262"/>
      <c r="Y99" s="262"/>
      <c r="Z99" s="262"/>
    </row>
    <row r="100" spans="1:26" ht="12.75" hidden="1" outlineLevel="1">
      <c r="A100" s="247"/>
      <c r="B100" s="8"/>
      <c r="C100" s="8"/>
      <c r="D100" s="253"/>
      <c r="E100" s="1244"/>
      <c r="F100" s="1244"/>
      <c r="G100" s="1244"/>
      <c r="H100" s="1244"/>
      <c r="I100" s="1409"/>
      <c r="J100" s="512"/>
      <c r="K100" s="262"/>
      <c r="L100" s="262"/>
      <c r="M100" s="262"/>
      <c r="N100" s="262"/>
      <c r="O100" s="262"/>
      <c r="P100" s="262"/>
      <c r="Q100" s="262"/>
      <c r="R100" s="262"/>
      <c r="S100" s="262"/>
      <c r="T100" s="262"/>
      <c r="U100" s="262"/>
      <c r="V100" s="262"/>
      <c r="W100" s="262"/>
      <c r="X100" s="262"/>
      <c r="Y100" s="262"/>
      <c r="Z100" s="262"/>
    </row>
    <row r="101" spans="1:26" ht="20.25" outlineLevel="1">
      <c r="A101" s="1385" t="s">
        <v>13544</v>
      </c>
      <c r="B101" s="559">
        <v>105038</v>
      </c>
      <c r="C101" s="559" t="s">
        <v>14476</v>
      </c>
      <c r="D101" s="658" t="str">
        <f>IFERROR(VLOOKUP($B101,'24.08_ND'!$A$4833:$D$12369,2,0),IFERROR(VLOOKUP($B101,'03-CP'!$C$5:$H$4646,2,0),""))</f>
        <v>CONTRAVERGA PRÉ-FABRICADA, ESPESSURA DE *20* CM. AF_03/2024</v>
      </c>
      <c r="E101" s="1318" t="str">
        <f>IFERROR(VLOOKUP($B101,'24.08_ND'!$A:$D,3,0),IFERROR(VLOOKUP($B101,'03-CP'!$C$5:$H$4646,3,0),""))</f>
        <v>M</v>
      </c>
      <c r="F101" s="1558">
        <f>SUM(I103)</f>
        <v>1.4</v>
      </c>
      <c r="G101" s="1387"/>
      <c r="H101" s="1387"/>
      <c r="I101" s="1388"/>
      <c r="J101" s="1626" t="s">
        <v>16387</v>
      </c>
      <c r="K101" s="262"/>
      <c r="L101" s="262"/>
      <c r="M101" s="262"/>
      <c r="N101" s="262"/>
      <c r="O101" s="262"/>
      <c r="P101" s="262"/>
      <c r="Q101" s="262"/>
      <c r="R101" s="262"/>
      <c r="S101" s="262"/>
      <c r="T101" s="262"/>
      <c r="U101" s="262"/>
      <c r="V101" s="262"/>
      <c r="W101" s="262"/>
      <c r="X101" s="262"/>
      <c r="Y101" s="262"/>
      <c r="Z101" s="262"/>
    </row>
    <row r="102" spans="1:26" ht="25.5" hidden="1" outlineLevel="1">
      <c r="A102" s="247"/>
      <c r="B102" s="1410"/>
      <c r="C102" s="1410"/>
      <c r="D102" s="1390" t="s">
        <v>16230</v>
      </c>
      <c r="E102" s="1391" t="s">
        <v>16237</v>
      </c>
      <c r="F102" s="1392" t="s">
        <v>16238</v>
      </c>
      <c r="G102" s="1391" t="s">
        <v>16239</v>
      </c>
      <c r="H102" s="1392" t="s">
        <v>16234</v>
      </c>
      <c r="I102" s="1393" t="s">
        <v>12615</v>
      </c>
      <c r="J102" s="512"/>
      <c r="K102" s="262"/>
      <c r="L102" s="262"/>
      <c r="M102" s="262"/>
      <c r="N102" s="262"/>
      <c r="O102" s="262"/>
      <c r="P102" s="262"/>
      <c r="Q102" s="262"/>
      <c r="R102" s="262"/>
      <c r="S102" s="262"/>
      <c r="T102" s="262"/>
      <c r="U102" s="262"/>
      <c r="V102" s="262"/>
      <c r="W102" s="262"/>
      <c r="X102" s="262"/>
      <c r="Y102" s="262"/>
      <c r="Z102" s="262"/>
    </row>
    <row r="103" spans="1:26" ht="12.75" hidden="1" outlineLevel="1">
      <c r="A103" s="247"/>
      <c r="B103" s="8"/>
      <c r="C103" s="8"/>
      <c r="D103" s="1628" t="s">
        <v>16240</v>
      </c>
      <c r="E103" s="1462">
        <v>0.8</v>
      </c>
      <c r="F103" s="1462">
        <v>0.3</v>
      </c>
      <c r="G103" s="1248"/>
      <c r="H103" s="1248">
        <v>1</v>
      </c>
      <c r="I103" s="1281">
        <f>((F103*2)+E103)*H103</f>
        <v>1.4</v>
      </c>
      <c r="J103" s="512"/>
      <c r="K103" s="262"/>
      <c r="L103" s="262"/>
      <c r="M103" s="262"/>
      <c r="N103" s="262"/>
      <c r="O103" s="262"/>
      <c r="P103" s="262"/>
      <c r="Q103" s="262"/>
      <c r="R103" s="262"/>
      <c r="S103" s="262"/>
      <c r="T103" s="262"/>
      <c r="U103" s="262"/>
      <c r="V103" s="262"/>
      <c r="W103" s="262"/>
      <c r="X103" s="262"/>
      <c r="Y103" s="262"/>
      <c r="Z103" s="262"/>
    </row>
    <row r="104" spans="1:26" ht="12.75" hidden="1" outlineLevel="1">
      <c r="A104" s="247"/>
      <c r="B104" s="8"/>
      <c r="C104" s="8"/>
      <c r="D104" s="253"/>
      <c r="E104" s="1244"/>
      <c r="F104" s="1244"/>
      <c r="G104" s="1244"/>
      <c r="H104" s="1244"/>
      <c r="I104" s="1409"/>
      <c r="J104" s="512"/>
      <c r="K104" s="262"/>
      <c r="L104" s="262"/>
      <c r="M104" s="262"/>
      <c r="N104" s="262"/>
      <c r="O104" s="262"/>
      <c r="P104" s="262"/>
      <c r="Q104" s="262"/>
      <c r="R104" s="262"/>
      <c r="S104" s="262"/>
      <c r="T104" s="262"/>
      <c r="U104" s="262"/>
      <c r="V104" s="262"/>
      <c r="W104" s="262"/>
      <c r="X104" s="262"/>
      <c r="Y104" s="262"/>
      <c r="Z104" s="262"/>
    </row>
    <row r="105" spans="1:26" ht="12.75">
      <c r="A105" s="246" t="s">
        <v>13545</v>
      </c>
      <c r="B105" s="1378"/>
      <c r="C105" s="1378"/>
      <c r="D105" s="1379" t="s">
        <v>16251</v>
      </c>
      <c r="E105" s="1380"/>
      <c r="F105" s="1381"/>
      <c r="G105" s="1380"/>
      <c r="H105" s="1381"/>
      <c r="I105" s="1382"/>
      <c r="J105" s="512"/>
      <c r="K105" s="1384" t="e">
        <f>VLOOKUP(A105,'Medição '!$A:$G,10,0)</f>
        <v>#REF!</v>
      </c>
      <c r="L105" s="262"/>
      <c r="M105" s="262"/>
      <c r="N105" s="262"/>
      <c r="O105" s="262"/>
      <c r="P105" s="262"/>
      <c r="Q105" s="262"/>
      <c r="R105" s="262"/>
      <c r="S105" s="262"/>
      <c r="T105" s="262"/>
      <c r="U105" s="262"/>
      <c r="V105" s="262"/>
      <c r="W105" s="262"/>
      <c r="X105" s="262"/>
      <c r="Y105" s="262"/>
      <c r="Z105" s="262"/>
    </row>
    <row r="106" spans="1:26" ht="38.25" outlineLevel="1">
      <c r="A106" s="1423" t="s">
        <v>13546</v>
      </c>
      <c r="B106" s="559">
        <v>87879</v>
      </c>
      <c r="C106" s="559" t="s">
        <v>14476</v>
      </c>
      <c r="D106" s="658" t="str">
        <f>IFERROR(VLOOKUP($B106,'24.08_ND'!$A$4833:$D$12369,2,0),IFERROR(VLOOKUP($B106,'03-CP'!$C$5:$H$4646,2,0),""))</f>
        <v>CHAPISCO APLICADO EM ALVENARIAS E ESTRUTURAS DE CONCRETO INTERNAS, COM COLHER DE PEDREIRO.  ARGAMASSA TRAÇO 1:3 COM PREPARO EM BETONEIRA 400L. AF_10/2022</v>
      </c>
      <c r="E106" s="1318" t="str">
        <f>IFERROR(VLOOKUP($B106,'24.08_ND'!$A:$D,3,0),IFERROR(VLOOKUP($B106,'03-CP'!$C$5:$H$4646,3,0),""))</f>
        <v>M2</v>
      </c>
      <c r="F106" s="1558">
        <f>SUM(I108)</f>
        <v>196.6</v>
      </c>
      <c r="G106" s="1387"/>
      <c r="H106" s="1387"/>
      <c r="I106" s="1388"/>
      <c r="J106" s="1626" t="s">
        <v>16387</v>
      </c>
      <c r="K106" s="262"/>
      <c r="L106" s="262"/>
      <c r="M106" s="262"/>
      <c r="N106" s="262"/>
      <c r="O106" s="262"/>
      <c r="P106" s="262"/>
      <c r="Q106" s="262"/>
      <c r="R106" s="262"/>
      <c r="S106" s="262"/>
      <c r="T106" s="262"/>
      <c r="U106" s="262"/>
      <c r="V106" s="262"/>
      <c r="W106" s="262"/>
      <c r="X106" s="262"/>
      <c r="Y106" s="262"/>
      <c r="Z106" s="262"/>
    </row>
    <row r="107" spans="1:26" ht="12.75" hidden="1" outlineLevel="1">
      <c r="A107" s="450"/>
      <c r="B107" s="386"/>
      <c r="C107" s="386"/>
      <c r="D107" s="1390" t="s">
        <v>16230</v>
      </c>
      <c r="E107" s="1240" t="s">
        <v>16252</v>
      </c>
      <c r="F107" s="1425" t="s">
        <v>16232</v>
      </c>
      <c r="G107" s="1391" t="s">
        <v>16233</v>
      </c>
      <c r="H107" s="1240" t="s">
        <v>16234</v>
      </c>
      <c r="I107" s="1426" t="s">
        <v>12615</v>
      </c>
      <c r="J107" s="512"/>
      <c r="K107" s="262"/>
      <c r="L107" s="262"/>
      <c r="M107" s="262"/>
      <c r="N107" s="262"/>
      <c r="O107" s="262"/>
      <c r="P107" s="262"/>
      <c r="Q107" s="262"/>
      <c r="R107" s="262"/>
      <c r="S107" s="262"/>
      <c r="T107" s="262"/>
      <c r="U107" s="262"/>
      <c r="V107" s="262"/>
      <c r="W107" s="262"/>
      <c r="X107" s="262"/>
      <c r="Y107" s="262"/>
      <c r="Z107" s="262"/>
    </row>
    <row r="108" spans="1:26" ht="12.75" hidden="1" outlineLevel="1">
      <c r="A108" s="450"/>
      <c r="B108" s="386"/>
      <c r="C108" s="386"/>
      <c r="D108" s="1427" t="s">
        <v>16440</v>
      </c>
      <c r="E108" s="1395"/>
      <c r="F108" s="1396"/>
      <c r="G108" s="1395">
        <v>98.3</v>
      </c>
      <c r="H108" s="1396">
        <v>2</v>
      </c>
      <c r="I108" s="1397">
        <f>G108*H108</f>
        <v>196.6</v>
      </c>
      <c r="J108" s="512"/>
      <c r="K108" s="262"/>
      <c r="L108" s="262"/>
      <c r="M108" s="262"/>
      <c r="N108" s="262"/>
      <c r="O108" s="262"/>
      <c r="P108" s="262"/>
      <c r="Q108" s="262"/>
      <c r="R108" s="262"/>
      <c r="S108" s="262"/>
      <c r="T108" s="262"/>
      <c r="U108" s="262"/>
      <c r="V108" s="262"/>
      <c r="W108" s="262"/>
      <c r="X108" s="262"/>
      <c r="Y108" s="262"/>
      <c r="Z108" s="262"/>
    </row>
    <row r="109" spans="1:26" ht="12.75" hidden="1" outlineLevel="1">
      <c r="A109" s="247"/>
      <c r="B109" s="386"/>
      <c r="C109" s="386"/>
      <c r="D109" s="1428"/>
      <c r="E109" s="1420"/>
      <c r="F109" s="1421"/>
      <c r="G109" s="1420"/>
      <c r="H109" s="1421"/>
      <c r="I109" s="1429"/>
      <c r="J109" s="512"/>
      <c r="K109" s="262"/>
      <c r="L109" s="262"/>
      <c r="M109" s="262"/>
      <c r="N109" s="262"/>
      <c r="O109" s="262"/>
      <c r="P109" s="262"/>
      <c r="Q109" s="262"/>
      <c r="R109" s="262"/>
      <c r="S109" s="262"/>
      <c r="T109" s="262"/>
      <c r="U109" s="262"/>
      <c r="V109" s="262"/>
      <c r="W109" s="262"/>
      <c r="X109" s="262"/>
      <c r="Y109" s="262"/>
      <c r="Z109" s="262"/>
    </row>
    <row r="110" spans="1:26" ht="38.25" outlineLevel="1">
      <c r="A110" s="1423" t="s">
        <v>13547</v>
      </c>
      <c r="B110" s="295">
        <v>87775</v>
      </c>
      <c r="C110" s="559" t="s">
        <v>14476</v>
      </c>
      <c r="D110" s="658" t="str">
        <f>IFERROR(VLOOKUP($B110,'24.08_ND'!$A$4833:$D$12369,2,0),IFERROR(VLOOKUP($B110,'03-CP'!$C$5:$H$4646,2,0),""))</f>
        <v>EMBOÇO OU MASSA ÚNICA EM ARGAMASSA TRAÇO 1:2:8, PREPARO MECÂNICO COM BETONEIRA 400 L, APLICADA MANUALMENTE EM PANOS DE FACHADA COM PRESENÇA DE VÃOS, ESPESSURA DE 25 MM. AF_08/2022</v>
      </c>
      <c r="E110" s="1318" t="str">
        <f>IFERROR(VLOOKUP($B110,'24.08_ND'!$A:$D,3,0),IFERROR(VLOOKUP($B110,'03-CP'!$C$5:$H$4646,3,0),""))</f>
        <v>M2</v>
      </c>
      <c r="F110" s="1558">
        <f>SUM(I112:I113)</f>
        <v>237.69</v>
      </c>
      <c r="G110" s="1430"/>
      <c r="H110" s="1431"/>
      <c r="I110" s="1432"/>
      <c r="J110" s="1626" t="s">
        <v>16387</v>
      </c>
      <c r="K110" s="262"/>
      <c r="L110" s="262"/>
      <c r="M110" s="262"/>
      <c r="N110" s="262"/>
      <c r="O110" s="262"/>
      <c r="P110" s="262"/>
      <c r="Q110" s="262"/>
      <c r="R110" s="262"/>
      <c r="S110" s="262"/>
      <c r="T110" s="262"/>
      <c r="U110" s="262"/>
      <c r="V110" s="262"/>
      <c r="W110" s="262"/>
      <c r="X110" s="262"/>
      <c r="Y110" s="262"/>
      <c r="Z110" s="262"/>
    </row>
    <row r="111" spans="1:26" ht="12.75" hidden="1" outlineLevel="1">
      <c r="A111" s="247"/>
      <c r="B111" s="386"/>
      <c r="C111" s="386"/>
      <c r="D111" s="1390" t="s">
        <v>16230</v>
      </c>
      <c r="E111" s="1240" t="s">
        <v>16252</v>
      </c>
      <c r="F111" s="1425" t="s">
        <v>16232</v>
      </c>
      <c r="G111" s="1391" t="s">
        <v>16233</v>
      </c>
      <c r="H111" s="1240" t="s">
        <v>16234</v>
      </c>
      <c r="I111" s="1426" t="s">
        <v>12615</v>
      </c>
      <c r="J111" s="512"/>
      <c r="K111" s="262"/>
      <c r="L111" s="262"/>
      <c r="M111" s="262"/>
      <c r="N111" s="262"/>
      <c r="O111" s="262"/>
      <c r="P111" s="262"/>
      <c r="Q111" s="262"/>
      <c r="R111" s="262"/>
      <c r="S111" s="262"/>
      <c r="T111" s="262"/>
      <c r="U111" s="262"/>
      <c r="V111" s="262"/>
      <c r="W111" s="262"/>
      <c r="X111" s="262"/>
      <c r="Y111" s="262"/>
      <c r="Z111" s="262"/>
    </row>
    <row r="112" spans="1:26" ht="12.75" hidden="1" outlineLevel="1">
      <c r="A112" s="247"/>
      <c r="B112" s="386"/>
      <c r="C112" s="386"/>
      <c r="D112" s="1419" t="s">
        <v>16442</v>
      </c>
      <c r="E112" s="1420"/>
      <c r="F112" s="1421"/>
      <c r="G112" s="1420">
        <v>41.09</v>
      </c>
      <c r="H112" s="1421"/>
      <c r="I112" s="1429">
        <f>G112</f>
        <v>41.09</v>
      </c>
      <c r="J112" s="512"/>
      <c r="K112" s="262"/>
      <c r="L112" s="262"/>
      <c r="M112" s="262"/>
      <c r="N112" s="262"/>
      <c r="O112" s="262"/>
      <c r="P112" s="262"/>
      <c r="Q112" s="262"/>
      <c r="R112" s="262"/>
      <c r="S112" s="262"/>
      <c r="T112" s="262"/>
      <c r="U112" s="262"/>
      <c r="V112" s="262"/>
      <c r="W112" s="262"/>
      <c r="X112" s="262"/>
      <c r="Y112" s="262"/>
      <c r="Z112" s="262"/>
    </row>
    <row r="113" spans="1:26" ht="12.75" hidden="1" outlineLevel="1">
      <c r="A113" s="247"/>
      <c r="B113" s="386"/>
      <c r="C113" s="386"/>
      <c r="D113" s="1427" t="s">
        <v>16440</v>
      </c>
      <c r="E113" s="1395"/>
      <c r="F113" s="1396"/>
      <c r="G113" s="1395">
        <v>98.3</v>
      </c>
      <c r="H113" s="1396">
        <v>2</v>
      </c>
      <c r="I113" s="1397">
        <f>G113*H113</f>
        <v>196.6</v>
      </c>
      <c r="J113" s="512"/>
      <c r="K113" s="262"/>
      <c r="L113" s="262"/>
      <c r="M113" s="262"/>
      <c r="N113" s="262"/>
      <c r="O113" s="262"/>
      <c r="P113" s="262"/>
      <c r="Q113" s="262"/>
      <c r="R113" s="262"/>
      <c r="S113" s="262"/>
      <c r="T113" s="262"/>
      <c r="U113" s="262"/>
      <c r="V113" s="262"/>
      <c r="W113" s="262"/>
      <c r="X113" s="262"/>
      <c r="Y113" s="262"/>
      <c r="Z113" s="262"/>
    </row>
    <row r="114" spans="1:26" ht="12.75" hidden="1" outlineLevel="1">
      <c r="A114" s="248"/>
      <c r="B114" s="386"/>
      <c r="C114" s="386"/>
      <c r="D114" s="1314"/>
      <c r="E114" s="1315"/>
      <c r="F114" s="386"/>
      <c r="G114" s="386"/>
      <c r="H114" s="386"/>
      <c r="I114" s="1316"/>
      <c r="J114" s="512"/>
      <c r="K114" s="1629"/>
      <c r="L114" s="262"/>
      <c r="M114" s="262"/>
      <c r="N114" s="262"/>
      <c r="O114" s="262"/>
      <c r="P114" s="262"/>
      <c r="Q114" s="262"/>
      <c r="R114" s="262"/>
      <c r="S114" s="262"/>
      <c r="T114" s="262"/>
      <c r="U114" s="262"/>
      <c r="V114" s="262"/>
      <c r="W114" s="262"/>
      <c r="X114" s="262"/>
      <c r="Y114" s="262"/>
      <c r="Z114" s="262"/>
    </row>
    <row r="115" spans="1:26" ht="25.5" outlineLevel="1">
      <c r="A115" s="1423" t="s">
        <v>13548</v>
      </c>
      <c r="B115" s="295">
        <v>98555</v>
      </c>
      <c r="C115" s="559" t="s">
        <v>14476</v>
      </c>
      <c r="D115" s="658" t="str">
        <f>IFERROR(VLOOKUP($B115,'24.08_ND'!$A$4833:$D$12369,2,0),IFERROR(VLOOKUP($B115,'03-CP'!$C$5:$H$4646,2,0),""))</f>
        <v>IMPERMEABILIZAÇÃO DE SUPERFÍCIE COM ARGAMASSA POLIMÉRICA / MEMBRANA ACRÍLICA, 3 DEMÃOS. AF_09/2023</v>
      </c>
      <c r="E115" s="1318" t="str">
        <f>IFERROR(VLOOKUP($B115,'24.08_ND'!$A:$D,3,0),IFERROR(VLOOKUP($B115,'03-CP'!$C$5:$H$4646,3,0),""))</f>
        <v>M2</v>
      </c>
      <c r="F115" s="1558">
        <f>SUM(I117:I118)</f>
        <v>58.17</v>
      </c>
      <c r="G115" s="1387"/>
      <c r="H115" s="1387"/>
      <c r="I115" s="1388"/>
      <c r="J115" s="1626" t="s">
        <v>16387</v>
      </c>
      <c r="K115" s="1630"/>
      <c r="L115" s="262"/>
      <c r="M115" s="262"/>
      <c r="N115" s="262"/>
      <c r="O115" s="262"/>
      <c r="P115" s="262"/>
      <c r="Q115" s="262"/>
      <c r="R115" s="262"/>
      <c r="S115" s="262"/>
      <c r="T115" s="262"/>
      <c r="U115" s="262"/>
      <c r="V115" s="262"/>
      <c r="W115" s="262"/>
      <c r="X115" s="262"/>
      <c r="Y115" s="262"/>
      <c r="Z115" s="262"/>
    </row>
    <row r="116" spans="1:26" ht="12.75" hidden="1" outlineLevel="1">
      <c r="A116" s="1564"/>
      <c r="B116" s="368"/>
      <c r="C116" s="368"/>
      <c r="D116" s="1455" t="s">
        <v>16253</v>
      </c>
      <c r="E116" s="1456" t="s">
        <v>16252</v>
      </c>
      <c r="F116" s="1457" t="s">
        <v>16232</v>
      </c>
      <c r="G116" s="1456" t="s">
        <v>16233</v>
      </c>
      <c r="H116" s="1456" t="s">
        <v>16234</v>
      </c>
      <c r="I116" s="1458" t="s">
        <v>12615</v>
      </c>
      <c r="J116" s="512"/>
      <c r="K116" s="1630"/>
      <c r="L116" s="262"/>
      <c r="M116" s="262"/>
      <c r="N116" s="262"/>
      <c r="O116" s="262"/>
      <c r="P116" s="262"/>
      <c r="Q116" s="262"/>
      <c r="R116" s="262"/>
      <c r="S116" s="262"/>
      <c r="T116" s="262"/>
      <c r="U116" s="262"/>
      <c r="V116" s="262"/>
      <c r="W116" s="262"/>
      <c r="X116" s="262"/>
      <c r="Y116" s="262"/>
      <c r="Z116" s="262"/>
    </row>
    <row r="117" spans="1:26" ht="12.75" hidden="1" outlineLevel="1">
      <c r="A117" s="1564"/>
      <c r="B117" s="368"/>
      <c r="C117" s="368"/>
      <c r="D117" s="1466" t="s">
        <v>16443</v>
      </c>
      <c r="E117" s="645"/>
      <c r="F117" s="645"/>
      <c r="G117" s="691">
        <v>31.15</v>
      </c>
      <c r="H117" s="645"/>
      <c r="I117" s="1467">
        <f>G117</f>
        <v>31.15</v>
      </c>
      <c r="J117" s="512"/>
      <c r="K117" s="1630"/>
      <c r="L117" s="262"/>
      <c r="M117" s="262"/>
      <c r="N117" s="262"/>
      <c r="O117" s="262"/>
      <c r="P117" s="262"/>
      <c r="Q117" s="262"/>
      <c r="R117" s="262"/>
      <c r="S117" s="262"/>
      <c r="T117" s="262"/>
      <c r="U117" s="262"/>
      <c r="V117" s="262"/>
      <c r="W117" s="262"/>
      <c r="X117" s="262"/>
      <c r="Y117" s="262"/>
      <c r="Z117" s="262"/>
    </row>
    <row r="118" spans="1:26" ht="12.75" hidden="1" outlineLevel="1">
      <c r="A118" s="1564"/>
      <c r="B118" s="368"/>
      <c r="C118" s="368"/>
      <c r="D118" s="1459" t="s">
        <v>16444</v>
      </c>
      <c r="E118" s="1460"/>
      <c r="F118" s="1460"/>
      <c r="G118" s="1462">
        <v>27.02</v>
      </c>
      <c r="H118" s="1460"/>
      <c r="I118" s="1463">
        <f>G118</f>
        <v>27.02</v>
      </c>
      <c r="J118" s="512"/>
      <c r="K118" s="1630"/>
      <c r="L118" s="262"/>
      <c r="M118" s="262"/>
      <c r="N118" s="262"/>
      <c r="O118" s="262"/>
      <c r="P118" s="262"/>
      <c r="Q118" s="262"/>
      <c r="R118" s="262"/>
      <c r="S118" s="262"/>
      <c r="T118" s="262"/>
      <c r="U118" s="262"/>
      <c r="V118" s="262"/>
      <c r="W118" s="262"/>
      <c r="X118" s="262"/>
      <c r="Y118" s="262"/>
      <c r="Z118" s="262"/>
    </row>
    <row r="119" spans="1:26" hidden="1" outlineLevel="1">
      <c r="A119" s="249"/>
      <c r="B119" s="3"/>
      <c r="C119" s="3"/>
      <c r="D119" s="38"/>
      <c r="E119" s="691"/>
      <c r="F119" s="1631"/>
      <c r="G119" s="642"/>
      <c r="H119" s="642"/>
      <c r="I119" s="1570"/>
      <c r="J119" s="512"/>
      <c r="K119" s="1630" t="e">
        <f>J119/$J$1</f>
        <v>#DIV/0!</v>
      </c>
      <c r="L119" s="262"/>
      <c r="M119" s="262"/>
      <c r="N119" s="262"/>
      <c r="O119" s="262"/>
      <c r="P119" s="262"/>
      <c r="Q119" s="262"/>
      <c r="R119" s="262"/>
      <c r="S119" s="262"/>
      <c r="T119" s="262"/>
      <c r="U119" s="262"/>
      <c r="V119" s="262"/>
      <c r="W119" s="262"/>
      <c r="X119" s="262"/>
      <c r="Y119" s="262"/>
      <c r="Z119" s="262"/>
    </row>
    <row r="120" spans="1:26" ht="12.75" outlineLevel="1">
      <c r="A120" s="246" t="s">
        <v>13549</v>
      </c>
      <c r="B120" s="1378"/>
      <c r="C120" s="1378"/>
      <c r="D120" s="1379" t="s">
        <v>16256</v>
      </c>
      <c r="E120" s="1380"/>
      <c r="F120" s="1381"/>
      <c r="G120" s="1380"/>
      <c r="H120" s="1381"/>
      <c r="I120" s="1382"/>
      <c r="J120" s="512"/>
      <c r="K120" s="262"/>
      <c r="L120" s="262"/>
      <c r="M120" s="262"/>
      <c r="N120" s="262"/>
      <c r="O120" s="262"/>
      <c r="P120" s="262"/>
      <c r="Q120" s="262"/>
      <c r="R120" s="262"/>
      <c r="S120" s="262"/>
      <c r="T120" s="262"/>
      <c r="U120" s="262"/>
      <c r="V120" s="262"/>
      <c r="W120" s="262"/>
      <c r="X120" s="262"/>
      <c r="Y120" s="262"/>
      <c r="Z120" s="262"/>
    </row>
    <row r="121" spans="1:26" ht="38.25" outlineLevel="1">
      <c r="A121" s="1423" t="s">
        <v>13550</v>
      </c>
      <c r="B121" s="295" t="s">
        <v>14930</v>
      </c>
      <c r="C121" s="295" t="s">
        <v>14472</v>
      </c>
      <c r="D121" s="658" t="str">
        <f>IFERROR(VLOOKUP($B121,'24.08_ND'!$A$4833:$D$12369,2,0),IFERROR(VLOOKUP($B121,'03-CP'!$C$5:$H$4646,2,0),""))</f>
        <v>REVESTIMENTO CERÂMICO, TIPO PORCELANATO, CEMENTO GRIGIO, BIANCOGRES, RETIFICADO, DIMENSÕES 60X60CM, REJUNTADO -  FORNECIMENTO E APLICAÇÃO</v>
      </c>
      <c r="E121" s="1318" t="str">
        <f>IFERROR(VLOOKUP($B121,'24.08_ND'!$A:$D,3,0),IFERROR(VLOOKUP($B121,'03-CP'!$C$5:$H$4646,3,0),""))</f>
        <v>M2</v>
      </c>
      <c r="F121" s="1558">
        <f>SUM(I123:I126)</f>
        <v>50.749999999999993</v>
      </c>
      <c r="G121" s="1387"/>
      <c r="H121" s="1387"/>
      <c r="I121" s="1388"/>
      <c r="J121" s="1626" t="s">
        <v>16387</v>
      </c>
      <c r="K121" s="262"/>
      <c r="L121" s="262"/>
      <c r="M121" s="262"/>
      <c r="N121" s="262"/>
      <c r="O121" s="262"/>
      <c r="P121" s="262"/>
      <c r="Q121" s="262"/>
      <c r="R121" s="262"/>
      <c r="S121" s="262"/>
      <c r="T121" s="262"/>
      <c r="U121" s="262"/>
      <c r="V121" s="262"/>
      <c r="W121" s="262"/>
      <c r="X121" s="262"/>
      <c r="Y121" s="262"/>
      <c r="Z121" s="262"/>
    </row>
    <row r="122" spans="1:26" ht="12.75" hidden="1" outlineLevel="1">
      <c r="A122" s="450"/>
      <c r="B122" s="386"/>
      <c r="C122" s="386"/>
      <c r="D122" s="1435" t="s">
        <v>16253</v>
      </c>
      <c r="E122" s="1240" t="s">
        <v>16252</v>
      </c>
      <c r="F122" s="1425" t="s">
        <v>16232</v>
      </c>
      <c r="G122" s="1391" t="s">
        <v>16233</v>
      </c>
      <c r="H122" s="1240" t="s">
        <v>16234</v>
      </c>
      <c r="I122" s="1426" t="s">
        <v>12615</v>
      </c>
      <c r="J122" s="512"/>
      <c r="K122" s="262"/>
      <c r="L122" s="262"/>
      <c r="M122" s="262"/>
      <c r="N122" s="262"/>
      <c r="O122" s="262"/>
      <c r="P122" s="262"/>
      <c r="Q122" s="262"/>
      <c r="R122" s="262"/>
      <c r="S122" s="262"/>
      <c r="T122" s="262"/>
      <c r="U122" s="262"/>
      <c r="V122" s="262"/>
      <c r="W122" s="262"/>
      <c r="X122" s="262"/>
      <c r="Y122" s="262"/>
      <c r="Z122" s="262"/>
    </row>
    <row r="123" spans="1:26" ht="12.75" hidden="1" outlineLevel="1">
      <c r="A123" s="450"/>
      <c r="B123" s="386"/>
      <c r="C123" s="386"/>
      <c r="D123" s="1418" t="s">
        <v>16445</v>
      </c>
      <c r="E123" s="1244">
        <v>12.2295</v>
      </c>
      <c r="F123" s="389">
        <v>1.2</v>
      </c>
      <c r="G123" s="1244">
        <v>14.6754</v>
      </c>
      <c r="H123" s="1244">
        <v>1</v>
      </c>
      <c r="I123" s="1409">
        <v>14.68</v>
      </c>
      <c r="J123" s="512"/>
      <c r="K123" s="262"/>
      <c r="L123" s="262"/>
      <c r="M123" s="262"/>
      <c r="N123" s="262"/>
      <c r="O123" s="262"/>
      <c r="P123" s="262"/>
      <c r="Q123" s="262"/>
      <c r="R123" s="262"/>
      <c r="S123" s="262"/>
      <c r="T123" s="262"/>
      <c r="U123" s="262"/>
      <c r="V123" s="262"/>
      <c r="W123" s="262"/>
      <c r="X123" s="262"/>
      <c r="Y123" s="262"/>
      <c r="Z123" s="262"/>
    </row>
    <row r="124" spans="1:26" ht="12.75" hidden="1" outlineLevel="1">
      <c r="A124" s="247"/>
      <c r="B124" s="386"/>
      <c r="C124" s="386"/>
      <c r="D124" s="1418" t="s">
        <v>16446</v>
      </c>
      <c r="E124" s="1244">
        <v>22.48</v>
      </c>
      <c r="F124" s="389" t="s">
        <v>16057</v>
      </c>
      <c r="G124" s="1244"/>
      <c r="H124" s="1244"/>
      <c r="I124" s="1409">
        <v>22.48</v>
      </c>
      <c r="J124" s="512"/>
      <c r="K124" s="262"/>
      <c r="L124" s="262"/>
      <c r="M124" s="262"/>
      <c r="N124" s="262"/>
      <c r="O124" s="262"/>
      <c r="P124" s="262"/>
      <c r="Q124" s="262"/>
      <c r="R124" s="262"/>
      <c r="S124" s="262"/>
      <c r="T124" s="262"/>
      <c r="U124" s="262"/>
      <c r="V124" s="262"/>
      <c r="W124" s="262"/>
      <c r="X124" s="262"/>
      <c r="Y124" s="262"/>
      <c r="Z124" s="262"/>
    </row>
    <row r="125" spans="1:26" ht="12.75" hidden="1" outlineLevel="1">
      <c r="A125" s="247"/>
      <c r="B125" s="386"/>
      <c r="C125" s="386"/>
      <c r="D125" s="1418" t="s">
        <v>16447</v>
      </c>
      <c r="E125" s="1244">
        <v>6.28</v>
      </c>
      <c r="F125" s="389">
        <v>1.2</v>
      </c>
      <c r="G125" s="1244">
        <v>7.5359999999999996</v>
      </c>
      <c r="H125" s="1244">
        <v>1</v>
      </c>
      <c r="I125" s="1409">
        <v>7.54</v>
      </c>
      <c r="J125" s="512"/>
      <c r="K125" s="262"/>
      <c r="L125" s="262"/>
      <c r="M125" s="262"/>
      <c r="N125" s="262"/>
      <c r="O125" s="262"/>
      <c r="P125" s="262"/>
      <c r="Q125" s="262"/>
      <c r="R125" s="262"/>
      <c r="S125" s="262"/>
      <c r="T125" s="262"/>
      <c r="U125" s="262"/>
      <c r="V125" s="262"/>
      <c r="W125" s="262"/>
      <c r="X125" s="262"/>
      <c r="Y125" s="262"/>
      <c r="Z125" s="262"/>
    </row>
    <row r="126" spans="1:26" ht="12.75" hidden="1" outlineLevel="1">
      <c r="A126" s="247"/>
      <c r="B126" s="386"/>
      <c r="C126" s="386"/>
      <c r="D126" s="1422" t="s">
        <v>16448</v>
      </c>
      <c r="E126" s="1248">
        <v>5.04</v>
      </c>
      <c r="F126" s="1436">
        <v>1.2</v>
      </c>
      <c r="G126" s="1248">
        <v>6.05</v>
      </c>
      <c r="H126" s="1248">
        <v>1</v>
      </c>
      <c r="I126" s="1281">
        <v>6.05</v>
      </c>
      <c r="J126" s="512"/>
      <c r="K126" s="262"/>
      <c r="L126" s="262"/>
      <c r="M126" s="262"/>
      <c r="N126" s="262"/>
      <c r="O126" s="262"/>
      <c r="P126" s="262"/>
      <c r="Q126" s="262"/>
      <c r="R126" s="262"/>
      <c r="S126" s="262"/>
      <c r="T126" s="262"/>
      <c r="U126" s="262"/>
      <c r="V126" s="262"/>
      <c r="W126" s="262"/>
      <c r="X126" s="262"/>
      <c r="Y126" s="262"/>
      <c r="Z126" s="262"/>
    </row>
    <row r="127" spans="1:26" ht="12.75" hidden="1" outlineLevel="1">
      <c r="A127" s="247"/>
      <c r="B127" s="386"/>
      <c r="C127" s="386"/>
      <c r="D127" s="1428"/>
      <c r="E127" s="1420"/>
      <c r="F127" s="1421"/>
      <c r="G127" s="1420"/>
      <c r="H127" s="1421"/>
      <c r="I127" s="1429"/>
      <c r="J127" s="512"/>
      <c r="K127" s="262"/>
      <c r="L127" s="262"/>
      <c r="M127" s="262"/>
      <c r="N127" s="262"/>
      <c r="O127" s="262"/>
      <c r="P127" s="262"/>
      <c r="Q127" s="262"/>
      <c r="R127" s="262"/>
      <c r="S127" s="262"/>
      <c r="T127" s="262"/>
      <c r="U127" s="262"/>
      <c r="V127" s="262"/>
      <c r="W127" s="262"/>
      <c r="X127" s="262"/>
      <c r="Y127" s="262"/>
      <c r="Z127" s="262"/>
    </row>
    <row r="128" spans="1:26" ht="25.5" outlineLevel="1">
      <c r="A128" s="1423" t="s">
        <v>13551</v>
      </c>
      <c r="B128" s="295" t="s">
        <v>14932</v>
      </c>
      <c r="C128" s="295" t="s">
        <v>14472</v>
      </c>
      <c r="D128" s="658" t="str">
        <f>IFERROR(VLOOKUP($B128,'24.08_ND'!$A$4833:$D$12369,2,0),IFERROR(VLOOKUP($B128,'03-CP'!$C$5:$H$4646,2,0),""))</f>
        <v xml:space="preserve"> CERÂMICA 10 X 20 CM, BRILHANTE, WHITE OU SIMILAR , REJUNTADO -  FORNECIMENTO E APLICAÇÃO</v>
      </c>
      <c r="E128" s="1318" t="str">
        <f>IFERROR(VLOOKUP($B128,'24.08_ND'!$A:$D,3,0),IFERROR(VLOOKUP($B128,'03-CP'!$C$5:$H$4646,3,0),""))</f>
        <v>M2</v>
      </c>
      <c r="F128" s="1558">
        <f>SUM(I130)</f>
        <v>3</v>
      </c>
      <c r="G128" s="1387"/>
      <c r="H128" s="1387"/>
      <c r="I128" s="1388"/>
      <c r="J128" s="1626" t="s">
        <v>16387</v>
      </c>
      <c r="K128" s="262"/>
      <c r="L128" s="262"/>
      <c r="M128" s="262"/>
      <c r="N128" s="262"/>
      <c r="O128" s="262"/>
      <c r="P128" s="262"/>
      <c r="Q128" s="262"/>
      <c r="R128" s="262"/>
      <c r="S128" s="262"/>
      <c r="T128" s="262"/>
      <c r="U128" s="262"/>
      <c r="V128" s="262"/>
      <c r="W128" s="262"/>
      <c r="X128" s="262"/>
      <c r="Y128" s="262"/>
      <c r="Z128" s="262"/>
    </row>
    <row r="129" spans="1:26" ht="12.75" hidden="1" outlineLevel="1">
      <c r="A129" s="1401"/>
      <c r="B129" s="512"/>
      <c r="C129" s="512"/>
      <c r="D129" s="1390" t="s">
        <v>16230</v>
      </c>
      <c r="E129" s="1240" t="s">
        <v>16252</v>
      </c>
      <c r="F129" s="1425" t="s">
        <v>16232</v>
      </c>
      <c r="G129" s="1391" t="s">
        <v>16233</v>
      </c>
      <c r="H129" s="1240" t="s">
        <v>16234</v>
      </c>
      <c r="I129" s="1426" t="s">
        <v>12615</v>
      </c>
      <c r="J129" s="512"/>
      <c r="K129" s="262"/>
      <c r="L129" s="262"/>
      <c r="M129" s="262"/>
      <c r="N129" s="262"/>
      <c r="O129" s="262"/>
      <c r="P129" s="262"/>
      <c r="Q129" s="262"/>
      <c r="R129" s="262"/>
      <c r="S129" s="262"/>
      <c r="T129" s="262"/>
      <c r="U129" s="262"/>
      <c r="V129" s="262"/>
      <c r="W129" s="262"/>
      <c r="X129" s="262"/>
      <c r="Y129" s="262"/>
      <c r="Z129" s="262"/>
    </row>
    <row r="130" spans="1:26" ht="12.75" hidden="1" outlineLevel="1">
      <c r="A130" s="247"/>
      <c r="B130" s="386"/>
      <c r="C130" s="386"/>
      <c r="D130" s="1427" t="s">
        <v>16445</v>
      </c>
      <c r="E130" s="1395">
        <v>3.75</v>
      </c>
      <c r="F130" s="1396">
        <v>0.8</v>
      </c>
      <c r="G130" s="1395">
        <v>3</v>
      </c>
      <c r="H130" s="1396"/>
      <c r="I130" s="1281">
        <f>G130</f>
        <v>3</v>
      </c>
      <c r="J130" s="512"/>
      <c r="K130" s="262"/>
      <c r="L130" s="262"/>
      <c r="M130" s="262"/>
      <c r="N130" s="262"/>
      <c r="O130" s="262"/>
      <c r="P130" s="262"/>
      <c r="Q130" s="262"/>
      <c r="R130" s="262"/>
      <c r="S130" s="262"/>
      <c r="T130" s="262"/>
      <c r="U130" s="262"/>
      <c r="V130" s="262"/>
      <c r="W130" s="262"/>
      <c r="X130" s="262"/>
      <c r="Y130" s="262"/>
      <c r="Z130" s="262"/>
    </row>
    <row r="131" spans="1:26" ht="12.75" hidden="1" outlineLevel="1">
      <c r="A131" s="247"/>
      <c r="B131" s="386"/>
      <c r="C131" s="386"/>
      <c r="D131" s="253"/>
      <c r="E131" s="1244"/>
      <c r="F131" s="389"/>
      <c r="G131" s="1244"/>
      <c r="H131" s="1244"/>
      <c r="I131" s="1409"/>
      <c r="J131" s="512"/>
      <c r="K131" s="262"/>
      <c r="L131" s="262"/>
      <c r="M131" s="262"/>
      <c r="N131" s="262"/>
      <c r="O131" s="262"/>
      <c r="P131" s="262"/>
      <c r="Q131" s="262"/>
      <c r="R131" s="262"/>
      <c r="S131" s="262"/>
      <c r="T131" s="262"/>
      <c r="U131" s="262"/>
      <c r="V131" s="262"/>
      <c r="W131" s="262"/>
      <c r="X131" s="262"/>
      <c r="Y131" s="262"/>
      <c r="Z131" s="262"/>
    </row>
    <row r="132" spans="1:26" ht="25.5" outlineLevel="1">
      <c r="A132" s="1423" t="s">
        <v>13552</v>
      </c>
      <c r="B132" s="295" t="s">
        <v>14934</v>
      </c>
      <c r="C132" s="295" t="s">
        <v>14472</v>
      </c>
      <c r="D132" s="658" t="str">
        <f>IFERROR(VLOOKUP($B132,'24.08_ND'!$A$4833:$D$12369,2,0),IFERROR(VLOOKUP($B132,'03-CP'!$C$5:$H$4646,2,0),""))</f>
        <v>RODAPÉ EM GRANITO SÃO GABRIEL, POLIDO, ALTURA 15CM - FORNECIMENTP E APLICAÇÃO</v>
      </c>
      <c r="E132" s="1318" t="str">
        <f>IFERROR(VLOOKUP($B132,'24.08_ND'!$A:$D,3,0),IFERROR(VLOOKUP($B132,'03-CP'!$C$5:$H$4646,3,0),""))</f>
        <v>M</v>
      </c>
      <c r="F132" s="1558">
        <f>SUM(I134)</f>
        <v>4.7</v>
      </c>
      <c r="G132" s="1387"/>
      <c r="H132" s="1387"/>
      <c r="I132" s="1388"/>
      <c r="J132" s="1626" t="s">
        <v>16387</v>
      </c>
      <c r="K132" s="262"/>
      <c r="L132" s="262"/>
      <c r="M132" s="262"/>
      <c r="N132" s="262"/>
      <c r="O132" s="262"/>
      <c r="P132" s="262"/>
      <c r="Q132" s="262"/>
      <c r="R132" s="262"/>
      <c r="S132" s="262"/>
      <c r="T132" s="262"/>
      <c r="U132" s="262"/>
      <c r="V132" s="262"/>
      <c r="W132" s="262"/>
      <c r="X132" s="262"/>
      <c r="Y132" s="262"/>
      <c r="Z132" s="262"/>
    </row>
    <row r="133" spans="1:26" ht="12.75" hidden="1" outlineLevel="1">
      <c r="A133" s="1401"/>
      <c r="B133" s="386"/>
      <c r="C133" s="386"/>
      <c r="D133" s="1390" t="s">
        <v>16230</v>
      </c>
      <c r="E133" s="1240" t="s">
        <v>16252</v>
      </c>
      <c r="F133" s="1425" t="s">
        <v>16232</v>
      </c>
      <c r="G133" s="1391" t="s">
        <v>16233</v>
      </c>
      <c r="H133" s="1240" t="s">
        <v>16234</v>
      </c>
      <c r="I133" s="1426" t="s">
        <v>12615</v>
      </c>
      <c r="J133" s="512"/>
      <c r="K133" s="262"/>
      <c r="L133" s="262"/>
      <c r="M133" s="262"/>
      <c r="N133" s="262"/>
      <c r="O133" s="262"/>
      <c r="P133" s="262"/>
      <c r="Q133" s="262"/>
      <c r="R133" s="262"/>
      <c r="S133" s="262"/>
      <c r="T133" s="262"/>
      <c r="U133" s="262"/>
      <c r="V133" s="262"/>
      <c r="W133" s="262"/>
      <c r="X133" s="262"/>
      <c r="Y133" s="262"/>
      <c r="Z133" s="262"/>
    </row>
    <row r="134" spans="1:26" ht="12.75" hidden="1" outlineLevel="1">
      <c r="A134" s="247"/>
      <c r="C134" s="386"/>
      <c r="D134" s="1427" t="s">
        <v>16449</v>
      </c>
      <c r="E134" s="1395">
        <v>4.7</v>
      </c>
      <c r="F134" s="1396"/>
      <c r="G134" s="1443"/>
      <c r="H134" s="1396"/>
      <c r="I134" s="1281">
        <f>E134</f>
        <v>4.7</v>
      </c>
      <c r="J134" s="512"/>
      <c r="K134" s="262"/>
      <c r="L134" s="262"/>
      <c r="M134" s="262"/>
      <c r="N134" s="262"/>
      <c r="O134" s="262"/>
      <c r="P134" s="262"/>
      <c r="Q134" s="262"/>
      <c r="R134" s="262"/>
      <c r="S134" s="262"/>
      <c r="T134" s="262"/>
      <c r="U134" s="262"/>
      <c r="V134" s="262"/>
      <c r="W134" s="262"/>
      <c r="X134" s="262"/>
      <c r="Y134" s="262"/>
      <c r="Z134" s="262"/>
    </row>
    <row r="135" spans="1:26" ht="12.75" hidden="1" outlineLevel="1">
      <c r="A135" s="247"/>
      <c r="B135" s="386"/>
      <c r="C135" s="386"/>
      <c r="D135" s="253"/>
      <c r="E135" s="1244"/>
      <c r="F135" s="389"/>
      <c r="G135" s="1244"/>
      <c r="H135" s="1244"/>
      <c r="I135" s="1409"/>
      <c r="J135" s="512"/>
      <c r="K135" s="262"/>
      <c r="L135" s="262"/>
      <c r="M135" s="262"/>
      <c r="N135" s="262"/>
      <c r="O135" s="262"/>
      <c r="P135" s="262"/>
      <c r="Q135" s="262"/>
      <c r="R135" s="262"/>
      <c r="S135" s="262"/>
      <c r="T135" s="262"/>
      <c r="U135" s="262"/>
      <c r="V135" s="262"/>
      <c r="W135" s="262"/>
      <c r="X135" s="262"/>
      <c r="Y135" s="262"/>
      <c r="Z135" s="262"/>
    </row>
    <row r="136" spans="1:26" ht="12.75" outlineLevel="1">
      <c r="A136" s="246" t="s">
        <v>13553</v>
      </c>
      <c r="B136" s="1450"/>
      <c r="C136" s="1450"/>
      <c r="D136" s="1451" t="s">
        <v>16267</v>
      </c>
      <c r="E136" s="1561"/>
      <c r="F136" s="1561"/>
      <c r="G136" s="1561"/>
      <c r="H136" s="1561"/>
      <c r="I136" s="1562"/>
      <c r="J136" s="512"/>
      <c r="K136" s="262"/>
      <c r="L136" s="262"/>
      <c r="M136" s="262"/>
      <c r="N136" s="262"/>
      <c r="O136" s="262"/>
      <c r="P136" s="262"/>
      <c r="Q136" s="262"/>
      <c r="R136" s="262"/>
      <c r="S136" s="262"/>
      <c r="T136" s="262"/>
      <c r="U136" s="262"/>
      <c r="V136" s="262"/>
      <c r="W136" s="262"/>
      <c r="X136" s="262"/>
      <c r="Y136" s="262"/>
      <c r="Z136" s="262"/>
    </row>
    <row r="137" spans="1:26" ht="25.5" outlineLevel="1">
      <c r="A137" s="1563" t="s">
        <v>13554</v>
      </c>
      <c r="B137" s="384">
        <v>88485</v>
      </c>
      <c r="C137" s="384" t="s">
        <v>14476</v>
      </c>
      <c r="D137" s="596" t="str">
        <f>IFERROR(VLOOKUP($B137,'24.08_ND'!$A$4833:$D$12369,2,0),IFERROR(VLOOKUP($B137,'03-CP'!$C$5:$H$4646,2,0),""))</f>
        <v>FUNDO SELADOR ACRÍLICO, APLICAÇÃO MANUAL EM PAREDE, UMA DEMÃO. AF_04/2023</v>
      </c>
      <c r="E137" s="759" t="str">
        <f>IFERROR(VLOOKUP($B137,'24.08_ND'!$A:$D,3,0),IFERROR(VLOOKUP($B137,'03-CP'!$C$5:$H$4646,3,0),""))</f>
        <v>M2</v>
      </c>
      <c r="F137" s="1558">
        <f>SUM(I139)</f>
        <v>136.16999999999999</v>
      </c>
      <c r="G137" s="1453"/>
      <c r="H137" s="1453"/>
      <c r="I137" s="1454"/>
      <c r="J137" s="1626" t="s">
        <v>16387</v>
      </c>
      <c r="K137" s="262"/>
      <c r="L137" s="262"/>
      <c r="M137" s="262"/>
      <c r="N137" s="262"/>
      <c r="O137" s="262"/>
      <c r="P137" s="262"/>
      <c r="Q137" s="262"/>
      <c r="R137" s="262"/>
      <c r="S137" s="262"/>
      <c r="T137" s="262"/>
      <c r="U137" s="262"/>
      <c r="V137" s="262"/>
      <c r="W137" s="262"/>
      <c r="X137" s="262"/>
      <c r="Y137" s="262"/>
      <c r="Z137" s="262"/>
    </row>
    <row r="138" spans="1:26" ht="12.75" hidden="1" outlineLevel="1">
      <c r="A138" s="1564"/>
      <c r="B138" s="368"/>
      <c r="C138" s="368"/>
      <c r="D138" s="1455" t="s">
        <v>16253</v>
      </c>
      <c r="E138" s="1456" t="s">
        <v>16252</v>
      </c>
      <c r="F138" s="1457" t="s">
        <v>16232</v>
      </c>
      <c r="G138" s="1456" t="s">
        <v>16233</v>
      </c>
      <c r="H138" s="1456" t="s">
        <v>16234</v>
      </c>
      <c r="I138" s="1458" t="s">
        <v>12615</v>
      </c>
      <c r="J138" s="512"/>
      <c r="K138" s="262"/>
      <c r="L138" s="262"/>
      <c r="M138" s="262"/>
      <c r="N138" s="262"/>
      <c r="O138" s="262"/>
      <c r="P138" s="262"/>
      <c r="Q138" s="262"/>
      <c r="R138" s="262"/>
      <c r="S138" s="262"/>
      <c r="T138" s="262"/>
      <c r="U138" s="262"/>
      <c r="V138" s="262"/>
      <c r="W138" s="262"/>
      <c r="X138" s="262"/>
      <c r="Y138" s="262"/>
      <c r="Z138" s="262"/>
    </row>
    <row r="139" spans="1:26" ht="12.75" hidden="1" outlineLevel="1">
      <c r="A139" s="1564"/>
      <c r="B139" s="368"/>
      <c r="C139" s="368"/>
      <c r="D139" s="1567" t="s">
        <v>16450</v>
      </c>
      <c r="E139" s="1460"/>
      <c r="F139" s="1460"/>
      <c r="G139" s="1568">
        <v>136.16999999999999</v>
      </c>
      <c r="H139" s="1460"/>
      <c r="I139" s="1569">
        <f>G139</f>
        <v>136.16999999999999</v>
      </c>
      <c r="J139" s="512"/>
      <c r="K139" s="262"/>
      <c r="L139" s="262"/>
      <c r="M139" s="262"/>
      <c r="N139" s="262"/>
      <c r="O139" s="262"/>
      <c r="P139" s="262"/>
      <c r="Q139" s="262"/>
      <c r="R139" s="262"/>
      <c r="S139" s="262"/>
      <c r="T139" s="262"/>
      <c r="U139" s="262"/>
      <c r="V139" s="262"/>
      <c r="W139" s="262"/>
      <c r="X139" s="262"/>
      <c r="Y139" s="262"/>
      <c r="Z139" s="262"/>
    </row>
    <row r="140" spans="1:26" ht="12.75" hidden="1" outlineLevel="1">
      <c r="A140" s="1564"/>
      <c r="B140" s="368"/>
      <c r="C140" s="368"/>
      <c r="D140" s="368"/>
      <c r="E140" s="642"/>
      <c r="F140" s="642"/>
      <c r="G140" s="642"/>
      <c r="H140" s="642"/>
      <c r="I140" s="1570"/>
      <c r="J140" s="512"/>
      <c r="K140" s="262"/>
      <c r="L140" s="262"/>
      <c r="M140" s="262"/>
      <c r="N140" s="262"/>
      <c r="O140" s="262"/>
      <c r="P140" s="262"/>
      <c r="Q140" s="262"/>
      <c r="R140" s="262"/>
      <c r="S140" s="262"/>
      <c r="T140" s="262"/>
      <c r="U140" s="262"/>
      <c r="V140" s="262"/>
      <c r="W140" s="262"/>
      <c r="X140" s="262"/>
      <c r="Y140" s="262"/>
      <c r="Z140" s="262"/>
    </row>
    <row r="141" spans="1:26" ht="25.5" outlineLevel="1">
      <c r="A141" s="1632" t="s">
        <v>13555</v>
      </c>
      <c r="B141" s="384">
        <v>96135</v>
      </c>
      <c r="C141" s="384" t="s">
        <v>14476</v>
      </c>
      <c r="D141" s="596" t="str">
        <f>IFERROR(VLOOKUP($B141,'24.08_ND'!$A$4833:$D$12369,2,0),IFERROR(VLOOKUP($B141,'03-CP'!$C$5:$H$4646,2,0),""))</f>
        <v>APLICAÇÃO MANUAL DE MASSA ACRÍLICA EM PAREDES EXTERNAS DE CASAS, DUAS DEMÃOS. AF_03/2024</v>
      </c>
      <c r="E141" s="759" t="str">
        <f>IFERROR(VLOOKUP($B141,'24.08_ND'!$A:$D,3,0),IFERROR(VLOOKUP($B141,'03-CP'!$C$5:$H$4646,3,0),""))</f>
        <v>M2</v>
      </c>
      <c r="F141" s="1558">
        <f>SUM(I143:I144)</f>
        <v>136.16999999999999</v>
      </c>
      <c r="G141" s="1453"/>
      <c r="H141" s="1453"/>
      <c r="I141" s="1454"/>
      <c r="J141" s="512"/>
      <c r="K141" s="262"/>
      <c r="L141" s="262"/>
      <c r="M141" s="262"/>
      <c r="N141" s="262"/>
      <c r="O141" s="262"/>
      <c r="P141" s="262"/>
      <c r="Q141" s="262"/>
      <c r="R141" s="262"/>
      <c r="S141" s="262"/>
      <c r="T141" s="262"/>
      <c r="U141" s="262"/>
      <c r="V141" s="262"/>
      <c r="W141" s="262"/>
      <c r="X141" s="262"/>
      <c r="Y141" s="262"/>
      <c r="Z141" s="262"/>
    </row>
    <row r="142" spans="1:26" ht="12.75" hidden="1" outlineLevel="1">
      <c r="A142" s="1564"/>
      <c r="B142" s="368"/>
      <c r="C142" s="368"/>
      <c r="D142" s="1455" t="s">
        <v>16253</v>
      </c>
      <c r="E142" s="1456" t="s">
        <v>16252</v>
      </c>
      <c r="F142" s="1457" t="s">
        <v>16232</v>
      </c>
      <c r="G142" s="1456" t="s">
        <v>16233</v>
      </c>
      <c r="H142" s="1456" t="s">
        <v>16234</v>
      </c>
      <c r="I142" s="1458" t="s">
        <v>12615</v>
      </c>
      <c r="J142" s="512"/>
      <c r="K142" s="262"/>
      <c r="L142" s="262"/>
      <c r="M142" s="262"/>
      <c r="N142" s="262"/>
      <c r="O142" s="262"/>
      <c r="P142" s="262"/>
      <c r="Q142" s="262"/>
      <c r="R142" s="262"/>
      <c r="S142" s="262"/>
      <c r="T142" s="262"/>
      <c r="U142" s="262"/>
      <c r="V142" s="262"/>
      <c r="W142" s="262"/>
      <c r="X142" s="262"/>
      <c r="Y142" s="262"/>
      <c r="Z142" s="262"/>
    </row>
    <row r="143" spans="1:26" ht="12.75" hidden="1" outlineLevel="1">
      <c r="A143" s="1564"/>
      <c r="B143" s="368"/>
      <c r="C143" s="368"/>
      <c r="D143" s="1567" t="s">
        <v>16450</v>
      </c>
      <c r="E143" s="1460"/>
      <c r="F143" s="1460"/>
      <c r="G143" s="1568">
        <v>136.16999999999999</v>
      </c>
      <c r="H143" s="1460"/>
      <c r="I143" s="1569">
        <f>G143</f>
        <v>136.16999999999999</v>
      </c>
      <c r="J143" s="512"/>
      <c r="K143" s="262"/>
      <c r="L143" s="262"/>
      <c r="M143" s="262"/>
      <c r="N143" s="262"/>
      <c r="O143" s="262"/>
      <c r="P143" s="262"/>
      <c r="Q143" s="262"/>
      <c r="R143" s="262"/>
      <c r="S143" s="262"/>
      <c r="T143" s="262"/>
      <c r="U143" s="262"/>
      <c r="V143" s="262"/>
      <c r="W143" s="262"/>
      <c r="X143" s="262"/>
      <c r="Y143" s="262"/>
      <c r="Z143" s="262"/>
    </row>
    <row r="144" spans="1:26" ht="12.75" hidden="1" outlineLevel="1">
      <c r="A144" s="1564"/>
      <c r="B144" s="368"/>
      <c r="C144" s="368"/>
      <c r="D144" s="368"/>
      <c r="E144" s="642"/>
      <c r="F144" s="642"/>
      <c r="G144" s="642"/>
      <c r="H144" s="642"/>
      <c r="I144" s="1570"/>
      <c r="J144" s="512"/>
      <c r="K144" s="262"/>
      <c r="L144" s="262"/>
      <c r="M144" s="262"/>
      <c r="N144" s="262"/>
      <c r="O144" s="262"/>
      <c r="P144" s="262"/>
      <c r="Q144" s="262"/>
      <c r="R144" s="262"/>
      <c r="S144" s="262"/>
      <c r="T144" s="262"/>
      <c r="U144" s="262"/>
      <c r="V144" s="262"/>
      <c r="W144" s="262"/>
      <c r="X144" s="262"/>
      <c r="Y144" s="262"/>
      <c r="Z144" s="262"/>
    </row>
    <row r="145" spans="1:26" ht="17.25" outlineLevel="1">
      <c r="A145" s="1633" t="s">
        <v>13556</v>
      </c>
      <c r="B145" s="384" t="s">
        <v>14765</v>
      </c>
      <c r="C145" s="295" t="s">
        <v>14472</v>
      </c>
      <c r="D145" s="596" t="str">
        <f>IFERROR(VLOOKUP($B145,'24.08_ND'!$A$4833:$D$12369,2,0),IFERROR(VLOOKUP($B145,'03-CP'!$C$5:$H$4646,2,0),""))</f>
        <v>PINTURA COM TINTA ACRÍLICA PREMIUM EM PAREDES, DUAS DEMÃOS.</v>
      </c>
      <c r="E145" s="759" t="str">
        <f>IFERROR(VLOOKUP($B145,'24.08_ND'!$A:$D,3,0),IFERROR(VLOOKUP($B145,'03-CP'!$C$5:$H$4646,3,0),""))</f>
        <v>M2</v>
      </c>
      <c r="F145" s="1583">
        <f>SUM(I147:I148)</f>
        <v>139.72</v>
      </c>
      <c r="G145" s="1453"/>
      <c r="H145" s="1453"/>
      <c r="I145" s="1454"/>
      <c r="J145" s="512"/>
      <c r="K145" s="262"/>
      <c r="L145" s="262"/>
      <c r="M145" s="262"/>
      <c r="N145" s="262"/>
      <c r="O145" s="262"/>
      <c r="P145" s="262"/>
      <c r="Q145" s="262"/>
      <c r="R145" s="262"/>
      <c r="S145" s="262"/>
      <c r="T145" s="262"/>
      <c r="U145" s="262"/>
      <c r="V145" s="262"/>
      <c r="W145" s="262"/>
      <c r="X145" s="262"/>
      <c r="Y145" s="262"/>
      <c r="Z145" s="262"/>
    </row>
    <row r="146" spans="1:26" ht="12.75" hidden="1" outlineLevel="1">
      <c r="A146" s="450"/>
      <c r="B146" s="368"/>
      <c r="C146" s="368"/>
      <c r="D146" s="1455" t="s">
        <v>16253</v>
      </c>
      <c r="E146" s="1456" t="s">
        <v>16252</v>
      </c>
      <c r="F146" s="1457" t="s">
        <v>16232</v>
      </c>
      <c r="G146" s="1456" t="s">
        <v>16233</v>
      </c>
      <c r="H146" s="1456" t="s">
        <v>16234</v>
      </c>
      <c r="I146" s="1458" t="s">
        <v>12615</v>
      </c>
      <c r="J146" s="512"/>
      <c r="K146" s="262"/>
      <c r="L146" s="262"/>
      <c r="M146" s="262"/>
      <c r="N146" s="262"/>
      <c r="O146" s="262"/>
      <c r="P146" s="262"/>
      <c r="Q146" s="262"/>
      <c r="R146" s="262"/>
      <c r="S146" s="262"/>
      <c r="T146" s="262"/>
      <c r="U146" s="262"/>
      <c r="V146" s="262"/>
      <c r="W146" s="262"/>
      <c r="X146" s="262"/>
      <c r="Y146" s="262"/>
      <c r="Z146" s="262"/>
    </row>
    <row r="147" spans="1:26" ht="12.75" hidden="1" outlineLevel="1">
      <c r="A147" s="450"/>
      <c r="B147" s="368"/>
      <c r="C147" s="368"/>
      <c r="D147" s="1466" t="s">
        <v>16451</v>
      </c>
      <c r="E147" s="645"/>
      <c r="F147" s="645"/>
      <c r="G147" s="691">
        <v>43.62</v>
      </c>
      <c r="H147" s="645"/>
      <c r="I147" s="1467">
        <f>G147</f>
        <v>43.62</v>
      </c>
      <c r="J147" s="512"/>
      <c r="K147" s="262"/>
      <c r="L147" s="262"/>
      <c r="M147" s="262"/>
      <c r="N147" s="262"/>
      <c r="O147" s="262"/>
      <c r="P147" s="262"/>
      <c r="Q147" s="262"/>
      <c r="R147" s="262"/>
      <c r="S147" s="262"/>
      <c r="T147" s="262"/>
      <c r="U147" s="262"/>
      <c r="V147" s="262"/>
      <c r="W147" s="262"/>
      <c r="X147" s="262"/>
      <c r="Y147" s="262"/>
      <c r="Z147" s="262"/>
    </row>
    <row r="148" spans="1:26" ht="12.75" hidden="1" outlineLevel="1">
      <c r="A148" s="1564"/>
      <c r="B148" s="368"/>
      <c r="C148" s="368"/>
      <c r="D148" s="1459" t="s">
        <v>16452</v>
      </c>
      <c r="E148" s="1460"/>
      <c r="F148" s="1460"/>
      <c r="G148" s="1462">
        <v>96.1</v>
      </c>
      <c r="H148" s="1460"/>
      <c r="I148" s="1463">
        <f>G148</f>
        <v>96.1</v>
      </c>
      <c r="J148" s="512"/>
      <c r="K148" s="262"/>
      <c r="L148" s="262"/>
      <c r="M148" s="262"/>
      <c r="N148" s="262"/>
      <c r="O148" s="262"/>
      <c r="P148" s="262"/>
      <c r="Q148" s="262"/>
      <c r="R148" s="262"/>
      <c r="S148" s="262"/>
      <c r="T148" s="262"/>
      <c r="U148" s="262"/>
      <c r="V148" s="262"/>
      <c r="W148" s="262"/>
      <c r="X148" s="262"/>
      <c r="Y148" s="262"/>
      <c r="Z148" s="262"/>
    </row>
    <row r="149" spans="1:26" hidden="1" outlineLevel="1">
      <c r="A149" s="249"/>
      <c r="B149" s="3"/>
      <c r="C149" s="3"/>
      <c r="D149" s="38"/>
      <c r="E149" s="691"/>
      <c r="F149" s="1631"/>
      <c r="G149" s="642"/>
      <c r="H149" s="642"/>
      <c r="I149" s="1570"/>
      <c r="J149" s="512"/>
      <c r="K149" s="262"/>
      <c r="L149" s="262"/>
      <c r="M149" s="262"/>
      <c r="N149" s="262"/>
      <c r="O149" s="262"/>
      <c r="P149" s="262"/>
      <c r="Q149" s="262"/>
      <c r="R149" s="262"/>
      <c r="S149" s="262"/>
      <c r="T149" s="262"/>
      <c r="U149" s="262"/>
      <c r="V149" s="262"/>
      <c r="W149" s="262"/>
      <c r="X149" s="262"/>
      <c r="Y149" s="262"/>
      <c r="Z149" s="262"/>
    </row>
    <row r="150" spans="1:26" ht="25.5" outlineLevel="1">
      <c r="A150" s="1633" t="s">
        <v>13557</v>
      </c>
      <c r="B150" s="384">
        <v>88484</v>
      </c>
      <c r="C150" s="384" t="s">
        <v>14476</v>
      </c>
      <c r="D150" s="596" t="str">
        <f>IFERROR(VLOOKUP($B150,'24.08_ND'!$A$4833:$D$12369,2,0),IFERROR(VLOOKUP($B150,'03-CP'!$C$5:$H$4646,2,0),""))</f>
        <v>FUNDO SELADOR ACRÍLICO, APLICAÇÃO MANUAL EM TETO, UMA DEMÃO. AF_04/2023</v>
      </c>
      <c r="E150" s="759" t="str">
        <f>IFERROR(VLOOKUP($B150,'24.08_ND'!$A:$D,3,0),IFERROR(VLOOKUP($B150,'03-CP'!$C$5:$H$4646,3,0),""))</f>
        <v>M2</v>
      </c>
      <c r="F150" s="1558">
        <f>SUM(I152)</f>
        <v>20.46</v>
      </c>
      <c r="G150" s="1453"/>
      <c r="H150" s="1453"/>
      <c r="I150" s="1454"/>
      <c r="J150" s="512"/>
      <c r="K150" s="262"/>
      <c r="L150" s="262"/>
      <c r="M150" s="262"/>
      <c r="N150" s="262"/>
      <c r="O150" s="262"/>
      <c r="P150" s="262"/>
      <c r="Q150" s="262"/>
      <c r="R150" s="262"/>
      <c r="S150" s="262"/>
      <c r="T150" s="262"/>
      <c r="U150" s="262"/>
      <c r="V150" s="262"/>
      <c r="W150" s="262"/>
      <c r="X150" s="262"/>
      <c r="Y150" s="262"/>
      <c r="Z150" s="262"/>
    </row>
    <row r="151" spans="1:26" ht="12.75" hidden="1" outlineLevel="1">
      <c r="A151" s="1564"/>
      <c r="B151" s="368"/>
      <c r="C151" s="368"/>
      <c r="D151" s="1455" t="s">
        <v>16253</v>
      </c>
      <c r="E151" s="1456" t="s">
        <v>16252</v>
      </c>
      <c r="F151" s="1457" t="s">
        <v>16232</v>
      </c>
      <c r="G151" s="1456" t="s">
        <v>16233</v>
      </c>
      <c r="H151" s="1456" t="s">
        <v>16234</v>
      </c>
      <c r="I151" s="1458" t="s">
        <v>12615</v>
      </c>
      <c r="J151" s="512"/>
      <c r="K151" s="262"/>
      <c r="L151" s="262"/>
      <c r="M151" s="262"/>
      <c r="N151" s="262"/>
      <c r="O151" s="262"/>
      <c r="P151" s="262"/>
      <c r="Q151" s="262"/>
      <c r="R151" s="262"/>
      <c r="S151" s="262"/>
      <c r="T151" s="262"/>
      <c r="U151" s="262"/>
      <c r="V151" s="262"/>
      <c r="W151" s="262"/>
      <c r="X151" s="262"/>
      <c r="Y151" s="262"/>
      <c r="Z151" s="262"/>
    </row>
    <row r="152" spans="1:26" ht="12.75" hidden="1" outlineLevel="1">
      <c r="A152" s="1564"/>
      <c r="B152" s="368"/>
      <c r="C152" s="368"/>
      <c r="D152" s="1567" t="s">
        <v>16453</v>
      </c>
      <c r="E152" s="1460"/>
      <c r="F152" s="1460"/>
      <c r="G152" s="1568">
        <v>20.46</v>
      </c>
      <c r="H152" s="1460"/>
      <c r="I152" s="1569">
        <f>G152</f>
        <v>20.46</v>
      </c>
      <c r="J152" s="512"/>
      <c r="K152" s="262"/>
      <c r="L152" s="262"/>
      <c r="M152" s="262"/>
      <c r="N152" s="262"/>
      <c r="O152" s="262"/>
      <c r="P152" s="262"/>
      <c r="Q152" s="262"/>
      <c r="R152" s="262"/>
      <c r="S152" s="262"/>
      <c r="T152" s="262"/>
      <c r="U152" s="262"/>
      <c r="V152" s="262"/>
      <c r="W152" s="262"/>
      <c r="X152" s="262"/>
      <c r="Y152" s="262"/>
      <c r="Z152" s="262"/>
    </row>
    <row r="153" spans="1:26" ht="12.75" hidden="1" outlineLevel="1">
      <c r="A153" s="1564"/>
      <c r="B153" s="368"/>
      <c r="C153" s="368"/>
      <c r="D153" s="368"/>
      <c r="E153" s="642"/>
      <c r="F153" s="642"/>
      <c r="G153" s="642"/>
      <c r="H153" s="642"/>
      <c r="I153" s="1570"/>
      <c r="J153" s="512"/>
      <c r="K153" s="262"/>
      <c r="L153" s="262"/>
      <c r="M153" s="262"/>
      <c r="N153" s="262"/>
      <c r="O153" s="262"/>
      <c r="P153" s="262"/>
      <c r="Q153" s="262"/>
      <c r="R153" s="262"/>
      <c r="S153" s="262"/>
      <c r="T153" s="262"/>
      <c r="U153" s="262"/>
      <c r="V153" s="262"/>
      <c r="W153" s="262"/>
      <c r="X153" s="262"/>
      <c r="Y153" s="262"/>
      <c r="Z153" s="262"/>
    </row>
    <row r="154" spans="1:26" ht="25.5" outlineLevel="1">
      <c r="A154" s="1633" t="s">
        <v>13558</v>
      </c>
      <c r="B154" s="384" t="s">
        <v>14938</v>
      </c>
      <c r="C154" s="295" t="s">
        <v>14472</v>
      </c>
      <c r="D154" s="596" t="str">
        <f>IFERROR(VLOOKUP($B154,'24.08_ND'!$A$4833:$D$12369,2,0),IFERROR(VLOOKUP($B154,'03-CP'!$C$5:$H$4646,2,0),""))</f>
        <v xml:space="preserve">APLICAÇÃO MANUAL DE MASSA ACRÍLICA EM TETO, DUAS DEMÃOS, INCLUSO LIXAMENTO </v>
      </c>
      <c r="E154" s="759" t="str">
        <f>IFERROR(VLOOKUP($B154,'24.08_ND'!$A:$D,3,0),IFERROR(VLOOKUP($B154,'03-CP'!$C$5:$H$4646,3,0),""))</f>
        <v>M2</v>
      </c>
      <c r="F154" s="1558">
        <f>SUM(I156:I157)</f>
        <v>20.46</v>
      </c>
      <c r="G154" s="1453"/>
      <c r="H154" s="1453"/>
      <c r="I154" s="1454"/>
      <c r="J154" s="512"/>
      <c r="K154" s="262"/>
      <c r="L154" s="262"/>
      <c r="M154" s="262"/>
      <c r="N154" s="262"/>
      <c r="O154" s="262"/>
      <c r="P154" s="262"/>
      <c r="Q154" s="262"/>
      <c r="R154" s="262"/>
      <c r="S154" s="262"/>
      <c r="T154" s="262"/>
      <c r="U154" s="262"/>
      <c r="V154" s="262"/>
      <c r="W154" s="262"/>
      <c r="X154" s="262"/>
      <c r="Y154" s="262"/>
      <c r="Z154" s="262"/>
    </row>
    <row r="155" spans="1:26" ht="12.75" hidden="1" outlineLevel="1">
      <c r="A155" s="450"/>
      <c r="B155" s="368"/>
      <c r="C155" s="368"/>
      <c r="D155" s="1455" t="s">
        <v>16253</v>
      </c>
      <c r="E155" s="1456" t="s">
        <v>16252</v>
      </c>
      <c r="F155" s="1457" t="s">
        <v>16232</v>
      </c>
      <c r="G155" s="1456" t="s">
        <v>16233</v>
      </c>
      <c r="H155" s="1456" t="s">
        <v>16234</v>
      </c>
      <c r="I155" s="1458" t="s">
        <v>12615</v>
      </c>
      <c r="J155" s="512"/>
      <c r="K155" s="262"/>
      <c r="L155" s="262"/>
      <c r="M155" s="262"/>
      <c r="N155" s="262"/>
      <c r="O155" s="262"/>
      <c r="P155" s="262"/>
      <c r="Q155" s="262"/>
      <c r="R155" s="262"/>
      <c r="S155" s="262"/>
      <c r="T155" s="262"/>
      <c r="U155" s="262"/>
      <c r="V155" s="262"/>
      <c r="W155" s="262"/>
      <c r="X155" s="262"/>
      <c r="Y155" s="262"/>
      <c r="Z155" s="262"/>
    </row>
    <row r="156" spans="1:26" ht="12.75" hidden="1" outlineLevel="1">
      <c r="A156" s="450"/>
      <c r="B156" s="368"/>
      <c r="C156" s="368"/>
      <c r="D156" s="1567" t="s">
        <v>16453</v>
      </c>
      <c r="E156" s="1460"/>
      <c r="F156" s="1460"/>
      <c r="G156" s="1568">
        <v>20.46</v>
      </c>
      <c r="H156" s="1460"/>
      <c r="I156" s="1569">
        <f>G156</f>
        <v>20.46</v>
      </c>
      <c r="J156" s="512"/>
      <c r="K156" s="262"/>
      <c r="L156" s="262"/>
      <c r="M156" s="262"/>
      <c r="N156" s="262"/>
      <c r="O156" s="262"/>
      <c r="P156" s="262"/>
      <c r="Q156" s="262"/>
      <c r="R156" s="262"/>
      <c r="S156" s="262"/>
      <c r="T156" s="262"/>
      <c r="U156" s="262"/>
      <c r="V156" s="262"/>
      <c r="W156" s="262"/>
      <c r="X156" s="262"/>
      <c r="Y156" s="262"/>
      <c r="Z156" s="262"/>
    </row>
    <row r="157" spans="1:26" ht="12.75" hidden="1" outlineLevel="1">
      <c r="A157" s="1564"/>
      <c r="B157" s="368"/>
      <c r="C157" s="368"/>
      <c r="D157" s="368"/>
      <c r="E157" s="642"/>
      <c r="F157" s="642"/>
      <c r="G157" s="642"/>
      <c r="H157" s="642"/>
      <c r="I157" s="1570"/>
      <c r="J157" s="512"/>
      <c r="K157" s="262"/>
      <c r="L157" s="262"/>
      <c r="M157" s="262"/>
      <c r="N157" s="262"/>
      <c r="O157" s="262"/>
      <c r="P157" s="262"/>
      <c r="Q157" s="262"/>
      <c r="R157" s="262"/>
      <c r="S157" s="262"/>
      <c r="T157" s="262"/>
      <c r="U157" s="262"/>
      <c r="V157" s="262"/>
      <c r="W157" s="262"/>
      <c r="X157" s="262"/>
      <c r="Y157" s="262"/>
      <c r="Z157" s="262"/>
    </row>
    <row r="158" spans="1:26" ht="17.25" outlineLevel="1">
      <c r="A158" s="1633" t="s">
        <v>13559</v>
      </c>
      <c r="B158" s="384" t="s">
        <v>14936</v>
      </c>
      <c r="C158" s="295" t="s">
        <v>14472</v>
      </c>
      <c r="D158" s="596" t="str">
        <f>IFERROR(VLOOKUP($B158,'24.08_ND'!$A$4833:$D$12369,2,0),IFERROR(VLOOKUP($B158,'03-CP'!$C$5:$H$4646,2,0),""))</f>
        <v>PINTURA COM TINTA ACRÍLICA PREMIUM, EM TETO, DUAS DEMÃOS.</v>
      </c>
      <c r="E158" s="759" t="str">
        <f>IFERROR(VLOOKUP($B158,'24.08_ND'!$A:$D,3,0),IFERROR(VLOOKUP($B158,'03-CP'!$C$5:$H$4646,3,0),""))</f>
        <v>M2</v>
      </c>
      <c r="F158" s="1583">
        <f>SUM(I160)</f>
        <v>20.46</v>
      </c>
      <c r="G158" s="1453"/>
      <c r="H158" s="1453"/>
      <c r="I158" s="1454"/>
      <c r="J158" s="512"/>
      <c r="K158" s="262"/>
      <c r="L158" s="262"/>
      <c r="M158" s="262"/>
      <c r="N158" s="262"/>
      <c r="O158" s="262"/>
      <c r="P158" s="262"/>
      <c r="Q158" s="262"/>
      <c r="R158" s="262"/>
      <c r="S158" s="262"/>
      <c r="T158" s="262"/>
      <c r="U158" s="262"/>
      <c r="V158" s="262"/>
      <c r="W158" s="262"/>
      <c r="X158" s="262"/>
      <c r="Y158" s="262"/>
      <c r="Z158" s="262"/>
    </row>
    <row r="159" spans="1:26" ht="12.75" hidden="1" outlineLevel="1">
      <c r="A159" s="1564"/>
      <c r="B159" s="368"/>
      <c r="C159" s="368"/>
      <c r="D159" s="1455" t="s">
        <v>16253</v>
      </c>
      <c r="E159" s="1456" t="s">
        <v>16252</v>
      </c>
      <c r="F159" s="1457" t="s">
        <v>16232</v>
      </c>
      <c r="G159" s="1456" t="s">
        <v>16233</v>
      </c>
      <c r="H159" s="1456" t="s">
        <v>16234</v>
      </c>
      <c r="I159" s="1458" t="s">
        <v>12615</v>
      </c>
      <c r="J159" s="512"/>
      <c r="K159" s="262"/>
      <c r="L159" s="262"/>
      <c r="M159" s="262"/>
      <c r="N159" s="262"/>
      <c r="O159" s="262"/>
      <c r="P159" s="262"/>
      <c r="Q159" s="262"/>
      <c r="R159" s="262"/>
      <c r="S159" s="262"/>
      <c r="T159" s="262"/>
      <c r="U159" s="262"/>
      <c r="V159" s="262"/>
      <c r="W159" s="262"/>
      <c r="X159" s="262"/>
      <c r="Y159" s="262"/>
      <c r="Z159" s="262"/>
    </row>
    <row r="160" spans="1:26" ht="12.75" hidden="1" outlineLevel="1">
      <c r="A160" s="1564"/>
      <c r="B160" s="368"/>
      <c r="C160" s="368"/>
      <c r="D160" s="1459" t="s">
        <v>16453</v>
      </c>
      <c r="E160" s="1460"/>
      <c r="F160" s="1460"/>
      <c r="G160" s="1568">
        <v>20.46</v>
      </c>
      <c r="H160" s="1460"/>
      <c r="I160" s="1569">
        <f>G160</f>
        <v>20.46</v>
      </c>
      <c r="J160" s="512"/>
      <c r="K160" s="262"/>
      <c r="L160" s="262"/>
      <c r="M160" s="262"/>
      <c r="N160" s="262"/>
      <c r="O160" s="262"/>
      <c r="P160" s="262"/>
      <c r="Q160" s="262"/>
      <c r="R160" s="262"/>
      <c r="S160" s="262"/>
      <c r="T160" s="262"/>
      <c r="U160" s="262"/>
      <c r="V160" s="262"/>
      <c r="W160" s="262"/>
      <c r="X160" s="262"/>
      <c r="Y160" s="262"/>
      <c r="Z160" s="262"/>
    </row>
    <row r="161" spans="1:26" ht="39.75" outlineLevel="1">
      <c r="A161" s="1633" t="s">
        <v>13560</v>
      </c>
      <c r="B161" s="384" t="s">
        <v>14941</v>
      </c>
      <c r="C161" s="295" t="s">
        <v>14472</v>
      </c>
      <c r="D161" s="596" t="str">
        <f>IFERROR(VLOOKUP($B161,'24.08_ND'!$A$4833:$D$12369,2,0),IFERROR(VLOOKUP($B161,'03-CP'!$C$5:$H$4646,2,0),""))</f>
        <v>PINTURA COM TINTA ALQUÍDICA DE ACABAMENTO (ESMALTE SINTÉTICO FOSCO) PULVERIZADA SOBRE SUPERFÍCIES METÁLICAS, 02 DEMÃOS, PREPARO DE SUPERFÍCÍE COM FUNDO GALVANIZADO, 01 DEMÃO</v>
      </c>
      <c r="E161" s="759" t="str">
        <f>IFERROR(VLOOKUP($B161,'24.08_ND'!$A:$D,3,0),IFERROR(VLOOKUP($B161,'03-CP'!$C$5:$H$4646,3,0),""))</f>
        <v>M2</v>
      </c>
      <c r="F161" s="1583">
        <f>SUM(I163:I164)</f>
        <v>10.28</v>
      </c>
      <c r="G161" s="1453"/>
      <c r="H161" s="1453"/>
      <c r="I161" s="1454"/>
      <c r="J161" s="512"/>
      <c r="K161" s="262"/>
      <c r="L161" s="262"/>
      <c r="M161" s="262"/>
      <c r="N161" s="262"/>
      <c r="O161" s="262"/>
      <c r="P161" s="262"/>
      <c r="Q161" s="262"/>
      <c r="R161" s="262"/>
      <c r="S161" s="262"/>
      <c r="T161" s="262"/>
      <c r="U161" s="262"/>
      <c r="V161" s="262"/>
      <c r="W161" s="262"/>
      <c r="X161" s="262"/>
      <c r="Y161" s="262"/>
      <c r="Z161" s="262"/>
    </row>
    <row r="162" spans="1:26" ht="12.75" hidden="1" outlineLevel="1">
      <c r="A162" s="1564"/>
      <c r="B162" s="368"/>
      <c r="C162" s="368"/>
      <c r="D162" s="1455" t="s">
        <v>16454</v>
      </c>
      <c r="E162" s="1456" t="s">
        <v>16252</v>
      </c>
      <c r="F162" s="1457" t="s">
        <v>16232</v>
      </c>
      <c r="G162" s="1456" t="s">
        <v>16233</v>
      </c>
      <c r="H162" s="1456" t="s">
        <v>16234</v>
      </c>
      <c r="I162" s="1458" t="s">
        <v>12615</v>
      </c>
      <c r="J162" s="512"/>
      <c r="K162" s="262"/>
      <c r="L162" s="262"/>
      <c r="M162" s="262"/>
      <c r="N162" s="262"/>
      <c r="O162" s="262"/>
      <c r="P162" s="262"/>
      <c r="Q162" s="262"/>
      <c r="R162" s="262"/>
      <c r="S162" s="262"/>
      <c r="T162" s="262"/>
      <c r="U162" s="262"/>
      <c r="V162" s="262"/>
      <c r="W162" s="262"/>
      <c r="X162" s="262"/>
      <c r="Y162" s="262"/>
      <c r="Z162" s="262"/>
    </row>
    <row r="163" spans="1:26" ht="12.75" hidden="1" outlineLevel="1">
      <c r="A163" s="1564"/>
      <c r="B163" s="368"/>
      <c r="C163" s="368"/>
      <c r="D163" s="1466" t="s">
        <v>16455</v>
      </c>
      <c r="E163" s="1545">
        <v>2</v>
      </c>
      <c r="F163" s="1545">
        <v>4.4000000000000004</v>
      </c>
      <c r="G163" s="1634">
        <v>8.86</v>
      </c>
      <c r="H163" s="1545">
        <v>1</v>
      </c>
      <c r="I163" s="1635">
        <v>8.86</v>
      </c>
      <c r="J163" s="512"/>
      <c r="K163" s="262"/>
      <c r="L163" s="262"/>
      <c r="M163" s="262"/>
      <c r="N163" s="262"/>
      <c r="O163" s="262"/>
      <c r="P163" s="262"/>
      <c r="Q163" s="262"/>
      <c r="R163" s="262"/>
      <c r="S163" s="262"/>
      <c r="T163" s="262"/>
      <c r="U163" s="262"/>
      <c r="V163" s="262"/>
      <c r="W163" s="262"/>
      <c r="X163" s="262"/>
      <c r="Y163" s="262"/>
      <c r="Z163" s="262"/>
    </row>
    <row r="164" spans="1:26" ht="12.75" hidden="1" outlineLevel="1">
      <c r="A164" s="1564"/>
      <c r="B164" s="368"/>
      <c r="C164" s="368"/>
      <c r="D164" s="1459" t="s">
        <v>16456</v>
      </c>
      <c r="E164" s="1636"/>
      <c r="F164" s="1636"/>
      <c r="G164" s="1637">
        <v>1.42</v>
      </c>
      <c r="H164" s="1636">
        <v>1</v>
      </c>
      <c r="I164" s="1638">
        <v>1.42</v>
      </c>
      <c r="J164" s="512"/>
      <c r="K164" s="262"/>
      <c r="L164" s="262"/>
      <c r="M164" s="262"/>
      <c r="N164" s="262"/>
      <c r="O164" s="262"/>
      <c r="P164" s="262"/>
      <c r="Q164" s="262"/>
      <c r="R164" s="262"/>
      <c r="S164" s="262"/>
      <c r="T164" s="262"/>
      <c r="U164" s="262"/>
      <c r="V164" s="262"/>
      <c r="W164" s="262"/>
      <c r="X164" s="262"/>
      <c r="Y164" s="262"/>
      <c r="Z164" s="262"/>
    </row>
    <row r="165" spans="1:26" ht="12.75" hidden="1" outlineLevel="1">
      <c r="A165" s="1445"/>
      <c r="B165" s="303"/>
      <c r="C165" s="303"/>
      <c r="D165" s="1446"/>
      <c r="E165" s="1447"/>
      <c r="F165" s="1448"/>
      <c r="G165" s="1448"/>
      <c r="H165" s="1448"/>
      <c r="I165" s="1449"/>
      <c r="J165" s="512"/>
      <c r="K165" s="262"/>
      <c r="L165" s="262"/>
      <c r="M165" s="262"/>
      <c r="N165" s="262"/>
      <c r="O165" s="262"/>
      <c r="P165" s="262"/>
      <c r="Q165" s="262"/>
      <c r="R165" s="262"/>
      <c r="S165" s="262"/>
      <c r="T165" s="262"/>
      <c r="U165" s="262"/>
      <c r="V165" s="262"/>
      <c r="W165" s="262"/>
      <c r="X165" s="262"/>
      <c r="Y165" s="262"/>
      <c r="Z165" s="262"/>
    </row>
    <row r="166" spans="1:26" ht="12.75">
      <c r="A166" s="246" t="s">
        <v>13561</v>
      </c>
      <c r="B166" s="1378"/>
      <c r="C166" s="1378"/>
      <c r="D166" s="1379" t="s">
        <v>16279</v>
      </c>
      <c r="E166" s="1380"/>
      <c r="F166" s="1381"/>
      <c r="G166" s="1380"/>
      <c r="H166" s="1381"/>
      <c r="I166" s="1382"/>
      <c r="J166" s="512"/>
      <c r="K166" s="1384" t="e">
        <f>VLOOKUP(A166,'Medição '!$A:$G,10,0)</f>
        <v>#REF!</v>
      </c>
      <c r="L166" s="262"/>
      <c r="M166" s="262"/>
      <c r="N166" s="262"/>
      <c r="O166" s="262"/>
      <c r="P166" s="262"/>
      <c r="Q166" s="262"/>
      <c r="R166" s="262"/>
      <c r="S166" s="262"/>
      <c r="T166" s="262"/>
      <c r="U166" s="262"/>
      <c r="V166" s="262"/>
      <c r="W166" s="262"/>
      <c r="X166" s="262"/>
      <c r="Y166" s="262"/>
      <c r="Z166" s="262"/>
    </row>
    <row r="167" spans="1:26" ht="25.5" outlineLevel="1">
      <c r="A167" s="1385" t="s">
        <v>13562</v>
      </c>
      <c r="B167" s="295" t="s">
        <v>15017</v>
      </c>
      <c r="C167" s="295" t="s">
        <v>14472</v>
      </c>
      <c r="D167" s="296" t="str">
        <f>IFERROR(VLOOKUP($B167,'24.08_ND'!$A$4833:$D$12369,2,0),IFERROR(VLOOKUP($B167,'03-CP'!$C$5:$H$4646,2,0),""))</f>
        <v>TOLDO LONA FIXO, GRAFITE, AVAÇO RESISTENTE - FORNECIMENTO E INSTALAÇÃO</v>
      </c>
      <c r="E167" s="1387" t="str">
        <f>IFERROR(VLOOKUP($B167,'24.08_ND'!$A:$D,3,0),IFERROR(VLOOKUP($B167,'03-CP'!$C$5:$H$4646,3,0),""))</f>
        <v>M2</v>
      </c>
      <c r="F167" s="1583">
        <f>SUM(I169:I170)</f>
        <v>10.8</v>
      </c>
      <c r="G167" s="1387"/>
      <c r="H167" s="1387"/>
      <c r="I167" s="1388"/>
      <c r="J167" s="512"/>
      <c r="K167" s="262"/>
      <c r="L167" s="262"/>
      <c r="M167" s="262"/>
      <c r="N167" s="262"/>
      <c r="O167" s="262"/>
      <c r="P167" s="262"/>
      <c r="Q167" s="262"/>
      <c r="R167" s="262"/>
      <c r="S167" s="262"/>
      <c r="T167" s="262"/>
      <c r="U167" s="262"/>
      <c r="V167" s="262"/>
      <c r="W167" s="262"/>
      <c r="X167" s="262"/>
      <c r="Y167" s="262"/>
      <c r="Z167" s="262"/>
    </row>
    <row r="168" spans="1:26" ht="12.75" hidden="1" outlineLevel="1">
      <c r="A168" s="450"/>
      <c r="B168" s="386"/>
      <c r="C168" s="386"/>
      <c r="D168" s="1455" t="s">
        <v>16404</v>
      </c>
      <c r="E168" s="1456" t="s">
        <v>16252</v>
      </c>
      <c r="F168" s="1457" t="s">
        <v>16232</v>
      </c>
      <c r="G168" s="1456" t="s">
        <v>16233</v>
      </c>
      <c r="H168" s="1456" t="s">
        <v>16234</v>
      </c>
      <c r="I168" s="1458" t="s">
        <v>12615</v>
      </c>
      <c r="J168" s="512"/>
      <c r="K168" s="262"/>
      <c r="L168" s="262"/>
      <c r="M168" s="262"/>
      <c r="N168" s="262"/>
      <c r="O168" s="262"/>
      <c r="P168" s="262"/>
      <c r="Q168" s="262"/>
      <c r="R168" s="262"/>
      <c r="S168" s="262"/>
      <c r="T168" s="262"/>
      <c r="U168" s="262"/>
      <c r="V168" s="262"/>
      <c r="W168" s="262"/>
      <c r="X168" s="262"/>
      <c r="Y168" s="262"/>
      <c r="Z168" s="262"/>
    </row>
    <row r="169" spans="1:26" ht="12.75" hidden="1" outlineLevel="1">
      <c r="A169" s="450"/>
      <c r="B169" s="386"/>
      <c r="C169" s="386"/>
      <c r="D169" s="1466" t="s">
        <v>16457</v>
      </c>
      <c r="E169" s="691">
        <v>2.35</v>
      </c>
      <c r="F169" s="1229">
        <v>1.35</v>
      </c>
      <c r="G169" s="691">
        <f>E169*F169</f>
        <v>3.1725000000000003</v>
      </c>
      <c r="H169" s="691">
        <v>2</v>
      </c>
      <c r="I169" s="1467">
        <f>G169*H169</f>
        <v>6.3450000000000006</v>
      </c>
      <c r="J169" s="512"/>
      <c r="K169" s="262"/>
      <c r="L169" s="262"/>
      <c r="M169" s="262"/>
      <c r="N169" s="262"/>
      <c r="O169" s="262"/>
      <c r="P169" s="262"/>
      <c r="Q169" s="262"/>
      <c r="R169" s="262"/>
      <c r="S169" s="262"/>
      <c r="T169" s="262"/>
      <c r="U169" s="262"/>
      <c r="V169" s="262"/>
      <c r="W169" s="262"/>
      <c r="X169" s="262"/>
      <c r="Y169" s="262"/>
      <c r="Z169" s="262"/>
    </row>
    <row r="170" spans="1:26" ht="12.75" hidden="1" outlineLevel="1">
      <c r="A170" s="450"/>
      <c r="B170" s="386"/>
      <c r="C170" s="386"/>
      <c r="D170" s="1459" t="s">
        <v>16457</v>
      </c>
      <c r="E170" s="1462">
        <v>1.65</v>
      </c>
      <c r="F170" s="1470">
        <v>1.35</v>
      </c>
      <c r="G170" s="1462">
        <f>E170*F170</f>
        <v>2.2275</v>
      </c>
      <c r="H170" s="1462">
        <v>2</v>
      </c>
      <c r="I170" s="1463">
        <f>G170*H170</f>
        <v>4.4550000000000001</v>
      </c>
      <c r="J170" s="512"/>
      <c r="K170" s="262"/>
      <c r="L170" s="262"/>
      <c r="M170" s="262"/>
      <c r="N170" s="262"/>
      <c r="O170" s="262"/>
      <c r="P170" s="262"/>
      <c r="Q170" s="262"/>
      <c r="R170" s="262"/>
      <c r="S170" s="262"/>
      <c r="T170" s="262"/>
      <c r="U170" s="262"/>
      <c r="V170" s="262"/>
      <c r="W170" s="262"/>
      <c r="X170" s="262"/>
      <c r="Y170" s="262"/>
      <c r="Z170" s="262"/>
    </row>
    <row r="171" spans="1:26" ht="12.75" hidden="1" outlineLevel="1">
      <c r="A171" s="247"/>
      <c r="B171" s="386"/>
      <c r="C171" s="386"/>
      <c r="D171" s="34"/>
      <c r="E171" s="691"/>
      <c r="F171" s="1229"/>
      <c r="G171" s="691"/>
      <c r="H171" s="691"/>
      <c r="I171" s="1467"/>
      <c r="J171" s="512"/>
      <c r="K171" s="262"/>
      <c r="L171" s="262"/>
      <c r="M171" s="262"/>
      <c r="N171" s="262"/>
      <c r="O171" s="262"/>
      <c r="P171" s="262"/>
      <c r="Q171" s="262"/>
      <c r="R171" s="262"/>
      <c r="S171" s="262"/>
      <c r="T171" s="262"/>
      <c r="U171" s="262"/>
      <c r="V171" s="262"/>
      <c r="W171" s="262"/>
      <c r="X171" s="262"/>
      <c r="Y171" s="262"/>
      <c r="Z171" s="262"/>
    </row>
    <row r="172" spans="1:26" ht="25.5" outlineLevel="1">
      <c r="A172" s="1385" t="s">
        <v>13563</v>
      </c>
      <c r="B172" s="295" t="s">
        <v>15009</v>
      </c>
      <c r="C172" s="295" t="s">
        <v>14472</v>
      </c>
      <c r="D172" s="658" t="str">
        <f>IFERROR(VLOOKUP($B172,'24.08_ND'!$A$4833:$D$12369,2,0),IFERROR(VLOOKUP($B172,'03-CP'!$C$5:$H$4646,2,0),""))</f>
        <v>PORTA EM ALUMÍNIO DE ABRIR TIPO VENEZIANA NA COR PRETA COM GUARNIÇÃO, FIXAÇÃO COM PARAFUSOS - FORNECIMENTO E INSTALAÇÃO</v>
      </c>
      <c r="E172" s="1318" t="str">
        <f>IFERROR(VLOOKUP($B172,'24.08_ND'!$A:$D,3,0),IFERROR(VLOOKUP($B172,'03-CP'!$C$5:$H$4646,3,0),""))</f>
        <v>M2</v>
      </c>
      <c r="F172" s="1583">
        <f>SUM(I174:I175)</f>
        <v>4.62</v>
      </c>
      <c r="G172" s="1387"/>
      <c r="H172" s="1387"/>
      <c r="I172" s="1388"/>
      <c r="J172" s="512"/>
      <c r="K172" s="262"/>
      <c r="L172" s="262"/>
      <c r="M172" s="262"/>
      <c r="N172" s="262"/>
      <c r="O172" s="262"/>
      <c r="P172" s="262"/>
      <c r="Q172" s="262"/>
      <c r="R172" s="262"/>
      <c r="S172" s="262"/>
      <c r="T172" s="262"/>
      <c r="U172" s="262"/>
      <c r="V172" s="262"/>
      <c r="W172" s="262"/>
      <c r="X172" s="262"/>
      <c r="Y172" s="262"/>
      <c r="Z172" s="262"/>
    </row>
    <row r="173" spans="1:26" ht="12.75" hidden="1" outlineLevel="1">
      <c r="A173" s="1473"/>
      <c r="B173" s="303"/>
      <c r="C173" s="1410"/>
      <c r="D173" s="1455" t="s">
        <v>16404</v>
      </c>
      <c r="E173" s="1456" t="s">
        <v>16252</v>
      </c>
      <c r="F173" s="1457" t="s">
        <v>16232</v>
      </c>
      <c r="G173" s="1456" t="s">
        <v>16233</v>
      </c>
      <c r="H173" s="1456" t="s">
        <v>16234</v>
      </c>
      <c r="I173" s="1458" t="s">
        <v>12615</v>
      </c>
      <c r="J173" s="512"/>
      <c r="K173" s="262"/>
      <c r="L173" s="262"/>
      <c r="M173" s="262"/>
      <c r="N173" s="262"/>
      <c r="O173" s="262"/>
      <c r="P173" s="262"/>
      <c r="Q173" s="262"/>
      <c r="R173" s="262"/>
      <c r="S173" s="262"/>
      <c r="T173" s="262"/>
      <c r="U173" s="262"/>
      <c r="V173" s="262"/>
      <c r="W173" s="262"/>
      <c r="X173" s="262"/>
      <c r="Y173" s="262"/>
      <c r="Z173" s="262"/>
    </row>
    <row r="174" spans="1:26" ht="12.75" hidden="1" outlineLevel="1">
      <c r="A174" s="1473"/>
      <c r="B174" s="303"/>
      <c r="C174" s="1410"/>
      <c r="D174" s="1466" t="s">
        <v>16458</v>
      </c>
      <c r="E174" s="691">
        <v>0.8</v>
      </c>
      <c r="F174" s="1229">
        <v>2.1</v>
      </c>
      <c r="G174" s="691">
        <f>E174*F174</f>
        <v>1.6800000000000002</v>
      </c>
      <c r="H174" s="691">
        <v>1</v>
      </c>
      <c r="I174" s="1467">
        <f>E174*F174*H174</f>
        <v>1.6800000000000002</v>
      </c>
      <c r="J174" s="512"/>
      <c r="K174" s="262"/>
      <c r="L174" s="262"/>
      <c r="M174" s="262"/>
      <c r="N174" s="262"/>
      <c r="O174" s="262"/>
      <c r="P174" s="262"/>
      <c r="Q174" s="262"/>
      <c r="R174" s="262"/>
      <c r="S174" s="262"/>
      <c r="T174" s="262"/>
      <c r="U174" s="262"/>
      <c r="V174" s="262"/>
      <c r="W174" s="262"/>
      <c r="X174" s="262"/>
      <c r="Y174" s="262"/>
      <c r="Z174" s="262"/>
    </row>
    <row r="175" spans="1:26" ht="12.75" hidden="1" outlineLevel="1">
      <c r="A175" s="1473"/>
      <c r="B175" s="303"/>
      <c r="C175" s="1410"/>
      <c r="D175" s="1459" t="s">
        <v>16459</v>
      </c>
      <c r="E175" s="1462">
        <v>0.7</v>
      </c>
      <c r="F175" s="1470">
        <v>2.1</v>
      </c>
      <c r="G175" s="1462">
        <f>E175*F175</f>
        <v>1.47</v>
      </c>
      <c r="H175" s="1462">
        <v>2</v>
      </c>
      <c r="I175" s="1463">
        <f>E175*F175*H175</f>
        <v>2.94</v>
      </c>
      <c r="J175" s="512"/>
      <c r="K175" s="262"/>
      <c r="L175" s="262"/>
      <c r="M175" s="262"/>
      <c r="N175" s="262"/>
      <c r="O175" s="262"/>
      <c r="P175" s="262"/>
      <c r="Q175" s="262"/>
      <c r="R175" s="262"/>
      <c r="S175" s="262"/>
      <c r="T175" s="262"/>
      <c r="U175" s="262"/>
      <c r="V175" s="262"/>
      <c r="W175" s="262"/>
      <c r="X175" s="262"/>
      <c r="Y175" s="262"/>
      <c r="Z175" s="262"/>
    </row>
    <row r="176" spans="1:26" ht="12.75" hidden="1" outlineLevel="1">
      <c r="A176" s="247"/>
      <c r="B176" s="386"/>
      <c r="C176" s="8"/>
      <c r="D176" s="34"/>
      <c r="E176" s="691"/>
      <c r="F176" s="1229"/>
      <c r="G176" s="691"/>
      <c r="H176" s="691"/>
      <c r="I176" s="1467"/>
      <c r="J176" s="512"/>
      <c r="K176" s="262"/>
      <c r="L176" s="262"/>
      <c r="M176" s="262"/>
      <c r="N176" s="262"/>
      <c r="O176" s="262"/>
      <c r="P176" s="262"/>
      <c r="Q176" s="262"/>
      <c r="R176" s="262"/>
      <c r="S176" s="262"/>
      <c r="T176" s="262"/>
      <c r="U176" s="262"/>
      <c r="V176" s="262"/>
      <c r="W176" s="262"/>
      <c r="X176" s="262"/>
      <c r="Y176" s="262"/>
      <c r="Z176" s="262"/>
    </row>
    <row r="177" spans="1:26" ht="25.5" outlineLevel="1">
      <c r="A177" s="1385" t="s">
        <v>13564</v>
      </c>
      <c r="B177" s="295" t="s">
        <v>15012</v>
      </c>
      <c r="C177" s="295" t="s">
        <v>14472</v>
      </c>
      <c r="D177" s="658" t="str">
        <f>IFERROR(VLOOKUP($B177,'24.08_ND'!$A$4833:$D$12369,2,0),IFERROR(VLOOKUP($B177,'03-CP'!$C$5:$H$4646,2,0),""))</f>
        <v>PORTA DE ROLO MANUAL, GALVANIZADA NA COR PRETA - FORNECIMENTO E INSTALAÇÃO</v>
      </c>
      <c r="E177" s="1318" t="str">
        <f>IFERROR(VLOOKUP($B177,'24.08_ND'!$A:$D,3,0),IFERROR(VLOOKUP($B177,'03-CP'!$C$5:$H$4646,3,0),""))</f>
        <v>M2</v>
      </c>
      <c r="F177" s="1583">
        <f>SUM(I179:I180)</f>
        <v>4.9600000000000009</v>
      </c>
      <c r="G177" s="1387"/>
      <c r="H177" s="1387"/>
      <c r="I177" s="1388"/>
      <c r="J177" s="512"/>
      <c r="K177" s="262"/>
      <c r="L177" s="262"/>
      <c r="M177" s="262"/>
      <c r="N177" s="262"/>
      <c r="O177" s="262"/>
      <c r="P177" s="262"/>
      <c r="Q177" s="262"/>
      <c r="R177" s="262"/>
      <c r="S177" s="262"/>
      <c r="T177" s="262"/>
      <c r="U177" s="262"/>
      <c r="V177" s="262"/>
      <c r="W177" s="262"/>
      <c r="X177" s="262"/>
      <c r="Y177" s="262"/>
      <c r="Z177" s="262"/>
    </row>
    <row r="178" spans="1:26" ht="12.75" hidden="1" outlineLevel="1">
      <c r="A178" s="1473"/>
      <c r="B178" s="303"/>
      <c r="C178" s="1410"/>
      <c r="D178" s="1455" t="s">
        <v>16404</v>
      </c>
      <c r="E178" s="1456" t="s">
        <v>16252</v>
      </c>
      <c r="F178" s="1457" t="s">
        <v>16232</v>
      </c>
      <c r="G178" s="1456" t="s">
        <v>16233</v>
      </c>
      <c r="H178" s="1456" t="s">
        <v>16234</v>
      </c>
      <c r="I178" s="1458" t="s">
        <v>12615</v>
      </c>
      <c r="J178" s="512"/>
      <c r="K178" s="262"/>
      <c r="L178" s="262"/>
      <c r="M178" s="262"/>
      <c r="N178" s="262"/>
      <c r="O178" s="262"/>
      <c r="P178" s="262"/>
      <c r="Q178" s="262"/>
      <c r="R178" s="262"/>
      <c r="S178" s="262"/>
      <c r="T178" s="262"/>
      <c r="U178" s="262"/>
      <c r="V178" s="262"/>
      <c r="W178" s="262"/>
      <c r="X178" s="262"/>
      <c r="Y178" s="262"/>
      <c r="Z178" s="262"/>
    </row>
    <row r="179" spans="1:26" ht="12.75" hidden="1" outlineLevel="1">
      <c r="A179" s="1473"/>
      <c r="B179" s="303"/>
      <c r="C179" s="1410"/>
      <c r="D179" s="1466" t="s">
        <v>16246</v>
      </c>
      <c r="E179" s="691">
        <v>1.3</v>
      </c>
      <c r="F179" s="1229">
        <v>0.8</v>
      </c>
      <c r="G179" s="691">
        <v>1.04</v>
      </c>
      <c r="H179" s="691">
        <v>2</v>
      </c>
      <c r="I179" s="1467">
        <f>E179*F179*H179</f>
        <v>2.08</v>
      </c>
      <c r="J179" s="512"/>
      <c r="K179" s="262"/>
      <c r="L179" s="262"/>
      <c r="M179" s="262"/>
      <c r="N179" s="262"/>
      <c r="O179" s="262"/>
      <c r="P179" s="262"/>
      <c r="Q179" s="262"/>
      <c r="R179" s="262"/>
      <c r="S179" s="262"/>
      <c r="T179" s="262"/>
      <c r="U179" s="262"/>
      <c r="V179" s="262"/>
      <c r="W179" s="262"/>
      <c r="X179" s="262"/>
      <c r="Y179" s="262"/>
      <c r="Z179" s="262"/>
    </row>
    <row r="180" spans="1:26" ht="12.75" hidden="1" outlineLevel="1">
      <c r="A180" s="1473"/>
      <c r="B180" s="303"/>
      <c r="C180" s="1410"/>
      <c r="D180" s="1459" t="s">
        <v>16247</v>
      </c>
      <c r="E180" s="1462">
        <v>1.8</v>
      </c>
      <c r="F180" s="1470">
        <v>0.8</v>
      </c>
      <c r="G180" s="1462">
        <v>1.44</v>
      </c>
      <c r="H180" s="1462">
        <v>2</v>
      </c>
      <c r="I180" s="1463">
        <f>E180*F180*H180</f>
        <v>2.8800000000000003</v>
      </c>
      <c r="J180" s="512"/>
      <c r="K180" s="262"/>
      <c r="L180" s="262"/>
      <c r="M180" s="262"/>
      <c r="N180" s="262"/>
      <c r="O180" s="262"/>
      <c r="P180" s="262"/>
      <c r="Q180" s="262"/>
      <c r="R180" s="262"/>
      <c r="S180" s="262"/>
      <c r="T180" s="262"/>
      <c r="U180" s="262"/>
      <c r="V180" s="262"/>
      <c r="W180" s="262"/>
      <c r="X180" s="262"/>
      <c r="Y180" s="262"/>
      <c r="Z180" s="262"/>
    </row>
    <row r="181" spans="1:26" hidden="1" outlineLevel="1">
      <c r="A181" s="247"/>
      <c r="B181" s="386"/>
      <c r="C181" s="386"/>
      <c r="D181" s="253"/>
      <c r="E181" s="1244"/>
      <c r="F181" s="389"/>
      <c r="G181" s="1244"/>
      <c r="H181" s="1244"/>
      <c r="I181" s="1409"/>
      <c r="J181" s="512"/>
      <c r="K181" s="261"/>
      <c r="L181" s="261"/>
      <c r="M181" s="261"/>
      <c r="N181" s="261"/>
      <c r="O181" s="261"/>
      <c r="P181" s="261"/>
      <c r="Q181" s="261"/>
      <c r="R181" s="261"/>
      <c r="S181" s="261"/>
      <c r="T181" s="261"/>
      <c r="U181" s="261"/>
      <c r="V181" s="261"/>
      <c r="W181" s="261"/>
      <c r="X181" s="261"/>
      <c r="Y181" s="261"/>
      <c r="Z181" s="261"/>
    </row>
    <row r="182" spans="1:26" ht="25.5" outlineLevel="1">
      <c r="A182" s="1385" t="s">
        <v>13565</v>
      </c>
      <c r="B182" s="295" t="s">
        <v>15014</v>
      </c>
      <c r="C182" s="295" t="s">
        <v>14472</v>
      </c>
      <c r="D182" s="658" t="str">
        <f>IFERROR(VLOOKUP($B182,'24.08_ND'!$A$4833:$D$12369,2,0),IFERROR(VLOOKUP($B182,'03-CP'!$C$5:$H$4646,2,0),""))</f>
        <v>JANELA BASCULANTE, EM ALUMINIO COR PRETA, VIDRO 4MM SEM GUARNIÇÃO - FORNECIMENTO E INSTALAÇÃO</v>
      </c>
      <c r="E182" s="1318" t="str">
        <f>IFERROR(VLOOKUP($B182,'24.08_ND'!$A:$D,3,0),IFERROR(VLOOKUP($B182,'03-CP'!$C$5:$H$4646,3,0),""))</f>
        <v>M2</v>
      </c>
      <c r="F182" s="1583">
        <f>SUM(I184)</f>
        <v>0.48</v>
      </c>
      <c r="G182" s="1387"/>
      <c r="H182" s="1387"/>
      <c r="I182" s="1388"/>
      <c r="J182" s="512"/>
      <c r="K182" s="262"/>
      <c r="L182" s="262"/>
      <c r="M182" s="262"/>
      <c r="N182" s="262"/>
      <c r="O182" s="262"/>
      <c r="P182" s="262"/>
      <c r="Q182" s="262"/>
      <c r="R182" s="262"/>
      <c r="S182" s="262"/>
      <c r="T182" s="262"/>
      <c r="U182" s="262"/>
      <c r="V182" s="262"/>
      <c r="W182" s="262"/>
      <c r="X182" s="262"/>
      <c r="Y182" s="262"/>
      <c r="Z182" s="262"/>
    </row>
    <row r="183" spans="1:26" ht="12.75" outlineLevel="1">
      <c r="A183" s="247"/>
      <c r="B183" s="386"/>
      <c r="C183" s="386"/>
      <c r="D183" s="1455" t="s">
        <v>16404</v>
      </c>
      <c r="E183" s="1240" t="s">
        <v>16252</v>
      </c>
      <c r="F183" s="1425" t="s">
        <v>16232</v>
      </c>
      <c r="G183" s="1391" t="s">
        <v>16233</v>
      </c>
      <c r="H183" s="1240" t="s">
        <v>16234</v>
      </c>
      <c r="I183" s="1426" t="s">
        <v>12615</v>
      </c>
      <c r="J183" s="512"/>
      <c r="K183" s="262"/>
      <c r="L183" s="262"/>
      <c r="M183" s="262"/>
      <c r="N183" s="262"/>
      <c r="O183" s="262"/>
      <c r="P183" s="262"/>
      <c r="Q183" s="262"/>
      <c r="R183" s="262"/>
      <c r="S183" s="262"/>
      <c r="T183" s="262"/>
      <c r="U183" s="262"/>
      <c r="V183" s="262"/>
      <c r="W183" s="262"/>
      <c r="X183" s="262"/>
      <c r="Y183" s="262"/>
      <c r="Z183" s="262"/>
    </row>
    <row r="184" spans="1:26" ht="12.75" outlineLevel="1">
      <c r="A184" s="247"/>
      <c r="B184" s="386"/>
      <c r="C184" s="386"/>
      <c r="D184" s="1422" t="s">
        <v>16460</v>
      </c>
      <c r="E184" s="1248">
        <v>0.8</v>
      </c>
      <c r="F184" s="1436">
        <v>0.6</v>
      </c>
      <c r="G184" s="1462">
        <f>E184*F184</f>
        <v>0.48</v>
      </c>
      <c r="H184" s="1462">
        <v>1</v>
      </c>
      <c r="I184" s="1463">
        <f>E184*F184*H184</f>
        <v>0.48</v>
      </c>
      <c r="J184" s="512"/>
      <c r="K184" s="262"/>
      <c r="L184" s="262"/>
      <c r="M184" s="262"/>
      <c r="N184" s="262"/>
      <c r="O184" s="262"/>
      <c r="P184" s="262"/>
      <c r="Q184" s="262"/>
      <c r="R184" s="262"/>
      <c r="S184" s="262"/>
      <c r="T184" s="262"/>
      <c r="U184" s="262"/>
      <c r="V184" s="262"/>
      <c r="W184" s="262"/>
      <c r="X184" s="262"/>
      <c r="Y184" s="262"/>
      <c r="Z184" s="262"/>
    </row>
    <row r="185" spans="1:26" ht="12.75" outlineLevel="1">
      <c r="A185" s="247"/>
      <c r="B185" s="386"/>
      <c r="C185" s="386"/>
      <c r="D185" s="253"/>
      <c r="E185" s="1244"/>
      <c r="F185" s="389"/>
      <c r="G185" s="1244"/>
      <c r="H185" s="1244"/>
      <c r="I185" s="1409"/>
      <c r="J185" s="512"/>
      <c r="K185" s="262"/>
      <c r="L185" s="262"/>
      <c r="M185" s="262"/>
      <c r="N185" s="262"/>
      <c r="O185" s="262"/>
      <c r="P185" s="262"/>
      <c r="Q185" s="262"/>
      <c r="R185" s="262"/>
      <c r="S185" s="262"/>
      <c r="T185" s="262"/>
      <c r="U185" s="262"/>
      <c r="V185" s="262"/>
      <c r="W185" s="262"/>
      <c r="X185" s="262"/>
      <c r="Y185" s="262"/>
      <c r="Z185" s="262"/>
    </row>
    <row r="186" spans="1:26" ht="12.75">
      <c r="A186" s="246" t="s">
        <v>13566</v>
      </c>
      <c r="B186" s="1378"/>
      <c r="C186" s="1378"/>
      <c r="D186" s="1379" t="s">
        <v>16284</v>
      </c>
      <c r="E186" s="1380"/>
      <c r="F186" s="1381"/>
      <c r="G186" s="1380"/>
      <c r="H186" s="1381"/>
      <c r="I186" s="1382"/>
      <c r="J186" s="512"/>
      <c r="K186" s="262"/>
      <c r="L186" s="262"/>
      <c r="M186" s="262"/>
      <c r="N186" s="262"/>
      <c r="O186" s="262"/>
      <c r="P186" s="262"/>
      <c r="Q186" s="262"/>
      <c r="R186" s="262"/>
      <c r="S186" s="262"/>
      <c r="T186" s="262"/>
      <c r="U186" s="262"/>
      <c r="V186" s="262"/>
      <c r="W186" s="262"/>
      <c r="X186" s="262"/>
      <c r="Y186" s="262"/>
      <c r="Z186" s="262"/>
    </row>
    <row r="187" spans="1:26" ht="25.5" outlineLevel="1">
      <c r="A187" s="1423" t="s">
        <v>13567</v>
      </c>
      <c r="B187" s="295">
        <v>96113</v>
      </c>
      <c r="C187" s="295" t="s">
        <v>14476</v>
      </c>
      <c r="D187" s="658" t="str">
        <f>IFERROR(VLOOKUP($B187,'24.08_ND'!$A$4833:$D$12369,2,0),IFERROR(VLOOKUP($B187,'03-CP'!$C$5:$H$4646,2,0),""))</f>
        <v>FORRO EM PLACAS DE GESSO, PARA AMBIENTES COMERCIAIS. AF_08/2023_PS</v>
      </c>
      <c r="E187" s="1318" t="str">
        <f>IFERROR(VLOOKUP($B187,'24.08_ND'!$A:$D,3,0),IFERROR(VLOOKUP($B187,'03-CP'!$C$5:$H$4646,3,0),""))</f>
        <v>M2</v>
      </c>
      <c r="F187" s="1583">
        <f>SUM(I189)</f>
        <v>20.100000000000001</v>
      </c>
      <c r="G187" s="1387"/>
      <c r="H187" s="1387"/>
      <c r="I187" s="1388"/>
      <c r="J187" s="512"/>
      <c r="K187" s="262"/>
      <c r="L187" s="262"/>
      <c r="M187" s="262"/>
      <c r="N187" s="262"/>
      <c r="O187" s="262"/>
      <c r="P187" s="262"/>
      <c r="Q187" s="262"/>
      <c r="R187" s="262"/>
      <c r="S187" s="262"/>
      <c r="T187" s="262"/>
      <c r="U187" s="262"/>
      <c r="V187" s="262"/>
      <c r="W187" s="262"/>
      <c r="X187" s="262"/>
      <c r="Y187" s="262"/>
      <c r="Z187" s="262"/>
    </row>
    <row r="188" spans="1:26" ht="12.75" hidden="1" outlineLevel="1">
      <c r="A188" s="450"/>
      <c r="B188" s="512"/>
      <c r="C188" s="512"/>
      <c r="D188" s="1390" t="s">
        <v>16404</v>
      </c>
      <c r="E188" s="1240" t="s">
        <v>16252</v>
      </c>
      <c r="F188" s="1425" t="s">
        <v>16232</v>
      </c>
      <c r="G188" s="1391" t="s">
        <v>16233</v>
      </c>
      <c r="H188" s="1240" t="s">
        <v>16234</v>
      </c>
      <c r="I188" s="1426" t="s">
        <v>12615</v>
      </c>
      <c r="J188" s="512"/>
      <c r="K188" s="262"/>
      <c r="L188" s="262"/>
      <c r="M188" s="262"/>
      <c r="N188" s="262"/>
      <c r="O188" s="262"/>
      <c r="P188" s="262"/>
      <c r="Q188" s="262"/>
      <c r="R188" s="262"/>
      <c r="S188" s="262"/>
      <c r="T188" s="262"/>
      <c r="U188" s="262"/>
      <c r="V188" s="262"/>
      <c r="W188" s="262"/>
      <c r="X188" s="262"/>
      <c r="Y188" s="262"/>
      <c r="Z188" s="262"/>
    </row>
    <row r="189" spans="1:26" ht="12.75" hidden="1" outlineLevel="1">
      <c r="A189" s="450"/>
      <c r="B189" s="386"/>
      <c r="C189" s="386"/>
      <c r="D189" s="1427" t="s">
        <v>16461</v>
      </c>
      <c r="E189" s="1395"/>
      <c r="F189" s="1396"/>
      <c r="G189" s="1248">
        <f>14.58+1.05+2.6+1.87</f>
        <v>20.100000000000001</v>
      </c>
      <c r="H189" s="1248"/>
      <c r="I189" s="1281">
        <f>G189</f>
        <v>20.100000000000001</v>
      </c>
      <c r="J189" s="512"/>
      <c r="K189" s="262"/>
      <c r="L189" s="262"/>
      <c r="M189" s="262"/>
      <c r="N189" s="262"/>
      <c r="O189" s="262"/>
      <c r="P189" s="262"/>
      <c r="Q189" s="262"/>
      <c r="R189" s="262"/>
      <c r="S189" s="262"/>
      <c r="T189" s="262"/>
      <c r="U189" s="262"/>
      <c r="V189" s="262"/>
      <c r="W189" s="262"/>
      <c r="X189" s="262"/>
      <c r="Y189" s="262"/>
      <c r="Z189" s="262"/>
    </row>
    <row r="190" spans="1:26" ht="12.75" hidden="1" outlineLevel="1">
      <c r="A190" s="450"/>
      <c r="B190" s="386"/>
      <c r="C190" s="386"/>
      <c r="D190" s="253"/>
      <c r="E190" s="1244"/>
      <c r="F190" s="389"/>
      <c r="G190" s="1244"/>
      <c r="H190" s="1244"/>
      <c r="I190" s="1409"/>
      <c r="J190" s="512"/>
      <c r="K190" s="262"/>
      <c r="L190" s="262"/>
      <c r="M190" s="262"/>
      <c r="N190" s="262"/>
      <c r="O190" s="262"/>
      <c r="P190" s="262"/>
      <c r="Q190" s="262"/>
      <c r="R190" s="262"/>
      <c r="S190" s="262"/>
      <c r="T190" s="262"/>
      <c r="U190" s="262"/>
      <c r="V190" s="262"/>
      <c r="W190" s="262"/>
      <c r="X190" s="262"/>
      <c r="Y190" s="262"/>
      <c r="Z190" s="262"/>
    </row>
    <row r="191" spans="1:26" ht="17.25" outlineLevel="1">
      <c r="A191" s="1423" t="s">
        <v>13568</v>
      </c>
      <c r="B191" s="295" t="s">
        <v>14792</v>
      </c>
      <c r="C191" s="295" t="s">
        <v>14472</v>
      </c>
      <c r="D191" s="658" t="str">
        <f>IFERROR(VLOOKUP($B191,'24.08_ND'!$A$4833:$D$12369,2,0),IFERROR(VLOOKUP($B191,'03-CP'!$C$5:$H$4646,2,0),""))</f>
        <v>BIT NEGATIVO EM GESSO ACARTONADO</v>
      </c>
      <c r="E191" s="1318" t="str">
        <f>IFERROR(VLOOKUP($B191,'24.08_ND'!$A:$D,3,0),IFERROR(VLOOKUP($B191,'03-CP'!$C$5:$H$4646,3,0),""))</f>
        <v>M</v>
      </c>
      <c r="F191" s="1583">
        <f>SUM(I193)</f>
        <v>29.59</v>
      </c>
      <c r="G191" s="1387"/>
      <c r="H191" s="1387"/>
      <c r="I191" s="1388"/>
      <c r="J191" s="512"/>
      <c r="K191" s="262"/>
      <c r="L191" s="262"/>
      <c r="M191" s="262"/>
      <c r="N191" s="262"/>
      <c r="O191" s="262"/>
      <c r="P191" s="262"/>
      <c r="Q191" s="262"/>
      <c r="R191" s="262"/>
      <c r="S191" s="262"/>
      <c r="T191" s="262"/>
      <c r="U191" s="262"/>
      <c r="V191" s="262"/>
      <c r="W191" s="262"/>
      <c r="X191" s="262"/>
      <c r="Y191" s="262"/>
      <c r="Z191" s="262"/>
    </row>
    <row r="192" spans="1:26" ht="12.75" hidden="1" outlineLevel="1">
      <c r="A192" s="247"/>
      <c r="B192" s="386"/>
      <c r="C192" s="386"/>
      <c r="D192" s="1390" t="s">
        <v>16404</v>
      </c>
      <c r="E192" s="1240" t="s">
        <v>16252</v>
      </c>
      <c r="F192" s="1425" t="s">
        <v>16232</v>
      </c>
      <c r="G192" s="1391" t="s">
        <v>16233</v>
      </c>
      <c r="H192" s="1240" t="s">
        <v>16234</v>
      </c>
      <c r="I192" s="1426" t="s">
        <v>12615</v>
      </c>
      <c r="J192" s="512"/>
      <c r="K192" s="262"/>
      <c r="L192" s="262"/>
      <c r="M192" s="262"/>
      <c r="N192" s="262"/>
      <c r="O192" s="262"/>
      <c r="P192" s="262"/>
      <c r="Q192" s="262"/>
      <c r="R192" s="262"/>
      <c r="S192" s="262"/>
      <c r="T192" s="262"/>
      <c r="U192" s="262"/>
      <c r="V192" s="262"/>
      <c r="W192" s="262"/>
      <c r="X192" s="262"/>
      <c r="Y192" s="262"/>
      <c r="Z192" s="262"/>
    </row>
    <row r="193" spans="1:26" ht="12.75" hidden="1" outlineLevel="1">
      <c r="A193" s="247"/>
      <c r="B193" s="386"/>
      <c r="C193" s="386"/>
      <c r="D193" s="1427" t="s">
        <v>16461</v>
      </c>
      <c r="E193" s="1395">
        <v>29.59</v>
      </c>
      <c r="F193" s="1396"/>
      <c r="G193" s="1248"/>
      <c r="H193" s="1248"/>
      <c r="I193" s="1281">
        <f>E193</f>
        <v>29.59</v>
      </c>
      <c r="J193" s="512"/>
      <c r="K193" s="262"/>
      <c r="L193" s="262"/>
      <c r="M193" s="262"/>
      <c r="N193" s="262"/>
      <c r="O193" s="262"/>
      <c r="P193" s="262"/>
      <c r="Q193" s="262"/>
      <c r="R193" s="262"/>
      <c r="S193" s="262"/>
      <c r="T193" s="262"/>
      <c r="U193" s="262"/>
      <c r="V193" s="262"/>
      <c r="W193" s="262"/>
      <c r="X193" s="262"/>
      <c r="Y193" s="262"/>
      <c r="Z193" s="262"/>
    </row>
    <row r="194" spans="1:26" ht="12.75" hidden="1" outlineLevel="1">
      <c r="A194" s="247"/>
      <c r="B194" s="386"/>
      <c r="C194" s="386"/>
      <c r="D194" s="253"/>
      <c r="E194" s="1244"/>
      <c r="F194" s="389"/>
      <c r="G194" s="1244"/>
      <c r="H194" s="1244"/>
      <c r="I194" s="1409"/>
      <c r="J194" s="512"/>
      <c r="K194" s="262"/>
      <c r="L194" s="262"/>
      <c r="M194" s="262"/>
      <c r="N194" s="262"/>
      <c r="O194" s="262"/>
      <c r="P194" s="262"/>
      <c r="Q194" s="262"/>
      <c r="R194" s="262"/>
      <c r="S194" s="262"/>
      <c r="T194" s="262"/>
      <c r="U194" s="262"/>
      <c r="V194" s="262"/>
      <c r="W194" s="262"/>
      <c r="X194" s="262"/>
      <c r="Y194" s="262"/>
      <c r="Z194" s="262"/>
    </row>
    <row r="195" spans="1:26" ht="25.5" outlineLevel="1">
      <c r="A195" s="1423" t="s">
        <v>13569</v>
      </c>
      <c r="B195" s="295" t="s">
        <v>14943</v>
      </c>
      <c r="C195" s="295" t="s">
        <v>14472</v>
      </c>
      <c r="D195" s="658" t="str">
        <f>IFERROR(VLOOKUP($B195,'24.08_ND'!$A$4833:$D$12369,2,0),IFERROR(VLOOKUP($B195,'03-CP'!$C$5:$H$4646,2,0),""))</f>
        <v>ALÇAPÃO PARA FORRO DE GESSO ACARTONADO (0,60X0,60 M), BORDA EM ALUMÍNIO</v>
      </c>
      <c r="E195" s="1318" t="str">
        <f>IFERROR(VLOOKUP($B195,'24.08_ND'!$A:$D,3,0),IFERROR(VLOOKUP($B195,'03-CP'!$C$5:$H$4646,3,0),""))</f>
        <v>UN</v>
      </c>
      <c r="F195" s="1583">
        <f>SUM(I197)</f>
        <v>1</v>
      </c>
      <c r="G195" s="1387"/>
      <c r="H195" s="1387"/>
      <c r="I195" s="1388"/>
      <c r="J195" s="512"/>
      <c r="K195" s="262"/>
      <c r="L195" s="262"/>
      <c r="M195" s="262"/>
      <c r="N195" s="262"/>
      <c r="O195" s="262"/>
      <c r="P195" s="262"/>
      <c r="Q195" s="262"/>
      <c r="R195" s="262"/>
      <c r="S195" s="262"/>
      <c r="T195" s="262"/>
      <c r="U195" s="262"/>
      <c r="V195" s="262"/>
      <c r="W195" s="262"/>
      <c r="X195" s="262"/>
      <c r="Y195" s="262"/>
      <c r="Z195" s="262"/>
    </row>
    <row r="196" spans="1:26" ht="12.75" hidden="1" outlineLevel="1">
      <c r="A196" s="247"/>
      <c r="B196" s="386"/>
      <c r="C196" s="386"/>
      <c r="D196" s="1390" t="s">
        <v>16404</v>
      </c>
      <c r="E196" s="1240" t="s">
        <v>16252</v>
      </c>
      <c r="F196" s="1425" t="s">
        <v>16232</v>
      </c>
      <c r="G196" s="1391" t="s">
        <v>16233</v>
      </c>
      <c r="H196" s="1240" t="s">
        <v>16234</v>
      </c>
      <c r="I196" s="1426" t="s">
        <v>12615</v>
      </c>
      <c r="J196" s="512"/>
      <c r="K196" s="262"/>
      <c r="L196" s="262"/>
      <c r="M196" s="262"/>
      <c r="N196" s="262"/>
      <c r="O196" s="262"/>
      <c r="P196" s="262"/>
      <c r="Q196" s="262"/>
      <c r="R196" s="262"/>
      <c r="S196" s="262"/>
      <c r="T196" s="262"/>
      <c r="U196" s="262"/>
      <c r="V196" s="262"/>
      <c r="W196" s="262"/>
      <c r="X196" s="262"/>
      <c r="Y196" s="262"/>
      <c r="Z196" s="262"/>
    </row>
    <row r="197" spans="1:26" ht="12.75" hidden="1" outlineLevel="1">
      <c r="A197" s="247"/>
      <c r="B197" s="386"/>
      <c r="C197" s="386"/>
      <c r="D197" s="1427" t="s">
        <v>16445</v>
      </c>
      <c r="E197" s="1395">
        <v>0.6</v>
      </c>
      <c r="F197" s="1396">
        <v>0.6</v>
      </c>
      <c r="G197" s="1395">
        <f>E197*F197</f>
        <v>0.36</v>
      </c>
      <c r="H197" s="1396">
        <v>1</v>
      </c>
      <c r="I197" s="1397">
        <f>H197</f>
        <v>1</v>
      </c>
      <c r="J197" s="512"/>
      <c r="K197" s="262"/>
      <c r="L197" s="262"/>
      <c r="M197" s="262"/>
      <c r="N197" s="262"/>
      <c r="O197" s="262"/>
      <c r="P197" s="262"/>
      <c r="Q197" s="262"/>
      <c r="R197" s="262"/>
      <c r="S197" s="262"/>
      <c r="T197" s="262"/>
      <c r="U197" s="262"/>
      <c r="V197" s="262"/>
      <c r="W197" s="262"/>
      <c r="X197" s="262"/>
      <c r="Y197" s="262"/>
      <c r="Z197" s="262"/>
    </row>
    <row r="198" spans="1:26" ht="38.25" outlineLevel="1">
      <c r="A198" s="1423" t="s">
        <v>13570</v>
      </c>
      <c r="B198" s="295" t="s">
        <v>14885</v>
      </c>
      <c r="C198" s="295" t="s">
        <v>14472</v>
      </c>
      <c r="D198" s="658" t="str">
        <f>IFERROR(VLOOKUP($B198,'24.08_ND'!$A$4833:$D$12369,2,0),IFERROR(VLOOKUP($B198,'03-CP'!$C$5:$H$4646,2,0),""))</f>
        <v>TELHAMENTO COM TELHA METÁLICA TERMOACÚSTICA E = 30 MM, COM ATÉ 2 ÁGUAS, CHAPA/CHAPA, PRÉ-PINTADA NAS DUAS FACES- INCLUSO IÇAMENTO.</v>
      </c>
      <c r="E198" s="1318" t="str">
        <f>IFERROR(VLOOKUP($B198,'24.08_ND'!$A:$D,3,0),IFERROR(VLOOKUP($B198,'03-CP'!$C$5:$H$4646,3,0),""))</f>
        <v>M2</v>
      </c>
      <c r="F198" s="1583">
        <f>SUM(I200)</f>
        <v>22.49</v>
      </c>
      <c r="G198" s="1387"/>
      <c r="H198" s="1387"/>
      <c r="I198" s="1388"/>
      <c r="J198" s="512"/>
      <c r="K198" s="262"/>
      <c r="L198" s="262"/>
      <c r="M198" s="262"/>
      <c r="N198" s="262"/>
      <c r="O198" s="262"/>
      <c r="P198" s="262"/>
      <c r="Q198" s="262"/>
      <c r="R198" s="262"/>
      <c r="S198" s="262"/>
      <c r="T198" s="262"/>
      <c r="U198" s="262"/>
      <c r="V198" s="262"/>
      <c r="W198" s="262"/>
      <c r="X198" s="262"/>
      <c r="Y198" s="262"/>
      <c r="Z198" s="262"/>
    </row>
    <row r="199" spans="1:26" ht="12.75" hidden="1" outlineLevel="1">
      <c r="A199" s="247"/>
      <c r="B199" s="386"/>
      <c r="C199" s="386"/>
      <c r="D199" s="1390" t="s">
        <v>16404</v>
      </c>
      <c r="E199" s="1240" t="s">
        <v>16252</v>
      </c>
      <c r="F199" s="1425" t="s">
        <v>16232</v>
      </c>
      <c r="G199" s="1391" t="s">
        <v>16233</v>
      </c>
      <c r="H199" s="1240" t="s">
        <v>16234</v>
      </c>
      <c r="I199" s="1426" t="s">
        <v>12615</v>
      </c>
      <c r="J199" s="512"/>
      <c r="K199" s="262"/>
      <c r="L199" s="262"/>
      <c r="M199" s="262"/>
      <c r="N199" s="262"/>
      <c r="O199" s="262"/>
      <c r="P199" s="262"/>
      <c r="Q199" s="262"/>
      <c r="R199" s="262"/>
      <c r="S199" s="262"/>
      <c r="T199" s="262"/>
      <c r="U199" s="262"/>
      <c r="V199" s="262"/>
      <c r="W199" s="262"/>
      <c r="X199" s="262"/>
      <c r="Y199" s="262"/>
      <c r="Z199" s="262"/>
    </row>
    <row r="200" spans="1:26" ht="12.75" hidden="1" outlineLevel="1">
      <c r="A200" s="247"/>
      <c r="B200" s="386"/>
      <c r="C200" s="386"/>
      <c r="D200" s="1427" t="s">
        <v>16462</v>
      </c>
      <c r="E200" s="1395"/>
      <c r="F200" s="1396"/>
      <c r="G200" s="1395">
        <v>22.49</v>
      </c>
      <c r="H200" s="1396"/>
      <c r="I200" s="1397">
        <f>G200</f>
        <v>22.49</v>
      </c>
      <c r="J200" s="512"/>
      <c r="K200" s="262"/>
      <c r="L200" s="262"/>
      <c r="M200" s="262"/>
      <c r="N200" s="262"/>
      <c r="O200" s="262"/>
      <c r="P200" s="262"/>
      <c r="Q200" s="262"/>
      <c r="R200" s="262"/>
      <c r="S200" s="262"/>
      <c r="T200" s="262"/>
      <c r="U200" s="262"/>
      <c r="V200" s="262"/>
      <c r="W200" s="262"/>
      <c r="X200" s="262"/>
      <c r="Y200" s="262"/>
      <c r="Z200" s="262"/>
    </row>
    <row r="201" spans="1:26" ht="25.5" outlineLevel="1">
      <c r="A201" s="1423" t="s">
        <v>13571</v>
      </c>
      <c r="B201" s="295" t="s">
        <v>14956</v>
      </c>
      <c r="C201" s="295" t="s">
        <v>14472</v>
      </c>
      <c r="D201" s="658" t="str">
        <f>IFERROR(VLOOKUP($B201,'24.08_ND'!$A$4833:$D$12369,2,0),IFERROR(VLOOKUP($B201,'03-CP'!$C$5:$H$4646,2,0),""))</f>
        <v>RUFO/ CHAPIM EM CHAPA DE AÇO GALVANIZADO NÚMERO 24, INCLUSO TRANSPORTE VERTICAL - FORNECIMENTO E INSTALAÇÃO</v>
      </c>
      <c r="E201" s="1318" t="str">
        <f>IFERROR(VLOOKUP($B201,'24.08_ND'!$A:$D,3,0),IFERROR(VLOOKUP($B201,'03-CP'!$C$5:$H$4646,3,0),""))</f>
        <v>M2</v>
      </c>
      <c r="F201" s="1583">
        <f>SUM(I203:I205)</f>
        <v>17.888500000000001</v>
      </c>
      <c r="G201" s="1387"/>
      <c r="H201" s="1387"/>
      <c r="I201" s="1388"/>
      <c r="J201" s="512"/>
      <c r="K201" s="262"/>
      <c r="L201" s="262"/>
      <c r="M201" s="262"/>
      <c r="N201" s="262"/>
      <c r="O201" s="262"/>
      <c r="P201" s="262"/>
      <c r="Q201" s="262"/>
      <c r="R201" s="262"/>
      <c r="S201" s="262"/>
      <c r="T201" s="262"/>
      <c r="U201" s="262"/>
      <c r="V201" s="262"/>
      <c r="W201" s="262"/>
      <c r="X201" s="262"/>
      <c r="Y201" s="262"/>
      <c r="Z201" s="262"/>
    </row>
    <row r="202" spans="1:26" ht="12.75" hidden="1" outlineLevel="1">
      <c r="A202" s="247"/>
      <c r="B202" s="386"/>
      <c r="C202" s="386"/>
      <c r="D202" s="1390" t="s">
        <v>16404</v>
      </c>
      <c r="E202" s="1240" t="s">
        <v>16252</v>
      </c>
      <c r="F202" s="1425" t="s">
        <v>16232</v>
      </c>
      <c r="G202" s="1391" t="s">
        <v>16233</v>
      </c>
      <c r="H202" s="1240" t="s">
        <v>16234</v>
      </c>
      <c r="I202" s="1426" t="s">
        <v>12615</v>
      </c>
      <c r="J202" s="512"/>
      <c r="K202" s="262"/>
      <c r="L202" s="262"/>
      <c r="M202" s="262"/>
      <c r="N202" s="262"/>
      <c r="O202" s="262"/>
      <c r="P202" s="262"/>
      <c r="Q202" s="262"/>
      <c r="R202" s="262"/>
      <c r="S202" s="262"/>
      <c r="T202" s="262"/>
      <c r="U202" s="262"/>
      <c r="V202" s="262"/>
      <c r="W202" s="262"/>
      <c r="X202" s="262"/>
      <c r="Y202" s="262"/>
      <c r="Z202" s="262"/>
    </row>
    <row r="203" spans="1:26" ht="12.75" hidden="1" outlineLevel="1">
      <c r="A203" s="247"/>
      <c r="B203" s="386"/>
      <c r="C203" s="386"/>
      <c r="D203" s="1419" t="s">
        <v>16463</v>
      </c>
      <c r="E203" s="1420">
        <v>6.93</v>
      </c>
      <c r="F203" s="1421">
        <v>1.2</v>
      </c>
      <c r="G203" s="1420">
        <f>E203*F203</f>
        <v>8.3159999999999989</v>
      </c>
      <c r="H203" s="1421">
        <v>1</v>
      </c>
      <c r="I203" s="1429">
        <f>G203</f>
        <v>8.3159999999999989</v>
      </c>
      <c r="J203" s="512"/>
      <c r="K203" s="262"/>
      <c r="L203" s="262"/>
      <c r="M203" s="262"/>
      <c r="N203" s="262"/>
      <c r="O203" s="262"/>
      <c r="P203" s="262"/>
      <c r="Q203" s="262"/>
      <c r="R203" s="262"/>
      <c r="S203" s="262"/>
      <c r="T203" s="262"/>
      <c r="U203" s="262"/>
      <c r="V203" s="262"/>
      <c r="W203" s="262"/>
      <c r="X203" s="262"/>
      <c r="Y203" s="262"/>
      <c r="Z203" s="262"/>
    </row>
    <row r="204" spans="1:26" ht="12.75" hidden="1" outlineLevel="1">
      <c r="A204" s="247"/>
      <c r="B204" s="386"/>
      <c r="C204" s="386"/>
      <c r="D204" s="1419" t="s">
        <v>16464</v>
      </c>
      <c r="E204" s="1420">
        <v>6.93</v>
      </c>
      <c r="F204" s="1421">
        <v>0.65</v>
      </c>
      <c r="G204" s="1420">
        <f>E204*F204</f>
        <v>4.5045000000000002</v>
      </c>
      <c r="H204" s="1421">
        <v>1</v>
      </c>
      <c r="I204" s="1429">
        <f>G204</f>
        <v>4.5045000000000002</v>
      </c>
      <c r="J204" s="512"/>
      <c r="K204" s="262"/>
      <c r="L204" s="262"/>
      <c r="M204" s="262"/>
      <c r="N204" s="262"/>
      <c r="O204" s="262"/>
      <c r="P204" s="262"/>
      <c r="Q204" s="262"/>
      <c r="R204" s="262"/>
      <c r="S204" s="262"/>
      <c r="T204" s="262"/>
      <c r="U204" s="262"/>
      <c r="V204" s="262"/>
      <c r="W204" s="262"/>
      <c r="X204" s="262"/>
      <c r="Y204" s="262"/>
      <c r="Z204" s="262"/>
    </row>
    <row r="205" spans="1:26" ht="12.75" hidden="1" outlineLevel="1">
      <c r="A205" s="247"/>
      <c r="B205" s="386"/>
      <c r="C205" s="386"/>
      <c r="D205" s="1427" t="s">
        <v>16465</v>
      </c>
      <c r="E205" s="1395">
        <v>3.62</v>
      </c>
      <c r="F205" s="1396">
        <v>0.7</v>
      </c>
      <c r="G205" s="1395">
        <f>E205*F205</f>
        <v>2.5339999999999998</v>
      </c>
      <c r="H205" s="1396">
        <v>2</v>
      </c>
      <c r="I205" s="1397">
        <f>G205*H205</f>
        <v>5.0679999999999996</v>
      </c>
      <c r="J205" s="512"/>
      <c r="K205" s="262"/>
      <c r="L205" s="262"/>
      <c r="M205" s="262"/>
      <c r="N205" s="262"/>
      <c r="O205" s="262"/>
      <c r="P205" s="262"/>
      <c r="Q205" s="262"/>
      <c r="R205" s="262"/>
      <c r="S205" s="262"/>
      <c r="T205" s="262"/>
      <c r="U205" s="262"/>
      <c r="V205" s="262"/>
      <c r="W205" s="262"/>
      <c r="X205" s="262"/>
      <c r="Y205" s="262"/>
      <c r="Z205" s="262"/>
    </row>
    <row r="206" spans="1:26" ht="12.75" hidden="1" outlineLevel="1">
      <c r="A206" s="247"/>
      <c r="B206" s="386"/>
      <c r="C206" s="386"/>
      <c r="D206" s="253"/>
      <c r="E206" s="1244"/>
      <c r="F206" s="389"/>
      <c r="G206" s="1244"/>
      <c r="H206" s="1244"/>
      <c r="I206" s="1409"/>
      <c r="J206" s="512"/>
      <c r="K206" s="262"/>
      <c r="L206" s="262"/>
      <c r="M206" s="262"/>
      <c r="N206" s="262"/>
      <c r="O206" s="262"/>
      <c r="P206" s="262"/>
      <c r="Q206" s="262"/>
      <c r="R206" s="262"/>
      <c r="S206" s="262"/>
      <c r="T206" s="262"/>
      <c r="U206" s="262"/>
      <c r="V206" s="262"/>
      <c r="W206" s="262"/>
      <c r="X206" s="262"/>
      <c r="Y206" s="262"/>
      <c r="Z206" s="262"/>
    </row>
    <row r="207" spans="1:26" ht="12.75">
      <c r="A207" s="246" t="s">
        <v>13572</v>
      </c>
      <c r="B207" s="1378"/>
      <c r="C207" s="1378"/>
      <c r="D207" s="1379" t="s">
        <v>16290</v>
      </c>
      <c r="E207" s="1380"/>
      <c r="F207" s="1381"/>
      <c r="G207" s="1380"/>
      <c r="H207" s="1381"/>
      <c r="I207" s="1382"/>
      <c r="J207" s="512"/>
      <c r="K207" s="262"/>
      <c r="L207" s="262"/>
      <c r="M207" s="262"/>
      <c r="N207" s="262"/>
      <c r="O207" s="262"/>
      <c r="P207" s="262"/>
      <c r="Q207" s="262"/>
      <c r="R207" s="262"/>
      <c r="S207" s="262"/>
      <c r="T207" s="262"/>
      <c r="U207" s="262"/>
      <c r="V207" s="262"/>
      <c r="W207" s="262"/>
      <c r="X207" s="262"/>
      <c r="Y207" s="262"/>
      <c r="Z207" s="262"/>
    </row>
    <row r="208" spans="1:26" ht="25.5" outlineLevel="1">
      <c r="A208" s="1423" t="s">
        <v>13573</v>
      </c>
      <c r="B208" s="295" t="s">
        <v>14997</v>
      </c>
      <c r="C208" s="295" t="s">
        <v>14472</v>
      </c>
      <c r="D208" s="658" t="str">
        <f>IFERROR(VLOOKUP($B208,'24.08_ND'!$A$4833:$D$12369,2,0),IFERROR(VLOOKUP($B208,'03-CP'!$C$5:$H$4646,2,0),""))</f>
        <v>BALCÃO EM QUARTZO, ACAB.: PETRO SÃO GABRIEL, POLIDO, E=2CM, FIXADA/APOIADA EM GRAPAS METÁLICAS E ALVENARIA</v>
      </c>
      <c r="E208" s="1318" t="str">
        <f>IFERROR(VLOOKUP($B208,'24.08_ND'!$A:$D,3,0),IFERROR(VLOOKUP($B208,'03-CP'!$C$5:$H$4646,3,0),""))</f>
        <v>M2</v>
      </c>
      <c r="F208" s="1583">
        <f>SUM(I210:I211)</f>
        <v>21.62</v>
      </c>
      <c r="G208" s="1387"/>
      <c r="H208" s="1387"/>
      <c r="I208" s="1388"/>
      <c r="J208" s="512"/>
      <c r="K208" s="262"/>
      <c r="L208" s="262"/>
      <c r="M208" s="262"/>
      <c r="N208" s="262"/>
      <c r="O208" s="262"/>
      <c r="P208" s="262"/>
      <c r="Q208" s="262"/>
      <c r="R208" s="262"/>
      <c r="S208" s="262"/>
      <c r="T208" s="262"/>
      <c r="U208" s="262"/>
      <c r="V208" s="262"/>
      <c r="W208" s="262"/>
      <c r="X208" s="262"/>
      <c r="Y208" s="262"/>
      <c r="Z208" s="262"/>
    </row>
    <row r="209" spans="1:26" ht="12.75" hidden="1" outlineLevel="1">
      <c r="A209" s="450"/>
      <c r="B209" s="512"/>
      <c r="C209" s="512"/>
      <c r="D209" s="1390" t="s">
        <v>16404</v>
      </c>
      <c r="E209" s="1240" t="s">
        <v>16252</v>
      </c>
      <c r="F209" s="1425" t="s">
        <v>16232</v>
      </c>
      <c r="G209" s="1391" t="s">
        <v>16233</v>
      </c>
      <c r="H209" s="1240" t="s">
        <v>16234</v>
      </c>
      <c r="I209" s="1426" t="s">
        <v>12615</v>
      </c>
      <c r="J209" s="512"/>
      <c r="K209" s="262"/>
      <c r="L209" s="262"/>
      <c r="M209" s="262"/>
      <c r="N209" s="262"/>
      <c r="O209" s="262"/>
      <c r="P209" s="262"/>
      <c r="Q209" s="262"/>
      <c r="R209" s="262"/>
      <c r="S209" s="262"/>
      <c r="T209" s="262"/>
      <c r="U209" s="262"/>
      <c r="V209" s="262"/>
      <c r="W209" s="262"/>
      <c r="X209" s="262"/>
      <c r="Y209" s="262"/>
      <c r="Z209" s="262"/>
    </row>
    <row r="210" spans="1:26" ht="12.75" hidden="1" outlineLevel="1">
      <c r="A210" s="450"/>
      <c r="B210" s="386"/>
      <c r="C210" s="386"/>
      <c r="D210" s="1418" t="s">
        <v>16466</v>
      </c>
      <c r="E210" s="1244"/>
      <c r="F210" s="389"/>
      <c r="G210" s="1244">
        <v>16.78</v>
      </c>
      <c r="H210" s="1244">
        <v>1</v>
      </c>
      <c r="I210" s="1409">
        <f>G210*H210</f>
        <v>16.78</v>
      </c>
      <c r="J210" s="512"/>
      <c r="K210" s="262"/>
      <c r="L210" s="262"/>
      <c r="M210" s="262"/>
      <c r="N210" s="262"/>
      <c r="O210" s="262"/>
      <c r="P210" s="262"/>
      <c r="Q210" s="262"/>
      <c r="R210" s="262"/>
      <c r="S210" s="262"/>
      <c r="T210" s="262"/>
      <c r="U210" s="262"/>
      <c r="V210" s="262"/>
      <c r="W210" s="262"/>
      <c r="X210" s="262"/>
      <c r="Y210" s="262"/>
      <c r="Z210" s="262"/>
    </row>
    <row r="211" spans="1:26" ht="12.75" hidden="1" outlineLevel="1">
      <c r="A211" s="450"/>
      <c r="B211" s="386"/>
      <c r="C211" s="386"/>
      <c r="D211" s="1427" t="s">
        <v>16467</v>
      </c>
      <c r="E211" s="1395"/>
      <c r="F211" s="1396"/>
      <c r="G211" s="1248">
        <v>4.84</v>
      </c>
      <c r="H211" s="1248"/>
      <c r="I211" s="1281">
        <f>G211</f>
        <v>4.84</v>
      </c>
      <c r="J211" s="512"/>
      <c r="K211" s="262"/>
      <c r="L211" s="262"/>
      <c r="M211" s="262"/>
      <c r="N211" s="262"/>
      <c r="O211" s="262"/>
      <c r="P211" s="262"/>
      <c r="Q211" s="262"/>
      <c r="R211" s="262"/>
      <c r="S211" s="262"/>
      <c r="T211" s="262"/>
      <c r="U211" s="262"/>
      <c r="V211" s="262"/>
      <c r="W211" s="262"/>
      <c r="X211" s="262"/>
      <c r="Y211" s="262"/>
      <c r="Z211" s="262"/>
    </row>
    <row r="212" spans="1:26" ht="12.75" hidden="1" outlineLevel="1">
      <c r="A212" s="247"/>
      <c r="B212" s="386"/>
      <c r="C212" s="386"/>
      <c r="D212" s="253"/>
      <c r="E212" s="1244"/>
      <c r="F212" s="389"/>
      <c r="G212" s="1244"/>
      <c r="H212" s="1244"/>
      <c r="I212" s="1409"/>
      <c r="J212" s="512"/>
      <c r="K212" s="262"/>
      <c r="L212" s="262"/>
      <c r="M212" s="262"/>
      <c r="N212" s="262"/>
      <c r="O212" s="262"/>
      <c r="P212" s="262"/>
      <c r="Q212" s="262"/>
      <c r="R212" s="262"/>
      <c r="S212" s="262"/>
      <c r="T212" s="262"/>
      <c r="U212" s="262"/>
      <c r="V212" s="262"/>
      <c r="W212" s="262"/>
      <c r="X212" s="262"/>
      <c r="Y212" s="262"/>
      <c r="Z212" s="262"/>
    </row>
    <row r="213" spans="1:26" ht="25.5" outlineLevel="1">
      <c r="A213" s="1423" t="s">
        <v>13574</v>
      </c>
      <c r="B213" s="295" t="s">
        <v>14999</v>
      </c>
      <c r="C213" s="295" t="s">
        <v>14472</v>
      </c>
      <c r="D213" s="658" t="str">
        <f>IFERROR(VLOOKUP($B213,'24.08_ND'!$A$4833:$D$12369,2,0),IFERROR(VLOOKUP($B213,'03-CP'!$C$5:$H$4646,2,0),""))</f>
        <v>PEITORIL LINEAR EM PRETO SÃO GABRIEL, POLIDO, LARGURA ATÉ 25 CM, ASSENTADO COM ARGAMASSA COLANTE ACIII</v>
      </c>
      <c r="E213" s="1318" t="str">
        <f>IFERROR(VLOOKUP($B213,'24.08_ND'!$A:$D,3,0),IFERROR(VLOOKUP($B213,'03-CP'!$C$5:$H$4646,3,0),""))</f>
        <v>M</v>
      </c>
      <c r="F213" s="1583">
        <f>SUM(I215)</f>
        <v>0.6</v>
      </c>
      <c r="G213" s="1387"/>
      <c r="H213" s="1387"/>
      <c r="I213" s="1388"/>
      <c r="J213" s="512"/>
      <c r="K213" s="262"/>
      <c r="L213" s="262"/>
      <c r="M213" s="262"/>
      <c r="N213" s="262"/>
      <c r="O213" s="262"/>
      <c r="P213" s="262"/>
      <c r="Q213" s="262"/>
      <c r="R213" s="262"/>
      <c r="S213" s="262"/>
      <c r="T213" s="262"/>
      <c r="U213" s="262"/>
      <c r="V213" s="262"/>
      <c r="W213" s="262"/>
      <c r="X213" s="262"/>
      <c r="Y213" s="262"/>
      <c r="Z213" s="262"/>
    </row>
    <row r="214" spans="1:26" ht="12.75" hidden="1" outlineLevel="1">
      <c r="A214" s="1401"/>
      <c r="B214" s="512"/>
      <c r="C214" s="512"/>
      <c r="D214" s="1390" t="s">
        <v>16404</v>
      </c>
      <c r="E214" s="1240" t="s">
        <v>16252</v>
      </c>
      <c r="F214" s="1425" t="s">
        <v>16232</v>
      </c>
      <c r="G214" s="1391" t="s">
        <v>16233</v>
      </c>
      <c r="H214" s="1240" t="s">
        <v>16234</v>
      </c>
      <c r="I214" s="1426" t="s">
        <v>12615</v>
      </c>
      <c r="J214" s="512"/>
      <c r="K214" s="262"/>
      <c r="L214" s="262"/>
      <c r="M214" s="262"/>
      <c r="N214" s="262"/>
      <c r="O214" s="262"/>
      <c r="P214" s="262"/>
      <c r="Q214" s="262"/>
      <c r="R214" s="262"/>
      <c r="S214" s="262"/>
      <c r="T214" s="262"/>
      <c r="U214" s="262"/>
      <c r="V214" s="262"/>
      <c r="W214" s="262"/>
      <c r="X214" s="262"/>
      <c r="Y214" s="262"/>
      <c r="Z214" s="262"/>
    </row>
    <row r="215" spans="1:26" ht="12.75" hidden="1" outlineLevel="1">
      <c r="A215" s="247"/>
      <c r="B215" s="386"/>
      <c r="C215" s="386"/>
      <c r="D215" s="1422" t="s">
        <v>16240</v>
      </c>
      <c r="E215" s="1248">
        <v>0.6</v>
      </c>
      <c r="F215" s="1436">
        <v>0.22</v>
      </c>
      <c r="G215" s="1248">
        <v>0.13200000000000001</v>
      </c>
      <c r="H215" s="1248">
        <v>1</v>
      </c>
      <c r="I215" s="1281">
        <f>E215</f>
        <v>0.6</v>
      </c>
      <c r="J215" s="512"/>
      <c r="K215" s="262"/>
      <c r="L215" s="262"/>
      <c r="M215" s="262"/>
      <c r="N215" s="262"/>
      <c r="O215" s="262"/>
      <c r="P215" s="262"/>
      <c r="Q215" s="262"/>
      <c r="R215" s="262"/>
      <c r="S215" s="262"/>
      <c r="T215" s="262"/>
      <c r="U215" s="262"/>
      <c r="V215" s="262"/>
      <c r="W215" s="262"/>
      <c r="X215" s="262"/>
      <c r="Y215" s="262"/>
      <c r="Z215" s="262"/>
    </row>
    <row r="216" spans="1:26" ht="12.75" hidden="1" outlineLevel="1">
      <c r="A216" s="247"/>
      <c r="B216" s="386"/>
      <c r="C216" s="386"/>
      <c r="D216" s="253"/>
      <c r="E216" s="1244"/>
      <c r="F216" s="389"/>
      <c r="G216" s="1244"/>
      <c r="H216" s="1244"/>
      <c r="I216" s="1409"/>
      <c r="J216" s="512"/>
      <c r="K216" s="262"/>
      <c r="L216" s="262"/>
      <c r="M216" s="262"/>
      <c r="N216" s="262"/>
      <c r="O216" s="262"/>
      <c r="P216" s="262"/>
      <c r="Q216" s="262"/>
      <c r="R216" s="262"/>
      <c r="S216" s="262"/>
      <c r="T216" s="262"/>
      <c r="U216" s="262"/>
      <c r="V216" s="262"/>
      <c r="W216" s="262"/>
      <c r="X216" s="262"/>
      <c r="Y216" s="262"/>
      <c r="Z216" s="262"/>
    </row>
    <row r="217" spans="1:26" ht="25.5" outlineLevel="1">
      <c r="A217" s="1423" t="s">
        <v>13575</v>
      </c>
      <c r="B217" s="295" t="s">
        <v>15001</v>
      </c>
      <c r="C217" s="295" t="s">
        <v>14472</v>
      </c>
      <c r="D217" s="296" t="str">
        <f>IFERROR(VLOOKUP($B217,'24.08_ND'!$A$4833:$D$12369,2,0),IFERROR(VLOOKUP($B217,'03-CP'!$C$5:$H$4646,2,0),""))</f>
        <v>SOLEIRA LINEAR EM PRETO ABSOLUTO, L= 20 CM, ASSENTADO COM ARGAMASSA COLANTE ACIII</v>
      </c>
      <c r="E217" s="1387" t="str">
        <f>IFERROR(VLOOKUP($B217,'24.08_ND'!$A:$D,3,0),IFERROR(VLOOKUP($B217,'03-CP'!$C$5:$H$4646,3,0),""))</f>
        <v>M</v>
      </c>
      <c r="F217" s="1583">
        <f>SUM(I219:I220)</f>
        <v>1.5</v>
      </c>
      <c r="G217" s="1387"/>
      <c r="H217" s="1387"/>
      <c r="I217" s="1388"/>
      <c r="J217" s="512"/>
      <c r="K217" s="262"/>
      <c r="L217" s="262"/>
      <c r="M217" s="262"/>
      <c r="N217" s="262"/>
      <c r="O217" s="262"/>
      <c r="P217" s="262"/>
      <c r="Q217" s="262"/>
      <c r="R217" s="262"/>
      <c r="S217" s="262"/>
      <c r="T217" s="262"/>
      <c r="U217" s="262"/>
      <c r="V217" s="262"/>
      <c r="W217" s="262"/>
      <c r="X217" s="262"/>
      <c r="Y217" s="262"/>
      <c r="Z217" s="262"/>
    </row>
    <row r="218" spans="1:26" ht="12.75" hidden="1" outlineLevel="1">
      <c r="A218" s="1401"/>
      <c r="B218" s="512"/>
      <c r="C218" s="512"/>
      <c r="D218" s="1390" t="s">
        <v>16404</v>
      </c>
      <c r="E218" s="1240" t="s">
        <v>16252</v>
      </c>
      <c r="F218" s="1425" t="s">
        <v>16232</v>
      </c>
      <c r="G218" s="1572" t="s">
        <v>16233</v>
      </c>
      <c r="H218" s="1240" t="s">
        <v>16234</v>
      </c>
      <c r="I218" s="1426" t="s">
        <v>12615</v>
      </c>
      <c r="J218" s="512"/>
      <c r="K218" s="262"/>
      <c r="L218" s="262"/>
      <c r="M218" s="262"/>
      <c r="N218" s="262"/>
      <c r="O218" s="262"/>
      <c r="P218" s="262"/>
      <c r="Q218" s="262"/>
      <c r="R218" s="262"/>
      <c r="S218" s="262"/>
      <c r="T218" s="262"/>
      <c r="U218" s="262"/>
      <c r="V218" s="262"/>
      <c r="W218" s="262"/>
      <c r="X218" s="262"/>
      <c r="Y218" s="262"/>
      <c r="Z218" s="262"/>
    </row>
    <row r="219" spans="1:26" ht="12.75" hidden="1" outlineLevel="1">
      <c r="A219" s="1401"/>
      <c r="B219" s="512"/>
      <c r="C219" s="512"/>
      <c r="D219" s="1639" t="s">
        <v>16244</v>
      </c>
      <c r="E219" s="1640">
        <v>0.7</v>
      </c>
      <c r="F219" s="1641">
        <v>0.2</v>
      </c>
      <c r="G219" s="1640">
        <v>0.14000000000000001</v>
      </c>
      <c r="H219" s="1641">
        <v>2</v>
      </c>
      <c r="I219" s="1642">
        <f>E219</f>
        <v>0.7</v>
      </c>
      <c r="J219" s="512"/>
      <c r="K219" s="262"/>
      <c r="L219" s="262"/>
      <c r="M219" s="262"/>
      <c r="N219" s="262"/>
      <c r="O219" s="262"/>
      <c r="P219" s="262"/>
      <c r="Q219" s="262"/>
      <c r="R219" s="262"/>
      <c r="S219" s="262"/>
      <c r="T219" s="262"/>
      <c r="U219" s="262"/>
      <c r="V219" s="262"/>
      <c r="W219" s="262"/>
      <c r="X219" s="262"/>
      <c r="Y219" s="262"/>
      <c r="Z219" s="262"/>
    </row>
    <row r="220" spans="1:26" ht="12.75" hidden="1" outlineLevel="1">
      <c r="A220" s="247"/>
      <c r="B220" s="386"/>
      <c r="C220" s="386"/>
      <c r="D220" s="1422" t="s">
        <v>16245</v>
      </c>
      <c r="E220" s="1248">
        <v>0.8</v>
      </c>
      <c r="F220" s="1436">
        <v>0.2</v>
      </c>
      <c r="G220" s="1248">
        <v>0.16</v>
      </c>
      <c r="H220" s="1248">
        <v>1</v>
      </c>
      <c r="I220" s="1576">
        <f>E220</f>
        <v>0.8</v>
      </c>
      <c r="J220" s="512"/>
      <c r="K220" s="262"/>
      <c r="L220" s="262"/>
      <c r="M220" s="262"/>
      <c r="N220" s="262"/>
      <c r="O220" s="262"/>
      <c r="P220" s="262"/>
      <c r="Q220" s="262"/>
      <c r="R220" s="262"/>
      <c r="S220" s="262"/>
      <c r="T220" s="262"/>
      <c r="U220" s="262"/>
      <c r="V220" s="262"/>
      <c r="W220" s="262"/>
      <c r="X220" s="262"/>
      <c r="Y220" s="262"/>
      <c r="Z220" s="262"/>
    </row>
    <row r="221" spans="1:26" ht="25.5" outlineLevel="1">
      <c r="A221" s="1423" t="s">
        <v>13576</v>
      </c>
      <c r="B221" s="295" t="s">
        <v>14950</v>
      </c>
      <c r="C221" s="295" t="s">
        <v>14472</v>
      </c>
      <c r="D221" s="296" t="str">
        <f>IFERROR(VLOOKUP($B221,'24.08_ND'!$A$4833:$D$12369,2,0),IFERROR(VLOOKUP($B221,'03-CP'!$C$5:$H$4646,2,0),""))</f>
        <v>ESPELHO ESP 4MM COM ACABAMENTO EMOLDURADO EM PERFIL ALUMÍNIO - FORNECIMENTO E INSTALAÇÃO</v>
      </c>
      <c r="E221" s="1387" t="str">
        <f>IFERROR(VLOOKUP($B221,'24.08_ND'!$A:$D,3,0),IFERROR(VLOOKUP($B221,'03-CP'!$C$5:$H$4646,3,0),""))</f>
        <v>M2</v>
      </c>
      <c r="F221" s="1583">
        <f>1*0.7</f>
        <v>0.7</v>
      </c>
      <c r="G221" s="1387"/>
      <c r="H221" s="1387"/>
      <c r="I221" s="1388"/>
      <c r="J221" s="512"/>
      <c r="K221" s="262"/>
      <c r="L221" s="262"/>
      <c r="M221" s="262"/>
      <c r="N221" s="262"/>
      <c r="O221" s="262"/>
      <c r="P221" s="262"/>
      <c r="Q221" s="262"/>
      <c r="R221" s="262"/>
      <c r="S221" s="262"/>
      <c r="T221" s="262"/>
      <c r="U221" s="262"/>
      <c r="V221" s="262"/>
      <c r="W221" s="262"/>
      <c r="X221" s="262"/>
      <c r="Y221" s="262"/>
      <c r="Z221" s="262"/>
    </row>
    <row r="222" spans="1:26" ht="51" outlineLevel="1">
      <c r="A222" s="1423" t="s">
        <v>13577</v>
      </c>
      <c r="B222" s="295" t="s">
        <v>15020</v>
      </c>
      <c r="C222" s="295" t="s">
        <v>14472</v>
      </c>
      <c r="D222" s="296" t="str">
        <f>IFERROR(VLOOKUP($B222,'24.08_ND'!$A$4833:$D$12369,2,0),IFERROR(VLOOKUP($B222,'03-CP'!$C$5:$H$4646,2,0),""))</f>
        <v>PLACA EM AÇO GALVANIZADO E=2 MM, COM PERFURAÇÃO ARTÍSTICA PERSONALIZADA, PROTEÇÃO DE SUPERFÍCIE COM 01 DEMÃO DE FUNDO ANTICORROSIVO, E PINTURA DE 02 DEMÃOS EM ESMALTE SINTÉTICO FOSCO, PULVERIZADO</v>
      </c>
      <c r="E222" s="1387" t="str">
        <f>IFERROR(VLOOKUP($B222,'24.08_ND'!$A:$D,3,0),IFERROR(VLOOKUP($B222,'03-CP'!$C$5:$H$4646,3,0),""))</f>
        <v>M2</v>
      </c>
      <c r="F222" s="1583">
        <f>2*4.5</f>
        <v>9</v>
      </c>
      <c r="G222" s="1387"/>
      <c r="H222" s="1387"/>
      <c r="I222" s="1388"/>
      <c r="J222" s="512"/>
      <c r="K222" s="262"/>
      <c r="L222" s="262"/>
      <c r="M222" s="262"/>
      <c r="N222" s="262"/>
      <c r="O222" s="262"/>
      <c r="P222" s="262"/>
      <c r="Q222" s="262"/>
      <c r="R222" s="262"/>
      <c r="S222" s="262"/>
      <c r="T222" s="262"/>
      <c r="U222" s="262"/>
      <c r="V222" s="262"/>
      <c r="W222" s="262"/>
      <c r="X222" s="262"/>
      <c r="Y222" s="262"/>
      <c r="Z222" s="262"/>
    </row>
    <row r="223" spans="1:26" hidden="1" outlineLevel="1">
      <c r="A223" s="247"/>
      <c r="B223" s="386"/>
      <c r="C223" s="386"/>
      <c r="D223" s="253"/>
      <c r="E223" s="1244"/>
      <c r="F223" s="389"/>
      <c r="G223" s="1244"/>
      <c r="H223" s="1244"/>
      <c r="I223" s="1409"/>
      <c r="J223" s="512"/>
      <c r="K223" s="262"/>
      <c r="L223" s="261"/>
      <c r="M223" s="261"/>
      <c r="N223" s="261"/>
      <c r="O223" s="261"/>
      <c r="P223" s="261"/>
      <c r="Q223" s="261"/>
      <c r="R223" s="261"/>
      <c r="S223" s="261"/>
      <c r="T223" s="261"/>
      <c r="U223" s="261"/>
      <c r="V223" s="261"/>
      <c r="W223" s="261"/>
      <c r="X223" s="261"/>
      <c r="Y223" s="261"/>
      <c r="Z223" s="261"/>
    </row>
    <row r="224" spans="1:26" ht="12.75">
      <c r="A224" s="246" t="s">
        <v>13578</v>
      </c>
      <c r="B224" s="1378"/>
      <c r="C224" s="1378"/>
      <c r="D224" s="1379" t="s">
        <v>16300</v>
      </c>
      <c r="E224" s="1380"/>
      <c r="F224" s="1381"/>
      <c r="G224" s="1380"/>
      <c r="H224" s="1381"/>
      <c r="I224" s="1382"/>
      <c r="J224" s="512"/>
      <c r="K224" s="262"/>
      <c r="L224" s="262"/>
      <c r="M224" s="262"/>
      <c r="N224" s="262"/>
      <c r="O224" s="262"/>
      <c r="P224" s="262"/>
      <c r="Q224" s="262"/>
      <c r="R224" s="262"/>
      <c r="S224" s="262"/>
      <c r="T224" s="262"/>
      <c r="U224" s="262"/>
      <c r="V224" s="262"/>
      <c r="W224" s="262"/>
      <c r="X224" s="262"/>
      <c r="Y224" s="262"/>
      <c r="Z224" s="262"/>
    </row>
    <row r="225" spans="1:26" ht="25.5" outlineLevel="1">
      <c r="A225" s="1385" t="s">
        <v>13579</v>
      </c>
      <c r="B225" s="295">
        <v>100849</v>
      </c>
      <c r="C225" s="295" t="s">
        <v>14476</v>
      </c>
      <c r="D225" s="658" t="str">
        <f>IFERROR(VLOOKUP($B225,'24.08_ND'!$A$4833:$D$12369,2,0),IFERROR(VLOOKUP($B225,'03-CP'!$C$5:$H$4646,2,0),""))</f>
        <v>ASSENTO SANITÁRIO CONVENCIONAL - FORNECIMENTO E INSTALACAO. AF_01/2020</v>
      </c>
      <c r="E225" s="1318" t="str">
        <f>IFERROR(VLOOKUP($B225,'24.08_ND'!$A:$D,3,0),IFERROR(VLOOKUP($B225,'03-CP'!$C$5:$H$4646,3,0),""))</f>
        <v>UN</v>
      </c>
      <c r="F225" s="1583">
        <v>1</v>
      </c>
      <c r="G225" s="1387"/>
      <c r="H225" s="1387"/>
      <c r="I225" s="1388"/>
      <c r="J225" s="512"/>
      <c r="K225" s="262"/>
      <c r="L225" s="262"/>
      <c r="M225" s="262"/>
      <c r="N225" s="262"/>
      <c r="O225" s="262"/>
      <c r="P225" s="262"/>
      <c r="Q225" s="262"/>
      <c r="R225" s="262"/>
      <c r="S225" s="262"/>
      <c r="T225" s="262"/>
      <c r="U225" s="262"/>
      <c r="V225" s="262"/>
      <c r="W225" s="262"/>
      <c r="X225" s="262"/>
      <c r="Y225" s="262"/>
      <c r="Z225" s="262"/>
    </row>
    <row r="226" spans="1:26" ht="25.5" outlineLevel="1">
      <c r="A226" s="1385" t="s">
        <v>13580</v>
      </c>
      <c r="B226" s="295">
        <v>100878</v>
      </c>
      <c r="C226" s="295" t="s">
        <v>14476</v>
      </c>
      <c r="D226" s="658" t="str">
        <f>IFERROR(VLOOKUP($B226,'24.08_ND'!$A$4833:$D$12369,2,0),IFERROR(VLOOKUP($B226,'03-CP'!$C$5:$H$4646,2,0),""))</f>
        <v>VASO SANITÁRIO SIFONADO COM CAIXA ACOPLADA, LOUÇA BRANCA - PADRÃO ALTO - FORNECIMENTO E INSTALAÇÃO. AF_01/2020</v>
      </c>
      <c r="E226" s="1318" t="str">
        <f>IFERROR(VLOOKUP($B226,'24.08_ND'!$A:$D,3,0),IFERROR(VLOOKUP($B226,'03-CP'!$C$5:$H$4645,3,0),""))</f>
        <v>UN</v>
      </c>
      <c r="F226" s="1583">
        <v>1</v>
      </c>
      <c r="G226" s="1387"/>
      <c r="H226" s="1387"/>
      <c r="I226" s="1388"/>
      <c r="J226" s="512"/>
      <c r="K226" s="262"/>
      <c r="L226" s="262"/>
      <c r="M226" s="262"/>
      <c r="N226" s="262"/>
      <c r="O226" s="262"/>
      <c r="P226" s="262"/>
      <c r="Q226" s="262"/>
      <c r="R226" s="262"/>
      <c r="S226" s="262"/>
      <c r="T226" s="262"/>
      <c r="U226" s="262"/>
      <c r="V226" s="262"/>
      <c r="W226" s="262"/>
      <c r="X226" s="262"/>
      <c r="Y226" s="262"/>
      <c r="Z226" s="262"/>
    </row>
    <row r="227" spans="1:26" ht="25.5" outlineLevel="1">
      <c r="A227" s="1385" t="s">
        <v>13581</v>
      </c>
      <c r="B227" s="295" t="s">
        <v>14946</v>
      </c>
      <c r="C227" s="295" t="s">
        <v>14472</v>
      </c>
      <c r="D227" s="658" t="str">
        <f>IFERROR(VLOOKUP($B227,'24.08_ND'!$A$4833:$D$12369,2,0),IFERROR(VLOOKUP($B227,'03-CP'!$C$5:$H$4646,2,0),""))</f>
        <v>CUBA DE EMBUTIR PORCELANA NA COR BRANCA 0,33X0,33 CM  - FORNECIMENTO E INSTALAÇÃO</v>
      </c>
      <c r="E227" s="1318" t="str">
        <f>IFERROR(VLOOKUP($B227,'24.08_ND'!$A:$D,3,0),IFERROR(VLOOKUP($B227,'03-CP'!$C$5:$H$4646,3,0),""))</f>
        <v>UN</v>
      </c>
      <c r="F227" s="1583">
        <v>1</v>
      </c>
      <c r="G227" s="1387"/>
      <c r="H227" s="1387"/>
      <c r="I227" s="1388"/>
      <c r="J227" s="512"/>
      <c r="K227" s="262"/>
      <c r="L227" s="262"/>
      <c r="M227" s="262"/>
      <c r="N227" s="262"/>
      <c r="O227" s="262"/>
      <c r="P227" s="262"/>
      <c r="Q227" s="262"/>
      <c r="R227" s="262"/>
      <c r="S227" s="262"/>
      <c r="T227" s="262"/>
      <c r="U227" s="262"/>
      <c r="V227" s="262"/>
      <c r="W227" s="262"/>
      <c r="X227" s="262"/>
      <c r="Y227" s="262"/>
      <c r="Z227" s="262"/>
    </row>
    <row r="228" spans="1:26" ht="25.5" outlineLevel="1">
      <c r="A228" s="1385" t="s">
        <v>13582</v>
      </c>
      <c r="B228" s="295" t="s">
        <v>14948</v>
      </c>
      <c r="C228" s="295" t="s">
        <v>14472</v>
      </c>
      <c r="D228" s="658" t="str">
        <f>IFERROR(VLOOKUP($B228,'24.08_ND'!$A$4833:$D$12369,2,0),IFERROR(VLOOKUP($B228,'03-CP'!$C$5:$H$4646,2,0),""))</f>
        <v>TORNEIRA METALICA CROMADA DE MESA PARA LAVATORIO, BICA ALTA, COM AREJADOR - FORNECIMENTO E INSTALAÇÃO</v>
      </c>
      <c r="E228" s="1318" t="str">
        <f>IFERROR(VLOOKUP($B228,'24.08_ND'!$A:$D,3,0),IFERROR(VLOOKUP($B228,'03-CP'!$C$5:$H$4646,3,0),""))</f>
        <v>UN</v>
      </c>
      <c r="F228" s="1583">
        <v>1</v>
      </c>
      <c r="G228" s="1387"/>
      <c r="H228" s="1387"/>
      <c r="I228" s="1388"/>
      <c r="J228" s="512"/>
      <c r="K228" s="262"/>
      <c r="L228" s="262"/>
      <c r="M228" s="262"/>
      <c r="N228" s="262"/>
      <c r="O228" s="262"/>
      <c r="P228" s="262"/>
      <c r="Q228" s="262"/>
      <c r="R228" s="262"/>
      <c r="S228" s="262"/>
      <c r="T228" s="262"/>
      <c r="U228" s="262"/>
      <c r="V228" s="262"/>
      <c r="W228" s="262"/>
      <c r="X228" s="262"/>
      <c r="Y228" s="262"/>
      <c r="Z228" s="262"/>
    </row>
    <row r="229" spans="1:26" ht="25.5" outlineLevel="1">
      <c r="A229" s="1385" t="s">
        <v>13583</v>
      </c>
      <c r="B229" s="295">
        <v>86872</v>
      </c>
      <c r="C229" s="295" t="s">
        <v>14476</v>
      </c>
      <c r="D229" s="658" t="str">
        <f>IFERROR(VLOOKUP($B229,'24.08_ND'!$A$4833:$D$12369,2,0),IFERROR(VLOOKUP($B229,'03-CP'!$C$5:$H$4646,2,0),""))</f>
        <v>TANQUE DE LOUÇA BRANCA COM COLUNA, 30L OU EQUIVALENTE - FORNECIMENTO E INSTALAÇÃO. AF_01/2020</v>
      </c>
      <c r="E229" s="1318" t="str">
        <f>IFERROR(VLOOKUP($B229,'24.08_ND'!$A:$D,3,0),IFERROR(VLOOKUP($B229,'03-CP'!$C$5:$H$4645,3,0),""))</f>
        <v>UN</v>
      </c>
      <c r="F229" s="1583">
        <v>1</v>
      </c>
      <c r="G229" s="1387"/>
      <c r="H229" s="1387"/>
      <c r="I229" s="1388"/>
      <c r="J229" s="512"/>
      <c r="K229" s="262"/>
      <c r="L229" s="262"/>
      <c r="M229" s="262"/>
      <c r="N229" s="262"/>
      <c r="O229" s="262"/>
      <c r="P229" s="262"/>
      <c r="Q229" s="262"/>
      <c r="R229" s="262"/>
      <c r="S229" s="262"/>
      <c r="T229" s="262"/>
      <c r="U229" s="262"/>
      <c r="V229" s="262"/>
      <c r="W229" s="262"/>
      <c r="X229" s="262"/>
      <c r="Y229" s="262"/>
      <c r="Z229" s="262"/>
    </row>
    <row r="230" spans="1:26" ht="38.25" outlineLevel="1">
      <c r="A230" s="1385" t="s">
        <v>13584</v>
      </c>
      <c r="B230" s="295" t="s">
        <v>15006</v>
      </c>
      <c r="C230" s="295" t="s">
        <v>14472</v>
      </c>
      <c r="D230" s="658" t="str">
        <f>IFERROR(VLOOKUP($B230,'24.08_ND'!$A$4833:$D$12369,2,0),IFERROR(VLOOKUP($B230,'03-CP'!$C$5:$H$4646,2,0),""))</f>
        <v xml:space="preserve">TORNEIRA PARA PIA DE COZINHA GALI METAL BICA ALTA DOCOL, ACABAMENTO CROMADO BINÍQUEL , AREJADOR ARTICULÁVEL - FORNECIMENTO E INSTALAÇÃO. </v>
      </c>
      <c r="E230" s="1318" t="str">
        <f>IFERROR(VLOOKUP($B230,'24.08_ND'!$A:$D,3,0),IFERROR(VLOOKUP($B230,'03-CP'!$C$5:$H$4646,3,0),""))</f>
        <v>UN</v>
      </c>
      <c r="F230" s="1583">
        <v>1</v>
      </c>
      <c r="G230" s="1387"/>
      <c r="H230" s="1387"/>
      <c r="I230" s="1388"/>
      <c r="J230" s="512"/>
      <c r="K230" s="262"/>
      <c r="L230" s="262"/>
      <c r="M230" s="262"/>
      <c r="N230" s="262"/>
      <c r="O230" s="262"/>
      <c r="P230" s="262"/>
      <c r="Q230" s="262"/>
      <c r="R230" s="262"/>
      <c r="S230" s="262"/>
      <c r="T230" s="262"/>
      <c r="U230" s="262"/>
      <c r="V230" s="262"/>
      <c r="W230" s="262"/>
      <c r="X230" s="262"/>
      <c r="Y230" s="262"/>
      <c r="Z230" s="262"/>
    </row>
    <row r="231" spans="1:26" ht="25.5" outlineLevel="1">
      <c r="A231" s="1385" t="s">
        <v>13585</v>
      </c>
      <c r="B231" s="295">
        <v>86914</v>
      </c>
      <c r="C231" s="295" t="s">
        <v>14476</v>
      </c>
      <c r="D231" s="658" t="str">
        <f>IFERROR(VLOOKUP($B231,'24.08_ND'!$A$4833:$D$12369,2,0),IFERROR(VLOOKUP($B231,'03-CP'!$C$5:$H$4646,2,0),""))</f>
        <v>TORNEIRA CROMADA 1/2" OU 3/4" PARA TANQUE, PADRÃO MÉDIO - FORNECIMENTO E INSTALAÇÃO. AF_01/2020</v>
      </c>
      <c r="E231" s="1318" t="str">
        <f>IFERROR(VLOOKUP($B231,'24.08_ND'!$A:$D,3,0),IFERROR(VLOOKUP($B231,'03-CP'!$C$5:$H$4645,3,0),""))</f>
        <v>UN</v>
      </c>
      <c r="F231" s="1583">
        <v>1</v>
      </c>
      <c r="G231" s="1387"/>
      <c r="H231" s="1387"/>
      <c r="I231" s="1388"/>
      <c r="J231" s="512"/>
      <c r="K231" s="262"/>
      <c r="L231" s="262"/>
      <c r="M231" s="262"/>
      <c r="N231" s="262"/>
      <c r="O231" s="262"/>
      <c r="P231" s="262"/>
      <c r="Q231" s="262"/>
      <c r="R231" s="262"/>
      <c r="S231" s="262"/>
      <c r="T231" s="262"/>
      <c r="U231" s="262"/>
      <c r="V231" s="262"/>
      <c r="W231" s="262"/>
      <c r="X231" s="262"/>
      <c r="Y231" s="262"/>
      <c r="Z231" s="262"/>
    </row>
    <row r="232" spans="1:26" ht="25.5" outlineLevel="1">
      <c r="A232" s="1385" t="s">
        <v>13586</v>
      </c>
      <c r="B232" s="295">
        <v>100852</v>
      </c>
      <c r="C232" s="295" t="s">
        <v>14476</v>
      </c>
      <c r="D232" s="658" t="str">
        <f>IFERROR(VLOOKUP($B232,'24.08_ND'!$A$4833:$D$12369,2,0),IFERROR(VLOOKUP($B232,'03-CP'!$C$5:$H$4646,2,0),""))</f>
        <v>CUBA DE EMBUTIR RETANGULAR DE AÇO INOXIDÁVEL, 56 X 33 X 12 CM - FORNECIMENTO E INSTALAÇÃO. AF_01/2020</v>
      </c>
      <c r="E232" s="1318" t="str">
        <f>IFERROR(VLOOKUP($B232,'24.08_ND'!$A:$D,3,0),IFERROR(VLOOKUP($B232,'03-CP'!$C$5:$H$4646,3,0),""))</f>
        <v>UN</v>
      </c>
      <c r="F232" s="1583">
        <v>1</v>
      </c>
      <c r="G232" s="1387"/>
      <c r="H232" s="1387"/>
      <c r="I232" s="1388"/>
      <c r="J232" s="512"/>
      <c r="K232" s="262"/>
      <c r="L232" s="262"/>
      <c r="M232" s="262"/>
      <c r="N232" s="262"/>
      <c r="O232" s="262"/>
      <c r="P232" s="262"/>
      <c r="Q232" s="262"/>
      <c r="R232" s="262"/>
      <c r="S232" s="262"/>
      <c r="T232" s="262"/>
      <c r="U232" s="262"/>
      <c r="V232" s="262"/>
      <c r="W232" s="262"/>
      <c r="X232" s="262"/>
      <c r="Y232" s="262"/>
      <c r="Z232" s="262"/>
    </row>
    <row r="233" spans="1:26" ht="25.5" outlineLevel="1">
      <c r="A233" s="1385" t="s">
        <v>13587</v>
      </c>
      <c r="B233" s="295">
        <v>86881</v>
      </c>
      <c r="C233" s="295" t="s">
        <v>14476</v>
      </c>
      <c r="D233" s="658" t="str">
        <f>IFERROR(VLOOKUP($B233,'24.08_ND'!$A$4833:$D$12369,2,0),IFERROR(VLOOKUP($B233,'03-CP'!$C$5:$H$4646,2,0),""))</f>
        <v>SIFÃO DO TIPO GARRAFA EM METAL CROMADO 1 X 1.1/2" - FORNECIMENTO E INSTALAÇÃO. AF_01/2020</v>
      </c>
      <c r="E233" s="1318" t="str">
        <f>IFERROR(VLOOKUP($B233,'24.08_ND'!$A:$D,3,0),IFERROR(VLOOKUP($B233,'03-CP'!$C$5:$H$4646,3,0),""))</f>
        <v>UN</v>
      </c>
      <c r="F233" s="1583">
        <v>1</v>
      </c>
      <c r="G233" s="1387"/>
      <c r="H233" s="1387"/>
      <c r="I233" s="1388"/>
      <c r="J233" s="512"/>
      <c r="K233" s="262"/>
      <c r="L233" s="262"/>
      <c r="M233" s="262"/>
      <c r="N233" s="262"/>
      <c r="O233" s="262"/>
      <c r="P233" s="262"/>
      <c r="Q233" s="262"/>
      <c r="R233" s="262"/>
      <c r="S233" s="262"/>
      <c r="T233" s="262"/>
      <c r="U233" s="262"/>
      <c r="V233" s="262"/>
      <c r="W233" s="262"/>
      <c r="X233" s="262"/>
      <c r="Y233" s="262"/>
      <c r="Z233" s="262"/>
    </row>
    <row r="234" spans="1:26" ht="25.5" outlineLevel="1">
      <c r="A234" s="1385" t="s">
        <v>13588</v>
      </c>
      <c r="B234" s="295">
        <v>86883</v>
      </c>
      <c r="C234" s="295" t="s">
        <v>14476</v>
      </c>
      <c r="D234" s="658" t="str">
        <f>IFERROR(VLOOKUP($B234,'24.08_ND'!$A$4833:$D$12369,2,0),IFERROR(VLOOKUP($B234,'03-CP'!$C$5:$H$4646,2,0),""))</f>
        <v>SIFÃO DO TIPO FLEXÍVEL EM PVC 1  X 1.1/2  - FORNECIMENTO E INSTALAÇÃO. AF_01/2020</v>
      </c>
      <c r="E234" s="1318" t="str">
        <f>IFERROR(VLOOKUP($B234,'24.08_ND'!$A:$D,3,0),IFERROR(VLOOKUP($B234,'03-CP'!$C$5:$H$4646,3,0),""))</f>
        <v>UN</v>
      </c>
      <c r="F234" s="1583">
        <v>1</v>
      </c>
      <c r="G234" s="1387"/>
      <c r="H234" s="1387"/>
      <c r="I234" s="1388"/>
      <c r="J234" s="512"/>
      <c r="K234" s="262"/>
      <c r="L234" s="262"/>
      <c r="M234" s="262"/>
      <c r="N234" s="262"/>
      <c r="O234" s="262"/>
      <c r="P234" s="262"/>
      <c r="Q234" s="262"/>
      <c r="R234" s="262"/>
      <c r="S234" s="262"/>
      <c r="T234" s="262"/>
      <c r="U234" s="262"/>
      <c r="V234" s="262"/>
      <c r="W234" s="262"/>
      <c r="X234" s="262"/>
      <c r="Y234" s="262"/>
      <c r="Z234" s="262"/>
    </row>
    <row r="235" spans="1:26" ht="17.25" outlineLevel="1">
      <c r="A235" s="1385" t="s">
        <v>13589</v>
      </c>
      <c r="B235" s="295" t="s">
        <v>14853</v>
      </c>
      <c r="C235" s="295" t="s">
        <v>14472</v>
      </c>
      <c r="D235" s="658" t="str">
        <f>IFERROR(VLOOKUP($B235,'24.08_ND'!$A$4833:$D$12369,2,0),IFERROR(VLOOKUP($B235,'03-CP'!$C$5:$H$4646,2,0),""))</f>
        <v>ACABAMENTO E CANOPLA CROMADOS - FORNECIMENTO E INSTALAÇÃO</v>
      </c>
      <c r="E235" s="1318" t="str">
        <f>IFERROR(VLOOKUP($B235,'24.08_ND'!$A:$D,3,0),IFERROR(VLOOKUP($B235,'03-CP'!$C$5:$H$4646,3,0),""))</f>
        <v>UN</v>
      </c>
      <c r="F235" s="1583">
        <v>3</v>
      </c>
      <c r="G235" s="1387"/>
      <c r="H235" s="1387"/>
      <c r="I235" s="1388"/>
      <c r="J235" s="512"/>
      <c r="K235" s="262"/>
      <c r="L235" s="262"/>
      <c r="M235" s="262"/>
      <c r="N235" s="262"/>
      <c r="O235" s="262"/>
      <c r="P235" s="262"/>
      <c r="Q235" s="262"/>
      <c r="R235" s="262"/>
      <c r="S235" s="262"/>
      <c r="T235" s="262"/>
      <c r="U235" s="262"/>
      <c r="V235" s="262"/>
      <c r="W235" s="262"/>
      <c r="X235" s="262"/>
      <c r="Y235" s="262"/>
      <c r="Z235" s="262"/>
    </row>
    <row r="236" spans="1:26" ht="25.5" outlineLevel="1">
      <c r="A236" s="1385" t="s">
        <v>13590</v>
      </c>
      <c r="B236" s="295" t="s">
        <v>14889</v>
      </c>
      <c r="C236" s="295" t="s">
        <v>14472</v>
      </c>
      <c r="D236" s="658" t="str">
        <f>IFERROR(VLOOKUP($B236,'24.08_ND'!$A$4833:$D$12369,2,0),IFERROR(VLOOKUP($B236,'03-CP'!$C$5:$H$4646,2,0),""))</f>
        <v xml:space="preserve">DISPENSER INOX PORTA PAPEL TOALHA INTERFOLHADO - FORNECIMENTO E INSTALAÇÃO. </v>
      </c>
      <c r="E236" s="1318" t="str">
        <f>IFERROR(VLOOKUP($B236,'24.08_ND'!$A:$D,3,0),IFERROR(VLOOKUP($B236,'03-CP'!$C$5:$H$4646,3,0),""))</f>
        <v>UN</v>
      </c>
      <c r="F236" s="1583">
        <v>1</v>
      </c>
      <c r="G236" s="1387"/>
      <c r="H236" s="1387"/>
      <c r="I236" s="1388"/>
      <c r="J236" s="512"/>
      <c r="K236" s="262"/>
      <c r="L236" s="262"/>
      <c r="M236" s="262"/>
      <c r="N236" s="262"/>
      <c r="O236" s="262"/>
      <c r="P236" s="262"/>
      <c r="Q236" s="262"/>
      <c r="R236" s="262"/>
      <c r="S236" s="262"/>
      <c r="T236" s="262"/>
      <c r="U236" s="262"/>
      <c r="V236" s="262"/>
      <c r="W236" s="262"/>
      <c r="X236" s="262"/>
      <c r="Y236" s="262"/>
      <c r="Z236" s="262"/>
    </row>
    <row r="237" spans="1:26" ht="25.5" outlineLevel="1">
      <c r="A237" s="1385" t="s">
        <v>13591</v>
      </c>
      <c r="B237" s="295">
        <v>95544</v>
      </c>
      <c r="C237" s="295" t="s">
        <v>14476</v>
      </c>
      <c r="D237" s="658" t="str">
        <f>IFERROR(VLOOKUP($B237,'24.08_ND'!$A$4833:$D$12369,2,0),IFERROR(VLOOKUP($B237,'03-CP'!$C$5:$H$4646,2,0),""))</f>
        <v>PAPELEIRA DE PAREDE EM METAL CROMADO SEM TAMPA, INCLUSO FIXAÇÃO. AF_01/2020</v>
      </c>
      <c r="E237" s="1318" t="str">
        <f>IFERROR(VLOOKUP($B237,'24.08_ND'!$A:$D,3,0),IFERROR(VLOOKUP($B237,'03-CP'!$C$5:$H$4646,3,0),""))</f>
        <v>UN</v>
      </c>
      <c r="F237" s="1583">
        <v>1</v>
      </c>
      <c r="G237" s="1387"/>
      <c r="H237" s="1387"/>
      <c r="I237" s="1388"/>
      <c r="J237" s="512"/>
      <c r="K237" s="262"/>
      <c r="L237" s="262"/>
      <c r="M237" s="262"/>
      <c r="N237" s="262"/>
      <c r="O237" s="262"/>
      <c r="P237" s="262"/>
      <c r="Q237" s="262"/>
      <c r="R237" s="262"/>
      <c r="S237" s="262"/>
      <c r="T237" s="262"/>
      <c r="U237" s="262"/>
      <c r="V237" s="262"/>
      <c r="W237" s="262"/>
      <c r="X237" s="262"/>
      <c r="Y237" s="262"/>
      <c r="Z237" s="262"/>
    </row>
    <row r="238" spans="1:26" ht="25.5" outlineLevel="1">
      <c r="A238" s="1385" t="s">
        <v>13592</v>
      </c>
      <c r="B238" s="295" t="s">
        <v>14895</v>
      </c>
      <c r="C238" s="295" t="s">
        <v>14472</v>
      </c>
      <c r="D238" s="658" t="str">
        <f>IFERROR(VLOOKUP($B238,'24.08_ND'!$A$4833:$D$12369,2,0),IFERROR(VLOOKUP($B238,'03-CP'!$C$5:$H$4646,2,0),""))</f>
        <v xml:space="preserve">DISPENSER INOX SABONETEIRA ATÉ 800ML - FORNECIMENTO E INSTALAÇÃO. </v>
      </c>
      <c r="E238" s="1318" t="str">
        <f>IFERROR(VLOOKUP($B238,'24.08_ND'!$A:$D,3,0),IFERROR(VLOOKUP($B238,'03-CP'!$C$5:$H$4646,3,0),""))</f>
        <v>UN</v>
      </c>
      <c r="F238" s="1583">
        <v>1</v>
      </c>
      <c r="G238" s="1387"/>
      <c r="H238" s="1387"/>
      <c r="I238" s="1388"/>
      <c r="J238" s="512"/>
      <c r="K238" s="262"/>
      <c r="L238" s="262"/>
      <c r="M238" s="262"/>
      <c r="N238" s="262"/>
      <c r="O238" s="262"/>
      <c r="P238" s="262"/>
      <c r="Q238" s="262"/>
      <c r="R238" s="262"/>
      <c r="S238" s="262"/>
      <c r="T238" s="262"/>
      <c r="U238" s="262"/>
      <c r="V238" s="262"/>
      <c r="W238" s="262"/>
      <c r="X238" s="262"/>
      <c r="Y238" s="262"/>
      <c r="Z238" s="262"/>
    </row>
    <row r="239" spans="1:26" ht="25.5" outlineLevel="1">
      <c r="A239" s="1385" t="s">
        <v>13593</v>
      </c>
      <c r="B239" s="295">
        <v>95543</v>
      </c>
      <c r="C239" s="295" t="s">
        <v>14476</v>
      </c>
      <c r="D239" s="658" t="str">
        <f>IFERROR(VLOOKUP($B239,'24.08_ND'!$A$4833:$D$12369,2,0),IFERROR(VLOOKUP($B239,'03-CP'!$C$5:$H$4646,2,0),""))</f>
        <v>PORTA TOALHA BANHO EM METAL CROMADO, TIPO BARRA, INCLUSO FIXAÇÃO. AF_01/2020</v>
      </c>
      <c r="E239" s="1318" t="str">
        <f>IFERROR(VLOOKUP($B239,'24.08_ND'!$A:$D,3,0),IFERROR(VLOOKUP($B239,'03-CP'!$C$5:$H$4646,3,0),""))</f>
        <v>UN</v>
      </c>
      <c r="F239" s="1583">
        <v>1</v>
      </c>
      <c r="G239" s="1387"/>
      <c r="H239" s="1387"/>
      <c r="I239" s="1388"/>
      <c r="J239" s="512"/>
      <c r="K239" s="262"/>
      <c r="L239" s="262"/>
      <c r="M239" s="262"/>
      <c r="N239" s="262"/>
      <c r="O239" s="262"/>
      <c r="P239" s="262"/>
      <c r="Q239" s="262"/>
      <c r="R239" s="262"/>
      <c r="S239" s="262"/>
      <c r="T239" s="262"/>
      <c r="U239" s="262"/>
      <c r="V239" s="262"/>
      <c r="W239" s="262"/>
      <c r="X239" s="262"/>
      <c r="Y239" s="262"/>
      <c r="Z239" s="262"/>
    </row>
    <row r="240" spans="1:26" ht="17.25" outlineLevel="1">
      <c r="A240" s="1385" t="s">
        <v>13594</v>
      </c>
      <c r="B240" s="295" t="s">
        <v>14952</v>
      </c>
      <c r="C240" s="295" t="s">
        <v>14472</v>
      </c>
      <c r="D240" s="658" t="str">
        <f>IFERROR(VLOOKUP($B240,'24.08_ND'!$A$4833:$D$12369,2,0),IFERROR(VLOOKUP($B240,'03-CP'!$C$5:$H$4646,2,0),""))</f>
        <v>LIXEIRA EM AÇO INOX CROMADO ATÉ 12 LITROS</v>
      </c>
      <c r="E240" s="1318" t="str">
        <f>IFERROR(VLOOKUP($B240,'24.08_ND'!$A:$D,3,0),IFERROR(VLOOKUP($B240,'03-CP'!$C$5:$H$4646,3,0),""))</f>
        <v>UN</v>
      </c>
      <c r="F240" s="1583">
        <v>1</v>
      </c>
      <c r="G240" s="1387"/>
      <c r="H240" s="1387"/>
      <c r="I240" s="1388"/>
      <c r="J240" s="512"/>
      <c r="K240" s="262"/>
      <c r="L240" s="262"/>
      <c r="M240" s="262"/>
      <c r="N240" s="262"/>
      <c r="O240" s="262"/>
      <c r="P240" s="262"/>
      <c r="Q240" s="262"/>
      <c r="R240" s="262"/>
      <c r="S240" s="262"/>
      <c r="T240" s="262"/>
      <c r="U240" s="262"/>
      <c r="V240" s="262"/>
      <c r="W240" s="262"/>
      <c r="X240" s="262"/>
      <c r="Y240" s="262"/>
      <c r="Z240" s="262"/>
    </row>
    <row r="241" spans="1:26" ht="12.75" hidden="1" outlineLevel="1">
      <c r="A241" s="247"/>
      <c r="B241" s="386"/>
      <c r="C241" s="386"/>
      <c r="D241" s="253"/>
      <c r="E241" s="1244"/>
      <c r="F241" s="389"/>
      <c r="G241" s="1244"/>
      <c r="H241" s="1244"/>
      <c r="I241" s="1409"/>
      <c r="J241" s="512"/>
      <c r="K241" s="262"/>
      <c r="L241" s="262"/>
      <c r="M241" s="262"/>
      <c r="N241" s="262"/>
      <c r="O241" s="262"/>
      <c r="P241" s="262"/>
      <c r="Q241" s="262"/>
      <c r="R241" s="262"/>
      <c r="S241" s="262"/>
      <c r="T241" s="262"/>
      <c r="U241" s="262"/>
      <c r="V241" s="262"/>
      <c r="W241" s="262"/>
      <c r="X241" s="262"/>
      <c r="Y241" s="262"/>
      <c r="Z241" s="262"/>
    </row>
    <row r="242" spans="1:26" ht="12.75">
      <c r="A242" s="246" t="s">
        <v>13595</v>
      </c>
      <c r="B242" s="1378"/>
      <c r="C242" s="1378"/>
      <c r="D242" s="1379" t="s">
        <v>16468</v>
      </c>
      <c r="E242" s="1380"/>
      <c r="F242" s="1381"/>
      <c r="G242" s="1380"/>
      <c r="H242" s="1381"/>
      <c r="I242" s="1382"/>
      <c r="J242" s="512"/>
      <c r="K242" s="262"/>
      <c r="L242" s="262"/>
      <c r="M242" s="262"/>
      <c r="N242" s="262"/>
      <c r="O242" s="262"/>
      <c r="P242" s="262"/>
      <c r="Q242" s="262"/>
      <c r="R242" s="262"/>
      <c r="S242" s="262"/>
      <c r="T242" s="262"/>
      <c r="U242" s="262"/>
      <c r="V242" s="262"/>
      <c r="W242" s="262"/>
      <c r="X242" s="262"/>
      <c r="Y242" s="262"/>
      <c r="Z242" s="262"/>
    </row>
    <row r="243" spans="1:26" ht="38.25" outlineLevel="1">
      <c r="A243" s="1385" t="s">
        <v>13596</v>
      </c>
      <c r="B243" s="295">
        <v>94995</v>
      </c>
      <c r="C243" s="295" t="s">
        <v>14476</v>
      </c>
      <c r="D243" s="658" t="str">
        <f>IFERROR(VLOOKUP($B243,'24.08_ND'!$A$4833:$D$12369,2,0),IFERROR(VLOOKUP($B243,'03-CP'!$C$5:$H$4646,2,0),""))</f>
        <v>EXECUÇÃO DE PASSEIO (CALÇADA) OU PISO DE CONCRETO COM CONCRETO MOLDADO IN LOCO, USINADO, ACABAMENTO CONVENCIONAL, ESPESSURA 8 CM, ARMADO. AF_08/2022</v>
      </c>
      <c r="E243" s="1318" t="str">
        <f>IFERROR(VLOOKUP($B243,'24.08_ND'!$A:$D,3,0),IFERROR(VLOOKUP($B243,'03-CP'!$C$5:$H$4646,3,0),""))</f>
        <v>M2</v>
      </c>
      <c r="F243" s="1583">
        <f>SUM(I245:I246)</f>
        <v>52.79</v>
      </c>
      <c r="G243" s="1387"/>
      <c r="H243" s="1387"/>
      <c r="I243" s="1388"/>
      <c r="J243" s="512"/>
      <c r="K243" s="262"/>
      <c r="L243" s="262"/>
      <c r="M243" s="262"/>
      <c r="N243" s="262"/>
      <c r="O243" s="262"/>
      <c r="P243" s="262"/>
      <c r="Q243" s="262"/>
      <c r="R243" s="262"/>
      <c r="S243" s="262"/>
      <c r="T243" s="262"/>
      <c r="U243" s="262"/>
      <c r="V243" s="262"/>
      <c r="W243" s="262"/>
      <c r="X243" s="262"/>
      <c r="Y243" s="262"/>
      <c r="Z243" s="262"/>
    </row>
    <row r="244" spans="1:26" ht="12.75" hidden="1" outlineLevel="1">
      <c r="A244" s="1401"/>
      <c r="B244" s="386"/>
      <c r="C244" s="386"/>
      <c r="D244" s="1435" t="s">
        <v>16253</v>
      </c>
      <c r="E244" s="1240" t="s">
        <v>16252</v>
      </c>
      <c r="F244" s="1425" t="s">
        <v>16232</v>
      </c>
      <c r="G244" s="1391" t="s">
        <v>16233</v>
      </c>
      <c r="H244" s="1240" t="s">
        <v>16234</v>
      </c>
      <c r="I244" s="1426" t="s">
        <v>12615</v>
      </c>
      <c r="J244" s="512"/>
      <c r="K244" s="262"/>
      <c r="L244" s="262"/>
      <c r="M244" s="262"/>
      <c r="N244" s="262"/>
      <c r="O244" s="262"/>
      <c r="P244" s="262"/>
      <c r="Q244" s="262"/>
      <c r="R244" s="262"/>
      <c r="S244" s="262"/>
      <c r="T244" s="262"/>
      <c r="U244" s="262"/>
      <c r="V244" s="262"/>
      <c r="W244" s="262"/>
      <c r="X244" s="262"/>
      <c r="Y244" s="262"/>
      <c r="Z244" s="262"/>
    </row>
    <row r="245" spans="1:26" ht="12.75" hidden="1" outlineLevel="1">
      <c r="A245" s="247"/>
      <c r="B245" s="386"/>
      <c r="C245" s="386"/>
      <c r="D245" s="1418" t="s">
        <v>16469</v>
      </c>
      <c r="E245" s="1244">
        <v>22.48</v>
      </c>
      <c r="F245" s="389">
        <v>0.08</v>
      </c>
      <c r="G245" s="1244"/>
      <c r="H245" s="1244">
        <v>1</v>
      </c>
      <c r="I245" s="1409">
        <v>22.48</v>
      </c>
      <c r="J245" s="512"/>
      <c r="K245" s="262"/>
      <c r="L245" s="262"/>
      <c r="M245" s="262"/>
      <c r="N245" s="262"/>
      <c r="O245" s="262"/>
      <c r="P245" s="262"/>
      <c r="Q245" s="262"/>
      <c r="R245" s="262"/>
      <c r="S245" s="262"/>
      <c r="T245" s="262"/>
      <c r="U245" s="262"/>
      <c r="V245" s="262"/>
      <c r="W245" s="262"/>
      <c r="X245" s="262"/>
      <c r="Y245" s="262"/>
      <c r="Z245" s="262"/>
    </row>
    <row r="246" spans="1:26" ht="12.75" hidden="1" outlineLevel="1">
      <c r="A246" s="247"/>
      <c r="B246" s="386"/>
      <c r="C246" s="386"/>
      <c r="D246" s="1422" t="s">
        <v>16470</v>
      </c>
      <c r="E246" s="1248">
        <v>30.31</v>
      </c>
      <c r="F246" s="1436">
        <v>0.08</v>
      </c>
      <c r="G246" s="1248"/>
      <c r="H246" s="1248">
        <v>1</v>
      </c>
      <c r="I246" s="1281">
        <f>E246*H246</f>
        <v>30.31</v>
      </c>
      <c r="J246" s="512"/>
      <c r="K246" s="262"/>
      <c r="L246" s="262"/>
      <c r="M246" s="262"/>
      <c r="N246" s="262"/>
      <c r="O246" s="262"/>
      <c r="P246" s="262"/>
      <c r="Q246" s="262"/>
      <c r="R246" s="262"/>
      <c r="S246" s="262"/>
      <c r="T246" s="262"/>
      <c r="U246" s="262"/>
      <c r="V246" s="262"/>
      <c r="W246" s="262"/>
      <c r="X246" s="262"/>
      <c r="Y246" s="262"/>
      <c r="Z246" s="262"/>
    </row>
    <row r="247" spans="1:26" ht="12.75" hidden="1" outlineLevel="1">
      <c r="A247" s="247"/>
      <c r="B247" s="386"/>
      <c r="C247" s="386"/>
      <c r="D247" s="253"/>
      <c r="E247" s="1244"/>
      <c r="F247" s="389"/>
      <c r="G247" s="1244"/>
      <c r="H247" s="1244"/>
      <c r="I247" s="1409"/>
      <c r="J247" s="512"/>
      <c r="K247" s="262"/>
      <c r="L247" s="262"/>
      <c r="M247" s="262"/>
      <c r="N247" s="262"/>
      <c r="O247" s="262"/>
      <c r="P247" s="262"/>
      <c r="Q247" s="262"/>
      <c r="R247" s="262"/>
      <c r="S247" s="262"/>
      <c r="T247" s="262"/>
      <c r="U247" s="262"/>
      <c r="V247" s="262"/>
      <c r="W247" s="262"/>
      <c r="X247" s="262"/>
      <c r="Y247" s="262"/>
      <c r="Z247" s="262"/>
    </row>
    <row r="248" spans="1:26" ht="51" outlineLevel="1">
      <c r="A248" s="1385" t="s">
        <v>13597</v>
      </c>
      <c r="B248" s="295" t="s">
        <v>14954</v>
      </c>
      <c r="C248" s="295" t="s">
        <v>14472</v>
      </c>
      <c r="D248" s="658" t="str">
        <f>IFERROR(VLOOKUP($B248,'24.08_ND'!$A$4833:$D$12369,2,0),IFERROR(VLOOKUP($B248,'03-CP'!$C$5:$H$4646,2,0),""))</f>
        <v xml:space="preserve">ACABAMENTO EM FORMATO PENA DE PAVÃO (FLAGSTONE), PREVENDO A QUEIMA, APLICAÇÃO E IMPRESSÃO DE FÔRMAS DE ESTAMPAGEM, CORTE DE INDUÇÃO, LAVAGEM DE PISO E 03 DEMÃOS DE IMPERMEABILIZAÇÃO COM RESINA ACRÍLICA </v>
      </c>
      <c r="E248" s="1318" t="str">
        <f>IFERROR(VLOOKUP($B248,'24.08_ND'!$A:$D,3,0),IFERROR(VLOOKUP($B248,'03-CP'!$C$5:$H$4646,3,0),""))</f>
        <v>M2</v>
      </c>
      <c r="F248" s="1583">
        <f>SUM(I250)</f>
        <v>30.19</v>
      </c>
      <c r="G248" s="1387"/>
      <c r="H248" s="1387"/>
      <c r="I248" s="1388"/>
      <c r="J248" s="512"/>
      <c r="K248" s="262"/>
      <c r="L248" s="262"/>
      <c r="M248" s="262"/>
      <c r="N248" s="262"/>
      <c r="O248" s="262"/>
      <c r="P248" s="262"/>
      <c r="Q248" s="262"/>
      <c r="R248" s="262"/>
      <c r="S248" s="262"/>
      <c r="T248" s="262"/>
      <c r="U248" s="262"/>
      <c r="V248" s="262"/>
      <c r="W248" s="262"/>
      <c r="X248" s="262"/>
      <c r="Y248" s="262"/>
      <c r="Z248" s="262"/>
    </row>
    <row r="249" spans="1:26" ht="12.75" hidden="1" outlineLevel="1">
      <c r="A249" s="450"/>
      <c r="B249" s="512"/>
      <c r="C249" s="512"/>
      <c r="D249" s="1435" t="s">
        <v>16253</v>
      </c>
      <c r="E249" s="1240" t="s">
        <v>16252</v>
      </c>
      <c r="F249" s="1425" t="s">
        <v>16232</v>
      </c>
      <c r="G249" s="1391" t="s">
        <v>16233</v>
      </c>
      <c r="H249" s="1240" t="s">
        <v>16234</v>
      </c>
      <c r="I249" s="1426" t="s">
        <v>12615</v>
      </c>
      <c r="J249" s="512"/>
      <c r="K249" s="262"/>
      <c r="L249" s="262"/>
      <c r="M249" s="262"/>
      <c r="N249" s="262"/>
      <c r="O249" s="262"/>
      <c r="P249" s="262"/>
      <c r="Q249" s="262"/>
      <c r="R249" s="262"/>
      <c r="S249" s="262"/>
      <c r="T249" s="262"/>
      <c r="U249" s="262"/>
      <c r="V249" s="262"/>
      <c r="W249" s="262"/>
      <c r="X249" s="262"/>
      <c r="Y249" s="262"/>
      <c r="Z249" s="262"/>
    </row>
    <row r="250" spans="1:26" ht="12.75" hidden="1" outlineLevel="1">
      <c r="A250" s="247"/>
      <c r="B250" s="386"/>
      <c r="C250" s="386"/>
      <c r="D250" s="1422" t="s">
        <v>16471</v>
      </c>
      <c r="E250" s="1248"/>
      <c r="F250" s="1436"/>
      <c r="G250" s="1248">
        <v>30.19</v>
      </c>
      <c r="H250" s="1248"/>
      <c r="I250" s="1281">
        <f>G250</f>
        <v>30.19</v>
      </c>
      <c r="J250" s="512"/>
      <c r="K250" s="262"/>
      <c r="L250" s="262"/>
      <c r="M250" s="262"/>
      <c r="N250" s="262"/>
      <c r="O250" s="262"/>
      <c r="P250" s="262"/>
      <c r="Q250" s="262"/>
      <c r="R250" s="262"/>
      <c r="S250" s="262"/>
      <c r="T250" s="262"/>
      <c r="U250" s="262"/>
      <c r="V250" s="262"/>
      <c r="W250" s="262"/>
      <c r="X250" s="262"/>
      <c r="Y250" s="262"/>
      <c r="Z250" s="262"/>
    </row>
    <row r="251" spans="1:26" ht="12.75" hidden="1" outlineLevel="1">
      <c r="A251" s="247"/>
      <c r="B251" s="386"/>
      <c r="C251" s="386"/>
      <c r="D251" s="253"/>
      <c r="E251" s="1244"/>
      <c r="F251" s="389"/>
      <c r="G251" s="1244"/>
      <c r="H251" s="1244"/>
      <c r="I251" s="1409"/>
      <c r="J251" s="512"/>
      <c r="K251" s="262"/>
      <c r="L251" s="262"/>
      <c r="M251" s="262"/>
      <c r="N251" s="262"/>
      <c r="O251" s="262"/>
      <c r="P251" s="262"/>
      <c r="Q251" s="262"/>
      <c r="R251" s="262"/>
      <c r="S251" s="262"/>
      <c r="T251" s="262"/>
      <c r="U251" s="262"/>
      <c r="V251" s="262"/>
      <c r="W251" s="262"/>
      <c r="X251" s="262"/>
      <c r="Y251" s="262"/>
      <c r="Z251" s="262"/>
    </row>
    <row r="252" spans="1:26" ht="17.25" outlineLevel="1">
      <c r="A252" s="1385" t="s">
        <v>13598</v>
      </c>
      <c r="B252" s="1479" t="s">
        <v>15091</v>
      </c>
      <c r="C252" s="295" t="s">
        <v>14472</v>
      </c>
      <c r="D252" s="658" t="str">
        <f>IFERROR(VLOOKUP($B252,'24.08_ND'!$A$4833:$D$12369,2,0),IFERROR(VLOOKUP($B252,'03-CP'!$C$5:$H$4646,2,0),""))</f>
        <v>PLANTIO DE ARBUSTO OU CERCA VIVA (CLÚSIA)</v>
      </c>
      <c r="E252" s="1318" t="str">
        <f>IFERROR(VLOOKUP($B252,'24.08_ND'!$A:$D,3,0),IFERROR(VLOOKUP($B252,'03-CP'!$C$5:$H$4646,3,0),""))</f>
        <v>UN</v>
      </c>
      <c r="F252" s="1583">
        <v>55</v>
      </c>
      <c r="G252" s="1387"/>
      <c r="H252" s="1387"/>
      <c r="I252" s="1388"/>
      <c r="J252" s="512"/>
      <c r="K252" s="262"/>
      <c r="L252" s="262"/>
      <c r="M252" s="262"/>
      <c r="N252" s="262"/>
      <c r="O252" s="262"/>
      <c r="P252" s="262"/>
      <c r="Q252" s="262"/>
      <c r="R252" s="262"/>
      <c r="S252" s="262"/>
      <c r="T252" s="262"/>
      <c r="U252" s="262"/>
      <c r="V252" s="262"/>
      <c r="W252" s="262"/>
      <c r="X252" s="262"/>
      <c r="Y252" s="262"/>
      <c r="Z252" s="262"/>
    </row>
    <row r="253" spans="1:26" ht="12.75" hidden="1" outlineLevel="1">
      <c r="A253" s="247"/>
      <c r="B253" s="386"/>
      <c r="C253" s="386"/>
      <c r="D253" s="253"/>
      <c r="E253" s="1244"/>
      <c r="F253" s="389"/>
      <c r="G253" s="1244"/>
      <c r="H253" s="1244"/>
      <c r="I253" s="1409"/>
      <c r="J253" s="512"/>
      <c r="K253" s="262"/>
      <c r="L253" s="262"/>
      <c r="M253" s="262"/>
      <c r="N253" s="262"/>
      <c r="O253" s="262"/>
      <c r="P253" s="262"/>
      <c r="Q253" s="262"/>
      <c r="R253" s="262"/>
      <c r="S253" s="262"/>
      <c r="T253" s="262"/>
      <c r="U253" s="262"/>
      <c r="V253" s="262"/>
      <c r="W253" s="262"/>
      <c r="X253" s="262"/>
      <c r="Y253" s="262"/>
      <c r="Z253" s="262"/>
    </row>
    <row r="254" spans="1:26" ht="12.75" hidden="1">
      <c r="A254" s="1487"/>
      <c r="B254" s="1488"/>
      <c r="C254" s="1488"/>
      <c r="D254" s="1489"/>
      <c r="E254" s="1490"/>
      <c r="F254" s="1491"/>
      <c r="G254" s="1492"/>
      <c r="H254" s="1493"/>
      <c r="I254" s="1494"/>
      <c r="J254" s="262"/>
      <c r="K254" s="262"/>
      <c r="L254" s="262"/>
      <c r="M254" s="262"/>
      <c r="N254" s="262"/>
      <c r="O254" s="262"/>
      <c r="P254" s="262"/>
      <c r="Q254" s="262"/>
      <c r="R254" s="262"/>
      <c r="S254" s="262"/>
      <c r="T254" s="262"/>
      <c r="U254" s="262"/>
      <c r="V254" s="262"/>
      <c r="W254" s="262"/>
      <c r="X254" s="262"/>
      <c r="Y254" s="262"/>
      <c r="Z254" s="262"/>
    </row>
    <row r="255" spans="1:26" ht="12.75">
      <c r="A255" s="1298" t="s">
        <v>16309</v>
      </c>
      <c r="B255" s="1371"/>
      <c r="C255" s="1371"/>
      <c r="D255" s="1372"/>
      <c r="E255" s="1373"/>
      <c r="F255" s="1374"/>
      <c r="G255" s="1375"/>
      <c r="H255" s="1376"/>
      <c r="I255" s="1377"/>
      <c r="J255" s="262"/>
      <c r="K255" s="262"/>
      <c r="L255" s="262"/>
      <c r="M255" s="262"/>
      <c r="N255" s="262"/>
      <c r="O255" s="262"/>
      <c r="P255" s="262"/>
      <c r="Q255" s="262"/>
      <c r="R255" s="262"/>
      <c r="S255" s="262"/>
      <c r="T255" s="262"/>
      <c r="U255" s="262"/>
      <c r="V255" s="262"/>
      <c r="W255" s="262"/>
      <c r="X255" s="262"/>
      <c r="Y255" s="262"/>
      <c r="Z255" s="262"/>
    </row>
    <row r="256" spans="1:26" ht="12.75">
      <c r="A256" s="238" t="s">
        <v>12637</v>
      </c>
      <c r="B256" s="1304"/>
      <c r="C256" s="1304"/>
      <c r="D256" s="1305" t="s">
        <v>16310</v>
      </c>
      <c r="E256" s="1306"/>
      <c r="F256" s="1307"/>
      <c r="G256" s="1307"/>
      <c r="H256" s="1586"/>
      <c r="I256" s="1496"/>
      <c r="J256" s="1643" t="s">
        <v>16472</v>
      </c>
      <c r="K256" s="1588" t="s">
        <v>16473</v>
      </c>
      <c r="L256" s="262"/>
      <c r="M256" s="262"/>
      <c r="N256" s="262"/>
      <c r="O256" s="262"/>
      <c r="P256" s="262"/>
      <c r="Q256" s="262"/>
      <c r="R256" s="262"/>
      <c r="S256" s="262"/>
      <c r="T256" s="262"/>
      <c r="U256" s="262"/>
      <c r="V256" s="262"/>
      <c r="W256" s="262"/>
      <c r="X256" s="262"/>
      <c r="Y256" s="262"/>
      <c r="Z256" s="262"/>
    </row>
    <row r="257" spans="1:26" ht="12.75">
      <c r="A257" s="250" t="s">
        <v>13599</v>
      </c>
      <c r="B257" s="1309"/>
      <c r="C257" s="1497"/>
      <c r="D257" s="1498" t="s">
        <v>16312</v>
      </c>
      <c r="E257" s="234"/>
      <c r="F257" s="1311"/>
      <c r="G257" s="236"/>
      <c r="H257" s="236"/>
      <c r="I257" s="1499"/>
      <c r="J257" s="1644"/>
      <c r="K257" s="1441"/>
      <c r="L257" s="1441"/>
      <c r="M257" s="1441"/>
      <c r="N257" s="1441"/>
      <c r="O257" s="1441"/>
      <c r="P257" s="1441"/>
      <c r="Q257" s="1441"/>
      <c r="R257" s="1441"/>
      <c r="S257" s="1441"/>
      <c r="T257" s="1441"/>
      <c r="U257" s="1441"/>
      <c r="V257" s="1441"/>
      <c r="W257" s="1441"/>
      <c r="X257" s="1441"/>
      <c r="Y257" s="1441"/>
      <c r="Z257" s="1441"/>
    </row>
    <row r="258" spans="1:26" ht="38.25" outlineLevel="1">
      <c r="A258" s="247" t="s">
        <v>13600</v>
      </c>
      <c r="B258" s="386">
        <v>105234</v>
      </c>
      <c r="C258" s="386" t="s">
        <v>14476</v>
      </c>
      <c r="D258" s="1314" t="str">
        <f>IFERROR(VLOOKUP($B258,'24.08_ND'!$A$4833:$D$12369,2,0),IFERROR(VLOOKUP($B258,'03-CP'!$C$5:$H$4646,2,0),""))</f>
        <v>BUCHA DE REDUÇÃO PVC, SOLDÁVEL, LONGA, DN 50 X 25 MM, INSTALADO EM RESERVAÇÃO PREDIAL DE ÁGUA - FORNECIMENTO E INSTALAÇÃO. AF_04/2024</v>
      </c>
      <c r="E258" s="1315" t="str">
        <f>IFERROR(VLOOKUP($B258,'24.08_ND'!$A:$D,3,0),IFERROR(VLOOKUP($B258,'03-CP'!$C$5:$H$4646,3,0),""))</f>
        <v>UN</v>
      </c>
      <c r="F258" s="389">
        <v>4</v>
      </c>
      <c r="G258" s="1244"/>
      <c r="H258" s="1244"/>
      <c r="I258" s="1409"/>
      <c r="J258" s="1644" t="s">
        <v>16316</v>
      </c>
      <c r="K258" s="262"/>
      <c r="L258" s="262"/>
      <c r="M258" s="262"/>
      <c r="N258" s="262"/>
      <c r="O258" s="262"/>
      <c r="P258" s="262"/>
      <c r="Q258" s="262"/>
      <c r="R258" s="262"/>
      <c r="S258" s="262"/>
      <c r="T258" s="262"/>
      <c r="U258" s="262"/>
      <c r="V258" s="262"/>
      <c r="W258" s="262"/>
      <c r="X258" s="262"/>
      <c r="Y258" s="262"/>
      <c r="Z258" s="262"/>
    </row>
    <row r="259" spans="1:26" ht="25.5" outlineLevel="1">
      <c r="A259" s="247" t="s">
        <v>13601</v>
      </c>
      <c r="B259" s="386">
        <v>94679</v>
      </c>
      <c r="C259" s="386" t="s">
        <v>14476</v>
      </c>
      <c r="D259" s="1314" t="str">
        <f>IFERROR(VLOOKUP($B259,'24.08_ND'!$A$4833:$D$12369,2,0),IFERROR(VLOOKUP($B259,'03-CP'!$C$5:$H$4646,2,0),""))</f>
        <v>CURVA 90 GRAUS, PVC, SOLDÁVEL, DN 50 MM, INSTALADO EM RESERVAÇÃO PREDIAL DE ÁGUA - FORNECIMENTO E INSTALAÇÃO. AF_04/2024</v>
      </c>
      <c r="E259" s="1315" t="str">
        <f>IFERROR(VLOOKUP($B259,'24.08_ND'!$A:$D,3,0),IFERROR(VLOOKUP($B259,'03-CP'!$C$5:$H$4646,3,0),""))</f>
        <v>UN</v>
      </c>
      <c r="F259" s="389">
        <v>8</v>
      </c>
      <c r="G259" s="1244"/>
      <c r="H259" s="1244"/>
      <c r="I259" s="1409"/>
      <c r="J259" s="1644" t="s">
        <v>16316</v>
      </c>
      <c r="K259" s="262"/>
      <c r="L259" s="262"/>
      <c r="M259" s="262"/>
      <c r="N259" s="262"/>
      <c r="O259" s="262"/>
      <c r="P259" s="262"/>
      <c r="Q259" s="262"/>
      <c r="R259" s="262"/>
      <c r="S259" s="262"/>
      <c r="T259" s="262"/>
      <c r="U259" s="262"/>
      <c r="V259" s="262"/>
      <c r="W259" s="262"/>
      <c r="X259" s="262"/>
      <c r="Y259" s="262"/>
      <c r="Z259" s="262"/>
    </row>
    <row r="260" spans="1:26" ht="25.5" outlineLevel="1">
      <c r="A260" s="247" t="s">
        <v>13602</v>
      </c>
      <c r="B260" s="386">
        <v>89369</v>
      </c>
      <c r="C260" s="386" t="s">
        <v>14476</v>
      </c>
      <c r="D260" s="1314" t="str">
        <f>IFERROR(VLOOKUP($B260,'24.08_ND'!$A$4833:$D$12369,2,0),IFERROR(VLOOKUP($B260,'03-CP'!$C$5:$H$4646,2,0),""))</f>
        <v>CURVA 90 GRAUS, PVC, SOLDÁVEL, DN 32MM, INSTALADO EM RAMAL OU SUB-RAMAL DE ÁGUA - FORNECIMENTO E INSTALAÇÃO. AF_06/2022</v>
      </c>
      <c r="E260" s="1315" t="str">
        <f>IFERROR(VLOOKUP($B260,'24.08_ND'!$A:$D,3,0),IFERROR(VLOOKUP($B260,'03-CP'!$C$5:$H$4646,3,0),""))</f>
        <v>UN</v>
      </c>
      <c r="F260" s="389">
        <v>6</v>
      </c>
      <c r="G260" s="1244"/>
      <c r="H260" s="1244"/>
      <c r="I260" s="1409"/>
      <c r="J260" s="1644" t="s">
        <v>16316</v>
      </c>
      <c r="K260" s="262"/>
      <c r="L260" s="262"/>
      <c r="M260" s="262"/>
      <c r="N260" s="262"/>
      <c r="O260" s="262"/>
      <c r="P260" s="262"/>
      <c r="Q260" s="262"/>
      <c r="R260" s="262"/>
      <c r="S260" s="262"/>
      <c r="T260" s="262"/>
      <c r="U260" s="262"/>
      <c r="V260" s="262"/>
      <c r="W260" s="262"/>
      <c r="X260" s="262"/>
      <c r="Y260" s="262"/>
      <c r="Z260" s="262"/>
    </row>
    <row r="261" spans="1:26" ht="25.5" outlineLevel="1">
      <c r="A261" s="247" t="s">
        <v>13603</v>
      </c>
      <c r="B261" s="386">
        <v>89364</v>
      </c>
      <c r="C261" s="386" t="s">
        <v>14476</v>
      </c>
      <c r="D261" s="1314" t="str">
        <f>IFERROR(VLOOKUP($B261,'24.08_ND'!$A$4833:$D$12369,2,0),IFERROR(VLOOKUP($B261,'03-CP'!$C$5:$H$4646,2,0),""))</f>
        <v>CURVA 90 GRAUS, PVC, SOLDÁVEL, DN 25MM, INSTALADO EM RAMAL OU SUB-RAMAL DE ÁGUA - FORNECIMENTO E INSTALAÇÃO. AF_06/2022</v>
      </c>
      <c r="E261" s="1315" t="str">
        <f>IFERROR(VLOOKUP($B261,'24.08_ND'!$A:$D,3,0),IFERROR(VLOOKUP($B261,'03-CP'!$C$5:$H$4646,3,0),""))</f>
        <v>UN</v>
      </c>
      <c r="F261" s="389">
        <v>8</v>
      </c>
      <c r="G261" s="1244"/>
      <c r="H261" s="1244"/>
      <c r="I261" s="1409"/>
      <c r="J261" s="1644" t="s">
        <v>16316</v>
      </c>
      <c r="K261" s="262"/>
      <c r="L261" s="262"/>
      <c r="M261" s="262"/>
      <c r="N261" s="262"/>
      <c r="O261" s="262"/>
      <c r="P261" s="262"/>
      <c r="Q261" s="262"/>
      <c r="R261" s="262"/>
      <c r="S261" s="262"/>
      <c r="T261" s="262"/>
      <c r="U261" s="262"/>
      <c r="V261" s="262"/>
      <c r="W261" s="262"/>
      <c r="X261" s="262"/>
      <c r="Y261" s="262"/>
      <c r="Z261" s="262"/>
    </row>
    <row r="262" spans="1:26" ht="25.5" outlineLevel="1">
      <c r="A262" s="247" t="s">
        <v>13604</v>
      </c>
      <c r="B262" s="386">
        <v>89363</v>
      </c>
      <c r="C262" s="386" t="s">
        <v>14476</v>
      </c>
      <c r="D262" s="1314" t="str">
        <f>IFERROR(VLOOKUP($B262,'24.08_ND'!$A$4833:$D$12369,2,0),IFERROR(VLOOKUP($B262,'03-CP'!$C$5:$H$4646,2,0),""))</f>
        <v>JOELHO 45 GRAUS, PVC, SOLDÁVEL, DN 25MM, INSTALADO EM RAMAL OU SUB-RAMAL DE ÁGUA - FORNECIMENTO E INSTALAÇÃO. AF_06/2022</v>
      </c>
      <c r="E262" s="1315" t="str">
        <f>IFERROR(VLOOKUP($B262,'24.08_ND'!$A:$D,3,0),IFERROR(VLOOKUP($B262,'03-CP'!$C$5:$H$4646,3,0),""))</f>
        <v>UN</v>
      </c>
      <c r="F262" s="389">
        <v>10</v>
      </c>
      <c r="G262" s="1244"/>
      <c r="H262" s="1244"/>
      <c r="I262" s="1409"/>
      <c r="J262" s="1644" t="s">
        <v>16316</v>
      </c>
      <c r="K262" s="262"/>
      <c r="L262" s="262"/>
      <c r="M262" s="262"/>
      <c r="N262" s="262"/>
      <c r="O262" s="262"/>
      <c r="P262" s="262"/>
      <c r="Q262" s="262"/>
      <c r="R262" s="262"/>
      <c r="S262" s="262"/>
      <c r="T262" s="262"/>
      <c r="U262" s="262"/>
      <c r="V262" s="262"/>
      <c r="W262" s="262"/>
      <c r="X262" s="262"/>
      <c r="Y262" s="262"/>
      <c r="Z262" s="262"/>
    </row>
    <row r="263" spans="1:26" ht="38.25" outlineLevel="1">
      <c r="A263" s="247" t="s">
        <v>13605</v>
      </c>
      <c r="B263" s="386">
        <v>89366</v>
      </c>
      <c r="C263" s="386" t="s">
        <v>14476</v>
      </c>
      <c r="D263" s="1314" t="str">
        <f>IFERROR(VLOOKUP($B263,'24.08_ND'!$A$4833:$D$12369,2,0),IFERROR(VLOOKUP($B263,'03-CP'!$C$5:$H$4646,2,0),""))</f>
        <v>JOELHO 90 GRAUS COM BUCHA DE LATÃO, PVC, SOLDÁVEL, DN 25MM, X 3/4  INSTALADO EM RAMAL OU SUB-RAMAL DE ÁGUA - FORNECIMENTO E INSTALAÇÃO. AF_06/2022</v>
      </c>
      <c r="E263" s="1315" t="str">
        <f>IFERROR(VLOOKUP($B263,'24.08_ND'!$A:$D,3,0),IFERROR(VLOOKUP($B263,'03-CP'!$C$5:$H$4646,3,0),""))</f>
        <v>UN</v>
      </c>
      <c r="F263" s="389">
        <v>4</v>
      </c>
      <c r="G263" s="1244"/>
      <c r="H263" s="1244"/>
      <c r="I263" s="1409"/>
      <c r="J263" s="1644" t="s">
        <v>16316</v>
      </c>
      <c r="K263" s="262"/>
      <c r="L263" s="262"/>
      <c r="M263" s="262"/>
      <c r="N263" s="262"/>
      <c r="O263" s="262"/>
      <c r="P263" s="262"/>
      <c r="Q263" s="262"/>
      <c r="R263" s="262"/>
      <c r="S263" s="262"/>
      <c r="T263" s="262"/>
      <c r="U263" s="262"/>
      <c r="V263" s="262"/>
      <c r="W263" s="262"/>
      <c r="X263" s="262"/>
      <c r="Y263" s="262"/>
      <c r="Z263" s="262"/>
    </row>
    <row r="264" spans="1:26" ht="38.25" outlineLevel="1">
      <c r="A264" s="247" t="s">
        <v>13606</v>
      </c>
      <c r="B264" s="386">
        <v>89381</v>
      </c>
      <c r="C264" s="386" t="s">
        <v>14476</v>
      </c>
      <c r="D264" s="1314" t="str">
        <f>IFERROR(VLOOKUP($B264,'24.08_ND'!$A$4833:$D$12369,2,0),IFERROR(VLOOKUP($B264,'03-CP'!$C$5:$H$4646,2,0),""))</f>
        <v>LUVA COM BUCHA DE LATÃO, PVC, SOLDÁVEL, DN 25MM X 3/4 , INSTALADO EM RAMAL OU SUB-RAMAL DE ÁGUA - FORNECIMENTO E INSTALAÇÃO. AF_06/2022</v>
      </c>
      <c r="E264" s="1315" t="str">
        <f>IFERROR(VLOOKUP($B264,'24.08_ND'!$A:$D,3,0),IFERROR(VLOOKUP($B264,'03-CP'!$C$5:$H$4646,3,0),""))</f>
        <v>UN</v>
      </c>
      <c r="F264" s="389">
        <v>8</v>
      </c>
      <c r="G264" s="1244"/>
      <c r="H264" s="1244"/>
      <c r="I264" s="1409"/>
      <c r="J264" s="1644" t="s">
        <v>16316</v>
      </c>
      <c r="K264" s="262"/>
      <c r="L264" s="262"/>
      <c r="M264" s="262"/>
      <c r="N264" s="262"/>
      <c r="O264" s="262"/>
      <c r="P264" s="262"/>
      <c r="Q264" s="262"/>
      <c r="R264" s="262"/>
      <c r="S264" s="262"/>
      <c r="T264" s="262"/>
      <c r="U264" s="262"/>
      <c r="V264" s="262"/>
      <c r="W264" s="262"/>
      <c r="X264" s="262"/>
      <c r="Y264" s="262"/>
      <c r="Z264" s="262"/>
    </row>
    <row r="265" spans="1:26" ht="25.5" outlineLevel="1">
      <c r="A265" s="247" t="s">
        <v>13607</v>
      </c>
      <c r="B265" s="386">
        <v>104004</v>
      </c>
      <c r="C265" s="386" t="s">
        <v>14476</v>
      </c>
      <c r="D265" s="1314" t="str">
        <f>IFERROR(VLOOKUP($B265,'24.08_ND'!$A$4833:$D$12369,2,0),IFERROR(VLOOKUP($B265,'03-CP'!$C$5:$H$4646,2,0),""))</f>
        <v>TE, PVC, SOLDÁVEL, DN 50MM, INSTALADO EM RAMAL DE DISTRIBUIÇÃO DE ÁGUA - FORNECIMENTO E INSTALAÇÃO. AF_06/2022</v>
      </c>
      <c r="E265" s="1315" t="str">
        <f>IFERROR(VLOOKUP($B265,'24.08_ND'!$A:$D,3,0),IFERROR(VLOOKUP($B265,'03-CP'!$C$5:$H$4646,3,0),""))</f>
        <v>UN</v>
      </c>
      <c r="F265" s="389">
        <v>3</v>
      </c>
      <c r="G265" s="1244"/>
      <c r="H265" s="1244"/>
      <c r="I265" s="1409"/>
      <c r="J265" s="1644" t="s">
        <v>16316</v>
      </c>
      <c r="K265" s="262"/>
      <c r="L265" s="262"/>
      <c r="M265" s="262"/>
      <c r="N265" s="262"/>
      <c r="O265" s="262"/>
      <c r="P265" s="262"/>
      <c r="Q265" s="262"/>
      <c r="R265" s="262"/>
      <c r="S265" s="262"/>
      <c r="T265" s="262"/>
      <c r="U265" s="262"/>
      <c r="V265" s="262"/>
      <c r="W265" s="262"/>
      <c r="X265" s="262"/>
      <c r="Y265" s="262"/>
      <c r="Z265" s="262"/>
    </row>
    <row r="266" spans="1:26" ht="25.5" outlineLevel="1">
      <c r="A266" s="247" t="s">
        <v>13608</v>
      </c>
      <c r="B266" s="386">
        <v>89443</v>
      </c>
      <c r="C266" s="386" t="s">
        <v>14476</v>
      </c>
      <c r="D266" s="1314" t="str">
        <f>IFERROR(VLOOKUP($B266,'24.08_ND'!$A$4833:$D$12369,2,0),IFERROR(VLOOKUP($B266,'03-CP'!$C$5:$H$4646,2,0),""))</f>
        <v>TE, PVC, SOLDÁVEL, DN 32MM, INSTALADO EM RAMAL DE DISTRIBUIÇÃO DE ÁGUA - FORNECIMENTO E INSTALAÇÃO. AF_06/2022</v>
      </c>
      <c r="E266" s="1315" t="str">
        <f>IFERROR(VLOOKUP($B266,'24.08_ND'!$A:$D,3,0),IFERROR(VLOOKUP($B266,'03-CP'!$C$5:$H$4646,3,0),""))</f>
        <v>UN</v>
      </c>
      <c r="F266" s="389">
        <v>2</v>
      </c>
      <c r="G266" s="1244"/>
      <c r="H266" s="1244"/>
      <c r="I266" s="1409"/>
      <c r="J266" s="1644" t="s">
        <v>16316</v>
      </c>
      <c r="K266" s="262"/>
      <c r="L266" s="262"/>
      <c r="M266" s="262"/>
      <c r="N266" s="262"/>
      <c r="O266" s="262"/>
      <c r="P266" s="262"/>
      <c r="Q266" s="262"/>
      <c r="R266" s="262"/>
      <c r="S266" s="262"/>
      <c r="T266" s="262"/>
      <c r="U266" s="262"/>
      <c r="V266" s="262"/>
      <c r="W266" s="262"/>
      <c r="X266" s="262"/>
      <c r="Y266" s="262"/>
      <c r="Z266" s="262"/>
    </row>
    <row r="267" spans="1:26" ht="25.5" outlineLevel="1">
      <c r="A267" s="247" t="s">
        <v>13609</v>
      </c>
      <c r="B267" s="386">
        <v>89395</v>
      </c>
      <c r="C267" s="386" t="s">
        <v>14476</v>
      </c>
      <c r="D267" s="1314" t="str">
        <f>IFERROR(VLOOKUP($B267,'24.08_ND'!$A$4833:$D$12369,2,0),IFERROR(VLOOKUP($B267,'03-CP'!$C$5:$H$4646,2,0),""))</f>
        <v>TE, PVC, SOLDÁVEL, DN 25MM, INSTALADO EM RAMAL OU SUB-RAMAL DE ÁGUA - FORNECIMENTO E INSTALAÇÃO. AF_06/2022</v>
      </c>
      <c r="E267" s="1315" t="str">
        <f>IFERROR(VLOOKUP($B267,'24.08_ND'!$A:$D,3,0),IFERROR(VLOOKUP($B267,'03-CP'!$C$5:$H$4646,3,0),""))</f>
        <v>UN</v>
      </c>
      <c r="F267" s="389">
        <v>2</v>
      </c>
      <c r="G267" s="1244"/>
      <c r="H267" s="1244"/>
      <c r="I267" s="1409"/>
      <c r="J267" s="1644" t="s">
        <v>16316</v>
      </c>
      <c r="K267" s="262"/>
      <c r="L267" s="262"/>
      <c r="M267" s="262"/>
      <c r="N267" s="262"/>
      <c r="O267" s="262"/>
      <c r="P267" s="262"/>
      <c r="Q267" s="262"/>
      <c r="R267" s="262"/>
      <c r="S267" s="262"/>
      <c r="T267" s="262"/>
      <c r="U267" s="262"/>
      <c r="V267" s="262"/>
      <c r="W267" s="262"/>
      <c r="X267" s="262"/>
      <c r="Y267" s="262"/>
      <c r="Z267" s="262"/>
    </row>
    <row r="268" spans="1:26" ht="25.5" outlineLevel="1">
      <c r="A268" s="247" t="s">
        <v>13610</v>
      </c>
      <c r="B268" s="386">
        <v>89987</v>
      </c>
      <c r="C268" s="386" t="s">
        <v>14476</v>
      </c>
      <c r="D268" s="1314" t="str">
        <f>IFERROR(VLOOKUP($B268,'24.08_ND'!$A$4833:$D$12369,2,0),IFERROR(VLOOKUP($B268,'03-CP'!$C$5:$H$4646,2,0),""))</f>
        <v>REGISTRO DE GAVETA BRUTO, LATÃO, ROSCÁVEL, 3/4", COM ACABAMENTO E CANOPLA CROMADOS - FORNECIMENTO E INSTALAÇÃO. AF_08/2021</v>
      </c>
      <c r="E268" s="1315" t="str">
        <f>IFERROR(VLOOKUP($B268,'24.08_ND'!$A:$D,3,0),IFERROR(VLOOKUP($B268,'03-CP'!$C$5:$H$4646,3,0),""))</f>
        <v>UN</v>
      </c>
      <c r="F268" s="389">
        <v>4</v>
      </c>
      <c r="G268" s="1244"/>
      <c r="H268" s="1244"/>
      <c r="I268" s="1409"/>
      <c r="J268" s="1644" t="s">
        <v>16316</v>
      </c>
      <c r="K268" s="262"/>
      <c r="L268" s="262"/>
      <c r="M268" s="262"/>
      <c r="N268" s="262"/>
      <c r="O268" s="262"/>
      <c r="P268" s="262"/>
      <c r="Q268" s="262"/>
      <c r="R268" s="262"/>
      <c r="S268" s="262"/>
      <c r="T268" s="262"/>
      <c r="U268" s="262"/>
      <c r="V268" s="262"/>
      <c r="W268" s="262"/>
      <c r="X268" s="262"/>
      <c r="Y268" s="262"/>
      <c r="Z268" s="262"/>
    </row>
    <row r="269" spans="1:26" ht="12.75" outlineLevel="1">
      <c r="A269" s="247" t="s">
        <v>13611</v>
      </c>
      <c r="B269" s="386" t="s">
        <v>15445</v>
      </c>
      <c r="C269" s="386" t="s">
        <v>14472</v>
      </c>
      <c r="D269" s="1314" t="str">
        <f>IFERROR(VLOOKUP($B269,'24.08_ND'!$A$4833:$D$12369,2,0),IFERROR(VLOOKUP($B269,'03-CP'!$C$5:$H$4646,2,0),""))</f>
        <v>NIPLE DUPLO 3/4'' - FORNECIMENTO E INSTALAÇÃO</v>
      </c>
      <c r="E269" s="1315" t="str">
        <f>IFERROR(VLOOKUP($B269,'24.08_ND'!$A:$D,3,0),IFERROR(VLOOKUP($B269,'03-CP'!$C$5:$H$4646,3,0),""))</f>
        <v>UN</v>
      </c>
      <c r="F269" s="389">
        <v>8</v>
      </c>
      <c r="G269" s="1244"/>
      <c r="H269" s="1244"/>
      <c r="I269" s="1409"/>
      <c r="J269" s="1644" t="s">
        <v>16316</v>
      </c>
      <c r="K269" s="262"/>
      <c r="L269" s="262"/>
      <c r="M269" s="262"/>
      <c r="N269" s="262"/>
      <c r="O269" s="262"/>
      <c r="P269" s="262"/>
      <c r="Q269" s="262"/>
      <c r="R269" s="262"/>
      <c r="S269" s="262"/>
      <c r="T269" s="262"/>
      <c r="U269" s="262"/>
      <c r="V269" s="262"/>
      <c r="W269" s="262"/>
      <c r="X269" s="262"/>
      <c r="Y269" s="262"/>
      <c r="Z269" s="262"/>
    </row>
    <row r="270" spans="1:26" ht="25.5" outlineLevel="1">
      <c r="A270" s="247" t="s">
        <v>13612</v>
      </c>
      <c r="B270" s="386">
        <v>94492</v>
      </c>
      <c r="C270" s="386" t="s">
        <v>14476</v>
      </c>
      <c r="D270" s="1314" t="str">
        <f>IFERROR(VLOOKUP($B270,'24.08_ND'!$A$4833:$D$12369,2,0),IFERROR(VLOOKUP($B270,'03-CP'!$C$5:$H$4646,2,0),""))</f>
        <v>REGISTRO DE ESFERA, PVC, SOLDÁVEL, COM VOLANTE, DN  50 MM - FORNECIMENTO E INSTALAÇÃO. AF_08/2021</v>
      </c>
      <c r="E270" s="1315" t="str">
        <f>IFERROR(VLOOKUP($B270,'24.08_ND'!$A:$D,3,0),IFERROR(VLOOKUP($B270,'03-CP'!$C$5:$H$4646,3,0),""))</f>
        <v>UN</v>
      </c>
      <c r="F270" s="389">
        <v>2</v>
      </c>
      <c r="G270" s="1244"/>
      <c r="H270" s="1244"/>
      <c r="I270" s="1409"/>
      <c r="J270" s="1644" t="s">
        <v>16316</v>
      </c>
      <c r="K270" s="262"/>
      <c r="L270" s="262"/>
      <c r="M270" s="262"/>
      <c r="N270" s="262"/>
      <c r="O270" s="262"/>
      <c r="P270" s="262"/>
      <c r="Q270" s="262"/>
      <c r="R270" s="262"/>
      <c r="S270" s="262"/>
      <c r="T270" s="262"/>
      <c r="U270" s="262"/>
      <c r="V270" s="262"/>
      <c r="W270" s="262"/>
      <c r="X270" s="262"/>
      <c r="Y270" s="262"/>
      <c r="Z270" s="262"/>
    </row>
    <row r="271" spans="1:26" ht="25.5" outlineLevel="1">
      <c r="A271" s="247" t="s">
        <v>13613</v>
      </c>
      <c r="B271" s="386">
        <v>94490</v>
      </c>
      <c r="C271" s="386" t="s">
        <v>14476</v>
      </c>
      <c r="D271" s="1314" t="str">
        <f>IFERROR(VLOOKUP($B271,'24.08_ND'!$A$4833:$D$12369,2,0),IFERROR(VLOOKUP($B271,'03-CP'!$C$5:$H$4646,2,0),""))</f>
        <v>REGISTRO DE ESFERA, PVC, SOLDÁVEL, COM VOLANTE, DN  32 MM - FORNECIMENTO E INSTALAÇÃO. AF_08/2021</v>
      </c>
      <c r="E271" s="1315" t="str">
        <f>IFERROR(VLOOKUP($B271,'24.08_ND'!$A:$D,3,0),IFERROR(VLOOKUP($B271,'03-CP'!$C$5:$H$4646,3,0),""))</f>
        <v>UN</v>
      </c>
      <c r="F271" s="389">
        <v>2</v>
      </c>
      <c r="G271" s="1244"/>
      <c r="H271" s="1244"/>
      <c r="I271" s="1409"/>
      <c r="J271" s="1644" t="s">
        <v>16316</v>
      </c>
      <c r="K271" s="262"/>
      <c r="L271" s="262"/>
      <c r="M271" s="262"/>
      <c r="N271" s="262"/>
      <c r="O271" s="262"/>
      <c r="P271" s="262"/>
      <c r="Q271" s="262"/>
      <c r="R271" s="262"/>
      <c r="S271" s="262"/>
      <c r="T271" s="262"/>
      <c r="U271" s="262"/>
      <c r="V271" s="262"/>
      <c r="W271" s="262"/>
      <c r="X271" s="262"/>
      <c r="Y271" s="262"/>
      <c r="Z271" s="262"/>
    </row>
    <row r="272" spans="1:26" ht="25.5" outlineLevel="1">
      <c r="A272" s="247" t="s">
        <v>13614</v>
      </c>
      <c r="B272" s="386">
        <v>94489</v>
      </c>
      <c r="C272" s="386" t="s">
        <v>14476</v>
      </c>
      <c r="D272" s="1314" t="str">
        <f>IFERROR(VLOOKUP($B272,'24.08_ND'!$A$4833:$D$12369,2,0),IFERROR(VLOOKUP($B272,'03-CP'!$C$5:$H$4646,2,0),""))</f>
        <v>REGISTRO DE ESFERA, PVC, SOLDÁVEL, COM VOLANTE, DN  25 MM - FORNECIMENTO E INSTALAÇÃO. AF_08/2021</v>
      </c>
      <c r="E272" s="1315" t="str">
        <f>IFERROR(VLOOKUP($B272,'24.08_ND'!$A:$D,3,0),IFERROR(VLOOKUP($B272,'03-CP'!$C$5:$H$4646,3,0),""))</f>
        <v>UN</v>
      </c>
      <c r="F272" s="389">
        <v>2</v>
      </c>
      <c r="G272" s="1244"/>
      <c r="H272" s="1244"/>
      <c r="I272" s="1409"/>
      <c r="J272" s="1644" t="s">
        <v>16316</v>
      </c>
      <c r="K272" s="262"/>
      <c r="L272" s="262"/>
      <c r="M272" s="262"/>
      <c r="N272" s="262"/>
      <c r="O272" s="262"/>
      <c r="P272" s="262"/>
      <c r="Q272" s="262"/>
      <c r="R272" s="262"/>
      <c r="S272" s="262"/>
      <c r="T272" s="262"/>
      <c r="U272" s="262"/>
      <c r="V272" s="262"/>
      <c r="W272" s="262"/>
      <c r="X272" s="262"/>
      <c r="Y272" s="262"/>
      <c r="Z272" s="262"/>
    </row>
    <row r="273" spans="1:26" ht="25.5" outlineLevel="1">
      <c r="A273" s="247" t="s">
        <v>13615</v>
      </c>
      <c r="B273" s="386">
        <v>103979</v>
      </c>
      <c r="C273" s="386" t="s">
        <v>14476</v>
      </c>
      <c r="D273" s="1314" t="str">
        <f>IFERROR(VLOOKUP($B273,'24.08_ND'!$A$4833:$D$12369,2,0),IFERROR(VLOOKUP($B273,'03-CP'!$C$5:$H$4646,2,0),""))</f>
        <v>TUBO, PVC, SOLDÁVEL, DE 50MM, INSTALADO EM RAMAL DE DISTRIBUIÇÃO DE ÁGUA - FORNECIMENTO E INSTALAÇÃO. AF_06/2022</v>
      </c>
      <c r="E273" s="1315" t="str">
        <f>IFERROR(VLOOKUP($B273,'24.08_ND'!$A:$D,3,0),IFERROR(VLOOKUP($B273,'03-CP'!$C$5:$H$4646,3,0),""))</f>
        <v>M</v>
      </c>
      <c r="F273" s="389">
        <v>15</v>
      </c>
      <c r="G273" s="1244"/>
      <c r="H273" s="1244"/>
      <c r="I273" s="1409"/>
      <c r="J273" s="1644" t="s">
        <v>16316</v>
      </c>
      <c r="K273" s="262"/>
      <c r="L273" s="262"/>
      <c r="M273" s="262"/>
      <c r="N273" s="262"/>
      <c r="O273" s="262"/>
      <c r="P273" s="262"/>
      <c r="Q273" s="262"/>
      <c r="R273" s="262"/>
      <c r="S273" s="262"/>
      <c r="T273" s="262"/>
      <c r="U273" s="262"/>
      <c r="V273" s="262"/>
      <c r="W273" s="262"/>
      <c r="X273" s="262"/>
      <c r="Y273" s="262"/>
      <c r="Z273" s="262"/>
    </row>
    <row r="274" spans="1:26" ht="25.5" outlineLevel="1">
      <c r="A274" s="247" t="s">
        <v>13616</v>
      </c>
      <c r="B274" s="386">
        <v>89403</v>
      </c>
      <c r="C274" s="386" t="s">
        <v>14476</v>
      </c>
      <c r="D274" s="1314" t="str">
        <f>IFERROR(VLOOKUP($B274,'24.08_ND'!$A$4833:$D$12369,2,0),IFERROR(VLOOKUP($B274,'03-CP'!$C$5:$H$4646,2,0),""))</f>
        <v>TUBO, PVC, SOLDÁVEL, DE 32MM, INSTALADO EM RAMAL DE DISTRIBUIÇÃO DE ÁGUA - FORNECIMENTO E INSTALAÇÃO. AF_06/2022</v>
      </c>
      <c r="E274" s="1315" t="str">
        <f>IFERROR(VLOOKUP($B274,'24.08_ND'!$A:$D,3,0),IFERROR(VLOOKUP($B274,'03-CP'!$C$5:$H$4646,3,0),""))</f>
        <v>M</v>
      </c>
      <c r="F274" s="389">
        <v>6</v>
      </c>
      <c r="G274" s="1244"/>
      <c r="H274" s="1244"/>
      <c r="I274" s="1409"/>
      <c r="J274" s="1644" t="s">
        <v>16316</v>
      </c>
      <c r="K274" s="262"/>
      <c r="L274" s="262"/>
      <c r="M274" s="262"/>
      <c r="N274" s="262"/>
      <c r="O274" s="262"/>
      <c r="P274" s="262"/>
      <c r="Q274" s="262"/>
      <c r="R274" s="262"/>
      <c r="S274" s="262"/>
      <c r="T274" s="262"/>
      <c r="U274" s="262"/>
      <c r="V274" s="262"/>
      <c r="W274" s="262"/>
      <c r="X274" s="262"/>
      <c r="Y274" s="262"/>
      <c r="Z274" s="262"/>
    </row>
    <row r="275" spans="1:26" ht="25.5" outlineLevel="1">
      <c r="A275" s="247" t="s">
        <v>13617</v>
      </c>
      <c r="B275" s="386">
        <v>89402</v>
      </c>
      <c r="C275" s="386" t="s">
        <v>14476</v>
      </c>
      <c r="D275" s="1314" t="str">
        <f>IFERROR(VLOOKUP($B275,'24.08_ND'!$A$4833:$D$12369,2,0),IFERROR(VLOOKUP($B275,'03-CP'!$C$5:$H$4646,2,0),""))</f>
        <v>TUBO, PVC, SOLDÁVEL, DE 25MM, INSTALADO EM RAMAL DE DISTRIBUIÇÃO DE ÁGUA - FORNECIMENTO E INSTALAÇÃO. AF_06/2022</v>
      </c>
      <c r="E275" s="1315" t="str">
        <f>IFERROR(VLOOKUP($B275,'24.08_ND'!$A:$D,3,0),IFERROR(VLOOKUP($B275,'03-CP'!$C$5:$H$4646,3,0),""))</f>
        <v>M</v>
      </c>
      <c r="F275" s="389">
        <v>15</v>
      </c>
      <c r="G275" s="1244"/>
      <c r="H275" s="1244"/>
      <c r="I275" s="1409"/>
      <c r="J275" s="1644" t="s">
        <v>16316</v>
      </c>
      <c r="K275" s="262"/>
      <c r="L275" s="262"/>
      <c r="M275" s="262"/>
      <c r="N275" s="262"/>
      <c r="O275" s="262"/>
      <c r="P275" s="262"/>
      <c r="Q275" s="262"/>
      <c r="R275" s="262"/>
      <c r="S275" s="262"/>
      <c r="T275" s="262"/>
      <c r="U275" s="262"/>
      <c r="V275" s="262"/>
      <c r="W275" s="262"/>
      <c r="X275" s="262"/>
      <c r="Y275" s="262"/>
      <c r="Z275" s="262"/>
    </row>
    <row r="276" spans="1:26" ht="51" outlineLevel="1">
      <c r="A276" s="247" t="s">
        <v>13618</v>
      </c>
      <c r="B276" s="386">
        <v>91174</v>
      </c>
      <c r="C276" s="386" t="s">
        <v>14476</v>
      </c>
      <c r="D276" s="1314" t="str">
        <f>IFERROR(VLOOKUP($B276,'24.08_ND'!$A$4833:$D$12369,2,0),IFERROR(VLOOKUP($B276,'03-CP'!$C$5:$H$4646,2,0),""))</f>
        <v>FIXAÇÃO DE TUBOS VERTICAIS DE PVC ÁGUA, PVC ESGOTO, PVC ÁGUA PLUVIAL, CPVC, PPR, COBRE OU AÇO, DIÂMETROS MAIORES QUE 40 MM E MENORES OU IGUAIS A 75 MM, COM ABRAÇADEIRA METÁLICA RÍGIDA TIPO U PERFIL 2 1/2", FIXADA EM PERFILADO EM PAREDE. AF_09/2023_PS</v>
      </c>
      <c r="E276" s="1315" t="str">
        <f>IFERROR(VLOOKUP($B276,'24.08_ND'!$A:$D,3,0),IFERROR(VLOOKUP($B276,'03-CP'!$C$5:$H$4646,3,0),""))</f>
        <v>M</v>
      </c>
      <c r="F276" s="389">
        <v>10</v>
      </c>
      <c r="G276" s="1244"/>
      <c r="H276" s="1244"/>
      <c r="I276" s="1409"/>
      <c r="J276" s="1644" t="s">
        <v>16316</v>
      </c>
      <c r="K276" s="262"/>
      <c r="L276" s="262"/>
      <c r="M276" s="262"/>
      <c r="N276" s="262"/>
      <c r="O276" s="262"/>
      <c r="P276" s="262"/>
      <c r="Q276" s="262"/>
      <c r="R276" s="262"/>
      <c r="S276" s="262"/>
      <c r="T276" s="262"/>
      <c r="U276" s="262"/>
      <c r="V276" s="262"/>
      <c r="W276" s="262"/>
      <c r="X276" s="262"/>
      <c r="Y276" s="262"/>
      <c r="Z276" s="262"/>
    </row>
    <row r="277" spans="1:26" ht="25.5" outlineLevel="1">
      <c r="A277" s="247" t="s">
        <v>13619</v>
      </c>
      <c r="B277" s="386">
        <v>102605</v>
      </c>
      <c r="C277" s="386" t="s">
        <v>14476</v>
      </c>
      <c r="D277" s="1314" t="str">
        <f>IFERROR(VLOOKUP($B277,'24.08_ND'!$A$4833:$D$12369,2,0),IFERROR(VLOOKUP($B277,'03-CP'!$C$5:$H$4646,2,0),""))</f>
        <v>CAIXA D´ÁGUA EM POLIETILENO, 500 LITROS - FORNECIMENTO E INSTALAÇÃO. AF_06/2021</v>
      </c>
      <c r="E277" s="1315" t="str">
        <f>IFERROR(VLOOKUP($B277,'24.08_ND'!$A:$D,3,0),IFERROR(VLOOKUP($B277,'03-CP'!$C$5:$H$4646,3,0),""))</f>
        <v>UN</v>
      </c>
      <c r="F277" s="389">
        <v>2</v>
      </c>
      <c r="G277" s="1244"/>
      <c r="H277" s="1244"/>
      <c r="I277" s="1409"/>
      <c r="J277" s="1644" t="s">
        <v>16316</v>
      </c>
      <c r="K277" s="262"/>
      <c r="L277" s="262"/>
      <c r="M277" s="262"/>
      <c r="N277" s="262"/>
      <c r="O277" s="262"/>
      <c r="P277" s="262"/>
      <c r="Q277" s="262"/>
      <c r="R277" s="262"/>
      <c r="S277" s="262"/>
      <c r="T277" s="262"/>
      <c r="U277" s="262"/>
      <c r="V277" s="262"/>
      <c r="W277" s="262"/>
      <c r="X277" s="262"/>
      <c r="Y277" s="262"/>
      <c r="Z277" s="262"/>
    </row>
    <row r="278" spans="1:26" ht="38.25" outlineLevel="1">
      <c r="A278" s="247" t="s">
        <v>13620</v>
      </c>
      <c r="B278" s="386">
        <v>94703</v>
      </c>
      <c r="C278" s="386" t="s">
        <v>14476</v>
      </c>
      <c r="D278" s="1314" t="str">
        <f>IFERROR(VLOOKUP($B278,'24.08_ND'!$A$4833:$D$12369,2,0),IFERROR(VLOOKUP($B278,'03-CP'!$C$5:$H$4646,2,0),""))</f>
        <v>ADAPTADOR COM FLANGE E ANEL DE VEDAÇÃO, PVC, SOLDÁVEL, DN  25 MM X 3/4", INSTALADO EM RESERVAÇÃO PREDIAL DE ÁGUA - FORNECIMENTO E INSTALAÇÃO. AF_04/2024</v>
      </c>
      <c r="E278" s="1315" t="str">
        <f>IFERROR(VLOOKUP($B278,'24.08_ND'!$A:$D,3,0),IFERROR(VLOOKUP($B278,'03-CP'!$C$5:$H$4646,3,0),""))</f>
        <v>UN</v>
      </c>
      <c r="F278" s="389">
        <v>2</v>
      </c>
      <c r="G278" s="1244"/>
      <c r="H278" s="1244"/>
      <c r="I278" s="1409"/>
      <c r="J278" s="1644" t="s">
        <v>16316</v>
      </c>
      <c r="K278" s="262"/>
      <c r="L278" s="262"/>
      <c r="M278" s="262"/>
      <c r="N278" s="262"/>
      <c r="O278" s="262"/>
      <c r="P278" s="262"/>
      <c r="Q278" s="262"/>
      <c r="R278" s="262"/>
      <c r="S278" s="262"/>
      <c r="T278" s="262"/>
      <c r="U278" s="262"/>
      <c r="V278" s="262"/>
      <c r="W278" s="262"/>
      <c r="X278" s="262"/>
      <c r="Y278" s="262"/>
      <c r="Z278" s="262"/>
    </row>
    <row r="279" spans="1:26" ht="38.25" outlineLevel="1">
      <c r="A279" s="247" t="s">
        <v>13621</v>
      </c>
      <c r="B279" s="386">
        <v>94704</v>
      </c>
      <c r="C279" s="386" t="s">
        <v>14476</v>
      </c>
      <c r="D279" s="1314" t="str">
        <f>IFERROR(VLOOKUP($B279,'24.08_ND'!$A$4833:$D$12369,2,0),IFERROR(VLOOKUP($B279,'03-CP'!$C$5:$H$4646,2,0),""))</f>
        <v>ADAPTADOR COM FLANGE E ANEL DE VEDAÇÃO, PVC, SOLDÁVEL, DN 32 MM X 1", INSTALADO EM RESERVAÇÃO PREDIAL DE ÁGUA - FORNECIMENTO E INSTALAÇÃO. AF_04/2024</v>
      </c>
      <c r="E279" s="1315" t="str">
        <f>IFERROR(VLOOKUP($B279,'24.08_ND'!$A:$D,3,0),IFERROR(VLOOKUP($B279,'03-CP'!$C$5:$H$4646,3,0),""))</f>
        <v>UN</v>
      </c>
      <c r="F279" s="389">
        <v>4</v>
      </c>
      <c r="G279" s="1244"/>
      <c r="H279" s="1244"/>
      <c r="I279" s="1409"/>
      <c r="J279" s="1644" t="s">
        <v>16316</v>
      </c>
      <c r="K279" s="262"/>
      <c r="L279" s="262"/>
      <c r="M279" s="262"/>
      <c r="N279" s="262"/>
      <c r="O279" s="262"/>
      <c r="P279" s="262"/>
      <c r="Q279" s="262"/>
      <c r="R279" s="262"/>
      <c r="S279" s="262"/>
      <c r="T279" s="262"/>
      <c r="U279" s="262"/>
      <c r="V279" s="262"/>
      <c r="W279" s="262"/>
      <c r="X279" s="262"/>
      <c r="Y279" s="262"/>
      <c r="Z279" s="262"/>
    </row>
    <row r="280" spans="1:26" ht="38.25" outlineLevel="1">
      <c r="A280" s="247" t="s">
        <v>13622</v>
      </c>
      <c r="B280" s="386">
        <v>94706</v>
      </c>
      <c r="C280" s="386" t="s">
        <v>14476</v>
      </c>
      <c r="D280" s="1314" t="str">
        <f>IFERROR(VLOOKUP($B280,'24.08_ND'!$A$4833:$D$12369,2,0),IFERROR(VLOOKUP($B280,'03-CP'!$C$5:$H$4646,2,0),""))</f>
        <v>ADAPTADOR COM FLANGE E ANEL DE VEDAÇÃO, PVC, SOLDÁVEL, DN 50 MM X 1 1/2", INSTALADO EM RESERVAÇÃO PREDIAL DE ÁGUA - FORNECIMENTO E INSTALAÇÃO. AF_04/2024</v>
      </c>
      <c r="E280" s="1315" t="str">
        <f>IFERROR(VLOOKUP($B280,'24.08_ND'!$A:$D,3,0),IFERROR(VLOOKUP($B280,'03-CP'!$C$5:$H$4646,3,0),""))</f>
        <v>UN</v>
      </c>
      <c r="F280" s="389">
        <v>2</v>
      </c>
      <c r="G280" s="1244"/>
      <c r="H280" s="1244"/>
      <c r="I280" s="1409"/>
      <c r="J280" s="1644" t="s">
        <v>16316</v>
      </c>
      <c r="K280" s="262"/>
      <c r="L280" s="262"/>
      <c r="M280" s="262"/>
      <c r="N280" s="262"/>
      <c r="O280" s="262"/>
      <c r="P280" s="262"/>
      <c r="Q280" s="262"/>
      <c r="R280" s="262"/>
      <c r="S280" s="262"/>
      <c r="T280" s="262"/>
      <c r="U280" s="262"/>
      <c r="V280" s="262"/>
      <c r="W280" s="262"/>
      <c r="X280" s="262"/>
      <c r="Y280" s="262"/>
      <c r="Z280" s="262"/>
    </row>
    <row r="281" spans="1:26" ht="25.5" outlineLevel="1">
      <c r="A281" s="247" t="s">
        <v>13623</v>
      </c>
      <c r="B281" s="386">
        <v>94796</v>
      </c>
      <c r="C281" s="386" t="s">
        <v>14476</v>
      </c>
      <c r="D281" s="1314" t="str">
        <f>IFERROR(VLOOKUP($B281,'24.08_ND'!$A$4833:$D$12369,2,0),IFERROR(VLOOKUP($B281,'03-CP'!$C$5:$H$4646,2,0),""))</f>
        <v>TORNEIRA DE BOIA PARA CAIXA D'ÁGUA, ROSCÁVEL, 3/4" - FORNECIMENTO E INSTALAÇÃO. AF_08/2021</v>
      </c>
      <c r="E281" s="1315" t="str">
        <f>IFERROR(VLOOKUP($B281,'24.08_ND'!$A:$D,3,0),IFERROR(VLOOKUP($B281,'03-CP'!$C$5:$H$4646,3,0),""))</f>
        <v>UN</v>
      </c>
      <c r="F281" s="389">
        <v>2</v>
      </c>
      <c r="G281" s="1244"/>
      <c r="H281" s="1244"/>
      <c r="I281" s="1409"/>
      <c r="J281" s="1644" t="s">
        <v>16316</v>
      </c>
      <c r="K281" s="262"/>
      <c r="L281" s="262"/>
      <c r="M281" s="262"/>
      <c r="N281" s="262"/>
      <c r="O281" s="262"/>
      <c r="P281" s="262"/>
      <c r="Q281" s="262"/>
      <c r="R281" s="262"/>
      <c r="S281" s="262"/>
      <c r="T281" s="262"/>
      <c r="U281" s="262"/>
      <c r="V281" s="262"/>
      <c r="W281" s="262"/>
      <c r="X281" s="262"/>
      <c r="Y281" s="262"/>
      <c r="Z281" s="262"/>
    </row>
    <row r="282" spans="1:26" ht="12.75">
      <c r="A282" s="250" t="s">
        <v>13624</v>
      </c>
      <c r="B282" s="1309"/>
      <c r="C282" s="1497"/>
      <c r="D282" s="1498" t="s">
        <v>16317</v>
      </c>
      <c r="E282" s="234"/>
      <c r="F282" s="1311"/>
      <c r="G282" s="236"/>
      <c r="H282" s="236"/>
      <c r="I282" s="1499"/>
      <c r="J282" s="262"/>
      <c r="K282" s="262"/>
      <c r="L282" s="262"/>
      <c r="M282" s="262"/>
      <c r="N282" s="262"/>
      <c r="O282" s="262"/>
      <c r="P282" s="262"/>
      <c r="Q282" s="262"/>
      <c r="R282" s="262"/>
      <c r="S282" s="262"/>
      <c r="T282" s="262"/>
      <c r="U282" s="262"/>
      <c r="V282" s="262"/>
      <c r="W282" s="262"/>
      <c r="X282" s="262"/>
      <c r="Y282" s="262"/>
      <c r="Z282" s="262"/>
    </row>
    <row r="283" spans="1:26" ht="38.25" outlineLevel="1">
      <c r="A283" s="247" t="s">
        <v>13625</v>
      </c>
      <c r="B283" s="386">
        <v>89746</v>
      </c>
      <c r="C283" s="386" t="s">
        <v>14476</v>
      </c>
      <c r="D283" s="1314" t="str">
        <f>IFERROR(VLOOKUP($B283,'24.08_ND'!$A$4833:$D$12369,2,0),IFERROR(VLOOKUP($B283,'03-CP'!$C$5:$H$4646,2,0),""))</f>
        <v>JOELHO 45 GRAUS, PVC, SERIE NORMAL, ESGOTO PREDIAL, DN 100 MM, JUNTA ELÁSTICA, FORNECIDO E INSTALADO EM RAMAL DE DESCARGA OU RAMAL DE ESGOTO SANITÁRIO. AF_08/2022</v>
      </c>
      <c r="E283" s="1315" t="str">
        <f>IFERROR(VLOOKUP($B283,'24.08_ND'!$A:$D,3,0),IFERROR(VLOOKUP($B283,'03-CP'!$C$5:$H$4646,3,0),""))</f>
        <v>UN</v>
      </c>
      <c r="F283" s="389">
        <v>10</v>
      </c>
      <c r="G283" s="1244"/>
      <c r="H283" s="1244"/>
      <c r="I283" s="1409"/>
      <c r="J283" s="1644" t="s">
        <v>16316</v>
      </c>
      <c r="K283" s="262"/>
      <c r="L283" s="262"/>
      <c r="M283" s="262"/>
      <c r="N283" s="262"/>
      <c r="O283" s="262"/>
      <c r="P283" s="262"/>
      <c r="Q283" s="262"/>
      <c r="R283" s="262"/>
      <c r="S283" s="262"/>
      <c r="T283" s="262"/>
      <c r="U283" s="262"/>
      <c r="V283" s="262"/>
      <c r="W283" s="262"/>
      <c r="X283" s="262"/>
      <c r="Y283" s="262"/>
      <c r="Z283" s="262"/>
    </row>
    <row r="284" spans="1:26" ht="38.25" outlineLevel="1">
      <c r="A284" s="247" t="s">
        <v>13626</v>
      </c>
      <c r="B284" s="386">
        <v>89732</v>
      </c>
      <c r="C284" s="386" t="s">
        <v>14476</v>
      </c>
      <c r="D284" s="1314" t="str">
        <f>IFERROR(VLOOKUP($B284,'24.08_ND'!$A$4833:$D$12369,2,0),IFERROR(VLOOKUP($B284,'03-CP'!$C$5:$H$4646,2,0),""))</f>
        <v>JOELHO 45 GRAUS, PVC, SERIE NORMAL, ESGOTO PREDIAL, DN 50 MM, JUNTA ELÁSTICA, FORNECIDO E INSTALADO EM RAMAL DE DESCARGA OU RAMAL DE ESGOTO SANITÁRIO. AF_08/2022</v>
      </c>
      <c r="E284" s="1315" t="str">
        <f>IFERROR(VLOOKUP($B284,'24.08_ND'!$A:$D,3,0),IFERROR(VLOOKUP($B284,'03-CP'!$C$5:$H$4646,3,0),""))</f>
        <v>UN</v>
      </c>
      <c r="F284" s="389">
        <v>20</v>
      </c>
      <c r="G284" s="1244"/>
      <c r="H284" s="1244"/>
      <c r="I284" s="1409"/>
      <c r="J284" s="1644" t="s">
        <v>16316</v>
      </c>
      <c r="K284" s="262"/>
      <c r="L284" s="262"/>
      <c r="M284" s="262"/>
      <c r="N284" s="262"/>
      <c r="O284" s="262"/>
      <c r="P284" s="262"/>
      <c r="Q284" s="262"/>
      <c r="R284" s="262"/>
      <c r="S284" s="262"/>
      <c r="T284" s="262"/>
      <c r="U284" s="262"/>
      <c r="V284" s="262"/>
      <c r="W284" s="262"/>
      <c r="X284" s="262"/>
      <c r="Y284" s="262"/>
      <c r="Z284" s="262"/>
    </row>
    <row r="285" spans="1:26" ht="38.25" outlineLevel="1">
      <c r="A285" s="247" t="s">
        <v>13627</v>
      </c>
      <c r="B285" s="386">
        <v>89726</v>
      </c>
      <c r="C285" s="386" t="s">
        <v>14476</v>
      </c>
      <c r="D285" s="1314" t="str">
        <f>IFERROR(VLOOKUP($B285,'24.08_ND'!$A$4833:$D$12369,2,0),IFERROR(VLOOKUP($B285,'03-CP'!$C$5:$H$4646,2,0),""))</f>
        <v>JOELHO 45 GRAUS, PVC, SERIE NORMAL, ESGOTO PREDIAL, DN 40 MM, JUNTA SOLDÁVEL, FORNECIDO E INSTALADO EM RAMAL DE DESCARGA OU RAMAL DE ESGOTO SANITÁRIO. AF_08/2022</v>
      </c>
      <c r="E285" s="1315" t="str">
        <f>IFERROR(VLOOKUP($B285,'24.08_ND'!$A:$D,3,0),IFERROR(VLOOKUP($B285,'03-CP'!$C$5:$H$4646,3,0),""))</f>
        <v>UN</v>
      </c>
      <c r="F285" s="389">
        <v>3</v>
      </c>
      <c r="G285" s="1244"/>
      <c r="H285" s="1244"/>
      <c r="I285" s="1409"/>
      <c r="J285" s="1644" t="s">
        <v>16316</v>
      </c>
      <c r="K285" s="262"/>
      <c r="L285" s="262"/>
      <c r="M285" s="262"/>
      <c r="N285" s="262"/>
      <c r="O285" s="262"/>
      <c r="P285" s="262"/>
      <c r="Q285" s="262"/>
      <c r="R285" s="262"/>
      <c r="S285" s="262"/>
      <c r="T285" s="262"/>
      <c r="U285" s="262"/>
      <c r="V285" s="262"/>
      <c r="W285" s="262"/>
      <c r="X285" s="262"/>
      <c r="Y285" s="262"/>
      <c r="Z285" s="262"/>
    </row>
    <row r="286" spans="1:26" ht="38.25" outlineLevel="1">
      <c r="A286" s="247" t="s">
        <v>13628</v>
      </c>
      <c r="B286" s="386">
        <v>89748</v>
      </c>
      <c r="C286" s="386" t="s">
        <v>14476</v>
      </c>
      <c r="D286" s="1314" t="str">
        <f>IFERROR(VLOOKUP($B286,'24.08_ND'!$A$4833:$D$12369,2,0),IFERROR(VLOOKUP($B286,'03-CP'!$C$5:$H$4646,2,0),""))</f>
        <v>CURVA CURTA 90 GRAUS, PVC, SERIE NORMAL, ESGOTO PREDIAL, DN 100 MM, JUNTA ELÁSTICA, FORNECIDO E INSTALADO EM RAMAL DE DESCARGA OU RAMAL DE ESGOTO SANITÁRIO. AF_08/2022</v>
      </c>
      <c r="E286" s="1315" t="str">
        <f>IFERROR(VLOOKUP($B286,'24.08_ND'!$A:$D,3,0),IFERROR(VLOOKUP($B286,'03-CP'!$C$5:$H$4646,3,0),""))</f>
        <v>UN</v>
      </c>
      <c r="F286" s="389">
        <v>1</v>
      </c>
      <c r="G286" s="1244"/>
      <c r="H286" s="1244"/>
      <c r="I286" s="1409"/>
      <c r="J286" s="1644" t="s">
        <v>16316</v>
      </c>
      <c r="K286" s="262"/>
      <c r="L286" s="262"/>
      <c r="M286" s="262"/>
      <c r="N286" s="262"/>
      <c r="O286" s="262"/>
      <c r="P286" s="262"/>
      <c r="Q286" s="262"/>
      <c r="R286" s="262"/>
      <c r="S286" s="262"/>
      <c r="T286" s="262"/>
      <c r="U286" s="262"/>
      <c r="V286" s="262"/>
      <c r="W286" s="262"/>
      <c r="X286" s="262"/>
      <c r="Y286" s="262"/>
      <c r="Z286" s="262"/>
    </row>
    <row r="287" spans="1:26" ht="38.25" outlineLevel="1">
      <c r="A287" s="247" t="s">
        <v>13629</v>
      </c>
      <c r="B287" s="386">
        <v>89733</v>
      </c>
      <c r="C287" s="386" t="s">
        <v>14476</v>
      </c>
      <c r="D287" s="1314" t="str">
        <f>IFERROR(VLOOKUP($B287,'24.08_ND'!$A$4833:$D$12369,2,0),IFERROR(VLOOKUP($B287,'03-CP'!$C$5:$H$4646,2,0),""))</f>
        <v>CURVA CURTA 90 GRAUS, PVC, SERIE NORMAL, ESGOTO PREDIAL, DN 50 MM, JUNTA ELÁSTICA, FORNECIDO E INSTALADO EM RAMAL DE DESCARGA OU RAMAL DE ESGOTO SANITÁRIO. AF_08/2022</v>
      </c>
      <c r="E287" s="1315" t="str">
        <f>IFERROR(VLOOKUP($B287,'24.08_ND'!$A:$D,3,0),IFERROR(VLOOKUP($B287,'03-CP'!$C$5:$H$4646,3,0),""))</f>
        <v>UN</v>
      </c>
      <c r="F287" s="389">
        <v>4</v>
      </c>
      <c r="G287" s="1244"/>
      <c r="H287" s="1244"/>
      <c r="I287" s="1409"/>
      <c r="J287" s="1644" t="s">
        <v>16316</v>
      </c>
      <c r="K287" s="262"/>
      <c r="L287" s="262"/>
      <c r="M287" s="262"/>
      <c r="N287" s="262"/>
      <c r="O287" s="262"/>
      <c r="P287" s="262"/>
      <c r="Q287" s="262"/>
      <c r="R287" s="262"/>
      <c r="S287" s="262"/>
      <c r="T287" s="262"/>
      <c r="U287" s="262"/>
      <c r="V287" s="262"/>
      <c r="W287" s="262"/>
      <c r="X287" s="262"/>
      <c r="Y287" s="262"/>
      <c r="Z287" s="262"/>
    </row>
    <row r="288" spans="1:26" ht="38.25" outlineLevel="1">
      <c r="A288" s="247" t="s">
        <v>13630</v>
      </c>
      <c r="B288" s="386">
        <v>89724</v>
      </c>
      <c r="C288" s="386" t="s">
        <v>14476</v>
      </c>
      <c r="D288" s="1314" t="str">
        <f>IFERROR(VLOOKUP($B288,'24.08_ND'!$A$4833:$D$12369,2,0),IFERROR(VLOOKUP($B288,'03-CP'!$C$5:$H$4646,2,0),""))</f>
        <v>JOELHO 90 GRAUS, PVC, SERIE NORMAL, ESGOTO PREDIAL, DN 40 MM, JUNTA SOLDÁVEL, FORNECIDO E INSTALADO EM RAMAL DE DESCARGA OU RAMAL DE ESGOTO SANITÁRIO. AF_08/2022</v>
      </c>
      <c r="E288" s="1315" t="str">
        <f>IFERROR(VLOOKUP($B288,'24.08_ND'!$A:$D,3,0),IFERROR(VLOOKUP($B288,'03-CP'!$C$5:$H$4646,3,0),""))</f>
        <v>UN</v>
      </c>
      <c r="F288" s="389">
        <v>4</v>
      </c>
      <c r="G288" s="1244"/>
      <c r="H288" s="1244"/>
      <c r="I288" s="1409"/>
      <c r="J288" s="1644" t="s">
        <v>16316</v>
      </c>
      <c r="K288" s="262"/>
      <c r="L288" s="262"/>
      <c r="M288" s="262"/>
      <c r="N288" s="262"/>
      <c r="O288" s="262"/>
      <c r="P288" s="262"/>
      <c r="Q288" s="262"/>
      <c r="R288" s="262"/>
      <c r="S288" s="262"/>
      <c r="T288" s="262"/>
      <c r="U288" s="262"/>
      <c r="V288" s="262"/>
      <c r="W288" s="262"/>
      <c r="X288" s="262"/>
      <c r="Y288" s="262"/>
      <c r="Z288" s="262"/>
    </row>
    <row r="289" spans="1:26" ht="38.25" outlineLevel="1">
      <c r="A289" s="247" t="s">
        <v>13631</v>
      </c>
      <c r="B289" s="386">
        <v>89731</v>
      </c>
      <c r="C289" s="386" t="s">
        <v>14476</v>
      </c>
      <c r="D289" s="1314" t="str">
        <f>IFERROR(VLOOKUP($B289,'24.08_ND'!$A$4833:$D$12369,2,0),IFERROR(VLOOKUP($B289,'03-CP'!$C$5:$H$4646,2,0),""))</f>
        <v>JOELHO 90 GRAUS, PVC, SERIE NORMAL, ESGOTO PREDIAL, DN 50 MM, JUNTA ELÁSTICA, FORNECIDO E INSTALADO EM RAMAL DE DESCARGA OU RAMAL DE ESGOTO SANITÁRIO. AF_08/2022</v>
      </c>
      <c r="E289" s="1315" t="str">
        <f>IFERROR(VLOOKUP($B289,'24.08_ND'!$A:$D,3,0),IFERROR(VLOOKUP($B289,'03-CP'!$C$5:$H$4646,3,0),""))</f>
        <v>UN</v>
      </c>
      <c r="F289" s="389">
        <v>11</v>
      </c>
      <c r="G289" s="1244"/>
      <c r="H289" s="1244"/>
      <c r="I289" s="1409"/>
      <c r="J289" s="1644" t="s">
        <v>16316</v>
      </c>
      <c r="K289" s="262"/>
      <c r="L289" s="262"/>
      <c r="M289" s="262"/>
      <c r="N289" s="262"/>
      <c r="O289" s="262"/>
      <c r="P289" s="262"/>
      <c r="Q289" s="262"/>
      <c r="R289" s="262"/>
      <c r="S289" s="262"/>
      <c r="T289" s="262"/>
      <c r="U289" s="262"/>
      <c r="V289" s="262"/>
      <c r="W289" s="262"/>
      <c r="X289" s="262"/>
      <c r="Y289" s="262"/>
      <c r="Z289" s="262"/>
    </row>
    <row r="290" spans="1:26" ht="25.5" outlineLevel="1">
      <c r="A290" s="247" t="s">
        <v>13632</v>
      </c>
      <c r="B290" s="386" t="s">
        <v>15372</v>
      </c>
      <c r="C290" s="386" t="s">
        <v>14472</v>
      </c>
      <c r="D290" s="1314" t="str">
        <f>IFERROR(VLOOKUP($B290,'24.08_ND'!$A$4833:$D$12369,2,0),IFERROR(VLOOKUP($B290,'03-CP'!$C$5:$H$4646,2,0),""))</f>
        <v>CAP, PVC, SÉRIE NORMAL, ESGOTO PREDIAL, DN 100 MM, FORNECIMENTO E INSTALAÇÃO</v>
      </c>
      <c r="E290" s="1315" t="str">
        <f>IFERROR(VLOOKUP($B290,'24.08_ND'!$A:$D,3,0),IFERROR(VLOOKUP($B290,'03-CP'!$C$5:$H$4646,3,0),""))</f>
        <v>UN</v>
      </c>
      <c r="F290" s="389">
        <v>4</v>
      </c>
      <c r="G290" s="1244"/>
      <c r="H290" s="1244"/>
      <c r="I290" s="1409"/>
      <c r="J290" s="1644" t="s">
        <v>16316</v>
      </c>
      <c r="K290" s="262"/>
      <c r="L290" s="262"/>
      <c r="M290" s="262"/>
      <c r="N290" s="262"/>
      <c r="O290" s="262"/>
      <c r="P290" s="262"/>
      <c r="Q290" s="262"/>
      <c r="R290" s="262"/>
      <c r="S290" s="262"/>
      <c r="T290" s="262"/>
      <c r="U290" s="262"/>
      <c r="V290" s="262"/>
      <c r="W290" s="262"/>
      <c r="X290" s="262"/>
      <c r="Y290" s="262"/>
      <c r="Z290" s="262"/>
    </row>
    <row r="291" spans="1:26" ht="25.5" outlineLevel="1">
      <c r="A291" s="247" t="s">
        <v>13633</v>
      </c>
      <c r="B291" s="386" t="s">
        <v>15374</v>
      </c>
      <c r="C291" s="386" t="s">
        <v>14472</v>
      </c>
      <c r="D291" s="1314" t="str">
        <f>IFERROR(VLOOKUP($B291,'24.08_ND'!$A$4833:$D$12369,2,0),IFERROR(VLOOKUP($B291,'03-CP'!$C$5:$H$4646,2,0),""))</f>
        <v>CAP, PVC, SÉRIE NORMAL, ESGOTO PREDIAL, DN 50 MM, FORNECIMENTO E INSTALAÇÃO</v>
      </c>
      <c r="E291" s="1315" t="str">
        <f>IFERROR(VLOOKUP($B291,'24.08_ND'!$A:$D,3,0),IFERROR(VLOOKUP($B291,'03-CP'!$C$5:$H$4646,3,0),""))</f>
        <v>UN</v>
      </c>
      <c r="F291" s="389">
        <v>2</v>
      </c>
      <c r="G291" s="1244"/>
      <c r="H291" s="1244"/>
      <c r="I291" s="1409"/>
      <c r="J291" s="1644" t="s">
        <v>16316</v>
      </c>
      <c r="K291" s="262"/>
      <c r="L291" s="262"/>
      <c r="M291" s="262"/>
      <c r="N291" s="262"/>
      <c r="O291" s="262"/>
      <c r="P291" s="262"/>
      <c r="Q291" s="262"/>
      <c r="R291" s="262"/>
      <c r="S291" s="262"/>
      <c r="T291" s="262"/>
      <c r="U291" s="262"/>
      <c r="V291" s="262"/>
      <c r="W291" s="262"/>
      <c r="X291" s="262"/>
      <c r="Y291" s="262"/>
      <c r="Z291" s="262"/>
    </row>
    <row r="292" spans="1:26" ht="38.25" outlineLevel="1">
      <c r="A292" s="247" t="s">
        <v>13634</v>
      </c>
      <c r="B292" s="386">
        <v>89797</v>
      </c>
      <c r="C292" s="386" t="s">
        <v>14476</v>
      </c>
      <c r="D292" s="1314" t="str">
        <f>IFERROR(VLOOKUP($B292,'24.08_ND'!$A$4833:$D$12369,2,0),IFERROR(VLOOKUP($B292,'03-CP'!$C$5:$H$4646,2,0),""))</f>
        <v>JUNÇÃO SIMPLES, PVC, SERIE NORMAL, ESGOTO PREDIAL, DN 100 X 100 MM, JUNTA ELÁSTICA, FORNECIDO E INSTALADO EM RAMAL DE DESCARGA OU RAMAL DE ESGOTO SANITÁRIO. AF_08/2022</v>
      </c>
      <c r="E292" s="1315" t="str">
        <f>IFERROR(VLOOKUP($B292,'24.08_ND'!$A:$D,3,0),IFERROR(VLOOKUP($B292,'03-CP'!$C$5:$H$4646,3,0),""))</f>
        <v>UN</v>
      </c>
      <c r="F292" s="389">
        <v>5</v>
      </c>
      <c r="G292" s="1244"/>
      <c r="H292" s="1244"/>
      <c r="I292" s="1409"/>
      <c r="J292" s="1644" t="s">
        <v>16316</v>
      </c>
      <c r="K292" s="262"/>
      <c r="L292" s="262"/>
      <c r="M292" s="262"/>
      <c r="N292" s="262"/>
      <c r="O292" s="262"/>
      <c r="P292" s="262"/>
      <c r="Q292" s="262"/>
      <c r="R292" s="262"/>
      <c r="S292" s="262"/>
      <c r="T292" s="262"/>
      <c r="U292" s="262"/>
      <c r="V292" s="262"/>
      <c r="W292" s="262"/>
      <c r="X292" s="262"/>
      <c r="Y292" s="262"/>
      <c r="Z292" s="262"/>
    </row>
    <row r="293" spans="1:26" ht="38.25" outlineLevel="1">
      <c r="A293" s="247" t="s">
        <v>13635</v>
      </c>
      <c r="B293" s="386" t="str">
        <f>'03-CP'!C2540</f>
        <v>CP-HSD-06</v>
      </c>
      <c r="C293" s="386" t="s">
        <v>14472</v>
      </c>
      <c r="D293" s="1314" t="str">
        <f>IFERROR(VLOOKUP($B293,'24.08_ND'!$A$4833:$D$12369,2,0),IFERROR(VLOOKUP($B293,'03-CP'!$C$5:$H$4646,2,0),""))</f>
        <v>JUNÇÃO SIMPLES, PVC, SERIE NORMAL, ESGOTO PREDIAL, DN 100 X 50 MM, JUNTA ELÁSTICA, FORNECIDO E INSTALADO EM RAMAL DE DESCARGA OU RAMAL DE ESGOTO SANITÁRIO.</v>
      </c>
      <c r="E293" s="1315" t="str">
        <f>IFERROR(VLOOKUP($B293,'24.08_ND'!$A:$D,3,0),IFERROR(VLOOKUP($B293,'03-CP'!$C$5:$H$4646,3,0),""))</f>
        <v>UN</v>
      </c>
      <c r="F293" s="389">
        <v>2</v>
      </c>
      <c r="G293" s="1244"/>
      <c r="H293" s="1244"/>
      <c r="I293" s="1409"/>
      <c r="J293" s="1644" t="s">
        <v>16316</v>
      </c>
      <c r="K293" s="262"/>
      <c r="L293" s="262"/>
      <c r="M293" s="262"/>
      <c r="N293" s="262"/>
      <c r="O293" s="262"/>
      <c r="P293" s="262"/>
      <c r="Q293" s="262"/>
      <c r="R293" s="262"/>
      <c r="S293" s="262"/>
      <c r="T293" s="262"/>
      <c r="U293" s="262"/>
      <c r="V293" s="262"/>
      <c r="W293" s="262"/>
      <c r="X293" s="262"/>
      <c r="Y293" s="262"/>
      <c r="Z293" s="262"/>
    </row>
    <row r="294" spans="1:26" ht="38.25" outlineLevel="1">
      <c r="A294" s="247" t="s">
        <v>13636</v>
      </c>
      <c r="B294" s="386">
        <v>89778</v>
      </c>
      <c r="C294" s="386" t="s">
        <v>14476</v>
      </c>
      <c r="D294" s="1314" t="str">
        <f>IFERROR(VLOOKUP($B294,'24.08_ND'!$A$4833:$D$12369,2,0),IFERROR(VLOOKUP($B294,'03-CP'!$C$5:$H$4646,2,0),""))</f>
        <v>LUVA SIMPLES, PVC, SERIE NORMAL, ESGOTO PREDIAL, DN 100 MM, JUNTA ELÁSTICA, FORNECIDO E INSTALADO EM RAMAL DE DESCARGA OU RAMAL DE ESGOTO SANITÁRIO. AF_08/2022</v>
      </c>
      <c r="E294" s="1315" t="str">
        <f>IFERROR(VLOOKUP($B294,'24.08_ND'!$A:$D,3,0),IFERROR(VLOOKUP($B294,'03-CP'!$C$5:$H$4646,3,0),""))</f>
        <v>UN</v>
      </c>
      <c r="F294" s="389">
        <v>15</v>
      </c>
      <c r="G294" s="1244"/>
      <c r="H294" s="1244"/>
      <c r="I294" s="1409"/>
      <c r="J294" s="1644" t="s">
        <v>16316</v>
      </c>
      <c r="K294" s="262"/>
      <c r="L294" s="262"/>
      <c r="M294" s="262"/>
      <c r="N294" s="262"/>
      <c r="O294" s="262"/>
      <c r="P294" s="262"/>
      <c r="Q294" s="262"/>
      <c r="R294" s="262"/>
      <c r="S294" s="262"/>
      <c r="T294" s="262"/>
      <c r="U294" s="262"/>
      <c r="V294" s="262"/>
      <c r="W294" s="262"/>
      <c r="X294" s="262"/>
      <c r="Y294" s="262"/>
      <c r="Z294" s="262"/>
    </row>
    <row r="295" spans="1:26" ht="38.25" outlineLevel="1">
      <c r="A295" s="247" t="s">
        <v>13637</v>
      </c>
      <c r="B295" s="386">
        <v>89753</v>
      </c>
      <c r="C295" s="386" t="s">
        <v>14476</v>
      </c>
      <c r="D295" s="1314" t="str">
        <f>IFERROR(VLOOKUP($B295,'24.08_ND'!$A$4833:$D$12369,2,0),IFERROR(VLOOKUP($B295,'03-CP'!$C$5:$H$4646,2,0),""))</f>
        <v>LUVA SIMPLES, PVC, SERIE NORMAL, ESGOTO PREDIAL, DN 50 MM, JUNTA ELÁSTICA, FORNECIDO E INSTALADO EM RAMAL DE DESCARGA OU RAMAL DE ESGOTO SANITÁRIO. AF_08/2022</v>
      </c>
      <c r="E295" s="1315" t="str">
        <f>IFERROR(VLOOKUP($B295,'24.08_ND'!$A:$D,3,0),IFERROR(VLOOKUP($B295,'03-CP'!$C$5:$H$4646,3,0),""))</f>
        <v>UN</v>
      </c>
      <c r="F295" s="389">
        <v>28</v>
      </c>
      <c r="G295" s="1244"/>
      <c r="H295" s="1244"/>
      <c r="I295" s="1409"/>
      <c r="J295" s="1644" t="s">
        <v>16316</v>
      </c>
      <c r="K295" s="262"/>
      <c r="L295" s="262"/>
      <c r="M295" s="262"/>
      <c r="N295" s="262"/>
      <c r="O295" s="262"/>
      <c r="P295" s="262"/>
      <c r="Q295" s="262"/>
      <c r="R295" s="262"/>
      <c r="S295" s="262"/>
      <c r="T295" s="262"/>
      <c r="U295" s="262"/>
      <c r="V295" s="262"/>
      <c r="W295" s="262"/>
      <c r="X295" s="262"/>
      <c r="Y295" s="262"/>
      <c r="Z295" s="262"/>
    </row>
    <row r="296" spans="1:26" ht="38.25" outlineLevel="1">
      <c r="A296" s="247" t="s">
        <v>13638</v>
      </c>
      <c r="B296" s="386">
        <v>89774</v>
      </c>
      <c r="C296" s="386" t="s">
        <v>14476</v>
      </c>
      <c r="D296" s="1314" t="str">
        <f>IFERROR(VLOOKUP($B296,'24.08_ND'!$A$4833:$D$12369,2,0),IFERROR(VLOOKUP($B296,'03-CP'!$C$5:$H$4646,2,0),""))</f>
        <v>LUVA SIMPLES, PVC, SERIE NORMAL, ESGOTO PREDIAL, DN 75 MM, JUNTA ELÁSTICA, FORNECIDO E INSTALADO EM RAMAL DE DESCARGA OU RAMAL DE ESGOTO SANITÁRIO. AF_08/2022</v>
      </c>
      <c r="E296" s="1315" t="str">
        <f>IFERROR(VLOOKUP($B296,'24.08_ND'!$A:$D,3,0),IFERROR(VLOOKUP($B296,'03-CP'!$C$5:$H$4646,3,0),""))</f>
        <v>UN</v>
      </c>
      <c r="F296" s="389">
        <v>1</v>
      </c>
      <c r="G296" s="1244"/>
      <c r="H296" s="1244"/>
      <c r="I296" s="1409"/>
      <c r="J296" s="1644" t="s">
        <v>16316</v>
      </c>
      <c r="K296" s="262"/>
      <c r="L296" s="262"/>
      <c r="M296" s="262"/>
      <c r="N296" s="262"/>
      <c r="O296" s="262"/>
      <c r="P296" s="262"/>
      <c r="Q296" s="262"/>
      <c r="R296" s="262"/>
      <c r="S296" s="262"/>
      <c r="T296" s="262"/>
      <c r="U296" s="262"/>
      <c r="V296" s="262"/>
      <c r="W296" s="262"/>
      <c r="X296" s="262"/>
      <c r="Y296" s="262"/>
      <c r="Z296" s="262"/>
    </row>
    <row r="297" spans="1:26" ht="25.5" outlineLevel="1">
      <c r="A297" s="247" t="s">
        <v>13639</v>
      </c>
      <c r="B297" s="386" t="s">
        <v>15378</v>
      </c>
      <c r="C297" s="386" t="s">
        <v>14472</v>
      </c>
      <c r="D297" s="1314" t="str">
        <f>IFERROR(VLOOKUP($B297,'24.08_ND'!$A$4833:$D$12369,2,0),IFERROR(VLOOKUP($B297,'03-CP'!$C$5:$H$4646,2,0),""))</f>
        <v>REDUÇÃO EXCÊNTRICA, PVC, SERIE R, DN 75 X 50 MM, JUNTA ELÁSTICA, FORNECIDO E INSTALADO EM RAMAL DE ENCAMINHAMENTO. AF_06/2022</v>
      </c>
      <c r="E297" s="1315" t="str">
        <f>IFERROR(VLOOKUP($B297,'24.08_ND'!$A:$D,3,0),IFERROR(VLOOKUP($B297,'03-CP'!$C$5:$H$4646,3,0),""))</f>
        <v>UN</v>
      </c>
      <c r="F297" s="389">
        <v>1</v>
      </c>
      <c r="G297" s="1244"/>
      <c r="H297" s="1244"/>
      <c r="I297" s="1409"/>
      <c r="J297" s="1644" t="s">
        <v>16316</v>
      </c>
      <c r="K297" s="262"/>
      <c r="L297" s="262"/>
      <c r="M297" s="262"/>
      <c r="N297" s="262"/>
      <c r="O297" s="262"/>
      <c r="P297" s="262"/>
      <c r="Q297" s="262"/>
      <c r="R297" s="262"/>
      <c r="S297" s="262"/>
      <c r="T297" s="262"/>
      <c r="U297" s="262"/>
      <c r="V297" s="262"/>
      <c r="W297" s="262"/>
      <c r="X297" s="262"/>
      <c r="Y297" s="262"/>
      <c r="Z297" s="262"/>
    </row>
    <row r="298" spans="1:26" ht="38.25" outlineLevel="1">
      <c r="A298" s="247" t="s">
        <v>13640</v>
      </c>
      <c r="B298" s="386">
        <v>89784</v>
      </c>
      <c r="C298" s="386" t="s">
        <v>14476</v>
      </c>
      <c r="D298" s="1314" t="str">
        <f>IFERROR(VLOOKUP($B298,'24.08_ND'!$A$4833:$D$12369,2,0),IFERROR(VLOOKUP($B298,'03-CP'!$C$5:$H$4646,2,0),""))</f>
        <v>TE, PVC, SERIE NORMAL, ESGOTO PREDIAL, DN 50 X 50 MM, JUNTA ELÁSTICA, FORNECIDO E INSTALADO EM RAMAL DE DESCARGA OU RAMAL DE ESGOTO SANITÁRIO. AF_08/2022</v>
      </c>
      <c r="E298" s="1315" t="str">
        <f>IFERROR(VLOOKUP($B298,'24.08_ND'!$A:$D,3,0),IFERROR(VLOOKUP($B298,'03-CP'!$C$5:$H$4646,3,0),""))</f>
        <v>UN</v>
      </c>
      <c r="F298" s="389">
        <v>5</v>
      </c>
      <c r="G298" s="1244"/>
      <c r="H298" s="1244"/>
      <c r="I298" s="1409"/>
      <c r="J298" s="1644" t="s">
        <v>16316</v>
      </c>
      <c r="K298" s="262"/>
      <c r="L298" s="262"/>
      <c r="M298" s="262"/>
      <c r="N298" s="262"/>
      <c r="O298" s="262"/>
      <c r="P298" s="262"/>
      <c r="Q298" s="262"/>
      <c r="R298" s="262"/>
      <c r="S298" s="262"/>
      <c r="T298" s="262"/>
      <c r="U298" s="262"/>
      <c r="V298" s="262"/>
      <c r="W298" s="262"/>
      <c r="X298" s="262"/>
      <c r="Y298" s="262"/>
      <c r="Z298" s="262"/>
    </row>
    <row r="299" spans="1:26" ht="38.25" outlineLevel="1">
      <c r="A299" s="247" t="s">
        <v>13641</v>
      </c>
      <c r="B299" s="386">
        <v>104348</v>
      </c>
      <c r="C299" s="386" t="s">
        <v>14476</v>
      </c>
      <c r="D299" s="1314" t="str">
        <f>IFERROR(VLOOKUP($B299,'24.08_ND'!$A$4833:$D$12369,2,0),IFERROR(VLOOKUP($B299,'03-CP'!$C$5:$H$4646,2,0),""))</f>
        <v>TERMINAL DE VENTILAÇÃO, PVC, SÉRIE NORMAL, ESGOTO PREDIAL, DN 50 MM, JUNTA SOLDÁVEL, FORNECIDO E INSTALADO EM PRUMADA DE ESGOTO SANITÁRIO OU VENTILAÇÃO. AF_08/2022</v>
      </c>
      <c r="E299" s="1315" t="str">
        <f>IFERROR(VLOOKUP($B299,'24.08_ND'!$A:$D,3,0),IFERROR(VLOOKUP($B299,'03-CP'!$C$5:$H$4646,3,0),""))</f>
        <v>UN</v>
      </c>
      <c r="F299" s="389">
        <v>3</v>
      </c>
      <c r="G299" s="1244"/>
      <c r="H299" s="1244"/>
      <c r="I299" s="1409"/>
      <c r="J299" s="1644" t="s">
        <v>16316</v>
      </c>
      <c r="K299" s="262"/>
      <c r="L299" s="262"/>
      <c r="M299" s="262"/>
      <c r="N299" s="262"/>
      <c r="O299" s="262"/>
      <c r="P299" s="262"/>
      <c r="Q299" s="262"/>
      <c r="R299" s="262"/>
      <c r="S299" s="262"/>
      <c r="T299" s="262"/>
      <c r="U299" s="262"/>
      <c r="V299" s="262"/>
      <c r="W299" s="262"/>
      <c r="X299" s="262"/>
      <c r="Y299" s="262"/>
      <c r="Z299" s="262"/>
    </row>
    <row r="300" spans="1:26" ht="38.25" outlineLevel="1">
      <c r="A300" s="247" t="s">
        <v>13642</v>
      </c>
      <c r="B300" s="386">
        <v>89714</v>
      </c>
      <c r="C300" s="386" t="s">
        <v>14476</v>
      </c>
      <c r="D300" s="1314" t="str">
        <f>IFERROR(VLOOKUP($B300,'24.08_ND'!$A$4833:$D$12369,2,0),IFERROR(VLOOKUP($B300,'03-CP'!$C$5:$H$4646,2,0),""))</f>
        <v>TUBO PVC, SERIE NORMAL, ESGOTO PREDIAL, DN 100 MM, FORNECIDO E INSTALADO EM RAMAL DE DESCARGA OU RAMAL DE ESGOTO SANITÁRIO. AF_08/2022</v>
      </c>
      <c r="E300" s="1315" t="str">
        <f>IFERROR(VLOOKUP($B300,'24.08_ND'!$A:$D,3,0),IFERROR(VLOOKUP($B300,'03-CP'!$C$5:$H$4646,3,0),""))</f>
        <v>M</v>
      </c>
      <c r="F300" s="389">
        <v>18</v>
      </c>
      <c r="G300" s="1244"/>
      <c r="H300" s="1244"/>
      <c r="I300" s="1409"/>
      <c r="J300" s="1644" t="s">
        <v>16316</v>
      </c>
      <c r="K300" s="262"/>
      <c r="L300" s="262"/>
      <c r="M300" s="262"/>
      <c r="N300" s="262"/>
      <c r="O300" s="262"/>
      <c r="P300" s="262"/>
      <c r="Q300" s="262"/>
      <c r="R300" s="262"/>
      <c r="S300" s="262"/>
      <c r="T300" s="262"/>
      <c r="U300" s="262"/>
      <c r="V300" s="262"/>
      <c r="W300" s="262"/>
      <c r="X300" s="262"/>
      <c r="Y300" s="262"/>
      <c r="Z300" s="262"/>
    </row>
    <row r="301" spans="1:26" ht="38.25" outlineLevel="1">
      <c r="A301" s="247" t="s">
        <v>13643</v>
      </c>
      <c r="B301" s="386">
        <v>89713</v>
      </c>
      <c r="C301" s="386" t="s">
        <v>14476</v>
      </c>
      <c r="D301" s="1314" t="str">
        <f>IFERROR(VLOOKUP($B301,'24.08_ND'!$A$4833:$D$12369,2,0),IFERROR(VLOOKUP($B301,'03-CP'!$C$5:$H$4646,2,0),""))</f>
        <v>TUBO PVC, SERIE NORMAL, ESGOTO PREDIAL, DN 75 MM, FORNECIDO E INSTALADO EM RAMAL DE DESCARGA OU RAMAL DE ESGOTO SANITÁRIO. AF_08/2022</v>
      </c>
      <c r="E301" s="1315" t="str">
        <f>IFERROR(VLOOKUP($B301,'24.08_ND'!$A:$D,3,0),IFERROR(VLOOKUP($B301,'03-CP'!$C$5:$H$4646,3,0),""))</f>
        <v>M</v>
      </c>
      <c r="F301" s="389">
        <v>1</v>
      </c>
      <c r="G301" s="1244"/>
      <c r="H301" s="1244"/>
      <c r="I301" s="1409"/>
      <c r="J301" s="1644" t="s">
        <v>16316</v>
      </c>
      <c r="K301" s="262"/>
      <c r="L301" s="262"/>
      <c r="M301" s="262"/>
      <c r="N301" s="262"/>
      <c r="O301" s="262"/>
      <c r="P301" s="262"/>
      <c r="Q301" s="262"/>
      <c r="R301" s="262"/>
      <c r="S301" s="262"/>
      <c r="T301" s="262"/>
      <c r="U301" s="262"/>
      <c r="V301" s="262"/>
      <c r="W301" s="262"/>
      <c r="X301" s="262"/>
      <c r="Y301" s="262"/>
      <c r="Z301" s="262"/>
    </row>
    <row r="302" spans="1:26" ht="38.25" outlineLevel="1">
      <c r="A302" s="247" t="s">
        <v>13644</v>
      </c>
      <c r="B302" s="386">
        <v>89712</v>
      </c>
      <c r="C302" s="386" t="s">
        <v>14476</v>
      </c>
      <c r="D302" s="1314" t="str">
        <f>IFERROR(VLOOKUP($B302,'24.08_ND'!$A$4833:$D$12369,2,0),IFERROR(VLOOKUP($B302,'03-CP'!$C$5:$H$4646,2,0),""))</f>
        <v>TUBO PVC, SERIE NORMAL, ESGOTO PREDIAL, DN 50 MM, FORNECIDO E INSTALADO EM RAMAL DE DESCARGA OU RAMAL DE ESGOTO SANITÁRIO. AF_08/2022</v>
      </c>
      <c r="E302" s="1315" t="str">
        <f>IFERROR(VLOOKUP($B302,'24.08_ND'!$A:$D,3,0),IFERROR(VLOOKUP($B302,'03-CP'!$C$5:$H$4646,3,0),""))</f>
        <v>M</v>
      </c>
      <c r="F302" s="389">
        <v>20</v>
      </c>
      <c r="G302" s="1244"/>
      <c r="H302" s="1244"/>
      <c r="I302" s="1409"/>
      <c r="J302" s="1644" t="s">
        <v>16316</v>
      </c>
      <c r="K302" s="262"/>
      <c r="L302" s="262"/>
      <c r="M302" s="262"/>
      <c r="N302" s="262"/>
      <c r="O302" s="262"/>
      <c r="P302" s="262"/>
      <c r="Q302" s="262"/>
      <c r="R302" s="262"/>
      <c r="S302" s="262"/>
      <c r="T302" s="262"/>
      <c r="U302" s="262"/>
      <c r="V302" s="262"/>
      <c r="W302" s="262"/>
      <c r="X302" s="262"/>
      <c r="Y302" s="262"/>
      <c r="Z302" s="262"/>
    </row>
    <row r="303" spans="1:26" ht="38.25" outlineLevel="1">
      <c r="A303" s="247" t="s">
        <v>13645</v>
      </c>
      <c r="B303" s="386">
        <v>89711</v>
      </c>
      <c r="C303" s="386" t="s">
        <v>14476</v>
      </c>
      <c r="D303" s="1314" t="str">
        <f>IFERROR(VLOOKUP($B303,'24.08_ND'!$A$4833:$D$12369,2,0),IFERROR(VLOOKUP($B303,'03-CP'!$C$5:$H$4646,2,0),""))</f>
        <v>TUBO PVC, SERIE NORMAL, ESGOTO PREDIAL, DN 40 MM, FORNECIDO E INSTALADO EM RAMAL DE DESCARGA OU RAMAL DE ESGOTO SANITÁRIO. AF_08/2022</v>
      </c>
      <c r="E303" s="1315" t="str">
        <f>IFERROR(VLOOKUP($B303,'24.08_ND'!$A:$D,3,0),IFERROR(VLOOKUP($B303,'03-CP'!$C$5:$H$4646,3,0),""))</f>
        <v>M</v>
      </c>
      <c r="F303" s="389">
        <v>2</v>
      </c>
      <c r="G303" s="1244"/>
      <c r="H303" s="1244"/>
      <c r="I303" s="1409"/>
      <c r="J303" s="1644" t="s">
        <v>16316</v>
      </c>
      <c r="K303" s="262"/>
      <c r="L303" s="262"/>
      <c r="M303" s="262"/>
      <c r="N303" s="262"/>
      <c r="O303" s="262"/>
      <c r="P303" s="262"/>
      <c r="Q303" s="262"/>
      <c r="R303" s="262"/>
      <c r="S303" s="262"/>
      <c r="T303" s="262"/>
      <c r="U303" s="262"/>
      <c r="V303" s="262"/>
      <c r="W303" s="262"/>
      <c r="X303" s="262"/>
      <c r="Y303" s="262"/>
      <c r="Z303" s="262"/>
    </row>
    <row r="304" spans="1:26" ht="25.5" outlineLevel="1">
      <c r="A304" s="247" t="s">
        <v>13646</v>
      </c>
      <c r="B304" s="386" t="s">
        <v>15419</v>
      </c>
      <c r="C304" s="386" t="s">
        <v>14472</v>
      </c>
      <c r="D304" s="1314" t="str">
        <f>IFERROR(VLOOKUP($B304,'24.08_ND'!$A$4833:$D$12369,2,0),IFERROR(VLOOKUP($B304,'03-CP'!$C$5:$H$4646,2,0),""))</f>
        <v xml:space="preserve">RALO SIFONADO QUADRADO 100X53 MM, SAIDA 40 MM, COM GRELHA QUADRADA </v>
      </c>
      <c r="E304" s="1315" t="str">
        <f>IFERROR(VLOOKUP($B304,'24.08_ND'!$A:$D,3,0),IFERROR(VLOOKUP($B304,'03-CP'!$C$5:$H$4646,3,0),""))</f>
        <v>UN</v>
      </c>
      <c r="F304" s="389">
        <v>1</v>
      </c>
      <c r="G304" s="1244"/>
      <c r="H304" s="1244"/>
      <c r="I304" s="1409"/>
      <c r="J304" s="1644" t="s">
        <v>16316</v>
      </c>
      <c r="K304" s="262"/>
      <c r="L304" s="262"/>
      <c r="M304" s="262"/>
      <c r="N304" s="262"/>
      <c r="O304" s="262"/>
      <c r="P304" s="262"/>
      <c r="Q304" s="262"/>
      <c r="R304" s="262"/>
      <c r="S304" s="262"/>
      <c r="T304" s="262"/>
      <c r="U304" s="262"/>
      <c r="V304" s="262"/>
      <c r="W304" s="262"/>
      <c r="X304" s="262"/>
      <c r="Y304" s="262"/>
      <c r="Z304" s="262"/>
    </row>
    <row r="305" spans="1:26" ht="25.5" outlineLevel="1">
      <c r="A305" s="247" t="s">
        <v>13647</v>
      </c>
      <c r="B305" s="386" t="s">
        <v>15417</v>
      </c>
      <c r="C305" s="386" t="s">
        <v>14472</v>
      </c>
      <c r="D305" s="1314" t="str">
        <f>IFERROR(VLOOKUP($B305,'24.08_ND'!$A$4833:$D$12369,2,0),IFERROR(VLOOKUP($B305,'03-CP'!$C$5:$H$4646,2,0),""))</f>
        <v>TAMPA CEGA INOX QUADRADA DN 150 MM, INCLUSO PORTA GRELHA PARA ENCAIXE - FORNECIMENTO E INSTALAÇÃO</v>
      </c>
      <c r="E305" s="1315" t="str">
        <f>IFERROR(VLOOKUP($B305,'24.08_ND'!$A:$D,3,0),IFERROR(VLOOKUP($B305,'03-CP'!$C$5:$H$4646,3,0),""))</f>
        <v>UN</v>
      </c>
      <c r="F305" s="389">
        <v>4</v>
      </c>
      <c r="G305" s="1244"/>
      <c r="H305" s="1244"/>
      <c r="I305" s="1409"/>
      <c r="J305" s="1644" t="s">
        <v>16316</v>
      </c>
      <c r="K305" s="262"/>
      <c r="L305" s="262"/>
      <c r="M305" s="262"/>
      <c r="N305" s="262"/>
      <c r="O305" s="262"/>
      <c r="P305" s="262"/>
      <c r="Q305" s="262"/>
      <c r="R305" s="262"/>
      <c r="S305" s="262"/>
      <c r="T305" s="262"/>
      <c r="U305" s="262"/>
      <c r="V305" s="262"/>
      <c r="W305" s="262"/>
      <c r="X305" s="262"/>
      <c r="Y305" s="262"/>
      <c r="Z305" s="262"/>
    </row>
    <row r="306" spans="1:26" ht="38.25" outlineLevel="1">
      <c r="A306" s="247" t="s">
        <v>13648</v>
      </c>
      <c r="B306" s="386" t="s">
        <v>15392</v>
      </c>
      <c r="C306" s="386" t="s">
        <v>14472</v>
      </c>
      <c r="D306" s="1314" t="str">
        <f>IFERROR(VLOOKUP($B306,'24.08_ND'!$A$4833:$D$12369,2,0),IFERROR(VLOOKUP($B306,'03-CP'!$C$5:$H$4646,2,0),""))</f>
        <v>CAIXA SIFONADA, COM GRELHA QUADRADA, PVC, DN 100 X 150 X 50 MM, JUNTA ELÁSTICA, FORNECIDA E INSTALADA EM RAMAL DE DESCARGA OU EM RAMAL DE ESGOTO SANITÁRIO</v>
      </c>
      <c r="E306" s="1315" t="str">
        <f>IFERROR(VLOOKUP($B306,'24.08_ND'!$A:$D,3,0),IFERROR(VLOOKUP($B306,'03-CP'!$C$5:$H$4646,3,0),""))</f>
        <v>UN</v>
      </c>
      <c r="F306" s="389">
        <v>1</v>
      </c>
      <c r="G306" s="1244"/>
      <c r="H306" s="1244"/>
      <c r="I306" s="1409"/>
      <c r="J306" s="1644" t="s">
        <v>16316</v>
      </c>
      <c r="K306" s="262"/>
      <c r="L306" s="262"/>
      <c r="M306" s="262"/>
      <c r="N306" s="262"/>
      <c r="O306" s="262"/>
      <c r="P306" s="262"/>
      <c r="Q306" s="262"/>
      <c r="R306" s="262"/>
      <c r="S306" s="262"/>
      <c r="T306" s="262"/>
      <c r="U306" s="262"/>
      <c r="V306" s="262"/>
      <c r="W306" s="262"/>
      <c r="X306" s="262"/>
      <c r="Y306" s="262"/>
      <c r="Z306" s="262"/>
    </row>
    <row r="307" spans="1:26" ht="51" outlineLevel="1">
      <c r="A307" s="247" t="s">
        <v>13649</v>
      </c>
      <c r="B307" s="386">
        <v>91179</v>
      </c>
      <c r="C307" s="386" t="s">
        <v>14476</v>
      </c>
      <c r="D307" s="1314" t="str">
        <f>IFERROR(VLOOKUP($B307,'24.08_ND'!$A$4833:$D$12369,2,0),IFERROR(VLOOKUP($B307,'03-CP'!$C$5:$H$4646,2,0),""))</f>
        <v>FIXAÇÃO DE TUBOS HORIZONTAIS DE PVC ÁGUA/PVC ESGOTO/PVC PLUVIAL/CPVC/PPR/COBRE OU AÇO, DIÂMETROS MENORES OU IGUAIS A 40 MM, COM ABRAÇADEIRA METÁLICA RÍGIDA TIPO  D  COM PARAFUSO DE FIXAÇÃO 1 1/4", FIXADA DIRETAMENTE NA LAJE OU PAREDE. AF_09/2023</v>
      </c>
      <c r="E307" s="1315" t="str">
        <f>IFERROR(VLOOKUP($B307,'24.08_ND'!$A:$D,3,0),IFERROR(VLOOKUP($B307,'03-CP'!$C$5:$H$4646,3,0),""))</f>
        <v>M</v>
      </c>
      <c r="F307" s="389">
        <v>3</v>
      </c>
      <c r="G307" s="1244"/>
      <c r="H307" s="1244"/>
      <c r="I307" s="1409"/>
      <c r="J307" s="1644" t="s">
        <v>16316</v>
      </c>
      <c r="K307" s="262"/>
      <c r="L307" s="262"/>
      <c r="M307" s="262"/>
      <c r="N307" s="262"/>
      <c r="O307" s="262"/>
      <c r="P307" s="262"/>
      <c r="Q307" s="262"/>
      <c r="R307" s="262"/>
      <c r="S307" s="262"/>
      <c r="T307" s="262"/>
      <c r="U307" s="262"/>
      <c r="V307" s="262"/>
      <c r="W307" s="262"/>
      <c r="X307" s="262"/>
      <c r="Y307" s="262"/>
      <c r="Z307" s="262"/>
    </row>
    <row r="308" spans="1:26" ht="38.25" outlineLevel="1">
      <c r="A308" s="247" t="s">
        <v>13650</v>
      </c>
      <c r="B308" s="386">
        <v>98107</v>
      </c>
      <c r="C308" s="386" t="s">
        <v>14476</v>
      </c>
      <c r="D308" s="1314" t="str">
        <f>IFERROR(VLOOKUP($B308,'24.08_ND'!$A$4833:$D$12369,2,0),IFERROR(VLOOKUP($B308,'03-CP'!$C$5:$H$4646,2,0),""))</f>
        <v>CAIXA DE GORDURA SIMPLES (CAPACIDADE: 36 L), RETANGULAR, EM ALVENARIA COM BLOCOS DE CONCRETO, DIMENSÕES INTERNAS = 0,2X0,4 M, ALTURA INTERNA = 0,8 M. AF_12/2020</v>
      </c>
      <c r="E308" s="1315" t="str">
        <f>IFERROR(VLOOKUP($B308,'24.08_ND'!$A:$D,3,0),IFERROR(VLOOKUP($B308,'03-CP'!$C$5:$H$4646,3,0),""))</f>
        <v>UN</v>
      </c>
      <c r="F308" s="389">
        <v>1</v>
      </c>
      <c r="G308" s="1244"/>
      <c r="H308" s="1244"/>
      <c r="I308" s="1409"/>
      <c r="J308" s="1644" t="s">
        <v>16316</v>
      </c>
      <c r="K308" s="262"/>
      <c r="L308" s="262"/>
      <c r="M308" s="262"/>
      <c r="N308" s="262"/>
      <c r="O308" s="262"/>
      <c r="P308" s="262"/>
      <c r="Q308" s="262"/>
      <c r="R308" s="262"/>
      <c r="S308" s="262"/>
      <c r="T308" s="262"/>
      <c r="U308" s="262"/>
      <c r="V308" s="262"/>
      <c r="W308" s="262"/>
      <c r="X308" s="262"/>
      <c r="Y308" s="262"/>
      <c r="Z308" s="262"/>
    </row>
    <row r="309" spans="1:26" ht="12.75" outlineLevel="1">
      <c r="A309" s="247" t="s">
        <v>13651</v>
      </c>
      <c r="B309" s="386" t="s">
        <v>15421</v>
      </c>
      <c r="C309" s="386" t="s">
        <v>14472</v>
      </c>
      <c r="D309" s="1314" t="str">
        <f>IFERROR(VLOOKUP($B309,'24.08_ND'!$A$4833:$D$12369,2,0),IFERROR(VLOOKUP($B309,'03-CP'!$C$5:$H$4646,2,0),""))</f>
        <v>FOSSA ECOLÓGICA ACOPLADA DE 1000L - FORNECIMENTO E INSTALAÇÃO</v>
      </c>
      <c r="E309" s="1315" t="str">
        <f>IFERROR(VLOOKUP($B309,'24.08_ND'!$A:$D,3,0),IFERROR(VLOOKUP($B309,'03-CP'!$C$5:$H$4646,3,0),""))</f>
        <v>UN</v>
      </c>
      <c r="F309" s="389">
        <v>1</v>
      </c>
      <c r="G309" s="1244"/>
      <c r="H309" s="1244"/>
      <c r="I309" s="1409"/>
      <c r="J309" s="1644" t="s">
        <v>16316</v>
      </c>
      <c r="K309" s="262"/>
      <c r="L309" s="262"/>
      <c r="M309" s="262"/>
      <c r="N309" s="262"/>
      <c r="O309" s="262"/>
      <c r="P309" s="262"/>
      <c r="Q309" s="262"/>
      <c r="R309" s="262"/>
      <c r="S309" s="262"/>
      <c r="T309" s="262"/>
      <c r="U309" s="262"/>
      <c r="V309" s="262"/>
      <c r="W309" s="262"/>
      <c r="X309" s="262"/>
      <c r="Y309" s="262"/>
      <c r="Z309" s="262"/>
    </row>
    <row r="310" spans="1:26" ht="25.5" outlineLevel="1">
      <c r="A310" s="247" t="s">
        <v>13652</v>
      </c>
      <c r="B310" s="386" t="s">
        <v>15424</v>
      </c>
      <c r="C310" s="386" t="s">
        <v>14472</v>
      </c>
      <c r="D310" s="1314" t="str">
        <f>IFERROR(VLOOKUP($B310,'24.08_ND'!$A$4833:$D$12369,2,0),IFERROR(VLOOKUP($B310,'03-CP'!$C$5:$H$4646,2,0),""))</f>
        <v xml:space="preserve">SUMIDOURO ANÉIS PRÉ-MOLDADOS DE CONCRETO, DIÂMETRO DE 0,8 M, ALTURA ÚTIL DE 1,80M. </v>
      </c>
      <c r="E310" s="1315" t="str">
        <f>IFERROR(VLOOKUP($B310,'24.08_ND'!$A:$D,3,0),IFERROR(VLOOKUP($B310,'03-CP'!$C$5:$H$4646,3,0),""))</f>
        <v>UN</v>
      </c>
      <c r="F310" s="389">
        <v>1</v>
      </c>
      <c r="G310" s="1244"/>
      <c r="H310" s="1244"/>
      <c r="I310" s="1409"/>
      <c r="J310" s="1644" t="s">
        <v>16316</v>
      </c>
      <c r="K310" s="262"/>
      <c r="L310" s="262"/>
      <c r="M310" s="262"/>
      <c r="N310" s="262"/>
      <c r="O310" s="262"/>
      <c r="P310" s="262"/>
      <c r="Q310" s="262"/>
      <c r="R310" s="262"/>
      <c r="S310" s="262"/>
      <c r="T310" s="262"/>
      <c r="U310" s="262"/>
      <c r="V310" s="262"/>
      <c r="W310" s="262"/>
      <c r="X310" s="262"/>
      <c r="Y310" s="262"/>
      <c r="Z310" s="262"/>
    </row>
    <row r="311" spans="1:26" ht="25.5" outlineLevel="1">
      <c r="A311" s="247" t="s">
        <v>13653</v>
      </c>
      <c r="B311" s="386">
        <v>93358</v>
      </c>
      <c r="C311" s="386" t="s">
        <v>14476</v>
      </c>
      <c r="D311" s="387" t="str">
        <f>IFERROR(VLOOKUP($B311,'24.08_ND'!$A$4833:$D$12369,2,0),IFERROR(VLOOKUP($B311,'03-CP'!$C$5:$H$4646,2,0),""))</f>
        <v>ESCAVAÇÃO MANUAL DE VALA COM PROFUNDIDADE MENOR OU IGUAL A 1,30 M. AF_02/2021</v>
      </c>
      <c r="E311" s="1244" t="str">
        <f>IFERROR(VLOOKUP($B311,'24.08_ND'!$A:$D,3,0),IFERROR(VLOOKUP($B311,'03-CP'!$C$5:$H$4646,3,0),""))</f>
        <v>M3</v>
      </c>
      <c r="F311" s="389">
        <v>10</v>
      </c>
      <c r="G311" s="1244"/>
      <c r="H311" s="1244"/>
      <c r="I311" s="1409"/>
      <c r="J311" s="1644" t="s">
        <v>16316</v>
      </c>
      <c r="K311" s="262"/>
      <c r="L311" s="262"/>
      <c r="M311" s="262"/>
      <c r="N311" s="262"/>
      <c r="O311" s="262"/>
      <c r="P311" s="262"/>
      <c r="Q311" s="262"/>
      <c r="R311" s="262"/>
      <c r="S311" s="262"/>
      <c r="T311" s="262"/>
      <c r="U311" s="262"/>
      <c r="V311" s="262"/>
      <c r="W311" s="262"/>
      <c r="X311" s="262"/>
      <c r="Y311" s="262"/>
      <c r="Z311" s="262"/>
    </row>
    <row r="312" spans="1:26" ht="12.75" outlineLevel="1">
      <c r="A312" s="247" t="s">
        <v>13654</v>
      </c>
      <c r="B312" s="386">
        <v>102718</v>
      </c>
      <c r="C312" s="386" t="s">
        <v>14476</v>
      </c>
      <c r="D312" s="387" t="str">
        <f>IFERROR(VLOOKUP($B312,'24.08_ND'!$A$4833:$D$12369,2,0),IFERROR(VLOOKUP($B312,'03-CP'!$C$5:$H$4646,2,0),""))</f>
        <v>ENCHIMENTO DE AREIA PARA DRENO, LANÇAMENTO MANUAL. AF_07/2021</v>
      </c>
      <c r="E312" s="1244" t="str">
        <f>IFERROR(VLOOKUP($B312,'24.08_ND'!$A:$D,3,0),IFERROR(VLOOKUP($B312,'03-CP'!$C$5:$H$4646,3,0),""))</f>
        <v>M3</v>
      </c>
      <c r="F312" s="389">
        <v>5</v>
      </c>
      <c r="G312" s="1244"/>
      <c r="H312" s="1244"/>
      <c r="I312" s="1409"/>
      <c r="J312" s="1644" t="s">
        <v>16316</v>
      </c>
      <c r="K312" s="262"/>
      <c r="L312" s="262"/>
      <c r="M312" s="262"/>
      <c r="N312" s="262"/>
      <c r="O312" s="262"/>
      <c r="P312" s="262"/>
      <c r="Q312" s="262"/>
      <c r="R312" s="262"/>
      <c r="S312" s="262"/>
      <c r="T312" s="262"/>
      <c r="U312" s="262"/>
      <c r="V312" s="262"/>
      <c r="W312" s="262"/>
      <c r="X312" s="262"/>
      <c r="Y312" s="262"/>
      <c r="Z312" s="262"/>
    </row>
    <row r="313" spans="1:26" ht="25.5" outlineLevel="1">
      <c r="A313" s="247" t="s">
        <v>13655</v>
      </c>
      <c r="B313" s="386">
        <v>93382</v>
      </c>
      <c r="C313" s="386" t="s">
        <v>14476</v>
      </c>
      <c r="D313" s="387" t="str">
        <f>IFERROR(VLOOKUP($B313,'24.08_ND'!$A$4833:$D$12369,2,0),IFERROR(VLOOKUP($B313,'03-CP'!$C$5:$H$4646,2,0),""))</f>
        <v>REATERRO MANUAL DE VALAS, COM COMPACTADOR DE SOLOS DE PERCUSSÃO. AF_08/2023</v>
      </c>
      <c r="E313" s="1244" t="str">
        <f>IFERROR(VLOOKUP($B313,'24.08_ND'!$A:$D,3,0),IFERROR(VLOOKUP($B313,'03-CP'!$C$5:$H$4646,3,0),""))</f>
        <v>M3</v>
      </c>
      <c r="F313" s="389">
        <v>5</v>
      </c>
      <c r="G313" s="1244"/>
      <c r="H313" s="1244"/>
      <c r="I313" s="1409"/>
      <c r="J313" s="1644" t="s">
        <v>16316</v>
      </c>
      <c r="K313" s="262"/>
      <c r="L313" s="262"/>
      <c r="M313" s="262"/>
      <c r="N313" s="262"/>
      <c r="O313" s="262"/>
      <c r="P313" s="262"/>
      <c r="Q313" s="262"/>
      <c r="R313" s="262"/>
      <c r="S313" s="262"/>
      <c r="T313" s="262"/>
      <c r="U313" s="262"/>
      <c r="V313" s="262"/>
      <c r="W313" s="262"/>
      <c r="X313" s="262"/>
      <c r="Y313" s="262"/>
      <c r="Z313" s="262"/>
    </row>
    <row r="314" spans="1:26" ht="12.75">
      <c r="A314" s="250" t="s">
        <v>13656</v>
      </c>
      <c r="B314" s="1309"/>
      <c r="C314" s="1497"/>
      <c r="D314" s="1498" t="s">
        <v>16318</v>
      </c>
      <c r="E314" s="234"/>
      <c r="F314" s="1311"/>
      <c r="G314" s="236"/>
      <c r="H314" s="236"/>
      <c r="I314" s="1499"/>
      <c r="J314" s="262"/>
      <c r="K314" s="262"/>
      <c r="L314" s="262"/>
      <c r="M314" s="262"/>
      <c r="N314" s="262"/>
      <c r="O314" s="262"/>
      <c r="P314" s="262"/>
      <c r="Q314" s="262"/>
      <c r="R314" s="262"/>
      <c r="S314" s="262"/>
      <c r="T314" s="262"/>
      <c r="U314" s="262"/>
      <c r="V314" s="262"/>
      <c r="W314" s="262"/>
      <c r="X314" s="262"/>
      <c r="Y314" s="262"/>
      <c r="Z314" s="262"/>
    </row>
    <row r="315" spans="1:26" ht="38.25" outlineLevel="1">
      <c r="A315" s="247" t="s">
        <v>13657</v>
      </c>
      <c r="B315" s="386">
        <v>99260</v>
      </c>
      <c r="C315" s="386" t="s">
        <v>14476</v>
      </c>
      <c r="D315" s="1314" t="str">
        <f>IFERROR(VLOOKUP($B315,'24.08_ND'!$A$4833:$D$12369,2,0),IFERROR(VLOOKUP($B315,'03-CP'!$C$5:$H$4646,2,0),""))</f>
        <v>CAIXA ENTERRADA HIDRÁULICA RETANGULAR, EM ALVENARIA COM BLOCOS DE CONCRETO, DIMENSÕES INTERNAS: 0,6X0,6X0,6 M PARA REDE DE DRENAGEM. AF_12/2020</v>
      </c>
      <c r="E315" s="1315" t="str">
        <f>IFERROR(VLOOKUP($B315,'24.08_ND'!$A:$D,3,0),IFERROR(VLOOKUP($B315,'03-CP'!$C$5:$H$4646,3,0),""))</f>
        <v>UN</v>
      </c>
      <c r="F315" s="389">
        <v>1</v>
      </c>
      <c r="G315" s="1244"/>
      <c r="H315" s="1244"/>
      <c r="I315" s="1409"/>
      <c r="J315" s="1644" t="s">
        <v>16316</v>
      </c>
      <c r="K315" s="1441"/>
      <c r="L315" s="262"/>
      <c r="M315" s="262"/>
      <c r="N315" s="262"/>
      <c r="O315" s="262"/>
      <c r="P315" s="262"/>
      <c r="Q315" s="262"/>
      <c r="R315" s="262"/>
      <c r="S315" s="262"/>
      <c r="T315" s="262"/>
      <c r="U315" s="262"/>
      <c r="V315" s="262"/>
      <c r="W315" s="262"/>
      <c r="X315" s="262"/>
      <c r="Y315" s="262"/>
      <c r="Z315" s="262"/>
    </row>
    <row r="316" spans="1:26" ht="38.25" outlineLevel="1">
      <c r="A316" s="247" t="s">
        <v>13658</v>
      </c>
      <c r="B316" s="386">
        <v>89585</v>
      </c>
      <c r="C316" s="386" t="s">
        <v>14476</v>
      </c>
      <c r="D316" s="1314" t="str">
        <f>IFERROR(VLOOKUP($B316,'24.08_ND'!$A$4833:$D$12369,2,0),IFERROR(VLOOKUP($B316,'03-CP'!$C$5:$H$4646,2,0),""))</f>
        <v>JOELHO 45 GRAUS, PVC, SERIE R, ÁGUA PLUVIAL, DN 100 MM, JUNTA ELÁSTICA, FORNECIDO E INSTALADO EM CONDUTORES VERTICAIS DE ÁGUAS PLUVIAIS. AF_06/2022</v>
      </c>
      <c r="E316" s="1315" t="str">
        <f>IFERROR(VLOOKUP($B316,'24.08_ND'!$A:$D,3,0),IFERROR(VLOOKUP($B316,'03-CP'!$C$5:$H$4646,3,0),""))</f>
        <v>UN</v>
      </c>
      <c r="F316" s="389">
        <v>4</v>
      </c>
      <c r="G316" s="1244"/>
      <c r="H316" s="1244"/>
      <c r="I316" s="1409"/>
      <c r="J316" s="1644" t="s">
        <v>16316</v>
      </c>
      <c r="K316" s="1441"/>
      <c r="L316" s="262"/>
      <c r="M316" s="262"/>
      <c r="N316" s="262"/>
      <c r="O316" s="262"/>
      <c r="P316" s="262"/>
      <c r="Q316" s="262"/>
      <c r="R316" s="262"/>
      <c r="S316" s="262"/>
      <c r="T316" s="262"/>
      <c r="U316" s="262"/>
      <c r="V316" s="262"/>
      <c r="W316" s="262"/>
      <c r="X316" s="262"/>
      <c r="Y316" s="262"/>
      <c r="Z316" s="262"/>
    </row>
    <row r="317" spans="1:26" ht="25.5" outlineLevel="1">
      <c r="A317" s="247" t="s">
        <v>13659</v>
      </c>
      <c r="B317" s="386">
        <v>89554</v>
      </c>
      <c r="C317" s="386" t="s">
        <v>14476</v>
      </c>
      <c r="D317" s="1314" t="str">
        <f>IFERROR(VLOOKUP($B317,'24.08_ND'!$A$4833:$D$12369,2,0),IFERROR(VLOOKUP($B317,'03-CP'!$C$5:$H$4646,2,0),""))</f>
        <v>LUVA SIMPLES, PVC, SERIE R, ÁGUA PLUVIAL, DN 100 MM, JUNTA ELÁSTICA, FORNECIDO E INSTALADO EM RAMAL DE ENCAMINHAMENTO. AF_06/2022</v>
      </c>
      <c r="E317" s="1315" t="str">
        <f>IFERROR(VLOOKUP($B317,'24.08_ND'!$A:$D,3,0),IFERROR(VLOOKUP($B317,'03-CP'!$C$5:$H$4646,3,0),""))</f>
        <v>UN</v>
      </c>
      <c r="F317" s="389">
        <v>9</v>
      </c>
      <c r="G317" s="1244"/>
      <c r="H317" s="1244"/>
      <c r="I317" s="1409"/>
      <c r="J317" s="1644" t="s">
        <v>16316</v>
      </c>
      <c r="K317" s="1441"/>
      <c r="L317" s="262"/>
      <c r="M317" s="262"/>
      <c r="N317" s="262"/>
      <c r="O317" s="262"/>
      <c r="P317" s="262"/>
      <c r="Q317" s="262"/>
      <c r="R317" s="262"/>
      <c r="S317" s="262"/>
      <c r="T317" s="262"/>
      <c r="U317" s="262"/>
      <c r="V317" s="262"/>
      <c r="W317" s="262"/>
      <c r="X317" s="262"/>
      <c r="Y317" s="262"/>
      <c r="Z317" s="262"/>
    </row>
    <row r="318" spans="1:26" ht="38.25" outlineLevel="1">
      <c r="A318" s="247" t="s">
        <v>13660</v>
      </c>
      <c r="B318" s="386">
        <v>89677</v>
      </c>
      <c r="C318" s="386" t="s">
        <v>14476</v>
      </c>
      <c r="D318" s="1314" t="str">
        <f>IFERROR(VLOOKUP($B318,'24.08_ND'!$A$4833:$D$12369,2,0),IFERROR(VLOOKUP($B318,'03-CP'!$C$5:$H$4646,2,0),""))</f>
        <v>LUVA SIMPLES, PVC, SERIE R, ÁGUA PLUVIAL, DN 150 MM, JUNTA ELÁSTICA, FORNECIDO E INSTALADO EM CONDUTORES VERTICAIS DE ÁGUAS PLUVIAIS. AF_06/2022</v>
      </c>
      <c r="E318" s="1315" t="str">
        <f>IFERROR(VLOOKUP($B318,'24.08_ND'!$A:$D,3,0),IFERROR(VLOOKUP($B318,'03-CP'!$C$5:$H$4646,3,0),""))</f>
        <v>UN</v>
      </c>
      <c r="F318" s="389">
        <v>4</v>
      </c>
      <c r="G318" s="1244"/>
      <c r="H318" s="1244"/>
      <c r="I318" s="1409"/>
      <c r="J318" s="1644" t="s">
        <v>16316</v>
      </c>
      <c r="K318" s="1441"/>
      <c r="L318" s="262"/>
      <c r="M318" s="262"/>
      <c r="N318" s="262"/>
      <c r="O318" s="262"/>
      <c r="P318" s="262"/>
      <c r="Q318" s="262"/>
      <c r="R318" s="262"/>
      <c r="S318" s="262"/>
      <c r="T318" s="262"/>
      <c r="U318" s="262"/>
      <c r="V318" s="262"/>
      <c r="W318" s="262"/>
      <c r="X318" s="262"/>
      <c r="Y318" s="262"/>
      <c r="Z318" s="262"/>
    </row>
    <row r="319" spans="1:26" ht="38.25" outlineLevel="1">
      <c r="A319" s="247" t="s">
        <v>13661</v>
      </c>
      <c r="B319" s="386">
        <v>89584</v>
      </c>
      <c r="C319" s="386" t="s">
        <v>14476</v>
      </c>
      <c r="D319" s="1314" t="str">
        <f>IFERROR(VLOOKUP($B319,'24.08_ND'!$A$4833:$D$12369,2,0),IFERROR(VLOOKUP($B319,'03-CP'!$C$5:$H$4646,2,0),""))</f>
        <v>JOELHO 90 GRAUS, PVC, SERIE R, ÁGUA PLUVIAL, DN 100 MM, JUNTA ELÁSTICA, FORNECIDO E INSTALADO EM CONDUTORES VERTICAIS DE ÁGUAS PLUVIAIS. AF_06/2022</v>
      </c>
      <c r="E319" s="1315" t="str">
        <f>IFERROR(VLOOKUP($B319,'24.08_ND'!$A:$D,3,0),IFERROR(VLOOKUP($B319,'03-CP'!$C$5:$H$4646,3,0),""))</f>
        <v>UN</v>
      </c>
      <c r="F319" s="389">
        <v>5</v>
      </c>
      <c r="G319" s="1244"/>
      <c r="H319" s="1244"/>
      <c r="I319" s="1409"/>
      <c r="J319" s="1644" t="s">
        <v>16316</v>
      </c>
      <c r="K319" s="1441"/>
      <c r="L319" s="262"/>
      <c r="M319" s="262"/>
      <c r="N319" s="262"/>
      <c r="O319" s="262"/>
      <c r="P319" s="262"/>
      <c r="Q319" s="262"/>
      <c r="R319" s="262"/>
      <c r="S319" s="262"/>
      <c r="T319" s="262"/>
      <c r="U319" s="262"/>
      <c r="V319" s="262"/>
      <c r="W319" s="262"/>
      <c r="X319" s="262"/>
      <c r="Y319" s="262"/>
      <c r="Z319" s="262"/>
    </row>
    <row r="320" spans="1:26" ht="25.5" outlineLevel="1">
      <c r="A320" s="247" t="s">
        <v>13662</v>
      </c>
      <c r="B320" s="386">
        <v>89512</v>
      </c>
      <c r="C320" s="386" t="s">
        <v>14476</v>
      </c>
      <c r="D320" s="1314" t="str">
        <f>IFERROR(VLOOKUP($B320,'24.08_ND'!$A$4833:$D$12369,2,0),IFERROR(VLOOKUP($B320,'03-CP'!$C$5:$H$4646,2,0),""))</f>
        <v>TUBO PVC, SÉRIE R, ÁGUA PLUVIAL, DN 100 MM, FORNECIDO E INSTALADO EM RAMAL DE ENCAMINHAMENTO. AF_06/2022</v>
      </c>
      <c r="E320" s="1315" t="str">
        <f>IFERROR(VLOOKUP($B320,'24.08_ND'!$A:$D,3,0),IFERROR(VLOOKUP($B320,'03-CP'!$C$5:$H$4646,3,0),""))</f>
        <v>M</v>
      </c>
      <c r="F320" s="389">
        <v>15</v>
      </c>
      <c r="G320" s="1244"/>
      <c r="H320" s="1244"/>
      <c r="I320" s="1409"/>
      <c r="J320" s="1644" t="s">
        <v>16316</v>
      </c>
      <c r="K320" s="1441"/>
      <c r="L320" s="262"/>
      <c r="M320" s="262"/>
      <c r="N320" s="262"/>
      <c r="O320" s="262"/>
      <c r="P320" s="262"/>
      <c r="Q320" s="262"/>
      <c r="R320" s="262"/>
      <c r="S320" s="262"/>
      <c r="T320" s="262"/>
      <c r="U320" s="262"/>
      <c r="V320" s="262"/>
      <c r="W320" s="262"/>
      <c r="X320" s="262"/>
      <c r="Y320" s="262"/>
      <c r="Z320" s="262"/>
    </row>
    <row r="321" spans="1:26" ht="25.5" outlineLevel="1">
      <c r="A321" s="247" t="s">
        <v>13663</v>
      </c>
      <c r="B321" s="386">
        <v>104166</v>
      </c>
      <c r="C321" s="386" t="s">
        <v>14476</v>
      </c>
      <c r="D321" s="1314" t="str">
        <f>IFERROR(VLOOKUP($B321,'24.08_ND'!$A$4833:$D$12369,2,0),IFERROR(VLOOKUP($B321,'03-CP'!$C$5:$H$4646,2,0),""))</f>
        <v>TUBO PVC, SÉRIE R, ÁGUA PLUVIAL, DN 150 MM, FORNECIDO E INSTALADO EM RAMAL DE ENCAMINHAMENTO. AF_06/2022</v>
      </c>
      <c r="E321" s="1315" t="str">
        <f>IFERROR(VLOOKUP($B321,'24.08_ND'!$A:$D,3,0),IFERROR(VLOOKUP($B321,'03-CP'!$C$5:$H$4646,3,0),""))</f>
        <v>M</v>
      </c>
      <c r="F321" s="389">
        <v>30</v>
      </c>
      <c r="G321" s="1244"/>
      <c r="H321" s="1244"/>
      <c r="I321" s="1409"/>
      <c r="J321" s="1644" t="s">
        <v>16316</v>
      </c>
      <c r="K321" s="1441"/>
      <c r="L321" s="262"/>
      <c r="M321" s="262"/>
      <c r="N321" s="262"/>
      <c r="O321" s="262"/>
      <c r="P321" s="262"/>
      <c r="Q321" s="262"/>
      <c r="R321" s="262"/>
      <c r="S321" s="262"/>
      <c r="T321" s="262"/>
      <c r="U321" s="262"/>
      <c r="V321" s="262"/>
      <c r="W321" s="262"/>
      <c r="X321" s="262"/>
      <c r="Y321" s="262"/>
      <c r="Z321" s="262"/>
    </row>
    <row r="322" spans="1:26" ht="12.75" outlineLevel="1">
      <c r="A322" s="247" t="s">
        <v>13664</v>
      </c>
      <c r="B322" s="386" t="s">
        <v>15408</v>
      </c>
      <c r="C322" s="386" t="s">
        <v>14472</v>
      </c>
      <c r="D322" s="1314" t="str">
        <f>IFERROR(VLOOKUP($B322,'24.08_ND'!$A$4833:$D$12369,2,0),IFERROR(VLOOKUP($B322,'03-CP'!$C$5:$H$4646,2,0),""))</f>
        <v>RALO HEMISFERICO 100MM PVC (RALO ABACAXI)</v>
      </c>
      <c r="E322" s="1315" t="str">
        <f>IFERROR(VLOOKUP($B322,'24.08_ND'!$A:$D,3,0),IFERROR(VLOOKUP($B322,'03-CP'!$C$5:$H$4646,3,0),""))</f>
        <v>UN</v>
      </c>
      <c r="F322" s="389">
        <v>2</v>
      </c>
      <c r="G322" s="1244"/>
      <c r="H322" s="1244"/>
      <c r="I322" s="1409"/>
      <c r="J322" s="1644" t="s">
        <v>16316</v>
      </c>
      <c r="K322" s="1441"/>
      <c r="L322" s="262"/>
      <c r="M322" s="262"/>
      <c r="N322" s="262"/>
      <c r="O322" s="262"/>
      <c r="P322" s="262"/>
      <c r="Q322" s="262"/>
      <c r="R322" s="262"/>
      <c r="S322" s="262"/>
      <c r="T322" s="262"/>
      <c r="U322" s="262"/>
      <c r="V322" s="262"/>
      <c r="W322" s="262"/>
      <c r="X322" s="262"/>
      <c r="Y322" s="262"/>
      <c r="Z322" s="262"/>
    </row>
    <row r="323" spans="1:26" ht="51" outlineLevel="1">
      <c r="A323" s="247" t="s">
        <v>13665</v>
      </c>
      <c r="B323" s="386">
        <v>91175</v>
      </c>
      <c r="C323" s="386" t="s">
        <v>14476</v>
      </c>
      <c r="D323" s="1314" t="str">
        <f>IFERROR(VLOOKUP($B323,'24.08_ND'!$A$4833:$D$12369,2,0),IFERROR(VLOOKUP($B323,'03-CP'!$C$5:$H$4646,2,0),""))</f>
        <v>FIXAÇÃO DE TUBOS VERTICAIS DE PVC ÁGUA, PVC ESGOTO, PVC ÁGUA PLUVIAL, CPVC, PPR, COBRE OU AÇO, DIÂMETROS MAIORES QUE 75 MM E MENORES OU IGUAIS A 100 MM, COM ABRAÇADEIRA METÁLICA RÍGIDA TIPO U PERFIL 4", FIXADA EM PERFILADO EM PAREDE. AF_09/2023_PS</v>
      </c>
      <c r="E323" s="1315" t="str">
        <f>IFERROR(VLOOKUP($B323,'24.08_ND'!$A:$D,3,0),IFERROR(VLOOKUP($B323,'03-CP'!$C$5:$H$4646,3,0),""))</f>
        <v>M</v>
      </c>
      <c r="F323" s="389">
        <v>5</v>
      </c>
      <c r="G323" s="1244"/>
      <c r="H323" s="1244"/>
      <c r="I323" s="1409"/>
      <c r="J323" s="1644" t="s">
        <v>16316</v>
      </c>
      <c r="K323" s="1441"/>
      <c r="L323" s="262"/>
      <c r="M323" s="262"/>
      <c r="N323" s="262"/>
      <c r="O323" s="262"/>
      <c r="P323" s="262"/>
      <c r="Q323" s="262"/>
      <c r="R323" s="262"/>
      <c r="S323" s="262"/>
      <c r="T323" s="262"/>
      <c r="U323" s="262"/>
      <c r="V323" s="262"/>
      <c r="W323" s="262"/>
      <c r="X323" s="262"/>
      <c r="Y323" s="262"/>
      <c r="Z323" s="262"/>
    </row>
    <row r="324" spans="1:26" ht="12.75" hidden="1">
      <c r="A324" s="1487"/>
      <c r="B324" s="1488"/>
      <c r="C324" s="1488"/>
      <c r="D324" s="1489"/>
      <c r="E324" s="1490"/>
      <c r="F324" s="1491"/>
      <c r="G324" s="1492"/>
      <c r="H324" s="1493"/>
      <c r="I324" s="1494"/>
      <c r="J324" s="262"/>
      <c r="K324" s="262"/>
      <c r="L324" s="262"/>
      <c r="M324" s="262"/>
      <c r="N324" s="262"/>
      <c r="O324" s="262"/>
      <c r="P324" s="262"/>
      <c r="Q324" s="262"/>
      <c r="R324" s="262"/>
      <c r="S324" s="262"/>
      <c r="T324" s="262"/>
      <c r="U324" s="262"/>
      <c r="V324" s="262"/>
      <c r="W324" s="262"/>
      <c r="X324" s="262"/>
      <c r="Y324" s="262"/>
      <c r="Z324" s="262"/>
    </row>
    <row r="325" spans="1:26" ht="12.75">
      <c r="A325" s="1298" t="s">
        <v>16419</v>
      </c>
      <c r="B325" s="1371"/>
      <c r="C325" s="1371"/>
      <c r="D325" s="1372"/>
      <c r="E325" s="1373"/>
      <c r="F325" s="1374"/>
      <c r="G325" s="1375"/>
      <c r="H325" s="1376"/>
      <c r="I325" s="1377"/>
      <c r="J325" s="262"/>
      <c r="K325" s="262"/>
      <c r="L325" s="262"/>
      <c r="M325" s="262"/>
      <c r="N325" s="262"/>
      <c r="O325" s="262"/>
      <c r="P325" s="262"/>
      <c r="Q325" s="262"/>
      <c r="R325" s="262"/>
      <c r="S325" s="262"/>
      <c r="T325" s="262"/>
      <c r="U325" s="262"/>
      <c r="V325" s="262"/>
      <c r="W325" s="262"/>
      <c r="X325" s="262"/>
      <c r="Y325" s="262"/>
      <c r="Z325" s="262"/>
    </row>
    <row r="326" spans="1:26" ht="12.75">
      <c r="A326" s="238" t="s">
        <v>12638</v>
      </c>
      <c r="B326" s="1304"/>
      <c r="C326" s="1304"/>
      <c r="D326" s="1305" t="s">
        <v>16332</v>
      </c>
      <c r="E326" s="1306"/>
      <c r="F326" s="1307"/>
      <c r="G326" s="1307"/>
      <c r="H326" s="1307"/>
      <c r="I326" s="1496"/>
      <c r="J326" s="1383" t="s">
        <v>16474</v>
      </c>
      <c r="K326" s="1588" t="s">
        <v>16475</v>
      </c>
      <c r="L326" s="262"/>
      <c r="M326" s="262"/>
      <c r="N326" s="262"/>
      <c r="O326" s="262"/>
      <c r="P326" s="262"/>
      <c r="Q326" s="262"/>
      <c r="R326" s="262"/>
      <c r="S326" s="262"/>
      <c r="T326" s="262"/>
      <c r="U326" s="262"/>
      <c r="V326" s="262"/>
      <c r="W326" s="262"/>
      <c r="X326" s="262"/>
      <c r="Y326" s="262"/>
      <c r="Z326" s="262"/>
    </row>
    <row r="327" spans="1:26" ht="12.75">
      <c r="A327" s="250" t="s">
        <v>13666</v>
      </c>
      <c r="B327" s="1309"/>
      <c r="C327" s="1497"/>
      <c r="D327" s="237" t="s">
        <v>16333</v>
      </c>
      <c r="E327" s="234"/>
      <c r="F327" s="1311"/>
      <c r="G327" s="236"/>
      <c r="H327" s="236"/>
      <c r="I327" s="1499"/>
      <c r="J327" s="262"/>
      <c r="K327" s="262"/>
      <c r="L327" s="262"/>
      <c r="M327" s="262"/>
      <c r="N327" s="262"/>
      <c r="O327" s="262"/>
      <c r="P327" s="262"/>
      <c r="Q327" s="262"/>
      <c r="R327" s="262"/>
      <c r="S327" s="262"/>
      <c r="T327" s="262"/>
      <c r="U327" s="262"/>
      <c r="V327" s="262"/>
      <c r="W327" s="262"/>
      <c r="X327" s="262"/>
      <c r="Y327" s="262"/>
      <c r="Z327" s="262"/>
    </row>
    <row r="328" spans="1:26" ht="38.25" outlineLevel="1">
      <c r="A328" s="247" t="s">
        <v>13667</v>
      </c>
      <c r="B328" s="386">
        <v>91855</v>
      </c>
      <c r="C328" s="386" t="s">
        <v>14476</v>
      </c>
      <c r="D328" s="1314" t="str">
        <f>IFERROR(VLOOKUP($B328,'24.08_ND'!$A$4833:$D$12369,2,0),IFERROR(VLOOKUP($B328,'03-CP'!$C$5:$H$4646,2,0),""))</f>
        <v>ELETRODUTO FLEXÍVEL CORRUGADO REFORÇADO, PVC, DN 25 MM (3/4"), PARA CIRCUITOS TERMINAIS, INSTALADO EM PAREDE - FORNECIMENTO E INSTALAÇÃO. AF_03/2023</v>
      </c>
      <c r="E328" s="1315" t="str">
        <f>IFERROR(VLOOKUP($B328,'24.08_ND'!$A:$D,3,0),IFERROR(VLOOKUP($B328,'03-CP'!$C$5:$H$4646,3,0),""))</f>
        <v>M</v>
      </c>
      <c r="F328" s="389">
        <f>33+1</f>
        <v>34</v>
      </c>
      <c r="G328" s="1244"/>
      <c r="H328" s="1244"/>
      <c r="I328" s="1409"/>
      <c r="J328" s="262"/>
      <c r="K328" s="262"/>
      <c r="L328" s="262"/>
      <c r="M328" s="262"/>
      <c r="N328" s="262"/>
      <c r="O328" s="262"/>
      <c r="P328" s="262"/>
      <c r="Q328" s="262"/>
      <c r="R328" s="262"/>
      <c r="S328" s="262"/>
      <c r="T328" s="262"/>
      <c r="U328" s="262"/>
      <c r="V328" s="262"/>
      <c r="W328" s="262"/>
      <c r="X328" s="262"/>
      <c r="Y328" s="262"/>
      <c r="Z328" s="262"/>
    </row>
    <row r="329" spans="1:26" ht="38.25" outlineLevel="1">
      <c r="A329" s="247" t="s">
        <v>13668</v>
      </c>
      <c r="B329" s="386">
        <v>91834</v>
      </c>
      <c r="C329" s="386" t="s">
        <v>14476</v>
      </c>
      <c r="D329" s="1314" t="str">
        <f>IFERROR(VLOOKUP($B329,'24.08_ND'!$A$4833:$D$12369,2,0),IFERROR(VLOOKUP($B329,'03-CP'!$C$5:$H$4646,2,0),""))</f>
        <v>ELETRODUTO FLEXÍVEL CORRUGADO, PVC, DN 25 MM (3/4"), PARA CIRCUITOS TERMINAIS, INSTALADO EM FORRO - FORNECIMENTO E INSTALAÇÃO. AF_03/2023_PA</v>
      </c>
      <c r="E329" s="1315" t="str">
        <f>IFERROR(VLOOKUP($B329,'24.08_ND'!$A:$D,3,0),IFERROR(VLOOKUP($B329,'03-CP'!$C$5:$H$4646,3,0),""))</f>
        <v>M</v>
      </c>
      <c r="F329" s="389">
        <v>12</v>
      </c>
      <c r="G329" s="1244"/>
      <c r="H329" s="1244"/>
      <c r="I329" s="1409"/>
      <c r="J329" s="386"/>
      <c r="K329" s="262"/>
      <c r="L329" s="262"/>
      <c r="M329" s="262"/>
      <c r="N329" s="262"/>
      <c r="O329" s="262"/>
      <c r="P329" s="262"/>
      <c r="Q329" s="262"/>
      <c r="R329" s="262"/>
      <c r="S329" s="262"/>
      <c r="T329" s="262"/>
      <c r="U329" s="262"/>
      <c r="V329" s="262"/>
      <c r="W329" s="262"/>
      <c r="X329" s="262"/>
      <c r="Y329" s="262"/>
      <c r="Z329" s="262"/>
    </row>
    <row r="330" spans="1:26" ht="38.25" outlineLevel="1">
      <c r="A330" s="247" t="s">
        <v>13669</v>
      </c>
      <c r="B330" s="386">
        <v>97668</v>
      </c>
      <c r="C330" s="386" t="s">
        <v>14476</v>
      </c>
      <c r="D330" s="1314" t="str">
        <f>IFERROR(VLOOKUP($B330,'24.08_ND'!$A$4833:$D$12369,2,0),IFERROR(VLOOKUP($B330,'03-CP'!$C$5:$H$4646,2,0),""))</f>
        <v>ELETRODUTO FLEXÍVEL CORRUGADO, PEAD, DN 63 (2"), PARA REDE ENTERRADA DE DISTRIBUIÇÃO DE ENERGIA ELÉTRICA - FORNECIMENTO E INSTALAÇÃO. AF_12/2021</v>
      </c>
      <c r="E330" s="1315" t="str">
        <f>IFERROR(VLOOKUP($B330,'24.08_ND'!$A:$D,3,0),IFERROR(VLOOKUP($B330,'03-CP'!$C$5:$H$4646,3,0),""))</f>
        <v>M</v>
      </c>
      <c r="F330" s="389">
        <f>194+57</f>
        <v>251</v>
      </c>
      <c r="G330" s="1244"/>
      <c r="H330" s="1244"/>
      <c r="I330" s="1409"/>
      <c r="J330" s="386"/>
      <c r="K330" s="262"/>
      <c r="L330" s="262" t="s">
        <v>16346</v>
      </c>
      <c r="M330" s="262"/>
      <c r="N330" s="262"/>
      <c r="O330" s="262"/>
      <c r="P330" s="262"/>
      <c r="Q330" s="262"/>
      <c r="R330" s="262"/>
      <c r="S330" s="262"/>
      <c r="T330" s="262"/>
      <c r="U330" s="262"/>
      <c r="V330" s="262"/>
      <c r="W330" s="262"/>
      <c r="X330" s="262"/>
      <c r="Y330" s="262"/>
      <c r="Z330" s="262"/>
    </row>
    <row r="331" spans="1:26" ht="25.5" outlineLevel="1">
      <c r="A331" s="247" t="s">
        <v>13670</v>
      </c>
      <c r="B331" s="386">
        <v>91939</v>
      </c>
      <c r="C331" s="386" t="s">
        <v>14476</v>
      </c>
      <c r="D331" s="1314" t="str">
        <f>IFERROR(VLOOKUP($B331,'24.08_ND'!$A$4833:$D$12369,2,0),IFERROR(VLOOKUP($B331,'03-CP'!$C$5:$H$4646,2,0),""))</f>
        <v>CAIXA RETANGULAR 4" X 2" ALTA (2,00 M DO PISO), PVC, INSTALADA EM PAREDE - FORNECIMENTO E INSTALAÇÃO. AF_03/2023</v>
      </c>
      <c r="E331" s="1315" t="str">
        <f>IFERROR(VLOOKUP($B331,'24.08_ND'!$A:$D,3,0),IFERROR(VLOOKUP($B331,'03-CP'!$C$5:$H$4646,3,0),""))</f>
        <v>UN</v>
      </c>
      <c r="F331" s="389">
        <f>2+1</f>
        <v>3</v>
      </c>
      <c r="G331" s="1244"/>
      <c r="H331" s="1244"/>
      <c r="I331" s="1409"/>
      <c r="J331" s="262"/>
      <c r="K331" s="262"/>
      <c r="L331" s="262"/>
      <c r="M331" s="262"/>
      <c r="N331" s="262"/>
      <c r="O331" s="262"/>
      <c r="P331" s="262"/>
      <c r="Q331" s="262"/>
      <c r="R331" s="262"/>
      <c r="S331" s="262"/>
      <c r="T331" s="262"/>
      <c r="U331" s="262"/>
      <c r="V331" s="262"/>
      <c r="W331" s="262"/>
      <c r="X331" s="262"/>
      <c r="Y331" s="262"/>
      <c r="Z331" s="262"/>
    </row>
    <row r="332" spans="1:26" ht="25.5" outlineLevel="1">
      <c r="A332" s="247" t="s">
        <v>13671</v>
      </c>
      <c r="B332" s="386">
        <v>91940</v>
      </c>
      <c r="C332" s="386" t="s">
        <v>14476</v>
      </c>
      <c r="D332" s="1314" t="str">
        <f>IFERROR(VLOOKUP($B332,'24.08_ND'!$A$4833:$D$12369,2,0),IFERROR(VLOOKUP($B332,'03-CP'!$C$5:$H$4646,2,0),""))</f>
        <v>CAIXA RETANGULAR 4" X 2" MÉDIA (1,30 M DO PISO), PVC, INSTALADA EM PAREDE - FORNECIMENTO E INSTALAÇÃO. AF_03/2023</v>
      </c>
      <c r="E332" s="1315" t="str">
        <f>IFERROR(VLOOKUP($B332,'24.08_ND'!$A:$D,3,0),IFERROR(VLOOKUP($B332,'03-CP'!$C$5:$H$4646,3,0),""))</f>
        <v>UN</v>
      </c>
      <c r="F332" s="389">
        <v>9</v>
      </c>
      <c r="G332" s="1244"/>
      <c r="H332" s="1244"/>
      <c r="I332" s="1409"/>
      <c r="J332" s="262"/>
      <c r="K332" s="262"/>
      <c r="L332" s="262"/>
      <c r="M332" s="262"/>
      <c r="N332" s="262"/>
      <c r="O332" s="262"/>
      <c r="P332" s="262"/>
      <c r="Q332" s="262"/>
      <c r="R332" s="262"/>
      <c r="S332" s="262"/>
      <c r="T332" s="262"/>
      <c r="U332" s="262"/>
      <c r="V332" s="262"/>
      <c r="W332" s="262"/>
      <c r="X332" s="262"/>
      <c r="Y332" s="262"/>
      <c r="Z332" s="262"/>
    </row>
    <row r="333" spans="1:26" ht="25.5" outlineLevel="1">
      <c r="A333" s="247" t="s">
        <v>13672</v>
      </c>
      <c r="B333" s="386">
        <v>91941</v>
      </c>
      <c r="C333" s="386" t="s">
        <v>14476</v>
      </c>
      <c r="D333" s="1314" t="str">
        <f>IFERROR(VLOOKUP($B333,'24.08_ND'!$A$4833:$D$12369,2,0),IFERROR(VLOOKUP($B333,'03-CP'!$C$5:$H$4646,2,0),""))</f>
        <v>CAIXA RETANGULAR 4" X 2" BAIXA (0,30 M DO PISO), PVC, INSTALADA EM PAREDE - FORNECIMENTO E INSTALAÇÃO. AF_03/2023</v>
      </c>
      <c r="E333" s="1315" t="str">
        <f>IFERROR(VLOOKUP($B333,'24.08_ND'!$A:$D,3,0),IFERROR(VLOOKUP($B333,'03-CP'!$C$5:$H$4646,3,0),""))</f>
        <v>UN</v>
      </c>
      <c r="F333" s="389">
        <v>1</v>
      </c>
      <c r="G333" s="1244"/>
      <c r="H333" s="1244"/>
      <c r="I333" s="1409"/>
      <c r="J333" s="262"/>
      <c r="K333" s="262"/>
      <c r="L333" s="262"/>
      <c r="M333" s="262"/>
      <c r="N333" s="262"/>
      <c r="O333" s="262"/>
      <c r="P333" s="262"/>
      <c r="Q333" s="262"/>
      <c r="R333" s="262"/>
      <c r="S333" s="262"/>
      <c r="T333" s="262"/>
      <c r="U333" s="262"/>
      <c r="V333" s="262"/>
      <c r="W333" s="262"/>
      <c r="X333" s="262"/>
      <c r="Y333" s="262"/>
      <c r="Z333" s="262"/>
    </row>
    <row r="334" spans="1:26" ht="25.5" outlineLevel="1">
      <c r="A334" s="247" t="s">
        <v>13673</v>
      </c>
      <c r="B334" s="386">
        <v>92865</v>
      </c>
      <c r="C334" s="386" t="s">
        <v>14476</v>
      </c>
      <c r="D334" s="1314" t="str">
        <f>IFERROR(VLOOKUP($B334,'24.08_ND'!$A$4833:$D$12369,2,0),IFERROR(VLOOKUP($B334,'03-CP'!$C$5:$H$4646,2,0),""))</f>
        <v>CAIXA OCTOGONAL 4" X 4", METÁLICA, INSTALADA EM LAJE - FORNECIMENTO E INSTALAÇÃO. AF_03/2023</v>
      </c>
      <c r="E334" s="1315" t="str">
        <f>IFERROR(VLOOKUP($B334,'24.08_ND'!$A:$D,3,0),IFERROR(VLOOKUP($B334,'03-CP'!$C$5:$H$4646,3,0),""))</f>
        <v>UN</v>
      </c>
      <c r="F334" s="389">
        <v>4</v>
      </c>
      <c r="G334" s="1244"/>
      <c r="H334" s="1244"/>
      <c r="I334" s="1409"/>
      <c r="J334" s="262"/>
      <c r="K334" s="237" t="s">
        <v>16333</v>
      </c>
      <c r="L334" s="262"/>
      <c r="M334" s="262"/>
      <c r="N334" s="262"/>
      <c r="O334" s="262"/>
      <c r="P334" s="262"/>
      <c r="Q334" s="262"/>
      <c r="R334" s="262"/>
      <c r="S334" s="262"/>
      <c r="T334" s="262"/>
      <c r="U334" s="262"/>
      <c r="V334" s="262"/>
      <c r="W334" s="262"/>
      <c r="X334" s="262"/>
      <c r="Y334" s="262"/>
      <c r="Z334" s="262"/>
    </row>
    <row r="335" spans="1:26" ht="25.5" outlineLevel="1">
      <c r="A335" s="247" t="s">
        <v>13674</v>
      </c>
      <c r="B335" s="386">
        <v>97881</v>
      </c>
      <c r="C335" s="386" t="s">
        <v>14476</v>
      </c>
      <c r="D335" s="1314" t="str">
        <f>IFERROR(VLOOKUP($B335,'24.08_ND'!$A$4833:$D$12369,2,0),IFERROR(VLOOKUP($B335,'03-CP'!$C$5:$H$4646,2,0),""))</f>
        <v>CAIXA ENTERRADA ELÉTRICA RETANGULAR, EM CONCRETO PRÉ-MOLDADO, FUNDO COM BRITA, DIMENSÕES INTERNAS: 0,3X0,3X0,3 M. AF_12/2020</v>
      </c>
      <c r="E335" s="1315" t="str">
        <f>IFERROR(VLOOKUP($B335,'24.08_ND'!$A:$D,3,0),IFERROR(VLOOKUP($B335,'03-CP'!$C$5:$H$4646,3,0),""))</f>
        <v>UN</v>
      </c>
      <c r="F335" s="389">
        <f>8+3</f>
        <v>11</v>
      </c>
      <c r="G335" s="1244"/>
      <c r="H335" s="1244"/>
      <c r="I335" s="1409"/>
      <c r="J335" s="262"/>
      <c r="K335" s="237" t="s">
        <v>16334</v>
      </c>
      <c r="L335" s="262"/>
      <c r="M335" s="262"/>
      <c r="N335" s="262"/>
      <c r="O335" s="262"/>
      <c r="P335" s="262"/>
      <c r="Q335" s="262"/>
      <c r="R335" s="262"/>
      <c r="S335" s="262"/>
      <c r="T335" s="262"/>
      <c r="U335" s="262"/>
      <c r="V335" s="262"/>
      <c r="W335" s="262"/>
      <c r="X335" s="262"/>
      <c r="Y335" s="262"/>
      <c r="Z335" s="262"/>
    </row>
    <row r="336" spans="1:26" ht="25.5" outlineLevel="1">
      <c r="A336" s="247" t="s">
        <v>13675</v>
      </c>
      <c r="B336" s="386">
        <v>93358</v>
      </c>
      <c r="C336" s="386" t="s">
        <v>14476</v>
      </c>
      <c r="D336" s="1314" t="str">
        <f>IFERROR(VLOOKUP($B336,'24.08_ND'!$A$4833:$D$12369,2,0),IFERROR(VLOOKUP($B336,'03-CP'!$C$5:$H$4646,2,0),""))</f>
        <v>ESCAVAÇÃO MANUAL DE VALA COM PROFUNDIDADE MENOR OU IGUAL A 1,30 M. AF_02/2021</v>
      </c>
      <c r="E336" s="1315" t="str">
        <f>IFERROR(VLOOKUP($B336,'24.08_ND'!$A:$D,3,0),IFERROR(VLOOKUP($B336,'03-CP'!$C$5:$H$4646,3,0),""))</f>
        <v>M3</v>
      </c>
      <c r="F336" s="389">
        <f>49+14</f>
        <v>63</v>
      </c>
      <c r="G336" s="1244"/>
      <c r="H336" s="1244"/>
      <c r="I336" s="1409"/>
      <c r="J336" s="262"/>
      <c r="K336" s="237" t="s">
        <v>16335</v>
      </c>
      <c r="L336" s="262"/>
      <c r="M336" s="262"/>
      <c r="N336" s="262"/>
      <c r="O336" s="262"/>
      <c r="P336" s="262"/>
      <c r="Q336" s="262"/>
      <c r="R336" s="262"/>
      <c r="S336" s="262"/>
      <c r="T336" s="262"/>
      <c r="U336" s="262"/>
      <c r="V336" s="262"/>
      <c r="W336" s="262"/>
      <c r="X336" s="262"/>
      <c r="Y336" s="262"/>
      <c r="Z336" s="262"/>
    </row>
    <row r="337" spans="1:26" ht="12.75" outlineLevel="1">
      <c r="A337" s="247" t="s">
        <v>13676</v>
      </c>
      <c r="B337" s="386">
        <v>104737</v>
      </c>
      <c r="C337" s="386" t="s">
        <v>14476</v>
      </c>
      <c r="D337" s="1314" t="str">
        <f>IFERROR(VLOOKUP($B337,'24.08_ND'!$A$4833:$D$12369,2,0),IFERROR(VLOOKUP($B337,'03-CP'!$C$5:$H$4646,2,0),""))</f>
        <v>REATERRO MANUAL DE VALAS, COM PLACA VIBRATÓRIA. AF_08/2023</v>
      </c>
      <c r="E337" s="1315" t="str">
        <f>IFERROR(VLOOKUP($B337,'24.08_ND'!$A:$D,3,0),IFERROR(VLOOKUP($B337,'03-CP'!$C$5:$H$4646,3,0),""))</f>
        <v>M3</v>
      </c>
      <c r="F337" s="389">
        <f>F336*1.1</f>
        <v>69.300000000000011</v>
      </c>
      <c r="G337" s="1244"/>
      <c r="H337" s="1244"/>
      <c r="I337" s="1409"/>
      <c r="J337" s="262"/>
      <c r="K337" s="237" t="s">
        <v>16336</v>
      </c>
      <c r="L337" s="262"/>
      <c r="M337" s="262"/>
      <c r="N337" s="262"/>
      <c r="O337" s="262"/>
      <c r="P337" s="262"/>
      <c r="Q337" s="262"/>
      <c r="R337" s="262"/>
      <c r="S337" s="262"/>
      <c r="T337" s="262"/>
      <c r="U337" s="262"/>
      <c r="V337" s="262"/>
      <c r="W337" s="262"/>
      <c r="X337" s="262"/>
      <c r="Y337" s="262"/>
      <c r="Z337" s="262"/>
    </row>
    <row r="338" spans="1:26" ht="12.75">
      <c r="A338" s="250" t="s">
        <v>13677</v>
      </c>
      <c r="B338" s="1309"/>
      <c r="C338" s="1497"/>
      <c r="D338" s="1498" t="s">
        <v>16336</v>
      </c>
      <c r="E338" s="234"/>
      <c r="F338" s="1311"/>
      <c r="G338" s="236"/>
      <c r="H338" s="236"/>
      <c r="I338" s="1499"/>
      <c r="J338" s="262"/>
      <c r="K338" s="237" t="s">
        <v>16337</v>
      </c>
      <c r="L338" s="262"/>
      <c r="M338" s="262"/>
      <c r="N338" s="262"/>
      <c r="O338" s="262"/>
      <c r="P338" s="262"/>
      <c r="Q338" s="262"/>
      <c r="R338" s="262"/>
      <c r="S338" s="262"/>
      <c r="T338" s="262"/>
      <c r="U338" s="262"/>
      <c r="V338" s="262"/>
      <c r="W338" s="262"/>
      <c r="X338" s="262"/>
      <c r="Y338" s="262"/>
      <c r="Z338" s="262"/>
    </row>
    <row r="339" spans="1:26" ht="38.25" outlineLevel="1">
      <c r="A339" s="247" t="s">
        <v>13678</v>
      </c>
      <c r="B339" s="386">
        <v>92023</v>
      </c>
      <c r="C339" s="386" t="s">
        <v>14476</v>
      </c>
      <c r="D339" s="1314" t="str">
        <f>IFERROR(VLOOKUP($B339,'24.08_ND'!$A$4833:$D$12369,2,0),IFERROR(VLOOKUP($B339,'03-CP'!$C$5:$H$4646,2,0),""))</f>
        <v>INTERRUPTOR SIMPLES (1 MÓDULO) COM 1 TOMADA DE EMBUTIR 2P+T 10 A, INCLUINDO SUPORTE E PLACA - FORNECIMENTO E INSTALAÇÃO. AF_03/2023</v>
      </c>
      <c r="E339" s="1315" t="str">
        <f>IFERROR(VLOOKUP($B339,'24.08_ND'!$A:$D,3,0),IFERROR(VLOOKUP($B339,'03-CP'!$C$5:$H$4646,3,0),""))</f>
        <v>UN</v>
      </c>
      <c r="F339" s="389">
        <v>4</v>
      </c>
      <c r="G339" s="1244"/>
      <c r="H339" s="1244"/>
      <c r="I339" s="1409"/>
      <c r="J339" s="262"/>
      <c r="K339" s="237" t="s">
        <v>16338</v>
      </c>
      <c r="L339" s="262"/>
      <c r="M339" s="262"/>
      <c r="N339" s="262"/>
      <c r="O339" s="262"/>
      <c r="P339" s="262"/>
      <c r="Q339" s="262"/>
      <c r="R339" s="262"/>
      <c r="S339" s="262"/>
      <c r="T339" s="262"/>
      <c r="U339" s="262"/>
      <c r="V339" s="262"/>
      <c r="W339" s="262"/>
      <c r="X339" s="262"/>
      <c r="Y339" s="262"/>
      <c r="Z339" s="262"/>
    </row>
    <row r="340" spans="1:26" ht="25.5" outlineLevel="1">
      <c r="A340" s="247" t="s">
        <v>13679</v>
      </c>
      <c r="B340" s="386">
        <v>91997</v>
      </c>
      <c r="C340" s="386" t="s">
        <v>14476</v>
      </c>
      <c r="D340" s="1314" t="str">
        <f>IFERROR(VLOOKUP($B340,'24.08_ND'!$A$4833:$D$12369,2,0),IFERROR(VLOOKUP($B340,'03-CP'!$C$5:$H$4646,2,0),""))</f>
        <v>TOMADA MÉDIA DE EMBUTIR (1 MÓDULO), 2P+T 20 A, INCLUINDO SUPORTE E PLACA - FORNECIMENTO E INSTALAÇÃO. AF_03/2023</v>
      </c>
      <c r="E340" s="1315" t="str">
        <f>IFERROR(VLOOKUP($B340,'24.08_ND'!$A:$D,3,0),IFERROR(VLOOKUP($B340,'03-CP'!$C$5:$H$4646,3,0),""))</f>
        <v>UN</v>
      </c>
      <c r="F340" s="389">
        <v>5</v>
      </c>
      <c r="G340" s="1244"/>
      <c r="H340" s="1244"/>
      <c r="I340" s="1409"/>
      <c r="J340" s="262"/>
      <c r="K340" s="237" t="s">
        <v>16339</v>
      </c>
      <c r="L340" s="262"/>
      <c r="M340" s="262"/>
      <c r="N340" s="262"/>
      <c r="O340" s="262"/>
      <c r="P340" s="262"/>
      <c r="Q340" s="262"/>
      <c r="R340" s="262"/>
      <c r="S340" s="262"/>
      <c r="T340" s="262"/>
      <c r="U340" s="262"/>
      <c r="V340" s="262"/>
      <c r="W340" s="262"/>
      <c r="X340" s="262"/>
      <c r="Y340" s="262"/>
      <c r="Z340" s="262"/>
    </row>
    <row r="341" spans="1:26" ht="25.5" outlineLevel="1">
      <c r="A341" s="247" t="s">
        <v>13680</v>
      </c>
      <c r="B341" s="386">
        <v>92001</v>
      </c>
      <c r="C341" s="386" t="s">
        <v>14476</v>
      </c>
      <c r="D341" s="1314" t="str">
        <f>IFERROR(VLOOKUP($B341,'24.08_ND'!$A$4833:$D$12369,2,0),IFERROR(VLOOKUP($B341,'03-CP'!$C$5:$H$4646,2,0),""))</f>
        <v>TOMADA BAIXA DE EMBUTIR (1 MÓDULO), 2P+T 20 A, INCLUINDO SUPORTE E PLACA - FORNECIMENTO E INSTALAÇÃO. AF_03/2023</v>
      </c>
      <c r="E341" s="1315" t="str">
        <f>IFERROR(VLOOKUP($B341,'24.08_ND'!$A:$D,3,0),IFERROR(VLOOKUP($B341,'03-CP'!$C$5:$H$4646,3,0),""))</f>
        <v>UN</v>
      </c>
      <c r="F341" s="389">
        <v>1</v>
      </c>
      <c r="G341" s="1244"/>
      <c r="H341" s="1244"/>
      <c r="I341" s="1409"/>
      <c r="J341" s="262"/>
      <c r="K341" s="262"/>
      <c r="L341" s="262"/>
      <c r="M341" s="262"/>
      <c r="N341" s="262"/>
      <c r="O341" s="262"/>
      <c r="P341" s="262"/>
      <c r="Q341" s="262"/>
      <c r="R341" s="262"/>
      <c r="S341" s="262"/>
      <c r="T341" s="262"/>
      <c r="U341" s="262"/>
      <c r="V341" s="262"/>
      <c r="W341" s="262"/>
      <c r="X341" s="262"/>
      <c r="Y341" s="262"/>
      <c r="Z341" s="262"/>
    </row>
    <row r="342" spans="1:26" ht="25.5" outlineLevel="1">
      <c r="A342" s="247" t="s">
        <v>13681</v>
      </c>
      <c r="B342" s="386">
        <v>91993</v>
      </c>
      <c r="C342" s="386" t="s">
        <v>14476</v>
      </c>
      <c r="D342" s="1314" t="str">
        <f>IFERROR(VLOOKUP($B342,'24.08_ND'!$A$4833:$D$12369,2,0),IFERROR(VLOOKUP($B342,'03-CP'!$C$5:$H$4646,2,0),""))</f>
        <v>TOMADA ALTA DE EMBUTIR (1 MÓDULO), 2P+T 20 A, INCLUINDO SUPORTE E PLACA - FORNECIMENTO E INSTALAÇÃO. AF_03/2023</v>
      </c>
      <c r="E342" s="1315" t="str">
        <f>IFERROR(VLOOKUP($B342,'24.08_ND'!$A:$D,3,0),IFERROR(VLOOKUP($B342,'03-CP'!$C$5:$H$4646,3,0),""))</f>
        <v>UN</v>
      </c>
      <c r="F342" s="389">
        <v>3</v>
      </c>
      <c r="G342" s="1244"/>
      <c r="H342" s="1244"/>
      <c r="I342" s="1409"/>
      <c r="J342" s="262"/>
      <c r="K342" s="262"/>
      <c r="L342" s="262"/>
      <c r="M342" s="262"/>
      <c r="N342" s="262"/>
      <c r="O342" s="262"/>
      <c r="P342" s="262"/>
      <c r="Q342" s="262"/>
      <c r="R342" s="262"/>
      <c r="S342" s="262"/>
      <c r="T342" s="262"/>
      <c r="U342" s="262"/>
      <c r="V342" s="262"/>
      <c r="W342" s="262"/>
      <c r="X342" s="262"/>
      <c r="Y342" s="262"/>
      <c r="Z342" s="262"/>
    </row>
    <row r="343" spans="1:26" ht="12.75">
      <c r="A343" s="250" t="s">
        <v>13682</v>
      </c>
      <c r="B343" s="1309"/>
      <c r="C343" s="1497"/>
      <c r="D343" s="1498" t="s">
        <v>16337</v>
      </c>
      <c r="E343" s="234"/>
      <c r="F343" s="1311"/>
      <c r="G343" s="236"/>
      <c r="H343" s="236"/>
      <c r="I343" s="1499"/>
      <c r="J343" s="262"/>
      <c r="K343" s="262"/>
      <c r="L343" s="262"/>
      <c r="M343" s="262"/>
      <c r="N343" s="262"/>
      <c r="O343" s="262"/>
      <c r="P343" s="262"/>
      <c r="Q343" s="262"/>
      <c r="R343" s="262"/>
      <c r="S343" s="262"/>
      <c r="T343" s="262"/>
      <c r="U343" s="262"/>
      <c r="V343" s="262"/>
      <c r="W343" s="262"/>
      <c r="X343" s="262"/>
      <c r="Y343" s="262"/>
      <c r="Z343" s="262"/>
    </row>
    <row r="344" spans="1:26" ht="25.5" outlineLevel="1">
      <c r="A344" s="247" t="s">
        <v>13683</v>
      </c>
      <c r="B344" s="386">
        <v>91933</v>
      </c>
      <c r="C344" s="386" t="s">
        <v>14476</v>
      </c>
      <c r="D344" s="1314" t="str">
        <f>IFERROR(VLOOKUP($B344,'24.08_ND'!$A$4833:$D$12369,2,0),IFERROR(VLOOKUP($B344,'03-CP'!$C$5:$H$4646,2,0),""))</f>
        <v>CABO DE COBRE FLEXÍVEL ISOLADO, 10 MM², ANTI-CHAMA 0,6/1,0 KV, PARA CIRCUITOS TERMINAIS - FORNECIMENTO E INSTALAÇÃO. AF_03/2023</v>
      </c>
      <c r="E344" s="1315" t="str">
        <f>IFERROR(VLOOKUP($B344,'24.08_ND'!$A:$D,3,0),IFERROR(VLOOKUP($B344,'03-CP'!$C$5:$H$4646,3,0),""))</f>
        <v>M</v>
      </c>
      <c r="F344" s="389">
        <v>585</v>
      </c>
      <c r="G344" s="1244"/>
      <c r="H344" s="1244"/>
      <c r="I344" s="1409"/>
      <c r="J344" s="262"/>
      <c r="K344" s="262"/>
      <c r="L344" s="262"/>
      <c r="M344" s="262"/>
      <c r="N344" s="262"/>
      <c r="O344" s="262"/>
      <c r="P344" s="262"/>
      <c r="Q344" s="262"/>
      <c r="R344" s="262"/>
      <c r="S344" s="262"/>
      <c r="T344" s="262"/>
      <c r="U344" s="262"/>
      <c r="V344" s="262"/>
      <c r="W344" s="262"/>
      <c r="X344" s="262"/>
      <c r="Y344" s="262"/>
      <c r="Z344" s="262"/>
    </row>
    <row r="345" spans="1:26" ht="25.5" outlineLevel="1">
      <c r="A345" s="247" t="s">
        <v>13684</v>
      </c>
      <c r="B345" s="386">
        <v>91926</v>
      </c>
      <c r="C345" s="386" t="s">
        <v>14476</v>
      </c>
      <c r="D345" s="1314" t="str">
        <f>IFERROR(VLOOKUP($B345,'24.08_ND'!$A$4833:$D$12369,2,0),IFERROR(VLOOKUP($B345,'03-CP'!$C$5:$H$4646,2,0),""))</f>
        <v>CABO DE COBRE FLEXÍVEL ISOLADO, 2,5 MM², ANTI-CHAMA 450/750 V, PARA CIRCUITOS TERMINAIS - FORNECIMENTO E INSTALAÇÃO. AF_03/2023</v>
      </c>
      <c r="E345" s="1315" t="str">
        <f>IFERROR(VLOOKUP($B345,'24.08_ND'!$A:$D,3,0),IFERROR(VLOOKUP($B345,'03-CP'!$C$5:$H$4646,3,0),""))</f>
        <v>M</v>
      </c>
      <c r="F345" s="389">
        <v>130</v>
      </c>
      <c r="G345" s="1244"/>
      <c r="H345" s="1244"/>
      <c r="I345" s="1409"/>
      <c r="J345" s="262"/>
      <c r="K345" s="262"/>
      <c r="L345" s="262"/>
      <c r="M345" s="262"/>
      <c r="N345" s="262"/>
      <c r="O345" s="262"/>
      <c r="P345" s="262"/>
      <c r="Q345" s="262"/>
      <c r="R345" s="262"/>
      <c r="S345" s="262"/>
      <c r="T345" s="262"/>
      <c r="U345" s="262"/>
      <c r="V345" s="262"/>
      <c r="W345" s="262"/>
      <c r="X345" s="262"/>
      <c r="Y345" s="262"/>
      <c r="Z345" s="262"/>
    </row>
    <row r="346" spans="1:26" ht="12.75">
      <c r="A346" s="250" t="s">
        <v>13685</v>
      </c>
      <c r="B346" s="1309"/>
      <c r="C346" s="1497"/>
      <c r="D346" s="1498" t="s">
        <v>16476</v>
      </c>
      <c r="E346" s="234"/>
      <c r="F346" s="1311"/>
      <c r="G346" s="236"/>
      <c r="H346" s="236"/>
      <c r="I346" s="1499"/>
      <c r="J346" s="262"/>
      <c r="K346" s="262"/>
      <c r="L346" s="262"/>
      <c r="M346" s="262"/>
      <c r="N346" s="262"/>
      <c r="O346" s="262"/>
      <c r="P346" s="262"/>
      <c r="Q346" s="262"/>
      <c r="R346" s="262"/>
      <c r="S346" s="262"/>
      <c r="T346" s="262"/>
      <c r="U346" s="262"/>
      <c r="V346" s="262"/>
      <c r="W346" s="262"/>
      <c r="X346" s="262"/>
      <c r="Y346" s="262"/>
      <c r="Z346" s="262"/>
    </row>
    <row r="347" spans="1:26" ht="25.5" outlineLevel="1">
      <c r="A347" s="247" t="s">
        <v>13686</v>
      </c>
      <c r="B347" s="386">
        <v>93653</v>
      </c>
      <c r="C347" s="386" t="s">
        <v>14476</v>
      </c>
      <c r="D347" s="1314" t="str">
        <f>IFERROR(VLOOKUP($B347,'24.08_ND'!$A$4833:$D$12369,2,0),IFERROR(VLOOKUP($B347,'03-CP'!$C$5:$H$4646,2,0),""))</f>
        <v>DISJUNTOR MONOPOLAR TIPO DIN, CORRENTE NOMINAL DE 10A - FORNECIMENTO E INSTALAÇÃO. AF_10/2020</v>
      </c>
      <c r="E347" s="1315" t="str">
        <f>IFERROR(VLOOKUP($B347,'24.08_ND'!$A:$D,3,0),IFERROR(VLOOKUP($B347,'03-CP'!$C$5:$H$4646,3,0),""))</f>
        <v>UN</v>
      </c>
      <c r="F347" s="389">
        <v>1</v>
      </c>
      <c r="G347" s="1244"/>
      <c r="H347" s="1244"/>
      <c r="I347" s="1409"/>
      <c r="J347" s="262"/>
      <c r="K347" s="262"/>
      <c r="L347" s="262"/>
      <c r="M347" s="262"/>
      <c r="N347" s="262"/>
      <c r="O347" s="262"/>
      <c r="P347" s="262"/>
      <c r="Q347" s="262"/>
      <c r="R347" s="262"/>
      <c r="S347" s="262"/>
      <c r="T347" s="262"/>
      <c r="U347" s="262"/>
      <c r="V347" s="262"/>
      <c r="W347" s="262"/>
      <c r="X347" s="262"/>
      <c r="Y347" s="262"/>
      <c r="Z347" s="262"/>
    </row>
    <row r="348" spans="1:26" ht="25.5" outlineLevel="1">
      <c r="A348" s="247" t="s">
        <v>13687</v>
      </c>
      <c r="B348" s="386">
        <v>93654</v>
      </c>
      <c r="C348" s="386" t="s">
        <v>14476</v>
      </c>
      <c r="D348" s="1314" t="str">
        <f>IFERROR(VLOOKUP($B348,'24.08_ND'!$A$4833:$D$12369,2,0),IFERROR(VLOOKUP($B348,'03-CP'!$C$5:$H$4646,2,0),""))</f>
        <v>DISJUNTOR MONOPOLAR TIPO DIN, CORRENTE NOMINAL DE 16A - FORNECIMENTO E INSTALAÇÃO. AF_10/2020</v>
      </c>
      <c r="E348" s="1315" t="str">
        <f>IFERROR(VLOOKUP($B348,'24.08_ND'!$A:$D,3,0),IFERROR(VLOOKUP($B348,'03-CP'!$C$5:$H$4646,3,0),""))</f>
        <v>UN</v>
      </c>
      <c r="F348" s="389">
        <v>2</v>
      </c>
      <c r="G348" s="1244"/>
      <c r="H348" s="1244"/>
      <c r="I348" s="1409"/>
      <c r="J348" s="262"/>
      <c r="K348" s="262"/>
      <c r="L348" s="262"/>
      <c r="M348" s="262"/>
      <c r="N348" s="262"/>
      <c r="O348" s="262"/>
      <c r="P348" s="262"/>
      <c r="Q348" s="262"/>
      <c r="R348" s="262"/>
      <c r="S348" s="262"/>
      <c r="T348" s="262"/>
      <c r="U348" s="262"/>
      <c r="V348" s="262"/>
      <c r="W348" s="262"/>
      <c r="X348" s="262"/>
      <c r="Y348" s="262"/>
      <c r="Z348" s="262"/>
    </row>
    <row r="349" spans="1:26" ht="25.5" outlineLevel="1">
      <c r="A349" s="247" t="s">
        <v>13688</v>
      </c>
      <c r="B349" s="386" t="s">
        <v>15318</v>
      </c>
      <c r="C349" s="386" t="s">
        <v>14472</v>
      </c>
      <c r="D349" s="1314" t="str">
        <f>IFERROR(VLOOKUP($B349,'24.08_ND'!$A$4833:$D$12369,2,0),IFERROR(VLOOKUP($B349,'03-CP'!$C$5:$H$4646,2,0),""))</f>
        <v>DISPOSITIVO DIFERENCIAL RESIDUAL DE 40 A X 30 MA, 2 POLOS, REF. 5SM1 314-0 MB - FORNECIMENTO E INSTALAÇÃO</v>
      </c>
      <c r="E349" s="1315" t="str">
        <f>IFERROR(VLOOKUP($B349,'24.08_ND'!$A:$D,3,0),IFERROR(VLOOKUP($B349,'03-CP'!$C$5:$H$4646,3,0),""))</f>
        <v>UN</v>
      </c>
      <c r="F349" s="389">
        <v>1</v>
      </c>
      <c r="G349" s="1244"/>
      <c r="H349" s="1244"/>
      <c r="I349" s="1409"/>
      <c r="J349" s="262"/>
      <c r="K349" s="262"/>
      <c r="L349" s="262"/>
      <c r="M349" s="262"/>
      <c r="N349" s="262"/>
      <c r="O349" s="262"/>
      <c r="P349" s="262"/>
      <c r="Q349" s="262"/>
      <c r="R349" s="262"/>
      <c r="S349" s="262"/>
      <c r="T349" s="262"/>
      <c r="U349" s="262"/>
      <c r="V349" s="262"/>
      <c r="W349" s="262"/>
      <c r="X349" s="262"/>
      <c r="Y349" s="262"/>
      <c r="Z349" s="262"/>
    </row>
    <row r="350" spans="1:26" ht="25.5" outlineLevel="1">
      <c r="A350" s="247" t="s">
        <v>13689</v>
      </c>
      <c r="B350" s="386" t="s">
        <v>15321</v>
      </c>
      <c r="C350" s="386" t="s">
        <v>14472</v>
      </c>
      <c r="D350" s="1314" t="str">
        <f>IFERROR(VLOOKUP($B350,'24.08_ND'!$A$4833:$D$12369,2,0),IFERROR(VLOOKUP($B350,'03-CP'!$C$5:$H$4646,2,0),""))</f>
        <v>INTERRUPTOR DIFERENCIAL RESIDUAL (DR) TETRAPOLAR DE 40A-30mA  - FORNECIMENTO E INSTALAÇÃO</v>
      </c>
      <c r="E350" s="1315" t="str">
        <f>IFERROR(VLOOKUP($B350,'24.08_ND'!$A:$D,3,0),IFERROR(VLOOKUP($B350,'03-CP'!$C$5:$H$4646,3,0),""))</f>
        <v>UN</v>
      </c>
      <c r="F350" s="389">
        <v>1</v>
      </c>
      <c r="G350" s="1244"/>
      <c r="H350" s="1244"/>
      <c r="I350" s="1409"/>
      <c r="J350" s="262"/>
      <c r="K350" s="262"/>
      <c r="L350" s="262"/>
      <c r="M350" s="262"/>
      <c r="N350" s="262"/>
      <c r="O350" s="262"/>
      <c r="P350" s="262"/>
      <c r="Q350" s="262"/>
      <c r="R350" s="262"/>
      <c r="S350" s="262"/>
      <c r="T350" s="262"/>
      <c r="U350" s="262"/>
      <c r="V350" s="262"/>
      <c r="W350" s="262"/>
      <c r="X350" s="262"/>
      <c r="Y350" s="262"/>
      <c r="Z350" s="262"/>
    </row>
    <row r="351" spans="1:26" ht="25.5" outlineLevel="1">
      <c r="A351" s="247" t="s">
        <v>13690</v>
      </c>
      <c r="B351" s="386" t="s">
        <v>15272</v>
      </c>
      <c r="C351" s="386" t="s">
        <v>14472</v>
      </c>
      <c r="D351" s="1314" t="str">
        <f>IFERROR(VLOOKUP($B351,'24.08_ND'!$A$4833:$D$12369,2,0),IFERROR(VLOOKUP($B351,'03-CP'!$C$5:$H$4646,2,0),""))</f>
        <v>DISPOSITIVO DE PROTEÇÃO CONTRA SURTOS(DPS) 275V DE 8 A 40KA – FORNECIMENTO E INSTALAÇÃO</v>
      </c>
      <c r="E351" s="1315" t="str">
        <f>IFERROR(VLOOKUP($B351,'24.08_ND'!$A:$D,3,0),IFERROR(VLOOKUP($B351,'03-CP'!$C$5:$H$4646,3,0),""))</f>
        <v>UN</v>
      </c>
      <c r="F351" s="389">
        <v>3</v>
      </c>
      <c r="G351" s="1244"/>
      <c r="H351" s="1244"/>
      <c r="I351" s="1409"/>
      <c r="J351" s="262"/>
      <c r="K351" s="262"/>
      <c r="L351" s="262"/>
      <c r="M351" s="262"/>
      <c r="N351" s="262"/>
      <c r="O351" s="262"/>
      <c r="P351" s="262"/>
      <c r="Q351" s="262"/>
      <c r="R351" s="262"/>
      <c r="S351" s="262"/>
      <c r="T351" s="262"/>
      <c r="U351" s="262"/>
      <c r="V351" s="262"/>
      <c r="W351" s="262"/>
      <c r="X351" s="262"/>
      <c r="Y351" s="262"/>
      <c r="Z351" s="262"/>
    </row>
    <row r="352" spans="1:26" ht="38.25" outlineLevel="1">
      <c r="A352" s="247" t="s">
        <v>13691</v>
      </c>
      <c r="B352" s="386">
        <v>101875</v>
      </c>
      <c r="C352" s="386" t="s">
        <v>14476</v>
      </c>
      <c r="D352" s="1314" t="str">
        <f>IFERROR(VLOOKUP($B352,'24.08_ND'!$A$4833:$D$12369,2,0),IFERROR(VLOOKUP($B352,'03-CP'!$C$5:$H$4646,2,0),""))</f>
        <v>QUADRO DE DISTRIBUIÇÃO DE ENERGIA EM CHAPA DE AÇO GALVANIZADO, DE EMBUTIR, COM BARRAMENTO TRIFÁSICO, PARA 12 DISJUNTORES DIN 100A - FORNECIMENTO E INSTALAÇÃO. AF_10/2020</v>
      </c>
      <c r="E352" s="1315" t="str">
        <f>IFERROR(VLOOKUP($B352,'24.08_ND'!$A:$D,3,0),IFERROR(VLOOKUP($B352,'03-CP'!$C$5:$H$4646,3,0),""))</f>
        <v>UN</v>
      </c>
      <c r="F352" s="389">
        <v>1</v>
      </c>
      <c r="G352" s="1244"/>
      <c r="H352" s="1244"/>
      <c r="I352" s="1409"/>
      <c r="J352" s="262"/>
      <c r="K352" s="262"/>
      <c r="L352" s="262"/>
      <c r="M352" s="262"/>
      <c r="N352" s="262"/>
      <c r="O352" s="262"/>
      <c r="P352" s="262"/>
      <c r="Q352" s="262"/>
      <c r="R352" s="262"/>
      <c r="S352" s="262"/>
      <c r="T352" s="262"/>
      <c r="U352" s="262"/>
      <c r="V352" s="262"/>
      <c r="W352" s="262"/>
      <c r="X352" s="262"/>
      <c r="Y352" s="262"/>
      <c r="Z352" s="262"/>
    </row>
    <row r="353" spans="1:26" ht="12.75">
      <c r="A353" s="250" t="s">
        <v>13692</v>
      </c>
      <c r="B353" s="1309"/>
      <c r="C353" s="1497"/>
      <c r="D353" s="1498" t="s">
        <v>16426</v>
      </c>
      <c r="E353" s="234"/>
      <c r="F353" s="1311"/>
      <c r="G353" s="236"/>
      <c r="H353" s="236"/>
      <c r="I353" s="1499"/>
      <c r="J353" s="262"/>
      <c r="K353" s="262"/>
      <c r="L353" s="262"/>
      <c r="M353" s="262"/>
      <c r="N353" s="262"/>
      <c r="O353" s="262"/>
      <c r="P353" s="262"/>
      <c r="Q353" s="262"/>
      <c r="R353" s="262"/>
      <c r="S353" s="262"/>
      <c r="T353" s="262"/>
      <c r="U353" s="262"/>
      <c r="V353" s="262"/>
      <c r="W353" s="262"/>
      <c r="X353" s="262"/>
      <c r="Y353" s="262"/>
      <c r="Z353" s="262"/>
    </row>
    <row r="354" spans="1:26" ht="25.5" outlineLevel="1">
      <c r="A354" s="247" t="s">
        <v>13693</v>
      </c>
      <c r="B354" s="386" t="s">
        <v>15280</v>
      </c>
      <c r="C354" s="386" t="s">
        <v>14472</v>
      </c>
      <c r="D354" s="1314" t="str">
        <f>IFERROR(VLOOKUP($B354,'24.08_ND'!$A$4833:$D$12369,2,0),IFERROR(VLOOKUP($B354,'03-CP'!$C$5:$H$4646,2,0),""))</f>
        <v>LUMINÁRIA PLAFON DE EMBUTIR EM LED 40X40 CM, 30W - FORNECIMENTO E INSTALAÇÃO</v>
      </c>
      <c r="E354" s="1315" t="str">
        <f>IFERROR(VLOOKUP($B354,'24.08_ND'!$A:$D,3,0),IFERROR(VLOOKUP($B354,'03-CP'!$C$5:$H$4646,3,0),""))</f>
        <v>UN</v>
      </c>
      <c r="F354" s="389">
        <v>4</v>
      </c>
      <c r="G354" s="1244"/>
      <c r="H354" s="1244"/>
      <c r="I354" s="1409"/>
      <c r="J354" s="262"/>
      <c r="K354" s="262"/>
      <c r="L354" s="262"/>
      <c r="M354" s="262"/>
      <c r="N354" s="262"/>
      <c r="O354" s="262"/>
      <c r="P354" s="262"/>
      <c r="Q354" s="262"/>
      <c r="R354" s="262"/>
      <c r="S354" s="262"/>
      <c r="T354" s="262"/>
      <c r="U354" s="262"/>
      <c r="V354" s="262"/>
      <c r="W354" s="262"/>
      <c r="X354" s="262"/>
      <c r="Y354" s="262"/>
      <c r="Z354" s="262"/>
    </row>
    <row r="355" spans="1:26" ht="25.5" outlineLevel="1">
      <c r="A355" s="247" t="s">
        <v>13694</v>
      </c>
      <c r="B355" s="386" t="s">
        <v>15167</v>
      </c>
      <c r="C355" s="386" t="s">
        <v>14472</v>
      </c>
      <c r="D355" s="1314" t="str">
        <f>IFERROR(VLOOKUP($B355,'24.08_ND'!$A$4833:$D$12369,2,0),IFERROR(VLOOKUP($B355,'03-CP'!$C$5:$H$4646,2,0),""))</f>
        <v>LUMINÁRIA PLAFON DE EMBUTIR EM LED 29.5X29.5 CM, 24W 4000K - FORNECIMENTO E INSTALAÇÃO</v>
      </c>
      <c r="E355" s="1315" t="str">
        <f>IFERROR(VLOOKUP($B355,'24.08_ND'!$A:$D,3,0),IFERROR(VLOOKUP($B355,'03-CP'!$C$5:$H$4646,3,0),""))</f>
        <v>UN</v>
      </c>
      <c r="F355" s="389">
        <v>1</v>
      </c>
      <c r="G355" s="1244"/>
      <c r="H355" s="1244"/>
      <c r="I355" s="1409"/>
      <c r="J355" s="262"/>
      <c r="K355" s="262"/>
      <c r="L355" s="262"/>
      <c r="M355" s="262"/>
      <c r="N355" s="262"/>
      <c r="O355" s="262"/>
      <c r="P355" s="262"/>
      <c r="Q355" s="262"/>
      <c r="R355" s="262"/>
      <c r="S355" s="262"/>
      <c r="T355" s="262"/>
      <c r="U355" s="262"/>
      <c r="V355" s="262"/>
      <c r="W355" s="262"/>
      <c r="X355" s="262"/>
      <c r="Y355" s="262"/>
      <c r="Z355" s="262"/>
    </row>
    <row r="356" spans="1:26" ht="12.75">
      <c r="A356" s="250" t="s">
        <v>13695</v>
      </c>
      <c r="B356" s="1309"/>
      <c r="C356" s="1497"/>
      <c r="D356" s="1498" t="s">
        <v>16340</v>
      </c>
      <c r="E356" s="234"/>
      <c r="F356" s="1311"/>
      <c r="G356" s="236"/>
      <c r="H356" s="236"/>
      <c r="I356" s="1499"/>
      <c r="J356" s="262"/>
      <c r="K356" s="262"/>
      <c r="L356" s="262"/>
      <c r="M356" s="262"/>
      <c r="N356" s="262"/>
      <c r="O356" s="262"/>
      <c r="P356" s="262"/>
      <c r="Q356" s="262"/>
      <c r="R356" s="262"/>
      <c r="S356" s="262"/>
      <c r="T356" s="262"/>
      <c r="U356" s="262"/>
      <c r="V356" s="262"/>
      <c r="W356" s="262"/>
      <c r="X356" s="262"/>
      <c r="Y356" s="262"/>
      <c r="Z356" s="262"/>
    </row>
    <row r="357" spans="1:26" ht="25.5" outlineLevel="1">
      <c r="A357" s="247" t="s">
        <v>13696</v>
      </c>
      <c r="B357" s="386">
        <v>98297</v>
      </c>
      <c r="C357" s="386" t="s">
        <v>14476</v>
      </c>
      <c r="D357" s="1314" t="str">
        <f>IFERROR(VLOOKUP($B357,'24.08_ND'!$A$4833:$D$12369,2,0),IFERROR(VLOOKUP($B357,'03-CP'!$C$5:$H$4646,2,0),""))</f>
        <v>CABO ELETRÔNICO CATEGORIA 6, INSTALADO EM EDIFICAÇÃO INSTITUCIONAL - FORNECIMENTO E INSTALAÇÃO. AF_11/2019</v>
      </c>
      <c r="E357" s="1315" t="str">
        <f>IFERROR(VLOOKUP($B357,'24.08_ND'!$A:$D,3,0),IFERROR(VLOOKUP($B357,'03-CP'!$C$5:$H$4646,3,0),""))</f>
        <v>M</v>
      </c>
      <c r="F357" s="389">
        <v>2</v>
      </c>
      <c r="G357" s="1244"/>
      <c r="H357" s="1244"/>
      <c r="I357" s="1409"/>
      <c r="J357" s="262"/>
      <c r="K357" s="262"/>
      <c r="L357" s="262"/>
      <c r="M357" s="262"/>
      <c r="N357" s="262"/>
      <c r="O357" s="262"/>
      <c r="P357" s="262"/>
      <c r="Q357" s="262"/>
      <c r="R357" s="262"/>
      <c r="S357" s="262"/>
      <c r="T357" s="262"/>
      <c r="U357" s="262"/>
      <c r="V357" s="262"/>
      <c r="W357" s="262"/>
      <c r="X357" s="262"/>
      <c r="Y357" s="262"/>
      <c r="Z357" s="262"/>
    </row>
    <row r="358" spans="1:26" ht="12.75" outlineLevel="1">
      <c r="A358" s="247" t="s">
        <v>13697</v>
      </c>
      <c r="B358" s="386">
        <v>98307</v>
      </c>
      <c r="C358" s="386" t="s">
        <v>14476</v>
      </c>
      <c r="D358" s="1314" t="str">
        <f>IFERROR(VLOOKUP($B358,'24.08_ND'!$A$4833:$D$12369,2,0),IFERROR(VLOOKUP($B358,'03-CP'!$C$5:$H$4646,2,0),""))</f>
        <v>TOMADA DE REDE RJ45 - FORNECIMENTO E INSTALAÇÃO. AF_11/2019</v>
      </c>
      <c r="E358" s="1315" t="str">
        <f>IFERROR(VLOOKUP($B358,'24.08_ND'!$A:$D,3,0),IFERROR(VLOOKUP($B358,'03-CP'!$C$5:$H$4646,3,0),""))</f>
        <v>UN</v>
      </c>
      <c r="F358" s="389">
        <v>1</v>
      </c>
      <c r="G358" s="1244"/>
      <c r="H358" s="1244"/>
      <c r="I358" s="1409"/>
      <c r="J358" s="262"/>
      <c r="K358" s="262"/>
      <c r="L358" s="262"/>
      <c r="M358" s="262"/>
      <c r="N358" s="262"/>
      <c r="O358" s="262"/>
      <c r="P358" s="262"/>
      <c r="Q358" s="262"/>
      <c r="R358" s="262"/>
      <c r="S358" s="262"/>
      <c r="T358" s="262"/>
      <c r="U358" s="262"/>
      <c r="V358" s="262"/>
      <c r="W358" s="262"/>
      <c r="X358" s="262"/>
      <c r="Y358" s="262"/>
      <c r="Z358" s="262"/>
    </row>
    <row r="359" spans="1:26" ht="38.25" outlineLevel="1">
      <c r="A359" s="247" t="s">
        <v>13698</v>
      </c>
      <c r="B359" s="386" t="s">
        <v>15336</v>
      </c>
      <c r="C359" s="386" t="s">
        <v>14472</v>
      </c>
      <c r="D359" s="1314" t="str">
        <f>IFERROR(VLOOKUP($B359,'24.08_ND'!$A$4833:$D$12369,2,0),IFERROR(VLOOKUP($B359,'03-CP'!$C$5:$H$4646,2,0),""))</f>
        <v xml:space="preserve">FORNECIMENTO E INSTALAÇÃO DE MINI RACK DE PAREDE 19" X 5U X 350MM – FORNECIMENTO E INSTALAÇÃO
</v>
      </c>
      <c r="E359" s="1315" t="str">
        <f>IFERROR(VLOOKUP($B359,'24.08_ND'!$A:$D,3,0),IFERROR(VLOOKUP($B359,'03-CP'!$C$5:$H$4646,3,0),""))</f>
        <v>UN</v>
      </c>
      <c r="F359" s="389">
        <v>1</v>
      </c>
      <c r="G359" s="1244"/>
      <c r="H359" s="1244"/>
      <c r="I359" s="1409"/>
      <c r="J359" s="262"/>
      <c r="K359" s="262"/>
      <c r="L359" s="262"/>
      <c r="M359" s="262"/>
      <c r="N359" s="262"/>
      <c r="O359" s="262"/>
      <c r="P359" s="262"/>
      <c r="Q359" s="262"/>
      <c r="R359" s="262"/>
      <c r="S359" s="262"/>
      <c r="T359" s="262"/>
      <c r="U359" s="262"/>
      <c r="V359" s="262"/>
      <c r="W359" s="262"/>
      <c r="X359" s="262"/>
      <c r="Y359" s="262"/>
      <c r="Z359" s="262"/>
    </row>
    <row r="360" spans="1:26" ht="25.5" outlineLevel="1">
      <c r="A360" s="247" t="s">
        <v>13699</v>
      </c>
      <c r="B360" s="386" t="s">
        <v>15352</v>
      </c>
      <c r="C360" s="386" t="s">
        <v>14472</v>
      </c>
      <c r="D360" s="1314" t="str">
        <f>IFERROR(VLOOKUP($B360,'24.08_ND'!$A$4833:$D$12369,2,0),IFERROR(VLOOKUP($B360,'03-CP'!$C$5:$H$4646,2,0),""))</f>
        <v>REGUA COM 12 TOMADAS 2P+T 250V., COM CABO TIPO FILTRO DE LINHA PARA RACK - FORNECIMENTO E INSTALACAO</v>
      </c>
      <c r="E360" s="1315" t="str">
        <f>IFERROR(VLOOKUP($B360,'24.08_ND'!$A:$D,3,0),IFERROR(VLOOKUP($B360,'03-CP'!$C$5:$H$4646,3,0),""))</f>
        <v>UN</v>
      </c>
      <c r="F360" s="389">
        <v>1</v>
      </c>
      <c r="G360" s="1244"/>
      <c r="H360" s="1244"/>
      <c r="I360" s="1409"/>
      <c r="J360" s="262"/>
      <c r="K360" s="262"/>
      <c r="L360" s="262"/>
      <c r="M360" s="262"/>
      <c r="N360" s="262"/>
      <c r="O360" s="262"/>
      <c r="P360" s="262"/>
      <c r="Q360" s="262"/>
      <c r="R360" s="262"/>
      <c r="S360" s="262"/>
      <c r="T360" s="262"/>
      <c r="U360" s="262"/>
      <c r="V360" s="262"/>
      <c r="W360" s="262"/>
      <c r="X360" s="262"/>
      <c r="Y360" s="262"/>
      <c r="Z360" s="262"/>
    </row>
    <row r="361" spans="1:26" ht="25.5" outlineLevel="1">
      <c r="A361" s="247" t="s">
        <v>13700</v>
      </c>
      <c r="B361" s="386" t="s">
        <v>15355</v>
      </c>
      <c r="C361" s="386" t="s">
        <v>14472</v>
      </c>
      <c r="D361" s="1314" t="str">
        <f>IFERROR(VLOOKUP($B361,'24.08_ND'!$A$4833:$D$12369,2,0),IFERROR(VLOOKUP($B361,'03-CP'!$C$5:$H$4646,2,0),""))</f>
        <v>DISTRIBUIDOR INTERNO ÓPTICO DIO 6 FIBRAS, SM, SC/APC, INCLUINDO CONECTOR ÓPTICO - FORNECIMENTO E INSTALAÇÃO</v>
      </c>
      <c r="E361" s="1315" t="str">
        <f>IFERROR(VLOOKUP($B361,'24.08_ND'!$A:$D,3,0),IFERROR(VLOOKUP($B361,'03-CP'!$C$5:$H$4646,3,0),""))</f>
        <v>UN</v>
      </c>
      <c r="F361" s="389">
        <v>1</v>
      </c>
      <c r="G361" s="1244"/>
      <c r="H361" s="1244"/>
      <c r="I361" s="1409"/>
      <c r="J361" s="262"/>
      <c r="K361" s="262"/>
      <c r="L361" s="262"/>
      <c r="M361" s="262"/>
      <c r="N361" s="262"/>
      <c r="O361" s="262"/>
      <c r="P361" s="262"/>
      <c r="Q361" s="262"/>
      <c r="R361" s="262"/>
      <c r="S361" s="262"/>
      <c r="T361" s="262"/>
      <c r="U361" s="262"/>
      <c r="V361" s="262"/>
      <c r="W361" s="262"/>
      <c r="X361" s="262"/>
      <c r="Y361" s="262"/>
      <c r="Z361" s="262"/>
    </row>
    <row r="362" spans="1:26" ht="12.75" hidden="1">
      <c r="A362" s="1487"/>
      <c r="B362" s="1488"/>
      <c r="C362" s="1488"/>
      <c r="D362" s="1489"/>
      <c r="E362" s="1490"/>
      <c r="F362" s="1491"/>
      <c r="G362" s="1493"/>
      <c r="H362" s="1493"/>
      <c r="I362" s="1494"/>
      <c r="J362" s="512"/>
      <c r="K362" s="262"/>
      <c r="L362" s="1508"/>
      <c r="M362" s="1508"/>
      <c r="N362" s="1508"/>
      <c r="O362" s="1508"/>
      <c r="P362" s="1508"/>
      <c r="Q362" s="1508"/>
      <c r="R362" s="1508"/>
      <c r="S362" s="1508"/>
      <c r="T362" s="1508"/>
      <c r="U362" s="1508"/>
      <c r="V362" s="1508"/>
      <c r="W362" s="1508"/>
      <c r="X362" s="1508"/>
      <c r="Y362" s="1508"/>
      <c r="Z362" s="1508"/>
    </row>
    <row r="363" spans="1:26" ht="12.75">
      <c r="A363" s="1298" t="s">
        <v>16477</v>
      </c>
      <c r="B363" s="1371"/>
      <c r="C363" s="1371"/>
      <c r="D363" s="1372"/>
      <c r="E363" s="1373"/>
      <c r="F363" s="1374"/>
      <c r="G363" s="1376"/>
      <c r="H363" s="1376"/>
      <c r="I363" s="1377"/>
      <c r="J363" s="512"/>
      <c r="K363" s="262"/>
      <c r="L363" s="1508"/>
      <c r="M363" s="1508"/>
      <c r="N363" s="1508"/>
      <c r="O363" s="1508"/>
      <c r="P363" s="1508"/>
      <c r="Q363" s="1508"/>
      <c r="R363" s="1508"/>
      <c r="S363" s="1508"/>
      <c r="T363" s="1508"/>
      <c r="U363" s="1508"/>
      <c r="V363" s="1508"/>
      <c r="W363" s="1508"/>
      <c r="X363" s="1508"/>
      <c r="Y363" s="1508"/>
      <c r="Z363" s="1508"/>
    </row>
    <row r="364" spans="1:26" ht="12.75">
      <c r="A364" s="238" t="s">
        <v>12639</v>
      </c>
      <c r="B364" s="1304"/>
      <c r="C364" s="1304"/>
      <c r="D364" s="1305" t="s">
        <v>16345</v>
      </c>
      <c r="E364" s="1306"/>
      <c r="F364" s="1307"/>
      <c r="G364" s="1307"/>
      <c r="H364" s="1307"/>
      <c r="I364" s="1496"/>
      <c r="J364" s="1383" t="s">
        <v>16474</v>
      </c>
      <c r="K364" s="1588" t="s">
        <v>16478</v>
      </c>
      <c r="L364" s="1645"/>
      <c r="M364" s="1645"/>
      <c r="N364" s="1645"/>
      <c r="O364" s="1645"/>
      <c r="P364" s="1645"/>
      <c r="Q364" s="1645"/>
      <c r="R364" s="1645"/>
      <c r="S364" s="1645"/>
      <c r="T364" s="1645"/>
      <c r="U364" s="1645"/>
      <c r="V364" s="1645"/>
      <c r="W364" s="1645"/>
      <c r="X364" s="1645"/>
      <c r="Y364" s="1645"/>
      <c r="Z364" s="1645"/>
    </row>
    <row r="365" spans="1:26" ht="25.5" outlineLevel="1">
      <c r="A365" s="247" t="s">
        <v>13701</v>
      </c>
      <c r="B365" s="386">
        <v>101908</v>
      </c>
      <c r="C365" s="386" t="s">
        <v>14476</v>
      </c>
      <c r="D365" s="1314" t="str">
        <f>IFERROR(VLOOKUP($B365,'24.08_ND'!$A$4833:$D$12369,2,0),IFERROR(VLOOKUP($B365,'03-CP'!$C$5:$H$4646,2,0),""))</f>
        <v>EXTINTOR DE INCÊNDIO PORTÁTIL COM CARGA DE PQS DE 4 KG, CLASSE BC - FORNECIMENTO E INSTALAÇÃO. AF_10/2020_PE</v>
      </c>
      <c r="E365" s="1315" t="str">
        <f>IFERROR(VLOOKUP($B365,'24.08_ND'!$A:$D,3,0),IFERROR(VLOOKUP($B365,'03-CP'!$C$5:$H$4646,3,0),""))</f>
        <v>UN</v>
      </c>
      <c r="F365" s="389">
        <v>1</v>
      </c>
      <c r="G365" s="1244"/>
      <c r="H365" s="1244"/>
      <c r="I365" s="1409"/>
      <c r="J365" s="262"/>
      <c r="K365" s="262"/>
      <c r="L365" s="262"/>
      <c r="M365" s="262"/>
      <c r="N365" s="262"/>
      <c r="O365" s="262"/>
      <c r="P365" s="262"/>
      <c r="Q365" s="262"/>
      <c r="R365" s="262"/>
      <c r="S365" s="262"/>
      <c r="T365" s="262"/>
      <c r="U365" s="262"/>
      <c r="V365" s="262"/>
      <c r="W365" s="262"/>
      <c r="X365" s="262"/>
      <c r="Y365" s="262"/>
      <c r="Z365" s="262"/>
    </row>
    <row r="366" spans="1:26" ht="25.5" outlineLevel="1">
      <c r="A366" s="247" t="s">
        <v>13702</v>
      </c>
      <c r="B366" s="386">
        <v>97599</v>
      </c>
      <c r="C366" s="386" t="s">
        <v>14476</v>
      </c>
      <c r="D366" s="1314" t="str">
        <f>IFERROR(VLOOKUP($B366,'24.08_ND'!$A$4833:$D$12369,2,0),IFERROR(VLOOKUP($B366,'03-CP'!$C$5:$H$4646,2,0),""))</f>
        <v>LUMINÁRIA DE EMERGÊNCIA, COM 30 LÂMPADAS LED DE 2 W, SEM REATOR - FORNECIMENTO E INSTALAÇÃO. AF_02/2020</v>
      </c>
      <c r="E366" s="1315" t="str">
        <f>IFERROR(VLOOKUP($B366,'24.08_ND'!$A:$D,3,0),IFERROR(VLOOKUP($B366,'03-CP'!$C$5:$H$4646,3,0),""))</f>
        <v>UN</v>
      </c>
      <c r="F366" s="389">
        <v>3</v>
      </c>
      <c r="G366" s="1244"/>
      <c r="H366" s="1244"/>
      <c r="I366" s="1409"/>
      <c r="J366" s="262"/>
      <c r="K366" s="262"/>
      <c r="L366" s="262"/>
      <c r="M366" s="262"/>
      <c r="N366" s="262"/>
      <c r="O366" s="262"/>
      <c r="P366" s="262"/>
      <c r="Q366" s="262"/>
      <c r="R366" s="262"/>
      <c r="S366" s="262"/>
      <c r="T366" s="262"/>
      <c r="U366" s="262"/>
      <c r="V366" s="262"/>
      <c r="W366" s="262"/>
      <c r="X366" s="262"/>
      <c r="Y366" s="262"/>
      <c r="Z366" s="262"/>
    </row>
    <row r="367" spans="1:26" ht="38.25" outlineLevel="1">
      <c r="A367" s="254" t="s">
        <v>13703</v>
      </c>
      <c r="B367" s="1186" t="s">
        <v>15359</v>
      </c>
      <c r="C367" s="1186" t="s">
        <v>14472</v>
      </c>
      <c r="D367" s="1514" t="str">
        <f>IFERROR(VLOOKUP($B367,'24.08_ND'!$A$4833:$D$12369,2,0),IFERROR(VLOOKUP($B367,'03-CP'!$C$5:$H$4646,2,0),""))</f>
        <v>PLACA DE SINALIZAÇÃO DE SEGURANÇA CONTRA INCENDIO, FOTOLUMINESCENTE, QUADRADA 20X40 CM EM PVC 2 MM ANTI-CHAMAS - FORNECIMENTO E INSTALAÇÃO</v>
      </c>
      <c r="E367" s="1515" t="str">
        <f>IFERROR(VLOOKUP($B367,'24.08_ND'!$A:$D,3,0),IFERROR(VLOOKUP($B367,'03-CP'!$C$5:$H$4646,3,0),""))</f>
        <v>UN</v>
      </c>
      <c r="F367" s="1516">
        <v>2</v>
      </c>
      <c r="G367" s="1517"/>
      <c r="H367" s="1517"/>
      <c r="I367" s="1518"/>
      <c r="J367" s="262"/>
      <c r="K367" s="262"/>
      <c r="L367" s="262"/>
      <c r="M367" s="262"/>
      <c r="N367" s="262"/>
      <c r="O367" s="262"/>
      <c r="P367" s="262"/>
      <c r="Q367" s="262"/>
      <c r="R367" s="262"/>
      <c r="S367" s="262"/>
      <c r="T367" s="262"/>
      <c r="U367" s="262"/>
      <c r="V367" s="262"/>
      <c r="W367" s="262"/>
      <c r="X367" s="262"/>
      <c r="Y367" s="262"/>
      <c r="Z367" s="262"/>
    </row>
  </sheetData>
  <autoFilter ref="A1:Z367" xr:uid="{00000000-0009-0000-0000-000010000000}">
    <filterColumn colId="0">
      <filters>
        <filter val="(D) - QUIOSQUE - PLANILHA QUANTITATIVA"/>
        <filter val="• ARQUITETURA"/>
        <filter val="• ESTRUTURAL"/>
        <filter val="• INSTALAÇÕES ELÉTRICAS"/>
        <filter val="• INSTALAÇÕES HIDROSSANITÁRIAS"/>
        <filter val="• INSTALAÇÕES PREVENÇÃO DE COMBATE A INCÊNDIO E PANICO"/>
        <filter val="D.1"/>
        <filter val="D.1.1"/>
        <filter val="D.1.1.1"/>
        <filter val="D.1.1.10"/>
        <filter val="D.1.1.11"/>
        <filter val="D.1.1.2"/>
        <filter val="D.1.1.3"/>
        <filter val="D.1.1.4"/>
        <filter val="D.1.1.5"/>
        <filter val="D.1.1.6"/>
        <filter val="D.1.1.7"/>
        <filter val="D.1.1.8"/>
        <filter val="D.1.1.9"/>
        <filter val="D.1.2"/>
        <filter val="D.1.2.1"/>
        <filter val="D.1.2.10"/>
        <filter val="D.1.2.11"/>
        <filter val="D.1.2.2"/>
        <filter val="D.1.2.3"/>
        <filter val="D.1.2.4"/>
        <filter val="D.1.2.5"/>
        <filter val="D.1.2.6"/>
        <filter val="D.1.2.7"/>
        <filter val="D.1.2.8"/>
        <filter val="D.1.2.9"/>
        <filter val="D.1.3"/>
        <filter val="D.1.3.1"/>
        <filter val="D.1.3.2"/>
        <filter val="D.1.3.3"/>
        <filter val="D.1.4"/>
        <filter val="D.1.4.1"/>
        <filter val="D.1.4.2"/>
        <filter val="D.1.4.3"/>
        <filter val="D.1.4.4"/>
        <filter val="D.1.5"/>
        <filter val="D.1.5.1"/>
        <filter val="D.1.5.2"/>
        <filter val="D.1.5.3"/>
        <filter val="D.1.5.4"/>
        <filter val="D.1.6"/>
        <filter val="D.1.6.1"/>
        <filter val="D.1.6.2"/>
        <filter val="D.1.6.3"/>
        <filter val="D.1.6.4"/>
        <filter val="D.1.6.5"/>
        <filter val="D.1.7"/>
        <filter val="D.1.7.1"/>
        <filter val="D.1.7.2"/>
        <filter val="D.1.7.3"/>
        <filter val="D.1.7.4"/>
        <filter val="D.1.8"/>
        <filter val="D.1.8.1"/>
        <filter val="D.1.9"/>
        <filter val="D.1.9.1"/>
        <filter val="D.2"/>
        <filter val="D.2.1"/>
        <filter val="D.2.1.1"/>
        <filter val="D.2.1.2"/>
        <filter val="D.2.1.3"/>
        <filter val="D.2.1.4"/>
        <filter val="D.2.2"/>
        <filter val="D.2.2.1"/>
        <filter val="D.2.2.2"/>
        <filter val="D.2.2.3"/>
        <filter val="D.2.3"/>
        <filter val="D.2.3.1"/>
        <filter val="D.2.3.2"/>
        <filter val="D.2.3.3"/>
        <filter val="D.2.4"/>
        <filter val="D.2.4.1"/>
        <filter val="D.2.4.2"/>
        <filter val="D.2.4.3"/>
        <filter val="D.2.4.4"/>
        <filter val="D.2.4.5"/>
        <filter val="D.2.4.6"/>
        <filter val="D.2.4.7"/>
        <filter val="D.2.5"/>
        <filter val="D.2.5.1"/>
        <filter val="D.2.5.2"/>
        <filter val="D.2.5.3"/>
        <filter val="D.2.5.4"/>
        <filter val="D.2.6"/>
        <filter val="D.2.6.1"/>
        <filter val="D.2.6.2"/>
        <filter val="D.2.6.3"/>
        <filter val="D.2.6.4"/>
        <filter val="D.2.6.5"/>
        <filter val="D.2.7"/>
        <filter val="D.2.7.1"/>
        <filter val="D.2.7.2"/>
        <filter val="D.2.7.3"/>
        <filter val="D.2.7.4"/>
        <filter val="D.2.7.5"/>
        <filter val="D.2.8"/>
        <filter val="D.2.8.1"/>
        <filter val="D.2.8.10"/>
        <filter val="D.2.8.11"/>
        <filter val="D.2.8.12"/>
        <filter val="D.2.8.13"/>
        <filter val="D.2.8.14"/>
        <filter val="D.2.8.15"/>
        <filter val="D.2.8.16"/>
        <filter val="D.2.8.2"/>
        <filter val="D.2.8.3"/>
        <filter val="D.2.8.4"/>
        <filter val="D.2.8.5"/>
        <filter val="D.2.8.6"/>
        <filter val="D.2.8.7"/>
        <filter val="D.2.8.8"/>
        <filter val="D.2.8.9"/>
        <filter val="D.2.9"/>
        <filter val="D.2.9.1"/>
        <filter val="D.2.9.2"/>
        <filter val="D.2.9.3"/>
        <filter val="D.3"/>
        <filter val="D.3.1"/>
        <filter val="D.3.1.1"/>
        <filter val="D.3.1.10"/>
        <filter val="D.3.1.11"/>
        <filter val="D.3.1.12"/>
        <filter val="D.3.1.13"/>
        <filter val="D.3.1.14"/>
        <filter val="D.3.1.15"/>
        <filter val="D.3.1.16"/>
        <filter val="D.3.1.17"/>
        <filter val="D.3.1.18"/>
        <filter val="D.3.1.19"/>
        <filter val="D.3.1.2"/>
        <filter val="D.3.1.20"/>
        <filter val="D.3.1.21"/>
        <filter val="D.3.1.22"/>
        <filter val="D.3.1.23"/>
        <filter val="D.3.1.24"/>
        <filter val="D.3.1.3"/>
        <filter val="D.3.1.4"/>
        <filter val="D.3.1.5"/>
        <filter val="D.3.1.6"/>
        <filter val="D.3.1.7"/>
        <filter val="D.3.1.8"/>
        <filter val="D.3.1.9"/>
        <filter val="D.3.2"/>
        <filter val="D.3.2.1"/>
        <filter val="D.3.2.10"/>
        <filter val="D.3.2.11"/>
        <filter val="D.3.2.12"/>
        <filter val="D.3.2.13"/>
        <filter val="D.3.2.14"/>
        <filter val="D.3.2.15"/>
        <filter val="D.3.2.16"/>
        <filter val="D.3.2.17"/>
        <filter val="D.3.2.18"/>
        <filter val="D.3.2.19"/>
        <filter val="D.3.2.2"/>
        <filter val="D.3.2.20"/>
        <filter val="D.3.2.21"/>
        <filter val="D.3.2.22"/>
        <filter val="D.3.2.23"/>
        <filter val="D.3.2.24"/>
        <filter val="D.3.2.25"/>
        <filter val="D.3.2.26"/>
        <filter val="D.3.2.27"/>
        <filter val="D.3.2.28"/>
        <filter val="D.3.2.29"/>
        <filter val="D.3.2.3"/>
        <filter val="D.3.2.30"/>
        <filter val="D.3.2.31"/>
        <filter val="D.3.2.4"/>
        <filter val="D.3.2.5"/>
        <filter val="D.3.2.6"/>
        <filter val="D.3.2.7"/>
        <filter val="D.3.2.8"/>
        <filter val="D.3.2.9"/>
        <filter val="D.3.3"/>
        <filter val="D.3.3.1"/>
        <filter val="D.3.3.2"/>
        <filter val="D.3.3.3"/>
        <filter val="D.3.3.4"/>
        <filter val="D.3.3.5"/>
        <filter val="D.3.3.6"/>
        <filter val="D.3.3.7"/>
        <filter val="D.3.3.8"/>
        <filter val="D.3.3.9"/>
        <filter val="D.4"/>
        <filter val="D.4.1"/>
        <filter val="D.4.1.1"/>
        <filter val="D.4.1.10"/>
        <filter val="D.4.1.2"/>
        <filter val="D.4.1.3"/>
        <filter val="D.4.1.4"/>
        <filter val="D.4.1.5"/>
        <filter val="D.4.1.6"/>
        <filter val="D.4.1.7"/>
        <filter val="D.4.1.8"/>
        <filter val="D.4.1.9"/>
        <filter val="D.4.2"/>
        <filter val="D.4.2.1"/>
        <filter val="D.4.2.2"/>
        <filter val="D.4.2.3"/>
        <filter val="D.4.2.4"/>
        <filter val="D.4.3"/>
        <filter val="D.4.3.1"/>
        <filter val="D.4.3.2"/>
        <filter val="D.4.4"/>
        <filter val="D.4.4.1"/>
        <filter val="D.4.4.2"/>
        <filter val="D.4.4.3"/>
        <filter val="D.4.4.4"/>
        <filter val="D.4.4.5"/>
        <filter val="D.4.4.6"/>
        <filter val="D.4.5"/>
        <filter val="D.4.5.1"/>
        <filter val="D.4.5.2"/>
        <filter val="D.4.6"/>
        <filter val="D.4.6.1"/>
        <filter val="D.4.6.2"/>
        <filter val="D.4.6.3"/>
        <filter val="D.4.6.4"/>
        <filter val="D.4.6.5"/>
        <filter val="D.5"/>
        <filter val="D.5.1"/>
        <filter val="D.5.2"/>
        <filter val="D.5.3"/>
        <filter val="ENDEREÇO:"/>
        <filter val="ITEM"/>
        <filter val="MUNICÍPIO:"/>
        <filter val="OBJETO:"/>
      </filters>
    </filterColumn>
  </autoFilter>
  <mergeCells count="7">
    <mergeCell ref="G6:I6"/>
    <mergeCell ref="E90:F90"/>
    <mergeCell ref="B1:I1"/>
    <mergeCell ref="B2:I2"/>
    <mergeCell ref="B3:I3"/>
    <mergeCell ref="B4:I4"/>
    <mergeCell ref="A5:I5"/>
  </mergeCells>
  <printOptions horizontalCentered="1"/>
  <pageMargins left="0.39370078740157477" right="0.39370078740157477" top="0.39370078740157477" bottom="0.39370078740157477" header="0" footer="0"/>
  <pageSetup paperSize="9" fitToHeight="0" orientation="portrait" cellComments="atEnd"/>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outlinePr summaryBelow="0"/>
    <pageSetUpPr fitToPage="1"/>
  </sheetPr>
  <dimension ref="A1:L539"/>
  <sheetViews>
    <sheetView workbookViewId="0"/>
  </sheetViews>
  <sheetFormatPr defaultColWidth="12.5703125" defaultRowHeight="15" customHeight="1" outlineLevelRow="1"/>
  <cols>
    <col min="1" max="1" width="12" customWidth="1"/>
    <col min="2" max="2" width="13.5703125" customWidth="1"/>
    <col min="3" max="3" width="10.5703125" customWidth="1"/>
    <col min="4" max="4" width="60" customWidth="1"/>
    <col min="5" max="5" width="11.5703125" customWidth="1"/>
    <col min="6" max="6" width="12.7109375" customWidth="1"/>
    <col min="7" max="7" width="12" customWidth="1"/>
    <col min="8" max="8" width="16.7109375" customWidth="1"/>
    <col min="9" max="9" width="7.7109375" customWidth="1"/>
    <col min="10" max="10" width="17.140625" hidden="1" customWidth="1"/>
    <col min="11" max="11" width="44.85546875" hidden="1" customWidth="1"/>
    <col min="12" max="12" width="13.85546875" hidden="1" customWidth="1"/>
  </cols>
  <sheetData>
    <row r="1" spans="1:12">
      <c r="A1" s="1188" t="e">
        <f>'Medição '!$V$5:$AB$5</f>
        <v>#VALUE!</v>
      </c>
      <c r="B1" s="3498" t="str">
        <f>'Medição '!W5</f>
        <v>COMPLEXO SUNSET DO PARQUE NOVO MATO GROSSO</v>
      </c>
      <c r="C1" s="2607"/>
      <c r="D1" s="2607"/>
      <c r="E1" s="2607"/>
      <c r="F1" s="2607"/>
      <c r="G1" s="2607"/>
      <c r="H1" s="2607"/>
      <c r="I1" s="3400"/>
      <c r="J1" s="130"/>
      <c r="K1" s="1646"/>
      <c r="L1" s="130"/>
    </row>
    <row r="2" spans="1:12">
      <c r="A2" s="1189" t="e">
        <f>'Medição '!$V$6:$AB$6</f>
        <v>#VALUE!</v>
      </c>
      <c r="B2" s="3499" t="str">
        <f>'Medição '!W6</f>
        <v>MT 251, KM 11, S/N, ÁREA RURAL - PARQUE NOVO MATO GROSSO, CEP 78099-899</v>
      </c>
      <c r="C2" s="2634"/>
      <c r="D2" s="2634"/>
      <c r="E2" s="2634"/>
      <c r="F2" s="2634"/>
      <c r="G2" s="2634"/>
      <c r="H2" s="2634"/>
      <c r="I2" s="2635"/>
      <c r="J2" s="130"/>
      <c r="K2" s="1646"/>
      <c r="L2" s="130"/>
    </row>
    <row r="3" spans="1:12">
      <c r="A3" s="1189" t="e">
        <f>'Medição '!$V$7:$AB$7</f>
        <v>#VALUE!</v>
      </c>
      <c r="B3" s="3499" t="str">
        <f>'Medição '!W7</f>
        <v>CUIABÁ - MT</v>
      </c>
      <c r="C3" s="2634"/>
      <c r="D3" s="2634"/>
      <c r="E3" s="2634"/>
      <c r="F3" s="2634"/>
      <c r="G3" s="2634"/>
      <c r="H3" s="2634"/>
      <c r="I3" s="2635"/>
      <c r="J3" s="130"/>
      <c r="K3" s="1646"/>
      <c r="L3" s="130"/>
    </row>
    <row r="4" spans="1:12">
      <c r="A4" s="1189" t="e">
        <f>'Medição '!$V$8:$AB$8</f>
        <v>#VALUE!</v>
      </c>
      <c r="B4" s="3500" t="str">
        <f>'Medição '!W8</f>
        <v>CONTRATAÇÃO DE EMPRESA ESPECIALIZADA PARA EXECUÇÃO DAS OBRAS DO "COMPLEXO SUNSET (WAKE BAR, PRAÇA SUNSET, QUIOSQUE, BANHEIROS DE APOIO E INFRA DE CONTÊINER) DO PARQUE NOVO MATO GROSSO"</v>
      </c>
      <c r="C4" s="2634"/>
      <c r="D4" s="2634"/>
      <c r="E4" s="2634"/>
      <c r="F4" s="2634"/>
      <c r="G4" s="2634"/>
      <c r="H4" s="2634"/>
      <c r="I4" s="2635"/>
      <c r="J4" s="130"/>
      <c r="K4" s="1646"/>
      <c r="L4" s="130"/>
    </row>
    <row r="5" spans="1:12" ht="30" customHeight="1">
      <c r="A5" s="3495" t="s">
        <v>16479</v>
      </c>
      <c r="B5" s="2588"/>
      <c r="C5" s="2588"/>
      <c r="D5" s="2588"/>
      <c r="E5" s="2588"/>
      <c r="F5" s="2588"/>
      <c r="G5" s="2588"/>
      <c r="H5" s="2588"/>
      <c r="I5" s="2621"/>
      <c r="J5" s="1290"/>
      <c r="K5" s="1647"/>
      <c r="L5" s="1290"/>
    </row>
    <row r="6" spans="1:12" ht="25.5">
      <c r="A6" s="1292" t="s">
        <v>12613</v>
      </c>
      <c r="B6" s="1293" t="s">
        <v>16147</v>
      </c>
      <c r="C6" s="1293" t="s">
        <v>16148</v>
      </c>
      <c r="D6" s="1293" t="s">
        <v>16149</v>
      </c>
      <c r="E6" s="1294" t="s">
        <v>16197</v>
      </c>
      <c r="F6" s="1295" t="s">
        <v>16150</v>
      </c>
      <c r="G6" s="3496" t="s">
        <v>16151</v>
      </c>
      <c r="H6" s="2610"/>
      <c r="I6" s="3432"/>
      <c r="J6" s="1296"/>
      <c r="K6" s="1588"/>
      <c r="L6" s="1296"/>
    </row>
    <row r="7" spans="1:12" ht="12.75">
      <c r="A7" s="1298" t="s">
        <v>14584</v>
      </c>
      <c r="B7" s="1648"/>
      <c r="C7" s="1648"/>
      <c r="D7" s="1649"/>
      <c r="E7" s="1650"/>
      <c r="F7" s="1651"/>
      <c r="G7" s="1650"/>
      <c r="H7" s="1651"/>
      <c r="I7" s="1652"/>
      <c r="J7" s="262"/>
      <c r="K7" s="504"/>
      <c r="L7" s="262"/>
    </row>
    <row r="8" spans="1:12" ht="12.75">
      <c r="A8" s="238" t="s">
        <v>12642</v>
      </c>
      <c r="B8" s="1304"/>
      <c r="C8" s="1304"/>
      <c r="D8" s="1305" t="s">
        <v>16198</v>
      </c>
      <c r="E8" s="1306"/>
      <c r="F8" s="1307"/>
      <c r="G8" s="1306"/>
      <c r="H8" s="1306"/>
      <c r="I8" s="1308"/>
      <c r="J8" s="110"/>
      <c r="K8" s="504"/>
      <c r="L8" s="262"/>
    </row>
    <row r="9" spans="1:12" ht="12.75">
      <c r="A9" s="252" t="s">
        <v>13705</v>
      </c>
      <c r="B9" s="1653"/>
      <c r="C9" s="1653"/>
      <c r="D9" s="1654" t="s">
        <v>16480</v>
      </c>
      <c r="E9" s="1655"/>
      <c r="F9" s="1656"/>
      <c r="G9" s="1655"/>
      <c r="H9" s="1655"/>
      <c r="I9" s="1657"/>
      <c r="J9" s="948" t="s">
        <v>16481</v>
      </c>
      <c r="K9" s="1588" t="s">
        <v>16482</v>
      </c>
      <c r="L9" s="262"/>
    </row>
    <row r="10" spans="1:12" ht="25.5" outlineLevel="1">
      <c r="A10" s="243" t="s">
        <v>13706</v>
      </c>
      <c r="B10" s="386">
        <v>96523</v>
      </c>
      <c r="C10" s="386" t="s">
        <v>14476</v>
      </c>
      <c r="D10" s="387" t="str">
        <f>IFERROR(VLOOKUP($B10,'24.08_ND'!$A:$D,2,0),IFERROR(VLOOKUP(#REF!,'03-CP'!$C$5:$H$4646,2,0),""))</f>
        <v>ESCAVAÇÃO MANUAL PARA BLOCO DE COROAMENTO OU SAPATA (INCLUINDO ESCAVAÇÃO PARA COLOCAÇÃO DE FÔRMAS). AF_01/2024</v>
      </c>
      <c r="E10" s="253" t="str">
        <f>IFERROR(VLOOKUP($B10,'24.08_ND'!$A:$D,3,0),IFERROR(VLOOKUP(#REF!,'03-CP'!$C$5:$H$4646,3,0),""))</f>
        <v>M3</v>
      </c>
      <c r="F10" s="389">
        <v>88.7</v>
      </c>
      <c r="G10" s="386"/>
      <c r="H10" s="386"/>
      <c r="I10" s="1316"/>
      <c r="J10" s="386" t="s">
        <v>16202</v>
      </c>
      <c r="K10" s="504"/>
      <c r="L10" s="386"/>
    </row>
    <row r="11" spans="1:12" ht="25.5" outlineLevel="1">
      <c r="A11" s="243" t="s">
        <v>13707</v>
      </c>
      <c r="B11" s="386">
        <v>101616</v>
      </c>
      <c r="C11" s="386" t="s">
        <v>14476</v>
      </c>
      <c r="D11" s="387" t="str">
        <f>IFERROR(VLOOKUP($B11,'24.08_ND'!$A:$D,2,0),IFERROR(VLOOKUP(#REF!,'03-CP'!$C$5:$H$4646,2,0),""))</f>
        <v>PREPARO DE FUNDO DE VALA COM LARGURA MENOR QUE 1,5 M (ACERTO DO SOLO NATURAL). AF_08/2020</v>
      </c>
      <c r="E11" s="253" t="str">
        <f>IFERROR(VLOOKUP($B11,'24.08_ND'!$A:$D,3,0),IFERROR(VLOOKUP(#REF!,'03-CP'!$C$5:$H$4646,3,0),""))</f>
        <v>M2</v>
      </c>
      <c r="F11" s="389">
        <v>8.26</v>
      </c>
      <c r="G11" s="386"/>
      <c r="H11" s="386"/>
      <c r="I11" s="1316"/>
      <c r="J11" s="386" t="s">
        <v>16202</v>
      </c>
      <c r="K11" s="504"/>
      <c r="L11" s="386"/>
    </row>
    <row r="12" spans="1:12" ht="25.5" outlineLevel="1">
      <c r="A12" s="243" t="s">
        <v>13708</v>
      </c>
      <c r="B12" s="386">
        <v>96616</v>
      </c>
      <c r="C12" s="386" t="s">
        <v>14476</v>
      </c>
      <c r="D12" s="387" t="str">
        <f>IFERROR(VLOOKUP($B12,'24.08_ND'!$A:$D,2,0),IFERROR(VLOOKUP(#REF!,'03-CP'!$C$5:$H$4646,2,0),""))</f>
        <v>LASTRO DE CONCRETO MAGRO, APLICADO EM BLOCOS DE COROAMENTO OU SAPATAS. AF_01/2024</v>
      </c>
      <c r="E12" s="253" t="str">
        <f>IFERROR(VLOOKUP($B12,'24.08_ND'!$A:$D,3,0),IFERROR(VLOOKUP(#REF!,'03-CP'!$C$5:$H$4646,3,0),""))</f>
        <v>M3</v>
      </c>
      <c r="F12" s="389">
        <v>0.41</v>
      </c>
      <c r="G12" s="386"/>
      <c r="H12" s="386"/>
      <c r="I12" s="1316"/>
      <c r="J12" s="386" t="s">
        <v>16202</v>
      </c>
      <c r="K12" s="504"/>
      <c r="L12" s="386"/>
    </row>
    <row r="13" spans="1:12" ht="25.5" outlineLevel="1">
      <c r="A13" s="243" t="s">
        <v>13709</v>
      </c>
      <c r="B13" s="386">
        <v>96535</v>
      </c>
      <c r="C13" s="386" t="s">
        <v>14476</v>
      </c>
      <c r="D13" s="387" t="str">
        <f>IFERROR(VLOOKUP($B13,'24.08_ND'!$A:$D,2,0),IFERROR(VLOOKUP(#REF!,'03-CP'!$C$5:$H$4646,2,0),""))</f>
        <v>FABRICAÇÃO, MONTAGEM E DESMONTAGEM DE FÔRMA PARA SAPATA, EM MADEIRA SERRADA, E=25 MM, 4 UTILIZAÇÕES. AF_01/2024</v>
      </c>
      <c r="E13" s="253" t="str">
        <f>IFERROR(VLOOKUP($B13,'24.08_ND'!$A:$D,3,0),IFERROR(VLOOKUP(#REF!,'03-CP'!$C$5:$H$4646,3,0),""))</f>
        <v>M2</v>
      </c>
      <c r="F13" s="389">
        <v>15.54</v>
      </c>
      <c r="G13" s="386"/>
      <c r="H13" s="386"/>
      <c r="I13" s="1316"/>
      <c r="J13" s="386" t="s">
        <v>16202</v>
      </c>
      <c r="K13" s="504"/>
      <c r="L13" s="386"/>
    </row>
    <row r="14" spans="1:12" ht="25.5" outlineLevel="1">
      <c r="A14" s="243" t="s">
        <v>13710</v>
      </c>
      <c r="B14" s="386">
        <v>104918</v>
      </c>
      <c r="C14" s="386" t="s">
        <v>14476</v>
      </c>
      <c r="D14" s="387" t="str">
        <f>IFERROR(VLOOKUP($B14,'24.08_ND'!$A:$D,2,0),IFERROR(VLOOKUP(#REF!,'03-CP'!$C$5:$H$4646,2,0),""))</f>
        <v>ARMAÇÃO DE SAPATA ISOLADA, VIGA BALDRAME E SAPATA CORRIDA UTILIZANDO AÇO CA-50 DE 8 MM - MONTAGEM. AF_01/2024</v>
      </c>
      <c r="E14" s="253" t="str">
        <f>IFERROR(VLOOKUP($B14,'24.08_ND'!$A:$D,3,0),IFERROR(VLOOKUP(#REF!,'03-CP'!$C$5:$H$4646,3,0),""))</f>
        <v>KG</v>
      </c>
      <c r="F14" s="389">
        <v>104.82</v>
      </c>
      <c r="G14" s="386"/>
      <c r="H14" s="386"/>
      <c r="I14" s="1316"/>
      <c r="J14" s="386" t="s">
        <v>16202</v>
      </c>
      <c r="K14" s="504"/>
      <c r="L14" s="386"/>
    </row>
    <row r="15" spans="1:12" ht="25.5" outlineLevel="1">
      <c r="A15" s="243" t="s">
        <v>13711</v>
      </c>
      <c r="B15" s="386">
        <v>96558</v>
      </c>
      <c r="C15" s="386" t="s">
        <v>14476</v>
      </c>
      <c r="D15" s="387" t="str">
        <f>IFERROR(VLOOKUP($B15,'24.08_ND'!$A:$D,2,0),IFERROR(VLOOKUP(#REF!,'03-CP'!$C$5:$H$4646,2,0),""))</f>
        <v>CONCRETAGEM DE SAPATA, FCK 30 MPA, COM USO DE BOMBA - LANÇAMENTO, ADENSAMENTO E ACABAMENTO. AF_01/2024</v>
      </c>
      <c r="E15" s="253" t="str">
        <f>IFERROR(VLOOKUP($B15,'24.08_ND'!$A:$D,3,0),IFERROR(VLOOKUP(#REF!,'03-CP'!$C$5:$H$4646,3,0),""))</f>
        <v>M3</v>
      </c>
      <c r="F15" s="389">
        <v>2.89</v>
      </c>
      <c r="G15" s="386"/>
      <c r="H15" s="386"/>
      <c r="I15" s="1316"/>
      <c r="J15" s="386" t="s">
        <v>16202</v>
      </c>
      <c r="K15" s="504"/>
      <c r="L15" s="386"/>
    </row>
    <row r="16" spans="1:12" ht="25.5" outlineLevel="1">
      <c r="A16" s="1317" t="s">
        <v>13712</v>
      </c>
      <c r="B16" s="295">
        <v>93382</v>
      </c>
      <c r="C16" s="295" t="s">
        <v>14476</v>
      </c>
      <c r="D16" s="296" t="str">
        <f>IFERROR(VLOOKUP($B16,'24.08_ND'!$A:$D,2,0),IFERROR(VLOOKUP(#REF!,'03-CP'!$C$5:$H$4646,2,0),""))</f>
        <v>REATERRO MANUAL DE VALAS, COM COMPACTADOR DE SOLOS DE PERCUSSÃO. AF_08/2023</v>
      </c>
      <c r="E16" s="297" t="str">
        <f>IFERROR(VLOOKUP($B16,'24.08_ND'!$A:$D,3,0),IFERROR(VLOOKUP(#REF!,'03-CP'!$C$5:$H$4646,3,0),""))</f>
        <v>M3</v>
      </c>
      <c r="F16" s="298">
        <f>F18</f>
        <v>94.391000000000005</v>
      </c>
      <c r="G16" s="295"/>
      <c r="H16" s="295"/>
      <c r="I16" s="1319"/>
      <c r="J16" s="295" t="s">
        <v>16202</v>
      </c>
      <c r="K16" s="1658"/>
      <c r="L16" s="295"/>
    </row>
    <row r="17" spans="1:12" ht="12.75" hidden="1" outlineLevel="1">
      <c r="A17" s="664"/>
      <c r="B17" s="1592"/>
      <c r="C17" s="1593"/>
      <c r="D17" s="1594" t="s">
        <v>16369</v>
      </c>
      <c r="E17" s="1595" t="s">
        <v>16204</v>
      </c>
      <c r="F17" s="1596" t="s">
        <v>16205</v>
      </c>
      <c r="G17" s="368"/>
      <c r="H17" s="368"/>
      <c r="I17" s="870"/>
      <c r="J17" s="386"/>
      <c r="K17" s="504"/>
      <c r="L17" s="386"/>
    </row>
    <row r="18" spans="1:12" ht="12.75" hidden="1" outlineLevel="1">
      <c r="A18" s="664"/>
      <c r="B18" s="1597"/>
      <c r="C18" s="1598"/>
      <c r="D18" s="1599">
        <f>F10-F15</f>
        <v>85.81</v>
      </c>
      <c r="E18" s="1600">
        <v>1.1000000000000001</v>
      </c>
      <c r="F18" s="1601">
        <f>D18*E18</f>
        <v>94.391000000000005</v>
      </c>
      <c r="G18" s="368"/>
      <c r="H18" s="368"/>
      <c r="I18" s="870"/>
      <c r="J18" s="386"/>
      <c r="K18" s="504"/>
      <c r="L18" s="386"/>
    </row>
    <row r="19" spans="1:12" ht="51" outlineLevel="1">
      <c r="A19" s="1317" t="s">
        <v>13713</v>
      </c>
      <c r="B19" s="295">
        <v>100978</v>
      </c>
      <c r="C19" s="295" t="s">
        <v>14476</v>
      </c>
      <c r="D19" s="296" t="str">
        <f>IFERROR(VLOOKUP($B19,'24.08_ND'!$A:$D,2,0),IFERROR(VLOOKUP(#REF!,'03-CP'!$C$5:$H$4646,2,0),""))</f>
        <v>CARGA, MANOBRA E DESCARGA DE SOLOS E MATERIAIS GRANULARES EM CAMINHÃO BASCULANTE 10 M³ - CARGA COM ESCAVADEIRA HIDRÁULICA (CAÇAMBA DE 1,20 M³ / 155 HP) E DESCARGA LIVRE (UNIDADE: M3). AF_07/2020</v>
      </c>
      <c r="E19" s="297" t="str">
        <f>IFERROR(VLOOKUP($B19,'24.08_ND'!$A:$D,3,0),IFERROR(VLOOKUP(#REF!,'03-CP'!$C$5:$H$4646,3,0),""))</f>
        <v>M3</v>
      </c>
      <c r="F19" s="298">
        <f>D23</f>
        <v>29.788999999999987</v>
      </c>
      <c r="G19" s="295"/>
      <c r="H19" s="295"/>
      <c r="I19" s="1319"/>
      <c r="J19" s="295" t="s">
        <v>16202</v>
      </c>
      <c r="K19" s="1658"/>
      <c r="L19" s="295"/>
    </row>
    <row r="20" spans="1:12" ht="12.75" hidden="1" outlineLevel="1">
      <c r="A20" s="664"/>
      <c r="B20" s="1602" t="s">
        <v>16206</v>
      </c>
      <c r="C20" s="1603" t="s">
        <v>16207</v>
      </c>
      <c r="D20" s="1594" t="s">
        <v>16208</v>
      </c>
      <c r="E20" s="1593"/>
      <c r="F20" s="1604"/>
      <c r="G20" s="368"/>
      <c r="H20" s="368"/>
      <c r="I20" s="870"/>
      <c r="J20" s="386"/>
      <c r="K20" s="504"/>
      <c r="L20" s="386"/>
    </row>
    <row r="21" spans="1:12" ht="12.75" hidden="1" outlineLevel="1">
      <c r="A21" s="664"/>
      <c r="B21" s="1605">
        <f>F10</f>
        <v>88.7</v>
      </c>
      <c r="C21" s="1606">
        <v>1.4</v>
      </c>
      <c r="D21" s="1607">
        <f>B21*C21</f>
        <v>124.17999999999999</v>
      </c>
      <c r="E21" s="368"/>
      <c r="F21" s="1608"/>
      <c r="G21" s="368"/>
      <c r="H21" s="368"/>
      <c r="I21" s="870"/>
      <c r="J21" s="386"/>
      <c r="K21" s="504"/>
      <c r="L21" s="386"/>
    </row>
    <row r="22" spans="1:12" ht="12.75" hidden="1" outlineLevel="1">
      <c r="A22" s="664"/>
      <c r="B22" s="1609" t="s">
        <v>16209</v>
      </c>
      <c r="C22" s="1606" t="s">
        <v>16205</v>
      </c>
      <c r="D22" s="1610" t="s">
        <v>16210</v>
      </c>
      <c r="E22" s="368"/>
      <c r="F22" s="1608"/>
      <c r="G22" s="368"/>
      <c r="H22" s="368"/>
      <c r="I22" s="870"/>
      <c r="J22" s="386"/>
      <c r="K22" s="504"/>
      <c r="L22" s="386"/>
    </row>
    <row r="23" spans="1:12" ht="12.75" hidden="1" outlineLevel="1">
      <c r="A23" s="664"/>
      <c r="B23" s="1611">
        <f>D21</f>
        <v>124.17999999999999</v>
      </c>
      <c r="C23" s="1612">
        <f>F18</f>
        <v>94.391000000000005</v>
      </c>
      <c r="D23" s="1613">
        <f>B23-C23</f>
        <v>29.788999999999987</v>
      </c>
      <c r="E23" s="1598"/>
      <c r="F23" s="1614"/>
      <c r="G23" s="368"/>
      <c r="H23" s="368"/>
      <c r="I23" s="870"/>
      <c r="J23" s="386"/>
      <c r="K23" s="504"/>
      <c r="L23" s="386"/>
    </row>
    <row r="24" spans="1:12" ht="25.5" outlineLevel="1">
      <c r="A24" s="1317" t="s">
        <v>13714</v>
      </c>
      <c r="B24" s="295">
        <v>100938</v>
      </c>
      <c r="C24" s="295" t="s">
        <v>14476</v>
      </c>
      <c r="D24" s="296" t="str">
        <f>IFERROR(VLOOKUP($B24,'24.08_ND'!$A:$D,2,0),IFERROR(VLOOKUP(#REF!,'03-CP'!$C$5:$H$4646,2,0),""))</f>
        <v>TRANSPORTE COM CAMINHÃO BASCULANTE DE 10 M³, EM VIA INTERNA (DENTRO DO CANTEIRO - UNIDADE: M3XKM). AF_07/2020</v>
      </c>
      <c r="E24" s="297" t="str">
        <f>IFERROR(VLOOKUP($B24,'24.08_ND'!$A:$D,3,0),IFERROR(VLOOKUP(#REF!,'03-CP'!$C$5:$H$4646,3,0),""))</f>
        <v>M3XKM</v>
      </c>
      <c r="F24" s="298">
        <f>F26</f>
        <v>59.577999999999975</v>
      </c>
      <c r="G24" s="295"/>
      <c r="H24" s="295"/>
      <c r="I24" s="1319"/>
      <c r="J24" s="295" t="s">
        <v>16202</v>
      </c>
      <c r="K24" s="1658"/>
      <c r="L24" s="295"/>
    </row>
    <row r="25" spans="1:12" ht="12.75" hidden="1" outlineLevel="1">
      <c r="A25" s="1564"/>
      <c r="B25" s="1592"/>
      <c r="C25" s="1593"/>
      <c r="D25" s="1615" t="s">
        <v>16211</v>
      </c>
      <c r="E25" s="1659" t="s">
        <v>16212</v>
      </c>
      <c r="F25" s="1660" t="s">
        <v>16213</v>
      </c>
      <c r="G25" s="641"/>
      <c r="H25" s="641"/>
      <c r="I25" s="865"/>
      <c r="J25" s="262"/>
      <c r="K25" s="504"/>
      <c r="L25" s="262"/>
    </row>
    <row r="26" spans="1:12" ht="12.75" hidden="1" outlineLevel="1">
      <c r="A26" s="1564"/>
      <c r="B26" s="1597"/>
      <c r="C26" s="1598"/>
      <c r="D26" s="1619">
        <f>D23</f>
        <v>29.788999999999987</v>
      </c>
      <c r="E26" s="1661">
        <v>2</v>
      </c>
      <c r="F26" s="1662">
        <f>D26*E26</f>
        <v>59.577999999999975</v>
      </c>
      <c r="G26" s="641"/>
      <c r="H26" s="641"/>
      <c r="I26" s="865"/>
      <c r="J26" s="262"/>
      <c r="K26" s="504"/>
      <c r="L26" s="262"/>
    </row>
    <row r="27" spans="1:12" ht="12.75">
      <c r="A27" s="252" t="s">
        <v>13715</v>
      </c>
      <c r="B27" s="1653"/>
      <c r="C27" s="1653"/>
      <c r="D27" s="1654" t="s">
        <v>16483</v>
      </c>
      <c r="E27" s="1655"/>
      <c r="F27" s="1656"/>
      <c r="G27" s="1655"/>
      <c r="H27" s="1655"/>
      <c r="I27" s="1657"/>
      <c r="J27" s="948" t="s">
        <v>16481</v>
      </c>
      <c r="K27" s="1588" t="s">
        <v>16482</v>
      </c>
      <c r="L27" s="262"/>
    </row>
    <row r="28" spans="1:12" ht="38.25" outlineLevel="1">
      <c r="A28" s="243" t="s">
        <v>13716</v>
      </c>
      <c r="B28" s="386">
        <v>92413</v>
      </c>
      <c r="C28" s="386" t="s">
        <v>14476</v>
      </c>
      <c r="D28" s="387" t="str">
        <f>IFERROR(VLOOKUP($B28,'24.08_ND'!$A$4833:$D$12369,2,0),IFERROR(VLOOKUP($B28,'03-CP'!$C$5:$H$4646,2,0),""))</f>
        <v>MONTAGEM E DESMONTAGEM DE FÔRMA DE PILARES RETANGULARES E ESTRUTURAS SIMILARES, PÉ-DIREITO SIMPLES, EM MADEIRA SERRADA, 4 UTILIZAÇÕES. AF_09/2020</v>
      </c>
      <c r="E28" s="253" t="str">
        <f>IFERROR(VLOOKUP($B28,'24.08_ND'!$A:$D,3,0),IFERROR(VLOOKUP($B28,'03-CP'!$C$5:$H$4646,3,0),""))</f>
        <v>M2</v>
      </c>
      <c r="F28" s="389">
        <v>9.6199999999999992</v>
      </c>
      <c r="G28" s="386"/>
      <c r="H28" s="386"/>
      <c r="I28" s="1316"/>
      <c r="J28" s="386" t="s">
        <v>16202</v>
      </c>
      <c r="K28" s="504"/>
      <c r="L28" s="386"/>
    </row>
    <row r="29" spans="1:12" ht="38.25" outlineLevel="1">
      <c r="A29" s="243" t="s">
        <v>13717</v>
      </c>
      <c r="B29" s="386">
        <v>92759</v>
      </c>
      <c r="C29" s="386" t="s">
        <v>14476</v>
      </c>
      <c r="D29" s="387" t="str">
        <f>IFERROR(VLOOKUP($B29,'24.08_ND'!$A:$D,2,0),IFERROR(VLOOKUP($B99,'03-CP'!$C$5:$H$4646,2,0),""))</f>
        <v>ARMAÇÃO DE PILAR OU VIGA DE ESTRUTURA CONVENCIONAL DE CONCRETO ARMADO UTILIZANDO AÇO CA-60 DE 5,0 MM - MONTAGEM. AF_06/2022</v>
      </c>
      <c r="E29" s="253" t="str">
        <f>IFERROR(VLOOKUP($B29,'24.08_ND'!$A:$D,3,0),IFERROR(VLOOKUP($B99,'03-CP'!$C$5:$H$4646,3,0),""))</f>
        <v>KG</v>
      </c>
      <c r="F29" s="389">
        <v>23.5</v>
      </c>
      <c r="G29" s="386"/>
      <c r="H29" s="386"/>
      <c r="I29" s="1316"/>
      <c r="J29" s="386" t="s">
        <v>16202</v>
      </c>
      <c r="K29" s="504"/>
      <c r="L29" s="386"/>
    </row>
    <row r="30" spans="1:12" ht="38.25" outlineLevel="1">
      <c r="A30" s="243" t="s">
        <v>13718</v>
      </c>
      <c r="B30" s="386">
        <v>92762</v>
      </c>
      <c r="C30" s="386" t="s">
        <v>14476</v>
      </c>
      <c r="D30" s="387" t="str">
        <f>IFERROR(VLOOKUP($B30,'24.08_ND'!$A:$D,2,0),IFERROR(VLOOKUP($B100,'03-CP'!$C$5:$H$4646,2,0),""))</f>
        <v>ARMAÇÃO DE PILAR OU VIGA DE ESTRUTURA CONVENCIONAL DE CONCRETO ARMADO UTILIZANDO AÇO CA-50 DE 10,0 MM - MONTAGEM. AF_06/2022</v>
      </c>
      <c r="E30" s="253" t="str">
        <f>IFERROR(VLOOKUP($B30,'24.08_ND'!$A:$D,3,0),IFERROR(VLOOKUP($B100,'03-CP'!$C$5:$H$4646,3,0),""))</f>
        <v>KG</v>
      </c>
      <c r="F30" s="389">
        <v>72.5</v>
      </c>
      <c r="G30" s="386"/>
      <c r="H30" s="386"/>
      <c r="I30" s="1316"/>
      <c r="J30" s="386" t="s">
        <v>16202</v>
      </c>
      <c r="K30" s="504"/>
      <c r="L30" s="386"/>
    </row>
    <row r="31" spans="1:12" ht="38.25" outlineLevel="1">
      <c r="A31" s="243" t="s">
        <v>13719</v>
      </c>
      <c r="B31" s="386">
        <v>92764</v>
      </c>
      <c r="C31" s="386" t="s">
        <v>14476</v>
      </c>
      <c r="D31" s="387" t="str">
        <f>IFERROR(VLOOKUP($B31,'24.08_ND'!$A:$D,2,0),IFERROR(VLOOKUP(#REF!,'03-CP'!$C$5:$H$4646,2,0),""))</f>
        <v>ARMAÇÃO DE PILAR OU VIGA DE ESTRUTURA CONVENCIONAL DE CONCRETO ARMADO UTILIZANDO AÇO CA-50 DE 16,0 MM - MONTAGEM. AF_06/2022</v>
      </c>
      <c r="E31" s="253" t="str">
        <f>IFERROR(VLOOKUP($B31,'24.08_ND'!$A:$D,3,0),IFERROR(VLOOKUP(#REF!,'03-CP'!$C$5:$H$4646,3,0),""))</f>
        <v>KG</v>
      </c>
      <c r="F31" s="389">
        <v>15.6</v>
      </c>
      <c r="G31" s="386"/>
      <c r="H31" s="386"/>
      <c r="I31" s="1316"/>
      <c r="J31" s="386" t="s">
        <v>16202</v>
      </c>
      <c r="K31" s="504"/>
      <c r="L31" s="386"/>
    </row>
    <row r="32" spans="1:12" ht="25.5" outlineLevel="1">
      <c r="A32" s="243" t="s">
        <v>13720</v>
      </c>
      <c r="B32" s="386">
        <v>96558</v>
      </c>
      <c r="C32" s="386" t="s">
        <v>14476</v>
      </c>
      <c r="D32" s="387" t="str">
        <f>IFERROR(VLOOKUP($B32,'24.08_ND'!$A:$D,2,0),IFERROR(VLOOKUP(#REF!,'03-CP'!$C$5:$H$4646,2,0),""))</f>
        <v>CONCRETAGEM DE SAPATA, FCK 30 MPA, COM USO DE BOMBA - LANÇAMENTO, ADENSAMENTO E ACABAMENTO. AF_01/2024</v>
      </c>
      <c r="E32" s="253" t="str">
        <f>IFERROR(VLOOKUP($B32,'24.08_ND'!$A:$D,3,0),IFERROR(VLOOKUP(#REF!,'03-CP'!$C$5:$H$4646,3,0),""))</f>
        <v>M3</v>
      </c>
      <c r="F32" s="389">
        <v>0.5</v>
      </c>
      <c r="G32" s="386"/>
      <c r="H32" s="386"/>
      <c r="I32" s="1316"/>
      <c r="J32" s="386" t="s">
        <v>16202</v>
      </c>
      <c r="K32" s="504"/>
      <c r="L32" s="386"/>
    </row>
    <row r="33" spans="1:12" ht="12.75">
      <c r="A33" s="252" t="s">
        <v>13721</v>
      </c>
      <c r="B33" s="1653"/>
      <c r="C33" s="1653"/>
      <c r="D33" s="1654" t="s">
        <v>16484</v>
      </c>
      <c r="E33" s="1655"/>
      <c r="F33" s="1656"/>
      <c r="G33" s="1655"/>
      <c r="H33" s="1655"/>
      <c r="I33" s="1657"/>
      <c r="J33" s="948" t="s">
        <v>16481</v>
      </c>
      <c r="K33" s="1588" t="s">
        <v>16482</v>
      </c>
      <c r="L33" s="262"/>
    </row>
    <row r="34" spans="1:12" ht="25.5" outlineLevel="1">
      <c r="A34" s="243" t="s">
        <v>13722</v>
      </c>
      <c r="B34" s="386">
        <v>96527</v>
      </c>
      <c r="C34" s="386" t="s">
        <v>14476</v>
      </c>
      <c r="D34" s="387" t="str">
        <f>IFERROR(VLOOKUP($B34,'24.08_ND'!$A:$D,2,0),IFERROR(VLOOKUP(#REF!,'03-CP'!$C$5:$H$4646,2,0),""))</f>
        <v>ESCAVAÇÃO MANUAL PARA VIGA BALDRAME OU SAPATA CORRIDA (INCLUINDO ESCAVAÇÃO PARA COLOCAÇÃO DE FÔRMAS). AF_01/2024</v>
      </c>
      <c r="E34" s="253" t="str">
        <f>IFERROR(VLOOKUP($B34,'24.08_ND'!$A:$D,3,0),IFERROR(VLOOKUP(#REF!,'03-CP'!$C$5:$H$4646,3,0),""))</f>
        <v>M3</v>
      </c>
      <c r="F34" s="389">
        <v>25.53</v>
      </c>
      <c r="G34" s="386"/>
      <c r="H34" s="386"/>
      <c r="I34" s="1316"/>
      <c r="J34" s="386" t="s">
        <v>16202</v>
      </c>
      <c r="K34" s="504"/>
      <c r="L34" s="386"/>
    </row>
    <row r="35" spans="1:12" ht="25.5" outlineLevel="1">
      <c r="A35" s="243" t="s">
        <v>13723</v>
      </c>
      <c r="B35" s="386">
        <v>101616</v>
      </c>
      <c r="C35" s="386" t="s">
        <v>14476</v>
      </c>
      <c r="D35" s="387" t="str">
        <f>IFERROR(VLOOKUP($B35,'24.08_ND'!$A:$D,2,0),IFERROR(VLOOKUP(#REF!,'03-CP'!$C$5:$H$4646,2,0),""))</f>
        <v>PREPARO DE FUNDO DE VALA COM LARGURA MENOR QUE 1,5 M (ACERTO DO SOLO NATURAL). AF_08/2020</v>
      </c>
      <c r="E35" s="253" t="str">
        <f>IFERROR(VLOOKUP($B35,'24.08_ND'!$A:$D,3,0),IFERROR(VLOOKUP(#REF!,'03-CP'!$C$5:$H$4646,3,0),""))</f>
        <v>M2</v>
      </c>
      <c r="F35" s="389">
        <v>18.91</v>
      </c>
      <c r="G35" s="386"/>
      <c r="H35" s="386"/>
      <c r="I35" s="1316"/>
      <c r="J35" s="386" t="s">
        <v>16202</v>
      </c>
      <c r="K35" s="504"/>
      <c r="L35" s="386"/>
    </row>
    <row r="36" spans="1:12" ht="25.5" outlineLevel="1">
      <c r="A36" s="243" t="s">
        <v>13724</v>
      </c>
      <c r="B36" s="386">
        <v>96621</v>
      </c>
      <c r="C36" s="386" t="s">
        <v>14476</v>
      </c>
      <c r="D36" s="387" t="str">
        <f>IFERROR(VLOOKUP($B36,'24.08_ND'!$A:$D,2,0),IFERROR(VLOOKUP(#REF!,'03-CP'!$C$5:$H$4646,2,0),""))</f>
        <v>LASTRO COM MATERIAL GRANULAR, APLICAÇÃO EM BLOCOS DE COROAMENTO, ESPESSURA DE *5 CM*. AF_01/2024</v>
      </c>
      <c r="E36" s="253" t="str">
        <f>IFERROR(VLOOKUP($B36,'24.08_ND'!$A:$D,3,0),IFERROR(VLOOKUP(#REF!,'03-CP'!$C$5:$H$4646,3,0),""))</f>
        <v>M3</v>
      </c>
      <c r="F36" s="389">
        <v>0.95</v>
      </c>
      <c r="G36" s="386"/>
      <c r="H36" s="386"/>
      <c r="I36" s="1316"/>
      <c r="J36" s="386" t="s">
        <v>16202</v>
      </c>
      <c r="K36" s="504"/>
      <c r="L36" s="386"/>
    </row>
    <row r="37" spans="1:12" ht="25.5" outlineLevel="1">
      <c r="A37" s="243" t="s">
        <v>13725</v>
      </c>
      <c r="B37" s="386">
        <v>96536</v>
      </c>
      <c r="C37" s="386" t="s">
        <v>14476</v>
      </c>
      <c r="D37" s="387" t="str">
        <f>IFERROR(VLOOKUP($B37,'24.08_ND'!$A:$D,2,0),IFERROR(VLOOKUP(#REF!,'03-CP'!$C$5:$H$4646,2,0),""))</f>
        <v>FABRICAÇÃO, MONTAGEM E DESMONTAGEM DE FÔRMA PARA VIGA BALDRAME, EM MADEIRA SERRADA, E=25 MM, 4 UTILIZAÇÕES. AF_01/2024</v>
      </c>
      <c r="E37" s="253" t="str">
        <f>IFERROR(VLOOKUP($B37,'24.08_ND'!$A:$D,3,0),IFERROR(VLOOKUP(#REF!,'03-CP'!$C$5:$H$4646,3,0),""))</f>
        <v>M2</v>
      </c>
      <c r="F37" s="389">
        <v>93.73</v>
      </c>
      <c r="G37" s="386"/>
      <c r="H37" s="386"/>
      <c r="I37" s="1316"/>
      <c r="J37" s="386" t="s">
        <v>16202</v>
      </c>
      <c r="K37" s="504"/>
      <c r="L37" s="386"/>
    </row>
    <row r="38" spans="1:12" ht="25.5" outlineLevel="1">
      <c r="A38" s="243" t="s">
        <v>13726</v>
      </c>
      <c r="B38" s="386">
        <v>104916</v>
      </c>
      <c r="C38" s="386" t="s">
        <v>14476</v>
      </c>
      <c r="D38" s="387" t="str">
        <f>IFERROR(VLOOKUP($B38,'24.08_ND'!$A:$D,2,0),IFERROR(VLOOKUP(#REF!,'03-CP'!$C$5:$H$4646,2,0),""))</f>
        <v>ARMAÇÃO DE SAPATA ISOLADA, VIGA BALDRAME E SAPATA CORRIDA UTILIZANDO AÇO CA-60 DE 5 MM - MONTAGEM. AF_01/2024</v>
      </c>
      <c r="E38" s="253" t="str">
        <f>IFERROR(VLOOKUP($B38,'24.08_ND'!$A:$D,3,0),IFERROR(VLOOKUP(#REF!,'03-CP'!$C$5:$H$4646,3,0),""))</f>
        <v>KG</v>
      </c>
      <c r="F38" s="389">
        <v>100.82</v>
      </c>
      <c r="G38" s="386"/>
      <c r="H38" s="386"/>
      <c r="I38" s="1316"/>
      <c r="J38" s="386" t="s">
        <v>16202</v>
      </c>
      <c r="K38" s="504"/>
      <c r="L38" s="386"/>
    </row>
    <row r="39" spans="1:12" ht="25.5" outlineLevel="1">
      <c r="A39" s="243" t="s">
        <v>13727</v>
      </c>
      <c r="B39" s="386">
        <v>104918</v>
      </c>
      <c r="C39" s="386" t="s">
        <v>14476</v>
      </c>
      <c r="D39" s="387" t="str">
        <f>IFERROR(VLOOKUP($B39,'24.08_ND'!$A:$D,2,0),IFERROR(VLOOKUP(#REF!,'03-CP'!$C$5:$H$4646,2,0),""))</f>
        <v>ARMAÇÃO DE SAPATA ISOLADA, VIGA BALDRAME E SAPATA CORRIDA UTILIZANDO AÇO CA-50 DE 8 MM - MONTAGEM. AF_01/2024</v>
      </c>
      <c r="E39" s="253" t="str">
        <f>IFERROR(VLOOKUP($B39,'24.08_ND'!$A:$D,3,0),IFERROR(VLOOKUP(#REF!,'03-CP'!$C$5:$H$4646,3,0),""))</f>
        <v>KG</v>
      </c>
      <c r="F39" s="389">
        <v>192.2</v>
      </c>
      <c r="G39" s="386"/>
      <c r="H39" s="386"/>
      <c r="I39" s="1316"/>
      <c r="J39" s="386" t="s">
        <v>16202</v>
      </c>
      <c r="K39" s="504"/>
      <c r="L39" s="386"/>
    </row>
    <row r="40" spans="1:12" ht="25.5" outlineLevel="1">
      <c r="A40" s="243" t="s">
        <v>13728</v>
      </c>
      <c r="B40" s="386">
        <v>104919</v>
      </c>
      <c r="C40" s="386" t="s">
        <v>14476</v>
      </c>
      <c r="D40" s="387" t="str">
        <f>IFERROR(VLOOKUP($B40,'24.08_ND'!$A:$D,2,0),IFERROR(VLOOKUP(#REF!,'03-CP'!$C$5:$H$4646,2,0),""))</f>
        <v>ARMAÇÃO DE SAPATA ISOLADA, VIGA BALDRAME E SAPATA CORRIDA UTILIZANDO AÇO CA-50 DE 10 MM - MONTAGEM. AF_01/2024</v>
      </c>
      <c r="E40" s="253" t="str">
        <f>IFERROR(VLOOKUP($B40,'24.08_ND'!$A:$D,3,0),IFERROR(VLOOKUP(#REF!,'03-CP'!$C$5:$H$4646,3,0),""))</f>
        <v>KG</v>
      </c>
      <c r="F40" s="389">
        <v>36.729999999999997</v>
      </c>
      <c r="G40" s="386"/>
      <c r="H40" s="386"/>
      <c r="I40" s="1316"/>
      <c r="J40" s="386" t="s">
        <v>16202</v>
      </c>
      <c r="K40" s="504"/>
      <c r="L40" s="386"/>
    </row>
    <row r="41" spans="1:12" ht="38.25" outlineLevel="1">
      <c r="A41" s="243" t="s">
        <v>13729</v>
      </c>
      <c r="B41" s="386">
        <v>96557</v>
      </c>
      <c r="C41" s="386" t="s">
        <v>14476</v>
      </c>
      <c r="D41" s="387" t="str">
        <f>IFERROR(VLOOKUP($B41,'24.08_ND'!$A:$D,2,0),IFERROR(VLOOKUP(#REF!,'03-CP'!$C$5:$H$4646,2,0),""))</f>
        <v>CONCRETAGEM DE BLOCO DE COROAMENTO OU VIGA BALDRAME, FCK 30 MPA, COM USO DE BOMBA - LANÇAMENTO, ADENSAMENTO E ACABAMENTO. AF_01/2024</v>
      </c>
      <c r="E41" s="253" t="str">
        <f>IFERROR(VLOOKUP($B41,'24.08_ND'!$A:$D,3,0),IFERROR(VLOOKUP(#REF!,'03-CP'!$C$5:$H$4646,3,0),""))</f>
        <v>M3</v>
      </c>
      <c r="F41" s="389">
        <v>5.56</v>
      </c>
      <c r="G41" s="386"/>
      <c r="H41" s="386"/>
      <c r="I41" s="1316"/>
      <c r="J41" s="386" t="s">
        <v>16202</v>
      </c>
      <c r="K41" s="504"/>
      <c r="L41" s="386"/>
    </row>
    <row r="42" spans="1:12" ht="25.5" outlineLevel="1">
      <c r="A42" s="1317" t="s">
        <v>13730</v>
      </c>
      <c r="B42" s="295">
        <v>93382</v>
      </c>
      <c r="C42" s="295" t="s">
        <v>14476</v>
      </c>
      <c r="D42" s="296" t="str">
        <f>IFERROR(VLOOKUP($B42,'24.08_ND'!$A:$D,2,0),IFERROR(VLOOKUP(#REF!,'03-CP'!$C$5:$H$4646,2,0),""))</f>
        <v>REATERRO MANUAL DE VALAS, COM COMPACTADOR DE SOLOS DE PERCUSSÃO. AF_08/2023</v>
      </c>
      <c r="E42" s="297" t="str">
        <f>IFERROR(VLOOKUP($B42,'24.08_ND'!$A:$D,3,0),IFERROR(VLOOKUP(#REF!,'03-CP'!$C$5:$H$4646,3,0),""))</f>
        <v>M3</v>
      </c>
      <c r="F42" s="298">
        <f>F44</f>
        <v>21.967000000000006</v>
      </c>
      <c r="G42" s="295"/>
      <c r="H42" s="295"/>
      <c r="I42" s="1319"/>
      <c r="J42" s="295" t="s">
        <v>16202</v>
      </c>
      <c r="K42" s="1658"/>
      <c r="L42" s="295"/>
    </row>
    <row r="43" spans="1:12" ht="12.75" hidden="1" outlineLevel="1">
      <c r="A43" s="450"/>
      <c r="B43" s="1592"/>
      <c r="C43" s="1593"/>
      <c r="D43" s="1594" t="s">
        <v>16369</v>
      </c>
      <c r="E43" s="1595" t="s">
        <v>16204</v>
      </c>
      <c r="F43" s="1596" t="s">
        <v>16205</v>
      </c>
      <c r="G43" s="368"/>
      <c r="H43" s="368"/>
      <c r="I43" s="870"/>
      <c r="J43" s="386"/>
      <c r="K43" s="504"/>
      <c r="L43" s="386"/>
    </row>
    <row r="44" spans="1:12" ht="12.75" hidden="1" outlineLevel="1">
      <c r="A44" s="450"/>
      <c r="B44" s="1597"/>
      <c r="C44" s="1598"/>
      <c r="D44" s="1599">
        <f>F34-F41</f>
        <v>19.970000000000002</v>
      </c>
      <c r="E44" s="1600">
        <v>1.1000000000000001</v>
      </c>
      <c r="F44" s="1601">
        <f>D44*E44</f>
        <v>21.967000000000006</v>
      </c>
      <c r="G44" s="368"/>
      <c r="H44" s="368"/>
      <c r="I44" s="870"/>
      <c r="J44" s="386"/>
      <c r="K44" s="504"/>
      <c r="L44" s="386"/>
    </row>
    <row r="45" spans="1:12" ht="51" outlineLevel="1">
      <c r="A45" s="1317" t="s">
        <v>13731</v>
      </c>
      <c r="B45" s="295">
        <v>100978</v>
      </c>
      <c r="C45" s="295" t="s">
        <v>14476</v>
      </c>
      <c r="D45" s="296" t="str">
        <f>IFERROR(VLOOKUP($B45,'24.08_ND'!$A:$D,2,0),IFERROR(VLOOKUP(#REF!,'03-CP'!$C$5:$H$4646,2,0),""))</f>
        <v>CARGA, MANOBRA E DESCARGA DE SOLOS E MATERIAIS GRANULARES EM CAMINHÃO BASCULANTE 10 M³ - CARGA COM ESCAVADEIRA HIDRÁULICA (CAÇAMBA DE 1,20 M³ / 155 HP) E DESCARGA LIVRE (UNIDADE: M3). AF_07/2020</v>
      </c>
      <c r="E45" s="297" t="str">
        <f>IFERROR(VLOOKUP($B45,'24.08_ND'!$A:$D,3,0),IFERROR(VLOOKUP(#REF!,'03-CP'!$C$5:$H$4646,3,0),""))</f>
        <v>M3</v>
      </c>
      <c r="F45" s="298">
        <f>D49</f>
        <v>13.774999999999991</v>
      </c>
      <c r="G45" s="295"/>
      <c r="H45" s="295"/>
      <c r="I45" s="1319"/>
      <c r="J45" s="295" t="s">
        <v>16202</v>
      </c>
      <c r="K45" s="1658"/>
      <c r="L45" s="295"/>
    </row>
    <row r="46" spans="1:12" ht="12.75" hidden="1" outlineLevel="1">
      <c r="A46" s="664"/>
      <c r="B46" s="1602" t="s">
        <v>16206</v>
      </c>
      <c r="C46" s="1603" t="s">
        <v>16207</v>
      </c>
      <c r="D46" s="1594" t="s">
        <v>16208</v>
      </c>
      <c r="E46" s="1593"/>
      <c r="F46" s="1604"/>
      <c r="G46" s="368"/>
      <c r="H46" s="368"/>
      <c r="I46" s="870"/>
      <c r="J46" s="386"/>
      <c r="K46" s="504"/>
      <c r="L46" s="386"/>
    </row>
    <row r="47" spans="1:12" ht="12.75" hidden="1" outlineLevel="1">
      <c r="A47" s="664"/>
      <c r="B47" s="1605">
        <f>F34</f>
        <v>25.53</v>
      </c>
      <c r="C47" s="1606">
        <v>1.4</v>
      </c>
      <c r="D47" s="1607">
        <f>B47*C47</f>
        <v>35.741999999999997</v>
      </c>
      <c r="E47" s="368"/>
      <c r="F47" s="1608"/>
      <c r="G47" s="368"/>
      <c r="H47" s="368"/>
      <c r="I47" s="870"/>
      <c r="J47" s="386"/>
      <c r="K47" s="504"/>
      <c r="L47" s="386"/>
    </row>
    <row r="48" spans="1:12" ht="12.75" hidden="1" outlineLevel="1">
      <c r="A48" s="664"/>
      <c r="B48" s="1609" t="s">
        <v>16209</v>
      </c>
      <c r="C48" s="1606" t="s">
        <v>16205</v>
      </c>
      <c r="D48" s="1610" t="s">
        <v>16210</v>
      </c>
      <c r="E48" s="368"/>
      <c r="F48" s="1608"/>
      <c r="G48" s="368"/>
      <c r="H48" s="368"/>
      <c r="I48" s="870"/>
      <c r="J48" s="386"/>
      <c r="K48" s="504"/>
      <c r="L48" s="386"/>
    </row>
    <row r="49" spans="1:12" ht="12.75" hidden="1" outlineLevel="1">
      <c r="A49" s="664"/>
      <c r="B49" s="1611">
        <f>D47</f>
        <v>35.741999999999997</v>
      </c>
      <c r="C49" s="1612">
        <f>F44</f>
        <v>21.967000000000006</v>
      </c>
      <c r="D49" s="1613">
        <f>B49-C49</f>
        <v>13.774999999999991</v>
      </c>
      <c r="E49" s="1598"/>
      <c r="F49" s="1614"/>
      <c r="G49" s="368"/>
      <c r="H49" s="368"/>
      <c r="I49" s="870"/>
      <c r="J49" s="386"/>
      <c r="K49" s="504"/>
      <c r="L49" s="386"/>
    </row>
    <row r="50" spans="1:12" ht="25.5" outlineLevel="1">
      <c r="A50" s="1317" t="s">
        <v>13732</v>
      </c>
      <c r="B50" s="295">
        <v>100938</v>
      </c>
      <c r="C50" s="295" t="s">
        <v>14476</v>
      </c>
      <c r="D50" s="296" t="str">
        <f>IFERROR(VLOOKUP($B50,'24.08_ND'!$A:$D,2,0),IFERROR(VLOOKUP(#REF!,'03-CP'!$C$5:$H$4646,2,0),""))</f>
        <v>TRANSPORTE COM CAMINHÃO BASCULANTE DE 10 M³, EM VIA INTERNA (DENTRO DO CANTEIRO - UNIDADE: M3XKM). AF_07/2020</v>
      </c>
      <c r="E50" s="297" t="str">
        <f>IFERROR(VLOOKUP($B50,'24.08_ND'!$A:$D,3,0),IFERROR(VLOOKUP(#REF!,'03-CP'!$C$5:$H$4646,3,0),""))</f>
        <v>M3XKM</v>
      </c>
      <c r="F50" s="298">
        <f>F52</f>
        <v>27.549999999999983</v>
      </c>
      <c r="G50" s="295"/>
      <c r="H50" s="295"/>
      <c r="I50" s="1319"/>
      <c r="J50" s="295" t="s">
        <v>16202</v>
      </c>
      <c r="K50" s="1658"/>
      <c r="L50" s="295"/>
    </row>
    <row r="51" spans="1:12" ht="12.75" hidden="1" outlineLevel="1">
      <c r="A51" s="1564"/>
      <c r="B51" s="1592"/>
      <c r="C51" s="1593"/>
      <c r="D51" s="1615" t="s">
        <v>16211</v>
      </c>
      <c r="E51" s="1659" t="s">
        <v>16212</v>
      </c>
      <c r="F51" s="1660" t="s">
        <v>16213</v>
      </c>
      <c r="G51" s="641"/>
      <c r="H51" s="641"/>
      <c r="I51" s="865"/>
      <c r="J51" s="262"/>
      <c r="K51" s="504"/>
      <c r="L51" s="262"/>
    </row>
    <row r="52" spans="1:12" ht="12.75" hidden="1" outlineLevel="1">
      <c r="A52" s="1564"/>
      <c r="B52" s="1597"/>
      <c r="C52" s="1598"/>
      <c r="D52" s="1619">
        <f>D49</f>
        <v>13.774999999999991</v>
      </c>
      <c r="E52" s="1661">
        <v>2</v>
      </c>
      <c r="F52" s="1662">
        <f>D52*E52</f>
        <v>27.549999999999983</v>
      </c>
      <c r="G52" s="641"/>
      <c r="H52" s="641"/>
      <c r="I52" s="865"/>
      <c r="J52" s="262"/>
      <c r="K52" s="504"/>
      <c r="L52" s="262"/>
    </row>
    <row r="53" spans="1:12" ht="25.5" outlineLevel="1">
      <c r="A53" s="243" t="s">
        <v>13733</v>
      </c>
      <c r="B53" s="386">
        <v>98557</v>
      </c>
      <c r="C53" s="386" t="s">
        <v>14476</v>
      </c>
      <c r="D53" s="387" t="str">
        <f>IFERROR(VLOOKUP($B53,'24.08_ND'!$A:$D,2,0),IFERROR(VLOOKUP(#REF!,'03-CP'!$C$5:$H$4646,2,0),""))</f>
        <v>IMPERMEABILIZAÇÃO DE SUPERFÍCIE COM EMULSÃO ASFÁLTICA, 2 DEMÃOS. AF_09/2023</v>
      </c>
      <c r="E53" s="253" t="str">
        <f>IFERROR(VLOOKUP($B53,'24.08_ND'!$A:$D,3,0),IFERROR(VLOOKUP(#REF!,'03-CP'!$C$5:$H$4646,3,0),""))</f>
        <v>M2</v>
      </c>
      <c r="F53" s="389">
        <v>112.64</v>
      </c>
      <c r="G53" s="386"/>
      <c r="H53" s="386"/>
      <c r="I53" s="1316"/>
      <c r="J53" s="386" t="s">
        <v>16202</v>
      </c>
      <c r="K53" s="504"/>
      <c r="L53" s="386"/>
    </row>
    <row r="54" spans="1:12" ht="12.75">
      <c r="A54" s="252" t="s">
        <v>13734</v>
      </c>
      <c r="B54" s="1309"/>
      <c r="C54" s="1309"/>
      <c r="D54" s="1654" t="s">
        <v>16485</v>
      </c>
      <c r="E54" s="1311"/>
      <c r="F54" s="1312"/>
      <c r="G54" s="1310"/>
      <c r="H54" s="1310"/>
      <c r="I54" s="1313"/>
      <c r="J54" s="948" t="s">
        <v>16481</v>
      </c>
      <c r="K54" s="1588" t="s">
        <v>16482</v>
      </c>
      <c r="L54" s="262"/>
    </row>
    <row r="55" spans="1:12" ht="38.25" outlineLevel="1">
      <c r="A55" s="243" t="s">
        <v>13735</v>
      </c>
      <c r="B55" s="386" t="s">
        <v>14643</v>
      </c>
      <c r="C55" s="386" t="s">
        <v>14472</v>
      </c>
      <c r="D55" s="1314" t="str">
        <f>IFERROR(VLOOKUP($B55,'24.08_ND'!$A$4833:$D$12369,2,0),IFERROR(VLOOKUP($B55,'03-CP'!$C$5:$H$4646,2,0),""))</f>
        <v>ESTACA BROCA DE CONCRETO, DIÂMETRO 30 CM, PROFUNDIDADE ATÉ 3M, ESCAVAÇÃO MANUAL COM TRADO CONCHA,INCLUSIVE CONCRETO USINADO BOMBEAVEL 30 MPA, EXCLUSIVE ARMAÇÃO</v>
      </c>
      <c r="E55" s="1315" t="str">
        <f>IFERROR(VLOOKUP($B55,'24.08_ND'!$A:$D,3,0),IFERROR(VLOOKUP($B55,'03-CP'!$C$5:$H$4646,3,0),""))</f>
        <v>M</v>
      </c>
      <c r="F55" s="389">
        <v>15</v>
      </c>
      <c r="G55" s="386"/>
      <c r="H55" s="1522"/>
      <c r="I55" s="1316"/>
      <c r="J55" s="386" t="s">
        <v>16202</v>
      </c>
      <c r="K55" s="504"/>
      <c r="L55" s="386"/>
    </row>
    <row r="56" spans="1:12" ht="12.75">
      <c r="A56" s="252" t="s">
        <v>13736</v>
      </c>
      <c r="B56" s="1309"/>
      <c r="C56" s="1309"/>
      <c r="D56" s="1310" t="s">
        <v>16486</v>
      </c>
      <c r="E56" s="1311"/>
      <c r="F56" s="1312"/>
      <c r="G56" s="1310"/>
      <c r="H56" s="1310"/>
      <c r="I56" s="1313"/>
      <c r="J56" s="948" t="s">
        <v>16481</v>
      </c>
      <c r="K56" s="1588" t="s">
        <v>16482</v>
      </c>
      <c r="L56" s="262"/>
    </row>
    <row r="57" spans="1:12" ht="38.25" outlineLevel="1">
      <c r="A57" s="243" t="s">
        <v>13737</v>
      </c>
      <c r="B57" s="386">
        <v>92431</v>
      </c>
      <c r="C57" s="386" t="s">
        <v>14476</v>
      </c>
      <c r="D57" s="387" t="str">
        <f>IFERROR(VLOOKUP($B57,'24.08_ND'!$A:$D,2,0),IFERROR(VLOOKUP($B103,'03-CP'!$C$5:$H$4646,2,0),""))</f>
        <v>MONTAGEM E DESMONTAGEM DE FÔRMA DE PILARES RETANGULARES E ESTRUTURAS SIMILARES, PÉ-DIREITO SIMPLES, EM CHAPA DE MADEIRA COMPENSADA PLASTIFICADA, 10 UTILIZAÇÕES. AF_09/2020</v>
      </c>
      <c r="E57" s="253" t="str">
        <f>IFERROR(VLOOKUP($B57,'24.08_ND'!$A:$D,3,0),IFERROR(VLOOKUP($B103,'03-CP'!$C$5:$H$4646,3,0),""))</f>
        <v>M2</v>
      </c>
      <c r="F57" s="389">
        <v>63.6</v>
      </c>
      <c r="G57" s="386"/>
      <c r="H57" s="386"/>
      <c r="I57" s="1316"/>
      <c r="J57" s="386" t="s">
        <v>16202</v>
      </c>
      <c r="K57" s="504"/>
      <c r="L57" s="386"/>
    </row>
    <row r="58" spans="1:12" ht="38.25" outlineLevel="1">
      <c r="A58" s="243" t="s">
        <v>13738</v>
      </c>
      <c r="B58" s="386">
        <v>92759</v>
      </c>
      <c r="C58" s="386" t="s">
        <v>14476</v>
      </c>
      <c r="D58" s="387" t="str">
        <f>IFERROR(VLOOKUP($B58,'24.08_ND'!$A:$D,2,0),IFERROR(VLOOKUP($B104,'03-CP'!$C$5:$H$4646,2,0),""))</f>
        <v>ARMAÇÃO DE PILAR OU VIGA DE ESTRUTURA CONVENCIONAL DE CONCRETO ARMADO UTILIZANDO AÇO CA-60 DE 5,0 MM - MONTAGEM. AF_06/2022</v>
      </c>
      <c r="E58" s="253" t="str">
        <f>IFERROR(VLOOKUP($B58,'24.08_ND'!$A:$D,3,0),IFERROR(VLOOKUP($B104,'03-CP'!$C$5:$H$4646,3,0),""))</f>
        <v>KG</v>
      </c>
      <c r="F58" s="389">
        <v>95.3</v>
      </c>
      <c r="G58" s="386"/>
      <c r="H58" s="386"/>
      <c r="I58" s="1316"/>
      <c r="J58" s="386" t="s">
        <v>16202</v>
      </c>
      <c r="K58" s="504"/>
      <c r="L58" s="386"/>
    </row>
    <row r="59" spans="1:12" ht="38.25" outlineLevel="1">
      <c r="A59" s="243" t="s">
        <v>13739</v>
      </c>
      <c r="B59" s="386">
        <v>92762</v>
      </c>
      <c r="C59" s="386" t="s">
        <v>14476</v>
      </c>
      <c r="D59" s="387" t="str">
        <f>IFERROR(VLOOKUP($B59,'24.08_ND'!$A:$D,2,0),IFERROR(VLOOKUP($B105,'03-CP'!$C$5:$H$4646,2,0),""))</f>
        <v>ARMAÇÃO DE PILAR OU VIGA DE ESTRUTURA CONVENCIONAL DE CONCRETO ARMADO UTILIZANDO AÇO CA-50 DE 10,0 MM - MONTAGEM. AF_06/2022</v>
      </c>
      <c r="E59" s="253" t="str">
        <f>IFERROR(VLOOKUP($B59,'24.08_ND'!$A:$D,3,0),IFERROR(VLOOKUP($B105,'03-CP'!$C$5:$H$4646,3,0),""))</f>
        <v>KG</v>
      </c>
      <c r="F59" s="389">
        <v>234</v>
      </c>
      <c r="G59" s="386"/>
      <c r="H59" s="386"/>
      <c r="I59" s="1316"/>
      <c r="J59" s="386" t="s">
        <v>16202</v>
      </c>
      <c r="K59" s="504"/>
      <c r="L59" s="386"/>
    </row>
    <row r="60" spans="1:12" ht="38.25" outlineLevel="1">
      <c r="A60" s="243" t="s">
        <v>13740</v>
      </c>
      <c r="B60" s="386">
        <v>92764</v>
      </c>
      <c r="C60" s="386" t="s">
        <v>14476</v>
      </c>
      <c r="D60" s="387" t="str">
        <f>IFERROR(VLOOKUP($B60,'24.08_ND'!$A:$D,2,0),IFERROR(VLOOKUP(#REF!,'03-CP'!$C$5:$H$4646,2,0),""))</f>
        <v>ARMAÇÃO DE PILAR OU VIGA DE ESTRUTURA CONVENCIONAL DE CONCRETO ARMADO UTILIZANDO AÇO CA-50 DE 16,0 MM - MONTAGEM. AF_06/2022</v>
      </c>
      <c r="E60" s="253" t="str">
        <f>IFERROR(VLOOKUP($B60,'24.08_ND'!$A:$D,3,0),IFERROR(VLOOKUP(#REF!,'03-CP'!$C$5:$H$4646,3,0),""))</f>
        <v>KG</v>
      </c>
      <c r="F60" s="389">
        <v>56.8</v>
      </c>
      <c r="G60" s="386"/>
      <c r="H60" s="386"/>
      <c r="I60" s="1316"/>
      <c r="J60" s="386" t="s">
        <v>16202</v>
      </c>
      <c r="K60" s="504"/>
      <c r="L60" s="386"/>
    </row>
    <row r="61" spans="1:12" ht="25.5" outlineLevel="1">
      <c r="A61" s="243" t="s">
        <v>13741</v>
      </c>
      <c r="B61" s="3" t="s">
        <v>14620</v>
      </c>
      <c r="C61" s="386" t="s">
        <v>14472</v>
      </c>
      <c r="D61" s="1314" t="str">
        <f>IFERROR(VLOOKUP($B61,'24.08_ND'!$A$4833:$D$12369,2,0),IFERROR(VLOOKUP($B61,'03-CP'!$C$5:$H$4646,2,0),""))</f>
        <v>CONCRETAGEM DE PILARES, FCK=30 MPA - LANÇAMENTO, ADENSAMENTO E ACABAMENTO</v>
      </c>
      <c r="E61" s="1315" t="str">
        <f>IFERROR(VLOOKUP($B61,'24.08_ND'!$A:$D,3,0),IFERROR(VLOOKUP($B61,'03-CP'!$C$5:$H$4646,3,0),""))</f>
        <v>M3</v>
      </c>
      <c r="F61" s="389">
        <v>3.19</v>
      </c>
      <c r="G61" s="386"/>
      <c r="H61" s="386"/>
      <c r="I61" s="1316"/>
      <c r="J61" s="386" t="s">
        <v>16202</v>
      </c>
      <c r="K61" s="504"/>
      <c r="L61" s="386"/>
    </row>
    <row r="62" spans="1:12" ht="12.75">
      <c r="A62" s="252" t="s">
        <v>13742</v>
      </c>
      <c r="B62" s="1309"/>
      <c r="C62" s="1309"/>
      <c r="D62" s="1310" t="s">
        <v>16487</v>
      </c>
      <c r="E62" s="1311"/>
      <c r="F62" s="1312"/>
      <c r="G62" s="1310"/>
      <c r="H62" s="1310"/>
      <c r="I62" s="1313"/>
      <c r="J62" s="948" t="s">
        <v>16481</v>
      </c>
      <c r="K62" s="1588" t="s">
        <v>16482</v>
      </c>
      <c r="L62" s="262"/>
    </row>
    <row r="63" spans="1:12" ht="38.25" outlineLevel="1">
      <c r="A63" s="243" t="s">
        <v>13743</v>
      </c>
      <c r="B63" s="386">
        <v>92466</v>
      </c>
      <c r="C63" s="386" t="s">
        <v>14476</v>
      </c>
      <c r="D63" s="387" t="str">
        <f>IFERROR(VLOOKUP($B63,'24.08_ND'!$A$4833:$D$12369,2,0),IFERROR(VLOOKUP($B63,'03-CP'!$C$5:$H$4646,2,0),""))</f>
        <v>MONTAGEM E DESMONTAGEM DE FÔRMA DE VIGA, ESCORAMENTO METÁLICO, PÉ-DIREITO DUPLO, EM CHAPA DE MADEIRA PLASTIFICADA, 10 UTILIZAÇÕES. AF_09/2020</v>
      </c>
      <c r="E63" s="253" t="str">
        <f>IFERROR(VLOOKUP($B63,'24.08_ND'!$A:$D,3,0),IFERROR(VLOOKUP($B63,'03-CP'!$C$5:$H$4646,3,0),""))</f>
        <v>M2</v>
      </c>
      <c r="F63" s="389">
        <v>74.61</v>
      </c>
      <c r="G63" s="386"/>
      <c r="H63" s="386"/>
      <c r="I63" s="1316"/>
      <c r="J63" s="386" t="s">
        <v>16202</v>
      </c>
      <c r="K63" s="504"/>
      <c r="L63" s="386"/>
    </row>
    <row r="64" spans="1:12" ht="38.25" outlineLevel="1">
      <c r="A64" s="243" t="s">
        <v>13744</v>
      </c>
      <c r="B64" s="386">
        <v>92759</v>
      </c>
      <c r="C64" s="386" t="s">
        <v>14476</v>
      </c>
      <c r="D64" s="387" t="str">
        <f>IFERROR(VLOOKUP($B64,'24.08_ND'!$A$4833:$D$12369,2,0),IFERROR(VLOOKUP($B64,'03-CP'!$C$5:$H$4646,2,0),""))</f>
        <v>ARMAÇÃO DE PILAR OU VIGA DE ESTRUTURA CONVENCIONAL DE CONCRETO ARMADO UTILIZANDO AÇO CA-60 DE 5,0 MM - MONTAGEM. AF_06/2022</v>
      </c>
      <c r="E64" s="253" t="str">
        <f>IFERROR(VLOOKUP($B64,'24.08_ND'!$A:$D,3,0),IFERROR(VLOOKUP($B64,'03-CP'!$C$5:$H$4646,3,0),""))</f>
        <v>KG</v>
      </c>
      <c r="F64" s="389">
        <v>58.7</v>
      </c>
      <c r="G64" s="386"/>
      <c r="H64" s="386"/>
      <c r="I64" s="1316"/>
      <c r="J64" s="386" t="s">
        <v>16202</v>
      </c>
      <c r="K64" s="504"/>
      <c r="L64" s="386"/>
    </row>
    <row r="65" spans="1:12" ht="38.25" outlineLevel="1">
      <c r="A65" s="243" t="s">
        <v>13745</v>
      </c>
      <c r="B65" s="386">
        <v>92760</v>
      </c>
      <c r="C65" s="386" t="s">
        <v>14476</v>
      </c>
      <c r="D65" s="387" t="str">
        <f>IFERROR(VLOOKUP($B65,'24.08_ND'!$A$4833:$D$12369,2,0),IFERROR(VLOOKUP($B65,'03-CP'!$C$5:$H$4646,2,0),""))</f>
        <v>ARMAÇÃO DE PILAR OU VIGA DE ESTRUTURA CONVENCIONAL DE CONCRETO ARMADO UTILIZANDO AÇO CA-50 DE 6,3 MM - MONTAGEM. AF_06/2022</v>
      </c>
      <c r="E65" s="253" t="str">
        <f>IFERROR(VLOOKUP($B65,'24.08_ND'!$A:$D,3,0),IFERROR(VLOOKUP($B65,'03-CP'!$C$5:$H$4646,3,0),""))</f>
        <v>KG</v>
      </c>
      <c r="F65" s="389">
        <v>30</v>
      </c>
      <c r="G65" s="386"/>
      <c r="H65" s="386"/>
      <c r="I65" s="1316"/>
      <c r="J65" s="386" t="s">
        <v>16202</v>
      </c>
      <c r="K65" s="504"/>
      <c r="L65" s="386"/>
    </row>
    <row r="66" spans="1:12" ht="38.25" outlineLevel="1">
      <c r="A66" s="243" t="s">
        <v>13746</v>
      </c>
      <c r="B66" s="386">
        <v>92761</v>
      </c>
      <c r="C66" s="386" t="s">
        <v>14476</v>
      </c>
      <c r="D66" s="387" t="str">
        <f>IFERROR(VLOOKUP($B66,'24.08_ND'!$A$4833:$D$12369,2,0),IFERROR(VLOOKUP($B66,'03-CP'!$C$5:$H$4646,2,0),""))</f>
        <v>ARMAÇÃO DE PILAR OU VIGA DE ESTRUTURA CONVENCIONAL DE CONCRETO ARMADO UTILIZANDO AÇO CA-50 DE 8,0 MM - MONTAGEM. AF_06/2022</v>
      </c>
      <c r="E66" s="253" t="str">
        <f>IFERROR(VLOOKUP($B66,'24.08_ND'!$A:$D,3,0),IFERROR(VLOOKUP($B66,'03-CP'!$C$5:$H$4646,3,0),""))</f>
        <v>KG</v>
      </c>
      <c r="F66" s="389">
        <v>114.7</v>
      </c>
      <c r="G66" s="386"/>
      <c r="H66" s="386"/>
      <c r="I66" s="1316"/>
      <c r="J66" s="386" t="s">
        <v>16202</v>
      </c>
      <c r="K66" s="504"/>
      <c r="L66" s="386"/>
    </row>
    <row r="67" spans="1:12" ht="38.25" outlineLevel="1">
      <c r="A67" s="243" t="s">
        <v>13747</v>
      </c>
      <c r="B67" s="386">
        <v>92762</v>
      </c>
      <c r="C67" s="386" t="s">
        <v>14476</v>
      </c>
      <c r="D67" s="387" t="str">
        <f>IFERROR(VLOOKUP($B67,'24.08_ND'!$A$4833:$D$12369,2,0),IFERROR(VLOOKUP($B67,'03-CP'!$C$5:$H$4646,2,0),""))</f>
        <v>ARMAÇÃO DE PILAR OU VIGA DE ESTRUTURA CONVENCIONAL DE CONCRETO ARMADO UTILIZANDO AÇO CA-50 DE 10,0 MM - MONTAGEM. AF_06/2022</v>
      </c>
      <c r="E67" s="253" t="str">
        <f>IFERROR(VLOOKUP($B67,'24.08_ND'!$A:$D,3,0),IFERROR(VLOOKUP($B67,'03-CP'!$C$5:$H$4646,3,0),""))</f>
        <v>KG</v>
      </c>
      <c r="F67" s="389">
        <v>43.5</v>
      </c>
      <c r="G67" s="386"/>
      <c r="H67" s="386"/>
      <c r="I67" s="1316"/>
      <c r="J67" s="386" t="s">
        <v>16202</v>
      </c>
      <c r="K67" s="504"/>
      <c r="L67" s="386"/>
    </row>
    <row r="68" spans="1:12" ht="38.25" outlineLevel="1">
      <c r="A68" s="243" t="s">
        <v>13748</v>
      </c>
      <c r="B68" s="386">
        <v>92763</v>
      </c>
      <c r="C68" s="386" t="s">
        <v>14476</v>
      </c>
      <c r="D68" s="387" t="str">
        <f>IFERROR(VLOOKUP($B68,'24.08_ND'!$A$4833:$D$12369,2,0),IFERROR(VLOOKUP($B68,'03-CP'!$C$5:$H$4646,2,0),""))</f>
        <v>ARMAÇÃO DE PILAR OU VIGA DE ESTRUTURA CONVENCIONAL DE CONCRETO ARMADO UTILIZANDO AÇO CA-50 DE 12,5 MM - MONTAGEM. AF_06/2022</v>
      </c>
      <c r="E68" s="253" t="str">
        <f>IFERROR(VLOOKUP($B68,'24.08_ND'!$A:$D,3,0),IFERROR(VLOOKUP($B68,'03-CP'!$C$5:$H$4646,3,0),""))</f>
        <v>KG</v>
      </c>
      <c r="F68" s="389">
        <v>26.2</v>
      </c>
      <c r="G68" s="386"/>
      <c r="H68" s="386"/>
      <c r="I68" s="1316"/>
      <c r="J68" s="386" t="s">
        <v>16202</v>
      </c>
      <c r="K68" s="504"/>
      <c r="L68" s="386"/>
    </row>
    <row r="69" spans="1:12" ht="38.25" outlineLevel="1">
      <c r="A69" s="243" t="s">
        <v>13749</v>
      </c>
      <c r="B69" s="386" t="s">
        <v>14622</v>
      </c>
      <c r="C69" s="386" t="s">
        <v>14472</v>
      </c>
      <c r="D69" s="1314" t="str">
        <f>IFERROR(VLOOKUP($B69,'24.08_ND'!$A$4833:$D$12369,2,0),IFERROR(VLOOKUP($B69,'03-CP'!$C$5:$H$4646,2,0),""))</f>
        <v>CONCRETAGEM DE VIGAS E LAJES, FCK=30 MPA, PARA LAJES MACIÇAS OU NERVURADAS COM USO DE BOMBAS - LANÇAMENTO, ADENSAMENTO E ACABAMENTO</v>
      </c>
      <c r="E69" s="1315" t="str">
        <f>IFERROR(VLOOKUP($B69,'24.08_ND'!$A:$D,3,0),IFERROR(VLOOKUP($B69,'03-CP'!$C$5:$H$4646,3,0),""))</f>
        <v>M3</v>
      </c>
      <c r="F69" s="389">
        <v>8.34</v>
      </c>
      <c r="G69" s="386"/>
      <c r="H69" s="386"/>
      <c r="I69" s="1316"/>
      <c r="J69" s="386" t="s">
        <v>16202</v>
      </c>
      <c r="K69" s="504"/>
      <c r="L69" s="386"/>
    </row>
    <row r="70" spans="1:12" ht="12.75">
      <c r="A70" s="252" t="s">
        <v>13750</v>
      </c>
      <c r="B70" s="1309"/>
      <c r="C70" s="1309"/>
      <c r="D70" s="1310" t="s">
        <v>16435</v>
      </c>
      <c r="E70" s="1311"/>
      <c r="F70" s="1312"/>
      <c r="G70" s="1310"/>
      <c r="H70" s="1310"/>
      <c r="I70" s="1313"/>
      <c r="J70" s="948" t="s">
        <v>16481</v>
      </c>
      <c r="K70" s="1588" t="s">
        <v>16482</v>
      </c>
      <c r="L70" s="262"/>
    </row>
    <row r="71" spans="1:12" ht="38.25" outlineLevel="1">
      <c r="A71" s="243" t="s">
        <v>13751</v>
      </c>
      <c r="B71" s="386">
        <v>92524</v>
      </c>
      <c r="C71" s="386" t="s">
        <v>14476</v>
      </c>
      <c r="D71" s="387" t="str">
        <f>IFERROR(VLOOKUP($B71,'24.08_ND'!$A:$D,2,0),IFERROR(VLOOKUP($B109,'03-CP'!$C$5:$H$4646,2,0),""))</f>
        <v>MONTAGEM E DESMONTAGEM DE FÔRMA DE LAJE MACIÇA, PÉ-DIREITO DUPLO, EM CHAPA DE MADEIRA COMPENSADA PLASTIFICADA, 10 UTILIZAÇÕES. AF_09/2020</v>
      </c>
      <c r="E71" s="253" t="str">
        <f>IFERROR(VLOOKUP($B71,'24.08_ND'!$A:$D,3,0),IFERROR(VLOOKUP($B109,'03-CP'!$C$5:$H$4646,3,0),""))</f>
        <v>M2</v>
      </c>
      <c r="F71" s="389">
        <v>32.880000000000003</v>
      </c>
      <c r="G71" s="386"/>
      <c r="H71" s="386"/>
      <c r="I71" s="1316"/>
      <c r="J71" s="386" t="s">
        <v>16202</v>
      </c>
      <c r="K71" s="504"/>
      <c r="L71" s="386"/>
    </row>
    <row r="72" spans="1:12" ht="25.5" outlineLevel="1">
      <c r="A72" s="243" t="s">
        <v>13752</v>
      </c>
      <c r="B72" s="386">
        <v>92768</v>
      </c>
      <c r="C72" s="386" t="s">
        <v>14476</v>
      </c>
      <c r="D72" s="387" t="str">
        <f>IFERROR(VLOOKUP($B72,'24.08_ND'!$A:$D,2,0),IFERROR(VLOOKUP($B110,'03-CP'!$C$5:$H$4646,2,0),""))</f>
        <v>ARMAÇÃO DE LAJE DE ESTRUTURA CONVENCIONAL DE CONCRETO ARMADO UTILIZANDO AÇO CA-60 DE 5,0 MM - MONTAGEM. AF_06/2022</v>
      </c>
      <c r="E72" s="253" t="str">
        <f>IFERROR(VLOOKUP($B72,'24.08_ND'!$A:$D,3,0),IFERROR(VLOOKUP($B110,'03-CP'!$C$5:$H$4646,3,0),""))</f>
        <v>KG</v>
      </c>
      <c r="F72" s="389">
        <v>6.7</v>
      </c>
      <c r="G72" s="386"/>
      <c r="H72" s="386"/>
      <c r="I72" s="1316"/>
      <c r="J72" s="386" t="s">
        <v>16202</v>
      </c>
      <c r="K72" s="504"/>
      <c r="L72" s="386"/>
    </row>
    <row r="73" spans="1:12" ht="25.5" outlineLevel="1">
      <c r="A73" s="243" t="s">
        <v>13753</v>
      </c>
      <c r="B73" s="386">
        <v>92770</v>
      </c>
      <c r="C73" s="386" t="s">
        <v>14476</v>
      </c>
      <c r="D73" s="387" t="str">
        <f>IFERROR(VLOOKUP($B73,'24.08_ND'!$A:$D,2,0),IFERROR(VLOOKUP(#REF!,'03-CP'!$C$5:$H$4646,2,0),""))</f>
        <v>ARMAÇÃO DE LAJE DE ESTRUTURA CONVENCIONAL DE CONCRETO ARMADO UTILIZANDO AÇO CA-50 DE 8,0 MM - MONTAGEM. AF_06/2022</v>
      </c>
      <c r="E73" s="253" t="str">
        <f>IFERROR(VLOOKUP($B73,'24.08_ND'!$A:$D,3,0),IFERROR(VLOOKUP(#REF!,'03-CP'!$C$5:$H$4646,3,0),""))</f>
        <v>KG</v>
      </c>
      <c r="F73" s="389">
        <v>197.1</v>
      </c>
      <c r="G73" s="386"/>
      <c r="H73" s="386"/>
      <c r="I73" s="1316"/>
      <c r="J73" s="386" t="s">
        <v>16202</v>
      </c>
      <c r="K73" s="504"/>
      <c r="L73" s="386"/>
    </row>
    <row r="74" spans="1:12" ht="38.25" outlineLevel="1">
      <c r="A74" s="243" t="s">
        <v>13754</v>
      </c>
      <c r="B74" s="386" t="s">
        <v>14622</v>
      </c>
      <c r="C74" s="386" t="s">
        <v>14472</v>
      </c>
      <c r="D74" s="1314" t="str">
        <f>IFERROR(VLOOKUP($B74,'24.08_ND'!$A$4833:$D$12369,2,0),IFERROR(VLOOKUP($B74,'03-CP'!$C$5:$H$4646,2,0),""))</f>
        <v>CONCRETAGEM DE VIGAS E LAJES, FCK=30 MPA, PARA LAJES MACIÇAS OU NERVURADAS COM USO DE BOMBAS - LANÇAMENTO, ADENSAMENTO E ACABAMENTO</v>
      </c>
      <c r="E74" s="1315" t="str">
        <f>IFERROR(VLOOKUP($B74,'24.08_ND'!$A:$D,3,0),IFERROR(VLOOKUP($B74,'03-CP'!$C$5:$H$4646,3,0),""))</f>
        <v>M3</v>
      </c>
      <c r="F74" s="389">
        <v>3.33</v>
      </c>
      <c r="G74" s="386"/>
      <c r="H74" s="386"/>
      <c r="I74" s="1316"/>
      <c r="J74" s="386" t="s">
        <v>16202</v>
      </c>
      <c r="K74" s="504"/>
      <c r="L74" s="386"/>
    </row>
    <row r="75" spans="1:12" ht="38.25" outlineLevel="1">
      <c r="A75" s="243" t="s">
        <v>13755</v>
      </c>
      <c r="B75" s="386">
        <v>87737</v>
      </c>
      <c r="C75" s="386" t="s">
        <v>14476</v>
      </c>
      <c r="D75" s="387" t="str">
        <f>IFERROR(VLOOKUP($B75,'24.08_ND'!$A:$D,2,0),IFERROR(VLOOKUP(#REF!,'03-CP'!$C$5:$H$4646,2,0),""))</f>
        <v>CONTRAPISO EM ARGAMASSA TRAÇO 1:4 (CIMENTO E AREIA), PREPARO MANUAL, APLICADO EM ÁREAS MOLHADAS SOBRE LAJE, ADERIDO, ACABAMENTO NÃO REFORÇADO, ESPESSURA 2CM. AF_07/2021</v>
      </c>
      <c r="E75" s="253" t="str">
        <f>IFERROR(VLOOKUP($B75,'24.08_ND'!$A:$D,3,0),IFERROR(VLOOKUP(#REF!,'03-CP'!$C$5:$H$4646,3,0),""))</f>
        <v>M2</v>
      </c>
      <c r="F75" s="389">
        <v>32.880000000000003</v>
      </c>
      <c r="G75" s="386"/>
      <c r="H75" s="386"/>
      <c r="I75" s="1316"/>
      <c r="J75" s="386" t="s">
        <v>16202</v>
      </c>
      <c r="K75" s="504"/>
      <c r="L75" s="386"/>
    </row>
    <row r="76" spans="1:12" ht="25.5" outlineLevel="1">
      <c r="A76" s="243" t="s">
        <v>13756</v>
      </c>
      <c r="B76" s="386">
        <v>98554</v>
      </c>
      <c r="C76" s="386" t="s">
        <v>14476</v>
      </c>
      <c r="D76" s="387" t="str">
        <f>IFERROR(VLOOKUP($B76,'24.08_ND'!$A:$D,2,0),IFERROR(VLOOKUP(#REF!,'03-CP'!$C$5:$H$4646,2,0),""))</f>
        <v>IMPERMEABILIZAÇÃO DE SUPERFÍCIE COM MEMBRANA À BASE DE RESINA ACRÍLICA, 3 DEMÃOS. AF_09/2023</v>
      </c>
      <c r="E76" s="253" t="str">
        <f>IFERROR(VLOOKUP($B76,'24.08_ND'!$A:$D,3,0),IFERROR(VLOOKUP(#REF!,'03-CP'!$C$5:$H$4646,3,0),""))</f>
        <v>M2</v>
      </c>
      <c r="F76" s="389">
        <v>32.880000000000003</v>
      </c>
      <c r="G76" s="386"/>
      <c r="H76" s="386"/>
      <c r="I76" s="1316"/>
      <c r="J76" s="386" t="s">
        <v>16202</v>
      </c>
      <c r="K76" s="504"/>
      <c r="L76" s="386"/>
    </row>
    <row r="77" spans="1:12" ht="25.5" outlineLevel="1">
      <c r="A77" s="243" t="s">
        <v>13757</v>
      </c>
      <c r="B77" s="386">
        <v>98563</v>
      </c>
      <c r="C77" s="386" t="s">
        <v>14476</v>
      </c>
      <c r="D77" s="387" t="str">
        <f>IFERROR(VLOOKUP($B77,'24.08_ND'!$A:$D,2,0),IFERROR(VLOOKUP(#REF!,'03-CP'!$C$5:$H$4646,2,0),""))</f>
        <v>PROTEÇÃO MECÂNICA DE SUPERFÍCIE HORIZONTAL COM ARGAMASSA DE CIMENTO E AREIA, TRAÇO 1:3, E=2CM. AF_09/2023</v>
      </c>
      <c r="E77" s="253" t="str">
        <f>IFERROR(VLOOKUP($B77,'24.08_ND'!$A:$D,3,0),IFERROR(VLOOKUP(#REF!,'03-CP'!$C$5:$H$4646,3,0),""))</f>
        <v>M2</v>
      </c>
      <c r="F77" s="389">
        <v>32.880000000000003</v>
      </c>
      <c r="G77" s="386"/>
      <c r="H77" s="386"/>
      <c r="I77" s="1316"/>
      <c r="J77" s="386" t="s">
        <v>16202</v>
      </c>
      <c r="K77" s="504"/>
      <c r="L77" s="386"/>
    </row>
    <row r="78" spans="1:12" ht="12.75">
      <c r="A78" s="252" t="s">
        <v>13758</v>
      </c>
      <c r="B78" s="1309"/>
      <c r="C78" s="1309"/>
      <c r="D78" s="1310" t="s">
        <v>16488</v>
      </c>
      <c r="E78" s="1311"/>
      <c r="F78" s="1312"/>
      <c r="G78" s="1310"/>
      <c r="H78" s="1310"/>
      <c r="I78" s="1313"/>
      <c r="J78" s="948" t="s">
        <v>16481</v>
      </c>
      <c r="K78" s="1588" t="s">
        <v>16482</v>
      </c>
      <c r="L78" s="262"/>
    </row>
    <row r="79" spans="1:12" ht="38.25" outlineLevel="1">
      <c r="A79" s="243" t="s">
        <v>13759</v>
      </c>
      <c r="B79" s="386">
        <v>92466</v>
      </c>
      <c r="C79" s="386" t="s">
        <v>14476</v>
      </c>
      <c r="D79" s="387" t="str">
        <f>IFERROR(VLOOKUP($B79,'24.08_ND'!$A:$D,2,0),IFERROR(VLOOKUP(#REF!,'03-CP'!$C$5:$H$4646,2,0),""))</f>
        <v>MONTAGEM E DESMONTAGEM DE FÔRMA DE VIGA, ESCORAMENTO METÁLICO, PÉ-DIREITO DUPLO, EM CHAPA DE MADEIRA PLASTIFICADA, 10 UTILIZAÇÕES. AF_09/2020</v>
      </c>
      <c r="E79" s="253" t="str">
        <f>IFERROR(VLOOKUP($B79,'24.08_ND'!$A:$D,3,0),IFERROR(VLOOKUP(#REF!,'03-CP'!$C$5:$H$4646,3,0),""))</f>
        <v>M2</v>
      </c>
      <c r="F79" s="389">
        <v>23.34</v>
      </c>
      <c r="G79" s="386"/>
      <c r="H79" s="386"/>
      <c r="I79" s="1316"/>
      <c r="J79" s="386" t="s">
        <v>16202</v>
      </c>
      <c r="K79" s="504"/>
      <c r="L79" s="386"/>
    </row>
    <row r="80" spans="1:12" ht="38.25" outlineLevel="1">
      <c r="A80" s="243" t="s">
        <v>13760</v>
      </c>
      <c r="B80" s="386">
        <v>92759</v>
      </c>
      <c r="C80" s="386" t="s">
        <v>14476</v>
      </c>
      <c r="D80" s="387" t="str">
        <f>IFERROR(VLOOKUP($B80,'24.08_ND'!$A:$D,2,0),IFERROR(VLOOKUP($B111,'03-CP'!$C$5:$H$4646,2,0),""))</f>
        <v>ARMAÇÃO DE PILAR OU VIGA DE ESTRUTURA CONVENCIONAL DE CONCRETO ARMADO UTILIZANDO AÇO CA-60 DE 5,0 MM - MONTAGEM. AF_06/2022</v>
      </c>
      <c r="E80" s="253" t="str">
        <f>IFERROR(VLOOKUP($B80,'24.08_ND'!$A:$D,3,0),IFERROR(VLOOKUP($B111,'03-CP'!$C$5:$H$4646,3,0),""))</f>
        <v>KG</v>
      </c>
      <c r="F80" s="389">
        <v>20.399999999999999</v>
      </c>
      <c r="G80" s="386"/>
      <c r="H80" s="386"/>
      <c r="I80" s="1316"/>
      <c r="J80" s="386" t="s">
        <v>16202</v>
      </c>
      <c r="K80" s="504"/>
      <c r="L80" s="386"/>
    </row>
    <row r="81" spans="1:12" ht="38.25" outlineLevel="1">
      <c r="A81" s="243" t="s">
        <v>13761</v>
      </c>
      <c r="B81" s="386">
        <v>92761</v>
      </c>
      <c r="C81" s="386" t="s">
        <v>14476</v>
      </c>
      <c r="D81" s="387" t="str">
        <f>IFERROR(VLOOKUP($B81,'24.08_ND'!$A:$D,2,0),IFERROR(VLOOKUP($B112,'03-CP'!$C$5:$H$4646,2,0),""))</f>
        <v>ARMAÇÃO DE PILAR OU VIGA DE ESTRUTURA CONVENCIONAL DE CONCRETO ARMADO UTILIZANDO AÇO CA-50 DE 8,0 MM - MONTAGEM. AF_06/2022</v>
      </c>
      <c r="E81" s="253" t="str">
        <f>IFERROR(VLOOKUP($B81,'24.08_ND'!$A:$D,3,0),IFERROR(VLOOKUP($B112,'03-CP'!$C$5:$H$4646,3,0),""))</f>
        <v>KG</v>
      </c>
      <c r="F81" s="389">
        <v>43.6</v>
      </c>
      <c r="G81" s="386"/>
      <c r="H81" s="386"/>
      <c r="I81" s="1316"/>
      <c r="J81" s="386" t="s">
        <v>16202</v>
      </c>
      <c r="K81" s="504"/>
      <c r="L81" s="386"/>
    </row>
    <row r="82" spans="1:12" ht="38.25" outlineLevel="1">
      <c r="A82" s="243" t="s">
        <v>13762</v>
      </c>
      <c r="B82" s="386" t="s">
        <v>14622</v>
      </c>
      <c r="C82" s="386" t="s">
        <v>14472</v>
      </c>
      <c r="D82" s="1314" t="str">
        <f>IFERROR(VLOOKUP($B82,'24.08_ND'!$A$4833:$D$12369,2,0),IFERROR(VLOOKUP($B82,'03-CP'!$C$5:$H$4646,2,0),""))</f>
        <v>CONCRETAGEM DE VIGAS E LAJES, FCK=30 MPA, PARA LAJES MACIÇAS OU NERVURADAS COM USO DE BOMBAS - LANÇAMENTO, ADENSAMENTO E ACABAMENTO</v>
      </c>
      <c r="E82" s="1315" t="str">
        <f>IFERROR(VLOOKUP($B82,'24.08_ND'!$A:$D,3,0),IFERROR(VLOOKUP($B82,'03-CP'!$C$5:$H$4646,3,0),""))</f>
        <v>M3</v>
      </c>
      <c r="F82" s="389">
        <v>1.38</v>
      </c>
      <c r="G82" s="386"/>
      <c r="H82" s="386"/>
      <c r="I82" s="1316"/>
      <c r="J82" s="386" t="s">
        <v>16202</v>
      </c>
      <c r="K82" s="504"/>
      <c r="L82" s="386"/>
    </row>
    <row r="83" spans="1:12" ht="12.75">
      <c r="A83" s="252" t="s">
        <v>13763</v>
      </c>
      <c r="B83" s="1653"/>
      <c r="C83" s="1653"/>
      <c r="D83" s="1654" t="s">
        <v>16489</v>
      </c>
      <c r="E83" s="1655"/>
      <c r="F83" s="1312"/>
      <c r="G83" s="1310"/>
      <c r="H83" s="1310"/>
      <c r="I83" s="1313"/>
      <c r="J83" s="948" t="s">
        <v>16481</v>
      </c>
      <c r="K83" s="1588" t="s">
        <v>16482</v>
      </c>
      <c r="L83" s="262"/>
    </row>
    <row r="84" spans="1:12" ht="38.25" outlineLevel="1">
      <c r="A84" s="243" t="s">
        <v>13764</v>
      </c>
      <c r="B84" s="3" t="s">
        <v>14596</v>
      </c>
      <c r="C84" s="3" t="s">
        <v>14472</v>
      </c>
      <c r="D84" s="38" t="str">
        <f>IFERROR(VLOOKUP($B84,'24.08_ND'!$A$4833:$D$12369,2,0),IFERROR(VLOOKUP($B84,'03-CP'!$C$5:$H$4646,2,0),""))</f>
        <v>MOLDAGEM E ENSAIO PARA DETERMINACAO DA RESISTENCIA A COMPRESSAO DE CORPOS DE PROVA CILINDRICOS , INCLUSO ROMPIMENTO E LAUDO TÉCNICO (1 ENSAIO A CADA 5M3)</v>
      </c>
      <c r="E84" s="34" t="str">
        <f>IFERROR(VLOOKUP($B84,'24.08_ND'!$A:$D,3,0),IFERROR(VLOOKUP($B84,'03-CP'!$C$5:$H$4646,3,0),""))</f>
        <v>M3</v>
      </c>
      <c r="F84" s="389">
        <v>25.19</v>
      </c>
      <c r="G84" s="386"/>
      <c r="H84" s="386"/>
      <c r="I84" s="1316"/>
      <c r="J84" s="386" t="s">
        <v>16202</v>
      </c>
      <c r="K84" s="504"/>
      <c r="L84" s="386"/>
    </row>
    <row r="85" spans="1:12" ht="12.75">
      <c r="A85" s="252" t="s">
        <v>13765</v>
      </c>
      <c r="B85" s="1653"/>
      <c r="C85" s="1653"/>
      <c r="D85" s="1654" t="s">
        <v>12504</v>
      </c>
      <c r="E85" s="1655"/>
      <c r="F85" s="1312"/>
      <c r="G85" s="1310"/>
      <c r="H85" s="1310"/>
      <c r="I85" s="1313"/>
      <c r="J85" s="948" t="s">
        <v>16481</v>
      </c>
      <c r="K85" s="1588" t="s">
        <v>16482</v>
      </c>
      <c r="L85" s="262"/>
    </row>
    <row r="86" spans="1:12" ht="51" outlineLevel="1">
      <c r="A86" s="243" t="s">
        <v>13766</v>
      </c>
      <c r="B86" s="386" t="s">
        <v>14683</v>
      </c>
      <c r="C86" s="1252" t="s">
        <v>14472</v>
      </c>
      <c r="D86" s="38" t="str">
        <f>IFERROR(VLOOKUP($B86,'24.08_ND'!$A$4833:$D$12369,2,0),IFERROR(VLOOKUP($B86,'03-CP'!$C$5:$H$4646,2,0),""))</f>
        <v>FORNECIMENTO E MONTAGEM DE ESTRUTURA METÁLICA SOLDADAS - BANHEIRO DE APOIO - ESPAÇO DE SHOWS (COBERTURA 1, COBERTURA 2, COBERTURA 3 e SUPORTE DO PAINEL), INCLUSO PINTURA DE FUNDO COM ZARCÃO  E ACABAMENTO EM ESMALTE</v>
      </c>
      <c r="E86" s="34" t="str">
        <f>IFERROR(VLOOKUP($B86,'24.08_ND'!$A:$D,3,0),IFERROR(VLOOKUP($B86,'03-CP'!$C$5:$H$4646,3,0),""))</f>
        <v>KG</v>
      </c>
      <c r="F86" s="389">
        <v>4384.01</v>
      </c>
      <c r="G86" s="386"/>
      <c r="H86" s="386"/>
      <c r="I86" s="1316"/>
      <c r="J86" s="386" t="s">
        <v>16202</v>
      </c>
      <c r="K86" s="504"/>
      <c r="L86" s="386"/>
    </row>
    <row r="87" spans="1:12" ht="12.75" hidden="1">
      <c r="A87" s="1473"/>
      <c r="B87" s="386"/>
      <c r="C87" s="253"/>
      <c r="D87" s="1446"/>
      <c r="E87" s="1447"/>
      <c r="F87" s="389"/>
      <c r="G87" s="1244"/>
      <c r="H87" s="1244"/>
      <c r="I87" s="1409"/>
      <c r="J87" s="110"/>
      <c r="K87" s="504"/>
      <c r="L87" s="262"/>
    </row>
    <row r="88" spans="1:12" ht="12.75">
      <c r="A88" s="1298" t="s">
        <v>14728</v>
      </c>
      <c r="B88" s="1663"/>
      <c r="C88" s="1663"/>
      <c r="D88" s="1664"/>
      <c r="E88" s="1373"/>
      <c r="F88" s="1665"/>
      <c r="G88" s="1666"/>
      <c r="H88" s="1667"/>
      <c r="I88" s="1668"/>
      <c r="J88" s="110"/>
      <c r="K88" s="504"/>
      <c r="L88" s="262"/>
    </row>
    <row r="89" spans="1:12" ht="12.75">
      <c r="A89" s="238" t="s">
        <v>12643</v>
      </c>
      <c r="B89" s="1304"/>
      <c r="C89" s="1304"/>
      <c r="D89" s="1305" t="s">
        <v>12486</v>
      </c>
      <c r="E89" s="1306"/>
      <c r="F89" s="1307"/>
      <c r="G89" s="1306"/>
      <c r="H89" s="1306"/>
      <c r="I89" s="1308"/>
      <c r="J89" s="1669" t="s">
        <v>16385</v>
      </c>
      <c r="K89" s="1670" t="s">
        <v>16490</v>
      </c>
      <c r="L89" s="262"/>
    </row>
    <row r="90" spans="1:12" ht="12.75">
      <c r="A90" s="246" t="s">
        <v>13767</v>
      </c>
      <c r="B90" s="1378"/>
      <c r="C90" s="1378"/>
      <c r="D90" s="1379" t="s">
        <v>16227</v>
      </c>
      <c r="E90" s="1380"/>
      <c r="F90" s="1381"/>
      <c r="G90" s="1380"/>
      <c r="H90" s="1381"/>
      <c r="I90" s="1382"/>
      <c r="J90" s="110"/>
      <c r="K90" s="1588"/>
      <c r="L90" s="386"/>
    </row>
    <row r="91" spans="1:12" ht="38.25" outlineLevel="1">
      <c r="A91" s="1385" t="s">
        <v>13768</v>
      </c>
      <c r="B91" s="295">
        <v>103324</v>
      </c>
      <c r="C91" s="295" t="s">
        <v>14476</v>
      </c>
      <c r="D91" s="658" t="str">
        <f>IFERROR(VLOOKUP($B91,'24.08_ND'!$A$4833:$D$12369,2,0),IFERROR(VLOOKUP($B91,'03-CP'!$C$5:$H$4646,2,0),""))</f>
        <v>ALVENARIA DE VEDAÇÃO DE BLOCOS CERÂMICOS FURADOS NA VERTICAL DE 14X19X39 CM (ESPESSURA 14 CM) E ARGAMASSA DE ASSENTAMENTO COM PREPARO EM BETONEIRA. AF_12/2021</v>
      </c>
      <c r="E91" s="1318" t="str">
        <f>IFERROR(VLOOKUP($B91,'24.08_ND'!$A:$D,3,0),IFERROR(VLOOKUP($B91,'03-CP'!$C$5:$H$4646,3,0),""))</f>
        <v>M2</v>
      </c>
      <c r="F91" s="1671">
        <f>SUM(I93:I96)-6.96</f>
        <v>353.60600000000005</v>
      </c>
      <c r="G91" s="1387"/>
      <c r="H91" s="1387"/>
      <c r="I91" s="1388"/>
      <c r="J91" s="1672" t="s">
        <v>16387</v>
      </c>
      <c r="K91" s="504"/>
      <c r="L91" s="262"/>
    </row>
    <row r="92" spans="1:12" ht="25.5" hidden="1" outlineLevel="1">
      <c r="A92" s="450"/>
      <c r="B92" s="386"/>
      <c r="C92" s="386"/>
      <c r="D92" s="1435" t="s">
        <v>16404</v>
      </c>
      <c r="E92" s="1391" t="s">
        <v>16231</v>
      </c>
      <c r="F92" s="1392" t="s">
        <v>16232</v>
      </c>
      <c r="G92" s="1391" t="s">
        <v>16233</v>
      </c>
      <c r="H92" s="1392" t="s">
        <v>16234</v>
      </c>
      <c r="I92" s="1393" t="s">
        <v>12615</v>
      </c>
      <c r="J92" s="110"/>
      <c r="K92" s="504"/>
      <c r="L92" s="262"/>
    </row>
    <row r="93" spans="1:12" ht="12.75" hidden="1" outlineLevel="1">
      <c r="A93" s="450"/>
      <c r="B93" s="386"/>
      <c r="C93" s="386"/>
      <c r="D93" s="1673" t="s">
        <v>16491</v>
      </c>
      <c r="E93" s="1420">
        <v>28.74</v>
      </c>
      <c r="F93" s="1421">
        <v>2</v>
      </c>
      <c r="G93" s="1420">
        <f>E93*F93</f>
        <v>57.48</v>
      </c>
      <c r="H93" s="1421">
        <v>1</v>
      </c>
      <c r="I93" s="1429">
        <f>G93*H93</f>
        <v>57.48</v>
      </c>
      <c r="J93" s="110"/>
      <c r="K93" s="504"/>
      <c r="L93" s="262"/>
    </row>
    <row r="94" spans="1:12" ht="12.75" hidden="1" outlineLevel="1">
      <c r="A94" s="450"/>
      <c r="B94" s="386"/>
      <c r="C94" s="386"/>
      <c r="D94" s="1673" t="s">
        <v>16492</v>
      </c>
      <c r="E94" s="1420">
        <v>37.869999999999997</v>
      </c>
      <c r="F94" s="1421">
        <v>1</v>
      </c>
      <c r="G94" s="1420">
        <f>E94*F94</f>
        <v>37.869999999999997</v>
      </c>
      <c r="H94" s="1421">
        <v>1</v>
      </c>
      <c r="I94" s="1429">
        <f>G94*H94</f>
        <v>37.869999999999997</v>
      </c>
      <c r="J94" s="110"/>
      <c r="K94" s="504"/>
      <c r="L94" s="262"/>
    </row>
    <row r="95" spans="1:12" ht="12.75" hidden="1" outlineLevel="1">
      <c r="A95" s="247"/>
      <c r="B95" s="386"/>
      <c r="C95" s="386"/>
      <c r="D95" s="1673" t="s">
        <v>16493</v>
      </c>
      <c r="E95" s="1420">
        <v>76.64</v>
      </c>
      <c r="F95" s="1421">
        <v>3.2</v>
      </c>
      <c r="G95" s="1420">
        <f>E95*F95</f>
        <v>245.24800000000002</v>
      </c>
      <c r="H95" s="1421">
        <v>1</v>
      </c>
      <c r="I95" s="1429">
        <f>G95*H95</f>
        <v>245.24800000000002</v>
      </c>
      <c r="J95" s="110"/>
      <c r="K95" s="504"/>
      <c r="L95" s="262"/>
    </row>
    <row r="96" spans="1:12" ht="12.75" hidden="1" outlineLevel="1">
      <c r="A96" s="247"/>
      <c r="B96" s="386"/>
      <c r="C96" s="386"/>
      <c r="D96" s="1394" t="s">
        <v>16494</v>
      </c>
      <c r="E96" s="1395">
        <v>6.24</v>
      </c>
      <c r="F96" s="1396">
        <v>3.2</v>
      </c>
      <c r="G96" s="1395">
        <f>E96*F96</f>
        <v>19.968000000000004</v>
      </c>
      <c r="H96" s="1396">
        <v>1</v>
      </c>
      <c r="I96" s="1397">
        <f>G96*H96</f>
        <v>19.968000000000004</v>
      </c>
      <c r="J96" s="110"/>
      <c r="K96" s="504"/>
      <c r="L96" s="262"/>
    </row>
    <row r="97" spans="1:12" ht="12.75" hidden="1" outlineLevel="1">
      <c r="A97" s="247"/>
      <c r="B97" s="386"/>
      <c r="C97" s="386"/>
      <c r="D97" s="253"/>
      <c r="E97" s="1634"/>
      <c r="F97" s="638"/>
      <c r="G97" s="1634"/>
      <c r="H97" s="638"/>
      <c r="I97" s="1674"/>
      <c r="J97" s="110"/>
      <c r="K97" s="504"/>
      <c r="L97" s="262"/>
    </row>
    <row r="98" spans="1:12" ht="25.5" outlineLevel="1">
      <c r="A98" s="1385" t="s">
        <v>13769</v>
      </c>
      <c r="B98" s="559">
        <v>93203</v>
      </c>
      <c r="C98" s="559" t="s">
        <v>14476</v>
      </c>
      <c r="D98" s="658" t="str">
        <f>IFERROR(VLOOKUP($B98,'24.08_ND'!$A$4833:$D$12369,2,0),IFERROR(VLOOKUP($B98,'03-CP'!$C$5:$H$4646,2,0),""))</f>
        <v>FIXAÇÃO (ENCUNHAMENTO) DE ALVENARIA DE VEDAÇÃO COM ESPUMA DE POLIURETANO EXPANSIVA. AF_03/2024</v>
      </c>
      <c r="E98" s="1318" t="str">
        <f>IFERROR(VLOOKUP($B98,'24.08_ND'!$A:$D,3,0),IFERROR(VLOOKUP($B98,'03-CP'!$C$5:$H$4646,3,0),""))</f>
        <v>M</v>
      </c>
      <c r="F98" s="1671">
        <v>82.88</v>
      </c>
      <c r="G98" s="1387"/>
      <c r="H98" s="1387"/>
      <c r="I98" s="1388"/>
      <c r="J98" s="1672" t="s">
        <v>16387</v>
      </c>
      <c r="K98" s="504"/>
      <c r="L98" s="262"/>
    </row>
    <row r="99" spans="1:12" ht="25.5" outlineLevel="1">
      <c r="A99" s="1385" t="s">
        <v>13770</v>
      </c>
      <c r="B99" s="559">
        <v>105035</v>
      </c>
      <c r="C99" s="559" t="s">
        <v>14476</v>
      </c>
      <c r="D99" s="658" t="str">
        <f>IFERROR(VLOOKUP($B99,'24.08_ND'!$A$4833:$D$12369,2,0),IFERROR(VLOOKUP($B99,'03-CP'!$C$5:$H$4646,2,0),""))</f>
        <v>VERGA PRÉ-FABRICADA COM ATÉ 1,5 M DE VÃO, ESPESSURA DE *20* CM. AF_03/2024</v>
      </c>
      <c r="E99" s="1318" t="str">
        <f>IFERROR(VLOOKUP($B99,'24.08_ND'!$A:$D,3,0),IFERROR(VLOOKUP($B99,'03-CP'!$C$5:$H$4646,3,0),""))</f>
        <v>M</v>
      </c>
      <c r="F99" s="1671">
        <f>SUM(I101:I105)</f>
        <v>16.400000000000002</v>
      </c>
      <c r="G99" s="1387"/>
      <c r="H99" s="1387"/>
      <c r="I99" s="1388"/>
      <c r="J99" s="1672" t="s">
        <v>16387</v>
      </c>
      <c r="K99" s="504"/>
      <c r="L99" s="262"/>
    </row>
    <row r="100" spans="1:12" ht="25.5" hidden="1" outlineLevel="1">
      <c r="A100" s="1675"/>
      <c r="B100" s="1410"/>
      <c r="C100" s="1410"/>
      <c r="D100" s="1435" t="s">
        <v>16404</v>
      </c>
      <c r="E100" s="1391" t="s">
        <v>16237</v>
      </c>
      <c r="F100" s="1392" t="s">
        <v>16238</v>
      </c>
      <c r="G100" s="1391" t="s">
        <v>16239</v>
      </c>
      <c r="H100" s="1392" t="s">
        <v>16234</v>
      </c>
      <c r="I100" s="1393" t="s">
        <v>12615</v>
      </c>
      <c r="J100" s="110"/>
      <c r="K100" s="504"/>
      <c r="L100" s="262"/>
    </row>
    <row r="101" spans="1:12" ht="12.75" hidden="1" outlineLevel="1">
      <c r="A101" s="1675"/>
      <c r="B101" s="8"/>
      <c r="C101" s="8"/>
      <c r="D101" s="1418" t="s">
        <v>16240</v>
      </c>
      <c r="E101" s="691">
        <v>1.5</v>
      </c>
      <c r="F101" s="691">
        <v>0.15</v>
      </c>
      <c r="G101" s="1244"/>
      <c r="H101" s="1244">
        <v>4</v>
      </c>
      <c r="I101" s="1409">
        <f>((F101*2)+E101)*H101</f>
        <v>7.2</v>
      </c>
      <c r="J101" s="110"/>
      <c r="K101" s="504"/>
      <c r="L101" s="262"/>
    </row>
    <row r="102" spans="1:12" ht="12.75" hidden="1" outlineLevel="1">
      <c r="A102" s="1675"/>
      <c r="B102" s="8"/>
      <c r="C102" s="8"/>
      <c r="D102" s="1418" t="s">
        <v>16241</v>
      </c>
      <c r="E102" s="1244">
        <v>1</v>
      </c>
      <c r="F102" s="1244">
        <v>0.15</v>
      </c>
      <c r="G102" s="1244"/>
      <c r="H102" s="1244">
        <v>3</v>
      </c>
      <c r="I102" s="1409">
        <f>((F102*2)+E102)*H102</f>
        <v>3.9000000000000004</v>
      </c>
      <c r="J102" s="110"/>
      <c r="K102" s="504"/>
      <c r="L102" s="262"/>
    </row>
    <row r="103" spans="1:12" ht="12.75" hidden="1" outlineLevel="1">
      <c r="A103" s="1675"/>
      <c r="B103" s="8"/>
      <c r="C103" s="8"/>
      <c r="D103" s="1418" t="s">
        <v>16495</v>
      </c>
      <c r="E103" s="1244">
        <v>0.8</v>
      </c>
      <c r="F103" s="1244">
        <v>0.1</v>
      </c>
      <c r="G103" s="1244"/>
      <c r="H103" s="1244">
        <v>2</v>
      </c>
      <c r="I103" s="1409">
        <f>((F103*2)+E103)*H103</f>
        <v>2</v>
      </c>
      <c r="J103" s="110"/>
      <c r="K103" s="504"/>
      <c r="L103" s="262"/>
    </row>
    <row r="104" spans="1:12" ht="12.75" hidden="1" outlineLevel="1">
      <c r="A104" s="1675"/>
      <c r="B104" s="8"/>
      <c r="C104" s="8"/>
      <c r="D104" s="1418" t="s">
        <v>16496</v>
      </c>
      <c r="E104" s="1244">
        <v>0.9</v>
      </c>
      <c r="F104" s="1244">
        <v>0.1</v>
      </c>
      <c r="G104" s="1244"/>
      <c r="H104" s="1244">
        <v>2</v>
      </c>
      <c r="I104" s="1409">
        <f>((F104*2)+E104)*H104</f>
        <v>2.2000000000000002</v>
      </c>
      <c r="J104" s="110"/>
      <c r="K104" s="504"/>
      <c r="L104" s="262"/>
    </row>
    <row r="105" spans="1:12" ht="12.75" hidden="1" outlineLevel="1">
      <c r="A105" s="1675"/>
      <c r="B105" s="8"/>
      <c r="C105" s="8"/>
      <c r="D105" s="1422" t="s">
        <v>16497</v>
      </c>
      <c r="E105" s="1248">
        <v>0.9</v>
      </c>
      <c r="F105" s="1248">
        <v>0.1</v>
      </c>
      <c r="G105" s="1248"/>
      <c r="H105" s="1248">
        <v>1</v>
      </c>
      <c r="I105" s="1281">
        <f>((F105*2)+E105)*H105</f>
        <v>1.1000000000000001</v>
      </c>
      <c r="J105" s="110"/>
      <c r="K105" s="504"/>
      <c r="L105" s="262"/>
    </row>
    <row r="106" spans="1:12" ht="12.75" hidden="1" outlineLevel="1">
      <c r="A106" s="247"/>
      <c r="B106" s="8"/>
      <c r="C106" s="8"/>
      <c r="D106" s="253"/>
      <c r="E106" s="1244"/>
      <c r="F106" s="1244"/>
      <c r="G106" s="1244"/>
      <c r="H106" s="1244"/>
      <c r="I106" s="1409"/>
      <c r="J106" s="110"/>
      <c r="K106" s="504"/>
      <c r="L106" s="262"/>
    </row>
    <row r="107" spans="1:12" ht="23.25" outlineLevel="1">
      <c r="A107" s="1385" t="s">
        <v>13771</v>
      </c>
      <c r="B107" s="559">
        <v>105038</v>
      </c>
      <c r="C107" s="559" t="s">
        <v>14476</v>
      </c>
      <c r="D107" s="658" t="str">
        <f>IFERROR(VLOOKUP($B107,'24.08_ND'!$A$4833:$D$12369,2,0),IFERROR(VLOOKUP($B107,'03-CP'!$C$5:$H$4646,2,0),""))</f>
        <v>CONTRAVERGA PRÉ-FABRICADA, ESPESSURA DE *20* CM. AF_03/2024</v>
      </c>
      <c r="E107" s="1318" t="str">
        <f>IFERROR(VLOOKUP($B107,'24.08_ND'!$A:$D,3,0),IFERROR(VLOOKUP($B107,'03-CP'!$C$5:$H$4646,3,0),""))</f>
        <v>M</v>
      </c>
      <c r="F107" s="1671">
        <f>SUM(I109:I110)</f>
        <v>15.299999999999999</v>
      </c>
      <c r="G107" s="1387"/>
      <c r="H107" s="1387"/>
      <c r="I107" s="1388"/>
      <c r="J107" s="1672" t="s">
        <v>16387</v>
      </c>
      <c r="K107" s="504"/>
      <c r="L107" s="262"/>
    </row>
    <row r="108" spans="1:12" ht="25.5" hidden="1" outlineLevel="1">
      <c r="A108" s="247"/>
      <c r="B108" s="1410"/>
      <c r="C108" s="1410"/>
      <c r="D108" s="1435" t="s">
        <v>16404</v>
      </c>
      <c r="E108" s="1391" t="s">
        <v>16237</v>
      </c>
      <c r="F108" s="1392" t="s">
        <v>16238</v>
      </c>
      <c r="G108" s="1391" t="s">
        <v>16239</v>
      </c>
      <c r="H108" s="1392" t="s">
        <v>16234</v>
      </c>
      <c r="I108" s="1393" t="s">
        <v>12615</v>
      </c>
      <c r="J108" s="110"/>
      <c r="K108" s="504"/>
      <c r="L108" s="262"/>
    </row>
    <row r="109" spans="1:12" ht="12.75" hidden="1" outlineLevel="1">
      <c r="A109" s="247"/>
      <c r="B109" s="8"/>
      <c r="C109" s="8"/>
      <c r="D109" s="1418" t="s">
        <v>16240</v>
      </c>
      <c r="E109" s="691">
        <v>1.5</v>
      </c>
      <c r="F109" s="691">
        <v>0.45</v>
      </c>
      <c r="G109" s="1244"/>
      <c r="H109" s="1244">
        <v>4</v>
      </c>
      <c r="I109" s="1409">
        <f>((F109*2)+E109)*H109</f>
        <v>9.6</v>
      </c>
      <c r="J109" s="110"/>
      <c r="K109" s="504"/>
      <c r="L109" s="262"/>
    </row>
    <row r="110" spans="1:12" ht="12.75" hidden="1" outlineLevel="1">
      <c r="A110" s="247"/>
      <c r="B110" s="8"/>
      <c r="C110" s="8"/>
      <c r="D110" s="1427" t="s">
        <v>16241</v>
      </c>
      <c r="E110" s="1395">
        <v>1</v>
      </c>
      <c r="F110" s="1396">
        <v>0.45</v>
      </c>
      <c r="G110" s="1395"/>
      <c r="H110" s="1396">
        <v>3</v>
      </c>
      <c r="I110" s="1281">
        <f>((F110*2)+E110)*H110</f>
        <v>5.6999999999999993</v>
      </c>
      <c r="J110" s="110"/>
      <c r="K110" s="504"/>
      <c r="L110" s="262"/>
    </row>
    <row r="111" spans="1:12" ht="12.75" hidden="1" outlineLevel="1">
      <c r="A111" s="247"/>
      <c r="B111" s="8"/>
      <c r="C111" s="8"/>
      <c r="D111" s="253"/>
      <c r="E111" s="1244"/>
      <c r="F111" s="1244"/>
      <c r="G111" s="1244"/>
      <c r="H111" s="1244"/>
      <c r="I111" s="1409"/>
      <c r="J111" s="110"/>
      <c r="K111" s="504"/>
      <c r="L111" s="262"/>
    </row>
    <row r="112" spans="1:12" ht="12.75">
      <c r="A112" s="246" t="s">
        <v>13772</v>
      </c>
      <c r="B112" s="1378"/>
      <c r="C112" s="1378"/>
      <c r="D112" s="1379" t="s">
        <v>16251</v>
      </c>
      <c r="E112" s="1380"/>
      <c r="F112" s="1381"/>
      <c r="G112" s="1380"/>
      <c r="H112" s="1381"/>
      <c r="I112" s="1382"/>
      <c r="J112" s="110"/>
      <c r="K112" s="1588"/>
      <c r="L112" s="262"/>
    </row>
    <row r="113" spans="1:12" ht="38.25" outlineLevel="1">
      <c r="A113" s="1423" t="s">
        <v>13773</v>
      </c>
      <c r="B113" s="559">
        <v>87879</v>
      </c>
      <c r="C113" s="559" t="s">
        <v>14476</v>
      </c>
      <c r="D113" s="658" t="str">
        <f>IFERROR(VLOOKUP($B113,'24.08_ND'!$A$4833:$D$12369,2,0),IFERROR(VLOOKUP($B113,'03-CP'!$C$5:$H$4646,2,0),""))</f>
        <v>CHAPISCO APLICADO EM ALVENARIAS E ESTRUTURAS DE CONCRETO INTERNAS, COM COLHER DE PEDREIRO.  ARGAMASSA TRAÇO 1:3 COM PREPARO EM BETONEIRA 400L. AF_10/2022</v>
      </c>
      <c r="E113" s="1318" t="str">
        <f>IFERROR(VLOOKUP($B113,'24.08_ND'!$A:$D,3,0),IFERROR(VLOOKUP($B113,'03-CP'!$C$5:$H$4646,3,0),""))</f>
        <v>M2</v>
      </c>
      <c r="F113" s="1671">
        <f>SUM(I115:I123)</f>
        <v>601.61999999999989</v>
      </c>
      <c r="G113" s="1387"/>
      <c r="H113" s="1387"/>
      <c r="I113" s="1388"/>
      <c r="J113" s="1672" t="s">
        <v>16387</v>
      </c>
      <c r="K113" s="504"/>
      <c r="L113" s="262"/>
    </row>
    <row r="114" spans="1:12" ht="25.5" hidden="1" outlineLevel="1">
      <c r="A114" s="450"/>
      <c r="B114" s="386"/>
      <c r="C114" s="386"/>
      <c r="D114" s="1435" t="s">
        <v>16404</v>
      </c>
      <c r="E114" s="1240" t="s">
        <v>16231</v>
      </c>
      <c r="F114" s="1425" t="s">
        <v>16232</v>
      </c>
      <c r="G114" s="1391" t="s">
        <v>16233</v>
      </c>
      <c r="H114" s="1240" t="s">
        <v>16498</v>
      </c>
      <c r="I114" s="1426" t="s">
        <v>12615</v>
      </c>
      <c r="J114" s="110"/>
      <c r="K114" s="504"/>
      <c r="L114" s="262"/>
    </row>
    <row r="115" spans="1:12" ht="12.75" hidden="1" outlineLevel="1">
      <c r="A115" s="450"/>
      <c r="B115" s="386"/>
      <c r="C115" s="386"/>
      <c r="D115" s="1419" t="s">
        <v>16499</v>
      </c>
      <c r="E115" s="1420">
        <v>28.74</v>
      </c>
      <c r="F115" s="1421">
        <v>2</v>
      </c>
      <c r="G115" s="1420">
        <v>114.96</v>
      </c>
      <c r="H115" s="1421">
        <v>0</v>
      </c>
      <c r="I115" s="1429">
        <f>G115-H115</f>
        <v>114.96</v>
      </c>
      <c r="J115" s="110"/>
      <c r="K115" s="504"/>
      <c r="L115" s="262"/>
    </row>
    <row r="116" spans="1:12" ht="12.75" hidden="1" outlineLevel="1">
      <c r="A116" s="450"/>
      <c r="B116" s="386"/>
      <c r="C116" s="386"/>
      <c r="D116" s="1419" t="s">
        <v>16500</v>
      </c>
      <c r="E116" s="1420">
        <v>37.869999999999997</v>
      </c>
      <c r="F116" s="1421">
        <v>1</v>
      </c>
      <c r="G116" s="1420">
        <v>75.739999999999995</v>
      </c>
      <c r="H116" s="1421">
        <v>0</v>
      </c>
      <c r="I116" s="1429">
        <f>G116-H116</f>
        <v>75.739999999999995</v>
      </c>
      <c r="J116" s="110"/>
      <c r="K116" s="504"/>
      <c r="L116" s="262"/>
    </row>
    <row r="117" spans="1:12" ht="12.75" hidden="1" outlineLevel="1">
      <c r="A117" s="450"/>
      <c r="B117" s="386"/>
      <c r="C117" s="386"/>
      <c r="D117" s="1419" t="s">
        <v>16501</v>
      </c>
      <c r="E117" s="1420">
        <v>55.46</v>
      </c>
      <c r="F117" s="1421">
        <v>3.2</v>
      </c>
      <c r="G117" s="1420">
        <v>177.47</v>
      </c>
      <c r="H117" s="1421">
        <v>14.43</v>
      </c>
      <c r="I117" s="1429">
        <f>G117-H117</f>
        <v>163.04</v>
      </c>
      <c r="J117" s="110"/>
      <c r="K117" s="504"/>
      <c r="L117" s="262"/>
    </row>
    <row r="118" spans="1:12" ht="12.75" hidden="1" outlineLevel="1">
      <c r="A118" s="450"/>
      <c r="B118" s="386"/>
      <c r="C118" s="386"/>
      <c r="D118" s="1419" t="s">
        <v>16494</v>
      </c>
      <c r="E118" s="1420">
        <v>6.24</v>
      </c>
      <c r="F118" s="1421">
        <v>3.2</v>
      </c>
      <c r="G118" s="1420">
        <v>19.97</v>
      </c>
      <c r="H118" s="1421">
        <v>0</v>
      </c>
      <c r="I118" s="1429">
        <f>G118-H118</f>
        <v>19.97</v>
      </c>
      <c r="J118" s="110"/>
      <c r="K118" s="504"/>
      <c r="L118" s="262"/>
    </row>
    <row r="119" spans="1:12" ht="12.75" hidden="1" outlineLevel="1">
      <c r="A119" s="450"/>
      <c r="B119" s="386"/>
      <c r="C119" s="386"/>
      <c r="D119" s="1419" t="s">
        <v>16502</v>
      </c>
      <c r="E119" s="1420">
        <v>30.38</v>
      </c>
      <c r="F119" s="1421">
        <v>2.75</v>
      </c>
      <c r="G119" s="1420">
        <v>83.55</v>
      </c>
      <c r="H119" s="1421">
        <v>3.48</v>
      </c>
      <c r="I119" s="1429">
        <v>80.069999999999993</v>
      </c>
      <c r="J119" s="110"/>
      <c r="K119" s="504"/>
      <c r="L119" s="262"/>
    </row>
    <row r="120" spans="1:12" ht="12.75" hidden="1" outlineLevel="1">
      <c r="A120" s="450"/>
      <c r="B120" s="386"/>
      <c r="C120" s="386"/>
      <c r="D120" s="1419" t="s">
        <v>16503</v>
      </c>
      <c r="E120" s="1420">
        <v>32.94</v>
      </c>
      <c r="F120" s="1421">
        <v>2.75</v>
      </c>
      <c r="G120" s="1420">
        <v>90.59</v>
      </c>
      <c r="H120" s="1421">
        <v>3.48</v>
      </c>
      <c r="I120" s="1429">
        <v>87.11</v>
      </c>
      <c r="J120" s="110"/>
      <c r="K120" s="504"/>
      <c r="L120" s="262"/>
    </row>
    <row r="121" spans="1:12" ht="12.75" hidden="1" outlineLevel="1">
      <c r="A121" s="247"/>
      <c r="B121" s="386"/>
      <c r="C121" s="386"/>
      <c r="D121" s="1419" t="s">
        <v>16504</v>
      </c>
      <c r="E121" s="1420">
        <v>8.1999999999999993</v>
      </c>
      <c r="F121" s="1421">
        <v>2.75</v>
      </c>
      <c r="G121" s="1420">
        <v>22.55</v>
      </c>
      <c r="H121" s="1421">
        <v>2.4900000000000002</v>
      </c>
      <c r="I121" s="1429">
        <v>20.059999999999999</v>
      </c>
      <c r="J121" s="110"/>
      <c r="K121" s="504"/>
      <c r="L121" s="262"/>
    </row>
    <row r="122" spans="1:12" ht="12.75" hidden="1" outlineLevel="1">
      <c r="A122" s="247"/>
      <c r="B122" s="386"/>
      <c r="C122" s="386"/>
      <c r="D122" s="1419" t="s">
        <v>16505</v>
      </c>
      <c r="E122" s="1420">
        <v>8.1999999999999993</v>
      </c>
      <c r="F122" s="1421">
        <v>2.75</v>
      </c>
      <c r="G122" s="1420">
        <v>22.55</v>
      </c>
      <c r="H122" s="1421">
        <v>2.4900000000000002</v>
      </c>
      <c r="I122" s="1429">
        <v>20.059999999999999</v>
      </c>
      <c r="J122" s="110"/>
      <c r="K122" s="504"/>
      <c r="L122" s="262"/>
    </row>
    <row r="123" spans="1:12" ht="12.75" hidden="1" outlineLevel="1">
      <c r="A123" s="247"/>
      <c r="B123" s="386"/>
      <c r="C123" s="386"/>
      <c r="D123" s="1427" t="s">
        <v>16506</v>
      </c>
      <c r="E123" s="1395">
        <v>8.4</v>
      </c>
      <c r="F123" s="1396">
        <v>2.75</v>
      </c>
      <c r="G123" s="1395">
        <v>23.1</v>
      </c>
      <c r="H123" s="1396">
        <v>2.4900000000000002</v>
      </c>
      <c r="I123" s="1397">
        <v>20.61</v>
      </c>
      <c r="J123" s="110"/>
      <c r="K123" s="504"/>
      <c r="L123" s="262"/>
    </row>
    <row r="124" spans="1:12" ht="12.75" hidden="1" outlineLevel="1">
      <c r="A124" s="247"/>
      <c r="B124" s="386"/>
      <c r="C124" s="386"/>
      <c r="D124" s="1428"/>
      <c r="E124" s="1420"/>
      <c r="F124" s="1421"/>
      <c r="G124" s="1420"/>
      <c r="H124" s="1421"/>
      <c r="I124" s="1429"/>
      <c r="J124" s="110"/>
      <c r="K124" s="504"/>
      <c r="L124" s="262"/>
    </row>
    <row r="125" spans="1:12" ht="38.25" outlineLevel="1">
      <c r="A125" s="1423" t="s">
        <v>13774</v>
      </c>
      <c r="B125" s="295">
        <v>87775</v>
      </c>
      <c r="C125" s="559" t="s">
        <v>14476</v>
      </c>
      <c r="D125" s="658" t="str">
        <f>IFERROR(VLOOKUP($B125,'24.08_ND'!$A$4833:$D$12369,2,0),IFERROR(VLOOKUP($B125,'03-CP'!$C$5:$H$4646,2,0),""))</f>
        <v>EMBOÇO OU MASSA ÚNICA EM ARGAMASSA TRAÇO 1:2:8, PREPARO MECÂNICO COM BETONEIRA 400 L, APLICADA MANUALMENTE EM PANOS DE FACHADA COM PRESENÇA DE VÃOS, ESPESSURA DE 25 MM. AF_08/2022</v>
      </c>
      <c r="E125" s="1318" t="str">
        <f>IFERROR(VLOOKUP($B125,'24.08_ND'!$A:$D,3,0),IFERROR(VLOOKUP($B125,'03-CP'!$C$5:$H$4646,3,0),""))</f>
        <v>M2</v>
      </c>
      <c r="F125" s="1671">
        <f>SUM(I127:I135)</f>
        <v>601.61999999999989</v>
      </c>
      <c r="G125" s="1387"/>
      <c r="H125" s="1387"/>
      <c r="I125" s="1388"/>
      <c r="J125" s="1672" t="s">
        <v>16387</v>
      </c>
      <c r="K125" s="504"/>
      <c r="L125" s="262"/>
    </row>
    <row r="126" spans="1:12" ht="25.5" hidden="1" outlineLevel="1">
      <c r="A126" s="247"/>
      <c r="B126" s="386"/>
      <c r="C126" s="386"/>
      <c r="D126" s="1435" t="s">
        <v>16404</v>
      </c>
      <c r="E126" s="1240" t="s">
        <v>16231</v>
      </c>
      <c r="F126" s="1425" t="s">
        <v>16232</v>
      </c>
      <c r="G126" s="1391" t="s">
        <v>16233</v>
      </c>
      <c r="H126" s="1240" t="s">
        <v>16498</v>
      </c>
      <c r="I126" s="1426" t="s">
        <v>12615</v>
      </c>
      <c r="J126" s="110"/>
      <c r="K126" s="504"/>
      <c r="L126" s="262"/>
    </row>
    <row r="127" spans="1:12" ht="12.75" hidden="1" outlineLevel="1">
      <c r="A127" s="247"/>
      <c r="B127" s="386"/>
      <c r="C127" s="386"/>
      <c r="D127" s="1419" t="s">
        <v>16499</v>
      </c>
      <c r="E127" s="1420">
        <v>28.74</v>
      </c>
      <c r="F127" s="1421">
        <v>2</v>
      </c>
      <c r="G127" s="1420">
        <v>114.96</v>
      </c>
      <c r="H127" s="1421">
        <v>0</v>
      </c>
      <c r="I127" s="1429">
        <f>G127-H127</f>
        <v>114.96</v>
      </c>
      <c r="J127" s="110"/>
      <c r="K127" s="504"/>
      <c r="L127" s="262"/>
    </row>
    <row r="128" spans="1:12" ht="12.75" hidden="1" outlineLevel="1">
      <c r="A128" s="247"/>
      <c r="B128" s="386"/>
      <c r="C128" s="386"/>
      <c r="D128" s="1419" t="s">
        <v>16500</v>
      </c>
      <c r="E128" s="1420">
        <v>37.869999999999997</v>
      </c>
      <c r="F128" s="1421">
        <v>1</v>
      </c>
      <c r="G128" s="1420">
        <v>75.739999999999995</v>
      </c>
      <c r="H128" s="1421">
        <v>0</v>
      </c>
      <c r="I128" s="1429">
        <f>G128-H128</f>
        <v>75.739999999999995</v>
      </c>
      <c r="J128" s="110"/>
      <c r="K128" s="504"/>
      <c r="L128" s="262"/>
    </row>
    <row r="129" spans="1:12" ht="12.75" hidden="1" outlineLevel="1">
      <c r="A129" s="247"/>
      <c r="B129" s="386"/>
      <c r="C129" s="386"/>
      <c r="D129" s="1419" t="s">
        <v>16501</v>
      </c>
      <c r="E129" s="1420">
        <v>55.46</v>
      </c>
      <c r="F129" s="1421">
        <v>3.2</v>
      </c>
      <c r="G129" s="1420">
        <v>177.47</v>
      </c>
      <c r="H129" s="1421">
        <v>14.43</v>
      </c>
      <c r="I129" s="1429">
        <f>G129-H129</f>
        <v>163.04</v>
      </c>
      <c r="J129" s="110"/>
      <c r="K129" s="504"/>
      <c r="L129" s="262"/>
    </row>
    <row r="130" spans="1:12" ht="12.75" hidden="1" outlineLevel="1">
      <c r="A130" s="247"/>
      <c r="B130" s="386"/>
      <c r="C130" s="386"/>
      <c r="D130" s="1419" t="s">
        <v>16494</v>
      </c>
      <c r="E130" s="1420">
        <v>6.24</v>
      </c>
      <c r="F130" s="1421">
        <v>3.2</v>
      </c>
      <c r="G130" s="1420">
        <v>19.97</v>
      </c>
      <c r="H130" s="1421">
        <v>0</v>
      </c>
      <c r="I130" s="1429">
        <f>G130-H130</f>
        <v>19.97</v>
      </c>
      <c r="J130" s="110"/>
      <c r="K130" s="504"/>
      <c r="L130" s="262"/>
    </row>
    <row r="131" spans="1:12" ht="12.75" hidden="1" outlineLevel="1">
      <c r="A131" s="247"/>
      <c r="B131" s="386"/>
      <c r="C131" s="386"/>
      <c r="D131" s="1419" t="s">
        <v>16502</v>
      </c>
      <c r="E131" s="1420">
        <v>30.38</v>
      </c>
      <c r="F131" s="1421">
        <v>2.75</v>
      </c>
      <c r="G131" s="1420">
        <v>83.55</v>
      </c>
      <c r="H131" s="1421">
        <v>3.48</v>
      </c>
      <c r="I131" s="1429">
        <v>80.069999999999993</v>
      </c>
      <c r="J131" s="110"/>
      <c r="K131" s="504"/>
      <c r="L131" s="262"/>
    </row>
    <row r="132" spans="1:12" ht="12.75" hidden="1" outlineLevel="1">
      <c r="A132" s="247"/>
      <c r="B132" s="386"/>
      <c r="C132" s="386"/>
      <c r="D132" s="1419" t="s">
        <v>16503</v>
      </c>
      <c r="E132" s="1420">
        <v>32.94</v>
      </c>
      <c r="F132" s="1421">
        <v>2.75</v>
      </c>
      <c r="G132" s="1420">
        <v>90.59</v>
      </c>
      <c r="H132" s="1421">
        <v>3.48</v>
      </c>
      <c r="I132" s="1429">
        <v>87.11</v>
      </c>
      <c r="J132" s="110"/>
      <c r="K132" s="504"/>
      <c r="L132" s="262"/>
    </row>
    <row r="133" spans="1:12" ht="12.75" hidden="1" outlineLevel="1">
      <c r="A133" s="247"/>
      <c r="B133" s="386"/>
      <c r="C133" s="386"/>
      <c r="D133" s="1419" t="s">
        <v>16504</v>
      </c>
      <c r="E133" s="1420">
        <v>8.1999999999999993</v>
      </c>
      <c r="F133" s="1421">
        <v>2.75</v>
      </c>
      <c r="G133" s="1420">
        <v>22.55</v>
      </c>
      <c r="H133" s="1421">
        <v>2.4900000000000002</v>
      </c>
      <c r="I133" s="1429">
        <v>20.059999999999999</v>
      </c>
      <c r="J133" s="110"/>
      <c r="K133" s="504"/>
      <c r="L133" s="262"/>
    </row>
    <row r="134" spans="1:12" ht="12.75" hidden="1" outlineLevel="1">
      <c r="A134" s="247"/>
      <c r="B134" s="386"/>
      <c r="C134" s="386"/>
      <c r="D134" s="1419" t="s">
        <v>16505</v>
      </c>
      <c r="E134" s="1420">
        <v>8.1999999999999993</v>
      </c>
      <c r="F134" s="1421">
        <v>2.75</v>
      </c>
      <c r="G134" s="1420">
        <v>22.55</v>
      </c>
      <c r="H134" s="1421">
        <v>2.4900000000000002</v>
      </c>
      <c r="I134" s="1429">
        <v>20.059999999999999</v>
      </c>
      <c r="J134" s="110"/>
      <c r="K134" s="504"/>
      <c r="L134" s="262"/>
    </row>
    <row r="135" spans="1:12" ht="12.75" hidden="1" outlineLevel="1">
      <c r="A135" s="247"/>
      <c r="B135" s="386"/>
      <c r="C135" s="386"/>
      <c r="D135" s="1427" t="s">
        <v>16506</v>
      </c>
      <c r="E135" s="1395">
        <v>8.4</v>
      </c>
      <c r="F135" s="1396">
        <v>2.75</v>
      </c>
      <c r="G135" s="1395">
        <v>23.1</v>
      </c>
      <c r="H135" s="1396">
        <v>2.4900000000000002</v>
      </c>
      <c r="I135" s="1397">
        <v>20.61</v>
      </c>
      <c r="J135" s="110"/>
      <c r="K135" s="504"/>
      <c r="L135" s="262"/>
    </row>
    <row r="136" spans="1:12" ht="25.5" outlineLevel="1">
      <c r="A136" s="1423" t="s">
        <v>13775</v>
      </c>
      <c r="B136" s="295">
        <v>98555</v>
      </c>
      <c r="C136" s="559" t="s">
        <v>14476</v>
      </c>
      <c r="D136" s="658" t="str">
        <f>IFERROR(VLOOKUP($B136,'24.08_ND'!$A$4833:$D$12369,2,0),IFERROR(VLOOKUP($B136,'03-CP'!$C$5:$H$4646,2,0),""))</f>
        <v>IMPERMEABILIZAÇÃO DE SUPERFÍCIE COM ARGAMASSA POLIMÉRICA / MEMBRANA ACRÍLICA, 3 DEMÃOS. AF_09/2023</v>
      </c>
      <c r="E136" s="1318" t="str">
        <f>IFERROR(VLOOKUP($B136,'24.08_ND'!$A:$D,3,0),IFERROR(VLOOKUP($B136,'03-CP'!$C$5:$H$4646,3,0),""))</f>
        <v>M2</v>
      </c>
      <c r="F136" s="1671">
        <f>SUM(I138:I142)</f>
        <v>88.12</v>
      </c>
      <c r="G136" s="1387"/>
      <c r="H136" s="1387"/>
      <c r="I136" s="1388"/>
      <c r="J136" s="1672" t="s">
        <v>16387</v>
      </c>
      <c r="K136" s="1676"/>
      <c r="L136" s="262"/>
    </row>
    <row r="137" spans="1:12" ht="25.5" hidden="1" outlineLevel="1">
      <c r="A137" s="1124"/>
      <c r="B137" s="4"/>
      <c r="C137" s="4"/>
      <c r="D137" s="1435" t="s">
        <v>16404</v>
      </c>
      <c r="E137" s="1240" t="s">
        <v>16231</v>
      </c>
      <c r="F137" s="1425" t="s">
        <v>16232</v>
      </c>
      <c r="G137" s="1391" t="s">
        <v>16233</v>
      </c>
      <c r="H137" s="1240" t="s">
        <v>16498</v>
      </c>
      <c r="I137" s="1426" t="s">
        <v>12615</v>
      </c>
      <c r="J137" s="110"/>
      <c r="K137" s="504"/>
      <c r="L137" s="262"/>
    </row>
    <row r="138" spans="1:12" ht="12.75" hidden="1" outlineLevel="1">
      <c r="A138" s="1124"/>
      <c r="B138" s="4"/>
      <c r="C138" s="4"/>
      <c r="D138" s="1419" t="s">
        <v>16507</v>
      </c>
      <c r="E138" s="1420">
        <v>30.38</v>
      </c>
      <c r="F138" s="1421">
        <v>1</v>
      </c>
      <c r="G138" s="1420">
        <v>30.38</v>
      </c>
      <c r="H138" s="1421"/>
      <c r="I138" s="1429">
        <v>30.38</v>
      </c>
      <c r="J138" s="110"/>
      <c r="K138" s="504"/>
      <c r="L138" s="262"/>
    </row>
    <row r="139" spans="1:12" ht="12.75" hidden="1" outlineLevel="1">
      <c r="A139" s="1124"/>
      <c r="B139" s="4"/>
      <c r="C139" s="4"/>
      <c r="D139" s="1419" t="s">
        <v>16503</v>
      </c>
      <c r="E139" s="1420">
        <v>32.94</v>
      </c>
      <c r="F139" s="1421">
        <v>1</v>
      </c>
      <c r="G139" s="1420">
        <v>32.94</v>
      </c>
      <c r="H139" s="1421"/>
      <c r="I139" s="1429">
        <v>32.94</v>
      </c>
      <c r="J139" s="110"/>
      <c r="K139" s="504"/>
      <c r="L139" s="262"/>
    </row>
    <row r="140" spans="1:12" ht="12.75" hidden="1" outlineLevel="1">
      <c r="A140" s="1124"/>
      <c r="B140" s="4"/>
      <c r="C140" s="4"/>
      <c r="D140" s="1419" t="s">
        <v>16504</v>
      </c>
      <c r="E140" s="1420">
        <v>8.1999999999999993</v>
      </c>
      <c r="F140" s="1421">
        <v>1</v>
      </c>
      <c r="G140" s="1420">
        <v>8.1999999999999993</v>
      </c>
      <c r="H140" s="1421"/>
      <c r="I140" s="1429">
        <v>8.1999999999999993</v>
      </c>
      <c r="J140" s="110"/>
      <c r="K140" s="504"/>
      <c r="L140" s="262"/>
    </row>
    <row r="141" spans="1:12" ht="12.75" hidden="1" outlineLevel="1">
      <c r="A141" s="1124"/>
      <c r="B141" s="4"/>
      <c r="C141" s="4"/>
      <c r="D141" s="1419" t="s">
        <v>16505</v>
      </c>
      <c r="E141" s="1420">
        <v>8.1999999999999993</v>
      </c>
      <c r="F141" s="1421">
        <v>1</v>
      </c>
      <c r="G141" s="1420">
        <v>8.1999999999999993</v>
      </c>
      <c r="H141" s="1421"/>
      <c r="I141" s="1429">
        <v>8.1999999999999993</v>
      </c>
      <c r="J141" s="110"/>
      <c r="K141" s="504"/>
      <c r="L141" s="262"/>
    </row>
    <row r="142" spans="1:12" ht="12.75" hidden="1" outlineLevel="1">
      <c r="A142" s="1124"/>
      <c r="B142" s="4"/>
      <c r="C142" s="4"/>
      <c r="D142" s="1427" t="s">
        <v>16506</v>
      </c>
      <c r="E142" s="1395">
        <v>8.4</v>
      </c>
      <c r="F142" s="1396">
        <v>1</v>
      </c>
      <c r="G142" s="1395">
        <v>8.4</v>
      </c>
      <c r="H142" s="1396"/>
      <c r="I142" s="1397">
        <v>8.4</v>
      </c>
      <c r="J142" s="110"/>
      <c r="K142" s="504"/>
      <c r="L142" s="262"/>
    </row>
    <row r="143" spans="1:12" ht="12.75" hidden="1" outlineLevel="1">
      <c r="A143" s="1124"/>
      <c r="B143" s="4"/>
      <c r="C143" s="4"/>
      <c r="D143" s="4"/>
      <c r="E143" s="4"/>
      <c r="F143" s="4"/>
      <c r="G143" s="4"/>
      <c r="H143" s="4"/>
      <c r="I143" s="1126"/>
      <c r="J143" s="110"/>
      <c r="K143" s="504"/>
      <c r="L143" s="262"/>
    </row>
    <row r="144" spans="1:12" ht="12.75">
      <c r="A144" s="246" t="s">
        <v>13776</v>
      </c>
      <c r="B144" s="1378"/>
      <c r="C144" s="1378"/>
      <c r="D144" s="1379" t="s">
        <v>16256</v>
      </c>
      <c r="E144" s="1380"/>
      <c r="F144" s="1381"/>
      <c r="G144" s="1380"/>
      <c r="H144" s="1381"/>
      <c r="I144" s="1382"/>
      <c r="J144" s="110"/>
      <c r="K144" s="504"/>
      <c r="L144" s="262"/>
    </row>
    <row r="145" spans="1:12" ht="38.25" outlineLevel="1">
      <c r="A145" s="1423" t="s">
        <v>13777</v>
      </c>
      <c r="B145" s="295" t="s">
        <v>14960</v>
      </c>
      <c r="C145" s="295" t="s">
        <v>14472</v>
      </c>
      <c r="D145" s="658" t="str">
        <f>IFERROR(VLOOKUP($B145,'24.08_ND'!$A$4833:$D$12369,2,0),IFERROR(VLOOKUP($B145,'03-CP'!$C$5:$H$4646,2,0),""))</f>
        <v>REVESTIMENTO CERÂMICO, TIPO PORCELANATO, ISEO GRIGIO, BIANCOGRES, RETIFICADO, DIMENSÕES 90X90CM (REJUNTE CINZA OUTONO) -  FORNECIMENTO E APLICAÇÃO</v>
      </c>
      <c r="E145" s="1318" t="str">
        <f>IFERROR(VLOOKUP($B145,'24.08_ND'!$A:$D,3,0),IFERROR(VLOOKUP($B145,'03-CP'!$C$5:$H$4646,3,0),""))</f>
        <v>M2</v>
      </c>
      <c r="F145" s="1671">
        <f>SUM(I147:I155)</f>
        <v>244.67000000000007</v>
      </c>
      <c r="G145" s="1387"/>
      <c r="H145" s="1387"/>
      <c r="I145" s="1388"/>
      <c r="J145" s="1672" t="s">
        <v>16387</v>
      </c>
      <c r="K145" s="504"/>
      <c r="L145" s="262"/>
    </row>
    <row r="146" spans="1:12" ht="25.5" hidden="1" outlineLevel="1">
      <c r="A146" s="450"/>
      <c r="B146" s="386"/>
      <c r="C146" s="386"/>
      <c r="D146" s="1435" t="s">
        <v>16508</v>
      </c>
      <c r="E146" s="1240" t="s">
        <v>16231</v>
      </c>
      <c r="F146" s="1425" t="s">
        <v>16232</v>
      </c>
      <c r="G146" s="1391" t="s">
        <v>16233</v>
      </c>
      <c r="H146" s="1240" t="s">
        <v>16498</v>
      </c>
      <c r="I146" s="1426" t="s">
        <v>12615</v>
      </c>
      <c r="J146" s="110"/>
      <c r="K146" s="504"/>
      <c r="L146" s="262"/>
    </row>
    <row r="147" spans="1:12" ht="12.75" hidden="1" outlineLevel="1">
      <c r="A147" s="450"/>
      <c r="B147" s="386"/>
      <c r="C147" s="386"/>
      <c r="D147" s="1418" t="s">
        <v>16502</v>
      </c>
      <c r="E147" s="1244">
        <v>30.38</v>
      </c>
      <c r="F147" s="389">
        <v>2.75</v>
      </c>
      <c r="G147" s="1244">
        <v>83.55</v>
      </c>
      <c r="H147" s="1244">
        <v>3.48</v>
      </c>
      <c r="I147" s="1409">
        <f t="shared" ref="I147:I155" si="0">G147-H147</f>
        <v>80.069999999999993</v>
      </c>
      <c r="J147" s="110"/>
      <c r="K147" s="504"/>
      <c r="L147" s="262"/>
    </row>
    <row r="148" spans="1:12" ht="12.75" hidden="1" outlineLevel="1">
      <c r="A148" s="247"/>
      <c r="B148" s="386"/>
      <c r="C148" s="386"/>
      <c r="D148" s="1418" t="s">
        <v>16503</v>
      </c>
      <c r="E148" s="1244">
        <v>32.94</v>
      </c>
      <c r="F148" s="389">
        <v>2.75</v>
      </c>
      <c r="G148" s="1244">
        <v>90.59</v>
      </c>
      <c r="H148" s="1244">
        <v>3.48</v>
      </c>
      <c r="I148" s="1409">
        <f t="shared" si="0"/>
        <v>87.11</v>
      </c>
      <c r="J148" s="110"/>
      <c r="K148" s="504"/>
      <c r="L148" s="262"/>
    </row>
    <row r="149" spans="1:12" ht="12.75" hidden="1" outlineLevel="1">
      <c r="A149" s="247"/>
      <c r="B149" s="386"/>
      <c r="C149" s="386"/>
      <c r="D149" s="1418" t="s">
        <v>16504</v>
      </c>
      <c r="E149" s="1244">
        <v>8.1999999999999993</v>
      </c>
      <c r="F149" s="389">
        <v>2.75</v>
      </c>
      <c r="G149" s="1244">
        <v>22.55</v>
      </c>
      <c r="H149" s="1244">
        <v>2.4900000000000002</v>
      </c>
      <c r="I149" s="1409">
        <f t="shared" si="0"/>
        <v>20.060000000000002</v>
      </c>
      <c r="J149" s="110"/>
      <c r="K149" s="504"/>
      <c r="L149" s="262"/>
    </row>
    <row r="150" spans="1:12" ht="12.75" hidden="1" outlineLevel="1">
      <c r="A150" s="247"/>
      <c r="B150" s="386"/>
      <c r="C150" s="386"/>
      <c r="D150" s="1418" t="s">
        <v>16505</v>
      </c>
      <c r="E150" s="1244">
        <v>8.1999999999999993</v>
      </c>
      <c r="F150" s="389">
        <v>2.75</v>
      </c>
      <c r="G150" s="1244">
        <v>22.55</v>
      </c>
      <c r="H150" s="1244">
        <v>2.4900000000000002</v>
      </c>
      <c r="I150" s="1409">
        <f t="shared" si="0"/>
        <v>20.060000000000002</v>
      </c>
      <c r="J150" s="110"/>
      <c r="K150" s="504"/>
      <c r="L150" s="262"/>
    </row>
    <row r="151" spans="1:12" ht="12.75" hidden="1" outlineLevel="1">
      <c r="A151" s="247"/>
      <c r="B151" s="386"/>
      <c r="C151" s="386"/>
      <c r="D151" s="1418" t="s">
        <v>16506</v>
      </c>
      <c r="E151" s="1244">
        <v>8.4</v>
      </c>
      <c r="F151" s="389">
        <v>2.75</v>
      </c>
      <c r="G151" s="1244">
        <v>23.1</v>
      </c>
      <c r="H151" s="1244">
        <v>2.4900000000000002</v>
      </c>
      <c r="I151" s="1409">
        <f t="shared" si="0"/>
        <v>20.61</v>
      </c>
      <c r="J151" s="110"/>
      <c r="K151" s="504"/>
      <c r="L151" s="262"/>
    </row>
    <row r="152" spans="1:12" ht="12.75" hidden="1" outlineLevel="1">
      <c r="A152" s="247"/>
      <c r="B152" s="386"/>
      <c r="C152" s="386"/>
      <c r="D152" s="1418" t="s">
        <v>16502</v>
      </c>
      <c r="E152" s="1244"/>
      <c r="F152" s="389"/>
      <c r="G152" s="1244">
        <v>6.49</v>
      </c>
      <c r="H152" s="1244"/>
      <c r="I152" s="1409">
        <f t="shared" si="0"/>
        <v>6.49</v>
      </c>
      <c r="J152" s="110"/>
      <c r="K152" s="504"/>
      <c r="L152" s="262"/>
    </row>
    <row r="153" spans="1:12" ht="12.75" hidden="1" outlineLevel="1">
      <c r="A153" s="247"/>
      <c r="B153" s="386"/>
      <c r="C153" s="386"/>
      <c r="D153" s="1418" t="s">
        <v>16503</v>
      </c>
      <c r="E153" s="1244"/>
      <c r="F153" s="389"/>
      <c r="G153" s="1244">
        <v>7.05</v>
      </c>
      <c r="H153" s="1244"/>
      <c r="I153" s="1409">
        <f t="shared" si="0"/>
        <v>7.05</v>
      </c>
      <c r="J153" s="110"/>
      <c r="K153" s="504"/>
      <c r="L153" s="262"/>
    </row>
    <row r="154" spans="1:12" ht="12.75" hidden="1" outlineLevel="1">
      <c r="A154" s="247"/>
      <c r="B154" s="386"/>
      <c r="C154" s="386"/>
      <c r="D154" s="1418" t="s">
        <v>16504</v>
      </c>
      <c r="E154" s="1244"/>
      <c r="F154" s="389"/>
      <c r="G154" s="1244">
        <v>1.61</v>
      </c>
      <c r="H154" s="1244"/>
      <c r="I154" s="1409">
        <f t="shared" si="0"/>
        <v>1.61</v>
      </c>
      <c r="J154" s="110"/>
      <c r="K154" s="504"/>
      <c r="L154" s="262"/>
    </row>
    <row r="155" spans="1:12" ht="12.75" hidden="1" outlineLevel="1">
      <c r="A155" s="247"/>
      <c r="B155" s="386"/>
      <c r="C155" s="386"/>
      <c r="D155" s="1422" t="s">
        <v>16505</v>
      </c>
      <c r="E155" s="1248"/>
      <c r="F155" s="1436"/>
      <c r="G155" s="1248">
        <v>1.61</v>
      </c>
      <c r="H155" s="1248"/>
      <c r="I155" s="1281">
        <f t="shared" si="0"/>
        <v>1.61</v>
      </c>
      <c r="J155" s="110"/>
      <c r="K155" s="504"/>
      <c r="L155" s="262"/>
    </row>
    <row r="156" spans="1:12" ht="12.75" hidden="1" outlineLevel="1">
      <c r="A156" s="247"/>
      <c r="B156" s="386"/>
      <c r="C156" s="386"/>
      <c r="D156" s="1428"/>
      <c r="E156" s="1420"/>
      <c r="F156" s="1421"/>
      <c r="G156" s="1420"/>
      <c r="H156" s="1421"/>
      <c r="I156" s="1429"/>
      <c r="J156" s="110"/>
      <c r="K156" s="504"/>
      <c r="L156" s="262"/>
    </row>
    <row r="157" spans="1:12" ht="25.5" outlineLevel="1">
      <c r="A157" s="1423" t="s">
        <v>13778</v>
      </c>
      <c r="B157" s="295" t="s">
        <v>14780</v>
      </c>
      <c r="C157" s="295" t="s">
        <v>14472</v>
      </c>
      <c r="D157" s="658" t="str">
        <f>IFERROR(VLOOKUP($B157,'24.08_ND'!$A$4833:$D$12369,2,0),IFERROR(VLOOKUP($B157,'03-CP'!$C$5:$H$4646,2,0),""))</f>
        <v>SOLEIRA/ RODAPÉ LINEAR EM GRANITO CINZA ANDORINHA LEVIGADO, L= 20 CM - FORNECIMENTO E ASSENTAMENTO</v>
      </c>
      <c r="E157" s="1318" t="str">
        <f>IFERROR(VLOOKUP($B157,'24.08_ND'!$A:$D,3,0),IFERROR(VLOOKUP($B157,'03-CP'!$C$5:$H$4646,3,0),""))</f>
        <v>M</v>
      </c>
      <c r="F157" s="1671">
        <f>SUM(I159)</f>
        <v>34.940000000000005</v>
      </c>
      <c r="G157" s="1387"/>
      <c r="H157" s="1387"/>
      <c r="I157" s="1388"/>
      <c r="J157" s="1672" t="s">
        <v>16387</v>
      </c>
      <c r="K157" s="504"/>
      <c r="L157" s="262"/>
    </row>
    <row r="158" spans="1:12" ht="12.75" hidden="1" outlineLevel="1">
      <c r="A158" s="1675"/>
      <c r="B158" s="110"/>
      <c r="C158" s="110"/>
      <c r="D158" s="1435" t="s">
        <v>16404</v>
      </c>
      <c r="E158" s="1240" t="s">
        <v>16252</v>
      </c>
      <c r="F158" s="1425" t="s">
        <v>16232</v>
      </c>
      <c r="G158" s="1391" t="s">
        <v>16233</v>
      </c>
      <c r="H158" s="1240" t="s">
        <v>16509</v>
      </c>
      <c r="I158" s="1426" t="s">
        <v>12615</v>
      </c>
      <c r="J158" s="110"/>
      <c r="K158" s="504"/>
      <c r="L158" s="262"/>
    </row>
    <row r="159" spans="1:12" ht="12.75" hidden="1" outlineLevel="1">
      <c r="A159" s="247"/>
      <c r="B159" s="386"/>
      <c r="C159" s="386"/>
      <c r="D159" s="1427" t="s">
        <v>16494</v>
      </c>
      <c r="E159" s="1395">
        <v>35.74</v>
      </c>
      <c r="F159" s="1396">
        <v>0.2</v>
      </c>
      <c r="G159" s="1395">
        <f>E159*F159</f>
        <v>7.1480000000000006</v>
      </c>
      <c r="H159" s="1396">
        <v>0.8</v>
      </c>
      <c r="I159" s="1281">
        <f>E159-H159</f>
        <v>34.940000000000005</v>
      </c>
      <c r="J159" s="110"/>
      <c r="K159" s="504"/>
      <c r="L159" s="262"/>
    </row>
    <row r="160" spans="1:12" ht="12.75" hidden="1" outlineLevel="1">
      <c r="A160" s="247"/>
      <c r="B160" s="386"/>
      <c r="C160" s="386"/>
      <c r="D160" s="253"/>
      <c r="E160" s="1244"/>
      <c r="F160" s="389"/>
      <c r="G160" s="1244"/>
      <c r="H160" s="1244"/>
      <c r="I160" s="1409"/>
      <c r="J160" s="110"/>
      <c r="K160" s="504"/>
      <c r="L160" s="262"/>
    </row>
    <row r="161" spans="1:12" ht="38.25" outlineLevel="1">
      <c r="A161" s="1423" t="s">
        <v>13779</v>
      </c>
      <c r="B161" s="295" t="s">
        <v>14746</v>
      </c>
      <c r="C161" s="295" t="s">
        <v>14472</v>
      </c>
      <c r="D161" s="658" t="str">
        <f>IFERROR(VLOOKUP($B161,'24.08_ND'!$A$4833:$D$12369,2,0),IFERROR(VLOOKUP($B161,'03-CP'!$C$5:$H$4646,2,0),""))</f>
        <v>REVESTIMENTO CERÂMICO, TIPO PORCELANATO, CEMENTO GRIGIO, BIANCOGRES, RETIFICADO, DIMENSÕES 90X90CM (REJUNTE CINZA OUTONO) -  FORNECIMENTO E APLICAÇÃO</v>
      </c>
      <c r="E161" s="1318" t="str">
        <f>IFERROR(VLOOKUP($B161,'24.08_ND'!$A:$D,3,0),IFERROR(VLOOKUP($B161,'03-CP'!$C$5:$H$4646,3,0),""))</f>
        <v>M2</v>
      </c>
      <c r="F161" s="1671">
        <f>SUM(I163:I168)</f>
        <v>126.75</v>
      </c>
      <c r="G161" s="1387"/>
      <c r="H161" s="1387"/>
      <c r="I161" s="1388"/>
      <c r="J161" s="1672" t="s">
        <v>16387</v>
      </c>
      <c r="K161" s="504"/>
      <c r="L161" s="262"/>
    </row>
    <row r="162" spans="1:12" ht="12.75" hidden="1" outlineLevel="1">
      <c r="A162" s="1675"/>
      <c r="B162" s="110"/>
      <c r="C162" s="110"/>
      <c r="D162" s="1390" t="s">
        <v>16510</v>
      </c>
      <c r="E162" s="1240" t="s">
        <v>16252</v>
      </c>
      <c r="F162" s="1425" t="s">
        <v>16232</v>
      </c>
      <c r="G162" s="1391" t="s">
        <v>16233</v>
      </c>
      <c r="H162" s="1240" t="s">
        <v>16234</v>
      </c>
      <c r="I162" s="1426" t="s">
        <v>12615</v>
      </c>
      <c r="J162" s="110"/>
      <c r="K162" s="504"/>
      <c r="L162" s="262"/>
    </row>
    <row r="163" spans="1:12" ht="12.75" hidden="1" outlineLevel="1">
      <c r="A163" s="247"/>
      <c r="B163" s="386"/>
      <c r="C163" s="386"/>
      <c r="D163" s="1418" t="s">
        <v>16502</v>
      </c>
      <c r="E163" s="1420"/>
      <c r="F163" s="1421"/>
      <c r="G163" s="1444">
        <v>25.75</v>
      </c>
      <c r="H163" s="1421"/>
      <c r="I163" s="1409">
        <f t="shared" ref="I163:I168" si="1">G163</f>
        <v>25.75</v>
      </c>
      <c r="J163" s="110"/>
      <c r="K163" s="504"/>
      <c r="L163" s="262"/>
    </row>
    <row r="164" spans="1:12" ht="12.75" hidden="1" outlineLevel="1">
      <c r="A164" s="247"/>
      <c r="B164" s="386"/>
      <c r="C164" s="386"/>
      <c r="D164" s="1418" t="s">
        <v>16503</v>
      </c>
      <c r="E164" s="1420"/>
      <c r="F164" s="1421"/>
      <c r="G164" s="1444">
        <v>32.340000000000003</v>
      </c>
      <c r="H164" s="1421"/>
      <c r="I164" s="1409">
        <f t="shared" si="1"/>
        <v>32.340000000000003</v>
      </c>
      <c r="J164" s="110"/>
      <c r="K164" s="504"/>
      <c r="L164" s="262"/>
    </row>
    <row r="165" spans="1:12" ht="12.75" hidden="1" outlineLevel="1">
      <c r="A165" s="247"/>
      <c r="B165" s="386"/>
      <c r="C165" s="386"/>
      <c r="D165" s="1418" t="s">
        <v>16504</v>
      </c>
      <c r="E165" s="1420"/>
      <c r="F165" s="1421"/>
      <c r="G165" s="1444">
        <v>2.3199999999999998</v>
      </c>
      <c r="H165" s="1421"/>
      <c r="I165" s="1409">
        <f t="shared" si="1"/>
        <v>2.3199999999999998</v>
      </c>
      <c r="J165" s="110"/>
      <c r="K165" s="504"/>
      <c r="L165" s="262"/>
    </row>
    <row r="166" spans="1:12" ht="12.75" hidden="1" outlineLevel="1">
      <c r="A166" s="247"/>
      <c r="B166" s="386"/>
      <c r="C166" s="386"/>
      <c r="D166" s="1418" t="s">
        <v>16505</v>
      </c>
      <c r="E166" s="1420"/>
      <c r="F166" s="1421"/>
      <c r="G166" s="1444">
        <v>2.3199999999999998</v>
      </c>
      <c r="H166" s="1421"/>
      <c r="I166" s="1409">
        <f t="shared" si="1"/>
        <v>2.3199999999999998</v>
      </c>
      <c r="J166" s="110"/>
      <c r="K166" s="504"/>
      <c r="L166" s="262"/>
    </row>
    <row r="167" spans="1:12" ht="12.75" hidden="1" outlineLevel="1">
      <c r="A167" s="247"/>
      <c r="B167" s="386"/>
      <c r="C167" s="386"/>
      <c r="D167" s="1418" t="s">
        <v>16506</v>
      </c>
      <c r="E167" s="1420"/>
      <c r="F167" s="1421"/>
      <c r="G167" s="1444">
        <v>4.1900000000000004</v>
      </c>
      <c r="H167" s="1421"/>
      <c r="I167" s="1409">
        <f t="shared" si="1"/>
        <v>4.1900000000000004</v>
      </c>
      <c r="J167" s="110"/>
      <c r="K167" s="504"/>
      <c r="L167" s="262"/>
    </row>
    <row r="168" spans="1:12" ht="12.75" hidden="1" outlineLevel="1">
      <c r="A168" s="247"/>
      <c r="B168" s="386"/>
      <c r="C168" s="386"/>
      <c r="D168" s="1422" t="s">
        <v>16494</v>
      </c>
      <c r="E168" s="1395"/>
      <c r="F168" s="1396"/>
      <c r="G168" s="1443">
        <v>59.83</v>
      </c>
      <c r="H168" s="1396"/>
      <c r="I168" s="1281">
        <f t="shared" si="1"/>
        <v>59.83</v>
      </c>
      <c r="J168" s="110"/>
      <c r="K168" s="504"/>
      <c r="L168" s="262"/>
    </row>
    <row r="169" spans="1:12" ht="12.75" hidden="1" outlineLevel="1">
      <c r="A169" s="247"/>
      <c r="B169" s="386"/>
      <c r="C169" s="386"/>
      <c r="D169" s="253"/>
      <c r="E169" s="1244"/>
      <c r="F169" s="389"/>
      <c r="G169" s="1244"/>
      <c r="H169" s="1244"/>
      <c r="I169" s="1409"/>
      <c r="J169" s="110"/>
      <c r="K169" s="504"/>
      <c r="L169" s="262"/>
    </row>
    <row r="170" spans="1:12" ht="12.75">
      <c r="A170" s="246" t="s">
        <v>13780</v>
      </c>
      <c r="B170" s="1677"/>
      <c r="C170" s="1677"/>
      <c r="D170" s="1451" t="s">
        <v>16267</v>
      </c>
      <c r="E170" s="1678"/>
      <c r="F170" s="1678"/>
      <c r="G170" s="1678"/>
      <c r="H170" s="1678"/>
      <c r="I170" s="1679"/>
      <c r="J170" s="110"/>
      <c r="K170" s="504"/>
      <c r="L170" s="262"/>
    </row>
    <row r="171" spans="1:12" ht="25.5" outlineLevel="1">
      <c r="A171" s="1563" t="s">
        <v>13781</v>
      </c>
      <c r="B171" s="384">
        <v>88485</v>
      </c>
      <c r="C171" s="384" t="s">
        <v>14476</v>
      </c>
      <c r="D171" s="596" t="str">
        <f>IFERROR(VLOOKUP($B171,'24.08_ND'!$A$4833:$D$12369,2,0),IFERROR(VLOOKUP($B171,'03-CP'!$C$5:$H$4646,2,0),""))</f>
        <v>FUNDO SELADOR ACRÍLICO, APLICAÇÃO MANUAL EM PAREDE, UMA DEMÃO. AF_04/2023</v>
      </c>
      <c r="E171" s="759" t="str">
        <f>IFERROR(VLOOKUP($B171,'24.08_ND'!$A:$D,3,0),IFERROR(VLOOKUP($B171,'03-CP'!$C$5:$H$4646,3,0),""))</f>
        <v>M2</v>
      </c>
      <c r="F171" s="1558">
        <f>SUM(I173:I176)</f>
        <v>373.71000000000004</v>
      </c>
      <c r="G171" s="1680"/>
      <c r="H171" s="1680"/>
      <c r="I171" s="1681"/>
      <c r="J171" s="1672" t="s">
        <v>16387</v>
      </c>
      <c r="K171" s="504"/>
      <c r="L171" s="262"/>
    </row>
    <row r="172" spans="1:12" ht="12.75" hidden="1" outlineLevel="1">
      <c r="A172" s="450"/>
      <c r="B172" s="4"/>
      <c r="C172" s="4"/>
      <c r="D172" s="1435" t="s">
        <v>16404</v>
      </c>
      <c r="E172" s="1456" t="s">
        <v>16252</v>
      </c>
      <c r="F172" s="1457" t="s">
        <v>16232</v>
      </c>
      <c r="G172" s="1456" t="s">
        <v>16233</v>
      </c>
      <c r="H172" s="1456" t="s">
        <v>16234</v>
      </c>
      <c r="I172" s="1458" t="s">
        <v>12615</v>
      </c>
      <c r="J172" s="110"/>
      <c r="K172" s="504"/>
      <c r="L172" s="262"/>
    </row>
    <row r="173" spans="1:12" ht="12.75" hidden="1" outlineLevel="1">
      <c r="A173" s="450"/>
      <c r="B173" s="4"/>
      <c r="C173" s="4"/>
      <c r="D173" s="1639" t="s">
        <v>16499</v>
      </c>
      <c r="E173" s="1545">
        <v>28.74</v>
      </c>
      <c r="F173" s="1545">
        <v>2</v>
      </c>
      <c r="G173" s="1640">
        <v>114.96</v>
      </c>
      <c r="H173" s="1545">
        <v>0</v>
      </c>
      <c r="I173" s="1642">
        <v>114.96</v>
      </c>
      <c r="J173" s="110"/>
      <c r="K173" s="504"/>
      <c r="L173" s="262"/>
    </row>
    <row r="174" spans="1:12" ht="12.75" hidden="1" outlineLevel="1">
      <c r="A174" s="450"/>
      <c r="B174" s="4"/>
      <c r="C174" s="4"/>
      <c r="D174" s="1639" t="s">
        <v>16500</v>
      </c>
      <c r="E174" s="1545">
        <v>37.869999999999997</v>
      </c>
      <c r="F174" s="1545">
        <v>1</v>
      </c>
      <c r="G174" s="1640">
        <v>75.739999999999995</v>
      </c>
      <c r="H174" s="1545">
        <v>0</v>
      </c>
      <c r="I174" s="1642">
        <v>75.739999999999995</v>
      </c>
      <c r="J174" s="110"/>
      <c r="K174" s="504"/>
      <c r="L174" s="262"/>
    </row>
    <row r="175" spans="1:12" ht="12.75" hidden="1" outlineLevel="1">
      <c r="A175" s="450"/>
      <c r="B175" s="4"/>
      <c r="C175" s="4"/>
      <c r="D175" s="1639" t="s">
        <v>16501</v>
      </c>
      <c r="E175" s="1545">
        <v>55.46</v>
      </c>
      <c r="F175" s="1545">
        <v>3.2</v>
      </c>
      <c r="G175" s="1640">
        <v>177.47</v>
      </c>
      <c r="H175" s="1545">
        <v>14.43</v>
      </c>
      <c r="I175" s="1642">
        <v>163.04</v>
      </c>
      <c r="J175" s="110"/>
      <c r="K175" s="504"/>
      <c r="L175" s="262"/>
    </row>
    <row r="176" spans="1:12" ht="12.75" hidden="1" outlineLevel="1">
      <c r="A176" s="1682"/>
      <c r="B176" s="4"/>
      <c r="C176" s="4"/>
      <c r="D176" s="1573" t="s">
        <v>16494</v>
      </c>
      <c r="E176" s="1636">
        <v>6.24</v>
      </c>
      <c r="F176" s="1636">
        <v>3.2</v>
      </c>
      <c r="G176" s="1574">
        <v>19.97</v>
      </c>
      <c r="H176" s="1636">
        <v>0</v>
      </c>
      <c r="I176" s="1576">
        <v>19.97</v>
      </c>
      <c r="J176" s="110"/>
      <c r="K176" s="504"/>
      <c r="L176" s="262"/>
    </row>
    <row r="177" spans="1:12" ht="12.75" hidden="1" outlineLevel="1">
      <c r="A177" s="1682"/>
      <c r="B177" s="4"/>
      <c r="C177" s="4"/>
      <c r="D177" s="4"/>
      <c r="E177" s="1683"/>
      <c r="F177" s="1683"/>
      <c r="G177" s="1683"/>
      <c r="H177" s="1683"/>
      <c r="I177" s="1684"/>
      <c r="J177" s="110"/>
      <c r="K177" s="504"/>
      <c r="L177" s="262"/>
    </row>
    <row r="178" spans="1:12" ht="25.5" outlineLevel="1">
      <c r="A178" s="1563" t="s">
        <v>13782</v>
      </c>
      <c r="B178" s="384">
        <v>95305</v>
      </c>
      <c r="C178" s="384" t="s">
        <v>14476</v>
      </c>
      <c r="D178" s="596" t="str">
        <f>IFERROR(VLOOKUP($B178,'24.08_ND'!$A$4833:$D$12369,2,0),IFERROR(VLOOKUP($B178,'03-CP'!$C$5:$H$4646,2,0),""))</f>
        <v>TEXTURA ACRÍLICA, APLICAÇÃO MANUAL EM PAREDE, UMA DEMÃO. AF_04/2023</v>
      </c>
      <c r="E178" s="759" t="str">
        <f>IFERROR(VLOOKUP($B178,'24.08_ND'!$A:$D,3,0),IFERROR(VLOOKUP($B178,'03-CP'!$C$5:$H$4646,3,0),""))</f>
        <v>M2</v>
      </c>
      <c r="F178" s="1558">
        <f>SUM(I180:I184)</f>
        <v>176.76999999999998</v>
      </c>
      <c r="G178" s="1680"/>
      <c r="H178" s="1680"/>
      <c r="I178" s="1681"/>
      <c r="J178" s="1672" t="s">
        <v>16387</v>
      </c>
      <c r="K178" s="504"/>
      <c r="L178" s="262"/>
    </row>
    <row r="179" spans="1:12" ht="12.75" hidden="1" outlineLevel="1">
      <c r="A179" s="1682"/>
      <c r="B179" s="4"/>
      <c r="C179" s="4"/>
      <c r="D179" s="1435" t="s">
        <v>16404</v>
      </c>
      <c r="E179" s="1456" t="s">
        <v>16252</v>
      </c>
      <c r="F179" s="1457" t="s">
        <v>16232</v>
      </c>
      <c r="G179" s="1456" t="s">
        <v>16233</v>
      </c>
      <c r="H179" s="1456" t="s">
        <v>16234</v>
      </c>
      <c r="I179" s="1458" t="s">
        <v>12615</v>
      </c>
      <c r="J179" s="110"/>
      <c r="K179" s="504"/>
      <c r="L179" s="262"/>
    </row>
    <row r="180" spans="1:12" ht="12.75" hidden="1" outlineLevel="1">
      <c r="A180" s="1682"/>
      <c r="B180" s="4"/>
      <c r="C180" s="4"/>
      <c r="D180" s="1639" t="s">
        <v>16499</v>
      </c>
      <c r="E180" s="1545">
        <v>28.74</v>
      </c>
      <c r="F180" s="1545">
        <v>2</v>
      </c>
      <c r="G180" s="1640">
        <v>57.48</v>
      </c>
      <c r="H180" s="1545">
        <v>0</v>
      </c>
      <c r="I180" s="1642">
        <f>G180-H180</f>
        <v>57.48</v>
      </c>
      <c r="J180" s="110"/>
      <c r="K180" s="504"/>
      <c r="L180" s="262"/>
    </row>
    <row r="181" spans="1:12" ht="12.75" hidden="1" outlineLevel="1">
      <c r="A181" s="1682"/>
      <c r="B181" s="4"/>
      <c r="C181" s="4"/>
      <c r="D181" s="1639" t="s">
        <v>16500</v>
      </c>
      <c r="E181" s="1545">
        <v>37.869999999999997</v>
      </c>
      <c r="F181" s="1545">
        <v>1</v>
      </c>
      <c r="G181" s="1640">
        <v>37.869999999999997</v>
      </c>
      <c r="H181" s="1545">
        <v>0</v>
      </c>
      <c r="I181" s="1642">
        <f>G181-H181</f>
        <v>37.869999999999997</v>
      </c>
      <c r="J181" s="110"/>
      <c r="K181" s="504"/>
      <c r="L181" s="262"/>
    </row>
    <row r="182" spans="1:12" ht="12.75" hidden="1" outlineLevel="1">
      <c r="A182" s="1682"/>
      <c r="B182" s="4"/>
      <c r="C182" s="4"/>
      <c r="D182" s="1639" t="s">
        <v>16501</v>
      </c>
      <c r="E182" s="1545">
        <v>18.760000000000002</v>
      </c>
      <c r="F182" s="1545">
        <v>3.2</v>
      </c>
      <c r="G182" s="1640">
        <v>60.03</v>
      </c>
      <c r="H182" s="1545">
        <v>5.4</v>
      </c>
      <c r="I182" s="1642">
        <f>G182-H182</f>
        <v>54.63</v>
      </c>
      <c r="J182" s="110"/>
      <c r="K182" s="504"/>
      <c r="L182" s="262"/>
    </row>
    <row r="183" spans="1:12" ht="12.75" hidden="1" outlineLevel="1">
      <c r="A183" s="1682"/>
      <c r="B183" s="4"/>
      <c r="C183" s="4"/>
      <c r="D183" s="1639" t="s">
        <v>16501</v>
      </c>
      <c r="E183" s="1545">
        <v>36.700000000000003</v>
      </c>
      <c r="F183" s="1545">
        <v>0.2</v>
      </c>
      <c r="G183" s="1640">
        <v>7.34</v>
      </c>
      <c r="H183" s="1545">
        <v>0.52</v>
      </c>
      <c r="I183" s="1642">
        <f>G183-H183</f>
        <v>6.82</v>
      </c>
      <c r="J183" s="110"/>
      <c r="K183" s="504"/>
      <c r="L183" s="262"/>
    </row>
    <row r="184" spans="1:12" ht="12.75" hidden="1" outlineLevel="1">
      <c r="A184" s="1682"/>
      <c r="B184" s="4"/>
      <c r="C184" s="4"/>
      <c r="D184" s="1573" t="s">
        <v>16494</v>
      </c>
      <c r="E184" s="1636">
        <v>6.24</v>
      </c>
      <c r="F184" s="1636">
        <v>3.2</v>
      </c>
      <c r="G184" s="1574">
        <v>19.97</v>
      </c>
      <c r="H184" s="1636">
        <v>0</v>
      </c>
      <c r="I184" s="1576">
        <f>G184-H184</f>
        <v>19.97</v>
      </c>
      <c r="J184" s="110"/>
      <c r="K184" s="504"/>
      <c r="L184" s="262"/>
    </row>
    <row r="185" spans="1:12" ht="17.25" hidden="1" outlineLevel="1">
      <c r="A185" s="251"/>
      <c r="B185" s="3"/>
      <c r="C185" s="3"/>
      <c r="D185" s="38"/>
      <c r="E185" s="691"/>
      <c r="F185" s="1685"/>
      <c r="G185" s="1683"/>
      <c r="H185" s="1683"/>
      <c r="I185" s="1684"/>
      <c r="J185" s="110"/>
      <c r="K185" s="504"/>
      <c r="L185" s="262"/>
    </row>
    <row r="186" spans="1:12" ht="23.25" outlineLevel="1">
      <c r="A186" s="1563" t="s">
        <v>13783</v>
      </c>
      <c r="B186" s="384" t="s">
        <v>14765</v>
      </c>
      <c r="C186" s="295" t="s">
        <v>14472</v>
      </c>
      <c r="D186" s="596" t="str">
        <f>IFERROR(VLOOKUP($B186,'24.08_ND'!$A$4833:$D$12369,2,0),IFERROR(VLOOKUP($B186,'03-CP'!$C$5:$H$4646,2,0),""))</f>
        <v>PINTURA COM TINTA ACRÍLICA PREMIUM EM PAREDES, DUAS DEMÃOS.</v>
      </c>
      <c r="E186" s="759" t="str">
        <f>IFERROR(VLOOKUP($B186,'24.08_ND'!$A:$D,3,0),IFERROR(VLOOKUP($B186,'03-CP'!$C$5:$H$4646,3,0),""))</f>
        <v>M2</v>
      </c>
      <c r="F186" s="1583">
        <f>SUM(I188:I193)</f>
        <v>272.12</v>
      </c>
      <c r="G186" s="1680"/>
      <c r="H186" s="1680"/>
      <c r="I186" s="1681"/>
      <c r="J186" s="1672" t="s">
        <v>16387</v>
      </c>
      <c r="K186" s="504"/>
      <c r="L186" s="262"/>
    </row>
    <row r="187" spans="1:12" ht="12.75" hidden="1" outlineLevel="1">
      <c r="A187" s="1682"/>
      <c r="B187" s="4"/>
      <c r="C187" s="4"/>
      <c r="D187" s="1686" t="s">
        <v>16511</v>
      </c>
      <c r="E187" s="1572" t="s">
        <v>16252</v>
      </c>
      <c r="F187" s="1687" t="s">
        <v>16232</v>
      </c>
      <c r="G187" s="1572" t="s">
        <v>16233</v>
      </c>
      <c r="H187" s="1572" t="s">
        <v>16234</v>
      </c>
      <c r="I187" s="1688" t="s">
        <v>12615</v>
      </c>
      <c r="J187" s="110"/>
      <c r="K187" s="504"/>
      <c r="L187" s="262"/>
    </row>
    <row r="188" spans="1:12" ht="12.75" hidden="1" outlineLevel="1">
      <c r="A188" s="1682"/>
      <c r="B188" s="4"/>
      <c r="C188" s="4"/>
      <c r="D188" s="1689" t="s">
        <v>16499</v>
      </c>
      <c r="E188" s="1545">
        <v>28.74</v>
      </c>
      <c r="F188" s="1545">
        <v>2</v>
      </c>
      <c r="G188" s="1545">
        <v>114.96</v>
      </c>
      <c r="H188" s="1545">
        <v>0</v>
      </c>
      <c r="I188" s="1635">
        <v>114.96</v>
      </c>
      <c r="J188" s="110"/>
      <c r="K188" s="504"/>
      <c r="L188" s="262"/>
    </row>
    <row r="189" spans="1:12" ht="12.75" hidden="1" outlineLevel="1">
      <c r="A189" s="1682"/>
      <c r="B189" s="4"/>
      <c r="C189" s="4"/>
      <c r="D189" s="1689" t="s">
        <v>16500</v>
      </c>
      <c r="E189" s="1545">
        <v>37.869999999999997</v>
      </c>
      <c r="F189" s="1545">
        <v>1</v>
      </c>
      <c r="G189" s="1545">
        <v>75.739999999999995</v>
      </c>
      <c r="H189" s="1545">
        <v>0</v>
      </c>
      <c r="I189" s="1635">
        <v>75.739999999999995</v>
      </c>
      <c r="J189" s="110"/>
      <c r="K189" s="504"/>
      <c r="L189" s="262"/>
    </row>
    <row r="190" spans="1:12" ht="12.75" hidden="1" outlineLevel="1">
      <c r="A190" s="1682"/>
      <c r="B190" s="4"/>
      <c r="C190" s="4"/>
      <c r="D190" s="1689" t="s">
        <v>16501</v>
      </c>
      <c r="E190" s="1545">
        <v>18.760000000000002</v>
      </c>
      <c r="F190" s="1545">
        <v>3.2</v>
      </c>
      <c r="G190" s="1545">
        <v>60.03</v>
      </c>
      <c r="H190" s="1545">
        <v>5.4</v>
      </c>
      <c r="I190" s="1635">
        <v>54.63</v>
      </c>
      <c r="J190" s="110"/>
      <c r="K190" s="504"/>
      <c r="L190" s="262"/>
    </row>
    <row r="191" spans="1:12" ht="12.75" hidden="1" outlineLevel="1">
      <c r="A191" s="1682"/>
      <c r="B191" s="4"/>
      <c r="C191" s="4"/>
      <c r="D191" s="1690" t="s">
        <v>16501</v>
      </c>
      <c r="E191" s="1545">
        <v>36.700000000000003</v>
      </c>
      <c r="F191" s="1545">
        <v>0.2</v>
      </c>
      <c r="G191" s="1545">
        <v>7.34</v>
      </c>
      <c r="H191" s="1545">
        <v>0.52</v>
      </c>
      <c r="I191" s="1638">
        <v>6.82</v>
      </c>
      <c r="J191" s="110"/>
      <c r="K191" s="504"/>
      <c r="L191" s="262"/>
    </row>
    <row r="192" spans="1:12" ht="12.75" hidden="1" outlineLevel="1">
      <c r="A192" s="249"/>
      <c r="B192" s="3"/>
      <c r="C192" s="3"/>
      <c r="D192" s="1686" t="s">
        <v>16511</v>
      </c>
      <c r="E192" s="1572" t="s">
        <v>16252</v>
      </c>
      <c r="F192" s="1687" t="s">
        <v>16232</v>
      </c>
      <c r="G192" s="1572" t="s">
        <v>16233</v>
      </c>
      <c r="H192" s="1572" t="s">
        <v>16234</v>
      </c>
      <c r="I192" s="1688" t="s">
        <v>12615</v>
      </c>
      <c r="J192" s="110"/>
      <c r="K192" s="504"/>
      <c r="L192" s="262"/>
    </row>
    <row r="193" spans="1:12" ht="12.75" hidden="1" outlineLevel="1">
      <c r="A193" s="249"/>
      <c r="B193" s="3"/>
      <c r="C193" s="3"/>
      <c r="D193" s="1690" t="s">
        <v>16494</v>
      </c>
      <c r="E193" s="1636">
        <v>6.24</v>
      </c>
      <c r="F193" s="1636">
        <v>3.2</v>
      </c>
      <c r="G193" s="1637">
        <v>19.97</v>
      </c>
      <c r="H193" s="1636">
        <v>0</v>
      </c>
      <c r="I193" s="1638">
        <v>19.97</v>
      </c>
      <c r="J193" s="110"/>
      <c r="K193" s="504"/>
      <c r="L193" s="262"/>
    </row>
    <row r="194" spans="1:12" hidden="1" outlineLevel="1">
      <c r="A194" s="249"/>
      <c r="B194" s="3"/>
      <c r="C194" s="3"/>
      <c r="D194" s="38"/>
      <c r="E194" s="691"/>
      <c r="F194" s="1631"/>
      <c r="G194" s="1683"/>
      <c r="H194" s="1683"/>
      <c r="I194" s="1684"/>
      <c r="J194" s="110"/>
      <c r="K194" s="504"/>
      <c r="L194" s="262"/>
    </row>
    <row r="195" spans="1:12" ht="25.5" outlineLevel="1">
      <c r="A195" s="1563" t="s">
        <v>13784</v>
      </c>
      <c r="B195" s="384">
        <v>88484</v>
      </c>
      <c r="C195" s="384" t="s">
        <v>14476</v>
      </c>
      <c r="D195" s="596" t="str">
        <f>IFERROR(VLOOKUP($B195,'24.08_ND'!$A$4833:$D$12369,2,0),IFERROR(VLOOKUP($B195,'03-CP'!$C$5:$H$4646,2,0),""))</f>
        <v>FUNDO SELADOR ACRÍLICO, APLICAÇÃO MANUAL EM TETO, UMA DEMÃO. AF_04/2023</v>
      </c>
      <c r="E195" s="759" t="str">
        <f>IFERROR(VLOOKUP($B195,'24.08_ND'!$A:$D,3,0),IFERROR(VLOOKUP($B195,'03-CP'!$C$5:$H$4646,3,0),""))</f>
        <v>M2</v>
      </c>
      <c r="F195" s="1558">
        <f>SUM(I197:I201)</f>
        <v>73.550000000000011</v>
      </c>
      <c r="G195" s="1680"/>
      <c r="H195" s="1680"/>
      <c r="I195" s="1681"/>
      <c r="J195" s="1672" t="s">
        <v>16387</v>
      </c>
      <c r="K195" s="504"/>
      <c r="L195" s="262"/>
    </row>
    <row r="196" spans="1:12" ht="12.75" hidden="1" outlineLevel="1">
      <c r="A196" s="1682"/>
      <c r="B196" s="4"/>
      <c r="C196" s="4"/>
      <c r="D196" s="1435" t="s">
        <v>16404</v>
      </c>
      <c r="E196" s="1456" t="s">
        <v>16252</v>
      </c>
      <c r="F196" s="1457" t="s">
        <v>16232</v>
      </c>
      <c r="G196" s="1456" t="s">
        <v>16233</v>
      </c>
      <c r="H196" s="1456" t="s">
        <v>16234</v>
      </c>
      <c r="I196" s="1458" t="s">
        <v>12615</v>
      </c>
      <c r="J196" s="110"/>
      <c r="K196" s="504"/>
      <c r="L196" s="262"/>
    </row>
    <row r="197" spans="1:12" ht="12.75" hidden="1" outlineLevel="1">
      <c r="A197" s="1682"/>
      <c r="B197" s="4"/>
      <c r="C197" s="4"/>
      <c r="D197" s="1639" t="s">
        <v>16502</v>
      </c>
      <c r="E197" s="1545"/>
      <c r="F197" s="1545"/>
      <c r="G197" s="1545">
        <v>28.2</v>
      </c>
      <c r="H197" s="1545">
        <v>1</v>
      </c>
      <c r="I197" s="1642">
        <v>28.2</v>
      </c>
      <c r="J197" s="110"/>
      <c r="K197" s="504"/>
      <c r="L197" s="262"/>
    </row>
    <row r="198" spans="1:12" ht="12.75" hidden="1" outlineLevel="1">
      <c r="A198" s="1682"/>
      <c r="B198" s="4"/>
      <c r="C198" s="4"/>
      <c r="D198" s="1639" t="s">
        <v>16503</v>
      </c>
      <c r="E198" s="1545"/>
      <c r="F198" s="1545"/>
      <c r="G198" s="1545">
        <v>35.200000000000003</v>
      </c>
      <c r="H198" s="1545">
        <v>1</v>
      </c>
      <c r="I198" s="1642">
        <v>35.200000000000003</v>
      </c>
      <c r="J198" s="110"/>
      <c r="K198" s="504"/>
      <c r="L198" s="262"/>
    </row>
    <row r="199" spans="1:12" ht="12.75" hidden="1" outlineLevel="1">
      <c r="A199" s="1682"/>
      <c r="B199" s="4"/>
      <c r="C199" s="4"/>
      <c r="D199" s="1639" t="s">
        <v>16504</v>
      </c>
      <c r="E199" s="1545"/>
      <c r="F199" s="1545"/>
      <c r="G199" s="1545">
        <v>3.23</v>
      </c>
      <c r="H199" s="1545">
        <v>1</v>
      </c>
      <c r="I199" s="1642">
        <v>3.23</v>
      </c>
      <c r="J199" s="110"/>
      <c r="K199" s="504"/>
      <c r="L199" s="262"/>
    </row>
    <row r="200" spans="1:12" ht="12.75" hidden="1" outlineLevel="1">
      <c r="A200" s="1682"/>
      <c r="B200" s="4"/>
      <c r="C200" s="4"/>
      <c r="D200" s="1639" t="s">
        <v>16505</v>
      </c>
      <c r="E200" s="1545"/>
      <c r="F200" s="1545"/>
      <c r="G200" s="1545">
        <v>3.23</v>
      </c>
      <c r="H200" s="1545">
        <v>1</v>
      </c>
      <c r="I200" s="1642">
        <v>3.23</v>
      </c>
      <c r="J200" s="110"/>
      <c r="K200" s="504"/>
      <c r="L200" s="262"/>
    </row>
    <row r="201" spans="1:12" ht="12.75" hidden="1" outlineLevel="1">
      <c r="A201" s="1682"/>
      <c r="B201" s="4"/>
      <c r="C201" s="4"/>
      <c r="D201" s="1573" t="s">
        <v>16506</v>
      </c>
      <c r="E201" s="1636"/>
      <c r="F201" s="1636"/>
      <c r="G201" s="1636">
        <v>3.69</v>
      </c>
      <c r="H201" s="1636">
        <v>1</v>
      </c>
      <c r="I201" s="1576">
        <v>3.69</v>
      </c>
      <c r="J201" s="110"/>
      <c r="K201" s="504"/>
      <c r="L201" s="262"/>
    </row>
    <row r="202" spans="1:12" ht="12.75" hidden="1" outlineLevel="1">
      <c r="A202" s="1682"/>
      <c r="B202" s="4"/>
      <c r="C202" s="4"/>
      <c r="D202" s="4"/>
      <c r="E202" s="1683"/>
      <c r="F202" s="1683"/>
      <c r="G202" s="1683"/>
      <c r="H202" s="1683"/>
      <c r="I202" s="1684"/>
      <c r="J202" s="110"/>
      <c r="K202" s="504"/>
      <c r="L202" s="262"/>
    </row>
    <row r="203" spans="1:12" ht="25.5" outlineLevel="1">
      <c r="A203" s="1563" t="s">
        <v>13785</v>
      </c>
      <c r="B203" s="384" t="s">
        <v>14938</v>
      </c>
      <c r="C203" s="295" t="s">
        <v>14472</v>
      </c>
      <c r="D203" s="596" t="str">
        <f>IFERROR(VLOOKUP($B203,'24.08_ND'!$A$4833:$D$12369,2,0),IFERROR(VLOOKUP($B203,'03-CP'!$C$5:$H$4646,2,0),""))</f>
        <v xml:space="preserve">APLICAÇÃO MANUAL DE MASSA ACRÍLICA EM TETO, DUAS DEMÃOS, INCLUSO LIXAMENTO </v>
      </c>
      <c r="E203" s="759" t="str">
        <f>IFERROR(VLOOKUP($B203,'24.08_ND'!$A:$D,3,0),IFERROR(VLOOKUP($B203,'03-CP'!$C$5:$H$4646,3,0),""))</f>
        <v>M2</v>
      </c>
      <c r="F203" s="1558">
        <f>SUM(I205:I209)</f>
        <v>73.550000000000011</v>
      </c>
      <c r="G203" s="1680"/>
      <c r="H203" s="1680"/>
      <c r="I203" s="1681"/>
      <c r="J203" s="1672" t="s">
        <v>16387</v>
      </c>
      <c r="K203" s="504"/>
      <c r="L203" s="262"/>
    </row>
    <row r="204" spans="1:12" ht="12.75" hidden="1" outlineLevel="1">
      <c r="A204" s="450"/>
      <c r="B204" s="4"/>
      <c r="C204" s="4"/>
      <c r="D204" s="1435" t="s">
        <v>16404</v>
      </c>
      <c r="E204" s="1456" t="s">
        <v>16252</v>
      </c>
      <c r="F204" s="1457" t="s">
        <v>16232</v>
      </c>
      <c r="G204" s="1456" t="s">
        <v>16233</v>
      </c>
      <c r="H204" s="1456" t="s">
        <v>16234</v>
      </c>
      <c r="I204" s="1458" t="s">
        <v>12615</v>
      </c>
      <c r="J204" s="110"/>
      <c r="K204" s="504"/>
      <c r="L204" s="262"/>
    </row>
    <row r="205" spans="1:12" ht="12.75" hidden="1" outlineLevel="1">
      <c r="A205" s="1682"/>
      <c r="B205" s="4"/>
      <c r="C205" s="4"/>
      <c r="D205" s="1639" t="s">
        <v>16502</v>
      </c>
      <c r="E205" s="1545"/>
      <c r="F205" s="1545"/>
      <c r="G205" s="1545">
        <v>28.2</v>
      </c>
      <c r="H205" s="1545">
        <v>1</v>
      </c>
      <c r="I205" s="1642">
        <v>28.2</v>
      </c>
      <c r="J205" s="110"/>
      <c r="K205" s="504"/>
      <c r="L205" s="262"/>
    </row>
    <row r="206" spans="1:12" ht="12.75" hidden="1" outlineLevel="1">
      <c r="A206" s="1682"/>
      <c r="B206" s="4"/>
      <c r="C206" s="4"/>
      <c r="D206" s="1639" t="s">
        <v>16503</v>
      </c>
      <c r="E206" s="1545"/>
      <c r="F206" s="1545"/>
      <c r="G206" s="1545">
        <v>35.200000000000003</v>
      </c>
      <c r="H206" s="1545">
        <v>1</v>
      </c>
      <c r="I206" s="1642">
        <v>35.200000000000003</v>
      </c>
      <c r="J206" s="110"/>
      <c r="K206" s="504"/>
      <c r="L206" s="262"/>
    </row>
    <row r="207" spans="1:12" ht="12.75" hidden="1" outlineLevel="1">
      <c r="A207" s="1682"/>
      <c r="B207" s="4"/>
      <c r="C207" s="4"/>
      <c r="D207" s="1639" t="s">
        <v>16504</v>
      </c>
      <c r="E207" s="1545"/>
      <c r="F207" s="1545"/>
      <c r="G207" s="1545">
        <v>3.23</v>
      </c>
      <c r="H207" s="1545">
        <v>1</v>
      </c>
      <c r="I207" s="1642">
        <v>3.23</v>
      </c>
      <c r="J207" s="110"/>
      <c r="K207" s="504"/>
      <c r="L207" s="262"/>
    </row>
    <row r="208" spans="1:12" ht="12.75" hidden="1" outlineLevel="1">
      <c r="A208" s="1682"/>
      <c r="B208" s="4"/>
      <c r="C208" s="4"/>
      <c r="D208" s="1639" t="s">
        <v>16505</v>
      </c>
      <c r="E208" s="1545"/>
      <c r="F208" s="1545"/>
      <c r="G208" s="1545">
        <v>3.23</v>
      </c>
      <c r="H208" s="1545">
        <v>1</v>
      </c>
      <c r="I208" s="1642">
        <v>3.23</v>
      </c>
      <c r="J208" s="110"/>
      <c r="K208" s="504"/>
      <c r="L208" s="262"/>
    </row>
    <row r="209" spans="1:12" ht="12.75" hidden="1" outlineLevel="1">
      <c r="A209" s="1682"/>
      <c r="B209" s="4"/>
      <c r="C209" s="4"/>
      <c r="D209" s="1573" t="s">
        <v>16506</v>
      </c>
      <c r="E209" s="1636"/>
      <c r="F209" s="1636"/>
      <c r="G209" s="1636">
        <v>3.69</v>
      </c>
      <c r="H209" s="1636">
        <v>1</v>
      </c>
      <c r="I209" s="1576">
        <v>3.69</v>
      </c>
      <c r="J209" s="110"/>
      <c r="K209" s="504"/>
      <c r="L209" s="262"/>
    </row>
    <row r="210" spans="1:12" ht="12.75" hidden="1" outlineLevel="1">
      <c r="A210" s="1682"/>
      <c r="B210" s="4"/>
      <c r="C210" s="4"/>
      <c r="D210" s="4"/>
      <c r="E210" s="1683"/>
      <c r="F210" s="1683"/>
      <c r="G210" s="1683"/>
      <c r="H210" s="1683"/>
      <c r="I210" s="1684"/>
      <c r="J210" s="110"/>
      <c r="K210" s="504"/>
      <c r="L210" s="262"/>
    </row>
    <row r="211" spans="1:12" ht="23.25" outlineLevel="1">
      <c r="A211" s="1563" t="s">
        <v>13786</v>
      </c>
      <c r="B211" s="384" t="s">
        <v>14936</v>
      </c>
      <c r="C211" s="295" t="s">
        <v>14472</v>
      </c>
      <c r="D211" s="596" t="str">
        <f>IFERROR(VLOOKUP($B211,'24.08_ND'!$A$4833:$D$12369,2,0),IFERROR(VLOOKUP($B211,'03-CP'!$C$5:$H$4646,2,0),""))</f>
        <v>PINTURA COM TINTA ACRÍLICA PREMIUM, EM TETO, DUAS DEMÃOS.</v>
      </c>
      <c r="E211" s="759" t="str">
        <f>IFERROR(VLOOKUP($B211,'24.08_ND'!$A:$D,3,0),IFERROR(VLOOKUP($B211,'03-CP'!$C$5:$H$4646,3,0),""))</f>
        <v>M2</v>
      </c>
      <c r="F211" s="1583">
        <f>SUM(I213:I217)</f>
        <v>60.349999999999994</v>
      </c>
      <c r="G211" s="1680"/>
      <c r="H211" s="1680"/>
      <c r="I211" s="1681"/>
      <c r="J211" s="1672" t="s">
        <v>16387</v>
      </c>
      <c r="K211" s="504"/>
      <c r="L211" s="262"/>
    </row>
    <row r="212" spans="1:12" ht="12.75" hidden="1" outlineLevel="1">
      <c r="A212" s="1682"/>
      <c r="B212" s="4"/>
      <c r="C212" s="4"/>
      <c r="D212" s="1435" t="s">
        <v>16404</v>
      </c>
      <c r="E212" s="1456" t="s">
        <v>16252</v>
      </c>
      <c r="F212" s="1457" t="s">
        <v>16232</v>
      </c>
      <c r="G212" s="1456" t="s">
        <v>16233</v>
      </c>
      <c r="H212" s="1456" t="s">
        <v>16512</v>
      </c>
      <c r="I212" s="1458" t="s">
        <v>12615</v>
      </c>
      <c r="J212" s="110"/>
      <c r="K212" s="504"/>
      <c r="L212" s="262"/>
    </row>
    <row r="213" spans="1:12" ht="12.75" hidden="1" outlineLevel="1">
      <c r="A213" s="1682"/>
      <c r="B213" s="4"/>
      <c r="C213" s="4"/>
      <c r="D213" s="1466" t="s">
        <v>16502</v>
      </c>
      <c r="E213" s="712"/>
      <c r="F213" s="712"/>
      <c r="G213" s="1553">
        <v>28.2</v>
      </c>
      <c r="H213" s="1545">
        <v>5.8</v>
      </c>
      <c r="I213" s="1566">
        <f>G213-H213</f>
        <v>22.4</v>
      </c>
      <c r="J213" s="110"/>
      <c r="K213" s="504"/>
      <c r="L213" s="262"/>
    </row>
    <row r="214" spans="1:12" ht="12.75" hidden="1" outlineLevel="1">
      <c r="A214" s="1682"/>
      <c r="B214" s="4"/>
      <c r="C214" s="4"/>
      <c r="D214" s="1466" t="s">
        <v>16503</v>
      </c>
      <c r="E214" s="712"/>
      <c r="F214" s="712"/>
      <c r="G214" s="1553">
        <v>35.200000000000003</v>
      </c>
      <c r="H214" s="1545">
        <v>5.8</v>
      </c>
      <c r="I214" s="1566">
        <f>G214-H214</f>
        <v>29.400000000000002</v>
      </c>
      <c r="J214" s="110"/>
      <c r="K214" s="504"/>
      <c r="L214" s="262"/>
    </row>
    <row r="215" spans="1:12" ht="12.75" hidden="1" outlineLevel="1">
      <c r="A215" s="1682"/>
      <c r="B215" s="4"/>
      <c r="C215" s="4"/>
      <c r="D215" s="1466" t="s">
        <v>16504</v>
      </c>
      <c r="E215" s="712"/>
      <c r="F215" s="712"/>
      <c r="G215" s="1553">
        <v>3.23</v>
      </c>
      <c r="H215" s="1545">
        <v>0.8</v>
      </c>
      <c r="I215" s="1566">
        <f>G215-H215</f>
        <v>2.4299999999999997</v>
      </c>
      <c r="J215" s="110"/>
      <c r="K215" s="504"/>
      <c r="L215" s="262"/>
    </row>
    <row r="216" spans="1:12" ht="12.75" hidden="1" outlineLevel="1">
      <c r="A216" s="1682"/>
      <c r="B216" s="4"/>
      <c r="C216" s="4"/>
      <c r="D216" s="1466" t="s">
        <v>16505</v>
      </c>
      <c r="E216" s="712"/>
      <c r="F216" s="712"/>
      <c r="G216" s="1553">
        <v>3.23</v>
      </c>
      <c r="H216" s="1545">
        <v>0.8</v>
      </c>
      <c r="I216" s="1566">
        <f>G216-H216</f>
        <v>2.4299999999999997</v>
      </c>
      <c r="J216" s="110"/>
      <c r="K216" s="504"/>
      <c r="L216" s="262"/>
    </row>
    <row r="217" spans="1:12" ht="12.75" hidden="1" outlineLevel="1">
      <c r="A217" s="1682"/>
      <c r="B217" s="4"/>
      <c r="C217" s="4"/>
      <c r="D217" s="1459" t="s">
        <v>16506</v>
      </c>
      <c r="E217" s="1691"/>
      <c r="F217" s="1691"/>
      <c r="G217" s="1568">
        <v>3.69</v>
      </c>
      <c r="H217" s="1636">
        <v>0</v>
      </c>
      <c r="I217" s="1569">
        <f>G217-H217</f>
        <v>3.69</v>
      </c>
      <c r="J217" s="110"/>
      <c r="K217" s="504"/>
      <c r="L217" s="262"/>
    </row>
    <row r="218" spans="1:12" ht="12.75" hidden="1" outlineLevel="1">
      <c r="A218" s="1682"/>
      <c r="B218" s="4"/>
      <c r="C218" s="4"/>
      <c r="D218" s="34"/>
      <c r="E218" s="1683"/>
      <c r="F218" s="1683"/>
      <c r="G218" s="691"/>
      <c r="H218" s="1683"/>
      <c r="I218" s="1467"/>
      <c r="J218" s="110"/>
      <c r="K218" s="504"/>
      <c r="L218" s="262"/>
    </row>
    <row r="219" spans="1:12" ht="12.75">
      <c r="A219" s="246" t="s">
        <v>13787</v>
      </c>
      <c r="B219" s="1378"/>
      <c r="C219" s="1378"/>
      <c r="D219" s="1379" t="s">
        <v>16279</v>
      </c>
      <c r="E219" s="1380"/>
      <c r="F219" s="1381"/>
      <c r="G219" s="1380"/>
      <c r="H219" s="1381"/>
      <c r="I219" s="1382"/>
      <c r="J219" s="110"/>
      <c r="K219" s="1588"/>
      <c r="L219" s="262"/>
    </row>
    <row r="220" spans="1:12" ht="33.75" customHeight="1" outlineLevel="1">
      <c r="A220" s="1385" t="s">
        <v>13788</v>
      </c>
      <c r="B220" s="295" t="s">
        <v>15064</v>
      </c>
      <c r="C220" s="295" t="s">
        <v>14472</v>
      </c>
      <c r="D220" s="658" t="str">
        <f>IFERROR(VLOOKUP($B220,'24.08_ND'!$A$4833:$D$12369,2,0),IFERROR(VLOOKUP($B220,'03-CP'!$C$5:$H$4646,2,0),""))</f>
        <v>PORTA EM ALUMÍNIO, NA COR PRETA FORNECIMENTO E INSTALAÇÃO</v>
      </c>
      <c r="E220" s="1318" t="str">
        <f>IFERROR(VLOOKUP($B220,'24.08_ND'!$A:$D,3,0),IFERROR(VLOOKUP($B220,'03-CP'!$C$5:$H$4646,3,0),""))</f>
        <v>M2</v>
      </c>
      <c r="F220" s="1558">
        <f>SUM(I222:I224)</f>
        <v>9.0300000000000011</v>
      </c>
      <c r="G220" s="1387"/>
      <c r="H220" s="1387"/>
      <c r="I220" s="1388"/>
      <c r="J220" s="1672" t="s">
        <v>16387</v>
      </c>
      <c r="K220" s="504"/>
      <c r="L220" s="262"/>
    </row>
    <row r="221" spans="1:12" ht="12.75" hidden="1" outlineLevel="1">
      <c r="A221" s="450"/>
      <c r="B221" s="386"/>
      <c r="C221" s="8"/>
      <c r="D221" s="1435" t="s">
        <v>16404</v>
      </c>
      <c r="E221" s="1240" t="s">
        <v>16252</v>
      </c>
      <c r="F221" s="1425" t="s">
        <v>16232</v>
      </c>
      <c r="G221" s="1391" t="s">
        <v>16233</v>
      </c>
      <c r="H221" s="1240" t="s">
        <v>16234</v>
      </c>
      <c r="I221" s="1426" t="s">
        <v>12615</v>
      </c>
      <c r="J221" s="110"/>
      <c r="K221" s="504"/>
      <c r="L221" s="262"/>
    </row>
    <row r="222" spans="1:12" ht="12.75" hidden="1" outlineLevel="1">
      <c r="A222" s="450"/>
      <c r="B222" s="386"/>
      <c r="C222" s="8"/>
      <c r="D222" s="1419" t="s">
        <v>16495</v>
      </c>
      <c r="E222" s="1420">
        <v>0.8</v>
      </c>
      <c r="F222" s="1421">
        <v>2.1</v>
      </c>
      <c r="G222" s="1421">
        <f>E222*F222</f>
        <v>1.6800000000000002</v>
      </c>
      <c r="H222" s="1421">
        <v>2</v>
      </c>
      <c r="I222" s="1429">
        <f>G222*H222</f>
        <v>3.3600000000000003</v>
      </c>
      <c r="J222" s="110"/>
      <c r="K222" s="504"/>
      <c r="L222" s="262"/>
    </row>
    <row r="223" spans="1:12" ht="12.75" hidden="1" outlineLevel="1">
      <c r="A223" s="247"/>
      <c r="B223" s="386"/>
      <c r="C223" s="8"/>
      <c r="D223" s="1419" t="s">
        <v>16496</v>
      </c>
      <c r="E223" s="1420">
        <v>0.9</v>
      </c>
      <c r="F223" s="1421">
        <v>2.1</v>
      </c>
      <c r="G223" s="1421">
        <f>E223*F223</f>
        <v>1.8900000000000001</v>
      </c>
      <c r="H223" s="1421">
        <v>2</v>
      </c>
      <c r="I223" s="1429">
        <f>G223*H223</f>
        <v>3.7800000000000002</v>
      </c>
      <c r="J223" s="110"/>
      <c r="K223" s="504"/>
      <c r="L223" s="262"/>
    </row>
    <row r="224" spans="1:12" ht="12.75" hidden="1" outlineLevel="1">
      <c r="A224" s="247"/>
      <c r="B224" s="386"/>
      <c r="C224" s="8"/>
      <c r="D224" s="1427" t="s">
        <v>16497</v>
      </c>
      <c r="E224" s="1395">
        <v>0.9</v>
      </c>
      <c r="F224" s="1396">
        <v>2.1</v>
      </c>
      <c r="G224" s="1396">
        <f>E224*F224</f>
        <v>1.8900000000000001</v>
      </c>
      <c r="H224" s="1396">
        <v>1</v>
      </c>
      <c r="I224" s="1397">
        <f>G224*H224</f>
        <v>1.8900000000000001</v>
      </c>
      <c r="J224" s="110"/>
      <c r="K224" s="504"/>
      <c r="L224" s="262"/>
    </row>
    <row r="225" spans="1:12" ht="38.25" outlineLevel="1">
      <c r="A225" s="1385" t="s">
        <v>13789</v>
      </c>
      <c r="B225" s="295" t="s">
        <v>15062</v>
      </c>
      <c r="C225" s="295" t="s">
        <v>14472</v>
      </c>
      <c r="D225" s="658" t="str">
        <f>IFERROR(VLOOKUP($B225,'24.08_ND'!$A$4833:$D$12369,2,0),IFERROR(VLOOKUP($B225,'03-CP'!$C$5:$H$4646,2,0),""))</f>
        <v>PORTA EM ALUMÍNIO, COM VENEZIANA FIXA LAMINADA VAZADA, NA COR PRETA, FECHADURA TIPO "LIVRE E OCUPADO". FORNECIMENTO E INSTALAÇÃO</v>
      </c>
      <c r="E225" s="1318" t="str">
        <f>IFERROR(VLOOKUP($B225,'24.08_ND'!$A:$D,3,0),IFERROR(VLOOKUP($B225,'03-CP'!$C$5:$H$4646,3,0),""))</f>
        <v>M2</v>
      </c>
      <c r="F225" s="1558">
        <f>SUM(I227)</f>
        <v>21.76</v>
      </c>
      <c r="G225" s="1387"/>
      <c r="H225" s="1387"/>
      <c r="I225" s="1388"/>
      <c r="J225" s="1672" t="s">
        <v>16387</v>
      </c>
      <c r="K225" s="1692"/>
      <c r="L225" s="1320"/>
    </row>
    <row r="226" spans="1:12" ht="12.75" hidden="1" outlineLevel="1">
      <c r="A226" s="247"/>
      <c r="B226" s="386"/>
      <c r="C226" s="8"/>
      <c r="D226" s="1435" t="s">
        <v>16404</v>
      </c>
      <c r="E226" s="1240" t="s">
        <v>16252</v>
      </c>
      <c r="F226" s="1425" t="s">
        <v>16232</v>
      </c>
      <c r="G226" s="1391" t="s">
        <v>16233</v>
      </c>
      <c r="H226" s="1240" t="s">
        <v>16234</v>
      </c>
      <c r="I226" s="1426" t="s">
        <v>12615</v>
      </c>
      <c r="J226" s="110"/>
      <c r="K226" s="1692"/>
      <c r="L226" s="1320"/>
    </row>
    <row r="227" spans="1:12" ht="12.75" hidden="1" outlineLevel="1">
      <c r="A227" s="247"/>
      <c r="B227" s="386"/>
      <c r="C227" s="8"/>
      <c r="D227" s="1427" t="s">
        <v>16513</v>
      </c>
      <c r="E227" s="1395">
        <v>0.8</v>
      </c>
      <c r="F227" s="1396">
        <v>1.7</v>
      </c>
      <c r="G227" s="1396">
        <f>E227*F227</f>
        <v>1.36</v>
      </c>
      <c r="H227" s="1396">
        <v>16</v>
      </c>
      <c r="I227" s="1397">
        <f>G227*H227</f>
        <v>21.76</v>
      </c>
      <c r="J227" s="110"/>
      <c r="K227" s="1692"/>
      <c r="L227" s="1320"/>
    </row>
    <row r="228" spans="1:12" ht="25.5" outlineLevel="1">
      <c r="A228" s="1385" t="s">
        <v>13790</v>
      </c>
      <c r="B228" s="295" t="s">
        <v>15014</v>
      </c>
      <c r="C228" s="295" t="s">
        <v>14472</v>
      </c>
      <c r="D228" s="658" t="str">
        <f>IFERROR(VLOOKUP($B228,'24.08_ND'!$A$4833:$D$12369,2,0),IFERROR(VLOOKUP($B228,'03-CP'!$C$5:$H$4646,2,0),""))</f>
        <v>JANELA BASCULANTE, EM ALUMINIO COR PRETA, VIDRO 4MM SEM GUARNIÇÃO - FORNECIMENTO E INSTALAÇÃO</v>
      </c>
      <c r="E228" s="1318" t="str">
        <f>IFERROR(VLOOKUP($B228,'24.08_ND'!$A:$D,3,0),IFERROR(VLOOKUP($B228,'03-CP'!$C$5:$H$4646,3,0),""))</f>
        <v>M2</v>
      </c>
      <c r="F228" s="1558">
        <f>SUM(I230:I231)</f>
        <v>5.3999999999999995</v>
      </c>
      <c r="G228" s="1387"/>
      <c r="H228" s="1387"/>
      <c r="I228" s="1388"/>
      <c r="J228" s="1672" t="s">
        <v>16387</v>
      </c>
      <c r="K228" s="1692"/>
      <c r="L228" s="1320"/>
    </row>
    <row r="229" spans="1:12" ht="12.75" hidden="1" outlineLevel="1">
      <c r="A229" s="247"/>
      <c r="B229" s="386"/>
      <c r="C229" s="8"/>
      <c r="D229" s="1435" t="s">
        <v>16404</v>
      </c>
      <c r="E229" s="1240" t="s">
        <v>16252</v>
      </c>
      <c r="F229" s="1425" t="s">
        <v>16232</v>
      </c>
      <c r="G229" s="1391" t="s">
        <v>16233</v>
      </c>
      <c r="H229" s="1240" t="s">
        <v>16234</v>
      </c>
      <c r="I229" s="1426" t="s">
        <v>12615</v>
      </c>
      <c r="J229" s="110"/>
      <c r="K229" s="1692"/>
      <c r="L229" s="1320"/>
    </row>
    <row r="230" spans="1:12" ht="12.75" hidden="1" outlineLevel="1">
      <c r="A230" s="247"/>
      <c r="B230" s="386"/>
      <c r="C230" s="8"/>
      <c r="D230" s="1419" t="s">
        <v>16240</v>
      </c>
      <c r="E230" s="1420">
        <v>1.5</v>
      </c>
      <c r="F230" s="1421">
        <v>0.6</v>
      </c>
      <c r="G230" s="1421">
        <f>E230*F230</f>
        <v>0.89999999999999991</v>
      </c>
      <c r="H230" s="1421">
        <v>4</v>
      </c>
      <c r="I230" s="1429">
        <f>G230*H230</f>
        <v>3.5999999999999996</v>
      </c>
      <c r="J230" s="110"/>
      <c r="K230" s="1692"/>
      <c r="L230" s="1320"/>
    </row>
    <row r="231" spans="1:12" ht="12.75" hidden="1" outlineLevel="1">
      <c r="A231" s="247"/>
      <c r="B231" s="386"/>
      <c r="C231" s="8"/>
      <c r="D231" s="1427" t="s">
        <v>16241</v>
      </c>
      <c r="E231" s="1395">
        <v>1</v>
      </c>
      <c r="F231" s="1396">
        <v>0.6</v>
      </c>
      <c r="G231" s="1396">
        <f>E231*F231</f>
        <v>0.6</v>
      </c>
      <c r="H231" s="1396">
        <v>3</v>
      </c>
      <c r="I231" s="1397">
        <f>G231*H231</f>
        <v>1.7999999999999998</v>
      </c>
      <c r="J231" s="110"/>
      <c r="K231" s="1692"/>
      <c r="L231" s="1320"/>
    </row>
    <row r="232" spans="1:12" ht="12.75" hidden="1" outlineLevel="1">
      <c r="A232" s="1473"/>
      <c r="B232" s="303"/>
      <c r="C232" s="303"/>
      <c r="D232" s="310"/>
      <c r="E232" s="1447"/>
      <c r="F232" s="306"/>
      <c r="G232" s="1448"/>
      <c r="H232" s="1448"/>
      <c r="I232" s="1449"/>
      <c r="J232" s="110"/>
      <c r="K232" s="1692"/>
      <c r="L232" s="1320"/>
    </row>
    <row r="233" spans="1:12" ht="12.75">
      <c r="A233" s="246" t="s">
        <v>13791</v>
      </c>
      <c r="B233" s="1378"/>
      <c r="C233" s="1378"/>
      <c r="D233" s="1379" t="s">
        <v>16284</v>
      </c>
      <c r="E233" s="1380"/>
      <c r="F233" s="1381"/>
      <c r="G233" s="1380"/>
      <c r="H233" s="1381"/>
      <c r="I233" s="1382"/>
      <c r="J233" s="110"/>
      <c r="K233" s="1588"/>
      <c r="L233" s="262"/>
    </row>
    <row r="234" spans="1:12" ht="25.5" outlineLevel="1">
      <c r="A234" s="1423" t="s">
        <v>13792</v>
      </c>
      <c r="B234" s="295">
        <v>96113</v>
      </c>
      <c r="C234" s="295" t="s">
        <v>14476</v>
      </c>
      <c r="D234" s="658" t="str">
        <f>IFERROR(VLOOKUP($B234,'24.08_ND'!$A$4833:$D$12369,2,0),IFERROR(VLOOKUP($B234,'03-CP'!$C$5:$H$4646,2,0),""))</f>
        <v>FORRO EM PLACAS DE GESSO, PARA AMBIENTES COMERCIAIS. AF_08/2023_PS</v>
      </c>
      <c r="E234" s="1318" t="str">
        <f>IFERROR(VLOOKUP($B234,'24.08_ND'!$A:$D,3,0),IFERROR(VLOOKUP($B234,'03-CP'!$C$5:$H$4646,3,0),""))</f>
        <v>M2</v>
      </c>
      <c r="F234" s="1558">
        <f>SUM(I236:I240)</f>
        <v>60.349999999999994</v>
      </c>
      <c r="G234" s="1387"/>
      <c r="H234" s="1387"/>
      <c r="I234" s="1388"/>
      <c r="J234" s="1672" t="s">
        <v>16387</v>
      </c>
      <c r="K234" s="504"/>
      <c r="L234" s="262"/>
    </row>
    <row r="235" spans="1:12" ht="12.75" hidden="1" outlineLevel="1">
      <c r="A235" s="450"/>
      <c r="B235" s="110"/>
      <c r="C235" s="110"/>
      <c r="D235" s="1435" t="s">
        <v>16404</v>
      </c>
      <c r="E235" s="1240" t="s">
        <v>16252</v>
      </c>
      <c r="F235" s="1425" t="s">
        <v>16232</v>
      </c>
      <c r="G235" s="1391" t="s">
        <v>16233</v>
      </c>
      <c r="H235" s="1240" t="s">
        <v>16234</v>
      </c>
      <c r="I235" s="1426" t="s">
        <v>12615</v>
      </c>
      <c r="J235" s="110"/>
      <c r="K235" s="504"/>
      <c r="L235" s="262"/>
    </row>
    <row r="236" spans="1:12" ht="12.75" hidden="1" outlineLevel="1">
      <c r="A236" s="450"/>
      <c r="B236" s="386"/>
      <c r="C236" s="386"/>
      <c r="D236" s="1419" t="s">
        <v>16502</v>
      </c>
      <c r="E236" s="1420">
        <v>28.2</v>
      </c>
      <c r="F236" s="1421"/>
      <c r="G236" s="1421"/>
      <c r="H236" s="1421">
        <v>5.8</v>
      </c>
      <c r="I236" s="1429">
        <v>22.4</v>
      </c>
      <c r="J236" s="110"/>
      <c r="K236" s="504"/>
      <c r="L236" s="262"/>
    </row>
    <row r="237" spans="1:12" ht="12.75" hidden="1" outlineLevel="1">
      <c r="A237" s="450"/>
      <c r="B237" s="386"/>
      <c r="C237" s="386"/>
      <c r="D237" s="1419" t="s">
        <v>16503</v>
      </c>
      <c r="E237" s="1420">
        <v>35.200000000000003</v>
      </c>
      <c r="F237" s="1421"/>
      <c r="G237" s="1421"/>
      <c r="H237" s="1421">
        <v>5.8</v>
      </c>
      <c r="I237" s="1429">
        <v>29.4</v>
      </c>
      <c r="J237" s="110"/>
      <c r="K237" s="504"/>
      <c r="L237" s="262"/>
    </row>
    <row r="238" spans="1:12" ht="12.75" hidden="1" outlineLevel="1">
      <c r="A238" s="450"/>
      <c r="B238" s="386"/>
      <c r="C238" s="386"/>
      <c r="D238" s="1419" t="s">
        <v>16504</v>
      </c>
      <c r="E238" s="1420">
        <v>3.23</v>
      </c>
      <c r="F238" s="1421"/>
      <c r="G238" s="1421"/>
      <c r="H238" s="1421">
        <v>0.8</v>
      </c>
      <c r="I238" s="1429">
        <v>2.4300000000000002</v>
      </c>
      <c r="J238" s="110"/>
      <c r="K238" s="504"/>
      <c r="L238" s="262"/>
    </row>
    <row r="239" spans="1:12" ht="12.75" hidden="1" outlineLevel="1">
      <c r="A239" s="247"/>
      <c r="B239" s="386"/>
      <c r="C239" s="386"/>
      <c r="D239" s="1419" t="s">
        <v>16505</v>
      </c>
      <c r="E239" s="1420">
        <v>3.23</v>
      </c>
      <c r="F239" s="1421"/>
      <c r="G239" s="1421"/>
      <c r="H239" s="1421">
        <v>0.8</v>
      </c>
      <c r="I239" s="1429">
        <v>2.4300000000000002</v>
      </c>
      <c r="J239" s="110"/>
      <c r="K239" s="504"/>
      <c r="L239" s="262"/>
    </row>
    <row r="240" spans="1:12" ht="12.75" hidden="1" outlineLevel="1">
      <c r="A240" s="247"/>
      <c r="B240" s="386"/>
      <c r="C240" s="386"/>
      <c r="D240" s="1427" t="s">
        <v>16506</v>
      </c>
      <c r="E240" s="1395">
        <v>3.69</v>
      </c>
      <c r="F240" s="1396"/>
      <c r="G240" s="1396"/>
      <c r="H240" s="1396">
        <v>0</v>
      </c>
      <c r="I240" s="1397">
        <v>3.69</v>
      </c>
      <c r="J240" s="110"/>
      <c r="K240" s="504"/>
      <c r="L240" s="262"/>
    </row>
    <row r="241" spans="1:12" ht="12.75" hidden="1" outlineLevel="1">
      <c r="A241" s="247"/>
      <c r="B241" s="386"/>
      <c r="C241" s="386"/>
      <c r="D241" s="253"/>
      <c r="E241" s="1244"/>
      <c r="F241" s="389"/>
      <c r="G241" s="1244"/>
      <c r="H241" s="1244"/>
      <c r="I241" s="1409"/>
      <c r="J241" s="110"/>
      <c r="K241" s="504"/>
      <c r="L241" s="262"/>
    </row>
    <row r="242" spans="1:12" ht="25.5" outlineLevel="1">
      <c r="A242" s="1423" t="s">
        <v>13793</v>
      </c>
      <c r="B242" s="295" t="s">
        <v>15068</v>
      </c>
      <c r="C242" s="295" t="s">
        <v>14472</v>
      </c>
      <c r="D242" s="658" t="str">
        <f>IFERROR(VLOOKUP($B242,'24.08_ND'!$A$4833:$D$12369,2,0),IFERROR(VLOOKUP($B242,'03-CP'!$C$5:$H$4646,2,0),""))</f>
        <v>ACABAMENTO PARA FORRO EM TABICA FECHADA, LISA, FORMATO Z EM AÇO GALVANIZADO</v>
      </c>
      <c r="E242" s="1318" t="str">
        <f>IFERROR(VLOOKUP($B242,'24.08_ND'!$A:$D,3,0),IFERROR(VLOOKUP($B242,'03-CP'!$C$5:$H$4646,3,0),""))</f>
        <v>M</v>
      </c>
      <c r="F242" s="1558">
        <f>SUM(I244:I248)</f>
        <v>42.730000000000004</v>
      </c>
      <c r="G242" s="1387"/>
      <c r="H242" s="1387"/>
      <c r="I242" s="1388"/>
      <c r="J242" s="1672" t="s">
        <v>16387</v>
      </c>
      <c r="K242" s="504"/>
      <c r="L242" s="262"/>
    </row>
    <row r="243" spans="1:12" ht="12.75" hidden="1" outlineLevel="1">
      <c r="A243" s="247"/>
      <c r="B243" s="386"/>
      <c r="C243" s="386"/>
      <c r="D243" s="1435" t="s">
        <v>16404</v>
      </c>
      <c r="E243" s="1240" t="s">
        <v>16252</v>
      </c>
      <c r="F243" s="1425" t="s">
        <v>16232</v>
      </c>
      <c r="G243" s="1391" t="s">
        <v>16233</v>
      </c>
      <c r="H243" s="1240" t="s">
        <v>16234</v>
      </c>
      <c r="I243" s="1426" t="s">
        <v>12615</v>
      </c>
      <c r="J243" s="110"/>
      <c r="K243" s="504"/>
      <c r="L243" s="262"/>
    </row>
    <row r="244" spans="1:12" ht="12.75" hidden="1" outlineLevel="1">
      <c r="A244" s="247"/>
      <c r="B244" s="386"/>
      <c r="C244" s="386"/>
      <c r="D244" s="1419" t="s">
        <v>16502</v>
      </c>
      <c r="E244" s="1420">
        <v>11.11</v>
      </c>
      <c r="F244" s="1421"/>
      <c r="G244" s="1420"/>
      <c r="H244" s="1421">
        <v>1</v>
      </c>
      <c r="I244" s="1429">
        <v>11.11</v>
      </c>
      <c r="J244" s="110"/>
      <c r="K244" s="504"/>
      <c r="L244" s="262"/>
    </row>
    <row r="245" spans="1:12" ht="12.75" hidden="1" outlineLevel="1">
      <c r="A245" s="247"/>
      <c r="B245" s="386"/>
      <c r="C245" s="386"/>
      <c r="D245" s="1419" t="s">
        <v>16503</v>
      </c>
      <c r="E245" s="1420">
        <v>13.16</v>
      </c>
      <c r="F245" s="1421"/>
      <c r="G245" s="1420"/>
      <c r="H245" s="1421">
        <v>1</v>
      </c>
      <c r="I245" s="1429">
        <v>13.16</v>
      </c>
      <c r="J245" s="110"/>
      <c r="K245" s="504"/>
      <c r="L245" s="262"/>
    </row>
    <row r="246" spans="1:12" ht="12.75" hidden="1" outlineLevel="1">
      <c r="A246" s="247"/>
      <c r="B246" s="386"/>
      <c r="C246" s="386"/>
      <c r="D246" s="1419" t="s">
        <v>16504</v>
      </c>
      <c r="E246" s="1420">
        <v>5.1100000000000003</v>
      </c>
      <c r="F246" s="1421"/>
      <c r="G246" s="1420"/>
      <c r="H246" s="1421">
        <v>1</v>
      </c>
      <c r="I246" s="1429">
        <v>5.1100000000000003</v>
      </c>
      <c r="J246" s="110"/>
      <c r="K246" s="504"/>
      <c r="L246" s="262"/>
    </row>
    <row r="247" spans="1:12" ht="12.75" hidden="1" outlineLevel="1">
      <c r="A247" s="247"/>
      <c r="B247" s="386"/>
      <c r="C247" s="386"/>
      <c r="D247" s="1419" t="s">
        <v>16505</v>
      </c>
      <c r="E247" s="1420">
        <v>5.1100000000000003</v>
      </c>
      <c r="F247" s="1421"/>
      <c r="G247" s="1420"/>
      <c r="H247" s="1421">
        <v>1</v>
      </c>
      <c r="I247" s="1429">
        <v>5.1100000000000003</v>
      </c>
      <c r="J247" s="110"/>
      <c r="K247" s="504"/>
      <c r="L247" s="262"/>
    </row>
    <row r="248" spans="1:12" ht="12.75" hidden="1" outlineLevel="1">
      <c r="A248" s="247"/>
      <c r="B248" s="386"/>
      <c r="C248" s="386"/>
      <c r="D248" s="1427" t="s">
        <v>16506</v>
      </c>
      <c r="E248" s="1395">
        <v>8.24</v>
      </c>
      <c r="F248" s="1396"/>
      <c r="G248" s="1395"/>
      <c r="H248" s="1396">
        <v>1</v>
      </c>
      <c r="I248" s="1397">
        <v>8.24</v>
      </c>
      <c r="J248" s="110"/>
      <c r="K248" s="504"/>
      <c r="L248" s="262"/>
    </row>
    <row r="249" spans="1:12" ht="12.75" hidden="1" outlineLevel="1">
      <c r="A249" s="247"/>
      <c r="B249" s="386"/>
      <c r="C249" s="386"/>
      <c r="D249" s="253"/>
      <c r="E249" s="1244"/>
      <c r="F249" s="389"/>
      <c r="G249" s="1244"/>
      <c r="H249" s="1244"/>
      <c r="I249" s="1409"/>
      <c r="J249" s="110"/>
      <c r="K249" s="504"/>
      <c r="L249" s="262"/>
    </row>
    <row r="250" spans="1:12" ht="23.25" outlineLevel="1">
      <c r="A250" s="1423" t="s">
        <v>13794</v>
      </c>
      <c r="B250" s="295" t="s">
        <v>14964</v>
      </c>
      <c r="C250" s="295" t="s">
        <v>14472</v>
      </c>
      <c r="D250" s="658" t="str">
        <f>IFERROR(VLOOKUP($B250,'24.08_ND'!$A$4833:$D$12369,2,0),IFERROR(VLOOKUP($B250,'03-CP'!$C$5:$H$4646,2,0),""))</f>
        <v>SANCA ILUMINADA 30x15 CM EM GESSO ACARTONADO</v>
      </c>
      <c r="E250" s="1318" t="str">
        <f>IFERROR(VLOOKUP($B250,'24.08_ND'!$A:$D,3,0),IFERROR(VLOOKUP($B250,'03-CP'!$C$5:$H$4646,3,0),""))</f>
        <v>M</v>
      </c>
      <c r="F250" s="1583">
        <f>18.74+18.74+2.57+2.57</f>
        <v>42.62</v>
      </c>
      <c r="G250" s="1387"/>
      <c r="H250" s="1387"/>
      <c r="I250" s="1388"/>
      <c r="J250" s="1672" t="s">
        <v>16387</v>
      </c>
      <c r="K250" s="504"/>
      <c r="L250" s="262"/>
    </row>
    <row r="251" spans="1:12" ht="38.25" outlineLevel="1">
      <c r="A251" s="1423" t="s">
        <v>13795</v>
      </c>
      <c r="B251" s="295" t="s">
        <v>14885</v>
      </c>
      <c r="C251" s="295" t="s">
        <v>14472</v>
      </c>
      <c r="D251" s="658" t="str">
        <f>IFERROR(VLOOKUP($B251,'24.08_ND'!$A$4833:$D$12369,2,0),IFERROR(VLOOKUP($B251,'03-CP'!$C$5:$H$4646,2,0),""))</f>
        <v>TELHAMENTO COM TELHA METÁLICA TERMOACÚSTICA E = 30 MM, COM ATÉ 2 ÁGUAS, CHAPA/CHAPA, PRÉ-PINTADA NAS DUAS FACES- INCLUSO IÇAMENTO.</v>
      </c>
      <c r="E251" s="1318" t="str">
        <f>IFERROR(VLOOKUP($B251,'24.08_ND'!$A:$D,3,0),IFERROR(VLOOKUP($B251,'03-CP'!$C$5:$H$4646,3,0),""))</f>
        <v>M2</v>
      </c>
      <c r="F251" s="1558">
        <f>SUM(I253:I255)</f>
        <v>198.71</v>
      </c>
      <c r="G251" s="1387"/>
      <c r="H251" s="1387"/>
      <c r="I251" s="1388"/>
      <c r="J251" s="1672" t="s">
        <v>16387</v>
      </c>
      <c r="K251" s="504"/>
      <c r="L251" s="262"/>
    </row>
    <row r="252" spans="1:12" hidden="1" outlineLevel="1">
      <c r="A252" s="247"/>
      <c r="B252" s="386"/>
      <c r="C252" s="386"/>
      <c r="D252" s="1435" t="s">
        <v>16404</v>
      </c>
      <c r="E252" s="1240" t="s">
        <v>16252</v>
      </c>
      <c r="F252" s="1425" t="s">
        <v>16232</v>
      </c>
      <c r="G252" s="1391" t="s">
        <v>16233</v>
      </c>
      <c r="H252" s="1240" t="s">
        <v>16234</v>
      </c>
      <c r="I252" s="1426" t="s">
        <v>12615</v>
      </c>
      <c r="J252" s="110"/>
      <c r="K252" s="1693"/>
      <c r="L252" s="261"/>
    </row>
    <row r="253" spans="1:12" hidden="1" outlineLevel="1">
      <c r="A253" s="247"/>
      <c r="B253" s="386"/>
      <c r="C253" s="386"/>
      <c r="D253" s="1419" t="s">
        <v>16514</v>
      </c>
      <c r="E253" s="1420">
        <v>26.58</v>
      </c>
      <c r="F253" s="1421"/>
      <c r="G253" s="1420"/>
      <c r="H253" s="1421">
        <v>1</v>
      </c>
      <c r="I253" s="1429">
        <v>26.58</v>
      </c>
      <c r="J253" s="110"/>
      <c r="K253" s="1693"/>
      <c r="L253" s="261"/>
    </row>
    <row r="254" spans="1:12" hidden="1" outlineLevel="1">
      <c r="A254" s="247"/>
      <c r="B254" s="386"/>
      <c r="C254" s="386"/>
      <c r="D254" s="1419" t="s">
        <v>16515</v>
      </c>
      <c r="E254" s="1420">
        <v>59.29</v>
      </c>
      <c r="F254" s="1421"/>
      <c r="G254" s="1420"/>
      <c r="H254" s="1421">
        <v>1</v>
      </c>
      <c r="I254" s="1429">
        <v>59.29</v>
      </c>
      <c r="J254" s="110"/>
      <c r="K254" s="1693"/>
      <c r="L254" s="261"/>
    </row>
    <row r="255" spans="1:12" hidden="1" outlineLevel="1">
      <c r="A255" s="247"/>
      <c r="B255" s="386"/>
      <c r="C255" s="386"/>
      <c r="D255" s="1427" t="s">
        <v>16516</v>
      </c>
      <c r="E255" s="1395">
        <v>102.58</v>
      </c>
      <c r="F255" s="1396"/>
      <c r="G255" s="1395"/>
      <c r="H255" s="1396">
        <v>1</v>
      </c>
      <c r="I255" s="1397">
        <v>112.84</v>
      </c>
      <c r="J255" s="110"/>
      <c r="K255" s="1693"/>
      <c r="L255" s="261"/>
    </row>
    <row r="256" spans="1:12" ht="17.25" hidden="1" outlineLevel="1">
      <c r="A256" s="248"/>
      <c r="B256" s="386"/>
      <c r="C256" s="386"/>
      <c r="D256" s="1314"/>
      <c r="E256" s="1315"/>
      <c r="F256" s="1694"/>
      <c r="G256" s="1244"/>
      <c r="H256" s="1244"/>
      <c r="I256" s="1409"/>
      <c r="J256" s="110"/>
      <c r="K256" s="1588"/>
      <c r="L256" s="262"/>
    </row>
    <row r="257" spans="1:12" ht="25.5" outlineLevel="1">
      <c r="A257" s="1423" t="s">
        <v>13796</v>
      </c>
      <c r="B257" s="295" t="s">
        <v>14956</v>
      </c>
      <c r="C257" s="295" t="s">
        <v>14472</v>
      </c>
      <c r="D257" s="658" t="str">
        <f>IFERROR(VLOOKUP($B257,'24.08_ND'!$A$4833:$D$12369,2,0),IFERROR(VLOOKUP($B257,'03-CP'!$C$5:$H$4646,2,0),""))</f>
        <v>RUFO/ CHAPIM EM CHAPA DE AÇO GALVANIZADO NÚMERO 24, INCLUSO TRANSPORTE VERTICAL - FORNECIMENTO E INSTALAÇÃO</v>
      </c>
      <c r="E257" s="1318" t="str">
        <f>IFERROR(VLOOKUP($B257,'24.08_ND'!$A:$D,3,0),IFERROR(VLOOKUP($B257,'03-CP'!$C$5:$H$4646,3,0),""))</f>
        <v>M2</v>
      </c>
      <c r="F257" s="1583">
        <f>SUM(I259:I265)</f>
        <v>82.381</v>
      </c>
      <c r="G257" s="1387"/>
      <c r="H257" s="1387"/>
      <c r="I257" s="1388"/>
      <c r="J257" s="1672" t="s">
        <v>16387</v>
      </c>
      <c r="K257" s="1588"/>
      <c r="L257" s="262"/>
    </row>
    <row r="258" spans="1:12" ht="12.75" hidden="1" outlineLevel="1">
      <c r="A258" s="450"/>
      <c r="B258" s="386"/>
      <c r="C258" s="386"/>
      <c r="D258" s="1695" t="s">
        <v>16404</v>
      </c>
      <c r="E258" s="1696" t="s">
        <v>16252</v>
      </c>
      <c r="F258" s="1697" t="s">
        <v>16232</v>
      </c>
      <c r="G258" s="1698" t="s">
        <v>16233</v>
      </c>
      <c r="H258" s="1696" t="s">
        <v>16234</v>
      </c>
      <c r="I258" s="1699" t="s">
        <v>12615</v>
      </c>
      <c r="J258" s="110"/>
      <c r="K258" s="1588"/>
      <c r="L258" s="262"/>
    </row>
    <row r="259" spans="1:12" ht="12.75" hidden="1" outlineLevel="1">
      <c r="A259" s="450"/>
      <c r="B259" s="386"/>
      <c r="C259" s="386"/>
      <c r="D259" s="1700" t="s">
        <v>16517</v>
      </c>
      <c r="E259" s="1420">
        <v>30.03</v>
      </c>
      <c r="F259" s="1421">
        <v>0.55000000000000004</v>
      </c>
      <c r="G259" s="1420">
        <f t="shared" ref="G259:G265" si="2">E259*F259</f>
        <v>16.516500000000001</v>
      </c>
      <c r="H259" s="1421"/>
      <c r="I259" s="1429">
        <f t="shared" ref="I259:I265" si="3">G259</f>
        <v>16.516500000000001</v>
      </c>
      <c r="J259" s="110"/>
      <c r="K259" s="1588"/>
      <c r="L259" s="262"/>
    </row>
    <row r="260" spans="1:12" ht="12.75" hidden="1" outlineLevel="1">
      <c r="A260" s="450"/>
      <c r="B260" s="386"/>
      <c r="C260" s="386"/>
      <c r="D260" s="1700" t="s">
        <v>16518</v>
      </c>
      <c r="E260" s="1420">
        <v>11.04</v>
      </c>
      <c r="F260" s="1421">
        <v>0.9</v>
      </c>
      <c r="G260" s="1420">
        <f t="shared" si="2"/>
        <v>9.9359999999999999</v>
      </c>
      <c r="H260" s="1421">
        <v>1</v>
      </c>
      <c r="I260" s="1429">
        <f t="shared" si="3"/>
        <v>9.9359999999999999</v>
      </c>
      <c r="J260" s="110"/>
      <c r="K260" s="1588"/>
      <c r="L260" s="262"/>
    </row>
    <row r="261" spans="1:12" ht="12.75" hidden="1" outlineLevel="1">
      <c r="A261" s="247"/>
      <c r="B261" s="386"/>
      <c r="C261" s="386"/>
      <c r="D261" s="1700" t="s">
        <v>16519</v>
      </c>
      <c r="E261" s="1420">
        <v>25.48</v>
      </c>
      <c r="F261" s="1421">
        <v>0.9</v>
      </c>
      <c r="G261" s="1420">
        <f t="shared" si="2"/>
        <v>22.932000000000002</v>
      </c>
      <c r="H261" s="1421">
        <v>1</v>
      </c>
      <c r="I261" s="1429">
        <f t="shared" si="3"/>
        <v>22.932000000000002</v>
      </c>
      <c r="J261" s="110"/>
      <c r="K261" s="1588"/>
      <c r="L261" s="262"/>
    </row>
    <row r="262" spans="1:12" ht="12.75" hidden="1" outlineLevel="1">
      <c r="A262" s="247"/>
      <c r="B262" s="386"/>
      <c r="C262" s="386"/>
      <c r="D262" s="1700" t="s">
        <v>16518</v>
      </c>
      <c r="E262" s="1420">
        <v>11.04</v>
      </c>
      <c r="F262" s="1421">
        <v>0.2</v>
      </c>
      <c r="G262" s="1420">
        <f t="shared" si="2"/>
        <v>2.2079999999999997</v>
      </c>
      <c r="H262" s="1421">
        <v>1</v>
      </c>
      <c r="I262" s="1429">
        <f t="shared" si="3"/>
        <v>2.2079999999999997</v>
      </c>
      <c r="J262" s="110"/>
      <c r="K262" s="1588"/>
      <c r="L262" s="262"/>
    </row>
    <row r="263" spans="1:12" ht="12.75" hidden="1" outlineLevel="1">
      <c r="A263" s="247"/>
      <c r="B263" s="386"/>
      <c r="C263" s="386"/>
      <c r="D263" s="1700" t="s">
        <v>16520</v>
      </c>
      <c r="E263" s="1420">
        <v>54.79</v>
      </c>
      <c r="F263" s="1421">
        <v>0.47</v>
      </c>
      <c r="G263" s="1420">
        <f t="shared" si="2"/>
        <v>25.751299999999997</v>
      </c>
      <c r="H263" s="1421">
        <v>1</v>
      </c>
      <c r="I263" s="1429">
        <f t="shared" si="3"/>
        <v>25.751299999999997</v>
      </c>
      <c r="J263" s="110"/>
      <c r="K263" s="1588"/>
      <c r="L263" s="262"/>
    </row>
    <row r="264" spans="1:12" ht="12.75" hidden="1" outlineLevel="1">
      <c r="A264" s="247"/>
      <c r="B264" s="386"/>
      <c r="C264" s="386"/>
      <c r="D264" s="1700" t="s">
        <v>16492</v>
      </c>
      <c r="E264" s="1420">
        <v>11.19</v>
      </c>
      <c r="F264" s="1421">
        <v>0.28000000000000003</v>
      </c>
      <c r="G264" s="1420">
        <f t="shared" si="2"/>
        <v>3.1332</v>
      </c>
      <c r="H264" s="1421">
        <v>1</v>
      </c>
      <c r="I264" s="1429">
        <f t="shared" si="3"/>
        <v>3.1332</v>
      </c>
      <c r="J264" s="110"/>
      <c r="K264" s="1588"/>
      <c r="L264" s="262"/>
    </row>
    <row r="265" spans="1:12" ht="12.75" hidden="1" outlineLevel="1">
      <c r="A265" s="247"/>
      <c r="B265" s="386"/>
      <c r="C265" s="386"/>
      <c r="D265" s="1701" t="s">
        <v>16521</v>
      </c>
      <c r="E265" s="1702">
        <v>6.8</v>
      </c>
      <c r="F265" s="1703">
        <v>0.28000000000000003</v>
      </c>
      <c r="G265" s="1702">
        <f t="shared" si="2"/>
        <v>1.9040000000000001</v>
      </c>
      <c r="H265" s="1703">
        <v>1</v>
      </c>
      <c r="I265" s="1704">
        <f t="shared" si="3"/>
        <v>1.9040000000000001</v>
      </c>
      <c r="J265" s="110"/>
      <c r="K265" s="1588"/>
      <c r="L265" s="262"/>
    </row>
    <row r="266" spans="1:12" ht="12.75" hidden="1" outlineLevel="1">
      <c r="A266" s="247"/>
      <c r="B266" s="386"/>
      <c r="C266" s="386"/>
      <c r="D266" s="253"/>
      <c r="E266" s="1244"/>
      <c r="F266" s="389"/>
      <c r="G266" s="1244"/>
      <c r="H266" s="1244"/>
      <c r="I266" s="1409"/>
      <c r="J266" s="110"/>
      <c r="K266" s="1588"/>
      <c r="L266" s="262"/>
    </row>
    <row r="267" spans="1:12" ht="25.5" outlineLevel="1">
      <c r="A267" s="1423" t="s">
        <v>13797</v>
      </c>
      <c r="B267" s="295" t="s">
        <v>14882</v>
      </c>
      <c r="C267" s="295" t="s">
        <v>14472</v>
      </c>
      <c r="D267" s="658" t="str">
        <f>IFERROR(VLOOKUP($B267,'24.08_ND'!$A$4833:$D$12369,2,0),IFERROR(VLOOKUP($B267,'03-CP'!$C$5:$H$4646,2,0),""))</f>
        <v>CUMEEIRA METÁLICA EM AÇO GALVANIZADO, DESENVOLVIMENTO 40 CM - FORNECIMENTO E INSTALAÇÃO</v>
      </c>
      <c r="E267" s="1318" t="str">
        <f>IFERROR(VLOOKUP($B267,'24.08_ND'!$A:$D,3,0),IFERROR(VLOOKUP($B267,'03-CP'!$C$5:$H$4646,3,0),""))</f>
        <v>M</v>
      </c>
      <c r="F267" s="1583">
        <v>7.12</v>
      </c>
      <c r="G267" s="1387"/>
      <c r="H267" s="1387"/>
      <c r="I267" s="1388"/>
      <c r="J267" s="1672" t="s">
        <v>16387</v>
      </c>
      <c r="K267" s="1588"/>
      <c r="L267" s="262"/>
    </row>
    <row r="268" spans="1:12" ht="25.5" outlineLevel="1">
      <c r="A268" s="1423" t="s">
        <v>13798</v>
      </c>
      <c r="B268" s="295" t="s">
        <v>15032</v>
      </c>
      <c r="C268" s="295" t="s">
        <v>14472</v>
      </c>
      <c r="D268" s="658" t="str">
        <f>IFERROR(VLOOKUP($B268,'24.08_ND'!$A$4833:$D$12369,2,0),IFERROR(VLOOKUP($B268,'03-CP'!$C$5:$H$4646,2,0),""))</f>
        <v>FORRO VINÍLICO, INCLUSIVE ESTRUTURA BIDIRECIONAL DE FIXAÇÃO. FORNECIMENTO E INSTALAÇÃO</v>
      </c>
      <c r="E268" s="1318" t="str">
        <f>IFERROR(VLOOKUP($B268,'24.08_ND'!$A:$D,3,0),IFERROR(VLOOKUP($B268,'03-CP'!$C$5:$H$4646,3,0),""))</f>
        <v>M2</v>
      </c>
      <c r="F268" s="1583">
        <v>76.010000000000005</v>
      </c>
      <c r="G268" s="1387"/>
      <c r="H268" s="1387"/>
      <c r="I268" s="1388"/>
      <c r="J268" s="1672" t="s">
        <v>16387</v>
      </c>
      <c r="K268" s="1588"/>
      <c r="L268" s="262"/>
    </row>
    <row r="269" spans="1:12" ht="23.25" outlineLevel="1">
      <c r="A269" s="1423" t="s">
        <v>13799</v>
      </c>
      <c r="B269" s="295" t="s">
        <v>14966</v>
      </c>
      <c r="C269" s="295" t="s">
        <v>14472</v>
      </c>
      <c r="D269" s="658" t="str">
        <f>IFERROR(VLOOKUP($B269,'24.08_ND'!$A$4833:$D$12369,2,0),IFERROR(VLOOKUP($B269,'03-CP'!$C$5:$H$4646,2,0),""))</f>
        <v>BORDA EM ALUMÍNIO PARA ACABAMENTO EM ALÇAPÃO EM FORRO</v>
      </c>
      <c r="E269" s="1318" t="str">
        <f>IFERROR(VLOOKUP($B269,'24.08_ND'!$A:$D,3,0),IFERROR(VLOOKUP($B269,'03-CP'!$C$5:$H$4646,3,0),""))</f>
        <v>M</v>
      </c>
      <c r="F269" s="1583">
        <v>3.6</v>
      </c>
      <c r="G269" s="1387"/>
      <c r="H269" s="1387"/>
      <c r="I269" s="1388"/>
      <c r="J269" s="1672" t="s">
        <v>16387</v>
      </c>
      <c r="K269" s="1588"/>
      <c r="L269" s="262"/>
    </row>
    <row r="270" spans="1:12" ht="12.75" hidden="1" outlineLevel="1">
      <c r="A270" s="248"/>
      <c r="B270" s="4"/>
      <c r="C270" s="4"/>
      <c r="D270" s="4"/>
      <c r="E270" s="4"/>
      <c r="F270" s="4"/>
      <c r="G270" s="4"/>
      <c r="H270" s="4"/>
      <c r="I270" s="1126"/>
      <c r="J270" s="110"/>
      <c r="K270" s="1588"/>
      <c r="L270" s="262"/>
    </row>
    <row r="271" spans="1:12" ht="12.75">
      <c r="A271" s="246" t="s">
        <v>13800</v>
      </c>
      <c r="B271" s="1378"/>
      <c r="C271" s="1378"/>
      <c r="D271" s="1379" t="s">
        <v>16290</v>
      </c>
      <c r="E271" s="1380"/>
      <c r="F271" s="1381"/>
      <c r="G271" s="1380"/>
      <c r="H271" s="1381"/>
      <c r="I271" s="1382"/>
      <c r="J271" s="110"/>
      <c r="K271" s="1588"/>
      <c r="L271" s="262"/>
    </row>
    <row r="272" spans="1:12" ht="23.25" outlineLevel="1">
      <c r="A272" s="1423" t="s">
        <v>13801</v>
      </c>
      <c r="B272" s="295" t="s">
        <v>14958</v>
      </c>
      <c r="C272" s="295" t="s">
        <v>14472</v>
      </c>
      <c r="D272" s="658" t="str">
        <f>IFERROR(VLOOKUP($B272,'24.08_ND'!$A$4833:$D$12369,2,0),IFERROR(VLOOKUP($B272,'03-CP'!$C$5:$H$4646,2,0),""))</f>
        <v>ESPELHO ESP 4MM COM ACABAMENTO - FORNECIMENTO E INSTALAÇÃO</v>
      </c>
      <c r="E272" s="1318" t="str">
        <f>IFERROR(VLOOKUP($B272,'24.08_ND'!$A:$D,3,0),IFERROR(VLOOKUP($B272,'03-CP'!$C$5:$H$4646,3,0),""))</f>
        <v>M2</v>
      </c>
      <c r="F272" s="1671">
        <f>SUM(I274:I277)</f>
        <v>7.5</v>
      </c>
      <c r="G272" s="1387"/>
      <c r="H272" s="1387"/>
      <c r="I272" s="1388"/>
      <c r="J272" s="1672" t="s">
        <v>16387</v>
      </c>
      <c r="K272" s="504"/>
      <c r="L272" s="262"/>
    </row>
    <row r="273" spans="1:12" ht="12.75" hidden="1" outlineLevel="1">
      <c r="A273" s="450"/>
      <c r="B273" s="110"/>
      <c r="C273" s="110"/>
      <c r="D273" s="1435" t="s">
        <v>16404</v>
      </c>
      <c r="E273" s="1240" t="s">
        <v>16252</v>
      </c>
      <c r="F273" s="1425" t="s">
        <v>16232</v>
      </c>
      <c r="G273" s="1391" t="s">
        <v>16233</v>
      </c>
      <c r="H273" s="1240" t="s">
        <v>16234</v>
      </c>
      <c r="I273" s="1426" t="s">
        <v>12615</v>
      </c>
      <c r="J273" s="110"/>
      <c r="K273" s="504"/>
      <c r="L273" s="262"/>
    </row>
    <row r="274" spans="1:12" ht="12.75" hidden="1" outlineLevel="1">
      <c r="A274" s="450"/>
      <c r="B274" s="386"/>
      <c r="C274" s="386"/>
      <c r="D274" s="1418" t="s">
        <v>16502</v>
      </c>
      <c r="E274" s="1244">
        <v>0.5</v>
      </c>
      <c r="F274" s="389">
        <v>1.5</v>
      </c>
      <c r="G274" s="1244">
        <v>0.75</v>
      </c>
      <c r="H274" s="1244">
        <v>4</v>
      </c>
      <c r="I274" s="1409">
        <f>G274*H274</f>
        <v>3</v>
      </c>
      <c r="J274" s="110"/>
      <c r="K274" s="504"/>
      <c r="L274" s="262"/>
    </row>
    <row r="275" spans="1:12" ht="12.75" hidden="1" outlineLevel="1">
      <c r="A275" s="450"/>
      <c r="B275" s="386"/>
      <c r="C275" s="386"/>
      <c r="D275" s="1418" t="s">
        <v>16503</v>
      </c>
      <c r="E275" s="1244">
        <v>0.5</v>
      </c>
      <c r="F275" s="389">
        <v>1.5</v>
      </c>
      <c r="G275" s="1244">
        <v>0.75</v>
      </c>
      <c r="H275" s="1244">
        <v>4</v>
      </c>
      <c r="I275" s="1409">
        <f>G275*H275</f>
        <v>3</v>
      </c>
      <c r="J275" s="110"/>
      <c r="K275" s="504"/>
      <c r="L275" s="262"/>
    </row>
    <row r="276" spans="1:12" ht="12.75" hidden="1" outlineLevel="1">
      <c r="A276" s="247"/>
      <c r="B276" s="386"/>
      <c r="C276" s="386"/>
      <c r="D276" s="1418" t="s">
        <v>16504</v>
      </c>
      <c r="E276" s="1244">
        <v>0.5</v>
      </c>
      <c r="F276" s="389">
        <v>1.5</v>
      </c>
      <c r="G276" s="1244">
        <v>0.75</v>
      </c>
      <c r="H276" s="1244">
        <v>1</v>
      </c>
      <c r="I276" s="1409">
        <f>G276*H276</f>
        <v>0.75</v>
      </c>
      <c r="J276" s="110"/>
      <c r="K276" s="504"/>
      <c r="L276" s="262"/>
    </row>
    <row r="277" spans="1:12" ht="12.75" hidden="1" outlineLevel="1">
      <c r="A277" s="247"/>
      <c r="B277" s="386"/>
      <c r="C277" s="386"/>
      <c r="D277" s="1427" t="s">
        <v>16505</v>
      </c>
      <c r="E277" s="1395">
        <v>0.5</v>
      </c>
      <c r="F277" s="1396">
        <v>1.5</v>
      </c>
      <c r="G277" s="1248">
        <v>0.75</v>
      </c>
      <c r="H277" s="1248">
        <v>1</v>
      </c>
      <c r="I277" s="1281">
        <f>G277*H277</f>
        <v>0.75</v>
      </c>
      <c r="J277" s="110"/>
      <c r="K277" s="504"/>
      <c r="L277" s="262"/>
    </row>
    <row r="278" spans="1:12" ht="51" outlineLevel="1">
      <c r="A278" s="1423" t="s">
        <v>13802</v>
      </c>
      <c r="B278" s="295" t="s">
        <v>15020</v>
      </c>
      <c r="C278" s="295" t="s">
        <v>14472</v>
      </c>
      <c r="D278" s="658" t="str">
        <f>IFERROR(VLOOKUP($B278,'24.08_ND'!$A$4833:$D$12369,2,0),IFERROR(VLOOKUP($B278,'03-CP'!$C$5:$H$4646,2,0),""))</f>
        <v>PLACA EM AÇO GALVANIZADO E=2 MM, COM PERFURAÇÃO ARTÍSTICA PERSONALIZADA, PROTEÇÃO DE SUPERFÍCIE COM 01 DEMÃO DE FUNDO ANTICORROSIVO, E PINTURA DE 02 DEMÃOS EM ESMALTE SINTÉTICO FOSCO, PULVERIZADO</v>
      </c>
      <c r="E278" s="1318" t="str">
        <f>IFERROR(VLOOKUP($B278,'24.08_ND'!$A:$D,3,0),IFERROR(VLOOKUP($B278,'03-CP'!$C$5:$H$4646,3,0),""))</f>
        <v>M2</v>
      </c>
      <c r="F278" s="1671">
        <f>2.6*3.17</f>
        <v>8.2420000000000009</v>
      </c>
      <c r="G278" s="1387"/>
      <c r="H278" s="1387"/>
      <c r="I278" s="1388"/>
      <c r="J278" s="1672" t="s">
        <v>16387</v>
      </c>
      <c r="K278" s="504"/>
      <c r="L278" s="262"/>
    </row>
    <row r="279" spans="1:12" ht="25.5" outlineLevel="1">
      <c r="A279" s="1423" t="s">
        <v>13803</v>
      </c>
      <c r="B279" s="295" t="s">
        <v>15022</v>
      </c>
      <c r="C279" s="295" t="s">
        <v>14472</v>
      </c>
      <c r="D279" s="658" t="str">
        <f>IFERROR(VLOOKUP($B279,'24.08_ND'!$A$4833:$D$12369,2,0),IFERROR(VLOOKUP($B279,'03-CP'!$C$5:$H$4646,2,0),""))</f>
        <v>BANCADA EM GRANITO SÃO GABRIEL,ESCOVADO, E=2 CM, ASSENTADO COM ARGAMASSA COLANTE</v>
      </c>
      <c r="E279" s="1318" t="str">
        <f>IFERROR(VLOOKUP($B279,'24.08_ND'!$A:$D,3,0),IFERROR(VLOOKUP($B279,'03-CP'!$C$5:$H$4646,3,0),""))</f>
        <v>M2</v>
      </c>
      <c r="F279" s="1671">
        <f>SUM(I281:I289)</f>
        <v>14.489999999999997</v>
      </c>
      <c r="G279" s="1387"/>
      <c r="H279" s="1387"/>
      <c r="I279" s="1388"/>
      <c r="J279" s="1672" t="s">
        <v>16387</v>
      </c>
      <c r="K279" s="504"/>
      <c r="L279" s="262"/>
    </row>
    <row r="280" spans="1:12" ht="12.75" hidden="1" outlineLevel="1">
      <c r="A280" s="1675"/>
      <c r="B280" s="110"/>
      <c r="C280" s="110"/>
      <c r="D280" s="1435" t="s">
        <v>16404</v>
      </c>
      <c r="E280" s="1240" t="s">
        <v>16522</v>
      </c>
      <c r="F280" s="1425" t="s">
        <v>16523</v>
      </c>
      <c r="G280" s="1391" t="s">
        <v>16524</v>
      </c>
      <c r="H280" s="1240" t="s">
        <v>16234</v>
      </c>
      <c r="I280" s="1426" t="s">
        <v>12615</v>
      </c>
      <c r="J280" s="110"/>
      <c r="K280" s="504"/>
      <c r="L280" s="262"/>
    </row>
    <row r="281" spans="1:12" ht="12.75" hidden="1" outlineLevel="1">
      <c r="A281" s="247"/>
      <c r="B281" s="386"/>
      <c r="C281" s="386"/>
      <c r="D281" s="1418" t="s">
        <v>16525</v>
      </c>
      <c r="E281" s="1244">
        <v>4.2699999999999996</v>
      </c>
      <c r="F281" s="389">
        <v>0.15</v>
      </c>
      <c r="G281" s="1244">
        <f>E281*F281</f>
        <v>0.64049999999999996</v>
      </c>
      <c r="H281" s="1244">
        <v>2</v>
      </c>
      <c r="I281" s="1409">
        <v>1.28</v>
      </c>
      <c r="J281" s="110"/>
      <c r="K281" s="504"/>
      <c r="L281" s="262"/>
    </row>
    <row r="282" spans="1:12" ht="12.75" hidden="1" outlineLevel="1">
      <c r="A282" s="247"/>
      <c r="B282" s="386"/>
      <c r="C282" s="386"/>
      <c r="D282" s="1418" t="s">
        <v>16526</v>
      </c>
      <c r="E282" s="1244">
        <v>4.58</v>
      </c>
      <c r="F282" s="389">
        <v>0.27</v>
      </c>
      <c r="G282" s="1244">
        <v>1.24</v>
      </c>
      <c r="H282" s="1244">
        <v>2</v>
      </c>
      <c r="I282" s="1409">
        <v>2.4700000000000002</v>
      </c>
      <c r="J282" s="110"/>
      <c r="K282" s="504"/>
      <c r="L282" s="262"/>
    </row>
    <row r="283" spans="1:12" ht="12.75" hidden="1" outlineLevel="1">
      <c r="A283" s="247"/>
      <c r="B283" s="386"/>
      <c r="C283" s="386"/>
      <c r="D283" s="1418" t="s">
        <v>16527</v>
      </c>
      <c r="E283" s="1244"/>
      <c r="F283" s="389"/>
      <c r="G283" s="1244">
        <v>2.2799999999999998</v>
      </c>
      <c r="H283" s="1244">
        <v>2</v>
      </c>
      <c r="I283" s="1409">
        <v>4.5599999999999996</v>
      </c>
      <c r="J283" s="110"/>
      <c r="K283" s="504"/>
      <c r="L283" s="262"/>
    </row>
    <row r="284" spans="1:12" ht="12.75" hidden="1" outlineLevel="1">
      <c r="A284" s="247"/>
      <c r="B284" s="386"/>
      <c r="C284" s="386"/>
      <c r="D284" s="1418" t="s">
        <v>16528</v>
      </c>
      <c r="E284" s="1244">
        <v>0.55000000000000004</v>
      </c>
      <c r="F284" s="389">
        <v>0.15</v>
      </c>
      <c r="G284" s="1244">
        <v>0.08</v>
      </c>
      <c r="H284" s="1244">
        <v>2</v>
      </c>
      <c r="I284" s="1409">
        <v>0.17</v>
      </c>
      <c r="J284" s="110"/>
      <c r="K284" s="504"/>
      <c r="L284" s="262"/>
    </row>
    <row r="285" spans="1:12" ht="12.75" hidden="1" outlineLevel="1">
      <c r="A285" s="247"/>
      <c r="B285" s="386"/>
      <c r="C285" s="386"/>
      <c r="D285" s="1418" t="s">
        <v>16529</v>
      </c>
      <c r="E285" s="1244">
        <v>2.62</v>
      </c>
      <c r="F285" s="389">
        <v>0.27</v>
      </c>
      <c r="G285" s="1244">
        <v>0.71</v>
      </c>
      <c r="H285" s="1244">
        <v>2</v>
      </c>
      <c r="I285" s="1409">
        <v>1.41</v>
      </c>
      <c r="J285" s="110"/>
      <c r="K285" s="504"/>
      <c r="L285" s="262"/>
    </row>
    <row r="286" spans="1:12" ht="12.75" hidden="1" outlineLevel="1">
      <c r="A286" s="247"/>
      <c r="B286" s="386"/>
      <c r="C286" s="386"/>
      <c r="D286" s="1418" t="s">
        <v>16530</v>
      </c>
      <c r="E286" s="1244">
        <v>2.62</v>
      </c>
      <c r="F286" s="389">
        <v>0.08</v>
      </c>
      <c r="G286" s="1244">
        <v>0.21</v>
      </c>
      <c r="H286" s="1244">
        <v>2</v>
      </c>
      <c r="I286" s="1409">
        <v>0.42</v>
      </c>
      <c r="J286" s="110"/>
      <c r="K286" s="504"/>
      <c r="L286" s="262"/>
    </row>
    <row r="287" spans="1:12" ht="12.75" hidden="1" outlineLevel="1">
      <c r="A287" s="247"/>
      <c r="B287" s="386"/>
      <c r="C287" s="386"/>
      <c r="D287" s="1418" t="s">
        <v>16531</v>
      </c>
      <c r="E287" s="1244">
        <v>2.62</v>
      </c>
      <c r="F287" s="389">
        <v>0.15</v>
      </c>
      <c r="G287" s="1244">
        <v>0.39</v>
      </c>
      <c r="H287" s="1244">
        <v>2</v>
      </c>
      <c r="I287" s="1409">
        <v>0.79</v>
      </c>
      <c r="J287" s="110"/>
      <c r="K287" s="504"/>
      <c r="L287" s="262"/>
    </row>
    <row r="288" spans="1:12" ht="12.75" hidden="1" outlineLevel="1">
      <c r="A288" s="247"/>
      <c r="B288" s="386"/>
      <c r="C288" s="386"/>
      <c r="D288" s="1418" t="s">
        <v>16532</v>
      </c>
      <c r="E288" s="1244"/>
      <c r="F288" s="389"/>
      <c r="G288" s="1244">
        <v>0.03</v>
      </c>
      <c r="H288" s="1244">
        <v>4</v>
      </c>
      <c r="I288" s="1409">
        <v>0.12</v>
      </c>
      <c r="J288" s="110"/>
      <c r="K288" s="504"/>
      <c r="L288" s="262"/>
    </row>
    <row r="289" spans="1:12" ht="12.75" hidden="1" outlineLevel="1">
      <c r="A289" s="247"/>
      <c r="B289" s="386"/>
      <c r="C289" s="386"/>
      <c r="D289" s="1422" t="s">
        <v>16533</v>
      </c>
      <c r="E289" s="1248">
        <v>2.62</v>
      </c>
      <c r="F289" s="1436">
        <v>0.3</v>
      </c>
      <c r="G289" s="1248">
        <v>0.82</v>
      </c>
      <c r="H289" s="1248">
        <v>4</v>
      </c>
      <c r="I289" s="1281">
        <v>3.27</v>
      </c>
      <c r="J289" s="110"/>
      <c r="K289" s="504"/>
      <c r="L289" s="262"/>
    </row>
    <row r="290" spans="1:12" ht="12.75" hidden="1" outlineLevel="1">
      <c r="A290" s="247"/>
      <c r="B290" s="386"/>
      <c r="C290" s="386"/>
      <c r="D290" s="253"/>
      <c r="E290" s="1244"/>
      <c r="F290" s="389"/>
      <c r="G290" s="1244"/>
      <c r="H290" s="1244"/>
      <c r="I290" s="1409"/>
      <c r="J290" s="110"/>
      <c r="K290" s="504"/>
      <c r="L290" s="262"/>
    </row>
    <row r="291" spans="1:12" ht="25.5" outlineLevel="1">
      <c r="A291" s="1423" t="s">
        <v>13804</v>
      </c>
      <c r="B291" s="295" t="s">
        <v>15024</v>
      </c>
      <c r="C291" s="295" t="s">
        <v>14472</v>
      </c>
      <c r="D291" s="296" t="str">
        <f>IFERROR(VLOOKUP($B291,'24.08_ND'!$A$4833:$D$12369,2,0),IFERROR(VLOOKUP($B291,'03-CP'!$C$5:$H$4646,2,0),""))</f>
        <v>DIVISORIA SANITÁRIA EM GRANITO PRETO SÃO GABRIEL, ESCOVADO, ESP = 3CM, ASSENTADO COM ARGAMASSA COLANTE AC III</v>
      </c>
      <c r="E291" s="1387" t="str">
        <f>IFERROR(VLOOKUP($B291,'24.08_ND'!$A:$D,3,0),IFERROR(VLOOKUP($B291,'03-CP'!$C$5:$H$4646,3,0),""))</f>
        <v>M2</v>
      </c>
      <c r="F291" s="1671">
        <f>SUM(I293:I299)</f>
        <v>47.727999999999994</v>
      </c>
      <c r="G291" s="1387"/>
      <c r="H291" s="1387"/>
      <c r="I291" s="1388"/>
      <c r="J291" s="1672" t="s">
        <v>16387</v>
      </c>
      <c r="K291" s="504"/>
      <c r="L291" s="262"/>
    </row>
    <row r="292" spans="1:12" ht="12.75" hidden="1" outlineLevel="1">
      <c r="A292" s="450"/>
      <c r="B292" s="110"/>
      <c r="C292" s="110"/>
      <c r="D292" s="1435" t="s">
        <v>16404</v>
      </c>
      <c r="E292" s="1240" t="s">
        <v>16252</v>
      </c>
      <c r="F292" s="1425" t="s">
        <v>16232</v>
      </c>
      <c r="G292" s="1572" t="s">
        <v>16233</v>
      </c>
      <c r="H292" s="1240" t="s">
        <v>16234</v>
      </c>
      <c r="I292" s="1426" t="s">
        <v>12615</v>
      </c>
      <c r="J292" s="110"/>
      <c r="K292" s="504"/>
      <c r="L292" s="262"/>
    </row>
    <row r="293" spans="1:12" ht="12.75" hidden="1" outlineLevel="1">
      <c r="A293" s="450"/>
      <c r="B293" s="110"/>
      <c r="C293" s="110"/>
      <c r="D293" s="3501" t="s">
        <v>16502</v>
      </c>
      <c r="E293" s="1705">
        <v>1.65</v>
      </c>
      <c r="F293" s="1705">
        <v>1.9</v>
      </c>
      <c r="G293" s="1705">
        <f t="shared" ref="G293:G299" si="4">E293*F293</f>
        <v>3.1349999999999998</v>
      </c>
      <c r="H293" s="1705">
        <v>5</v>
      </c>
      <c r="I293" s="1706">
        <f t="shared" ref="I293:I299" si="5">G293*H293</f>
        <v>15.674999999999999</v>
      </c>
      <c r="J293" s="110"/>
      <c r="K293" s="504"/>
      <c r="L293" s="262"/>
    </row>
    <row r="294" spans="1:12" ht="12.75" hidden="1" outlineLevel="1">
      <c r="A294" s="450"/>
      <c r="B294" s="110"/>
      <c r="C294" s="110"/>
      <c r="D294" s="3502"/>
      <c r="E294" s="1707">
        <v>0.05</v>
      </c>
      <c r="F294" s="1707">
        <v>1.9</v>
      </c>
      <c r="G294" s="1705">
        <f t="shared" si="4"/>
        <v>9.5000000000000001E-2</v>
      </c>
      <c r="H294" s="1707">
        <v>2</v>
      </c>
      <c r="I294" s="1706">
        <f t="shared" si="5"/>
        <v>0.19</v>
      </c>
      <c r="J294" s="110"/>
      <c r="K294" s="504"/>
      <c r="L294" s="262"/>
    </row>
    <row r="295" spans="1:12" ht="12.75" hidden="1" outlineLevel="1">
      <c r="A295" s="1675"/>
      <c r="B295" s="110"/>
      <c r="C295" s="110"/>
      <c r="D295" s="3503"/>
      <c r="E295" s="1707">
        <v>0.13</v>
      </c>
      <c r="F295" s="1707">
        <v>1.9</v>
      </c>
      <c r="G295" s="1705">
        <f t="shared" si="4"/>
        <v>0.247</v>
      </c>
      <c r="H295" s="1707">
        <v>5</v>
      </c>
      <c r="I295" s="1706">
        <f t="shared" si="5"/>
        <v>1.2349999999999999</v>
      </c>
      <c r="J295" s="110"/>
      <c r="K295" s="504"/>
      <c r="L295" s="262"/>
    </row>
    <row r="296" spans="1:12" ht="12.75" hidden="1" outlineLevel="1">
      <c r="A296" s="1675"/>
      <c r="B296" s="110"/>
      <c r="C296" s="110"/>
      <c r="D296" s="3504" t="s">
        <v>16503</v>
      </c>
      <c r="E296" s="1707">
        <v>1.65</v>
      </c>
      <c r="F296" s="1707">
        <v>1.9</v>
      </c>
      <c r="G296" s="1705">
        <f t="shared" si="4"/>
        <v>3.1349999999999998</v>
      </c>
      <c r="H296" s="1707">
        <v>9</v>
      </c>
      <c r="I296" s="1706">
        <f t="shared" si="5"/>
        <v>28.214999999999996</v>
      </c>
      <c r="J296" s="110"/>
      <c r="K296" s="504"/>
      <c r="L296" s="262"/>
    </row>
    <row r="297" spans="1:12" ht="12.75" hidden="1" outlineLevel="1">
      <c r="A297" s="1675"/>
      <c r="B297" s="110"/>
      <c r="C297" s="110"/>
      <c r="D297" s="3502"/>
      <c r="E297" s="1707">
        <v>0.05</v>
      </c>
      <c r="F297" s="1707">
        <v>1.9</v>
      </c>
      <c r="G297" s="1705">
        <f t="shared" si="4"/>
        <v>9.5000000000000001E-2</v>
      </c>
      <c r="H297" s="1707">
        <v>3</v>
      </c>
      <c r="I297" s="1706">
        <f t="shared" si="5"/>
        <v>0.28500000000000003</v>
      </c>
      <c r="J297" s="110"/>
      <c r="K297" s="504"/>
      <c r="L297" s="262"/>
    </row>
    <row r="298" spans="1:12" ht="12.75" hidden="1" outlineLevel="1">
      <c r="A298" s="1675"/>
      <c r="B298" s="110"/>
      <c r="C298" s="110"/>
      <c r="D298" s="3502"/>
      <c r="E298" s="1707">
        <v>0.13</v>
      </c>
      <c r="F298" s="1707">
        <v>1.9</v>
      </c>
      <c r="G298" s="1705">
        <f t="shared" si="4"/>
        <v>0.247</v>
      </c>
      <c r="H298" s="1707">
        <v>8</v>
      </c>
      <c r="I298" s="1706">
        <f t="shared" si="5"/>
        <v>1.976</v>
      </c>
      <c r="J298" s="110"/>
      <c r="K298" s="504"/>
      <c r="L298" s="262"/>
    </row>
    <row r="299" spans="1:12" ht="12.75" hidden="1" outlineLevel="1">
      <c r="A299" s="1675"/>
      <c r="B299" s="110"/>
      <c r="C299" s="110"/>
      <c r="D299" s="3503"/>
      <c r="E299" s="1707">
        <v>0.08</v>
      </c>
      <c r="F299" s="1707">
        <v>1.9</v>
      </c>
      <c r="G299" s="1705">
        <f t="shared" si="4"/>
        <v>0.152</v>
      </c>
      <c r="H299" s="1707">
        <v>1</v>
      </c>
      <c r="I299" s="1706">
        <f t="shared" si="5"/>
        <v>0.152</v>
      </c>
      <c r="J299" s="110"/>
      <c r="K299" s="504"/>
      <c r="L299" s="262"/>
    </row>
    <row r="300" spans="1:12" ht="12.75" hidden="1" outlineLevel="1">
      <c r="A300" s="247"/>
      <c r="B300" s="386"/>
      <c r="C300" s="386"/>
      <c r="D300" s="253"/>
      <c r="E300" s="1244"/>
      <c r="F300" s="389"/>
      <c r="G300" s="1244"/>
      <c r="H300" s="1244"/>
      <c r="I300" s="1409"/>
      <c r="J300" s="110"/>
      <c r="K300" s="504"/>
      <c r="L300" s="262"/>
    </row>
    <row r="301" spans="1:12" ht="25.5" outlineLevel="1">
      <c r="A301" s="1423" t="s">
        <v>13805</v>
      </c>
      <c r="B301" s="295" t="s">
        <v>15026</v>
      </c>
      <c r="C301" s="295" t="s">
        <v>14472</v>
      </c>
      <c r="D301" s="296" t="str">
        <f>IFERROR(VLOOKUP($B301,'24.08_ND'!$A$4833:$D$12369,2,0),IFERROR(VLOOKUP($B301,'03-CP'!$C$5:$H$4646,2,0),""))</f>
        <v>TAPA VISTA DE MICTÓRIO EM GRANITO PRETO SÃO GABRIEL, ESCOVADO, ESP = 3 CM, ASSENTADO EM ARGAMASSA COLANTE AC III E</v>
      </c>
      <c r="E301" s="1387" t="str">
        <f>IFERROR(VLOOKUP($B301,'24.08_ND'!$A:$D,3,0),IFERROR(VLOOKUP($B301,'03-CP'!$C$5:$H$4646,3,0),""))</f>
        <v>M2</v>
      </c>
      <c r="F301" s="1671">
        <f>SUM(I303)</f>
        <v>2.4</v>
      </c>
      <c r="G301" s="1387"/>
      <c r="H301" s="1387"/>
      <c r="I301" s="1388"/>
      <c r="J301" s="1672" t="s">
        <v>16387</v>
      </c>
      <c r="K301" s="504"/>
      <c r="L301" s="262"/>
    </row>
    <row r="302" spans="1:12" ht="12.75" hidden="1" outlineLevel="1">
      <c r="A302" s="1675"/>
      <c r="B302" s="110"/>
      <c r="C302" s="110"/>
      <c r="D302" s="1435" t="s">
        <v>16404</v>
      </c>
      <c r="E302" s="1240" t="s">
        <v>16252</v>
      </c>
      <c r="F302" s="1425" t="s">
        <v>16232</v>
      </c>
      <c r="G302" s="1391" t="s">
        <v>16233</v>
      </c>
      <c r="H302" s="1240" t="s">
        <v>16234</v>
      </c>
      <c r="I302" s="1426" t="s">
        <v>12615</v>
      </c>
      <c r="J302" s="110"/>
      <c r="K302" s="504"/>
      <c r="L302" s="262"/>
    </row>
    <row r="303" spans="1:12" ht="12.75" hidden="1" outlineLevel="1">
      <c r="A303" s="247"/>
      <c r="B303" s="386"/>
      <c r="C303" s="386"/>
      <c r="D303" s="1422" t="s">
        <v>16502</v>
      </c>
      <c r="E303" s="1248">
        <v>0.4</v>
      </c>
      <c r="F303" s="1436">
        <v>1.2</v>
      </c>
      <c r="G303" s="1248">
        <f>E303*F303</f>
        <v>0.48</v>
      </c>
      <c r="H303" s="1248">
        <v>5</v>
      </c>
      <c r="I303" s="1281">
        <f>G303*H303</f>
        <v>2.4</v>
      </c>
      <c r="J303" s="110"/>
      <c r="K303" s="504"/>
      <c r="L303" s="262"/>
    </row>
    <row r="304" spans="1:12" ht="12.75" hidden="1" outlineLevel="1">
      <c r="A304" s="247"/>
      <c r="B304" s="386"/>
      <c r="C304" s="386"/>
      <c r="D304" s="253"/>
      <c r="E304" s="1244"/>
      <c r="F304" s="389"/>
      <c r="G304" s="1244"/>
      <c r="H304" s="1244"/>
      <c r="I304" s="1409"/>
      <c r="J304" s="110"/>
      <c r="K304" s="504"/>
      <c r="L304" s="262"/>
    </row>
    <row r="305" spans="1:12" ht="25.5" outlineLevel="1">
      <c r="A305" s="1423" t="s">
        <v>13806</v>
      </c>
      <c r="B305" s="295" t="s">
        <v>15028</v>
      </c>
      <c r="C305" s="295" t="s">
        <v>14472</v>
      </c>
      <c r="D305" s="296" t="str">
        <f>IFERROR(VLOOKUP($B305,'24.08_ND'!$A$4833:$D$12369,2,0),IFERROR(VLOOKUP($B305,'03-CP'!$C$5:$H$4646,2,0),""))</f>
        <v>PEITORIL LINEAR EM GRANITO CINZA ANDORINHA LEVIGADO/ESCOVADO, L= 25 CM, ASSENTADO COM ARGAMASSA COLANTE</v>
      </c>
      <c r="E305" s="1387" t="str">
        <f>IFERROR(VLOOKUP($B305,'24.08_ND'!$A:$D,3,0),IFERROR(VLOOKUP($B305,'03-CP'!$C$5:$H$4646,3,0),""))</f>
        <v>M</v>
      </c>
      <c r="F305" s="1671">
        <f>SUM(I307:I308)</f>
        <v>9</v>
      </c>
      <c r="G305" s="1387"/>
      <c r="H305" s="1387"/>
      <c r="I305" s="1388"/>
      <c r="J305" s="1672" t="s">
        <v>16387</v>
      </c>
      <c r="K305" s="504"/>
      <c r="L305" s="262"/>
    </row>
    <row r="306" spans="1:12" hidden="1" outlineLevel="1">
      <c r="A306" s="1675"/>
      <c r="B306" s="110"/>
      <c r="C306" s="110"/>
      <c r="D306" s="1708" t="s">
        <v>16404</v>
      </c>
      <c r="E306" s="1696" t="s">
        <v>16252</v>
      </c>
      <c r="F306" s="1697" t="s">
        <v>16232</v>
      </c>
      <c r="G306" s="1698" t="s">
        <v>16233</v>
      </c>
      <c r="H306" s="1696" t="s">
        <v>16234</v>
      </c>
      <c r="I306" s="1699" t="s">
        <v>12615</v>
      </c>
      <c r="J306" s="110"/>
      <c r="K306" s="1693"/>
      <c r="L306" s="261"/>
    </row>
    <row r="307" spans="1:12" hidden="1" outlineLevel="1">
      <c r="A307" s="247"/>
      <c r="B307" s="386"/>
      <c r="C307" s="386"/>
      <c r="D307" s="1709" t="s">
        <v>16240</v>
      </c>
      <c r="E307" s="1244">
        <v>1.5</v>
      </c>
      <c r="F307" s="389">
        <v>0.25</v>
      </c>
      <c r="G307" s="1244">
        <v>0.38</v>
      </c>
      <c r="H307" s="1244">
        <v>4</v>
      </c>
      <c r="I307" s="1409">
        <f>E307*H307</f>
        <v>6</v>
      </c>
      <c r="J307" s="110"/>
      <c r="K307" s="1693"/>
      <c r="L307" s="261"/>
    </row>
    <row r="308" spans="1:12" hidden="1" outlineLevel="1">
      <c r="A308" s="247"/>
      <c r="B308" s="386"/>
      <c r="C308" s="386"/>
      <c r="D308" s="1710" t="s">
        <v>16241</v>
      </c>
      <c r="E308" s="1711">
        <v>1</v>
      </c>
      <c r="F308" s="1712">
        <v>0.25</v>
      </c>
      <c r="G308" s="1711">
        <v>0.25</v>
      </c>
      <c r="H308" s="1711">
        <v>3</v>
      </c>
      <c r="I308" s="1713">
        <f>E308*H308</f>
        <v>3</v>
      </c>
      <c r="J308" s="110"/>
      <c r="K308" s="1693"/>
      <c r="L308" s="261"/>
    </row>
    <row r="309" spans="1:12" hidden="1" outlineLevel="1">
      <c r="A309" s="247"/>
      <c r="B309" s="386"/>
      <c r="C309" s="386"/>
      <c r="D309" s="253"/>
      <c r="E309" s="1244"/>
      <c r="F309" s="389"/>
      <c r="G309" s="1244"/>
      <c r="H309" s="1244"/>
      <c r="I309" s="1409"/>
      <c r="J309" s="110"/>
      <c r="K309" s="1693"/>
      <c r="L309" s="261"/>
    </row>
    <row r="310" spans="1:12" ht="25.5" outlineLevel="1">
      <c r="A310" s="1423" t="s">
        <v>13807</v>
      </c>
      <c r="B310" s="295" t="s">
        <v>15030</v>
      </c>
      <c r="C310" s="295" t="s">
        <v>14472</v>
      </c>
      <c r="D310" s="658" t="str">
        <f>IFERROR(VLOOKUP($B310,'24.08_ND'!$A$4833:$D$12369,2,0),IFERROR(VLOOKUP($B310,'03-CP'!$C$5:$H$4646,2,0),""))</f>
        <v>SOLEIRA LINEAR EM GRANITO CINZA ANDORINHA LEVIGADO/ESCOVADO, L= 25 CM - FORNECIMENTO E ASSENTAMENTO</v>
      </c>
      <c r="E310" s="1318" t="str">
        <f>IFERROR(VLOOKUP($B310,'24.08_ND'!$A:$D,3,0),IFERROR(VLOOKUP($B310,'03-CP'!$C$5:$H$4646,3,0),""))</f>
        <v>M</v>
      </c>
      <c r="F310" s="1671">
        <f>SUM(I312:I314)</f>
        <v>4.3000000000000007</v>
      </c>
      <c r="G310" s="1387"/>
      <c r="H310" s="1387"/>
      <c r="I310" s="1388"/>
      <c r="J310" s="1672" t="s">
        <v>16387</v>
      </c>
      <c r="K310" s="504"/>
      <c r="L310" s="262"/>
    </row>
    <row r="311" spans="1:12" ht="12.75" hidden="1" outlineLevel="1">
      <c r="A311" s="450"/>
      <c r="B311" s="110"/>
      <c r="C311" s="110"/>
      <c r="D311" s="1708" t="s">
        <v>16404</v>
      </c>
      <c r="E311" s="1696" t="s">
        <v>16252</v>
      </c>
      <c r="F311" s="1697" t="s">
        <v>16232</v>
      </c>
      <c r="G311" s="1698" t="s">
        <v>16233</v>
      </c>
      <c r="H311" s="1696" t="s">
        <v>16234</v>
      </c>
      <c r="I311" s="1699" t="s">
        <v>12615</v>
      </c>
      <c r="J311" s="110"/>
      <c r="K311" s="504"/>
      <c r="L311" s="262"/>
    </row>
    <row r="312" spans="1:12" ht="12.75" hidden="1" outlineLevel="1">
      <c r="A312" s="450"/>
      <c r="B312" s="386"/>
      <c r="C312" s="386"/>
      <c r="D312" s="1709" t="s">
        <v>16495</v>
      </c>
      <c r="E312" s="1244">
        <v>0.8</v>
      </c>
      <c r="F312" s="389">
        <v>0.22</v>
      </c>
      <c r="G312" s="1244">
        <v>0.18</v>
      </c>
      <c r="H312" s="1244">
        <v>2</v>
      </c>
      <c r="I312" s="1409">
        <f>E312*H312</f>
        <v>1.6</v>
      </c>
      <c r="J312" s="110"/>
      <c r="K312" s="504"/>
      <c r="L312" s="262"/>
    </row>
    <row r="313" spans="1:12" ht="12.75" hidden="1" outlineLevel="1">
      <c r="A313" s="450"/>
      <c r="B313" s="386"/>
      <c r="C313" s="386"/>
      <c r="D313" s="1709" t="s">
        <v>16496</v>
      </c>
      <c r="E313" s="1244">
        <v>0.9</v>
      </c>
      <c r="F313" s="389">
        <v>0.22</v>
      </c>
      <c r="G313" s="1244">
        <v>0.2</v>
      </c>
      <c r="H313" s="1244">
        <v>2</v>
      </c>
      <c r="I313" s="1409">
        <f>E313*H313</f>
        <v>1.8</v>
      </c>
      <c r="J313" s="110"/>
      <c r="K313" s="504"/>
      <c r="L313" s="262"/>
    </row>
    <row r="314" spans="1:12" ht="12.75" hidden="1" outlineLevel="1">
      <c r="A314" s="450"/>
      <c r="B314" s="386"/>
      <c r="C314" s="386"/>
      <c r="D314" s="1710" t="s">
        <v>16497</v>
      </c>
      <c r="E314" s="1711">
        <v>0.9</v>
      </c>
      <c r="F314" s="1712">
        <v>0.22</v>
      </c>
      <c r="G314" s="1711">
        <v>0.2</v>
      </c>
      <c r="H314" s="1711">
        <v>1</v>
      </c>
      <c r="I314" s="1713">
        <f>E314*H314</f>
        <v>0.9</v>
      </c>
      <c r="J314" s="110"/>
      <c r="K314" s="504"/>
      <c r="L314" s="262"/>
    </row>
    <row r="315" spans="1:12" hidden="1" outlineLevel="1">
      <c r="A315" s="450"/>
      <c r="B315" s="386"/>
      <c r="C315" s="386"/>
      <c r="D315" s="253"/>
      <c r="E315" s="1244"/>
      <c r="F315" s="389"/>
      <c r="G315" s="1244"/>
      <c r="H315" s="1244"/>
      <c r="I315" s="1409"/>
      <c r="J315" s="110"/>
      <c r="K315" s="1693"/>
      <c r="L315" s="261"/>
    </row>
    <row r="316" spans="1:12" ht="38.25" outlineLevel="1">
      <c r="A316" s="1423" t="s">
        <v>13808</v>
      </c>
      <c r="B316" s="295" t="s">
        <v>15060</v>
      </c>
      <c r="C316" s="295" t="s">
        <v>14472</v>
      </c>
      <c r="D316" s="658" t="str">
        <f>IFERROR(VLOOKUP($B316,'24.08_ND'!$A$4833:$D$12369,2,0),IFERROR(VLOOKUP($B316,'03-CP'!$C$5:$H$4646,2,0),""))</f>
        <v>PAINEL RIPADO EM ALUMÍNIO CHAPA E=1,50 MM (4,050 KG/M²),  ACABAMENTO EM PINTURA ELETROSTÁTICA, E FIXAÇÃO DIRETA EM DIVERSAS SUPERFÍCIES - FORNECIMENTO E INSTALAÇÃO</v>
      </c>
      <c r="E316" s="1318" t="str">
        <f>IFERROR(VLOOKUP($B316,'24.08_ND'!$A:$D,3,0),IFERROR(VLOOKUP($B316,'03-CP'!$C$5:$H$4646,3,0),""))</f>
        <v>M2</v>
      </c>
      <c r="F316" s="1671">
        <f>SUM(I318)</f>
        <v>102.91</v>
      </c>
      <c r="G316" s="1387"/>
      <c r="H316" s="1387"/>
      <c r="I316" s="1388"/>
      <c r="J316" s="1672" t="s">
        <v>16387</v>
      </c>
      <c r="K316" s="1693"/>
      <c r="L316" s="261"/>
    </row>
    <row r="317" spans="1:12" hidden="1" outlineLevel="1">
      <c r="A317" s="247"/>
      <c r="B317" s="386"/>
      <c r="C317" s="386"/>
      <c r="D317" s="1435" t="s">
        <v>16404</v>
      </c>
      <c r="E317" s="1240" t="s">
        <v>16252</v>
      </c>
      <c r="F317" s="1425" t="s">
        <v>16232</v>
      </c>
      <c r="G317" s="1391" t="s">
        <v>16233</v>
      </c>
      <c r="H317" s="1240" t="s">
        <v>16534</v>
      </c>
      <c r="I317" s="1426" t="s">
        <v>12615</v>
      </c>
      <c r="J317" s="110"/>
      <c r="K317" s="1693"/>
      <c r="L317" s="261"/>
    </row>
    <row r="318" spans="1:12" hidden="1" outlineLevel="1">
      <c r="A318" s="247"/>
      <c r="B318" s="386"/>
      <c r="C318" s="386"/>
      <c r="D318" s="1422" t="s">
        <v>16535</v>
      </c>
      <c r="E318" s="1248">
        <v>36.700000000000003</v>
      </c>
      <c r="F318" s="1436">
        <v>3.05</v>
      </c>
      <c r="G318" s="1248">
        <v>111.94</v>
      </c>
      <c r="H318" s="1248">
        <v>9.0299999999999994</v>
      </c>
      <c r="I318" s="1281">
        <v>102.91</v>
      </c>
      <c r="J318" s="110"/>
      <c r="K318" s="1693"/>
      <c r="L318" s="261"/>
    </row>
    <row r="319" spans="1:12" hidden="1" outlineLevel="1">
      <c r="A319" s="247"/>
      <c r="B319" s="386"/>
      <c r="C319" s="386"/>
      <c r="D319" s="253"/>
      <c r="E319" s="1244"/>
      <c r="F319" s="389"/>
      <c r="G319" s="1244"/>
      <c r="H319" s="1244"/>
      <c r="I319" s="1409"/>
      <c r="J319" s="110"/>
      <c r="K319" s="1693"/>
      <c r="L319" s="261"/>
    </row>
    <row r="320" spans="1:12" ht="38.25" outlineLevel="1">
      <c r="A320" s="1423" t="s">
        <v>13809</v>
      </c>
      <c r="B320" s="295" t="s">
        <v>14832</v>
      </c>
      <c r="C320" s="295" t="s">
        <v>14472</v>
      </c>
      <c r="D320" s="658" t="str">
        <f>IFERROR(VLOOKUP($B320,'24.08_ND'!$A$4833:$D$12369,2,0),IFERROR(VLOOKUP($B320,'03-CP'!$C$5:$H$4646,2,0),""))</f>
        <v>FECHAMENTO  EM CHAPA DE AÇO, E = 2,00 MM (16,00 KG/M2), INCLUSO FUNDO ANTICORROSIVO E DUAS DEMÃOS DE PINTURA ESMALTE SINTÉTICO FOSCO - FORNECIMENTO E INSTALAÇÃO EM ESTRUTURA EXISTENTE</v>
      </c>
      <c r="E320" s="1318" t="str">
        <f>IFERROR(VLOOKUP($B320,'24.08_ND'!$A:$D,3,0),IFERROR(VLOOKUP($B320,'03-CP'!$C$5:$H$4646,3,0),""))</f>
        <v>M2</v>
      </c>
      <c r="F320" s="1671">
        <f>SUM(I322)</f>
        <v>25.805999999999997</v>
      </c>
      <c r="G320" s="1387"/>
      <c r="H320" s="1387"/>
      <c r="I320" s="1388"/>
      <c r="J320" s="1672" t="s">
        <v>16387</v>
      </c>
      <c r="K320" s="1693"/>
      <c r="L320" s="261"/>
    </row>
    <row r="321" spans="1:12" hidden="1" outlineLevel="1">
      <c r="A321" s="247"/>
      <c r="B321" s="386"/>
      <c r="C321" s="386"/>
      <c r="D321" s="1435" t="s">
        <v>16404</v>
      </c>
      <c r="E321" s="1240" t="s">
        <v>16252</v>
      </c>
      <c r="F321" s="1425" t="s">
        <v>16232</v>
      </c>
      <c r="G321" s="1391" t="s">
        <v>16233</v>
      </c>
      <c r="H321" s="1240" t="s">
        <v>16534</v>
      </c>
      <c r="I321" s="1426" t="s">
        <v>12615</v>
      </c>
      <c r="J321" s="110"/>
      <c r="K321" s="1693"/>
      <c r="L321" s="261"/>
    </row>
    <row r="322" spans="1:12" hidden="1" outlineLevel="1">
      <c r="A322" s="247"/>
      <c r="B322" s="386"/>
      <c r="C322" s="386"/>
      <c r="D322" s="1422" t="s">
        <v>16536</v>
      </c>
      <c r="E322" s="1248">
        <v>43.01</v>
      </c>
      <c r="F322" s="1436">
        <v>0.6</v>
      </c>
      <c r="G322" s="1248">
        <f>E322*F322</f>
        <v>25.805999999999997</v>
      </c>
      <c r="H322" s="1248"/>
      <c r="I322" s="1281">
        <f>G322</f>
        <v>25.805999999999997</v>
      </c>
      <c r="J322" s="110"/>
      <c r="K322" s="1693"/>
      <c r="L322" s="261"/>
    </row>
    <row r="323" spans="1:12" hidden="1" outlineLevel="1">
      <c r="A323" s="247"/>
      <c r="B323" s="386"/>
      <c r="C323" s="386"/>
      <c r="D323" s="253"/>
      <c r="E323" s="1244"/>
      <c r="F323" s="389"/>
      <c r="G323" s="1244"/>
      <c r="H323" s="1244"/>
      <c r="I323" s="1409"/>
      <c r="J323" s="110"/>
      <c r="K323" s="1693"/>
      <c r="L323" s="261"/>
    </row>
    <row r="324" spans="1:12" ht="51" outlineLevel="1">
      <c r="A324" s="1423" t="s">
        <v>13810</v>
      </c>
      <c r="B324" s="295" t="s">
        <v>15066</v>
      </c>
      <c r="C324" s="295" t="s">
        <v>14472</v>
      </c>
      <c r="D324" s="658" t="str">
        <f>IFERROR(VLOOKUP($B324,'24.08_ND'!$A$4833:$D$12369,2,0),IFERROR(VLOOKUP($B324,'03-CP'!$C$5:$H$4646,2,0),""))</f>
        <v>ESPELHO ESP 4MM, FIXADO EM MDF CRU 25, PARA INSTALAÇÃO DE LED NAS BORDAS COM ACABAMENTO EMOLDURADO EM PERFIL METÁLICO, COM 02 DEMÃOES DE PINTURA ESMALTE E 01 DEMÃO DE PROTEÇÃO ANTICORROSIVA - FORNECIMENTO E INSTALAÇÃO</v>
      </c>
      <c r="E324" s="1318" t="str">
        <f>IFERROR(VLOOKUP($B324,'24.08_ND'!$A:$D,3,0),IFERROR(VLOOKUP($B324,'03-CP'!$C$5:$H$4646,3,0),""))</f>
        <v>M2</v>
      </c>
      <c r="F324" s="1671">
        <f>SUM(I326:I327)</f>
        <v>11.34</v>
      </c>
      <c r="G324" s="1387"/>
      <c r="H324" s="1387"/>
      <c r="I324" s="1388"/>
      <c r="J324" s="1672" t="s">
        <v>16387</v>
      </c>
      <c r="K324" s="1693"/>
      <c r="L324" s="261"/>
    </row>
    <row r="325" spans="1:12" hidden="1" outlineLevel="1">
      <c r="A325" s="247"/>
      <c r="B325" s="386"/>
      <c r="C325" s="386"/>
      <c r="D325" s="1435" t="s">
        <v>16404</v>
      </c>
      <c r="E325" s="1240" t="s">
        <v>16252</v>
      </c>
      <c r="F325" s="1425" t="s">
        <v>16232</v>
      </c>
      <c r="G325" s="1391" t="s">
        <v>16233</v>
      </c>
      <c r="H325" s="1240" t="s">
        <v>16234</v>
      </c>
      <c r="I325" s="1426" t="s">
        <v>12615</v>
      </c>
      <c r="J325" s="110"/>
      <c r="K325" s="1693"/>
      <c r="L325" s="261"/>
    </row>
    <row r="326" spans="1:12" hidden="1" outlineLevel="1">
      <c r="A326" s="247"/>
      <c r="B326" s="386"/>
      <c r="C326" s="386"/>
      <c r="D326" s="1418" t="s">
        <v>16502</v>
      </c>
      <c r="E326" s="1244">
        <v>0.6</v>
      </c>
      <c r="F326" s="389">
        <v>2.7</v>
      </c>
      <c r="G326" s="1244">
        <f>E326*F326</f>
        <v>1.62</v>
      </c>
      <c r="H326" s="1244">
        <v>4</v>
      </c>
      <c r="I326" s="1409">
        <f>G326*H326</f>
        <v>6.48</v>
      </c>
      <c r="J326" s="110"/>
      <c r="K326" s="1693"/>
      <c r="L326" s="261"/>
    </row>
    <row r="327" spans="1:12" hidden="1" outlineLevel="1">
      <c r="A327" s="247"/>
      <c r="B327" s="386"/>
      <c r="C327" s="386"/>
      <c r="D327" s="1422" t="s">
        <v>16503</v>
      </c>
      <c r="E327" s="1248">
        <v>0.6</v>
      </c>
      <c r="F327" s="1436">
        <v>2.7</v>
      </c>
      <c r="G327" s="1248">
        <f>E327*F327</f>
        <v>1.62</v>
      </c>
      <c r="H327" s="1248">
        <v>3</v>
      </c>
      <c r="I327" s="1281">
        <f>G327*H327</f>
        <v>4.8600000000000003</v>
      </c>
      <c r="J327" s="110"/>
      <c r="K327" s="1693"/>
      <c r="L327" s="261"/>
    </row>
    <row r="328" spans="1:12" hidden="1" outlineLevel="1">
      <c r="A328" s="247"/>
      <c r="B328" s="386"/>
      <c r="C328" s="386"/>
      <c r="D328" s="253"/>
      <c r="E328" s="1244"/>
      <c r="F328" s="389"/>
      <c r="G328" s="1244"/>
      <c r="H328" s="1244"/>
      <c r="I328" s="1409"/>
      <c r="J328" s="110"/>
      <c r="K328" s="1693"/>
      <c r="L328" s="261"/>
    </row>
    <row r="329" spans="1:12" ht="12.75">
      <c r="A329" s="246" t="s">
        <v>13811</v>
      </c>
      <c r="B329" s="1378"/>
      <c r="C329" s="1378"/>
      <c r="D329" s="1379" t="s">
        <v>16300</v>
      </c>
      <c r="E329" s="1380"/>
      <c r="F329" s="1381"/>
      <c r="G329" s="1380"/>
      <c r="H329" s="1381"/>
      <c r="I329" s="1382"/>
      <c r="J329" s="110"/>
      <c r="K329" s="1588"/>
      <c r="L329" s="262"/>
    </row>
    <row r="330" spans="1:12" ht="25.5" outlineLevel="1">
      <c r="A330" s="247" t="s">
        <v>13812</v>
      </c>
      <c r="B330" s="386">
        <v>100859</v>
      </c>
      <c r="C330" s="386" t="s">
        <v>14476</v>
      </c>
      <c r="D330" s="1314" t="str">
        <f>IFERROR(VLOOKUP($B330,'24.08_ND'!$A$4833:$D$12369,2,0),IFERROR(VLOOKUP($B330,'03-CP'!$C$5:$H$4646,2,0),""))</f>
        <v>MICTÓRIO SIFONADO LOUÇA BRANCA PARA ENTRADA DE ÁGUA EMBUTIDA - PADRÃO ALTO - FORNECIMENTO E INSTALAÇÃO. AF_01/2020</v>
      </c>
      <c r="E330" s="1714" t="str">
        <f>IFERROR(VLOOKUP($B330,'24.08_ND'!$A:$D,3,0),IFERROR(VLOOKUP($B330,'03-CP'!$C$5:$H$4646,3,0),""))</f>
        <v>UN</v>
      </c>
      <c r="F330" s="1715">
        <v>5</v>
      </c>
      <c r="G330" s="1244"/>
      <c r="H330" s="1244"/>
      <c r="I330" s="1409"/>
      <c r="J330" s="1672" t="s">
        <v>16387</v>
      </c>
      <c r="K330" s="504"/>
      <c r="L330" s="262"/>
    </row>
    <row r="331" spans="1:12" ht="23.25" outlineLevel="1">
      <c r="A331" s="247" t="s">
        <v>13813</v>
      </c>
      <c r="B331" s="386" t="s">
        <v>15035</v>
      </c>
      <c r="C331" s="386" t="s">
        <v>14472</v>
      </c>
      <c r="D331" s="1314" t="str">
        <f>IFERROR(VLOOKUP($B331,'24.08_ND'!$A$4833:$D$12369,2,0),IFERROR(VLOOKUP($B331,'03-CP'!$C$5:$H$4646,2,0),""))</f>
        <v>VÁLVULA DE DESCARGA COM SENSOR - FORNECIMENTO E INSTALAÇÃO</v>
      </c>
      <c r="E331" s="1714" t="str">
        <f>IFERROR(VLOOKUP($B331,'24.08_ND'!$A:$D,3,0),IFERROR(VLOOKUP($B331,'03-CP'!$C$5:$H$4646,3,0),""))</f>
        <v>UN</v>
      </c>
      <c r="F331" s="1715">
        <v>5</v>
      </c>
      <c r="G331" s="1244"/>
      <c r="H331" s="1244"/>
      <c r="I331" s="1409"/>
      <c r="J331" s="1672" t="s">
        <v>16387</v>
      </c>
      <c r="K331" s="504"/>
      <c r="L331" s="262"/>
    </row>
    <row r="332" spans="1:12" ht="51" outlineLevel="1">
      <c r="A332" s="247" t="s">
        <v>13814</v>
      </c>
      <c r="B332" s="386">
        <v>95472</v>
      </c>
      <c r="C332" s="386" t="s">
        <v>14476</v>
      </c>
      <c r="D332" s="1314" t="str">
        <f>IFERROR(VLOOKUP($B332,'24.08_ND'!$A$4833:$D$12369,2,0),IFERROR(VLOOKUP($B332,'03-CP'!$C$5:$H$4646,2,0),""))</f>
        <v>VASO SANITARIO SIFONADO CONVENCIONAL PARA PCD SEM FURO FRONTAL COM LOUÇA BRANCA SEM ASSENTO, INCLUSO CONJUNTO DE LIGAÇÃO PARA BACIA SANITÁRIA AJUSTÁVEL - FORNECIMENTO E INSTALAÇÃO. AF_01/2020</v>
      </c>
      <c r="E332" s="1315" t="str">
        <f>IFERROR(VLOOKUP($B332,'24.08_ND'!$A:$D,3,0),IFERROR(VLOOKUP($B332,'03-CP'!$C$5:$H$4646,3,0),""))</f>
        <v>UN</v>
      </c>
      <c r="F332" s="1715">
        <v>18</v>
      </c>
      <c r="G332" s="1244"/>
      <c r="H332" s="1244"/>
      <c r="I332" s="1409"/>
      <c r="J332" s="1672" t="s">
        <v>16387</v>
      </c>
      <c r="K332" s="504"/>
      <c r="L332" s="262"/>
    </row>
    <row r="333" spans="1:12" ht="25.5" outlineLevel="1">
      <c r="A333" s="247" t="s">
        <v>13815</v>
      </c>
      <c r="B333" s="386">
        <v>100849</v>
      </c>
      <c r="C333" s="386" t="s">
        <v>14476</v>
      </c>
      <c r="D333" s="1314" t="str">
        <f>IFERROR(VLOOKUP($B333,'24.08_ND'!$A$4833:$D$12369,2,0),IFERROR(VLOOKUP($B333,'03-CP'!$C$5:$H$4646,2,0),""))</f>
        <v>ASSENTO SANITÁRIO CONVENCIONAL - FORNECIMENTO E INSTALACAO. AF_01/2020</v>
      </c>
      <c r="E333" s="1315" t="str">
        <f>IFERROR(VLOOKUP($B333,'24.08_ND'!$A:$D,3,0),IFERROR(VLOOKUP($B333,'03-CP'!$C$5:$H$4646,3,0),""))</f>
        <v>UN</v>
      </c>
      <c r="F333" s="1715">
        <v>18</v>
      </c>
      <c r="G333" s="1244"/>
      <c r="H333" s="1244"/>
      <c r="I333" s="1409"/>
      <c r="J333" s="1672" t="s">
        <v>16387</v>
      </c>
      <c r="K333" s="504"/>
      <c r="L333" s="262"/>
    </row>
    <row r="334" spans="1:12" ht="23.25" outlineLevel="1">
      <c r="A334" s="247" t="s">
        <v>13816</v>
      </c>
      <c r="B334" s="386" t="s">
        <v>15038</v>
      </c>
      <c r="C334" s="386" t="s">
        <v>14472</v>
      </c>
      <c r="D334" s="1314" t="str">
        <f>IFERROR(VLOOKUP($B334,'24.08_ND'!$A$4833:$D$12369,2,0),IFERROR(VLOOKUP($B334,'03-CP'!$C$5:$H$4646,2,0),""))</f>
        <v>VALVULA DE DESCARGA HIDRA - BASE 1.1/2" - ANTIVANDALISMO</v>
      </c>
      <c r="E334" s="1714" t="str">
        <f>IFERROR(VLOOKUP($B334,'24.08_ND'!$A:$D,3,0),IFERROR(VLOOKUP($B334,'03-CP'!$C$5:$H$4646,3,0),""))</f>
        <v>UN</v>
      </c>
      <c r="F334" s="1715">
        <v>18</v>
      </c>
      <c r="G334" s="1244"/>
      <c r="H334" s="1244"/>
      <c r="I334" s="1409"/>
      <c r="J334" s="1672" t="s">
        <v>16387</v>
      </c>
      <c r="K334" s="504"/>
      <c r="L334" s="262"/>
    </row>
    <row r="335" spans="1:12" ht="25.5" outlineLevel="1">
      <c r="A335" s="247" t="s">
        <v>13817</v>
      </c>
      <c r="B335" s="386" t="s">
        <v>15041</v>
      </c>
      <c r="C335" s="386" t="s">
        <v>14472</v>
      </c>
      <c r="D335" s="1314" t="str">
        <f>IFERROR(VLOOKUP($B335,'24.08_ND'!$A$4833:$D$12369,2,0),IFERROR(VLOOKUP($B335,'03-CP'!$C$5:$H$4646,2,0),""))</f>
        <v>CUBA DE SOBREPOR, LOUÇA, 30X40 CM - MODELO IZY - FORNECIMENTO E INSTALAÇÃO</v>
      </c>
      <c r="E335" s="1714" t="str">
        <f>IFERROR(VLOOKUP($B335,'24.08_ND'!$A:$D,3,0),IFERROR(VLOOKUP($B335,'03-CP'!$C$5:$H$4646,3,0),""))</f>
        <v>UN</v>
      </c>
      <c r="F335" s="1715">
        <v>2</v>
      </c>
      <c r="G335" s="1244"/>
      <c r="H335" s="1244"/>
      <c r="I335" s="1409"/>
      <c r="J335" s="1672" t="s">
        <v>16387</v>
      </c>
      <c r="K335" s="504"/>
      <c r="L335" s="262"/>
    </row>
    <row r="336" spans="1:12" ht="23.25" outlineLevel="1">
      <c r="A336" s="1385" t="s">
        <v>13818</v>
      </c>
      <c r="B336" s="295" t="s">
        <v>15043</v>
      </c>
      <c r="C336" s="295" t="s">
        <v>14472</v>
      </c>
      <c r="D336" s="658" t="str">
        <f>IFERROR(VLOOKUP($B336,'24.08_ND'!$A$4833:$D$12369,2,0),IFERROR(VLOOKUP($B336,'03-CP'!$C$5:$H$4646,2,0),""))</f>
        <v>ACABAMENTO  PARA REGISTRO - FORNECIMENTO E INSTALAÇÃO</v>
      </c>
      <c r="E336" s="1318" t="str">
        <f>IFERROR(VLOOKUP($B336,'24.08_ND'!$A:$D,3,0),IFERROR(VLOOKUP($B336,'03-CP'!$C$5:$H$4646,3,0),""))</f>
        <v>UN</v>
      </c>
      <c r="F336" s="1671">
        <f>SUM(I338:I343)</f>
        <v>26</v>
      </c>
      <c r="G336" s="1387"/>
      <c r="H336" s="1387"/>
      <c r="I336" s="1388"/>
      <c r="J336" s="1672" t="s">
        <v>16387</v>
      </c>
      <c r="K336" s="504"/>
      <c r="L336" s="262"/>
    </row>
    <row r="337" spans="1:12" ht="12.75" hidden="1" outlineLevel="1">
      <c r="A337" s="247"/>
      <c r="B337" s="4"/>
      <c r="C337" s="4"/>
      <c r="D337" s="1435" t="s">
        <v>16404</v>
      </c>
      <c r="E337" s="1716"/>
      <c r="F337" s="1717"/>
      <c r="G337" s="1481"/>
      <c r="H337" s="1718" t="s">
        <v>16234</v>
      </c>
      <c r="I337" s="1426" t="s">
        <v>12615</v>
      </c>
      <c r="J337" s="110"/>
      <c r="K337" s="504"/>
      <c r="L337" s="262"/>
    </row>
    <row r="338" spans="1:12" ht="12.75" hidden="1" outlineLevel="1">
      <c r="A338" s="247"/>
      <c r="B338" s="386"/>
      <c r="C338" s="386"/>
      <c r="D338" s="1418" t="s">
        <v>16502</v>
      </c>
      <c r="E338" s="1719"/>
      <c r="F338" s="1720"/>
      <c r="G338" s="1244"/>
      <c r="H338" s="1244">
        <v>8</v>
      </c>
      <c r="I338" s="1409">
        <f t="shared" ref="I338:I343" si="6">H338</f>
        <v>8</v>
      </c>
      <c r="J338" s="110"/>
      <c r="K338" s="504"/>
      <c r="L338" s="262"/>
    </row>
    <row r="339" spans="1:12" ht="12.75" hidden="1" outlineLevel="1">
      <c r="A339" s="247"/>
      <c r="B339" s="386"/>
      <c r="C339" s="386"/>
      <c r="D339" s="1418" t="s">
        <v>16503</v>
      </c>
      <c r="E339" s="1315"/>
      <c r="F339" s="389"/>
      <c r="G339" s="1244"/>
      <c r="H339" s="1244">
        <v>11</v>
      </c>
      <c r="I339" s="1409">
        <f t="shared" si="6"/>
        <v>11</v>
      </c>
      <c r="J339" s="110"/>
      <c r="K339" s="504"/>
      <c r="L339" s="262"/>
    </row>
    <row r="340" spans="1:12" ht="12.75" hidden="1" outlineLevel="1">
      <c r="A340" s="247"/>
      <c r="B340" s="386"/>
      <c r="C340" s="386"/>
      <c r="D340" s="1418" t="s">
        <v>16504</v>
      </c>
      <c r="E340" s="1315"/>
      <c r="F340" s="389"/>
      <c r="G340" s="1244"/>
      <c r="H340" s="1244">
        <v>2</v>
      </c>
      <c r="I340" s="1409">
        <f t="shared" si="6"/>
        <v>2</v>
      </c>
      <c r="J340" s="110"/>
      <c r="K340" s="504"/>
      <c r="L340" s="262"/>
    </row>
    <row r="341" spans="1:12" ht="12.75" hidden="1" outlineLevel="1">
      <c r="A341" s="247"/>
      <c r="B341" s="386"/>
      <c r="C341" s="386"/>
      <c r="D341" s="1418" t="s">
        <v>16505</v>
      </c>
      <c r="E341" s="1315"/>
      <c r="F341" s="389"/>
      <c r="G341" s="1244"/>
      <c r="H341" s="1244">
        <v>2</v>
      </c>
      <c r="I341" s="1409">
        <f t="shared" si="6"/>
        <v>2</v>
      </c>
      <c r="J341" s="110"/>
      <c r="K341" s="504"/>
      <c r="L341" s="262"/>
    </row>
    <row r="342" spans="1:12" ht="12.75" hidden="1" outlineLevel="1">
      <c r="A342" s="247"/>
      <c r="B342" s="386"/>
      <c r="C342" s="386"/>
      <c r="D342" s="1418" t="s">
        <v>16506</v>
      </c>
      <c r="E342" s="1315"/>
      <c r="F342" s="389"/>
      <c r="G342" s="1244"/>
      <c r="H342" s="1244">
        <v>1</v>
      </c>
      <c r="I342" s="1409">
        <f t="shared" si="6"/>
        <v>1</v>
      </c>
      <c r="J342" s="110"/>
      <c r="K342" s="504"/>
      <c r="L342" s="262"/>
    </row>
    <row r="343" spans="1:12" ht="12.75" hidden="1" outlineLevel="1">
      <c r="A343" s="247"/>
      <c r="B343" s="386"/>
      <c r="C343" s="386"/>
      <c r="D343" s="1422" t="s">
        <v>16494</v>
      </c>
      <c r="E343" s="1721"/>
      <c r="F343" s="1436"/>
      <c r="G343" s="1248"/>
      <c r="H343" s="1248">
        <v>2</v>
      </c>
      <c r="I343" s="1281">
        <f t="shared" si="6"/>
        <v>2</v>
      </c>
      <c r="J343" s="110"/>
      <c r="K343" s="504"/>
      <c r="L343" s="262"/>
    </row>
    <row r="344" spans="1:12" ht="25.5" outlineLevel="1">
      <c r="A344" s="247" t="s">
        <v>13819</v>
      </c>
      <c r="B344" s="386">
        <v>86872</v>
      </c>
      <c r="C344" s="386" t="s">
        <v>14476</v>
      </c>
      <c r="D344" s="1314" t="str">
        <f>IFERROR(VLOOKUP($B344,'24.08_ND'!$A$4833:$D$12369,2,0),IFERROR(VLOOKUP($B344,'03-CP'!$C$5:$H$4646,2,0),""))</f>
        <v>TANQUE DE LOUÇA BRANCA COM COLUNA, 30L OU EQUIVALENTE - FORNECIMENTO E INSTALAÇÃO. AF_01/2020</v>
      </c>
      <c r="E344" s="1315" t="str">
        <f>IFERROR(VLOOKUP($B344,'24.08_ND'!$A:$D,3,0),IFERROR(VLOOKUP($B344,'03-CP'!$C$5:$H$4646,3,0),""))</f>
        <v>UN</v>
      </c>
      <c r="F344" s="1715">
        <v>1</v>
      </c>
      <c r="G344" s="1244"/>
      <c r="H344" s="4"/>
      <c r="I344" s="1409"/>
      <c r="J344" s="1672" t="s">
        <v>16387</v>
      </c>
      <c r="K344" s="504"/>
      <c r="L344" s="262"/>
    </row>
    <row r="345" spans="1:12" ht="25.5" outlineLevel="1">
      <c r="A345" s="247" t="s">
        <v>13820</v>
      </c>
      <c r="B345" s="386" t="s">
        <v>14811</v>
      </c>
      <c r="C345" s="386" t="s">
        <v>14472</v>
      </c>
      <c r="D345" s="1314" t="str">
        <f>IFERROR(VLOOKUP($B345,'24.08_ND'!$A$4833:$D$12369,2,0),IFERROR(VLOOKUP($B345,'03-CP'!$C$5:$H$4646,2,0),""))</f>
        <v>TORNEIRA AUTOMÁTICA DE MESA PARA LAVATÓRIO, CROMADA. FORNECIMENTO E INSTALAÇÃO</v>
      </c>
      <c r="E345" s="1315" t="str">
        <f>IFERROR(VLOOKUP($B345,'24.08_ND'!$A:$D,3,0),IFERROR(VLOOKUP($B345,'03-CP'!$C$5:$H$4646,3,0),""))</f>
        <v>UN</v>
      </c>
      <c r="F345" s="1715">
        <v>10</v>
      </c>
      <c r="G345" s="1244"/>
      <c r="H345" s="1244"/>
      <c r="I345" s="1409"/>
      <c r="J345" s="1672" t="s">
        <v>16387</v>
      </c>
      <c r="K345" s="504"/>
      <c r="L345" s="262"/>
    </row>
    <row r="346" spans="1:12" ht="25.5" outlineLevel="1">
      <c r="A346" s="247" t="s">
        <v>13821</v>
      </c>
      <c r="B346" s="386">
        <v>86914</v>
      </c>
      <c r="C346" s="386" t="s">
        <v>14476</v>
      </c>
      <c r="D346" s="1314" t="str">
        <f>IFERROR(VLOOKUP($B346,'24.08_ND'!$A$4833:$D$12369,2,0),IFERROR(VLOOKUP($B346,'03-CP'!$C$5:$H$4646,2,0),""))</f>
        <v>TORNEIRA CROMADA 1/2" OU 3/4" PARA TANQUE, PADRÃO MÉDIO - FORNECIMENTO E INSTALAÇÃO. AF_01/2020</v>
      </c>
      <c r="E346" s="1315" t="str">
        <f>IFERROR(VLOOKUP($B346,'24.08_ND'!$A:$D,3,0),IFERROR(VLOOKUP($B346,'03-CP'!$C$5:$H$4646,3,0),""))</f>
        <v>UN</v>
      </c>
      <c r="F346" s="1715">
        <v>4</v>
      </c>
      <c r="G346" s="1244"/>
      <c r="H346" s="1244"/>
      <c r="I346" s="1409"/>
      <c r="J346" s="1672" t="s">
        <v>16387</v>
      </c>
      <c r="K346" s="504"/>
      <c r="L346" s="262"/>
    </row>
    <row r="347" spans="1:12" ht="25.5" outlineLevel="1">
      <c r="A347" s="247" t="s">
        <v>13822</v>
      </c>
      <c r="B347" s="386" t="s">
        <v>15045</v>
      </c>
      <c r="C347" s="386" t="s">
        <v>14472</v>
      </c>
      <c r="D347" s="1314" t="str">
        <f>IFERROR(VLOOKUP($B347,'24.08_ND'!$A$4833:$D$12369,2,0),IFERROR(VLOOKUP($B347,'03-CP'!$C$5:$H$4646,2,0),""))</f>
        <v>DISPENSER DE SABONETE/ DETERGENTE PRESSMATIC - FORNECIMENTO E INSTALAÇÃO</v>
      </c>
      <c r="E347" s="1315" t="str">
        <f>IFERROR(VLOOKUP($B347,'24.08_ND'!$A:$D,3,0),IFERROR(VLOOKUP($B347,'03-CP'!$C$5:$H$4646,3,0),""))</f>
        <v>UN</v>
      </c>
      <c r="F347" s="1715">
        <v>8</v>
      </c>
      <c r="G347" s="1244"/>
      <c r="H347" s="1244"/>
      <c r="I347" s="1409"/>
      <c r="J347" s="1672" t="s">
        <v>16387</v>
      </c>
      <c r="K347" s="504"/>
      <c r="L347" s="262"/>
    </row>
    <row r="348" spans="1:12" ht="25.5" outlineLevel="1">
      <c r="A348" s="247" t="s">
        <v>13823</v>
      </c>
      <c r="B348" s="386">
        <v>100868</v>
      </c>
      <c r="C348" s="386" t="s">
        <v>14476</v>
      </c>
      <c r="D348" s="1314" t="str">
        <f>IFERROR(VLOOKUP($B348,'24.08_ND'!$A$4833:$D$12369,2,0),IFERROR(VLOOKUP($B348,'03-CP'!$C$5:$H$4646,2,0),""))</f>
        <v>BARRA DE APOIO RETA, EM ACO INOX POLIDO, COMPRIMENTO 80 CM,  FIXADA NA PAREDE - FORNECIMENTO E INSTALAÇÃO. AF_01/2020</v>
      </c>
      <c r="E348" s="1315" t="str">
        <f>IFERROR(VLOOKUP($B348,'24.08_ND'!$A:$D,3,0),IFERROR(VLOOKUP($B348,'03-CP'!$C$5:$H$4646,3,0),""))</f>
        <v>UN</v>
      </c>
      <c r="F348" s="1715">
        <v>4</v>
      </c>
      <c r="G348" s="1244"/>
      <c r="H348" s="1244"/>
      <c r="I348" s="1409"/>
      <c r="J348" s="1672" t="s">
        <v>16387</v>
      </c>
      <c r="K348" s="504"/>
      <c r="L348" s="262"/>
    </row>
    <row r="349" spans="1:12" ht="25.5" outlineLevel="1">
      <c r="A349" s="247" t="s">
        <v>13824</v>
      </c>
      <c r="B349" s="386">
        <v>100867</v>
      </c>
      <c r="C349" s="386" t="s">
        <v>14476</v>
      </c>
      <c r="D349" s="1314" t="str">
        <f>IFERROR(VLOOKUP($B349,'24.08_ND'!$A$4833:$D$12369,2,0),IFERROR(VLOOKUP($B349,'03-CP'!$C$5:$H$4646,2,0),""))</f>
        <v>BARRA DE APOIO RETA, EM ACO INOX POLIDO, COMPRIMENTO 70 CM,  FIXADA NA PAREDE - FORNECIMENTO E INSTALAÇÃO. AF_01/2020</v>
      </c>
      <c r="E349" s="1315" t="str">
        <f>IFERROR(VLOOKUP($B349,'24.08_ND'!$A:$D,3,0),IFERROR(VLOOKUP($B349,'03-CP'!$C$5:$H$4646,3,0),""))</f>
        <v>UN</v>
      </c>
      <c r="F349" s="1715">
        <v>4</v>
      </c>
      <c r="G349" s="1244"/>
      <c r="H349" s="1244"/>
      <c r="I349" s="1409"/>
      <c r="J349" s="1672" t="s">
        <v>16387</v>
      </c>
      <c r="K349" s="504"/>
      <c r="L349" s="262"/>
    </row>
    <row r="350" spans="1:12" ht="25.5" outlineLevel="1">
      <c r="A350" s="247" t="s">
        <v>13825</v>
      </c>
      <c r="B350" s="386" t="s">
        <v>14887</v>
      </c>
      <c r="C350" s="386" t="s">
        <v>14472</v>
      </c>
      <c r="D350" s="1314" t="str">
        <f>IFERROR(VLOOKUP($B350,'24.08_ND'!$A$4833:$D$12369,2,0),IFERROR(VLOOKUP($B350,'03-CP'!$C$5:$H$4646,2,0),""))</f>
        <v xml:space="preserve">BARRA DE APOIO RETA, EM ACO, COMPRIMENTO 40 CM, FIXADA NA PAREDE - FORNECIMENTO E INSTALAÇÃO. </v>
      </c>
      <c r="E350" s="1315" t="str">
        <f>IFERROR(VLOOKUP($B350,'24.08_ND'!$A:$D,3,0),IFERROR(VLOOKUP($B350,'03-CP'!$C$5:$H$4646,3,0),""))</f>
        <v>UN</v>
      </c>
      <c r="F350" s="1715">
        <v>4</v>
      </c>
      <c r="G350" s="1244"/>
      <c r="H350" s="1244"/>
      <c r="I350" s="1409"/>
      <c r="J350" s="1672" t="s">
        <v>16387</v>
      </c>
      <c r="K350" s="504"/>
      <c r="L350" s="262"/>
    </row>
    <row r="351" spans="1:12" ht="25.5" outlineLevel="1">
      <c r="A351" s="247" t="s">
        <v>13826</v>
      </c>
      <c r="B351" s="386" t="s">
        <v>15048</v>
      </c>
      <c r="C351" s="386" t="s">
        <v>14472</v>
      </c>
      <c r="D351" s="1314" t="str">
        <f>IFERROR(VLOOKUP($B351,'24.08_ND'!$A$4833:$D$12369,2,0),IFERROR(VLOOKUP($B351,'03-CP'!$C$5:$H$4646,2,0),""))</f>
        <v xml:space="preserve">BARRA DE APOIO RETA, EM ACO, COMPRIMENTO 45 CM, FIXADA NA PAREDE - FORNECIMENTO E INSTALAÇÃO. </v>
      </c>
      <c r="E351" s="1315" t="str">
        <f>IFERROR(VLOOKUP($B351,'24.08_ND'!$A:$D,3,0),IFERROR(VLOOKUP($B351,'03-CP'!$C$5:$H$4646,3,0),""))</f>
        <v>UN</v>
      </c>
      <c r="F351" s="1715">
        <v>4</v>
      </c>
      <c r="G351" s="1244"/>
      <c r="H351" s="1244"/>
      <c r="I351" s="1409"/>
      <c r="J351" s="1672" t="s">
        <v>16387</v>
      </c>
      <c r="K351" s="504"/>
      <c r="L351" s="262"/>
    </row>
    <row r="352" spans="1:12" ht="25.5" outlineLevel="1">
      <c r="A352" s="247" t="s">
        <v>13827</v>
      </c>
      <c r="B352" s="386" t="s">
        <v>15050</v>
      </c>
      <c r="C352" s="386" t="s">
        <v>14472</v>
      </c>
      <c r="D352" s="1314" t="str">
        <f>IFERROR(VLOOKUP($B352,'24.08_ND'!$A$4833:$D$12369,2,0),IFERROR(VLOOKUP($B352,'03-CP'!$C$5:$H$4646,2,0),""))</f>
        <v>DISPENSER TOALHEIRO PLASTICO PARA PAPEL TOALHA INTERFOLHADO - FORNECIMENTO E INSTALAÇÃO</v>
      </c>
      <c r="E352" s="1315" t="str">
        <f>IFERROR(VLOOKUP($B352,'24.08_ND'!$A:$D,3,0),IFERROR(VLOOKUP($B352,'03-CP'!$C$5:$H$4646,3,0),""))</f>
        <v>UN</v>
      </c>
      <c r="F352" s="1715">
        <v>6</v>
      </c>
      <c r="G352" s="1244"/>
      <c r="H352" s="1244"/>
      <c r="I352" s="1409"/>
      <c r="J352" s="1672" t="s">
        <v>16387</v>
      </c>
      <c r="K352" s="504"/>
      <c r="L352" s="262"/>
    </row>
    <row r="353" spans="1:12" ht="25.5" outlineLevel="1">
      <c r="A353" s="247" t="s">
        <v>13828</v>
      </c>
      <c r="B353" s="386">
        <v>95547</v>
      </c>
      <c r="C353" s="386" t="s">
        <v>14476</v>
      </c>
      <c r="D353" s="1314" t="str">
        <f>IFERROR(VLOOKUP($B353,'24.08_ND'!$A$4833:$D$12369,2,0),IFERROR(VLOOKUP($B353,'03-CP'!$C$5:$H$4646,2,0),""))</f>
        <v>SABONETEIRA PLASTICA TIPO DISPENSER PARA SABONETE LIQUIDO COM RESERVATORIO 800 A 1500 ML, INCLUSO FIXAÇÃO. AF_01/2020</v>
      </c>
      <c r="E353" s="1315" t="str">
        <f>IFERROR(VLOOKUP($B353,'24.08_ND'!$A:$D,3,0),IFERROR(VLOOKUP($B353,'03-CP'!$C$5:$H$4646,3,0),""))</f>
        <v>UN</v>
      </c>
      <c r="F353" s="1715">
        <v>2</v>
      </c>
      <c r="G353" s="1244"/>
      <c r="H353" s="1244"/>
      <c r="I353" s="1409"/>
      <c r="J353" s="1672" t="s">
        <v>16387</v>
      </c>
      <c r="K353" s="504"/>
      <c r="L353" s="262"/>
    </row>
    <row r="354" spans="1:12" ht="23.25" outlineLevel="1">
      <c r="A354" s="247" t="s">
        <v>13829</v>
      </c>
      <c r="B354" s="386" t="s">
        <v>15052</v>
      </c>
      <c r="C354" s="386" t="s">
        <v>14472</v>
      </c>
      <c r="D354" s="1314" t="str">
        <f>IFERROR(VLOOKUP($B354,'24.08_ND'!$A$4833:$D$12369,2,0),IFERROR(VLOOKUP($B354,'03-CP'!$C$5:$H$4646,2,0),""))</f>
        <v>LIXEIRA EM AÇO INOX CROMADO - 80 LITROS</v>
      </c>
      <c r="E354" s="1315" t="str">
        <f>IFERROR(VLOOKUP($B354,'24.08_ND'!$A:$D,3,0),IFERROR(VLOOKUP($B354,'03-CP'!$C$5:$H$4646,3,0),""))</f>
        <v>UN</v>
      </c>
      <c r="F354" s="1715">
        <v>4</v>
      </c>
      <c r="G354" s="1244"/>
      <c r="H354" s="1244"/>
      <c r="I354" s="1409"/>
      <c r="J354" s="1672" t="s">
        <v>16387</v>
      </c>
      <c r="K354" s="504"/>
      <c r="L354" s="262"/>
    </row>
    <row r="355" spans="1:12" ht="25.5" outlineLevel="1">
      <c r="A355" s="247" t="s">
        <v>13830</v>
      </c>
      <c r="B355" s="386" t="s">
        <v>15055</v>
      </c>
      <c r="C355" s="386" t="s">
        <v>14472</v>
      </c>
      <c r="D355" s="1314" t="str">
        <f>IFERROR(VLOOKUP($B355,'24.08_ND'!$A$4833:$D$12369,2,0),IFERROR(VLOOKUP($B355,'03-CP'!$C$5:$H$4646,2,0),""))</f>
        <v>PAPELEIRA PLASTICA TIPO DISPENSER PARA PAPEL HIGIENICO ROLAO - FORNECIMENTO E INSTALAÇÃO</v>
      </c>
      <c r="E355" s="1315" t="str">
        <f>IFERROR(VLOOKUP($B355,'24.08_ND'!$A:$D,3,0),IFERROR(VLOOKUP($B355,'03-CP'!$C$5:$H$4646,3,0),""))</f>
        <v>UN</v>
      </c>
      <c r="F355" s="1715">
        <v>18</v>
      </c>
      <c r="G355" s="1244"/>
      <c r="H355" s="1244"/>
      <c r="I355" s="1409"/>
      <c r="J355" s="1672" t="s">
        <v>16387</v>
      </c>
      <c r="K355" s="504"/>
      <c r="L355" s="262"/>
    </row>
    <row r="356" spans="1:12" ht="23.25" outlineLevel="1">
      <c r="A356" s="247" t="s">
        <v>13831</v>
      </c>
      <c r="B356" s="386" t="s">
        <v>14952</v>
      </c>
      <c r="C356" s="386" t="s">
        <v>14472</v>
      </c>
      <c r="D356" s="1314" t="str">
        <f>IFERROR(VLOOKUP($B356,'24.08_ND'!$A$4833:$D$12369,2,0),IFERROR(VLOOKUP($B356,'03-CP'!$C$5:$H$4646,2,0),""))</f>
        <v>LIXEIRA EM AÇO INOX CROMADO ATÉ 12 LITROS</v>
      </c>
      <c r="E356" s="1315" t="str">
        <f>IFERROR(VLOOKUP($B356,'24.08_ND'!$A:$D,3,0),IFERROR(VLOOKUP($B356,'03-CP'!$C$5:$H$4646,3,0),""))</f>
        <v>UN</v>
      </c>
      <c r="F356" s="1715">
        <v>18</v>
      </c>
      <c r="G356" s="1244"/>
      <c r="H356" s="1244"/>
      <c r="I356" s="1409"/>
      <c r="J356" s="1672" t="s">
        <v>16387</v>
      </c>
      <c r="K356" s="504"/>
      <c r="L356" s="262"/>
    </row>
    <row r="357" spans="1:12" ht="25.5" outlineLevel="1">
      <c r="A357" s="247" t="s">
        <v>13832</v>
      </c>
      <c r="B357" s="386" t="s">
        <v>15057</v>
      </c>
      <c r="C357" s="386" t="s">
        <v>14472</v>
      </c>
      <c r="D357" s="1314" t="str">
        <f>IFERROR(VLOOKUP($B357,'24.08_ND'!$A$4833:$D$12369,2,0),IFERROR(VLOOKUP($B357,'03-CP'!$C$5:$H$4646,2,0),""))</f>
        <v>GRELHA QUADRADA CROMADA, 15 X 15 CM - FORNECIMENTO E INSTALAÇÃO</v>
      </c>
      <c r="E357" s="1315" t="str">
        <f>IFERROR(VLOOKUP($B357,'24.08_ND'!$A:$D,3,0),IFERROR(VLOOKUP($B357,'03-CP'!$C$5:$H$4646,3,0),""))</f>
        <v>UN</v>
      </c>
      <c r="F357" s="1715">
        <v>11</v>
      </c>
      <c r="G357" s="1244"/>
      <c r="H357" s="1244"/>
      <c r="I357" s="1409"/>
      <c r="J357" s="1672" t="s">
        <v>16387</v>
      </c>
      <c r="K357" s="504"/>
      <c r="L357" s="262"/>
    </row>
    <row r="358" spans="1:12" ht="12.75" hidden="1" outlineLevel="1">
      <c r="A358" s="247"/>
      <c r="B358" s="386"/>
      <c r="C358" s="386"/>
      <c r="D358" s="253"/>
      <c r="E358" s="1244"/>
      <c r="F358" s="389"/>
      <c r="G358" s="1244"/>
      <c r="H358" s="1244"/>
      <c r="I358" s="1409"/>
      <c r="J358" s="110"/>
      <c r="K358" s="504"/>
      <c r="L358" s="262"/>
    </row>
    <row r="359" spans="1:12" ht="25.5">
      <c r="A359" s="246" t="s">
        <v>13833</v>
      </c>
      <c r="B359" s="1378"/>
      <c r="C359" s="1378"/>
      <c r="D359" s="1379" t="s">
        <v>16301</v>
      </c>
      <c r="E359" s="1380"/>
      <c r="F359" s="1381"/>
      <c r="G359" s="1380"/>
      <c r="H359" s="1381"/>
      <c r="I359" s="1382"/>
      <c r="J359" s="110"/>
      <c r="K359" s="1588"/>
      <c r="L359" s="262"/>
    </row>
    <row r="360" spans="1:12" ht="25.5" outlineLevel="1">
      <c r="A360" s="1385" t="s">
        <v>13834</v>
      </c>
      <c r="B360" s="295" t="s">
        <v>15070</v>
      </c>
      <c r="C360" s="295" t="s">
        <v>14472</v>
      </c>
      <c r="D360" s="658" t="str">
        <f>IFERROR(VLOOKUP($B360,'24.08_ND'!$A$4833:$D$12369,2,0),IFERROR(VLOOKUP($B360,'03-CP'!$C$5:$H$4646,2,0),""))</f>
        <v>PLACA DE SINALIZAÇÃO EM BRAILLE EM AÇO INOX,  DIMENSÕES 20X10 CM - FORNECIMENTO E INSTALAÇÃO</v>
      </c>
      <c r="E360" s="1318" t="str">
        <f>IFERROR(VLOOKUP($B360,'24.08_ND'!$A:$D,3,0),IFERROR(VLOOKUP($B360,'03-CP'!$C$5:$H$4646,3,0),""))</f>
        <v>UN</v>
      </c>
      <c r="F360" s="1671">
        <f>SUM(I362:I364)</f>
        <v>4</v>
      </c>
      <c r="G360" s="1387"/>
      <c r="H360" s="1387"/>
      <c r="I360" s="1388"/>
      <c r="J360" s="1672" t="s">
        <v>16387</v>
      </c>
      <c r="K360" s="504"/>
      <c r="L360" s="262"/>
    </row>
    <row r="361" spans="1:12" ht="12.75" hidden="1" outlineLevel="1">
      <c r="A361" s="247"/>
      <c r="B361" s="386"/>
      <c r="C361" s="386"/>
      <c r="D361" s="1435" t="s">
        <v>16404</v>
      </c>
      <c r="E361" s="1240" t="s">
        <v>16252</v>
      </c>
      <c r="F361" s="1425" t="s">
        <v>16232</v>
      </c>
      <c r="G361" s="1391" t="s">
        <v>16233</v>
      </c>
      <c r="H361" s="1240" t="s">
        <v>16234</v>
      </c>
      <c r="I361" s="1426" t="s">
        <v>12615</v>
      </c>
      <c r="J361" s="110"/>
      <c r="K361" s="504"/>
      <c r="L361" s="262"/>
    </row>
    <row r="362" spans="1:12" ht="12.75" hidden="1" outlineLevel="1">
      <c r="A362" s="247"/>
      <c r="B362" s="386"/>
      <c r="C362" s="386"/>
      <c r="D362" s="1418" t="s">
        <v>16507</v>
      </c>
      <c r="E362" s="1244"/>
      <c r="F362" s="389"/>
      <c r="G362" s="1244"/>
      <c r="H362" s="1244">
        <v>1</v>
      </c>
      <c r="I362" s="1409">
        <f>H362</f>
        <v>1</v>
      </c>
      <c r="J362" s="110"/>
      <c r="K362" s="504"/>
      <c r="L362" s="262"/>
    </row>
    <row r="363" spans="1:12" ht="12.75" hidden="1" outlineLevel="1">
      <c r="A363" s="247"/>
      <c r="B363" s="386"/>
      <c r="C363" s="386"/>
      <c r="D363" s="1418" t="s">
        <v>16503</v>
      </c>
      <c r="E363" s="1244"/>
      <c r="F363" s="389"/>
      <c r="G363" s="1244"/>
      <c r="H363" s="1244">
        <v>1</v>
      </c>
      <c r="I363" s="1409">
        <f>H363</f>
        <v>1</v>
      </c>
      <c r="J363" s="110"/>
      <c r="K363" s="504"/>
      <c r="L363" s="262"/>
    </row>
    <row r="364" spans="1:12" ht="12.75" hidden="1" outlineLevel="1">
      <c r="A364" s="247"/>
      <c r="B364" s="386"/>
      <c r="C364" s="386"/>
      <c r="D364" s="1422" t="s">
        <v>16537</v>
      </c>
      <c r="E364" s="1248"/>
      <c r="F364" s="1436"/>
      <c r="G364" s="1248"/>
      <c r="H364" s="1248">
        <v>2</v>
      </c>
      <c r="I364" s="1281">
        <f>H364</f>
        <v>2</v>
      </c>
      <c r="J364" s="110"/>
      <c r="K364" s="504"/>
      <c r="L364" s="262"/>
    </row>
    <row r="365" spans="1:12" ht="25.5" outlineLevel="1">
      <c r="A365" s="1385" t="s">
        <v>13835</v>
      </c>
      <c r="B365" s="295" t="s">
        <v>15072</v>
      </c>
      <c r="C365" s="295" t="s">
        <v>14472</v>
      </c>
      <c r="D365" s="658" t="str">
        <f>IFERROR(VLOOKUP($B365,'24.08_ND'!$A$4833:$D$12369,2,0),IFERROR(VLOOKUP($B365,'03-CP'!$C$5:$H$4646,2,0),""))</f>
        <v>PISO TÁTIL DE ALERTA EM INOX COLADO EM PISO - FORNECIMENTO E INSTALAÇÃO</v>
      </c>
      <c r="E365" s="1318" t="str">
        <f>IFERROR(VLOOKUP($B365,'24.08_ND'!$A:$D,3,0),IFERROR(VLOOKUP($B365,'03-CP'!$C$5:$H$4646,3,0),""))</f>
        <v>M</v>
      </c>
      <c r="F365" s="1671">
        <v>26.25</v>
      </c>
      <c r="G365" s="1387"/>
      <c r="H365" s="1387"/>
      <c r="I365" s="1388"/>
      <c r="J365" s="1672" t="s">
        <v>16387</v>
      </c>
      <c r="K365" s="504"/>
      <c r="L365" s="262"/>
    </row>
    <row r="366" spans="1:12" ht="25.5" outlineLevel="1">
      <c r="A366" s="1385" t="s">
        <v>13836</v>
      </c>
      <c r="B366" s="295" t="s">
        <v>15076</v>
      </c>
      <c r="C366" s="295" t="s">
        <v>14472</v>
      </c>
      <c r="D366" s="658" t="str">
        <f>IFERROR(VLOOKUP($B366,'24.08_ND'!$A$4833:$D$12369,2,0),IFERROR(VLOOKUP($B366,'03-CP'!$C$5:$H$4646,2,0),""))</f>
        <v>PISO TÁTIL DE DIRECIONAL EM INOX COLADO EM PISO  - FORNECIMENTO E INSTALAÇÃO</v>
      </c>
      <c r="E366" s="1318" t="str">
        <f>IFERROR(VLOOKUP($B366,'24.08_ND'!$A:$D,3,0),IFERROR(VLOOKUP($B366,'03-CP'!$C$5:$H$4646,3,0),""))</f>
        <v>M</v>
      </c>
      <c r="F366" s="1671">
        <v>2.75</v>
      </c>
      <c r="G366" s="1387"/>
      <c r="H366" s="1387"/>
      <c r="I366" s="1388"/>
      <c r="J366" s="1672" t="s">
        <v>16387</v>
      </c>
      <c r="K366" s="504"/>
      <c r="L366" s="262"/>
    </row>
    <row r="367" spans="1:12" ht="38.25" outlineLevel="1">
      <c r="A367" s="1385" t="s">
        <v>13837</v>
      </c>
      <c r="B367" s="295">
        <v>94995</v>
      </c>
      <c r="C367" s="295" t="s">
        <v>14476</v>
      </c>
      <c r="D367" s="658" t="str">
        <f>IFERROR(VLOOKUP($B367,'24.08_ND'!$A$4833:$D$12369,2,0),IFERROR(VLOOKUP($B367,'03-CP'!$C$5:$H$4646,2,0),""))</f>
        <v>EXECUÇÃO DE PASSEIO (CALÇADA) OU PISO DE CONCRETO COM CONCRETO MOLDADO IN LOCO, USINADO, ACABAMENTO CONVENCIONAL, ESPESSURA 8 CM, ARMADO. AF_08/2022</v>
      </c>
      <c r="E367" s="1318" t="str">
        <f>IFERROR(VLOOKUP($B367,'24.08_ND'!$A:$D,3,0),IFERROR(VLOOKUP($B367,'03-CP'!$C$5:$H$4646,3,0),""))</f>
        <v>M2</v>
      </c>
      <c r="F367" s="1583">
        <f>SUM(I369:I374)</f>
        <v>173.26999999999998</v>
      </c>
      <c r="G367" s="1387"/>
      <c r="H367" s="1387"/>
      <c r="I367" s="1388"/>
      <c r="J367" s="1672" t="s">
        <v>16387</v>
      </c>
      <c r="K367" s="1722" t="s">
        <v>16070</v>
      </c>
      <c r="L367" s="262"/>
    </row>
    <row r="368" spans="1:12" ht="12.75" hidden="1" outlineLevel="1">
      <c r="A368" s="450"/>
      <c r="B368" s="386"/>
      <c r="C368" s="386"/>
      <c r="D368" s="1435" t="s">
        <v>16404</v>
      </c>
      <c r="E368" s="1391" t="s">
        <v>16233</v>
      </c>
      <c r="F368" s="1425" t="s">
        <v>16538</v>
      </c>
      <c r="G368" s="1391"/>
      <c r="H368" s="1240" t="s">
        <v>16234</v>
      </c>
      <c r="I368" s="1426" t="s">
        <v>12615</v>
      </c>
      <c r="J368" s="110"/>
      <c r="K368" s="504"/>
      <c r="L368" s="262"/>
    </row>
    <row r="369" spans="1:12" ht="12.75" hidden="1" outlineLevel="1">
      <c r="A369" s="450"/>
      <c r="B369" s="386"/>
      <c r="C369" s="386"/>
      <c r="D369" s="1418" t="s">
        <v>16502</v>
      </c>
      <c r="E369" s="1244">
        <v>35.35</v>
      </c>
      <c r="F369" s="389">
        <v>0.08</v>
      </c>
      <c r="G369" s="1244"/>
      <c r="H369" s="1244">
        <v>1</v>
      </c>
      <c r="I369" s="1409">
        <f t="shared" ref="I369:I374" si="7">E369*H369</f>
        <v>35.35</v>
      </c>
      <c r="J369" s="110"/>
      <c r="K369" s="504"/>
      <c r="L369" s="262"/>
    </row>
    <row r="370" spans="1:12" ht="12.75" hidden="1" outlineLevel="1">
      <c r="A370" s="450"/>
      <c r="B370" s="386"/>
      <c r="C370" s="386"/>
      <c r="D370" s="1418" t="s">
        <v>16503</v>
      </c>
      <c r="E370" s="1244">
        <v>42.8</v>
      </c>
      <c r="F370" s="389">
        <v>0.08</v>
      </c>
      <c r="G370" s="1244"/>
      <c r="H370" s="1244">
        <v>1</v>
      </c>
      <c r="I370" s="1409">
        <f t="shared" si="7"/>
        <v>42.8</v>
      </c>
      <c r="J370" s="110"/>
      <c r="K370" s="504"/>
      <c r="L370" s="262"/>
    </row>
    <row r="371" spans="1:12" ht="12.75" hidden="1" outlineLevel="1">
      <c r="A371" s="450"/>
      <c r="B371" s="386"/>
      <c r="C371" s="386"/>
      <c r="D371" s="1418" t="s">
        <v>16504</v>
      </c>
      <c r="E371" s="1244">
        <v>4.8</v>
      </c>
      <c r="F371" s="389">
        <v>0.08</v>
      </c>
      <c r="G371" s="1244"/>
      <c r="H371" s="1244">
        <v>1</v>
      </c>
      <c r="I371" s="1409">
        <f t="shared" si="7"/>
        <v>4.8</v>
      </c>
      <c r="J371" s="110"/>
      <c r="K371" s="504"/>
      <c r="L371" s="262"/>
    </row>
    <row r="372" spans="1:12" ht="12.75" hidden="1" outlineLevel="1">
      <c r="A372" s="247"/>
      <c r="B372" s="386"/>
      <c r="C372" s="386"/>
      <c r="D372" s="1418" t="s">
        <v>16505</v>
      </c>
      <c r="E372" s="1244">
        <v>4.8</v>
      </c>
      <c r="F372" s="389">
        <v>0.08</v>
      </c>
      <c r="G372" s="1244"/>
      <c r="H372" s="1244">
        <v>1</v>
      </c>
      <c r="I372" s="1409">
        <f t="shared" si="7"/>
        <v>4.8</v>
      </c>
      <c r="J372" s="110"/>
      <c r="K372" s="504"/>
      <c r="L372" s="262"/>
    </row>
    <row r="373" spans="1:12" ht="12.75" hidden="1" outlineLevel="1">
      <c r="A373" s="247"/>
      <c r="B373" s="386"/>
      <c r="C373" s="386"/>
      <c r="D373" s="1418" t="s">
        <v>16506</v>
      </c>
      <c r="E373" s="1244">
        <v>5.0999999999999996</v>
      </c>
      <c r="F373" s="389">
        <v>0.08</v>
      </c>
      <c r="G373" s="1244"/>
      <c r="H373" s="1244">
        <v>1</v>
      </c>
      <c r="I373" s="1409">
        <f t="shared" si="7"/>
        <v>5.0999999999999996</v>
      </c>
      <c r="J373" s="110"/>
      <c r="K373" s="504"/>
      <c r="L373" s="262"/>
    </row>
    <row r="374" spans="1:12" ht="12.75" hidden="1" outlineLevel="1">
      <c r="A374" s="247"/>
      <c r="B374" s="386"/>
      <c r="C374" s="386"/>
      <c r="D374" s="1422" t="s">
        <v>16494</v>
      </c>
      <c r="E374" s="1248">
        <v>80.42</v>
      </c>
      <c r="F374" s="1436">
        <v>0.08</v>
      </c>
      <c r="G374" s="1248"/>
      <c r="H374" s="1248">
        <v>1</v>
      </c>
      <c r="I374" s="1281">
        <f t="shared" si="7"/>
        <v>80.42</v>
      </c>
      <c r="J374" s="110"/>
      <c r="K374" s="504"/>
      <c r="L374" s="262"/>
    </row>
    <row r="375" spans="1:12" ht="12.75" hidden="1" outlineLevel="1">
      <c r="A375" s="247"/>
      <c r="B375" s="386"/>
      <c r="C375" s="386"/>
      <c r="D375" s="253"/>
      <c r="E375" s="1244"/>
      <c r="F375" s="389"/>
      <c r="G375" s="1244"/>
      <c r="H375" s="1244"/>
      <c r="I375" s="1409"/>
      <c r="J375" s="110"/>
      <c r="K375" s="504"/>
      <c r="L375" s="262"/>
    </row>
    <row r="376" spans="1:12" ht="38.25" outlineLevel="1">
      <c r="A376" s="1385" t="s">
        <v>13838</v>
      </c>
      <c r="B376" s="295">
        <v>87299</v>
      </c>
      <c r="C376" s="295" t="s">
        <v>14476</v>
      </c>
      <c r="D376" s="658" t="str">
        <f>IFERROR(VLOOKUP($B376,'24.08_ND'!$A$4833:$D$12369,2,0),IFERROR(VLOOKUP($B376,'03-CP'!$C$5:$H$4646,2,0),""))</f>
        <v>ARGAMASSA TRAÇO 1:3 (EM VOLUME DE CIMENTO E AREIA MÉDIA ÚMIDA) PARA CONTRAPISO, PREPARO MECÂNICO COM BETONEIRA 600 L. AF_08/2019</v>
      </c>
      <c r="E376" s="1318" t="str">
        <f>IFERROR(VLOOKUP($B376,'24.08_ND'!$A:$D,3,0),IFERROR(VLOOKUP($B376,'03-CP'!$C$5:$H$4646,3,0),""))</f>
        <v>M3</v>
      </c>
      <c r="F376" s="1583">
        <f>SUM(I378:I383)</f>
        <v>4.7945999999999991</v>
      </c>
      <c r="G376" s="1387"/>
      <c r="H376" s="1387"/>
      <c r="I376" s="1388"/>
      <c r="J376" s="1672" t="s">
        <v>16387</v>
      </c>
      <c r="K376" s="504"/>
      <c r="L376" s="262"/>
    </row>
    <row r="377" spans="1:12" ht="12.75" hidden="1" outlineLevel="1">
      <c r="A377" s="1675"/>
      <c r="B377" s="386"/>
      <c r="C377" s="386"/>
      <c r="D377" s="1708" t="s">
        <v>16253</v>
      </c>
      <c r="E377" s="1698" t="s">
        <v>16233</v>
      </c>
      <c r="F377" s="1697" t="s">
        <v>16538</v>
      </c>
      <c r="G377" s="1698"/>
      <c r="H377" s="1696" t="s">
        <v>16234</v>
      </c>
      <c r="I377" s="1699" t="s">
        <v>12615</v>
      </c>
      <c r="J377" s="110"/>
      <c r="K377" s="504"/>
      <c r="L377" s="262"/>
    </row>
    <row r="378" spans="1:12" ht="12.75" hidden="1" outlineLevel="1">
      <c r="A378" s="247"/>
      <c r="B378" s="386"/>
      <c r="C378" s="386"/>
      <c r="D378" s="1709" t="s">
        <v>16502</v>
      </c>
      <c r="E378" s="1244">
        <v>32.22</v>
      </c>
      <c r="F378" s="389">
        <v>0.03</v>
      </c>
      <c r="G378" s="1244"/>
      <c r="H378" s="1244">
        <v>1</v>
      </c>
      <c r="I378" s="1409">
        <f t="shared" ref="I378:I383" si="8">E378*F378*H378</f>
        <v>0.9665999999999999</v>
      </c>
      <c r="J378" s="110"/>
      <c r="K378" s="504"/>
      <c r="L378" s="262"/>
    </row>
    <row r="379" spans="1:12" ht="12.75" hidden="1" outlineLevel="1">
      <c r="A379" s="247"/>
      <c r="B379" s="386"/>
      <c r="C379" s="386"/>
      <c r="D379" s="1709" t="s">
        <v>16503</v>
      </c>
      <c r="E379" s="1244">
        <v>39.380000000000003</v>
      </c>
      <c r="F379" s="389">
        <v>0.03</v>
      </c>
      <c r="G379" s="1244"/>
      <c r="H379" s="1244">
        <v>1</v>
      </c>
      <c r="I379" s="1409">
        <f t="shared" si="8"/>
        <v>1.1814</v>
      </c>
      <c r="J379" s="110"/>
      <c r="K379" s="504"/>
      <c r="L379" s="262"/>
    </row>
    <row r="380" spans="1:12" ht="12.75" hidden="1" outlineLevel="1">
      <c r="A380" s="247"/>
      <c r="B380" s="386"/>
      <c r="C380" s="386"/>
      <c r="D380" s="1709" t="s">
        <v>16504</v>
      </c>
      <c r="E380" s="1244">
        <v>3.93</v>
      </c>
      <c r="F380" s="389">
        <v>0.03</v>
      </c>
      <c r="G380" s="1244"/>
      <c r="H380" s="1244">
        <v>1</v>
      </c>
      <c r="I380" s="1409">
        <f t="shared" si="8"/>
        <v>0.1179</v>
      </c>
      <c r="J380" s="110"/>
      <c r="K380" s="504"/>
      <c r="L380" s="262"/>
    </row>
    <row r="381" spans="1:12" ht="12.75" hidden="1" outlineLevel="1">
      <c r="A381" s="247"/>
      <c r="B381" s="386"/>
      <c r="C381" s="386"/>
      <c r="D381" s="1709" t="s">
        <v>16505</v>
      </c>
      <c r="E381" s="1244">
        <v>3.93</v>
      </c>
      <c r="F381" s="389">
        <v>0.03</v>
      </c>
      <c r="G381" s="1244"/>
      <c r="H381" s="1244">
        <v>1</v>
      </c>
      <c r="I381" s="1409">
        <f t="shared" si="8"/>
        <v>0.1179</v>
      </c>
      <c r="J381" s="110"/>
      <c r="K381" s="504"/>
      <c r="L381" s="262"/>
    </row>
    <row r="382" spans="1:12" ht="12.75" hidden="1" outlineLevel="1">
      <c r="A382" s="247"/>
      <c r="B382" s="386"/>
      <c r="C382" s="386"/>
      <c r="D382" s="1709" t="s">
        <v>16506</v>
      </c>
      <c r="E382" s="1244">
        <v>4.1500000000000004</v>
      </c>
      <c r="F382" s="389">
        <v>0.03</v>
      </c>
      <c r="G382" s="1244"/>
      <c r="H382" s="1244">
        <v>1</v>
      </c>
      <c r="I382" s="1409">
        <f t="shared" si="8"/>
        <v>0.1245</v>
      </c>
      <c r="J382" s="110"/>
      <c r="K382" s="504"/>
      <c r="L382" s="262"/>
    </row>
    <row r="383" spans="1:12" ht="12.75" hidden="1" outlineLevel="1">
      <c r="A383" s="247"/>
      <c r="B383" s="386"/>
      <c r="C383" s="386"/>
      <c r="D383" s="1710" t="s">
        <v>16494</v>
      </c>
      <c r="E383" s="1711">
        <v>76.209999999999994</v>
      </c>
      <c r="F383" s="1712">
        <v>0.03</v>
      </c>
      <c r="G383" s="1711"/>
      <c r="H383" s="1711">
        <v>1</v>
      </c>
      <c r="I383" s="1713">
        <f t="shared" si="8"/>
        <v>2.2862999999999998</v>
      </c>
      <c r="J383" s="110"/>
      <c r="K383" s="504"/>
      <c r="L383" s="262"/>
    </row>
    <row r="384" spans="1:12" ht="25.5" outlineLevel="1">
      <c r="A384" s="1385" t="s">
        <v>13839</v>
      </c>
      <c r="B384" s="295" t="s">
        <v>14962</v>
      </c>
      <c r="C384" s="295" t="s">
        <v>14472</v>
      </c>
      <c r="D384" s="658" t="str">
        <f>IFERROR(VLOOKUP($B384,'24.08_ND'!$A$4833:$D$12369,2,0),IFERROR(VLOOKUP($B384,'03-CP'!$C$5:$H$4646,2,0),""))</f>
        <v>PISO DRENANTE, ASSENTADO SOBRE BRITA Nº 2 (E= 15CM), E AREIA GROSSA (E= 5 CM) E CAMADA DE MANTA GEOTÊXTIL RT 10</v>
      </c>
      <c r="E384" s="1318" t="str">
        <f>IFERROR(VLOOKUP($B384,'24.08_ND'!$A:$D,3,0),IFERROR(VLOOKUP($B384,'03-CP'!$C$5:$H$4646,3,0),""))</f>
        <v>M2</v>
      </c>
      <c r="F384" s="1583">
        <f>SUM(I386)</f>
        <v>8.89</v>
      </c>
      <c r="G384" s="1387"/>
      <c r="H384" s="1387"/>
      <c r="I384" s="1388"/>
      <c r="J384" s="1672" t="s">
        <v>16387</v>
      </c>
      <c r="K384" s="504"/>
      <c r="L384" s="262"/>
    </row>
    <row r="385" spans="1:12" ht="12.75" hidden="1" outlineLevel="1">
      <c r="A385" s="1675"/>
      <c r="B385" s="110"/>
      <c r="C385" s="110"/>
      <c r="D385" s="1435" t="s">
        <v>16404</v>
      </c>
      <c r="E385" s="1240" t="s">
        <v>16252</v>
      </c>
      <c r="F385" s="1425" t="s">
        <v>16232</v>
      </c>
      <c r="G385" s="1391" t="s">
        <v>16233</v>
      </c>
      <c r="H385" s="1240" t="s">
        <v>16234</v>
      </c>
      <c r="I385" s="1426" t="s">
        <v>12615</v>
      </c>
      <c r="J385" s="110"/>
      <c r="K385" s="504"/>
      <c r="L385" s="262"/>
    </row>
    <row r="386" spans="1:12" ht="12.75" hidden="1" outlineLevel="1">
      <c r="A386" s="247"/>
      <c r="B386" s="386"/>
      <c r="C386" s="386"/>
      <c r="D386" s="1422" t="s">
        <v>16539</v>
      </c>
      <c r="E386" s="1248"/>
      <c r="F386" s="1436"/>
      <c r="G386" s="1248">
        <v>8.89</v>
      </c>
      <c r="H386" s="1248"/>
      <c r="I386" s="1281">
        <f>G386</f>
        <v>8.89</v>
      </c>
      <c r="J386" s="110"/>
      <c r="K386" s="504"/>
      <c r="L386" s="262"/>
    </row>
    <row r="387" spans="1:12" ht="12.75" hidden="1" outlineLevel="1">
      <c r="A387" s="247"/>
      <c r="B387" s="386"/>
      <c r="C387" s="386"/>
      <c r="D387" s="253"/>
      <c r="E387" s="1244"/>
      <c r="F387" s="389"/>
      <c r="G387" s="1244"/>
      <c r="H387" s="1244"/>
      <c r="I387" s="1409"/>
      <c r="J387" s="110"/>
      <c r="K387" s="504"/>
      <c r="L387" s="262"/>
    </row>
    <row r="388" spans="1:12" ht="12.75" hidden="1">
      <c r="A388" s="1487"/>
      <c r="B388" s="262"/>
      <c r="C388" s="262"/>
      <c r="D388" s="339"/>
      <c r="E388" s="1490"/>
      <c r="F388" s="1723"/>
      <c r="G388" s="1724"/>
      <c r="H388" s="186"/>
      <c r="I388" s="1725"/>
      <c r="J388" s="110"/>
      <c r="K388" s="504"/>
      <c r="L388" s="262"/>
    </row>
    <row r="389" spans="1:12" ht="12.75">
      <c r="A389" s="1298" t="s">
        <v>16309</v>
      </c>
      <c r="B389" s="1663"/>
      <c r="C389" s="1663"/>
      <c r="D389" s="1664"/>
      <c r="E389" s="1373"/>
      <c r="F389" s="1665"/>
      <c r="G389" s="1666"/>
      <c r="H389" s="1667"/>
      <c r="I389" s="1668"/>
      <c r="J389" s="110"/>
      <c r="K389" s="504"/>
      <c r="L389" s="262"/>
    </row>
    <row r="390" spans="1:12" ht="12.75">
      <c r="A390" s="238" t="s">
        <v>12644</v>
      </c>
      <c r="B390" s="1304"/>
      <c r="C390" s="1304"/>
      <c r="D390" s="1305" t="s">
        <v>16310</v>
      </c>
      <c r="E390" s="1306"/>
      <c r="F390" s="1307"/>
      <c r="G390" s="1307"/>
      <c r="H390" s="1586"/>
      <c r="I390" s="1496"/>
      <c r="J390" s="1643" t="s">
        <v>16540</v>
      </c>
      <c r="K390" s="1588" t="s">
        <v>16541</v>
      </c>
      <c r="L390" s="262"/>
    </row>
    <row r="391" spans="1:12" ht="12.75" collapsed="1">
      <c r="A391" s="250" t="s">
        <v>13840</v>
      </c>
      <c r="B391" s="1309"/>
      <c r="C391" s="1497"/>
      <c r="D391" s="1498" t="s">
        <v>16312</v>
      </c>
      <c r="E391" s="234"/>
      <c r="F391" s="1311"/>
      <c r="G391" s="236"/>
      <c r="H391" s="236"/>
      <c r="I391" s="1499"/>
      <c r="J391" s="1726"/>
      <c r="K391" s="1588"/>
      <c r="L391" s="1297"/>
    </row>
    <row r="392" spans="1:12" ht="38.25" hidden="1" outlineLevel="1">
      <c r="A392" s="247" t="s">
        <v>13841</v>
      </c>
      <c r="B392" s="386">
        <v>89383</v>
      </c>
      <c r="C392" s="386" t="s">
        <v>14476</v>
      </c>
      <c r="D392" s="1314" t="str">
        <f>IFERROR(VLOOKUP($B392,'24.08_ND'!$A$4833:$D$12369,2,0),IFERROR(VLOOKUP($B392,'03-CP'!$C$5:$H$4646,2,0),""))</f>
        <v>ADAPTADOR CURTO COM BOLSA E ROSCA PARA REGISTRO, PVC, SOLDÁVEL, DN 25MM X 3/4 , INSTALADO EM RAMAL OU SUB-RAMAL DE ÁGUA - FORNECIMENTO E INSTALAÇÃO. AF_06/2022</v>
      </c>
      <c r="E392" s="1315" t="str">
        <f>IFERROR(VLOOKUP($B392,'24.08_ND'!$A:$D,3,0),IFERROR(VLOOKUP($B392,'03-CP'!$C$5:$H$4646,3,0),""))</f>
        <v>UN</v>
      </c>
      <c r="F392" s="389">
        <v>2</v>
      </c>
      <c r="G392" s="1244"/>
      <c r="H392" s="1244"/>
      <c r="I392" s="1409"/>
      <c r="J392" s="1644" t="s">
        <v>16316</v>
      </c>
      <c r="K392" s="504"/>
      <c r="L392" s="262"/>
    </row>
    <row r="393" spans="1:12" ht="38.25" hidden="1" outlineLevel="1">
      <c r="A393" s="247" t="s">
        <v>13842</v>
      </c>
      <c r="B393" s="386">
        <v>104001</v>
      </c>
      <c r="C393" s="386" t="s">
        <v>14476</v>
      </c>
      <c r="D393" s="1314" t="str">
        <f>IFERROR(VLOOKUP($B393,'24.08_ND'!$A$4833:$D$12369,2,0),IFERROR(VLOOKUP($B393,'03-CP'!$C$5:$H$4646,2,0),""))</f>
        <v>ADAPTADOR CURTO COM BOLSA E ROSCA PARA REGISTRO, PVC, SOLDÁVEL, DN 50MM X 1.1/2", INSTALADO EM RAMAL DE DISTRIBUIÇÃO DE ÁGUA - FORNECIMENTO E INSTALAÇÃO. AF_06/2022</v>
      </c>
      <c r="E393" s="1315" t="str">
        <f>IFERROR(VLOOKUP($B393,'24.08_ND'!$A:$D,3,0),IFERROR(VLOOKUP($B393,'03-CP'!$C$5:$H$4646,3,0),""))</f>
        <v>UN</v>
      </c>
      <c r="F393" s="389">
        <v>54</v>
      </c>
      <c r="G393" s="1244"/>
      <c r="H393" s="1244"/>
      <c r="I393" s="1409"/>
      <c r="J393" s="1644" t="s">
        <v>16316</v>
      </c>
      <c r="K393" s="504"/>
      <c r="L393" s="262"/>
    </row>
    <row r="394" spans="1:12" ht="38.25" hidden="1" outlineLevel="1">
      <c r="A394" s="247" t="s">
        <v>13843</v>
      </c>
      <c r="B394" s="386">
        <v>103999</v>
      </c>
      <c r="C394" s="386" t="s">
        <v>14476</v>
      </c>
      <c r="D394" s="1314" t="str">
        <f>IFERROR(VLOOKUP($B394,'24.08_ND'!$A$4833:$D$12369,2,0),IFERROR(VLOOKUP($B394,'03-CP'!$C$5:$H$4646,2,0),""))</f>
        <v>BUCHA DE REDUÇÃO, LONGA, PVC, SOLDÁVEL, DN 50 X 25 MM, INSTALADO EM RAMAL DE DISTRIBUIÇÃO DE ÁGUA - FORNECIMENTO E INSTALAÇÃO. AF_06/2022</v>
      </c>
      <c r="E394" s="1315" t="str">
        <f>IFERROR(VLOOKUP($B394,'24.08_ND'!$A:$D,3,0),IFERROR(VLOOKUP($B394,'03-CP'!$C$5:$H$4646,3,0),""))</f>
        <v>UN</v>
      </c>
      <c r="F394" s="389">
        <v>8</v>
      </c>
      <c r="G394" s="1244"/>
      <c r="H394" s="1244"/>
      <c r="I394" s="1409"/>
      <c r="J394" s="1644" t="s">
        <v>16316</v>
      </c>
      <c r="K394" s="504"/>
      <c r="L394" s="262"/>
    </row>
    <row r="395" spans="1:12" ht="38.25" hidden="1" outlineLevel="1">
      <c r="A395" s="247" t="s">
        <v>13844</v>
      </c>
      <c r="B395" s="386">
        <v>103948</v>
      </c>
      <c r="C395" s="386" t="s">
        <v>14476</v>
      </c>
      <c r="D395" s="1314" t="str">
        <f>IFERROR(VLOOKUP($B395,'24.08_ND'!$A$4833:$D$12369,2,0),IFERROR(VLOOKUP($B395,'03-CP'!$C$5:$H$4646,2,0),""))</f>
        <v>BUCHA DE REDUÇÃO, CURTA, PVC, SOLDÁVEL, DN 32 X 25 MM, INSTALADO EM RAMAL OU SUB-RAMAL DE ÁGUA - FORNECIMENTO E INSTALAÇÃO. AF_06/2022</v>
      </c>
      <c r="E395" s="1315" t="str">
        <f>IFERROR(VLOOKUP($B395,'24.08_ND'!$A:$D,3,0),IFERROR(VLOOKUP($B395,'03-CP'!$C$5:$H$4646,3,0),""))</f>
        <v>UN</v>
      </c>
      <c r="F395" s="389">
        <v>7</v>
      </c>
      <c r="G395" s="1244"/>
      <c r="H395" s="1244"/>
      <c r="I395" s="1409"/>
      <c r="J395" s="1644" t="s">
        <v>16316</v>
      </c>
      <c r="K395" s="504"/>
      <c r="L395" s="262"/>
    </row>
    <row r="396" spans="1:12" ht="25.5" hidden="1" outlineLevel="1">
      <c r="A396" s="247" t="s">
        <v>13845</v>
      </c>
      <c r="B396" s="386">
        <v>94683</v>
      </c>
      <c r="C396" s="386" t="s">
        <v>14476</v>
      </c>
      <c r="D396" s="1314" t="str">
        <f>IFERROR(VLOOKUP($B396,'24.08_ND'!$A$4833:$D$12369,2,0),IFERROR(VLOOKUP($B396,'03-CP'!$C$5:$H$4646,2,0),""))</f>
        <v>CURVA 90 GRAUS, PVC, SOLDÁVEL, DN 75 MM, INSTALADO EM RESERVAÇÃO PREDIAL DE ÁGUA - FORNECIMENTO E INSTALAÇÃO. AF_04/2024</v>
      </c>
      <c r="E396" s="1315" t="str">
        <f>IFERROR(VLOOKUP($B396,'24.08_ND'!$A:$D,3,0),IFERROR(VLOOKUP($B396,'03-CP'!$C$5:$H$4646,3,0),""))</f>
        <v>UN</v>
      </c>
      <c r="F396" s="389">
        <v>6</v>
      </c>
      <c r="G396" s="1244"/>
      <c r="H396" s="1244"/>
      <c r="I396" s="1409"/>
      <c r="J396" s="1644" t="s">
        <v>16316</v>
      </c>
      <c r="K396" s="504"/>
      <c r="L396" s="262"/>
    </row>
    <row r="397" spans="1:12" ht="25.5" hidden="1" outlineLevel="1">
      <c r="A397" s="247" t="s">
        <v>13846</v>
      </c>
      <c r="B397" s="386">
        <v>94679</v>
      </c>
      <c r="C397" s="386" t="s">
        <v>14476</v>
      </c>
      <c r="D397" s="1314" t="str">
        <f>IFERROR(VLOOKUP($B397,'24.08_ND'!$A$4833:$D$12369,2,0),IFERROR(VLOOKUP($B397,'03-CP'!$C$5:$H$4646,2,0),""))</f>
        <v>CURVA 90 GRAUS, PVC, SOLDÁVEL, DN 50 MM, INSTALADO EM RESERVAÇÃO PREDIAL DE ÁGUA - FORNECIMENTO E INSTALAÇÃO. AF_04/2024</v>
      </c>
      <c r="E397" s="1315" t="str">
        <f>IFERROR(VLOOKUP($B397,'24.08_ND'!$A:$D,3,0),IFERROR(VLOOKUP($B397,'03-CP'!$C$5:$H$4646,3,0),""))</f>
        <v>UN</v>
      </c>
      <c r="F397" s="389">
        <v>34</v>
      </c>
      <c r="G397" s="1244"/>
      <c r="H397" s="1244"/>
      <c r="I397" s="1409"/>
      <c r="J397" s="1644" t="s">
        <v>16316</v>
      </c>
      <c r="K397" s="504"/>
      <c r="L397" s="262"/>
    </row>
    <row r="398" spans="1:12" ht="25.5" hidden="1" outlineLevel="1">
      <c r="A398" s="247" t="s">
        <v>13847</v>
      </c>
      <c r="B398" s="386">
        <v>89369</v>
      </c>
      <c r="C398" s="386" t="s">
        <v>14476</v>
      </c>
      <c r="D398" s="1314" t="str">
        <f>IFERROR(VLOOKUP($B398,'24.08_ND'!$A$4833:$D$12369,2,0),IFERROR(VLOOKUP($B398,'03-CP'!$C$5:$H$4646,2,0),""))</f>
        <v>CURVA 90 GRAUS, PVC, SOLDÁVEL, DN 32MM, INSTALADO EM RAMAL OU SUB-RAMAL DE ÁGUA - FORNECIMENTO E INSTALAÇÃO. AF_06/2022</v>
      </c>
      <c r="E398" s="1315" t="str">
        <f>IFERROR(VLOOKUP($B398,'24.08_ND'!$A:$D,3,0),IFERROR(VLOOKUP($B398,'03-CP'!$C$5:$H$4646,3,0),""))</f>
        <v>UN</v>
      </c>
      <c r="F398" s="389">
        <v>3</v>
      </c>
      <c r="G398" s="1244"/>
      <c r="H398" s="1244"/>
      <c r="I398" s="1409"/>
      <c r="J398" s="1644" t="s">
        <v>16316</v>
      </c>
      <c r="K398" s="504"/>
      <c r="L398" s="262"/>
    </row>
    <row r="399" spans="1:12" ht="25.5" hidden="1" outlineLevel="1">
      <c r="A399" s="247" t="s">
        <v>13848</v>
      </c>
      <c r="B399" s="386">
        <v>89364</v>
      </c>
      <c r="C399" s="386" t="s">
        <v>14476</v>
      </c>
      <c r="D399" s="1314" t="str">
        <f>IFERROR(VLOOKUP($B399,'24.08_ND'!$A$4833:$D$12369,2,0),IFERROR(VLOOKUP($B399,'03-CP'!$C$5:$H$4646,2,0),""))</f>
        <v>CURVA 90 GRAUS, PVC, SOLDÁVEL, DN 25MM, INSTALADO EM RAMAL OU SUB-RAMAL DE ÁGUA - FORNECIMENTO E INSTALAÇÃO. AF_06/2022</v>
      </c>
      <c r="E399" s="1315" t="str">
        <f>IFERROR(VLOOKUP($B399,'24.08_ND'!$A:$D,3,0),IFERROR(VLOOKUP($B399,'03-CP'!$C$5:$H$4646,3,0),""))</f>
        <v>UN</v>
      </c>
      <c r="F399" s="389">
        <v>20</v>
      </c>
      <c r="G399" s="1244"/>
      <c r="H399" s="1244"/>
      <c r="I399" s="1409"/>
      <c r="J399" s="1644" t="s">
        <v>16316</v>
      </c>
      <c r="K399" s="504"/>
      <c r="L399" s="262"/>
    </row>
    <row r="400" spans="1:12" ht="38.25" hidden="1" outlineLevel="1">
      <c r="A400" s="247" t="s">
        <v>13849</v>
      </c>
      <c r="B400" s="386">
        <v>89430</v>
      </c>
      <c r="C400" s="386" t="s">
        <v>14476</v>
      </c>
      <c r="D400" s="1314" t="str">
        <f>IFERROR(VLOOKUP($B400,'24.08_ND'!$A$4833:$D$12369,2,0),IFERROR(VLOOKUP($B400,'03-CP'!$C$5:$H$4646,2,0),""))</f>
        <v>CURVA DE TRANSPOSIÇÃO, PVC, SOLDÁVEL, DN 25MM, INSTALADO EM RAMAL DE DISTRIBUIÇÃO DE ÁGUA   FORNECIMENTO E INSTALAÇÃO. AF_06/2022</v>
      </c>
      <c r="E400" s="1315" t="str">
        <f>IFERROR(VLOOKUP($B400,'24.08_ND'!$A:$D,3,0),IFERROR(VLOOKUP($B400,'03-CP'!$C$5:$H$4646,3,0),""))</f>
        <v>UN</v>
      </c>
      <c r="F400" s="389">
        <v>2</v>
      </c>
      <c r="G400" s="1244"/>
      <c r="H400" s="1244"/>
      <c r="I400" s="1409"/>
      <c r="J400" s="1644" t="s">
        <v>16316</v>
      </c>
      <c r="K400" s="504"/>
      <c r="L400" s="262"/>
    </row>
    <row r="401" spans="1:12" ht="25.5" hidden="1" outlineLevel="1">
      <c r="A401" s="247" t="s">
        <v>13850</v>
      </c>
      <c r="B401" s="386">
        <v>89363</v>
      </c>
      <c r="C401" s="386" t="s">
        <v>14476</v>
      </c>
      <c r="D401" s="1314" t="str">
        <f>IFERROR(VLOOKUP($B401,'24.08_ND'!$A$4833:$D$12369,2,0),IFERROR(VLOOKUP($B401,'03-CP'!$C$5:$H$4646,2,0),""))</f>
        <v>JOELHO 45 GRAUS, PVC, SOLDÁVEL, DN 25MM, INSTALADO EM RAMAL OU SUB-RAMAL DE ÁGUA - FORNECIMENTO E INSTALAÇÃO. AF_06/2022</v>
      </c>
      <c r="E401" s="1315" t="str">
        <f>IFERROR(VLOOKUP($B401,'24.08_ND'!$A:$D,3,0),IFERROR(VLOOKUP($B401,'03-CP'!$C$5:$H$4646,3,0),""))</f>
        <v>UN</v>
      </c>
      <c r="F401" s="389">
        <v>17</v>
      </c>
      <c r="G401" s="1244"/>
      <c r="H401" s="1244"/>
      <c r="I401" s="1409"/>
      <c r="J401" s="1644" t="s">
        <v>16316</v>
      </c>
      <c r="K401" s="504"/>
      <c r="L401" s="262"/>
    </row>
    <row r="402" spans="1:12" ht="25.5" hidden="1" outlineLevel="1">
      <c r="A402" s="247" t="s">
        <v>13851</v>
      </c>
      <c r="B402" s="386">
        <v>89368</v>
      </c>
      <c r="C402" s="386" t="s">
        <v>14476</v>
      </c>
      <c r="D402" s="1314" t="str">
        <f>IFERROR(VLOOKUP($B402,'24.08_ND'!$A$4833:$D$12369,2,0),IFERROR(VLOOKUP($B402,'03-CP'!$C$5:$H$4646,2,0),""))</f>
        <v>JOELHO 45 GRAUS, PVC, SOLDÁVEL, DN 32MM, INSTALADO EM RAMAL OU SUB-RAMAL DE ÁGUA - FORNECIMENTO E INSTALAÇÃO. AF_06/2022</v>
      </c>
      <c r="E402" s="1315" t="str">
        <f>IFERROR(VLOOKUP($B402,'24.08_ND'!$A:$D,3,0),IFERROR(VLOOKUP($B402,'03-CP'!$C$5:$H$4646,3,0),""))</f>
        <v>UN</v>
      </c>
      <c r="F402" s="389">
        <v>6</v>
      </c>
      <c r="G402" s="1244"/>
      <c r="H402" s="1244"/>
      <c r="I402" s="1409"/>
      <c r="J402" s="1644" t="s">
        <v>16316</v>
      </c>
      <c r="K402" s="504"/>
      <c r="L402" s="262"/>
    </row>
    <row r="403" spans="1:12" ht="25.5" hidden="1" outlineLevel="1">
      <c r="A403" s="247" t="s">
        <v>13852</v>
      </c>
      <c r="B403" s="386">
        <v>103985</v>
      </c>
      <c r="C403" s="386" t="s">
        <v>14476</v>
      </c>
      <c r="D403" s="1314" t="str">
        <f>IFERROR(VLOOKUP($B403,'24.08_ND'!$A$4833:$D$12369,2,0),IFERROR(VLOOKUP($B403,'03-CP'!$C$5:$H$4646,2,0),""))</f>
        <v>JOELHO 45 GRAUS, PVC, SOLDÁVEL, DN 50MM, INSTALADO EM RAMAL DE DISTRIBUIÇÃO DE ÁGUA - FORNECIMENTO E INSTALAÇÃO. AF_06/2022</v>
      </c>
      <c r="E403" s="1315" t="str">
        <f>IFERROR(VLOOKUP($B403,'24.08_ND'!$A:$D,3,0),IFERROR(VLOOKUP($B403,'03-CP'!$C$5:$H$4646,3,0),""))</f>
        <v>UN</v>
      </c>
      <c r="F403" s="389">
        <v>35</v>
      </c>
      <c r="G403" s="1244"/>
      <c r="H403" s="1244"/>
      <c r="I403" s="1409"/>
      <c r="J403" s="1644" t="s">
        <v>16316</v>
      </c>
      <c r="K403" s="504"/>
      <c r="L403" s="262"/>
    </row>
    <row r="404" spans="1:12" ht="25.5" hidden="1" outlineLevel="1">
      <c r="A404" s="247" t="s">
        <v>13853</v>
      </c>
      <c r="B404" s="386">
        <v>89362</v>
      </c>
      <c r="C404" s="386" t="s">
        <v>14476</v>
      </c>
      <c r="D404" s="1314" t="str">
        <f>IFERROR(VLOOKUP($B404,'24.08_ND'!$A$4833:$D$12369,2,0),IFERROR(VLOOKUP($B404,'03-CP'!$C$5:$H$4646,2,0),""))</f>
        <v>JOELHO 90 GRAUS, PVC, SOLDÁVEL, DN 25MM, INSTALADO EM RAMAL OU SUB-RAMAL DE ÁGUA - FORNECIMENTO E INSTALAÇÃO. AF_06/2022</v>
      </c>
      <c r="E404" s="1315" t="str">
        <f>IFERROR(VLOOKUP($B404,'24.08_ND'!$A:$D,3,0),IFERROR(VLOOKUP($B404,'03-CP'!$C$5:$H$4646,3,0),""))</f>
        <v>UN</v>
      </c>
      <c r="F404" s="389">
        <v>5</v>
      </c>
      <c r="G404" s="1244"/>
      <c r="H404" s="1244"/>
      <c r="I404" s="1409"/>
      <c r="J404" s="1644" t="s">
        <v>16316</v>
      </c>
      <c r="K404" s="504"/>
      <c r="L404" s="262"/>
    </row>
    <row r="405" spans="1:12" ht="25.5" hidden="1" outlineLevel="1">
      <c r="A405" s="247" t="s">
        <v>13854</v>
      </c>
      <c r="B405" s="386">
        <v>89367</v>
      </c>
      <c r="C405" s="386" t="s">
        <v>14476</v>
      </c>
      <c r="D405" s="1314" t="str">
        <f>IFERROR(VLOOKUP($B405,'24.08_ND'!$A$4833:$D$12369,2,0),IFERROR(VLOOKUP($B405,'03-CP'!$C$5:$H$4646,2,0),""))</f>
        <v>JOELHO 90 GRAUS, PVC, SOLDÁVEL, DN 32MM, INSTALADO EM RAMAL OU SUB-RAMAL DE ÁGUA - FORNECIMENTO E INSTALAÇÃO. AF_06/2022</v>
      </c>
      <c r="E405" s="1315" t="str">
        <f>IFERROR(VLOOKUP($B405,'24.08_ND'!$A:$D,3,0),IFERROR(VLOOKUP($B405,'03-CP'!$C$5:$H$4646,3,0),""))</f>
        <v>UN</v>
      </c>
      <c r="F405" s="389">
        <v>4</v>
      </c>
      <c r="G405" s="1244"/>
      <c r="H405" s="1244"/>
      <c r="I405" s="1409"/>
      <c r="J405" s="1644" t="s">
        <v>16316</v>
      </c>
      <c r="K405" s="504"/>
      <c r="L405" s="262"/>
    </row>
    <row r="406" spans="1:12" ht="38.25" hidden="1" outlineLevel="1">
      <c r="A406" s="247" t="s">
        <v>13855</v>
      </c>
      <c r="B406" s="386">
        <v>94678</v>
      </c>
      <c r="C406" s="386" t="s">
        <v>14476</v>
      </c>
      <c r="D406" s="1314" t="str">
        <f>IFERROR(VLOOKUP($B406,'24.08_ND'!$A$4833:$D$12369,2,0),IFERROR(VLOOKUP($B406,'03-CP'!$C$5:$H$4646,2,0),""))</f>
        <v>JOELHO 90 GRAUS, PVC, SOLDÁVEL, DN 50 MM INSTALADO EM RESERVAÇÃO PREDIAL DE ÁGUA - FORNECIMENTO E INSTALAÇÃO. AF_04/2024</v>
      </c>
      <c r="E406" s="1315" t="str">
        <f>IFERROR(VLOOKUP($B406,'24.08_ND'!$A:$D,3,0),IFERROR(VLOOKUP($B406,'03-CP'!$C$5:$H$4646,3,0),""))</f>
        <v>UN</v>
      </c>
      <c r="F406" s="389">
        <v>1</v>
      </c>
      <c r="G406" s="1244"/>
      <c r="H406" s="1244"/>
      <c r="I406" s="1409"/>
      <c r="J406" s="1644" t="s">
        <v>16316</v>
      </c>
      <c r="K406" s="504"/>
      <c r="L406" s="262"/>
    </row>
    <row r="407" spans="1:12" ht="38.25" hidden="1" outlineLevel="1">
      <c r="A407" s="247" t="s">
        <v>13856</v>
      </c>
      <c r="B407" s="386">
        <v>89366</v>
      </c>
      <c r="C407" s="386" t="s">
        <v>14476</v>
      </c>
      <c r="D407" s="1314" t="str">
        <f>IFERROR(VLOOKUP($B407,'24.08_ND'!$A$4833:$D$12369,2,0),IFERROR(VLOOKUP($B407,'03-CP'!$C$5:$H$4646,2,0),""))</f>
        <v>JOELHO 90 GRAUS COM BUCHA DE LATÃO, PVC, SOLDÁVEL, DN 25MM, X 3/4  INSTALADO EM RAMAL OU SUB-RAMAL DE ÁGUA - FORNECIMENTO E INSTALAÇÃO. AF_06/2022</v>
      </c>
      <c r="E407" s="1315" t="str">
        <f>IFERROR(VLOOKUP($B407,'24.08_ND'!$A:$D,3,0),IFERROR(VLOOKUP($B407,'03-CP'!$C$5:$H$4646,3,0),""))</f>
        <v>UN</v>
      </c>
      <c r="F407" s="389">
        <v>23</v>
      </c>
      <c r="G407" s="1244"/>
      <c r="H407" s="1244"/>
      <c r="I407" s="1409"/>
      <c r="J407" s="1644" t="s">
        <v>16316</v>
      </c>
      <c r="K407" s="504"/>
      <c r="L407" s="262"/>
    </row>
    <row r="408" spans="1:12" ht="38.25" hidden="1" outlineLevel="1">
      <c r="A408" s="247" t="s">
        <v>13857</v>
      </c>
      <c r="B408" s="386">
        <v>89381</v>
      </c>
      <c r="C408" s="386" t="s">
        <v>14476</v>
      </c>
      <c r="D408" s="1314" t="str">
        <f>IFERROR(VLOOKUP($B408,'24.08_ND'!$A$4833:$D$12369,2,0),IFERROR(VLOOKUP($B408,'03-CP'!$C$5:$H$4646,2,0),""))</f>
        <v>LUVA COM BUCHA DE LATÃO, PVC, SOLDÁVEL, DN 25MM X 3/4 , INSTALADO EM RAMAL OU SUB-RAMAL DE ÁGUA - FORNECIMENTO E INSTALAÇÃO. AF_06/2022</v>
      </c>
      <c r="E408" s="1315" t="str">
        <f>IFERROR(VLOOKUP($B408,'24.08_ND'!$A:$D,3,0),IFERROR(VLOOKUP($B408,'03-CP'!$C$5:$H$4646,3,0),""))</f>
        <v>UN</v>
      </c>
      <c r="F408" s="389">
        <v>16</v>
      </c>
      <c r="G408" s="1244"/>
      <c r="H408" s="1244"/>
      <c r="I408" s="1409"/>
      <c r="J408" s="1644" t="s">
        <v>16316</v>
      </c>
      <c r="K408" s="504"/>
      <c r="L408" s="262"/>
    </row>
    <row r="409" spans="1:12" ht="25.5" hidden="1" outlineLevel="1">
      <c r="A409" s="247" t="s">
        <v>13858</v>
      </c>
      <c r="B409" s="386">
        <v>94697</v>
      </c>
      <c r="C409" s="386" t="s">
        <v>14476</v>
      </c>
      <c r="D409" s="1314" t="str">
        <f>IFERROR(VLOOKUP($B409,'24.08_ND'!$A$4833:$D$12369,2,0),IFERROR(VLOOKUP($B409,'03-CP'!$C$5:$H$4646,2,0),""))</f>
        <v>TÊ, PVC, SOLDÁVEL, DN 75 MM INSTALADO EM RESERVAÇÃO PREDIAL DE ÁGUA - FORNECIMENTO E INSTALAÇÃO. AF_04/2024</v>
      </c>
      <c r="E409" s="1315" t="str">
        <f>IFERROR(VLOOKUP($B409,'24.08_ND'!$A:$D,3,0),IFERROR(VLOOKUP($B409,'03-CP'!$C$5:$H$4646,3,0),""))</f>
        <v>UN</v>
      </c>
      <c r="F409" s="389">
        <v>2</v>
      </c>
      <c r="G409" s="1244"/>
      <c r="H409" s="1244"/>
      <c r="I409" s="1409"/>
      <c r="J409" s="1644" t="s">
        <v>16316</v>
      </c>
      <c r="K409" s="504"/>
      <c r="L409" s="262"/>
    </row>
    <row r="410" spans="1:12" ht="25.5" hidden="1" outlineLevel="1">
      <c r="A410" s="247" t="s">
        <v>13859</v>
      </c>
      <c r="B410" s="386">
        <v>104004</v>
      </c>
      <c r="C410" s="386" t="s">
        <v>14476</v>
      </c>
      <c r="D410" s="1314" t="str">
        <f>IFERROR(VLOOKUP($B410,'24.08_ND'!$A$4833:$D$12369,2,0),IFERROR(VLOOKUP($B410,'03-CP'!$C$5:$H$4646,2,0),""))</f>
        <v>TE, PVC, SOLDÁVEL, DN 50MM, INSTALADO EM RAMAL DE DISTRIBUIÇÃO DE ÁGUA - FORNECIMENTO E INSTALAÇÃO. AF_06/2022</v>
      </c>
      <c r="E410" s="1315" t="str">
        <f>IFERROR(VLOOKUP($B410,'24.08_ND'!$A:$D,3,0),IFERROR(VLOOKUP($B410,'03-CP'!$C$5:$H$4646,3,0),""))</f>
        <v>UN</v>
      </c>
      <c r="F410" s="389">
        <v>15</v>
      </c>
      <c r="G410" s="1244"/>
      <c r="H410" s="1244"/>
      <c r="I410" s="1409"/>
      <c r="J410" s="1644" t="s">
        <v>16316</v>
      </c>
      <c r="K410" s="504"/>
      <c r="L410" s="262"/>
    </row>
    <row r="411" spans="1:12" ht="25.5" hidden="1" outlineLevel="1">
      <c r="A411" s="247" t="s">
        <v>13860</v>
      </c>
      <c r="B411" s="386">
        <v>89443</v>
      </c>
      <c r="C411" s="386" t="s">
        <v>14476</v>
      </c>
      <c r="D411" s="1314" t="str">
        <f>IFERROR(VLOOKUP($B411,'24.08_ND'!$A$4833:$D$12369,2,0),IFERROR(VLOOKUP($B411,'03-CP'!$C$5:$H$4646,2,0),""))</f>
        <v>TE, PVC, SOLDÁVEL, DN 32MM, INSTALADO EM RAMAL DE DISTRIBUIÇÃO DE ÁGUA - FORNECIMENTO E INSTALAÇÃO. AF_06/2022</v>
      </c>
      <c r="E411" s="1315" t="str">
        <f>IFERROR(VLOOKUP($B411,'24.08_ND'!$A:$D,3,0),IFERROR(VLOOKUP($B411,'03-CP'!$C$5:$H$4646,3,0),""))</f>
        <v>UN</v>
      </c>
      <c r="F411" s="389">
        <v>5</v>
      </c>
      <c r="G411" s="1244"/>
      <c r="H411" s="1244"/>
      <c r="I411" s="1409"/>
      <c r="J411" s="1644" t="s">
        <v>16316</v>
      </c>
      <c r="K411" s="504"/>
      <c r="L411" s="262"/>
    </row>
    <row r="412" spans="1:12" ht="25.5" hidden="1" outlineLevel="1">
      <c r="A412" s="247" t="s">
        <v>13861</v>
      </c>
      <c r="B412" s="386">
        <v>89395</v>
      </c>
      <c r="C412" s="386" t="s">
        <v>14476</v>
      </c>
      <c r="D412" s="1314" t="str">
        <f>IFERROR(VLOOKUP($B412,'24.08_ND'!$A$4833:$D$12369,2,0),IFERROR(VLOOKUP($B412,'03-CP'!$C$5:$H$4646,2,0),""))</f>
        <v>TE, PVC, SOLDÁVEL, DN 25MM, INSTALADO EM RAMAL OU SUB-RAMAL DE ÁGUA - FORNECIMENTO E INSTALAÇÃO. AF_06/2022</v>
      </c>
      <c r="E412" s="1315" t="str">
        <f>IFERROR(VLOOKUP($B412,'24.08_ND'!$A:$D,3,0),IFERROR(VLOOKUP($B412,'03-CP'!$C$5:$H$4646,3,0),""))</f>
        <v>UN</v>
      </c>
      <c r="F412" s="389">
        <v>22</v>
      </c>
      <c r="G412" s="1244"/>
      <c r="H412" s="1244"/>
      <c r="I412" s="1409"/>
      <c r="J412" s="1644" t="s">
        <v>16316</v>
      </c>
      <c r="K412" s="504"/>
      <c r="L412" s="262"/>
    </row>
    <row r="413" spans="1:12" ht="25.5" hidden="1" outlineLevel="1">
      <c r="A413" s="247" t="s">
        <v>13862</v>
      </c>
      <c r="B413" s="386">
        <v>89627</v>
      </c>
      <c r="C413" s="386" t="s">
        <v>14476</v>
      </c>
      <c r="D413" s="1314" t="str">
        <f>IFERROR(VLOOKUP($B413,'24.08_ND'!$A$4833:$D$12369,2,0),IFERROR(VLOOKUP($B413,'03-CP'!$C$5:$H$4646,2,0),""))</f>
        <v>TÊ DE REDUÇÃO, PVC, SOLDÁVEL, DN 50MM X 25MM, INSTALADO EM PRUMADA DE ÁGUA - FORNECIMENTO E INSTALAÇÃO. AF_06/2022</v>
      </c>
      <c r="E413" s="1315" t="str">
        <f>IFERROR(VLOOKUP($B413,'24.08_ND'!$A:$D,3,0),IFERROR(VLOOKUP($B413,'03-CP'!$C$5:$H$4646,3,0),""))</f>
        <v>UN</v>
      </c>
      <c r="F413" s="389">
        <v>1</v>
      </c>
      <c r="G413" s="1244"/>
      <c r="H413" s="1244"/>
      <c r="I413" s="1409"/>
      <c r="J413" s="1644" t="s">
        <v>16316</v>
      </c>
      <c r="K413" s="504"/>
      <c r="L413" s="262"/>
    </row>
    <row r="414" spans="1:12" ht="25.5" hidden="1" outlineLevel="1">
      <c r="A414" s="247" t="s">
        <v>13863</v>
      </c>
      <c r="B414" s="386">
        <v>89630</v>
      </c>
      <c r="C414" s="386" t="s">
        <v>14476</v>
      </c>
      <c r="D414" s="1314" t="str">
        <f>IFERROR(VLOOKUP($B414,'24.08_ND'!$A$4833:$D$12369,2,0),IFERROR(VLOOKUP($B414,'03-CP'!$C$5:$H$4646,2,0),""))</f>
        <v>TE DE REDUÇÃO, PVC, SOLDÁVEL, DN 75MM X 50MM, INSTALADO EM PRUMADA DE ÁGUA - FORNECIMENTO E INSTALAÇÃO. AF_06/2022</v>
      </c>
      <c r="E414" s="1315" t="str">
        <f>IFERROR(VLOOKUP($B414,'24.08_ND'!$A:$D,3,0),IFERROR(VLOOKUP($B414,'03-CP'!$C$5:$H$4646,3,0),""))</f>
        <v>UN</v>
      </c>
      <c r="F414" s="389">
        <v>10</v>
      </c>
      <c r="G414" s="1244"/>
      <c r="H414" s="1244"/>
      <c r="I414" s="1409"/>
      <c r="J414" s="1644" t="s">
        <v>16316</v>
      </c>
      <c r="K414" s="504"/>
      <c r="L414" s="262"/>
    </row>
    <row r="415" spans="1:12" ht="38.25" hidden="1" outlineLevel="1">
      <c r="A415" s="247" t="s">
        <v>13864</v>
      </c>
      <c r="B415" s="386">
        <v>94794</v>
      </c>
      <c r="C415" s="386" t="s">
        <v>14476</v>
      </c>
      <c r="D415" s="1314" t="str">
        <f>IFERROR(VLOOKUP($B415,'24.08_ND'!$A$4833:$D$12369,2,0),IFERROR(VLOOKUP($B415,'03-CP'!$C$5:$H$4646,2,0),""))</f>
        <v>REGISTRO DE GAVETA BRUTO, LATÃO, ROSCÁVEL, 1 1/2", COM ACABAMENTO E CANOPLA CROMADOS - FORNECIMENTO E INSTALAÇÃO. AF_08/2021</v>
      </c>
      <c r="E415" s="1315" t="str">
        <f>IFERROR(VLOOKUP($B415,'24.08_ND'!$A:$D,3,0),IFERROR(VLOOKUP($B415,'03-CP'!$C$5:$H$4646,3,0),""))</f>
        <v>UN</v>
      </c>
      <c r="F415" s="389">
        <v>18</v>
      </c>
      <c r="G415" s="1244"/>
      <c r="H415" s="1244"/>
      <c r="I415" s="1409"/>
      <c r="J415" s="1644" t="s">
        <v>16316</v>
      </c>
      <c r="K415" s="504"/>
      <c r="L415" s="262"/>
    </row>
    <row r="416" spans="1:12" ht="25.5" hidden="1" outlineLevel="1">
      <c r="A416" s="247" t="s">
        <v>13865</v>
      </c>
      <c r="B416" s="386">
        <v>89987</v>
      </c>
      <c r="C416" s="386" t="s">
        <v>14476</v>
      </c>
      <c r="D416" s="1314" t="str">
        <f>IFERROR(VLOOKUP($B416,'24.08_ND'!$A$4833:$D$12369,2,0),IFERROR(VLOOKUP($B416,'03-CP'!$C$5:$H$4646,2,0),""))</f>
        <v>REGISTRO DE GAVETA BRUTO, LATÃO, ROSCÁVEL, 3/4", COM ACABAMENTO E CANOPLA CROMADOS - FORNECIMENTO E INSTALAÇÃO. AF_08/2021</v>
      </c>
      <c r="E416" s="1315" t="str">
        <f>IFERROR(VLOOKUP($B416,'24.08_ND'!$A:$D,3,0),IFERROR(VLOOKUP($B416,'03-CP'!$C$5:$H$4646,3,0),""))</f>
        <v>UN</v>
      </c>
      <c r="F416" s="389">
        <v>8</v>
      </c>
      <c r="G416" s="1244"/>
      <c r="H416" s="1244"/>
      <c r="I416" s="1409"/>
      <c r="J416" s="1644" t="s">
        <v>16316</v>
      </c>
      <c r="K416" s="504"/>
      <c r="L416" s="262"/>
    </row>
    <row r="417" spans="1:12" ht="25.5" hidden="1" outlineLevel="1">
      <c r="A417" s="247" t="s">
        <v>13866</v>
      </c>
      <c r="B417" s="386">
        <v>94492</v>
      </c>
      <c r="C417" s="386" t="s">
        <v>14476</v>
      </c>
      <c r="D417" s="1314" t="str">
        <f>IFERROR(VLOOKUP($B417,'24.08_ND'!$A$4833:$D$12369,2,0),IFERROR(VLOOKUP($B417,'03-CP'!$C$5:$H$4646,2,0),""))</f>
        <v>REGISTRO DE ESFERA, PVC, SOLDÁVEL, COM VOLANTE, DN  50 MM - FORNECIMENTO E INSTALAÇÃO. AF_08/2021</v>
      </c>
      <c r="E417" s="1315" t="str">
        <f>IFERROR(VLOOKUP($B417,'24.08_ND'!$A:$D,3,0),IFERROR(VLOOKUP($B417,'03-CP'!$C$5:$H$4646,3,0),""))</f>
        <v>UN</v>
      </c>
      <c r="F417" s="389">
        <v>3</v>
      </c>
      <c r="G417" s="1244"/>
      <c r="H417" s="1244"/>
      <c r="I417" s="1409"/>
      <c r="J417" s="1644" t="s">
        <v>16316</v>
      </c>
      <c r="K417" s="504"/>
      <c r="L417" s="262"/>
    </row>
    <row r="418" spans="1:12" ht="25.5" hidden="1" outlineLevel="1">
      <c r="A418" s="247" t="s">
        <v>13867</v>
      </c>
      <c r="B418" s="386">
        <v>94490</v>
      </c>
      <c r="C418" s="386" t="s">
        <v>14476</v>
      </c>
      <c r="D418" s="1314" t="str">
        <f>IFERROR(VLOOKUP($B418,'24.08_ND'!$A$4833:$D$12369,2,0),IFERROR(VLOOKUP($B418,'03-CP'!$C$5:$H$4646,2,0),""))</f>
        <v>REGISTRO DE ESFERA, PVC, SOLDÁVEL, COM VOLANTE, DN  32 MM - FORNECIMENTO E INSTALAÇÃO. AF_08/2021</v>
      </c>
      <c r="E418" s="1315" t="str">
        <f>IFERROR(VLOOKUP($B418,'24.08_ND'!$A:$D,3,0),IFERROR(VLOOKUP($B418,'03-CP'!$C$5:$H$4646,3,0),""))</f>
        <v>UN</v>
      </c>
      <c r="F418" s="389">
        <v>3</v>
      </c>
      <c r="G418" s="1244"/>
      <c r="H418" s="1244"/>
      <c r="I418" s="1409"/>
      <c r="J418" s="1644" t="s">
        <v>16316</v>
      </c>
      <c r="K418" s="504"/>
      <c r="L418" s="262"/>
    </row>
    <row r="419" spans="1:12" ht="25.5" hidden="1" outlineLevel="1">
      <c r="A419" s="247" t="s">
        <v>13868</v>
      </c>
      <c r="B419" s="386">
        <v>94499</v>
      </c>
      <c r="C419" s="386" t="s">
        <v>14476</v>
      </c>
      <c r="D419" s="1314" t="str">
        <f>IFERROR(VLOOKUP($B419,'24.08_ND'!$A$4833:$D$12369,2,0),IFERROR(VLOOKUP($B419,'03-CP'!$C$5:$H$4646,2,0),""))</f>
        <v>REGISTRO DE GAVETA BRUTO, LATÃO, ROSCÁVEL, 2 1/2" - FORNECIMENTO E INSTALAÇÃO. AF_08/2021</v>
      </c>
      <c r="E419" s="1315" t="str">
        <f>IFERROR(VLOOKUP($B419,'24.08_ND'!$A:$D,3,0),IFERROR(VLOOKUP($B419,'03-CP'!$C$5:$H$4646,3,0),""))</f>
        <v>UN</v>
      </c>
      <c r="F419" s="389">
        <v>1</v>
      </c>
      <c r="G419" s="1244"/>
      <c r="H419" s="1244"/>
      <c r="I419" s="1409"/>
      <c r="J419" s="1644" t="s">
        <v>16316</v>
      </c>
      <c r="K419" s="504"/>
      <c r="L419" s="262"/>
    </row>
    <row r="420" spans="1:12" ht="25.5" hidden="1" outlineLevel="1">
      <c r="A420" s="247" t="s">
        <v>13869</v>
      </c>
      <c r="B420" s="386">
        <v>95249</v>
      </c>
      <c r="C420" s="386" t="s">
        <v>14476</v>
      </c>
      <c r="D420" s="1314" t="str">
        <f>IFERROR(VLOOKUP($B420,'24.08_ND'!$A$4833:$D$12369,2,0),IFERROR(VLOOKUP($B420,'03-CP'!$C$5:$H$4646,2,0),""))</f>
        <v>VÁLVULA DE ESFERA BRUTA, BRONZE, ROSCÁVEL, 3/4'' - FORNECIMENTO E INSTALAÇÃO. AF_08/2021</v>
      </c>
      <c r="E420" s="1315" t="str">
        <f>IFERROR(VLOOKUP($B420,'24.08_ND'!$A:$D,3,0),IFERROR(VLOOKUP($B420,'03-CP'!$C$5:$H$4646,3,0),""))</f>
        <v>UN</v>
      </c>
      <c r="F420" s="389">
        <v>1</v>
      </c>
      <c r="G420" s="1244"/>
      <c r="H420" s="1244"/>
      <c r="I420" s="1409"/>
      <c r="J420" s="1644" t="s">
        <v>16316</v>
      </c>
      <c r="K420" s="504"/>
      <c r="L420" s="262"/>
    </row>
    <row r="421" spans="1:12" ht="12.75" hidden="1" outlineLevel="1">
      <c r="A421" s="247" t="s">
        <v>13870</v>
      </c>
      <c r="B421" s="386" t="s">
        <v>15410</v>
      </c>
      <c r="C421" s="386" t="s">
        <v>14472</v>
      </c>
      <c r="D421" s="1314" t="str">
        <f>IFERROR(VLOOKUP($B421,'24.08_ND'!$A$4833:$D$12369,2,0),IFERROR(VLOOKUP($B421,'03-CP'!$C$5:$H$4646,2,0),""))</f>
        <v xml:space="preserve">VALVULA DE DESCARGA HIDRA - BASE 1.1/2" </v>
      </c>
      <c r="E421" s="1315" t="str">
        <f>IFERROR(VLOOKUP($B421,'24.08_ND'!$A:$D,3,0),IFERROR(VLOOKUP($B421,'03-CP'!$C$5:$H$4646,3,0),""))</f>
        <v>UN</v>
      </c>
      <c r="F421" s="389">
        <v>18</v>
      </c>
      <c r="G421" s="1244"/>
      <c r="H421" s="1244"/>
      <c r="I421" s="1409"/>
      <c r="J421" s="1644" t="s">
        <v>16316</v>
      </c>
      <c r="K421" s="504"/>
      <c r="L421" s="262"/>
    </row>
    <row r="422" spans="1:12" ht="25.5" hidden="1" outlineLevel="1">
      <c r="A422" s="247" t="s">
        <v>13871</v>
      </c>
      <c r="B422" s="386">
        <v>94653</v>
      </c>
      <c r="C422" s="386" t="s">
        <v>14476</v>
      </c>
      <c r="D422" s="1314" t="str">
        <f>IFERROR(VLOOKUP($B422,'24.08_ND'!$A$4833:$D$12369,2,0),IFERROR(VLOOKUP($B422,'03-CP'!$C$5:$H$4646,2,0),""))</f>
        <v>TUBO, PVC, SOLDÁVEL, DE 75MM, INSTALADO EM RESERVAÇÃO PREDIAL DE ÁGUA - FORNECIMENTO E INSTALAÇÃO. AF_04/2024</v>
      </c>
      <c r="E422" s="1315" t="str">
        <f>IFERROR(VLOOKUP($B422,'24.08_ND'!$A:$D,3,0),IFERROR(VLOOKUP($B422,'03-CP'!$C$5:$H$4646,3,0),""))</f>
        <v>M</v>
      </c>
      <c r="F422" s="389">
        <v>25</v>
      </c>
      <c r="G422" s="1244"/>
      <c r="H422" s="1244"/>
      <c r="I422" s="1409"/>
      <c r="J422" s="1644" t="s">
        <v>16316</v>
      </c>
      <c r="K422" s="504"/>
      <c r="L422" s="262"/>
    </row>
    <row r="423" spans="1:12" ht="25.5" hidden="1" outlineLevel="1">
      <c r="A423" s="247" t="s">
        <v>13872</v>
      </c>
      <c r="B423" s="386">
        <v>103979</v>
      </c>
      <c r="C423" s="386" t="s">
        <v>14476</v>
      </c>
      <c r="D423" s="1314" t="str">
        <f>IFERROR(VLOOKUP($B423,'24.08_ND'!$A$4833:$D$12369,2,0),IFERROR(VLOOKUP($B423,'03-CP'!$C$5:$H$4646,2,0),""))</f>
        <v>TUBO, PVC, SOLDÁVEL, DE 50MM, INSTALADO EM RAMAL DE DISTRIBUIÇÃO DE ÁGUA - FORNECIMENTO E INSTALAÇÃO. AF_06/2022</v>
      </c>
      <c r="E423" s="1315" t="str">
        <f>IFERROR(VLOOKUP($B423,'24.08_ND'!$A:$D,3,0),IFERROR(VLOOKUP($B423,'03-CP'!$C$5:$H$4646,3,0),""))</f>
        <v>M</v>
      </c>
      <c r="F423" s="389">
        <v>110</v>
      </c>
      <c r="G423" s="1244"/>
      <c r="H423" s="1244"/>
      <c r="I423" s="1409"/>
      <c r="J423" s="1644" t="s">
        <v>16316</v>
      </c>
      <c r="K423" s="504"/>
      <c r="L423" s="262"/>
    </row>
    <row r="424" spans="1:12" ht="25.5" hidden="1" outlineLevel="1">
      <c r="A424" s="247" t="s">
        <v>13873</v>
      </c>
      <c r="B424" s="386">
        <v>89403</v>
      </c>
      <c r="C424" s="386" t="s">
        <v>14476</v>
      </c>
      <c r="D424" s="1314" t="str">
        <f>IFERROR(VLOOKUP($B424,'24.08_ND'!$A$4833:$D$12369,2,0),IFERROR(VLOOKUP($B424,'03-CP'!$C$5:$H$4646,2,0),""))</f>
        <v>TUBO, PVC, SOLDÁVEL, DE 32MM, INSTALADO EM RAMAL DE DISTRIBUIÇÃO DE ÁGUA - FORNECIMENTO E INSTALAÇÃO. AF_06/2022</v>
      </c>
      <c r="E424" s="1315" t="str">
        <f>IFERROR(VLOOKUP($B424,'24.08_ND'!$A:$D,3,0),IFERROR(VLOOKUP($B424,'03-CP'!$C$5:$H$4646,3,0),""))</f>
        <v>M</v>
      </c>
      <c r="F424" s="389">
        <v>15</v>
      </c>
      <c r="G424" s="1244"/>
      <c r="H424" s="1244"/>
      <c r="I424" s="1409"/>
      <c r="J424" s="1644" t="s">
        <v>16316</v>
      </c>
      <c r="K424" s="504"/>
      <c r="L424" s="262"/>
    </row>
    <row r="425" spans="1:12" ht="25.5" hidden="1" outlineLevel="1">
      <c r="A425" s="247" t="s">
        <v>13874</v>
      </c>
      <c r="B425" s="386">
        <v>89402</v>
      </c>
      <c r="C425" s="386" t="s">
        <v>14476</v>
      </c>
      <c r="D425" s="1314" t="str">
        <f>IFERROR(VLOOKUP($B425,'24.08_ND'!$A$4833:$D$12369,2,0),IFERROR(VLOOKUP($B425,'03-CP'!$C$5:$H$4646,2,0),""))</f>
        <v>TUBO, PVC, SOLDÁVEL, DE 25MM, INSTALADO EM RAMAL DE DISTRIBUIÇÃO DE ÁGUA - FORNECIMENTO E INSTALAÇÃO. AF_06/2022</v>
      </c>
      <c r="E425" s="1315" t="str">
        <f>IFERROR(VLOOKUP($B425,'24.08_ND'!$A:$D,3,0),IFERROR(VLOOKUP($B425,'03-CP'!$C$5:$H$4646,3,0),""))</f>
        <v>M</v>
      </c>
      <c r="F425" s="389">
        <v>60</v>
      </c>
      <c r="G425" s="1244"/>
      <c r="H425" s="1244"/>
      <c r="I425" s="1409"/>
      <c r="J425" s="1644" t="s">
        <v>16316</v>
      </c>
      <c r="K425" s="504"/>
      <c r="L425" s="262"/>
    </row>
    <row r="426" spans="1:12" ht="51" hidden="1" outlineLevel="1">
      <c r="A426" s="247" t="s">
        <v>13875</v>
      </c>
      <c r="B426" s="386">
        <v>91174</v>
      </c>
      <c r="C426" s="386" t="s">
        <v>14476</v>
      </c>
      <c r="D426" s="1314" t="str">
        <f>IFERROR(VLOOKUP($B426,'24.08_ND'!$A$4833:$D$12369,2,0),IFERROR(VLOOKUP($B426,'03-CP'!$C$5:$H$4646,2,0),""))</f>
        <v>FIXAÇÃO DE TUBOS VERTICAIS DE PVC ÁGUA, PVC ESGOTO, PVC ÁGUA PLUVIAL, CPVC, PPR, COBRE OU AÇO, DIÂMETROS MAIORES QUE 40 MM E MENORES OU IGUAIS A 75 MM, COM ABRAÇADEIRA METÁLICA RÍGIDA TIPO U PERFIL 2 1/2", FIXADA EM PERFILADO EM PAREDE. AF_09/2023_PS</v>
      </c>
      <c r="E426" s="1315" t="str">
        <f>IFERROR(VLOOKUP($B426,'24.08_ND'!$A:$D,3,0),IFERROR(VLOOKUP($B426,'03-CP'!$C$5:$H$4646,3,0),""))</f>
        <v>M</v>
      </c>
      <c r="F426" s="389">
        <v>30</v>
      </c>
      <c r="G426" s="1244"/>
      <c r="H426" s="1244"/>
      <c r="I426" s="1409"/>
      <c r="J426" s="1644" t="s">
        <v>16316</v>
      </c>
      <c r="K426" s="504"/>
      <c r="L426" s="262"/>
    </row>
    <row r="427" spans="1:12" ht="25.5" hidden="1" outlineLevel="1">
      <c r="A427" s="247" t="s">
        <v>13876</v>
      </c>
      <c r="B427" s="386">
        <v>102609</v>
      </c>
      <c r="C427" s="386" t="s">
        <v>14476</v>
      </c>
      <c r="D427" s="1314" t="str">
        <f>IFERROR(VLOOKUP($B427,'24.08_ND'!$A$4833:$D$12369,2,0),IFERROR(VLOOKUP($B427,'03-CP'!$C$5:$H$4646,2,0),""))</f>
        <v>CAIXA D´ÁGUA EM POLIETILENO, 2000 LITROS - FORNECIMENTO E INSTALAÇÃO. AF_06/2021</v>
      </c>
      <c r="E427" s="1315" t="str">
        <f>IFERROR(VLOOKUP($B427,'24.08_ND'!$A:$D,3,0),IFERROR(VLOOKUP($B427,'03-CP'!$C$5:$H$4646,3,0),""))</f>
        <v>UN</v>
      </c>
      <c r="F427" s="389">
        <v>3</v>
      </c>
      <c r="G427" s="1244"/>
      <c r="H427" s="1244"/>
      <c r="I427" s="1409"/>
      <c r="J427" s="1644" t="s">
        <v>16316</v>
      </c>
      <c r="K427" s="504"/>
      <c r="L427" s="262"/>
    </row>
    <row r="428" spans="1:12" ht="38.25" hidden="1" outlineLevel="1">
      <c r="A428" s="247" t="s">
        <v>13877</v>
      </c>
      <c r="B428" s="386">
        <v>94703</v>
      </c>
      <c r="C428" s="386" t="s">
        <v>14476</v>
      </c>
      <c r="D428" s="1314" t="str">
        <f>IFERROR(VLOOKUP($B428,'24.08_ND'!$A$4833:$D$12369,2,0),IFERROR(VLOOKUP($B428,'03-CP'!$C$5:$H$4646,2,0),""))</f>
        <v>ADAPTADOR COM FLANGE E ANEL DE VEDAÇÃO, PVC, SOLDÁVEL, DN  25 MM X 3/4", INSTALADO EM RESERVAÇÃO PREDIAL DE ÁGUA - FORNECIMENTO E INSTALAÇÃO. AF_04/2024</v>
      </c>
      <c r="E428" s="1315" t="str">
        <f>IFERROR(VLOOKUP($B428,'24.08_ND'!$A:$D,3,0),IFERROR(VLOOKUP($B428,'03-CP'!$C$5:$H$4646,3,0),""))</f>
        <v>UN</v>
      </c>
      <c r="F428" s="389">
        <v>3</v>
      </c>
      <c r="G428" s="1244"/>
      <c r="H428" s="1244"/>
      <c r="I428" s="1409"/>
      <c r="J428" s="1644" t="s">
        <v>16316</v>
      </c>
      <c r="K428" s="504"/>
      <c r="L428" s="262"/>
    </row>
    <row r="429" spans="1:12" ht="38.25" hidden="1" outlineLevel="1">
      <c r="A429" s="247" t="s">
        <v>13878</v>
      </c>
      <c r="B429" s="386">
        <v>94704</v>
      </c>
      <c r="C429" s="386" t="s">
        <v>14476</v>
      </c>
      <c r="D429" s="1314" t="str">
        <f>IFERROR(VLOOKUP($B429,'24.08_ND'!$A$4833:$D$12369,2,0),IFERROR(VLOOKUP($B429,'03-CP'!$C$5:$H$4646,2,0),""))</f>
        <v>ADAPTADOR COM FLANGE E ANEL DE VEDAÇÃO, PVC, SOLDÁVEL, DN 32 MM X 1", INSTALADO EM RESERVAÇÃO PREDIAL DE ÁGUA - FORNECIMENTO E INSTALAÇÃO. AF_04/2024</v>
      </c>
      <c r="E429" s="1315" t="str">
        <f>IFERROR(VLOOKUP($B429,'24.08_ND'!$A:$D,3,0),IFERROR(VLOOKUP($B429,'03-CP'!$C$5:$H$4646,3,0),""))</f>
        <v>UN</v>
      </c>
      <c r="F429" s="389">
        <v>6</v>
      </c>
      <c r="G429" s="1244"/>
      <c r="H429" s="1244"/>
      <c r="I429" s="1409"/>
      <c r="J429" s="1644" t="s">
        <v>16316</v>
      </c>
      <c r="K429" s="504"/>
      <c r="L429" s="262"/>
    </row>
    <row r="430" spans="1:12" ht="38.25" hidden="1" outlineLevel="1">
      <c r="A430" s="247" t="s">
        <v>13879</v>
      </c>
      <c r="B430" s="386">
        <v>94706</v>
      </c>
      <c r="C430" s="386" t="s">
        <v>14476</v>
      </c>
      <c r="D430" s="1314" t="str">
        <f>IFERROR(VLOOKUP($B430,'24.08_ND'!$A$4833:$D$12369,2,0),IFERROR(VLOOKUP($B430,'03-CP'!$C$5:$H$4646,2,0),""))</f>
        <v>ADAPTADOR COM FLANGE E ANEL DE VEDAÇÃO, PVC, SOLDÁVEL, DN 50 MM X 1 1/2", INSTALADO EM RESERVAÇÃO PREDIAL DE ÁGUA - FORNECIMENTO E INSTALAÇÃO. AF_04/2024</v>
      </c>
      <c r="E430" s="1315" t="str">
        <f>IFERROR(VLOOKUP($B430,'24.08_ND'!$A:$D,3,0),IFERROR(VLOOKUP($B430,'03-CP'!$C$5:$H$4646,3,0),""))</f>
        <v>UN</v>
      </c>
      <c r="F430" s="389">
        <v>2</v>
      </c>
      <c r="G430" s="1244"/>
      <c r="H430" s="1244"/>
      <c r="I430" s="1409"/>
      <c r="J430" s="1644" t="s">
        <v>16316</v>
      </c>
      <c r="K430" s="504"/>
      <c r="L430" s="262"/>
    </row>
    <row r="431" spans="1:12" ht="38.25" hidden="1" outlineLevel="1">
      <c r="A431" s="247" t="s">
        <v>13880</v>
      </c>
      <c r="B431" s="386">
        <v>94713</v>
      </c>
      <c r="C431" s="386" t="s">
        <v>14476</v>
      </c>
      <c r="D431" s="1314" t="str">
        <f>IFERROR(VLOOKUP($B431,'24.08_ND'!$A$4833:$D$12369,2,0),IFERROR(VLOOKUP($B431,'03-CP'!$C$5:$H$4646,2,0),""))</f>
        <v>ADAPTADOR COM FLANGES LIVRES, PVC, SOLDÁVEL, DN 75 MM X 2 1/2", INSTALADO EM RESERVAÇÃO PREDIAL DE ÁGUA - FORNECIMENTO E INSTALAÇÃO. AF_04/2024</v>
      </c>
      <c r="E431" s="1315" t="str">
        <f>IFERROR(VLOOKUP($B431,'24.08_ND'!$A:$D,3,0),IFERROR(VLOOKUP($B431,'03-CP'!$C$5:$H$4646,3,0),""))</f>
        <v>UN</v>
      </c>
      <c r="F431" s="389">
        <v>1</v>
      </c>
      <c r="G431" s="1244"/>
      <c r="H431" s="1244"/>
      <c r="I431" s="1409"/>
      <c r="J431" s="1644" t="s">
        <v>16316</v>
      </c>
      <c r="K431" s="504"/>
      <c r="L431" s="262"/>
    </row>
    <row r="432" spans="1:12" ht="25.5" hidden="1" outlineLevel="1">
      <c r="A432" s="247" t="s">
        <v>13881</v>
      </c>
      <c r="B432" s="386">
        <v>94796</v>
      </c>
      <c r="C432" s="386" t="s">
        <v>14476</v>
      </c>
      <c r="D432" s="1314" t="str">
        <f>IFERROR(VLOOKUP($B432,'24.08_ND'!$A$4833:$D$12369,2,0),IFERROR(VLOOKUP($B432,'03-CP'!$C$5:$H$4646,2,0),""))</f>
        <v>TORNEIRA DE BOIA PARA CAIXA D'ÁGUA, ROSCÁVEL, 3/4" - FORNECIMENTO E INSTALAÇÃO. AF_08/2021</v>
      </c>
      <c r="E432" s="1315" t="str">
        <f>IFERROR(VLOOKUP($B432,'24.08_ND'!$A:$D,3,0),IFERROR(VLOOKUP($B432,'03-CP'!$C$5:$H$4646,3,0),""))</f>
        <v>UN</v>
      </c>
      <c r="F432" s="389">
        <v>3</v>
      </c>
      <c r="G432" s="1244"/>
      <c r="H432" s="1244"/>
      <c r="I432" s="1409"/>
      <c r="J432" s="1644" t="s">
        <v>16316</v>
      </c>
      <c r="K432" s="504"/>
      <c r="L432" s="262"/>
    </row>
    <row r="433" spans="1:12" ht="12.75">
      <c r="A433" s="250" t="s">
        <v>13882</v>
      </c>
      <c r="B433" s="1309"/>
      <c r="C433" s="1497"/>
      <c r="D433" s="1498" t="s">
        <v>16317</v>
      </c>
      <c r="E433" s="234"/>
      <c r="F433" s="1311"/>
      <c r="G433" s="236"/>
      <c r="H433" s="236"/>
      <c r="I433" s="1499"/>
      <c r="J433" s="262"/>
      <c r="K433" s="504"/>
      <c r="L433" s="262"/>
    </row>
    <row r="434" spans="1:12" ht="38.25" outlineLevel="1">
      <c r="A434" s="247" t="s">
        <v>13883</v>
      </c>
      <c r="B434" s="386">
        <v>89746</v>
      </c>
      <c r="C434" s="386" t="s">
        <v>14476</v>
      </c>
      <c r="D434" s="1314" t="str">
        <f>IFERROR(VLOOKUP($B434,'24.08_ND'!$A$4833:$D$12369,2,0),IFERROR(VLOOKUP($B434,'03-CP'!$C$5:$H$4646,2,0),""))</f>
        <v>JOELHO 45 GRAUS, PVC, SERIE NORMAL, ESGOTO PREDIAL, DN 100 MM, JUNTA ELÁSTICA, FORNECIDO E INSTALADO EM RAMAL DE DESCARGA OU RAMAL DE ESGOTO SANITÁRIO. AF_08/2022</v>
      </c>
      <c r="E434" s="1315" t="str">
        <f>IFERROR(VLOOKUP($B434,'24.08_ND'!$A:$D,3,0),IFERROR(VLOOKUP($B434,'03-CP'!$C$5:$H$4646,3,0),""))</f>
        <v>UN</v>
      </c>
      <c r="F434" s="389">
        <v>52</v>
      </c>
      <c r="G434" s="1244"/>
      <c r="H434" s="1244"/>
      <c r="I434" s="1409"/>
      <c r="J434" s="1644" t="s">
        <v>16316</v>
      </c>
      <c r="K434" s="504"/>
      <c r="L434" s="262"/>
    </row>
    <row r="435" spans="1:12" ht="38.25" outlineLevel="1">
      <c r="A435" s="247" t="s">
        <v>13884</v>
      </c>
      <c r="B435" s="386">
        <v>89732</v>
      </c>
      <c r="C435" s="386" t="s">
        <v>14476</v>
      </c>
      <c r="D435" s="1314" t="str">
        <f>IFERROR(VLOOKUP($B435,'24.08_ND'!$A$4833:$D$12369,2,0),IFERROR(VLOOKUP($B435,'03-CP'!$C$5:$H$4646,2,0),""))</f>
        <v>JOELHO 45 GRAUS, PVC, SERIE NORMAL, ESGOTO PREDIAL, DN 50 MM, JUNTA ELÁSTICA, FORNECIDO E INSTALADO EM RAMAL DE DESCARGA OU RAMAL DE ESGOTO SANITÁRIO. AF_08/2022</v>
      </c>
      <c r="E435" s="1315" t="str">
        <f>IFERROR(VLOOKUP($B435,'24.08_ND'!$A:$D,3,0),IFERROR(VLOOKUP($B435,'03-CP'!$C$5:$H$4646,3,0),""))</f>
        <v>UN</v>
      </c>
      <c r="F435" s="389">
        <v>123</v>
      </c>
      <c r="G435" s="1244"/>
      <c r="H435" s="1244"/>
      <c r="I435" s="1409"/>
      <c r="J435" s="1644" t="s">
        <v>16316</v>
      </c>
      <c r="K435" s="504"/>
      <c r="L435" s="262"/>
    </row>
    <row r="436" spans="1:12" ht="38.25" outlineLevel="1">
      <c r="A436" s="247" t="s">
        <v>13885</v>
      </c>
      <c r="B436" s="386">
        <v>89726</v>
      </c>
      <c r="C436" s="386" t="s">
        <v>14476</v>
      </c>
      <c r="D436" s="1314" t="str">
        <f>IFERROR(VLOOKUP($B436,'24.08_ND'!$A$4833:$D$12369,2,0),IFERROR(VLOOKUP($B436,'03-CP'!$C$5:$H$4646,2,0),""))</f>
        <v>JOELHO 45 GRAUS, PVC, SERIE NORMAL, ESGOTO PREDIAL, DN 40 MM, JUNTA SOLDÁVEL, FORNECIDO E INSTALADO EM RAMAL DE DESCARGA OU RAMAL DE ESGOTO SANITÁRIO. AF_08/2022</v>
      </c>
      <c r="E436" s="1315" t="str">
        <f>IFERROR(VLOOKUP($B436,'24.08_ND'!$A:$D,3,0),IFERROR(VLOOKUP($B436,'03-CP'!$C$5:$H$4646,3,0),""))</f>
        <v>UN</v>
      </c>
      <c r="F436" s="389">
        <v>74</v>
      </c>
      <c r="G436" s="1244"/>
      <c r="H436" s="1244"/>
      <c r="I436" s="1409"/>
      <c r="J436" s="1644" t="s">
        <v>16316</v>
      </c>
      <c r="K436" s="504"/>
      <c r="L436" s="262"/>
    </row>
    <row r="437" spans="1:12" ht="38.25" outlineLevel="1">
      <c r="A437" s="247" t="s">
        <v>13886</v>
      </c>
      <c r="B437" s="386">
        <v>89748</v>
      </c>
      <c r="C437" s="386" t="s">
        <v>14476</v>
      </c>
      <c r="D437" s="1314" t="str">
        <f>IFERROR(VLOOKUP($B437,'24.08_ND'!$A$4833:$D$12369,2,0),IFERROR(VLOOKUP($B437,'03-CP'!$C$5:$H$4646,2,0),""))</f>
        <v>CURVA CURTA 90 GRAUS, PVC, SERIE NORMAL, ESGOTO PREDIAL, DN 100 MM, JUNTA ELÁSTICA, FORNECIDO E INSTALADO EM RAMAL DE DESCARGA OU RAMAL DE ESGOTO SANITÁRIO. AF_08/2022</v>
      </c>
      <c r="E437" s="1315" t="str">
        <f>IFERROR(VLOOKUP($B437,'24.08_ND'!$A:$D,3,0),IFERROR(VLOOKUP($B437,'03-CP'!$C$5:$H$4646,3,0),""))</f>
        <v>UN</v>
      </c>
      <c r="F437" s="389">
        <v>17</v>
      </c>
      <c r="G437" s="1244"/>
      <c r="H437" s="1244"/>
      <c r="I437" s="1409"/>
      <c r="J437" s="1644" t="s">
        <v>16316</v>
      </c>
      <c r="K437" s="504"/>
      <c r="L437" s="262"/>
    </row>
    <row r="438" spans="1:12" ht="38.25" outlineLevel="1">
      <c r="A438" s="247" t="s">
        <v>13887</v>
      </c>
      <c r="B438" s="386">
        <v>89733</v>
      </c>
      <c r="C438" s="386" t="s">
        <v>14476</v>
      </c>
      <c r="D438" s="1314" t="str">
        <f>IFERROR(VLOOKUP($B438,'24.08_ND'!$A$4833:$D$12369,2,0),IFERROR(VLOOKUP($B438,'03-CP'!$C$5:$H$4646,2,0),""))</f>
        <v>CURVA CURTA 90 GRAUS, PVC, SERIE NORMAL, ESGOTO PREDIAL, DN 50 MM, JUNTA ELÁSTICA, FORNECIDO E INSTALADO EM RAMAL DE DESCARGA OU RAMAL DE ESGOTO SANITÁRIO. AF_08/2022</v>
      </c>
      <c r="E438" s="1315" t="str">
        <f>IFERROR(VLOOKUP($B438,'24.08_ND'!$A:$D,3,0),IFERROR(VLOOKUP($B438,'03-CP'!$C$5:$H$4646,3,0),""))</f>
        <v>UN</v>
      </c>
      <c r="F438" s="389">
        <v>3</v>
      </c>
      <c r="G438" s="1244"/>
      <c r="H438" s="1244"/>
      <c r="I438" s="1409"/>
      <c r="J438" s="1644" t="s">
        <v>16316</v>
      </c>
      <c r="K438" s="504"/>
      <c r="L438" s="262"/>
    </row>
    <row r="439" spans="1:12" ht="38.25" outlineLevel="1">
      <c r="A439" s="247" t="s">
        <v>13888</v>
      </c>
      <c r="B439" s="386">
        <v>89724</v>
      </c>
      <c r="C439" s="386" t="s">
        <v>14476</v>
      </c>
      <c r="D439" s="1314" t="str">
        <f>IFERROR(VLOOKUP($B439,'24.08_ND'!$A$4833:$D$12369,2,0),IFERROR(VLOOKUP($B439,'03-CP'!$C$5:$H$4646,2,0),""))</f>
        <v>JOELHO 90 GRAUS, PVC, SERIE NORMAL, ESGOTO PREDIAL, DN 40 MM, JUNTA SOLDÁVEL, FORNECIDO E INSTALADO EM RAMAL DE DESCARGA OU RAMAL DE ESGOTO SANITÁRIO. AF_08/2022</v>
      </c>
      <c r="E439" s="1315" t="str">
        <f>IFERROR(VLOOKUP($B439,'24.08_ND'!$A:$D,3,0),IFERROR(VLOOKUP($B439,'03-CP'!$C$5:$H$4646,3,0),""))</f>
        <v>UN</v>
      </c>
      <c r="F439" s="389">
        <v>49</v>
      </c>
      <c r="G439" s="1244"/>
      <c r="H439" s="1244"/>
      <c r="I439" s="1409"/>
      <c r="J439" s="1644" t="s">
        <v>16316</v>
      </c>
      <c r="K439" s="504"/>
      <c r="L439" s="262"/>
    </row>
    <row r="440" spans="1:12" ht="38.25" outlineLevel="1">
      <c r="A440" s="247" t="s">
        <v>13889</v>
      </c>
      <c r="B440" s="386">
        <v>89731</v>
      </c>
      <c r="C440" s="386" t="s">
        <v>14476</v>
      </c>
      <c r="D440" s="1314" t="str">
        <f>IFERROR(VLOOKUP($B440,'24.08_ND'!$A$4833:$D$12369,2,0),IFERROR(VLOOKUP($B440,'03-CP'!$C$5:$H$4646,2,0),""))</f>
        <v>JOELHO 90 GRAUS, PVC, SERIE NORMAL, ESGOTO PREDIAL, DN 50 MM, JUNTA ELÁSTICA, FORNECIDO E INSTALADO EM RAMAL DE DESCARGA OU RAMAL DE ESGOTO SANITÁRIO. AF_08/2022</v>
      </c>
      <c r="E440" s="1315" t="str">
        <f>IFERROR(VLOOKUP($B440,'24.08_ND'!$A:$D,3,0),IFERROR(VLOOKUP($B440,'03-CP'!$C$5:$H$4646,3,0),""))</f>
        <v>UN</v>
      </c>
      <c r="F440" s="389">
        <v>66</v>
      </c>
      <c r="G440" s="1244"/>
      <c r="H440" s="1244"/>
      <c r="I440" s="1409"/>
      <c r="J440" s="1644" t="s">
        <v>16316</v>
      </c>
      <c r="K440" s="504"/>
      <c r="L440" s="262"/>
    </row>
    <row r="441" spans="1:12" ht="38.25" outlineLevel="1">
      <c r="A441" s="247" t="s">
        <v>13890</v>
      </c>
      <c r="B441" s="386">
        <v>89737</v>
      </c>
      <c r="C441" s="386" t="s">
        <v>14476</v>
      </c>
      <c r="D441" s="1314" t="str">
        <f>IFERROR(VLOOKUP($B441,'24.08_ND'!$A$4833:$D$12369,2,0),IFERROR(VLOOKUP($B441,'03-CP'!$C$5:$H$4646,2,0),""))</f>
        <v>JOELHO 90 GRAUS, PVC, SERIE NORMAL, ESGOTO PREDIAL, DN 75 MM, JUNTA ELÁSTICA, FORNECIDO E INSTALADO EM RAMAL DE DESCARGA OU RAMAL DE ESGOTO SANITÁRIO. AF_08/2022</v>
      </c>
      <c r="E441" s="1315" t="str">
        <f>IFERROR(VLOOKUP($B441,'24.08_ND'!$A:$D,3,0),IFERROR(VLOOKUP($B441,'03-CP'!$C$5:$H$4646,3,0),""))</f>
        <v>UN</v>
      </c>
      <c r="F441" s="389">
        <v>3</v>
      </c>
      <c r="G441" s="1244"/>
      <c r="H441" s="1244"/>
      <c r="I441" s="1409"/>
      <c r="J441" s="1644" t="s">
        <v>16316</v>
      </c>
      <c r="K441" s="504"/>
      <c r="L441" s="262"/>
    </row>
    <row r="442" spans="1:12" ht="38.25" outlineLevel="1">
      <c r="A442" s="247" t="s">
        <v>13891</v>
      </c>
      <c r="B442" s="386">
        <v>89744</v>
      </c>
      <c r="C442" s="386" t="s">
        <v>14476</v>
      </c>
      <c r="D442" s="1314" t="str">
        <f>IFERROR(VLOOKUP($B442,'24.08_ND'!$A$4833:$D$12369,2,0),IFERROR(VLOOKUP($B442,'03-CP'!$C$5:$H$4646,2,0),""))</f>
        <v>JOELHO 90 GRAUS, PVC, SERIE NORMAL, ESGOTO PREDIAL, DN 100 MM, JUNTA ELÁSTICA, FORNECIDO E INSTALADO EM RAMAL DE DESCARGA OU RAMAL DE ESGOTO SANITÁRIO. AF_08/2022</v>
      </c>
      <c r="E442" s="1315" t="str">
        <f>IFERROR(VLOOKUP($B442,'24.08_ND'!$A:$D,3,0),IFERROR(VLOOKUP($B442,'03-CP'!$C$5:$H$4646,3,0),""))</f>
        <v>UN</v>
      </c>
      <c r="F442" s="389">
        <v>3</v>
      </c>
      <c r="G442" s="1244"/>
      <c r="H442" s="1244"/>
      <c r="I442" s="1409"/>
      <c r="J442" s="1644" t="s">
        <v>16316</v>
      </c>
      <c r="K442" s="504"/>
      <c r="L442" s="262"/>
    </row>
    <row r="443" spans="1:12" ht="25.5" outlineLevel="1">
      <c r="A443" s="247" t="s">
        <v>13892</v>
      </c>
      <c r="B443" s="386" t="s">
        <v>15372</v>
      </c>
      <c r="C443" s="386" t="s">
        <v>14472</v>
      </c>
      <c r="D443" s="1314" t="str">
        <f>IFERROR(VLOOKUP($B443,'24.08_ND'!$A$4833:$D$12369,2,0),IFERROR(VLOOKUP($B443,'03-CP'!$C$5:$H$4646,2,0),""))</f>
        <v>CAP, PVC, SÉRIE NORMAL, ESGOTO PREDIAL, DN 100 MM, FORNECIMENTO E INSTALAÇÃO</v>
      </c>
      <c r="E443" s="1315" t="str">
        <f>IFERROR(VLOOKUP($B443,'24.08_ND'!$A:$D,3,0),IFERROR(VLOOKUP($B443,'03-CP'!$C$5:$H$4646,3,0),""))</f>
        <v>UN</v>
      </c>
      <c r="F443" s="389">
        <v>6</v>
      </c>
      <c r="G443" s="1244"/>
      <c r="H443" s="1244"/>
      <c r="I443" s="1409"/>
      <c r="J443" s="1644" t="s">
        <v>16316</v>
      </c>
      <c r="K443" s="504"/>
      <c r="L443" s="262"/>
    </row>
    <row r="444" spans="1:12" ht="25.5" outlineLevel="1">
      <c r="A444" s="247" t="s">
        <v>13893</v>
      </c>
      <c r="B444" s="386" t="s">
        <v>15374</v>
      </c>
      <c r="C444" s="386" t="s">
        <v>14472</v>
      </c>
      <c r="D444" s="1314" t="str">
        <f>IFERROR(VLOOKUP($B444,'24.08_ND'!$A$4833:$D$12369,2,0),IFERROR(VLOOKUP($B444,'03-CP'!$C$5:$H$4646,2,0),""))</f>
        <v>CAP, PVC, SÉRIE NORMAL, ESGOTO PREDIAL, DN 50 MM, FORNECIMENTO E INSTALAÇÃO</v>
      </c>
      <c r="E444" s="1315" t="str">
        <f>IFERROR(VLOOKUP($B444,'24.08_ND'!$A:$D,3,0),IFERROR(VLOOKUP($B444,'03-CP'!$C$5:$H$4646,3,0),""))</f>
        <v>UN</v>
      </c>
      <c r="F444" s="389">
        <v>1</v>
      </c>
      <c r="G444" s="1244"/>
      <c r="H444" s="1244"/>
      <c r="I444" s="1409"/>
      <c r="J444" s="1644" t="s">
        <v>16316</v>
      </c>
      <c r="K444" s="504"/>
      <c r="L444" s="262"/>
    </row>
    <row r="445" spans="1:12" ht="25.5" outlineLevel="1">
      <c r="A445" s="247" t="s">
        <v>13894</v>
      </c>
      <c r="B445" s="386" t="str">
        <f>'03-CP'!C2565</f>
        <v>CP-HSD-10</v>
      </c>
      <c r="C445" s="386" t="s">
        <v>14472</v>
      </c>
      <c r="D445" s="1314" t="str">
        <f>IFERROR(VLOOKUP($B445,'24.08_ND'!$A$4833:$D$12369,2,0),IFERROR(VLOOKUP($B445,'03-CP'!$C$5:$H$4646,2,0),""))</f>
        <v>CAP, PVC, SÉRIE NORMAL, ESGOTO PREDIAL, DN 40 MM, FORNECIMENTO E INSTALAÇÃO</v>
      </c>
      <c r="E445" s="1315" t="str">
        <f>IFERROR(VLOOKUP($B445,'24.08_ND'!$A:$D,3,0),IFERROR(VLOOKUP($B445,'03-CP'!$C$5:$H$4646,3,0),""))</f>
        <v>UN</v>
      </c>
      <c r="F445" s="389">
        <v>5</v>
      </c>
      <c r="G445" s="1244"/>
      <c r="H445" s="1244"/>
      <c r="I445" s="1409"/>
      <c r="J445" s="1644" t="s">
        <v>16316</v>
      </c>
      <c r="K445" s="504"/>
      <c r="L445" s="262"/>
    </row>
    <row r="446" spans="1:12" ht="38.25" outlineLevel="1">
      <c r="A446" s="247" t="s">
        <v>13895</v>
      </c>
      <c r="B446" s="386">
        <v>89797</v>
      </c>
      <c r="C446" s="386" t="s">
        <v>14476</v>
      </c>
      <c r="D446" s="1314" t="str">
        <f>IFERROR(VLOOKUP($B446,'24.08_ND'!$A$4833:$D$12369,2,0),IFERROR(VLOOKUP($B446,'03-CP'!$C$5:$H$4646,2,0),""))</f>
        <v>JUNÇÃO SIMPLES, PVC, SERIE NORMAL, ESGOTO PREDIAL, DN 100 X 100 MM, JUNTA ELÁSTICA, FORNECIDO E INSTALADO EM RAMAL DE DESCARGA OU RAMAL DE ESGOTO SANITÁRIO. AF_08/2022</v>
      </c>
      <c r="E446" s="1315" t="str">
        <f>IFERROR(VLOOKUP($B446,'24.08_ND'!$A:$D,3,0),IFERROR(VLOOKUP($B446,'03-CP'!$C$5:$H$4646,3,0),""))</f>
        <v>UN</v>
      </c>
      <c r="F446" s="389">
        <v>24</v>
      </c>
      <c r="G446" s="1244"/>
      <c r="H446" s="1244"/>
      <c r="I446" s="1409"/>
      <c r="J446" s="1644" t="s">
        <v>16316</v>
      </c>
      <c r="K446" s="504"/>
      <c r="L446" s="262"/>
    </row>
    <row r="447" spans="1:12" ht="38.25" outlineLevel="1">
      <c r="A447" s="247" t="s">
        <v>13896</v>
      </c>
      <c r="B447" s="386" t="str">
        <f>'03-CP'!C2540</f>
        <v>CP-HSD-06</v>
      </c>
      <c r="C447" s="386" t="s">
        <v>14472</v>
      </c>
      <c r="D447" s="1314" t="str">
        <f>IFERROR(VLOOKUP($B447,'24.08_ND'!$A$4833:$D$12369,2,0),IFERROR(VLOOKUP($B447,'03-CP'!$C$5:$H$4646,2,0),""))</f>
        <v>JUNÇÃO SIMPLES, PVC, SERIE NORMAL, ESGOTO PREDIAL, DN 100 X 50 MM, JUNTA ELÁSTICA, FORNECIDO E INSTALADO EM RAMAL DE DESCARGA OU RAMAL DE ESGOTO SANITÁRIO.</v>
      </c>
      <c r="E447" s="1315" t="str">
        <f>IFERROR(VLOOKUP($B447,'24.08_ND'!$A:$D,3,0),IFERROR(VLOOKUP($B447,'03-CP'!$C$5:$H$4646,3,0),""))</f>
        <v>UN</v>
      </c>
      <c r="F447" s="389">
        <v>14</v>
      </c>
      <c r="G447" s="1244"/>
      <c r="H447" s="1244"/>
      <c r="I447" s="1409"/>
      <c r="J447" s="1644" t="s">
        <v>16316</v>
      </c>
      <c r="K447" s="504"/>
      <c r="L447" s="262"/>
    </row>
    <row r="448" spans="1:12" ht="38.25" outlineLevel="1">
      <c r="A448" s="247" t="s">
        <v>13897</v>
      </c>
      <c r="B448" s="386">
        <v>89785</v>
      </c>
      <c r="C448" s="386" t="s">
        <v>14476</v>
      </c>
      <c r="D448" s="1314" t="str">
        <f>IFERROR(VLOOKUP($B448,'24.08_ND'!$A$4833:$D$12369,2,0),IFERROR(VLOOKUP($B448,'03-CP'!$C$5:$H$4646,2,0),""))</f>
        <v>JUNÇÃO SIMPLES, PVC, SERIE NORMAL, ESGOTO PREDIAL, DN 50 X 50 MM, JUNTA ELÁSTICA, FORNECIDO E INSTALADO EM RAMAL DE DESCARGA OU RAMAL DE ESGOTO SANITÁRIO. AF_08/2022</v>
      </c>
      <c r="E448" s="1315" t="str">
        <f>IFERROR(VLOOKUP($B448,'24.08_ND'!$A:$D,3,0),IFERROR(VLOOKUP($B448,'03-CP'!$C$5:$H$4646,3,0),""))</f>
        <v>UN</v>
      </c>
      <c r="F448" s="389">
        <v>15</v>
      </c>
      <c r="G448" s="1244"/>
      <c r="H448" s="1244"/>
      <c r="I448" s="1409"/>
      <c r="J448" s="1644" t="s">
        <v>16316</v>
      </c>
      <c r="K448" s="504"/>
      <c r="L448" s="262"/>
    </row>
    <row r="449" spans="1:12" ht="38.25" outlineLevel="1">
      <c r="A449" s="247" t="s">
        <v>13898</v>
      </c>
      <c r="B449" s="386">
        <v>89783</v>
      </c>
      <c r="C449" s="386" t="s">
        <v>14476</v>
      </c>
      <c r="D449" s="1314" t="str">
        <f>IFERROR(VLOOKUP($B449,'24.08_ND'!$A$4833:$D$12369,2,0),IFERROR(VLOOKUP($B449,'03-CP'!$C$5:$H$4646,2,0),""))</f>
        <v>JUNÇÃO SIMPLES, PVC, SERIE NORMAL, ESGOTO PREDIAL, DN 40 MM, JUNTA SOLDÁVEL, FORNECIDO E INSTALADO EM RAMAL DE DESCARGA OU RAMAL DE ESGOTO SANITÁRIO. AF_08/2022</v>
      </c>
      <c r="E449" s="1315" t="str">
        <f>IFERROR(VLOOKUP($B449,'24.08_ND'!$A:$D,3,0),IFERROR(VLOOKUP($B449,'03-CP'!$C$5:$H$4646,3,0),""))</f>
        <v>UN</v>
      </c>
      <c r="F449" s="389">
        <v>6</v>
      </c>
      <c r="G449" s="1244"/>
      <c r="H449" s="1244"/>
      <c r="I449" s="1409"/>
      <c r="J449" s="1644" t="s">
        <v>16316</v>
      </c>
      <c r="K449" s="504"/>
      <c r="L449" s="262"/>
    </row>
    <row r="450" spans="1:12" ht="38.25" outlineLevel="1">
      <c r="A450" s="247" t="s">
        <v>13899</v>
      </c>
      <c r="B450" s="386">
        <v>104343</v>
      </c>
      <c r="C450" s="386" t="s">
        <v>14476</v>
      </c>
      <c r="D450" s="1314" t="str">
        <f>IFERROR(VLOOKUP($B450,'24.08_ND'!$A$4833:$D$12369,2,0),IFERROR(VLOOKUP($B450,'03-CP'!$C$5:$H$4646,2,0),""))</f>
        <v>JUNÇÃO DE REDUÇÃO INVERTIDA, PVC, SÉRIE NORMAL, ESGOTO PREDIAL, DN 75 X 50 MM, JUNTA ELÁSTICA, FORNECIDO E INSTALADO EM RAMAL DE DESCARGA OU RAMAL DE ESGOTO SANITÁRIO. AF_08/2022</v>
      </c>
      <c r="E450" s="1315" t="str">
        <f>IFERROR(VLOOKUP($B450,'24.08_ND'!$A:$D,3,0),IFERROR(VLOOKUP($B450,'03-CP'!$C$5:$H$4646,3,0),""))</f>
        <v>UN</v>
      </c>
      <c r="F450" s="389">
        <v>1</v>
      </c>
      <c r="G450" s="1244"/>
      <c r="H450" s="1244"/>
      <c r="I450" s="1409"/>
      <c r="J450" s="1644" t="s">
        <v>16316</v>
      </c>
      <c r="K450" s="504"/>
      <c r="L450" s="262"/>
    </row>
    <row r="451" spans="1:12" ht="38.25" outlineLevel="1">
      <c r="A451" s="247" t="s">
        <v>13900</v>
      </c>
      <c r="B451" s="386">
        <v>104341</v>
      </c>
      <c r="C451" s="386" t="s">
        <v>14476</v>
      </c>
      <c r="D451" s="1314" t="str">
        <f>IFERROR(VLOOKUP($B451,'24.08_ND'!$A$4833:$D$12369,2,0),IFERROR(VLOOKUP($B451,'03-CP'!$C$5:$H$4646,2,0),""))</f>
        <v>BUCHA DE REDUÇÃO LONGA, PVC, SÉRIE NORMAL, ESGOTO PREDIAL, DN 50 X 40 MM, JUNTA SOLDÁVEL E ELÁSTICA, FORNECIDO E INSTALADO EM RAMAL DE DESCARGA OU RAMAL DE ESGOTO SANITÁRIO. AF_08/2022</v>
      </c>
      <c r="E451" s="1315" t="str">
        <f>IFERROR(VLOOKUP($B451,'24.08_ND'!$A:$D,3,0),IFERROR(VLOOKUP($B451,'03-CP'!$C$5:$H$4646,3,0),""))</f>
        <v>UN</v>
      </c>
      <c r="F451" s="389">
        <v>21</v>
      </c>
      <c r="G451" s="1244"/>
      <c r="H451" s="1244"/>
      <c r="I451" s="1409"/>
      <c r="J451" s="1644" t="s">
        <v>16316</v>
      </c>
      <c r="K451" s="504"/>
      <c r="L451" s="262"/>
    </row>
    <row r="452" spans="1:12" ht="25.5" outlineLevel="1">
      <c r="A452" s="247" t="s">
        <v>13901</v>
      </c>
      <c r="B452" s="386" t="s">
        <v>15362</v>
      </c>
      <c r="C452" s="386" t="s">
        <v>14472</v>
      </c>
      <c r="D452" s="1314" t="str">
        <f>IFERROR(VLOOKUP($B452,'24.08_ND'!$A$4833:$D$12369,2,0),IFERROR(VLOOKUP($B452,'03-CP'!$C$5:$H$4646,2,0),""))</f>
        <v>REDUÇÃO EXCÊNTRICA, PVC, SERIE R, DN 100 X 50 MM, JUNTA ELÁSTICA, FORNECIDO E INSTALADO EM RAMAL DE ENCAMINHAMENTO. AF_06/2022</v>
      </c>
      <c r="E452" s="1315" t="str">
        <f>IFERROR(VLOOKUP($B452,'24.08_ND'!$A:$D,3,0),IFERROR(VLOOKUP($B452,'03-CP'!$C$5:$H$4646,3,0),""))</f>
        <v>UN</v>
      </c>
      <c r="F452" s="389">
        <v>1</v>
      </c>
      <c r="G452" s="1244"/>
      <c r="H452" s="1244"/>
      <c r="I452" s="1409"/>
      <c r="J452" s="1644" t="s">
        <v>16316</v>
      </c>
      <c r="K452" s="504"/>
      <c r="L452" s="262"/>
    </row>
    <row r="453" spans="1:12" ht="38.25" outlineLevel="1">
      <c r="A453" s="247" t="s">
        <v>13902</v>
      </c>
      <c r="B453" s="386">
        <v>89778</v>
      </c>
      <c r="C453" s="386" t="s">
        <v>14476</v>
      </c>
      <c r="D453" s="1314" t="str">
        <f>IFERROR(VLOOKUP($B453,'24.08_ND'!$A$4833:$D$12369,2,0),IFERROR(VLOOKUP($B453,'03-CP'!$C$5:$H$4646,2,0),""))</f>
        <v>LUVA SIMPLES, PVC, SERIE NORMAL, ESGOTO PREDIAL, DN 100 MM, JUNTA ELÁSTICA, FORNECIDO E INSTALADO EM RAMAL DE DESCARGA OU RAMAL DE ESGOTO SANITÁRIO. AF_08/2022</v>
      </c>
      <c r="E453" s="1315" t="str">
        <f>IFERROR(VLOOKUP($B453,'24.08_ND'!$A:$D,3,0),IFERROR(VLOOKUP($B453,'03-CP'!$C$5:$H$4646,3,0),""))</f>
        <v>UN</v>
      </c>
      <c r="F453" s="389">
        <v>100</v>
      </c>
      <c r="G453" s="1244"/>
      <c r="H453" s="1244"/>
      <c r="I453" s="1409"/>
      <c r="J453" s="1644" t="s">
        <v>16316</v>
      </c>
      <c r="K453" s="504"/>
      <c r="L453" s="262"/>
    </row>
    <row r="454" spans="1:12" ht="38.25" outlineLevel="1">
      <c r="A454" s="247" t="s">
        <v>13903</v>
      </c>
      <c r="B454" s="386">
        <v>89753</v>
      </c>
      <c r="C454" s="386" t="s">
        <v>14476</v>
      </c>
      <c r="D454" s="1314" t="str">
        <f>IFERROR(VLOOKUP($B454,'24.08_ND'!$A$4833:$D$12369,2,0),IFERROR(VLOOKUP($B454,'03-CP'!$C$5:$H$4646,2,0),""))</f>
        <v>LUVA SIMPLES, PVC, SERIE NORMAL, ESGOTO PREDIAL, DN 50 MM, JUNTA ELÁSTICA, FORNECIDO E INSTALADO EM RAMAL DE DESCARGA OU RAMAL DE ESGOTO SANITÁRIO. AF_08/2022</v>
      </c>
      <c r="E454" s="1315" t="str">
        <f>IFERROR(VLOOKUP($B454,'24.08_ND'!$A:$D,3,0),IFERROR(VLOOKUP($B454,'03-CP'!$C$5:$H$4646,3,0),""))</f>
        <v>UN</v>
      </c>
      <c r="F454" s="389">
        <v>210</v>
      </c>
      <c r="G454" s="1244"/>
      <c r="H454" s="1244"/>
      <c r="I454" s="1409"/>
      <c r="J454" s="1644" t="s">
        <v>16316</v>
      </c>
      <c r="K454" s="504"/>
      <c r="L454" s="262"/>
    </row>
    <row r="455" spans="1:12" ht="38.25" outlineLevel="1">
      <c r="A455" s="247" t="s">
        <v>13904</v>
      </c>
      <c r="B455" s="386">
        <v>89774</v>
      </c>
      <c r="C455" s="386" t="s">
        <v>14476</v>
      </c>
      <c r="D455" s="1314" t="str">
        <f>IFERROR(VLOOKUP($B455,'24.08_ND'!$A$4833:$D$12369,2,0),IFERROR(VLOOKUP($B455,'03-CP'!$C$5:$H$4646,2,0),""))</f>
        <v>LUVA SIMPLES, PVC, SERIE NORMAL, ESGOTO PREDIAL, DN 75 MM, JUNTA ELÁSTICA, FORNECIDO E INSTALADO EM RAMAL DE DESCARGA OU RAMAL DE ESGOTO SANITÁRIO. AF_08/2022</v>
      </c>
      <c r="E455" s="1315" t="str">
        <f>IFERROR(VLOOKUP($B455,'24.08_ND'!$A:$D,3,0),IFERROR(VLOOKUP($B455,'03-CP'!$C$5:$H$4646,3,0),""))</f>
        <v>UN</v>
      </c>
      <c r="F455" s="389">
        <v>14</v>
      </c>
      <c r="G455" s="1244"/>
      <c r="H455" s="1244"/>
      <c r="I455" s="1409"/>
      <c r="J455" s="1644" t="s">
        <v>16316</v>
      </c>
      <c r="K455" s="504"/>
      <c r="L455" s="262"/>
    </row>
    <row r="456" spans="1:12" ht="38.25" outlineLevel="1">
      <c r="A456" s="247" t="s">
        <v>13905</v>
      </c>
      <c r="B456" s="386">
        <v>89784</v>
      </c>
      <c r="C456" s="386" t="s">
        <v>14476</v>
      </c>
      <c r="D456" s="1314" t="str">
        <f>IFERROR(VLOOKUP($B456,'24.08_ND'!$A$4833:$D$12369,2,0),IFERROR(VLOOKUP($B456,'03-CP'!$C$5:$H$4646,2,0),""))</f>
        <v>TE, PVC, SERIE NORMAL, ESGOTO PREDIAL, DN 50 X 50 MM, JUNTA ELÁSTICA, FORNECIDO E INSTALADO EM RAMAL DE DESCARGA OU RAMAL DE ESGOTO SANITÁRIO. AF_08/2022</v>
      </c>
      <c r="E456" s="1315" t="str">
        <f>IFERROR(VLOOKUP($B456,'24.08_ND'!$A:$D,3,0),IFERROR(VLOOKUP($B456,'03-CP'!$C$5:$H$4646,3,0),""))</f>
        <v>UN</v>
      </c>
      <c r="F456" s="389">
        <v>26</v>
      </c>
      <c r="G456" s="1244"/>
      <c r="H456" s="1244"/>
      <c r="I456" s="1409"/>
      <c r="J456" s="1644" t="s">
        <v>16316</v>
      </c>
      <c r="K456" s="504"/>
      <c r="L456" s="262"/>
    </row>
    <row r="457" spans="1:12" ht="38.25" outlineLevel="1">
      <c r="A457" s="247" t="s">
        <v>13906</v>
      </c>
      <c r="B457" s="386" t="s">
        <v>15428</v>
      </c>
      <c r="C457" s="386" t="s">
        <v>14472</v>
      </c>
      <c r="D457" s="1314" t="str">
        <f>IFERROR(VLOOKUP($B457,'24.08_ND'!$A$4833:$D$12369,2,0),IFERROR(VLOOKUP($B457,'03-CP'!$C$5:$H$4646,2,0),""))</f>
        <v>TE, PVC, SERIE NORMAL, ESGOTO PREDIAL, DN 75 X 50 MM, JUNTA ELÁSTICA, FORNECIDO E INSTALADO EM PRUMADA DE ESGOTO SANITÁRIO OU VENTILAÇÃO.</v>
      </c>
      <c r="E457" s="1315" t="str">
        <f>IFERROR(VLOOKUP($B457,'24.08_ND'!$A:$D,3,0),IFERROR(VLOOKUP($B457,'03-CP'!$C$5:$H$4646,3,0),""))</f>
        <v>UN</v>
      </c>
      <c r="F457" s="389">
        <v>10</v>
      </c>
      <c r="G457" s="1244"/>
      <c r="H457" s="1244"/>
      <c r="I457" s="1409"/>
      <c r="J457" s="1644" t="s">
        <v>16316</v>
      </c>
      <c r="K457" s="504"/>
      <c r="L457" s="262"/>
    </row>
    <row r="458" spans="1:12" ht="38.25" outlineLevel="1">
      <c r="A458" s="247" t="s">
        <v>13907</v>
      </c>
      <c r="B458" s="386">
        <v>89782</v>
      </c>
      <c r="C458" s="386" t="s">
        <v>14476</v>
      </c>
      <c r="D458" s="1314" t="str">
        <f>IFERROR(VLOOKUP($B458,'24.08_ND'!$A$4833:$D$12369,2,0),IFERROR(VLOOKUP($B458,'03-CP'!$C$5:$H$4646,2,0),""))</f>
        <v>TE, PVC, SERIE NORMAL, ESGOTO PREDIAL, DN 40 X 40 MM, JUNTA SOLDÁVEL, FORNECIDO E INSTALADO EM RAMAL DE DESCARGA OU RAMAL DE ESGOTO SANITÁRIO. AF_08/2022</v>
      </c>
      <c r="E458" s="1315" t="str">
        <f>IFERROR(VLOOKUP($B458,'24.08_ND'!$A:$D,3,0),IFERROR(VLOOKUP($B458,'03-CP'!$C$5:$H$4646,3,0),""))</f>
        <v>UN</v>
      </c>
      <c r="F458" s="389">
        <v>28</v>
      </c>
      <c r="G458" s="1244"/>
      <c r="H458" s="1244"/>
      <c r="I458" s="1409"/>
      <c r="J458" s="1644" t="s">
        <v>16316</v>
      </c>
      <c r="K458" s="504"/>
      <c r="L458" s="262"/>
    </row>
    <row r="459" spans="1:12" ht="38.25" outlineLevel="1">
      <c r="A459" s="247" t="s">
        <v>13908</v>
      </c>
      <c r="B459" s="386">
        <v>104344</v>
      </c>
      <c r="C459" s="386" t="s">
        <v>14476</v>
      </c>
      <c r="D459" s="1314" t="str">
        <f>IFERROR(VLOOKUP($B459,'24.08_ND'!$A$4833:$D$12369,2,0),IFERROR(VLOOKUP($B459,'03-CP'!$C$5:$H$4646,2,0),""))</f>
        <v>TE, PVC, SÉRIE NORMAL, ESGOTO PREDIAL, DN 100 X 50 MM, JUNTA ELÁSTICA, FORNECIDO E INSTALADO EM RAMAL DE DESCARGA OU RAMAL DE ESGOTO SANITÁRIO. AF_08/2022</v>
      </c>
      <c r="E459" s="1315" t="str">
        <f>IFERROR(VLOOKUP($B459,'24.08_ND'!$A:$D,3,0),IFERROR(VLOOKUP($B459,'03-CP'!$C$5:$H$4646,3,0),""))</f>
        <v>UN</v>
      </c>
      <c r="F459" s="389">
        <v>6</v>
      </c>
      <c r="G459" s="1244"/>
      <c r="H459" s="1244"/>
      <c r="I459" s="1409"/>
      <c r="J459" s="1644" t="s">
        <v>16316</v>
      </c>
      <c r="K459" s="504"/>
      <c r="L459" s="262"/>
    </row>
    <row r="460" spans="1:12" ht="38.25" outlineLevel="1">
      <c r="A460" s="247" t="s">
        <v>13909</v>
      </c>
      <c r="B460" s="386">
        <v>89796</v>
      </c>
      <c r="C460" s="386" t="s">
        <v>14476</v>
      </c>
      <c r="D460" s="1314" t="str">
        <f>IFERROR(VLOOKUP($B460,'24.08_ND'!$A$4833:$D$12369,2,0),IFERROR(VLOOKUP($B460,'03-CP'!$C$5:$H$4646,2,0),""))</f>
        <v>TE, PVC, SERIE NORMAL, ESGOTO PREDIAL, DN 100 X 100 MM, JUNTA ELÁSTICA, FORNECIDO E INSTALADO EM RAMAL DE DESCARGA OU RAMAL DE ESGOTO SANITÁRIO. AF_08/2022</v>
      </c>
      <c r="E460" s="1315" t="str">
        <f>IFERROR(VLOOKUP($B460,'24.08_ND'!$A:$D,3,0),IFERROR(VLOOKUP($B460,'03-CP'!$C$5:$H$4646,3,0),""))</f>
        <v>UN</v>
      </c>
      <c r="F460" s="389">
        <v>5</v>
      </c>
      <c r="G460" s="1244"/>
      <c r="H460" s="1244"/>
      <c r="I460" s="1409"/>
      <c r="J460" s="1644" t="s">
        <v>16316</v>
      </c>
      <c r="K460" s="504"/>
      <c r="L460" s="262"/>
    </row>
    <row r="461" spans="1:12" ht="38.25" outlineLevel="1">
      <c r="A461" s="247" t="s">
        <v>13910</v>
      </c>
      <c r="B461" s="386">
        <v>104348</v>
      </c>
      <c r="C461" s="386" t="s">
        <v>14476</v>
      </c>
      <c r="D461" s="1314" t="str">
        <f>IFERROR(VLOOKUP($B461,'24.08_ND'!$A$4833:$D$12369,2,0),IFERROR(VLOOKUP($B461,'03-CP'!$C$5:$H$4646,2,0),""))</f>
        <v>TERMINAL DE VENTILAÇÃO, PVC, SÉRIE NORMAL, ESGOTO PREDIAL, DN 50 MM, JUNTA SOLDÁVEL, FORNECIDO E INSTALADO EM PRUMADA DE ESGOTO SANITÁRIO OU VENTILAÇÃO. AF_08/2022</v>
      </c>
      <c r="E461" s="1315" t="str">
        <f>IFERROR(VLOOKUP($B461,'24.08_ND'!$A:$D,3,0),IFERROR(VLOOKUP($B461,'03-CP'!$C$5:$H$4646,3,0),""))</f>
        <v>UN</v>
      </c>
      <c r="F461" s="389">
        <v>3</v>
      </c>
      <c r="G461" s="1244"/>
      <c r="H461" s="1244"/>
      <c r="I461" s="1409"/>
      <c r="J461" s="1644" t="s">
        <v>16316</v>
      </c>
      <c r="K461" s="504"/>
      <c r="L461" s="262"/>
    </row>
    <row r="462" spans="1:12" ht="25.5" outlineLevel="1">
      <c r="A462" s="247" t="s">
        <v>13911</v>
      </c>
      <c r="B462" s="386">
        <v>104086</v>
      </c>
      <c r="C462" s="386" t="s">
        <v>14476</v>
      </c>
      <c r="D462" s="1314" t="str">
        <f>IFERROR(VLOOKUP($B462,'24.08_ND'!$A$4833:$D$12369,2,0),IFERROR(VLOOKUP($B462,'03-CP'!$C$5:$H$4646,2,0),""))</f>
        <v>TUBO, PVC OCRE, JUNTA ELÁSTICA, DN 150 MM, PARA COLETOR PREDIAL DE ESGOTO. AF_06/2022</v>
      </c>
      <c r="E462" s="1315" t="str">
        <f>IFERROR(VLOOKUP($B462,'24.08_ND'!$A:$D,3,0),IFERROR(VLOOKUP($B462,'03-CP'!$C$5:$H$4646,3,0),""))</f>
        <v>M</v>
      </c>
      <c r="F462" s="389">
        <v>1</v>
      </c>
      <c r="G462" s="1244"/>
      <c r="H462" s="1244"/>
      <c r="I462" s="1409"/>
      <c r="J462" s="1644" t="s">
        <v>16316</v>
      </c>
      <c r="K462" s="504"/>
      <c r="L462" s="262"/>
    </row>
    <row r="463" spans="1:12" ht="38.25" outlineLevel="1">
      <c r="A463" s="247" t="s">
        <v>13912</v>
      </c>
      <c r="B463" s="386">
        <v>89714</v>
      </c>
      <c r="C463" s="386" t="s">
        <v>14476</v>
      </c>
      <c r="D463" s="1314" t="str">
        <f>IFERROR(VLOOKUP($B463,'24.08_ND'!$A$4833:$D$12369,2,0),IFERROR(VLOOKUP($B463,'03-CP'!$C$5:$H$4646,2,0),""))</f>
        <v>TUBO PVC, SERIE NORMAL, ESGOTO PREDIAL, DN 100 MM, FORNECIDO E INSTALADO EM RAMAL DE DESCARGA OU RAMAL DE ESGOTO SANITÁRIO. AF_08/2022</v>
      </c>
      <c r="E463" s="1315" t="str">
        <f>IFERROR(VLOOKUP($B463,'24.08_ND'!$A:$D,3,0),IFERROR(VLOOKUP($B463,'03-CP'!$C$5:$H$4646,3,0),""))</f>
        <v>M</v>
      </c>
      <c r="F463" s="389">
        <v>75</v>
      </c>
      <c r="G463" s="1244"/>
      <c r="H463" s="1244"/>
      <c r="I463" s="1409"/>
      <c r="J463" s="1644" t="s">
        <v>16316</v>
      </c>
      <c r="K463" s="504"/>
      <c r="L463" s="262"/>
    </row>
    <row r="464" spans="1:12" ht="38.25" outlineLevel="1">
      <c r="A464" s="247" t="s">
        <v>13913</v>
      </c>
      <c r="B464" s="386">
        <v>89713</v>
      </c>
      <c r="C464" s="386" t="s">
        <v>14476</v>
      </c>
      <c r="D464" s="1314" t="str">
        <f>IFERROR(VLOOKUP($B464,'24.08_ND'!$A$4833:$D$12369,2,0),IFERROR(VLOOKUP($B464,'03-CP'!$C$5:$H$4646,2,0),""))</f>
        <v>TUBO PVC, SERIE NORMAL, ESGOTO PREDIAL, DN 75 MM, FORNECIDO E INSTALADO EM RAMAL DE DESCARGA OU RAMAL DE ESGOTO SANITÁRIO. AF_08/2022</v>
      </c>
      <c r="E464" s="1315" t="str">
        <f>IFERROR(VLOOKUP($B464,'24.08_ND'!$A:$D,3,0),IFERROR(VLOOKUP($B464,'03-CP'!$C$5:$H$4646,3,0),""))</f>
        <v>M</v>
      </c>
      <c r="F464" s="389">
        <v>20</v>
      </c>
      <c r="G464" s="1244"/>
      <c r="H464" s="1244"/>
      <c r="I464" s="1409"/>
      <c r="J464" s="1644" t="s">
        <v>16316</v>
      </c>
      <c r="K464" s="504"/>
      <c r="L464" s="262"/>
    </row>
    <row r="465" spans="1:12" ht="38.25" outlineLevel="1">
      <c r="A465" s="247" t="s">
        <v>13914</v>
      </c>
      <c r="B465" s="386">
        <v>89712</v>
      </c>
      <c r="C465" s="386" t="s">
        <v>14476</v>
      </c>
      <c r="D465" s="1314" t="str">
        <f>IFERROR(VLOOKUP($B465,'24.08_ND'!$A$4833:$D$12369,2,0),IFERROR(VLOOKUP($B465,'03-CP'!$C$5:$H$4646,2,0),""))</f>
        <v>TUBO PVC, SERIE NORMAL, ESGOTO PREDIAL, DN 50 MM, FORNECIDO E INSTALADO EM RAMAL DE DESCARGA OU RAMAL DE ESGOTO SANITÁRIO. AF_08/2022</v>
      </c>
      <c r="E465" s="1315" t="str">
        <f>IFERROR(VLOOKUP($B465,'24.08_ND'!$A:$D,3,0),IFERROR(VLOOKUP($B465,'03-CP'!$C$5:$H$4646,3,0),""))</f>
        <v>M</v>
      </c>
      <c r="F465" s="389">
        <v>135</v>
      </c>
      <c r="G465" s="1244"/>
      <c r="H465" s="1244"/>
      <c r="I465" s="1409"/>
      <c r="J465" s="1644" t="s">
        <v>16316</v>
      </c>
      <c r="K465" s="504"/>
      <c r="L465" s="262"/>
    </row>
    <row r="466" spans="1:12" ht="38.25" outlineLevel="1">
      <c r="A466" s="247" t="s">
        <v>13915</v>
      </c>
      <c r="B466" s="386">
        <v>89711</v>
      </c>
      <c r="C466" s="386" t="s">
        <v>14476</v>
      </c>
      <c r="D466" s="1314" t="str">
        <f>IFERROR(VLOOKUP($B466,'24.08_ND'!$A$4833:$D$12369,2,0),IFERROR(VLOOKUP($B466,'03-CP'!$C$5:$H$4646,2,0),""))</f>
        <v>TUBO PVC, SERIE NORMAL, ESGOTO PREDIAL, DN 40 MM, FORNECIDO E INSTALADO EM RAMAL DE DESCARGA OU RAMAL DE ESGOTO SANITÁRIO. AF_08/2022</v>
      </c>
      <c r="E466" s="1315" t="str">
        <f>IFERROR(VLOOKUP($B466,'24.08_ND'!$A:$D,3,0),IFERROR(VLOOKUP($B466,'03-CP'!$C$5:$H$4646,3,0),""))</f>
        <v>M</v>
      </c>
      <c r="F466" s="389">
        <v>70</v>
      </c>
      <c r="G466" s="1244"/>
      <c r="H466" s="1244"/>
      <c r="I466" s="1409"/>
      <c r="J466" s="1644" t="s">
        <v>16316</v>
      </c>
      <c r="K466" s="504"/>
      <c r="L466" s="262"/>
    </row>
    <row r="467" spans="1:12" ht="12.75" outlineLevel="1">
      <c r="A467" s="247" t="s">
        <v>13916</v>
      </c>
      <c r="B467" s="386" t="s">
        <v>15430</v>
      </c>
      <c r="C467" s="386" t="s">
        <v>14472</v>
      </c>
      <c r="D467" s="1314" t="str">
        <f>IFERROR(VLOOKUP($B467,'24.08_ND'!$A$4833:$D$12369,2,0),IFERROR(VLOOKUP($B467,'03-CP'!$C$5:$H$4646,2,0),""))</f>
        <v>CAIXA SIFONADA PVC, 150 X 150 X 50 MM, FORNECIMENTO E INSTALAÇÃO</v>
      </c>
      <c r="E467" s="1315" t="str">
        <f>IFERROR(VLOOKUP($B467,'24.08_ND'!$A:$D,3,0),IFERROR(VLOOKUP($B467,'03-CP'!$C$5:$H$4646,3,0),""))</f>
        <v>UN</v>
      </c>
      <c r="F467" s="389">
        <v>2</v>
      </c>
      <c r="G467" s="1244"/>
      <c r="H467" s="1244"/>
      <c r="I467" s="1409"/>
      <c r="J467" s="1644" t="s">
        <v>16316</v>
      </c>
      <c r="K467" s="504"/>
      <c r="L467" s="262"/>
    </row>
    <row r="468" spans="1:12" ht="38.25" outlineLevel="1">
      <c r="A468" s="247" t="s">
        <v>13917</v>
      </c>
      <c r="B468" s="386" t="s">
        <v>15433</v>
      </c>
      <c r="C468" s="386" t="s">
        <v>14472</v>
      </c>
      <c r="D468" s="1314" t="str">
        <f>IFERROR(VLOOKUP($B468,'24.08_ND'!$A$4833:$D$12369,2,0),IFERROR(VLOOKUP($B468,'03-CP'!$C$5:$H$4646,2,0),""))</f>
        <v>CAIXA SIFONADA, COM GRELHA QUADRADA, PVC, DN 100 X 150 X 50 MM, JUNTA ELÁSTICA, FORNECIDA E INSTALADA EM RAMAL DE DESCARGA OU EM RAMAL DE ESGOTO SANITÁRIO</v>
      </c>
      <c r="E468" s="1315" t="str">
        <f>IFERROR(VLOOKUP($B468,'24.08_ND'!$A:$D,3,0),IFERROR(VLOOKUP($B468,'03-CP'!$C$5:$H$4646,3,0),""))</f>
        <v>UN</v>
      </c>
      <c r="F468" s="389">
        <v>11</v>
      </c>
      <c r="G468" s="1244"/>
      <c r="H468" s="1244"/>
      <c r="I468" s="1409"/>
      <c r="J468" s="1644" t="s">
        <v>16316</v>
      </c>
      <c r="K468" s="504"/>
      <c r="L468" s="262"/>
    </row>
    <row r="469" spans="1:12" ht="25.5" outlineLevel="1">
      <c r="A469" s="247" t="s">
        <v>13918</v>
      </c>
      <c r="B469" s="386" t="s">
        <v>15417</v>
      </c>
      <c r="C469" s="386" t="s">
        <v>14472</v>
      </c>
      <c r="D469" s="1314" t="str">
        <f>IFERROR(VLOOKUP($B469,'24.08_ND'!$A$4833:$D$12369,2,0),IFERROR(VLOOKUP($B469,'03-CP'!$C$5:$H$4646,2,0),""))</f>
        <v>TAMPA CEGA INOX QUADRADA DN 150 MM, INCLUSO PORTA GRELHA PARA ENCAIXE - FORNECIMENTO E INSTALAÇÃO</v>
      </c>
      <c r="E469" s="1315" t="str">
        <f>IFERROR(VLOOKUP($B469,'24.08_ND'!$A:$D,3,0),IFERROR(VLOOKUP($B469,'03-CP'!$C$5:$H$4646,3,0),""))</f>
        <v>UN</v>
      </c>
      <c r="F469" s="389">
        <v>8</v>
      </c>
      <c r="G469" s="1244"/>
      <c r="H469" s="1244"/>
      <c r="I469" s="1409"/>
      <c r="J469" s="1644" t="s">
        <v>16316</v>
      </c>
      <c r="K469" s="504"/>
      <c r="L469" s="262"/>
    </row>
    <row r="470" spans="1:12" ht="51" outlineLevel="1">
      <c r="A470" s="247" t="s">
        <v>13919</v>
      </c>
      <c r="B470" s="386">
        <v>91179</v>
      </c>
      <c r="C470" s="386" t="s">
        <v>14476</v>
      </c>
      <c r="D470" s="1314" t="str">
        <f>IFERROR(VLOOKUP($B470,'24.08_ND'!$A$4833:$D$12369,2,0),IFERROR(VLOOKUP($B470,'03-CP'!$C$5:$H$4646,2,0),""))</f>
        <v>FIXAÇÃO DE TUBOS HORIZONTAIS DE PVC ÁGUA/PVC ESGOTO/PVC PLUVIAL/CPVC/PPR/COBRE OU AÇO, DIÂMETROS MENORES OU IGUAIS A 40 MM, COM ABRAÇADEIRA METÁLICA RÍGIDA TIPO  D  COM PARAFUSO DE FIXAÇÃO 1 1/4", FIXADA DIRETAMENTE NA LAJE OU PAREDE. AF_09/2023</v>
      </c>
      <c r="E470" s="1315" t="str">
        <f>IFERROR(VLOOKUP($B470,'24.08_ND'!$A:$D,3,0),IFERROR(VLOOKUP($B470,'03-CP'!$C$5:$H$4646,3,0),""))</f>
        <v>M</v>
      </c>
      <c r="F470" s="389">
        <v>3</v>
      </c>
      <c r="G470" s="1244"/>
      <c r="H470" s="1244"/>
      <c r="I470" s="1409"/>
      <c r="J470" s="1644" t="s">
        <v>16316</v>
      </c>
      <c r="K470" s="504"/>
      <c r="L470" s="262"/>
    </row>
    <row r="471" spans="1:12" ht="25.5" outlineLevel="1">
      <c r="A471" s="247" t="s">
        <v>13920</v>
      </c>
      <c r="B471" s="386">
        <v>93358</v>
      </c>
      <c r="C471" s="386" t="s">
        <v>14476</v>
      </c>
      <c r="D471" s="387" t="str">
        <f>IFERROR(VLOOKUP($B471,'24.08_ND'!$A$4833:$D$12369,2,0),IFERROR(VLOOKUP($B471,'03-CP'!$C$5:$H$4646,2,0),""))</f>
        <v>ESCAVAÇÃO MANUAL DE VALA COM PROFUNDIDADE MENOR OU IGUAL A 1,30 M. AF_02/2021</v>
      </c>
      <c r="E471" s="1244" t="str">
        <f>IFERROR(VLOOKUP($B471,'24.08_ND'!$A:$D,3,0),IFERROR(VLOOKUP($B471,'03-CP'!$C$5:$H$4646,3,0),""))</f>
        <v>M3</v>
      </c>
      <c r="F471" s="389">
        <v>30</v>
      </c>
      <c r="G471" s="1244"/>
      <c r="H471" s="1244"/>
      <c r="I471" s="1409"/>
      <c r="J471" s="1644" t="s">
        <v>16316</v>
      </c>
      <c r="K471" s="504"/>
      <c r="L471" s="262"/>
    </row>
    <row r="472" spans="1:12" ht="12.75" outlineLevel="1">
      <c r="A472" s="247" t="s">
        <v>13921</v>
      </c>
      <c r="B472" s="386">
        <v>102718</v>
      </c>
      <c r="C472" s="386" t="s">
        <v>14476</v>
      </c>
      <c r="D472" s="387" t="str">
        <f>IFERROR(VLOOKUP($B472,'24.08_ND'!$A$4833:$D$12369,2,0),IFERROR(VLOOKUP($B472,'03-CP'!$C$5:$H$4646,2,0),""))</f>
        <v>ENCHIMENTO DE AREIA PARA DRENO, LANÇAMENTO MANUAL. AF_07/2021</v>
      </c>
      <c r="E472" s="1244" t="str">
        <f>IFERROR(VLOOKUP($B472,'24.08_ND'!$A:$D,3,0),IFERROR(VLOOKUP($B472,'03-CP'!$C$5:$H$4646,3,0),""))</f>
        <v>M3</v>
      </c>
      <c r="F472" s="389">
        <v>15</v>
      </c>
      <c r="G472" s="1244"/>
      <c r="H472" s="1244"/>
      <c r="I472" s="1409"/>
      <c r="J472" s="1644" t="s">
        <v>16316</v>
      </c>
      <c r="K472" s="504"/>
      <c r="L472" s="262"/>
    </row>
    <row r="473" spans="1:12" ht="25.5" outlineLevel="1">
      <c r="A473" s="247" t="s">
        <v>13922</v>
      </c>
      <c r="B473" s="386">
        <v>93382</v>
      </c>
      <c r="C473" s="386" t="s">
        <v>14476</v>
      </c>
      <c r="D473" s="387" t="str">
        <f>IFERROR(VLOOKUP($B473,'24.08_ND'!$A$4833:$D$12369,2,0),IFERROR(VLOOKUP($B473,'03-CP'!$C$5:$H$4646,2,0),""))</f>
        <v>REATERRO MANUAL DE VALAS, COM COMPACTADOR DE SOLOS DE PERCUSSÃO. AF_08/2023</v>
      </c>
      <c r="E473" s="1244" t="str">
        <f>IFERROR(VLOOKUP($B473,'24.08_ND'!$A:$D,3,0),IFERROR(VLOOKUP($B473,'03-CP'!$C$5:$H$4646,3,0),""))</f>
        <v>M3</v>
      </c>
      <c r="F473" s="389">
        <v>15</v>
      </c>
      <c r="G473" s="1244"/>
      <c r="H473" s="1244"/>
      <c r="I473" s="1409"/>
      <c r="J473" s="1644" t="s">
        <v>16316</v>
      </c>
      <c r="K473" s="504"/>
      <c r="L473" s="262"/>
    </row>
    <row r="474" spans="1:12" ht="12.75">
      <c r="A474" s="250" t="s">
        <v>13923</v>
      </c>
      <c r="B474" s="1309"/>
      <c r="C474" s="1497"/>
      <c r="D474" s="1498" t="s">
        <v>16318</v>
      </c>
      <c r="E474" s="234"/>
      <c r="F474" s="1311"/>
      <c r="G474" s="236"/>
      <c r="H474" s="236"/>
      <c r="I474" s="1499"/>
      <c r="J474" s="262"/>
      <c r="K474" s="504"/>
      <c r="L474" s="262"/>
    </row>
    <row r="475" spans="1:12" ht="38.25" outlineLevel="1">
      <c r="A475" s="247" t="s">
        <v>13924</v>
      </c>
      <c r="B475" s="386">
        <v>99260</v>
      </c>
      <c r="C475" s="386" t="s">
        <v>14476</v>
      </c>
      <c r="D475" s="1314" t="str">
        <f>IFERROR(VLOOKUP($B475,'24.08_ND'!$A$4833:$D$12369,2,0),IFERROR(VLOOKUP($B475,'03-CP'!$C$5:$H$4646,2,0),""))</f>
        <v>CAIXA ENTERRADA HIDRÁULICA RETANGULAR, EM ALVENARIA COM BLOCOS DE CONCRETO, DIMENSÕES INTERNAS: 0,6X0,6X0,6 M PARA REDE DE DRENAGEM. AF_12/2020</v>
      </c>
      <c r="E475" s="1315" t="str">
        <f>IFERROR(VLOOKUP($B475,'24.08_ND'!$A:$D,3,0),IFERROR(VLOOKUP($B475,'03-CP'!$C$5:$H$4646,3,0),""))</f>
        <v>UN</v>
      </c>
      <c r="F475" s="389">
        <v>1</v>
      </c>
      <c r="G475" s="1244"/>
      <c r="H475" s="1244"/>
      <c r="I475" s="1409"/>
      <c r="J475" s="1644" t="s">
        <v>16316</v>
      </c>
      <c r="K475" s="1588"/>
      <c r="L475" s="262"/>
    </row>
    <row r="476" spans="1:12" ht="38.25" outlineLevel="1">
      <c r="A476" s="247" t="s">
        <v>13925</v>
      </c>
      <c r="B476" s="386">
        <v>89585</v>
      </c>
      <c r="C476" s="386" t="s">
        <v>14476</v>
      </c>
      <c r="D476" s="1314" t="str">
        <f>IFERROR(VLOOKUP($B476,'24.08_ND'!$A$4833:$D$12369,2,0),IFERROR(VLOOKUP($B476,'03-CP'!$C$5:$H$4646,2,0),""))</f>
        <v>JOELHO 45 GRAUS, PVC, SERIE R, ÁGUA PLUVIAL, DN 100 MM, JUNTA ELÁSTICA, FORNECIDO E INSTALADO EM CONDUTORES VERTICAIS DE ÁGUAS PLUVIAIS. AF_06/2022</v>
      </c>
      <c r="E476" s="1315" t="str">
        <f>IFERROR(VLOOKUP($B476,'24.08_ND'!$A:$D,3,0),IFERROR(VLOOKUP($B476,'03-CP'!$C$5:$H$4646,3,0),""))</f>
        <v>UN</v>
      </c>
      <c r="F476" s="389">
        <v>47</v>
      </c>
      <c r="G476" s="1244"/>
      <c r="H476" s="1244"/>
      <c r="I476" s="1409"/>
      <c r="J476" s="1644" t="s">
        <v>16316</v>
      </c>
      <c r="K476" s="1588"/>
      <c r="L476" s="262"/>
    </row>
    <row r="477" spans="1:12" ht="25.5" outlineLevel="1">
      <c r="A477" s="247" t="s">
        <v>13926</v>
      </c>
      <c r="B477" s="386">
        <v>104178</v>
      </c>
      <c r="C477" s="386" t="s">
        <v>14476</v>
      </c>
      <c r="D477" s="1314" t="str">
        <f>IFERROR(VLOOKUP($B477,'24.08_ND'!$A$4833:$D$12369,2,0),IFERROR(VLOOKUP($B477,'03-CP'!$C$5:$H$4646,2,0),""))</f>
        <v>CAP, PVC, SERIE R, ÁGUA PLUVIAL, DN 100 MM, JUNTA ELÁSTICA, FORNECIDO E INSTALADO EM RAMAL DE ENCAMINHAMENTO. AF_06/2022</v>
      </c>
      <c r="E477" s="1315" t="str">
        <f>IFERROR(VLOOKUP($B477,'24.08_ND'!$A:$D,3,0),IFERROR(VLOOKUP($B477,'03-CP'!$C$5:$H$4646,3,0),""))</f>
        <v>UN</v>
      </c>
      <c r="F477" s="389">
        <v>16</v>
      </c>
      <c r="G477" s="1244"/>
      <c r="H477" s="1244"/>
      <c r="I477" s="1409"/>
      <c r="J477" s="1644" t="s">
        <v>16316</v>
      </c>
      <c r="K477" s="1588"/>
      <c r="L477" s="262"/>
    </row>
    <row r="478" spans="1:12" ht="25.5" outlineLevel="1">
      <c r="A478" s="247" t="s">
        <v>13927</v>
      </c>
      <c r="B478" s="386">
        <v>89554</v>
      </c>
      <c r="C478" s="386" t="s">
        <v>14476</v>
      </c>
      <c r="D478" s="1314" t="str">
        <f>IFERROR(VLOOKUP($B478,'24.08_ND'!$A$4833:$D$12369,2,0),IFERROR(VLOOKUP($B478,'03-CP'!$C$5:$H$4646,2,0),""))</f>
        <v>LUVA SIMPLES, PVC, SERIE R, ÁGUA PLUVIAL, DN 100 MM, JUNTA ELÁSTICA, FORNECIDO E INSTALADO EM RAMAL DE ENCAMINHAMENTO. AF_06/2022</v>
      </c>
      <c r="E478" s="1315" t="str">
        <f>IFERROR(VLOOKUP($B478,'24.08_ND'!$A:$D,3,0),IFERROR(VLOOKUP($B478,'03-CP'!$C$5:$H$4646,3,0),""))</f>
        <v>UN</v>
      </c>
      <c r="F478" s="389">
        <v>64</v>
      </c>
      <c r="G478" s="1244"/>
      <c r="H478" s="1244"/>
      <c r="I478" s="1409"/>
      <c r="J478" s="1644" t="s">
        <v>16316</v>
      </c>
      <c r="K478" s="1588"/>
      <c r="L478" s="262"/>
    </row>
    <row r="479" spans="1:12" ht="38.25" outlineLevel="1">
      <c r="A479" s="247" t="s">
        <v>13928</v>
      </c>
      <c r="B479" s="386">
        <v>89529</v>
      </c>
      <c r="C479" s="386" t="s">
        <v>14476</v>
      </c>
      <c r="D479" s="1314" t="str">
        <f>IFERROR(VLOOKUP($B479,'24.08_ND'!$A$4833:$D$12369,2,0),IFERROR(VLOOKUP($B479,'03-CP'!$C$5:$H$4646,2,0),""))</f>
        <v>JOELHO 90 GRAUS, PVC, SERIE R, ÁGUA PLUVIAL, DN 100 MM, JUNTA ELÁSTICA, FORNECIDO E INSTALADO EM RAMAL DE ENCAMINHAMENTO. AF_06/2022</v>
      </c>
      <c r="E479" s="1315" t="str">
        <f>IFERROR(VLOOKUP($B479,'24.08_ND'!$A:$D,3,0),IFERROR(VLOOKUP($B479,'03-CP'!$C$5:$H$4646,3,0),""))</f>
        <v>UN</v>
      </c>
      <c r="F479" s="389">
        <v>19</v>
      </c>
      <c r="G479" s="1244"/>
      <c r="H479" s="1244"/>
      <c r="I479" s="1409"/>
      <c r="J479" s="1644" t="s">
        <v>16316</v>
      </c>
      <c r="K479" s="1588"/>
      <c r="L479" s="262"/>
    </row>
    <row r="480" spans="1:12" ht="38.25" outlineLevel="1">
      <c r="A480" s="247" t="s">
        <v>13929</v>
      </c>
      <c r="B480" s="386">
        <v>89690</v>
      </c>
      <c r="C480" s="386" t="s">
        <v>14476</v>
      </c>
      <c r="D480" s="1314" t="str">
        <f>IFERROR(VLOOKUP($B480,'24.08_ND'!$A$4833:$D$12369,2,0),IFERROR(VLOOKUP($B480,'03-CP'!$C$5:$H$4646,2,0),""))</f>
        <v>JUNÇÃO SIMPLES, PVC, SERIE R, ÁGUA PLUVIAL, DN 100 X 100 MM, JUNTA ELÁSTICA, FORNECIDO E INSTALADO EM CONDUTORES VERTICAIS DE ÁGUAS PLUVIAIS. AF_06/2022</v>
      </c>
      <c r="E480" s="1315" t="str">
        <f>IFERROR(VLOOKUP($B480,'24.08_ND'!$A:$D,3,0),IFERROR(VLOOKUP($B480,'03-CP'!$C$5:$H$4646,3,0),""))</f>
        <v>UN</v>
      </c>
      <c r="F480" s="389">
        <v>20</v>
      </c>
      <c r="G480" s="1244"/>
      <c r="H480" s="1244"/>
      <c r="I480" s="1409"/>
      <c r="J480" s="1644" t="s">
        <v>16316</v>
      </c>
      <c r="K480" s="1588"/>
      <c r="L480" s="262"/>
    </row>
    <row r="481" spans="1:12" ht="25.5" outlineLevel="1">
      <c r="A481" s="247" t="s">
        <v>13930</v>
      </c>
      <c r="B481" s="386">
        <v>89512</v>
      </c>
      <c r="C481" s="386" t="s">
        <v>14476</v>
      </c>
      <c r="D481" s="1314" t="str">
        <f>IFERROR(VLOOKUP($B481,'24.08_ND'!$A$4833:$D$12369,2,0),IFERROR(VLOOKUP($B481,'03-CP'!$C$5:$H$4646,2,0),""))</f>
        <v>TUBO PVC, SÉRIE R, ÁGUA PLUVIAL, DN 100 MM, FORNECIDO E INSTALADO EM RAMAL DE ENCAMINHAMENTO. AF_06/2022</v>
      </c>
      <c r="E481" s="1315" t="str">
        <f>IFERROR(VLOOKUP($B481,'24.08_ND'!$A:$D,3,0),IFERROR(VLOOKUP($B481,'03-CP'!$C$5:$H$4646,3,0),""))</f>
        <v>M</v>
      </c>
      <c r="F481" s="389">
        <v>140</v>
      </c>
      <c r="G481" s="1244"/>
      <c r="H481" s="1244"/>
      <c r="I481" s="1409"/>
      <c r="J481" s="1644" t="s">
        <v>16316</v>
      </c>
      <c r="K481" s="1588"/>
      <c r="L481" s="262"/>
    </row>
    <row r="482" spans="1:12" ht="25.5" outlineLevel="1">
      <c r="A482" s="247" t="s">
        <v>13931</v>
      </c>
      <c r="B482" s="386" t="s">
        <v>15434</v>
      </c>
      <c r="C482" s="386" t="s">
        <v>14472</v>
      </c>
      <c r="D482" s="1314" t="str">
        <f>IFERROR(VLOOKUP($B482,'24.08_ND'!$A$4833:$D$12369,2,0),IFERROR(VLOOKUP($B482,'03-CP'!$C$5:$H$4646,2,0),""))</f>
        <v>FORNECIMENTO E ASSENTAMENTO TUBO CORRUGADO PARA DRENAGEM-DN 300 MM (INTERNO)</v>
      </c>
      <c r="E482" s="1315" t="str">
        <f>IFERROR(VLOOKUP($B482,'24.08_ND'!$A:$D,3,0),IFERROR(VLOOKUP($B482,'03-CP'!$C$5:$H$4646,3,0),""))</f>
        <v>M</v>
      </c>
      <c r="F482" s="389">
        <v>15</v>
      </c>
      <c r="G482" s="1244"/>
      <c r="H482" s="1244"/>
      <c r="I482" s="1409"/>
      <c r="J482" s="1644" t="s">
        <v>16316</v>
      </c>
      <c r="K482" s="1588"/>
      <c r="L482" s="262"/>
    </row>
    <row r="483" spans="1:12" ht="25.5" outlineLevel="1">
      <c r="A483" s="247" t="s">
        <v>13932</v>
      </c>
      <c r="B483" s="386" t="s">
        <v>15417</v>
      </c>
      <c r="C483" s="386" t="s">
        <v>14472</v>
      </c>
      <c r="D483" s="1314" t="str">
        <f>IFERROR(VLOOKUP($B483,'24.08_ND'!$A$4833:$D$12369,2,0),IFERROR(VLOOKUP($B483,'03-CP'!$C$5:$H$4646,2,0),""))</f>
        <v>TAMPA CEGA INOX QUADRADA DN 150 MM, INCLUSO PORTA GRELHA PARA ENCAIXE - FORNECIMENTO E INSTALAÇÃO</v>
      </c>
      <c r="E483" s="1315" t="str">
        <f>IFERROR(VLOOKUP($B483,'24.08_ND'!$A:$D,3,0),IFERROR(VLOOKUP($B483,'03-CP'!$C$5:$H$4646,3,0),""))</f>
        <v>UN</v>
      </c>
      <c r="F483" s="389">
        <v>16</v>
      </c>
      <c r="G483" s="1244"/>
      <c r="H483" s="1244"/>
      <c r="I483" s="1409"/>
      <c r="J483" s="1644" t="s">
        <v>16316</v>
      </c>
      <c r="K483" s="1588"/>
      <c r="L483" s="262"/>
    </row>
    <row r="484" spans="1:12" ht="12.75" outlineLevel="1">
      <c r="A484" s="247" t="s">
        <v>13933</v>
      </c>
      <c r="B484" s="386" t="s">
        <v>15408</v>
      </c>
      <c r="C484" s="386" t="s">
        <v>14472</v>
      </c>
      <c r="D484" s="1314" t="str">
        <f>IFERROR(VLOOKUP($B484,'24.08_ND'!$A$4833:$D$12369,2,0),IFERROR(VLOOKUP($B484,'03-CP'!$C$5:$H$4646,2,0),""))</f>
        <v>RALO HEMISFERICO 100MM PVC (RALO ABACAXI)</v>
      </c>
      <c r="E484" s="1315" t="str">
        <f>IFERROR(VLOOKUP($B484,'24.08_ND'!$A:$D,3,0),IFERROR(VLOOKUP($B484,'03-CP'!$C$5:$H$4646,3,0),""))</f>
        <v>UN</v>
      </c>
      <c r="F484" s="389">
        <v>14</v>
      </c>
      <c r="G484" s="1244"/>
      <c r="H484" s="1244"/>
      <c r="I484" s="1409"/>
      <c r="J484" s="1644" t="s">
        <v>16316</v>
      </c>
      <c r="K484" s="1588"/>
      <c r="L484" s="262"/>
    </row>
    <row r="485" spans="1:12" ht="51" outlineLevel="1">
      <c r="A485" s="247" t="s">
        <v>13934</v>
      </c>
      <c r="B485" s="386">
        <v>91175</v>
      </c>
      <c r="C485" s="386" t="s">
        <v>14476</v>
      </c>
      <c r="D485" s="1314" t="str">
        <f>IFERROR(VLOOKUP($B485,'24.08_ND'!$A$4833:$D$12369,2,0),IFERROR(VLOOKUP($B485,'03-CP'!$C$5:$H$4646,2,0),""))</f>
        <v>FIXAÇÃO DE TUBOS VERTICAIS DE PVC ÁGUA, PVC ESGOTO, PVC ÁGUA PLUVIAL, CPVC, PPR, COBRE OU AÇO, DIÂMETROS MAIORES QUE 75 MM E MENORES OU IGUAIS A 100 MM, COM ABRAÇADEIRA METÁLICA RÍGIDA TIPO U PERFIL 4", FIXADA EM PERFILADO EM PAREDE. AF_09/2023_PS</v>
      </c>
      <c r="E485" s="1315" t="str">
        <f>IFERROR(VLOOKUP($B485,'24.08_ND'!$A:$D,3,0),IFERROR(VLOOKUP($B485,'03-CP'!$C$5:$H$4646,3,0),""))</f>
        <v>M</v>
      </c>
      <c r="F485" s="389">
        <v>30</v>
      </c>
      <c r="G485" s="1244"/>
      <c r="H485" s="1244"/>
      <c r="I485" s="1409"/>
      <c r="J485" s="1644" t="s">
        <v>16316</v>
      </c>
      <c r="K485" s="1588"/>
      <c r="L485" s="262"/>
    </row>
    <row r="486" spans="1:12" ht="12.75">
      <c r="A486" s="1298" t="s">
        <v>16419</v>
      </c>
      <c r="B486" s="1663"/>
      <c r="C486" s="1663"/>
      <c r="D486" s="1664"/>
      <c r="E486" s="1373"/>
      <c r="F486" s="1665"/>
      <c r="G486" s="1666"/>
      <c r="H486" s="1667"/>
      <c r="I486" s="1668"/>
      <c r="J486" s="262"/>
      <c r="K486" s="1588" t="s">
        <v>16542</v>
      </c>
      <c r="L486" s="262"/>
    </row>
    <row r="487" spans="1:12" ht="12.75">
      <c r="A487" s="238" t="s">
        <v>12645</v>
      </c>
      <c r="B487" s="1304"/>
      <c r="C487" s="1304"/>
      <c r="D487" s="1305" t="s">
        <v>12510</v>
      </c>
      <c r="E487" s="1306"/>
      <c r="F487" s="1307"/>
      <c r="G487" s="1307"/>
      <c r="H487" s="1307"/>
      <c r="I487" s="1496"/>
      <c r="J487" s="1727" t="s">
        <v>16543</v>
      </c>
      <c r="K487" s="1588"/>
      <c r="L487" s="262"/>
    </row>
    <row r="488" spans="1:12" ht="12.75">
      <c r="A488" s="250" t="s">
        <v>13935</v>
      </c>
      <c r="B488" s="1309"/>
      <c r="C488" s="1497"/>
      <c r="D488" s="237" t="s">
        <v>16333</v>
      </c>
      <c r="E488" s="234"/>
      <c r="F488" s="1311"/>
      <c r="G488" s="236"/>
      <c r="H488" s="236"/>
      <c r="I488" s="1499"/>
      <c r="J488" s="262"/>
      <c r="K488" s="504"/>
      <c r="L488" s="262"/>
    </row>
    <row r="489" spans="1:12" ht="38.25" outlineLevel="1">
      <c r="A489" s="247" t="s">
        <v>13936</v>
      </c>
      <c r="B489" s="386">
        <v>97667</v>
      </c>
      <c r="C489" s="386" t="s">
        <v>14476</v>
      </c>
      <c r="D489" s="1314" t="str">
        <f>IFERROR(VLOOKUP($B489,'24.08_ND'!$A$4833:$D$12369,2,0),IFERROR(VLOOKUP($B489,'03-CP'!$C$5:$H$4646,2,0),""))</f>
        <v>ELETRODUTO FLEXÍVEL CORRUGADO, PEAD, DN 50 (1 1/2"), PARA REDE ENTERRADA DE DISTRIBUIÇÃO DE ENERGIA ELÉTRICA - FORNECIMENTO E INSTALAÇÃO. AF_12/2021</v>
      </c>
      <c r="E489" s="1315" t="str">
        <f>IFERROR(VLOOKUP($B489,'24.08_ND'!$A:$D,3,0),IFERROR(VLOOKUP($B489,'03-CP'!$C$5:$H$4646,3,0),""))</f>
        <v>M</v>
      </c>
      <c r="F489" s="389">
        <v>80</v>
      </c>
      <c r="G489" s="1244"/>
      <c r="H489" s="1244"/>
      <c r="I489" s="1409"/>
      <c r="J489" s="262"/>
      <c r="K489" s="504"/>
      <c r="L489" s="262"/>
    </row>
    <row r="490" spans="1:12" ht="38.25" outlineLevel="1">
      <c r="A490" s="247" t="s">
        <v>13937</v>
      </c>
      <c r="B490" s="386">
        <v>91837</v>
      </c>
      <c r="C490" s="386" t="s">
        <v>14476</v>
      </c>
      <c r="D490" s="1314" t="str">
        <f>IFERROR(VLOOKUP($B490,'24.08_ND'!$A$4833:$D$12369,2,0),IFERROR(VLOOKUP($B490,'03-CP'!$C$5:$H$4646,2,0),""))</f>
        <v>ELETRODUTO FLEXÍVEL CORRUGADO REFORÇADO, PVC, DN 32 MM (1"), PARA CIRCUITOS TERMINAIS, INSTALADO EM FORRO - FORNECIMENTO E INSTALAÇÃO. AF_03/2023_PA</v>
      </c>
      <c r="E490" s="1315" t="str">
        <f>IFERROR(VLOOKUP($B490,'24.08_ND'!$A:$D,3,0),IFERROR(VLOOKUP($B490,'03-CP'!$C$5:$H$4646,3,0),""))</f>
        <v>M</v>
      </c>
      <c r="F490" s="389">
        <v>30</v>
      </c>
      <c r="G490" s="1244"/>
      <c r="H490" s="1244"/>
      <c r="I490" s="1409"/>
      <c r="J490" s="262"/>
      <c r="K490" s="504"/>
      <c r="L490" s="262"/>
    </row>
    <row r="491" spans="1:12" ht="38.25" outlineLevel="1">
      <c r="A491" s="247" t="s">
        <v>13938</v>
      </c>
      <c r="B491" s="386">
        <v>91835</v>
      </c>
      <c r="C491" s="386" t="s">
        <v>14476</v>
      </c>
      <c r="D491" s="1314" t="str">
        <f>IFERROR(VLOOKUP($B491,'24.08_ND'!$A$4833:$D$12369,2,0),IFERROR(VLOOKUP($B491,'03-CP'!$C$5:$H$4646,2,0),""))</f>
        <v>ELETRODUTO FLEXÍVEL CORRUGADO REFORÇADO, PVC, DN 25 MM (3/4"), PARA CIRCUITOS TERMINAIS, INSTALADO EM FORRO - FORNECIMENTO E INSTALAÇÃO. AF_03/2023_PA</v>
      </c>
      <c r="E491" s="1315" t="str">
        <f>IFERROR(VLOOKUP($B491,'24.08_ND'!$A:$D,3,0),IFERROR(VLOOKUP($B491,'03-CP'!$C$5:$H$4646,3,0),""))</f>
        <v>M</v>
      </c>
      <c r="F491" s="389">
        <v>185</v>
      </c>
      <c r="G491" s="1244"/>
      <c r="H491" s="1244"/>
      <c r="I491" s="1409"/>
      <c r="J491" s="262"/>
      <c r="K491" s="504"/>
      <c r="L491" s="262"/>
    </row>
    <row r="492" spans="1:12" ht="25.5" outlineLevel="1">
      <c r="A492" s="247" t="s">
        <v>13939</v>
      </c>
      <c r="B492" s="386">
        <v>93358</v>
      </c>
      <c r="C492" s="386" t="s">
        <v>14476</v>
      </c>
      <c r="D492" s="1314" t="str">
        <f>IFERROR(VLOOKUP($B492,'24.08_ND'!$A$4833:$D$12369,2,0),IFERROR(VLOOKUP($B492,'03-CP'!$C$5:$H$4646,2,0),""))</f>
        <v>ESCAVAÇÃO MANUAL DE VALA COM PROFUNDIDADE MENOR OU IGUAL A 1,30 M. AF_02/2021</v>
      </c>
      <c r="E492" s="1315" t="str">
        <f>IFERROR(VLOOKUP($B492,'24.08_ND'!$A:$D,3,0),IFERROR(VLOOKUP($B492,'03-CP'!$C$5:$H$4646,3,0),""))</f>
        <v>M3</v>
      </c>
      <c r="F492" s="389">
        <v>20</v>
      </c>
      <c r="G492" s="1244"/>
      <c r="H492" s="1244"/>
      <c r="I492" s="1409"/>
      <c r="J492" s="262"/>
      <c r="K492" s="504"/>
      <c r="L492" s="262"/>
    </row>
    <row r="493" spans="1:12" ht="12.75" outlineLevel="1">
      <c r="A493" s="247" t="s">
        <v>13940</v>
      </c>
      <c r="B493" s="386">
        <v>104737</v>
      </c>
      <c r="C493" s="386" t="s">
        <v>14476</v>
      </c>
      <c r="D493" s="1314" t="str">
        <f>IFERROR(VLOOKUP($B493,'24.08_ND'!$A$4833:$D$12369,2,0),IFERROR(VLOOKUP($B493,'03-CP'!$C$5:$H$4646,2,0),""))</f>
        <v>REATERRO MANUAL DE VALAS, COM PLACA VIBRATÓRIA. AF_08/2023</v>
      </c>
      <c r="E493" s="1315" t="str">
        <f>IFERROR(VLOOKUP($B493,'24.08_ND'!$A:$D,3,0),IFERROR(VLOOKUP($B493,'03-CP'!$C$5:$H$4646,3,0),""))</f>
        <v>M3</v>
      </c>
      <c r="F493" s="389">
        <f>F492*1.1</f>
        <v>22</v>
      </c>
      <c r="G493" s="1244"/>
      <c r="H493" s="1244"/>
      <c r="I493" s="1409"/>
      <c r="J493" s="262"/>
      <c r="K493" s="504"/>
      <c r="L493" s="262"/>
    </row>
    <row r="494" spans="1:12" ht="12.75">
      <c r="A494" s="250" t="s">
        <v>13941</v>
      </c>
      <c r="B494" s="1309"/>
      <c r="C494" s="1497"/>
      <c r="D494" s="237" t="s">
        <v>16335</v>
      </c>
      <c r="E494" s="234"/>
      <c r="F494" s="1311"/>
      <c r="G494" s="236"/>
      <c r="H494" s="236"/>
      <c r="I494" s="1499"/>
      <c r="J494" s="262"/>
      <c r="K494" s="504"/>
      <c r="L494" s="262"/>
    </row>
    <row r="495" spans="1:12" ht="25.5" outlineLevel="1">
      <c r="A495" s="247" t="s">
        <v>13942</v>
      </c>
      <c r="B495" s="386">
        <v>91941</v>
      </c>
      <c r="C495" s="386" t="s">
        <v>14476</v>
      </c>
      <c r="D495" s="1314" t="str">
        <f>IFERROR(VLOOKUP($B495,'24.08_ND'!$A$4833:$D$12369,2,0),IFERROR(VLOOKUP($B495,'03-CP'!$C$5:$H$4646,2,0),""))</f>
        <v>CAIXA RETANGULAR 4" X 2" BAIXA (0,30 M DO PISO), PVC, INSTALADA EM PAREDE - FORNECIMENTO E INSTALAÇÃO. AF_03/2023</v>
      </c>
      <c r="E495" s="1315" t="str">
        <f>IFERROR(VLOOKUP($B495,'24.08_ND'!$A:$D,3,0),IFERROR(VLOOKUP($B495,'03-CP'!$C$5:$H$4646,3,0),""))</f>
        <v>UN</v>
      </c>
      <c r="F495" s="389">
        <v>31</v>
      </c>
      <c r="G495" s="1244"/>
      <c r="H495" s="1244"/>
      <c r="I495" s="1409"/>
      <c r="J495" s="262"/>
      <c r="K495" s="504"/>
      <c r="L495" s="262"/>
    </row>
    <row r="496" spans="1:12" ht="25.5" outlineLevel="1">
      <c r="A496" s="247" t="s">
        <v>13943</v>
      </c>
      <c r="B496" s="386">
        <v>91939</v>
      </c>
      <c r="C496" s="386" t="s">
        <v>14476</v>
      </c>
      <c r="D496" s="1314" t="str">
        <f>IFERROR(VLOOKUP($B496,'24.08_ND'!$A$4833:$D$12369,2,0),IFERROR(VLOOKUP($B496,'03-CP'!$C$5:$H$4646,2,0),""))</f>
        <v>CAIXA RETANGULAR 4" X 2" ALTA (2,00 M DO PISO), PVC, INSTALADA EM PAREDE - FORNECIMENTO E INSTALAÇÃO. AF_03/2023</v>
      </c>
      <c r="E496" s="1315" t="str">
        <f>IFERROR(VLOOKUP($B496,'24.08_ND'!$A:$D,3,0),IFERROR(VLOOKUP($B496,'03-CP'!$C$5:$H$4646,3,0),""))</f>
        <v>UN</v>
      </c>
      <c r="F496" s="389">
        <v>18</v>
      </c>
      <c r="G496" s="1244"/>
      <c r="H496" s="1244"/>
      <c r="I496" s="1409"/>
      <c r="J496" s="262"/>
      <c r="K496" s="504"/>
      <c r="L496" s="262"/>
    </row>
    <row r="497" spans="1:12" ht="25.5" outlineLevel="1">
      <c r="A497" s="247" t="s">
        <v>13944</v>
      </c>
      <c r="B497" s="386">
        <v>91940</v>
      </c>
      <c r="C497" s="386" t="s">
        <v>14476</v>
      </c>
      <c r="D497" s="1314" t="str">
        <f>IFERROR(VLOOKUP($B497,'24.08_ND'!$A$4833:$D$12369,2,0),IFERROR(VLOOKUP($B497,'03-CP'!$C$5:$H$4646,2,0),""))</f>
        <v>CAIXA RETANGULAR 4" X 2" MÉDIA (1,30 M DO PISO), PVC, INSTALADA EM PAREDE - FORNECIMENTO E INSTALAÇÃO. AF_03/2023</v>
      </c>
      <c r="E497" s="1315" t="str">
        <f>IFERROR(VLOOKUP($B497,'24.08_ND'!$A:$D,3,0),IFERROR(VLOOKUP($B497,'03-CP'!$C$5:$H$4646,3,0),""))</f>
        <v>UN</v>
      </c>
      <c r="F497" s="389">
        <v>6</v>
      </c>
      <c r="G497" s="1244"/>
      <c r="H497" s="1244"/>
      <c r="I497" s="1409"/>
      <c r="J497" s="262"/>
      <c r="K497" s="504"/>
      <c r="L497" s="262"/>
    </row>
    <row r="498" spans="1:12" ht="25.5" outlineLevel="1">
      <c r="A498" s="247" t="s">
        <v>13945</v>
      </c>
      <c r="B498" s="386">
        <v>91936</v>
      </c>
      <c r="C498" s="386" t="s">
        <v>14476</v>
      </c>
      <c r="D498" s="1314" t="str">
        <f>IFERROR(VLOOKUP($B498,'24.08_ND'!$A$4833:$D$12369,2,0),IFERROR(VLOOKUP($B498,'03-CP'!$C$5:$H$4646,2,0),""))</f>
        <v>CAIXA OCTOGONAL 4" X 4", PVC, INSTALADA EM LAJE - FORNECIMENTO E INSTALAÇÃO. AF_03/2023</v>
      </c>
      <c r="E498" s="1315" t="str">
        <f>IFERROR(VLOOKUP($B498,'24.08_ND'!$A:$D,3,0),IFERROR(VLOOKUP($B498,'03-CP'!$C$5:$H$4646,3,0),""))</f>
        <v>UN</v>
      </c>
      <c r="F498" s="389">
        <v>62</v>
      </c>
      <c r="G498" s="1244"/>
      <c r="H498" s="1244"/>
      <c r="I498" s="1409"/>
      <c r="J498" s="262"/>
      <c r="K498" s="504"/>
      <c r="L498" s="262"/>
    </row>
    <row r="499" spans="1:12" ht="25.5" outlineLevel="1">
      <c r="A499" s="247" t="s">
        <v>13946</v>
      </c>
      <c r="B499" s="386">
        <v>97882</v>
      </c>
      <c r="C499" s="386" t="s">
        <v>14476</v>
      </c>
      <c r="D499" s="1314" t="str">
        <f>IFERROR(VLOOKUP($B499,'24.08_ND'!$A$4833:$D$12369,2,0),IFERROR(VLOOKUP($B499,'03-CP'!$C$5:$H$4646,2,0),""))</f>
        <v>CAIXA ENTERRADA ELÉTRICA RETANGULAR, EM CONCRETO PRÉ-MOLDADO, FUNDO COM BRITA, DIMENSÕES INTERNAS: 0,4X0,4X0,4 M. AF_12/2020</v>
      </c>
      <c r="E499" s="1315" t="str">
        <f>IFERROR(VLOOKUP($B499,'24.08_ND'!$A:$D,3,0),IFERROR(VLOOKUP($B499,'03-CP'!$C$5:$H$4646,3,0),""))</f>
        <v>UN</v>
      </c>
      <c r="F499" s="389">
        <v>1</v>
      </c>
      <c r="G499" s="1244"/>
      <c r="H499" s="1244"/>
      <c r="I499" s="1409"/>
      <c r="J499" s="262"/>
      <c r="K499" s="504"/>
      <c r="L499" s="262"/>
    </row>
    <row r="500" spans="1:12" ht="12.75">
      <c r="A500" s="250" t="s">
        <v>13947</v>
      </c>
      <c r="B500" s="1309"/>
      <c r="C500" s="1497"/>
      <c r="D500" s="237" t="s">
        <v>16336</v>
      </c>
      <c r="E500" s="234"/>
      <c r="F500" s="1311"/>
      <c r="G500" s="236"/>
      <c r="H500" s="236"/>
      <c r="I500" s="1499"/>
      <c r="J500" s="262"/>
      <c r="K500" s="1728" t="s">
        <v>16333</v>
      </c>
      <c r="L500" s="262"/>
    </row>
    <row r="501" spans="1:12" ht="25.5" outlineLevel="1">
      <c r="A501" s="247" t="s">
        <v>13948</v>
      </c>
      <c r="B501" s="386">
        <v>91992</v>
      </c>
      <c r="C501" s="386" t="s">
        <v>14476</v>
      </c>
      <c r="D501" s="1314" t="str">
        <f>IFERROR(VLOOKUP($B501,'24.08_ND'!$A$4833:$D$12369,2,0),IFERROR(VLOOKUP($B501,'03-CP'!$C$5:$H$4646,2,0),""))</f>
        <v>TOMADA ALTA DE EMBUTIR (1 MÓDULO), 2P+T 10 A, INCLUINDO SUPORTE E PLACA - FORNECIMENTO E INSTALAÇÃO. AF_03/2023</v>
      </c>
      <c r="E501" s="1315" t="str">
        <f>IFERROR(VLOOKUP($B501,'24.08_ND'!$A:$D,3,0),IFERROR(VLOOKUP($B501,'03-CP'!$C$5:$H$4646,3,0),""))</f>
        <v>UN</v>
      </c>
      <c r="F501" s="389">
        <v>5</v>
      </c>
      <c r="G501" s="1244"/>
      <c r="H501" s="1244"/>
      <c r="I501" s="1409"/>
      <c r="J501" s="262"/>
      <c r="K501" s="1729" t="s">
        <v>16334</v>
      </c>
      <c r="L501" s="262"/>
    </row>
    <row r="502" spans="1:12" ht="25.5" outlineLevel="1">
      <c r="A502" s="247" t="s">
        <v>13949</v>
      </c>
      <c r="B502" s="386">
        <v>91994</v>
      </c>
      <c r="C502" s="386" t="s">
        <v>14476</v>
      </c>
      <c r="D502" s="1314" t="str">
        <f>IFERROR(VLOOKUP($B502,'24.08_ND'!$A$4833:$D$12369,2,0),IFERROR(VLOOKUP($B502,'03-CP'!$C$5:$H$4646,2,0),""))</f>
        <v>TOMADA MÉDIA DE EMBUTIR (1 MÓDULO), 2P+T 10 A, SEM SUPORTE E SEM PLACA - FORNECIMENTO E INSTALAÇÃO. AF_03/2023</v>
      </c>
      <c r="E502" s="1315" t="str">
        <f>IFERROR(VLOOKUP($B502,'24.08_ND'!$A:$D,3,0),IFERROR(VLOOKUP($B502,'03-CP'!$C$5:$H$4646,3,0),""))</f>
        <v>UN</v>
      </c>
      <c r="F502" s="389">
        <v>5</v>
      </c>
      <c r="G502" s="1244"/>
      <c r="H502" s="1244"/>
      <c r="I502" s="1409"/>
      <c r="J502" s="262"/>
      <c r="K502" s="1729" t="s">
        <v>16335</v>
      </c>
      <c r="L502" s="262"/>
    </row>
    <row r="503" spans="1:12" ht="25.5" outlineLevel="1">
      <c r="A503" s="247" t="s">
        <v>13950</v>
      </c>
      <c r="B503" s="386">
        <v>92000</v>
      </c>
      <c r="C503" s="386" t="s">
        <v>14476</v>
      </c>
      <c r="D503" s="1314" t="str">
        <f>IFERROR(VLOOKUP($B503,'24.08_ND'!$A$4833:$D$12369,2,0),IFERROR(VLOOKUP($B503,'03-CP'!$C$5:$H$4646,2,0),""))</f>
        <v>TOMADA BAIXA DE EMBUTIR (1 MÓDULO), 2P+T 10 A, INCLUINDO SUPORTE E PLACA - FORNECIMENTO E INSTALAÇÃO. AF_03/2023</v>
      </c>
      <c r="E503" s="1315" t="str">
        <f>IFERROR(VLOOKUP($B503,'24.08_ND'!$A:$D,3,0),IFERROR(VLOOKUP($B503,'03-CP'!$C$5:$H$4646,3,0),""))</f>
        <v>UN</v>
      </c>
      <c r="F503" s="389">
        <v>21</v>
      </c>
      <c r="G503" s="1244"/>
      <c r="H503" s="1244"/>
      <c r="I503" s="1409"/>
      <c r="J503" s="262"/>
      <c r="K503" s="1729" t="s">
        <v>16336</v>
      </c>
      <c r="L503" s="262"/>
    </row>
    <row r="504" spans="1:12" ht="12.75" outlineLevel="1">
      <c r="A504" s="247" t="s">
        <v>13951</v>
      </c>
      <c r="B504" s="386" t="s">
        <v>15145</v>
      </c>
      <c r="C504" s="386" t="s">
        <v>14472</v>
      </c>
      <c r="D504" s="1314" t="str">
        <f>IFERROR(VLOOKUP($B504,'24.08_ND'!$A$4833:$D$12369,2,0),IFERROR(VLOOKUP($B504,'03-CP'!$C$5:$H$4646,2,0),""))</f>
        <v>SUPORTE E PLACA CEGA 4X2'' - FORNECIMENTO E INSTALAÇÃO</v>
      </c>
      <c r="E504" s="1315" t="str">
        <f>IFERROR(VLOOKUP($B504,'24.08_ND'!$A:$D,3,0),IFERROR(VLOOKUP($B504,'03-CP'!$C$5:$H$4646,3,0),""))</f>
        <v>UN</v>
      </c>
      <c r="F504" s="389">
        <v>2</v>
      </c>
      <c r="G504" s="1244"/>
      <c r="H504" s="1244"/>
      <c r="I504" s="1409"/>
      <c r="J504" s="262"/>
      <c r="K504" s="1729" t="s">
        <v>16337</v>
      </c>
      <c r="L504" s="262"/>
    </row>
    <row r="505" spans="1:12" ht="25.5" outlineLevel="1">
      <c r="A505" s="247" t="s">
        <v>13952</v>
      </c>
      <c r="B505" s="386">
        <v>91953</v>
      </c>
      <c r="C505" s="386" t="s">
        <v>14476</v>
      </c>
      <c r="D505" s="1314" t="str">
        <f>IFERROR(VLOOKUP($B505,'24.08_ND'!$A$4833:$D$12369,2,0),IFERROR(VLOOKUP($B505,'03-CP'!$C$5:$H$4646,2,0),""))</f>
        <v>INTERRUPTOR SIMPLES (1 MÓDULO), 10A/250V, INCLUINDO SUPORTE E PLACA - FORNECIMENTO E INSTALAÇÃO. AF_03/2023</v>
      </c>
      <c r="E505" s="1315" t="str">
        <f>IFERROR(VLOOKUP($B505,'24.08_ND'!$A:$D,3,0),IFERROR(VLOOKUP($B505,'03-CP'!$C$5:$H$4646,3,0),""))</f>
        <v>UN</v>
      </c>
      <c r="F505" s="389">
        <v>1</v>
      </c>
      <c r="G505" s="1244"/>
      <c r="H505" s="1244"/>
      <c r="I505" s="1409"/>
      <c r="J505" s="262"/>
      <c r="K505" s="1729" t="s">
        <v>16338</v>
      </c>
      <c r="L505" s="262"/>
    </row>
    <row r="506" spans="1:12" ht="25.5" outlineLevel="1">
      <c r="A506" s="247" t="s">
        <v>13953</v>
      </c>
      <c r="B506" s="386">
        <v>97596</v>
      </c>
      <c r="C506" s="386" t="s">
        <v>14476</v>
      </c>
      <c r="D506" s="1314" t="str">
        <f>IFERROR(VLOOKUP($B506,'24.08_ND'!$A$4833:$D$12369,2,0),IFERROR(VLOOKUP($B506,'03-CP'!$C$5:$H$4646,2,0),""))</f>
        <v>SENSOR DE PRESENÇA SEM FOTOCÉLULA, FIXAÇÃO EM PAREDE - FORNECIMENTO E INSTALAÇÃO. AF_02/2020</v>
      </c>
      <c r="E506" s="1315" t="str">
        <f>IFERROR(VLOOKUP($B506,'24.08_ND'!$A:$D,3,0),IFERROR(VLOOKUP($B506,'03-CP'!$C$5:$H$4646,3,0),""))</f>
        <v>UN</v>
      </c>
      <c r="F506" s="389">
        <v>4</v>
      </c>
      <c r="G506" s="1244"/>
      <c r="H506" s="1244"/>
      <c r="I506" s="1409"/>
      <c r="J506" s="262"/>
      <c r="K506" s="1729" t="s">
        <v>16339</v>
      </c>
      <c r="L506" s="262"/>
    </row>
    <row r="507" spans="1:12" ht="38.25" outlineLevel="1">
      <c r="A507" s="247" t="s">
        <v>13954</v>
      </c>
      <c r="B507" s="386">
        <v>91985</v>
      </c>
      <c r="C507" s="386" t="s">
        <v>14476</v>
      </c>
      <c r="D507" s="1314" t="str">
        <f>IFERROR(VLOOKUP($B507,'24.08_ND'!$A$4833:$D$12369,2,0),IFERROR(VLOOKUP($B507,'03-CP'!$C$5:$H$4646,2,0),""))</f>
        <v>INTERRUPTOR PULSADOR CAMPAINHA (1 MÓDULO), 10A/250V, INCLUINDO SUPORTE E PLACA - FORNECIMENTO E INSTALAÇÃO. AF_03/2023</v>
      </c>
      <c r="E507" s="1315" t="str">
        <f>IFERROR(VLOOKUP($B507,'24.08_ND'!$A:$D,3,0),IFERROR(VLOOKUP($B507,'03-CP'!$C$5:$H$4646,3,0),""))</f>
        <v>UN</v>
      </c>
      <c r="F507" s="389">
        <v>2</v>
      </c>
      <c r="G507" s="1244"/>
      <c r="H507" s="1244"/>
      <c r="I507" s="1409"/>
      <c r="J507" s="262"/>
      <c r="K507" s="1730"/>
      <c r="L507" s="262"/>
    </row>
    <row r="508" spans="1:12" ht="25.5" outlineLevel="1">
      <c r="A508" s="247" t="s">
        <v>13955</v>
      </c>
      <c r="B508" s="386">
        <v>91987</v>
      </c>
      <c r="C508" s="386" t="s">
        <v>14476</v>
      </c>
      <c r="D508" s="1314" t="str">
        <f>IFERROR(VLOOKUP($B508,'24.08_ND'!$A$4833:$D$12369,2,0),IFERROR(VLOOKUP($B508,'03-CP'!$C$5:$H$4646,2,0),""))</f>
        <v>CAMPAINHA CIGARRA (1 MÓDULO), 10A/250V, INCLUINDO SUPORTE E PLACA - FORNECIMENTO E INSTALAÇÃO. AF_03/2023</v>
      </c>
      <c r="E508" s="1315" t="str">
        <f>IFERROR(VLOOKUP($B508,'24.08_ND'!$A:$D,3,0),IFERROR(VLOOKUP($B508,'03-CP'!$C$5:$H$4646,3,0),""))</f>
        <v>UN</v>
      </c>
      <c r="F508" s="389">
        <v>2</v>
      </c>
      <c r="G508" s="1244"/>
      <c r="H508" s="1244"/>
      <c r="I508" s="1409"/>
      <c r="J508" s="262"/>
      <c r="K508" s="1730"/>
      <c r="L508" s="262"/>
    </row>
    <row r="509" spans="1:12" ht="12.75">
      <c r="A509" s="250" t="s">
        <v>13956</v>
      </c>
      <c r="B509" s="1309"/>
      <c r="C509" s="1497"/>
      <c r="D509" s="1498" t="s">
        <v>16337</v>
      </c>
      <c r="E509" s="234"/>
      <c r="F509" s="1311"/>
      <c r="G509" s="236"/>
      <c r="H509" s="236"/>
      <c r="I509" s="1499"/>
      <c r="J509" s="262"/>
      <c r="K509" s="1730"/>
      <c r="L509" s="262"/>
    </row>
    <row r="510" spans="1:12" ht="25.5" outlineLevel="1">
      <c r="A510" s="247" t="s">
        <v>13957</v>
      </c>
      <c r="B510" s="386">
        <v>91926</v>
      </c>
      <c r="C510" s="386" t="s">
        <v>14476</v>
      </c>
      <c r="D510" s="1314" t="str">
        <f>IFERROR(VLOOKUP($B510,'24.08_ND'!$A$4833:$D$12369,2,0),IFERROR(VLOOKUP($B510,'03-CP'!$C$5:$H$4646,2,0),""))</f>
        <v>CABO DE COBRE FLEXÍVEL ISOLADO, 2,5 MM², ANTI-CHAMA 450/750 V, PARA CIRCUITOS TERMINAIS - FORNECIMENTO E INSTALAÇÃO. AF_03/2023</v>
      </c>
      <c r="E510" s="1315" t="str">
        <f>IFERROR(VLOOKUP($B510,'24.08_ND'!$A:$D,3,0),IFERROR(VLOOKUP($B510,'03-CP'!$C$5:$H$4646,3,0),""))</f>
        <v>M</v>
      </c>
      <c r="F510" s="389">
        <v>671</v>
      </c>
      <c r="G510" s="1244"/>
      <c r="H510" s="1244"/>
      <c r="I510" s="1409"/>
      <c r="J510" s="262"/>
      <c r="K510" s="1730"/>
      <c r="L510" s="262"/>
    </row>
    <row r="511" spans="1:12" ht="25.5" outlineLevel="1">
      <c r="A511" s="247" t="s">
        <v>13958</v>
      </c>
      <c r="B511" s="386">
        <v>91928</v>
      </c>
      <c r="C511" s="386" t="s">
        <v>14476</v>
      </c>
      <c r="D511" s="1314" t="str">
        <f>IFERROR(VLOOKUP($B511,'24.08_ND'!$A$4833:$D$12369,2,0),IFERROR(VLOOKUP($B511,'03-CP'!$C$5:$H$4646,2,0),""))</f>
        <v>CABO DE COBRE FLEXÍVEL ISOLADO, 4 MM², ANTI-CHAMA 450/750 V, PARA CIRCUITOS TERMINAIS - FORNECIMENTO E INSTALAÇÃO. AF_03/2023</v>
      </c>
      <c r="E511" s="1315" t="str">
        <f>IFERROR(VLOOKUP($B511,'24.08_ND'!$A:$D,3,0),IFERROR(VLOOKUP($B511,'03-CP'!$C$5:$H$4646,3,0),""))</f>
        <v>M</v>
      </c>
      <c r="F511" s="389">
        <v>295</v>
      </c>
      <c r="G511" s="1244"/>
      <c r="H511" s="1244"/>
      <c r="I511" s="1409"/>
      <c r="J511" s="262"/>
      <c r="K511" s="504"/>
      <c r="L511" s="262"/>
    </row>
    <row r="512" spans="1:12" ht="25.5" outlineLevel="1">
      <c r="A512" s="247" t="s">
        <v>13959</v>
      </c>
      <c r="B512" s="386">
        <v>91935</v>
      </c>
      <c r="C512" s="386" t="s">
        <v>14476</v>
      </c>
      <c r="D512" s="1314" t="str">
        <f>IFERROR(VLOOKUP($B512,'24.08_ND'!$A$4833:$D$12369,2,0),IFERROR(VLOOKUP($B512,'03-CP'!$C$5:$H$4646,2,0),""))</f>
        <v>CABO DE COBRE FLEXÍVEL ISOLADO, 16 MM², ANTI-CHAMA 0,6/1,0 KV, PARA CIRCUITOS TERMINAIS - FORNECIMENTO E INSTALAÇÃO. AF_03/2023</v>
      </c>
      <c r="E512" s="1315" t="str">
        <f>IFERROR(VLOOKUP($B512,'24.08_ND'!$A:$D,3,0),IFERROR(VLOOKUP($B512,'03-CP'!$C$5:$H$4646,3,0),""))</f>
        <v>M</v>
      </c>
      <c r="F512" s="389">
        <v>85</v>
      </c>
      <c r="G512" s="1244"/>
      <c r="H512" s="1244"/>
      <c r="I512" s="1409"/>
      <c r="J512" s="262"/>
      <c r="K512" s="504"/>
      <c r="L512" s="262"/>
    </row>
    <row r="513" spans="1:12" ht="38.25" outlineLevel="1">
      <c r="A513" s="247" t="s">
        <v>13960</v>
      </c>
      <c r="B513" s="386">
        <v>92986</v>
      </c>
      <c r="C513" s="386" t="s">
        <v>14476</v>
      </c>
      <c r="D513" s="1314" t="str">
        <f>IFERROR(VLOOKUP($B513,'24.08_ND'!$A$4833:$D$12369,2,0),IFERROR(VLOOKUP($B513,'03-CP'!$C$5:$H$4646,2,0),""))</f>
        <v>CABO DE COBRE FLEXÍVEL ISOLADO, 35 MM², ANTI-CHAMA 0,6/1,0 KV, PARA REDE ENTERRADA DE DISTRIBUIÇÃO DE ENERGIA ELÉTRICA - FORNECIMENTO E INSTALAÇÃO. AF_12/2021</v>
      </c>
      <c r="E513" s="1315" t="str">
        <f>IFERROR(VLOOKUP($B513,'24.08_ND'!$A:$D,3,0),IFERROR(VLOOKUP($B513,'03-CP'!$C$5:$H$4646,3,0),""))</f>
        <v>M</v>
      </c>
      <c r="F513" s="389">
        <v>170</v>
      </c>
      <c r="G513" s="1244"/>
      <c r="H513" s="1244"/>
      <c r="I513" s="1409"/>
      <c r="J513" s="262"/>
      <c r="K513" s="504"/>
      <c r="L513" s="262"/>
    </row>
    <row r="514" spans="1:12" ht="12.75">
      <c r="A514" s="250" t="s">
        <v>13961</v>
      </c>
      <c r="B514" s="1309"/>
      <c r="C514" s="1497"/>
      <c r="D514" s="1498" t="s">
        <v>16544</v>
      </c>
      <c r="E514" s="234"/>
      <c r="F514" s="1311"/>
      <c r="G514" s="236"/>
      <c r="H514" s="236"/>
      <c r="I514" s="1499"/>
      <c r="J514" s="262"/>
      <c r="K514" s="504"/>
      <c r="L514" s="262"/>
    </row>
    <row r="515" spans="1:12" ht="38.25" outlineLevel="1">
      <c r="A515" s="247" t="s">
        <v>13962</v>
      </c>
      <c r="B515" s="386" t="s">
        <v>15265</v>
      </c>
      <c r="C515" s="386" t="s">
        <v>14472</v>
      </c>
      <c r="D515" s="1314" t="str">
        <f>IFERROR(VLOOKUP($B515,'24.08_ND'!$A$4833:$D$12369,2,0),IFERROR(VLOOKUP($B515,'03-CP'!$C$5:$H$4646,2,0),""))</f>
        <v>QUADRO DE COMANDO CAIXA EM CHAPA METÁLICA GALVANIZADA 60X40X12CM COM  BLOCO DISTRIBUIÇÃO 2 BARRAMENTOS 2X11 125A  – FORNECIMENTO E INSTALAÇÃO</v>
      </c>
      <c r="E515" s="1315" t="str">
        <f>IFERROR(VLOOKUP($B515,'24.08_ND'!$A:$D,3,0),IFERROR(VLOOKUP($B515,'03-CP'!$C$5:$H$4646,3,0),""))</f>
        <v>UN</v>
      </c>
      <c r="F515" s="389">
        <v>1</v>
      </c>
      <c r="G515" s="1244"/>
      <c r="H515" s="1244"/>
      <c r="I515" s="1409"/>
      <c r="J515" s="262"/>
      <c r="K515" s="504"/>
      <c r="L515" s="262"/>
    </row>
    <row r="516" spans="1:12" ht="25.5" outlineLevel="1">
      <c r="A516" s="247" t="s">
        <v>13963</v>
      </c>
      <c r="B516" s="386" t="s">
        <v>15268</v>
      </c>
      <c r="C516" s="386" t="s">
        <v>14472</v>
      </c>
      <c r="D516" s="1314" t="str">
        <f>IFERROR(VLOOKUP($B516,'24.08_ND'!$A$4833:$D$12369,2,0),IFERROR(VLOOKUP($B516,'03-CP'!$C$5:$H$4646,2,0),""))</f>
        <v>CONTATOR TRIPOLAR, CORRENTE DE 25 A, TENSAO NOMINAL DE 500 V – FORNECIMENTO E INSTALAÇÃO</v>
      </c>
      <c r="E516" s="1315" t="str">
        <f>IFERROR(VLOOKUP($B516,'24.08_ND'!$A:$D,3,0),IFERROR(VLOOKUP($B516,'03-CP'!$C$5:$H$4646,3,0),""))</f>
        <v>UN</v>
      </c>
      <c r="F516" s="389">
        <v>1</v>
      </c>
      <c r="G516" s="1244"/>
      <c r="H516" s="1244"/>
      <c r="I516" s="1409"/>
      <c r="J516" s="262"/>
      <c r="K516" s="504"/>
      <c r="L516" s="262"/>
    </row>
    <row r="517" spans="1:12" ht="25.5" outlineLevel="1">
      <c r="A517" s="247" t="s">
        <v>13964</v>
      </c>
      <c r="B517" s="386">
        <v>93653</v>
      </c>
      <c r="C517" s="386" t="s">
        <v>14476</v>
      </c>
      <c r="D517" s="1314" t="str">
        <f>IFERROR(VLOOKUP($B517,'24.08_ND'!$A$4833:$D$12369,2,0),IFERROR(VLOOKUP($B517,'03-CP'!$C$5:$H$4646,2,0),""))</f>
        <v>DISJUNTOR MONOPOLAR TIPO DIN, CORRENTE NOMINAL DE 10A - FORNECIMENTO E INSTALAÇÃO. AF_10/2020</v>
      </c>
      <c r="E517" s="1315" t="str">
        <f>IFERROR(VLOOKUP($B517,'24.08_ND'!$A:$D,3,0),IFERROR(VLOOKUP($B517,'03-CP'!$C$5:$H$4646,3,0),""))</f>
        <v>UN</v>
      </c>
      <c r="F517" s="389">
        <v>5</v>
      </c>
      <c r="G517" s="1244"/>
      <c r="H517" s="1244"/>
      <c r="I517" s="1409"/>
      <c r="J517" s="262"/>
      <c r="K517" s="504"/>
      <c r="L517" s="262"/>
    </row>
    <row r="518" spans="1:12" ht="25.5" outlineLevel="1">
      <c r="A518" s="247" t="s">
        <v>13965</v>
      </c>
      <c r="B518" s="386">
        <v>93654</v>
      </c>
      <c r="C518" s="386" t="s">
        <v>14476</v>
      </c>
      <c r="D518" s="1314" t="str">
        <f>IFERROR(VLOOKUP($B518,'24.08_ND'!$A$4833:$D$12369,2,0),IFERROR(VLOOKUP($B518,'03-CP'!$C$5:$H$4646,2,0),""))</f>
        <v>DISJUNTOR MONOPOLAR TIPO DIN, CORRENTE NOMINAL DE 16A - FORNECIMENTO E INSTALAÇÃO. AF_10/2020</v>
      </c>
      <c r="E518" s="1315" t="str">
        <f>IFERROR(VLOOKUP($B518,'24.08_ND'!$A:$D,3,0),IFERROR(VLOOKUP($B518,'03-CP'!$C$5:$H$4646,3,0),""))</f>
        <v>UN</v>
      </c>
      <c r="F518" s="389">
        <v>4</v>
      </c>
      <c r="G518" s="1244"/>
      <c r="H518" s="1244"/>
      <c r="I518" s="1409"/>
      <c r="J518" s="262"/>
      <c r="K518" s="504"/>
      <c r="L518" s="262"/>
    </row>
    <row r="519" spans="1:12" ht="25.5" outlineLevel="1">
      <c r="A519" s="247" t="s">
        <v>13966</v>
      </c>
      <c r="B519" s="386" t="s">
        <v>15270</v>
      </c>
      <c r="C519" s="386" t="s">
        <v>14472</v>
      </c>
      <c r="D519" s="1314" t="str">
        <f>IFERROR(VLOOKUP($B519,'24.08_ND'!$A$4833:$D$12369,2,0),IFERROR(VLOOKUP($B519,'03-CP'!$C$5:$H$4646,2,0),""))</f>
        <v>DISJUNTOR TERMOMAGNETICO PARA TRILHO DIN (IEC), MONOPOLAR, 63 A  – FORNECIMENTO E INSTALAÇÃO</v>
      </c>
      <c r="E519" s="1315" t="str">
        <f>IFERROR(VLOOKUP($B519,'24.08_ND'!$A:$D,3,0),IFERROR(VLOOKUP($B519,'03-CP'!$C$5:$H$4646,3,0),""))</f>
        <v>UN</v>
      </c>
      <c r="F519" s="389">
        <v>2</v>
      </c>
      <c r="G519" s="1244"/>
      <c r="H519" s="1244"/>
      <c r="I519" s="1409"/>
      <c r="J519" s="262"/>
      <c r="K519" s="504"/>
      <c r="L519" s="262"/>
    </row>
    <row r="520" spans="1:12" ht="25.5" outlineLevel="1">
      <c r="A520" s="247" t="s">
        <v>13967</v>
      </c>
      <c r="B520" s="386" t="s">
        <v>15275</v>
      </c>
      <c r="C520" s="386" t="s">
        <v>14472</v>
      </c>
      <c r="D520" s="1314" t="str">
        <f>IFERROR(VLOOKUP($B520,'24.08_ND'!$A$4833:$D$12369,2,0),IFERROR(VLOOKUP($B520,'03-CP'!$C$5:$H$4646,2,0),""))</f>
        <v>PROGRAMADOR HORÁRIO ALIMENTAÇÃO DE 100ª 240VAC – FORNECIMENTO E INSTALAÇÃO</v>
      </c>
      <c r="E520" s="1315" t="str">
        <f>IFERROR(VLOOKUP($B520,'24.08_ND'!$A:$D,3,0),IFERROR(VLOOKUP($B520,'03-CP'!$C$5:$H$4646,3,0),""))</f>
        <v>UN</v>
      </c>
      <c r="F520" s="389">
        <v>1</v>
      </c>
      <c r="G520" s="1244"/>
      <c r="H520" s="1244"/>
      <c r="I520" s="1409"/>
      <c r="J520" s="262"/>
      <c r="K520" s="504"/>
      <c r="L520" s="262"/>
    </row>
    <row r="521" spans="1:12" ht="25.5" outlineLevel="1">
      <c r="A521" s="247" t="s">
        <v>13968</v>
      </c>
      <c r="B521" s="386" t="s">
        <v>15157</v>
      </c>
      <c r="C521" s="386" t="s">
        <v>14472</v>
      </c>
      <c r="D521" s="1314" t="str">
        <f>IFERROR(VLOOKUP($B521,'24.08_ND'!$A$4833:$D$12369,2,0),IFERROR(VLOOKUP($B521,'03-CP'!$C$5:$H$4646,2,0),""))</f>
        <v>DISPOSITIVO DR, 2 POLOS, SENSIBILIDADE DE 30 MA, CORRENTE DE 25 A, TIPO AC. - FORNECIMENTO E INSTALAÇÃO</v>
      </c>
      <c r="E521" s="1315" t="str">
        <f>IFERROR(VLOOKUP($B521,'24.08_ND'!$A:$D,3,0),IFERROR(VLOOKUP($B521,'03-CP'!$C$5:$H$4646,3,0),""))</f>
        <v>UN</v>
      </c>
      <c r="F521" s="389">
        <v>2</v>
      </c>
      <c r="G521" s="1244"/>
      <c r="H521" s="1244"/>
      <c r="I521" s="1409"/>
      <c r="J521" s="262"/>
      <c r="K521" s="504"/>
      <c r="L521" s="262"/>
    </row>
    <row r="522" spans="1:12" ht="25.5" outlineLevel="1">
      <c r="A522" s="247" t="s">
        <v>13969</v>
      </c>
      <c r="B522" s="386" t="s">
        <v>15272</v>
      </c>
      <c r="C522" s="386" t="s">
        <v>14472</v>
      </c>
      <c r="D522" s="1314" t="str">
        <f>IFERROR(VLOOKUP($B522,'24.08_ND'!$A$4833:$D$12369,2,0),IFERROR(VLOOKUP($B522,'03-CP'!$C$5:$H$4646,2,0),""))</f>
        <v>DISPOSITIVO DE PROTEÇÃO CONTRA SURTOS(DPS) 275V DE 8 A 40KA – FORNECIMENTO E INSTALAÇÃO</v>
      </c>
      <c r="E522" s="1315" t="str">
        <f>IFERROR(VLOOKUP($B522,'24.08_ND'!$A:$D,3,0),IFERROR(VLOOKUP($B522,'03-CP'!$C$5:$H$4646,3,0),""))</f>
        <v>UN</v>
      </c>
      <c r="F522" s="389">
        <v>1</v>
      </c>
      <c r="G522" s="1244"/>
      <c r="H522" s="1244"/>
      <c r="I522" s="1409"/>
      <c r="J522" s="262"/>
      <c r="K522" s="504"/>
      <c r="L522" s="262"/>
    </row>
    <row r="523" spans="1:12" ht="25.5" outlineLevel="1">
      <c r="A523" s="247" t="s">
        <v>13970</v>
      </c>
      <c r="B523" s="386" t="s">
        <v>15301</v>
      </c>
      <c r="C523" s="386" t="s">
        <v>14472</v>
      </c>
      <c r="D523" s="1314" t="str">
        <f>IFERROR(VLOOKUP($B523,'24.08_ND'!$A$4833:$D$12369,2,0),IFERROR(VLOOKUP($B523,'03-CP'!$C$5:$H$4646,2,0),""))</f>
        <v>TERMINAL ELÉTRICO TIPO: ILHÓS BITOLA ATÉ 6MM2 – FORNECIMENTO E INSTALAÇÃO</v>
      </c>
      <c r="E523" s="1315" t="str">
        <f>IFERROR(VLOOKUP($B523,'24.08_ND'!$A:$D,3,0),IFERROR(VLOOKUP($B523,'03-CP'!$C$5:$H$4646,3,0),""))</f>
        <v>UN</v>
      </c>
      <c r="F523" s="389">
        <v>154</v>
      </c>
      <c r="G523" s="1244"/>
      <c r="H523" s="1244"/>
      <c r="I523" s="1409"/>
      <c r="J523" s="262"/>
      <c r="K523" s="504"/>
      <c r="L523" s="262"/>
    </row>
    <row r="524" spans="1:12" ht="25.5" outlineLevel="1">
      <c r="A524" s="247" t="s">
        <v>13971</v>
      </c>
      <c r="B524" s="386" t="s">
        <v>15305</v>
      </c>
      <c r="C524" s="386" t="s">
        <v>14472</v>
      </c>
      <c r="D524" s="1314" t="str">
        <f>IFERROR(VLOOKUP($B524,'24.08_ND'!$A$4833:$D$12369,2,0),IFERROR(VLOOKUP($B524,'03-CP'!$C$5:$H$4646,2,0),""))</f>
        <v>TERMINAL ELÉTRICO TIPO: ILHÓS BITOLA ATÉ 16MM2 – FORNECIMENTO E INSTALAÇÃO</v>
      </c>
      <c r="E524" s="1315" t="str">
        <f>IFERROR(VLOOKUP($B524,'24.08_ND'!$A:$D,3,0),IFERROR(VLOOKUP($B524,'03-CP'!$C$5:$H$4646,3,0),""))</f>
        <v>UN</v>
      </c>
      <c r="F524" s="389">
        <v>1</v>
      </c>
      <c r="G524" s="1244"/>
      <c r="H524" s="1244"/>
      <c r="I524" s="1409"/>
      <c r="J524" s="262"/>
      <c r="K524" s="504"/>
      <c r="L524" s="262"/>
    </row>
    <row r="525" spans="1:12" ht="25.5" outlineLevel="1">
      <c r="A525" s="247" t="s">
        <v>13972</v>
      </c>
      <c r="B525" s="386" t="s">
        <v>15309</v>
      </c>
      <c r="C525" s="386" t="s">
        <v>14472</v>
      </c>
      <c r="D525" s="1314" t="str">
        <f>IFERROR(VLOOKUP($B525,'24.08_ND'!$A$4833:$D$12369,2,0),IFERROR(VLOOKUP($B525,'03-CP'!$C$5:$H$4646,2,0),""))</f>
        <v>ANILHA NUMERADA PARA IDENTIFICAÇÃO DE CABOS – FORNECIMENTO E INSTALAÇÃO</v>
      </c>
      <c r="E525" s="1315" t="str">
        <f>IFERROR(VLOOKUP($B525,'24.08_ND'!$A:$D,3,0),IFERROR(VLOOKUP($B525,'03-CP'!$C$5:$H$4646,3,0),""))</f>
        <v>UN</v>
      </c>
      <c r="F525" s="389">
        <v>100</v>
      </c>
      <c r="G525" s="1244"/>
      <c r="H525" s="1244"/>
      <c r="I525" s="1409"/>
      <c r="J525" s="262"/>
      <c r="K525" s="504"/>
      <c r="L525" s="262"/>
    </row>
    <row r="526" spans="1:12" ht="12.75">
      <c r="A526" s="250" t="s">
        <v>13973</v>
      </c>
      <c r="B526" s="1309"/>
      <c r="C526" s="1497"/>
      <c r="D526" s="237" t="s">
        <v>16339</v>
      </c>
      <c r="E526" s="234"/>
      <c r="F526" s="1311"/>
      <c r="G526" s="236"/>
      <c r="H526" s="236"/>
      <c r="I526" s="1499"/>
      <c r="J526" s="262"/>
      <c r="K526" s="504"/>
      <c r="L526" s="262"/>
    </row>
    <row r="527" spans="1:12" ht="25.5" outlineLevel="1">
      <c r="A527" s="247" t="s">
        <v>13974</v>
      </c>
      <c r="B527" s="386" t="s">
        <v>15277</v>
      </c>
      <c r="C527" s="386" t="s">
        <v>14472</v>
      </c>
      <c r="D527" s="1314" t="str">
        <f>IFERROR(VLOOKUP($B527,'24.08_ND'!$A$4833:$D$12369,2,0),IFERROR(VLOOKUP($B527,'03-CP'!$C$5:$H$4646,2,0),""))</f>
        <v>EMBUTIDO DE SOLO LED INOX 10W 640 LÚMENS 3000K 30° IP67 REDONDO  - FORNECIMENTO E INSTALAÇÃO</v>
      </c>
      <c r="E527" s="1315" t="str">
        <f>IFERROR(VLOOKUP($B527,'24.08_ND'!$A:$D,3,0),IFERROR(VLOOKUP($B527,'03-CP'!$C$5:$H$4646,3,0),""))</f>
        <v>UN</v>
      </c>
      <c r="F527" s="389">
        <v>12</v>
      </c>
      <c r="G527" s="1244"/>
      <c r="H527" s="1244"/>
      <c r="I527" s="1409"/>
      <c r="J527" s="262"/>
      <c r="K527" s="504"/>
      <c r="L527" s="262"/>
    </row>
    <row r="528" spans="1:12" ht="25.5" outlineLevel="1">
      <c r="A528" s="247" t="s">
        <v>13975</v>
      </c>
      <c r="B528" s="386" t="s">
        <v>15280</v>
      </c>
      <c r="C528" s="386" t="s">
        <v>14472</v>
      </c>
      <c r="D528" s="1314" t="str">
        <f>IFERROR(VLOOKUP($B528,'24.08_ND'!$A$4833:$D$12369,2,0),IFERROR(VLOOKUP($B528,'03-CP'!$C$5:$H$4646,2,0),""))</f>
        <v>LUMINÁRIA PLAFON DE EMBUTIR EM LED 40X40 CM, 30W - FORNECIMENTO E INSTALAÇÃO</v>
      </c>
      <c r="E528" s="1315" t="str">
        <f>IFERROR(VLOOKUP($B528,'24.08_ND'!$A:$D,3,0),IFERROR(VLOOKUP($B528,'03-CP'!$C$5:$H$4646,3,0),""))</f>
        <v>UN</v>
      </c>
      <c r="F528" s="389">
        <v>1</v>
      </c>
      <c r="G528" s="1244"/>
      <c r="H528" s="1244"/>
      <c r="I528" s="1409"/>
      <c r="J528" s="262"/>
      <c r="K528" s="504"/>
      <c r="L528" s="262"/>
    </row>
    <row r="529" spans="1:12" ht="25.5" outlineLevel="1">
      <c r="A529" s="247" t="s">
        <v>13976</v>
      </c>
      <c r="B529" s="386" t="s">
        <v>15282</v>
      </c>
      <c r="C529" s="386" t="s">
        <v>14472</v>
      </c>
      <c r="D529" s="1314" t="str">
        <f>IFERROR(VLOOKUP($B529,'24.08_ND'!$A$4833:$D$12369,2,0),IFERROR(VLOOKUP($B529,'03-CP'!$C$5:$H$4646,2,0),""))</f>
        <v>SPOT EMBUTIR DUPLO RECUADO MR16 SISTEMA CLICK, SOQUETE GU10 COM LAMPADA - FORNECIMENTO E INSTALAÇÃO</v>
      </c>
      <c r="E529" s="1315" t="str">
        <f>IFERROR(VLOOKUP($B529,'24.08_ND'!$A:$D,3,0),IFERROR(VLOOKUP($B529,'03-CP'!$C$5:$H$4646,3,0),""))</f>
        <v>UN</v>
      </c>
      <c r="F529" s="389">
        <v>16</v>
      </c>
      <c r="G529" s="1244"/>
      <c r="H529" s="1244"/>
      <c r="I529" s="1409"/>
      <c r="J529" s="262"/>
      <c r="K529" s="504"/>
      <c r="L529" s="262"/>
    </row>
    <row r="530" spans="1:12" ht="25.5" outlineLevel="1">
      <c r="A530" s="247" t="s">
        <v>13977</v>
      </c>
      <c r="B530" s="386" t="s">
        <v>15286</v>
      </c>
      <c r="C530" s="386" t="s">
        <v>14472</v>
      </c>
      <c r="D530" s="1314" t="str">
        <f>IFERROR(VLOOKUP($B530,'24.08_ND'!$A$4833:$D$12369,2,0),IFERROR(VLOOKUP($B530,'03-CP'!$C$5:$H$4646,2,0),""))</f>
        <v>EMBUTIDO PARA PAR 20 REDONDO, FACE RECUADA OU LISA, 115X125MM COM LAMPADA - FORNECIMENTO E INSTALAÇÃO</v>
      </c>
      <c r="E530" s="1315" t="str">
        <f>IFERROR(VLOOKUP($B530,'24.08_ND'!$A:$D,3,0),IFERROR(VLOOKUP($B530,'03-CP'!$C$5:$H$4646,3,0),""))</f>
        <v>UN</v>
      </c>
      <c r="F530" s="389">
        <v>31</v>
      </c>
      <c r="G530" s="1244"/>
      <c r="H530" s="1244"/>
      <c r="I530" s="1409"/>
      <c r="J530" s="262"/>
      <c r="K530" s="504"/>
      <c r="L530" s="262"/>
    </row>
    <row r="531" spans="1:12" ht="12.75" outlineLevel="1">
      <c r="A531" s="247" t="s">
        <v>13978</v>
      </c>
      <c r="B531" s="386" t="s">
        <v>15289</v>
      </c>
      <c r="C531" s="386" t="s">
        <v>14472</v>
      </c>
      <c r="D531" s="1314" t="str">
        <f>IFERROR(VLOOKUP($B531,'24.08_ND'!$A$4833:$D$12369,2,0),IFERROR(VLOOKUP($B531,'03-CP'!$C$5:$H$4646,2,0),""))</f>
        <v>FITA LED ALL LIGHT 16W/M 24V IP20  - FORNECIMENTO E INSTALAÇÃO</v>
      </c>
      <c r="E531" s="1315" t="str">
        <f>IFERROR(VLOOKUP($B531,'24.08_ND'!$A:$D,3,0),IFERROR(VLOOKUP($B531,'03-CP'!$C$5:$H$4646,3,0),""))</f>
        <v>M</v>
      </c>
      <c r="F531" s="389">
        <v>80.099999999999994</v>
      </c>
      <c r="G531" s="1244"/>
      <c r="H531" s="1244"/>
      <c r="I531" s="1409"/>
      <c r="J531" s="262"/>
      <c r="K531" s="504"/>
      <c r="L531" s="262"/>
    </row>
    <row r="532" spans="1:12" ht="12.75" outlineLevel="1">
      <c r="A532" s="247" t="s">
        <v>13979</v>
      </c>
      <c r="B532" s="386" t="s">
        <v>15292</v>
      </c>
      <c r="C532" s="386" t="s">
        <v>14472</v>
      </c>
      <c r="D532" s="1314" t="str">
        <f>IFERROR(VLOOKUP($B532,'24.08_ND'!$A$4833:$D$12369,2,0),IFERROR(VLOOKUP($B532,'03-CP'!$C$5:$H$4646,2,0),""))</f>
        <v xml:space="preserve">FITA LED 12W/M 12V   - FORNECIMENTO E INSTALAÇÃO </v>
      </c>
      <c r="E532" s="1315" t="str">
        <f>IFERROR(VLOOKUP($B532,'24.08_ND'!$A:$D,3,0),IFERROR(VLOOKUP($B532,'03-CP'!$C$5:$H$4646,3,0),""))</f>
        <v>M</v>
      </c>
      <c r="F532" s="389">
        <v>31.37</v>
      </c>
      <c r="G532" s="1244"/>
      <c r="H532" s="1244"/>
      <c r="I532" s="1409"/>
      <c r="J532" s="262"/>
      <c r="K532" s="504"/>
      <c r="L532" s="262"/>
    </row>
    <row r="533" spans="1:12" ht="12.75" outlineLevel="1">
      <c r="A533" s="247" t="s">
        <v>13980</v>
      </c>
      <c r="B533" s="386" t="s">
        <v>15298</v>
      </c>
      <c r="C533" s="386" t="s">
        <v>14472</v>
      </c>
      <c r="D533" s="1314" t="str">
        <f>IFERROR(VLOOKUP($B533,'24.08_ND'!$A$4833:$D$12369,2,0),IFERROR(VLOOKUP($B533,'03-CP'!$C$5:$H$4646,2,0),""))</f>
        <v>FONTE CHAVEADA 24VCC IP20 100W  - FORNECIMENTO E INSTALAÇÃO</v>
      </c>
      <c r="E533" s="1315" t="str">
        <f>IFERROR(VLOOKUP($B533,'24.08_ND'!$A:$D,3,0),IFERROR(VLOOKUP($B533,'03-CP'!$C$5:$H$4646,3,0),""))</f>
        <v>UN</v>
      </c>
      <c r="F533" s="389">
        <v>21</v>
      </c>
      <c r="G533" s="1244"/>
      <c r="H533" s="1244"/>
      <c r="I533" s="1409"/>
      <c r="J533" s="262"/>
      <c r="K533" s="504"/>
      <c r="L533" s="262"/>
    </row>
    <row r="534" spans="1:12" ht="12.75" outlineLevel="1">
      <c r="A534" s="247" t="s">
        <v>13981</v>
      </c>
      <c r="B534" s="386" t="s">
        <v>15295</v>
      </c>
      <c r="C534" s="386" t="s">
        <v>14472</v>
      </c>
      <c r="D534" s="1314" t="str">
        <f>IFERROR(VLOOKUP($B534,'24.08_ND'!$A$4833:$D$12369,2,0),IFERROR(VLOOKUP($B534,'03-CP'!$C$5:$H$4646,2,0),""))</f>
        <v>FONTE CHAVEADA 12VCC IP20 200W - FORNECIMENTO E INSTALAÇÃO</v>
      </c>
      <c r="E534" s="1315" t="str">
        <f>IFERROR(VLOOKUP($B534,'24.08_ND'!$A:$D,3,0),IFERROR(VLOOKUP($B534,'03-CP'!$C$5:$H$4646,3,0),""))</f>
        <v>UN</v>
      </c>
      <c r="F534" s="389">
        <v>2</v>
      </c>
      <c r="G534" s="1244"/>
      <c r="H534" s="1244"/>
      <c r="I534" s="1409"/>
      <c r="J534" s="262"/>
      <c r="K534" s="504"/>
      <c r="L534" s="262"/>
    </row>
    <row r="535" spans="1:12" ht="12.75" hidden="1">
      <c r="A535" s="1487"/>
      <c r="B535" s="262"/>
      <c r="C535" s="262"/>
      <c r="D535" s="339"/>
      <c r="E535" s="1490"/>
      <c r="F535" s="1723"/>
      <c r="G535" s="186"/>
      <c r="H535" s="186"/>
      <c r="I535" s="1725"/>
      <c r="J535" s="262"/>
      <c r="K535" s="504"/>
      <c r="L535" s="1508"/>
    </row>
    <row r="536" spans="1:12" ht="12.75">
      <c r="A536" s="1298" t="s">
        <v>16477</v>
      </c>
      <c r="B536" s="1663"/>
      <c r="C536" s="1663"/>
      <c r="D536" s="1664"/>
      <c r="E536" s="1373"/>
      <c r="F536" s="1665"/>
      <c r="G536" s="1667"/>
      <c r="H536" s="1667"/>
      <c r="I536" s="1668"/>
      <c r="J536" s="262"/>
      <c r="K536" s="504"/>
      <c r="L536" s="1508"/>
    </row>
    <row r="537" spans="1:12" ht="12.75">
      <c r="A537" s="238" t="s">
        <v>12646</v>
      </c>
      <c r="B537" s="1304"/>
      <c r="C537" s="1304"/>
      <c r="D537" s="1305" t="s">
        <v>16345</v>
      </c>
      <c r="E537" s="1306"/>
      <c r="F537" s="1307"/>
      <c r="G537" s="1307"/>
      <c r="H537" s="1307"/>
      <c r="I537" s="1496"/>
      <c r="J537" s="1727" t="s">
        <v>16543</v>
      </c>
      <c r="K537" s="1588"/>
      <c r="L537" s="1645"/>
    </row>
    <row r="538" spans="1:12" ht="25.5" outlineLevel="1">
      <c r="A538" s="247" t="s">
        <v>13982</v>
      </c>
      <c r="B538" s="386">
        <v>97599</v>
      </c>
      <c r="C538" s="386" t="s">
        <v>14476</v>
      </c>
      <c r="D538" s="1314" t="str">
        <f>IFERROR(VLOOKUP($B538,'24.08_ND'!$A$4833:$D$12369,2,0),IFERROR(VLOOKUP($B538,'03-CP'!$C$5:$H$4646,2,0),""))</f>
        <v>LUMINÁRIA DE EMERGÊNCIA, COM 30 LÂMPADAS LED DE 2 W, SEM REATOR - FORNECIMENTO E INSTALAÇÃO. AF_02/2020</v>
      </c>
      <c r="E538" s="1315" t="str">
        <f>IFERROR(VLOOKUP($B538,'24.08_ND'!$A:$D,3,0),IFERROR(VLOOKUP($B538,'03-CP'!$C$5:$H$4646,3,0),""))</f>
        <v>UN</v>
      </c>
      <c r="F538" s="389">
        <v>5</v>
      </c>
      <c r="G538" s="1244"/>
      <c r="H538" s="1244"/>
      <c r="I538" s="1409"/>
      <c r="J538" s="262"/>
      <c r="K538" s="504"/>
      <c r="L538" s="262"/>
    </row>
    <row r="539" spans="1:12" ht="38.25" outlineLevel="1">
      <c r="A539" s="254" t="s">
        <v>13983</v>
      </c>
      <c r="B539" s="1186" t="s">
        <v>15359</v>
      </c>
      <c r="C539" s="1186" t="s">
        <v>14472</v>
      </c>
      <c r="D539" s="1514" t="str">
        <f>IFERROR(VLOOKUP($B539,'24.08_ND'!$A$4833:$D$12369,2,0),IFERROR(VLOOKUP($B539,'03-CP'!$C$5:$H$4646,2,0),""))</f>
        <v>PLACA DE SINALIZAÇÃO DE SEGURANÇA CONTRA INCENDIO, FOTOLUMINESCENTE, QUADRADA 20X40 CM EM PVC 2 MM ANTI-CHAMAS - FORNECIMENTO E INSTALAÇÃO</v>
      </c>
      <c r="E539" s="1515" t="str">
        <f>IFERROR(VLOOKUP($B539,'24.08_ND'!$A:$D,3,0),IFERROR(VLOOKUP($B539,'03-CP'!$C$5:$H$4646,3,0),""))</f>
        <v>UN</v>
      </c>
      <c r="F539" s="1516">
        <v>2</v>
      </c>
      <c r="G539" s="1517"/>
      <c r="H539" s="1517"/>
      <c r="I539" s="1518"/>
      <c r="J539" s="262"/>
      <c r="K539" s="504"/>
      <c r="L539" s="262"/>
    </row>
  </sheetData>
  <autoFilter ref="A1:L539" xr:uid="{00000000-0009-0000-0000-000011000000}">
    <filterColumn colId="0">
      <filters>
        <filter val="(E) - BANHEIRO DE APOIO ESPAÇO SHOW - PLANILHA QUANTITATIVA"/>
        <filter val="• ARQUITETURA"/>
        <filter val="• ESTRUTURAL"/>
        <filter val="• INSTALAÇÕES ELÉTRICAS"/>
        <filter val="• INSTALAÇÕES HIDROSSANITÁRIAS"/>
        <filter val="• INSTALAÇÕES PREVENÇÃO DE COMBATE A INCÊNDIO E PANICO"/>
        <filter val="E.1"/>
        <filter val="E.1.1"/>
        <filter val="E.1.1.1"/>
        <filter val="E.1.1.2"/>
        <filter val="E.1.1.3"/>
        <filter val="E.1.1.4"/>
        <filter val="E.1.1.5"/>
        <filter val="E.1.1.6"/>
        <filter val="E.1.1.7"/>
        <filter val="E.1.1.8"/>
        <filter val="E.1.1.9"/>
        <filter val="E.1.10"/>
        <filter val="E.1.10.1"/>
        <filter val="E.1.2"/>
        <filter val="E.1.2.1"/>
        <filter val="E.1.2.2"/>
        <filter val="E.1.2.3"/>
        <filter val="E.1.2.4"/>
        <filter val="E.1.2.5"/>
        <filter val="E.1.3"/>
        <filter val="E.1.3.1"/>
        <filter val="E.1.3.10"/>
        <filter val="E.1.3.11"/>
        <filter val="E.1.3.12"/>
        <filter val="E.1.3.2"/>
        <filter val="E.1.3.3"/>
        <filter val="E.1.3.4"/>
        <filter val="E.1.3.5"/>
        <filter val="E.1.3.6"/>
        <filter val="E.1.3.7"/>
        <filter val="E.1.3.8"/>
        <filter val="E.1.3.9"/>
        <filter val="E.1.4"/>
        <filter val="E.1.4.1"/>
        <filter val="E.1.5"/>
        <filter val="E.1.5.1"/>
        <filter val="E.1.5.2"/>
        <filter val="E.1.5.3"/>
        <filter val="E.1.5.4"/>
        <filter val="E.1.5.5"/>
        <filter val="E.1.6"/>
        <filter val="E.1.6.1"/>
        <filter val="E.1.6.2"/>
        <filter val="E.1.6.3"/>
        <filter val="E.1.6.4"/>
        <filter val="E.1.6.5"/>
        <filter val="E.1.6.6"/>
        <filter val="E.1.6.7"/>
        <filter val="E.1.7"/>
        <filter val="E.1.7.1"/>
        <filter val="E.1.7.2"/>
        <filter val="E.1.7.3"/>
        <filter val="E.1.7.4"/>
        <filter val="E.1.7.5"/>
        <filter val="E.1.7.6"/>
        <filter val="E.1.7.7"/>
        <filter val="E.1.8"/>
        <filter val="E.1.8.1"/>
        <filter val="E.1.8.2"/>
        <filter val="E.1.8.3"/>
        <filter val="E.1.8.4"/>
        <filter val="E.1.9"/>
        <filter val="E.1.9.1"/>
        <filter val="E.2"/>
        <filter val="E.2.1"/>
        <filter val="E.2.1.1"/>
        <filter val="E.2.1.2"/>
        <filter val="E.2.1.3"/>
        <filter val="E.2.1.4"/>
        <filter val="E.2.2"/>
        <filter val="E.2.2.1"/>
        <filter val="E.2.2.2"/>
        <filter val="E.2.2.3"/>
        <filter val="E.2.3"/>
        <filter val="E.2.3.1"/>
        <filter val="E.2.3.2"/>
        <filter val="E.2.3.3"/>
        <filter val="E.2.4"/>
        <filter val="E.2.4.1"/>
        <filter val="E.2.4.2"/>
        <filter val="E.2.4.3"/>
        <filter val="E.2.4.4"/>
        <filter val="E.2.4.5"/>
        <filter val="E.2.4.6"/>
        <filter val="E.2.5"/>
        <filter val="E.2.5.1"/>
        <filter val="E.2.5.2"/>
        <filter val="E.2.5.3"/>
        <filter val="E.2.6"/>
        <filter val="E.2.6.1"/>
        <filter val="E.2.6.2"/>
        <filter val="E.2.6.3"/>
        <filter val="E.2.6.4"/>
        <filter val="E.2.6.5"/>
        <filter val="E.2.6.6"/>
        <filter val="E.2.6.7"/>
        <filter val="E.2.6.8"/>
        <filter val="E.2.7"/>
        <filter val="E.2.7.1"/>
        <filter val="E.2.7.10"/>
        <filter val="E.2.7.2"/>
        <filter val="E.2.7.3"/>
        <filter val="E.2.7.4"/>
        <filter val="E.2.7.5"/>
        <filter val="E.2.7.6"/>
        <filter val="E.2.7.7"/>
        <filter val="E.2.7.8"/>
        <filter val="E.2.7.9"/>
        <filter val="E.2.8"/>
        <filter val="E.2.8.1"/>
        <filter val="E.2.8.10"/>
        <filter val="E.2.8.11"/>
        <filter val="E.2.8.12"/>
        <filter val="E.2.8.13"/>
        <filter val="E.2.8.14"/>
        <filter val="E.2.8.15"/>
        <filter val="E.2.8.16"/>
        <filter val="E.2.8.17"/>
        <filter val="E.2.8.18"/>
        <filter val="E.2.8.19"/>
        <filter val="E.2.8.2"/>
        <filter val="E.2.8.20"/>
        <filter val="E.2.8.21"/>
        <filter val="E.2.8.3"/>
        <filter val="E.2.8.4"/>
        <filter val="E.2.8.5"/>
        <filter val="E.2.8.6"/>
        <filter val="E.2.8.7"/>
        <filter val="E.2.8.8"/>
        <filter val="E.2.8.9"/>
        <filter val="E.2.9"/>
        <filter val="E.2.9.1"/>
        <filter val="E.2.9.2"/>
        <filter val="E.2.9.3"/>
        <filter val="E.2.9.4"/>
        <filter val="E.2.9.5"/>
        <filter val="E.2.9.6"/>
        <filter val="E.3"/>
        <filter val="E.3.1"/>
        <filter val="E.3.1.1"/>
        <filter val="E.3.1.10"/>
        <filter val="E.3.1.11"/>
        <filter val="E.3.1.12"/>
        <filter val="E.3.1.13"/>
        <filter val="E.3.1.14"/>
        <filter val="E.3.1.15"/>
        <filter val="E.3.1.16"/>
        <filter val="E.3.1.17"/>
        <filter val="E.3.1.18"/>
        <filter val="E.3.1.19"/>
        <filter val="E.3.1.2"/>
        <filter val="E.3.1.20"/>
        <filter val="E.3.1.21"/>
        <filter val="E.3.1.22"/>
        <filter val="E.3.1.23"/>
        <filter val="E.3.1.24"/>
        <filter val="E.3.1.25"/>
        <filter val="E.3.1.26"/>
        <filter val="E.3.1.27"/>
        <filter val="E.3.1.28"/>
        <filter val="E.3.1.29"/>
        <filter val="E.3.1.3"/>
        <filter val="E.3.1.30"/>
        <filter val="E.3.1.31"/>
        <filter val="E.3.1.32"/>
        <filter val="E.3.1.33"/>
        <filter val="E.3.1.34"/>
        <filter val="E.3.1.35"/>
        <filter val="E.3.1.36"/>
        <filter val="E.3.1.37"/>
        <filter val="E.3.1.38"/>
        <filter val="E.3.1.39"/>
        <filter val="E.3.1.4"/>
        <filter val="E.3.1.40"/>
        <filter val="E.3.1.41"/>
        <filter val="E.3.1.5"/>
        <filter val="E.3.1.6"/>
        <filter val="E.3.1.7"/>
        <filter val="E.3.1.8"/>
        <filter val="E.3.1.9"/>
        <filter val="E.3.2"/>
        <filter val="E.3.2.1"/>
        <filter val="E.3.2.10"/>
        <filter val="E.3.2.11"/>
        <filter val="E.3.2.12"/>
        <filter val="E.3.2.13"/>
        <filter val="E.3.2.14"/>
        <filter val="E.3.2.15"/>
        <filter val="E.3.2.16"/>
        <filter val="E.3.2.17"/>
        <filter val="E.3.2.18"/>
        <filter val="E.3.2.19"/>
        <filter val="E.3.2.2"/>
        <filter val="E.3.2.20"/>
        <filter val="E.3.2.21"/>
        <filter val="E.3.2.22"/>
        <filter val="E.3.2.23"/>
        <filter val="E.3.2.24"/>
        <filter val="E.3.2.25"/>
        <filter val="E.3.2.26"/>
        <filter val="E.3.2.27"/>
        <filter val="E.3.2.28"/>
        <filter val="E.3.2.29"/>
        <filter val="E.3.2.3"/>
        <filter val="E.3.2.30"/>
        <filter val="E.3.2.31"/>
        <filter val="E.3.2.32"/>
        <filter val="E.3.2.33"/>
        <filter val="E.3.2.34"/>
        <filter val="E.3.2.35"/>
        <filter val="E.3.2.36"/>
        <filter val="E.3.2.37"/>
        <filter val="E.3.2.38"/>
        <filter val="E.3.2.39"/>
        <filter val="E.3.2.4"/>
        <filter val="E.3.2.40"/>
        <filter val="E.3.2.5"/>
        <filter val="E.3.2.6"/>
        <filter val="E.3.2.7"/>
        <filter val="E.3.2.8"/>
        <filter val="E.3.2.9"/>
        <filter val="E.3.3"/>
        <filter val="E.3.3.1"/>
        <filter val="E.3.3.10"/>
        <filter val="E.3.3.11"/>
        <filter val="E.3.3.2"/>
        <filter val="E.3.3.3"/>
        <filter val="E.3.3.4"/>
        <filter val="E.3.3.5"/>
        <filter val="E.3.3.6"/>
        <filter val="E.3.3.7"/>
        <filter val="E.3.3.8"/>
        <filter val="E.3.3.9"/>
        <filter val="E.4"/>
        <filter val="E.4.1"/>
        <filter val="E.4.1.1"/>
        <filter val="E.4.1.2"/>
        <filter val="E.4.1.3"/>
        <filter val="E.4.1.4"/>
        <filter val="E.4.1.5"/>
        <filter val="E.4.2"/>
        <filter val="E.4.2.1"/>
        <filter val="E.4.2.2"/>
        <filter val="E.4.2.3"/>
        <filter val="E.4.2.4"/>
        <filter val="E.4.2.5"/>
        <filter val="E.4.3"/>
        <filter val="E.4.3.1"/>
        <filter val="E.4.3.2"/>
        <filter val="E.4.3.3"/>
        <filter val="E.4.3.4"/>
        <filter val="E.4.3.5"/>
        <filter val="E.4.3.6"/>
        <filter val="E.4.3.7"/>
        <filter val="E.4.3.8"/>
        <filter val="E.4.4"/>
        <filter val="E.4.4.1"/>
        <filter val="E.4.4.2"/>
        <filter val="E.4.4.3"/>
        <filter val="E.4.4.4"/>
        <filter val="E.4.5"/>
        <filter val="E.4.5.1"/>
        <filter val="E.4.5.10"/>
        <filter val="E.4.5.11"/>
        <filter val="E.4.5.2"/>
        <filter val="E.4.5.3"/>
        <filter val="E.4.5.4"/>
        <filter val="E.4.5.5"/>
        <filter val="E.4.5.6"/>
        <filter val="E.4.5.7"/>
        <filter val="E.4.5.8"/>
        <filter val="E.4.5.9"/>
        <filter val="E.4.6"/>
        <filter val="E.4.6.1"/>
        <filter val="E.4.6.2"/>
        <filter val="E.4.6.3"/>
        <filter val="E.4.6.4"/>
        <filter val="E.4.6.5"/>
        <filter val="E.4.6.6"/>
        <filter val="E.4.6.7"/>
        <filter val="E.4.6.8"/>
        <filter val="E.5"/>
        <filter val="E.5.1"/>
        <filter val="E.5.2"/>
        <filter val="ENDEREÇO:"/>
        <filter val="ITEM"/>
        <filter val="MUNICÍPIO:"/>
        <filter val="OBJETO:"/>
      </filters>
    </filterColumn>
  </autoFilter>
  <mergeCells count="8">
    <mergeCell ref="G6:I6"/>
    <mergeCell ref="D293:D295"/>
    <mergeCell ref="D296:D299"/>
    <mergeCell ref="B1:I1"/>
    <mergeCell ref="B2:I2"/>
    <mergeCell ref="B3:I3"/>
    <mergeCell ref="B4:I4"/>
    <mergeCell ref="A5:I5"/>
  </mergeCells>
  <printOptions horizontalCentered="1"/>
  <pageMargins left="0.39370078740157477" right="0.39370078740157477" top="0.39370078740157477" bottom="0.39370078740157477" header="0" footer="0"/>
  <pageSetup paperSize="9" fitToHeight="0" orientation="portrait" cellComments="atEnd"/>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outlinePr summaryBelow="0"/>
    <pageSetUpPr fitToPage="1"/>
  </sheetPr>
  <dimension ref="A1:L555"/>
  <sheetViews>
    <sheetView workbookViewId="0"/>
  </sheetViews>
  <sheetFormatPr defaultColWidth="12.5703125" defaultRowHeight="15" customHeight="1" outlineLevelRow="1"/>
  <cols>
    <col min="1" max="1" width="12" customWidth="1"/>
    <col min="2" max="2" width="13.5703125" customWidth="1"/>
    <col min="3" max="3" width="10.5703125" customWidth="1"/>
    <col min="4" max="4" width="60" customWidth="1"/>
    <col min="5" max="5" width="11.5703125" customWidth="1"/>
    <col min="6" max="6" width="12.7109375" customWidth="1"/>
    <col min="7" max="7" width="12" customWidth="1"/>
    <col min="8" max="8" width="16.7109375" customWidth="1"/>
    <col min="9" max="9" width="7.7109375" customWidth="1"/>
    <col min="10" max="10" width="18.7109375" hidden="1" customWidth="1"/>
    <col min="11" max="11" width="72.85546875" hidden="1" customWidth="1"/>
    <col min="12" max="12" width="13.85546875" hidden="1" customWidth="1"/>
  </cols>
  <sheetData>
    <row r="1" spans="1:12">
      <c r="A1" s="1188" t="e">
        <f>'Medição '!$V$5:$AB$5</f>
        <v>#VALUE!</v>
      </c>
      <c r="B1" s="3498" t="str">
        <f>'Medição '!W5</f>
        <v>COMPLEXO SUNSET DO PARQUE NOVO MATO GROSSO</v>
      </c>
      <c r="C1" s="2607"/>
      <c r="D1" s="2607"/>
      <c r="E1" s="2607"/>
      <c r="F1" s="2607"/>
      <c r="G1" s="2607"/>
      <c r="H1" s="2607"/>
      <c r="I1" s="3400"/>
      <c r="J1" s="130"/>
      <c r="K1" s="130"/>
      <c r="L1" s="130"/>
    </row>
    <row r="2" spans="1:12">
      <c r="A2" s="1189" t="e">
        <f>'Medição '!$V$6:$AB$6</f>
        <v>#VALUE!</v>
      </c>
      <c r="B2" s="3499" t="str">
        <f>'Medição '!W6</f>
        <v>MT 251, KM 11, S/N, ÁREA RURAL - PARQUE NOVO MATO GROSSO, CEP 78099-899</v>
      </c>
      <c r="C2" s="2634"/>
      <c r="D2" s="2634"/>
      <c r="E2" s="2634"/>
      <c r="F2" s="2634"/>
      <c r="G2" s="2634"/>
      <c r="H2" s="2634"/>
      <c r="I2" s="2635"/>
      <c r="J2" s="130"/>
      <c r="K2" s="130"/>
      <c r="L2" s="130"/>
    </row>
    <row r="3" spans="1:12">
      <c r="A3" s="1189" t="e">
        <f>'Medição '!$V$7:$AB$7</f>
        <v>#VALUE!</v>
      </c>
      <c r="B3" s="3499" t="str">
        <f>'Medição '!W7</f>
        <v>CUIABÁ - MT</v>
      </c>
      <c r="C3" s="2634"/>
      <c r="D3" s="2634"/>
      <c r="E3" s="2634"/>
      <c r="F3" s="2634"/>
      <c r="G3" s="2634"/>
      <c r="H3" s="2634"/>
      <c r="I3" s="2635"/>
      <c r="J3" s="130"/>
      <c r="K3" s="130"/>
      <c r="L3" s="130"/>
    </row>
    <row r="4" spans="1:12">
      <c r="A4" s="1189" t="e">
        <f>'Medição '!$V$8:$AB$8</f>
        <v>#VALUE!</v>
      </c>
      <c r="B4" s="3500" t="str">
        <f>'Medição '!W8</f>
        <v>CONTRATAÇÃO DE EMPRESA ESPECIALIZADA PARA EXECUÇÃO DAS OBRAS DO "COMPLEXO SUNSET (WAKE BAR, PRAÇA SUNSET, QUIOSQUE, BANHEIROS DE APOIO E INFRA DE CONTÊINER) DO PARQUE NOVO MATO GROSSO"</v>
      </c>
      <c r="C4" s="2634"/>
      <c r="D4" s="2634"/>
      <c r="E4" s="2634"/>
      <c r="F4" s="2634"/>
      <c r="G4" s="2634"/>
      <c r="H4" s="2634"/>
      <c r="I4" s="2635"/>
      <c r="J4" s="130"/>
      <c r="K4" s="130"/>
      <c r="L4" s="130"/>
    </row>
    <row r="5" spans="1:12" ht="30" customHeight="1">
      <c r="A5" s="3495" t="s">
        <v>16545</v>
      </c>
      <c r="B5" s="2588"/>
      <c r="C5" s="2588"/>
      <c r="D5" s="2588"/>
      <c r="E5" s="2588"/>
      <c r="F5" s="2588"/>
      <c r="G5" s="2588"/>
      <c r="H5" s="2588"/>
      <c r="I5" s="2621"/>
      <c r="J5" s="1290"/>
      <c r="K5" s="1290"/>
      <c r="L5" s="1290"/>
    </row>
    <row r="6" spans="1:12" ht="25.5">
      <c r="A6" s="1292" t="s">
        <v>12613</v>
      </c>
      <c r="B6" s="1293" t="s">
        <v>16147</v>
      </c>
      <c r="C6" s="1293" t="s">
        <v>16148</v>
      </c>
      <c r="D6" s="1293" t="s">
        <v>16149</v>
      </c>
      <c r="E6" s="1294" t="s">
        <v>16197</v>
      </c>
      <c r="F6" s="1295" t="s">
        <v>16150</v>
      </c>
      <c r="G6" s="3496" t="s">
        <v>16151</v>
      </c>
      <c r="H6" s="2610"/>
      <c r="I6" s="3432"/>
      <c r="J6" s="1296"/>
      <c r="K6" s="1296"/>
      <c r="L6" s="1296"/>
    </row>
    <row r="7" spans="1:12" ht="12.75">
      <c r="A7" s="1298" t="s">
        <v>14584</v>
      </c>
      <c r="B7" s="1299"/>
      <c r="C7" s="1299"/>
      <c r="D7" s="1300"/>
      <c r="E7" s="1301"/>
      <c r="F7" s="1302"/>
      <c r="G7" s="1301"/>
      <c r="H7" s="1302"/>
      <c r="I7" s="1303"/>
      <c r="J7" s="262"/>
      <c r="K7" s="262"/>
      <c r="L7" s="262"/>
    </row>
    <row r="8" spans="1:12" ht="12.75">
      <c r="A8" s="238" t="s">
        <v>12648</v>
      </c>
      <c r="B8" s="1304"/>
      <c r="C8" s="1304"/>
      <c r="D8" s="1305" t="s">
        <v>16198</v>
      </c>
      <c r="E8" s="1306"/>
      <c r="F8" s="1307"/>
      <c r="G8" s="1306"/>
      <c r="H8" s="1306"/>
      <c r="I8" s="1308"/>
      <c r="J8" s="948"/>
      <c r="K8" s="1296"/>
      <c r="L8" s="262"/>
    </row>
    <row r="9" spans="1:12" ht="12.75">
      <c r="A9" s="252" t="s">
        <v>13985</v>
      </c>
      <c r="B9" s="1653"/>
      <c r="C9" s="1653"/>
      <c r="D9" s="1654" t="s">
        <v>16546</v>
      </c>
      <c r="E9" s="1655"/>
      <c r="F9" s="1656"/>
      <c r="G9" s="1655"/>
      <c r="H9" s="1655"/>
      <c r="I9" s="1657"/>
      <c r="J9" s="948" t="s">
        <v>16436</v>
      </c>
      <c r="K9" s="1296" t="s">
        <v>16547</v>
      </c>
      <c r="L9" s="262"/>
    </row>
    <row r="10" spans="1:12" ht="25.5" outlineLevel="1">
      <c r="A10" s="243" t="s">
        <v>13986</v>
      </c>
      <c r="B10" s="386">
        <v>96523</v>
      </c>
      <c r="C10" s="386" t="s">
        <v>14476</v>
      </c>
      <c r="D10" s="387" t="str">
        <f>IFERROR(VLOOKUP($B10,'24.08_ND'!$A:$D,2,0),IFERROR(VLOOKUP(#REF!,'03-CP'!$C$5:$H$4646,2,0),""))</f>
        <v>ESCAVAÇÃO MANUAL PARA BLOCO DE COROAMENTO OU SAPATA (INCLUINDO ESCAVAÇÃO PARA COLOCAÇÃO DE FÔRMAS). AF_01/2024</v>
      </c>
      <c r="E10" s="253" t="str">
        <f>IFERROR(VLOOKUP($B10,'24.08_ND'!$A:$D,3,0),IFERROR(VLOOKUP(#REF!,'03-CP'!$C$5:$H$4646,3,0),""))</f>
        <v>M3</v>
      </c>
      <c r="F10" s="389">
        <v>53.6</v>
      </c>
      <c r="G10" s="386"/>
      <c r="H10" s="386"/>
      <c r="I10" s="1316"/>
      <c r="J10" s="386" t="s">
        <v>16202</v>
      </c>
      <c r="K10" s="386"/>
      <c r="L10" s="386"/>
    </row>
    <row r="11" spans="1:12" ht="25.5" outlineLevel="1">
      <c r="A11" s="243" t="s">
        <v>13987</v>
      </c>
      <c r="B11" s="386">
        <v>101616</v>
      </c>
      <c r="C11" s="386" t="s">
        <v>14476</v>
      </c>
      <c r="D11" s="387" t="str">
        <f>IFERROR(VLOOKUP($B11,'24.08_ND'!$A:$D,2,0),IFERROR(VLOOKUP(#REF!,'03-CP'!$C$5:$H$4646,2,0),""))</f>
        <v>PREPARO DE FUNDO DE VALA COM LARGURA MENOR QUE 1,5 M (ACERTO DO SOLO NATURAL). AF_08/2020</v>
      </c>
      <c r="E11" s="253" t="str">
        <f>IFERROR(VLOOKUP($B11,'24.08_ND'!$A:$D,3,0),IFERROR(VLOOKUP(#REF!,'03-CP'!$C$5:$H$4646,3,0),""))</f>
        <v>M2</v>
      </c>
      <c r="F11" s="389">
        <v>16.64</v>
      </c>
      <c r="G11" s="386"/>
      <c r="H11" s="386"/>
      <c r="I11" s="1316"/>
      <c r="J11" s="386" t="s">
        <v>16202</v>
      </c>
      <c r="K11" s="386"/>
      <c r="L11" s="386"/>
    </row>
    <row r="12" spans="1:12" ht="25.5" outlineLevel="1">
      <c r="A12" s="243" t="s">
        <v>13988</v>
      </c>
      <c r="B12" s="386">
        <v>96616</v>
      </c>
      <c r="C12" s="386" t="s">
        <v>14476</v>
      </c>
      <c r="D12" s="387" t="str">
        <f>IFERROR(VLOOKUP($B12,'24.08_ND'!$A:$D,2,0),IFERROR(VLOOKUP(#REF!,'03-CP'!$C$5:$H$4646,2,0),""))</f>
        <v>LASTRO DE CONCRETO MAGRO, APLICADO EM BLOCOS DE COROAMENTO OU SAPATAS. AF_01/2024</v>
      </c>
      <c r="E12" s="253" t="str">
        <f>IFERROR(VLOOKUP($B12,'24.08_ND'!$A:$D,3,0),IFERROR(VLOOKUP(#REF!,'03-CP'!$C$5:$H$4646,3,0),""))</f>
        <v>M3</v>
      </c>
      <c r="F12" s="389">
        <v>0.83</v>
      </c>
      <c r="G12" s="386"/>
      <c r="H12" s="386"/>
      <c r="I12" s="1316"/>
      <c r="J12" s="386" t="s">
        <v>16202</v>
      </c>
      <c r="K12" s="386"/>
      <c r="L12" s="386"/>
    </row>
    <row r="13" spans="1:12" ht="25.5" outlineLevel="1">
      <c r="A13" s="243" t="s">
        <v>13989</v>
      </c>
      <c r="B13" s="386">
        <v>96535</v>
      </c>
      <c r="C13" s="386" t="s">
        <v>14476</v>
      </c>
      <c r="D13" s="387" t="str">
        <f>IFERROR(VLOOKUP($B13,'24.08_ND'!$A:$D,2,0),IFERROR(VLOOKUP(#REF!,'03-CP'!$C$5:$H$4646,2,0),""))</f>
        <v>FABRICAÇÃO, MONTAGEM E DESMONTAGEM DE FÔRMA PARA SAPATA, EM MADEIRA SERRADA, E=25 MM, 4 UTILIZAÇÕES. AF_01/2024</v>
      </c>
      <c r="E13" s="253" t="str">
        <f>IFERROR(VLOOKUP($B13,'24.08_ND'!$A:$D,3,0),IFERROR(VLOOKUP(#REF!,'03-CP'!$C$5:$H$4646,3,0),""))</f>
        <v>M2</v>
      </c>
      <c r="F13" s="389">
        <v>29.12</v>
      </c>
      <c r="G13" s="386"/>
      <c r="H13" s="386"/>
      <c r="I13" s="1316"/>
      <c r="J13" s="386" t="s">
        <v>16202</v>
      </c>
      <c r="K13" s="386"/>
      <c r="L13" s="386"/>
    </row>
    <row r="14" spans="1:12" ht="25.5" outlineLevel="1">
      <c r="A14" s="243" t="s">
        <v>13990</v>
      </c>
      <c r="B14" s="386">
        <v>104919</v>
      </c>
      <c r="C14" s="386" t="s">
        <v>14476</v>
      </c>
      <c r="D14" s="387" t="str">
        <f>IFERROR(VLOOKUP($B14,'24.08_ND'!$A:$D,2,0),IFERROR(VLOOKUP(#REF!,'03-CP'!$C$5:$H$4646,2,0),""))</f>
        <v>ARMAÇÃO DE SAPATA ISOLADA, VIGA BALDRAME E SAPATA CORRIDA UTILIZANDO AÇO CA-50 DE 10 MM - MONTAGEM. AF_01/2024</v>
      </c>
      <c r="E14" s="253" t="str">
        <f>IFERROR(VLOOKUP($B14,'24.08_ND'!$A:$D,3,0),IFERROR(VLOOKUP(#REF!,'03-CP'!$C$5:$H$4646,3,0),""))</f>
        <v>KG</v>
      </c>
      <c r="F14" s="389">
        <v>302.60000000000002</v>
      </c>
      <c r="G14" s="386"/>
      <c r="H14" s="386"/>
      <c r="I14" s="1316"/>
      <c r="J14" s="386" t="s">
        <v>16202</v>
      </c>
      <c r="K14" s="386"/>
      <c r="L14" s="386"/>
    </row>
    <row r="15" spans="1:12" ht="25.5" outlineLevel="1">
      <c r="A15" s="243" t="s">
        <v>13991</v>
      </c>
      <c r="B15" s="386">
        <v>96558</v>
      </c>
      <c r="C15" s="386" t="s">
        <v>14476</v>
      </c>
      <c r="D15" s="387" t="str">
        <f>IFERROR(VLOOKUP($B15,'24.08_ND'!$A:$D,2,0),IFERROR(VLOOKUP(#REF!,'03-CP'!$C$5:$H$4646,2,0),""))</f>
        <v>CONCRETAGEM DE SAPATA, FCK 30 MPA, COM USO DE BOMBA - LANÇAMENTO, ADENSAMENTO E ACABAMENTO. AF_01/2024</v>
      </c>
      <c r="E15" s="253" t="str">
        <f>IFERROR(VLOOKUP($B15,'24.08_ND'!$A:$D,3,0),IFERROR(VLOOKUP(#REF!,'03-CP'!$C$5:$H$4646,3,0),""))</f>
        <v>M3</v>
      </c>
      <c r="F15" s="389">
        <v>5.82</v>
      </c>
      <c r="G15" s="386"/>
      <c r="H15" s="386"/>
      <c r="I15" s="1316"/>
      <c r="J15" s="386" t="s">
        <v>16202</v>
      </c>
      <c r="K15" s="386"/>
      <c r="L15" s="386"/>
    </row>
    <row r="16" spans="1:12" ht="25.5" outlineLevel="1">
      <c r="A16" s="1317" t="s">
        <v>13992</v>
      </c>
      <c r="B16" s="295">
        <v>93382</v>
      </c>
      <c r="C16" s="295" t="s">
        <v>14476</v>
      </c>
      <c r="D16" s="296" t="str">
        <f>IFERROR(VLOOKUP($B16,'24.08_ND'!$A:$D,2,0),IFERROR(VLOOKUP(#REF!,'03-CP'!$C$5:$H$4646,2,0),""))</f>
        <v>REATERRO MANUAL DE VALAS, COM COMPACTADOR DE SOLOS DE PERCUSSÃO. AF_08/2023</v>
      </c>
      <c r="E16" s="297" t="str">
        <f>IFERROR(VLOOKUP($B16,'24.08_ND'!$A:$D,3,0),IFERROR(VLOOKUP(#REF!,'03-CP'!$C$5:$H$4646,3,0),""))</f>
        <v>M3</v>
      </c>
      <c r="F16" s="298">
        <f>F18</f>
        <v>52.558000000000007</v>
      </c>
      <c r="G16" s="295"/>
      <c r="H16" s="295"/>
      <c r="I16" s="1319"/>
      <c r="J16" s="295" t="s">
        <v>16202</v>
      </c>
      <c r="K16" s="386"/>
      <c r="L16" s="386"/>
    </row>
    <row r="17" spans="1:12" ht="12.75" hidden="1" outlineLevel="1">
      <c r="A17" s="1321"/>
      <c r="B17" s="1322"/>
      <c r="C17" s="1323"/>
      <c r="D17" s="1324" t="s">
        <v>16203</v>
      </c>
      <c r="E17" s="1325" t="s">
        <v>16204</v>
      </c>
      <c r="F17" s="1326" t="s">
        <v>16205</v>
      </c>
      <c r="G17" s="1327"/>
      <c r="H17" s="1327"/>
      <c r="I17" s="1328"/>
      <c r="J17" s="1327"/>
      <c r="K17" s="1327"/>
      <c r="L17" s="1327"/>
    </row>
    <row r="18" spans="1:12" ht="12.75" hidden="1" outlineLevel="1">
      <c r="A18" s="1321"/>
      <c r="B18" s="1329"/>
      <c r="C18" s="1330"/>
      <c r="D18" s="1331">
        <f>F10-F15</f>
        <v>47.78</v>
      </c>
      <c r="E18" s="1332">
        <v>1.1000000000000001</v>
      </c>
      <c r="F18" s="1333">
        <f>D18*E18</f>
        <v>52.558000000000007</v>
      </c>
      <c r="G18" s="1327"/>
      <c r="H18" s="1327"/>
      <c r="I18" s="1328"/>
      <c r="J18" s="1327"/>
      <c r="K18" s="1327"/>
      <c r="L18" s="1327"/>
    </row>
    <row r="19" spans="1:12" ht="51" outlineLevel="1">
      <c r="A19" s="1317" t="s">
        <v>13993</v>
      </c>
      <c r="B19" s="295">
        <v>100978</v>
      </c>
      <c r="C19" s="295" t="s">
        <v>14476</v>
      </c>
      <c r="D19" s="296" t="str">
        <f>IFERROR(VLOOKUP($B19,'24.08_ND'!$A:$D,2,0),IFERROR(VLOOKUP(#REF!,'03-CP'!$C$5:$H$4646,2,0),""))</f>
        <v>CARGA, MANOBRA E DESCARGA DE SOLOS E MATERIAIS GRANULARES EM CAMINHÃO BASCULANTE 10 M³ - CARGA COM ESCAVADEIRA HIDRÁULICA (CAÇAMBA DE 1,20 M³ / 155 HP) E DESCARGA LIVRE (UNIDADE: M3). AF_07/2020</v>
      </c>
      <c r="E19" s="297" t="str">
        <f>IFERROR(VLOOKUP($B19,'24.08_ND'!$A:$D,3,0),IFERROR(VLOOKUP(#REF!,'03-CP'!$C$5:$H$4646,3,0),""))</f>
        <v>M3</v>
      </c>
      <c r="F19" s="298">
        <f>D23</f>
        <v>22.481999999999985</v>
      </c>
      <c r="G19" s="295"/>
      <c r="H19" s="295"/>
      <c r="I19" s="1319"/>
      <c r="J19" s="295" t="s">
        <v>16202</v>
      </c>
      <c r="K19" s="386"/>
      <c r="L19" s="386"/>
    </row>
    <row r="20" spans="1:12" ht="12.75" hidden="1" outlineLevel="1">
      <c r="A20" s="1321"/>
      <c r="B20" s="1322" t="s">
        <v>16206</v>
      </c>
      <c r="C20" s="1323" t="s">
        <v>16207</v>
      </c>
      <c r="D20" s="1324" t="s">
        <v>16208</v>
      </c>
      <c r="E20" s="1334"/>
      <c r="F20" s="1335"/>
      <c r="G20" s="1327"/>
      <c r="H20" s="1327"/>
      <c r="I20" s="1328"/>
      <c r="J20" s="1327"/>
      <c r="K20" s="1327"/>
      <c r="L20" s="1327"/>
    </row>
    <row r="21" spans="1:12" ht="12.75" hidden="1" outlineLevel="1">
      <c r="A21" s="1321"/>
      <c r="B21" s="1336">
        <f>F10</f>
        <v>53.6</v>
      </c>
      <c r="C21" s="1327">
        <v>1.4</v>
      </c>
      <c r="D21" s="1337">
        <f>B21*C21</f>
        <v>75.039999999999992</v>
      </c>
      <c r="E21" s="1338"/>
      <c r="F21" s="1339"/>
      <c r="G21" s="1327"/>
      <c r="H21" s="1327"/>
      <c r="I21" s="1328"/>
      <c r="J21" s="1327"/>
      <c r="K21" s="1327"/>
      <c r="L21" s="1327"/>
    </row>
    <row r="22" spans="1:12" ht="12.75" hidden="1" outlineLevel="1">
      <c r="A22" s="1321"/>
      <c r="B22" s="1340" t="s">
        <v>16209</v>
      </c>
      <c r="C22" s="1327" t="s">
        <v>16205</v>
      </c>
      <c r="D22" s="1341" t="s">
        <v>16210</v>
      </c>
      <c r="E22" s="1338"/>
      <c r="F22" s="1339"/>
      <c r="G22" s="1327"/>
      <c r="H22" s="1327"/>
      <c r="I22" s="1328"/>
      <c r="J22" s="1327"/>
      <c r="K22" s="1327"/>
      <c r="L22" s="1327"/>
    </row>
    <row r="23" spans="1:12" ht="12.75" hidden="1" outlineLevel="1">
      <c r="A23" s="1321"/>
      <c r="B23" s="1329">
        <f>D21</f>
        <v>75.039999999999992</v>
      </c>
      <c r="C23" s="1342">
        <f>F18</f>
        <v>52.558000000000007</v>
      </c>
      <c r="D23" s="1343">
        <f>B23-C23</f>
        <v>22.481999999999985</v>
      </c>
      <c r="E23" s="1344"/>
      <c r="F23" s="1345"/>
      <c r="G23" s="1327"/>
      <c r="H23" s="1327"/>
      <c r="I23" s="1328"/>
      <c r="J23" s="1327"/>
      <c r="K23" s="1327"/>
      <c r="L23" s="1327"/>
    </row>
    <row r="24" spans="1:12" ht="25.5" outlineLevel="1">
      <c r="A24" s="1317" t="s">
        <v>13994</v>
      </c>
      <c r="B24" s="295">
        <v>100938</v>
      </c>
      <c r="C24" s="295" t="s">
        <v>14476</v>
      </c>
      <c r="D24" s="296" t="str">
        <f>IFERROR(VLOOKUP($B24,'24.08_ND'!$A:$D,2,0),IFERROR(VLOOKUP(#REF!,'03-CP'!$C$5:$H$4646,2,0),""))</f>
        <v>TRANSPORTE COM CAMINHÃO BASCULANTE DE 10 M³, EM VIA INTERNA (DENTRO DO CANTEIRO - UNIDADE: M3XKM). AF_07/2020</v>
      </c>
      <c r="E24" s="297" t="str">
        <f>IFERROR(VLOOKUP($B24,'24.08_ND'!$A:$D,3,0),IFERROR(VLOOKUP(#REF!,'03-CP'!$C$5:$H$4646,3,0),""))</f>
        <v>M3XKM</v>
      </c>
      <c r="F24" s="298">
        <f>F26</f>
        <v>44.96399999999997</v>
      </c>
      <c r="G24" s="295"/>
      <c r="H24" s="295"/>
      <c r="I24" s="1319"/>
      <c r="J24" s="295" t="s">
        <v>16202</v>
      </c>
      <c r="K24" s="386"/>
      <c r="L24" s="386"/>
    </row>
    <row r="25" spans="1:12" ht="12.75" hidden="1" outlineLevel="1">
      <c r="A25" s="1346"/>
      <c r="B25" s="1322"/>
      <c r="C25" s="1334"/>
      <c r="D25" s="1325" t="s">
        <v>16211</v>
      </c>
      <c r="E25" s="1347" t="s">
        <v>16212</v>
      </c>
      <c r="F25" s="1348" t="s">
        <v>16213</v>
      </c>
      <c r="G25" s="1349"/>
      <c r="H25" s="1349"/>
      <c r="I25" s="1350"/>
      <c r="J25" s="1351"/>
      <c r="K25" s="1352"/>
      <c r="L25" s="1353"/>
    </row>
    <row r="26" spans="1:12" ht="12.75" hidden="1" outlineLevel="1">
      <c r="A26" s="1346"/>
      <c r="B26" s="1329"/>
      <c r="C26" s="1344"/>
      <c r="D26" s="1354">
        <f>D23</f>
        <v>22.481999999999985</v>
      </c>
      <c r="E26" s="1355">
        <v>2</v>
      </c>
      <c r="F26" s="1356">
        <f>D26*E26</f>
        <v>44.96399999999997</v>
      </c>
      <c r="G26" s="1349"/>
      <c r="H26" s="1349"/>
      <c r="I26" s="1350"/>
      <c r="J26" s="1351"/>
      <c r="K26" s="1352"/>
      <c r="L26" s="1353"/>
    </row>
    <row r="27" spans="1:12" ht="12.75" hidden="1" outlineLevel="1">
      <c r="A27" s="1473"/>
      <c r="B27" s="386"/>
      <c r="C27" s="253"/>
      <c r="D27" s="1446"/>
      <c r="E27" s="1447"/>
      <c r="F27" s="306"/>
      <c r="G27" s="1520"/>
      <c r="H27" s="1520"/>
      <c r="I27" s="1731"/>
      <c r="J27" s="1369"/>
      <c r="K27" s="339"/>
      <c r="L27" s="1519"/>
    </row>
    <row r="28" spans="1:12" ht="12.75">
      <c r="A28" s="252" t="s">
        <v>13995</v>
      </c>
      <c r="B28" s="1653"/>
      <c r="C28" s="1653"/>
      <c r="D28" s="1654" t="s">
        <v>16548</v>
      </c>
      <c r="E28" s="1655"/>
      <c r="F28" s="1656"/>
      <c r="G28" s="1655"/>
      <c r="H28" s="1655"/>
      <c r="I28" s="1657"/>
      <c r="J28" s="948"/>
      <c r="K28" s="1296"/>
      <c r="L28" s="262"/>
    </row>
    <row r="29" spans="1:12" ht="38.25" outlineLevel="1">
      <c r="A29" s="243" t="s">
        <v>13996</v>
      </c>
      <c r="B29" s="386">
        <v>92413</v>
      </c>
      <c r="C29" s="386" t="s">
        <v>14476</v>
      </c>
      <c r="D29" s="387" t="str">
        <f>IFERROR(VLOOKUP($B29,'24.08_ND'!$A$4833:$D$12369,2,0),IFERROR(VLOOKUP($B29,'03-CP'!$C$5:$H$4646,2,0),""))</f>
        <v>MONTAGEM E DESMONTAGEM DE FÔRMA DE PILARES RETANGULARES E ESTRUTURAS SIMILARES, PÉ-DIREITO SIMPLES, EM MADEIRA SERRADA, 4 UTILIZAÇÕES. AF_09/2020</v>
      </c>
      <c r="E29" s="253" t="str">
        <f>IFERROR(VLOOKUP($B29,'24.08_ND'!$A:$D,3,0),IFERROR(VLOOKUP($B29,'03-CP'!$C$5:$H$4646,3,0),""))</f>
        <v>M2</v>
      </c>
      <c r="F29" s="389">
        <v>15.03</v>
      </c>
      <c r="G29" s="386"/>
      <c r="H29" s="386"/>
      <c r="I29" s="1316"/>
      <c r="J29" s="386" t="s">
        <v>16202</v>
      </c>
      <c r="K29" s="386"/>
      <c r="L29" s="386"/>
    </row>
    <row r="30" spans="1:12" ht="38.25" outlineLevel="1">
      <c r="A30" s="243" t="s">
        <v>13997</v>
      </c>
      <c r="B30" s="386">
        <v>92759</v>
      </c>
      <c r="C30" s="386" t="s">
        <v>14476</v>
      </c>
      <c r="D30" s="387" t="str">
        <f>IFERROR(VLOOKUP($B30,'24.08_ND'!$A:$D,2,0),IFERROR(VLOOKUP(#REF!,'03-CP'!$C$5:$H$4646,2,0),""))</f>
        <v>ARMAÇÃO DE PILAR OU VIGA DE ESTRUTURA CONVENCIONAL DE CONCRETO ARMADO UTILIZANDO AÇO CA-60 DE 5,0 MM - MONTAGEM. AF_06/2022</v>
      </c>
      <c r="E30" s="253" t="str">
        <f>IFERROR(VLOOKUP($B30,'24.08_ND'!$A:$D,3,0),IFERROR(VLOOKUP(#REF!,'03-CP'!$C$5:$H$4646,3,0),""))</f>
        <v>KG</v>
      </c>
      <c r="F30" s="389">
        <v>33.200000000000003</v>
      </c>
      <c r="G30" s="386"/>
      <c r="H30" s="386"/>
      <c r="I30" s="1316"/>
      <c r="J30" s="386" t="s">
        <v>16202</v>
      </c>
      <c r="K30" s="386"/>
      <c r="L30" s="386"/>
    </row>
    <row r="31" spans="1:12" ht="38.25" outlineLevel="1">
      <c r="A31" s="243" t="s">
        <v>13998</v>
      </c>
      <c r="B31" s="386">
        <v>92762</v>
      </c>
      <c r="C31" s="386" t="s">
        <v>14476</v>
      </c>
      <c r="D31" s="387" t="str">
        <f>IFERROR(VLOOKUP($B31,'24.08_ND'!$A:$D,2,0),IFERROR(VLOOKUP(#REF!,'03-CP'!$C$5:$H$4646,2,0),""))</f>
        <v>ARMAÇÃO DE PILAR OU VIGA DE ESTRUTURA CONVENCIONAL DE CONCRETO ARMADO UTILIZANDO AÇO CA-50 DE 10,0 MM - MONTAGEM. AF_06/2022</v>
      </c>
      <c r="E31" s="253" t="str">
        <f>IFERROR(VLOOKUP($B31,'24.08_ND'!$A:$D,3,0),IFERROR(VLOOKUP(#REF!,'03-CP'!$C$5:$H$4646,3,0),""))</f>
        <v>KG</v>
      </c>
      <c r="F31" s="389">
        <v>77.900000000000006</v>
      </c>
      <c r="G31" s="386"/>
      <c r="H31" s="386"/>
      <c r="I31" s="1316"/>
      <c r="J31" s="386" t="s">
        <v>16202</v>
      </c>
      <c r="K31" s="386"/>
      <c r="L31" s="386"/>
    </row>
    <row r="32" spans="1:12" ht="38.25" outlineLevel="1">
      <c r="A32" s="243" t="s">
        <v>13999</v>
      </c>
      <c r="B32" s="386">
        <v>92763</v>
      </c>
      <c r="C32" s="386" t="s">
        <v>14476</v>
      </c>
      <c r="D32" s="387" t="str">
        <f>IFERROR(VLOOKUP($B32,'24.08_ND'!$A:$D,2,0),IFERROR(VLOOKUP(#REF!,'03-CP'!$C$5:$H$4646,2,0),""))</f>
        <v>ARMAÇÃO DE PILAR OU VIGA DE ESTRUTURA CONVENCIONAL DE CONCRETO ARMADO UTILIZANDO AÇO CA-50 DE 12,5 MM - MONTAGEM. AF_06/2022</v>
      </c>
      <c r="E32" s="253" t="str">
        <f>IFERROR(VLOOKUP($B32,'24.08_ND'!$A:$D,3,0),IFERROR(VLOOKUP(#REF!,'03-CP'!$C$5:$H$4646,3,0),""))</f>
        <v>KG</v>
      </c>
      <c r="F32" s="389">
        <v>53.8</v>
      </c>
      <c r="G32" s="386"/>
      <c r="H32" s="386"/>
      <c r="I32" s="1316"/>
      <c r="J32" s="386" t="s">
        <v>16202</v>
      </c>
      <c r="K32" s="386"/>
      <c r="L32" s="386"/>
    </row>
    <row r="33" spans="1:12" ht="38.25" outlineLevel="1">
      <c r="A33" s="243" t="s">
        <v>14000</v>
      </c>
      <c r="B33" s="386">
        <v>92764</v>
      </c>
      <c r="C33" s="386" t="s">
        <v>14476</v>
      </c>
      <c r="D33" s="387" t="str">
        <f>IFERROR(VLOOKUP($B33,'24.08_ND'!$A:$D,2,0),IFERROR(VLOOKUP(#REF!,'03-CP'!$C$5:$H$4646,2,0),""))</f>
        <v>ARMAÇÃO DE PILAR OU VIGA DE ESTRUTURA CONVENCIONAL DE CONCRETO ARMADO UTILIZANDO AÇO CA-50 DE 16,0 MM - MONTAGEM. AF_06/2022</v>
      </c>
      <c r="E33" s="253" t="str">
        <f>IFERROR(VLOOKUP($B33,'24.08_ND'!$A:$D,3,0),IFERROR(VLOOKUP(#REF!,'03-CP'!$C$5:$H$4646,3,0),""))</f>
        <v>KG</v>
      </c>
      <c r="F33" s="389">
        <v>52.1</v>
      </c>
      <c r="G33" s="386"/>
      <c r="H33" s="386"/>
      <c r="I33" s="1316"/>
      <c r="J33" s="386" t="s">
        <v>16202</v>
      </c>
      <c r="K33" s="386"/>
      <c r="L33" s="386"/>
    </row>
    <row r="34" spans="1:12" ht="25.5" outlineLevel="1">
      <c r="A34" s="243" t="s">
        <v>14001</v>
      </c>
      <c r="B34" s="386">
        <v>96558</v>
      </c>
      <c r="C34" s="386" t="s">
        <v>14476</v>
      </c>
      <c r="D34" s="387" t="str">
        <f>IFERROR(VLOOKUP($B34,'24.08_ND'!$A:$D,2,0),IFERROR(VLOOKUP(#REF!,'03-CP'!$C$5:$H$4646,2,0),""))</f>
        <v>CONCRETAGEM DE SAPATA, FCK 30 MPA, COM USO DE BOMBA - LANÇAMENTO, ADENSAMENTO E ACABAMENTO. AF_01/2024</v>
      </c>
      <c r="E34" s="253" t="str">
        <f>IFERROR(VLOOKUP($B34,'24.08_ND'!$A:$D,3,0),IFERROR(VLOOKUP(#REF!,'03-CP'!$C$5:$H$4646,3,0),""))</f>
        <v>M3</v>
      </c>
      <c r="F34" s="389">
        <v>0.74</v>
      </c>
      <c r="G34" s="386"/>
      <c r="H34" s="386"/>
      <c r="I34" s="1316"/>
      <c r="J34" s="386" t="s">
        <v>16202</v>
      </c>
      <c r="K34" s="386"/>
      <c r="L34" s="386"/>
    </row>
    <row r="35" spans="1:12" ht="12.75" hidden="1" outlineLevel="1">
      <c r="A35" s="1473"/>
      <c r="B35" s="386"/>
      <c r="C35" s="253"/>
      <c r="D35" s="1446"/>
      <c r="E35" s="1447"/>
      <c r="F35" s="306"/>
      <c r="G35" s="1520"/>
      <c r="H35" s="1520"/>
      <c r="I35" s="1731"/>
      <c r="J35" s="1369"/>
      <c r="K35" s="339"/>
      <c r="L35" s="1519"/>
    </row>
    <row r="36" spans="1:12" ht="12.75">
      <c r="A36" s="252" t="s">
        <v>14002</v>
      </c>
      <c r="B36" s="1653"/>
      <c r="C36" s="1653"/>
      <c r="D36" s="1654" t="s">
        <v>16549</v>
      </c>
      <c r="E36" s="1655"/>
      <c r="F36" s="1656"/>
      <c r="G36" s="1655"/>
      <c r="H36" s="1655"/>
      <c r="I36" s="1657"/>
      <c r="J36" s="948"/>
      <c r="K36" s="1296"/>
      <c r="L36" s="262"/>
    </row>
    <row r="37" spans="1:12" ht="25.5" outlineLevel="1">
      <c r="A37" s="243" t="s">
        <v>14003</v>
      </c>
      <c r="B37" s="386">
        <v>96527</v>
      </c>
      <c r="C37" s="386" t="s">
        <v>14476</v>
      </c>
      <c r="D37" s="387" t="str">
        <f>IFERROR(VLOOKUP($B37,'24.08_ND'!$A:$D,2,0),IFERROR(VLOOKUP(#REF!,'03-CP'!$C$5:$H$4646,2,0),""))</f>
        <v>ESCAVAÇÃO MANUAL PARA VIGA BALDRAME OU SAPATA CORRIDA (INCLUINDO ESCAVAÇÃO PARA COLOCAÇÃO DE FÔRMAS). AF_01/2024</v>
      </c>
      <c r="E37" s="253" t="str">
        <f>IFERROR(VLOOKUP($B37,'24.08_ND'!$A:$D,3,0),IFERROR(VLOOKUP(#REF!,'03-CP'!$C$5:$H$4646,3,0),""))</f>
        <v>M3</v>
      </c>
      <c r="F37" s="389">
        <v>23.87</v>
      </c>
      <c r="G37" s="386"/>
      <c r="H37" s="386"/>
      <c r="I37" s="1316"/>
      <c r="J37" s="386" t="s">
        <v>16202</v>
      </c>
      <c r="K37" s="386"/>
      <c r="L37" s="386"/>
    </row>
    <row r="38" spans="1:12" ht="25.5" outlineLevel="1">
      <c r="A38" s="243" t="s">
        <v>14004</v>
      </c>
      <c r="B38" s="386">
        <v>101616</v>
      </c>
      <c r="C38" s="386" t="s">
        <v>14476</v>
      </c>
      <c r="D38" s="387" t="str">
        <f>IFERROR(VLOOKUP($B38,'24.08_ND'!$A:$D,2,0),IFERROR(VLOOKUP(#REF!,'03-CP'!$C$5:$H$4646,2,0),""))</f>
        <v>PREPARO DE FUNDO DE VALA COM LARGURA MENOR QUE 1,5 M (ACERTO DO SOLO NATURAL). AF_08/2020</v>
      </c>
      <c r="E38" s="253" t="str">
        <f>IFERROR(VLOOKUP($B38,'24.08_ND'!$A:$D,3,0),IFERROR(VLOOKUP(#REF!,'03-CP'!$C$5:$H$4646,3,0),""))</f>
        <v>M2</v>
      </c>
      <c r="F38" s="389">
        <v>13.75</v>
      </c>
      <c r="G38" s="386"/>
      <c r="H38" s="386"/>
      <c r="I38" s="1316"/>
      <c r="J38" s="386" t="s">
        <v>16202</v>
      </c>
      <c r="K38" s="386"/>
      <c r="L38" s="386"/>
    </row>
    <row r="39" spans="1:12" ht="25.5" outlineLevel="1">
      <c r="A39" s="243" t="s">
        <v>14005</v>
      </c>
      <c r="B39" s="386">
        <v>96621</v>
      </c>
      <c r="C39" s="386" t="s">
        <v>14476</v>
      </c>
      <c r="D39" s="387" t="str">
        <f>IFERROR(VLOOKUP($B39,'24.08_ND'!$A:$D,2,0),IFERROR(VLOOKUP(#REF!,'03-CP'!$C$5:$H$4646,2,0),""))</f>
        <v>LASTRO COM MATERIAL GRANULAR, APLICAÇÃO EM BLOCOS DE COROAMENTO, ESPESSURA DE *5 CM*. AF_01/2024</v>
      </c>
      <c r="E39" s="253" t="str">
        <f>IFERROR(VLOOKUP($B39,'24.08_ND'!$A:$D,3,0),IFERROR(VLOOKUP(#REF!,'03-CP'!$C$5:$H$4646,3,0),""))</f>
        <v>M3</v>
      </c>
      <c r="F39" s="389">
        <v>0.69</v>
      </c>
      <c r="G39" s="386"/>
      <c r="H39" s="386"/>
      <c r="I39" s="1316"/>
      <c r="J39" s="386" t="s">
        <v>16202</v>
      </c>
      <c r="K39" s="386"/>
      <c r="L39" s="386"/>
    </row>
    <row r="40" spans="1:12" ht="25.5" outlineLevel="1">
      <c r="A40" s="243" t="s">
        <v>14006</v>
      </c>
      <c r="B40" s="386">
        <v>96536</v>
      </c>
      <c r="C40" s="386" t="s">
        <v>14476</v>
      </c>
      <c r="D40" s="387" t="str">
        <f>IFERROR(VLOOKUP($B40,'24.08_ND'!$A:$D,2,0),IFERROR(VLOOKUP(#REF!,'03-CP'!$C$5:$H$4646,2,0),""))</f>
        <v>FABRICAÇÃO, MONTAGEM E DESMONTAGEM DE FÔRMA PARA VIGA BALDRAME, EM MADEIRA SERRADA, E=25 MM, 4 UTILIZAÇÕES. AF_01/2024</v>
      </c>
      <c r="E40" s="253" t="str">
        <f>IFERROR(VLOOKUP($B40,'24.08_ND'!$A:$D,3,0),IFERROR(VLOOKUP(#REF!,'03-CP'!$C$5:$H$4646,3,0),""))</f>
        <v>M2</v>
      </c>
      <c r="F40" s="389">
        <v>78.569999999999993</v>
      </c>
      <c r="G40" s="386"/>
      <c r="H40" s="386"/>
      <c r="I40" s="1316"/>
      <c r="J40" s="386" t="s">
        <v>16202</v>
      </c>
      <c r="K40" s="386"/>
      <c r="L40" s="386"/>
    </row>
    <row r="41" spans="1:12" ht="25.5" outlineLevel="1">
      <c r="A41" s="243" t="s">
        <v>14007</v>
      </c>
      <c r="B41" s="386">
        <v>104916</v>
      </c>
      <c r="C41" s="386" t="s">
        <v>14476</v>
      </c>
      <c r="D41" s="387" t="str">
        <f>IFERROR(VLOOKUP($B41,'24.08_ND'!$A:$D,2,0),IFERROR(VLOOKUP(#REF!,'03-CP'!$C$5:$H$4646,2,0),""))</f>
        <v>ARMAÇÃO DE SAPATA ISOLADA, VIGA BALDRAME E SAPATA CORRIDA UTILIZANDO AÇO CA-60 DE 5 MM - MONTAGEM. AF_01/2024</v>
      </c>
      <c r="E41" s="253" t="str">
        <f>IFERROR(VLOOKUP($B41,'24.08_ND'!$A:$D,3,0),IFERROR(VLOOKUP(#REF!,'03-CP'!$C$5:$H$4646,3,0),""))</f>
        <v>KG</v>
      </c>
      <c r="F41" s="389">
        <v>74.2</v>
      </c>
      <c r="G41" s="386"/>
      <c r="H41" s="386"/>
      <c r="I41" s="1316"/>
      <c r="J41" s="386" t="s">
        <v>16202</v>
      </c>
      <c r="K41" s="386"/>
      <c r="L41" s="386"/>
    </row>
    <row r="42" spans="1:12" ht="25.5" outlineLevel="1">
      <c r="A42" s="243" t="s">
        <v>14008</v>
      </c>
      <c r="B42" s="386">
        <v>104917</v>
      </c>
      <c r="C42" s="386" t="s">
        <v>14476</v>
      </c>
      <c r="D42" s="387" t="str">
        <f>IFERROR(VLOOKUP($B42,'24.08_ND'!$A:$D,2,0),IFERROR(VLOOKUP(#REF!,'03-CP'!$C$5:$H$4646,2,0),""))</f>
        <v>ARMAÇÃO DE SAPATA ISOLADA, VIGA BALDRAME E SAPATA CORRIDA UTILIZANDO AÇO CA-50 DE 6,3 MM - MONTAGEM. AF_01/2024</v>
      </c>
      <c r="E42" s="253" t="str">
        <f>IFERROR(VLOOKUP($B42,'24.08_ND'!$A:$D,3,0),IFERROR(VLOOKUP(#REF!,'03-CP'!$C$5:$H$4646,3,0),""))</f>
        <v>KG</v>
      </c>
      <c r="F42" s="389">
        <v>1.7</v>
      </c>
      <c r="G42" s="386"/>
      <c r="H42" s="386"/>
      <c r="I42" s="1316"/>
      <c r="J42" s="386" t="s">
        <v>16202</v>
      </c>
      <c r="K42" s="386"/>
      <c r="L42" s="386"/>
    </row>
    <row r="43" spans="1:12" ht="25.5" outlineLevel="1">
      <c r="A43" s="243" t="s">
        <v>14009</v>
      </c>
      <c r="B43" s="386">
        <v>104918</v>
      </c>
      <c r="C43" s="386" t="s">
        <v>14476</v>
      </c>
      <c r="D43" s="387" t="str">
        <f>IFERROR(VLOOKUP($B43,'24.08_ND'!$A:$D,2,0),IFERROR(VLOOKUP(#REF!,'03-CP'!$C$5:$H$4646,2,0),""))</f>
        <v>ARMAÇÃO DE SAPATA ISOLADA, VIGA BALDRAME E SAPATA CORRIDA UTILIZANDO AÇO CA-50 DE 8 MM - MONTAGEM. AF_01/2024</v>
      </c>
      <c r="E43" s="253" t="str">
        <f>IFERROR(VLOOKUP($B43,'24.08_ND'!$A:$D,3,0),IFERROR(VLOOKUP(#REF!,'03-CP'!$C$5:$H$4646,3,0),""))</f>
        <v>KG</v>
      </c>
      <c r="F43" s="389">
        <v>90.8</v>
      </c>
      <c r="G43" s="386"/>
      <c r="H43" s="386"/>
      <c r="I43" s="1316"/>
      <c r="J43" s="386" t="s">
        <v>16202</v>
      </c>
      <c r="K43" s="386"/>
      <c r="L43" s="386"/>
    </row>
    <row r="44" spans="1:12" ht="25.5" outlineLevel="1">
      <c r="A44" s="243" t="s">
        <v>14010</v>
      </c>
      <c r="B44" s="386">
        <v>104919</v>
      </c>
      <c r="C44" s="386" t="s">
        <v>14476</v>
      </c>
      <c r="D44" s="387" t="str">
        <f>IFERROR(VLOOKUP($B44,'24.08_ND'!$A:$D,2,0),IFERROR(VLOOKUP(#REF!,'03-CP'!$C$5:$H$4646,2,0),""))</f>
        <v>ARMAÇÃO DE SAPATA ISOLADA, VIGA BALDRAME E SAPATA CORRIDA UTILIZANDO AÇO CA-50 DE 10 MM - MONTAGEM. AF_01/2024</v>
      </c>
      <c r="E44" s="253" t="str">
        <f>IFERROR(VLOOKUP($B44,'24.08_ND'!$A:$D,3,0),IFERROR(VLOOKUP(#REF!,'03-CP'!$C$5:$H$4646,3,0),""))</f>
        <v>KG</v>
      </c>
      <c r="F44" s="389">
        <v>167.4</v>
      </c>
      <c r="G44" s="386"/>
      <c r="H44" s="386"/>
      <c r="I44" s="1316"/>
      <c r="J44" s="386" t="s">
        <v>16202</v>
      </c>
      <c r="K44" s="386"/>
      <c r="L44" s="386"/>
    </row>
    <row r="45" spans="1:12" ht="38.25" outlineLevel="1">
      <c r="A45" s="243" t="s">
        <v>14011</v>
      </c>
      <c r="B45" s="386">
        <v>96557</v>
      </c>
      <c r="C45" s="386" t="s">
        <v>14476</v>
      </c>
      <c r="D45" s="387" t="str">
        <f>IFERROR(VLOOKUP($B45,'24.08_ND'!$A:$D,2,0),IFERROR(VLOOKUP(#REF!,'03-CP'!$C$5:$H$4646,2,0),""))</f>
        <v>CONCRETAGEM DE BLOCO DE COROAMENTO OU VIGA BALDRAME, FCK 30 MPA, COM USO DE BOMBA - LANÇAMENTO, ADENSAMENTO E ACABAMENTO. AF_01/2024</v>
      </c>
      <c r="E45" s="253" t="str">
        <f>IFERROR(VLOOKUP($B45,'24.08_ND'!$A:$D,3,0),IFERROR(VLOOKUP(#REF!,'03-CP'!$C$5:$H$4646,3,0),""))</f>
        <v>M3</v>
      </c>
      <c r="F45" s="389">
        <v>5.5</v>
      </c>
      <c r="G45" s="386"/>
      <c r="H45" s="386"/>
      <c r="I45" s="1316"/>
      <c r="J45" s="386" t="s">
        <v>16202</v>
      </c>
      <c r="K45" s="386"/>
      <c r="L45" s="386"/>
    </row>
    <row r="46" spans="1:12" ht="25.5" outlineLevel="1">
      <c r="A46" s="1317" t="s">
        <v>14012</v>
      </c>
      <c r="B46" s="295">
        <v>93382</v>
      </c>
      <c r="C46" s="295" t="s">
        <v>14476</v>
      </c>
      <c r="D46" s="296" t="str">
        <f>IFERROR(VLOOKUP($B46,'24.08_ND'!$A:$D,2,0),IFERROR(VLOOKUP(#REF!,'03-CP'!$C$5:$H$4646,2,0),""))</f>
        <v>REATERRO MANUAL DE VALAS, COM COMPACTADOR DE SOLOS DE PERCUSSÃO. AF_08/2023</v>
      </c>
      <c r="E46" s="297" t="str">
        <f>IFERROR(VLOOKUP($B46,'24.08_ND'!$A:$D,3,0),IFERROR(VLOOKUP(#REF!,'03-CP'!$C$5:$H$4646,3,0),""))</f>
        <v>M3</v>
      </c>
      <c r="F46" s="298">
        <f>F48</f>
        <v>20.207000000000004</v>
      </c>
      <c r="G46" s="295"/>
      <c r="H46" s="295"/>
      <c r="I46" s="1319"/>
      <c r="J46" s="295" t="s">
        <v>16202</v>
      </c>
      <c r="K46" s="386"/>
      <c r="L46" s="386"/>
    </row>
    <row r="47" spans="1:12" ht="12.75" hidden="1" outlineLevel="1">
      <c r="A47" s="664"/>
      <c r="B47" s="1592"/>
      <c r="C47" s="1593"/>
      <c r="D47" s="1594" t="s">
        <v>16203</v>
      </c>
      <c r="E47" s="1595" t="s">
        <v>16204</v>
      </c>
      <c r="F47" s="1596" t="s">
        <v>16205</v>
      </c>
      <c r="G47" s="368"/>
      <c r="H47" s="368"/>
      <c r="I47" s="870"/>
      <c r="J47" s="368"/>
      <c r="K47" s="368"/>
      <c r="L47" s="368"/>
    </row>
    <row r="48" spans="1:12" ht="12.75" hidden="1" outlineLevel="1">
      <c r="A48" s="664"/>
      <c r="B48" s="1597"/>
      <c r="C48" s="1598"/>
      <c r="D48" s="1599">
        <f>F37-F45</f>
        <v>18.37</v>
      </c>
      <c r="E48" s="1600">
        <v>1.1000000000000001</v>
      </c>
      <c r="F48" s="1601">
        <f>D48*E48</f>
        <v>20.207000000000004</v>
      </c>
      <c r="G48" s="368"/>
      <c r="H48" s="368"/>
      <c r="I48" s="870"/>
      <c r="J48" s="368"/>
      <c r="K48" s="368"/>
      <c r="L48" s="368"/>
    </row>
    <row r="49" spans="1:12" ht="51" outlineLevel="1">
      <c r="A49" s="1317" t="s">
        <v>14013</v>
      </c>
      <c r="B49" s="295">
        <v>100978</v>
      </c>
      <c r="C49" s="295" t="s">
        <v>14476</v>
      </c>
      <c r="D49" s="296" t="str">
        <f>IFERROR(VLOOKUP($B49,'24.08_ND'!$A:$D,2,0),IFERROR(VLOOKUP(#REF!,'03-CP'!$C$5:$H$4646,2,0),""))</f>
        <v>CARGA, MANOBRA E DESCARGA DE SOLOS E MATERIAIS GRANULARES EM CAMINHÃO BASCULANTE 10 M³ - CARGA COM ESCAVADEIRA HIDRÁULICA (CAÇAMBA DE 1,20 M³ / 155 HP) E DESCARGA LIVRE (UNIDADE: M3). AF_07/2020</v>
      </c>
      <c r="E49" s="297" t="str">
        <f>IFERROR(VLOOKUP($B49,'24.08_ND'!$A:$D,3,0),IFERROR(VLOOKUP(#REF!,'03-CP'!$C$5:$H$4646,3,0),""))</f>
        <v>M3</v>
      </c>
      <c r="F49" s="298">
        <f>D53</f>
        <v>13.210999999999995</v>
      </c>
      <c r="G49" s="295"/>
      <c r="H49" s="295"/>
      <c r="I49" s="1319"/>
      <c r="J49" s="295" t="s">
        <v>16202</v>
      </c>
      <c r="K49" s="386"/>
      <c r="L49" s="386"/>
    </row>
    <row r="50" spans="1:12" ht="12.75" hidden="1" outlineLevel="1">
      <c r="A50" s="1321"/>
      <c r="B50" s="1322" t="s">
        <v>16206</v>
      </c>
      <c r="C50" s="1323" t="s">
        <v>16207</v>
      </c>
      <c r="D50" s="1324" t="s">
        <v>16208</v>
      </c>
      <c r="E50" s="1334"/>
      <c r="F50" s="1335"/>
      <c r="G50" s="1327"/>
      <c r="H50" s="1327"/>
      <c r="I50" s="1328"/>
      <c r="J50" s="1327"/>
      <c r="K50" s="1327"/>
      <c r="L50" s="1327"/>
    </row>
    <row r="51" spans="1:12" ht="12.75" hidden="1" outlineLevel="1">
      <c r="A51" s="1321"/>
      <c r="B51" s="1336">
        <f>F37</f>
        <v>23.87</v>
      </c>
      <c r="C51" s="1327">
        <v>1.4</v>
      </c>
      <c r="D51" s="1337">
        <f>B51*C51</f>
        <v>33.417999999999999</v>
      </c>
      <c r="E51" s="1338"/>
      <c r="F51" s="1339"/>
      <c r="G51" s="1327"/>
      <c r="H51" s="1327"/>
      <c r="I51" s="1328"/>
      <c r="J51" s="1327"/>
      <c r="K51" s="1327"/>
      <c r="L51" s="1327"/>
    </row>
    <row r="52" spans="1:12" ht="12.75" hidden="1" outlineLevel="1">
      <c r="A52" s="1321"/>
      <c r="B52" s="1340" t="s">
        <v>16209</v>
      </c>
      <c r="C52" s="1327" t="s">
        <v>16205</v>
      </c>
      <c r="D52" s="1341" t="s">
        <v>16210</v>
      </c>
      <c r="E52" s="1338"/>
      <c r="F52" s="1339"/>
      <c r="G52" s="1327"/>
      <c r="H52" s="1327"/>
      <c r="I52" s="1328"/>
      <c r="J52" s="1327"/>
      <c r="K52" s="1327"/>
      <c r="L52" s="1327"/>
    </row>
    <row r="53" spans="1:12" ht="12.75" hidden="1" outlineLevel="1">
      <c r="A53" s="1321"/>
      <c r="B53" s="1329">
        <f>D51</f>
        <v>33.417999999999999</v>
      </c>
      <c r="C53" s="1342">
        <f>F48</f>
        <v>20.207000000000004</v>
      </c>
      <c r="D53" s="1343">
        <f>B53-C53</f>
        <v>13.210999999999995</v>
      </c>
      <c r="E53" s="1344"/>
      <c r="F53" s="1345"/>
      <c r="G53" s="1327"/>
      <c r="H53" s="1327"/>
      <c r="I53" s="1328"/>
      <c r="J53" s="1327"/>
      <c r="K53" s="1327"/>
      <c r="L53" s="1327"/>
    </row>
    <row r="54" spans="1:12" ht="25.5" outlineLevel="1">
      <c r="A54" s="1317" t="s">
        <v>14014</v>
      </c>
      <c r="B54" s="295">
        <v>100938</v>
      </c>
      <c r="C54" s="295" t="s">
        <v>14476</v>
      </c>
      <c r="D54" s="296" t="str">
        <f>IFERROR(VLOOKUP($B54,'24.08_ND'!$A:$D,2,0),IFERROR(VLOOKUP(#REF!,'03-CP'!$C$5:$H$4646,2,0),""))</f>
        <v>TRANSPORTE COM CAMINHÃO BASCULANTE DE 10 M³, EM VIA INTERNA (DENTRO DO CANTEIRO - UNIDADE: M3XKM). AF_07/2020</v>
      </c>
      <c r="E54" s="297" t="str">
        <f>IFERROR(VLOOKUP($B54,'24.08_ND'!$A:$D,3,0),IFERROR(VLOOKUP(#REF!,'03-CP'!$C$5:$H$4646,3,0),""))</f>
        <v>M3XKM</v>
      </c>
      <c r="F54" s="298">
        <f>F56</f>
        <v>26.42199999999999</v>
      </c>
      <c r="G54" s="295"/>
      <c r="H54" s="295"/>
      <c r="I54" s="1319"/>
      <c r="J54" s="295" t="s">
        <v>16202</v>
      </c>
      <c r="K54" s="386"/>
      <c r="L54" s="386"/>
    </row>
    <row r="55" spans="1:12" ht="12.75" hidden="1" outlineLevel="1">
      <c r="A55" s="1346"/>
      <c r="B55" s="1322"/>
      <c r="C55" s="1334"/>
      <c r="D55" s="1325" t="s">
        <v>16211</v>
      </c>
      <c r="E55" s="1347" t="s">
        <v>16212</v>
      </c>
      <c r="F55" s="1348" t="s">
        <v>16213</v>
      </c>
      <c r="G55" s="1349"/>
      <c r="H55" s="1349"/>
      <c r="I55" s="1350"/>
      <c r="J55" s="1351"/>
      <c r="K55" s="1352"/>
      <c r="L55" s="1353"/>
    </row>
    <row r="56" spans="1:12" ht="12.75" hidden="1" outlineLevel="1">
      <c r="A56" s="1346"/>
      <c r="B56" s="1329"/>
      <c r="C56" s="1344"/>
      <c r="D56" s="1354">
        <f>D53</f>
        <v>13.210999999999995</v>
      </c>
      <c r="E56" s="1355">
        <v>2</v>
      </c>
      <c r="F56" s="1356">
        <f>D56*E56</f>
        <v>26.42199999999999</v>
      </c>
      <c r="G56" s="1349"/>
      <c r="H56" s="1349"/>
      <c r="I56" s="1350"/>
      <c r="J56" s="1351"/>
      <c r="K56" s="1352"/>
      <c r="L56" s="1353"/>
    </row>
    <row r="57" spans="1:12" ht="25.5" outlineLevel="1">
      <c r="A57" s="243" t="s">
        <v>14015</v>
      </c>
      <c r="B57" s="386">
        <v>98557</v>
      </c>
      <c r="C57" s="386" t="s">
        <v>14476</v>
      </c>
      <c r="D57" s="387" t="str">
        <f>IFERROR(VLOOKUP($B57,'24.08_ND'!$A:$D,2,0),IFERROR(VLOOKUP(#REF!,'03-CP'!$C$5:$H$4646,2,0),""))</f>
        <v>IMPERMEABILIZAÇÃO DE SUPERFÍCIE COM EMULSÃO ASFÁLTICA, 2 DEMÃOS. AF_09/2023</v>
      </c>
      <c r="E57" s="253" t="str">
        <f>IFERROR(VLOOKUP($B57,'24.08_ND'!$A:$D,3,0),IFERROR(VLOOKUP(#REF!,'03-CP'!$C$5:$H$4646,3,0),""))</f>
        <v>M2</v>
      </c>
      <c r="F57" s="389">
        <v>92.32</v>
      </c>
      <c r="G57" s="386"/>
      <c r="H57" s="386"/>
      <c r="I57" s="1316"/>
      <c r="J57" s="386" t="s">
        <v>16202</v>
      </c>
      <c r="K57" s="386"/>
      <c r="L57" s="386"/>
    </row>
    <row r="58" spans="1:12" ht="12.75" hidden="1" outlineLevel="1">
      <c r="A58" s="1473"/>
      <c r="B58" s="386"/>
      <c r="C58" s="253"/>
      <c r="D58" s="1446"/>
      <c r="E58" s="1447"/>
      <c r="F58" s="306"/>
      <c r="G58" s="1520"/>
      <c r="H58" s="1520"/>
      <c r="I58" s="1731"/>
      <c r="J58" s="1369"/>
      <c r="K58" s="339"/>
      <c r="L58" s="1519"/>
    </row>
    <row r="59" spans="1:12" ht="12.75">
      <c r="A59" s="252" t="s">
        <v>14016</v>
      </c>
      <c r="B59" s="1653"/>
      <c r="C59" s="1653"/>
      <c r="D59" s="1654" t="s">
        <v>16217</v>
      </c>
      <c r="E59" s="1655"/>
      <c r="F59" s="1656"/>
      <c r="G59" s="1655"/>
      <c r="H59" s="1655"/>
      <c r="I59" s="1657"/>
      <c r="J59" s="948" t="s">
        <v>16436</v>
      </c>
      <c r="K59" s="1296" t="s">
        <v>16547</v>
      </c>
      <c r="L59" s="262"/>
    </row>
    <row r="60" spans="1:12" ht="38.25" outlineLevel="1">
      <c r="A60" s="243" t="s">
        <v>14017</v>
      </c>
      <c r="B60" s="386">
        <v>92431</v>
      </c>
      <c r="C60" s="386" t="s">
        <v>14476</v>
      </c>
      <c r="D60" s="387" t="str">
        <f>IFERROR(VLOOKUP($B60,'24.08_ND'!$A:$D,2,0),IFERROR(VLOOKUP(#REF!,'03-CP'!$C$5:$H$4646,2,0),""))</f>
        <v>MONTAGEM E DESMONTAGEM DE FÔRMA DE PILARES RETANGULARES E ESTRUTURAS SIMILARES, PÉ-DIREITO SIMPLES, EM CHAPA DE MADEIRA COMPENSADA PLASTIFICADA, 10 UTILIZAÇÕES. AF_09/2020</v>
      </c>
      <c r="E60" s="253" t="str">
        <f>IFERROR(VLOOKUP($B60,'24.08_ND'!$A:$D,3,0),IFERROR(VLOOKUP(#REF!,'03-CP'!$C$5:$H$4646,3,0),""))</f>
        <v>M2</v>
      </c>
      <c r="F60" s="389">
        <v>96.34</v>
      </c>
      <c r="G60" s="386"/>
      <c r="H60" s="386"/>
      <c r="I60" s="1316"/>
      <c r="J60" s="386" t="s">
        <v>16202</v>
      </c>
      <c r="K60" s="386"/>
      <c r="L60" s="386"/>
    </row>
    <row r="61" spans="1:12" ht="38.25" outlineLevel="1">
      <c r="A61" s="243" t="s">
        <v>14018</v>
      </c>
      <c r="B61" s="386">
        <v>92759</v>
      </c>
      <c r="C61" s="386" t="s">
        <v>14476</v>
      </c>
      <c r="D61" s="387" t="str">
        <f>IFERROR(VLOOKUP($B61,'24.08_ND'!$A:$D,2,0),IFERROR(VLOOKUP(#REF!,'03-CP'!$C$5:$H$4646,2,0),""))</f>
        <v>ARMAÇÃO DE PILAR OU VIGA DE ESTRUTURA CONVENCIONAL DE CONCRETO ARMADO UTILIZANDO AÇO CA-60 DE 5,0 MM - MONTAGEM. AF_06/2022</v>
      </c>
      <c r="E61" s="253" t="str">
        <f>IFERROR(VLOOKUP($B61,'24.08_ND'!$A:$D,3,0),IFERROR(VLOOKUP(#REF!,'03-CP'!$C$5:$H$4646,3,0),""))</f>
        <v>KG</v>
      </c>
      <c r="F61" s="389">
        <v>128.69999999999999</v>
      </c>
      <c r="G61" s="386"/>
      <c r="H61" s="386"/>
      <c r="I61" s="1316"/>
      <c r="J61" s="386" t="s">
        <v>16202</v>
      </c>
      <c r="K61" s="386"/>
      <c r="L61" s="386"/>
    </row>
    <row r="62" spans="1:12" ht="38.25" outlineLevel="1">
      <c r="A62" s="243" t="s">
        <v>14019</v>
      </c>
      <c r="B62" s="386">
        <v>92762</v>
      </c>
      <c r="C62" s="386" t="s">
        <v>14476</v>
      </c>
      <c r="D62" s="387" t="str">
        <f>IFERROR(VLOOKUP($B62,'24.08_ND'!$A:$D,2,0),IFERROR(VLOOKUP(#REF!,'03-CP'!$C$5:$H$4646,2,0),""))</f>
        <v>ARMAÇÃO DE PILAR OU VIGA DE ESTRUTURA CONVENCIONAL DE CONCRETO ARMADO UTILIZANDO AÇO CA-50 DE 10,0 MM - MONTAGEM. AF_06/2022</v>
      </c>
      <c r="E62" s="253" t="str">
        <f>IFERROR(VLOOKUP($B62,'24.08_ND'!$A:$D,3,0),IFERROR(VLOOKUP(#REF!,'03-CP'!$C$5:$H$4646,3,0),""))</f>
        <v>KG</v>
      </c>
      <c r="F62" s="389">
        <v>204.7</v>
      </c>
      <c r="G62" s="386"/>
      <c r="H62" s="386"/>
      <c r="I62" s="1316"/>
      <c r="J62" s="386" t="s">
        <v>16202</v>
      </c>
      <c r="K62" s="386"/>
      <c r="L62" s="386"/>
    </row>
    <row r="63" spans="1:12" ht="38.25" outlineLevel="1">
      <c r="A63" s="243" t="s">
        <v>14020</v>
      </c>
      <c r="B63" s="386">
        <v>92763</v>
      </c>
      <c r="C63" s="386" t="s">
        <v>14476</v>
      </c>
      <c r="D63" s="387" t="str">
        <f>IFERROR(VLOOKUP($B63,'24.08_ND'!$A:$D,2,0),IFERROR(VLOOKUP(#REF!,'03-CP'!$C$5:$H$4646,2,0),""))</f>
        <v>ARMAÇÃO DE PILAR OU VIGA DE ESTRUTURA CONVENCIONAL DE CONCRETO ARMADO UTILIZANDO AÇO CA-50 DE 12,5 MM - MONTAGEM. AF_06/2022</v>
      </c>
      <c r="E63" s="253" t="str">
        <f>IFERROR(VLOOKUP($B63,'24.08_ND'!$A:$D,3,0),IFERROR(VLOOKUP(#REF!,'03-CP'!$C$5:$H$4646,3,0),""))</f>
        <v>KG</v>
      </c>
      <c r="F63" s="389">
        <v>154.4</v>
      </c>
      <c r="G63" s="386"/>
      <c r="H63" s="386"/>
      <c r="I63" s="1316"/>
      <c r="J63" s="386" t="s">
        <v>16202</v>
      </c>
      <c r="K63" s="386"/>
      <c r="L63" s="386"/>
    </row>
    <row r="64" spans="1:12" ht="38.25" outlineLevel="1">
      <c r="A64" s="243" t="s">
        <v>14021</v>
      </c>
      <c r="B64" s="386">
        <v>92764</v>
      </c>
      <c r="C64" s="386" t="s">
        <v>14476</v>
      </c>
      <c r="D64" s="387" t="str">
        <f>IFERROR(VLOOKUP($B64,'24.08_ND'!$A:$D,2,0),IFERROR(VLOOKUP(#REF!,'03-CP'!$C$5:$H$4646,2,0),""))</f>
        <v>ARMAÇÃO DE PILAR OU VIGA DE ESTRUTURA CONVENCIONAL DE CONCRETO ARMADO UTILIZANDO AÇO CA-50 DE 16,0 MM - MONTAGEM. AF_06/2022</v>
      </c>
      <c r="E64" s="253" t="str">
        <f>IFERROR(VLOOKUP($B64,'24.08_ND'!$A:$D,3,0),IFERROR(VLOOKUP(#REF!,'03-CP'!$C$5:$H$4646,3,0),""))</f>
        <v>KG</v>
      </c>
      <c r="F64" s="389">
        <v>178.8</v>
      </c>
      <c r="G64" s="386"/>
      <c r="H64" s="386"/>
      <c r="I64" s="1316"/>
      <c r="J64" s="386" t="s">
        <v>16202</v>
      </c>
      <c r="K64" s="386"/>
      <c r="L64" s="386"/>
    </row>
    <row r="65" spans="1:12" ht="25.5" outlineLevel="1">
      <c r="A65" s="243" t="s">
        <v>14022</v>
      </c>
      <c r="B65" s="3" t="s">
        <v>14620</v>
      </c>
      <c r="C65" s="3" t="s">
        <v>14472</v>
      </c>
      <c r="D65" s="387" t="str">
        <f>IFERROR(VLOOKUP($B65,'24.08_ND'!$A$4833:$D$12369,2,0),IFERROR(VLOOKUP($B65,'03-CP'!$C$5:$H$4646,2,0),""))</f>
        <v>CONCRETAGEM DE PILARES, FCK=30 MPA - LANÇAMENTO, ADENSAMENTO E ACABAMENTO</v>
      </c>
      <c r="E65" s="253" t="str">
        <f>IFERROR(VLOOKUP($B65,'24.08_ND'!$A:$D,3,0),IFERROR(VLOOKUP($B65,'03-CP'!$C$5:$H$4646,3,0),""))</f>
        <v>M3</v>
      </c>
      <c r="F65" s="389">
        <v>4.71</v>
      </c>
      <c r="G65" s="386"/>
      <c r="H65" s="386"/>
      <c r="I65" s="865"/>
      <c r="J65" s="386" t="s">
        <v>16202</v>
      </c>
      <c r="K65" s="641"/>
      <c r="L65" s="1618"/>
    </row>
    <row r="66" spans="1:12" ht="14.25" hidden="1" customHeight="1" outlineLevel="1">
      <c r="A66" s="1473"/>
      <c r="B66" s="386"/>
      <c r="C66" s="253"/>
      <c r="D66" s="1446"/>
      <c r="E66" s="1447"/>
      <c r="F66" s="306"/>
      <c r="G66" s="1520"/>
      <c r="H66" s="1520"/>
      <c r="I66" s="1731"/>
      <c r="J66" s="1369"/>
      <c r="K66" s="339"/>
      <c r="L66" s="1519"/>
    </row>
    <row r="67" spans="1:12" ht="12.75">
      <c r="A67" s="252" t="s">
        <v>14023</v>
      </c>
      <c r="B67" s="1653"/>
      <c r="C67" s="1653"/>
      <c r="D67" s="1654" t="s">
        <v>16550</v>
      </c>
      <c r="E67" s="1655"/>
      <c r="F67" s="1656"/>
      <c r="G67" s="1655"/>
      <c r="H67" s="1655"/>
      <c r="I67" s="1657"/>
      <c r="J67" s="948"/>
      <c r="K67" s="1296"/>
      <c r="L67" s="262"/>
    </row>
    <row r="68" spans="1:12" ht="38.25" outlineLevel="1">
      <c r="A68" s="243" t="s">
        <v>14024</v>
      </c>
      <c r="B68" s="386">
        <v>92466</v>
      </c>
      <c r="C68" s="386" t="s">
        <v>14476</v>
      </c>
      <c r="D68" s="387" t="str">
        <f>IFERROR(VLOOKUP($B68,'24.08_ND'!$A:$D,2,0),IFERROR(VLOOKUP(#REF!,'03-CP'!$C$5:$H$4646,2,0),""))</f>
        <v>MONTAGEM E DESMONTAGEM DE FÔRMA DE VIGA, ESCORAMENTO METÁLICO, PÉ-DIREITO DUPLO, EM CHAPA DE MADEIRA PLASTIFICADA, 10 UTILIZAÇÕES. AF_09/2020</v>
      </c>
      <c r="E68" s="253" t="str">
        <f>IFERROR(VLOOKUP($B68,'24.08_ND'!$A:$D,3,0),IFERROR(VLOOKUP(#REF!,'03-CP'!$C$5:$H$4646,3,0),""))</f>
        <v>M2</v>
      </c>
      <c r="F68" s="389">
        <v>131.62</v>
      </c>
      <c r="G68" s="386"/>
      <c r="H68" s="386"/>
      <c r="I68" s="1316"/>
      <c r="J68" s="386" t="s">
        <v>16202</v>
      </c>
      <c r="K68" s="386"/>
      <c r="L68" s="386"/>
    </row>
    <row r="69" spans="1:12" ht="38.25" outlineLevel="1">
      <c r="A69" s="243" t="s">
        <v>14025</v>
      </c>
      <c r="B69" s="386">
        <v>92759</v>
      </c>
      <c r="C69" s="386" t="s">
        <v>14476</v>
      </c>
      <c r="D69" s="387" t="str">
        <f>IFERROR(VLOOKUP($B69,'24.08_ND'!$A:$D,2,0),IFERROR(VLOOKUP(#REF!,'03-CP'!$C$5:$H$4646,2,0),""))</f>
        <v>ARMAÇÃO DE PILAR OU VIGA DE ESTRUTURA CONVENCIONAL DE CONCRETO ARMADO UTILIZANDO AÇO CA-60 DE 5,0 MM - MONTAGEM. AF_06/2022</v>
      </c>
      <c r="E69" s="253" t="str">
        <f>IFERROR(VLOOKUP($B69,'24.08_ND'!$A:$D,3,0),IFERROR(VLOOKUP(#REF!,'03-CP'!$C$5:$H$4646,3,0),""))</f>
        <v>KG</v>
      </c>
      <c r="F69" s="389">
        <v>63.2</v>
      </c>
      <c r="G69" s="386"/>
      <c r="H69" s="386"/>
      <c r="I69" s="1316"/>
      <c r="J69" s="386" t="s">
        <v>16202</v>
      </c>
      <c r="K69" s="386"/>
      <c r="L69" s="386"/>
    </row>
    <row r="70" spans="1:12" ht="38.25" outlineLevel="1">
      <c r="A70" s="243" t="s">
        <v>14026</v>
      </c>
      <c r="B70" s="386">
        <v>92760</v>
      </c>
      <c r="C70" s="386" t="s">
        <v>14476</v>
      </c>
      <c r="D70" s="387" t="str">
        <f>IFERROR(VLOOKUP($B70,'24.08_ND'!$A:$D,2,0),IFERROR(VLOOKUP(#REF!,'03-CP'!$C$5:$H$4646,2,0),""))</f>
        <v>ARMAÇÃO DE PILAR OU VIGA DE ESTRUTURA CONVENCIONAL DE CONCRETO ARMADO UTILIZANDO AÇO CA-50 DE 6,3 MM - MONTAGEM. AF_06/2022</v>
      </c>
      <c r="E70" s="253" t="str">
        <f>IFERROR(VLOOKUP($B70,'24.08_ND'!$A:$D,3,0),IFERROR(VLOOKUP(#REF!,'03-CP'!$C$5:$H$4646,3,0),""))</f>
        <v>KG</v>
      </c>
      <c r="F70" s="389">
        <v>206.4</v>
      </c>
      <c r="G70" s="386"/>
      <c r="H70" s="386"/>
      <c r="I70" s="1316"/>
      <c r="J70" s="386" t="s">
        <v>16202</v>
      </c>
      <c r="K70" s="386"/>
      <c r="L70" s="386"/>
    </row>
    <row r="71" spans="1:12" ht="38.25" outlineLevel="1">
      <c r="A71" s="243" t="s">
        <v>14027</v>
      </c>
      <c r="B71" s="386">
        <v>92761</v>
      </c>
      <c r="C71" s="386" t="s">
        <v>14476</v>
      </c>
      <c r="D71" s="387" t="str">
        <f>IFERROR(VLOOKUP($B71,'24.08_ND'!$A:$D,2,0),IFERROR(VLOOKUP(#REF!,'03-CP'!$C$5:$H$4646,2,0),""))</f>
        <v>ARMAÇÃO DE PILAR OU VIGA DE ESTRUTURA CONVENCIONAL DE CONCRETO ARMADO UTILIZANDO AÇO CA-50 DE 8,0 MM - MONTAGEM. AF_06/2022</v>
      </c>
      <c r="E71" s="253" t="str">
        <f>IFERROR(VLOOKUP($B71,'24.08_ND'!$A:$D,3,0),IFERROR(VLOOKUP(#REF!,'03-CP'!$C$5:$H$4646,3,0),""))</f>
        <v>KG</v>
      </c>
      <c r="F71" s="389">
        <v>51</v>
      </c>
      <c r="G71" s="386"/>
      <c r="H71" s="386"/>
      <c r="I71" s="1316"/>
      <c r="J71" s="386" t="s">
        <v>16202</v>
      </c>
      <c r="K71" s="386"/>
      <c r="L71" s="386"/>
    </row>
    <row r="72" spans="1:12" ht="38.25" outlineLevel="1">
      <c r="A72" s="243" t="s">
        <v>14028</v>
      </c>
      <c r="B72" s="386">
        <v>92762</v>
      </c>
      <c r="C72" s="386" t="s">
        <v>14476</v>
      </c>
      <c r="D72" s="387" t="str">
        <f>IFERROR(VLOOKUP($B72,'24.08_ND'!$A:$D,2,0),IFERROR(VLOOKUP(#REF!,'03-CP'!$C$5:$H$4646,2,0),""))</f>
        <v>ARMAÇÃO DE PILAR OU VIGA DE ESTRUTURA CONVENCIONAL DE CONCRETO ARMADO UTILIZANDO AÇO CA-50 DE 10,0 MM - MONTAGEM. AF_06/2022</v>
      </c>
      <c r="E72" s="253" t="str">
        <f>IFERROR(VLOOKUP($B72,'24.08_ND'!$A:$D,3,0),IFERROR(VLOOKUP(#REF!,'03-CP'!$C$5:$H$4646,3,0),""))</f>
        <v>KG</v>
      </c>
      <c r="F72" s="389">
        <v>83.6</v>
      </c>
      <c r="G72" s="386"/>
      <c r="H72" s="386"/>
      <c r="I72" s="1316"/>
      <c r="J72" s="386" t="s">
        <v>16202</v>
      </c>
      <c r="K72" s="386"/>
      <c r="L72" s="386"/>
    </row>
    <row r="73" spans="1:12" ht="38.25" outlineLevel="1">
      <c r="A73" s="243" t="s">
        <v>14029</v>
      </c>
      <c r="B73" s="386">
        <v>92763</v>
      </c>
      <c r="C73" s="386" t="s">
        <v>14476</v>
      </c>
      <c r="D73" s="387" t="str">
        <f>IFERROR(VLOOKUP($B73,'24.08_ND'!$A:$D,2,0),IFERROR(VLOOKUP(#REF!,'03-CP'!$C$5:$H$4646,2,0),""))</f>
        <v>ARMAÇÃO DE PILAR OU VIGA DE ESTRUTURA CONVENCIONAL DE CONCRETO ARMADO UTILIZANDO AÇO CA-50 DE 12,5 MM - MONTAGEM. AF_06/2022</v>
      </c>
      <c r="E73" s="253" t="str">
        <f>IFERROR(VLOOKUP($B73,'24.08_ND'!$A:$D,3,0),IFERROR(VLOOKUP(#REF!,'03-CP'!$C$5:$H$4646,3,0),""))</f>
        <v>KG</v>
      </c>
      <c r="F73" s="389">
        <v>105.5</v>
      </c>
      <c r="G73" s="386"/>
      <c r="H73" s="386"/>
      <c r="I73" s="1316"/>
      <c r="J73" s="386" t="s">
        <v>16202</v>
      </c>
      <c r="K73" s="386"/>
      <c r="L73" s="386"/>
    </row>
    <row r="74" spans="1:12" ht="38.25" outlineLevel="1">
      <c r="A74" s="243" t="s">
        <v>14030</v>
      </c>
      <c r="B74" s="386">
        <v>92764</v>
      </c>
      <c r="C74" s="386" t="s">
        <v>14476</v>
      </c>
      <c r="D74" s="387" t="str">
        <f>IFERROR(VLOOKUP($B74,'24.08_ND'!$A:$D,2,0),IFERROR(VLOOKUP(#REF!,'03-CP'!$C$5:$H$4646,2,0),""))</f>
        <v>ARMAÇÃO DE PILAR OU VIGA DE ESTRUTURA CONVENCIONAL DE CONCRETO ARMADO UTILIZANDO AÇO CA-50 DE 16,0 MM - MONTAGEM. AF_06/2022</v>
      </c>
      <c r="E74" s="253" t="str">
        <f>IFERROR(VLOOKUP($B74,'24.08_ND'!$A:$D,3,0),IFERROR(VLOOKUP(#REF!,'03-CP'!$C$5:$H$4646,3,0),""))</f>
        <v>KG</v>
      </c>
      <c r="F74" s="389">
        <v>301.2</v>
      </c>
      <c r="G74" s="386"/>
      <c r="H74" s="386"/>
      <c r="I74" s="1316"/>
      <c r="J74" s="386" t="s">
        <v>16202</v>
      </c>
      <c r="K74" s="386"/>
      <c r="L74" s="386"/>
    </row>
    <row r="75" spans="1:12" ht="38.25" outlineLevel="1">
      <c r="A75" s="243" t="s">
        <v>14031</v>
      </c>
      <c r="B75" s="386" t="s">
        <v>14622</v>
      </c>
      <c r="C75" s="3" t="s">
        <v>14472</v>
      </c>
      <c r="D75" s="387" t="str">
        <f>IFERROR(VLOOKUP($B75,'24.08_ND'!$A$4833:$D$12369,2,0),IFERROR(VLOOKUP($B75,'03-CP'!$C$5:$H$4646,2,0),""))</f>
        <v>CONCRETAGEM DE VIGAS E LAJES, FCK=30 MPA, PARA LAJES MACIÇAS OU NERVURADAS COM USO DE BOMBAS - LANÇAMENTO, ADENSAMENTO E ACABAMENTO</v>
      </c>
      <c r="E75" s="253" t="str">
        <f>IFERROR(VLOOKUP($B75,'24.08_ND'!$A:$D,3,0),IFERROR(VLOOKUP($B75,'03-CP'!$C$5:$H$4646,3,0),""))</f>
        <v>M3</v>
      </c>
      <c r="F75" s="389">
        <v>8.34</v>
      </c>
      <c r="G75" s="386"/>
      <c r="H75" s="386"/>
      <c r="I75" s="865"/>
      <c r="J75" s="386" t="s">
        <v>16202</v>
      </c>
      <c r="K75" s="641"/>
      <c r="L75" s="1618"/>
    </row>
    <row r="76" spans="1:12" ht="12.75">
      <c r="A76" s="252" t="s">
        <v>14032</v>
      </c>
      <c r="B76" s="1653"/>
      <c r="C76" s="1653"/>
      <c r="D76" s="1654" t="s">
        <v>16551</v>
      </c>
      <c r="E76" s="1655"/>
      <c r="F76" s="1656"/>
      <c r="G76" s="1655"/>
      <c r="H76" s="1655"/>
      <c r="I76" s="1657"/>
      <c r="J76" s="948"/>
      <c r="K76" s="1296"/>
      <c r="L76" s="262"/>
    </row>
    <row r="77" spans="1:12" ht="38.25" outlineLevel="1">
      <c r="A77" s="243" t="s">
        <v>14033</v>
      </c>
      <c r="B77" s="386">
        <v>92524</v>
      </c>
      <c r="C77" s="386" t="s">
        <v>14476</v>
      </c>
      <c r="D77" s="387" t="str">
        <f>IFERROR(VLOOKUP($B77,'24.08_ND'!$A$4833:$D$12369,2,0),IFERROR(VLOOKUP($B77,'03-CP'!$C$5:$H$4646,2,0),""))</f>
        <v>MONTAGEM E DESMONTAGEM DE FÔRMA DE LAJE MACIÇA, PÉ-DIREITO DUPLO, EM CHAPA DE MADEIRA COMPENSADA PLASTIFICADA, 10 UTILIZAÇÕES. AF_09/2020</v>
      </c>
      <c r="E77" s="253" t="str">
        <f>IFERROR(VLOOKUP($B77,'24.08_ND'!$A:$D,3,0),IFERROR(VLOOKUP($B77,'03-CP'!$C$5:$H$4646,3,0),""))</f>
        <v>M2</v>
      </c>
      <c r="F77" s="389">
        <v>18.45</v>
      </c>
      <c r="G77" s="386"/>
      <c r="H77" s="386"/>
      <c r="I77" s="1316"/>
      <c r="J77" s="386" t="s">
        <v>16202</v>
      </c>
      <c r="K77" s="386"/>
      <c r="L77" s="386"/>
    </row>
    <row r="78" spans="1:12" ht="25.5" outlineLevel="1">
      <c r="A78" s="243" t="s">
        <v>14034</v>
      </c>
      <c r="B78" s="386">
        <v>92769</v>
      </c>
      <c r="C78" s="386" t="s">
        <v>14476</v>
      </c>
      <c r="D78" s="387" t="str">
        <f>IFERROR(VLOOKUP($B78,'24.08_ND'!$A$4833:$D$12369,2,0),IFERROR(VLOOKUP($B78,'03-CP'!$C$5:$H$4646,2,0),""))</f>
        <v>ARMAÇÃO DE LAJE DE ESTRUTURA CONVENCIONAL DE CONCRETO ARMADO UTILIZANDO AÇO CA-50 DE 6,3 MM - MONTAGEM. AF_06/2022</v>
      </c>
      <c r="E78" s="253" t="str">
        <f>IFERROR(VLOOKUP($B78,'24.08_ND'!$A:$D,3,0),IFERROR(VLOOKUP($B78,'03-CP'!$C$5:$H$4646,3,0),""))</f>
        <v>KG</v>
      </c>
      <c r="F78" s="389">
        <v>17.899999999999999</v>
      </c>
      <c r="G78" s="386"/>
      <c r="H78" s="386"/>
      <c r="I78" s="1316"/>
      <c r="J78" s="386" t="s">
        <v>16202</v>
      </c>
      <c r="K78" s="386"/>
      <c r="L78" s="386"/>
    </row>
    <row r="79" spans="1:12" ht="25.5" outlineLevel="1">
      <c r="A79" s="243" t="s">
        <v>14035</v>
      </c>
      <c r="B79" s="386">
        <v>92770</v>
      </c>
      <c r="C79" s="386" t="s">
        <v>14476</v>
      </c>
      <c r="D79" s="387" t="str">
        <f>IFERROR(VLOOKUP($B79,'24.08_ND'!$A$4833:$D$12369,2,0),IFERROR(VLOOKUP($B79,'03-CP'!$C$5:$H$4646,2,0),""))</f>
        <v>ARMAÇÃO DE LAJE DE ESTRUTURA CONVENCIONAL DE CONCRETO ARMADO UTILIZANDO AÇO CA-50 DE 8,0 MM - MONTAGEM. AF_06/2022</v>
      </c>
      <c r="E79" s="253" t="str">
        <f>IFERROR(VLOOKUP($B79,'24.08_ND'!$A:$D,3,0),IFERROR(VLOOKUP($B79,'03-CP'!$C$5:$H$4646,3,0),""))</f>
        <v>KG</v>
      </c>
      <c r="F79" s="389">
        <v>100.9</v>
      </c>
      <c r="G79" s="386"/>
      <c r="H79" s="386"/>
      <c r="I79" s="1316"/>
      <c r="J79" s="386" t="s">
        <v>16202</v>
      </c>
      <c r="K79" s="386"/>
      <c r="L79" s="386"/>
    </row>
    <row r="80" spans="1:12" ht="38.25" outlineLevel="1">
      <c r="A80" s="243" t="s">
        <v>14036</v>
      </c>
      <c r="B80" s="386" t="s">
        <v>14622</v>
      </c>
      <c r="C80" s="3" t="s">
        <v>14472</v>
      </c>
      <c r="D80" s="387" t="str">
        <f>IFERROR(VLOOKUP($B80,'24.08_ND'!$A$4833:$D$12369,2,0),IFERROR(VLOOKUP($B80,'03-CP'!$C$5:$H$4646,2,0),""))</f>
        <v>CONCRETAGEM DE VIGAS E LAJES, FCK=30 MPA, PARA LAJES MACIÇAS OU NERVURADAS COM USO DE BOMBAS - LANÇAMENTO, ADENSAMENTO E ACABAMENTO</v>
      </c>
      <c r="E80" s="253" t="str">
        <f>IFERROR(VLOOKUP($B80,'24.08_ND'!$A:$D,3,0),IFERROR(VLOOKUP($B80,'03-CP'!$C$5:$H$4646,3,0),""))</f>
        <v>M3</v>
      </c>
      <c r="F80" s="389">
        <v>2.21</v>
      </c>
      <c r="G80" s="386"/>
      <c r="H80" s="386"/>
      <c r="I80" s="1316"/>
      <c r="J80" s="386" t="s">
        <v>16202</v>
      </c>
      <c r="K80" s="386"/>
      <c r="L80" s="386"/>
    </row>
    <row r="81" spans="1:12" ht="38.25" outlineLevel="1">
      <c r="A81" s="243" t="s">
        <v>14037</v>
      </c>
      <c r="B81" s="386">
        <v>87737</v>
      </c>
      <c r="C81" s="386" t="s">
        <v>14476</v>
      </c>
      <c r="D81" s="387" t="str">
        <f>IFERROR(VLOOKUP($B81,'24.08_ND'!$A$4833:$D$12369,2,0),IFERROR(VLOOKUP($B81,'03-CP'!$C$5:$H$4646,2,0),""))</f>
        <v>CONTRAPISO EM ARGAMASSA TRAÇO 1:4 (CIMENTO E AREIA), PREPARO MANUAL, APLICADO EM ÁREAS MOLHADAS SOBRE LAJE, ADERIDO, ACABAMENTO NÃO REFORÇADO, ESPESSURA 2CM. AF_07/2021</v>
      </c>
      <c r="E81" s="253" t="str">
        <f>IFERROR(VLOOKUP($B81,'24.08_ND'!$A:$D,3,0),IFERROR(VLOOKUP($B81,'03-CP'!$C$5:$H$4646,3,0),""))</f>
        <v>M2</v>
      </c>
      <c r="F81" s="389">
        <v>18.45</v>
      </c>
      <c r="G81" s="386"/>
      <c r="H81" s="386"/>
      <c r="I81" s="1316"/>
      <c r="J81" s="386" t="s">
        <v>16202</v>
      </c>
      <c r="K81" s="386"/>
      <c r="L81" s="386"/>
    </row>
    <row r="82" spans="1:12" ht="25.5" outlineLevel="1">
      <c r="A82" s="243" t="s">
        <v>14038</v>
      </c>
      <c r="B82" s="386">
        <v>98554</v>
      </c>
      <c r="C82" s="386" t="s">
        <v>14476</v>
      </c>
      <c r="D82" s="387" t="str">
        <f>IFERROR(VLOOKUP($B82,'24.08_ND'!$A$4833:$D$12369,2,0),IFERROR(VLOOKUP($B82,'03-CP'!$C$5:$H$4646,2,0),""))</f>
        <v>IMPERMEABILIZAÇÃO DE SUPERFÍCIE COM MEMBRANA À BASE DE RESINA ACRÍLICA, 3 DEMÃOS. AF_09/2023</v>
      </c>
      <c r="E82" s="253" t="str">
        <f>IFERROR(VLOOKUP($B82,'24.08_ND'!$A:$D,3,0),IFERROR(VLOOKUP($B82,'03-CP'!$C$5:$H$4646,3,0),""))</f>
        <v>M2</v>
      </c>
      <c r="F82" s="389">
        <v>18.45</v>
      </c>
      <c r="G82" s="386"/>
      <c r="H82" s="386"/>
      <c r="I82" s="1316"/>
      <c r="J82" s="386" t="s">
        <v>16202</v>
      </c>
      <c r="K82" s="386"/>
      <c r="L82" s="386"/>
    </row>
    <row r="83" spans="1:12" ht="25.5" outlineLevel="1">
      <c r="A83" s="243" t="s">
        <v>14039</v>
      </c>
      <c r="B83" s="386">
        <v>98563</v>
      </c>
      <c r="C83" s="386" t="s">
        <v>14476</v>
      </c>
      <c r="D83" s="387" t="str">
        <f>IFERROR(VLOOKUP($B83,'24.08_ND'!$A$4833:$D$12369,2,0),IFERROR(VLOOKUP($B83,'03-CP'!$C$5:$H$4646,2,0),""))</f>
        <v>PROTEÇÃO MECÂNICA DE SUPERFÍCIE HORIZONTAL COM ARGAMASSA DE CIMENTO E AREIA, TRAÇO 1:3, E=2CM. AF_09/2023</v>
      </c>
      <c r="E83" s="253" t="str">
        <f>IFERROR(VLOOKUP($B83,'24.08_ND'!$A:$D,3,0),IFERROR(VLOOKUP($B83,'03-CP'!$C$5:$H$4646,3,0),""))</f>
        <v>M2</v>
      </c>
      <c r="F83" s="389">
        <v>18.45</v>
      </c>
      <c r="G83" s="386"/>
      <c r="H83" s="386"/>
      <c r="I83" s="1316"/>
      <c r="J83" s="386" t="s">
        <v>16202</v>
      </c>
      <c r="K83" s="386"/>
      <c r="L83" s="386"/>
    </row>
    <row r="84" spans="1:12" ht="12.75">
      <c r="A84" s="252" t="s">
        <v>14040</v>
      </c>
      <c r="B84" s="1653"/>
      <c r="C84" s="1653"/>
      <c r="D84" s="1654" t="s">
        <v>16552</v>
      </c>
      <c r="E84" s="1655"/>
      <c r="F84" s="1656"/>
      <c r="G84" s="1655"/>
      <c r="H84" s="1655"/>
      <c r="I84" s="1657"/>
      <c r="J84" s="948"/>
      <c r="K84" s="1296"/>
      <c r="L84" s="262"/>
    </row>
    <row r="85" spans="1:12" ht="38.25" outlineLevel="1">
      <c r="A85" s="251" t="s">
        <v>14041</v>
      </c>
      <c r="B85" s="3">
        <v>92466</v>
      </c>
      <c r="C85" s="3" t="s">
        <v>14476</v>
      </c>
      <c r="D85" s="38" t="str">
        <f>IFERROR(VLOOKUP($B85,'24.08_ND'!$A:$D,2,0),IFERROR(VLOOKUP(#REF!,'03-CP'!$C$5:$H$4646,2,0),""))</f>
        <v>MONTAGEM E DESMONTAGEM DE FÔRMA DE VIGA, ESCORAMENTO METÁLICO, PÉ-DIREITO DUPLO, EM CHAPA DE MADEIRA PLASTIFICADA, 10 UTILIZAÇÕES. AF_09/2020</v>
      </c>
      <c r="E85" s="34" t="str">
        <f>IFERROR(VLOOKUP($B85,'24.08_ND'!$A:$D,3,0),IFERROR(VLOOKUP(#REF!,'03-CP'!$C$5:$H$4646,3,0),""))</f>
        <v>M2</v>
      </c>
      <c r="F85" s="1229">
        <v>15.29</v>
      </c>
      <c r="G85" s="368"/>
      <c r="H85" s="368"/>
      <c r="I85" s="870"/>
      <c r="J85" s="386" t="s">
        <v>16202</v>
      </c>
      <c r="K85" s="368"/>
      <c r="L85" s="368"/>
    </row>
    <row r="86" spans="1:12" ht="38.25" outlineLevel="1">
      <c r="A86" s="251" t="s">
        <v>14042</v>
      </c>
      <c r="B86" s="3">
        <v>92759</v>
      </c>
      <c r="C86" s="3" t="s">
        <v>14476</v>
      </c>
      <c r="D86" s="38" t="str">
        <f>IFERROR(VLOOKUP($B86,'24.08_ND'!$A:$D,2,0),IFERROR(VLOOKUP(#REF!,'03-CP'!$C$5:$H$4646,2,0),""))</f>
        <v>ARMAÇÃO DE PILAR OU VIGA DE ESTRUTURA CONVENCIONAL DE CONCRETO ARMADO UTILIZANDO AÇO CA-60 DE 5,0 MM - MONTAGEM. AF_06/2022</v>
      </c>
      <c r="E86" s="691" t="str">
        <f>IFERROR(VLOOKUP($B86,'24.08_ND'!$A:$D,3,0),IFERROR(VLOOKUP(#REF!,'03-CP'!$C$5:$H$4646,3,0),""))</f>
        <v>KG</v>
      </c>
      <c r="F86" s="1229">
        <v>17.8</v>
      </c>
      <c r="G86" s="641"/>
      <c r="H86" s="641"/>
      <c r="I86" s="865"/>
      <c r="J86" s="386" t="s">
        <v>16202</v>
      </c>
      <c r="K86" s="641"/>
      <c r="L86" s="1618"/>
    </row>
    <row r="87" spans="1:12" ht="38.25" outlineLevel="1">
      <c r="A87" s="251" t="s">
        <v>14043</v>
      </c>
      <c r="B87" s="3">
        <v>92761</v>
      </c>
      <c r="C87" s="3" t="s">
        <v>14476</v>
      </c>
      <c r="D87" s="38" t="str">
        <f>IFERROR(VLOOKUP($B87,'24.08_ND'!$A:$D,2,0),IFERROR(VLOOKUP(#REF!,'03-CP'!$C$5:$H$4646,2,0),""))</f>
        <v>ARMAÇÃO DE PILAR OU VIGA DE ESTRUTURA CONVENCIONAL DE CONCRETO ARMADO UTILIZANDO AÇO CA-50 DE 8,0 MM - MONTAGEM. AF_06/2022</v>
      </c>
      <c r="E87" s="34" t="str">
        <f>IFERROR(VLOOKUP($B87,'24.08_ND'!$A:$D,3,0),IFERROR(VLOOKUP(#REF!,'03-CP'!$C$5:$H$4646,3,0),""))</f>
        <v>KG</v>
      </c>
      <c r="F87" s="1229">
        <v>23.2</v>
      </c>
      <c r="G87" s="368"/>
      <c r="H87" s="368"/>
      <c r="I87" s="870"/>
      <c r="J87" s="386" t="s">
        <v>16202</v>
      </c>
      <c r="K87" s="368"/>
      <c r="L87" s="368"/>
    </row>
    <row r="88" spans="1:12" ht="38.25" outlineLevel="1">
      <c r="A88" s="251" t="s">
        <v>14044</v>
      </c>
      <c r="B88" s="3">
        <v>92762</v>
      </c>
      <c r="C88" s="3" t="s">
        <v>14476</v>
      </c>
      <c r="D88" s="38" t="str">
        <f>IFERROR(VLOOKUP($B88,'24.08_ND'!$A:$D,2,0),IFERROR(VLOOKUP(#REF!,'03-CP'!$C$5:$H$4646,2,0),""))</f>
        <v>ARMAÇÃO DE PILAR OU VIGA DE ESTRUTURA CONVENCIONAL DE CONCRETO ARMADO UTILIZANDO AÇO CA-50 DE 10,0 MM - MONTAGEM. AF_06/2022</v>
      </c>
      <c r="E88" s="34" t="str">
        <f>IFERROR(VLOOKUP($B88,'24.08_ND'!$A:$D,3,0),IFERROR(VLOOKUP(#REF!,'03-CP'!$C$5:$H$4646,3,0),""))</f>
        <v>KG</v>
      </c>
      <c r="F88" s="1229">
        <v>22.4</v>
      </c>
      <c r="G88" s="368"/>
      <c r="H88" s="368"/>
      <c r="I88" s="870"/>
      <c r="J88" s="386" t="s">
        <v>16202</v>
      </c>
      <c r="K88" s="368"/>
      <c r="L88" s="368"/>
    </row>
    <row r="89" spans="1:12" ht="38.25" outlineLevel="1">
      <c r="A89" s="251" t="s">
        <v>14045</v>
      </c>
      <c r="B89" s="386" t="s">
        <v>14622</v>
      </c>
      <c r="C89" s="3" t="s">
        <v>14472</v>
      </c>
      <c r="D89" s="38" t="str">
        <f>IFERROR(VLOOKUP($B89,'24.08_ND'!$A$4833:$D$12369,2,0),IFERROR(VLOOKUP($B89,'03-CP'!$C$5:$H$4646,2,0),""))</f>
        <v>CONCRETAGEM DE VIGAS E LAJES, FCK=30 MPA, PARA LAJES MACIÇAS OU NERVURADAS COM USO DE BOMBAS - LANÇAMENTO, ADENSAMENTO E ACABAMENTO</v>
      </c>
      <c r="E89" s="34" t="str">
        <f>IFERROR(VLOOKUP($B89,'24.08_ND'!$A:$D,3,0),IFERROR(VLOOKUP($B89,'03-CP'!$C$5:$H$4646,3,0),""))</f>
        <v>M3</v>
      </c>
      <c r="F89" s="1229">
        <v>0.86</v>
      </c>
      <c r="G89" s="368"/>
      <c r="H89" s="368"/>
      <c r="I89" s="865"/>
      <c r="J89" s="386" t="s">
        <v>16202</v>
      </c>
      <c r="K89" s="641"/>
      <c r="L89" s="1618"/>
    </row>
    <row r="90" spans="1:12" ht="12.75">
      <c r="A90" s="252" t="s">
        <v>14046</v>
      </c>
      <c r="B90" s="1653"/>
      <c r="C90" s="1653"/>
      <c r="D90" s="1654" t="s">
        <v>16489</v>
      </c>
      <c r="E90" s="1655"/>
      <c r="F90" s="1656"/>
      <c r="G90" s="1655"/>
      <c r="H90" s="1655"/>
      <c r="I90" s="1657"/>
      <c r="J90" s="948" t="s">
        <v>16436</v>
      </c>
      <c r="K90" s="1296" t="s">
        <v>16547</v>
      </c>
      <c r="L90" s="262"/>
    </row>
    <row r="91" spans="1:12" ht="38.25" outlineLevel="1">
      <c r="A91" s="243" t="s">
        <v>14047</v>
      </c>
      <c r="B91" s="3" t="s">
        <v>14596</v>
      </c>
      <c r="C91" s="3" t="s">
        <v>14472</v>
      </c>
      <c r="D91" s="38" t="str">
        <f>IFERROR(VLOOKUP($B91,'24.08_ND'!$A$4833:$D$12369,2,0),IFERROR(VLOOKUP($B91,'03-CP'!$C$5:$H$4646,2,0),""))</f>
        <v>MOLDAGEM E ENSAIO PARA DETERMINACAO DA RESISTENCIA A COMPRESSAO DE CORPOS DE PROVA CILINDRICOS , INCLUSO ROMPIMENTO E LAUDO TÉCNICO (1 ENSAIO A CADA 5M3)</v>
      </c>
      <c r="E91" s="34" t="str">
        <f>IFERROR(VLOOKUP($B91,'24.08_ND'!$A:$D,3,0),IFERROR(VLOOKUP($B91,'03-CP'!$C$5:$H$4646,3,0),""))</f>
        <v>M3</v>
      </c>
      <c r="F91" s="1229">
        <v>28.18</v>
      </c>
      <c r="G91" s="368"/>
      <c r="H91" s="368"/>
      <c r="I91" s="865"/>
      <c r="J91" s="386" t="s">
        <v>16202</v>
      </c>
      <c r="K91" s="386"/>
      <c r="L91" s="386"/>
    </row>
    <row r="92" spans="1:12" ht="12.75">
      <c r="A92" s="252" t="s">
        <v>14048</v>
      </c>
      <c r="B92" s="1653"/>
      <c r="C92" s="1653"/>
      <c r="D92" s="1654" t="s">
        <v>12504</v>
      </c>
      <c r="E92" s="1655"/>
      <c r="F92" s="1656"/>
      <c r="G92" s="1655"/>
      <c r="H92" s="1655"/>
      <c r="I92" s="1657"/>
      <c r="J92" s="948" t="s">
        <v>16436</v>
      </c>
      <c r="K92" s="1296" t="s">
        <v>16553</v>
      </c>
      <c r="L92" s="262"/>
    </row>
    <row r="93" spans="1:12" ht="51" outlineLevel="1">
      <c r="A93" s="243" t="s">
        <v>14049</v>
      </c>
      <c r="B93" s="386" t="s">
        <v>14651</v>
      </c>
      <c r="C93" s="1252" t="s">
        <v>14472</v>
      </c>
      <c r="D93" s="38" t="str">
        <f>IFERROR(VLOOKUP($B93,'24.08_ND'!$A$4833:$D$12369,2,0),IFERROR(VLOOKUP($B93,'03-CP'!$C$5:$H$4646,2,0),""))</f>
        <v>FORNECIMENTO E MONTAGEM DE ESTRUTURA METÁLICA SOLDADAS - BANHEIRO DE APOIO - CENTRO DE EVENTOS (MARQUISE E TELHADO CENTRAL), INCLUSO PINTURA DE FUNDO COM ZARCÃO, ACABAMENTO EM ESMALTE E PINTURA ELETROSTÁTICA NA MARQUISE</v>
      </c>
      <c r="E93" s="34" t="str">
        <f>IFERROR(VLOOKUP($B93,'24.08_ND'!$A:$D,3,0),IFERROR(VLOOKUP($B93,'03-CP'!$C$5:$H$4646,3,0),""))</f>
        <v>KG</v>
      </c>
      <c r="F93" s="1229">
        <v>3402.77</v>
      </c>
      <c r="G93" s="368"/>
      <c r="H93" s="368"/>
      <c r="I93" s="865"/>
      <c r="J93" s="386" t="s">
        <v>16202</v>
      </c>
      <c r="K93" s="262"/>
      <c r="L93" s="1546"/>
    </row>
    <row r="94" spans="1:12" ht="15.75" hidden="1" customHeight="1">
      <c r="A94" s="1473"/>
      <c r="B94" s="386"/>
      <c r="C94" s="253"/>
      <c r="D94" s="1446"/>
      <c r="E94" s="1447"/>
      <c r="F94" s="389"/>
      <c r="G94" s="1244"/>
      <c r="H94" s="1244"/>
      <c r="I94" s="1409"/>
      <c r="J94" s="512"/>
      <c r="K94" s="262"/>
      <c r="L94" s="262"/>
    </row>
    <row r="95" spans="1:12" ht="12.75">
      <c r="A95" s="1298" t="s">
        <v>14728</v>
      </c>
      <c r="B95" s="1371"/>
      <c r="C95" s="1371"/>
      <c r="D95" s="1372"/>
      <c r="E95" s="1373"/>
      <c r="F95" s="1374"/>
      <c r="G95" s="1375"/>
      <c r="H95" s="1376"/>
      <c r="I95" s="1377"/>
      <c r="J95" s="512"/>
      <c r="K95" s="262"/>
      <c r="L95" s="262"/>
    </row>
    <row r="96" spans="1:12" ht="12.75">
      <c r="A96" s="238" t="s">
        <v>12649</v>
      </c>
      <c r="B96" s="1304"/>
      <c r="C96" s="1304"/>
      <c r="D96" s="1305" t="s">
        <v>12486</v>
      </c>
      <c r="E96" s="1306"/>
      <c r="F96" s="1307"/>
      <c r="G96" s="1306"/>
      <c r="H96" s="1306"/>
      <c r="I96" s="1308"/>
      <c r="J96" s="262"/>
      <c r="K96" s="262"/>
      <c r="L96" s="262"/>
    </row>
    <row r="97" spans="1:12" ht="15.75">
      <c r="A97" s="246" t="s">
        <v>14050</v>
      </c>
      <c r="B97" s="1378"/>
      <c r="C97" s="1378"/>
      <c r="D97" s="1379" t="s">
        <v>16227</v>
      </c>
      <c r="E97" s="1380"/>
      <c r="F97" s="1381"/>
      <c r="G97" s="1380"/>
      <c r="H97" s="1381"/>
      <c r="I97" s="1382"/>
      <c r="J97" s="1732" t="s">
        <v>16385</v>
      </c>
      <c r="K97" s="1733" t="s">
        <v>16554</v>
      </c>
      <c r="L97" s="262"/>
    </row>
    <row r="98" spans="1:12" ht="38.25" outlineLevel="1">
      <c r="A98" s="1385" t="s">
        <v>14051</v>
      </c>
      <c r="B98" s="295">
        <v>103324</v>
      </c>
      <c r="C98" s="295" t="s">
        <v>14476</v>
      </c>
      <c r="D98" s="658" t="str">
        <f>IFERROR(VLOOKUP($B98,'24.08_ND'!$A$4833:$D$12369,2,0),IFERROR(VLOOKUP($B98,'03-CP'!$C$5:$H$4646,2,0),""))</f>
        <v>ALVENARIA DE VEDAÇÃO DE BLOCOS CERÂMICOS FURADOS NA VERTICAL DE 14X19X39 CM (ESPESSURA 14 CM) E ARGAMASSA DE ASSENTAMENTO COM PREPARO EM BETONEIRA. AF_12/2021</v>
      </c>
      <c r="E98" s="1318" t="str">
        <f>IFERROR(VLOOKUP($B98,'24.08_ND'!$A:$D,3,0),IFERROR(VLOOKUP($B98,'03-CP'!$C$5:$H$4646,3,0),""))</f>
        <v>M2</v>
      </c>
      <c r="F98" s="1671">
        <f>SUM(I100:I104)-16.47</f>
        <v>379.55999999999995</v>
      </c>
      <c r="G98" s="1387"/>
      <c r="H98" s="1387"/>
      <c r="I98" s="1388"/>
      <c r="J98" s="1734" t="s">
        <v>16387</v>
      </c>
      <c r="K98" s="262"/>
      <c r="L98" s="262"/>
    </row>
    <row r="99" spans="1:12" ht="25.5" hidden="1" outlineLevel="1">
      <c r="A99" s="450"/>
      <c r="B99" s="386"/>
      <c r="C99" s="386"/>
      <c r="D99" s="1435" t="s">
        <v>16404</v>
      </c>
      <c r="E99" s="1391" t="s">
        <v>16231</v>
      </c>
      <c r="F99" s="1392" t="s">
        <v>16232</v>
      </c>
      <c r="G99" s="1391" t="s">
        <v>16233</v>
      </c>
      <c r="H99" s="1392" t="s">
        <v>16234</v>
      </c>
      <c r="I99" s="1393" t="s">
        <v>12615</v>
      </c>
      <c r="J99" s="262"/>
      <c r="K99" s="262"/>
      <c r="L99" s="262"/>
    </row>
    <row r="100" spans="1:12" ht="12.75" hidden="1" outlineLevel="1">
      <c r="A100" s="450"/>
      <c r="B100" s="386"/>
      <c r="C100" s="386"/>
      <c r="D100" s="1673" t="s">
        <v>16491</v>
      </c>
      <c r="E100" s="1420">
        <v>22.92</v>
      </c>
      <c r="F100" s="1421">
        <v>2</v>
      </c>
      <c r="G100" s="1420">
        <f>E100*F100</f>
        <v>45.84</v>
      </c>
      <c r="H100" s="1421">
        <v>1</v>
      </c>
      <c r="I100" s="1429">
        <f>G100*H100</f>
        <v>45.84</v>
      </c>
      <c r="J100" s="262"/>
      <c r="K100" s="262"/>
      <c r="L100" s="262"/>
    </row>
    <row r="101" spans="1:12" ht="12.75" hidden="1" outlineLevel="1">
      <c r="A101" s="450"/>
      <c r="B101" s="386"/>
      <c r="C101" s="386"/>
      <c r="D101" s="1673" t="s">
        <v>16492</v>
      </c>
      <c r="E101" s="1420">
        <v>63.26</v>
      </c>
      <c r="F101" s="1421">
        <v>1.2</v>
      </c>
      <c r="G101" s="1420">
        <f>E101*F101</f>
        <v>75.911999999999992</v>
      </c>
      <c r="H101" s="1421">
        <v>1</v>
      </c>
      <c r="I101" s="1429">
        <f>G101*H101</f>
        <v>75.911999999999992</v>
      </c>
      <c r="J101" s="262"/>
      <c r="K101" s="262"/>
      <c r="L101" s="262"/>
    </row>
    <row r="102" spans="1:12" ht="12.75" hidden="1" outlineLevel="1">
      <c r="A102" s="450"/>
      <c r="B102" s="386"/>
      <c r="C102" s="386"/>
      <c r="D102" s="1673" t="s">
        <v>16502</v>
      </c>
      <c r="E102" s="1420">
        <v>28.47</v>
      </c>
      <c r="F102" s="1421">
        <v>3.4</v>
      </c>
      <c r="G102" s="1420">
        <f>E102*F102</f>
        <v>96.797999999999988</v>
      </c>
      <c r="H102" s="1421">
        <v>1</v>
      </c>
      <c r="I102" s="1429">
        <f>G102*H102</f>
        <v>96.797999999999988</v>
      </c>
      <c r="J102" s="262"/>
      <c r="K102" s="262"/>
      <c r="L102" s="262"/>
    </row>
    <row r="103" spans="1:12" ht="12.75" hidden="1" outlineLevel="1">
      <c r="A103" s="247"/>
      <c r="B103" s="386"/>
      <c r="C103" s="386"/>
      <c r="D103" s="1673" t="s">
        <v>16503</v>
      </c>
      <c r="E103" s="1420">
        <v>31.03</v>
      </c>
      <c r="F103" s="1421">
        <v>3.4</v>
      </c>
      <c r="G103" s="1420">
        <f>E103*F103</f>
        <v>105.502</v>
      </c>
      <c r="H103" s="1421">
        <v>1</v>
      </c>
      <c r="I103" s="1429">
        <f>G103*H103</f>
        <v>105.502</v>
      </c>
      <c r="J103" s="262"/>
      <c r="K103" s="262"/>
      <c r="L103" s="262"/>
    </row>
    <row r="104" spans="1:12" ht="12.75" hidden="1" outlineLevel="1">
      <c r="A104" s="247"/>
      <c r="B104" s="386"/>
      <c r="C104" s="386"/>
      <c r="D104" s="1394" t="s">
        <v>16555</v>
      </c>
      <c r="E104" s="1395">
        <v>21.17</v>
      </c>
      <c r="F104" s="1396">
        <v>3.4</v>
      </c>
      <c r="G104" s="1395">
        <f>E104*F104</f>
        <v>71.978000000000009</v>
      </c>
      <c r="H104" s="1396">
        <v>1</v>
      </c>
      <c r="I104" s="1397">
        <f>G104*H104</f>
        <v>71.978000000000009</v>
      </c>
      <c r="J104" s="262"/>
      <c r="K104" s="262"/>
      <c r="L104" s="262"/>
    </row>
    <row r="105" spans="1:12" ht="12.75" hidden="1" outlineLevel="1">
      <c r="A105" s="247"/>
      <c r="B105" s="386"/>
      <c r="C105" s="386"/>
      <c r="D105" s="253"/>
      <c r="E105" s="1398"/>
      <c r="F105" s="1399"/>
      <c r="G105" s="1398"/>
      <c r="H105" s="1399"/>
      <c r="I105" s="1400"/>
      <c r="J105" s="262"/>
      <c r="K105" s="262"/>
      <c r="L105" s="262"/>
    </row>
    <row r="106" spans="1:12" ht="38.25" outlineLevel="1">
      <c r="A106" s="1385" t="s">
        <v>14052</v>
      </c>
      <c r="B106" s="559">
        <v>96366</v>
      </c>
      <c r="C106" s="559" t="s">
        <v>14476</v>
      </c>
      <c r="D106" s="658" t="str">
        <f>IFERROR(VLOOKUP($B106,'24.08_ND'!$A$4833:$D$12369,2,0),IFERROR(VLOOKUP($B106,'03-CP'!$C$5:$H$4646,2,0),""))</f>
        <v>PAREDE COM SISTEMA EM CHAPAS DE GESSO PARA DRYWALL, USO INTERNO, COM DUAS FACES DUPLAS E ESTRUTURA METÁLICA COM GUIAS SIMPLES, SEM VÃOS. AF_07/2023_PS</v>
      </c>
      <c r="E106" s="1318" t="str">
        <f>IFERROR(VLOOKUP($B106,'24.08_ND'!$A:$D,3,0),IFERROR(VLOOKUP($B106,'03-CP'!$C$5:$H$4646,3,0),""))</f>
        <v>M2</v>
      </c>
      <c r="F106" s="1671">
        <f>SUM(I108:I110)</f>
        <v>9.0090000000000003</v>
      </c>
      <c r="G106" s="1387"/>
      <c r="H106" s="1387"/>
      <c r="I106" s="1388"/>
      <c r="J106" s="1734" t="s">
        <v>16387</v>
      </c>
      <c r="K106" s="262"/>
      <c r="L106" s="262"/>
    </row>
    <row r="107" spans="1:12" ht="25.5" hidden="1" outlineLevel="1">
      <c r="A107" s="1401"/>
      <c r="B107" s="386"/>
      <c r="C107" s="386"/>
      <c r="D107" s="1708" t="s">
        <v>16404</v>
      </c>
      <c r="E107" s="1698" t="s">
        <v>16231</v>
      </c>
      <c r="F107" s="1735" t="s">
        <v>16232</v>
      </c>
      <c r="G107" s="1698" t="s">
        <v>16233</v>
      </c>
      <c r="H107" s="1735" t="s">
        <v>16234</v>
      </c>
      <c r="I107" s="1736" t="s">
        <v>12615</v>
      </c>
      <c r="J107" s="262"/>
      <c r="K107" s="262"/>
      <c r="L107" s="262"/>
    </row>
    <row r="108" spans="1:12" ht="12.75" hidden="1" outlineLevel="1">
      <c r="A108" s="247"/>
      <c r="B108" s="386"/>
      <c r="C108" s="386"/>
      <c r="D108" s="1737" t="s">
        <v>16502</v>
      </c>
      <c r="E108" s="1420">
        <v>1.07</v>
      </c>
      <c r="F108" s="1421">
        <v>2.85</v>
      </c>
      <c r="G108" s="1420">
        <f>E108*F108</f>
        <v>3.0495000000000001</v>
      </c>
      <c r="H108" s="1421">
        <v>1</v>
      </c>
      <c r="I108" s="1429">
        <f>G108*H108</f>
        <v>3.0495000000000001</v>
      </c>
      <c r="J108" s="262"/>
      <c r="K108" s="262"/>
      <c r="L108" s="262"/>
    </row>
    <row r="109" spans="1:12" ht="12.75" hidden="1" outlineLevel="1">
      <c r="A109" s="247"/>
      <c r="B109" s="386"/>
      <c r="C109" s="386"/>
      <c r="D109" s="1737" t="s">
        <v>16503</v>
      </c>
      <c r="E109" s="1420">
        <v>1.07</v>
      </c>
      <c r="F109" s="1421">
        <v>2.85</v>
      </c>
      <c r="G109" s="1420">
        <f>E109*F109</f>
        <v>3.0495000000000001</v>
      </c>
      <c r="H109" s="1421">
        <v>1</v>
      </c>
      <c r="I109" s="1429">
        <f>G109*H109</f>
        <v>3.0495000000000001</v>
      </c>
      <c r="J109" s="262"/>
      <c r="K109" s="262"/>
      <c r="L109" s="262"/>
    </row>
    <row r="110" spans="1:12" ht="12.75" hidden="1" outlineLevel="1">
      <c r="A110" s="247"/>
      <c r="B110" s="386"/>
      <c r="C110" s="386"/>
      <c r="D110" s="1738" t="s">
        <v>16506</v>
      </c>
      <c r="E110" s="1702">
        <v>0.97</v>
      </c>
      <c r="F110" s="1703">
        <v>3</v>
      </c>
      <c r="G110" s="1702">
        <f>E110*F110</f>
        <v>2.91</v>
      </c>
      <c r="H110" s="1703">
        <v>1</v>
      </c>
      <c r="I110" s="1704">
        <f>G110*H110</f>
        <v>2.91</v>
      </c>
      <c r="J110" s="262"/>
      <c r="K110" s="262"/>
      <c r="L110" s="262"/>
    </row>
    <row r="111" spans="1:12" ht="18.75" hidden="1" outlineLevel="1">
      <c r="A111" s="247"/>
      <c r="B111" s="8"/>
      <c r="C111" s="8"/>
      <c r="D111" s="1314"/>
      <c r="E111" s="1315"/>
      <c r="F111" s="1739"/>
      <c r="G111" s="1244"/>
      <c r="H111" s="1244"/>
      <c r="I111" s="1409"/>
      <c r="J111" s="262"/>
      <c r="K111" s="262"/>
      <c r="L111" s="262"/>
    </row>
    <row r="112" spans="1:12" ht="28.5" outlineLevel="1">
      <c r="A112" s="1385" t="s">
        <v>14053</v>
      </c>
      <c r="B112" s="559">
        <v>93203</v>
      </c>
      <c r="C112" s="559" t="s">
        <v>14476</v>
      </c>
      <c r="D112" s="658" t="str">
        <f>IFERROR(VLOOKUP($B112,'24.08_ND'!$A$4833:$D$12369,2,0),IFERROR(VLOOKUP($B112,'03-CP'!$C$5:$H$4646,2,0),""))</f>
        <v>FIXAÇÃO (ENCUNHAMENTO) DE ALVENARIA DE VEDAÇÃO COM ESPUMA DE POLIURETANO EXPANSIVA. AF_03/2024</v>
      </c>
      <c r="E112" s="1318" t="str">
        <f>IFERROR(VLOOKUP($B112,'24.08_ND'!$A:$D,3,0),IFERROR(VLOOKUP($B112,'03-CP'!$C$5:$H$4646,3,0),""))</f>
        <v>M</v>
      </c>
      <c r="F112" s="1671">
        <v>80.67</v>
      </c>
      <c r="G112" s="1387"/>
      <c r="H112" s="1387"/>
      <c r="I112" s="1388"/>
      <c r="J112" s="1734" t="s">
        <v>16387</v>
      </c>
      <c r="K112" s="262"/>
      <c r="L112" s="262"/>
    </row>
    <row r="113" spans="1:12" ht="28.5" outlineLevel="1">
      <c r="A113" s="1385" t="s">
        <v>14054</v>
      </c>
      <c r="B113" s="559">
        <v>105035</v>
      </c>
      <c r="C113" s="559" t="s">
        <v>14476</v>
      </c>
      <c r="D113" s="658" t="str">
        <f>IFERROR(VLOOKUP($B113,'24.08_ND'!$A$4833:$D$12369,2,0),IFERROR(VLOOKUP($B113,'03-CP'!$C$5:$H$4646,2,0),""))</f>
        <v>VERGA PRÉ-FABRICADA COM ATÉ 1,5 M DE VÃO, ESPESSURA DE *20* CM. AF_03/2024</v>
      </c>
      <c r="E113" s="1318" t="str">
        <f>IFERROR(VLOOKUP($B113,'24.08_ND'!$A:$D,3,0),IFERROR(VLOOKUP($B113,'03-CP'!$C$5:$H$4646,3,0),""))</f>
        <v>M</v>
      </c>
      <c r="F113" s="1671">
        <f>SUM(I115:I119)</f>
        <v>27.400000000000002</v>
      </c>
      <c r="G113" s="1387"/>
      <c r="H113" s="1387"/>
      <c r="I113" s="1388"/>
      <c r="J113" s="1734" t="s">
        <v>16387</v>
      </c>
      <c r="K113" s="262"/>
      <c r="L113" s="262"/>
    </row>
    <row r="114" spans="1:12" ht="25.5" hidden="1" outlineLevel="1">
      <c r="A114" s="1401"/>
      <c r="B114" s="1410"/>
      <c r="C114" s="1410"/>
      <c r="D114" s="1435" t="s">
        <v>16404</v>
      </c>
      <c r="E114" s="1391" t="s">
        <v>16237</v>
      </c>
      <c r="F114" s="1392" t="s">
        <v>16238</v>
      </c>
      <c r="G114" s="1391" t="s">
        <v>16239</v>
      </c>
      <c r="H114" s="1392" t="s">
        <v>16234</v>
      </c>
      <c r="I114" s="1393" t="s">
        <v>12615</v>
      </c>
      <c r="J114" s="262"/>
      <c r="K114" s="262"/>
      <c r="L114" s="262"/>
    </row>
    <row r="115" spans="1:12" ht="12.75" hidden="1" outlineLevel="1">
      <c r="A115" s="1401"/>
      <c r="B115" s="8"/>
      <c r="C115" s="8"/>
      <c r="D115" s="1418" t="s">
        <v>16240</v>
      </c>
      <c r="E115" s="691">
        <v>0.9</v>
      </c>
      <c r="F115" s="691">
        <v>0.45</v>
      </c>
      <c r="G115" s="1244"/>
      <c r="H115" s="1244">
        <v>8</v>
      </c>
      <c r="I115" s="1409">
        <f>((F115*2)+E115)*H115</f>
        <v>14.4</v>
      </c>
      <c r="J115" s="262"/>
      <c r="K115" s="262"/>
      <c r="L115" s="262"/>
    </row>
    <row r="116" spans="1:12" ht="12.75" hidden="1" outlineLevel="1">
      <c r="A116" s="1401"/>
      <c r="B116" s="8"/>
      <c r="C116" s="8"/>
      <c r="D116" s="1418" t="s">
        <v>16241</v>
      </c>
      <c r="E116" s="1244">
        <v>1</v>
      </c>
      <c r="F116" s="1244">
        <v>0.45</v>
      </c>
      <c r="G116" s="1244"/>
      <c r="H116" s="1244">
        <v>3</v>
      </c>
      <c r="I116" s="1409">
        <f>((F116*2)+E116)*H116</f>
        <v>5.6999999999999993</v>
      </c>
      <c r="J116" s="262"/>
      <c r="K116" s="262"/>
      <c r="L116" s="262"/>
    </row>
    <row r="117" spans="1:12" ht="12.75" hidden="1" outlineLevel="1">
      <c r="A117" s="1401"/>
      <c r="B117" s="8"/>
      <c r="C117" s="8"/>
      <c r="D117" s="1418" t="s">
        <v>16495</v>
      </c>
      <c r="E117" s="1244">
        <v>0.8</v>
      </c>
      <c r="F117" s="1244">
        <v>0.1</v>
      </c>
      <c r="G117" s="1244"/>
      <c r="H117" s="1244">
        <v>4</v>
      </c>
      <c r="I117" s="1409">
        <f>((F117*2)+E117)*H117</f>
        <v>4</v>
      </c>
      <c r="J117" s="262"/>
      <c r="K117" s="262"/>
      <c r="L117" s="262"/>
    </row>
    <row r="118" spans="1:12" ht="12.75" hidden="1" outlineLevel="1">
      <c r="A118" s="1401"/>
      <c r="B118" s="8"/>
      <c r="C118" s="8"/>
      <c r="D118" s="1418" t="s">
        <v>16496</v>
      </c>
      <c r="E118" s="1244">
        <v>0.9</v>
      </c>
      <c r="F118" s="1244">
        <v>0.1</v>
      </c>
      <c r="G118" s="1244"/>
      <c r="H118" s="1244">
        <v>2</v>
      </c>
      <c r="I118" s="1409">
        <f>((F118*2)+E118)*H118</f>
        <v>2.2000000000000002</v>
      </c>
      <c r="J118" s="262"/>
      <c r="K118" s="262"/>
      <c r="L118" s="262"/>
    </row>
    <row r="119" spans="1:12" ht="12.75" hidden="1" outlineLevel="1">
      <c r="A119" s="1401"/>
      <c r="B119" s="8"/>
      <c r="C119" s="8"/>
      <c r="D119" s="1422" t="s">
        <v>16497</v>
      </c>
      <c r="E119" s="1248">
        <v>0.9</v>
      </c>
      <c r="F119" s="1248">
        <v>0.1</v>
      </c>
      <c r="G119" s="1248"/>
      <c r="H119" s="1248">
        <v>1</v>
      </c>
      <c r="I119" s="1281">
        <f>((F119*2)+E119)*H119</f>
        <v>1.1000000000000001</v>
      </c>
      <c r="J119" s="262"/>
      <c r="K119" s="262"/>
      <c r="L119" s="262"/>
    </row>
    <row r="120" spans="1:12" ht="12.75" hidden="1" outlineLevel="1">
      <c r="A120" s="247"/>
      <c r="B120" s="8"/>
      <c r="C120" s="8"/>
      <c r="D120" s="253"/>
      <c r="E120" s="1244"/>
      <c r="F120" s="1244"/>
      <c r="G120" s="1244"/>
      <c r="H120" s="1244"/>
      <c r="I120" s="1409"/>
      <c r="J120" s="262"/>
      <c r="K120" s="262"/>
      <c r="L120" s="262"/>
    </row>
    <row r="121" spans="1:12" ht="28.5" outlineLevel="1">
      <c r="A121" s="1385" t="s">
        <v>14055</v>
      </c>
      <c r="B121" s="559">
        <v>105038</v>
      </c>
      <c r="C121" s="559" t="s">
        <v>14476</v>
      </c>
      <c r="D121" s="658" t="str">
        <f>IFERROR(VLOOKUP($B121,'24.08_ND'!$A$4833:$D$12369,2,0),IFERROR(VLOOKUP($B121,'03-CP'!$C$5:$H$4646,2,0),""))</f>
        <v>CONTRAVERGA PRÉ-FABRICADA, ESPESSURA DE *20* CM. AF_03/2024</v>
      </c>
      <c r="E121" s="1318" t="str">
        <f>IFERROR(VLOOKUP($B121,'24.08_ND'!$A:$D,3,0),IFERROR(VLOOKUP($B121,'03-CP'!$C$5:$H$4646,3,0),""))</f>
        <v>M</v>
      </c>
      <c r="F121" s="1671">
        <f>SUM(I123:I124)</f>
        <v>20.100000000000001</v>
      </c>
      <c r="G121" s="1387"/>
      <c r="H121" s="1387"/>
      <c r="I121" s="1388"/>
      <c r="J121" s="1734" t="s">
        <v>16387</v>
      </c>
      <c r="K121" s="262"/>
      <c r="L121" s="262"/>
    </row>
    <row r="122" spans="1:12" ht="25.5" hidden="1" outlineLevel="1">
      <c r="A122" s="247"/>
      <c r="B122" s="1410"/>
      <c r="C122" s="1410"/>
      <c r="D122" s="1435" t="s">
        <v>16404</v>
      </c>
      <c r="E122" s="1391" t="s">
        <v>16237</v>
      </c>
      <c r="F122" s="1392" t="s">
        <v>16238</v>
      </c>
      <c r="G122" s="1391" t="s">
        <v>16239</v>
      </c>
      <c r="H122" s="1392" t="s">
        <v>16234</v>
      </c>
      <c r="I122" s="1393" t="s">
        <v>12615</v>
      </c>
      <c r="J122" s="262"/>
      <c r="K122" s="262"/>
      <c r="L122" s="262"/>
    </row>
    <row r="123" spans="1:12" ht="12.75" hidden="1" outlineLevel="1">
      <c r="A123" s="247"/>
      <c r="B123" s="8"/>
      <c r="C123" s="8"/>
      <c r="D123" s="1418" t="s">
        <v>16240</v>
      </c>
      <c r="E123" s="691">
        <v>0.9</v>
      </c>
      <c r="F123" s="691">
        <v>0.45</v>
      </c>
      <c r="G123" s="1244"/>
      <c r="H123" s="1244">
        <v>8</v>
      </c>
      <c r="I123" s="1409">
        <f>((F123*2)+E123)*H123</f>
        <v>14.4</v>
      </c>
      <c r="J123" s="262"/>
      <c r="K123" s="262"/>
      <c r="L123" s="262"/>
    </row>
    <row r="124" spans="1:12" ht="12.75" hidden="1" outlineLevel="1">
      <c r="A124" s="247"/>
      <c r="B124" s="8"/>
      <c r="C124" s="8"/>
      <c r="D124" s="1427" t="s">
        <v>16241</v>
      </c>
      <c r="E124" s="1395">
        <v>1</v>
      </c>
      <c r="F124" s="1396">
        <v>0.45</v>
      </c>
      <c r="G124" s="1395"/>
      <c r="H124" s="1396">
        <v>3</v>
      </c>
      <c r="I124" s="1281">
        <f>((F124*2)+E124)*H124</f>
        <v>5.6999999999999993</v>
      </c>
      <c r="J124" s="262"/>
      <c r="K124" s="262"/>
      <c r="L124" s="262"/>
    </row>
    <row r="125" spans="1:12" ht="12.75" hidden="1" outlineLevel="1">
      <c r="A125" s="247"/>
      <c r="B125" s="8"/>
      <c r="C125" s="8"/>
      <c r="D125" s="253"/>
      <c r="E125" s="1244"/>
      <c r="F125" s="1244"/>
      <c r="G125" s="1244"/>
      <c r="H125" s="1244"/>
      <c r="I125" s="1409"/>
      <c r="J125" s="262"/>
      <c r="K125" s="262"/>
      <c r="L125" s="262"/>
    </row>
    <row r="126" spans="1:12" ht="12.75">
      <c r="A126" s="246" t="s">
        <v>14056</v>
      </c>
      <c r="B126" s="1378"/>
      <c r="C126" s="1378"/>
      <c r="D126" s="1379" t="s">
        <v>16251</v>
      </c>
      <c r="E126" s="1380"/>
      <c r="F126" s="1381"/>
      <c r="G126" s="1380"/>
      <c r="H126" s="1381"/>
      <c r="I126" s="1382"/>
      <c r="J126" s="262"/>
      <c r="K126" s="262"/>
      <c r="L126" s="262"/>
    </row>
    <row r="127" spans="1:12" ht="38.25" outlineLevel="1">
      <c r="A127" s="1423" t="s">
        <v>14057</v>
      </c>
      <c r="B127" s="559">
        <v>87879</v>
      </c>
      <c r="C127" s="559" t="s">
        <v>14476</v>
      </c>
      <c r="D127" s="658" t="str">
        <f>IFERROR(VLOOKUP($B127,'24.08_ND'!$A$4833:$D$12369,2,0),IFERROR(VLOOKUP($B127,'03-CP'!$C$5:$H$4646,2,0),""))</f>
        <v>CHAPISCO APLICADO EM ALVENARIAS E ESTRUTURAS DE CONCRETO INTERNAS, COM COLHER DE PEDREIRO.  ARGAMASSA TRAÇO 1:3 COM PREPARO EM BETONEIRA 400L. AF_10/2022</v>
      </c>
      <c r="E127" s="1318" t="str">
        <f>IFERROR(VLOOKUP($B127,'24.08_ND'!$A:$D,3,0),IFERROR(VLOOKUP($B127,'03-CP'!$C$5:$H$4646,3,0),""))</f>
        <v>M2</v>
      </c>
      <c r="F127" s="1671">
        <f>SUM(I129:I138)</f>
        <v>759.04200000000014</v>
      </c>
      <c r="G127" s="1387"/>
      <c r="H127" s="1387"/>
      <c r="I127" s="1388"/>
      <c r="J127" s="1734" t="s">
        <v>16387</v>
      </c>
      <c r="K127" s="262"/>
      <c r="L127" s="262"/>
    </row>
    <row r="128" spans="1:12" ht="25.5" hidden="1" outlineLevel="1">
      <c r="A128" s="1401"/>
      <c r="B128" s="386"/>
      <c r="C128" s="386"/>
      <c r="D128" s="1708" t="s">
        <v>16404</v>
      </c>
      <c r="E128" s="1696" t="s">
        <v>16231</v>
      </c>
      <c r="F128" s="1697" t="s">
        <v>16232</v>
      </c>
      <c r="G128" s="1698" t="s">
        <v>16233</v>
      </c>
      <c r="H128" s="1696" t="s">
        <v>16498</v>
      </c>
      <c r="I128" s="1699" t="s">
        <v>12615</v>
      </c>
      <c r="J128" s="262"/>
      <c r="K128" s="262"/>
      <c r="L128" s="262"/>
    </row>
    <row r="129" spans="1:12" ht="12.75" hidden="1" outlineLevel="1">
      <c r="A129" s="247"/>
      <c r="B129" s="386"/>
      <c r="C129" s="386"/>
      <c r="D129" s="1700" t="s">
        <v>16499</v>
      </c>
      <c r="E129" s="1420">
        <v>22.92</v>
      </c>
      <c r="F129" s="1421">
        <v>2</v>
      </c>
      <c r="G129" s="1420">
        <f>E129*F129*2</f>
        <v>91.68</v>
      </c>
      <c r="H129" s="1421">
        <v>0</v>
      </c>
      <c r="I129" s="1429">
        <f t="shared" ref="I129:I138" si="0">G129-H129</f>
        <v>91.68</v>
      </c>
      <c r="J129" s="262"/>
      <c r="K129" s="262"/>
      <c r="L129" s="262"/>
    </row>
    <row r="130" spans="1:12" ht="12.75" hidden="1" outlineLevel="1">
      <c r="A130" s="247"/>
      <c r="B130" s="386"/>
      <c r="C130" s="386"/>
      <c r="D130" s="1700" t="s">
        <v>16500</v>
      </c>
      <c r="E130" s="1420">
        <v>63.26</v>
      </c>
      <c r="F130" s="1421">
        <v>1.2</v>
      </c>
      <c r="G130" s="1420">
        <f>E130*F130*2</f>
        <v>151.82399999999998</v>
      </c>
      <c r="H130" s="1421">
        <v>0</v>
      </c>
      <c r="I130" s="1429">
        <f t="shared" si="0"/>
        <v>151.82399999999998</v>
      </c>
      <c r="J130" s="262"/>
      <c r="K130" s="262"/>
      <c r="L130" s="262"/>
    </row>
    <row r="131" spans="1:12" ht="12.75" hidden="1" outlineLevel="1">
      <c r="A131" s="247"/>
      <c r="B131" s="386"/>
      <c r="C131" s="386"/>
      <c r="D131" s="1700" t="s">
        <v>16502</v>
      </c>
      <c r="E131" s="1420">
        <v>25.48</v>
      </c>
      <c r="F131" s="1421">
        <v>3.4</v>
      </c>
      <c r="G131" s="1420">
        <f>E131*F131</f>
        <v>86.632000000000005</v>
      </c>
      <c r="H131" s="1421">
        <v>4.8</v>
      </c>
      <c r="I131" s="1429">
        <f t="shared" si="0"/>
        <v>81.832000000000008</v>
      </c>
      <c r="J131" s="262"/>
      <c r="K131" s="262"/>
      <c r="L131" s="262"/>
    </row>
    <row r="132" spans="1:12" ht="12.75" hidden="1" outlineLevel="1">
      <c r="A132" s="247"/>
      <c r="B132" s="386"/>
      <c r="C132" s="386"/>
      <c r="D132" s="1700" t="s">
        <v>16503</v>
      </c>
      <c r="E132" s="1420">
        <v>28.04</v>
      </c>
      <c r="F132" s="1421">
        <v>3.4</v>
      </c>
      <c r="G132" s="1420">
        <f>E132*F132</f>
        <v>95.335999999999999</v>
      </c>
      <c r="H132" s="1421">
        <v>4.8</v>
      </c>
      <c r="I132" s="1429">
        <f t="shared" si="0"/>
        <v>90.536000000000001</v>
      </c>
      <c r="J132" s="262"/>
      <c r="K132" s="262"/>
      <c r="L132" s="262"/>
    </row>
    <row r="133" spans="1:12" ht="12.75" hidden="1" outlineLevel="1">
      <c r="A133" s="247"/>
      <c r="B133" s="386"/>
      <c r="C133" s="386"/>
      <c r="D133" s="1700" t="s">
        <v>16555</v>
      </c>
      <c r="E133" s="1420">
        <v>17.8</v>
      </c>
      <c r="F133" s="1421">
        <v>3.4</v>
      </c>
      <c r="G133" s="1420">
        <f>E133*F133</f>
        <v>60.52</v>
      </c>
      <c r="H133" s="1421">
        <v>6.87</v>
      </c>
      <c r="I133" s="1429">
        <f t="shared" si="0"/>
        <v>53.650000000000006</v>
      </c>
      <c r="J133" s="262"/>
      <c r="K133" s="262"/>
      <c r="L133" s="262"/>
    </row>
    <row r="134" spans="1:12" ht="12.75" hidden="1" outlineLevel="1">
      <c r="A134" s="247"/>
      <c r="B134" s="386"/>
      <c r="C134" s="386"/>
      <c r="D134" s="1700" t="s">
        <v>16502</v>
      </c>
      <c r="E134" s="1420">
        <v>31.8</v>
      </c>
      <c r="F134" s="1421">
        <v>3.4</v>
      </c>
      <c r="G134" s="1420">
        <v>108.12</v>
      </c>
      <c r="H134" s="1421">
        <v>4.8</v>
      </c>
      <c r="I134" s="1429">
        <f t="shared" si="0"/>
        <v>103.32000000000001</v>
      </c>
      <c r="J134" s="262"/>
      <c r="K134" s="262"/>
      <c r="L134" s="262"/>
    </row>
    <row r="135" spans="1:12" ht="12.75" hidden="1" outlineLevel="1">
      <c r="A135" s="247"/>
      <c r="B135" s="386"/>
      <c r="C135" s="386"/>
      <c r="D135" s="1700" t="s">
        <v>16503</v>
      </c>
      <c r="E135" s="1420">
        <v>34.36</v>
      </c>
      <c r="F135" s="1421">
        <v>3.4</v>
      </c>
      <c r="G135" s="1420">
        <v>116.82</v>
      </c>
      <c r="H135" s="1421">
        <v>4.8</v>
      </c>
      <c r="I135" s="1429">
        <f t="shared" si="0"/>
        <v>112.02</v>
      </c>
      <c r="J135" s="262"/>
      <c r="K135" s="262"/>
      <c r="L135" s="262"/>
    </row>
    <row r="136" spans="1:12" ht="12.75" hidden="1" outlineLevel="1">
      <c r="A136" s="247"/>
      <c r="B136" s="386"/>
      <c r="C136" s="386"/>
      <c r="D136" s="1700" t="s">
        <v>16504</v>
      </c>
      <c r="E136" s="1420">
        <v>7.36</v>
      </c>
      <c r="F136" s="1421">
        <v>3.4</v>
      </c>
      <c r="G136" s="1420">
        <v>25.02</v>
      </c>
      <c r="H136" s="1421">
        <v>2.29</v>
      </c>
      <c r="I136" s="1429">
        <f t="shared" si="0"/>
        <v>22.73</v>
      </c>
      <c r="J136" s="262"/>
      <c r="K136" s="262"/>
      <c r="L136" s="262"/>
    </row>
    <row r="137" spans="1:12" ht="12.75" hidden="1" outlineLevel="1">
      <c r="A137" s="247"/>
      <c r="B137" s="386"/>
      <c r="C137" s="386"/>
      <c r="D137" s="1700" t="s">
        <v>16505</v>
      </c>
      <c r="E137" s="1420">
        <v>7.36</v>
      </c>
      <c r="F137" s="1421">
        <v>3.4</v>
      </c>
      <c r="G137" s="1420">
        <v>25.02</v>
      </c>
      <c r="H137" s="1421">
        <v>2.29</v>
      </c>
      <c r="I137" s="1429">
        <f t="shared" si="0"/>
        <v>22.73</v>
      </c>
      <c r="J137" s="262"/>
      <c r="K137" s="262"/>
      <c r="L137" s="262"/>
    </row>
    <row r="138" spans="1:12" ht="12.75" hidden="1" outlineLevel="1">
      <c r="A138" s="247"/>
      <c r="B138" s="386"/>
      <c r="C138" s="386"/>
      <c r="D138" s="1701" t="s">
        <v>16506</v>
      </c>
      <c r="E138" s="1702">
        <v>9.1199999999999992</v>
      </c>
      <c r="F138" s="1703">
        <v>3.4</v>
      </c>
      <c r="G138" s="1702">
        <v>31.01</v>
      </c>
      <c r="H138" s="1703">
        <v>2.29</v>
      </c>
      <c r="I138" s="1704">
        <f t="shared" si="0"/>
        <v>28.720000000000002</v>
      </c>
      <c r="J138" s="262"/>
      <c r="K138" s="262"/>
      <c r="L138" s="262"/>
    </row>
    <row r="139" spans="1:12" ht="12.75" hidden="1" outlineLevel="1">
      <c r="A139" s="247"/>
      <c r="B139" s="386"/>
      <c r="C139" s="386"/>
      <c r="D139" s="1428"/>
      <c r="E139" s="1420"/>
      <c r="F139" s="1421"/>
      <c r="G139" s="1420"/>
      <c r="H139" s="1421"/>
      <c r="I139" s="1429"/>
      <c r="J139" s="262"/>
      <c r="K139" s="262"/>
      <c r="L139" s="262"/>
    </row>
    <row r="140" spans="1:12" ht="38.25" outlineLevel="1">
      <c r="A140" s="1423" t="s">
        <v>14058</v>
      </c>
      <c r="B140" s="295">
        <v>87775</v>
      </c>
      <c r="C140" s="559" t="s">
        <v>14476</v>
      </c>
      <c r="D140" s="658" t="str">
        <f>IFERROR(VLOOKUP($B140,'24.08_ND'!$A$4833:$D$12369,2,0),IFERROR(VLOOKUP($B140,'03-CP'!$C$5:$H$4646,2,0),""))</f>
        <v>EMBOÇO OU MASSA ÚNICA EM ARGAMASSA TRAÇO 1:2:8, PREPARO MECÂNICO COM BETONEIRA 400 L, APLICADA MANUALMENTE EM PANOS DE FACHADA COM PRESENÇA DE VÃOS, ESPESSURA DE 25 MM. AF_08/2022</v>
      </c>
      <c r="E140" s="1318" t="str">
        <f>IFERROR(VLOOKUP($B140,'24.08_ND'!$A:$D,3,0),IFERROR(VLOOKUP($B140,'03-CP'!$C$5:$H$4646,3,0),""))</f>
        <v>M2</v>
      </c>
      <c r="F140" s="1671">
        <f>SUM(I142:I151)</f>
        <v>759.04200000000014</v>
      </c>
      <c r="G140" s="1387"/>
      <c r="H140" s="1387"/>
      <c r="I140" s="1388"/>
      <c r="J140" s="1734" t="s">
        <v>16387</v>
      </c>
      <c r="K140" s="262"/>
      <c r="L140" s="262"/>
    </row>
    <row r="141" spans="1:12" ht="25.5" hidden="1" outlineLevel="1">
      <c r="A141" s="450"/>
      <c r="B141" s="386"/>
      <c r="C141" s="386"/>
      <c r="D141" s="1708" t="s">
        <v>16404</v>
      </c>
      <c r="E141" s="1696" t="s">
        <v>16231</v>
      </c>
      <c r="F141" s="1697" t="s">
        <v>16232</v>
      </c>
      <c r="G141" s="1698" t="s">
        <v>16233</v>
      </c>
      <c r="H141" s="1696" t="s">
        <v>16498</v>
      </c>
      <c r="I141" s="1699" t="s">
        <v>12615</v>
      </c>
      <c r="J141" s="262"/>
      <c r="K141" s="262"/>
      <c r="L141" s="262"/>
    </row>
    <row r="142" spans="1:12" ht="12.75" hidden="1" outlineLevel="1">
      <c r="A142" s="247"/>
      <c r="B142" s="386"/>
      <c r="C142" s="386"/>
      <c r="D142" s="1700" t="s">
        <v>16499</v>
      </c>
      <c r="E142" s="1420">
        <v>22.92</v>
      </c>
      <c r="F142" s="1421">
        <v>2</v>
      </c>
      <c r="G142" s="1420">
        <f>E142*F142*2</f>
        <v>91.68</v>
      </c>
      <c r="H142" s="1421">
        <v>0</v>
      </c>
      <c r="I142" s="1429">
        <f t="shared" ref="I142:I151" si="1">G142-H142</f>
        <v>91.68</v>
      </c>
      <c r="J142" s="262"/>
      <c r="K142" s="262"/>
      <c r="L142" s="262"/>
    </row>
    <row r="143" spans="1:12" ht="12.75" hidden="1" outlineLevel="1">
      <c r="A143" s="247"/>
      <c r="B143" s="386"/>
      <c r="C143" s="386"/>
      <c r="D143" s="1700" t="s">
        <v>16500</v>
      </c>
      <c r="E143" s="1420">
        <v>63.26</v>
      </c>
      <c r="F143" s="1421">
        <v>1.2</v>
      </c>
      <c r="G143" s="1420">
        <f>E143*F143*2</f>
        <v>151.82399999999998</v>
      </c>
      <c r="H143" s="1421">
        <v>0</v>
      </c>
      <c r="I143" s="1429">
        <f t="shared" si="1"/>
        <v>151.82399999999998</v>
      </c>
      <c r="J143" s="262"/>
      <c r="K143" s="262"/>
      <c r="L143" s="262"/>
    </row>
    <row r="144" spans="1:12" ht="12.75" hidden="1" outlineLevel="1">
      <c r="A144" s="247"/>
      <c r="B144" s="386"/>
      <c r="C144" s="386"/>
      <c r="D144" s="1700" t="s">
        <v>16502</v>
      </c>
      <c r="E144" s="1420">
        <v>25.48</v>
      </c>
      <c r="F144" s="1421">
        <v>3.4</v>
      </c>
      <c r="G144" s="1420">
        <f>E144*F144</f>
        <v>86.632000000000005</v>
      </c>
      <c r="H144" s="1421">
        <v>4.8</v>
      </c>
      <c r="I144" s="1429">
        <f t="shared" si="1"/>
        <v>81.832000000000008</v>
      </c>
      <c r="J144" s="262"/>
      <c r="K144" s="262"/>
      <c r="L144" s="262"/>
    </row>
    <row r="145" spans="1:12" ht="12.75" hidden="1" outlineLevel="1">
      <c r="A145" s="247"/>
      <c r="B145" s="386"/>
      <c r="C145" s="386"/>
      <c r="D145" s="1700" t="s">
        <v>16503</v>
      </c>
      <c r="E145" s="1420">
        <v>28.04</v>
      </c>
      <c r="F145" s="1421">
        <v>3.4</v>
      </c>
      <c r="G145" s="1420">
        <f>E145*F145</f>
        <v>95.335999999999999</v>
      </c>
      <c r="H145" s="1421">
        <v>4.8</v>
      </c>
      <c r="I145" s="1429">
        <f t="shared" si="1"/>
        <v>90.536000000000001</v>
      </c>
      <c r="J145" s="262"/>
      <c r="K145" s="262"/>
      <c r="L145" s="262"/>
    </row>
    <row r="146" spans="1:12" ht="12.75" hidden="1" outlineLevel="1">
      <c r="A146" s="247"/>
      <c r="B146" s="386"/>
      <c r="C146" s="386"/>
      <c r="D146" s="1700" t="s">
        <v>16555</v>
      </c>
      <c r="E146" s="1420">
        <v>17.8</v>
      </c>
      <c r="F146" s="1421">
        <v>3.4</v>
      </c>
      <c r="G146" s="1420">
        <f>E146*F146</f>
        <v>60.52</v>
      </c>
      <c r="H146" s="1421">
        <v>6.87</v>
      </c>
      <c r="I146" s="1429">
        <f t="shared" si="1"/>
        <v>53.650000000000006</v>
      </c>
      <c r="J146" s="262"/>
      <c r="K146" s="262"/>
      <c r="L146" s="262"/>
    </row>
    <row r="147" spans="1:12" ht="12.75" hidden="1" outlineLevel="1">
      <c r="A147" s="247"/>
      <c r="B147" s="386"/>
      <c r="C147" s="386"/>
      <c r="D147" s="1700" t="s">
        <v>16502</v>
      </c>
      <c r="E147" s="1420">
        <v>31.8</v>
      </c>
      <c r="F147" s="1421">
        <v>3.4</v>
      </c>
      <c r="G147" s="1420">
        <v>108.12</v>
      </c>
      <c r="H147" s="1421">
        <v>4.8</v>
      </c>
      <c r="I147" s="1429">
        <f t="shared" si="1"/>
        <v>103.32000000000001</v>
      </c>
      <c r="J147" s="262"/>
      <c r="K147" s="262"/>
      <c r="L147" s="262"/>
    </row>
    <row r="148" spans="1:12" ht="12.75" hidden="1" outlineLevel="1">
      <c r="A148" s="247"/>
      <c r="B148" s="386"/>
      <c r="C148" s="386"/>
      <c r="D148" s="1700" t="s">
        <v>16503</v>
      </c>
      <c r="E148" s="1420">
        <v>34.36</v>
      </c>
      <c r="F148" s="1421">
        <v>3.4</v>
      </c>
      <c r="G148" s="1420">
        <v>116.82</v>
      </c>
      <c r="H148" s="1421">
        <v>4.8</v>
      </c>
      <c r="I148" s="1429">
        <f t="shared" si="1"/>
        <v>112.02</v>
      </c>
      <c r="J148" s="262"/>
      <c r="K148" s="262"/>
      <c r="L148" s="262"/>
    </row>
    <row r="149" spans="1:12" ht="12.75" hidden="1" outlineLevel="1">
      <c r="A149" s="247"/>
      <c r="B149" s="386"/>
      <c r="C149" s="386"/>
      <c r="D149" s="1700" t="s">
        <v>16504</v>
      </c>
      <c r="E149" s="1420">
        <v>7.36</v>
      </c>
      <c r="F149" s="1421">
        <v>3.4</v>
      </c>
      <c r="G149" s="1420">
        <v>25.02</v>
      </c>
      <c r="H149" s="1421">
        <v>2.29</v>
      </c>
      <c r="I149" s="1429">
        <f t="shared" si="1"/>
        <v>22.73</v>
      </c>
      <c r="J149" s="262"/>
      <c r="K149" s="262"/>
      <c r="L149" s="262"/>
    </row>
    <row r="150" spans="1:12" ht="12.75" hidden="1" outlineLevel="1">
      <c r="A150" s="247"/>
      <c r="B150" s="386"/>
      <c r="C150" s="386"/>
      <c r="D150" s="1700" t="s">
        <v>16505</v>
      </c>
      <c r="E150" s="1420">
        <v>7.36</v>
      </c>
      <c r="F150" s="1421">
        <v>3.4</v>
      </c>
      <c r="G150" s="1420">
        <v>25.02</v>
      </c>
      <c r="H150" s="1421">
        <v>2.29</v>
      </c>
      <c r="I150" s="1429">
        <f t="shared" si="1"/>
        <v>22.73</v>
      </c>
      <c r="J150" s="262"/>
      <c r="K150" s="262"/>
      <c r="L150" s="262"/>
    </row>
    <row r="151" spans="1:12" ht="12.75" hidden="1" outlineLevel="1">
      <c r="A151" s="247"/>
      <c r="B151" s="386"/>
      <c r="C151" s="386"/>
      <c r="D151" s="1701" t="s">
        <v>16506</v>
      </c>
      <c r="E151" s="1702">
        <v>9.1199999999999992</v>
      </c>
      <c r="F151" s="1703">
        <v>3.4</v>
      </c>
      <c r="G151" s="1702">
        <v>31.01</v>
      </c>
      <c r="H151" s="1703">
        <v>2.29</v>
      </c>
      <c r="I151" s="1704">
        <f t="shared" si="1"/>
        <v>28.720000000000002</v>
      </c>
      <c r="J151" s="262"/>
      <c r="K151" s="262"/>
      <c r="L151" s="262"/>
    </row>
    <row r="152" spans="1:12" ht="12.75" hidden="1" outlineLevel="1">
      <c r="A152" s="247"/>
      <c r="B152" s="386"/>
      <c r="C152" s="386"/>
      <c r="D152" s="1428"/>
      <c r="E152" s="1420"/>
      <c r="F152" s="1421"/>
      <c r="G152" s="1420"/>
      <c r="H152" s="1421"/>
      <c r="I152" s="1429"/>
      <c r="J152" s="262"/>
      <c r="K152" s="262"/>
      <c r="L152" s="262"/>
    </row>
    <row r="153" spans="1:12" ht="28.5" outlineLevel="1">
      <c r="A153" s="1423" t="s">
        <v>14059</v>
      </c>
      <c r="B153" s="295">
        <v>98555</v>
      </c>
      <c r="C153" s="559" t="s">
        <v>14476</v>
      </c>
      <c r="D153" s="658" t="str">
        <f>IFERROR(VLOOKUP($B153,'24.08_ND'!$A$4833:$D$12369,2,0),IFERROR(VLOOKUP($B153,'03-CP'!$C$5:$H$4646,2,0),""))</f>
        <v>IMPERMEABILIZAÇÃO DE SUPERFÍCIE COM ARGAMASSA POLIMÉRICA / MEMBRANA ACRÍLICA, 3 DEMÃOS. AF_09/2023</v>
      </c>
      <c r="E153" s="1318" t="str">
        <f>IFERROR(VLOOKUP($B153,'24.08_ND'!$A:$D,3,0),IFERROR(VLOOKUP($B153,'03-CP'!$C$5:$H$4646,3,0),""))</f>
        <v>M2</v>
      </c>
      <c r="F153" s="1671">
        <f>SUM(I155:I159)</f>
        <v>90</v>
      </c>
      <c r="G153" s="1387"/>
      <c r="H153" s="1387"/>
      <c r="I153" s="1388"/>
      <c r="J153" s="1734" t="s">
        <v>16387</v>
      </c>
      <c r="K153" s="262"/>
      <c r="L153" s="262"/>
    </row>
    <row r="154" spans="1:12" ht="25.5" hidden="1" outlineLevel="1">
      <c r="A154" s="450"/>
      <c r="D154" s="1435" t="s">
        <v>16404</v>
      </c>
      <c r="E154" s="1240" t="s">
        <v>16231</v>
      </c>
      <c r="F154" s="1425" t="s">
        <v>16232</v>
      </c>
      <c r="G154" s="1391" t="s">
        <v>16233</v>
      </c>
      <c r="H154" s="1240" t="s">
        <v>16498</v>
      </c>
      <c r="I154" s="1426" t="s">
        <v>12615</v>
      </c>
      <c r="J154" s="262"/>
      <c r="K154" s="262"/>
      <c r="L154" s="262"/>
    </row>
    <row r="155" spans="1:12" ht="12.75" hidden="1" outlineLevel="1">
      <c r="A155" s="450"/>
      <c r="D155" s="1419" t="s">
        <v>16507</v>
      </c>
      <c r="E155" s="1420">
        <v>31.8</v>
      </c>
      <c r="F155" s="1421">
        <v>1</v>
      </c>
      <c r="G155" s="1420">
        <v>31.8</v>
      </c>
      <c r="H155" s="1421"/>
      <c r="I155" s="1429">
        <v>31.8</v>
      </c>
      <c r="J155" s="262"/>
      <c r="K155" s="262"/>
      <c r="L155" s="262"/>
    </row>
    <row r="156" spans="1:12" ht="12.75" hidden="1" outlineLevel="1">
      <c r="A156" s="450"/>
      <c r="D156" s="1419" t="s">
        <v>16503</v>
      </c>
      <c r="E156" s="1420">
        <v>34.36</v>
      </c>
      <c r="F156" s="1421">
        <v>1</v>
      </c>
      <c r="G156" s="1420">
        <v>34.36</v>
      </c>
      <c r="H156" s="1421"/>
      <c r="I156" s="1429">
        <v>34.36</v>
      </c>
      <c r="J156" s="262"/>
      <c r="K156" s="262"/>
      <c r="L156" s="262"/>
    </row>
    <row r="157" spans="1:12" ht="12.75" hidden="1" outlineLevel="1">
      <c r="A157" s="450"/>
      <c r="D157" s="1419" t="s">
        <v>16504</v>
      </c>
      <c r="E157" s="1420">
        <v>7.36</v>
      </c>
      <c r="F157" s="1421">
        <v>1</v>
      </c>
      <c r="G157" s="1420">
        <v>7.36</v>
      </c>
      <c r="H157" s="1421"/>
      <c r="I157" s="1429">
        <v>7.36</v>
      </c>
      <c r="J157" s="262"/>
      <c r="K157" s="262"/>
      <c r="L157" s="262"/>
    </row>
    <row r="158" spans="1:12" ht="12.75" hidden="1" outlineLevel="1">
      <c r="A158" s="450"/>
      <c r="D158" s="1419" t="s">
        <v>16505</v>
      </c>
      <c r="E158" s="1420">
        <v>7.36</v>
      </c>
      <c r="F158" s="1421">
        <v>1</v>
      </c>
      <c r="G158" s="1420">
        <v>7.36</v>
      </c>
      <c r="H158" s="1421"/>
      <c r="I158" s="1429">
        <v>7.36</v>
      </c>
      <c r="J158" s="262"/>
      <c r="K158" s="262"/>
      <c r="L158" s="262"/>
    </row>
    <row r="159" spans="1:12" ht="12.75" hidden="1" outlineLevel="1">
      <c r="A159" s="450"/>
      <c r="D159" s="1427" t="s">
        <v>16506</v>
      </c>
      <c r="E159" s="1395">
        <v>9.1199999999999992</v>
      </c>
      <c r="F159" s="1396">
        <v>1</v>
      </c>
      <c r="G159" s="1395">
        <v>9.1199999999999992</v>
      </c>
      <c r="H159" s="1396"/>
      <c r="I159" s="1397">
        <v>9.1199999999999992</v>
      </c>
      <c r="J159" s="262"/>
      <c r="K159" s="262"/>
      <c r="L159" s="262"/>
    </row>
    <row r="160" spans="1:12" ht="12.75" hidden="1" outlineLevel="1">
      <c r="A160" s="450"/>
      <c r="I160" s="453"/>
      <c r="J160" s="262"/>
      <c r="K160" s="262"/>
      <c r="L160" s="262"/>
    </row>
    <row r="161" spans="1:12" ht="12.75">
      <c r="A161" s="246" t="s">
        <v>14060</v>
      </c>
      <c r="B161" s="1378"/>
      <c r="C161" s="1378"/>
      <c r="D161" s="1379" t="s">
        <v>16256</v>
      </c>
      <c r="E161" s="1380"/>
      <c r="F161" s="1381"/>
      <c r="G161" s="1380"/>
      <c r="H161" s="1381"/>
      <c r="I161" s="1382"/>
      <c r="J161" s="262"/>
      <c r="K161" s="262"/>
      <c r="L161" s="262"/>
    </row>
    <row r="162" spans="1:12" ht="38.25" outlineLevel="1">
      <c r="A162" s="1423" t="s">
        <v>14061</v>
      </c>
      <c r="B162" s="295" t="s">
        <v>14960</v>
      </c>
      <c r="C162" s="295" t="s">
        <v>14472</v>
      </c>
      <c r="D162" s="658" t="str">
        <f>IFERROR(VLOOKUP($B162,'24.08_ND'!$A$4833:$D$12369,2,0),IFERROR(VLOOKUP($B162,'03-CP'!$C$5:$H$4646,2,0),""))</f>
        <v>REVESTIMENTO CERÂMICO, TIPO PORCELANATO, ISEO GRIGIO, BIANCOGRES, RETIFICADO, DIMENSÕES 90X90CM (REJUNTE CINZA OUTONO) -  FORNECIMENTO E APLICAÇÃO</v>
      </c>
      <c r="E162" s="1318" t="str">
        <f>IFERROR(VLOOKUP($B162,'24.08_ND'!$A:$D,3,0),IFERROR(VLOOKUP($B162,'03-CP'!$C$5:$H$4646,3,0),""))</f>
        <v>M2</v>
      </c>
      <c r="F162" s="1671">
        <f>SUM(I164:I172)</f>
        <v>269.73500000000001</v>
      </c>
      <c r="G162" s="1387"/>
      <c r="H162" s="1387"/>
      <c r="I162" s="1388"/>
      <c r="J162" s="1734" t="s">
        <v>16387</v>
      </c>
      <c r="K162" s="262"/>
      <c r="L162" s="262"/>
    </row>
    <row r="163" spans="1:12" ht="25.5" hidden="1" outlineLevel="1">
      <c r="A163" s="450"/>
      <c r="B163" s="386"/>
      <c r="C163" s="386"/>
      <c r="D163" s="1435" t="s">
        <v>16508</v>
      </c>
      <c r="E163" s="1240" t="s">
        <v>16231</v>
      </c>
      <c r="F163" s="1425" t="s">
        <v>16232</v>
      </c>
      <c r="G163" s="1391" t="s">
        <v>16233</v>
      </c>
      <c r="H163" s="1240" t="s">
        <v>16498</v>
      </c>
      <c r="I163" s="1426" t="s">
        <v>12615</v>
      </c>
      <c r="J163" s="262"/>
      <c r="K163" s="262"/>
      <c r="L163" s="262"/>
    </row>
    <row r="164" spans="1:12" ht="12.75" hidden="1" outlineLevel="1">
      <c r="A164" s="450"/>
      <c r="B164" s="386"/>
      <c r="C164" s="386"/>
      <c r="D164" s="1418" t="s">
        <v>16502</v>
      </c>
      <c r="E164" s="1244">
        <v>32.869999999999997</v>
      </c>
      <c r="F164" s="389">
        <v>2.85</v>
      </c>
      <c r="G164" s="1244">
        <f>E164*F164</f>
        <v>93.67949999999999</v>
      </c>
      <c r="H164" s="1244">
        <v>4.8</v>
      </c>
      <c r="I164" s="1409">
        <f t="shared" ref="I164:I172" si="2">G164-H164</f>
        <v>88.879499999999993</v>
      </c>
      <c r="J164" s="262"/>
      <c r="K164" s="262"/>
      <c r="L164" s="262"/>
    </row>
    <row r="165" spans="1:12" ht="12.75" hidden="1" outlineLevel="1">
      <c r="A165" s="247"/>
      <c r="B165" s="386"/>
      <c r="C165" s="386"/>
      <c r="D165" s="1418" t="s">
        <v>16503</v>
      </c>
      <c r="E165" s="1244">
        <v>35.43</v>
      </c>
      <c r="F165" s="389">
        <v>2.85</v>
      </c>
      <c r="G165" s="1244">
        <f>E165*F165</f>
        <v>100.9755</v>
      </c>
      <c r="H165" s="1244">
        <v>4.8</v>
      </c>
      <c r="I165" s="1409">
        <f t="shared" si="2"/>
        <v>96.1755</v>
      </c>
      <c r="J165" s="262"/>
      <c r="K165" s="262"/>
      <c r="L165" s="262"/>
    </row>
    <row r="166" spans="1:12" ht="12.75" hidden="1" outlineLevel="1">
      <c r="A166" s="247"/>
      <c r="B166" s="386"/>
      <c r="C166" s="386"/>
      <c r="D166" s="1418" t="s">
        <v>16504</v>
      </c>
      <c r="E166" s="1244">
        <v>7.36</v>
      </c>
      <c r="F166" s="389">
        <v>3</v>
      </c>
      <c r="G166" s="1244">
        <f>E166*F166</f>
        <v>22.080000000000002</v>
      </c>
      <c r="H166" s="1244">
        <v>2.29</v>
      </c>
      <c r="I166" s="1409">
        <f t="shared" si="2"/>
        <v>19.790000000000003</v>
      </c>
      <c r="J166" s="262"/>
      <c r="K166" s="262"/>
      <c r="L166" s="262"/>
    </row>
    <row r="167" spans="1:12" ht="12.75" hidden="1" outlineLevel="1">
      <c r="A167" s="247"/>
      <c r="B167" s="386"/>
      <c r="C167" s="386"/>
      <c r="D167" s="1418" t="s">
        <v>16505</v>
      </c>
      <c r="E167" s="1244">
        <v>7.36</v>
      </c>
      <c r="F167" s="389">
        <v>3</v>
      </c>
      <c r="G167" s="1244">
        <f>E167*F167</f>
        <v>22.080000000000002</v>
      </c>
      <c r="H167" s="1244">
        <v>2.29</v>
      </c>
      <c r="I167" s="1409">
        <f t="shared" si="2"/>
        <v>19.790000000000003</v>
      </c>
      <c r="J167" s="262"/>
      <c r="K167" s="262"/>
      <c r="L167" s="262"/>
    </row>
    <row r="168" spans="1:12" ht="12.75" hidden="1" outlineLevel="1">
      <c r="A168" s="247"/>
      <c r="B168" s="386"/>
      <c r="C168" s="386"/>
      <c r="D168" s="1418" t="s">
        <v>16506</v>
      </c>
      <c r="E168" s="1244">
        <v>10.09</v>
      </c>
      <c r="F168" s="389">
        <v>3</v>
      </c>
      <c r="G168" s="1244">
        <f>E168*F168</f>
        <v>30.27</v>
      </c>
      <c r="H168" s="1244">
        <v>2.29</v>
      </c>
      <c r="I168" s="1409">
        <f t="shared" si="2"/>
        <v>27.98</v>
      </c>
      <c r="J168" s="262"/>
      <c r="K168" s="262"/>
      <c r="L168" s="262"/>
    </row>
    <row r="169" spans="1:12" ht="12.75" hidden="1" outlineLevel="1">
      <c r="A169" s="247"/>
      <c r="B169" s="386"/>
      <c r="C169" s="386"/>
      <c r="D169" s="1418" t="s">
        <v>16502</v>
      </c>
      <c r="E169" s="1244"/>
      <c r="F169" s="389"/>
      <c r="G169" s="1244">
        <v>6.85</v>
      </c>
      <c r="H169" s="1244"/>
      <c r="I169" s="1409">
        <f t="shared" si="2"/>
        <v>6.85</v>
      </c>
      <c r="J169" s="262"/>
      <c r="K169" s="262"/>
      <c r="L169" s="262"/>
    </row>
    <row r="170" spans="1:12" ht="12.75" hidden="1" outlineLevel="1">
      <c r="A170" s="247"/>
      <c r="B170" s="386"/>
      <c r="C170" s="386"/>
      <c r="D170" s="1418" t="s">
        <v>16503</v>
      </c>
      <c r="E170" s="1244"/>
      <c r="F170" s="389"/>
      <c r="G170" s="1244">
        <v>7.41</v>
      </c>
      <c r="H170" s="1244"/>
      <c r="I170" s="1409">
        <f t="shared" si="2"/>
        <v>7.41</v>
      </c>
      <c r="J170" s="262"/>
      <c r="K170" s="262"/>
      <c r="L170" s="262"/>
    </row>
    <row r="171" spans="1:12" ht="12.75" hidden="1" outlineLevel="1">
      <c r="A171" s="247"/>
      <c r="B171" s="386"/>
      <c r="C171" s="386"/>
      <c r="D171" s="1418" t="s">
        <v>16504</v>
      </c>
      <c r="E171" s="1244"/>
      <c r="F171" s="389"/>
      <c r="G171" s="1244">
        <v>1.43</v>
      </c>
      <c r="H171" s="1244"/>
      <c r="I171" s="1409">
        <f t="shared" si="2"/>
        <v>1.43</v>
      </c>
      <c r="J171" s="262"/>
      <c r="K171" s="262"/>
      <c r="L171" s="262"/>
    </row>
    <row r="172" spans="1:12" ht="12.75" hidden="1" outlineLevel="1">
      <c r="A172" s="247"/>
      <c r="B172" s="386"/>
      <c r="C172" s="386"/>
      <c r="D172" s="1422" t="s">
        <v>16505</v>
      </c>
      <c r="E172" s="1248"/>
      <c r="F172" s="1436"/>
      <c r="G172" s="1248">
        <v>1.43</v>
      </c>
      <c r="H172" s="1248"/>
      <c r="I172" s="1281">
        <f t="shared" si="2"/>
        <v>1.43</v>
      </c>
      <c r="J172" s="262"/>
      <c r="K172" s="262"/>
      <c r="L172" s="262"/>
    </row>
    <row r="173" spans="1:12" ht="12.75" hidden="1" outlineLevel="1">
      <c r="A173" s="247"/>
      <c r="B173" s="386"/>
      <c r="C173" s="386"/>
      <c r="D173" s="1428"/>
      <c r="E173" s="1420"/>
      <c r="F173" s="1421"/>
      <c r="G173" s="1420"/>
      <c r="H173" s="1421"/>
      <c r="I173" s="1429"/>
      <c r="J173" s="262"/>
      <c r="K173" s="262"/>
      <c r="L173" s="262"/>
    </row>
    <row r="174" spans="1:12" ht="28.5" outlineLevel="1">
      <c r="A174" s="1423" t="s">
        <v>14062</v>
      </c>
      <c r="B174" s="295" t="s">
        <v>14780</v>
      </c>
      <c r="C174" s="295" t="s">
        <v>14472</v>
      </c>
      <c r="D174" s="658" t="str">
        <f>IFERROR(VLOOKUP($B174,'24.08_ND'!$A$4833:$D$12369,2,0),IFERROR(VLOOKUP($B174,'03-CP'!$C$5:$H$4646,2,0),""))</f>
        <v>SOLEIRA/ RODAPÉ LINEAR EM GRANITO CINZA ANDORINHA LEVIGADO, L= 20 CM - FORNECIMENTO E ASSENTAMENTO</v>
      </c>
      <c r="E174" s="1318" t="str">
        <f>IFERROR(VLOOKUP($B174,'24.08_ND'!$A:$D,3,0),IFERROR(VLOOKUP($B174,'03-CP'!$C$5:$H$4646,3,0),""))</f>
        <v>M</v>
      </c>
      <c r="F174" s="1671">
        <f>SUM(I176:I178)</f>
        <v>65.419999999999987</v>
      </c>
      <c r="G174" s="1387"/>
      <c r="H174" s="1387"/>
      <c r="I174" s="1388"/>
      <c r="J174" s="1734" t="s">
        <v>16387</v>
      </c>
      <c r="K174" s="262"/>
      <c r="L174" s="262"/>
    </row>
    <row r="175" spans="1:12" ht="12.75" hidden="1" outlineLevel="1">
      <c r="A175" s="1401"/>
      <c r="B175" s="512"/>
      <c r="C175" s="512"/>
      <c r="D175" s="1708" t="s">
        <v>16404</v>
      </c>
      <c r="E175" s="1696" t="s">
        <v>16252</v>
      </c>
      <c r="F175" s="1697" t="s">
        <v>16232</v>
      </c>
      <c r="G175" s="1698" t="s">
        <v>16233</v>
      </c>
      <c r="H175" s="1696" t="s">
        <v>16509</v>
      </c>
      <c r="I175" s="1699" t="s">
        <v>12615</v>
      </c>
      <c r="J175" s="262"/>
      <c r="K175" s="262"/>
      <c r="L175" s="262"/>
    </row>
    <row r="176" spans="1:12" ht="12.75" hidden="1" outlineLevel="1">
      <c r="A176" s="247"/>
      <c r="B176" s="386"/>
      <c r="C176" s="386"/>
      <c r="D176" s="1700" t="s">
        <v>16556</v>
      </c>
      <c r="E176" s="1420">
        <v>25.48</v>
      </c>
      <c r="F176" s="1421">
        <v>0.2</v>
      </c>
      <c r="G176" s="1420">
        <f>E176*F176</f>
        <v>5.0960000000000001</v>
      </c>
      <c r="H176" s="1421">
        <v>1.6</v>
      </c>
      <c r="I176" s="1409">
        <f>E176-H176</f>
        <v>23.88</v>
      </c>
      <c r="J176" s="262"/>
      <c r="K176" s="262"/>
      <c r="L176" s="262"/>
    </row>
    <row r="177" spans="1:12" ht="12.75" hidden="1" outlineLevel="1">
      <c r="A177" s="247"/>
      <c r="B177" s="386"/>
      <c r="C177" s="386"/>
      <c r="D177" s="1700" t="s">
        <v>16557</v>
      </c>
      <c r="E177" s="1420">
        <v>28.04</v>
      </c>
      <c r="F177" s="1421">
        <v>0.2</v>
      </c>
      <c r="G177" s="1420">
        <f>E177*F177</f>
        <v>5.6080000000000005</v>
      </c>
      <c r="H177" s="1421">
        <v>1.6</v>
      </c>
      <c r="I177" s="1409">
        <f>E177-H177</f>
        <v>26.439999999999998</v>
      </c>
      <c r="J177" s="262"/>
      <c r="K177" s="262"/>
      <c r="L177" s="262"/>
    </row>
    <row r="178" spans="1:12" ht="12.75" hidden="1" outlineLevel="1">
      <c r="A178" s="247"/>
      <c r="B178" s="386"/>
      <c r="C178" s="386"/>
      <c r="D178" s="1701" t="s">
        <v>16558</v>
      </c>
      <c r="E178" s="1702">
        <v>17.8</v>
      </c>
      <c r="F178" s="1703">
        <v>0.2</v>
      </c>
      <c r="G178" s="1702">
        <f>E178*F178</f>
        <v>3.5600000000000005</v>
      </c>
      <c r="H178" s="1703">
        <f>0.9*3</f>
        <v>2.7</v>
      </c>
      <c r="I178" s="1713">
        <f>E178-H178</f>
        <v>15.100000000000001</v>
      </c>
      <c r="J178" s="262"/>
      <c r="K178" s="262"/>
      <c r="L178" s="262"/>
    </row>
    <row r="179" spans="1:12" ht="12.75" hidden="1" outlineLevel="1">
      <c r="A179" s="247"/>
      <c r="B179" s="386"/>
      <c r="C179" s="386"/>
      <c r="D179" s="253"/>
      <c r="E179" s="1244"/>
      <c r="F179" s="389"/>
      <c r="G179" s="1244"/>
      <c r="H179" s="1244"/>
      <c r="I179" s="1409"/>
      <c r="J179" s="262"/>
      <c r="K179" s="262"/>
      <c r="L179" s="262"/>
    </row>
    <row r="180" spans="1:12" ht="38.25" outlineLevel="1">
      <c r="A180" s="1423" t="s">
        <v>14063</v>
      </c>
      <c r="B180" s="295" t="s">
        <v>14746</v>
      </c>
      <c r="C180" s="295" t="s">
        <v>14472</v>
      </c>
      <c r="D180" s="658" t="str">
        <f>IFERROR(VLOOKUP($B180,'24.08_ND'!$A$4833:$D$12369,2,0),IFERROR(VLOOKUP($B180,'03-CP'!$C$5:$H$4646,2,0),""))</f>
        <v>REVESTIMENTO CERÂMICO, TIPO PORCELANATO, CEMENTO GRIGIO, BIANCOGRES, RETIFICADO, DIMENSÕES 90X90CM (REJUNTE CINZA OUTONO) -  FORNECIMENTO E APLICAÇÃO</v>
      </c>
      <c r="E180" s="1318" t="str">
        <f>IFERROR(VLOOKUP($B180,'24.08_ND'!$A:$D,3,0),IFERROR(VLOOKUP($B180,'03-CP'!$C$5:$H$4646,3,0),""))</f>
        <v>M2</v>
      </c>
      <c r="F180" s="1671">
        <f>SUM(I182:I187)</f>
        <v>216.16</v>
      </c>
      <c r="G180" s="1387"/>
      <c r="H180" s="1387"/>
      <c r="I180" s="1388"/>
      <c r="J180" s="1734" t="s">
        <v>16387</v>
      </c>
      <c r="K180" s="262"/>
      <c r="L180" s="262"/>
    </row>
    <row r="181" spans="1:12" ht="12.75" hidden="1" outlineLevel="1">
      <c r="A181" s="1401"/>
      <c r="B181" s="512"/>
      <c r="C181" s="512"/>
      <c r="D181" s="1390" t="s">
        <v>16510</v>
      </c>
      <c r="E181" s="1240" t="s">
        <v>16252</v>
      </c>
      <c r="F181" s="1425" t="s">
        <v>16232</v>
      </c>
      <c r="G181" s="1391" t="s">
        <v>16233</v>
      </c>
      <c r="H181" s="1240" t="s">
        <v>16234</v>
      </c>
      <c r="I181" s="1426" t="s">
        <v>12615</v>
      </c>
      <c r="J181" s="262"/>
      <c r="K181" s="262"/>
      <c r="L181" s="262"/>
    </row>
    <row r="182" spans="1:12" ht="12.75" hidden="1" outlineLevel="1">
      <c r="A182" s="247"/>
      <c r="B182" s="386"/>
      <c r="C182" s="386"/>
      <c r="D182" s="1418" t="s">
        <v>16502</v>
      </c>
      <c r="E182" s="1420"/>
      <c r="F182" s="1421"/>
      <c r="G182" s="1444">
        <v>28.46</v>
      </c>
      <c r="H182" s="1421"/>
      <c r="I182" s="1409">
        <f t="shared" ref="I182:I187" si="3">G182</f>
        <v>28.46</v>
      </c>
      <c r="J182" s="262"/>
      <c r="K182" s="262"/>
      <c r="L182" s="262"/>
    </row>
    <row r="183" spans="1:12" ht="12.75" hidden="1" outlineLevel="1">
      <c r="A183" s="247"/>
      <c r="B183" s="386"/>
      <c r="C183" s="386"/>
      <c r="D183" s="1418" t="s">
        <v>16503</v>
      </c>
      <c r="E183" s="1420"/>
      <c r="F183" s="1421"/>
      <c r="G183" s="1444">
        <v>35.770000000000003</v>
      </c>
      <c r="H183" s="1421"/>
      <c r="I183" s="1409">
        <f t="shared" si="3"/>
        <v>35.770000000000003</v>
      </c>
      <c r="J183" s="262"/>
      <c r="K183" s="262"/>
      <c r="L183" s="262"/>
    </row>
    <row r="184" spans="1:12" ht="12.75" hidden="1" outlineLevel="1">
      <c r="A184" s="247"/>
      <c r="B184" s="386"/>
      <c r="C184" s="386"/>
      <c r="D184" s="1418" t="s">
        <v>16504</v>
      </c>
      <c r="E184" s="1420"/>
      <c r="F184" s="1421"/>
      <c r="G184" s="1444">
        <v>1.92</v>
      </c>
      <c r="H184" s="1421"/>
      <c r="I184" s="1409">
        <f t="shared" si="3"/>
        <v>1.92</v>
      </c>
      <c r="J184" s="262"/>
      <c r="K184" s="262"/>
      <c r="L184" s="262"/>
    </row>
    <row r="185" spans="1:12" ht="12.75" hidden="1" outlineLevel="1">
      <c r="A185" s="247"/>
      <c r="B185" s="386"/>
      <c r="C185" s="386"/>
      <c r="D185" s="1418" t="s">
        <v>16505</v>
      </c>
      <c r="E185" s="1420"/>
      <c r="F185" s="1421"/>
      <c r="G185" s="1444">
        <v>1.92</v>
      </c>
      <c r="H185" s="1421"/>
      <c r="I185" s="1409">
        <f t="shared" si="3"/>
        <v>1.92</v>
      </c>
      <c r="J185" s="262"/>
      <c r="K185" s="262"/>
      <c r="L185" s="262"/>
    </row>
    <row r="186" spans="1:12" ht="12.75" hidden="1" outlineLevel="1">
      <c r="A186" s="247"/>
      <c r="B186" s="386"/>
      <c r="C186" s="386"/>
      <c r="D186" s="1418" t="s">
        <v>16506</v>
      </c>
      <c r="E186" s="1420"/>
      <c r="F186" s="1421"/>
      <c r="G186" s="1444">
        <v>4.96</v>
      </c>
      <c r="H186" s="1421"/>
      <c r="I186" s="1409">
        <f t="shared" si="3"/>
        <v>4.96</v>
      </c>
      <c r="J186" s="262"/>
      <c r="K186" s="262"/>
      <c r="L186" s="262"/>
    </row>
    <row r="187" spans="1:12" ht="12.75" hidden="1" outlineLevel="1">
      <c r="A187" s="247"/>
      <c r="B187" s="386"/>
      <c r="C187" s="386"/>
      <c r="D187" s="1422" t="s">
        <v>16494</v>
      </c>
      <c r="E187" s="1395"/>
      <c r="F187" s="1396"/>
      <c r="G187" s="1443">
        <v>143.13</v>
      </c>
      <c r="H187" s="1396"/>
      <c r="I187" s="1281">
        <f t="shared" si="3"/>
        <v>143.13</v>
      </c>
      <c r="J187" s="262"/>
      <c r="K187" s="262"/>
      <c r="L187" s="262"/>
    </row>
    <row r="188" spans="1:12" ht="12.75" hidden="1" outlineLevel="1">
      <c r="A188" s="247"/>
      <c r="B188" s="386"/>
      <c r="C188" s="386"/>
      <c r="D188" s="253"/>
      <c r="E188" s="1244"/>
      <c r="F188" s="389"/>
      <c r="G188" s="1244"/>
      <c r="H188" s="1244"/>
      <c r="I188" s="1409"/>
      <c r="J188" s="262"/>
      <c r="K188" s="262"/>
      <c r="L188" s="262"/>
    </row>
    <row r="189" spans="1:12" ht="12.75">
      <c r="A189" s="246" t="s">
        <v>14064</v>
      </c>
      <c r="B189" s="1450"/>
      <c r="C189" s="1450"/>
      <c r="D189" s="1451" t="s">
        <v>16267</v>
      </c>
      <c r="E189" s="1561"/>
      <c r="F189" s="1561"/>
      <c r="G189" s="1561"/>
      <c r="H189" s="1561"/>
      <c r="I189" s="1562"/>
      <c r="J189" s="262"/>
      <c r="K189" s="262"/>
      <c r="L189" s="262"/>
    </row>
    <row r="190" spans="1:12" ht="28.5" outlineLevel="1">
      <c r="A190" s="1563" t="s">
        <v>14065</v>
      </c>
      <c r="B190" s="384">
        <v>88485</v>
      </c>
      <c r="C190" s="384" t="s">
        <v>14476</v>
      </c>
      <c r="D190" s="596" t="str">
        <f>IFERROR(VLOOKUP($B190,'24.08_ND'!$A$4833:$D$12369,2,0),IFERROR(VLOOKUP($B190,'03-CP'!$C$5:$H$4646,2,0),""))</f>
        <v>FUNDO SELADOR ACRÍLICO, APLICAÇÃO MANUAL EM PAREDE, UMA DEMÃO. AF_04/2023</v>
      </c>
      <c r="E190" s="759" t="str">
        <f>IFERROR(VLOOKUP($B190,'24.08_ND'!$A:$D,3,0),IFERROR(VLOOKUP($B190,'03-CP'!$C$5:$H$4646,3,0),""))</f>
        <v>M2</v>
      </c>
      <c r="F190" s="1558">
        <f>SUM(I192:I194)</f>
        <v>270.86399999999998</v>
      </c>
      <c r="G190" s="1453"/>
      <c r="H190" s="1453"/>
      <c r="I190" s="1454"/>
      <c r="J190" s="1734" t="s">
        <v>16387</v>
      </c>
      <c r="K190" s="262"/>
      <c r="L190" s="262"/>
    </row>
    <row r="191" spans="1:12" ht="12.75" hidden="1" outlineLevel="1">
      <c r="A191" s="450"/>
      <c r="B191" s="368"/>
      <c r="C191" s="368"/>
      <c r="D191" s="1708" t="s">
        <v>16404</v>
      </c>
      <c r="E191" s="1740" t="s">
        <v>16252</v>
      </c>
      <c r="F191" s="1741" t="s">
        <v>16232</v>
      </c>
      <c r="G191" s="1740" t="s">
        <v>16233</v>
      </c>
      <c r="H191" s="1740" t="s">
        <v>16234</v>
      </c>
      <c r="I191" s="1742" t="s">
        <v>12615</v>
      </c>
      <c r="J191" s="262"/>
      <c r="K191" s="262"/>
      <c r="L191" s="262"/>
    </row>
    <row r="192" spans="1:12" ht="12.75" hidden="1" outlineLevel="1">
      <c r="A192" s="450"/>
      <c r="B192" s="368"/>
      <c r="C192" s="368"/>
      <c r="D192" s="1743" t="s">
        <v>16499</v>
      </c>
      <c r="E192" s="1545">
        <v>22.92</v>
      </c>
      <c r="F192" s="1545">
        <v>2</v>
      </c>
      <c r="G192" s="1640">
        <f>E192*F192*2</f>
        <v>91.68</v>
      </c>
      <c r="H192" s="1545">
        <v>0</v>
      </c>
      <c r="I192" s="1642">
        <f>G192-H192</f>
        <v>91.68</v>
      </c>
      <c r="J192" s="262"/>
      <c r="K192" s="262"/>
      <c r="L192" s="262"/>
    </row>
    <row r="193" spans="1:12" ht="12.75" hidden="1" outlineLevel="1">
      <c r="A193" s="450"/>
      <c r="B193" s="368"/>
      <c r="C193" s="368"/>
      <c r="D193" s="1743" t="s">
        <v>16500</v>
      </c>
      <c r="E193" s="1545">
        <v>63.26</v>
      </c>
      <c r="F193" s="1545">
        <v>1.2</v>
      </c>
      <c r="G193" s="1640">
        <f>E193*F193*2</f>
        <v>151.82399999999998</v>
      </c>
      <c r="H193" s="1545">
        <v>0</v>
      </c>
      <c r="I193" s="1642">
        <f>G193-H193</f>
        <v>151.82399999999998</v>
      </c>
      <c r="J193" s="262"/>
      <c r="K193" s="262"/>
      <c r="L193" s="262"/>
    </row>
    <row r="194" spans="1:12" ht="12.75" hidden="1" outlineLevel="1">
      <c r="A194" s="450"/>
      <c r="B194" s="368"/>
      <c r="C194" s="368"/>
      <c r="D194" s="1744" t="s">
        <v>16555</v>
      </c>
      <c r="E194" s="1745">
        <v>4.8</v>
      </c>
      <c r="F194" s="1745">
        <v>2.85</v>
      </c>
      <c r="G194" s="1746">
        <f>E194*F194*2</f>
        <v>27.36</v>
      </c>
      <c r="H194" s="1745">
        <v>0</v>
      </c>
      <c r="I194" s="1747">
        <f>G194-H194</f>
        <v>27.36</v>
      </c>
      <c r="J194" s="262"/>
      <c r="K194" s="262"/>
      <c r="L194" s="262"/>
    </row>
    <row r="195" spans="1:12" ht="12.75" hidden="1" outlineLevel="1">
      <c r="A195" s="1564"/>
      <c r="B195" s="368"/>
      <c r="C195" s="368"/>
      <c r="D195" s="368"/>
      <c r="E195" s="642"/>
      <c r="F195" s="642"/>
      <c r="G195" s="642"/>
      <c r="H195" s="642"/>
      <c r="I195" s="1570"/>
      <c r="J195" s="262"/>
      <c r="K195" s="262"/>
      <c r="L195" s="262"/>
    </row>
    <row r="196" spans="1:12" ht="28.5" outlineLevel="1">
      <c r="A196" s="1563" t="s">
        <v>14066</v>
      </c>
      <c r="B196" s="384">
        <v>95305</v>
      </c>
      <c r="C196" s="384" t="s">
        <v>14476</v>
      </c>
      <c r="D196" s="596" t="str">
        <f>IFERROR(VLOOKUP($B196,'24.08_ND'!$A$4833:$D$12369,2,0),IFERROR(VLOOKUP($B196,'03-CP'!$C$5:$H$4646,2,0),""))</f>
        <v>TEXTURA ACRÍLICA, APLICAÇÃO MANUAL EM PAREDE, UMA DEMÃO. AF_04/2023</v>
      </c>
      <c r="E196" s="759" t="str">
        <f>IFERROR(VLOOKUP($B196,'24.08_ND'!$A:$D,3,0),IFERROR(VLOOKUP($B196,'03-CP'!$C$5:$H$4646,3,0),""))</f>
        <v>M2</v>
      </c>
      <c r="F196" s="1558">
        <f>SUM(I198:I199)</f>
        <v>243.50399999999999</v>
      </c>
      <c r="G196" s="1453"/>
      <c r="H196" s="1453"/>
      <c r="I196" s="1454"/>
      <c r="J196" s="1734" t="s">
        <v>16387</v>
      </c>
      <c r="K196" s="262"/>
      <c r="L196" s="262"/>
    </row>
    <row r="197" spans="1:12" ht="12.75" hidden="1" outlineLevel="1">
      <c r="A197" s="1564"/>
      <c r="B197" s="368"/>
      <c r="C197" s="368"/>
      <c r="D197" s="1708" t="s">
        <v>16404</v>
      </c>
      <c r="E197" s="1740" t="s">
        <v>16252</v>
      </c>
      <c r="F197" s="1741" t="s">
        <v>16232</v>
      </c>
      <c r="G197" s="1740" t="s">
        <v>16233</v>
      </c>
      <c r="H197" s="1740" t="s">
        <v>16234</v>
      </c>
      <c r="I197" s="1742" t="s">
        <v>12615</v>
      </c>
      <c r="J197" s="262"/>
      <c r="K197" s="262"/>
      <c r="L197" s="262"/>
    </row>
    <row r="198" spans="1:12" ht="12.75" hidden="1" outlineLevel="1">
      <c r="A198" s="1564"/>
      <c r="B198" s="368"/>
      <c r="C198" s="368"/>
      <c r="D198" s="1743" t="s">
        <v>16499</v>
      </c>
      <c r="E198" s="1545">
        <v>22.92</v>
      </c>
      <c r="F198" s="1545">
        <v>2</v>
      </c>
      <c r="G198" s="1640">
        <f>E198*F198*2</f>
        <v>91.68</v>
      </c>
      <c r="H198" s="1545">
        <v>0</v>
      </c>
      <c r="I198" s="1642">
        <f>G198-H198</f>
        <v>91.68</v>
      </c>
      <c r="J198" s="262"/>
      <c r="K198" s="262"/>
      <c r="L198" s="262"/>
    </row>
    <row r="199" spans="1:12" ht="12.75" hidden="1" outlineLevel="1">
      <c r="A199" s="1564"/>
      <c r="B199" s="368"/>
      <c r="C199" s="368"/>
      <c r="D199" s="1744" t="s">
        <v>16500</v>
      </c>
      <c r="E199" s="1745">
        <v>63.26</v>
      </c>
      <c r="F199" s="1745">
        <v>1.2</v>
      </c>
      <c r="G199" s="1746">
        <f>E199*F199*2</f>
        <v>151.82399999999998</v>
      </c>
      <c r="H199" s="1745">
        <v>0</v>
      </c>
      <c r="I199" s="1747">
        <f>G199-H199</f>
        <v>151.82399999999998</v>
      </c>
      <c r="J199" s="262"/>
      <c r="K199" s="262"/>
      <c r="L199" s="262"/>
    </row>
    <row r="200" spans="1:12" ht="17.25" hidden="1" outlineLevel="1">
      <c r="A200" s="251"/>
      <c r="B200" s="3"/>
      <c r="C200" s="3"/>
      <c r="D200" s="38"/>
      <c r="E200" s="691"/>
      <c r="F200" s="1685"/>
      <c r="G200" s="642"/>
      <c r="H200" s="642"/>
      <c r="I200" s="1570"/>
      <c r="J200" s="262"/>
      <c r="K200" s="262"/>
      <c r="L200" s="262"/>
    </row>
    <row r="201" spans="1:12" ht="28.5" outlineLevel="1">
      <c r="A201" s="1563" t="s">
        <v>14067</v>
      </c>
      <c r="B201" s="384" t="s">
        <v>14765</v>
      </c>
      <c r="C201" s="295" t="s">
        <v>14472</v>
      </c>
      <c r="D201" s="596" t="str">
        <f>IFERROR(VLOOKUP($B201,'24.08_ND'!$A$4833:$D$12369,2,0),IFERROR(VLOOKUP($B201,'03-CP'!$C$5:$H$4646,2,0),""))</f>
        <v>PINTURA COM TINTA ACRÍLICA PREMIUM EM PAREDES, DUAS DEMÃOS.</v>
      </c>
      <c r="E201" s="759" t="str">
        <f>IFERROR(VLOOKUP($B201,'24.08_ND'!$A:$D,3,0),IFERROR(VLOOKUP($B201,'03-CP'!$C$5:$H$4646,3,0),""))</f>
        <v>M2</v>
      </c>
      <c r="F201" s="1583">
        <f>SUM(I203:I206)</f>
        <v>270.86399999999998</v>
      </c>
      <c r="G201" s="1453"/>
      <c r="H201" s="1453"/>
      <c r="I201" s="1454"/>
      <c r="J201" s="1734" t="s">
        <v>16387</v>
      </c>
      <c r="K201" s="262"/>
      <c r="L201" s="262"/>
    </row>
    <row r="202" spans="1:12" ht="12.75" hidden="1" outlineLevel="1">
      <c r="A202" s="1564"/>
      <c r="B202" s="368"/>
      <c r="C202" s="368"/>
      <c r="D202" s="1748" t="s">
        <v>16559</v>
      </c>
      <c r="E202" s="1749" t="s">
        <v>16252</v>
      </c>
      <c r="F202" s="1750" t="s">
        <v>16232</v>
      </c>
      <c r="G202" s="1749" t="s">
        <v>16233</v>
      </c>
      <c r="H202" s="1749" t="s">
        <v>16234</v>
      </c>
      <c r="I202" s="1751" t="s">
        <v>12615</v>
      </c>
      <c r="J202" s="262"/>
      <c r="K202" s="262"/>
      <c r="L202" s="262"/>
    </row>
    <row r="203" spans="1:12" ht="12.75" hidden="1" outlineLevel="1">
      <c r="A203" s="1564"/>
      <c r="B203" s="368"/>
      <c r="C203" s="368"/>
      <c r="D203" s="1752" t="s">
        <v>16555</v>
      </c>
      <c r="E203" s="1545">
        <v>4.8</v>
      </c>
      <c r="F203" s="1545">
        <v>2.85</v>
      </c>
      <c r="G203" s="1545">
        <f>E203*F203*2</f>
        <v>27.36</v>
      </c>
      <c r="H203" s="1545">
        <v>0</v>
      </c>
      <c r="I203" s="1753">
        <f>G203</f>
        <v>27.36</v>
      </c>
      <c r="J203" s="262"/>
      <c r="K203" s="262"/>
      <c r="L203" s="262"/>
    </row>
    <row r="204" spans="1:12" ht="12.75" hidden="1" outlineLevel="1">
      <c r="A204" s="249"/>
      <c r="B204" s="3"/>
      <c r="C204" s="3"/>
      <c r="D204" s="1754" t="s">
        <v>16511</v>
      </c>
      <c r="E204" s="1572" t="s">
        <v>16252</v>
      </c>
      <c r="F204" s="1687" t="s">
        <v>16232</v>
      </c>
      <c r="G204" s="1572" t="s">
        <v>16233</v>
      </c>
      <c r="H204" s="1572" t="s">
        <v>16234</v>
      </c>
      <c r="I204" s="1688" t="s">
        <v>12615</v>
      </c>
      <c r="J204" s="262"/>
      <c r="K204" s="262"/>
      <c r="L204" s="262"/>
    </row>
    <row r="205" spans="1:12" ht="12.75" hidden="1" outlineLevel="1">
      <c r="A205" s="249"/>
      <c r="B205" s="3"/>
      <c r="C205" s="3"/>
      <c r="D205" s="1752" t="s">
        <v>16499</v>
      </c>
      <c r="E205" s="1545">
        <v>22.92</v>
      </c>
      <c r="F205" s="1545">
        <v>2</v>
      </c>
      <c r="G205" s="1640">
        <f>E205*F205*2</f>
        <v>91.68</v>
      </c>
      <c r="H205" s="1545">
        <v>0</v>
      </c>
      <c r="I205" s="1642">
        <f>G205-H205</f>
        <v>91.68</v>
      </c>
      <c r="J205" s="262"/>
      <c r="K205" s="262"/>
      <c r="L205" s="262"/>
    </row>
    <row r="206" spans="1:12" ht="12.75" hidden="1" outlineLevel="1">
      <c r="A206" s="249"/>
      <c r="B206" s="3"/>
      <c r="C206" s="3"/>
      <c r="D206" s="1755" t="s">
        <v>16500</v>
      </c>
      <c r="E206" s="1745">
        <v>63.26</v>
      </c>
      <c r="F206" s="1745">
        <v>1.2</v>
      </c>
      <c r="G206" s="1746">
        <f>E206*F206*2</f>
        <v>151.82399999999998</v>
      </c>
      <c r="H206" s="1745">
        <v>0</v>
      </c>
      <c r="I206" s="1747">
        <f>G206-H206</f>
        <v>151.82399999999998</v>
      </c>
      <c r="J206" s="262"/>
      <c r="K206" s="262"/>
      <c r="L206" s="262"/>
    </row>
    <row r="207" spans="1:12" hidden="1" outlineLevel="1">
      <c r="A207" s="249"/>
      <c r="B207" s="3"/>
      <c r="C207" s="3"/>
      <c r="D207" s="38"/>
      <c r="E207" s="691"/>
      <c r="F207" s="1631"/>
      <c r="G207" s="642"/>
      <c r="H207" s="642"/>
      <c r="I207" s="1570"/>
      <c r="J207" s="262"/>
      <c r="K207" s="262"/>
      <c r="L207" s="262"/>
    </row>
    <row r="208" spans="1:12" ht="28.5" outlineLevel="1">
      <c r="A208" s="1563" t="s">
        <v>14068</v>
      </c>
      <c r="B208" s="384">
        <v>88484</v>
      </c>
      <c r="C208" s="384" t="s">
        <v>14476</v>
      </c>
      <c r="D208" s="596" t="str">
        <f>IFERROR(VLOOKUP($B208,'24.08_ND'!$A$4833:$D$12369,2,0),IFERROR(VLOOKUP($B208,'03-CP'!$C$5:$H$4646,2,0),""))</f>
        <v>FUNDO SELADOR ACRÍLICO, APLICAÇÃO MANUAL EM TETO, UMA DEMÃO. AF_04/2023</v>
      </c>
      <c r="E208" s="759" t="str">
        <f>IFERROR(VLOOKUP($B208,'24.08_ND'!$A:$D,3,0),IFERROR(VLOOKUP($B208,'03-CP'!$C$5:$H$4646,3,0),""))</f>
        <v>M2</v>
      </c>
      <c r="F208" s="1558">
        <f>SUM(I210:I214)</f>
        <v>90.639999999999986</v>
      </c>
      <c r="G208" s="1453"/>
      <c r="H208" s="1453"/>
      <c r="I208" s="1454"/>
      <c r="J208" s="1734" t="s">
        <v>16387</v>
      </c>
      <c r="K208" s="262"/>
      <c r="L208" s="262"/>
    </row>
    <row r="209" spans="1:12" ht="12.75" hidden="1" outlineLevel="1">
      <c r="A209" s="1564"/>
      <c r="B209" s="368"/>
      <c r="C209" s="368"/>
      <c r="D209" s="1435" t="s">
        <v>16404</v>
      </c>
      <c r="E209" s="1456" t="s">
        <v>16252</v>
      </c>
      <c r="F209" s="1457" t="s">
        <v>16232</v>
      </c>
      <c r="G209" s="1456" t="s">
        <v>16233</v>
      </c>
      <c r="H209" s="1456" t="s">
        <v>16234</v>
      </c>
      <c r="I209" s="1458" t="s">
        <v>12615</v>
      </c>
      <c r="J209" s="262"/>
      <c r="K209" s="262"/>
      <c r="L209" s="262"/>
    </row>
    <row r="210" spans="1:12" ht="12.75" hidden="1" outlineLevel="1">
      <c r="A210" s="1564"/>
      <c r="B210" s="368"/>
      <c r="C210" s="368"/>
      <c r="D210" s="1639" t="s">
        <v>16502</v>
      </c>
      <c r="E210" s="1545"/>
      <c r="F210" s="1545"/>
      <c r="G210" s="1545">
        <v>35.47</v>
      </c>
      <c r="H210" s="1545">
        <v>1</v>
      </c>
      <c r="I210" s="1642">
        <v>35.47</v>
      </c>
      <c r="J210" s="262"/>
      <c r="K210" s="262"/>
      <c r="L210" s="262"/>
    </row>
    <row r="211" spans="1:12" ht="12.75" hidden="1" outlineLevel="1">
      <c r="A211" s="1564"/>
      <c r="B211" s="368"/>
      <c r="C211" s="368"/>
      <c r="D211" s="1639" t="s">
        <v>16503</v>
      </c>
      <c r="E211" s="1545"/>
      <c r="F211" s="1545"/>
      <c r="G211" s="1545">
        <v>43.33</v>
      </c>
      <c r="H211" s="1545">
        <v>1</v>
      </c>
      <c r="I211" s="1642">
        <v>43.33</v>
      </c>
      <c r="J211" s="262"/>
      <c r="K211" s="262"/>
      <c r="L211" s="262"/>
    </row>
    <row r="212" spans="1:12" ht="12.75" hidden="1" outlineLevel="1">
      <c r="A212" s="1564"/>
      <c r="B212" s="368"/>
      <c r="C212" s="368"/>
      <c r="D212" s="1639" t="s">
        <v>16504</v>
      </c>
      <c r="E212" s="1545"/>
      <c r="F212" s="1545"/>
      <c r="G212" s="1545">
        <v>3.35</v>
      </c>
      <c r="H212" s="1545">
        <v>1</v>
      </c>
      <c r="I212" s="1642">
        <v>3.35</v>
      </c>
      <c r="J212" s="262"/>
      <c r="K212" s="262"/>
      <c r="L212" s="262"/>
    </row>
    <row r="213" spans="1:12" ht="12.75" hidden="1" outlineLevel="1">
      <c r="A213" s="1564"/>
      <c r="B213" s="368"/>
      <c r="C213" s="368"/>
      <c r="D213" s="1639" t="s">
        <v>16505</v>
      </c>
      <c r="E213" s="1545"/>
      <c r="F213" s="1545"/>
      <c r="G213" s="1545">
        <v>3.35</v>
      </c>
      <c r="H213" s="1545">
        <v>1</v>
      </c>
      <c r="I213" s="1642">
        <v>3.35</v>
      </c>
      <c r="J213" s="262"/>
      <c r="K213" s="262"/>
      <c r="L213" s="262"/>
    </row>
    <row r="214" spans="1:12" ht="12.75" hidden="1" outlineLevel="1">
      <c r="A214" s="1564"/>
      <c r="B214" s="368"/>
      <c r="C214" s="368"/>
      <c r="D214" s="1573" t="s">
        <v>16506</v>
      </c>
      <c r="E214" s="1636"/>
      <c r="F214" s="1636"/>
      <c r="G214" s="1636">
        <v>5.14</v>
      </c>
      <c r="H214" s="1636">
        <v>1</v>
      </c>
      <c r="I214" s="1576">
        <v>5.14</v>
      </c>
      <c r="J214" s="262"/>
      <c r="K214" s="262"/>
      <c r="L214" s="262"/>
    </row>
    <row r="215" spans="1:12" ht="12.75" hidden="1" outlineLevel="1">
      <c r="A215" s="1564"/>
      <c r="B215" s="368"/>
      <c r="C215" s="368"/>
      <c r="D215" s="368"/>
      <c r="E215" s="642"/>
      <c r="F215" s="642"/>
      <c r="G215" s="642"/>
      <c r="H215" s="642"/>
      <c r="I215" s="1570"/>
      <c r="J215" s="262"/>
      <c r="K215" s="262"/>
      <c r="L215" s="262"/>
    </row>
    <row r="216" spans="1:12" ht="28.5" outlineLevel="1">
      <c r="A216" s="1563" t="s">
        <v>14069</v>
      </c>
      <c r="B216" s="384" t="s">
        <v>14938</v>
      </c>
      <c r="C216" s="295" t="s">
        <v>14472</v>
      </c>
      <c r="D216" s="596" t="str">
        <f>IFERROR(VLOOKUP($B216,'24.08_ND'!$A$4833:$D$12369,2,0),IFERROR(VLOOKUP($B216,'03-CP'!$C$5:$H$4646,2,0),""))</f>
        <v xml:space="preserve">APLICAÇÃO MANUAL DE MASSA ACRÍLICA EM TETO, DUAS DEMÃOS, INCLUSO LIXAMENTO </v>
      </c>
      <c r="E216" s="759" t="str">
        <f>IFERROR(VLOOKUP($B216,'24.08_ND'!$A:$D,3,0),IFERROR(VLOOKUP($B216,'03-CP'!$C$5:$H$4646,3,0),""))</f>
        <v>M2</v>
      </c>
      <c r="F216" s="1558">
        <f>SUM(I218:I222)</f>
        <v>90.639999999999986</v>
      </c>
      <c r="G216" s="1453"/>
      <c r="H216" s="1453"/>
      <c r="I216" s="1454"/>
      <c r="J216" s="1734" t="s">
        <v>16387</v>
      </c>
      <c r="K216" s="262"/>
      <c r="L216" s="262"/>
    </row>
    <row r="217" spans="1:12" ht="12.75" hidden="1" outlineLevel="1">
      <c r="A217" s="1564"/>
      <c r="B217" s="368"/>
      <c r="C217" s="368"/>
      <c r="D217" s="1435" t="s">
        <v>16404</v>
      </c>
      <c r="E217" s="1456" t="s">
        <v>16252</v>
      </c>
      <c r="F217" s="1457" t="s">
        <v>16232</v>
      </c>
      <c r="G217" s="1456" t="s">
        <v>16233</v>
      </c>
      <c r="H217" s="1456" t="s">
        <v>16234</v>
      </c>
      <c r="I217" s="1458" t="s">
        <v>12615</v>
      </c>
      <c r="J217" s="262"/>
      <c r="K217" s="262"/>
      <c r="L217" s="262"/>
    </row>
    <row r="218" spans="1:12" ht="12.75" hidden="1" outlineLevel="1">
      <c r="A218" s="1564"/>
      <c r="B218" s="368"/>
      <c r="C218" s="368"/>
      <c r="D218" s="1639" t="s">
        <v>16502</v>
      </c>
      <c r="E218" s="1545"/>
      <c r="F218" s="1545"/>
      <c r="G218" s="1545">
        <v>35.47</v>
      </c>
      <c r="H218" s="1545">
        <v>1</v>
      </c>
      <c r="I218" s="1642">
        <v>35.47</v>
      </c>
      <c r="J218" s="262"/>
      <c r="K218" s="262"/>
      <c r="L218" s="262"/>
    </row>
    <row r="219" spans="1:12" ht="12.75" hidden="1" outlineLevel="1">
      <c r="A219" s="1564"/>
      <c r="B219" s="368"/>
      <c r="C219" s="368"/>
      <c r="D219" s="1639" t="s">
        <v>16503</v>
      </c>
      <c r="E219" s="1545"/>
      <c r="F219" s="1545"/>
      <c r="G219" s="1545">
        <v>43.33</v>
      </c>
      <c r="H219" s="1545">
        <v>1</v>
      </c>
      <c r="I219" s="1642">
        <v>43.33</v>
      </c>
      <c r="J219" s="262"/>
      <c r="K219" s="262"/>
      <c r="L219" s="262"/>
    </row>
    <row r="220" spans="1:12" ht="12.75" hidden="1" outlineLevel="1">
      <c r="A220" s="1564"/>
      <c r="B220" s="368"/>
      <c r="C220" s="368"/>
      <c r="D220" s="1639" t="s">
        <v>16504</v>
      </c>
      <c r="E220" s="1545"/>
      <c r="F220" s="1545"/>
      <c r="G220" s="1545">
        <v>3.35</v>
      </c>
      <c r="H220" s="1545">
        <v>1</v>
      </c>
      <c r="I220" s="1642">
        <v>3.35</v>
      </c>
      <c r="J220" s="262"/>
      <c r="K220" s="262"/>
      <c r="L220" s="262"/>
    </row>
    <row r="221" spans="1:12" ht="12.75" hidden="1" outlineLevel="1">
      <c r="A221" s="1564"/>
      <c r="B221" s="368"/>
      <c r="C221" s="368"/>
      <c r="D221" s="1639" t="s">
        <v>16505</v>
      </c>
      <c r="E221" s="1545"/>
      <c r="F221" s="1545"/>
      <c r="G221" s="1545">
        <v>3.35</v>
      </c>
      <c r="H221" s="1545">
        <v>1</v>
      </c>
      <c r="I221" s="1642">
        <v>3.35</v>
      </c>
      <c r="J221" s="262"/>
      <c r="K221" s="262"/>
      <c r="L221" s="262"/>
    </row>
    <row r="222" spans="1:12" ht="12.75" hidden="1" outlineLevel="1">
      <c r="A222" s="1564"/>
      <c r="B222" s="368"/>
      <c r="C222" s="368"/>
      <c r="D222" s="1573" t="s">
        <v>16506</v>
      </c>
      <c r="E222" s="1636"/>
      <c r="F222" s="1636"/>
      <c r="G222" s="1636">
        <v>5.14</v>
      </c>
      <c r="H222" s="1636">
        <v>1</v>
      </c>
      <c r="I222" s="1576">
        <v>5.14</v>
      </c>
      <c r="J222" s="262"/>
      <c r="K222" s="262"/>
      <c r="L222" s="262"/>
    </row>
    <row r="223" spans="1:12" ht="12.75" hidden="1" outlineLevel="1">
      <c r="A223" s="1564"/>
      <c r="B223" s="368"/>
      <c r="C223" s="368"/>
      <c r="D223" s="368"/>
      <c r="E223" s="642"/>
      <c r="F223" s="642"/>
      <c r="G223" s="642"/>
      <c r="H223" s="642"/>
      <c r="I223" s="1570"/>
      <c r="J223" s="262"/>
      <c r="K223" s="262"/>
      <c r="L223" s="262"/>
    </row>
    <row r="224" spans="1:12" ht="28.5" outlineLevel="1">
      <c r="A224" s="1563" t="s">
        <v>14070</v>
      </c>
      <c r="B224" s="384" t="s">
        <v>14936</v>
      </c>
      <c r="C224" s="295" t="s">
        <v>14472</v>
      </c>
      <c r="D224" s="596" t="str">
        <f>IFERROR(VLOOKUP($B224,'24.08_ND'!$A$4833:$D$12369,2,0),IFERROR(VLOOKUP($B224,'03-CP'!$C$5:$H$4646,2,0),""))</f>
        <v>PINTURA COM TINTA ACRÍLICA PREMIUM, EM TETO, DUAS DEMÃOS.</v>
      </c>
      <c r="E224" s="759" t="str">
        <f>IFERROR(VLOOKUP($B224,'24.08_ND'!$A:$D,3,0),IFERROR(VLOOKUP($B224,'03-CP'!$C$5:$H$4646,3,0),""))</f>
        <v>M2</v>
      </c>
      <c r="F224" s="1558">
        <f>SUM(I226:I230)</f>
        <v>76.419999999999987</v>
      </c>
      <c r="G224" s="1453"/>
      <c r="H224" s="1453"/>
      <c r="I224" s="1454"/>
      <c r="J224" s="1734" t="s">
        <v>16387</v>
      </c>
      <c r="K224" s="262"/>
      <c r="L224" s="262"/>
    </row>
    <row r="225" spans="1:12" ht="12.75" hidden="1" outlineLevel="1">
      <c r="A225" s="1564"/>
      <c r="B225" s="368"/>
      <c r="C225" s="368"/>
      <c r="D225" s="1708" t="s">
        <v>16404</v>
      </c>
      <c r="E225" s="1740" t="s">
        <v>16252</v>
      </c>
      <c r="F225" s="1741" t="s">
        <v>16232</v>
      </c>
      <c r="G225" s="1740" t="s">
        <v>16233</v>
      </c>
      <c r="H225" s="1740" t="s">
        <v>16234</v>
      </c>
      <c r="I225" s="1742" t="s">
        <v>12615</v>
      </c>
      <c r="J225" s="262"/>
      <c r="K225" s="262"/>
      <c r="L225" s="262"/>
    </row>
    <row r="226" spans="1:12" ht="12.75" hidden="1" outlineLevel="1">
      <c r="A226" s="1564"/>
      <c r="B226" s="368"/>
      <c r="C226" s="368"/>
      <c r="D226" s="1743" t="s">
        <v>16502</v>
      </c>
      <c r="E226" s="1545"/>
      <c r="F226" s="1545"/>
      <c r="G226" s="1545">
        <v>35.47</v>
      </c>
      <c r="H226" s="1545">
        <v>6.48</v>
      </c>
      <c r="I226" s="1642">
        <f>G226-H226</f>
        <v>28.99</v>
      </c>
      <c r="J226" s="262"/>
      <c r="K226" s="262"/>
      <c r="L226" s="262"/>
    </row>
    <row r="227" spans="1:12" ht="12.75" hidden="1" outlineLevel="1">
      <c r="A227" s="1564"/>
      <c r="B227" s="368"/>
      <c r="C227" s="368"/>
      <c r="D227" s="1743" t="s">
        <v>16503</v>
      </c>
      <c r="E227" s="1545"/>
      <c r="F227" s="1545"/>
      <c r="G227" s="1545">
        <v>43.33</v>
      </c>
      <c r="H227" s="1545">
        <v>6.48</v>
      </c>
      <c r="I227" s="1642">
        <f>G227-H227</f>
        <v>36.849999999999994</v>
      </c>
      <c r="J227" s="262"/>
      <c r="K227" s="262"/>
      <c r="L227" s="262"/>
    </row>
    <row r="228" spans="1:12" ht="12.75" hidden="1" outlineLevel="1">
      <c r="A228" s="1564"/>
      <c r="B228" s="368"/>
      <c r="C228" s="368"/>
      <c r="D228" s="1743" t="s">
        <v>16504</v>
      </c>
      <c r="E228" s="1545"/>
      <c r="F228" s="1545"/>
      <c r="G228" s="1545">
        <v>3.35</v>
      </c>
      <c r="H228" s="1545">
        <v>0.63</v>
      </c>
      <c r="I228" s="1642">
        <f>G228-H228</f>
        <v>2.72</v>
      </c>
      <c r="J228" s="262"/>
      <c r="K228" s="262"/>
      <c r="L228" s="262"/>
    </row>
    <row r="229" spans="1:12" ht="12.75" hidden="1" outlineLevel="1">
      <c r="A229" s="1564"/>
      <c r="B229" s="368"/>
      <c r="C229" s="368"/>
      <c r="D229" s="1743" t="s">
        <v>16505</v>
      </c>
      <c r="E229" s="1545"/>
      <c r="F229" s="1545"/>
      <c r="G229" s="1545">
        <v>3.35</v>
      </c>
      <c r="H229" s="1545">
        <v>0.63</v>
      </c>
      <c r="I229" s="1642">
        <f>G229-H229</f>
        <v>2.72</v>
      </c>
      <c r="J229" s="262"/>
      <c r="K229" s="262"/>
      <c r="L229" s="262"/>
    </row>
    <row r="230" spans="1:12" ht="12.75" hidden="1" outlineLevel="1">
      <c r="A230" s="1564"/>
      <c r="B230" s="368"/>
      <c r="C230" s="368"/>
      <c r="D230" s="1744" t="s">
        <v>16506</v>
      </c>
      <c r="E230" s="1745"/>
      <c r="F230" s="1745"/>
      <c r="G230" s="1745">
        <v>5.14</v>
      </c>
      <c r="H230" s="1745">
        <v>0</v>
      </c>
      <c r="I230" s="1747">
        <f>G230-H230</f>
        <v>5.14</v>
      </c>
      <c r="J230" s="262"/>
      <c r="K230" s="262"/>
      <c r="L230" s="262"/>
    </row>
    <row r="231" spans="1:12" ht="17.25" hidden="1" outlineLevel="1">
      <c r="A231" s="249"/>
      <c r="B231" s="3"/>
      <c r="C231" s="386"/>
      <c r="D231" s="38"/>
      <c r="E231" s="691"/>
      <c r="F231" s="1756"/>
      <c r="G231" s="642"/>
      <c r="H231" s="642"/>
      <c r="I231" s="1570"/>
      <c r="J231" s="262"/>
      <c r="K231" s="262"/>
      <c r="L231" s="262"/>
    </row>
    <row r="232" spans="1:12" ht="12.75">
      <c r="A232" s="246" t="s">
        <v>14071</v>
      </c>
      <c r="B232" s="1378"/>
      <c r="C232" s="1378"/>
      <c r="D232" s="1379" t="s">
        <v>16279</v>
      </c>
      <c r="E232" s="1380"/>
      <c r="F232" s="1381"/>
      <c r="G232" s="1380"/>
      <c r="H232" s="1381"/>
      <c r="I232" s="1382"/>
      <c r="J232" s="262"/>
      <c r="K232" s="262"/>
      <c r="L232" s="262"/>
    </row>
    <row r="233" spans="1:12" ht="28.5" outlineLevel="1">
      <c r="A233" s="1385" t="s">
        <v>14072</v>
      </c>
      <c r="B233" s="295" t="s">
        <v>15064</v>
      </c>
      <c r="C233" s="295" t="s">
        <v>14472</v>
      </c>
      <c r="D233" s="658" t="str">
        <f>IFERROR(VLOOKUP($B233,'24.08_ND'!$A$4833:$D$12369,2,0),IFERROR(VLOOKUP($B233,'03-CP'!$C$5:$H$4646,2,0),""))</f>
        <v>PORTA EM ALUMÍNIO, NA COR PRETA FORNECIMENTO E INSTALAÇÃO</v>
      </c>
      <c r="E233" s="1318" t="str">
        <f>IFERROR(VLOOKUP($B233,'24.08_ND'!$A:$D,3,0),IFERROR(VLOOKUP($B233,'03-CP'!$C$5:$H$4646,3,0),""))</f>
        <v>M2</v>
      </c>
      <c r="F233" s="1558">
        <f>SUM(I235:I237)</f>
        <v>12.39</v>
      </c>
      <c r="G233" s="1387"/>
      <c r="H233" s="1387"/>
      <c r="I233" s="1388"/>
      <c r="J233" s="1734" t="s">
        <v>16387</v>
      </c>
      <c r="K233" s="262"/>
      <c r="L233" s="262"/>
    </row>
    <row r="234" spans="1:12" ht="12.75" hidden="1" outlineLevel="1">
      <c r="A234" s="450"/>
      <c r="B234" s="386"/>
      <c r="C234" s="8"/>
      <c r="D234" s="1435" t="s">
        <v>16404</v>
      </c>
      <c r="E234" s="1240" t="s">
        <v>16252</v>
      </c>
      <c r="F234" s="1425" t="s">
        <v>16232</v>
      </c>
      <c r="G234" s="1391" t="s">
        <v>16233</v>
      </c>
      <c r="H234" s="1240" t="s">
        <v>16234</v>
      </c>
      <c r="I234" s="1426" t="s">
        <v>12615</v>
      </c>
      <c r="J234" s="262"/>
      <c r="K234" s="262"/>
      <c r="L234" s="262"/>
    </row>
    <row r="235" spans="1:12" ht="12.75" hidden="1" outlineLevel="1">
      <c r="A235" s="450"/>
      <c r="B235" s="386"/>
      <c r="C235" s="8"/>
      <c r="D235" s="1419" t="s">
        <v>16495</v>
      </c>
      <c r="E235" s="1420">
        <v>0.8</v>
      </c>
      <c r="F235" s="1421">
        <v>2.1</v>
      </c>
      <c r="G235" s="1421">
        <f>E235*F235</f>
        <v>1.6800000000000002</v>
      </c>
      <c r="H235" s="1421">
        <v>4</v>
      </c>
      <c r="I235" s="1429">
        <f>G235*H235</f>
        <v>6.7200000000000006</v>
      </c>
      <c r="J235" s="262"/>
      <c r="K235" s="262"/>
      <c r="L235" s="262"/>
    </row>
    <row r="236" spans="1:12" ht="12.75" hidden="1" outlineLevel="1">
      <c r="A236" s="450"/>
      <c r="B236" s="386"/>
      <c r="C236" s="8"/>
      <c r="D236" s="1419" t="s">
        <v>16496</v>
      </c>
      <c r="E236" s="1420">
        <v>0.9</v>
      </c>
      <c r="F236" s="1421">
        <v>2.1</v>
      </c>
      <c r="G236" s="1421">
        <f>E236*F236</f>
        <v>1.8900000000000001</v>
      </c>
      <c r="H236" s="1421">
        <v>2</v>
      </c>
      <c r="I236" s="1429">
        <f>G236*H236</f>
        <v>3.7800000000000002</v>
      </c>
      <c r="J236" s="262"/>
      <c r="K236" s="262"/>
      <c r="L236" s="262"/>
    </row>
    <row r="237" spans="1:12" ht="12.75" hidden="1" outlineLevel="1">
      <c r="A237" s="247"/>
      <c r="B237" s="386"/>
      <c r="C237" s="8"/>
      <c r="D237" s="1427" t="s">
        <v>16497</v>
      </c>
      <c r="E237" s="1395">
        <v>0.9</v>
      </c>
      <c r="F237" s="1396">
        <v>2.1</v>
      </c>
      <c r="G237" s="1396">
        <f>E237*F237</f>
        <v>1.8900000000000001</v>
      </c>
      <c r="H237" s="1396">
        <v>1</v>
      </c>
      <c r="I237" s="1397">
        <f>G237*H237</f>
        <v>1.8900000000000001</v>
      </c>
      <c r="J237" s="262"/>
      <c r="K237" s="262"/>
      <c r="L237" s="262"/>
    </row>
    <row r="238" spans="1:12" ht="38.25" outlineLevel="1">
      <c r="A238" s="1385" t="s">
        <v>14073</v>
      </c>
      <c r="B238" s="295" t="s">
        <v>15062</v>
      </c>
      <c r="C238" s="295" t="s">
        <v>14472</v>
      </c>
      <c r="D238" s="658" t="str">
        <f>IFERROR(VLOOKUP($B238,'24.08_ND'!$A$4833:$D$12369,2,0),IFERROR(VLOOKUP($B238,'03-CP'!$C$5:$H$4646,2,0),""))</f>
        <v>PORTA EM ALUMÍNIO, COM VENEZIANA FIXA LAMINADA VAZADA, NA COR PRETA, FECHADURA TIPO "LIVRE E OCUPADO". FORNECIMENTO E INSTALAÇÃO</v>
      </c>
      <c r="E238" s="1318" t="str">
        <f>IFERROR(VLOOKUP($B238,'24.08_ND'!$A:$D,3,0),IFERROR(VLOOKUP($B238,'03-CP'!$C$5:$H$4646,3,0),""))</f>
        <v>M2</v>
      </c>
      <c r="F238" s="1558">
        <f>SUM(I240)</f>
        <v>21.76</v>
      </c>
      <c r="G238" s="1387"/>
      <c r="H238" s="1387"/>
      <c r="I238" s="1388"/>
      <c r="J238" s="1734" t="s">
        <v>16387</v>
      </c>
      <c r="K238" s="262"/>
      <c r="L238" s="262"/>
    </row>
    <row r="239" spans="1:12" ht="12.75" hidden="1" outlineLevel="1">
      <c r="A239" s="247"/>
      <c r="B239" s="386"/>
      <c r="C239" s="8"/>
      <c r="D239" s="1435" t="s">
        <v>16404</v>
      </c>
      <c r="E239" s="1240" t="s">
        <v>16252</v>
      </c>
      <c r="F239" s="1425" t="s">
        <v>16232</v>
      </c>
      <c r="G239" s="1391" t="s">
        <v>16233</v>
      </c>
      <c r="H239" s="1240" t="s">
        <v>16234</v>
      </c>
      <c r="I239" s="1426" t="s">
        <v>12615</v>
      </c>
      <c r="J239" s="262"/>
      <c r="K239" s="262"/>
      <c r="L239" s="262"/>
    </row>
    <row r="240" spans="1:12" ht="12.75" hidden="1" outlineLevel="1">
      <c r="A240" s="247"/>
      <c r="B240" s="386"/>
      <c r="C240" s="8"/>
      <c r="D240" s="1427" t="s">
        <v>16513</v>
      </c>
      <c r="E240" s="1395">
        <v>0.8</v>
      </c>
      <c r="F240" s="1396">
        <v>1.7</v>
      </c>
      <c r="G240" s="1396">
        <f>E240*F240</f>
        <v>1.36</v>
      </c>
      <c r="H240" s="1396">
        <v>16</v>
      </c>
      <c r="I240" s="1397">
        <f>G240*H240</f>
        <v>21.76</v>
      </c>
      <c r="J240" s="262"/>
      <c r="K240" s="262"/>
      <c r="L240" s="262"/>
    </row>
    <row r="241" spans="1:12" ht="28.5" outlineLevel="1">
      <c r="A241" s="1385" t="s">
        <v>14074</v>
      </c>
      <c r="B241" s="295" t="s">
        <v>15014</v>
      </c>
      <c r="C241" s="295" t="s">
        <v>14472</v>
      </c>
      <c r="D241" s="658" t="str">
        <f>IFERROR(VLOOKUP($B241,'24.08_ND'!$A$4833:$D$12369,2,0),IFERROR(VLOOKUP($B241,'03-CP'!$C$5:$H$4646,2,0),""))</f>
        <v>JANELA BASCULANTE, EM ALUMINIO COR PRETA, VIDRO 4MM SEM GUARNIÇÃO - FORNECIMENTO E INSTALAÇÃO</v>
      </c>
      <c r="E241" s="1318" t="str">
        <f>IFERROR(VLOOKUP($B241,'24.08_ND'!$A:$D,3,0),IFERROR(VLOOKUP($B241,'03-CP'!$C$5:$H$4646,3,0),""))</f>
        <v>M2</v>
      </c>
      <c r="F241" s="1558">
        <f>SUM(I243:I244)</f>
        <v>4.08</v>
      </c>
      <c r="G241" s="1387"/>
      <c r="H241" s="1387"/>
      <c r="I241" s="1388"/>
      <c r="J241" s="1734" t="s">
        <v>16387</v>
      </c>
      <c r="K241" s="262"/>
      <c r="L241" s="262"/>
    </row>
    <row r="242" spans="1:12" ht="12.75" hidden="1" outlineLevel="1">
      <c r="A242" s="247"/>
      <c r="B242" s="386"/>
      <c r="C242" s="8"/>
      <c r="D242" s="1435" t="s">
        <v>16404</v>
      </c>
      <c r="E242" s="1240" t="s">
        <v>16252</v>
      </c>
      <c r="F242" s="1425" t="s">
        <v>16232</v>
      </c>
      <c r="G242" s="1391" t="s">
        <v>16233</v>
      </c>
      <c r="H242" s="1240" t="s">
        <v>16234</v>
      </c>
      <c r="I242" s="1426" t="s">
        <v>12615</v>
      </c>
      <c r="J242" s="262"/>
      <c r="K242" s="262"/>
      <c r="L242" s="262"/>
    </row>
    <row r="243" spans="1:12" ht="12.75" hidden="1" outlineLevel="1">
      <c r="A243" s="247"/>
      <c r="B243" s="386"/>
      <c r="C243" s="8"/>
      <c r="D243" s="1419" t="s">
        <v>16240</v>
      </c>
      <c r="E243" s="1420">
        <v>0.9</v>
      </c>
      <c r="F243" s="1421">
        <v>0.4</v>
      </c>
      <c r="G243" s="1421">
        <f>E243*F243</f>
        <v>0.36000000000000004</v>
      </c>
      <c r="H243" s="1421">
        <v>8</v>
      </c>
      <c r="I243" s="1429">
        <f>G243*H243</f>
        <v>2.8800000000000003</v>
      </c>
      <c r="J243" s="262"/>
      <c r="K243" s="262"/>
      <c r="L243" s="262"/>
    </row>
    <row r="244" spans="1:12" ht="12.75" hidden="1" outlineLevel="1">
      <c r="A244" s="247"/>
      <c r="B244" s="386"/>
      <c r="C244" s="8"/>
      <c r="D244" s="1427" t="s">
        <v>16241</v>
      </c>
      <c r="E244" s="1395">
        <v>1</v>
      </c>
      <c r="F244" s="1396">
        <v>0.4</v>
      </c>
      <c r="G244" s="1396">
        <f>E244*F244</f>
        <v>0.4</v>
      </c>
      <c r="H244" s="1396">
        <v>3</v>
      </c>
      <c r="I244" s="1397">
        <f>G244*H244</f>
        <v>1.2000000000000002</v>
      </c>
      <c r="J244" s="262"/>
      <c r="K244" s="262"/>
      <c r="L244" s="262"/>
    </row>
    <row r="245" spans="1:12" ht="12.75" hidden="1" outlineLevel="1">
      <c r="A245" s="1473"/>
      <c r="B245" s="303"/>
      <c r="C245" s="303"/>
      <c r="D245" s="310"/>
      <c r="E245" s="1447"/>
      <c r="F245" s="306"/>
      <c r="G245" s="1448"/>
      <c r="H245" s="1448"/>
      <c r="I245" s="1449"/>
      <c r="J245" s="262"/>
      <c r="K245" s="262"/>
      <c r="L245" s="262"/>
    </row>
    <row r="246" spans="1:12" ht="12.75">
      <c r="A246" s="246" t="s">
        <v>14075</v>
      </c>
      <c r="B246" s="1378"/>
      <c r="C246" s="1378"/>
      <c r="D246" s="1379" t="s">
        <v>16284</v>
      </c>
      <c r="E246" s="1380"/>
      <c r="F246" s="1381"/>
      <c r="G246" s="1380"/>
      <c r="H246" s="1381"/>
      <c r="I246" s="1382"/>
      <c r="J246" s="262"/>
      <c r="K246" s="262"/>
      <c r="L246" s="262"/>
    </row>
    <row r="247" spans="1:12" ht="28.5" outlineLevel="1">
      <c r="A247" s="1423" t="s">
        <v>14076</v>
      </c>
      <c r="B247" s="295">
        <v>96113</v>
      </c>
      <c r="C247" s="295" t="s">
        <v>14476</v>
      </c>
      <c r="D247" s="658" t="str">
        <f>IFERROR(VLOOKUP($B247,'24.08_ND'!$A$4833:$D$12369,2,0),IFERROR(VLOOKUP($B247,'03-CP'!$C$5:$H$4646,2,0),""))</f>
        <v>FORRO EM PLACAS DE GESSO, PARA AMBIENTES COMERCIAIS. AF_08/2023_PS</v>
      </c>
      <c r="E247" s="1318" t="str">
        <f>IFERROR(VLOOKUP($B247,'24.08_ND'!$A:$D,3,0),IFERROR(VLOOKUP($B247,'03-CP'!$C$5:$H$4646,3,0),""))</f>
        <v>M2</v>
      </c>
      <c r="F247" s="1558">
        <f>SUM(I249:I253)</f>
        <v>78.22</v>
      </c>
      <c r="G247" s="1387"/>
      <c r="H247" s="1387"/>
      <c r="I247" s="1388"/>
      <c r="J247" s="1734" t="s">
        <v>16387</v>
      </c>
      <c r="K247" s="262"/>
      <c r="L247" s="262"/>
    </row>
    <row r="248" spans="1:12" ht="12.75" hidden="1" outlineLevel="1">
      <c r="A248" s="450"/>
      <c r="B248" s="512"/>
      <c r="C248" s="512"/>
      <c r="D248" s="1708" t="s">
        <v>16404</v>
      </c>
      <c r="E248" s="1696" t="s">
        <v>16252</v>
      </c>
      <c r="F248" s="1697" t="s">
        <v>16232</v>
      </c>
      <c r="G248" s="1698" t="s">
        <v>16233</v>
      </c>
      <c r="H248" s="1696" t="s">
        <v>16234</v>
      </c>
      <c r="I248" s="1699" t="s">
        <v>12615</v>
      </c>
      <c r="J248" s="262"/>
      <c r="K248" s="262"/>
      <c r="L248" s="262"/>
    </row>
    <row r="249" spans="1:12" ht="12.75" hidden="1" outlineLevel="1">
      <c r="A249" s="450"/>
      <c r="B249" s="386"/>
      <c r="C249" s="386"/>
      <c r="D249" s="1700" t="s">
        <v>16502</v>
      </c>
      <c r="E249" s="1420">
        <v>36.159999999999997</v>
      </c>
      <c r="F249" s="1421"/>
      <c r="G249" s="1421"/>
      <c r="H249" s="1421">
        <v>6.48</v>
      </c>
      <c r="I249" s="1429">
        <f>E249-H249</f>
        <v>29.679999999999996</v>
      </c>
      <c r="J249" s="262"/>
      <c r="K249" s="262"/>
      <c r="L249" s="262"/>
    </row>
    <row r="250" spans="1:12" ht="12.75" hidden="1" outlineLevel="1">
      <c r="A250" s="450"/>
      <c r="B250" s="386"/>
      <c r="C250" s="386"/>
      <c r="D250" s="1700" t="s">
        <v>16503</v>
      </c>
      <c r="E250" s="1420">
        <v>44.49</v>
      </c>
      <c r="F250" s="1421"/>
      <c r="G250" s="1421"/>
      <c r="H250" s="1421">
        <v>6.48</v>
      </c>
      <c r="I250" s="1429">
        <f>E250-H250</f>
        <v>38.010000000000005</v>
      </c>
      <c r="J250" s="262"/>
      <c r="K250" s="262"/>
      <c r="L250" s="262"/>
    </row>
    <row r="251" spans="1:12" ht="12.75" hidden="1" outlineLevel="1">
      <c r="A251" s="450"/>
      <c r="B251" s="386"/>
      <c r="C251" s="386"/>
      <c r="D251" s="1700" t="s">
        <v>16504</v>
      </c>
      <c r="E251" s="1420">
        <v>3.41</v>
      </c>
      <c r="F251" s="1421"/>
      <c r="G251" s="1421"/>
      <c r="H251" s="1421">
        <v>0.63</v>
      </c>
      <c r="I251" s="1429">
        <f>E251-H251</f>
        <v>2.7800000000000002</v>
      </c>
      <c r="J251" s="262"/>
      <c r="K251" s="262"/>
      <c r="L251" s="262"/>
    </row>
    <row r="252" spans="1:12" ht="12.75" hidden="1" outlineLevel="1">
      <c r="A252" s="247"/>
      <c r="B252" s="386"/>
      <c r="C252" s="386"/>
      <c r="D252" s="1700" t="s">
        <v>16505</v>
      </c>
      <c r="E252" s="1420">
        <v>3.41</v>
      </c>
      <c r="F252" s="1421"/>
      <c r="G252" s="1421"/>
      <c r="H252" s="1421">
        <v>0.63</v>
      </c>
      <c r="I252" s="1429">
        <f>E252-H252</f>
        <v>2.7800000000000002</v>
      </c>
      <c r="J252" s="262"/>
      <c r="K252" s="262"/>
      <c r="L252" s="262"/>
    </row>
    <row r="253" spans="1:12" ht="12.75" hidden="1" outlineLevel="1">
      <c r="A253" s="247"/>
      <c r="B253" s="386"/>
      <c r="C253" s="386"/>
      <c r="D253" s="1701" t="s">
        <v>16506</v>
      </c>
      <c r="E253" s="1702">
        <v>4.97</v>
      </c>
      <c r="F253" s="1703"/>
      <c r="G253" s="1703"/>
      <c r="H253" s="1703">
        <v>0</v>
      </c>
      <c r="I253" s="1704">
        <f>E253-H253</f>
        <v>4.97</v>
      </c>
      <c r="J253" s="262"/>
      <c r="K253" s="262"/>
      <c r="L253" s="262"/>
    </row>
    <row r="254" spans="1:12" ht="12.75" hidden="1" outlineLevel="1">
      <c r="A254" s="247"/>
      <c r="B254" s="386"/>
      <c r="C254" s="386"/>
      <c r="D254" s="253"/>
      <c r="E254" s="1244"/>
      <c r="F254" s="389"/>
      <c r="G254" s="1244"/>
      <c r="H254" s="1244"/>
      <c r="I254" s="1409"/>
      <c r="J254" s="262"/>
      <c r="K254" s="262"/>
      <c r="L254" s="262"/>
    </row>
    <row r="255" spans="1:12" ht="28.5" outlineLevel="1">
      <c r="A255" s="1423" t="s">
        <v>14077</v>
      </c>
      <c r="B255" s="295" t="s">
        <v>15068</v>
      </c>
      <c r="C255" s="295" t="s">
        <v>14472</v>
      </c>
      <c r="D255" s="658" t="str">
        <f>IFERROR(VLOOKUP($B255,'24.08_ND'!$A$4833:$D$12369,2,0),IFERROR(VLOOKUP($B255,'03-CP'!$C$5:$H$4646,2,0),""))</f>
        <v>ACABAMENTO PARA FORRO EM TABICA FECHADA, LISA, FORMATO Z EM AÇO GALVANIZADO</v>
      </c>
      <c r="E255" s="1318" t="str">
        <f>IFERROR(VLOOKUP($B255,'24.08_ND'!$A:$D,3,0),IFERROR(VLOOKUP($B255,'03-CP'!$C$5:$H$4646,3,0),""))</f>
        <v>M</v>
      </c>
      <c r="F255" s="1558">
        <f>SUM(I257:I261)</f>
        <v>41.84</v>
      </c>
      <c r="G255" s="1387"/>
      <c r="H255" s="1387"/>
      <c r="I255" s="1388"/>
      <c r="J255" s="1734" t="s">
        <v>16387</v>
      </c>
      <c r="K255" s="262"/>
      <c r="L255" s="262"/>
    </row>
    <row r="256" spans="1:12" ht="12.75" hidden="1" outlineLevel="1">
      <c r="A256" s="247"/>
      <c r="B256" s="386"/>
      <c r="C256" s="386"/>
      <c r="D256" s="1435" t="s">
        <v>16404</v>
      </c>
      <c r="E256" s="1240" t="s">
        <v>16252</v>
      </c>
      <c r="F256" s="1425" t="s">
        <v>16232</v>
      </c>
      <c r="G256" s="1391" t="s">
        <v>16233</v>
      </c>
      <c r="H256" s="1240" t="s">
        <v>16234</v>
      </c>
      <c r="I256" s="1426" t="s">
        <v>12615</v>
      </c>
      <c r="J256" s="262"/>
      <c r="K256" s="262"/>
      <c r="L256" s="262"/>
    </row>
    <row r="257" spans="1:12" ht="12.75" hidden="1" outlineLevel="1">
      <c r="A257" s="247"/>
      <c r="B257" s="386"/>
      <c r="C257" s="386"/>
      <c r="D257" s="1419" t="s">
        <v>16502</v>
      </c>
      <c r="E257" s="1420">
        <v>11.36</v>
      </c>
      <c r="F257" s="1421"/>
      <c r="G257" s="1420"/>
      <c r="H257" s="1421">
        <v>1</v>
      </c>
      <c r="I257" s="1429">
        <v>11.36</v>
      </c>
      <c r="J257" s="262"/>
      <c r="K257" s="262"/>
      <c r="L257" s="262"/>
    </row>
    <row r="258" spans="1:12" ht="12.75" hidden="1" outlineLevel="1">
      <c r="A258" s="247"/>
      <c r="B258" s="386"/>
      <c r="C258" s="386"/>
      <c r="D258" s="1419" t="s">
        <v>16503</v>
      </c>
      <c r="E258" s="1420">
        <v>13.28</v>
      </c>
      <c r="F258" s="1421"/>
      <c r="G258" s="1420"/>
      <c r="H258" s="1421">
        <v>1</v>
      </c>
      <c r="I258" s="1429">
        <v>13.28</v>
      </c>
      <c r="J258" s="262"/>
      <c r="K258" s="262"/>
      <c r="L258" s="262"/>
    </row>
    <row r="259" spans="1:12" ht="12.75" hidden="1" outlineLevel="1">
      <c r="A259" s="247"/>
      <c r="B259" s="386"/>
      <c r="C259" s="386"/>
      <c r="D259" s="1419" t="s">
        <v>16504</v>
      </c>
      <c r="E259" s="1420">
        <v>4.62</v>
      </c>
      <c r="F259" s="1421"/>
      <c r="G259" s="1420"/>
      <c r="H259" s="1421">
        <v>1</v>
      </c>
      <c r="I259" s="1429">
        <v>4.62</v>
      </c>
      <c r="J259" s="262"/>
      <c r="K259" s="262"/>
      <c r="L259" s="262"/>
    </row>
    <row r="260" spans="1:12" ht="12.75" hidden="1" outlineLevel="1">
      <c r="A260" s="247"/>
      <c r="B260" s="386"/>
      <c r="C260" s="386"/>
      <c r="D260" s="1419" t="s">
        <v>16505</v>
      </c>
      <c r="E260" s="1420">
        <v>4.62</v>
      </c>
      <c r="F260" s="1421"/>
      <c r="G260" s="1420"/>
      <c r="H260" s="1421">
        <v>1</v>
      </c>
      <c r="I260" s="1429">
        <v>4.62</v>
      </c>
      <c r="J260" s="262"/>
      <c r="K260" s="262"/>
      <c r="L260" s="262"/>
    </row>
    <row r="261" spans="1:12" ht="12.75" hidden="1" outlineLevel="1">
      <c r="A261" s="247"/>
      <c r="B261" s="386"/>
      <c r="C261" s="386"/>
      <c r="D261" s="1427" t="s">
        <v>16506</v>
      </c>
      <c r="E261" s="1395">
        <v>7.96</v>
      </c>
      <c r="F261" s="1396"/>
      <c r="G261" s="1395"/>
      <c r="H261" s="1396">
        <v>1</v>
      </c>
      <c r="I261" s="1397">
        <v>7.96</v>
      </c>
      <c r="J261" s="262"/>
      <c r="K261" s="262"/>
      <c r="L261" s="262"/>
    </row>
    <row r="262" spans="1:12" ht="12.75" hidden="1" outlineLevel="1">
      <c r="A262" s="247"/>
      <c r="B262" s="386"/>
      <c r="C262" s="386"/>
      <c r="D262" s="253"/>
      <c r="E262" s="1244"/>
      <c r="F262" s="389"/>
      <c r="G262" s="1244"/>
      <c r="H262" s="1244"/>
      <c r="I262" s="1409"/>
      <c r="J262" s="262"/>
      <c r="K262" s="262"/>
      <c r="L262" s="262"/>
    </row>
    <row r="263" spans="1:12" ht="28.5" outlineLevel="1">
      <c r="A263" s="1423" t="s">
        <v>14078</v>
      </c>
      <c r="B263" s="295" t="s">
        <v>14964</v>
      </c>
      <c r="C263" s="295" t="s">
        <v>14472</v>
      </c>
      <c r="D263" s="658" t="str">
        <f>IFERROR(VLOOKUP($B263,'24.08_ND'!$A$4833:$D$12369,2,0),IFERROR(VLOOKUP($B263,'03-CP'!$C$5:$H$4646,2,0),""))</f>
        <v>SANCA ILUMINADA 30x15 CM EM GESSO ACARTONADO</v>
      </c>
      <c r="E263" s="1318" t="str">
        <f>IFERROR(VLOOKUP($B263,'24.08_ND'!$A:$D,3,0),IFERROR(VLOOKUP($B263,'03-CP'!$C$5:$H$4646,3,0),""))</f>
        <v>M</v>
      </c>
      <c r="F263" s="1583">
        <v>48.15</v>
      </c>
      <c r="G263" s="1387"/>
      <c r="H263" s="1387"/>
      <c r="I263" s="1388"/>
      <c r="J263" s="1734" t="s">
        <v>16387</v>
      </c>
      <c r="K263" s="262"/>
      <c r="L263" s="262"/>
    </row>
    <row r="264" spans="1:12" ht="38.25" outlineLevel="1">
      <c r="A264" s="1423" t="s">
        <v>14079</v>
      </c>
      <c r="B264" s="295" t="s">
        <v>14885</v>
      </c>
      <c r="C264" s="295" t="s">
        <v>14472</v>
      </c>
      <c r="D264" s="658" t="str">
        <f>IFERROR(VLOOKUP($B264,'24.08_ND'!$A$4833:$D$12369,2,0),IFERROR(VLOOKUP($B264,'03-CP'!$C$5:$H$4646,2,0),""))</f>
        <v>TELHAMENTO COM TELHA METÁLICA TERMOACÚSTICA E = 30 MM, COM ATÉ 2 ÁGUAS, CHAPA/CHAPA, PRÉ-PINTADA NAS DUAS FACES- INCLUSO IÇAMENTO.</v>
      </c>
      <c r="E264" s="1318" t="str">
        <f>IFERROR(VLOOKUP($B264,'24.08_ND'!$A:$D,3,0),IFERROR(VLOOKUP($B264,'03-CP'!$C$5:$H$4646,3,0),""))</f>
        <v>M2</v>
      </c>
      <c r="F264" s="1558">
        <f>SUM(I266:I268)</f>
        <v>271.85399999999998</v>
      </c>
      <c r="G264" s="1387"/>
      <c r="H264" s="1387"/>
      <c r="I264" s="1388"/>
      <c r="J264" s="1734" t="s">
        <v>16387</v>
      </c>
      <c r="K264" s="262"/>
      <c r="L264" s="262"/>
    </row>
    <row r="265" spans="1:12" ht="12.75" hidden="1" outlineLevel="1">
      <c r="A265" s="247"/>
      <c r="B265" s="386"/>
      <c r="C265" s="386"/>
      <c r="D265" s="1708" t="s">
        <v>16404</v>
      </c>
      <c r="E265" s="1696" t="s">
        <v>16252</v>
      </c>
      <c r="F265" s="1697" t="s">
        <v>16232</v>
      </c>
      <c r="G265" s="1698" t="s">
        <v>16233</v>
      </c>
      <c r="H265" s="1696" t="s">
        <v>16234</v>
      </c>
      <c r="I265" s="1699" t="s">
        <v>12615</v>
      </c>
      <c r="J265" s="262"/>
      <c r="K265" s="262"/>
      <c r="L265" s="262"/>
    </row>
    <row r="266" spans="1:12" ht="12.75" hidden="1" outlineLevel="1">
      <c r="A266" s="247"/>
      <c r="B266" s="386"/>
      <c r="C266" s="386"/>
      <c r="D266" s="1700" t="s">
        <v>16514</v>
      </c>
      <c r="E266" s="1420">
        <v>20.2</v>
      </c>
      <c r="F266" s="1421"/>
      <c r="G266" s="1420"/>
      <c r="H266" s="1421">
        <v>1</v>
      </c>
      <c r="I266" s="1429">
        <v>20.2</v>
      </c>
      <c r="J266" s="262"/>
      <c r="K266" s="262"/>
      <c r="L266" s="262"/>
    </row>
    <row r="267" spans="1:12" ht="12.75" hidden="1" outlineLevel="1">
      <c r="A267" s="247"/>
      <c r="B267" s="386"/>
      <c r="C267" s="386"/>
      <c r="D267" s="1700" t="s">
        <v>16515</v>
      </c>
      <c r="E267" s="1420">
        <v>101.02</v>
      </c>
      <c r="F267" s="1421"/>
      <c r="G267" s="1420"/>
      <c r="H267" s="1421">
        <v>1</v>
      </c>
      <c r="I267" s="1429">
        <v>101.02</v>
      </c>
      <c r="J267" s="262"/>
      <c r="K267" s="262"/>
      <c r="L267" s="262"/>
    </row>
    <row r="268" spans="1:12" ht="12.75" hidden="1" outlineLevel="1">
      <c r="A268" s="247"/>
      <c r="B268" s="386"/>
      <c r="C268" s="386"/>
      <c r="D268" s="1701" t="s">
        <v>16516</v>
      </c>
      <c r="E268" s="1702">
        <v>136.94</v>
      </c>
      <c r="F268" s="1703"/>
      <c r="G268" s="1702"/>
      <c r="H268" s="1703">
        <v>1</v>
      </c>
      <c r="I268" s="1704">
        <f>(E268*H268)*0.1+E268*H268</f>
        <v>150.63399999999999</v>
      </c>
      <c r="J268" s="262"/>
      <c r="K268" s="262"/>
      <c r="L268" s="262"/>
    </row>
    <row r="269" spans="1:12" ht="17.25" hidden="1" outlineLevel="1">
      <c r="A269" s="248"/>
      <c r="B269" s="386"/>
      <c r="C269" s="386"/>
      <c r="D269" s="1314"/>
      <c r="E269" s="1315"/>
      <c r="F269" s="1694"/>
      <c r="G269" s="1244"/>
      <c r="H269" s="1244"/>
      <c r="I269" s="1409"/>
      <c r="J269" s="262"/>
      <c r="K269" s="262"/>
      <c r="L269" s="262"/>
    </row>
    <row r="270" spans="1:12" ht="28.5" outlineLevel="1">
      <c r="A270" s="1423" t="s">
        <v>14080</v>
      </c>
      <c r="B270" s="295" t="s">
        <v>14956</v>
      </c>
      <c r="C270" s="295" t="s">
        <v>14472</v>
      </c>
      <c r="D270" s="658" t="str">
        <f>IFERROR(VLOOKUP($B270,'24.08_ND'!$A$4833:$D$12369,2,0),IFERROR(VLOOKUP($B270,'03-CP'!$C$5:$H$4646,2,0),""))</f>
        <v>RUFO/ CHAPIM EM CHAPA DE AÇO GALVANIZADO NÚMERO 24, INCLUSO TRANSPORTE VERTICAL - FORNECIMENTO E INSTALAÇÃO</v>
      </c>
      <c r="E270" s="1318" t="str">
        <f>IFERROR(VLOOKUP($B270,'24.08_ND'!$A:$D,3,0),IFERROR(VLOOKUP($B270,'03-CP'!$C$5:$H$4646,3,0),""))</f>
        <v>M2</v>
      </c>
      <c r="F270" s="1583">
        <f>SUM(I272:I279)</f>
        <v>122.38559999999998</v>
      </c>
      <c r="G270" s="1387"/>
      <c r="H270" s="1387"/>
      <c r="I270" s="1388"/>
      <c r="J270" s="1734" t="s">
        <v>16387</v>
      </c>
      <c r="K270" s="262"/>
      <c r="L270" s="262"/>
    </row>
    <row r="271" spans="1:12" ht="12.75" hidden="1" outlineLevel="1">
      <c r="A271" s="450"/>
      <c r="B271" s="386"/>
      <c r="C271" s="386"/>
      <c r="D271" s="1695" t="s">
        <v>16404</v>
      </c>
      <c r="E271" s="1696" t="s">
        <v>16252</v>
      </c>
      <c r="F271" s="1697" t="s">
        <v>16232</v>
      </c>
      <c r="G271" s="1698" t="s">
        <v>16233</v>
      </c>
      <c r="H271" s="1696" t="s">
        <v>16234</v>
      </c>
      <c r="I271" s="1699" t="s">
        <v>12615</v>
      </c>
      <c r="J271" s="262"/>
      <c r="K271" s="262"/>
      <c r="L271" s="262"/>
    </row>
    <row r="272" spans="1:12" ht="12.75" hidden="1" outlineLevel="1">
      <c r="A272" s="450"/>
      <c r="B272" s="386"/>
      <c r="C272" s="386"/>
      <c r="D272" s="1700" t="s">
        <v>16520</v>
      </c>
      <c r="E272" s="1420">
        <v>60.04</v>
      </c>
      <c r="F272" s="1421">
        <v>0.55000000000000004</v>
      </c>
      <c r="G272" s="1420">
        <f t="shared" ref="G272:G279" si="4">E272*F272</f>
        <v>33.022000000000006</v>
      </c>
      <c r="H272" s="1421">
        <v>1</v>
      </c>
      <c r="I272" s="1429">
        <f t="shared" ref="I272:I279" si="5">G272</f>
        <v>33.022000000000006</v>
      </c>
      <c r="J272" s="262"/>
      <c r="K272" s="262"/>
      <c r="L272" s="262"/>
    </row>
    <row r="273" spans="1:12" ht="12.75" hidden="1" outlineLevel="1">
      <c r="A273" s="450"/>
      <c r="B273" s="386"/>
      <c r="C273" s="386"/>
      <c r="D273" s="1700" t="s">
        <v>16518</v>
      </c>
      <c r="E273" s="1420">
        <v>8.6</v>
      </c>
      <c r="F273" s="1421">
        <v>0.9</v>
      </c>
      <c r="G273" s="1420">
        <f t="shared" si="4"/>
        <v>7.74</v>
      </c>
      <c r="H273" s="1421">
        <v>1</v>
      </c>
      <c r="I273" s="1429">
        <f t="shared" si="5"/>
        <v>7.74</v>
      </c>
      <c r="J273" s="262"/>
      <c r="K273" s="262"/>
      <c r="L273" s="262"/>
    </row>
    <row r="274" spans="1:12" ht="12.75" hidden="1" outlineLevel="1">
      <c r="A274" s="450"/>
      <c r="B274" s="386"/>
      <c r="C274" s="386"/>
      <c r="D274" s="1700" t="s">
        <v>16519</v>
      </c>
      <c r="E274" s="1420">
        <v>43.12</v>
      </c>
      <c r="F274" s="1421">
        <v>1.1599999999999999</v>
      </c>
      <c r="G274" s="1420">
        <f t="shared" si="4"/>
        <v>50.019199999999991</v>
      </c>
      <c r="H274" s="1421">
        <v>1</v>
      </c>
      <c r="I274" s="1429">
        <f t="shared" si="5"/>
        <v>50.019199999999991</v>
      </c>
      <c r="J274" s="262"/>
      <c r="K274" s="262"/>
      <c r="L274" s="262"/>
    </row>
    <row r="275" spans="1:12" ht="12.75" hidden="1" outlineLevel="1">
      <c r="A275" s="247"/>
      <c r="B275" s="386"/>
      <c r="C275" s="386"/>
      <c r="D275" s="1700" t="s">
        <v>16518</v>
      </c>
      <c r="E275" s="1420">
        <v>8.6</v>
      </c>
      <c r="F275" s="1421">
        <v>0.2</v>
      </c>
      <c r="G275" s="1420">
        <f t="shared" si="4"/>
        <v>1.72</v>
      </c>
      <c r="H275" s="1421">
        <v>1</v>
      </c>
      <c r="I275" s="1429">
        <f t="shared" si="5"/>
        <v>1.72</v>
      </c>
      <c r="J275" s="262"/>
      <c r="K275" s="262"/>
      <c r="L275" s="262"/>
    </row>
    <row r="276" spans="1:12" ht="12.75" hidden="1" outlineLevel="1">
      <c r="A276" s="247"/>
      <c r="B276" s="386"/>
      <c r="C276" s="386"/>
      <c r="D276" s="1700" t="s">
        <v>16520</v>
      </c>
      <c r="E276" s="1420">
        <v>76.959999999999994</v>
      </c>
      <c r="F276" s="1421">
        <v>0.25</v>
      </c>
      <c r="G276" s="1420">
        <f t="shared" si="4"/>
        <v>19.239999999999998</v>
      </c>
      <c r="H276" s="1421">
        <v>1</v>
      </c>
      <c r="I276" s="1429">
        <f t="shared" si="5"/>
        <v>19.239999999999998</v>
      </c>
      <c r="J276" s="262"/>
      <c r="K276" s="262"/>
      <c r="L276" s="262"/>
    </row>
    <row r="277" spans="1:12" ht="12.75" hidden="1" outlineLevel="1">
      <c r="A277" s="247"/>
      <c r="B277" s="386"/>
      <c r="C277" s="386"/>
      <c r="D277" s="1700" t="s">
        <v>16514</v>
      </c>
      <c r="E277" s="1420">
        <v>8.6</v>
      </c>
      <c r="F277" s="1421">
        <v>0.47</v>
      </c>
      <c r="G277" s="1420">
        <f t="shared" si="4"/>
        <v>4.0419999999999998</v>
      </c>
      <c r="H277" s="1421">
        <v>1</v>
      </c>
      <c r="I277" s="1429">
        <f t="shared" si="5"/>
        <v>4.0419999999999998</v>
      </c>
      <c r="J277" s="262"/>
      <c r="K277" s="262"/>
      <c r="L277" s="262"/>
    </row>
    <row r="278" spans="1:12" ht="12.75" hidden="1" outlineLevel="1">
      <c r="A278" s="247"/>
      <c r="B278" s="386"/>
      <c r="C278" s="386"/>
      <c r="D278" s="1700" t="s">
        <v>16492</v>
      </c>
      <c r="E278" s="1420">
        <v>18.52</v>
      </c>
      <c r="F278" s="1421">
        <v>0.28000000000000003</v>
      </c>
      <c r="G278" s="1420">
        <f t="shared" si="4"/>
        <v>5.1856</v>
      </c>
      <c r="H278" s="1421">
        <v>1</v>
      </c>
      <c r="I278" s="1429">
        <f t="shared" si="5"/>
        <v>5.1856</v>
      </c>
      <c r="J278" s="262"/>
      <c r="K278" s="262"/>
      <c r="L278" s="262"/>
    </row>
    <row r="279" spans="1:12" ht="12.75" hidden="1" outlineLevel="1">
      <c r="A279" s="247"/>
      <c r="B279" s="386"/>
      <c r="C279" s="386"/>
      <c r="D279" s="1701" t="s">
        <v>16521</v>
      </c>
      <c r="E279" s="1702">
        <v>5.0599999999999996</v>
      </c>
      <c r="F279" s="1703">
        <v>0.28000000000000003</v>
      </c>
      <c r="G279" s="1702">
        <f t="shared" si="4"/>
        <v>1.4168000000000001</v>
      </c>
      <c r="H279" s="1703">
        <v>1</v>
      </c>
      <c r="I279" s="1704">
        <f t="shared" si="5"/>
        <v>1.4168000000000001</v>
      </c>
      <c r="J279" s="262"/>
      <c r="K279" s="262"/>
      <c r="L279" s="262"/>
    </row>
    <row r="280" spans="1:12" ht="12.75" hidden="1" outlineLevel="1">
      <c r="A280" s="247"/>
      <c r="B280" s="386"/>
      <c r="C280" s="386"/>
      <c r="D280" s="253"/>
      <c r="E280" s="1244"/>
      <c r="F280" s="389"/>
      <c r="G280" s="1244"/>
      <c r="H280" s="1244"/>
      <c r="I280" s="1409"/>
      <c r="J280" s="262"/>
      <c r="K280" s="262"/>
      <c r="L280" s="262"/>
    </row>
    <row r="281" spans="1:12" ht="28.5" outlineLevel="1">
      <c r="A281" s="1423" t="s">
        <v>14081</v>
      </c>
      <c r="B281" s="295" t="s">
        <v>14882</v>
      </c>
      <c r="C281" s="295" t="s">
        <v>14472</v>
      </c>
      <c r="D281" s="658" t="str">
        <f>IFERROR(VLOOKUP($B281,'24.08_ND'!$A$4833:$D$12369,2,0),IFERROR(VLOOKUP($B281,'03-CP'!$C$5:$H$4646,2,0),""))</f>
        <v>CUMEEIRA METÁLICA EM AÇO GALVANIZADO, DESENVOLVIMENTO 40 CM - FORNECIMENTO E INSTALAÇÃO</v>
      </c>
      <c r="E281" s="1318" t="str">
        <f>IFERROR(VLOOKUP($B281,'24.08_ND'!$A:$D,3,0),IFERROR(VLOOKUP($B281,'03-CP'!$C$5:$H$4646,3,0),""))</f>
        <v>M</v>
      </c>
      <c r="F281" s="1583">
        <v>12.96</v>
      </c>
      <c r="G281" s="1387"/>
      <c r="H281" s="1387"/>
      <c r="I281" s="1388"/>
      <c r="J281" s="1734" t="s">
        <v>16387</v>
      </c>
      <c r="K281" s="262"/>
      <c r="L281" s="262"/>
    </row>
    <row r="282" spans="1:12" ht="28.5" outlineLevel="1">
      <c r="A282" s="1423" t="s">
        <v>14082</v>
      </c>
      <c r="B282" s="295" t="s">
        <v>15032</v>
      </c>
      <c r="C282" s="295" t="s">
        <v>14472</v>
      </c>
      <c r="D282" s="658" t="str">
        <f>IFERROR(VLOOKUP($B282,'24.08_ND'!$A$4833:$D$12369,2,0),IFERROR(VLOOKUP($B282,'03-CP'!$C$5:$H$4646,2,0),""))</f>
        <v>FORRO VINÍLICO, INCLUSIVE ESTRUTURA BIDIRECIONAL DE FIXAÇÃO. FORNECIMENTO E INSTALAÇÃO</v>
      </c>
      <c r="E282" s="1318" t="str">
        <f>IFERROR(VLOOKUP($B282,'24.08_ND'!$A:$D,3,0),IFERROR(VLOOKUP($B282,'03-CP'!$C$5:$H$4646,3,0),""))</f>
        <v>M2</v>
      </c>
      <c r="F282" s="1583">
        <v>186.04</v>
      </c>
      <c r="G282" s="1387"/>
      <c r="H282" s="1387"/>
      <c r="I282" s="1388"/>
      <c r="J282" s="1734" t="s">
        <v>16387</v>
      </c>
      <c r="K282" s="262"/>
      <c r="L282" s="262"/>
    </row>
    <row r="283" spans="1:12" ht="28.5" outlineLevel="1">
      <c r="A283" s="1423" t="s">
        <v>14083</v>
      </c>
      <c r="B283" s="295" t="s">
        <v>14966</v>
      </c>
      <c r="C283" s="295" t="s">
        <v>14472</v>
      </c>
      <c r="D283" s="658" t="str">
        <f>IFERROR(VLOOKUP($B283,'24.08_ND'!$A$4833:$D$12369,2,0),IFERROR(VLOOKUP($B283,'03-CP'!$C$5:$H$4646,2,0),""))</f>
        <v>BORDA EM ALUMÍNIO PARA ACABAMENTO EM ALÇAPÃO EM FORRO</v>
      </c>
      <c r="E283" s="1318" t="str">
        <f>IFERROR(VLOOKUP($B283,'24.08_ND'!$A:$D,3,0),IFERROR(VLOOKUP($B283,'03-CP'!$C$5:$H$4646,3,0),""))</f>
        <v>M</v>
      </c>
      <c r="F283" s="1583">
        <v>3.6</v>
      </c>
      <c r="G283" s="1387"/>
      <c r="H283" s="1387"/>
      <c r="I283" s="1388"/>
      <c r="J283" s="1734" t="s">
        <v>16387</v>
      </c>
      <c r="K283" s="262"/>
      <c r="L283" s="262"/>
    </row>
    <row r="284" spans="1:12" ht="12.75" hidden="1" outlineLevel="1">
      <c r="A284" s="248"/>
      <c r="I284" s="453"/>
      <c r="J284" s="262"/>
      <c r="K284" s="262"/>
      <c r="L284" s="262"/>
    </row>
    <row r="285" spans="1:12" ht="12.75">
      <c r="A285" s="246" t="s">
        <v>14084</v>
      </c>
      <c r="B285" s="1378"/>
      <c r="C285" s="1378"/>
      <c r="D285" s="1379" t="s">
        <v>16290</v>
      </c>
      <c r="E285" s="1380"/>
      <c r="F285" s="1381"/>
      <c r="G285" s="1380"/>
      <c r="H285" s="1381"/>
      <c r="I285" s="1382"/>
      <c r="J285" s="262"/>
      <c r="K285" s="262"/>
      <c r="L285" s="262"/>
    </row>
    <row r="286" spans="1:12" ht="28.5" outlineLevel="1">
      <c r="A286" s="1423" t="s">
        <v>14085</v>
      </c>
      <c r="B286" s="295" t="s">
        <v>14958</v>
      </c>
      <c r="C286" s="295" t="s">
        <v>14472</v>
      </c>
      <c r="D286" s="658" t="str">
        <f>IFERROR(VLOOKUP($B286,'24.08_ND'!$A$4833:$D$12369,2,0),IFERROR(VLOOKUP($B286,'03-CP'!$C$5:$H$4646,2,0),""))</f>
        <v>ESPELHO ESP 4MM COM ACABAMENTO - FORNECIMENTO E INSTALAÇÃO</v>
      </c>
      <c r="E286" s="1318" t="str">
        <f>IFERROR(VLOOKUP($B286,'24.08_ND'!$A:$D,3,0),IFERROR(VLOOKUP($B286,'03-CP'!$C$5:$H$4646,3,0),""))</f>
        <v>M2</v>
      </c>
      <c r="F286" s="1671">
        <f>SUM(I288:I291)</f>
        <v>7.5</v>
      </c>
      <c r="G286" s="1387"/>
      <c r="H286" s="1387"/>
      <c r="I286" s="1388"/>
      <c r="J286" s="1734" t="s">
        <v>16387</v>
      </c>
      <c r="K286" s="262"/>
      <c r="L286" s="262"/>
    </row>
    <row r="287" spans="1:12" ht="12.75" hidden="1" outlineLevel="1">
      <c r="A287" s="450"/>
      <c r="B287" s="512"/>
      <c r="C287" s="512"/>
      <c r="D287" s="1435" t="s">
        <v>16404</v>
      </c>
      <c r="E287" s="1240" t="s">
        <v>16252</v>
      </c>
      <c r="F287" s="1425" t="s">
        <v>16232</v>
      </c>
      <c r="G287" s="1391" t="s">
        <v>16233</v>
      </c>
      <c r="H287" s="1240" t="s">
        <v>16234</v>
      </c>
      <c r="I287" s="1426" t="s">
        <v>12615</v>
      </c>
      <c r="J287" s="262"/>
      <c r="K287" s="262"/>
      <c r="L287" s="262"/>
    </row>
    <row r="288" spans="1:12" ht="12.75" hidden="1" outlineLevel="1">
      <c r="A288" s="450"/>
      <c r="B288" s="386"/>
      <c r="C288" s="386"/>
      <c r="D288" s="1418" t="s">
        <v>16502</v>
      </c>
      <c r="E288" s="1244">
        <v>0.5</v>
      </c>
      <c r="F288" s="389">
        <v>1.5</v>
      </c>
      <c r="G288" s="1244">
        <v>0.75</v>
      </c>
      <c r="H288" s="1244">
        <v>4</v>
      </c>
      <c r="I288" s="1409">
        <f>G288*H288</f>
        <v>3</v>
      </c>
      <c r="J288" s="262"/>
      <c r="K288" s="262"/>
      <c r="L288" s="262"/>
    </row>
    <row r="289" spans="1:12" ht="12.75" hidden="1" outlineLevel="1">
      <c r="A289" s="450"/>
      <c r="B289" s="386"/>
      <c r="C289" s="386"/>
      <c r="D289" s="1418" t="s">
        <v>16503</v>
      </c>
      <c r="E289" s="1244">
        <v>0.5</v>
      </c>
      <c r="F289" s="389">
        <v>1.5</v>
      </c>
      <c r="G289" s="1244">
        <v>0.75</v>
      </c>
      <c r="H289" s="1244">
        <v>4</v>
      </c>
      <c r="I289" s="1409">
        <f>G289*H289</f>
        <v>3</v>
      </c>
      <c r="J289" s="262"/>
      <c r="K289" s="262"/>
      <c r="L289" s="262"/>
    </row>
    <row r="290" spans="1:12" ht="12.75" hidden="1" outlineLevel="1">
      <c r="A290" s="247"/>
      <c r="B290" s="386"/>
      <c r="C290" s="386"/>
      <c r="D290" s="1418" t="s">
        <v>16504</v>
      </c>
      <c r="E290" s="1244">
        <v>0.5</v>
      </c>
      <c r="F290" s="389">
        <v>1.5</v>
      </c>
      <c r="G290" s="1244">
        <v>0.75</v>
      </c>
      <c r="H290" s="1244">
        <v>1</v>
      </c>
      <c r="I290" s="1409">
        <f>G290*H290</f>
        <v>0.75</v>
      </c>
      <c r="J290" s="262"/>
      <c r="K290" s="262"/>
      <c r="L290" s="262"/>
    </row>
    <row r="291" spans="1:12" ht="12.75" hidden="1" outlineLevel="1">
      <c r="A291" s="247"/>
      <c r="B291" s="386"/>
      <c r="C291" s="386"/>
      <c r="D291" s="1427" t="s">
        <v>16505</v>
      </c>
      <c r="E291" s="1395">
        <v>0.5</v>
      </c>
      <c r="F291" s="1396">
        <v>1.5</v>
      </c>
      <c r="G291" s="1248">
        <v>0.75</v>
      </c>
      <c r="H291" s="1248">
        <v>1</v>
      </c>
      <c r="I291" s="1281">
        <f>G291*H291</f>
        <v>0.75</v>
      </c>
      <c r="J291" s="262"/>
      <c r="K291" s="262"/>
      <c r="L291" s="262"/>
    </row>
    <row r="292" spans="1:12" ht="51" outlineLevel="1">
      <c r="A292" s="1423" t="s">
        <v>14086</v>
      </c>
      <c r="B292" s="295" t="s">
        <v>15020</v>
      </c>
      <c r="C292" s="295" t="s">
        <v>14472</v>
      </c>
      <c r="D292" s="658" t="str">
        <f>IFERROR(VLOOKUP($B292,'24.08_ND'!$A$4833:$D$12369,2,0),IFERROR(VLOOKUP($B292,'03-CP'!$C$5:$H$4646,2,0),""))</f>
        <v>PLACA EM AÇO GALVANIZADO E=2 MM, COM PERFURAÇÃO ARTÍSTICA PERSONALIZADA, PROTEÇÃO DE SUPERFÍCIE COM 01 DEMÃO DE FUNDO ANTICORROSIVO, E PINTURA DE 02 DEMÃOS EM ESMALTE SINTÉTICO FOSCO, PULVERIZADO</v>
      </c>
      <c r="E292" s="1318" t="str">
        <f>IFERROR(VLOOKUP($B292,'24.08_ND'!$A:$D,3,0),IFERROR(VLOOKUP($B292,'03-CP'!$C$5:$H$4646,3,0),""))</f>
        <v>M2</v>
      </c>
      <c r="F292" s="1671">
        <f>2.5*2.85*2</f>
        <v>14.25</v>
      </c>
      <c r="G292" s="1387"/>
      <c r="H292" s="1387"/>
      <c r="I292" s="1388"/>
      <c r="J292" s="1734" t="s">
        <v>16387</v>
      </c>
      <c r="K292" s="262"/>
      <c r="L292" s="262"/>
    </row>
    <row r="293" spans="1:12" ht="28.5" outlineLevel="1">
      <c r="A293" s="1423" t="s">
        <v>14087</v>
      </c>
      <c r="B293" s="295" t="s">
        <v>15022</v>
      </c>
      <c r="C293" s="295" t="s">
        <v>14472</v>
      </c>
      <c r="D293" s="658" t="str">
        <f>IFERROR(VLOOKUP($B293,'24.08_ND'!$A$4833:$D$12369,2,0),IFERROR(VLOOKUP($B293,'03-CP'!$C$5:$H$4646,2,0),""))</f>
        <v>BANCADA EM GRANITO SÃO GABRIEL,ESCOVADO, E=2 CM, ASSENTADO COM ARGAMASSA COLANTE</v>
      </c>
      <c r="E293" s="1318" t="str">
        <f>IFERROR(VLOOKUP($B293,'24.08_ND'!$A:$D,3,0),IFERROR(VLOOKUP($B293,'03-CP'!$C$5:$H$4646,3,0),""))</f>
        <v>M2</v>
      </c>
      <c r="F293" s="1671">
        <f>SUM(I295:I301)-I302</f>
        <v>7.5404</v>
      </c>
      <c r="G293" s="1387"/>
      <c r="H293" s="1387"/>
      <c r="I293" s="1388"/>
      <c r="J293" s="1734" t="s">
        <v>16387</v>
      </c>
      <c r="K293" s="262"/>
      <c r="L293" s="262"/>
    </row>
    <row r="294" spans="1:12" ht="12.75" hidden="1" outlineLevel="1">
      <c r="A294" s="1401"/>
      <c r="B294" s="512"/>
      <c r="C294" s="512"/>
      <c r="D294" s="1708" t="s">
        <v>16404</v>
      </c>
      <c r="E294" s="1696" t="s">
        <v>16522</v>
      </c>
      <c r="F294" s="1697" t="s">
        <v>16523</v>
      </c>
      <c r="G294" s="1698" t="s">
        <v>16524</v>
      </c>
      <c r="H294" s="1696" t="s">
        <v>16234</v>
      </c>
      <c r="I294" s="1699" t="s">
        <v>12615</v>
      </c>
      <c r="J294" s="262"/>
      <c r="K294" s="262"/>
      <c r="L294" s="262"/>
    </row>
    <row r="295" spans="1:12" ht="12.75" hidden="1" outlineLevel="1">
      <c r="A295" s="247"/>
      <c r="B295" s="386"/>
      <c r="C295" s="386"/>
      <c r="D295" s="1709" t="s">
        <v>16525</v>
      </c>
      <c r="E295" s="1244">
        <v>4.04</v>
      </c>
      <c r="F295" s="389">
        <v>0.15</v>
      </c>
      <c r="G295" s="1244">
        <f>E295*F295</f>
        <v>0.60599999999999998</v>
      </c>
      <c r="H295" s="1244">
        <v>2</v>
      </c>
      <c r="I295" s="1409">
        <f t="shared" ref="I295:I302" si="6">G295*H295</f>
        <v>1.212</v>
      </c>
      <c r="J295" s="262"/>
      <c r="K295" s="262"/>
      <c r="L295" s="262"/>
    </row>
    <row r="296" spans="1:12" ht="12.75" hidden="1" outlineLevel="1">
      <c r="A296" s="247"/>
      <c r="B296" s="386"/>
      <c r="C296" s="386"/>
      <c r="D296" s="1709" t="s">
        <v>16526</v>
      </c>
      <c r="E296" s="1244">
        <v>4.66</v>
      </c>
      <c r="F296" s="389">
        <v>0.27</v>
      </c>
      <c r="G296" s="1244">
        <f>E296*F296</f>
        <v>1.2582000000000002</v>
      </c>
      <c r="H296" s="1244">
        <v>2</v>
      </c>
      <c r="I296" s="1409">
        <f t="shared" si="6"/>
        <v>2.5164000000000004</v>
      </c>
      <c r="J296" s="262"/>
      <c r="K296" s="262"/>
      <c r="L296" s="262"/>
    </row>
    <row r="297" spans="1:12" ht="12.75" hidden="1" outlineLevel="1">
      <c r="A297" s="247"/>
      <c r="B297" s="386"/>
      <c r="C297" s="386"/>
      <c r="D297" s="1709" t="s">
        <v>16527</v>
      </c>
      <c r="E297" s="1244"/>
      <c r="F297" s="389"/>
      <c r="G297" s="1244">
        <v>2.08</v>
      </c>
      <c r="H297" s="1244">
        <v>2</v>
      </c>
      <c r="I297" s="1409">
        <f t="shared" si="6"/>
        <v>4.16</v>
      </c>
      <c r="J297" s="262"/>
      <c r="K297" s="262"/>
      <c r="L297" s="262"/>
    </row>
    <row r="298" spans="1:12" ht="12.75" hidden="1" outlineLevel="1">
      <c r="A298" s="247"/>
      <c r="B298" s="386"/>
      <c r="C298" s="386"/>
      <c r="D298" s="1709" t="s">
        <v>16529</v>
      </c>
      <c r="E298" s="1244">
        <v>2.34</v>
      </c>
      <c r="F298" s="389">
        <v>0.27</v>
      </c>
      <c r="G298" s="1244">
        <f>E298*F298</f>
        <v>0.63180000000000003</v>
      </c>
      <c r="H298" s="1244">
        <v>2</v>
      </c>
      <c r="I298" s="1409">
        <f t="shared" si="6"/>
        <v>1.2636000000000001</v>
      </c>
      <c r="J298" s="262"/>
      <c r="K298" s="262"/>
      <c r="L298" s="262"/>
    </row>
    <row r="299" spans="1:12" ht="12.75" hidden="1" outlineLevel="1">
      <c r="A299" s="247"/>
      <c r="B299" s="386"/>
      <c r="C299" s="386"/>
      <c r="D299" s="1709" t="s">
        <v>16530</v>
      </c>
      <c r="E299" s="1244">
        <v>2.34</v>
      </c>
      <c r="F299" s="389">
        <v>0.15</v>
      </c>
      <c r="G299" s="1244">
        <f>E299*F299</f>
        <v>0.35099999999999998</v>
      </c>
      <c r="H299" s="1244">
        <v>2</v>
      </c>
      <c r="I299" s="1409">
        <f t="shared" si="6"/>
        <v>0.70199999999999996</v>
      </c>
      <c r="J299" s="262"/>
      <c r="K299" s="262"/>
      <c r="L299" s="262"/>
    </row>
    <row r="300" spans="1:12" ht="12.75" hidden="1" outlineLevel="1">
      <c r="A300" s="247"/>
      <c r="B300" s="386"/>
      <c r="C300" s="386"/>
      <c r="D300" s="1709" t="s">
        <v>16531</v>
      </c>
      <c r="E300" s="1244">
        <v>2.34</v>
      </c>
      <c r="F300" s="389">
        <v>0.08</v>
      </c>
      <c r="G300" s="1244">
        <f>E300*F300</f>
        <v>0.18720000000000001</v>
      </c>
      <c r="H300" s="1244">
        <v>2</v>
      </c>
      <c r="I300" s="1409">
        <f t="shared" si="6"/>
        <v>0.37440000000000001</v>
      </c>
      <c r="J300" s="262"/>
      <c r="K300" s="262"/>
      <c r="L300" s="262"/>
    </row>
    <row r="301" spans="1:12" ht="14.25" hidden="1" customHeight="1" outlineLevel="1">
      <c r="A301" s="247"/>
      <c r="B301" s="386"/>
      <c r="C301" s="386"/>
      <c r="D301" s="1709" t="s">
        <v>16532</v>
      </c>
      <c r="E301" s="1244"/>
      <c r="F301" s="389"/>
      <c r="G301" s="1244">
        <v>0.03</v>
      </c>
      <c r="H301" s="1244">
        <v>4</v>
      </c>
      <c r="I301" s="1409">
        <f t="shared" si="6"/>
        <v>0.12</v>
      </c>
      <c r="J301" s="262"/>
      <c r="K301" s="262"/>
      <c r="L301" s="262"/>
    </row>
    <row r="302" spans="1:12" ht="12.75" hidden="1" outlineLevel="1">
      <c r="A302" s="247"/>
      <c r="B302" s="386"/>
      <c r="C302" s="386"/>
      <c r="D302" s="1710" t="s">
        <v>16533</v>
      </c>
      <c r="E302" s="1711">
        <v>2.34</v>
      </c>
      <c r="F302" s="1712">
        <v>0.3</v>
      </c>
      <c r="G302" s="1711">
        <f>E302*F302</f>
        <v>0.70199999999999996</v>
      </c>
      <c r="H302" s="1711">
        <v>4</v>
      </c>
      <c r="I302" s="1713">
        <f t="shared" si="6"/>
        <v>2.8079999999999998</v>
      </c>
      <c r="J302" s="262"/>
      <c r="K302" s="262"/>
      <c r="L302" s="262"/>
    </row>
    <row r="303" spans="1:12" ht="12.75" hidden="1" outlineLevel="1">
      <c r="A303" s="247"/>
      <c r="B303" s="386"/>
      <c r="C303" s="386"/>
      <c r="D303" s="253"/>
      <c r="E303" s="1244"/>
      <c r="F303" s="389"/>
      <c r="G303" s="1244"/>
      <c r="H303" s="1244"/>
      <c r="I303" s="1409"/>
      <c r="J303" s="262"/>
      <c r="K303" s="262"/>
      <c r="L303" s="262"/>
    </row>
    <row r="304" spans="1:12" ht="28.5" outlineLevel="1">
      <c r="A304" s="1423" t="s">
        <v>14088</v>
      </c>
      <c r="B304" s="295" t="s">
        <v>15024</v>
      </c>
      <c r="C304" s="295" t="s">
        <v>14472</v>
      </c>
      <c r="D304" s="296" t="str">
        <f>IFERROR(VLOOKUP($B304,'24.08_ND'!$A$4833:$D$12369,2,0),IFERROR(VLOOKUP($B304,'03-CP'!$C$5:$H$4646,2,0),""))</f>
        <v>DIVISORIA SANITÁRIA EM GRANITO PRETO SÃO GABRIEL, ESCOVADO, ESP = 3CM, ASSENTADO COM ARGAMASSA COLANTE AC III</v>
      </c>
      <c r="E304" s="1387" t="str">
        <f>IFERROR(VLOOKUP($B304,'24.08_ND'!$A:$D,3,0),IFERROR(VLOOKUP($B304,'03-CP'!$C$5:$H$4646,3,0),""))</f>
        <v>M2</v>
      </c>
      <c r="F304" s="1671">
        <f>SUM(I306:I313)</f>
        <v>53.010000000000005</v>
      </c>
      <c r="G304" s="1387"/>
      <c r="H304" s="1387"/>
      <c r="I304" s="1388"/>
      <c r="J304" s="1734" t="s">
        <v>16387</v>
      </c>
      <c r="K304" s="262"/>
      <c r="L304" s="262"/>
    </row>
    <row r="305" spans="1:12" ht="12.75" hidden="1" outlineLevel="1">
      <c r="A305" s="450"/>
      <c r="B305" s="512"/>
      <c r="C305" s="512"/>
      <c r="D305" s="1435" t="s">
        <v>16404</v>
      </c>
      <c r="E305" s="1240" t="s">
        <v>16252</v>
      </c>
      <c r="F305" s="1425" t="s">
        <v>16232</v>
      </c>
      <c r="G305" s="1572" t="s">
        <v>16233</v>
      </c>
      <c r="H305" s="1240" t="s">
        <v>16234</v>
      </c>
      <c r="I305" s="1426" t="s">
        <v>12615</v>
      </c>
      <c r="J305" s="262"/>
      <c r="K305" s="262"/>
      <c r="L305" s="262"/>
    </row>
    <row r="306" spans="1:12" ht="12.75" hidden="1" outlineLevel="1">
      <c r="A306" s="450"/>
      <c r="B306" s="512"/>
      <c r="C306" s="512"/>
      <c r="D306" s="3505" t="s">
        <v>16502</v>
      </c>
      <c r="E306" s="1705">
        <v>1.65</v>
      </c>
      <c r="F306" s="1705">
        <v>1.9</v>
      </c>
      <c r="G306" s="1705">
        <f t="shared" ref="G306:G313" si="7">E306*F306</f>
        <v>3.1349999999999998</v>
      </c>
      <c r="H306" s="1705">
        <v>5</v>
      </c>
      <c r="I306" s="1706">
        <f t="shared" ref="I306:I313" si="8">G306*H306</f>
        <v>15.674999999999999</v>
      </c>
      <c r="J306" s="262"/>
      <c r="K306" s="262"/>
      <c r="L306" s="262"/>
    </row>
    <row r="307" spans="1:12" ht="12.75" hidden="1" outlineLevel="1">
      <c r="A307" s="450"/>
      <c r="B307" s="512"/>
      <c r="C307" s="512"/>
      <c r="D307" s="3506"/>
      <c r="E307" s="1707">
        <v>0.1</v>
      </c>
      <c r="F307" s="1707">
        <v>1.9</v>
      </c>
      <c r="G307" s="1705">
        <f t="shared" si="7"/>
        <v>0.19</v>
      </c>
      <c r="H307" s="1707">
        <v>2</v>
      </c>
      <c r="I307" s="1706">
        <f t="shared" si="8"/>
        <v>0.38</v>
      </c>
      <c r="J307" s="262"/>
      <c r="K307" s="262"/>
      <c r="L307" s="262"/>
    </row>
    <row r="308" spans="1:12" ht="12.75" hidden="1" outlineLevel="1">
      <c r="A308" s="1401"/>
      <c r="B308" s="512"/>
      <c r="C308" s="512"/>
      <c r="D308" s="3507"/>
      <c r="E308" s="1707">
        <v>0.22</v>
      </c>
      <c r="F308" s="1707">
        <v>1.9</v>
      </c>
      <c r="G308" s="1705">
        <f t="shared" si="7"/>
        <v>0.41799999999999998</v>
      </c>
      <c r="H308" s="1707">
        <v>5</v>
      </c>
      <c r="I308" s="1706">
        <f t="shared" si="8"/>
        <v>2.09</v>
      </c>
      <c r="J308" s="262"/>
      <c r="K308" s="262"/>
      <c r="L308" s="262"/>
    </row>
    <row r="309" spans="1:12" ht="12.75" hidden="1" outlineLevel="1">
      <c r="A309" s="1401"/>
      <c r="B309" s="512"/>
      <c r="C309" s="512"/>
      <c r="D309" s="3508" t="s">
        <v>16503</v>
      </c>
      <c r="E309" s="1707">
        <v>1.65</v>
      </c>
      <c r="F309" s="1707">
        <v>1.9</v>
      </c>
      <c r="G309" s="1705">
        <f t="shared" si="7"/>
        <v>3.1349999999999998</v>
      </c>
      <c r="H309" s="1707">
        <v>10</v>
      </c>
      <c r="I309" s="1706">
        <f t="shared" si="8"/>
        <v>31.349999999999998</v>
      </c>
      <c r="J309" s="262"/>
      <c r="K309" s="262"/>
      <c r="L309" s="262"/>
    </row>
    <row r="310" spans="1:12" ht="12.75" hidden="1" outlineLevel="1">
      <c r="A310" s="1401"/>
      <c r="B310" s="512"/>
      <c r="C310" s="512"/>
      <c r="D310" s="3506"/>
      <c r="E310" s="1707">
        <v>0.1</v>
      </c>
      <c r="F310" s="1707">
        <v>1.9</v>
      </c>
      <c r="G310" s="1705">
        <f t="shared" si="7"/>
        <v>0.19</v>
      </c>
      <c r="H310" s="1707">
        <v>2</v>
      </c>
      <c r="I310" s="1706">
        <f t="shared" si="8"/>
        <v>0.38</v>
      </c>
      <c r="J310" s="262"/>
      <c r="K310" s="262"/>
      <c r="L310" s="262"/>
    </row>
    <row r="311" spans="1:12" ht="12.75" hidden="1" outlineLevel="1">
      <c r="A311" s="1401"/>
      <c r="B311" s="512"/>
      <c r="C311" s="512"/>
      <c r="D311" s="3506"/>
      <c r="E311" s="1707">
        <v>0.22</v>
      </c>
      <c r="F311" s="1707">
        <v>1.9</v>
      </c>
      <c r="G311" s="1705">
        <f t="shared" si="7"/>
        <v>0.41799999999999998</v>
      </c>
      <c r="H311" s="1707">
        <v>5</v>
      </c>
      <c r="I311" s="1706">
        <f t="shared" si="8"/>
        <v>2.09</v>
      </c>
      <c r="J311" s="262"/>
      <c r="K311" s="262"/>
      <c r="L311" s="262"/>
    </row>
    <row r="312" spans="1:12" ht="12.75" hidden="1" outlineLevel="1">
      <c r="A312" s="1401"/>
      <c r="B312" s="512"/>
      <c r="C312" s="512"/>
      <c r="D312" s="3506"/>
      <c r="E312" s="1707">
        <v>0.08</v>
      </c>
      <c r="F312" s="1707">
        <v>1.9</v>
      </c>
      <c r="G312" s="1705">
        <f t="shared" si="7"/>
        <v>0.152</v>
      </c>
      <c r="H312" s="1707">
        <v>2</v>
      </c>
      <c r="I312" s="1706">
        <f t="shared" si="8"/>
        <v>0.30399999999999999</v>
      </c>
      <c r="J312" s="262"/>
      <c r="K312" s="262"/>
      <c r="L312" s="262"/>
    </row>
    <row r="313" spans="1:12" ht="12.75" hidden="1" outlineLevel="1">
      <c r="A313" s="1401"/>
      <c r="B313" s="512"/>
      <c r="C313" s="512"/>
      <c r="D313" s="3509"/>
      <c r="E313" s="1707">
        <v>0.13</v>
      </c>
      <c r="F313" s="1707">
        <v>1.9</v>
      </c>
      <c r="G313" s="1705">
        <f t="shared" si="7"/>
        <v>0.247</v>
      </c>
      <c r="H313" s="1707">
        <v>3</v>
      </c>
      <c r="I313" s="1706">
        <f t="shared" si="8"/>
        <v>0.74099999999999999</v>
      </c>
      <c r="J313" s="262"/>
      <c r="K313" s="262"/>
      <c r="L313" s="262"/>
    </row>
    <row r="314" spans="1:12" ht="12.75" hidden="1" outlineLevel="1">
      <c r="A314" s="247"/>
      <c r="B314" s="386"/>
      <c r="C314" s="386"/>
      <c r="D314" s="253"/>
      <c r="E314" s="1244"/>
      <c r="F314" s="389"/>
      <c r="G314" s="1244"/>
      <c r="H314" s="1244"/>
      <c r="I314" s="1409"/>
      <c r="J314" s="262"/>
      <c r="K314" s="262"/>
      <c r="L314" s="262"/>
    </row>
    <row r="315" spans="1:12" ht="28.5" outlineLevel="1">
      <c r="A315" s="1423" t="s">
        <v>14089</v>
      </c>
      <c r="B315" s="295" t="s">
        <v>15026</v>
      </c>
      <c r="C315" s="295" t="s">
        <v>14472</v>
      </c>
      <c r="D315" s="296" t="str">
        <f>IFERROR(VLOOKUP($B315,'24.08_ND'!$A$4833:$D$12369,2,0),IFERROR(VLOOKUP($B315,'03-CP'!$C$5:$H$4646,2,0),""))</f>
        <v>TAPA VISTA DE MICTÓRIO EM GRANITO PRETO SÃO GABRIEL, ESCOVADO, ESP = 3 CM, ASSENTADO EM ARGAMASSA COLANTE AC III E</v>
      </c>
      <c r="E315" s="1387" t="str">
        <f>IFERROR(VLOOKUP($B315,'24.08_ND'!$A:$D,3,0),IFERROR(VLOOKUP($B315,'03-CP'!$C$5:$H$4646,3,0),""))</f>
        <v>M2</v>
      </c>
      <c r="F315" s="1671">
        <f>SUM(I317)</f>
        <v>2.88</v>
      </c>
      <c r="G315" s="1387"/>
      <c r="H315" s="1387"/>
      <c r="I315" s="1388"/>
      <c r="J315" s="1734" t="s">
        <v>16387</v>
      </c>
      <c r="K315" s="262"/>
      <c r="L315" s="262"/>
    </row>
    <row r="316" spans="1:12" ht="12.75" hidden="1" outlineLevel="1">
      <c r="A316" s="1401"/>
      <c r="B316" s="512"/>
      <c r="C316" s="512"/>
      <c r="D316" s="1435" t="s">
        <v>16404</v>
      </c>
      <c r="E316" s="1240" t="s">
        <v>16252</v>
      </c>
      <c r="F316" s="1425" t="s">
        <v>16232</v>
      </c>
      <c r="G316" s="1391" t="s">
        <v>16233</v>
      </c>
      <c r="H316" s="1240" t="s">
        <v>16234</v>
      </c>
      <c r="I316" s="1426" t="s">
        <v>12615</v>
      </c>
      <c r="J316" s="262"/>
      <c r="K316" s="262"/>
      <c r="L316" s="262"/>
    </row>
    <row r="317" spans="1:12" ht="12.75" hidden="1" outlineLevel="1">
      <c r="A317" s="247"/>
      <c r="B317" s="386"/>
      <c r="C317" s="386"/>
      <c r="D317" s="1422" t="s">
        <v>16502</v>
      </c>
      <c r="E317" s="1248">
        <v>0.4</v>
      </c>
      <c r="F317" s="1436">
        <v>1.2</v>
      </c>
      <c r="G317" s="1248">
        <v>0.48</v>
      </c>
      <c r="H317" s="1248">
        <v>6</v>
      </c>
      <c r="I317" s="1281">
        <f>G317*H317</f>
        <v>2.88</v>
      </c>
      <c r="J317" s="262"/>
      <c r="K317" s="262"/>
      <c r="L317" s="262"/>
    </row>
    <row r="318" spans="1:12" ht="12.75" hidden="1" outlineLevel="1">
      <c r="A318" s="247"/>
      <c r="B318" s="386"/>
      <c r="C318" s="386"/>
      <c r="D318" s="253"/>
      <c r="E318" s="1244"/>
      <c r="F318" s="389"/>
      <c r="G318" s="1244"/>
      <c r="H318" s="1244"/>
      <c r="I318" s="1409"/>
      <c r="J318" s="262"/>
      <c r="K318" s="262"/>
      <c r="L318" s="262"/>
    </row>
    <row r="319" spans="1:12" ht="28.5" outlineLevel="1">
      <c r="A319" s="1423" t="s">
        <v>14090</v>
      </c>
      <c r="B319" s="295" t="s">
        <v>15028</v>
      </c>
      <c r="C319" s="295" t="s">
        <v>14472</v>
      </c>
      <c r="D319" s="296" t="str">
        <f>IFERROR(VLOOKUP($B319,'24.08_ND'!$A$4833:$D$12369,2,0),IFERROR(VLOOKUP($B319,'03-CP'!$C$5:$H$4646,2,0),""))</f>
        <v>PEITORIL LINEAR EM GRANITO CINZA ANDORINHA LEVIGADO/ESCOVADO, L= 25 CM, ASSENTADO COM ARGAMASSA COLANTE</v>
      </c>
      <c r="E319" s="1387" t="str">
        <f>IFERROR(VLOOKUP($B319,'24.08_ND'!$A:$D,3,0),IFERROR(VLOOKUP($B319,'03-CP'!$C$5:$H$4646,3,0),""))</f>
        <v>M</v>
      </c>
      <c r="F319" s="1671">
        <f>SUM(I321:I322)</f>
        <v>10.199999999999999</v>
      </c>
      <c r="G319" s="1387"/>
      <c r="H319" s="1387"/>
      <c r="I319" s="1388"/>
      <c r="J319" s="1734" t="s">
        <v>16387</v>
      </c>
      <c r="K319" s="262"/>
      <c r="L319" s="262"/>
    </row>
    <row r="320" spans="1:12" ht="12.75" hidden="1" outlineLevel="1">
      <c r="A320" s="1401"/>
      <c r="B320" s="512"/>
      <c r="C320" s="512"/>
      <c r="D320" s="1435" t="s">
        <v>16404</v>
      </c>
      <c r="E320" s="1240" t="s">
        <v>16252</v>
      </c>
      <c r="F320" s="1425" t="s">
        <v>16232</v>
      </c>
      <c r="G320" s="1391" t="s">
        <v>16233</v>
      </c>
      <c r="H320" s="1240" t="s">
        <v>16234</v>
      </c>
      <c r="I320" s="1426" t="s">
        <v>12615</v>
      </c>
      <c r="J320" s="262"/>
      <c r="K320" s="262"/>
      <c r="L320" s="262"/>
    </row>
    <row r="321" spans="1:12" ht="12.75" hidden="1" outlineLevel="1">
      <c r="A321" s="247"/>
      <c r="B321" s="386"/>
      <c r="C321" s="386"/>
      <c r="D321" s="1418" t="s">
        <v>16240</v>
      </c>
      <c r="E321" s="1244">
        <v>0.9</v>
      </c>
      <c r="F321" s="389">
        <v>0.25</v>
      </c>
      <c r="G321" s="1244">
        <v>0.38</v>
      </c>
      <c r="H321" s="1244">
        <v>8</v>
      </c>
      <c r="I321" s="1409">
        <f>E321*H321</f>
        <v>7.2</v>
      </c>
      <c r="J321" s="262"/>
      <c r="K321" s="262"/>
      <c r="L321" s="262"/>
    </row>
    <row r="322" spans="1:12" ht="12.75" hidden="1" outlineLevel="1">
      <c r="A322" s="247"/>
      <c r="B322" s="386"/>
      <c r="C322" s="386"/>
      <c r="D322" s="1422" t="s">
        <v>16241</v>
      </c>
      <c r="E322" s="1248">
        <v>1</v>
      </c>
      <c r="F322" s="1436">
        <v>0.25</v>
      </c>
      <c r="G322" s="1248">
        <v>0.25</v>
      </c>
      <c r="H322" s="1248">
        <v>3</v>
      </c>
      <c r="I322" s="1281">
        <f>E322*H322</f>
        <v>3</v>
      </c>
      <c r="J322" s="262"/>
      <c r="K322" s="262"/>
      <c r="L322" s="262"/>
    </row>
    <row r="323" spans="1:12" ht="12.75" hidden="1" outlineLevel="1">
      <c r="A323" s="247"/>
      <c r="B323" s="386"/>
      <c r="C323" s="386"/>
      <c r="D323" s="253"/>
      <c r="E323" s="1244"/>
      <c r="F323" s="389"/>
      <c r="G323" s="1244"/>
      <c r="H323" s="1244"/>
      <c r="I323" s="1409"/>
      <c r="J323" s="262"/>
      <c r="K323" s="262"/>
      <c r="L323" s="262"/>
    </row>
    <row r="324" spans="1:12" ht="28.5" outlineLevel="1">
      <c r="A324" s="1423" t="s">
        <v>14091</v>
      </c>
      <c r="B324" s="295" t="s">
        <v>15030</v>
      </c>
      <c r="C324" s="295" t="s">
        <v>14472</v>
      </c>
      <c r="D324" s="658" t="str">
        <f>IFERROR(VLOOKUP($B324,'24.08_ND'!$A$4833:$D$12369,2,0),IFERROR(VLOOKUP($B324,'03-CP'!$C$5:$H$4646,2,0),""))</f>
        <v>SOLEIRA LINEAR EM GRANITO CINZA ANDORINHA LEVIGADO/ESCOVADO, L= 25 CM - FORNECIMENTO E ASSENTAMENTO</v>
      </c>
      <c r="E324" s="1318" t="str">
        <f>IFERROR(VLOOKUP($B324,'24.08_ND'!$A:$D,3,0),IFERROR(VLOOKUP($B324,'03-CP'!$C$5:$H$4646,3,0),""))</f>
        <v>M</v>
      </c>
      <c r="F324" s="1671">
        <f>SUM(I326:I328)</f>
        <v>5.9</v>
      </c>
      <c r="G324" s="1387"/>
      <c r="H324" s="1387"/>
      <c r="I324" s="1388"/>
      <c r="J324" s="1734" t="s">
        <v>16387</v>
      </c>
      <c r="K324" s="262"/>
      <c r="L324" s="262"/>
    </row>
    <row r="325" spans="1:12" ht="12.75" hidden="1" outlineLevel="1">
      <c r="A325" s="450"/>
      <c r="B325" s="512"/>
      <c r="C325" s="512"/>
      <c r="D325" s="1708" t="s">
        <v>16404</v>
      </c>
      <c r="E325" s="1696" t="s">
        <v>16252</v>
      </c>
      <c r="F325" s="1697" t="s">
        <v>16232</v>
      </c>
      <c r="G325" s="1698" t="s">
        <v>16233</v>
      </c>
      <c r="H325" s="1696" t="s">
        <v>16234</v>
      </c>
      <c r="I325" s="1699" t="s">
        <v>12615</v>
      </c>
      <c r="J325" s="262"/>
      <c r="K325" s="262"/>
      <c r="L325" s="262"/>
    </row>
    <row r="326" spans="1:12" ht="12.75" hidden="1" outlineLevel="1">
      <c r="A326" s="450"/>
      <c r="B326" s="386"/>
      <c r="C326" s="386"/>
      <c r="D326" s="1709" t="s">
        <v>16495</v>
      </c>
      <c r="E326" s="1244">
        <v>0.8</v>
      </c>
      <c r="F326" s="389">
        <v>0.22</v>
      </c>
      <c r="G326" s="1244">
        <v>0.18</v>
      </c>
      <c r="H326" s="1244">
        <v>4</v>
      </c>
      <c r="I326" s="1409">
        <f>E326*H326</f>
        <v>3.2</v>
      </c>
      <c r="J326" s="262"/>
      <c r="K326" s="262"/>
      <c r="L326" s="262"/>
    </row>
    <row r="327" spans="1:12" ht="12.75" hidden="1" outlineLevel="1">
      <c r="A327" s="450"/>
      <c r="B327" s="386"/>
      <c r="C327" s="386"/>
      <c r="D327" s="1709" t="s">
        <v>16496</v>
      </c>
      <c r="E327" s="1244">
        <v>0.9</v>
      </c>
      <c r="F327" s="389">
        <v>0.22</v>
      </c>
      <c r="G327" s="1244">
        <v>0.2</v>
      </c>
      <c r="H327" s="1244">
        <v>2</v>
      </c>
      <c r="I327" s="1409">
        <f>E327*H327</f>
        <v>1.8</v>
      </c>
      <c r="J327" s="262"/>
      <c r="K327" s="262"/>
      <c r="L327" s="262"/>
    </row>
    <row r="328" spans="1:12" ht="12.75" hidden="1" outlineLevel="1">
      <c r="A328" s="247"/>
      <c r="B328" s="386"/>
      <c r="C328" s="386"/>
      <c r="D328" s="1710" t="s">
        <v>16497</v>
      </c>
      <c r="E328" s="1711">
        <v>0.9</v>
      </c>
      <c r="F328" s="1712">
        <v>0.22</v>
      </c>
      <c r="G328" s="1711">
        <v>0.2</v>
      </c>
      <c r="H328" s="1711">
        <v>1</v>
      </c>
      <c r="I328" s="1713">
        <f>E328*H328</f>
        <v>0.9</v>
      </c>
      <c r="J328" s="262"/>
      <c r="K328" s="262"/>
      <c r="L328" s="262"/>
    </row>
    <row r="329" spans="1:12" ht="12.75" hidden="1" outlineLevel="1">
      <c r="A329" s="247"/>
      <c r="B329" s="386"/>
      <c r="C329" s="386"/>
      <c r="D329" s="253"/>
      <c r="E329" s="1244"/>
      <c r="F329" s="389"/>
      <c r="G329" s="1244"/>
      <c r="H329" s="1244"/>
      <c r="I329" s="1409"/>
      <c r="J329" s="262"/>
      <c r="K329" s="262"/>
      <c r="L329" s="262"/>
    </row>
    <row r="330" spans="1:12" ht="38.25" outlineLevel="1">
      <c r="A330" s="1423" t="s">
        <v>14092</v>
      </c>
      <c r="B330" s="295" t="s">
        <v>15060</v>
      </c>
      <c r="C330" s="295" t="s">
        <v>14472</v>
      </c>
      <c r="D330" s="658" t="str">
        <f>IFERROR(VLOOKUP($B330,'24.08_ND'!$A$4833:$D$12369,2,0),IFERROR(VLOOKUP($B330,'03-CP'!$C$5:$H$4646,2,0),""))</f>
        <v>PAINEL RIPADO EM ALUMÍNIO CHAPA E=1,50 MM (4,050 KG/M²),  ACABAMENTO EM PINTURA ELETROSTÁTICA, E FIXAÇÃO DIRETA EM DIVERSAS SUPERFÍCIES - FORNECIMENTO E INSTALAÇÃO</v>
      </c>
      <c r="E330" s="1318" t="str">
        <f>IFERROR(VLOOKUP($B330,'24.08_ND'!$A:$D,3,0),IFERROR(VLOOKUP($B330,'03-CP'!$C$5:$H$4646,3,0),""))</f>
        <v>M2</v>
      </c>
      <c r="F330" s="1671">
        <f>SUM(I332:I334)</f>
        <v>171.80800000000002</v>
      </c>
      <c r="G330" s="1387"/>
      <c r="H330" s="1387"/>
      <c r="I330" s="1388"/>
      <c r="J330" s="1734" t="s">
        <v>16387</v>
      </c>
      <c r="K330" s="262"/>
      <c r="L330" s="262"/>
    </row>
    <row r="331" spans="1:12" ht="12.75" hidden="1" outlineLevel="1">
      <c r="A331" s="247"/>
      <c r="B331" s="386"/>
      <c r="C331" s="386"/>
      <c r="D331" s="1708" t="s">
        <v>16404</v>
      </c>
      <c r="E331" s="1696" t="s">
        <v>16252</v>
      </c>
      <c r="F331" s="1697" t="s">
        <v>16232</v>
      </c>
      <c r="G331" s="1698" t="s">
        <v>16233</v>
      </c>
      <c r="H331" s="1696" t="s">
        <v>16534</v>
      </c>
      <c r="I331" s="1699" t="s">
        <v>12615</v>
      </c>
      <c r="J331" s="262"/>
      <c r="K331" s="262"/>
      <c r="L331" s="262"/>
    </row>
    <row r="332" spans="1:12" ht="12.75" hidden="1" outlineLevel="1">
      <c r="A332" s="247"/>
      <c r="B332" s="386"/>
      <c r="C332" s="386"/>
      <c r="D332" s="1709" t="s">
        <v>16502</v>
      </c>
      <c r="E332" s="1244">
        <v>25.48</v>
      </c>
      <c r="F332" s="389">
        <v>2.65</v>
      </c>
      <c r="G332" s="1244">
        <f>E332*F332</f>
        <v>67.522000000000006</v>
      </c>
      <c r="H332" s="1244">
        <v>5.16</v>
      </c>
      <c r="I332" s="1409">
        <f>G332-H332</f>
        <v>62.362000000000009</v>
      </c>
      <c r="J332" s="262"/>
      <c r="K332" s="262"/>
      <c r="L332" s="262"/>
    </row>
    <row r="333" spans="1:12" ht="12.75" hidden="1" outlineLevel="1">
      <c r="A333" s="247"/>
      <c r="B333" s="386"/>
      <c r="C333" s="386"/>
      <c r="D333" s="1709" t="s">
        <v>16503</v>
      </c>
      <c r="E333" s="1244">
        <v>28.04</v>
      </c>
      <c r="F333" s="389">
        <v>2.65</v>
      </c>
      <c r="G333" s="1244">
        <f>E333*F333</f>
        <v>74.305999999999997</v>
      </c>
      <c r="H333" s="1244">
        <v>5.16</v>
      </c>
      <c r="I333" s="1409">
        <f>G333-H333</f>
        <v>69.146000000000001</v>
      </c>
      <c r="J333" s="262"/>
      <c r="K333" s="262"/>
      <c r="L333" s="262"/>
    </row>
    <row r="334" spans="1:12" ht="12.75" hidden="1" outlineLevel="1">
      <c r="A334" s="247"/>
      <c r="B334" s="386"/>
      <c r="C334" s="386"/>
      <c r="D334" s="1710" t="s">
        <v>16555</v>
      </c>
      <c r="E334" s="1711">
        <v>17.8</v>
      </c>
      <c r="F334" s="1712">
        <v>2.65</v>
      </c>
      <c r="G334" s="1711">
        <f>E334*F334</f>
        <v>47.17</v>
      </c>
      <c r="H334" s="1711">
        <v>6.87</v>
      </c>
      <c r="I334" s="1713">
        <f>G334-H334</f>
        <v>40.300000000000004</v>
      </c>
      <c r="J334" s="262"/>
      <c r="K334" s="262"/>
      <c r="L334" s="262"/>
    </row>
    <row r="335" spans="1:12" ht="12.75" hidden="1" outlineLevel="1">
      <c r="A335" s="247"/>
      <c r="B335" s="386"/>
      <c r="C335" s="386"/>
      <c r="D335" s="253"/>
      <c r="E335" s="1244"/>
      <c r="F335" s="389"/>
      <c r="G335" s="1244"/>
      <c r="H335" s="1244"/>
      <c r="I335" s="1409"/>
      <c r="J335" s="262"/>
      <c r="K335" s="262"/>
      <c r="L335" s="262"/>
    </row>
    <row r="336" spans="1:12" ht="38.25" outlineLevel="1">
      <c r="A336" s="1423" t="s">
        <v>14093</v>
      </c>
      <c r="B336" s="295" t="s">
        <v>14832</v>
      </c>
      <c r="C336" s="295" t="s">
        <v>14472</v>
      </c>
      <c r="D336" s="658" t="str">
        <f>IFERROR(VLOOKUP($B336,'24.08_ND'!$A$4833:$D$12369,2,0),IFERROR(VLOOKUP($B336,'03-CP'!$C$5:$H$4646,2,0),""))</f>
        <v>FECHAMENTO  EM CHAPA DE AÇO, E = 2,00 MM (16,00 KG/M2), INCLUSO FUNDO ANTICORROSIVO E DUAS DEMÃOS DE PINTURA ESMALTE SINTÉTICO FOSCO - FORNECIMENTO E INSTALAÇÃO EM ESTRUTURA EXISTENTE</v>
      </c>
      <c r="E336" s="1318" t="str">
        <f>IFERROR(VLOOKUP($B336,'24.08_ND'!$A:$D,3,0),IFERROR(VLOOKUP($B336,'03-CP'!$C$5:$H$4646,3,0),""))</f>
        <v>M2</v>
      </c>
      <c r="F336" s="1671">
        <f>SUM(I338)</f>
        <v>44.306999999999995</v>
      </c>
      <c r="G336" s="1387"/>
      <c r="H336" s="1387"/>
      <c r="I336" s="1388"/>
      <c r="J336" s="1734" t="s">
        <v>16387</v>
      </c>
      <c r="K336" s="262"/>
      <c r="L336" s="262"/>
    </row>
    <row r="337" spans="1:12" ht="12.75" hidden="1" outlineLevel="1">
      <c r="A337" s="247"/>
      <c r="B337" s="386"/>
      <c r="C337" s="386"/>
      <c r="D337" s="1435" t="s">
        <v>16404</v>
      </c>
      <c r="E337" s="1240" t="s">
        <v>16252</v>
      </c>
      <c r="F337" s="1425" t="s">
        <v>16232</v>
      </c>
      <c r="G337" s="1391" t="s">
        <v>16233</v>
      </c>
      <c r="H337" s="1240" t="s">
        <v>16534</v>
      </c>
      <c r="I337" s="1426" t="s">
        <v>12615</v>
      </c>
      <c r="J337" s="262"/>
      <c r="K337" s="262"/>
      <c r="L337" s="262"/>
    </row>
    <row r="338" spans="1:12" ht="12.75" hidden="1" outlineLevel="1">
      <c r="A338" s="247"/>
      <c r="B338" s="386"/>
      <c r="C338" s="386"/>
      <c r="D338" s="1422" t="s">
        <v>16536</v>
      </c>
      <c r="E338" s="1248">
        <v>49.23</v>
      </c>
      <c r="F338" s="1436">
        <v>0.9</v>
      </c>
      <c r="G338" s="1248">
        <f>E338*F338</f>
        <v>44.306999999999995</v>
      </c>
      <c r="H338" s="1248"/>
      <c r="I338" s="1281">
        <f>G338</f>
        <v>44.306999999999995</v>
      </c>
      <c r="J338" s="262"/>
      <c r="K338" s="262"/>
      <c r="L338" s="262"/>
    </row>
    <row r="339" spans="1:12" ht="12.75" hidden="1" outlineLevel="1">
      <c r="A339" s="247"/>
      <c r="B339" s="386"/>
      <c r="C339" s="386"/>
      <c r="D339" s="253"/>
      <c r="E339" s="1244"/>
      <c r="F339" s="389"/>
      <c r="G339" s="1244"/>
      <c r="H339" s="1244"/>
      <c r="I339" s="1409"/>
      <c r="J339" s="262"/>
      <c r="K339" s="262"/>
      <c r="L339" s="262"/>
    </row>
    <row r="340" spans="1:12" ht="51" outlineLevel="1">
      <c r="A340" s="1423" t="s">
        <v>14094</v>
      </c>
      <c r="B340" s="295" t="s">
        <v>15066</v>
      </c>
      <c r="C340" s="295" t="s">
        <v>14472</v>
      </c>
      <c r="D340" s="658" t="str">
        <f>IFERROR(VLOOKUP($B340,'24.08_ND'!$A$4833:$D$12369,2,0),IFERROR(VLOOKUP($B340,'03-CP'!$C$5:$H$4646,2,0),""))</f>
        <v>ESPELHO ESP 4MM, FIXADO EM MDF CRU 25, PARA INSTALAÇÃO DE LED NAS BORDAS COM ACABAMENTO EMOLDURADO EM PERFIL METÁLICO, COM 02 DEMÃOES DE PINTURA ESMALTE E 01 DEMÃO DE PROTEÇÃO ANTICORROSIVA - FORNECIMENTO E INSTALAÇÃO</v>
      </c>
      <c r="E340" s="1318" t="str">
        <f>IFERROR(VLOOKUP($B340,'24.08_ND'!$A:$D,3,0),IFERROR(VLOOKUP($B340,'03-CP'!$C$5:$H$4646,3,0),""))</f>
        <v>M2</v>
      </c>
      <c r="F340" s="1671">
        <f>SUM(I342:I343)</f>
        <v>22.68</v>
      </c>
      <c r="G340" s="1387"/>
      <c r="H340" s="1387"/>
      <c r="I340" s="1388"/>
      <c r="J340" s="1734" t="s">
        <v>16387</v>
      </c>
      <c r="K340" s="262"/>
      <c r="L340" s="262"/>
    </row>
    <row r="341" spans="1:12" ht="12.75" hidden="1" outlineLevel="1">
      <c r="A341" s="247"/>
      <c r="B341" s="386"/>
      <c r="C341" s="386"/>
      <c r="D341" s="1435" t="s">
        <v>16404</v>
      </c>
      <c r="E341" s="1240" t="s">
        <v>16252</v>
      </c>
      <c r="F341" s="1425" t="s">
        <v>16232</v>
      </c>
      <c r="G341" s="1391" t="s">
        <v>16233</v>
      </c>
      <c r="H341" s="1240" t="s">
        <v>16234</v>
      </c>
      <c r="I341" s="1426" t="s">
        <v>12615</v>
      </c>
      <c r="J341" s="262"/>
      <c r="K341" s="262"/>
      <c r="L341" s="262"/>
    </row>
    <row r="342" spans="1:12" ht="12.75" hidden="1" outlineLevel="1">
      <c r="A342" s="247"/>
      <c r="B342" s="386"/>
      <c r="C342" s="386"/>
      <c r="D342" s="1418" t="s">
        <v>16502</v>
      </c>
      <c r="E342" s="1244">
        <v>0.6</v>
      </c>
      <c r="F342" s="389">
        <v>2.7</v>
      </c>
      <c r="G342" s="1244">
        <f>E342*F342</f>
        <v>1.62</v>
      </c>
      <c r="H342" s="1244">
        <v>6</v>
      </c>
      <c r="I342" s="1409">
        <f>G342*H342</f>
        <v>9.7200000000000006</v>
      </c>
      <c r="J342" s="262"/>
      <c r="K342" s="262"/>
      <c r="L342" s="262"/>
    </row>
    <row r="343" spans="1:12" ht="12.75" hidden="1" outlineLevel="1">
      <c r="A343" s="247"/>
      <c r="B343" s="386"/>
      <c r="C343" s="386"/>
      <c r="D343" s="1422" t="s">
        <v>16503</v>
      </c>
      <c r="E343" s="1248">
        <v>0.6</v>
      </c>
      <c r="F343" s="1436">
        <v>2.7</v>
      </c>
      <c r="G343" s="1248">
        <f>E343*F343</f>
        <v>1.62</v>
      </c>
      <c r="H343" s="1248">
        <v>8</v>
      </c>
      <c r="I343" s="1281">
        <f>G343*H343</f>
        <v>12.96</v>
      </c>
      <c r="J343" s="262"/>
      <c r="K343" s="262"/>
      <c r="L343" s="262"/>
    </row>
    <row r="344" spans="1:12" ht="12.75" hidden="1" outlineLevel="1">
      <c r="A344" s="247"/>
      <c r="B344" s="386"/>
      <c r="C344" s="386"/>
      <c r="D344" s="253"/>
      <c r="E344" s="1244"/>
      <c r="F344" s="389"/>
      <c r="G344" s="1244"/>
      <c r="H344" s="1244"/>
      <c r="I344" s="1409"/>
      <c r="J344" s="262"/>
      <c r="K344" s="262"/>
      <c r="L344" s="262"/>
    </row>
    <row r="345" spans="1:12" ht="12.75">
      <c r="A345" s="246" t="s">
        <v>14095</v>
      </c>
      <c r="B345" s="1378"/>
      <c r="C345" s="1378"/>
      <c r="D345" s="1379" t="s">
        <v>16300</v>
      </c>
      <c r="E345" s="1380"/>
      <c r="F345" s="1381"/>
      <c r="G345" s="1380"/>
      <c r="H345" s="1381"/>
      <c r="I345" s="1382"/>
      <c r="J345" s="262"/>
      <c r="K345" s="262"/>
      <c r="L345" s="262"/>
    </row>
    <row r="346" spans="1:12" ht="28.5" outlineLevel="1">
      <c r="A346" s="247" t="s">
        <v>14096</v>
      </c>
      <c r="B346" s="386">
        <v>100859</v>
      </c>
      <c r="C346" s="386" t="s">
        <v>14476</v>
      </c>
      <c r="D346" s="1314" t="str">
        <f>IFERROR(VLOOKUP($B346,'24.08_ND'!$A$4833:$D$12369,2,0),IFERROR(VLOOKUP($B346,'03-CP'!$C$5:$H$4646,2,0),""))</f>
        <v>MICTÓRIO SIFONADO LOUÇA BRANCA PARA ENTRADA DE ÁGUA EMBUTIDA - PADRÃO ALTO - FORNECIMENTO E INSTALAÇÃO. AF_01/2020</v>
      </c>
      <c r="E346" s="1714" t="str">
        <f>IFERROR(VLOOKUP($B346,'24.08_ND'!$A:$D,3,0),IFERROR(VLOOKUP($B346,'03-CP'!$C$5:$H$4646,3,0),""))</f>
        <v>UN</v>
      </c>
      <c r="F346" s="1715">
        <v>5</v>
      </c>
      <c r="G346" s="1244"/>
      <c r="H346" s="1244"/>
      <c r="I346" s="1409"/>
      <c r="J346" s="1734" t="s">
        <v>16387</v>
      </c>
      <c r="K346" s="262"/>
      <c r="L346" s="262"/>
    </row>
    <row r="347" spans="1:12" ht="28.5" outlineLevel="1">
      <c r="A347" s="247" t="s">
        <v>14097</v>
      </c>
      <c r="B347" s="386" t="s">
        <v>15035</v>
      </c>
      <c r="C347" s="386" t="s">
        <v>14472</v>
      </c>
      <c r="D347" s="1314" t="str">
        <f>IFERROR(VLOOKUP($B347,'24.08_ND'!$A$4833:$D$12369,2,0),IFERROR(VLOOKUP($B347,'03-CP'!$C$5:$H$4646,2,0),""))</f>
        <v>VÁLVULA DE DESCARGA COM SENSOR - FORNECIMENTO E INSTALAÇÃO</v>
      </c>
      <c r="E347" s="1714" t="str">
        <f>IFERROR(VLOOKUP($B347,'24.08_ND'!$A:$D,3,0),IFERROR(VLOOKUP($B347,'03-CP'!$C$5:$H$4646,3,0),""))</f>
        <v>UN</v>
      </c>
      <c r="F347" s="1715">
        <v>5</v>
      </c>
      <c r="G347" s="1244"/>
      <c r="H347" s="1244"/>
      <c r="I347" s="1409"/>
      <c r="J347" s="1734" t="s">
        <v>16387</v>
      </c>
      <c r="K347" s="262"/>
      <c r="L347" s="262"/>
    </row>
    <row r="348" spans="1:12" ht="51" outlineLevel="1">
      <c r="A348" s="247" t="s">
        <v>14098</v>
      </c>
      <c r="B348" s="386">
        <v>95472</v>
      </c>
      <c r="C348" s="386" t="s">
        <v>14476</v>
      </c>
      <c r="D348" s="1314" t="str">
        <f>IFERROR(VLOOKUP($B348,'24.08_ND'!$A$4833:$D$12369,2,0),IFERROR(VLOOKUP($B348,'03-CP'!$C$5:$H$4646,2,0),""))</f>
        <v>VASO SANITARIO SIFONADO CONVENCIONAL PARA PCD SEM FURO FRONTAL COM LOUÇA BRANCA SEM ASSENTO, INCLUSO CONJUNTO DE LIGAÇÃO PARA BACIA SANITÁRIA AJUSTÁVEL - FORNECIMENTO E INSTALAÇÃO. AF_01/2020</v>
      </c>
      <c r="E348" s="1315" t="str">
        <f>IFERROR(VLOOKUP($B348,'24.08_ND'!$A:$D,3,0),IFERROR(VLOOKUP($B348,'03-CP'!$C$5:$H$4646,3,0),""))</f>
        <v>UN</v>
      </c>
      <c r="F348" s="1715">
        <v>18</v>
      </c>
      <c r="G348" s="1244"/>
      <c r="H348" s="1244"/>
      <c r="I348" s="1409"/>
      <c r="J348" s="1734" t="s">
        <v>16387</v>
      </c>
      <c r="K348" s="262"/>
      <c r="L348" s="262"/>
    </row>
    <row r="349" spans="1:12" ht="28.5" outlineLevel="1">
      <c r="A349" s="247" t="s">
        <v>14099</v>
      </c>
      <c r="B349" s="386">
        <v>100849</v>
      </c>
      <c r="C349" s="386" t="s">
        <v>14476</v>
      </c>
      <c r="D349" s="1314" t="str">
        <f>IFERROR(VLOOKUP($B349,'24.08_ND'!$A$4833:$D$12369,2,0),IFERROR(VLOOKUP($B349,'03-CP'!$C$5:$H$4646,2,0),""))</f>
        <v>ASSENTO SANITÁRIO CONVENCIONAL - FORNECIMENTO E INSTALACAO. AF_01/2020</v>
      </c>
      <c r="E349" s="1315" t="str">
        <f>IFERROR(VLOOKUP($B349,'24.08_ND'!$A:$D,3,0),IFERROR(VLOOKUP($B349,'03-CP'!$C$5:$H$4646,3,0),""))</f>
        <v>UN</v>
      </c>
      <c r="F349" s="1715">
        <v>18</v>
      </c>
      <c r="G349" s="1244"/>
      <c r="H349" s="1244"/>
      <c r="I349" s="1409"/>
      <c r="J349" s="1734" t="s">
        <v>16387</v>
      </c>
      <c r="K349" s="262"/>
      <c r="L349" s="262"/>
    </row>
    <row r="350" spans="1:12" ht="28.5" outlineLevel="1">
      <c r="A350" s="247" t="s">
        <v>14100</v>
      </c>
      <c r="B350" s="386" t="s">
        <v>15038</v>
      </c>
      <c r="C350" s="386" t="s">
        <v>14472</v>
      </c>
      <c r="D350" s="1314" t="str">
        <f>IFERROR(VLOOKUP($B350,'24.08_ND'!$A$4833:$D$12369,2,0),IFERROR(VLOOKUP($B350,'03-CP'!$C$5:$H$4646,2,0),""))</f>
        <v>VALVULA DE DESCARGA HIDRA - BASE 1.1/2" - ANTIVANDALISMO</v>
      </c>
      <c r="E350" s="1714" t="str">
        <f>IFERROR(VLOOKUP($B350,'24.08_ND'!$A:$D,3,0),IFERROR(VLOOKUP($B350,'03-CP'!$C$5:$H$4646,3,0),""))</f>
        <v>UN</v>
      </c>
      <c r="F350" s="1715">
        <v>18</v>
      </c>
      <c r="G350" s="1244"/>
      <c r="H350" s="1244"/>
      <c r="I350" s="1409"/>
      <c r="J350" s="1734" t="s">
        <v>16387</v>
      </c>
      <c r="K350" s="262"/>
      <c r="L350" s="262"/>
    </row>
    <row r="351" spans="1:12" ht="28.5" outlineLevel="1">
      <c r="A351" s="247" t="s">
        <v>14101</v>
      </c>
      <c r="B351" s="386" t="s">
        <v>15041</v>
      </c>
      <c r="C351" s="386" t="s">
        <v>14472</v>
      </c>
      <c r="D351" s="1314" t="str">
        <f>IFERROR(VLOOKUP($B351,'24.08_ND'!$A$4833:$D$12369,2,0),IFERROR(VLOOKUP($B351,'03-CP'!$C$5:$H$4646,2,0),""))</f>
        <v>CUBA DE SOBREPOR, LOUÇA, 30X40 CM - MODELO IZY - FORNECIMENTO E INSTALAÇÃO</v>
      </c>
      <c r="E351" s="1714" t="str">
        <f>IFERROR(VLOOKUP($B351,'24.08_ND'!$A:$D,3,0),IFERROR(VLOOKUP($B351,'03-CP'!$C$5:$H$4646,3,0),""))</f>
        <v>UN</v>
      </c>
      <c r="F351" s="1715">
        <v>2</v>
      </c>
      <c r="G351" s="1244"/>
      <c r="H351" s="1244"/>
      <c r="I351" s="1409"/>
      <c r="J351" s="1734" t="s">
        <v>16387</v>
      </c>
      <c r="K351" s="262"/>
      <c r="L351" s="262"/>
    </row>
    <row r="352" spans="1:12" ht="28.5" outlineLevel="1">
      <c r="A352" s="247" t="s">
        <v>14102</v>
      </c>
      <c r="B352" s="386" t="s">
        <v>15043</v>
      </c>
      <c r="C352" s="386" t="s">
        <v>14472</v>
      </c>
      <c r="D352" s="1314" t="str">
        <f>IFERROR(VLOOKUP($B352,'24.08_ND'!$A$4833:$D$12369,2,0),IFERROR(VLOOKUP($B352,'03-CP'!$C$5:$H$4646,2,0),""))</f>
        <v>ACABAMENTO  PARA REGISTRO - FORNECIMENTO E INSTALAÇÃO</v>
      </c>
      <c r="E352" s="1315" t="str">
        <f>IFERROR(VLOOKUP($B352,'24.08_ND'!$A:$D,3,0),IFERROR(VLOOKUP($B352,'03-CP'!$C$5:$H$4646,3,0),""))</f>
        <v>UN</v>
      </c>
      <c r="F352" s="1715">
        <f>SUM(I354:I359)</f>
        <v>27</v>
      </c>
      <c r="G352" s="1244"/>
      <c r="H352" s="1244"/>
      <c r="I352" s="1409"/>
      <c r="J352" s="1734" t="s">
        <v>16387</v>
      </c>
      <c r="K352" s="262"/>
      <c r="L352" s="262"/>
    </row>
    <row r="353" spans="1:12" ht="12.75" hidden="1" outlineLevel="1">
      <c r="A353" s="247"/>
      <c r="D353" s="1435" t="s">
        <v>16404</v>
      </c>
      <c r="E353" s="1757"/>
      <c r="F353" s="1717"/>
      <c r="G353" s="1481"/>
      <c r="H353" s="1718" t="s">
        <v>16234</v>
      </c>
      <c r="I353" s="1426" t="s">
        <v>12615</v>
      </c>
      <c r="J353" s="262"/>
      <c r="K353" s="262"/>
      <c r="L353" s="262"/>
    </row>
    <row r="354" spans="1:12" ht="12.75" hidden="1" outlineLevel="1">
      <c r="A354" s="247"/>
      <c r="B354" s="386"/>
      <c r="C354" s="386"/>
      <c r="D354" s="1418" t="s">
        <v>16502</v>
      </c>
      <c r="E354" s="1719"/>
      <c r="F354" s="1720"/>
      <c r="G354" s="1244"/>
      <c r="H354" s="1244">
        <v>9</v>
      </c>
      <c r="I354" s="1409">
        <f t="shared" ref="I354:I359" si="9">H354</f>
        <v>9</v>
      </c>
      <c r="J354" s="262"/>
      <c r="K354" s="262"/>
      <c r="L354" s="262"/>
    </row>
    <row r="355" spans="1:12" ht="12.75" hidden="1" outlineLevel="1">
      <c r="A355" s="247"/>
      <c r="B355" s="386"/>
      <c r="C355" s="386"/>
      <c r="D355" s="1418" t="s">
        <v>16503</v>
      </c>
      <c r="E355" s="1315"/>
      <c r="F355" s="389"/>
      <c r="G355" s="1244"/>
      <c r="H355" s="1244">
        <v>11</v>
      </c>
      <c r="I355" s="1409">
        <f t="shared" si="9"/>
        <v>11</v>
      </c>
      <c r="J355" s="262"/>
      <c r="K355" s="262"/>
      <c r="L355" s="262"/>
    </row>
    <row r="356" spans="1:12" ht="12.75" hidden="1" outlineLevel="1">
      <c r="A356" s="247"/>
      <c r="B356" s="386"/>
      <c r="C356" s="386"/>
      <c r="D356" s="1418" t="s">
        <v>16504</v>
      </c>
      <c r="E356" s="1315"/>
      <c r="F356" s="389"/>
      <c r="G356" s="1244"/>
      <c r="H356" s="1244">
        <v>2</v>
      </c>
      <c r="I356" s="1409">
        <f t="shared" si="9"/>
        <v>2</v>
      </c>
      <c r="J356" s="262"/>
      <c r="K356" s="262"/>
      <c r="L356" s="262"/>
    </row>
    <row r="357" spans="1:12" ht="12.75" hidden="1" outlineLevel="1">
      <c r="A357" s="247"/>
      <c r="B357" s="386"/>
      <c r="C357" s="386"/>
      <c r="D357" s="1418" t="s">
        <v>16505</v>
      </c>
      <c r="E357" s="1315"/>
      <c r="F357" s="389"/>
      <c r="G357" s="1244"/>
      <c r="H357" s="1244">
        <v>2</v>
      </c>
      <c r="I357" s="1409">
        <f t="shared" si="9"/>
        <v>2</v>
      </c>
      <c r="J357" s="262"/>
      <c r="K357" s="262"/>
      <c r="L357" s="262"/>
    </row>
    <row r="358" spans="1:12" ht="12.75" hidden="1" outlineLevel="1">
      <c r="A358" s="247"/>
      <c r="B358" s="386"/>
      <c r="C358" s="386"/>
      <c r="D358" s="1418" t="s">
        <v>16506</v>
      </c>
      <c r="E358" s="1315"/>
      <c r="F358" s="389"/>
      <c r="G358" s="1244"/>
      <c r="H358" s="1244">
        <v>1</v>
      </c>
      <c r="I358" s="1409">
        <f t="shared" si="9"/>
        <v>1</v>
      </c>
      <c r="J358" s="262"/>
      <c r="K358" s="262"/>
      <c r="L358" s="262"/>
    </row>
    <row r="359" spans="1:12" ht="12.75" hidden="1" outlineLevel="1">
      <c r="A359" s="247"/>
      <c r="B359" s="386"/>
      <c r="C359" s="386"/>
      <c r="D359" s="1422" t="s">
        <v>16494</v>
      </c>
      <c r="E359" s="1721"/>
      <c r="F359" s="1436"/>
      <c r="G359" s="1248"/>
      <c r="H359" s="1248">
        <v>2</v>
      </c>
      <c r="I359" s="1281">
        <f t="shared" si="9"/>
        <v>2</v>
      </c>
      <c r="J359" s="262"/>
      <c r="K359" s="262"/>
      <c r="L359" s="262"/>
    </row>
    <row r="360" spans="1:12" ht="28.5" outlineLevel="1">
      <c r="A360" s="247" t="s">
        <v>14103</v>
      </c>
      <c r="B360" s="386">
        <v>86872</v>
      </c>
      <c r="C360" s="386" t="s">
        <v>14476</v>
      </c>
      <c r="D360" s="1314" t="str">
        <f>IFERROR(VLOOKUP($B360,'24.08_ND'!$A$4833:$D$12369,2,0),IFERROR(VLOOKUP($B360,'03-CP'!$C$5:$H$4646,2,0),""))</f>
        <v>TANQUE DE LOUÇA BRANCA COM COLUNA, 30L OU EQUIVALENTE - FORNECIMENTO E INSTALAÇÃO. AF_01/2020</v>
      </c>
      <c r="E360" s="1315" t="str">
        <f>IFERROR(VLOOKUP($B360,'24.08_ND'!$A:$D,3,0),IFERROR(VLOOKUP($B360,'03-CP'!$C$5:$H$4646,3,0),""))</f>
        <v>UN</v>
      </c>
      <c r="F360" s="1715">
        <v>1</v>
      </c>
      <c r="G360" s="1244"/>
      <c r="I360" s="1409"/>
      <c r="J360" s="1734" t="s">
        <v>16387</v>
      </c>
      <c r="K360" s="262"/>
      <c r="L360" s="262"/>
    </row>
    <row r="361" spans="1:12" ht="28.5" outlineLevel="1">
      <c r="A361" s="247" t="s">
        <v>14104</v>
      </c>
      <c r="B361" s="386" t="s">
        <v>14811</v>
      </c>
      <c r="C361" s="386" t="s">
        <v>14472</v>
      </c>
      <c r="D361" s="1314" t="str">
        <f>IFERROR(VLOOKUP($B361,'24.08_ND'!$A$4833:$D$12369,2,0),IFERROR(VLOOKUP($B361,'03-CP'!$C$5:$H$4646,2,0),""))</f>
        <v>TORNEIRA AUTOMÁTICA DE MESA PARA LAVATÓRIO, CROMADA. FORNECIMENTO E INSTALAÇÃO</v>
      </c>
      <c r="E361" s="1315" t="str">
        <f>IFERROR(VLOOKUP($B361,'24.08_ND'!$A:$D,3,0),IFERROR(VLOOKUP($B361,'03-CP'!$C$5:$H$4646,3,0),""))</f>
        <v>UN</v>
      </c>
      <c r="F361" s="1715">
        <v>10</v>
      </c>
      <c r="G361" s="1244"/>
      <c r="H361" s="1244"/>
      <c r="I361" s="1409"/>
      <c r="J361" s="1734" t="s">
        <v>16387</v>
      </c>
      <c r="K361" s="262"/>
      <c r="L361" s="262"/>
    </row>
    <row r="362" spans="1:12" ht="28.5" outlineLevel="1">
      <c r="A362" s="247" t="s">
        <v>14105</v>
      </c>
      <c r="B362" s="386">
        <v>86914</v>
      </c>
      <c r="C362" s="386" t="s">
        <v>14476</v>
      </c>
      <c r="D362" s="1314" t="str">
        <f>IFERROR(VLOOKUP($B362,'24.08_ND'!$A$4833:$D$12369,2,0),IFERROR(VLOOKUP($B362,'03-CP'!$C$5:$H$4646,2,0),""))</f>
        <v>TORNEIRA CROMADA 1/2" OU 3/4" PARA TANQUE, PADRÃO MÉDIO - FORNECIMENTO E INSTALAÇÃO. AF_01/2020</v>
      </c>
      <c r="E362" s="1315" t="str">
        <f>IFERROR(VLOOKUP($B362,'24.08_ND'!$A:$D,3,0),IFERROR(VLOOKUP($B362,'03-CP'!$C$5:$H$4646,3,0),""))</f>
        <v>UN</v>
      </c>
      <c r="F362" s="1715">
        <v>5</v>
      </c>
      <c r="G362" s="1244"/>
      <c r="H362" s="1244"/>
      <c r="I362" s="1409"/>
      <c r="J362" s="1734" t="s">
        <v>16387</v>
      </c>
      <c r="K362" s="262"/>
      <c r="L362" s="262"/>
    </row>
    <row r="363" spans="1:12" ht="28.5" outlineLevel="1">
      <c r="A363" s="247" t="s">
        <v>14106</v>
      </c>
      <c r="B363" s="386" t="s">
        <v>15045</v>
      </c>
      <c r="C363" s="386" t="s">
        <v>14472</v>
      </c>
      <c r="D363" s="1314" t="str">
        <f>IFERROR(VLOOKUP($B363,'24.08_ND'!$A$4833:$D$12369,2,0),IFERROR(VLOOKUP($B363,'03-CP'!$C$5:$H$4646,2,0),""))</f>
        <v>DISPENSER DE SABONETE/ DETERGENTE PRESSMATIC - FORNECIMENTO E INSTALAÇÃO</v>
      </c>
      <c r="E363" s="1315" t="str">
        <f>IFERROR(VLOOKUP($B363,'24.08_ND'!$A:$D,3,0),IFERROR(VLOOKUP($B363,'03-CP'!$C$5:$H$4646,3,0),""))</f>
        <v>UN</v>
      </c>
      <c r="F363" s="1715">
        <v>8</v>
      </c>
      <c r="G363" s="1244"/>
      <c r="H363" s="1244"/>
      <c r="I363" s="1409"/>
      <c r="J363" s="1734" t="s">
        <v>16387</v>
      </c>
      <c r="K363" s="262"/>
      <c r="L363" s="262"/>
    </row>
    <row r="364" spans="1:12" ht="28.5" outlineLevel="1">
      <c r="A364" s="247" t="s">
        <v>14107</v>
      </c>
      <c r="B364" s="386">
        <v>100868</v>
      </c>
      <c r="C364" s="386" t="s">
        <v>14476</v>
      </c>
      <c r="D364" s="1314" t="str">
        <f>IFERROR(VLOOKUP($B364,'24.08_ND'!$A$4833:$D$12369,2,0),IFERROR(VLOOKUP($B364,'03-CP'!$C$5:$H$4646,2,0),""))</f>
        <v>BARRA DE APOIO RETA, EM ACO INOX POLIDO, COMPRIMENTO 80 CM,  FIXADA NA PAREDE - FORNECIMENTO E INSTALAÇÃO. AF_01/2020</v>
      </c>
      <c r="E364" s="1315" t="str">
        <f>IFERROR(VLOOKUP($B364,'24.08_ND'!$A:$D,3,0),IFERROR(VLOOKUP($B364,'03-CP'!$C$5:$H$4646,3,0),""))</f>
        <v>UN</v>
      </c>
      <c r="F364" s="1715">
        <v>4</v>
      </c>
      <c r="G364" s="1244"/>
      <c r="H364" s="1244"/>
      <c r="I364" s="1409"/>
      <c r="J364" s="1734" t="s">
        <v>16387</v>
      </c>
      <c r="K364" s="262"/>
      <c r="L364" s="262"/>
    </row>
    <row r="365" spans="1:12" ht="28.5" outlineLevel="1">
      <c r="A365" s="247" t="s">
        <v>14108</v>
      </c>
      <c r="B365" s="386">
        <v>100867</v>
      </c>
      <c r="C365" s="386" t="s">
        <v>14476</v>
      </c>
      <c r="D365" s="1314" t="str">
        <f>IFERROR(VLOOKUP($B365,'24.08_ND'!$A$4833:$D$12369,2,0),IFERROR(VLOOKUP($B365,'03-CP'!$C$5:$H$4646,2,0),""))</f>
        <v>BARRA DE APOIO RETA, EM ACO INOX POLIDO, COMPRIMENTO 70 CM,  FIXADA NA PAREDE - FORNECIMENTO E INSTALAÇÃO. AF_01/2020</v>
      </c>
      <c r="E365" s="1315" t="str">
        <f>IFERROR(VLOOKUP($B365,'24.08_ND'!$A:$D,3,0),IFERROR(VLOOKUP($B365,'03-CP'!$C$5:$H$4646,3,0),""))</f>
        <v>UN</v>
      </c>
      <c r="F365" s="1715">
        <v>4</v>
      </c>
      <c r="G365" s="1244"/>
      <c r="H365" s="1244"/>
      <c r="I365" s="1409"/>
      <c r="J365" s="1734" t="s">
        <v>16387</v>
      </c>
      <c r="K365" s="262"/>
      <c r="L365" s="262"/>
    </row>
    <row r="366" spans="1:12" ht="28.5" outlineLevel="1">
      <c r="A366" s="247" t="s">
        <v>14109</v>
      </c>
      <c r="B366" s="386" t="s">
        <v>14887</v>
      </c>
      <c r="C366" s="386" t="s">
        <v>14472</v>
      </c>
      <c r="D366" s="1314" t="str">
        <f>IFERROR(VLOOKUP($B366,'24.08_ND'!$A$4833:$D$12369,2,0),IFERROR(VLOOKUP($B366,'03-CP'!$C$5:$H$4646,2,0),""))</f>
        <v xml:space="preserve">BARRA DE APOIO RETA, EM ACO, COMPRIMENTO 40 CM, FIXADA NA PAREDE - FORNECIMENTO E INSTALAÇÃO. </v>
      </c>
      <c r="E366" s="1315" t="str">
        <f>IFERROR(VLOOKUP($B366,'24.08_ND'!$A:$D,3,0),IFERROR(VLOOKUP($B366,'03-CP'!$C$5:$H$4646,3,0),""))</f>
        <v>UN</v>
      </c>
      <c r="F366" s="1715">
        <v>4</v>
      </c>
      <c r="G366" s="1244"/>
      <c r="H366" s="1244"/>
      <c r="I366" s="1409"/>
      <c r="J366" s="1734" t="s">
        <v>16387</v>
      </c>
      <c r="K366" s="262"/>
      <c r="L366" s="262"/>
    </row>
    <row r="367" spans="1:12" ht="28.5" outlineLevel="1">
      <c r="A367" s="247" t="s">
        <v>14110</v>
      </c>
      <c r="B367" s="386" t="s">
        <v>15048</v>
      </c>
      <c r="C367" s="386" t="s">
        <v>14472</v>
      </c>
      <c r="D367" s="1314" t="str">
        <f>IFERROR(VLOOKUP($B367,'24.08_ND'!$A$4833:$D$12369,2,0),IFERROR(VLOOKUP($B367,'03-CP'!$C$5:$H$4646,2,0),""))</f>
        <v xml:space="preserve">BARRA DE APOIO RETA, EM ACO, COMPRIMENTO 45 CM, FIXADA NA PAREDE - FORNECIMENTO E INSTALAÇÃO. </v>
      </c>
      <c r="E367" s="1315" t="str">
        <f>IFERROR(VLOOKUP($B367,'24.08_ND'!$A:$D,3,0),IFERROR(VLOOKUP($B367,'03-CP'!$C$5:$H$4646,3,0),""))</f>
        <v>UN</v>
      </c>
      <c r="F367" s="1715">
        <v>4</v>
      </c>
      <c r="G367" s="1244"/>
      <c r="H367" s="1244"/>
      <c r="I367" s="1409"/>
      <c r="J367" s="1734" t="s">
        <v>16387</v>
      </c>
      <c r="K367" s="262"/>
      <c r="L367" s="262"/>
    </row>
    <row r="368" spans="1:12" ht="28.5" outlineLevel="1">
      <c r="A368" s="247" t="s">
        <v>14111</v>
      </c>
      <c r="B368" s="386" t="s">
        <v>15050</v>
      </c>
      <c r="C368" s="386" t="s">
        <v>14472</v>
      </c>
      <c r="D368" s="1314" t="str">
        <f>IFERROR(VLOOKUP($B368,'24.08_ND'!$A$4833:$D$12369,2,0),IFERROR(VLOOKUP($B368,'03-CP'!$C$5:$H$4646,2,0),""))</f>
        <v>DISPENSER TOALHEIRO PLASTICO PARA PAPEL TOALHA INTERFOLHADO - FORNECIMENTO E INSTALAÇÃO</v>
      </c>
      <c r="E368" s="1315" t="str">
        <f>IFERROR(VLOOKUP($B368,'24.08_ND'!$A:$D,3,0),IFERROR(VLOOKUP($B368,'03-CP'!$C$5:$H$4646,3,0),""))</f>
        <v>UN</v>
      </c>
      <c r="F368" s="1715">
        <v>6</v>
      </c>
      <c r="G368" s="1244"/>
      <c r="H368" s="1244"/>
      <c r="I368" s="1409"/>
      <c r="J368" s="1734" t="s">
        <v>16387</v>
      </c>
      <c r="K368" s="262"/>
      <c r="L368" s="262"/>
    </row>
    <row r="369" spans="1:12" ht="28.5" outlineLevel="1">
      <c r="A369" s="247" t="s">
        <v>14112</v>
      </c>
      <c r="B369" s="386">
        <v>95547</v>
      </c>
      <c r="C369" s="386" t="s">
        <v>14476</v>
      </c>
      <c r="D369" s="1314" t="str">
        <f>IFERROR(VLOOKUP($B369,'24.08_ND'!$A$4833:$D$12369,2,0),IFERROR(VLOOKUP($B369,'03-CP'!$C$5:$H$4646,2,0),""))</f>
        <v>SABONETEIRA PLASTICA TIPO DISPENSER PARA SABONETE LIQUIDO COM RESERVATORIO 800 A 1500 ML, INCLUSO FIXAÇÃO. AF_01/2020</v>
      </c>
      <c r="E369" s="1315" t="str">
        <f>IFERROR(VLOOKUP($B369,'24.08_ND'!$A:$D,3,0),IFERROR(VLOOKUP($B369,'03-CP'!$C$5:$H$4646,3,0),""))</f>
        <v>UN</v>
      </c>
      <c r="F369" s="1715">
        <v>2</v>
      </c>
      <c r="G369" s="1244"/>
      <c r="H369" s="1244"/>
      <c r="I369" s="1409"/>
      <c r="J369" s="1734" t="s">
        <v>16387</v>
      </c>
      <c r="K369" s="262"/>
      <c r="L369" s="262"/>
    </row>
    <row r="370" spans="1:12" ht="28.5" outlineLevel="1">
      <c r="A370" s="247" t="s">
        <v>14113</v>
      </c>
      <c r="B370" s="386" t="s">
        <v>15052</v>
      </c>
      <c r="C370" s="386" t="s">
        <v>14472</v>
      </c>
      <c r="D370" s="1314" t="str">
        <f>IFERROR(VLOOKUP($B370,'24.08_ND'!$A$4833:$D$12369,2,0),IFERROR(VLOOKUP($B370,'03-CP'!$C$5:$H$4646,2,0),""))</f>
        <v>LIXEIRA EM AÇO INOX CROMADO - 80 LITROS</v>
      </c>
      <c r="E370" s="1315" t="str">
        <f>IFERROR(VLOOKUP($B370,'24.08_ND'!$A:$D,3,0),IFERROR(VLOOKUP($B370,'03-CP'!$C$5:$H$4646,3,0),""))</f>
        <v>UN</v>
      </c>
      <c r="F370" s="1715">
        <v>4</v>
      </c>
      <c r="G370" s="1244"/>
      <c r="H370" s="1244"/>
      <c r="I370" s="1409"/>
      <c r="J370" s="1734" t="s">
        <v>16387</v>
      </c>
      <c r="K370" s="262"/>
      <c r="L370" s="262"/>
    </row>
    <row r="371" spans="1:12" ht="28.5" outlineLevel="1">
      <c r="A371" s="247" t="s">
        <v>14114</v>
      </c>
      <c r="B371" s="386" t="s">
        <v>15055</v>
      </c>
      <c r="C371" s="386" t="s">
        <v>14472</v>
      </c>
      <c r="D371" s="1314" t="str">
        <f>IFERROR(VLOOKUP($B371,'24.08_ND'!$A$4833:$D$12369,2,0),IFERROR(VLOOKUP($B371,'03-CP'!$C$5:$H$4646,2,0),""))</f>
        <v>PAPELEIRA PLASTICA TIPO DISPENSER PARA PAPEL HIGIENICO ROLAO - FORNECIMENTO E INSTALAÇÃO</v>
      </c>
      <c r="E371" s="1315" t="str">
        <f>IFERROR(VLOOKUP($B371,'24.08_ND'!$A:$D,3,0),IFERROR(VLOOKUP($B371,'03-CP'!$C$5:$H$4646,3,0),""))</f>
        <v>UN</v>
      </c>
      <c r="F371" s="1715">
        <v>18</v>
      </c>
      <c r="G371" s="1244"/>
      <c r="H371" s="1244"/>
      <c r="I371" s="1409"/>
      <c r="J371" s="1734" t="s">
        <v>16387</v>
      </c>
      <c r="K371" s="262"/>
      <c r="L371" s="262"/>
    </row>
    <row r="372" spans="1:12" ht="28.5" outlineLevel="1">
      <c r="A372" s="247" t="s">
        <v>14115</v>
      </c>
      <c r="B372" s="386" t="s">
        <v>14952</v>
      </c>
      <c r="C372" s="386" t="s">
        <v>14472</v>
      </c>
      <c r="D372" s="1314" t="str">
        <f>IFERROR(VLOOKUP($B372,'24.08_ND'!$A$4833:$D$12369,2,0),IFERROR(VLOOKUP($B372,'03-CP'!$C$5:$H$4646,2,0),""))</f>
        <v>LIXEIRA EM AÇO INOX CROMADO ATÉ 12 LITROS</v>
      </c>
      <c r="E372" s="1315" t="str">
        <f>IFERROR(VLOOKUP($B372,'24.08_ND'!$A:$D,3,0),IFERROR(VLOOKUP($B372,'03-CP'!$C$5:$H$4646,3,0),""))</f>
        <v>UN</v>
      </c>
      <c r="F372" s="1715">
        <v>18</v>
      </c>
      <c r="G372" s="1244"/>
      <c r="H372" s="1244"/>
      <c r="I372" s="1409"/>
      <c r="J372" s="1734" t="s">
        <v>16387</v>
      </c>
      <c r="K372" s="262"/>
      <c r="L372" s="262"/>
    </row>
    <row r="373" spans="1:12" ht="28.5" outlineLevel="1">
      <c r="A373" s="247" t="s">
        <v>14116</v>
      </c>
      <c r="B373" s="386" t="s">
        <v>15057</v>
      </c>
      <c r="C373" s="386" t="s">
        <v>14472</v>
      </c>
      <c r="D373" s="1314" t="str">
        <f>IFERROR(VLOOKUP($B373,'24.08_ND'!$A$4833:$D$12369,2,0),IFERROR(VLOOKUP($B373,'03-CP'!$C$5:$H$4646,2,0),""))</f>
        <v>GRELHA QUADRADA CROMADA, 15 X 15 CM - FORNECIMENTO E INSTALAÇÃO</v>
      </c>
      <c r="E373" s="1315" t="str">
        <f>IFERROR(VLOOKUP($B373,'24.08_ND'!$A:$D,3,0),IFERROR(VLOOKUP($B373,'03-CP'!$C$5:$H$4646,3,0),""))</f>
        <v>UN</v>
      </c>
      <c r="F373" s="1715">
        <v>11</v>
      </c>
      <c r="G373" s="1244"/>
      <c r="H373" s="1244"/>
      <c r="I373" s="1409"/>
      <c r="J373" s="1734" t="s">
        <v>16387</v>
      </c>
      <c r="K373" s="262"/>
      <c r="L373" s="262"/>
    </row>
    <row r="374" spans="1:12" ht="12.75" hidden="1" outlineLevel="1">
      <c r="A374" s="247"/>
      <c r="B374" s="386"/>
      <c r="C374" s="386"/>
      <c r="D374" s="253"/>
      <c r="E374" s="1244"/>
      <c r="F374" s="389"/>
      <c r="G374" s="1244"/>
      <c r="H374" s="1244"/>
      <c r="I374" s="1409"/>
      <c r="J374" s="262"/>
      <c r="K374" s="262"/>
      <c r="L374" s="262"/>
    </row>
    <row r="375" spans="1:12" ht="25.5">
      <c r="A375" s="246" t="s">
        <v>14117</v>
      </c>
      <c r="B375" s="1378"/>
      <c r="C375" s="1378"/>
      <c r="D375" s="1379" t="s">
        <v>16301</v>
      </c>
      <c r="E375" s="1380"/>
      <c r="F375" s="1381"/>
      <c r="G375" s="1380"/>
      <c r="H375" s="1381"/>
      <c r="I375" s="1382"/>
      <c r="J375" s="262"/>
      <c r="K375" s="262"/>
      <c r="L375" s="262"/>
    </row>
    <row r="376" spans="1:12" ht="28.5" outlineLevel="1">
      <c r="A376" s="1385" t="s">
        <v>14118</v>
      </c>
      <c r="B376" s="295" t="s">
        <v>15070</v>
      </c>
      <c r="C376" s="295" t="s">
        <v>14472</v>
      </c>
      <c r="D376" s="658" t="str">
        <f>IFERROR(VLOOKUP($B376,'24.08_ND'!$A$4833:$D$12369,2,0),IFERROR(VLOOKUP($B376,'03-CP'!$C$5:$H$4646,2,0),""))</f>
        <v>PLACA DE SINALIZAÇÃO EM BRAILLE EM AÇO INOX,  DIMENSÕES 20X10 CM - FORNECIMENTO E INSTALAÇÃO</v>
      </c>
      <c r="E376" s="1318" t="str">
        <f>IFERROR(VLOOKUP($B376,'24.08_ND'!$A:$D,3,0),IFERROR(VLOOKUP($B376,'03-CP'!$C$5:$H$4646,3,0),""))</f>
        <v>UN</v>
      </c>
      <c r="F376" s="1671">
        <f>SUM(I378:I380)</f>
        <v>4</v>
      </c>
      <c r="G376" s="1387"/>
      <c r="H376" s="1387"/>
      <c r="I376" s="1388"/>
      <c r="J376" s="1734" t="s">
        <v>16387</v>
      </c>
      <c r="K376" s="262"/>
      <c r="L376" s="262"/>
    </row>
    <row r="377" spans="1:12" ht="12.75" hidden="1" outlineLevel="1">
      <c r="A377" s="247"/>
      <c r="B377" s="386"/>
      <c r="C377" s="386"/>
      <c r="D377" s="1435" t="s">
        <v>16404</v>
      </c>
      <c r="E377" s="1240" t="s">
        <v>16252</v>
      </c>
      <c r="F377" s="1425" t="s">
        <v>16232</v>
      </c>
      <c r="G377" s="1391" t="s">
        <v>16233</v>
      </c>
      <c r="H377" s="1240" t="s">
        <v>16234</v>
      </c>
      <c r="I377" s="1426" t="s">
        <v>12615</v>
      </c>
      <c r="J377" s="262"/>
      <c r="K377" s="262"/>
      <c r="L377" s="262"/>
    </row>
    <row r="378" spans="1:12" ht="12.75" hidden="1" outlineLevel="1">
      <c r="A378" s="247"/>
      <c r="B378" s="386"/>
      <c r="C378" s="386"/>
      <c r="D378" s="1418" t="s">
        <v>16507</v>
      </c>
      <c r="E378" s="1244"/>
      <c r="F378" s="389"/>
      <c r="G378" s="1244"/>
      <c r="H378" s="1244">
        <v>1</v>
      </c>
      <c r="I378" s="1409">
        <f>H378</f>
        <v>1</v>
      </c>
      <c r="J378" s="262"/>
      <c r="K378" s="262"/>
      <c r="L378" s="262"/>
    </row>
    <row r="379" spans="1:12" ht="12.75" hidden="1" outlineLevel="1">
      <c r="A379" s="247"/>
      <c r="B379" s="386"/>
      <c r="C379" s="386"/>
      <c r="D379" s="1418" t="s">
        <v>16503</v>
      </c>
      <c r="E379" s="1244"/>
      <c r="F379" s="389"/>
      <c r="G379" s="1244"/>
      <c r="H379" s="1244">
        <v>1</v>
      </c>
      <c r="I379" s="1409">
        <f>H379</f>
        <v>1</v>
      </c>
      <c r="J379" s="262"/>
      <c r="K379" s="262"/>
      <c r="L379" s="262"/>
    </row>
    <row r="380" spans="1:12" ht="12.75" hidden="1" outlineLevel="1">
      <c r="A380" s="247"/>
      <c r="B380" s="386"/>
      <c r="C380" s="386"/>
      <c r="D380" s="1422" t="s">
        <v>16537</v>
      </c>
      <c r="E380" s="1248"/>
      <c r="F380" s="1436"/>
      <c r="G380" s="1248"/>
      <c r="H380" s="1248">
        <v>2</v>
      </c>
      <c r="I380" s="1281">
        <f>H380</f>
        <v>2</v>
      </c>
      <c r="J380" s="262"/>
      <c r="K380" s="262"/>
      <c r="L380" s="262"/>
    </row>
    <row r="381" spans="1:12" ht="28.5" outlineLevel="1">
      <c r="A381" s="1385" t="s">
        <v>14119</v>
      </c>
      <c r="B381" s="295" t="s">
        <v>15072</v>
      </c>
      <c r="C381" s="295" t="s">
        <v>14472</v>
      </c>
      <c r="D381" s="658" t="str">
        <f>IFERROR(VLOOKUP($B381,'24.08_ND'!$A$4833:$D$12369,2,0),IFERROR(VLOOKUP($B381,'03-CP'!$C$5:$H$4646,2,0),""))</f>
        <v>PISO TÁTIL DE ALERTA EM INOX COLADO EM PISO - FORNECIMENTO E INSTALAÇÃO</v>
      </c>
      <c r="E381" s="1318" t="str">
        <f>IFERROR(VLOOKUP($B381,'24.08_ND'!$A:$D,3,0),IFERROR(VLOOKUP($B381,'03-CP'!$C$5:$H$4646,3,0),""))</f>
        <v>M</v>
      </c>
      <c r="F381" s="1671">
        <v>58</v>
      </c>
      <c r="G381" s="1387"/>
      <c r="H381" s="1387"/>
      <c r="I381" s="1388"/>
      <c r="J381" s="1734" t="s">
        <v>16387</v>
      </c>
      <c r="K381" s="262"/>
      <c r="L381" s="262"/>
    </row>
    <row r="382" spans="1:12" ht="28.5" outlineLevel="1">
      <c r="A382" s="1385" t="s">
        <v>14120</v>
      </c>
      <c r="B382" s="295" t="s">
        <v>15076</v>
      </c>
      <c r="C382" s="295" t="s">
        <v>14472</v>
      </c>
      <c r="D382" s="658" t="str">
        <f>IFERROR(VLOOKUP($B382,'24.08_ND'!$A$4833:$D$12369,2,0),IFERROR(VLOOKUP($B382,'03-CP'!$C$5:$H$4646,2,0),""))</f>
        <v>PISO TÁTIL DE DIRECIONAL EM INOX COLADO EM PISO  - FORNECIMENTO E INSTALAÇÃO</v>
      </c>
      <c r="E382" s="1318" t="str">
        <f>IFERROR(VLOOKUP($B382,'24.08_ND'!$A:$D,3,0),IFERROR(VLOOKUP($B382,'03-CP'!$C$5:$H$4646,3,0),""))</f>
        <v>M</v>
      </c>
      <c r="F382" s="1671">
        <v>18.5</v>
      </c>
      <c r="G382" s="1387"/>
      <c r="H382" s="1387"/>
      <c r="I382" s="1388"/>
      <c r="J382" s="1734" t="s">
        <v>16387</v>
      </c>
      <c r="K382" s="262"/>
      <c r="L382" s="262"/>
    </row>
    <row r="383" spans="1:12" ht="38.25" outlineLevel="1">
      <c r="A383" s="1385" t="s">
        <v>14121</v>
      </c>
      <c r="B383" s="295">
        <v>94995</v>
      </c>
      <c r="C383" s="295" t="s">
        <v>14476</v>
      </c>
      <c r="D383" s="658" t="str">
        <f>IFERROR(VLOOKUP($B383,'24.08_ND'!$A$4833:$D$12369,2,0),IFERROR(VLOOKUP($B383,'03-CP'!$C$5:$H$4646,2,0),""))</f>
        <v>EXECUÇÃO DE PASSEIO (CALÇADA) OU PISO DE CONCRETO COM CONCRETO MOLDADO IN LOCO, USINADO, ACABAMENTO CONVENCIONAL, ESPESSURA 8 CM, ARMADO. AF_08/2022</v>
      </c>
      <c r="E383" s="1318" t="str">
        <f>IFERROR(VLOOKUP($B383,'24.08_ND'!$A:$D,3,0),IFERROR(VLOOKUP($B383,'03-CP'!$C$5:$H$4646,3,0),""))</f>
        <v>M2</v>
      </c>
      <c r="F383" s="1583">
        <f>SUM(I385:I388)</f>
        <v>248.17</v>
      </c>
      <c r="G383" s="1387"/>
      <c r="H383" s="1387"/>
      <c r="I383" s="1388"/>
      <c r="J383" s="1734" t="s">
        <v>16387</v>
      </c>
      <c r="K383" s="262"/>
      <c r="L383" s="262"/>
    </row>
    <row r="384" spans="1:12" ht="12.75" hidden="1" outlineLevel="1">
      <c r="A384" s="1401"/>
      <c r="B384" s="386"/>
      <c r="C384" s="386"/>
      <c r="D384" s="1708" t="s">
        <v>16404</v>
      </c>
      <c r="E384" s="1698" t="s">
        <v>16233</v>
      </c>
      <c r="F384" s="1697" t="s">
        <v>16538</v>
      </c>
      <c r="G384" s="1698"/>
      <c r="H384" s="1696" t="s">
        <v>16234</v>
      </c>
      <c r="I384" s="1699" t="s">
        <v>12615</v>
      </c>
      <c r="J384" s="262"/>
      <c r="K384" s="262"/>
      <c r="L384" s="262"/>
    </row>
    <row r="385" spans="1:12" ht="12.75" hidden="1" outlineLevel="1">
      <c r="A385" s="247"/>
      <c r="B385" s="386"/>
      <c r="C385" s="386"/>
      <c r="D385" s="1709" t="s">
        <v>16502</v>
      </c>
      <c r="E385" s="1244">
        <v>40.56</v>
      </c>
      <c r="F385" s="389">
        <v>0.08</v>
      </c>
      <c r="G385" s="1244"/>
      <c r="H385" s="1244">
        <v>1</v>
      </c>
      <c r="I385" s="1409">
        <f>E385*H385</f>
        <v>40.56</v>
      </c>
      <c r="J385" s="262"/>
      <c r="K385" s="262"/>
      <c r="L385" s="262"/>
    </row>
    <row r="386" spans="1:12" ht="12.75" hidden="1" outlineLevel="1">
      <c r="A386" s="247"/>
      <c r="B386" s="386"/>
      <c r="C386" s="386"/>
      <c r="D386" s="1709" t="s">
        <v>16503</v>
      </c>
      <c r="E386" s="1244">
        <v>48.88</v>
      </c>
      <c r="F386" s="389">
        <v>0.08</v>
      </c>
      <c r="G386" s="1244"/>
      <c r="H386" s="1244">
        <v>1</v>
      </c>
      <c r="I386" s="1409">
        <f>E386*H386</f>
        <v>48.88</v>
      </c>
      <c r="J386" s="262"/>
      <c r="K386" s="262"/>
      <c r="L386" s="262"/>
    </row>
    <row r="387" spans="1:12" ht="12.75" hidden="1" outlineLevel="1">
      <c r="A387" s="247"/>
      <c r="B387" s="386"/>
      <c r="C387" s="386"/>
      <c r="D387" s="1709" t="s">
        <v>16555</v>
      </c>
      <c r="E387" s="1244">
        <v>15.6</v>
      </c>
      <c r="F387" s="389">
        <v>0.08</v>
      </c>
      <c r="G387" s="1244"/>
      <c r="H387" s="1244">
        <v>1</v>
      </c>
      <c r="I387" s="1409">
        <f>E387*H387</f>
        <v>15.6</v>
      </c>
      <c r="J387" s="262"/>
      <c r="K387" s="262"/>
      <c r="L387" s="262"/>
    </row>
    <row r="388" spans="1:12" ht="12.75" hidden="1" outlineLevel="1">
      <c r="A388" s="247"/>
      <c r="B388" s="386"/>
      <c r="C388" s="386"/>
      <c r="D388" s="1710" t="s">
        <v>16494</v>
      </c>
      <c r="E388" s="1711">
        <v>143.13</v>
      </c>
      <c r="F388" s="1712">
        <v>0.08</v>
      </c>
      <c r="G388" s="1711"/>
      <c r="H388" s="1711">
        <v>1</v>
      </c>
      <c r="I388" s="1713">
        <f>E388*H388</f>
        <v>143.13</v>
      </c>
      <c r="J388" s="262"/>
      <c r="K388" s="262"/>
      <c r="L388" s="262"/>
    </row>
    <row r="389" spans="1:12" ht="12.75" hidden="1" outlineLevel="1">
      <c r="A389" s="247"/>
      <c r="B389" s="386"/>
      <c r="C389" s="386"/>
      <c r="D389" s="253"/>
      <c r="E389" s="1244"/>
      <c r="F389" s="389"/>
      <c r="G389" s="1244"/>
      <c r="H389" s="1244"/>
      <c r="I389" s="1409"/>
      <c r="J389" s="262"/>
      <c r="K389" s="262"/>
      <c r="L389" s="262"/>
    </row>
    <row r="390" spans="1:12" ht="38.25" outlineLevel="1">
      <c r="A390" s="1385" t="s">
        <v>14122</v>
      </c>
      <c r="B390" s="295">
        <v>87299</v>
      </c>
      <c r="C390" s="295" t="s">
        <v>14476</v>
      </c>
      <c r="D390" s="658" t="str">
        <f>IFERROR(VLOOKUP($B390,'24.08_ND'!$A$4833:$D$12369,2,0),IFERROR(VLOOKUP($B390,'03-CP'!$C$5:$H$4646,2,0),""))</f>
        <v>ARGAMASSA TRAÇO 1:3 (EM VOLUME DE CIMENTO E AREIA MÉDIA ÚMIDA) PARA CONTRAPISO, PREPARO MECÂNICO COM BETONEIRA 600 L. AF_08/2019</v>
      </c>
      <c r="E390" s="1318" t="str">
        <f>IFERROR(VLOOKUP($B390,'24.08_ND'!$A:$D,3,0),IFERROR(VLOOKUP($B390,'03-CP'!$C$5:$H$4646,3,0),""))</f>
        <v>M3</v>
      </c>
      <c r="F390" s="1583">
        <f>SUM(I392:I397)</f>
        <v>7.0130999999999997</v>
      </c>
      <c r="G390" s="1387"/>
      <c r="H390" s="1387"/>
      <c r="I390" s="1388"/>
      <c r="J390" s="1734" t="s">
        <v>16387</v>
      </c>
      <c r="K390" s="262"/>
      <c r="L390" s="262"/>
    </row>
    <row r="391" spans="1:12" ht="12.75" hidden="1" outlineLevel="1">
      <c r="A391" s="1401"/>
      <c r="B391" s="386"/>
      <c r="C391" s="386"/>
      <c r="D391" s="1708" t="s">
        <v>16253</v>
      </c>
      <c r="E391" s="1698" t="s">
        <v>16233</v>
      </c>
      <c r="F391" s="1697" t="s">
        <v>16538</v>
      </c>
      <c r="G391" s="1698"/>
      <c r="H391" s="1696" t="s">
        <v>16234</v>
      </c>
      <c r="I391" s="1699" t="s">
        <v>12615</v>
      </c>
      <c r="J391" s="262"/>
      <c r="K391" s="262"/>
      <c r="L391" s="262"/>
    </row>
    <row r="392" spans="1:12" ht="12.75" hidden="1" outlineLevel="1">
      <c r="A392" s="247"/>
      <c r="B392" s="386"/>
      <c r="C392" s="386"/>
      <c r="D392" s="1709" t="s">
        <v>16502</v>
      </c>
      <c r="E392" s="1244">
        <v>35.47</v>
      </c>
      <c r="F392" s="389">
        <v>0.03</v>
      </c>
      <c r="G392" s="1244"/>
      <c r="H392" s="1244">
        <v>1</v>
      </c>
      <c r="I392" s="1409">
        <f t="shared" ref="I392:I397" si="10">E392*F392*H392</f>
        <v>1.0640999999999998</v>
      </c>
      <c r="J392" s="262"/>
      <c r="K392" s="262"/>
      <c r="L392" s="262"/>
    </row>
    <row r="393" spans="1:12" ht="12.75" hidden="1" outlineLevel="1">
      <c r="A393" s="247"/>
      <c r="B393" s="386"/>
      <c r="C393" s="386"/>
      <c r="D393" s="1709" t="s">
        <v>16503</v>
      </c>
      <c r="E393" s="1244">
        <v>43.33</v>
      </c>
      <c r="F393" s="389">
        <v>0.03</v>
      </c>
      <c r="G393" s="1244"/>
      <c r="H393" s="1244">
        <v>1</v>
      </c>
      <c r="I393" s="1409">
        <f t="shared" si="10"/>
        <v>1.2998999999999998</v>
      </c>
      <c r="J393" s="262"/>
      <c r="K393" s="262"/>
      <c r="L393" s="262"/>
    </row>
    <row r="394" spans="1:12" ht="12.75" hidden="1" outlineLevel="1">
      <c r="A394" s="247"/>
      <c r="B394" s="386"/>
      <c r="C394" s="386"/>
      <c r="D394" s="1709" t="s">
        <v>16504</v>
      </c>
      <c r="E394" s="1244">
        <v>3.35</v>
      </c>
      <c r="F394" s="389">
        <v>0.03</v>
      </c>
      <c r="G394" s="1244"/>
      <c r="H394" s="1244">
        <v>1</v>
      </c>
      <c r="I394" s="1409">
        <f t="shared" si="10"/>
        <v>0.10049999999999999</v>
      </c>
      <c r="J394" s="262"/>
      <c r="K394" s="262"/>
      <c r="L394" s="262"/>
    </row>
    <row r="395" spans="1:12" ht="12.75" hidden="1" outlineLevel="1">
      <c r="A395" s="247"/>
      <c r="B395" s="386"/>
      <c r="C395" s="386"/>
      <c r="D395" s="1709" t="s">
        <v>16505</v>
      </c>
      <c r="E395" s="1244">
        <v>3.35</v>
      </c>
      <c r="F395" s="389">
        <v>0.03</v>
      </c>
      <c r="G395" s="1244"/>
      <c r="H395" s="1244">
        <v>1</v>
      </c>
      <c r="I395" s="1409">
        <f t="shared" si="10"/>
        <v>0.10049999999999999</v>
      </c>
      <c r="J395" s="262"/>
      <c r="K395" s="262"/>
      <c r="L395" s="262"/>
    </row>
    <row r="396" spans="1:12" ht="12.75" hidden="1" outlineLevel="1">
      <c r="A396" s="247"/>
      <c r="B396" s="386"/>
      <c r="C396" s="386"/>
      <c r="D396" s="1709" t="s">
        <v>16506</v>
      </c>
      <c r="E396" s="1244">
        <v>5.14</v>
      </c>
      <c r="F396" s="389">
        <v>0.03</v>
      </c>
      <c r="G396" s="1244"/>
      <c r="H396" s="1244">
        <v>1</v>
      </c>
      <c r="I396" s="1409">
        <f t="shared" si="10"/>
        <v>0.15419999999999998</v>
      </c>
      <c r="J396" s="262"/>
      <c r="K396" s="262"/>
      <c r="L396" s="262"/>
    </row>
    <row r="397" spans="1:12" ht="12.75" hidden="1" outlineLevel="1">
      <c r="A397" s="247"/>
      <c r="B397" s="386"/>
      <c r="C397" s="386"/>
      <c r="D397" s="1710" t="s">
        <v>16494</v>
      </c>
      <c r="E397" s="1711">
        <v>143.13</v>
      </c>
      <c r="F397" s="1712">
        <v>0.03</v>
      </c>
      <c r="G397" s="1711"/>
      <c r="H397" s="1711">
        <v>1</v>
      </c>
      <c r="I397" s="1713">
        <f t="shared" si="10"/>
        <v>4.2938999999999998</v>
      </c>
      <c r="J397" s="262"/>
      <c r="K397" s="262"/>
      <c r="L397" s="262"/>
    </row>
    <row r="398" spans="1:12" ht="28.5" outlineLevel="1">
      <c r="A398" s="1385" t="s">
        <v>14123</v>
      </c>
      <c r="B398" s="295" t="s">
        <v>14962</v>
      </c>
      <c r="C398" s="295" t="s">
        <v>14472</v>
      </c>
      <c r="D398" s="658" t="str">
        <f>IFERROR(VLOOKUP($B398,'24.08_ND'!$A$4833:$D$12369,2,0),IFERROR(VLOOKUP($B398,'03-CP'!$C$5:$H$4646,2,0),""))</f>
        <v>PISO DRENANTE, ASSENTADO SOBRE BRITA Nº 2 (E= 15CM), E AREIA GROSSA (E= 5 CM) E CAMADA DE MANTA GEOTÊXTIL RT 10</v>
      </c>
      <c r="E398" s="1318" t="str">
        <f>IFERROR(VLOOKUP($B398,'24.08_ND'!$A:$D,3,0),IFERROR(VLOOKUP($B398,'03-CP'!$C$5:$H$4646,3,0),""))</f>
        <v>M2</v>
      </c>
      <c r="F398" s="1583">
        <f>SUM(I400)</f>
        <v>5.94</v>
      </c>
      <c r="G398" s="1387"/>
      <c r="H398" s="1387"/>
      <c r="I398" s="1388"/>
      <c r="J398" s="1734" t="s">
        <v>16387</v>
      </c>
      <c r="K398" s="262"/>
      <c r="L398" s="262"/>
    </row>
    <row r="399" spans="1:12" ht="12.75" hidden="1" outlineLevel="1">
      <c r="A399" s="1401"/>
      <c r="B399" s="512"/>
      <c r="C399" s="512"/>
      <c r="D399" s="1435" t="s">
        <v>16404</v>
      </c>
      <c r="E399" s="1240" t="s">
        <v>16252</v>
      </c>
      <c r="F399" s="1425" t="s">
        <v>16232</v>
      </c>
      <c r="G399" s="1391" t="s">
        <v>16233</v>
      </c>
      <c r="H399" s="1240" t="s">
        <v>16234</v>
      </c>
      <c r="I399" s="1426" t="s">
        <v>12615</v>
      </c>
      <c r="J399" s="262"/>
      <c r="K399" s="262"/>
      <c r="L399" s="262"/>
    </row>
    <row r="400" spans="1:12" ht="12.75" hidden="1" outlineLevel="1">
      <c r="A400" s="247"/>
      <c r="B400" s="386"/>
      <c r="C400" s="386"/>
      <c r="D400" s="1422" t="s">
        <v>16539</v>
      </c>
      <c r="E400" s="1248"/>
      <c r="F400" s="1436"/>
      <c r="G400" s="1248">
        <v>2.97</v>
      </c>
      <c r="H400" s="1248">
        <v>2</v>
      </c>
      <c r="I400" s="1281">
        <f>G400*H400</f>
        <v>5.94</v>
      </c>
      <c r="J400" s="262"/>
      <c r="K400" s="262"/>
      <c r="L400" s="262"/>
    </row>
    <row r="401" spans="1:12" ht="12.75" hidden="1">
      <c r="A401" s="247"/>
      <c r="B401" s="386"/>
      <c r="C401" s="386"/>
      <c r="D401" s="253"/>
      <c r="E401" s="1244"/>
      <c r="F401" s="389"/>
      <c r="G401" s="1244"/>
      <c r="H401" s="1244"/>
      <c r="I401" s="1409"/>
      <c r="J401" s="262"/>
      <c r="K401" s="262"/>
      <c r="L401" s="262"/>
    </row>
    <row r="402" spans="1:12" ht="12.75">
      <c r="A402" s="1298" t="s">
        <v>16309</v>
      </c>
      <c r="B402" s="1371"/>
      <c r="C402" s="1371"/>
      <c r="D402" s="1372"/>
      <c r="E402" s="1373"/>
      <c r="F402" s="1374"/>
      <c r="G402" s="1375"/>
      <c r="H402" s="1376"/>
      <c r="I402" s="1377"/>
      <c r="J402" s="262"/>
      <c r="K402" s="262"/>
      <c r="L402" s="262"/>
    </row>
    <row r="403" spans="1:12" ht="15.75">
      <c r="A403" s="238" t="s">
        <v>12650</v>
      </c>
      <c r="B403" s="1304"/>
      <c r="C403" s="1304"/>
      <c r="D403" s="1305" t="s">
        <v>16310</v>
      </c>
      <c r="E403" s="1306"/>
      <c r="F403" s="1307"/>
      <c r="G403" s="1307"/>
      <c r="H403" s="1586"/>
      <c r="I403" s="1496"/>
      <c r="J403" s="1758"/>
      <c r="K403" s="262"/>
      <c r="L403" s="262"/>
    </row>
    <row r="404" spans="1:12" ht="12.75">
      <c r="A404" s="250" t="s">
        <v>14124</v>
      </c>
      <c r="B404" s="1309"/>
      <c r="C404" s="1497"/>
      <c r="D404" s="1498" t="s">
        <v>16312</v>
      </c>
      <c r="E404" s="234"/>
      <c r="F404" s="1311"/>
      <c r="G404" s="236"/>
      <c r="H404" s="236"/>
      <c r="I404" s="1499"/>
      <c r="J404" s="1643" t="s">
        <v>16472</v>
      </c>
      <c r="K404" s="1296" t="s">
        <v>16560</v>
      </c>
      <c r="L404" s="1441"/>
    </row>
    <row r="405" spans="1:12" ht="38.25" outlineLevel="1">
      <c r="A405" s="247" t="s">
        <v>14125</v>
      </c>
      <c r="B405" s="386">
        <v>104001</v>
      </c>
      <c r="C405" s="386" t="s">
        <v>14476</v>
      </c>
      <c r="D405" s="1314" t="str">
        <f>IFERROR(VLOOKUP($B405,'24.08_ND'!$A$4833:$D$12369,2,0),IFERROR(VLOOKUP($B405,'03-CP'!$C$5:$H$4646,2,0),""))</f>
        <v>ADAPTADOR CURTO COM BOLSA E ROSCA PARA REGISTRO, PVC, SOLDÁVEL, DN 50MM X 1.1/2", INSTALADO EM RAMAL DE DISTRIBUIÇÃO DE ÁGUA - FORNECIMENTO E INSTALAÇÃO. AF_06/2022</v>
      </c>
      <c r="E405" s="1315" t="str">
        <f>IFERROR(VLOOKUP($B405,'24.08_ND'!$A:$D,3,0),IFERROR(VLOOKUP($B405,'03-CP'!$C$5:$H$4646,3,0),""))</f>
        <v>UN</v>
      </c>
      <c r="F405" s="389">
        <v>36</v>
      </c>
      <c r="G405" s="1244"/>
      <c r="H405" s="1244"/>
      <c r="I405" s="1409"/>
      <c r="J405" s="1644" t="s">
        <v>16316</v>
      </c>
      <c r="K405" s="262"/>
      <c r="L405" s="262"/>
    </row>
    <row r="406" spans="1:12" ht="38.25" outlineLevel="1">
      <c r="A406" s="247" t="s">
        <v>14126</v>
      </c>
      <c r="B406" s="386">
        <v>89383</v>
      </c>
      <c r="C406" s="386" t="s">
        <v>14476</v>
      </c>
      <c r="D406" s="1314" t="str">
        <f>IFERROR(VLOOKUP($B406,'24.08_ND'!$A$4833:$D$12369,2,0),IFERROR(VLOOKUP($B406,'03-CP'!$C$5:$H$4646,2,0),""))</f>
        <v>ADAPTADOR CURTO COM BOLSA E ROSCA PARA REGISTRO, PVC, SOLDÁVEL, DN 25MM X 3/4 , INSTALADO EM RAMAL OU SUB-RAMAL DE ÁGUA - FORNECIMENTO E INSTALAÇÃO. AF_06/2022</v>
      </c>
      <c r="E406" s="1315" t="str">
        <f>IFERROR(VLOOKUP($B406,'24.08_ND'!$A:$D,3,0),IFERROR(VLOOKUP($B406,'03-CP'!$C$5:$H$4646,3,0),""))</f>
        <v>UN</v>
      </c>
      <c r="F406" s="389">
        <v>6</v>
      </c>
      <c r="G406" s="1244"/>
      <c r="H406" s="1244"/>
      <c r="I406" s="1409"/>
      <c r="J406" s="1644" t="s">
        <v>16316</v>
      </c>
      <c r="K406" s="262"/>
      <c r="L406" s="262"/>
    </row>
    <row r="407" spans="1:12" ht="38.25" outlineLevel="1">
      <c r="A407" s="247" t="s">
        <v>14127</v>
      </c>
      <c r="B407" s="386">
        <v>105234</v>
      </c>
      <c r="C407" s="386" t="s">
        <v>14476</v>
      </c>
      <c r="D407" s="1314" t="str">
        <f>IFERROR(VLOOKUP($B407,'24.08_ND'!$A$4833:$D$12369,2,0),IFERROR(VLOOKUP($B407,'03-CP'!$C$5:$H$4646,2,0),""))</f>
        <v>BUCHA DE REDUÇÃO PVC, SOLDÁVEL, LONGA, DN 50 X 25 MM, INSTALADO EM RESERVAÇÃO PREDIAL DE ÁGUA - FORNECIMENTO E INSTALAÇÃO. AF_04/2024</v>
      </c>
      <c r="E407" s="1315" t="str">
        <f>IFERROR(VLOOKUP($B407,'24.08_ND'!$A:$D,3,0),IFERROR(VLOOKUP($B407,'03-CP'!$C$5:$H$4646,3,0),""))</f>
        <v>UN</v>
      </c>
      <c r="F407" s="389">
        <v>10</v>
      </c>
      <c r="G407" s="1244"/>
      <c r="H407" s="1244"/>
      <c r="I407" s="1409"/>
      <c r="J407" s="1644" t="s">
        <v>16316</v>
      </c>
      <c r="K407" s="262"/>
      <c r="L407" s="262"/>
    </row>
    <row r="408" spans="1:12" ht="38.25" outlineLevel="1">
      <c r="A408" s="247" t="s">
        <v>14128</v>
      </c>
      <c r="B408" s="386">
        <v>103948</v>
      </c>
      <c r="C408" s="386" t="s">
        <v>14476</v>
      </c>
      <c r="D408" s="1314" t="str">
        <f>IFERROR(VLOOKUP($B408,'24.08_ND'!$A$4833:$D$12369,2,0),IFERROR(VLOOKUP($B408,'03-CP'!$C$5:$H$4646,2,0),""))</f>
        <v>BUCHA DE REDUÇÃO, CURTA, PVC, SOLDÁVEL, DN 32 X 25 MM, INSTALADO EM RAMAL OU SUB-RAMAL DE ÁGUA - FORNECIMENTO E INSTALAÇÃO. AF_06/2022</v>
      </c>
      <c r="E408" s="1315" t="str">
        <f>IFERROR(VLOOKUP($B408,'24.08_ND'!$A:$D,3,0),IFERROR(VLOOKUP($B408,'03-CP'!$C$5:$H$4646,3,0),""))</f>
        <v>UN</v>
      </c>
      <c r="F408" s="389">
        <v>5</v>
      </c>
      <c r="G408" s="1244"/>
      <c r="H408" s="1244"/>
      <c r="I408" s="1409"/>
      <c r="J408" s="1644" t="s">
        <v>16316</v>
      </c>
      <c r="K408" s="262"/>
      <c r="L408" s="262"/>
    </row>
    <row r="409" spans="1:12" ht="25.5" outlineLevel="1">
      <c r="A409" s="247" t="s">
        <v>14129</v>
      </c>
      <c r="B409" s="386">
        <v>94683</v>
      </c>
      <c r="C409" s="386" t="s">
        <v>14476</v>
      </c>
      <c r="D409" s="1314" t="str">
        <f>IFERROR(VLOOKUP($B409,'24.08_ND'!$A$4833:$D$12369,2,0),IFERROR(VLOOKUP($B409,'03-CP'!$C$5:$H$4646,2,0),""))</f>
        <v>CURVA 90 GRAUS, PVC, SOLDÁVEL, DN 75 MM, INSTALADO EM RESERVAÇÃO PREDIAL DE ÁGUA - FORNECIMENTO E INSTALAÇÃO. AF_04/2024</v>
      </c>
      <c r="E409" s="1315" t="str">
        <f>IFERROR(VLOOKUP($B409,'24.08_ND'!$A:$D,3,0),IFERROR(VLOOKUP($B409,'03-CP'!$C$5:$H$4646,3,0),""))</f>
        <v>UN</v>
      </c>
      <c r="F409" s="389">
        <v>7</v>
      </c>
      <c r="G409" s="1244"/>
      <c r="H409" s="1244"/>
      <c r="I409" s="1409"/>
      <c r="J409" s="1644" t="s">
        <v>16316</v>
      </c>
      <c r="K409" s="262"/>
      <c r="L409" s="262"/>
    </row>
    <row r="410" spans="1:12" ht="25.5" outlineLevel="1">
      <c r="A410" s="247" t="s">
        <v>14130</v>
      </c>
      <c r="B410" s="386">
        <v>94679</v>
      </c>
      <c r="C410" s="386" t="s">
        <v>14476</v>
      </c>
      <c r="D410" s="1314" t="str">
        <f>IFERROR(VLOOKUP($B410,'24.08_ND'!$A$4833:$D$12369,2,0),IFERROR(VLOOKUP($B410,'03-CP'!$C$5:$H$4646,2,0),""))</f>
        <v>CURVA 90 GRAUS, PVC, SOLDÁVEL, DN 50 MM, INSTALADO EM RESERVAÇÃO PREDIAL DE ÁGUA - FORNECIMENTO E INSTALAÇÃO. AF_04/2024</v>
      </c>
      <c r="E410" s="1315" t="str">
        <f>IFERROR(VLOOKUP($B410,'24.08_ND'!$A:$D,3,0),IFERROR(VLOOKUP($B410,'03-CP'!$C$5:$H$4646,3,0),""))</f>
        <v>UN</v>
      </c>
      <c r="F410" s="389">
        <v>52</v>
      </c>
      <c r="G410" s="1244"/>
      <c r="H410" s="1244"/>
      <c r="I410" s="1409"/>
      <c r="J410" s="1644" t="s">
        <v>16316</v>
      </c>
      <c r="K410" s="262"/>
      <c r="L410" s="262"/>
    </row>
    <row r="411" spans="1:12" ht="25.5" outlineLevel="1">
      <c r="A411" s="247" t="s">
        <v>14131</v>
      </c>
      <c r="B411" s="386">
        <v>89369</v>
      </c>
      <c r="C411" s="386" t="s">
        <v>14476</v>
      </c>
      <c r="D411" s="1314" t="str">
        <f>IFERROR(VLOOKUP($B411,'24.08_ND'!$A$4833:$D$12369,2,0),IFERROR(VLOOKUP($B411,'03-CP'!$C$5:$H$4646,2,0),""))</f>
        <v>CURVA 90 GRAUS, PVC, SOLDÁVEL, DN 32MM, INSTALADO EM RAMAL OU SUB-RAMAL DE ÁGUA - FORNECIMENTO E INSTALAÇÃO. AF_06/2022</v>
      </c>
      <c r="E411" s="1315" t="str">
        <f>IFERROR(VLOOKUP($B411,'24.08_ND'!$A:$D,3,0),IFERROR(VLOOKUP($B411,'03-CP'!$C$5:$H$4646,3,0),""))</f>
        <v>UN</v>
      </c>
      <c r="F411" s="389">
        <v>9</v>
      </c>
      <c r="G411" s="1244"/>
      <c r="H411" s="1244"/>
      <c r="I411" s="1409"/>
      <c r="J411" s="1644" t="s">
        <v>16316</v>
      </c>
      <c r="K411" s="262"/>
      <c r="L411" s="262"/>
    </row>
    <row r="412" spans="1:12" ht="25.5" outlineLevel="1">
      <c r="A412" s="247" t="s">
        <v>14132</v>
      </c>
      <c r="B412" s="386">
        <v>89364</v>
      </c>
      <c r="C412" s="386" t="s">
        <v>14476</v>
      </c>
      <c r="D412" s="1314" t="str">
        <f>IFERROR(VLOOKUP($B412,'24.08_ND'!$A$4833:$D$12369,2,0),IFERROR(VLOOKUP($B412,'03-CP'!$C$5:$H$4646,2,0),""))</f>
        <v>CURVA 90 GRAUS, PVC, SOLDÁVEL, DN 25MM, INSTALADO EM RAMAL OU SUB-RAMAL DE ÁGUA - FORNECIMENTO E INSTALAÇÃO. AF_06/2022</v>
      </c>
      <c r="E412" s="1315" t="str">
        <f>IFERROR(VLOOKUP($B412,'24.08_ND'!$A:$D,3,0),IFERROR(VLOOKUP($B412,'03-CP'!$C$5:$H$4646,3,0),""))</f>
        <v>UN</v>
      </c>
      <c r="F412" s="389">
        <v>2</v>
      </c>
      <c r="G412" s="1244"/>
      <c r="H412" s="1244"/>
      <c r="I412" s="1409"/>
      <c r="J412" s="1644" t="s">
        <v>16316</v>
      </c>
      <c r="K412" s="262"/>
      <c r="L412" s="262"/>
    </row>
    <row r="413" spans="1:12" ht="38.25" outlineLevel="1">
      <c r="A413" s="247" t="s">
        <v>14133</v>
      </c>
      <c r="B413" s="386">
        <v>89430</v>
      </c>
      <c r="C413" s="386" t="s">
        <v>14476</v>
      </c>
      <c r="D413" s="1314" t="str">
        <f>IFERROR(VLOOKUP($B413,'24.08_ND'!$A$4833:$D$12369,2,0),IFERROR(VLOOKUP($B413,'03-CP'!$C$5:$H$4646,2,0),""))</f>
        <v>CURVA DE TRANSPOSIÇÃO, PVC, SOLDÁVEL, DN 25MM, INSTALADO EM RAMAL DE DISTRIBUIÇÃO DE ÁGUA   FORNECIMENTO E INSTALAÇÃO. AF_06/2022</v>
      </c>
      <c r="E413" s="1315" t="str">
        <f>IFERROR(VLOOKUP($B413,'24.08_ND'!$A:$D,3,0),IFERROR(VLOOKUP($B413,'03-CP'!$C$5:$H$4646,3,0),""))</f>
        <v>UN</v>
      </c>
      <c r="F413" s="389">
        <v>2</v>
      </c>
      <c r="G413" s="1244"/>
      <c r="H413" s="1244"/>
      <c r="I413" s="1409"/>
      <c r="J413" s="1644" t="s">
        <v>16316</v>
      </c>
      <c r="K413" s="262"/>
      <c r="L413" s="262"/>
    </row>
    <row r="414" spans="1:12" ht="25.5" outlineLevel="1">
      <c r="A414" s="247" t="s">
        <v>14134</v>
      </c>
      <c r="B414" s="386">
        <v>89363</v>
      </c>
      <c r="C414" s="386" t="s">
        <v>14476</v>
      </c>
      <c r="D414" s="1314" t="str">
        <f>IFERROR(VLOOKUP($B414,'24.08_ND'!$A$4833:$D$12369,2,0),IFERROR(VLOOKUP($B414,'03-CP'!$C$5:$H$4646,2,0),""))</f>
        <v>JOELHO 45 GRAUS, PVC, SOLDÁVEL, DN 25MM, INSTALADO EM RAMAL OU SUB-RAMAL DE ÁGUA - FORNECIMENTO E INSTALAÇÃO. AF_06/2022</v>
      </c>
      <c r="E414" s="1315" t="str">
        <f>IFERROR(VLOOKUP($B414,'24.08_ND'!$A:$D,3,0),IFERROR(VLOOKUP($B414,'03-CP'!$C$5:$H$4646,3,0),""))</f>
        <v>UN</v>
      </c>
      <c r="F414" s="389">
        <v>22</v>
      </c>
      <c r="G414" s="1244"/>
      <c r="H414" s="1244"/>
      <c r="I414" s="1409"/>
      <c r="J414" s="1644" t="s">
        <v>16316</v>
      </c>
      <c r="K414" s="262"/>
      <c r="L414" s="262"/>
    </row>
    <row r="415" spans="1:12" ht="25.5" outlineLevel="1">
      <c r="A415" s="247" t="s">
        <v>14135</v>
      </c>
      <c r="B415" s="386">
        <v>89368</v>
      </c>
      <c r="C415" s="386" t="s">
        <v>14476</v>
      </c>
      <c r="D415" s="1314" t="str">
        <f>IFERROR(VLOOKUP($B415,'24.08_ND'!$A$4833:$D$12369,2,0),IFERROR(VLOOKUP($B415,'03-CP'!$C$5:$H$4646,2,0),""))</f>
        <v>JOELHO 45 GRAUS, PVC, SOLDÁVEL, DN 32MM, INSTALADO EM RAMAL OU SUB-RAMAL DE ÁGUA - FORNECIMENTO E INSTALAÇÃO. AF_06/2022</v>
      </c>
      <c r="E415" s="1315" t="str">
        <f>IFERROR(VLOOKUP($B415,'24.08_ND'!$A:$D,3,0),IFERROR(VLOOKUP($B415,'03-CP'!$C$5:$H$4646,3,0),""))</f>
        <v>UN</v>
      </c>
      <c r="F415" s="389">
        <v>2</v>
      </c>
      <c r="G415" s="1244"/>
      <c r="H415" s="1244"/>
      <c r="I415" s="1409"/>
      <c r="J415" s="1644" t="s">
        <v>16316</v>
      </c>
      <c r="K415" s="262"/>
      <c r="L415" s="262"/>
    </row>
    <row r="416" spans="1:12" ht="25.5" outlineLevel="1">
      <c r="A416" s="247" t="s">
        <v>14136</v>
      </c>
      <c r="B416" s="386">
        <v>103985</v>
      </c>
      <c r="C416" s="386" t="s">
        <v>14476</v>
      </c>
      <c r="D416" s="1314" t="str">
        <f>IFERROR(VLOOKUP($B416,'24.08_ND'!$A$4833:$D$12369,2,0),IFERROR(VLOOKUP($B416,'03-CP'!$C$5:$H$4646,2,0),""))</f>
        <v>JOELHO 45 GRAUS, PVC, SOLDÁVEL, DN 50MM, INSTALADO EM RAMAL DE DISTRIBUIÇÃO DE ÁGUA - FORNECIMENTO E INSTALAÇÃO. AF_06/2022</v>
      </c>
      <c r="E416" s="1315" t="str">
        <f>IFERROR(VLOOKUP($B416,'24.08_ND'!$A:$D,3,0),IFERROR(VLOOKUP($B416,'03-CP'!$C$5:$H$4646,3,0),""))</f>
        <v>UN</v>
      </c>
      <c r="F416" s="389">
        <v>38</v>
      </c>
      <c r="G416" s="1244"/>
      <c r="H416" s="1244"/>
      <c r="I416" s="1409"/>
      <c r="J416" s="1644" t="s">
        <v>16316</v>
      </c>
      <c r="K416" s="262"/>
      <c r="L416" s="262"/>
    </row>
    <row r="417" spans="1:12" ht="25.5" outlineLevel="1">
      <c r="A417" s="247" t="s">
        <v>14137</v>
      </c>
      <c r="B417" s="386">
        <v>89367</v>
      </c>
      <c r="C417" s="386" t="s">
        <v>14476</v>
      </c>
      <c r="D417" s="1314" t="str">
        <f>IFERROR(VLOOKUP($B417,'24.08_ND'!$A$4833:$D$12369,2,0),IFERROR(VLOOKUP($B417,'03-CP'!$C$5:$H$4646,2,0),""))</f>
        <v>JOELHO 90 GRAUS, PVC, SOLDÁVEL, DN 32MM, INSTALADO EM RAMAL OU SUB-RAMAL DE ÁGUA - FORNECIMENTO E INSTALAÇÃO. AF_06/2022</v>
      </c>
      <c r="E417" s="1315" t="str">
        <f>IFERROR(VLOOKUP($B417,'24.08_ND'!$A:$D,3,0),IFERROR(VLOOKUP($B417,'03-CP'!$C$5:$H$4646,3,0),""))</f>
        <v>UN</v>
      </c>
      <c r="F417" s="389">
        <v>4</v>
      </c>
      <c r="G417" s="1244"/>
      <c r="H417" s="1244"/>
      <c r="I417" s="1409"/>
      <c r="J417" s="1644" t="s">
        <v>16316</v>
      </c>
      <c r="K417" s="262"/>
      <c r="L417" s="262"/>
    </row>
    <row r="418" spans="1:12" ht="38.25" outlineLevel="1">
      <c r="A418" s="247" t="s">
        <v>14138</v>
      </c>
      <c r="B418" s="386">
        <v>89366</v>
      </c>
      <c r="C418" s="386" t="s">
        <v>14476</v>
      </c>
      <c r="D418" s="1314" t="str">
        <f>IFERROR(VLOOKUP($B418,'24.08_ND'!$A$4833:$D$12369,2,0),IFERROR(VLOOKUP($B418,'03-CP'!$C$5:$H$4646,2,0),""))</f>
        <v>JOELHO 90 GRAUS COM BUCHA DE LATÃO, PVC, SOLDÁVEL, DN 25MM, X 3/4  INSTALADO EM RAMAL OU SUB-RAMAL DE ÁGUA - FORNECIMENTO E INSTALAÇÃO. AF_06/2022</v>
      </c>
      <c r="E418" s="1315" t="str">
        <f>IFERROR(VLOOKUP($B418,'24.08_ND'!$A:$D,3,0),IFERROR(VLOOKUP($B418,'03-CP'!$C$5:$H$4646,3,0),""))</f>
        <v>UN</v>
      </c>
      <c r="F418" s="389">
        <v>25</v>
      </c>
      <c r="G418" s="1244"/>
      <c r="H418" s="1244"/>
      <c r="I418" s="1409"/>
      <c r="J418" s="1644" t="s">
        <v>16316</v>
      </c>
      <c r="K418" s="262"/>
      <c r="L418" s="262"/>
    </row>
    <row r="419" spans="1:12" ht="38.25" outlineLevel="1">
      <c r="A419" s="247" t="s">
        <v>14139</v>
      </c>
      <c r="B419" s="386">
        <v>89381</v>
      </c>
      <c r="C419" s="386" t="s">
        <v>14476</v>
      </c>
      <c r="D419" s="1314" t="str">
        <f>IFERROR(VLOOKUP($B419,'24.08_ND'!$A$4833:$D$12369,2,0),IFERROR(VLOOKUP($B419,'03-CP'!$C$5:$H$4646,2,0),""))</f>
        <v>LUVA COM BUCHA DE LATÃO, PVC, SOLDÁVEL, DN 25MM X 3/4 , INSTALADO EM RAMAL OU SUB-RAMAL DE ÁGUA - FORNECIMENTO E INSTALAÇÃO. AF_06/2022</v>
      </c>
      <c r="E419" s="1315" t="str">
        <f>IFERROR(VLOOKUP($B419,'24.08_ND'!$A:$D,3,0),IFERROR(VLOOKUP($B419,'03-CP'!$C$5:$H$4646,3,0),""))</f>
        <v>UN</v>
      </c>
      <c r="F419" s="389">
        <v>18</v>
      </c>
      <c r="G419" s="1244"/>
      <c r="H419" s="1244"/>
      <c r="I419" s="1409"/>
      <c r="J419" s="1644" t="s">
        <v>16316</v>
      </c>
      <c r="K419" s="262"/>
      <c r="L419" s="262"/>
    </row>
    <row r="420" spans="1:12" ht="25.5" outlineLevel="1">
      <c r="A420" s="247" t="s">
        <v>14140</v>
      </c>
      <c r="B420" s="386">
        <v>94697</v>
      </c>
      <c r="C420" s="386" t="s">
        <v>14476</v>
      </c>
      <c r="D420" s="1314" t="str">
        <f>IFERROR(VLOOKUP($B420,'24.08_ND'!$A$4833:$D$12369,2,0),IFERROR(VLOOKUP($B420,'03-CP'!$C$5:$H$4646,2,0),""))</f>
        <v>TÊ, PVC, SOLDÁVEL, DN 75 MM INSTALADO EM RESERVAÇÃO PREDIAL DE ÁGUA - FORNECIMENTO E INSTALAÇÃO. AF_04/2024</v>
      </c>
      <c r="E420" s="1315" t="str">
        <f>IFERROR(VLOOKUP($B420,'24.08_ND'!$A:$D,3,0),IFERROR(VLOOKUP($B420,'03-CP'!$C$5:$H$4646,3,0),""))</f>
        <v>UN</v>
      </c>
      <c r="F420" s="389">
        <v>4</v>
      </c>
      <c r="G420" s="1244"/>
      <c r="H420" s="1244"/>
      <c r="I420" s="1409"/>
      <c r="J420" s="1644" t="s">
        <v>16316</v>
      </c>
      <c r="K420" s="262"/>
      <c r="L420" s="262"/>
    </row>
    <row r="421" spans="1:12" ht="25.5" outlineLevel="1">
      <c r="A421" s="247" t="s">
        <v>14141</v>
      </c>
      <c r="B421" s="386">
        <v>104004</v>
      </c>
      <c r="C421" s="386" t="s">
        <v>14476</v>
      </c>
      <c r="D421" s="1314" t="str">
        <f>IFERROR(VLOOKUP($B421,'24.08_ND'!$A$4833:$D$12369,2,0),IFERROR(VLOOKUP($B421,'03-CP'!$C$5:$H$4646,2,0),""))</f>
        <v>TE, PVC, SOLDÁVEL, DN 50MM, INSTALADO EM RAMAL DE DISTRIBUIÇÃO DE ÁGUA - FORNECIMENTO E INSTALAÇÃO. AF_06/2022</v>
      </c>
      <c r="E421" s="1315" t="str">
        <f>IFERROR(VLOOKUP($B421,'24.08_ND'!$A:$D,3,0),IFERROR(VLOOKUP($B421,'03-CP'!$C$5:$H$4646,3,0),""))</f>
        <v>UN</v>
      </c>
      <c r="F421" s="389">
        <v>21</v>
      </c>
      <c r="G421" s="1244"/>
      <c r="H421" s="1244"/>
      <c r="I421" s="1409"/>
      <c r="J421" s="1644" t="s">
        <v>16316</v>
      </c>
      <c r="K421" s="262"/>
      <c r="L421" s="262"/>
    </row>
    <row r="422" spans="1:12" ht="25.5" outlineLevel="1">
      <c r="A422" s="247" t="s">
        <v>14142</v>
      </c>
      <c r="B422" s="386">
        <v>94663</v>
      </c>
      <c r="C422" s="386" t="s">
        <v>14476</v>
      </c>
      <c r="D422" s="1314" t="str">
        <f>IFERROR(VLOOKUP($B422,'24.08_ND'!$A$4833:$D$12369,2,0),IFERROR(VLOOKUP($B422,'03-CP'!$C$5:$H$4646,2,0),""))</f>
        <v>LUVA, PVC, SOLDÁVEL, DN 50 MM, INSTALADO EM RESERVAÇÃO PREDIAL DE ÁGUA - FORNECIMENTO E INSTALAÇÃO. AF_04/2024</v>
      </c>
      <c r="E422" s="1315" t="str">
        <f>IFERROR(VLOOKUP($B422,'24.08_ND'!$A:$D,3,0),IFERROR(VLOOKUP($B422,'03-CP'!$C$5:$H$4646,3,0),""))</f>
        <v>UN</v>
      </c>
      <c r="F422" s="389">
        <v>13</v>
      </c>
      <c r="G422" s="1244"/>
      <c r="H422" s="1244"/>
      <c r="I422" s="1409"/>
      <c r="J422" s="1644" t="s">
        <v>16316</v>
      </c>
      <c r="K422" s="262"/>
      <c r="L422" s="262"/>
    </row>
    <row r="423" spans="1:12" ht="25.5" outlineLevel="1">
      <c r="A423" s="247" t="s">
        <v>14143</v>
      </c>
      <c r="B423" s="386">
        <v>89443</v>
      </c>
      <c r="C423" s="386" t="s">
        <v>14476</v>
      </c>
      <c r="D423" s="1314" t="str">
        <f>IFERROR(VLOOKUP($B423,'24.08_ND'!$A$4833:$D$12369,2,0),IFERROR(VLOOKUP($B423,'03-CP'!$C$5:$H$4646,2,0),""))</f>
        <v>TE, PVC, SOLDÁVEL, DN 32MM, INSTALADO EM RAMAL DE DISTRIBUIÇÃO DE ÁGUA - FORNECIMENTO E INSTALAÇÃO. AF_06/2022</v>
      </c>
      <c r="E423" s="1315" t="str">
        <f>IFERROR(VLOOKUP($B423,'24.08_ND'!$A:$D,3,0),IFERROR(VLOOKUP($B423,'03-CP'!$C$5:$H$4646,3,0),""))</f>
        <v>UN</v>
      </c>
      <c r="F423" s="389">
        <v>5</v>
      </c>
      <c r="G423" s="1244"/>
      <c r="H423" s="1244"/>
      <c r="I423" s="1409"/>
      <c r="J423" s="1644" t="s">
        <v>16316</v>
      </c>
      <c r="K423" s="262"/>
      <c r="L423" s="262"/>
    </row>
    <row r="424" spans="1:12" ht="25.5" outlineLevel="1">
      <c r="A424" s="247" t="s">
        <v>14144</v>
      </c>
      <c r="B424" s="386">
        <v>89395</v>
      </c>
      <c r="C424" s="386" t="s">
        <v>14476</v>
      </c>
      <c r="D424" s="1314" t="str">
        <f>IFERROR(VLOOKUP($B424,'24.08_ND'!$A$4833:$D$12369,2,0),IFERROR(VLOOKUP($B424,'03-CP'!$C$5:$H$4646,2,0),""))</f>
        <v>TE, PVC, SOLDÁVEL, DN 25MM, INSTALADO EM RAMAL OU SUB-RAMAL DE ÁGUA - FORNECIMENTO E INSTALAÇÃO. AF_06/2022</v>
      </c>
      <c r="E424" s="1315" t="str">
        <f>IFERROR(VLOOKUP($B424,'24.08_ND'!$A:$D,3,0),IFERROR(VLOOKUP($B424,'03-CP'!$C$5:$H$4646,3,0),""))</f>
        <v>UN</v>
      </c>
      <c r="F424" s="389">
        <v>23</v>
      </c>
      <c r="G424" s="1244"/>
      <c r="H424" s="1244"/>
      <c r="I424" s="1409"/>
      <c r="J424" s="1644" t="s">
        <v>16316</v>
      </c>
      <c r="K424" s="262"/>
      <c r="L424" s="262"/>
    </row>
    <row r="425" spans="1:12" ht="25.5" outlineLevel="1">
      <c r="A425" s="247" t="s">
        <v>14145</v>
      </c>
      <c r="B425" s="386">
        <v>89630</v>
      </c>
      <c r="C425" s="386" t="s">
        <v>14476</v>
      </c>
      <c r="D425" s="1314" t="str">
        <f>IFERROR(VLOOKUP($B425,'24.08_ND'!$A$4833:$D$12369,2,0),IFERROR(VLOOKUP($B425,'03-CP'!$C$5:$H$4646,2,0),""))</f>
        <v>TE DE REDUÇÃO, PVC, SOLDÁVEL, DN 75MM X 50MM, INSTALADO EM PRUMADA DE ÁGUA - FORNECIMENTO E INSTALAÇÃO. AF_06/2022</v>
      </c>
      <c r="E425" s="1315" t="str">
        <f>IFERROR(VLOOKUP($B425,'24.08_ND'!$A:$D,3,0),IFERROR(VLOOKUP($B425,'03-CP'!$C$5:$H$4646,3,0),""))</f>
        <v>UN</v>
      </c>
      <c r="F425" s="389">
        <v>10</v>
      </c>
      <c r="G425" s="1244"/>
      <c r="H425" s="1244"/>
      <c r="I425" s="1409"/>
      <c r="J425" s="1644" t="s">
        <v>16316</v>
      </c>
      <c r="K425" s="262"/>
      <c r="L425" s="262"/>
    </row>
    <row r="426" spans="1:12" ht="38.25" outlineLevel="1">
      <c r="A426" s="247" t="s">
        <v>14146</v>
      </c>
      <c r="B426" s="386">
        <v>94794</v>
      </c>
      <c r="C426" s="386" t="s">
        <v>14476</v>
      </c>
      <c r="D426" s="1314" t="str">
        <f>IFERROR(VLOOKUP($B426,'24.08_ND'!$A$4833:$D$12369,2,0),IFERROR(VLOOKUP($B426,'03-CP'!$C$5:$H$4646,2,0),""))</f>
        <v>REGISTRO DE GAVETA BRUTO, LATÃO, ROSCÁVEL, 1 1/2", COM ACABAMENTO E CANOPLA CROMADOS - FORNECIMENTO E INSTALAÇÃO. AF_08/2021</v>
      </c>
      <c r="E426" s="1315" t="str">
        <f>IFERROR(VLOOKUP($B426,'24.08_ND'!$A:$D,3,0),IFERROR(VLOOKUP($B426,'03-CP'!$C$5:$H$4646,3,0),""))</f>
        <v>UN</v>
      </c>
      <c r="F426" s="389">
        <v>18</v>
      </c>
      <c r="G426" s="1244"/>
      <c r="H426" s="1244"/>
      <c r="I426" s="1409"/>
      <c r="J426" s="1644" t="s">
        <v>16316</v>
      </c>
      <c r="K426" s="262"/>
      <c r="L426" s="262"/>
    </row>
    <row r="427" spans="1:12" ht="25.5" outlineLevel="1">
      <c r="A427" s="247" t="s">
        <v>14147</v>
      </c>
      <c r="B427" s="386">
        <v>89987</v>
      </c>
      <c r="C427" s="386" t="s">
        <v>14476</v>
      </c>
      <c r="D427" s="1314" t="str">
        <f>IFERROR(VLOOKUP($B427,'24.08_ND'!$A$4833:$D$12369,2,0),IFERROR(VLOOKUP($B427,'03-CP'!$C$5:$H$4646,2,0),""))</f>
        <v>REGISTRO DE GAVETA BRUTO, LATÃO, ROSCÁVEL, 3/4", COM ACABAMENTO E CANOPLA CROMADOS - FORNECIMENTO E INSTALAÇÃO. AF_08/2021</v>
      </c>
      <c r="E427" s="1315" t="str">
        <f>IFERROR(VLOOKUP($B427,'24.08_ND'!$A:$D,3,0),IFERROR(VLOOKUP($B427,'03-CP'!$C$5:$H$4646,3,0),""))</f>
        <v>UN</v>
      </c>
      <c r="F427" s="389">
        <v>9</v>
      </c>
      <c r="G427" s="1244"/>
      <c r="H427" s="1244"/>
      <c r="I427" s="1409"/>
      <c r="J427" s="1644" t="s">
        <v>16316</v>
      </c>
      <c r="K427" s="262"/>
      <c r="L427" s="262"/>
    </row>
    <row r="428" spans="1:12" ht="12.75" outlineLevel="1">
      <c r="A428" s="247" t="s">
        <v>14148</v>
      </c>
      <c r="B428" s="386" t="s">
        <v>15445</v>
      </c>
      <c r="C428" s="386" t="s">
        <v>14472</v>
      </c>
      <c r="D428" s="1314" t="str">
        <f>IFERROR(VLOOKUP($B428,'24.08_ND'!$A$4833:$D$12369,2,0),IFERROR(VLOOKUP($B428,'03-CP'!$C$5:$H$4646,2,0),""))</f>
        <v>NIPLE DUPLO 3/4'' - FORNECIMENTO E INSTALAÇÃO</v>
      </c>
      <c r="E428" s="1315" t="str">
        <f>IFERROR(VLOOKUP($B428,'24.08_ND'!$A:$D,3,0),IFERROR(VLOOKUP($B428,'03-CP'!$C$5:$H$4646,3,0),""))</f>
        <v>UN</v>
      </c>
      <c r="F428" s="389">
        <v>18</v>
      </c>
      <c r="G428" s="1244"/>
      <c r="H428" s="1244"/>
      <c r="I428" s="1409"/>
      <c r="J428" s="1644" t="s">
        <v>16316</v>
      </c>
      <c r="K428" s="262"/>
      <c r="L428" s="262"/>
    </row>
    <row r="429" spans="1:12" ht="25.5" outlineLevel="1">
      <c r="A429" s="247" t="s">
        <v>14149</v>
      </c>
      <c r="B429" s="386">
        <v>94492</v>
      </c>
      <c r="C429" s="386" t="s">
        <v>14476</v>
      </c>
      <c r="D429" s="1314" t="str">
        <f>IFERROR(VLOOKUP($B429,'24.08_ND'!$A$4833:$D$12369,2,0),IFERROR(VLOOKUP($B429,'03-CP'!$C$5:$H$4646,2,0),""))</f>
        <v>REGISTRO DE ESFERA, PVC, SOLDÁVEL, COM VOLANTE, DN  50 MM - FORNECIMENTO E INSTALAÇÃO. AF_08/2021</v>
      </c>
      <c r="E429" s="1315" t="str">
        <f>IFERROR(VLOOKUP($B429,'24.08_ND'!$A:$D,3,0),IFERROR(VLOOKUP($B429,'03-CP'!$C$5:$H$4646,3,0),""))</f>
        <v>UN</v>
      </c>
      <c r="F429" s="389">
        <v>3</v>
      </c>
      <c r="G429" s="1244"/>
      <c r="H429" s="1244"/>
      <c r="I429" s="1409"/>
      <c r="J429" s="1644" t="s">
        <v>16316</v>
      </c>
      <c r="K429" s="262"/>
      <c r="L429" s="262"/>
    </row>
    <row r="430" spans="1:12" ht="25.5" outlineLevel="1">
      <c r="A430" s="247" t="s">
        <v>14150</v>
      </c>
      <c r="B430" s="386">
        <v>94490</v>
      </c>
      <c r="C430" s="386" t="s">
        <v>14476</v>
      </c>
      <c r="D430" s="1314" t="str">
        <f>IFERROR(VLOOKUP($B430,'24.08_ND'!$A$4833:$D$12369,2,0),IFERROR(VLOOKUP($B430,'03-CP'!$C$5:$H$4646,2,0),""))</f>
        <v>REGISTRO DE ESFERA, PVC, SOLDÁVEL, COM VOLANTE, DN  32 MM - FORNECIMENTO E INSTALAÇÃO. AF_08/2021</v>
      </c>
      <c r="E430" s="1315" t="str">
        <f>IFERROR(VLOOKUP($B430,'24.08_ND'!$A:$D,3,0),IFERROR(VLOOKUP($B430,'03-CP'!$C$5:$H$4646,3,0),""))</f>
        <v>UN</v>
      </c>
      <c r="F430" s="389">
        <v>3</v>
      </c>
      <c r="G430" s="1244"/>
      <c r="H430" s="1244"/>
      <c r="I430" s="1409"/>
      <c r="J430" s="1644" t="s">
        <v>16316</v>
      </c>
      <c r="K430" s="262"/>
      <c r="L430" s="262"/>
    </row>
    <row r="431" spans="1:12" ht="25.5" outlineLevel="1">
      <c r="A431" s="247" t="s">
        <v>14151</v>
      </c>
      <c r="B431" s="386">
        <v>94499</v>
      </c>
      <c r="C431" s="386" t="s">
        <v>14476</v>
      </c>
      <c r="D431" s="1314" t="str">
        <f>IFERROR(VLOOKUP($B431,'24.08_ND'!$A$4833:$D$12369,2,0),IFERROR(VLOOKUP($B431,'03-CP'!$C$5:$H$4646,2,0),""))</f>
        <v>REGISTRO DE GAVETA BRUTO, LATÃO, ROSCÁVEL, 2 1/2" - FORNECIMENTO E INSTALAÇÃO. AF_08/2021</v>
      </c>
      <c r="E431" s="1315" t="str">
        <f>IFERROR(VLOOKUP($B431,'24.08_ND'!$A:$D,3,0),IFERROR(VLOOKUP($B431,'03-CP'!$C$5:$H$4646,3,0),""))</f>
        <v>UN</v>
      </c>
      <c r="F431" s="389">
        <v>2</v>
      </c>
      <c r="G431" s="1244"/>
      <c r="H431" s="1244"/>
      <c r="I431" s="1409"/>
      <c r="J431" s="1644" t="s">
        <v>16316</v>
      </c>
      <c r="K431" s="262"/>
      <c r="L431" s="262"/>
    </row>
    <row r="432" spans="1:12" ht="25.5" outlineLevel="1">
      <c r="A432" s="247" t="s">
        <v>14152</v>
      </c>
      <c r="B432" s="386">
        <v>95249</v>
      </c>
      <c r="C432" s="386" t="s">
        <v>14476</v>
      </c>
      <c r="D432" s="1314" t="str">
        <f>IFERROR(VLOOKUP($B432,'24.08_ND'!$A$4833:$D$12369,2,0),IFERROR(VLOOKUP($B432,'03-CP'!$C$5:$H$4646,2,0),""))</f>
        <v>VÁLVULA DE ESFERA BRUTA, BRONZE, ROSCÁVEL, 3/4'' - FORNECIMENTO E INSTALAÇÃO. AF_08/2021</v>
      </c>
      <c r="E432" s="1315" t="str">
        <f>IFERROR(VLOOKUP($B432,'24.08_ND'!$A:$D,3,0),IFERROR(VLOOKUP($B432,'03-CP'!$C$5:$H$4646,3,0),""))</f>
        <v>UN</v>
      </c>
      <c r="F432" s="389">
        <v>3</v>
      </c>
      <c r="G432" s="1244"/>
      <c r="H432" s="1244"/>
      <c r="I432" s="1409"/>
      <c r="J432" s="1644" t="s">
        <v>16316</v>
      </c>
      <c r="K432" s="262"/>
      <c r="L432" s="262"/>
    </row>
    <row r="433" spans="1:12" ht="12.75" outlineLevel="1">
      <c r="A433" s="247" t="s">
        <v>14153</v>
      </c>
      <c r="B433" s="386" t="s">
        <v>15410</v>
      </c>
      <c r="C433" s="386" t="s">
        <v>14472</v>
      </c>
      <c r="D433" s="1314" t="str">
        <f>IFERROR(VLOOKUP($B433,'24.08_ND'!$A$4833:$D$12369,2,0),IFERROR(VLOOKUP($B433,'03-CP'!$C$5:$H$4646,2,0),""))</f>
        <v xml:space="preserve">VALVULA DE DESCARGA HIDRA - BASE 1.1/2" </v>
      </c>
      <c r="E433" s="1315" t="str">
        <f>IFERROR(VLOOKUP($B433,'24.08_ND'!$A:$D,3,0),IFERROR(VLOOKUP($B433,'03-CP'!$C$5:$H$4646,3,0),""))</f>
        <v>UN</v>
      </c>
      <c r="F433" s="389">
        <v>18</v>
      </c>
      <c r="G433" s="1244"/>
      <c r="H433" s="1244"/>
      <c r="I433" s="1409"/>
      <c r="J433" s="1644" t="s">
        <v>16316</v>
      </c>
      <c r="K433" s="262"/>
      <c r="L433" s="262"/>
    </row>
    <row r="434" spans="1:12" ht="25.5" outlineLevel="1">
      <c r="A434" s="247" t="s">
        <v>14154</v>
      </c>
      <c r="B434" s="386">
        <v>94653</v>
      </c>
      <c r="C434" s="386" t="s">
        <v>14476</v>
      </c>
      <c r="D434" s="1314" t="str">
        <f>IFERROR(VLOOKUP($B434,'24.08_ND'!$A$4833:$D$12369,2,0),IFERROR(VLOOKUP($B434,'03-CP'!$C$5:$H$4646,2,0),""))</f>
        <v>TUBO, PVC, SOLDÁVEL, DE 75MM, INSTALADO EM RESERVAÇÃO PREDIAL DE ÁGUA - FORNECIMENTO E INSTALAÇÃO. AF_04/2024</v>
      </c>
      <c r="E434" s="1315" t="str">
        <f>IFERROR(VLOOKUP($B434,'24.08_ND'!$A:$D,3,0),IFERROR(VLOOKUP($B434,'03-CP'!$C$5:$H$4646,3,0),""))</f>
        <v>M</v>
      </c>
      <c r="F434" s="389">
        <v>35</v>
      </c>
      <c r="G434" s="1244"/>
      <c r="H434" s="1244"/>
      <c r="I434" s="1409"/>
      <c r="J434" s="1644" t="s">
        <v>16316</v>
      </c>
      <c r="K434" s="262"/>
      <c r="L434" s="262"/>
    </row>
    <row r="435" spans="1:12" ht="25.5" outlineLevel="1">
      <c r="A435" s="247" t="s">
        <v>14155</v>
      </c>
      <c r="B435" s="386">
        <v>103979</v>
      </c>
      <c r="C435" s="386" t="s">
        <v>14476</v>
      </c>
      <c r="D435" s="1314" t="str">
        <f>IFERROR(VLOOKUP($B435,'24.08_ND'!$A$4833:$D$12369,2,0),IFERROR(VLOOKUP($B435,'03-CP'!$C$5:$H$4646,2,0),""))</f>
        <v>TUBO, PVC, SOLDÁVEL, DE 50MM, INSTALADO EM RAMAL DE DISTRIBUIÇÃO DE ÁGUA - FORNECIMENTO E INSTALAÇÃO. AF_06/2022</v>
      </c>
      <c r="E435" s="1315" t="str">
        <f>IFERROR(VLOOKUP($B435,'24.08_ND'!$A:$D,3,0),IFERROR(VLOOKUP($B435,'03-CP'!$C$5:$H$4646,3,0),""))</f>
        <v>M</v>
      </c>
      <c r="F435" s="389">
        <v>175</v>
      </c>
      <c r="G435" s="1244"/>
      <c r="H435" s="1244"/>
      <c r="I435" s="1409"/>
      <c r="J435" s="1644" t="s">
        <v>16316</v>
      </c>
      <c r="K435" s="262"/>
      <c r="L435" s="262"/>
    </row>
    <row r="436" spans="1:12" ht="25.5" outlineLevel="1">
      <c r="A436" s="247" t="s">
        <v>14156</v>
      </c>
      <c r="B436" s="386">
        <v>89403</v>
      </c>
      <c r="C436" s="386" t="s">
        <v>14476</v>
      </c>
      <c r="D436" s="1314" t="str">
        <f>IFERROR(VLOOKUP($B436,'24.08_ND'!$A$4833:$D$12369,2,0),IFERROR(VLOOKUP($B436,'03-CP'!$C$5:$H$4646,2,0),""))</f>
        <v>TUBO, PVC, SOLDÁVEL, DE 32MM, INSTALADO EM RAMAL DE DISTRIBUIÇÃO DE ÁGUA - FORNECIMENTO E INSTALAÇÃO. AF_06/2022</v>
      </c>
      <c r="E436" s="1315" t="str">
        <f>IFERROR(VLOOKUP($B436,'24.08_ND'!$A:$D,3,0),IFERROR(VLOOKUP($B436,'03-CP'!$C$5:$H$4646,3,0),""))</f>
        <v>M</v>
      </c>
      <c r="F436" s="389">
        <v>22</v>
      </c>
      <c r="G436" s="1244"/>
      <c r="H436" s="1244"/>
      <c r="I436" s="1409"/>
      <c r="J436" s="1644" t="s">
        <v>16316</v>
      </c>
      <c r="K436" s="262"/>
      <c r="L436" s="262"/>
    </row>
    <row r="437" spans="1:12" ht="25.5" outlineLevel="1">
      <c r="A437" s="247" t="s">
        <v>14157</v>
      </c>
      <c r="B437" s="386">
        <v>89402</v>
      </c>
      <c r="C437" s="386" t="s">
        <v>14476</v>
      </c>
      <c r="D437" s="1314" t="str">
        <f>IFERROR(VLOOKUP($B437,'24.08_ND'!$A$4833:$D$12369,2,0),IFERROR(VLOOKUP($B437,'03-CP'!$C$5:$H$4646,2,0),""))</f>
        <v>TUBO, PVC, SOLDÁVEL, DE 25MM, INSTALADO EM RAMAL DE DISTRIBUIÇÃO DE ÁGUA - FORNECIMENTO E INSTALAÇÃO. AF_06/2022</v>
      </c>
      <c r="E437" s="1315" t="str">
        <f>IFERROR(VLOOKUP($B437,'24.08_ND'!$A:$D,3,0),IFERROR(VLOOKUP($B437,'03-CP'!$C$5:$H$4646,3,0),""))</f>
        <v>M</v>
      </c>
      <c r="F437" s="389">
        <v>81</v>
      </c>
      <c r="G437" s="1244"/>
      <c r="H437" s="1244"/>
      <c r="I437" s="1409"/>
      <c r="J437" s="1644" t="s">
        <v>16316</v>
      </c>
      <c r="K437" s="262"/>
      <c r="L437" s="262"/>
    </row>
    <row r="438" spans="1:12" ht="51" outlineLevel="1">
      <c r="A438" s="247" t="s">
        <v>14158</v>
      </c>
      <c r="B438" s="386">
        <v>91174</v>
      </c>
      <c r="C438" s="386" t="s">
        <v>14476</v>
      </c>
      <c r="D438" s="1314" t="str">
        <f>IFERROR(VLOOKUP($B438,'24.08_ND'!$A$4833:$D$12369,2,0),IFERROR(VLOOKUP($B438,'03-CP'!$C$5:$H$4646,2,0),""))</f>
        <v>FIXAÇÃO DE TUBOS VERTICAIS DE PVC ÁGUA, PVC ESGOTO, PVC ÁGUA PLUVIAL, CPVC, PPR, COBRE OU AÇO, DIÂMETROS MAIORES QUE 40 MM E MENORES OU IGUAIS A 75 MM, COM ABRAÇADEIRA METÁLICA RÍGIDA TIPO U PERFIL 2 1/2", FIXADA EM PERFILADO EM PAREDE. AF_09/2023_PS</v>
      </c>
      <c r="E438" s="1315" t="str">
        <f>IFERROR(VLOOKUP($B438,'24.08_ND'!$A:$D,3,0),IFERROR(VLOOKUP($B438,'03-CP'!$C$5:$H$4646,3,0),""))</f>
        <v>M</v>
      </c>
      <c r="F438" s="389">
        <v>30</v>
      </c>
      <c r="G438" s="1244"/>
      <c r="H438" s="1244"/>
      <c r="I438" s="1409"/>
      <c r="J438" s="1644" t="s">
        <v>16316</v>
      </c>
      <c r="K438" s="262"/>
      <c r="L438" s="262"/>
    </row>
    <row r="439" spans="1:12" ht="25.5" outlineLevel="1">
      <c r="A439" s="247" t="s">
        <v>14159</v>
      </c>
      <c r="B439" s="386">
        <v>102609</v>
      </c>
      <c r="C439" s="386" t="s">
        <v>14476</v>
      </c>
      <c r="D439" s="1314" t="str">
        <f>IFERROR(VLOOKUP($B439,'24.08_ND'!$A$4833:$D$12369,2,0),IFERROR(VLOOKUP($B439,'03-CP'!$C$5:$H$4646,2,0),""))</f>
        <v>CAIXA D´ÁGUA EM POLIETILENO, 2000 LITROS - FORNECIMENTO E INSTALAÇÃO. AF_06/2021</v>
      </c>
      <c r="E439" s="1315" t="str">
        <f>IFERROR(VLOOKUP($B439,'24.08_ND'!$A:$D,3,0),IFERROR(VLOOKUP($B439,'03-CP'!$C$5:$H$4646,3,0),""))</f>
        <v>UN</v>
      </c>
      <c r="F439" s="389">
        <v>3</v>
      </c>
      <c r="G439" s="1244"/>
      <c r="H439" s="1244"/>
      <c r="I439" s="1409"/>
      <c r="J439" s="1644" t="s">
        <v>16316</v>
      </c>
      <c r="K439" s="262"/>
      <c r="L439" s="262"/>
    </row>
    <row r="440" spans="1:12" ht="38.25" outlineLevel="1">
      <c r="A440" s="247" t="s">
        <v>14160</v>
      </c>
      <c r="B440" s="386">
        <v>94703</v>
      </c>
      <c r="C440" s="386" t="s">
        <v>14476</v>
      </c>
      <c r="D440" s="1314" t="str">
        <f>IFERROR(VLOOKUP($B440,'24.08_ND'!$A$4833:$D$12369,2,0),IFERROR(VLOOKUP($B440,'03-CP'!$C$5:$H$4646,2,0),""))</f>
        <v>ADAPTADOR COM FLANGE E ANEL DE VEDAÇÃO, PVC, SOLDÁVEL, DN  25 MM X 3/4", INSTALADO EM RESERVAÇÃO PREDIAL DE ÁGUA - FORNECIMENTO E INSTALAÇÃO. AF_04/2024</v>
      </c>
      <c r="E440" s="1315" t="str">
        <f>IFERROR(VLOOKUP($B440,'24.08_ND'!$A:$D,3,0),IFERROR(VLOOKUP($B440,'03-CP'!$C$5:$H$4646,3,0),""))</f>
        <v>UN</v>
      </c>
      <c r="F440" s="389">
        <v>3</v>
      </c>
      <c r="G440" s="1244"/>
      <c r="H440" s="1244"/>
      <c r="I440" s="1409"/>
      <c r="J440" s="1644" t="s">
        <v>16316</v>
      </c>
      <c r="K440" s="262"/>
      <c r="L440" s="262"/>
    </row>
    <row r="441" spans="1:12" ht="38.25" outlineLevel="1">
      <c r="A441" s="247" t="s">
        <v>14161</v>
      </c>
      <c r="B441" s="386">
        <v>94704</v>
      </c>
      <c r="C441" s="386" t="s">
        <v>14476</v>
      </c>
      <c r="D441" s="1314" t="str">
        <f>IFERROR(VLOOKUP($B441,'24.08_ND'!$A$4833:$D$12369,2,0),IFERROR(VLOOKUP($B441,'03-CP'!$C$5:$H$4646,2,0),""))</f>
        <v>ADAPTADOR COM FLANGE E ANEL DE VEDAÇÃO, PVC, SOLDÁVEL, DN 32 MM X 1", INSTALADO EM RESERVAÇÃO PREDIAL DE ÁGUA - FORNECIMENTO E INSTALAÇÃO. AF_04/2024</v>
      </c>
      <c r="E441" s="1315" t="str">
        <f>IFERROR(VLOOKUP($B441,'24.08_ND'!$A:$D,3,0),IFERROR(VLOOKUP($B441,'03-CP'!$C$5:$H$4646,3,0),""))</f>
        <v>UN</v>
      </c>
      <c r="F441" s="389">
        <v>6</v>
      </c>
      <c r="G441" s="1244"/>
      <c r="H441" s="1244"/>
      <c r="I441" s="1409"/>
      <c r="J441" s="1644" t="s">
        <v>16316</v>
      </c>
      <c r="K441" s="262"/>
      <c r="L441" s="262"/>
    </row>
    <row r="442" spans="1:12" ht="38.25" outlineLevel="1">
      <c r="A442" s="247" t="s">
        <v>14162</v>
      </c>
      <c r="B442" s="386">
        <v>94706</v>
      </c>
      <c r="C442" s="386" t="s">
        <v>14476</v>
      </c>
      <c r="D442" s="1314" t="str">
        <f>IFERROR(VLOOKUP($B442,'24.08_ND'!$A$4833:$D$12369,2,0),IFERROR(VLOOKUP($B442,'03-CP'!$C$5:$H$4646,2,0),""))</f>
        <v>ADAPTADOR COM FLANGE E ANEL DE VEDAÇÃO, PVC, SOLDÁVEL, DN 50 MM X 1 1/2", INSTALADO EM RESERVAÇÃO PREDIAL DE ÁGUA - FORNECIMENTO E INSTALAÇÃO. AF_04/2024</v>
      </c>
      <c r="E442" s="1315" t="str">
        <f>IFERROR(VLOOKUP($B442,'24.08_ND'!$A:$D,3,0),IFERROR(VLOOKUP($B442,'03-CP'!$C$5:$H$4646,3,0),""))</f>
        <v>UN</v>
      </c>
      <c r="F442" s="389">
        <v>2</v>
      </c>
      <c r="G442" s="1244"/>
      <c r="H442" s="1244"/>
      <c r="I442" s="1409"/>
      <c r="J442" s="1644" t="s">
        <v>16316</v>
      </c>
      <c r="K442" s="262"/>
      <c r="L442" s="262"/>
    </row>
    <row r="443" spans="1:12" ht="38.25" outlineLevel="1">
      <c r="A443" s="247" t="s">
        <v>14163</v>
      </c>
      <c r="B443" s="386">
        <v>89381</v>
      </c>
      <c r="C443" s="386" t="s">
        <v>14476</v>
      </c>
      <c r="D443" s="1314" t="str">
        <f>IFERROR(VLOOKUP($B443,'24.08_ND'!$A$4833:$D$12369,2,0),IFERROR(VLOOKUP($B443,'03-CP'!$C$5:$H$4646,2,0),""))</f>
        <v>LUVA COM BUCHA DE LATÃO, PVC, SOLDÁVEL, DN 25MM X 3/4 , INSTALADO EM RAMAL OU SUB-RAMAL DE ÁGUA - FORNECIMENTO E INSTALAÇÃO. AF_06/2022</v>
      </c>
      <c r="E443" s="1315" t="str">
        <f>IFERROR(VLOOKUP($B443,'24.08_ND'!$A:$D,3,0),IFERROR(VLOOKUP($B443,'03-CP'!$C$5:$H$4646,3,0),""))</f>
        <v>UN</v>
      </c>
      <c r="F443" s="389">
        <v>2</v>
      </c>
      <c r="G443" s="1244"/>
      <c r="H443" s="1244"/>
      <c r="I443" s="1409"/>
      <c r="J443" s="1644" t="s">
        <v>16316</v>
      </c>
      <c r="K443" s="262"/>
      <c r="L443" s="262"/>
    </row>
    <row r="444" spans="1:12" ht="25.5" outlineLevel="1">
      <c r="A444" s="247" t="s">
        <v>14164</v>
      </c>
      <c r="B444" s="386">
        <v>94796</v>
      </c>
      <c r="C444" s="386" t="s">
        <v>14476</v>
      </c>
      <c r="D444" s="1314" t="str">
        <f>IFERROR(VLOOKUP($B444,'24.08_ND'!$A$4833:$D$12369,2,0),IFERROR(VLOOKUP($B444,'03-CP'!$C$5:$H$4646,2,0),""))</f>
        <v>TORNEIRA DE BOIA PARA CAIXA D'ÁGUA, ROSCÁVEL, 3/4" - FORNECIMENTO E INSTALAÇÃO. AF_08/2021</v>
      </c>
      <c r="E444" s="1315" t="str">
        <f>IFERROR(VLOOKUP($B444,'24.08_ND'!$A:$D,3,0),IFERROR(VLOOKUP($B444,'03-CP'!$C$5:$H$4646,3,0),""))</f>
        <v>UN</v>
      </c>
      <c r="F444" s="389">
        <v>3</v>
      </c>
      <c r="G444" s="1244"/>
      <c r="H444" s="1244"/>
      <c r="I444" s="1409"/>
      <c r="J444" s="1644" t="s">
        <v>16316</v>
      </c>
      <c r="K444" s="262"/>
      <c r="L444" s="262"/>
    </row>
    <row r="445" spans="1:12" ht="12.75">
      <c r="A445" s="250" t="s">
        <v>14165</v>
      </c>
      <c r="B445" s="1309"/>
      <c r="C445" s="1497"/>
      <c r="D445" s="1498" t="s">
        <v>16317</v>
      </c>
      <c r="E445" s="234"/>
      <c r="F445" s="1311"/>
      <c r="G445" s="236"/>
      <c r="H445" s="236"/>
      <c r="I445" s="1499"/>
      <c r="J445" s="262"/>
      <c r="K445" s="262"/>
      <c r="L445" s="262"/>
    </row>
    <row r="446" spans="1:12" ht="38.25" outlineLevel="1">
      <c r="A446" s="247" t="s">
        <v>14166</v>
      </c>
      <c r="B446" s="386">
        <v>89746</v>
      </c>
      <c r="C446" s="386" t="s">
        <v>14476</v>
      </c>
      <c r="D446" s="1314" t="str">
        <f>IFERROR(VLOOKUP($B446,'24.08_ND'!$A$4833:$D$12369,2,0),IFERROR(VLOOKUP($B446,'03-CP'!$C$5:$H$4646,2,0),""))</f>
        <v>JOELHO 45 GRAUS, PVC, SERIE NORMAL, ESGOTO PREDIAL, DN 100 MM, JUNTA ELÁSTICA, FORNECIDO E INSTALADO EM RAMAL DE DESCARGA OU RAMAL DE ESGOTO SANITÁRIO. AF_08/2022</v>
      </c>
      <c r="E446" s="1315" t="str">
        <f>IFERROR(VLOOKUP($B446,'24.08_ND'!$A:$D,3,0),IFERROR(VLOOKUP($B446,'03-CP'!$C$5:$H$4646,3,0),""))</f>
        <v>UN</v>
      </c>
      <c r="F446" s="389">
        <v>40</v>
      </c>
      <c r="G446" s="1244"/>
      <c r="H446" s="1244"/>
      <c r="I446" s="1409"/>
      <c r="J446" s="1644" t="s">
        <v>16316</v>
      </c>
      <c r="K446" s="262"/>
      <c r="L446" s="262"/>
    </row>
    <row r="447" spans="1:12" ht="38.25" outlineLevel="1">
      <c r="A447" s="247" t="s">
        <v>14167</v>
      </c>
      <c r="B447" s="386">
        <v>89732</v>
      </c>
      <c r="C447" s="386" t="s">
        <v>14476</v>
      </c>
      <c r="D447" s="1314" t="str">
        <f>IFERROR(VLOOKUP($B447,'24.08_ND'!$A$4833:$D$12369,2,0),IFERROR(VLOOKUP($B447,'03-CP'!$C$5:$H$4646,2,0),""))</f>
        <v>JOELHO 45 GRAUS, PVC, SERIE NORMAL, ESGOTO PREDIAL, DN 50 MM, JUNTA ELÁSTICA, FORNECIDO E INSTALADO EM RAMAL DE DESCARGA OU RAMAL DE ESGOTO SANITÁRIO. AF_08/2022</v>
      </c>
      <c r="E447" s="1315" t="str">
        <f>IFERROR(VLOOKUP($B447,'24.08_ND'!$A:$D,3,0),IFERROR(VLOOKUP($B447,'03-CP'!$C$5:$H$4646,3,0),""))</f>
        <v>UN</v>
      </c>
      <c r="F447" s="389">
        <v>170</v>
      </c>
      <c r="G447" s="1244"/>
      <c r="H447" s="1244"/>
      <c r="I447" s="1409"/>
      <c r="J447" s="1644" t="s">
        <v>16316</v>
      </c>
      <c r="K447" s="262"/>
      <c r="L447" s="262"/>
    </row>
    <row r="448" spans="1:12" ht="38.25" outlineLevel="1">
      <c r="A448" s="247" t="s">
        <v>14168</v>
      </c>
      <c r="B448" s="386">
        <v>89726</v>
      </c>
      <c r="C448" s="386" t="s">
        <v>14476</v>
      </c>
      <c r="D448" s="1314" t="str">
        <f>IFERROR(VLOOKUP($B448,'24.08_ND'!$A$4833:$D$12369,2,0),IFERROR(VLOOKUP($B448,'03-CP'!$C$5:$H$4646,2,0),""))</f>
        <v>JOELHO 45 GRAUS, PVC, SERIE NORMAL, ESGOTO PREDIAL, DN 40 MM, JUNTA SOLDÁVEL, FORNECIDO E INSTALADO EM RAMAL DE DESCARGA OU RAMAL DE ESGOTO SANITÁRIO. AF_08/2022</v>
      </c>
      <c r="E448" s="1315" t="str">
        <f>IFERROR(VLOOKUP($B448,'24.08_ND'!$A:$D,3,0),IFERROR(VLOOKUP($B448,'03-CP'!$C$5:$H$4646,3,0),""))</f>
        <v>UN</v>
      </c>
      <c r="F448" s="389">
        <v>45</v>
      </c>
      <c r="G448" s="1244"/>
      <c r="H448" s="1244"/>
      <c r="I448" s="1409"/>
      <c r="J448" s="1644" t="s">
        <v>16316</v>
      </c>
      <c r="K448" s="262"/>
      <c r="L448" s="262"/>
    </row>
    <row r="449" spans="1:12" ht="38.25" outlineLevel="1">
      <c r="A449" s="247" t="s">
        <v>14169</v>
      </c>
      <c r="B449" s="386">
        <v>89748</v>
      </c>
      <c r="C449" s="386" t="s">
        <v>14476</v>
      </c>
      <c r="D449" s="1314" t="str">
        <f>IFERROR(VLOOKUP($B449,'24.08_ND'!$A$4833:$D$12369,2,0),IFERROR(VLOOKUP($B449,'03-CP'!$C$5:$H$4646,2,0),""))</f>
        <v>CURVA CURTA 90 GRAUS, PVC, SERIE NORMAL, ESGOTO PREDIAL, DN 100 MM, JUNTA ELÁSTICA, FORNECIDO E INSTALADO EM RAMAL DE DESCARGA OU RAMAL DE ESGOTO SANITÁRIO. AF_08/2022</v>
      </c>
      <c r="E449" s="1315" t="str">
        <f>IFERROR(VLOOKUP($B449,'24.08_ND'!$A:$D,3,0),IFERROR(VLOOKUP($B449,'03-CP'!$C$5:$H$4646,3,0),""))</f>
        <v>UN</v>
      </c>
      <c r="F449" s="389">
        <v>18</v>
      </c>
      <c r="G449" s="1244"/>
      <c r="H449" s="1244"/>
      <c r="I449" s="1409"/>
      <c r="J449" s="1644" t="s">
        <v>16316</v>
      </c>
      <c r="K449" s="262"/>
      <c r="L449" s="262"/>
    </row>
    <row r="450" spans="1:12" ht="38.25" outlineLevel="1">
      <c r="A450" s="247" t="s">
        <v>14170</v>
      </c>
      <c r="B450" s="386">
        <v>89733</v>
      </c>
      <c r="C450" s="386" t="s">
        <v>14476</v>
      </c>
      <c r="D450" s="1314" t="str">
        <f>IFERROR(VLOOKUP($B450,'24.08_ND'!$A$4833:$D$12369,2,0),IFERROR(VLOOKUP($B450,'03-CP'!$C$5:$H$4646,2,0),""))</f>
        <v>CURVA CURTA 90 GRAUS, PVC, SERIE NORMAL, ESGOTO PREDIAL, DN 50 MM, JUNTA ELÁSTICA, FORNECIDO E INSTALADO EM RAMAL DE DESCARGA OU RAMAL DE ESGOTO SANITÁRIO. AF_08/2022</v>
      </c>
      <c r="E450" s="1315" t="str">
        <f>IFERROR(VLOOKUP($B450,'24.08_ND'!$A:$D,3,0),IFERROR(VLOOKUP($B450,'03-CP'!$C$5:$H$4646,3,0),""))</f>
        <v>UN</v>
      </c>
      <c r="F450" s="389">
        <v>12</v>
      </c>
      <c r="G450" s="1244"/>
      <c r="H450" s="1244"/>
      <c r="I450" s="1409"/>
      <c r="J450" s="1644" t="s">
        <v>16316</v>
      </c>
      <c r="K450" s="262"/>
      <c r="L450" s="262"/>
    </row>
    <row r="451" spans="1:12" ht="38.25" outlineLevel="1">
      <c r="A451" s="247" t="s">
        <v>14171</v>
      </c>
      <c r="B451" s="386">
        <v>89724</v>
      </c>
      <c r="C451" s="386" t="s">
        <v>14476</v>
      </c>
      <c r="D451" s="1314" t="str">
        <f>IFERROR(VLOOKUP($B451,'24.08_ND'!$A$4833:$D$12369,2,0),IFERROR(VLOOKUP($B451,'03-CP'!$C$5:$H$4646,2,0),""))</f>
        <v>JOELHO 90 GRAUS, PVC, SERIE NORMAL, ESGOTO PREDIAL, DN 40 MM, JUNTA SOLDÁVEL, FORNECIDO E INSTALADO EM RAMAL DE DESCARGA OU RAMAL DE ESGOTO SANITÁRIO. AF_08/2022</v>
      </c>
      <c r="E451" s="1315" t="str">
        <f>IFERROR(VLOOKUP($B451,'24.08_ND'!$A:$D,3,0),IFERROR(VLOOKUP($B451,'03-CP'!$C$5:$H$4646,3,0),""))</f>
        <v>UN</v>
      </c>
      <c r="F451" s="389">
        <v>36</v>
      </c>
      <c r="G451" s="1244"/>
      <c r="H451" s="1244"/>
      <c r="I451" s="1409"/>
      <c r="J451" s="1644" t="s">
        <v>16316</v>
      </c>
      <c r="K451" s="262"/>
      <c r="L451" s="262"/>
    </row>
    <row r="452" spans="1:12" ht="38.25" outlineLevel="1">
      <c r="A452" s="247" t="s">
        <v>14172</v>
      </c>
      <c r="B452" s="386">
        <v>89731</v>
      </c>
      <c r="C452" s="386" t="s">
        <v>14476</v>
      </c>
      <c r="D452" s="1314" t="str">
        <f>IFERROR(VLOOKUP($B452,'24.08_ND'!$A$4833:$D$12369,2,0),IFERROR(VLOOKUP($B452,'03-CP'!$C$5:$H$4646,2,0),""))</f>
        <v>JOELHO 90 GRAUS, PVC, SERIE NORMAL, ESGOTO PREDIAL, DN 50 MM, JUNTA ELÁSTICA, FORNECIDO E INSTALADO EM RAMAL DE DESCARGA OU RAMAL DE ESGOTO SANITÁRIO. AF_08/2022</v>
      </c>
      <c r="E452" s="1315" t="str">
        <f>IFERROR(VLOOKUP($B452,'24.08_ND'!$A:$D,3,0),IFERROR(VLOOKUP($B452,'03-CP'!$C$5:$H$4646,3,0),""))</f>
        <v>UN</v>
      </c>
      <c r="F452" s="389">
        <v>66</v>
      </c>
      <c r="G452" s="1244"/>
      <c r="H452" s="1244"/>
      <c r="I452" s="1409"/>
      <c r="J452" s="1644" t="s">
        <v>16316</v>
      </c>
      <c r="K452" s="262"/>
      <c r="L452" s="262"/>
    </row>
    <row r="453" spans="1:12" ht="25.5" outlineLevel="1">
      <c r="A453" s="247" t="s">
        <v>14173</v>
      </c>
      <c r="B453" s="386" t="s">
        <v>15372</v>
      </c>
      <c r="C453" s="386" t="s">
        <v>14472</v>
      </c>
      <c r="D453" s="1314" t="str">
        <f>IFERROR(VLOOKUP($B453,'24.08_ND'!$A$4833:$D$12369,2,0),IFERROR(VLOOKUP($B453,'03-CP'!$C$5:$H$4646,2,0),""))</f>
        <v>CAP, PVC, SÉRIE NORMAL, ESGOTO PREDIAL, DN 100 MM, FORNECIMENTO E INSTALAÇÃO</v>
      </c>
      <c r="E453" s="1315" t="str">
        <f>IFERROR(VLOOKUP($B453,'24.08_ND'!$A:$D,3,0),IFERROR(VLOOKUP($B453,'03-CP'!$C$5:$H$4646,3,0),""))</f>
        <v>UN</v>
      </c>
      <c r="F453" s="389">
        <v>6</v>
      </c>
      <c r="G453" s="1244"/>
      <c r="H453" s="1244"/>
      <c r="I453" s="1409"/>
      <c r="J453" s="1644" t="s">
        <v>16316</v>
      </c>
      <c r="K453" s="262"/>
      <c r="L453" s="262"/>
    </row>
    <row r="454" spans="1:12" ht="25.5" outlineLevel="1">
      <c r="A454" s="247" t="s">
        <v>14174</v>
      </c>
      <c r="B454" s="386" t="s">
        <v>15374</v>
      </c>
      <c r="C454" s="386" t="s">
        <v>14472</v>
      </c>
      <c r="D454" s="1314" t="str">
        <f>IFERROR(VLOOKUP($B454,'24.08_ND'!$A$4833:$D$12369,2,0),IFERROR(VLOOKUP($B454,'03-CP'!$C$5:$H$4646,2,0),""))</f>
        <v>CAP, PVC, SÉRIE NORMAL, ESGOTO PREDIAL, DN 50 MM, FORNECIMENTO E INSTALAÇÃO</v>
      </c>
      <c r="E454" s="1315" t="str">
        <f>IFERROR(VLOOKUP($B454,'24.08_ND'!$A:$D,3,0),IFERROR(VLOOKUP($B454,'03-CP'!$C$5:$H$4646,3,0),""))</f>
        <v>UN</v>
      </c>
      <c r="F454" s="389">
        <v>1</v>
      </c>
      <c r="G454" s="1244"/>
      <c r="H454" s="1244"/>
      <c r="I454" s="1409"/>
      <c r="J454" s="1644" t="s">
        <v>16316</v>
      </c>
      <c r="K454" s="262"/>
      <c r="L454" s="262"/>
    </row>
    <row r="455" spans="1:12" ht="25.5" outlineLevel="1">
      <c r="A455" s="247" t="s">
        <v>14175</v>
      </c>
      <c r="B455" s="386" t="s">
        <v>15376</v>
      </c>
      <c r="C455" s="386" t="s">
        <v>14472</v>
      </c>
      <c r="D455" s="1314" t="str">
        <f>IFERROR(VLOOKUP($B455,'24.08_ND'!$A$4833:$D$12369,2,0),IFERROR(VLOOKUP($B455,'03-CP'!$C$5:$H$4646,2,0),""))</f>
        <v>CAP, PVC, SÉRIE NORMAL, ESGOTO PREDIAL, DN 40 MM, FORNECIMENTO E INSTALAÇÃO</v>
      </c>
      <c r="E455" s="1315" t="str">
        <f>IFERROR(VLOOKUP($B455,'24.08_ND'!$A:$D,3,0),IFERROR(VLOOKUP($B455,'03-CP'!$C$5:$H$4646,3,0),""))</f>
        <v>UN</v>
      </c>
      <c r="F455" s="389">
        <v>5</v>
      </c>
      <c r="G455" s="1244"/>
      <c r="H455" s="1244"/>
      <c r="I455" s="1409"/>
      <c r="J455" s="1644" t="s">
        <v>16316</v>
      </c>
      <c r="K455" s="262"/>
      <c r="L455" s="262"/>
    </row>
    <row r="456" spans="1:12" ht="38.25" outlineLevel="1">
      <c r="A456" s="247" t="s">
        <v>14176</v>
      </c>
      <c r="B456" s="386">
        <v>89797</v>
      </c>
      <c r="C456" s="386" t="s">
        <v>14476</v>
      </c>
      <c r="D456" s="1314" t="str">
        <f>IFERROR(VLOOKUP($B456,'24.08_ND'!$A$4833:$D$12369,2,0),IFERROR(VLOOKUP($B456,'03-CP'!$C$5:$H$4646,2,0),""))</f>
        <v>JUNÇÃO SIMPLES, PVC, SERIE NORMAL, ESGOTO PREDIAL, DN 100 X 100 MM, JUNTA ELÁSTICA, FORNECIDO E INSTALADO EM RAMAL DE DESCARGA OU RAMAL DE ESGOTO SANITÁRIO. AF_08/2022</v>
      </c>
      <c r="E456" s="1315" t="str">
        <f>IFERROR(VLOOKUP($B456,'24.08_ND'!$A:$D,3,0),IFERROR(VLOOKUP($B456,'03-CP'!$C$5:$H$4646,3,0),""))</f>
        <v>UN</v>
      </c>
      <c r="F456" s="389">
        <v>23</v>
      </c>
      <c r="G456" s="1244"/>
      <c r="H456" s="1244"/>
      <c r="I456" s="1409"/>
      <c r="J456" s="1644" t="s">
        <v>16316</v>
      </c>
      <c r="K456" s="262"/>
      <c r="L456" s="262"/>
    </row>
    <row r="457" spans="1:12" ht="38.25" outlineLevel="1">
      <c r="A457" s="247" t="s">
        <v>14177</v>
      </c>
      <c r="B457" s="386" t="str">
        <f>'03-CP'!C2540</f>
        <v>CP-HSD-06</v>
      </c>
      <c r="C457" s="386" t="s">
        <v>14472</v>
      </c>
      <c r="D457" s="1314" t="str">
        <f>IFERROR(VLOOKUP($B457,'24.08_ND'!$A$4833:$D$12369,2,0),IFERROR(VLOOKUP($B457,'03-CP'!$C$5:$H$4646,2,0),""))</f>
        <v>JUNÇÃO SIMPLES, PVC, SERIE NORMAL, ESGOTO PREDIAL, DN 100 X 50 MM, JUNTA ELÁSTICA, FORNECIDO E INSTALADO EM RAMAL DE DESCARGA OU RAMAL DE ESGOTO SANITÁRIO.</v>
      </c>
      <c r="E457" s="1315" t="str">
        <f>IFERROR(VLOOKUP($B457,'24.08_ND'!$A:$D,3,0),IFERROR(VLOOKUP($B457,'03-CP'!$C$5:$H$4646,3,0),""))</f>
        <v>UN</v>
      </c>
      <c r="F457" s="389">
        <v>14</v>
      </c>
      <c r="G457" s="1244"/>
      <c r="H457" s="1244"/>
      <c r="I457" s="1409"/>
      <c r="J457" s="1644" t="s">
        <v>16316</v>
      </c>
      <c r="K457" s="262"/>
      <c r="L457" s="262"/>
    </row>
    <row r="458" spans="1:12" ht="38.25" outlineLevel="1">
      <c r="A458" s="247" t="s">
        <v>14178</v>
      </c>
      <c r="B458" s="386">
        <v>89785</v>
      </c>
      <c r="C458" s="386" t="s">
        <v>14476</v>
      </c>
      <c r="D458" s="1314" t="str">
        <f>IFERROR(VLOOKUP($B458,'24.08_ND'!$A$4833:$D$12369,2,0),IFERROR(VLOOKUP($B458,'03-CP'!$C$5:$H$4646,2,0),""))</f>
        <v>JUNÇÃO SIMPLES, PVC, SERIE NORMAL, ESGOTO PREDIAL, DN 50 X 50 MM, JUNTA ELÁSTICA, FORNECIDO E INSTALADO EM RAMAL DE DESCARGA OU RAMAL DE ESGOTO SANITÁRIO. AF_08/2022</v>
      </c>
      <c r="E458" s="1315" t="str">
        <f>IFERROR(VLOOKUP($B458,'24.08_ND'!$A:$D,3,0),IFERROR(VLOOKUP($B458,'03-CP'!$C$5:$H$4646,3,0),""))</f>
        <v>UN</v>
      </c>
      <c r="F458" s="389">
        <v>15</v>
      </c>
      <c r="G458" s="1244"/>
      <c r="H458" s="1244"/>
      <c r="I458" s="1409"/>
      <c r="J458" s="1644" t="s">
        <v>16316</v>
      </c>
      <c r="K458" s="262"/>
      <c r="L458" s="262"/>
    </row>
    <row r="459" spans="1:12" ht="38.25" outlineLevel="1">
      <c r="A459" s="247" t="s">
        <v>14179</v>
      </c>
      <c r="B459" s="386">
        <v>89783</v>
      </c>
      <c r="C459" s="386" t="s">
        <v>14476</v>
      </c>
      <c r="D459" s="1314" t="str">
        <f>IFERROR(VLOOKUP($B459,'24.08_ND'!$A$4833:$D$12369,2,0),IFERROR(VLOOKUP($B459,'03-CP'!$C$5:$H$4646,2,0),""))</f>
        <v>JUNÇÃO SIMPLES, PVC, SERIE NORMAL, ESGOTO PREDIAL, DN 40 MM, JUNTA SOLDÁVEL, FORNECIDO E INSTALADO EM RAMAL DE DESCARGA OU RAMAL DE ESGOTO SANITÁRIO. AF_08/2022</v>
      </c>
      <c r="E459" s="1315" t="str">
        <f>IFERROR(VLOOKUP($B459,'24.08_ND'!$A:$D,3,0),IFERROR(VLOOKUP($B459,'03-CP'!$C$5:$H$4646,3,0),""))</f>
        <v>UN</v>
      </c>
      <c r="F459" s="389">
        <v>6</v>
      </c>
      <c r="G459" s="1244"/>
      <c r="H459" s="1244"/>
      <c r="I459" s="1409"/>
      <c r="J459" s="1644" t="s">
        <v>16316</v>
      </c>
      <c r="K459" s="262"/>
      <c r="L459" s="262"/>
    </row>
    <row r="460" spans="1:12" ht="38.25" outlineLevel="1">
      <c r="A460" s="247" t="s">
        <v>14180</v>
      </c>
      <c r="B460" s="386">
        <v>104341</v>
      </c>
      <c r="C460" s="386" t="s">
        <v>14476</v>
      </c>
      <c r="D460" s="1314" t="str">
        <f>IFERROR(VLOOKUP($B460,'24.08_ND'!$A$4833:$D$12369,2,0),IFERROR(VLOOKUP($B460,'03-CP'!$C$5:$H$4646,2,0),""))</f>
        <v>BUCHA DE REDUÇÃO LONGA, PVC, SÉRIE NORMAL, ESGOTO PREDIAL, DN 50 X 40 MM, JUNTA SOLDÁVEL E ELÁSTICA, FORNECIDO E INSTALADO EM RAMAL DE DESCARGA OU RAMAL DE ESGOTO SANITÁRIO. AF_08/2022</v>
      </c>
      <c r="E460" s="1315" t="str">
        <f>IFERROR(VLOOKUP($B460,'24.08_ND'!$A:$D,3,0),IFERROR(VLOOKUP($B460,'03-CP'!$C$5:$H$4646,3,0),""))</f>
        <v>UN</v>
      </c>
      <c r="F460" s="389">
        <v>30</v>
      </c>
      <c r="G460" s="1244"/>
      <c r="H460" s="1244"/>
      <c r="I460" s="1409"/>
      <c r="J460" s="1644" t="s">
        <v>16316</v>
      </c>
      <c r="K460" s="262"/>
      <c r="L460" s="262"/>
    </row>
    <row r="461" spans="1:12" ht="38.25" outlineLevel="1">
      <c r="A461" s="247" t="s">
        <v>14181</v>
      </c>
      <c r="B461" s="386">
        <v>89778</v>
      </c>
      <c r="C461" s="386" t="s">
        <v>14476</v>
      </c>
      <c r="D461" s="1314" t="str">
        <f>IFERROR(VLOOKUP($B461,'24.08_ND'!$A$4833:$D$12369,2,0),IFERROR(VLOOKUP($B461,'03-CP'!$C$5:$H$4646,2,0),""))</f>
        <v>LUVA SIMPLES, PVC, SERIE NORMAL, ESGOTO PREDIAL, DN 100 MM, JUNTA ELÁSTICA, FORNECIDO E INSTALADO EM RAMAL DE DESCARGA OU RAMAL DE ESGOTO SANITÁRIO. AF_08/2022</v>
      </c>
      <c r="E461" s="1315" t="str">
        <f>IFERROR(VLOOKUP($B461,'24.08_ND'!$A:$D,3,0),IFERROR(VLOOKUP($B461,'03-CP'!$C$5:$H$4646,3,0),""))</f>
        <v>UN</v>
      </c>
      <c r="F461" s="389">
        <v>90</v>
      </c>
      <c r="G461" s="1244"/>
      <c r="H461" s="1244"/>
      <c r="I461" s="1409"/>
      <c r="J461" s="1644" t="s">
        <v>16316</v>
      </c>
      <c r="K461" s="262"/>
      <c r="L461" s="262"/>
    </row>
    <row r="462" spans="1:12" ht="38.25" outlineLevel="1">
      <c r="A462" s="247" t="s">
        <v>14182</v>
      </c>
      <c r="B462" s="386">
        <v>89753</v>
      </c>
      <c r="C462" s="386" t="s">
        <v>14476</v>
      </c>
      <c r="D462" s="1314" t="str">
        <f>IFERROR(VLOOKUP($B462,'24.08_ND'!$A$4833:$D$12369,2,0),IFERROR(VLOOKUP($B462,'03-CP'!$C$5:$H$4646,2,0),""))</f>
        <v>LUVA SIMPLES, PVC, SERIE NORMAL, ESGOTO PREDIAL, DN 50 MM, JUNTA ELÁSTICA, FORNECIDO E INSTALADO EM RAMAL DE DESCARGA OU RAMAL DE ESGOTO SANITÁRIO. AF_08/2022</v>
      </c>
      <c r="E462" s="1315" t="str">
        <f>IFERROR(VLOOKUP($B462,'24.08_ND'!$A:$D,3,0),IFERROR(VLOOKUP($B462,'03-CP'!$C$5:$H$4646,3,0),""))</f>
        <v>UN</v>
      </c>
      <c r="F462" s="389">
        <v>266</v>
      </c>
      <c r="G462" s="1244"/>
      <c r="H462" s="1244"/>
      <c r="I462" s="1409"/>
      <c r="J462" s="1644" t="s">
        <v>16316</v>
      </c>
      <c r="K462" s="262"/>
      <c r="L462" s="262"/>
    </row>
    <row r="463" spans="1:12" ht="38.25" outlineLevel="1">
      <c r="A463" s="247" t="s">
        <v>14183</v>
      </c>
      <c r="B463" s="386">
        <v>89784</v>
      </c>
      <c r="C463" s="386" t="s">
        <v>14476</v>
      </c>
      <c r="D463" s="1314" t="str">
        <f>IFERROR(VLOOKUP($B463,'24.08_ND'!$A$4833:$D$12369,2,0),IFERROR(VLOOKUP($B463,'03-CP'!$C$5:$H$4646,2,0),""))</f>
        <v>TE, PVC, SERIE NORMAL, ESGOTO PREDIAL, DN 50 X 50 MM, JUNTA ELÁSTICA, FORNECIDO E INSTALADO EM RAMAL DE DESCARGA OU RAMAL DE ESGOTO SANITÁRIO. AF_08/2022</v>
      </c>
      <c r="E463" s="1315" t="str">
        <f>IFERROR(VLOOKUP($B463,'24.08_ND'!$A:$D,3,0),IFERROR(VLOOKUP($B463,'03-CP'!$C$5:$H$4646,3,0),""))</f>
        <v>UN</v>
      </c>
      <c r="F463" s="389">
        <v>26</v>
      </c>
      <c r="G463" s="1244"/>
      <c r="H463" s="1244"/>
      <c r="I463" s="1409"/>
      <c r="J463" s="1644" t="s">
        <v>16316</v>
      </c>
      <c r="K463" s="262"/>
      <c r="L463" s="262"/>
    </row>
    <row r="464" spans="1:12" ht="38.25" outlineLevel="1">
      <c r="A464" s="247" t="s">
        <v>14184</v>
      </c>
      <c r="B464" s="386" t="s">
        <v>15428</v>
      </c>
      <c r="C464" s="386" t="s">
        <v>14472</v>
      </c>
      <c r="D464" s="1314" t="str">
        <f>IFERROR(VLOOKUP($B464,'24.08_ND'!$A$4833:$D$12369,2,0),IFERROR(VLOOKUP($B464,'03-CP'!$C$5:$H$4646,2,0),""))</f>
        <v>TE, PVC, SERIE NORMAL, ESGOTO PREDIAL, DN 75 X 50 MM, JUNTA ELÁSTICA, FORNECIDO E INSTALADO EM PRUMADA DE ESGOTO SANITÁRIO OU VENTILAÇÃO.</v>
      </c>
      <c r="E464" s="1315" t="str">
        <f>IFERROR(VLOOKUP($B464,'24.08_ND'!$A:$D,3,0),IFERROR(VLOOKUP($B464,'03-CP'!$C$5:$H$4646,3,0),""))</f>
        <v>UN</v>
      </c>
      <c r="F464" s="389">
        <v>4</v>
      </c>
      <c r="G464" s="1244"/>
      <c r="H464" s="1244"/>
      <c r="I464" s="1409"/>
      <c r="J464" s="1644" t="s">
        <v>16316</v>
      </c>
      <c r="K464" s="262"/>
      <c r="L464" s="262"/>
    </row>
    <row r="465" spans="1:12" ht="38.25" outlineLevel="1">
      <c r="A465" s="247" t="s">
        <v>14185</v>
      </c>
      <c r="B465" s="386">
        <v>89782</v>
      </c>
      <c r="C465" s="386" t="s">
        <v>14476</v>
      </c>
      <c r="D465" s="1314" t="str">
        <f>IFERROR(VLOOKUP($B465,'24.08_ND'!$A$4833:$D$12369,2,0),IFERROR(VLOOKUP($B465,'03-CP'!$C$5:$H$4646,2,0),""))</f>
        <v>TE, PVC, SERIE NORMAL, ESGOTO PREDIAL, DN 40 X 40 MM, JUNTA SOLDÁVEL, FORNECIDO E INSTALADO EM RAMAL DE DESCARGA OU RAMAL DE ESGOTO SANITÁRIO. AF_08/2022</v>
      </c>
      <c r="E465" s="1315" t="str">
        <f>IFERROR(VLOOKUP($B465,'24.08_ND'!$A:$D,3,0),IFERROR(VLOOKUP($B465,'03-CP'!$C$5:$H$4646,3,0),""))</f>
        <v>UN</v>
      </c>
      <c r="F465" s="389">
        <v>34</v>
      </c>
      <c r="G465" s="1244"/>
      <c r="H465" s="1244"/>
      <c r="I465" s="1409"/>
      <c r="J465" s="1644" t="s">
        <v>16316</v>
      </c>
      <c r="K465" s="262"/>
      <c r="L465" s="262"/>
    </row>
    <row r="466" spans="1:12" ht="38.25" outlineLevel="1">
      <c r="A466" s="247" t="s">
        <v>14186</v>
      </c>
      <c r="B466" s="386">
        <v>104344</v>
      </c>
      <c r="C466" s="386" t="s">
        <v>14476</v>
      </c>
      <c r="D466" s="1314" t="str">
        <f>IFERROR(VLOOKUP($B466,'24.08_ND'!$A$4833:$D$12369,2,0),IFERROR(VLOOKUP($B466,'03-CP'!$C$5:$H$4646,2,0),""))</f>
        <v>TE, PVC, SÉRIE NORMAL, ESGOTO PREDIAL, DN 100 X 50 MM, JUNTA ELÁSTICA, FORNECIDO E INSTALADO EM RAMAL DE DESCARGA OU RAMAL DE ESGOTO SANITÁRIO. AF_08/2022</v>
      </c>
      <c r="E466" s="1315" t="str">
        <f>IFERROR(VLOOKUP($B466,'24.08_ND'!$A:$D,3,0),IFERROR(VLOOKUP($B466,'03-CP'!$C$5:$H$4646,3,0),""))</f>
        <v>UN</v>
      </c>
      <c r="F466" s="389">
        <v>6</v>
      </c>
      <c r="G466" s="1244"/>
      <c r="H466" s="1244"/>
      <c r="I466" s="1409"/>
      <c r="J466" s="1644" t="s">
        <v>16316</v>
      </c>
      <c r="K466" s="262"/>
      <c r="L466" s="262"/>
    </row>
    <row r="467" spans="1:12" ht="38.25" outlineLevel="1">
      <c r="A467" s="247" t="s">
        <v>14187</v>
      </c>
      <c r="B467" s="386">
        <v>89796</v>
      </c>
      <c r="C467" s="386" t="s">
        <v>14476</v>
      </c>
      <c r="D467" s="1314" t="str">
        <f>IFERROR(VLOOKUP($B467,'24.08_ND'!$A$4833:$D$12369,2,0),IFERROR(VLOOKUP($B467,'03-CP'!$C$5:$H$4646,2,0),""))</f>
        <v>TE, PVC, SERIE NORMAL, ESGOTO PREDIAL, DN 100 X 100 MM, JUNTA ELÁSTICA, FORNECIDO E INSTALADO EM RAMAL DE DESCARGA OU RAMAL DE ESGOTO SANITÁRIO. AF_08/2022</v>
      </c>
      <c r="E467" s="1315" t="str">
        <f>IFERROR(VLOOKUP($B467,'24.08_ND'!$A:$D,3,0),IFERROR(VLOOKUP($B467,'03-CP'!$C$5:$H$4646,3,0),""))</f>
        <v>UN</v>
      </c>
      <c r="F467" s="389">
        <v>2</v>
      </c>
      <c r="G467" s="1244"/>
      <c r="H467" s="1244"/>
      <c r="I467" s="1409"/>
      <c r="J467" s="1644" t="s">
        <v>16316</v>
      </c>
      <c r="K467" s="262"/>
      <c r="L467" s="262"/>
    </row>
    <row r="468" spans="1:12" ht="38.25" outlineLevel="1">
      <c r="A468" s="247" t="s">
        <v>14188</v>
      </c>
      <c r="B468" s="386">
        <v>104348</v>
      </c>
      <c r="C468" s="386" t="s">
        <v>14476</v>
      </c>
      <c r="D468" s="1314" t="str">
        <f>IFERROR(VLOOKUP($B468,'24.08_ND'!$A$4833:$D$12369,2,0),IFERROR(VLOOKUP($B468,'03-CP'!$C$5:$H$4646,2,0),""))</f>
        <v>TERMINAL DE VENTILAÇÃO, PVC, SÉRIE NORMAL, ESGOTO PREDIAL, DN 50 MM, JUNTA SOLDÁVEL, FORNECIDO E INSTALADO EM PRUMADA DE ESGOTO SANITÁRIO OU VENTILAÇÃO. AF_08/2022</v>
      </c>
      <c r="E468" s="1315" t="str">
        <f>IFERROR(VLOOKUP($B468,'24.08_ND'!$A:$D,3,0),IFERROR(VLOOKUP($B468,'03-CP'!$C$5:$H$4646,3,0),""))</f>
        <v>UN</v>
      </c>
      <c r="F468" s="389">
        <v>4</v>
      </c>
      <c r="G468" s="1244"/>
      <c r="H468" s="1244"/>
      <c r="I468" s="1409"/>
      <c r="J468" s="1644" t="s">
        <v>16316</v>
      </c>
      <c r="K468" s="262"/>
      <c r="L468" s="262"/>
    </row>
    <row r="469" spans="1:12" ht="38.25" outlineLevel="1">
      <c r="A469" s="247" t="s">
        <v>14189</v>
      </c>
      <c r="B469" s="386">
        <v>90701</v>
      </c>
      <c r="C469" s="386" t="s">
        <v>14476</v>
      </c>
      <c r="D469" s="1314" t="str">
        <f>IFERROR(VLOOKUP($B469,'24.08_ND'!$A$4833:$D$12369,2,0),IFERROR(VLOOKUP($B469,'03-CP'!$C$5:$H$4646,2,0),""))</f>
        <v>TUBO DE PVC CORRUGADO DE DUPLA PAREDE PARA REDE COLETORA DE ESGOTO, DN 150 MM, JUNTA ELÁSTICA - FORNECIMENTO E ASSENTAMENTO. AF_01/2021</v>
      </c>
      <c r="E469" s="1315" t="str">
        <f>IFERROR(VLOOKUP($B469,'24.08_ND'!$A:$D,3,0),IFERROR(VLOOKUP($B469,'03-CP'!$C$5:$H$4646,3,0),""))</f>
        <v>M</v>
      </c>
      <c r="F469" s="389">
        <v>80</v>
      </c>
      <c r="G469" s="1244"/>
      <c r="H469" s="1244"/>
      <c r="I469" s="1409"/>
      <c r="J469" s="1644" t="s">
        <v>16316</v>
      </c>
      <c r="K469" s="262"/>
      <c r="L469" s="262"/>
    </row>
    <row r="470" spans="1:12" ht="25.5" outlineLevel="1">
      <c r="A470" s="247" t="s">
        <v>14190</v>
      </c>
      <c r="B470" s="386">
        <v>104086</v>
      </c>
      <c r="C470" s="386" t="s">
        <v>14476</v>
      </c>
      <c r="D470" s="1314" t="str">
        <f>IFERROR(VLOOKUP($B470,'24.08_ND'!$A$4833:$D$12369,2,0),IFERROR(VLOOKUP($B470,'03-CP'!$C$5:$H$4646,2,0),""))</f>
        <v>TUBO, PVC OCRE, JUNTA ELÁSTICA, DN 150 MM, PARA COLETOR PREDIAL DE ESGOTO. AF_06/2022</v>
      </c>
      <c r="E470" s="1315" t="str">
        <f>IFERROR(VLOOKUP($B470,'24.08_ND'!$A:$D,3,0),IFERROR(VLOOKUP($B470,'03-CP'!$C$5:$H$4646,3,0),""))</f>
        <v>M</v>
      </c>
      <c r="F470" s="389">
        <v>1</v>
      </c>
      <c r="G470" s="1244"/>
      <c r="H470" s="1244"/>
      <c r="I470" s="1409"/>
      <c r="J470" s="1644" t="s">
        <v>16316</v>
      </c>
      <c r="K470" s="262"/>
      <c r="L470" s="262"/>
    </row>
    <row r="471" spans="1:12" ht="38.25" outlineLevel="1">
      <c r="A471" s="247" t="s">
        <v>14191</v>
      </c>
      <c r="B471" s="386">
        <v>89714</v>
      </c>
      <c r="C471" s="386" t="s">
        <v>14476</v>
      </c>
      <c r="D471" s="1314" t="str">
        <f>IFERROR(VLOOKUP($B471,'24.08_ND'!$A$4833:$D$12369,2,0),IFERROR(VLOOKUP($B471,'03-CP'!$C$5:$H$4646,2,0),""))</f>
        <v>TUBO PVC, SERIE NORMAL, ESGOTO PREDIAL, DN 100 MM, FORNECIDO E INSTALADO EM RAMAL DE DESCARGA OU RAMAL DE ESGOTO SANITÁRIO. AF_08/2022</v>
      </c>
      <c r="E471" s="1315" t="str">
        <f>IFERROR(VLOOKUP($B471,'24.08_ND'!$A:$D,3,0),IFERROR(VLOOKUP($B471,'03-CP'!$C$5:$H$4646,3,0),""))</f>
        <v>M</v>
      </c>
      <c r="F471" s="389">
        <v>77</v>
      </c>
      <c r="G471" s="1244"/>
      <c r="H471" s="1244"/>
      <c r="I471" s="1409"/>
      <c r="J471" s="1644" t="s">
        <v>16316</v>
      </c>
      <c r="K471" s="262"/>
      <c r="L471" s="262"/>
    </row>
    <row r="472" spans="1:12" ht="38.25" outlineLevel="1">
      <c r="A472" s="247" t="s">
        <v>14192</v>
      </c>
      <c r="B472" s="386">
        <v>89713</v>
      </c>
      <c r="C472" s="386" t="s">
        <v>14476</v>
      </c>
      <c r="D472" s="1314" t="str">
        <f>IFERROR(VLOOKUP($B472,'24.08_ND'!$A$4833:$D$12369,2,0),IFERROR(VLOOKUP($B472,'03-CP'!$C$5:$H$4646,2,0),""))</f>
        <v>TUBO PVC, SERIE NORMAL, ESGOTO PREDIAL, DN 75 MM, FORNECIDO E INSTALADO EM RAMAL DE DESCARGA OU RAMAL DE ESGOTO SANITÁRIO. AF_08/2022</v>
      </c>
      <c r="E472" s="1315" t="str">
        <f>IFERROR(VLOOKUP($B472,'24.08_ND'!$A:$D,3,0),IFERROR(VLOOKUP($B472,'03-CP'!$C$5:$H$4646,3,0),""))</f>
        <v>M</v>
      </c>
      <c r="F472" s="389">
        <v>12</v>
      </c>
      <c r="G472" s="1244"/>
      <c r="H472" s="1244"/>
      <c r="I472" s="1409"/>
      <c r="J472" s="1644" t="s">
        <v>16316</v>
      </c>
      <c r="K472" s="262"/>
      <c r="L472" s="262"/>
    </row>
    <row r="473" spans="1:12" ht="38.25" outlineLevel="1">
      <c r="A473" s="247" t="s">
        <v>14193</v>
      </c>
      <c r="B473" s="386">
        <v>89712</v>
      </c>
      <c r="C473" s="386" t="s">
        <v>14476</v>
      </c>
      <c r="D473" s="1314" t="str">
        <f>IFERROR(VLOOKUP($B473,'24.08_ND'!$A$4833:$D$12369,2,0),IFERROR(VLOOKUP($B473,'03-CP'!$C$5:$H$4646,2,0),""))</f>
        <v>TUBO PVC, SERIE NORMAL, ESGOTO PREDIAL, DN 50 MM, FORNECIDO E INSTALADO EM RAMAL DE DESCARGA OU RAMAL DE ESGOTO SANITÁRIO. AF_08/2022</v>
      </c>
      <c r="E473" s="1315" t="str">
        <f>IFERROR(VLOOKUP($B473,'24.08_ND'!$A:$D,3,0),IFERROR(VLOOKUP($B473,'03-CP'!$C$5:$H$4646,3,0),""))</f>
        <v>M</v>
      </c>
      <c r="F473" s="389">
        <v>136</v>
      </c>
      <c r="G473" s="1244"/>
      <c r="H473" s="1244"/>
      <c r="I473" s="1409"/>
      <c r="J473" s="1644" t="s">
        <v>16316</v>
      </c>
      <c r="K473" s="262"/>
      <c r="L473" s="262"/>
    </row>
    <row r="474" spans="1:12" ht="38.25" outlineLevel="1">
      <c r="A474" s="247" t="s">
        <v>14194</v>
      </c>
      <c r="B474" s="386">
        <v>89711</v>
      </c>
      <c r="C474" s="386" t="s">
        <v>14476</v>
      </c>
      <c r="D474" s="1314" t="str">
        <f>IFERROR(VLOOKUP($B474,'24.08_ND'!$A$4833:$D$12369,2,0),IFERROR(VLOOKUP($B474,'03-CP'!$C$5:$H$4646,2,0),""))</f>
        <v>TUBO PVC, SERIE NORMAL, ESGOTO PREDIAL, DN 40 MM, FORNECIDO E INSTALADO EM RAMAL DE DESCARGA OU RAMAL DE ESGOTO SANITÁRIO. AF_08/2022</v>
      </c>
      <c r="E474" s="1315" t="str">
        <f>IFERROR(VLOOKUP($B474,'24.08_ND'!$A:$D,3,0),IFERROR(VLOOKUP($B474,'03-CP'!$C$5:$H$4646,3,0),""))</f>
        <v>M</v>
      </c>
      <c r="F474" s="389">
        <v>55</v>
      </c>
      <c r="G474" s="1244"/>
      <c r="H474" s="1244"/>
      <c r="I474" s="1409"/>
      <c r="J474" s="1644" t="s">
        <v>16316</v>
      </c>
      <c r="K474" s="262"/>
      <c r="L474" s="262"/>
    </row>
    <row r="475" spans="1:12" ht="12.75" outlineLevel="1">
      <c r="A475" s="247" t="s">
        <v>14195</v>
      </c>
      <c r="B475" s="386" t="s">
        <v>15430</v>
      </c>
      <c r="C475" s="386" t="s">
        <v>14472</v>
      </c>
      <c r="D475" s="1314" t="str">
        <f>IFERROR(VLOOKUP($B475,'24.08_ND'!$A$4833:$D$12369,2,0),IFERROR(VLOOKUP($B475,'03-CP'!$C$5:$H$4646,2,0),""))</f>
        <v>CAIXA SIFONADA PVC, 150 X 150 X 50 MM, FORNECIMENTO E INSTALAÇÃO</v>
      </c>
      <c r="E475" s="1315" t="str">
        <f>IFERROR(VLOOKUP($B475,'24.08_ND'!$A:$D,3,0),IFERROR(VLOOKUP($B475,'03-CP'!$C$5:$H$4646,3,0),""))</f>
        <v>UN</v>
      </c>
      <c r="F475" s="389">
        <v>2</v>
      </c>
      <c r="G475" s="1244"/>
      <c r="H475" s="1244"/>
      <c r="I475" s="1409"/>
      <c r="J475" s="1644" t="s">
        <v>16316</v>
      </c>
      <c r="K475" s="262"/>
      <c r="L475" s="262"/>
    </row>
    <row r="476" spans="1:12" ht="38.25" outlineLevel="1">
      <c r="A476" s="247" t="s">
        <v>14196</v>
      </c>
      <c r="B476" s="386" t="s">
        <v>15433</v>
      </c>
      <c r="C476" s="386" t="s">
        <v>14472</v>
      </c>
      <c r="D476" s="1314" t="str">
        <f>IFERROR(VLOOKUP($B476,'24.08_ND'!$A$4833:$D$12369,2,0),IFERROR(VLOOKUP($B476,'03-CP'!$C$5:$H$4646,2,0),""))</f>
        <v>CAIXA SIFONADA, COM GRELHA QUADRADA, PVC, DN 100 X 150 X 50 MM, JUNTA ELÁSTICA, FORNECIDA E INSTALADA EM RAMAL DE DESCARGA OU EM RAMAL DE ESGOTO SANITÁRIO</v>
      </c>
      <c r="E476" s="1315" t="str">
        <f>IFERROR(VLOOKUP($B476,'24.08_ND'!$A:$D,3,0),IFERROR(VLOOKUP($B476,'03-CP'!$C$5:$H$4646,3,0),""))</f>
        <v>UN</v>
      </c>
      <c r="F476" s="389">
        <v>11</v>
      </c>
      <c r="G476" s="1244"/>
      <c r="H476" s="1244"/>
      <c r="I476" s="1409"/>
      <c r="J476" s="1644" t="s">
        <v>16316</v>
      </c>
      <c r="K476" s="262"/>
      <c r="L476" s="262"/>
    </row>
    <row r="477" spans="1:12" ht="25.5" outlineLevel="1">
      <c r="A477" s="247" t="s">
        <v>14197</v>
      </c>
      <c r="B477" s="386" t="s">
        <v>15417</v>
      </c>
      <c r="C477" s="386" t="s">
        <v>14472</v>
      </c>
      <c r="D477" s="1314" t="str">
        <f>IFERROR(VLOOKUP($B477,'24.08_ND'!$A$4833:$D$12369,2,0),IFERROR(VLOOKUP($B477,'03-CP'!$C$5:$H$4646,2,0),""))</f>
        <v>TAMPA CEGA INOX QUADRADA DN 150 MM, INCLUSO PORTA GRELHA PARA ENCAIXE - FORNECIMENTO E INSTALAÇÃO</v>
      </c>
      <c r="E477" s="1315" t="str">
        <f>IFERROR(VLOOKUP($B477,'24.08_ND'!$A:$D,3,0),IFERROR(VLOOKUP($B477,'03-CP'!$C$5:$H$4646,3,0),""))</f>
        <v>UN</v>
      </c>
      <c r="F477" s="389">
        <v>8</v>
      </c>
      <c r="G477" s="1244"/>
      <c r="H477" s="1244"/>
      <c r="I477" s="1409"/>
      <c r="J477" s="1644" t="s">
        <v>16316</v>
      </c>
      <c r="K477" s="262"/>
      <c r="L477" s="262"/>
    </row>
    <row r="478" spans="1:12" ht="51" outlineLevel="1">
      <c r="A478" s="247" t="s">
        <v>14198</v>
      </c>
      <c r="B478" s="386">
        <v>91179</v>
      </c>
      <c r="C478" s="386" t="s">
        <v>14476</v>
      </c>
      <c r="D478" s="1314" t="str">
        <f>IFERROR(VLOOKUP($B478,'24.08_ND'!$A$4833:$D$12369,2,0),IFERROR(VLOOKUP($B478,'03-CP'!$C$5:$H$4646,2,0),""))</f>
        <v>FIXAÇÃO DE TUBOS HORIZONTAIS DE PVC ÁGUA/PVC ESGOTO/PVC PLUVIAL/CPVC/PPR/COBRE OU AÇO, DIÂMETROS MENORES OU IGUAIS A 40 MM, COM ABRAÇADEIRA METÁLICA RÍGIDA TIPO  D  COM PARAFUSO DE FIXAÇÃO 1 1/4", FIXADA DIRETAMENTE NA LAJE OU PAREDE. AF_09/2023</v>
      </c>
      <c r="E478" s="1315" t="str">
        <f>IFERROR(VLOOKUP($B478,'24.08_ND'!$A:$D,3,0),IFERROR(VLOOKUP($B478,'03-CP'!$C$5:$H$4646,3,0),""))</f>
        <v>M</v>
      </c>
      <c r="F478" s="389">
        <v>3</v>
      </c>
      <c r="G478" s="1244"/>
      <c r="H478" s="1244"/>
      <c r="I478" s="1409"/>
      <c r="J478" s="1644" t="s">
        <v>16316</v>
      </c>
      <c r="K478" s="262"/>
      <c r="L478" s="262"/>
    </row>
    <row r="479" spans="1:12" ht="25.5" outlineLevel="1">
      <c r="A479" s="247" t="s">
        <v>14199</v>
      </c>
      <c r="B479" s="386" t="s">
        <v>15442</v>
      </c>
      <c r="C479" s="386" t="s">
        <v>14472</v>
      </c>
      <c r="D479" s="1314" t="str">
        <f>IFERROR(VLOOKUP($B479,'24.08_ND'!$A$4833:$D$12369,2,0),IFERROR(VLOOKUP($B479,'03-CP'!$C$5:$H$4646,2,0),""))</f>
        <v xml:space="preserve"> BOMBA SUBMERSÍVEL PARA ESGOTO COM TRITURADOR 2,5CV - FORNECIMENTO E INSTALAÇÃO</v>
      </c>
      <c r="E479" s="1315" t="str">
        <f>IFERROR(VLOOKUP($B479,'24.08_ND'!$A:$D,3,0),IFERROR(VLOOKUP($B479,'03-CP'!$C$5:$H$4646,3,0),""))</f>
        <v>UN</v>
      </c>
      <c r="F479" s="389">
        <v>1</v>
      </c>
      <c r="G479" s="1244"/>
      <c r="H479" s="1244"/>
      <c r="I479" s="1409"/>
      <c r="J479" s="1644" t="s">
        <v>16316</v>
      </c>
      <c r="K479" s="262"/>
      <c r="L479" s="262"/>
    </row>
    <row r="480" spans="1:12" ht="38.25" outlineLevel="1">
      <c r="A480" s="247" t="s">
        <v>14200</v>
      </c>
      <c r="B480" s="386">
        <v>97906</v>
      </c>
      <c r="C480" s="386" t="s">
        <v>14476</v>
      </c>
      <c r="D480" s="387" t="str">
        <f>IFERROR(VLOOKUP($B480,'24.08_ND'!$A$4833:$D$12369,2,0),IFERROR(VLOOKUP($B480,'03-CP'!$C$5:$H$4646,2,0),""))</f>
        <v>CAIXA ENTERRADA HIDRÁULICA RETANGULAR, EM ALVENARIA COM BLOCOS DE CONCRETO, DIMENSÕES INTERNAS: 0,6X0,6X0,6 M PARA REDE DE ESGOTO. AF_12/2020</v>
      </c>
      <c r="E480" s="1244" t="str">
        <f>IFERROR(VLOOKUP($B480,'24.08_ND'!$A:$D,3,0),IFERROR(VLOOKUP($B480,'03-CP'!$C$5:$H$4646,3,0),""))</f>
        <v>UN</v>
      </c>
      <c r="F480" s="389">
        <v>3</v>
      </c>
      <c r="G480" s="1244"/>
      <c r="H480" s="1244"/>
      <c r="I480" s="1409"/>
      <c r="J480" s="1644" t="s">
        <v>16316</v>
      </c>
      <c r="K480" s="262"/>
      <c r="L480" s="262"/>
    </row>
    <row r="481" spans="1:12" ht="25.5" outlineLevel="1">
      <c r="A481" s="247" t="s">
        <v>14201</v>
      </c>
      <c r="B481" s="386">
        <v>93358</v>
      </c>
      <c r="C481" s="386" t="s">
        <v>14476</v>
      </c>
      <c r="D481" s="387" t="str">
        <f>IFERROR(VLOOKUP($B481,'24.08_ND'!$A$4833:$D$12369,2,0),IFERROR(VLOOKUP($B481,'03-CP'!$C$5:$H$4646,2,0),""))</f>
        <v>ESCAVAÇÃO MANUAL DE VALA COM PROFUNDIDADE MENOR OU IGUAL A 1,30 M. AF_02/2021</v>
      </c>
      <c r="E481" s="1244" t="str">
        <f>IFERROR(VLOOKUP($B481,'24.08_ND'!$A:$D,3,0),IFERROR(VLOOKUP($B481,'03-CP'!$C$5:$H$4646,3,0),""))</f>
        <v>M3</v>
      </c>
      <c r="F481" s="389">
        <v>62</v>
      </c>
      <c r="G481" s="1244"/>
      <c r="H481" s="1244"/>
      <c r="I481" s="1409"/>
      <c r="J481" s="1644" t="s">
        <v>16316</v>
      </c>
      <c r="K481" s="262"/>
      <c r="L481" s="262"/>
    </row>
    <row r="482" spans="1:12" ht="12.75" outlineLevel="1">
      <c r="A482" s="247" t="s">
        <v>14202</v>
      </c>
      <c r="B482" s="386">
        <v>102718</v>
      </c>
      <c r="C482" s="386" t="s">
        <v>14476</v>
      </c>
      <c r="D482" s="387" t="str">
        <f>IFERROR(VLOOKUP($B482,'24.08_ND'!$A$4833:$D$12369,2,0),IFERROR(VLOOKUP($B482,'03-CP'!$C$5:$H$4646,2,0),""))</f>
        <v>ENCHIMENTO DE AREIA PARA DRENO, LANÇAMENTO MANUAL. AF_07/2021</v>
      </c>
      <c r="E482" s="1244" t="str">
        <f>IFERROR(VLOOKUP($B482,'24.08_ND'!$A:$D,3,0),IFERROR(VLOOKUP($B482,'03-CP'!$C$5:$H$4646,3,0),""))</f>
        <v>M3</v>
      </c>
      <c r="F482" s="389">
        <v>13</v>
      </c>
      <c r="G482" s="1244"/>
      <c r="H482" s="1244"/>
      <c r="I482" s="1409"/>
      <c r="J482" s="1644" t="s">
        <v>16316</v>
      </c>
      <c r="K482" s="262"/>
      <c r="L482" s="262"/>
    </row>
    <row r="483" spans="1:12" ht="25.5" outlineLevel="1">
      <c r="A483" s="247" t="s">
        <v>14203</v>
      </c>
      <c r="B483" s="386">
        <v>93382</v>
      </c>
      <c r="C483" s="386" t="s">
        <v>14476</v>
      </c>
      <c r="D483" s="387" t="str">
        <f>IFERROR(VLOOKUP($B483,'24.08_ND'!$A$4833:$D$12369,2,0),IFERROR(VLOOKUP($B483,'03-CP'!$C$5:$H$4646,2,0),""))</f>
        <v>REATERRO MANUAL DE VALAS, COM COMPACTADOR DE SOLOS DE PERCUSSÃO. AF_08/2023</v>
      </c>
      <c r="E483" s="1244" t="str">
        <f>IFERROR(VLOOKUP($B483,'24.08_ND'!$A:$D,3,0),IFERROR(VLOOKUP($B483,'03-CP'!$C$5:$H$4646,3,0),""))</f>
        <v>M3</v>
      </c>
      <c r="F483" s="389">
        <v>52</v>
      </c>
      <c r="G483" s="1244"/>
      <c r="H483" s="1244"/>
      <c r="I483" s="1409"/>
      <c r="J483" s="1644" t="s">
        <v>16316</v>
      </c>
      <c r="K483" s="262"/>
      <c r="L483" s="262"/>
    </row>
    <row r="484" spans="1:12" ht="12.75">
      <c r="A484" s="250" t="s">
        <v>14204</v>
      </c>
      <c r="B484" s="1309"/>
      <c r="C484" s="1497"/>
      <c r="D484" s="1498" t="s">
        <v>16318</v>
      </c>
      <c r="E484" s="234"/>
      <c r="F484" s="1311"/>
      <c r="G484" s="236"/>
      <c r="H484" s="236"/>
      <c r="I484" s="1499"/>
      <c r="J484" s="262"/>
      <c r="K484" s="262"/>
      <c r="L484" s="262"/>
    </row>
    <row r="485" spans="1:12" ht="38.25" outlineLevel="1">
      <c r="A485" s="247" t="s">
        <v>14205</v>
      </c>
      <c r="B485" s="386">
        <v>99260</v>
      </c>
      <c r="C485" s="386" t="s">
        <v>14476</v>
      </c>
      <c r="D485" s="1314" t="str">
        <f>IFERROR(VLOOKUP($B485,'24.08_ND'!$A$4833:$D$12369,2,0),IFERROR(VLOOKUP($B485,'03-CP'!$C$5:$H$4646,2,0),""))</f>
        <v>CAIXA ENTERRADA HIDRÁULICA RETANGULAR, EM ALVENARIA COM BLOCOS DE CONCRETO, DIMENSÕES INTERNAS: 0,6X0,6X0,6 M PARA REDE DE DRENAGEM. AF_12/2020</v>
      </c>
      <c r="E485" s="1315" t="str">
        <f>IFERROR(VLOOKUP($B485,'24.08_ND'!$A:$D,3,0),IFERROR(VLOOKUP($B485,'03-CP'!$C$5:$H$4646,3,0),""))</f>
        <v>UN</v>
      </c>
      <c r="F485" s="389">
        <v>1</v>
      </c>
      <c r="G485" s="1244"/>
      <c r="H485" s="1244"/>
      <c r="I485" s="1409"/>
      <c r="J485" s="1644" t="s">
        <v>16316</v>
      </c>
      <c r="K485" s="1441"/>
      <c r="L485" s="262"/>
    </row>
    <row r="486" spans="1:12" ht="38.25" outlineLevel="1">
      <c r="A486" s="247" t="s">
        <v>14206</v>
      </c>
      <c r="B486" s="386">
        <v>89585</v>
      </c>
      <c r="C486" s="386" t="s">
        <v>14476</v>
      </c>
      <c r="D486" s="1314" t="str">
        <f>IFERROR(VLOOKUP($B486,'24.08_ND'!$A$4833:$D$12369,2,0),IFERROR(VLOOKUP($B486,'03-CP'!$C$5:$H$4646,2,0),""))</f>
        <v>JOELHO 45 GRAUS, PVC, SERIE R, ÁGUA PLUVIAL, DN 100 MM, JUNTA ELÁSTICA, FORNECIDO E INSTALADO EM CONDUTORES VERTICAIS DE ÁGUAS PLUVIAIS. AF_06/2022</v>
      </c>
      <c r="E486" s="1315" t="str">
        <f>IFERROR(VLOOKUP($B486,'24.08_ND'!$A:$D,3,0),IFERROR(VLOOKUP($B486,'03-CP'!$C$5:$H$4646,3,0),""))</f>
        <v>UN</v>
      </c>
      <c r="F486" s="389">
        <v>55</v>
      </c>
      <c r="G486" s="1244"/>
      <c r="H486" s="1244"/>
      <c r="I486" s="1409"/>
      <c r="J486" s="1644" t="s">
        <v>16316</v>
      </c>
      <c r="K486" s="1441"/>
      <c r="L486" s="262"/>
    </row>
    <row r="487" spans="1:12" ht="25.5" outlineLevel="1">
      <c r="A487" s="247" t="s">
        <v>14207</v>
      </c>
      <c r="B487" s="386">
        <v>104178</v>
      </c>
      <c r="C487" s="386" t="s">
        <v>14476</v>
      </c>
      <c r="D487" s="1314" t="str">
        <f>IFERROR(VLOOKUP($B487,'24.08_ND'!$A$4833:$D$12369,2,0),IFERROR(VLOOKUP($B487,'03-CP'!$C$5:$H$4646,2,0),""))</f>
        <v>CAP, PVC, SERIE R, ÁGUA PLUVIAL, DN 100 MM, JUNTA ELÁSTICA, FORNECIDO E INSTALADO EM RAMAL DE ENCAMINHAMENTO. AF_06/2022</v>
      </c>
      <c r="E487" s="1315" t="str">
        <f>IFERROR(VLOOKUP($B487,'24.08_ND'!$A:$D,3,0),IFERROR(VLOOKUP($B487,'03-CP'!$C$5:$H$4646,3,0),""))</f>
        <v>UN</v>
      </c>
      <c r="F487" s="389">
        <v>16</v>
      </c>
      <c r="G487" s="1244"/>
      <c r="H487" s="1244"/>
      <c r="I487" s="1409"/>
      <c r="J487" s="1644" t="s">
        <v>16316</v>
      </c>
      <c r="K487" s="1441"/>
      <c r="L487" s="262"/>
    </row>
    <row r="488" spans="1:12" ht="25.5" outlineLevel="1">
      <c r="A488" s="247" t="s">
        <v>14208</v>
      </c>
      <c r="B488" s="386">
        <v>89554</v>
      </c>
      <c r="C488" s="386" t="s">
        <v>14476</v>
      </c>
      <c r="D488" s="1314" t="str">
        <f>IFERROR(VLOOKUP($B488,'24.08_ND'!$A$4833:$D$12369,2,0),IFERROR(VLOOKUP($B488,'03-CP'!$C$5:$H$4646,2,0),""))</f>
        <v>LUVA SIMPLES, PVC, SERIE R, ÁGUA PLUVIAL, DN 100 MM, JUNTA ELÁSTICA, FORNECIDO E INSTALADO EM RAMAL DE ENCAMINHAMENTO. AF_06/2022</v>
      </c>
      <c r="E488" s="1315" t="str">
        <f>IFERROR(VLOOKUP($B488,'24.08_ND'!$A:$D,3,0),IFERROR(VLOOKUP($B488,'03-CP'!$C$5:$H$4646,3,0),""))</f>
        <v>UN</v>
      </c>
      <c r="F488" s="389">
        <v>80</v>
      </c>
      <c r="G488" s="1244"/>
      <c r="H488" s="1244"/>
      <c r="I488" s="1409"/>
      <c r="J488" s="1644" t="s">
        <v>16316</v>
      </c>
      <c r="K488" s="1441"/>
      <c r="L488" s="262"/>
    </row>
    <row r="489" spans="1:12" ht="38.25" outlineLevel="1">
      <c r="A489" s="247" t="s">
        <v>14209</v>
      </c>
      <c r="B489" s="386">
        <v>89529</v>
      </c>
      <c r="C489" s="386" t="s">
        <v>14476</v>
      </c>
      <c r="D489" s="1314" t="str">
        <f>IFERROR(VLOOKUP($B489,'24.08_ND'!$A$4833:$D$12369,2,0),IFERROR(VLOOKUP($B489,'03-CP'!$C$5:$H$4646,2,0),""))</f>
        <v>JOELHO 90 GRAUS, PVC, SERIE R, ÁGUA PLUVIAL, DN 100 MM, JUNTA ELÁSTICA, FORNECIDO E INSTALADO EM RAMAL DE ENCAMINHAMENTO. AF_06/2022</v>
      </c>
      <c r="E489" s="1315" t="str">
        <f>IFERROR(VLOOKUP($B489,'24.08_ND'!$A:$D,3,0),IFERROR(VLOOKUP($B489,'03-CP'!$C$5:$H$4646,3,0),""))</f>
        <v>UN</v>
      </c>
      <c r="F489" s="389">
        <v>22</v>
      </c>
      <c r="G489" s="1244"/>
      <c r="H489" s="1244"/>
      <c r="I489" s="1409"/>
      <c r="J489" s="1644" t="s">
        <v>16316</v>
      </c>
      <c r="K489" s="1441"/>
      <c r="L489" s="262"/>
    </row>
    <row r="490" spans="1:12" ht="38.25" outlineLevel="1">
      <c r="A490" s="247" t="s">
        <v>14210</v>
      </c>
      <c r="B490" s="386">
        <v>89690</v>
      </c>
      <c r="C490" s="386" t="s">
        <v>14476</v>
      </c>
      <c r="D490" s="1314" t="str">
        <f>IFERROR(VLOOKUP($B490,'24.08_ND'!$A$4833:$D$12369,2,0),IFERROR(VLOOKUP($B490,'03-CP'!$C$5:$H$4646,2,0),""))</f>
        <v>JUNÇÃO SIMPLES, PVC, SERIE R, ÁGUA PLUVIAL, DN 100 X 100 MM, JUNTA ELÁSTICA, FORNECIDO E INSTALADO EM CONDUTORES VERTICAIS DE ÁGUAS PLUVIAIS. AF_06/2022</v>
      </c>
      <c r="E490" s="1315" t="str">
        <f>IFERROR(VLOOKUP($B490,'24.08_ND'!$A:$D,3,0),IFERROR(VLOOKUP($B490,'03-CP'!$C$5:$H$4646,3,0),""))</f>
        <v>UN</v>
      </c>
      <c r="F490" s="389">
        <v>8</v>
      </c>
      <c r="G490" s="1244"/>
      <c r="H490" s="1244"/>
      <c r="I490" s="1409"/>
      <c r="J490" s="1644" t="s">
        <v>16316</v>
      </c>
      <c r="K490" s="1441"/>
      <c r="L490" s="262"/>
    </row>
    <row r="491" spans="1:12" ht="25.5" outlineLevel="1">
      <c r="A491" s="247" t="s">
        <v>14211</v>
      </c>
      <c r="B491" s="386">
        <v>89512</v>
      </c>
      <c r="C491" s="386" t="s">
        <v>14476</v>
      </c>
      <c r="D491" s="1314" t="str">
        <f>IFERROR(VLOOKUP($B491,'24.08_ND'!$A$4833:$D$12369,2,0),IFERROR(VLOOKUP($B491,'03-CP'!$C$5:$H$4646,2,0),""))</f>
        <v>TUBO PVC, SÉRIE R, ÁGUA PLUVIAL, DN 100 MM, FORNECIDO E INSTALADO EM RAMAL DE ENCAMINHAMENTO. AF_06/2022</v>
      </c>
      <c r="E491" s="1315" t="str">
        <f>IFERROR(VLOOKUP($B491,'24.08_ND'!$A:$D,3,0),IFERROR(VLOOKUP($B491,'03-CP'!$C$5:$H$4646,3,0),""))</f>
        <v>M</v>
      </c>
      <c r="F491" s="389">
        <v>138</v>
      </c>
      <c r="G491" s="1244"/>
      <c r="H491" s="1244"/>
      <c r="I491" s="1409"/>
      <c r="J491" s="1644" t="s">
        <v>16316</v>
      </c>
      <c r="K491" s="1441"/>
      <c r="L491" s="262"/>
    </row>
    <row r="492" spans="1:12" ht="25.5" outlineLevel="1">
      <c r="A492" s="247" t="s">
        <v>14212</v>
      </c>
      <c r="B492" s="386" t="s">
        <v>15434</v>
      </c>
      <c r="C492" s="386" t="s">
        <v>14472</v>
      </c>
      <c r="D492" s="1314" t="str">
        <f>IFERROR(VLOOKUP($B492,'24.08_ND'!$A$4833:$D$12369,2,0),IFERROR(VLOOKUP($B492,'03-CP'!$C$5:$H$4646,2,0),""))</f>
        <v>FORNECIMENTO E ASSENTAMENTO TUBO CORRUGADO PARA DRENAGEM-DN 300 MM (INTERNO)</v>
      </c>
      <c r="E492" s="1315" t="str">
        <f>IFERROR(VLOOKUP($B492,'24.08_ND'!$A:$D,3,0),IFERROR(VLOOKUP($B492,'03-CP'!$C$5:$H$4646,3,0),""))</f>
        <v>M</v>
      </c>
      <c r="F492" s="389">
        <v>81</v>
      </c>
      <c r="G492" s="1244"/>
      <c r="H492" s="1244"/>
      <c r="I492" s="1409"/>
      <c r="J492" s="1644" t="s">
        <v>16316</v>
      </c>
      <c r="K492" s="1441"/>
      <c r="L492" s="262"/>
    </row>
    <row r="493" spans="1:12" ht="25.5" outlineLevel="1">
      <c r="A493" s="247" t="s">
        <v>14213</v>
      </c>
      <c r="B493" s="386" t="s">
        <v>15417</v>
      </c>
      <c r="C493" s="386" t="s">
        <v>14472</v>
      </c>
      <c r="D493" s="1314" t="str">
        <f>IFERROR(VLOOKUP($B493,'24.08_ND'!$A$4833:$D$12369,2,0),IFERROR(VLOOKUP($B493,'03-CP'!$C$5:$H$4646,2,0),""))</f>
        <v>TAMPA CEGA INOX QUADRADA DN 150 MM, INCLUSO PORTA GRELHA PARA ENCAIXE - FORNECIMENTO E INSTALAÇÃO</v>
      </c>
      <c r="E493" s="1315" t="str">
        <f>IFERROR(VLOOKUP($B493,'24.08_ND'!$A:$D,3,0),IFERROR(VLOOKUP($B493,'03-CP'!$C$5:$H$4646,3,0),""))</f>
        <v>UN</v>
      </c>
      <c r="F493" s="389">
        <v>16</v>
      </c>
      <c r="G493" s="1244"/>
      <c r="H493" s="1244"/>
      <c r="I493" s="1409"/>
      <c r="J493" s="1644" t="s">
        <v>16316</v>
      </c>
      <c r="K493" s="1441"/>
      <c r="L493" s="262"/>
    </row>
    <row r="494" spans="1:12" ht="12.75" outlineLevel="1">
      <c r="A494" s="247" t="s">
        <v>14214</v>
      </c>
      <c r="B494" s="386" t="s">
        <v>15408</v>
      </c>
      <c r="C494" s="386" t="s">
        <v>14472</v>
      </c>
      <c r="D494" s="1314" t="str">
        <f>IFERROR(VLOOKUP($B494,'24.08_ND'!$A$4833:$D$12369,2,0),IFERROR(VLOOKUP($B494,'03-CP'!$C$5:$H$4646,2,0),""))</f>
        <v>RALO HEMISFERICO 100MM PVC (RALO ABACAXI)</v>
      </c>
      <c r="E494" s="1315" t="str">
        <f>IFERROR(VLOOKUP($B494,'24.08_ND'!$A:$D,3,0),IFERROR(VLOOKUP($B494,'03-CP'!$C$5:$H$4646,3,0),""))</f>
        <v>UN</v>
      </c>
      <c r="F494" s="389">
        <v>20</v>
      </c>
      <c r="G494" s="1244"/>
      <c r="H494" s="1244"/>
      <c r="I494" s="1409"/>
      <c r="J494" s="1644" t="s">
        <v>16316</v>
      </c>
      <c r="K494" s="1441"/>
      <c r="L494" s="262"/>
    </row>
    <row r="495" spans="1:12" ht="51" outlineLevel="1">
      <c r="A495" s="247" t="s">
        <v>14215</v>
      </c>
      <c r="B495" s="386">
        <v>91175</v>
      </c>
      <c r="C495" s="386" t="s">
        <v>14476</v>
      </c>
      <c r="D495" s="1314" t="str">
        <f>IFERROR(VLOOKUP($B495,'24.08_ND'!$A$4833:$D$12369,2,0),IFERROR(VLOOKUP($B495,'03-CP'!$C$5:$H$4646,2,0),""))</f>
        <v>FIXAÇÃO DE TUBOS VERTICAIS DE PVC ÁGUA, PVC ESGOTO, PVC ÁGUA PLUVIAL, CPVC, PPR, COBRE OU AÇO, DIÂMETROS MAIORES QUE 75 MM E MENORES OU IGUAIS A 100 MM, COM ABRAÇADEIRA METÁLICA RÍGIDA TIPO U PERFIL 4", FIXADA EM PERFILADO EM PAREDE. AF_09/2023_PS</v>
      </c>
      <c r="E495" s="1315" t="str">
        <f>IFERROR(VLOOKUP($B495,'24.08_ND'!$A:$D,3,0),IFERROR(VLOOKUP($B495,'03-CP'!$C$5:$H$4646,3,0),""))</f>
        <v>M</v>
      </c>
      <c r="F495" s="389">
        <v>30</v>
      </c>
      <c r="G495" s="1244"/>
      <c r="H495" s="1244"/>
      <c r="I495" s="1409"/>
      <c r="J495" s="1644" t="s">
        <v>16316</v>
      </c>
      <c r="K495" s="1441"/>
      <c r="L495" s="262"/>
    </row>
    <row r="496" spans="1:12" ht="12.75" hidden="1">
      <c r="A496" s="1487"/>
      <c r="B496" s="1488"/>
      <c r="C496" s="1488"/>
      <c r="D496" s="1489"/>
      <c r="E496" s="1490"/>
      <c r="F496" s="1491"/>
      <c r="G496" s="1492"/>
      <c r="H496" s="1493"/>
      <c r="I496" s="1494"/>
      <c r="J496" s="262"/>
      <c r="K496" s="262"/>
      <c r="L496" s="262"/>
    </row>
    <row r="497" spans="1:12" ht="12.75">
      <c r="A497" s="1298" t="s">
        <v>16419</v>
      </c>
      <c r="B497" s="1371"/>
      <c r="C497" s="1371"/>
      <c r="D497" s="1372"/>
      <c r="E497" s="1373"/>
      <c r="F497" s="1374"/>
      <c r="G497" s="1375"/>
      <c r="H497" s="1376"/>
      <c r="I497" s="1377"/>
      <c r="J497" s="262"/>
      <c r="K497" s="262" t="s">
        <v>16561</v>
      </c>
      <c r="L497" s="262"/>
    </row>
    <row r="498" spans="1:12" ht="12.75">
      <c r="A498" s="238" t="s">
        <v>12651</v>
      </c>
      <c r="B498" s="1304"/>
      <c r="C498" s="1304"/>
      <c r="D498" s="1305" t="s">
        <v>12510</v>
      </c>
      <c r="E498" s="1306"/>
      <c r="F498" s="1307"/>
      <c r="G498" s="1307"/>
      <c r="H498" s="1307"/>
      <c r="I498" s="1496"/>
      <c r="J498" s="262"/>
      <c r="K498" s="262"/>
      <c r="L498" s="262"/>
    </row>
    <row r="499" spans="1:12" ht="12.75">
      <c r="A499" s="250" t="s">
        <v>14216</v>
      </c>
      <c r="B499" s="1309"/>
      <c r="C499" s="1497"/>
      <c r="D499" s="237" t="s">
        <v>16333</v>
      </c>
      <c r="E499" s="234"/>
      <c r="F499" s="1311"/>
      <c r="G499" s="236"/>
      <c r="H499" s="236"/>
      <c r="I499" s="1499"/>
      <c r="J499" s="262"/>
      <c r="K499" s="262"/>
      <c r="L499" s="262"/>
    </row>
    <row r="500" spans="1:12" ht="38.25" outlineLevel="1">
      <c r="A500" s="247" t="s">
        <v>14217</v>
      </c>
      <c r="B500" s="386">
        <v>97667</v>
      </c>
      <c r="C500" s="386" t="s">
        <v>14476</v>
      </c>
      <c r="D500" s="1314" t="str">
        <f>IFERROR(VLOOKUP($B500,'24.08_ND'!$A$4833:$D$12369,2,0),IFERROR(VLOOKUP($B500,'03-CP'!$C$5:$H$4646,2,0),""))</f>
        <v>ELETRODUTO FLEXÍVEL CORRUGADO, PEAD, DN 50 (1 1/2"), PARA REDE ENTERRADA DE DISTRIBUIÇÃO DE ENERGIA ELÉTRICA - FORNECIMENTO E INSTALAÇÃO. AF_12/2021</v>
      </c>
      <c r="E500" s="1315" t="str">
        <f>IFERROR(VLOOKUP($B500,'24.08_ND'!$A:$D,3,0),IFERROR(VLOOKUP($B500,'03-CP'!$C$5:$H$4646,3,0),""))</f>
        <v>M</v>
      </c>
      <c r="F500" s="389">
        <v>130</v>
      </c>
      <c r="G500" s="1244"/>
      <c r="H500" s="1244"/>
      <c r="I500" s="1409"/>
      <c r="J500" s="262"/>
      <c r="K500" s="262"/>
      <c r="L500" s="262"/>
    </row>
    <row r="501" spans="1:12" ht="38.25" outlineLevel="1">
      <c r="A501" s="247" t="s">
        <v>14218</v>
      </c>
      <c r="B501" s="1522" t="s">
        <v>15217</v>
      </c>
      <c r="C501" s="386" t="s">
        <v>14476</v>
      </c>
      <c r="D501" s="1314" t="str">
        <f>IFERROR(VLOOKUP($B501,'24.08_ND'!$A$4833:$D$12369,2,0),IFERROR(VLOOKUP($B501,'03-CP'!$C$5:$H$4646,2,0),""))</f>
        <v>ELETRODUTO FLEXÍVEL CORRUGADO, PEAD, DN ATÉ 40 MM (1 1/4"), PARA REDE ENTERRADA DE DISTRIBUIÇÃO DE ENERGIA ELÉTRICA - FORNECIMENTO E INSTALAÇÃO</v>
      </c>
      <c r="E501" s="1315" t="str">
        <f>IFERROR(VLOOKUP($B501,'24.08_ND'!$A:$D,3,0),IFERROR(VLOOKUP($B501,'03-CP'!$C$5:$H$4646,3,0),""))</f>
        <v>M</v>
      </c>
      <c r="F501" s="389">
        <v>50</v>
      </c>
      <c r="G501" s="1244"/>
      <c r="H501" s="1244"/>
      <c r="I501" s="1409"/>
      <c r="J501" s="262"/>
      <c r="K501" s="262"/>
      <c r="L501" s="262"/>
    </row>
    <row r="502" spans="1:12" ht="38.25" outlineLevel="1">
      <c r="A502" s="247" t="s">
        <v>14219</v>
      </c>
      <c r="B502" s="386">
        <v>91837</v>
      </c>
      <c r="C502" s="386" t="s">
        <v>14476</v>
      </c>
      <c r="D502" s="1314" t="str">
        <f>IFERROR(VLOOKUP($B502,'24.08_ND'!$A$4833:$D$12369,2,0),IFERROR(VLOOKUP($B502,'03-CP'!$C$5:$H$4646,2,0),""))</f>
        <v>ELETRODUTO FLEXÍVEL CORRUGADO REFORÇADO, PVC, DN 32 MM (1"), PARA CIRCUITOS TERMINAIS, INSTALADO EM FORRO - FORNECIMENTO E INSTALAÇÃO. AF_03/2023_PA</v>
      </c>
      <c r="E502" s="1315" t="str">
        <f>IFERROR(VLOOKUP($B502,'24.08_ND'!$A:$D,3,0),IFERROR(VLOOKUP($B502,'03-CP'!$C$5:$H$4646,3,0),""))</f>
        <v>M</v>
      </c>
      <c r="F502" s="389">
        <v>25</v>
      </c>
      <c r="G502" s="1244"/>
      <c r="H502" s="1244"/>
      <c r="I502" s="1409"/>
      <c r="J502" s="262"/>
      <c r="K502" s="262"/>
      <c r="L502" s="262"/>
    </row>
    <row r="503" spans="1:12" ht="38.25" outlineLevel="1">
      <c r="A503" s="247" t="s">
        <v>14220</v>
      </c>
      <c r="B503" s="386">
        <v>91835</v>
      </c>
      <c r="C503" s="386" t="s">
        <v>14476</v>
      </c>
      <c r="D503" s="1314" t="str">
        <f>IFERROR(VLOOKUP($B503,'24.08_ND'!$A$4833:$D$12369,2,0),IFERROR(VLOOKUP($B503,'03-CP'!$C$5:$H$4646,2,0),""))</f>
        <v>ELETRODUTO FLEXÍVEL CORRUGADO REFORÇADO, PVC, DN 25 MM (3/4"), PARA CIRCUITOS TERMINAIS, INSTALADO EM FORRO - FORNECIMENTO E INSTALAÇÃO. AF_03/2023_PA</v>
      </c>
      <c r="E503" s="1315" t="str">
        <f>IFERROR(VLOOKUP($B503,'24.08_ND'!$A:$D,3,0),IFERROR(VLOOKUP($B503,'03-CP'!$C$5:$H$4646,3,0),""))</f>
        <v>M</v>
      </c>
      <c r="F503" s="389">
        <v>280</v>
      </c>
      <c r="G503" s="1244"/>
      <c r="H503" s="1244"/>
      <c r="I503" s="1409"/>
      <c r="J503" s="262"/>
      <c r="K503" s="262"/>
      <c r="L503" s="262"/>
    </row>
    <row r="504" spans="1:12" ht="25.5" outlineLevel="1">
      <c r="A504" s="247" t="s">
        <v>14221</v>
      </c>
      <c r="B504" s="386">
        <v>93358</v>
      </c>
      <c r="C504" s="386" t="s">
        <v>14476</v>
      </c>
      <c r="D504" s="1314" t="str">
        <f>IFERROR(VLOOKUP($B504,'24.08_ND'!$A$4833:$D$12369,2,0),IFERROR(VLOOKUP($B504,'03-CP'!$C$5:$H$4646,2,0),""))</f>
        <v>ESCAVAÇÃO MANUAL DE VALA COM PROFUNDIDADE MENOR OU IGUAL A 1,30 M. AF_02/2021</v>
      </c>
      <c r="E504" s="1315" t="str">
        <f>IFERROR(VLOOKUP($B504,'24.08_ND'!$A:$D,3,0),IFERROR(VLOOKUP($B504,'03-CP'!$C$5:$H$4646,3,0),""))</f>
        <v>M3</v>
      </c>
      <c r="F504" s="389">
        <v>16.5</v>
      </c>
      <c r="G504" s="1244"/>
      <c r="H504" s="1244"/>
      <c r="I504" s="1409"/>
      <c r="J504" s="262"/>
      <c r="K504" s="262"/>
      <c r="L504" s="262"/>
    </row>
    <row r="505" spans="1:12" ht="12.75" outlineLevel="1">
      <c r="A505" s="247" t="s">
        <v>14222</v>
      </c>
      <c r="B505" s="386">
        <v>104737</v>
      </c>
      <c r="C505" s="386" t="s">
        <v>14476</v>
      </c>
      <c r="D505" s="1314" t="str">
        <f>IFERROR(VLOOKUP($B505,'24.08_ND'!$A$4833:$D$12369,2,0),IFERROR(VLOOKUP($B505,'03-CP'!$C$5:$H$4646,2,0),""))</f>
        <v>REATERRO MANUAL DE VALAS, COM PLACA VIBRATÓRIA. AF_08/2023</v>
      </c>
      <c r="E505" s="1315" t="str">
        <f>IFERROR(VLOOKUP($B505,'24.08_ND'!$A:$D,3,0),IFERROR(VLOOKUP($B505,'03-CP'!$C$5:$H$4646,3,0),""))</f>
        <v>M3</v>
      </c>
      <c r="F505" s="389">
        <f>F504*1.1</f>
        <v>18.150000000000002</v>
      </c>
      <c r="G505" s="1244"/>
      <c r="H505" s="1244"/>
      <c r="I505" s="1409"/>
      <c r="J505" s="262"/>
      <c r="K505" s="262"/>
      <c r="L505" s="262"/>
    </row>
    <row r="506" spans="1:12" ht="12.75">
      <c r="A506" s="250" t="s">
        <v>14223</v>
      </c>
      <c r="B506" s="1309"/>
      <c r="C506" s="1497"/>
      <c r="D506" s="237" t="s">
        <v>16335</v>
      </c>
      <c r="E506" s="234"/>
      <c r="F506" s="1311"/>
      <c r="G506" s="236"/>
      <c r="H506" s="236"/>
      <c r="I506" s="1499"/>
      <c r="J506" s="262"/>
      <c r="K506" s="262"/>
      <c r="L506" s="262"/>
    </row>
    <row r="507" spans="1:12" ht="25.5" outlineLevel="1">
      <c r="A507" s="247" t="s">
        <v>14224</v>
      </c>
      <c r="B507" s="386">
        <v>91941</v>
      </c>
      <c r="C507" s="386" t="s">
        <v>14476</v>
      </c>
      <c r="D507" s="1314" t="str">
        <f>IFERROR(VLOOKUP($B507,'24.08_ND'!$A$4833:$D$12369,2,0),IFERROR(VLOOKUP($B507,'03-CP'!$C$5:$H$4646,2,0),""))</f>
        <v>CAIXA RETANGULAR 4" X 2" BAIXA (0,30 M DO PISO), PVC, INSTALADA EM PAREDE - FORNECIMENTO E INSTALAÇÃO. AF_03/2023</v>
      </c>
      <c r="E507" s="1315" t="str">
        <f>IFERROR(VLOOKUP($B507,'24.08_ND'!$A:$D,3,0),IFERROR(VLOOKUP($B507,'03-CP'!$C$5:$H$4646,3,0),""))</f>
        <v>UN</v>
      </c>
      <c r="F507" s="389">
        <v>29</v>
      </c>
      <c r="G507" s="1244"/>
      <c r="H507" s="1244"/>
      <c r="I507" s="1409"/>
      <c r="J507" s="262"/>
      <c r="K507" s="262"/>
      <c r="L507" s="262"/>
    </row>
    <row r="508" spans="1:12" ht="25.5" outlineLevel="1">
      <c r="A508" s="247" t="s">
        <v>14225</v>
      </c>
      <c r="B508" s="386">
        <v>91939</v>
      </c>
      <c r="C508" s="386" t="s">
        <v>14476</v>
      </c>
      <c r="D508" s="1314" t="str">
        <f>IFERROR(VLOOKUP($B508,'24.08_ND'!$A$4833:$D$12369,2,0),IFERROR(VLOOKUP($B508,'03-CP'!$C$5:$H$4646,2,0),""))</f>
        <v>CAIXA RETANGULAR 4" X 2" ALTA (2,00 M DO PISO), PVC, INSTALADA EM PAREDE - FORNECIMENTO E INSTALAÇÃO. AF_03/2023</v>
      </c>
      <c r="E508" s="1315" t="str">
        <f>IFERROR(VLOOKUP($B508,'24.08_ND'!$A:$D,3,0),IFERROR(VLOOKUP($B508,'03-CP'!$C$5:$H$4646,3,0),""))</f>
        <v>UN</v>
      </c>
      <c r="F508" s="389">
        <v>31</v>
      </c>
      <c r="G508" s="1244"/>
      <c r="H508" s="1244"/>
      <c r="I508" s="1409"/>
      <c r="J508" s="262"/>
      <c r="K508" s="262"/>
      <c r="L508" s="262"/>
    </row>
    <row r="509" spans="1:12" ht="25.5" outlineLevel="1">
      <c r="A509" s="247" t="s">
        <v>14226</v>
      </c>
      <c r="B509" s="386">
        <v>91940</v>
      </c>
      <c r="C509" s="386" t="s">
        <v>14476</v>
      </c>
      <c r="D509" s="1314" t="str">
        <f>IFERROR(VLOOKUP($B509,'24.08_ND'!$A$4833:$D$12369,2,0),IFERROR(VLOOKUP($B509,'03-CP'!$C$5:$H$4646,2,0),""))</f>
        <v>CAIXA RETANGULAR 4" X 2" MÉDIA (1,30 M DO PISO), PVC, INSTALADA EM PAREDE - FORNECIMENTO E INSTALAÇÃO. AF_03/2023</v>
      </c>
      <c r="E509" s="1315" t="str">
        <f>IFERROR(VLOOKUP($B509,'24.08_ND'!$A:$D,3,0),IFERROR(VLOOKUP($B509,'03-CP'!$C$5:$H$4646,3,0),""))</f>
        <v>UN</v>
      </c>
      <c r="F509" s="389">
        <v>8</v>
      </c>
      <c r="G509" s="1244"/>
      <c r="H509" s="1244"/>
      <c r="I509" s="1409"/>
      <c r="J509" s="262"/>
      <c r="K509" s="262"/>
      <c r="L509" s="262"/>
    </row>
    <row r="510" spans="1:12" ht="25.5" outlineLevel="1">
      <c r="A510" s="247" t="s">
        <v>14227</v>
      </c>
      <c r="B510" s="386">
        <v>91936</v>
      </c>
      <c r="C510" s="386" t="s">
        <v>14476</v>
      </c>
      <c r="D510" s="1314" t="str">
        <f>IFERROR(VLOOKUP($B510,'24.08_ND'!$A$4833:$D$12369,2,0),IFERROR(VLOOKUP($B510,'03-CP'!$C$5:$H$4646,2,0),""))</f>
        <v>CAIXA OCTOGONAL 4" X 4", PVC, INSTALADA EM LAJE - FORNECIMENTO E INSTALAÇÃO. AF_03/2023</v>
      </c>
      <c r="E510" s="1315" t="str">
        <f>IFERROR(VLOOKUP($B510,'24.08_ND'!$A:$D,3,0),IFERROR(VLOOKUP($B510,'03-CP'!$C$5:$H$4646,3,0),""))</f>
        <v>UN</v>
      </c>
      <c r="F510" s="389">
        <v>87</v>
      </c>
      <c r="G510" s="1244"/>
      <c r="H510" s="1244"/>
      <c r="I510" s="1409"/>
      <c r="J510" s="262"/>
      <c r="K510" s="262"/>
      <c r="L510" s="262"/>
    </row>
    <row r="511" spans="1:12" ht="25.5" outlineLevel="1">
      <c r="A511" s="247" t="s">
        <v>14228</v>
      </c>
      <c r="B511" s="386">
        <v>97882</v>
      </c>
      <c r="C511" s="386" t="s">
        <v>14476</v>
      </c>
      <c r="D511" s="1314" t="str">
        <f>IFERROR(VLOOKUP($B511,'24.08_ND'!$A$4833:$D$12369,2,0),IFERROR(VLOOKUP($B511,'03-CP'!$C$5:$H$4646,2,0),""))</f>
        <v>CAIXA ENTERRADA ELÉTRICA RETANGULAR, EM CONCRETO PRÉ-MOLDADO, FUNDO COM BRITA, DIMENSÕES INTERNAS: 0,4X0,4X0,4 M. AF_12/2020</v>
      </c>
      <c r="E511" s="1315" t="str">
        <f>IFERROR(VLOOKUP($B511,'24.08_ND'!$A:$D,3,0),IFERROR(VLOOKUP($B511,'03-CP'!$C$5:$H$4646,3,0),""))</f>
        <v>UN</v>
      </c>
      <c r="F511" s="389">
        <v>2</v>
      </c>
      <c r="G511" s="1244"/>
      <c r="H511" s="1244"/>
      <c r="I511" s="1409"/>
      <c r="J511" s="262"/>
      <c r="K511" s="262"/>
      <c r="L511" s="262"/>
    </row>
    <row r="512" spans="1:12" ht="12.75">
      <c r="A512" s="250" t="s">
        <v>14229</v>
      </c>
      <c r="B512" s="1309"/>
      <c r="C512" s="1497"/>
      <c r="D512" s="237" t="s">
        <v>16336</v>
      </c>
      <c r="E512" s="234"/>
      <c r="F512" s="1311"/>
      <c r="G512" s="236"/>
      <c r="H512" s="236"/>
      <c r="I512" s="1499"/>
      <c r="J512" s="262"/>
      <c r="K512" s="262"/>
      <c r="L512" s="262"/>
    </row>
    <row r="513" spans="1:12" ht="25.5" outlineLevel="1">
      <c r="A513" s="247" t="s">
        <v>14230</v>
      </c>
      <c r="B513" s="386">
        <v>91992</v>
      </c>
      <c r="C513" s="386" t="s">
        <v>14476</v>
      </c>
      <c r="D513" s="1314" t="str">
        <f>IFERROR(VLOOKUP($B513,'24.08_ND'!$A$4833:$D$12369,2,0),IFERROR(VLOOKUP($B513,'03-CP'!$C$5:$H$4646,2,0),""))</f>
        <v>TOMADA ALTA DE EMBUTIR (1 MÓDULO), 2P+T 10 A, INCLUINDO SUPORTE E PLACA - FORNECIMENTO E INSTALAÇÃO. AF_03/2023</v>
      </c>
      <c r="E513" s="1315" t="str">
        <f>IFERROR(VLOOKUP($B513,'24.08_ND'!$A:$D,3,0),IFERROR(VLOOKUP($B513,'03-CP'!$C$5:$H$4646,3,0),""))</f>
        <v>UN</v>
      </c>
      <c r="F513" s="389">
        <v>7</v>
      </c>
      <c r="G513" s="1244"/>
      <c r="H513" s="1244"/>
      <c r="I513" s="1409"/>
      <c r="J513" s="262"/>
      <c r="K513" s="262"/>
      <c r="L513" s="262"/>
    </row>
    <row r="514" spans="1:12" ht="25.5" outlineLevel="1">
      <c r="A514" s="247" t="s">
        <v>14231</v>
      </c>
      <c r="B514" s="386">
        <v>91996</v>
      </c>
      <c r="C514" s="386" t="s">
        <v>14476</v>
      </c>
      <c r="D514" s="1314" t="str">
        <f>IFERROR(VLOOKUP($B514,'24.08_ND'!$A$4833:$D$12369,2,0),IFERROR(VLOOKUP($B514,'03-CP'!$C$5:$H$4646,2,0),""))</f>
        <v>TOMADA MÉDIA DE EMBUTIR (1 MÓDULO), 2P+T 10 A, INCLUINDO SUPORTE E PLACA - FORNECIMENTO E INSTALAÇÃO. AF_03/2023</v>
      </c>
      <c r="E514" s="1315" t="str">
        <f>IFERROR(VLOOKUP($B514,'24.08_ND'!$A:$D,3,0),IFERROR(VLOOKUP($B514,'03-CP'!$C$5:$H$4646,3,0),""))</f>
        <v>UN</v>
      </c>
      <c r="F514" s="389">
        <v>5</v>
      </c>
      <c r="G514" s="1244"/>
      <c r="H514" s="1244"/>
      <c r="I514" s="1409"/>
      <c r="J514" s="262"/>
      <c r="K514" s="262"/>
      <c r="L514" s="262"/>
    </row>
    <row r="515" spans="1:12" ht="25.5" outlineLevel="1">
      <c r="A515" s="247" t="s">
        <v>14232</v>
      </c>
      <c r="B515" s="386">
        <v>92000</v>
      </c>
      <c r="C515" s="386" t="s">
        <v>14476</v>
      </c>
      <c r="D515" s="1314" t="str">
        <f>IFERROR(VLOOKUP($B515,'24.08_ND'!$A$4833:$D$12369,2,0),IFERROR(VLOOKUP($B515,'03-CP'!$C$5:$H$4646,2,0),""))</f>
        <v>TOMADA BAIXA DE EMBUTIR (1 MÓDULO), 2P+T 10 A, INCLUINDO SUPORTE E PLACA - FORNECIMENTO E INSTALAÇÃO. AF_03/2023</v>
      </c>
      <c r="E515" s="1315" t="str">
        <f>IFERROR(VLOOKUP($B515,'24.08_ND'!$A:$D,3,0),IFERROR(VLOOKUP($B515,'03-CP'!$C$5:$H$4646,3,0),""))</f>
        <v>UN</v>
      </c>
      <c r="F515" s="389">
        <v>18</v>
      </c>
      <c r="G515" s="1244"/>
      <c r="H515" s="1244"/>
      <c r="I515" s="1409"/>
      <c r="J515" s="262"/>
      <c r="K515" s="262"/>
      <c r="L515" s="262"/>
    </row>
    <row r="516" spans="1:12" ht="12.75" outlineLevel="1">
      <c r="A516" s="247" t="s">
        <v>14233</v>
      </c>
      <c r="B516" s="386" t="s">
        <v>15145</v>
      </c>
      <c r="C516" s="386" t="s">
        <v>14472</v>
      </c>
      <c r="D516" s="1314" t="str">
        <f>IFERROR(VLOOKUP($B516,'24.08_ND'!$A$4833:$D$12369,2,0),IFERROR(VLOOKUP($B516,'03-CP'!$C$5:$H$4646,2,0),""))</f>
        <v>SUPORTE E PLACA CEGA 4X2'' - FORNECIMENTO E INSTALAÇÃO</v>
      </c>
      <c r="E516" s="1315" t="str">
        <f>IFERROR(VLOOKUP($B516,'24.08_ND'!$A:$D,3,0),IFERROR(VLOOKUP($B516,'03-CP'!$C$5:$H$4646,3,0),""))</f>
        <v>UN</v>
      </c>
      <c r="F516" s="389">
        <v>2</v>
      </c>
      <c r="G516" s="1244"/>
      <c r="H516" s="1244"/>
      <c r="I516" s="1409"/>
      <c r="J516" s="262"/>
      <c r="K516" s="262"/>
      <c r="L516" s="262"/>
    </row>
    <row r="517" spans="1:12" ht="25.5" outlineLevel="1">
      <c r="A517" s="247" t="s">
        <v>14234</v>
      </c>
      <c r="B517" s="386">
        <v>91953</v>
      </c>
      <c r="C517" s="386" t="s">
        <v>14476</v>
      </c>
      <c r="D517" s="1314" t="str">
        <f>IFERROR(VLOOKUP($B517,'24.08_ND'!$A$4833:$D$12369,2,0),IFERROR(VLOOKUP($B517,'03-CP'!$C$5:$H$4646,2,0),""))</f>
        <v>INTERRUPTOR SIMPLES (1 MÓDULO), 10A/250V, INCLUINDO SUPORTE E PLACA - FORNECIMENTO E INSTALAÇÃO. AF_03/2023</v>
      </c>
      <c r="E517" s="1315" t="str">
        <f>IFERROR(VLOOKUP($B517,'24.08_ND'!$A:$D,3,0),IFERROR(VLOOKUP($B517,'03-CP'!$C$5:$H$4646,3,0),""))</f>
        <v>UN</v>
      </c>
      <c r="F517" s="389">
        <v>1</v>
      </c>
      <c r="G517" s="1244"/>
      <c r="H517" s="1244"/>
      <c r="I517" s="1409"/>
      <c r="J517" s="262"/>
      <c r="K517" s="262"/>
      <c r="L517" s="262"/>
    </row>
    <row r="518" spans="1:12" ht="25.5" outlineLevel="1">
      <c r="A518" s="247" t="s">
        <v>14235</v>
      </c>
      <c r="B518" s="386">
        <v>97596</v>
      </c>
      <c r="C518" s="386" t="s">
        <v>14476</v>
      </c>
      <c r="D518" s="1314" t="str">
        <f>IFERROR(VLOOKUP($B518,'24.08_ND'!$A$4833:$D$12369,2,0),IFERROR(VLOOKUP($B518,'03-CP'!$C$5:$H$4646,2,0),""))</f>
        <v>SENSOR DE PRESENÇA SEM FOTOCÉLULA, FIXAÇÃO EM PAREDE - FORNECIMENTO E INSTALAÇÃO. AF_02/2020</v>
      </c>
      <c r="E518" s="1315" t="str">
        <f>IFERROR(VLOOKUP($B518,'24.08_ND'!$A:$D,3,0),IFERROR(VLOOKUP($B518,'03-CP'!$C$5:$H$4646,3,0),""))</f>
        <v>UN</v>
      </c>
      <c r="F518" s="389">
        <v>6</v>
      </c>
      <c r="G518" s="1244"/>
      <c r="H518" s="1244"/>
      <c r="I518" s="1409"/>
      <c r="J518" s="262"/>
      <c r="K518" s="262"/>
      <c r="L518" s="262"/>
    </row>
    <row r="519" spans="1:12" ht="38.25" outlineLevel="1">
      <c r="A519" s="247" t="s">
        <v>14236</v>
      </c>
      <c r="B519" s="386">
        <v>91985</v>
      </c>
      <c r="C519" s="386" t="s">
        <v>14476</v>
      </c>
      <c r="D519" s="1314" t="str">
        <f>IFERROR(VLOOKUP($B519,'24.08_ND'!$A$4833:$D$12369,2,0),IFERROR(VLOOKUP($B519,'03-CP'!$C$5:$H$4646,2,0),""))</f>
        <v>INTERRUPTOR PULSADOR CAMPAINHA (1 MÓDULO), 10A/250V, INCLUINDO SUPORTE E PLACA - FORNECIMENTO E INSTALAÇÃO. AF_03/2023</v>
      </c>
      <c r="E519" s="1315" t="str">
        <f>IFERROR(VLOOKUP($B519,'24.08_ND'!$A:$D,3,0),IFERROR(VLOOKUP($B519,'03-CP'!$C$5:$H$4646,3,0),""))</f>
        <v>UN</v>
      </c>
      <c r="F519" s="389">
        <v>2</v>
      </c>
      <c r="G519" s="1244"/>
      <c r="H519" s="1244"/>
      <c r="I519" s="1409"/>
      <c r="J519" s="262"/>
      <c r="K519" s="262"/>
      <c r="L519" s="262"/>
    </row>
    <row r="520" spans="1:12" ht="25.5" outlineLevel="1">
      <c r="A520" s="247" t="s">
        <v>14237</v>
      </c>
      <c r="B520" s="386">
        <v>91987</v>
      </c>
      <c r="C520" s="386" t="s">
        <v>14476</v>
      </c>
      <c r="D520" s="1314" t="str">
        <f>IFERROR(VLOOKUP($B520,'24.08_ND'!$A$4833:$D$12369,2,0),IFERROR(VLOOKUP($B520,'03-CP'!$C$5:$H$4646,2,0),""))</f>
        <v>CAMPAINHA CIGARRA (1 MÓDULO), 10A/250V, INCLUINDO SUPORTE E PLACA - FORNECIMENTO E INSTALAÇÃO. AF_03/2023</v>
      </c>
      <c r="E520" s="1315" t="str">
        <f>IFERROR(VLOOKUP($B520,'24.08_ND'!$A:$D,3,0),IFERROR(VLOOKUP($B520,'03-CP'!$C$5:$H$4646,3,0),""))</f>
        <v>UN</v>
      </c>
      <c r="F520" s="389">
        <v>2</v>
      </c>
      <c r="G520" s="1244"/>
      <c r="H520" s="1244"/>
      <c r="I520" s="1409"/>
      <c r="J520" s="262"/>
      <c r="K520" s="262"/>
      <c r="L520" s="262"/>
    </row>
    <row r="521" spans="1:12" ht="25.5" outlineLevel="1">
      <c r="A521" s="247" t="s">
        <v>14238</v>
      </c>
      <c r="B521" s="386">
        <v>102137</v>
      </c>
      <c r="C521" s="386" t="s">
        <v>14476</v>
      </c>
      <c r="D521" s="1314" t="str">
        <f>IFERROR(VLOOKUP($B521,'24.08_ND'!$A$4833:$D$12369,2,0),IFERROR(VLOOKUP($B521,'03-CP'!$C$5:$H$4646,2,0),""))</f>
        <v>CHAVE DE BOIA AUTOMÁTICA SUPERIOR/INFERIOR 15A/250V - FORNECIMENTO E INSTALAÇÃO. AF_12/2020</v>
      </c>
      <c r="E521" s="1315" t="str">
        <f>IFERROR(VLOOKUP($B521,'24.08_ND'!$A:$D,3,0),IFERROR(VLOOKUP($B521,'03-CP'!$C$5:$H$4646,3,0),""))</f>
        <v>UN</v>
      </c>
      <c r="F521" s="389">
        <v>1</v>
      </c>
      <c r="G521" s="1244"/>
      <c r="H521" s="1244"/>
      <c r="I521" s="1409"/>
      <c r="J521" s="262"/>
      <c r="K521" s="262"/>
      <c r="L521" s="262"/>
    </row>
    <row r="522" spans="1:12" ht="12.75">
      <c r="A522" s="250" t="s">
        <v>14239</v>
      </c>
      <c r="B522" s="1309"/>
      <c r="C522" s="1497"/>
      <c r="D522" s="237" t="s">
        <v>16337</v>
      </c>
      <c r="E522" s="234"/>
      <c r="F522" s="1311"/>
      <c r="G522" s="236"/>
      <c r="H522" s="236"/>
      <c r="I522" s="1499"/>
      <c r="J522" s="262"/>
      <c r="K522" s="262"/>
      <c r="L522" s="262"/>
    </row>
    <row r="523" spans="1:12" ht="25.5" outlineLevel="1">
      <c r="A523" s="247" t="s">
        <v>14240</v>
      </c>
      <c r="B523" s="386">
        <v>91926</v>
      </c>
      <c r="C523" s="386" t="s">
        <v>14476</v>
      </c>
      <c r="D523" s="1314" t="str">
        <f>IFERROR(VLOOKUP($B523,'24.08_ND'!$A$4833:$D$12369,2,0),IFERROR(VLOOKUP($B523,'03-CP'!$C$5:$H$4646,2,0),""))</f>
        <v>CABO DE COBRE FLEXÍVEL ISOLADO, 2,5 MM², ANTI-CHAMA 450/750 V, PARA CIRCUITOS TERMINAIS - FORNECIMENTO E INSTALAÇÃO. AF_03/2023</v>
      </c>
      <c r="E523" s="1315" t="str">
        <f>IFERROR(VLOOKUP($B523,'24.08_ND'!$A:$D,3,0),IFERROR(VLOOKUP($B523,'03-CP'!$C$5:$H$4646,3,0),""))</f>
        <v>M</v>
      </c>
      <c r="F523" s="389">
        <v>1345</v>
      </c>
      <c r="G523" s="1244"/>
      <c r="H523" s="1244"/>
      <c r="I523" s="1409"/>
      <c r="J523" s="262"/>
      <c r="K523" s="262"/>
      <c r="L523" s="262"/>
    </row>
    <row r="524" spans="1:12" ht="25.5" outlineLevel="1">
      <c r="A524" s="247" t="s">
        <v>14241</v>
      </c>
      <c r="B524" s="386">
        <v>91935</v>
      </c>
      <c r="C524" s="386" t="s">
        <v>14476</v>
      </c>
      <c r="D524" s="1314" t="str">
        <f>IFERROR(VLOOKUP($B524,'24.08_ND'!$A$4833:$D$12369,2,0),IFERROR(VLOOKUP($B524,'03-CP'!$C$5:$H$4646,2,0),""))</f>
        <v>CABO DE COBRE FLEXÍVEL ISOLADO, 16 MM², ANTI-CHAMA 0,6/1,0 KV, PARA CIRCUITOS TERMINAIS - FORNECIMENTO E INSTALAÇÃO. AF_03/2023</v>
      </c>
      <c r="E524" s="1315" t="str">
        <f>IFERROR(VLOOKUP($B524,'24.08_ND'!$A:$D,3,0),IFERROR(VLOOKUP($B524,'03-CP'!$C$5:$H$4646,3,0),""))</f>
        <v>M</v>
      </c>
      <c r="F524" s="389">
        <v>85</v>
      </c>
      <c r="G524" s="1244"/>
      <c r="H524" s="1244"/>
      <c r="I524" s="1409"/>
      <c r="J524" s="262"/>
      <c r="K524" s="262"/>
      <c r="L524" s="262"/>
    </row>
    <row r="525" spans="1:12" ht="38.25" outlineLevel="1">
      <c r="A525" s="247" t="s">
        <v>14242</v>
      </c>
      <c r="B525" s="386">
        <v>101562</v>
      </c>
      <c r="C525" s="386" t="s">
        <v>14476</v>
      </c>
      <c r="D525" s="1314" t="str">
        <f>IFERROR(VLOOKUP($B525,'24.08_ND'!$A$4833:$D$12369,2,0),IFERROR(VLOOKUP($B525,'03-CP'!$C$5:$H$4646,2,0),""))</f>
        <v>CABO DE COBRE FLEXÍVEL ISOLADO, 25 MM², 0,6/1,0 KV, PARA REDE AÉREA DE DISTRIBUIÇÃO DE ENERGIA ELÉTRICA DE BAIXA TENSÃO - FORNECIMENTO E INSTALAÇÃO. AF_07/2020</v>
      </c>
      <c r="E525" s="1315" t="str">
        <f>IFERROR(VLOOKUP($B525,'24.08_ND'!$A:$D,3,0),IFERROR(VLOOKUP($B525,'03-CP'!$C$5:$H$4646,3,0),""))</f>
        <v>M</v>
      </c>
      <c r="F525" s="389">
        <v>255</v>
      </c>
      <c r="G525" s="1244"/>
      <c r="H525" s="1244"/>
      <c r="I525" s="1409"/>
      <c r="J525" s="262"/>
      <c r="K525" s="262"/>
      <c r="L525" s="262"/>
    </row>
    <row r="526" spans="1:12" ht="12.75">
      <c r="A526" s="250" t="s">
        <v>14243</v>
      </c>
      <c r="B526" s="1309"/>
      <c r="C526" s="1497"/>
      <c r="D526" s="1498" t="s">
        <v>16544</v>
      </c>
      <c r="E526" s="234"/>
      <c r="F526" s="1311"/>
      <c r="G526" s="236"/>
      <c r="H526" s="236"/>
      <c r="I526" s="1499"/>
      <c r="J526" s="262"/>
      <c r="K526" s="262"/>
      <c r="L526" s="262"/>
    </row>
    <row r="527" spans="1:12" ht="38.25" outlineLevel="1">
      <c r="A527" s="247" t="s">
        <v>14244</v>
      </c>
      <c r="B527" s="386" t="s">
        <v>15265</v>
      </c>
      <c r="C527" s="386" t="s">
        <v>14472</v>
      </c>
      <c r="D527" s="1314" t="str">
        <f>IFERROR(VLOOKUP($B527,'24.08_ND'!$A$4833:$D$12369,2,0),IFERROR(VLOOKUP($B527,'03-CP'!$C$5:$H$4646,2,0),""))</f>
        <v>QUADRO DE COMANDO CAIXA EM CHAPA METÁLICA GALVANIZADA 60X40X12CM COM  BLOCO DISTRIBUIÇÃO 2 BARRAMENTOS 2X11 125A  – FORNECIMENTO E INSTALAÇÃO</v>
      </c>
      <c r="E527" s="1315" t="str">
        <f>IFERROR(VLOOKUP($B527,'24.08_ND'!$A:$D,3,0),IFERROR(VLOOKUP($B527,'03-CP'!$C$5:$H$4646,3,0),""))</f>
        <v>UN</v>
      </c>
      <c r="F527" s="389">
        <v>1</v>
      </c>
      <c r="G527" s="1244"/>
      <c r="H527" s="1244"/>
      <c r="I527" s="1409"/>
      <c r="J527" s="262"/>
      <c r="K527" s="262"/>
      <c r="L527" s="262"/>
    </row>
    <row r="528" spans="1:12" ht="25.5" outlineLevel="1">
      <c r="A528" s="247" t="s">
        <v>14245</v>
      </c>
      <c r="B528" s="386" t="s">
        <v>15268</v>
      </c>
      <c r="C528" s="386" t="s">
        <v>14472</v>
      </c>
      <c r="D528" s="1314" t="str">
        <f>IFERROR(VLOOKUP($B528,'24.08_ND'!$A$4833:$D$12369,2,0),IFERROR(VLOOKUP($B528,'03-CP'!$C$5:$H$4646,2,0),""))</f>
        <v>CONTATOR TRIPOLAR, CORRENTE DE 25 A, TENSAO NOMINAL DE 500 V – FORNECIMENTO E INSTALAÇÃO</v>
      </c>
      <c r="E528" s="1315" t="str">
        <f>IFERROR(VLOOKUP($B528,'24.08_ND'!$A:$D,3,0),IFERROR(VLOOKUP($B528,'03-CP'!$C$5:$H$4646,3,0),""))</f>
        <v>UN</v>
      </c>
      <c r="F528" s="389">
        <v>1</v>
      </c>
      <c r="G528" s="1244"/>
      <c r="H528" s="1244"/>
      <c r="I528" s="1409"/>
      <c r="J528" s="262"/>
      <c r="K528" s="262"/>
      <c r="L528" s="262"/>
    </row>
    <row r="529" spans="1:12" ht="25.5" outlineLevel="1">
      <c r="A529" s="247" t="s">
        <v>14246</v>
      </c>
      <c r="B529" s="386">
        <v>93653</v>
      </c>
      <c r="C529" s="386" t="s">
        <v>14476</v>
      </c>
      <c r="D529" s="1314" t="str">
        <f>IFERROR(VLOOKUP($B529,'24.08_ND'!$A$4833:$D$12369,2,0),IFERROR(VLOOKUP($B529,'03-CP'!$C$5:$H$4646,2,0),""))</f>
        <v>DISJUNTOR MONOPOLAR TIPO DIN, CORRENTE NOMINAL DE 10A - FORNECIMENTO E INSTALAÇÃO. AF_10/2020</v>
      </c>
      <c r="E529" s="1315" t="str">
        <f>IFERROR(VLOOKUP($B529,'24.08_ND'!$A:$D,3,0),IFERROR(VLOOKUP($B529,'03-CP'!$C$5:$H$4646,3,0),""))</f>
        <v>UN</v>
      </c>
      <c r="F529" s="389">
        <v>5</v>
      </c>
      <c r="G529" s="1244"/>
      <c r="H529" s="1244"/>
      <c r="I529" s="1409"/>
      <c r="J529" s="262"/>
      <c r="K529" s="262"/>
      <c r="L529" s="262"/>
    </row>
    <row r="530" spans="1:12" ht="25.5" outlineLevel="1">
      <c r="A530" s="247" t="s">
        <v>14247</v>
      </c>
      <c r="B530" s="386">
        <v>93654</v>
      </c>
      <c r="C530" s="386" t="s">
        <v>14476</v>
      </c>
      <c r="D530" s="1314" t="str">
        <f>IFERROR(VLOOKUP($B530,'24.08_ND'!$A$4833:$D$12369,2,0),IFERROR(VLOOKUP($B530,'03-CP'!$C$5:$H$4646,2,0),""))</f>
        <v>DISJUNTOR MONOPOLAR TIPO DIN, CORRENTE NOMINAL DE 16A - FORNECIMENTO E INSTALAÇÃO. AF_10/2020</v>
      </c>
      <c r="E530" s="1315" t="str">
        <f>IFERROR(VLOOKUP($B530,'24.08_ND'!$A:$D,3,0),IFERROR(VLOOKUP($B530,'03-CP'!$C$5:$H$4646,3,0),""))</f>
        <v>UN</v>
      </c>
      <c r="F530" s="389">
        <v>4</v>
      </c>
      <c r="G530" s="1244"/>
      <c r="H530" s="1244"/>
      <c r="I530" s="1409"/>
      <c r="J530" s="262"/>
      <c r="K530" s="262"/>
      <c r="L530" s="262"/>
    </row>
    <row r="531" spans="1:12" ht="25.5" outlineLevel="1">
      <c r="A531" s="247" t="s">
        <v>14248</v>
      </c>
      <c r="B531" s="386">
        <v>93665</v>
      </c>
      <c r="C531" s="386" t="s">
        <v>14476</v>
      </c>
      <c r="D531" s="1314" t="str">
        <f>IFERROR(VLOOKUP($B531,'24.08_ND'!$A$4833:$D$12369,2,0),IFERROR(VLOOKUP($B531,'03-CP'!$C$5:$H$4646,2,0),""))</f>
        <v>DISJUNTOR BIPOLAR TIPO DIN, CORRENTE NOMINAL DE 40A - FORNECIMENTO E INSTALAÇÃO. AF_10/2020</v>
      </c>
      <c r="E531" s="1315" t="str">
        <f>IFERROR(VLOOKUP($B531,'24.08_ND'!$A:$D,3,0),IFERROR(VLOOKUP($B531,'03-CP'!$C$5:$H$4646,3,0),""))</f>
        <v>UN</v>
      </c>
      <c r="F531" s="389">
        <v>2</v>
      </c>
      <c r="G531" s="1244"/>
      <c r="H531" s="1244"/>
      <c r="I531" s="1409"/>
      <c r="J531" s="262"/>
      <c r="K531" s="262"/>
      <c r="L531" s="262"/>
    </row>
    <row r="532" spans="1:12" ht="25.5" outlineLevel="1">
      <c r="A532" s="247" t="s">
        <v>14249</v>
      </c>
      <c r="B532" s="386" t="s">
        <v>15270</v>
      </c>
      <c r="C532" s="386" t="s">
        <v>14472</v>
      </c>
      <c r="D532" s="1314" t="str">
        <f>IFERROR(VLOOKUP($B532,'24.08_ND'!$A$4833:$D$12369,2,0),IFERROR(VLOOKUP($B532,'03-CP'!$C$5:$H$4646,2,0),""))</f>
        <v>DISJUNTOR TERMOMAGNETICO PARA TRILHO DIN (IEC), MONOPOLAR, 63 A  – FORNECIMENTO E INSTALAÇÃO</v>
      </c>
      <c r="E532" s="1315" t="str">
        <f>IFERROR(VLOOKUP($B532,'24.08_ND'!$A:$D,3,0),IFERROR(VLOOKUP($B532,'03-CP'!$C$5:$H$4646,3,0),""))</f>
        <v>UN</v>
      </c>
      <c r="F532" s="389">
        <v>2</v>
      </c>
      <c r="G532" s="1244"/>
      <c r="H532" s="1244"/>
      <c r="I532" s="1409"/>
      <c r="J532" s="262"/>
      <c r="K532" s="262"/>
      <c r="L532" s="262"/>
    </row>
    <row r="533" spans="1:12" ht="25.5" outlineLevel="1">
      <c r="A533" s="247" t="s">
        <v>14250</v>
      </c>
      <c r="B533" s="386" t="s">
        <v>15275</v>
      </c>
      <c r="C533" s="386" t="s">
        <v>14472</v>
      </c>
      <c r="D533" s="1314" t="str">
        <f>IFERROR(VLOOKUP($B533,'24.08_ND'!$A$4833:$D$12369,2,0),IFERROR(VLOOKUP($B533,'03-CP'!$C$5:$H$4646,2,0),""))</f>
        <v>PROGRAMADOR HORÁRIO ALIMENTAÇÃO DE 100ª 240VAC – FORNECIMENTO E INSTALAÇÃO</v>
      </c>
      <c r="E533" s="1315" t="str">
        <f>IFERROR(VLOOKUP($B533,'24.08_ND'!$A:$D,3,0),IFERROR(VLOOKUP($B533,'03-CP'!$C$5:$H$4646,3,0),""))</f>
        <v>UN</v>
      </c>
      <c r="F533" s="389">
        <v>1</v>
      </c>
      <c r="G533" s="1244"/>
      <c r="H533" s="1244"/>
      <c r="I533" s="1409"/>
      <c r="J533" s="262"/>
      <c r="K533" s="262"/>
      <c r="L533" s="262"/>
    </row>
    <row r="534" spans="1:12" ht="25.5" outlineLevel="1">
      <c r="A534" s="247" t="s">
        <v>14251</v>
      </c>
      <c r="B534" s="386" t="s">
        <v>15157</v>
      </c>
      <c r="C534" s="386" t="s">
        <v>14472</v>
      </c>
      <c r="D534" s="1314" t="str">
        <f>IFERROR(VLOOKUP($B534,'24.08_ND'!$A$4833:$D$12369,2,0),IFERROR(VLOOKUP($B534,'03-CP'!$C$5:$H$4646,2,0),""))</f>
        <v>DISPOSITIVO DR, 2 POLOS, SENSIBILIDADE DE 30 MA, CORRENTE DE 25 A, TIPO AC. - FORNECIMENTO E INSTALAÇÃO</v>
      </c>
      <c r="E534" s="1315" t="str">
        <f>IFERROR(VLOOKUP($B534,'24.08_ND'!$A:$D,3,0),IFERROR(VLOOKUP($B534,'03-CP'!$C$5:$H$4646,3,0),""))</f>
        <v>UN</v>
      </c>
      <c r="F534" s="389">
        <v>2</v>
      </c>
      <c r="G534" s="1244"/>
      <c r="H534" s="1244"/>
      <c r="I534" s="1409"/>
      <c r="J534" s="262"/>
      <c r="K534" s="262"/>
      <c r="L534" s="262"/>
    </row>
    <row r="535" spans="1:12" ht="25.5" outlineLevel="1">
      <c r="A535" s="247" t="s">
        <v>14252</v>
      </c>
      <c r="B535" s="386" t="s">
        <v>15272</v>
      </c>
      <c r="C535" s="386" t="s">
        <v>14472</v>
      </c>
      <c r="D535" s="1314" t="str">
        <f>IFERROR(VLOOKUP($B535,'24.08_ND'!$A$4833:$D$12369,2,0),IFERROR(VLOOKUP($B535,'03-CP'!$C$5:$H$4646,2,0),""))</f>
        <v>DISPOSITIVO DE PROTEÇÃO CONTRA SURTOS(DPS) 275V DE 8 A 40KA – FORNECIMENTO E INSTALAÇÃO</v>
      </c>
      <c r="E535" s="1315" t="str">
        <f>IFERROR(VLOOKUP($B535,'24.08_ND'!$A:$D,3,0),IFERROR(VLOOKUP($B535,'03-CP'!$C$5:$H$4646,3,0),""))</f>
        <v>UN</v>
      </c>
      <c r="F535" s="389">
        <v>2</v>
      </c>
      <c r="G535" s="1244"/>
      <c r="H535" s="1244"/>
      <c r="I535" s="1409"/>
      <c r="J535" s="262"/>
      <c r="K535" s="262"/>
      <c r="L535" s="262"/>
    </row>
    <row r="536" spans="1:12" ht="25.5" outlineLevel="1">
      <c r="A536" s="247" t="s">
        <v>14253</v>
      </c>
      <c r="B536" s="386" t="s">
        <v>15301</v>
      </c>
      <c r="C536" s="386" t="s">
        <v>14472</v>
      </c>
      <c r="D536" s="1314" t="str">
        <f>IFERROR(VLOOKUP($B536,'24.08_ND'!$A$4833:$D$12369,2,0),IFERROR(VLOOKUP($B536,'03-CP'!$C$5:$H$4646,2,0),""))</f>
        <v>TERMINAL ELÉTRICO TIPO: ILHÓS BITOLA ATÉ 6MM2 – FORNECIMENTO E INSTALAÇÃO</v>
      </c>
      <c r="E536" s="1315" t="str">
        <f>IFERROR(VLOOKUP($B536,'24.08_ND'!$A:$D,3,0),IFERROR(VLOOKUP($B536,'03-CP'!$C$5:$H$4646,3,0),""))</f>
        <v>UN</v>
      </c>
      <c r="F536" s="389">
        <v>200</v>
      </c>
      <c r="G536" s="1244"/>
      <c r="H536" s="1244"/>
      <c r="I536" s="1409"/>
      <c r="J536" s="262"/>
      <c r="K536" s="262"/>
      <c r="L536" s="262"/>
    </row>
    <row r="537" spans="1:12" ht="25.5" outlineLevel="1">
      <c r="A537" s="247" t="s">
        <v>14254</v>
      </c>
      <c r="B537" s="386" t="s">
        <v>15305</v>
      </c>
      <c r="C537" s="386" t="s">
        <v>14472</v>
      </c>
      <c r="D537" s="1314" t="str">
        <f>IFERROR(VLOOKUP($B537,'24.08_ND'!$A$4833:$D$12369,2,0),IFERROR(VLOOKUP($B537,'03-CP'!$C$5:$H$4646,2,0),""))</f>
        <v>TERMINAL ELÉTRICO TIPO: ILHÓS BITOLA ATÉ 16MM2 – FORNECIMENTO E INSTALAÇÃO</v>
      </c>
      <c r="E537" s="1315" t="str">
        <f>IFERROR(VLOOKUP($B537,'24.08_ND'!$A:$D,3,0),IFERROR(VLOOKUP($B537,'03-CP'!$C$5:$H$4646,3,0),""))</f>
        <v>UN</v>
      </c>
      <c r="F537" s="389">
        <v>2</v>
      </c>
      <c r="G537" s="1244"/>
      <c r="H537" s="1244"/>
      <c r="I537" s="1409"/>
      <c r="J537" s="262"/>
      <c r="K537" s="262"/>
      <c r="L537" s="262"/>
    </row>
    <row r="538" spans="1:12" ht="25.5" outlineLevel="1">
      <c r="A538" s="247" t="s">
        <v>14255</v>
      </c>
      <c r="B538" s="386" t="s">
        <v>15329</v>
      </c>
      <c r="C538" s="386" t="s">
        <v>14472</v>
      </c>
      <c r="D538" s="1314" t="str">
        <f>IFERROR(VLOOKUP($B538,'24.08_ND'!$A$4833:$D$12369,2,0),IFERROR(VLOOKUP($B538,'03-CP'!$C$5:$H$4646,2,0),""))</f>
        <v>TERMINAL ELÉTRICO TIPO: ILHÓS BITOLA ATÉ 16MM2 – FORNECIMENTO E INSTALAÇÃO</v>
      </c>
      <c r="E538" s="1315" t="str">
        <f>IFERROR(VLOOKUP($B538,'24.08_ND'!$A:$D,3,0),IFERROR(VLOOKUP($B538,'03-CP'!$C$5:$H$4646,3,0),""))</f>
        <v>UN</v>
      </c>
      <c r="F538" s="389">
        <v>6</v>
      </c>
      <c r="G538" s="1244"/>
      <c r="H538" s="1244"/>
      <c r="I538" s="1409"/>
      <c r="J538" s="262"/>
      <c r="K538" s="262"/>
      <c r="L538" s="262"/>
    </row>
    <row r="539" spans="1:12" ht="25.5" outlineLevel="1">
      <c r="A539" s="247" t="s">
        <v>14256</v>
      </c>
      <c r="B539" s="386" t="s">
        <v>15309</v>
      </c>
      <c r="C539" s="386" t="s">
        <v>14472</v>
      </c>
      <c r="D539" s="1314" t="str">
        <f>IFERROR(VLOOKUP($B539,'24.08_ND'!$A$4833:$D$12369,2,0),IFERROR(VLOOKUP($B539,'03-CP'!$C$5:$H$4646,2,0),""))</f>
        <v>ANILHA NUMERADA PARA IDENTIFICAÇÃO DE CABOS – FORNECIMENTO E INSTALAÇÃO</v>
      </c>
      <c r="E539" s="1315" t="str">
        <f>IFERROR(VLOOKUP($B539,'24.08_ND'!$A:$D,3,0),IFERROR(VLOOKUP($B539,'03-CP'!$C$5:$H$4646,3,0),""))</f>
        <v>UN</v>
      </c>
      <c r="F539" s="389">
        <v>100</v>
      </c>
      <c r="G539" s="1244"/>
      <c r="H539" s="1244"/>
      <c r="I539" s="1409"/>
      <c r="J539" s="262"/>
      <c r="K539" s="262"/>
      <c r="L539" s="262"/>
    </row>
    <row r="540" spans="1:12" ht="12.75">
      <c r="A540" s="250" t="s">
        <v>14257</v>
      </c>
      <c r="B540" s="1309"/>
      <c r="C540" s="1497"/>
      <c r="D540" s="237" t="s">
        <v>16339</v>
      </c>
      <c r="E540" s="234"/>
      <c r="F540" s="1311"/>
      <c r="G540" s="236"/>
      <c r="H540" s="236"/>
      <c r="I540" s="1499"/>
      <c r="J540" s="262"/>
      <c r="K540" s="262"/>
      <c r="L540" s="262"/>
    </row>
    <row r="541" spans="1:12" ht="25.5" outlineLevel="1">
      <c r="A541" s="247" t="s">
        <v>14258</v>
      </c>
      <c r="B541" s="386" t="s">
        <v>15277</v>
      </c>
      <c r="C541" s="386" t="s">
        <v>14472</v>
      </c>
      <c r="D541" s="1314" t="str">
        <f>IFERROR(VLOOKUP($B541,'24.08_ND'!$A$4833:$D$12369,2,0),IFERROR(VLOOKUP($B541,'03-CP'!$C$5:$H$4646,2,0),""))</f>
        <v>EMBUTIDO DE SOLO LED INOX 10W 640 LÚMENS 3000K 30° IP67 REDONDO  - FORNECIMENTO E INSTALAÇÃO</v>
      </c>
      <c r="E541" s="1315" t="str">
        <f>IFERROR(VLOOKUP($B541,'24.08_ND'!$A:$D,3,0),IFERROR(VLOOKUP($B541,'03-CP'!$C$5:$H$4646,3,0),""))</f>
        <v>UN</v>
      </c>
      <c r="F541" s="389">
        <v>18</v>
      </c>
      <c r="G541" s="1244"/>
      <c r="H541" s="1244"/>
      <c r="I541" s="1409"/>
      <c r="J541" s="262"/>
      <c r="K541" s="262"/>
      <c r="L541" s="262"/>
    </row>
    <row r="542" spans="1:12" ht="25.5" outlineLevel="1">
      <c r="A542" s="247" t="s">
        <v>14259</v>
      </c>
      <c r="B542" s="386" t="s">
        <v>15280</v>
      </c>
      <c r="C542" s="386" t="s">
        <v>14472</v>
      </c>
      <c r="D542" s="1314" t="str">
        <f>IFERROR(VLOOKUP($B542,'24.08_ND'!$A$4833:$D$12369,2,0),IFERROR(VLOOKUP($B542,'03-CP'!$C$5:$H$4646,2,0),""))</f>
        <v>LUMINÁRIA PLAFON DE EMBUTIR EM LED 40X40 CM, 30W - FORNECIMENTO E INSTALAÇÃO</v>
      </c>
      <c r="E542" s="1315" t="str">
        <f>IFERROR(VLOOKUP($B542,'24.08_ND'!$A:$D,3,0),IFERROR(VLOOKUP($B542,'03-CP'!$C$5:$H$4646,3,0),""))</f>
        <v>UN</v>
      </c>
      <c r="F542" s="389">
        <v>1</v>
      </c>
      <c r="G542" s="1244"/>
      <c r="H542" s="1244"/>
      <c r="I542" s="1409"/>
      <c r="J542" s="262"/>
      <c r="K542" s="262"/>
      <c r="L542" s="262"/>
    </row>
    <row r="543" spans="1:12" ht="25.5" outlineLevel="1">
      <c r="A543" s="247" t="s">
        <v>14260</v>
      </c>
      <c r="B543" s="386" t="s">
        <v>15282</v>
      </c>
      <c r="C543" s="386" t="s">
        <v>14472</v>
      </c>
      <c r="D543" s="1314" t="str">
        <f>IFERROR(VLOOKUP($B543,'24.08_ND'!$A$4833:$D$12369,2,0),IFERROR(VLOOKUP($B543,'03-CP'!$C$5:$H$4646,2,0),""))</f>
        <v>SPOT EMBUTIR DUPLO RECUADO MR16 SISTEMA CLICK, SOQUETE GU10 COM LAMPADA - FORNECIMENTO E INSTALAÇÃO</v>
      </c>
      <c r="E543" s="1315" t="str">
        <f>IFERROR(VLOOKUP($B543,'24.08_ND'!$A:$D,3,0),IFERROR(VLOOKUP($B543,'03-CP'!$C$5:$H$4646,3,0),""))</f>
        <v>UN</v>
      </c>
      <c r="F543" s="389">
        <v>26</v>
      </c>
      <c r="G543" s="1244"/>
      <c r="H543" s="1244"/>
      <c r="I543" s="1409"/>
      <c r="J543" s="262"/>
      <c r="K543" s="262"/>
      <c r="L543" s="262"/>
    </row>
    <row r="544" spans="1:12" ht="25.5" outlineLevel="1">
      <c r="A544" s="247" t="s">
        <v>14261</v>
      </c>
      <c r="B544" s="386" t="s">
        <v>15286</v>
      </c>
      <c r="C544" s="386" t="s">
        <v>14472</v>
      </c>
      <c r="D544" s="1314" t="str">
        <f>IFERROR(VLOOKUP($B544,'24.08_ND'!$A$4833:$D$12369,2,0),IFERROR(VLOOKUP($B544,'03-CP'!$C$5:$H$4646,2,0),""))</f>
        <v>EMBUTIDO PARA PAR 20 REDONDO, FACE RECUADA OU LISA, 115X125MM COM LAMPADA - FORNECIMENTO E INSTALAÇÃO</v>
      </c>
      <c r="E544" s="1315" t="str">
        <f>IFERROR(VLOOKUP($B544,'24.08_ND'!$A:$D,3,0),IFERROR(VLOOKUP($B544,'03-CP'!$C$5:$H$4646,3,0),""))</f>
        <v>UN</v>
      </c>
      <c r="F544" s="389">
        <v>46</v>
      </c>
      <c r="G544" s="1244"/>
      <c r="H544" s="1244"/>
      <c r="I544" s="1409"/>
      <c r="J544" s="262"/>
      <c r="K544" s="262"/>
      <c r="L544" s="262"/>
    </row>
    <row r="545" spans="1:12" ht="12.75" outlineLevel="1">
      <c r="A545" s="247" t="s">
        <v>14262</v>
      </c>
      <c r="B545" s="386" t="s">
        <v>15289</v>
      </c>
      <c r="C545" s="386" t="s">
        <v>14472</v>
      </c>
      <c r="D545" s="1314" t="str">
        <f>IFERROR(VLOOKUP($B545,'24.08_ND'!$A$4833:$D$12369,2,0),IFERROR(VLOOKUP($B545,'03-CP'!$C$5:$H$4646,2,0),""))</f>
        <v>FITA LED ALL LIGHT 16W/M 24V IP20  - FORNECIMENTO E INSTALAÇÃO</v>
      </c>
      <c r="E545" s="1315" t="str">
        <f>IFERROR(VLOOKUP($B545,'24.08_ND'!$A:$D,3,0),IFERROR(VLOOKUP($B545,'03-CP'!$C$5:$H$4646,3,0),""))</f>
        <v>M</v>
      </c>
      <c r="F545" s="389">
        <v>125.52</v>
      </c>
      <c r="G545" s="1244"/>
      <c r="H545" s="1244"/>
      <c r="I545" s="1409"/>
      <c r="J545" s="262"/>
      <c r="K545" s="262"/>
      <c r="L545" s="262"/>
    </row>
    <row r="546" spans="1:12" ht="12.75" outlineLevel="1">
      <c r="A546" s="247" t="s">
        <v>14263</v>
      </c>
      <c r="B546" s="386" t="s">
        <v>15292</v>
      </c>
      <c r="C546" s="386" t="s">
        <v>14472</v>
      </c>
      <c r="D546" s="1314" t="str">
        <f>IFERROR(VLOOKUP($B546,'24.08_ND'!$A$4833:$D$12369,2,0),IFERROR(VLOOKUP($B546,'03-CP'!$C$5:$H$4646,2,0),""))</f>
        <v xml:space="preserve">FITA LED 12W/M 12V   - FORNECIMENTO E INSTALAÇÃO </v>
      </c>
      <c r="E546" s="1315" t="str">
        <f>IFERROR(VLOOKUP($B546,'24.08_ND'!$A:$D,3,0),IFERROR(VLOOKUP($B546,'03-CP'!$C$5:$H$4646,3,0),""))</f>
        <v>M</v>
      </c>
      <c r="F546" s="389">
        <v>60.68</v>
      </c>
      <c r="G546" s="1244"/>
      <c r="H546" s="1244"/>
      <c r="I546" s="1409"/>
      <c r="J546" s="262"/>
      <c r="K546" s="262"/>
      <c r="L546" s="262"/>
    </row>
    <row r="547" spans="1:12" ht="12.75" outlineLevel="1">
      <c r="A547" s="247" t="s">
        <v>14264</v>
      </c>
      <c r="B547" s="386" t="s">
        <v>15332</v>
      </c>
      <c r="C547" s="386" t="s">
        <v>14472</v>
      </c>
      <c r="D547" s="1314" t="str">
        <f>IFERROR(VLOOKUP($B547,'24.08_ND'!$A$4833:$D$12369,2,0),IFERROR(VLOOKUP($B547,'03-CP'!$C$5:$H$4646,2,0),""))</f>
        <v>FONTE CHAVEADA 24VCC IP20 100W - FORNECIMENTO E INSTALAÇÃO</v>
      </c>
      <c r="E547" s="1315" t="str">
        <f>IFERROR(VLOOKUP($B547,'24.08_ND'!$A:$D,3,0),IFERROR(VLOOKUP($B547,'03-CP'!$C$5:$H$4646,3,0),""))</f>
        <v>UN</v>
      </c>
      <c r="F547" s="389">
        <v>14</v>
      </c>
      <c r="G547" s="1244"/>
      <c r="H547" s="1244"/>
      <c r="I547" s="1409"/>
      <c r="J547" s="262"/>
      <c r="K547" s="262"/>
      <c r="L547" s="262"/>
    </row>
    <row r="548" spans="1:12" ht="12.75" outlineLevel="1">
      <c r="A548" s="247" t="s">
        <v>14265</v>
      </c>
      <c r="B548" s="386" t="s">
        <v>15298</v>
      </c>
      <c r="C548" s="386" t="s">
        <v>14472</v>
      </c>
      <c r="D548" s="1314" t="str">
        <f>IFERROR(VLOOKUP($B548,'24.08_ND'!$A$4833:$D$12369,2,0),IFERROR(VLOOKUP($B548,'03-CP'!$C$5:$H$4646,2,0),""))</f>
        <v>FONTE CHAVEADA 24VCC IP20 100W  - FORNECIMENTO E INSTALAÇÃO</v>
      </c>
      <c r="E548" s="1315" t="str">
        <f>IFERROR(VLOOKUP($B548,'24.08_ND'!$A:$D,3,0),IFERROR(VLOOKUP($B548,'03-CP'!$C$5:$H$4646,3,0),""))</f>
        <v>UN</v>
      </c>
      <c r="F548" s="389">
        <v>2</v>
      </c>
      <c r="G548" s="1244"/>
      <c r="H548" s="1244"/>
      <c r="I548" s="1409"/>
      <c r="J548" s="262"/>
      <c r="K548" s="262"/>
      <c r="L548" s="262"/>
    </row>
    <row r="549" spans="1:12" ht="12.75" outlineLevel="1">
      <c r="A549" s="247" t="s">
        <v>14266</v>
      </c>
      <c r="B549" s="386" t="s">
        <v>15295</v>
      </c>
      <c r="C549" s="386" t="s">
        <v>14472</v>
      </c>
      <c r="D549" s="1314" t="str">
        <f>IFERROR(VLOOKUP($B549,'24.08_ND'!$A$4833:$D$12369,2,0),IFERROR(VLOOKUP($B549,'03-CP'!$C$5:$H$4646,2,0),""))</f>
        <v>FONTE CHAVEADA 12VCC IP20 200W - FORNECIMENTO E INSTALAÇÃO</v>
      </c>
      <c r="E549" s="1315" t="str">
        <f>IFERROR(VLOOKUP($B549,'24.08_ND'!$A:$D,3,0),IFERROR(VLOOKUP($B549,'03-CP'!$C$5:$H$4646,3,0),""))</f>
        <v>UN</v>
      </c>
      <c r="F549" s="389">
        <v>6</v>
      </c>
      <c r="G549" s="1244"/>
      <c r="H549" s="1244"/>
      <c r="I549" s="1409"/>
      <c r="J549" s="262"/>
      <c r="K549" s="262"/>
      <c r="L549" s="262"/>
    </row>
    <row r="550" spans="1:12" ht="12.75" hidden="1">
      <c r="A550" s="1487"/>
      <c r="B550" s="1488"/>
      <c r="C550" s="1488"/>
      <c r="D550" s="1489"/>
      <c r="E550" s="1490"/>
      <c r="F550" s="1491"/>
      <c r="G550" s="1493"/>
      <c r="H550" s="1493"/>
      <c r="I550" s="1494"/>
      <c r="J550" s="262"/>
      <c r="K550" s="262"/>
      <c r="L550" s="262"/>
    </row>
    <row r="551" spans="1:12" ht="12.75">
      <c r="A551" s="1298" t="s">
        <v>16477</v>
      </c>
      <c r="B551" s="1371"/>
      <c r="C551" s="1371"/>
      <c r="D551" s="1372"/>
      <c r="E551" s="1373"/>
      <c r="F551" s="1374"/>
      <c r="G551" s="1376"/>
      <c r="H551" s="1376"/>
      <c r="I551" s="1377"/>
      <c r="J551" s="262"/>
      <c r="K551" s="262"/>
      <c r="L551" s="262"/>
    </row>
    <row r="552" spans="1:12" ht="12.75">
      <c r="A552" s="238" t="s">
        <v>12652</v>
      </c>
      <c r="B552" s="1304"/>
      <c r="C552" s="1304"/>
      <c r="D552" s="1305" t="s">
        <v>16345</v>
      </c>
      <c r="E552" s="1306"/>
      <c r="F552" s="1307"/>
      <c r="G552" s="1307"/>
      <c r="H552" s="1307"/>
      <c r="I552" s="1496"/>
      <c r="J552" s="262"/>
      <c r="K552" s="262"/>
      <c r="L552" s="262"/>
    </row>
    <row r="553" spans="1:12" ht="25.5" outlineLevel="1">
      <c r="A553" s="247" t="s">
        <v>14267</v>
      </c>
      <c r="B553" s="386">
        <v>97599</v>
      </c>
      <c r="C553" s="386" t="s">
        <v>14476</v>
      </c>
      <c r="D553" s="1314" t="str">
        <f>IFERROR(VLOOKUP($B553,'24.08_ND'!$A$4833:$D$12369,2,0),IFERROR(VLOOKUP($B553,'03-CP'!$C$5:$H$4646,2,0),""))</f>
        <v>LUMINÁRIA DE EMERGÊNCIA, COM 30 LÂMPADAS LED DE 2 W, SEM REATOR - FORNECIMENTO E INSTALAÇÃO. AF_02/2020</v>
      </c>
      <c r="E553" s="1315" t="str">
        <f>IFERROR(VLOOKUP($B553,'24.08_ND'!$A:$D,3,0),IFERROR(VLOOKUP($B553,'03-CP'!$C$5:$H$4646,3,0),""))</f>
        <v>UN</v>
      </c>
      <c r="F553" s="389">
        <v>6</v>
      </c>
      <c r="G553" s="1244"/>
      <c r="H553" s="1244"/>
      <c r="I553" s="1409"/>
      <c r="J553" s="262"/>
      <c r="K553" s="262"/>
      <c r="L553" s="262"/>
    </row>
    <row r="554" spans="1:12" ht="38.25" outlineLevel="1">
      <c r="A554" s="254" t="s">
        <v>14268</v>
      </c>
      <c r="B554" s="1186" t="s">
        <v>15359</v>
      </c>
      <c r="C554" s="1186" t="s">
        <v>14472</v>
      </c>
      <c r="D554" s="1514" t="str">
        <f>IFERROR(VLOOKUP($B554,'24.08_ND'!$A$4833:$D$12369,2,0),IFERROR(VLOOKUP($B554,'03-CP'!$C$5:$H$4646,2,0),""))</f>
        <v>PLACA DE SINALIZAÇÃO DE SEGURANÇA CONTRA INCENDIO, FOTOLUMINESCENTE, QUADRADA 20X40 CM EM PVC 2 MM ANTI-CHAMAS - FORNECIMENTO E INSTALAÇÃO</v>
      </c>
      <c r="E554" s="1515" t="str">
        <f>IFERROR(VLOOKUP($B554,'24.08_ND'!$A:$D,3,0),IFERROR(VLOOKUP($B554,'03-CP'!$C$5:$H$4646,3,0),""))</f>
        <v>UN</v>
      </c>
      <c r="F554" s="1516">
        <v>2</v>
      </c>
      <c r="G554" s="1517"/>
      <c r="H554" s="1517"/>
      <c r="I554" s="1518"/>
      <c r="J554" s="262"/>
      <c r="K554" s="262"/>
      <c r="L554" s="262"/>
    </row>
    <row r="555" spans="1:12" ht="12.75" hidden="1">
      <c r="A555" s="262"/>
      <c r="B555" s="262"/>
      <c r="C555" s="262"/>
      <c r="D555" s="262"/>
      <c r="E555" s="262"/>
      <c r="F555" s="262"/>
      <c r="G555" s="262"/>
      <c r="H555" s="262"/>
      <c r="I555" s="262"/>
      <c r="J555" s="262"/>
      <c r="K555" s="262"/>
      <c r="L555" s="262"/>
    </row>
  </sheetData>
  <autoFilter ref="A1:L555" xr:uid="{00000000-0009-0000-0000-000012000000}">
    <filterColumn colId="0">
      <filters>
        <filter val="(F) - BANHEIROS DE APOIO CENTRO DE EVENTOS - PLANILHA QUANTITATIVA"/>
        <filter val="• ARQUITETURA"/>
        <filter val="• ESTRUTURAL"/>
        <filter val="• INSTALAÇÕES ELÉTRICAS"/>
        <filter val="• INSTALAÇÕES HIDROSSANITÁRIAS"/>
        <filter val="• INSTALAÇÕES PREVENÇÃO DE COMBATE A INCÊNDIO E PANICO"/>
        <filter val="ENDEREÇO:"/>
        <filter val="F.1"/>
        <filter val="F.1.1"/>
        <filter val="F.1.1.1"/>
        <filter val="F.1.1.2"/>
        <filter val="F.1.1.3"/>
        <filter val="F.1.1.4"/>
        <filter val="F.1.1.5"/>
        <filter val="F.1.1.6"/>
        <filter val="F.1.1.7"/>
        <filter val="F.1.1.8"/>
        <filter val="F.1.1.9"/>
        <filter val="F.1.2"/>
        <filter val="F.1.2.1"/>
        <filter val="F.1.2.2"/>
        <filter val="F.1.2.3"/>
        <filter val="F.1.2.4"/>
        <filter val="F.1.2.5"/>
        <filter val="F.1.2.6"/>
        <filter val="F.1.3"/>
        <filter val="F.1.3.1"/>
        <filter val="F.1.3.10"/>
        <filter val="F.1.3.11"/>
        <filter val="F.1.3.12"/>
        <filter val="F.1.3.13"/>
        <filter val="F.1.3.2"/>
        <filter val="F.1.3.3"/>
        <filter val="F.1.3.4"/>
        <filter val="F.1.3.5"/>
        <filter val="F.1.3.6"/>
        <filter val="F.1.3.7"/>
        <filter val="F.1.3.8"/>
        <filter val="F.1.3.9"/>
        <filter val="F.1.4"/>
        <filter val="F.1.4.1"/>
        <filter val="F.1.4.2"/>
        <filter val="F.1.4.3"/>
        <filter val="F.1.4.4"/>
        <filter val="F.1.4.5"/>
        <filter val="F.1.4.6"/>
        <filter val="F.1.5"/>
        <filter val="F.1.5.1"/>
        <filter val="F.1.5.2"/>
        <filter val="F.1.5.3"/>
        <filter val="F.1.5.4"/>
        <filter val="F.1.5.5"/>
        <filter val="F.1.5.6"/>
        <filter val="F.1.5.7"/>
        <filter val="F.1.5.8"/>
        <filter val="F.1.6"/>
        <filter val="F.1.6.1"/>
        <filter val="F.1.6.2"/>
        <filter val="F.1.6.3"/>
        <filter val="F.1.6.4"/>
        <filter val="F.1.6.5"/>
        <filter val="F.1.6.6"/>
        <filter val="F.1.6.7"/>
        <filter val="F.1.7"/>
        <filter val="F.1.7.1"/>
        <filter val="F.1.7.2"/>
        <filter val="F.1.7.3"/>
        <filter val="F.1.7.4"/>
        <filter val="F.1.7.5"/>
        <filter val="F.1.8"/>
        <filter val="F.1.8.1"/>
        <filter val="F.1.9"/>
        <filter val="F.1.9.1"/>
        <filter val="F.2"/>
        <filter val="F.2.1"/>
        <filter val="F.2.1.1"/>
        <filter val="F.2.1.2"/>
        <filter val="F.2.1.3"/>
        <filter val="F.2.1.4"/>
        <filter val="F.2.1.5"/>
        <filter val="F.2.2"/>
        <filter val="F.2.2.1"/>
        <filter val="F.2.2.2"/>
        <filter val="F.2.2.3"/>
        <filter val="F.2.3"/>
        <filter val="F.2.3.1"/>
        <filter val="F.2.3.2"/>
        <filter val="F.2.3.3"/>
        <filter val="F.2.4"/>
        <filter val="F.2.4.1"/>
        <filter val="F.2.4.2"/>
        <filter val="F.2.4.3"/>
        <filter val="F.2.4.4"/>
        <filter val="F.2.4.5"/>
        <filter val="F.2.4.6"/>
        <filter val="F.2.5"/>
        <filter val="F.2.5.1"/>
        <filter val="F.2.5.2"/>
        <filter val="F.2.5.3"/>
        <filter val="F.2.6"/>
        <filter val="F.2.6.1"/>
        <filter val="F.2.6.2"/>
        <filter val="F.2.6.3"/>
        <filter val="F.2.6.4"/>
        <filter val="F.2.6.5"/>
        <filter val="F.2.6.6"/>
        <filter val="F.2.6.7"/>
        <filter val="F.2.6.8"/>
        <filter val="F.2.7"/>
        <filter val="F.2.7.1"/>
        <filter val="F.2.7.10"/>
        <filter val="F.2.7.2"/>
        <filter val="F.2.7.3"/>
        <filter val="F.2.7.4"/>
        <filter val="F.2.7.5"/>
        <filter val="F.2.7.6"/>
        <filter val="F.2.7.7"/>
        <filter val="F.2.7.8"/>
        <filter val="F.2.7.9"/>
        <filter val="F.2.8"/>
        <filter val="F.2.8.1"/>
        <filter val="F.2.8.10"/>
        <filter val="F.2.8.11"/>
        <filter val="F.2.8.12"/>
        <filter val="F.2.8.13"/>
        <filter val="F.2.8.14"/>
        <filter val="F.2.8.15"/>
        <filter val="F.2.8.16"/>
        <filter val="F.2.8.17"/>
        <filter val="F.2.8.18"/>
        <filter val="F.2.8.19"/>
        <filter val="F.2.8.2"/>
        <filter val="F.2.8.20"/>
        <filter val="F.2.8.21"/>
        <filter val="F.2.8.3"/>
        <filter val="F.2.8.4"/>
        <filter val="F.2.8.5"/>
        <filter val="F.2.8.6"/>
        <filter val="F.2.8.7"/>
        <filter val="F.2.8.8"/>
        <filter val="F.2.8.9"/>
        <filter val="F.2.9"/>
        <filter val="F.2.9.1"/>
        <filter val="F.2.9.2"/>
        <filter val="F.2.9.3"/>
        <filter val="F.2.9.4"/>
        <filter val="F.2.9.5"/>
        <filter val="F.2.9.6"/>
        <filter val="F.3"/>
        <filter val="F.3.1"/>
        <filter val="F.3.1.1"/>
        <filter val="F.3.1.10"/>
        <filter val="F.3.1.11"/>
        <filter val="F.3.1.12"/>
        <filter val="F.3.1.13"/>
        <filter val="F.3.1.14"/>
        <filter val="F.3.1.15"/>
        <filter val="F.3.1.16"/>
        <filter val="F.3.1.17"/>
        <filter val="F.3.1.18"/>
        <filter val="F.3.1.19"/>
        <filter val="F.3.1.2"/>
        <filter val="F.3.1.20"/>
        <filter val="F.3.1.21"/>
        <filter val="F.3.1.22"/>
        <filter val="F.3.1.23"/>
        <filter val="F.3.1.24"/>
        <filter val="F.3.1.25"/>
        <filter val="F.3.1.26"/>
        <filter val="F.3.1.27"/>
        <filter val="F.3.1.28"/>
        <filter val="F.3.1.29"/>
        <filter val="F.3.1.3"/>
        <filter val="F.3.1.30"/>
        <filter val="F.3.1.31"/>
        <filter val="F.3.1.32"/>
        <filter val="F.3.1.33"/>
        <filter val="F.3.1.34"/>
        <filter val="F.3.1.35"/>
        <filter val="F.3.1.36"/>
        <filter val="F.3.1.37"/>
        <filter val="F.3.1.38"/>
        <filter val="F.3.1.39"/>
        <filter val="F.3.1.4"/>
        <filter val="F.3.1.40"/>
        <filter val="F.3.1.5"/>
        <filter val="F.3.1.6"/>
        <filter val="F.3.1.7"/>
        <filter val="F.3.1.8"/>
        <filter val="F.3.1.9"/>
        <filter val="F.3.2"/>
        <filter val="F.3.2.1"/>
        <filter val="F.3.2.10"/>
        <filter val="F.3.2.11"/>
        <filter val="F.3.2.12"/>
        <filter val="F.3.2.13"/>
        <filter val="F.3.2.14"/>
        <filter val="F.3.2.15"/>
        <filter val="F.3.2.16"/>
        <filter val="F.3.2.17"/>
        <filter val="F.3.2.18"/>
        <filter val="F.3.2.19"/>
        <filter val="F.3.2.2"/>
        <filter val="F.3.2.20"/>
        <filter val="F.3.2.21"/>
        <filter val="F.3.2.22"/>
        <filter val="F.3.2.23"/>
        <filter val="F.3.2.24"/>
        <filter val="F.3.2.25"/>
        <filter val="F.3.2.26"/>
        <filter val="F.3.2.27"/>
        <filter val="F.3.2.28"/>
        <filter val="F.3.2.29"/>
        <filter val="F.3.2.3"/>
        <filter val="F.3.2.30"/>
        <filter val="F.3.2.31"/>
        <filter val="F.3.2.32"/>
        <filter val="F.3.2.33"/>
        <filter val="F.3.2.34"/>
        <filter val="F.3.2.35"/>
        <filter val="F.3.2.36"/>
        <filter val="F.3.2.37"/>
        <filter val="F.3.2.38"/>
        <filter val="F.3.2.4"/>
        <filter val="F.3.2.5"/>
        <filter val="F.3.2.6"/>
        <filter val="F.3.2.7"/>
        <filter val="F.3.2.8"/>
        <filter val="F.3.2.9"/>
        <filter val="F.3.3"/>
        <filter val="F.3.3.1"/>
        <filter val="F.3.3.10"/>
        <filter val="F.3.3.11"/>
        <filter val="F.3.3.2"/>
        <filter val="F.3.3.3"/>
        <filter val="F.3.3.4"/>
        <filter val="F.3.3.5"/>
        <filter val="F.3.3.6"/>
        <filter val="F.3.3.7"/>
        <filter val="F.3.3.8"/>
        <filter val="F.3.3.9"/>
        <filter val="F.4"/>
        <filter val="F.4.1"/>
        <filter val="F.4.1.1"/>
        <filter val="F.4.1.2"/>
        <filter val="F.4.1.3"/>
        <filter val="F.4.1.4"/>
        <filter val="F.4.1.5"/>
        <filter val="F.4.1.6"/>
        <filter val="F.4.2"/>
        <filter val="F.4.2.1"/>
        <filter val="F.4.2.2"/>
        <filter val="F.4.2.3"/>
        <filter val="F.4.2.4"/>
        <filter val="F.4.2.5"/>
        <filter val="F.4.3"/>
        <filter val="F.4.3.1"/>
        <filter val="F.4.3.2"/>
        <filter val="F.4.3.3"/>
        <filter val="F.4.3.4"/>
        <filter val="F.4.3.5"/>
        <filter val="F.4.3.6"/>
        <filter val="F.4.3.7"/>
        <filter val="F.4.3.8"/>
        <filter val="F.4.3.9"/>
        <filter val="F.4.4"/>
        <filter val="F.4.4.1"/>
        <filter val="F.4.4.2"/>
        <filter val="F.4.4.3"/>
        <filter val="F.4.5"/>
        <filter val="F.4.5.1"/>
        <filter val="F.4.5.10"/>
        <filter val="F.4.5.11"/>
        <filter val="F.4.5.12"/>
        <filter val="F.4.5.13"/>
        <filter val="F.4.5.2"/>
        <filter val="F.4.5.3"/>
        <filter val="F.4.5.4"/>
        <filter val="F.4.5.5"/>
        <filter val="F.4.5.6"/>
        <filter val="F.4.5.7"/>
        <filter val="F.4.5.8"/>
        <filter val="F.4.5.9"/>
        <filter val="F.4.6"/>
        <filter val="F.4.6.1"/>
        <filter val="F.4.6.2"/>
        <filter val="F.4.6.3"/>
        <filter val="F.4.6.4"/>
        <filter val="F.4.6.5"/>
        <filter val="F.4.6.6"/>
        <filter val="F.4.6.7"/>
        <filter val="F.4.6.8"/>
        <filter val="F.4.6.9"/>
        <filter val="F.5"/>
        <filter val="F.5.1"/>
        <filter val="F.5.2"/>
        <filter val="ITEM"/>
        <filter val="MUNICÍPIO:"/>
        <filter val="OBJETO:"/>
      </filters>
    </filterColumn>
  </autoFilter>
  <mergeCells count="8">
    <mergeCell ref="G6:I6"/>
    <mergeCell ref="D306:D308"/>
    <mergeCell ref="D309:D313"/>
    <mergeCell ref="B1:I1"/>
    <mergeCell ref="B2:I2"/>
    <mergeCell ref="B3:I3"/>
    <mergeCell ref="B4:I4"/>
    <mergeCell ref="A5:I5"/>
  </mergeCells>
  <printOptions horizontalCentered="1"/>
  <pageMargins left="0.39370078740157477" right="0.39370078740157477" top="0.39370078740157477" bottom="0.39370078740157477" header="0" footer="0"/>
  <pageSetup paperSize="9" fitToHeight="0" orientation="portrait" cellComments="atEnd"/>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outlinePr summaryBelow="0"/>
    <pageSetUpPr fitToPage="1"/>
  </sheetPr>
  <dimension ref="A1:R216"/>
  <sheetViews>
    <sheetView workbookViewId="0"/>
  </sheetViews>
  <sheetFormatPr defaultColWidth="12.5703125" defaultRowHeight="15" customHeight="1" outlineLevelRow="1"/>
  <cols>
    <col min="1" max="1" width="12" customWidth="1"/>
    <col min="2" max="2" width="13.5703125" customWidth="1"/>
    <col min="3" max="3" width="10.5703125" customWidth="1"/>
    <col min="4" max="4" width="60" customWidth="1"/>
    <col min="5" max="5" width="11.5703125" customWidth="1"/>
    <col min="6" max="6" width="12.7109375" customWidth="1"/>
    <col min="7" max="7" width="12" customWidth="1"/>
    <col min="8" max="8" width="16.7109375" customWidth="1"/>
    <col min="9" max="9" width="7.7109375" customWidth="1"/>
    <col min="10" max="10" width="19.42578125" hidden="1" customWidth="1"/>
    <col min="11" max="18" width="13.85546875" hidden="1" customWidth="1"/>
  </cols>
  <sheetData>
    <row r="1" spans="1:18">
      <c r="A1" s="1188" t="e">
        <f>'Medição '!$V$5:$AB$5</f>
        <v>#VALUE!</v>
      </c>
      <c r="B1" s="3498" t="str">
        <f>'Medição '!W5</f>
        <v>COMPLEXO SUNSET DO PARQUE NOVO MATO GROSSO</v>
      </c>
      <c r="C1" s="2607"/>
      <c r="D1" s="2607"/>
      <c r="E1" s="2607"/>
      <c r="F1" s="2607"/>
      <c r="G1" s="2607"/>
      <c r="H1" s="2607"/>
      <c r="I1" s="3400"/>
      <c r="J1" s="130"/>
      <c r="K1" s="130"/>
      <c r="L1" s="130"/>
      <c r="M1" s="130"/>
      <c r="N1" s="130"/>
      <c r="O1" s="130"/>
      <c r="P1" s="130"/>
      <c r="Q1" s="130"/>
      <c r="R1" s="130"/>
    </row>
    <row r="2" spans="1:18">
      <c r="A2" s="1189" t="e">
        <f>'Medição '!$V$6:$AB$6</f>
        <v>#VALUE!</v>
      </c>
      <c r="B2" s="3499" t="str">
        <f>'Medição '!W6</f>
        <v>MT 251, KM 11, S/N, ÁREA RURAL - PARQUE NOVO MATO GROSSO, CEP 78099-899</v>
      </c>
      <c r="C2" s="2634"/>
      <c r="D2" s="2634"/>
      <c r="E2" s="2634"/>
      <c r="F2" s="2634"/>
      <c r="G2" s="2634"/>
      <c r="H2" s="2634"/>
      <c r="I2" s="2635"/>
      <c r="J2" s="130"/>
      <c r="K2" s="130"/>
      <c r="L2" s="130"/>
      <c r="M2" s="130"/>
      <c r="N2" s="130"/>
      <c r="O2" s="130"/>
      <c r="P2" s="130"/>
      <c r="Q2" s="130"/>
      <c r="R2" s="130"/>
    </row>
    <row r="3" spans="1:18">
      <c r="A3" s="1189" t="e">
        <f>'Medição '!$V$7:$AB$7</f>
        <v>#VALUE!</v>
      </c>
      <c r="B3" s="3499" t="str">
        <f>'Medição '!W7</f>
        <v>CUIABÁ - MT</v>
      </c>
      <c r="C3" s="2634"/>
      <c r="D3" s="2634"/>
      <c r="E3" s="2634"/>
      <c r="F3" s="2634"/>
      <c r="G3" s="2634"/>
      <c r="H3" s="2634"/>
      <c r="I3" s="2635"/>
      <c r="J3" s="130"/>
      <c r="K3" s="130"/>
      <c r="L3" s="130"/>
      <c r="M3" s="130"/>
      <c r="N3" s="130"/>
      <c r="O3" s="130"/>
      <c r="P3" s="130"/>
      <c r="Q3" s="130"/>
      <c r="R3" s="130"/>
    </row>
    <row r="4" spans="1:18">
      <c r="A4" s="1189" t="e">
        <f>'Medição '!$V$8:$AB$8</f>
        <v>#VALUE!</v>
      </c>
      <c r="B4" s="3500" t="str">
        <f>'Medição '!W8</f>
        <v>CONTRATAÇÃO DE EMPRESA ESPECIALIZADA PARA EXECUÇÃO DAS OBRAS DO "COMPLEXO SUNSET (WAKE BAR, PRAÇA SUNSET, QUIOSQUE, BANHEIROS DE APOIO E INFRA DE CONTÊINER) DO PARQUE NOVO MATO GROSSO"</v>
      </c>
      <c r="C4" s="2634"/>
      <c r="D4" s="2634"/>
      <c r="E4" s="2634"/>
      <c r="F4" s="2634"/>
      <c r="G4" s="2634"/>
      <c r="H4" s="2634"/>
      <c r="I4" s="2635"/>
      <c r="J4" s="130"/>
      <c r="K4" s="130"/>
      <c r="L4" s="130"/>
      <c r="M4" s="130"/>
      <c r="N4" s="130"/>
      <c r="O4" s="130"/>
      <c r="P4" s="130"/>
      <c r="Q4" s="130"/>
      <c r="R4" s="130"/>
    </row>
    <row r="5" spans="1:18" ht="30" customHeight="1">
      <c r="A5" s="3495" t="s">
        <v>16562</v>
      </c>
      <c r="B5" s="2588"/>
      <c r="C5" s="2588"/>
      <c r="D5" s="2588"/>
      <c r="E5" s="2588"/>
      <c r="F5" s="2588"/>
      <c r="G5" s="2588"/>
      <c r="H5" s="2588"/>
      <c r="I5" s="2621"/>
      <c r="J5" s="1290"/>
      <c r="K5" s="1290"/>
      <c r="L5" s="1290"/>
      <c r="M5" s="1290"/>
      <c r="N5" s="1290"/>
      <c r="O5" s="1290"/>
      <c r="P5" s="1290"/>
      <c r="Q5" s="1290"/>
      <c r="R5" s="1290"/>
    </row>
    <row r="6" spans="1:18" ht="25.5">
      <c r="A6" s="1292" t="s">
        <v>12613</v>
      </c>
      <c r="B6" s="1293" t="s">
        <v>16147</v>
      </c>
      <c r="C6" s="1293" t="s">
        <v>16148</v>
      </c>
      <c r="D6" s="1293" t="s">
        <v>16149</v>
      </c>
      <c r="E6" s="1294" t="s">
        <v>16197</v>
      </c>
      <c r="F6" s="1295" t="s">
        <v>16150</v>
      </c>
      <c r="G6" s="3496" t="s">
        <v>16151</v>
      </c>
      <c r="H6" s="2610"/>
      <c r="I6" s="3432"/>
      <c r="J6" s="1296"/>
      <c r="K6" s="1296"/>
      <c r="L6" s="1296"/>
      <c r="M6" s="1296"/>
      <c r="N6" s="1296"/>
      <c r="O6" s="1296"/>
      <c r="P6" s="1296"/>
      <c r="Q6" s="1296"/>
      <c r="R6" s="1296"/>
    </row>
    <row r="7" spans="1:18" ht="12.75">
      <c r="A7" s="1298" t="s">
        <v>16309</v>
      </c>
      <c r="B7" s="1371"/>
      <c r="C7" s="1371"/>
      <c r="D7" s="1372"/>
      <c r="E7" s="1373"/>
      <c r="F7" s="1374"/>
      <c r="G7" s="1375"/>
      <c r="H7" s="1376"/>
      <c r="I7" s="1377"/>
      <c r="J7" s="262"/>
      <c r="K7" s="262"/>
      <c r="L7" s="262"/>
      <c r="M7" s="262"/>
      <c r="N7" s="262"/>
      <c r="O7" s="262"/>
      <c r="P7" s="262"/>
      <c r="Q7" s="262"/>
      <c r="R7" s="262"/>
    </row>
    <row r="8" spans="1:18" ht="12.75">
      <c r="A8" s="238" t="s">
        <v>12655</v>
      </c>
      <c r="B8" s="1304"/>
      <c r="C8" s="1304"/>
      <c r="D8" s="1305" t="s">
        <v>16563</v>
      </c>
      <c r="E8" s="1306"/>
      <c r="F8" s="1307"/>
      <c r="G8" s="1307"/>
      <c r="H8" s="1586"/>
      <c r="I8" s="1496"/>
      <c r="J8" s="1759"/>
      <c r="K8" s="262"/>
      <c r="L8" s="262"/>
      <c r="M8" s="262"/>
      <c r="N8" s="262"/>
      <c r="O8" s="262"/>
      <c r="P8" s="262"/>
      <c r="Q8" s="262"/>
      <c r="R8" s="262"/>
    </row>
    <row r="9" spans="1:18" ht="12.75">
      <c r="A9" s="250" t="s">
        <v>14270</v>
      </c>
      <c r="B9" s="1309"/>
      <c r="C9" s="1497"/>
      <c r="D9" s="1498" t="s">
        <v>16312</v>
      </c>
      <c r="E9" s="234"/>
      <c r="F9" s="1311"/>
      <c r="G9" s="236"/>
      <c r="H9" s="236"/>
      <c r="I9" s="1499"/>
      <c r="J9" s="1644" t="s">
        <v>16316</v>
      </c>
      <c r="K9" s="1441"/>
      <c r="L9" s="1441"/>
      <c r="M9" s="1441"/>
      <c r="N9" s="1441"/>
      <c r="O9" s="1441"/>
      <c r="P9" s="1441"/>
      <c r="Q9" s="1441"/>
      <c r="R9" s="1441"/>
    </row>
    <row r="10" spans="1:18" ht="38.25" outlineLevel="1">
      <c r="A10" s="247" t="s">
        <v>14271</v>
      </c>
      <c r="B10" s="386">
        <v>105234</v>
      </c>
      <c r="C10" s="386" t="s">
        <v>14476</v>
      </c>
      <c r="D10" s="1314" t="str">
        <f>IFERROR(VLOOKUP($B10,'24.08_ND'!$A$4833:$D$12369,2,0),IFERROR(VLOOKUP($B10,'03-CP'!$C$5:$H$4646,2,0),""))</f>
        <v>BUCHA DE REDUÇÃO PVC, SOLDÁVEL, LONGA, DN 50 X 25 MM, INSTALADO EM RESERVAÇÃO PREDIAL DE ÁGUA - FORNECIMENTO E INSTALAÇÃO. AF_04/2024</v>
      </c>
      <c r="E10" s="1315" t="str">
        <f>IFERROR(VLOOKUP($B10,'24.08_ND'!$A:$D,3,0),IFERROR(VLOOKUP($B10,'03-CP'!$C$5:$H$4646,3,0),""))</f>
        <v>UN</v>
      </c>
      <c r="F10" s="389">
        <v>1</v>
      </c>
      <c r="G10" s="1244"/>
      <c r="H10" s="1244"/>
      <c r="I10" s="1409"/>
      <c r="J10" s="1644" t="s">
        <v>16316</v>
      </c>
      <c r="K10" s="262"/>
      <c r="L10" s="262"/>
      <c r="M10" s="262"/>
      <c r="N10" s="262"/>
      <c r="O10" s="262"/>
      <c r="P10" s="262"/>
      <c r="Q10" s="262"/>
      <c r="R10" s="262"/>
    </row>
    <row r="11" spans="1:18" ht="25.5" outlineLevel="1">
      <c r="A11" s="247" t="s">
        <v>14272</v>
      </c>
      <c r="B11" s="386">
        <v>103979</v>
      </c>
      <c r="C11" s="386" t="s">
        <v>14476</v>
      </c>
      <c r="D11" s="1314" t="str">
        <f>IFERROR(VLOOKUP($B11,'24.08_ND'!$A$4833:$D$12369,2,0),IFERROR(VLOOKUP($B11,'03-CP'!$C$5:$H$4646,2,0),""))</f>
        <v>TUBO, PVC, SOLDÁVEL, DE 50MM, INSTALADO EM RAMAL DE DISTRIBUIÇÃO DE ÁGUA - FORNECIMENTO E INSTALAÇÃO. AF_06/2022</v>
      </c>
      <c r="E11" s="1315" t="str">
        <f>IFERROR(VLOOKUP($B11,'24.08_ND'!$A:$D,3,0),IFERROR(VLOOKUP($B11,'03-CP'!$C$5:$H$4646,3,0),""))</f>
        <v>M</v>
      </c>
      <c r="F11" s="389">
        <v>3.2</v>
      </c>
      <c r="G11" s="1244"/>
      <c r="H11" s="1244"/>
      <c r="I11" s="1409"/>
      <c r="J11" s="1644" t="s">
        <v>16316</v>
      </c>
      <c r="K11" s="262"/>
      <c r="L11" s="262"/>
      <c r="M11" s="262"/>
      <c r="N11" s="262"/>
      <c r="O11" s="262"/>
      <c r="P11" s="262"/>
      <c r="Q11" s="262"/>
      <c r="R11" s="262"/>
    </row>
    <row r="12" spans="1:18" ht="25.5" outlineLevel="1">
      <c r="A12" s="247" t="s">
        <v>14273</v>
      </c>
      <c r="B12" s="386">
        <v>89362</v>
      </c>
      <c r="C12" s="386" t="s">
        <v>14476</v>
      </c>
      <c r="D12" s="1314" t="str">
        <f>IFERROR(VLOOKUP($B12,'24.08_ND'!$A$4833:$D$12369,2,0),IFERROR(VLOOKUP($B12,'03-CP'!$C$5:$H$4646,2,0),""))</f>
        <v>JOELHO 90 GRAUS, PVC, SOLDÁVEL, DN 25MM, INSTALADO EM RAMAL OU SUB-RAMAL DE ÁGUA - FORNECIMENTO E INSTALAÇÃO. AF_06/2022</v>
      </c>
      <c r="E12" s="1315" t="str">
        <f>IFERROR(VLOOKUP($B12,'24.08_ND'!$A:$D,3,0),IFERROR(VLOOKUP($B12,'03-CP'!$C$5:$H$4646,3,0),""))</f>
        <v>UN</v>
      </c>
      <c r="F12" s="389">
        <v>10</v>
      </c>
      <c r="G12" s="1244"/>
      <c r="H12" s="1244"/>
      <c r="I12" s="1409"/>
      <c r="J12" s="1644" t="s">
        <v>16316</v>
      </c>
      <c r="K12" s="262"/>
      <c r="L12" s="262"/>
      <c r="M12" s="262"/>
      <c r="N12" s="262"/>
      <c r="O12" s="262"/>
      <c r="P12" s="262"/>
      <c r="Q12" s="262"/>
      <c r="R12" s="262"/>
    </row>
    <row r="13" spans="1:18" ht="38.25" outlineLevel="1">
      <c r="A13" s="247" t="s">
        <v>14274</v>
      </c>
      <c r="B13" s="386">
        <v>90373</v>
      </c>
      <c r="C13" s="386" t="s">
        <v>14476</v>
      </c>
      <c r="D13" s="1314" t="str">
        <f>IFERROR(VLOOKUP($B13,'24.08_ND'!$A$4833:$D$12369,2,0),IFERROR(VLOOKUP($B13,'03-CP'!$C$5:$H$4646,2,0),""))</f>
        <v>JOELHO 90 GRAUS COM BUCHA DE LATÃO, PVC, SOLDÁVEL, DN 25MM, X 1/2  INSTALADO EM RAMAL OU SUB-RAMAL DE ÁGUA - FORNECIMENTO E INSTALAÇÃO. AF_06/2022</v>
      </c>
      <c r="E13" s="1315" t="str">
        <f>IFERROR(VLOOKUP($B13,'24.08_ND'!$A:$D,3,0),IFERROR(VLOOKUP($B13,'03-CP'!$C$5:$H$4646,3,0),""))</f>
        <v>UN</v>
      </c>
      <c r="F13" s="389">
        <v>6</v>
      </c>
      <c r="G13" s="1244"/>
      <c r="H13" s="1244"/>
      <c r="I13" s="1409"/>
      <c r="J13" s="1644" t="s">
        <v>16316</v>
      </c>
      <c r="K13" s="262"/>
      <c r="L13" s="262"/>
      <c r="M13" s="262"/>
      <c r="N13" s="262"/>
      <c r="O13" s="262"/>
      <c r="P13" s="262"/>
      <c r="Q13" s="262"/>
      <c r="R13" s="262"/>
    </row>
    <row r="14" spans="1:18" ht="25.5" outlineLevel="1">
      <c r="A14" s="247" t="s">
        <v>14275</v>
      </c>
      <c r="B14" s="386">
        <v>89363</v>
      </c>
      <c r="C14" s="386" t="s">
        <v>14476</v>
      </c>
      <c r="D14" s="1314" t="str">
        <f>IFERROR(VLOOKUP($B14,'24.08_ND'!$A$4833:$D$12369,2,0),IFERROR(VLOOKUP($B14,'03-CP'!$C$5:$H$4646,2,0),""))</f>
        <v>JOELHO 45 GRAUS, PVC, SOLDÁVEL, DN 25MM, INSTALADO EM RAMAL OU SUB-RAMAL DE ÁGUA - FORNECIMENTO E INSTALAÇÃO. AF_06/2022</v>
      </c>
      <c r="E14" s="1315" t="str">
        <f>IFERROR(VLOOKUP($B14,'24.08_ND'!$A:$D,3,0),IFERROR(VLOOKUP($B14,'03-CP'!$C$5:$H$4646,3,0),""))</f>
        <v>UN</v>
      </c>
      <c r="F14" s="389">
        <v>1</v>
      </c>
      <c r="G14" s="1244"/>
      <c r="H14" s="1244"/>
      <c r="I14" s="1409"/>
      <c r="J14" s="1644" t="s">
        <v>16316</v>
      </c>
      <c r="K14" s="262"/>
      <c r="L14" s="262"/>
      <c r="M14" s="262"/>
      <c r="N14" s="262"/>
      <c r="O14" s="262"/>
      <c r="P14" s="262"/>
      <c r="Q14" s="262"/>
      <c r="R14" s="262"/>
    </row>
    <row r="15" spans="1:18" ht="25.5" outlineLevel="1">
      <c r="A15" s="247" t="s">
        <v>14276</v>
      </c>
      <c r="B15" s="386">
        <v>89402</v>
      </c>
      <c r="C15" s="386" t="s">
        <v>14476</v>
      </c>
      <c r="D15" s="1314" t="str">
        <f>IFERROR(VLOOKUP($B15,'24.08_ND'!$A$4833:$D$12369,2,0),IFERROR(VLOOKUP($B15,'03-CP'!$C$5:$H$4646,2,0),""))</f>
        <v>TUBO, PVC, SOLDÁVEL, DE 25MM, INSTALADO EM RAMAL DE DISTRIBUIÇÃO DE ÁGUA - FORNECIMENTO E INSTALAÇÃO. AF_06/2022</v>
      </c>
      <c r="E15" s="1315" t="str">
        <f>IFERROR(VLOOKUP($B15,'24.08_ND'!$A:$D,3,0),IFERROR(VLOOKUP($B15,'03-CP'!$C$5:$H$4646,3,0),""))</f>
        <v>M</v>
      </c>
      <c r="F15" s="389">
        <v>135</v>
      </c>
      <c r="G15" s="1244"/>
      <c r="H15" s="1244"/>
      <c r="I15" s="1409"/>
      <c r="J15" s="1644" t="s">
        <v>16316</v>
      </c>
      <c r="K15" s="262"/>
      <c r="L15" s="262"/>
      <c r="M15" s="262"/>
      <c r="N15" s="262"/>
      <c r="O15" s="262"/>
      <c r="P15" s="262"/>
      <c r="Q15" s="262"/>
      <c r="R15" s="262"/>
    </row>
    <row r="16" spans="1:18" ht="25.5" outlineLevel="1">
      <c r="A16" s="247" t="s">
        <v>14277</v>
      </c>
      <c r="B16" s="386">
        <v>89395</v>
      </c>
      <c r="C16" s="386" t="s">
        <v>14476</v>
      </c>
      <c r="D16" s="1314" t="str">
        <f>IFERROR(VLOOKUP($B16,'24.08_ND'!$A$4833:$D$12369,2,0),IFERROR(VLOOKUP($B16,'03-CP'!$C$5:$H$4646,2,0),""))</f>
        <v>TE, PVC, SOLDÁVEL, DN 25MM, INSTALADO EM RAMAL OU SUB-RAMAL DE ÁGUA - FORNECIMENTO E INSTALAÇÃO. AF_06/2022</v>
      </c>
      <c r="E16" s="1315" t="str">
        <f>IFERROR(VLOOKUP($B16,'24.08_ND'!$A:$D,3,0),IFERROR(VLOOKUP($B16,'03-CP'!$C$5:$H$4646,3,0),""))</f>
        <v>UN</v>
      </c>
      <c r="F16" s="389">
        <v>5</v>
      </c>
      <c r="G16" s="1244"/>
      <c r="H16" s="1244"/>
      <c r="I16" s="1409"/>
      <c r="J16" s="1644" t="s">
        <v>16316</v>
      </c>
      <c r="K16" s="262"/>
      <c r="L16" s="262"/>
      <c r="M16" s="262"/>
      <c r="N16" s="262"/>
      <c r="O16" s="262"/>
      <c r="P16" s="262"/>
      <c r="Q16" s="262"/>
      <c r="R16" s="262"/>
    </row>
    <row r="17" spans="1:18" ht="25.5" outlineLevel="1">
      <c r="A17" s="247" t="s">
        <v>14278</v>
      </c>
      <c r="B17" s="1522" t="s">
        <v>15436</v>
      </c>
      <c r="C17" s="386" t="s">
        <v>14472</v>
      </c>
      <c r="D17" s="1314" t="str">
        <f>IFERROR(VLOOKUP($B17,'24.08_ND'!$A$4833:$D$12369,2,0),IFERROR(VLOOKUP($B17,'03-CP'!$C$5:$H$4646,2,0),""))</f>
        <v>TORNEIRA METÁLICA CROMADA DE JARDIM - FORNECIMENTO E INSTALAÇÃO.</v>
      </c>
      <c r="E17" s="1315" t="str">
        <f>IFERROR(VLOOKUP($B17,'24.08_ND'!$A:$D,3,0),IFERROR(VLOOKUP($B17,'03-CP'!$C$5:$H$4646,3,0),""))</f>
        <v>UN</v>
      </c>
      <c r="F17" s="389">
        <v>6</v>
      </c>
      <c r="G17" s="1244"/>
      <c r="H17" s="1244"/>
      <c r="I17" s="1409"/>
      <c r="J17" s="1644" t="s">
        <v>16316</v>
      </c>
      <c r="K17" s="262"/>
      <c r="L17" s="262"/>
      <c r="M17" s="262"/>
      <c r="N17" s="262"/>
      <c r="O17" s="262"/>
      <c r="P17" s="262"/>
      <c r="Q17" s="262"/>
      <c r="R17" s="262"/>
    </row>
    <row r="18" spans="1:18" ht="38.25" outlineLevel="1">
      <c r="A18" s="247" t="s">
        <v>14279</v>
      </c>
      <c r="B18" s="1522" t="s">
        <v>15440</v>
      </c>
      <c r="C18" s="386" t="s">
        <v>14472</v>
      </c>
      <c r="D18" s="1314" t="str">
        <f>IFERROR(VLOOKUP($B18,'24.08_ND'!$A$4833:$D$12369,2,0),IFERROR(VLOOKUP($B18,'03-CP'!$C$5:$H$4646,2,0),""))</f>
        <v>CAIXA ENTERRADA HIDRÁULICA RETANGULAR, EM CONCRETO PRÉ-MOLDADO E TAMPA EM PVC, DIMENSÕES INTERNAS: 0,3X0,3X0,3 M. AF_12/2020</v>
      </c>
      <c r="E18" s="1315" t="str">
        <f>IFERROR(VLOOKUP($B18,'24.08_ND'!$A:$D,3,0),IFERROR(VLOOKUP($B18,'03-CP'!$C$5:$H$4646,3,0),""))</f>
        <v>UN</v>
      </c>
      <c r="F18" s="389">
        <v>6</v>
      </c>
      <c r="G18" s="1244"/>
      <c r="H18" s="1244"/>
      <c r="I18" s="1409"/>
      <c r="J18" s="1644" t="s">
        <v>16316</v>
      </c>
      <c r="K18" s="262"/>
      <c r="L18" s="262"/>
      <c r="M18" s="262"/>
      <c r="N18" s="262"/>
      <c r="O18" s="262"/>
      <c r="P18" s="262"/>
      <c r="Q18" s="262"/>
      <c r="R18" s="262"/>
    </row>
    <row r="19" spans="1:18" ht="25.5" outlineLevel="1">
      <c r="A19" s="247" t="s">
        <v>14280</v>
      </c>
      <c r="B19" s="386">
        <v>93358</v>
      </c>
      <c r="C19" s="386" t="s">
        <v>14476</v>
      </c>
      <c r="D19" s="1314" t="str">
        <f>IFERROR(VLOOKUP($B19,'24.08_ND'!$A$4833:$D$12369,2,0),IFERROR(VLOOKUP($B19,'03-CP'!$C$5:$H$4646,2,0),""))</f>
        <v>ESCAVAÇÃO MANUAL DE VALA COM PROFUNDIDADE MENOR OU IGUAL A 1,30 M. AF_02/2021</v>
      </c>
      <c r="E19" s="1315" t="str">
        <f>IFERROR(VLOOKUP($B19,'24.08_ND'!$A:$D,3,0),IFERROR(VLOOKUP($B19,'03-CP'!$C$5:$H$4646,3,0),""))</f>
        <v>M3</v>
      </c>
      <c r="F19" s="389">
        <f>44+1.024</f>
        <v>45.024000000000001</v>
      </c>
      <c r="G19" s="1244"/>
      <c r="H19" s="1244"/>
      <c r="I19" s="1409"/>
      <c r="J19" s="1644" t="s">
        <v>16316</v>
      </c>
      <c r="K19" s="262"/>
      <c r="L19" s="262"/>
      <c r="M19" s="262"/>
      <c r="N19" s="262"/>
      <c r="O19" s="262"/>
      <c r="P19" s="262"/>
      <c r="Q19" s="262"/>
      <c r="R19" s="262"/>
    </row>
    <row r="20" spans="1:18" ht="25.5" outlineLevel="1">
      <c r="A20" s="247" t="s">
        <v>14281</v>
      </c>
      <c r="B20" s="386">
        <v>93382</v>
      </c>
      <c r="C20" s="386" t="s">
        <v>14476</v>
      </c>
      <c r="D20" s="1314" t="str">
        <f>IFERROR(VLOOKUP($B20,'24.08_ND'!$A$4833:$D$12369,2,0),IFERROR(VLOOKUP($B20,'03-CP'!$C$5:$H$4646,2,0),""))</f>
        <v>REATERRO MANUAL DE VALAS, COM COMPACTADOR DE SOLOS DE PERCUSSÃO. AF_08/2023</v>
      </c>
      <c r="E20" s="1315" t="str">
        <f>IFERROR(VLOOKUP($B20,'24.08_ND'!$A:$D,3,0),IFERROR(VLOOKUP($B20,'03-CP'!$C$5:$H$4646,3,0),""))</f>
        <v>M3</v>
      </c>
      <c r="F20" s="389">
        <f>61.6+1.43</f>
        <v>63.03</v>
      </c>
      <c r="G20" s="1244"/>
      <c r="H20" s="1244"/>
      <c r="I20" s="1409"/>
      <c r="J20" s="1644" t="s">
        <v>16316</v>
      </c>
      <c r="K20" s="262"/>
      <c r="L20" s="262"/>
      <c r="M20" s="262"/>
      <c r="N20" s="262"/>
      <c r="O20" s="262"/>
      <c r="P20" s="262"/>
      <c r="Q20" s="262"/>
      <c r="R20" s="262"/>
    </row>
    <row r="21" spans="1:18" ht="12.75">
      <c r="A21" s="250" t="s">
        <v>14282</v>
      </c>
      <c r="B21" s="1309"/>
      <c r="C21" s="1497"/>
      <c r="D21" s="1498" t="s">
        <v>16317</v>
      </c>
      <c r="E21" s="234"/>
      <c r="F21" s="1311"/>
      <c r="G21" s="236"/>
      <c r="H21" s="236"/>
      <c r="I21" s="1499"/>
      <c r="J21" s="1644" t="s">
        <v>16316</v>
      </c>
      <c r="K21" s="262"/>
      <c r="L21" s="262"/>
      <c r="M21" s="262"/>
      <c r="N21" s="262"/>
      <c r="O21" s="262"/>
      <c r="P21" s="262"/>
      <c r="Q21" s="262"/>
      <c r="R21" s="262"/>
    </row>
    <row r="22" spans="1:18" ht="25.5" outlineLevel="1">
      <c r="A22" s="247" t="s">
        <v>14283</v>
      </c>
      <c r="B22" s="386" t="s">
        <v>15438</v>
      </c>
      <c r="C22" s="386" t="s">
        <v>14472</v>
      </c>
      <c r="D22" s="1314" t="str">
        <f>IFERROR(VLOOKUP($B22,'24.08_ND'!$A$4833:$D$12369,2,0),IFERROR(VLOOKUP($B22,'03-CP'!$C$5:$H$4646,2,0),""))</f>
        <v xml:space="preserve">CAIXA DE INSPEÇÃO EM BLOCOS DE CONCRETO COM TAMPA EM CONCRETO E FUNDO 60X60X150 CM </v>
      </c>
      <c r="E22" s="1315" t="str">
        <f>IFERROR(VLOOKUP($B22,'24.08_ND'!$A:$D,3,0),IFERROR(VLOOKUP($B22,'03-CP'!$C$5:$H$4646,3,0),""))</f>
        <v>UN</v>
      </c>
      <c r="F22" s="389">
        <v>8</v>
      </c>
      <c r="G22" s="1244"/>
      <c r="H22" s="1244"/>
      <c r="I22" s="1409"/>
      <c r="J22" s="1644" t="s">
        <v>16316</v>
      </c>
      <c r="K22" s="262"/>
      <c r="L22" s="262"/>
      <c r="M22" s="262"/>
      <c r="N22" s="262"/>
      <c r="O22" s="262"/>
      <c r="P22" s="262"/>
      <c r="Q22" s="262"/>
      <c r="R22" s="262"/>
    </row>
    <row r="23" spans="1:18" ht="25.5" outlineLevel="1">
      <c r="A23" s="247" t="s">
        <v>14284</v>
      </c>
      <c r="B23" s="386" t="s">
        <v>15372</v>
      </c>
      <c r="C23" s="386" t="s">
        <v>14472</v>
      </c>
      <c r="D23" s="1314" t="str">
        <f>IFERROR(VLOOKUP($B23,'24.08_ND'!$A$4833:$D$12369,2,0),IFERROR(VLOOKUP($B23,'03-CP'!$C$5:$H$4646,2,0),""))</f>
        <v>CAP, PVC, SÉRIE NORMAL, ESGOTO PREDIAL, DN 100 MM, FORNECIMENTO E INSTALAÇÃO</v>
      </c>
      <c r="E23" s="1315" t="str">
        <f>IFERROR(VLOOKUP($B23,'24.08_ND'!$A:$D,3,0),IFERROR(VLOOKUP($B23,'03-CP'!$C$5:$H$4646,3,0),""))</f>
        <v>UN</v>
      </c>
      <c r="F23" s="389">
        <v>6</v>
      </c>
      <c r="G23" s="1244"/>
      <c r="H23" s="1244"/>
      <c r="I23" s="1409"/>
      <c r="J23" s="1644" t="s">
        <v>16316</v>
      </c>
      <c r="K23" s="262"/>
      <c r="L23" s="262"/>
      <c r="M23" s="262"/>
      <c r="N23" s="262"/>
      <c r="O23" s="262"/>
      <c r="P23" s="262"/>
      <c r="Q23" s="262"/>
      <c r="R23" s="262"/>
    </row>
    <row r="24" spans="1:18" ht="38.25" outlineLevel="1">
      <c r="A24" s="247" t="s">
        <v>14285</v>
      </c>
      <c r="B24" s="386">
        <v>89744</v>
      </c>
      <c r="C24" s="386" t="s">
        <v>14476</v>
      </c>
      <c r="D24" s="1314" t="str">
        <f>IFERROR(VLOOKUP($B24,'24.08_ND'!$A$4833:$D$12369,2,0),IFERROR(VLOOKUP($B24,'03-CP'!$C$5:$H$4646,2,0),""))</f>
        <v>JOELHO 90 GRAUS, PVC, SERIE NORMAL, ESGOTO PREDIAL, DN 100 MM, JUNTA ELÁSTICA, FORNECIDO E INSTALADO EM RAMAL DE DESCARGA OU RAMAL DE ESGOTO SANITÁRIO. AF_08/2022</v>
      </c>
      <c r="E24" s="1315" t="str">
        <f>IFERROR(VLOOKUP($B24,'24.08_ND'!$A:$D,3,0),IFERROR(VLOOKUP($B24,'03-CP'!$C$5:$H$4646,3,0),""))</f>
        <v>UN</v>
      </c>
      <c r="F24" s="389">
        <v>6</v>
      </c>
      <c r="G24" s="1244"/>
      <c r="H24" s="1244"/>
      <c r="I24" s="1409"/>
      <c r="J24" s="1644" t="s">
        <v>16316</v>
      </c>
      <c r="K24" s="262"/>
      <c r="L24" s="262"/>
      <c r="M24" s="262"/>
      <c r="N24" s="262"/>
      <c r="O24" s="262"/>
      <c r="P24" s="262"/>
      <c r="Q24" s="262"/>
      <c r="R24" s="262"/>
    </row>
    <row r="25" spans="1:18" ht="38.25" outlineLevel="1">
      <c r="A25" s="247" t="s">
        <v>14286</v>
      </c>
      <c r="B25" s="386">
        <v>89714</v>
      </c>
      <c r="C25" s="386" t="s">
        <v>14476</v>
      </c>
      <c r="D25" s="1314" t="str">
        <f>IFERROR(VLOOKUP($B25,'24.08_ND'!$A$4833:$D$12369,2,0),IFERROR(VLOOKUP($B25,'03-CP'!$C$5:$H$4646,2,0),""))</f>
        <v>TUBO PVC, SERIE NORMAL, ESGOTO PREDIAL, DN 100 MM, FORNECIDO E INSTALADO EM RAMAL DE DESCARGA OU RAMAL DE ESGOTO SANITÁRIO. AF_08/2022</v>
      </c>
      <c r="E25" s="1315" t="str">
        <f>IFERROR(VLOOKUP($B25,'24.08_ND'!$A:$D,3,0),IFERROR(VLOOKUP($B25,'03-CP'!$C$5:$H$4646,3,0),""))</f>
        <v>M</v>
      </c>
      <c r="F25" s="389">
        <v>91</v>
      </c>
      <c r="G25" s="1244"/>
      <c r="H25" s="1244"/>
      <c r="I25" s="1409"/>
      <c r="J25" s="1644" t="s">
        <v>16316</v>
      </c>
      <c r="K25" s="262"/>
      <c r="L25" s="262"/>
      <c r="M25" s="262"/>
      <c r="N25" s="262"/>
      <c r="O25" s="262"/>
      <c r="P25" s="262"/>
      <c r="Q25" s="262"/>
      <c r="R25" s="262"/>
    </row>
    <row r="26" spans="1:18" ht="25.5" outlineLevel="1">
      <c r="A26" s="247" t="s">
        <v>14287</v>
      </c>
      <c r="B26" s="386">
        <v>93358</v>
      </c>
      <c r="C26" s="386" t="s">
        <v>14476</v>
      </c>
      <c r="D26" s="1314" t="str">
        <f>IFERROR(VLOOKUP($B26,'24.08_ND'!$A$4833:$D$12369,2,0),IFERROR(VLOOKUP($B26,'03-CP'!$C$5:$H$4646,2,0),""))</f>
        <v>ESCAVAÇÃO MANUAL DE VALA COM PROFUNDIDADE MENOR OU IGUAL A 1,30 M. AF_02/2021</v>
      </c>
      <c r="E26" s="1315" t="str">
        <f>IFERROR(VLOOKUP($B26,'24.08_ND'!$A:$D,3,0),IFERROR(VLOOKUP($B26,'03-CP'!$C$5:$H$4646,3,0),""))</f>
        <v>M3</v>
      </c>
      <c r="F26" s="389">
        <v>55</v>
      </c>
      <c r="G26" s="1244"/>
      <c r="H26" s="1244"/>
      <c r="I26" s="1409"/>
      <c r="J26" s="1644" t="s">
        <v>16316</v>
      </c>
      <c r="K26" s="262"/>
      <c r="L26" s="262"/>
      <c r="M26" s="262"/>
      <c r="N26" s="262"/>
      <c r="O26" s="262"/>
      <c r="P26" s="262"/>
      <c r="Q26" s="262"/>
      <c r="R26" s="262"/>
    </row>
    <row r="27" spans="1:18" ht="25.5" outlineLevel="1">
      <c r="A27" s="247" t="s">
        <v>14288</v>
      </c>
      <c r="B27" s="386">
        <v>93382</v>
      </c>
      <c r="C27" s="386" t="s">
        <v>14476</v>
      </c>
      <c r="D27" s="1314" t="str">
        <f>IFERROR(VLOOKUP($B27,'24.08_ND'!$A$4833:$D$12369,2,0),IFERROR(VLOOKUP($B27,'03-CP'!$C$5:$H$4646,2,0),""))</f>
        <v>REATERRO MANUAL DE VALAS, COM COMPACTADOR DE SOLOS DE PERCUSSÃO. AF_08/2023</v>
      </c>
      <c r="E27" s="1315" t="str">
        <f>IFERROR(VLOOKUP($B27,'24.08_ND'!$A:$D,3,0),IFERROR(VLOOKUP($B27,'03-CP'!$C$5:$H$4646,3,0),""))</f>
        <v>M3</v>
      </c>
      <c r="F27" s="389">
        <v>77</v>
      </c>
      <c r="G27" s="1244"/>
      <c r="H27" s="1244"/>
      <c r="I27" s="1409"/>
      <c r="J27" s="1644" t="s">
        <v>16316</v>
      </c>
      <c r="K27" s="262"/>
      <c r="L27" s="262"/>
      <c r="M27" s="262"/>
      <c r="N27" s="262"/>
      <c r="O27" s="262"/>
      <c r="P27" s="262"/>
      <c r="Q27" s="262"/>
      <c r="R27" s="262"/>
    </row>
    <row r="28" spans="1:18" ht="12.75" hidden="1">
      <c r="A28" s="1760"/>
      <c r="B28" s="1761"/>
      <c r="C28" s="1761"/>
      <c r="D28" s="1762"/>
      <c r="E28" s="1763"/>
      <c r="F28" s="1764"/>
      <c r="G28" s="1764"/>
      <c r="H28" s="1765"/>
      <c r="I28" s="1766"/>
      <c r="J28" s="1759"/>
      <c r="K28" s="262"/>
      <c r="L28" s="262"/>
      <c r="M28" s="262"/>
      <c r="N28" s="262"/>
      <c r="O28" s="262"/>
      <c r="P28" s="262"/>
      <c r="Q28" s="262"/>
      <c r="R28" s="262"/>
    </row>
    <row r="29" spans="1:18" ht="25.5">
      <c r="A29" s="238" t="s">
        <v>12656</v>
      </c>
      <c r="B29" s="1304"/>
      <c r="C29" s="1304"/>
      <c r="D29" s="1305" t="s">
        <v>16564</v>
      </c>
      <c r="E29" s="1306"/>
      <c r="F29" s="1307"/>
      <c r="G29" s="1307"/>
      <c r="H29" s="1586"/>
      <c r="I29" s="1496"/>
      <c r="J29" s="1759"/>
      <c r="K29" s="262"/>
      <c r="L29" s="262"/>
      <c r="M29" s="262"/>
      <c r="N29" s="262"/>
      <c r="O29" s="262"/>
      <c r="P29" s="262"/>
      <c r="Q29" s="262"/>
      <c r="R29" s="262"/>
    </row>
    <row r="30" spans="1:18" ht="12.75">
      <c r="A30" s="250" t="s">
        <v>14289</v>
      </c>
      <c r="B30" s="1309"/>
      <c r="C30" s="1497"/>
      <c r="D30" s="1498" t="s">
        <v>16312</v>
      </c>
      <c r="E30" s="234"/>
      <c r="F30" s="1311"/>
      <c r="G30" s="236"/>
      <c r="H30" s="236"/>
      <c r="I30" s="1499"/>
      <c r="J30" s="1644" t="s">
        <v>16316</v>
      </c>
      <c r="K30" s="1441"/>
      <c r="L30" s="1441"/>
      <c r="M30" s="1441"/>
      <c r="N30" s="1441"/>
      <c r="O30" s="1441"/>
      <c r="P30" s="1441"/>
      <c r="Q30" s="1441"/>
      <c r="R30" s="1441"/>
    </row>
    <row r="31" spans="1:18" ht="38.25" outlineLevel="1">
      <c r="A31" s="247" t="s">
        <v>14290</v>
      </c>
      <c r="B31" s="386">
        <v>105234</v>
      </c>
      <c r="C31" s="386" t="s">
        <v>14476</v>
      </c>
      <c r="D31" s="1314" t="str">
        <f>IFERROR(VLOOKUP($B31,'24.08_ND'!$A$4833:$D$12369,2,0),IFERROR(VLOOKUP($B31,'03-CP'!$C$5:$H$4646,2,0),""))</f>
        <v>BUCHA DE REDUÇÃO PVC, SOLDÁVEL, LONGA, DN 50 X 25 MM, INSTALADO EM RESERVAÇÃO PREDIAL DE ÁGUA - FORNECIMENTO E INSTALAÇÃO. AF_04/2024</v>
      </c>
      <c r="E31" s="1315" t="str">
        <f>IFERROR(VLOOKUP($B31,'24.08_ND'!$A:$D,3,0),IFERROR(VLOOKUP($B31,'03-CP'!$C$5:$H$4646,3,0),""))</f>
        <v>UN</v>
      </c>
      <c r="F31" s="389">
        <v>1</v>
      </c>
      <c r="G31" s="1244"/>
      <c r="H31" s="1244"/>
      <c r="I31" s="1409"/>
      <c r="J31" s="1644" t="s">
        <v>16316</v>
      </c>
      <c r="K31" s="262"/>
      <c r="L31" s="262"/>
      <c r="M31" s="262"/>
      <c r="N31" s="262"/>
      <c r="O31" s="262"/>
      <c r="P31" s="262"/>
      <c r="Q31" s="262"/>
      <c r="R31" s="262"/>
    </row>
    <row r="32" spans="1:18" ht="25.5" outlineLevel="1">
      <c r="A32" s="247" t="s">
        <v>14291</v>
      </c>
      <c r="B32" s="386">
        <v>103979</v>
      </c>
      <c r="C32" s="386" t="s">
        <v>14476</v>
      </c>
      <c r="D32" s="1314" t="str">
        <f>IFERROR(VLOOKUP($B32,'24.08_ND'!$A$4833:$D$12369,2,0),IFERROR(VLOOKUP($B32,'03-CP'!$C$5:$H$4646,2,0),""))</f>
        <v>TUBO, PVC, SOLDÁVEL, DE 50MM, INSTALADO EM RAMAL DE DISTRIBUIÇÃO DE ÁGUA - FORNECIMENTO E INSTALAÇÃO. AF_06/2022</v>
      </c>
      <c r="E32" s="1315" t="str">
        <f>IFERROR(VLOOKUP($B32,'24.08_ND'!$A:$D,3,0),IFERROR(VLOOKUP($B32,'03-CP'!$C$5:$H$4646,3,0),""))</f>
        <v>M</v>
      </c>
      <c r="F32" s="389">
        <v>6</v>
      </c>
      <c r="G32" s="1244"/>
      <c r="H32" s="1244"/>
      <c r="I32" s="1409"/>
      <c r="J32" s="1644" t="s">
        <v>16316</v>
      </c>
      <c r="K32" s="262"/>
      <c r="L32" s="262"/>
      <c r="M32" s="262"/>
      <c r="N32" s="262"/>
      <c r="O32" s="262"/>
      <c r="P32" s="262"/>
      <c r="Q32" s="262"/>
      <c r="R32" s="262"/>
    </row>
    <row r="33" spans="1:18" ht="25.5" outlineLevel="1">
      <c r="A33" s="247" t="s">
        <v>14292</v>
      </c>
      <c r="B33" s="386">
        <v>89362</v>
      </c>
      <c r="C33" s="386" t="s">
        <v>14476</v>
      </c>
      <c r="D33" s="1314" t="str">
        <f>IFERROR(VLOOKUP($B33,'24.08_ND'!$A$4833:$D$12369,2,0),IFERROR(VLOOKUP($B33,'03-CP'!$C$5:$H$4646,2,0),""))</f>
        <v>JOELHO 90 GRAUS, PVC, SOLDÁVEL, DN 25MM, INSTALADO EM RAMAL OU SUB-RAMAL DE ÁGUA - FORNECIMENTO E INSTALAÇÃO. AF_06/2022</v>
      </c>
      <c r="E33" s="1315" t="str">
        <f>IFERROR(VLOOKUP($B33,'24.08_ND'!$A:$D,3,0),IFERROR(VLOOKUP($B33,'03-CP'!$C$5:$H$4646,3,0),""))</f>
        <v>UN</v>
      </c>
      <c r="F33" s="389">
        <v>4</v>
      </c>
      <c r="G33" s="1244"/>
      <c r="H33" s="1244"/>
      <c r="I33" s="1409"/>
      <c r="J33" s="1644" t="s">
        <v>16316</v>
      </c>
      <c r="K33" s="262"/>
      <c r="L33" s="262"/>
      <c r="M33" s="262"/>
      <c r="N33" s="262"/>
      <c r="O33" s="262"/>
      <c r="P33" s="262"/>
      <c r="Q33" s="262"/>
      <c r="R33" s="262"/>
    </row>
    <row r="34" spans="1:18" ht="38.25" outlineLevel="1">
      <c r="A34" s="247" t="s">
        <v>14293</v>
      </c>
      <c r="B34" s="386">
        <v>90373</v>
      </c>
      <c r="C34" s="386" t="s">
        <v>14476</v>
      </c>
      <c r="D34" s="1314" t="str">
        <f>IFERROR(VLOOKUP($B34,'24.08_ND'!$A$4833:$D$12369,2,0),IFERROR(VLOOKUP($B34,'03-CP'!$C$5:$H$4646,2,0),""))</f>
        <v>JOELHO 90 GRAUS COM BUCHA DE LATÃO, PVC, SOLDÁVEL, DN 25MM, X 1/2  INSTALADO EM RAMAL OU SUB-RAMAL DE ÁGUA - FORNECIMENTO E INSTALAÇÃO. AF_06/2022</v>
      </c>
      <c r="E34" s="1315" t="str">
        <f>IFERROR(VLOOKUP($B34,'24.08_ND'!$A:$D,3,0),IFERROR(VLOOKUP($B34,'03-CP'!$C$5:$H$4646,3,0),""))</f>
        <v>UN</v>
      </c>
      <c r="F34" s="389">
        <v>3</v>
      </c>
      <c r="G34" s="1244"/>
      <c r="H34" s="1244"/>
      <c r="I34" s="1409"/>
      <c r="J34" s="1644" t="s">
        <v>16316</v>
      </c>
      <c r="K34" s="262"/>
      <c r="L34" s="262"/>
      <c r="M34" s="262"/>
      <c r="N34" s="262"/>
      <c r="O34" s="262"/>
      <c r="P34" s="262"/>
      <c r="Q34" s="262"/>
      <c r="R34" s="262"/>
    </row>
    <row r="35" spans="1:18" ht="25.5" outlineLevel="1">
      <c r="A35" s="247" t="s">
        <v>14294</v>
      </c>
      <c r="B35" s="386">
        <v>89402</v>
      </c>
      <c r="C35" s="386" t="s">
        <v>14476</v>
      </c>
      <c r="D35" s="1314" t="str">
        <f>IFERROR(VLOOKUP($B35,'24.08_ND'!$A$4833:$D$12369,2,0),IFERROR(VLOOKUP($B35,'03-CP'!$C$5:$H$4646,2,0),""))</f>
        <v>TUBO, PVC, SOLDÁVEL, DE 25MM, INSTALADO EM RAMAL DE DISTRIBUIÇÃO DE ÁGUA - FORNECIMENTO E INSTALAÇÃO. AF_06/2022</v>
      </c>
      <c r="E35" s="1315" t="str">
        <f>IFERROR(VLOOKUP($B35,'24.08_ND'!$A:$D,3,0),IFERROR(VLOOKUP($B35,'03-CP'!$C$5:$H$4646,3,0),""))</f>
        <v>M</v>
      </c>
      <c r="F35" s="389">
        <v>20</v>
      </c>
      <c r="G35" s="1244"/>
      <c r="H35" s="1244"/>
      <c r="I35" s="1409"/>
      <c r="J35" s="1644" t="s">
        <v>16316</v>
      </c>
      <c r="K35" s="262"/>
      <c r="L35" s="262"/>
      <c r="M35" s="262"/>
      <c r="N35" s="262"/>
      <c r="O35" s="262"/>
      <c r="P35" s="262"/>
      <c r="Q35" s="262"/>
      <c r="R35" s="262"/>
    </row>
    <row r="36" spans="1:18" ht="25.5" outlineLevel="1">
      <c r="A36" s="247" t="s">
        <v>14295</v>
      </c>
      <c r="B36" s="386">
        <v>89395</v>
      </c>
      <c r="C36" s="386" t="s">
        <v>14476</v>
      </c>
      <c r="D36" s="1314" t="str">
        <f>IFERROR(VLOOKUP($B36,'24.08_ND'!$A$4833:$D$12369,2,0),IFERROR(VLOOKUP($B36,'03-CP'!$C$5:$H$4646,2,0),""))</f>
        <v>TE, PVC, SOLDÁVEL, DN 25MM, INSTALADO EM RAMAL OU SUB-RAMAL DE ÁGUA - FORNECIMENTO E INSTALAÇÃO. AF_06/2022</v>
      </c>
      <c r="E36" s="1315" t="str">
        <f>IFERROR(VLOOKUP($B36,'24.08_ND'!$A:$D,3,0),IFERROR(VLOOKUP($B36,'03-CP'!$C$5:$H$4646,3,0),""))</f>
        <v>UN</v>
      </c>
      <c r="F36" s="389">
        <v>2</v>
      </c>
      <c r="G36" s="1244"/>
      <c r="H36" s="1244"/>
      <c r="I36" s="1409"/>
      <c r="J36" s="1644" t="s">
        <v>16316</v>
      </c>
      <c r="K36" s="262"/>
      <c r="L36" s="262"/>
      <c r="M36" s="262"/>
      <c r="N36" s="262"/>
      <c r="O36" s="262"/>
      <c r="P36" s="262"/>
      <c r="Q36" s="262"/>
      <c r="R36" s="262"/>
    </row>
    <row r="37" spans="1:18" ht="25.5" outlineLevel="1">
      <c r="A37" s="247" t="s">
        <v>14296</v>
      </c>
      <c r="B37" s="1522" t="s">
        <v>15436</v>
      </c>
      <c r="C37" s="386" t="s">
        <v>14472</v>
      </c>
      <c r="D37" s="1314" t="str">
        <f>IFERROR(VLOOKUP($B37,'24.08_ND'!$A$4833:$D$12369,2,0),IFERROR(VLOOKUP($B37,'03-CP'!$C$5:$H$4646,2,0),""))</f>
        <v>TORNEIRA METÁLICA CROMADA DE JARDIM - FORNECIMENTO E INSTALAÇÃO.</v>
      </c>
      <c r="E37" s="1315" t="str">
        <f>IFERROR(VLOOKUP($B37,'24.08_ND'!$A:$D,3,0),IFERROR(VLOOKUP($B37,'03-CP'!$C$5:$H$4646,3,0),""))</f>
        <v>UN</v>
      </c>
      <c r="F37" s="389">
        <v>3</v>
      </c>
      <c r="G37" s="1244"/>
      <c r="H37" s="1244"/>
      <c r="I37" s="1409"/>
      <c r="J37" s="1644" t="s">
        <v>16316</v>
      </c>
      <c r="K37" s="262"/>
      <c r="L37" s="262"/>
      <c r="M37" s="262"/>
      <c r="N37" s="262"/>
      <c r="O37" s="262"/>
      <c r="P37" s="262"/>
      <c r="Q37" s="262"/>
      <c r="R37" s="262"/>
    </row>
    <row r="38" spans="1:18" ht="38.25" outlineLevel="1">
      <c r="A38" s="247" t="s">
        <v>14297</v>
      </c>
      <c r="B38" s="1522" t="s">
        <v>15440</v>
      </c>
      <c r="C38" s="386" t="s">
        <v>14472</v>
      </c>
      <c r="D38" s="1314" t="str">
        <f>IFERROR(VLOOKUP($B38,'24.08_ND'!$A$4833:$D$12369,2,0),IFERROR(VLOOKUP($B38,'03-CP'!$C$5:$H$4646,2,0),""))</f>
        <v>CAIXA ENTERRADA HIDRÁULICA RETANGULAR, EM CONCRETO PRÉ-MOLDADO E TAMPA EM PVC, DIMENSÕES INTERNAS: 0,3X0,3X0,3 M. AF_12/2020</v>
      </c>
      <c r="E38" s="1315" t="str">
        <f>IFERROR(VLOOKUP($B38,'24.08_ND'!$A:$D,3,0),IFERROR(VLOOKUP($B38,'03-CP'!$C$5:$H$4646,3,0),""))</f>
        <v>UN</v>
      </c>
      <c r="F38" s="389">
        <v>3</v>
      </c>
      <c r="G38" s="1244"/>
      <c r="H38" s="1244"/>
      <c r="I38" s="1409"/>
      <c r="J38" s="1644" t="s">
        <v>16316</v>
      </c>
      <c r="K38" s="1441"/>
      <c r="L38" s="262"/>
      <c r="M38" s="262"/>
      <c r="N38" s="262"/>
      <c r="O38" s="262"/>
      <c r="P38" s="262"/>
      <c r="Q38" s="262"/>
      <c r="R38" s="262"/>
    </row>
    <row r="39" spans="1:18" ht="25.5" outlineLevel="1">
      <c r="A39" s="247" t="s">
        <v>14298</v>
      </c>
      <c r="B39" s="386">
        <v>93358</v>
      </c>
      <c r="C39" s="386" t="s">
        <v>14476</v>
      </c>
      <c r="D39" s="1314" t="str">
        <f>IFERROR(VLOOKUP($B39,'24.08_ND'!$A$4833:$D$12369,2,0),IFERROR(VLOOKUP($B39,'03-CP'!$C$5:$H$4646,2,0),""))</f>
        <v>ESCAVAÇÃO MANUAL DE VALA COM PROFUNDIDADE MENOR OU IGUAL A 1,30 M. AF_02/2021</v>
      </c>
      <c r="E39" s="1315" t="str">
        <f>IFERROR(VLOOKUP($B39,'24.08_ND'!$A:$D,3,0),IFERROR(VLOOKUP($B39,'03-CP'!$C$5:$H$4646,3,0),""))</f>
        <v>M3</v>
      </c>
      <c r="F39" s="389">
        <f>6.4+1.7</f>
        <v>8.1</v>
      </c>
      <c r="G39" s="1244"/>
      <c r="H39" s="1244"/>
      <c r="I39" s="1409"/>
      <c r="J39" s="1644" t="s">
        <v>16316</v>
      </c>
      <c r="K39" s="1441"/>
      <c r="L39" s="262"/>
      <c r="M39" s="262"/>
      <c r="N39" s="262"/>
      <c r="O39" s="262"/>
      <c r="P39" s="262"/>
      <c r="Q39" s="262"/>
      <c r="R39" s="262"/>
    </row>
    <row r="40" spans="1:18" ht="25.5" outlineLevel="1">
      <c r="A40" s="247" t="s">
        <v>14299</v>
      </c>
      <c r="B40" s="386">
        <v>93382</v>
      </c>
      <c r="C40" s="386" t="s">
        <v>14476</v>
      </c>
      <c r="D40" s="1314" t="str">
        <f>IFERROR(VLOOKUP($B40,'24.08_ND'!$A$4833:$D$12369,2,0),IFERROR(VLOOKUP($B40,'03-CP'!$C$5:$H$4646,2,0),""))</f>
        <v>REATERRO MANUAL DE VALAS, COM COMPACTADOR DE SOLOS DE PERCUSSÃO. AF_08/2023</v>
      </c>
      <c r="E40" s="1315" t="str">
        <f>IFERROR(VLOOKUP($B40,'24.08_ND'!$A:$D,3,0),IFERROR(VLOOKUP($B40,'03-CP'!$C$5:$H$4646,3,0),""))</f>
        <v>M3</v>
      </c>
      <c r="F40" s="389">
        <f>8.96+2.43</f>
        <v>11.39</v>
      </c>
      <c r="G40" s="1244"/>
      <c r="H40" s="1244"/>
      <c r="I40" s="1409"/>
      <c r="J40" s="1644" t="s">
        <v>16316</v>
      </c>
      <c r="K40" s="1441"/>
      <c r="L40" s="262"/>
      <c r="M40" s="262"/>
      <c r="N40" s="262"/>
      <c r="O40" s="262"/>
      <c r="P40" s="262"/>
      <c r="Q40" s="262"/>
      <c r="R40" s="262"/>
    </row>
    <row r="41" spans="1:18" ht="12.75">
      <c r="A41" s="250" t="s">
        <v>14300</v>
      </c>
      <c r="B41" s="1309"/>
      <c r="C41" s="1497"/>
      <c r="D41" s="1498" t="s">
        <v>16317</v>
      </c>
      <c r="E41" s="234"/>
      <c r="F41" s="1311"/>
      <c r="G41" s="236"/>
      <c r="H41" s="236"/>
      <c r="I41" s="1499"/>
      <c r="J41" s="1644" t="s">
        <v>16316</v>
      </c>
      <c r="K41" s="262"/>
      <c r="L41" s="262"/>
      <c r="M41" s="262"/>
      <c r="N41" s="262"/>
      <c r="O41" s="262"/>
      <c r="P41" s="262"/>
      <c r="Q41" s="262"/>
      <c r="R41" s="262"/>
    </row>
    <row r="42" spans="1:18" ht="38.25" outlineLevel="1">
      <c r="A42" s="247" t="s">
        <v>14301</v>
      </c>
      <c r="B42" s="386">
        <v>97906</v>
      </c>
      <c r="C42" s="386" t="s">
        <v>14476</v>
      </c>
      <c r="D42" s="1314" t="str">
        <f>IFERROR(VLOOKUP($B42,'24.08_ND'!$A$4833:$D$12369,2,0),IFERROR(VLOOKUP($B42,'03-CP'!$C$5:$H$4646,2,0),""))</f>
        <v>CAIXA ENTERRADA HIDRÁULICA RETANGULAR, EM ALVENARIA COM BLOCOS DE CONCRETO, DIMENSÕES INTERNAS: 0,6X0,6X0,6 M PARA REDE DE ESGOTO. AF_12/2020</v>
      </c>
      <c r="E42" s="1315" t="str">
        <f>IFERROR(VLOOKUP($B42,'24.08_ND'!$A:$D,3,0),IFERROR(VLOOKUP($B42,'03-CP'!$C$5:$H$4646,3,0),""))</f>
        <v>UN</v>
      </c>
      <c r="F42" s="389">
        <v>4</v>
      </c>
      <c r="G42" s="1244"/>
      <c r="H42" s="1244"/>
      <c r="I42" s="1409"/>
      <c r="J42" s="1644" t="s">
        <v>16316</v>
      </c>
      <c r="K42" s="1441"/>
      <c r="L42" s="262"/>
      <c r="M42" s="262"/>
      <c r="N42" s="262"/>
      <c r="O42" s="262"/>
      <c r="P42" s="262"/>
      <c r="Q42" s="262"/>
      <c r="R42" s="262"/>
    </row>
    <row r="43" spans="1:18" ht="25.5" outlineLevel="1">
      <c r="A43" s="247" t="s">
        <v>14302</v>
      </c>
      <c r="B43" s="386" t="s">
        <v>15372</v>
      </c>
      <c r="C43" s="386" t="s">
        <v>14472</v>
      </c>
      <c r="D43" s="1314" t="str">
        <f>IFERROR(VLOOKUP($B43,'24.08_ND'!$A$4833:$D$12369,2,0),IFERROR(VLOOKUP($B43,'03-CP'!$C$5:$H$4646,2,0),""))</f>
        <v>CAP, PVC, SÉRIE NORMAL, ESGOTO PREDIAL, DN 100 MM, FORNECIMENTO E INSTALAÇÃO</v>
      </c>
      <c r="E43" s="1315" t="str">
        <f>IFERROR(VLOOKUP($B43,'24.08_ND'!$A:$D,3,0),IFERROR(VLOOKUP($B43,'03-CP'!$C$5:$H$4646,3,0),""))</f>
        <v>UN</v>
      </c>
      <c r="F43" s="389">
        <v>3</v>
      </c>
      <c r="G43" s="1244"/>
      <c r="H43" s="1244"/>
      <c r="I43" s="1409"/>
      <c r="J43" s="1644" t="s">
        <v>16316</v>
      </c>
      <c r="K43" s="1441"/>
      <c r="L43" s="262"/>
      <c r="M43" s="262"/>
      <c r="N43" s="262"/>
      <c r="O43" s="262"/>
      <c r="P43" s="262"/>
      <c r="Q43" s="262"/>
      <c r="R43" s="262"/>
    </row>
    <row r="44" spans="1:18" ht="38.25" outlineLevel="1">
      <c r="A44" s="247" t="s">
        <v>14303</v>
      </c>
      <c r="B44" s="386">
        <v>89744</v>
      </c>
      <c r="C44" s="386" t="s">
        <v>14476</v>
      </c>
      <c r="D44" s="1314" t="str">
        <f>IFERROR(VLOOKUP($B44,'24.08_ND'!$A$4833:$D$12369,2,0),IFERROR(VLOOKUP($B44,'03-CP'!$C$5:$H$4646,2,0),""))</f>
        <v>JOELHO 90 GRAUS, PVC, SERIE NORMAL, ESGOTO PREDIAL, DN 100 MM, JUNTA ELÁSTICA, FORNECIDO E INSTALADO EM RAMAL DE DESCARGA OU RAMAL DE ESGOTO SANITÁRIO. AF_08/2022</v>
      </c>
      <c r="E44" s="1315" t="str">
        <f>IFERROR(VLOOKUP($B44,'24.08_ND'!$A:$D,3,0),IFERROR(VLOOKUP($B44,'03-CP'!$C$5:$H$4646,3,0),""))</f>
        <v>UN</v>
      </c>
      <c r="F44" s="389">
        <v>3</v>
      </c>
      <c r="G44" s="1244"/>
      <c r="H44" s="1244"/>
      <c r="I44" s="1409"/>
      <c r="J44" s="1644" t="s">
        <v>16316</v>
      </c>
      <c r="K44" s="1441"/>
      <c r="L44" s="262"/>
      <c r="M44" s="262"/>
      <c r="N44" s="262"/>
      <c r="O44" s="262"/>
      <c r="P44" s="262"/>
      <c r="Q44" s="262"/>
      <c r="R44" s="262"/>
    </row>
    <row r="45" spans="1:18" ht="38.25" outlineLevel="1">
      <c r="A45" s="247" t="s">
        <v>14304</v>
      </c>
      <c r="B45" s="386">
        <v>89714</v>
      </c>
      <c r="C45" s="386" t="s">
        <v>14476</v>
      </c>
      <c r="D45" s="1314" t="str">
        <f>IFERROR(VLOOKUP($B45,'24.08_ND'!$A$4833:$D$12369,2,0),IFERROR(VLOOKUP($B45,'03-CP'!$C$5:$H$4646,2,0),""))</f>
        <v>TUBO PVC, SERIE NORMAL, ESGOTO PREDIAL, DN 100 MM, FORNECIDO E INSTALADO EM RAMAL DE DESCARGA OU RAMAL DE ESGOTO SANITÁRIO. AF_08/2022</v>
      </c>
      <c r="E45" s="1315" t="str">
        <f>IFERROR(VLOOKUP($B45,'24.08_ND'!$A:$D,3,0),IFERROR(VLOOKUP($B45,'03-CP'!$C$5:$H$4646,3,0),""))</f>
        <v>M</v>
      </c>
      <c r="F45" s="389">
        <v>44</v>
      </c>
      <c r="G45" s="1244"/>
      <c r="H45" s="1244"/>
      <c r="I45" s="1409"/>
      <c r="J45" s="1644" t="s">
        <v>16316</v>
      </c>
      <c r="K45" s="1441"/>
      <c r="L45" s="262"/>
      <c r="M45" s="262"/>
      <c r="N45" s="262"/>
      <c r="O45" s="262"/>
      <c r="P45" s="262"/>
      <c r="Q45" s="262"/>
      <c r="R45" s="262"/>
    </row>
    <row r="46" spans="1:18" ht="25.5" outlineLevel="1">
      <c r="A46" s="247" t="s">
        <v>14305</v>
      </c>
      <c r="B46" s="386">
        <v>93358</v>
      </c>
      <c r="C46" s="386" t="s">
        <v>14476</v>
      </c>
      <c r="D46" s="1314" t="str">
        <f>IFERROR(VLOOKUP($B46,'24.08_ND'!$A$4833:$D$12369,2,0),IFERROR(VLOOKUP($B46,'03-CP'!$C$5:$H$4646,2,0),""))</f>
        <v>ESCAVAÇÃO MANUAL DE VALA COM PROFUNDIDADE MENOR OU IGUAL A 1,30 M. AF_02/2021</v>
      </c>
      <c r="E46" s="1315" t="str">
        <f>IFERROR(VLOOKUP($B46,'24.08_ND'!$A:$D,3,0),IFERROR(VLOOKUP($B46,'03-CP'!$C$5:$H$4646,3,0),""))</f>
        <v>M3</v>
      </c>
      <c r="F46" s="389">
        <f>26.4</f>
        <v>26.4</v>
      </c>
      <c r="G46" s="1244"/>
      <c r="H46" s="1244"/>
      <c r="I46" s="1409"/>
      <c r="J46" s="1644" t="s">
        <v>16316</v>
      </c>
      <c r="K46" s="1441"/>
      <c r="L46" s="262"/>
      <c r="M46" s="262"/>
      <c r="N46" s="262"/>
      <c r="O46" s="262"/>
      <c r="P46" s="262"/>
      <c r="Q46" s="262"/>
      <c r="R46" s="262"/>
    </row>
    <row r="47" spans="1:18" ht="25.5" outlineLevel="1">
      <c r="A47" s="247" t="s">
        <v>14306</v>
      </c>
      <c r="B47" s="386">
        <v>93382</v>
      </c>
      <c r="C47" s="386" t="s">
        <v>14476</v>
      </c>
      <c r="D47" s="1314" t="str">
        <f>IFERROR(VLOOKUP($B47,'24.08_ND'!$A$4833:$D$12369,2,0),IFERROR(VLOOKUP($B47,'03-CP'!$C$5:$H$4646,2,0),""))</f>
        <v>REATERRO MANUAL DE VALAS, COM COMPACTADOR DE SOLOS DE PERCUSSÃO. AF_08/2023</v>
      </c>
      <c r="E47" s="1315" t="str">
        <f>IFERROR(VLOOKUP($B47,'24.08_ND'!$A:$D,3,0),IFERROR(VLOOKUP($B47,'03-CP'!$C$5:$H$4646,3,0),""))</f>
        <v>M3</v>
      </c>
      <c r="F47" s="389">
        <f>37</f>
        <v>37</v>
      </c>
      <c r="G47" s="1244"/>
      <c r="H47" s="1244"/>
      <c r="I47" s="1409"/>
      <c r="J47" s="1644" t="s">
        <v>16316</v>
      </c>
      <c r="K47" s="1441"/>
      <c r="L47" s="262"/>
      <c r="M47" s="262"/>
      <c r="N47" s="262"/>
      <c r="O47" s="262"/>
      <c r="P47" s="262"/>
      <c r="Q47" s="262"/>
      <c r="R47" s="262"/>
    </row>
    <row r="48" spans="1:18" ht="25.5">
      <c r="A48" s="250" t="s">
        <v>14307</v>
      </c>
      <c r="B48" s="1309"/>
      <c r="C48" s="1497"/>
      <c r="D48" s="1498" t="s">
        <v>16565</v>
      </c>
      <c r="E48" s="234"/>
      <c r="F48" s="1311"/>
      <c r="G48" s="236"/>
      <c r="H48" s="236"/>
      <c r="I48" s="1499"/>
      <c r="J48" s="262"/>
      <c r="K48" s="1441"/>
      <c r="L48" s="262"/>
      <c r="M48" s="262"/>
      <c r="N48" s="262"/>
      <c r="O48" s="262"/>
      <c r="P48" s="262"/>
      <c r="Q48" s="262"/>
      <c r="R48" s="262"/>
    </row>
    <row r="49" spans="1:18" ht="38.25" outlineLevel="1">
      <c r="A49" s="247" t="s">
        <v>14308</v>
      </c>
      <c r="B49" s="386">
        <v>89714</v>
      </c>
      <c r="C49" s="386" t="s">
        <v>14476</v>
      </c>
      <c r="D49" s="1314" t="str">
        <f>IFERROR(VLOOKUP($B49,'24.08_ND'!$A$4833:$D$12369,2,0),IFERROR(VLOOKUP($B49,'03-CP'!$C$5:$H$4646,2,0),""))</f>
        <v>TUBO PVC, SERIE NORMAL, ESGOTO PREDIAL, DN 100 MM, FORNECIDO E INSTALADO EM RAMAL DE DESCARGA OU RAMAL DE ESGOTO SANITÁRIO. AF_08/2022</v>
      </c>
      <c r="E49" s="1315" t="str">
        <f>IFERROR(VLOOKUP($B49,'24.08_ND'!$A:$D,3,0),IFERROR(VLOOKUP($B49,'03-CP'!$C$5:$H$4646,3,0),""))</f>
        <v>M</v>
      </c>
      <c r="F49" s="389">
        <v>37</v>
      </c>
      <c r="G49" s="1244"/>
      <c r="H49" s="1244"/>
      <c r="I49" s="1409"/>
      <c r="J49" s="1644" t="s">
        <v>16316</v>
      </c>
      <c r="K49" s="1441"/>
      <c r="L49" s="262"/>
      <c r="M49" s="262"/>
      <c r="N49" s="262"/>
      <c r="O49" s="262"/>
      <c r="P49" s="262"/>
      <c r="Q49" s="262"/>
      <c r="R49" s="262"/>
    </row>
    <row r="50" spans="1:18" ht="25.5" outlineLevel="1">
      <c r="A50" s="247" t="s">
        <v>14309</v>
      </c>
      <c r="B50" s="1522" t="s">
        <v>15451</v>
      </c>
      <c r="C50" s="386" t="s">
        <v>14472</v>
      </c>
      <c r="D50" s="1314" t="str">
        <f>IFERROR(VLOOKUP($B50,'24.08_ND'!$A$4833:$D$12369,2,0),IFERROR(VLOOKUP($B50,'03-CP'!$C$5:$H$4646,2,0),""))</f>
        <v>TANQUE SEPTICO DE FIBRA DE VIDRO 2100L - FORNECIMENTO E INSTALAÇÃO</v>
      </c>
      <c r="E50" s="1315" t="str">
        <f>IFERROR(VLOOKUP($B50,'24.08_ND'!$A:$D,3,0),IFERROR(VLOOKUP($B50,'03-CP'!$C$5:$H$4646,3,0),""))</f>
        <v>UN</v>
      </c>
      <c r="F50" s="389">
        <v>1</v>
      </c>
      <c r="G50" s="1244"/>
      <c r="H50" s="1244"/>
      <c r="I50" s="1409"/>
      <c r="J50" s="1644" t="s">
        <v>16316</v>
      </c>
      <c r="K50" s="1441"/>
      <c r="L50" s="262"/>
      <c r="M50" s="262"/>
      <c r="N50" s="262"/>
      <c r="O50" s="262"/>
      <c r="P50" s="262"/>
      <c r="Q50" s="262"/>
      <c r="R50" s="262"/>
    </row>
    <row r="51" spans="1:18" ht="25.5" outlineLevel="1">
      <c r="A51" s="247" t="s">
        <v>14310</v>
      </c>
      <c r="B51" s="1522" t="s">
        <v>15454</v>
      </c>
      <c r="C51" s="386" t="s">
        <v>14472</v>
      </c>
      <c r="D51" s="1314" t="str">
        <f>IFERROR(VLOOKUP($B51,'24.08_ND'!$A$4833:$D$12369,2,0),IFERROR(VLOOKUP($B51,'03-CP'!$C$5:$H$4646,2,0),""))</f>
        <v>FILTRO BIOLÓGICO DE FIBRA DE VIDRO 2100L - FORNECIMENTO E INSTALAÇÃO</v>
      </c>
      <c r="E51" s="1315" t="str">
        <f>IFERROR(VLOOKUP($B51,'24.08_ND'!$A:$D,3,0),IFERROR(VLOOKUP($B51,'03-CP'!$C$5:$H$4646,3,0),""))</f>
        <v>UN</v>
      </c>
      <c r="F51" s="389">
        <v>1</v>
      </c>
      <c r="G51" s="1244"/>
      <c r="H51" s="1244"/>
      <c r="I51" s="1409"/>
      <c r="J51" s="1644" t="s">
        <v>16316</v>
      </c>
      <c r="K51" s="262"/>
      <c r="L51" s="262"/>
      <c r="M51" s="262"/>
      <c r="N51" s="262"/>
      <c r="O51" s="262"/>
      <c r="P51" s="262"/>
      <c r="Q51" s="262"/>
      <c r="R51" s="262"/>
    </row>
    <row r="52" spans="1:18" ht="25.5" outlineLevel="1">
      <c r="A52" s="247" t="s">
        <v>14311</v>
      </c>
      <c r="B52" s="1522" t="s">
        <v>15457</v>
      </c>
      <c r="C52" s="386" t="s">
        <v>14472</v>
      </c>
      <c r="D52" s="1314" t="str">
        <f>IFERROR(VLOOKUP($B52,'24.08_ND'!$A$4833:$D$12369,2,0),IFERROR(VLOOKUP($B52,'03-CP'!$C$5:$H$4646,2,0),""))</f>
        <v>CAIXA DE GRADEMANETO DE FIBRA DE VIDRO 50L - FORNECIMENTO E INSTALAÇÃO</v>
      </c>
      <c r="E52" s="1315" t="str">
        <f>IFERROR(VLOOKUP($B52,'24.08_ND'!$A:$D,3,0),IFERROR(VLOOKUP($B52,'03-CP'!$C$5:$H$4646,3,0),""))</f>
        <v>UN</v>
      </c>
      <c r="F52" s="389">
        <v>1</v>
      </c>
      <c r="G52" s="1244"/>
      <c r="H52" s="1244"/>
      <c r="I52" s="1409"/>
      <c r="J52" s="1644" t="s">
        <v>16316</v>
      </c>
      <c r="K52" s="262"/>
      <c r="L52" s="262"/>
      <c r="M52" s="262"/>
      <c r="N52" s="262"/>
      <c r="O52" s="262"/>
      <c r="P52" s="262"/>
      <c r="Q52" s="262"/>
      <c r="R52" s="262"/>
    </row>
    <row r="53" spans="1:18" ht="38.25" outlineLevel="1">
      <c r="A53" s="247" t="s">
        <v>14312</v>
      </c>
      <c r="B53" s="386">
        <v>98062</v>
      </c>
      <c r="C53" s="386" t="s">
        <v>14476</v>
      </c>
      <c r="D53" s="1314" t="str">
        <f>IFERROR(VLOOKUP($B53,'24.08_ND'!$A$4833:$D$12369,2,0),IFERROR(VLOOKUP($B53,'03-CP'!$C$5:$H$4646,2,0),""))</f>
        <v>SUMIDOURO CIRCULAR, EM CONCRETO PRÉ-MOLDADO, DIÂMETRO INTERNO = 1,88 M, ALTURA INTERNA = 2,00 M, ÁREA DE INFILTRAÇÃO: 13,1 M² (PARA 5 CONTRIBUINTES). AF_12/2020_PA</v>
      </c>
      <c r="E53" s="1315" t="str">
        <f>IFERROR(VLOOKUP($B53,'24.08_ND'!$A:$D,3,0),IFERROR(VLOOKUP($B53,'03-CP'!$C$5:$H$4646,3,0),""))</f>
        <v>UN</v>
      </c>
      <c r="F53" s="389">
        <v>1</v>
      </c>
      <c r="G53" s="1244"/>
      <c r="H53" s="1244"/>
      <c r="I53" s="1409"/>
      <c r="J53" s="1644" t="s">
        <v>16316</v>
      </c>
      <c r="K53" s="262"/>
      <c r="L53" s="262"/>
      <c r="M53" s="262"/>
      <c r="N53" s="262"/>
      <c r="O53" s="262"/>
      <c r="P53" s="262"/>
      <c r="Q53" s="262"/>
      <c r="R53" s="262"/>
    </row>
    <row r="54" spans="1:18" ht="12.75" hidden="1">
      <c r="A54" s="450"/>
      <c r="I54" s="453"/>
    </row>
    <row r="55" spans="1:18" ht="12.75">
      <c r="A55" s="238" t="s">
        <v>12657</v>
      </c>
      <c r="B55" s="1304"/>
      <c r="C55" s="1304"/>
      <c r="D55" s="1305" t="s">
        <v>16566</v>
      </c>
      <c r="E55" s="1306"/>
      <c r="F55" s="1307"/>
      <c r="G55" s="1307"/>
      <c r="H55" s="1586"/>
      <c r="I55" s="1496"/>
      <c r="J55" s="836"/>
      <c r="K55" s="1441"/>
      <c r="L55" s="1441"/>
      <c r="M55" s="1441"/>
      <c r="N55" s="1441"/>
      <c r="O55" s="1441"/>
      <c r="P55" s="1441"/>
      <c r="Q55" s="1441"/>
      <c r="R55" s="1441"/>
    </row>
    <row r="56" spans="1:18" ht="12.75">
      <c r="A56" s="250" t="s">
        <v>14313</v>
      </c>
      <c r="B56" s="1309"/>
      <c r="C56" s="1497"/>
      <c r="D56" s="1498" t="s">
        <v>16312</v>
      </c>
      <c r="E56" s="234"/>
      <c r="F56" s="1311"/>
      <c r="G56" s="236"/>
      <c r="H56" s="236"/>
      <c r="I56" s="1499"/>
      <c r="J56" s="1644" t="s">
        <v>16316</v>
      </c>
      <c r="K56" s="1441"/>
      <c r="L56" s="1441"/>
      <c r="M56" s="1441"/>
      <c r="N56" s="1441"/>
      <c r="O56" s="1441"/>
      <c r="P56" s="1441"/>
      <c r="Q56" s="1441"/>
      <c r="R56" s="1441"/>
    </row>
    <row r="57" spans="1:18" ht="38.25" outlineLevel="1">
      <c r="A57" s="247" t="s">
        <v>14314</v>
      </c>
      <c r="B57" s="386">
        <v>105234</v>
      </c>
      <c r="C57" s="386" t="s">
        <v>14476</v>
      </c>
      <c r="D57" s="1314" t="str">
        <f>IFERROR(VLOOKUP($B57,'24.08_ND'!$A$4833:$D$12369,2,0),IFERROR(VLOOKUP($B57,'03-CP'!$C$5:$H$4646,2,0),""))</f>
        <v>BUCHA DE REDUÇÃO PVC, SOLDÁVEL, LONGA, DN 50 X 25 MM, INSTALADO EM RESERVAÇÃO PREDIAL DE ÁGUA - FORNECIMENTO E INSTALAÇÃO. AF_04/2024</v>
      </c>
      <c r="E57" s="1315" t="str">
        <f>IFERROR(VLOOKUP($B57,'24.08_ND'!$A:$D,3,0),IFERROR(VLOOKUP($B57,'03-CP'!$C$5:$H$4646,3,0),""))</f>
        <v>UN</v>
      </c>
      <c r="F57" s="389">
        <v>1</v>
      </c>
      <c r="G57" s="1244"/>
      <c r="H57" s="1244"/>
      <c r="I57" s="1409"/>
      <c r="J57" s="1644" t="s">
        <v>16316</v>
      </c>
      <c r="K57" s="262"/>
      <c r="L57" s="262"/>
      <c r="M57" s="262"/>
      <c r="N57" s="262"/>
      <c r="O57" s="262"/>
      <c r="P57" s="262"/>
      <c r="Q57" s="262"/>
      <c r="R57" s="262"/>
    </row>
    <row r="58" spans="1:18" ht="25.5" outlineLevel="1">
      <c r="A58" s="247" t="s">
        <v>14315</v>
      </c>
      <c r="B58" s="386">
        <v>103979</v>
      </c>
      <c r="C58" s="386" t="s">
        <v>14476</v>
      </c>
      <c r="D58" s="1314" t="str">
        <f>IFERROR(VLOOKUP($B58,'24.08_ND'!$A$4833:$D$12369,2,0),IFERROR(VLOOKUP($B58,'03-CP'!$C$5:$H$4646,2,0),""))</f>
        <v>TUBO, PVC, SOLDÁVEL, DE 50MM, INSTALADO EM RAMAL DE DISTRIBUIÇÃO DE ÁGUA - FORNECIMENTO E INSTALAÇÃO. AF_06/2022</v>
      </c>
      <c r="E58" s="1315" t="str">
        <f>IFERROR(VLOOKUP($B58,'24.08_ND'!$A:$D,3,0),IFERROR(VLOOKUP($B58,'03-CP'!$C$5:$H$4646,3,0),""))</f>
        <v>M</v>
      </c>
      <c r="F58" s="389">
        <v>1.2</v>
      </c>
      <c r="G58" s="1244"/>
      <c r="H58" s="1244"/>
      <c r="I58" s="1409"/>
      <c r="J58" s="1644" t="s">
        <v>16316</v>
      </c>
      <c r="K58" s="262"/>
      <c r="L58" s="262"/>
      <c r="M58" s="262"/>
      <c r="N58" s="262"/>
      <c r="O58" s="262"/>
      <c r="P58" s="262"/>
      <c r="Q58" s="262"/>
      <c r="R58" s="262"/>
    </row>
    <row r="59" spans="1:18" ht="25.5" outlineLevel="1">
      <c r="A59" s="247" t="s">
        <v>14316</v>
      </c>
      <c r="B59" s="386">
        <v>89362</v>
      </c>
      <c r="C59" s="386" t="s">
        <v>14476</v>
      </c>
      <c r="D59" s="1314" t="str">
        <f>IFERROR(VLOOKUP($B59,'24.08_ND'!$A$4833:$D$12369,2,0),IFERROR(VLOOKUP($B59,'03-CP'!$C$5:$H$4646,2,0),""))</f>
        <v>JOELHO 90 GRAUS, PVC, SOLDÁVEL, DN 25MM, INSTALADO EM RAMAL OU SUB-RAMAL DE ÁGUA - FORNECIMENTO E INSTALAÇÃO. AF_06/2022</v>
      </c>
      <c r="E59" s="1315" t="str">
        <f>IFERROR(VLOOKUP($B59,'24.08_ND'!$A:$D,3,0),IFERROR(VLOOKUP($B59,'03-CP'!$C$5:$H$4646,3,0),""))</f>
        <v>UN</v>
      </c>
      <c r="F59" s="389">
        <v>7</v>
      </c>
      <c r="G59" s="1244"/>
      <c r="H59" s="1244"/>
      <c r="I59" s="1409"/>
      <c r="J59" s="1644" t="s">
        <v>16316</v>
      </c>
      <c r="K59" s="262"/>
      <c r="L59" s="262"/>
      <c r="M59" s="262"/>
      <c r="N59" s="262"/>
      <c r="O59" s="262"/>
      <c r="P59" s="262"/>
      <c r="Q59" s="262"/>
      <c r="R59" s="262"/>
    </row>
    <row r="60" spans="1:18" ht="38.25" outlineLevel="1">
      <c r="A60" s="247" t="s">
        <v>14317</v>
      </c>
      <c r="B60" s="386">
        <v>90373</v>
      </c>
      <c r="C60" s="386" t="s">
        <v>14476</v>
      </c>
      <c r="D60" s="1314" t="str">
        <f>IFERROR(VLOOKUP($B60,'24.08_ND'!$A$4833:$D$12369,2,0),IFERROR(VLOOKUP($B60,'03-CP'!$C$5:$H$4646,2,0),""))</f>
        <v>JOELHO 90 GRAUS COM BUCHA DE LATÃO, PVC, SOLDÁVEL, DN 25MM, X 1/2  INSTALADO EM RAMAL OU SUB-RAMAL DE ÁGUA - FORNECIMENTO E INSTALAÇÃO. AF_06/2022</v>
      </c>
      <c r="E60" s="1315" t="str">
        <f>IFERROR(VLOOKUP($B60,'24.08_ND'!$A:$D,3,0),IFERROR(VLOOKUP($B60,'03-CP'!$C$5:$H$4646,3,0),""))</f>
        <v>UN</v>
      </c>
      <c r="F60" s="389">
        <v>6</v>
      </c>
      <c r="G60" s="1244"/>
      <c r="H60" s="1244"/>
      <c r="I60" s="1409"/>
      <c r="J60" s="1644" t="s">
        <v>16316</v>
      </c>
      <c r="K60" s="262"/>
      <c r="L60" s="262"/>
      <c r="M60" s="262"/>
      <c r="N60" s="262"/>
      <c r="O60" s="262"/>
      <c r="P60" s="262"/>
      <c r="Q60" s="262"/>
      <c r="R60" s="262"/>
    </row>
    <row r="61" spans="1:18" ht="25.5" outlineLevel="1">
      <c r="A61" s="247" t="s">
        <v>14318</v>
      </c>
      <c r="B61" s="386">
        <v>89402</v>
      </c>
      <c r="C61" s="386" t="s">
        <v>14476</v>
      </c>
      <c r="D61" s="1314" t="str">
        <f>IFERROR(VLOOKUP($B61,'24.08_ND'!$A$4833:$D$12369,2,0),IFERROR(VLOOKUP($B61,'03-CP'!$C$5:$H$4646,2,0),""))</f>
        <v>TUBO, PVC, SOLDÁVEL, DE 25MM, INSTALADO EM RAMAL DE DISTRIBUIÇÃO DE ÁGUA - FORNECIMENTO E INSTALAÇÃO. AF_06/2022</v>
      </c>
      <c r="E61" s="1315" t="str">
        <f>IFERROR(VLOOKUP($B61,'24.08_ND'!$A:$D,3,0),IFERROR(VLOOKUP($B61,'03-CP'!$C$5:$H$4646,3,0),""))</f>
        <v>M</v>
      </c>
      <c r="F61" s="389">
        <v>45</v>
      </c>
      <c r="G61" s="1244"/>
      <c r="H61" s="1244"/>
      <c r="I61" s="1409"/>
      <c r="J61" s="1644" t="s">
        <v>16316</v>
      </c>
      <c r="K61" s="262"/>
      <c r="L61" s="262"/>
      <c r="M61" s="262"/>
      <c r="N61" s="262"/>
      <c r="O61" s="262"/>
      <c r="P61" s="262"/>
      <c r="Q61" s="262"/>
      <c r="R61" s="262"/>
    </row>
    <row r="62" spans="1:18" ht="25.5" outlineLevel="1">
      <c r="A62" s="247" t="s">
        <v>14319</v>
      </c>
      <c r="B62" s="386">
        <v>89395</v>
      </c>
      <c r="C62" s="386" t="s">
        <v>14476</v>
      </c>
      <c r="D62" s="1314" t="str">
        <f>IFERROR(VLOOKUP($B62,'24.08_ND'!$A$4833:$D$12369,2,0),IFERROR(VLOOKUP($B62,'03-CP'!$C$5:$H$4646,2,0),""))</f>
        <v>TE, PVC, SOLDÁVEL, DN 25MM, INSTALADO EM RAMAL OU SUB-RAMAL DE ÁGUA - FORNECIMENTO E INSTALAÇÃO. AF_06/2022</v>
      </c>
      <c r="E62" s="1315" t="str">
        <f>IFERROR(VLOOKUP($B62,'24.08_ND'!$A:$D,3,0),IFERROR(VLOOKUP($B62,'03-CP'!$C$5:$H$4646,3,0),""))</f>
        <v>UN</v>
      </c>
      <c r="F62" s="389">
        <v>5</v>
      </c>
      <c r="G62" s="1244"/>
      <c r="H62" s="1244"/>
      <c r="I62" s="1409"/>
      <c r="J62" s="1644" t="s">
        <v>16316</v>
      </c>
      <c r="K62" s="262"/>
      <c r="L62" s="262"/>
      <c r="M62" s="262"/>
      <c r="N62" s="262"/>
      <c r="O62" s="262"/>
      <c r="P62" s="262"/>
      <c r="Q62" s="262"/>
      <c r="R62" s="262"/>
    </row>
    <row r="63" spans="1:18" ht="25.5" outlineLevel="1">
      <c r="A63" s="247" t="s">
        <v>14320</v>
      </c>
      <c r="B63" s="1522" t="s">
        <v>15436</v>
      </c>
      <c r="C63" s="386" t="s">
        <v>14472</v>
      </c>
      <c r="D63" s="1314" t="str">
        <f>IFERROR(VLOOKUP($B63,'24.08_ND'!$A$4833:$D$12369,2,0),IFERROR(VLOOKUP($B63,'03-CP'!$C$5:$H$4646,2,0),""))</f>
        <v>TORNEIRA METÁLICA CROMADA DE JARDIM - FORNECIMENTO E INSTALAÇÃO.</v>
      </c>
      <c r="E63" s="1315" t="str">
        <f>IFERROR(VLOOKUP($B63,'24.08_ND'!$A:$D,3,0),IFERROR(VLOOKUP($B63,'03-CP'!$C$5:$H$4646,3,0),""))</f>
        <v>UN</v>
      </c>
      <c r="F63" s="389">
        <v>6</v>
      </c>
      <c r="G63" s="1244"/>
      <c r="H63" s="1244"/>
      <c r="I63" s="1409"/>
      <c r="J63" s="1644" t="s">
        <v>16316</v>
      </c>
      <c r="K63" s="262"/>
      <c r="L63" s="262"/>
      <c r="M63" s="262"/>
      <c r="N63" s="262"/>
      <c r="O63" s="262"/>
      <c r="P63" s="262"/>
      <c r="Q63" s="262"/>
      <c r="R63" s="262"/>
    </row>
    <row r="64" spans="1:18" ht="38.25" outlineLevel="1">
      <c r="A64" s="247" t="s">
        <v>14321</v>
      </c>
      <c r="B64" s="1522" t="s">
        <v>15440</v>
      </c>
      <c r="C64" s="386" t="s">
        <v>14472</v>
      </c>
      <c r="D64" s="1314" t="str">
        <f>IFERROR(VLOOKUP($B64,'24.08_ND'!$A$4833:$D$12369,2,0),IFERROR(VLOOKUP($B64,'03-CP'!$C$5:$H$4646,2,0),""))</f>
        <v>CAIXA ENTERRADA HIDRÁULICA RETANGULAR, EM CONCRETO PRÉ-MOLDADO E TAMPA EM PVC, DIMENSÕES INTERNAS: 0,3X0,3X0,3 M. AF_12/2020</v>
      </c>
      <c r="E64" s="1315" t="str">
        <f>IFERROR(VLOOKUP($B64,'24.08_ND'!$A:$D,3,0),IFERROR(VLOOKUP($B64,'03-CP'!$C$5:$H$4646,3,0),""))</f>
        <v>UN</v>
      </c>
      <c r="F64" s="389">
        <v>6</v>
      </c>
      <c r="G64" s="1244"/>
      <c r="H64" s="1244"/>
      <c r="I64" s="1409"/>
      <c r="J64" s="1644" t="s">
        <v>16316</v>
      </c>
      <c r="K64" s="262"/>
      <c r="L64" s="262"/>
      <c r="M64" s="262"/>
      <c r="N64" s="262"/>
      <c r="O64" s="262"/>
      <c r="P64" s="262"/>
      <c r="Q64" s="262"/>
      <c r="R64" s="262"/>
    </row>
    <row r="65" spans="1:18" ht="25.5" outlineLevel="1">
      <c r="A65" s="247" t="s">
        <v>14322</v>
      </c>
      <c r="B65" s="386">
        <v>93358</v>
      </c>
      <c r="C65" s="386" t="s">
        <v>14476</v>
      </c>
      <c r="D65" s="1314" t="str">
        <f>IFERROR(VLOOKUP($B65,'24.08_ND'!$A$4833:$D$12369,2,0),IFERROR(VLOOKUP($B65,'03-CP'!$C$5:$H$4646,2,0),""))</f>
        <v>ESCAVAÇÃO MANUAL DE VALA COM PROFUNDIDADE MENOR OU IGUAL A 1,30 M. AF_02/2021</v>
      </c>
      <c r="E65" s="1315" t="str">
        <f>IFERROR(VLOOKUP($B65,'24.08_ND'!$A:$D,3,0),IFERROR(VLOOKUP($B65,'03-CP'!$C$5:$H$4646,3,0),""))</f>
        <v>M3</v>
      </c>
      <c r="F65" s="389">
        <f>14.3+0.4</f>
        <v>14.700000000000001</v>
      </c>
      <c r="G65" s="1244"/>
      <c r="H65" s="1244"/>
      <c r="I65" s="1409"/>
      <c r="J65" s="1644" t="s">
        <v>16316</v>
      </c>
      <c r="K65" s="262"/>
      <c r="L65" s="262"/>
      <c r="M65" s="262"/>
      <c r="N65" s="262"/>
      <c r="O65" s="262"/>
      <c r="P65" s="262"/>
      <c r="Q65" s="262"/>
      <c r="R65" s="262"/>
    </row>
    <row r="66" spans="1:18" ht="25.5" outlineLevel="1">
      <c r="A66" s="247" t="s">
        <v>14323</v>
      </c>
      <c r="B66" s="386">
        <v>93382</v>
      </c>
      <c r="C66" s="386" t="s">
        <v>14476</v>
      </c>
      <c r="D66" s="1314" t="str">
        <f>IFERROR(VLOOKUP($B66,'24.08_ND'!$A$4833:$D$12369,2,0),IFERROR(VLOOKUP($B66,'03-CP'!$C$5:$H$4646,2,0),""))</f>
        <v>REATERRO MANUAL DE VALAS, COM COMPACTADOR DE SOLOS DE PERCUSSÃO. AF_08/2023</v>
      </c>
      <c r="E66" s="1315" t="str">
        <f>IFERROR(VLOOKUP($B66,'24.08_ND'!$A:$D,3,0),IFERROR(VLOOKUP($B66,'03-CP'!$C$5:$H$4646,3,0),""))</f>
        <v>M3</v>
      </c>
      <c r="F66" s="389">
        <f>20.16+0.56</f>
        <v>20.72</v>
      </c>
      <c r="G66" s="1244"/>
      <c r="H66" s="1244"/>
      <c r="I66" s="1409"/>
      <c r="J66" s="1644" t="s">
        <v>16316</v>
      </c>
      <c r="K66" s="262"/>
      <c r="L66" s="262"/>
      <c r="M66" s="262"/>
      <c r="N66" s="262"/>
      <c r="O66" s="262"/>
      <c r="P66" s="262"/>
      <c r="Q66" s="262"/>
      <c r="R66" s="262"/>
    </row>
    <row r="67" spans="1:18" ht="12.75">
      <c r="A67" s="250" t="s">
        <v>14324</v>
      </c>
      <c r="B67" s="1309"/>
      <c r="C67" s="1497"/>
      <c r="D67" s="1498" t="s">
        <v>16317</v>
      </c>
      <c r="E67" s="234"/>
      <c r="F67" s="1311"/>
      <c r="G67" s="236"/>
      <c r="H67" s="236"/>
      <c r="I67" s="1499"/>
      <c r="J67" s="1644" t="s">
        <v>16316</v>
      </c>
      <c r="K67" s="262" t="s">
        <v>16567</v>
      </c>
      <c r="L67" s="262"/>
      <c r="M67" s="262"/>
      <c r="N67" s="262"/>
      <c r="O67" s="262"/>
      <c r="P67" s="262"/>
      <c r="Q67" s="262"/>
      <c r="R67" s="262"/>
    </row>
    <row r="68" spans="1:18" ht="38.25" outlineLevel="1">
      <c r="A68" s="247" t="s">
        <v>14325</v>
      </c>
      <c r="B68" s="386">
        <v>97906</v>
      </c>
      <c r="C68" s="386" t="s">
        <v>14476</v>
      </c>
      <c r="D68" s="1314" t="str">
        <f>IFERROR(VLOOKUP($B68,'24.08_ND'!$A$4833:$D$12369,2,0),IFERROR(VLOOKUP($B68,'03-CP'!$C$5:$H$4646,2,0),""))</f>
        <v>CAIXA ENTERRADA HIDRÁULICA RETANGULAR, EM ALVENARIA COM BLOCOS DE CONCRETO, DIMENSÕES INTERNAS: 0,6X0,6X0,6 M PARA REDE DE ESGOTO. AF_12/2020</v>
      </c>
      <c r="E68" s="1315" t="str">
        <f>IFERROR(VLOOKUP($B68,'24.08_ND'!$A:$D,3,0),IFERROR(VLOOKUP($B68,'03-CP'!$C$5:$H$4646,3,0),""))</f>
        <v>UN</v>
      </c>
      <c r="F68" s="389">
        <v>10</v>
      </c>
      <c r="G68" s="1244"/>
      <c r="H68" s="1244"/>
      <c r="I68" s="1409"/>
      <c r="J68" s="1644" t="s">
        <v>16316</v>
      </c>
      <c r="K68" s="262"/>
      <c r="L68" s="262"/>
      <c r="M68" s="262"/>
      <c r="N68" s="262"/>
      <c r="O68" s="262"/>
      <c r="P68" s="262"/>
      <c r="Q68" s="262"/>
      <c r="R68" s="262"/>
    </row>
    <row r="69" spans="1:18" ht="25.5" outlineLevel="1">
      <c r="A69" s="247" t="s">
        <v>14326</v>
      </c>
      <c r="B69" s="386" t="s">
        <v>15372</v>
      </c>
      <c r="C69" s="386" t="s">
        <v>14472</v>
      </c>
      <c r="D69" s="1314" t="str">
        <f>IFERROR(VLOOKUP($B69,'24.08_ND'!$A$4833:$D$12369,2,0),IFERROR(VLOOKUP($B69,'03-CP'!$C$5:$H$4646,2,0),""))</f>
        <v>CAP, PVC, SÉRIE NORMAL, ESGOTO PREDIAL, DN 100 MM, FORNECIMENTO E INSTALAÇÃO</v>
      </c>
      <c r="E69" s="1315" t="str">
        <f>IFERROR(VLOOKUP($B69,'24.08_ND'!$A:$D,3,0),IFERROR(VLOOKUP($B69,'03-CP'!$C$5:$H$4646,3,0),""))</f>
        <v>UN</v>
      </c>
      <c r="F69" s="389">
        <v>6</v>
      </c>
      <c r="G69" s="1244"/>
      <c r="H69" s="1244"/>
      <c r="I69" s="1409"/>
      <c r="J69" s="1644" t="s">
        <v>16316</v>
      </c>
      <c r="K69" s="262"/>
      <c r="L69" s="262"/>
      <c r="M69" s="262"/>
      <c r="N69" s="262"/>
      <c r="O69" s="262"/>
      <c r="P69" s="262"/>
      <c r="Q69" s="262"/>
      <c r="R69" s="262"/>
    </row>
    <row r="70" spans="1:18" ht="38.25" outlineLevel="1">
      <c r="A70" s="247" t="s">
        <v>14327</v>
      </c>
      <c r="B70" s="386">
        <v>89744</v>
      </c>
      <c r="C70" s="386" t="s">
        <v>14476</v>
      </c>
      <c r="D70" s="1314" t="str">
        <f>IFERROR(VLOOKUP($B70,'24.08_ND'!$A$4833:$D$12369,2,0),IFERROR(VLOOKUP($B70,'03-CP'!$C$5:$H$4646,2,0),""))</f>
        <v>JOELHO 90 GRAUS, PVC, SERIE NORMAL, ESGOTO PREDIAL, DN 100 MM, JUNTA ELÁSTICA, FORNECIDO E INSTALADO EM RAMAL DE DESCARGA OU RAMAL DE ESGOTO SANITÁRIO. AF_08/2022</v>
      </c>
      <c r="E70" s="1315" t="str">
        <f>IFERROR(VLOOKUP($B70,'24.08_ND'!$A:$D,3,0),IFERROR(VLOOKUP($B70,'03-CP'!$C$5:$H$4646,3,0),""))</f>
        <v>UN</v>
      </c>
      <c r="F70" s="389">
        <v>6</v>
      </c>
      <c r="G70" s="1244"/>
      <c r="H70" s="1244"/>
      <c r="I70" s="1409"/>
      <c r="J70" s="1644" t="s">
        <v>16316</v>
      </c>
      <c r="K70" s="262"/>
      <c r="L70" s="262"/>
      <c r="M70" s="262"/>
      <c r="N70" s="262"/>
      <c r="O70" s="262"/>
      <c r="P70" s="262"/>
      <c r="Q70" s="262"/>
      <c r="R70" s="262"/>
    </row>
    <row r="71" spans="1:18" ht="38.25" outlineLevel="1">
      <c r="A71" s="247" t="s">
        <v>14328</v>
      </c>
      <c r="B71" s="386">
        <v>89714</v>
      </c>
      <c r="C71" s="386" t="s">
        <v>14476</v>
      </c>
      <c r="D71" s="1314" t="str">
        <f>IFERROR(VLOOKUP($B71,'24.08_ND'!$A$4833:$D$12369,2,0),IFERROR(VLOOKUP($B71,'03-CP'!$C$5:$H$4646,2,0),""))</f>
        <v>TUBO PVC, SERIE NORMAL, ESGOTO PREDIAL, DN 100 MM, FORNECIDO E INSTALADO EM RAMAL DE DESCARGA OU RAMAL DE ESGOTO SANITÁRIO. AF_08/2022</v>
      </c>
      <c r="E71" s="1315" t="str">
        <f>IFERROR(VLOOKUP($B71,'24.08_ND'!$A:$D,3,0),IFERROR(VLOOKUP($B71,'03-CP'!$C$5:$H$4646,3,0),""))</f>
        <v>M</v>
      </c>
      <c r="F71" s="389">
        <v>124.2</v>
      </c>
      <c r="G71" s="1244"/>
      <c r="H71" s="1244"/>
      <c r="I71" s="1409"/>
      <c r="J71" s="1644" t="s">
        <v>16316</v>
      </c>
      <c r="K71" s="262"/>
      <c r="L71" s="262"/>
      <c r="M71" s="262"/>
      <c r="N71" s="262"/>
      <c r="O71" s="262"/>
      <c r="P71" s="262"/>
      <c r="Q71" s="262"/>
      <c r="R71" s="262"/>
    </row>
    <row r="72" spans="1:18" ht="25.5" outlineLevel="1">
      <c r="A72" s="247" t="s">
        <v>14329</v>
      </c>
      <c r="B72" s="386">
        <v>93358</v>
      </c>
      <c r="C72" s="386" t="s">
        <v>14476</v>
      </c>
      <c r="D72" s="1314" t="str">
        <f>IFERROR(VLOOKUP($B72,'24.08_ND'!$A$4833:$D$12369,2,0),IFERROR(VLOOKUP($B72,'03-CP'!$C$5:$H$4646,2,0),""))</f>
        <v>ESCAVAÇÃO MANUAL DE VALA COM PROFUNDIDADE MENOR OU IGUAL A 1,30 M. AF_02/2021</v>
      </c>
      <c r="E72" s="1315" t="str">
        <f>IFERROR(VLOOKUP($B72,'24.08_ND'!$A:$D,3,0),IFERROR(VLOOKUP($B72,'03-CP'!$C$5:$H$4646,3,0),""))</f>
        <v>M3</v>
      </c>
      <c r="F72" s="389">
        <f>74.5</f>
        <v>74.5</v>
      </c>
      <c r="G72" s="1244"/>
      <c r="H72" s="1244"/>
      <c r="I72" s="1409"/>
      <c r="J72" s="1644" t="s">
        <v>16316</v>
      </c>
      <c r="K72" s="262"/>
      <c r="L72" s="262"/>
      <c r="M72" s="262"/>
      <c r="N72" s="262"/>
      <c r="O72" s="262"/>
      <c r="P72" s="262"/>
      <c r="Q72" s="262"/>
      <c r="R72" s="262"/>
    </row>
    <row r="73" spans="1:18" ht="25.5" outlineLevel="1">
      <c r="A73" s="247" t="s">
        <v>14330</v>
      </c>
      <c r="B73" s="386">
        <v>93382</v>
      </c>
      <c r="C73" s="386" t="s">
        <v>14476</v>
      </c>
      <c r="D73" s="1314" t="str">
        <f>IFERROR(VLOOKUP($B73,'24.08_ND'!$A$4833:$D$12369,2,0),IFERROR(VLOOKUP($B73,'03-CP'!$C$5:$H$4646,2,0),""))</f>
        <v>REATERRO MANUAL DE VALAS, COM COMPACTADOR DE SOLOS DE PERCUSSÃO. AF_08/2023</v>
      </c>
      <c r="E73" s="1315" t="str">
        <f>IFERROR(VLOOKUP($B73,'24.08_ND'!$A:$D,3,0),IFERROR(VLOOKUP($B73,'03-CP'!$C$5:$H$4646,3,0),""))</f>
        <v>M3</v>
      </c>
      <c r="F73" s="389">
        <v>104.3</v>
      </c>
      <c r="G73" s="1244"/>
      <c r="H73" s="1244"/>
      <c r="I73" s="1409"/>
      <c r="J73" s="1644" t="s">
        <v>16316</v>
      </c>
      <c r="K73" s="262"/>
      <c r="L73" s="262"/>
      <c r="M73" s="262"/>
      <c r="N73" s="262"/>
      <c r="O73" s="262"/>
      <c r="P73" s="262"/>
      <c r="Q73" s="262"/>
      <c r="R73" s="262"/>
    </row>
    <row r="74" spans="1:18" ht="12.75" hidden="1">
      <c r="A74" s="1767"/>
      <c r="B74" s="386"/>
      <c r="C74" s="386"/>
      <c r="D74" s="1768"/>
      <c r="E74" s="1244"/>
      <c r="F74" s="389"/>
      <c r="G74" s="389"/>
      <c r="H74" s="389"/>
      <c r="I74" s="1769"/>
      <c r="J74" s="1759"/>
      <c r="K74" s="262"/>
      <c r="L74" s="262"/>
      <c r="M74" s="262"/>
      <c r="N74" s="262"/>
      <c r="O74" s="262"/>
      <c r="P74" s="262"/>
      <c r="Q74" s="262"/>
      <c r="R74" s="262"/>
    </row>
    <row r="75" spans="1:18" ht="12.75">
      <c r="A75" s="238" t="s">
        <v>12658</v>
      </c>
      <c r="B75" s="1304"/>
      <c r="C75" s="1304"/>
      <c r="D75" s="1305" t="s">
        <v>16568</v>
      </c>
      <c r="E75" s="1306"/>
      <c r="F75" s="1307"/>
      <c r="G75" s="1307"/>
      <c r="H75" s="1586"/>
      <c r="I75" s="1496"/>
      <c r="J75" s="1759"/>
      <c r="K75" s="262"/>
      <c r="L75" s="262"/>
      <c r="M75" s="262"/>
      <c r="N75" s="262"/>
      <c r="O75" s="262"/>
      <c r="P75" s="262"/>
      <c r="Q75" s="262"/>
      <c r="R75" s="262"/>
    </row>
    <row r="76" spans="1:18" ht="12.75">
      <c r="A76" s="250" t="s">
        <v>14331</v>
      </c>
      <c r="B76" s="1309"/>
      <c r="C76" s="1497"/>
      <c r="D76" s="1498" t="s">
        <v>16312</v>
      </c>
      <c r="E76" s="234"/>
      <c r="F76" s="1311"/>
      <c r="G76" s="236"/>
      <c r="H76" s="236"/>
      <c r="I76" s="1499"/>
      <c r="J76" s="1644" t="s">
        <v>16316</v>
      </c>
      <c r="K76" s="1441"/>
      <c r="L76" s="1441"/>
      <c r="M76" s="1441"/>
      <c r="N76" s="1441"/>
      <c r="O76" s="1441"/>
      <c r="P76" s="1441"/>
      <c r="Q76" s="1441"/>
      <c r="R76" s="1441"/>
    </row>
    <row r="77" spans="1:18" ht="25.5" outlineLevel="1">
      <c r="A77" s="247" t="s">
        <v>14332</v>
      </c>
      <c r="B77" s="386">
        <v>89501</v>
      </c>
      <c r="C77" s="386" t="s">
        <v>14476</v>
      </c>
      <c r="D77" s="1314" t="str">
        <f>IFERROR(VLOOKUP($B77,'24.08_ND'!$A$4833:$D$12369,2,0),IFERROR(VLOOKUP($B77,'03-CP'!$C$5:$H$4646,2,0),""))</f>
        <v>JOELHO 90 GRAUS, PVC, SOLDÁVEL, DN 50MM, INSTALADO EM PRUMADA DE ÁGUA - FORNECIMENTO E INSTALAÇÃO. AF_06/2022</v>
      </c>
      <c r="E77" s="1315" t="str">
        <f>IFERROR(VLOOKUP($B77,'24.08_ND'!$A:$D,3,0),IFERROR(VLOOKUP($B77,'03-CP'!$C$5:$H$4646,3,0),""))</f>
        <v>UN</v>
      </c>
      <c r="F77" s="389">
        <v>1</v>
      </c>
      <c r="G77" s="1244"/>
      <c r="H77" s="1244"/>
      <c r="I77" s="1409"/>
      <c r="J77" s="1644" t="s">
        <v>16316</v>
      </c>
      <c r="K77" s="262"/>
      <c r="L77" s="262"/>
      <c r="M77" s="262"/>
      <c r="N77" s="262"/>
      <c r="O77" s="262"/>
      <c r="P77" s="262"/>
      <c r="Q77" s="262"/>
      <c r="R77" s="262"/>
    </row>
    <row r="78" spans="1:18" ht="25.5" outlineLevel="1">
      <c r="A78" s="247" t="s">
        <v>14333</v>
      </c>
      <c r="B78" s="386">
        <v>89627</v>
      </c>
      <c r="C78" s="386" t="s">
        <v>14476</v>
      </c>
      <c r="D78" s="1314" t="str">
        <f>IFERROR(VLOOKUP($B78,'24.08_ND'!$A$4833:$D$12369,2,0),IFERROR(VLOOKUP($B78,'03-CP'!$C$5:$H$4646,2,0),""))</f>
        <v>TÊ DE REDUÇÃO, PVC, SOLDÁVEL, DN 50MM X 25MM, INSTALADO EM PRUMADA DE ÁGUA - FORNECIMENTO E INSTALAÇÃO. AF_06/2022</v>
      </c>
      <c r="E78" s="1315" t="str">
        <f>IFERROR(VLOOKUP($B78,'24.08_ND'!$A:$D,3,0),IFERROR(VLOOKUP($B78,'03-CP'!$C$5:$H$4646,3,0),""))</f>
        <v>UN</v>
      </c>
      <c r="F78" s="389">
        <v>2</v>
      </c>
      <c r="G78" s="1244"/>
      <c r="H78" s="1244"/>
      <c r="I78" s="1409"/>
      <c r="J78" s="1644" t="s">
        <v>16316</v>
      </c>
      <c r="K78" s="262"/>
      <c r="L78" s="262"/>
      <c r="M78" s="262"/>
      <c r="N78" s="262"/>
      <c r="O78" s="262"/>
      <c r="P78" s="262"/>
      <c r="Q78" s="262"/>
      <c r="R78" s="262"/>
    </row>
    <row r="79" spans="1:18" ht="38.25" outlineLevel="1">
      <c r="A79" s="247" t="s">
        <v>14334</v>
      </c>
      <c r="B79" s="386">
        <v>105234</v>
      </c>
      <c r="C79" s="386" t="s">
        <v>14476</v>
      </c>
      <c r="D79" s="1314" t="str">
        <f>IFERROR(VLOOKUP($B79,'24.08_ND'!$A$4833:$D$12369,2,0),IFERROR(VLOOKUP($B79,'03-CP'!$C$5:$H$4646,2,0),""))</f>
        <v>BUCHA DE REDUÇÃO PVC, SOLDÁVEL, LONGA, DN 50 X 25 MM, INSTALADO EM RESERVAÇÃO PREDIAL DE ÁGUA - FORNECIMENTO E INSTALAÇÃO. AF_04/2024</v>
      </c>
      <c r="E79" s="1315" t="str">
        <f>IFERROR(VLOOKUP($B79,'24.08_ND'!$A:$D,3,0),IFERROR(VLOOKUP($B79,'03-CP'!$C$5:$H$4646,3,0),""))</f>
        <v>UN</v>
      </c>
      <c r="F79" s="389">
        <v>1</v>
      </c>
      <c r="G79" s="1244"/>
      <c r="H79" s="1244"/>
      <c r="I79" s="1409"/>
      <c r="J79" s="1644" t="s">
        <v>16316</v>
      </c>
      <c r="K79" s="262"/>
      <c r="L79" s="262"/>
      <c r="M79" s="262"/>
      <c r="N79" s="262"/>
      <c r="O79" s="262"/>
      <c r="P79" s="262"/>
      <c r="Q79" s="262"/>
      <c r="R79" s="262"/>
    </row>
    <row r="80" spans="1:18" ht="25.5" outlineLevel="1">
      <c r="A80" s="247" t="s">
        <v>14335</v>
      </c>
      <c r="B80" s="386">
        <v>103979</v>
      </c>
      <c r="C80" s="386" t="s">
        <v>14476</v>
      </c>
      <c r="D80" s="1314" t="str">
        <f>IFERROR(VLOOKUP($B80,'24.08_ND'!$A$4833:$D$12369,2,0),IFERROR(VLOOKUP($B80,'03-CP'!$C$5:$H$4646,2,0),""))</f>
        <v>TUBO, PVC, SOLDÁVEL, DE 50MM, INSTALADO EM RAMAL DE DISTRIBUIÇÃO DE ÁGUA - FORNECIMENTO E INSTALAÇÃO. AF_06/2022</v>
      </c>
      <c r="E80" s="1315" t="str">
        <f>IFERROR(VLOOKUP($B80,'24.08_ND'!$A:$D,3,0),IFERROR(VLOOKUP($B80,'03-CP'!$C$5:$H$4646,3,0),""))</f>
        <v>M</v>
      </c>
      <c r="F80" s="389">
        <v>17</v>
      </c>
      <c r="G80" s="1244"/>
      <c r="H80" s="1244"/>
      <c r="I80" s="1409"/>
      <c r="J80" s="1644" t="s">
        <v>16316</v>
      </c>
      <c r="K80" s="262"/>
      <c r="L80" s="262"/>
      <c r="M80" s="262"/>
      <c r="N80" s="262"/>
      <c r="O80" s="262"/>
      <c r="P80" s="262"/>
      <c r="Q80" s="262"/>
      <c r="R80" s="262"/>
    </row>
    <row r="81" spans="1:18" ht="25.5" outlineLevel="1">
      <c r="A81" s="247" t="s">
        <v>14336</v>
      </c>
      <c r="B81" s="386">
        <v>89362</v>
      </c>
      <c r="C81" s="386" t="s">
        <v>14476</v>
      </c>
      <c r="D81" s="1314" t="str">
        <f>IFERROR(VLOOKUP($B81,'24.08_ND'!$A$4833:$D$12369,2,0),IFERROR(VLOOKUP($B81,'03-CP'!$C$5:$H$4646,2,0),""))</f>
        <v>JOELHO 90 GRAUS, PVC, SOLDÁVEL, DN 25MM, INSTALADO EM RAMAL OU SUB-RAMAL DE ÁGUA - FORNECIMENTO E INSTALAÇÃO. AF_06/2022</v>
      </c>
      <c r="E81" s="1315" t="str">
        <f>IFERROR(VLOOKUP($B81,'24.08_ND'!$A:$D,3,0),IFERROR(VLOOKUP($B81,'03-CP'!$C$5:$H$4646,3,0),""))</f>
        <v>UN</v>
      </c>
      <c r="F81" s="389">
        <v>9</v>
      </c>
      <c r="G81" s="1244"/>
      <c r="H81" s="1244"/>
      <c r="I81" s="1409"/>
      <c r="J81" s="1644" t="s">
        <v>16316</v>
      </c>
      <c r="K81" s="262"/>
      <c r="L81" s="262"/>
      <c r="M81" s="262"/>
      <c r="N81" s="262"/>
      <c r="O81" s="262"/>
      <c r="P81" s="262"/>
      <c r="Q81" s="262"/>
      <c r="R81" s="262"/>
    </row>
    <row r="82" spans="1:18" ht="38.25" outlineLevel="1">
      <c r="A82" s="247" t="s">
        <v>14337</v>
      </c>
      <c r="B82" s="386">
        <v>90373</v>
      </c>
      <c r="C82" s="386" t="s">
        <v>14476</v>
      </c>
      <c r="D82" s="1314" t="str">
        <f>IFERROR(VLOOKUP($B82,'24.08_ND'!$A$4833:$D$12369,2,0),IFERROR(VLOOKUP($B82,'03-CP'!$C$5:$H$4646,2,0),""))</f>
        <v>JOELHO 90 GRAUS COM BUCHA DE LATÃO, PVC, SOLDÁVEL, DN 25MM, X 1/2  INSTALADO EM RAMAL OU SUB-RAMAL DE ÁGUA - FORNECIMENTO E INSTALAÇÃO. AF_06/2022</v>
      </c>
      <c r="E82" s="1315" t="str">
        <f>IFERROR(VLOOKUP($B82,'24.08_ND'!$A:$D,3,0),IFERROR(VLOOKUP($B82,'03-CP'!$C$5:$H$4646,3,0),""))</f>
        <v>UN</v>
      </c>
      <c r="F82" s="389">
        <v>6</v>
      </c>
      <c r="G82" s="1244"/>
      <c r="H82" s="1244"/>
      <c r="I82" s="1409"/>
      <c r="J82" s="1644" t="s">
        <v>16316</v>
      </c>
      <c r="K82" s="262"/>
      <c r="L82" s="262"/>
      <c r="M82" s="262"/>
      <c r="N82" s="262"/>
      <c r="O82" s="262"/>
      <c r="P82" s="262"/>
      <c r="Q82" s="262"/>
      <c r="R82" s="262"/>
    </row>
    <row r="83" spans="1:18" ht="25.5" outlineLevel="1">
      <c r="A83" s="247" t="s">
        <v>14338</v>
      </c>
      <c r="B83" s="386">
        <v>89402</v>
      </c>
      <c r="C83" s="386" t="s">
        <v>14476</v>
      </c>
      <c r="D83" s="1314" t="str">
        <f>IFERROR(VLOOKUP($B83,'24.08_ND'!$A$4833:$D$12369,2,0),IFERROR(VLOOKUP($B83,'03-CP'!$C$5:$H$4646,2,0),""))</f>
        <v>TUBO, PVC, SOLDÁVEL, DE 25MM, INSTALADO EM RAMAL DE DISTRIBUIÇÃO DE ÁGUA - FORNECIMENTO E INSTALAÇÃO. AF_06/2022</v>
      </c>
      <c r="E83" s="1315" t="str">
        <f>IFERROR(VLOOKUP($B83,'24.08_ND'!$A:$D,3,0),IFERROR(VLOOKUP($B83,'03-CP'!$C$5:$H$4646,3,0),""))</f>
        <v>M</v>
      </c>
      <c r="F83" s="389">
        <v>34</v>
      </c>
      <c r="G83" s="1244"/>
      <c r="H83" s="1244"/>
      <c r="I83" s="1409"/>
      <c r="J83" s="1644" t="s">
        <v>16316</v>
      </c>
      <c r="K83" s="262"/>
      <c r="L83" s="262"/>
      <c r="M83" s="262"/>
      <c r="N83" s="262"/>
      <c r="O83" s="262"/>
      <c r="P83" s="262"/>
      <c r="Q83" s="262"/>
      <c r="R83" s="262"/>
    </row>
    <row r="84" spans="1:18" ht="25.5" outlineLevel="1">
      <c r="A84" s="247" t="s">
        <v>14339</v>
      </c>
      <c r="B84" s="386">
        <v>89395</v>
      </c>
      <c r="C84" s="386" t="s">
        <v>14476</v>
      </c>
      <c r="D84" s="1314" t="str">
        <f>IFERROR(VLOOKUP($B84,'24.08_ND'!$A$4833:$D$12369,2,0),IFERROR(VLOOKUP($B84,'03-CP'!$C$5:$H$4646,2,0),""))</f>
        <v>TE, PVC, SOLDÁVEL, DN 25MM, INSTALADO EM RAMAL OU SUB-RAMAL DE ÁGUA - FORNECIMENTO E INSTALAÇÃO. AF_06/2022</v>
      </c>
      <c r="E84" s="1315" t="str">
        <f>IFERROR(VLOOKUP($B84,'24.08_ND'!$A:$D,3,0),IFERROR(VLOOKUP($B84,'03-CP'!$C$5:$H$4646,3,0),""))</f>
        <v>UN</v>
      </c>
      <c r="F84" s="389">
        <v>3</v>
      </c>
      <c r="G84" s="1244"/>
      <c r="H84" s="1244"/>
      <c r="I84" s="1409"/>
      <c r="J84" s="1644" t="s">
        <v>16316</v>
      </c>
      <c r="K84" s="262"/>
      <c r="L84" s="262"/>
      <c r="M84" s="262"/>
      <c r="N84" s="262"/>
      <c r="O84" s="262"/>
      <c r="P84" s="262"/>
      <c r="Q84" s="262"/>
      <c r="R84" s="262"/>
    </row>
    <row r="85" spans="1:18" ht="25.5" outlineLevel="1">
      <c r="A85" s="247" t="s">
        <v>14340</v>
      </c>
      <c r="B85" s="1522" t="s">
        <v>15436</v>
      </c>
      <c r="C85" s="386" t="s">
        <v>14472</v>
      </c>
      <c r="D85" s="1314" t="str">
        <f>IFERROR(VLOOKUP($B85,'24.08_ND'!$A$4833:$D$12369,2,0),IFERROR(VLOOKUP($B85,'03-CP'!$C$5:$H$4646,2,0),""))</f>
        <v>TORNEIRA METÁLICA CROMADA DE JARDIM - FORNECIMENTO E INSTALAÇÃO.</v>
      </c>
      <c r="E85" s="1315" t="str">
        <f>IFERROR(VLOOKUP($B85,'24.08_ND'!$A:$D,3,0),IFERROR(VLOOKUP($B85,'03-CP'!$C$5:$H$4646,3,0),""))</f>
        <v>UN</v>
      </c>
      <c r="F85" s="389">
        <v>6</v>
      </c>
      <c r="G85" s="1244"/>
      <c r="H85" s="1244"/>
      <c r="I85" s="1409"/>
      <c r="J85" s="1644" t="s">
        <v>16316</v>
      </c>
      <c r="K85" s="262"/>
      <c r="L85" s="262"/>
      <c r="M85" s="262"/>
      <c r="N85" s="262"/>
      <c r="O85" s="262"/>
      <c r="P85" s="262"/>
      <c r="Q85" s="262"/>
      <c r="R85" s="262"/>
    </row>
    <row r="86" spans="1:18" ht="38.25" outlineLevel="1">
      <c r="A86" s="247" t="s">
        <v>14341</v>
      </c>
      <c r="B86" s="1522" t="s">
        <v>15440</v>
      </c>
      <c r="C86" s="386" t="s">
        <v>14472</v>
      </c>
      <c r="D86" s="1314" t="str">
        <f>IFERROR(VLOOKUP($B86,'24.08_ND'!$A$4833:$D$12369,2,0),IFERROR(VLOOKUP($B86,'03-CP'!$C$5:$H$4646,2,0),""))</f>
        <v>CAIXA ENTERRADA HIDRÁULICA RETANGULAR, EM CONCRETO PRÉ-MOLDADO E TAMPA EM PVC, DIMENSÕES INTERNAS: 0,3X0,3X0,3 M. AF_12/2020</v>
      </c>
      <c r="E86" s="1315" t="str">
        <f>IFERROR(VLOOKUP($B86,'24.08_ND'!$A:$D,3,0),IFERROR(VLOOKUP($B86,'03-CP'!$C$5:$H$4646,3,0),""))</f>
        <v>UN</v>
      </c>
      <c r="F86" s="389">
        <v>6</v>
      </c>
      <c r="G86" s="1244"/>
      <c r="H86" s="1244"/>
      <c r="I86" s="1409"/>
      <c r="J86" s="1644" t="s">
        <v>16316</v>
      </c>
      <c r="K86" s="262"/>
      <c r="L86" s="262"/>
      <c r="M86" s="262"/>
      <c r="N86" s="262"/>
      <c r="O86" s="262"/>
      <c r="P86" s="262"/>
      <c r="Q86" s="262"/>
      <c r="R86" s="262"/>
    </row>
    <row r="87" spans="1:18" ht="25.5" outlineLevel="1">
      <c r="A87" s="247" t="s">
        <v>14342</v>
      </c>
      <c r="B87" s="386">
        <v>93358</v>
      </c>
      <c r="C87" s="386" t="s">
        <v>14476</v>
      </c>
      <c r="D87" s="1314" t="str">
        <f>IFERROR(VLOOKUP($B87,'24.08_ND'!$A$4833:$D$12369,2,0),IFERROR(VLOOKUP($B87,'03-CP'!$C$5:$H$4646,2,0),""))</f>
        <v>ESCAVAÇÃO MANUAL DE VALA COM PROFUNDIDADE MENOR OU IGUAL A 1,30 M. AF_02/2021</v>
      </c>
      <c r="E87" s="1315" t="str">
        <f>IFERROR(VLOOKUP($B87,'24.08_ND'!$A:$D,3,0),IFERROR(VLOOKUP($B87,'03-CP'!$C$5:$H$4646,3,0),""))</f>
        <v>M3</v>
      </c>
      <c r="F87" s="389">
        <f>10.8+5.4</f>
        <v>16.200000000000003</v>
      </c>
      <c r="G87" s="1244"/>
      <c r="H87" s="1244"/>
      <c r="I87" s="1409"/>
      <c r="J87" s="1644" t="s">
        <v>16316</v>
      </c>
      <c r="K87" s="262"/>
      <c r="L87" s="262"/>
      <c r="M87" s="262"/>
      <c r="N87" s="262"/>
      <c r="O87" s="262"/>
      <c r="P87" s="262"/>
      <c r="Q87" s="262"/>
      <c r="R87" s="262"/>
    </row>
    <row r="88" spans="1:18" ht="25.5" outlineLevel="1">
      <c r="A88" s="247" t="s">
        <v>14343</v>
      </c>
      <c r="B88" s="386">
        <v>93382</v>
      </c>
      <c r="C88" s="386" t="s">
        <v>14476</v>
      </c>
      <c r="D88" s="1314" t="str">
        <f>IFERROR(VLOOKUP($B88,'24.08_ND'!$A$4833:$D$12369,2,0),IFERROR(VLOOKUP($B88,'03-CP'!$C$5:$H$4646,2,0),""))</f>
        <v>REATERRO MANUAL DE VALAS, COM COMPACTADOR DE SOLOS DE PERCUSSÃO. AF_08/2023</v>
      </c>
      <c r="E88" s="1315" t="str">
        <f>IFERROR(VLOOKUP($B88,'24.08_ND'!$A:$D,3,0),IFERROR(VLOOKUP($B88,'03-CP'!$C$5:$H$4646,3,0),""))</f>
        <v>M3</v>
      </c>
      <c r="F88" s="389">
        <f>15.15+7.55</f>
        <v>22.7</v>
      </c>
      <c r="G88" s="1244"/>
      <c r="H88" s="1244"/>
      <c r="I88" s="1409"/>
      <c r="J88" s="1644" t="s">
        <v>16316</v>
      </c>
      <c r="K88" s="262"/>
      <c r="L88" s="262"/>
      <c r="M88" s="262"/>
      <c r="N88" s="262"/>
      <c r="O88" s="262"/>
      <c r="P88" s="262"/>
      <c r="Q88" s="262"/>
      <c r="R88" s="262"/>
    </row>
    <row r="89" spans="1:18" ht="12.75">
      <c r="A89" s="250" t="s">
        <v>14344</v>
      </c>
      <c r="B89" s="1309"/>
      <c r="C89" s="1497"/>
      <c r="D89" s="1498" t="s">
        <v>16317</v>
      </c>
      <c r="E89" s="234"/>
      <c r="F89" s="1311"/>
      <c r="G89" s="236"/>
      <c r="H89" s="236"/>
      <c r="I89" s="1499"/>
      <c r="J89" s="1644" t="s">
        <v>16316</v>
      </c>
      <c r="K89" s="262"/>
      <c r="L89" s="262"/>
      <c r="M89" s="262"/>
      <c r="N89" s="262"/>
      <c r="O89" s="262"/>
      <c r="P89" s="262"/>
      <c r="Q89" s="262"/>
      <c r="R89" s="262"/>
    </row>
    <row r="90" spans="1:18" ht="38.25" outlineLevel="1">
      <c r="A90" s="247" t="s">
        <v>14345</v>
      </c>
      <c r="B90" s="386">
        <v>97906</v>
      </c>
      <c r="C90" s="386" t="s">
        <v>14476</v>
      </c>
      <c r="D90" s="1314" t="str">
        <f>IFERROR(VLOOKUP($B90,'24.08_ND'!$A$4833:$D$12369,2,0),IFERROR(VLOOKUP($B90,'03-CP'!$C$5:$H$4646,2,0),""))</f>
        <v>CAIXA ENTERRADA HIDRÁULICA RETANGULAR, EM ALVENARIA COM BLOCOS DE CONCRETO, DIMENSÕES INTERNAS: 0,6X0,6X0,6 M PARA REDE DE ESGOTO. AF_12/2020</v>
      </c>
      <c r="E90" s="1315" t="str">
        <f>IFERROR(VLOOKUP($B90,'24.08_ND'!$A:$D,3,0),IFERROR(VLOOKUP($B90,'03-CP'!$C$5:$H$4646,3,0),""))</f>
        <v>UN</v>
      </c>
      <c r="F90" s="389">
        <v>7</v>
      </c>
      <c r="G90" s="1244"/>
      <c r="H90" s="1244"/>
      <c r="I90" s="1409"/>
      <c r="J90" s="1644" t="s">
        <v>16316</v>
      </c>
      <c r="K90" s="262"/>
      <c r="L90" s="262"/>
      <c r="M90" s="262"/>
      <c r="N90" s="262"/>
      <c r="O90" s="262"/>
      <c r="P90" s="262"/>
      <c r="Q90" s="262"/>
      <c r="R90" s="262"/>
    </row>
    <row r="91" spans="1:18" ht="25.5" outlineLevel="1">
      <c r="A91" s="247" t="s">
        <v>14346</v>
      </c>
      <c r="B91" s="386" t="s">
        <v>15372</v>
      </c>
      <c r="C91" s="386" t="s">
        <v>14472</v>
      </c>
      <c r="D91" s="1314" t="str">
        <f>IFERROR(VLOOKUP($B91,'24.08_ND'!$A$4833:$D$12369,2,0),IFERROR(VLOOKUP($B91,'03-CP'!$C$5:$H$4646,2,0),""))</f>
        <v>CAP, PVC, SÉRIE NORMAL, ESGOTO PREDIAL, DN 100 MM, FORNECIMENTO E INSTALAÇÃO</v>
      </c>
      <c r="E91" s="1315" t="str">
        <f>IFERROR(VLOOKUP($B91,'24.08_ND'!$A:$D,3,0),IFERROR(VLOOKUP($B91,'03-CP'!$C$5:$H$4646,3,0),""))</f>
        <v>UN</v>
      </c>
      <c r="F91" s="389">
        <v>6</v>
      </c>
      <c r="G91" s="1244"/>
      <c r="H91" s="1244"/>
      <c r="I91" s="1409"/>
      <c r="J91" s="1644" t="s">
        <v>16316</v>
      </c>
      <c r="K91" s="262"/>
      <c r="L91" s="262"/>
      <c r="M91" s="262"/>
      <c r="N91" s="262"/>
      <c r="O91" s="262"/>
      <c r="P91" s="262"/>
      <c r="Q91" s="262"/>
      <c r="R91" s="262"/>
    </row>
    <row r="92" spans="1:18" ht="38.25" outlineLevel="1">
      <c r="A92" s="247" t="s">
        <v>14347</v>
      </c>
      <c r="B92" s="386">
        <v>89744</v>
      </c>
      <c r="C92" s="386" t="s">
        <v>14476</v>
      </c>
      <c r="D92" s="1314" t="str">
        <f>IFERROR(VLOOKUP($B92,'24.08_ND'!$A$4833:$D$12369,2,0),IFERROR(VLOOKUP($B92,'03-CP'!$C$5:$H$4646,2,0),""))</f>
        <v>JOELHO 90 GRAUS, PVC, SERIE NORMAL, ESGOTO PREDIAL, DN 100 MM, JUNTA ELÁSTICA, FORNECIDO E INSTALADO EM RAMAL DE DESCARGA OU RAMAL DE ESGOTO SANITÁRIO. AF_08/2022</v>
      </c>
      <c r="E92" s="1315" t="str">
        <f>IFERROR(VLOOKUP($B92,'24.08_ND'!$A:$D,3,0),IFERROR(VLOOKUP($B92,'03-CP'!$C$5:$H$4646,3,0),""))</f>
        <v>UN</v>
      </c>
      <c r="F92" s="389">
        <v>6</v>
      </c>
      <c r="G92" s="1244"/>
      <c r="H92" s="1244"/>
      <c r="I92" s="1409"/>
      <c r="J92" s="1644" t="s">
        <v>16316</v>
      </c>
      <c r="K92" s="262"/>
      <c r="L92" s="262"/>
      <c r="M92" s="262"/>
      <c r="N92" s="262"/>
      <c r="O92" s="262"/>
      <c r="P92" s="262"/>
      <c r="Q92" s="262"/>
      <c r="R92" s="262"/>
    </row>
    <row r="93" spans="1:18" ht="38.25" outlineLevel="1">
      <c r="A93" s="247" t="s">
        <v>14348</v>
      </c>
      <c r="B93" s="386">
        <v>89714</v>
      </c>
      <c r="C93" s="386" t="s">
        <v>14476</v>
      </c>
      <c r="D93" s="1314" t="str">
        <f>IFERROR(VLOOKUP($B93,'24.08_ND'!$A$4833:$D$12369,2,0),IFERROR(VLOOKUP($B93,'03-CP'!$C$5:$H$4646,2,0),""))</f>
        <v>TUBO PVC, SERIE NORMAL, ESGOTO PREDIAL, DN 100 MM, FORNECIDO E INSTALADO EM RAMAL DE DESCARGA OU RAMAL DE ESGOTO SANITÁRIO. AF_08/2022</v>
      </c>
      <c r="E93" s="1315" t="str">
        <f>IFERROR(VLOOKUP($B93,'24.08_ND'!$A:$D,3,0),IFERROR(VLOOKUP($B93,'03-CP'!$C$5:$H$4646,3,0),""))</f>
        <v>M</v>
      </c>
      <c r="F93" s="389">
        <v>73</v>
      </c>
      <c r="G93" s="1244"/>
      <c r="H93" s="1244"/>
      <c r="I93" s="1409"/>
      <c r="J93" s="1644" t="s">
        <v>16316</v>
      </c>
      <c r="K93" s="262"/>
      <c r="L93" s="262"/>
      <c r="M93" s="262"/>
      <c r="N93" s="262"/>
      <c r="O93" s="262"/>
      <c r="P93" s="262"/>
      <c r="Q93" s="262"/>
      <c r="R93" s="262"/>
    </row>
    <row r="94" spans="1:18" ht="25.5" outlineLevel="1">
      <c r="A94" s="247" t="s">
        <v>14349</v>
      </c>
      <c r="B94" s="386">
        <v>93358</v>
      </c>
      <c r="C94" s="386" t="s">
        <v>14476</v>
      </c>
      <c r="D94" s="1314" t="str">
        <f>IFERROR(VLOOKUP($B94,'24.08_ND'!$A$4833:$D$12369,2,0),IFERROR(VLOOKUP($B94,'03-CP'!$C$5:$H$4646,2,0),""))</f>
        <v>ESCAVAÇÃO MANUAL DE VALA COM PROFUNDIDADE MENOR OU IGUAL A 1,30 M. AF_02/2021</v>
      </c>
      <c r="E94" s="1315" t="str">
        <f>IFERROR(VLOOKUP($B94,'24.08_ND'!$A:$D,3,0),IFERROR(VLOOKUP($B94,'03-CP'!$C$5:$H$4646,3,0),""))</f>
        <v>M3</v>
      </c>
      <c r="F94" s="389">
        <v>43.8</v>
      </c>
      <c r="G94" s="1244"/>
      <c r="H94" s="1244"/>
      <c r="I94" s="1409"/>
      <c r="J94" s="1644" t="s">
        <v>16316</v>
      </c>
      <c r="K94" s="262"/>
      <c r="L94" s="262"/>
      <c r="M94" s="262"/>
      <c r="N94" s="262"/>
      <c r="O94" s="262"/>
      <c r="P94" s="262"/>
      <c r="Q94" s="262"/>
      <c r="R94" s="262"/>
    </row>
    <row r="95" spans="1:18" ht="25.5" outlineLevel="1">
      <c r="A95" s="247" t="s">
        <v>14350</v>
      </c>
      <c r="B95" s="386">
        <v>93382</v>
      </c>
      <c r="C95" s="386" t="s">
        <v>14476</v>
      </c>
      <c r="D95" s="1314" t="str">
        <f>IFERROR(VLOOKUP($B95,'24.08_ND'!$A$4833:$D$12369,2,0),IFERROR(VLOOKUP($B95,'03-CP'!$C$5:$H$4646,2,0),""))</f>
        <v>REATERRO MANUAL DE VALAS, COM COMPACTADOR DE SOLOS DE PERCUSSÃO. AF_08/2023</v>
      </c>
      <c r="E95" s="1315" t="str">
        <f>IFERROR(VLOOKUP($B95,'24.08_ND'!$A:$D,3,0),IFERROR(VLOOKUP($B95,'03-CP'!$C$5:$H$4646,3,0),""))</f>
        <v>M3</v>
      </c>
      <c r="F95" s="389">
        <v>61.3</v>
      </c>
      <c r="G95" s="1244"/>
      <c r="H95" s="1244"/>
      <c r="I95" s="1409"/>
      <c r="J95" s="1644" t="s">
        <v>16316</v>
      </c>
      <c r="K95" s="262"/>
      <c r="L95" s="262"/>
      <c r="M95" s="262"/>
      <c r="N95" s="262"/>
      <c r="O95" s="262"/>
      <c r="P95" s="262"/>
      <c r="Q95" s="262"/>
      <c r="R95" s="262"/>
    </row>
    <row r="96" spans="1:18" ht="12.75" hidden="1">
      <c r="A96" s="1767"/>
      <c r="B96" s="386"/>
      <c r="C96" s="386"/>
      <c r="D96" s="1768"/>
      <c r="E96" s="1244"/>
      <c r="F96" s="389"/>
      <c r="G96" s="389"/>
      <c r="H96" s="389"/>
      <c r="I96" s="1769"/>
      <c r="J96" s="262"/>
      <c r="K96" s="262"/>
      <c r="L96" s="262"/>
      <c r="M96" s="262"/>
      <c r="N96" s="262"/>
      <c r="O96" s="262"/>
      <c r="P96" s="262"/>
      <c r="Q96" s="262"/>
      <c r="R96" s="262"/>
    </row>
    <row r="97" spans="1:18" ht="25.5">
      <c r="A97" s="238" t="s">
        <v>12659</v>
      </c>
      <c r="B97" s="1304"/>
      <c r="C97" s="1304"/>
      <c r="D97" s="1305" t="s">
        <v>16569</v>
      </c>
      <c r="E97" s="1306"/>
      <c r="F97" s="1307"/>
      <c r="G97" s="1307"/>
      <c r="H97" s="1586"/>
      <c r="I97" s="1496"/>
      <c r="J97" s="262"/>
      <c r="K97" s="262"/>
      <c r="L97" s="262"/>
      <c r="M97" s="262"/>
      <c r="N97" s="262"/>
      <c r="O97" s="262"/>
      <c r="P97" s="262"/>
      <c r="Q97" s="262"/>
      <c r="R97" s="262"/>
    </row>
    <row r="98" spans="1:18" ht="12.75">
      <c r="A98" s="250" t="s">
        <v>14351</v>
      </c>
      <c r="B98" s="1309"/>
      <c r="C98" s="1497"/>
      <c r="D98" s="1498" t="s">
        <v>16312</v>
      </c>
      <c r="E98" s="234"/>
      <c r="F98" s="1311"/>
      <c r="G98" s="236"/>
      <c r="H98" s="236"/>
      <c r="I98" s="1499"/>
      <c r="J98" s="1644" t="s">
        <v>16316</v>
      </c>
      <c r="K98" s="262"/>
      <c r="L98" s="262"/>
      <c r="M98" s="262"/>
      <c r="N98" s="262"/>
      <c r="O98" s="262"/>
      <c r="P98" s="262"/>
      <c r="Q98" s="262"/>
      <c r="R98" s="262"/>
    </row>
    <row r="99" spans="1:18" ht="38.25" outlineLevel="1">
      <c r="A99" s="247" t="s">
        <v>14352</v>
      </c>
      <c r="B99" s="386">
        <v>105234</v>
      </c>
      <c r="C99" s="386" t="s">
        <v>14476</v>
      </c>
      <c r="D99" s="1314" t="str">
        <f>IFERROR(VLOOKUP($B99,'24.08_ND'!$A$4833:$D$12369,2,0),IFERROR(VLOOKUP($B99,'03-CP'!$C$5:$H$4646,2,0),""))</f>
        <v>BUCHA DE REDUÇÃO PVC, SOLDÁVEL, LONGA, DN 50 X 25 MM, INSTALADO EM RESERVAÇÃO PREDIAL DE ÁGUA - FORNECIMENTO E INSTALAÇÃO. AF_04/2024</v>
      </c>
      <c r="E99" s="1315" t="str">
        <f>IFERROR(VLOOKUP($B99,'24.08_ND'!$A:$D,3,0),IFERROR(VLOOKUP($B99,'03-CP'!$C$5:$H$4646,3,0),""))</f>
        <v>UN</v>
      </c>
      <c r="F99" s="389">
        <v>1</v>
      </c>
      <c r="G99" s="1244"/>
      <c r="H99" s="1244"/>
      <c r="I99" s="1409"/>
      <c r="J99" s="1644" t="s">
        <v>16316</v>
      </c>
      <c r="K99" s="262"/>
      <c r="L99" s="262"/>
      <c r="M99" s="262"/>
      <c r="N99" s="262"/>
      <c r="O99" s="262"/>
      <c r="P99" s="262"/>
      <c r="Q99" s="262"/>
      <c r="R99" s="262"/>
    </row>
    <row r="100" spans="1:18" ht="25.5" outlineLevel="1">
      <c r="A100" s="247" t="s">
        <v>14353</v>
      </c>
      <c r="B100" s="386">
        <v>103979</v>
      </c>
      <c r="C100" s="386" t="s">
        <v>14476</v>
      </c>
      <c r="D100" s="1314" t="str">
        <f>IFERROR(VLOOKUP($B100,'24.08_ND'!$A$4833:$D$12369,2,0),IFERROR(VLOOKUP($B100,'03-CP'!$C$5:$H$4646,2,0),""))</f>
        <v>TUBO, PVC, SOLDÁVEL, DE 50MM, INSTALADO EM RAMAL DE DISTRIBUIÇÃO DE ÁGUA - FORNECIMENTO E INSTALAÇÃO. AF_06/2022</v>
      </c>
      <c r="E100" s="1315" t="str">
        <f>IFERROR(VLOOKUP($B100,'24.08_ND'!$A:$D,3,0),IFERROR(VLOOKUP($B100,'03-CP'!$C$5:$H$4646,3,0),""))</f>
        <v>M</v>
      </c>
      <c r="F100" s="389">
        <v>2.7</v>
      </c>
      <c r="G100" s="1244"/>
      <c r="H100" s="1244"/>
      <c r="I100" s="1409"/>
      <c r="J100" s="1644" t="s">
        <v>16316</v>
      </c>
      <c r="K100" s="262"/>
      <c r="L100" s="262"/>
      <c r="M100" s="262"/>
      <c r="N100" s="262"/>
      <c r="O100" s="262"/>
      <c r="P100" s="262"/>
      <c r="Q100" s="262"/>
      <c r="R100" s="262"/>
    </row>
    <row r="101" spans="1:18" ht="25.5" outlineLevel="1">
      <c r="A101" s="247" t="s">
        <v>14354</v>
      </c>
      <c r="B101" s="386">
        <v>89362</v>
      </c>
      <c r="C101" s="386" t="s">
        <v>14476</v>
      </c>
      <c r="D101" s="1314" t="str">
        <f>IFERROR(VLOOKUP($B101,'24.08_ND'!$A$4833:$D$12369,2,0),IFERROR(VLOOKUP($B101,'03-CP'!$C$5:$H$4646,2,0),""))</f>
        <v>JOELHO 90 GRAUS, PVC, SOLDÁVEL, DN 25MM, INSTALADO EM RAMAL OU SUB-RAMAL DE ÁGUA - FORNECIMENTO E INSTALAÇÃO. AF_06/2022</v>
      </c>
      <c r="E101" s="1315" t="str">
        <f>IFERROR(VLOOKUP($B101,'24.08_ND'!$A:$D,3,0),IFERROR(VLOOKUP($B101,'03-CP'!$C$5:$H$4646,3,0),""))</f>
        <v>UN</v>
      </c>
      <c r="F101" s="389">
        <v>11</v>
      </c>
      <c r="G101" s="1244"/>
      <c r="H101" s="1244"/>
      <c r="I101" s="1409"/>
      <c r="J101" s="1644" t="s">
        <v>16316</v>
      </c>
      <c r="K101" s="262"/>
      <c r="L101" s="262"/>
      <c r="M101" s="262"/>
      <c r="N101" s="262"/>
      <c r="O101" s="262"/>
      <c r="P101" s="262"/>
      <c r="Q101" s="262"/>
      <c r="R101" s="262"/>
    </row>
    <row r="102" spans="1:18" ht="38.25" outlineLevel="1">
      <c r="A102" s="247" t="s">
        <v>14355</v>
      </c>
      <c r="B102" s="386">
        <v>90373</v>
      </c>
      <c r="C102" s="386" t="s">
        <v>14476</v>
      </c>
      <c r="D102" s="1314" t="str">
        <f>IFERROR(VLOOKUP($B102,'24.08_ND'!$A$4833:$D$12369,2,0),IFERROR(VLOOKUP($B102,'03-CP'!$C$5:$H$4646,2,0),""))</f>
        <v>JOELHO 90 GRAUS COM BUCHA DE LATÃO, PVC, SOLDÁVEL, DN 25MM, X 1/2  INSTALADO EM RAMAL OU SUB-RAMAL DE ÁGUA - FORNECIMENTO E INSTALAÇÃO. AF_06/2022</v>
      </c>
      <c r="E102" s="1315" t="str">
        <f>IFERROR(VLOOKUP($B102,'24.08_ND'!$A:$D,3,0),IFERROR(VLOOKUP($B102,'03-CP'!$C$5:$H$4646,3,0),""))</f>
        <v>UN</v>
      </c>
      <c r="F102" s="389">
        <v>10</v>
      </c>
      <c r="G102" s="1244"/>
      <c r="H102" s="1244"/>
      <c r="I102" s="1409"/>
      <c r="J102" s="1644" t="s">
        <v>16316</v>
      </c>
      <c r="K102" s="262"/>
      <c r="L102" s="262"/>
      <c r="M102" s="262"/>
      <c r="N102" s="262"/>
      <c r="O102" s="262"/>
      <c r="P102" s="262"/>
      <c r="Q102" s="262"/>
      <c r="R102" s="262"/>
    </row>
    <row r="103" spans="1:18" ht="25.5" outlineLevel="1">
      <c r="A103" s="247" t="s">
        <v>14356</v>
      </c>
      <c r="B103" s="386">
        <v>89402</v>
      </c>
      <c r="C103" s="386" t="s">
        <v>14476</v>
      </c>
      <c r="D103" s="1314" t="str">
        <f>IFERROR(VLOOKUP($B103,'24.08_ND'!$A$4833:$D$12369,2,0),IFERROR(VLOOKUP($B103,'03-CP'!$C$5:$H$4646,2,0),""))</f>
        <v>TUBO, PVC, SOLDÁVEL, DE 25MM, INSTALADO EM RAMAL DE DISTRIBUIÇÃO DE ÁGUA - FORNECIMENTO E INSTALAÇÃO. AF_06/2022</v>
      </c>
      <c r="E103" s="1315" t="str">
        <f>IFERROR(VLOOKUP($B103,'24.08_ND'!$A:$D,3,0),IFERROR(VLOOKUP($B103,'03-CP'!$C$5:$H$4646,3,0),""))</f>
        <v>M</v>
      </c>
      <c r="F103" s="389">
        <v>84.2</v>
      </c>
      <c r="G103" s="1244"/>
      <c r="H103" s="1244"/>
      <c r="I103" s="1409"/>
      <c r="J103" s="1644" t="s">
        <v>16316</v>
      </c>
      <c r="K103" s="262"/>
      <c r="L103" s="262"/>
      <c r="M103" s="262"/>
      <c r="N103" s="262"/>
      <c r="O103" s="262"/>
      <c r="P103" s="262"/>
      <c r="Q103" s="262"/>
      <c r="R103" s="262"/>
    </row>
    <row r="104" spans="1:18" ht="25.5" outlineLevel="1">
      <c r="A104" s="247" t="s">
        <v>14357</v>
      </c>
      <c r="B104" s="386">
        <v>89395</v>
      </c>
      <c r="C104" s="386" t="s">
        <v>14476</v>
      </c>
      <c r="D104" s="1314" t="str">
        <f>IFERROR(VLOOKUP($B104,'24.08_ND'!$A$4833:$D$12369,2,0),IFERROR(VLOOKUP($B104,'03-CP'!$C$5:$H$4646,2,0),""))</f>
        <v>TE, PVC, SOLDÁVEL, DN 25MM, INSTALADO EM RAMAL OU SUB-RAMAL DE ÁGUA - FORNECIMENTO E INSTALAÇÃO. AF_06/2022</v>
      </c>
      <c r="E104" s="1315" t="str">
        <f>IFERROR(VLOOKUP($B104,'24.08_ND'!$A:$D,3,0),IFERROR(VLOOKUP($B104,'03-CP'!$C$5:$H$4646,3,0),""))</f>
        <v>UN</v>
      </c>
      <c r="F104" s="389">
        <v>9</v>
      </c>
      <c r="G104" s="1244"/>
      <c r="H104" s="1244"/>
      <c r="I104" s="1409"/>
      <c r="J104" s="1644" t="s">
        <v>16316</v>
      </c>
      <c r="K104" s="262"/>
      <c r="L104" s="262"/>
      <c r="M104" s="262"/>
      <c r="N104" s="262"/>
      <c r="O104" s="262"/>
      <c r="P104" s="262"/>
      <c r="Q104" s="262"/>
      <c r="R104" s="262"/>
    </row>
    <row r="105" spans="1:18" ht="25.5" outlineLevel="1">
      <c r="A105" s="247" t="s">
        <v>14358</v>
      </c>
      <c r="B105" s="1522" t="s">
        <v>15436</v>
      </c>
      <c r="C105" s="386" t="s">
        <v>14472</v>
      </c>
      <c r="D105" s="1314" t="str">
        <f>IFERROR(VLOOKUP($B105,'24.08_ND'!$A$4833:$D$12369,2,0),IFERROR(VLOOKUP($B105,'03-CP'!$C$5:$H$4646,2,0),""))</f>
        <v>TORNEIRA METÁLICA CROMADA DE JARDIM - FORNECIMENTO E INSTALAÇÃO.</v>
      </c>
      <c r="E105" s="1315" t="str">
        <f>IFERROR(VLOOKUP($B105,'24.08_ND'!$A:$D,3,0),IFERROR(VLOOKUP($B105,'03-CP'!$C$5:$H$4646,3,0),""))</f>
        <v>UN</v>
      </c>
      <c r="F105" s="389">
        <v>10</v>
      </c>
      <c r="G105" s="1244"/>
      <c r="H105" s="1244"/>
      <c r="I105" s="1409"/>
      <c r="J105" s="1644" t="s">
        <v>16316</v>
      </c>
      <c r="K105" s="262"/>
      <c r="L105" s="262"/>
      <c r="M105" s="262"/>
      <c r="N105" s="262"/>
      <c r="O105" s="262"/>
      <c r="P105" s="262"/>
      <c r="Q105" s="262"/>
      <c r="R105" s="262"/>
    </row>
    <row r="106" spans="1:18" ht="38.25" outlineLevel="1">
      <c r="A106" s="247" t="s">
        <v>14359</v>
      </c>
      <c r="B106" s="1522" t="s">
        <v>15440</v>
      </c>
      <c r="C106" s="386" t="s">
        <v>14472</v>
      </c>
      <c r="D106" s="1314" t="str">
        <f>IFERROR(VLOOKUP($B106,'24.08_ND'!$A$4833:$D$12369,2,0),IFERROR(VLOOKUP($B106,'03-CP'!$C$5:$H$4646,2,0),""))</f>
        <v>CAIXA ENTERRADA HIDRÁULICA RETANGULAR, EM CONCRETO PRÉ-MOLDADO E TAMPA EM PVC, DIMENSÕES INTERNAS: 0,3X0,3X0,3 M. AF_12/2020</v>
      </c>
      <c r="E106" s="1315" t="str">
        <f>IFERROR(VLOOKUP($B106,'24.08_ND'!$A:$D,3,0),IFERROR(VLOOKUP($B106,'03-CP'!$C$5:$H$4646,3,0),""))</f>
        <v>UN</v>
      </c>
      <c r="F106" s="389">
        <v>10</v>
      </c>
      <c r="G106" s="1244"/>
      <c r="H106" s="1244"/>
      <c r="I106" s="1409"/>
      <c r="J106" s="1644" t="s">
        <v>16316</v>
      </c>
      <c r="K106" s="262"/>
      <c r="L106" s="262"/>
      <c r="M106" s="262"/>
      <c r="N106" s="262"/>
      <c r="O106" s="262"/>
      <c r="P106" s="262"/>
      <c r="Q106" s="262"/>
      <c r="R106" s="262"/>
    </row>
    <row r="107" spans="1:18" ht="25.5" outlineLevel="1">
      <c r="A107" s="247" t="s">
        <v>14360</v>
      </c>
      <c r="B107" s="386">
        <v>93358</v>
      </c>
      <c r="C107" s="386" t="s">
        <v>14476</v>
      </c>
      <c r="D107" s="1314" t="str">
        <f>IFERROR(VLOOKUP($B107,'24.08_ND'!$A$4833:$D$12369,2,0),IFERROR(VLOOKUP($B107,'03-CP'!$C$5:$H$4646,2,0),""))</f>
        <v>ESCAVAÇÃO MANUAL DE VALA COM PROFUNDIDADE MENOR OU IGUAL A 1,30 M. AF_02/2021</v>
      </c>
      <c r="E107" s="1315" t="str">
        <f>IFERROR(VLOOKUP($B107,'24.08_ND'!$A:$D,3,0),IFERROR(VLOOKUP($B107,'03-CP'!$C$5:$H$4646,3,0),""))</f>
        <v>M3</v>
      </c>
      <c r="F107" s="389">
        <f>27+0.9</f>
        <v>27.9</v>
      </c>
      <c r="G107" s="1244"/>
      <c r="H107" s="1244"/>
      <c r="I107" s="1409"/>
      <c r="J107" s="1644" t="s">
        <v>16316</v>
      </c>
      <c r="K107" s="262"/>
      <c r="L107" s="262"/>
      <c r="M107" s="262"/>
      <c r="N107" s="262"/>
      <c r="O107" s="262"/>
      <c r="P107" s="262"/>
      <c r="Q107" s="262"/>
      <c r="R107" s="262"/>
    </row>
    <row r="108" spans="1:18" ht="25.5" outlineLevel="1">
      <c r="A108" s="247" t="s">
        <v>14361</v>
      </c>
      <c r="B108" s="386">
        <v>93382</v>
      </c>
      <c r="C108" s="386" t="s">
        <v>14476</v>
      </c>
      <c r="D108" s="1314" t="str">
        <f>IFERROR(VLOOKUP($B108,'24.08_ND'!$A$4833:$D$12369,2,0),IFERROR(VLOOKUP($B108,'03-CP'!$C$5:$H$4646,2,0),""))</f>
        <v>REATERRO MANUAL DE VALAS, COM COMPACTADOR DE SOLOS DE PERCUSSÃO. AF_08/2023</v>
      </c>
      <c r="E108" s="1315" t="str">
        <f>IFERROR(VLOOKUP($B108,'24.08_ND'!$A:$D,3,0),IFERROR(VLOOKUP($B108,'03-CP'!$C$5:$H$4646,3,0),""))</f>
        <v>M3</v>
      </c>
      <c r="F108" s="389">
        <f>37.8+1.21</f>
        <v>39.01</v>
      </c>
      <c r="G108" s="1244"/>
      <c r="H108" s="1244"/>
      <c r="I108" s="1409"/>
      <c r="J108" s="1644" t="s">
        <v>16316</v>
      </c>
      <c r="K108" s="262"/>
      <c r="L108" s="262"/>
      <c r="M108" s="262"/>
      <c r="N108" s="262"/>
      <c r="O108" s="262"/>
      <c r="P108" s="262"/>
      <c r="Q108" s="262"/>
      <c r="R108" s="262"/>
    </row>
    <row r="109" spans="1:18" ht="12.75">
      <c r="A109" s="250" t="s">
        <v>14362</v>
      </c>
      <c r="B109" s="1309"/>
      <c r="C109" s="1497"/>
      <c r="D109" s="1498" t="s">
        <v>16317</v>
      </c>
      <c r="E109" s="234"/>
      <c r="F109" s="1311"/>
      <c r="G109" s="236"/>
      <c r="H109" s="236"/>
      <c r="I109" s="1499"/>
      <c r="J109" s="1644" t="s">
        <v>16316</v>
      </c>
      <c r="K109" s="262"/>
      <c r="L109" s="262"/>
      <c r="M109" s="262"/>
      <c r="N109" s="262"/>
      <c r="O109" s="262"/>
      <c r="P109" s="262"/>
      <c r="Q109" s="262"/>
      <c r="R109" s="262"/>
    </row>
    <row r="110" spans="1:18" ht="38.25" outlineLevel="1">
      <c r="A110" s="247" t="s">
        <v>14363</v>
      </c>
      <c r="B110" s="386">
        <v>97906</v>
      </c>
      <c r="C110" s="386" t="s">
        <v>14476</v>
      </c>
      <c r="D110" s="1314" t="str">
        <f>IFERROR(VLOOKUP($B110,'24.08_ND'!$A$4833:$D$12369,2,0),IFERROR(VLOOKUP($B110,'03-CP'!$C$5:$H$4646,2,0),""))</f>
        <v>CAIXA ENTERRADA HIDRÁULICA RETANGULAR, EM ALVENARIA COM BLOCOS DE CONCRETO, DIMENSÕES INTERNAS: 0,6X0,6X0,6 M PARA REDE DE ESGOTO. AF_12/2020</v>
      </c>
      <c r="E110" s="1315" t="str">
        <f>IFERROR(VLOOKUP($B110,'24.08_ND'!$A:$D,3,0),IFERROR(VLOOKUP($B110,'03-CP'!$C$5:$H$4646,3,0),""))</f>
        <v>UN</v>
      </c>
      <c r="F110" s="389">
        <v>11</v>
      </c>
      <c r="G110" s="1244"/>
      <c r="H110" s="1244"/>
      <c r="I110" s="1409"/>
      <c r="J110" s="1644" t="s">
        <v>16316</v>
      </c>
      <c r="K110" s="262"/>
      <c r="L110" s="262"/>
      <c r="M110" s="262"/>
      <c r="N110" s="262"/>
      <c r="O110" s="262"/>
      <c r="P110" s="262"/>
      <c r="Q110" s="262"/>
      <c r="R110" s="262"/>
    </row>
    <row r="111" spans="1:18" ht="25.5" outlineLevel="1">
      <c r="A111" s="247" t="s">
        <v>14364</v>
      </c>
      <c r="B111" s="386" t="s">
        <v>15372</v>
      </c>
      <c r="C111" s="386" t="s">
        <v>14472</v>
      </c>
      <c r="D111" s="1314" t="str">
        <f>IFERROR(VLOOKUP($B111,'24.08_ND'!$A$4833:$D$12369,2,0),IFERROR(VLOOKUP($B111,'03-CP'!$C$5:$H$4646,2,0),""))</f>
        <v>CAP, PVC, SÉRIE NORMAL, ESGOTO PREDIAL, DN 100 MM, FORNECIMENTO E INSTALAÇÃO</v>
      </c>
      <c r="E111" s="1315" t="str">
        <f>IFERROR(VLOOKUP($B111,'24.08_ND'!$A:$D,3,0),IFERROR(VLOOKUP($B111,'03-CP'!$C$5:$H$4646,3,0),""))</f>
        <v>UN</v>
      </c>
      <c r="F111" s="389">
        <v>10</v>
      </c>
      <c r="G111" s="1244"/>
      <c r="H111" s="1244"/>
      <c r="I111" s="1409"/>
      <c r="J111" s="1644" t="s">
        <v>16316</v>
      </c>
      <c r="K111" s="262"/>
      <c r="L111" s="262"/>
      <c r="M111" s="262"/>
      <c r="N111" s="262"/>
      <c r="O111" s="262"/>
      <c r="P111" s="262"/>
      <c r="Q111" s="262"/>
      <c r="R111" s="262"/>
    </row>
    <row r="112" spans="1:18" ht="38.25" outlineLevel="1">
      <c r="A112" s="247" t="s">
        <v>14365</v>
      </c>
      <c r="B112" s="386">
        <v>89744</v>
      </c>
      <c r="C112" s="386" t="s">
        <v>14476</v>
      </c>
      <c r="D112" s="1314" t="str">
        <f>IFERROR(VLOOKUP($B112,'24.08_ND'!$A$4833:$D$12369,2,0),IFERROR(VLOOKUP($B112,'03-CP'!$C$5:$H$4646,2,0),""))</f>
        <v>JOELHO 90 GRAUS, PVC, SERIE NORMAL, ESGOTO PREDIAL, DN 100 MM, JUNTA ELÁSTICA, FORNECIDO E INSTALADO EM RAMAL DE DESCARGA OU RAMAL DE ESGOTO SANITÁRIO. AF_08/2022</v>
      </c>
      <c r="E112" s="1315" t="str">
        <f>IFERROR(VLOOKUP($B112,'24.08_ND'!$A:$D,3,0),IFERROR(VLOOKUP($B112,'03-CP'!$C$5:$H$4646,3,0),""))</f>
        <v>UN</v>
      </c>
      <c r="F112" s="389">
        <v>10</v>
      </c>
      <c r="G112" s="1244"/>
      <c r="H112" s="1244"/>
      <c r="I112" s="1409"/>
      <c r="J112" s="1644" t="s">
        <v>16316</v>
      </c>
      <c r="K112" s="262"/>
      <c r="L112" s="262"/>
      <c r="M112" s="262"/>
      <c r="N112" s="262"/>
      <c r="O112" s="262"/>
      <c r="P112" s="262"/>
      <c r="Q112" s="262"/>
      <c r="R112" s="262"/>
    </row>
    <row r="113" spans="1:18" ht="38.25" outlineLevel="1">
      <c r="A113" s="247" t="s">
        <v>14366</v>
      </c>
      <c r="B113" s="386">
        <v>89714</v>
      </c>
      <c r="C113" s="386" t="s">
        <v>14476</v>
      </c>
      <c r="D113" s="1314" t="str">
        <f>IFERROR(VLOOKUP($B113,'24.08_ND'!$A$4833:$D$12369,2,0),IFERROR(VLOOKUP($B113,'03-CP'!$C$5:$H$4646,2,0),""))</f>
        <v>TUBO PVC, SERIE NORMAL, ESGOTO PREDIAL, DN 100 MM, FORNECIDO E INSTALADO EM RAMAL DE DESCARGA OU RAMAL DE ESGOTO SANITÁRIO. AF_08/2022</v>
      </c>
      <c r="E113" s="1315" t="str">
        <f>IFERROR(VLOOKUP($B113,'24.08_ND'!$A:$D,3,0),IFERROR(VLOOKUP($B113,'03-CP'!$C$5:$H$4646,3,0),""))</f>
        <v>M</v>
      </c>
      <c r="F113" s="389">
        <v>112</v>
      </c>
      <c r="G113" s="1244"/>
      <c r="H113" s="1244"/>
      <c r="I113" s="1409"/>
      <c r="J113" s="1644" t="s">
        <v>16316</v>
      </c>
      <c r="K113" s="262"/>
      <c r="L113" s="262"/>
      <c r="M113" s="262"/>
      <c r="N113" s="262"/>
      <c r="O113" s="262"/>
      <c r="P113" s="262"/>
      <c r="Q113" s="262"/>
      <c r="R113" s="262"/>
    </row>
    <row r="114" spans="1:18" ht="25.5" outlineLevel="1">
      <c r="A114" s="247" t="s">
        <v>14367</v>
      </c>
      <c r="B114" s="386">
        <v>93358</v>
      </c>
      <c r="C114" s="386" t="s">
        <v>14476</v>
      </c>
      <c r="D114" s="1314" t="str">
        <f>IFERROR(VLOOKUP($B114,'24.08_ND'!$A$4833:$D$12369,2,0),IFERROR(VLOOKUP($B114,'03-CP'!$C$5:$H$4646,2,0),""))</f>
        <v>ESCAVAÇÃO MANUAL DE VALA COM PROFUNDIDADE MENOR OU IGUAL A 1,30 M. AF_02/2021</v>
      </c>
      <c r="E114" s="1315" t="str">
        <f>IFERROR(VLOOKUP($B114,'24.08_ND'!$A:$D,3,0),IFERROR(VLOOKUP($B114,'03-CP'!$C$5:$H$4646,3,0),""))</f>
        <v>M3</v>
      </c>
      <c r="F114" s="389">
        <v>67.2</v>
      </c>
      <c r="G114" s="1244"/>
      <c r="H114" s="1244"/>
      <c r="I114" s="1409"/>
      <c r="J114" s="1644" t="s">
        <v>16316</v>
      </c>
      <c r="K114" s="262"/>
      <c r="L114" s="262"/>
      <c r="M114" s="262"/>
      <c r="N114" s="262"/>
      <c r="O114" s="262"/>
      <c r="P114" s="262"/>
      <c r="Q114" s="262"/>
      <c r="R114" s="262"/>
    </row>
    <row r="115" spans="1:18" ht="25.5" outlineLevel="1">
      <c r="A115" s="247" t="s">
        <v>14368</v>
      </c>
      <c r="B115" s="386">
        <v>93382</v>
      </c>
      <c r="C115" s="386" t="s">
        <v>14476</v>
      </c>
      <c r="D115" s="1314" t="str">
        <f>IFERROR(VLOOKUP($B115,'24.08_ND'!$A$4833:$D$12369,2,0),IFERROR(VLOOKUP($B115,'03-CP'!$C$5:$H$4646,2,0),""))</f>
        <v>REATERRO MANUAL DE VALAS, COM COMPACTADOR DE SOLOS DE PERCUSSÃO. AF_08/2023</v>
      </c>
      <c r="E115" s="1315" t="str">
        <f>IFERROR(VLOOKUP($B115,'24.08_ND'!$A:$D,3,0),IFERROR(VLOOKUP($B115,'03-CP'!$C$5:$H$4646,3,0),""))</f>
        <v>M3</v>
      </c>
      <c r="F115" s="389">
        <v>94.1</v>
      </c>
      <c r="G115" s="1244"/>
      <c r="H115" s="1244"/>
      <c r="I115" s="1409"/>
      <c r="J115" s="1644" t="s">
        <v>16316</v>
      </c>
      <c r="K115" s="262"/>
      <c r="L115" s="262"/>
      <c r="M115" s="262"/>
      <c r="N115" s="262"/>
      <c r="O115" s="262"/>
      <c r="P115" s="262"/>
      <c r="Q115" s="262"/>
      <c r="R115" s="262"/>
    </row>
    <row r="116" spans="1:18" ht="12.75" hidden="1">
      <c r="A116" s="1760"/>
      <c r="B116" s="1761"/>
      <c r="C116" s="1761"/>
      <c r="D116" s="1762"/>
      <c r="E116" s="1763"/>
      <c r="F116" s="1764"/>
      <c r="G116" s="1764"/>
      <c r="H116" s="1765"/>
      <c r="I116" s="1766"/>
      <c r="J116" s="262"/>
      <c r="K116" s="262"/>
      <c r="L116" s="262"/>
      <c r="M116" s="262"/>
      <c r="N116" s="262"/>
      <c r="O116" s="262"/>
      <c r="P116" s="262"/>
      <c r="Q116" s="262"/>
      <c r="R116" s="262"/>
    </row>
    <row r="117" spans="1:18" ht="25.5">
      <c r="A117" s="238" t="s">
        <v>12660</v>
      </c>
      <c r="B117" s="1304"/>
      <c r="C117" s="1304"/>
      <c r="D117" s="1305" t="s">
        <v>16570</v>
      </c>
      <c r="E117" s="1306"/>
      <c r="F117" s="1307"/>
      <c r="G117" s="1307"/>
      <c r="H117" s="1586"/>
      <c r="I117" s="1496"/>
      <c r="J117" s="262"/>
      <c r="K117" s="262"/>
      <c r="L117" s="262"/>
      <c r="M117" s="262"/>
      <c r="N117" s="262"/>
      <c r="O117" s="262"/>
      <c r="P117" s="262"/>
      <c r="Q117" s="262"/>
      <c r="R117" s="262"/>
    </row>
    <row r="118" spans="1:18" ht="12.75">
      <c r="A118" s="250" t="s">
        <v>14369</v>
      </c>
      <c r="B118" s="1309"/>
      <c r="C118" s="1497"/>
      <c r="D118" s="1498" t="s">
        <v>16312</v>
      </c>
      <c r="E118" s="234"/>
      <c r="F118" s="1311"/>
      <c r="G118" s="236"/>
      <c r="H118" s="236"/>
      <c r="I118" s="1499"/>
      <c r="J118" s="1644" t="s">
        <v>16316</v>
      </c>
      <c r="K118" s="262"/>
      <c r="L118" s="262"/>
      <c r="M118" s="262"/>
      <c r="N118" s="262"/>
      <c r="O118" s="262"/>
      <c r="P118" s="262"/>
      <c r="Q118" s="262"/>
      <c r="R118" s="262"/>
    </row>
    <row r="119" spans="1:18" ht="38.25" outlineLevel="1">
      <c r="A119" s="247" t="s">
        <v>14370</v>
      </c>
      <c r="B119" s="386">
        <v>105234</v>
      </c>
      <c r="C119" s="386" t="s">
        <v>14476</v>
      </c>
      <c r="D119" s="1314" t="str">
        <f>IFERROR(VLOOKUP($B119,'24.08_ND'!$A$4833:$D$12369,2,0),IFERROR(VLOOKUP($B119,'03-CP'!$C$5:$H$4646,2,0),""))</f>
        <v>BUCHA DE REDUÇÃO PVC, SOLDÁVEL, LONGA, DN 50 X 25 MM, INSTALADO EM RESERVAÇÃO PREDIAL DE ÁGUA - FORNECIMENTO E INSTALAÇÃO. AF_04/2024</v>
      </c>
      <c r="E119" s="1315" t="str">
        <f>IFERROR(VLOOKUP($B119,'24.08_ND'!$A:$D,3,0),IFERROR(VLOOKUP($B119,'03-CP'!$C$5:$H$4646,3,0),""))</f>
        <v>UN</v>
      </c>
      <c r="F119" s="389">
        <v>1</v>
      </c>
      <c r="G119" s="1244"/>
      <c r="H119" s="1244"/>
      <c r="I119" s="1409"/>
      <c r="J119" s="1644" t="s">
        <v>16316</v>
      </c>
      <c r="K119" s="262"/>
      <c r="L119" s="262"/>
      <c r="M119" s="262"/>
      <c r="N119" s="262"/>
      <c r="O119" s="262"/>
      <c r="P119" s="262"/>
      <c r="Q119" s="262"/>
      <c r="R119" s="262"/>
    </row>
    <row r="120" spans="1:18" ht="25.5" outlineLevel="1">
      <c r="A120" s="247" t="s">
        <v>14371</v>
      </c>
      <c r="B120" s="386">
        <v>103979</v>
      </c>
      <c r="C120" s="386" t="s">
        <v>14476</v>
      </c>
      <c r="D120" s="1314" t="str">
        <f>IFERROR(VLOOKUP($B120,'24.08_ND'!$A$4833:$D$12369,2,0),IFERROR(VLOOKUP($B120,'03-CP'!$C$5:$H$4646,2,0),""))</f>
        <v>TUBO, PVC, SOLDÁVEL, DE 50MM, INSTALADO EM RAMAL DE DISTRIBUIÇÃO DE ÁGUA - FORNECIMENTO E INSTALAÇÃO. AF_06/2022</v>
      </c>
      <c r="E120" s="1315" t="str">
        <f>IFERROR(VLOOKUP($B120,'24.08_ND'!$A:$D,3,0),IFERROR(VLOOKUP($B120,'03-CP'!$C$5:$H$4646,3,0),""))</f>
        <v>M</v>
      </c>
      <c r="F120" s="389">
        <v>4</v>
      </c>
      <c r="G120" s="1244"/>
      <c r="H120" s="1244"/>
      <c r="I120" s="1409"/>
      <c r="J120" s="1644" t="s">
        <v>16316</v>
      </c>
      <c r="K120" s="262"/>
      <c r="L120" s="262"/>
      <c r="M120" s="262"/>
      <c r="N120" s="262"/>
      <c r="O120" s="262"/>
      <c r="P120" s="262"/>
      <c r="Q120" s="262"/>
      <c r="R120" s="262"/>
    </row>
    <row r="121" spans="1:18" ht="25.5" outlineLevel="1">
      <c r="A121" s="247" t="s">
        <v>14372</v>
      </c>
      <c r="B121" s="386">
        <v>89362</v>
      </c>
      <c r="C121" s="386" t="s">
        <v>14476</v>
      </c>
      <c r="D121" s="1314" t="str">
        <f>IFERROR(VLOOKUP($B121,'24.08_ND'!$A$4833:$D$12369,2,0),IFERROR(VLOOKUP($B121,'03-CP'!$C$5:$H$4646,2,0),""))</f>
        <v>JOELHO 90 GRAUS, PVC, SOLDÁVEL, DN 25MM, INSTALADO EM RAMAL OU SUB-RAMAL DE ÁGUA - FORNECIMENTO E INSTALAÇÃO. AF_06/2022</v>
      </c>
      <c r="E121" s="1315" t="str">
        <f>IFERROR(VLOOKUP($B121,'24.08_ND'!$A:$D,3,0),IFERROR(VLOOKUP($B121,'03-CP'!$C$5:$H$4646,3,0),""))</f>
        <v>UN</v>
      </c>
      <c r="F121" s="389">
        <v>11</v>
      </c>
      <c r="G121" s="1244"/>
      <c r="H121" s="1244"/>
      <c r="I121" s="1409"/>
      <c r="J121" s="1644" t="s">
        <v>16316</v>
      </c>
      <c r="K121" s="262"/>
      <c r="L121" s="262"/>
      <c r="M121" s="262"/>
      <c r="N121" s="262"/>
      <c r="O121" s="262"/>
      <c r="P121" s="262"/>
      <c r="Q121" s="262"/>
      <c r="R121" s="262"/>
    </row>
    <row r="122" spans="1:18" ht="38.25" outlineLevel="1">
      <c r="A122" s="247" t="s">
        <v>14373</v>
      </c>
      <c r="B122" s="386">
        <v>90373</v>
      </c>
      <c r="C122" s="386" t="s">
        <v>14476</v>
      </c>
      <c r="D122" s="1314" t="str">
        <f>IFERROR(VLOOKUP($B122,'24.08_ND'!$A$4833:$D$12369,2,0),IFERROR(VLOOKUP($B122,'03-CP'!$C$5:$H$4646,2,0),""))</f>
        <v>JOELHO 90 GRAUS COM BUCHA DE LATÃO, PVC, SOLDÁVEL, DN 25MM, X 1/2  INSTALADO EM RAMAL OU SUB-RAMAL DE ÁGUA - FORNECIMENTO E INSTALAÇÃO. AF_06/2022</v>
      </c>
      <c r="E122" s="1315" t="str">
        <f>IFERROR(VLOOKUP($B122,'24.08_ND'!$A:$D,3,0),IFERROR(VLOOKUP($B122,'03-CP'!$C$5:$H$4646,3,0),""))</f>
        <v>UN</v>
      </c>
      <c r="F122" s="389">
        <v>10</v>
      </c>
      <c r="G122" s="1244"/>
      <c r="H122" s="1244"/>
      <c r="I122" s="1409"/>
      <c r="J122" s="1644" t="s">
        <v>16316</v>
      </c>
      <c r="K122" s="262"/>
      <c r="L122" s="262"/>
      <c r="M122" s="262"/>
      <c r="N122" s="262"/>
      <c r="O122" s="262"/>
      <c r="P122" s="262"/>
      <c r="Q122" s="262"/>
      <c r="R122" s="262"/>
    </row>
    <row r="123" spans="1:18" ht="25.5" outlineLevel="1">
      <c r="A123" s="247" t="s">
        <v>14374</v>
      </c>
      <c r="B123" s="386">
        <v>89402</v>
      </c>
      <c r="C123" s="386" t="s">
        <v>14476</v>
      </c>
      <c r="D123" s="1314" t="str">
        <f>IFERROR(VLOOKUP($B123,'24.08_ND'!$A$4833:$D$12369,2,0),IFERROR(VLOOKUP($B123,'03-CP'!$C$5:$H$4646,2,0),""))</f>
        <v>TUBO, PVC, SOLDÁVEL, DE 25MM, INSTALADO EM RAMAL DE DISTRIBUIÇÃO DE ÁGUA - FORNECIMENTO E INSTALAÇÃO. AF_06/2022</v>
      </c>
      <c r="E123" s="1315" t="str">
        <f>IFERROR(VLOOKUP($B123,'24.08_ND'!$A:$D,3,0),IFERROR(VLOOKUP($B123,'03-CP'!$C$5:$H$4646,3,0),""))</f>
        <v>M</v>
      </c>
      <c r="F123" s="389">
        <v>84</v>
      </c>
      <c r="G123" s="1244"/>
      <c r="H123" s="1244"/>
      <c r="I123" s="1409"/>
      <c r="J123" s="1644" t="s">
        <v>16316</v>
      </c>
      <c r="K123" s="262"/>
      <c r="L123" s="262"/>
      <c r="M123" s="262"/>
      <c r="N123" s="262"/>
      <c r="O123" s="262"/>
      <c r="P123" s="262"/>
      <c r="Q123" s="262"/>
      <c r="R123" s="262"/>
    </row>
    <row r="124" spans="1:18" ht="25.5" outlineLevel="1">
      <c r="A124" s="247" t="s">
        <v>14375</v>
      </c>
      <c r="B124" s="386">
        <v>89395</v>
      </c>
      <c r="C124" s="386" t="s">
        <v>14476</v>
      </c>
      <c r="D124" s="1314" t="str">
        <f>IFERROR(VLOOKUP($B124,'24.08_ND'!$A$4833:$D$12369,2,0),IFERROR(VLOOKUP($B124,'03-CP'!$C$5:$H$4646,2,0),""))</f>
        <v>TE, PVC, SOLDÁVEL, DN 25MM, INSTALADO EM RAMAL OU SUB-RAMAL DE ÁGUA - FORNECIMENTO E INSTALAÇÃO. AF_06/2022</v>
      </c>
      <c r="E124" s="1315" t="str">
        <f>IFERROR(VLOOKUP($B124,'24.08_ND'!$A:$D,3,0),IFERROR(VLOOKUP($B124,'03-CP'!$C$5:$H$4646,3,0),""))</f>
        <v>UN</v>
      </c>
      <c r="F124" s="389">
        <v>9</v>
      </c>
      <c r="G124" s="1244"/>
      <c r="H124" s="1244"/>
      <c r="I124" s="1409"/>
      <c r="J124" s="1644" t="s">
        <v>16316</v>
      </c>
      <c r="K124" s="262"/>
      <c r="L124" s="262"/>
      <c r="M124" s="262"/>
      <c r="N124" s="262"/>
      <c r="O124" s="262"/>
      <c r="P124" s="262"/>
      <c r="Q124" s="262"/>
      <c r="R124" s="262"/>
    </row>
    <row r="125" spans="1:18" ht="25.5" outlineLevel="1">
      <c r="A125" s="247" t="s">
        <v>14376</v>
      </c>
      <c r="B125" s="1522" t="s">
        <v>15436</v>
      </c>
      <c r="C125" s="386" t="s">
        <v>14472</v>
      </c>
      <c r="D125" s="1314" t="str">
        <f>IFERROR(VLOOKUP($B125,'24.08_ND'!$A$4833:$D$12369,2,0),IFERROR(VLOOKUP($B125,'03-CP'!$C$5:$H$4646,2,0),""))</f>
        <v>TORNEIRA METÁLICA CROMADA DE JARDIM - FORNECIMENTO E INSTALAÇÃO.</v>
      </c>
      <c r="E125" s="1315" t="str">
        <f>IFERROR(VLOOKUP($B125,'24.08_ND'!$A:$D,3,0),IFERROR(VLOOKUP($B125,'03-CP'!$C$5:$H$4646,3,0),""))</f>
        <v>UN</v>
      </c>
      <c r="F125" s="389">
        <v>10</v>
      </c>
      <c r="G125" s="1244"/>
      <c r="H125" s="1244"/>
      <c r="I125" s="1409"/>
      <c r="J125" s="1644" t="s">
        <v>16316</v>
      </c>
      <c r="K125" s="262"/>
      <c r="L125" s="262"/>
      <c r="M125" s="262"/>
      <c r="N125" s="262"/>
      <c r="O125" s="262"/>
      <c r="P125" s="262"/>
      <c r="Q125" s="262"/>
      <c r="R125" s="262"/>
    </row>
    <row r="126" spans="1:18" ht="38.25" outlineLevel="1">
      <c r="A126" s="247" t="s">
        <v>14377</v>
      </c>
      <c r="B126" s="1522" t="s">
        <v>15440</v>
      </c>
      <c r="C126" s="386" t="s">
        <v>14472</v>
      </c>
      <c r="D126" s="1314" t="str">
        <f>IFERROR(VLOOKUP($B126,'24.08_ND'!$A$4833:$D$12369,2,0),IFERROR(VLOOKUP($B126,'03-CP'!$C$5:$H$4646,2,0),""))</f>
        <v>CAIXA ENTERRADA HIDRÁULICA RETANGULAR, EM CONCRETO PRÉ-MOLDADO E TAMPA EM PVC, DIMENSÕES INTERNAS: 0,3X0,3X0,3 M. AF_12/2020</v>
      </c>
      <c r="E126" s="1315" t="str">
        <f>IFERROR(VLOOKUP($B126,'24.08_ND'!$A:$D,3,0),IFERROR(VLOOKUP($B126,'03-CP'!$C$5:$H$4646,3,0),""))</f>
        <v>UN</v>
      </c>
      <c r="F126" s="389">
        <v>10</v>
      </c>
      <c r="G126" s="1244"/>
      <c r="H126" s="1244"/>
      <c r="I126" s="1409"/>
      <c r="J126" s="1644" t="s">
        <v>16316</v>
      </c>
      <c r="K126" s="262"/>
      <c r="L126" s="262"/>
      <c r="M126" s="262"/>
      <c r="N126" s="262"/>
      <c r="O126" s="262"/>
      <c r="P126" s="262"/>
      <c r="Q126" s="262"/>
      <c r="R126" s="262"/>
    </row>
    <row r="127" spans="1:18" ht="25.5" outlineLevel="1">
      <c r="A127" s="247" t="s">
        <v>14378</v>
      </c>
      <c r="B127" s="386">
        <v>93358</v>
      </c>
      <c r="C127" s="386" t="s">
        <v>14476</v>
      </c>
      <c r="D127" s="1314" t="str">
        <f>IFERROR(VLOOKUP($B127,'24.08_ND'!$A$4833:$D$12369,2,0),IFERROR(VLOOKUP($B127,'03-CP'!$C$5:$H$4646,2,0),""))</f>
        <v>ESCAVAÇÃO MANUAL DE VALA COM PROFUNDIDADE MENOR OU IGUAL A 1,30 M. AF_02/2021</v>
      </c>
      <c r="E127" s="1315" t="str">
        <f>IFERROR(VLOOKUP($B127,'24.08_ND'!$A:$D,3,0),IFERROR(VLOOKUP($B127,'03-CP'!$C$5:$H$4646,3,0),""))</f>
        <v>M3</v>
      </c>
      <c r="F127" s="389">
        <f>27+1.3</f>
        <v>28.3</v>
      </c>
      <c r="G127" s="1244"/>
      <c r="H127" s="1244"/>
      <c r="I127" s="1409"/>
      <c r="J127" s="1644" t="s">
        <v>16316</v>
      </c>
      <c r="K127" s="262"/>
      <c r="L127" s="262"/>
      <c r="M127" s="262"/>
      <c r="N127" s="262"/>
      <c r="O127" s="262"/>
      <c r="P127" s="262"/>
      <c r="Q127" s="262"/>
      <c r="R127" s="262"/>
    </row>
    <row r="128" spans="1:18" ht="25.5" outlineLevel="1">
      <c r="A128" s="247" t="s">
        <v>14379</v>
      </c>
      <c r="B128" s="386">
        <v>93382</v>
      </c>
      <c r="C128" s="386" t="s">
        <v>14476</v>
      </c>
      <c r="D128" s="1314" t="str">
        <f>IFERROR(VLOOKUP($B128,'24.08_ND'!$A$4833:$D$12369,2,0),IFERROR(VLOOKUP($B128,'03-CP'!$C$5:$H$4646,2,0),""))</f>
        <v>REATERRO MANUAL DE VALAS, COM COMPACTADOR DE SOLOS DE PERCUSSÃO. AF_08/2023</v>
      </c>
      <c r="E128" s="1315" t="str">
        <f>IFERROR(VLOOKUP($B128,'24.08_ND'!$A:$D,3,0),IFERROR(VLOOKUP($B128,'03-CP'!$C$5:$H$4646,3,0),""))</f>
        <v>M3</v>
      </c>
      <c r="F128" s="389">
        <f>37.8+1.82</f>
        <v>39.619999999999997</v>
      </c>
      <c r="G128" s="1244"/>
      <c r="H128" s="1244"/>
      <c r="I128" s="1409"/>
      <c r="J128" s="1644" t="s">
        <v>16316</v>
      </c>
      <c r="K128" s="262"/>
      <c r="L128" s="262"/>
      <c r="M128" s="262"/>
      <c r="N128" s="262"/>
      <c r="O128" s="262"/>
      <c r="P128" s="262"/>
      <c r="Q128" s="262"/>
      <c r="R128" s="262"/>
    </row>
    <row r="129" spans="1:18" ht="12.75">
      <c r="A129" s="250" t="s">
        <v>14380</v>
      </c>
      <c r="B129" s="1309"/>
      <c r="C129" s="1497"/>
      <c r="D129" s="1498" t="s">
        <v>16317</v>
      </c>
      <c r="E129" s="234"/>
      <c r="F129" s="1311"/>
      <c r="G129" s="236"/>
      <c r="H129" s="236"/>
      <c r="I129" s="1499"/>
      <c r="J129" s="1644" t="s">
        <v>16316</v>
      </c>
      <c r="K129" s="262"/>
      <c r="L129" s="262"/>
      <c r="M129" s="262"/>
      <c r="N129" s="262"/>
      <c r="O129" s="262"/>
      <c r="P129" s="262"/>
      <c r="Q129" s="262"/>
      <c r="R129" s="262"/>
    </row>
    <row r="130" spans="1:18" ht="38.25" outlineLevel="1">
      <c r="A130" s="247" t="s">
        <v>14381</v>
      </c>
      <c r="B130" s="386">
        <v>97906</v>
      </c>
      <c r="C130" s="386" t="s">
        <v>14476</v>
      </c>
      <c r="D130" s="1314" t="str">
        <f>IFERROR(VLOOKUP($B130,'24.08_ND'!$A$4833:$D$12369,2,0),IFERROR(VLOOKUP($B130,'03-CP'!$C$5:$H$4646,2,0),""))</f>
        <v>CAIXA ENTERRADA HIDRÁULICA RETANGULAR, EM ALVENARIA COM BLOCOS DE CONCRETO, DIMENSÕES INTERNAS: 0,6X0,6X0,6 M PARA REDE DE ESGOTO. AF_12/2020</v>
      </c>
      <c r="E130" s="1315" t="str">
        <f>IFERROR(VLOOKUP($B130,'24.08_ND'!$A:$D,3,0),IFERROR(VLOOKUP($B130,'03-CP'!$C$5:$H$4646,3,0),""))</f>
        <v>UN</v>
      </c>
      <c r="F130" s="389">
        <v>6</v>
      </c>
      <c r="G130" s="1244"/>
      <c r="H130" s="1244"/>
      <c r="I130" s="1409"/>
      <c r="J130" s="1644" t="s">
        <v>16316</v>
      </c>
      <c r="K130" s="262"/>
      <c r="L130" s="262"/>
      <c r="M130" s="262"/>
      <c r="N130" s="262"/>
      <c r="O130" s="262"/>
      <c r="P130" s="262"/>
      <c r="Q130" s="262"/>
      <c r="R130" s="262"/>
    </row>
    <row r="131" spans="1:18" ht="25.5" outlineLevel="1">
      <c r="A131" s="247" t="s">
        <v>14382</v>
      </c>
      <c r="B131" s="386" t="s">
        <v>15372</v>
      </c>
      <c r="C131" s="386" t="s">
        <v>14472</v>
      </c>
      <c r="D131" s="1314" t="str">
        <f>IFERROR(VLOOKUP($B131,'24.08_ND'!$A$4833:$D$12369,2,0),IFERROR(VLOOKUP($B131,'03-CP'!$C$5:$H$4646,2,0),""))</f>
        <v>CAP, PVC, SÉRIE NORMAL, ESGOTO PREDIAL, DN 100 MM, FORNECIMENTO E INSTALAÇÃO</v>
      </c>
      <c r="E131" s="1315" t="str">
        <f>IFERROR(VLOOKUP($B131,'24.08_ND'!$A:$D,3,0),IFERROR(VLOOKUP($B131,'03-CP'!$C$5:$H$4646,3,0),""))</f>
        <v>UN</v>
      </c>
      <c r="F131" s="389">
        <v>10</v>
      </c>
      <c r="G131" s="1244"/>
      <c r="H131" s="1244"/>
      <c r="I131" s="1409"/>
      <c r="J131" s="1644" t="s">
        <v>16316</v>
      </c>
      <c r="K131" s="262"/>
      <c r="L131" s="262"/>
      <c r="M131" s="262"/>
      <c r="N131" s="262"/>
      <c r="O131" s="262"/>
      <c r="P131" s="262"/>
      <c r="Q131" s="262"/>
      <c r="R131" s="262"/>
    </row>
    <row r="132" spans="1:18" ht="38.25" outlineLevel="1">
      <c r="A132" s="247" t="s">
        <v>14383</v>
      </c>
      <c r="B132" s="386">
        <v>89744</v>
      </c>
      <c r="C132" s="386" t="s">
        <v>14476</v>
      </c>
      <c r="D132" s="1314" t="str">
        <f>IFERROR(VLOOKUP($B132,'24.08_ND'!$A$4833:$D$12369,2,0),IFERROR(VLOOKUP($B132,'03-CP'!$C$5:$H$4646,2,0),""))</f>
        <v>JOELHO 90 GRAUS, PVC, SERIE NORMAL, ESGOTO PREDIAL, DN 100 MM, JUNTA ELÁSTICA, FORNECIDO E INSTALADO EM RAMAL DE DESCARGA OU RAMAL DE ESGOTO SANITÁRIO. AF_08/2022</v>
      </c>
      <c r="E132" s="1315" t="str">
        <f>IFERROR(VLOOKUP($B132,'24.08_ND'!$A:$D,3,0),IFERROR(VLOOKUP($B132,'03-CP'!$C$5:$H$4646,3,0),""))</f>
        <v>UN</v>
      </c>
      <c r="F132" s="389">
        <v>10</v>
      </c>
      <c r="G132" s="1244"/>
      <c r="H132" s="1244"/>
      <c r="I132" s="1409"/>
      <c r="J132" s="1644" t="s">
        <v>16316</v>
      </c>
      <c r="K132" s="262"/>
      <c r="L132" s="262"/>
      <c r="M132" s="262"/>
      <c r="N132" s="262"/>
      <c r="O132" s="262"/>
      <c r="P132" s="262"/>
      <c r="Q132" s="262"/>
      <c r="R132" s="262"/>
    </row>
    <row r="133" spans="1:18" ht="38.25" outlineLevel="1">
      <c r="A133" s="247" t="s">
        <v>14384</v>
      </c>
      <c r="B133" s="386">
        <v>89714</v>
      </c>
      <c r="C133" s="386" t="s">
        <v>14476</v>
      </c>
      <c r="D133" s="1314" t="str">
        <f>IFERROR(VLOOKUP($B133,'24.08_ND'!$A$4833:$D$12369,2,0),IFERROR(VLOOKUP($B133,'03-CP'!$C$5:$H$4646,2,0),""))</f>
        <v>TUBO PVC, SERIE NORMAL, ESGOTO PREDIAL, DN 100 MM, FORNECIDO E INSTALADO EM RAMAL DE DESCARGA OU RAMAL DE ESGOTO SANITÁRIO. AF_08/2022</v>
      </c>
      <c r="E133" s="1315" t="str">
        <f>IFERROR(VLOOKUP($B133,'24.08_ND'!$A:$D,3,0),IFERROR(VLOOKUP($B133,'03-CP'!$C$5:$H$4646,3,0),""))</f>
        <v>M</v>
      </c>
      <c r="F133" s="389">
        <v>130</v>
      </c>
      <c r="G133" s="1244"/>
      <c r="H133" s="1244"/>
      <c r="I133" s="1409"/>
      <c r="J133" s="1644" t="s">
        <v>16316</v>
      </c>
      <c r="K133" s="262"/>
      <c r="L133" s="262"/>
      <c r="M133" s="262"/>
      <c r="N133" s="262"/>
      <c r="O133" s="262"/>
      <c r="P133" s="262"/>
      <c r="Q133" s="262"/>
      <c r="R133" s="262"/>
    </row>
    <row r="134" spans="1:18" ht="25.5" outlineLevel="1">
      <c r="A134" s="247" t="s">
        <v>14385</v>
      </c>
      <c r="B134" s="386">
        <v>93358</v>
      </c>
      <c r="C134" s="386" t="s">
        <v>14476</v>
      </c>
      <c r="D134" s="1314" t="str">
        <f>IFERROR(VLOOKUP($B134,'24.08_ND'!$A$4833:$D$12369,2,0),IFERROR(VLOOKUP($B134,'03-CP'!$C$5:$H$4646,2,0),""))</f>
        <v>ESCAVAÇÃO MANUAL DE VALA COM PROFUNDIDADE MENOR OU IGUAL A 1,30 M. AF_02/2021</v>
      </c>
      <c r="E134" s="1315" t="str">
        <f>IFERROR(VLOOKUP($B134,'24.08_ND'!$A:$D,3,0),IFERROR(VLOOKUP($B134,'03-CP'!$C$5:$H$4646,3,0),""))</f>
        <v>M3</v>
      </c>
      <c r="F134" s="389">
        <v>78</v>
      </c>
      <c r="G134" s="1244"/>
      <c r="H134" s="1244"/>
      <c r="I134" s="1409"/>
      <c r="J134" s="1644" t="s">
        <v>16316</v>
      </c>
      <c r="K134" s="262"/>
      <c r="L134" s="262"/>
      <c r="M134" s="262"/>
      <c r="N134" s="262"/>
      <c r="O134" s="262"/>
      <c r="P134" s="262"/>
      <c r="Q134" s="262"/>
      <c r="R134" s="262"/>
    </row>
    <row r="135" spans="1:18" ht="25.5" outlineLevel="1">
      <c r="A135" s="247" t="s">
        <v>14386</v>
      </c>
      <c r="B135" s="386">
        <v>93382</v>
      </c>
      <c r="C135" s="386" t="s">
        <v>14476</v>
      </c>
      <c r="D135" s="1314" t="str">
        <f>IFERROR(VLOOKUP($B135,'24.08_ND'!$A$4833:$D$12369,2,0),IFERROR(VLOOKUP($B135,'03-CP'!$C$5:$H$4646,2,0),""))</f>
        <v>REATERRO MANUAL DE VALAS, COM COMPACTADOR DE SOLOS DE PERCUSSÃO. AF_08/2023</v>
      </c>
      <c r="E135" s="1315" t="str">
        <f>IFERROR(VLOOKUP($B135,'24.08_ND'!$A:$D,3,0),IFERROR(VLOOKUP($B135,'03-CP'!$C$5:$H$4646,3,0),""))</f>
        <v>M3</v>
      </c>
      <c r="F135" s="389">
        <v>109.2</v>
      </c>
      <c r="G135" s="1244"/>
      <c r="H135" s="1244"/>
      <c r="I135" s="1409"/>
      <c r="J135" s="1644" t="s">
        <v>16316</v>
      </c>
      <c r="K135" s="262"/>
      <c r="L135" s="262"/>
      <c r="M135" s="262"/>
      <c r="N135" s="262"/>
      <c r="O135" s="262"/>
      <c r="P135" s="262"/>
      <c r="Q135" s="262"/>
      <c r="R135" s="262"/>
    </row>
    <row r="136" spans="1:18" ht="25.5" outlineLevel="1">
      <c r="A136" s="247" t="s">
        <v>14387</v>
      </c>
      <c r="B136" s="386" t="s">
        <v>15442</v>
      </c>
      <c r="C136" s="386" t="s">
        <v>14472</v>
      </c>
      <c r="D136" s="1314" t="str">
        <f>IFERROR(VLOOKUP($B136,'24.08_ND'!$A$4833:$D$12369,2,0),IFERROR(VLOOKUP($B136,'03-CP'!$C$5:$H$4646,2,0),""))</f>
        <v xml:space="preserve"> BOMBA SUBMERSÍVEL PARA ESGOTO COM TRITURADOR 2,5CV - FORNECIMENTO E INSTALAÇÃO</v>
      </c>
      <c r="E136" s="1315" t="str">
        <f>IFERROR(VLOOKUP($B136,'24.08_ND'!$A:$D,3,0),IFERROR(VLOOKUP($B136,'03-CP'!$C$5:$H$4646,3,0),""))</f>
        <v>UN</v>
      </c>
      <c r="F136" s="389">
        <v>3</v>
      </c>
      <c r="G136" s="1244"/>
      <c r="H136" s="1244"/>
      <c r="I136" s="1409"/>
      <c r="J136" s="1644" t="s">
        <v>16316</v>
      </c>
      <c r="K136" s="262"/>
      <c r="L136" s="262"/>
      <c r="M136" s="262"/>
      <c r="N136" s="262"/>
      <c r="O136" s="262"/>
      <c r="P136" s="262"/>
      <c r="Q136" s="262"/>
      <c r="R136" s="262"/>
    </row>
    <row r="137" spans="1:18" ht="12.75" hidden="1">
      <c r="A137" s="1487"/>
      <c r="B137" s="1488"/>
      <c r="C137" s="1488"/>
      <c r="D137" s="1489"/>
      <c r="E137" s="1490"/>
      <c r="F137" s="1491"/>
      <c r="G137" s="1492"/>
      <c r="H137" s="1493"/>
      <c r="I137" s="1494"/>
      <c r="J137" s="1296"/>
      <c r="K137" s="262"/>
      <c r="L137" s="262"/>
      <c r="M137" s="262"/>
      <c r="N137" s="262"/>
      <c r="O137" s="262"/>
      <c r="P137" s="262"/>
      <c r="Q137" s="262"/>
      <c r="R137" s="262"/>
    </row>
    <row r="138" spans="1:18" ht="12.75">
      <c r="A138" s="1298" t="s">
        <v>16419</v>
      </c>
      <c r="B138" s="1371"/>
      <c r="C138" s="1371"/>
      <c r="D138" s="1372"/>
      <c r="E138" s="1373"/>
      <c r="F138" s="1374"/>
      <c r="G138" s="1375"/>
      <c r="H138" s="1376"/>
      <c r="I138" s="1377"/>
      <c r="J138" s="1296" t="s">
        <v>16571</v>
      </c>
      <c r="K138" s="262"/>
      <c r="L138" s="262"/>
      <c r="M138" s="262"/>
      <c r="N138" s="262"/>
      <c r="O138" s="262"/>
      <c r="P138" s="262"/>
      <c r="Q138" s="262"/>
      <c r="R138" s="262"/>
    </row>
    <row r="139" spans="1:18" ht="12.75">
      <c r="A139" s="238" t="s">
        <v>12661</v>
      </c>
      <c r="B139" s="1304"/>
      <c r="C139" s="1304"/>
      <c r="D139" s="1305" t="s">
        <v>16572</v>
      </c>
      <c r="E139" s="1306"/>
      <c r="F139" s="1307"/>
      <c r="G139" s="1307"/>
      <c r="H139" s="1307"/>
      <c r="I139" s="1496"/>
      <c r="J139" s="262"/>
      <c r="K139" s="262"/>
      <c r="L139" s="262"/>
      <c r="M139" s="262"/>
      <c r="N139" s="262"/>
      <c r="O139" s="262"/>
      <c r="P139" s="262"/>
      <c r="Q139" s="262"/>
      <c r="R139" s="262"/>
    </row>
    <row r="140" spans="1:18" ht="12.75">
      <c r="A140" s="250" t="s">
        <v>14388</v>
      </c>
      <c r="B140" s="1309"/>
      <c r="C140" s="1497"/>
      <c r="D140" s="237" t="s">
        <v>16573</v>
      </c>
      <c r="E140" s="234"/>
      <c r="F140" s="1311"/>
      <c r="G140" s="236"/>
      <c r="H140" s="236"/>
      <c r="I140" s="1499"/>
      <c r="J140" s="262"/>
      <c r="K140" s="262"/>
      <c r="L140" s="262"/>
      <c r="M140" s="262"/>
      <c r="N140" s="262"/>
      <c r="O140" s="262"/>
      <c r="P140" s="262"/>
      <c r="Q140" s="262"/>
      <c r="R140" s="262"/>
    </row>
    <row r="141" spans="1:18" ht="25.5" outlineLevel="1">
      <c r="A141" s="247" t="s">
        <v>14389</v>
      </c>
      <c r="B141" s="386">
        <v>97881</v>
      </c>
      <c r="C141" s="386" t="s">
        <v>14476</v>
      </c>
      <c r="D141" s="1314" t="str">
        <f>IFERROR(VLOOKUP($B141,'24.08_ND'!$A$4833:$D$12369,2,0),IFERROR(VLOOKUP($B141,'03-CP'!$C$5:$H$4646,2,0),""))</f>
        <v>CAIXA ENTERRADA ELÉTRICA RETANGULAR, EM CONCRETO PRÉ-MOLDADO, FUNDO COM BRITA, DIMENSÕES INTERNAS: 0,3X0,3X0,3 M. AF_12/2020</v>
      </c>
      <c r="E141" s="1315" t="str">
        <f>IFERROR(VLOOKUP($B141,'24.08_ND'!$A:$D,3,0),IFERROR(VLOOKUP($B141,'03-CP'!$C$5:$H$4646,3,0),""))</f>
        <v>UN</v>
      </c>
      <c r="F141" s="389">
        <v>6</v>
      </c>
      <c r="G141" s="1244"/>
      <c r="H141" s="1244"/>
      <c r="I141" s="1409"/>
      <c r="J141" s="262"/>
      <c r="K141" s="262"/>
      <c r="L141" s="262"/>
      <c r="M141" s="262"/>
      <c r="N141" s="262"/>
      <c r="O141" s="262"/>
      <c r="P141" s="262"/>
      <c r="Q141" s="262"/>
      <c r="R141" s="262"/>
    </row>
    <row r="142" spans="1:18" ht="38.25" outlineLevel="1">
      <c r="A142" s="247" t="s">
        <v>14390</v>
      </c>
      <c r="B142" s="386" t="s">
        <v>15217</v>
      </c>
      <c r="C142" s="386" t="s">
        <v>14472</v>
      </c>
      <c r="D142" s="1314" t="str">
        <f>IFERROR(VLOOKUP($B142,'24.08_ND'!$A$4833:$D$12369,2,0),IFERROR(VLOOKUP($B142,'03-CP'!$C$5:$H$4646,2,0),""))</f>
        <v>ELETRODUTO FLEXÍVEL CORRUGADO, PEAD, DN ATÉ 40 MM (1 1/4"), PARA REDE ENTERRADA DE DISTRIBUIÇÃO DE ENERGIA ELÉTRICA - FORNECIMENTO E INSTALAÇÃO</v>
      </c>
      <c r="E142" s="1315" t="str">
        <f>IFERROR(VLOOKUP($B142,'24.08_ND'!$A:$D,3,0),IFERROR(VLOOKUP($B142,'03-CP'!$C$5:$H$4646,3,0),""))</f>
        <v>M</v>
      </c>
      <c r="F142" s="389">
        <v>56</v>
      </c>
      <c r="G142" s="1244"/>
      <c r="H142" s="1244"/>
      <c r="I142" s="1409"/>
      <c r="J142" s="262"/>
      <c r="K142" s="262"/>
      <c r="L142" s="262"/>
      <c r="M142" s="262"/>
      <c r="N142" s="262"/>
      <c r="O142" s="262"/>
      <c r="P142" s="262"/>
      <c r="Q142" s="262"/>
      <c r="R142" s="262"/>
    </row>
    <row r="143" spans="1:18" ht="25.5" outlineLevel="1">
      <c r="A143" s="247" t="s">
        <v>14391</v>
      </c>
      <c r="B143" s="386">
        <v>93358</v>
      </c>
      <c r="C143" s="386" t="s">
        <v>14476</v>
      </c>
      <c r="D143" s="1314" t="str">
        <f>IFERROR(VLOOKUP($B143,'24.08_ND'!$A$4833:$D$12369,2,0),IFERROR(VLOOKUP($B143,'03-CP'!$C$5:$H$4646,2,0),""))</f>
        <v>ESCAVAÇÃO MANUAL DE VALA COM PROFUNDIDADE MENOR OU IGUAL A 1,30 M. AF_02/2021</v>
      </c>
      <c r="E143" s="1315" t="str">
        <f>IFERROR(VLOOKUP($B143,'24.08_ND'!$A:$D,3,0),IFERROR(VLOOKUP($B143,'03-CP'!$C$5:$H$4646,3,0),""))</f>
        <v>M3</v>
      </c>
      <c r="F143" s="389">
        <v>5.6</v>
      </c>
      <c r="G143" s="1244"/>
      <c r="H143" s="1244"/>
      <c r="I143" s="1409"/>
      <c r="J143" s="262"/>
      <c r="K143" s="262"/>
      <c r="L143" s="262"/>
      <c r="M143" s="262"/>
      <c r="N143" s="262"/>
      <c r="O143" s="262"/>
      <c r="P143" s="262"/>
      <c r="Q143" s="262"/>
      <c r="R143" s="262"/>
    </row>
    <row r="144" spans="1:18" ht="25.5" outlineLevel="1">
      <c r="A144" s="247" t="s">
        <v>14392</v>
      </c>
      <c r="B144" s="386">
        <v>93382</v>
      </c>
      <c r="C144" s="386" t="s">
        <v>14476</v>
      </c>
      <c r="D144" s="1314" t="str">
        <f>IFERROR(VLOOKUP($B144,'24.08_ND'!$A$4833:$D$12369,2,0),IFERROR(VLOOKUP($B144,'03-CP'!$C$5:$H$4646,2,0),""))</f>
        <v>REATERRO MANUAL DE VALAS, COM COMPACTADOR DE SOLOS DE PERCUSSÃO. AF_08/2023</v>
      </c>
      <c r="E144" s="1315" t="str">
        <f>IFERROR(VLOOKUP($B144,'24.08_ND'!$A:$D,3,0),IFERROR(VLOOKUP($B144,'03-CP'!$C$5:$H$4646,3,0),""))</f>
        <v>M3</v>
      </c>
      <c r="F144" s="389">
        <f>F143*1.1</f>
        <v>6.16</v>
      </c>
      <c r="G144" s="1244"/>
      <c r="H144" s="1244"/>
      <c r="I144" s="1409"/>
      <c r="J144" s="262"/>
      <c r="K144" s="262"/>
      <c r="L144" s="262"/>
      <c r="M144" s="262"/>
      <c r="N144" s="262"/>
      <c r="O144" s="262"/>
      <c r="P144" s="262"/>
      <c r="Q144" s="262"/>
      <c r="R144" s="262"/>
    </row>
    <row r="145" spans="1:18" ht="25.5" outlineLevel="1">
      <c r="A145" s="247" t="s">
        <v>14393</v>
      </c>
      <c r="B145" s="386">
        <v>91931</v>
      </c>
      <c r="C145" s="386" t="s">
        <v>14476</v>
      </c>
      <c r="D145" s="1314" t="str">
        <f>IFERROR(VLOOKUP($B145,'24.08_ND'!$A$4833:$D$12369,2,0),IFERROR(VLOOKUP($B145,'03-CP'!$C$5:$H$4646,2,0),""))</f>
        <v>CABO DE COBRE FLEXÍVEL ISOLADO, 6 MM², ANTI-CHAMA 0,6/1,0 KV, PARA CIRCUITOS TERMINAIS - FORNECIMENTO E INSTALAÇÃO. AF_03/2023</v>
      </c>
      <c r="E145" s="1315" t="str">
        <f>IFERROR(VLOOKUP($B145,'24.08_ND'!$A:$D,3,0),IFERROR(VLOOKUP($B145,'03-CP'!$C$5:$H$4646,3,0),""))</f>
        <v>M</v>
      </c>
      <c r="F145" s="389">
        <v>400</v>
      </c>
      <c r="G145" s="1244"/>
      <c r="H145" s="1244"/>
      <c r="I145" s="1409"/>
      <c r="J145" s="262"/>
      <c r="K145" s="262"/>
      <c r="L145" s="262"/>
      <c r="M145" s="262"/>
      <c r="N145" s="262"/>
      <c r="O145" s="262"/>
      <c r="P145" s="262"/>
      <c r="Q145" s="262"/>
      <c r="R145" s="262"/>
    </row>
    <row r="146" spans="1:18" ht="25.5" outlineLevel="1">
      <c r="A146" s="247" t="s">
        <v>14394</v>
      </c>
      <c r="B146" s="386">
        <v>93664</v>
      </c>
      <c r="C146" s="386" t="s">
        <v>14476</v>
      </c>
      <c r="D146" s="1314" t="str">
        <f>IFERROR(VLOOKUP($B146,'24.08_ND'!$A$4833:$D$12369,2,0),IFERROR(VLOOKUP($B146,'03-CP'!$C$5:$H$4646,2,0),""))</f>
        <v>DISJUNTOR BIPOLAR TIPO DIN, CORRENTE NOMINAL DE 32A - FORNECIMENTO E INSTALAÇÃO. AF_10/2020</v>
      </c>
      <c r="E146" s="1315" t="str">
        <f>IFERROR(VLOOKUP($B146,'24.08_ND'!$A:$D,3,0),IFERROR(VLOOKUP($B146,'03-CP'!$C$5:$H$4646,3,0),""))</f>
        <v>UN</v>
      </c>
      <c r="F146" s="389">
        <v>3</v>
      </c>
      <c r="G146" s="1244"/>
      <c r="H146" s="1244"/>
      <c r="I146" s="1409"/>
      <c r="J146" s="262"/>
      <c r="K146" s="262"/>
      <c r="L146" s="262"/>
      <c r="M146" s="262"/>
      <c r="N146" s="262"/>
      <c r="O146" s="262"/>
      <c r="P146" s="262"/>
      <c r="Q146" s="262"/>
      <c r="R146" s="262"/>
    </row>
    <row r="147" spans="1:18" ht="25.5" outlineLevel="1">
      <c r="A147" s="247" t="s">
        <v>14395</v>
      </c>
      <c r="B147" s="386" t="s">
        <v>15159</v>
      </c>
      <c r="C147" s="386" t="s">
        <v>14472</v>
      </c>
      <c r="D147" s="1314" t="str">
        <f>IFERROR(VLOOKUP($B147,'24.08_ND'!$A$4833:$D$12369,2,0),IFERROR(VLOOKUP($B147,'03-CP'!$C$5:$H$4646,2,0),""))</f>
        <v>PLACA DE SINALIZAÇÃO, FOTOLUMINESCENTE, EM PVC, COM LOGOTIPO "CUIDADO RISCO DE CHOQUE ELÉTRICO"- FORNECIMENTO E INSTALAÇÃO</v>
      </c>
      <c r="E147" s="1315" t="str">
        <f>IFERROR(VLOOKUP($B147,'24.08_ND'!$A:$D,3,0),IFERROR(VLOOKUP($B147,'03-CP'!$C$5:$H$4646,3,0),""))</f>
        <v>UN</v>
      </c>
      <c r="F147" s="389">
        <v>1</v>
      </c>
      <c r="G147" s="1244"/>
      <c r="H147" s="1244"/>
      <c r="I147" s="1409"/>
      <c r="J147" s="262"/>
      <c r="K147" s="262"/>
      <c r="L147" s="262"/>
      <c r="M147" s="262"/>
      <c r="N147" s="262"/>
      <c r="O147" s="262"/>
      <c r="P147" s="262"/>
      <c r="Q147" s="262"/>
      <c r="R147" s="262"/>
    </row>
    <row r="148" spans="1:18" ht="12.75">
      <c r="A148" s="250" t="s">
        <v>14396</v>
      </c>
      <c r="B148" s="1309"/>
      <c r="C148" s="1497"/>
      <c r="D148" s="237" t="s">
        <v>16574</v>
      </c>
      <c r="E148" s="234"/>
      <c r="F148" s="1311"/>
      <c r="G148" s="236"/>
      <c r="H148" s="236"/>
      <c r="I148" s="1499"/>
      <c r="J148" s="262"/>
      <c r="K148" s="262"/>
      <c r="L148" s="262"/>
      <c r="M148" s="262"/>
      <c r="N148" s="262"/>
      <c r="O148" s="262"/>
      <c r="P148" s="262"/>
      <c r="Q148" s="262"/>
      <c r="R148" s="262"/>
    </row>
    <row r="149" spans="1:18" ht="25.5" outlineLevel="1">
      <c r="A149" s="247" t="s">
        <v>14397</v>
      </c>
      <c r="B149" s="386">
        <v>97881</v>
      </c>
      <c r="C149" s="386" t="s">
        <v>14476</v>
      </c>
      <c r="D149" s="1314" t="str">
        <f>IFERROR(VLOOKUP($B149,'24.08_ND'!$A$4833:$D$12369,2,0),IFERROR(VLOOKUP($B149,'03-CP'!$C$5:$H$4646,2,0),""))</f>
        <v>CAIXA ENTERRADA ELÉTRICA RETANGULAR, EM CONCRETO PRÉ-MOLDADO, FUNDO COM BRITA, DIMENSÕES INTERNAS: 0,3X0,3X0,3 M. AF_12/2020</v>
      </c>
      <c r="E149" s="1315" t="str">
        <f>IFERROR(VLOOKUP($B149,'24.08_ND'!$A:$D,3,0),IFERROR(VLOOKUP($B149,'03-CP'!$C$5:$H$4646,3,0),""))</f>
        <v>UN</v>
      </c>
      <c r="F149" s="389">
        <v>16</v>
      </c>
      <c r="G149" s="1244"/>
      <c r="H149" s="1244"/>
      <c r="I149" s="1409"/>
      <c r="J149" s="262"/>
      <c r="K149" s="262"/>
      <c r="L149" s="262"/>
      <c r="M149" s="262"/>
      <c r="N149" s="262"/>
      <c r="O149" s="262"/>
      <c r="P149" s="262"/>
      <c r="Q149" s="262"/>
      <c r="R149" s="262"/>
    </row>
    <row r="150" spans="1:18" ht="38.25" outlineLevel="1">
      <c r="A150" s="247" t="s">
        <v>14398</v>
      </c>
      <c r="B150" s="386" t="s">
        <v>15217</v>
      </c>
      <c r="C150" s="386" t="s">
        <v>14472</v>
      </c>
      <c r="D150" s="1314" t="str">
        <f>IFERROR(VLOOKUP($B150,'24.08_ND'!$A$4833:$D$12369,2,0),IFERROR(VLOOKUP($B150,'03-CP'!$C$5:$H$4646,2,0),""))</f>
        <v>ELETRODUTO FLEXÍVEL CORRUGADO, PEAD, DN ATÉ 40 MM (1 1/4"), PARA REDE ENTERRADA DE DISTRIBUIÇÃO DE ENERGIA ELÉTRICA - FORNECIMENTO E INSTALAÇÃO</v>
      </c>
      <c r="E150" s="1315" t="str">
        <f>IFERROR(VLOOKUP($B150,'24.08_ND'!$A:$D,3,0),IFERROR(VLOOKUP($B150,'03-CP'!$C$5:$H$4646,3,0),""))</f>
        <v>M</v>
      </c>
      <c r="F150" s="389">
        <v>320</v>
      </c>
      <c r="G150" s="1244"/>
      <c r="H150" s="1244"/>
      <c r="I150" s="1409"/>
      <c r="J150" s="262"/>
      <c r="K150" s="262"/>
      <c r="L150" s="262"/>
      <c r="M150" s="262"/>
      <c r="N150" s="262"/>
      <c r="O150" s="262"/>
      <c r="P150" s="262"/>
      <c r="Q150" s="262"/>
      <c r="R150" s="262"/>
    </row>
    <row r="151" spans="1:18" ht="25.5" outlineLevel="1">
      <c r="A151" s="247" t="s">
        <v>14399</v>
      </c>
      <c r="B151" s="386">
        <v>93358</v>
      </c>
      <c r="C151" s="386" t="s">
        <v>14476</v>
      </c>
      <c r="D151" s="1314" t="str">
        <f>IFERROR(VLOOKUP($B151,'24.08_ND'!$A$4833:$D$12369,2,0),IFERROR(VLOOKUP($B151,'03-CP'!$C$5:$H$4646,2,0),""))</f>
        <v>ESCAVAÇÃO MANUAL DE VALA COM PROFUNDIDADE MENOR OU IGUAL A 1,30 M. AF_02/2021</v>
      </c>
      <c r="E151" s="1315" t="str">
        <f>IFERROR(VLOOKUP($B151,'24.08_ND'!$A:$D,3,0),IFERROR(VLOOKUP($B151,'03-CP'!$C$5:$H$4646,3,0),""))</f>
        <v>M3</v>
      </c>
      <c r="F151" s="389">
        <v>32</v>
      </c>
      <c r="G151" s="1244"/>
      <c r="H151" s="1244"/>
      <c r="I151" s="1409"/>
      <c r="J151" s="262"/>
      <c r="K151" s="262"/>
      <c r="L151" s="262"/>
      <c r="M151" s="262"/>
      <c r="N151" s="262"/>
      <c r="O151" s="262"/>
      <c r="P151" s="262"/>
      <c r="Q151" s="262"/>
      <c r="R151" s="262"/>
    </row>
    <row r="152" spans="1:18" ht="25.5" outlineLevel="1">
      <c r="A152" s="247" t="s">
        <v>14400</v>
      </c>
      <c r="B152" s="386">
        <v>93382</v>
      </c>
      <c r="C152" s="386" t="s">
        <v>14476</v>
      </c>
      <c r="D152" s="1314" t="str">
        <f>IFERROR(VLOOKUP($B152,'24.08_ND'!$A$4833:$D$12369,2,0),IFERROR(VLOOKUP($B152,'03-CP'!$C$5:$H$4646,2,0),""))</f>
        <v>REATERRO MANUAL DE VALAS, COM COMPACTADOR DE SOLOS DE PERCUSSÃO. AF_08/2023</v>
      </c>
      <c r="E152" s="1315" t="str">
        <f>IFERROR(VLOOKUP($B152,'24.08_ND'!$A:$D,3,0),IFERROR(VLOOKUP($B152,'03-CP'!$C$5:$H$4646,3,0),""))</f>
        <v>M3</v>
      </c>
      <c r="F152" s="389">
        <f>F151*1.1</f>
        <v>35.200000000000003</v>
      </c>
      <c r="G152" s="1244"/>
      <c r="H152" s="1244"/>
      <c r="I152" s="1409"/>
      <c r="J152" s="262"/>
      <c r="K152" s="262"/>
      <c r="L152" s="262"/>
      <c r="M152" s="262"/>
      <c r="N152" s="262"/>
      <c r="O152" s="262"/>
      <c r="P152" s="262"/>
      <c r="Q152" s="262"/>
      <c r="R152" s="262"/>
    </row>
    <row r="153" spans="1:18" ht="25.5" outlineLevel="1">
      <c r="A153" s="247" t="s">
        <v>14401</v>
      </c>
      <c r="B153" s="386">
        <v>91931</v>
      </c>
      <c r="C153" s="386" t="s">
        <v>14476</v>
      </c>
      <c r="D153" s="1314" t="str">
        <f>IFERROR(VLOOKUP($B153,'24.08_ND'!$A$4833:$D$12369,2,0),IFERROR(VLOOKUP($B153,'03-CP'!$C$5:$H$4646,2,0),""))</f>
        <v>CABO DE COBRE FLEXÍVEL ISOLADO, 6 MM², ANTI-CHAMA 0,6/1,0 KV, PARA CIRCUITOS TERMINAIS - FORNECIMENTO E INSTALAÇÃO. AF_03/2023</v>
      </c>
      <c r="E153" s="1315" t="str">
        <f>IFERROR(VLOOKUP($B153,'24.08_ND'!$A:$D,3,0),IFERROR(VLOOKUP($B153,'03-CP'!$C$5:$H$4646,3,0),""))</f>
        <v>M</v>
      </c>
      <c r="F153" s="389">
        <v>330</v>
      </c>
      <c r="G153" s="1244"/>
      <c r="H153" s="1244"/>
      <c r="I153" s="1409"/>
      <c r="J153" s="262"/>
      <c r="K153" s="262"/>
      <c r="L153" s="262"/>
      <c r="M153" s="262"/>
      <c r="N153" s="262"/>
      <c r="O153" s="262"/>
      <c r="P153" s="262"/>
      <c r="Q153" s="262"/>
      <c r="R153" s="262"/>
    </row>
    <row r="154" spans="1:18" ht="25.5" outlineLevel="1">
      <c r="A154" s="247" t="s">
        <v>14402</v>
      </c>
      <c r="B154" s="386">
        <v>92982</v>
      </c>
      <c r="C154" s="386" t="s">
        <v>14476</v>
      </c>
      <c r="D154" s="1314" t="str">
        <f>IFERROR(VLOOKUP($B154,'24.08_ND'!$A$4833:$D$12369,2,0),IFERROR(VLOOKUP($B154,'03-CP'!$C$5:$H$4646,2,0),""))</f>
        <v>CABO DE COBRE FLEXÍVEL ISOLADO, 16 MM², ANTI-CHAMA 0,6/1,0 KV, PARA DISTRIBUIÇÃO - FORNECIMENTO E INSTALAÇÃO. AF_10/2020</v>
      </c>
      <c r="E154" s="1315" t="str">
        <f>IFERROR(VLOOKUP($B154,'24.08_ND'!$A:$D,3,0),IFERROR(VLOOKUP($B154,'03-CP'!$C$5:$H$4646,3,0),""))</f>
        <v>M</v>
      </c>
      <c r="F154" s="389">
        <v>750</v>
      </c>
      <c r="G154" s="1244"/>
      <c r="H154" s="1244"/>
      <c r="I154" s="1409"/>
      <c r="J154" s="262"/>
      <c r="K154" s="262"/>
      <c r="L154" s="262"/>
      <c r="M154" s="262"/>
      <c r="N154" s="262"/>
      <c r="O154" s="262"/>
      <c r="P154" s="262"/>
      <c r="Q154" s="262"/>
      <c r="R154" s="262"/>
    </row>
    <row r="155" spans="1:18" ht="25.5" outlineLevel="1">
      <c r="A155" s="247" t="s">
        <v>14403</v>
      </c>
      <c r="B155" s="386">
        <v>93673</v>
      </c>
      <c r="C155" s="386" t="s">
        <v>14476</v>
      </c>
      <c r="D155" s="1314" t="str">
        <f>IFERROR(VLOOKUP($B155,'24.08_ND'!$A$4833:$D$12369,2,0),IFERROR(VLOOKUP($B155,'03-CP'!$C$5:$H$4646,2,0),""))</f>
        <v>DISJUNTOR TRIPOLAR TIPO DIN, CORRENTE NOMINAL DE 50A - FORNECIMENTO E INSTALAÇÃO. AF_10/2020</v>
      </c>
      <c r="E155" s="1315" t="str">
        <f>IFERROR(VLOOKUP($B155,'24.08_ND'!$A:$D,3,0),IFERROR(VLOOKUP($B155,'03-CP'!$C$5:$H$4646,3,0),""))</f>
        <v>UN</v>
      </c>
      <c r="F155" s="389">
        <v>2</v>
      </c>
      <c r="G155" s="1244"/>
      <c r="H155" s="1244"/>
      <c r="I155" s="1409"/>
      <c r="J155" s="262"/>
      <c r="K155" s="262"/>
      <c r="L155" s="262"/>
      <c r="M155" s="262"/>
      <c r="N155" s="262"/>
      <c r="O155" s="262"/>
      <c r="P155" s="262"/>
      <c r="Q155" s="262"/>
      <c r="R155" s="262"/>
    </row>
    <row r="156" spans="1:18" ht="25.5" outlineLevel="1">
      <c r="A156" s="247" t="s">
        <v>14404</v>
      </c>
      <c r="B156" s="386">
        <v>93664</v>
      </c>
      <c r="C156" s="386" t="s">
        <v>14476</v>
      </c>
      <c r="D156" s="1314" t="str">
        <f>IFERROR(VLOOKUP($B156,'24.08_ND'!$A$4833:$D$12369,2,0),IFERROR(VLOOKUP($B156,'03-CP'!$C$5:$H$4646,2,0),""))</f>
        <v>DISJUNTOR BIPOLAR TIPO DIN, CORRENTE NOMINAL DE 32A - FORNECIMENTO E INSTALAÇÃO. AF_10/2020</v>
      </c>
      <c r="E156" s="1315" t="str">
        <f>IFERROR(VLOOKUP($B156,'24.08_ND'!$A:$D,3,0),IFERROR(VLOOKUP($B156,'03-CP'!$C$5:$H$4646,3,0),""))</f>
        <v>UN</v>
      </c>
      <c r="F156" s="389">
        <v>3</v>
      </c>
      <c r="G156" s="1244"/>
      <c r="H156" s="1244"/>
      <c r="I156" s="1409"/>
      <c r="J156" s="262"/>
      <c r="K156" s="262"/>
      <c r="L156" s="262"/>
      <c r="M156" s="262"/>
      <c r="N156" s="262"/>
      <c r="O156" s="262"/>
      <c r="P156" s="262"/>
      <c r="Q156" s="262"/>
      <c r="R156" s="262"/>
    </row>
    <row r="157" spans="1:18" ht="25.5" outlineLevel="1">
      <c r="A157" s="247" t="s">
        <v>14405</v>
      </c>
      <c r="B157" s="386" t="s">
        <v>15272</v>
      </c>
      <c r="C157" s="386" t="s">
        <v>14472</v>
      </c>
      <c r="D157" s="1314" t="str">
        <f>IFERROR(VLOOKUP($B157,'24.08_ND'!$A$4833:$D$12369,2,0),IFERROR(VLOOKUP($B157,'03-CP'!$C$5:$H$4646,2,0),""))</f>
        <v>DISPOSITIVO DE PROTEÇÃO CONTRA SURTOS(DPS) 275V DE 8 A 40KA – FORNECIMENTO E INSTALAÇÃO</v>
      </c>
      <c r="E157" s="1315" t="str">
        <f>IFERROR(VLOOKUP($B157,'24.08_ND'!$A:$D,3,0),IFERROR(VLOOKUP($B157,'03-CP'!$C$5:$H$4646,3,0),""))</f>
        <v>UN</v>
      </c>
      <c r="F157" s="389">
        <v>3</v>
      </c>
      <c r="G157" s="1244"/>
      <c r="H157" s="1244"/>
      <c r="I157" s="1409"/>
      <c r="J157" s="262"/>
      <c r="K157" s="262"/>
      <c r="L157" s="262"/>
      <c r="M157" s="262"/>
      <c r="N157" s="262"/>
      <c r="O157" s="262"/>
      <c r="P157" s="262"/>
      <c r="Q157" s="262"/>
      <c r="R157" s="262"/>
    </row>
    <row r="158" spans="1:18" ht="89.25" outlineLevel="1">
      <c r="A158" s="247" t="s">
        <v>14406</v>
      </c>
      <c r="B158" s="386" t="s">
        <v>15326</v>
      </c>
      <c r="C158" s="386" t="s">
        <v>14472</v>
      </c>
      <c r="D158" s="1314" t="str">
        <f>IFERROR(VLOOKUP($B158,'24.08_ND'!$A$4833:$D$12369,2,0),IFERROR(VLOOKUP($B158,'03-CP'!$C$5:$H$4646,2,0),""))</f>
        <v>MURETA EM ALVENARIA DE BLOCO DE CONCRETO ESTRUTURAL 19X19X39, APOIADA EM LASTRO DE CONCRETO MAGRO ESP=5CM A 40CM DE PROFUNDIDADE, BALDRAME E CINTA DE RESPALDO COM UTILIZAÇÃO DE BLOCOS CANALETA DE CONCRETO 19X19X39, TRAVAMENTO COM AÇO CA50 DN 8MMM, PREENCHIMENTO CONCRETO FCK = 15MPA, INCLUSO ACABAMENTO CHAPISCO/ EMBOÇO/ MASSA ACRÍLICA/ SELADOR ACRÍLICO/ TINTA LÁTEX ACRÍLICA</v>
      </c>
      <c r="E158" s="1315" t="str">
        <f>IFERROR(VLOOKUP($B158,'24.08_ND'!$A:$D,3,0),IFERROR(VLOOKUP($B158,'03-CP'!$C$5:$H$4646,3,0),""))</f>
        <v>M²</v>
      </c>
      <c r="F158" s="389">
        <v>2.6</v>
      </c>
      <c r="G158" s="1244"/>
      <c r="H158" s="1244"/>
      <c r="I158" s="1409"/>
      <c r="J158" s="262"/>
      <c r="K158" s="262"/>
      <c r="L158" s="262"/>
      <c r="M158" s="262"/>
      <c r="N158" s="262"/>
      <c r="O158" s="262"/>
      <c r="P158" s="262"/>
      <c r="Q158" s="262"/>
      <c r="R158" s="262"/>
    </row>
    <row r="159" spans="1:18" ht="38.25" outlineLevel="1">
      <c r="A159" s="247" t="s">
        <v>14407</v>
      </c>
      <c r="B159" s="386" t="s">
        <v>15323</v>
      </c>
      <c r="C159" s="386" t="s">
        <v>14472</v>
      </c>
      <c r="D159" s="1314" t="str">
        <f>IFERROR(VLOOKUP($B159,'24.08_ND'!$A$4833:$D$12369,2,0),IFERROR(VLOOKUP($B159,'03-CP'!$C$5:$H$4646,2,0),""))</f>
        <v>QUADRO DE COMANDO ELÉTRICO, CAIXA EM CHAPA METÁLICA GALVANIZADA 60X50X30 COM TRILHO PARA DISJUNTOR DIN – FORNECIMENTO E INSTALAÇÃO</v>
      </c>
      <c r="E159" s="1315" t="str">
        <f>IFERROR(VLOOKUP($B159,'24.08_ND'!$A:$D,3,0),IFERROR(VLOOKUP($B159,'03-CP'!$C$5:$H$4646,3,0),""))</f>
        <v>UN</v>
      </c>
      <c r="F159" s="389">
        <v>1</v>
      </c>
      <c r="G159" s="1244"/>
      <c r="H159" s="1244"/>
      <c r="I159" s="1409"/>
      <c r="J159" s="262"/>
      <c r="K159" s="262"/>
      <c r="L159" s="262"/>
      <c r="M159" s="262"/>
      <c r="N159" s="262"/>
      <c r="O159" s="262"/>
      <c r="P159" s="262"/>
      <c r="Q159" s="262"/>
      <c r="R159" s="262"/>
    </row>
    <row r="160" spans="1:18" ht="25.5" outlineLevel="1">
      <c r="A160" s="247" t="s">
        <v>14408</v>
      </c>
      <c r="B160" s="386">
        <v>96985</v>
      </c>
      <c r="C160" s="386" t="s">
        <v>14476</v>
      </c>
      <c r="D160" s="1314" t="str">
        <f>IFERROR(VLOOKUP($B160,'24.08_ND'!$A$4833:$D$12369,2,0),IFERROR(VLOOKUP($B160,'03-CP'!$C$5:$H$4646,2,0),""))</f>
        <v>HASTE DE ATERRAMENTO, DIÂMETRO 5/8", COM 3 METROS - FORNECIMENTO E INSTALAÇÃO. AF_08/2023</v>
      </c>
      <c r="E160" s="1315" t="str">
        <f>IFERROR(VLOOKUP($B160,'24.08_ND'!$A:$D,3,0),IFERROR(VLOOKUP($B160,'03-CP'!$C$5:$H$4646,3,0),""))</f>
        <v>UN</v>
      </c>
      <c r="F160" s="389">
        <v>3</v>
      </c>
      <c r="G160" s="1244"/>
      <c r="H160" s="1244"/>
      <c r="I160" s="1409"/>
      <c r="J160" s="262"/>
      <c r="K160" s="262"/>
      <c r="L160" s="262"/>
      <c r="M160" s="262"/>
      <c r="N160" s="262"/>
      <c r="O160" s="262"/>
      <c r="P160" s="262"/>
      <c r="Q160" s="262"/>
      <c r="R160" s="262"/>
    </row>
    <row r="161" spans="1:18" ht="38.25" outlineLevel="1">
      <c r="A161" s="247" t="s">
        <v>14409</v>
      </c>
      <c r="B161" s="386">
        <v>104750</v>
      </c>
      <c r="C161" s="386" t="s">
        <v>14476</v>
      </c>
      <c r="D161" s="1314" t="str">
        <f>IFERROR(VLOOKUP($B161,'24.08_ND'!$A$4833:$D$12369,2,0),IFERROR(VLOOKUP($B161,'03-CP'!$C$5:$H$4646,2,0),""))</f>
        <v>CONECTOR GRAMPO METÁLICO TIPO OLHAL, PARA SPDA, PARA HASTE DE ATERRAMENTO DE 5/8'' E CABOS DE 10 A 50 MM2 - FORNECIMENTO E INSTALAÇÃO. AF_08/2023</v>
      </c>
      <c r="E161" s="1315" t="str">
        <f>IFERROR(VLOOKUP($B161,'24.08_ND'!$A:$D,3,0),IFERROR(VLOOKUP($B161,'03-CP'!$C$5:$H$4646,3,0),""))</f>
        <v>UN</v>
      </c>
      <c r="F161" s="389">
        <v>4</v>
      </c>
      <c r="G161" s="1244"/>
      <c r="H161" s="1244"/>
      <c r="I161" s="1409"/>
      <c r="J161" s="262"/>
      <c r="K161" s="262"/>
      <c r="L161" s="262"/>
      <c r="M161" s="262"/>
      <c r="N161" s="262"/>
      <c r="O161" s="262"/>
      <c r="P161" s="262"/>
      <c r="Q161" s="262"/>
      <c r="R161" s="262"/>
    </row>
    <row r="162" spans="1:18" ht="25.5" outlineLevel="1">
      <c r="A162" s="247" t="s">
        <v>14410</v>
      </c>
      <c r="B162" s="386" t="s">
        <v>15228</v>
      </c>
      <c r="C162" s="386" t="s">
        <v>14472</v>
      </c>
      <c r="D162" s="1314" t="str">
        <f>IFERROR(VLOOKUP($B162,'24.08_ND'!$A$4833:$D$12369,2,0),IFERROR(VLOOKUP($B162,'03-CP'!$C$5:$H$4646,2,0),""))</f>
        <v>CABO DE COBRE NÚ 50MM² PARA ATERRAMENTO DE QUADRO OU POSTE - FORNECIMENTO E INSTALAÇÃO</v>
      </c>
      <c r="E162" s="1315" t="str">
        <f>IFERROR(VLOOKUP($B162,'24.08_ND'!$A:$D,3,0),IFERROR(VLOOKUP($B162,'03-CP'!$C$5:$H$4646,3,0),""))</f>
        <v>M</v>
      </c>
      <c r="F162" s="389">
        <v>6</v>
      </c>
      <c r="G162" s="1244"/>
      <c r="H162" s="1244"/>
      <c r="I162" s="1409"/>
      <c r="J162" s="262"/>
      <c r="K162" s="262"/>
      <c r="L162" s="262"/>
      <c r="M162" s="262"/>
      <c r="N162" s="262"/>
      <c r="O162" s="262"/>
      <c r="P162" s="262"/>
      <c r="Q162" s="262"/>
      <c r="R162" s="262"/>
    </row>
    <row r="163" spans="1:18" ht="25.5" outlineLevel="1">
      <c r="A163" s="247" t="s">
        <v>14411</v>
      </c>
      <c r="B163" s="386" t="s">
        <v>15159</v>
      </c>
      <c r="C163" s="386" t="s">
        <v>14472</v>
      </c>
      <c r="D163" s="1314" t="str">
        <f>IFERROR(VLOOKUP($B163,'24.08_ND'!$A$4833:$D$12369,2,0),IFERROR(VLOOKUP($B163,'03-CP'!$C$5:$H$4646,2,0),""))</f>
        <v>PLACA DE SINALIZAÇÃO, FOTOLUMINESCENTE, EM PVC, COM LOGOTIPO "CUIDADO RISCO DE CHOQUE ELÉTRICO"- FORNECIMENTO E INSTALAÇÃO</v>
      </c>
      <c r="E163" s="1315" t="str">
        <f>IFERROR(VLOOKUP($B163,'24.08_ND'!$A:$D,3,0),IFERROR(VLOOKUP($B163,'03-CP'!$C$5:$H$4646,3,0),""))</f>
        <v>UN</v>
      </c>
      <c r="F163" s="389">
        <v>1</v>
      </c>
      <c r="G163" s="1244"/>
      <c r="H163" s="1244"/>
      <c r="I163" s="1409"/>
      <c r="J163" s="262"/>
      <c r="K163" s="262"/>
      <c r="L163" s="262"/>
      <c r="M163" s="262"/>
      <c r="N163" s="262"/>
      <c r="O163" s="262"/>
      <c r="P163" s="262"/>
      <c r="Q163" s="262"/>
      <c r="R163" s="262"/>
    </row>
    <row r="164" spans="1:18" ht="12.75">
      <c r="A164" s="250" t="s">
        <v>14412</v>
      </c>
      <c r="B164" s="1309"/>
      <c r="C164" s="1497"/>
      <c r="D164" s="237" t="s">
        <v>16575</v>
      </c>
      <c r="E164" s="234"/>
      <c r="F164" s="1311"/>
      <c r="G164" s="236"/>
      <c r="H164" s="236"/>
      <c r="I164" s="1499"/>
      <c r="J164" s="262"/>
      <c r="K164" s="262"/>
      <c r="L164" s="262"/>
      <c r="M164" s="262"/>
      <c r="N164" s="262"/>
      <c r="O164" s="262"/>
      <c r="P164" s="262"/>
      <c r="Q164" s="262"/>
      <c r="R164" s="262"/>
    </row>
    <row r="165" spans="1:18" ht="25.5" outlineLevel="1">
      <c r="A165" s="247" t="s">
        <v>14413</v>
      </c>
      <c r="B165" s="386">
        <v>97881</v>
      </c>
      <c r="C165" s="386" t="s">
        <v>14476</v>
      </c>
      <c r="D165" s="1314" t="str">
        <f>IFERROR(VLOOKUP($B165,'24.08_ND'!$A$4833:$D$12369,2,0),IFERROR(VLOOKUP($B165,'03-CP'!$C$5:$H$4646,2,0),""))</f>
        <v>CAIXA ENTERRADA ELÉTRICA RETANGULAR, EM CONCRETO PRÉ-MOLDADO, FUNDO COM BRITA, DIMENSÕES INTERNAS: 0,3X0,3X0,3 M. AF_12/2020</v>
      </c>
      <c r="E165" s="1315" t="str">
        <f>IFERROR(VLOOKUP($B165,'24.08_ND'!$A:$D,3,0),IFERROR(VLOOKUP($B165,'03-CP'!$C$5:$H$4646,3,0),""))</f>
        <v>UN</v>
      </c>
      <c r="F165" s="389">
        <v>11</v>
      </c>
      <c r="G165" s="1244"/>
      <c r="H165" s="1244"/>
      <c r="I165" s="1409"/>
      <c r="J165" s="262"/>
      <c r="K165" s="262"/>
      <c r="L165" s="262"/>
      <c r="M165" s="262"/>
      <c r="N165" s="262"/>
      <c r="O165" s="262"/>
      <c r="P165" s="262"/>
      <c r="Q165" s="262"/>
      <c r="R165" s="262"/>
    </row>
    <row r="166" spans="1:18" ht="38.25" outlineLevel="1">
      <c r="A166" s="247" t="s">
        <v>14414</v>
      </c>
      <c r="B166" s="386" t="s">
        <v>15217</v>
      </c>
      <c r="C166" s="386" t="s">
        <v>14472</v>
      </c>
      <c r="D166" s="1314" t="str">
        <f>IFERROR(VLOOKUP($B166,'24.08_ND'!$A$4833:$D$12369,2,0),IFERROR(VLOOKUP($B166,'03-CP'!$C$5:$H$4646,2,0),""))</f>
        <v>ELETRODUTO FLEXÍVEL CORRUGADO, PEAD, DN ATÉ 40 MM (1 1/4"), PARA REDE ENTERRADA DE DISTRIBUIÇÃO DE ENERGIA ELÉTRICA - FORNECIMENTO E INSTALAÇÃO</v>
      </c>
      <c r="E166" s="1315" t="str">
        <f>IFERROR(VLOOKUP($B166,'24.08_ND'!$A:$D,3,0),IFERROR(VLOOKUP($B166,'03-CP'!$C$5:$H$4646,3,0),""))</f>
        <v>M</v>
      </c>
      <c r="F166" s="389">
        <v>170</v>
      </c>
      <c r="G166" s="1244"/>
      <c r="H166" s="1244"/>
      <c r="I166" s="1409"/>
      <c r="J166" s="262"/>
      <c r="K166" s="262"/>
      <c r="L166" s="262"/>
      <c r="M166" s="262"/>
      <c r="N166" s="262"/>
      <c r="O166" s="262"/>
      <c r="P166" s="262"/>
      <c r="Q166" s="262"/>
      <c r="R166" s="262"/>
    </row>
    <row r="167" spans="1:18" ht="25.5" outlineLevel="1">
      <c r="A167" s="247" t="s">
        <v>14415</v>
      </c>
      <c r="B167" s="386">
        <v>93358</v>
      </c>
      <c r="C167" s="386" t="s">
        <v>14476</v>
      </c>
      <c r="D167" s="1314" t="str">
        <f>IFERROR(VLOOKUP($B167,'24.08_ND'!$A$4833:$D$12369,2,0),IFERROR(VLOOKUP($B167,'03-CP'!$C$5:$H$4646,2,0),""))</f>
        <v>ESCAVAÇÃO MANUAL DE VALA COM PROFUNDIDADE MENOR OU IGUAL A 1,30 M. AF_02/2021</v>
      </c>
      <c r="E167" s="1315" t="str">
        <f>IFERROR(VLOOKUP($B167,'24.08_ND'!$A:$D,3,0),IFERROR(VLOOKUP($B167,'03-CP'!$C$5:$H$4646,3,0),""))</f>
        <v>M3</v>
      </c>
      <c r="F167" s="389">
        <v>17</v>
      </c>
      <c r="G167" s="1244"/>
      <c r="H167" s="1244"/>
      <c r="I167" s="1409"/>
      <c r="J167" s="262"/>
      <c r="K167" s="262"/>
      <c r="L167" s="262"/>
      <c r="M167" s="262"/>
      <c r="N167" s="262"/>
      <c r="O167" s="262"/>
      <c r="P167" s="262"/>
      <c r="Q167" s="262"/>
      <c r="R167" s="262"/>
    </row>
    <row r="168" spans="1:18" ht="25.5" outlineLevel="1">
      <c r="A168" s="247" t="s">
        <v>14416</v>
      </c>
      <c r="B168" s="386">
        <v>93382</v>
      </c>
      <c r="C168" s="386" t="s">
        <v>14476</v>
      </c>
      <c r="D168" s="1314" t="str">
        <f>IFERROR(VLOOKUP($B168,'24.08_ND'!$A$4833:$D$12369,2,0),IFERROR(VLOOKUP($B168,'03-CP'!$C$5:$H$4646,2,0),""))</f>
        <v>REATERRO MANUAL DE VALAS, COM COMPACTADOR DE SOLOS DE PERCUSSÃO. AF_08/2023</v>
      </c>
      <c r="E168" s="1315" t="str">
        <f>IFERROR(VLOOKUP($B168,'24.08_ND'!$A:$D,3,0),IFERROR(VLOOKUP($B168,'03-CP'!$C$5:$H$4646,3,0),""))</f>
        <v>M3</v>
      </c>
      <c r="F168" s="389">
        <f>F167*1.1</f>
        <v>18.700000000000003</v>
      </c>
      <c r="G168" s="1244"/>
      <c r="H168" s="1244"/>
      <c r="I168" s="1409"/>
      <c r="J168" s="262"/>
      <c r="K168" s="262"/>
      <c r="L168" s="262"/>
      <c r="M168" s="262"/>
      <c r="N168" s="262"/>
      <c r="O168" s="262"/>
      <c r="P168" s="262"/>
      <c r="Q168" s="262"/>
      <c r="R168" s="262"/>
    </row>
    <row r="169" spans="1:18" ht="25.5" outlineLevel="1">
      <c r="A169" s="247" t="s">
        <v>14417</v>
      </c>
      <c r="B169" s="386">
        <v>91933</v>
      </c>
      <c r="C169" s="386" t="s">
        <v>14476</v>
      </c>
      <c r="D169" s="1314" t="str">
        <f>IFERROR(VLOOKUP($B169,'24.08_ND'!$A$4833:$D$12369,2,0),IFERROR(VLOOKUP($B169,'03-CP'!$C$5:$H$4646,2,0),""))</f>
        <v>CABO DE COBRE FLEXÍVEL ISOLADO, 10 MM², ANTI-CHAMA 0,6/1,0 KV, PARA CIRCUITOS TERMINAIS - FORNECIMENTO E INSTALAÇÃO. AF_03/2023</v>
      </c>
      <c r="E169" s="1315" t="str">
        <f>IFERROR(VLOOKUP($B169,'24.08_ND'!$A:$D,3,0),IFERROR(VLOOKUP($B169,'03-CP'!$C$5:$H$4646,3,0),""))</f>
        <v>M</v>
      </c>
      <c r="F169" s="389">
        <v>500</v>
      </c>
      <c r="G169" s="1244"/>
      <c r="H169" s="1244"/>
      <c r="I169" s="1409"/>
      <c r="J169" s="262"/>
      <c r="K169" s="262"/>
      <c r="L169" s="262"/>
      <c r="M169" s="262"/>
      <c r="N169" s="262"/>
      <c r="O169" s="262"/>
      <c r="P169" s="262"/>
      <c r="Q169" s="262"/>
      <c r="R169" s="262"/>
    </row>
    <row r="170" spans="1:18" ht="25.5" outlineLevel="1">
      <c r="A170" s="247" t="s">
        <v>14418</v>
      </c>
      <c r="B170" s="386">
        <v>93665</v>
      </c>
      <c r="C170" s="386" t="s">
        <v>14476</v>
      </c>
      <c r="D170" s="1314" t="str">
        <f>IFERROR(VLOOKUP($B170,'24.08_ND'!$A$4833:$D$12369,2,0),IFERROR(VLOOKUP($B170,'03-CP'!$C$5:$H$4646,2,0),""))</f>
        <v>DISJUNTOR BIPOLAR TIPO DIN, CORRENTE NOMINAL DE 40A - FORNECIMENTO E INSTALAÇÃO. AF_10/2020</v>
      </c>
      <c r="E170" s="1315" t="str">
        <f>IFERROR(VLOOKUP($B170,'24.08_ND'!$A:$D,3,0),IFERROR(VLOOKUP($B170,'03-CP'!$C$5:$H$4646,3,0),""))</f>
        <v>UN</v>
      </c>
      <c r="F170" s="389">
        <v>1</v>
      </c>
      <c r="G170" s="1244"/>
      <c r="H170" s="1244"/>
      <c r="I170" s="1409"/>
      <c r="J170" s="262"/>
      <c r="K170" s="262"/>
      <c r="L170" s="262"/>
      <c r="M170" s="262"/>
      <c r="N170" s="262"/>
      <c r="O170" s="262"/>
      <c r="P170" s="262"/>
      <c r="Q170" s="262"/>
      <c r="R170" s="262"/>
    </row>
    <row r="171" spans="1:18" ht="25.5" outlineLevel="1">
      <c r="A171" s="247" t="s">
        <v>14419</v>
      </c>
      <c r="B171" s="386" t="s">
        <v>15272</v>
      </c>
      <c r="C171" s="386" t="s">
        <v>14472</v>
      </c>
      <c r="D171" s="1314" t="str">
        <f>IFERROR(VLOOKUP($B171,'24.08_ND'!$A$4833:$D$12369,2,0),IFERROR(VLOOKUP($B171,'03-CP'!$C$5:$H$4646,2,0),""))</f>
        <v>DISPOSITIVO DE PROTEÇÃO CONTRA SURTOS(DPS) 275V DE 8 A 40KA – FORNECIMENTO E INSTALAÇÃO</v>
      </c>
      <c r="E171" s="1315" t="str">
        <f>IFERROR(VLOOKUP($B171,'24.08_ND'!$A:$D,3,0),IFERROR(VLOOKUP($B171,'03-CP'!$C$5:$H$4646,3,0),""))</f>
        <v>UN</v>
      </c>
      <c r="F171" s="389">
        <v>2</v>
      </c>
      <c r="G171" s="1244"/>
      <c r="H171" s="1244"/>
      <c r="I171" s="1409"/>
      <c r="J171" s="262"/>
      <c r="K171" s="262"/>
      <c r="L171" s="262"/>
      <c r="M171" s="262"/>
      <c r="N171" s="262"/>
      <c r="O171" s="262"/>
      <c r="P171" s="262"/>
      <c r="Q171" s="262"/>
      <c r="R171" s="262"/>
    </row>
    <row r="172" spans="1:18" ht="89.25" outlineLevel="1">
      <c r="A172" s="247" t="s">
        <v>14420</v>
      </c>
      <c r="B172" s="386" t="s">
        <v>15326</v>
      </c>
      <c r="C172" s="386" t="s">
        <v>14472</v>
      </c>
      <c r="D172" s="1314" t="str">
        <f>IFERROR(VLOOKUP($B172,'24.08_ND'!$A$4833:$D$12369,2,0),IFERROR(VLOOKUP($B172,'03-CP'!$C$5:$H$4646,2,0),""))</f>
        <v>MURETA EM ALVENARIA DE BLOCO DE CONCRETO ESTRUTURAL 19X19X39, APOIADA EM LASTRO DE CONCRETO MAGRO ESP=5CM A 40CM DE PROFUNDIDADE, BALDRAME E CINTA DE RESPALDO COM UTILIZAÇÃO DE BLOCOS CANALETA DE CONCRETO 19X19X39, TRAVAMENTO COM AÇO CA50 DN 8MMM, PREENCHIMENTO CONCRETO FCK = 15MPA, INCLUSO ACABAMENTO CHAPISCO/ EMBOÇO/ MASSA ACRÍLICA/ SELADOR ACRÍLICO/ TINTA LÁTEX ACRÍLICA</v>
      </c>
      <c r="E172" s="1315" t="str">
        <f>IFERROR(VLOOKUP($B172,'24.08_ND'!$A:$D,3,0),IFERROR(VLOOKUP($B172,'03-CP'!$C$5:$H$4646,3,0),""))</f>
        <v>M²</v>
      </c>
      <c r="F172" s="389">
        <v>2.6</v>
      </c>
      <c r="G172" s="1244"/>
      <c r="H172" s="1244"/>
      <c r="I172" s="1409"/>
      <c r="J172" s="262"/>
      <c r="K172" s="262"/>
      <c r="L172" s="262"/>
      <c r="M172" s="262"/>
      <c r="N172" s="262"/>
      <c r="O172" s="262"/>
      <c r="P172" s="262"/>
      <c r="Q172" s="262"/>
      <c r="R172" s="262"/>
    </row>
    <row r="173" spans="1:18" ht="38.25" outlineLevel="1">
      <c r="A173" s="247" t="s">
        <v>14421</v>
      </c>
      <c r="B173" s="386" t="s">
        <v>15323</v>
      </c>
      <c r="C173" s="386" t="s">
        <v>14472</v>
      </c>
      <c r="D173" s="1314" t="str">
        <f>IFERROR(VLOOKUP($B173,'24.08_ND'!$A$4833:$D$12369,2,0),IFERROR(VLOOKUP($B173,'03-CP'!$C$5:$H$4646,2,0),""))</f>
        <v>QUADRO DE COMANDO ELÉTRICO, CAIXA EM CHAPA METÁLICA GALVANIZADA 60X50X30 COM TRILHO PARA DISJUNTOR DIN – FORNECIMENTO E INSTALAÇÃO</v>
      </c>
      <c r="E173" s="1315" t="str">
        <f>IFERROR(VLOOKUP($B173,'24.08_ND'!$A:$D,3,0),IFERROR(VLOOKUP($B173,'03-CP'!$C$5:$H$4646,3,0),""))</f>
        <v>UN</v>
      </c>
      <c r="F173" s="389">
        <v>1</v>
      </c>
      <c r="G173" s="1244"/>
      <c r="H173" s="1244"/>
      <c r="I173" s="1409"/>
      <c r="J173" s="262"/>
      <c r="K173" s="262"/>
      <c r="L173" s="262"/>
      <c r="M173" s="262"/>
      <c r="N173" s="262"/>
      <c r="O173" s="262"/>
      <c r="P173" s="262"/>
      <c r="Q173" s="262"/>
      <c r="R173" s="262"/>
    </row>
    <row r="174" spans="1:18" ht="25.5" outlineLevel="1">
      <c r="A174" s="247" t="s">
        <v>14422</v>
      </c>
      <c r="B174" s="386">
        <v>96985</v>
      </c>
      <c r="C174" s="386" t="s">
        <v>14476</v>
      </c>
      <c r="D174" s="1314" t="str">
        <f>IFERROR(VLOOKUP($B174,'24.08_ND'!$A$4833:$D$12369,2,0),IFERROR(VLOOKUP($B174,'03-CP'!$C$5:$H$4646,2,0),""))</f>
        <v>HASTE DE ATERRAMENTO, DIÂMETRO 5/8", COM 3 METROS - FORNECIMENTO E INSTALAÇÃO. AF_08/2023</v>
      </c>
      <c r="E174" s="1315" t="str">
        <f>IFERROR(VLOOKUP($B174,'24.08_ND'!$A:$D,3,0),IFERROR(VLOOKUP($B174,'03-CP'!$C$5:$H$4646,3,0),""))</f>
        <v>UN</v>
      </c>
      <c r="F174" s="389">
        <v>3</v>
      </c>
      <c r="G174" s="1244"/>
      <c r="H174" s="1244"/>
      <c r="I174" s="1409"/>
      <c r="J174" s="262"/>
      <c r="K174" s="262"/>
      <c r="L174" s="262"/>
      <c r="M174" s="262"/>
      <c r="N174" s="262"/>
      <c r="O174" s="262"/>
      <c r="P174" s="262"/>
      <c r="Q174" s="262"/>
      <c r="R174" s="262"/>
    </row>
    <row r="175" spans="1:18" ht="38.25" outlineLevel="1">
      <c r="A175" s="247" t="s">
        <v>14423</v>
      </c>
      <c r="B175" s="386">
        <v>104750</v>
      </c>
      <c r="C175" s="386" t="s">
        <v>14476</v>
      </c>
      <c r="D175" s="1314" t="str">
        <f>IFERROR(VLOOKUP($B175,'24.08_ND'!$A$4833:$D$12369,2,0),IFERROR(VLOOKUP($B175,'03-CP'!$C$5:$H$4646,2,0),""))</f>
        <v>CONECTOR GRAMPO METÁLICO TIPO OLHAL, PARA SPDA, PARA HASTE DE ATERRAMENTO DE 5/8'' E CABOS DE 10 A 50 MM2 - FORNECIMENTO E INSTALAÇÃO. AF_08/2023</v>
      </c>
      <c r="E175" s="1315" t="str">
        <f>IFERROR(VLOOKUP($B175,'24.08_ND'!$A:$D,3,0),IFERROR(VLOOKUP($B175,'03-CP'!$C$5:$H$4646,3,0),""))</f>
        <v>UN</v>
      </c>
      <c r="F175" s="389">
        <v>4</v>
      </c>
      <c r="G175" s="1244"/>
      <c r="H175" s="1244"/>
      <c r="I175" s="1409"/>
      <c r="J175" s="262"/>
      <c r="K175" s="262"/>
      <c r="L175" s="262"/>
      <c r="M175" s="262"/>
      <c r="N175" s="262"/>
      <c r="O175" s="262"/>
      <c r="P175" s="262"/>
      <c r="Q175" s="262"/>
      <c r="R175" s="262"/>
    </row>
    <row r="176" spans="1:18" ht="25.5" outlineLevel="1">
      <c r="A176" s="247" t="s">
        <v>14424</v>
      </c>
      <c r="B176" s="386" t="s">
        <v>15228</v>
      </c>
      <c r="C176" s="386" t="s">
        <v>14472</v>
      </c>
      <c r="D176" s="1314" t="str">
        <f>IFERROR(VLOOKUP($B176,'24.08_ND'!$A$4833:$D$12369,2,0),IFERROR(VLOOKUP($B176,'03-CP'!$C$5:$H$4646,2,0),""))</f>
        <v>CABO DE COBRE NÚ 50MM² PARA ATERRAMENTO DE QUADRO OU POSTE - FORNECIMENTO E INSTALAÇÃO</v>
      </c>
      <c r="E176" s="1315" t="str">
        <f>IFERROR(VLOOKUP($B176,'24.08_ND'!$A:$D,3,0),IFERROR(VLOOKUP($B176,'03-CP'!$C$5:$H$4646,3,0),""))</f>
        <v>M</v>
      </c>
      <c r="F176" s="389">
        <v>6</v>
      </c>
      <c r="G176" s="1244"/>
      <c r="H176" s="1244"/>
      <c r="I176" s="1409"/>
      <c r="J176" s="262"/>
      <c r="K176" s="262"/>
      <c r="L176" s="262"/>
      <c r="M176" s="262"/>
      <c r="N176" s="262"/>
      <c r="O176" s="262"/>
      <c r="P176" s="262"/>
      <c r="Q176" s="262"/>
      <c r="R176" s="262"/>
    </row>
    <row r="177" spans="1:18" ht="25.5" outlineLevel="1">
      <c r="A177" s="247" t="s">
        <v>14425</v>
      </c>
      <c r="B177" s="386" t="s">
        <v>15159</v>
      </c>
      <c r="C177" s="386" t="s">
        <v>14472</v>
      </c>
      <c r="D177" s="1314" t="str">
        <f>IFERROR(VLOOKUP($B177,'24.08_ND'!$A$4833:$D$12369,2,0),IFERROR(VLOOKUP($B177,'03-CP'!$C$5:$H$4646,2,0),""))</f>
        <v>PLACA DE SINALIZAÇÃO, FOTOLUMINESCENTE, EM PVC, COM LOGOTIPO "CUIDADO RISCO DE CHOQUE ELÉTRICO"- FORNECIMENTO E INSTALAÇÃO</v>
      </c>
      <c r="E177" s="1315" t="str">
        <f>IFERROR(VLOOKUP($B177,'24.08_ND'!$A:$D,3,0),IFERROR(VLOOKUP($B177,'03-CP'!$C$5:$H$4646,3,0),""))</f>
        <v>UN</v>
      </c>
      <c r="F177" s="389">
        <v>1</v>
      </c>
      <c r="G177" s="1244"/>
      <c r="H177" s="1244"/>
      <c r="I177" s="1409"/>
      <c r="J177" s="262"/>
      <c r="K177" s="262"/>
      <c r="L177" s="262"/>
      <c r="M177" s="262"/>
      <c r="N177" s="262"/>
      <c r="O177" s="262"/>
      <c r="P177" s="262"/>
      <c r="Q177" s="262"/>
      <c r="R177" s="262"/>
    </row>
    <row r="178" spans="1:18" ht="12.75">
      <c r="A178" s="250" t="s">
        <v>14426</v>
      </c>
      <c r="B178" s="1309"/>
      <c r="C178" s="1497"/>
      <c r="D178" s="237" t="s">
        <v>16576</v>
      </c>
      <c r="E178" s="234"/>
      <c r="F178" s="1311"/>
      <c r="G178" s="236"/>
      <c r="H178" s="236"/>
      <c r="I178" s="1499"/>
      <c r="J178" s="262"/>
      <c r="K178" s="262"/>
      <c r="L178" s="262"/>
      <c r="M178" s="262"/>
      <c r="N178" s="262"/>
      <c r="O178" s="262"/>
      <c r="P178" s="262"/>
      <c r="Q178" s="262"/>
      <c r="R178" s="262"/>
    </row>
    <row r="179" spans="1:18" ht="25.5" outlineLevel="1">
      <c r="A179" s="247" t="s">
        <v>14427</v>
      </c>
      <c r="B179" s="386">
        <v>97881</v>
      </c>
      <c r="C179" s="386" t="s">
        <v>14476</v>
      </c>
      <c r="D179" s="1314" t="str">
        <f>IFERROR(VLOOKUP($B179,'24.08_ND'!$A$4833:$D$12369,2,0),IFERROR(VLOOKUP($B179,'03-CP'!$C$5:$H$4646,2,0),""))</f>
        <v>CAIXA ENTERRADA ELÉTRICA RETANGULAR, EM CONCRETO PRÉ-MOLDADO, FUNDO COM BRITA, DIMENSÕES INTERNAS: 0,3X0,3X0,3 M. AF_12/2020</v>
      </c>
      <c r="E179" s="1315" t="str">
        <f>IFERROR(VLOOKUP($B179,'24.08_ND'!$A:$D,3,0),IFERROR(VLOOKUP($B179,'03-CP'!$C$5:$H$4646,3,0),""))</f>
        <v>UN</v>
      </c>
      <c r="F179" s="389">
        <v>3</v>
      </c>
      <c r="G179" s="1244"/>
      <c r="H179" s="1244"/>
      <c r="I179" s="1409"/>
      <c r="J179" s="262"/>
      <c r="K179" s="262"/>
      <c r="L179" s="262"/>
      <c r="M179" s="262"/>
      <c r="N179" s="262"/>
      <c r="O179" s="262"/>
      <c r="P179" s="262"/>
      <c r="Q179" s="262"/>
      <c r="R179" s="262"/>
    </row>
    <row r="180" spans="1:18" ht="38.25" outlineLevel="1">
      <c r="A180" s="247" t="s">
        <v>14428</v>
      </c>
      <c r="B180" s="386">
        <v>97668</v>
      </c>
      <c r="C180" s="386" t="s">
        <v>14476</v>
      </c>
      <c r="D180" s="1314" t="str">
        <f>IFERROR(VLOOKUP($B180,'24.08_ND'!$A$4833:$D$12369,2,0),IFERROR(VLOOKUP($B180,'03-CP'!$C$5:$H$4646,2,0),""))</f>
        <v>ELETRODUTO FLEXÍVEL CORRUGADO, PEAD, DN 63 (2"), PARA REDE ENTERRADA DE DISTRIBUIÇÃO DE ENERGIA ELÉTRICA - FORNECIMENTO E INSTALAÇÃO. AF_12/2021</v>
      </c>
      <c r="E180" s="1315" t="str">
        <f>IFERROR(VLOOKUP($B180,'24.08_ND'!$A:$D,3,0),IFERROR(VLOOKUP($B180,'03-CP'!$C$5:$H$4646,3,0),""))</f>
        <v>M</v>
      </c>
      <c r="F180" s="389">
        <v>39</v>
      </c>
      <c r="G180" s="1244"/>
      <c r="H180" s="1244"/>
      <c r="I180" s="1409"/>
      <c r="J180" s="262"/>
      <c r="K180" s="262"/>
      <c r="L180" s="262"/>
      <c r="M180" s="262"/>
      <c r="N180" s="262"/>
      <c r="O180" s="262"/>
      <c r="P180" s="262"/>
      <c r="Q180" s="262"/>
      <c r="R180" s="262"/>
    </row>
    <row r="181" spans="1:18" ht="25.5" outlineLevel="1">
      <c r="A181" s="247" t="s">
        <v>14429</v>
      </c>
      <c r="B181" s="386">
        <v>93358</v>
      </c>
      <c r="C181" s="386" t="s">
        <v>14476</v>
      </c>
      <c r="D181" s="1314" t="str">
        <f>IFERROR(VLOOKUP($B181,'24.08_ND'!$A$4833:$D$12369,2,0),IFERROR(VLOOKUP($B181,'03-CP'!$C$5:$H$4646,2,0),""))</f>
        <v>ESCAVAÇÃO MANUAL DE VALA COM PROFUNDIDADE MENOR OU IGUAL A 1,30 M. AF_02/2021</v>
      </c>
      <c r="E181" s="1315" t="str">
        <f>IFERROR(VLOOKUP($B181,'24.08_ND'!$A:$D,3,0),IFERROR(VLOOKUP($B181,'03-CP'!$C$5:$H$4646,3,0),""))</f>
        <v>M3</v>
      </c>
      <c r="F181" s="389">
        <v>3.9</v>
      </c>
      <c r="G181" s="1244"/>
      <c r="H181" s="1244"/>
      <c r="I181" s="1409"/>
      <c r="J181" s="262"/>
      <c r="K181" s="262"/>
      <c r="L181" s="262"/>
      <c r="M181" s="262"/>
      <c r="N181" s="262"/>
      <c r="O181" s="262"/>
      <c r="P181" s="262"/>
      <c r="Q181" s="262"/>
      <c r="R181" s="262"/>
    </row>
    <row r="182" spans="1:18" ht="25.5" outlineLevel="1">
      <c r="A182" s="247" t="s">
        <v>14430</v>
      </c>
      <c r="B182" s="386">
        <v>93382</v>
      </c>
      <c r="C182" s="386" t="s">
        <v>14476</v>
      </c>
      <c r="D182" s="1314" t="str">
        <f>IFERROR(VLOOKUP($B182,'24.08_ND'!$A$4833:$D$12369,2,0),IFERROR(VLOOKUP($B182,'03-CP'!$C$5:$H$4646,2,0),""))</f>
        <v>REATERRO MANUAL DE VALAS, COM COMPACTADOR DE SOLOS DE PERCUSSÃO. AF_08/2023</v>
      </c>
      <c r="E182" s="1315" t="str">
        <f>IFERROR(VLOOKUP($B182,'24.08_ND'!$A:$D,3,0),IFERROR(VLOOKUP($B182,'03-CP'!$C$5:$H$4646,3,0),""))</f>
        <v>M3</v>
      </c>
      <c r="F182" s="389">
        <f>F181*1.1</f>
        <v>4.29</v>
      </c>
      <c r="G182" s="1244"/>
      <c r="H182" s="1244"/>
      <c r="I182" s="1409"/>
      <c r="J182" s="262"/>
      <c r="K182" s="262"/>
      <c r="L182" s="262"/>
      <c r="M182" s="262"/>
      <c r="N182" s="262"/>
      <c r="O182" s="262"/>
      <c r="P182" s="262"/>
      <c r="Q182" s="262"/>
      <c r="R182" s="262"/>
    </row>
    <row r="183" spans="1:18" ht="25.5" outlineLevel="1">
      <c r="A183" s="247" t="s">
        <v>14431</v>
      </c>
      <c r="B183" s="386">
        <v>91928</v>
      </c>
      <c r="C183" s="386" t="s">
        <v>14476</v>
      </c>
      <c r="D183" s="1314" t="str">
        <f>IFERROR(VLOOKUP($B183,'24.08_ND'!$A$4833:$D$12369,2,0),IFERROR(VLOOKUP($B183,'03-CP'!$C$5:$H$4646,2,0),""))</f>
        <v>CABO DE COBRE FLEXÍVEL ISOLADO, 4 MM², ANTI-CHAMA 450/750 V, PARA CIRCUITOS TERMINAIS - FORNECIMENTO E INSTALAÇÃO. AF_03/2023</v>
      </c>
      <c r="E183" s="1315" t="str">
        <f>IFERROR(VLOOKUP($B183,'24.08_ND'!$A:$D,3,0),IFERROR(VLOOKUP($B183,'03-CP'!$C$5:$H$4646,3,0),""))</f>
        <v>M</v>
      </c>
      <c r="F183" s="389">
        <v>575</v>
      </c>
      <c r="G183" s="1244"/>
      <c r="H183" s="1244"/>
      <c r="I183" s="1409"/>
      <c r="J183" s="262"/>
      <c r="K183" s="262"/>
      <c r="L183" s="262"/>
      <c r="M183" s="262"/>
      <c r="N183" s="262"/>
      <c r="O183" s="262"/>
      <c r="P183" s="262"/>
      <c r="Q183" s="262"/>
      <c r="R183" s="262"/>
    </row>
    <row r="184" spans="1:18" ht="25.5" outlineLevel="1">
      <c r="A184" s="247" t="s">
        <v>14432</v>
      </c>
      <c r="B184" s="386">
        <v>93654</v>
      </c>
      <c r="C184" s="386" t="s">
        <v>14476</v>
      </c>
      <c r="D184" s="1314" t="str">
        <f>IFERROR(VLOOKUP($B184,'24.08_ND'!$A$4833:$D$12369,2,0),IFERROR(VLOOKUP($B184,'03-CP'!$C$5:$H$4646,2,0),""))</f>
        <v>DISJUNTOR MONOPOLAR TIPO DIN, CORRENTE NOMINAL DE 16A - FORNECIMENTO E INSTALAÇÃO. AF_10/2020</v>
      </c>
      <c r="E184" s="1315" t="str">
        <f>IFERROR(VLOOKUP($B184,'24.08_ND'!$A:$D,3,0),IFERROR(VLOOKUP($B184,'03-CP'!$C$5:$H$4646,3,0),""))</f>
        <v>UN</v>
      </c>
      <c r="F184" s="389">
        <v>6</v>
      </c>
      <c r="G184" s="1244"/>
      <c r="H184" s="1244"/>
      <c r="I184" s="1409"/>
      <c r="J184" s="262"/>
      <c r="K184" s="262"/>
      <c r="L184" s="262"/>
      <c r="M184" s="262"/>
      <c r="N184" s="262"/>
      <c r="O184" s="262"/>
      <c r="P184" s="262"/>
      <c r="Q184" s="262"/>
      <c r="R184" s="262"/>
    </row>
    <row r="185" spans="1:18" ht="12.75">
      <c r="A185" s="250" t="s">
        <v>14433</v>
      </c>
      <c r="B185" s="1309"/>
      <c r="C185" s="1497"/>
      <c r="D185" s="237" t="s">
        <v>16577</v>
      </c>
      <c r="E185" s="234"/>
      <c r="F185" s="1311"/>
      <c r="G185" s="236"/>
      <c r="H185" s="236"/>
      <c r="I185" s="1499"/>
      <c r="J185" s="262"/>
      <c r="K185" s="262"/>
      <c r="L185" s="262"/>
      <c r="M185" s="262"/>
      <c r="N185" s="262"/>
      <c r="O185" s="262"/>
      <c r="P185" s="262"/>
      <c r="Q185" s="262"/>
      <c r="R185" s="262"/>
    </row>
    <row r="186" spans="1:18" ht="25.5" outlineLevel="1">
      <c r="A186" s="247" t="s">
        <v>14434</v>
      </c>
      <c r="B186" s="386">
        <v>97881</v>
      </c>
      <c r="C186" s="386" t="s">
        <v>14476</v>
      </c>
      <c r="D186" s="1314" t="str">
        <f>IFERROR(VLOOKUP($B186,'24.08_ND'!$A$4833:$D$12369,2,0),IFERROR(VLOOKUP($B186,'03-CP'!$C$5:$H$4646,2,0),""))</f>
        <v>CAIXA ENTERRADA ELÉTRICA RETANGULAR, EM CONCRETO PRÉ-MOLDADO, FUNDO COM BRITA, DIMENSÕES INTERNAS: 0,3X0,3X0,3 M. AF_12/2020</v>
      </c>
      <c r="E186" s="1315" t="str">
        <f>IFERROR(VLOOKUP($B186,'24.08_ND'!$A:$D,3,0),IFERROR(VLOOKUP($B186,'03-CP'!$C$5:$H$4646,3,0),""))</f>
        <v>UN</v>
      </c>
      <c r="F186" s="389">
        <v>5</v>
      </c>
      <c r="G186" s="1244"/>
      <c r="H186" s="1244"/>
      <c r="I186" s="1409"/>
      <c r="J186" s="262"/>
      <c r="K186" s="262"/>
      <c r="L186" s="262"/>
      <c r="M186" s="262"/>
      <c r="N186" s="262"/>
      <c r="O186" s="262"/>
      <c r="P186" s="262"/>
      <c r="Q186" s="262"/>
      <c r="R186" s="262"/>
    </row>
    <row r="187" spans="1:18" ht="38.25" outlineLevel="1">
      <c r="A187" s="247" t="s">
        <v>14435</v>
      </c>
      <c r="B187" s="386">
        <v>97668</v>
      </c>
      <c r="C187" s="386" t="s">
        <v>14476</v>
      </c>
      <c r="D187" s="1314" t="str">
        <f>IFERROR(VLOOKUP($B187,'24.08_ND'!$A$4833:$D$12369,2,0),IFERROR(VLOOKUP($B187,'03-CP'!$C$5:$H$4646,2,0),""))</f>
        <v>ELETRODUTO FLEXÍVEL CORRUGADO, PEAD, DN 63 (2"), PARA REDE ENTERRADA DE DISTRIBUIÇÃO DE ENERGIA ELÉTRICA - FORNECIMENTO E INSTALAÇÃO. AF_12/2021</v>
      </c>
      <c r="E187" s="1315" t="str">
        <f>IFERROR(VLOOKUP($B187,'24.08_ND'!$A:$D,3,0),IFERROR(VLOOKUP($B187,'03-CP'!$C$5:$H$4646,3,0),""))</f>
        <v>M</v>
      </c>
      <c r="F187" s="389">
        <v>55</v>
      </c>
      <c r="G187" s="1244"/>
      <c r="H187" s="1244"/>
      <c r="I187" s="1409"/>
      <c r="J187" s="262"/>
      <c r="K187" s="262"/>
      <c r="L187" s="262"/>
      <c r="M187" s="262"/>
      <c r="N187" s="262"/>
      <c r="O187" s="262"/>
      <c r="P187" s="262"/>
      <c r="Q187" s="262"/>
      <c r="R187" s="262"/>
    </row>
    <row r="188" spans="1:18" ht="25.5" outlineLevel="1">
      <c r="A188" s="247" t="s">
        <v>14436</v>
      </c>
      <c r="B188" s="386">
        <v>93358</v>
      </c>
      <c r="C188" s="386" t="s">
        <v>14476</v>
      </c>
      <c r="D188" s="1314" t="str">
        <f>IFERROR(VLOOKUP($B188,'24.08_ND'!$A$4833:$D$12369,2,0),IFERROR(VLOOKUP($B188,'03-CP'!$C$5:$H$4646,2,0),""))</f>
        <v>ESCAVAÇÃO MANUAL DE VALA COM PROFUNDIDADE MENOR OU IGUAL A 1,30 M. AF_02/2021</v>
      </c>
      <c r="E188" s="1315" t="str">
        <f>IFERROR(VLOOKUP($B188,'24.08_ND'!$A:$D,3,0),IFERROR(VLOOKUP($B188,'03-CP'!$C$5:$H$4646,3,0),""))</f>
        <v>M3</v>
      </c>
      <c r="F188" s="389">
        <v>5.5</v>
      </c>
      <c r="G188" s="1244"/>
      <c r="H188" s="1244"/>
      <c r="I188" s="1409"/>
      <c r="J188" s="262"/>
      <c r="K188" s="262"/>
      <c r="L188" s="262"/>
      <c r="M188" s="262"/>
      <c r="N188" s="262"/>
      <c r="O188" s="262"/>
      <c r="P188" s="262"/>
      <c r="Q188" s="262"/>
      <c r="R188" s="262"/>
    </row>
    <row r="189" spans="1:18" ht="25.5" outlineLevel="1">
      <c r="A189" s="247" t="s">
        <v>14437</v>
      </c>
      <c r="B189" s="386">
        <v>93382</v>
      </c>
      <c r="C189" s="386" t="s">
        <v>14476</v>
      </c>
      <c r="D189" s="1314" t="str">
        <f>IFERROR(VLOOKUP($B189,'24.08_ND'!$A$4833:$D$12369,2,0),IFERROR(VLOOKUP($B189,'03-CP'!$C$5:$H$4646,2,0),""))</f>
        <v>REATERRO MANUAL DE VALAS, COM COMPACTADOR DE SOLOS DE PERCUSSÃO. AF_08/2023</v>
      </c>
      <c r="E189" s="1315" t="str">
        <f>IFERROR(VLOOKUP($B189,'24.08_ND'!$A:$D,3,0),IFERROR(VLOOKUP($B189,'03-CP'!$C$5:$H$4646,3,0),""))</f>
        <v>M3</v>
      </c>
      <c r="F189" s="389">
        <f>F188*1.1</f>
        <v>6.0500000000000007</v>
      </c>
      <c r="G189" s="1244"/>
      <c r="H189" s="1244"/>
      <c r="I189" s="1409"/>
      <c r="J189" s="262"/>
      <c r="K189" s="262"/>
      <c r="L189" s="262"/>
      <c r="M189" s="262"/>
      <c r="N189" s="262"/>
      <c r="O189" s="262"/>
      <c r="P189" s="262"/>
      <c r="Q189" s="262"/>
      <c r="R189" s="262"/>
    </row>
    <row r="190" spans="1:18" ht="25.5" outlineLevel="1">
      <c r="A190" s="247" t="s">
        <v>14438</v>
      </c>
      <c r="B190" s="386">
        <v>91928</v>
      </c>
      <c r="C190" s="386" t="s">
        <v>14476</v>
      </c>
      <c r="D190" s="1314" t="str">
        <f>IFERROR(VLOOKUP($B190,'24.08_ND'!$A$4833:$D$12369,2,0),IFERROR(VLOOKUP($B190,'03-CP'!$C$5:$H$4646,2,0),""))</f>
        <v>CABO DE COBRE FLEXÍVEL ISOLADO, 4 MM², ANTI-CHAMA 450/750 V, PARA CIRCUITOS TERMINAIS - FORNECIMENTO E INSTALAÇÃO. AF_03/2023</v>
      </c>
      <c r="E190" s="1315" t="str">
        <f>IFERROR(VLOOKUP($B190,'24.08_ND'!$A:$D,3,0),IFERROR(VLOOKUP($B190,'03-CP'!$C$5:$H$4646,3,0),""))</f>
        <v>M</v>
      </c>
      <c r="F190" s="389">
        <v>670</v>
      </c>
      <c r="G190" s="1244"/>
      <c r="H190" s="1244"/>
      <c r="I190" s="1409"/>
      <c r="J190" s="262"/>
      <c r="K190" s="262"/>
      <c r="L190" s="262"/>
      <c r="M190" s="262"/>
      <c r="N190" s="262"/>
      <c r="O190" s="262"/>
      <c r="P190" s="262"/>
      <c r="Q190" s="262"/>
      <c r="R190" s="262"/>
    </row>
    <row r="191" spans="1:18" ht="25.5" outlineLevel="1">
      <c r="A191" s="247" t="s">
        <v>14439</v>
      </c>
      <c r="B191" s="386">
        <v>91933</v>
      </c>
      <c r="C191" s="386" t="s">
        <v>14476</v>
      </c>
      <c r="D191" s="1314" t="str">
        <f>IFERROR(VLOOKUP($B191,'24.08_ND'!$A$4833:$D$12369,2,0),IFERROR(VLOOKUP($B191,'03-CP'!$C$5:$H$4646,2,0),""))</f>
        <v>CABO DE COBRE FLEXÍVEL ISOLADO, 10 MM², ANTI-CHAMA 0,6/1,0 KV, PARA CIRCUITOS TERMINAIS - FORNECIMENTO E INSTALAÇÃO. AF_03/2023</v>
      </c>
      <c r="E191" s="1315" t="str">
        <f>IFERROR(VLOOKUP($B191,'24.08_ND'!$A:$D,3,0),IFERROR(VLOOKUP($B191,'03-CP'!$C$5:$H$4646,3,0),""))</f>
        <v>M</v>
      </c>
      <c r="F191" s="389">
        <v>70</v>
      </c>
      <c r="G191" s="1244"/>
      <c r="H191" s="1244"/>
      <c r="I191" s="1409"/>
      <c r="J191" s="262"/>
      <c r="K191" s="262"/>
      <c r="L191" s="262"/>
      <c r="M191" s="262"/>
      <c r="N191" s="262"/>
      <c r="O191" s="262"/>
      <c r="P191" s="262"/>
      <c r="Q191" s="262"/>
      <c r="R191" s="262"/>
    </row>
    <row r="192" spans="1:18" ht="25.5" outlineLevel="1">
      <c r="A192" s="247" t="s">
        <v>14440</v>
      </c>
      <c r="B192" s="386">
        <v>93654</v>
      </c>
      <c r="C192" s="386" t="s">
        <v>14476</v>
      </c>
      <c r="D192" s="1314" t="str">
        <f>IFERROR(VLOOKUP($B192,'24.08_ND'!$A$4833:$D$12369,2,0),IFERROR(VLOOKUP($B192,'03-CP'!$C$5:$H$4646,2,0),""))</f>
        <v>DISJUNTOR MONOPOLAR TIPO DIN, CORRENTE NOMINAL DE 16A - FORNECIMENTO E INSTALAÇÃO. AF_10/2020</v>
      </c>
      <c r="E192" s="1315" t="str">
        <f>IFERROR(VLOOKUP($B192,'24.08_ND'!$A:$D,3,0),IFERROR(VLOOKUP($B192,'03-CP'!$C$5:$H$4646,3,0),""))</f>
        <v>UN</v>
      </c>
      <c r="F192" s="389">
        <v>10</v>
      </c>
      <c r="G192" s="1244"/>
      <c r="H192" s="1244"/>
      <c r="I192" s="1409"/>
      <c r="J192" s="262"/>
      <c r="K192" s="262"/>
      <c r="L192" s="262"/>
      <c r="M192" s="262"/>
      <c r="N192" s="262"/>
      <c r="O192" s="262"/>
      <c r="P192" s="262"/>
      <c r="Q192" s="262"/>
      <c r="R192" s="262"/>
    </row>
    <row r="193" spans="1:18" ht="25.5" outlineLevel="1">
      <c r="A193" s="247" t="s">
        <v>14441</v>
      </c>
      <c r="B193" s="386">
        <v>93673</v>
      </c>
      <c r="C193" s="386" t="s">
        <v>14476</v>
      </c>
      <c r="D193" s="1314" t="str">
        <f>IFERROR(VLOOKUP($B193,'24.08_ND'!$A$4833:$D$12369,2,0),IFERROR(VLOOKUP($B193,'03-CP'!$C$5:$H$4646,2,0),""))</f>
        <v>DISJUNTOR TRIPOLAR TIPO DIN, CORRENTE NOMINAL DE 50A - FORNECIMENTO E INSTALAÇÃO. AF_10/2020</v>
      </c>
      <c r="E193" s="1315" t="str">
        <f>IFERROR(VLOOKUP($B193,'24.08_ND'!$A:$D,3,0),IFERROR(VLOOKUP($B193,'03-CP'!$C$5:$H$4646,3,0),""))</f>
        <v>UN</v>
      </c>
      <c r="F193" s="389">
        <v>1</v>
      </c>
      <c r="G193" s="1244"/>
      <c r="H193" s="1244"/>
      <c r="I193" s="1409"/>
      <c r="J193" s="262"/>
      <c r="K193" s="262"/>
      <c r="L193" s="262"/>
      <c r="M193" s="262"/>
      <c r="N193" s="262"/>
      <c r="O193" s="262"/>
      <c r="P193" s="262"/>
      <c r="Q193" s="262"/>
      <c r="R193" s="262"/>
    </row>
    <row r="194" spans="1:18" ht="25.5" outlineLevel="1">
      <c r="A194" s="247" t="s">
        <v>14442</v>
      </c>
      <c r="B194" s="386" t="s">
        <v>15272</v>
      </c>
      <c r="C194" s="386" t="s">
        <v>14472</v>
      </c>
      <c r="D194" s="1314" t="str">
        <f>IFERROR(VLOOKUP($B194,'24.08_ND'!$A$4833:$D$12369,2,0),IFERROR(VLOOKUP($B194,'03-CP'!$C$5:$H$4646,2,0),""))</f>
        <v>DISPOSITIVO DE PROTEÇÃO CONTRA SURTOS(DPS) 275V DE 8 A 40KA – FORNECIMENTO E INSTALAÇÃO</v>
      </c>
      <c r="E194" s="1315" t="str">
        <f>IFERROR(VLOOKUP($B194,'24.08_ND'!$A:$D,3,0),IFERROR(VLOOKUP($B194,'03-CP'!$C$5:$H$4646,3,0),""))</f>
        <v>UN</v>
      </c>
      <c r="F194" s="389">
        <v>3</v>
      </c>
      <c r="G194" s="1244"/>
      <c r="H194" s="1244"/>
      <c r="I194" s="1409"/>
      <c r="J194" s="262"/>
      <c r="K194" s="262"/>
      <c r="L194" s="262"/>
      <c r="M194" s="262"/>
      <c r="N194" s="262"/>
      <c r="O194" s="262"/>
      <c r="P194" s="262"/>
      <c r="Q194" s="262"/>
      <c r="R194" s="262"/>
    </row>
    <row r="195" spans="1:18" ht="12.75">
      <c r="A195" s="250" t="s">
        <v>14443</v>
      </c>
      <c r="B195" s="1309"/>
      <c r="C195" s="1497"/>
      <c r="D195" s="1498" t="s">
        <v>16578</v>
      </c>
      <c r="E195" s="234"/>
      <c r="F195" s="1311"/>
      <c r="G195" s="236"/>
      <c r="H195" s="236"/>
      <c r="I195" s="1499"/>
      <c r="J195" s="262"/>
      <c r="K195" s="262"/>
      <c r="L195" s="262"/>
      <c r="M195" s="262"/>
      <c r="N195" s="262"/>
      <c r="O195" s="262"/>
      <c r="P195" s="262"/>
      <c r="Q195" s="262"/>
      <c r="R195" s="262"/>
    </row>
    <row r="196" spans="1:18" ht="89.25" outlineLevel="1">
      <c r="A196" s="247" t="s">
        <v>14444</v>
      </c>
      <c r="B196" s="386" t="s">
        <v>15326</v>
      </c>
      <c r="C196" s="386" t="s">
        <v>14472</v>
      </c>
      <c r="D196" s="1314" t="str">
        <f>IFERROR(VLOOKUP($B196,'24.08_ND'!$A$4833:$D$12369,2,0),IFERROR(VLOOKUP($B196,'03-CP'!$C$5:$H$4646,2,0),""))</f>
        <v>MURETA EM ALVENARIA DE BLOCO DE CONCRETO ESTRUTURAL 19X19X39, APOIADA EM LASTRO DE CONCRETO MAGRO ESP=5CM A 40CM DE PROFUNDIDADE, BALDRAME E CINTA DE RESPALDO COM UTILIZAÇÃO DE BLOCOS CANALETA DE CONCRETO 19X19X39, TRAVAMENTO COM AÇO CA50 DN 8MMM, PREENCHIMENTO CONCRETO FCK = 15MPA, INCLUSO ACABAMENTO CHAPISCO/ EMBOÇO/ MASSA ACRÍLICA/ SELADOR ACRÍLICO/ TINTA LÁTEX ACRÍLICA</v>
      </c>
      <c r="E196" s="1315" t="str">
        <f>IFERROR(VLOOKUP($B196,'24.08_ND'!$A:$D,3,0),IFERROR(VLOOKUP($B196,'03-CP'!$C$5:$H$4646,3,0),""))</f>
        <v>M²</v>
      </c>
      <c r="F196" s="389">
        <v>3.5</v>
      </c>
      <c r="G196" s="1244"/>
      <c r="H196" s="1244"/>
      <c r="I196" s="1409"/>
      <c r="J196" s="262"/>
      <c r="K196" s="262"/>
      <c r="L196" s="262"/>
      <c r="M196" s="262"/>
      <c r="N196" s="262"/>
      <c r="O196" s="262"/>
      <c r="P196" s="262"/>
      <c r="Q196" s="262"/>
      <c r="R196" s="262"/>
    </row>
    <row r="197" spans="1:18" ht="38.25" outlineLevel="1">
      <c r="A197" s="247" t="s">
        <v>14445</v>
      </c>
      <c r="B197" s="386">
        <v>101883</v>
      </c>
      <c r="C197" s="386" t="s">
        <v>14476</v>
      </c>
      <c r="D197" s="1314" t="str">
        <f>IFERROR(VLOOKUP($B197,'24.08_ND'!$A$4833:$D$12369,2,0),IFERROR(VLOOKUP($B197,'03-CP'!$C$5:$H$4646,2,0),""))</f>
        <v>QUADRO DE DISTRIBUIÇÃO DE ENERGIA EM CHAPA DE AÇO GALVANIZADO, DE EMBUTIR, COM BARRAMENTO TRIFÁSICO, PARA 18 DISJUNTORES DIN 100A - FORNECIMENTO E INSTALAÇÃO. AF_10/2020</v>
      </c>
      <c r="E197" s="1315" t="str">
        <f>IFERROR(VLOOKUP($B197,'24.08_ND'!$A:$D,3,0),IFERROR(VLOOKUP($B197,'03-CP'!$C$5:$H$4646,3,0),""))</f>
        <v>UN</v>
      </c>
      <c r="F197" s="389">
        <v>1</v>
      </c>
      <c r="G197" s="1244"/>
      <c r="H197" s="1244"/>
      <c r="I197" s="1409"/>
      <c r="J197" s="262"/>
      <c r="K197" s="262"/>
      <c r="L197" s="262"/>
      <c r="M197" s="262"/>
      <c r="N197" s="262"/>
      <c r="O197" s="262"/>
      <c r="P197" s="262"/>
      <c r="Q197" s="262"/>
      <c r="R197" s="262"/>
    </row>
    <row r="198" spans="1:18" ht="12.75">
      <c r="A198" s="250" t="s">
        <v>14446</v>
      </c>
      <c r="B198" s="1309"/>
      <c r="C198" s="1497"/>
      <c r="D198" s="237" t="s">
        <v>16579</v>
      </c>
      <c r="E198" s="234"/>
      <c r="F198" s="1311"/>
      <c r="G198" s="236"/>
      <c r="H198" s="236"/>
      <c r="I198" s="1499"/>
      <c r="J198" s="262"/>
      <c r="K198" s="262"/>
      <c r="L198" s="262"/>
      <c r="M198" s="262"/>
      <c r="N198" s="262"/>
      <c r="O198" s="262"/>
      <c r="P198" s="262"/>
      <c r="Q198" s="262"/>
      <c r="R198" s="262"/>
    </row>
    <row r="199" spans="1:18" ht="25.5" outlineLevel="1">
      <c r="A199" s="247" t="s">
        <v>14447</v>
      </c>
      <c r="B199" s="386">
        <v>97881</v>
      </c>
      <c r="C199" s="386" t="s">
        <v>14476</v>
      </c>
      <c r="D199" s="1314" t="str">
        <f>IFERROR(VLOOKUP($B199,'24.08_ND'!$A$4833:$D$12369,2,0),IFERROR(VLOOKUP($B199,'03-CP'!$C$5:$H$4646,2,0),""))</f>
        <v>CAIXA ENTERRADA ELÉTRICA RETANGULAR, EM CONCRETO PRÉ-MOLDADO, FUNDO COM BRITA, DIMENSÕES INTERNAS: 0,3X0,3X0,3 M. AF_12/2020</v>
      </c>
      <c r="E199" s="1315" t="str">
        <f>IFERROR(VLOOKUP($B199,'24.08_ND'!$A:$D,3,0),IFERROR(VLOOKUP($B199,'03-CP'!$C$5:$H$4646,3,0),""))</f>
        <v>UN</v>
      </c>
      <c r="F199" s="389">
        <v>10</v>
      </c>
      <c r="G199" s="1244"/>
      <c r="H199" s="1244"/>
      <c r="I199" s="1409"/>
      <c r="J199" s="262"/>
      <c r="K199" s="262"/>
      <c r="L199" s="262"/>
      <c r="M199" s="262"/>
      <c r="N199" s="262"/>
      <c r="O199" s="262"/>
      <c r="P199" s="262"/>
      <c r="Q199" s="262"/>
      <c r="R199" s="262"/>
    </row>
    <row r="200" spans="1:18" ht="25.5" outlineLevel="1">
      <c r="A200" s="247" t="s">
        <v>14448</v>
      </c>
      <c r="B200" s="386">
        <v>97882</v>
      </c>
      <c r="C200" s="386" t="s">
        <v>14476</v>
      </c>
      <c r="D200" s="1314" t="str">
        <f>IFERROR(VLOOKUP($B200,'24.08_ND'!$A$4833:$D$12369,2,0),IFERROR(VLOOKUP($B200,'03-CP'!$C$5:$H$4646,2,0),""))</f>
        <v>CAIXA ENTERRADA ELÉTRICA RETANGULAR, EM CONCRETO PRÉ-MOLDADO, FUNDO COM BRITA, DIMENSÕES INTERNAS: 0,4X0,4X0,4 M. AF_12/2020</v>
      </c>
      <c r="E200" s="1315" t="str">
        <f>IFERROR(VLOOKUP($B200,'24.08_ND'!$A:$D,3,0),IFERROR(VLOOKUP($B200,'03-CP'!$C$5:$H$4646,3,0),""))</f>
        <v>UN</v>
      </c>
      <c r="F200" s="389">
        <v>1</v>
      </c>
      <c r="G200" s="1244"/>
      <c r="H200" s="1244"/>
      <c r="I200" s="1409"/>
      <c r="J200" s="262"/>
      <c r="K200" s="262"/>
      <c r="L200" s="262"/>
      <c r="M200" s="262"/>
      <c r="N200" s="262"/>
      <c r="O200" s="262"/>
      <c r="P200" s="262"/>
      <c r="Q200" s="262"/>
      <c r="R200" s="262"/>
    </row>
    <row r="201" spans="1:18" ht="25.5" outlineLevel="1">
      <c r="A201" s="247" t="s">
        <v>14449</v>
      </c>
      <c r="B201" s="386">
        <v>91931</v>
      </c>
      <c r="C201" s="386" t="s">
        <v>14476</v>
      </c>
      <c r="D201" s="1314" t="str">
        <f>IFERROR(VLOOKUP($B201,'24.08_ND'!$A$4833:$D$12369,2,0),IFERROR(VLOOKUP($B201,'03-CP'!$C$5:$H$4646,2,0),""))</f>
        <v>CABO DE COBRE FLEXÍVEL ISOLADO, 6 MM², ANTI-CHAMA 0,6/1,0 KV, PARA CIRCUITOS TERMINAIS - FORNECIMENTO E INSTALAÇÃO. AF_03/2023</v>
      </c>
      <c r="E201" s="1315" t="str">
        <f>IFERROR(VLOOKUP($B201,'24.08_ND'!$A:$D,3,0),IFERROR(VLOOKUP($B201,'03-CP'!$C$5:$H$4646,3,0),""))</f>
        <v>M</v>
      </c>
      <c r="F201" s="389">
        <v>750</v>
      </c>
      <c r="G201" s="1244"/>
      <c r="H201" s="1244"/>
      <c r="I201" s="1409"/>
      <c r="J201" s="262"/>
      <c r="K201" s="262"/>
      <c r="L201" s="262"/>
      <c r="M201" s="262"/>
      <c r="N201" s="262"/>
      <c r="O201" s="262"/>
      <c r="P201" s="262"/>
      <c r="Q201" s="262"/>
      <c r="R201" s="262"/>
    </row>
    <row r="202" spans="1:18" ht="38.25" outlineLevel="1">
      <c r="A202" s="247" t="s">
        <v>14450</v>
      </c>
      <c r="B202" s="386" t="s">
        <v>15217</v>
      </c>
      <c r="C202" s="386" t="s">
        <v>14472</v>
      </c>
      <c r="D202" s="1314" t="str">
        <f>IFERROR(VLOOKUP($B202,'24.08_ND'!$A$4833:$D$12369,2,0),IFERROR(VLOOKUP($B202,'03-CP'!$C$5:$H$4646,2,0),""))</f>
        <v>ELETRODUTO FLEXÍVEL CORRUGADO, PEAD, DN ATÉ 40 MM (1 1/4"), PARA REDE ENTERRADA DE DISTRIBUIÇÃO DE ENERGIA ELÉTRICA - FORNECIMENTO E INSTALAÇÃO</v>
      </c>
      <c r="E202" s="1315" t="str">
        <f>IFERROR(VLOOKUP($B202,'24.08_ND'!$A:$D,3,0),IFERROR(VLOOKUP($B202,'03-CP'!$C$5:$H$4646,3,0),""))</f>
        <v>M</v>
      </c>
      <c r="F202" s="389">
        <v>186</v>
      </c>
      <c r="G202" s="1244"/>
      <c r="H202" s="1244"/>
      <c r="I202" s="1409"/>
      <c r="J202" s="262"/>
      <c r="K202" s="262"/>
      <c r="L202" s="262"/>
      <c r="M202" s="262"/>
      <c r="N202" s="262"/>
      <c r="O202" s="262"/>
      <c r="P202" s="262"/>
      <c r="Q202" s="262"/>
      <c r="R202" s="262"/>
    </row>
    <row r="203" spans="1:18" ht="25.5" outlineLevel="1">
      <c r="A203" s="247" t="s">
        <v>14451</v>
      </c>
      <c r="B203" s="386">
        <v>93358</v>
      </c>
      <c r="C203" s="386" t="s">
        <v>14476</v>
      </c>
      <c r="D203" s="1314" t="str">
        <f>IFERROR(VLOOKUP($B203,'24.08_ND'!$A$4833:$D$12369,2,0),IFERROR(VLOOKUP($B203,'03-CP'!$C$5:$H$4646,2,0),""))</f>
        <v>ESCAVAÇÃO MANUAL DE VALA COM PROFUNDIDADE MENOR OU IGUAL A 1,30 M. AF_02/2021</v>
      </c>
      <c r="E203" s="1315" t="str">
        <f>IFERROR(VLOOKUP($B203,'24.08_ND'!$A:$D,3,0),IFERROR(VLOOKUP($B203,'03-CP'!$C$5:$H$4646,3,0),""))</f>
        <v>M3</v>
      </c>
      <c r="F203" s="389">
        <v>18.600000000000001</v>
      </c>
      <c r="G203" s="1244"/>
      <c r="H203" s="1244"/>
      <c r="I203" s="1409"/>
      <c r="J203" s="262"/>
      <c r="K203" s="262"/>
      <c r="L203" s="262"/>
      <c r="M203" s="262"/>
      <c r="N203" s="262"/>
      <c r="O203" s="262"/>
      <c r="P203" s="262"/>
      <c r="Q203" s="262"/>
      <c r="R203" s="262"/>
    </row>
    <row r="204" spans="1:18" ht="25.5" outlineLevel="1">
      <c r="A204" s="247" t="s">
        <v>14452</v>
      </c>
      <c r="B204" s="386">
        <v>93382</v>
      </c>
      <c r="C204" s="386" t="s">
        <v>14476</v>
      </c>
      <c r="D204" s="1314" t="str">
        <f>IFERROR(VLOOKUP($B204,'24.08_ND'!$A$4833:$D$12369,2,0),IFERROR(VLOOKUP($B204,'03-CP'!$C$5:$H$4646,2,0),""))</f>
        <v>REATERRO MANUAL DE VALAS, COM COMPACTADOR DE SOLOS DE PERCUSSÃO. AF_08/2023</v>
      </c>
      <c r="E204" s="1315" t="str">
        <f>IFERROR(VLOOKUP($B204,'24.08_ND'!$A:$D,3,0),IFERROR(VLOOKUP($B204,'03-CP'!$C$5:$H$4646,3,0),""))</f>
        <v>M3</v>
      </c>
      <c r="F204" s="389">
        <f>F203*1.1</f>
        <v>20.460000000000004</v>
      </c>
      <c r="G204" s="1244"/>
      <c r="H204" s="1244"/>
      <c r="I204" s="1409"/>
      <c r="J204" s="262"/>
      <c r="K204" s="262"/>
      <c r="L204" s="262"/>
      <c r="M204" s="262"/>
      <c r="N204" s="262"/>
      <c r="O204" s="262"/>
      <c r="P204" s="262"/>
      <c r="Q204" s="262"/>
      <c r="R204" s="262"/>
    </row>
    <row r="205" spans="1:18" ht="25.5" outlineLevel="1">
      <c r="A205" s="247" t="s">
        <v>14453</v>
      </c>
      <c r="B205" s="386">
        <v>91933</v>
      </c>
      <c r="C205" s="386" t="s">
        <v>14476</v>
      </c>
      <c r="D205" s="1314" t="str">
        <f>IFERROR(VLOOKUP($B205,'24.08_ND'!$A$4833:$D$12369,2,0),IFERROR(VLOOKUP($B205,'03-CP'!$C$5:$H$4646,2,0),""))</f>
        <v>CABO DE COBRE FLEXÍVEL ISOLADO, 10 MM², ANTI-CHAMA 0,6/1,0 KV, PARA CIRCUITOS TERMINAIS - FORNECIMENTO E INSTALAÇÃO. AF_03/2023</v>
      </c>
      <c r="E205" s="1315" t="str">
        <f>IFERROR(VLOOKUP($B205,'24.08_ND'!$A:$D,3,0),IFERROR(VLOOKUP($B205,'03-CP'!$C$5:$H$4646,3,0),""))</f>
        <v>M</v>
      </c>
      <c r="F205" s="389">
        <v>32</v>
      </c>
      <c r="G205" s="1244"/>
      <c r="H205" s="1244"/>
      <c r="I205" s="1409"/>
      <c r="J205" s="262"/>
      <c r="K205" s="262"/>
      <c r="L205" s="262"/>
      <c r="M205" s="262"/>
      <c r="N205" s="262"/>
      <c r="O205" s="262"/>
      <c r="P205" s="262"/>
      <c r="Q205" s="262"/>
      <c r="R205" s="262"/>
    </row>
    <row r="206" spans="1:18" ht="25.5" outlineLevel="1">
      <c r="A206" s="247" t="s">
        <v>14454</v>
      </c>
      <c r="B206" s="386">
        <v>93657</v>
      </c>
      <c r="C206" s="386" t="s">
        <v>14476</v>
      </c>
      <c r="D206" s="1314" t="str">
        <f>IFERROR(VLOOKUP($B206,'24.08_ND'!$A$4833:$D$12369,2,0),IFERROR(VLOOKUP($B206,'03-CP'!$C$5:$H$4646,2,0),""))</f>
        <v>DISJUNTOR MONOPOLAR TIPO DIN, CORRENTE NOMINAL DE 32A - FORNECIMENTO E INSTALAÇÃO. AF_10/2020</v>
      </c>
      <c r="E206" s="1315" t="str">
        <f>IFERROR(VLOOKUP($B206,'24.08_ND'!$A:$D,3,0),IFERROR(VLOOKUP($B206,'03-CP'!$C$5:$H$4646,3,0),""))</f>
        <v>UN</v>
      </c>
      <c r="F206" s="389">
        <v>5</v>
      </c>
      <c r="G206" s="1244"/>
      <c r="H206" s="1244"/>
      <c r="I206" s="1409"/>
      <c r="J206" s="262"/>
      <c r="K206" s="262"/>
      <c r="L206" s="262"/>
      <c r="M206" s="262"/>
      <c r="N206" s="262"/>
      <c r="O206" s="262"/>
      <c r="P206" s="262"/>
      <c r="Q206" s="262"/>
      <c r="R206" s="262"/>
    </row>
    <row r="207" spans="1:18" ht="25.5" outlineLevel="1">
      <c r="A207" s="247" t="s">
        <v>14455</v>
      </c>
      <c r="B207" s="386">
        <v>93673</v>
      </c>
      <c r="C207" s="386" t="s">
        <v>14476</v>
      </c>
      <c r="D207" s="1314" t="str">
        <f>IFERROR(VLOOKUP($B207,'24.08_ND'!$A$4833:$D$12369,2,0),IFERROR(VLOOKUP($B207,'03-CP'!$C$5:$H$4646,2,0),""))</f>
        <v>DISJUNTOR TRIPOLAR TIPO DIN, CORRENTE NOMINAL DE 50A - FORNECIMENTO E INSTALAÇÃO. AF_10/2020</v>
      </c>
      <c r="E207" s="1315" t="str">
        <f>IFERROR(VLOOKUP($B207,'24.08_ND'!$A:$D,3,0),IFERROR(VLOOKUP($B207,'03-CP'!$C$5:$H$4646,3,0),""))</f>
        <v>UN</v>
      </c>
      <c r="F207" s="389">
        <v>1</v>
      </c>
      <c r="G207" s="1244"/>
      <c r="H207" s="1244"/>
      <c r="I207" s="1409"/>
      <c r="J207" s="262"/>
      <c r="K207" s="262"/>
      <c r="L207" s="262"/>
      <c r="M207" s="262"/>
      <c r="N207" s="262"/>
      <c r="O207" s="262"/>
      <c r="P207" s="262"/>
      <c r="Q207" s="262"/>
      <c r="R207" s="262"/>
    </row>
    <row r="208" spans="1:18" ht="89.25" outlineLevel="1">
      <c r="A208" s="247" t="s">
        <v>14456</v>
      </c>
      <c r="B208" s="386" t="s">
        <v>15326</v>
      </c>
      <c r="C208" s="386" t="s">
        <v>14472</v>
      </c>
      <c r="D208" s="1314" t="str">
        <f>IFERROR(VLOOKUP($B208,'24.08_ND'!$A$4833:$D$12369,2,0),IFERROR(VLOOKUP($B208,'03-CP'!$C$5:$H$4646,2,0),""))</f>
        <v>MURETA EM ALVENARIA DE BLOCO DE CONCRETO ESTRUTURAL 19X19X39, APOIADA EM LASTRO DE CONCRETO MAGRO ESP=5CM A 40CM DE PROFUNDIDADE, BALDRAME E CINTA DE RESPALDO COM UTILIZAÇÃO DE BLOCOS CANALETA DE CONCRETO 19X19X39, TRAVAMENTO COM AÇO CA50 DN 8MMM, PREENCHIMENTO CONCRETO FCK = 15MPA, INCLUSO ACABAMENTO CHAPISCO/ EMBOÇO/ MASSA ACRÍLICA/ SELADOR ACRÍLICO/ TINTA LÁTEX ACRÍLICA</v>
      </c>
      <c r="E208" s="1315" t="str">
        <f>IFERROR(VLOOKUP($B208,'24.08_ND'!$A:$D,3,0),IFERROR(VLOOKUP($B208,'03-CP'!$C$5:$H$4646,3,0),""))</f>
        <v>M²</v>
      </c>
      <c r="F208" s="389">
        <f>2.2*1.5</f>
        <v>3.3000000000000003</v>
      </c>
      <c r="G208" s="1244"/>
      <c r="H208" s="1244"/>
      <c r="I208" s="1409"/>
      <c r="J208" s="262"/>
      <c r="K208" s="262"/>
      <c r="L208" s="262"/>
      <c r="M208" s="262"/>
      <c r="N208" s="262"/>
      <c r="O208" s="262"/>
      <c r="P208" s="262"/>
      <c r="Q208" s="262"/>
      <c r="R208" s="262"/>
    </row>
    <row r="209" spans="1:18" ht="38.25" outlineLevel="1">
      <c r="A209" s="247" t="s">
        <v>14457</v>
      </c>
      <c r="B209" s="386">
        <v>101883</v>
      </c>
      <c r="C209" s="386" t="s">
        <v>14476</v>
      </c>
      <c r="D209" s="1314" t="str">
        <f>IFERROR(VLOOKUP($B209,'24.08_ND'!$A$4833:$D$12369,2,0),IFERROR(VLOOKUP($B209,'03-CP'!$C$5:$H$4646,2,0),""))</f>
        <v>QUADRO DE DISTRIBUIÇÃO DE ENERGIA EM CHAPA DE AÇO GALVANIZADO, DE EMBUTIR, COM BARRAMENTO TRIFÁSICO, PARA 18 DISJUNTORES DIN 100A - FORNECIMENTO E INSTALAÇÃO. AF_10/2020</v>
      </c>
      <c r="E209" s="1315" t="str">
        <f>IFERROR(VLOOKUP($B209,'24.08_ND'!$A:$D,3,0),IFERROR(VLOOKUP($B209,'03-CP'!$C$5:$H$4646,3,0),""))</f>
        <v>UN</v>
      </c>
      <c r="F209" s="389">
        <v>1</v>
      </c>
      <c r="G209" s="1244"/>
      <c r="H209" s="1244"/>
      <c r="I209" s="1409"/>
      <c r="J209" s="262"/>
      <c r="K209" s="262"/>
      <c r="L209" s="262"/>
      <c r="M209" s="262"/>
      <c r="N209" s="262"/>
      <c r="O209" s="262"/>
      <c r="P209" s="262"/>
      <c r="Q209" s="262"/>
      <c r="R209" s="262"/>
    </row>
    <row r="210" spans="1:18" ht="25.5" outlineLevel="1">
      <c r="A210" s="247" t="s">
        <v>14458</v>
      </c>
      <c r="B210" s="386">
        <v>96985</v>
      </c>
      <c r="C210" s="386" t="s">
        <v>14476</v>
      </c>
      <c r="D210" s="1314" t="str">
        <f>IFERROR(VLOOKUP($B210,'24.08_ND'!$A$4833:$D$12369,2,0),IFERROR(VLOOKUP($B210,'03-CP'!$C$5:$H$4646,2,0),""))</f>
        <v>HASTE DE ATERRAMENTO, DIÂMETRO 5/8", COM 3 METROS - FORNECIMENTO E INSTALAÇÃO. AF_08/2023</v>
      </c>
      <c r="E210" s="1315" t="str">
        <f>IFERROR(VLOOKUP($B210,'24.08_ND'!$A:$D,3,0),IFERROR(VLOOKUP($B210,'03-CP'!$C$5:$H$4646,3,0),""))</f>
        <v>UN</v>
      </c>
      <c r="F210" s="389">
        <v>3</v>
      </c>
      <c r="G210" s="1244"/>
      <c r="H210" s="1244"/>
      <c r="I210" s="1409"/>
      <c r="J210" s="262"/>
      <c r="K210" s="262"/>
      <c r="L210" s="262"/>
      <c r="M210" s="262"/>
      <c r="N210" s="262"/>
      <c r="O210" s="262"/>
      <c r="P210" s="262"/>
      <c r="Q210" s="262"/>
      <c r="R210" s="262"/>
    </row>
    <row r="211" spans="1:18" ht="38.25" outlineLevel="1">
      <c r="A211" s="247" t="s">
        <v>14459</v>
      </c>
      <c r="B211" s="386">
        <v>104750</v>
      </c>
      <c r="C211" s="386" t="s">
        <v>14476</v>
      </c>
      <c r="D211" s="1314" t="str">
        <f>IFERROR(VLOOKUP($B211,'24.08_ND'!$A$4833:$D$12369,2,0),IFERROR(VLOOKUP($B211,'03-CP'!$C$5:$H$4646,2,0),""))</f>
        <v>CONECTOR GRAMPO METÁLICO TIPO OLHAL, PARA SPDA, PARA HASTE DE ATERRAMENTO DE 5/8'' E CABOS DE 10 A 50 MM2 - FORNECIMENTO E INSTALAÇÃO. AF_08/2023</v>
      </c>
      <c r="E211" s="1315" t="str">
        <f>IFERROR(VLOOKUP($B211,'24.08_ND'!$A:$D,3,0),IFERROR(VLOOKUP($B211,'03-CP'!$C$5:$H$4646,3,0),""))</f>
        <v>UN</v>
      </c>
      <c r="F211" s="389">
        <v>4</v>
      </c>
      <c r="G211" s="1244"/>
      <c r="H211" s="1244"/>
      <c r="I211" s="1409"/>
      <c r="J211" s="262"/>
      <c r="K211" s="262"/>
      <c r="L211" s="262"/>
      <c r="M211" s="262"/>
      <c r="N211" s="262"/>
      <c r="O211" s="262"/>
      <c r="P211" s="262"/>
      <c r="Q211" s="262"/>
      <c r="R211" s="262"/>
    </row>
    <row r="212" spans="1:18" ht="25.5" outlineLevel="1">
      <c r="A212" s="247" t="s">
        <v>14460</v>
      </c>
      <c r="B212" s="386" t="s">
        <v>15228</v>
      </c>
      <c r="C212" s="386" t="s">
        <v>14472</v>
      </c>
      <c r="D212" s="1314" t="str">
        <f>IFERROR(VLOOKUP($B212,'24.08_ND'!$A$4833:$D$12369,2,0),IFERROR(VLOOKUP($B212,'03-CP'!$C$5:$H$4646,2,0),""))</f>
        <v>CABO DE COBRE NÚ 50MM² PARA ATERRAMENTO DE QUADRO OU POSTE - FORNECIMENTO E INSTALAÇÃO</v>
      </c>
      <c r="E212" s="1315" t="str">
        <f>IFERROR(VLOOKUP($B212,'24.08_ND'!$A:$D,3,0),IFERROR(VLOOKUP($B212,'03-CP'!$C$5:$H$4646,3,0),""))</f>
        <v>M</v>
      </c>
      <c r="F212" s="389">
        <v>6</v>
      </c>
      <c r="G212" s="1244"/>
      <c r="H212" s="1244"/>
      <c r="I212" s="1409"/>
      <c r="J212" s="262"/>
      <c r="K212" s="262"/>
      <c r="L212" s="262"/>
      <c r="M212" s="262"/>
      <c r="N212" s="262"/>
      <c r="O212" s="262"/>
      <c r="P212" s="262"/>
      <c r="Q212" s="262"/>
      <c r="R212" s="262"/>
    </row>
    <row r="213" spans="1:18" ht="25.5" outlineLevel="1">
      <c r="A213" s="247" t="s">
        <v>14461</v>
      </c>
      <c r="B213" s="386" t="s">
        <v>15159</v>
      </c>
      <c r="C213" s="386" t="s">
        <v>14472</v>
      </c>
      <c r="D213" s="1314" t="str">
        <f>IFERROR(VLOOKUP($B213,'24.08_ND'!$A$4833:$D$12369,2,0),IFERROR(VLOOKUP($B213,'03-CP'!$C$5:$H$4646,2,0),""))</f>
        <v>PLACA DE SINALIZAÇÃO, FOTOLUMINESCENTE, EM PVC, COM LOGOTIPO "CUIDADO RISCO DE CHOQUE ELÉTRICO"- FORNECIMENTO E INSTALAÇÃO</v>
      </c>
      <c r="E213" s="1315" t="str">
        <f>IFERROR(VLOOKUP($B213,'24.08_ND'!$A:$D,3,0),IFERROR(VLOOKUP($B213,'03-CP'!$C$5:$H$4646,3,0),""))</f>
        <v>UN</v>
      </c>
      <c r="F213" s="389">
        <v>1</v>
      </c>
      <c r="G213" s="1244"/>
      <c r="H213" s="1244"/>
      <c r="I213" s="1409"/>
      <c r="J213" s="262"/>
      <c r="K213" s="262"/>
      <c r="L213" s="262"/>
      <c r="M213" s="262"/>
      <c r="N213" s="262"/>
      <c r="O213" s="262"/>
      <c r="P213" s="262"/>
      <c r="Q213" s="262"/>
      <c r="R213" s="262"/>
    </row>
    <row r="214" spans="1:18" ht="25.5" outlineLevel="1">
      <c r="A214" s="254" t="s">
        <v>14462</v>
      </c>
      <c r="B214" s="1186" t="s">
        <v>15272</v>
      </c>
      <c r="C214" s="1186" t="s">
        <v>14472</v>
      </c>
      <c r="D214" s="1514" t="str">
        <f>IFERROR(VLOOKUP($B214,'24.08_ND'!$A$4833:$D$12369,2,0),IFERROR(VLOOKUP($B214,'03-CP'!$C$5:$H$4646,2,0),""))</f>
        <v>DISPOSITIVO DE PROTEÇÃO CONTRA SURTOS(DPS) 275V DE 8 A 40KA – FORNECIMENTO E INSTALAÇÃO</v>
      </c>
      <c r="E214" s="1515" t="str">
        <f>IFERROR(VLOOKUP($B214,'24.08_ND'!$A:$D,3,0),IFERROR(VLOOKUP($B214,'03-CP'!$C$5:$H$4646,3,0),""))</f>
        <v>UN</v>
      </c>
      <c r="F214" s="1516">
        <v>3</v>
      </c>
      <c r="G214" s="1517"/>
      <c r="H214" s="1517"/>
      <c r="I214" s="1518"/>
      <c r="J214" s="262"/>
      <c r="K214" s="262"/>
      <c r="L214" s="262"/>
      <c r="M214" s="262"/>
      <c r="N214" s="262"/>
      <c r="O214" s="262"/>
      <c r="P214" s="262"/>
      <c r="Q214" s="262"/>
      <c r="R214" s="262"/>
    </row>
    <row r="215" spans="1:18" ht="12.75" hidden="1">
      <c r="A215" s="1770"/>
      <c r="B215" s="1488"/>
      <c r="C215" s="1488"/>
      <c r="D215" s="1489"/>
      <c r="E215" s="1490"/>
      <c r="F215" s="1491"/>
      <c r="G215" s="1493"/>
      <c r="H215" s="1493"/>
      <c r="I215" s="1771"/>
      <c r="J215" s="262"/>
      <c r="K215" s="262"/>
      <c r="L215" s="262"/>
      <c r="M215" s="262"/>
      <c r="N215" s="262"/>
      <c r="O215" s="262"/>
      <c r="P215" s="262"/>
      <c r="Q215" s="262"/>
      <c r="R215" s="262"/>
    </row>
    <row r="216" spans="1:18" ht="12.75" hidden="1">
      <c r="A216" s="262"/>
      <c r="B216" s="262"/>
      <c r="C216" s="262"/>
      <c r="D216" s="262"/>
      <c r="E216" s="262"/>
      <c r="F216" s="262"/>
      <c r="G216" s="262"/>
      <c r="H216" s="262"/>
      <c r="I216" s="262"/>
      <c r="J216" s="262"/>
      <c r="K216" s="262"/>
      <c r="L216" s="262"/>
      <c r="M216" s="262"/>
      <c r="N216" s="262"/>
      <c r="O216" s="262"/>
      <c r="P216" s="262"/>
      <c r="Q216" s="262"/>
      <c r="R216" s="262"/>
    </row>
  </sheetData>
  <autoFilter ref="A1:R216" xr:uid="{00000000-0009-0000-0000-000013000000}">
    <filterColumn colId="0">
      <filters>
        <filter val="(G) - INFRA CONTÊINERES - PLANILHA QUANTITATIVA"/>
        <filter val="• INSTALAÇÕES ELÉTRICAS"/>
        <filter val="• INSTALAÇÕES HIDROSSANITÁRIAS"/>
        <filter val="ENDEREÇO:"/>
        <filter val="G.1"/>
        <filter val="G.1.1"/>
        <filter val="G.1.1.1"/>
        <filter val="G.1.1.10"/>
        <filter val="G.1.1.11"/>
        <filter val="G.1.1.2"/>
        <filter val="G.1.1.3"/>
        <filter val="G.1.1.4"/>
        <filter val="G.1.1.5"/>
        <filter val="G.1.1.6"/>
        <filter val="G.1.1.7"/>
        <filter val="G.1.1.8"/>
        <filter val="G.1.1.9"/>
        <filter val="G.1.2"/>
        <filter val="G.1.2.1"/>
        <filter val="G.1.2.2"/>
        <filter val="G.1.2.3"/>
        <filter val="G.1.2.4"/>
        <filter val="G.1.2.5"/>
        <filter val="G.1.2.6"/>
        <filter val="G.2"/>
        <filter val="G.2.1"/>
        <filter val="G.2.1.1"/>
        <filter val="G.2.1.10"/>
        <filter val="G.2.1.2"/>
        <filter val="G.2.1.3"/>
        <filter val="G.2.1.4"/>
        <filter val="G.2.1.5"/>
        <filter val="G.2.1.6"/>
        <filter val="G.2.1.7"/>
        <filter val="G.2.1.8"/>
        <filter val="G.2.1.9"/>
        <filter val="G.2.2"/>
        <filter val="G.2.2.1"/>
        <filter val="G.2.2.2"/>
        <filter val="G.2.2.3"/>
        <filter val="G.2.2.4"/>
        <filter val="G.2.2.5"/>
        <filter val="G.2.2.6"/>
        <filter val="G.2.3"/>
        <filter val="G.2.3.1"/>
        <filter val="G.2.3.2"/>
        <filter val="G.2.3.3"/>
        <filter val="G.2.3.4"/>
        <filter val="G.2.3.5"/>
        <filter val="G.3"/>
        <filter val="G.3.1"/>
        <filter val="G.3.1.1"/>
        <filter val="G.3.1.10"/>
        <filter val="G.3.1.2"/>
        <filter val="G.3.1.3"/>
        <filter val="G.3.1.4"/>
        <filter val="G.3.1.5"/>
        <filter val="G.3.1.6"/>
        <filter val="G.3.1.7"/>
        <filter val="G.3.1.8"/>
        <filter val="G.3.1.9"/>
        <filter val="G.3.2"/>
        <filter val="G.3.2.1"/>
        <filter val="G.3.2.2"/>
        <filter val="G.3.2.3"/>
        <filter val="G.3.2.4"/>
        <filter val="G.3.2.5"/>
        <filter val="G.3.2.6"/>
        <filter val="G.4"/>
        <filter val="G.4.1"/>
        <filter val="G.4.1.1"/>
        <filter val="G.4.1.10"/>
        <filter val="G.4.1.11"/>
        <filter val="G.4.1.12"/>
        <filter val="G.4.1.2"/>
        <filter val="G.4.1.3"/>
        <filter val="G.4.1.4"/>
        <filter val="G.4.1.5"/>
        <filter val="G.4.1.6"/>
        <filter val="G.4.1.7"/>
        <filter val="G.4.1.8"/>
        <filter val="G.4.1.9"/>
        <filter val="G.4.2"/>
        <filter val="G.4.2.1"/>
        <filter val="G.4.2.2"/>
        <filter val="G.4.2.3"/>
        <filter val="G.4.2.4"/>
        <filter val="G.4.2.5"/>
        <filter val="G.4.2.6"/>
        <filter val="G.5"/>
        <filter val="G.5.1"/>
        <filter val="G.5.1.1"/>
        <filter val="G.5.1.10"/>
        <filter val="G.5.1.2"/>
        <filter val="G.5.1.3"/>
        <filter val="G.5.1.4"/>
        <filter val="G.5.1.5"/>
        <filter val="G.5.1.6"/>
        <filter val="G.5.1.7"/>
        <filter val="G.5.1.8"/>
        <filter val="G.5.1.9"/>
        <filter val="G.5.2"/>
        <filter val="G.5.2.1"/>
        <filter val="G.5.2.2"/>
        <filter val="G.5.2.3"/>
        <filter val="G.5.2.4"/>
        <filter val="G.5.2.5"/>
        <filter val="G.5.2.6"/>
        <filter val="G.6"/>
        <filter val="G.6.1"/>
        <filter val="G.6.1.1"/>
        <filter val="G.6.1.10"/>
        <filter val="G.6.1.2"/>
        <filter val="G.6.1.3"/>
        <filter val="G.6.1.4"/>
        <filter val="G.6.1.5"/>
        <filter val="G.6.1.6"/>
        <filter val="G.6.1.7"/>
        <filter val="G.6.1.8"/>
        <filter val="G.6.1.9"/>
        <filter val="G.6.2"/>
        <filter val="G.6.2.1"/>
        <filter val="G.6.2.2"/>
        <filter val="G.6.2.3"/>
        <filter val="G.6.2.4"/>
        <filter val="G.6.2.5"/>
        <filter val="G.6.2.6"/>
        <filter val="G.6.2.7"/>
        <filter val="G.7"/>
        <filter val="G.7.1"/>
        <filter val="G.7.1.1"/>
        <filter val="G.7.1.2"/>
        <filter val="G.7.1.3"/>
        <filter val="G.7.1.4"/>
        <filter val="G.7.1.5"/>
        <filter val="G.7.1.6"/>
        <filter val="G.7.1.7"/>
        <filter val="G.7.2"/>
        <filter val="G.7.2.1"/>
        <filter val="G.7.2.10"/>
        <filter val="G.7.2.11"/>
        <filter val="G.7.2.12"/>
        <filter val="G.7.2.13"/>
        <filter val="G.7.2.14"/>
        <filter val="G.7.2.15"/>
        <filter val="G.7.2.2"/>
        <filter val="G.7.2.3"/>
        <filter val="G.7.2.4"/>
        <filter val="G.7.2.5"/>
        <filter val="G.7.2.6"/>
        <filter val="G.7.2.7"/>
        <filter val="G.7.2.8"/>
        <filter val="G.7.2.9"/>
        <filter val="G.7.3"/>
        <filter val="G.7.3.1"/>
        <filter val="G.7.3.10"/>
        <filter val="G.7.3.11"/>
        <filter val="G.7.3.12"/>
        <filter val="G.7.3.13"/>
        <filter val="G.7.3.2"/>
        <filter val="G.7.3.3"/>
        <filter val="G.7.3.4"/>
        <filter val="G.7.3.5"/>
        <filter val="G.7.3.6"/>
        <filter val="G.7.3.7"/>
        <filter val="G.7.3.8"/>
        <filter val="G.7.3.9"/>
        <filter val="G.7.4"/>
        <filter val="G.7.4.1"/>
        <filter val="G.7.4.2"/>
        <filter val="G.7.4.3"/>
        <filter val="G.7.4.4"/>
        <filter val="G.7.4.5"/>
        <filter val="G.7.4.6"/>
        <filter val="G.7.5"/>
        <filter val="G.7.5.1"/>
        <filter val="G.7.5.2"/>
        <filter val="G.7.5.3"/>
        <filter val="G.7.5.4"/>
        <filter val="G.7.5.5"/>
        <filter val="G.7.5.6"/>
        <filter val="G.7.5.7"/>
        <filter val="G.7.5.8"/>
        <filter val="G.7.5.9"/>
        <filter val="G.7.6"/>
        <filter val="G.7.6.1"/>
        <filter val="G.7.6.2"/>
        <filter val="G.7.7"/>
        <filter val="G.7.7.1"/>
        <filter val="G.7.7.10"/>
        <filter val="G.7.7.11"/>
        <filter val="G.7.7.12"/>
        <filter val="G.7.7.13"/>
        <filter val="G.7.7.14"/>
        <filter val="G.7.7.15"/>
        <filter val="G.7.7.16"/>
        <filter val="G.7.7.2"/>
        <filter val="G.7.7.3"/>
        <filter val="G.7.7.4"/>
        <filter val="G.7.7.5"/>
        <filter val="G.7.7.6"/>
        <filter val="G.7.7.7"/>
        <filter val="G.7.7.8"/>
        <filter val="G.7.7.9"/>
        <filter val="ITEM"/>
        <filter val="MUNICÍPIO:"/>
        <filter val="OBJETO:"/>
      </filters>
    </filterColumn>
  </autoFilter>
  <mergeCells count="6">
    <mergeCell ref="G6:I6"/>
    <mergeCell ref="B1:I1"/>
    <mergeCell ref="B2:I2"/>
    <mergeCell ref="B3:I3"/>
    <mergeCell ref="B4:I4"/>
    <mergeCell ref="A5:I5"/>
  </mergeCells>
  <printOptions horizontalCentered="1"/>
  <pageMargins left="0.39370078740157477" right="0.39370078740157477" top="0.39370078740157477" bottom="0.39370078740157477" header="0" footer="0"/>
  <pageSetup paperSize="9" fitToHeight="0" orientation="portrait" cellComments="atEnd"/>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outlinePr summaryBelow="0" summaryRight="0"/>
  </sheetPr>
  <dimension ref="A1:J139"/>
  <sheetViews>
    <sheetView workbookViewId="0"/>
  </sheetViews>
  <sheetFormatPr defaultColWidth="12.5703125" defaultRowHeight="15" customHeight="1"/>
  <cols>
    <col min="1" max="1" width="12.5703125" customWidth="1"/>
    <col min="2" max="2" width="13" customWidth="1"/>
    <col min="3" max="3" width="69.7109375" customWidth="1"/>
    <col min="4" max="4" width="6.5703125" customWidth="1"/>
    <col min="5" max="5" width="13.7109375" bestFit="1" customWidth="1"/>
    <col min="6" max="6" width="7.28515625" customWidth="1"/>
    <col min="7" max="7" width="21.85546875" customWidth="1"/>
  </cols>
  <sheetData>
    <row r="1" spans="1:10" ht="15" customHeight="1">
      <c r="A1" s="1772" t="s">
        <v>15488</v>
      </c>
      <c r="B1" s="1772" t="s">
        <v>15927</v>
      </c>
      <c r="C1" s="1773" t="s">
        <v>15928</v>
      </c>
      <c r="D1" s="1774" t="s">
        <v>15490</v>
      </c>
      <c r="E1" s="1775" t="s">
        <v>16580</v>
      </c>
      <c r="F1" s="1776"/>
      <c r="G1" s="1777"/>
    </row>
    <row r="2" spans="1:10">
      <c r="A2" s="1778">
        <v>1704</v>
      </c>
      <c r="B2" s="1779" t="s">
        <v>14502</v>
      </c>
      <c r="C2" s="1780" t="s">
        <v>16581</v>
      </c>
      <c r="D2" s="1781" t="s">
        <v>6</v>
      </c>
      <c r="E2" s="1781">
        <f>I2</f>
        <v>113.15</v>
      </c>
      <c r="F2" s="1782"/>
      <c r="G2" s="1783">
        <v>124.21</v>
      </c>
      <c r="H2" s="1789">
        <v>8.8999999999999996E-2</v>
      </c>
      <c r="I2">
        <v>113.15</v>
      </c>
    </row>
    <row r="3" spans="1:10" ht="25.5">
      <c r="A3" s="1778">
        <v>1719</v>
      </c>
      <c r="B3" s="1779" t="s">
        <v>14502</v>
      </c>
      <c r="C3" s="1780" t="s">
        <v>16582</v>
      </c>
      <c r="D3" s="1781" t="s">
        <v>409</v>
      </c>
      <c r="E3" s="1781">
        <f t="shared" ref="E3:E66" si="0">I3</f>
        <v>1038.93</v>
      </c>
      <c r="F3" s="1782"/>
      <c r="G3" s="1783">
        <v>1140.43</v>
      </c>
      <c r="H3" s="1789">
        <v>8.8999999999999996E-2</v>
      </c>
      <c r="I3">
        <v>1038.93</v>
      </c>
    </row>
    <row r="4" spans="1:10">
      <c r="A4" s="1778">
        <v>8376</v>
      </c>
      <c r="B4" s="1779" t="s">
        <v>14502</v>
      </c>
      <c r="C4" s="1780" t="s">
        <v>16583</v>
      </c>
      <c r="D4" s="1781" t="s">
        <v>6</v>
      </c>
      <c r="E4" s="1781">
        <f t="shared" si="0"/>
        <v>33.520000000000003</v>
      </c>
      <c r="F4" s="1782"/>
      <c r="G4" s="1783">
        <v>36.799999999999997</v>
      </c>
      <c r="H4" s="1789">
        <v>8.8999999999999996E-2</v>
      </c>
      <c r="I4">
        <v>33.520000000000003</v>
      </c>
    </row>
    <row r="5" spans="1:10" ht="25.5">
      <c r="A5" s="1778">
        <v>2662</v>
      </c>
      <c r="B5" s="1779" t="s">
        <v>14502</v>
      </c>
      <c r="C5" s="1780" t="s">
        <v>16584</v>
      </c>
      <c r="D5" s="1781" t="s">
        <v>6</v>
      </c>
      <c r="E5" s="1781">
        <f t="shared" si="0"/>
        <v>65.09</v>
      </c>
      <c r="F5" s="1782"/>
      <c r="G5" s="1783">
        <v>71.45</v>
      </c>
      <c r="H5" s="1789">
        <v>8.8999999999999996E-2</v>
      </c>
      <c r="I5">
        <v>65.09</v>
      </c>
    </row>
    <row r="6" spans="1:10">
      <c r="A6" s="1778" t="s">
        <v>15407</v>
      </c>
      <c r="B6" s="1606" t="s">
        <v>15166</v>
      </c>
      <c r="C6" s="1780" t="s">
        <v>16585</v>
      </c>
      <c r="D6" s="1781" t="s">
        <v>6</v>
      </c>
      <c r="E6" s="1781">
        <f t="shared" si="0"/>
        <v>5.1100000000000003</v>
      </c>
      <c r="F6" s="1782"/>
      <c r="G6" s="1783">
        <v>5.65</v>
      </c>
      <c r="H6" s="1789">
        <v>8.8999999999999996E-2</v>
      </c>
      <c r="I6" s="1865">
        <v>5.1100000000000003</v>
      </c>
    </row>
    <row r="7" spans="1:10">
      <c r="A7" s="1778" t="s">
        <v>15059</v>
      </c>
      <c r="B7" s="1606" t="s">
        <v>15166</v>
      </c>
      <c r="C7" s="1780" t="s">
        <v>16586</v>
      </c>
      <c r="D7" s="1781" t="s">
        <v>6</v>
      </c>
      <c r="E7" s="1781">
        <f t="shared" si="0"/>
        <v>30.38</v>
      </c>
      <c r="F7" s="1782"/>
      <c r="G7" s="1783">
        <v>33.35</v>
      </c>
      <c r="H7" s="1789">
        <v>8.8999999999999996E-2</v>
      </c>
      <c r="I7">
        <v>30.38</v>
      </c>
    </row>
    <row r="8" spans="1:10">
      <c r="A8" s="1778">
        <v>3130</v>
      </c>
      <c r="B8" s="1606" t="s">
        <v>15166</v>
      </c>
      <c r="C8" s="1780" t="s">
        <v>16587</v>
      </c>
      <c r="D8" s="1781" t="s">
        <v>6</v>
      </c>
      <c r="E8" s="1781">
        <f t="shared" si="0"/>
        <v>52.85</v>
      </c>
      <c r="F8" s="1782"/>
      <c r="G8" s="1783">
        <v>58.03</v>
      </c>
      <c r="H8" s="1789">
        <v>8.8999999999999996E-2</v>
      </c>
      <c r="I8">
        <v>52.85</v>
      </c>
    </row>
    <row r="9" spans="1:10">
      <c r="A9" s="1778">
        <v>3939</v>
      </c>
      <c r="B9" s="1784" t="s">
        <v>15166</v>
      </c>
      <c r="C9" s="1780" t="s">
        <v>16588</v>
      </c>
      <c r="D9" s="1781" t="s">
        <v>6</v>
      </c>
      <c r="E9" s="1781">
        <f t="shared" si="0"/>
        <v>59.86</v>
      </c>
      <c r="F9" s="1782"/>
      <c r="G9" s="1783">
        <v>65.709999999999994</v>
      </c>
      <c r="H9" s="1789">
        <v>8.8999999999999996E-2</v>
      </c>
      <c r="I9">
        <v>59.86</v>
      </c>
    </row>
    <row r="10" spans="1:10">
      <c r="A10" s="1778">
        <v>3942</v>
      </c>
      <c r="B10" s="1785" t="s">
        <v>15166</v>
      </c>
      <c r="C10" s="1780" t="s">
        <v>16589</v>
      </c>
      <c r="D10" s="1781" t="s">
        <v>6</v>
      </c>
      <c r="E10" s="1781">
        <f t="shared" si="0"/>
        <v>160.47999999999999</v>
      </c>
      <c r="F10" s="1782"/>
      <c r="G10" s="1783">
        <v>176.16</v>
      </c>
      <c r="H10" s="1789">
        <v>8.8999999999999996E-2</v>
      </c>
      <c r="I10">
        <v>160.47999999999999</v>
      </c>
    </row>
    <row r="11" spans="1:10">
      <c r="A11" s="1778" t="s">
        <v>15432</v>
      </c>
      <c r="B11" s="1606" t="s">
        <v>15166</v>
      </c>
      <c r="C11" s="1780" t="s">
        <v>16590</v>
      </c>
      <c r="D11" s="1781" t="s">
        <v>6</v>
      </c>
      <c r="E11" s="1781">
        <f t="shared" si="0"/>
        <v>38.57</v>
      </c>
      <c r="F11" s="1782"/>
      <c r="G11" s="1783">
        <v>42.34</v>
      </c>
      <c r="H11" s="1789">
        <v>8.8999999999999996E-2</v>
      </c>
      <c r="I11">
        <v>38.57</v>
      </c>
    </row>
    <row r="12" spans="1:10">
      <c r="A12" s="1778">
        <v>1974</v>
      </c>
      <c r="B12" s="1606" t="s">
        <v>15166</v>
      </c>
      <c r="C12" s="1780" t="s">
        <v>16591</v>
      </c>
      <c r="D12" s="1781" t="s">
        <v>152</v>
      </c>
      <c r="E12" s="1781">
        <f t="shared" si="0"/>
        <v>546.6</v>
      </c>
      <c r="F12" s="1782"/>
      <c r="G12" s="1783">
        <v>600</v>
      </c>
      <c r="H12" s="1789">
        <v>8.8999999999999996E-2</v>
      </c>
      <c r="I12">
        <v>546.6</v>
      </c>
    </row>
    <row r="13" spans="1:10" ht="25.5">
      <c r="A13" s="1778">
        <v>2995</v>
      </c>
      <c r="B13" s="1606" t="s">
        <v>15166</v>
      </c>
      <c r="C13" s="1780" t="s">
        <v>16592</v>
      </c>
      <c r="D13" s="1781" t="s">
        <v>409</v>
      </c>
      <c r="E13" s="1781">
        <f t="shared" si="0"/>
        <v>869</v>
      </c>
      <c r="F13" s="1782"/>
      <c r="G13" s="1783">
        <v>953.9</v>
      </c>
      <c r="H13" s="1789">
        <v>8.8999999999999996E-2</v>
      </c>
      <c r="I13">
        <v>869</v>
      </c>
    </row>
    <row r="14" spans="1:10" ht="25.5">
      <c r="A14" s="1778">
        <v>2010055</v>
      </c>
      <c r="B14" s="1779" t="s">
        <v>14484</v>
      </c>
      <c r="C14" s="1780" t="s">
        <v>16593</v>
      </c>
      <c r="D14" s="1781" t="s">
        <v>6</v>
      </c>
      <c r="E14" s="1781">
        <f t="shared" si="0"/>
        <v>9.2100000000000009</v>
      </c>
      <c r="F14" s="1782"/>
      <c r="G14" s="1783">
        <v>10.11</v>
      </c>
      <c r="H14" s="1789">
        <v>8.8999999999999996E-2</v>
      </c>
      <c r="I14">
        <f t="shared" ref="I14:I66" si="1">TRUNC((1-H14)*G14,2)</f>
        <v>9.2100000000000009</v>
      </c>
      <c r="J14" s="1790" t="e">
        <f>'Medição '!#REF!</f>
        <v>#REF!</v>
      </c>
    </row>
    <row r="15" spans="1:10">
      <c r="A15" s="1778" t="s">
        <v>14486</v>
      </c>
      <c r="B15" s="1779" t="s">
        <v>14484</v>
      </c>
      <c r="C15" s="1780" t="s">
        <v>16594</v>
      </c>
      <c r="D15" s="1781" t="s">
        <v>6</v>
      </c>
      <c r="E15" s="1781">
        <f t="shared" si="0"/>
        <v>138.77000000000001</v>
      </c>
      <c r="F15" s="1782"/>
      <c r="G15" s="1783">
        <v>152.33000000000001</v>
      </c>
      <c r="H15" s="1789">
        <v>8.8999999999999996E-2</v>
      </c>
      <c r="I15">
        <v>138.77000000000001</v>
      </c>
    </row>
    <row r="16" spans="1:10">
      <c r="A16" s="1778" t="s">
        <v>14985</v>
      </c>
      <c r="B16" s="1779" t="s">
        <v>14522</v>
      </c>
      <c r="C16" s="1780" t="s">
        <v>16595</v>
      </c>
      <c r="D16" s="1781" t="s">
        <v>409</v>
      </c>
      <c r="E16" s="1781">
        <f t="shared" si="0"/>
        <v>1188.03</v>
      </c>
      <c r="F16" s="1782"/>
      <c r="G16" s="1783">
        <v>1304.0999999999999</v>
      </c>
      <c r="H16" s="1789">
        <v>8.8999999999999996E-2</v>
      </c>
      <c r="I16">
        <f t="shared" si="1"/>
        <v>1188.03</v>
      </c>
    </row>
    <row r="17" spans="1:9" ht="25.5">
      <c r="A17" s="1778" t="s">
        <v>14756</v>
      </c>
      <c r="B17" s="1779" t="s">
        <v>14522</v>
      </c>
      <c r="C17" s="1780" t="s">
        <v>16596</v>
      </c>
      <c r="D17" s="1781" t="s">
        <v>409</v>
      </c>
      <c r="E17" s="1781">
        <f t="shared" si="0"/>
        <v>974.3</v>
      </c>
      <c r="F17" s="1782"/>
      <c r="G17" s="1783">
        <v>1069.49</v>
      </c>
      <c r="H17" s="1789">
        <v>8.8999999999999996E-2</v>
      </c>
      <c r="I17">
        <f t="shared" si="1"/>
        <v>974.3</v>
      </c>
    </row>
    <row r="18" spans="1:9" ht="25.5">
      <c r="A18" s="1778" t="s">
        <v>14988</v>
      </c>
      <c r="B18" s="1779" t="s">
        <v>14522</v>
      </c>
      <c r="C18" s="1780" t="s">
        <v>16597</v>
      </c>
      <c r="D18" s="1781" t="s">
        <v>409</v>
      </c>
      <c r="E18" s="1781">
        <f t="shared" si="0"/>
        <v>1167.3499999999999</v>
      </c>
      <c r="F18" s="1782"/>
      <c r="G18" s="1783">
        <v>1281.4000000000001</v>
      </c>
      <c r="H18" s="1789">
        <v>8.8999999999999996E-2</v>
      </c>
      <c r="I18">
        <f t="shared" si="1"/>
        <v>1167.3499999999999</v>
      </c>
    </row>
    <row r="19" spans="1:9" ht="38.25">
      <c r="A19" s="1778" t="s">
        <v>14568</v>
      </c>
      <c r="B19" s="1779" t="s">
        <v>14522</v>
      </c>
      <c r="C19" s="1780" t="s">
        <v>16598</v>
      </c>
      <c r="D19" s="1781" t="s">
        <v>2562</v>
      </c>
      <c r="E19" s="1781">
        <f t="shared" si="0"/>
        <v>19975.259999999998</v>
      </c>
      <c r="F19" s="1782"/>
      <c r="G19" s="1783">
        <v>21926.75</v>
      </c>
      <c r="H19" s="1789">
        <v>8.8999999999999996E-2</v>
      </c>
      <c r="I19">
        <f t="shared" si="1"/>
        <v>19975.259999999998</v>
      </c>
    </row>
    <row r="20" spans="1:9" ht="38.25">
      <c r="A20" s="1778" t="s">
        <v>14524</v>
      </c>
      <c r="B20" s="1779" t="s">
        <v>14522</v>
      </c>
      <c r="C20" s="1780" t="s">
        <v>16599</v>
      </c>
      <c r="D20" s="1781" t="s">
        <v>156</v>
      </c>
      <c r="E20" s="1781">
        <f t="shared" si="0"/>
        <v>799.29</v>
      </c>
      <c r="F20" s="1782"/>
      <c r="G20" s="1783">
        <v>877.38</v>
      </c>
      <c r="H20" s="1789">
        <v>8.8999999999999996E-2</v>
      </c>
      <c r="I20">
        <f t="shared" si="1"/>
        <v>799.29</v>
      </c>
    </row>
    <row r="21" spans="1:9">
      <c r="A21" s="1778" t="s">
        <v>14859</v>
      </c>
      <c r="B21" s="1606" t="s">
        <v>14522</v>
      </c>
      <c r="C21" s="1780" t="s">
        <v>16600</v>
      </c>
      <c r="D21" s="1781" t="s">
        <v>50</v>
      </c>
      <c r="E21" s="1781">
        <f t="shared" si="0"/>
        <v>0.16</v>
      </c>
      <c r="F21" s="1782"/>
      <c r="G21" s="1783">
        <v>0.18</v>
      </c>
      <c r="H21" s="1789">
        <v>8.8999999999999996E-2</v>
      </c>
      <c r="I21">
        <f t="shared" si="1"/>
        <v>0.16</v>
      </c>
    </row>
    <row r="22" spans="1:9" ht="25.5">
      <c r="A22" s="1778" t="s">
        <v>14825</v>
      </c>
      <c r="B22" s="1606" t="s">
        <v>14522</v>
      </c>
      <c r="C22" s="1780" t="s">
        <v>16601</v>
      </c>
      <c r="D22" s="1781" t="s">
        <v>6</v>
      </c>
      <c r="E22" s="1781">
        <f t="shared" si="0"/>
        <v>0.31</v>
      </c>
      <c r="F22" s="1782"/>
      <c r="G22" s="1783">
        <v>0.35</v>
      </c>
      <c r="H22" s="1789">
        <v>8.8999999999999996E-2</v>
      </c>
      <c r="I22">
        <f t="shared" si="1"/>
        <v>0.31</v>
      </c>
    </row>
    <row r="23" spans="1:9" ht="25.5">
      <c r="A23" s="1778" t="s">
        <v>14826</v>
      </c>
      <c r="B23" s="1785" t="s">
        <v>14522</v>
      </c>
      <c r="C23" s="1780" t="s">
        <v>16602</v>
      </c>
      <c r="D23" s="1781" t="s">
        <v>409</v>
      </c>
      <c r="E23" s="1781">
        <f t="shared" si="0"/>
        <v>153.37</v>
      </c>
      <c r="F23" s="1782"/>
      <c r="G23" s="1783">
        <v>168.36</v>
      </c>
      <c r="H23" s="1789">
        <v>8.8999999999999996E-2</v>
      </c>
      <c r="I23">
        <f t="shared" si="1"/>
        <v>153.37</v>
      </c>
    </row>
    <row r="24" spans="1:9">
      <c r="A24" s="1778" t="s">
        <v>14831</v>
      </c>
      <c r="B24" s="1779" t="s">
        <v>14522</v>
      </c>
      <c r="C24" s="1780" t="s">
        <v>16603</v>
      </c>
      <c r="D24" s="1781" t="s">
        <v>409</v>
      </c>
      <c r="E24" s="1781">
        <f t="shared" si="0"/>
        <v>54.32</v>
      </c>
      <c r="F24" s="1782"/>
      <c r="G24" s="1783">
        <v>59.63</v>
      </c>
      <c r="H24" s="1789">
        <v>8.8999999999999996E-2</v>
      </c>
      <c r="I24">
        <f t="shared" si="1"/>
        <v>54.32</v>
      </c>
    </row>
    <row r="25" spans="1:9">
      <c r="A25" s="1778" t="s">
        <v>14872</v>
      </c>
      <c r="B25" s="1779" t="s">
        <v>14522</v>
      </c>
      <c r="C25" s="1780" t="s">
        <v>16604</v>
      </c>
      <c r="D25" s="1781" t="s">
        <v>6</v>
      </c>
      <c r="E25" s="1781">
        <f t="shared" si="0"/>
        <v>729.9</v>
      </c>
      <c r="F25" s="1782"/>
      <c r="G25" s="1783">
        <v>801.21</v>
      </c>
      <c r="H25" s="1789">
        <v>8.8999999999999996E-2</v>
      </c>
      <c r="I25">
        <f t="shared" si="1"/>
        <v>729.9</v>
      </c>
    </row>
    <row r="26" spans="1:9" ht="25.5">
      <c r="A26" s="1778" t="s">
        <v>15016</v>
      </c>
      <c r="B26" s="1784" t="s">
        <v>14522</v>
      </c>
      <c r="C26" s="1780" t="s">
        <v>16605</v>
      </c>
      <c r="D26" s="1781" t="s">
        <v>409</v>
      </c>
      <c r="E26" s="1781">
        <f t="shared" si="0"/>
        <v>1016.12</v>
      </c>
      <c r="F26" s="1782"/>
      <c r="G26" s="1783">
        <v>1115.4000000000001</v>
      </c>
      <c r="H26" s="1789">
        <v>8.8999999999999996E-2</v>
      </c>
      <c r="I26">
        <f t="shared" si="1"/>
        <v>1016.12</v>
      </c>
    </row>
    <row r="27" spans="1:9">
      <c r="A27" s="1778" t="s">
        <v>15011</v>
      </c>
      <c r="B27" s="1779" t="s">
        <v>14522</v>
      </c>
      <c r="C27" s="1780" t="s">
        <v>16606</v>
      </c>
      <c r="D27" s="1781" t="s">
        <v>409</v>
      </c>
      <c r="E27" s="1781">
        <f t="shared" si="0"/>
        <v>806.72</v>
      </c>
      <c r="F27" s="1782"/>
      <c r="G27" s="1783">
        <v>885.54</v>
      </c>
      <c r="H27" s="1789">
        <v>8.8999999999999996E-2</v>
      </c>
      <c r="I27">
        <f t="shared" si="1"/>
        <v>806.72</v>
      </c>
    </row>
    <row r="28" spans="1:9">
      <c r="A28" s="1778" t="s">
        <v>15395</v>
      </c>
      <c r="B28" s="1779" t="s">
        <v>14522</v>
      </c>
      <c r="C28" s="1780" t="s">
        <v>16607</v>
      </c>
      <c r="D28" s="1781" t="s">
        <v>6</v>
      </c>
      <c r="E28" s="1781">
        <f t="shared" si="0"/>
        <v>21.89</v>
      </c>
      <c r="F28" s="1782"/>
      <c r="G28" s="1783">
        <v>24.03</v>
      </c>
      <c r="H28" s="1789">
        <v>8.8999999999999996E-2</v>
      </c>
      <c r="I28">
        <f t="shared" si="1"/>
        <v>21.89</v>
      </c>
    </row>
    <row r="29" spans="1:9" ht="25.5">
      <c r="A29" s="1778" t="s">
        <v>15394</v>
      </c>
      <c r="B29" s="1779" t="s">
        <v>14522</v>
      </c>
      <c r="C29" s="1780" t="s">
        <v>16608</v>
      </c>
      <c r="D29" s="1781" t="s">
        <v>6</v>
      </c>
      <c r="E29" s="1781">
        <f t="shared" si="0"/>
        <v>20.25</v>
      </c>
      <c r="F29" s="1782"/>
      <c r="G29" s="1783">
        <v>22.23</v>
      </c>
      <c r="H29" s="1789">
        <v>8.8999999999999996E-2</v>
      </c>
      <c r="I29">
        <f t="shared" si="1"/>
        <v>20.25</v>
      </c>
    </row>
    <row r="30" spans="1:9" ht="25.5">
      <c r="A30" s="1778" t="s">
        <v>14860</v>
      </c>
      <c r="B30" s="1779" t="s">
        <v>14522</v>
      </c>
      <c r="C30" s="1780" t="s">
        <v>16609</v>
      </c>
      <c r="D30" s="1781" t="s">
        <v>6</v>
      </c>
      <c r="E30" s="1781">
        <f t="shared" si="0"/>
        <v>489.72</v>
      </c>
      <c r="F30" s="1782"/>
      <c r="G30" s="1783">
        <v>537.57000000000005</v>
      </c>
      <c r="H30" s="1789">
        <v>8.8999999999999996E-2</v>
      </c>
      <c r="I30">
        <f t="shared" si="1"/>
        <v>489.72</v>
      </c>
    </row>
    <row r="31" spans="1:9" ht="25.5">
      <c r="A31" s="1778" t="s">
        <v>14531</v>
      </c>
      <c r="B31" s="1779" t="s">
        <v>14522</v>
      </c>
      <c r="C31" s="1780" t="s">
        <v>16610</v>
      </c>
      <c r="D31" s="1781" t="s">
        <v>50</v>
      </c>
      <c r="E31" s="1781">
        <f t="shared" si="0"/>
        <v>1443.82</v>
      </c>
      <c r="F31" s="1782"/>
      <c r="G31" s="1783">
        <v>1584.88</v>
      </c>
      <c r="H31" s="1789">
        <v>8.8999999999999996E-2</v>
      </c>
      <c r="I31">
        <f t="shared" si="1"/>
        <v>1443.82</v>
      </c>
    </row>
    <row r="32" spans="1:9" ht="25.5">
      <c r="A32" s="1778" t="s">
        <v>15320</v>
      </c>
      <c r="B32" s="1779" t="s">
        <v>14522</v>
      </c>
      <c r="C32" s="1780" t="s">
        <v>16611</v>
      </c>
      <c r="D32" s="1781" t="s">
        <v>6</v>
      </c>
      <c r="E32" s="1781">
        <f t="shared" si="0"/>
        <v>221.4</v>
      </c>
      <c r="F32" s="1782"/>
      <c r="G32" s="1783">
        <v>243.04</v>
      </c>
      <c r="H32" s="1789">
        <v>8.8999999999999996E-2</v>
      </c>
      <c r="I32">
        <f t="shared" si="1"/>
        <v>221.4</v>
      </c>
    </row>
    <row r="33" spans="1:9">
      <c r="A33" s="1778" t="s">
        <v>14541</v>
      </c>
      <c r="B33" s="1779" t="s">
        <v>14540</v>
      </c>
      <c r="C33" s="1780" t="s">
        <v>16612</v>
      </c>
      <c r="D33" s="1781" t="s">
        <v>409</v>
      </c>
      <c r="E33" s="1781">
        <f t="shared" si="0"/>
        <v>316.73</v>
      </c>
      <c r="F33" s="1782"/>
      <c r="G33" s="1783">
        <v>347.68</v>
      </c>
      <c r="H33" s="1789">
        <v>8.8999999999999996E-2</v>
      </c>
      <c r="I33">
        <f t="shared" si="1"/>
        <v>316.73</v>
      </c>
    </row>
    <row r="34" spans="1:9">
      <c r="A34" s="1778" t="s">
        <v>15427</v>
      </c>
      <c r="B34" s="1779" t="s">
        <v>14540</v>
      </c>
      <c r="C34" s="1780" t="s">
        <v>16613</v>
      </c>
      <c r="D34" s="1781" t="s">
        <v>6</v>
      </c>
      <c r="E34" s="1781">
        <f t="shared" si="0"/>
        <v>911</v>
      </c>
      <c r="F34" s="1782"/>
      <c r="G34" s="1783">
        <v>1000</v>
      </c>
      <c r="H34" s="1789">
        <v>8.8999999999999996E-2</v>
      </c>
      <c r="I34">
        <f t="shared" si="1"/>
        <v>911</v>
      </c>
    </row>
    <row r="35" spans="1:9" ht="25.5">
      <c r="A35" s="1778">
        <v>10962</v>
      </c>
      <c r="B35" s="1779" t="s">
        <v>15226</v>
      </c>
      <c r="C35" s="1780" t="s">
        <v>16614</v>
      </c>
      <c r="D35" s="1781" t="s">
        <v>6</v>
      </c>
      <c r="E35" s="1781">
        <f t="shared" si="0"/>
        <v>318.85000000000002</v>
      </c>
      <c r="F35" s="1782"/>
      <c r="G35" s="1783">
        <v>350</v>
      </c>
      <c r="H35" s="1789">
        <v>8.8999999999999996E-2</v>
      </c>
      <c r="I35">
        <f t="shared" si="1"/>
        <v>318.85000000000002</v>
      </c>
    </row>
    <row r="36" spans="1:9" ht="25.5">
      <c r="A36" s="1778">
        <v>14424</v>
      </c>
      <c r="B36" s="1779" t="s">
        <v>15226</v>
      </c>
      <c r="C36" s="1780" t="s">
        <v>16615</v>
      </c>
      <c r="D36" s="1781" t="s">
        <v>6</v>
      </c>
      <c r="E36" s="1781">
        <f t="shared" si="0"/>
        <v>5158.99</v>
      </c>
      <c r="F36" s="1782"/>
      <c r="G36" s="1781">
        <v>5663</v>
      </c>
      <c r="H36" s="1789">
        <v>8.8999999999999996E-2</v>
      </c>
      <c r="I36">
        <f t="shared" si="1"/>
        <v>5158.99</v>
      </c>
    </row>
    <row r="37" spans="1:9">
      <c r="A37" s="1778">
        <v>13846</v>
      </c>
      <c r="B37" s="1779" t="s">
        <v>15226</v>
      </c>
      <c r="C37" s="1780" t="s">
        <v>16616</v>
      </c>
      <c r="D37" s="1781" t="s">
        <v>6</v>
      </c>
      <c r="E37" s="1781">
        <f t="shared" si="0"/>
        <v>37.479999999999997</v>
      </c>
      <c r="F37" s="1782"/>
      <c r="G37" s="1783">
        <v>41.15</v>
      </c>
      <c r="H37" s="1789">
        <v>8.8999999999999996E-2</v>
      </c>
      <c r="I37">
        <f t="shared" si="1"/>
        <v>37.479999999999997</v>
      </c>
    </row>
    <row r="38" spans="1:9">
      <c r="A38" s="1778" t="s">
        <v>14639</v>
      </c>
      <c r="B38" s="1785" t="s">
        <v>14489</v>
      </c>
      <c r="C38" s="1780" t="s">
        <v>16617</v>
      </c>
      <c r="D38" s="1781" t="s">
        <v>6</v>
      </c>
      <c r="E38" s="1781">
        <f t="shared" si="0"/>
        <v>1.68</v>
      </c>
      <c r="F38" s="1782"/>
      <c r="G38" s="1783">
        <v>1.85</v>
      </c>
      <c r="H38" s="1789">
        <v>8.8999999999999996E-2</v>
      </c>
      <c r="I38">
        <f t="shared" si="1"/>
        <v>1.68</v>
      </c>
    </row>
    <row r="39" spans="1:9">
      <c r="A39" s="1778" t="s">
        <v>15094</v>
      </c>
      <c r="B39" s="1779" t="s">
        <v>14489</v>
      </c>
      <c r="C39" s="1780" t="s">
        <v>16618</v>
      </c>
      <c r="D39" s="1781" t="s">
        <v>6</v>
      </c>
      <c r="E39" s="1781">
        <f t="shared" si="0"/>
        <v>26.46</v>
      </c>
      <c r="F39" s="1782"/>
      <c r="G39" s="1783">
        <v>29.05</v>
      </c>
      <c r="H39" s="1789">
        <v>8.8999999999999996E-2</v>
      </c>
      <c r="I39">
        <f t="shared" si="1"/>
        <v>26.46</v>
      </c>
    </row>
    <row r="40" spans="1:9">
      <c r="A40" s="1778" t="s">
        <v>15085</v>
      </c>
      <c r="B40" s="1779" t="s">
        <v>14489</v>
      </c>
      <c r="C40" s="1780" t="s">
        <v>16619</v>
      </c>
      <c r="D40" s="1781" t="s">
        <v>409</v>
      </c>
      <c r="E40" s="1781">
        <f t="shared" si="0"/>
        <v>56.05</v>
      </c>
      <c r="F40" s="1782"/>
      <c r="G40" s="1783">
        <v>61.53</v>
      </c>
      <c r="H40" s="1789">
        <v>8.8999999999999996E-2</v>
      </c>
      <c r="I40">
        <f t="shared" si="1"/>
        <v>56.05</v>
      </c>
    </row>
    <row r="41" spans="1:9">
      <c r="A41" s="1778" t="s">
        <v>15040</v>
      </c>
      <c r="B41" s="1779" t="s">
        <v>14489</v>
      </c>
      <c r="C41" s="1780" t="s">
        <v>16620</v>
      </c>
      <c r="D41" s="1781" t="s">
        <v>6</v>
      </c>
      <c r="E41" s="1781">
        <f t="shared" si="0"/>
        <v>225.16</v>
      </c>
      <c r="F41" s="1782"/>
      <c r="G41" s="1783">
        <v>247.16</v>
      </c>
      <c r="H41" s="1789">
        <v>8.8999999999999996E-2</v>
      </c>
      <c r="I41">
        <f t="shared" si="1"/>
        <v>225.16</v>
      </c>
    </row>
    <row r="42" spans="1:9">
      <c r="A42" s="1778">
        <v>65670</v>
      </c>
      <c r="B42" s="1779" t="s">
        <v>15401</v>
      </c>
      <c r="C42" s="1780" t="s">
        <v>16621</v>
      </c>
      <c r="D42" s="1781" t="s">
        <v>6</v>
      </c>
      <c r="E42" s="1781">
        <f t="shared" si="0"/>
        <v>93.51</v>
      </c>
      <c r="F42" s="1782"/>
      <c r="G42" s="1783">
        <v>102.65</v>
      </c>
      <c r="H42" s="1789">
        <v>8.8999999999999996E-2</v>
      </c>
      <c r="I42">
        <f t="shared" si="1"/>
        <v>93.51</v>
      </c>
    </row>
    <row r="43" spans="1:9">
      <c r="A43" s="1778">
        <v>69525</v>
      </c>
      <c r="B43" s="1779" t="s">
        <v>15401</v>
      </c>
      <c r="C43" s="1780" t="s">
        <v>16622</v>
      </c>
      <c r="D43" s="1781" t="s">
        <v>6</v>
      </c>
      <c r="E43" s="1781">
        <f t="shared" si="0"/>
        <v>1893.92</v>
      </c>
      <c r="F43" s="1782"/>
      <c r="G43" s="1783">
        <v>2078.9499999999998</v>
      </c>
      <c r="H43" s="1789">
        <v>8.8999999999999996E-2</v>
      </c>
      <c r="I43">
        <f t="shared" si="1"/>
        <v>1893.92</v>
      </c>
    </row>
    <row r="44" spans="1:9">
      <c r="A44" s="1778">
        <v>162</v>
      </c>
      <c r="B44" s="1606" t="s">
        <v>14600</v>
      </c>
      <c r="C44" s="1780" t="s">
        <v>16623</v>
      </c>
      <c r="D44" s="1781" t="s">
        <v>6</v>
      </c>
      <c r="E44" s="1781">
        <f t="shared" si="0"/>
        <v>0.89</v>
      </c>
      <c r="F44" s="1782"/>
      <c r="G44" s="1783">
        <v>0.98</v>
      </c>
      <c r="H44" s="1789">
        <v>8.8999999999999996E-2</v>
      </c>
      <c r="I44">
        <f t="shared" si="1"/>
        <v>0.89</v>
      </c>
    </row>
    <row r="45" spans="1:9">
      <c r="A45" s="1778">
        <v>295</v>
      </c>
      <c r="B45" s="1779" t="s">
        <v>14600</v>
      </c>
      <c r="C45" s="1780" t="s">
        <v>16624</v>
      </c>
      <c r="D45" s="1781" t="s">
        <v>6</v>
      </c>
      <c r="E45" s="1781">
        <f t="shared" si="0"/>
        <v>0.5</v>
      </c>
      <c r="F45" s="1782"/>
      <c r="G45" s="1783">
        <v>0.55000000000000004</v>
      </c>
      <c r="H45" s="1789">
        <v>8.8999999999999996E-2</v>
      </c>
      <c r="I45">
        <f t="shared" si="1"/>
        <v>0.5</v>
      </c>
    </row>
    <row r="46" spans="1:9">
      <c r="A46" s="1778">
        <v>1089</v>
      </c>
      <c r="B46" s="1779" t="s">
        <v>14600</v>
      </c>
      <c r="C46" s="1780" t="s">
        <v>16625</v>
      </c>
      <c r="D46" s="1781" t="s">
        <v>6</v>
      </c>
      <c r="E46" s="1781">
        <f t="shared" si="0"/>
        <v>16.940000000000001</v>
      </c>
      <c r="F46" s="1782"/>
      <c r="G46" s="1783">
        <v>18.600000000000001</v>
      </c>
      <c r="H46" s="1789">
        <v>8.8999999999999996E-2</v>
      </c>
      <c r="I46">
        <f t="shared" si="1"/>
        <v>16.940000000000001</v>
      </c>
    </row>
    <row r="47" spans="1:9">
      <c r="A47" s="1778">
        <v>1842</v>
      </c>
      <c r="B47" s="1779" t="s">
        <v>14600</v>
      </c>
      <c r="C47" s="1780" t="s">
        <v>16626</v>
      </c>
      <c r="D47" s="1781" t="s">
        <v>6</v>
      </c>
      <c r="E47" s="1781">
        <f t="shared" si="0"/>
        <v>114.38</v>
      </c>
      <c r="F47" s="1782"/>
      <c r="G47" s="1783">
        <v>125.56</v>
      </c>
      <c r="H47" s="1789">
        <v>8.8999999999999996E-2</v>
      </c>
      <c r="I47">
        <f t="shared" si="1"/>
        <v>114.38</v>
      </c>
    </row>
    <row r="48" spans="1:9">
      <c r="A48" s="1778">
        <v>3804</v>
      </c>
      <c r="B48" s="1779" t="s">
        <v>14600</v>
      </c>
      <c r="C48" s="1780" t="s">
        <v>16627</v>
      </c>
      <c r="D48" s="1781" t="s">
        <v>50</v>
      </c>
      <c r="E48" s="1781">
        <f t="shared" si="0"/>
        <v>5.37</v>
      </c>
      <c r="F48" s="1782"/>
      <c r="G48" s="1783">
        <v>5.9</v>
      </c>
      <c r="H48" s="1789">
        <v>8.8999999999999996E-2</v>
      </c>
      <c r="I48">
        <f t="shared" si="1"/>
        <v>5.37</v>
      </c>
    </row>
    <row r="49" spans="1:9">
      <c r="A49" s="1778">
        <v>3875</v>
      </c>
      <c r="B49" s="1779" t="s">
        <v>14600</v>
      </c>
      <c r="C49" s="1780" t="s">
        <v>16628</v>
      </c>
      <c r="D49" s="1781" t="s">
        <v>6</v>
      </c>
      <c r="E49" s="1781">
        <f t="shared" si="0"/>
        <v>0.09</v>
      </c>
      <c r="F49" s="1782"/>
      <c r="G49" s="1783">
        <v>0.1</v>
      </c>
      <c r="H49" s="1789">
        <v>8.8999999999999996E-2</v>
      </c>
      <c r="I49">
        <f t="shared" si="1"/>
        <v>0.09</v>
      </c>
    </row>
    <row r="50" spans="1:9" ht="25.5">
      <c r="A50" s="1778">
        <v>4072</v>
      </c>
      <c r="B50" s="1779" t="s">
        <v>14600</v>
      </c>
      <c r="C50" s="1780" t="s">
        <v>16629</v>
      </c>
      <c r="D50" s="1781" t="s">
        <v>6</v>
      </c>
      <c r="E50" s="1781">
        <f t="shared" si="0"/>
        <v>44.63</v>
      </c>
      <c r="F50" s="1782"/>
      <c r="G50" s="1783">
        <v>49</v>
      </c>
      <c r="H50" s="1789">
        <v>8.8999999999999996E-2</v>
      </c>
      <c r="I50">
        <f t="shared" si="1"/>
        <v>44.63</v>
      </c>
    </row>
    <row r="51" spans="1:9">
      <c r="A51" s="1778">
        <v>4179</v>
      </c>
      <c r="B51" s="1779" t="s">
        <v>14600</v>
      </c>
      <c r="C51" s="1780" t="s">
        <v>16630</v>
      </c>
      <c r="D51" s="1781" t="s">
        <v>50</v>
      </c>
      <c r="E51" s="1781">
        <f t="shared" si="0"/>
        <v>7.83</v>
      </c>
      <c r="F51" s="1782"/>
      <c r="G51" s="1783">
        <v>8.6</v>
      </c>
      <c r="H51" s="1789">
        <v>8.8999999999999996E-2</v>
      </c>
      <c r="I51">
        <f t="shared" si="1"/>
        <v>7.83</v>
      </c>
    </row>
    <row r="52" spans="1:9">
      <c r="A52" s="1778">
        <v>3284</v>
      </c>
      <c r="B52" s="1779" t="s">
        <v>14600</v>
      </c>
      <c r="C52" s="1780" t="s">
        <v>16631</v>
      </c>
      <c r="D52" s="1781" t="s">
        <v>50</v>
      </c>
      <c r="E52" s="1781">
        <f t="shared" si="0"/>
        <v>11.38</v>
      </c>
      <c r="F52" s="1782"/>
      <c r="G52" s="1783">
        <v>12.5</v>
      </c>
      <c r="H52" s="1789">
        <v>8.8999999999999996E-2</v>
      </c>
      <c r="I52">
        <f t="shared" si="1"/>
        <v>11.38</v>
      </c>
    </row>
    <row r="53" spans="1:9">
      <c r="A53" s="1778">
        <v>4411</v>
      </c>
      <c r="B53" s="1779" t="s">
        <v>14600</v>
      </c>
      <c r="C53" s="1780" t="s">
        <v>16632</v>
      </c>
      <c r="D53" s="1781" t="s">
        <v>6</v>
      </c>
      <c r="E53" s="1781">
        <f t="shared" si="0"/>
        <v>99.7</v>
      </c>
      <c r="F53" s="1782"/>
      <c r="G53" s="1783">
        <v>109.45</v>
      </c>
      <c r="H53" s="1789">
        <v>8.8999999999999996E-2</v>
      </c>
      <c r="I53">
        <f t="shared" si="1"/>
        <v>99.7</v>
      </c>
    </row>
    <row r="54" spans="1:9">
      <c r="A54" s="1778">
        <v>6555</v>
      </c>
      <c r="B54" s="1779" t="s">
        <v>14600</v>
      </c>
      <c r="C54" s="1780" t="s">
        <v>16633</v>
      </c>
      <c r="D54" s="1781" t="s">
        <v>6</v>
      </c>
      <c r="E54" s="1781">
        <f t="shared" si="0"/>
        <v>0.28999999999999998</v>
      </c>
      <c r="F54" s="1782"/>
      <c r="G54" s="1783">
        <v>0.32</v>
      </c>
      <c r="H54" s="1789">
        <v>8.8999999999999996E-2</v>
      </c>
      <c r="I54">
        <f t="shared" si="1"/>
        <v>0.28999999999999998</v>
      </c>
    </row>
    <row r="55" spans="1:9">
      <c r="A55" s="1778">
        <v>6907</v>
      </c>
      <c r="B55" s="1785" t="s">
        <v>14600</v>
      </c>
      <c r="C55" s="1780" t="s">
        <v>16634</v>
      </c>
      <c r="D55" s="1781" t="s">
        <v>50</v>
      </c>
      <c r="E55" s="1781">
        <f t="shared" si="0"/>
        <v>10.79</v>
      </c>
      <c r="F55" s="1782"/>
      <c r="G55" s="1783">
        <v>11.85</v>
      </c>
      <c r="H55" s="1789">
        <v>8.8999999999999996E-2</v>
      </c>
      <c r="I55">
        <f t="shared" si="1"/>
        <v>10.79</v>
      </c>
    </row>
    <row r="56" spans="1:9">
      <c r="A56" s="1778">
        <v>8851</v>
      </c>
      <c r="B56" s="1779" t="s">
        <v>14600</v>
      </c>
      <c r="C56" s="1780" t="s">
        <v>16635</v>
      </c>
      <c r="D56" s="1781" t="s">
        <v>50</v>
      </c>
      <c r="E56" s="1781">
        <f t="shared" si="0"/>
        <v>66.98</v>
      </c>
      <c r="F56" s="1782"/>
      <c r="G56" s="1783">
        <v>73.53</v>
      </c>
      <c r="H56" s="1789">
        <v>8.8999999999999996E-2</v>
      </c>
      <c r="I56">
        <f t="shared" si="1"/>
        <v>66.98</v>
      </c>
    </row>
    <row r="57" spans="1:9">
      <c r="A57" s="1778">
        <v>8943</v>
      </c>
      <c r="B57" s="1779" t="s">
        <v>14600</v>
      </c>
      <c r="C57" s="1780" t="s">
        <v>16636</v>
      </c>
      <c r="D57" s="1781" t="s">
        <v>6</v>
      </c>
      <c r="E57" s="1781">
        <f t="shared" si="0"/>
        <v>335.15</v>
      </c>
      <c r="F57" s="1782"/>
      <c r="G57" s="1783">
        <v>367.9</v>
      </c>
      <c r="H57" s="1789">
        <v>8.8999999999999996E-2</v>
      </c>
      <c r="I57">
        <f t="shared" si="1"/>
        <v>335.15</v>
      </c>
    </row>
    <row r="58" spans="1:9">
      <c r="A58" s="1778">
        <v>8957</v>
      </c>
      <c r="B58" s="1779" t="s">
        <v>14600</v>
      </c>
      <c r="C58" s="1780" t="s">
        <v>16637</v>
      </c>
      <c r="D58" s="1781" t="s">
        <v>50</v>
      </c>
      <c r="E58" s="1781">
        <f t="shared" si="0"/>
        <v>73.39</v>
      </c>
      <c r="F58" s="1782"/>
      <c r="G58" s="1783">
        <v>80.569999999999993</v>
      </c>
      <c r="H58" s="1789">
        <v>8.8999999999999996E-2</v>
      </c>
      <c r="I58">
        <f t="shared" si="1"/>
        <v>73.39</v>
      </c>
    </row>
    <row r="59" spans="1:9">
      <c r="A59" s="1778">
        <v>11471</v>
      </c>
      <c r="B59" s="1606" t="s">
        <v>14600</v>
      </c>
      <c r="C59" s="1780" t="s">
        <v>16638</v>
      </c>
      <c r="D59" s="1781" t="s">
        <v>50</v>
      </c>
      <c r="E59" s="1781">
        <f t="shared" si="0"/>
        <v>14.37</v>
      </c>
      <c r="F59" s="1782"/>
      <c r="G59" s="1783">
        <v>15.78</v>
      </c>
      <c r="H59" s="1789">
        <v>8.8999999999999996E-2</v>
      </c>
      <c r="I59">
        <f t="shared" si="1"/>
        <v>14.37</v>
      </c>
    </row>
    <row r="60" spans="1:9">
      <c r="A60" s="1778">
        <v>11922</v>
      </c>
      <c r="B60" s="1606" t="s">
        <v>14600</v>
      </c>
      <c r="C60" s="1780" t="s">
        <v>16639</v>
      </c>
      <c r="D60" s="1781" t="s">
        <v>6</v>
      </c>
      <c r="E60" s="1781">
        <f t="shared" si="0"/>
        <v>14</v>
      </c>
      <c r="F60" s="1782"/>
      <c r="G60" s="1783">
        <v>15.37</v>
      </c>
      <c r="H60" s="1789">
        <v>8.8999999999999996E-2</v>
      </c>
      <c r="I60">
        <f t="shared" si="1"/>
        <v>14</v>
      </c>
    </row>
    <row r="61" spans="1:9">
      <c r="A61" s="1778">
        <v>12153</v>
      </c>
      <c r="B61" s="1779" t="s">
        <v>14600</v>
      </c>
      <c r="C61" s="1780" t="s">
        <v>16640</v>
      </c>
      <c r="D61" s="1781" t="s">
        <v>6</v>
      </c>
      <c r="E61" s="1781">
        <f t="shared" si="0"/>
        <v>12.87</v>
      </c>
      <c r="F61" s="1782"/>
      <c r="G61" s="1783">
        <v>14.13</v>
      </c>
      <c r="H61" s="1789">
        <v>8.8999999999999996E-2</v>
      </c>
      <c r="I61">
        <f t="shared" si="1"/>
        <v>12.87</v>
      </c>
    </row>
    <row r="62" spans="1:9">
      <c r="A62" s="1778">
        <v>12161</v>
      </c>
      <c r="B62" s="1779" t="s">
        <v>14600</v>
      </c>
      <c r="C62" s="1780" t="s">
        <v>16641</v>
      </c>
      <c r="D62" s="1781" t="s">
        <v>6</v>
      </c>
      <c r="E62" s="1781">
        <f t="shared" si="0"/>
        <v>6.58</v>
      </c>
      <c r="F62" s="1782"/>
      <c r="G62" s="1783">
        <v>7.23</v>
      </c>
      <c r="H62" s="1789">
        <v>8.8999999999999996E-2</v>
      </c>
      <c r="I62">
        <f t="shared" si="1"/>
        <v>6.58</v>
      </c>
    </row>
    <row r="63" spans="1:9">
      <c r="A63" s="1778">
        <v>13335</v>
      </c>
      <c r="B63" s="1779" t="s">
        <v>14600</v>
      </c>
      <c r="C63" s="1780" t="s">
        <v>16642</v>
      </c>
      <c r="D63" s="1781" t="s">
        <v>50</v>
      </c>
      <c r="E63" s="1781">
        <f t="shared" si="0"/>
        <v>33.83</v>
      </c>
      <c r="F63" s="1782"/>
      <c r="G63" s="1783">
        <v>37.14</v>
      </c>
      <c r="H63" s="1789">
        <v>8.8999999999999996E-2</v>
      </c>
      <c r="I63">
        <f t="shared" si="1"/>
        <v>33.83</v>
      </c>
    </row>
    <row r="64" spans="1:9" ht="25.5">
      <c r="A64" s="1778">
        <v>12728</v>
      </c>
      <c r="B64" s="1779" t="s">
        <v>14600</v>
      </c>
      <c r="C64" s="1780" t="s">
        <v>16643</v>
      </c>
      <c r="D64" s="1781" t="s">
        <v>50</v>
      </c>
      <c r="E64" s="1781">
        <f t="shared" si="0"/>
        <v>121.77</v>
      </c>
      <c r="F64" s="1782"/>
      <c r="G64" s="1783">
        <v>133.66999999999999</v>
      </c>
      <c r="H64" s="1789">
        <v>8.8999999999999996E-2</v>
      </c>
      <c r="I64">
        <f t="shared" si="1"/>
        <v>121.77</v>
      </c>
    </row>
    <row r="65" spans="1:9">
      <c r="A65" s="1778">
        <v>13277</v>
      </c>
      <c r="B65" s="1779" t="s">
        <v>14600</v>
      </c>
      <c r="C65" s="1780" t="s">
        <v>16644</v>
      </c>
      <c r="D65" s="1781" t="s">
        <v>6</v>
      </c>
      <c r="E65" s="1781">
        <f t="shared" si="0"/>
        <v>8.4700000000000006</v>
      </c>
      <c r="F65" s="1782"/>
      <c r="G65" s="1783">
        <v>9.3000000000000007</v>
      </c>
      <c r="H65" s="1789">
        <v>8.8999999999999996E-2</v>
      </c>
      <c r="I65">
        <f t="shared" si="1"/>
        <v>8.4700000000000006</v>
      </c>
    </row>
    <row r="66" spans="1:9">
      <c r="A66" s="1778">
        <v>13355</v>
      </c>
      <c r="B66" s="1779" t="s">
        <v>14600</v>
      </c>
      <c r="C66" s="1780" t="s">
        <v>16645</v>
      </c>
      <c r="D66" s="1781" t="s">
        <v>6</v>
      </c>
      <c r="E66" s="1781">
        <f t="shared" si="0"/>
        <v>0.04</v>
      </c>
      <c r="F66" s="1782"/>
      <c r="G66" s="1783">
        <v>0.05</v>
      </c>
      <c r="H66" s="1789">
        <v>8.8999999999999996E-2</v>
      </c>
      <c r="I66">
        <f t="shared" si="1"/>
        <v>0.04</v>
      </c>
    </row>
    <row r="67" spans="1:9" ht="25.5">
      <c r="A67" s="1778">
        <v>13470</v>
      </c>
      <c r="B67" s="1779" t="s">
        <v>14600</v>
      </c>
      <c r="C67" s="1780" t="s">
        <v>16646</v>
      </c>
      <c r="D67" s="1781" t="s">
        <v>409</v>
      </c>
      <c r="E67" s="1781">
        <f t="shared" ref="E67:E130" si="2">I67</f>
        <v>286.94</v>
      </c>
      <c r="F67" s="1782"/>
      <c r="G67" s="1783">
        <v>314.98</v>
      </c>
      <c r="H67" s="1789">
        <v>8.8999999999999996E-2</v>
      </c>
      <c r="I67">
        <f t="shared" ref="I67:I130" si="3">TRUNC((1-H67)*G67,2)</f>
        <v>286.94</v>
      </c>
    </row>
    <row r="68" spans="1:9">
      <c r="A68" s="1778">
        <v>13531</v>
      </c>
      <c r="B68" s="1779" t="s">
        <v>14600</v>
      </c>
      <c r="C68" s="1780" t="s">
        <v>16647</v>
      </c>
      <c r="D68" s="1781" t="s">
        <v>6</v>
      </c>
      <c r="E68" s="1781">
        <f t="shared" si="2"/>
        <v>0.26</v>
      </c>
      <c r="F68" s="1782"/>
      <c r="G68" s="1783">
        <v>0.28999999999999998</v>
      </c>
      <c r="H68" s="1789">
        <v>8.8999999999999996E-2</v>
      </c>
      <c r="I68">
        <f t="shared" si="3"/>
        <v>0.26</v>
      </c>
    </row>
    <row r="69" spans="1:9">
      <c r="A69" s="1778">
        <v>13863</v>
      </c>
      <c r="B69" s="1779" t="s">
        <v>14600</v>
      </c>
      <c r="C69" s="1780" t="s">
        <v>16648</v>
      </c>
      <c r="D69" s="1781" t="s">
        <v>6</v>
      </c>
      <c r="E69" s="1781">
        <f t="shared" si="2"/>
        <v>210.25</v>
      </c>
      <c r="F69" s="1782"/>
      <c r="G69" s="1783">
        <v>230.8</v>
      </c>
      <c r="H69" s="1789">
        <v>8.8999999999999996E-2</v>
      </c>
      <c r="I69">
        <f t="shared" si="3"/>
        <v>210.25</v>
      </c>
    </row>
    <row r="70" spans="1:9" ht="25.5">
      <c r="A70" s="1778">
        <v>13964</v>
      </c>
      <c r="B70" s="1779" t="s">
        <v>14600</v>
      </c>
      <c r="C70" s="1780" t="s">
        <v>16649</v>
      </c>
      <c r="D70" s="1781" t="s">
        <v>6</v>
      </c>
      <c r="E70" s="1781">
        <f t="shared" si="2"/>
        <v>288.77999999999997</v>
      </c>
      <c r="F70" s="1782"/>
      <c r="G70" s="1783">
        <v>317</v>
      </c>
      <c r="H70" s="1789">
        <v>8.8999999999999996E-2</v>
      </c>
      <c r="I70">
        <f t="shared" si="3"/>
        <v>288.77999999999997</v>
      </c>
    </row>
    <row r="71" spans="1:9" ht="25.5">
      <c r="A71" s="1778">
        <v>14286</v>
      </c>
      <c r="B71" s="1786" t="s">
        <v>14600</v>
      </c>
      <c r="C71" s="1780" t="s">
        <v>16650</v>
      </c>
      <c r="D71" s="1781" t="s">
        <v>6</v>
      </c>
      <c r="E71" s="1781">
        <f t="shared" si="2"/>
        <v>207.24</v>
      </c>
      <c r="F71" s="1782"/>
      <c r="G71" s="1783">
        <v>227.49</v>
      </c>
      <c r="H71" s="1789">
        <v>8.8999999999999996E-2</v>
      </c>
      <c r="I71">
        <f t="shared" si="3"/>
        <v>207.24</v>
      </c>
    </row>
    <row r="72" spans="1:9">
      <c r="A72" s="1778">
        <v>14295</v>
      </c>
      <c r="B72" s="1779" t="s">
        <v>14600</v>
      </c>
      <c r="C72" s="1780" t="s">
        <v>16651</v>
      </c>
      <c r="D72" s="1781" t="s">
        <v>6</v>
      </c>
      <c r="E72" s="1781">
        <f t="shared" si="2"/>
        <v>4.9000000000000004</v>
      </c>
      <c r="F72" s="1782"/>
      <c r="G72" s="1783">
        <v>5.38</v>
      </c>
      <c r="H72" s="1789">
        <v>8.8999999999999996E-2</v>
      </c>
      <c r="I72">
        <f t="shared" si="3"/>
        <v>4.9000000000000004</v>
      </c>
    </row>
    <row r="73" spans="1:9" ht="25.5">
      <c r="A73" s="1778">
        <v>14478</v>
      </c>
      <c r="B73" s="1779" t="s">
        <v>14600</v>
      </c>
      <c r="C73" s="1780" t="s">
        <v>16652</v>
      </c>
      <c r="D73" s="1781" t="s">
        <v>6</v>
      </c>
      <c r="E73" s="1781">
        <f t="shared" si="2"/>
        <v>63.67</v>
      </c>
      <c r="F73" s="1782"/>
      <c r="G73" s="1783">
        <v>69.900000000000006</v>
      </c>
      <c r="H73" s="1789">
        <v>8.8999999999999996E-2</v>
      </c>
      <c r="I73">
        <f t="shared" si="3"/>
        <v>63.67</v>
      </c>
    </row>
    <row r="74" spans="1:9">
      <c r="A74" s="1778">
        <v>14483</v>
      </c>
      <c r="B74" s="1779" t="s">
        <v>14600</v>
      </c>
      <c r="C74" s="1780" t="s">
        <v>16653</v>
      </c>
      <c r="D74" s="1781" t="s">
        <v>6</v>
      </c>
      <c r="E74" s="1781">
        <f t="shared" si="2"/>
        <v>14.57</v>
      </c>
      <c r="F74" s="1782"/>
      <c r="G74" s="1783">
        <v>16</v>
      </c>
      <c r="H74" s="1789">
        <v>8.8999999999999996E-2</v>
      </c>
      <c r="I74">
        <f t="shared" si="3"/>
        <v>14.57</v>
      </c>
    </row>
    <row r="75" spans="1:9" ht="25.5">
      <c r="A75" s="1778" t="s">
        <v>14897</v>
      </c>
      <c r="B75" s="1779" t="s">
        <v>14562</v>
      </c>
      <c r="C75" s="1780" t="s">
        <v>16654</v>
      </c>
      <c r="D75" s="1781" t="s">
        <v>6</v>
      </c>
      <c r="E75" s="1781">
        <f t="shared" si="2"/>
        <v>176.31</v>
      </c>
      <c r="F75" s="1782"/>
      <c r="G75" s="1783">
        <v>193.54</v>
      </c>
      <c r="H75" s="1789">
        <v>8.8999999999999996E-2</v>
      </c>
      <c r="I75">
        <f t="shared" si="3"/>
        <v>176.31</v>
      </c>
    </row>
    <row r="76" spans="1:9" ht="25.5">
      <c r="A76" s="1778">
        <v>1907</v>
      </c>
      <c r="B76" s="1779" t="s">
        <v>14600</v>
      </c>
      <c r="C76" s="1780" t="s">
        <v>16655</v>
      </c>
      <c r="D76" s="1781" t="s">
        <v>6</v>
      </c>
      <c r="E76" s="1781">
        <f t="shared" si="2"/>
        <v>54.11</v>
      </c>
      <c r="F76" s="1782"/>
      <c r="G76" s="1783">
        <v>59.4</v>
      </c>
      <c r="H76" s="1789">
        <v>8.8999999999999996E-2</v>
      </c>
      <c r="I76">
        <f t="shared" si="3"/>
        <v>54.11</v>
      </c>
    </row>
    <row r="77" spans="1:9" ht="25.5">
      <c r="A77" s="1778">
        <v>9478</v>
      </c>
      <c r="B77" s="1779" t="s">
        <v>14600</v>
      </c>
      <c r="C77" s="1780" t="s">
        <v>16656</v>
      </c>
      <c r="D77" s="1781" t="s">
        <v>6</v>
      </c>
      <c r="E77" s="1781">
        <f t="shared" si="2"/>
        <v>144.72</v>
      </c>
      <c r="F77" s="1782"/>
      <c r="G77" s="1783">
        <v>158.86000000000001</v>
      </c>
      <c r="H77" s="1789">
        <v>8.8999999999999996E-2</v>
      </c>
      <c r="I77">
        <f t="shared" si="3"/>
        <v>144.72</v>
      </c>
    </row>
    <row r="78" spans="1:9">
      <c r="A78" s="1778">
        <v>1031</v>
      </c>
      <c r="B78" s="1779" t="s">
        <v>14600</v>
      </c>
      <c r="C78" s="1780" t="s">
        <v>16657</v>
      </c>
      <c r="D78" s="1781" t="s">
        <v>56</v>
      </c>
      <c r="E78" s="1781">
        <f t="shared" si="2"/>
        <v>44.25</v>
      </c>
      <c r="F78" s="1782"/>
      <c r="G78" s="1783">
        <v>48.58</v>
      </c>
      <c r="H78" s="1789">
        <v>8.8999999999999996E-2</v>
      </c>
      <c r="I78">
        <f t="shared" si="3"/>
        <v>44.25</v>
      </c>
    </row>
    <row r="79" spans="1:9">
      <c r="A79" s="1778">
        <v>2003</v>
      </c>
      <c r="B79" s="1779" t="s">
        <v>14600</v>
      </c>
      <c r="C79" s="1780" t="s">
        <v>16658</v>
      </c>
      <c r="D79" s="1781" t="s">
        <v>6</v>
      </c>
      <c r="E79" s="1781">
        <f t="shared" si="2"/>
        <v>4.09</v>
      </c>
      <c r="F79" s="1782"/>
      <c r="G79" s="1783">
        <v>4.5</v>
      </c>
      <c r="H79" s="1789">
        <v>8.8999999999999996E-2</v>
      </c>
      <c r="I79">
        <f t="shared" si="3"/>
        <v>4.09</v>
      </c>
    </row>
    <row r="80" spans="1:9">
      <c r="A80" s="1778">
        <v>2874</v>
      </c>
      <c r="B80" s="1779" t="s">
        <v>14600</v>
      </c>
      <c r="C80" s="1780" t="s">
        <v>16659</v>
      </c>
      <c r="D80" s="1781" t="s">
        <v>54</v>
      </c>
      <c r="E80" s="1781">
        <f t="shared" si="2"/>
        <v>16.940000000000001</v>
      </c>
      <c r="F80" s="1782"/>
      <c r="G80" s="1783">
        <v>18.600000000000001</v>
      </c>
      <c r="H80" s="1789">
        <v>8.8999999999999996E-2</v>
      </c>
      <c r="I80">
        <f t="shared" si="3"/>
        <v>16.940000000000001</v>
      </c>
    </row>
    <row r="81" spans="1:9">
      <c r="A81" s="1778">
        <v>3010</v>
      </c>
      <c r="B81" s="1779" t="s">
        <v>14600</v>
      </c>
      <c r="C81" s="1780" t="s">
        <v>16660</v>
      </c>
      <c r="D81" s="1781" t="s">
        <v>50</v>
      </c>
      <c r="E81" s="1781">
        <f t="shared" si="2"/>
        <v>8.65</v>
      </c>
      <c r="F81" s="1782"/>
      <c r="G81" s="1783">
        <v>9.5</v>
      </c>
      <c r="H81" s="1789">
        <v>8.8999999999999996E-2</v>
      </c>
      <c r="I81">
        <f t="shared" si="3"/>
        <v>8.65</v>
      </c>
    </row>
    <row r="82" spans="1:9">
      <c r="A82" s="1778">
        <v>3032</v>
      </c>
      <c r="B82" s="1779" t="s">
        <v>14600</v>
      </c>
      <c r="C82" s="1780" t="s">
        <v>16661</v>
      </c>
      <c r="D82" s="1781" t="s">
        <v>6</v>
      </c>
      <c r="E82" s="1781">
        <f t="shared" si="2"/>
        <v>337.07</v>
      </c>
      <c r="F82" s="1782"/>
      <c r="G82" s="1783">
        <v>370</v>
      </c>
      <c r="H82" s="1789">
        <v>8.8999999999999996E-2</v>
      </c>
      <c r="I82">
        <f t="shared" si="3"/>
        <v>337.07</v>
      </c>
    </row>
    <row r="83" spans="1:9">
      <c r="A83" s="1778">
        <v>3162</v>
      </c>
      <c r="B83" s="1784" t="s">
        <v>14600</v>
      </c>
      <c r="C83" s="1780" t="s">
        <v>16662</v>
      </c>
      <c r="D83" s="1781" t="s">
        <v>50</v>
      </c>
      <c r="E83" s="1781">
        <f t="shared" si="2"/>
        <v>9.01</v>
      </c>
      <c r="F83" s="1782"/>
      <c r="G83" s="1783">
        <v>9.9</v>
      </c>
      <c r="H83" s="1789">
        <v>8.8999999999999996E-2</v>
      </c>
      <c r="I83">
        <f t="shared" si="3"/>
        <v>9.01</v>
      </c>
    </row>
    <row r="84" spans="1:9">
      <c r="A84" s="1778">
        <v>3567</v>
      </c>
      <c r="B84" s="1784" t="s">
        <v>14600</v>
      </c>
      <c r="C84" s="1780" t="s">
        <v>16663</v>
      </c>
      <c r="D84" s="1781" t="s">
        <v>6</v>
      </c>
      <c r="E84" s="1781">
        <f t="shared" si="2"/>
        <v>3.18</v>
      </c>
      <c r="F84" s="1782"/>
      <c r="G84" s="1783">
        <v>3.5</v>
      </c>
      <c r="H84" s="1789">
        <v>8.8999999999999996E-2</v>
      </c>
      <c r="I84">
        <f t="shared" si="3"/>
        <v>3.18</v>
      </c>
    </row>
    <row r="85" spans="1:9" ht="25.5">
      <c r="A85" s="1778">
        <v>3585</v>
      </c>
      <c r="B85" s="1784" t="s">
        <v>14600</v>
      </c>
      <c r="C85" s="1780" t="s">
        <v>16664</v>
      </c>
      <c r="D85" s="1781" t="s">
        <v>6</v>
      </c>
      <c r="E85" s="1781">
        <f t="shared" si="2"/>
        <v>127.44</v>
      </c>
      <c r="F85" s="1782"/>
      <c r="G85" s="1783">
        <v>139.9</v>
      </c>
      <c r="H85" s="1789">
        <v>8.8999999999999996E-2</v>
      </c>
      <c r="I85">
        <f t="shared" si="3"/>
        <v>127.44</v>
      </c>
    </row>
    <row r="86" spans="1:9">
      <c r="A86" s="1778">
        <v>3625</v>
      </c>
      <c r="B86" s="1779" t="s">
        <v>14600</v>
      </c>
      <c r="C86" s="1780" t="s">
        <v>16665</v>
      </c>
      <c r="D86" s="1781" t="s">
        <v>6</v>
      </c>
      <c r="E86" s="1781">
        <f t="shared" si="2"/>
        <v>2.1</v>
      </c>
      <c r="F86" s="1782"/>
      <c r="G86" s="1783">
        <v>2.31</v>
      </c>
      <c r="H86" s="1789">
        <v>8.8999999999999996E-2</v>
      </c>
      <c r="I86">
        <f t="shared" si="3"/>
        <v>2.1</v>
      </c>
    </row>
    <row r="87" spans="1:9">
      <c r="A87" s="1778">
        <v>3630</v>
      </c>
      <c r="B87" s="1779" t="s">
        <v>14600</v>
      </c>
      <c r="C87" s="1780" t="s">
        <v>16666</v>
      </c>
      <c r="D87" s="1781" t="s">
        <v>6</v>
      </c>
      <c r="E87" s="1781">
        <f t="shared" si="2"/>
        <v>5.07</v>
      </c>
      <c r="F87" s="1782"/>
      <c r="G87" s="1783">
        <v>5.57</v>
      </c>
      <c r="H87" s="1789">
        <v>8.8999999999999996E-2</v>
      </c>
      <c r="I87">
        <f t="shared" si="3"/>
        <v>5.07</v>
      </c>
    </row>
    <row r="88" spans="1:9">
      <c r="A88" s="1778">
        <v>7144</v>
      </c>
      <c r="B88" s="1779" t="s">
        <v>14600</v>
      </c>
      <c r="C88" s="1780" t="s">
        <v>16667</v>
      </c>
      <c r="D88" s="1781" t="s">
        <v>50</v>
      </c>
      <c r="E88" s="1781">
        <f t="shared" si="2"/>
        <v>8.2799999999999994</v>
      </c>
      <c r="F88" s="1782"/>
      <c r="G88" s="1783">
        <v>9.09</v>
      </c>
      <c r="H88" s="1789">
        <v>8.8999999999999996E-2</v>
      </c>
      <c r="I88">
        <f t="shared" si="3"/>
        <v>8.2799999999999994</v>
      </c>
    </row>
    <row r="89" spans="1:9">
      <c r="A89" s="1778">
        <v>7150</v>
      </c>
      <c r="B89" s="1784" t="s">
        <v>14600</v>
      </c>
      <c r="C89" s="1780" t="s">
        <v>16668</v>
      </c>
      <c r="D89" s="1781" t="s">
        <v>6</v>
      </c>
      <c r="E89" s="1781">
        <f t="shared" si="2"/>
        <v>7.44</v>
      </c>
      <c r="F89" s="1782"/>
      <c r="G89" s="1783">
        <v>8.17</v>
      </c>
      <c r="H89" s="1789">
        <v>8.8999999999999996E-2</v>
      </c>
      <c r="I89">
        <f t="shared" si="3"/>
        <v>7.44</v>
      </c>
    </row>
    <row r="90" spans="1:9">
      <c r="A90" s="1778">
        <v>8212</v>
      </c>
      <c r="B90" s="1784" t="s">
        <v>14600</v>
      </c>
      <c r="C90" s="1780" t="s">
        <v>16669</v>
      </c>
      <c r="D90" s="1781" t="s">
        <v>6</v>
      </c>
      <c r="E90" s="1781">
        <f t="shared" si="2"/>
        <v>1.41</v>
      </c>
      <c r="F90" s="1782"/>
      <c r="G90" s="1783">
        <v>1.55</v>
      </c>
      <c r="H90" s="1789">
        <v>8.8999999999999996E-2</v>
      </c>
      <c r="I90">
        <f t="shared" si="3"/>
        <v>1.41</v>
      </c>
    </row>
    <row r="91" spans="1:9">
      <c r="A91" s="1778">
        <v>9360</v>
      </c>
      <c r="B91" s="1784" t="s">
        <v>14600</v>
      </c>
      <c r="C91" s="1780" t="s">
        <v>16670</v>
      </c>
      <c r="D91" s="1781" t="s">
        <v>409</v>
      </c>
      <c r="E91" s="1781">
        <f t="shared" si="2"/>
        <v>624.95000000000005</v>
      </c>
      <c r="F91" s="1782"/>
      <c r="G91" s="1783">
        <v>686.01</v>
      </c>
      <c r="H91" s="1789">
        <v>8.8999999999999996E-2</v>
      </c>
      <c r="I91">
        <f t="shared" si="3"/>
        <v>624.95000000000005</v>
      </c>
    </row>
    <row r="92" spans="1:9">
      <c r="A92" s="1778">
        <v>10044</v>
      </c>
      <c r="B92" s="1784" t="s">
        <v>14600</v>
      </c>
      <c r="C92" s="1780" t="s">
        <v>16671</v>
      </c>
      <c r="D92" s="1781" t="s">
        <v>6</v>
      </c>
      <c r="E92" s="1781">
        <f t="shared" si="2"/>
        <v>2.14</v>
      </c>
      <c r="F92" s="1782"/>
      <c r="G92" s="1783">
        <v>2.35</v>
      </c>
      <c r="H92" s="1789">
        <v>8.8999999999999996E-2</v>
      </c>
      <c r="I92">
        <f t="shared" si="3"/>
        <v>2.14</v>
      </c>
    </row>
    <row r="93" spans="1:9" ht="25.5">
      <c r="A93" s="1778">
        <v>10912</v>
      </c>
      <c r="B93" s="1779" t="s">
        <v>14600</v>
      </c>
      <c r="C93" s="1780" t="s">
        <v>16672</v>
      </c>
      <c r="D93" s="1781" t="s">
        <v>50</v>
      </c>
      <c r="E93" s="1781">
        <f t="shared" si="2"/>
        <v>100.3</v>
      </c>
      <c r="F93" s="1782"/>
      <c r="G93" s="1783">
        <v>110.1</v>
      </c>
      <c r="H93" s="1789">
        <v>8.8999999999999996E-2</v>
      </c>
      <c r="I93">
        <f t="shared" si="3"/>
        <v>100.3</v>
      </c>
    </row>
    <row r="94" spans="1:9">
      <c r="A94" s="1778">
        <v>11798</v>
      </c>
      <c r="B94" s="1784" t="s">
        <v>14600</v>
      </c>
      <c r="C94" s="1780" t="s">
        <v>16673</v>
      </c>
      <c r="D94" s="1781" t="s">
        <v>6</v>
      </c>
      <c r="E94" s="1781">
        <f t="shared" si="2"/>
        <v>4.33</v>
      </c>
      <c r="F94" s="1782"/>
      <c r="G94" s="1783">
        <v>4.76</v>
      </c>
      <c r="H94" s="1789">
        <v>8.8999999999999996E-2</v>
      </c>
      <c r="I94">
        <f t="shared" si="3"/>
        <v>4.33</v>
      </c>
    </row>
    <row r="95" spans="1:9">
      <c r="A95" s="1778">
        <v>11843</v>
      </c>
      <c r="B95" s="1784" t="s">
        <v>14600</v>
      </c>
      <c r="C95" s="1780" t="s">
        <v>16674</v>
      </c>
      <c r="D95" s="1781" t="s">
        <v>6</v>
      </c>
      <c r="E95" s="1781">
        <f t="shared" si="2"/>
        <v>37.99</v>
      </c>
      <c r="F95" s="1782"/>
      <c r="G95" s="1783">
        <v>41.71</v>
      </c>
      <c r="H95" s="1789">
        <v>8.8999999999999996E-2</v>
      </c>
      <c r="I95">
        <f t="shared" si="3"/>
        <v>37.99</v>
      </c>
    </row>
    <row r="96" spans="1:9" ht="25.5">
      <c r="A96" s="1778">
        <v>12729</v>
      </c>
      <c r="B96" s="1779" t="s">
        <v>14600</v>
      </c>
      <c r="C96" s="1780" t="s">
        <v>16675</v>
      </c>
      <c r="D96" s="1781" t="s">
        <v>50</v>
      </c>
      <c r="E96" s="1781">
        <f t="shared" si="2"/>
        <v>110</v>
      </c>
      <c r="F96" s="1782"/>
      <c r="G96" s="1783">
        <v>120.75</v>
      </c>
      <c r="H96" s="1789">
        <v>8.8999999999999996E-2</v>
      </c>
      <c r="I96">
        <f t="shared" si="3"/>
        <v>110</v>
      </c>
    </row>
    <row r="97" spans="1:10">
      <c r="A97" s="1778">
        <v>12743</v>
      </c>
      <c r="B97" s="1779" t="s">
        <v>14600</v>
      </c>
      <c r="C97" s="1780" t="s">
        <v>16676</v>
      </c>
      <c r="D97" s="1781" t="s">
        <v>54</v>
      </c>
      <c r="E97" s="1781">
        <f t="shared" si="2"/>
        <v>73.59</v>
      </c>
      <c r="F97" s="1782"/>
      <c r="G97" s="1783">
        <v>80.78</v>
      </c>
      <c r="H97" s="1789">
        <v>8.8999999999999996E-2</v>
      </c>
      <c r="I97">
        <f t="shared" si="3"/>
        <v>73.59</v>
      </c>
    </row>
    <row r="98" spans="1:10" ht="25.5">
      <c r="A98" s="1778">
        <v>12793</v>
      </c>
      <c r="B98" s="1779" t="s">
        <v>14600</v>
      </c>
      <c r="C98" s="1780" t="s">
        <v>16677</v>
      </c>
      <c r="D98" s="1781" t="s">
        <v>409</v>
      </c>
      <c r="E98" s="1781">
        <f t="shared" si="2"/>
        <v>227.75</v>
      </c>
      <c r="F98" s="1782"/>
      <c r="G98" s="1783">
        <v>250</v>
      </c>
      <c r="H98" s="1789">
        <v>8.8999999999999996E-2</v>
      </c>
      <c r="I98">
        <f t="shared" si="3"/>
        <v>227.75</v>
      </c>
    </row>
    <row r="99" spans="1:10">
      <c r="A99" s="1778">
        <v>13254</v>
      </c>
      <c r="B99" s="1779" t="s">
        <v>14600</v>
      </c>
      <c r="C99" s="1780" t="s">
        <v>16678</v>
      </c>
      <c r="D99" s="1781" t="s">
        <v>409</v>
      </c>
      <c r="E99" s="1781">
        <f t="shared" si="2"/>
        <v>95.55</v>
      </c>
      <c r="F99" s="1782"/>
      <c r="G99" s="1783">
        <v>104.89</v>
      </c>
      <c r="H99" s="1789">
        <v>8.8999999999999996E-2</v>
      </c>
      <c r="I99">
        <f t="shared" si="3"/>
        <v>95.55</v>
      </c>
    </row>
    <row r="100" spans="1:10">
      <c r="A100" s="1778">
        <v>13378</v>
      </c>
      <c r="B100" s="1779" t="s">
        <v>14600</v>
      </c>
      <c r="C100" s="1780" t="s">
        <v>16679</v>
      </c>
      <c r="D100" s="1781" t="s">
        <v>6</v>
      </c>
      <c r="E100" s="1781">
        <f t="shared" si="2"/>
        <v>5.46</v>
      </c>
      <c r="F100" s="1782"/>
      <c r="G100" s="1783">
        <v>6</v>
      </c>
      <c r="H100" s="1789">
        <v>8.8999999999999996E-2</v>
      </c>
      <c r="I100">
        <f t="shared" si="3"/>
        <v>5.46</v>
      </c>
    </row>
    <row r="101" spans="1:10" ht="25.5">
      <c r="A101" s="1778">
        <v>13656</v>
      </c>
      <c r="B101" s="1606" t="s">
        <v>14600</v>
      </c>
      <c r="C101" s="1780" t="s">
        <v>16680</v>
      </c>
      <c r="D101" s="1781" t="s">
        <v>6</v>
      </c>
      <c r="E101" s="1781">
        <f t="shared" si="2"/>
        <v>13.16</v>
      </c>
      <c r="F101" s="1782"/>
      <c r="G101" s="1783">
        <v>14.41</v>
      </c>
      <c r="H101" s="1789">
        <v>8.8999999999999996E-2</v>
      </c>
      <c r="I101">
        <v>13.16</v>
      </c>
      <c r="J101" s="1790" t="e">
        <f>'Medição '!#REF!</f>
        <v>#REF!</v>
      </c>
    </row>
    <row r="102" spans="1:10" ht="25.5">
      <c r="A102" s="1778">
        <v>14464</v>
      </c>
      <c r="B102" s="1606" t="s">
        <v>14600</v>
      </c>
      <c r="C102" s="1780" t="s">
        <v>16681</v>
      </c>
      <c r="D102" s="1781" t="s">
        <v>6</v>
      </c>
      <c r="E102" s="1781">
        <f t="shared" si="2"/>
        <v>181.81</v>
      </c>
      <c r="F102" s="1782"/>
      <c r="G102" s="1783">
        <v>199.58</v>
      </c>
      <c r="H102" s="1789">
        <v>8.8999999999999996E-2</v>
      </c>
      <c r="I102">
        <f t="shared" si="3"/>
        <v>181.81</v>
      </c>
    </row>
    <row r="103" spans="1:10">
      <c r="A103" s="1778">
        <v>213</v>
      </c>
      <c r="B103" s="1606" t="s">
        <v>14513</v>
      </c>
      <c r="C103" s="1780" t="s">
        <v>16682</v>
      </c>
      <c r="D103" s="1781" t="s">
        <v>6</v>
      </c>
      <c r="E103" s="1781">
        <f t="shared" si="2"/>
        <v>13.2</v>
      </c>
      <c r="F103" s="1782"/>
      <c r="G103" s="1783">
        <v>14.49</v>
      </c>
      <c r="H103" s="1789">
        <v>8.8999999999999996E-2</v>
      </c>
      <c r="I103">
        <f t="shared" si="3"/>
        <v>13.2</v>
      </c>
    </row>
    <row r="104" spans="1:10">
      <c r="A104" s="1778">
        <v>3823</v>
      </c>
      <c r="B104" s="1606" t="s">
        <v>14513</v>
      </c>
      <c r="C104" s="1780" t="s">
        <v>16683</v>
      </c>
      <c r="D104" s="1781" t="s">
        <v>6</v>
      </c>
      <c r="E104" s="1781">
        <f t="shared" si="2"/>
        <v>714.78</v>
      </c>
      <c r="F104" s="1782"/>
      <c r="G104" s="1783">
        <v>784.62</v>
      </c>
      <c r="H104" s="1789">
        <v>8.8999999999999996E-2</v>
      </c>
      <c r="I104">
        <f t="shared" si="3"/>
        <v>714.78</v>
      </c>
    </row>
    <row r="105" spans="1:10" ht="25.5">
      <c r="A105" s="1778">
        <v>5791</v>
      </c>
      <c r="B105" s="1606" t="s">
        <v>14513</v>
      </c>
      <c r="C105" s="1780" t="s">
        <v>16684</v>
      </c>
      <c r="D105" s="1781" t="s">
        <v>6</v>
      </c>
      <c r="E105" s="1781">
        <f t="shared" si="2"/>
        <v>234.61</v>
      </c>
      <c r="F105" s="1782"/>
      <c r="G105" s="1783">
        <v>257.54000000000002</v>
      </c>
      <c r="H105" s="1789">
        <v>8.8999999999999996E-2</v>
      </c>
      <c r="I105">
        <f t="shared" si="3"/>
        <v>234.61</v>
      </c>
    </row>
    <row r="106" spans="1:10" ht="25.5">
      <c r="A106" s="1778">
        <v>8823</v>
      </c>
      <c r="B106" s="1606" t="s">
        <v>14513</v>
      </c>
      <c r="C106" s="1780" t="s">
        <v>16685</v>
      </c>
      <c r="D106" s="1781" t="s">
        <v>6</v>
      </c>
      <c r="E106" s="1781">
        <f t="shared" si="2"/>
        <v>16.39</v>
      </c>
      <c r="F106" s="1782"/>
      <c r="G106" s="1787">
        <v>18</v>
      </c>
      <c r="H106" s="1789">
        <v>8.8999999999999996E-2</v>
      </c>
      <c r="I106">
        <f t="shared" si="3"/>
        <v>16.39</v>
      </c>
    </row>
    <row r="107" spans="1:10">
      <c r="A107" s="1778">
        <v>18029</v>
      </c>
      <c r="B107" s="1606" t="s">
        <v>14513</v>
      </c>
      <c r="C107" s="1780" t="s">
        <v>16686</v>
      </c>
      <c r="D107" s="1781" t="s">
        <v>6</v>
      </c>
      <c r="E107" s="1781">
        <f t="shared" si="2"/>
        <v>4.46</v>
      </c>
      <c r="F107" s="1782"/>
      <c r="G107" s="1783">
        <v>4.9000000000000004</v>
      </c>
      <c r="H107" s="1789">
        <v>8.8999999999999996E-2</v>
      </c>
      <c r="I107">
        <f t="shared" si="3"/>
        <v>4.46</v>
      </c>
    </row>
    <row r="108" spans="1:10">
      <c r="A108" s="1778">
        <v>3694</v>
      </c>
      <c r="B108" s="1606" t="s">
        <v>14513</v>
      </c>
      <c r="C108" s="1780" t="s">
        <v>16687</v>
      </c>
      <c r="D108" s="1781" t="s">
        <v>6</v>
      </c>
      <c r="E108" s="1781">
        <f t="shared" si="2"/>
        <v>19.420000000000002</v>
      </c>
      <c r="F108" s="1782"/>
      <c r="G108" s="1783">
        <v>21.32</v>
      </c>
      <c r="H108" s="1789">
        <v>8.8999999999999996E-2</v>
      </c>
      <c r="I108">
        <f t="shared" si="3"/>
        <v>19.420000000000002</v>
      </c>
    </row>
    <row r="109" spans="1:10">
      <c r="A109" s="1778" t="s">
        <v>14736</v>
      </c>
      <c r="B109" s="1606" t="s">
        <v>15416</v>
      </c>
      <c r="C109" s="1780" t="s">
        <v>16688</v>
      </c>
      <c r="D109" s="1781" t="s">
        <v>409</v>
      </c>
      <c r="E109" s="1781">
        <f t="shared" si="2"/>
        <v>91</v>
      </c>
      <c r="F109" s="1782"/>
      <c r="G109" s="1783">
        <v>99.9</v>
      </c>
      <c r="H109" s="1789">
        <v>8.8999999999999996E-2</v>
      </c>
      <c r="I109">
        <f t="shared" si="3"/>
        <v>91</v>
      </c>
    </row>
    <row r="110" spans="1:10">
      <c r="A110" s="1778" t="s">
        <v>14731</v>
      </c>
      <c r="B110" s="1606" t="s">
        <v>15416</v>
      </c>
      <c r="C110" s="1780" t="s">
        <v>16689</v>
      </c>
      <c r="D110" s="1781" t="s">
        <v>409</v>
      </c>
      <c r="E110" s="1781">
        <f t="shared" si="2"/>
        <v>183.34</v>
      </c>
      <c r="F110" s="1782"/>
      <c r="G110" s="1783">
        <v>201.26</v>
      </c>
      <c r="H110" s="1789">
        <v>8.8999999999999996E-2</v>
      </c>
      <c r="I110">
        <f t="shared" si="3"/>
        <v>183.34</v>
      </c>
    </row>
    <row r="111" spans="1:10">
      <c r="A111" s="1778" t="s">
        <v>14668</v>
      </c>
      <c r="B111" s="1779" t="s">
        <v>14719</v>
      </c>
      <c r="C111" s="1780" t="s">
        <v>16690</v>
      </c>
      <c r="D111" s="1781" t="s">
        <v>6</v>
      </c>
      <c r="E111" s="1781">
        <f t="shared" si="2"/>
        <v>0.23</v>
      </c>
      <c r="F111" s="1782"/>
      <c r="G111" s="1783">
        <v>0.26</v>
      </c>
      <c r="H111" s="1789">
        <v>8.8999999999999996E-2</v>
      </c>
      <c r="I111">
        <f t="shared" si="3"/>
        <v>0.23</v>
      </c>
    </row>
    <row r="112" spans="1:10">
      <c r="A112" s="1778" t="s">
        <v>15450</v>
      </c>
      <c r="B112" s="1779" t="s">
        <v>14719</v>
      </c>
      <c r="C112" s="1780" t="s">
        <v>16691</v>
      </c>
      <c r="D112" s="1781" t="s">
        <v>6</v>
      </c>
      <c r="E112" s="1781">
        <f t="shared" si="2"/>
        <v>220.7</v>
      </c>
      <c r="F112" s="1782"/>
      <c r="G112" s="1783">
        <v>242.27</v>
      </c>
      <c r="H112" s="1789">
        <v>8.8999999999999996E-2</v>
      </c>
      <c r="I112">
        <f t="shared" si="3"/>
        <v>220.7</v>
      </c>
    </row>
    <row r="113" spans="1:9" ht="25.5">
      <c r="A113" s="1778" t="s">
        <v>14579</v>
      </c>
      <c r="B113" s="1779" t="s">
        <v>14562</v>
      </c>
      <c r="C113" s="1780" t="s">
        <v>16692</v>
      </c>
      <c r="D113" s="1781" t="s">
        <v>16693</v>
      </c>
      <c r="E113" s="1781">
        <f t="shared" si="2"/>
        <v>233.15</v>
      </c>
      <c r="F113" s="1782"/>
      <c r="G113" s="1783">
        <v>255.93</v>
      </c>
      <c r="H113" s="1789">
        <v>8.8999999999999996E-2</v>
      </c>
      <c r="I113">
        <f t="shared" si="3"/>
        <v>233.15</v>
      </c>
    </row>
    <row r="114" spans="1:9" ht="25.5">
      <c r="A114" s="1778" t="s">
        <v>14574</v>
      </c>
      <c r="B114" s="1779" t="s">
        <v>14562</v>
      </c>
      <c r="C114" s="1780" t="s">
        <v>16694</v>
      </c>
      <c r="D114" s="1781" t="s">
        <v>16693</v>
      </c>
      <c r="E114" s="1781">
        <f t="shared" si="2"/>
        <v>233.15</v>
      </c>
      <c r="F114" s="1782"/>
      <c r="G114" s="1783">
        <v>255.93</v>
      </c>
      <c r="H114" s="1789">
        <v>8.8999999999999996E-2</v>
      </c>
      <c r="I114">
        <f t="shared" si="3"/>
        <v>233.15</v>
      </c>
    </row>
    <row r="115" spans="1:9">
      <c r="A115" s="1778" t="s">
        <v>14583</v>
      </c>
      <c r="B115" s="1606" t="s">
        <v>14562</v>
      </c>
      <c r="C115" s="1780" t="s">
        <v>16695</v>
      </c>
      <c r="D115" s="1781" t="s">
        <v>156</v>
      </c>
      <c r="E115" s="1781">
        <f t="shared" si="2"/>
        <v>4686.62</v>
      </c>
      <c r="F115" s="1782"/>
      <c r="G115" s="1783">
        <v>5144.4799999999996</v>
      </c>
      <c r="H115" s="1789">
        <v>8.8999999999999996E-2</v>
      </c>
      <c r="I115">
        <f t="shared" si="3"/>
        <v>4686.62</v>
      </c>
    </row>
    <row r="116" spans="1:9">
      <c r="A116" s="1778" t="s">
        <v>14619</v>
      </c>
      <c r="B116" s="1779" t="s">
        <v>14562</v>
      </c>
      <c r="C116" s="1780" t="s">
        <v>16696</v>
      </c>
      <c r="D116" s="1781" t="s">
        <v>54</v>
      </c>
      <c r="E116" s="1781">
        <f t="shared" si="2"/>
        <v>2.88</v>
      </c>
      <c r="F116" s="1782"/>
      <c r="G116" s="1783">
        <v>3.17</v>
      </c>
      <c r="H116" s="1789">
        <v>8.8999999999999996E-2</v>
      </c>
      <c r="I116">
        <f t="shared" si="3"/>
        <v>2.88</v>
      </c>
    </row>
    <row r="117" spans="1:9" ht="25.5">
      <c r="A117" s="1778" t="s">
        <v>14852</v>
      </c>
      <c r="B117" s="1779" t="s">
        <v>14562</v>
      </c>
      <c r="C117" s="1780" t="s">
        <v>16697</v>
      </c>
      <c r="D117" s="1781" t="s">
        <v>6</v>
      </c>
      <c r="E117" s="1781">
        <f t="shared" si="2"/>
        <v>29</v>
      </c>
      <c r="F117" s="1782"/>
      <c r="G117" s="1783">
        <v>31.84</v>
      </c>
      <c r="H117" s="1789">
        <v>8.8999999999999996E-2</v>
      </c>
      <c r="I117">
        <f t="shared" si="3"/>
        <v>29</v>
      </c>
    </row>
    <row r="118" spans="1:9" ht="25.5">
      <c r="A118" s="1778" t="s">
        <v>15331</v>
      </c>
      <c r="B118" s="1779" t="s">
        <v>14562</v>
      </c>
      <c r="C118" s="1780" t="s">
        <v>16698</v>
      </c>
      <c r="D118" s="1781" t="s">
        <v>6</v>
      </c>
      <c r="E118" s="1781">
        <f t="shared" si="2"/>
        <v>7</v>
      </c>
      <c r="F118" s="1782"/>
      <c r="G118" s="1783">
        <v>7.69</v>
      </c>
      <c r="H118" s="1789">
        <v>8.8999999999999996E-2</v>
      </c>
      <c r="I118">
        <f t="shared" si="3"/>
        <v>7</v>
      </c>
    </row>
    <row r="119" spans="1:9">
      <c r="A119" s="1778" t="s">
        <v>14891</v>
      </c>
      <c r="B119" s="1779" t="s">
        <v>14562</v>
      </c>
      <c r="C119" s="1780" t="s">
        <v>16699</v>
      </c>
      <c r="D119" s="1781" t="s">
        <v>6</v>
      </c>
      <c r="E119" s="1781">
        <f t="shared" si="2"/>
        <v>161.99</v>
      </c>
      <c r="F119" s="1782"/>
      <c r="G119" s="1783">
        <v>177.82</v>
      </c>
      <c r="H119" s="1789">
        <v>8.8999999999999996E-2</v>
      </c>
      <c r="I119">
        <f t="shared" si="3"/>
        <v>161.99</v>
      </c>
    </row>
    <row r="120" spans="1:9" ht="25.5">
      <c r="A120" s="1778" t="s">
        <v>15240</v>
      </c>
      <c r="B120" s="1779" t="s">
        <v>14562</v>
      </c>
      <c r="C120" s="1780" t="s">
        <v>16700</v>
      </c>
      <c r="D120" s="1781" t="s">
        <v>50</v>
      </c>
      <c r="E120" s="1781">
        <f t="shared" si="2"/>
        <v>8.9</v>
      </c>
      <c r="F120" s="1782"/>
      <c r="G120" s="1783">
        <v>9.77</v>
      </c>
      <c r="H120" s="1789">
        <v>8.8999999999999996E-2</v>
      </c>
      <c r="I120">
        <f t="shared" si="3"/>
        <v>8.9</v>
      </c>
    </row>
    <row r="121" spans="1:9" ht="25.5">
      <c r="A121" s="1778" t="s">
        <v>15241</v>
      </c>
      <c r="B121" s="1779" t="s">
        <v>14562</v>
      </c>
      <c r="C121" s="1780" t="s">
        <v>16701</v>
      </c>
      <c r="D121" s="1781" t="s">
        <v>6</v>
      </c>
      <c r="E121" s="1781">
        <f t="shared" si="2"/>
        <v>0.05</v>
      </c>
      <c r="F121" s="1782"/>
      <c r="G121" s="1783">
        <v>0.06</v>
      </c>
      <c r="H121" s="1789">
        <v>8.8999999999999996E-2</v>
      </c>
      <c r="I121">
        <f t="shared" si="3"/>
        <v>0.05</v>
      </c>
    </row>
    <row r="122" spans="1:9">
      <c r="A122" s="1778" t="s">
        <v>15233</v>
      </c>
      <c r="B122" s="1779" t="s">
        <v>14562</v>
      </c>
      <c r="C122" s="1780" t="s">
        <v>16702</v>
      </c>
      <c r="D122" s="1781" t="s">
        <v>6</v>
      </c>
      <c r="E122" s="1781">
        <f t="shared" si="2"/>
        <v>158.41999999999999</v>
      </c>
      <c r="F122" s="1782"/>
      <c r="G122" s="1783">
        <v>173.9</v>
      </c>
      <c r="H122" s="1789">
        <v>8.8999999999999996E-2</v>
      </c>
      <c r="I122">
        <f t="shared" si="3"/>
        <v>158.41999999999999</v>
      </c>
    </row>
    <row r="123" spans="1:9">
      <c r="A123" s="1778" t="s">
        <v>15304</v>
      </c>
      <c r="B123" s="1779" t="s">
        <v>14562</v>
      </c>
      <c r="C123" s="1780" t="s">
        <v>16703</v>
      </c>
      <c r="D123" s="1781" t="s">
        <v>6</v>
      </c>
      <c r="E123" s="1781">
        <f t="shared" si="2"/>
        <v>0.27</v>
      </c>
      <c r="F123" s="1782"/>
      <c r="G123" s="1783">
        <v>0.3</v>
      </c>
      <c r="H123" s="1789">
        <v>8.8999999999999996E-2</v>
      </c>
      <c r="I123">
        <f t="shared" si="3"/>
        <v>0.27</v>
      </c>
    </row>
    <row r="124" spans="1:9">
      <c r="A124" s="1778" t="s">
        <v>15308</v>
      </c>
      <c r="B124" s="1779" t="s">
        <v>14562</v>
      </c>
      <c r="C124" s="1780" t="s">
        <v>16704</v>
      </c>
      <c r="D124" s="1781" t="s">
        <v>6</v>
      </c>
      <c r="E124" s="1781">
        <f t="shared" si="2"/>
        <v>0.7</v>
      </c>
      <c r="F124" s="1782"/>
      <c r="G124" s="1783">
        <v>0.77</v>
      </c>
      <c r="H124" s="1789">
        <v>8.8999999999999996E-2</v>
      </c>
      <c r="I124">
        <f t="shared" si="3"/>
        <v>0.7</v>
      </c>
    </row>
    <row r="125" spans="1:9">
      <c r="A125" s="1778" t="s">
        <v>14575</v>
      </c>
      <c r="B125" s="1779" t="s">
        <v>14562</v>
      </c>
      <c r="C125" s="1780" t="s">
        <v>16705</v>
      </c>
      <c r="D125" s="1781" t="s">
        <v>16693</v>
      </c>
      <c r="E125" s="1781">
        <f t="shared" si="2"/>
        <v>18344.330000000002</v>
      </c>
      <c r="F125" s="1782"/>
      <c r="G125" s="1783">
        <v>20136.48</v>
      </c>
      <c r="H125" s="1789">
        <v>8.8999999999999996E-2</v>
      </c>
      <c r="I125">
        <f t="shared" si="3"/>
        <v>18344.330000000002</v>
      </c>
    </row>
    <row r="126" spans="1:9">
      <c r="A126" s="1778" t="s">
        <v>14580</v>
      </c>
      <c r="B126" s="1779" t="s">
        <v>14562</v>
      </c>
      <c r="C126" s="1780" t="s">
        <v>16706</v>
      </c>
      <c r="D126" s="1781" t="s">
        <v>16693</v>
      </c>
      <c r="E126" s="1781">
        <f t="shared" si="2"/>
        <v>18344.330000000002</v>
      </c>
      <c r="F126" s="1782"/>
      <c r="G126" s="1783">
        <v>20136.48</v>
      </c>
      <c r="H126" s="1789">
        <v>8.8999999999999996E-2</v>
      </c>
      <c r="I126">
        <f t="shared" si="3"/>
        <v>18344.330000000002</v>
      </c>
    </row>
    <row r="127" spans="1:9">
      <c r="A127" s="1778">
        <v>5605942</v>
      </c>
      <c r="B127" s="1779" t="s">
        <v>14801</v>
      </c>
      <c r="C127" s="1780" t="s">
        <v>16707</v>
      </c>
      <c r="D127" s="1781" t="s">
        <v>409</v>
      </c>
      <c r="E127" s="1781">
        <f t="shared" si="2"/>
        <v>45.1</v>
      </c>
      <c r="F127" s="1782"/>
      <c r="G127" s="1783">
        <v>49.51</v>
      </c>
      <c r="H127" s="1789">
        <v>8.8999999999999996E-2</v>
      </c>
      <c r="I127">
        <f t="shared" si="3"/>
        <v>45.1</v>
      </c>
    </row>
    <row r="128" spans="1:9" ht="25.5">
      <c r="A128" s="1778">
        <v>77624</v>
      </c>
      <c r="B128" s="1779" t="s">
        <v>16708</v>
      </c>
      <c r="C128" s="1780" t="s">
        <v>16709</v>
      </c>
      <c r="D128" s="1781" t="s">
        <v>409</v>
      </c>
      <c r="E128" s="1781">
        <f t="shared" si="2"/>
        <v>711.98</v>
      </c>
      <c r="F128" s="1782"/>
      <c r="G128" s="1783">
        <v>781.54</v>
      </c>
      <c r="H128" s="1789">
        <v>8.8999999999999996E-2</v>
      </c>
      <c r="I128">
        <f t="shared" si="3"/>
        <v>711.98</v>
      </c>
    </row>
    <row r="129" spans="1:9">
      <c r="A129" s="1778" t="s">
        <v>14546</v>
      </c>
      <c r="B129" s="1606" t="s">
        <v>14544</v>
      </c>
      <c r="C129" s="1780" t="s">
        <v>16710</v>
      </c>
      <c r="D129" s="1781" t="s">
        <v>409</v>
      </c>
      <c r="E129" s="1781">
        <f t="shared" si="2"/>
        <v>57.06</v>
      </c>
      <c r="F129" s="1782"/>
      <c r="G129" s="1783">
        <v>62.64</v>
      </c>
      <c r="H129" s="1789">
        <v>8.8999999999999996E-2</v>
      </c>
      <c r="I129">
        <f t="shared" si="3"/>
        <v>57.06</v>
      </c>
    </row>
    <row r="130" spans="1:9" ht="25.5">
      <c r="A130" s="1778" t="s">
        <v>14970</v>
      </c>
      <c r="B130" s="1779" t="s">
        <v>14544</v>
      </c>
      <c r="C130" s="1780" t="s">
        <v>16711</v>
      </c>
      <c r="D130" s="1781" t="s">
        <v>50</v>
      </c>
      <c r="E130" s="1781">
        <f t="shared" si="2"/>
        <v>12.63</v>
      </c>
      <c r="F130" s="1782"/>
      <c r="G130" s="1783">
        <v>13.87</v>
      </c>
      <c r="H130" s="1789">
        <v>8.8999999999999996E-2</v>
      </c>
      <c r="I130">
        <f t="shared" si="3"/>
        <v>12.63</v>
      </c>
    </row>
    <row r="131" spans="1:9" ht="25.5">
      <c r="A131" s="1778" t="s">
        <v>14929</v>
      </c>
      <c r="B131" s="1779" t="s">
        <v>14544</v>
      </c>
      <c r="C131" s="1780" t="s">
        <v>16712</v>
      </c>
      <c r="D131" s="1781" t="s">
        <v>50</v>
      </c>
      <c r="E131" s="1781">
        <f t="shared" ref="E131:E137" si="4">I131</f>
        <v>20.22</v>
      </c>
      <c r="F131" s="1782"/>
      <c r="G131" s="1783">
        <v>22.2</v>
      </c>
      <c r="H131" s="1789">
        <v>8.8999999999999996E-2</v>
      </c>
      <c r="I131">
        <f t="shared" ref="I131:I137" si="5">TRUNC((1-H131)*G131,2)</f>
        <v>20.22</v>
      </c>
    </row>
    <row r="132" spans="1:9" ht="25.5">
      <c r="A132" s="1778" t="s">
        <v>14928</v>
      </c>
      <c r="B132" s="1779" t="s">
        <v>14544</v>
      </c>
      <c r="C132" s="1780" t="s">
        <v>16713</v>
      </c>
      <c r="D132" s="1781" t="s">
        <v>50</v>
      </c>
      <c r="E132" s="1781">
        <f t="shared" si="4"/>
        <v>30.75</v>
      </c>
      <c r="F132" s="1782"/>
      <c r="G132" s="1783">
        <v>33.76</v>
      </c>
      <c r="H132" s="1789">
        <v>8.8999999999999996E-2</v>
      </c>
      <c r="I132">
        <f t="shared" si="5"/>
        <v>30.75</v>
      </c>
    </row>
    <row r="133" spans="1:9">
      <c r="A133" s="1778" t="s">
        <v>15398</v>
      </c>
      <c r="B133" s="1779" t="s">
        <v>14544</v>
      </c>
      <c r="C133" s="1780" t="s">
        <v>16714</v>
      </c>
      <c r="D133" s="1781" t="s">
        <v>6</v>
      </c>
      <c r="E133" s="1781">
        <f t="shared" si="4"/>
        <v>22.7</v>
      </c>
      <c r="F133" s="1782"/>
      <c r="G133" s="1783">
        <v>24.92</v>
      </c>
      <c r="H133" s="1789">
        <v>8.8999999999999996E-2</v>
      </c>
      <c r="I133">
        <f t="shared" si="5"/>
        <v>22.7</v>
      </c>
    </row>
    <row r="134" spans="1:9">
      <c r="A134" s="1778" t="s">
        <v>14925</v>
      </c>
      <c r="B134" s="1779" t="s">
        <v>14544</v>
      </c>
      <c r="C134" s="1780" t="s">
        <v>16715</v>
      </c>
      <c r="D134" s="1781" t="s">
        <v>6</v>
      </c>
      <c r="E134" s="1781">
        <f t="shared" si="4"/>
        <v>15.03</v>
      </c>
      <c r="F134" s="1782"/>
      <c r="G134" s="1783">
        <v>16.5</v>
      </c>
      <c r="H134" s="1789">
        <v>8.8999999999999996E-2</v>
      </c>
      <c r="I134">
        <f t="shared" si="5"/>
        <v>15.03</v>
      </c>
    </row>
    <row r="135" spans="1:9">
      <c r="A135" s="1778" t="s">
        <v>14553</v>
      </c>
      <c r="B135" s="1779" t="s">
        <v>14544</v>
      </c>
      <c r="C135" s="1780" t="s">
        <v>16716</v>
      </c>
      <c r="D135" s="1781" t="s">
        <v>156</v>
      </c>
      <c r="E135" s="1781">
        <f t="shared" si="4"/>
        <v>892.78</v>
      </c>
      <c r="F135" s="1782"/>
      <c r="G135" s="1783">
        <v>980</v>
      </c>
      <c r="H135" s="1789">
        <v>8.8999999999999996E-2</v>
      </c>
      <c r="I135">
        <f t="shared" si="5"/>
        <v>892.78</v>
      </c>
    </row>
    <row r="136" spans="1:9">
      <c r="A136" s="1778">
        <v>4685</v>
      </c>
      <c r="B136" s="1606" t="s">
        <v>14600</v>
      </c>
      <c r="C136" s="1780" t="s">
        <v>16717</v>
      </c>
      <c r="D136" s="1788" t="s">
        <v>6</v>
      </c>
      <c r="E136" s="1781">
        <f t="shared" si="4"/>
        <v>1.99</v>
      </c>
      <c r="F136" s="1782"/>
      <c r="G136" s="1783">
        <v>2.19</v>
      </c>
      <c r="H136" s="1789">
        <v>8.8999999999999996E-2</v>
      </c>
      <c r="I136">
        <f t="shared" si="5"/>
        <v>1.99</v>
      </c>
    </row>
    <row r="137" spans="1:9">
      <c r="A137" s="1778" t="s">
        <v>16718</v>
      </c>
      <c r="B137" s="1606" t="s">
        <v>14562</v>
      </c>
      <c r="C137" s="1780" t="s">
        <v>16719</v>
      </c>
      <c r="D137" s="1788" t="s">
        <v>154</v>
      </c>
      <c r="E137" s="1781">
        <f t="shared" si="4"/>
        <v>23.65</v>
      </c>
      <c r="F137" s="1782"/>
      <c r="G137" s="1783">
        <v>25.97</v>
      </c>
      <c r="H137" s="1789">
        <v>8.8999999999999996E-2</v>
      </c>
      <c r="I137">
        <f t="shared" si="5"/>
        <v>23.65</v>
      </c>
    </row>
    <row r="138" spans="1:9">
      <c r="A138" s="1778"/>
      <c r="B138" s="1606"/>
      <c r="C138" s="1780"/>
      <c r="D138" s="1788"/>
      <c r="E138" s="1781"/>
      <c r="F138" s="1782"/>
      <c r="G138" s="1783"/>
    </row>
    <row r="139" spans="1:9">
      <c r="A139" s="1778"/>
      <c r="B139" s="1606"/>
      <c r="C139" s="1780"/>
      <c r="D139" s="1788" t="s">
        <v>16346</v>
      </c>
      <c r="E139" s="1781"/>
      <c r="F139" s="1782"/>
      <c r="G139" s="1783"/>
    </row>
  </sheetData>
  <autoFilter ref="A1:E137" xr:uid="{00000000-0009-0000-0000-000014000000}"/>
  <conditionalFormatting sqref="F2:F139">
    <cfRule type="expression" dxfId="0" priority="1">
      <formula>COUNTIF($B2:$B$139,B:B)&gt;1</formula>
    </cfRule>
  </conditionalFormatting>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94"/>
  <sheetViews>
    <sheetView workbookViewId="0">
      <selection sqref="A1:E1"/>
    </sheetView>
  </sheetViews>
  <sheetFormatPr defaultColWidth="12.5703125" defaultRowHeight="15" customHeight="1"/>
  <cols>
    <col min="1" max="1" width="31" customWidth="1"/>
    <col min="2" max="2" width="29.85546875" customWidth="1"/>
    <col min="3" max="3" width="27.42578125" customWidth="1"/>
    <col min="4" max="4" width="15.42578125" customWidth="1"/>
    <col min="5" max="5" width="39" customWidth="1"/>
    <col min="6" max="6" width="13.28515625" hidden="1" customWidth="1"/>
    <col min="7" max="7" width="10.140625" hidden="1" customWidth="1"/>
    <col min="8" max="8" width="84.85546875" hidden="1" customWidth="1"/>
    <col min="9" max="24" width="8.5703125" hidden="1" customWidth="1"/>
    <col min="25" max="26" width="12.5703125" hidden="1"/>
  </cols>
  <sheetData>
    <row r="1" spans="1:26" ht="72.75" customHeight="1">
      <c r="A1" s="2626" t="s">
        <v>12469</v>
      </c>
      <c r="B1" s="2627"/>
      <c r="C1" s="2627"/>
      <c r="D1" s="2627"/>
      <c r="E1" s="2628"/>
      <c r="F1" s="33"/>
      <c r="G1" s="33"/>
      <c r="H1" s="33"/>
      <c r="I1" s="33"/>
      <c r="J1" s="33"/>
      <c r="K1" s="33"/>
      <c r="L1" s="33"/>
      <c r="M1" s="33"/>
      <c r="N1" s="33"/>
      <c r="O1" s="33"/>
      <c r="P1" s="33"/>
      <c r="Q1" s="33"/>
      <c r="R1" s="33"/>
      <c r="S1" s="33"/>
      <c r="T1" s="33"/>
      <c r="U1" s="33"/>
      <c r="V1" s="33"/>
      <c r="W1" s="33"/>
      <c r="X1" s="33"/>
      <c r="Y1" s="34"/>
      <c r="Z1" s="34"/>
    </row>
    <row r="2" spans="1:26">
      <c r="A2" s="35" t="str">
        <f>'Medição '!V5</f>
        <v>OBRA:</v>
      </c>
      <c r="B2" s="2629" t="str">
        <f>'Medição '!W5</f>
        <v>COMPLEXO SUNSET DO PARQUE NOVO MATO GROSSO</v>
      </c>
      <c r="C2" s="2590"/>
      <c r="D2" s="2590"/>
      <c r="E2" s="2618"/>
      <c r="F2" s="36"/>
      <c r="G2" s="36"/>
      <c r="H2" s="36"/>
      <c r="I2" s="36"/>
      <c r="J2" s="36"/>
      <c r="K2" s="36"/>
      <c r="L2" s="36"/>
      <c r="M2" s="36"/>
      <c r="N2" s="36"/>
      <c r="O2" s="36"/>
      <c r="P2" s="36"/>
      <c r="Q2" s="36"/>
      <c r="R2" s="36"/>
      <c r="S2" s="36"/>
      <c r="T2" s="36"/>
      <c r="U2" s="36"/>
      <c r="V2" s="36"/>
      <c r="W2" s="36"/>
      <c r="X2" s="36"/>
      <c r="Y2" s="36"/>
      <c r="Z2" s="36"/>
    </row>
    <row r="3" spans="1:26">
      <c r="A3" s="37" t="str">
        <f>'Medição '!V6</f>
        <v xml:space="preserve">ENDEREÇO: </v>
      </c>
      <c r="B3" s="2630" t="str">
        <f>'Medição '!W6</f>
        <v>MT 251, KM 11, S/N, ÁREA RURAL - PARQUE NOVO MATO GROSSO, CEP 78099-899</v>
      </c>
      <c r="C3" s="2631"/>
      <c r="D3" s="2631"/>
      <c r="E3" s="2632"/>
      <c r="F3" s="36"/>
      <c r="G3" s="36"/>
      <c r="H3" s="36"/>
      <c r="I3" s="36"/>
      <c r="J3" s="36"/>
      <c r="K3" s="36"/>
      <c r="L3" s="36"/>
      <c r="M3" s="36"/>
      <c r="N3" s="36"/>
      <c r="O3" s="36"/>
      <c r="P3" s="36"/>
      <c r="Q3" s="36"/>
      <c r="R3" s="36"/>
      <c r="S3" s="36"/>
      <c r="T3" s="36"/>
      <c r="U3" s="36"/>
      <c r="V3" s="36"/>
      <c r="W3" s="36"/>
      <c r="X3" s="36"/>
      <c r="Y3" s="36"/>
      <c r="Z3" s="36"/>
    </row>
    <row r="4" spans="1:26">
      <c r="A4" s="37" t="str">
        <f>'Medição '!V7</f>
        <v>MUNICÍPIO:</v>
      </c>
      <c r="B4" s="2630" t="str">
        <f>'Medição '!W7</f>
        <v>CUIABÁ - MT</v>
      </c>
      <c r="C4" s="2631"/>
      <c r="D4" s="2631"/>
      <c r="E4" s="2632"/>
      <c r="F4" s="36"/>
      <c r="G4" s="36"/>
      <c r="H4" s="36"/>
      <c r="I4" s="36"/>
      <c r="J4" s="36"/>
      <c r="K4" s="36"/>
      <c r="L4" s="36"/>
      <c r="M4" s="36"/>
      <c r="N4" s="36"/>
      <c r="O4" s="36"/>
      <c r="P4" s="36"/>
      <c r="Q4" s="36"/>
      <c r="R4" s="36"/>
      <c r="S4" s="36"/>
      <c r="T4" s="36"/>
      <c r="U4" s="36"/>
      <c r="V4" s="36"/>
      <c r="W4" s="36"/>
      <c r="X4" s="36"/>
      <c r="Y4" s="36"/>
      <c r="Z4" s="36"/>
    </row>
    <row r="5" spans="1:26">
      <c r="A5" s="37" t="str">
        <f>'Medição '!V8</f>
        <v>OBJETO:</v>
      </c>
      <c r="B5" s="2630" t="str">
        <f>'Medição '!W8</f>
        <v>CONTRATAÇÃO DE EMPRESA ESPECIALIZADA PARA EXECUÇÃO DAS OBRAS DO "COMPLEXO SUNSET (WAKE BAR, PRAÇA SUNSET, QUIOSQUE, BANHEIROS DE APOIO E INFRA DE CONTÊINER) DO PARQUE NOVO MATO GROSSO"</v>
      </c>
      <c r="C5" s="2631"/>
      <c r="D5" s="2631"/>
      <c r="E5" s="2632"/>
      <c r="F5" s="36"/>
      <c r="G5" s="36"/>
      <c r="H5" s="36"/>
      <c r="I5" s="36"/>
      <c r="J5" s="36"/>
      <c r="K5" s="36"/>
      <c r="L5" s="36"/>
      <c r="M5" s="36"/>
      <c r="N5" s="36"/>
      <c r="O5" s="36"/>
      <c r="P5" s="36"/>
      <c r="Q5" s="36"/>
      <c r="R5" s="36"/>
      <c r="S5" s="36"/>
      <c r="T5" s="36"/>
      <c r="U5" s="36"/>
      <c r="V5" s="36"/>
      <c r="W5" s="36"/>
      <c r="X5" s="36"/>
      <c r="Y5" s="36"/>
      <c r="Z5" s="36"/>
    </row>
    <row r="6" spans="1:26" ht="18" customHeight="1">
      <c r="A6" s="2633" t="s">
        <v>12470</v>
      </c>
      <c r="B6" s="2634"/>
      <c r="C6" s="2634"/>
      <c r="D6" s="2634"/>
      <c r="E6" s="2635"/>
      <c r="F6" s="38"/>
      <c r="G6" s="38"/>
      <c r="H6" s="38"/>
      <c r="I6" s="38"/>
      <c r="J6" s="38"/>
      <c r="K6" s="38"/>
      <c r="L6" s="38"/>
      <c r="M6" s="38"/>
      <c r="N6" s="38"/>
      <c r="O6" s="38"/>
      <c r="P6" s="38"/>
      <c r="Q6" s="38"/>
      <c r="R6" s="38"/>
      <c r="S6" s="38"/>
      <c r="T6" s="38"/>
      <c r="U6" s="38"/>
      <c r="V6" s="38"/>
      <c r="W6" s="38"/>
      <c r="X6" s="38"/>
      <c r="Y6" s="38"/>
      <c r="Z6" s="38"/>
    </row>
    <row r="7" spans="1:26" ht="12.75" customHeight="1">
      <c r="A7" s="2636"/>
      <c r="B7" s="2588"/>
      <c r="C7" s="2588"/>
      <c r="D7" s="2588"/>
      <c r="E7" s="2621"/>
      <c r="F7" s="38"/>
      <c r="G7" s="38"/>
      <c r="H7" s="38"/>
      <c r="I7" s="38"/>
      <c r="J7" s="38"/>
      <c r="K7" s="38"/>
      <c r="L7" s="38"/>
      <c r="M7" s="38"/>
      <c r="N7" s="38"/>
      <c r="O7" s="38"/>
      <c r="P7" s="38"/>
      <c r="Q7" s="38"/>
      <c r="R7" s="38"/>
      <c r="S7" s="38"/>
      <c r="T7" s="38"/>
      <c r="U7" s="38"/>
      <c r="V7" s="38"/>
      <c r="W7" s="38"/>
      <c r="X7" s="38"/>
      <c r="Y7" s="38"/>
      <c r="Z7" s="38"/>
    </row>
    <row r="8" spans="1:26" ht="101.25" customHeight="1">
      <c r="A8" s="2637" t="s">
        <v>12471</v>
      </c>
      <c r="B8" s="2588"/>
      <c r="C8" s="2588"/>
      <c r="D8" s="2588"/>
      <c r="E8" s="2621"/>
      <c r="F8" s="38"/>
      <c r="G8" s="38"/>
      <c r="H8" s="38"/>
      <c r="I8" s="38"/>
      <c r="J8" s="38"/>
      <c r="K8" s="38"/>
      <c r="L8" s="38"/>
      <c r="M8" s="38"/>
      <c r="N8" s="38"/>
      <c r="O8" s="38"/>
      <c r="P8" s="38"/>
      <c r="Q8" s="38"/>
      <c r="R8" s="38"/>
      <c r="S8" s="38"/>
      <c r="T8" s="38"/>
      <c r="U8" s="38"/>
      <c r="V8" s="38"/>
      <c r="W8" s="38"/>
      <c r="X8" s="38"/>
      <c r="Y8" s="38"/>
      <c r="Z8" s="38"/>
    </row>
    <row r="9" spans="1:26" ht="12.75">
      <c r="A9" s="2633" t="s">
        <v>12472</v>
      </c>
      <c r="B9" s="2634"/>
      <c r="C9" s="2634"/>
      <c r="D9" s="2634"/>
      <c r="E9" s="2635"/>
      <c r="F9" s="38"/>
      <c r="G9" s="38"/>
      <c r="H9" s="38"/>
      <c r="I9" s="38"/>
      <c r="J9" s="38"/>
      <c r="K9" s="38"/>
      <c r="L9" s="38"/>
      <c r="M9" s="38"/>
      <c r="N9" s="38"/>
      <c r="O9" s="38"/>
      <c r="P9" s="38"/>
      <c r="Q9" s="38"/>
      <c r="R9" s="38"/>
      <c r="S9" s="38"/>
      <c r="T9" s="38"/>
      <c r="U9" s="38"/>
      <c r="V9" s="38"/>
      <c r="W9" s="38"/>
      <c r="X9" s="38"/>
      <c r="Y9" s="38"/>
      <c r="Z9" s="38"/>
    </row>
    <row r="10" spans="1:26" ht="22.5" customHeight="1">
      <c r="A10" s="2636" t="s">
        <v>12473</v>
      </c>
      <c r="B10" s="2588"/>
      <c r="C10" s="2588"/>
      <c r="D10" s="2588"/>
      <c r="E10" s="2621"/>
      <c r="F10" s="40"/>
      <c r="G10" s="40"/>
      <c r="H10" s="40"/>
      <c r="I10" s="40"/>
      <c r="J10" s="40"/>
      <c r="K10" s="40"/>
      <c r="L10" s="40"/>
      <c r="M10" s="40"/>
      <c r="N10" s="40"/>
      <c r="O10" s="40"/>
      <c r="P10" s="40"/>
      <c r="Q10" s="40"/>
      <c r="R10" s="40"/>
      <c r="S10" s="40"/>
      <c r="T10" s="40"/>
      <c r="U10" s="40"/>
      <c r="V10" s="40"/>
      <c r="W10" s="40"/>
      <c r="X10" s="40"/>
      <c r="Y10" s="40"/>
      <c r="Z10" s="40"/>
    </row>
    <row r="11" spans="1:26" ht="22.5" customHeight="1">
      <c r="A11" s="2636" t="s">
        <v>12474</v>
      </c>
      <c r="B11" s="2588"/>
      <c r="C11" s="2588"/>
      <c r="D11" s="2588"/>
      <c r="E11" s="2621"/>
      <c r="F11" s="40"/>
      <c r="G11" s="40"/>
      <c r="H11" s="40"/>
      <c r="I11" s="40"/>
      <c r="J11" s="40"/>
      <c r="K11" s="40"/>
      <c r="L11" s="40"/>
      <c r="M11" s="40"/>
      <c r="N11" s="40"/>
      <c r="O11" s="40"/>
      <c r="P11" s="40"/>
      <c r="Q11" s="40"/>
      <c r="R11" s="40"/>
      <c r="S11" s="40"/>
      <c r="T11" s="40"/>
      <c r="U11" s="40"/>
      <c r="V11" s="40"/>
      <c r="W11" s="40"/>
      <c r="X11" s="40"/>
      <c r="Y11" s="40"/>
      <c r="Z11" s="40"/>
    </row>
    <row r="12" spans="1:26" ht="22.5" customHeight="1">
      <c r="A12" s="2636" t="s">
        <v>12475</v>
      </c>
      <c r="B12" s="2588"/>
      <c r="C12" s="2588"/>
      <c r="D12" s="2588"/>
      <c r="E12" s="2621"/>
      <c r="F12" s="40"/>
      <c r="G12" s="40"/>
      <c r="H12" s="40"/>
      <c r="I12" s="40"/>
      <c r="J12" s="40"/>
      <c r="K12" s="40"/>
      <c r="L12" s="40"/>
      <c r="M12" s="40"/>
      <c r="N12" s="40"/>
      <c r="O12" s="40"/>
      <c r="P12" s="40"/>
      <c r="Q12" s="40"/>
      <c r="R12" s="40"/>
      <c r="S12" s="40"/>
      <c r="T12" s="40"/>
      <c r="U12" s="40"/>
      <c r="V12" s="40"/>
      <c r="W12" s="40"/>
      <c r="X12" s="40"/>
      <c r="Y12" s="40"/>
      <c r="Z12" s="40"/>
    </row>
    <row r="13" spans="1:26" ht="15.75">
      <c r="A13" s="2638" t="s">
        <v>12476</v>
      </c>
      <c r="B13" s="2588"/>
      <c r="C13" s="2588"/>
      <c r="D13" s="2588"/>
      <c r="E13" s="2621"/>
      <c r="F13" s="40"/>
      <c r="G13" s="40"/>
      <c r="H13" s="40"/>
      <c r="I13" s="40"/>
      <c r="J13" s="40"/>
      <c r="K13" s="40"/>
      <c r="L13" s="40"/>
      <c r="M13" s="40"/>
      <c r="N13" s="40"/>
      <c r="O13" s="40"/>
      <c r="P13" s="40"/>
      <c r="Q13" s="40"/>
      <c r="R13" s="40"/>
      <c r="S13" s="40"/>
      <c r="T13" s="40"/>
      <c r="U13" s="40"/>
      <c r="V13" s="40"/>
      <c r="W13" s="40"/>
      <c r="X13" s="40"/>
      <c r="Y13" s="40"/>
      <c r="Z13" s="40"/>
    </row>
    <row r="14" spans="1:26" ht="22.5" customHeight="1">
      <c r="A14" s="2638" t="s">
        <v>12477</v>
      </c>
      <c r="B14" s="2588"/>
      <c r="C14" s="2588"/>
      <c r="D14" s="2588"/>
      <c r="E14" s="2621"/>
      <c r="F14" s="40"/>
      <c r="G14" s="40"/>
      <c r="H14" s="40"/>
      <c r="I14" s="40"/>
      <c r="J14" s="40"/>
      <c r="K14" s="40"/>
      <c r="L14" s="40"/>
      <c r="M14" s="40"/>
      <c r="N14" s="40"/>
      <c r="O14" s="40"/>
      <c r="P14" s="40"/>
      <c r="Q14" s="40"/>
      <c r="R14" s="40"/>
      <c r="S14" s="40"/>
      <c r="T14" s="40"/>
      <c r="U14" s="40"/>
      <c r="V14" s="40"/>
      <c r="W14" s="40"/>
      <c r="X14" s="40"/>
      <c r="Y14" s="40"/>
      <c r="Z14" s="40"/>
    </row>
    <row r="15" spans="1:26" ht="21.75" customHeight="1">
      <c r="A15" s="2636" t="s">
        <v>12478</v>
      </c>
      <c r="B15" s="2588"/>
      <c r="C15" s="2588"/>
      <c r="D15" s="2588"/>
      <c r="E15" s="2621"/>
      <c r="F15" s="40"/>
      <c r="G15" s="40"/>
      <c r="H15" s="40"/>
      <c r="I15" s="40"/>
      <c r="J15" s="40"/>
      <c r="K15" s="40"/>
      <c r="L15" s="40"/>
      <c r="M15" s="40"/>
      <c r="N15" s="40"/>
      <c r="O15" s="40"/>
      <c r="P15" s="40"/>
      <c r="Q15" s="40"/>
      <c r="R15" s="40"/>
      <c r="S15" s="40"/>
      <c r="T15" s="40"/>
      <c r="U15" s="40"/>
      <c r="V15" s="40"/>
      <c r="W15" s="40"/>
      <c r="X15" s="40"/>
      <c r="Y15" s="40"/>
      <c r="Z15" s="40"/>
    </row>
    <row r="16" spans="1:26" ht="22.5" customHeight="1">
      <c r="A16" s="2636" t="s">
        <v>12479</v>
      </c>
      <c r="B16" s="2588"/>
      <c r="C16" s="2588"/>
      <c r="D16" s="2588"/>
      <c r="E16" s="2621"/>
      <c r="F16" s="40"/>
      <c r="G16" s="40"/>
      <c r="H16" s="40"/>
      <c r="I16" s="40"/>
      <c r="J16" s="40"/>
      <c r="K16" s="40"/>
      <c r="L16" s="40"/>
      <c r="M16" s="40"/>
      <c r="N16" s="40"/>
      <c r="O16" s="40"/>
      <c r="P16" s="40"/>
      <c r="Q16" s="40"/>
      <c r="R16" s="40"/>
      <c r="S16" s="40"/>
      <c r="T16" s="40"/>
      <c r="U16" s="40"/>
      <c r="V16" s="40"/>
      <c r="W16" s="40"/>
      <c r="X16" s="40"/>
      <c r="Y16" s="40"/>
      <c r="Z16" s="40"/>
    </row>
    <row r="17" spans="1:26" ht="50.25" customHeight="1">
      <c r="A17" s="2639" t="s">
        <v>12480</v>
      </c>
      <c r="B17" s="2588"/>
      <c r="C17" s="2588"/>
      <c r="D17" s="2588"/>
      <c r="E17" s="2621"/>
      <c r="F17" s="38"/>
      <c r="G17" s="38"/>
      <c r="H17" s="38"/>
      <c r="I17" s="38"/>
      <c r="J17" s="38"/>
      <c r="K17" s="38"/>
      <c r="L17" s="38"/>
      <c r="M17" s="38"/>
      <c r="N17" s="38"/>
      <c r="O17" s="38"/>
      <c r="P17" s="38"/>
      <c r="Q17" s="38"/>
      <c r="R17" s="38"/>
      <c r="S17" s="38"/>
      <c r="T17" s="38"/>
      <c r="U17" s="38"/>
      <c r="V17" s="38"/>
      <c r="W17" s="38"/>
      <c r="X17" s="38"/>
      <c r="Y17" s="38"/>
      <c r="Z17" s="38"/>
    </row>
    <row r="18" spans="1:26" ht="18" customHeight="1">
      <c r="A18" s="41"/>
      <c r="B18" s="42"/>
      <c r="C18" s="43"/>
      <c r="D18" s="43"/>
      <c r="E18" s="44"/>
      <c r="F18" s="36"/>
      <c r="G18" s="36"/>
      <c r="H18" s="36"/>
      <c r="I18" s="36"/>
      <c r="J18" s="36"/>
      <c r="K18" s="36"/>
      <c r="L18" s="36"/>
      <c r="M18" s="36"/>
      <c r="N18" s="36"/>
      <c r="O18" s="36"/>
      <c r="P18" s="36"/>
      <c r="Q18" s="36"/>
      <c r="R18" s="36"/>
      <c r="S18" s="36"/>
      <c r="T18" s="36"/>
      <c r="U18" s="36"/>
      <c r="V18" s="36"/>
      <c r="W18" s="36"/>
      <c r="X18" s="36"/>
      <c r="Y18" s="36"/>
      <c r="Z18" s="36"/>
    </row>
    <row r="19" spans="1:26" ht="18" customHeight="1">
      <c r="A19" s="41"/>
      <c r="B19" s="45" t="s">
        <v>12444</v>
      </c>
      <c r="C19" s="46" t="s">
        <v>12481</v>
      </c>
      <c r="D19" s="47" t="s">
        <v>12482</v>
      </c>
      <c r="E19" s="44"/>
      <c r="F19" s="36"/>
      <c r="G19" s="36"/>
      <c r="H19" s="36"/>
      <c r="I19" s="36"/>
      <c r="J19" s="36"/>
      <c r="K19" s="36"/>
      <c r="L19" s="36"/>
      <c r="M19" s="36"/>
      <c r="N19" s="36"/>
      <c r="O19" s="36"/>
      <c r="P19" s="36"/>
      <c r="Q19" s="36"/>
      <c r="R19" s="36"/>
      <c r="S19" s="36"/>
      <c r="T19" s="36"/>
      <c r="U19" s="36"/>
      <c r="V19" s="36"/>
      <c r="W19" s="36"/>
      <c r="X19" s="36"/>
      <c r="Y19" s="36"/>
      <c r="Z19" s="36"/>
    </row>
    <row r="20" spans="1:26" ht="16.5" customHeight="1">
      <c r="A20" s="41"/>
      <c r="B20" s="2600" t="s">
        <v>12483</v>
      </c>
      <c r="C20" s="2601"/>
      <c r="D20" s="2602"/>
      <c r="E20" s="48"/>
      <c r="F20" s="36"/>
      <c r="G20" s="36"/>
      <c r="H20" s="36"/>
      <c r="I20" s="36"/>
      <c r="J20" s="36"/>
      <c r="K20" s="36"/>
      <c r="L20" s="36"/>
      <c r="M20" s="36"/>
      <c r="N20" s="36"/>
      <c r="O20" s="36"/>
      <c r="P20" s="36"/>
      <c r="Q20" s="36"/>
      <c r="R20" s="36"/>
      <c r="S20" s="36"/>
      <c r="T20" s="36"/>
      <c r="U20" s="36"/>
      <c r="V20" s="36"/>
      <c r="W20" s="36"/>
      <c r="X20" s="36"/>
      <c r="Y20" s="36"/>
      <c r="Z20" s="36"/>
    </row>
    <row r="21" spans="1:26" ht="33.75" customHeight="1">
      <c r="A21" s="41"/>
      <c r="B21" s="49" t="s">
        <v>12483</v>
      </c>
      <c r="C21" s="50" t="s">
        <v>12484</v>
      </c>
      <c r="D21" s="51" t="s">
        <v>12485</v>
      </c>
      <c r="E21" s="44"/>
      <c r="F21" s="52"/>
      <c r="G21" s="52"/>
      <c r="H21" s="52"/>
      <c r="I21" s="52"/>
      <c r="J21" s="52"/>
      <c r="K21" s="52"/>
      <c r="L21" s="52"/>
      <c r="M21" s="52"/>
      <c r="N21" s="52"/>
      <c r="O21" s="52"/>
      <c r="P21" s="52"/>
      <c r="Q21" s="52"/>
      <c r="R21" s="52"/>
      <c r="S21" s="52"/>
      <c r="T21" s="52"/>
      <c r="U21" s="52"/>
      <c r="V21" s="52"/>
      <c r="W21" s="52"/>
      <c r="X21" s="52"/>
      <c r="Y21" s="52"/>
      <c r="Z21" s="52"/>
    </row>
    <row r="22" spans="1:26" ht="18" customHeight="1">
      <c r="A22" s="41"/>
      <c r="B22" s="2603" t="s">
        <v>12452</v>
      </c>
      <c r="C22" s="2604"/>
      <c r="D22" s="2605"/>
      <c r="E22" s="44"/>
      <c r="F22" s="36"/>
      <c r="G22" s="36"/>
      <c r="H22" s="36"/>
      <c r="I22" s="36"/>
      <c r="J22" s="36"/>
      <c r="K22" s="36"/>
      <c r="L22" s="36"/>
      <c r="M22" s="36"/>
      <c r="N22" s="36"/>
      <c r="O22" s="36"/>
      <c r="P22" s="36"/>
      <c r="Q22" s="36"/>
      <c r="R22" s="36"/>
      <c r="S22" s="36"/>
      <c r="T22" s="36"/>
      <c r="U22" s="36"/>
      <c r="V22" s="36"/>
      <c r="W22" s="36"/>
      <c r="X22" s="36"/>
      <c r="Y22" s="36"/>
      <c r="Z22" s="36"/>
    </row>
    <row r="23" spans="1:26" ht="30">
      <c r="A23" s="41"/>
      <c r="B23" s="2596" t="s">
        <v>12486</v>
      </c>
      <c r="C23" s="54" t="s">
        <v>12487</v>
      </c>
      <c r="D23" s="55" t="s">
        <v>12488</v>
      </c>
      <c r="E23" s="44"/>
      <c r="F23" s="36"/>
      <c r="G23" s="36"/>
      <c r="H23" s="36"/>
      <c r="I23" s="36"/>
      <c r="J23" s="36"/>
      <c r="K23" s="36"/>
      <c r="L23" s="36"/>
      <c r="M23" s="36"/>
      <c r="N23" s="36"/>
      <c r="O23" s="36"/>
      <c r="P23" s="36"/>
      <c r="Q23" s="36"/>
      <c r="R23" s="36"/>
      <c r="S23" s="36"/>
      <c r="T23" s="36"/>
      <c r="U23" s="36"/>
      <c r="V23" s="36"/>
      <c r="W23" s="36"/>
      <c r="X23" s="36"/>
      <c r="Y23" s="36"/>
      <c r="Z23" s="36"/>
    </row>
    <row r="24" spans="1:26" ht="30">
      <c r="A24" s="41"/>
      <c r="B24" s="2597"/>
      <c r="C24" s="56" t="s">
        <v>12489</v>
      </c>
      <c r="D24" s="57" t="s">
        <v>12490</v>
      </c>
      <c r="E24" s="44"/>
      <c r="F24" s="36"/>
      <c r="G24" s="36"/>
      <c r="H24" s="36"/>
      <c r="I24" s="36"/>
      <c r="J24" s="36"/>
      <c r="K24" s="36"/>
      <c r="L24" s="36"/>
      <c r="M24" s="36"/>
      <c r="N24" s="36"/>
      <c r="O24" s="36"/>
      <c r="P24" s="36"/>
      <c r="Q24" s="36"/>
      <c r="R24" s="36"/>
      <c r="S24" s="36"/>
      <c r="T24" s="36"/>
      <c r="U24" s="36"/>
      <c r="V24" s="36"/>
      <c r="W24" s="36"/>
      <c r="X24" s="36"/>
      <c r="Y24" s="36"/>
      <c r="Z24" s="36"/>
    </row>
    <row r="25" spans="1:26" ht="30">
      <c r="A25" s="41"/>
      <c r="B25" s="2597"/>
      <c r="C25" s="58" t="s">
        <v>12491</v>
      </c>
      <c r="D25" s="59" t="s">
        <v>12492</v>
      </c>
      <c r="E25" s="44"/>
      <c r="F25" s="36"/>
      <c r="G25" s="36"/>
      <c r="H25" s="36"/>
      <c r="I25" s="36"/>
      <c r="J25" s="36"/>
      <c r="K25" s="36"/>
      <c r="L25" s="36"/>
      <c r="M25" s="36"/>
      <c r="N25" s="36"/>
      <c r="O25" s="36"/>
      <c r="P25" s="36"/>
      <c r="Q25" s="36"/>
      <c r="R25" s="36"/>
      <c r="S25" s="36"/>
      <c r="T25" s="36"/>
      <c r="U25" s="36"/>
      <c r="V25" s="36"/>
      <c r="W25" s="36"/>
      <c r="X25" s="36"/>
      <c r="Y25" s="36"/>
      <c r="Z25" s="36"/>
    </row>
    <row r="26" spans="1:26" ht="30">
      <c r="A26" s="41"/>
      <c r="B26" s="2598"/>
      <c r="C26" s="56" t="s">
        <v>12493</v>
      </c>
      <c r="D26" s="57" t="s">
        <v>12494</v>
      </c>
      <c r="E26" s="44"/>
      <c r="F26" s="36"/>
      <c r="G26" s="36"/>
      <c r="H26" s="36"/>
      <c r="I26" s="36"/>
      <c r="J26" s="36"/>
      <c r="K26" s="36"/>
      <c r="L26" s="36"/>
      <c r="M26" s="36"/>
      <c r="N26" s="36"/>
      <c r="O26" s="36"/>
      <c r="P26" s="36"/>
      <c r="Q26" s="36"/>
      <c r="R26" s="36"/>
      <c r="S26" s="36"/>
      <c r="T26" s="36"/>
      <c r="U26" s="36"/>
      <c r="V26" s="36"/>
      <c r="W26" s="36"/>
      <c r="X26" s="36"/>
      <c r="Y26" s="36"/>
      <c r="Z26" s="36"/>
    </row>
    <row r="27" spans="1:26" ht="30">
      <c r="A27" s="41"/>
      <c r="B27" s="2599" t="s">
        <v>12495</v>
      </c>
      <c r="C27" s="60" t="s">
        <v>12496</v>
      </c>
      <c r="D27" s="61" t="s">
        <v>12497</v>
      </c>
      <c r="E27" s="44"/>
      <c r="F27" s="36"/>
      <c r="G27" s="36"/>
      <c r="H27" s="36"/>
      <c r="I27" s="36"/>
      <c r="J27" s="36"/>
      <c r="K27" s="36"/>
      <c r="L27" s="36"/>
      <c r="M27" s="36"/>
      <c r="N27" s="36"/>
      <c r="O27" s="36"/>
      <c r="P27" s="36"/>
      <c r="Q27" s="36"/>
      <c r="R27" s="36"/>
      <c r="S27" s="36"/>
      <c r="T27" s="36"/>
      <c r="U27" s="36"/>
      <c r="V27" s="36"/>
      <c r="W27" s="36"/>
      <c r="X27" s="36"/>
      <c r="Y27" s="36"/>
      <c r="Z27" s="36"/>
    </row>
    <row r="28" spans="1:26" ht="30">
      <c r="A28" s="41"/>
      <c r="B28" s="2597"/>
      <c r="C28" s="56" t="s">
        <v>12498</v>
      </c>
      <c r="D28" s="62" t="s">
        <v>12499</v>
      </c>
      <c r="E28" s="44"/>
      <c r="F28" s="36"/>
      <c r="G28" s="36"/>
      <c r="H28" s="36"/>
      <c r="I28" s="36"/>
      <c r="J28" s="36"/>
      <c r="K28" s="36"/>
      <c r="L28" s="36"/>
      <c r="M28" s="36"/>
      <c r="N28" s="36"/>
      <c r="O28" s="36"/>
      <c r="P28" s="36"/>
      <c r="Q28" s="36"/>
      <c r="R28" s="36"/>
      <c r="S28" s="36"/>
      <c r="T28" s="36"/>
      <c r="U28" s="36"/>
      <c r="V28" s="36"/>
      <c r="W28" s="36"/>
      <c r="X28" s="36"/>
      <c r="Y28" s="36"/>
      <c r="Z28" s="36"/>
    </row>
    <row r="29" spans="1:26" ht="30">
      <c r="A29" s="41"/>
      <c r="B29" s="2597"/>
      <c r="C29" s="60" t="s">
        <v>12500</v>
      </c>
      <c r="D29" s="61" t="s">
        <v>12501</v>
      </c>
      <c r="E29" s="44"/>
      <c r="F29" s="36"/>
      <c r="G29" s="36"/>
      <c r="H29" s="36"/>
      <c r="I29" s="36"/>
      <c r="J29" s="36"/>
      <c r="K29" s="36"/>
      <c r="L29" s="36"/>
      <c r="M29" s="36"/>
      <c r="N29" s="36"/>
      <c r="O29" s="36"/>
      <c r="P29" s="36"/>
      <c r="Q29" s="36"/>
      <c r="R29" s="36"/>
      <c r="S29" s="36"/>
      <c r="T29" s="36"/>
      <c r="U29" s="36"/>
      <c r="V29" s="36"/>
      <c r="W29" s="36"/>
      <c r="X29" s="36"/>
      <c r="Y29" s="36"/>
      <c r="Z29" s="36"/>
    </row>
    <row r="30" spans="1:26" ht="30">
      <c r="A30" s="41"/>
      <c r="B30" s="2598"/>
      <c r="C30" s="56" t="s">
        <v>12502</v>
      </c>
      <c r="D30" s="57" t="s">
        <v>12503</v>
      </c>
      <c r="E30" s="44"/>
      <c r="F30" s="36"/>
      <c r="G30" s="36"/>
      <c r="H30" s="36"/>
      <c r="I30" s="36"/>
      <c r="J30" s="36"/>
      <c r="K30" s="36"/>
      <c r="L30" s="36"/>
      <c r="M30" s="36"/>
      <c r="N30" s="36"/>
      <c r="O30" s="36"/>
      <c r="P30" s="36"/>
      <c r="Q30" s="36"/>
      <c r="R30" s="36"/>
      <c r="S30" s="36"/>
      <c r="T30" s="36"/>
      <c r="U30" s="36"/>
      <c r="V30" s="36"/>
      <c r="W30" s="36"/>
      <c r="X30" s="36"/>
      <c r="Y30" s="36"/>
      <c r="Z30" s="36"/>
    </row>
    <row r="31" spans="1:26" ht="30">
      <c r="A31" s="41"/>
      <c r="B31" s="2596" t="s">
        <v>12504</v>
      </c>
      <c r="C31" s="60" t="s">
        <v>12496</v>
      </c>
      <c r="D31" s="61" t="s">
        <v>12497</v>
      </c>
      <c r="E31" s="44"/>
      <c r="F31" s="36"/>
      <c r="G31" s="36"/>
      <c r="H31" s="36"/>
      <c r="I31" s="36"/>
      <c r="J31" s="36"/>
      <c r="K31" s="36"/>
      <c r="L31" s="36"/>
      <c r="M31" s="36"/>
      <c r="N31" s="36"/>
      <c r="O31" s="36"/>
      <c r="P31" s="36"/>
      <c r="Q31" s="36"/>
      <c r="R31" s="36"/>
      <c r="S31" s="36"/>
      <c r="T31" s="36"/>
      <c r="U31" s="36"/>
      <c r="V31" s="36"/>
      <c r="W31" s="36"/>
      <c r="X31" s="36"/>
      <c r="Y31" s="36"/>
      <c r="Z31" s="36"/>
    </row>
    <row r="32" spans="1:26" ht="30">
      <c r="A32" s="41"/>
      <c r="B32" s="2597"/>
      <c r="C32" s="56" t="s">
        <v>12498</v>
      </c>
      <c r="D32" s="62" t="s">
        <v>12499</v>
      </c>
      <c r="E32" s="44"/>
      <c r="F32" s="36"/>
      <c r="G32" s="36"/>
      <c r="H32" s="36"/>
      <c r="I32" s="36"/>
      <c r="J32" s="36"/>
      <c r="K32" s="36"/>
      <c r="L32" s="36"/>
      <c r="M32" s="36"/>
      <c r="N32" s="36"/>
      <c r="O32" s="36"/>
      <c r="P32" s="36"/>
      <c r="Q32" s="36"/>
      <c r="R32" s="36"/>
      <c r="S32" s="36"/>
      <c r="T32" s="36"/>
      <c r="U32" s="36"/>
      <c r="V32" s="36"/>
      <c r="W32" s="36"/>
      <c r="X32" s="36"/>
      <c r="Y32" s="36"/>
      <c r="Z32" s="36"/>
    </row>
    <row r="33" spans="1:26" ht="30">
      <c r="A33" s="41"/>
      <c r="B33" s="2597"/>
      <c r="C33" s="60" t="s">
        <v>12500</v>
      </c>
      <c r="D33" s="61" t="s">
        <v>12501</v>
      </c>
      <c r="E33" s="44"/>
      <c r="F33" s="36"/>
      <c r="G33" s="36"/>
      <c r="H33" s="36"/>
      <c r="I33" s="36"/>
      <c r="J33" s="36"/>
      <c r="K33" s="36"/>
      <c r="L33" s="36"/>
      <c r="M33" s="36"/>
      <c r="N33" s="36"/>
      <c r="O33" s="36"/>
      <c r="P33" s="36"/>
      <c r="Q33" s="36"/>
      <c r="R33" s="36"/>
      <c r="S33" s="36"/>
      <c r="T33" s="36"/>
      <c r="U33" s="36"/>
      <c r="V33" s="36"/>
      <c r="W33" s="36"/>
      <c r="X33" s="36"/>
      <c r="Y33" s="36"/>
      <c r="Z33" s="36"/>
    </row>
    <row r="34" spans="1:26" ht="30">
      <c r="A34" s="41"/>
      <c r="B34" s="2598"/>
      <c r="C34" s="56" t="s">
        <v>12502</v>
      </c>
      <c r="D34" s="57" t="s">
        <v>12503</v>
      </c>
      <c r="E34" s="44"/>
      <c r="F34" s="36"/>
      <c r="G34" s="36"/>
      <c r="H34" s="36"/>
      <c r="I34" s="36"/>
      <c r="J34" s="36"/>
      <c r="K34" s="36"/>
      <c r="L34" s="36"/>
      <c r="M34" s="36"/>
      <c r="N34" s="36"/>
      <c r="O34" s="36"/>
      <c r="P34" s="36"/>
      <c r="Q34" s="36"/>
      <c r="R34" s="36"/>
      <c r="S34" s="36"/>
      <c r="T34" s="36"/>
      <c r="U34" s="36"/>
      <c r="V34" s="36"/>
      <c r="W34" s="36"/>
      <c r="X34" s="36"/>
      <c r="Y34" s="36"/>
      <c r="Z34" s="36"/>
    </row>
    <row r="35" spans="1:26" ht="15" customHeight="1">
      <c r="A35" s="41"/>
      <c r="B35" s="2599" t="s">
        <v>12505</v>
      </c>
      <c r="C35" s="60" t="s">
        <v>12506</v>
      </c>
      <c r="D35" s="63" t="s">
        <v>12507</v>
      </c>
      <c r="E35" s="44"/>
      <c r="F35" s="36"/>
      <c r="G35" s="36"/>
      <c r="H35" s="36"/>
      <c r="I35" s="36"/>
      <c r="J35" s="36"/>
      <c r="K35" s="36"/>
      <c r="L35" s="36"/>
      <c r="M35" s="36"/>
      <c r="N35" s="36"/>
      <c r="O35" s="36"/>
      <c r="P35" s="36"/>
      <c r="Q35" s="36"/>
      <c r="R35" s="36"/>
      <c r="S35" s="36"/>
      <c r="T35" s="36"/>
      <c r="U35" s="36"/>
      <c r="V35" s="36"/>
      <c r="W35" s="36"/>
      <c r="X35" s="36"/>
      <c r="Y35" s="36"/>
      <c r="Z35" s="36"/>
    </row>
    <row r="36" spans="1:26" ht="15.75" customHeight="1">
      <c r="A36" s="41"/>
      <c r="B36" s="2598"/>
      <c r="C36" s="56" t="s">
        <v>12508</v>
      </c>
      <c r="D36" s="57" t="s">
        <v>12509</v>
      </c>
      <c r="E36" s="44"/>
      <c r="F36" s="36"/>
      <c r="G36" s="36"/>
      <c r="H36" s="36"/>
      <c r="I36" s="36"/>
      <c r="J36" s="36"/>
      <c r="K36" s="36"/>
      <c r="L36" s="36"/>
      <c r="M36" s="36"/>
      <c r="N36" s="36"/>
      <c r="O36" s="36"/>
      <c r="P36" s="36"/>
      <c r="Q36" s="36"/>
      <c r="R36" s="36"/>
      <c r="S36" s="36"/>
      <c r="T36" s="36"/>
      <c r="U36" s="36"/>
      <c r="V36" s="36"/>
      <c r="W36" s="36"/>
      <c r="X36" s="36"/>
      <c r="Y36" s="36"/>
      <c r="Z36" s="36"/>
    </row>
    <row r="37" spans="1:26" ht="30">
      <c r="A37" s="41"/>
      <c r="B37" s="53" t="s">
        <v>12510</v>
      </c>
      <c r="C37" s="54" t="s">
        <v>12511</v>
      </c>
      <c r="D37" s="61" t="s">
        <v>12512</v>
      </c>
      <c r="E37" s="44"/>
      <c r="F37" s="36"/>
      <c r="G37" s="36"/>
      <c r="H37" s="36"/>
      <c r="I37" s="36"/>
      <c r="J37" s="36"/>
      <c r="K37" s="36"/>
      <c r="L37" s="36"/>
      <c r="M37" s="36"/>
      <c r="N37" s="36"/>
      <c r="O37" s="36"/>
      <c r="P37" s="36"/>
      <c r="Q37" s="36"/>
      <c r="R37" s="36"/>
      <c r="S37" s="36"/>
      <c r="T37" s="36"/>
      <c r="U37" s="36"/>
      <c r="V37" s="36"/>
      <c r="W37" s="36"/>
      <c r="X37" s="36"/>
      <c r="Y37" s="36"/>
      <c r="Z37" s="36"/>
    </row>
    <row r="38" spans="1:26" ht="30">
      <c r="A38" s="41"/>
      <c r="B38" s="64" t="s">
        <v>12513</v>
      </c>
      <c r="C38" s="65" t="s">
        <v>12514</v>
      </c>
      <c r="D38" s="66" t="s">
        <v>12485</v>
      </c>
      <c r="E38" s="44"/>
      <c r="F38" s="36"/>
      <c r="G38" s="36"/>
      <c r="H38" s="36"/>
      <c r="I38" s="36"/>
      <c r="J38" s="36"/>
      <c r="K38" s="36"/>
      <c r="L38" s="36"/>
      <c r="M38" s="36"/>
      <c r="N38" s="36"/>
      <c r="O38" s="36"/>
      <c r="P38" s="36"/>
      <c r="Q38" s="36"/>
      <c r="R38" s="36"/>
      <c r="S38" s="36"/>
      <c r="T38" s="36"/>
      <c r="U38" s="36"/>
      <c r="V38" s="36"/>
      <c r="W38" s="36"/>
      <c r="X38" s="36"/>
      <c r="Y38" s="36"/>
      <c r="Z38" s="36"/>
    </row>
    <row r="39" spans="1:26" ht="15" customHeight="1">
      <c r="A39" s="41"/>
      <c r="B39" s="2600" t="s">
        <v>12464</v>
      </c>
      <c r="C39" s="2601"/>
      <c r="D39" s="2602"/>
      <c r="E39" s="44"/>
      <c r="F39" s="36"/>
      <c r="G39" s="36"/>
      <c r="H39" s="36"/>
      <c r="I39" s="36"/>
      <c r="J39" s="36"/>
      <c r="K39" s="36"/>
      <c r="L39" s="36"/>
      <c r="M39" s="36"/>
      <c r="N39" s="36"/>
      <c r="O39" s="36"/>
      <c r="P39" s="36"/>
      <c r="Q39" s="36"/>
      <c r="R39" s="36"/>
      <c r="S39" s="36"/>
      <c r="T39" s="36"/>
      <c r="U39" s="36"/>
      <c r="V39" s="36"/>
      <c r="W39" s="36"/>
      <c r="X39" s="36"/>
      <c r="Y39" s="36"/>
      <c r="Z39" s="36"/>
    </row>
    <row r="40" spans="1:26" ht="30">
      <c r="A40" s="41"/>
      <c r="B40" s="2596" t="s">
        <v>12515</v>
      </c>
      <c r="C40" s="54" t="s">
        <v>12487</v>
      </c>
      <c r="D40" s="55" t="s">
        <v>12488</v>
      </c>
      <c r="E40" s="44"/>
      <c r="F40" s="36"/>
      <c r="G40" s="36"/>
      <c r="H40" s="36"/>
      <c r="I40" s="36"/>
      <c r="J40" s="36"/>
      <c r="K40" s="36"/>
      <c r="L40" s="36"/>
      <c r="M40" s="36"/>
      <c r="N40" s="36"/>
      <c r="O40" s="36"/>
      <c r="P40" s="36"/>
      <c r="Q40" s="36"/>
      <c r="R40" s="36"/>
      <c r="S40" s="36"/>
      <c r="T40" s="36"/>
      <c r="U40" s="36"/>
      <c r="V40" s="36"/>
      <c r="W40" s="36"/>
      <c r="X40" s="36"/>
      <c r="Y40" s="36"/>
      <c r="Z40" s="36"/>
    </row>
    <row r="41" spans="1:26" ht="30">
      <c r="A41" s="41"/>
      <c r="B41" s="2597"/>
      <c r="C41" s="56" t="s">
        <v>12489</v>
      </c>
      <c r="D41" s="57" t="s">
        <v>12490</v>
      </c>
      <c r="E41" s="44"/>
      <c r="F41" s="36"/>
      <c r="G41" s="36"/>
      <c r="H41" s="36"/>
      <c r="I41" s="36"/>
      <c r="J41" s="36"/>
      <c r="K41" s="36"/>
      <c r="L41" s="36"/>
      <c r="M41" s="36"/>
      <c r="N41" s="36"/>
      <c r="O41" s="36"/>
      <c r="P41" s="36"/>
      <c r="Q41" s="36"/>
      <c r="R41" s="36"/>
      <c r="S41" s="36"/>
      <c r="T41" s="36"/>
      <c r="U41" s="36"/>
      <c r="V41" s="36"/>
      <c r="W41" s="36"/>
      <c r="X41" s="36"/>
      <c r="Y41" s="36"/>
      <c r="Z41" s="36"/>
    </row>
    <row r="42" spans="1:26" ht="30">
      <c r="A42" s="41"/>
      <c r="B42" s="2597"/>
      <c r="C42" s="58" t="s">
        <v>12491</v>
      </c>
      <c r="D42" s="59" t="s">
        <v>12492</v>
      </c>
      <c r="E42" s="44"/>
      <c r="F42" s="36"/>
      <c r="G42" s="36"/>
      <c r="H42" s="36"/>
      <c r="I42" s="36"/>
      <c r="J42" s="36"/>
      <c r="K42" s="36"/>
      <c r="L42" s="36"/>
      <c r="M42" s="36"/>
      <c r="N42" s="36"/>
      <c r="O42" s="36"/>
      <c r="P42" s="36"/>
      <c r="Q42" s="36"/>
      <c r="R42" s="36"/>
      <c r="S42" s="36"/>
      <c r="T42" s="36"/>
      <c r="U42" s="36"/>
      <c r="V42" s="36"/>
      <c r="W42" s="36"/>
      <c r="X42" s="36"/>
      <c r="Y42" s="36"/>
      <c r="Z42" s="36"/>
    </row>
    <row r="43" spans="1:26" ht="30">
      <c r="A43" s="41"/>
      <c r="B43" s="2598"/>
      <c r="C43" s="56" t="s">
        <v>12493</v>
      </c>
      <c r="D43" s="57" t="s">
        <v>12494</v>
      </c>
      <c r="E43" s="44"/>
      <c r="F43" s="36"/>
      <c r="G43" s="36"/>
      <c r="H43" s="36"/>
      <c r="I43" s="36"/>
      <c r="J43" s="36"/>
      <c r="K43" s="36"/>
      <c r="L43" s="36"/>
      <c r="M43" s="36"/>
      <c r="N43" s="36"/>
      <c r="O43" s="36"/>
      <c r="P43" s="36"/>
      <c r="Q43" s="36"/>
      <c r="R43" s="36"/>
      <c r="S43" s="36"/>
      <c r="T43" s="36"/>
      <c r="U43" s="36"/>
      <c r="V43" s="36"/>
      <c r="W43" s="36"/>
      <c r="X43" s="36"/>
      <c r="Y43" s="36"/>
      <c r="Z43" s="36"/>
    </row>
    <row r="44" spans="1:26" ht="30">
      <c r="A44" s="41"/>
      <c r="B44" s="2599" t="s">
        <v>12495</v>
      </c>
      <c r="C44" s="60" t="s">
        <v>12496</v>
      </c>
      <c r="D44" s="61" t="s">
        <v>12497</v>
      </c>
      <c r="E44" s="44"/>
      <c r="F44" s="36"/>
      <c r="G44" s="36"/>
      <c r="H44" s="36"/>
      <c r="I44" s="36"/>
      <c r="J44" s="36"/>
      <c r="K44" s="36"/>
      <c r="L44" s="36"/>
      <c r="M44" s="36"/>
      <c r="N44" s="36"/>
      <c r="O44" s="36"/>
      <c r="P44" s="36"/>
      <c r="Q44" s="36"/>
      <c r="R44" s="36"/>
      <c r="S44" s="36"/>
      <c r="T44" s="36"/>
      <c r="U44" s="36"/>
      <c r="V44" s="36"/>
      <c r="W44" s="36"/>
      <c r="X44" s="36"/>
      <c r="Y44" s="36"/>
      <c r="Z44" s="36"/>
    </row>
    <row r="45" spans="1:26" ht="30">
      <c r="A45" s="41"/>
      <c r="B45" s="2597"/>
      <c r="C45" s="56" t="s">
        <v>12498</v>
      </c>
      <c r="D45" s="62" t="s">
        <v>12499</v>
      </c>
      <c r="E45" s="44"/>
      <c r="F45" s="36"/>
      <c r="G45" s="36"/>
      <c r="H45" s="36"/>
      <c r="I45" s="36"/>
      <c r="J45" s="36"/>
      <c r="K45" s="36"/>
      <c r="L45" s="36"/>
      <c r="M45" s="36"/>
      <c r="N45" s="36"/>
      <c r="O45" s="36"/>
      <c r="P45" s="36"/>
      <c r="Q45" s="36"/>
      <c r="R45" s="36"/>
      <c r="S45" s="36"/>
      <c r="T45" s="36"/>
      <c r="U45" s="36"/>
      <c r="V45" s="36"/>
      <c r="W45" s="36"/>
      <c r="X45" s="36"/>
      <c r="Y45" s="36"/>
      <c r="Z45" s="36"/>
    </row>
    <row r="46" spans="1:26" ht="30">
      <c r="A46" s="41"/>
      <c r="B46" s="2597"/>
      <c r="C46" s="60" t="s">
        <v>12500</v>
      </c>
      <c r="D46" s="61" t="s">
        <v>12501</v>
      </c>
      <c r="E46" s="44"/>
      <c r="F46" s="36"/>
      <c r="G46" s="36"/>
      <c r="H46" s="36"/>
      <c r="I46" s="36"/>
      <c r="J46" s="36"/>
      <c r="K46" s="36"/>
      <c r="L46" s="36"/>
      <c r="M46" s="36"/>
      <c r="N46" s="36"/>
      <c r="O46" s="36"/>
      <c r="P46" s="36"/>
      <c r="Q46" s="36"/>
      <c r="R46" s="36"/>
      <c r="S46" s="36"/>
      <c r="T46" s="36"/>
      <c r="U46" s="36"/>
      <c r="V46" s="36"/>
      <c r="W46" s="36"/>
      <c r="X46" s="36"/>
      <c r="Y46" s="36"/>
      <c r="Z46" s="36"/>
    </row>
    <row r="47" spans="1:26" ht="30">
      <c r="A47" s="41"/>
      <c r="B47" s="2598"/>
      <c r="C47" s="56" t="s">
        <v>12502</v>
      </c>
      <c r="D47" s="57" t="s">
        <v>12503</v>
      </c>
      <c r="E47" s="44"/>
      <c r="F47" s="36"/>
      <c r="G47" s="36"/>
      <c r="H47" s="36"/>
      <c r="I47" s="36"/>
      <c r="J47" s="36"/>
      <c r="K47" s="36"/>
      <c r="L47" s="36"/>
      <c r="M47" s="36"/>
      <c r="N47" s="36"/>
      <c r="O47" s="36"/>
      <c r="P47" s="36"/>
      <c r="Q47" s="36"/>
      <c r="R47" s="36"/>
      <c r="S47" s="36"/>
      <c r="T47" s="36"/>
      <c r="U47" s="36"/>
      <c r="V47" s="36"/>
      <c r="W47" s="36"/>
      <c r="X47" s="36"/>
      <c r="Y47" s="36"/>
      <c r="Z47" s="36"/>
    </row>
    <row r="48" spans="1:26" ht="30">
      <c r="A48" s="41"/>
      <c r="B48" s="2596" t="s">
        <v>12504</v>
      </c>
      <c r="C48" s="60" t="s">
        <v>12496</v>
      </c>
      <c r="D48" s="61" t="s">
        <v>12497</v>
      </c>
      <c r="E48" s="44"/>
      <c r="F48" s="36"/>
      <c r="G48" s="36"/>
      <c r="H48" s="36"/>
      <c r="I48" s="36"/>
      <c r="J48" s="36"/>
      <c r="K48" s="36"/>
      <c r="L48" s="36"/>
      <c r="M48" s="36"/>
      <c r="N48" s="36"/>
      <c r="O48" s="36"/>
      <c r="P48" s="36"/>
      <c r="Q48" s="36"/>
      <c r="R48" s="36"/>
      <c r="S48" s="36"/>
      <c r="T48" s="36"/>
      <c r="U48" s="36"/>
      <c r="V48" s="36"/>
      <c r="W48" s="36"/>
      <c r="X48" s="36"/>
      <c r="Y48" s="36"/>
      <c r="Z48" s="36"/>
    </row>
    <row r="49" spans="1:26" ht="30">
      <c r="A49" s="41"/>
      <c r="B49" s="2597"/>
      <c r="C49" s="56" t="s">
        <v>12498</v>
      </c>
      <c r="D49" s="62" t="s">
        <v>12499</v>
      </c>
      <c r="E49" s="44"/>
      <c r="F49" s="36"/>
      <c r="G49" s="36"/>
      <c r="H49" s="36"/>
      <c r="I49" s="36"/>
      <c r="J49" s="36"/>
      <c r="K49" s="36"/>
      <c r="L49" s="36"/>
      <c r="M49" s="36"/>
      <c r="N49" s="36"/>
      <c r="O49" s="36"/>
      <c r="P49" s="36"/>
      <c r="Q49" s="36"/>
      <c r="R49" s="36"/>
      <c r="S49" s="36"/>
      <c r="T49" s="36"/>
      <c r="U49" s="36"/>
      <c r="V49" s="36"/>
      <c r="W49" s="36"/>
      <c r="X49" s="36"/>
      <c r="Y49" s="36"/>
      <c r="Z49" s="36"/>
    </row>
    <row r="50" spans="1:26" ht="30">
      <c r="A50" s="41"/>
      <c r="B50" s="2597"/>
      <c r="C50" s="60" t="s">
        <v>12500</v>
      </c>
      <c r="D50" s="61" t="s">
        <v>12501</v>
      </c>
      <c r="E50" s="44"/>
      <c r="F50" s="36"/>
      <c r="G50" s="36"/>
      <c r="H50" s="36"/>
      <c r="I50" s="36"/>
      <c r="J50" s="36"/>
      <c r="K50" s="36"/>
      <c r="L50" s="36"/>
      <c r="M50" s="36"/>
      <c r="N50" s="36"/>
      <c r="O50" s="36"/>
      <c r="P50" s="36"/>
      <c r="Q50" s="36"/>
      <c r="R50" s="36"/>
      <c r="S50" s="36"/>
      <c r="T50" s="36"/>
      <c r="U50" s="36"/>
      <c r="V50" s="36"/>
      <c r="W50" s="36"/>
      <c r="X50" s="36"/>
      <c r="Y50" s="36"/>
      <c r="Z50" s="36"/>
    </row>
    <row r="51" spans="1:26" ht="30">
      <c r="A51" s="41"/>
      <c r="B51" s="2597"/>
      <c r="C51" s="56" t="s">
        <v>12502</v>
      </c>
      <c r="D51" s="57" t="s">
        <v>12503</v>
      </c>
      <c r="E51" s="44"/>
      <c r="F51" s="36"/>
      <c r="G51" s="36"/>
      <c r="H51" s="36"/>
      <c r="I51" s="36"/>
      <c r="J51" s="36"/>
      <c r="K51" s="36"/>
      <c r="L51" s="36"/>
      <c r="M51" s="36"/>
      <c r="N51" s="36"/>
      <c r="O51" s="36"/>
      <c r="P51" s="36"/>
      <c r="Q51" s="36"/>
      <c r="R51" s="36"/>
      <c r="S51" s="36"/>
      <c r="T51" s="36"/>
      <c r="U51" s="36"/>
      <c r="V51" s="36"/>
      <c r="W51" s="36"/>
      <c r="X51" s="36"/>
      <c r="Y51" s="36"/>
      <c r="Z51" s="36"/>
    </row>
    <row r="52" spans="1:26">
      <c r="A52" s="41"/>
      <c r="B52" s="2599" t="s">
        <v>12505</v>
      </c>
      <c r="C52" s="60" t="s">
        <v>12506</v>
      </c>
      <c r="D52" s="63" t="s">
        <v>12507</v>
      </c>
      <c r="E52" s="44"/>
      <c r="F52" s="36"/>
      <c r="G52" s="36"/>
      <c r="H52" s="36"/>
      <c r="I52" s="36"/>
      <c r="J52" s="36"/>
      <c r="K52" s="36"/>
      <c r="L52" s="36"/>
      <c r="M52" s="36"/>
      <c r="N52" s="36"/>
      <c r="O52" s="36"/>
      <c r="P52" s="36"/>
      <c r="Q52" s="36"/>
      <c r="R52" s="36"/>
      <c r="S52" s="36"/>
      <c r="T52" s="36"/>
      <c r="U52" s="36"/>
      <c r="V52" s="36"/>
      <c r="W52" s="36"/>
      <c r="X52" s="36"/>
      <c r="Y52" s="36"/>
      <c r="Z52" s="36"/>
    </row>
    <row r="53" spans="1:26">
      <c r="A53" s="41"/>
      <c r="B53" s="2598"/>
      <c r="C53" s="56" t="s">
        <v>12508</v>
      </c>
      <c r="D53" s="57" t="s">
        <v>12509</v>
      </c>
      <c r="E53" s="44"/>
      <c r="F53" s="36"/>
      <c r="G53" s="36"/>
      <c r="H53" s="36"/>
      <c r="I53" s="36"/>
      <c r="J53" s="36"/>
      <c r="K53" s="36"/>
      <c r="L53" s="36"/>
      <c r="M53" s="36"/>
      <c r="N53" s="36"/>
      <c r="O53" s="36"/>
      <c r="P53" s="36"/>
      <c r="Q53" s="36"/>
      <c r="R53" s="36"/>
      <c r="S53" s="36"/>
      <c r="T53" s="36"/>
      <c r="U53" s="36"/>
      <c r="V53" s="36"/>
      <c r="W53" s="36"/>
      <c r="X53" s="36"/>
      <c r="Y53" s="36"/>
      <c r="Z53" s="36"/>
    </row>
    <row r="54" spans="1:26" ht="30">
      <c r="A54" s="41"/>
      <c r="B54" s="53" t="s">
        <v>12510</v>
      </c>
      <c r="C54" s="67" t="s">
        <v>12511</v>
      </c>
      <c r="D54" s="68" t="s">
        <v>12512</v>
      </c>
      <c r="E54" s="44"/>
      <c r="F54" s="36"/>
      <c r="G54" s="36"/>
      <c r="H54" s="36"/>
      <c r="I54" s="36"/>
      <c r="J54" s="36"/>
      <c r="K54" s="36"/>
      <c r="L54" s="36"/>
      <c r="M54" s="36"/>
      <c r="N54" s="36"/>
      <c r="O54" s="36"/>
      <c r="P54" s="36"/>
      <c r="Q54" s="36"/>
      <c r="R54" s="36"/>
      <c r="S54" s="36"/>
      <c r="T54" s="36"/>
      <c r="U54" s="36"/>
      <c r="V54" s="36"/>
      <c r="W54" s="36"/>
      <c r="X54" s="36"/>
      <c r="Y54" s="36"/>
      <c r="Z54" s="36"/>
    </row>
    <row r="55" spans="1:26">
      <c r="A55" s="41"/>
      <c r="B55" s="2603" t="s">
        <v>12465</v>
      </c>
      <c r="C55" s="2604"/>
      <c r="D55" s="2605"/>
      <c r="E55" s="44"/>
      <c r="F55" s="36"/>
      <c r="G55" s="36"/>
      <c r="H55" s="36"/>
      <c r="I55" s="36"/>
      <c r="J55" s="36"/>
      <c r="K55" s="36"/>
      <c r="L55" s="36"/>
      <c r="M55" s="36"/>
      <c r="N55" s="36"/>
      <c r="O55" s="36"/>
      <c r="P55" s="36"/>
      <c r="Q55" s="36"/>
      <c r="R55" s="36"/>
      <c r="S55" s="36"/>
      <c r="T55" s="36"/>
      <c r="U55" s="36"/>
      <c r="V55" s="36"/>
      <c r="W55" s="36"/>
      <c r="X55" s="36"/>
      <c r="Y55" s="36"/>
      <c r="Z55" s="36"/>
    </row>
    <row r="56" spans="1:26" ht="30">
      <c r="A56" s="41"/>
      <c r="B56" s="2596" t="s">
        <v>12515</v>
      </c>
      <c r="C56" s="56" t="s">
        <v>12489</v>
      </c>
      <c r="D56" s="57" t="s">
        <v>12490</v>
      </c>
      <c r="E56" s="44"/>
      <c r="F56" s="36"/>
      <c r="G56" s="36"/>
      <c r="H56" s="36"/>
      <c r="I56" s="36"/>
      <c r="J56" s="36"/>
      <c r="K56" s="36"/>
      <c r="L56" s="36"/>
      <c r="M56" s="36"/>
      <c r="N56" s="36"/>
      <c r="O56" s="36"/>
      <c r="P56" s="36"/>
      <c r="Q56" s="36"/>
      <c r="R56" s="36"/>
      <c r="S56" s="36"/>
      <c r="T56" s="36"/>
      <c r="U56" s="36"/>
      <c r="V56" s="36"/>
      <c r="W56" s="36"/>
      <c r="X56" s="36"/>
      <c r="Y56" s="36"/>
      <c r="Z56" s="36"/>
    </row>
    <row r="57" spans="1:26" ht="30.75" customHeight="1">
      <c r="A57" s="41"/>
      <c r="B57" s="2597"/>
      <c r="C57" s="58" t="s">
        <v>12491</v>
      </c>
      <c r="D57" s="59" t="s">
        <v>12492</v>
      </c>
      <c r="E57" s="44"/>
      <c r="F57" s="36"/>
      <c r="G57" s="36"/>
      <c r="H57" s="36"/>
      <c r="I57" s="36"/>
      <c r="J57" s="36"/>
      <c r="K57" s="36"/>
      <c r="L57" s="36"/>
      <c r="M57" s="36"/>
      <c r="N57" s="36"/>
      <c r="O57" s="36"/>
      <c r="P57" s="36"/>
      <c r="Q57" s="36"/>
      <c r="R57" s="36"/>
      <c r="S57" s="36"/>
      <c r="T57" s="36"/>
      <c r="U57" s="36"/>
      <c r="V57" s="36"/>
      <c r="W57" s="36"/>
      <c r="X57" s="36"/>
      <c r="Y57" s="36"/>
      <c r="Z57" s="36"/>
    </row>
    <row r="58" spans="1:26" ht="30">
      <c r="A58" s="41"/>
      <c r="B58" s="2598"/>
      <c r="C58" s="56" t="s">
        <v>12493</v>
      </c>
      <c r="D58" s="57" t="s">
        <v>12494</v>
      </c>
      <c r="E58" s="44"/>
      <c r="F58" s="36"/>
      <c r="G58" s="36"/>
      <c r="H58" s="36"/>
      <c r="I58" s="36"/>
      <c r="J58" s="36"/>
      <c r="K58" s="36"/>
      <c r="L58" s="36"/>
      <c r="M58" s="36"/>
      <c r="N58" s="36"/>
      <c r="O58" s="36"/>
      <c r="P58" s="36"/>
      <c r="Q58" s="36"/>
      <c r="R58" s="36"/>
      <c r="S58" s="36"/>
      <c r="T58" s="36"/>
      <c r="U58" s="36"/>
      <c r="V58" s="36"/>
      <c r="W58" s="36"/>
      <c r="X58" s="36"/>
      <c r="Y58" s="36"/>
      <c r="Z58" s="36"/>
    </row>
    <row r="59" spans="1:26" ht="18" customHeight="1">
      <c r="A59" s="41"/>
      <c r="B59" s="2599" t="s">
        <v>12495</v>
      </c>
      <c r="C59" s="60" t="s">
        <v>12496</v>
      </c>
      <c r="D59" s="61" t="s">
        <v>12497</v>
      </c>
      <c r="E59" s="44"/>
      <c r="F59" s="36"/>
      <c r="G59" s="36"/>
      <c r="H59" s="36"/>
      <c r="I59" s="36"/>
      <c r="J59" s="36"/>
      <c r="K59" s="36"/>
      <c r="L59" s="36"/>
      <c r="M59" s="36"/>
      <c r="N59" s="36"/>
      <c r="O59" s="36"/>
      <c r="P59" s="36"/>
      <c r="Q59" s="36"/>
      <c r="R59" s="36"/>
      <c r="S59" s="36"/>
      <c r="T59" s="36"/>
      <c r="U59" s="36"/>
      <c r="V59" s="36"/>
      <c r="W59" s="36"/>
      <c r="X59" s="36"/>
      <c r="Y59" s="36"/>
      <c r="Z59" s="36"/>
    </row>
    <row r="60" spans="1:26" ht="18" customHeight="1">
      <c r="A60" s="41"/>
      <c r="B60" s="2597"/>
      <c r="C60" s="56" t="s">
        <v>12498</v>
      </c>
      <c r="D60" s="57" t="s">
        <v>12499</v>
      </c>
      <c r="E60" s="44"/>
      <c r="F60" s="36"/>
      <c r="G60" s="36"/>
      <c r="H60" s="36"/>
      <c r="I60" s="36"/>
      <c r="J60" s="36"/>
      <c r="K60" s="36"/>
      <c r="L60" s="36"/>
      <c r="M60" s="36"/>
      <c r="N60" s="36"/>
      <c r="O60" s="36"/>
      <c r="P60" s="36"/>
      <c r="Q60" s="36"/>
      <c r="R60" s="36"/>
      <c r="S60" s="36"/>
      <c r="T60" s="36"/>
      <c r="U60" s="36"/>
      <c r="V60" s="36"/>
      <c r="W60" s="36"/>
      <c r="X60" s="36"/>
      <c r="Y60" s="36"/>
      <c r="Z60" s="36"/>
    </row>
    <row r="61" spans="1:26" ht="18" customHeight="1">
      <c r="A61" s="41"/>
      <c r="B61" s="2597"/>
      <c r="C61" s="60" t="s">
        <v>12500</v>
      </c>
      <c r="D61" s="61" t="s">
        <v>12501</v>
      </c>
      <c r="E61" s="44"/>
      <c r="F61" s="36"/>
      <c r="G61" s="36"/>
      <c r="H61" s="36"/>
      <c r="I61" s="36"/>
      <c r="J61" s="36"/>
      <c r="K61" s="36"/>
      <c r="L61" s="36"/>
      <c r="M61" s="36"/>
      <c r="N61" s="36"/>
      <c r="O61" s="36"/>
      <c r="P61" s="36"/>
      <c r="Q61" s="36"/>
      <c r="R61" s="36"/>
      <c r="S61" s="36"/>
      <c r="T61" s="36"/>
      <c r="U61" s="36"/>
      <c r="V61" s="36"/>
      <c r="W61" s="36"/>
      <c r="X61" s="36"/>
      <c r="Y61" s="36"/>
      <c r="Z61" s="36"/>
    </row>
    <row r="62" spans="1:26" ht="18" customHeight="1">
      <c r="A62" s="41"/>
      <c r="B62" s="2598"/>
      <c r="C62" s="56" t="s">
        <v>12502</v>
      </c>
      <c r="D62" s="57" t="s">
        <v>12503</v>
      </c>
      <c r="E62" s="44"/>
      <c r="F62" s="36"/>
      <c r="G62" s="36"/>
      <c r="H62" s="36"/>
      <c r="I62" s="36"/>
      <c r="J62" s="36"/>
      <c r="K62" s="36"/>
      <c r="L62" s="36"/>
      <c r="M62" s="36"/>
      <c r="N62" s="36"/>
      <c r="O62" s="36"/>
      <c r="P62" s="36"/>
      <c r="Q62" s="36"/>
      <c r="R62" s="36"/>
      <c r="S62" s="36"/>
      <c r="T62" s="36"/>
      <c r="U62" s="36"/>
      <c r="V62" s="36"/>
      <c r="W62" s="36"/>
      <c r="X62" s="36"/>
      <c r="Y62" s="36"/>
      <c r="Z62" s="36"/>
    </row>
    <row r="63" spans="1:26" ht="18" customHeight="1">
      <c r="A63" s="41"/>
      <c r="B63" s="2596" t="s">
        <v>12504</v>
      </c>
      <c r="C63" s="60" t="s">
        <v>12496</v>
      </c>
      <c r="D63" s="61" t="s">
        <v>12497</v>
      </c>
      <c r="E63" s="44"/>
      <c r="F63" s="36"/>
      <c r="G63" s="36"/>
      <c r="H63" s="36"/>
      <c r="I63" s="36"/>
      <c r="J63" s="36"/>
      <c r="K63" s="36"/>
      <c r="L63" s="36"/>
      <c r="M63" s="36"/>
      <c r="N63" s="36"/>
      <c r="O63" s="36"/>
      <c r="P63" s="36"/>
      <c r="Q63" s="36"/>
      <c r="R63" s="36"/>
      <c r="S63" s="36"/>
      <c r="T63" s="36"/>
      <c r="U63" s="36"/>
      <c r="V63" s="36"/>
      <c r="W63" s="36"/>
      <c r="X63" s="36"/>
      <c r="Y63" s="36"/>
      <c r="Z63" s="36"/>
    </row>
    <row r="64" spans="1:26" ht="18" customHeight="1">
      <c r="A64" s="41"/>
      <c r="B64" s="2597"/>
      <c r="C64" s="56" t="s">
        <v>12498</v>
      </c>
      <c r="D64" s="57" t="s">
        <v>12499</v>
      </c>
      <c r="E64" s="44"/>
      <c r="F64" s="36"/>
      <c r="G64" s="36"/>
      <c r="H64" s="36"/>
      <c r="I64" s="36"/>
      <c r="J64" s="36"/>
      <c r="K64" s="36"/>
      <c r="L64" s="36"/>
      <c r="M64" s="36"/>
      <c r="N64" s="36"/>
      <c r="O64" s="36"/>
      <c r="P64" s="36"/>
      <c r="Q64" s="36"/>
      <c r="R64" s="36"/>
      <c r="S64" s="36"/>
      <c r="T64" s="36"/>
      <c r="U64" s="36"/>
      <c r="V64" s="36"/>
      <c r="W64" s="36"/>
      <c r="X64" s="36"/>
      <c r="Y64" s="36"/>
      <c r="Z64" s="36"/>
    </row>
    <row r="65" spans="1:26" ht="18" customHeight="1">
      <c r="A65" s="41"/>
      <c r="B65" s="2597"/>
      <c r="C65" s="60" t="s">
        <v>12500</v>
      </c>
      <c r="D65" s="61" t="s">
        <v>12501</v>
      </c>
      <c r="E65" s="44"/>
      <c r="F65" s="36"/>
      <c r="G65" s="36"/>
      <c r="H65" s="36"/>
      <c r="I65" s="36"/>
      <c r="J65" s="36"/>
      <c r="K65" s="36"/>
      <c r="L65" s="36"/>
      <c r="M65" s="36"/>
      <c r="N65" s="36"/>
      <c r="O65" s="36"/>
      <c r="P65" s="36"/>
      <c r="Q65" s="36"/>
      <c r="R65" s="36"/>
      <c r="S65" s="36"/>
      <c r="T65" s="36"/>
      <c r="U65" s="36"/>
      <c r="V65" s="36"/>
      <c r="W65" s="36"/>
      <c r="X65" s="36"/>
      <c r="Y65" s="36"/>
      <c r="Z65" s="36"/>
    </row>
    <row r="66" spans="1:26" ht="18" customHeight="1">
      <c r="A66" s="41"/>
      <c r="B66" s="2598"/>
      <c r="C66" s="56" t="s">
        <v>12502</v>
      </c>
      <c r="D66" s="57" t="s">
        <v>12503</v>
      </c>
      <c r="E66" s="44"/>
      <c r="F66" s="36"/>
      <c r="G66" s="36"/>
      <c r="H66" s="36"/>
      <c r="I66" s="36"/>
      <c r="J66" s="36"/>
      <c r="K66" s="36"/>
      <c r="L66" s="36"/>
      <c r="M66" s="36"/>
      <c r="N66" s="36"/>
      <c r="O66" s="36"/>
      <c r="P66" s="36"/>
      <c r="Q66" s="36"/>
      <c r="R66" s="36"/>
      <c r="S66" s="36"/>
      <c r="T66" s="36"/>
      <c r="U66" s="36"/>
      <c r="V66" s="36"/>
      <c r="W66" s="36"/>
      <c r="X66" s="36"/>
      <c r="Y66" s="36"/>
      <c r="Z66" s="36"/>
    </row>
    <row r="67" spans="1:26" ht="16.5" customHeight="1">
      <c r="A67" s="41"/>
      <c r="B67" s="2599" t="s">
        <v>12505</v>
      </c>
      <c r="C67" s="60" t="s">
        <v>12506</v>
      </c>
      <c r="D67" s="63" t="s">
        <v>12507</v>
      </c>
      <c r="E67" s="44"/>
      <c r="F67" s="36"/>
      <c r="G67" s="36"/>
      <c r="H67" s="36"/>
      <c r="I67" s="36"/>
      <c r="J67" s="36"/>
      <c r="K67" s="36"/>
      <c r="L67" s="36"/>
      <c r="M67" s="36"/>
      <c r="N67" s="36"/>
      <c r="O67" s="36"/>
      <c r="P67" s="36"/>
      <c r="Q67" s="36"/>
      <c r="R67" s="36"/>
      <c r="S67" s="36"/>
      <c r="T67" s="36"/>
      <c r="U67" s="36"/>
      <c r="V67" s="36"/>
      <c r="W67" s="36"/>
      <c r="X67" s="36"/>
      <c r="Y67" s="36"/>
      <c r="Z67" s="36"/>
    </row>
    <row r="68" spans="1:26" ht="16.5" customHeight="1">
      <c r="A68" s="41"/>
      <c r="B68" s="2598"/>
      <c r="C68" s="56" t="s">
        <v>12508</v>
      </c>
      <c r="D68" s="57" t="s">
        <v>12509</v>
      </c>
      <c r="E68" s="44"/>
      <c r="F68" s="36"/>
      <c r="G68" s="36"/>
      <c r="H68" s="36"/>
      <c r="I68" s="36"/>
      <c r="J68" s="36"/>
      <c r="K68" s="36"/>
      <c r="L68" s="36"/>
      <c r="M68" s="36"/>
      <c r="N68" s="36"/>
      <c r="O68" s="36"/>
      <c r="P68" s="36"/>
      <c r="Q68" s="36"/>
      <c r="R68" s="36"/>
      <c r="S68" s="36"/>
      <c r="T68" s="36"/>
      <c r="U68" s="36"/>
      <c r="V68" s="36"/>
      <c r="W68" s="36"/>
      <c r="X68" s="36"/>
      <c r="Y68" s="36"/>
      <c r="Z68" s="36"/>
    </row>
    <row r="69" spans="1:26" ht="16.5" customHeight="1">
      <c r="A69" s="41"/>
      <c r="B69" s="69" t="s">
        <v>12510</v>
      </c>
      <c r="C69" s="60" t="s">
        <v>12516</v>
      </c>
      <c r="D69" s="61" t="s">
        <v>12517</v>
      </c>
      <c r="E69" s="44"/>
      <c r="F69" s="36"/>
      <c r="G69" s="36"/>
      <c r="H69" s="36"/>
      <c r="I69" s="36"/>
      <c r="J69" s="36"/>
      <c r="K69" s="36"/>
      <c r="L69" s="36"/>
      <c r="M69" s="36"/>
      <c r="N69" s="36"/>
      <c r="O69" s="36"/>
      <c r="P69" s="36"/>
      <c r="Q69" s="36"/>
      <c r="R69" s="36"/>
      <c r="S69" s="36"/>
      <c r="T69" s="36"/>
      <c r="U69" s="36"/>
      <c r="V69" s="36"/>
      <c r="W69" s="36"/>
      <c r="X69" s="36"/>
      <c r="Y69" s="36"/>
      <c r="Z69" s="36"/>
    </row>
    <row r="70" spans="1:26" ht="30">
      <c r="A70" s="41"/>
      <c r="B70" s="64" t="s">
        <v>12513</v>
      </c>
      <c r="C70" s="65" t="s">
        <v>12514</v>
      </c>
      <c r="D70" s="66" t="s">
        <v>12485</v>
      </c>
      <c r="E70" s="44"/>
      <c r="F70" s="36"/>
      <c r="G70" s="36"/>
      <c r="H70" s="36"/>
      <c r="I70" s="36"/>
      <c r="J70" s="36"/>
      <c r="K70" s="36"/>
      <c r="L70" s="36"/>
      <c r="M70" s="36"/>
      <c r="N70" s="36"/>
      <c r="O70" s="36"/>
      <c r="P70" s="36"/>
      <c r="Q70" s="36"/>
      <c r="R70" s="36"/>
      <c r="S70" s="36"/>
      <c r="T70" s="36"/>
      <c r="U70" s="36"/>
      <c r="V70" s="36"/>
      <c r="W70" s="36"/>
      <c r="X70" s="36"/>
      <c r="Y70" s="36"/>
      <c r="Z70" s="36"/>
    </row>
    <row r="71" spans="1:26">
      <c r="A71" s="41"/>
      <c r="B71" s="2600" t="s">
        <v>12518</v>
      </c>
      <c r="C71" s="2601"/>
      <c r="D71" s="2602"/>
      <c r="E71" s="44"/>
      <c r="F71" s="36"/>
      <c r="G71" s="36"/>
      <c r="H71" s="36"/>
      <c r="I71" s="36"/>
      <c r="J71" s="36"/>
      <c r="K71" s="36"/>
      <c r="L71" s="36"/>
      <c r="M71" s="36"/>
      <c r="N71" s="36"/>
      <c r="O71" s="36"/>
      <c r="P71" s="36"/>
      <c r="Q71" s="36"/>
      <c r="R71" s="36"/>
      <c r="S71" s="36"/>
      <c r="T71" s="36"/>
      <c r="U71" s="36"/>
      <c r="V71" s="36"/>
      <c r="W71" s="36"/>
      <c r="X71" s="36"/>
      <c r="Y71" s="36"/>
      <c r="Z71" s="36"/>
    </row>
    <row r="72" spans="1:26" ht="16.5" customHeight="1">
      <c r="A72" s="41"/>
      <c r="B72" s="2596" t="s">
        <v>12515</v>
      </c>
      <c r="C72" s="56" t="s">
        <v>12519</v>
      </c>
      <c r="D72" s="57" t="s">
        <v>12520</v>
      </c>
      <c r="E72" s="44"/>
      <c r="F72" s="36"/>
      <c r="G72" s="36"/>
      <c r="H72" s="36"/>
      <c r="I72" s="36"/>
      <c r="J72" s="36"/>
      <c r="K72" s="36"/>
      <c r="L72" s="36"/>
      <c r="M72" s="36"/>
      <c r="N72" s="36"/>
      <c r="O72" s="36"/>
      <c r="P72" s="36"/>
      <c r="Q72" s="36"/>
      <c r="R72" s="36"/>
      <c r="S72" s="36"/>
      <c r="T72" s="36"/>
      <c r="U72" s="36"/>
      <c r="V72" s="36"/>
      <c r="W72" s="36"/>
      <c r="X72" s="36"/>
      <c r="Y72" s="36"/>
      <c r="Z72" s="36"/>
    </row>
    <row r="73" spans="1:26" ht="16.5" customHeight="1">
      <c r="A73" s="41"/>
      <c r="B73" s="2598"/>
      <c r="C73" s="60" t="s">
        <v>12521</v>
      </c>
      <c r="D73" s="61" t="s">
        <v>12522</v>
      </c>
      <c r="E73" s="44"/>
      <c r="F73" s="36"/>
      <c r="G73" s="36"/>
      <c r="H73" s="36"/>
      <c r="I73" s="36"/>
      <c r="J73" s="36"/>
      <c r="K73" s="36"/>
      <c r="L73" s="36"/>
      <c r="M73" s="36"/>
      <c r="N73" s="36"/>
      <c r="O73" s="36"/>
      <c r="P73" s="36"/>
      <c r="Q73" s="36"/>
      <c r="R73" s="36"/>
      <c r="S73" s="36"/>
      <c r="T73" s="36"/>
      <c r="U73" s="36"/>
      <c r="V73" s="36"/>
      <c r="W73" s="36"/>
      <c r="X73" s="36"/>
      <c r="Y73" s="36"/>
      <c r="Z73" s="36"/>
    </row>
    <row r="74" spans="1:26" ht="16.5" customHeight="1">
      <c r="A74" s="41"/>
      <c r="B74" s="2599" t="s">
        <v>12495</v>
      </c>
      <c r="C74" s="56" t="s">
        <v>12496</v>
      </c>
      <c r="D74" s="57" t="s">
        <v>12497</v>
      </c>
      <c r="E74" s="44"/>
      <c r="F74" s="36"/>
      <c r="G74" s="36"/>
      <c r="H74" s="36"/>
      <c r="I74" s="36"/>
      <c r="J74" s="36"/>
      <c r="K74" s="36"/>
      <c r="L74" s="36"/>
      <c r="M74" s="36"/>
      <c r="N74" s="36"/>
      <c r="O74" s="36"/>
      <c r="P74" s="36"/>
      <c r="Q74" s="36"/>
      <c r="R74" s="36"/>
      <c r="S74" s="36"/>
      <c r="T74" s="36"/>
      <c r="U74" s="36"/>
      <c r="V74" s="36"/>
      <c r="W74" s="36"/>
      <c r="X74" s="36"/>
      <c r="Y74" s="36"/>
      <c r="Z74" s="36"/>
    </row>
    <row r="75" spans="1:26" ht="16.5" customHeight="1">
      <c r="A75" s="41"/>
      <c r="B75" s="2597"/>
      <c r="C75" s="60" t="s">
        <v>12498</v>
      </c>
      <c r="D75" s="61" t="s">
        <v>12499</v>
      </c>
      <c r="E75" s="44"/>
      <c r="F75" s="36"/>
      <c r="G75" s="36"/>
      <c r="H75" s="36"/>
      <c r="I75" s="36"/>
      <c r="J75" s="36"/>
      <c r="K75" s="36"/>
      <c r="L75" s="36"/>
      <c r="M75" s="36"/>
      <c r="N75" s="36"/>
      <c r="O75" s="36"/>
      <c r="P75" s="36"/>
      <c r="Q75" s="36"/>
      <c r="R75" s="36"/>
      <c r="S75" s="36"/>
      <c r="T75" s="36"/>
      <c r="U75" s="36"/>
      <c r="V75" s="36"/>
      <c r="W75" s="36"/>
      <c r="X75" s="36"/>
      <c r="Y75" s="36"/>
      <c r="Z75" s="36"/>
    </row>
    <row r="76" spans="1:26" ht="16.5" customHeight="1">
      <c r="A76" s="41"/>
      <c r="B76" s="2597"/>
      <c r="C76" s="56" t="s">
        <v>12500</v>
      </c>
      <c r="D76" s="57" t="s">
        <v>12501</v>
      </c>
      <c r="E76" s="44"/>
      <c r="F76" s="36"/>
      <c r="G76" s="36"/>
      <c r="H76" s="36"/>
      <c r="I76" s="36"/>
      <c r="J76" s="36"/>
      <c r="K76" s="36"/>
      <c r="L76" s="36"/>
      <c r="M76" s="36"/>
      <c r="N76" s="36"/>
      <c r="O76" s="36"/>
      <c r="P76" s="36"/>
      <c r="Q76" s="36"/>
      <c r="R76" s="36"/>
      <c r="S76" s="36"/>
      <c r="T76" s="36"/>
      <c r="U76" s="36"/>
      <c r="V76" s="36"/>
      <c r="W76" s="36"/>
      <c r="X76" s="36"/>
      <c r="Y76" s="36"/>
      <c r="Z76" s="36"/>
    </row>
    <row r="77" spans="1:26" ht="30">
      <c r="A77" s="41"/>
      <c r="B77" s="2598"/>
      <c r="C77" s="60" t="s">
        <v>12502</v>
      </c>
      <c r="D77" s="61" t="s">
        <v>12503</v>
      </c>
      <c r="E77" s="44"/>
      <c r="F77" s="36"/>
      <c r="G77" s="36"/>
      <c r="H77" s="36"/>
      <c r="I77" s="36"/>
      <c r="J77" s="36"/>
      <c r="K77" s="36"/>
      <c r="L77" s="36"/>
      <c r="M77" s="36"/>
      <c r="N77" s="36"/>
      <c r="O77" s="36"/>
      <c r="P77" s="36"/>
      <c r="Q77" s="36"/>
      <c r="R77" s="36"/>
      <c r="S77" s="36"/>
      <c r="T77" s="36"/>
      <c r="U77" s="36"/>
      <c r="V77" s="36"/>
      <c r="W77" s="36"/>
      <c r="X77" s="36"/>
      <c r="Y77" s="36"/>
      <c r="Z77" s="36"/>
    </row>
    <row r="78" spans="1:26" ht="16.5" customHeight="1">
      <c r="A78" s="41"/>
      <c r="B78" s="69" t="s">
        <v>12510</v>
      </c>
      <c r="C78" s="70" t="s">
        <v>12523</v>
      </c>
      <c r="D78" s="71" t="s">
        <v>12524</v>
      </c>
      <c r="E78" s="44"/>
      <c r="F78" s="36"/>
      <c r="G78" s="36"/>
      <c r="H78" s="36"/>
      <c r="I78" s="36"/>
      <c r="J78" s="36"/>
      <c r="K78" s="36"/>
      <c r="L78" s="36"/>
      <c r="M78" s="36"/>
      <c r="N78" s="36"/>
      <c r="O78" s="36"/>
      <c r="P78" s="36"/>
      <c r="Q78" s="36"/>
      <c r="R78" s="36"/>
      <c r="S78" s="36"/>
      <c r="T78" s="36"/>
      <c r="U78" s="36"/>
      <c r="V78" s="36"/>
      <c r="W78" s="36"/>
      <c r="X78" s="36"/>
      <c r="Y78" s="36"/>
      <c r="Z78" s="36"/>
    </row>
    <row r="79" spans="1:26">
      <c r="A79" s="41"/>
      <c r="B79" s="2599" t="s">
        <v>12505</v>
      </c>
      <c r="C79" s="60" t="s">
        <v>12506</v>
      </c>
      <c r="D79" s="61" t="s">
        <v>12507</v>
      </c>
      <c r="E79" s="44"/>
      <c r="F79" s="36"/>
      <c r="G79" s="36"/>
      <c r="H79" s="36"/>
      <c r="I79" s="36"/>
      <c r="J79" s="36"/>
      <c r="K79" s="36"/>
      <c r="L79" s="36"/>
      <c r="M79" s="36"/>
      <c r="N79" s="36"/>
      <c r="O79" s="36"/>
      <c r="P79" s="36"/>
      <c r="Q79" s="36"/>
      <c r="R79" s="36"/>
      <c r="S79" s="36"/>
      <c r="T79" s="36"/>
      <c r="U79" s="36"/>
      <c r="V79" s="36"/>
      <c r="W79" s="36"/>
      <c r="X79" s="36"/>
      <c r="Y79" s="36"/>
      <c r="Z79" s="36"/>
    </row>
    <row r="80" spans="1:26" ht="16.5" customHeight="1">
      <c r="A80" s="41"/>
      <c r="B80" s="2597"/>
      <c r="C80" s="56" t="s">
        <v>12508</v>
      </c>
      <c r="D80" s="57" t="s">
        <v>12509</v>
      </c>
      <c r="E80" s="44"/>
      <c r="F80" s="36"/>
      <c r="G80" s="36"/>
      <c r="H80" s="36"/>
      <c r="I80" s="36"/>
      <c r="J80" s="36"/>
      <c r="K80" s="36"/>
      <c r="L80" s="36"/>
      <c r="M80" s="36"/>
      <c r="N80" s="36"/>
      <c r="O80" s="36"/>
      <c r="P80" s="36"/>
      <c r="Q80" s="36"/>
      <c r="R80" s="36"/>
      <c r="S80" s="36"/>
      <c r="T80" s="36"/>
      <c r="U80" s="36"/>
      <c r="V80" s="36"/>
      <c r="W80" s="36"/>
      <c r="X80" s="36"/>
      <c r="Y80" s="36"/>
      <c r="Z80" s="36"/>
    </row>
    <row r="81" spans="1:26" ht="34.5" customHeight="1">
      <c r="A81" s="41"/>
      <c r="B81" s="72" t="s">
        <v>12513</v>
      </c>
      <c r="C81" s="60" t="s">
        <v>12484</v>
      </c>
      <c r="D81" s="61" t="s">
        <v>12485</v>
      </c>
      <c r="E81" s="44"/>
      <c r="F81" s="36"/>
      <c r="G81" s="36"/>
      <c r="H81" s="36"/>
      <c r="I81" s="36"/>
      <c r="J81" s="36"/>
      <c r="K81" s="36"/>
      <c r="L81" s="36"/>
      <c r="M81" s="36"/>
      <c r="N81" s="36"/>
      <c r="O81" s="36"/>
      <c r="P81" s="36"/>
      <c r="Q81" s="36"/>
      <c r="R81" s="36"/>
      <c r="S81" s="36"/>
      <c r="T81" s="36"/>
      <c r="U81" s="36"/>
      <c r="V81" s="36"/>
      <c r="W81" s="36"/>
      <c r="X81" s="36"/>
      <c r="Y81" s="36"/>
      <c r="Z81" s="36"/>
    </row>
    <row r="82" spans="1:26">
      <c r="A82" s="41"/>
      <c r="B82" s="2603" t="s">
        <v>12525</v>
      </c>
      <c r="C82" s="2604"/>
      <c r="D82" s="2605"/>
      <c r="E82" s="44"/>
      <c r="F82" s="36"/>
      <c r="G82" s="36"/>
      <c r="H82" s="36"/>
      <c r="I82" s="36"/>
      <c r="J82" s="36"/>
      <c r="K82" s="36"/>
      <c r="L82" s="36"/>
      <c r="M82" s="36"/>
      <c r="N82" s="36"/>
      <c r="O82" s="36"/>
      <c r="P82" s="36"/>
      <c r="Q82" s="36"/>
      <c r="R82" s="36"/>
      <c r="S82" s="36"/>
      <c r="T82" s="36"/>
      <c r="U82" s="36"/>
      <c r="V82" s="36"/>
      <c r="W82" s="36"/>
      <c r="X82" s="36"/>
      <c r="Y82" s="36"/>
      <c r="Z82" s="36"/>
    </row>
    <row r="83" spans="1:26" ht="16.5" customHeight="1">
      <c r="A83" s="41"/>
      <c r="B83" s="2596" t="s">
        <v>12515</v>
      </c>
      <c r="C83" s="56" t="s">
        <v>12519</v>
      </c>
      <c r="D83" s="57" t="s">
        <v>12520</v>
      </c>
      <c r="E83" s="44"/>
      <c r="F83" s="36"/>
      <c r="G83" s="36"/>
      <c r="H83" s="36"/>
      <c r="I83" s="36"/>
      <c r="J83" s="36"/>
      <c r="K83" s="36"/>
      <c r="L83" s="36"/>
      <c r="M83" s="36"/>
      <c r="N83" s="36"/>
      <c r="O83" s="36"/>
      <c r="P83" s="36"/>
      <c r="Q83" s="36"/>
      <c r="R83" s="36"/>
      <c r="S83" s="36"/>
      <c r="T83" s="36"/>
      <c r="U83" s="36"/>
      <c r="V83" s="36"/>
      <c r="W83" s="36"/>
      <c r="X83" s="36"/>
      <c r="Y83" s="36"/>
      <c r="Z83" s="36"/>
    </row>
    <row r="84" spans="1:26" ht="16.5" customHeight="1">
      <c r="A84" s="41"/>
      <c r="B84" s="2598"/>
      <c r="C84" s="60" t="s">
        <v>12521</v>
      </c>
      <c r="D84" s="61" t="s">
        <v>12522</v>
      </c>
      <c r="E84" s="44"/>
      <c r="F84" s="36"/>
      <c r="G84" s="36"/>
      <c r="H84" s="36"/>
      <c r="I84" s="36"/>
      <c r="J84" s="36"/>
      <c r="K84" s="36"/>
      <c r="L84" s="36"/>
      <c r="M84" s="36"/>
      <c r="N84" s="36"/>
      <c r="O84" s="36"/>
      <c r="P84" s="36"/>
      <c r="Q84" s="36"/>
      <c r="R84" s="36"/>
      <c r="S84" s="36"/>
      <c r="T84" s="36"/>
      <c r="U84" s="36"/>
      <c r="V84" s="36"/>
      <c r="W84" s="36"/>
      <c r="X84" s="36"/>
      <c r="Y84" s="36"/>
      <c r="Z84" s="36"/>
    </row>
    <row r="85" spans="1:26" ht="16.5" customHeight="1">
      <c r="A85" s="41"/>
      <c r="B85" s="2599" t="s">
        <v>12495</v>
      </c>
      <c r="C85" s="56" t="s">
        <v>12496</v>
      </c>
      <c r="D85" s="57" t="s">
        <v>12497</v>
      </c>
      <c r="E85" s="44"/>
      <c r="F85" s="36"/>
      <c r="G85" s="36"/>
      <c r="H85" s="36"/>
      <c r="I85" s="36"/>
      <c r="J85" s="36"/>
      <c r="K85" s="36"/>
      <c r="L85" s="36"/>
      <c r="M85" s="36"/>
      <c r="N85" s="36"/>
      <c r="O85" s="36"/>
      <c r="P85" s="36"/>
      <c r="Q85" s="36"/>
      <c r="R85" s="36"/>
      <c r="S85" s="36"/>
      <c r="T85" s="36"/>
      <c r="U85" s="36"/>
      <c r="V85" s="36"/>
      <c r="W85" s="36"/>
      <c r="X85" s="36"/>
      <c r="Y85" s="36"/>
      <c r="Z85" s="36"/>
    </row>
    <row r="86" spans="1:26" ht="16.5" customHeight="1">
      <c r="A86" s="41"/>
      <c r="B86" s="2597"/>
      <c r="C86" s="60" t="s">
        <v>12498</v>
      </c>
      <c r="D86" s="61" t="s">
        <v>12499</v>
      </c>
      <c r="E86" s="44"/>
      <c r="F86" s="36"/>
      <c r="G86" s="36"/>
      <c r="H86" s="36"/>
      <c r="I86" s="36"/>
      <c r="J86" s="36"/>
      <c r="K86" s="36"/>
      <c r="L86" s="36"/>
      <c r="M86" s="36"/>
      <c r="N86" s="36"/>
      <c r="O86" s="36"/>
      <c r="P86" s="36"/>
      <c r="Q86" s="36"/>
      <c r="R86" s="36"/>
      <c r="S86" s="36"/>
      <c r="T86" s="36"/>
      <c r="U86" s="36"/>
      <c r="V86" s="36"/>
      <c r="W86" s="36"/>
      <c r="X86" s="36"/>
      <c r="Y86" s="36"/>
      <c r="Z86" s="36"/>
    </row>
    <row r="87" spans="1:26" ht="16.5" customHeight="1">
      <c r="A87" s="41"/>
      <c r="B87" s="2597"/>
      <c r="C87" s="56" t="s">
        <v>12500</v>
      </c>
      <c r="D87" s="57" t="s">
        <v>12501</v>
      </c>
      <c r="E87" s="44"/>
      <c r="F87" s="36"/>
      <c r="G87" s="36"/>
      <c r="H87" s="36"/>
      <c r="I87" s="36"/>
      <c r="J87" s="36"/>
      <c r="K87" s="36"/>
      <c r="L87" s="36"/>
      <c r="M87" s="36"/>
      <c r="N87" s="36"/>
      <c r="O87" s="36"/>
      <c r="P87" s="36"/>
      <c r="Q87" s="36"/>
      <c r="R87" s="36"/>
      <c r="S87" s="36"/>
      <c r="T87" s="36"/>
      <c r="U87" s="36"/>
      <c r="V87" s="36"/>
      <c r="W87" s="36"/>
      <c r="X87" s="36"/>
      <c r="Y87" s="36"/>
      <c r="Z87" s="36"/>
    </row>
    <row r="88" spans="1:26" ht="30">
      <c r="A88" s="41"/>
      <c r="B88" s="2598"/>
      <c r="C88" s="60" t="s">
        <v>12502</v>
      </c>
      <c r="D88" s="61" t="s">
        <v>12503</v>
      </c>
      <c r="E88" s="44"/>
      <c r="F88" s="36"/>
      <c r="G88" s="36"/>
      <c r="H88" s="36"/>
      <c r="I88" s="36"/>
      <c r="J88" s="36"/>
      <c r="K88" s="36"/>
      <c r="L88" s="36"/>
      <c r="M88" s="36"/>
      <c r="N88" s="36"/>
      <c r="O88" s="36"/>
      <c r="P88" s="36"/>
      <c r="Q88" s="36"/>
      <c r="R88" s="36"/>
      <c r="S88" s="36"/>
      <c r="T88" s="36"/>
      <c r="U88" s="36"/>
      <c r="V88" s="36"/>
      <c r="W88" s="36"/>
      <c r="X88" s="36"/>
      <c r="Y88" s="36"/>
      <c r="Z88" s="36"/>
    </row>
    <row r="89" spans="1:26" ht="20.25" customHeight="1">
      <c r="A89" s="41"/>
      <c r="B89" s="69" t="s">
        <v>12510</v>
      </c>
      <c r="C89" s="70" t="s">
        <v>12523</v>
      </c>
      <c r="D89" s="71" t="s">
        <v>12524</v>
      </c>
      <c r="E89" s="44"/>
      <c r="F89" s="36"/>
      <c r="G89" s="36"/>
      <c r="H89" s="36"/>
      <c r="I89" s="36"/>
      <c r="J89" s="36"/>
      <c r="K89" s="36"/>
      <c r="L89" s="36"/>
      <c r="M89" s="36"/>
      <c r="N89" s="36"/>
      <c r="O89" s="36"/>
      <c r="P89" s="36"/>
      <c r="Q89" s="36"/>
      <c r="R89" s="36"/>
      <c r="S89" s="36"/>
      <c r="T89" s="36"/>
      <c r="U89" s="36"/>
      <c r="V89" s="36"/>
      <c r="W89" s="36"/>
      <c r="X89" s="36"/>
      <c r="Y89" s="36"/>
      <c r="Z89" s="36"/>
    </row>
    <row r="90" spans="1:26" ht="22.5" customHeight="1">
      <c r="A90" s="41"/>
      <c r="B90" s="2599" t="s">
        <v>12505</v>
      </c>
      <c r="C90" s="60" t="s">
        <v>12506</v>
      </c>
      <c r="D90" s="61" t="s">
        <v>12507</v>
      </c>
      <c r="E90" s="44"/>
      <c r="F90" s="36"/>
      <c r="G90" s="36"/>
      <c r="H90" s="36"/>
      <c r="I90" s="36"/>
      <c r="J90" s="36"/>
      <c r="K90" s="36"/>
      <c r="L90" s="36"/>
      <c r="M90" s="36"/>
      <c r="N90" s="36"/>
      <c r="O90" s="36"/>
      <c r="P90" s="36"/>
      <c r="Q90" s="36"/>
      <c r="R90" s="36"/>
      <c r="S90" s="36"/>
      <c r="T90" s="36"/>
      <c r="U90" s="36"/>
      <c r="V90" s="36"/>
      <c r="W90" s="36"/>
      <c r="X90" s="36"/>
      <c r="Y90" s="36"/>
      <c r="Z90" s="36"/>
    </row>
    <row r="91" spans="1:26">
      <c r="A91" s="41"/>
      <c r="B91" s="2597"/>
      <c r="C91" s="56" t="s">
        <v>12508</v>
      </c>
      <c r="D91" s="57" t="s">
        <v>12509</v>
      </c>
      <c r="E91" s="44"/>
      <c r="F91" s="36"/>
      <c r="G91" s="36"/>
      <c r="H91" s="36"/>
      <c r="I91" s="36"/>
      <c r="J91" s="36"/>
      <c r="K91" s="36"/>
      <c r="L91" s="36"/>
      <c r="M91" s="36"/>
      <c r="N91" s="36"/>
      <c r="O91" s="36"/>
      <c r="P91" s="36"/>
      <c r="Q91" s="36"/>
      <c r="R91" s="36"/>
      <c r="S91" s="36"/>
      <c r="T91" s="36"/>
      <c r="U91" s="36"/>
      <c r="V91" s="36"/>
      <c r="W91" s="36"/>
      <c r="X91" s="36"/>
      <c r="Y91" s="36"/>
      <c r="Z91" s="36"/>
    </row>
    <row r="92" spans="1:26" ht="30">
      <c r="A92" s="41"/>
      <c r="B92" s="72" t="s">
        <v>12513</v>
      </c>
      <c r="C92" s="60" t="s">
        <v>12484</v>
      </c>
      <c r="D92" s="61" t="s">
        <v>12485</v>
      </c>
      <c r="E92" s="44"/>
      <c r="F92" s="36"/>
      <c r="G92" s="36"/>
      <c r="H92" s="36"/>
      <c r="I92" s="36"/>
      <c r="J92" s="36"/>
      <c r="K92" s="36"/>
      <c r="L92" s="36"/>
      <c r="M92" s="36"/>
      <c r="N92" s="36"/>
      <c r="O92" s="36"/>
      <c r="P92" s="36"/>
      <c r="Q92" s="36"/>
      <c r="R92" s="36"/>
      <c r="S92" s="36"/>
      <c r="T92" s="36"/>
      <c r="U92" s="36"/>
      <c r="V92" s="36"/>
      <c r="W92" s="36"/>
      <c r="X92" s="36"/>
      <c r="Y92" s="36"/>
      <c r="Z92" s="36"/>
    </row>
    <row r="93" spans="1:26" ht="16.5" customHeight="1">
      <c r="A93" s="41"/>
      <c r="B93" s="2603" t="s">
        <v>12526</v>
      </c>
      <c r="C93" s="2604"/>
      <c r="D93" s="2605"/>
      <c r="E93" s="44"/>
      <c r="F93" s="36"/>
      <c r="G93" s="36"/>
      <c r="H93" s="36"/>
      <c r="I93" s="36"/>
      <c r="J93" s="36"/>
      <c r="K93" s="36"/>
      <c r="L93" s="36"/>
      <c r="M93" s="36"/>
      <c r="N93" s="36"/>
      <c r="O93" s="36"/>
      <c r="P93" s="36"/>
      <c r="Q93" s="36"/>
      <c r="R93" s="36"/>
      <c r="S93" s="36"/>
      <c r="T93" s="36"/>
      <c r="U93" s="36"/>
      <c r="V93" s="36"/>
      <c r="W93" s="36"/>
      <c r="X93" s="36"/>
      <c r="Y93" s="36"/>
      <c r="Z93" s="36"/>
    </row>
    <row r="94" spans="1:26" ht="16.5" customHeight="1">
      <c r="A94" s="41"/>
      <c r="B94" s="2596" t="s">
        <v>12505</v>
      </c>
      <c r="C94" s="56" t="s">
        <v>12506</v>
      </c>
      <c r="D94" s="62" t="s">
        <v>12507</v>
      </c>
      <c r="E94" s="44"/>
      <c r="F94" s="36"/>
      <c r="G94" s="36"/>
      <c r="H94" s="36"/>
      <c r="I94" s="36"/>
      <c r="J94" s="36"/>
      <c r="K94" s="36"/>
      <c r="L94" s="36"/>
      <c r="M94" s="36"/>
      <c r="N94" s="36"/>
      <c r="O94" s="36"/>
      <c r="P94" s="36"/>
      <c r="Q94" s="36"/>
      <c r="R94" s="36"/>
      <c r="S94" s="36"/>
      <c r="T94" s="36"/>
      <c r="U94" s="36"/>
      <c r="V94" s="36"/>
      <c r="W94" s="36"/>
      <c r="X94" s="36"/>
      <c r="Y94" s="36"/>
      <c r="Z94" s="36"/>
    </row>
    <row r="95" spans="1:26" ht="16.5" customHeight="1">
      <c r="A95" s="41"/>
      <c r="B95" s="2598"/>
      <c r="C95" s="60" t="s">
        <v>12508</v>
      </c>
      <c r="D95" s="61" t="s">
        <v>12509</v>
      </c>
      <c r="E95" s="44"/>
      <c r="F95" s="36"/>
      <c r="G95" s="36"/>
      <c r="H95" s="36"/>
      <c r="I95" s="36"/>
      <c r="J95" s="36"/>
      <c r="K95" s="36"/>
      <c r="L95" s="36"/>
      <c r="M95" s="36"/>
      <c r="N95" s="36"/>
      <c r="O95" s="36"/>
      <c r="P95" s="36"/>
      <c r="Q95" s="36"/>
      <c r="R95" s="36"/>
      <c r="S95" s="36"/>
      <c r="T95" s="36"/>
      <c r="U95" s="36"/>
      <c r="V95" s="36"/>
      <c r="W95" s="36"/>
      <c r="X95" s="36"/>
      <c r="Y95" s="36"/>
      <c r="Z95" s="36"/>
    </row>
    <row r="96" spans="1:26" ht="16.5" customHeight="1">
      <c r="A96" s="41"/>
      <c r="B96" s="2599" t="s">
        <v>12510</v>
      </c>
      <c r="C96" s="73" t="s">
        <v>12511</v>
      </c>
      <c r="D96" s="74" t="s">
        <v>12512</v>
      </c>
      <c r="E96" s="44"/>
      <c r="F96" s="36"/>
      <c r="G96" s="36"/>
      <c r="H96" s="36"/>
      <c r="I96" s="36"/>
      <c r="J96" s="36"/>
      <c r="K96" s="36"/>
      <c r="L96" s="36"/>
      <c r="M96" s="36"/>
      <c r="N96" s="36"/>
      <c r="O96" s="36"/>
      <c r="P96" s="36"/>
      <c r="Q96" s="36"/>
      <c r="R96" s="36"/>
      <c r="S96" s="36"/>
      <c r="T96" s="36"/>
      <c r="U96" s="36"/>
      <c r="V96" s="36"/>
      <c r="W96" s="36"/>
      <c r="X96" s="36"/>
      <c r="Y96" s="36"/>
      <c r="Z96" s="36"/>
    </row>
    <row r="97" spans="1:26" ht="30">
      <c r="A97" s="41"/>
      <c r="B97" s="2640"/>
      <c r="C97" s="75" t="s">
        <v>12527</v>
      </c>
      <c r="D97" s="76" t="s">
        <v>12528</v>
      </c>
      <c r="E97" s="44"/>
      <c r="F97" s="36"/>
      <c r="G97" s="36"/>
      <c r="H97" s="36"/>
      <c r="I97" s="36"/>
      <c r="J97" s="36"/>
      <c r="K97" s="36"/>
      <c r="L97" s="36"/>
      <c r="M97" s="36"/>
      <c r="N97" s="36"/>
      <c r="O97" s="36"/>
      <c r="P97" s="36"/>
      <c r="Q97" s="36"/>
      <c r="R97" s="36"/>
      <c r="S97" s="36"/>
      <c r="T97" s="36"/>
      <c r="U97" s="36"/>
      <c r="V97" s="36"/>
      <c r="W97" s="36"/>
      <c r="X97" s="36"/>
      <c r="Y97" s="36"/>
      <c r="Z97" s="36"/>
    </row>
    <row r="98" spans="1:26" ht="16.5" customHeight="1">
      <c r="A98" s="41"/>
      <c r="B98" s="42"/>
      <c r="C98" s="43"/>
      <c r="D98" s="43"/>
      <c r="E98" s="44"/>
      <c r="F98" s="36"/>
      <c r="G98" s="36"/>
      <c r="H98" s="36"/>
      <c r="I98" s="36"/>
      <c r="J98" s="36"/>
      <c r="K98" s="36"/>
      <c r="L98" s="36"/>
      <c r="M98" s="36"/>
      <c r="N98" s="36"/>
      <c r="O98" s="36"/>
      <c r="P98" s="36"/>
      <c r="Q98" s="36"/>
      <c r="R98" s="36"/>
      <c r="S98" s="36"/>
      <c r="T98" s="36"/>
      <c r="U98" s="36"/>
      <c r="V98" s="36"/>
      <c r="W98" s="36"/>
      <c r="X98" s="36"/>
      <c r="Y98" s="36"/>
      <c r="Z98" s="36"/>
    </row>
    <row r="99" spans="1:26" ht="16.5" customHeight="1">
      <c r="A99" s="41"/>
      <c r="B99" s="42"/>
      <c r="C99" s="43"/>
      <c r="D99" s="43"/>
      <c r="E99" s="44"/>
      <c r="F99" s="36"/>
      <c r="G99" s="36"/>
      <c r="H99" s="36"/>
      <c r="I99" s="36"/>
      <c r="J99" s="36"/>
      <c r="K99" s="36"/>
      <c r="L99" s="36"/>
      <c r="M99" s="36"/>
      <c r="N99" s="36"/>
      <c r="O99" s="36"/>
      <c r="P99" s="36"/>
      <c r="Q99" s="36"/>
      <c r="R99" s="36"/>
      <c r="S99" s="36"/>
      <c r="T99" s="36"/>
      <c r="U99" s="36"/>
      <c r="V99" s="36"/>
      <c r="W99" s="36"/>
      <c r="X99" s="36"/>
      <c r="Y99" s="36"/>
      <c r="Z99" s="36"/>
    </row>
    <row r="100" spans="1:26" ht="16.5" customHeight="1">
      <c r="A100" s="41"/>
      <c r="B100" s="42"/>
      <c r="C100" s="43"/>
      <c r="D100" s="43"/>
      <c r="E100" s="44"/>
      <c r="F100" s="36"/>
      <c r="G100" s="36"/>
      <c r="H100" s="36"/>
      <c r="I100" s="36"/>
      <c r="J100" s="36"/>
      <c r="K100" s="36"/>
      <c r="L100" s="36"/>
      <c r="M100" s="36"/>
      <c r="N100" s="36"/>
      <c r="O100" s="36"/>
      <c r="P100" s="36"/>
      <c r="Q100" s="36"/>
      <c r="R100" s="36"/>
      <c r="S100" s="36"/>
      <c r="T100" s="36"/>
      <c r="U100" s="36"/>
      <c r="V100" s="36"/>
      <c r="W100" s="36"/>
      <c r="X100" s="36"/>
      <c r="Y100" s="36"/>
      <c r="Z100" s="36"/>
    </row>
    <row r="101" spans="1:26" ht="16.5" customHeight="1">
      <c r="A101" s="41"/>
      <c r="B101" s="42"/>
      <c r="C101" s="43"/>
      <c r="D101" s="43"/>
      <c r="E101" s="44"/>
      <c r="F101" s="36"/>
      <c r="G101" s="36"/>
      <c r="H101" s="36"/>
      <c r="I101" s="36"/>
      <c r="J101" s="36"/>
      <c r="K101" s="36"/>
      <c r="L101" s="36"/>
      <c r="M101" s="36"/>
      <c r="N101" s="36"/>
      <c r="O101" s="36"/>
      <c r="P101" s="36"/>
      <c r="Q101" s="36"/>
      <c r="R101" s="36"/>
      <c r="S101" s="36"/>
      <c r="T101" s="36"/>
      <c r="U101" s="36"/>
      <c r="V101" s="36"/>
      <c r="W101" s="36"/>
      <c r="X101" s="36"/>
      <c r="Y101" s="36"/>
      <c r="Z101" s="36"/>
    </row>
    <row r="102" spans="1:26" ht="16.5" customHeight="1">
      <c r="A102" s="41"/>
      <c r="B102" s="42"/>
      <c r="C102" s="43"/>
      <c r="D102" s="43"/>
      <c r="E102" s="44"/>
      <c r="F102" s="36"/>
      <c r="G102" s="36"/>
      <c r="H102" s="36"/>
      <c r="I102" s="36"/>
      <c r="J102" s="36"/>
      <c r="K102" s="36"/>
      <c r="L102" s="36"/>
      <c r="M102" s="36"/>
      <c r="N102" s="36"/>
      <c r="O102" s="36"/>
      <c r="P102" s="36"/>
      <c r="Q102" s="36"/>
      <c r="R102" s="36"/>
      <c r="S102" s="36"/>
      <c r="T102" s="36"/>
      <c r="U102" s="36"/>
      <c r="V102" s="36"/>
      <c r="W102" s="36"/>
      <c r="X102" s="36"/>
      <c r="Y102" s="36"/>
      <c r="Z102" s="36"/>
    </row>
    <row r="103" spans="1:26" ht="16.5" customHeight="1">
      <c r="A103" s="41"/>
      <c r="B103" s="42"/>
      <c r="C103" s="43"/>
      <c r="D103" s="43"/>
      <c r="E103" s="44"/>
      <c r="F103" s="36"/>
      <c r="G103" s="36"/>
      <c r="H103" s="36"/>
      <c r="I103" s="36"/>
      <c r="J103" s="36"/>
      <c r="K103" s="36"/>
      <c r="L103" s="36"/>
      <c r="M103" s="36"/>
      <c r="N103" s="36"/>
      <c r="O103" s="36"/>
      <c r="P103" s="36"/>
      <c r="Q103" s="36"/>
      <c r="R103" s="36"/>
      <c r="S103" s="36"/>
      <c r="T103" s="36"/>
      <c r="U103" s="36"/>
      <c r="V103" s="36"/>
      <c r="W103" s="36"/>
      <c r="X103" s="36"/>
      <c r="Y103" s="36"/>
      <c r="Z103" s="36"/>
    </row>
    <row r="104" spans="1:26" ht="16.5" customHeight="1">
      <c r="A104" s="41"/>
      <c r="B104" s="42"/>
      <c r="C104" s="43"/>
      <c r="D104" s="43"/>
      <c r="E104" s="44"/>
      <c r="F104" s="36"/>
      <c r="G104" s="36"/>
      <c r="H104" s="36"/>
      <c r="I104" s="36"/>
      <c r="J104" s="36"/>
      <c r="K104" s="36"/>
      <c r="L104" s="36"/>
      <c r="M104" s="36"/>
      <c r="N104" s="36"/>
      <c r="O104" s="36"/>
      <c r="P104" s="36"/>
      <c r="Q104" s="36"/>
      <c r="R104" s="36"/>
      <c r="S104" s="36"/>
      <c r="T104" s="36"/>
      <c r="U104" s="36"/>
      <c r="V104" s="36"/>
      <c r="W104" s="36"/>
      <c r="X104" s="36"/>
      <c r="Y104" s="36"/>
      <c r="Z104" s="36"/>
    </row>
    <row r="105" spans="1:26" ht="16.5" customHeight="1">
      <c r="A105" s="41"/>
      <c r="B105" s="42"/>
      <c r="C105" s="43"/>
      <c r="D105" s="43"/>
      <c r="E105" s="44"/>
      <c r="F105" s="36"/>
      <c r="G105" s="36"/>
      <c r="H105" s="36"/>
      <c r="I105" s="36"/>
      <c r="J105" s="36"/>
      <c r="K105" s="36"/>
      <c r="L105" s="36"/>
      <c r="M105" s="36"/>
      <c r="N105" s="36"/>
      <c r="O105" s="36"/>
      <c r="P105" s="36"/>
      <c r="Q105" s="36"/>
      <c r="R105" s="36"/>
      <c r="S105" s="36"/>
      <c r="T105" s="36"/>
      <c r="U105" s="36"/>
      <c r="V105" s="36"/>
      <c r="W105" s="36"/>
      <c r="X105" s="36"/>
      <c r="Y105" s="36"/>
      <c r="Z105" s="36"/>
    </row>
    <row r="106" spans="1:26" ht="16.5" customHeight="1">
      <c r="A106" s="41"/>
      <c r="B106" s="42"/>
      <c r="C106" s="43"/>
      <c r="D106" s="43"/>
      <c r="E106" s="44"/>
      <c r="F106" s="36"/>
      <c r="G106" s="36"/>
      <c r="H106" s="36"/>
      <c r="I106" s="36"/>
      <c r="J106" s="36"/>
      <c r="K106" s="36"/>
      <c r="L106" s="36"/>
      <c r="M106" s="36"/>
      <c r="N106" s="36"/>
      <c r="O106" s="36"/>
      <c r="P106" s="36"/>
      <c r="Q106" s="36"/>
      <c r="R106" s="36"/>
      <c r="S106" s="36"/>
      <c r="T106" s="36"/>
      <c r="U106" s="36"/>
      <c r="V106" s="36"/>
      <c r="W106" s="36"/>
      <c r="X106" s="36"/>
      <c r="Y106" s="36"/>
      <c r="Z106" s="36"/>
    </row>
    <row r="107" spans="1:26" ht="16.5" customHeight="1">
      <c r="A107" s="41"/>
      <c r="B107" s="42"/>
      <c r="C107" s="43"/>
      <c r="D107" s="43"/>
      <c r="E107" s="44"/>
      <c r="F107" s="36"/>
      <c r="G107" s="36"/>
      <c r="H107" s="36"/>
      <c r="I107" s="36"/>
      <c r="J107" s="36"/>
      <c r="K107" s="36"/>
      <c r="L107" s="36"/>
      <c r="M107" s="36"/>
      <c r="N107" s="36"/>
      <c r="O107" s="36"/>
      <c r="P107" s="36"/>
      <c r="Q107" s="36"/>
      <c r="R107" s="36"/>
      <c r="S107" s="36"/>
      <c r="T107" s="36"/>
      <c r="U107" s="36"/>
      <c r="V107" s="36"/>
      <c r="W107" s="36"/>
      <c r="X107" s="36"/>
      <c r="Y107" s="36"/>
      <c r="Z107" s="36"/>
    </row>
    <row r="108" spans="1:26" ht="26.25" customHeight="1">
      <c r="A108" s="77" t="s">
        <v>12529</v>
      </c>
      <c r="B108" s="78" t="s">
        <v>12530</v>
      </c>
      <c r="C108" s="2606" t="s">
        <v>12531</v>
      </c>
      <c r="D108" s="2607"/>
      <c r="E108" s="79" t="s">
        <v>12532</v>
      </c>
      <c r="F108" s="38"/>
      <c r="G108" s="38"/>
      <c r="H108" s="38"/>
      <c r="I108" s="38"/>
      <c r="J108" s="38"/>
      <c r="K108" s="38"/>
      <c r="L108" s="38"/>
      <c r="M108" s="38"/>
      <c r="N108" s="38"/>
      <c r="O108" s="38"/>
      <c r="P108" s="38"/>
      <c r="Q108" s="38"/>
      <c r="R108" s="38"/>
      <c r="S108" s="38"/>
      <c r="T108" s="38"/>
      <c r="U108" s="38"/>
      <c r="V108" s="38"/>
      <c r="W108" s="38"/>
      <c r="X108" s="38"/>
      <c r="Y108" s="38"/>
      <c r="Z108" s="38"/>
    </row>
    <row r="109" spans="1:26" ht="26.25" customHeight="1">
      <c r="A109" s="80" t="s">
        <v>12533</v>
      </c>
      <c r="B109" s="34" t="s">
        <v>12533</v>
      </c>
      <c r="C109" s="2608" t="s">
        <v>12533</v>
      </c>
      <c r="D109" s="2588"/>
      <c r="E109" s="81" t="s">
        <v>12533</v>
      </c>
      <c r="F109" s="38"/>
      <c r="G109" s="38"/>
      <c r="H109" s="38"/>
      <c r="I109" s="38"/>
      <c r="J109" s="38"/>
      <c r="K109" s="38"/>
      <c r="L109" s="38"/>
      <c r="M109" s="38"/>
      <c r="N109" s="38"/>
      <c r="O109" s="38"/>
      <c r="P109" s="38"/>
      <c r="Q109" s="38"/>
      <c r="R109" s="38"/>
      <c r="S109" s="38"/>
      <c r="T109" s="38"/>
      <c r="U109" s="38"/>
      <c r="V109" s="38"/>
      <c r="W109" s="38"/>
      <c r="X109" s="38"/>
      <c r="Y109" s="38"/>
      <c r="Z109" s="38"/>
    </row>
    <row r="110" spans="1:26" ht="26.25" customHeight="1">
      <c r="A110" s="82" t="s">
        <v>12534</v>
      </c>
      <c r="B110" s="83" t="s">
        <v>12535</v>
      </c>
      <c r="C110" s="2609" t="s">
        <v>12536</v>
      </c>
      <c r="D110" s="2610"/>
      <c r="E110" s="84" t="s">
        <v>12537</v>
      </c>
      <c r="F110" s="38"/>
      <c r="G110" s="38"/>
      <c r="H110" s="38"/>
      <c r="I110" s="38"/>
      <c r="J110" s="38"/>
      <c r="K110" s="38"/>
      <c r="L110" s="38"/>
      <c r="M110" s="38"/>
      <c r="N110" s="38"/>
      <c r="O110" s="38"/>
      <c r="P110" s="38"/>
      <c r="Q110" s="38"/>
      <c r="R110" s="38"/>
      <c r="S110" s="38"/>
      <c r="T110" s="38"/>
      <c r="U110" s="38"/>
      <c r="V110" s="38"/>
      <c r="W110" s="38"/>
      <c r="X110" s="38"/>
      <c r="Y110" s="38"/>
      <c r="Z110" s="38"/>
    </row>
    <row r="111" spans="1:26" ht="112.5" customHeight="1">
      <c r="A111" s="2611" t="s">
        <v>12538</v>
      </c>
      <c r="B111" s="2612"/>
      <c r="C111" s="2612"/>
      <c r="D111" s="2612"/>
      <c r="E111" s="2613"/>
      <c r="F111" s="85"/>
      <c r="G111" s="85"/>
      <c r="H111" s="85"/>
      <c r="I111" s="85"/>
      <c r="J111" s="85"/>
      <c r="K111" s="85"/>
      <c r="L111" s="85"/>
      <c r="M111" s="85"/>
      <c r="N111" s="85"/>
      <c r="O111" s="85"/>
      <c r="P111" s="85"/>
      <c r="Q111" s="85"/>
      <c r="R111" s="85"/>
      <c r="S111" s="85"/>
      <c r="T111" s="85"/>
      <c r="U111" s="85"/>
      <c r="V111" s="85"/>
      <c r="W111" s="85"/>
      <c r="X111" s="85"/>
      <c r="Y111" s="38"/>
      <c r="Z111" s="38"/>
    </row>
    <row r="112" spans="1:26" ht="15.75" customHeight="1">
      <c r="A112" s="86" t="str">
        <f t="shared" ref="A112:B115" si="0">A2</f>
        <v>OBRA:</v>
      </c>
      <c r="B112" s="2617" t="str">
        <f t="shared" si="0"/>
        <v>COMPLEXO SUNSET DO PARQUE NOVO MATO GROSSO</v>
      </c>
      <c r="C112" s="2590"/>
      <c r="D112" s="2590"/>
      <c r="E112" s="2618"/>
      <c r="F112" s="85"/>
      <c r="G112" s="85"/>
      <c r="H112" s="85"/>
      <c r="I112" s="85"/>
      <c r="J112" s="85"/>
      <c r="K112" s="85"/>
      <c r="L112" s="85"/>
      <c r="M112" s="85"/>
      <c r="N112" s="85"/>
      <c r="O112" s="85"/>
      <c r="P112" s="85"/>
      <c r="Q112" s="85"/>
      <c r="R112" s="85"/>
      <c r="S112" s="85"/>
      <c r="T112" s="85"/>
      <c r="U112" s="85"/>
      <c r="V112" s="85"/>
      <c r="W112" s="85"/>
      <c r="X112" s="85"/>
      <c r="Y112" s="38"/>
      <c r="Z112" s="38"/>
    </row>
    <row r="113" spans="1:26" ht="15.75" customHeight="1">
      <c r="A113" s="87" t="str">
        <f t="shared" si="0"/>
        <v xml:space="preserve">ENDEREÇO: </v>
      </c>
      <c r="B113" s="2617" t="str">
        <f t="shared" si="0"/>
        <v>MT 251, KM 11, S/N, ÁREA RURAL - PARQUE NOVO MATO GROSSO, CEP 78099-899</v>
      </c>
      <c r="C113" s="2590"/>
      <c r="D113" s="2590"/>
      <c r="E113" s="2618"/>
      <c r="F113" s="85"/>
      <c r="G113" s="85"/>
      <c r="H113" s="85"/>
      <c r="I113" s="85"/>
      <c r="J113" s="85"/>
      <c r="K113" s="85"/>
      <c r="L113" s="85"/>
      <c r="M113" s="85"/>
      <c r="N113" s="85"/>
      <c r="O113" s="85"/>
      <c r="P113" s="85"/>
      <c r="Q113" s="85"/>
      <c r="R113" s="85"/>
      <c r="S113" s="85"/>
      <c r="T113" s="85"/>
      <c r="U113" s="85"/>
      <c r="V113" s="85"/>
      <c r="W113" s="85"/>
      <c r="X113" s="85"/>
      <c r="Y113" s="38"/>
      <c r="Z113" s="38"/>
    </row>
    <row r="114" spans="1:26" ht="15.75" customHeight="1">
      <c r="A114" s="87" t="str">
        <f t="shared" si="0"/>
        <v>MUNICÍPIO:</v>
      </c>
      <c r="B114" s="2617" t="str">
        <f t="shared" si="0"/>
        <v>CUIABÁ - MT</v>
      </c>
      <c r="C114" s="2590"/>
      <c r="D114" s="2590"/>
      <c r="E114" s="2618"/>
      <c r="F114" s="85"/>
      <c r="G114" s="85"/>
      <c r="H114" s="85"/>
      <c r="I114" s="85"/>
      <c r="J114" s="85"/>
      <c r="K114" s="85"/>
      <c r="L114" s="85"/>
      <c r="M114" s="85"/>
      <c r="N114" s="85"/>
      <c r="O114" s="85"/>
      <c r="P114" s="85"/>
      <c r="Q114" s="85"/>
      <c r="R114" s="85"/>
      <c r="S114" s="85"/>
      <c r="T114" s="85"/>
      <c r="U114" s="85"/>
      <c r="V114" s="85"/>
      <c r="W114" s="85"/>
      <c r="X114" s="85"/>
      <c r="Y114" s="38"/>
      <c r="Z114" s="38"/>
    </row>
    <row r="115" spans="1:26" ht="15.75" customHeight="1">
      <c r="A115" s="87" t="str">
        <f t="shared" si="0"/>
        <v>OBJETO:</v>
      </c>
      <c r="B115" s="2617" t="str">
        <f t="shared" si="0"/>
        <v>CONTRATAÇÃO DE EMPRESA ESPECIALIZADA PARA EXECUÇÃO DAS OBRAS DO "COMPLEXO SUNSET (WAKE BAR, PRAÇA SUNSET, QUIOSQUE, BANHEIROS DE APOIO E INFRA DE CONTÊINER) DO PARQUE NOVO MATO GROSSO"</v>
      </c>
      <c r="C115" s="2590"/>
      <c r="D115" s="2590"/>
      <c r="E115" s="2618"/>
      <c r="F115" s="85"/>
      <c r="G115" s="85"/>
      <c r="H115" s="85"/>
      <c r="I115" s="85"/>
      <c r="J115" s="85"/>
      <c r="K115" s="85"/>
      <c r="L115" s="85"/>
      <c r="M115" s="85"/>
      <c r="N115" s="85"/>
      <c r="O115" s="85"/>
      <c r="P115" s="85"/>
      <c r="Q115" s="85"/>
      <c r="R115" s="85"/>
      <c r="S115" s="85"/>
      <c r="T115" s="85"/>
      <c r="U115" s="85"/>
      <c r="V115" s="85"/>
      <c r="W115" s="85"/>
      <c r="X115" s="85"/>
      <c r="Y115" s="38"/>
      <c r="Z115" s="38"/>
    </row>
    <row r="116" spans="1:26" ht="15.75">
      <c r="A116" s="39"/>
      <c r="B116" s="88"/>
      <c r="C116" s="89"/>
      <c r="D116" s="89"/>
      <c r="E116" s="90"/>
      <c r="F116" s="38"/>
      <c r="G116" s="38"/>
      <c r="H116" s="38"/>
      <c r="I116" s="38"/>
      <c r="J116" s="38"/>
      <c r="K116" s="38"/>
      <c r="L116" s="38"/>
      <c r="M116" s="38"/>
      <c r="N116" s="38"/>
      <c r="O116" s="38"/>
      <c r="P116" s="38"/>
      <c r="Q116" s="38"/>
      <c r="R116" s="38"/>
      <c r="S116" s="38"/>
      <c r="T116" s="38"/>
      <c r="U116" s="38"/>
      <c r="V116" s="38"/>
      <c r="W116" s="38"/>
      <c r="X116" s="38"/>
      <c r="Y116" s="38"/>
      <c r="Z116" s="38"/>
    </row>
    <row r="117" spans="1:26" ht="15.75">
      <c r="A117" s="39"/>
      <c r="B117" s="88"/>
      <c r="C117" s="89"/>
      <c r="D117" s="89"/>
      <c r="E117" s="90"/>
      <c r="F117" s="38"/>
      <c r="G117" s="38"/>
      <c r="H117" s="38"/>
      <c r="I117" s="38"/>
      <c r="J117" s="38"/>
      <c r="K117" s="38"/>
      <c r="L117" s="38"/>
      <c r="M117" s="38"/>
      <c r="N117" s="38"/>
      <c r="O117" s="38"/>
      <c r="P117" s="38"/>
      <c r="Q117" s="38"/>
      <c r="R117" s="38"/>
      <c r="S117" s="38"/>
      <c r="T117" s="38"/>
      <c r="U117" s="38"/>
      <c r="V117" s="38"/>
      <c r="W117" s="38"/>
      <c r="X117" s="38"/>
      <c r="Y117" s="38"/>
      <c r="Z117" s="38"/>
    </row>
    <row r="118" spans="1:26" ht="15.75">
      <c r="A118" s="39"/>
      <c r="B118" s="88"/>
      <c r="C118" s="89"/>
      <c r="D118" s="89"/>
      <c r="E118" s="90"/>
      <c r="F118" s="38"/>
      <c r="G118" s="38"/>
      <c r="H118" s="38"/>
      <c r="I118" s="38"/>
      <c r="J118" s="38"/>
      <c r="K118" s="38"/>
      <c r="L118" s="38"/>
      <c r="M118" s="38"/>
      <c r="N118" s="38"/>
      <c r="O118" s="38"/>
      <c r="P118" s="38"/>
      <c r="Q118" s="38"/>
      <c r="R118" s="38"/>
      <c r="S118" s="38"/>
      <c r="T118" s="38"/>
      <c r="U118" s="38"/>
      <c r="V118" s="38"/>
      <c r="W118" s="38"/>
      <c r="X118" s="38"/>
      <c r="Y118" s="38"/>
      <c r="Z118" s="38"/>
    </row>
    <row r="119" spans="1:26" ht="15.75">
      <c r="A119" s="39"/>
      <c r="B119" s="88"/>
      <c r="C119" s="89"/>
      <c r="D119" s="89"/>
      <c r="E119" s="90"/>
      <c r="F119" s="38"/>
      <c r="G119" s="38"/>
      <c r="H119" s="38"/>
      <c r="I119" s="38"/>
      <c r="J119" s="38"/>
      <c r="K119" s="38"/>
      <c r="L119" s="38"/>
      <c r="M119" s="38"/>
      <c r="N119" s="38"/>
      <c r="O119" s="38"/>
      <c r="P119" s="38"/>
      <c r="Q119" s="38"/>
      <c r="R119" s="38"/>
      <c r="S119" s="38"/>
      <c r="T119" s="38"/>
      <c r="U119" s="38"/>
      <c r="V119" s="38"/>
      <c r="W119" s="38"/>
      <c r="X119" s="38"/>
      <c r="Y119" s="38"/>
      <c r="Z119" s="38"/>
    </row>
    <row r="120" spans="1:26" ht="146.25" customHeight="1">
      <c r="A120" s="2638" t="e">
        <f ca="1">JOIN(" ","Declaramos que a elaboração da planilha orçamentária apresentada para a obra, ",$B$2,", no município de ",$B$4,",adota o",'Medição '!AE8,"da folha de pagamento por ser a opção mais econômica para a Administração Pública, cujo o valor total da planilha orçamentaria é",'Medição '!AE5,'Medição '!D1836,", com BDI de",'Medição '!AB5,"e utilizando o SINAPI com mês de referência",'Medição '!AE7,".")</f>
        <v>#NAME?</v>
      </c>
      <c r="B120" s="2588"/>
      <c r="C120" s="2588"/>
      <c r="D120" s="2588"/>
      <c r="E120" s="2621"/>
      <c r="F120" s="38"/>
      <c r="G120" s="38"/>
      <c r="H120" s="38"/>
      <c r="I120" s="38"/>
      <c r="J120" s="38"/>
      <c r="K120" s="38"/>
      <c r="L120" s="38"/>
      <c r="M120" s="38"/>
      <c r="N120" s="38"/>
      <c r="O120" s="38"/>
      <c r="P120" s="38"/>
      <c r="Q120" s="38"/>
      <c r="R120" s="38"/>
      <c r="S120" s="38"/>
      <c r="T120" s="38"/>
      <c r="U120" s="38"/>
      <c r="V120" s="38"/>
      <c r="W120" s="38"/>
      <c r="X120" s="38"/>
      <c r="Y120" s="38"/>
      <c r="Z120" s="38"/>
    </row>
    <row r="121" spans="1:26" ht="15.75">
      <c r="A121" s="39"/>
      <c r="B121" s="88"/>
      <c r="C121" s="89"/>
      <c r="D121" s="89"/>
      <c r="E121" s="90"/>
      <c r="F121" s="38"/>
      <c r="G121" s="38"/>
      <c r="H121" s="38"/>
      <c r="I121" s="38"/>
      <c r="J121" s="38"/>
      <c r="K121" s="38"/>
      <c r="L121" s="38"/>
      <c r="M121" s="38"/>
      <c r="N121" s="38"/>
      <c r="O121" s="38"/>
      <c r="P121" s="38"/>
      <c r="Q121" s="38"/>
      <c r="R121" s="38"/>
      <c r="S121" s="38"/>
      <c r="T121" s="38"/>
      <c r="U121" s="38"/>
      <c r="V121" s="38"/>
      <c r="W121" s="38"/>
      <c r="X121" s="38"/>
      <c r="Y121" s="38"/>
      <c r="Z121" s="38"/>
    </row>
    <row r="122" spans="1:26" ht="15.75">
      <c r="A122" s="39"/>
      <c r="B122" s="88"/>
      <c r="C122" s="89"/>
      <c r="D122" s="89"/>
      <c r="E122" s="90"/>
      <c r="F122" s="38"/>
      <c r="G122" s="38"/>
      <c r="H122" s="38"/>
      <c r="I122" s="38"/>
      <c r="J122" s="38"/>
      <c r="K122" s="38"/>
      <c r="L122" s="38"/>
      <c r="M122" s="38"/>
      <c r="N122" s="38"/>
      <c r="O122" s="38"/>
      <c r="P122" s="38"/>
      <c r="Q122" s="38"/>
      <c r="R122" s="38"/>
      <c r="S122" s="38"/>
      <c r="T122" s="38"/>
      <c r="U122" s="38"/>
      <c r="V122" s="38"/>
      <c r="W122" s="38"/>
      <c r="X122" s="38"/>
      <c r="Y122" s="38"/>
      <c r="Z122" s="38"/>
    </row>
    <row r="123" spans="1:26" ht="15.75">
      <c r="A123" s="39"/>
      <c r="B123" s="88"/>
      <c r="C123" s="89"/>
      <c r="D123" s="89"/>
      <c r="E123" s="90"/>
      <c r="F123" s="38"/>
      <c r="G123" s="38"/>
      <c r="H123" s="38"/>
      <c r="I123" s="38"/>
      <c r="J123" s="38"/>
      <c r="K123" s="38"/>
      <c r="L123" s="38"/>
      <c r="M123" s="38"/>
      <c r="N123" s="38"/>
      <c r="O123" s="38"/>
      <c r="P123" s="38"/>
      <c r="Q123" s="38"/>
      <c r="R123" s="38"/>
      <c r="S123" s="38"/>
      <c r="T123" s="38"/>
      <c r="U123" s="38"/>
      <c r="V123" s="38"/>
      <c r="W123" s="38"/>
      <c r="X123" s="38"/>
      <c r="Y123" s="38"/>
      <c r="Z123" s="38"/>
    </row>
    <row r="124" spans="1:26" ht="15.75">
      <c r="A124" s="39"/>
      <c r="B124" s="88"/>
      <c r="C124" s="89"/>
      <c r="D124" s="89"/>
      <c r="E124" s="90"/>
      <c r="F124" s="38"/>
      <c r="G124" s="38"/>
      <c r="H124" s="38"/>
      <c r="I124" s="38"/>
      <c r="J124" s="38"/>
      <c r="K124" s="38"/>
      <c r="L124" s="38"/>
      <c r="M124" s="38"/>
      <c r="N124" s="38"/>
      <c r="O124" s="38"/>
      <c r="P124" s="38"/>
      <c r="Q124" s="38"/>
      <c r="R124" s="38"/>
      <c r="S124" s="38"/>
      <c r="T124" s="38"/>
      <c r="U124" s="38"/>
      <c r="V124" s="38"/>
      <c r="W124" s="38"/>
      <c r="X124" s="38"/>
      <c r="Y124" s="38"/>
      <c r="Z124" s="38"/>
    </row>
    <row r="125" spans="1:26" ht="15.75">
      <c r="A125" s="39"/>
      <c r="B125" s="88"/>
      <c r="C125" s="89"/>
      <c r="D125" s="89"/>
      <c r="E125" s="90"/>
      <c r="F125" s="38"/>
      <c r="G125" s="38"/>
      <c r="H125" s="38"/>
      <c r="I125" s="38"/>
      <c r="J125" s="38"/>
      <c r="K125" s="38"/>
      <c r="L125" s="38"/>
      <c r="M125" s="38"/>
      <c r="N125" s="38"/>
      <c r="O125" s="38"/>
      <c r="P125" s="38"/>
      <c r="Q125" s="38"/>
      <c r="R125" s="38"/>
      <c r="S125" s="38"/>
      <c r="T125" s="38"/>
      <c r="U125" s="38"/>
      <c r="V125" s="38"/>
      <c r="W125" s="38"/>
      <c r="X125" s="38"/>
      <c r="Y125" s="38"/>
      <c r="Z125" s="38"/>
    </row>
    <row r="126" spans="1:26" ht="15.75">
      <c r="A126" s="39"/>
      <c r="B126" s="88"/>
      <c r="C126" s="89"/>
      <c r="D126" s="89"/>
      <c r="E126" s="90"/>
      <c r="F126" s="38"/>
      <c r="G126" s="38"/>
      <c r="H126" s="38"/>
      <c r="I126" s="38"/>
      <c r="J126" s="38"/>
      <c r="K126" s="38"/>
      <c r="L126" s="38"/>
      <c r="M126" s="38"/>
      <c r="N126" s="38"/>
      <c r="O126" s="38"/>
      <c r="P126" s="38"/>
      <c r="Q126" s="38"/>
      <c r="R126" s="38"/>
      <c r="S126" s="38"/>
      <c r="T126" s="38"/>
      <c r="U126" s="38"/>
      <c r="V126" s="38"/>
      <c r="W126" s="38"/>
      <c r="X126" s="38"/>
      <c r="Y126" s="38"/>
      <c r="Z126" s="38"/>
    </row>
    <row r="127" spans="1:26" ht="15.75">
      <c r="A127" s="39"/>
      <c r="B127" s="88"/>
      <c r="C127" s="89"/>
      <c r="D127" s="89"/>
      <c r="E127" s="90"/>
      <c r="F127" s="38"/>
      <c r="G127" s="38"/>
      <c r="H127" s="38"/>
      <c r="I127" s="38"/>
      <c r="J127" s="38"/>
      <c r="K127" s="38"/>
      <c r="L127" s="38"/>
      <c r="M127" s="38"/>
      <c r="N127" s="38"/>
      <c r="O127" s="38"/>
      <c r="P127" s="38"/>
      <c r="Q127" s="38"/>
      <c r="R127" s="38"/>
      <c r="S127" s="38"/>
      <c r="T127" s="38"/>
      <c r="U127" s="38"/>
      <c r="V127" s="38"/>
      <c r="W127" s="38"/>
      <c r="X127" s="38"/>
      <c r="Y127" s="38"/>
      <c r="Z127" s="38"/>
    </row>
    <row r="128" spans="1:26" ht="15.75">
      <c r="A128" s="39"/>
      <c r="B128" s="88"/>
      <c r="C128" s="89"/>
      <c r="D128" s="89"/>
      <c r="E128" s="90"/>
      <c r="F128" s="38"/>
      <c r="G128" s="38"/>
      <c r="H128" s="38"/>
      <c r="I128" s="38"/>
      <c r="J128" s="38"/>
      <c r="K128" s="38"/>
      <c r="L128" s="38"/>
      <c r="M128" s="38"/>
      <c r="N128" s="38"/>
      <c r="O128" s="38"/>
      <c r="P128" s="38"/>
      <c r="Q128" s="38"/>
      <c r="R128" s="38"/>
      <c r="S128" s="38"/>
      <c r="T128" s="38"/>
      <c r="U128" s="38"/>
      <c r="V128" s="38"/>
      <c r="W128" s="38"/>
      <c r="X128" s="38"/>
      <c r="Y128" s="38"/>
      <c r="Z128" s="38"/>
    </row>
    <row r="129" spans="1:26" ht="15.75">
      <c r="A129" s="39"/>
      <c r="B129" s="88"/>
      <c r="C129" s="89"/>
      <c r="D129" s="89"/>
      <c r="E129" s="90"/>
      <c r="F129" s="38"/>
      <c r="G129" s="38"/>
      <c r="H129" s="38"/>
      <c r="I129" s="38"/>
      <c r="J129" s="38"/>
      <c r="K129" s="38"/>
      <c r="L129" s="38"/>
      <c r="M129" s="38"/>
      <c r="N129" s="38"/>
      <c r="O129" s="38"/>
      <c r="P129" s="38"/>
      <c r="Q129" s="38"/>
      <c r="R129" s="38"/>
      <c r="S129" s="38"/>
      <c r="T129" s="38"/>
      <c r="U129" s="38"/>
      <c r="V129" s="38"/>
      <c r="W129" s="38"/>
      <c r="X129" s="38"/>
      <c r="Y129" s="38"/>
      <c r="Z129" s="38"/>
    </row>
    <row r="130" spans="1:26" ht="15.75">
      <c r="A130" s="39"/>
      <c r="B130" s="88"/>
      <c r="C130" s="89"/>
      <c r="D130" s="89"/>
      <c r="E130" s="90"/>
      <c r="F130" s="38"/>
      <c r="G130" s="38"/>
      <c r="H130" s="38"/>
      <c r="I130" s="38"/>
      <c r="J130" s="38"/>
      <c r="K130" s="38"/>
      <c r="L130" s="38"/>
      <c r="M130" s="38"/>
      <c r="N130" s="38"/>
      <c r="O130" s="38"/>
      <c r="P130" s="38"/>
      <c r="Q130" s="38"/>
      <c r="R130" s="38"/>
      <c r="S130" s="38"/>
      <c r="T130" s="38"/>
      <c r="U130" s="38"/>
      <c r="V130" s="38"/>
      <c r="W130" s="38"/>
      <c r="X130" s="38"/>
      <c r="Y130" s="38"/>
      <c r="Z130" s="38"/>
    </row>
    <row r="131" spans="1:26" ht="15.75">
      <c r="A131" s="39"/>
      <c r="B131" s="88"/>
      <c r="C131" s="89"/>
      <c r="D131" s="89"/>
      <c r="E131" s="90"/>
      <c r="F131" s="38"/>
      <c r="G131" s="38"/>
      <c r="H131" s="38"/>
      <c r="I131" s="38"/>
      <c r="J131" s="38"/>
      <c r="K131" s="38"/>
      <c r="L131" s="38"/>
      <c r="M131" s="38"/>
      <c r="N131" s="38"/>
      <c r="O131" s="38"/>
      <c r="P131" s="38"/>
      <c r="Q131" s="38"/>
      <c r="R131" s="38"/>
      <c r="S131" s="38"/>
      <c r="T131" s="38"/>
      <c r="U131" s="38"/>
      <c r="V131" s="38"/>
      <c r="W131" s="38"/>
      <c r="X131" s="38"/>
      <c r="Y131" s="38"/>
      <c r="Z131" s="38"/>
    </row>
    <row r="132" spans="1:26" ht="15.75">
      <c r="A132" s="39"/>
      <c r="B132" s="88"/>
      <c r="C132" s="89"/>
      <c r="D132" s="89"/>
      <c r="E132" s="90"/>
      <c r="F132" s="38"/>
      <c r="G132" s="38"/>
      <c r="H132" s="38"/>
      <c r="I132" s="38"/>
      <c r="J132" s="38"/>
      <c r="K132" s="38"/>
      <c r="L132" s="38"/>
      <c r="M132" s="38"/>
      <c r="N132" s="38"/>
      <c r="O132" s="38"/>
      <c r="P132" s="38"/>
      <c r="Q132" s="38"/>
      <c r="R132" s="38"/>
      <c r="S132" s="38"/>
      <c r="T132" s="38"/>
      <c r="U132" s="38"/>
      <c r="V132" s="38"/>
      <c r="W132" s="38"/>
      <c r="X132" s="38"/>
      <c r="Y132" s="38"/>
      <c r="Z132" s="38"/>
    </row>
    <row r="133" spans="1:26" ht="15.75">
      <c r="A133" s="39"/>
      <c r="B133" s="88"/>
      <c r="C133" s="89"/>
      <c r="D133" s="89"/>
      <c r="E133" s="90"/>
      <c r="F133" s="38"/>
      <c r="G133" s="38"/>
      <c r="H133" s="38"/>
      <c r="I133" s="38"/>
      <c r="J133" s="38"/>
      <c r="K133" s="38"/>
      <c r="L133" s="38"/>
      <c r="M133" s="38"/>
      <c r="N133" s="38"/>
      <c r="O133" s="38"/>
      <c r="P133" s="38"/>
      <c r="Q133" s="38"/>
      <c r="R133" s="38"/>
      <c r="S133" s="38"/>
      <c r="T133" s="38"/>
      <c r="U133" s="38"/>
      <c r="V133" s="38"/>
      <c r="W133" s="38"/>
      <c r="X133" s="38"/>
      <c r="Y133" s="38"/>
      <c r="Z133" s="38"/>
    </row>
    <row r="134" spans="1:26" ht="15.75">
      <c r="A134" s="39"/>
      <c r="B134" s="88"/>
      <c r="C134" s="89"/>
      <c r="D134" s="89"/>
      <c r="E134" s="90"/>
      <c r="F134" s="38"/>
      <c r="G134" s="38"/>
      <c r="H134" s="38"/>
      <c r="I134" s="38"/>
      <c r="J134" s="38"/>
      <c r="K134" s="38"/>
      <c r="L134" s="38"/>
      <c r="M134" s="38"/>
      <c r="N134" s="38"/>
      <c r="O134" s="38"/>
      <c r="P134" s="38"/>
      <c r="Q134" s="38"/>
      <c r="R134" s="38"/>
      <c r="S134" s="38"/>
      <c r="T134" s="38"/>
      <c r="U134" s="38"/>
      <c r="V134" s="38"/>
      <c r="W134" s="38"/>
      <c r="X134" s="38"/>
      <c r="Y134" s="38"/>
      <c r="Z134" s="38"/>
    </row>
    <row r="135" spans="1:26" ht="15.75">
      <c r="A135" s="39"/>
      <c r="B135" s="88"/>
      <c r="C135" s="89"/>
      <c r="D135" s="89"/>
      <c r="E135" s="90"/>
      <c r="F135" s="38"/>
      <c r="G135" s="38"/>
      <c r="H135" s="38"/>
      <c r="I135" s="38"/>
      <c r="J135" s="38"/>
      <c r="K135" s="38"/>
      <c r="L135" s="38"/>
      <c r="M135" s="38"/>
      <c r="N135" s="38"/>
      <c r="O135" s="38"/>
      <c r="P135" s="38"/>
      <c r="Q135" s="38"/>
      <c r="R135" s="38"/>
      <c r="S135" s="38"/>
      <c r="T135" s="38"/>
      <c r="U135" s="38"/>
      <c r="V135" s="38"/>
      <c r="W135" s="38"/>
      <c r="X135" s="38"/>
      <c r="Y135" s="38"/>
      <c r="Z135" s="38"/>
    </row>
    <row r="136" spans="1:26" ht="15.75">
      <c r="A136" s="39"/>
      <c r="B136" s="88"/>
      <c r="C136" s="89"/>
      <c r="D136" s="89"/>
      <c r="E136" s="90" t="s">
        <v>12539</v>
      </c>
      <c r="F136" s="38"/>
      <c r="G136" s="38"/>
      <c r="H136" s="38"/>
      <c r="I136" s="38"/>
      <c r="J136" s="38"/>
      <c r="K136" s="38"/>
      <c r="L136" s="38"/>
      <c r="M136" s="38"/>
      <c r="N136" s="38"/>
      <c r="O136" s="38"/>
      <c r="P136" s="38"/>
      <c r="Q136" s="38"/>
      <c r="R136" s="38"/>
      <c r="S136" s="38"/>
      <c r="T136" s="38"/>
      <c r="U136" s="38"/>
      <c r="V136" s="38"/>
      <c r="W136" s="38"/>
      <c r="X136" s="38"/>
      <c r="Y136" s="38"/>
      <c r="Z136" s="38"/>
    </row>
    <row r="137" spans="1:26" ht="15.75">
      <c r="A137" s="39"/>
      <c r="B137" s="88"/>
      <c r="C137" s="89"/>
      <c r="D137" s="89"/>
      <c r="E137" s="90"/>
      <c r="F137" s="38"/>
      <c r="G137" s="38"/>
      <c r="H137" s="38"/>
      <c r="I137" s="38"/>
      <c r="J137" s="38"/>
      <c r="K137" s="38"/>
      <c r="L137" s="38"/>
      <c r="M137" s="38"/>
      <c r="N137" s="38"/>
      <c r="O137" s="38"/>
      <c r="P137" s="38"/>
      <c r="Q137" s="38"/>
      <c r="R137" s="38"/>
      <c r="S137" s="38"/>
      <c r="T137" s="38"/>
      <c r="U137" s="38"/>
      <c r="V137" s="38"/>
      <c r="W137" s="38"/>
      <c r="X137" s="38"/>
      <c r="Y137" s="38"/>
      <c r="Z137" s="38"/>
    </row>
    <row r="138" spans="1:26" ht="15.75">
      <c r="A138" s="39"/>
      <c r="B138" s="88"/>
      <c r="C138" s="89"/>
      <c r="D138" s="89"/>
      <c r="E138" s="90"/>
      <c r="F138" s="38"/>
      <c r="G138" s="38"/>
      <c r="H138" s="38"/>
      <c r="I138" s="38"/>
      <c r="J138" s="38"/>
      <c r="K138" s="38"/>
      <c r="L138" s="38"/>
      <c r="M138" s="38"/>
      <c r="N138" s="38"/>
      <c r="O138" s="38"/>
      <c r="P138" s="38"/>
      <c r="Q138" s="38"/>
      <c r="R138" s="38"/>
      <c r="S138" s="38"/>
      <c r="T138" s="38"/>
      <c r="U138" s="38"/>
      <c r="V138" s="38"/>
      <c r="W138" s="38"/>
      <c r="X138" s="38"/>
      <c r="Y138" s="38"/>
      <c r="Z138" s="38"/>
    </row>
    <row r="139" spans="1:26" ht="15.75">
      <c r="A139" s="39"/>
      <c r="B139" s="88"/>
      <c r="C139" s="89"/>
      <c r="D139" s="89"/>
      <c r="E139" s="90"/>
      <c r="F139" s="38"/>
      <c r="G139" s="38"/>
      <c r="H139" s="38"/>
      <c r="I139" s="38"/>
      <c r="J139" s="38"/>
      <c r="K139" s="38"/>
      <c r="L139" s="38"/>
      <c r="M139" s="38"/>
      <c r="N139" s="38"/>
      <c r="O139" s="38"/>
      <c r="P139" s="38"/>
      <c r="Q139" s="38"/>
      <c r="R139" s="38"/>
      <c r="S139" s="38"/>
      <c r="T139" s="38"/>
      <c r="U139" s="38"/>
      <c r="V139" s="38"/>
      <c r="W139" s="38"/>
      <c r="X139" s="38"/>
      <c r="Y139" s="38"/>
      <c r="Z139" s="38"/>
    </row>
    <row r="140" spans="1:26" ht="15.75">
      <c r="A140" s="39"/>
      <c r="B140" s="88"/>
      <c r="C140" s="89"/>
      <c r="D140" s="89"/>
      <c r="E140" s="90"/>
      <c r="F140" s="38"/>
      <c r="G140" s="38"/>
      <c r="H140" s="38"/>
      <c r="I140" s="38"/>
      <c r="J140" s="38"/>
      <c r="K140" s="38"/>
      <c r="L140" s="38"/>
      <c r="M140" s="38"/>
      <c r="N140" s="38"/>
      <c r="O140" s="38"/>
      <c r="P140" s="38"/>
      <c r="Q140" s="38"/>
      <c r="R140" s="38"/>
      <c r="S140" s="38"/>
      <c r="T140" s="38"/>
      <c r="U140" s="38"/>
      <c r="V140" s="38"/>
      <c r="W140" s="38"/>
      <c r="X140" s="38"/>
      <c r="Y140" s="38"/>
      <c r="Z140" s="38"/>
    </row>
    <row r="141" spans="1:26" ht="15.75">
      <c r="A141" s="39"/>
      <c r="B141" s="88"/>
      <c r="C141" s="89"/>
      <c r="D141" s="89"/>
      <c r="E141" s="90"/>
      <c r="F141" s="38"/>
      <c r="G141" s="38"/>
      <c r="H141" s="38"/>
      <c r="I141" s="38"/>
      <c r="J141" s="38"/>
      <c r="K141" s="38"/>
      <c r="L141" s="38"/>
      <c r="M141" s="38"/>
      <c r="N141" s="38"/>
      <c r="O141" s="38"/>
      <c r="P141" s="38"/>
      <c r="Q141" s="38"/>
      <c r="R141" s="38"/>
      <c r="S141" s="38"/>
      <c r="T141" s="38"/>
      <c r="U141" s="38"/>
      <c r="V141" s="38"/>
      <c r="W141" s="38"/>
      <c r="X141" s="38"/>
      <c r="Y141" s="38"/>
      <c r="Z141" s="38"/>
    </row>
    <row r="142" spans="1:26" ht="15.75">
      <c r="A142" s="39"/>
      <c r="B142" s="88"/>
      <c r="C142" s="89"/>
      <c r="D142" s="89"/>
      <c r="E142" s="90"/>
      <c r="F142" s="38"/>
      <c r="G142" s="38"/>
      <c r="H142" s="38"/>
      <c r="I142" s="38"/>
      <c r="J142" s="38"/>
      <c r="K142" s="38"/>
      <c r="L142" s="38"/>
      <c r="M142" s="38"/>
      <c r="N142" s="38"/>
      <c r="O142" s="38"/>
      <c r="P142" s="38"/>
      <c r="Q142" s="38"/>
      <c r="R142" s="38"/>
      <c r="S142" s="38"/>
      <c r="T142" s="38"/>
      <c r="U142" s="38"/>
      <c r="V142" s="38"/>
      <c r="W142" s="38"/>
      <c r="X142" s="38"/>
      <c r="Y142" s="38"/>
      <c r="Z142" s="38"/>
    </row>
    <row r="143" spans="1:26" ht="15.75">
      <c r="A143" s="39"/>
      <c r="B143" s="88"/>
      <c r="C143" s="89"/>
      <c r="D143" s="89"/>
      <c r="E143" s="90"/>
      <c r="F143" s="38"/>
      <c r="G143" s="38"/>
      <c r="H143" s="38"/>
      <c r="I143" s="38"/>
      <c r="J143" s="38"/>
      <c r="K143" s="38"/>
      <c r="L143" s="38"/>
      <c r="M143" s="38"/>
      <c r="N143" s="38"/>
      <c r="O143" s="38"/>
      <c r="P143" s="38"/>
      <c r="Q143" s="38"/>
      <c r="R143" s="38"/>
      <c r="S143" s="38"/>
      <c r="T143" s="38"/>
      <c r="U143" s="38"/>
      <c r="V143" s="38"/>
      <c r="W143" s="38"/>
      <c r="X143" s="38"/>
      <c r="Y143" s="38"/>
      <c r="Z143" s="38"/>
    </row>
    <row r="144" spans="1:26" ht="15.75">
      <c r="A144" s="39"/>
      <c r="B144" s="88"/>
      <c r="C144" s="89"/>
      <c r="D144" s="89"/>
      <c r="E144" s="90"/>
      <c r="F144" s="38"/>
      <c r="G144" s="38"/>
      <c r="H144" s="38"/>
      <c r="I144" s="38"/>
      <c r="J144" s="38"/>
      <c r="K144" s="38"/>
      <c r="L144" s="38"/>
      <c r="M144" s="38"/>
      <c r="N144" s="38"/>
      <c r="O144" s="38"/>
      <c r="P144" s="38"/>
      <c r="Q144" s="38"/>
      <c r="R144" s="38"/>
      <c r="S144" s="38"/>
      <c r="T144" s="38"/>
      <c r="U144" s="38"/>
      <c r="V144" s="38"/>
      <c r="W144" s="38"/>
      <c r="X144" s="38"/>
      <c r="Y144" s="38"/>
      <c r="Z144" s="38"/>
    </row>
    <row r="145" spans="1:26" ht="15.75">
      <c r="A145" s="39"/>
      <c r="B145" s="88"/>
      <c r="C145" s="89"/>
      <c r="D145" s="89"/>
      <c r="E145" s="90"/>
      <c r="F145" s="38"/>
      <c r="G145" s="38"/>
      <c r="H145" s="38"/>
      <c r="I145" s="38"/>
      <c r="J145" s="38"/>
      <c r="K145" s="38"/>
      <c r="L145" s="38"/>
      <c r="M145" s="38"/>
      <c r="N145" s="38"/>
      <c r="O145" s="38"/>
      <c r="P145" s="38"/>
      <c r="Q145" s="38"/>
      <c r="R145" s="38"/>
      <c r="S145" s="38"/>
      <c r="T145" s="38"/>
      <c r="U145" s="38"/>
      <c r="V145" s="38"/>
      <c r="W145" s="38"/>
      <c r="X145" s="38"/>
      <c r="Y145" s="38"/>
      <c r="Z145" s="38"/>
    </row>
    <row r="146" spans="1:26" ht="15.75">
      <c r="A146" s="39"/>
      <c r="B146" s="88"/>
      <c r="C146" s="89"/>
      <c r="D146" s="89"/>
      <c r="E146" s="90"/>
      <c r="F146" s="38"/>
      <c r="G146" s="38"/>
      <c r="H146" s="38"/>
      <c r="I146" s="38"/>
      <c r="J146" s="38"/>
      <c r="K146" s="38"/>
      <c r="L146" s="38"/>
      <c r="M146" s="38"/>
      <c r="N146" s="38"/>
      <c r="O146" s="38"/>
      <c r="P146" s="38"/>
      <c r="Q146" s="38"/>
      <c r="R146" s="38"/>
      <c r="S146" s="38"/>
      <c r="T146" s="38"/>
      <c r="U146" s="38"/>
      <c r="V146" s="38"/>
      <c r="W146" s="38"/>
      <c r="X146" s="38"/>
      <c r="Y146" s="38"/>
      <c r="Z146" s="38"/>
    </row>
    <row r="147" spans="1:26" ht="15.75">
      <c r="A147" s="39"/>
      <c r="B147" s="88"/>
      <c r="C147" s="89"/>
      <c r="D147" s="89"/>
      <c r="E147" s="90"/>
      <c r="F147" s="38"/>
      <c r="G147" s="38"/>
      <c r="H147" s="38"/>
      <c r="I147" s="38"/>
      <c r="J147" s="38"/>
      <c r="K147" s="38"/>
      <c r="L147" s="38"/>
      <c r="M147" s="38"/>
      <c r="N147" s="38"/>
      <c r="O147" s="38"/>
      <c r="P147" s="38"/>
      <c r="Q147" s="38"/>
      <c r="R147" s="38"/>
      <c r="S147" s="38"/>
      <c r="T147" s="38"/>
      <c r="U147" s="38"/>
      <c r="V147" s="38"/>
      <c r="W147" s="38"/>
      <c r="X147" s="38"/>
      <c r="Y147" s="38"/>
      <c r="Z147" s="38"/>
    </row>
    <row r="148" spans="1:26" ht="15.75">
      <c r="A148" s="39"/>
      <c r="B148" s="88"/>
      <c r="C148" s="89"/>
      <c r="D148" s="89"/>
      <c r="E148" s="90"/>
      <c r="F148" s="38"/>
      <c r="G148" s="38"/>
      <c r="H148" s="38"/>
      <c r="I148" s="38"/>
      <c r="J148" s="38"/>
      <c r="K148" s="38"/>
      <c r="L148" s="38"/>
      <c r="M148" s="38"/>
      <c r="N148" s="38"/>
      <c r="O148" s="38"/>
      <c r="P148" s="38"/>
      <c r="Q148" s="38"/>
      <c r="R148" s="38"/>
      <c r="S148" s="38"/>
      <c r="T148" s="38"/>
      <c r="U148" s="38"/>
      <c r="V148" s="38"/>
      <c r="W148" s="38"/>
      <c r="X148" s="38"/>
      <c r="Y148" s="38"/>
      <c r="Z148" s="38"/>
    </row>
    <row r="149" spans="1:26" ht="15.75">
      <c r="A149" s="39"/>
      <c r="B149" s="88"/>
      <c r="C149" s="89"/>
      <c r="D149" s="89"/>
      <c r="E149" s="90"/>
      <c r="F149" s="38"/>
      <c r="G149" s="38"/>
      <c r="H149" s="38"/>
      <c r="I149" s="38"/>
      <c r="J149" s="38"/>
      <c r="K149" s="38"/>
      <c r="L149" s="38"/>
      <c r="M149" s="38"/>
      <c r="N149" s="38"/>
      <c r="O149" s="38"/>
      <c r="P149" s="38"/>
      <c r="Q149" s="38"/>
      <c r="R149" s="38"/>
      <c r="S149" s="38"/>
      <c r="T149" s="38"/>
      <c r="U149" s="38"/>
      <c r="V149" s="38"/>
      <c r="W149" s="38"/>
      <c r="X149" s="38"/>
      <c r="Y149" s="38"/>
      <c r="Z149" s="38"/>
    </row>
    <row r="150" spans="1:26" ht="15.75">
      <c r="A150" s="39"/>
      <c r="B150" s="88"/>
      <c r="C150" s="89"/>
      <c r="D150" s="89"/>
      <c r="E150" s="90"/>
      <c r="F150" s="38"/>
      <c r="G150" s="38"/>
      <c r="H150" s="38"/>
      <c r="I150" s="38"/>
      <c r="J150" s="38"/>
      <c r="K150" s="38"/>
      <c r="L150" s="38"/>
      <c r="M150" s="38"/>
      <c r="N150" s="38"/>
      <c r="O150" s="38"/>
      <c r="P150" s="38"/>
      <c r="Q150" s="38"/>
      <c r="R150" s="38"/>
      <c r="S150" s="38"/>
      <c r="T150" s="38"/>
      <c r="U150" s="38"/>
      <c r="V150" s="38"/>
      <c r="W150" s="38"/>
      <c r="X150" s="38"/>
      <c r="Y150" s="38"/>
      <c r="Z150" s="38"/>
    </row>
    <row r="151" spans="1:26" ht="15.75">
      <c r="A151" s="39"/>
      <c r="B151" s="88"/>
      <c r="C151" s="89"/>
      <c r="D151" s="89"/>
      <c r="E151" s="90"/>
      <c r="F151" s="38"/>
      <c r="G151" s="38"/>
      <c r="H151" s="38"/>
      <c r="I151" s="38"/>
      <c r="J151" s="38"/>
      <c r="K151" s="38"/>
      <c r="L151" s="38"/>
      <c r="M151" s="38"/>
      <c r="N151" s="38"/>
      <c r="O151" s="38"/>
      <c r="P151" s="38"/>
      <c r="Q151" s="38"/>
      <c r="R151" s="38"/>
      <c r="S151" s="38"/>
      <c r="T151" s="38"/>
      <c r="U151" s="38"/>
      <c r="V151" s="38"/>
      <c r="W151" s="38"/>
      <c r="X151" s="38"/>
      <c r="Y151" s="38"/>
      <c r="Z151" s="38"/>
    </row>
    <row r="152" spans="1:26" ht="15.75">
      <c r="A152" s="39"/>
      <c r="B152" s="88"/>
      <c r="C152" s="89"/>
      <c r="D152" s="89"/>
      <c r="E152" s="90"/>
      <c r="F152" s="38"/>
      <c r="G152" s="38"/>
      <c r="H152" s="38"/>
      <c r="I152" s="38"/>
      <c r="J152" s="38"/>
      <c r="K152" s="38"/>
      <c r="L152" s="38"/>
      <c r="M152" s="38"/>
      <c r="N152" s="38"/>
      <c r="O152" s="38"/>
      <c r="P152" s="38"/>
      <c r="Q152" s="38"/>
      <c r="R152" s="38"/>
      <c r="S152" s="38"/>
      <c r="T152" s="38"/>
      <c r="U152" s="38"/>
      <c r="V152" s="38"/>
      <c r="W152" s="38"/>
      <c r="X152" s="38"/>
      <c r="Y152" s="38"/>
      <c r="Z152" s="38"/>
    </row>
    <row r="153" spans="1:26" ht="15.75">
      <c r="A153" s="39"/>
      <c r="B153" s="88"/>
      <c r="C153" s="89"/>
      <c r="D153" s="89"/>
      <c r="E153" s="90"/>
      <c r="F153" s="38"/>
      <c r="G153" s="38"/>
      <c r="H153" s="38"/>
      <c r="I153" s="38"/>
      <c r="J153" s="38"/>
      <c r="K153" s="38"/>
      <c r="L153" s="38"/>
      <c r="M153" s="38"/>
      <c r="N153" s="38"/>
      <c r="O153" s="38"/>
      <c r="P153" s="38"/>
      <c r="Q153" s="38"/>
      <c r="R153" s="38"/>
      <c r="S153" s="38"/>
      <c r="T153" s="38"/>
      <c r="U153" s="38"/>
      <c r="V153" s="38"/>
      <c r="W153" s="38"/>
      <c r="X153" s="38"/>
      <c r="Y153" s="38"/>
      <c r="Z153" s="38"/>
    </row>
    <row r="154" spans="1:26" ht="15.75">
      <c r="A154" s="39"/>
      <c r="B154" s="88"/>
      <c r="C154" s="89"/>
      <c r="D154" s="89"/>
      <c r="E154" s="90"/>
      <c r="F154" s="38"/>
      <c r="G154" s="38"/>
      <c r="H154" s="38"/>
      <c r="I154" s="38"/>
      <c r="J154" s="38"/>
      <c r="K154" s="38"/>
      <c r="L154" s="38"/>
      <c r="M154" s="38"/>
      <c r="N154" s="38"/>
      <c r="O154" s="38"/>
      <c r="P154" s="38"/>
      <c r="Q154" s="38"/>
      <c r="R154" s="38"/>
      <c r="S154" s="38"/>
      <c r="T154" s="38"/>
      <c r="U154" s="38"/>
      <c r="V154" s="38"/>
      <c r="W154" s="38"/>
      <c r="X154" s="38"/>
      <c r="Y154" s="38"/>
      <c r="Z154" s="38"/>
    </row>
    <row r="155" spans="1:26" ht="15.75">
      <c r="A155" s="39"/>
      <c r="B155" s="88"/>
      <c r="C155" s="89"/>
      <c r="D155" s="89"/>
      <c r="E155" s="90"/>
      <c r="F155" s="38"/>
      <c r="G155" s="38"/>
      <c r="H155" s="38"/>
      <c r="I155" s="38"/>
      <c r="J155" s="38"/>
      <c r="K155" s="38"/>
      <c r="L155" s="38"/>
      <c r="M155" s="38"/>
      <c r="N155" s="38"/>
      <c r="O155" s="38"/>
      <c r="P155" s="38"/>
      <c r="Q155" s="38"/>
      <c r="R155" s="38"/>
      <c r="S155" s="38"/>
      <c r="T155" s="38"/>
      <c r="U155" s="38"/>
      <c r="V155" s="38"/>
      <c r="W155" s="38"/>
      <c r="X155" s="38"/>
      <c r="Y155" s="38"/>
      <c r="Z155" s="38"/>
    </row>
    <row r="156" spans="1:26" ht="15.75">
      <c r="A156" s="39"/>
      <c r="B156" s="88"/>
      <c r="C156" s="89"/>
      <c r="D156" s="89"/>
      <c r="E156" s="90"/>
      <c r="F156" s="38"/>
      <c r="G156" s="38"/>
      <c r="H156" s="38"/>
      <c r="I156" s="38"/>
      <c r="J156" s="38"/>
      <c r="K156" s="38"/>
      <c r="L156" s="38"/>
      <c r="M156" s="38"/>
      <c r="N156" s="38"/>
      <c r="O156" s="38"/>
      <c r="P156" s="38"/>
      <c r="Q156" s="38"/>
      <c r="R156" s="38"/>
      <c r="S156" s="38"/>
      <c r="T156" s="38"/>
      <c r="U156" s="38"/>
      <c r="V156" s="38"/>
      <c r="W156" s="38"/>
      <c r="X156" s="38"/>
      <c r="Y156" s="38"/>
      <c r="Z156" s="38"/>
    </row>
    <row r="157" spans="1:26" ht="15.75">
      <c r="A157" s="39"/>
      <c r="B157" s="88"/>
      <c r="C157" s="89"/>
      <c r="D157" s="89"/>
      <c r="E157" s="90"/>
      <c r="F157" s="38"/>
      <c r="G157" s="38"/>
      <c r="H157" s="38"/>
      <c r="I157" s="38"/>
      <c r="J157" s="38"/>
      <c r="K157" s="38"/>
      <c r="L157" s="38"/>
      <c r="M157" s="38"/>
      <c r="N157" s="38"/>
      <c r="O157" s="38"/>
      <c r="P157" s="38"/>
      <c r="Q157" s="38"/>
      <c r="R157" s="38"/>
      <c r="S157" s="38"/>
      <c r="T157" s="38"/>
      <c r="U157" s="38"/>
      <c r="V157" s="38"/>
      <c r="W157" s="38"/>
      <c r="X157" s="38"/>
      <c r="Y157" s="38"/>
      <c r="Z157" s="38"/>
    </row>
    <row r="158" spans="1:26" ht="15.75">
      <c r="A158" s="39"/>
      <c r="B158" s="88"/>
      <c r="C158" s="89"/>
      <c r="D158" s="89"/>
      <c r="E158" s="90"/>
      <c r="F158" s="38"/>
      <c r="G158" s="38"/>
      <c r="H158" s="38"/>
      <c r="I158" s="38"/>
      <c r="J158" s="38"/>
      <c r="K158" s="38"/>
      <c r="L158" s="38"/>
      <c r="M158" s="38"/>
      <c r="N158" s="38"/>
      <c r="O158" s="38"/>
      <c r="P158" s="38"/>
      <c r="Q158" s="38"/>
      <c r="R158" s="38"/>
      <c r="S158" s="38"/>
      <c r="T158" s="38"/>
      <c r="U158" s="38"/>
      <c r="V158" s="38"/>
      <c r="W158" s="38"/>
      <c r="X158" s="38"/>
      <c r="Y158" s="38"/>
      <c r="Z158" s="38"/>
    </row>
    <row r="159" spans="1:26" ht="15.75">
      <c r="A159" s="39"/>
      <c r="B159" s="88"/>
      <c r="C159" s="89"/>
      <c r="D159" s="89"/>
      <c r="E159" s="90"/>
      <c r="F159" s="38"/>
      <c r="G159" s="38"/>
      <c r="H159" s="38"/>
      <c r="I159" s="38"/>
      <c r="J159" s="38"/>
      <c r="K159" s="38"/>
      <c r="L159" s="38"/>
      <c r="M159" s="38"/>
      <c r="N159" s="38"/>
      <c r="O159" s="38"/>
      <c r="P159" s="38"/>
      <c r="Q159" s="38"/>
      <c r="R159" s="38"/>
      <c r="S159" s="38"/>
      <c r="T159" s="38"/>
      <c r="U159" s="38"/>
      <c r="V159" s="38"/>
      <c r="W159" s="38"/>
      <c r="X159" s="38"/>
      <c r="Y159" s="38"/>
      <c r="Z159" s="38"/>
    </row>
    <row r="160" spans="1:26" ht="15.75">
      <c r="A160" s="39"/>
      <c r="B160" s="88"/>
      <c r="C160" s="89"/>
      <c r="D160" s="89"/>
      <c r="E160" s="90"/>
      <c r="F160" s="38"/>
      <c r="G160" s="38"/>
      <c r="H160" s="38"/>
      <c r="I160" s="38"/>
      <c r="J160" s="38"/>
      <c r="K160" s="38"/>
      <c r="L160" s="38"/>
      <c r="M160" s="38"/>
      <c r="N160" s="38"/>
      <c r="O160" s="38"/>
      <c r="P160" s="38"/>
      <c r="Q160" s="38"/>
      <c r="R160" s="38"/>
      <c r="S160" s="38"/>
      <c r="T160" s="38"/>
      <c r="U160" s="38"/>
      <c r="V160" s="38"/>
      <c r="W160" s="38"/>
      <c r="X160" s="38"/>
      <c r="Y160" s="38"/>
      <c r="Z160" s="38"/>
    </row>
    <row r="161" spans="1:26" ht="15.75" customHeight="1">
      <c r="A161" s="39"/>
      <c r="B161" s="88"/>
      <c r="C161" s="89"/>
      <c r="D161" s="89"/>
      <c r="E161" s="90"/>
      <c r="F161" s="38"/>
      <c r="G161" s="38"/>
      <c r="H161" s="38"/>
      <c r="I161" s="38"/>
      <c r="J161" s="38"/>
      <c r="K161" s="38"/>
      <c r="L161" s="38"/>
      <c r="M161" s="38"/>
      <c r="N161" s="38"/>
      <c r="O161" s="38"/>
      <c r="P161" s="38"/>
      <c r="Q161" s="38"/>
      <c r="R161" s="38"/>
      <c r="S161" s="38"/>
      <c r="T161" s="38"/>
      <c r="U161" s="38"/>
      <c r="V161" s="38"/>
      <c r="W161" s="38"/>
      <c r="X161" s="38"/>
      <c r="Y161" s="38"/>
      <c r="Z161" s="38"/>
    </row>
    <row r="162" spans="1:26" ht="15.75">
      <c r="A162" s="39"/>
      <c r="B162" s="88"/>
      <c r="C162" s="89"/>
      <c r="D162" s="89"/>
      <c r="E162" s="90"/>
      <c r="F162" s="38"/>
      <c r="G162" s="38"/>
      <c r="H162" s="38"/>
      <c r="I162" s="38"/>
      <c r="J162" s="38"/>
      <c r="K162" s="38"/>
      <c r="L162" s="38"/>
      <c r="M162" s="38"/>
      <c r="N162" s="38"/>
      <c r="O162" s="38"/>
      <c r="P162" s="38"/>
      <c r="Q162" s="38"/>
      <c r="R162" s="38"/>
      <c r="S162" s="38"/>
      <c r="T162" s="38"/>
      <c r="U162" s="38"/>
      <c r="V162" s="38"/>
      <c r="W162" s="38"/>
      <c r="X162" s="38"/>
      <c r="Y162" s="38"/>
      <c r="Z162" s="38"/>
    </row>
    <row r="163" spans="1:26" ht="15.75">
      <c r="A163" s="39"/>
      <c r="B163" s="88"/>
      <c r="C163" s="89"/>
      <c r="D163" s="89"/>
      <c r="E163" s="90"/>
      <c r="F163" s="38"/>
      <c r="G163" s="38"/>
      <c r="H163" s="38"/>
      <c r="I163" s="38"/>
      <c r="J163" s="38"/>
      <c r="K163" s="38"/>
      <c r="L163" s="38"/>
      <c r="M163" s="38"/>
      <c r="N163" s="38"/>
      <c r="O163" s="38"/>
      <c r="P163" s="38"/>
      <c r="Q163" s="38"/>
      <c r="R163" s="38"/>
      <c r="S163" s="38"/>
      <c r="T163" s="38"/>
      <c r="U163" s="38"/>
      <c r="V163" s="38"/>
      <c r="W163" s="38"/>
      <c r="X163" s="38"/>
      <c r="Y163" s="38"/>
      <c r="Z163" s="38"/>
    </row>
    <row r="164" spans="1:26" ht="15.75">
      <c r="A164" s="39"/>
      <c r="B164" s="88"/>
      <c r="C164" s="89"/>
      <c r="D164" s="89"/>
      <c r="E164" s="90"/>
      <c r="F164" s="38"/>
      <c r="G164" s="38"/>
      <c r="H164" s="38"/>
      <c r="I164" s="38"/>
      <c r="J164" s="38"/>
      <c r="K164" s="38"/>
      <c r="L164" s="38"/>
      <c r="M164" s="38"/>
      <c r="N164" s="38"/>
      <c r="O164" s="38"/>
      <c r="P164" s="38"/>
      <c r="Q164" s="38"/>
      <c r="R164" s="38"/>
      <c r="S164" s="38"/>
      <c r="T164" s="38"/>
      <c r="U164" s="38"/>
      <c r="V164" s="38"/>
      <c r="W164" s="38"/>
      <c r="X164" s="38"/>
      <c r="Y164" s="38"/>
      <c r="Z164" s="38"/>
    </row>
    <row r="165" spans="1:26" ht="15.75">
      <c r="A165" s="39"/>
      <c r="B165" s="88"/>
      <c r="C165" s="89"/>
      <c r="D165" s="89"/>
      <c r="E165" s="90"/>
      <c r="F165" s="38"/>
      <c r="G165" s="38"/>
      <c r="H165" s="38"/>
      <c r="I165" s="38"/>
      <c r="J165" s="38"/>
      <c r="K165" s="38"/>
      <c r="L165" s="38"/>
      <c r="M165" s="38"/>
      <c r="N165" s="38"/>
      <c r="O165" s="38"/>
      <c r="P165" s="38"/>
      <c r="Q165" s="38"/>
      <c r="R165" s="38"/>
      <c r="S165" s="38"/>
      <c r="T165" s="38"/>
      <c r="U165" s="38"/>
      <c r="V165" s="38"/>
      <c r="W165" s="38"/>
      <c r="X165" s="38"/>
      <c r="Y165" s="38"/>
      <c r="Z165" s="38"/>
    </row>
    <row r="166" spans="1:26" ht="15.75">
      <c r="A166" s="39"/>
      <c r="B166" s="88"/>
      <c r="C166" s="89"/>
      <c r="D166" s="89"/>
      <c r="E166" s="90"/>
      <c r="F166" s="38"/>
      <c r="G166" s="38"/>
      <c r="H166" s="38"/>
      <c r="I166" s="38"/>
      <c r="J166" s="38"/>
      <c r="K166" s="38"/>
      <c r="L166" s="38"/>
      <c r="M166" s="38"/>
      <c r="N166" s="38"/>
      <c r="O166" s="38"/>
      <c r="P166" s="38"/>
      <c r="Q166" s="38"/>
      <c r="R166" s="38"/>
      <c r="S166" s="38"/>
      <c r="T166" s="38"/>
      <c r="U166" s="38"/>
      <c r="V166" s="38"/>
      <c r="W166" s="38"/>
      <c r="X166" s="38"/>
      <c r="Y166" s="38"/>
      <c r="Z166" s="38"/>
    </row>
    <row r="167" spans="1:26" ht="15.75">
      <c r="A167" s="39"/>
      <c r="B167" s="88"/>
      <c r="C167" s="89"/>
      <c r="D167" s="89"/>
      <c r="E167" s="90"/>
      <c r="F167" s="38"/>
      <c r="G167" s="38"/>
      <c r="H167" s="38"/>
      <c r="I167" s="38"/>
      <c r="J167" s="38"/>
      <c r="K167" s="38"/>
      <c r="L167" s="38"/>
      <c r="M167" s="38"/>
      <c r="N167" s="38"/>
      <c r="O167" s="38"/>
      <c r="P167" s="38"/>
      <c r="Q167" s="38"/>
      <c r="R167" s="38"/>
      <c r="S167" s="38"/>
      <c r="T167" s="38"/>
      <c r="U167" s="38"/>
      <c r="V167" s="38"/>
      <c r="W167" s="38"/>
      <c r="X167" s="38"/>
      <c r="Y167" s="38"/>
      <c r="Z167" s="38"/>
    </row>
    <row r="168" spans="1:26" ht="26.25" customHeight="1">
      <c r="A168" s="77" t="s">
        <v>12529</v>
      </c>
      <c r="B168" s="78" t="s">
        <v>12530</v>
      </c>
      <c r="C168" s="2606" t="s">
        <v>12531</v>
      </c>
      <c r="D168" s="2607"/>
      <c r="E168" s="79" t="s">
        <v>12532</v>
      </c>
      <c r="F168" s="38"/>
      <c r="G168" s="38"/>
      <c r="H168" s="38"/>
      <c r="I168" s="38"/>
      <c r="J168" s="38"/>
      <c r="K168" s="38"/>
      <c r="L168" s="38"/>
      <c r="M168" s="38"/>
      <c r="N168" s="38"/>
      <c r="O168" s="38"/>
      <c r="P168" s="38"/>
      <c r="Q168" s="38"/>
      <c r="R168" s="38"/>
      <c r="S168" s="38"/>
      <c r="T168" s="38"/>
      <c r="U168" s="38"/>
      <c r="V168" s="38"/>
      <c r="W168" s="38"/>
      <c r="X168" s="38"/>
      <c r="Y168" s="38"/>
      <c r="Z168" s="38"/>
    </row>
    <row r="169" spans="1:26" ht="26.25" customHeight="1">
      <c r="A169" s="80" t="s">
        <v>12533</v>
      </c>
      <c r="B169" s="34" t="s">
        <v>12533</v>
      </c>
      <c r="C169" s="2608" t="s">
        <v>12533</v>
      </c>
      <c r="D169" s="2588"/>
      <c r="E169" s="81" t="s">
        <v>12533</v>
      </c>
      <c r="F169" s="38"/>
      <c r="G169" s="38"/>
      <c r="H169" s="38"/>
      <c r="I169" s="38"/>
      <c r="J169" s="38"/>
      <c r="K169" s="38"/>
      <c r="L169" s="38"/>
      <c r="M169" s="38"/>
      <c r="N169" s="38"/>
      <c r="O169" s="38"/>
      <c r="P169" s="38"/>
      <c r="Q169" s="38"/>
      <c r="R169" s="38"/>
      <c r="S169" s="38"/>
      <c r="T169" s="38"/>
      <c r="U169" s="38"/>
      <c r="V169" s="38"/>
      <c r="W169" s="38"/>
      <c r="X169" s="38"/>
      <c r="Y169" s="38"/>
      <c r="Z169" s="38"/>
    </row>
    <row r="170" spans="1:26" ht="26.25" customHeight="1">
      <c r="A170" s="82" t="s">
        <v>12534</v>
      </c>
      <c r="B170" s="83" t="s">
        <v>12535</v>
      </c>
      <c r="C170" s="2609" t="s">
        <v>12536</v>
      </c>
      <c r="D170" s="2610"/>
      <c r="E170" s="84" t="s">
        <v>12537</v>
      </c>
      <c r="F170" s="38"/>
      <c r="G170" s="38"/>
      <c r="H170" s="38"/>
      <c r="I170" s="38"/>
      <c r="J170" s="38"/>
      <c r="K170" s="38"/>
      <c r="L170" s="38"/>
      <c r="M170" s="38"/>
      <c r="N170" s="38"/>
      <c r="O170" s="38"/>
      <c r="P170" s="38"/>
      <c r="Q170" s="38"/>
      <c r="R170" s="38"/>
      <c r="S170" s="38"/>
      <c r="T170" s="38"/>
      <c r="U170" s="38"/>
      <c r="V170" s="38"/>
      <c r="W170" s="38"/>
      <c r="X170" s="38"/>
      <c r="Y170" s="38"/>
      <c r="Z170" s="38"/>
    </row>
    <row r="171" spans="1:26" ht="112.5" customHeight="1">
      <c r="A171" s="2611" t="s">
        <v>12540</v>
      </c>
      <c r="B171" s="2612"/>
      <c r="C171" s="2612"/>
      <c r="D171" s="2612"/>
      <c r="E171" s="2613"/>
      <c r="F171" s="38"/>
      <c r="G171" s="38"/>
      <c r="H171" s="38"/>
      <c r="I171" s="38"/>
      <c r="J171" s="38"/>
      <c r="K171" s="38"/>
      <c r="L171" s="38"/>
      <c r="M171" s="38"/>
      <c r="N171" s="38"/>
      <c r="O171" s="38"/>
      <c r="P171" s="38"/>
      <c r="Q171" s="38"/>
      <c r="R171" s="38"/>
      <c r="S171" s="38"/>
      <c r="T171" s="38"/>
      <c r="U171" s="38"/>
      <c r="V171" s="38"/>
      <c r="W171" s="38"/>
      <c r="X171" s="38"/>
      <c r="Y171" s="38"/>
      <c r="Z171" s="38"/>
    </row>
    <row r="172" spans="1:26" ht="15.75" customHeight="1">
      <c r="A172" s="91" t="str">
        <f t="shared" ref="A172:B175" si="1">A2</f>
        <v>OBRA:</v>
      </c>
      <c r="B172" s="2614" t="str">
        <f t="shared" si="1"/>
        <v>COMPLEXO SUNSET DO PARQUE NOVO MATO GROSSO</v>
      </c>
      <c r="C172" s="2615"/>
      <c r="D172" s="2615"/>
      <c r="E172" s="261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c r="A173" s="92" t="str">
        <f t="shared" si="1"/>
        <v xml:space="preserve">ENDEREÇO: </v>
      </c>
      <c r="B173" s="2617" t="str">
        <f t="shared" si="1"/>
        <v>MT 251, KM 11, S/N, ÁREA RURAL - PARQUE NOVO MATO GROSSO, CEP 78099-899</v>
      </c>
      <c r="C173" s="2590"/>
      <c r="D173" s="2590"/>
      <c r="E173" s="2618"/>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c r="A174" s="92" t="str">
        <f t="shared" si="1"/>
        <v>MUNICÍPIO:</v>
      </c>
      <c r="B174" s="2617" t="str">
        <f t="shared" si="1"/>
        <v>CUIABÁ - MT</v>
      </c>
      <c r="C174" s="2590"/>
      <c r="D174" s="2590"/>
      <c r="E174" s="2618"/>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c r="A175" s="92" t="str">
        <f t="shared" si="1"/>
        <v>OBJETO:</v>
      </c>
      <c r="B175" s="2617" t="str">
        <f t="shared" si="1"/>
        <v>CONTRATAÇÃO DE EMPRESA ESPECIALIZADA PARA EXECUÇÃO DAS OBRAS DO "COMPLEXO SUNSET (WAKE BAR, PRAÇA SUNSET, QUIOSQUE, BANHEIROS DE APOIO E INFRA DE CONTÊINER) DO PARQUE NOVO MATO GROSSO"</v>
      </c>
      <c r="C175" s="2590"/>
      <c r="D175" s="2590"/>
      <c r="E175" s="2618"/>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c r="A176" s="2619"/>
      <c r="B176" s="2590"/>
      <c r="C176" s="2590"/>
      <c r="D176" s="2590"/>
      <c r="E176" s="2618"/>
      <c r="F176" s="38"/>
      <c r="G176" s="38"/>
      <c r="H176" s="38"/>
      <c r="I176" s="38"/>
      <c r="J176" s="38"/>
      <c r="K176" s="38"/>
      <c r="L176" s="38"/>
      <c r="M176" s="38"/>
      <c r="N176" s="38"/>
      <c r="O176" s="38"/>
      <c r="P176" s="38"/>
      <c r="Q176" s="38"/>
      <c r="R176" s="38"/>
      <c r="S176" s="38"/>
      <c r="T176" s="38"/>
      <c r="U176" s="38"/>
      <c r="V176" s="38"/>
      <c r="W176" s="38"/>
      <c r="X176" s="38"/>
      <c r="Y176" s="38"/>
      <c r="Z176" s="38"/>
    </row>
    <row r="177" spans="1:26" ht="15.75" customHeight="1">
      <c r="A177" s="39"/>
      <c r="B177" s="88"/>
      <c r="C177" s="89"/>
      <c r="D177" s="89"/>
      <c r="E177" s="90"/>
      <c r="F177" s="38"/>
      <c r="G177" s="38"/>
      <c r="H177" s="38"/>
      <c r="I177" s="38"/>
      <c r="J177" s="38"/>
      <c r="K177" s="38"/>
      <c r="L177" s="38"/>
      <c r="M177" s="38"/>
      <c r="N177" s="38"/>
      <c r="O177" s="38"/>
      <c r="P177" s="38"/>
      <c r="Q177" s="38"/>
      <c r="R177" s="38"/>
      <c r="S177" s="38"/>
      <c r="T177" s="38"/>
      <c r="U177" s="38"/>
      <c r="V177" s="38"/>
      <c r="W177" s="38"/>
      <c r="X177" s="38"/>
      <c r="Y177" s="38"/>
      <c r="Z177" s="38"/>
    </row>
    <row r="178" spans="1:26" ht="12.75">
      <c r="A178" s="2620" t="s">
        <v>12541</v>
      </c>
      <c r="B178" s="2588"/>
      <c r="C178" s="2588"/>
      <c r="D178" s="2588"/>
      <c r="E178" s="2621"/>
      <c r="F178" s="38"/>
      <c r="G178" s="38"/>
      <c r="H178" s="38"/>
      <c r="I178" s="38"/>
      <c r="J178" s="38"/>
      <c r="K178" s="38"/>
      <c r="L178" s="38"/>
      <c r="M178" s="38"/>
      <c r="N178" s="38"/>
      <c r="O178" s="38"/>
      <c r="P178" s="38"/>
      <c r="Q178" s="38"/>
      <c r="R178" s="38"/>
      <c r="S178" s="38"/>
      <c r="T178" s="38"/>
      <c r="U178" s="38"/>
      <c r="V178" s="38"/>
      <c r="W178" s="38"/>
      <c r="X178" s="38"/>
      <c r="Y178" s="38"/>
      <c r="Z178" s="38"/>
    </row>
    <row r="179" spans="1:26" ht="123" customHeight="1">
      <c r="A179" s="93"/>
      <c r="B179" s="94"/>
      <c r="C179" s="2622" t="s">
        <v>12542</v>
      </c>
      <c r="D179" s="2588"/>
      <c r="E179" s="2621"/>
      <c r="F179" s="38"/>
      <c r="G179" s="38"/>
      <c r="H179" s="38"/>
      <c r="I179" s="38"/>
      <c r="J179" s="38"/>
      <c r="K179" s="38"/>
      <c r="L179" s="38"/>
      <c r="M179" s="38"/>
      <c r="N179" s="38"/>
      <c r="O179" s="38"/>
      <c r="P179" s="38"/>
      <c r="Q179" s="38"/>
      <c r="R179" s="38"/>
      <c r="S179" s="38"/>
      <c r="T179" s="38"/>
      <c r="U179" s="38"/>
      <c r="V179" s="38"/>
      <c r="W179" s="38"/>
      <c r="X179" s="38"/>
      <c r="Y179" s="38"/>
      <c r="Z179" s="38"/>
    </row>
    <row r="180" spans="1:26" ht="133.5" customHeight="1">
      <c r="A180" s="2620" t="s">
        <v>12543</v>
      </c>
      <c r="B180" s="2588"/>
      <c r="C180" s="2588"/>
      <c r="D180" s="2588"/>
      <c r="E180" s="2621"/>
      <c r="F180" s="38"/>
      <c r="G180" s="38"/>
      <c r="H180" s="38"/>
      <c r="I180" s="38"/>
      <c r="J180" s="38"/>
      <c r="K180" s="38"/>
      <c r="L180" s="38"/>
      <c r="M180" s="38"/>
      <c r="N180" s="38"/>
      <c r="O180" s="38"/>
      <c r="P180" s="38"/>
      <c r="Q180" s="38"/>
      <c r="R180" s="38"/>
      <c r="S180" s="38"/>
      <c r="T180" s="38"/>
      <c r="U180" s="38"/>
      <c r="V180" s="38"/>
      <c r="W180" s="38"/>
      <c r="X180" s="38"/>
      <c r="Y180" s="38"/>
      <c r="Z180" s="38"/>
    </row>
    <row r="181" spans="1:26" ht="15.75" customHeight="1">
      <c r="A181" s="39"/>
      <c r="B181" s="88"/>
      <c r="C181" s="89"/>
      <c r="D181" s="89"/>
      <c r="E181" s="90"/>
      <c r="F181" s="38"/>
      <c r="G181" s="38"/>
      <c r="H181" s="38"/>
      <c r="I181" s="38"/>
      <c r="J181" s="38"/>
      <c r="K181" s="38"/>
      <c r="L181" s="38"/>
      <c r="M181" s="38"/>
      <c r="N181" s="38"/>
      <c r="O181" s="38"/>
      <c r="P181" s="38"/>
      <c r="Q181" s="38"/>
      <c r="R181" s="38"/>
      <c r="S181" s="38"/>
      <c r="T181" s="38"/>
      <c r="U181" s="38"/>
      <c r="V181" s="38"/>
      <c r="W181" s="38"/>
      <c r="X181" s="38"/>
      <c r="Y181" s="38"/>
      <c r="Z181" s="38"/>
    </row>
    <row r="182" spans="1:26" ht="30" customHeight="1">
      <c r="A182" s="2623" t="s">
        <v>12544</v>
      </c>
      <c r="B182" s="2615"/>
      <c r="C182" s="2615"/>
      <c r="D182" s="2615"/>
      <c r="E182" s="2616"/>
      <c r="F182" s="38"/>
      <c r="G182" s="38"/>
      <c r="H182" s="38"/>
      <c r="I182" s="38"/>
      <c r="J182" s="38"/>
      <c r="K182" s="38"/>
      <c r="L182" s="38"/>
      <c r="M182" s="38"/>
      <c r="N182" s="38"/>
      <c r="O182" s="38"/>
      <c r="P182" s="38"/>
      <c r="Q182" s="38"/>
      <c r="R182" s="38"/>
      <c r="S182" s="38"/>
      <c r="T182" s="38"/>
      <c r="U182" s="38"/>
      <c r="V182" s="38"/>
      <c r="W182" s="38"/>
      <c r="X182" s="38"/>
      <c r="Y182" s="38"/>
      <c r="Z182" s="38"/>
    </row>
    <row r="183" spans="1:26" ht="30" customHeight="1">
      <c r="A183" s="2624" t="s">
        <v>12545</v>
      </c>
      <c r="B183" s="2625"/>
      <c r="C183" s="95" t="s">
        <v>12546</v>
      </c>
      <c r="D183" s="96" t="s">
        <v>12547</v>
      </c>
      <c r="E183" s="97" t="s">
        <v>12548</v>
      </c>
      <c r="F183" s="38"/>
      <c r="G183" s="38"/>
      <c r="H183" s="38"/>
      <c r="I183" s="38"/>
      <c r="J183" s="38"/>
      <c r="K183" s="38"/>
      <c r="L183" s="38"/>
      <c r="M183" s="38"/>
      <c r="N183" s="38"/>
      <c r="O183" s="38"/>
      <c r="P183" s="38"/>
      <c r="Q183" s="38"/>
      <c r="R183" s="38"/>
      <c r="S183" s="38"/>
      <c r="T183" s="38"/>
      <c r="U183" s="38"/>
      <c r="V183" s="38"/>
      <c r="W183" s="38"/>
      <c r="X183" s="38"/>
      <c r="Y183" s="38"/>
      <c r="Z183" s="38"/>
    </row>
    <row r="184" spans="1:26" ht="30" customHeight="1">
      <c r="A184" s="2642" t="s">
        <v>12549</v>
      </c>
      <c r="B184" s="2625"/>
      <c r="C184" s="98">
        <v>0.2034</v>
      </c>
      <c r="D184" s="99">
        <v>0.22120000000000001</v>
      </c>
      <c r="E184" s="100">
        <v>0.25</v>
      </c>
      <c r="F184" s="38"/>
      <c r="G184" s="38"/>
      <c r="H184" s="38"/>
      <c r="I184" s="38"/>
      <c r="J184" s="38"/>
      <c r="K184" s="38"/>
      <c r="L184" s="38"/>
      <c r="M184" s="38"/>
      <c r="N184" s="38"/>
      <c r="O184" s="38"/>
      <c r="P184" s="38"/>
      <c r="Q184" s="38"/>
      <c r="R184" s="38"/>
      <c r="S184" s="38"/>
      <c r="T184" s="38"/>
      <c r="U184" s="38"/>
      <c r="V184" s="38"/>
      <c r="W184" s="38"/>
      <c r="X184" s="38"/>
      <c r="Y184" s="38"/>
      <c r="Z184" s="38"/>
    </row>
    <row r="185" spans="1:26" ht="30" customHeight="1">
      <c r="A185" s="2643" t="s">
        <v>12550</v>
      </c>
      <c r="B185" s="2625"/>
      <c r="C185" s="101">
        <v>0.19600000000000001</v>
      </c>
      <c r="D185" s="102">
        <v>0.2097</v>
      </c>
      <c r="E185" s="103">
        <v>0.24229999999999999</v>
      </c>
      <c r="F185" s="38"/>
      <c r="G185" s="38"/>
      <c r="H185" s="38"/>
      <c r="I185" s="38"/>
      <c r="J185" s="38"/>
      <c r="K185" s="38"/>
      <c r="L185" s="38"/>
      <c r="M185" s="38"/>
      <c r="N185" s="38"/>
      <c r="O185" s="38"/>
      <c r="P185" s="38"/>
      <c r="Q185" s="38"/>
      <c r="R185" s="38"/>
      <c r="S185" s="38"/>
      <c r="T185" s="38"/>
      <c r="U185" s="38"/>
      <c r="V185" s="38"/>
      <c r="W185" s="38"/>
      <c r="X185" s="38"/>
      <c r="Y185" s="38"/>
      <c r="Z185" s="38"/>
    </row>
    <row r="186" spans="1:26" ht="30" customHeight="1">
      <c r="A186" s="2642" t="s">
        <v>12551</v>
      </c>
      <c r="B186" s="2625"/>
      <c r="C186" s="98">
        <v>0.20760000000000001</v>
      </c>
      <c r="D186" s="99">
        <v>0.24179999999999999</v>
      </c>
      <c r="E186" s="100">
        <v>0.26440000000000002</v>
      </c>
      <c r="F186" s="38"/>
      <c r="G186" s="38"/>
      <c r="H186" s="38"/>
      <c r="I186" s="38"/>
      <c r="J186" s="38"/>
      <c r="K186" s="38"/>
      <c r="L186" s="38"/>
      <c r="M186" s="38"/>
      <c r="N186" s="38"/>
      <c r="O186" s="38"/>
      <c r="P186" s="38"/>
      <c r="Q186" s="38"/>
      <c r="R186" s="38"/>
      <c r="S186" s="38"/>
      <c r="T186" s="38"/>
      <c r="U186" s="38"/>
      <c r="V186" s="38"/>
      <c r="W186" s="38"/>
      <c r="X186" s="38"/>
      <c r="Y186" s="38"/>
      <c r="Z186" s="38"/>
    </row>
    <row r="187" spans="1:26" ht="30" customHeight="1">
      <c r="A187" s="2643" t="s">
        <v>12552</v>
      </c>
      <c r="B187" s="2625"/>
      <c r="C187" s="101">
        <v>0.24</v>
      </c>
      <c r="D187" s="102">
        <v>0.25840000000000002</v>
      </c>
      <c r="E187" s="103">
        <v>0.27860000000000001</v>
      </c>
      <c r="F187" s="38"/>
      <c r="G187" s="38"/>
      <c r="H187" s="38"/>
      <c r="I187" s="38"/>
      <c r="J187" s="38"/>
      <c r="K187" s="38"/>
      <c r="L187" s="38"/>
      <c r="M187" s="38"/>
      <c r="N187" s="38"/>
      <c r="O187" s="38"/>
      <c r="P187" s="38"/>
      <c r="Q187" s="38"/>
      <c r="R187" s="38"/>
      <c r="S187" s="38"/>
      <c r="T187" s="38"/>
      <c r="U187" s="38"/>
      <c r="V187" s="38"/>
      <c r="W187" s="38"/>
      <c r="X187" s="38"/>
      <c r="Y187" s="38"/>
      <c r="Z187" s="38"/>
    </row>
    <row r="188" spans="1:26" ht="30" customHeight="1">
      <c r="A188" s="2642" t="s">
        <v>12553</v>
      </c>
      <c r="B188" s="2625"/>
      <c r="C188" s="98">
        <v>0.22800000000000001</v>
      </c>
      <c r="D188" s="99">
        <v>0.27479999999999999</v>
      </c>
      <c r="E188" s="100">
        <v>0.3095</v>
      </c>
      <c r="F188" s="38"/>
      <c r="G188" s="38"/>
      <c r="H188" s="38"/>
      <c r="I188" s="38"/>
      <c r="J188" s="38"/>
      <c r="K188" s="38"/>
      <c r="L188" s="38"/>
      <c r="M188" s="38"/>
      <c r="N188" s="38"/>
      <c r="O188" s="38"/>
      <c r="P188" s="38"/>
      <c r="Q188" s="38"/>
      <c r="R188" s="38"/>
      <c r="S188" s="38"/>
      <c r="T188" s="38"/>
      <c r="U188" s="38"/>
      <c r="V188" s="38"/>
      <c r="W188" s="38"/>
      <c r="X188" s="38"/>
      <c r="Y188" s="38"/>
      <c r="Z188" s="38"/>
    </row>
    <row r="189" spans="1:26" ht="30" customHeight="1">
      <c r="A189" s="2644" t="s">
        <v>12554</v>
      </c>
      <c r="B189" s="2645"/>
      <c r="C189" s="104">
        <v>0.111</v>
      </c>
      <c r="D189" s="105">
        <v>0.14019999999999999</v>
      </c>
      <c r="E189" s="106">
        <v>0.16800000000000001</v>
      </c>
      <c r="F189" s="38"/>
      <c r="G189" s="38"/>
      <c r="H189" s="38"/>
      <c r="I189" s="38"/>
      <c r="J189" s="38"/>
      <c r="K189" s="38"/>
      <c r="L189" s="38"/>
      <c r="M189" s="38"/>
      <c r="N189" s="38"/>
      <c r="O189" s="38"/>
      <c r="P189" s="38"/>
      <c r="Q189" s="38"/>
      <c r="R189" s="38"/>
      <c r="S189" s="38"/>
      <c r="T189" s="38"/>
      <c r="U189" s="38"/>
      <c r="V189" s="38"/>
      <c r="W189" s="38"/>
      <c r="X189" s="38"/>
      <c r="Y189" s="38"/>
      <c r="Z189" s="38"/>
    </row>
    <row r="190" spans="1:26" ht="12.75" customHeight="1">
      <c r="A190" s="2646" t="s">
        <v>12555</v>
      </c>
      <c r="B190" s="2588"/>
      <c r="C190" s="2588"/>
      <c r="D190" s="2588"/>
      <c r="E190" s="2621"/>
      <c r="F190" s="38"/>
      <c r="G190" s="38"/>
      <c r="H190" s="38"/>
      <c r="I190" s="38"/>
      <c r="J190" s="38"/>
      <c r="K190" s="38"/>
      <c r="L190" s="38"/>
      <c r="M190" s="38"/>
      <c r="N190" s="38"/>
      <c r="O190" s="38"/>
      <c r="P190" s="38"/>
      <c r="Q190" s="38"/>
      <c r="R190" s="38"/>
      <c r="S190" s="38"/>
      <c r="T190" s="38"/>
      <c r="U190" s="38"/>
      <c r="V190" s="38"/>
      <c r="W190" s="38"/>
      <c r="X190" s="38"/>
      <c r="Y190" s="38"/>
      <c r="Z190" s="38"/>
    </row>
    <row r="191" spans="1:26" ht="395.25" customHeight="1">
      <c r="A191" s="2641" t="s">
        <v>12556</v>
      </c>
      <c r="B191" s="2588"/>
      <c r="C191" s="2588"/>
      <c r="D191" s="2588"/>
      <c r="E191" s="2621"/>
      <c r="F191" s="38"/>
      <c r="G191" s="38"/>
      <c r="H191" s="38"/>
      <c r="I191" s="38"/>
      <c r="J191" s="38"/>
      <c r="K191" s="38"/>
      <c r="L191" s="38"/>
      <c r="M191" s="38"/>
      <c r="N191" s="38"/>
      <c r="O191" s="38"/>
      <c r="P191" s="38"/>
      <c r="Q191" s="38"/>
      <c r="R191" s="38"/>
      <c r="S191" s="38"/>
      <c r="T191" s="38"/>
      <c r="U191" s="38"/>
      <c r="V191" s="38"/>
      <c r="W191" s="38"/>
      <c r="X191" s="38"/>
      <c r="Y191" s="38"/>
      <c r="Z191" s="38"/>
    </row>
    <row r="192" spans="1:26" ht="26.25" customHeight="1">
      <c r="A192" s="77" t="s">
        <v>12529</v>
      </c>
      <c r="B192" s="78" t="s">
        <v>12530</v>
      </c>
      <c r="C192" s="2606" t="s">
        <v>12531</v>
      </c>
      <c r="D192" s="2607"/>
      <c r="E192" s="79" t="s">
        <v>12532</v>
      </c>
      <c r="F192" s="38"/>
      <c r="G192" s="38"/>
      <c r="H192" s="38"/>
      <c r="I192" s="38"/>
      <c r="J192" s="38"/>
      <c r="K192" s="38"/>
      <c r="L192" s="38"/>
      <c r="M192" s="38"/>
      <c r="N192" s="38"/>
      <c r="O192" s="38"/>
      <c r="P192" s="38"/>
      <c r="Q192" s="38"/>
      <c r="R192" s="38"/>
      <c r="S192" s="38"/>
      <c r="T192" s="38"/>
      <c r="U192" s="38"/>
      <c r="V192" s="38"/>
      <c r="W192" s="38"/>
      <c r="X192" s="38"/>
      <c r="Y192" s="38"/>
      <c r="Z192" s="38"/>
    </row>
    <row r="193" spans="1:26" ht="26.25" customHeight="1">
      <c r="A193" s="80" t="s">
        <v>12533</v>
      </c>
      <c r="B193" s="34" t="s">
        <v>12533</v>
      </c>
      <c r="C193" s="2608" t="s">
        <v>12533</v>
      </c>
      <c r="D193" s="2588"/>
      <c r="E193" s="81" t="s">
        <v>12533</v>
      </c>
      <c r="F193" s="38"/>
      <c r="G193" s="38"/>
      <c r="H193" s="38"/>
      <c r="I193" s="38"/>
      <c r="J193" s="38"/>
      <c r="K193" s="38"/>
      <c r="L193" s="38"/>
      <c r="M193" s="38"/>
      <c r="N193" s="38"/>
      <c r="O193" s="38"/>
      <c r="P193" s="38"/>
      <c r="Q193" s="38"/>
      <c r="R193" s="38"/>
      <c r="S193" s="38"/>
      <c r="T193" s="38"/>
      <c r="U193" s="38"/>
      <c r="V193" s="38"/>
      <c r="W193" s="38"/>
      <c r="X193" s="38"/>
      <c r="Y193" s="38"/>
      <c r="Z193" s="38"/>
    </row>
    <row r="194" spans="1:26" ht="26.25" customHeight="1">
      <c r="A194" s="82" t="s">
        <v>12534</v>
      </c>
      <c r="B194" s="83" t="s">
        <v>12535</v>
      </c>
      <c r="C194" s="2609" t="s">
        <v>12536</v>
      </c>
      <c r="D194" s="2610"/>
      <c r="E194" s="84" t="s">
        <v>12537</v>
      </c>
      <c r="F194" s="38"/>
      <c r="G194" s="38"/>
      <c r="H194" s="38"/>
      <c r="I194" s="38"/>
      <c r="J194" s="38"/>
      <c r="K194" s="38"/>
      <c r="L194" s="38"/>
      <c r="M194" s="38"/>
      <c r="N194" s="38"/>
      <c r="O194" s="38"/>
      <c r="P194" s="38"/>
      <c r="Q194" s="38"/>
      <c r="R194" s="38"/>
      <c r="S194" s="38"/>
      <c r="T194" s="38"/>
      <c r="U194" s="38"/>
      <c r="V194" s="38"/>
      <c r="W194" s="38"/>
      <c r="X194" s="38"/>
      <c r="Y194" s="38"/>
      <c r="Z194" s="38"/>
    </row>
  </sheetData>
  <mergeCells count="78">
    <mergeCell ref="A191:E191"/>
    <mergeCell ref="C192:D192"/>
    <mergeCell ref="C193:D193"/>
    <mergeCell ref="C194:D194"/>
    <mergeCell ref="A184:B184"/>
    <mergeCell ref="A185:B185"/>
    <mergeCell ref="A186:B186"/>
    <mergeCell ref="A187:B187"/>
    <mergeCell ref="A188:B188"/>
    <mergeCell ref="A189:B189"/>
    <mergeCell ref="A190:E190"/>
    <mergeCell ref="B113:E113"/>
    <mergeCell ref="B114:E114"/>
    <mergeCell ref="B115:E115"/>
    <mergeCell ref="A120:E120"/>
    <mergeCell ref="B94:B95"/>
    <mergeCell ref="B96:B97"/>
    <mergeCell ref="C108:D108"/>
    <mergeCell ref="C109:D109"/>
    <mergeCell ref="C110:D110"/>
    <mergeCell ref="A111:E111"/>
    <mergeCell ref="B112:E112"/>
    <mergeCell ref="B35:B36"/>
    <mergeCell ref="B39:D39"/>
    <mergeCell ref="B44:B47"/>
    <mergeCell ref="B55:D55"/>
    <mergeCell ref="B40:B43"/>
    <mergeCell ref="B48:B51"/>
    <mergeCell ref="B52:B53"/>
    <mergeCell ref="B20:D20"/>
    <mergeCell ref="B22:D22"/>
    <mergeCell ref="B23:B26"/>
    <mergeCell ref="B27:B30"/>
    <mergeCell ref="B31:B34"/>
    <mergeCell ref="A13:E13"/>
    <mergeCell ref="A14:E14"/>
    <mergeCell ref="A15:E15"/>
    <mergeCell ref="A16:E16"/>
    <mergeCell ref="A17:E17"/>
    <mergeCell ref="C179:E179"/>
    <mergeCell ref="A180:E180"/>
    <mergeCell ref="A182:E182"/>
    <mergeCell ref="A183:B183"/>
    <mergeCell ref="A1:E1"/>
    <mergeCell ref="B2:E2"/>
    <mergeCell ref="B3:E3"/>
    <mergeCell ref="B4:E4"/>
    <mergeCell ref="B5:E5"/>
    <mergeCell ref="A6:E6"/>
    <mergeCell ref="A7:E7"/>
    <mergeCell ref="A8:E8"/>
    <mergeCell ref="A9:E9"/>
    <mergeCell ref="A10:E10"/>
    <mergeCell ref="A11:E11"/>
    <mergeCell ref="A12:E12"/>
    <mergeCell ref="B173:E173"/>
    <mergeCell ref="B174:E174"/>
    <mergeCell ref="B175:E175"/>
    <mergeCell ref="A176:E176"/>
    <mergeCell ref="A178:E178"/>
    <mergeCell ref="C168:D168"/>
    <mergeCell ref="C169:D169"/>
    <mergeCell ref="C170:D170"/>
    <mergeCell ref="A171:E171"/>
    <mergeCell ref="B172:E172"/>
    <mergeCell ref="B82:D82"/>
    <mergeCell ref="B93:D93"/>
    <mergeCell ref="B79:B80"/>
    <mergeCell ref="B85:B88"/>
    <mergeCell ref="B83:B84"/>
    <mergeCell ref="B90:B91"/>
    <mergeCell ref="B56:B58"/>
    <mergeCell ref="B59:B62"/>
    <mergeCell ref="B63:B66"/>
    <mergeCell ref="B71:D71"/>
    <mergeCell ref="B74:B77"/>
    <mergeCell ref="B72:B73"/>
    <mergeCell ref="B67:B68"/>
  </mergeCells>
  <hyperlinks>
    <hyperlink ref="A17" r:id="rId1" xr:uid="{00000000-0004-0000-0200-000000000000}"/>
  </hyperlinks>
  <printOptions horizontalCentered="1"/>
  <pageMargins left="0.19685039370078738" right="0.19685039370078738" top="0.19685039370078738" bottom="0.19685039370078738"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AC82"/>
  <sheetViews>
    <sheetView workbookViewId="0"/>
  </sheetViews>
  <sheetFormatPr defaultColWidth="12.5703125" defaultRowHeight="15" customHeight="1"/>
  <cols>
    <col min="1" max="1" width="9.42578125" customWidth="1"/>
    <col min="2" max="2" width="14.42578125" customWidth="1"/>
    <col min="3" max="3" width="67.5703125" customWidth="1"/>
    <col min="4" max="4" width="5.140625" customWidth="1"/>
    <col min="5" max="5" width="15.28515625" customWidth="1"/>
    <col min="6" max="6" width="10.28515625" customWidth="1"/>
    <col min="7" max="7" width="9.140625" customWidth="1"/>
    <col min="8" max="29" width="12.5703125" hidden="1"/>
  </cols>
  <sheetData>
    <row r="1" spans="1:29" ht="12.75">
      <c r="A1" s="107" t="e">
        <f>'Medição '!$V$5:$AB$5</f>
        <v>#VALUE!</v>
      </c>
      <c r="B1" s="2658" t="str">
        <f>'Medição '!$W$5</f>
        <v>COMPLEXO SUNSET DO PARQUE NOVO MATO GROSSO</v>
      </c>
      <c r="C1" s="2659"/>
      <c r="D1" s="2659"/>
      <c r="E1" s="2660"/>
      <c r="F1" s="108" t="str">
        <f>'Medição '!$AA$5</f>
        <v>BDI EDIF.:</v>
      </c>
      <c r="G1" s="109">
        <f>'Medição '!$AB$5</f>
        <v>0.25</v>
      </c>
      <c r="H1" s="110"/>
      <c r="I1" s="110"/>
      <c r="J1" s="110"/>
      <c r="K1" s="110"/>
      <c r="L1" s="110"/>
      <c r="M1" s="110"/>
      <c r="N1" s="110"/>
      <c r="O1" s="110"/>
      <c r="P1" s="110"/>
      <c r="Q1" s="110"/>
      <c r="R1" s="110"/>
      <c r="S1" s="110"/>
      <c r="T1" s="110"/>
      <c r="U1" s="110"/>
      <c r="V1" s="110"/>
      <c r="W1" s="110"/>
      <c r="X1" s="110"/>
      <c r="Y1" s="110"/>
      <c r="Z1" s="110"/>
      <c r="AA1" s="110"/>
      <c r="AB1" s="110"/>
      <c r="AC1" s="110"/>
    </row>
    <row r="2" spans="1:29" ht="12.75">
      <c r="A2" s="111" t="e">
        <f>'Medição '!$V$6:$AB$6</f>
        <v>#VALUE!</v>
      </c>
      <c r="B2" s="2661" t="str">
        <f>'Medição '!$W$6</f>
        <v>MT 251, KM 11, S/N, ÁREA RURAL - PARQUE NOVO MATO GROSSO, CEP 78099-899</v>
      </c>
      <c r="C2" s="2662"/>
      <c r="D2" s="2662"/>
      <c r="E2" s="2663"/>
      <c r="F2" s="112" t="str">
        <f>'Medição '!$AA$6</f>
        <v>BDI DIF.:</v>
      </c>
      <c r="G2" s="113">
        <f>'Medição '!$AB$6</f>
        <v>0.16470000000000001</v>
      </c>
      <c r="H2" s="110"/>
      <c r="I2" s="110"/>
      <c r="J2" s="110"/>
      <c r="K2" s="110"/>
      <c r="L2" s="110"/>
      <c r="M2" s="110"/>
      <c r="N2" s="110"/>
      <c r="O2" s="110"/>
      <c r="P2" s="110"/>
      <c r="Q2" s="110"/>
      <c r="R2" s="110"/>
      <c r="S2" s="110"/>
      <c r="T2" s="110"/>
      <c r="U2" s="110"/>
      <c r="V2" s="110"/>
      <c r="W2" s="110"/>
      <c r="X2" s="110"/>
      <c r="Y2" s="110"/>
      <c r="Z2" s="110"/>
      <c r="AA2" s="110"/>
      <c r="AB2" s="110"/>
      <c r="AC2" s="110"/>
    </row>
    <row r="3" spans="1:29" ht="12.75">
      <c r="A3" s="111" t="e">
        <f>'Medição '!$V$7:$AB$7</f>
        <v>#VALUE!</v>
      </c>
      <c r="B3" s="2661" t="str">
        <f>'Medição '!$W$7</f>
        <v>CUIABÁ - MT</v>
      </c>
      <c r="C3" s="2662"/>
      <c r="D3" s="2662"/>
      <c r="E3" s="2663"/>
      <c r="F3" s="114" t="str">
        <f>'Medição '!$AA$7</f>
        <v>DATA:</v>
      </c>
      <c r="G3" s="115">
        <f ca="1">TODAY()</f>
        <v>45839</v>
      </c>
      <c r="H3" s="110"/>
      <c r="I3" s="110"/>
      <c r="J3" s="110"/>
      <c r="K3" s="110"/>
      <c r="L3" s="110"/>
      <c r="M3" s="110"/>
      <c r="N3" s="110"/>
      <c r="O3" s="110"/>
      <c r="P3" s="110"/>
      <c r="Q3" s="110"/>
      <c r="R3" s="110"/>
      <c r="S3" s="110"/>
      <c r="T3" s="110"/>
      <c r="U3" s="110"/>
      <c r="V3" s="110"/>
      <c r="W3" s="110"/>
      <c r="X3" s="110"/>
      <c r="Y3" s="110"/>
      <c r="Z3" s="110"/>
      <c r="AA3" s="110"/>
      <c r="AB3" s="110"/>
      <c r="AC3" s="110"/>
    </row>
    <row r="4" spans="1:29" ht="12.75">
      <c r="A4" s="116" t="e">
        <f>'Medição '!$V$8:$AB$8</f>
        <v>#VALUE!</v>
      </c>
      <c r="B4" s="2664" t="str">
        <f>'Medição '!$W$8</f>
        <v>CONTRATAÇÃO DE EMPRESA ESPECIALIZADA PARA EXECUÇÃO DAS OBRAS DO "COMPLEXO SUNSET (WAKE BAR, PRAÇA SUNSET, QUIOSQUE, BANHEIROS DE APOIO E INFRA DE CONTÊINER) DO PARQUE NOVO MATO GROSSO"</v>
      </c>
      <c r="C4" s="2588"/>
      <c r="D4" s="2588"/>
      <c r="E4" s="2665"/>
      <c r="F4" s="117" t="str">
        <f>'Medição '!$AA$8</f>
        <v>PRAZO:</v>
      </c>
      <c r="G4" s="118" t="str">
        <f>'Medição '!$AB$8</f>
        <v>10 MESES</v>
      </c>
      <c r="H4" s="110"/>
      <c r="I4" s="110"/>
      <c r="J4" s="110"/>
      <c r="K4" s="110"/>
      <c r="L4" s="110"/>
      <c r="M4" s="110"/>
      <c r="N4" s="110"/>
      <c r="O4" s="110"/>
      <c r="P4" s="110"/>
      <c r="Q4" s="110"/>
      <c r="R4" s="110"/>
      <c r="S4" s="110"/>
      <c r="T4" s="110"/>
      <c r="U4" s="110"/>
      <c r="V4" s="110"/>
      <c r="W4" s="110"/>
      <c r="X4" s="110"/>
      <c r="Y4" s="110"/>
      <c r="Z4" s="110"/>
      <c r="AA4" s="110"/>
      <c r="AB4" s="110"/>
      <c r="AC4" s="110"/>
    </row>
    <row r="5" spans="1:29" ht="30" customHeight="1">
      <c r="A5" s="2666" t="s">
        <v>12540</v>
      </c>
      <c r="B5" s="2634"/>
      <c r="C5" s="2634"/>
      <c r="D5" s="2634"/>
      <c r="E5" s="2634"/>
      <c r="F5" s="2634"/>
      <c r="G5" s="2635"/>
      <c r="H5" s="119"/>
      <c r="I5" s="119"/>
      <c r="J5" s="119"/>
      <c r="K5" s="119"/>
      <c r="L5" s="119"/>
      <c r="M5" s="119"/>
      <c r="N5" s="119"/>
      <c r="O5" s="119"/>
      <c r="P5" s="119"/>
      <c r="Q5" s="119"/>
      <c r="R5" s="119"/>
      <c r="S5" s="119"/>
      <c r="T5" s="119"/>
      <c r="U5" s="119"/>
      <c r="V5" s="119"/>
      <c r="W5" s="119"/>
      <c r="X5" s="119"/>
      <c r="Y5" s="119"/>
      <c r="Z5" s="119"/>
      <c r="AA5" s="119"/>
      <c r="AB5" s="119"/>
      <c r="AC5" s="119"/>
    </row>
    <row r="6" spans="1:29" ht="8.25" customHeight="1">
      <c r="A6" s="120"/>
      <c r="B6" s="121"/>
      <c r="C6" s="121"/>
      <c r="D6" s="121"/>
      <c r="E6" s="121"/>
      <c r="F6" s="121"/>
      <c r="G6" s="122"/>
      <c r="H6" s="119"/>
      <c r="I6" s="119"/>
      <c r="J6" s="119"/>
      <c r="K6" s="119"/>
      <c r="L6" s="119"/>
      <c r="M6" s="119"/>
      <c r="N6" s="119"/>
      <c r="O6" s="119"/>
      <c r="P6" s="119"/>
      <c r="Q6" s="119"/>
      <c r="R6" s="119"/>
      <c r="S6" s="119"/>
      <c r="T6" s="119"/>
      <c r="U6" s="119"/>
      <c r="V6" s="119"/>
      <c r="W6" s="119"/>
      <c r="X6" s="119"/>
      <c r="Y6" s="119"/>
      <c r="Z6" s="119"/>
      <c r="AA6" s="119"/>
      <c r="AB6" s="119"/>
      <c r="AC6" s="119"/>
    </row>
    <row r="7" spans="1:29" ht="17.25">
      <c r="A7" s="123" t="s">
        <v>12557</v>
      </c>
      <c r="B7" s="2667" t="s">
        <v>12558</v>
      </c>
      <c r="C7" s="2634"/>
      <c r="D7" s="2634"/>
      <c r="E7" s="2634"/>
      <c r="F7" s="2634"/>
      <c r="G7" s="124"/>
      <c r="H7" s="125"/>
      <c r="I7" s="125"/>
      <c r="J7" s="125"/>
      <c r="K7" s="125"/>
      <c r="L7" s="125"/>
      <c r="M7" s="125"/>
      <c r="N7" s="125"/>
      <c r="O7" s="125"/>
      <c r="P7" s="125"/>
      <c r="Q7" s="125"/>
      <c r="R7" s="125"/>
      <c r="S7" s="125"/>
      <c r="T7" s="125"/>
      <c r="U7" s="125"/>
      <c r="V7" s="125"/>
      <c r="W7" s="125"/>
      <c r="X7" s="125"/>
      <c r="Y7" s="125"/>
      <c r="Z7" s="125"/>
      <c r="AA7" s="125"/>
      <c r="AB7" s="125"/>
      <c r="AC7" s="125"/>
    </row>
    <row r="8" spans="1:29" ht="17.25">
      <c r="A8" s="2656"/>
      <c r="B8" s="2588"/>
      <c r="C8" s="2588"/>
      <c r="D8" s="2588"/>
      <c r="E8" s="2588"/>
      <c r="F8" s="2588"/>
      <c r="G8" s="2657"/>
      <c r="H8" s="125"/>
      <c r="I8" s="125"/>
      <c r="J8" s="125"/>
      <c r="K8" s="125"/>
      <c r="L8" s="125"/>
      <c r="M8" s="125"/>
      <c r="N8" s="125"/>
      <c r="O8" s="125"/>
      <c r="P8" s="125"/>
      <c r="Q8" s="125"/>
      <c r="R8" s="125"/>
      <c r="S8" s="125"/>
      <c r="T8" s="125"/>
      <c r="U8" s="125"/>
      <c r="V8" s="125"/>
      <c r="W8" s="125"/>
      <c r="X8" s="125"/>
      <c r="Y8" s="125"/>
      <c r="Z8" s="125"/>
      <c r="AA8" s="125"/>
      <c r="AB8" s="125"/>
      <c r="AC8" s="125"/>
    </row>
    <row r="9" spans="1:29" ht="17.25">
      <c r="A9" s="126"/>
      <c r="B9" s="2668" t="s">
        <v>12559</v>
      </c>
      <c r="C9" s="2588"/>
      <c r="D9" s="2588"/>
      <c r="E9" s="2588"/>
      <c r="F9" s="2588"/>
      <c r="G9" s="127"/>
      <c r="H9" s="125"/>
      <c r="I9" s="125"/>
      <c r="J9" s="125"/>
      <c r="K9" s="125"/>
      <c r="L9" s="125"/>
      <c r="M9" s="125"/>
      <c r="N9" s="125"/>
      <c r="O9" s="125"/>
      <c r="P9" s="125"/>
      <c r="Q9" s="125"/>
      <c r="R9" s="125"/>
      <c r="S9" s="125"/>
      <c r="T9" s="125"/>
      <c r="U9" s="125"/>
      <c r="V9" s="125"/>
      <c r="W9" s="125"/>
      <c r="X9" s="125"/>
      <c r="Y9" s="125"/>
      <c r="Z9" s="125"/>
      <c r="AA9" s="125"/>
      <c r="AB9" s="125"/>
      <c r="AC9" s="125"/>
    </row>
    <row r="10" spans="1:29" ht="17.25">
      <c r="A10" s="2656"/>
      <c r="B10" s="2588"/>
      <c r="C10" s="2588"/>
      <c r="D10" s="2588"/>
      <c r="E10" s="2588"/>
      <c r="F10" s="2588"/>
      <c r="G10" s="2657"/>
      <c r="H10" s="125"/>
      <c r="I10" s="125"/>
      <c r="J10" s="125"/>
      <c r="K10" s="125"/>
      <c r="L10" s="125"/>
      <c r="M10" s="125"/>
      <c r="N10" s="125"/>
      <c r="O10" s="125"/>
      <c r="P10" s="125"/>
      <c r="Q10" s="125"/>
      <c r="R10" s="125"/>
      <c r="S10" s="125"/>
      <c r="T10" s="125"/>
      <c r="U10" s="125"/>
      <c r="V10" s="125"/>
      <c r="W10" s="125"/>
      <c r="X10" s="125"/>
      <c r="Y10" s="125"/>
      <c r="Z10" s="125"/>
      <c r="AA10" s="125"/>
      <c r="AB10" s="125"/>
      <c r="AC10" s="125"/>
    </row>
    <row r="11" spans="1:29" ht="17.25">
      <c r="A11" s="126"/>
      <c r="B11" s="2668" t="s">
        <v>12560</v>
      </c>
      <c r="C11" s="2588"/>
      <c r="D11" s="2588"/>
      <c r="E11" s="2588"/>
      <c r="F11" s="2588"/>
      <c r="G11" s="127"/>
      <c r="H11" s="125"/>
      <c r="I11" s="125"/>
      <c r="J11" s="125"/>
      <c r="K11" s="125"/>
      <c r="L11" s="125"/>
      <c r="M11" s="125"/>
      <c r="N11" s="125"/>
      <c r="O11" s="125"/>
      <c r="P11" s="125"/>
      <c r="Q11" s="125"/>
      <c r="R11" s="125"/>
      <c r="S11" s="125"/>
      <c r="T11" s="125"/>
      <c r="U11" s="125"/>
      <c r="V11" s="125"/>
      <c r="W11" s="125"/>
      <c r="X11" s="125"/>
      <c r="Y11" s="125"/>
      <c r="Z11" s="125"/>
      <c r="AA11" s="125"/>
      <c r="AB11" s="125"/>
      <c r="AC11" s="125"/>
    </row>
    <row r="12" spans="1:29" ht="17.25">
      <c r="A12" s="2656"/>
      <c r="B12" s="2588"/>
      <c r="C12" s="2588"/>
      <c r="D12" s="2588"/>
      <c r="E12" s="2588"/>
      <c r="F12" s="2588"/>
      <c r="G12" s="2657"/>
      <c r="H12" s="125"/>
      <c r="I12" s="125"/>
      <c r="J12" s="125"/>
      <c r="K12" s="125"/>
      <c r="L12" s="125"/>
      <c r="M12" s="125"/>
      <c r="N12" s="125"/>
      <c r="O12" s="125"/>
      <c r="P12" s="125"/>
      <c r="Q12" s="125"/>
      <c r="R12" s="125"/>
      <c r="S12" s="125"/>
      <c r="T12" s="125"/>
      <c r="U12" s="125"/>
      <c r="V12" s="125"/>
      <c r="W12" s="125"/>
      <c r="X12" s="125"/>
      <c r="Y12" s="125"/>
      <c r="Z12" s="125"/>
      <c r="AA12" s="125"/>
      <c r="AB12" s="125"/>
      <c r="AC12" s="125"/>
    </row>
    <row r="13" spans="1:29" ht="17.25">
      <c r="A13" s="126"/>
      <c r="B13" s="2647" t="s">
        <v>12561</v>
      </c>
      <c r="C13" s="2588"/>
      <c r="D13" s="2588"/>
      <c r="E13" s="2588"/>
      <c r="F13" s="2588"/>
      <c r="G13" s="127"/>
      <c r="H13" s="125"/>
      <c r="I13" s="125"/>
      <c r="J13" s="125"/>
      <c r="K13" s="125"/>
      <c r="L13" s="125"/>
      <c r="M13" s="125"/>
      <c r="N13" s="125"/>
      <c r="O13" s="125"/>
      <c r="P13" s="125"/>
      <c r="Q13" s="125"/>
      <c r="R13" s="125"/>
      <c r="S13" s="125"/>
      <c r="T13" s="125"/>
      <c r="U13" s="125"/>
      <c r="V13" s="125"/>
      <c r="W13" s="125"/>
      <c r="X13" s="125"/>
      <c r="Y13" s="125"/>
      <c r="Z13" s="125"/>
      <c r="AA13" s="125"/>
      <c r="AB13" s="125"/>
      <c r="AC13" s="125"/>
    </row>
    <row r="14" spans="1:29" ht="17.25">
      <c r="A14" s="2656"/>
      <c r="B14" s="2588"/>
      <c r="C14" s="2588"/>
      <c r="D14" s="2588"/>
      <c r="E14" s="2588"/>
      <c r="F14" s="2588"/>
      <c r="G14" s="2657"/>
      <c r="H14" s="125"/>
      <c r="I14" s="125"/>
      <c r="J14" s="125"/>
      <c r="K14" s="125"/>
      <c r="L14" s="125"/>
      <c r="M14" s="125"/>
      <c r="N14" s="125"/>
      <c r="O14" s="125"/>
      <c r="P14" s="125"/>
      <c r="Q14" s="125"/>
      <c r="R14" s="125"/>
      <c r="S14" s="125"/>
      <c r="T14" s="125"/>
      <c r="U14" s="125"/>
      <c r="V14" s="125"/>
      <c r="W14" s="125"/>
      <c r="X14" s="125"/>
      <c r="Y14" s="125"/>
      <c r="Z14" s="125"/>
      <c r="AA14" s="125"/>
      <c r="AB14" s="125"/>
      <c r="AC14" s="125"/>
    </row>
    <row r="15" spans="1:29" ht="17.25">
      <c r="A15" s="126"/>
      <c r="B15" s="2668" t="s">
        <v>12562</v>
      </c>
      <c r="C15" s="2588"/>
      <c r="D15" s="2588"/>
      <c r="E15" s="2588"/>
      <c r="F15" s="2588"/>
      <c r="G15" s="127"/>
      <c r="H15" s="125"/>
      <c r="I15" s="125"/>
      <c r="J15" s="125"/>
      <c r="K15" s="125"/>
      <c r="L15" s="125"/>
      <c r="M15" s="125"/>
      <c r="N15" s="125"/>
      <c r="O15" s="125"/>
      <c r="P15" s="125"/>
      <c r="Q15" s="125"/>
      <c r="R15" s="125"/>
      <c r="S15" s="125"/>
      <c r="T15" s="125"/>
      <c r="U15" s="125"/>
      <c r="V15" s="125"/>
      <c r="W15" s="125"/>
      <c r="X15" s="125"/>
      <c r="Y15" s="125"/>
      <c r="Z15" s="125"/>
      <c r="AA15" s="125"/>
      <c r="AB15" s="125"/>
      <c r="AC15" s="125"/>
    </row>
    <row r="16" spans="1:29" ht="17.25">
      <c r="A16" s="2656"/>
      <c r="B16" s="2588"/>
      <c r="C16" s="2588"/>
      <c r="D16" s="2588"/>
      <c r="E16" s="2588"/>
      <c r="F16" s="2588"/>
      <c r="G16" s="2657"/>
      <c r="H16" s="125"/>
      <c r="I16" s="125"/>
      <c r="J16" s="125"/>
      <c r="K16" s="125"/>
      <c r="L16" s="125"/>
      <c r="M16" s="125"/>
      <c r="N16" s="125"/>
      <c r="O16" s="125"/>
      <c r="P16" s="125"/>
      <c r="Q16" s="125"/>
      <c r="R16" s="125"/>
      <c r="S16" s="125"/>
      <c r="T16" s="125"/>
      <c r="U16" s="125"/>
      <c r="V16" s="125"/>
      <c r="W16" s="125"/>
      <c r="X16" s="125"/>
      <c r="Y16" s="125"/>
      <c r="Z16" s="125"/>
      <c r="AA16" s="125"/>
      <c r="AB16" s="125"/>
      <c r="AC16" s="125"/>
    </row>
    <row r="17" spans="1:29" ht="17.25">
      <c r="A17" s="126"/>
      <c r="B17" s="2668" t="s">
        <v>12563</v>
      </c>
      <c r="C17" s="2588"/>
      <c r="D17" s="2588"/>
      <c r="E17" s="2588"/>
      <c r="F17" s="2588"/>
      <c r="G17" s="127"/>
      <c r="H17" s="125"/>
      <c r="I17" s="125"/>
      <c r="J17" s="125"/>
      <c r="K17" s="125"/>
      <c r="L17" s="125"/>
      <c r="M17" s="125"/>
      <c r="N17" s="125"/>
      <c r="O17" s="125"/>
      <c r="P17" s="125"/>
      <c r="Q17" s="125"/>
      <c r="R17" s="125"/>
      <c r="S17" s="125"/>
      <c r="T17" s="125"/>
      <c r="U17" s="125"/>
      <c r="V17" s="125"/>
      <c r="W17" s="125"/>
      <c r="X17" s="125"/>
      <c r="Y17" s="125"/>
      <c r="Z17" s="125"/>
      <c r="AA17" s="125"/>
      <c r="AB17" s="125"/>
      <c r="AC17" s="125"/>
    </row>
    <row r="18" spans="1:29" ht="17.25">
      <c r="A18" s="2669"/>
      <c r="B18" s="2588"/>
      <c r="C18" s="2588"/>
      <c r="D18" s="2588"/>
      <c r="E18" s="2588"/>
      <c r="F18" s="2588"/>
      <c r="G18" s="2657"/>
      <c r="H18" s="125"/>
      <c r="I18" s="125"/>
      <c r="J18" s="125"/>
      <c r="K18" s="125"/>
      <c r="L18" s="125"/>
      <c r="M18" s="125"/>
      <c r="N18" s="125"/>
      <c r="O18" s="125"/>
      <c r="P18" s="125"/>
      <c r="Q18" s="125"/>
      <c r="R18" s="125"/>
      <c r="S18" s="125"/>
      <c r="T18" s="125"/>
      <c r="U18" s="125"/>
      <c r="V18" s="125"/>
      <c r="W18" s="125"/>
      <c r="X18" s="125"/>
      <c r="Y18" s="125"/>
      <c r="Z18" s="125"/>
      <c r="AA18" s="125"/>
      <c r="AB18" s="125"/>
      <c r="AC18" s="125"/>
    </row>
    <row r="19" spans="1:29" ht="17.25">
      <c r="A19" s="126"/>
      <c r="B19" s="2668" t="s">
        <v>12564</v>
      </c>
      <c r="C19" s="2588"/>
      <c r="D19" s="2588"/>
      <c r="E19" s="2588"/>
      <c r="F19" s="2588"/>
      <c r="G19" s="127"/>
      <c r="H19" s="125"/>
      <c r="I19" s="125"/>
      <c r="J19" s="125"/>
      <c r="K19" s="125"/>
      <c r="L19" s="125"/>
      <c r="M19" s="125"/>
      <c r="N19" s="125"/>
      <c r="O19" s="125"/>
      <c r="P19" s="125"/>
      <c r="Q19" s="125"/>
      <c r="R19" s="125"/>
      <c r="S19" s="125"/>
      <c r="T19" s="125"/>
      <c r="U19" s="125"/>
      <c r="V19" s="125"/>
      <c r="W19" s="125"/>
      <c r="X19" s="125"/>
      <c r="Y19" s="125"/>
      <c r="Z19" s="125"/>
      <c r="AA19" s="125"/>
      <c r="AB19" s="125"/>
      <c r="AC19" s="125"/>
    </row>
    <row r="20" spans="1:29" ht="17.25">
      <c r="A20" s="2656"/>
      <c r="B20" s="2588"/>
      <c r="C20" s="2588"/>
      <c r="D20" s="2588"/>
      <c r="E20" s="2588"/>
      <c r="F20" s="2588"/>
      <c r="G20" s="2657"/>
      <c r="H20" s="125"/>
      <c r="I20" s="125"/>
      <c r="J20" s="125"/>
      <c r="K20" s="125"/>
      <c r="L20" s="125"/>
      <c r="M20" s="125"/>
      <c r="N20" s="125"/>
      <c r="O20" s="125"/>
      <c r="P20" s="125"/>
      <c r="Q20" s="125"/>
      <c r="R20" s="125"/>
      <c r="S20" s="125"/>
      <c r="T20" s="125"/>
      <c r="U20" s="125"/>
      <c r="V20" s="125"/>
      <c r="W20" s="125"/>
      <c r="X20" s="125"/>
      <c r="Y20" s="125"/>
      <c r="Z20" s="125"/>
      <c r="AA20" s="125"/>
      <c r="AB20" s="125"/>
      <c r="AC20" s="125"/>
    </row>
    <row r="21" spans="1:29">
      <c r="A21" s="2670"/>
      <c r="B21" s="2588"/>
      <c r="C21" s="2588"/>
      <c r="D21" s="2588"/>
      <c r="E21" s="2588"/>
      <c r="F21" s="2588"/>
      <c r="G21" s="2588"/>
      <c r="H21" s="130"/>
      <c r="I21" s="130"/>
      <c r="J21" s="130"/>
      <c r="K21" s="130"/>
      <c r="L21" s="130"/>
      <c r="M21" s="130"/>
      <c r="N21" s="130"/>
      <c r="O21" s="130"/>
      <c r="P21" s="130"/>
      <c r="Q21" s="130"/>
      <c r="R21" s="130"/>
      <c r="S21" s="130"/>
      <c r="T21" s="130"/>
      <c r="U21" s="130"/>
      <c r="V21" s="130"/>
      <c r="W21" s="130"/>
      <c r="X21" s="130"/>
      <c r="Y21" s="130"/>
      <c r="Z21" s="130"/>
      <c r="AA21" s="130"/>
      <c r="AB21" s="130"/>
      <c r="AC21" s="130"/>
    </row>
    <row r="22" spans="1:29" ht="15.75">
      <c r="A22" s="131" t="s">
        <v>12565</v>
      </c>
      <c r="B22" s="2671" t="s">
        <v>12566</v>
      </c>
      <c r="C22" s="2634"/>
      <c r="D22" s="2634"/>
      <c r="E22" s="2634"/>
      <c r="F22" s="2634"/>
      <c r="G22" s="132"/>
      <c r="H22" s="133"/>
      <c r="I22" s="133"/>
      <c r="J22" s="133"/>
      <c r="K22" s="133"/>
      <c r="L22" s="133"/>
      <c r="M22" s="133"/>
      <c r="N22" s="133"/>
      <c r="O22" s="133"/>
      <c r="P22" s="133"/>
      <c r="Q22" s="133"/>
      <c r="R22" s="133"/>
      <c r="S22" s="133"/>
      <c r="T22" s="133"/>
      <c r="U22" s="133"/>
      <c r="V22" s="133"/>
      <c r="W22" s="133"/>
      <c r="X22" s="133"/>
      <c r="Y22" s="133"/>
      <c r="Z22" s="133"/>
      <c r="AA22" s="133"/>
      <c r="AB22" s="133"/>
      <c r="AC22" s="133"/>
    </row>
    <row r="23" spans="1:29">
      <c r="A23" s="2669"/>
      <c r="B23" s="2588"/>
      <c r="C23" s="2588"/>
      <c r="D23" s="2588"/>
      <c r="E23" s="2588"/>
      <c r="F23" s="2588"/>
      <c r="G23" s="2657"/>
      <c r="H23" s="130"/>
      <c r="I23" s="130"/>
      <c r="J23" s="130"/>
      <c r="K23" s="130"/>
      <c r="L23" s="130"/>
      <c r="M23" s="130"/>
      <c r="N23" s="130"/>
      <c r="O23" s="130"/>
      <c r="P23" s="130"/>
      <c r="Q23" s="130"/>
      <c r="R23" s="130"/>
      <c r="S23" s="130"/>
      <c r="T23" s="130"/>
      <c r="U23" s="130"/>
      <c r="V23" s="130"/>
      <c r="W23" s="130"/>
      <c r="X23" s="130"/>
      <c r="Y23" s="130"/>
      <c r="Z23" s="130"/>
      <c r="AA23" s="130"/>
      <c r="AB23" s="130"/>
      <c r="AC23" s="130"/>
    </row>
    <row r="24" spans="1:29" ht="17.25">
      <c r="A24" s="126"/>
      <c r="B24" s="2668" t="s">
        <v>12567</v>
      </c>
      <c r="C24" s="2588"/>
      <c r="D24" s="2588"/>
      <c r="E24" s="2588"/>
      <c r="F24" s="2588"/>
      <c r="G24" s="134"/>
      <c r="H24" s="125"/>
      <c r="I24" s="125"/>
      <c r="J24" s="125"/>
      <c r="K24" s="125"/>
      <c r="L24" s="125"/>
      <c r="M24" s="125"/>
      <c r="N24" s="125"/>
      <c r="O24" s="125"/>
      <c r="P24" s="125"/>
      <c r="Q24" s="125"/>
      <c r="R24" s="125"/>
      <c r="S24" s="125"/>
      <c r="T24" s="125"/>
      <c r="U24" s="125"/>
      <c r="V24" s="125"/>
      <c r="W24" s="125"/>
      <c r="X24" s="125"/>
      <c r="Y24" s="125"/>
      <c r="Z24" s="125"/>
      <c r="AA24" s="125"/>
      <c r="AB24" s="125"/>
      <c r="AC24" s="125"/>
    </row>
    <row r="25" spans="1:29" ht="17.25">
      <c r="A25" s="126"/>
      <c r="B25" s="2672" t="s">
        <v>12568</v>
      </c>
      <c r="C25" s="2588"/>
      <c r="D25" s="2588"/>
      <c r="E25" s="2588"/>
      <c r="F25" s="2588"/>
      <c r="G25" s="127"/>
      <c r="H25" s="125"/>
      <c r="I25" s="125"/>
      <c r="J25" s="125"/>
      <c r="K25" s="125"/>
      <c r="L25" s="125"/>
      <c r="M25" s="125"/>
      <c r="N25" s="125"/>
      <c r="O25" s="125"/>
      <c r="P25" s="125"/>
      <c r="Q25" s="125"/>
      <c r="R25" s="125"/>
      <c r="S25" s="125"/>
      <c r="T25" s="125"/>
      <c r="U25" s="125"/>
      <c r="V25" s="125"/>
      <c r="W25" s="125"/>
      <c r="X25" s="125"/>
      <c r="Y25" s="125"/>
      <c r="Z25" s="125"/>
      <c r="AA25" s="125"/>
      <c r="AB25" s="125"/>
      <c r="AC25" s="125"/>
    </row>
    <row r="26" spans="1:29" ht="17.25">
      <c r="A26" s="2656"/>
      <c r="B26" s="2588"/>
      <c r="C26" s="2588"/>
      <c r="D26" s="2588"/>
      <c r="E26" s="2588"/>
      <c r="F26" s="2588"/>
      <c r="G26" s="2657"/>
      <c r="H26" s="125"/>
      <c r="I26" s="125"/>
      <c r="J26" s="125"/>
      <c r="K26" s="125"/>
      <c r="L26" s="125"/>
      <c r="M26" s="125"/>
      <c r="N26" s="125"/>
      <c r="O26" s="125"/>
      <c r="P26" s="125"/>
      <c r="Q26" s="125"/>
      <c r="R26" s="125"/>
      <c r="S26" s="125"/>
      <c r="T26" s="125"/>
      <c r="U26" s="125"/>
      <c r="V26" s="125"/>
      <c r="W26" s="125"/>
      <c r="X26" s="125"/>
      <c r="Y26" s="125"/>
      <c r="Z26" s="125"/>
      <c r="AA26" s="125"/>
      <c r="AB26" s="125"/>
      <c r="AC26" s="125"/>
    </row>
    <row r="27" spans="1:29" ht="17.25">
      <c r="A27" s="126"/>
      <c r="B27" s="2673" t="s">
        <v>12569</v>
      </c>
      <c r="C27" s="2588"/>
      <c r="D27" s="2588"/>
      <c r="E27" s="2588"/>
      <c r="F27" s="2588"/>
      <c r="G27" s="127"/>
      <c r="H27" s="125"/>
      <c r="I27" s="125"/>
      <c r="J27" s="125"/>
      <c r="K27" s="125"/>
      <c r="L27" s="125"/>
      <c r="M27" s="125"/>
      <c r="N27" s="125"/>
      <c r="O27" s="125"/>
      <c r="P27" s="125"/>
      <c r="Q27" s="125"/>
      <c r="R27" s="125"/>
      <c r="S27" s="125"/>
      <c r="T27" s="125"/>
      <c r="U27" s="125"/>
      <c r="V27" s="125"/>
      <c r="W27" s="125"/>
      <c r="X27" s="125"/>
      <c r="Y27" s="125"/>
      <c r="Z27" s="125"/>
      <c r="AA27" s="125"/>
      <c r="AB27" s="125"/>
      <c r="AC27" s="125"/>
    </row>
    <row r="28" spans="1:29" ht="17.25">
      <c r="A28" s="126"/>
      <c r="B28" s="2674" t="s">
        <v>12570</v>
      </c>
      <c r="C28" s="2588"/>
      <c r="D28" s="2588"/>
      <c r="E28" s="2588"/>
      <c r="F28" s="2588"/>
      <c r="G28" s="127"/>
      <c r="H28" s="125"/>
      <c r="I28" s="125"/>
      <c r="J28" s="125"/>
      <c r="K28" s="125"/>
      <c r="L28" s="125"/>
      <c r="M28" s="125"/>
      <c r="N28" s="125"/>
      <c r="O28" s="125"/>
      <c r="P28" s="125"/>
      <c r="Q28" s="125"/>
      <c r="R28" s="125"/>
      <c r="S28" s="125"/>
      <c r="T28" s="125"/>
      <c r="U28" s="125"/>
      <c r="V28" s="125"/>
      <c r="W28" s="125"/>
      <c r="X28" s="125"/>
      <c r="Y28" s="125"/>
      <c r="Z28" s="125"/>
      <c r="AA28" s="125"/>
      <c r="AB28" s="125"/>
      <c r="AC28" s="125"/>
    </row>
    <row r="29" spans="1:29">
      <c r="A29" s="2675"/>
      <c r="B29" s="2631"/>
      <c r="C29" s="2631"/>
      <c r="D29" s="2631"/>
      <c r="E29" s="2631"/>
      <c r="F29" s="2631"/>
      <c r="G29" s="2625"/>
      <c r="H29" s="130"/>
      <c r="I29" s="130"/>
      <c r="J29" s="130"/>
      <c r="K29" s="130"/>
      <c r="L29" s="130"/>
      <c r="M29" s="130"/>
      <c r="N29" s="130"/>
      <c r="O29" s="130"/>
      <c r="P29" s="130"/>
      <c r="Q29" s="130"/>
      <c r="R29" s="130"/>
      <c r="S29" s="130"/>
      <c r="T29" s="130"/>
      <c r="U29" s="130"/>
      <c r="V29" s="130"/>
      <c r="W29" s="130"/>
      <c r="X29" s="130"/>
      <c r="Y29" s="130"/>
      <c r="Z29" s="130"/>
      <c r="AA29" s="130"/>
      <c r="AB29" s="130"/>
      <c r="AC29" s="130"/>
    </row>
    <row r="30" spans="1:29">
      <c r="A30" s="2670"/>
      <c r="B30" s="2588"/>
      <c r="C30" s="2588"/>
      <c r="D30" s="2588"/>
      <c r="E30" s="2588"/>
      <c r="F30" s="2588"/>
      <c r="G30" s="2588"/>
      <c r="H30" s="130"/>
      <c r="I30" s="130"/>
      <c r="J30" s="130"/>
      <c r="K30" s="130"/>
      <c r="L30" s="130"/>
      <c r="M30" s="130"/>
      <c r="N30" s="130"/>
      <c r="O30" s="130"/>
      <c r="P30" s="130"/>
      <c r="Q30" s="130"/>
      <c r="R30" s="130"/>
      <c r="S30" s="130"/>
      <c r="T30" s="130"/>
      <c r="U30" s="130"/>
      <c r="V30" s="130"/>
      <c r="W30" s="130"/>
      <c r="X30" s="130"/>
      <c r="Y30" s="130"/>
      <c r="Z30" s="130"/>
      <c r="AA30" s="130"/>
      <c r="AB30" s="130"/>
      <c r="AC30" s="130"/>
    </row>
    <row r="31" spans="1:29" ht="15.75">
      <c r="A31" s="131" t="s">
        <v>12571</v>
      </c>
      <c r="B31" s="2671" t="s">
        <v>12572</v>
      </c>
      <c r="C31" s="2634"/>
      <c r="D31" s="2634"/>
      <c r="E31" s="2634"/>
      <c r="F31" s="2634"/>
      <c r="G31" s="137"/>
      <c r="H31" s="130"/>
      <c r="I31" s="130"/>
      <c r="J31" s="130"/>
      <c r="K31" s="130"/>
      <c r="L31" s="130"/>
      <c r="M31" s="130"/>
      <c r="N31" s="130"/>
      <c r="O31" s="130"/>
      <c r="P31" s="130"/>
      <c r="Q31" s="130"/>
      <c r="R31" s="130"/>
      <c r="S31" s="130"/>
      <c r="T31" s="130"/>
      <c r="U31" s="130"/>
      <c r="V31" s="130"/>
      <c r="W31" s="130"/>
      <c r="X31" s="130"/>
      <c r="Y31" s="130"/>
      <c r="Z31" s="130"/>
      <c r="AA31" s="130"/>
      <c r="AB31" s="130"/>
      <c r="AC31" s="130"/>
    </row>
    <row r="32" spans="1:29">
      <c r="A32" s="2669"/>
      <c r="B32" s="2588"/>
      <c r="C32" s="2588"/>
      <c r="D32" s="2588"/>
      <c r="E32" s="2588"/>
      <c r="F32" s="2588"/>
      <c r="G32" s="2657"/>
      <c r="H32" s="130"/>
      <c r="I32" s="130"/>
      <c r="J32" s="130"/>
      <c r="K32" s="130"/>
      <c r="L32" s="130"/>
      <c r="M32" s="130"/>
      <c r="N32" s="130"/>
      <c r="O32" s="130"/>
      <c r="P32" s="130"/>
      <c r="Q32" s="130"/>
      <c r="R32" s="130"/>
      <c r="S32" s="130"/>
      <c r="T32" s="130"/>
      <c r="U32" s="130"/>
      <c r="V32" s="130"/>
      <c r="W32" s="130"/>
      <c r="X32" s="130"/>
      <c r="Y32" s="130"/>
      <c r="Z32" s="130"/>
      <c r="AA32" s="130"/>
      <c r="AB32" s="130"/>
      <c r="AC32" s="130"/>
    </row>
    <row r="33" spans="1:29">
      <c r="A33" s="128"/>
      <c r="B33" s="2676" t="s">
        <v>12573</v>
      </c>
      <c r="C33" s="2588"/>
      <c r="D33" s="2588"/>
      <c r="E33" s="2588"/>
      <c r="F33" s="2588"/>
      <c r="G33" s="138"/>
      <c r="H33" s="130"/>
      <c r="I33" s="130"/>
      <c r="J33" s="130"/>
      <c r="K33" s="130"/>
      <c r="L33" s="130"/>
      <c r="M33" s="130"/>
      <c r="N33" s="130"/>
      <c r="O33" s="130"/>
      <c r="P33" s="130"/>
      <c r="Q33" s="130"/>
      <c r="R33" s="130"/>
      <c r="S33" s="130"/>
      <c r="T33" s="130"/>
      <c r="U33" s="130"/>
      <c r="V33" s="130"/>
      <c r="W33" s="130"/>
      <c r="X33" s="130"/>
      <c r="Y33" s="130"/>
      <c r="Z33" s="130"/>
      <c r="AA33" s="130"/>
      <c r="AB33" s="130"/>
      <c r="AC33" s="130"/>
    </row>
    <row r="34" spans="1:29">
      <c r="A34" s="128"/>
      <c r="B34" s="2676" t="s">
        <v>12574</v>
      </c>
      <c r="C34" s="2588"/>
      <c r="D34" s="2588"/>
      <c r="E34" s="2588"/>
      <c r="F34" s="2588"/>
      <c r="G34" s="139"/>
      <c r="H34" s="130"/>
      <c r="I34" s="130"/>
      <c r="J34" s="130"/>
      <c r="K34" s="130"/>
      <c r="L34" s="130"/>
      <c r="M34" s="130"/>
      <c r="N34" s="130"/>
      <c r="O34" s="130"/>
      <c r="P34" s="130"/>
      <c r="Q34" s="130"/>
      <c r="R34" s="130"/>
      <c r="S34" s="130"/>
      <c r="T34" s="130"/>
      <c r="U34" s="130"/>
      <c r="V34" s="130"/>
      <c r="W34" s="130"/>
      <c r="X34" s="130"/>
      <c r="Y34" s="130"/>
      <c r="Z34" s="130"/>
      <c r="AA34" s="130"/>
      <c r="AB34" s="130"/>
      <c r="AC34" s="130"/>
    </row>
    <row r="35" spans="1:29">
      <c r="A35" s="128"/>
      <c r="B35" s="2676" t="s">
        <v>12575</v>
      </c>
      <c r="C35" s="2588"/>
      <c r="D35" s="2588"/>
      <c r="E35" s="2588"/>
      <c r="F35" s="2588"/>
      <c r="G35" s="139"/>
      <c r="H35" s="130"/>
      <c r="I35" s="130"/>
      <c r="J35" s="130"/>
      <c r="K35" s="130"/>
      <c r="L35" s="130"/>
      <c r="M35" s="130"/>
      <c r="N35" s="130"/>
      <c r="O35" s="130"/>
      <c r="P35" s="130"/>
      <c r="Q35" s="130"/>
      <c r="R35" s="130"/>
      <c r="S35" s="130"/>
      <c r="T35" s="130"/>
      <c r="U35" s="130"/>
      <c r="V35" s="130"/>
      <c r="W35" s="130"/>
      <c r="X35" s="130"/>
      <c r="Y35" s="130"/>
      <c r="Z35" s="130"/>
      <c r="AA35" s="130"/>
      <c r="AB35" s="130"/>
      <c r="AC35" s="130"/>
    </row>
    <row r="36" spans="1:29">
      <c r="A36" s="128"/>
      <c r="B36" s="2676" t="s">
        <v>12576</v>
      </c>
      <c r="C36" s="2588"/>
      <c r="D36" s="2588"/>
      <c r="E36" s="2588"/>
      <c r="F36" s="2588"/>
      <c r="G36" s="139"/>
      <c r="H36" s="130"/>
      <c r="I36" s="130"/>
      <c r="J36" s="130"/>
      <c r="K36" s="130"/>
      <c r="L36" s="130"/>
      <c r="M36" s="130"/>
      <c r="N36" s="130"/>
      <c r="O36" s="130"/>
      <c r="P36" s="130"/>
      <c r="Q36" s="130"/>
      <c r="R36" s="130"/>
      <c r="S36" s="130"/>
      <c r="T36" s="130"/>
      <c r="U36" s="130"/>
      <c r="V36" s="130"/>
      <c r="W36" s="130"/>
      <c r="X36" s="130"/>
      <c r="Y36" s="130"/>
      <c r="Z36" s="130"/>
      <c r="AA36" s="130"/>
      <c r="AB36" s="130"/>
      <c r="AC36" s="130"/>
    </row>
    <row r="37" spans="1:29">
      <c r="A37" s="2675"/>
      <c r="B37" s="2631"/>
      <c r="C37" s="2631"/>
      <c r="D37" s="2631"/>
      <c r="E37" s="2631"/>
      <c r="F37" s="2631"/>
      <c r="G37" s="2625"/>
      <c r="H37" s="130"/>
      <c r="I37" s="130"/>
      <c r="J37" s="130"/>
      <c r="K37" s="130"/>
      <c r="L37" s="130"/>
      <c r="M37" s="130"/>
      <c r="N37" s="130"/>
      <c r="O37" s="130"/>
      <c r="P37" s="130"/>
      <c r="Q37" s="130"/>
      <c r="R37" s="130"/>
      <c r="S37" s="130"/>
      <c r="T37" s="130"/>
      <c r="U37" s="130"/>
      <c r="V37" s="130"/>
      <c r="W37" s="130"/>
      <c r="X37" s="130"/>
      <c r="Y37" s="130"/>
      <c r="Z37" s="130"/>
      <c r="AA37" s="130"/>
      <c r="AB37" s="130"/>
      <c r="AC37" s="130"/>
    </row>
    <row r="38" spans="1:29">
      <c r="A38" s="2670"/>
      <c r="B38" s="2588"/>
      <c r="C38" s="2588"/>
      <c r="D38" s="2588"/>
      <c r="E38" s="2588"/>
      <c r="F38" s="2588"/>
      <c r="G38" s="2588"/>
      <c r="H38" s="130"/>
      <c r="I38" s="130"/>
      <c r="J38" s="130"/>
      <c r="K38" s="130"/>
      <c r="L38" s="130"/>
      <c r="M38" s="130"/>
      <c r="N38" s="130"/>
      <c r="O38" s="130"/>
      <c r="P38" s="130"/>
      <c r="Q38" s="130"/>
      <c r="R38" s="130"/>
      <c r="S38" s="130"/>
      <c r="T38" s="130"/>
      <c r="U38" s="130"/>
      <c r="V38" s="130"/>
      <c r="W38" s="130"/>
      <c r="X38" s="130"/>
      <c r="Y38" s="130"/>
      <c r="Z38" s="130"/>
      <c r="AA38" s="130"/>
      <c r="AB38" s="130"/>
      <c r="AC38" s="130"/>
    </row>
    <row r="39" spans="1:29" ht="15.75">
      <c r="A39" s="131" t="s">
        <v>12577</v>
      </c>
      <c r="B39" s="2671" t="s">
        <v>12578</v>
      </c>
      <c r="C39" s="2634"/>
      <c r="D39" s="2634"/>
      <c r="E39" s="2634"/>
      <c r="F39" s="2634"/>
      <c r="G39" s="137"/>
      <c r="H39" s="130"/>
      <c r="I39" s="130"/>
      <c r="J39" s="130"/>
      <c r="K39" s="130"/>
      <c r="L39" s="130"/>
      <c r="M39" s="130"/>
      <c r="N39" s="130"/>
      <c r="O39" s="130"/>
      <c r="P39" s="130"/>
      <c r="Q39" s="130"/>
      <c r="R39" s="130"/>
      <c r="S39" s="130"/>
      <c r="T39" s="130"/>
      <c r="U39" s="130"/>
      <c r="V39" s="130"/>
      <c r="W39" s="130"/>
      <c r="X39" s="130"/>
      <c r="Y39" s="130"/>
      <c r="Z39" s="130"/>
      <c r="AA39" s="130"/>
      <c r="AB39" s="130"/>
      <c r="AC39" s="130"/>
    </row>
    <row r="40" spans="1:29" ht="17.25">
      <c r="A40" s="2656"/>
      <c r="B40" s="2588"/>
      <c r="C40" s="2588"/>
      <c r="D40" s="2588"/>
      <c r="E40" s="2588"/>
      <c r="F40" s="2588"/>
      <c r="G40" s="2657"/>
      <c r="H40" s="130"/>
      <c r="I40" s="130"/>
      <c r="J40" s="130"/>
      <c r="K40" s="130"/>
      <c r="L40" s="130"/>
      <c r="M40" s="130"/>
      <c r="N40" s="130"/>
      <c r="O40" s="130"/>
      <c r="P40" s="130"/>
      <c r="Q40" s="130"/>
      <c r="R40" s="130"/>
      <c r="S40" s="130"/>
      <c r="T40" s="130"/>
      <c r="U40" s="130"/>
      <c r="V40" s="130"/>
      <c r="W40" s="130"/>
      <c r="X40" s="130"/>
      <c r="Y40" s="130"/>
      <c r="Z40" s="130"/>
      <c r="AA40" s="130"/>
      <c r="AB40" s="130"/>
      <c r="AC40" s="130"/>
    </row>
    <row r="41" spans="1:29" ht="15.75">
      <c r="A41" s="128"/>
      <c r="B41" s="2647" t="s">
        <v>12579</v>
      </c>
      <c r="C41" s="2588"/>
      <c r="D41" s="2588"/>
      <c r="E41" s="2588"/>
      <c r="F41" s="2588"/>
      <c r="G41" s="138"/>
      <c r="H41" s="130"/>
      <c r="I41" s="130"/>
      <c r="J41" s="130"/>
      <c r="K41" s="130"/>
      <c r="L41" s="130"/>
      <c r="M41" s="130"/>
      <c r="N41" s="130"/>
      <c r="O41" s="130"/>
      <c r="P41" s="130"/>
      <c r="Q41" s="130"/>
      <c r="R41" s="130"/>
      <c r="S41" s="130"/>
      <c r="T41" s="130"/>
      <c r="U41" s="130"/>
      <c r="V41" s="130"/>
      <c r="W41" s="130"/>
      <c r="X41" s="130"/>
      <c r="Y41" s="130"/>
      <c r="Z41" s="130"/>
      <c r="AA41" s="130"/>
      <c r="AB41" s="130"/>
      <c r="AC41" s="130"/>
    </row>
    <row r="42" spans="1:29" ht="15.75">
      <c r="A42" s="128"/>
      <c r="B42" s="2647" t="s">
        <v>12580</v>
      </c>
      <c r="C42" s="2588"/>
      <c r="D42" s="2588"/>
      <c r="E42" s="2588"/>
      <c r="F42" s="2588"/>
      <c r="G42" s="138"/>
      <c r="H42" s="130"/>
      <c r="I42" s="130"/>
      <c r="J42" s="130"/>
      <c r="K42" s="130"/>
      <c r="L42" s="130"/>
      <c r="M42" s="130"/>
      <c r="N42" s="130"/>
      <c r="O42" s="130"/>
      <c r="P42" s="130"/>
      <c r="Q42" s="130"/>
      <c r="R42" s="130"/>
      <c r="S42" s="130"/>
      <c r="T42" s="130"/>
      <c r="U42" s="130"/>
      <c r="V42" s="130"/>
      <c r="W42" s="130"/>
      <c r="X42" s="130"/>
      <c r="Y42" s="130"/>
      <c r="Z42" s="130"/>
      <c r="AA42" s="130"/>
      <c r="AB42" s="130"/>
      <c r="AC42" s="130"/>
    </row>
    <row r="43" spans="1:29" ht="17.25">
      <c r="A43" s="2656"/>
      <c r="B43" s="2588"/>
      <c r="C43" s="2588"/>
      <c r="D43" s="2588"/>
      <c r="E43" s="2588"/>
      <c r="F43" s="2588"/>
      <c r="G43" s="2657"/>
      <c r="H43" s="130"/>
      <c r="I43" s="130"/>
      <c r="J43" s="130"/>
      <c r="K43" s="130"/>
      <c r="L43" s="130"/>
      <c r="M43" s="130"/>
      <c r="N43" s="130"/>
      <c r="O43" s="130"/>
      <c r="P43" s="130"/>
      <c r="Q43" s="130"/>
      <c r="R43" s="130"/>
      <c r="S43" s="130"/>
      <c r="T43" s="130"/>
      <c r="U43" s="130"/>
      <c r="V43" s="130"/>
      <c r="W43" s="130"/>
      <c r="X43" s="130"/>
      <c r="Y43" s="130"/>
      <c r="Z43" s="130"/>
      <c r="AA43" s="130"/>
      <c r="AB43" s="130"/>
      <c r="AC43" s="130"/>
    </row>
    <row r="44" spans="1:29">
      <c r="A44" s="128"/>
      <c r="B44" s="2677" t="s">
        <v>12581</v>
      </c>
      <c r="C44" s="2615"/>
      <c r="D44" s="2615"/>
      <c r="E44" s="2615"/>
      <c r="F44" s="2616"/>
      <c r="G44" s="139"/>
      <c r="H44" s="130"/>
      <c r="I44" s="130"/>
      <c r="J44" s="130"/>
      <c r="K44" s="130"/>
      <c r="L44" s="130"/>
      <c r="M44" s="130"/>
      <c r="N44" s="130"/>
      <c r="O44" s="130"/>
      <c r="P44" s="130"/>
      <c r="Q44" s="130"/>
      <c r="R44" s="130"/>
      <c r="S44" s="130"/>
      <c r="T44" s="130"/>
      <c r="U44" s="130"/>
      <c r="V44" s="130"/>
      <c r="W44" s="130"/>
      <c r="X44" s="130"/>
      <c r="Y44" s="130"/>
      <c r="Z44" s="130"/>
      <c r="AA44" s="130"/>
      <c r="AB44" s="130"/>
      <c r="AC44" s="130"/>
    </row>
    <row r="45" spans="1:29">
      <c r="A45" s="128"/>
      <c r="B45" s="140" t="s">
        <v>12582</v>
      </c>
      <c r="C45" s="2678" t="s">
        <v>12583</v>
      </c>
      <c r="D45" s="2595"/>
      <c r="E45" s="141" t="s">
        <v>12584</v>
      </c>
      <c r="F45" s="142" t="s">
        <v>12585</v>
      </c>
      <c r="G45" s="139"/>
      <c r="H45" s="130"/>
      <c r="I45" s="130"/>
      <c r="J45" s="130"/>
      <c r="K45" s="130"/>
      <c r="L45" s="130"/>
      <c r="M45" s="130"/>
      <c r="N45" s="130"/>
      <c r="O45" s="130"/>
      <c r="P45" s="130"/>
      <c r="Q45" s="130"/>
      <c r="R45" s="130"/>
      <c r="S45" s="130"/>
      <c r="T45" s="130"/>
      <c r="U45" s="130"/>
      <c r="V45" s="130"/>
      <c r="W45" s="130"/>
      <c r="X45" s="130"/>
      <c r="Y45" s="130"/>
      <c r="Z45" s="130"/>
      <c r="AA45" s="130"/>
      <c r="AB45" s="130"/>
      <c r="AC45" s="130"/>
    </row>
    <row r="46" spans="1:29" ht="19.5">
      <c r="A46" s="128"/>
      <c r="B46" s="2679" t="s">
        <v>12586</v>
      </c>
      <c r="C46" s="2682" t="s">
        <v>12587</v>
      </c>
      <c r="D46" s="2595"/>
      <c r="E46" s="143" t="s">
        <v>409</v>
      </c>
      <c r="F46" s="144">
        <f>E57</f>
        <v>350</v>
      </c>
      <c r="G46" s="145"/>
      <c r="H46" s="130"/>
      <c r="I46" s="130"/>
      <c r="J46" s="130"/>
      <c r="K46" s="130"/>
      <c r="L46" s="130"/>
      <c r="M46" s="130"/>
      <c r="N46" s="130"/>
      <c r="O46" s="130"/>
      <c r="P46" s="130"/>
      <c r="Q46" s="130"/>
      <c r="R46" s="130"/>
      <c r="S46" s="130"/>
      <c r="T46" s="130"/>
      <c r="U46" s="130"/>
      <c r="V46" s="130"/>
      <c r="W46" s="130"/>
      <c r="X46" s="130"/>
      <c r="Y46" s="130"/>
      <c r="Z46" s="130"/>
      <c r="AA46" s="130"/>
      <c r="AB46" s="130"/>
      <c r="AC46" s="130"/>
    </row>
    <row r="47" spans="1:29">
      <c r="A47" s="128"/>
      <c r="B47" s="2680"/>
      <c r="C47" s="2682" t="s">
        <v>12588</v>
      </c>
      <c r="D47" s="2595"/>
      <c r="E47" s="143" t="s">
        <v>409</v>
      </c>
      <c r="F47" s="144">
        <f>E62</f>
        <v>2700</v>
      </c>
      <c r="G47" s="146"/>
      <c r="H47" s="130"/>
      <c r="I47" s="130"/>
      <c r="J47" s="130"/>
      <c r="K47" s="130"/>
      <c r="L47" s="130"/>
      <c r="M47" s="130"/>
      <c r="N47" s="130"/>
      <c r="O47" s="130"/>
      <c r="P47" s="130"/>
      <c r="Q47" s="130"/>
      <c r="R47" s="130"/>
      <c r="S47" s="130"/>
      <c r="T47" s="130"/>
      <c r="U47" s="130"/>
      <c r="V47" s="130"/>
      <c r="W47" s="130"/>
      <c r="X47" s="130"/>
      <c r="Y47" s="130"/>
      <c r="Z47" s="130"/>
      <c r="AA47" s="130"/>
      <c r="AB47" s="130"/>
      <c r="AC47" s="130"/>
    </row>
    <row r="48" spans="1:29">
      <c r="A48" s="128"/>
      <c r="B48" s="2680"/>
      <c r="C48" s="2683" t="s">
        <v>12589</v>
      </c>
      <c r="D48" s="2595"/>
      <c r="E48" s="147" t="s">
        <v>409</v>
      </c>
      <c r="F48" s="144">
        <f>E69</f>
        <v>2400</v>
      </c>
      <c r="G48" s="139"/>
      <c r="H48" s="130"/>
      <c r="I48" s="130"/>
      <c r="J48" s="130"/>
      <c r="K48" s="130"/>
      <c r="L48" s="130"/>
      <c r="M48" s="130"/>
      <c r="N48" s="130"/>
      <c r="O48" s="130"/>
      <c r="P48" s="130"/>
      <c r="Q48" s="130"/>
      <c r="R48" s="130"/>
      <c r="S48" s="130"/>
      <c r="T48" s="130"/>
      <c r="U48" s="130"/>
      <c r="V48" s="130"/>
      <c r="W48" s="130"/>
      <c r="X48" s="130"/>
      <c r="Y48" s="130"/>
      <c r="Z48" s="130"/>
      <c r="AA48" s="130"/>
      <c r="AB48" s="130"/>
      <c r="AC48" s="130"/>
    </row>
    <row r="49" spans="1:29">
      <c r="A49" s="128"/>
      <c r="B49" s="2681"/>
      <c r="C49" s="2684" t="s">
        <v>12590</v>
      </c>
      <c r="D49" s="2685"/>
      <c r="E49" s="148" t="s">
        <v>409</v>
      </c>
      <c r="F49" s="149">
        <f>E76</f>
        <v>1600</v>
      </c>
      <c r="G49" s="139"/>
      <c r="H49" s="130"/>
      <c r="I49" s="130"/>
      <c r="J49" s="130"/>
      <c r="K49" s="130"/>
      <c r="L49" s="130"/>
      <c r="M49" s="130"/>
      <c r="N49" s="130"/>
      <c r="O49" s="130"/>
      <c r="P49" s="130"/>
      <c r="Q49" s="130"/>
      <c r="R49" s="130"/>
      <c r="S49" s="130"/>
      <c r="T49" s="130"/>
      <c r="U49" s="130"/>
      <c r="V49" s="130"/>
      <c r="W49" s="130"/>
      <c r="X49" s="130"/>
      <c r="Y49" s="130"/>
      <c r="Z49" s="130"/>
      <c r="AA49" s="130"/>
      <c r="AB49" s="130"/>
      <c r="AC49" s="130"/>
    </row>
    <row r="50" spans="1:29" ht="17.25">
      <c r="A50" s="126"/>
      <c r="B50" s="135"/>
      <c r="C50" s="135"/>
      <c r="D50" s="135"/>
      <c r="E50" s="135"/>
      <c r="F50" s="135"/>
      <c r="G50" s="150"/>
      <c r="H50" s="130"/>
      <c r="I50" s="130"/>
      <c r="J50" s="130"/>
      <c r="K50" s="130"/>
      <c r="L50" s="130"/>
      <c r="M50" s="130"/>
      <c r="N50" s="130"/>
      <c r="O50" s="130"/>
      <c r="P50" s="130"/>
      <c r="Q50" s="130"/>
      <c r="R50" s="130"/>
      <c r="S50" s="130"/>
      <c r="T50" s="130"/>
      <c r="U50" s="130"/>
      <c r="V50" s="130"/>
      <c r="W50" s="130"/>
      <c r="X50" s="130"/>
      <c r="Y50" s="130"/>
      <c r="Z50" s="130"/>
      <c r="AA50" s="130"/>
      <c r="AB50" s="130"/>
      <c r="AC50" s="130"/>
    </row>
    <row r="51" spans="1:29" ht="17.25">
      <c r="A51" s="128"/>
      <c r="B51" s="135"/>
      <c r="C51" s="151" t="s">
        <v>12591</v>
      </c>
      <c r="D51" s="152" t="s">
        <v>12592</v>
      </c>
      <c r="E51" s="153" t="s">
        <v>12593</v>
      </c>
      <c r="F51" s="135"/>
      <c r="G51" s="139"/>
      <c r="H51" s="130"/>
      <c r="I51" s="130"/>
      <c r="J51" s="130"/>
      <c r="K51" s="130"/>
      <c r="L51" s="130"/>
      <c r="M51" s="130"/>
      <c r="N51" s="130"/>
      <c r="O51" s="130"/>
      <c r="P51" s="130"/>
      <c r="Q51" s="130"/>
      <c r="R51" s="130"/>
      <c r="S51" s="130"/>
      <c r="T51" s="130"/>
      <c r="U51" s="130"/>
      <c r="V51" s="130"/>
      <c r="W51" s="130"/>
      <c r="X51" s="130"/>
      <c r="Y51" s="130"/>
      <c r="Z51" s="130"/>
      <c r="AA51" s="130"/>
      <c r="AB51" s="130"/>
      <c r="AC51" s="130"/>
    </row>
    <row r="52" spans="1:29" ht="17.25">
      <c r="A52" s="128"/>
      <c r="B52" s="135"/>
      <c r="C52" s="154" t="s">
        <v>12594</v>
      </c>
      <c r="D52" s="155" t="s">
        <v>409</v>
      </c>
      <c r="E52" s="156">
        <v>392.78</v>
      </c>
      <c r="F52" s="135"/>
      <c r="G52" s="139"/>
      <c r="H52" s="130"/>
      <c r="I52" s="130"/>
      <c r="J52" s="130"/>
      <c r="K52" s="130"/>
      <c r="L52" s="130"/>
      <c r="M52" s="130"/>
      <c r="N52" s="130"/>
      <c r="O52" s="130"/>
      <c r="P52" s="130"/>
      <c r="Q52" s="130"/>
      <c r="R52" s="130"/>
      <c r="S52" s="130"/>
      <c r="T52" s="130"/>
      <c r="U52" s="130"/>
      <c r="V52" s="130"/>
      <c r="W52" s="130"/>
      <c r="X52" s="130"/>
      <c r="Y52" s="130"/>
      <c r="Z52" s="130"/>
      <c r="AA52" s="130"/>
      <c r="AB52" s="130"/>
      <c r="AC52" s="130"/>
    </row>
    <row r="53" spans="1:29" ht="17.25">
      <c r="A53" s="128"/>
      <c r="B53" s="135"/>
      <c r="C53" s="80" t="s">
        <v>12465</v>
      </c>
      <c r="D53" s="155" t="s">
        <v>409</v>
      </c>
      <c r="E53" s="157">
        <v>26.95</v>
      </c>
      <c r="F53" s="135"/>
      <c r="G53" s="139"/>
      <c r="H53" s="130"/>
      <c r="I53" s="130"/>
      <c r="J53" s="130"/>
      <c r="K53" s="130"/>
      <c r="L53" s="130"/>
      <c r="M53" s="130"/>
      <c r="N53" s="130"/>
      <c r="O53" s="130"/>
      <c r="P53" s="130"/>
      <c r="Q53" s="130"/>
      <c r="R53" s="130"/>
      <c r="S53" s="130"/>
      <c r="T53" s="130"/>
      <c r="U53" s="130"/>
      <c r="V53" s="130"/>
      <c r="W53" s="130"/>
      <c r="X53" s="130"/>
      <c r="Y53" s="130"/>
      <c r="Z53" s="130"/>
      <c r="AA53" s="130"/>
      <c r="AB53" s="130"/>
      <c r="AC53" s="130"/>
    </row>
    <row r="54" spans="1:29" ht="17.25">
      <c r="A54" s="128"/>
      <c r="B54" s="135"/>
      <c r="C54" s="80" t="s">
        <v>12595</v>
      </c>
      <c r="D54" s="155" t="s">
        <v>409</v>
      </c>
      <c r="E54" s="157">
        <v>206.8</v>
      </c>
      <c r="F54" s="135"/>
      <c r="G54" s="139"/>
      <c r="H54" s="130"/>
      <c r="I54" s="130"/>
      <c r="J54" s="130"/>
      <c r="K54" s="130"/>
      <c r="L54" s="130"/>
      <c r="M54" s="130"/>
      <c r="N54" s="130"/>
      <c r="O54" s="130"/>
      <c r="P54" s="130"/>
      <c r="Q54" s="130"/>
      <c r="R54" s="130"/>
      <c r="S54" s="130"/>
      <c r="T54" s="130"/>
      <c r="U54" s="130"/>
      <c r="V54" s="130"/>
      <c r="W54" s="130"/>
      <c r="X54" s="130"/>
      <c r="Y54" s="130"/>
      <c r="Z54" s="130"/>
      <c r="AA54" s="130"/>
      <c r="AB54" s="130"/>
      <c r="AC54" s="130"/>
    </row>
    <row r="55" spans="1:29" ht="17.25">
      <c r="A55" s="128"/>
      <c r="B55" s="135"/>
      <c r="C55" s="80" t="s">
        <v>12596</v>
      </c>
      <c r="D55" s="155" t="s">
        <v>409</v>
      </c>
      <c r="E55" s="157">
        <v>280.19</v>
      </c>
      <c r="F55" s="135"/>
      <c r="G55" s="139"/>
      <c r="H55" s="130"/>
      <c r="I55" s="130"/>
      <c r="J55" s="130"/>
      <c r="K55" s="130"/>
      <c r="L55" s="130"/>
      <c r="M55" s="130"/>
      <c r="N55" s="130"/>
      <c r="O55" s="130"/>
      <c r="P55" s="130"/>
      <c r="Q55" s="130"/>
      <c r="R55" s="130"/>
      <c r="S55" s="130"/>
      <c r="T55" s="130"/>
      <c r="U55" s="130"/>
      <c r="V55" s="130"/>
      <c r="W55" s="130"/>
      <c r="X55" s="130"/>
      <c r="Y55" s="130"/>
      <c r="Z55" s="130"/>
      <c r="AA55" s="130"/>
      <c r="AB55" s="130"/>
      <c r="AC55" s="130"/>
    </row>
    <row r="56" spans="1:29" ht="17.25">
      <c r="A56" s="128"/>
      <c r="B56" s="135"/>
      <c r="C56" s="2650" t="s">
        <v>12597</v>
      </c>
      <c r="D56" s="2634"/>
      <c r="E56" s="158">
        <f>SUM(E52:E55)</f>
        <v>906.72</v>
      </c>
      <c r="F56" s="135"/>
      <c r="G56" s="139"/>
      <c r="H56" s="130"/>
      <c r="I56" s="130"/>
      <c r="J56" s="130"/>
      <c r="K56" s="130"/>
      <c r="L56" s="130"/>
      <c r="M56" s="130"/>
      <c r="N56" s="130"/>
      <c r="O56" s="130"/>
      <c r="P56" s="130"/>
      <c r="Q56" s="130"/>
      <c r="R56" s="130"/>
      <c r="S56" s="130"/>
      <c r="T56" s="130"/>
      <c r="U56" s="130"/>
      <c r="V56" s="130"/>
      <c r="W56" s="130"/>
      <c r="X56" s="130"/>
      <c r="Y56" s="130"/>
      <c r="Z56" s="130"/>
      <c r="AA56" s="130"/>
      <c r="AB56" s="130"/>
      <c r="AC56" s="130"/>
    </row>
    <row r="57" spans="1:29" ht="17.25">
      <c r="A57" s="128"/>
      <c r="B57" s="135"/>
      <c r="C57" s="2651" t="s">
        <v>12598</v>
      </c>
      <c r="D57" s="2610"/>
      <c r="E57" s="159">
        <v>350</v>
      </c>
      <c r="F57" s="135"/>
      <c r="G57" s="139"/>
      <c r="H57" s="130"/>
      <c r="I57" s="130"/>
      <c r="J57" s="130"/>
      <c r="K57" s="130"/>
      <c r="L57" s="130"/>
      <c r="M57" s="130"/>
      <c r="N57" s="130"/>
      <c r="O57" s="130"/>
      <c r="P57" s="130"/>
      <c r="Q57" s="130"/>
      <c r="R57" s="130"/>
      <c r="S57" s="130"/>
      <c r="T57" s="130"/>
      <c r="U57" s="130"/>
      <c r="V57" s="130"/>
      <c r="W57" s="130"/>
      <c r="X57" s="130"/>
      <c r="Y57" s="130"/>
      <c r="Z57" s="130"/>
      <c r="AA57" s="130"/>
      <c r="AB57" s="130"/>
      <c r="AC57" s="130"/>
    </row>
    <row r="58" spans="1:29" ht="17.25">
      <c r="A58" s="126"/>
      <c r="B58" s="135"/>
      <c r="C58" s="135"/>
      <c r="D58" s="135"/>
      <c r="E58" s="135"/>
      <c r="F58" s="135"/>
      <c r="G58" s="150"/>
      <c r="H58" s="130"/>
      <c r="I58" s="130"/>
      <c r="J58" s="130"/>
      <c r="K58" s="130"/>
      <c r="L58" s="130"/>
      <c r="M58" s="130"/>
      <c r="N58" s="130"/>
      <c r="O58" s="130"/>
      <c r="P58" s="130"/>
      <c r="Q58" s="130"/>
      <c r="R58" s="130"/>
      <c r="S58" s="130"/>
      <c r="T58" s="130"/>
      <c r="U58" s="130"/>
      <c r="V58" s="130"/>
      <c r="W58" s="130"/>
      <c r="X58" s="130"/>
      <c r="Y58" s="130"/>
      <c r="Z58" s="130"/>
      <c r="AA58" s="130"/>
      <c r="AB58" s="130"/>
      <c r="AC58" s="130"/>
    </row>
    <row r="59" spans="1:29" ht="17.25">
      <c r="A59" s="128"/>
      <c r="B59" s="135"/>
      <c r="C59" s="151" t="s">
        <v>12591</v>
      </c>
      <c r="D59" s="152" t="s">
        <v>12592</v>
      </c>
      <c r="E59" s="153" t="s">
        <v>12593</v>
      </c>
      <c r="F59" s="135"/>
      <c r="G59" s="139"/>
      <c r="H59" s="130"/>
      <c r="I59" s="130"/>
      <c r="J59" s="130"/>
      <c r="K59" s="130"/>
      <c r="L59" s="130"/>
      <c r="M59" s="130"/>
      <c r="N59" s="130"/>
      <c r="O59" s="130"/>
      <c r="P59" s="130"/>
      <c r="Q59" s="130"/>
      <c r="R59" s="130"/>
      <c r="S59" s="130"/>
      <c r="T59" s="130"/>
      <c r="U59" s="130"/>
      <c r="V59" s="130"/>
      <c r="W59" s="130"/>
      <c r="X59" s="130"/>
      <c r="Y59" s="130"/>
      <c r="Z59" s="130"/>
      <c r="AA59" s="130"/>
      <c r="AB59" s="130"/>
      <c r="AC59" s="130"/>
    </row>
    <row r="60" spans="1:29" ht="17.25">
      <c r="A60" s="128"/>
      <c r="B60" s="135"/>
      <c r="C60" s="80" t="s">
        <v>12464</v>
      </c>
      <c r="D60" s="155" t="s">
        <v>409</v>
      </c>
      <c r="E60" s="157">
        <v>6919.19</v>
      </c>
      <c r="F60" s="135"/>
      <c r="G60" s="139"/>
      <c r="H60" s="130"/>
      <c r="I60" s="130"/>
      <c r="J60" s="130"/>
      <c r="K60" s="130"/>
      <c r="L60" s="130"/>
      <c r="M60" s="130"/>
      <c r="N60" s="130"/>
      <c r="O60" s="130"/>
      <c r="P60" s="130"/>
      <c r="Q60" s="130"/>
      <c r="R60" s="130"/>
      <c r="S60" s="130"/>
      <c r="T60" s="130"/>
      <c r="U60" s="130"/>
      <c r="V60" s="130"/>
      <c r="W60" s="130"/>
      <c r="X60" s="130"/>
      <c r="Y60" s="130"/>
      <c r="Z60" s="130"/>
      <c r="AA60" s="130"/>
      <c r="AB60" s="130"/>
      <c r="AC60" s="130"/>
    </row>
    <row r="61" spans="1:29" ht="17.25">
      <c r="A61" s="128"/>
      <c r="B61" s="135"/>
      <c r="C61" s="2650" t="s">
        <v>12597</v>
      </c>
      <c r="D61" s="2634"/>
      <c r="E61" s="158">
        <f>SUM(E60)</f>
        <v>6919.19</v>
      </c>
      <c r="F61" s="135"/>
      <c r="G61" s="139"/>
      <c r="H61" s="130"/>
      <c r="I61" s="130"/>
      <c r="J61" s="130"/>
      <c r="K61" s="130"/>
      <c r="L61" s="130"/>
      <c r="M61" s="130"/>
      <c r="N61" s="130"/>
      <c r="O61" s="130"/>
      <c r="P61" s="130"/>
      <c r="Q61" s="130"/>
      <c r="R61" s="130"/>
      <c r="S61" s="130"/>
      <c r="T61" s="130"/>
      <c r="U61" s="130"/>
      <c r="V61" s="130"/>
      <c r="W61" s="130"/>
      <c r="X61" s="130"/>
      <c r="Y61" s="130"/>
      <c r="Z61" s="130"/>
      <c r="AA61" s="130"/>
      <c r="AB61" s="130"/>
      <c r="AC61" s="130"/>
    </row>
    <row r="62" spans="1:29" ht="17.25">
      <c r="A62" s="128"/>
      <c r="B62" s="135"/>
      <c r="C62" s="2651" t="s">
        <v>12598</v>
      </c>
      <c r="D62" s="2610"/>
      <c r="E62" s="160">
        <v>2700</v>
      </c>
      <c r="F62" s="135"/>
      <c r="G62" s="139"/>
      <c r="H62" s="130"/>
      <c r="I62" s="130"/>
      <c r="J62" s="130"/>
      <c r="K62" s="130"/>
      <c r="L62" s="130"/>
      <c r="M62" s="130"/>
      <c r="N62" s="130"/>
      <c r="O62" s="130"/>
      <c r="P62" s="130"/>
      <c r="Q62" s="130"/>
      <c r="R62" s="130"/>
      <c r="S62" s="130"/>
      <c r="T62" s="130"/>
      <c r="U62" s="130"/>
      <c r="V62" s="130"/>
      <c r="W62" s="130"/>
      <c r="X62" s="130"/>
      <c r="Y62" s="130"/>
      <c r="Z62" s="130"/>
      <c r="AA62" s="130"/>
      <c r="AB62" s="130"/>
      <c r="AC62" s="130"/>
    </row>
    <row r="63" spans="1:29" ht="17.25">
      <c r="A63" s="161"/>
      <c r="B63" s="135"/>
      <c r="F63" s="135"/>
      <c r="G63" s="162"/>
      <c r="H63" s="130"/>
      <c r="I63" s="130"/>
      <c r="J63" s="130"/>
      <c r="K63" s="130"/>
      <c r="L63" s="130"/>
      <c r="M63" s="130"/>
      <c r="N63" s="130"/>
      <c r="O63" s="130"/>
      <c r="P63" s="130"/>
      <c r="Q63" s="130"/>
      <c r="R63" s="130"/>
      <c r="S63" s="130"/>
      <c r="T63" s="130"/>
      <c r="U63" s="130"/>
      <c r="V63" s="130"/>
      <c r="W63" s="130"/>
      <c r="X63" s="130"/>
      <c r="Y63" s="130"/>
      <c r="Z63" s="130"/>
      <c r="AA63" s="130"/>
      <c r="AB63" s="130"/>
      <c r="AC63" s="130"/>
    </row>
    <row r="64" spans="1:29">
      <c r="A64" s="128"/>
      <c r="B64" s="163" t="s">
        <v>1</v>
      </c>
      <c r="C64" s="164" t="s">
        <v>12591</v>
      </c>
      <c r="D64" s="152" t="s">
        <v>12592</v>
      </c>
      <c r="E64" s="165" t="s">
        <v>12593</v>
      </c>
      <c r="F64" s="153" t="s">
        <v>12599</v>
      </c>
      <c r="G64" s="139"/>
      <c r="H64" s="130"/>
      <c r="I64" s="130"/>
      <c r="J64" s="130"/>
      <c r="K64" s="130"/>
      <c r="L64" s="130"/>
      <c r="M64" s="130"/>
      <c r="N64" s="130"/>
      <c r="O64" s="130"/>
      <c r="P64" s="130"/>
      <c r="Q64" s="130"/>
      <c r="R64" s="130"/>
      <c r="S64" s="130"/>
      <c r="T64" s="130"/>
      <c r="U64" s="130"/>
      <c r="V64" s="130"/>
      <c r="W64" s="130"/>
      <c r="X64" s="130"/>
      <c r="Y64" s="130"/>
      <c r="Z64" s="130"/>
      <c r="AA64" s="130"/>
      <c r="AB64" s="130"/>
      <c r="AC64" s="130"/>
    </row>
    <row r="65" spans="1:29" ht="26.25">
      <c r="A65" s="128"/>
      <c r="B65" s="166" t="s">
        <v>12600</v>
      </c>
      <c r="C65" s="167" t="str">
        <f>VLOOKUP($B65,'Medição '!$B:$G,3,0)</f>
        <v>PISO EM GRANITO CINZA ANDORINHA, FRISOS ANTIDERRAPANTES, LEVIGADO, E=2CM -  FORNECIMENTO E APLICAÇÃO</v>
      </c>
      <c r="D65" s="167" t="str">
        <f>VLOOKUP($B65,'Medição '!$B:$G,4,0)</f>
        <v>M2</v>
      </c>
      <c r="E65" s="168">
        <f>VLOOKUP($B65,'Medição '!$B:$G,5,0)</f>
        <v>2750.69</v>
      </c>
      <c r="F65" s="169" t="e">
        <f>VLOOKUP($B65,'Medição '!$B:$G,10,0)</f>
        <v>#REF!</v>
      </c>
      <c r="G65" s="139"/>
      <c r="H65" s="130"/>
      <c r="I65" s="130"/>
      <c r="J65" s="130"/>
      <c r="K65" s="130"/>
      <c r="L65" s="130"/>
      <c r="M65" s="130"/>
      <c r="N65" s="130"/>
      <c r="O65" s="130"/>
      <c r="P65" s="130"/>
      <c r="Q65" s="130"/>
      <c r="R65" s="130"/>
      <c r="S65" s="130"/>
      <c r="T65" s="130"/>
      <c r="U65" s="130"/>
      <c r="V65" s="130"/>
      <c r="W65" s="130"/>
      <c r="X65" s="130"/>
      <c r="Y65" s="130"/>
      <c r="Z65" s="130"/>
      <c r="AA65" s="130"/>
      <c r="AB65" s="130"/>
      <c r="AC65" s="130"/>
    </row>
    <row r="66" spans="1:29" ht="26.25">
      <c r="A66" s="128"/>
      <c r="B66" s="166" t="s">
        <v>12601</v>
      </c>
      <c r="C66" s="167" t="str">
        <f>VLOOKUP($B66,'Medição '!$B:$G,3,0)</f>
        <v>PISO EM GRANITO BRANCO MARFIM, FRISOS ANTIDERRAPANTES, LEVIGADO, E=2CM -  FORNECIMENTO E APLICAÇÃO</v>
      </c>
      <c r="D66" s="167" t="str">
        <f>VLOOKUP($B66,'Medição '!$B:$G,4,0)</f>
        <v>M2</v>
      </c>
      <c r="E66" s="168">
        <f>VLOOKUP($B66,'Medição '!$B:$G,5,0)</f>
        <v>2784.33</v>
      </c>
      <c r="F66" s="169" t="e">
        <f>VLOOKUP($B66,'Medição '!$B:$G,10,0)</f>
        <v>#REF!</v>
      </c>
      <c r="G66" s="139"/>
      <c r="H66" s="130"/>
      <c r="I66" s="130"/>
      <c r="J66" s="130"/>
      <c r="K66" s="130"/>
      <c r="L66" s="130"/>
      <c r="M66" s="130"/>
      <c r="N66" s="130"/>
      <c r="O66" s="130"/>
      <c r="P66" s="130"/>
      <c r="Q66" s="130"/>
      <c r="R66" s="130"/>
      <c r="S66" s="130"/>
      <c r="T66" s="130"/>
      <c r="U66" s="130"/>
      <c r="V66" s="130"/>
      <c r="W66" s="130"/>
      <c r="X66" s="130"/>
      <c r="Y66" s="130"/>
      <c r="Z66" s="130"/>
      <c r="AA66" s="130"/>
      <c r="AB66" s="130"/>
      <c r="AC66" s="130"/>
    </row>
    <row r="67" spans="1:29" ht="26.25">
      <c r="A67" s="128"/>
      <c r="B67" s="166" t="s">
        <v>12602</v>
      </c>
      <c r="C67" s="167" t="str">
        <f>VLOOKUP($B67,'Medição '!$B:$G,3,0)</f>
        <v>PISO EM GRANITO SÃO GABRIEL, FRISOS ANTIDERRAPANTES, LEVIGADO, E=2CM -  FORNECIMENTO E APLICAÇÃO</v>
      </c>
      <c r="D67" s="167" t="str">
        <f>VLOOKUP($B67,'Medição '!$B:$G,4,0)</f>
        <v>M2</v>
      </c>
      <c r="E67" s="168">
        <f>VLOOKUP($B67,'Medição '!$B:$G,5,0)</f>
        <v>476.53000000000003</v>
      </c>
      <c r="F67" s="169" t="e">
        <f>VLOOKUP($B67,'Medição '!$B:$G,10,0)</f>
        <v>#REF!</v>
      </c>
      <c r="G67" s="139"/>
      <c r="H67" s="130"/>
      <c r="I67" s="130"/>
      <c r="J67" s="130"/>
      <c r="K67" s="130"/>
      <c r="L67" s="130"/>
      <c r="M67" s="130"/>
      <c r="N67" s="130"/>
      <c r="O67" s="130"/>
      <c r="P67" s="130"/>
      <c r="Q67" s="130"/>
      <c r="R67" s="130"/>
      <c r="S67" s="130"/>
      <c r="T67" s="130"/>
      <c r="U67" s="130"/>
      <c r="V67" s="130"/>
      <c r="W67" s="130"/>
      <c r="X67" s="130"/>
      <c r="Y67" s="130"/>
      <c r="Z67" s="130"/>
      <c r="AA67" s="130"/>
      <c r="AB67" s="130"/>
      <c r="AC67" s="130"/>
    </row>
    <row r="68" spans="1:29">
      <c r="A68" s="128"/>
      <c r="B68" s="2650" t="s">
        <v>12597</v>
      </c>
      <c r="C68" s="2634"/>
      <c r="D68" s="2634"/>
      <c r="E68" s="170">
        <f>SUM(E65:E67)</f>
        <v>6011.55</v>
      </c>
      <c r="F68" s="2652" t="e">
        <f>SUM(F65:F67)</f>
        <v>#REF!</v>
      </c>
      <c r="G68" s="171"/>
      <c r="H68" s="130"/>
      <c r="I68" s="130"/>
      <c r="J68" s="130"/>
      <c r="K68" s="130"/>
      <c r="L68" s="130"/>
      <c r="M68" s="130"/>
      <c r="N68" s="130"/>
      <c r="O68" s="130"/>
      <c r="P68" s="130"/>
      <c r="Q68" s="130"/>
      <c r="R68" s="130"/>
      <c r="S68" s="130"/>
      <c r="T68" s="130"/>
      <c r="U68" s="130"/>
      <c r="V68" s="130"/>
      <c r="W68" s="130"/>
      <c r="X68" s="130"/>
      <c r="Y68" s="130"/>
      <c r="Z68" s="130"/>
      <c r="AA68" s="130"/>
      <c r="AB68" s="130"/>
      <c r="AC68" s="130"/>
    </row>
    <row r="69" spans="1:29">
      <c r="A69" s="128"/>
      <c r="B69" s="2651" t="s">
        <v>12598</v>
      </c>
      <c r="C69" s="2610"/>
      <c r="D69" s="2610"/>
      <c r="E69" s="172">
        <v>2400</v>
      </c>
      <c r="F69" s="2653"/>
      <c r="G69" s="139"/>
      <c r="H69" s="130"/>
      <c r="I69" s="130"/>
      <c r="J69" s="130"/>
      <c r="K69" s="130"/>
      <c r="L69" s="130"/>
      <c r="M69" s="130"/>
      <c r="N69" s="130"/>
      <c r="O69" s="130"/>
      <c r="P69" s="130"/>
      <c r="Q69" s="130"/>
      <c r="R69" s="130"/>
      <c r="S69" s="130"/>
      <c r="T69" s="130"/>
      <c r="U69" s="130"/>
      <c r="V69" s="130"/>
      <c r="W69" s="130"/>
      <c r="X69" s="130"/>
      <c r="Y69" s="130"/>
      <c r="Z69" s="130"/>
      <c r="AA69" s="130"/>
      <c r="AB69" s="130"/>
      <c r="AC69" s="130"/>
    </row>
    <row r="70" spans="1:29" ht="17.25">
      <c r="A70" s="126"/>
      <c r="B70" s="135"/>
      <c r="C70" s="135"/>
      <c r="D70" s="135"/>
      <c r="E70" s="135"/>
      <c r="F70" s="135"/>
      <c r="G70" s="150"/>
      <c r="H70" s="130"/>
      <c r="I70" s="130"/>
      <c r="J70" s="130"/>
      <c r="K70" s="130"/>
      <c r="L70" s="130"/>
      <c r="M70" s="130"/>
      <c r="N70" s="130"/>
      <c r="O70" s="130"/>
      <c r="P70" s="130"/>
      <c r="Q70" s="130"/>
      <c r="R70" s="130"/>
      <c r="S70" s="130"/>
      <c r="T70" s="130"/>
      <c r="U70" s="130"/>
      <c r="V70" s="130"/>
      <c r="W70" s="130"/>
      <c r="X70" s="130"/>
      <c r="Y70" s="130"/>
      <c r="Z70" s="130"/>
      <c r="AA70" s="130"/>
      <c r="AB70" s="130"/>
      <c r="AC70" s="130"/>
    </row>
    <row r="71" spans="1:29">
      <c r="A71" s="128"/>
      <c r="B71" s="163" t="s">
        <v>1</v>
      </c>
      <c r="C71" s="164" t="s">
        <v>12591</v>
      </c>
      <c r="D71" s="152" t="s">
        <v>12592</v>
      </c>
      <c r="E71" s="165" t="s">
        <v>12593</v>
      </c>
      <c r="F71" s="153" t="s">
        <v>12599</v>
      </c>
      <c r="G71" s="139"/>
      <c r="H71" s="130"/>
      <c r="I71" s="130"/>
      <c r="J71" s="130"/>
      <c r="K71" s="130"/>
      <c r="L71" s="130"/>
      <c r="M71" s="130"/>
      <c r="N71" s="130"/>
      <c r="O71" s="130"/>
      <c r="P71" s="130"/>
      <c r="Q71" s="130"/>
      <c r="R71" s="130"/>
      <c r="S71" s="130"/>
      <c r="T71" s="130"/>
      <c r="U71" s="130"/>
      <c r="V71" s="130"/>
      <c r="W71" s="130"/>
      <c r="X71" s="130"/>
      <c r="Y71" s="130"/>
      <c r="Z71" s="130"/>
      <c r="AA71" s="130"/>
      <c r="AB71" s="130"/>
      <c r="AC71" s="130"/>
    </row>
    <row r="72" spans="1:29" ht="39">
      <c r="A72" s="173" t="s">
        <v>12603</v>
      </c>
      <c r="B72" s="2654" t="s">
        <v>12604</v>
      </c>
      <c r="C72" s="167" t="s">
        <v>12605</v>
      </c>
      <c r="D72" s="167" t="str">
        <f>VLOOKUP($B$72,'Medição '!$B:$G,4,0)</f>
        <v>M2</v>
      </c>
      <c r="E72" s="168">
        <f>VLOOKUP($A72,'Medição '!$A:$G,6,0)</f>
        <v>3717.6</v>
      </c>
      <c r="F72" s="169" t="e">
        <f>VLOOKUP($A72,'Medição '!$A:$G,11,0)</f>
        <v>#REF!</v>
      </c>
      <c r="G72" s="139"/>
      <c r="H72" s="130"/>
      <c r="I72" s="130"/>
      <c r="J72" s="130"/>
      <c r="K72" s="130"/>
      <c r="L72" s="130"/>
      <c r="M72" s="130"/>
      <c r="N72" s="130"/>
      <c r="O72" s="130"/>
      <c r="P72" s="130"/>
      <c r="Q72" s="130"/>
      <c r="R72" s="130"/>
      <c r="S72" s="130"/>
      <c r="T72" s="130"/>
      <c r="U72" s="130"/>
      <c r="V72" s="130"/>
      <c r="W72" s="130"/>
      <c r="X72" s="130"/>
      <c r="Y72" s="130"/>
      <c r="Z72" s="130"/>
      <c r="AA72" s="130"/>
      <c r="AB72" s="130"/>
      <c r="AC72" s="130"/>
    </row>
    <row r="73" spans="1:29" ht="39">
      <c r="A73" s="173" t="s">
        <v>12606</v>
      </c>
      <c r="B73" s="2655"/>
      <c r="C73" s="167" t="s">
        <v>12607</v>
      </c>
      <c r="D73" s="167" t="str">
        <f>VLOOKUP($B$72,'Medição '!$B:$G,4,0)</f>
        <v>M2</v>
      </c>
      <c r="E73" s="168">
        <f>VLOOKUP($A73,'Medição '!$A:$G,6,0)</f>
        <v>290.11</v>
      </c>
      <c r="F73" s="169" t="e">
        <f>VLOOKUP($A73,'Medição '!$A:$G,11,0)</f>
        <v>#REF!</v>
      </c>
      <c r="G73" s="139"/>
      <c r="H73" s="130"/>
      <c r="I73" s="130"/>
      <c r="J73" s="130"/>
      <c r="K73" s="130"/>
      <c r="L73" s="130"/>
      <c r="M73" s="130"/>
      <c r="N73" s="130"/>
      <c r="O73" s="130"/>
      <c r="P73" s="130"/>
      <c r="Q73" s="130"/>
      <c r="R73" s="130"/>
      <c r="S73" s="130"/>
      <c r="T73" s="130"/>
      <c r="U73" s="130"/>
      <c r="V73" s="130"/>
      <c r="W73" s="130"/>
      <c r="X73" s="130"/>
      <c r="Y73" s="130"/>
      <c r="Z73" s="130"/>
      <c r="AA73" s="130"/>
      <c r="AB73" s="130"/>
      <c r="AC73" s="130"/>
    </row>
    <row r="74" spans="1:29" ht="39">
      <c r="A74" s="173" t="s">
        <v>12608</v>
      </c>
      <c r="B74" s="2655"/>
      <c r="C74" s="167" t="s">
        <v>12609</v>
      </c>
      <c r="D74" s="167" t="str">
        <f>VLOOKUP($B$72,'Medição '!$B:$G,4,0)</f>
        <v>M2</v>
      </c>
      <c r="E74" s="168">
        <f>VLOOKUP($A74,'Medição '!$A:$G,6,0)</f>
        <v>25.51</v>
      </c>
      <c r="F74" s="169" t="e">
        <f>VLOOKUP($A74,'Medição '!$A:$G,11,0)</f>
        <v>#REF!</v>
      </c>
      <c r="G74" s="139"/>
      <c r="H74" s="130"/>
      <c r="I74" s="130"/>
      <c r="J74" s="130"/>
      <c r="K74" s="130"/>
      <c r="L74" s="130"/>
      <c r="M74" s="130"/>
      <c r="N74" s="130"/>
      <c r="O74" s="130"/>
      <c r="P74" s="130"/>
      <c r="Q74" s="130"/>
      <c r="R74" s="130"/>
      <c r="S74" s="130"/>
      <c r="T74" s="130"/>
      <c r="U74" s="130"/>
      <c r="V74" s="130"/>
      <c r="W74" s="130"/>
      <c r="X74" s="130"/>
      <c r="Y74" s="130"/>
      <c r="Z74" s="130"/>
      <c r="AA74" s="130"/>
      <c r="AB74" s="130"/>
      <c r="AC74" s="130"/>
    </row>
    <row r="75" spans="1:29">
      <c r="A75" s="173"/>
      <c r="B75" s="2650" t="s">
        <v>12597</v>
      </c>
      <c r="C75" s="2634"/>
      <c r="D75" s="2634"/>
      <c r="E75" s="170">
        <f>SUM(E72:E74)</f>
        <v>4033.2200000000003</v>
      </c>
      <c r="F75" s="2652" t="e">
        <f>SUM(F72:F74)</f>
        <v>#REF!</v>
      </c>
      <c r="G75" s="139"/>
      <c r="H75" s="130"/>
      <c r="I75" s="130"/>
      <c r="J75" s="130"/>
      <c r="K75" s="130"/>
      <c r="L75" s="130"/>
      <c r="M75" s="130"/>
      <c r="N75" s="130"/>
      <c r="O75" s="130"/>
      <c r="P75" s="130"/>
      <c r="Q75" s="130"/>
      <c r="R75" s="130"/>
      <c r="S75" s="130"/>
      <c r="T75" s="130"/>
      <c r="U75" s="130"/>
      <c r="V75" s="130"/>
      <c r="W75" s="130"/>
      <c r="X75" s="130"/>
      <c r="Y75" s="130"/>
      <c r="Z75" s="130"/>
      <c r="AA75" s="130"/>
      <c r="AB75" s="130"/>
      <c r="AC75" s="130"/>
    </row>
    <row r="76" spans="1:29">
      <c r="A76" s="173"/>
      <c r="B76" s="2651" t="s">
        <v>12598</v>
      </c>
      <c r="C76" s="2610"/>
      <c r="D76" s="2610"/>
      <c r="E76" s="172">
        <v>1600</v>
      </c>
      <c r="F76" s="2653"/>
      <c r="G76" s="139"/>
      <c r="H76" s="130"/>
      <c r="I76" s="130"/>
      <c r="J76" s="130"/>
      <c r="K76" s="130"/>
      <c r="L76" s="130"/>
      <c r="M76" s="130"/>
      <c r="N76" s="130"/>
      <c r="O76" s="130"/>
      <c r="P76" s="130"/>
      <c r="Q76" s="130"/>
      <c r="R76" s="130"/>
      <c r="S76" s="130"/>
      <c r="T76" s="130"/>
      <c r="U76" s="130"/>
      <c r="V76" s="130"/>
      <c r="W76" s="130"/>
      <c r="X76" s="130"/>
      <c r="Y76" s="130"/>
      <c r="Z76" s="130"/>
      <c r="AA76" s="130"/>
      <c r="AB76" s="130"/>
      <c r="AC76" s="130"/>
    </row>
    <row r="77" spans="1:29" ht="17.25">
      <c r="A77" s="2656"/>
      <c r="B77" s="2588"/>
      <c r="C77" s="2588"/>
      <c r="D77" s="2588"/>
      <c r="E77" s="2588"/>
      <c r="F77" s="2588"/>
      <c r="G77" s="2657"/>
      <c r="H77" s="130"/>
      <c r="I77" s="130"/>
      <c r="J77" s="130"/>
      <c r="K77" s="130"/>
      <c r="L77" s="130"/>
      <c r="M77" s="130"/>
      <c r="N77" s="130"/>
      <c r="O77" s="130"/>
      <c r="P77" s="130"/>
      <c r="Q77" s="130"/>
      <c r="R77" s="130"/>
      <c r="S77" s="130"/>
      <c r="T77" s="130"/>
      <c r="U77" s="130"/>
      <c r="V77" s="130"/>
      <c r="W77" s="130"/>
      <c r="X77" s="130"/>
      <c r="Y77" s="130"/>
      <c r="Z77" s="130"/>
      <c r="AA77" s="130"/>
      <c r="AB77" s="130"/>
      <c r="AC77" s="130"/>
    </row>
    <row r="78" spans="1:29" ht="17.25">
      <c r="A78" s="126"/>
      <c r="B78" s="2647" t="s">
        <v>12610</v>
      </c>
      <c r="C78" s="2588"/>
      <c r="D78" s="2588"/>
      <c r="E78" s="2588"/>
      <c r="F78" s="2588"/>
      <c r="G78" s="150"/>
      <c r="H78" s="130"/>
      <c r="I78" s="130"/>
      <c r="J78" s="130"/>
      <c r="K78" s="130"/>
      <c r="L78" s="130"/>
      <c r="M78" s="130"/>
      <c r="N78" s="130"/>
      <c r="O78" s="130"/>
      <c r="P78" s="130"/>
      <c r="Q78" s="130"/>
      <c r="R78" s="130"/>
      <c r="S78" s="130"/>
      <c r="T78" s="130"/>
      <c r="U78" s="130"/>
      <c r="V78" s="130"/>
      <c r="W78" s="130"/>
      <c r="X78" s="130"/>
      <c r="Y78" s="130"/>
      <c r="Z78" s="130"/>
      <c r="AA78" s="130"/>
      <c r="AB78" s="130"/>
      <c r="AC78" s="130"/>
    </row>
    <row r="79" spans="1:29" ht="135" customHeight="1">
      <c r="A79" s="126"/>
      <c r="B79" s="2648"/>
      <c r="C79" s="2588"/>
      <c r="D79" s="2588"/>
      <c r="E79" s="2588"/>
      <c r="F79" s="2588"/>
      <c r="G79" s="150"/>
      <c r="H79" s="130"/>
      <c r="I79" s="130"/>
      <c r="J79" s="130"/>
      <c r="K79" s="130"/>
      <c r="L79" s="130"/>
      <c r="M79" s="130"/>
      <c r="N79" s="130"/>
      <c r="O79" s="130"/>
      <c r="P79" s="130"/>
      <c r="Q79" s="130"/>
      <c r="R79" s="130"/>
      <c r="S79" s="130"/>
      <c r="T79" s="130"/>
      <c r="U79" s="130"/>
      <c r="V79" s="130"/>
      <c r="W79" s="130"/>
      <c r="X79" s="130"/>
      <c r="Y79" s="130"/>
      <c r="Z79" s="130"/>
      <c r="AA79" s="130"/>
      <c r="AB79" s="130"/>
      <c r="AC79" s="130"/>
    </row>
    <row r="80" spans="1:29" ht="135" customHeight="1">
      <c r="A80" s="126"/>
      <c r="B80" s="2588"/>
      <c r="C80" s="2588"/>
      <c r="D80" s="2588"/>
      <c r="E80" s="2588"/>
      <c r="F80" s="2588"/>
      <c r="G80" s="150"/>
      <c r="H80" s="130"/>
      <c r="I80" s="130"/>
      <c r="J80" s="130"/>
      <c r="K80" s="130"/>
      <c r="L80" s="130"/>
      <c r="M80" s="130"/>
      <c r="N80" s="130"/>
      <c r="O80" s="130"/>
      <c r="P80" s="130"/>
      <c r="Q80" s="130"/>
      <c r="R80" s="130"/>
      <c r="S80" s="130"/>
      <c r="T80" s="130"/>
      <c r="U80" s="130"/>
      <c r="V80" s="130"/>
      <c r="W80" s="130"/>
      <c r="X80" s="130"/>
      <c r="Y80" s="130"/>
      <c r="Z80" s="130"/>
      <c r="AA80" s="130"/>
      <c r="AB80" s="130"/>
      <c r="AC80" s="130"/>
    </row>
    <row r="81" spans="1:29" ht="17.25">
      <c r="A81" s="126"/>
      <c r="B81" s="2649" t="s">
        <v>12611</v>
      </c>
      <c r="C81" s="2588"/>
      <c r="D81" s="2588"/>
      <c r="E81" s="2588"/>
      <c r="F81" s="2588"/>
      <c r="G81" s="150"/>
      <c r="H81" s="130"/>
      <c r="I81" s="130"/>
      <c r="J81" s="130"/>
      <c r="K81" s="130"/>
      <c r="L81" s="130"/>
      <c r="M81" s="130"/>
      <c r="N81" s="130"/>
      <c r="O81" s="130"/>
      <c r="P81" s="130"/>
      <c r="Q81" s="130"/>
      <c r="R81" s="130"/>
      <c r="S81" s="130"/>
      <c r="T81" s="130"/>
      <c r="U81" s="130"/>
      <c r="V81" s="130"/>
      <c r="W81" s="130"/>
      <c r="X81" s="130"/>
      <c r="Y81" s="130"/>
      <c r="Z81" s="130"/>
      <c r="AA81" s="130"/>
      <c r="AB81" s="130"/>
      <c r="AC81" s="130"/>
    </row>
    <row r="82" spans="1:29">
      <c r="A82" s="136"/>
      <c r="B82" s="174"/>
      <c r="C82" s="175"/>
      <c r="D82" s="174"/>
      <c r="E82" s="174"/>
      <c r="F82" s="174"/>
      <c r="G82" s="176"/>
      <c r="H82" s="130"/>
      <c r="I82" s="130"/>
      <c r="J82" s="130"/>
      <c r="K82" s="130"/>
      <c r="L82" s="130"/>
      <c r="M82" s="130"/>
      <c r="N82" s="130"/>
      <c r="O82" s="130"/>
      <c r="P82" s="130"/>
      <c r="Q82" s="130"/>
      <c r="R82" s="130"/>
      <c r="S82" s="130"/>
      <c r="T82" s="130"/>
      <c r="U82" s="130"/>
      <c r="V82" s="130"/>
      <c r="W82" s="130"/>
      <c r="X82" s="130"/>
      <c r="Y82" s="130"/>
      <c r="Z82" s="130"/>
      <c r="AA82" s="130"/>
      <c r="AB82" s="130"/>
      <c r="AC82" s="130"/>
    </row>
  </sheetData>
  <mergeCells count="64">
    <mergeCell ref="B42:F42"/>
    <mergeCell ref="A43:G43"/>
    <mergeCell ref="B44:F44"/>
    <mergeCell ref="C45:D45"/>
    <mergeCell ref="B46:B49"/>
    <mergeCell ref="C46:D46"/>
    <mergeCell ref="C47:D47"/>
    <mergeCell ref="C48:D48"/>
    <mergeCell ref="C49:D49"/>
    <mergeCell ref="A37:G37"/>
    <mergeCell ref="A38:G38"/>
    <mergeCell ref="B39:F39"/>
    <mergeCell ref="A40:G40"/>
    <mergeCell ref="B41:F41"/>
    <mergeCell ref="A32:G32"/>
    <mergeCell ref="B33:F33"/>
    <mergeCell ref="B34:F34"/>
    <mergeCell ref="B35:F35"/>
    <mergeCell ref="B36:F36"/>
    <mergeCell ref="B27:F27"/>
    <mergeCell ref="B28:F28"/>
    <mergeCell ref="A29:G29"/>
    <mergeCell ref="A30:G30"/>
    <mergeCell ref="B31:F31"/>
    <mergeCell ref="B22:F22"/>
    <mergeCell ref="A23:G23"/>
    <mergeCell ref="B24:F24"/>
    <mergeCell ref="B25:F25"/>
    <mergeCell ref="A26:G26"/>
    <mergeCell ref="B17:F17"/>
    <mergeCell ref="A18:G18"/>
    <mergeCell ref="B19:F19"/>
    <mergeCell ref="A20:G20"/>
    <mergeCell ref="A21:G21"/>
    <mergeCell ref="A12:G12"/>
    <mergeCell ref="B13:F13"/>
    <mergeCell ref="A14:G14"/>
    <mergeCell ref="B15:F15"/>
    <mergeCell ref="A16:G16"/>
    <mergeCell ref="B7:F7"/>
    <mergeCell ref="A8:G8"/>
    <mergeCell ref="B9:F9"/>
    <mergeCell ref="A10:G10"/>
    <mergeCell ref="B11:F11"/>
    <mergeCell ref="B1:E1"/>
    <mergeCell ref="B2:E2"/>
    <mergeCell ref="B3:E3"/>
    <mergeCell ref="B4:E4"/>
    <mergeCell ref="A5:G5"/>
    <mergeCell ref="B78:F78"/>
    <mergeCell ref="B79:F80"/>
    <mergeCell ref="B81:F81"/>
    <mergeCell ref="C56:D56"/>
    <mergeCell ref="C57:D57"/>
    <mergeCell ref="C61:D61"/>
    <mergeCell ref="C62:D62"/>
    <mergeCell ref="B68:D68"/>
    <mergeCell ref="F68:F69"/>
    <mergeCell ref="B69:D69"/>
    <mergeCell ref="B72:B74"/>
    <mergeCell ref="B75:D75"/>
    <mergeCell ref="F75:F76"/>
    <mergeCell ref="B76:D76"/>
    <mergeCell ref="A77:G77"/>
  </mergeCells>
  <printOptions horizontalCentered="1"/>
  <pageMargins left="0.19685039370078738" right="0.19685039370078738" top="0.19685039370078738" bottom="0.19685039370078738" header="0" footer="0"/>
  <pageSetup paperSize="9"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21763-4741-46DB-AF81-D79B10C845E8}">
  <dimension ref="B1:Q54"/>
  <sheetViews>
    <sheetView workbookViewId="0"/>
  </sheetViews>
  <sheetFormatPr defaultRowHeight="12.75"/>
  <cols>
    <col min="1" max="1" width="2.85546875" style="1868" customWidth="1"/>
    <col min="2" max="2" width="2.7109375" style="1868" customWidth="1"/>
    <col min="3" max="3" width="3.7109375" style="1868" customWidth="1"/>
    <col min="4" max="4" width="14.7109375" style="1868" customWidth="1"/>
    <col min="5" max="6" width="5.7109375" style="1868" customWidth="1"/>
    <col min="7" max="11" width="9.140625" style="1868"/>
    <col min="12" max="12" width="11.7109375" style="1868" customWidth="1"/>
    <col min="13" max="14" width="2.7109375" style="1868" customWidth="1"/>
    <col min="15" max="257" width="9.140625" style="1868"/>
    <col min="258" max="258" width="2.85546875" style="1868" customWidth="1"/>
    <col min="259" max="259" width="10.42578125" style="1868" customWidth="1"/>
    <col min="260" max="260" width="14.28515625" style="1868" customWidth="1"/>
    <col min="261" max="262" width="5.7109375" style="1868" customWidth="1"/>
    <col min="263" max="268" width="9.140625" style="1868"/>
    <col min="269" max="269" width="3.7109375" style="1868" customWidth="1"/>
    <col min="270" max="270" width="2.7109375" style="1868" customWidth="1"/>
    <col min="271" max="513" width="9.140625" style="1868"/>
    <col min="514" max="514" width="2.85546875" style="1868" customWidth="1"/>
    <col min="515" max="515" width="10.42578125" style="1868" customWidth="1"/>
    <col min="516" max="516" width="14.28515625" style="1868" customWidth="1"/>
    <col min="517" max="518" width="5.7109375" style="1868" customWidth="1"/>
    <col min="519" max="524" width="9.140625" style="1868"/>
    <col min="525" max="525" width="3.7109375" style="1868" customWidth="1"/>
    <col min="526" max="526" width="2.7109375" style="1868" customWidth="1"/>
    <col min="527" max="769" width="9.140625" style="1868"/>
    <col min="770" max="770" width="2.85546875" style="1868" customWidth="1"/>
    <col min="771" max="771" width="10.42578125" style="1868" customWidth="1"/>
    <col min="772" max="772" width="14.28515625" style="1868" customWidth="1"/>
    <col min="773" max="774" width="5.7109375" style="1868" customWidth="1"/>
    <col min="775" max="780" width="9.140625" style="1868"/>
    <col min="781" max="781" width="3.7109375" style="1868" customWidth="1"/>
    <col min="782" max="782" width="2.7109375" style="1868" customWidth="1"/>
    <col min="783" max="1025" width="9.140625" style="1868"/>
    <col min="1026" max="1026" width="2.85546875" style="1868" customWidth="1"/>
    <col min="1027" max="1027" width="10.42578125" style="1868" customWidth="1"/>
    <col min="1028" max="1028" width="14.28515625" style="1868" customWidth="1"/>
    <col min="1029" max="1030" width="5.7109375" style="1868" customWidth="1"/>
    <col min="1031" max="1036" width="9.140625" style="1868"/>
    <col min="1037" max="1037" width="3.7109375" style="1868" customWidth="1"/>
    <col min="1038" max="1038" width="2.7109375" style="1868" customWidth="1"/>
    <col min="1039" max="1281" width="9.140625" style="1868"/>
    <col min="1282" max="1282" width="2.85546875" style="1868" customWidth="1"/>
    <col min="1283" max="1283" width="10.42578125" style="1868" customWidth="1"/>
    <col min="1284" max="1284" width="14.28515625" style="1868" customWidth="1"/>
    <col min="1285" max="1286" width="5.7109375" style="1868" customWidth="1"/>
    <col min="1287" max="1292" width="9.140625" style="1868"/>
    <col min="1293" max="1293" width="3.7109375" style="1868" customWidth="1"/>
    <col min="1294" max="1294" width="2.7109375" style="1868" customWidth="1"/>
    <col min="1295" max="1537" width="9.140625" style="1868"/>
    <col min="1538" max="1538" width="2.85546875" style="1868" customWidth="1"/>
    <col min="1539" max="1539" width="10.42578125" style="1868" customWidth="1"/>
    <col min="1540" max="1540" width="14.28515625" style="1868" customWidth="1"/>
    <col min="1541" max="1542" width="5.7109375" style="1868" customWidth="1"/>
    <col min="1543" max="1548" width="9.140625" style="1868"/>
    <col min="1549" max="1549" width="3.7109375" style="1868" customWidth="1"/>
    <col min="1550" max="1550" width="2.7109375" style="1868" customWidth="1"/>
    <col min="1551" max="1793" width="9.140625" style="1868"/>
    <col min="1794" max="1794" width="2.85546875" style="1868" customWidth="1"/>
    <col min="1795" max="1795" width="10.42578125" style="1868" customWidth="1"/>
    <col min="1796" max="1796" width="14.28515625" style="1868" customWidth="1"/>
    <col min="1797" max="1798" width="5.7109375" style="1868" customWidth="1"/>
    <col min="1799" max="1804" width="9.140625" style="1868"/>
    <col min="1805" max="1805" width="3.7109375" style="1868" customWidth="1"/>
    <col min="1806" max="1806" width="2.7109375" style="1868" customWidth="1"/>
    <col min="1807" max="2049" width="9.140625" style="1868"/>
    <col min="2050" max="2050" width="2.85546875" style="1868" customWidth="1"/>
    <col min="2051" max="2051" width="10.42578125" style="1868" customWidth="1"/>
    <col min="2052" max="2052" width="14.28515625" style="1868" customWidth="1"/>
    <col min="2053" max="2054" width="5.7109375" style="1868" customWidth="1"/>
    <col min="2055" max="2060" width="9.140625" style="1868"/>
    <col min="2061" max="2061" width="3.7109375" style="1868" customWidth="1"/>
    <col min="2062" max="2062" width="2.7109375" style="1868" customWidth="1"/>
    <col min="2063" max="2305" width="9.140625" style="1868"/>
    <col min="2306" max="2306" width="2.85546875" style="1868" customWidth="1"/>
    <col min="2307" max="2307" width="10.42578125" style="1868" customWidth="1"/>
    <col min="2308" max="2308" width="14.28515625" style="1868" customWidth="1"/>
    <col min="2309" max="2310" width="5.7109375" style="1868" customWidth="1"/>
    <col min="2311" max="2316" width="9.140625" style="1868"/>
    <col min="2317" max="2317" width="3.7109375" style="1868" customWidth="1"/>
    <col min="2318" max="2318" width="2.7109375" style="1868" customWidth="1"/>
    <col min="2319" max="2561" width="9.140625" style="1868"/>
    <col min="2562" max="2562" width="2.85546875" style="1868" customWidth="1"/>
    <col min="2563" max="2563" width="10.42578125" style="1868" customWidth="1"/>
    <col min="2564" max="2564" width="14.28515625" style="1868" customWidth="1"/>
    <col min="2565" max="2566" width="5.7109375" style="1868" customWidth="1"/>
    <col min="2567" max="2572" width="9.140625" style="1868"/>
    <col min="2573" max="2573" width="3.7109375" style="1868" customWidth="1"/>
    <col min="2574" max="2574" width="2.7109375" style="1868" customWidth="1"/>
    <col min="2575" max="2817" width="9.140625" style="1868"/>
    <col min="2818" max="2818" width="2.85546875" style="1868" customWidth="1"/>
    <col min="2819" max="2819" width="10.42578125" style="1868" customWidth="1"/>
    <col min="2820" max="2820" width="14.28515625" style="1868" customWidth="1"/>
    <col min="2821" max="2822" width="5.7109375" style="1868" customWidth="1"/>
    <col min="2823" max="2828" width="9.140625" style="1868"/>
    <col min="2829" max="2829" width="3.7109375" style="1868" customWidth="1"/>
    <col min="2830" max="2830" width="2.7109375" style="1868" customWidth="1"/>
    <col min="2831" max="3073" width="9.140625" style="1868"/>
    <col min="3074" max="3074" width="2.85546875" style="1868" customWidth="1"/>
    <col min="3075" max="3075" width="10.42578125" style="1868" customWidth="1"/>
    <col min="3076" max="3076" width="14.28515625" style="1868" customWidth="1"/>
    <col min="3077" max="3078" width="5.7109375" style="1868" customWidth="1"/>
    <col min="3079" max="3084" width="9.140625" style="1868"/>
    <col min="3085" max="3085" width="3.7109375" style="1868" customWidth="1"/>
    <col min="3086" max="3086" width="2.7109375" style="1868" customWidth="1"/>
    <col min="3087" max="3329" width="9.140625" style="1868"/>
    <col min="3330" max="3330" width="2.85546875" style="1868" customWidth="1"/>
    <col min="3331" max="3331" width="10.42578125" style="1868" customWidth="1"/>
    <col min="3332" max="3332" width="14.28515625" style="1868" customWidth="1"/>
    <col min="3333" max="3334" width="5.7109375" style="1868" customWidth="1"/>
    <col min="3335" max="3340" width="9.140625" style="1868"/>
    <col min="3341" max="3341" width="3.7109375" style="1868" customWidth="1"/>
    <col min="3342" max="3342" width="2.7109375" style="1868" customWidth="1"/>
    <col min="3343" max="3585" width="9.140625" style="1868"/>
    <col min="3586" max="3586" width="2.85546875" style="1868" customWidth="1"/>
    <col min="3587" max="3587" width="10.42578125" style="1868" customWidth="1"/>
    <col min="3588" max="3588" width="14.28515625" style="1868" customWidth="1"/>
    <col min="3589" max="3590" width="5.7109375" style="1868" customWidth="1"/>
    <col min="3591" max="3596" width="9.140625" style="1868"/>
    <col min="3597" max="3597" width="3.7109375" style="1868" customWidth="1"/>
    <col min="3598" max="3598" width="2.7109375" style="1868" customWidth="1"/>
    <col min="3599" max="3841" width="9.140625" style="1868"/>
    <col min="3842" max="3842" width="2.85546875" style="1868" customWidth="1"/>
    <col min="3843" max="3843" width="10.42578125" style="1868" customWidth="1"/>
    <col min="3844" max="3844" width="14.28515625" style="1868" customWidth="1"/>
    <col min="3845" max="3846" width="5.7109375" style="1868" customWidth="1"/>
    <col min="3847" max="3852" width="9.140625" style="1868"/>
    <col min="3853" max="3853" width="3.7109375" style="1868" customWidth="1"/>
    <col min="3854" max="3854" width="2.7109375" style="1868" customWidth="1"/>
    <col min="3855" max="4097" width="9.140625" style="1868"/>
    <col min="4098" max="4098" width="2.85546875" style="1868" customWidth="1"/>
    <col min="4099" max="4099" width="10.42578125" style="1868" customWidth="1"/>
    <col min="4100" max="4100" width="14.28515625" style="1868" customWidth="1"/>
    <col min="4101" max="4102" width="5.7109375" style="1868" customWidth="1"/>
    <col min="4103" max="4108" width="9.140625" style="1868"/>
    <col min="4109" max="4109" width="3.7109375" style="1868" customWidth="1"/>
    <col min="4110" max="4110" width="2.7109375" style="1868" customWidth="1"/>
    <col min="4111" max="4353" width="9.140625" style="1868"/>
    <col min="4354" max="4354" width="2.85546875" style="1868" customWidth="1"/>
    <col min="4355" max="4355" width="10.42578125" style="1868" customWidth="1"/>
    <col min="4356" max="4356" width="14.28515625" style="1868" customWidth="1"/>
    <col min="4357" max="4358" width="5.7109375" style="1868" customWidth="1"/>
    <col min="4359" max="4364" width="9.140625" style="1868"/>
    <col min="4365" max="4365" width="3.7109375" style="1868" customWidth="1"/>
    <col min="4366" max="4366" width="2.7109375" style="1868" customWidth="1"/>
    <col min="4367" max="4609" width="9.140625" style="1868"/>
    <col min="4610" max="4610" width="2.85546875" style="1868" customWidth="1"/>
    <col min="4611" max="4611" width="10.42578125" style="1868" customWidth="1"/>
    <col min="4612" max="4612" width="14.28515625" style="1868" customWidth="1"/>
    <col min="4613" max="4614" width="5.7109375" style="1868" customWidth="1"/>
    <col min="4615" max="4620" width="9.140625" style="1868"/>
    <col min="4621" max="4621" width="3.7109375" style="1868" customWidth="1"/>
    <col min="4622" max="4622" width="2.7109375" style="1868" customWidth="1"/>
    <col min="4623" max="4865" width="9.140625" style="1868"/>
    <col min="4866" max="4866" width="2.85546875" style="1868" customWidth="1"/>
    <col min="4867" max="4867" width="10.42578125" style="1868" customWidth="1"/>
    <col min="4868" max="4868" width="14.28515625" style="1868" customWidth="1"/>
    <col min="4869" max="4870" width="5.7109375" style="1868" customWidth="1"/>
    <col min="4871" max="4876" width="9.140625" style="1868"/>
    <col min="4877" max="4877" width="3.7109375" style="1868" customWidth="1"/>
    <col min="4878" max="4878" width="2.7109375" style="1868" customWidth="1"/>
    <col min="4879" max="5121" width="9.140625" style="1868"/>
    <col min="5122" max="5122" width="2.85546875" style="1868" customWidth="1"/>
    <col min="5123" max="5123" width="10.42578125" style="1868" customWidth="1"/>
    <col min="5124" max="5124" width="14.28515625" style="1868" customWidth="1"/>
    <col min="5125" max="5126" width="5.7109375" style="1868" customWidth="1"/>
    <col min="5127" max="5132" width="9.140625" style="1868"/>
    <col min="5133" max="5133" width="3.7109375" style="1868" customWidth="1"/>
    <col min="5134" max="5134" width="2.7109375" style="1868" customWidth="1"/>
    <col min="5135" max="5377" width="9.140625" style="1868"/>
    <col min="5378" max="5378" width="2.85546875" style="1868" customWidth="1"/>
    <col min="5379" max="5379" width="10.42578125" style="1868" customWidth="1"/>
    <col min="5380" max="5380" width="14.28515625" style="1868" customWidth="1"/>
    <col min="5381" max="5382" width="5.7109375" style="1868" customWidth="1"/>
    <col min="5383" max="5388" width="9.140625" style="1868"/>
    <col min="5389" max="5389" width="3.7109375" style="1868" customWidth="1"/>
    <col min="5390" max="5390" width="2.7109375" style="1868" customWidth="1"/>
    <col min="5391" max="5633" width="9.140625" style="1868"/>
    <col min="5634" max="5634" width="2.85546875" style="1868" customWidth="1"/>
    <col min="5635" max="5635" width="10.42578125" style="1868" customWidth="1"/>
    <col min="5636" max="5636" width="14.28515625" style="1868" customWidth="1"/>
    <col min="5637" max="5638" width="5.7109375" style="1868" customWidth="1"/>
    <col min="5639" max="5644" width="9.140625" style="1868"/>
    <col min="5645" max="5645" width="3.7109375" style="1868" customWidth="1"/>
    <col min="5646" max="5646" width="2.7109375" style="1868" customWidth="1"/>
    <col min="5647" max="5889" width="9.140625" style="1868"/>
    <col min="5890" max="5890" width="2.85546875" style="1868" customWidth="1"/>
    <col min="5891" max="5891" width="10.42578125" style="1868" customWidth="1"/>
    <col min="5892" max="5892" width="14.28515625" style="1868" customWidth="1"/>
    <col min="5893" max="5894" width="5.7109375" style="1868" customWidth="1"/>
    <col min="5895" max="5900" width="9.140625" style="1868"/>
    <col min="5901" max="5901" width="3.7109375" style="1868" customWidth="1"/>
    <col min="5902" max="5902" width="2.7109375" style="1868" customWidth="1"/>
    <col min="5903" max="6145" width="9.140625" style="1868"/>
    <col min="6146" max="6146" width="2.85546875" style="1868" customWidth="1"/>
    <col min="6147" max="6147" width="10.42578125" style="1868" customWidth="1"/>
    <col min="6148" max="6148" width="14.28515625" style="1868" customWidth="1"/>
    <col min="6149" max="6150" width="5.7109375" style="1868" customWidth="1"/>
    <col min="6151" max="6156" width="9.140625" style="1868"/>
    <col min="6157" max="6157" width="3.7109375" style="1868" customWidth="1"/>
    <col min="6158" max="6158" width="2.7109375" style="1868" customWidth="1"/>
    <col min="6159" max="6401" width="9.140625" style="1868"/>
    <col min="6402" max="6402" width="2.85546875" style="1868" customWidth="1"/>
    <col min="6403" max="6403" width="10.42578125" style="1868" customWidth="1"/>
    <col min="6404" max="6404" width="14.28515625" style="1868" customWidth="1"/>
    <col min="6405" max="6406" width="5.7109375" style="1868" customWidth="1"/>
    <col min="6407" max="6412" width="9.140625" style="1868"/>
    <col min="6413" max="6413" width="3.7109375" style="1868" customWidth="1"/>
    <col min="6414" max="6414" width="2.7109375" style="1868" customWidth="1"/>
    <col min="6415" max="6657" width="9.140625" style="1868"/>
    <col min="6658" max="6658" width="2.85546875" style="1868" customWidth="1"/>
    <col min="6659" max="6659" width="10.42578125" style="1868" customWidth="1"/>
    <col min="6660" max="6660" width="14.28515625" style="1868" customWidth="1"/>
    <col min="6661" max="6662" width="5.7109375" style="1868" customWidth="1"/>
    <col min="6663" max="6668" width="9.140625" style="1868"/>
    <col min="6669" max="6669" width="3.7109375" style="1868" customWidth="1"/>
    <col min="6670" max="6670" width="2.7109375" style="1868" customWidth="1"/>
    <col min="6671" max="6913" width="9.140625" style="1868"/>
    <col min="6914" max="6914" width="2.85546875" style="1868" customWidth="1"/>
    <col min="6915" max="6915" width="10.42578125" style="1868" customWidth="1"/>
    <col min="6916" max="6916" width="14.28515625" style="1868" customWidth="1"/>
    <col min="6917" max="6918" width="5.7109375" style="1868" customWidth="1"/>
    <col min="6919" max="6924" width="9.140625" style="1868"/>
    <col min="6925" max="6925" width="3.7109375" style="1868" customWidth="1"/>
    <col min="6926" max="6926" width="2.7109375" style="1868" customWidth="1"/>
    <col min="6927" max="7169" width="9.140625" style="1868"/>
    <col min="7170" max="7170" width="2.85546875" style="1868" customWidth="1"/>
    <col min="7171" max="7171" width="10.42578125" style="1868" customWidth="1"/>
    <col min="7172" max="7172" width="14.28515625" style="1868" customWidth="1"/>
    <col min="7173" max="7174" width="5.7109375" style="1868" customWidth="1"/>
    <col min="7175" max="7180" width="9.140625" style="1868"/>
    <col min="7181" max="7181" width="3.7109375" style="1868" customWidth="1"/>
    <col min="7182" max="7182" width="2.7109375" style="1868" customWidth="1"/>
    <col min="7183" max="7425" width="9.140625" style="1868"/>
    <col min="7426" max="7426" width="2.85546875" style="1868" customWidth="1"/>
    <col min="7427" max="7427" width="10.42578125" style="1868" customWidth="1"/>
    <col min="7428" max="7428" width="14.28515625" style="1868" customWidth="1"/>
    <col min="7429" max="7430" width="5.7109375" style="1868" customWidth="1"/>
    <col min="7431" max="7436" width="9.140625" style="1868"/>
    <col min="7437" max="7437" width="3.7109375" style="1868" customWidth="1"/>
    <col min="7438" max="7438" width="2.7109375" style="1868" customWidth="1"/>
    <col min="7439" max="7681" width="9.140625" style="1868"/>
    <col min="7682" max="7682" width="2.85546875" style="1868" customWidth="1"/>
    <col min="7683" max="7683" width="10.42578125" style="1868" customWidth="1"/>
    <col min="7684" max="7684" width="14.28515625" style="1868" customWidth="1"/>
    <col min="7685" max="7686" width="5.7109375" style="1868" customWidth="1"/>
    <col min="7687" max="7692" width="9.140625" style="1868"/>
    <col min="7693" max="7693" width="3.7109375" style="1868" customWidth="1"/>
    <col min="7694" max="7694" width="2.7109375" style="1868" customWidth="1"/>
    <col min="7695" max="7937" width="9.140625" style="1868"/>
    <col min="7938" max="7938" width="2.85546875" style="1868" customWidth="1"/>
    <col min="7939" max="7939" width="10.42578125" style="1868" customWidth="1"/>
    <col min="7940" max="7940" width="14.28515625" style="1868" customWidth="1"/>
    <col min="7941" max="7942" width="5.7109375" style="1868" customWidth="1"/>
    <col min="7943" max="7948" width="9.140625" style="1868"/>
    <col min="7949" max="7949" width="3.7109375" style="1868" customWidth="1"/>
    <col min="7950" max="7950" width="2.7109375" style="1868" customWidth="1"/>
    <col min="7951" max="8193" width="9.140625" style="1868"/>
    <col min="8194" max="8194" width="2.85546875" style="1868" customWidth="1"/>
    <col min="8195" max="8195" width="10.42578125" style="1868" customWidth="1"/>
    <col min="8196" max="8196" width="14.28515625" style="1868" customWidth="1"/>
    <col min="8197" max="8198" width="5.7109375" style="1868" customWidth="1"/>
    <col min="8199" max="8204" width="9.140625" style="1868"/>
    <col min="8205" max="8205" width="3.7109375" style="1868" customWidth="1"/>
    <col min="8206" max="8206" width="2.7109375" style="1868" customWidth="1"/>
    <col min="8207" max="8449" width="9.140625" style="1868"/>
    <col min="8450" max="8450" width="2.85546875" style="1868" customWidth="1"/>
    <col min="8451" max="8451" width="10.42578125" style="1868" customWidth="1"/>
    <col min="8452" max="8452" width="14.28515625" style="1868" customWidth="1"/>
    <col min="8453" max="8454" width="5.7109375" style="1868" customWidth="1"/>
    <col min="8455" max="8460" width="9.140625" style="1868"/>
    <col min="8461" max="8461" width="3.7109375" style="1868" customWidth="1"/>
    <col min="8462" max="8462" width="2.7109375" style="1868" customWidth="1"/>
    <col min="8463" max="8705" width="9.140625" style="1868"/>
    <col min="8706" max="8706" width="2.85546875" style="1868" customWidth="1"/>
    <col min="8707" max="8707" width="10.42578125" style="1868" customWidth="1"/>
    <col min="8708" max="8708" width="14.28515625" style="1868" customWidth="1"/>
    <col min="8709" max="8710" width="5.7109375" style="1868" customWidth="1"/>
    <col min="8711" max="8716" width="9.140625" style="1868"/>
    <col min="8717" max="8717" width="3.7109375" style="1868" customWidth="1"/>
    <col min="8718" max="8718" width="2.7109375" style="1868" customWidth="1"/>
    <col min="8719" max="8961" width="9.140625" style="1868"/>
    <col min="8962" max="8962" width="2.85546875" style="1868" customWidth="1"/>
    <col min="8963" max="8963" width="10.42578125" style="1868" customWidth="1"/>
    <col min="8964" max="8964" width="14.28515625" style="1868" customWidth="1"/>
    <col min="8965" max="8966" width="5.7109375" style="1868" customWidth="1"/>
    <col min="8967" max="8972" width="9.140625" style="1868"/>
    <col min="8973" max="8973" width="3.7109375" style="1868" customWidth="1"/>
    <col min="8974" max="8974" width="2.7109375" style="1868" customWidth="1"/>
    <col min="8975" max="9217" width="9.140625" style="1868"/>
    <col min="9218" max="9218" width="2.85546875" style="1868" customWidth="1"/>
    <col min="9219" max="9219" width="10.42578125" style="1868" customWidth="1"/>
    <col min="9220" max="9220" width="14.28515625" style="1868" customWidth="1"/>
    <col min="9221" max="9222" width="5.7109375" style="1868" customWidth="1"/>
    <col min="9223" max="9228" width="9.140625" style="1868"/>
    <col min="9229" max="9229" width="3.7109375" style="1868" customWidth="1"/>
    <col min="9230" max="9230" width="2.7109375" style="1868" customWidth="1"/>
    <col min="9231" max="9473" width="9.140625" style="1868"/>
    <col min="9474" max="9474" width="2.85546875" style="1868" customWidth="1"/>
    <col min="9475" max="9475" width="10.42578125" style="1868" customWidth="1"/>
    <col min="9476" max="9476" width="14.28515625" style="1868" customWidth="1"/>
    <col min="9477" max="9478" width="5.7109375" style="1868" customWidth="1"/>
    <col min="9479" max="9484" width="9.140625" style="1868"/>
    <col min="9485" max="9485" width="3.7109375" style="1868" customWidth="1"/>
    <col min="9486" max="9486" width="2.7109375" style="1868" customWidth="1"/>
    <col min="9487" max="9729" width="9.140625" style="1868"/>
    <col min="9730" max="9730" width="2.85546875" style="1868" customWidth="1"/>
    <col min="9731" max="9731" width="10.42578125" style="1868" customWidth="1"/>
    <col min="9732" max="9732" width="14.28515625" style="1868" customWidth="1"/>
    <col min="9733" max="9734" width="5.7109375" style="1868" customWidth="1"/>
    <col min="9735" max="9740" width="9.140625" style="1868"/>
    <col min="9741" max="9741" width="3.7109375" style="1868" customWidth="1"/>
    <col min="9742" max="9742" width="2.7109375" style="1868" customWidth="1"/>
    <col min="9743" max="9985" width="9.140625" style="1868"/>
    <col min="9986" max="9986" width="2.85546875" style="1868" customWidth="1"/>
    <col min="9987" max="9987" width="10.42578125" style="1868" customWidth="1"/>
    <col min="9988" max="9988" width="14.28515625" style="1868" customWidth="1"/>
    <col min="9989" max="9990" width="5.7109375" style="1868" customWidth="1"/>
    <col min="9991" max="9996" width="9.140625" style="1868"/>
    <col min="9997" max="9997" width="3.7109375" style="1868" customWidth="1"/>
    <col min="9998" max="9998" width="2.7109375" style="1868" customWidth="1"/>
    <col min="9999" max="10241" width="9.140625" style="1868"/>
    <col min="10242" max="10242" width="2.85546875" style="1868" customWidth="1"/>
    <col min="10243" max="10243" width="10.42578125" style="1868" customWidth="1"/>
    <col min="10244" max="10244" width="14.28515625" style="1868" customWidth="1"/>
    <col min="10245" max="10246" width="5.7109375" style="1868" customWidth="1"/>
    <col min="10247" max="10252" width="9.140625" style="1868"/>
    <col min="10253" max="10253" width="3.7109375" style="1868" customWidth="1"/>
    <col min="10254" max="10254" width="2.7109375" style="1868" customWidth="1"/>
    <col min="10255" max="10497" width="9.140625" style="1868"/>
    <col min="10498" max="10498" width="2.85546875" style="1868" customWidth="1"/>
    <col min="10499" max="10499" width="10.42578125" style="1868" customWidth="1"/>
    <col min="10500" max="10500" width="14.28515625" style="1868" customWidth="1"/>
    <col min="10501" max="10502" width="5.7109375" style="1868" customWidth="1"/>
    <col min="10503" max="10508" width="9.140625" style="1868"/>
    <col min="10509" max="10509" width="3.7109375" style="1868" customWidth="1"/>
    <col min="10510" max="10510" width="2.7109375" style="1868" customWidth="1"/>
    <col min="10511" max="10753" width="9.140625" style="1868"/>
    <col min="10754" max="10754" width="2.85546875" style="1868" customWidth="1"/>
    <col min="10755" max="10755" width="10.42578125" style="1868" customWidth="1"/>
    <col min="10756" max="10756" width="14.28515625" style="1868" customWidth="1"/>
    <col min="10757" max="10758" width="5.7109375" style="1868" customWidth="1"/>
    <col min="10759" max="10764" width="9.140625" style="1868"/>
    <col min="10765" max="10765" width="3.7109375" style="1868" customWidth="1"/>
    <col min="10766" max="10766" width="2.7109375" style="1868" customWidth="1"/>
    <col min="10767" max="11009" width="9.140625" style="1868"/>
    <col min="11010" max="11010" width="2.85546875" style="1868" customWidth="1"/>
    <col min="11011" max="11011" width="10.42578125" style="1868" customWidth="1"/>
    <col min="11012" max="11012" width="14.28515625" style="1868" customWidth="1"/>
    <col min="11013" max="11014" width="5.7109375" style="1868" customWidth="1"/>
    <col min="11015" max="11020" width="9.140625" style="1868"/>
    <col min="11021" max="11021" width="3.7109375" style="1868" customWidth="1"/>
    <col min="11022" max="11022" width="2.7109375" style="1868" customWidth="1"/>
    <col min="11023" max="11265" width="9.140625" style="1868"/>
    <col min="11266" max="11266" width="2.85546875" style="1868" customWidth="1"/>
    <col min="11267" max="11267" width="10.42578125" style="1868" customWidth="1"/>
    <col min="11268" max="11268" width="14.28515625" style="1868" customWidth="1"/>
    <col min="11269" max="11270" width="5.7109375" style="1868" customWidth="1"/>
    <col min="11271" max="11276" width="9.140625" style="1868"/>
    <col min="11277" max="11277" width="3.7109375" style="1868" customWidth="1"/>
    <col min="11278" max="11278" width="2.7109375" style="1868" customWidth="1"/>
    <col min="11279" max="11521" width="9.140625" style="1868"/>
    <col min="11522" max="11522" width="2.85546875" style="1868" customWidth="1"/>
    <col min="11523" max="11523" width="10.42578125" style="1868" customWidth="1"/>
    <col min="11524" max="11524" width="14.28515625" style="1868" customWidth="1"/>
    <col min="11525" max="11526" width="5.7109375" style="1868" customWidth="1"/>
    <col min="11527" max="11532" width="9.140625" style="1868"/>
    <col min="11533" max="11533" width="3.7109375" style="1868" customWidth="1"/>
    <col min="11534" max="11534" width="2.7109375" style="1868" customWidth="1"/>
    <col min="11535" max="11777" width="9.140625" style="1868"/>
    <col min="11778" max="11778" width="2.85546875" style="1868" customWidth="1"/>
    <col min="11779" max="11779" width="10.42578125" style="1868" customWidth="1"/>
    <col min="11780" max="11780" width="14.28515625" style="1868" customWidth="1"/>
    <col min="11781" max="11782" width="5.7109375" style="1868" customWidth="1"/>
    <col min="11783" max="11788" width="9.140625" style="1868"/>
    <col min="11789" max="11789" width="3.7109375" style="1868" customWidth="1"/>
    <col min="11790" max="11790" width="2.7109375" style="1868" customWidth="1"/>
    <col min="11791" max="12033" width="9.140625" style="1868"/>
    <col min="12034" max="12034" width="2.85546875" style="1868" customWidth="1"/>
    <col min="12035" max="12035" width="10.42578125" style="1868" customWidth="1"/>
    <col min="12036" max="12036" width="14.28515625" style="1868" customWidth="1"/>
    <col min="12037" max="12038" width="5.7109375" style="1868" customWidth="1"/>
    <col min="12039" max="12044" width="9.140625" style="1868"/>
    <col min="12045" max="12045" width="3.7109375" style="1868" customWidth="1"/>
    <col min="12046" max="12046" width="2.7109375" style="1868" customWidth="1"/>
    <col min="12047" max="12289" width="9.140625" style="1868"/>
    <col min="12290" max="12290" width="2.85546875" style="1868" customWidth="1"/>
    <col min="12291" max="12291" width="10.42578125" style="1868" customWidth="1"/>
    <col min="12292" max="12292" width="14.28515625" style="1868" customWidth="1"/>
    <col min="12293" max="12294" width="5.7109375" style="1868" customWidth="1"/>
    <col min="12295" max="12300" width="9.140625" style="1868"/>
    <col min="12301" max="12301" width="3.7109375" style="1868" customWidth="1"/>
    <col min="12302" max="12302" width="2.7109375" style="1868" customWidth="1"/>
    <col min="12303" max="12545" width="9.140625" style="1868"/>
    <col min="12546" max="12546" width="2.85546875" style="1868" customWidth="1"/>
    <col min="12547" max="12547" width="10.42578125" style="1868" customWidth="1"/>
    <col min="12548" max="12548" width="14.28515625" style="1868" customWidth="1"/>
    <col min="12549" max="12550" width="5.7109375" style="1868" customWidth="1"/>
    <col min="12551" max="12556" width="9.140625" style="1868"/>
    <col min="12557" max="12557" width="3.7109375" style="1868" customWidth="1"/>
    <col min="12558" max="12558" width="2.7109375" style="1868" customWidth="1"/>
    <col min="12559" max="12801" width="9.140625" style="1868"/>
    <col min="12802" max="12802" width="2.85546875" style="1868" customWidth="1"/>
    <col min="12803" max="12803" width="10.42578125" style="1868" customWidth="1"/>
    <col min="12804" max="12804" width="14.28515625" style="1868" customWidth="1"/>
    <col min="12805" max="12806" width="5.7109375" style="1868" customWidth="1"/>
    <col min="12807" max="12812" width="9.140625" style="1868"/>
    <col min="12813" max="12813" width="3.7109375" style="1868" customWidth="1"/>
    <col min="12814" max="12814" width="2.7109375" style="1868" customWidth="1"/>
    <col min="12815" max="13057" width="9.140625" style="1868"/>
    <col min="13058" max="13058" width="2.85546875" style="1868" customWidth="1"/>
    <col min="13059" max="13059" width="10.42578125" style="1868" customWidth="1"/>
    <col min="13060" max="13060" width="14.28515625" style="1868" customWidth="1"/>
    <col min="13061" max="13062" width="5.7109375" style="1868" customWidth="1"/>
    <col min="13063" max="13068" width="9.140625" style="1868"/>
    <col min="13069" max="13069" width="3.7109375" style="1868" customWidth="1"/>
    <col min="13070" max="13070" width="2.7109375" style="1868" customWidth="1"/>
    <col min="13071" max="13313" width="9.140625" style="1868"/>
    <col min="13314" max="13314" width="2.85546875" style="1868" customWidth="1"/>
    <col min="13315" max="13315" width="10.42578125" style="1868" customWidth="1"/>
    <col min="13316" max="13316" width="14.28515625" style="1868" customWidth="1"/>
    <col min="13317" max="13318" width="5.7109375" style="1868" customWidth="1"/>
    <col min="13319" max="13324" width="9.140625" style="1868"/>
    <col min="13325" max="13325" width="3.7109375" style="1868" customWidth="1"/>
    <col min="13326" max="13326" width="2.7109375" style="1868" customWidth="1"/>
    <col min="13327" max="13569" width="9.140625" style="1868"/>
    <col min="13570" max="13570" width="2.85546875" style="1868" customWidth="1"/>
    <col min="13571" max="13571" width="10.42578125" style="1868" customWidth="1"/>
    <col min="13572" max="13572" width="14.28515625" style="1868" customWidth="1"/>
    <col min="13573" max="13574" width="5.7109375" style="1868" customWidth="1"/>
    <col min="13575" max="13580" width="9.140625" style="1868"/>
    <col min="13581" max="13581" width="3.7109375" style="1868" customWidth="1"/>
    <col min="13582" max="13582" width="2.7109375" style="1868" customWidth="1"/>
    <col min="13583" max="13825" width="9.140625" style="1868"/>
    <col min="13826" max="13826" width="2.85546875" style="1868" customWidth="1"/>
    <col min="13827" max="13827" width="10.42578125" style="1868" customWidth="1"/>
    <col min="13828" max="13828" width="14.28515625" style="1868" customWidth="1"/>
    <col min="13829" max="13830" width="5.7109375" style="1868" customWidth="1"/>
    <col min="13831" max="13836" width="9.140625" style="1868"/>
    <col min="13837" max="13837" width="3.7109375" style="1868" customWidth="1"/>
    <col min="13838" max="13838" width="2.7109375" style="1868" customWidth="1"/>
    <col min="13839" max="14081" width="9.140625" style="1868"/>
    <col min="14082" max="14082" width="2.85546875" style="1868" customWidth="1"/>
    <col min="14083" max="14083" width="10.42578125" style="1868" customWidth="1"/>
    <col min="14084" max="14084" width="14.28515625" style="1868" customWidth="1"/>
    <col min="14085" max="14086" width="5.7109375" style="1868" customWidth="1"/>
    <col min="14087" max="14092" width="9.140625" style="1868"/>
    <col min="14093" max="14093" width="3.7109375" style="1868" customWidth="1"/>
    <col min="14094" max="14094" width="2.7109375" style="1868" customWidth="1"/>
    <col min="14095" max="14337" width="9.140625" style="1868"/>
    <col min="14338" max="14338" width="2.85546875" style="1868" customWidth="1"/>
    <col min="14339" max="14339" width="10.42578125" style="1868" customWidth="1"/>
    <col min="14340" max="14340" width="14.28515625" style="1868" customWidth="1"/>
    <col min="14341" max="14342" width="5.7109375" style="1868" customWidth="1"/>
    <col min="14343" max="14348" width="9.140625" style="1868"/>
    <col min="14349" max="14349" width="3.7109375" style="1868" customWidth="1"/>
    <col min="14350" max="14350" width="2.7109375" style="1868" customWidth="1"/>
    <col min="14351" max="14593" width="9.140625" style="1868"/>
    <col min="14594" max="14594" width="2.85546875" style="1868" customWidth="1"/>
    <col min="14595" max="14595" width="10.42578125" style="1868" customWidth="1"/>
    <col min="14596" max="14596" width="14.28515625" style="1868" customWidth="1"/>
    <col min="14597" max="14598" width="5.7109375" style="1868" customWidth="1"/>
    <col min="14599" max="14604" width="9.140625" style="1868"/>
    <col min="14605" max="14605" width="3.7109375" style="1868" customWidth="1"/>
    <col min="14606" max="14606" width="2.7109375" style="1868" customWidth="1"/>
    <col min="14607" max="14849" width="9.140625" style="1868"/>
    <col min="14850" max="14850" width="2.85546875" style="1868" customWidth="1"/>
    <col min="14851" max="14851" width="10.42578125" style="1868" customWidth="1"/>
    <col min="14852" max="14852" width="14.28515625" style="1868" customWidth="1"/>
    <col min="14853" max="14854" width="5.7109375" style="1868" customWidth="1"/>
    <col min="14855" max="14860" width="9.140625" style="1868"/>
    <col min="14861" max="14861" width="3.7109375" style="1868" customWidth="1"/>
    <col min="14862" max="14862" width="2.7109375" style="1868" customWidth="1"/>
    <col min="14863" max="15105" width="9.140625" style="1868"/>
    <col min="15106" max="15106" width="2.85546875" style="1868" customWidth="1"/>
    <col min="15107" max="15107" width="10.42578125" style="1868" customWidth="1"/>
    <col min="15108" max="15108" width="14.28515625" style="1868" customWidth="1"/>
    <col min="15109" max="15110" width="5.7109375" style="1868" customWidth="1"/>
    <col min="15111" max="15116" width="9.140625" style="1868"/>
    <col min="15117" max="15117" width="3.7109375" style="1868" customWidth="1"/>
    <col min="15118" max="15118" width="2.7109375" style="1868" customWidth="1"/>
    <col min="15119" max="15361" width="9.140625" style="1868"/>
    <col min="15362" max="15362" width="2.85546875" style="1868" customWidth="1"/>
    <col min="15363" max="15363" width="10.42578125" style="1868" customWidth="1"/>
    <col min="15364" max="15364" width="14.28515625" style="1868" customWidth="1"/>
    <col min="15365" max="15366" width="5.7109375" style="1868" customWidth="1"/>
    <col min="15367" max="15372" width="9.140625" style="1868"/>
    <col min="15373" max="15373" width="3.7109375" style="1868" customWidth="1"/>
    <col min="15374" max="15374" width="2.7109375" style="1868" customWidth="1"/>
    <col min="15375" max="15617" width="9.140625" style="1868"/>
    <col min="15618" max="15618" width="2.85546875" style="1868" customWidth="1"/>
    <col min="15619" max="15619" width="10.42578125" style="1868" customWidth="1"/>
    <col min="15620" max="15620" width="14.28515625" style="1868" customWidth="1"/>
    <col min="15621" max="15622" width="5.7109375" style="1868" customWidth="1"/>
    <col min="15623" max="15628" width="9.140625" style="1868"/>
    <col min="15629" max="15629" width="3.7109375" style="1868" customWidth="1"/>
    <col min="15630" max="15630" width="2.7109375" style="1868" customWidth="1"/>
    <col min="15631" max="15873" width="9.140625" style="1868"/>
    <col min="15874" max="15874" width="2.85546875" style="1868" customWidth="1"/>
    <col min="15875" max="15875" width="10.42578125" style="1868" customWidth="1"/>
    <col min="15876" max="15876" width="14.28515625" style="1868" customWidth="1"/>
    <col min="15877" max="15878" width="5.7109375" style="1868" customWidth="1"/>
    <col min="15879" max="15884" width="9.140625" style="1868"/>
    <col min="15885" max="15885" width="3.7109375" style="1868" customWidth="1"/>
    <col min="15886" max="15886" width="2.7109375" style="1868" customWidth="1"/>
    <col min="15887" max="16129" width="9.140625" style="1868"/>
    <col min="16130" max="16130" width="2.85546875" style="1868" customWidth="1"/>
    <col min="16131" max="16131" width="10.42578125" style="1868" customWidth="1"/>
    <col min="16132" max="16132" width="14.28515625" style="1868" customWidth="1"/>
    <col min="16133" max="16134" width="5.7109375" style="1868" customWidth="1"/>
    <col min="16135" max="16140" width="9.140625" style="1868"/>
    <col min="16141" max="16141" width="3.7109375" style="1868" customWidth="1"/>
    <col min="16142" max="16142" width="2.7109375" style="1868" customWidth="1"/>
    <col min="16143" max="16384" width="9.140625" style="1868"/>
  </cols>
  <sheetData>
    <row r="1" spans="2:13" ht="18.75" customHeight="1" thickBot="1">
      <c r="B1" s="2688"/>
      <c r="C1" s="2688"/>
      <c r="D1" s="2688"/>
      <c r="E1" s="2688"/>
      <c r="F1" s="2688"/>
      <c r="G1" s="2688"/>
      <c r="H1" s="2688"/>
      <c r="I1" s="2688"/>
      <c r="J1" s="2688"/>
      <c r="K1" s="2688"/>
      <c r="L1" s="2688"/>
      <c r="M1" s="2688"/>
    </row>
    <row r="2" spans="2:13" ht="13.5" thickTop="1">
      <c r="B2" s="1869"/>
      <c r="C2" s="1870"/>
      <c r="D2" s="1870"/>
      <c r="E2" s="1870"/>
      <c r="F2" s="1870"/>
      <c r="G2" s="1870"/>
      <c r="H2" s="1870"/>
      <c r="I2" s="1870"/>
      <c r="J2" s="1870"/>
      <c r="K2" s="1870"/>
      <c r="L2" s="1870"/>
      <c r="M2" s="1871"/>
    </row>
    <row r="3" spans="2:13">
      <c r="B3" s="1872"/>
      <c r="M3" s="1873"/>
    </row>
    <row r="4" spans="2:13">
      <c r="B4" s="1872"/>
      <c r="M4" s="1873"/>
    </row>
    <row r="5" spans="2:13">
      <c r="B5" s="1872"/>
      <c r="M5" s="1873"/>
    </row>
    <row r="6" spans="2:13">
      <c r="B6" s="1872"/>
      <c r="M6" s="1873"/>
    </row>
    <row r="7" spans="2:13" ht="18.75" customHeight="1">
      <c r="B7" s="1872"/>
      <c r="M7" s="1873"/>
    </row>
    <row r="8" spans="2:13">
      <c r="B8" s="1872"/>
      <c r="M8" s="1873"/>
    </row>
    <row r="9" spans="2:13" ht="24.75">
      <c r="B9" s="1872"/>
      <c r="D9" s="1874"/>
      <c r="E9" s="1874"/>
      <c r="F9" s="1874"/>
      <c r="G9" s="1874"/>
      <c r="H9" s="1874"/>
      <c r="I9" s="1874"/>
      <c r="J9" s="1874"/>
      <c r="K9" s="1874"/>
      <c r="L9" s="1874"/>
      <c r="M9" s="1873"/>
    </row>
    <row r="10" spans="2:13" ht="22.5">
      <c r="B10" s="1872"/>
      <c r="C10" s="2689" t="s">
        <v>16725</v>
      </c>
      <c r="D10" s="2689"/>
      <c r="E10" s="2689"/>
      <c r="F10" s="2689"/>
      <c r="G10" s="2689"/>
      <c r="H10" s="2689"/>
      <c r="I10" s="2689"/>
      <c r="J10" s="2689"/>
      <c r="K10" s="2689"/>
      <c r="L10" s="2689"/>
      <c r="M10" s="2690"/>
    </row>
    <row r="11" spans="2:13">
      <c r="B11" s="1872"/>
      <c r="C11" s="2691"/>
      <c r="D11" s="2691"/>
      <c r="E11" s="2691"/>
      <c r="F11" s="2691"/>
      <c r="G11" s="2691"/>
      <c r="H11" s="2691"/>
      <c r="I11" s="2691"/>
      <c r="J11" s="2691"/>
      <c r="K11" s="2691"/>
      <c r="L11" s="2691"/>
      <c r="M11" s="1873"/>
    </row>
    <row r="12" spans="2:13" ht="15.75">
      <c r="B12" s="1872"/>
      <c r="C12" s="2692" t="str">
        <f>'Inserção Dados'!F19</f>
        <v>MT PARTICIPAÇÕES E PROJETOS S.A.</v>
      </c>
      <c r="D12" s="2692"/>
      <c r="E12" s="2692"/>
      <c r="F12" s="2692"/>
      <c r="G12" s="2692"/>
      <c r="H12" s="2692"/>
      <c r="I12" s="2692"/>
      <c r="J12" s="2692"/>
      <c r="K12" s="2692"/>
      <c r="L12" s="2692"/>
      <c r="M12" s="1873"/>
    </row>
    <row r="13" spans="2:13">
      <c r="B13" s="1872"/>
      <c r="C13" s="2691"/>
      <c r="D13" s="2691"/>
      <c r="E13" s="2691"/>
      <c r="F13" s="2691"/>
      <c r="G13" s="2691"/>
      <c r="H13" s="2691"/>
      <c r="I13" s="2691"/>
      <c r="J13" s="2691"/>
      <c r="K13" s="2691"/>
      <c r="L13" s="2691"/>
      <c r="M13" s="1873"/>
    </row>
    <row r="14" spans="2:13" ht="18" customHeight="1">
      <c r="B14" s="1872"/>
      <c r="C14" s="2693" t="str">
        <f>'Inserção Dados'!F20</f>
        <v>MTPAR</v>
      </c>
      <c r="D14" s="2693"/>
      <c r="E14" s="2693"/>
      <c r="F14" s="2693"/>
      <c r="G14" s="2693"/>
      <c r="H14" s="2693"/>
      <c r="I14" s="2693"/>
      <c r="J14" s="2693"/>
      <c r="K14" s="2693"/>
      <c r="L14" s="2693"/>
      <c r="M14" s="1873"/>
    </row>
    <row r="15" spans="2:13" ht="15">
      <c r="B15" s="1875"/>
      <c r="C15" s="1876"/>
      <c r="D15" s="2694"/>
      <c r="E15" s="2694"/>
      <c r="F15" s="2694"/>
      <c r="G15" s="2694"/>
      <c r="H15" s="2694"/>
      <c r="I15" s="2694"/>
      <c r="J15" s="2694"/>
      <c r="K15" s="2694"/>
      <c r="L15" s="2694"/>
      <c r="M15" s="1873"/>
    </row>
    <row r="16" spans="2:13" ht="14.25">
      <c r="B16" s="1875"/>
      <c r="C16" s="1876"/>
      <c r="D16" s="1876"/>
      <c r="E16" s="1876"/>
      <c r="F16" s="1876"/>
      <c r="G16" s="1876"/>
      <c r="H16" s="1876"/>
      <c r="I16" s="1876"/>
      <c r="J16" s="1876"/>
      <c r="K16" s="1876"/>
      <c r="L16" s="1876"/>
      <c r="M16" s="1873"/>
    </row>
    <row r="17" spans="2:17" ht="14.25">
      <c r="B17" s="1875"/>
      <c r="C17" s="1876"/>
      <c r="D17" s="1876"/>
      <c r="E17" s="1876"/>
      <c r="F17" s="1876"/>
      <c r="G17" s="1876"/>
      <c r="H17" s="1876"/>
      <c r="I17" s="1876"/>
      <c r="J17" s="1876"/>
      <c r="K17" s="1876"/>
      <c r="L17" s="1876"/>
      <c r="M17" s="1873"/>
    </row>
    <row r="18" spans="2:17" ht="14.25">
      <c r="B18" s="1875"/>
      <c r="C18" s="1876"/>
      <c r="D18" s="1876"/>
      <c r="E18" s="1876"/>
      <c r="F18" s="1876"/>
      <c r="G18" s="1876"/>
      <c r="H18" s="1876"/>
      <c r="I18" s="1876"/>
      <c r="J18" s="1876"/>
      <c r="K18" s="1876"/>
      <c r="L18" s="1876"/>
      <c r="M18" s="1873"/>
    </row>
    <row r="19" spans="2:17" ht="14.25">
      <c r="B19" s="1875"/>
      <c r="C19" s="1876"/>
      <c r="D19" s="1876"/>
      <c r="E19" s="1876"/>
      <c r="F19" s="1876"/>
      <c r="G19" s="1876"/>
      <c r="H19" s="1876"/>
      <c r="I19" s="1876"/>
      <c r="J19" s="1876"/>
      <c r="K19" s="1876"/>
      <c r="L19" s="1876"/>
      <c r="M19" s="1873"/>
    </row>
    <row r="20" spans="2:17" ht="15" thickBot="1">
      <c r="B20" s="1875"/>
      <c r="C20" s="1876"/>
      <c r="D20" s="1876"/>
      <c r="E20" s="1876"/>
      <c r="F20" s="1876"/>
      <c r="G20" s="1876"/>
      <c r="H20" s="1876"/>
      <c r="I20" s="1876"/>
      <c r="J20" s="1876"/>
      <c r="K20" s="1876"/>
      <c r="L20" s="1876"/>
      <c r="M20" s="1873"/>
    </row>
    <row r="21" spans="2:17" ht="14.25">
      <c r="B21" s="1875"/>
      <c r="C21" s="1877"/>
      <c r="D21" s="1878"/>
      <c r="E21" s="1878"/>
      <c r="F21" s="1878"/>
      <c r="G21" s="1878"/>
      <c r="H21" s="1878"/>
      <c r="I21" s="1878"/>
      <c r="J21" s="1878"/>
      <c r="K21" s="1878"/>
      <c r="L21" s="1879"/>
      <c r="M21" s="1873"/>
    </row>
    <row r="22" spans="2:17" ht="14.25">
      <c r="B22" s="1875"/>
      <c r="C22" s="1880"/>
      <c r="D22" s="2695" t="s">
        <v>16726</v>
      </c>
      <c r="E22" s="2696" t="str">
        <f>'Inserção Dados'!F28</f>
        <v>CONTRATAÇÃO DE EMPRESA PARA A REALIZAÇÃO DAS OBRAS DO COMPLEXO SUNSET, NAS DEPENDÊNCIAS DO PARQUE NOVO MATO GROSSO, LOCALIZADO NO MUNICÍPIO DE CUIABÁ -MT</v>
      </c>
      <c r="F22" s="2696"/>
      <c r="G22" s="2696"/>
      <c r="H22" s="2696"/>
      <c r="I22" s="2696"/>
      <c r="J22" s="2696"/>
      <c r="K22" s="2696"/>
      <c r="L22" s="2697"/>
      <c r="M22" s="1873"/>
    </row>
    <row r="23" spans="2:17" ht="14.25">
      <c r="B23" s="1875"/>
      <c r="C23" s="1880"/>
      <c r="D23" s="2695"/>
      <c r="E23" s="2696"/>
      <c r="F23" s="2696"/>
      <c r="G23" s="2696"/>
      <c r="H23" s="2696"/>
      <c r="I23" s="2696"/>
      <c r="J23" s="2696"/>
      <c r="K23" s="2696"/>
      <c r="L23" s="2697"/>
      <c r="M23" s="1873"/>
    </row>
    <row r="24" spans="2:17" ht="14.25">
      <c r="B24" s="1875"/>
      <c r="C24" s="1880"/>
      <c r="D24" s="2695"/>
      <c r="E24" s="2696"/>
      <c r="F24" s="2696"/>
      <c r="G24" s="2696"/>
      <c r="H24" s="2696"/>
      <c r="I24" s="2696"/>
      <c r="J24" s="2696"/>
      <c r="K24" s="2696"/>
      <c r="L24" s="2697"/>
      <c r="M24" s="1873"/>
    </row>
    <row r="25" spans="2:17" ht="15">
      <c r="B25" s="1875"/>
      <c r="C25" s="1880"/>
      <c r="D25" s="2698" t="s">
        <v>16727</v>
      </c>
      <c r="E25" s="2696" t="str">
        <f>'Inserção Dados'!F31</f>
        <v>MT - 251, KM 12, ÁREA RURAL, PARQUE NOVO MT, CUIABÁ-MT.</v>
      </c>
      <c r="F25" s="2696"/>
      <c r="G25" s="2696"/>
      <c r="H25" s="2696"/>
      <c r="I25" s="2696"/>
      <c r="J25" s="2696"/>
      <c r="K25" s="2696"/>
      <c r="L25" s="2697"/>
      <c r="M25" s="1873"/>
      <c r="Q25" s="1882"/>
    </row>
    <row r="26" spans="2:17" ht="15">
      <c r="B26" s="1875"/>
      <c r="C26" s="1880"/>
      <c r="D26" s="2698"/>
      <c r="E26" s="2696"/>
      <c r="F26" s="2696"/>
      <c r="G26" s="2696"/>
      <c r="H26" s="2696"/>
      <c r="I26" s="2696"/>
      <c r="J26" s="2696"/>
      <c r="K26" s="2696"/>
      <c r="L26" s="2697"/>
      <c r="M26" s="1873"/>
      <c r="Q26" s="1883"/>
    </row>
    <row r="27" spans="2:17" ht="15">
      <c r="B27" s="1875"/>
      <c r="C27" s="1880"/>
      <c r="D27" s="1881" t="s">
        <v>16728</v>
      </c>
      <c r="E27" s="2686" t="str">
        <f>'Inserção Dados'!F32&amp;" - MT"</f>
        <v xml:space="preserve"> CUIABÁ  - MT</v>
      </c>
      <c r="F27" s="2686"/>
      <c r="G27" s="2686"/>
      <c r="H27" s="2686"/>
      <c r="I27" s="2686"/>
      <c r="J27" s="2686"/>
      <c r="K27" s="2686"/>
      <c r="L27" s="2687"/>
      <c r="M27" s="1873"/>
      <c r="Q27" s="1883"/>
    </row>
    <row r="28" spans="2:17" ht="15">
      <c r="B28" s="1875"/>
      <c r="C28" s="1880"/>
      <c r="D28" s="1881"/>
      <c r="E28" s="2694"/>
      <c r="F28" s="2694"/>
      <c r="G28" s="2694"/>
      <c r="H28" s="2694"/>
      <c r="I28" s="2694"/>
      <c r="J28" s="2694"/>
      <c r="K28" s="2694"/>
      <c r="L28" s="2701"/>
      <c r="M28" s="1873"/>
      <c r="Q28" s="1883"/>
    </row>
    <row r="29" spans="2:17" ht="15">
      <c r="B29" s="1875"/>
      <c r="C29" s="1880"/>
      <c r="D29" s="1881" t="s">
        <v>16729</v>
      </c>
      <c r="E29" s="2686" t="str">
        <f>'Inserção Dados'!G41</f>
        <v>121/2024/MTPAR</v>
      </c>
      <c r="F29" s="2686"/>
      <c r="G29" s="2686"/>
      <c r="H29" s="2686"/>
      <c r="I29" s="2686"/>
      <c r="J29" s="2686"/>
      <c r="K29" s="2686"/>
      <c r="L29" s="2687"/>
      <c r="M29" s="1873"/>
      <c r="Q29" s="1883"/>
    </row>
    <row r="30" spans="2:17" ht="15.75" thickBot="1">
      <c r="B30" s="1875"/>
      <c r="C30" s="1884"/>
      <c r="D30" s="1885"/>
      <c r="E30" s="1886"/>
      <c r="F30" s="1887"/>
      <c r="G30" s="1886"/>
      <c r="H30" s="1886"/>
      <c r="I30" s="1886"/>
      <c r="J30" s="1886"/>
      <c r="K30" s="1886"/>
      <c r="L30" s="1888"/>
      <c r="M30" s="1873"/>
      <c r="Q30" s="1889"/>
    </row>
    <row r="31" spans="2:17" ht="15">
      <c r="B31" s="1875"/>
      <c r="C31" s="1876"/>
      <c r="D31" s="1890"/>
      <c r="E31" s="1876"/>
      <c r="F31" s="1891"/>
      <c r="G31" s="1876"/>
      <c r="H31" s="1876"/>
      <c r="I31" s="1876"/>
      <c r="J31" s="1876"/>
      <c r="K31" s="1876"/>
      <c r="L31" s="1876"/>
      <c r="M31" s="1873"/>
      <c r="Q31" s="1882"/>
    </row>
    <row r="32" spans="2:17" ht="14.25">
      <c r="B32" s="1875"/>
      <c r="C32" s="1876"/>
      <c r="D32" s="1876"/>
      <c r="E32" s="1876"/>
      <c r="F32" s="1876"/>
      <c r="G32" s="1876"/>
      <c r="H32" s="1876"/>
      <c r="I32" s="1876"/>
      <c r="J32" s="1876"/>
      <c r="K32" s="1876"/>
      <c r="L32" s="1876"/>
      <c r="M32" s="1873"/>
    </row>
    <row r="33" spans="2:17" ht="14.25">
      <c r="B33" s="1875"/>
      <c r="C33" s="1876"/>
      <c r="D33" s="1876"/>
      <c r="E33" s="1876"/>
      <c r="F33" s="1876"/>
      <c r="G33" s="1876"/>
      <c r="H33" s="1876"/>
      <c r="I33" s="1876"/>
      <c r="J33" s="1876"/>
      <c r="K33" s="1876"/>
      <c r="L33" s="1876"/>
      <c r="M33" s="1873"/>
    </row>
    <row r="34" spans="2:17" ht="15">
      <c r="B34" s="1875"/>
      <c r="C34" s="2694"/>
      <c r="D34" s="2694"/>
      <c r="E34" s="2694"/>
      <c r="F34" s="2694"/>
      <c r="G34" s="2694"/>
      <c r="H34" s="2694"/>
      <c r="I34" s="2694"/>
      <c r="J34" s="2694"/>
      <c r="K34" s="2694"/>
      <c r="L34" s="2694"/>
      <c r="M34" s="1873"/>
    </row>
    <row r="35" spans="2:17" ht="14.25">
      <c r="B35" s="1875"/>
      <c r="C35" s="1876"/>
      <c r="D35" s="1876"/>
      <c r="E35" s="1876"/>
      <c r="F35" s="1876"/>
      <c r="G35" s="1876"/>
      <c r="H35" s="1876"/>
      <c r="I35" s="1876"/>
      <c r="J35" s="1876"/>
      <c r="K35" s="1876"/>
      <c r="L35" s="1876"/>
      <c r="M35" s="1873"/>
    </row>
    <row r="36" spans="2:17" ht="22.5">
      <c r="B36" s="1872"/>
      <c r="C36" s="2702" t="s">
        <v>17010</v>
      </c>
      <c r="D36" s="2702"/>
      <c r="E36" s="2702"/>
      <c r="F36" s="2702"/>
      <c r="G36" s="2702"/>
      <c r="H36" s="2702"/>
      <c r="I36" s="2702"/>
      <c r="J36" s="2702"/>
      <c r="K36" s="2702"/>
      <c r="L36" s="2702"/>
      <c r="M36" s="1873"/>
    </row>
    <row r="37" spans="2:17">
      <c r="B37" s="1892"/>
      <c r="C37" s="2703" t="str">
        <f>"Período: "&amp;TEXT('Inserção Dados'!G74,"dd/mm/aa")&amp;" a "&amp;TEXT('Inserção Dados'!G75,"dd/mm/aa")</f>
        <v>Período: 01/06/25 a 30/06/25</v>
      </c>
      <c r="D37" s="2703"/>
      <c r="E37" s="2703"/>
      <c r="F37" s="2703"/>
      <c r="G37" s="2703"/>
      <c r="H37" s="2703"/>
      <c r="I37" s="2703"/>
      <c r="J37" s="2703"/>
      <c r="K37" s="2703"/>
      <c r="L37" s="2703"/>
      <c r="M37" s="1893"/>
    </row>
    <row r="38" spans="2:17">
      <c r="B38" s="1892"/>
      <c r="C38" s="1894"/>
      <c r="D38" s="1894"/>
      <c r="E38" s="1894"/>
      <c r="F38" s="1894"/>
      <c r="G38" s="1894"/>
      <c r="H38" s="1894"/>
      <c r="I38" s="1894"/>
      <c r="J38" s="1894"/>
      <c r="K38" s="1894"/>
      <c r="L38" s="1894"/>
      <c r="M38" s="1893"/>
      <c r="Q38" s="2111"/>
    </row>
    <row r="39" spans="2:17">
      <c r="B39" s="1892"/>
      <c r="C39" s="1894"/>
      <c r="D39" s="1894"/>
      <c r="E39" s="1894"/>
      <c r="F39" s="1894"/>
      <c r="G39" s="1894"/>
      <c r="H39" s="1894"/>
      <c r="I39" s="1894"/>
      <c r="J39" s="1894"/>
      <c r="K39" s="1894"/>
      <c r="L39" s="1894"/>
      <c r="M39" s="1893"/>
    </row>
    <row r="40" spans="2:17">
      <c r="B40" s="1892"/>
      <c r="C40" s="1894"/>
      <c r="D40" s="1894"/>
      <c r="E40" s="1894"/>
      <c r="F40" s="1894"/>
      <c r="G40" s="1894"/>
      <c r="H40" s="1894"/>
      <c r="I40" s="1894"/>
      <c r="J40" s="1894"/>
      <c r="K40" s="1894"/>
      <c r="L40" s="1894"/>
      <c r="M40" s="1893"/>
    </row>
    <row r="41" spans="2:17">
      <c r="B41" s="1892"/>
      <c r="C41" s="1894"/>
      <c r="D41" s="1894"/>
      <c r="E41" s="1894"/>
      <c r="F41" s="1894"/>
      <c r="G41" s="1894"/>
      <c r="H41" s="1894"/>
      <c r="I41" s="1894"/>
      <c r="J41" s="1894"/>
      <c r="K41" s="1894"/>
      <c r="L41" s="1894"/>
      <c r="M41" s="1893"/>
    </row>
    <row r="42" spans="2:17">
      <c r="B42" s="1892"/>
      <c r="C42" s="1894"/>
      <c r="D42" s="1894"/>
      <c r="E42" s="1894"/>
      <c r="F42" s="1894"/>
      <c r="G42" s="1894"/>
      <c r="H42" s="1894"/>
      <c r="I42" s="1894"/>
      <c r="J42" s="1894"/>
      <c r="K42" s="1894"/>
      <c r="L42" s="1894"/>
      <c r="M42" s="1893"/>
    </row>
    <row r="43" spans="2:17" ht="15" customHeight="1">
      <c r="B43" s="1892"/>
      <c r="C43" s="1894"/>
      <c r="D43" s="1894"/>
      <c r="E43" s="1894"/>
      <c r="F43" s="1894"/>
      <c r="G43" s="1894"/>
      <c r="H43" s="1894"/>
      <c r="I43" s="2704"/>
      <c r="J43" s="2704"/>
      <c r="K43" s="2704"/>
      <c r="L43" s="2704"/>
      <c r="M43" s="1893"/>
    </row>
    <row r="44" spans="2:17">
      <c r="B44" s="1892"/>
      <c r="C44" s="1894"/>
      <c r="D44" s="1894"/>
      <c r="E44" s="1894"/>
      <c r="F44" s="1894"/>
      <c r="G44" s="1894"/>
      <c r="H44" s="1894"/>
      <c r="I44" s="1894"/>
      <c r="J44" s="1894"/>
      <c r="K44" s="1894"/>
      <c r="L44" s="1894"/>
      <c r="M44" s="1893"/>
    </row>
    <row r="45" spans="2:17">
      <c r="B45" s="1892"/>
      <c r="C45" s="1894"/>
      <c r="D45" s="1894"/>
      <c r="E45" s="1894"/>
      <c r="F45" s="1894"/>
      <c r="G45" s="1894"/>
      <c r="H45" s="1894"/>
      <c r="I45" s="1894"/>
      <c r="J45" s="1894"/>
      <c r="K45" s="1894"/>
      <c r="L45" s="1894"/>
      <c r="M45" s="1893"/>
    </row>
    <row r="46" spans="2:17">
      <c r="B46" s="1892"/>
      <c r="C46" s="1894"/>
      <c r="D46" s="1894"/>
      <c r="E46" s="1894"/>
      <c r="F46" s="1894"/>
      <c r="G46" s="1894"/>
      <c r="H46" s="1894"/>
      <c r="I46" s="1894"/>
      <c r="J46" s="1894"/>
      <c r="K46" s="1894"/>
      <c r="L46" s="1894"/>
      <c r="M46" s="1893"/>
    </row>
    <row r="47" spans="2:17">
      <c r="B47" s="1892"/>
      <c r="C47" s="1894"/>
      <c r="D47" s="1894"/>
      <c r="E47" s="1894"/>
      <c r="F47" s="1894"/>
      <c r="G47" s="1894"/>
      <c r="H47" s="1894"/>
      <c r="I47" s="1894"/>
      <c r="J47" s="1894"/>
      <c r="K47" s="1894"/>
      <c r="L47" s="1894"/>
      <c r="M47" s="1893"/>
    </row>
    <row r="48" spans="2:17" ht="15.75" customHeight="1">
      <c r="B48" s="1892"/>
      <c r="C48" s="2699" t="str">
        <f>"Contratada: "&amp;'Inserção Dados'!G48</f>
        <v>Contratada: CONSTRUTORA NHAMBIQUARAS LTDA</v>
      </c>
      <c r="D48" s="2699"/>
      <c r="E48" s="2699"/>
      <c r="F48" s="2699"/>
      <c r="G48" s="2699"/>
      <c r="H48" s="2699"/>
      <c r="I48" s="2699"/>
      <c r="J48" s="2699"/>
      <c r="K48" s="2699"/>
      <c r="L48" s="2699"/>
      <c r="M48" s="1893"/>
    </row>
    <row r="49" spans="2:13">
      <c r="B49" s="1892"/>
      <c r="C49" s="2700">
        <f>'Inserção Dados'!G49</f>
        <v>3076083000190</v>
      </c>
      <c r="D49" s="2700"/>
      <c r="E49" s="2700"/>
      <c r="F49" s="2700"/>
      <c r="G49" s="2700"/>
      <c r="H49" s="2700"/>
      <c r="I49" s="2700"/>
      <c r="J49" s="2700"/>
      <c r="K49" s="2700"/>
      <c r="L49" s="2700"/>
      <c r="M49" s="1893"/>
    </row>
    <row r="50" spans="2:13">
      <c r="B50" s="1892"/>
      <c r="C50" s="1894"/>
      <c r="D50" s="1894"/>
      <c r="E50" s="1894"/>
      <c r="F50" s="1894"/>
      <c r="G50" s="1894"/>
      <c r="H50" s="1894"/>
      <c r="I50" s="1894"/>
      <c r="J50" s="1894"/>
      <c r="K50" s="1894"/>
      <c r="L50" s="1894"/>
      <c r="M50" s="1893"/>
    </row>
    <row r="51" spans="2:13">
      <c r="B51" s="1892"/>
      <c r="C51" s="1894"/>
      <c r="D51" s="1894"/>
      <c r="E51" s="1894"/>
      <c r="F51" s="1894"/>
      <c r="G51" s="1894"/>
      <c r="H51" s="1894"/>
      <c r="I51" s="1894"/>
      <c r="J51" s="1894"/>
      <c r="K51" s="1894"/>
      <c r="L51" s="1894"/>
      <c r="M51" s="1893"/>
    </row>
    <row r="52" spans="2:13">
      <c r="B52" s="1892"/>
      <c r="C52" s="1894"/>
      <c r="D52" s="1894"/>
      <c r="E52" s="1894"/>
      <c r="F52" s="1894"/>
      <c r="G52" s="1894"/>
      <c r="H52" s="1894"/>
      <c r="I52" s="1894"/>
      <c r="J52" s="1894"/>
      <c r="K52" s="1894"/>
      <c r="L52" s="1894"/>
      <c r="M52" s="1893"/>
    </row>
    <row r="53" spans="2:13" ht="13.5" thickBot="1">
      <c r="B53" s="1895"/>
      <c r="C53" s="1896"/>
      <c r="D53" s="1896"/>
      <c r="E53" s="1896"/>
      <c r="F53" s="1896"/>
      <c r="G53" s="1896"/>
      <c r="H53" s="1896"/>
      <c r="I53" s="1896"/>
      <c r="J53" s="1896"/>
      <c r="K53" s="1896"/>
      <c r="L53" s="1896"/>
      <c r="M53" s="1897"/>
    </row>
    <row r="54" spans="2:13" ht="13.5" thickTop="1"/>
  </sheetData>
  <mergeCells count="20">
    <mergeCell ref="C48:L48"/>
    <mergeCell ref="C49:L49"/>
    <mergeCell ref="E28:L28"/>
    <mergeCell ref="E29:L29"/>
    <mergeCell ref="C34:L34"/>
    <mergeCell ref="C36:L36"/>
    <mergeCell ref="C37:L37"/>
    <mergeCell ref="I43:L43"/>
    <mergeCell ref="E27:L27"/>
    <mergeCell ref="B1:M1"/>
    <mergeCell ref="C10:M10"/>
    <mergeCell ref="C11:L11"/>
    <mergeCell ref="C12:L12"/>
    <mergeCell ref="C13:L13"/>
    <mergeCell ref="C14:L14"/>
    <mergeCell ref="D15:L15"/>
    <mergeCell ref="D22:D24"/>
    <mergeCell ref="E22:L24"/>
    <mergeCell ref="D25:D26"/>
    <mergeCell ref="E25:L26"/>
  </mergeCells>
  <pageMargins left="0.59055118110236227" right="0.31496062992125984" top="0.59055118110236227" bottom="0.59055118110236227" header="0" footer="0"/>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978BB-18F6-41DF-B5E7-3701FE758B25}">
  <dimension ref="B1:Z161"/>
  <sheetViews>
    <sheetView topLeftCell="A115" workbookViewId="0">
      <selection activeCell="G130" sqref="G130:I130"/>
    </sheetView>
  </sheetViews>
  <sheetFormatPr defaultColWidth="9.140625" defaultRowHeight="17.25" customHeight="1"/>
  <cols>
    <col min="1" max="1" width="2.7109375" style="1898" customWidth="1"/>
    <col min="2" max="4" width="3.7109375" style="1898" customWidth="1"/>
    <col min="5" max="5" width="9.140625" style="1898"/>
    <col min="6" max="6" width="12.5703125" style="1898" customWidth="1"/>
    <col min="7" max="7" width="13.5703125" style="1898" bestFit="1" customWidth="1"/>
    <col min="8" max="16" width="9.140625" style="1898"/>
    <col min="17" max="17" width="17.7109375" style="1898" customWidth="1"/>
    <col min="18" max="18" width="16.42578125" style="1898" customWidth="1"/>
    <col min="19" max="19" width="17.42578125" style="1898" customWidth="1"/>
    <col min="20" max="20" width="41.5703125" style="1898" customWidth="1"/>
    <col min="21" max="21" width="13.42578125" style="1898" customWidth="1"/>
    <col min="22" max="22" width="5" style="1898" customWidth="1"/>
    <col min="23" max="23" width="7.7109375" style="1898" customWidth="1"/>
    <col min="24" max="27" width="12.7109375" style="1898" customWidth="1"/>
    <col min="28" max="16384" width="9.140625" style="1898"/>
  </cols>
  <sheetData>
    <row r="1" spans="2:23" ht="28.5" customHeight="1" thickBot="1">
      <c r="B1" s="2705" t="s">
        <v>16730</v>
      </c>
      <c r="C1" s="2705"/>
      <c r="D1" s="2705"/>
      <c r="E1" s="2705"/>
      <c r="F1" s="2705"/>
      <c r="G1" s="2705"/>
      <c r="H1" s="2705"/>
      <c r="I1" s="2705"/>
      <c r="J1" s="2705"/>
      <c r="K1" s="2705"/>
      <c r="L1" s="2705"/>
      <c r="M1" s="2705"/>
      <c r="N1" s="2705"/>
      <c r="O1" s="2705"/>
      <c r="P1" s="2705"/>
      <c r="R1" s="1899" t="s">
        <v>16731</v>
      </c>
      <c r="S1" s="1900" t="s">
        <v>16732</v>
      </c>
      <c r="T1" s="1900" t="s">
        <v>16733</v>
      </c>
      <c r="U1" s="1900" t="s">
        <v>16734</v>
      </c>
      <c r="V1" s="1901" t="s">
        <v>16735</v>
      </c>
      <c r="W1" s="1900" t="s">
        <v>16736</v>
      </c>
    </row>
    <row r="2" spans="2:23" ht="17.25" customHeight="1" thickTop="1">
      <c r="B2" s="2706"/>
      <c r="C2" s="2706"/>
      <c r="D2" s="2706"/>
      <c r="E2" s="2706"/>
      <c r="F2" s="2706"/>
      <c r="G2" s="2706"/>
      <c r="H2" s="2706"/>
      <c r="I2" s="2706"/>
      <c r="J2" s="2706"/>
      <c r="K2" s="2706"/>
      <c r="L2" s="2706"/>
      <c r="M2" s="2706"/>
      <c r="N2" s="2706"/>
      <c r="O2" s="2706"/>
      <c r="P2" s="2706"/>
      <c r="R2" s="2577" t="s">
        <v>17016</v>
      </c>
      <c r="S2" s="1904" t="s">
        <v>16737</v>
      </c>
      <c r="T2" s="1898" t="s">
        <v>16738</v>
      </c>
      <c r="U2" s="1898" t="s">
        <v>16739</v>
      </c>
      <c r="V2" s="1898" t="s">
        <v>16740</v>
      </c>
      <c r="W2" s="1898" t="s">
        <v>16741</v>
      </c>
    </row>
    <row r="3" spans="2:23" ht="17.25" customHeight="1" thickBot="1">
      <c r="B3" s="2707" t="s">
        <v>16742</v>
      </c>
      <c r="C3" s="2707"/>
      <c r="D3" s="2707"/>
      <c r="E3" s="2707"/>
      <c r="F3" s="2707"/>
      <c r="G3" s="2707"/>
      <c r="H3" s="2707"/>
      <c r="I3" s="2707"/>
      <c r="J3" s="2707"/>
      <c r="K3" s="2707"/>
      <c r="L3" s="2707"/>
      <c r="M3" s="2707"/>
      <c r="N3" s="2707"/>
      <c r="O3" s="2707"/>
      <c r="P3" s="2707"/>
      <c r="R3" s="1903" t="s">
        <v>16743</v>
      </c>
      <c r="S3" s="1904" t="s">
        <v>16744</v>
      </c>
      <c r="T3" s="1898" t="s">
        <v>16745</v>
      </c>
      <c r="U3" s="1898" t="s">
        <v>16746</v>
      </c>
      <c r="V3" s="1898" t="s">
        <v>16747</v>
      </c>
      <c r="W3" s="1898" t="s">
        <v>16748</v>
      </c>
    </row>
    <row r="4" spans="2:23" ht="17.25" customHeight="1" thickTop="1">
      <c r="C4" s="2708" t="s">
        <v>16749</v>
      </c>
      <c r="D4" s="2708"/>
      <c r="E4" s="2708"/>
      <c r="F4" s="2708"/>
      <c r="G4" s="2709">
        <v>0</v>
      </c>
      <c r="H4" s="2709"/>
      <c r="I4" s="2709"/>
      <c r="J4" s="2709"/>
      <c r="K4" s="2709"/>
      <c r="L4" s="2709"/>
      <c r="M4" s="2709"/>
      <c r="N4" s="2709"/>
      <c r="O4" s="2709"/>
      <c r="P4" s="2709"/>
      <c r="R4" s="1903"/>
      <c r="S4" s="1904" t="s">
        <v>16750</v>
      </c>
      <c r="U4" s="1898" t="s">
        <v>16751</v>
      </c>
      <c r="V4" s="1898" t="s">
        <v>16752</v>
      </c>
      <c r="W4" s="1898" t="s">
        <v>16753</v>
      </c>
    </row>
    <row r="5" spans="2:23" ht="17.25" customHeight="1">
      <c r="C5" s="2710" t="s">
        <v>16754</v>
      </c>
      <c r="D5" s="2710"/>
      <c r="E5" s="2710"/>
      <c r="F5" s="2710"/>
      <c r="G5" s="2711"/>
      <c r="H5" s="2711"/>
      <c r="I5" s="2711"/>
      <c r="J5" s="2711"/>
      <c r="K5" s="2711"/>
      <c r="L5" s="2711"/>
      <c r="M5" s="2711"/>
      <c r="N5" s="2711"/>
      <c r="O5" s="2711"/>
      <c r="P5" s="2711"/>
      <c r="R5" s="1903"/>
      <c r="S5" s="1904" t="s">
        <v>16755</v>
      </c>
      <c r="U5" s="1898" t="s">
        <v>16756</v>
      </c>
      <c r="V5" s="1898" t="s">
        <v>16757</v>
      </c>
      <c r="W5" s="1898" t="s">
        <v>16758</v>
      </c>
    </row>
    <row r="6" spans="2:23" ht="17.25" customHeight="1">
      <c r="B6" s="1902"/>
      <c r="C6" s="1902"/>
      <c r="D6" s="1902"/>
      <c r="E6" s="1902"/>
      <c r="F6" s="1902"/>
      <c r="G6" s="2706"/>
      <c r="H6" s="2706"/>
      <c r="I6" s="2706"/>
      <c r="J6" s="2706"/>
      <c r="K6" s="2706"/>
      <c r="L6" s="2706"/>
      <c r="M6" s="2706"/>
      <c r="N6" s="2706"/>
      <c r="O6" s="2706"/>
      <c r="P6" s="2706"/>
      <c r="R6" s="1903"/>
      <c r="S6" s="1904" t="s">
        <v>16759</v>
      </c>
      <c r="V6" s="1898" t="s">
        <v>16760</v>
      </c>
      <c r="W6" s="1898" t="s">
        <v>16761</v>
      </c>
    </row>
    <row r="7" spans="2:23" ht="17.25" customHeight="1">
      <c r="B7" s="1902"/>
      <c r="C7" s="1902"/>
      <c r="D7" s="1902"/>
      <c r="E7" s="1902"/>
      <c r="F7" s="1902"/>
      <c r="G7" s="2706"/>
      <c r="H7" s="2706"/>
      <c r="I7" s="2706"/>
      <c r="J7" s="2706"/>
      <c r="K7" s="2706"/>
      <c r="L7" s="2706"/>
      <c r="M7" s="2706"/>
      <c r="N7" s="2706"/>
      <c r="O7" s="2706"/>
      <c r="P7" s="2706"/>
      <c r="R7" s="1903"/>
      <c r="S7" s="1904"/>
      <c r="V7" s="1898" t="s">
        <v>16762</v>
      </c>
      <c r="W7" s="1898" t="s">
        <v>16763</v>
      </c>
    </row>
    <row r="8" spans="2:23" ht="17.25" customHeight="1" thickBot="1">
      <c r="B8" s="2707" t="s">
        <v>16764</v>
      </c>
      <c r="C8" s="2707"/>
      <c r="D8" s="2707"/>
      <c r="E8" s="2707"/>
      <c r="F8" s="2707"/>
      <c r="G8" s="2707"/>
      <c r="H8" s="2707"/>
      <c r="I8" s="2707"/>
      <c r="J8" s="2707"/>
      <c r="K8" s="2707"/>
      <c r="L8" s="2707"/>
      <c r="M8" s="2707"/>
      <c r="N8" s="2707"/>
      <c r="O8" s="2707"/>
      <c r="P8" s="2707"/>
      <c r="R8" s="1903"/>
      <c r="S8" s="1904"/>
      <c r="V8" s="1898" t="s">
        <v>16765</v>
      </c>
      <c r="W8" s="1898" t="s">
        <v>16766</v>
      </c>
    </row>
    <row r="9" spans="2:23" ht="17.25" customHeight="1" thickTop="1">
      <c r="C9" s="1905" t="s">
        <v>16767</v>
      </c>
      <c r="D9" s="1905"/>
      <c r="E9" s="1905"/>
      <c r="F9" s="2709"/>
      <c r="G9" s="2709"/>
      <c r="H9" s="2709"/>
      <c r="I9" s="2709"/>
      <c r="J9" s="2709"/>
      <c r="K9" s="2709"/>
      <c r="L9" s="2709"/>
      <c r="M9" s="2709"/>
      <c r="N9" s="2709"/>
      <c r="O9" s="2709"/>
      <c r="P9" s="2709"/>
      <c r="R9" s="1903"/>
      <c r="S9" s="1904"/>
      <c r="W9" s="1898" t="s">
        <v>16768</v>
      </c>
    </row>
    <row r="10" spans="2:23" ht="17.25" customHeight="1">
      <c r="C10" s="1898" t="s">
        <v>16769</v>
      </c>
      <c r="F10" s="2709"/>
      <c r="G10" s="2709"/>
      <c r="H10" s="2709"/>
      <c r="I10" s="2709"/>
      <c r="J10" s="2709"/>
      <c r="K10" s="2709"/>
      <c r="L10" s="2709"/>
      <c r="M10" s="2709"/>
      <c r="N10" s="2709"/>
      <c r="O10" s="2709"/>
      <c r="P10" s="2709"/>
      <c r="R10" s="1903"/>
      <c r="S10" s="1904"/>
      <c r="W10" s="1898" t="s">
        <v>16770</v>
      </c>
    </row>
    <row r="11" spans="2:23" ht="17.25" customHeight="1">
      <c r="B11" s="1902"/>
      <c r="C11" s="1902"/>
      <c r="D11" s="1902"/>
      <c r="E11" s="1902"/>
      <c r="F11" s="2706"/>
      <c r="G11" s="2706"/>
      <c r="H11" s="2706"/>
      <c r="I11" s="2706"/>
      <c r="J11" s="2706"/>
      <c r="K11" s="2706"/>
      <c r="L11" s="2706"/>
      <c r="M11" s="2706"/>
      <c r="N11" s="2706"/>
      <c r="O11" s="2706"/>
      <c r="P11" s="2706"/>
      <c r="R11" s="1903"/>
      <c r="S11" s="1904"/>
      <c r="W11" s="1898" t="s">
        <v>16771</v>
      </c>
    </row>
    <row r="12" spans="2:23" ht="17.25" customHeight="1">
      <c r="B12" s="1902"/>
      <c r="C12" s="1902"/>
      <c r="D12" s="1902"/>
      <c r="E12" s="1902"/>
      <c r="F12" s="2706"/>
      <c r="G12" s="2706"/>
      <c r="H12" s="2706"/>
      <c r="I12" s="2706"/>
      <c r="J12" s="2706"/>
      <c r="K12" s="2706"/>
      <c r="L12" s="2706"/>
      <c r="M12" s="2706"/>
      <c r="N12" s="2706"/>
      <c r="O12" s="2706"/>
      <c r="P12" s="2706"/>
      <c r="R12" s="1903"/>
      <c r="S12" s="1904"/>
      <c r="W12" s="1898" t="s">
        <v>16772</v>
      </c>
    </row>
    <row r="13" spans="2:23" ht="17.25" customHeight="1" thickBot="1">
      <c r="B13" s="2707" t="s">
        <v>16773</v>
      </c>
      <c r="C13" s="2707"/>
      <c r="D13" s="2707"/>
      <c r="E13" s="2707"/>
      <c r="F13" s="2707"/>
      <c r="G13" s="2707"/>
      <c r="H13" s="2707"/>
      <c r="I13" s="2707"/>
      <c r="J13" s="2707"/>
      <c r="K13" s="2707"/>
      <c r="L13" s="2707"/>
      <c r="M13" s="2707"/>
      <c r="N13" s="2707"/>
      <c r="O13" s="2707"/>
      <c r="P13" s="2707"/>
      <c r="W13" s="1898" t="s">
        <v>16774</v>
      </c>
    </row>
    <row r="14" spans="2:23" ht="17.25" customHeight="1" thickTop="1">
      <c r="C14" s="1905" t="s">
        <v>16767</v>
      </c>
      <c r="D14" s="1905"/>
      <c r="E14" s="1905"/>
      <c r="F14" s="2709"/>
      <c r="G14" s="2709"/>
      <c r="H14" s="2709"/>
      <c r="I14" s="2709"/>
      <c r="J14" s="2709"/>
      <c r="K14" s="2709"/>
      <c r="L14" s="2709"/>
      <c r="M14" s="2709"/>
      <c r="N14" s="2709"/>
      <c r="O14" s="2709"/>
      <c r="P14" s="2709"/>
    </row>
    <row r="15" spans="2:23" ht="17.25" customHeight="1">
      <c r="C15" s="2710" t="s">
        <v>16775</v>
      </c>
      <c r="D15" s="2710"/>
      <c r="E15" s="2710"/>
      <c r="F15" s="2709"/>
      <c r="G15" s="2709"/>
      <c r="H15" s="2709"/>
      <c r="I15" s="2709"/>
      <c r="J15" s="2709"/>
      <c r="K15" s="2709"/>
      <c r="L15" s="2709"/>
      <c r="M15" s="2709"/>
      <c r="N15" s="2709"/>
      <c r="O15" s="2709"/>
      <c r="P15" s="2709"/>
    </row>
    <row r="16" spans="2:23" ht="17.25" customHeight="1">
      <c r="B16" s="1902"/>
      <c r="C16" s="1902"/>
      <c r="D16" s="1902"/>
      <c r="E16" s="1902"/>
      <c r="F16" s="2706"/>
      <c r="G16" s="2706"/>
      <c r="H16" s="2706"/>
      <c r="I16" s="2706"/>
      <c r="J16" s="2706"/>
      <c r="K16" s="2706"/>
      <c r="L16" s="2706"/>
      <c r="M16" s="2706"/>
      <c r="N16" s="2706"/>
      <c r="O16" s="2706"/>
      <c r="P16" s="2706"/>
      <c r="R16" s="1903"/>
      <c r="S16" s="1904"/>
    </row>
    <row r="17" spans="2:19" ht="17.25" customHeight="1">
      <c r="B17" s="1902"/>
      <c r="C17" s="1902"/>
      <c r="D17" s="1902"/>
      <c r="E17" s="1902"/>
      <c r="F17" s="2706"/>
      <c r="G17" s="2706"/>
      <c r="H17" s="2706"/>
      <c r="I17" s="2706"/>
      <c r="J17" s="2706"/>
      <c r="K17" s="2706"/>
      <c r="L17" s="2706"/>
      <c r="M17" s="2706"/>
      <c r="N17" s="2706"/>
      <c r="O17" s="2706"/>
      <c r="P17" s="2706"/>
      <c r="R17" s="1903"/>
      <c r="S17" s="1904"/>
    </row>
    <row r="18" spans="2:19" ht="17.25" customHeight="1" thickBot="1">
      <c r="B18" s="2707" t="s">
        <v>16776</v>
      </c>
      <c r="C18" s="2707"/>
      <c r="D18" s="2707"/>
      <c r="E18" s="2707"/>
      <c r="F18" s="2707"/>
      <c r="G18" s="2707"/>
      <c r="H18" s="2707"/>
      <c r="I18" s="2707"/>
      <c r="J18" s="2707"/>
      <c r="K18" s="2707"/>
      <c r="L18" s="2707"/>
      <c r="M18" s="2707"/>
      <c r="N18" s="2707"/>
      <c r="O18" s="2707"/>
      <c r="P18" s="2707"/>
      <c r="R18" s="1903"/>
      <c r="S18" s="1904"/>
    </row>
    <row r="19" spans="2:19" ht="17.25" customHeight="1" thickTop="1">
      <c r="C19" s="2710" t="s">
        <v>16767</v>
      </c>
      <c r="D19" s="2710"/>
      <c r="E19" s="2710"/>
      <c r="F19" s="2709" t="s">
        <v>16777</v>
      </c>
      <c r="G19" s="2709"/>
      <c r="H19" s="2709"/>
      <c r="I19" s="2709"/>
      <c r="J19" s="2709"/>
      <c r="K19" s="2709"/>
      <c r="L19" s="2709"/>
      <c r="M19" s="2709"/>
      <c r="N19" s="2709"/>
      <c r="O19" s="2709"/>
      <c r="P19" s="2709"/>
      <c r="Q19" s="2112" t="s">
        <v>16229</v>
      </c>
      <c r="S19" s="1904"/>
    </row>
    <row r="20" spans="2:19" ht="17.25" customHeight="1">
      <c r="C20" s="2710" t="s">
        <v>16769</v>
      </c>
      <c r="D20" s="2710"/>
      <c r="E20" s="2710"/>
      <c r="F20" s="2709" t="s">
        <v>16778</v>
      </c>
      <c r="G20" s="2709"/>
      <c r="H20" s="2709"/>
      <c r="I20" s="2709"/>
      <c r="J20" s="2709"/>
      <c r="K20" s="2709"/>
      <c r="L20" s="2709"/>
      <c r="M20" s="2709"/>
      <c r="N20" s="2709"/>
      <c r="O20" s="2709"/>
      <c r="P20" s="2709"/>
      <c r="Q20" s="2112" t="s">
        <v>16229</v>
      </c>
      <c r="S20" s="1904"/>
    </row>
    <row r="21" spans="2:19" ht="17.25" customHeight="1">
      <c r="C21" s="2710" t="s">
        <v>16779</v>
      </c>
      <c r="D21" s="2710"/>
      <c r="E21" s="2710"/>
      <c r="F21" s="2712"/>
      <c r="G21" s="2712"/>
      <c r="H21" s="2712"/>
      <c r="I21" s="2712"/>
      <c r="J21" s="2712"/>
      <c r="K21" s="2712"/>
      <c r="L21" s="2712"/>
      <c r="M21" s="2712"/>
      <c r="N21" s="2712"/>
      <c r="O21" s="2712"/>
      <c r="P21" s="2712"/>
      <c r="S21" s="1904"/>
    </row>
    <row r="22" spans="2:19" ht="17.25" customHeight="1">
      <c r="C22" s="2710" t="s">
        <v>16780</v>
      </c>
      <c r="D22" s="2710"/>
      <c r="E22" s="2710"/>
      <c r="F22" s="2709" t="s">
        <v>17012</v>
      </c>
      <c r="G22" s="2709"/>
      <c r="H22" s="2709"/>
      <c r="I22" s="2709"/>
      <c r="J22" s="2709"/>
      <c r="K22" s="2709"/>
      <c r="L22" s="2709"/>
      <c r="M22" s="2709"/>
      <c r="N22" s="2709"/>
      <c r="O22" s="2709"/>
      <c r="P22" s="2709"/>
      <c r="S22" s="1902"/>
    </row>
    <row r="23" spans="2:19" ht="17.25" customHeight="1">
      <c r="C23" s="2710" t="s">
        <v>16781</v>
      </c>
      <c r="D23" s="2710"/>
      <c r="E23" s="2710"/>
      <c r="F23" s="2713" t="s">
        <v>16751</v>
      </c>
      <c r="G23" s="2713"/>
      <c r="H23" s="2713"/>
      <c r="I23" s="2714" t="s">
        <v>16782</v>
      </c>
      <c r="J23" s="2714"/>
      <c r="K23" s="2714"/>
      <c r="L23" s="2714"/>
      <c r="M23" s="2713" t="s">
        <v>17013</v>
      </c>
      <c r="N23" s="2713"/>
      <c r="O23" s="2713"/>
      <c r="P23" s="2713"/>
      <c r="S23" s="1902"/>
    </row>
    <row r="24" spans="2:19" ht="17.25" customHeight="1">
      <c r="C24" s="2710" t="s">
        <v>16733</v>
      </c>
      <c r="D24" s="2710"/>
      <c r="E24" s="2710"/>
      <c r="F24" s="2713" t="s">
        <v>16738</v>
      </c>
      <c r="G24" s="2713"/>
      <c r="H24" s="2713"/>
      <c r="I24" s="2714" t="s">
        <v>16783</v>
      </c>
      <c r="J24" s="2714"/>
      <c r="K24" s="2714"/>
      <c r="L24" s="2714"/>
      <c r="M24" s="2713">
        <v>1216454264</v>
      </c>
      <c r="N24" s="2713"/>
      <c r="O24" s="2713"/>
      <c r="P24" s="2713"/>
      <c r="S24" s="1902"/>
    </row>
    <row r="25" spans="2:19" ht="17.25" customHeight="1">
      <c r="B25" s="2706"/>
      <c r="C25" s="2706"/>
      <c r="D25" s="2706"/>
      <c r="E25" s="2706"/>
      <c r="F25" s="2706"/>
      <c r="G25" s="2706"/>
      <c r="H25" s="2706"/>
      <c r="I25" s="2706"/>
      <c r="J25" s="2706"/>
      <c r="K25" s="2706"/>
      <c r="L25" s="2706"/>
      <c r="M25" s="2706"/>
      <c r="N25" s="2706"/>
      <c r="O25" s="2706"/>
      <c r="P25" s="2706"/>
      <c r="S25" s="1902"/>
    </row>
    <row r="26" spans="2:19" ht="17.25" customHeight="1">
      <c r="B26" s="2706"/>
      <c r="C26" s="2706"/>
      <c r="D26" s="2706"/>
      <c r="E26" s="2706"/>
      <c r="F26" s="2706"/>
      <c r="G26" s="2706"/>
      <c r="H26" s="2706"/>
      <c r="I26" s="2706"/>
      <c r="J26" s="2706"/>
      <c r="K26" s="2706"/>
      <c r="L26" s="2706"/>
      <c r="M26" s="2706"/>
      <c r="N26" s="2706"/>
      <c r="O26" s="2706"/>
      <c r="P26" s="2706"/>
      <c r="S26" s="1902"/>
    </row>
    <row r="27" spans="2:19" ht="17.25" customHeight="1" thickBot="1">
      <c r="B27" s="2707" t="s">
        <v>16726</v>
      </c>
      <c r="C27" s="2707"/>
      <c r="D27" s="2707"/>
      <c r="E27" s="2707"/>
      <c r="F27" s="2707"/>
      <c r="G27" s="2707"/>
      <c r="H27" s="2707"/>
      <c r="I27" s="2707"/>
      <c r="J27" s="2707"/>
      <c r="K27" s="2707"/>
      <c r="L27" s="2707"/>
      <c r="M27" s="2707"/>
      <c r="N27" s="2707"/>
      <c r="O27" s="2707"/>
      <c r="P27" s="2707"/>
      <c r="S27" s="1902"/>
    </row>
    <row r="28" spans="2:19" ht="17.25" customHeight="1" thickTop="1">
      <c r="B28" s="1905"/>
      <c r="C28" s="2708" t="s">
        <v>15928</v>
      </c>
      <c r="D28" s="2708"/>
      <c r="E28" s="2708"/>
      <c r="F28" s="2715" t="s">
        <v>16926</v>
      </c>
      <c r="G28" s="2715"/>
      <c r="H28" s="2715"/>
      <c r="I28" s="2715"/>
      <c r="J28" s="2715"/>
      <c r="K28" s="2715"/>
      <c r="L28" s="2715"/>
      <c r="M28" s="2715"/>
      <c r="N28" s="2715"/>
      <c r="O28" s="2715"/>
      <c r="P28" s="2715"/>
      <c r="S28" s="1902"/>
    </row>
    <row r="29" spans="2:19" ht="17.25" customHeight="1">
      <c r="C29" s="2710"/>
      <c r="D29" s="2710"/>
      <c r="E29" s="2710"/>
      <c r="F29" s="2716"/>
      <c r="G29" s="2716"/>
      <c r="H29" s="2716"/>
      <c r="I29" s="2716"/>
      <c r="J29" s="2716"/>
      <c r="K29" s="2716"/>
      <c r="L29" s="2716"/>
      <c r="M29" s="2716"/>
      <c r="N29" s="2716"/>
      <c r="O29" s="2716"/>
      <c r="P29" s="2716"/>
      <c r="S29" s="1902"/>
    </row>
    <row r="30" spans="2:19" ht="6.75" customHeight="1">
      <c r="C30" s="2710"/>
      <c r="D30" s="2710"/>
      <c r="E30" s="2710"/>
      <c r="F30" s="2716"/>
      <c r="G30" s="2716"/>
      <c r="H30" s="2716"/>
      <c r="I30" s="2716"/>
      <c r="J30" s="2716"/>
      <c r="K30" s="2716"/>
      <c r="L30" s="2716"/>
      <c r="M30" s="2716"/>
      <c r="N30" s="2716"/>
      <c r="O30" s="2716"/>
      <c r="P30" s="2716"/>
      <c r="S30" s="1902"/>
    </row>
    <row r="31" spans="2:19" ht="28.5" customHeight="1">
      <c r="C31" s="2710" t="s">
        <v>16784</v>
      </c>
      <c r="D31" s="2710"/>
      <c r="E31" s="2710"/>
      <c r="F31" s="2716" t="s">
        <v>16785</v>
      </c>
      <c r="G31" s="2709"/>
      <c r="H31" s="2709"/>
      <c r="I31" s="2709"/>
      <c r="J31" s="2709"/>
      <c r="K31" s="2709"/>
      <c r="L31" s="2709"/>
      <c r="M31" s="2709"/>
      <c r="N31" s="2709"/>
      <c r="O31" s="2709"/>
      <c r="P31" s="2709"/>
    </row>
    <row r="32" spans="2:19" ht="17.25" customHeight="1">
      <c r="C32" s="2710" t="s">
        <v>16786</v>
      </c>
      <c r="D32" s="2710"/>
      <c r="E32" s="2710"/>
      <c r="F32" s="2717" t="s">
        <v>16787</v>
      </c>
      <c r="G32" s="2717"/>
      <c r="H32" s="2717"/>
      <c r="I32" s="2717"/>
      <c r="J32" s="2717"/>
      <c r="K32" s="2717"/>
      <c r="L32" s="2717"/>
      <c r="M32" s="2717"/>
      <c r="N32" s="2717"/>
      <c r="O32" s="2717"/>
      <c r="P32" s="2717"/>
    </row>
    <row r="33" spans="2:19" ht="17.25" customHeight="1">
      <c r="C33" s="2710" t="s">
        <v>16788</v>
      </c>
      <c r="D33" s="2710"/>
      <c r="E33" s="2710"/>
      <c r="F33" s="1906"/>
      <c r="G33" s="1907" t="s">
        <v>16789</v>
      </c>
      <c r="H33" s="1908"/>
      <c r="I33" s="1908"/>
      <c r="J33" s="1908"/>
      <c r="K33" s="1908"/>
      <c r="L33" s="1908"/>
      <c r="M33" s="1908"/>
      <c r="N33" s="1908"/>
      <c r="O33" s="1908"/>
      <c r="P33" s="1908"/>
    </row>
    <row r="34" spans="2:19" ht="17.25" customHeight="1">
      <c r="C34" s="2710"/>
      <c r="D34" s="2710"/>
      <c r="E34" s="2710"/>
      <c r="F34" s="1906"/>
      <c r="G34" s="1907" t="s">
        <v>16790</v>
      </c>
      <c r="H34" s="1908"/>
      <c r="I34" s="1908"/>
      <c r="J34" s="1908"/>
      <c r="K34" s="1908"/>
      <c r="L34" s="1908"/>
      <c r="M34" s="1908"/>
      <c r="N34" s="1908"/>
      <c r="O34" s="1908"/>
      <c r="P34" s="1908"/>
    </row>
    <row r="35" spans="2:19" ht="17.25" customHeight="1">
      <c r="B35" s="2706"/>
      <c r="C35" s="2706"/>
      <c r="D35" s="2706"/>
      <c r="E35" s="2706"/>
      <c r="F35" s="2706"/>
      <c r="G35" s="2706"/>
      <c r="H35" s="2706"/>
      <c r="I35" s="2706"/>
      <c r="J35" s="2706"/>
      <c r="K35" s="2706"/>
      <c r="L35" s="2706"/>
      <c r="M35" s="2706"/>
      <c r="N35" s="2706"/>
      <c r="O35" s="2706"/>
      <c r="P35" s="2706"/>
    </row>
    <row r="36" spans="2:19" ht="17.25" customHeight="1">
      <c r="B36" s="2706"/>
      <c r="C36" s="2706"/>
      <c r="D36" s="2706"/>
      <c r="E36" s="2706"/>
      <c r="F36" s="2706"/>
      <c r="G36" s="2706"/>
      <c r="H36" s="2706"/>
      <c r="I36" s="2706"/>
      <c r="J36" s="2706"/>
      <c r="K36" s="2706"/>
      <c r="L36" s="2706"/>
      <c r="M36" s="2706"/>
      <c r="N36" s="2706"/>
      <c r="O36" s="2706"/>
      <c r="P36" s="2706"/>
    </row>
    <row r="37" spans="2:19" ht="17.25" customHeight="1" thickBot="1">
      <c r="B37" s="2707" t="s">
        <v>16791</v>
      </c>
      <c r="C37" s="2707"/>
      <c r="D37" s="2707"/>
      <c r="E37" s="2707"/>
      <c r="F37" s="2707"/>
      <c r="G37" s="2707"/>
      <c r="H37" s="2707"/>
      <c r="I37" s="2707"/>
      <c r="J37" s="2707"/>
      <c r="K37" s="2707"/>
      <c r="L37" s="2707"/>
      <c r="M37" s="2707"/>
      <c r="N37" s="2707"/>
      <c r="O37" s="2707"/>
      <c r="P37" s="2707"/>
    </row>
    <row r="38" spans="2:19" ht="17.25" customHeight="1" thickTop="1">
      <c r="B38" s="1909"/>
      <c r="C38" s="2708" t="s">
        <v>16792</v>
      </c>
      <c r="D38" s="2708"/>
      <c r="E38" s="2708"/>
      <c r="F38" s="2708"/>
      <c r="G38" s="2709" t="s">
        <v>17002</v>
      </c>
      <c r="H38" s="2709"/>
      <c r="I38" s="2709"/>
      <c r="J38" s="2709"/>
      <c r="K38" s="2709"/>
      <c r="L38" s="2709"/>
      <c r="M38" s="2709"/>
      <c r="N38" s="2709"/>
      <c r="O38" s="2709"/>
      <c r="P38" s="2709"/>
    </row>
    <row r="39" spans="2:19" ht="17.25" customHeight="1">
      <c r="B39" s="1909"/>
      <c r="C39" s="2710" t="s">
        <v>16793</v>
      </c>
      <c r="D39" s="2710"/>
      <c r="E39" s="2710"/>
      <c r="F39" s="2710"/>
      <c r="G39" s="2718" t="s">
        <v>16927</v>
      </c>
      <c r="H39" s="2709"/>
      <c r="I39" s="2709"/>
      <c r="J39" s="2709"/>
      <c r="K39" s="2709"/>
      <c r="L39" s="2709"/>
      <c r="M39" s="2709"/>
      <c r="N39" s="2709"/>
      <c r="O39" s="2709"/>
      <c r="P39" s="2709"/>
    </row>
    <row r="40" spans="2:19" ht="17.25" customHeight="1">
      <c r="C40" s="2710" t="s">
        <v>16794</v>
      </c>
      <c r="D40" s="2710"/>
      <c r="E40" s="2710"/>
      <c r="F40" s="2710"/>
      <c r="G40" s="2709" t="s">
        <v>16757</v>
      </c>
      <c r="H40" s="2709"/>
      <c r="I40" s="2709"/>
      <c r="J40" s="2709"/>
      <c r="K40" s="2709"/>
      <c r="L40" s="2709"/>
      <c r="M40" s="2709"/>
      <c r="N40" s="2709"/>
      <c r="O40" s="2709"/>
      <c r="P40" s="2709"/>
    </row>
    <row r="41" spans="2:19" ht="17.25" customHeight="1">
      <c r="C41" s="2710" t="s">
        <v>16795</v>
      </c>
      <c r="D41" s="2710"/>
      <c r="E41" s="2710"/>
      <c r="F41" s="2710"/>
      <c r="G41" s="2709" t="s">
        <v>16924</v>
      </c>
      <c r="H41" s="2709"/>
      <c r="I41" s="2709"/>
      <c r="J41" s="2709"/>
      <c r="K41" s="2709"/>
      <c r="L41" s="2709"/>
      <c r="M41" s="2709"/>
      <c r="N41" s="2709"/>
      <c r="O41" s="2709"/>
      <c r="P41" s="2709"/>
      <c r="Q41" s="2112" t="s">
        <v>16229</v>
      </c>
    </row>
    <row r="42" spans="2:19" ht="17.25" customHeight="1">
      <c r="C42" s="2710" t="s">
        <v>16796</v>
      </c>
      <c r="D42" s="2710"/>
      <c r="E42" s="2710"/>
      <c r="F42" s="2710"/>
      <c r="G42" s="2722">
        <v>45638</v>
      </c>
      <c r="H42" s="2709"/>
      <c r="I42" s="2709"/>
      <c r="J42" s="2709"/>
      <c r="K42" s="2709"/>
      <c r="L42" s="2709"/>
      <c r="M42" s="2709"/>
      <c r="N42" s="2709"/>
      <c r="O42" s="2709"/>
      <c r="P42" s="2709"/>
      <c r="Q42" s="2112" t="s">
        <v>16229</v>
      </c>
      <c r="S42" s="1902" t="str">
        <f>IF(DAY(G42)&lt;10,"0"&amp;DAY(G42),DAY(G42))&amp;"/"&amp;IF(MONTH(G42)&lt;10,"0"&amp;MONTH(G42),MONTH(G42))&amp;"/"&amp;RIGHT(YEAR(G42),2)</f>
        <v>12/12/24</v>
      </c>
    </row>
    <row r="43" spans="2:19" ht="17.25" customHeight="1">
      <c r="C43" s="2710" t="s">
        <v>16797</v>
      </c>
      <c r="D43" s="2710"/>
      <c r="E43" s="2710"/>
      <c r="F43" s="2710"/>
      <c r="G43" s="2722" t="s">
        <v>16925</v>
      </c>
      <c r="H43" s="2722"/>
      <c r="I43" s="2722"/>
      <c r="J43" s="2722"/>
      <c r="K43" s="2722"/>
      <c r="L43" s="2722"/>
      <c r="M43" s="2722"/>
      <c r="N43" s="2722"/>
      <c r="O43" s="2722"/>
      <c r="P43" s="2722"/>
      <c r="Q43" s="2112" t="s">
        <v>16229</v>
      </c>
      <c r="S43" s="1902"/>
    </row>
    <row r="44" spans="2:19" ht="17.25" customHeight="1">
      <c r="C44" s="2710" t="s">
        <v>16798</v>
      </c>
      <c r="D44" s="2710"/>
      <c r="E44" s="2710"/>
      <c r="F44" s="2710"/>
      <c r="G44" s="2722">
        <v>45686</v>
      </c>
      <c r="H44" s="2709"/>
      <c r="I44" s="2709"/>
      <c r="J44" s="2709"/>
      <c r="K44" s="2709"/>
      <c r="L44" s="2709"/>
      <c r="M44" s="2709"/>
      <c r="N44" s="2709"/>
      <c r="O44" s="2709"/>
      <c r="P44" s="2709"/>
      <c r="R44" s="1910">
        <f>G44+L116</f>
        <v>45986</v>
      </c>
      <c r="S44" s="1902" t="str">
        <f>IF(DAY(G44)&lt;10,"0"&amp;DAY(G44),DAY(G44))&amp;"/"&amp;IF(MONTH(G44)&lt;10,"0"&amp;MONTH(G44),MONTH(G44))&amp;"/"&amp;RIGHT(YEAR(G44),2)</f>
        <v>29/01/25</v>
      </c>
    </row>
    <row r="45" spans="2:19" ht="17.25" customHeight="1">
      <c r="B45" s="2706"/>
      <c r="C45" s="2706"/>
      <c r="D45" s="2706"/>
      <c r="E45" s="2706"/>
      <c r="F45" s="2706"/>
      <c r="G45" s="2706"/>
      <c r="H45" s="2706"/>
      <c r="I45" s="2706"/>
      <c r="J45" s="2706"/>
      <c r="K45" s="2706"/>
      <c r="L45" s="2706"/>
      <c r="M45" s="2706"/>
      <c r="N45" s="2706"/>
      <c r="O45" s="2706"/>
      <c r="P45" s="2706"/>
    </row>
    <row r="46" spans="2:19" ht="17.25" customHeight="1">
      <c r="B46" s="2706"/>
      <c r="C46" s="2706"/>
      <c r="D46" s="2706"/>
      <c r="E46" s="2706"/>
      <c r="F46" s="2706"/>
      <c r="G46" s="2706"/>
      <c r="H46" s="2706"/>
      <c r="I46" s="2706"/>
      <c r="J46" s="2706"/>
      <c r="K46" s="2706"/>
      <c r="L46" s="2706"/>
      <c r="M46" s="2706"/>
      <c r="N46" s="2706"/>
      <c r="O46" s="2706"/>
      <c r="P46" s="2706"/>
    </row>
    <row r="47" spans="2:19" ht="17.25" customHeight="1" thickBot="1">
      <c r="B47" s="2707" t="s">
        <v>16799</v>
      </c>
      <c r="C47" s="2707"/>
      <c r="D47" s="2707"/>
      <c r="E47" s="2707"/>
      <c r="F47" s="2707"/>
      <c r="G47" s="2707"/>
      <c r="H47" s="2707"/>
      <c r="I47" s="2707"/>
      <c r="J47" s="2707"/>
      <c r="K47" s="2707"/>
      <c r="L47" s="2707"/>
      <c r="M47" s="2707"/>
      <c r="N47" s="2707"/>
      <c r="O47" s="2707"/>
      <c r="P47" s="2707"/>
    </row>
    <row r="48" spans="2:19" ht="17.25" customHeight="1" thickTop="1">
      <c r="C48" s="2708" t="s">
        <v>16800</v>
      </c>
      <c r="D48" s="2708"/>
      <c r="E48" s="2708"/>
      <c r="F48" s="2708"/>
      <c r="G48" s="2719" t="s">
        <v>16923</v>
      </c>
      <c r="H48" s="2720"/>
      <c r="I48" s="2720"/>
      <c r="J48" s="2720"/>
      <c r="K48" s="2720"/>
      <c r="L48" s="2720"/>
      <c r="M48" s="2720"/>
      <c r="N48" s="2720"/>
      <c r="O48" s="2720"/>
      <c r="P48" s="2720"/>
    </row>
    <row r="49" spans="2:18" ht="17.25" customHeight="1">
      <c r="C49" s="2710" t="s">
        <v>15494</v>
      </c>
      <c r="D49" s="2710"/>
      <c r="E49" s="2710"/>
      <c r="F49" s="2710"/>
      <c r="G49" s="2721">
        <v>3076083000190</v>
      </c>
      <c r="H49" s="2721"/>
      <c r="I49" s="2721"/>
      <c r="J49" s="2721"/>
      <c r="K49" s="2721"/>
      <c r="L49" s="2721"/>
      <c r="M49" s="2721"/>
      <c r="N49" s="2721"/>
      <c r="O49" s="2721"/>
      <c r="P49" s="2721"/>
      <c r="R49" s="2112"/>
    </row>
    <row r="50" spans="2:18" ht="17.25" customHeight="1" thickBot="1">
      <c r="B50" s="1911"/>
      <c r="C50" s="1911" t="s">
        <v>16801</v>
      </c>
      <c r="D50" s="1911"/>
      <c r="E50" s="1911"/>
      <c r="F50" s="1911"/>
      <c r="G50" s="2710"/>
      <c r="H50" s="2710"/>
      <c r="I50" s="2710"/>
      <c r="J50" s="2710"/>
      <c r="K50" s="2710"/>
      <c r="L50" s="2710"/>
      <c r="M50" s="2710"/>
      <c r="N50" s="2710"/>
      <c r="O50" s="2710"/>
      <c r="P50" s="2710"/>
    </row>
    <row r="51" spans="2:18" ht="17.25" customHeight="1">
      <c r="D51" s="2723" t="s">
        <v>16802</v>
      </c>
      <c r="E51" s="2723"/>
      <c r="F51" s="2723"/>
      <c r="G51" s="2709" t="s">
        <v>16993</v>
      </c>
      <c r="H51" s="2709"/>
      <c r="I51" s="2709"/>
      <c r="J51" s="2709"/>
      <c r="K51" s="2709"/>
      <c r="L51" s="2709"/>
      <c r="M51" s="2709"/>
      <c r="N51" s="2709"/>
      <c r="O51" s="2709"/>
      <c r="P51" s="2709"/>
    </row>
    <row r="52" spans="2:18" ht="17.25" customHeight="1">
      <c r="D52" s="2710" t="s">
        <v>16803</v>
      </c>
      <c r="E52" s="2710"/>
      <c r="F52" s="2710"/>
      <c r="G52" s="2709" t="s">
        <v>16751</v>
      </c>
      <c r="H52" s="2709"/>
      <c r="I52" s="2709"/>
      <c r="J52" s="2709"/>
      <c r="K52" s="2709"/>
      <c r="L52" s="2709"/>
      <c r="M52" s="2709"/>
      <c r="N52" s="2709"/>
      <c r="O52" s="2709"/>
      <c r="P52" s="2709"/>
    </row>
    <row r="53" spans="2:18" ht="17.25" customHeight="1">
      <c r="D53" s="2710" t="s">
        <v>16738</v>
      </c>
      <c r="E53" s="2710"/>
      <c r="F53" s="2710"/>
      <c r="G53" s="2724" t="s">
        <v>16738</v>
      </c>
      <c r="H53" s="2724"/>
      <c r="I53" s="2725" t="s">
        <v>16994</v>
      </c>
      <c r="J53" s="2725"/>
      <c r="K53" s="2725"/>
      <c r="L53" s="2725"/>
      <c r="M53" s="2713"/>
      <c r="N53" s="2713"/>
      <c r="O53" s="2713"/>
      <c r="P53" s="2713"/>
    </row>
    <row r="54" spans="2:18" ht="17.25" customHeight="1">
      <c r="B54" s="2706"/>
      <c r="C54" s="2706"/>
      <c r="D54" s="2706"/>
      <c r="E54" s="2706"/>
      <c r="F54" s="2706"/>
      <c r="G54" s="2706"/>
      <c r="H54" s="2706"/>
      <c r="I54" s="2706"/>
      <c r="J54" s="2706"/>
      <c r="K54" s="2706"/>
      <c r="L54" s="2706"/>
      <c r="M54" s="2706"/>
      <c r="N54" s="2706"/>
      <c r="O54" s="2706"/>
      <c r="P54" s="2706"/>
    </row>
    <row r="55" spans="2:18" ht="17.25" customHeight="1">
      <c r="B55" s="2706"/>
      <c r="C55" s="2706"/>
      <c r="D55" s="2706"/>
      <c r="E55" s="2706"/>
      <c r="F55" s="2706"/>
      <c r="G55" s="2706"/>
      <c r="H55" s="2706"/>
      <c r="I55" s="2706"/>
      <c r="J55" s="2706"/>
      <c r="K55" s="2706"/>
      <c r="L55" s="2706"/>
      <c r="M55" s="2706"/>
      <c r="N55" s="2706"/>
      <c r="O55" s="2706"/>
      <c r="P55" s="2706"/>
    </row>
    <row r="56" spans="2:18" ht="17.25" customHeight="1" thickBot="1">
      <c r="B56" s="2707" t="s">
        <v>16804</v>
      </c>
      <c r="C56" s="2707"/>
      <c r="D56" s="2707"/>
      <c r="E56" s="2707"/>
      <c r="F56" s="2707"/>
      <c r="G56" s="2707"/>
      <c r="H56" s="2707"/>
      <c r="I56" s="2707"/>
      <c r="J56" s="2707"/>
      <c r="K56" s="2707"/>
      <c r="L56" s="2707"/>
      <c r="M56" s="2707"/>
      <c r="N56" s="2707"/>
      <c r="O56" s="2707"/>
      <c r="P56" s="2707"/>
    </row>
    <row r="57" spans="2:18" ht="17.25" customHeight="1" thickTop="1">
      <c r="C57" s="2708" t="s">
        <v>16800</v>
      </c>
      <c r="D57" s="2708"/>
      <c r="E57" s="2708"/>
      <c r="F57" s="2708"/>
      <c r="G57" s="2727"/>
      <c r="H57" s="2727"/>
      <c r="I57" s="2727"/>
      <c r="J57" s="2727"/>
      <c r="K57" s="2727"/>
      <c r="L57" s="2727"/>
      <c r="M57" s="2727"/>
      <c r="N57" s="2727"/>
      <c r="O57" s="2727"/>
      <c r="P57" s="2727"/>
    </row>
    <row r="58" spans="2:18" ht="17.25" customHeight="1">
      <c r="C58" s="2728" t="s">
        <v>15494</v>
      </c>
      <c r="D58" s="2728"/>
      <c r="E58" s="2728"/>
      <c r="F58" s="2728"/>
      <c r="G58" s="2729"/>
      <c r="H58" s="2729"/>
      <c r="I58" s="2729"/>
      <c r="J58" s="2729"/>
      <c r="K58" s="2729"/>
      <c r="L58" s="2729"/>
      <c r="M58" s="2729"/>
      <c r="N58" s="2729"/>
      <c r="O58" s="2729"/>
      <c r="P58" s="2729"/>
    </row>
    <row r="59" spans="2:18" ht="17.25" customHeight="1">
      <c r="B59" s="1909"/>
      <c r="C59" s="2710" t="s">
        <v>16792</v>
      </c>
      <c r="D59" s="2710"/>
      <c r="E59" s="2710"/>
      <c r="F59" s="2710"/>
      <c r="G59" s="2726"/>
      <c r="H59" s="2726"/>
      <c r="I59" s="2726"/>
      <c r="J59" s="2726"/>
      <c r="K59" s="2726"/>
      <c r="L59" s="2726"/>
      <c r="M59" s="2726"/>
      <c r="N59" s="2726"/>
      <c r="O59" s="2726"/>
      <c r="P59" s="2726"/>
    </row>
    <row r="60" spans="2:18" ht="17.25" customHeight="1">
      <c r="B60" s="1909"/>
      <c r="C60" s="2710" t="s">
        <v>16793</v>
      </c>
      <c r="D60" s="2710"/>
      <c r="E60" s="2710"/>
      <c r="F60" s="2710"/>
      <c r="G60" s="2726"/>
      <c r="H60" s="2726"/>
      <c r="I60" s="2726"/>
      <c r="J60" s="2726"/>
      <c r="K60" s="2726"/>
      <c r="L60" s="2726"/>
      <c r="M60" s="2726"/>
      <c r="N60" s="2726"/>
      <c r="O60" s="2726"/>
      <c r="P60" s="2726"/>
    </row>
    <row r="61" spans="2:18" ht="17.25" customHeight="1">
      <c r="C61" s="2710" t="s">
        <v>16794</v>
      </c>
      <c r="D61" s="2710"/>
      <c r="E61" s="2710"/>
      <c r="F61" s="2710"/>
      <c r="G61" s="2726"/>
      <c r="H61" s="2726"/>
      <c r="I61" s="2726"/>
      <c r="J61" s="2726"/>
      <c r="K61" s="2726"/>
      <c r="L61" s="2726"/>
      <c r="M61" s="2726"/>
      <c r="N61" s="2726"/>
      <c r="O61" s="2726"/>
      <c r="P61" s="2726"/>
    </row>
    <row r="62" spans="2:18" ht="17.25" customHeight="1">
      <c r="C62" s="2710" t="s">
        <v>16795</v>
      </c>
      <c r="D62" s="2710"/>
      <c r="E62" s="2710"/>
      <c r="F62" s="2710"/>
      <c r="G62" s="2726"/>
      <c r="H62" s="2726"/>
      <c r="I62" s="2726"/>
      <c r="J62" s="2726"/>
      <c r="K62" s="2726"/>
      <c r="L62" s="2726"/>
      <c r="M62" s="2726"/>
      <c r="N62" s="2726"/>
      <c r="O62" s="2726"/>
      <c r="P62" s="2726"/>
    </row>
    <row r="63" spans="2:18" ht="17.25" customHeight="1">
      <c r="C63" s="2710" t="s">
        <v>16796</v>
      </c>
      <c r="D63" s="2710"/>
      <c r="E63" s="2710"/>
      <c r="F63" s="2710"/>
      <c r="G63" s="2731"/>
      <c r="H63" s="2731"/>
      <c r="I63" s="2731"/>
      <c r="J63" s="2731"/>
      <c r="K63" s="2731"/>
      <c r="L63" s="2731"/>
      <c r="M63" s="2731"/>
      <c r="N63" s="2731"/>
      <c r="O63" s="2731"/>
      <c r="P63" s="2731"/>
      <c r="R63" s="1902" t="str">
        <f>TEXT(G63,"dd/mm/aa")</f>
        <v>00/01/00</v>
      </c>
    </row>
    <row r="64" spans="2:18" ht="17.25" customHeight="1" thickBot="1">
      <c r="B64" s="1909"/>
      <c r="C64" s="1911" t="s">
        <v>16805</v>
      </c>
      <c r="D64" s="1911"/>
      <c r="E64" s="1911"/>
      <c r="F64" s="1911"/>
      <c r="G64" s="2710"/>
      <c r="H64" s="2710"/>
      <c r="I64" s="2710"/>
      <c r="J64" s="2710"/>
      <c r="K64" s="2710"/>
      <c r="L64" s="2710"/>
      <c r="M64" s="2710"/>
      <c r="N64" s="2710"/>
      <c r="O64" s="2710"/>
      <c r="P64" s="2710"/>
    </row>
    <row r="65" spans="2:26" ht="17.25" customHeight="1">
      <c r="D65" s="2723" t="s">
        <v>16802</v>
      </c>
      <c r="E65" s="2723"/>
      <c r="F65" s="2723"/>
      <c r="G65" s="2726"/>
      <c r="H65" s="2726"/>
      <c r="I65" s="2726"/>
      <c r="J65" s="2726"/>
      <c r="K65" s="2726"/>
      <c r="L65" s="2726"/>
      <c r="M65" s="2726"/>
      <c r="N65" s="2726"/>
      <c r="O65" s="2726"/>
      <c r="P65" s="2726"/>
      <c r="R65" s="1912"/>
    </row>
    <row r="66" spans="2:26" ht="17.25" customHeight="1">
      <c r="D66" s="2710" t="s">
        <v>16803</v>
      </c>
      <c r="E66" s="2710"/>
      <c r="F66" s="2710"/>
      <c r="G66" s="2726"/>
      <c r="H66" s="2726"/>
      <c r="I66" s="2726"/>
      <c r="J66" s="2726"/>
      <c r="K66" s="2726"/>
      <c r="L66" s="2726"/>
      <c r="M66" s="2726"/>
      <c r="N66" s="2726"/>
      <c r="O66" s="2726"/>
      <c r="P66" s="2726"/>
    </row>
    <row r="67" spans="2:26" ht="17.25" customHeight="1">
      <c r="D67" s="2710" t="s">
        <v>16738</v>
      </c>
      <c r="E67" s="2710"/>
      <c r="F67" s="2710"/>
      <c r="G67" s="2724"/>
      <c r="H67" s="2724"/>
      <c r="I67" s="2730"/>
      <c r="J67" s="2730"/>
      <c r="K67" s="2730"/>
      <c r="L67" s="2730"/>
      <c r="M67" s="2724"/>
      <c r="N67" s="2724"/>
      <c r="O67" s="2724"/>
      <c r="P67" s="2724"/>
    </row>
    <row r="68" spans="2:26" ht="17.25" customHeight="1">
      <c r="B68" s="1902"/>
      <c r="C68" s="1902"/>
      <c r="D68" s="1902"/>
      <c r="E68" s="1902"/>
      <c r="F68" s="1902"/>
      <c r="G68" s="2706"/>
      <c r="H68" s="2706"/>
      <c r="I68" s="2706"/>
      <c r="J68" s="2706"/>
      <c r="K68" s="2706"/>
      <c r="L68" s="2706"/>
      <c r="M68" s="2706"/>
      <c r="N68" s="2706"/>
      <c r="O68" s="2706"/>
      <c r="P68" s="2706"/>
    </row>
    <row r="69" spans="2:26" ht="17.25" customHeight="1">
      <c r="B69" s="1902"/>
      <c r="C69" s="1902"/>
      <c r="D69" s="1902"/>
      <c r="E69" s="1902"/>
      <c r="F69" s="1902"/>
      <c r="G69" s="2706"/>
      <c r="H69" s="2706"/>
      <c r="I69" s="2706"/>
      <c r="J69" s="2706"/>
      <c r="K69" s="2706"/>
      <c r="L69" s="2706"/>
      <c r="M69" s="2706"/>
      <c r="N69" s="2706"/>
      <c r="O69" s="2706"/>
      <c r="P69" s="2706"/>
    </row>
    <row r="70" spans="2:26" ht="17.25" customHeight="1" thickBot="1">
      <c r="B70" s="2707" t="s">
        <v>16806</v>
      </c>
      <c r="C70" s="2707"/>
      <c r="D70" s="2707"/>
      <c r="E70" s="2707"/>
      <c r="F70" s="2707"/>
      <c r="G70" s="2707"/>
      <c r="H70" s="2707"/>
      <c r="I70" s="2707"/>
      <c r="J70" s="2707"/>
      <c r="K70" s="2707"/>
      <c r="L70" s="2707"/>
      <c r="M70" s="2707"/>
      <c r="N70" s="2707"/>
      <c r="O70" s="2707"/>
      <c r="P70" s="2707"/>
    </row>
    <row r="71" spans="2:26" ht="17.25" customHeight="1" thickTop="1">
      <c r="C71" s="2708" t="s">
        <v>16807</v>
      </c>
      <c r="D71" s="2708"/>
      <c r="E71" s="2708"/>
      <c r="F71" s="2708"/>
      <c r="G71" s="2735" t="s">
        <v>17016</v>
      </c>
      <c r="H71" s="2735"/>
      <c r="I71" s="2735"/>
      <c r="J71" s="2735"/>
      <c r="K71" s="2735"/>
      <c r="L71" s="2735"/>
      <c r="M71" s="2735"/>
      <c r="N71" s="2735"/>
      <c r="O71" s="2735"/>
      <c r="P71" s="2735"/>
    </row>
    <row r="72" spans="2:26" ht="17.25" customHeight="1">
      <c r="C72" s="2710" t="s">
        <v>16808</v>
      </c>
      <c r="D72" s="2710"/>
      <c r="E72" s="2710"/>
      <c r="F72" s="2710"/>
      <c r="G72" s="2736">
        <v>6</v>
      </c>
      <c r="H72" s="2736"/>
      <c r="I72" s="2736"/>
      <c r="J72" s="2736"/>
      <c r="K72" s="2736"/>
      <c r="L72" s="2736"/>
      <c r="M72" s="2736"/>
      <c r="N72" s="2736"/>
      <c r="O72" s="2736"/>
      <c r="P72" s="2736"/>
      <c r="X72" s="1910"/>
      <c r="Z72" s="1913"/>
    </row>
    <row r="73" spans="2:26" ht="17.25" customHeight="1">
      <c r="B73" s="1909"/>
      <c r="C73" s="2710" t="s">
        <v>16809</v>
      </c>
      <c r="D73" s="2710"/>
      <c r="E73" s="2710"/>
      <c r="F73" s="2710"/>
      <c r="G73" s="2732">
        <v>0</v>
      </c>
      <c r="H73" s="2733"/>
      <c r="I73" s="2733"/>
      <c r="J73" s="2733"/>
      <c r="K73" s="2733"/>
      <c r="L73" s="2733"/>
      <c r="M73" s="2733"/>
      <c r="N73" s="2733"/>
      <c r="O73" s="2733"/>
      <c r="P73" s="2733"/>
    </row>
    <row r="74" spans="2:26" s="1914" customFormat="1" ht="17.25" customHeight="1">
      <c r="C74" s="2734" t="s">
        <v>16810</v>
      </c>
      <c r="D74" s="2734"/>
      <c r="E74" s="2734"/>
      <c r="F74" s="2734"/>
      <c r="G74" s="2732">
        <v>45809</v>
      </c>
      <c r="H74" s="2733"/>
      <c r="I74" s="2733"/>
      <c r="J74" s="2733"/>
      <c r="K74" s="2733"/>
      <c r="L74" s="2733"/>
      <c r="M74" s="2733"/>
      <c r="N74" s="2733"/>
      <c r="O74" s="2733"/>
      <c r="P74" s="2733"/>
      <c r="R74" s="2420">
        <v>45689</v>
      </c>
      <c r="S74" s="2307">
        <f>G74</f>
        <v>45809</v>
      </c>
      <c r="T74" s="1915"/>
      <c r="U74" s="1915"/>
    </row>
    <row r="75" spans="2:26" s="1914" customFormat="1" ht="17.25" customHeight="1">
      <c r="C75" s="2734" t="s">
        <v>16811</v>
      </c>
      <c r="D75" s="2734"/>
      <c r="E75" s="2734"/>
      <c r="F75" s="2734"/>
      <c r="G75" s="2732">
        <v>45838</v>
      </c>
      <c r="H75" s="2733"/>
      <c r="I75" s="2733"/>
      <c r="J75" s="2733"/>
      <c r="K75" s="2733"/>
      <c r="L75" s="2733"/>
      <c r="M75" s="2733"/>
      <c r="N75" s="2733"/>
      <c r="O75" s="2733"/>
      <c r="P75" s="2733"/>
      <c r="R75" s="2420">
        <v>45747</v>
      </c>
      <c r="S75" s="1915"/>
      <c r="T75" s="2307" t="s">
        <v>17003</v>
      </c>
      <c r="U75" s="1915">
        <v>2025</v>
      </c>
    </row>
    <row r="76" spans="2:26" ht="17.25" customHeight="1">
      <c r="C76" s="2710" t="s">
        <v>16812</v>
      </c>
      <c r="D76" s="2710"/>
      <c r="E76" s="2710"/>
      <c r="F76" s="2710"/>
      <c r="G76" s="2732"/>
      <c r="H76" s="2733"/>
      <c r="I76" s="2733"/>
      <c r="J76" s="2733"/>
      <c r="K76" s="2733"/>
      <c r="L76" s="2733"/>
      <c r="M76" s="2733"/>
      <c r="N76" s="2733"/>
      <c r="O76" s="2733"/>
      <c r="P76" s="2733"/>
      <c r="S76" s="1902"/>
      <c r="T76" s="2419"/>
      <c r="U76" s="1902"/>
    </row>
    <row r="77" spans="2:26" ht="17.25" customHeight="1">
      <c r="C77" s="2710" t="s">
        <v>16813</v>
      </c>
      <c r="D77" s="2710"/>
      <c r="E77" s="2710"/>
      <c r="F77" s="2710"/>
      <c r="G77" s="2738" t="s">
        <v>17008</v>
      </c>
      <c r="H77" s="2738"/>
      <c r="I77" s="2738"/>
      <c r="J77" s="2738"/>
      <c r="K77" s="2738"/>
      <c r="L77" s="2738"/>
      <c r="M77" s="2738"/>
      <c r="N77" s="2738"/>
      <c r="O77" s="2738"/>
      <c r="P77" s="2738"/>
    </row>
    <row r="78" spans="2:26" ht="17.25" customHeight="1">
      <c r="G78" s="2706"/>
      <c r="H78" s="2706"/>
      <c r="I78" s="2706"/>
      <c r="J78" s="2706"/>
      <c r="K78" s="2706"/>
      <c r="L78" s="2706"/>
      <c r="M78" s="2706"/>
      <c r="N78" s="2706"/>
      <c r="O78" s="2706"/>
      <c r="P78" s="2706"/>
    </row>
    <row r="79" spans="2:26" ht="17.25" customHeight="1">
      <c r="G79" s="2706"/>
      <c r="H79" s="2706"/>
      <c r="I79" s="2706"/>
      <c r="J79" s="2706"/>
      <c r="K79" s="2706"/>
      <c r="L79" s="2706"/>
      <c r="M79" s="2706"/>
      <c r="N79" s="2706"/>
      <c r="O79" s="2706"/>
      <c r="P79" s="2706"/>
      <c r="R79" s="1912"/>
    </row>
    <row r="80" spans="2:26" ht="17.25" customHeight="1" thickBot="1">
      <c r="B80" s="2707" t="s">
        <v>16814</v>
      </c>
      <c r="C80" s="2707"/>
      <c r="D80" s="2707"/>
      <c r="E80" s="2707"/>
      <c r="F80" s="2707"/>
      <c r="G80" s="2707"/>
      <c r="H80" s="2707"/>
      <c r="I80" s="2707"/>
      <c r="J80" s="2707"/>
      <c r="K80" s="2707"/>
      <c r="L80" s="2707"/>
      <c r="M80" s="2707"/>
      <c r="N80" s="2707"/>
      <c r="O80" s="2707"/>
      <c r="P80" s="2707"/>
    </row>
    <row r="81" spans="2:24" ht="17.25" customHeight="1" thickTop="1">
      <c r="C81" s="2708" t="s">
        <v>16815</v>
      </c>
      <c r="D81" s="2708"/>
      <c r="E81" s="2708"/>
      <c r="F81" s="2708"/>
      <c r="G81" s="2708"/>
      <c r="H81" s="2737">
        <v>45627</v>
      </c>
      <c r="I81" s="2726"/>
      <c r="J81" s="2726"/>
      <c r="K81" s="2726"/>
      <c r="L81" s="2726"/>
      <c r="M81" s="2726"/>
      <c r="N81" s="2726"/>
      <c r="O81" s="2726"/>
      <c r="P81" s="2726"/>
    </row>
    <row r="82" spans="2:24" ht="17.25" customHeight="1">
      <c r="C82" s="2710" t="s">
        <v>16816</v>
      </c>
      <c r="D82" s="2710"/>
      <c r="E82" s="2710"/>
      <c r="F82" s="2710"/>
      <c r="G82" s="2710"/>
      <c r="H82" s="2726" t="s">
        <v>16817</v>
      </c>
      <c r="I82" s="2726"/>
      <c r="J82" s="2726"/>
      <c r="K82" s="2726"/>
      <c r="L82" s="2726"/>
      <c r="M82" s="2726"/>
      <c r="N82" s="2726"/>
      <c r="O82" s="2726"/>
      <c r="P82" s="2726"/>
    </row>
    <row r="83" spans="2:24" ht="17.25" customHeight="1">
      <c r="C83" s="2710" t="s">
        <v>16818</v>
      </c>
      <c r="D83" s="2710"/>
      <c r="E83" s="2710"/>
      <c r="F83" s="2710"/>
      <c r="G83" s="2710"/>
      <c r="H83" s="2726"/>
      <c r="I83" s="2726"/>
      <c r="J83" s="2726"/>
      <c r="K83" s="2726"/>
      <c r="L83" s="2726"/>
      <c r="M83" s="2726"/>
      <c r="N83" s="2726"/>
      <c r="O83" s="2726"/>
      <c r="P83" s="2726"/>
    </row>
    <row r="84" spans="2:24" ht="17.25" customHeight="1">
      <c r="B84" s="2706"/>
      <c r="C84" s="2706"/>
      <c r="D84" s="2706"/>
      <c r="E84" s="2706"/>
      <c r="F84" s="2706"/>
      <c r="G84" s="2706"/>
      <c r="H84" s="2706"/>
      <c r="I84" s="2706"/>
      <c r="J84" s="2706"/>
      <c r="K84" s="2706"/>
      <c r="L84" s="2706"/>
      <c r="M84" s="2706"/>
      <c r="N84" s="2706"/>
      <c r="O84" s="2706"/>
      <c r="P84" s="2706"/>
    </row>
    <row r="85" spans="2:24" ht="17.25" customHeight="1">
      <c r="B85" s="1902"/>
      <c r="C85" s="1902"/>
      <c r="D85" s="1902"/>
      <c r="E85" s="1902"/>
      <c r="F85" s="1902"/>
      <c r="G85" s="1902"/>
      <c r="H85" s="2706"/>
      <c r="I85" s="2706"/>
      <c r="J85" s="2706"/>
      <c r="K85" s="2706"/>
      <c r="L85" s="2706"/>
      <c r="M85" s="2706"/>
      <c r="N85" s="2706"/>
      <c r="O85" s="2706"/>
      <c r="P85" s="2706"/>
      <c r="R85" s="1902"/>
      <c r="S85" s="1902"/>
      <c r="T85" s="1902"/>
      <c r="U85" s="1902"/>
    </row>
    <row r="86" spans="2:24" ht="17.25" customHeight="1" thickBot="1">
      <c r="B86" s="2707" t="s">
        <v>16819</v>
      </c>
      <c r="C86" s="2707"/>
      <c r="D86" s="2707"/>
      <c r="E86" s="2707"/>
      <c r="F86" s="2707"/>
      <c r="G86" s="2707"/>
      <c r="H86" s="2707"/>
      <c r="I86" s="2707"/>
      <c r="J86" s="2707"/>
      <c r="K86" s="2707"/>
      <c r="L86" s="2707"/>
      <c r="M86" s="2707"/>
      <c r="N86" s="2707"/>
      <c r="O86" s="2707"/>
      <c r="P86" s="2707"/>
      <c r="S86" s="1916"/>
      <c r="T86" s="1916"/>
      <c r="U86" s="1916"/>
      <c r="V86" s="1916"/>
      <c r="W86" s="1916"/>
      <c r="X86" s="1916"/>
    </row>
    <row r="87" spans="2:24" ht="17.25" customHeight="1" thickTop="1">
      <c r="B87" s="2739" t="s">
        <v>16820</v>
      </c>
      <c r="C87" s="2740"/>
      <c r="D87" s="2743" t="s">
        <v>16821</v>
      </c>
      <c r="E87" s="2743"/>
      <c r="F87" s="2743"/>
      <c r="G87" s="2743" t="s">
        <v>16822</v>
      </c>
      <c r="H87" s="2745"/>
      <c r="I87" s="2747" t="s">
        <v>16823</v>
      </c>
      <c r="J87" s="2743"/>
      <c r="K87" s="2748"/>
      <c r="L87" s="2747" t="s">
        <v>16824</v>
      </c>
      <c r="M87" s="2743"/>
      <c r="N87" s="2743"/>
      <c r="O87" s="2743"/>
      <c r="P87" s="2748"/>
      <c r="R87" s="1902"/>
      <c r="S87" s="1902"/>
      <c r="T87" s="1902"/>
      <c r="U87" s="1902"/>
      <c r="V87" s="1902"/>
      <c r="W87" s="1902"/>
      <c r="X87" s="1902"/>
    </row>
    <row r="88" spans="2:24" ht="17.25" customHeight="1" thickBot="1">
      <c r="B88" s="2741"/>
      <c r="C88" s="2742"/>
      <c r="D88" s="2744"/>
      <c r="E88" s="2744"/>
      <c r="F88" s="2744"/>
      <c r="G88" s="2744"/>
      <c r="H88" s="2746"/>
      <c r="I88" s="2749" t="s">
        <v>16825</v>
      </c>
      <c r="J88" s="2744"/>
      <c r="K88" s="1917" t="s">
        <v>16826</v>
      </c>
      <c r="L88" s="2749" t="s">
        <v>16827</v>
      </c>
      <c r="M88" s="2744"/>
      <c r="N88" s="2744" t="s">
        <v>16828</v>
      </c>
      <c r="O88" s="2744"/>
      <c r="P88" s="1918" t="s">
        <v>16826</v>
      </c>
      <c r="R88" s="1902"/>
      <c r="S88" s="1902"/>
      <c r="T88" s="1902"/>
      <c r="U88" s="1902"/>
    </row>
    <row r="89" spans="2:24" ht="17.25" customHeight="1">
      <c r="B89" s="2754"/>
      <c r="C89" s="2754"/>
      <c r="D89" s="2754"/>
      <c r="E89" s="2754"/>
      <c r="F89" s="2754"/>
      <c r="G89" s="2755"/>
      <c r="H89" s="2755"/>
      <c r="I89" s="2756"/>
      <c r="J89" s="2756"/>
      <c r="K89" s="1919" t="str">
        <f>IF(OR(R102=1,R102=4,R102=5),"Dias","---")</f>
        <v>---</v>
      </c>
      <c r="L89" s="2757"/>
      <c r="M89" s="2757"/>
      <c r="N89" s="2757"/>
      <c r="O89" s="2757"/>
      <c r="P89" s="1919" t="str">
        <f>IF(OR(R102=2,R102=3,R102=4,R102=5),"R$","---")</f>
        <v>R$</v>
      </c>
      <c r="Q89" s="1920"/>
      <c r="R89" s="1902"/>
      <c r="S89" s="1902"/>
      <c r="T89" s="1902"/>
      <c r="U89" s="1902"/>
    </row>
    <row r="90" spans="2:24" ht="17.25" customHeight="1">
      <c r="B90" s="2750"/>
      <c r="C90" s="2750"/>
      <c r="D90" s="2750"/>
      <c r="E90" s="2750"/>
      <c r="F90" s="2750"/>
      <c r="G90" s="2751"/>
      <c r="H90" s="2751"/>
      <c r="I90" s="2752"/>
      <c r="J90" s="2752"/>
      <c r="K90" s="1921" t="str">
        <f t="shared" ref="K90:K98" si="0">IF(OR(R103=1,R103=4,R103=5),"Dias","---")</f>
        <v>---</v>
      </c>
      <c r="L90" s="2753"/>
      <c r="M90" s="2753"/>
      <c r="N90" s="2753"/>
      <c r="O90" s="2753"/>
      <c r="P90" s="1921" t="str">
        <f t="shared" ref="P90:P98" si="1">IF(OR(R103=2,R103=3,R103=4,R103=5),"R$","---")</f>
        <v>R$</v>
      </c>
      <c r="Q90" s="1920"/>
      <c r="R90" s="1902"/>
      <c r="S90" s="1902"/>
      <c r="T90" s="1902"/>
      <c r="U90" s="1902"/>
    </row>
    <row r="91" spans="2:24" ht="17.25" customHeight="1">
      <c r="B91" s="2750"/>
      <c r="C91" s="2750"/>
      <c r="D91" s="2750"/>
      <c r="E91" s="2750"/>
      <c r="F91" s="2750"/>
      <c r="G91" s="2751"/>
      <c r="H91" s="2751"/>
      <c r="I91" s="2752"/>
      <c r="J91" s="2752"/>
      <c r="K91" s="1921" t="str">
        <f t="shared" si="0"/>
        <v>---</v>
      </c>
      <c r="L91" s="2753"/>
      <c r="M91" s="2753"/>
      <c r="N91" s="2753"/>
      <c r="O91" s="2753"/>
      <c r="P91" s="1921" t="str">
        <f t="shared" si="1"/>
        <v>R$</v>
      </c>
      <c r="Q91" s="1920"/>
    </row>
    <row r="92" spans="2:24" ht="17.25" customHeight="1">
      <c r="B92" s="2750"/>
      <c r="C92" s="2750"/>
      <c r="D92" s="2750"/>
      <c r="E92" s="2750"/>
      <c r="F92" s="2750"/>
      <c r="G92" s="2751"/>
      <c r="H92" s="2751"/>
      <c r="I92" s="2752"/>
      <c r="J92" s="2752"/>
      <c r="K92" s="1921" t="str">
        <f t="shared" si="0"/>
        <v>---</v>
      </c>
      <c r="L92" s="2753"/>
      <c r="M92" s="2753"/>
      <c r="N92" s="2753"/>
      <c r="O92" s="2753"/>
      <c r="P92" s="1921" t="str">
        <f t="shared" si="1"/>
        <v>R$</v>
      </c>
      <c r="Q92" s="1922"/>
      <c r="R92" s="1909"/>
      <c r="S92" s="1909"/>
      <c r="T92" s="1909"/>
      <c r="U92" s="1909"/>
      <c r="V92" s="1909"/>
      <c r="W92" s="1909"/>
      <c r="X92" s="1923"/>
    </row>
    <row r="93" spans="2:24" ht="17.25" customHeight="1">
      <c r="B93" s="2750"/>
      <c r="C93" s="2750"/>
      <c r="D93" s="2750"/>
      <c r="E93" s="2750"/>
      <c r="F93" s="2750"/>
      <c r="G93" s="2751"/>
      <c r="H93" s="2751"/>
      <c r="I93" s="2752"/>
      <c r="J93" s="2752"/>
      <c r="K93" s="1921" t="str">
        <f t="shared" si="0"/>
        <v>---</v>
      </c>
      <c r="L93" s="2753"/>
      <c r="M93" s="2753"/>
      <c r="N93" s="2753"/>
      <c r="O93" s="2753"/>
      <c r="P93" s="1921" t="str">
        <f t="shared" si="1"/>
        <v>R$</v>
      </c>
    </row>
    <row r="94" spans="2:24" ht="17.25" customHeight="1">
      <c r="B94" s="2750"/>
      <c r="C94" s="2750"/>
      <c r="D94" s="2750"/>
      <c r="E94" s="2750"/>
      <c r="F94" s="2750"/>
      <c r="G94" s="2751"/>
      <c r="H94" s="2751"/>
      <c r="I94" s="2752"/>
      <c r="J94" s="2752"/>
      <c r="K94" s="1921" t="str">
        <f t="shared" si="0"/>
        <v>---</v>
      </c>
      <c r="L94" s="2753"/>
      <c r="M94" s="2753"/>
      <c r="N94" s="2753"/>
      <c r="O94" s="2753"/>
      <c r="P94" s="1921" t="str">
        <f t="shared" si="1"/>
        <v>R$</v>
      </c>
    </row>
    <row r="95" spans="2:24" ht="17.25" customHeight="1">
      <c r="B95" s="2750"/>
      <c r="C95" s="2750"/>
      <c r="D95" s="2750"/>
      <c r="E95" s="2750"/>
      <c r="F95" s="2750"/>
      <c r="G95" s="2751"/>
      <c r="H95" s="2751"/>
      <c r="I95" s="2752"/>
      <c r="J95" s="2752"/>
      <c r="K95" s="1921" t="str">
        <f t="shared" si="0"/>
        <v>---</v>
      </c>
      <c r="L95" s="2753"/>
      <c r="M95" s="2753"/>
      <c r="N95" s="2753"/>
      <c r="O95" s="2753"/>
      <c r="P95" s="1921" t="str">
        <f t="shared" si="1"/>
        <v>R$</v>
      </c>
    </row>
    <row r="96" spans="2:24" ht="17.25" customHeight="1">
      <c r="B96" s="2750"/>
      <c r="C96" s="2750"/>
      <c r="D96" s="2750"/>
      <c r="E96" s="2750"/>
      <c r="F96" s="2750"/>
      <c r="G96" s="2751"/>
      <c r="H96" s="2751"/>
      <c r="I96" s="2752"/>
      <c r="J96" s="2752"/>
      <c r="K96" s="1921" t="str">
        <f t="shared" si="0"/>
        <v>---</v>
      </c>
      <c r="L96" s="2753"/>
      <c r="M96" s="2753"/>
      <c r="N96" s="2753"/>
      <c r="O96" s="2753"/>
      <c r="P96" s="1921" t="str">
        <f t="shared" si="1"/>
        <v>R$</v>
      </c>
    </row>
    <row r="97" spans="2:25" ht="17.25" customHeight="1">
      <c r="B97" s="2750"/>
      <c r="C97" s="2750"/>
      <c r="D97" s="2750"/>
      <c r="E97" s="2750"/>
      <c r="F97" s="2750"/>
      <c r="G97" s="2751"/>
      <c r="H97" s="2751"/>
      <c r="I97" s="2752"/>
      <c r="J97" s="2752"/>
      <c r="K97" s="1921" t="str">
        <f t="shared" si="0"/>
        <v>---</v>
      </c>
      <c r="L97" s="2753"/>
      <c r="M97" s="2753"/>
      <c r="N97" s="2753"/>
      <c r="O97" s="2753"/>
      <c r="P97" s="1921" t="str">
        <f t="shared" si="1"/>
        <v>R$</v>
      </c>
    </row>
    <row r="98" spans="2:25" ht="17.25" customHeight="1" thickBot="1">
      <c r="B98" s="2758"/>
      <c r="C98" s="2758"/>
      <c r="D98" s="2758"/>
      <c r="E98" s="2758"/>
      <c r="F98" s="2758"/>
      <c r="G98" s="2759"/>
      <c r="H98" s="2759"/>
      <c r="I98" s="2760"/>
      <c r="J98" s="2760"/>
      <c r="K98" s="1924" t="str">
        <f t="shared" si="0"/>
        <v>---</v>
      </c>
      <c r="L98" s="2761"/>
      <c r="M98" s="2761"/>
      <c r="N98" s="2761"/>
      <c r="O98" s="2761"/>
      <c r="P98" s="1924" t="str">
        <f t="shared" si="1"/>
        <v>R$</v>
      </c>
    </row>
    <row r="99" spans="2:25" ht="17.25" customHeight="1" thickBot="1">
      <c r="B99" s="1925"/>
      <c r="C99" s="1926"/>
      <c r="D99" s="1926"/>
      <c r="E99" s="1926"/>
      <c r="F99" s="1926"/>
      <c r="G99" s="1926"/>
      <c r="H99" s="1926"/>
      <c r="I99" s="2764">
        <f>SUM(I89:J98)</f>
        <v>0</v>
      </c>
      <c r="J99" s="2764"/>
      <c r="K99" s="1927"/>
      <c r="L99" s="2765">
        <f>SUM(L89:M98)</f>
        <v>0</v>
      </c>
      <c r="M99" s="2765"/>
      <c r="N99" s="2765">
        <f>SUM(N89:O98)</f>
        <v>0</v>
      </c>
      <c r="O99" s="2765"/>
      <c r="P99" s="1928"/>
    </row>
    <row r="100" spans="2:25" ht="17.25" customHeight="1">
      <c r="B100" s="1902"/>
      <c r="C100" s="1902"/>
      <c r="D100" s="1902"/>
      <c r="E100" s="1902"/>
      <c r="F100" s="1902"/>
      <c r="G100" s="1902"/>
      <c r="H100" s="1902"/>
      <c r="I100" s="1902"/>
      <c r="J100" s="1902"/>
      <c r="K100" s="1902"/>
      <c r="L100" s="1902"/>
      <c r="M100" s="1902"/>
      <c r="N100" s="1902"/>
      <c r="O100" s="1902"/>
      <c r="P100" s="1902"/>
      <c r="Q100" s="1929"/>
      <c r="R100" s="1930"/>
      <c r="S100" s="1931"/>
      <c r="T100" s="1931"/>
      <c r="U100" s="1931"/>
      <c r="V100" s="1932"/>
      <c r="W100" s="1933"/>
      <c r="X100" s="1933"/>
      <c r="Y100" s="1933"/>
    </row>
    <row r="101" spans="2:25" ht="17.25" customHeight="1">
      <c r="B101" s="1902"/>
      <c r="C101" s="1902"/>
      <c r="D101" s="1902"/>
      <c r="E101" s="1902"/>
      <c r="F101" s="1902"/>
      <c r="G101" s="1902"/>
      <c r="H101" s="1902"/>
      <c r="I101" s="1902"/>
      <c r="J101" s="1902"/>
      <c r="K101" s="1902"/>
      <c r="L101" s="1902"/>
      <c r="M101" s="1902"/>
      <c r="N101" s="1902"/>
      <c r="O101" s="1902"/>
      <c r="P101" s="1902"/>
      <c r="Q101" s="1930"/>
      <c r="R101" s="1930" t="s">
        <v>16829</v>
      </c>
      <c r="S101" s="1934"/>
      <c r="T101" s="1934"/>
      <c r="U101" s="1934"/>
      <c r="V101" s="1932"/>
      <c r="W101" s="1933"/>
      <c r="X101" s="1933"/>
      <c r="Y101" s="1933"/>
    </row>
    <row r="102" spans="2:25" ht="17.25" customHeight="1" thickBot="1">
      <c r="B102" s="2707" t="s">
        <v>16830</v>
      </c>
      <c r="C102" s="2707"/>
      <c r="D102" s="2707"/>
      <c r="E102" s="2707"/>
      <c r="F102" s="2707"/>
      <c r="G102" s="2707"/>
      <c r="H102" s="2707"/>
      <c r="I102" s="2707"/>
      <c r="J102" s="2707"/>
      <c r="K102" s="2707"/>
      <c r="L102" s="2707"/>
      <c r="M102" s="2707"/>
      <c r="N102" s="2707"/>
      <c r="O102" s="2707"/>
      <c r="P102" s="2707"/>
      <c r="Q102" s="1935"/>
      <c r="R102" s="1936">
        <f t="shared" ref="R102:R111" si="2">IF(D89=S$2,1,IF(D89=S$18,2,IF(D89=S$19,3,IF(D89=S$20,4,IF(D89=S$21,5,0)))))</f>
        <v>2</v>
      </c>
      <c r="S102" s="1937"/>
      <c r="T102" s="1937"/>
      <c r="U102" s="1937"/>
      <c r="V102" s="1938"/>
      <c r="W102" s="1938"/>
      <c r="X102" s="1939"/>
      <c r="Y102" s="1939"/>
    </row>
    <row r="103" spans="2:25" ht="17.25" customHeight="1" thickTop="1">
      <c r="B103" s="2766" t="s">
        <v>16831</v>
      </c>
      <c r="C103" s="2766"/>
      <c r="D103" s="2766"/>
      <c r="E103" s="1940" t="s">
        <v>15928</v>
      </c>
      <c r="F103" s="1940"/>
      <c r="G103" s="1940"/>
      <c r="H103" s="1940"/>
      <c r="I103" s="1940"/>
      <c r="J103" s="1940"/>
      <c r="K103" s="1940"/>
      <c r="L103" s="2766" t="s">
        <v>16832</v>
      </c>
      <c r="M103" s="2766"/>
      <c r="N103" s="2766"/>
      <c r="O103" s="2766" t="s">
        <v>16084</v>
      </c>
      <c r="P103" s="2766"/>
      <c r="Q103" s="1935"/>
      <c r="R103" s="1936">
        <f t="shared" si="2"/>
        <v>2</v>
      </c>
      <c r="S103" s="1937"/>
      <c r="T103" s="1937"/>
      <c r="U103" s="1937"/>
      <c r="V103" s="1938"/>
      <c r="W103" s="1938"/>
      <c r="X103" s="1939"/>
      <c r="Y103" s="1939"/>
    </row>
    <row r="104" spans="2:25" ht="17.25" customHeight="1">
      <c r="B104" s="2706" t="s">
        <v>12619</v>
      </c>
      <c r="C104" s="2706"/>
      <c r="D104" s="2706"/>
      <c r="E104" s="2710" t="s">
        <v>16833</v>
      </c>
      <c r="F104" s="2710"/>
      <c r="G104" s="2710"/>
      <c r="H104" s="2710"/>
      <c r="I104" s="2710"/>
      <c r="J104" s="2710"/>
      <c r="K104" s="2710"/>
      <c r="L104" s="2762">
        <v>14575921.109999999</v>
      </c>
      <c r="M104" s="2762"/>
      <c r="N104" s="2762"/>
      <c r="O104" s="2763">
        <f>IF(L104=0,0,100%)</f>
        <v>1</v>
      </c>
      <c r="P104" s="2763"/>
      <c r="Q104" s="1935"/>
      <c r="R104" s="1936">
        <f t="shared" si="2"/>
        <v>2</v>
      </c>
      <c r="S104" s="1937">
        <v>14575921.109999999</v>
      </c>
      <c r="T104" s="1937"/>
      <c r="U104" s="1937"/>
      <c r="V104" s="1938"/>
      <c r="W104" s="1938"/>
      <c r="X104" s="1941"/>
      <c r="Y104" s="1939"/>
    </row>
    <row r="105" spans="2:25" ht="17.25" customHeight="1">
      <c r="B105" s="2706" t="s">
        <v>12623</v>
      </c>
      <c r="C105" s="2706"/>
      <c r="D105" s="2706"/>
      <c r="E105" s="2710" t="s">
        <v>16834</v>
      </c>
      <c r="F105" s="2710"/>
      <c r="G105" s="2710"/>
      <c r="H105" s="2710"/>
      <c r="I105" s="2710"/>
      <c r="J105" s="2710"/>
      <c r="K105" s="2710"/>
      <c r="L105" s="2762">
        <v>13412792.050000001</v>
      </c>
      <c r="M105" s="2762"/>
      <c r="N105" s="2762"/>
      <c r="O105" s="2763">
        <f>IF(L104=0,0,L105/L104)</f>
        <v>0.92020202008351848</v>
      </c>
      <c r="P105" s="2763"/>
      <c r="Q105" s="1935"/>
      <c r="R105" s="1936">
        <f t="shared" si="2"/>
        <v>2</v>
      </c>
      <c r="S105" s="1937"/>
      <c r="T105" s="1937"/>
      <c r="U105" s="1937"/>
      <c r="V105" s="1938"/>
      <c r="W105" s="1938"/>
      <c r="X105" s="1941"/>
      <c r="Y105" s="1939"/>
    </row>
    <row r="106" spans="2:25" ht="17.25" customHeight="1">
      <c r="B106" s="2706" t="s">
        <v>12629</v>
      </c>
      <c r="C106" s="2706"/>
      <c r="D106" s="2706"/>
      <c r="E106" s="2710" t="s">
        <v>16835</v>
      </c>
      <c r="F106" s="2710"/>
      <c r="G106" s="2710"/>
      <c r="H106" s="2710"/>
      <c r="I106" s="2710"/>
      <c r="J106" s="2710"/>
      <c r="K106" s="2710"/>
      <c r="L106" s="2771">
        <f>L104-L105</f>
        <v>1163129.0599999987</v>
      </c>
      <c r="M106" s="2771"/>
      <c r="N106" s="2771"/>
      <c r="O106" s="2763">
        <f>O104-O105</f>
        <v>7.9797979916481521E-2</v>
      </c>
      <c r="P106" s="2763"/>
      <c r="Q106" s="1935"/>
      <c r="R106" s="1936">
        <f t="shared" si="2"/>
        <v>2</v>
      </c>
      <c r="S106" s="1942"/>
      <c r="T106" s="1937"/>
      <c r="U106" s="1937"/>
      <c r="V106" s="1938"/>
      <c r="W106" s="1938"/>
      <c r="X106" s="1939"/>
      <c r="Y106" s="1939"/>
    </row>
    <row r="107" spans="2:25" ht="17.25" customHeight="1">
      <c r="B107" s="2706" t="s">
        <v>12634</v>
      </c>
      <c r="C107" s="2706"/>
      <c r="D107" s="2706"/>
      <c r="E107" s="2710" t="s">
        <v>16836</v>
      </c>
      <c r="F107" s="2710"/>
      <c r="G107" s="2710"/>
      <c r="H107" s="2710"/>
      <c r="I107" s="2710"/>
      <c r="J107" s="2710"/>
      <c r="K107" s="2710"/>
      <c r="L107" s="2767">
        <f>L99</f>
        <v>0</v>
      </c>
      <c r="M107" s="2767"/>
      <c r="N107" s="2767"/>
      <c r="O107" s="2763">
        <f>IF(L105=0,0,L107/L105)</f>
        <v>0</v>
      </c>
      <c r="P107" s="2763"/>
      <c r="Q107" s="1935"/>
      <c r="R107" s="1936">
        <f t="shared" si="2"/>
        <v>2</v>
      </c>
      <c r="S107" s="1943"/>
      <c r="T107" s="1944"/>
      <c r="U107" s="1944"/>
      <c r="V107" s="1938"/>
      <c r="W107" s="1938"/>
      <c r="X107" s="1939"/>
      <c r="Y107" s="1939"/>
    </row>
    <row r="108" spans="2:25" ht="17.25" customHeight="1">
      <c r="B108" s="2706" t="s">
        <v>12640</v>
      </c>
      <c r="C108" s="2706"/>
      <c r="D108" s="2706"/>
      <c r="E108" s="2710" t="s">
        <v>16837</v>
      </c>
      <c r="F108" s="2710"/>
      <c r="G108" s="2710"/>
      <c r="H108" s="2710"/>
      <c r="I108" s="2710"/>
      <c r="J108" s="2710"/>
      <c r="K108" s="2710"/>
      <c r="L108" s="2767">
        <f>N99</f>
        <v>0</v>
      </c>
      <c r="M108" s="2767"/>
      <c r="N108" s="2767"/>
      <c r="O108" s="2763">
        <f>IF(L105=0,0,L108/L105)</f>
        <v>0</v>
      </c>
      <c r="P108" s="2763"/>
      <c r="Q108" s="1935"/>
      <c r="R108" s="1936">
        <f t="shared" si="2"/>
        <v>2</v>
      </c>
      <c r="S108" s="1945"/>
      <c r="T108" s="1944"/>
      <c r="U108" s="1944"/>
      <c r="V108" s="1938"/>
      <c r="W108" s="1938"/>
      <c r="X108" s="1939"/>
      <c r="Y108" s="1939"/>
    </row>
    <row r="109" spans="2:25" ht="17.25" customHeight="1">
      <c r="B109" s="2768" t="s">
        <v>12647</v>
      </c>
      <c r="C109" s="2768"/>
      <c r="D109" s="2768"/>
      <c r="E109" s="2769" t="s">
        <v>16838</v>
      </c>
      <c r="F109" s="2769"/>
      <c r="G109" s="2769"/>
      <c r="H109" s="2769"/>
      <c r="I109" s="2769"/>
      <c r="J109" s="2769"/>
      <c r="K109" s="2769"/>
      <c r="L109" s="2770">
        <f>L105+L107-L108</f>
        <v>13412792.050000001</v>
      </c>
      <c r="M109" s="2770"/>
      <c r="N109" s="2770"/>
      <c r="O109" s="2763">
        <f>IF(L105=0,0,L109/L105)</f>
        <v>1</v>
      </c>
      <c r="P109" s="2763"/>
      <c r="Q109" s="1935"/>
      <c r="R109" s="1936">
        <f t="shared" si="2"/>
        <v>2</v>
      </c>
      <c r="S109" s="1944"/>
      <c r="T109" s="1944"/>
      <c r="U109" s="1944"/>
      <c r="V109" s="1938"/>
      <c r="W109" s="1938"/>
      <c r="X109" s="1939"/>
      <c r="Y109" s="1939"/>
    </row>
    <row r="110" spans="2:25" ht="17.25" customHeight="1">
      <c r="B110" s="2706"/>
      <c r="C110" s="2706"/>
      <c r="D110" s="2706"/>
      <c r="E110" s="2706"/>
      <c r="F110" s="2706"/>
      <c r="G110" s="2706"/>
      <c r="H110" s="2706"/>
      <c r="I110" s="2706"/>
      <c r="J110" s="2706"/>
      <c r="K110" s="2706"/>
      <c r="L110" s="2706"/>
      <c r="M110" s="2706"/>
      <c r="N110" s="2706"/>
      <c r="O110" s="2706"/>
      <c r="P110" s="2706"/>
      <c r="Q110" s="1935"/>
      <c r="R110" s="1936">
        <f t="shared" si="2"/>
        <v>2</v>
      </c>
      <c r="S110" s="1946"/>
      <c r="T110" s="1944"/>
      <c r="U110" s="1944"/>
      <c r="V110" s="1938"/>
      <c r="W110" s="1938"/>
      <c r="X110" s="1939"/>
      <c r="Y110" s="1939"/>
    </row>
    <row r="111" spans="2:25" ht="17.25" customHeight="1">
      <c r="B111" s="2706"/>
      <c r="C111" s="2706"/>
      <c r="D111" s="2706"/>
      <c r="E111" s="2706"/>
      <c r="F111" s="2706"/>
      <c r="G111" s="2706"/>
      <c r="H111" s="2706"/>
      <c r="I111" s="2706"/>
      <c r="J111" s="2706"/>
      <c r="K111" s="2706"/>
      <c r="L111" s="2706"/>
      <c r="M111" s="2706"/>
      <c r="N111" s="2706"/>
      <c r="O111" s="2706"/>
      <c r="P111" s="2706"/>
      <c r="Q111" s="1935"/>
      <c r="R111" s="1936">
        <f t="shared" si="2"/>
        <v>2</v>
      </c>
      <c r="S111" s="1944"/>
      <c r="T111" s="1944"/>
      <c r="U111" s="1944"/>
      <c r="V111" s="1938"/>
      <c r="W111" s="1938"/>
      <c r="X111" s="1939"/>
      <c r="Y111" s="1939"/>
    </row>
    <row r="112" spans="2:25" ht="17.25" customHeight="1" thickBot="1">
      <c r="B112" s="2707" t="s">
        <v>16839</v>
      </c>
      <c r="C112" s="2707"/>
      <c r="D112" s="2707"/>
      <c r="E112" s="2707"/>
      <c r="F112" s="2707"/>
      <c r="G112" s="2707"/>
      <c r="H112" s="2707"/>
      <c r="I112" s="2707"/>
      <c r="J112" s="2707"/>
      <c r="K112" s="2707"/>
      <c r="L112" s="2707"/>
      <c r="M112" s="2707"/>
      <c r="N112" s="2707"/>
      <c r="O112" s="2707"/>
      <c r="P112" s="2707"/>
    </row>
    <row r="113" spans="2:20" ht="17.25" customHeight="1" thickTop="1">
      <c r="B113" s="2766" t="s">
        <v>16831</v>
      </c>
      <c r="C113" s="2766"/>
      <c r="D113" s="2766"/>
      <c r="E113" s="1940" t="s">
        <v>15928</v>
      </c>
      <c r="F113" s="1940"/>
      <c r="G113" s="1940"/>
      <c r="H113" s="1940"/>
      <c r="I113" s="1940"/>
      <c r="J113" s="1940"/>
      <c r="K113" s="1940"/>
      <c r="L113" s="2766" t="s">
        <v>16832</v>
      </c>
      <c r="M113" s="2766"/>
      <c r="N113" s="2766"/>
      <c r="O113" s="2766" t="s">
        <v>16084</v>
      </c>
      <c r="P113" s="2766"/>
    </row>
    <row r="114" spans="2:20" ht="17.25" customHeight="1">
      <c r="B114" s="2706" t="s">
        <v>12619</v>
      </c>
      <c r="C114" s="2706"/>
      <c r="D114" s="2706"/>
      <c r="E114" s="2710" t="s">
        <v>16840</v>
      </c>
      <c r="F114" s="2710"/>
      <c r="G114" s="2710"/>
      <c r="H114" s="2710"/>
      <c r="I114" s="2710"/>
      <c r="J114" s="2710"/>
      <c r="K114" s="2710"/>
      <c r="L114" s="2772">
        <v>300</v>
      </c>
      <c r="M114" s="2772"/>
      <c r="N114" s="2772"/>
      <c r="O114" s="2763">
        <f>IF(L114=0,0,100%)</f>
        <v>1</v>
      </c>
      <c r="P114" s="2763"/>
      <c r="R114" s="1898">
        <f>10*30</f>
        <v>300</v>
      </c>
    </row>
    <row r="115" spans="2:20" ht="17.25" customHeight="1">
      <c r="B115" s="2706" t="s">
        <v>12623</v>
      </c>
      <c r="C115" s="2706"/>
      <c r="D115" s="2706"/>
      <c r="E115" s="2710" t="s">
        <v>16841</v>
      </c>
      <c r="F115" s="2710"/>
      <c r="G115" s="2710"/>
      <c r="H115" s="2710"/>
      <c r="I115" s="2710"/>
      <c r="J115" s="2710"/>
      <c r="K115" s="2710"/>
      <c r="L115" s="2773">
        <f>I99</f>
        <v>0</v>
      </c>
      <c r="M115" s="2773"/>
      <c r="N115" s="2773"/>
      <c r="O115" s="2763">
        <f>IF(L114=0,0,L115/L114)</f>
        <v>0</v>
      </c>
      <c r="P115" s="2763"/>
    </row>
    <row r="116" spans="2:20" ht="17.25" customHeight="1">
      <c r="B116" s="2706" t="s">
        <v>12629</v>
      </c>
      <c r="C116" s="2706"/>
      <c r="D116" s="2706"/>
      <c r="E116" s="2710" t="s">
        <v>16842</v>
      </c>
      <c r="F116" s="2710"/>
      <c r="G116" s="2710"/>
      <c r="H116" s="2710"/>
      <c r="I116" s="2710"/>
      <c r="J116" s="2710"/>
      <c r="K116" s="2710"/>
      <c r="L116" s="2773">
        <f>L114+L115</f>
        <v>300</v>
      </c>
      <c r="M116" s="2773"/>
      <c r="N116" s="2773"/>
      <c r="O116" s="2763">
        <f>IF(L114=0,0,L116/L114)</f>
        <v>1</v>
      </c>
      <c r="P116" s="2763"/>
      <c r="R116" s="1910">
        <f>L116+G44</f>
        <v>45986</v>
      </c>
      <c r="S116" s="1910">
        <f>R116+90</f>
        <v>46076</v>
      </c>
    </row>
    <row r="117" spans="2:20" ht="17.25" customHeight="1">
      <c r="B117" s="2706" t="s">
        <v>12634</v>
      </c>
      <c r="C117" s="2706"/>
      <c r="D117" s="2706"/>
      <c r="E117" s="2710" t="s">
        <v>16843</v>
      </c>
      <c r="F117" s="2710"/>
      <c r="G117" s="2710"/>
      <c r="H117" s="2710"/>
      <c r="I117" s="2710"/>
      <c r="J117" s="2710"/>
      <c r="K117" s="2710"/>
      <c r="L117" s="2773">
        <f>G75-G44+1</f>
        <v>153</v>
      </c>
      <c r="M117" s="2773"/>
      <c r="N117" s="2773"/>
      <c r="O117" s="2763">
        <f>IF(L116=0,0,L117/L116)</f>
        <v>0.51</v>
      </c>
      <c r="P117" s="2763"/>
    </row>
    <row r="118" spans="2:20" ht="17.25" customHeight="1">
      <c r="B118" s="2706" t="s">
        <v>12640</v>
      </c>
      <c r="C118" s="2706"/>
      <c r="D118" s="2706"/>
      <c r="E118" s="2710" t="s">
        <v>16844</v>
      </c>
      <c r="F118" s="2710"/>
      <c r="G118" s="2710"/>
      <c r="H118" s="2710"/>
      <c r="I118" s="2710"/>
      <c r="J118" s="2710"/>
      <c r="K118" s="2710"/>
      <c r="L118" s="2774">
        <f>(L116-L117)</f>
        <v>147</v>
      </c>
      <c r="M118" s="2774"/>
      <c r="N118" s="2774"/>
      <c r="O118" s="2763">
        <f>IF(L116=0,0,L118/L116)</f>
        <v>0.49</v>
      </c>
      <c r="P118" s="2763"/>
    </row>
    <row r="119" spans="2:20" ht="17.25" customHeight="1">
      <c r="B119" s="2706" t="s">
        <v>12647</v>
      </c>
      <c r="C119" s="2706"/>
      <c r="D119" s="2706"/>
      <c r="E119" s="2710" t="s">
        <v>16845</v>
      </c>
      <c r="F119" s="2710"/>
      <c r="G119" s="2710"/>
      <c r="H119" s="2710"/>
      <c r="I119" s="2710"/>
      <c r="J119" s="2710"/>
      <c r="K119" s="2710"/>
      <c r="L119" s="2775">
        <f>G44+L116</f>
        <v>45986</v>
      </c>
      <c r="M119" s="2776"/>
      <c r="N119" s="2776"/>
    </row>
    <row r="120" spans="2:20" ht="17.25" customHeight="1">
      <c r="B120" s="2706"/>
      <c r="C120" s="2706"/>
      <c r="D120" s="2706"/>
      <c r="E120" s="2706"/>
      <c r="F120" s="2706"/>
      <c r="G120" s="2706"/>
      <c r="H120" s="2706"/>
      <c r="I120" s="2706"/>
      <c r="J120" s="2706"/>
      <c r="K120" s="2706"/>
      <c r="L120" s="2706"/>
      <c r="M120" s="2706"/>
      <c r="N120" s="2706"/>
      <c r="O120" s="2706"/>
      <c r="P120" s="2706"/>
      <c r="T120" s="1898">
        <f>'Medição '!N1835</f>
        <v>12069.059999999994</v>
      </c>
    </row>
    <row r="121" spans="2:20" ht="17.25" customHeight="1">
      <c r="B121" s="2706"/>
      <c r="C121" s="2706"/>
      <c r="D121" s="2706"/>
      <c r="E121" s="2706"/>
      <c r="F121" s="2706"/>
      <c r="G121" s="2706"/>
      <c r="H121" s="2706"/>
      <c r="I121" s="2706"/>
      <c r="J121" s="2706"/>
      <c r="K121" s="2706"/>
      <c r="L121" s="2706"/>
      <c r="M121" s="2706"/>
      <c r="N121" s="2706"/>
      <c r="O121" s="2706"/>
      <c r="P121" s="2706"/>
      <c r="T121" s="1898">
        <v>12069.06</v>
      </c>
    </row>
    <row r="122" spans="2:20" ht="17.25" customHeight="1" thickBot="1">
      <c r="B122" s="2707" t="s">
        <v>16846</v>
      </c>
      <c r="C122" s="2707"/>
      <c r="D122" s="2707"/>
      <c r="E122" s="2707"/>
      <c r="F122" s="2707"/>
      <c r="G122" s="2707"/>
      <c r="H122" s="2707"/>
      <c r="I122" s="2707"/>
      <c r="J122" s="2707"/>
      <c r="K122" s="2707"/>
      <c r="L122" s="2707"/>
      <c r="M122" s="2707"/>
      <c r="N122" s="2707"/>
      <c r="O122" s="2707"/>
      <c r="P122" s="2707"/>
    </row>
    <row r="123" spans="2:20" ht="17.25" customHeight="1" thickTop="1">
      <c r="B123" s="2787" t="s">
        <v>16820</v>
      </c>
      <c r="C123" s="2788"/>
      <c r="D123" s="2788"/>
      <c r="E123" s="2791" t="s">
        <v>16847</v>
      </c>
      <c r="F123" s="2788"/>
      <c r="G123" s="2788" t="s">
        <v>16848</v>
      </c>
      <c r="H123" s="2788"/>
      <c r="I123" s="2788"/>
      <c r="J123" s="2788"/>
      <c r="K123" s="2788"/>
      <c r="L123" s="2788" t="s">
        <v>16849</v>
      </c>
      <c r="M123" s="2788"/>
      <c r="N123" s="2788"/>
      <c r="O123" s="2788"/>
      <c r="P123" s="2792"/>
    </row>
    <row r="124" spans="2:20" ht="17.25" customHeight="1" thickBot="1">
      <c r="B124" s="2789"/>
      <c r="C124" s="2790"/>
      <c r="D124" s="2790"/>
      <c r="E124" s="2790"/>
      <c r="F124" s="2790"/>
      <c r="G124" s="2777" t="s">
        <v>16850</v>
      </c>
      <c r="H124" s="2777"/>
      <c r="I124" s="2777"/>
      <c r="J124" s="2777" t="s">
        <v>16084</v>
      </c>
      <c r="K124" s="2777"/>
      <c r="L124" s="2777" t="s">
        <v>16850</v>
      </c>
      <c r="M124" s="2777"/>
      <c r="N124" s="2777"/>
      <c r="O124" s="2777" t="s">
        <v>16084</v>
      </c>
      <c r="P124" s="2778"/>
    </row>
    <row r="125" spans="2:20" ht="17.25" customHeight="1">
      <c r="B125" s="2779">
        <v>1</v>
      </c>
      <c r="C125" s="2780"/>
      <c r="D125" s="2780"/>
      <c r="E125" s="2781" t="s">
        <v>16741</v>
      </c>
      <c r="F125" s="2781"/>
      <c r="G125" s="2782">
        <v>0</v>
      </c>
      <c r="H125" s="2782"/>
      <c r="I125" s="2782"/>
      <c r="J125" s="2783">
        <f t="shared" ref="J125:J130" si="3">IF($L$109=0,"Valor Contrato?",IF(G125=0,0,G125/$L$109))</f>
        <v>0</v>
      </c>
      <c r="K125" s="2783"/>
      <c r="L125" s="2784">
        <v>0</v>
      </c>
      <c r="M125" s="2784"/>
      <c r="N125" s="2784"/>
      <c r="O125" s="2785">
        <f>IF($L$109=0,"Valor Contrato?",IF(G125=0,0,L125/$L$109))</f>
        <v>0</v>
      </c>
      <c r="P125" s="2786"/>
      <c r="R125" s="1947"/>
      <c r="S125" s="1948"/>
      <c r="T125" s="1948">
        <f>L125</f>
        <v>0</v>
      </c>
    </row>
    <row r="126" spans="2:20" ht="17.25" customHeight="1">
      <c r="B126" s="2793">
        <v>2</v>
      </c>
      <c r="C126" s="2794"/>
      <c r="D126" s="2795"/>
      <c r="E126" s="2800" t="s">
        <v>16748</v>
      </c>
      <c r="F126" s="2801"/>
      <c r="G126" s="2782">
        <v>98945.38</v>
      </c>
      <c r="H126" s="2782"/>
      <c r="I126" s="2782"/>
      <c r="J126" s="2783">
        <f t="shared" si="3"/>
        <v>7.3769413281852825E-3</v>
      </c>
      <c r="K126" s="2783"/>
      <c r="L126" s="2784">
        <f>G126+G125</f>
        <v>98945.38</v>
      </c>
      <c r="M126" s="2784"/>
      <c r="N126" s="2784"/>
      <c r="O126" s="2783">
        <f>L126/$L$109</f>
        <v>7.3769413281852825E-3</v>
      </c>
      <c r="P126" s="2799"/>
      <c r="R126" s="1947">
        <f t="shared" ref="R126:R154" si="4">B126</f>
        <v>2</v>
      </c>
      <c r="S126" s="1948">
        <f t="shared" ref="S126:S154" si="5">G126</f>
        <v>98945.38</v>
      </c>
      <c r="T126" s="1948">
        <f t="shared" ref="T126:T154" si="6">L126</f>
        <v>98945.38</v>
      </c>
    </row>
    <row r="127" spans="2:20" ht="17.25" customHeight="1">
      <c r="B127" s="2793">
        <v>3</v>
      </c>
      <c r="C127" s="2794"/>
      <c r="D127" s="2795"/>
      <c r="E127" s="2796" t="s">
        <v>16753</v>
      </c>
      <c r="F127" s="2797"/>
      <c r="G127" s="2798">
        <v>109171.75</v>
      </c>
      <c r="H127" s="2798"/>
      <c r="I127" s="2798"/>
      <c r="J127" s="2783">
        <f t="shared" si="3"/>
        <v>8.1393754255662219E-3</v>
      </c>
      <c r="K127" s="2783"/>
      <c r="L127" s="2784">
        <f>G127+G126+G125</f>
        <v>208117.13</v>
      </c>
      <c r="M127" s="2784"/>
      <c r="N127" s="2784"/>
      <c r="O127" s="2783">
        <f>L127/$L$109</f>
        <v>1.5516316753751504E-2</v>
      </c>
      <c r="P127" s="2799"/>
      <c r="R127" s="1947">
        <f t="shared" si="4"/>
        <v>3</v>
      </c>
      <c r="S127" s="1948">
        <f t="shared" si="5"/>
        <v>109171.75</v>
      </c>
      <c r="T127" s="1948">
        <f t="shared" si="6"/>
        <v>208117.13</v>
      </c>
    </row>
    <row r="128" spans="2:20" ht="17.25" customHeight="1">
      <c r="B128" s="2793">
        <v>4</v>
      </c>
      <c r="C128" s="2794"/>
      <c r="D128" s="2795"/>
      <c r="E128" s="2797" t="s">
        <v>16758</v>
      </c>
      <c r="F128" s="2797"/>
      <c r="G128" s="2782">
        <v>184652.68000000002</v>
      </c>
      <c r="H128" s="2782"/>
      <c r="I128" s="2782"/>
      <c r="J128" s="2783">
        <f t="shared" si="3"/>
        <v>1.3766908434251018E-2</v>
      </c>
      <c r="K128" s="2783"/>
      <c r="L128" s="2784">
        <f>G128+G127+G126</f>
        <v>392769.81000000006</v>
      </c>
      <c r="M128" s="2784"/>
      <c r="N128" s="2784"/>
      <c r="O128" s="2783">
        <f>L128/$L$109</f>
        <v>2.9283225188002526E-2</v>
      </c>
      <c r="P128" s="2799"/>
      <c r="R128" s="1947">
        <f t="shared" si="4"/>
        <v>4</v>
      </c>
      <c r="S128" s="1948">
        <f t="shared" si="5"/>
        <v>184652.68000000002</v>
      </c>
      <c r="T128" s="1948">
        <f t="shared" si="6"/>
        <v>392769.81000000006</v>
      </c>
    </row>
    <row r="129" spans="2:21" ht="17.25" customHeight="1">
      <c r="B129" s="2793">
        <v>5</v>
      </c>
      <c r="C129" s="2794"/>
      <c r="D129" s="2795"/>
      <c r="E129" s="2797" t="s">
        <v>16761</v>
      </c>
      <c r="F129" s="2797"/>
      <c r="G129" s="2782">
        <v>159714.29</v>
      </c>
      <c r="H129" s="2782"/>
      <c r="I129" s="2782"/>
      <c r="J129" s="2783">
        <f t="shared" si="3"/>
        <v>1.1907609497308206E-2</v>
      </c>
      <c r="K129" s="2783"/>
      <c r="L129" s="2784">
        <f>G129+G128+G127+G126</f>
        <v>552484.10000000009</v>
      </c>
      <c r="M129" s="2784"/>
      <c r="N129" s="2784"/>
      <c r="O129" s="2783">
        <f>L129/$L$109</f>
        <v>4.1190834685310734E-2</v>
      </c>
      <c r="P129" s="2799"/>
      <c r="R129" s="1947">
        <f t="shared" si="4"/>
        <v>5</v>
      </c>
      <c r="S129" s="1948">
        <f t="shared" si="5"/>
        <v>159714.29</v>
      </c>
      <c r="T129" s="1948">
        <f t="shared" si="6"/>
        <v>552484.10000000009</v>
      </c>
    </row>
    <row r="130" spans="2:21" ht="17.25" customHeight="1">
      <c r="B130" s="2793">
        <v>6</v>
      </c>
      <c r="C130" s="2794"/>
      <c r="D130" s="2795"/>
      <c r="E130" s="2797" t="s">
        <v>16763</v>
      </c>
      <c r="F130" s="2797"/>
      <c r="G130" s="2782">
        <v>12069.06</v>
      </c>
      <c r="H130" s="2782"/>
      <c r="I130" s="2782"/>
      <c r="J130" s="2783">
        <f t="shared" si="3"/>
        <v>8.9981712644236506E-4</v>
      </c>
      <c r="K130" s="2783"/>
      <c r="L130" s="2784">
        <f>G126+G130+G129+G128+G127</f>
        <v>564553.16</v>
      </c>
      <c r="M130" s="2784"/>
      <c r="N130" s="2784"/>
      <c r="O130" s="2783"/>
      <c r="P130" s="2799"/>
      <c r="R130" s="1947">
        <f t="shared" si="4"/>
        <v>6</v>
      </c>
      <c r="S130" s="1948">
        <f t="shared" si="5"/>
        <v>12069.06</v>
      </c>
      <c r="T130" s="1948">
        <f t="shared" si="6"/>
        <v>564553.16</v>
      </c>
    </row>
    <row r="131" spans="2:21" ht="17.25" customHeight="1">
      <c r="B131" s="2793"/>
      <c r="C131" s="2794"/>
      <c r="D131" s="2795"/>
      <c r="E131" s="2802"/>
      <c r="F131" s="2802"/>
      <c r="G131" s="2782"/>
      <c r="H131" s="2782"/>
      <c r="I131" s="2782"/>
      <c r="J131" s="2783"/>
      <c r="K131" s="2783"/>
      <c r="L131" s="2784"/>
      <c r="M131" s="2784"/>
      <c r="N131" s="2784"/>
      <c r="O131" s="2783"/>
      <c r="P131" s="2799"/>
      <c r="R131" s="1947">
        <f t="shared" si="4"/>
        <v>0</v>
      </c>
      <c r="S131" s="1948">
        <f t="shared" si="5"/>
        <v>0</v>
      </c>
      <c r="T131" s="1948">
        <f t="shared" si="6"/>
        <v>0</v>
      </c>
    </row>
    <row r="132" spans="2:21" ht="17.25" customHeight="1">
      <c r="B132" s="2803"/>
      <c r="C132" s="2802"/>
      <c r="D132" s="2802"/>
      <c r="E132" s="2802"/>
      <c r="F132" s="2802"/>
      <c r="G132" s="2782"/>
      <c r="H132" s="2782"/>
      <c r="I132" s="2782"/>
      <c r="J132" s="2783"/>
      <c r="K132" s="2783"/>
      <c r="L132" s="2784"/>
      <c r="M132" s="2784"/>
      <c r="N132" s="2784"/>
      <c r="O132" s="2783"/>
      <c r="P132" s="2799"/>
      <c r="R132" s="1947">
        <f t="shared" si="4"/>
        <v>0</v>
      </c>
      <c r="S132" s="1948">
        <f>G132</f>
        <v>0</v>
      </c>
      <c r="T132" s="1948">
        <f t="shared" si="6"/>
        <v>0</v>
      </c>
    </row>
    <row r="133" spans="2:21" ht="17.25" customHeight="1">
      <c r="B133" s="2803"/>
      <c r="C133" s="2802"/>
      <c r="D133" s="2802"/>
      <c r="E133" s="2802"/>
      <c r="F133" s="2802"/>
      <c r="G133" s="2804"/>
      <c r="H133" s="2805"/>
      <c r="I133" s="2806"/>
      <c r="J133" s="2783"/>
      <c r="K133" s="2783"/>
      <c r="L133" s="2784"/>
      <c r="M133" s="2784"/>
      <c r="N133" s="2784"/>
      <c r="O133" s="2783"/>
      <c r="P133" s="2799"/>
      <c r="R133" s="1947">
        <f t="shared" si="4"/>
        <v>0</v>
      </c>
      <c r="S133" s="1948">
        <v>546533.1</v>
      </c>
      <c r="T133" s="1948">
        <f t="shared" si="6"/>
        <v>0</v>
      </c>
    </row>
    <row r="134" spans="2:21" ht="17.25" customHeight="1">
      <c r="B134" s="2803"/>
      <c r="C134" s="2802"/>
      <c r="D134" s="2802"/>
      <c r="E134" s="2802"/>
      <c r="F134" s="2802"/>
      <c r="G134" s="2807"/>
      <c r="H134" s="2807"/>
      <c r="I134" s="2807"/>
      <c r="J134" s="2783"/>
      <c r="K134" s="2783"/>
      <c r="L134" s="2784"/>
      <c r="M134" s="2784"/>
      <c r="N134" s="2784"/>
      <c r="O134" s="2783"/>
      <c r="P134" s="2799"/>
      <c r="R134" s="1947">
        <f t="shared" si="4"/>
        <v>0</v>
      </c>
      <c r="S134" s="1948">
        <f t="shared" si="5"/>
        <v>0</v>
      </c>
      <c r="T134" s="1948">
        <f t="shared" si="6"/>
        <v>0</v>
      </c>
      <c r="U134" s="1949"/>
    </row>
    <row r="135" spans="2:21" ht="17.25" customHeight="1">
      <c r="B135" s="2803"/>
      <c r="C135" s="2802"/>
      <c r="D135" s="2802"/>
      <c r="E135" s="2802"/>
      <c r="F135" s="2802"/>
      <c r="G135" s="2807"/>
      <c r="H135" s="2807"/>
      <c r="I135" s="2807"/>
      <c r="J135" s="2783"/>
      <c r="K135" s="2783"/>
      <c r="L135" s="2784"/>
      <c r="M135" s="2784"/>
      <c r="N135" s="2784"/>
      <c r="O135" s="2783"/>
      <c r="P135" s="2799"/>
      <c r="R135" s="1947">
        <f t="shared" si="4"/>
        <v>0</v>
      </c>
      <c r="S135" s="1948">
        <f t="shared" si="5"/>
        <v>0</v>
      </c>
      <c r="T135" s="1948">
        <f t="shared" si="6"/>
        <v>0</v>
      </c>
      <c r="U135" s="1949"/>
    </row>
    <row r="136" spans="2:21" ht="17.25" customHeight="1">
      <c r="B136" s="2803"/>
      <c r="C136" s="2802"/>
      <c r="D136" s="2802"/>
      <c r="E136" s="2802"/>
      <c r="F136" s="2802"/>
      <c r="G136" s="2807"/>
      <c r="H136" s="2807"/>
      <c r="I136" s="2807"/>
      <c r="J136" s="2783">
        <f t="shared" ref="J136:J154" si="7">IF($L$109=0,"Valor Contrato?",IF(G136=0,0,G136/$L$109))</f>
        <v>0</v>
      </c>
      <c r="K136" s="2783"/>
      <c r="L136" s="2784">
        <f t="shared" ref="L136:L154" si="8">IF(G136=0,0,L135+G136)</f>
        <v>0</v>
      </c>
      <c r="M136" s="2784"/>
      <c r="N136" s="2784"/>
      <c r="O136" s="2783">
        <f t="shared" ref="O136:O154" si="9">IF($L$109=0,"Valor Contrato?",IF(G136=0,0,L136/$L$109))</f>
        <v>0</v>
      </c>
      <c r="P136" s="2799"/>
      <c r="R136" s="1947">
        <f t="shared" si="4"/>
        <v>0</v>
      </c>
      <c r="S136" s="1948">
        <f>T129-S133</f>
        <v>5951.0000000001164</v>
      </c>
      <c r="T136" s="1948">
        <f t="shared" si="6"/>
        <v>0</v>
      </c>
    </row>
    <row r="137" spans="2:21" ht="17.25" customHeight="1">
      <c r="B137" s="2803"/>
      <c r="C137" s="2802"/>
      <c r="D137" s="2802"/>
      <c r="E137" s="2802"/>
      <c r="F137" s="2802"/>
      <c r="G137" s="2807"/>
      <c r="H137" s="2807"/>
      <c r="I137" s="2807"/>
      <c r="J137" s="2783">
        <f t="shared" si="7"/>
        <v>0</v>
      </c>
      <c r="K137" s="2783"/>
      <c r="L137" s="2784">
        <f t="shared" si="8"/>
        <v>0</v>
      </c>
      <c r="M137" s="2784"/>
      <c r="N137" s="2784"/>
      <c r="O137" s="2783">
        <f t="shared" si="9"/>
        <v>0</v>
      </c>
      <c r="P137" s="2799"/>
      <c r="R137" s="1947">
        <f t="shared" si="4"/>
        <v>0</v>
      </c>
      <c r="S137" s="1948">
        <f t="shared" si="5"/>
        <v>0</v>
      </c>
      <c r="T137" s="1948">
        <f t="shared" si="6"/>
        <v>0</v>
      </c>
    </row>
    <row r="138" spans="2:21" ht="17.25" customHeight="1">
      <c r="B138" s="2803"/>
      <c r="C138" s="2802"/>
      <c r="D138" s="2802"/>
      <c r="E138" s="2802"/>
      <c r="F138" s="2802"/>
      <c r="G138" s="2807"/>
      <c r="H138" s="2807"/>
      <c r="I138" s="2807"/>
      <c r="J138" s="2783">
        <f t="shared" si="7"/>
        <v>0</v>
      </c>
      <c r="K138" s="2783"/>
      <c r="L138" s="2784">
        <f t="shared" si="8"/>
        <v>0</v>
      </c>
      <c r="M138" s="2784"/>
      <c r="N138" s="2784"/>
      <c r="O138" s="2783">
        <f t="shared" si="9"/>
        <v>0</v>
      </c>
      <c r="P138" s="2799"/>
      <c r="R138" s="1947">
        <f t="shared" si="4"/>
        <v>0</v>
      </c>
      <c r="S138" s="1948">
        <f t="shared" si="5"/>
        <v>0</v>
      </c>
      <c r="T138" s="1948">
        <f t="shared" si="6"/>
        <v>0</v>
      </c>
    </row>
    <row r="139" spans="2:21" ht="17.25" customHeight="1">
      <c r="B139" s="2803"/>
      <c r="C139" s="2802"/>
      <c r="D139" s="2802"/>
      <c r="E139" s="2802"/>
      <c r="F139" s="2802"/>
      <c r="G139" s="2807"/>
      <c r="H139" s="2807"/>
      <c r="I139" s="2807"/>
      <c r="J139" s="2783">
        <f t="shared" si="7"/>
        <v>0</v>
      </c>
      <c r="K139" s="2783"/>
      <c r="L139" s="2784">
        <f t="shared" si="8"/>
        <v>0</v>
      </c>
      <c r="M139" s="2784"/>
      <c r="N139" s="2784"/>
      <c r="O139" s="2783">
        <f t="shared" si="9"/>
        <v>0</v>
      </c>
      <c r="P139" s="2799"/>
      <c r="R139" s="1947">
        <f t="shared" si="4"/>
        <v>0</v>
      </c>
      <c r="S139" s="1948">
        <f t="shared" si="5"/>
        <v>0</v>
      </c>
      <c r="T139" s="1948">
        <f t="shared" si="6"/>
        <v>0</v>
      </c>
    </row>
    <row r="140" spans="2:21" ht="17.25" customHeight="1">
      <c r="B140" s="2803"/>
      <c r="C140" s="2802"/>
      <c r="D140" s="2802"/>
      <c r="E140" s="2802"/>
      <c r="F140" s="2802"/>
      <c r="G140" s="2807"/>
      <c r="H140" s="2807"/>
      <c r="I140" s="2807"/>
      <c r="J140" s="2783">
        <f t="shared" si="7"/>
        <v>0</v>
      </c>
      <c r="K140" s="2783"/>
      <c r="L140" s="2784">
        <f t="shared" si="8"/>
        <v>0</v>
      </c>
      <c r="M140" s="2784"/>
      <c r="N140" s="2784"/>
      <c r="O140" s="2783">
        <f t="shared" si="9"/>
        <v>0</v>
      </c>
      <c r="P140" s="2799"/>
      <c r="R140" s="1947">
        <f t="shared" si="4"/>
        <v>0</v>
      </c>
      <c r="S140" s="1948">
        <f t="shared" si="5"/>
        <v>0</v>
      </c>
      <c r="T140" s="1948">
        <f t="shared" si="6"/>
        <v>0</v>
      </c>
    </row>
    <row r="141" spans="2:21" ht="17.25" customHeight="1">
      <c r="B141" s="2803"/>
      <c r="C141" s="2802"/>
      <c r="D141" s="2802"/>
      <c r="E141" s="2802"/>
      <c r="F141" s="2802"/>
      <c r="G141" s="2807"/>
      <c r="H141" s="2807"/>
      <c r="I141" s="2807"/>
      <c r="J141" s="2783">
        <f t="shared" si="7"/>
        <v>0</v>
      </c>
      <c r="K141" s="2783"/>
      <c r="L141" s="2784">
        <f t="shared" si="8"/>
        <v>0</v>
      </c>
      <c r="M141" s="2784"/>
      <c r="N141" s="2784"/>
      <c r="O141" s="2783">
        <f t="shared" si="9"/>
        <v>0</v>
      </c>
      <c r="P141" s="2799"/>
      <c r="R141" s="1947">
        <f t="shared" si="4"/>
        <v>0</v>
      </c>
      <c r="S141" s="1948">
        <f t="shared" si="5"/>
        <v>0</v>
      </c>
      <c r="T141" s="1948">
        <f t="shared" si="6"/>
        <v>0</v>
      </c>
    </row>
    <row r="142" spans="2:21" ht="17.25" customHeight="1">
      <c r="B142" s="2803"/>
      <c r="C142" s="2802"/>
      <c r="D142" s="2802"/>
      <c r="E142" s="2802"/>
      <c r="F142" s="2802"/>
      <c r="G142" s="2807"/>
      <c r="H142" s="2807"/>
      <c r="I142" s="2807"/>
      <c r="J142" s="2783">
        <f t="shared" si="7"/>
        <v>0</v>
      </c>
      <c r="K142" s="2783"/>
      <c r="L142" s="2784">
        <f t="shared" si="8"/>
        <v>0</v>
      </c>
      <c r="M142" s="2784"/>
      <c r="N142" s="2784"/>
      <c r="O142" s="2783">
        <f t="shared" si="9"/>
        <v>0</v>
      </c>
      <c r="P142" s="2799"/>
      <c r="R142" s="1947">
        <f t="shared" si="4"/>
        <v>0</v>
      </c>
      <c r="S142" s="1948">
        <f t="shared" si="5"/>
        <v>0</v>
      </c>
      <c r="T142" s="1948">
        <f t="shared" si="6"/>
        <v>0</v>
      </c>
    </row>
    <row r="143" spans="2:21" ht="17.25" customHeight="1">
      <c r="B143" s="2803"/>
      <c r="C143" s="2802"/>
      <c r="D143" s="2802"/>
      <c r="E143" s="2802"/>
      <c r="F143" s="2802"/>
      <c r="G143" s="2807"/>
      <c r="H143" s="2807"/>
      <c r="I143" s="2807"/>
      <c r="J143" s="2783">
        <f t="shared" si="7"/>
        <v>0</v>
      </c>
      <c r="K143" s="2783"/>
      <c r="L143" s="2784">
        <f t="shared" si="8"/>
        <v>0</v>
      </c>
      <c r="M143" s="2784"/>
      <c r="N143" s="2784"/>
      <c r="O143" s="2783">
        <f t="shared" si="9"/>
        <v>0</v>
      </c>
      <c r="P143" s="2799"/>
      <c r="R143" s="1947">
        <f t="shared" si="4"/>
        <v>0</v>
      </c>
      <c r="S143" s="1948">
        <f t="shared" si="5"/>
        <v>0</v>
      </c>
      <c r="T143" s="1948">
        <f t="shared" si="6"/>
        <v>0</v>
      </c>
    </row>
    <row r="144" spans="2:21" ht="17.25" customHeight="1">
      <c r="B144" s="2803"/>
      <c r="C144" s="2802"/>
      <c r="D144" s="2802"/>
      <c r="E144" s="2802"/>
      <c r="F144" s="2802"/>
      <c r="G144" s="2807"/>
      <c r="H144" s="2807"/>
      <c r="I144" s="2807"/>
      <c r="J144" s="2783">
        <f t="shared" si="7"/>
        <v>0</v>
      </c>
      <c r="K144" s="2783"/>
      <c r="L144" s="2784">
        <f t="shared" si="8"/>
        <v>0</v>
      </c>
      <c r="M144" s="2784"/>
      <c r="N144" s="2784"/>
      <c r="O144" s="2783">
        <f t="shared" si="9"/>
        <v>0</v>
      </c>
      <c r="P144" s="2799"/>
      <c r="R144" s="1947">
        <f t="shared" si="4"/>
        <v>0</v>
      </c>
      <c r="S144" s="1948">
        <f t="shared" si="5"/>
        <v>0</v>
      </c>
      <c r="T144" s="1948">
        <f t="shared" si="6"/>
        <v>0</v>
      </c>
    </row>
    <row r="145" spans="2:20" ht="17.25" customHeight="1">
      <c r="B145" s="2803"/>
      <c r="C145" s="2802"/>
      <c r="D145" s="2802"/>
      <c r="E145" s="2802"/>
      <c r="F145" s="2802"/>
      <c r="G145" s="2807"/>
      <c r="H145" s="2807"/>
      <c r="I145" s="2807"/>
      <c r="J145" s="2783">
        <f t="shared" si="7"/>
        <v>0</v>
      </c>
      <c r="K145" s="2783"/>
      <c r="L145" s="2784">
        <f t="shared" si="8"/>
        <v>0</v>
      </c>
      <c r="M145" s="2784"/>
      <c r="N145" s="2784"/>
      <c r="O145" s="2783">
        <f t="shared" si="9"/>
        <v>0</v>
      </c>
      <c r="P145" s="2799"/>
      <c r="R145" s="1947">
        <f t="shared" si="4"/>
        <v>0</v>
      </c>
      <c r="S145" s="1948">
        <f t="shared" si="5"/>
        <v>0</v>
      </c>
      <c r="T145" s="1948">
        <f t="shared" si="6"/>
        <v>0</v>
      </c>
    </row>
    <row r="146" spans="2:20" ht="17.25" customHeight="1">
      <c r="B146" s="2803"/>
      <c r="C146" s="2802"/>
      <c r="D146" s="2802"/>
      <c r="E146" s="2802"/>
      <c r="F146" s="2802"/>
      <c r="G146" s="2807"/>
      <c r="H146" s="2807"/>
      <c r="I146" s="2807"/>
      <c r="J146" s="2783">
        <f t="shared" si="7"/>
        <v>0</v>
      </c>
      <c r="K146" s="2783"/>
      <c r="L146" s="2784">
        <f t="shared" si="8"/>
        <v>0</v>
      </c>
      <c r="M146" s="2784"/>
      <c r="N146" s="2784"/>
      <c r="O146" s="2783">
        <f t="shared" si="9"/>
        <v>0</v>
      </c>
      <c r="P146" s="2799"/>
      <c r="R146" s="1947">
        <f t="shared" si="4"/>
        <v>0</v>
      </c>
      <c r="S146" s="1948">
        <f t="shared" si="5"/>
        <v>0</v>
      </c>
      <c r="T146" s="1948">
        <f t="shared" si="6"/>
        <v>0</v>
      </c>
    </row>
    <row r="147" spans="2:20" ht="17.25" customHeight="1">
      <c r="B147" s="2803"/>
      <c r="C147" s="2802"/>
      <c r="D147" s="2802"/>
      <c r="E147" s="2802"/>
      <c r="F147" s="2802"/>
      <c r="G147" s="2807"/>
      <c r="H147" s="2807"/>
      <c r="I147" s="2807"/>
      <c r="J147" s="2783">
        <f t="shared" si="7"/>
        <v>0</v>
      </c>
      <c r="K147" s="2783"/>
      <c r="L147" s="2784">
        <f t="shared" si="8"/>
        <v>0</v>
      </c>
      <c r="M147" s="2784"/>
      <c r="N147" s="2784"/>
      <c r="O147" s="2783">
        <f t="shared" si="9"/>
        <v>0</v>
      </c>
      <c r="P147" s="2799"/>
      <c r="R147" s="1947">
        <f t="shared" si="4"/>
        <v>0</v>
      </c>
      <c r="S147" s="1948">
        <f t="shared" si="5"/>
        <v>0</v>
      </c>
      <c r="T147" s="1948">
        <f t="shared" si="6"/>
        <v>0</v>
      </c>
    </row>
    <row r="148" spans="2:20" ht="17.25" customHeight="1">
      <c r="B148" s="2803"/>
      <c r="C148" s="2802"/>
      <c r="D148" s="2802"/>
      <c r="E148" s="2802"/>
      <c r="F148" s="2802"/>
      <c r="G148" s="2807"/>
      <c r="H148" s="2807"/>
      <c r="I148" s="2807"/>
      <c r="J148" s="2783">
        <f t="shared" si="7"/>
        <v>0</v>
      </c>
      <c r="K148" s="2783"/>
      <c r="L148" s="2784">
        <f t="shared" si="8"/>
        <v>0</v>
      </c>
      <c r="M148" s="2784"/>
      <c r="N148" s="2784"/>
      <c r="O148" s="2783">
        <f t="shared" si="9"/>
        <v>0</v>
      </c>
      <c r="P148" s="2799"/>
      <c r="R148" s="1947">
        <f t="shared" si="4"/>
        <v>0</v>
      </c>
      <c r="S148" s="1948">
        <f t="shared" si="5"/>
        <v>0</v>
      </c>
      <c r="T148" s="1948">
        <f t="shared" si="6"/>
        <v>0</v>
      </c>
    </row>
    <row r="149" spans="2:20" ht="17.25" customHeight="1">
      <c r="B149" s="2803"/>
      <c r="C149" s="2802"/>
      <c r="D149" s="2802"/>
      <c r="E149" s="2802"/>
      <c r="F149" s="2802"/>
      <c r="G149" s="2807"/>
      <c r="H149" s="2807"/>
      <c r="I149" s="2807"/>
      <c r="J149" s="2783">
        <f t="shared" si="7"/>
        <v>0</v>
      </c>
      <c r="K149" s="2783"/>
      <c r="L149" s="2784">
        <f t="shared" si="8"/>
        <v>0</v>
      </c>
      <c r="M149" s="2784"/>
      <c r="N149" s="2784"/>
      <c r="O149" s="2783">
        <f t="shared" si="9"/>
        <v>0</v>
      </c>
      <c r="P149" s="2799"/>
      <c r="R149" s="1947">
        <f t="shared" si="4"/>
        <v>0</v>
      </c>
      <c r="S149" s="1948">
        <f t="shared" si="5"/>
        <v>0</v>
      </c>
      <c r="T149" s="1948">
        <f t="shared" si="6"/>
        <v>0</v>
      </c>
    </row>
    <row r="150" spans="2:20" ht="17.25" customHeight="1">
      <c r="B150" s="2803"/>
      <c r="C150" s="2802"/>
      <c r="D150" s="2802"/>
      <c r="E150" s="2802"/>
      <c r="F150" s="2802"/>
      <c r="G150" s="2807"/>
      <c r="H150" s="2807"/>
      <c r="I150" s="2807"/>
      <c r="J150" s="2783">
        <f t="shared" si="7"/>
        <v>0</v>
      </c>
      <c r="K150" s="2783"/>
      <c r="L150" s="2784">
        <f t="shared" si="8"/>
        <v>0</v>
      </c>
      <c r="M150" s="2784"/>
      <c r="N150" s="2784"/>
      <c r="O150" s="2783">
        <f t="shared" si="9"/>
        <v>0</v>
      </c>
      <c r="P150" s="2799"/>
      <c r="R150" s="1947">
        <f t="shared" si="4"/>
        <v>0</v>
      </c>
      <c r="S150" s="1948">
        <f t="shared" si="5"/>
        <v>0</v>
      </c>
      <c r="T150" s="1948">
        <f t="shared" si="6"/>
        <v>0</v>
      </c>
    </row>
    <row r="151" spans="2:20" ht="17.25" customHeight="1">
      <c r="B151" s="2803"/>
      <c r="C151" s="2802"/>
      <c r="D151" s="2802"/>
      <c r="E151" s="2802"/>
      <c r="F151" s="2802"/>
      <c r="G151" s="2807"/>
      <c r="H151" s="2807"/>
      <c r="I151" s="2807"/>
      <c r="J151" s="2783">
        <f t="shared" si="7"/>
        <v>0</v>
      </c>
      <c r="K151" s="2783"/>
      <c r="L151" s="2784">
        <f t="shared" si="8"/>
        <v>0</v>
      </c>
      <c r="M151" s="2784"/>
      <c r="N151" s="2784"/>
      <c r="O151" s="2783">
        <f t="shared" si="9"/>
        <v>0</v>
      </c>
      <c r="P151" s="2799"/>
      <c r="R151" s="1947">
        <f t="shared" si="4"/>
        <v>0</v>
      </c>
      <c r="S151" s="1948">
        <f t="shared" si="5"/>
        <v>0</v>
      </c>
      <c r="T151" s="1948">
        <f t="shared" si="6"/>
        <v>0</v>
      </c>
    </row>
    <row r="152" spans="2:20" ht="17.25" customHeight="1">
      <c r="B152" s="2803"/>
      <c r="C152" s="2802"/>
      <c r="D152" s="2802"/>
      <c r="E152" s="2802"/>
      <c r="F152" s="2802"/>
      <c r="G152" s="2807"/>
      <c r="H152" s="2807"/>
      <c r="I152" s="2807"/>
      <c r="J152" s="2783">
        <f t="shared" si="7"/>
        <v>0</v>
      </c>
      <c r="K152" s="2783"/>
      <c r="L152" s="2784">
        <f t="shared" si="8"/>
        <v>0</v>
      </c>
      <c r="M152" s="2784"/>
      <c r="N152" s="2784"/>
      <c r="O152" s="2783">
        <f t="shared" si="9"/>
        <v>0</v>
      </c>
      <c r="P152" s="2799"/>
      <c r="R152" s="1947">
        <f t="shared" si="4"/>
        <v>0</v>
      </c>
      <c r="S152" s="1948">
        <f t="shared" si="5"/>
        <v>0</v>
      </c>
      <c r="T152" s="1948">
        <f t="shared" si="6"/>
        <v>0</v>
      </c>
    </row>
    <row r="153" spans="2:20" ht="17.25" customHeight="1">
      <c r="B153" s="2803"/>
      <c r="C153" s="2802"/>
      <c r="D153" s="2802"/>
      <c r="E153" s="2802"/>
      <c r="F153" s="2802"/>
      <c r="G153" s="2807"/>
      <c r="H153" s="2807"/>
      <c r="I153" s="2807"/>
      <c r="J153" s="2783">
        <f t="shared" si="7"/>
        <v>0</v>
      </c>
      <c r="K153" s="2783"/>
      <c r="L153" s="2784">
        <f t="shared" si="8"/>
        <v>0</v>
      </c>
      <c r="M153" s="2784"/>
      <c r="N153" s="2784"/>
      <c r="O153" s="2783">
        <f t="shared" si="9"/>
        <v>0</v>
      </c>
      <c r="P153" s="2799"/>
      <c r="R153" s="1947">
        <f t="shared" si="4"/>
        <v>0</v>
      </c>
      <c r="S153" s="1948">
        <f t="shared" si="5"/>
        <v>0</v>
      </c>
      <c r="T153" s="1948">
        <f t="shared" si="6"/>
        <v>0</v>
      </c>
    </row>
    <row r="154" spans="2:20" ht="17.25" customHeight="1" thickBot="1">
      <c r="B154" s="2821"/>
      <c r="C154" s="2822"/>
      <c r="D154" s="2822"/>
      <c r="E154" s="2822"/>
      <c r="F154" s="2822"/>
      <c r="G154" s="2823"/>
      <c r="H154" s="2823"/>
      <c r="I154" s="2823"/>
      <c r="J154" s="2824">
        <f t="shared" si="7"/>
        <v>0</v>
      </c>
      <c r="K154" s="2824"/>
      <c r="L154" s="2825">
        <f t="shared" si="8"/>
        <v>0</v>
      </c>
      <c r="M154" s="2825"/>
      <c r="N154" s="2825"/>
      <c r="O154" s="2824">
        <f t="shared" si="9"/>
        <v>0</v>
      </c>
      <c r="P154" s="2826"/>
      <c r="R154" s="1947">
        <f t="shared" si="4"/>
        <v>0</v>
      </c>
      <c r="S154" s="1948">
        <f t="shared" si="5"/>
        <v>0</v>
      </c>
      <c r="T154" s="1948">
        <f t="shared" si="6"/>
        <v>0</v>
      </c>
    </row>
    <row r="155" spans="2:20" ht="20.25" customHeight="1">
      <c r="B155" s="2808" t="s">
        <v>16851</v>
      </c>
      <c r="C155" s="2809"/>
      <c r="D155" s="2812" t="str">
        <f>"Valor da Medição N.º  "&amp;T157&amp;" em comparação com a Planilha Resumo Medição está "</f>
        <v xml:space="preserve">Valor da Medição N.º  6 em comparação com a Planilha Resumo Medição está </v>
      </c>
      <c r="E155" s="2813"/>
      <c r="F155" s="2813"/>
      <c r="G155" s="2813"/>
      <c r="H155" s="2813"/>
      <c r="I155" s="2813"/>
      <c r="J155" s="2813"/>
      <c r="K155" s="2813"/>
      <c r="L155" s="2813"/>
      <c r="M155" s="2813"/>
      <c r="N155" s="2814"/>
      <c r="O155" s="2814"/>
      <c r="P155" s="2815"/>
      <c r="R155" s="2816" t="s">
        <v>16852</v>
      </c>
      <c r="S155" s="2816"/>
      <c r="T155" s="1950" t="s">
        <v>16848</v>
      </c>
    </row>
    <row r="156" spans="2:20" ht="20.25" customHeight="1" thickBot="1">
      <c r="B156" s="2810"/>
      <c r="C156" s="2811"/>
      <c r="D156" s="2817" t="s">
        <v>16853</v>
      </c>
      <c r="E156" s="2818"/>
      <c r="F156" s="2818"/>
      <c r="G156" s="2818"/>
      <c r="H156" s="2818"/>
      <c r="I156" s="2818"/>
      <c r="J156" s="2818"/>
      <c r="K156" s="2818"/>
      <c r="L156" s="2818"/>
      <c r="M156" s="2818"/>
      <c r="N156" s="2819"/>
      <c r="O156" s="2819"/>
      <c r="P156" s="2820"/>
      <c r="R156" s="1950" t="s">
        <v>16854</v>
      </c>
      <c r="S156" s="1950" t="s">
        <v>16855</v>
      </c>
      <c r="T156" s="1950" t="s">
        <v>16820</v>
      </c>
    </row>
    <row r="157" spans="2:20" ht="17.25" customHeight="1" thickBot="1">
      <c r="R157" s="1951">
        <f>TRUNC(VLOOKUP(T157,R125:T154,2,FALSE),2)</f>
        <v>12069.06</v>
      </c>
      <c r="S157" s="1951">
        <f>TRUNC(VLOOKUP(T157,R125:T154,3,FALSE),2)</f>
        <v>564553.16</v>
      </c>
      <c r="T157" s="1952">
        <f>G72</f>
        <v>6</v>
      </c>
    </row>
    <row r="158" spans="2:20" ht="17.25" customHeight="1" thickTop="1">
      <c r="B158" s="1953" t="s">
        <v>16856</v>
      </c>
      <c r="C158" s="1954"/>
      <c r="D158" s="1954"/>
      <c r="E158" s="1954"/>
      <c r="F158" s="1954"/>
      <c r="G158" s="1954"/>
      <c r="H158" s="1954"/>
      <c r="I158" s="1954"/>
      <c r="J158" s="1954"/>
      <c r="K158" s="1954"/>
      <c r="L158" s="1954"/>
      <c r="M158" s="1954"/>
      <c r="N158" s="1954"/>
      <c r="O158" s="1954"/>
      <c r="P158" s="1955"/>
      <c r="R158" s="1902"/>
      <c r="S158" s="1902"/>
    </row>
    <row r="159" spans="2:20" ht="17.25" customHeight="1">
      <c r="B159" s="1956"/>
      <c r="C159" s="1957" t="s">
        <v>16857</v>
      </c>
      <c r="D159" s="1958"/>
      <c r="E159" s="1958"/>
      <c r="F159" s="1958"/>
      <c r="G159" s="1958"/>
      <c r="H159" s="1958"/>
      <c r="I159" s="1958"/>
      <c r="J159" s="1958"/>
      <c r="K159" s="1958"/>
      <c r="L159" s="1958"/>
      <c r="M159" s="1958"/>
      <c r="N159" s="1958"/>
      <c r="O159" s="1958"/>
      <c r="P159" s="1959"/>
    </row>
    <row r="160" spans="2:20" ht="17.25" customHeight="1" thickBot="1">
      <c r="B160" s="1960"/>
      <c r="C160" s="1961" t="s">
        <v>16858</v>
      </c>
      <c r="D160" s="1962"/>
      <c r="E160" s="1962"/>
      <c r="F160" s="1962"/>
      <c r="G160" s="1962"/>
      <c r="H160" s="1962"/>
      <c r="I160" s="1962"/>
      <c r="J160" s="1962"/>
      <c r="K160" s="1962"/>
      <c r="L160" s="1962"/>
      <c r="M160" s="1962"/>
      <c r="N160" s="1962"/>
      <c r="O160" s="1962"/>
      <c r="P160" s="1963"/>
      <c r="S160" s="1964">
        <f>L109-S157</f>
        <v>12848238.890000001</v>
      </c>
    </row>
    <row r="161" spans="19:19" ht="17.25" customHeight="1" thickTop="1">
      <c r="S161" s="1898">
        <v>14.58</v>
      </c>
    </row>
  </sheetData>
  <mergeCells count="460">
    <mergeCell ref="B155:C156"/>
    <mergeCell ref="D155:M155"/>
    <mergeCell ref="N155:P155"/>
    <mergeCell ref="R155:S155"/>
    <mergeCell ref="D156:M156"/>
    <mergeCell ref="N156:P156"/>
    <mergeCell ref="B154:D154"/>
    <mergeCell ref="E154:F154"/>
    <mergeCell ref="G154:I154"/>
    <mergeCell ref="J154:K154"/>
    <mergeCell ref="L154:N154"/>
    <mergeCell ref="O154:P154"/>
    <mergeCell ref="B153:D153"/>
    <mergeCell ref="E153:F153"/>
    <mergeCell ref="G153:I153"/>
    <mergeCell ref="J153:K153"/>
    <mergeCell ref="L153:N153"/>
    <mergeCell ref="O153:P153"/>
    <mergeCell ref="B152:D152"/>
    <mergeCell ref="E152:F152"/>
    <mergeCell ref="G152:I152"/>
    <mergeCell ref="J152:K152"/>
    <mergeCell ref="L152:N152"/>
    <mergeCell ref="O152:P152"/>
    <mergeCell ref="B151:D151"/>
    <mergeCell ref="E151:F151"/>
    <mergeCell ref="G151:I151"/>
    <mergeCell ref="J151:K151"/>
    <mergeCell ref="L151:N151"/>
    <mergeCell ref="O151:P151"/>
    <mergeCell ref="B150:D150"/>
    <mergeCell ref="E150:F150"/>
    <mergeCell ref="G150:I150"/>
    <mergeCell ref="J150:K150"/>
    <mergeCell ref="L150:N150"/>
    <mergeCell ref="O150:P150"/>
    <mergeCell ref="B149:D149"/>
    <mergeCell ref="E149:F149"/>
    <mergeCell ref="G149:I149"/>
    <mergeCell ref="J149:K149"/>
    <mergeCell ref="L149:N149"/>
    <mergeCell ref="O149:P149"/>
    <mergeCell ref="B148:D148"/>
    <mergeCell ref="E148:F148"/>
    <mergeCell ref="G148:I148"/>
    <mergeCell ref="J148:K148"/>
    <mergeCell ref="L148:N148"/>
    <mergeCell ref="O148:P148"/>
    <mergeCell ref="B147:D147"/>
    <mergeCell ref="E147:F147"/>
    <mergeCell ref="G147:I147"/>
    <mergeCell ref="J147:K147"/>
    <mergeCell ref="L147:N147"/>
    <mergeCell ref="O147:P147"/>
    <mergeCell ref="B146:D146"/>
    <mergeCell ref="E146:F146"/>
    <mergeCell ref="G146:I146"/>
    <mergeCell ref="J146:K146"/>
    <mergeCell ref="L146:N146"/>
    <mergeCell ref="O146:P146"/>
    <mergeCell ref="B145:D145"/>
    <mergeCell ref="E145:F145"/>
    <mergeCell ref="G145:I145"/>
    <mergeCell ref="J145:K145"/>
    <mergeCell ref="L145:N145"/>
    <mergeCell ref="O145:P145"/>
    <mergeCell ref="B144:D144"/>
    <mergeCell ref="E144:F144"/>
    <mergeCell ref="G144:I144"/>
    <mergeCell ref="J144:K144"/>
    <mergeCell ref="L144:N144"/>
    <mergeCell ref="O144:P144"/>
    <mergeCell ref="B143:D143"/>
    <mergeCell ref="E143:F143"/>
    <mergeCell ref="G143:I143"/>
    <mergeCell ref="J143:K143"/>
    <mergeCell ref="L143:N143"/>
    <mergeCell ref="O143:P143"/>
    <mergeCell ref="B142:D142"/>
    <mergeCell ref="E142:F142"/>
    <mergeCell ref="G142:I142"/>
    <mergeCell ref="J142:K142"/>
    <mergeCell ref="L142:N142"/>
    <mergeCell ref="O142:P142"/>
    <mergeCell ref="B141:D141"/>
    <mergeCell ref="E141:F141"/>
    <mergeCell ref="G141:I141"/>
    <mergeCell ref="J141:K141"/>
    <mergeCell ref="L141:N141"/>
    <mergeCell ref="O141:P141"/>
    <mergeCell ref="B140:D140"/>
    <mergeCell ref="E140:F140"/>
    <mergeCell ref="G140:I140"/>
    <mergeCell ref="J140:K140"/>
    <mergeCell ref="L140:N140"/>
    <mergeCell ref="O140:P140"/>
    <mergeCell ref="B139:D139"/>
    <mergeCell ref="E139:F139"/>
    <mergeCell ref="G139:I139"/>
    <mergeCell ref="J139:K139"/>
    <mergeCell ref="L139:N139"/>
    <mergeCell ref="O139:P139"/>
    <mergeCell ref="B138:D138"/>
    <mergeCell ref="E138:F138"/>
    <mergeCell ref="G138:I138"/>
    <mergeCell ref="J138:K138"/>
    <mergeCell ref="L138:N138"/>
    <mergeCell ref="O138:P138"/>
    <mergeCell ref="B137:D137"/>
    <mergeCell ref="E137:F137"/>
    <mergeCell ref="G137:I137"/>
    <mergeCell ref="J137:K137"/>
    <mergeCell ref="L137:N137"/>
    <mergeCell ref="O137:P137"/>
    <mergeCell ref="B136:D136"/>
    <mergeCell ref="E136:F136"/>
    <mergeCell ref="G136:I136"/>
    <mergeCell ref="J136:K136"/>
    <mergeCell ref="L136:N136"/>
    <mergeCell ref="O136:P136"/>
    <mergeCell ref="B135:D135"/>
    <mergeCell ref="E135:F135"/>
    <mergeCell ref="G135:I135"/>
    <mergeCell ref="J135:K135"/>
    <mergeCell ref="L135:N135"/>
    <mergeCell ref="O135:P135"/>
    <mergeCell ref="B134:D134"/>
    <mergeCell ref="E134:F134"/>
    <mergeCell ref="G134:I134"/>
    <mergeCell ref="J134:K134"/>
    <mergeCell ref="L134:N134"/>
    <mergeCell ref="O134:P134"/>
    <mergeCell ref="B133:D133"/>
    <mergeCell ref="E133:F133"/>
    <mergeCell ref="G133:I133"/>
    <mergeCell ref="J133:K133"/>
    <mergeCell ref="L133:N133"/>
    <mergeCell ref="O133:P133"/>
    <mergeCell ref="B132:D132"/>
    <mergeCell ref="E132:F132"/>
    <mergeCell ref="G132:I132"/>
    <mergeCell ref="J132:K132"/>
    <mergeCell ref="L132:N132"/>
    <mergeCell ref="O132:P132"/>
    <mergeCell ref="B131:D131"/>
    <mergeCell ref="E131:F131"/>
    <mergeCell ref="G131:I131"/>
    <mergeCell ref="J131:K131"/>
    <mergeCell ref="L131:N131"/>
    <mergeCell ref="O131:P131"/>
    <mergeCell ref="B130:D130"/>
    <mergeCell ref="E130:F130"/>
    <mergeCell ref="G130:I130"/>
    <mergeCell ref="J130:K130"/>
    <mergeCell ref="L130:N130"/>
    <mergeCell ref="O130:P130"/>
    <mergeCell ref="B129:D129"/>
    <mergeCell ref="E129:F129"/>
    <mergeCell ref="G129:I129"/>
    <mergeCell ref="J129:K129"/>
    <mergeCell ref="L129:N129"/>
    <mergeCell ref="O129:P129"/>
    <mergeCell ref="B128:D128"/>
    <mergeCell ref="E128:F128"/>
    <mergeCell ref="G128:I128"/>
    <mergeCell ref="J128:K128"/>
    <mergeCell ref="L128:N128"/>
    <mergeCell ref="O128:P128"/>
    <mergeCell ref="B127:D127"/>
    <mergeCell ref="E127:F127"/>
    <mergeCell ref="G127:I127"/>
    <mergeCell ref="J127:K127"/>
    <mergeCell ref="L127:N127"/>
    <mergeCell ref="O127:P127"/>
    <mergeCell ref="B126:D126"/>
    <mergeCell ref="E126:F126"/>
    <mergeCell ref="G126:I126"/>
    <mergeCell ref="J126:K126"/>
    <mergeCell ref="L126:N126"/>
    <mergeCell ref="O126:P126"/>
    <mergeCell ref="O124:P124"/>
    <mergeCell ref="B125:D125"/>
    <mergeCell ref="E125:F125"/>
    <mergeCell ref="G125:I125"/>
    <mergeCell ref="J125:K125"/>
    <mergeCell ref="L125:N125"/>
    <mergeCell ref="O125:P125"/>
    <mergeCell ref="B120:P120"/>
    <mergeCell ref="B121:P121"/>
    <mergeCell ref="B122:P122"/>
    <mergeCell ref="B123:D124"/>
    <mergeCell ref="E123:F124"/>
    <mergeCell ref="G123:K123"/>
    <mergeCell ref="L123:P123"/>
    <mergeCell ref="G124:I124"/>
    <mergeCell ref="J124:K124"/>
    <mergeCell ref="L124:N124"/>
    <mergeCell ref="B118:D118"/>
    <mergeCell ref="E118:K118"/>
    <mergeCell ref="L118:N118"/>
    <mergeCell ref="O118:P118"/>
    <mergeCell ref="B119:D119"/>
    <mergeCell ref="E119:K119"/>
    <mergeCell ref="L119:N119"/>
    <mergeCell ref="B116:D116"/>
    <mergeCell ref="E116:K116"/>
    <mergeCell ref="L116:N116"/>
    <mergeCell ref="O116:P116"/>
    <mergeCell ref="B117:D117"/>
    <mergeCell ref="E117:K117"/>
    <mergeCell ref="L117:N117"/>
    <mergeCell ref="O117:P117"/>
    <mergeCell ref="B114:D114"/>
    <mergeCell ref="E114:K114"/>
    <mergeCell ref="L114:N114"/>
    <mergeCell ref="O114:P114"/>
    <mergeCell ref="B115:D115"/>
    <mergeCell ref="E115:K115"/>
    <mergeCell ref="L115:N115"/>
    <mergeCell ref="O115:P115"/>
    <mergeCell ref="B110:P110"/>
    <mergeCell ref="B111:P111"/>
    <mergeCell ref="B112:P112"/>
    <mergeCell ref="B113:D113"/>
    <mergeCell ref="L113:N113"/>
    <mergeCell ref="O113:P113"/>
    <mergeCell ref="B108:D108"/>
    <mergeCell ref="E108:K108"/>
    <mergeCell ref="L108:N108"/>
    <mergeCell ref="O108:P108"/>
    <mergeCell ref="B109:D109"/>
    <mergeCell ref="E109:K109"/>
    <mergeCell ref="L109:N109"/>
    <mergeCell ref="O109:P109"/>
    <mergeCell ref="B106:D106"/>
    <mergeCell ref="E106:K106"/>
    <mergeCell ref="L106:N106"/>
    <mergeCell ref="O106:P106"/>
    <mergeCell ref="B107:D107"/>
    <mergeCell ref="E107:K107"/>
    <mergeCell ref="L107:N107"/>
    <mergeCell ref="O107:P107"/>
    <mergeCell ref="B104:D104"/>
    <mergeCell ref="E104:K104"/>
    <mergeCell ref="L104:N104"/>
    <mergeCell ref="O104:P104"/>
    <mergeCell ref="B105:D105"/>
    <mergeCell ref="E105:K105"/>
    <mergeCell ref="L105:N105"/>
    <mergeCell ref="O105:P105"/>
    <mergeCell ref="I99:J99"/>
    <mergeCell ref="L99:M99"/>
    <mergeCell ref="N99:O99"/>
    <mergeCell ref="B102:P102"/>
    <mergeCell ref="B103:D103"/>
    <mergeCell ref="L103:N103"/>
    <mergeCell ref="O103:P103"/>
    <mergeCell ref="B98:C98"/>
    <mergeCell ref="D98:F98"/>
    <mergeCell ref="G98:H98"/>
    <mergeCell ref="I98:J98"/>
    <mergeCell ref="L98:M98"/>
    <mergeCell ref="N98:O98"/>
    <mergeCell ref="B97:C97"/>
    <mergeCell ref="D97:F97"/>
    <mergeCell ref="G97:H97"/>
    <mergeCell ref="I97:J97"/>
    <mergeCell ref="L97:M97"/>
    <mergeCell ref="N97:O97"/>
    <mergeCell ref="B96:C96"/>
    <mergeCell ref="D96:F96"/>
    <mergeCell ref="G96:H96"/>
    <mergeCell ref="I96:J96"/>
    <mergeCell ref="L96:M96"/>
    <mergeCell ref="N96:O96"/>
    <mergeCell ref="B95:C95"/>
    <mergeCell ref="D95:F95"/>
    <mergeCell ref="G95:H95"/>
    <mergeCell ref="I95:J95"/>
    <mergeCell ref="L95:M95"/>
    <mergeCell ref="N95:O95"/>
    <mergeCell ref="B94:C94"/>
    <mergeCell ref="D94:F94"/>
    <mergeCell ref="G94:H94"/>
    <mergeCell ref="I94:J94"/>
    <mergeCell ref="L94:M94"/>
    <mergeCell ref="N94:O94"/>
    <mergeCell ref="B93:C93"/>
    <mergeCell ref="D93:F93"/>
    <mergeCell ref="G93:H93"/>
    <mergeCell ref="I93:J93"/>
    <mergeCell ref="L93:M93"/>
    <mergeCell ref="N93:O93"/>
    <mergeCell ref="B92:C92"/>
    <mergeCell ref="D92:F92"/>
    <mergeCell ref="G92:H92"/>
    <mergeCell ref="I92:J92"/>
    <mergeCell ref="L92:M92"/>
    <mergeCell ref="N92:O92"/>
    <mergeCell ref="B91:C91"/>
    <mergeCell ref="D91:F91"/>
    <mergeCell ref="G91:H91"/>
    <mergeCell ref="I91:J91"/>
    <mergeCell ref="L91:M91"/>
    <mergeCell ref="N91:O91"/>
    <mergeCell ref="B90:C90"/>
    <mergeCell ref="D90:F90"/>
    <mergeCell ref="G90:H90"/>
    <mergeCell ref="I90:J90"/>
    <mergeCell ref="L90:M90"/>
    <mergeCell ref="N90:O90"/>
    <mergeCell ref="N88:O88"/>
    <mergeCell ref="B89:C89"/>
    <mergeCell ref="D89:F89"/>
    <mergeCell ref="G89:H89"/>
    <mergeCell ref="I89:J89"/>
    <mergeCell ref="L89:M89"/>
    <mergeCell ref="N89:O89"/>
    <mergeCell ref="B84:P84"/>
    <mergeCell ref="H85:P85"/>
    <mergeCell ref="B86:P86"/>
    <mergeCell ref="B87:C88"/>
    <mergeCell ref="D87:F88"/>
    <mergeCell ref="G87:H88"/>
    <mergeCell ref="I87:K87"/>
    <mergeCell ref="L87:P87"/>
    <mergeCell ref="I88:J88"/>
    <mergeCell ref="L88:M88"/>
    <mergeCell ref="B80:P80"/>
    <mergeCell ref="C81:G81"/>
    <mergeCell ref="H81:P81"/>
    <mergeCell ref="C82:G82"/>
    <mergeCell ref="H82:P82"/>
    <mergeCell ref="C83:G83"/>
    <mergeCell ref="H83:P83"/>
    <mergeCell ref="C76:F76"/>
    <mergeCell ref="G76:P76"/>
    <mergeCell ref="C77:F77"/>
    <mergeCell ref="G77:P77"/>
    <mergeCell ref="G78:P78"/>
    <mergeCell ref="G79:P79"/>
    <mergeCell ref="C73:F73"/>
    <mergeCell ref="G73:P73"/>
    <mergeCell ref="C74:F74"/>
    <mergeCell ref="G74:P74"/>
    <mergeCell ref="C75:F75"/>
    <mergeCell ref="G75:P75"/>
    <mergeCell ref="G68:P68"/>
    <mergeCell ref="G69:P69"/>
    <mergeCell ref="B70:P70"/>
    <mergeCell ref="C71:F71"/>
    <mergeCell ref="G71:P71"/>
    <mergeCell ref="C72:F72"/>
    <mergeCell ref="G72:P72"/>
    <mergeCell ref="D66:F66"/>
    <mergeCell ref="G66:P66"/>
    <mergeCell ref="D67:F67"/>
    <mergeCell ref="G67:H67"/>
    <mergeCell ref="I67:L67"/>
    <mergeCell ref="M67:P67"/>
    <mergeCell ref="C62:F62"/>
    <mergeCell ref="G62:P62"/>
    <mergeCell ref="C63:F63"/>
    <mergeCell ref="G63:P63"/>
    <mergeCell ref="G64:P64"/>
    <mergeCell ref="D65:F65"/>
    <mergeCell ref="G65:P65"/>
    <mergeCell ref="C59:F59"/>
    <mergeCell ref="G59:P59"/>
    <mergeCell ref="C60:F60"/>
    <mergeCell ref="G60:P60"/>
    <mergeCell ref="C61:F61"/>
    <mergeCell ref="G61:P61"/>
    <mergeCell ref="B54:P54"/>
    <mergeCell ref="B55:P55"/>
    <mergeCell ref="B56:P56"/>
    <mergeCell ref="C57:F57"/>
    <mergeCell ref="G57:P57"/>
    <mergeCell ref="C58:F58"/>
    <mergeCell ref="G58:P58"/>
    <mergeCell ref="G50:P50"/>
    <mergeCell ref="D51:F51"/>
    <mergeCell ref="G51:P51"/>
    <mergeCell ref="D52:F52"/>
    <mergeCell ref="G52:P52"/>
    <mergeCell ref="D53:F53"/>
    <mergeCell ref="G53:H53"/>
    <mergeCell ref="I53:L53"/>
    <mergeCell ref="M53:P53"/>
    <mergeCell ref="B45:P45"/>
    <mergeCell ref="B46:P46"/>
    <mergeCell ref="B47:P47"/>
    <mergeCell ref="C48:F48"/>
    <mergeCell ref="G48:P48"/>
    <mergeCell ref="C49:F49"/>
    <mergeCell ref="G49:P49"/>
    <mergeCell ref="C42:F42"/>
    <mergeCell ref="G42:P42"/>
    <mergeCell ref="C43:F43"/>
    <mergeCell ref="G43:P43"/>
    <mergeCell ref="C44:F44"/>
    <mergeCell ref="G44:P44"/>
    <mergeCell ref="C39:F39"/>
    <mergeCell ref="G39:P39"/>
    <mergeCell ref="C40:F40"/>
    <mergeCell ref="G40:P40"/>
    <mergeCell ref="C41:F41"/>
    <mergeCell ref="G41:P41"/>
    <mergeCell ref="C33:E34"/>
    <mergeCell ref="B35:P35"/>
    <mergeCell ref="B36:P36"/>
    <mergeCell ref="B37:P37"/>
    <mergeCell ref="C38:F38"/>
    <mergeCell ref="G38:P38"/>
    <mergeCell ref="B27:P27"/>
    <mergeCell ref="C28:E30"/>
    <mergeCell ref="F28:P30"/>
    <mergeCell ref="C31:E31"/>
    <mergeCell ref="F31:P31"/>
    <mergeCell ref="C32:E32"/>
    <mergeCell ref="F32:P32"/>
    <mergeCell ref="C24:E24"/>
    <mergeCell ref="F24:H24"/>
    <mergeCell ref="I24:L24"/>
    <mergeCell ref="M24:P24"/>
    <mergeCell ref="B25:P25"/>
    <mergeCell ref="B26:P26"/>
    <mergeCell ref="C21:E21"/>
    <mergeCell ref="F21:P21"/>
    <mergeCell ref="C22:E22"/>
    <mergeCell ref="F22:P22"/>
    <mergeCell ref="C23:E23"/>
    <mergeCell ref="F23:H23"/>
    <mergeCell ref="I23:L23"/>
    <mergeCell ref="M23:P23"/>
    <mergeCell ref="F17:P17"/>
    <mergeCell ref="B18:P18"/>
    <mergeCell ref="C19:E19"/>
    <mergeCell ref="F19:P19"/>
    <mergeCell ref="C20:E20"/>
    <mergeCell ref="F20:P20"/>
    <mergeCell ref="F14:P14"/>
    <mergeCell ref="C15:E15"/>
    <mergeCell ref="F15:P15"/>
    <mergeCell ref="F16:P16"/>
    <mergeCell ref="G6:P6"/>
    <mergeCell ref="G7:P7"/>
    <mergeCell ref="B8:P8"/>
    <mergeCell ref="F9:P9"/>
    <mergeCell ref="F10:P10"/>
    <mergeCell ref="F11:P11"/>
    <mergeCell ref="B1:P1"/>
    <mergeCell ref="B2:P2"/>
    <mergeCell ref="B3:P3"/>
    <mergeCell ref="C4:F4"/>
    <mergeCell ref="G4:P4"/>
    <mergeCell ref="C5:F5"/>
    <mergeCell ref="G5:P5"/>
    <mergeCell ref="F12:P12"/>
    <mergeCell ref="B13:P13"/>
  </mergeCells>
  <conditionalFormatting sqref="N155:P156">
    <cfRule type="cellIs" dxfId="15" priority="1" operator="equal">
      <formula>"Incoerente"</formula>
    </cfRule>
    <cfRule type="cellIs" dxfId="14" priority="2" operator="equal">
      <formula>"Coerente"</formula>
    </cfRule>
  </conditionalFormatting>
  <dataValidations count="27">
    <dataValidation type="list" allowBlank="1" showInputMessage="1" showErrorMessage="1" sqref="E125:F154" xr:uid="{E84ED3E4-0E0C-4FDE-9C8E-5A6CF69A50C7}">
      <formula1>$W$2:$W$13</formula1>
    </dataValidation>
    <dataValidation type="textLength" allowBlank="1" showInputMessage="1" showErrorMessage="1" error="Máximo de 20 caracteres" sqref="G43:P43" xr:uid="{C253FC97-0A71-499A-B322-855EE6F651C1}">
      <formula1>0</formula1>
      <formula2>20</formula2>
    </dataValidation>
    <dataValidation type="date" allowBlank="1" showInputMessage="1" showErrorMessage="1" sqref="G90:H93" xr:uid="{DEECECC7-1E26-4584-B67D-B9DCAE1E884D}">
      <formula1>#REF!</formula1>
      <formula2>55153</formula2>
    </dataValidation>
    <dataValidation type="list" allowBlank="1" showInputMessage="1" showErrorMessage="1" sqref="G40:P40" xr:uid="{3DB71A22-8BA3-44DA-8482-CABB96C1CA6D}">
      <formula1>$V$2:$V$25</formula1>
    </dataValidation>
    <dataValidation type="textLength" allowBlank="1" showInputMessage="1" showErrorMessage="1" prompt="Digite o nome do Secretário do Órgão/Secretária (Máximo 50 caracteres)" sqref="F21:P21" xr:uid="{01D91F61-4FC4-4F17-A8EF-3088DEEC59F3}">
      <formula1>0</formula1>
      <formula2>50</formula2>
    </dataValidation>
    <dataValidation type="textLength" allowBlank="1" showInputMessage="1" showErrorMessage="1" prompt="Digite a sigla do órgão/secretária" sqref="F15:P15 F10:P10 F20:P20" xr:uid="{137A6E4C-46EF-4DDB-87B7-36AAFC273D5A}">
      <formula1>0</formula1>
      <formula2>10</formula2>
    </dataValidation>
    <dataValidation type="textLength" allowBlank="1" showInputMessage="1" showErrorMessage="1" sqref="G65:P65 F22:P22 G51:P51" xr:uid="{849B1A0F-DF9A-4282-89F8-A9BCAF076B42}">
      <formula1>0</formula1>
      <formula2>50</formula2>
    </dataValidation>
    <dataValidation type="textLength" allowBlank="1" showInputMessage="1" showErrorMessage="1" error="Número máximo de caracteres: 68" sqref="G57:P57" xr:uid="{B39B3CB5-9AFB-42A0-B2BE-44C80129F105}">
      <formula1>0</formula1>
      <formula2>65</formula2>
    </dataValidation>
    <dataValidation type="list" allowBlank="1" showInputMessage="1" showErrorMessage="1" sqref="G52:P52 G66:P66" xr:uid="{959F4922-2CEC-439A-BE06-B51BE6F25736}">
      <formula1>$U$2:$U$21</formula1>
    </dataValidation>
    <dataValidation type="list" allowBlank="1" showInputMessage="1" showErrorMessage="1" sqref="F24 G53:H53 G67:H67" xr:uid="{58E870FE-D8E5-4114-93B6-414C4A01969D}">
      <formula1>$T$2:$T$19</formula1>
    </dataValidation>
    <dataValidation operator="equal" allowBlank="1" showInputMessage="1" showErrorMessage="1" sqref="I90:J90" xr:uid="{41DF3937-B550-44E1-85A0-8F4579DB77E2}"/>
    <dataValidation type="whole" allowBlank="1" showInputMessage="1" showErrorMessage="1" sqref="I89:J89 I91:J98" xr:uid="{40E667C7-10E9-412C-9364-AEA0AA249A7E}">
      <formula1>0</formula1>
      <formula2>2000</formula2>
    </dataValidation>
    <dataValidation type="list" allowBlank="1" showInputMessage="1" showErrorMessage="1" sqref="D89:F98" xr:uid="{34D704C9-7293-4003-A1EB-0726487E84AE}">
      <formula1>$S$2:$S$21</formula1>
    </dataValidation>
    <dataValidation type="whole" allowBlank="1" showInputMessage="1" showErrorMessage="1" error="Digite o número do Termo Aditivo - Sem Simbolos!" sqref="B89:C98" xr:uid="{0CAD45A5-979D-424E-8A93-F4AEC88BECE3}">
      <formula1>1</formula1>
      <formula2>10</formula2>
    </dataValidation>
    <dataValidation type="textLength" allowBlank="1" showInputMessage="1" showErrorMessage="1" error="O número máximo de caracteres permitidos: 40" sqref="G77:P77" xr:uid="{39E7A06E-4E5E-49C5-8543-63F2568B2C73}">
      <formula1>0</formula1>
      <formula2>40</formula2>
    </dataValidation>
    <dataValidation type="date" allowBlank="1" showInputMessage="1" showErrorMessage="1" sqref="G74:P74" xr:uid="{BF3D9EA0-5C0F-4A66-AD4C-360D25E79A11}">
      <formula1>18264</formula1>
      <formula2>55153</formula2>
    </dataValidation>
    <dataValidation type="whole" allowBlank="1" showInputMessage="1" showErrorMessage="1" prompt="Digite o número da Medição sem símbolos." sqref="G72:P72" xr:uid="{31C8BD7F-BE8B-4F5A-8C8C-DDBE8AA3CECD}">
      <formula1>0</formula1>
      <formula2>200</formula2>
    </dataValidation>
    <dataValidation type="whole" allowBlank="1" showInputMessage="1" showErrorMessage="1" prompt="Digite o número do CNPJ sem pontos e/ou simbolos." sqref="G49:P49 G58:P58" xr:uid="{50DF58A5-4C56-449D-B91A-76540F3130F3}">
      <formula1>0</formula1>
      <formula2>99999999999999</formula2>
    </dataValidation>
    <dataValidation type="textLength" allowBlank="1" showInputMessage="1" showErrorMessage="1" error="Número máximo de caracteres: 68" sqref="G48:P48" xr:uid="{C4A20238-DEC6-4860-93AD-2565C765BE21}">
      <formula1>0</formula1>
      <formula2>60</formula2>
    </dataValidation>
    <dataValidation type="list" allowBlank="1" showInputMessage="1" showErrorMessage="1" sqref="G71:P71" xr:uid="{3B4E440F-ADAA-4BBF-8CF9-4404E28AE85C}">
      <formula1>$R$2:$R$18</formula1>
    </dataValidation>
    <dataValidation allowBlank="1" showInputMessage="1" showErrorMessage="1" error="Número máximo de caracteres: 340" sqref="F28:P30" xr:uid="{4A42CF43-9133-42C2-9228-7C34CE7E6ABA}"/>
    <dataValidation type="textLength" allowBlank="1" showInputMessage="1" showErrorMessage="1" error="Número máximo de caracteres: 60" prompt="Digite, por extenso, o nome do órgão ou secretária" sqref="F14:P14 F9:P9 F19:P19" xr:uid="{F6151176-D6D0-4676-84CD-3FA77D9427DD}">
      <formula1>1</formula1>
      <formula2>60</formula2>
    </dataValidation>
    <dataValidation type="date" allowBlank="1" showInputMessage="1" showErrorMessage="1" sqref="G94:H98" xr:uid="{BBFAEE7C-5FCE-4715-9079-BC7B9664EB24}">
      <formula1>G44</formula1>
      <formula2>55153</formula2>
    </dataValidation>
    <dataValidation type="date" allowBlank="1" showInputMessage="1" showErrorMessage="1" sqref="G89:H89" xr:uid="{017321DE-8ED1-42DB-9C41-F4AC6F7CB9B5}">
      <formula1>G42</formula1>
      <formula2>55153</formula2>
    </dataValidation>
    <dataValidation type="date" allowBlank="1" showInputMessage="1" showErrorMessage="1" error="A data da Assinatura da Medição tem que ser posterior ao da Data Final da Medição!" sqref="G76:P76" xr:uid="{5AD4AAEC-785F-4B47-B6C9-86020DECE4B9}">
      <formula1>G75</formula1>
      <formula2>55153</formula2>
    </dataValidation>
    <dataValidation type="date" allowBlank="1" showInputMessage="1" showErrorMessage="1" error="A data Final da Medição tem que ser posterior ao Início do Período de Medição e a quantidade de dias entre o Início e o Final da Medição tem que ser igual ou inferior a 31 dias." sqref="G75:P75" xr:uid="{F07B1EEB-B258-4B4C-904B-BDFFD0B39A11}">
      <formula1>G74</formula1>
      <formula2>G74+30</formula2>
    </dataValidation>
    <dataValidation type="date" allowBlank="1" showInputMessage="1" showErrorMessage="1" error="A data da Ordem de Serviço tem que ser igual ou superior a data de assinatura do Contrato, ou o formato da data inserida não é valido." prompt="Informe a data da O.S. (Ordem de Serviço)" sqref="G44:P44" xr:uid="{0E8ED6C6-9781-4549-87AE-B17A4C8D84B6}">
      <formula1>G42</formula1>
      <formula2>55153</formula2>
    </dataValidation>
  </dataValidations>
  <printOptions horizontalCentered="1"/>
  <pageMargins left="0.39370078740157483" right="0.39370078740157483" top="0.78740157480314965" bottom="0.78740157480314965" header="0.31496062992125984" footer="0.31496062992125984"/>
  <pageSetup paperSize="9" scale="70" orientation="portrait" r:id="rId1"/>
  <rowBreaks count="2" manualBreakCount="2">
    <brk id="55" max="16383" man="1"/>
    <brk id="11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5D5D2-7C37-4A4A-89EC-9C76B14098EA}">
  <sheetPr>
    <pageSetUpPr fitToPage="1"/>
  </sheetPr>
  <dimension ref="B1:S83"/>
  <sheetViews>
    <sheetView tabSelected="1" topLeftCell="A13" workbookViewId="0">
      <selection activeCell="L39" sqref="L39"/>
    </sheetView>
  </sheetViews>
  <sheetFormatPr defaultColWidth="9.140625" defaultRowHeight="12.75"/>
  <cols>
    <col min="1" max="1" width="10.5703125" style="1966" customWidth="1"/>
    <col min="2" max="2" width="3.7109375" style="1965" customWidth="1"/>
    <col min="3" max="3" width="2.7109375" style="1965" customWidth="1"/>
    <col min="4" max="4" width="8.7109375" style="1965" customWidth="1"/>
    <col min="5" max="9" width="6.7109375" style="1965" customWidth="1"/>
    <col min="10" max="10" width="6.7109375" style="1966" customWidth="1"/>
    <col min="11" max="12" width="12.7109375" style="1966" customWidth="1"/>
    <col min="13" max="13" width="6.7109375" style="1966" customWidth="1"/>
    <col min="14" max="14" width="2.7109375" style="1966" customWidth="1"/>
    <col min="15" max="15" width="6.7109375" style="1966" customWidth="1"/>
    <col min="16" max="16384" width="9.140625" style="1966"/>
  </cols>
  <sheetData>
    <row r="1" spans="2:14" ht="6" customHeight="1" thickBot="1"/>
    <row r="2" spans="2:14" ht="15" customHeight="1">
      <c r="B2" s="2827"/>
      <c r="C2" s="2828"/>
      <c r="D2" s="2828"/>
      <c r="E2" s="2828"/>
      <c r="F2" s="2828"/>
      <c r="G2" s="2828"/>
      <c r="H2" s="2828"/>
      <c r="I2" s="2828"/>
      <c r="J2" s="2828"/>
      <c r="K2" s="2828"/>
      <c r="L2" s="2828"/>
      <c r="M2" s="2828"/>
      <c r="N2" s="2829"/>
    </row>
    <row r="3" spans="2:14">
      <c r="B3" s="2830"/>
      <c r="C3" s="2831"/>
      <c r="D3" s="2831"/>
      <c r="E3" s="2831"/>
      <c r="F3" s="2831"/>
      <c r="G3" s="2831"/>
      <c r="H3" s="2831"/>
      <c r="I3" s="2831"/>
      <c r="J3" s="2831"/>
      <c r="K3" s="2831"/>
      <c r="L3" s="2831"/>
      <c r="M3" s="2831"/>
      <c r="N3" s="2832"/>
    </row>
    <row r="4" spans="2:14">
      <c r="B4" s="2830"/>
      <c r="C4" s="2831"/>
      <c r="D4" s="2831"/>
      <c r="E4" s="2831"/>
      <c r="F4" s="2831"/>
      <c r="G4" s="2831"/>
      <c r="H4" s="2831"/>
      <c r="I4" s="2831"/>
      <c r="J4" s="2831"/>
      <c r="K4" s="2831"/>
      <c r="L4" s="2831"/>
      <c r="M4" s="2831"/>
      <c r="N4" s="2832"/>
    </row>
    <row r="5" spans="2:14">
      <c r="B5" s="2830"/>
      <c r="C5" s="2831"/>
      <c r="D5" s="2831"/>
      <c r="E5" s="2831"/>
      <c r="F5" s="2831"/>
      <c r="G5" s="2831"/>
      <c r="H5" s="2831"/>
      <c r="I5" s="2831"/>
      <c r="J5" s="2831"/>
      <c r="K5" s="2831"/>
      <c r="L5" s="2831"/>
      <c r="M5" s="2831"/>
      <c r="N5" s="2832"/>
    </row>
    <row r="6" spans="2:14">
      <c r="B6" s="2830"/>
      <c r="C6" s="2831"/>
      <c r="D6" s="2831"/>
      <c r="E6" s="2831"/>
      <c r="F6" s="2831"/>
      <c r="G6" s="2831"/>
      <c r="H6" s="2831"/>
      <c r="I6" s="2831"/>
      <c r="J6" s="2831"/>
      <c r="K6" s="2831"/>
      <c r="L6" s="2831"/>
      <c r="M6" s="2831"/>
      <c r="N6" s="2832"/>
    </row>
    <row r="7" spans="2:14">
      <c r="B7" s="2830"/>
      <c r="C7" s="2831"/>
      <c r="D7" s="2831"/>
      <c r="E7" s="2831"/>
      <c r="F7" s="2831"/>
      <c r="G7" s="2831"/>
      <c r="H7" s="2831"/>
      <c r="I7" s="2831"/>
      <c r="J7" s="2831"/>
      <c r="K7" s="2831"/>
      <c r="L7" s="2831"/>
      <c r="M7" s="2831"/>
      <c r="N7" s="2832"/>
    </row>
    <row r="8" spans="2:14" ht="7.5" customHeight="1">
      <c r="B8" s="1967"/>
      <c r="C8" s="1968"/>
      <c r="D8" s="1969"/>
      <c r="E8" s="1970"/>
      <c r="N8" s="1971"/>
    </row>
    <row r="9" spans="2:14" ht="13.5" customHeight="1">
      <c r="B9" s="1967"/>
      <c r="C9" s="2833" t="s">
        <v>16725</v>
      </c>
      <c r="D9" s="2833"/>
      <c r="E9" s="2833"/>
      <c r="F9" s="2833"/>
      <c r="G9" s="2833"/>
      <c r="H9" s="2833"/>
      <c r="I9" s="2833"/>
      <c r="J9" s="2833"/>
      <c r="K9" s="2833"/>
      <c r="L9" s="2833"/>
      <c r="M9" s="2833"/>
      <c r="N9" s="1971"/>
    </row>
    <row r="10" spans="2:14" ht="13.5" customHeight="1">
      <c r="B10" s="1967"/>
      <c r="C10" s="2834" t="str">
        <f>'Inserção Dados'!F20&amp;"  -  "&amp;'Inserção Dados'!F19</f>
        <v>MTPAR  -  MT PARTICIPAÇÕES E PROJETOS S.A.</v>
      </c>
      <c r="D10" s="2834"/>
      <c r="E10" s="2834"/>
      <c r="F10" s="2834"/>
      <c r="G10" s="2834"/>
      <c r="H10" s="2834"/>
      <c r="I10" s="2834"/>
      <c r="J10" s="2834"/>
      <c r="K10" s="2834"/>
      <c r="L10" s="2834"/>
      <c r="M10" s="2834"/>
      <c r="N10" s="1971"/>
    </row>
    <row r="11" spans="2:14" ht="13.5" customHeight="1">
      <c r="B11" s="1972"/>
      <c r="N11" s="1971"/>
    </row>
    <row r="12" spans="2:14" ht="13.5" customHeight="1" thickBot="1">
      <c r="B12" s="1972"/>
      <c r="C12" s="2835" t="s">
        <v>16859</v>
      </c>
      <c r="D12" s="2835"/>
      <c r="E12" s="2835"/>
      <c r="F12" s="2835"/>
      <c r="G12" s="2835"/>
      <c r="H12" s="2835"/>
      <c r="I12" s="2835"/>
      <c r="J12" s="2835"/>
      <c r="K12" s="2835"/>
      <c r="L12" s="2835"/>
      <c r="M12" s="2835"/>
      <c r="N12" s="1971"/>
    </row>
    <row r="13" spans="2:14" ht="13.5" customHeight="1">
      <c r="B13" s="1967"/>
      <c r="C13" s="2836" t="s">
        <v>16860</v>
      </c>
      <c r="D13" s="2836"/>
      <c r="E13" s="2837" t="str">
        <f>'Inserção Dados'!F28</f>
        <v>CONTRATAÇÃO DE EMPRESA PARA A REALIZAÇÃO DAS OBRAS DO COMPLEXO SUNSET, NAS DEPENDÊNCIAS DO PARQUE NOVO MATO GROSSO, LOCALIZADO NO MUNICÍPIO DE CUIABÁ -MT</v>
      </c>
      <c r="F13" s="2837"/>
      <c r="G13" s="2837"/>
      <c r="H13" s="2837"/>
      <c r="I13" s="2837"/>
      <c r="J13" s="2837"/>
      <c r="K13" s="2837"/>
      <c r="L13" s="2837"/>
      <c r="M13" s="2837"/>
      <c r="N13" s="1971"/>
    </row>
    <row r="14" spans="2:14" ht="24" customHeight="1">
      <c r="B14" s="1967"/>
      <c r="C14" s="2836"/>
      <c r="D14" s="2836"/>
      <c r="E14" s="2837"/>
      <c r="F14" s="2837"/>
      <c r="G14" s="2837"/>
      <c r="H14" s="2837"/>
      <c r="I14" s="2837"/>
      <c r="J14" s="2837"/>
      <c r="K14" s="2837"/>
      <c r="L14" s="2837"/>
      <c r="M14" s="2837"/>
      <c r="N14" s="1971"/>
    </row>
    <row r="15" spans="2:14" ht="13.5" customHeight="1">
      <c r="B15" s="1967"/>
      <c r="C15" s="2836" t="s">
        <v>16727</v>
      </c>
      <c r="D15" s="2840"/>
      <c r="E15" s="2840" t="str">
        <f>'Inserção Dados'!F31</f>
        <v>MT - 251, KM 12, ÁREA RURAL, PARQUE NOVO MT, CUIABÁ-MT.</v>
      </c>
      <c r="F15" s="2840"/>
      <c r="G15" s="2840"/>
      <c r="H15" s="2840"/>
      <c r="I15" s="2840"/>
      <c r="J15" s="2840"/>
      <c r="K15" s="2840"/>
      <c r="L15" s="2840"/>
      <c r="M15" s="2840"/>
      <c r="N15" s="1971"/>
    </row>
    <row r="16" spans="2:14" ht="13.5" customHeight="1">
      <c r="B16" s="1967"/>
      <c r="C16" s="2836" t="s">
        <v>16728</v>
      </c>
      <c r="D16" s="2840"/>
      <c r="E16" s="2840" t="str">
        <f>'Inserção Dados'!F32&amp;" - MT"</f>
        <v xml:space="preserve"> CUIABÁ  - MT</v>
      </c>
      <c r="F16" s="2840"/>
      <c r="G16" s="2840"/>
      <c r="H16" s="2840"/>
      <c r="I16" s="2840"/>
      <c r="J16" s="2840"/>
      <c r="K16" s="2840"/>
      <c r="L16" s="2840"/>
      <c r="M16" s="2840"/>
      <c r="N16" s="1971"/>
    </row>
    <row r="17" spans="2:19" ht="13.5" customHeight="1">
      <c r="B17" s="1967"/>
      <c r="C17" s="2841"/>
      <c r="D17" s="2841"/>
      <c r="E17" s="2841"/>
      <c r="F17" s="2841"/>
      <c r="G17" s="2841"/>
      <c r="H17" s="2841"/>
      <c r="I17" s="2841"/>
      <c r="J17" s="2841"/>
      <c r="K17" s="2841"/>
      <c r="L17" s="2841"/>
      <c r="M17" s="2841"/>
      <c r="N17" s="1971"/>
    </row>
    <row r="18" spans="2:19" ht="13.5" customHeight="1">
      <c r="B18" s="1967"/>
      <c r="C18" s="2842"/>
      <c r="D18" s="2842"/>
      <c r="E18" s="2842"/>
      <c r="F18" s="2842"/>
      <c r="G18" s="2842"/>
      <c r="H18" s="2842"/>
      <c r="I18" s="2842"/>
      <c r="J18" s="2842"/>
      <c r="K18" s="2842"/>
      <c r="L18" s="2842"/>
      <c r="M18" s="2842"/>
      <c r="N18" s="1971"/>
    </row>
    <row r="19" spans="2:19" ht="13.5" customHeight="1" thickBot="1">
      <c r="B19" s="1967"/>
      <c r="C19" s="2835" t="s">
        <v>16861</v>
      </c>
      <c r="D19" s="2835"/>
      <c r="E19" s="2835"/>
      <c r="F19" s="2835"/>
      <c r="G19" s="2835"/>
      <c r="H19" s="2835"/>
      <c r="I19" s="2835"/>
      <c r="J19" s="2835"/>
      <c r="K19" s="2835"/>
      <c r="L19" s="2835"/>
      <c r="M19" s="2835"/>
      <c r="N19" s="1971"/>
    </row>
    <row r="20" spans="2:19" ht="13.5" customHeight="1">
      <c r="B20" s="1967"/>
      <c r="C20" s="2843" t="str">
        <f>"Contratada "&amp;REPT(".",80)</f>
        <v>Contratada ................................................................................</v>
      </c>
      <c r="D20" s="2843"/>
      <c r="E20" s="2843"/>
      <c r="F20" s="2844" t="str">
        <f>'Inserção Dados'!G48</f>
        <v>CONSTRUTORA NHAMBIQUARAS LTDA</v>
      </c>
      <c r="G20" s="2844"/>
      <c r="H20" s="2844"/>
      <c r="I20" s="2844"/>
      <c r="J20" s="2844"/>
      <c r="K20" s="2844"/>
      <c r="L20" s="2844"/>
      <c r="M20" s="2844"/>
      <c r="N20" s="1971"/>
    </row>
    <row r="21" spans="2:19" ht="13.5" customHeight="1">
      <c r="B21" s="1967"/>
      <c r="C21" s="2838" t="str">
        <f>"Processo Original N.º "&amp;REPT(".",80)</f>
        <v>Processo Original N.º ................................................................................</v>
      </c>
      <c r="D21" s="2838"/>
      <c r="E21" s="2838"/>
      <c r="F21" s="2838"/>
      <c r="G21" s="2838"/>
      <c r="H21" s="2838"/>
      <c r="I21" s="2836" t="str">
        <f>'Inserção Dados'!G38</f>
        <v>MTPAR-PRO-2024/02020.01</v>
      </c>
      <c r="J21" s="2836"/>
      <c r="K21" s="2836"/>
      <c r="L21" s="2836"/>
      <c r="M21" s="2836"/>
      <c r="N21" s="1971"/>
    </row>
    <row r="22" spans="2:19" ht="13.5" customHeight="1">
      <c r="B22" s="1967"/>
      <c r="C22" s="2838" t="str">
        <f>"Edital N.º "&amp;REPT(".",80)</f>
        <v>Edital N.º ................................................................................</v>
      </c>
      <c r="D22" s="2838"/>
      <c r="E22" s="2838"/>
      <c r="F22" s="2838"/>
      <c r="G22" s="2838"/>
      <c r="H22" s="2838"/>
      <c r="I22" s="2839" t="str">
        <f>'Inserção Dados'!G39</f>
        <v>060/2024/MTPAR</v>
      </c>
      <c r="J22" s="2836"/>
      <c r="K22" s="2836"/>
      <c r="L22" s="2836"/>
      <c r="M22" s="2836"/>
      <c r="N22" s="1971"/>
    </row>
    <row r="23" spans="2:19" ht="13.5" customHeight="1">
      <c r="B23" s="1967"/>
      <c r="C23" s="2838" t="str">
        <f>"Modalidade de Licitação "&amp;REPT(".",80)</f>
        <v>Modalidade de Licitação ................................................................................</v>
      </c>
      <c r="D23" s="2838"/>
      <c r="E23" s="2838"/>
      <c r="F23" s="2838"/>
      <c r="G23" s="2838"/>
      <c r="H23" s="2838"/>
      <c r="I23" s="2836" t="str">
        <f>'Inserção Dados'!G40</f>
        <v>Concorrência</v>
      </c>
      <c r="J23" s="2836"/>
      <c r="K23" s="2836"/>
      <c r="L23" s="2836"/>
      <c r="M23" s="2836"/>
      <c r="N23" s="1971"/>
    </row>
    <row r="24" spans="2:19" ht="13.5" customHeight="1">
      <c r="B24" s="1967"/>
      <c r="C24" s="2838" t="str">
        <f>"Instrumento Contratual N.º "&amp;REPT(".",80)</f>
        <v>Instrumento Contratual N.º ................................................................................</v>
      </c>
      <c r="D24" s="2838"/>
      <c r="E24" s="2838"/>
      <c r="F24" s="2838"/>
      <c r="G24" s="2838"/>
      <c r="H24" s="2838"/>
      <c r="I24" s="2836" t="str">
        <f>'Inserção Dados'!G41</f>
        <v>121/2024/MTPAR</v>
      </c>
      <c r="J24" s="2836"/>
      <c r="K24" s="2836"/>
      <c r="L24" s="2836"/>
      <c r="M24" s="2836"/>
      <c r="N24" s="1971"/>
    </row>
    <row r="25" spans="2:19" ht="13.5" customHeight="1">
      <c r="B25" s="1967"/>
      <c r="C25" s="2838" t="str">
        <f>"Data Assinatura do Contrato "&amp;REPT(".",80)</f>
        <v>Data Assinatura do Contrato ................................................................................</v>
      </c>
      <c r="D25" s="2838"/>
      <c r="E25" s="2838"/>
      <c r="F25" s="2838"/>
      <c r="G25" s="2838"/>
      <c r="H25" s="2838"/>
      <c r="I25" s="2846">
        <f>'Inserção Dados'!G42</f>
        <v>45638</v>
      </c>
      <c r="J25" s="2836"/>
      <c r="K25" s="2836"/>
      <c r="L25" s="2836"/>
      <c r="M25" s="2836"/>
      <c r="N25" s="1971"/>
    </row>
    <row r="26" spans="2:19" ht="13.5" customHeight="1">
      <c r="B26" s="1967"/>
      <c r="C26" s="2838" t="str">
        <f>"Data da Ordem de Serviço "&amp;REPT(".",80)</f>
        <v>Data da Ordem de Serviço ................................................................................</v>
      </c>
      <c r="D26" s="2838"/>
      <c r="E26" s="2838"/>
      <c r="F26" s="2838"/>
      <c r="G26" s="2838"/>
      <c r="H26" s="2838"/>
      <c r="I26" s="2836" t="str">
        <f>"N.º "&amp;'Inserção Dados'!G43&amp;"  -  "&amp;'Inserção Dados'!S44</f>
        <v>N.º 17/2025  -  29/01/25</v>
      </c>
      <c r="J26" s="2836"/>
      <c r="K26" s="2836"/>
      <c r="L26" s="2836"/>
      <c r="M26" s="2836"/>
      <c r="N26" s="1971"/>
    </row>
    <row r="27" spans="2:19" ht="13.5" customHeight="1">
      <c r="B27" s="1967"/>
      <c r="C27" s="2847" t="s">
        <v>16862</v>
      </c>
      <c r="D27" s="2847"/>
      <c r="E27" s="2847"/>
      <c r="F27" s="2847"/>
      <c r="G27" s="2847"/>
      <c r="H27" s="2847"/>
      <c r="I27" s="2847"/>
      <c r="J27" s="2847"/>
      <c r="K27" s="2847"/>
      <c r="L27" s="2847"/>
      <c r="M27" s="2847"/>
      <c r="N27" s="1971"/>
    </row>
    <row r="28" spans="2:19" ht="13.5" customHeight="1">
      <c r="B28" s="1967"/>
      <c r="C28" s="1974"/>
      <c r="D28" s="2838" t="str">
        <f>"Valor Contratual (PI) "&amp;REPT(".",80)</f>
        <v>Valor Contratual (PI) ................................................................................</v>
      </c>
      <c r="E28" s="2838"/>
      <c r="F28" s="2838"/>
      <c r="G28" s="2838"/>
      <c r="H28" s="2838"/>
      <c r="I28" s="2838"/>
      <c r="J28" s="2845">
        <f>'Inserção Dados'!L105</f>
        <v>13412792.050000001</v>
      </c>
      <c r="K28" s="2845"/>
      <c r="L28" s="1965"/>
      <c r="N28" s="1971"/>
    </row>
    <row r="29" spans="2:19" ht="13.5" customHeight="1">
      <c r="B29" s="1967"/>
      <c r="C29" s="1975"/>
      <c r="D29" s="2838" t="str">
        <f>"Valor Aditivos - Acréscimos "&amp;REPT(".",80)</f>
        <v>Valor Aditivos - Acréscimos ................................................................................</v>
      </c>
      <c r="E29" s="2838"/>
      <c r="F29" s="2838"/>
      <c r="G29" s="2838"/>
      <c r="H29" s="2838"/>
      <c r="I29" s="2838"/>
      <c r="J29" s="2845">
        <f>'Inserção Dados'!L107</f>
        <v>0</v>
      </c>
      <c r="K29" s="2845"/>
      <c r="L29" s="1965"/>
      <c r="N29" s="1971"/>
    </row>
    <row r="30" spans="2:19" ht="13.5" customHeight="1">
      <c r="B30" s="1967"/>
      <c r="D30" s="2838" t="str">
        <f>"Valor Aditivos  - Supressão "&amp;REPT(".",80)</f>
        <v>Valor Aditivos  - Supressão ................................................................................</v>
      </c>
      <c r="E30" s="2838"/>
      <c r="F30" s="2838"/>
      <c r="G30" s="2838"/>
      <c r="H30" s="2838"/>
      <c r="I30" s="2838"/>
      <c r="J30" s="2845">
        <f>'Inserção Dados'!L108</f>
        <v>0</v>
      </c>
      <c r="K30" s="2845"/>
      <c r="L30" s="1965"/>
      <c r="N30" s="1971"/>
      <c r="S30" s="2576" t="s">
        <v>17022</v>
      </c>
    </row>
    <row r="31" spans="2:19" ht="13.5" customHeight="1">
      <c r="B31" s="1967"/>
      <c r="D31" s="2838" t="str">
        <f>"Valor Total Contratual (Contrato + Aditivos) "&amp;REPT(".",80)</f>
        <v>Valor Total Contratual (Contrato + Aditivos) ................................................................................</v>
      </c>
      <c r="E31" s="2838"/>
      <c r="F31" s="2838"/>
      <c r="G31" s="2838"/>
      <c r="H31" s="2838"/>
      <c r="I31" s="2838"/>
      <c r="J31" s="2845">
        <f>'Inserção Dados'!L109</f>
        <v>13412792.050000001</v>
      </c>
      <c r="K31" s="2845"/>
      <c r="L31" s="1965"/>
      <c r="N31" s="1971"/>
    </row>
    <row r="32" spans="2:19" ht="13.5" customHeight="1">
      <c r="B32" s="1976"/>
      <c r="D32" s="2838" t="str">
        <f>"Valor Total da "&amp;'Inserção Dados'!G72&amp;"ª Medição "&amp;REPT(".",80)</f>
        <v>Valor Total da 6ª Medição ................................................................................</v>
      </c>
      <c r="E32" s="2838"/>
      <c r="F32" s="2838"/>
      <c r="G32" s="2838"/>
      <c r="H32" s="2838"/>
      <c r="I32" s="2838"/>
      <c r="J32" s="2845">
        <f>'Medição '!N1835</f>
        <v>12069.059999999994</v>
      </c>
      <c r="K32" s="2845"/>
      <c r="L32" s="1965"/>
      <c r="N32" s="1971"/>
    </row>
    <row r="33" spans="2:14" ht="13.5" customHeight="1">
      <c r="B33" s="1976"/>
      <c r="D33" s="2838" t="str">
        <f>"Valor Total Acumulado das Medições Anteriores "&amp;REPT(".",80)</f>
        <v>Valor Total Acumulado das Medições Anteriores ................................................................................</v>
      </c>
      <c r="E33" s="2838"/>
      <c r="F33" s="2838"/>
      <c r="G33" s="2838"/>
      <c r="H33" s="2838"/>
      <c r="I33" s="2838"/>
      <c r="J33" s="2845">
        <f>'Medição '!L1835</f>
        <v>564553.19999999995</v>
      </c>
      <c r="K33" s="2845"/>
      <c r="L33" s="1965"/>
      <c r="N33" s="1971"/>
    </row>
    <row r="34" spans="2:14" ht="13.5" customHeight="1">
      <c r="B34" s="1976"/>
      <c r="D34" s="2838" t="str">
        <f>"Saldo à Medir/Executar "&amp;REPT(".",80)</f>
        <v>Saldo à Medir/Executar ................................................................................</v>
      </c>
      <c r="E34" s="2838"/>
      <c r="F34" s="2838"/>
      <c r="G34" s="2838"/>
      <c r="H34" s="2838"/>
      <c r="I34" s="2838"/>
      <c r="J34" s="2845">
        <f>J31-J33</f>
        <v>12848238.850000001</v>
      </c>
      <c r="K34" s="2845"/>
      <c r="L34" s="1965"/>
      <c r="N34" s="1971"/>
    </row>
    <row r="35" spans="2:14" ht="13.5" customHeight="1">
      <c r="B35" s="1967"/>
      <c r="C35" s="1973"/>
      <c r="D35" s="2841"/>
      <c r="E35" s="2841"/>
      <c r="F35" s="2841"/>
      <c r="G35" s="2841"/>
      <c r="H35" s="2841"/>
      <c r="I35" s="2841"/>
      <c r="J35" s="2841"/>
      <c r="K35" s="2841"/>
      <c r="N35" s="1971"/>
    </row>
    <row r="36" spans="2:14" ht="13.5" customHeight="1">
      <c r="B36" s="1967"/>
      <c r="C36" s="2847" t="s">
        <v>16839</v>
      </c>
      <c r="D36" s="2847"/>
      <c r="E36" s="2847"/>
      <c r="F36" s="2847"/>
      <c r="G36" s="2847"/>
      <c r="H36" s="2847"/>
      <c r="I36" s="2847"/>
      <c r="J36" s="2847"/>
      <c r="K36" s="2847"/>
      <c r="N36" s="1971"/>
    </row>
    <row r="37" spans="2:14" ht="13.5" customHeight="1">
      <c r="B37" s="1967"/>
      <c r="C37" s="1975"/>
      <c r="D37" s="2838" t="str">
        <f>"Prazo Contratual de Execução "&amp;REPT(".",80)</f>
        <v>Prazo Contratual de Execução ................................................................................</v>
      </c>
      <c r="E37" s="2838"/>
      <c r="F37" s="2838"/>
      <c r="G37" s="2838"/>
      <c r="H37" s="2848">
        <f>'Inserção Dados'!L114</f>
        <v>300</v>
      </c>
      <c r="I37" s="2848"/>
      <c r="J37" s="1977"/>
      <c r="K37" s="1977"/>
      <c r="N37" s="1971"/>
    </row>
    <row r="38" spans="2:14" ht="13.5" customHeight="1">
      <c r="B38" s="1967"/>
      <c r="C38" s="1978"/>
      <c r="D38" s="2838" t="str">
        <f>"Prazo Aditado "&amp;REPT(".",80)</f>
        <v>Prazo Aditado ................................................................................</v>
      </c>
      <c r="E38" s="2838"/>
      <c r="F38" s="2838"/>
      <c r="G38" s="2838"/>
      <c r="H38" s="2848">
        <f>'Inserção Dados'!L115</f>
        <v>0</v>
      </c>
      <c r="I38" s="2848"/>
      <c r="J38" s="1977"/>
      <c r="K38" s="1977"/>
      <c r="N38" s="1971"/>
    </row>
    <row r="39" spans="2:14" ht="13.5" customHeight="1">
      <c r="B39" s="1976"/>
      <c r="C39" s="1979"/>
      <c r="D39" s="2838" t="str">
        <f>"Prazo Total "&amp;REPT(".",80)</f>
        <v>Prazo Total ................................................................................</v>
      </c>
      <c r="E39" s="2838"/>
      <c r="F39" s="2838"/>
      <c r="G39" s="2838"/>
      <c r="H39" s="2848">
        <f>'Inserção Dados'!L116</f>
        <v>300</v>
      </c>
      <c r="I39" s="2848"/>
      <c r="J39" s="1977"/>
      <c r="K39" s="1977"/>
      <c r="N39" s="1971"/>
    </row>
    <row r="40" spans="2:14" ht="13.5" customHeight="1">
      <c r="B40" s="1976"/>
      <c r="C40" s="1978"/>
      <c r="D40" s="2838" t="str">
        <f>"Prazo Decorrido até Medição "&amp;REPT(".",80)</f>
        <v>Prazo Decorrido até Medição ................................................................................</v>
      </c>
      <c r="E40" s="2838"/>
      <c r="F40" s="2838"/>
      <c r="G40" s="2838"/>
      <c r="H40" s="2848">
        <f>'Inserção Dados'!L117</f>
        <v>153</v>
      </c>
      <c r="I40" s="2848"/>
      <c r="J40" s="1977"/>
      <c r="K40" s="1977"/>
      <c r="N40" s="1971"/>
    </row>
    <row r="41" spans="2:14" ht="13.5" customHeight="1">
      <c r="B41" s="1976"/>
      <c r="C41" s="1978"/>
      <c r="D41" s="2838" t="str">
        <f>"Prazo Restante  "&amp;REPT(".",80)</f>
        <v>Prazo Restante  ................................................................................</v>
      </c>
      <c r="E41" s="2838"/>
      <c r="F41" s="2838"/>
      <c r="G41" s="2838"/>
      <c r="H41" s="2848">
        <f>'Inserção Dados'!L118</f>
        <v>147</v>
      </c>
      <c r="I41" s="2848"/>
      <c r="J41" s="1977"/>
      <c r="K41" s="1977"/>
      <c r="N41" s="1971"/>
    </row>
    <row r="42" spans="2:14" ht="13.5" customHeight="1">
      <c r="B42" s="1976"/>
      <c r="C42" s="1978"/>
      <c r="D42" s="2838" t="str">
        <f>"Término Previsto "&amp;REPT(".",80)</f>
        <v>Término Previsto ................................................................................</v>
      </c>
      <c r="E42" s="2838"/>
      <c r="F42" s="2838"/>
      <c r="G42" s="2838"/>
      <c r="H42" s="2846">
        <f>'Inserção Dados'!L119</f>
        <v>45986</v>
      </c>
      <c r="I42" s="2846"/>
      <c r="J42" s="2846"/>
      <c r="N42" s="1971"/>
    </row>
    <row r="43" spans="2:14" ht="13.5" customHeight="1">
      <c r="B43" s="1976"/>
      <c r="C43" s="1978"/>
      <c r="D43" s="2849"/>
      <c r="E43" s="2849"/>
      <c r="F43" s="2849"/>
      <c r="G43" s="2849"/>
      <c r="H43" s="2849"/>
      <c r="I43" s="2849"/>
      <c r="J43" s="2849"/>
      <c r="N43" s="1971"/>
    </row>
    <row r="44" spans="2:14" ht="13.5" customHeight="1">
      <c r="B44" s="1976"/>
      <c r="C44" s="1978"/>
      <c r="D44" s="2849"/>
      <c r="E44" s="2849"/>
      <c r="F44" s="2849"/>
      <c r="G44" s="2849"/>
      <c r="H44" s="2849"/>
      <c r="I44" s="2849"/>
      <c r="J44" s="2849"/>
      <c r="N44" s="1971"/>
    </row>
    <row r="45" spans="2:14" ht="13.5" customHeight="1" thickBot="1">
      <c r="B45" s="1967"/>
      <c r="C45" s="2835" t="s">
        <v>16863</v>
      </c>
      <c r="D45" s="2835"/>
      <c r="E45" s="2835"/>
      <c r="F45" s="2835"/>
      <c r="G45" s="2835"/>
      <c r="H45" s="2835"/>
      <c r="I45" s="2835"/>
      <c r="J45" s="2835"/>
      <c r="K45" s="2835"/>
      <c r="L45" s="2835"/>
      <c r="M45" s="2835"/>
      <c r="N45" s="1971"/>
    </row>
    <row r="46" spans="2:14" ht="13.5" customHeight="1">
      <c r="B46" s="1967"/>
      <c r="D46" s="2843" t="s">
        <v>16864</v>
      </c>
      <c r="E46" s="2843"/>
      <c r="F46" s="2843"/>
      <c r="G46" s="2844">
        <f>'Inserção Dados'!G4</f>
        <v>0</v>
      </c>
      <c r="H46" s="2844"/>
      <c r="I46" s="2844"/>
      <c r="J46" s="2844"/>
      <c r="K46" s="2844"/>
      <c r="L46" s="2844"/>
      <c r="M46" s="2844"/>
      <c r="N46" s="1971"/>
    </row>
    <row r="47" spans="2:14" ht="13.5" customHeight="1">
      <c r="B47" s="1967"/>
      <c r="D47" s="2838" t="s">
        <v>16865</v>
      </c>
      <c r="E47" s="2838"/>
      <c r="F47" s="2838"/>
      <c r="G47" s="2836">
        <f>'Inserção Dados'!G5</f>
        <v>0</v>
      </c>
      <c r="H47" s="2836"/>
      <c r="I47" s="2836"/>
      <c r="J47" s="2836"/>
      <c r="K47" s="2836"/>
      <c r="L47" s="2836"/>
      <c r="M47" s="2836"/>
      <c r="N47" s="1971"/>
    </row>
    <row r="48" spans="2:14" ht="13.5" customHeight="1">
      <c r="B48" s="1967"/>
      <c r="D48" s="2851" t="s">
        <v>16866</v>
      </c>
      <c r="E48" s="2851"/>
      <c r="F48" s="2851"/>
      <c r="G48" s="2852" t="str">
        <f>'Inserção Dados'!F10&amp; " - "&amp;'Inserção Dados'!F9</f>
        <v xml:space="preserve"> - </v>
      </c>
      <c r="H48" s="2852"/>
      <c r="I48" s="2852"/>
      <c r="J48" s="2852"/>
      <c r="K48" s="2852"/>
      <c r="L48" s="2852"/>
      <c r="M48" s="2852"/>
      <c r="N48" s="1971"/>
    </row>
    <row r="49" spans="2:14" ht="13.5" customHeight="1">
      <c r="B49" s="1967"/>
      <c r="D49" s="2853" t="s">
        <v>16867</v>
      </c>
      <c r="E49" s="2853"/>
      <c r="F49" s="2853"/>
      <c r="G49" s="2854">
        <f>'Inserção Dados'!F14</f>
        <v>0</v>
      </c>
      <c r="H49" s="2854"/>
      <c r="I49" s="2854"/>
      <c r="J49" s="2854"/>
      <c r="K49" s="2854"/>
      <c r="L49" s="2854"/>
      <c r="M49" s="2854"/>
      <c r="N49" s="1971"/>
    </row>
    <row r="50" spans="2:14" ht="13.5" customHeight="1">
      <c r="B50" s="1967"/>
      <c r="D50" s="1980"/>
      <c r="E50" s="1980"/>
      <c r="F50" s="1980"/>
      <c r="G50" s="1981"/>
      <c r="H50" s="1981"/>
      <c r="N50" s="1971"/>
    </row>
    <row r="51" spans="2:14" ht="13.5" customHeight="1">
      <c r="B51" s="1967"/>
      <c r="N51" s="1971"/>
    </row>
    <row r="52" spans="2:14" ht="13.5" customHeight="1">
      <c r="B52" s="1967"/>
      <c r="C52" s="2855" t="s">
        <v>17017</v>
      </c>
      <c r="D52" s="2855"/>
      <c r="E52" s="2855"/>
      <c r="F52" s="2855"/>
      <c r="G52" s="2855"/>
      <c r="H52" s="2855"/>
      <c r="I52" s="2855"/>
      <c r="J52" s="2855"/>
      <c r="K52" s="2855"/>
      <c r="L52" s="2855"/>
      <c r="M52" s="2855"/>
      <c r="N52" s="1971"/>
    </row>
    <row r="53" spans="2:14" ht="13.5" customHeight="1">
      <c r="B53" s="1967"/>
      <c r="G53" s="1980"/>
      <c r="H53" s="1980"/>
      <c r="N53" s="1971"/>
    </row>
    <row r="54" spans="2:14" ht="13.5" customHeight="1">
      <c r="B54" s="1967"/>
      <c r="C54" s="1982"/>
      <c r="D54" s="1965" t="s">
        <v>16868</v>
      </c>
      <c r="G54" s="1983"/>
      <c r="H54" s="1980"/>
      <c r="N54" s="1971"/>
    </row>
    <row r="55" spans="2:14" ht="13.5" customHeight="1">
      <c r="B55" s="1967"/>
      <c r="G55" s="1981"/>
      <c r="H55" s="1981"/>
      <c r="N55" s="1971"/>
    </row>
    <row r="56" spans="2:14" ht="13.5" customHeight="1">
      <c r="B56" s="1967"/>
      <c r="G56" s="2426"/>
      <c r="H56" s="2426"/>
      <c r="I56" s="2426"/>
      <c r="J56" s="2426"/>
      <c r="K56" s="2427"/>
      <c r="L56" s="1937"/>
      <c r="N56" s="1971"/>
    </row>
    <row r="57" spans="2:14" ht="13.5" customHeight="1">
      <c r="B57" s="1967"/>
      <c r="F57" s="1984"/>
      <c r="G57" s="2430" t="str">
        <f>'Inserção Dados'!F23&amp;"  -  "&amp;'Inserção Dados'!F22</f>
        <v>Eng.º Civil  -  IANA DIANEZ MARQUES</v>
      </c>
      <c r="H57" s="2430"/>
      <c r="I57" s="2430"/>
      <c r="J57" s="2430"/>
      <c r="K57" s="2430"/>
      <c r="L57" s="1985"/>
      <c r="N57" s="1971"/>
    </row>
    <row r="58" spans="2:14" ht="13.5" customHeight="1">
      <c r="B58" s="1967"/>
      <c r="F58" s="1985"/>
      <c r="G58" s="2856" t="str">
        <f>'Inserção Dados'!F24&amp;" N.º "&amp;'Inserção Dados'!M24</f>
        <v>CREA N.º 1216454264</v>
      </c>
      <c r="H58" s="2856"/>
      <c r="I58" s="2856"/>
      <c r="J58" s="2856"/>
      <c r="K58" s="2856"/>
      <c r="L58" s="1985"/>
      <c r="N58" s="1971"/>
    </row>
    <row r="59" spans="2:14" ht="13.5" customHeight="1">
      <c r="B59" s="1967"/>
      <c r="F59" s="1985"/>
      <c r="G59" s="2856" t="str">
        <f>"Fiscal - "&amp;'Inserção Dados'!F20</f>
        <v>Fiscal - MTPAR</v>
      </c>
      <c r="H59" s="2856"/>
      <c r="I59" s="2856"/>
      <c r="J59" s="2856"/>
      <c r="K59" s="2856"/>
      <c r="L59" s="1985"/>
      <c r="N59" s="1971"/>
    </row>
    <row r="60" spans="2:14" ht="13.5" customHeight="1">
      <c r="B60" s="1967"/>
      <c r="F60" s="1985"/>
      <c r="G60" s="2428"/>
      <c r="H60" s="2428"/>
      <c r="I60" s="2428"/>
      <c r="J60" s="2428"/>
      <c r="K60" s="2428"/>
      <c r="L60" s="1985"/>
      <c r="N60" s="1971"/>
    </row>
    <row r="61" spans="2:14" ht="13.5" customHeight="1">
      <c r="B61" s="1967"/>
      <c r="F61" s="1985"/>
      <c r="G61" s="2428"/>
      <c r="H61" s="2428"/>
      <c r="I61" s="2428"/>
      <c r="J61" s="2428"/>
      <c r="K61" s="2428"/>
      <c r="L61" s="1985"/>
      <c r="N61" s="1971"/>
    </row>
    <row r="62" spans="2:14" ht="13.5" customHeight="1">
      <c r="B62" s="1967"/>
      <c r="D62" s="1965" t="s">
        <v>16869</v>
      </c>
      <c r="F62" s="1985"/>
      <c r="G62" s="2428"/>
      <c r="H62" s="2428"/>
      <c r="I62" s="2428"/>
      <c r="J62" s="2428"/>
      <c r="K62" s="2428"/>
      <c r="L62" s="1985"/>
      <c r="N62" s="1971"/>
    </row>
    <row r="63" spans="2:14" ht="13.5" customHeight="1">
      <c r="B63" s="1967"/>
      <c r="F63" s="1985"/>
      <c r="G63" s="2428"/>
      <c r="H63" s="2428"/>
      <c r="I63" s="2428"/>
      <c r="J63" s="2428"/>
      <c r="K63" s="2428"/>
      <c r="L63" s="1985"/>
      <c r="N63" s="1971"/>
    </row>
    <row r="64" spans="2:14" ht="13.5" customHeight="1">
      <c r="B64" s="1967"/>
      <c r="F64" s="1985"/>
      <c r="G64" s="2428"/>
      <c r="H64" s="2428"/>
      <c r="I64" s="2428"/>
      <c r="J64" s="2428"/>
      <c r="K64" s="2428"/>
      <c r="L64" s="1985"/>
      <c r="N64" s="1971"/>
    </row>
    <row r="65" spans="2:14" ht="13.5" customHeight="1">
      <c r="B65" s="1967"/>
      <c r="F65" s="1985"/>
      <c r="G65" s="2430" t="str">
        <f>'Inserção Dados'!G52&amp;"  -  "&amp;'Inserção Dados'!G51</f>
        <v>Eng.º Civil  -  STELA MARIA METELO RAGAZZI BARCELOS</v>
      </c>
      <c r="H65" s="2430"/>
      <c r="I65" s="2430"/>
      <c r="J65" s="2430"/>
      <c r="K65" s="2430"/>
      <c r="L65" s="1985"/>
      <c r="N65" s="1971"/>
    </row>
    <row r="66" spans="2:14" ht="13.5" customHeight="1">
      <c r="B66" s="1967"/>
      <c r="F66" s="1985"/>
      <c r="G66" s="2856" t="s">
        <v>16997</v>
      </c>
      <c r="H66" s="2856"/>
      <c r="I66" s="2856"/>
      <c r="J66" s="2856"/>
      <c r="K66" s="2856"/>
      <c r="L66" s="1985"/>
      <c r="N66" s="1971"/>
    </row>
    <row r="67" spans="2:14" ht="13.5" customHeight="1">
      <c r="B67" s="1967"/>
      <c r="F67" s="1985"/>
      <c r="G67" s="2856" t="str">
        <f>'Inserção Dados'!G48&amp;" "</f>
        <v xml:space="preserve">CONSTRUTORA NHAMBIQUARAS LTDA </v>
      </c>
      <c r="H67" s="2856"/>
      <c r="I67" s="2856"/>
      <c r="J67" s="2856"/>
      <c r="K67" s="2856"/>
      <c r="L67" s="1985"/>
      <c r="N67" s="1971"/>
    </row>
    <row r="68" spans="2:14" ht="13.5" customHeight="1" thickBot="1">
      <c r="B68" s="1986"/>
      <c r="C68" s="1987"/>
      <c r="D68" s="1987"/>
      <c r="E68" s="1987"/>
      <c r="F68" s="1987"/>
      <c r="G68" s="2850" t="s">
        <v>16998</v>
      </c>
      <c r="H68" s="2850"/>
      <c r="I68" s="2850"/>
      <c r="J68" s="2850"/>
      <c r="K68" s="2850"/>
      <c r="L68" s="2429"/>
      <c r="M68" s="1988"/>
      <c r="N68" s="1989"/>
    </row>
    <row r="83" spans="15:15">
      <c r="O83" s="1966">
        <f>J88</f>
        <v>0</v>
      </c>
    </row>
  </sheetData>
  <mergeCells count="73">
    <mergeCell ref="G68:K68"/>
    <mergeCell ref="D48:F48"/>
    <mergeCell ref="G48:M48"/>
    <mergeCell ref="D49:F49"/>
    <mergeCell ref="G49:M49"/>
    <mergeCell ref="C52:M52"/>
    <mergeCell ref="G58:K58"/>
    <mergeCell ref="G59:K59"/>
    <mergeCell ref="G66:K66"/>
    <mergeCell ref="G67:K67"/>
    <mergeCell ref="D47:F47"/>
    <mergeCell ref="G47:M47"/>
    <mergeCell ref="D40:G40"/>
    <mergeCell ref="H40:I40"/>
    <mergeCell ref="D41:G41"/>
    <mergeCell ref="H41:I41"/>
    <mergeCell ref="D42:G42"/>
    <mergeCell ref="H42:J42"/>
    <mergeCell ref="D43:J43"/>
    <mergeCell ref="D44:J44"/>
    <mergeCell ref="C45:M45"/>
    <mergeCell ref="D46:F46"/>
    <mergeCell ref="G46:M46"/>
    <mergeCell ref="D37:G37"/>
    <mergeCell ref="H37:I37"/>
    <mergeCell ref="D38:G38"/>
    <mergeCell ref="H38:I38"/>
    <mergeCell ref="D39:G39"/>
    <mergeCell ref="H39:I39"/>
    <mergeCell ref="C36:K36"/>
    <mergeCell ref="D30:I30"/>
    <mergeCell ref="J30:K30"/>
    <mergeCell ref="D31:I31"/>
    <mergeCell ref="J31:K31"/>
    <mergeCell ref="D32:I32"/>
    <mergeCell ref="J32:K32"/>
    <mergeCell ref="D33:I33"/>
    <mergeCell ref="J33:K33"/>
    <mergeCell ref="D34:I34"/>
    <mergeCell ref="J34:K34"/>
    <mergeCell ref="D35:K35"/>
    <mergeCell ref="D29:I29"/>
    <mergeCell ref="J29:K29"/>
    <mergeCell ref="C23:H23"/>
    <mergeCell ref="I23:M23"/>
    <mergeCell ref="C24:H24"/>
    <mergeCell ref="I24:M24"/>
    <mergeCell ref="C25:H25"/>
    <mergeCell ref="I25:M25"/>
    <mergeCell ref="C26:H26"/>
    <mergeCell ref="I26:M26"/>
    <mergeCell ref="C27:M27"/>
    <mergeCell ref="D28:I28"/>
    <mergeCell ref="J28:K28"/>
    <mergeCell ref="C22:H22"/>
    <mergeCell ref="I22:M22"/>
    <mergeCell ref="C15:D15"/>
    <mergeCell ref="E15:M15"/>
    <mergeCell ref="C16:D16"/>
    <mergeCell ref="E16:M16"/>
    <mergeCell ref="C17:M17"/>
    <mergeCell ref="C18:M18"/>
    <mergeCell ref="C19:M19"/>
    <mergeCell ref="C20:E20"/>
    <mergeCell ref="F20:M20"/>
    <mergeCell ref="C21:H21"/>
    <mergeCell ref="I21:M21"/>
    <mergeCell ref="B2:N7"/>
    <mergeCell ref="C9:M9"/>
    <mergeCell ref="C10:M10"/>
    <mergeCell ref="C12:M12"/>
    <mergeCell ref="C13:D14"/>
    <mergeCell ref="E13:M14"/>
  </mergeCells>
  <pageMargins left="0.51181102362204722" right="0.51181102362204722" top="0.59055118110236227" bottom="0.59055118110236227" header="0.31496062992125984" footer="0.31496062992125984"/>
  <pageSetup paperSize="9" scale="8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55A8E-E7F9-463C-944E-A6C61C396CA3}">
  <sheetPr>
    <tabColor rgb="FF0070C0"/>
    <pageSetUpPr fitToPage="1"/>
  </sheetPr>
  <dimension ref="A1:S83"/>
  <sheetViews>
    <sheetView tabSelected="1" workbookViewId="0">
      <selection activeCell="L39" sqref="L39"/>
    </sheetView>
  </sheetViews>
  <sheetFormatPr defaultColWidth="0" defaultRowHeight="12.75" customHeight="1" zeroHeight="1"/>
  <cols>
    <col min="1" max="1" width="3.140625" style="2113" customWidth="1"/>
    <col min="2" max="2" width="19.7109375" style="2113" customWidth="1"/>
    <col min="3" max="3" width="15.5703125" style="2113" customWidth="1"/>
    <col min="4" max="4" width="15.42578125" style="2113" bestFit="1" customWidth="1"/>
    <col min="5" max="5" width="2.28515625" style="2113" customWidth="1"/>
    <col min="6" max="6" width="15.42578125" style="2113" bestFit="1" customWidth="1"/>
    <col min="7" max="7" width="10.42578125" style="2113" customWidth="1"/>
    <col min="8" max="8" width="12.7109375" style="2113" customWidth="1"/>
    <col min="9" max="10" width="19.85546875" style="2113" bestFit="1" customWidth="1"/>
    <col min="11" max="11" width="14.5703125" style="2113" customWidth="1"/>
    <col min="12" max="12" width="16.140625" style="2113" bestFit="1" customWidth="1"/>
    <col min="13" max="13" width="25.7109375" style="2113" customWidth="1"/>
    <col min="14" max="14" width="21" style="2113" customWidth="1"/>
    <col min="15" max="15" width="37.28515625" style="2113" customWidth="1"/>
    <col min="16" max="16" width="6.7109375" style="2113" bestFit="1" customWidth="1"/>
    <col min="17" max="16384" width="10.42578125" style="2113" hidden="1"/>
  </cols>
  <sheetData>
    <row r="1" spans="2:15" ht="13.5" thickBot="1"/>
    <row r="2" spans="2:15" ht="12.75" customHeight="1">
      <c r="B2" s="2114"/>
      <c r="C2" s="2115"/>
      <c r="D2" s="2116"/>
      <c r="E2" s="2116"/>
      <c r="F2" s="2116"/>
      <c r="G2" s="2116"/>
      <c r="H2" s="2116"/>
      <c r="I2" s="2116"/>
      <c r="J2" s="2116"/>
      <c r="K2" s="2116"/>
      <c r="L2" s="2117"/>
      <c r="M2" s="2117"/>
      <c r="N2" s="2861" t="s">
        <v>16929</v>
      </c>
      <c r="O2" s="2862"/>
    </row>
    <row r="3" spans="2:15" ht="12.75" customHeight="1">
      <c r="B3" s="2118"/>
      <c r="C3" s="2436"/>
      <c r="D3" s="2436"/>
      <c r="E3" s="2436"/>
      <c r="F3" s="2867" t="s">
        <v>16896</v>
      </c>
      <c r="G3" s="2867"/>
      <c r="H3" s="2867"/>
      <c r="I3" s="2867"/>
      <c r="J3" s="2867"/>
      <c r="K3" s="2867"/>
      <c r="L3" s="2867"/>
      <c r="M3" s="2437"/>
      <c r="N3" s="2863"/>
      <c r="O3" s="2864"/>
    </row>
    <row r="4" spans="2:15" ht="12.75" customHeight="1">
      <c r="B4" s="2118"/>
      <c r="C4" s="2436"/>
      <c r="D4" s="2436"/>
      <c r="E4" s="2436"/>
      <c r="F4" s="2867"/>
      <c r="G4" s="2867"/>
      <c r="H4" s="2867"/>
      <c r="I4" s="2867"/>
      <c r="J4" s="2867"/>
      <c r="K4" s="2867"/>
      <c r="L4" s="2867"/>
      <c r="M4" s="2437"/>
      <c r="N4" s="2863"/>
      <c r="O4" s="2864"/>
    </row>
    <row r="5" spans="2:15" ht="12.75" customHeight="1">
      <c r="B5" s="2118"/>
      <c r="C5" s="2436"/>
      <c r="D5" s="2436"/>
      <c r="E5" s="2436"/>
      <c r="F5" s="2867"/>
      <c r="G5" s="2867"/>
      <c r="H5" s="2867"/>
      <c r="I5" s="2867"/>
      <c r="J5" s="2867"/>
      <c r="K5" s="2867"/>
      <c r="L5" s="2867"/>
      <c r="M5" s="2437"/>
      <c r="N5" s="2863"/>
      <c r="O5" s="2864"/>
    </row>
    <row r="6" spans="2:15" ht="12.75" customHeight="1">
      <c r="B6" s="2118"/>
      <c r="C6" s="2436"/>
      <c r="D6" s="2436"/>
      <c r="E6" s="2436"/>
      <c r="F6" s="2867"/>
      <c r="G6" s="2867"/>
      <c r="H6" s="2867"/>
      <c r="I6" s="2867"/>
      <c r="J6" s="2867"/>
      <c r="K6" s="2867"/>
      <c r="L6" s="2867"/>
      <c r="M6" s="2437"/>
      <c r="N6" s="2863"/>
      <c r="O6" s="2864"/>
    </row>
    <row r="7" spans="2:15" ht="13.5" customHeight="1" thickBot="1">
      <c r="B7" s="2118"/>
      <c r="C7" s="2119"/>
      <c r="D7" s="2119"/>
      <c r="E7" s="2119"/>
      <c r="F7" s="2868"/>
      <c r="G7" s="2868"/>
      <c r="H7" s="2868"/>
      <c r="I7" s="2868"/>
      <c r="J7" s="2868"/>
      <c r="K7" s="2868"/>
      <c r="L7" s="2868"/>
      <c r="M7" s="2437"/>
      <c r="N7" s="2865"/>
      <c r="O7" s="2866"/>
    </row>
    <row r="8" spans="2:15" ht="16.5" customHeight="1">
      <c r="B8" s="2315" t="s">
        <v>16930</v>
      </c>
      <c r="C8" s="2869" t="s">
        <v>16931</v>
      </c>
      <c r="D8" s="2869"/>
      <c r="E8" s="2869"/>
      <c r="F8" s="2869"/>
      <c r="G8" s="2869"/>
      <c r="H8" s="2869"/>
      <c r="I8" s="2869"/>
      <c r="J8" s="2869" t="s">
        <v>16932</v>
      </c>
      <c r="K8" s="2869"/>
      <c r="L8" s="2870" t="s">
        <v>16933</v>
      </c>
      <c r="M8" s="2870"/>
      <c r="N8" s="2316"/>
      <c r="O8" s="2317" t="s">
        <v>12615</v>
      </c>
    </row>
    <row r="9" spans="2:15" ht="24.75" customHeight="1">
      <c r="B9" s="2318" t="str">
        <f>'Inserção Dados'!G41</f>
        <v>121/2024/MTPAR</v>
      </c>
      <c r="C9" s="2858" t="str">
        <f>'Inserção Dados'!G48</f>
        <v>CONSTRUTORA NHAMBIQUARAS LTDA</v>
      </c>
      <c r="D9" s="2858"/>
      <c r="E9" s="2858"/>
      <c r="F9" s="2858"/>
      <c r="G9" s="2858"/>
      <c r="H9" s="2858"/>
      <c r="I9" s="2858"/>
      <c r="J9" s="2859">
        <v>13412792.050000001</v>
      </c>
      <c r="K9" s="2859"/>
      <c r="L9" s="2860">
        <v>0</v>
      </c>
      <c r="M9" s="2860"/>
      <c r="N9" s="2319"/>
      <c r="O9" s="2320">
        <f>J9+L9</f>
        <v>13412792.050000001</v>
      </c>
    </row>
    <row r="10" spans="2:15" ht="16.5" customHeight="1">
      <c r="B10" s="2321" t="s">
        <v>12663</v>
      </c>
      <c r="C10" s="2322" t="s">
        <v>16934</v>
      </c>
      <c r="D10" s="2322"/>
      <c r="E10" s="2322"/>
      <c r="F10" s="2322"/>
      <c r="G10" s="2872" t="s">
        <v>16185</v>
      </c>
      <c r="H10" s="2872"/>
      <c r="I10" s="2872"/>
      <c r="J10" s="2872"/>
      <c r="K10" s="2872" t="s">
        <v>16935</v>
      </c>
      <c r="L10" s="2872"/>
      <c r="M10" s="2872"/>
      <c r="N10" s="2872"/>
      <c r="O10" s="2873"/>
    </row>
    <row r="11" spans="2:15" ht="24" customHeight="1">
      <c r="B11" s="2323" t="s">
        <v>16950</v>
      </c>
      <c r="C11" s="2874" t="s">
        <v>16936</v>
      </c>
      <c r="D11" s="2874"/>
      <c r="E11" s="2874"/>
      <c r="F11" s="2874"/>
      <c r="G11" s="2875" t="s">
        <v>16951</v>
      </c>
      <c r="H11" s="2875"/>
      <c r="I11" s="2875"/>
      <c r="J11" s="2875"/>
      <c r="K11" s="2876" t="s">
        <v>17019</v>
      </c>
      <c r="L11" s="2876"/>
      <c r="M11" s="2876"/>
      <c r="N11" s="2876"/>
      <c r="O11" s="2877"/>
    </row>
    <row r="12" spans="2:15" ht="34.5" customHeight="1">
      <c r="B12" s="2324" t="s">
        <v>16937</v>
      </c>
      <c r="C12" s="2325" t="s">
        <v>16938</v>
      </c>
      <c r="D12" s="2871" t="s">
        <v>16939</v>
      </c>
      <c r="E12" s="2871"/>
      <c r="F12" s="2871"/>
      <c r="G12" s="2878" t="s">
        <v>16940</v>
      </c>
      <c r="H12" s="2878"/>
      <c r="I12" s="2879" t="s">
        <v>16941</v>
      </c>
      <c r="J12" s="2879"/>
      <c r="K12" s="2871" t="s">
        <v>16942</v>
      </c>
      <c r="L12" s="2871"/>
      <c r="M12" s="2878" t="s">
        <v>16943</v>
      </c>
      <c r="N12" s="2871" t="s">
        <v>15923</v>
      </c>
      <c r="O12" s="2326" t="s">
        <v>16944</v>
      </c>
    </row>
    <row r="13" spans="2:15" ht="22.5" customHeight="1">
      <c r="B13" s="2324" t="s">
        <v>16945</v>
      </c>
      <c r="C13" s="2325" t="s">
        <v>15074</v>
      </c>
      <c r="D13" s="2871"/>
      <c r="E13" s="2871"/>
      <c r="F13" s="2871"/>
      <c r="G13" s="2871">
        <v>300</v>
      </c>
      <c r="H13" s="2871"/>
      <c r="I13" s="2433" t="s">
        <v>16946</v>
      </c>
      <c r="J13" s="2325" t="s">
        <v>16947</v>
      </c>
      <c r="K13" s="2325" t="s">
        <v>16946</v>
      </c>
      <c r="L13" s="2325" t="s">
        <v>16947</v>
      </c>
      <c r="M13" s="2871"/>
      <c r="N13" s="2871"/>
      <c r="O13" s="2477">
        <f>J9</f>
        <v>13412792.050000001</v>
      </c>
    </row>
    <row r="14" spans="2:15" s="2120" customFormat="1" ht="18">
      <c r="B14" s="2465"/>
      <c r="C14" s="2452" t="s">
        <v>16948</v>
      </c>
      <c r="D14" s="2453">
        <v>45686</v>
      </c>
      <c r="E14" s="2453" t="s">
        <v>16949</v>
      </c>
      <c r="F14" s="2453">
        <v>45688</v>
      </c>
      <c r="G14" s="2451">
        <f t="shared" ref="G14:G19" si="0">F14-D14+1</f>
        <v>3</v>
      </c>
      <c r="H14" s="2451">
        <f>$G$13-G14</f>
        <v>297</v>
      </c>
      <c r="I14" s="2454">
        <v>0</v>
      </c>
      <c r="J14" s="2455">
        <f>I14</f>
        <v>0</v>
      </c>
      <c r="K14" s="2456"/>
      <c r="L14" s="2454"/>
      <c r="M14" s="2456">
        <f>J14</f>
        <v>0</v>
      </c>
      <c r="N14" s="2456">
        <f t="shared" ref="N14:N19" si="1">J14</f>
        <v>0</v>
      </c>
      <c r="O14" s="2466">
        <f t="shared" ref="O14:O19" si="2">$O$13-N14</f>
        <v>13412792.050000001</v>
      </c>
    </row>
    <row r="15" spans="2:15" s="2120" customFormat="1" ht="18">
      <c r="B15" s="2465"/>
      <c r="C15" s="2452" t="s">
        <v>17004</v>
      </c>
      <c r="D15" s="2453">
        <v>45689</v>
      </c>
      <c r="E15" s="2453" t="s">
        <v>16949</v>
      </c>
      <c r="F15" s="2453">
        <v>45716</v>
      </c>
      <c r="G15" s="2451">
        <f t="shared" si="0"/>
        <v>28</v>
      </c>
      <c r="H15" s="2451">
        <f>$G$13-G15-G14</f>
        <v>269</v>
      </c>
      <c r="I15" s="2454">
        <v>98945.38</v>
      </c>
      <c r="J15" s="2455">
        <f>I15</f>
        <v>98945.38</v>
      </c>
      <c r="K15" s="2456"/>
      <c r="L15" s="2454"/>
      <c r="M15" s="2456">
        <f>J15</f>
        <v>98945.38</v>
      </c>
      <c r="N15" s="2456">
        <f t="shared" si="1"/>
        <v>98945.38</v>
      </c>
      <c r="O15" s="2466">
        <f t="shared" si="2"/>
        <v>13313846.67</v>
      </c>
    </row>
    <row r="16" spans="2:15" s="2120" customFormat="1" ht="18">
      <c r="B16" s="2465"/>
      <c r="C16" s="2452" t="s">
        <v>17007</v>
      </c>
      <c r="D16" s="2453">
        <v>45717</v>
      </c>
      <c r="E16" s="2453" t="s">
        <v>16949</v>
      </c>
      <c r="F16" s="2453">
        <v>45747</v>
      </c>
      <c r="G16" s="2451">
        <f t="shared" si="0"/>
        <v>31</v>
      </c>
      <c r="H16" s="2451">
        <f>$G$13-G16-G15-G14</f>
        <v>238</v>
      </c>
      <c r="I16" s="2454">
        <v>109171.75</v>
      </c>
      <c r="J16" s="2455">
        <f>J15+I16</f>
        <v>208117.13</v>
      </c>
      <c r="K16" s="2456"/>
      <c r="L16" s="2454"/>
      <c r="M16" s="2456">
        <f>I16</f>
        <v>109171.75</v>
      </c>
      <c r="N16" s="2456">
        <f t="shared" si="1"/>
        <v>208117.13</v>
      </c>
      <c r="O16" s="2466">
        <f t="shared" si="2"/>
        <v>13204674.92</v>
      </c>
    </row>
    <row r="17" spans="2:19" s="2120" customFormat="1" ht="18">
      <c r="B17" s="2465"/>
      <c r="C17" s="2452" t="s">
        <v>17009</v>
      </c>
      <c r="D17" s="2453">
        <v>45748</v>
      </c>
      <c r="E17" s="2453" t="s">
        <v>16949</v>
      </c>
      <c r="F17" s="2453">
        <v>45777</v>
      </c>
      <c r="G17" s="2451">
        <f t="shared" si="0"/>
        <v>30</v>
      </c>
      <c r="H17" s="2451">
        <f>$G$13-G17-G16-G15-G14</f>
        <v>208</v>
      </c>
      <c r="I17" s="2454">
        <v>184652.68000000002</v>
      </c>
      <c r="J17" s="2455">
        <f>J16+I17</f>
        <v>392769.81000000006</v>
      </c>
      <c r="K17" s="2456"/>
      <c r="L17" s="2454"/>
      <c r="M17" s="2456">
        <f>I17</f>
        <v>184652.68000000002</v>
      </c>
      <c r="N17" s="2456">
        <f t="shared" si="1"/>
        <v>392769.81000000006</v>
      </c>
      <c r="O17" s="2466">
        <f t="shared" si="2"/>
        <v>13020022.24</v>
      </c>
    </row>
    <row r="18" spans="2:19" s="2120" customFormat="1" ht="18">
      <c r="B18" s="2465"/>
      <c r="C18" s="2452" t="s">
        <v>17011</v>
      </c>
      <c r="D18" s="2453">
        <v>45778</v>
      </c>
      <c r="E18" s="2453" t="s">
        <v>16949</v>
      </c>
      <c r="F18" s="2453">
        <v>45808</v>
      </c>
      <c r="G18" s="2451">
        <f t="shared" si="0"/>
        <v>31</v>
      </c>
      <c r="H18" s="2451">
        <f>$G$13-G18-G17-G16-G15-G14</f>
        <v>177</v>
      </c>
      <c r="I18" s="2454">
        <v>159714.32999999999</v>
      </c>
      <c r="J18" s="2455">
        <f>J17+I18</f>
        <v>552484.14</v>
      </c>
      <c r="K18" s="2456"/>
      <c r="L18" s="2454"/>
      <c r="M18" s="2456">
        <f>I18</f>
        <v>159714.32999999999</v>
      </c>
      <c r="N18" s="2456">
        <f t="shared" si="1"/>
        <v>552484.14</v>
      </c>
      <c r="O18" s="2466">
        <f t="shared" si="2"/>
        <v>12860307.91</v>
      </c>
      <c r="P18" s="2121"/>
    </row>
    <row r="19" spans="2:19" s="2120" customFormat="1" ht="18">
      <c r="B19" s="2467"/>
      <c r="C19" s="2452" t="s">
        <v>17018</v>
      </c>
      <c r="D19" s="2453">
        <v>45809</v>
      </c>
      <c r="E19" s="2459" t="s">
        <v>16949</v>
      </c>
      <c r="F19" s="2459">
        <v>45838</v>
      </c>
      <c r="G19" s="2457">
        <f t="shared" si="0"/>
        <v>30</v>
      </c>
      <c r="H19" s="2451">
        <f>$G$13-G19-G18-G17-G16-G15-G14</f>
        <v>147</v>
      </c>
      <c r="I19" s="2454">
        <f>'Medição '!N1835</f>
        <v>12069.059999999994</v>
      </c>
      <c r="J19" s="2455">
        <f>J18+I19</f>
        <v>564553.19999999995</v>
      </c>
      <c r="K19" s="2462"/>
      <c r="L19" s="2460"/>
      <c r="M19" s="2456">
        <f>I19</f>
        <v>12069.059999999994</v>
      </c>
      <c r="N19" s="2456">
        <f t="shared" si="1"/>
        <v>564553.19999999995</v>
      </c>
      <c r="O19" s="2466">
        <f t="shared" si="2"/>
        <v>12848238.850000001</v>
      </c>
      <c r="P19" s="2121"/>
    </row>
    <row r="20" spans="2:19" ht="18">
      <c r="B20" s="2467"/>
      <c r="C20" s="2458"/>
      <c r="D20" s="2453"/>
      <c r="E20" s="2459"/>
      <c r="F20" s="2459"/>
      <c r="G20" s="2457"/>
      <c r="H20" s="2457"/>
      <c r="I20" s="2460"/>
      <c r="J20" s="2461"/>
      <c r="K20" s="2462"/>
      <c r="L20" s="2460"/>
      <c r="M20" s="2462"/>
      <c r="N20" s="2462"/>
      <c r="O20" s="2468"/>
      <c r="P20" s="2121"/>
    </row>
    <row r="21" spans="2:19" ht="18">
      <c r="B21" s="2465"/>
      <c r="C21" s="2452"/>
      <c r="D21" s="2453"/>
      <c r="E21" s="2453"/>
      <c r="F21" s="2453"/>
      <c r="G21" s="2451"/>
      <c r="H21" s="2451"/>
      <c r="I21" s="2454"/>
      <c r="J21" s="2455"/>
      <c r="K21" s="2456"/>
      <c r="L21" s="2454"/>
      <c r="M21" s="2456"/>
      <c r="N21" s="2456"/>
      <c r="O21" s="2469"/>
      <c r="P21" s="2121"/>
    </row>
    <row r="22" spans="2:19" ht="18">
      <c r="B22" s="2470"/>
      <c r="C22" s="2464"/>
      <c r="D22" s="2463"/>
      <c r="E22" s="2457"/>
      <c r="F22" s="2463"/>
      <c r="G22" s="2463"/>
      <c r="H22" s="2463"/>
      <c r="I22" s="2463"/>
      <c r="J22" s="2463"/>
      <c r="K22" s="2463"/>
      <c r="L22" s="2463"/>
      <c r="M22" s="2463"/>
      <c r="N22" s="2463"/>
      <c r="O22" s="2471"/>
    </row>
    <row r="23" spans="2:19" ht="15">
      <c r="B23" s="2324"/>
      <c r="C23" s="2446"/>
      <c r="D23" s="2447"/>
      <c r="E23" s="2447"/>
      <c r="F23" s="2447"/>
      <c r="G23" s="2325"/>
      <c r="H23" s="2325"/>
      <c r="I23" s="2448"/>
      <c r="J23" s="2449"/>
      <c r="K23" s="2450"/>
      <c r="L23" s="2448"/>
      <c r="M23" s="2450"/>
      <c r="N23" s="2450"/>
      <c r="O23" s="2472"/>
      <c r="P23" s="2121"/>
    </row>
    <row r="24" spans="2:19" ht="15">
      <c r="B24" s="2324"/>
      <c r="C24" s="2446"/>
      <c r="D24" s="2447"/>
      <c r="E24" s="2447"/>
      <c r="F24" s="2447"/>
      <c r="G24" s="2325"/>
      <c r="H24" s="2325"/>
      <c r="I24" s="2448"/>
      <c r="J24" s="2449"/>
      <c r="K24" s="2450"/>
      <c r="L24" s="2448"/>
      <c r="M24" s="2450"/>
      <c r="N24" s="2450"/>
      <c r="O24" s="2472"/>
      <c r="P24" s="2121"/>
    </row>
    <row r="25" spans="2:19" ht="15">
      <c r="B25" s="2324"/>
      <c r="C25" s="2446"/>
      <c r="D25" s="2447"/>
      <c r="E25" s="2447"/>
      <c r="F25" s="2447"/>
      <c r="G25" s="2325"/>
      <c r="H25" s="2325"/>
      <c r="I25" s="2448"/>
      <c r="J25" s="2449"/>
      <c r="K25" s="2450"/>
      <c r="L25" s="2448"/>
      <c r="M25" s="2450"/>
      <c r="N25" s="2450"/>
      <c r="O25" s="2472"/>
      <c r="P25" s="2121"/>
    </row>
    <row r="26" spans="2:19" ht="15">
      <c r="B26" s="2324"/>
      <c r="C26" s="2446"/>
      <c r="D26" s="2447"/>
      <c r="E26" s="2447"/>
      <c r="F26" s="2447"/>
      <c r="G26" s="2325"/>
      <c r="H26" s="2325"/>
      <c r="I26" s="2448"/>
      <c r="J26" s="2449"/>
      <c r="K26" s="2450"/>
      <c r="L26" s="2448"/>
      <c r="M26" s="2450"/>
      <c r="N26" s="2450"/>
      <c r="O26" s="2472"/>
      <c r="P26" s="2121"/>
    </row>
    <row r="27" spans="2:19" ht="36.75" customHeight="1">
      <c r="B27" s="2438"/>
      <c r="C27" s="2439"/>
      <c r="D27" s="2440"/>
      <c r="E27" s="2440"/>
      <c r="F27" s="2440"/>
      <c r="G27" s="2441"/>
      <c r="H27" s="2441"/>
      <c r="I27" s="2442"/>
      <c r="J27" s="2443"/>
      <c r="K27" s="2444"/>
      <c r="L27" s="2442"/>
      <c r="M27" s="2444"/>
      <c r="N27" s="2444"/>
      <c r="O27" s="2445"/>
      <c r="P27" s="2121"/>
    </row>
    <row r="28" spans="2:19" ht="36.75" customHeight="1">
      <c r="B28" s="2438"/>
      <c r="C28" s="2439"/>
      <c r="D28" s="2440"/>
      <c r="E28" s="2440"/>
      <c r="F28" s="2440"/>
      <c r="G28" s="2441"/>
      <c r="H28" s="2441"/>
      <c r="I28" s="2442"/>
      <c r="J28" s="2443"/>
      <c r="K28" s="2444"/>
      <c r="L28" s="2442"/>
      <c r="M28" s="2444"/>
      <c r="N28" s="2444"/>
      <c r="O28" s="2445"/>
      <c r="P28" s="2121"/>
    </row>
    <row r="29" spans="2:19" ht="36.75" customHeight="1">
      <c r="B29" s="2438"/>
      <c r="C29" s="2439"/>
      <c r="D29" s="2440"/>
      <c r="E29" s="2440"/>
      <c r="F29" s="2440"/>
      <c r="G29" s="2441"/>
      <c r="H29" s="2441"/>
      <c r="I29" s="2442"/>
      <c r="J29" s="2443"/>
      <c r="K29" s="2444"/>
      <c r="L29" s="2442"/>
      <c r="M29" s="2444"/>
      <c r="N29" s="2444"/>
      <c r="O29" s="2445"/>
      <c r="P29" s="2121"/>
    </row>
    <row r="30" spans="2:19">
      <c r="B30" s="2118"/>
      <c r="C30" s="2434"/>
      <c r="D30" s="2422" t="s">
        <v>16995</v>
      </c>
      <c r="E30" s="2434"/>
      <c r="F30" s="2435"/>
      <c r="G30" s="2435"/>
      <c r="H30" s="2435"/>
      <c r="I30" s="2435"/>
      <c r="J30" s="2857" t="s">
        <v>17012</v>
      </c>
      <c r="K30" s="2857"/>
      <c r="L30" s="2857"/>
      <c r="M30" s="2434"/>
      <c r="N30" s="2434"/>
      <c r="O30" s="2122"/>
      <c r="S30" s="2576" t="s">
        <v>17022</v>
      </c>
    </row>
    <row r="31" spans="2:19">
      <c r="B31" s="2118"/>
      <c r="C31" s="2434"/>
      <c r="D31" s="2422" t="s">
        <v>16996</v>
      </c>
      <c r="E31" s="2434"/>
      <c r="F31" s="2473"/>
      <c r="G31" s="2473"/>
      <c r="H31" s="2473"/>
      <c r="I31" s="2473"/>
      <c r="J31" s="2857" t="s">
        <v>17014</v>
      </c>
      <c r="K31" s="2857"/>
      <c r="L31" s="2857"/>
      <c r="M31" s="2474"/>
      <c r="N31" s="2475"/>
      <c r="O31" s="2122"/>
    </row>
    <row r="32" spans="2:19" s="2126" customFormat="1" ht="15.75">
      <c r="B32" s="2123"/>
      <c r="C32" s="2124"/>
      <c r="D32" s="2422" t="s">
        <v>16723</v>
      </c>
      <c r="E32" s="2124"/>
      <c r="F32" s="2473"/>
      <c r="G32" s="2473"/>
      <c r="H32" s="2473"/>
      <c r="I32" s="2473"/>
      <c r="J32" s="2857" t="s">
        <v>17005</v>
      </c>
      <c r="K32" s="2857"/>
      <c r="L32" s="2857"/>
      <c r="M32" s="2476"/>
      <c r="N32" s="2476"/>
      <c r="O32" s="2125"/>
    </row>
    <row r="33" spans="2:15" ht="13.5" thickBot="1">
      <c r="B33" s="2127"/>
      <c r="C33" s="2128"/>
      <c r="D33" s="2128"/>
      <c r="E33" s="2128"/>
      <c r="F33" s="2129"/>
      <c r="G33" s="2129"/>
      <c r="H33" s="2129"/>
      <c r="I33" s="2129"/>
      <c r="J33" s="2129"/>
      <c r="K33" s="2129"/>
      <c r="L33" s="2129"/>
      <c r="M33" s="2129"/>
      <c r="N33" s="2129"/>
      <c r="O33" s="2130"/>
    </row>
    <row r="34" spans="2:15"/>
    <row r="35" spans="2:15"/>
    <row r="36" spans="2:15"/>
    <row r="37" spans="2:15"/>
    <row r="38" spans="2:15"/>
    <row r="39" spans="2:15"/>
    <row r="40" spans="2:15"/>
    <row r="41" spans="2:15"/>
    <row r="42" spans="2:15"/>
    <row r="43" spans="2:15" ht="12.75" customHeight="1"/>
    <row r="83" spans="15:15" ht="12.75" hidden="1" customHeight="1">
      <c r="O83" s="2113">
        <f>J88</f>
        <v>0</v>
      </c>
    </row>
  </sheetData>
  <mergeCells count="23">
    <mergeCell ref="N12:N13"/>
    <mergeCell ref="G13:H13"/>
    <mergeCell ref="G10:J10"/>
    <mergeCell ref="K10:O10"/>
    <mergeCell ref="C11:F11"/>
    <mergeCell ref="G11:J11"/>
    <mergeCell ref="K11:O11"/>
    <mergeCell ref="D12:F13"/>
    <mergeCell ref="G12:H12"/>
    <mergeCell ref="I12:J12"/>
    <mergeCell ref="K12:L12"/>
    <mergeCell ref="M12:M13"/>
    <mergeCell ref="N2:O7"/>
    <mergeCell ref="F3:L7"/>
    <mergeCell ref="C8:I8"/>
    <mergeCell ref="J8:K8"/>
    <mergeCell ref="L8:M8"/>
    <mergeCell ref="J30:L30"/>
    <mergeCell ref="J31:L31"/>
    <mergeCell ref="J32:L32"/>
    <mergeCell ref="C9:I9"/>
    <mergeCell ref="J9:K9"/>
    <mergeCell ref="L9:M9"/>
  </mergeCells>
  <conditionalFormatting sqref="G31:H31">
    <cfRule type="cellIs" dxfId="13" priority="1" stopIfTrue="1" operator="equal">
      <formula>0</formula>
    </cfRule>
  </conditionalFormatting>
  <pageMargins left="0.511811024" right="0.511811024" top="0.78740157499999996" bottom="0.78740157499999996" header="0.31496062000000002" footer="0.31496062000000002"/>
  <pageSetup paperSize="9" scale="5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pageSetUpPr fitToPage="1"/>
  </sheetPr>
  <dimension ref="A1:AF1850"/>
  <sheetViews>
    <sheetView tabSelected="1" topLeftCell="A55" zoomScale="85" zoomScaleNormal="85" workbookViewId="0">
      <selection activeCell="L39" sqref="L39"/>
    </sheetView>
  </sheetViews>
  <sheetFormatPr defaultColWidth="12.5703125" defaultRowHeight="15" customHeight="1"/>
  <cols>
    <col min="1" max="1" width="10.85546875" customWidth="1"/>
    <col min="2" max="2" width="13" bestFit="1" customWidth="1"/>
    <col min="3" max="3" width="16.28515625" customWidth="1"/>
    <col min="4" max="4" width="74.7109375" customWidth="1"/>
    <col min="5" max="5" width="9.5703125" customWidth="1"/>
    <col min="6" max="6" width="10.7109375" customWidth="1"/>
    <col min="7" max="7" width="17.28515625" customWidth="1"/>
    <col min="8" max="8" width="17.28515625" bestFit="1" customWidth="1"/>
    <col min="9" max="9" width="11.42578125" customWidth="1"/>
    <col min="10" max="10" width="13.42578125" customWidth="1"/>
    <col min="11" max="11" width="16" style="2416" bestFit="1" customWidth="1"/>
    <col min="12" max="12" width="15.5703125" bestFit="1" customWidth="1"/>
    <col min="13" max="13" width="16.85546875" bestFit="1" customWidth="1"/>
    <col min="14" max="14" width="16.7109375" customWidth="1"/>
    <col min="15" max="15" width="18.28515625" bestFit="1" customWidth="1"/>
    <col min="16" max="16" width="17.140625" customWidth="1"/>
    <col min="17" max="17" width="14.140625" customWidth="1"/>
    <col min="18" max="18" width="16.28515625" customWidth="1"/>
    <col min="19" max="19" width="14.42578125" bestFit="1" customWidth="1"/>
  </cols>
  <sheetData>
    <row r="1" spans="1:32" s="2137" customFormat="1" ht="17.25" customHeight="1">
      <c r="A1" s="2131"/>
      <c r="B1" s="2132"/>
      <c r="C1" s="2148"/>
      <c r="D1" s="2133"/>
      <c r="E1" s="2134"/>
      <c r="F1" s="2947" t="s">
        <v>16952</v>
      </c>
      <c r="G1" s="2947"/>
      <c r="H1" s="2947"/>
      <c r="I1" s="2948"/>
      <c r="J1" s="2951" t="s">
        <v>16986</v>
      </c>
      <c r="K1" s="2953" t="str">
        <f>'Inserção Dados'!G48</f>
        <v>CONSTRUTORA NHAMBIQUARAS LTDA</v>
      </c>
      <c r="L1" s="2954"/>
      <c r="M1" s="2954"/>
      <c r="N1" s="2954"/>
      <c r="O1" s="2954"/>
      <c r="P1" s="2955"/>
      <c r="Q1" s="2135"/>
      <c r="R1" s="2136"/>
      <c r="S1" s="2136"/>
    </row>
    <row r="2" spans="1:32" s="2137" customFormat="1" ht="17.25" customHeight="1" thickBot="1">
      <c r="A2" s="2138"/>
      <c r="B2" s="2403"/>
      <c r="C2" s="2934" t="str">
        <f>'Dados Contrato'!C9:M9</f>
        <v>GOVERNO DO ESTADO DE MATO GROSSO</v>
      </c>
      <c r="D2" s="2935"/>
      <c r="E2" s="2936"/>
      <c r="F2" s="2949"/>
      <c r="G2" s="2949"/>
      <c r="H2" s="2949"/>
      <c r="I2" s="2950"/>
      <c r="J2" s="2952"/>
      <c r="K2" s="2937">
        <f>'Inserção Dados'!G49</f>
        <v>3076083000190</v>
      </c>
      <c r="L2" s="2938"/>
      <c r="M2" s="2938"/>
      <c r="N2" s="2938"/>
      <c r="O2" s="2938"/>
      <c r="P2" s="2939"/>
      <c r="Q2" s="2136"/>
      <c r="R2" s="2136"/>
      <c r="S2" s="2136"/>
    </row>
    <row r="3" spans="1:32" s="2137" customFormat="1" ht="20.25" thickTop="1" thickBot="1">
      <c r="A3" s="2138"/>
      <c r="B3" s="2403"/>
      <c r="C3" s="2934" t="str">
        <f>'Dados Contrato'!C10:M10</f>
        <v>MTPAR  -  MT PARTICIPAÇÕES E PROJETOS S.A.</v>
      </c>
      <c r="D3" s="2935"/>
      <c r="E3" s="2936"/>
      <c r="F3" s="2940" t="str">
        <f>'Inserção Dados'!G72&amp;"ª  Medição"</f>
        <v>6ª  Medição</v>
      </c>
      <c r="G3" s="2940"/>
      <c r="H3" s="2940"/>
      <c r="I3" s="2941" t="s">
        <v>16953</v>
      </c>
      <c r="J3" s="2942"/>
      <c r="K3" s="2417">
        <f>'Inserção Dados'!G44</f>
        <v>45686</v>
      </c>
      <c r="L3" s="2943" t="s">
        <v>16954</v>
      </c>
      <c r="M3" s="2942"/>
      <c r="N3" s="2942"/>
      <c r="O3" s="2402" t="str">
        <f>'Inserção Dados'!G71</f>
        <v>Rescisória</v>
      </c>
      <c r="P3" s="2215"/>
      <c r="Q3" s="2136"/>
      <c r="R3" s="2136"/>
      <c r="S3" s="2136"/>
    </row>
    <row r="4" spans="1:32" s="2137" customFormat="1" ht="17.25" customHeight="1" thickTop="1" thickBot="1">
      <c r="A4" s="2138"/>
      <c r="B4" s="2403"/>
      <c r="C4" s="2149"/>
      <c r="D4" s="2150"/>
      <c r="E4" s="2139"/>
      <c r="F4" s="2956" t="str">
        <f>"Período Simples:   "&amp;TEXT('Inserção Dados'!G74,"dd/mm/aa")&amp;"  a  "&amp;TEXT('Inserção Dados'!G75,"dd/mm/aa")</f>
        <v>Período Simples:   01/06/25  a  30/06/25</v>
      </c>
      <c r="G4" s="2956"/>
      <c r="H4" s="2956"/>
      <c r="I4" s="2964" t="s">
        <v>16726</v>
      </c>
      <c r="J4" s="2957" t="str">
        <f>'Inserção Dados'!F28</f>
        <v>CONTRATAÇÃO DE EMPRESA PARA A REALIZAÇÃO DAS OBRAS DO COMPLEXO SUNSET, NAS DEPENDÊNCIAS DO PARQUE NOVO MATO GROSSO, LOCALIZADO NO MUNICÍPIO DE CUIABÁ -MT</v>
      </c>
      <c r="K4" s="2958"/>
      <c r="L4" s="2958"/>
      <c r="M4" s="2958"/>
      <c r="N4" s="2958"/>
      <c r="O4" s="2958"/>
      <c r="P4" s="2959"/>
      <c r="Q4" s="2136"/>
      <c r="R4" s="2136"/>
      <c r="S4" s="2136"/>
    </row>
    <row r="5" spans="1:32" s="2137" customFormat="1" ht="17.25" customHeight="1" thickBot="1">
      <c r="A5" s="2140"/>
      <c r="B5" s="2141"/>
      <c r="C5" s="2970"/>
      <c r="D5" s="2971"/>
      <c r="E5" s="2972"/>
      <c r="F5" s="2963" t="str">
        <f>"Período Acumulado:   "&amp;TEXT('Inserção Dados'!G44,"DD/MM/AA")&amp;"  a  "&amp;TEXT('Inserção Dados'!G75,"DD/MM/AA")</f>
        <v>Período Acumulado:   29/01/25  a  30/06/25</v>
      </c>
      <c r="G5" s="2963"/>
      <c r="H5" s="2963"/>
      <c r="I5" s="2965"/>
      <c r="J5" s="2960"/>
      <c r="K5" s="2961"/>
      <c r="L5" s="2961"/>
      <c r="M5" s="2961"/>
      <c r="N5" s="2961"/>
      <c r="O5" s="2961"/>
      <c r="P5" s="2962"/>
      <c r="Q5" s="2136"/>
      <c r="R5" s="2136"/>
      <c r="S5" s="2136"/>
      <c r="V5" s="217" t="s">
        <v>12663</v>
      </c>
      <c r="W5" s="2966" t="s">
        <v>12664</v>
      </c>
      <c r="X5" s="2659"/>
      <c r="Y5" s="2659"/>
      <c r="Z5" s="2660"/>
      <c r="AA5" s="218" t="s">
        <v>12665</v>
      </c>
      <c r="AB5" s="219">
        <f>'06-BDI'!N62</f>
        <v>0.25</v>
      </c>
      <c r="AC5" s="2967" t="s">
        <v>12666</v>
      </c>
      <c r="AD5" s="2660"/>
      <c r="AE5" s="2944">
        <f>G1835</f>
        <v>13412792.050000027</v>
      </c>
      <c r="AF5" s="2945"/>
    </row>
    <row r="6" spans="1:32" s="2137" customFormat="1" ht="17.25" customHeight="1" thickTop="1" thickBot="1">
      <c r="A6" s="2913" t="s">
        <v>16987</v>
      </c>
      <c r="B6" s="2914"/>
      <c r="C6" s="2389" t="str">
        <f>'Inserção Dados'!G41</f>
        <v>121/2024/MTPAR</v>
      </c>
      <c r="D6" s="2384" t="s">
        <v>16839</v>
      </c>
      <c r="E6" s="2385"/>
      <c r="F6" s="2989" t="s">
        <v>12616</v>
      </c>
      <c r="G6" s="2305" t="s">
        <v>16955</v>
      </c>
      <c r="H6" s="2208">
        <f>'Inserção Dados'!L105</f>
        <v>13412792.050000001</v>
      </c>
      <c r="I6" s="2915" t="s">
        <v>16727</v>
      </c>
      <c r="J6" s="2917" t="str">
        <f>'Inserção Dados'!F31</f>
        <v>MT - 251, KM 12, ÁREA RURAL, PARQUE NOVO MT, CUIABÁ-MT.</v>
      </c>
      <c r="K6" s="2918"/>
      <c r="L6" s="2918"/>
      <c r="M6" s="2918"/>
      <c r="N6" s="2918"/>
      <c r="O6" s="2918"/>
      <c r="P6" s="2968"/>
      <c r="Q6" s="2136"/>
      <c r="R6" s="2136"/>
      <c r="S6" s="2136"/>
      <c r="V6" s="220" t="s">
        <v>12667</v>
      </c>
      <c r="W6" s="2929" t="s">
        <v>12668</v>
      </c>
      <c r="X6" s="2930"/>
      <c r="Y6" s="2930"/>
      <c r="Z6" s="2926"/>
      <c r="AA6" s="222" t="s">
        <v>12669</v>
      </c>
      <c r="AB6" s="223">
        <f>'06-BDI'!N1085</f>
        <v>0.16470000000000001</v>
      </c>
      <c r="AC6" s="2925" t="s">
        <v>12670</v>
      </c>
      <c r="AD6" s="2926"/>
      <c r="AE6" s="2946">
        <f>G1834</f>
        <v>0</v>
      </c>
      <c r="AF6" s="2928"/>
    </row>
    <row r="7" spans="1:32" s="2137" customFormat="1" ht="17.25" customHeight="1">
      <c r="A7" s="2882" t="s">
        <v>16988</v>
      </c>
      <c r="B7" s="2883"/>
      <c r="C7" s="2390">
        <f>'Inserção Dados'!G42</f>
        <v>45638</v>
      </c>
      <c r="D7" s="2386" t="s">
        <v>16956</v>
      </c>
      <c r="E7" s="2334">
        <f>'Inserção Dados'!L114</f>
        <v>300</v>
      </c>
      <c r="F7" s="2990"/>
      <c r="G7" s="2214" t="s">
        <v>16957</v>
      </c>
      <c r="H7" s="2209">
        <f>'Inserção Dados'!L107-'Inserção Dados'!L108</f>
        <v>0</v>
      </c>
      <c r="I7" s="2916"/>
      <c r="J7" s="2920"/>
      <c r="K7" s="2921"/>
      <c r="L7" s="2921"/>
      <c r="M7" s="2921"/>
      <c r="N7" s="2921"/>
      <c r="O7" s="2921"/>
      <c r="P7" s="2969"/>
      <c r="Q7" s="2136"/>
      <c r="R7" s="2136"/>
      <c r="S7" s="2136"/>
      <c r="V7" s="220" t="s">
        <v>12671</v>
      </c>
      <c r="W7" s="221" t="s">
        <v>12672</v>
      </c>
      <c r="X7" s="224"/>
      <c r="Y7" s="224"/>
      <c r="Z7" s="1797"/>
      <c r="AA7" s="222" t="s">
        <v>12673</v>
      </c>
      <c r="AB7" s="225">
        <f ca="1">TODAY()</f>
        <v>45839</v>
      </c>
      <c r="AC7" s="2925" t="s">
        <v>12674</v>
      </c>
      <c r="AD7" s="2926"/>
      <c r="AE7" s="2927" t="s">
        <v>12675</v>
      </c>
      <c r="AF7" s="2928"/>
    </row>
    <row r="8" spans="1:32" s="2137" customFormat="1" ht="30">
      <c r="A8" s="2882" t="s">
        <v>16989</v>
      </c>
      <c r="B8" s="2883"/>
      <c r="C8" s="2504" t="str">
        <f>'Inserção Dados'!G38</f>
        <v>MTPAR-PRO-2024/02020.01</v>
      </c>
      <c r="D8" s="2387" t="s">
        <v>16957</v>
      </c>
      <c r="E8" s="2335">
        <f>'Inserção Dados'!L115</f>
        <v>0</v>
      </c>
      <c r="F8" s="2990"/>
      <c r="G8" s="2214" t="s">
        <v>15931</v>
      </c>
      <c r="H8" s="2209">
        <f>H6+H7</f>
        <v>13412792.050000001</v>
      </c>
      <c r="I8" s="2915" t="s">
        <v>16958</v>
      </c>
      <c r="J8" s="2210" t="str">
        <f>'[1]Inserção Dados'!G33</f>
        <v xml:space="preserve"> 15°27'32.69"S</v>
      </c>
      <c r="K8" s="2211">
        <f>'[1]Inserção Dados'!F33</f>
        <v>0</v>
      </c>
      <c r="L8" s="2917" t="s">
        <v>16959</v>
      </c>
      <c r="M8" s="2918"/>
      <c r="N8" s="2918"/>
      <c r="O8" s="2919"/>
      <c r="P8" s="2887">
        <f>'Inserção Dados'!G73</f>
        <v>0</v>
      </c>
      <c r="Q8" s="2136"/>
      <c r="R8" s="2136"/>
      <c r="S8" s="2136"/>
      <c r="V8" s="226" t="s">
        <v>12676</v>
      </c>
      <c r="W8" s="2931" t="s">
        <v>16928</v>
      </c>
      <c r="X8" s="2932"/>
      <c r="Y8" s="2932"/>
      <c r="Z8" s="2933"/>
      <c r="AA8" s="227" t="s">
        <v>12677</v>
      </c>
      <c r="AB8" s="228" t="s">
        <v>12678</v>
      </c>
      <c r="AC8" s="2973" t="s">
        <v>12679</v>
      </c>
      <c r="AD8" s="2933"/>
      <c r="AE8" s="2923" t="s">
        <v>12680</v>
      </c>
      <c r="AF8" s="2924"/>
    </row>
    <row r="9" spans="1:32" s="2137" customFormat="1" ht="17.25" customHeight="1">
      <c r="A9" s="2882" t="s">
        <v>16990</v>
      </c>
      <c r="B9" s="2883"/>
      <c r="C9" s="2391" t="str">
        <f>'Inserção Dados'!G39</f>
        <v>060/2024/MTPAR</v>
      </c>
      <c r="D9" s="2387" t="s">
        <v>16960</v>
      </c>
      <c r="E9" s="2335">
        <f>E7+E8</f>
        <v>300</v>
      </c>
      <c r="F9" s="2990"/>
      <c r="G9" s="2214" t="s">
        <v>16961</v>
      </c>
      <c r="H9" s="2209">
        <f>$L$1835</f>
        <v>564553.19999999995</v>
      </c>
      <c r="I9" s="2916"/>
      <c r="J9" s="2212" t="str">
        <f>'[1]Inserção Dados'!G34</f>
        <v xml:space="preserve"> 56° 4'44.62"O</v>
      </c>
      <c r="K9" s="2211">
        <f>'[1]Inserção Dados'!F34</f>
        <v>0</v>
      </c>
      <c r="L9" s="2920"/>
      <c r="M9" s="2921"/>
      <c r="N9" s="2921"/>
      <c r="O9" s="2922"/>
      <c r="P9" s="2888"/>
      <c r="Q9" s="2136"/>
      <c r="R9" s="2136"/>
      <c r="S9" s="2136"/>
    </row>
    <row r="10" spans="1:32" s="2137" customFormat="1" ht="17.25" customHeight="1" thickBot="1">
      <c r="A10" s="2889" t="s">
        <v>16991</v>
      </c>
      <c r="B10" s="2890"/>
      <c r="C10" s="2392" t="str">
        <f>'Inserção Dados'!G40</f>
        <v>Concorrência</v>
      </c>
      <c r="D10" s="2388" t="s">
        <v>16962</v>
      </c>
      <c r="E10" s="2336">
        <f>'Inserção Dados'!L118</f>
        <v>147</v>
      </c>
      <c r="F10" s="2991"/>
      <c r="G10" s="2260" t="s">
        <v>16963</v>
      </c>
      <c r="H10" s="2261">
        <f>H8-H9</f>
        <v>12848238.850000001</v>
      </c>
      <c r="I10" s="2213" t="s">
        <v>16964</v>
      </c>
      <c r="J10" s="2884" t="str">
        <f>'Inserção Dados'!F32&amp;" - MT"</f>
        <v xml:space="preserve"> CUIABÁ  - MT</v>
      </c>
      <c r="K10" s="2885"/>
      <c r="L10" s="2885"/>
      <c r="M10" s="2885"/>
      <c r="N10" s="2885"/>
      <c r="O10" s="2885"/>
      <c r="P10" s="2886"/>
      <c r="Q10" s="2136"/>
      <c r="R10" s="2136"/>
      <c r="S10" s="2136"/>
    </row>
    <row r="11" spans="1:32" s="2137" customFormat="1" ht="17.25" customHeight="1">
      <c r="A11" s="2894" t="s">
        <v>12613</v>
      </c>
      <c r="B11" s="2897" t="s">
        <v>16965</v>
      </c>
      <c r="C11" s="2897"/>
      <c r="D11" s="2897"/>
      <c r="E11" s="2897" t="s">
        <v>12592</v>
      </c>
      <c r="F11" s="2900" t="s">
        <v>16930</v>
      </c>
      <c r="G11" s="2900"/>
      <c r="H11" s="2901"/>
      <c r="I11" s="2894" t="s">
        <v>16979</v>
      </c>
      <c r="J11" s="2897"/>
      <c r="K11" s="2988"/>
      <c r="L11" s="2987" t="s">
        <v>16966</v>
      </c>
      <c r="M11" s="2897"/>
      <c r="N11" s="2897"/>
      <c r="O11" s="2988"/>
      <c r="P11" s="2257" t="s">
        <v>16982</v>
      </c>
      <c r="Q11" s="2974" t="s">
        <v>16967</v>
      </c>
      <c r="R11" s="2974"/>
      <c r="S11" s="2974"/>
    </row>
    <row r="12" spans="1:32" s="2137" customFormat="1" ht="17.25" customHeight="1" thickBot="1">
      <c r="A12" s="2895"/>
      <c r="B12" s="2898"/>
      <c r="C12" s="2898"/>
      <c r="D12" s="2898"/>
      <c r="E12" s="2898"/>
      <c r="F12" s="2975" t="s">
        <v>16968</v>
      </c>
      <c r="G12" s="2977" t="s">
        <v>16985</v>
      </c>
      <c r="H12" s="2978"/>
      <c r="I12" s="2979" t="s">
        <v>16981</v>
      </c>
      <c r="J12" s="2898" t="s">
        <v>16980</v>
      </c>
      <c r="K12" s="2980" t="s">
        <v>16969</v>
      </c>
      <c r="L12" s="2982" t="s">
        <v>16981</v>
      </c>
      <c r="M12" s="2898" t="s">
        <v>16980</v>
      </c>
      <c r="N12" s="2984" t="s">
        <v>16969</v>
      </c>
      <c r="O12" s="2985" t="s">
        <v>16982</v>
      </c>
      <c r="P12" s="2258" t="s">
        <v>16983</v>
      </c>
      <c r="Q12" s="2142" t="s">
        <v>16970</v>
      </c>
      <c r="R12" s="2142" t="s">
        <v>16848</v>
      </c>
      <c r="S12" s="2142" t="s">
        <v>16849</v>
      </c>
    </row>
    <row r="13" spans="1:32" s="2137" customFormat="1" ht="17.25" customHeight="1" thickBot="1">
      <c r="A13" s="2896"/>
      <c r="B13" s="2899"/>
      <c r="C13" s="2899"/>
      <c r="D13" s="2899"/>
      <c r="E13" s="2899"/>
      <c r="F13" s="2976"/>
      <c r="G13" s="2306" t="s">
        <v>16984</v>
      </c>
      <c r="H13" s="2489" t="s">
        <v>16930</v>
      </c>
      <c r="I13" s="2896"/>
      <c r="J13" s="2899"/>
      <c r="K13" s="2981"/>
      <c r="L13" s="2983"/>
      <c r="M13" s="2899"/>
      <c r="N13" s="2899"/>
      <c r="O13" s="2986"/>
      <c r="P13" s="2503" t="s">
        <v>16084</v>
      </c>
      <c r="Q13" s="2142" t="s">
        <v>12647</v>
      </c>
      <c r="R13" s="2142" t="s">
        <v>16971</v>
      </c>
      <c r="S13" s="2142" t="s">
        <v>16972</v>
      </c>
    </row>
    <row r="14" spans="1:32">
      <c r="A14" s="2262" t="s">
        <v>12681</v>
      </c>
      <c r="B14" s="229"/>
      <c r="C14" s="229"/>
      <c r="D14" s="2146"/>
      <c r="E14" s="1798"/>
      <c r="F14" s="1798"/>
      <c r="G14" s="2147"/>
      <c r="H14" s="2299">
        <f>SUBTOTAL(9,H15:H63)</f>
        <v>2193000.16</v>
      </c>
      <c r="I14" s="2282"/>
      <c r="J14" s="230"/>
      <c r="K14" s="2491"/>
      <c r="L14" s="2531">
        <f>L15+L28</f>
        <v>370315.41</v>
      </c>
      <c r="M14" s="2531">
        <f>M15+M28</f>
        <v>341627.08999999997</v>
      </c>
      <c r="N14" s="2531">
        <f>N15+N28</f>
        <v>28688.319999999996</v>
      </c>
      <c r="O14" s="2531">
        <f>O15+O28</f>
        <v>1822684.75</v>
      </c>
      <c r="P14" s="2404">
        <f>O14/H14</f>
        <v>0.83113753625991527</v>
      </c>
    </row>
    <row r="15" spans="1:32">
      <c r="A15" s="2263" t="s">
        <v>12621</v>
      </c>
      <c r="B15" s="2216"/>
      <c r="C15" s="2217"/>
      <c r="D15" s="2377" t="s">
        <v>16152</v>
      </c>
      <c r="E15" s="2218" t="str">
        <f>IFERROR(VLOOKUP($B15,'[2]24'!$1:$1048456,3,0),IFERROR(VLOOKUP($B15,'03-CP'!$A$1:$H$1,5,0),""))</f>
        <v/>
      </c>
      <c r="F15" s="2219"/>
      <c r="G15" s="2220"/>
      <c r="H15" s="2300">
        <f>SUBTOTAL(9,H16:H27)</f>
        <v>1004292.2200000001</v>
      </c>
      <c r="I15" s="2283"/>
      <c r="J15" s="2221"/>
      <c r="K15" s="2492"/>
      <c r="L15" s="2532">
        <f>SUM(L16:L27)</f>
        <v>42983.55</v>
      </c>
      <c r="M15" s="2300">
        <v>53156.639999999999</v>
      </c>
      <c r="N15" s="2532">
        <f>SUM(N16:N27)</f>
        <v>-10173.09</v>
      </c>
      <c r="O15" s="2532">
        <f>SUM(O16:O27)</f>
        <v>961308.67</v>
      </c>
      <c r="P15" s="2292">
        <f>O15/H15</f>
        <v>0.95720015634493316</v>
      </c>
      <c r="S15" s="1790"/>
    </row>
    <row r="16" spans="1:32">
      <c r="A16" s="2338" t="s">
        <v>12682</v>
      </c>
      <c r="B16" s="2345">
        <f>VLOOKUP($A16,'10-QT_AL'!$A:$F,2,0)</f>
        <v>93567</v>
      </c>
      <c r="C16" s="2345" t="str">
        <f>VLOOKUP($A16,'10-QT_AL'!$A:$F,3,0)</f>
        <v>SINAPI</v>
      </c>
      <c r="D16" s="2333" t="s">
        <v>12201</v>
      </c>
      <c r="E16" s="2236" t="str">
        <f>IF($C16="SINAPI",VLOOKUP($B16,'24.08_ND'!$A:$D,3,0),IF($C16="PRÓPRIA",VLOOKUP($B16,'03-CP'!$C:$H,3,0)))</f>
        <v>MES</v>
      </c>
      <c r="F16" s="2346">
        <v>10</v>
      </c>
      <c r="G16" s="2327">
        <v>24625.53</v>
      </c>
      <c r="H16" s="2327">
        <f t="shared" ref="H16:H27" si="0">TRUNC((G16*F16),2)</f>
        <v>246255.3</v>
      </c>
      <c r="I16" s="2328">
        <f>J16+K16</f>
        <v>4.2799999999999998E-2</v>
      </c>
      <c r="J16" s="2314">
        <v>0.06</v>
      </c>
      <c r="K16" s="2409">
        <v>-1.72E-2</v>
      </c>
      <c r="L16" s="2533">
        <f>M16+N16</f>
        <v>10539.710000000001</v>
      </c>
      <c r="M16" s="2238">
        <v>14775.300000000001</v>
      </c>
      <c r="N16" s="2239">
        <f>TRUNC(H16*K16,2)</f>
        <v>-4235.59</v>
      </c>
      <c r="O16" s="2498">
        <f t="shared" ref="O16:O27" si="1">H16-L16</f>
        <v>235715.59</v>
      </c>
      <c r="P16" s="2295">
        <f t="shared" ref="P16:P28" si="2">O16/H16</f>
        <v>0.95720006838431504</v>
      </c>
      <c r="Q16" s="2204">
        <f t="shared" ref="Q16:Q27" si="3">G16/10</f>
        <v>2462.5529999999999</v>
      </c>
    </row>
    <row r="17" spans="1:19">
      <c r="A17" s="2338" t="s">
        <v>12683</v>
      </c>
      <c r="B17" s="2345">
        <f>VLOOKUP($A17,'10-QT_AL'!$A:$F,2,0)</f>
        <v>100534</v>
      </c>
      <c r="C17" s="2345" t="str">
        <f>VLOOKUP($A17,'10-QT_AL'!$A:$F,3,0)</f>
        <v>SINAPI</v>
      </c>
      <c r="D17" s="2333" t="s">
        <v>12324</v>
      </c>
      <c r="E17" s="2236" t="str">
        <f>IF($C17="SINAPI",VLOOKUP($B17,'24.08_ND'!$A:$D,3,0),IF($C17="PRÓPRIA",VLOOKUP($B17,'03-CP'!$C:$H,3,0)))</f>
        <v>MES</v>
      </c>
      <c r="F17" s="2346">
        <v>10</v>
      </c>
      <c r="G17" s="2327">
        <v>3658.12</v>
      </c>
      <c r="H17" s="2327">
        <f t="shared" si="0"/>
        <v>36581.199999999997</v>
      </c>
      <c r="I17" s="2328">
        <f t="shared" ref="I17:I27" si="4">J17+K17</f>
        <v>4.2799999999999998E-2</v>
      </c>
      <c r="J17" s="2314">
        <v>0.06</v>
      </c>
      <c r="K17" s="2409">
        <v>-1.72E-2</v>
      </c>
      <c r="L17" s="2533">
        <f t="shared" ref="L17:L27" si="5">M17+N17</f>
        <v>1565.67</v>
      </c>
      <c r="M17" s="2238">
        <v>2194.86</v>
      </c>
      <c r="N17" s="2239">
        <f>TRUNC(H17*K17,2)</f>
        <v>-629.19000000000005</v>
      </c>
      <c r="O17" s="2498">
        <f t="shared" si="1"/>
        <v>35015.53</v>
      </c>
      <c r="P17" s="2295">
        <f t="shared" si="2"/>
        <v>0.95720014652335084</v>
      </c>
      <c r="Q17" s="2204">
        <f t="shared" si="3"/>
        <v>365.81200000000001</v>
      </c>
    </row>
    <row r="18" spans="1:19">
      <c r="A18" s="2338" t="s">
        <v>12684</v>
      </c>
      <c r="B18" s="2347" t="str">
        <f>VLOOKUP($A18,'10-QT_AL'!$A:$F,2,0)</f>
        <v>CP-SERVT-01</v>
      </c>
      <c r="C18" s="2347" t="str">
        <f>VLOOKUP($A18,'10-QT_AL'!$A:$F,3,0)</f>
        <v>PRÓPRIA</v>
      </c>
      <c r="D18" s="2333" t="s">
        <v>14572</v>
      </c>
      <c r="E18" s="2229" t="str">
        <f>IF($C18="SINAPI",VLOOKUP($B18,'24.08_ND'!$A:$D,3,0),IF($C18="PRÓPRIA",VLOOKUP($B18,'03-CP'!$C:$H,3,0)))</f>
        <v>MES</v>
      </c>
      <c r="F18" s="2346">
        <v>2</v>
      </c>
      <c r="G18" s="2308">
        <v>23679.48</v>
      </c>
      <c r="H18" s="2327">
        <f t="shared" si="0"/>
        <v>47358.96</v>
      </c>
      <c r="I18" s="2328">
        <f t="shared" si="4"/>
        <v>4.2799999999999998E-2</v>
      </c>
      <c r="J18" s="2314">
        <v>0.04</v>
      </c>
      <c r="K18" s="2409">
        <v>2.8E-3</v>
      </c>
      <c r="L18" s="2533">
        <f t="shared" si="5"/>
        <v>2026.9299999999998</v>
      </c>
      <c r="M18" s="2232">
        <v>1894.33</v>
      </c>
      <c r="N18" s="2239">
        <f>TRUNC(H18*K18,2)</f>
        <v>132.6</v>
      </c>
      <c r="O18" s="2498">
        <f t="shared" si="1"/>
        <v>45332.03</v>
      </c>
      <c r="P18" s="2295">
        <f t="shared" si="2"/>
        <v>0.9572007071101224</v>
      </c>
      <c r="Q18" s="2204">
        <f t="shared" si="3"/>
        <v>2367.9479999999999</v>
      </c>
    </row>
    <row r="19" spans="1:19">
      <c r="A19" s="2339" t="s">
        <v>12685</v>
      </c>
      <c r="B19" s="2348" t="str">
        <f>VLOOKUP($A19,'10-QT_AL'!$A:$F,2,0)</f>
        <v>CP-SERVT-02</v>
      </c>
      <c r="C19" s="2348" t="str">
        <f>VLOOKUP($A19,'10-QT_AL'!$A:$F,3,0)</f>
        <v>PRÓPRIA</v>
      </c>
      <c r="D19" s="2383" t="s">
        <v>14577</v>
      </c>
      <c r="E19" s="2243" t="str">
        <f>IF($C19="SINAPI",VLOOKUP($B19,'24.08_ND'!$A:$D,3,0),IF($C19="PRÓPRIA",VLOOKUP($B19,'03-CP'!$C:$H,3,0)))</f>
        <v>MES</v>
      </c>
      <c r="F19" s="2349">
        <v>2</v>
      </c>
      <c r="G19" s="2308">
        <v>23679.48</v>
      </c>
      <c r="H19" s="2327">
        <f t="shared" si="0"/>
        <v>47358.96</v>
      </c>
      <c r="I19" s="2328">
        <f t="shared" si="4"/>
        <v>4.2799999999999998E-2</v>
      </c>
      <c r="J19" s="2314">
        <v>0.04</v>
      </c>
      <c r="K19" s="2409">
        <v>2.8E-3</v>
      </c>
      <c r="L19" s="2533">
        <f t="shared" si="5"/>
        <v>2026.9299999999998</v>
      </c>
      <c r="M19" s="2232">
        <v>1894.33</v>
      </c>
      <c r="N19" s="2239">
        <f>TRUNC(H19*K19,2)</f>
        <v>132.6</v>
      </c>
      <c r="O19" s="2498">
        <f t="shared" si="1"/>
        <v>45332.03</v>
      </c>
      <c r="P19" s="2295">
        <f t="shared" si="2"/>
        <v>0.9572007071101224</v>
      </c>
      <c r="Q19" s="2204">
        <f t="shared" si="3"/>
        <v>2367.9479999999999</v>
      </c>
    </row>
    <row r="20" spans="1:19">
      <c r="A20" s="2338" t="s">
        <v>12686</v>
      </c>
      <c r="B20" s="2345">
        <f>VLOOKUP($A20,'10-QT_AL'!$A:$F,2,0)</f>
        <v>93572</v>
      </c>
      <c r="C20" s="2345" t="str">
        <f>VLOOKUP($A20,'10-QT_AL'!$A:$F,3,0)</f>
        <v>SINAPI</v>
      </c>
      <c r="D20" s="2333" t="s">
        <v>12209</v>
      </c>
      <c r="E20" s="2236" t="str">
        <f>IF($C20="SINAPI",VLOOKUP($B20,'24.08_ND'!$A:$D,3,0),IF($C20="PRÓPRIA",VLOOKUP($B20,'03-CP'!$C:$H,3,0)))</f>
        <v>MES</v>
      </c>
      <c r="F20" s="2346">
        <v>10</v>
      </c>
      <c r="G20" s="2308">
        <v>5986.37</v>
      </c>
      <c r="H20" s="2327">
        <f t="shared" si="0"/>
        <v>59863.7</v>
      </c>
      <c r="I20" s="2328">
        <f t="shared" si="4"/>
        <v>4.2799999999999998E-2</v>
      </c>
      <c r="J20" s="2314">
        <v>0.06</v>
      </c>
      <c r="K20" s="2409">
        <v>-1.72E-2</v>
      </c>
      <c r="L20" s="2533">
        <f t="shared" si="5"/>
        <v>2562.16</v>
      </c>
      <c r="M20" s="2238">
        <v>3591.81</v>
      </c>
      <c r="N20" s="2239">
        <f t="shared" ref="N20:N27" si="6">TRUNC(H20*K20,2)</f>
        <v>-1029.6500000000001</v>
      </c>
      <c r="O20" s="2498">
        <f t="shared" si="1"/>
        <v>57301.539999999994</v>
      </c>
      <c r="P20" s="2295">
        <f t="shared" si="2"/>
        <v>0.95720010624134488</v>
      </c>
      <c r="Q20" s="2204">
        <f t="shared" si="3"/>
        <v>598.63699999999994</v>
      </c>
      <c r="S20" s="2206"/>
    </row>
    <row r="21" spans="1:19">
      <c r="A21" s="2338" t="s">
        <v>12687</v>
      </c>
      <c r="B21" s="2345">
        <f>VLOOKUP($A21,'10-QT_AL'!$A:$F,2,0)</f>
        <v>94295</v>
      </c>
      <c r="C21" s="2345" t="str">
        <f>VLOOKUP($A21,'10-QT_AL'!$A:$F,3,0)</f>
        <v>SINAPI</v>
      </c>
      <c r="D21" s="2333" t="s">
        <v>12203</v>
      </c>
      <c r="E21" s="2236" t="str">
        <f>IF($C21="SINAPI",VLOOKUP($B21,'24.08_ND'!$A:$D,3,0),IF($C21="PRÓPRIA",VLOOKUP($B21,'03-CP'!$C:$H,3,0)))</f>
        <v>MES</v>
      </c>
      <c r="F21" s="2346">
        <v>20</v>
      </c>
      <c r="G21" s="2308">
        <v>12242</v>
      </c>
      <c r="H21" s="2327">
        <f t="shared" si="0"/>
        <v>244840</v>
      </c>
      <c r="I21" s="2328">
        <f t="shared" si="4"/>
        <v>4.2799999999999998E-2</v>
      </c>
      <c r="J21" s="2314">
        <v>4.4999999999999998E-2</v>
      </c>
      <c r="K21" s="2409">
        <v>-2.2000000000000001E-3</v>
      </c>
      <c r="L21" s="2533">
        <f t="shared" si="5"/>
        <v>10479.16</v>
      </c>
      <c r="M21" s="2238">
        <v>11017.8</v>
      </c>
      <c r="N21" s="2239">
        <f t="shared" si="6"/>
        <v>-538.64</v>
      </c>
      <c r="O21" s="2498">
        <f t="shared" si="1"/>
        <v>234360.84</v>
      </c>
      <c r="P21" s="2295">
        <f t="shared" si="2"/>
        <v>0.95719996732560042</v>
      </c>
      <c r="Q21" s="2204">
        <f t="shared" si="3"/>
        <v>1224.2</v>
      </c>
    </row>
    <row r="22" spans="1:19">
      <c r="A22" s="2338" t="s">
        <v>12688</v>
      </c>
      <c r="B22" s="2347" t="str">
        <f>VLOOKUP($A22,'10-QT_AL'!$A:$F,2,0)</f>
        <v>CP-SERVT-03</v>
      </c>
      <c r="C22" s="2347" t="str">
        <f>VLOOKUP($A22,'10-QT_AL'!$A:$F,3,0)</f>
        <v>PRÓPRIA</v>
      </c>
      <c r="D22" s="2383" t="s">
        <v>14582</v>
      </c>
      <c r="E22" s="2229" t="str">
        <f>IF($C22="SINAPI",VLOOKUP($B22,'24.08_ND'!$A:$D,3,0),IF($C22="PRÓPRIA",VLOOKUP($B22,'03-CP'!$C:$H,3,0)))</f>
        <v>H</v>
      </c>
      <c r="F22" s="2346">
        <v>3600</v>
      </c>
      <c r="G22" s="2308">
        <v>30.41</v>
      </c>
      <c r="H22" s="2327">
        <f t="shared" si="0"/>
        <v>109476</v>
      </c>
      <c r="I22" s="2328">
        <f t="shared" si="4"/>
        <v>4.2799999999999998E-2</v>
      </c>
      <c r="J22" s="2314">
        <v>0.04</v>
      </c>
      <c r="K22" s="2409">
        <v>2.8E-3</v>
      </c>
      <c r="L22" s="2533">
        <f t="shared" si="5"/>
        <v>4685.57</v>
      </c>
      <c r="M22" s="2232">
        <v>4379.04</v>
      </c>
      <c r="N22" s="2239">
        <f t="shared" si="6"/>
        <v>306.52999999999997</v>
      </c>
      <c r="O22" s="2498">
        <f t="shared" si="1"/>
        <v>104790.43</v>
      </c>
      <c r="P22" s="2295">
        <f t="shared" si="2"/>
        <v>0.95720002557638195</v>
      </c>
      <c r="Q22" s="2205">
        <f t="shared" si="3"/>
        <v>3.0409999999999999</v>
      </c>
    </row>
    <row r="23" spans="1:19">
      <c r="A23" s="2338" t="s">
        <v>12689</v>
      </c>
      <c r="B23" s="2345">
        <f>VLOOKUP($A23,'10-QT_AL'!$A:$F,2,0)</f>
        <v>100289</v>
      </c>
      <c r="C23" s="2345" t="str">
        <f>VLOOKUP($A23,'10-QT_AL'!$A:$F,3,0)</f>
        <v>SINAPI</v>
      </c>
      <c r="D23" s="2333" t="s">
        <v>12312</v>
      </c>
      <c r="E23" s="2236" t="str">
        <f>IF($C23="SINAPI",VLOOKUP($B23,'24.08_ND'!$A:$D,3,0),IF($C23="PRÓPRIA",VLOOKUP($B23,'03-CP'!$C:$H,3,0)))</f>
        <v>H</v>
      </c>
      <c r="F23" s="2346">
        <v>1760</v>
      </c>
      <c r="G23" s="2308">
        <v>23.43</v>
      </c>
      <c r="H23" s="2327">
        <f t="shared" si="0"/>
        <v>41236.800000000003</v>
      </c>
      <c r="I23" s="2328">
        <f t="shared" si="4"/>
        <v>4.2799999999999998E-2</v>
      </c>
      <c r="J23" s="2314">
        <v>0.04</v>
      </c>
      <c r="K23" s="2409">
        <v>2.8E-3</v>
      </c>
      <c r="L23" s="2533">
        <f t="shared" si="5"/>
        <v>1764.91</v>
      </c>
      <c r="M23" s="2238">
        <v>1649.45</v>
      </c>
      <c r="N23" s="2239">
        <f t="shared" si="6"/>
        <v>115.46</v>
      </c>
      <c r="O23" s="2498">
        <f t="shared" si="1"/>
        <v>39471.89</v>
      </c>
      <c r="P23" s="2295">
        <f t="shared" si="2"/>
        <v>0.95720060722461486</v>
      </c>
      <c r="Q23" s="2205">
        <f t="shared" si="3"/>
        <v>2.343</v>
      </c>
    </row>
    <row r="24" spans="1:19">
      <c r="A24" s="2338" t="s">
        <v>12690</v>
      </c>
      <c r="B24" s="2345">
        <f>VLOOKUP($A24,'10-QT_AL'!$A:$F,2,0)</f>
        <v>93563</v>
      </c>
      <c r="C24" s="2345" t="str">
        <f>VLOOKUP($A24,'10-QT_AL'!$A:$F,3,0)</f>
        <v>SINAPI</v>
      </c>
      <c r="D24" s="2333" t="s">
        <v>12192</v>
      </c>
      <c r="E24" s="2236" t="str">
        <f>IF($C24="SINAPI",VLOOKUP($B24,'24.08_ND'!$A:$D,3,0),IF($C24="PRÓPRIA",VLOOKUP($B24,'03-CP'!$C:$H,3,0)))</f>
        <v>MES</v>
      </c>
      <c r="F24" s="2346">
        <v>10</v>
      </c>
      <c r="G24" s="2308">
        <v>4459.22</v>
      </c>
      <c r="H24" s="2327">
        <f t="shared" si="0"/>
        <v>44592.2</v>
      </c>
      <c r="I24" s="2328">
        <f t="shared" si="4"/>
        <v>4.2799999999999998E-2</v>
      </c>
      <c r="J24" s="2314">
        <v>0.04</v>
      </c>
      <c r="K24" s="2409">
        <v>2.8E-3</v>
      </c>
      <c r="L24" s="2533">
        <f t="shared" si="5"/>
        <v>1908.53</v>
      </c>
      <c r="M24" s="2238">
        <v>1783.68</v>
      </c>
      <c r="N24" s="2239">
        <f t="shared" si="6"/>
        <v>124.85</v>
      </c>
      <c r="O24" s="2498">
        <f t="shared" si="1"/>
        <v>42683.67</v>
      </c>
      <c r="P24" s="2295">
        <f t="shared" si="2"/>
        <v>0.95720036239521711</v>
      </c>
      <c r="Q24" s="2204">
        <f t="shared" si="3"/>
        <v>445.92200000000003</v>
      </c>
    </row>
    <row r="25" spans="1:19">
      <c r="A25" s="2338" t="s">
        <v>12691</v>
      </c>
      <c r="B25" s="2345">
        <f>VLOOKUP($A25,'10-QT_AL'!$A:$F,2,0)</f>
        <v>100321</v>
      </c>
      <c r="C25" s="2345" t="str">
        <f>VLOOKUP($A25,'10-QT_AL'!$A:$F,3,0)</f>
        <v>SINAPI</v>
      </c>
      <c r="D25" s="2333" t="s">
        <v>12322</v>
      </c>
      <c r="E25" s="2236" t="str">
        <f>IF($C25="SINAPI",VLOOKUP($B25,'24.08_ND'!$A:$D,3,0),IF($C25="PRÓPRIA",VLOOKUP($B25,'03-CP'!$C:$H,3,0)))</f>
        <v>MES</v>
      </c>
      <c r="F25" s="2346">
        <v>10</v>
      </c>
      <c r="G25" s="2308">
        <v>5959.07</v>
      </c>
      <c r="H25" s="2327">
        <f t="shared" si="0"/>
        <v>59590.7</v>
      </c>
      <c r="I25" s="2328">
        <f t="shared" si="4"/>
        <v>4.2799999999999998E-2</v>
      </c>
      <c r="J25" s="2314">
        <v>0.04</v>
      </c>
      <c r="K25" s="2409">
        <v>2.8E-3</v>
      </c>
      <c r="L25" s="2533">
        <f t="shared" si="5"/>
        <v>2550.4599999999996</v>
      </c>
      <c r="M25" s="2238">
        <v>2383.6099999999997</v>
      </c>
      <c r="N25" s="2239">
        <f t="shared" si="6"/>
        <v>166.85</v>
      </c>
      <c r="O25" s="2498">
        <f t="shared" si="1"/>
        <v>57040.24</v>
      </c>
      <c r="P25" s="2295">
        <f t="shared" si="2"/>
        <v>0.95720036851387891</v>
      </c>
      <c r="Q25" s="2204">
        <f t="shared" si="3"/>
        <v>595.90699999999993</v>
      </c>
      <c r="S25" s="2204"/>
    </row>
    <row r="26" spans="1:19">
      <c r="A26" s="2338" t="s">
        <v>12692</v>
      </c>
      <c r="B26" s="2345">
        <f>VLOOKUP($A26,'10-QT_AL'!$A:$F,2,0)</f>
        <v>94296</v>
      </c>
      <c r="C26" s="2345" t="str">
        <f>VLOOKUP($A26,'10-QT_AL'!$A:$F,3,0)</f>
        <v>SINAPI</v>
      </c>
      <c r="D26" s="2333" t="s">
        <v>12204</v>
      </c>
      <c r="E26" s="2236" t="str">
        <f>IF($C26="SINAPI",VLOOKUP($B26,'24.08_ND'!$A:$D,3,0),IF($C26="PRÓPRIA",VLOOKUP($B26,'03-CP'!$C:$H,3,0)))</f>
        <v>MES</v>
      </c>
      <c r="F26" s="2346">
        <v>10</v>
      </c>
      <c r="G26" s="2308">
        <v>4455.18</v>
      </c>
      <c r="H26" s="2327">
        <f t="shared" si="0"/>
        <v>44551.8</v>
      </c>
      <c r="I26" s="2328">
        <f t="shared" si="4"/>
        <v>4.2800000000000019E-2</v>
      </c>
      <c r="J26" s="2314">
        <v>0.14000000000000001</v>
      </c>
      <c r="K26" s="2409">
        <v>-9.7199999999999995E-2</v>
      </c>
      <c r="L26" s="2533">
        <f t="shared" si="5"/>
        <v>1906.8099999999995</v>
      </c>
      <c r="M26" s="2238">
        <v>6237.24</v>
      </c>
      <c r="N26" s="2239">
        <f t="shared" si="6"/>
        <v>-4330.43</v>
      </c>
      <c r="O26" s="2498">
        <f t="shared" si="1"/>
        <v>42644.990000000005</v>
      </c>
      <c r="P26" s="2295">
        <f t="shared" si="2"/>
        <v>0.95720015801830682</v>
      </c>
      <c r="Q26" s="2204">
        <f t="shared" si="3"/>
        <v>445.51800000000003</v>
      </c>
      <c r="S26" s="2204"/>
    </row>
    <row r="27" spans="1:19">
      <c r="A27" s="2338" t="s">
        <v>12693</v>
      </c>
      <c r="B27" s="2345">
        <f>VLOOKUP($A27,'10-QT_AL'!$A:$F,2,0)</f>
        <v>101389</v>
      </c>
      <c r="C27" s="2345" t="str">
        <f>VLOOKUP($A27,'10-QT_AL'!$A:$F,3,0)</f>
        <v>SINAPI</v>
      </c>
      <c r="D27" s="2333" t="s">
        <v>12132</v>
      </c>
      <c r="E27" s="2236" t="str">
        <f>IF($C27="SINAPI",VLOOKUP($B27,'24.08_ND'!$A:$D,3,0),IF($C27="PRÓPRIA",VLOOKUP($B27,'03-CP'!$C:$H,3,0)))</f>
        <v>MES</v>
      </c>
      <c r="F27" s="2346">
        <v>10</v>
      </c>
      <c r="G27" s="2308">
        <v>2258.66</v>
      </c>
      <c r="H27" s="2327">
        <f t="shared" si="0"/>
        <v>22586.6</v>
      </c>
      <c r="I27" s="2328">
        <f t="shared" si="4"/>
        <v>4.2799999999999998E-2</v>
      </c>
      <c r="J27" s="2314">
        <v>0.06</v>
      </c>
      <c r="K27" s="2409">
        <v>-1.72E-2</v>
      </c>
      <c r="L27" s="2533">
        <f t="shared" si="5"/>
        <v>966.71</v>
      </c>
      <c r="M27" s="2238">
        <v>1355.19</v>
      </c>
      <c r="N27" s="2239">
        <f t="shared" si="6"/>
        <v>-388.48</v>
      </c>
      <c r="O27" s="2498">
        <f t="shared" si="1"/>
        <v>21619.89</v>
      </c>
      <c r="P27" s="2295">
        <f t="shared" si="2"/>
        <v>0.95719984415538417</v>
      </c>
      <c r="Q27" s="2204">
        <f t="shared" si="3"/>
        <v>225.86599999999999</v>
      </c>
    </row>
    <row r="28" spans="1:19">
      <c r="A28" s="2263" t="s">
        <v>12622</v>
      </c>
      <c r="B28" s="2216"/>
      <c r="C28" s="2217"/>
      <c r="D28" s="2377" t="s">
        <v>16162</v>
      </c>
      <c r="E28" s="2218" t="str">
        <f>IFERROR(VLOOKUP($B28,'[2]24'!$1:$1048456,3,0),IFERROR(VLOOKUP($B28,'03-CP'!$A$1:$H$1,5,0),""))</f>
        <v/>
      </c>
      <c r="F28" s="2222"/>
      <c r="G28" s="2220"/>
      <c r="H28" s="2300">
        <f>SUBTOTAL(9,H29:H63)</f>
        <v>1188707.94</v>
      </c>
      <c r="I28" s="2309"/>
      <c r="J28" s="2310"/>
      <c r="K28" s="2493"/>
      <c r="L28" s="2532">
        <f>L29+L34+L40+L44+L54+L61</f>
        <v>327331.86</v>
      </c>
      <c r="M28" s="2300">
        <f>SUBTOTAL(9,M29:M63)</f>
        <v>288470.44999999995</v>
      </c>
      <c r="N28" s="2532">
        <f>N29+N34+N40+N44+N54+N61</f>
        <v>38861.409999999996</v>
      </c>
      <c r="O28" s="2532">
        <f>O29+O34+O40+O44+O54+O61</f>
        <v>861376.08</v>
      </c>
      <c r="P28" s="2292">
        <f t="shared" si="2"/>
        <v>0.72463222547331518</v>
      </c>
    </row>
    <row r="29" spans="1:19">
      <c r="A29" s="2264" t="s">
        <v>12694</v>
      </c>
      <c r="B29" s="2223"/>
      <c r="C29" s="2223"/>
      <c r="D29" s="2382" t="s">
        <v>16163</v>
      </c>
      <c r="E29" s="2224"/>
      <c r="F29" s="2225"/>
      <c r="G29" s="2226"/>
      <c r="H29" s="2301">
        <f>SUBTOTAL(9,H30:H33)</f>
        <v>21395.690000000002</v>
      </c>
      <c r="I29" s="2311"/>
      <c r="J29" s="2312"/>
      <c r="K29" s="2494"/>
      <c r="L29" s="2534">
        <f>SUM(L30:L33)</f>
        <v>9604.99</v>
      </c>
      <c r="M29" s="2301">
        <f>SUBTOTAL(9,M30:M33)</f>
        <v>9604.99</v>
      </c>
      <c r="N29" s="2534">
        <f>SUM(N30:N33)</f>
        <v>0</v>
      </c>
      <c r="O29" s="2534">
        <f>SUM(O30:O33)</f>
        <v>11790.7</v>
      </c>
      <c r="P29" s="2293">
        <f t="shared" ref="P29:P44" si="7">O29/H29</f>
        <v>0.55107827791485109</v>
      </c>
    </row>
    <row r="30" spans="1:19">
      <c r="A30" s="2265" t="s">
        <v>12695</v>
      </c>
      <c r="B30" s="2228" t="str">
        <f>VLOOKUP($A30,'10-QT_AL'!$A:$F,2,0)</f>
        <v>CP-CO-01</v>
      </c>
      <c r="C30" s="2228" t="str">
        <f>VLOOKUP($A30,'10-QT_AL'!$A:$F,3,0)</f>
        <v>PRÓPRIA</v>
      </c>
      <c r="D30" s="2383" t="s">
        <v>14474</v>
      </c>
      <c r="E30" s="2229" t="str">
        <f>IF($C30="SINAPI",VLOOKUP($B30,'24.08_ND'!$A:$D,3,0),IF($C30="PRÓPRIA",VLOOKUP($B30,'03-CP'!$C:$H,3,0)))</f>
        <v>M2</v>
      </c>
      <c r="F30" s="2230">
        <v>12.5</v>
      </c>
      <c r="G30" s="2331">
        <v>604.86</v>
      </c>
      <c r="H30" s="2332">
        <f>TRUNC((G30*F30),2)</f>
        <v>7560.75</v>
      </c>
      <c r="I30" s="2328">
        <f>J30+K30</f>
        <v>1</v>
      </c>
      <c r="J30" s="2313">
        <v>1</v>
      </c>
      <c r="K30" s="2409"/>
      <c r="L30" s="2533">
        <v>7560.75</v>
      </c>
      <c r="M30" s="2232">
        <v>7560.75</v>
      </c>
      <c r="N30" s="2239">
        <f t="shared" ref="N30:N63" si="8">TRUNC(H30*K30,2)</f>
        <v>0</v>
      </c>
      <c r="O30" s="2498">
        <f>H30-L30</f>
        <v>0</v>
      </c>
      <c r="P30" s="2295">
        <f t="shared" si="7"/>
        <v>0</v>
      </c>
      <c r="S30" s="2576" t="s">
        <v>17022</v>
      </c>
    </row>
    <row r="31" spans="1:19" ht="30">
      <c r="A31" s="2265" t="s">
        <v>12696</v>
      </c>
      <c r="B31" s="2228" t="str">
        <f>VLOOKUP($A31,'10-QT_AL'!$A:$F,2,0)</f>
        <v>CP-CO-03</v>
      </c>
      <c r="C31" s="2228" t="str">
        <f>VLOOKUP($A31,'10-QT_AL'!$A:$F,3,0)</f>
        <v>PRÓPRIA</v>
      </c>
      <c r="D31" s="2333" t="s">
        <v>14483</v>
      </c>
      <c r="E31" s="2229" t="str">
        <f>IF($C31="SINAPI",VLOOKUP($B31,'24.08_ND'!$A:$D,3,0),IF($C31="PRÓPRIA",VLOOKUP($B31,'03-CP'!$C:$H,3,0)))</f>
        <v>M</v>
      </c>
      <c r="F31" s="2230">
        <v>124</v>
      </c>
      <c r="G31" s="2331">
        <v>3.61</v>
      </c>
      <c r="H31" s="2332">
        <f>TRUNC((G31*F31),2)</f>
        <v>447.64</v>
      </c>
      <c r="I31" s="2328">
        <f>J31+K31</f>
        <v>1</v>
      </c>
      <c r="J31" s="2313">
        <v>1</v>
      </c>
      <c r="K31" s="2409"/>
      <c r="L31" s="2533">
        <v>447.64</v>
      </c>
      <c r="M31" s="2232">
        <v>447.64</v>
      </c>
      <c r="N31" s="2239">
        <f t="shared" si="8"/>
        <v>0</v>
      </c>
      <c r="O31" s="2498">
        <f>H31-L31</f>
        <v>0</v>
      </c>
      <c r="P31" s="2295">
        <f t="shared" si="7"/>
        <v>0</v>
      </c>
    </row>
    <row r="32" spans="1:19" ht="30">
      <c r="A32" s="2265" t="s">
        <v>12697</v>
      </c>
      <c r="B32" s="2228" t="str">
        <f>VLOOKUP($A32,'10-QT_AL'!$A:$F,2,0)</f>
        <v>CP-CO-15</v>
      </c>
      <c r="C32" s="2228" t="str">
        <f>VLOOKUP($A32,'10-QT_AL'!$A:$F,3,0)</f>
        <v>PRÓPRIA</v>
      </c>
      <c r="D32" s="2333" t="s">
        <v>14526</v>
      </c>
      <c r="E32" s="2229" t="str">
        <f>IF($C32="SINAPI",VLOOKUP($B32,'24.08_ND'!$A:$D,3,0),IF($C32="PRÓPRIA",VLOOKUP($B32,'03-CP'!$C:$H,3,0)))</f>
        <v>M2</v>
      </c>
      <c r="F32" s="2230">
        <v>1.4400000000000002</v>
      </c>
      <c r="G32" s="2331">
        <v>1108.75</v>
      </c>
      <c r="H32" s="2332">
        <f>TRUNC((G32*F32),2)</f>
        <v>1596.6</v>
      </c>
      <c r="I32" s="2328">
        <f>J32+K32</f>
        <v>1</v>
      </c>
      <c r="J32" s="2313">
        <v>1</v>
      </c>
      <c r="K32" s="2409"/>
      <c r="L32" s="2533">
        <v>1596.6</v>
      </c>
      <c r="M32" s="2232">
        <v>1596.6</v>
      </c>
      <c r="N32" s="2239">
        <f t="shared" si="8"/>
        <v>0</v>
      </c>
      <c r="O32" s="2498">
        <f>H32-L32</f>
        <v>0</v>
      </c>
      <c r="P32" s="2295">
        <f t="shared" si="7"/>
        <v>0</v>
      </c>
    </row>
    <row r="33" spans="1:18" ht="30">
      <c r="A33" s="2265" t="s">
        <v>12698</v>
      </c>
      <c r="B33" s="2228" t="str">
        <f>VLOOKUP($A33,'10-QT_AL'!$A:$F,2,0)</f>
        <v>CP-CO-13</v>
      </c>
      <c r="C33" s="2228" t="str">
        <f>VLOOKUP($A33,'10-QT_AL'!$A:$F,3,0)</f>
        <v>PRÓPRIA</v>
      </c>
      <c r="D33" s="2333" t="s">
        <v>14518</v>
      </c>
      <c r="E33" s="2229" t="str">
        <f>IF($C33="SINAPI",VLOOKUP($B33,'24.08_ND'!$A:$D,3,0),IF($C33="PRÓPRIA",VLOOKUP($B33,'03-CP'!$C:$H,3,0)))</f>
        <v>M2</v>
      </c>
      <c r="F33" s="2230">
        <v>10</v>
      </c>
      <c r="G33" s="2331">
        <v>1179.07</v>
      </c>
      <c r="H33" s="2332">
        <f>TRUNC((G33*F33),2)</f>
        <v>11790.7</v>
      </c>
      <c r="I33" s="2328">
        <f>J33+K33</f>
        <v>0</v>
      </c>
      <c r="J33" s="2313">
        <v>0</v>
      </c>
      <c r="K33" s="2409"/>
      <c r="L33" s="2533">
        <v>0</v>
      </c>
      <c r="M33" s="2232">
        <v>0</v>
      </c>
      <c r="N33" s="2239">
        <f t="shared" si="8"/>
        <v>0</v>
      </c>
      <c r="O33" s="2498">
        <f>H33-L33</f>
        <v>11790.7</v>
      </c>
      <c r="P33" s="2295">
        <f t="shared" si="7"/>
        <v>1</v>
      </c>
    </row>
    <row r="34" spans="1:18">
      <c r="A34" s="2264" t="s">
        <v>12699</v>
      </c>
      <c r="B34" s="2223"/>
      <c r="C34" s="2223"/>
      <c r="D34" s="2382" t="s">
        <v>16168</v>
      </c>
      <c r="E34" s="2224"/>
      <c r="F34" s="2225"/>
      <c r="G34" s="2329"/>
      <c r="H34" s="2330">
        <f>SUBTOTAL(9,H35:H39)</f>
        <v>70049.87</v>
      </c>
      <c r="I34" s="2311"/>
      <c r="J34" s="2312"/>
      <c r="K34" s="2494"/>
      <c r="L34" s="2535">
        <f>SUM(L35:L39)</f>
        <v>65312.37</v>
      </c>
      <c r="M34" s="2330">
        <f>SUBTOTAL(9,M35:M39)</f>
        <v>64364.87</v>
      </c>
      <c r="N34" s="2330">
        <f>SUM(N35:N39)</f>
        <v>947.5</v>
      </c>
      <c r="O34" s="2330">
        <f>SUM(O35:O39)</f>
        <v>4737.5</v>
      </c>
      <c r="P34" s="2293">
        <f t="shared" si="7"/>
        <v>6.7630389606718758E-2</v>
      </c>
    </row>
    <row r="35" spans="1:18" ht="45">
      <c r="A35" s="2265" t="s">
        <v>12700</v>
      </c>
      <c r="B35" s="2228" t="str">
        <f>VLOOKUP($A35,'10-QT_AL'!$A:$F,2,0)</f>
        <v>CP-CO-11</v>
      </c>
      <c r="C35" s="2228" t="str">
        <f>VLOOKUP($A35,'10-QT_AL'!$A:$F,3,0)</f>
        <v>PRÓPRIA</v>
      </c>
      <c r="D35" s="2333" t="s">
        <v>14512</v>
      </c>
      <c r="E35" s="2229" t="str">
        <f>IF($C35="SINAPI",VLOOKUP($B35,'24.08_ND'!$A:$D,3,0),IF($C35="PRÓPRIA",VLOOKUP($B35,'03-CP'!$C:$H,3,0)))</f>
        <v>UN</v>
      </c>
      <c r="F35" s="2230">
        <v>2</v>
      </c>
      <c r="G35" s="2331">
        <v>19000</v>
      </c>
      <c r="H35" s="2332">
        <f>TRUNC((G35*F35),2)</f>
        <v>38000</v>
      </c>
      <c r="I35" s="2328">
        <f>J35+K35</f>
        <v>1</v>
      </c>
      <c r="J35" s="2313">
        <v>1</v>
      </c>
      <c r="K35" s="2409"/>
      <c r="L35" s="2533">
        <f>M35+N35</f>
        <v>38000</v>
      </c>
      <c r="M35" s="2232">
        <v>38000</v>
      </c>
      <c r="N35" s="2239"/>
      <c r="O35" s="2498">
        <f>H35-L35</f>
        <v>0</v>
      </c>
      <c r="P35" s="2295">
        <f t="shared" si="7"/>
        <v>0</v>
      </c>
    </row>
    <row r="36" spans="1:18" ht="30">
      <c r="A36" s="2265" t="s">
        <v>12701</v>
      </c>
      <c r="B36" s="2228" t="str">
        <f>VLOOKUP($A36,'10-QT_AL'!$A:$F,2,0)</f>
        <v>CP-CO-18</v>
      </c>
      <c r="C36" s="2228" t="str">
        <f>VLOOKUP($A36,'10-QT_AL'!$A:$F,3,0)</f>
        <v>PRÓPRIA</v>
      </c>
      <c r="D36" s="2333" t="s">
        <v>14535</v>
      </c>
      <c r="E36" s="2229" t="str">
        <f>IF($C36="SINAPI",VLOOKUP($B36,'24.08_ND'!$A:$D,3,0),IF($C36="PRÓPRIA",VLOOKUP($B36,'03-CP'!$C:$H,3,0)))</f>
        <v>UN</v>
      </c>
      <c r="F36" s="2230">
        <v>1</v>
      </c>
      <c r="G36" s="2331">
        <v>11958.87</v>
      </c>
      <c r="H36" s="2332">
        <f>TRUNC((G36*F36),2)</f>
        <v>11958.87</v>
      </c>
      <c r="I36" s="2328">
        <f>J36+K36</f>
        <v>1</v>
      </c>
      <c r="J36" s="2313">
        <v>1</v>
      </c>
      <c r="K36" s="2409"/>
      <c r="L36" s="2533">
        <f>M36+N36</f>
        <v>11958.87</v>
      </c>
      <c r="M36" s="2232">
        <v>11958.87</v>
      </c>
      <c r="N36" s="2239">
        <f t="shared" si="8"/>
        <v>0</v>
      </c>
      <c r="O36" s="2498">
        <f t="shared" ref="O36:O63" si="9">H36-L36</f>
        <v>0</v>
      </c>
      <c r="P36" s="2295">
        <f t="shared" si="7"/>
        <v>0</v>
      </c>
    </row>
    <row r="37" spans="1:18" s="2207" customFormat="1" ht="90">
      <c r="A37" s="2265" t="s">
        <v>12702</v>
      </c>
      <c r="B37" s="2228" t="str">
        <f>VLOOKUP($A37,'10-QT_AL'!$A:$F,2,0)</f>
        <v>CP-CO-06</v>
      </c>
      <c r="C37" s="2228" t="str">
        <f>VLOOKUP($A37,'10-QT_AL'!$A:$F,3,0)</f>
        <v>PRÓPRIA</v>
      </c>
      <c r="D37" s="2333" t="s">
        <v>14497</v>
      </c>
      <c r="E37" s="2229" t="str">
        <f>IF($C37="SINAPI",VLOOKUP($B37,'24.08_ND'!$A:$D,3,0),IF($C37="PRÓPRIA",VLOOKUP($B37,'03-CP'!$C:$H,3,0)))</f>
        <v>UN</v>
      </c>
      <c r="F37" s="2230">
        <v>1</v>
      </c>
      <c r="G37" s="2331">
        <v>9966.6</v>
      </c>
      <c r="H37" s="2332">
        <f>TRUNC((G37*F37),2)</f>
        <v>9966.6</v>
      </c>
      <c r="I37" s="2328">
        <f>J37+K37</f>
        <v>1</v>
      </c>
      <c r="J37" s="2313">
        <v>1</v>
      </c>
      <c r="K37" s="2409"/>
      <c r="L37" s="2533">
        <f>M37+N37</f>
        <v>9966.6</v>
      </c>
      <c r="M37" s="2232">
        <v>9966.6</v>
      </c>
      <c r="N37" s="2239">
        <f t="shared" si="8"/>
        <v>0</v>
      </c>
      <c r="O37" s="2498">
        <f t="shared" si="9"/>
        <v>0</v>
      </c>
      <c r="P37" s="2295">
        <f t="shared" si="7"/>
        <v>0</v>
      </c>
      <c r="R37"/>
    </row>
    <row r="38" spans="1:18" ht="30">
      <c r="A38" s="2265" t="s">
        <v>12703</v>
      </c>
      <c r="B38" s="2228" t="str">
        <f>VLOOKUP($A38,'10-QT_AL'!$A:$F,2,0)</f>
        <v>CP-CO-07</v>
      </c>
      <c r="C38" s="2228" t="str">
        <f>VLOOKUP($A38,'10-QT_AL'!$A:$F,3,0)</f>
        <v>PRÓPRIA</v>
      </c>
      <c r="D38" s="2333" t="s">
        <v>14501</v>
      </c>
      <c r="E38" s="2229" t="str">
        <f>IF($C38="SINAPI",VLOOKUP($B38,'24.08_ND'!$A:$D,3,0),IF($C38="PRÓPRIA",VLOOKUP($B38,'03-CP'!$C:$H,3,0)))</f>
        <v>MES</v>
      </c>
      <c r="F38" s="2230">
        <v>10</v>
      </c>
      <c r="G38" s="2331">
        <v>947.5</v>
      </c>
      <c r="H38" s="2332">
        <f>TRUNC((G38*F38),2)</f>
        <v>9475</v>
      </c>
      <c r="I38" s="2328">
        <f>J38+K38</f>
        <v>0.5</v>
      </c>
      <c r="J38" s="2313">
        <v>0.4</v>
      </c>
      <c r="K38" s="2409">
        <v>0.1</v>
      </c>
      <c r="L38" s="2533">
        <f>M38+N38</f>
        <v>4737.5</v>
      </c>
      <c r="M38" s="2232">
        <v>3790</v>
      </c>
      <c r="N38" s="2239">
        <f t="shared" si="8"/>
        <v>947.5</v>
      </c>
      <c r="O38" s="2498">
        <f t="shared" si="9"/>
        <v>4737.5</v>
      </c>
      <c r="P38" s="2295">
        <f t="shared" si="7"/>
        <v>0.5</v>
      </c>
      <c r="Q38" s="2204"/>
    </row>
    <row r="39" spans="1:18" ht="30">
      <c r="A39" s="2265" t="s">
        <v>12704</v>
      </c>
      <c r="B39" s="2228" t="str">
        <f>VLOOKUP($A39,'10-QT_AL'!$A:$F,2,0)</f>
        <v>CP-CO-17</v>
      </c>
      <c r="C39" s="2228" t="str">
        <f>VLOOKUP($A39,'10-QT_AL'!$A:$F,3,0)</f>
        <v>PRÓPRIA</v>
      </c>
      <c r="D39" s="2333" t="s">
        <v>14533</v>
      </c>
      <c r="E39" s="2229" t="str">
        <f>IF($C39="SINAPI",VLOOKUP($B39,'24.08_ND'!$A:$D,3,0),IF($C39="PRÓPRIA",VLOOKUP($B39,'03-CP'!$C:$H,3,0)))</f>
        <v>M3</v>
      </c>
      <c r="F39" s="2230">
        <v>2.5499999999999998</v>
      </c>
      <c r="G39" s="2331">
        <v>254.67</v>
      </c>
      <c r="H39" s="2332">
        <f>TRUNC((G39*F39),2)</f>
        <v>649.4</v>
      </c>
      <c r="I39" s="2328">
        <f>J39+K39</f>
        <v>1</v>
      </c>
      <c r="J39" s="2313">
        <v>1</v>
      </c>
      <c r="K39" s="2409"/>
      <c r="L39" s="2533">
        <f>M39+N39</f>
        <v>649.4</v>
      </c>
      <c r="M39" s="2232">
        <v>649.4</v>
      </c>
      <c r="N39" s="2239"/>
      <c r="O39" s="2498">
        <f t="shared" si="9"/>
        <v>0</v>
      </c>
      <c r="P39" s="2295">
        <f t="shared" si="7"/>
        <v>0</v>
      </c>
    </row>
    <row r="40" spans="1:18">
      <c r="A40" s="2264" t="s">
        <v>12705</v>
      </c>
      <c r="B40" s="2223"/>
      <c r="C40" s="2223"/>
      <c r="D40" s="2382" t="s">
        <v>16170</v>
      </c>
      <c r="E40" s="2224" t="str">
        <f>IFERROR(VLOOKUP($B40,'24.08_ND'!$1:$1048529,3,0),IFERROR(VLOOKUP($B40,'03-CP'!$C$1:$H$403,3,0),""))</f>
        <v/>
      </c>
      <c r="F40" s="2225"/>
      <c r="G40" s="2329"/>
      <c r="H40" s="2330">
        <f>SUBTOTAL(9,H41:H43)</f>
        <v>1276.79</v>
      </c>
      <c r="I40" s="2311"/>
      <c r="J40" s="2312"/>
      <c r="K40" s="2494"/>
      <c r="L40" s="2535">
        <f>SUM(L41:L43)</f>
        <v>1212.81</v>
      </c>
      <c r="M40" s="2330">
        <f>SUBTOTAL(9,M41:M43)</f>
        <v>1212.81</v>
      </c>
      <c r="N40" s="2535">
        <f>SUM(N41:N43)</f>
        <v>0</v>
      </c>
      <c r="O40" s="2535">
        <f>SUM(O41:O43)</f>
        <v>63.98</v>
      </c>
      <c r="P40" s="2293">
        <f t="shared" si="7"/>
        <v>5.0110041588671592E-2</v>
      </c>
    </row>
    <row r="41" spans="1:18" ht="60">
      <c r="A41" s="2265" t="s">
        <v>12706</v>
      </c>
      <c r="B41" s="2234">
        <f>VLOOKUP($A41,'10-QT_AL'!$A:$F,2,0)</f>
        <v>86939</v>
      </c>
      <c r="C41" s="2235" t="str">
        <f>VLOOKUP($A41,'10-QT_AL'!$A:$F,3,0)</f>
        <v>SINAPI</v>
      </c>
      <c r="D41" s="2333" t="s">
        <v>10139</v>
      </c>
      <c r="E41" s="2236" t="str">
        <f>IF($C41="SINAPI",VLOOKUP($B41,'24.08_ND'!$A:$D,3,0),IF($C41="PRÓPRIA",VLOOKUP($B41,'03-CP'!$C:$H,3,0)))</f>
        <v>UN</v>
      </c>
      <c r="F41" s="2230">
        <v>2</v>
      </c>
      <c r="G41" s="2331">
        <v>485.28</v>
      </c>
      <c r="H41" s="2332">
        <f>TRUNC((G41*F41),2)</f>
        <v>970.56</v>
      </c>
      <c r="I41" s="2328">
        <f>J41+K41</f>
        <v>1</v>
      </c>
      <c r="J41" s="2314">
        <v>1</v>
      </c>
      <c r="K41" s="2409"/>
      <c r="L41" s="2533">
        <f>M41+N41</f>
        <v>970.56</v>
      </c>
      <c r="M41" s="2238">
        <v>970.56</v>
      </c>
      <c r="N41" s="2239">
        <f t="shared" si="8"/>
        <v>0</v>
      </c>
      <c r="O41" s="2498">
        <f t="shared" si="9"/>
        <v>0</v>
      </c>
      <c r="P41" s="2295">
        <f t="shared" si="7"/>
        <v>0</v>
      </c>
    </row>
    <row r="42" spans="1:18" ht="30">
      <c r="A42" s="2265" t="s">
        <v>12707</v>
      </c>
      <c r="B42" s="2234">
        <f>VLOOKUP($A42,'10-QT_AL'!$A:$F,2,0)</f>
        <v>101908</v>
      </c>
      <c r="C42" s="2235" t="str">
        <f>VLOOKUP($A42,'10-QT_AL'!$A:$F,3,0)</f>
        <v>SINAPI</v>
      </c>
      <c r="D42" s="2333" t="s">
        <v>8302</v>
      </c>
      <c r="E42" s="2236" t="str">
        <f>IF($C42="SINAPI",VLOOKUP($B42,'24.08_ND'!$A:$D,3,0),IF($C42="PRÓPRIA",VLOOKUP($B42,'03-CP'!$C:$H,3,0)))</f>
        <v>UN</v>
      </c>
      <c r="F42" s="2230">
        <v>1</v>
      </c>
      <c r="G42" s="2331">
        <v>242.25</v>
      </c>
      <c r="H42" s="2332">
        <f>TRUNC((G42*F42),2)</f>
        <v>242.25</v>
      </c>
      <c r="I42" s="2328">
        <f>J42+K42</f>
        <v>1</v>
      </c>
      <c r="J42" s="2314">
        <v>1</v>
      </c>
      <c r="K42" s="2409"/>
      <c r="L42" s="2533">
        <f>M42+N42</f>
        <v>242.25</v>
      </c>
      <c r="M42" s="2238">
        <v>242.25</v>
      </c>
      <c r="N42" s="2239">
        <f t="shared" si="8"/>
        <v>0</v>
      </c>
      <c r="O42" s="2498">
        <f t="shared" si="9"/>
        <v>0</v>
      </c>
      <c r="P42" s="2295">
        <f t="shared" si="7"/>
        <v>0</v>
      </c>
    </row>
    <row r="43" spans="1:18" ht="30">
      <c r="A43" s="2265" t="s">
        <v>12708</v>
      </c>
      <c r="B43" s="2234">
        <f>VLOOKUP($A43,'10-QT_AL'!$A:$F,2,0)</f>
        <v>102494</v>
      </c>
      <c r="C43" s="2235" t="str">
        <f>VLOOKUP($A43,'10-QT_AL'!$A:$F,3,0)</f>
        <v>SINAPI</v>
      </c>
      <c r="D43" s="2333" t="s">
        <v>11107</v>
      </c>
      <c r="E43" s="2236" t="str">
        <f>IF($C43="SINAPI",VLOOKUP($B43,'24.08_ND'!$A:$D,3,0),IF($C43="PRÓPRIA",VLOOKUP($B43,'03-CP'!$C:$H,3,0)))</f>
        <v>M2</v>
      </c>
      <c r="F43" s="2230">
        <v>1</v>
      </c>
      <c r="G43" s="2331">
        <v>63.98</v>
      </c>
      <c r="H43" s="2332">
        <f>TRUNC((G43*F43),2)</f>
        <v>63.98</v>
      </c>
      <c r="I43" s="2328">
        <f>J43+K43</f>
        <v>0</v>
      </c>
      <c r="J43" s="2314">
        <v>0</v>
      </c>
      <c r="K43" s="2409"/>
      <c r="L43" s="2533">
        <f>M43+N43</f>
        <v>0</v>
      </c>
      <c r="M43" s="2238">
        <v>0</v>
      </c>
      <c r="N43" s="2239">
        <f t="shared" si="8"/>
        <v>0</v>
      </c>
      <c r="O43" s="2498">
        <f t="shared" si="9"/>
        <v>63.98</v>
      </c>
      <c r="P43" s="2295">
        <f t="shared" si="7"/>
        <v>1</v>
      </c>
    </row>
    <row r="44" spans="1:18">
      <c r="A44" s="2264" t="s">
        <v>12709</v>
      </c>
      <c r="B44" s="2223"/>
      <c r="C44" s="2223"/>
      <c r="D44" s="2382" t="s">
        <v>16172</v>
      </c>
      <c r="E44" s="2224"/>
      <c r="F44" s="2240"/>
      <c r="G44" s="2329"/>
      <c r="H44" s="2330">
        <f>SUBTOTAL(9,H45:H53)</f>
        <v>220605</v>
      </c>
      <c r="I44" s="2311"/>
      <c r="J44" s="2312"/>
      <c r="K44" s="2494"/>
      <c r="L44" s="2535">
        <f>SUM(L45:L53)</f>
        <v>63707.6</v>
      </c>
      <c r="M44" s="2330">
        <f>SUBTOTAL(9,M45:M53)</f>
        <v>54956.2</v>
      </c>
      <c r="N44" s="2535">
        <f>SUM(N45:N53)</f>
        <v>8751.4</v>
      </c>
      <c r="O44" s="2535">
        <f>SUM(O45:O53)</f>
        <v>156897.4</v>
      </c>
      <c r="P44" s="2293">
        <f t="shared" si="7"/>
        <v>0.71121416105709301</v>
      </c>
    </row>
    <row r="45" spans="1:18" ht="35.25" customHeight="1">
      <c r="A45" s="2265" t="s">
        <v>12710</v>
      </c>
      <c r="B45" s="2228" t="str">
        <f>VLOOKUP($A45,'10-QT_AL'!$A:$F,2,0)</f>
        <v>CP-CO-04</v>
      </c>
      <c r="C45" s="2228" t="str">
        <f>VLOOKUP($A45,'10-QT_AL'!$A:$F,3,0)</f>
        <v>PRÓPRIA</v>
      </c>
      <c r="D45" s="2333" t="s">
        <v>16992</v>
      </c>
      <c r="E45" s="2229" t="str">
        <f>IF($C45="SINAPI",VLOOKUP($B45,'24.08_ND'!$A:$D,3,0),IF($C45="PRÓPRIA",VLOOKUP($B45,'03-CP'!$C:$H,3,0)))</f>
        <v>UNXMES</v>
      </c>
      <c r="F45" s="2230">
        <v>30</v>
      </c>
      <c r="G45" s="2331">
        <v>857.55</v>
      </c>
      <c r="H45" s="2332">
        <f t="shared" ref="H45:H53" si="10">TRUNC((G45*F45),2)</f>
        <v>25726.5</v>
      </c>
      <c r="I45" s="2328">
        <f t="shared" ref="I45:I52" si="11">J45+K45</f>
        <v>0.5</v>
      </c>
      <c r="J45" s="2313">
        <v>0.4</v>
      </c>
      <c r="K45" s="2409">
        <v>0.1</v>
      </c>
      <c r="L45" s="2533">
        <f t="shared" ref="L45:L53" si="12">M45+N45</f>
        <v>12863.25</v>
      </c>
      <c r="M45" s="2232">
        <v>10290.6</v>
      </c>
      <c r="N45" s="2239">
        <f t="shared" si="8"/>
        <v>2572.65</v>
      </c>
      <c r="O45" s="2498">
        <f t="shared" si="9"/>
        <v>12863.25</v>
      </c>
      <c r="P45" s="2295">
        <f t="shared" ref="P45:P53" si="13">O45/H45</f>
        <v>0.5</v>
      </c>
    </row>
    <row r="46" spans="1:18" ht="46.5" customHeight="1">
      <c r="A46" s="2265" t="s">
        <v>12711</v>
      </c>
      <c r="B46" s="2228" t="str">
        <f>VLOOKUP($A46,'10-QT_AL'!$A:$F,2,0)</f>
        <v>CP-CO-19</v>
      </c>
      <c r="C46" s="2228" t="str">
        <f>VLOOKUP($A46,'10-QT_AL'!$A:$F,3,0)</f>
        <v>PRÓPRIA</v>
      </c>
      <c r="D46" s="2333" t="s">
        <v>14537</v>
      </c>
      <c r="E46" s="2229" t="str">
        <f>IF($C46="SINAPI",VLOOKUP($B46,'24.08_ND'!$A:$D,3,0),IF($C46="PRÓPRIA",VLOOKUP($B46,'03-CP'!$C:$H,3,0)))</f>
        <v>M2</v>
      </c>
      <c r="F46" s="2230">
        <v>50</v>
      </c>
      <c r="G46" s="2331">
        <v>257.18</v>
      </c>
      <c r="H46" s="2332">
        <f t="shared" si="10"/>
        <v>12859</v>
      </c>
      <c r="I46" s="2328">
        <f t="shared" si="11"/>
        <v>1</v>
      </c>
      <c r="J46" s="2313">
        <v>1</v>
      </c>
      <c r="K46" s="2409"/>
      <c r="L46" s="2533">
        <f t="shared" si="12"/>
        <v>12859</v>
      </c>
      <c r="M46" s="2232">
        <v>12859</v>
      </c>
      <c r="N46" s="2239"/>
      <c r="O46" s="2498">
        <f t="shared" si="9"/>
        <v>0</v>
      </c>
      <c r="P46" s="2295">
        <f t="shared" si="13"/>
        <v>0</v>
      </c>
    </row>
    <row r="47" spans="1:18" ht="30">
      <c r="A47" s="2265" t="s">
        <v>12712</v>
      </c>
      <c r="B47" s="2228" t="str">
        <f>VLOOKUP($A47,'10-QT_AL'!$A:$F,2,0)</f>
        <v>CP-CO-05</v>
      </c>
      <c r="C47" s="2228" t="str">
        <f>VLOOKUP($A47,'10-QT_AL'!$A:$F,3,0)</f>
        <v>PRÓPRIA</v>
      </c>
      <c r="D47" s="2333" t="s">
        <v>14494</v>
      </c>
      <c r="E47" s="2229" t="str">
        <f>IF($C47="SINAPI",VLOOKUP($B47,'24.08_ND'!$A:$D,3,0),IF($C47="PRÓPRIA",VLOOKUP($B47,'03-CP'!$C:$H,3,0)))</f>
        <v>UN</v>
      </c>
      <c r="F47" s="2230">
        <v>160</v>
      </c>
      <c r="G47" s="2331">
        <v>675</v>
      </c>
      <c r="H47" s="2332">
        <f t="shared" si="10"/>
        <v>108000</v>
      </c>
      <c r="I47" s="2328">
        <f t="shared" si="11"/>
        <v>0.06</v>
      </c>
      <c r="J47" s="2313">
        <v>0.06</v>
      </c>
      <c r="K47" s="2409"/>
      <c r="L47" s="2533">
        <f t="shared" si="12"/>
        <v>6480</v>
      </c>
      <c r="M47" s="2232">
        <v>6480</v>
      </c>
      <c r="N47" s="2239"/>
      <c r="O47" s="2498">
        <f t="shared" si="9"/>
        <v>101520</v>
      </c>
      <c r="P47" s="2295">
        <f t="shared" si="13"/>
        <v>0.94</v>
      </c>
    </row>
    <row r="48" spans="1:18" ht="30">
      <c r="A48" s="2265" t="s">
        <v>12713</v>
      </c>
      <c r="B48" s="2228" t="str">
        <f>VLOOKUP($A48,'10-QT_AL'!$A:$F,2,0)</f>
        <v>CP-CO-07</v>
      </c>
      <c r="C48" s="2228" t="str">
        <f>VLOOKUP($A48,'10-QT_AL'!$A:$F,3,0)</f>
        <v>PRÓPRIA</v>
      </c>
      <c r="D48" s="2333" t="s">
        <v>14501</v>
      </c>
      <c r="E48" s="2407" t="str">
        <f>IF($C48="SINAPI",VLOOKUP($B48,'24.08_ND'!$A:$D,3,0),IF($C48="PRÓPRIA",VLOOKUP($B48,'03-CP'!$C:$H,3,0)))</f>
        <v>MES</v>
      </c>
      <c r="F48" s="2230">
        <v>10</v>
      </c>
      <c r="G48" s="2331">
        <v>947.5</v>
      </c>
      <c r="H48" s="2332">
        <f t="shared" si="10"/>
        <v>9475</v>
      </c>
      <c r="I48" s="2328">
        <f t="shared" si="11"/>
        <v>0.5</v>
      </c>
      <c r="J48" s="2313">
        <v>0.4</v>
      </c>
      <c r="K48" s="2409">
        <v>0.1</v>
      </c>
      <c r="L48" s="2533">
        <f t="shared" si="12"/>
        <v>4737.5</v>
      </c>
      <c r="M48" s="2232">
        <v>3790</v>
      </c>
      <c r="N48" s="2239">
        <f t="shared" si="8"/>
        <v>947.5</v>
      </c>
      <c r="O48" s="2498">
        <f t="shared" si="9"/>
        <v>4737.5</v>
      </c>
      <c r="P48" s="2295">
        <f t="shared" si="13"/>
        <v>0.5</v>
      </c>
    </row>
    <row r="49" spans="1:29" ht="45">
      <c r="A49" s="2265" t="s">
        <v>12714</v>
      </c>
      <c r="B49" s="2228" t="str">
        <f>VLOOKUP($A49,'10-QT_AL'!$A:$F,2,0)</f>
        <v>CP-CO-08</v>
      </c>
      <c r="C49" s="2228" t="str">
        <f>VLOOKUP($A49,'10-QT_AL'!$A:$F,3,0)</f>
        <v>PRÓPRIA</v>
      </c>
      <c r="D49" s="2333" t="s">
        <v>14505</v>
      </c>
      <c r="E49" s="2407" t="str">
        <f>IF($C49="SINAPI",VLOOKUP($B49,'24.08_ND'!$A:$D,3,0),IF($C49="PRÓPRIA",VLOOKUP($B49,'03-CP'!$C:$H,3,0)))</f>
        <v>MES</v>
      </c>
      <c r="F49" s="2230">
        <v>10</v>
      </c>
      <c r="G49" s="2331">
        <v>1076.25</v>
      </c>
      <c r="H49" s="2332">
        <f t="shared" si="10"/>
        <v>10762.5</v>
      </c>
      <c r="I49" s="2328">
        <f t="shared" si="11"/>
        <v>0.5</v>
      </c>
      <c r="J49" s="2313">
        <v>0.4</v>
      </c>
      <c r="K49" s="2409">
        <v>0.1</v>
      </c>
      <c r="L49" s="2533">
        <f t="shared" si="12"/>
        <v>5381.25</v>
      </c>
      <c r="M49" s="2232">
        <v>4305</v>
      </c>
      <c r="N49" s="2239">
        <f t="shared" si="8"/>
        <v>1076.25</v>
      </c>
      <c r="O49" s="2498">
        <f t="shared" si="9"/>
        <v>5381.25</v>
      </c>
      <c r="P49" s="2295">
        <f t="shared" si="13"/>
        <v>0.5</v>
      </c>
    </row>
    <row r="50" spans="1:29" ht="45">
      <c r="A50" s="2265" t="s">
        <v>12715</v>
      </c>
      <c r="B50" s="2228" t="str">
        <f>VLOOKUP($A50,'10-QT_AL'!$A:$F,2,0)</f>
        <v>CP-CO-09</v>
      </c>
      <c r="C50" s="2228" t="str">
        <f>VLOOKUP($A50,'10-QT_AL'!$A:$F,3,0)</f>
        <v>PRÓPRIA</v>
      </c>
      <c r="D50" s="2333" t="s">
        <v>14508</v>
      </c>
      <c r="E50" s="2407" t="str">
        <f>IF($C50="SINAPI",VLOOKUP($B50,'24.08_ND'!$A:$D,3,0),IF($C50="PRÓPRIA",VLOOKUP($B50,'03-CP'!$C:$H,3,0)))</f>
        <v>MES</v>
      </c>
      <c r="F50" s="2230">
        <v>10</v>
      </c>
      <c r="G50" s="2331">
        <v>1185</v>
      </c>
      <c r="H50" s="2332">
        <f t="shared" si="10"/>
        <v>11850</v>
      </c>
      <c r="I50" s="2328">
        <f t="shared" si="11"/>
        <v>0.5</v>
      </c>
      <c r="J50" s="2313">
        <v>0.4</v>
      </c>
      <c r="K50" s="2409">
        <v>0.1</v>
      </c>
      <c r="L50" s="2533">
        <f t="shared" si="12"/>
        <v>5925</v>
      </c>
      <c r="M50" s="2232">
        <v>4740</v>
      </c>
      <c r="N50" s="2239">
        <f t="shared" si="8"/>
        <v>1185</v>
      </c>
      <c r="O50" s="2498">
        <f t="shared" si="9"/>
        <v>5925</v>
      </c>
      <c r="P50" s="2295">
        <f t="shared" si="13"/>
        <v>0.5</v>
      </c>
    </row>
    <row r="51" spans="1:29" ht="30">
      <c r="A51" s="2265" t="s">
        <v>12716</v>
      </c>
      <c r="B51" s="2228" t="str">
        <f>VLOOKUP($A51,'10-QT_AL'!$A:$F,2,0)</f>
        <v>CP-CO-12</v>
      </c>
      <c r="C51" s="2228" t="str">
        <f>VLOOKUP($A51,'10-QT_AL'!$A:$F,3,0)</f>
        <v>PRÓPRIA</v>
      </c>
      <c r="D51" s="2333" t="s">
        <v>14515</v>
      </c>
      <c r="E51" s="2229" t="str">
        <f>IF($C51="SINAPI",VLOOKUP($B51,'24.08_ND'!$A:$D,3,0),IF($C51="PRÓPRIA",VLOOKUP($B51,'03-CP'!$C:$H,3,0)))</f>
        <v>UN</v>
      </c>
      <c r="F51" s="2230">
        <v>20</v>
      </c>
      <c r="G51" s="2331">
        <v>611.6</v>
      </c>
      <c r="H51" s="2332">
        <f t="shared" si="10"/>
        <v>12232</v>
      </c>
      <c r="I51" s="2328">
        <f t="shared" si="11"/>
        <v>0.05</v>
      </c>
      <c r="J51" s="2313">
        <v>0.05</v>
      </c>
      <c r="K51" s="2409"/>
      <c r="L51" s="2533">
        <f t="shared" si="12"/>
        <v>611.6</v>
      </c>
      <c r="M51" s="2232">
        <v>611.6</v>
      </c>
      <c r="N51" s="2239"/>
      <c r="O51" s="2498">
        <f t="shared" si="9"/>
        <v>11620.4</v>
      </c>
      <c r="P51" s="2295">
        <f t="shared" si="13"/>
        <v>0.95</v>
      </c>
    </row>
    <row r="52" spans="1:29" ht="30">
      <c r="A52" s="2265" t="s">
        <v>12717</v>
      </c>
      <c r="B52" s="2228" t="str">
        <f>VLOOKUP($A52,'10-QT_AL'!$A:$F,2,0)</f>
        <v>CP-CO-24</v>
      </c>
      <c r="C52" s="2228" t="str">
        <f>VLOOKUP($A52,'10-QT_AL'!$A:$F,3,0)</f>
        <v>PRÓPRIA</v>
      </c>
      <c r="D52" s="2333" t="s">
        <v>14552</v>
      </c>
      <c r="E52" s="2229" t="str">
        <f>IF($C52="SINAPI",VLOOKUP($B52,'24.08_ND'!$A:$D,3,0),IF($C52="PRÓPRIA",VLOOKUP($B52,'03-CP'!$C:$H,3,0)))</f>
        <v>MES</v>
      </c>
      <c r="F52" s="2230">
        <v>20</v>
      </c>
      <c r="G52" s="2331">
        <v>1115</v>
      </c>
      <c r="H52" s="2332">
        <f t="shared" si="10"/>
        <v>22300</v>
      </c>
      <c r="I52" s="2328">
        <f t="shared" si="11"/>
        <v>0.5</v>
      </c>
      <c r="J52" s="2313">
        <v>0.4</v>
      </c>
      <c r="K52" s="2409">
        <v>0.1</v>
      </c>
      <c r="L52" s="2533">
        <f>M52+N52</f>
        <v>11150</v>
      </c>
      <c r="M52" s="2232">
        <v>8920</v>
      </c>
      <c r="N52" s="2239">
        <f t="shared" si="8"/>
        <v>2230</v>
      </c>
      <c r="O52" s="2498">
        <f t="shared" si="9"/>
        <v>11150</v>
      </c>
      <c r="P52" s="2295">
        <f t="shared" si="13"/>
        <v>0.5</v>
      </c>
      <c r="AC52">
        <f>360+90</f>
        <v>450</v>
      </c>
    </row>
    <row r="53" spans="1:29" ht="45">
      <c r="A53" s="2265" t="s">
        <v>12718</v>
      </c>
      <c r="B53" s="2228" t="str">
        <f>VLOOKUP($A53,'10-QT_AL'!$A:$F,2,0)</f>
        <v>CP-CO-10</v>
      </c>
      <c r="C53" s="2228" t="str">
        <f>VLOOKUP($A53,'10-QT_AL'!$A:$F,3,0)</f>
        <v>PRÓPRIA</v>
      </c>
      <c r="D53" s="2333" t="s">
        <v>14510</v>
      </c>
      <c r="E53" s="2229" t="str">
        <f>IF($C53="SINAPI",VLOOKUP($B53,'24.08_ND'!$A:$D,3,0),IF($C53="PRÓPRIA",VLOOKUP($B53,'03-CP'!$C:$H,3,0)))</f>
        <v>MES</v>
      </c>
      <c r="F53" s="2230">
        <v>10</v>
      </c>
      <c r="G53" s="2331">
        <v>740</v>
      </c>
      <c r="H53" s="2332">
        <f t="shared" si="10"/>
        <v>7400</v>
      </c>
      <c r="I53" s="2328">
        <f>J53+K53</f>
        <v>0.5</v>
      </c>
      <c r="J53" s="2313">
        <v>0.4</v>
      </c>
      <c r="K53" s="2409">
        <v>0.1</v>
      </c>
      <c r="L53" s="2533">
        <f t="shared" si="12"/>
        <v>3700</v>
      </c>
      <c r="M53" s="2232">
        <v>2960</v>
      </c>
      <c r="N53" s="2239">
        <f t="shared" si="8"/>
        <v>740</v>
      </c>
      <c r="O53" s="2498">
        <f t="shared" si="9"/>
        <v>3700</v>
      </c>
      <c r="P53" s="2295">
        <f t="shared" si="13"/>
        <v>0.5</v>
      </c>
    </row>
    <row r="54" spans="1:29">
      <c r="A54" s="2264" t="s">
        <v>12719</v>
      </c>
      <c r="B54" s="2223"/>
      <c r="C54" s="2223"/>
      <c r="D54" s="2382" t="s">
        <v>16182</v>
      </c>
      <c r="E54" s="2224" t="str">
        <f>IFERROR(VLOOKUP($B54,'24.08_ND'!$1:$1048529,3,0),IFERROR(VLOOKUP($B54,'03-CP'!$C$1:$H$403,3,0),""))</f>
        <v/>
      </c>
      <c r="F54" s="2240"/>
      <c r="G54" s="2329"/>
      <c r="H54" s="2330">
        <f>SUBTOTAL(9,H55:H60)</f>
        <v>851761.36</v>
      </c>
      <c r="I54" s="2311"/>
      <c r="J54" s="2312"/>
      <c r="K54" s="2494"/>
      <c r="L54" s="2535">
        <f>SUM(L55:L60)</f>
        <v>187494.09</v>
      </c>
      <c r="M54" s="2330">
        <f>SUBTOTAL(9,M55:M60)</f>
        <v>157218.63999999998</v>
      </c>
      <c r="N54" s="2535">
        <f>SUM(N55:N60)</f>
        <v>30275.449999999997</v>
      </c>
      <c r="O54" s="2535">
        <f>SUM(O55:O60)</f>
        <v>664267.27</v>
      </c>
      <c r="P54" s="2293">
        <f>O54/H54</f>
        <v>0.77987485837582493</v>
      </c>
    </row>
    <row r="55" spans="1:29">
      <c r="A55" s="2265" t="s">
        <v>12720</v>
      </c>
      <c r="B55" s="2228" t="str">
        <f>VLOOKUP($A55,'10-QT_AL'!$A:$F,2,0)</f>
        <v>CP-EQP-01</v>
      </c>
      <c r="C55" s="2228" t="str">
        <f>VLOOKUP($A55,'10-QT_AL'!$A:$F,3,0)</f>
        <v>PRÓPRIA</v>
      </c>
      <c r="D55" s="2383" t="s">
        <v>14555</v>
      </c>
      <c r="E55" s="2229" t="str">
        <f>IF($C55="SINAPI",VLOOKUP($B55,'24.08_ND'!$A:$D,3,0),IF($C55="PRÓPRIA",VLOOKUP($B55,'03-CP'!$C:$H,3,0)))</f>
        <v>H</v>
      </c>
      <c r="F55" s="2230">
        <v>2160</v>
      </c>
      <c r="G55" s="2331">
        <v>157.65</v>
      </c>
      <c r="H55" s="2332">
        <f t="shared" ref="H55:H60" si="14">TRUNC((G55*F55),2)</f>
        <v>340524</v>
      </c>
      <c r="I55" s="2328">
        <f t="shared" ref="I55:I60" si="15">J55+K55</f>
        <v>0.42000000000000004</v>
      </c>
      <c r="J55" s="2313">
        <v>0.34</v>
      </c>
      <c r="K55" s="2409">
        <v>0.08</v>
      </c>
      <c r="L55" s="2533">
        <f t="shared" ref="L55:L60" si="16">M55+N55</f>
        <v>143020.07999999999</v>
      </c>
      <c r="M55" s="2232">
        <v>115778.15999999999</v>
      </c>
      <c r="N55" s="2239">
        <f t="shared" si="8"/>
        <v>27241.919999999998</v>
      </c>
      <c r="O55" s="2498">
        <f t="shared" si="9"/>
        <v>197503.92</v>
      </c>
      <c r="P55" s="2295">
        <f t="shared" ref="P55:P63" si="17">O55/H55</f>
        <v>0.58000000000000007</v>
      </c>
    </row>
    <row r="56" spans="1:29" ht="30">
      <c r="A56" s="2265" t="s">
        <v>12721</v>
      </c>
      <c r="B56" s="2228" t="str">
        <f>VLOOKUP($A56,'10-QT_AL'!$A:$F,2,0)</f>
        <v>CP-EQP-05</v>
      </c>
      <c r="C56" s="2228" t="str">
        <f>VLOOKUP($A56,'10-QT_AL'!$A:$F,3,0)</f>
        <v>PRÓPRIA</v>
      </c>
      <c r="D56" s="2333" t="s">
        <v>14570</v>
      </c>
      <c r="E56" s="2229" t="str">
        <f>IF($C56="SINAPI",VLOOKUP($B56,'24.08_ND'!$A:$D,3,0),IF($C56="PRÓPRIA",VLOOKUP($B56,'03-CP'!$C:$H,3,0)))</f>
        <v>H</v>
      </c>
      <c r="F56" s="2230">
        <v>640</v>
      </c>
      <c r="G56" s="2331">
        <v>31.52</v>
      </c>
      <c r="H56" s="2332">
        <f t="shared" si="14"/>
        <v>20172.8</v>
      </c>
      <c r="I56" s="2328">
        <f t="shared" si="15"/>
        <v>0.47000000000000003</v>
      </c>
      <c r="J56" s="2313">
        <v>0.4</v>
      </c>
      <c r="K56" s="2409">
        <v>7.0000000000000007E-2</v>
      </c>
      <c r="L56" s="2533">
        <f t="shared" si="16"/>
        <v>9481.2099999999991</v>
      </c>
      <c r="M56" s="2232">
        <v>8069.12</v>
      </c>
      <c r="N56" s="2239">
        <f t="shared" si="8"/>
        <v>1412.09</v>
      </c>
      <c r="O56" s="2498">
        <f t="shared" si="9"/>
        <v>10691.59</v>
      </c>
      <c r="P56" s="2295">
        <f t="shared" si="17"/>
        <v>0.53000029743020305</v>
      </c>
      <c r="Q56" s="2574"/>
    </row>
    <row r="57" spans="1:29" ht="60">
      <c r="A57" s="2265" t="s">
        <v>12722</v>
      </c>
      <c r="B57" s="2228" t="str">
        <f>VLOOKUP($A57,'10-QT_AL'!$A:$F,2,0)</f>
        <v>CP-EQP-02</v>
      </c>
      <c r="C57" s="2228" t="str">
        <f>VLOOKUP($A57,'10-QT_AL'!$A:$F,3,0)</f>
        <v>PRÓPRIA</v>
      </c>
      <c r="D57" s="2333" t="s">
        <v>14558</v>
      </c>
      <c r="E57" s="2229" t="str">
        <f>IF($C57="SINAPI",VLOOKUP($B57,'24.08_ND'!$A:$D,3,0),IF($C57="PRÓPRIA",VLOOKUP($B57,'03-CP'!$C:$H,3,0)))</f>
        <v>M2XMES</v>
      </c>
      <c r="F57" s="2230">
        <v>300</v>
      </c>
      <c r="G57" s="2331">
        <v>42</v>
      </c>
      <c r="H57" s="2332">
        <f t="shared" si="14"/>
        <v>12600</v>
      </c>
      <c r="I57" s="2328">
        <f t="shared" si="15"/>
        <v>0.3</v>
      </c>
      <c r="J57" s="2313">
        <v>0.3</v>
      </c>
      <c r="K57" s="2409"/>
      <c r="L57" s="2533">
        <f t="shared" si="16"/>
        <v>3780</v>
      </c>
      <c r="M57" s="2232">
        <v>3780</v>
      </c>
      <c r="N57" s="2239"/>
      <c r="O57" s="2498">
        <f t="shared" si="9"/>
        <v>8820</v>
      </c>
      <c r="P57" s="2295">
        <f t="shared" si="17"/>
        <v>0.7</v>
      </c>
    </row>
    <row r="58" spans="1:29" ht="30">
      <c r="A58" s="2265" t="s">
        <v>12723</v>
      </c>
      <c r="B58" s="2228" t="str">
        <f>VLOOKUP($A58,'10-QT_AL'!$A:$F,2,0)</f>
        <v>CP-EQP-03</v>
      </c>
      <c r="C58" s="2228" t="str">
        <f>VLOOKUP($A58,'10-QT_AL'!$A:$F,3,0)</f>
        <v>PRÓPRIA</v>
      </c>
      <c r="D58" s="2333" t="s">
        <v>14561</v>
      </c>
      <c r="E58" s="2229" t="str">
        <f>IF($C58="SINAPI",VLOOKUP($B58,'24.08_ND'!$A:$D,3,0),IF($C58="PRÓPRIA",VLOOKUP($B58,'03-CP'!$C:$H,3,0)))</f>
        <v>MXMES</v>
      </c>
      <c r="F58" s="2230">
        <v>240</v>
      </c>
      <c r="G58" s="2331">
        <v>67.56</v>
      </c>
      <c r="H58" s="2332">
        <f t="shared" si="14"/>
        <v>16214.4</v>
      </c>
      <c r="I58" s="2328">
        <f t="shared" si="15"/>
        <v>0.4</v>
      </c>
      <c r="J58" s="2313">
        <v>0.3</v>
      </c>
      <c r="K58" s="2409">
        <v>0.1</v>
      </c>
      <c r="L58" s="2533">
        <f t="shared" si="16"/>
        <v>6485.76</v>
      </c>
      <c r="M58" s="2232">
        <v>4864.32</v>
      </c>
      <c r="N58" s="2239">
        <f t="shared" si="8"/>
        <v>1621.44</v>
      </c>
      <c r="O58" s="2498">
        <f t="shared" si="9"/>
        <v>9728.64</v>
      </c>
      <c r="P58" s="2295">
        <f t="shared" si="17"/>
        <v>0.6</v>
      </c>
    </row>
    <row r="59" spans="1:29" ht="30">
      <c r="A59" s="2265" t="s">
        <v>12724</v>
      </c>
      <c r="B59" s="2234">
        <f>VLOOKUP($A59,'10-QT_AL'!$A:$F,2,0)</f>
        <v>99059</v>
      </c>
      <c r="C59" s="2234" t="str">
        <f>VLOOKUP($A59,'10-QT_AL'!$A:$F,3,0)</f>
        <v>SINAPI</v>
      </c>
      <c r="D59" s="2333" t="s">
        <v>11901</v>
      </c>
      <c r="E59" s="2236" t="str">
        <f>IF($C59="SINAPI",VLOOKUP($B59,'24.08_ND'!$A:$D,3,0),IF($C59="PRÓPRIA",VLOOKUP($B59,'03-CP'!$C:$H,3,0)))</f>
        <v>M</v>
      </c>
      <c r="F59" s="2230">
        <v>1139.8000000000002</v>
      </c>
      <c r="G59" s="2331">
        <v>69.2</v>
      </c>
      <c r="H59" s="2332">
        <f t="shared" si="14"/>
        <v>78874.16</v>
      </c>
      <c r="I59" s="2328">
        <f t="shared" si="15"/>
        <v>0.3135</v>
      </c>
      <c r="J59" s="2314">
        <v>0.3135</v>
      </c>
      <c r="K59" s="2409"/>
      <c r="L59" s="2533">
        <f t="shared" si="16"/>
        <v>24727.040000000001</v>
      </c>
      <c r="M59" s="2238">
        <v>24727.040000000001</v>
      </c>
      <c r="N59" s="2239"/>
      <c r="O59" s="2498">
        <f t="shared" si="9"/>
        <v>54147.12</v>
      </c>
      <c r="P59" s="2295">
        <f t="shared" si="17"/>
        <v>0.6865001161343588</v>
      </c>
    </row>
    <row r="60" spans="1:29" ht="45">
      <c r="A60" s="2265" t="s">
        <v>12725</v>
      </c>
      <c r="B60" s="2234">
        <f>VLOOKUP($A60,'10-QT_AL'!$A:$F,2,0)</f>
        <v>5928</v>
      </c>
      <c r="C60" s="2234" t="str">
        <f>VLOOKUP($A60,'10-QT_AL'!$A:$F,3,0)</f>
        <v>SINAPI</v>
      </c>
      <c r="D60" s="2333" t="s">
        <v>5375</v>
      </c>
      <c r="E60" s="2236" t="str">
        <f>IF($C60="SINAPI",VLOOKUP($B60,'24.08_ND'!$A:$D,3,0),IF($C60="PRÓPRIA",VLOOKUP($B60,'03-CP'!$C:$H,3,0)))</f>
        <v>CHP</v>
      </c>
      <c r="F60" s="2230">
        <v>1200</v>
      </c>
      <c r="G60" s="2331">
        <v>319.48</v>
      </c>
      <c r="H60" s="2332">
        <f t="shared" si="14"/>
        <v>383376</v>
      </c>
      <c r="I60" s="2328">
        <f t="shared" si="15"/>
        <v>0</v>
      </c>
      <c r="J60" s="2314">
        <v>0</v>
      </c>
      <c r="K60" s="2409"/>
      <c r="L60" s="2533">
        <f t="shared" si="16"/>
        <v>0</v>
      </c>
      <c r="M60" s="2238">
        <v>0</v>
      </c>
      <c r="N60" s="2239"/>
      <c r="O60" s="2498">
        <f t="shared" si="9"/>
        <v>383376</v>
      </c>
      <c r="P60" s="2295">
        <f t="shared" si="17"/>
        <v>1</v>
      </c>
      <c r="R60">
        <v>961308.67</v>
      </c>
      <c r="S60" s="1793">
        <f>R60/4</f>
        <v>240327.16750000001</v>
      </c>
    </row>
    <row r="61" spans="1:29">
      <c r="A61" s="2264" t="s">
        <v>12726</v>
      </c>
      <c r="B61" s="2223"/>
      <c r="C61" s="2223"/>
      <c r="D61" s="2382" t="s">
        <v>16193</v>
      </c>
      <c r="E61" s="2224"/>
      <c r="F61" s="2240"/>
      <c r="G61" s="2329"/>
      <c r="H61" s="2330">
        <f>SUBTOTAL(9,H62:H63)</f>
        <v>23619.23</v>
      </c>
      <c r="I61" s="2311"/>
      <c r="J61" s="2312"/>
      <c r="K61" s="2494"/>
      <c r="L61" s="2535">
        <f>SUM(L62:L63)</f>
        <v>0</v>
      </c>
      <c r="M61" s="2330">
        <f>SUBTOTAL(9,M62:M63)</f>
        <v>1112.94</v>
      </c>
      <c r="N61" s="2535">
        <f>SUM(N62:N63)</f>
        <v>-1112.94</v>
      </c>
      <c r="O61" s="2535">
        <f>SUM(O62:O63)</f>
        <v>23619.23</v>
      </c>
      <c r="P61" s="2293">
        <f>O61/H61</f>
        <v>1</v>
      </c>
      <c r="R61">
        <v>12143.16</v>
      </c>
    </row>
    <row r="62" spans="1:29">
      <c r="A62" s="2265" t="s">
        <v>12727</v>
      </c>
      <c r="B62" s="2234">
        <f>VLOOKUP($A62,'10-QT_AL'!$A:$F,2,0)</f>
        <v>100533</v>
      </c>
      <c r="C62" s="2234" t="str">
        <f>VLOOKUP($A62,'10-QT_AL'!$A:$F,3,0)</f>
        <v>SINAPI</v>
      </c>
      <c r="D62" s="2333" t="s">
        <v>12324</v>
      </c>
      <c r="E62" s="2236" t="str">
        <f>IF($C62="SINAPI",VLOOKUP($B62,'24.08_ND'!$A:$D,3,0),IF($C62="PRÓPRIA",VLOOKUP($B62,'03-CP'!$C:$H,3,0)))</f>
        <v>H</v>
      </c>
      <c r="F62" s="2230">
        <v>360</v>
      </c>
      <c r="G62" s="2331">
        <v>20.61</v>
      </c>
      <c r="H62" s="2332">
        <f>TRUNC((G62*F62),2)</f>
        <v>7419.6</v>
      </c>
      <c r="I62" s="2328">
        <f>J62+K62</f>
        <v>0</v>
      </c>
      <c r="J62" s="2314">
        <v>0.15000000000000002</v>
      </c>
      <c r="K62" s="2409">
        <v>-0.15</v>
      </c>
      <c r="L62" s="2533">
        <f>M62+N62</f>
        <v>0</v>
      </c>
      <c r="M62" s="2238">
        <v>1112.94</v>
      </c>
      <c r="N62" s="2239">
        <f t="shared" si="8"/>
        <v>-1112.94</v>
      </c>
      <c r="O62" s="2498">
        <f t="shared" si="9"/>
        <v>7419.6</v>
      </c>
      <c r="P62" s="2295">
        <f t="shared" si="17"/>
        <v>1</v>
      </c>
      <c r="R62">
        <f>R60-R61</f>
        <v>949165.51</v>
      </c>
      <c r="S62" s="2204"/>
    </row>
    <row r="63" spans="1:29">
      <c r="A63" s="2265" t="s">
        <v>12728</v>
      </c>
      <c r="B63" s="2234">
        <f>VLOOKUP($A63,'10-QT_AL'!$A:$F,2,0)</f>
        <v>99814</v>
      </c>
      <c r="C63" s="2234" t="str">
        <f>VLOOKUP($A63,'10-QT_AL'!$A:$F,3,0)</f>
        <v>SINAPI</v>
      </c>
      <c r="D63" s="2333" t="s">
        <v>11795</v>
      </c>
      <c r="E63" s="2236" t="str">
        <f>IF($C63="SINAPI",VLOOKUP($B63,'24.08_ND'!$A:$D,3,0),IF($C63="PRÓPRIA",VLOOKUP($B63,'03-CP'!$C:$H,3,0)))</f>
        <v>M2</v>
      </c>
      <c r="F63" s="2230">
        <v>7825.9099999999989</v>
      </c>
      <c r="G63" s="2331">
        <v>2.0699999999999998</v>
      </c>
      <c r="H63" s="2332">
        <f>TRUNC((G63*F63),2)</f>
        <v>16199.63</v>
      </c>
      <c r="I63" s="2328">
        <f>J63+K63</f>
        <v>0</v>
      </c>
      <c r="J63" s="2314">
        <v>0</v>
      </c>
      <c r="K63" s="2409"/>
      <c r="L63" s="2533">
        <f>M63+N63</f>
        <v>0</v>
      </c>
      <c r="M63" s="2238">
        <v>0</v>
      </c>
      <c r="N63" s="2239">
        <f t="shared" si="8"/>
        <v>0</v>
      </c>
      <c r="O63" s="2498">
        <f t="shared" si="9"/>
        <v>16199.63</v>
      </c>
      <c r="P63" s="2295">
        <f t="shared" si="17"/>
        <v>1</v>
      </c>
    </row>
    <row r="64" spans="1:29">
      <c r="A64" s="2902" t="s">
        <v>12729</v>
      </c>
      <c r="B64" s="2903"/>
      <c r="C64" s="1799"/>
      <c r="D64" s="2146"/>
      <c r="E64" s="1799"/>
      <c r="F64" s="232"/>
      <c r="G64" s="233"/>
      <c r="H64" s="2299">
        <f>SUBTOTAL(9,H65:H496)</f>
        <v>1746147.0000000005</v>
      </c>
      <c r="I64" s="2285"/>
      <c r="J64" s="2151"/>
      <c r="K64" s="2495"/>
      <c r="L64" s="2531">
        <f>L65+L160+L277+L378+L493</f>
        <v>65933.409999999989</v>
      </c>
      <c r="M64" s="2299">
        <f>SUBTOTAL(9,M65:M496)</f>
        <v>50862.060000000012</v>
      </c>
      <c r="N64" s="2531">
        <f>N65+N160+N277+N378+N493</f>
        <v>15071.35</v>
      </c>
      <c r="O64" s="2531">
        <f>O65+O160+O277+O378+O493</f>
        <v>1679932.0499999996</v>
      </c>
      <c r="P64" s="2404"/>
      <c r="S64">
        <v>253060.44</v>
      </c>
      <c r="T64">
        <f>S64/4</f>
        <v>63265.11</v>
      </c>
    </row>
    <row r="65" spans="1:20">
      <c r="A65" s="2263" t="s">
        <v>12624</v>
      </c>
      <c r="B65" s="2216"/>
      <c r="C65" s="2217"/>
      <c r="D65" s="2377" t="s">
        <v>16198</v>
      </c>
      <c r="E65" s="2218"/>
      <c r="F65" s="2241"/>
      <c r="G65" s="2220"/>
      <c r="H65" s="2300">
        <f>SUBTOTAL(9,H66:H159)</f>
        <v>420064.29000000004</v>
      </c>
      <c r="I65" s="2283"/>
      <c r="J65" s="2221"/>
      <c r="K65" s="2492"/>
      <c r="L65" s="2532">
        <f>L66+L80+L86+L93+L107+L112+L120+L123+L128+L133+L138+L148+L153+L158</f>
        <v>63005.219999999994</v>
      </c>
      <c r="M65" s="2300">
        <f>SUBTOTAL(9,M66:M159)</f>
        <v>50862.060000000012</v>
      </c>
      <c r="N65" s="2532">
        <f>N66+N80+N86+N93+N107+N112+N120+N123+N128+N133+N138+N148+N153+N158</f>
        <v>12143.16</v>
      </c>
      <c r="O65" s="2532">
        <f>O66+O80+O86+O93+O107+O112+O120+O123+O128+O133+O138+O148+O153+O158</f>
        <v>356777.53</v>
      </c>
      <c r="P65" s="2292"/>
      <c r="T65">
        <v>63265.11</v>
      </c>
    </row>
    <row r="66" spans="1:20">
      <c r="A66" s="2264" t="s">
        <v>12730</v>
      </c>
      <c r="B66" s="2223"/>
      <c r="C66" s="2223"/>
      <c r="D66" s="2376" t="s">
        <v>16201</v>
      </c>
      <c r="E66" s="2224"/>
      <c r="F66" s="2240"/>
      <c r="G66" s="2226"/>
      <c r="H66" s="2301">
        <f>SUBTOTAL(9,H67:H79)</f>
        <v>25422.93</v>
      </c>
      <c r="I66" s="2284"/>
      <c r="J66" s="2227"/>
      <c r="K66" s="2496"/>
      <c r="L66" s="2534">
        <f>SUM(L67:L79)</f>
        <v>21854.04</v>
      </c>
      <c r="M66" s="2301">
        <f>SUBTOTAL(9,M67:M79)</f>
        <v>19067.140000000003</v>
      </c>
      <c r="N66" s="2534">
        <f>SUM(N67:N79)</f>
        <v>2786.9</v>
      </c>
      <c r="O66" s="2534">
        <f>SUM(O67:O79)</f>
        <v>3568.8900000000003</v>
      </c>
      <c r="P66" s="2293">
        <f>O66/H66</f>
        <v>0.14038075076318898</v>
      </c>
      <c r="Q66" s="2585"/>
    </row>
    <row r="67" spans="1:20" ht="45">
      <c r="A67" s="2265" t="s">
        <v>12731</v>
      </c>
      <c r="B67" s="2234">
        <f>VLOOKUP($A67,'11 - QT_ WB'!$A:$F,2,0)</f>
        <v>96520</v>
      </c>
      <c r="C67" s="2234" t="str">
        <f>VLOOKUP($A67,'11 - QT_ WB'!$A:$F,3,0)</f>
        <v>SINAPI</v>
      </c>
      <c r="D67" s="2333" t="s">
        <v>10505</v>
      </c>
      <c r="E67" s="2242" t="str">
        <f>IFERROR(VLOOKUP($B67,'24.08_ND'!$1:$1048529,3,0),IFERROR(VLOOKUP($B67,'03-CP'!$C$1:$H$403,3,0),""))</f>
        <v>M3</v>
      </c>
      <c r="F67" s="2230">
        <v>77.84</v>
      </c>
      <c r="G67" s="2308">
        <v>95.46</v>
      </c>
      <c r="H67" s="2332">
        <f t="shared" ref="H67:H79" si="18">TRUNC((G67*F67),2)</f>
        <v>7430.6</v>
      </c>
      <c r="I67" s="2328">
        <f t="shared" ref="I67:I79" si="19">J67+K67</f>
        <v>0.89</v>
      </c>
      <c r="J67" s="2314">
        <v>0.75</v>
      </c>
      <c r="K67" s="2409">
        <v>0.14000000000000001</v>
      </c>
      <c r="L67" s="2533">
        <f t="shared" ref="L67:L79" si="20">M67+N67</f>
        <v>6613.23</v>
      </c>
      <c r="M67" s="2238">
        <v>5572.95</v>
      </c>
      <c r="N67" s="2239">
        <f t="shared" ref="N67:N79" si="21">TRUNC(H67*K67,2)</f>
        <v>1040.28</v>
      </c>
      <c r="O67" s="2498">
        <f t="shared" ref="O67:O79" si="22">H67-L67</f>
        <v>817.3700000000008</v>
      </c>
      <c r="P67" s="2295">
        <f t="shared" ref="P67:P80" si="23">O67/H67</f>
        <v>0.11000053831453728</v>
      </c>
      <c r="Q67">
        <v>95574.32</v>
      </c>
      <c r="R67">
        <v>1146.27</v>
      </c>
      <c r="S67">
        <f>Q67-R67</f>
        <v>94428.05</v>
      </c>
    </row>
    <row r="68" spans="1:20" ht="30">
      <c r="A68" s="2265" t="s">
        <v>12732</v>
      </c>
      <c r="B68" s="2234">
        <f>VLOOKUP($A68,'11 - QT_ WB'!$A:$F,2,0)</f>
        <v>101616</v>
      </c>
      <c r="C68" s="2234" t="str">
        <f>VLOOKUP($A68,'11 - QT_ WB'!$A:$F,3,0)</f>
        <v>SINAPI</v>
      </c>
      <c r="D68" s="2333" t="s">
        <v>10747</v>
      </c>
      <c r="E68" s="2242" t="str">
        <f>IFERROR(VLOOKUP($B68,'24.08_ND'!$1:$1048529,3,0),IFERROR(VLOOKUP($B68,'03-CP'!$C$1:$H$403,3,0),""))</f>
        <v>M2</v>
      </c>
      <c r="F68" s="2230">
        <v>17.010000000000002</v>
      </c>
      <c r="G68" s="2308">
        <v>6.71</v>
      </c>
      <c r="H68" s="2332">
        <f t="shared" si="18"/>
        <v>114.13</v>
      </c>
      <c r="I68" s="2328">
        <f t="shared" si="19"/>
        <v>0.8901</v>
      </c>
      <c r="J68" s="2314">
        <v>0.75</v>
      </c>
      <c r="K68" s="2409">
        <v>0.1401</v>
      </c>
      <c r="L68" s="2533">
        <f t="shared" si="20"/>
        <v>101.56</v>
      </c>
      <c r="M68" s="2238">
        <v>85.58</v>
      </c>
      <c r="N68" s="2239">
        <f t="shared" si="21"/>
        <v>15.98</v>
      </c>
      <c r="O68" s="2498">
        <f t="shared" si="22"/>
        <v>12.569999999999993</v>
      </c>
      <c r="P68" s="2295">
        <f t="shared" si="23"/>
        <v>0.11013756242880919</v>
      </c>
      <c r="Q68" s="2586">
        <v>95574.32</v>
      </c>
      <c r="S68">
        <v>94428.05</v>
      </c>
    </row>
    <row r="69" spans="1:20">
      <c r="A69" s="2265" t="s">
        <v>12733</v>
      </c>
      <c r="B69" s="2234">
        <f>VLOOKUP($A69,'11 - QT_ WB'!$A:$F,2,0)</f>
        <v>96616</v>
      </c>
      <c r="C69" s="2234" t="str">
        <f>VLOOKUP($A69,'11 - QT_ WB'!$A:$F,3,0)</f>
        <v>SINAPI</v>
      </c>
      <c r="D69" s="2383" t="s">
        <v>7163</v>
      </c>
      <c r="E69" s="2242" t="str">
        <f>IFERROR(VLOOKUP($B69,'24.08_ND'!$1:$1048529,3,0),IFERROR(VLOOKUP($B69,'03-CP'!$C$1:$H$403,3,0),""))</f>
        <v>M3</v>
      </c>
      <c r="F69" s="2230">
        <v>0.85</v>
      </c>
      <c r="G69" s="2308">
        <v>955.26</v>
      </c>
      <c r="H69" s="2332">
        <f t="shared" si="18"/>
        <v>811.97</v>
      </c>
      <c r="I69" s="2328">
        <f t="shared" si="19"/>
        <v>0.89</v>
      </c>
      <c r="J69" s="2314">
        <v>0.75</v>
      </c>
      <c r="K69" s="2409">
        <v>0.14000000000000001</v>
      </c>
      <c r="L69" s="2533">
        <f t="shared" si="20"/>
        <v>722.64</v>
      </c>
      <c r="M69" s="2238">
        <v>608.97</v>
      </c>
      <c r="N69" s="2239">
        <f t="shared" si="21"/>
        <v>113.67</v>
      </c>
      <c r="O69" s="2498">
        <f t="shared" si="22"/>
        <v>89.330000000000041</v>
      </c>
      <c r="P69" s="2295">
        <f t="shared" si="23"/>
        <v>0.11001637991551416</v>
      </c>
      <c r="Q69" s="2576" t="s">
        <v>17021</v>
      </c>
    </row>
    <row r="70" spans="1:20" ht="30">
      <c r="A70" s="2265" t="s">
        <v>12734</v>
      </c>
      <c r="B70" s="2234">
        <f>VLOOKUP($A70,'11 - QT_ WB'!$A:$F,2,0)</f>
        <v>96535</v>
      </c>
      <c r="C70" s="2234" t="str">
        <f>VLOOKUP($A70,'11 - QT_ WB'!$A:$F,3,0)</f>
        <v>SINAPI</v>
      </c>
      <c r="D70" s="2333" t="s">
        <v>7301</v>
      </c>
      <c r="E70" s="2242" t="str">
        <f>IFERROR(VLOOKUP($B70,'24.08_ND'!$1:$1048529,3,0),IFERROR(VLOOKUP($B70,'03-CP'!$C$1:$H$403,3,0),""))</f>
        <v>M2</v>
      </c>
      <c r="F70" s="2230">
        <v>22.32</v>
      </c>
      <c r="G70" s="2308">
        <v>149.51</v>
      </c>
      <c r="H70" s="2332">
        <f t="shared" si="18"/>
        <v>3337.06</v>
      </c>
      <c r="I70" s="2328">
        <f t="shared" si="19"/>
        <v>0.89</v>
      </c>
      <c r="J70" s="2314">
        <v>0.75</v>
      </c>
      <c r="K70" s="2409">
        <v>0.14000000000000001</v>
      </c>
      <c r="L70" s="2533">
        <f t="shared" si="20"/>
        <v>2969.97</v>
      </c>
      <c r="M70" s="2238">
        <v>2502.79</v>
      </c>
      <c r="N70" s="2239">
        <f t="shared" si="21"/>
        <v>467.18</v>
      </c>
      <c r="O70" s="2498">
        <f t="shared" si="22"/>
        <v>367.09000000000015</v>
      </c>
      <c r="P70" s="2295">
        <f t="shared" si="23"/>
        <v>0.11000401551065912</v>
      </c>
      <c r="Q70" s="2586" t="e">
        <f>Q68-Q69</f>
        <v>#VALUE!</v>
      </c>
    </row>
    <row r="71" spans="1:20" ht="30">
      <c r="A71" s="2265" t="s">
        <v>12735</v>
      </c>
      <c r="B71" s="2234">
        <f>VLOOKUP($A71,'11 - QT_ WB'!$A:$F,2,0)</f>
        <v>104916</v>
      </c>
      <c r="C71" s="2234" t="str">
        <f>VLOOKUP($A71,'11 - QT_ WB'!$A:$F,3,0)</f>
        <v>SINAPI</v>
      </c>
      <c r="D71" s="2333" t="s">
        <v>7596</v>
      </c>
      <c r="E71" s="2242" t="str">
        <f>IFERROR(VLOOKUP($B71,'24.08_ND'!$1:$1048529,3,0),IFERROR(VLOOKUP($B71,'03-CP'!$C$1:$H$403,3,0),""))</f>
        <v>KG</v>
      </c>
      <c r="F71" s="2230">
        <v>10.4</v>
      </c>
      <c r="G71" s="2308">
        <v>19.850000000000001</v>
      </c>
      <c r="H71" s="2332">
        <f t="shared" si="18"/>
        <v>206.44</v>
      </c>
      <c r="I71" s="2328">
        <f t="shared" si="19"/>
        <v>0.9</v>
      </c>
      <c r="J71" s="2314">
        <v>0.75</v>
      </c>
      <c r="K71" s="2409">
        <v>0.15</v>
      </c>
      <c r="L71" s="2533">
        <f t="shared" si="20"/>
        <v>185.79000000000002</v>
      </c>
      <c r="M71" s="2238">
        <v>154.83000000000001</v>
      </c>
      <c r="N71" s="2239">
        <f t="shared" si="21"/>
        <v>30.96</v>
      </c>
      <c r="O71" s="2498">
        <f t="shared" si="22"/>
        <v>20.649999999999977</v>
      </c>
      <c r="P71" s="2295">
        <f t="shared" si="23"/>
        <v>0.10002906413485747</v>
      </c>
    </row>
    <row r="72" spans="1:20" ht="30">
      <c r="A72" s="2265" t="s">
        <v>12736</v>
      </c>
      <c r="B72" s="2234">
        <f>VLOOKUP($A72,'11 - QT_ WB'!$A:$F,2,0)</f>
        <v>104917</v>
      </c>
      <c r="C72" s="2234" t="str">
        <f>VLOOKUP($A72,'11 - QT_ WB'!$A:$F,3,0)</f>
        <v>SINAPI</v>
      </c>
      <c r="D72" s="2333" t="s">
        <v>7514</v>
      </c>
      <c r="E72" s="2242" t="str">
        <f>IFERROR(VLOOKUP($B72,'24.08_ND'!$1:$1048529,3,0),IFERROR(VLOOKUP($B72,'03-CP'!$C$1:$H$403,3,0),""))</f>
        <v>KG</v>
      </c>
      <c r="F72" s="2230">
        <v>5.6</v>
      </c>
      <c r="G72" s="2308">
        <v>18.78</v>
      </c>
      <c r="H72" s="2332">
        <f t="shared" si="18"/>
        <v>105.16</v>
      </c>
      <c r="I72" s="2328">
        <f t="shared" si="19"/>
        <v>1</v>
      </c>
      <c r="J72" s="2314">
        <v>0.75</v>
      </c>
      <c r="K72" s="2409">
        <v>0.25</v>
      </c>
      <c r="L72" s="2533">
        <f t="shared" si="20"/>
        <v>105.16</v>
      </c>
      <c r="M72" s="2238">
        <v>78.87</v>
      </c>
      <c r="N72" s="2239">
        <f t="shared" si="21"/>
        <v>26.29</v>
      </c>
      <c r="O72" s="2498">
        <f t="shared" si="22"/>
        <v>0</v>
      </c>
      <c r="P72" s="2295">
        <f t="shared" si="23"/>
        <v>0</v>
      </c>
    </row>
    <row r="73" spans="1:20" ht="30">
      <c r="A73" s="2265" t="s">
        <v>12737</v>
      </c>
      <c r="B73" s="2234">
        <f>VLOOKUP($A73,'11 - QT_ WB'!$A:$F,2,0)</f>
        <v>104918</v>
      </c>
      <c r="C73" s="2234" t="str">
        <f>VLOOKUP($A73,'11 - QT_ WB'!$A:$F,3,0)</f>
        <v>SINAPI</v>
      </c>
      <c r="D73" s="2333" t="s">
        <v>7515</v>
      </c>
      <c r="E73" s="2242" t="str">
        <f>IFERROR(VLOOKUP($B73,'24.08_ND'!$1:$1048529,3,0),IFERROR(VLOOKUP($B73,'03-CP'!$C$1:$H$403,3,0),""))</f>
        <v>KG</v>
      </c>
      <c r="F73" s="2230">
        <v>13.7</v>
      </c>
      <c r="G73" s="2308">
        <v>17.68</v>
      </c>
      <c r="H73" s="2332">
        <f t="shared" si="18"/>
        <v>242.21</v>
      </c>
      <c r="I73" s="2328">
        <f t="shared" si="19"/>
        <v>1</v>
      </c>
      <c r="J73" s="2314">
        <v>0.75</v>
      </c>
      <c r="K73" s="2409">
        <v>0.25</v>
      </c>
      <c r="L73" s="2533">
        <f t="shared" si="20"/>
        <v>242.2</v>
      </c>
      <c r="M73" s="2238">
        <v>181.65</v>
      </c>
      <c r="N73" s="2239">
        <f t="shared" si="21"/>
        <v>60.55</v>
      </c>
      <c r="O73" s="2498">
        <f t="shared" si="22"/>
        <v>1.0000000000019327E-2</v>
      </c>
      <c r="P73" s="2295">
        <f t="shared" si="23"/>
        <v>4.1286486932906679E-5</v>
      </c>
    </row>
    <row r="74" spans="1:20" ht="30">
      <c r="A74" s="2265" t="s">
        <v>12738</v>
      </c>
      <c r="B74" s="2234">
        <f>VLOOKUP($A74,'11 - QT_ WB'!$A:$F,2,0)</f>
        <v>104919</v>
      </c>
      <c r="C74" s="2234" t="str">
        <f>VLOOKUP($A74,'11 - QT_ WB'!$A:$F,3,0)</f>
        <v>SINAPI</v>
      </c>
      <c r="D74" s="2333" t="s">
        <v>7516</v>
      </c>
      <c r="E74" s="2242" t="str">
        <f>IFERROR(VLOOKUP($B74,'24.08_ND'!$1:$1048529,3,0),IFERROR(VLOOKUP($B74,'03-CP'!$C$1:$H$403,3,0),""))</f>
        <v>KG</v>
      </c>
      <c r="F74" s="2230">
        <v>202.2</v>
      </c>
      <c r="G74" s="2308">
        <v>15.88</v>
      </c>
      <c r="H74" s="2332">
        <f t="shared" si="18"/>
        <v>3210.93</v>
      </c>
      <c r="I74" s="2328">
        <f t="shared" si="19"/>
        <v>0.84</v>
      </c>
      <c r="J74" s="2314">
        <v>0.75</v>
      </c>
      <c r="K74" s="2409">
        <v>0.09</v>
      </c>
      <c r="L74" s="2533">
        <f t="shared" si="20"/>
        <v>2697.17</v>
      </c>
      <c r="M74" s="2238">
        <v>2408.19</v>
      </c>
      <c r="N74" s="2239">
        <f t="shared" si="21"/>
        <v>288.98</v>
      </c>
      <c r="O74" s="2498">
        <f t="shared" si="22"/>
        <v>513.75999999999976</v>
      </c>
      <c r="P74" s="2295">
        <f t="shared" si="23"/>
        <v>0.16000348808600617</v>
      </c>
    </row>
    <row r="75" spans="1:20" ht="30">
      <c r="A75" s="2265" t="s">
        <v>12739</v>
      </c>
      <c r="B75" s="2234">
        <f>VLOOKUP($A75,'11 - QT_ WB'!$A:$F,2,0)</f>
        <v>104920</v>
      </c>
      <c r="C75" s="2234" t="str">
        <f>VLOOKUP($A75,'11 - QT_ WB'!$A:$F,3,0)</f>
        <v>SINAPI</v>
      </c>
      <c r="D75" s="2333" t="s">
        <v>7517</v>
      </c>
      <c r="E75" s="2242" t="str">
        <f>IFERROR(VLOOKUP($B75,'24.08_ND'!$1:$1048529,3,0),IFERROR(VLOOKUP($B75,'03-CP'!$C$1:$H$403,3,0),""))</f>
        <v>KG</v>
      </c>
      <c r="F75" s="2230">
        <v>100.6</v>
      </c>
      <c r="G75" s="2308">
        <v>13.52</v>
      </c>
      <c r="H75" s="2332">
        <f t="shared" si="18"/>
        <v>1360.11</v>
      </c>
      <c r="I75" s="2328">
        <f t="shared" si="19"/>
        <v>1.0000073523465014</v>
      </c>
      <c r="J75" s="2314">
        <v>0.75</v>
      </c>
      <c r="K75" s="2409">
        <v>0.2500073523465014</v>
      </c>
      <c r="L75" s="2533">
        <f t="shared" si="20"/>
        <v>1360.1100000000001</v>
      </c>
      <c r="M75" s="2238">
        <v>1020.08</v>
      </c>
      <c r="N75" s="2239">
        <f t="shared" si="21"/>
        <v>340.03</v>
      </c>
      <c r="O75" s="2498">
        <f t="shared" si="22"/>
        <v>0</v>
      </c>
      <c r="P75" s="2295">
        <f t="shared" si="23"/>
        <v>0</v>
      </c>
    </row>
    <row r="76" spans="1:20" ht="30">
      <c r="A76" s="2265" t="s">
        <v>12740</v>
      </c>
      <c r="B76" s="2234">
        <f>VLOOKUP($A76,'11 - QT_ WB'!$A:$F,2,0)</f>
        <v>96558</v>
      </c>
      <c r="C76" s="2234" t="str">
        <f>VLOOKUP($A76,'11 - QT_ WB'!$A:$F,3,0)</f>
        <v>SINAPI</v>
      </c>
      <c r="D76" s="2333" t="s">
        <v>7548</v>
      </c>
      <c r="E76" s="2242" t="str">
        <f>IFERROR(VLOOKUP($B76,'24.08_ND'!$1:$1048529,3,0),IFERROR(VLOOKUP($B76,'03-CP'!$C$1:$H$403,3,0),""))</f>
        <v>M3</v>
      </c>
      <c r="F76" s="2230">
        <v>4.9800000000000004</v>
      </c>
      <c r="G76" s="2308">
        <v>1149.76</v>
      </c>
      <c r="H76" s="2332">
        <f t="shared" si="18"/>
        <v>5725.8</v>
      </c>
      <c r="I76" s="2328">
        <f t="shared" si="19"/>
        <v>0.75</v>
      </c>
      <c r="J76" s="2314">
        <v>0.75</v>
      </c>
      <c r="K76" s="2409"/>
      <c r="L76" s="2533">
        <f t="shared" si="20"/>
        <v>4294.3500000000004</v>
      </c>
      <c r="M76" s="2238">
        <v>4294.3500000000004</v>
      </c>
      <c r="N76" s="2239">
        <f t="shared" si="21"/>
        <v>0</v>
      </c>
      <c r="O76" s="2498">
        <f t="shared" si="22"/>
        <v>1431.4499999999998</v>
      </c>
      <c r="P76" s="2295">
        <f t="shared" si="23"/>
        <v>0.24999999999999997</v>
      </c>
      <c r="Q76" s="2568"/>
    </row>
    <row r="77" spans="1:20" ht="30">
      <c r="A77" s="2265" t="s">
        <v>12741</v>
      </c>
      <c r="B77" s="2234">
        <f>VLOOKUP($A77,'11 - QT_ WB'!$A:$F,2,0)</f>
        <v>93382</v>
      </c>
      <c r="C77" s="2234" t="str">
        <f>VLOOKUP($A77,'11 - QT_ WB'!$A:$F,3,0)</f>
        <v>SINAPI</v>
      </c>
      <c r="D77" s="2333" t="s">
        <v>10726</v>
      </c>
      <c r="E77" s="2242" t="str">
        <f>IFERROR(VLOOKUP($B77,'24.08_ND'!$1:$1048529,3,0),IFERROR(VLOOKUP($B77,'03-CP'!$C$1:$H$403,3,0),""))</f>
        <v>M3</v>
      </c>
      <c r="F77" s="2230">
        <v>80.146000000000001</v>
      </c>
      <c r="G77" s="2308">
        <v>26.88</v>
      </c>
      <c r="H77" s="2332">
        <f t="shared" si="18"/>
        <v>2154.3200000000002</v>
      </c>
      <c r="I77" s="2328">
        <f t="shared" si="19"/>
        <v>0.89</v>
      </c>
      <c r="J77" s="2314">
        <v>0.75</v>
      </c>
      <c r="K77" s="2409">
        <v>0.14000000000000001</v>
      </c>
      <c r="L77" s="2533">
        <f t="shared" si="20"/>
        <v>1917.3400000000001</v>
      </c>
      <c r="M77" s="2238">
        <v>1615.74</v>
      </c>
      <c r="N77" s="2239">
        <f t="shared" si="21"/>
        <v>301.60000000000002</v>
      </c>
      <c r="O77" s="2498">
        <f t="shared" si="22"/>
        <v>236.98000000000002</v>
      </c>
      <c r="P77" s="2295">
        <f t="shared" si="23"/>
        <v>0.11000222808125069</v>
      </c>
      <c r="Q77" s="2578"/>
    </row>
    <row r="78" spans="1:20" ht="45">
      <c r="A78" s="2265" t="s">
        <v>12742</v>
      </c>
      <c r="B78" s="2234">
        <f>VLOOKUP($A78,'11 - QT_ WB'!$A:$F,2,0)</f>
        <v>100978</v>
      </c>
      <c r="C78" s="2234" t="str">
        <f>VLOOKUP($A78,'11 - QT_ WB'!$A:$F,3,0)</f>
        <v>SINAPI</v>
      </c>
      <c r="D78" s="2333" t="s">
        <v>11981</v>
      </c>
      <c r="E78" s="2242" t="str">
        <f>IFERROR(VLOOKUP($B78,'24.08_ND'!$1:$1048529,3,0),IFERROR(VLOOKUP($B78,'03-CP'!$C$1:$H$403,3,0),""))</f>
        <v>M3</v>
      </c>
      <c r="F78" s="2230">
        <v>28.83</v>
      </c>
      <c r="G78" s="2308">
        <v>7.88</v>
      </c>
      <c r="H78" s="2332">
        <f t="shared" si="18"/>
        <v>227.18</v>
      </c>
      <c r="I78" s="2328">
        <f t="shared" si="19"/>
        <v>0.89</v>
      </c>
      <c r="J78" s="2314">
        <v>0.75</v>
      </c>
      <c r="K78" s="2409">
        <v>0.14000000000000001</v>
      </c>
      <c r="L78" s="2533">
        <f t="shared" si="20"/>
        <v>202.18</v>
      </c>
      <c r="M78" s="2238">
        <v>170.38</v>
      </c>
      <c r="N78" s="2239">
        <f t="shared" si="21"/>
        <v>31.8</v>
      </c>
      <c r="O78" s="2498">
        <f t="shared" si="22"/>
        <v>25</v>
      </c>
      <c r="P78" s="2295">
        <f t="shared" si="23"/>
        <v>0.11004489831851395</v>
      </c>
      <c r="Q78" s="2578"/>
    </row>
    <row r="79" spans="1:20" ht="30">
      <c r="A79" s="2265" t="s">
        <v>12743</v>
      </c>
      <c r="B79" s="2234">
        <f>VLOOKUP($A79,'11 - QT_ WB'!$A:$F,2,0)</f>
        <v>100938</v>
      </c>
      <c r="C79" s="2234" t="str">
        <f>VLOOKUP($A79,'11 - QT_ WB'!$A:$F,3,0)</f>
        <v>SINAPI</v>
      </c>
      <c r="D79" s="2333" t="s">
        <v>11938</v>
      </c>
      <c r="E79" s="2242" t="str">
        <f>IFERROR(VLOOKUP($B79,'24.08_ND'!$1:$1048529,3,0),IFERROR(VLOOKUP($B79,'03-CP'!$C$1:$H$403,3,0),""))</f>
        <v>M3XKM</v>
      </c>
      <c r="F79" s="2230">
        <v>57.66</v>
      </c>
      <c r="G79" s="2308">
        <v>8.6199999999999992</v>
      </c>
      <c r="H79" s="2332">
        <f t="shared" si="18"/>
        <v>497.02</v>
      </c>
      <c r="I79" s="2328">
        <f t="shared" si="19"/>
        <v>0.89</v>
      </c>
      <c r="J79" s="2314">
        <v>0.75</v>
      </c>
      <c r="K79" s="2409">
        <v>0.14000000000000001</v>
      </c>
      <c r="L79" s="2533">
        <f t="shared" si="20"/>
        <v>442.34</v>
      </c>
      <c r="M79" s="2238">
        <v>372.76</v>
      </c>
      <c r="N79" s="2239">
        <f t="shared" si="21"/>
        <v>69.58</v>
      </c>
      <c r="O79" s="2498">
        <f t="shared" si="22"/>
        <v>54.680000000000007</v>
      </c>
      <c r="P79" s="2295">
        <f t="shared" si="23"/>
        <v>0.11001569353345944</v>
      </c>
      <c r="Q79" s="2578"/>
    </row>
    <row r="80" spans="1:20">
      <c r="A80" s="2264" t="s">
        <v>12744</v>
      </c>
      <c r="B80" s="2223"/>
      <c r="C80" s="2223"/>
      <c r="D80" s="2376" t="s">
        <v>16214</v>
      </c>
      <c r="E80" s="2224"/>
      <c r="F80" s="2240"/>
      <c r="G80" s="2226"/>
      <c r="H80" s="2301">
        <f>SUBTOTAL(9,H81:H85)</f>
        <v>9102.49</v>
      </c>
      <c r="I80" s="2284"/>
      <c r="J80" s="2227"/>
      <c r="K80" s="2410"/>
      <c r="L80" s="2534">
        <f>SUM(L81:L85)</f>
        <v>7993.3200000000015</v>
      </c>
      <c r="M80" s="2301">
        <f>SUBTOTAL(9,M81:M85)</f>
        <v>6826.85</v>
      </c>
      <c r="N80" s="2534">
        <f>SUM(N81:N85)</f>
        <v>1166.4700000000003</v>
      </c>
      <c r="O80" s="2534">
        <f>SUM(O81:O85)</f>
        <v>827.62999999999965</v>
      </c>
      <c r="P80" s="2293">
        <f t="shared" si="23"/>
        <v>9.0923472588269771E-2</v>
      </c>
      <c r="Q80" s="2568"/>
    </row>
    <row r="81" spans="1:17" ht="45">
      <c r="A81" s="2265" t="s">
        <v>12745</v>
      </c>
      <c r="B81" s="2234">
        <f>VLOOKUP($A81,'11 - QT_ WB'!$A:$F,2,0)</f>
        <v>92413</v>
      </c>
      <c r="C81" s="2234" t="str">
        <f>VLOOKUP($A81,'11 - QT_ WB'!$A:$F,3,0)</f>
        <v>SINAPI</v>
      </c>
      <c r="D81" s="2333" t="s">
        <v>7212</v>
      </c>
      <c r="E81" s="2242" t="str">
        <f>IFERROR(VLOOKUP($B81,'24.08_ND'!$1:$1048529,3,0),IFERROR(VLOOKUP($B81,'03-CP'!$C$1:$H$403,3,0),""))</f>
        <v>M2</v>
      </c>
      <c r="F81" s="2230">
        <v>31.87</v>
      </c>
      <c r="G81" s="2308">
        <v>121.66</v>
      </c>
      <c r="H81" s="2332">
        <f>TRUNC((G81*F81),2)</f>
        <v>3877.3</v>
      </c>
      <c r="I81" s="2328">
        <f>J81+K81</f>
        <v>0.89</v>
      </c>
      <c r="J81" s="2314">
        <v>0.75</v>
      </c>
      <c r="K81" s="2411">
        <v>0.14000000000000001</v>
      </c>
      <c r="L81" s="2533">
        <f>M81+N81</f>
        <v>3450.7900000000004</v>
      </c>
      <c r="M81" s="2238">
        <v>2907.9700000000003</v>
      </c>
      <c r="N81" s="2239">
        <f>TRUNC(H81*K81,2)</f>
        <v>542.82000000000005</v>
      </c>
      <c r="O81" s="2498">
        <f>H81-L81</f>
        <v>426.50999999999976</v>
      </c>
      <c r="P81" s="2295">
        <f>O81/H81</f>
        <v>0.11000180538003243</v>
      </c>
    </row>
    <row r="82" spans="1:17" ht="30">
      <c r="A82" s="2265" t="s">
        <v>12746</v>
      </c>
      <c r="B82" s="2234">
        <f>VLOOKUP($A82,'11 - QT_ WB'!$A:$F,2,0)</f>
        <v>92759</v>
      </c>
      <c r="C82" s="2234" t="str">
        <f>VLOOKUP($A82,'11 - QT_ WB'!$A:$F,3,0)</f>
        <v>SINAPI</v>
      </c>
      <c r="D82" s="2333" t="s">
        <v>7428</v>
      </c>
      <c r="E82" s="2242" t="str">
        <f>IFERROR(VLOOKUP($B82,'24.08_ND'!$1:$1048529,3,0),IFERROR(VLOOKUP($B82,'03-CP'!$C$1:$H$403,3,0),""))</f>
        <v>KG</v>
      </c>
      <c r="F82" s="2230">
        <v>53.2</v>
      </c>
      <c r="G82" s="2308">
        <v>17.100000000000001</v>
      </c>
      <c r="H82" s="2332">
        <f>TRUNC((G82*F82),2)</f>
        <v>909.72</v>
      </c>
      <c r="I82" s="2328">
        <f>J82+K82</f>
        <v>0.81</v>
      </c>
      <c r="J82" s="2314">
        <v>0.75</v>
      </c>
      <c r="K82" s="2411">
        <v>0.06</v>
      </c>
      <c r="L82" s="2533">
        <f>M82+N82</f>
        <v>736.87</v>
      </c>
      <c r="M82" s="2238">
        <v>682.29</v>
      </c>
      <c r="N82" s="2239">
        <f>TRUNC(H82*K82,2)</f>
        <v>54.58</v>
      </c>
      <c r="O82" s="2498">
        <f>H82-L82</f>
        <v>172.85000000000002</v>
      </c>
      <c r="P82" s="2295">
        <f>O82/H82</f>
        <v>0.19000351756584447</v>
      </c>
    </row>
    <row r="83" spans="1:17" ht="30">
      <c r="A83" s="2265" t="s">
        <v>12747</v>
      </c>
      <c r="B83" s="2234">
        <f>VLOOKUP($A83,'11 - QT_ WB'!$A:$F,2,0)</f>
        <v>92762</v>
      </c>
      <c r="C83" s="2234" t="str">
        <f>VLOOKUP($A83,'11 - QT_ WB'!$A:$F,3,0)</f>
        <v>SINAPI</v>
      </c>
      <c r="D83" s="2333" t="s">
        <v>7431</v>
      </c>
      <c r="E83" s="2242" t="str">
        <f>IFERROR(VLOOKUP($B83,'24.08_ND'!$1:$1048529,3,0),IFERROR(VLOOKUP($B83,'03-CP'!$C$1:$H$403,3,0),""))</f>
        <v>KG</v>
      </c>
      <c r="F83" s="2230">
        <v>133.30000000000001</v>
      </c>
      <c r="G83" s="2308">
        <v>14.11</v>
      </c>
      <c r="H83" s="2332">
        <f>TRUNC((G83*F83),2)</f>
        <v>1880.86</v>
      </c>
      <c r="I83" s="2328">
        <f>J83+K83</f>
        <v>0.85</v>
      </c>
      <c r="J83" s="2314">
        <v>0.75</v>
      </c>
      <c r="K83" s="2411">
        <v>0.1</v>
      </c>
      <c r="L83" s="2533">
        <f>M83+N83</f>
        <v>1598.72</v>
      </c>
      <c r="M83" s="2238">
        <v>1410.64</v>
      </c>
      <c r="N83" s="2239">
        <f>TRUNC(H83*K83,2)</f>
        <v>188.08</v>
      </c>
      <c r="O83" s="2498">
        <f>J88</f>
        <v>0.6</v>
      </c>
      <c r="P83" s="2295">
        <f>O83/H83</f>
        <v>3.1900300926172073E-4</v>
      </c>
    </row>
    <row r="84" spans="1:17" ht="30">
      <c r="A84" s="2265" t="s">
        <v>12748</v>
      </c>
      <c r="B84" s="2234">
        <f>VLOOKUP($A84,'11 - QT_ WB'!$A:$F,2,0)</f>
        <v>92763</v>
      </c>
      <c r="C84" s="2234" t="str">
        <f>VLOOKUP($A84,'11 - QT_ WB'!$A:$F,3,0)</f>
        <v>SINAPI</v>
      </c>
      <c r="D84" s="2333" t="s">
        <v>7432</v>
      </c>
      <c r="E84" s="2242" t="str">
        <f>IFERROR(VLOOKUP($B84,'24.08_ND'!$1:$1048529,3,0),IFERROR(VLOOKUP($B84,'03-CP'!$C$1:$H$403,3,0),""))</f>
        <v>KG</v>
      </c>
      <c r="F84" s="2230">
        <v>30.6</v>
      </c>
      <c r="G84" s="2308">
        <v>11.93</v>
      </c>
      <c r="H84" s="2332">
        <f>TRUNC((G84*F84),2)</f>
        <v>365.05</v>
      </c>
      <c r="I84" s="2328">
        <f>J84+K84</f>
        <v>1</v>
      </c>
      <c r="J84" s="2314">
        <v>0.75</v>
      </c>
      <c r="K84" s="2411">
        <v>0.25</v>
      </c>
      <c r="L84" s="2533">
        <f>M84+N84</f>
        <v>365.03999999999996</v>
      </c>
      <c r="M84" s="2238">
        <v>273.77999999999997</v>
      </c>
      <c r="N84" s="2239">
        <f>TRUNC(H84*K84,2)</f>
        <v>91.26</v>
      </c>
      <c r="O84" s="2498">
        <f>H84-L84</f>
        <v>1.0000000000047748E-2</v>
      </c>
      <c r="P84" s="2295">
        <f>O84/H84</f>
        <v>2.7393507738796736E-5</v>
      </c>
    </row>
    <row r="85" spans="1:17" ht="30">
      <c r="A85" s="2265" t="s">
        <v>12749</v>
      </c>
      <c r="B85" s="2234">
        <f>VLOOKUP($A85,'11 - QT_ WB'!$A:$F,2,0)</f>
        <v>96558</v>
      </c>
      <c r="C85" s="2234" t="str">
        <f>VLOOKUP($A85,'11 - QT_ WB'!$A:$F,3,0)</f>
        <v>SINAPI</v>
      </c>
      <c r="D85" s="2333" t="s">
        <v>7548</v>
      </c>
      <c r="E85" s="2242" t="str">
        <f>IFERROR(VLOOKUP($B85,'24.08_ND'!$1:$1048529,3,0),IFERROR(VLOOKUP($B85,'03-CP'!$C$1:$H$403,3,0),""))</f>
        <v>M3</v>
      </c>
      <c r="F85" s="2230">
        <v>1.8</v>
      </c>
      <c r="G85" s="2308">
        <v>1149.76</v>
      </c>
      <c r="H85" s="2332">
        <f>TRUNC((G85*F85),2)</f>
        <v>2069.56</v>
      </c>
      <c r="I85" s="2328">
        <f>J85+K85</f>
        <v>0.89</v>
      </c>
      <c r="J85" s="2314">
        <v>0.75</v>
      </c>
      <c r="K85" s="2411">
        <v>0.14000000000000001</v>
      </c>
      <c r="L85" s="2533">
        <f>M85+N85</f>
        <v>1841.9</v>
      </c>
      <c r="M85" s="2238">
        <v>1552.17</v>
      </c>
      <c r="N85" s="2239">
        <f>TRUNC(H85*K85,2)</f>
        <v>289.73</v>
      </c>
      <c r="O85" s="2498">
        <f>H85-L85</f>
        <v>227.65999999999985</v>
      </c>
      <c r="P85" s="2295">
        <f>O85/H85</f>
        <v>0.1100040588337617</v>
      </c>
    </row>
    <row r="86" spans="1:17">
      <c r="A86" s="2264" t="s">
        <v>12750</v>
      </c>
      <c r="B86" s="2223"/>
      <c r="C86" s="2223"/>
      <c r="D86" s="2376" t="s">
        <v>16215</v>
      </c>
      <c r="E86" s="2224"/>
      <c r="F86" s="2240"/>
      <c r="G86" s="2226"/>
      <c r="H86" s="2301">
        <f>SUBTOTAL(9,H87:H92)</f>
        <v>7390.670000000001</v>
      </c>
      <c r="I86" s="2284"/>
      <c r="J86" s="2227"/>
      <c r="K86" s="2410"/>
      <c r="L86" s="2534">
        <f>SUM(L87:L92)</f>
        <v>4434.34</v>
      </c>
      <c r="M86" s="2301">
        <f>SUBTOTAL(9,M87:M92)</f>
        <v>4434.34</v>
      </c>
      <c r="N86" s="2534">
        <f>SUM(N87:N92)</f>
        <v>0</v>
      </c>
      <c r="O86" s="2534">
        <f>SUM(O87:O92)</f>
        <v>2956.3300000000004</v>
      </c>
      <c r="P86" s="2293"/>
      <c r="Q86" s="2568"/>
    </row>
    <row r="87" spans="1:17" ht="39" customHeight="1">
      <c r="A87" s="2265" t="s">
        <v>12751</v>
      </c>
      <c r="B87" s="2228" t="str">
        <f>VLOOKUP($A87,'11 - QT_ WB'!$A:$F,2,0)</f>
        <v>PS-CP-EST-05</v>
      </c>
      <c r="C87" s="2228" t="str">
        <f>VLOOKUP($A87,'11 - QT_ WB'!$A:$F,3,0)</f>
        <v>PRÓPRIA</v>
      </c>
      <c r="D87" s="2333" t="s">
        <v>14595</v>
      </c>
      <c r="E87" s="2243" t="str">
        <f>IFERROR(VLOOKUP($B87,'24.08_ND'!$1:$1048529,3,0),IFERROR(VLOOKUP($B87,'03-CP'!$C$1:$H$403,3,0),""))</f>
        <v>M</v>
      </c>
      <c r="F87" s="2230">
        <v>57</v>
      </c>
      <c r="G87" s="2308">
        <v>26.77</v>
      </c>
      <c r="H87" s="2332">
        <f t="shared" ref="H87:H92" si="24">TRUNC((G87*F87),2)</f>
        <v>1525.89</v>
      </c>
      <c r="I87" s="2328">
        <f t="shared" ref="I87:I92" si="25">J87+K87</f>
        <v>0.6</v>
      </c>
      <c r="J87" s="2313">
        <v>0.6</v>
      </c>
      <c r="K87" s="2412"/>
      <c r="L87" s="2533">
        <f t="shared" ref="L87:L92" si="26">M87+N87</f>
        <v>915.52</v>
      </c>
      <c r="M87" s="2238">
        <v>915.52</v>
      </c>
      <c r="N87" s="2239">
        <f t="shared" ref="N87:N92" si="27">TRUNC(H87*K87,2)</f>
        <v>0</v>
      </c>
      <c r="O87" s="2498">
        <f t="shared" ref="O87:O92" si="28">H87-L87</f>
        <v>610.37000000000012</v>
      </c>
      <c r="P87" s="2295">
        <f t="shared" ref="P87:P93" si="29">O87/H87</f>
        <v>0.4000091749732943</v>
      </c>
    </row>
    <row r="88" spans="1:17" ht="45">
      <c r="A88" s="2265" t="s">
        <v>12752</v>
      </c>
      <c r="B88" s="2234">
        <f>VLOOKUP($A88,'11 - QT_ WB'!$A:$F,2,0)</f>
        <v>96557</v>
      </c>
      <c r="C88" s="2234" t="str">
        <f>VLOOKUP($A88,'11 - QT_ WB'!$A:$F,3,0)</f>
        <v>SINAPI</v>
      </c>
      <c r="D88" s="2333" t="s">
        <v>7547</v>
      </c>
      <c r="E88" s="2242" t="str">
        <f>IFERROR(VLOOKUP($B88,'24.08_ND'!$1:$1048529,3,0),IFERROR(VLOOKUP($B88,'03-CP'!$C$1:$H$403,3,0),""))</f>
        <v>M3</v>
      </c>
      <c r="F88" s="2230">
        <v>2.8</v>
      </c>
      <c r="G88" s="2308">
        <v>1106.98</v>
      </c>
      <c r="H88" s="2332">
        <f t="shared" si="24"/>
        <v>3099.54</v>
      </c>
      <c r="I88" s="2328">
        <f t="shared" si="25"/>
        <v>0.6</v>
      </c>
      <c r="J88" s="2314">
        <v>0.6</v>
      </c>
      <c r="K88" s="2411"/>
      <c r="L88" s="2533">
        <f t="shared" si="26"/>
        <v>1859.72</v>
      </c>
      <c r="M88" s="2238">
        <v>1859.72</v>
      </c>
      <c r="N88" s="2239">
        <f t="shared" si="27"/>
        <v>0</v>
      </c>
      <c r="O88" s="2498">
        <f t="shared" si="28"/>
        <v>1239.82</v>
      </c>
      <c r="P88" s="2295">
        <f t="shared" si="29"/>
        <v>0.40000129051407629</v>
      </c>
    </row>
    <row r="89" spans="1:17" ht="30">
      <c r="A89" s="2265" t="s">
        <v>12753</v>
      </c>
      <c r="B89" s="2234">
        <f>VLOOKUP($A89,'11 - QT_ WB'!$A:$F,2,0)</f>
        <v>95583</v>
      </c>
      <c r="C89" s="2234" t="str">
        <f>VLOOKUP($A89,'11 - QT_ WB'!$A:$F,3,0)</f>
        <v>SINAPI</v>
      </c>
      <c r="D89" s="2333" t="s">
        <v>7483</v>
      </c>
      <c r="E89" s="2242" t="str">
        <f>IFERROR(VLOOKUP($B89,'24.08_ND'!$1:$1048529,3,0),IFERROR(VLOOKUP($B89,'03-CP'!$C$1:$H$403,3,0),""))</f>
        <v>KG</v>
      </c>
      <c r="F89" s="2230">
        <v>42.2</v>
      </c>
      <c r="G89" s="2308">
        <v>19.010000000000002</v>
      </c>
      <c r="H89" s="2332">
        <f t="shared" si="24"/>
        <v>802.22</v>
      </c>
      <c r="I89" s="2328">
        <f t="shared" si="25"/>
        <v>0.6</v>
      </c>
      <c r="J89" s="2314">
        <v>0.6</v>
      </c>
      <c r="K89" s="2411"/>
      <c r="L89" s="2533">
        <f t="shared" si="26"/>
        <v>481.32</v>
      </c>
      <c r="M89" s="2238">
        <v>481.32</v>
      </c>
      <c r="N89" s="2239">
        <f t="shared" si="27"/>
        <v>0</v>
      </c>
      <c r="O89" s="2498">
        <f t="shared" si="28"/>
        <v>320.90000000000003</v>
      </c>
      <c r="P89" s="2295">
        <f t="shared" si="29"/>
        <v>0.40001495849018975</v>
      </c>
    </row>
    <row r="90" spans="1:17">
      <c r="A90" s="2265" t="s">
        <v>12754</v>
      </c>
      <c r="B90" s="2234">
        <f>VLOOKUP($A90,'11 - QT_ WB'!$A:$F,2,0)</f>
        <v>95577</v>
      </c>
      <c r="C90" s="2234" t="str">
        <f>VLOOKUP($A90,'11 - QT_ WB'!$A:$F,3,0)</f>
        <v>SINAPI</v>
      </c>
      <c r="D90" s="2333" t="s">
        <v>7477</v>
      </c>
      <c r="E90" s="2242" t="str">
        <f>IFERROR(VLOOKUP($B90,'24.08_ND'!$1:$1048529,3,0),IFERROR(VLOOKUP($B90,'03-CP'!$C$1:$H$403,3,0),""))</f>
        <v>KG</v>
      </c>
      <c r="F90" s="2230">
        <v>136</v>
      </c>
      <c r="G90" s="2308">
        <v>13.71</v>
      </c>
      <c r="H90" s="2332">
        <f t="shared" si="24"/>
        <v>1864.56</v>
      </c>
      <c r="I90" s="2328">
        <f t="shared" si="25"/>
        <v>0.6</v>
      </c>
      <c r="J90" s="2314">
        <v>0.6</v>
      </c>
      <c r="K90" s="2411"/>
      <c r="L90" s="2533">
        <f t="shared" si="26"/>
        <v>1118.72</v>
      </c>
      <c r="M90" s="2238">
        <v>1118.72</v>
      </c>
      <c r="N90" s="2239">
        <f t="shared" si="27"/>
        <v>0</v>
      </c>
      <c r="O90" s="2498">
        <f t="shared" si="28"/>
        <v>745.83999999999992</v>
      </c>
      <c r="P90" s="2295">
        <f t="shared" si="29"/>
        <v>0.40000858111297033</v>
      </c>
    </row>
    <row r="91" spans="1:17" ht="45">
      <c r="A91" s="2265" t="s">
        <v>12755</v>
      </c>
      <c r="B91" s="2234">
        <f>VLOOKUP($A91,'11 - QT_ WB'!$A:$F,2,0)</f>
        <v>100978</v>
      </c>
      <c r="C91" s="2234" t="str">
        <f>VLOOKUP($A91,'11 - QT_ WB'!$A:$F,3,0)</f>
        <v>SINAPI</v>
      </c>
      <c r="D91" s="2333" t="s">
        <v>11981</v>
      </c>
      <c r="E91" s="2242" t="str">
        <f>IFERROR(VLOOKUP($B91,'24.08_ND'!$1:$1048529,3,0),IFERROR(VLOOKUP($B91,'03-CP'!$C$1:$H$403,3,0),""))</f>
        <v>M3</v>
      </c>
      <c r="F91" s="2230">
        <v>3.9199999999999995</v>
      </c>
      <c r="G91" s="2308">
        <v>7.88</v>
      </c>
      <c r="H91" s="2332">
        <f t="shared" si="24"/>
        <v>30.88</v>
      </c>
      <c r="I91" s="2328">
        <f t="shared" si="25"/>
        <v>0.6</v>
      </c>
      <c r="J91" s="2314">
        <v>0.6</v>
      </c>
      <c r="K91" s="2411"/>
      <c r="L91" s="2533">
        <f t="shared" si="26"/>
        <v>18.52</v>
      </c>
      <c r="M91" s="2238">
        <v>18.52</v>
      </c>
      <c r="N91" s="2239">
        <f t="shared" si="27"/>
        <v>0</v>
      </c>
      <c r="O91" s="2498">
        <f t="shared" si="28"/>
        <v>12.36</v>
      </c>
      <c r="P91" s="2295">
        <f t="shared" si="29"/>
        <v>0.40025906735751293</v>
      </c>
    </row>
    <row r="92" spans="1:17" ht="30">
      <c r="A92" s="2265" t="s">
        <v>12756</v>
      </c>
      <c r="B92" s="2234">
        <f>VLOOKUP($A92,'11 - QT_ WB'!$A:$F,2,0)</f>
        <v>100938</v>
      </c>
      <c r="C92" s="2234" t="str">
        <f>VLOOKUP($A92,'11 - QT_ WB'!$A:$F,3,0)</f>
        <v>SINAPI</v>
      </c>
      <c r="D92" s="2333" t="s">
        <v>11938</v>
      </c>
      <c r="E92" s="2242" t="str">
        <f>IFERROR(VLOOKUP($B92,'24.08_ND'!$1:$1048529,3,0),IFERROR(VLOOKUP($B92,'03-CP'!$C$1:$H$403,3,0),""))</f>
        <v>M3XKM</v>
      </c>
      <c r="F92" s="2230">
        <v>7.839999999999999</v>
      </c>
      <c r="G92" s="2308">
        <v>8.6199999999999992</v>
      </c>
      <c r="H92" s="2332">
        <f t="shared" si="24"/>
        <v>67.58</v>
      </c>
      <c r="I92" s="2328">
        <f t="shared" si="25"/>
        <v>0.6</v>
      </c>
      <c r="J92" s="2314">
        <v>0.6</v>
      </c>
      <c r="K92" s="2411"/>
      <c r="L92" s="2533">
        <f t="shared" si="26"/>
        <v>40.54</v>
      </c>
      <c r="M92" s="2238">
        <v>40.54</v>
      </c>
      <c r="N92" s="2239">
        <f t="shared" si="27"/>
        <v>0</v>
      </c>
      <c r="O92" s="2498">
        <f t="shared" si="28"/>
        <v>27.04</v>
      </c>
      <c r="P92" s="2295">
        <f t="shared" si="29"/>
        <v>0.40011837821840779</v>
      </c>
    </row>
    <row r="93" spans="1:17">
      <c r="A93" s="2264" t="s">
        <v>12757</v>
      </c>
      <c r="B93" s="2223"/>
      <c r="C93" s="2223"/>
      <c r="D93" s="2376" t="s">
        <v>16216</v>
      </c>
      <c r="E93" s="2224"/>
      <c r="F93" s="2240"/>
      <c r="G93" s="2226"/>
      <c r="H93" s="2301">
        <f>SUBTOTAL(9,H94:H106)</f>
        <v>55877.279999999999</v>
      </c>
      <c r="I93" s="2284"/>
      <c r="J93" s="2227"/>
      <c r="K93" s="2410"/>
      <c r="L93" s="2534">
        <f>SUM(L94:L106)</f>
        <v>28723.519999999997</v>
      </c>
      <c r="M93" s="2301">
        <f>SUBTOTAL(9,M94:M106)</f>
        <v>20533.73</v>
      </c>
      <c r="N93" s="2534">
        <f>SUM(N94:N106)</f>
        <v>8189.7899999999991</v>
      </c>
      <c r="O93" s="2534">
        <f>SUM(O94:O106)</f>
        <v>27153.760000000002</v>
      </c>
      <c r="P93" s="2293">
        <f t="shared" si="29"/>
        <v>0.48595350382123115</v>
      </c>
      <c r="Q93" s="2568"/>
    </row>
    <row r="94" spans="1:17" ht="30">
      <c r="A94" s="2265" t="s">
        <v>12758</v>
      </c>
      <c r="B94" s="2234">
        <f>VLOOKUP($A94,'11 - QT_ WB'!$A:$F,2,0)</f>
        <v>96527</v>
      </c>
      <c r="C94" s="2234" t="str">
        <f>VLOOKUP($A94,'11 - QT_ WB'!$A:$F,3,0)</f>
        <v>SINAPI</v>
      </c>
      <c r="D94" s="2333" t="s">
        <v>10512</v>
      </c>
      <c r="E94" s="2242" t="str">
        <f>IFERROR(VLOOKUP($B94,'24.08_ND'!$1:$1048529,3,0),IFERROR(VLOOKUP($B94,'03-CP'!$C$1:$H$403,3,0),""))</f>
        <v>M3</v>
      </c>
      <c r="F94" s="2230">
        <v>28.84</v>
      </c>
      <c r="G94" s="2308">
        <v>110.61</v>
      </c>
      <c r="H94" s="2332">
        <f t="shared" ref="H94:H106" si="30">TRUNC((G94*F94),2)</f>
        <v>3189.99</v>
      </c>
      <c r="I94" s="2328">
        <f t="shared" ref="I94:I106" si="31">J94+K94</f>
        <v>0.54</v>
      </c>
      <c r="J94" s="2237">
        <v>0.45</v>
      </c>
      <c r="K94" s="2411">
        <v>0.09</v>
      </c>
      <c r="L94" s="2533">
        <f t="shared" ref="L94:L106" si="32">M94+N94</f>
        <v>1722.58</v>
      </c>
      <c r="M94" s="2238">
        <v>1435.49</v>
      </c>
      <c r="N94" s="2239">
        <f t="shared" ref="N94:N106" si="33">TRUNC(H94*K94,2)</f>
        <v>287.08999999999997</v>
      </c>
      <c r="O94" s="2498">
        <f t="shared" ref="O94:O106" si="34">H94-L94</f>
        <v>1467.4099999999999</v>
      </c>
      <c r="P94" s="2295">
        <f>O94/H94</f>
        <v>0.46000457681685519</v>
      </c>
    </row>
    <row r="95" spans="1:17">
      <c r="A95" s="2265" t="s">
        <v>12759</v>
      </c>
      <c r="B95" s="2234">
        <f>VLOOKUP($A95,'11 - QT_ WB'!$A:$F,2,0)</f>
        <v>96616</v>
      </c>
      <c r="C95" s="2234" t="str">
        <f>VLOOKUP($A95,'11 - QT_ WB'!$A:$F,3,0)</f>
        <v>SINAPI</v>
      </c>
      <c r="D95" s="2383" t="s">
        <v>7163</v>
      </c>
      <c r="E95" s="2242" t="str">
        <f>IFERROR(VLOOKUP($B95,'24.08_ND'!$1:$1048529,3,0),IFERROR(VLOOKUP($B95,'03-CP'!$C$1:$H$403,3,0),""))</f>
        <v>M3</v>
      </c>
      <c r="F95" s="2230">
        <v>1.78</v>
      </c>
      <c r="G95" s="2308">
        <v>955.26</v>
      </c>
      <c r="H95" s="2332">
        <f t="shared" si="30"/>
        <v>1700.36</v>
      </c>
      <c r="I95" s="2328">
        <f t="shared" si="31"/>
        <v>0.54</v>
      </c>
      <c r="J95" s="2237">
        <v>0.45</v>
      </c>
      <c r="K95" s="2411">
        <v>0.09</v>
      </c>
      <c r="L95" s="2533">
        <f t="shared" si="32"/>
        <v>918.18999999999994</v>
      </c>
      <c r="M95" s="2238">
        <v>765.16</v>
      </c>
      <c r="N95" s="2239">
        <f t="shared" si="33"/>
        <v>153.03</v>
      </c>
      <c r="O95" s="2498">
        <f t="shared" si="34"/>
        <v>782.17</v>
      </c>
      <c r="P95" s="2295">
        <f t="shared" ref="P95:P106" si="35">O95/H95</f>
        <v>0.46000258768731328</v>
      </c>
    </row>
    <row r="96" spans="1:17" ht="30">
      <c r="A96" s="2265" t="s">
        <v>12760</v>
      </c>
      <c r="B96" s="2234">
        <f>VLOOKUP($A96,'11 - QT_ WB'!$A:$F,2,0)</f>
        <v>96536</v>
      </c>
      <c r="C96" s="2234" t="str">
        <f>VLOOKUP($A96,'11 - QT_ WB'!$A:$F,3,0)</f>
        <v>SINAPI</v>
      </c>
      <c r="D96" s="2333" t="s">
        <v>7302</v>
      </c>
      <c r="E96" s="2242" t="str">
        <f>IFERROR(VLOOKUP($B96,'24.08_ND'!$1:$1048529,3,0),IFERROR(VLOOKUP($B96,'03-CP'!$C$1:$H$403,3,0),""))</f>
        <v>M2</v>
      </c>
      <c r="F96" s="2230">
        <v>164.82</v>
      </c>
      <c r="G96" s="2308">
        <v>81.7</v>
      </c>
      <c r="H96" s="2332">
        <f t="shared" si="30"/>
        <v>13465.79</v>
      </c>
      <c r="I96" s="2328">
        <f t="shared" si="31"/>
        <v>0.54</v>
      </c>
      <c r="J96" s="2237">
        <v>0.45</v>
      </c>
      <c r="K96" s="2411">
        <v>0.09</v>
      </c>
      <c r="L96" s="2533">
        <f t="shared" si="32"/>
        <v>7271.52</v>
      </c>
      <c r="M96" s="2238">
        <v>6059.6</v>
      </c>
      <c r="N96" s="2239">
        <f t="shared" si="33"/>
        <v>1211.92</v>
      </c>
      <c r="O96" s="2498">
        <f t="shared" si="34"/>
        <v>6194.27</v>
      </c>
      <c r="P96" s="2295">
        <f t="shared" si="35"/>
        <v>0.46000049013091693</v>
      </c>
    </row>
    <row r="97" spans="1:17" ht="30">
      <c r="A97" s="2265" t="s">
        <v>12761</v>
      </c>
      <c r="B97" s="2234">
        <f>VLOOKUP($A97,'11 - QT_ WB'!$A:$F,2,0)</f>
        <v>104916</v>
      </c>
      <c r="C97" s="2234" t="str">
        <f>VLOOKUP($A97,'11 - QT_ WB'!$A:$F,3,0)</f>
        <v>SINAPI</v>
      </c>
      <c r="D97" s="2333" t="s">
        <v>7596</v>
      </c>
      <c r="E97" s="2242" t="str">
        <f>IFERROR(VLOOKUP($B97,'24.08_ND'!$1:$1048529,3,0),IFERROR(VLOOKUP($B97,'03-CP'!$C$1:$H$403,3,0),""))</f>
        <v>KG</v>
      </c>
      <c r="F97" s="2230">
        <v>224</v>
      </c>
      <c r="G97" s="2308">
        <v>19.850000000000001</v>
      </c>
      <c r="H97" s="2332">
        <f t="shared" si="30"/>
        <v>4446.3999999999996</v>
      </c>
      <c r="I97" s="2328">
        <f t="shared" si="31"/>
        <v>0.53</v>
      </c>
      <c r="J97" s="2237">
        <v>0.45</v>
      </c>
      <c r="K97" s="2411">
        <v>0.08</v>
      </c>
      <c r="L97" s="2533">
        <f t="shared" si="32"/>
        <v>2356.59</v>
      </c>
      <c r="M97" s="2238">
        <v>2000.88</v>
      </c>
      <c r="N97" s="2239">
        <f t="shared" si="33"/>
        <v>355.71</v>
      </c>
      <c r="O97" s="2498">
        <f t="shared" si="34"/>
        <v>2089.8099999999995</v>
      </c>
      <c r="P97" s="2295">
        <f t="shared" si="35"/>
        <v>0.47000044980208699</v>
      </c>
    </row>
    <row r="98" spans="1:17" ht="30">
      <c r="A98" s="2265" t="s">
        <v>12762</v>
      </c>
      <c r="B98" s="2234">
        <f>VLOOKUP($A98,'11 - QT_ WB'!$A:$F,2,0)</f>
        <v>104917</v>
      </c>
      <c r="C98" s="2234" t="str">
        <f>VLOOKUP($A98,'11 - QT_ WB'!$A:$F,3,0)</f>
        <v>SINAPI</v>
      </c>
      <c r="D98" s="2333" t="s">
        <v>7514</v>
      </c>
      <c r="E98" s="2242" t="str">
        <f>IFERROR(VLOOKUP($B98,'24.08_ND'!$1:$1048529,3,0),IFERROR(VLOOKUP($B98,'03-CP'!$C$1:$H$403,3,0),""))</f>
        <v>KG</v>
      </c>
      <c r="F98" s="2230">
        <v>65.8</v>
      </c>
      <c r="G98" s="2308">
        <v>18.78</v>
      </c>
      <c r="H98" s="2332">
        <f t="shared" si="30"/>
        <v>1235.72</v>
      </c>
      <c r="I98" s="2328">
        <f t="shared" si="31"/>
        <v>0.74</v>
      </c>
      <c r="J98" s="2237">
        <v>0.45</v>
      </c>
      <c r="K98" s="2411">
        <v>0.28999999999999998</v>
      </c>
      <c r="L98" s="2533">
        <f t="shared" si="32"/>
        <v>914.42000000000007</v>
      </c>
      <c r="M98" s="2238">
        <v>556.07000000000005</v>
      </c>
      <c r="N98" s="2239">
        <f t="shared" si="33"/>
        <v>358.35</v>
      </c>
      <c r="O98" s="2498">
        <f t="shared" si="34"/>
        <v>321.29999999999995</v>
      </c>
      <c r="P98" s="2295">
        <f t="shared" si="35"/>
        <v>0.26001035833360303</v>
      </c>
    </row>
    <row r="99" spans="1:17" ht="30">
      <c r="A99" s="2265" t="s">
        <v>12763</v>
      </c>
      <c r="B99" s="2234">
        <f>VLOOKUP($A99,'11 - QT_ WB'!$A:$F,2,0)</f>
        <v>104918</v>
      </c>
      <c r="C99" s="2234" t="str">
        <f>VLOOKUP($A99,'11 - QT_ WB'!$A:$F,3,0)</f>
        <v>SINAPI</v>
      </c>
      <c r="D99" s="2333" t="s">
        <v>7515</v>
      </c>
      <c r="E99" s="2242" t="str">
        <f>IFERROR(VLOOKUP($B99,'24.08_ND'!$1:$1048529,3,0),IFERROR(VLOOKUP($B99,'03-CP'!$C$1:$H$403,3,0),""))</f>
        <v>KG</v>
      </c>
      <c r="F99" s="2230">
        <v>292.39999999999998</v>
      </c>
      <c r="G99" s="2308">
        <v>17.68</v>
      </c>
      <c r="H99" s="2332">
        <f t="shared" si="30"/>
        <v>5169.63</v>
      </c>
      <c r="I99" s="2328">
        <f t="shared" si="31"/>
        <v>0.71</v>
      </c>
      <c r="J99" s="2237">
        <v>0.45</v>
      </c>
      <c r="K99" s="2411">
        <v>0.26</v>
      </c>
      <c r="L99" s="2533">
        <f t="shared" si="32"/>
        <v>3670.43</v>
      </c>
      <c r="M99" s="2238">
        <v>2326.33</v>
      </c>
      <c r="N99" s="2239">
        <f t="shared" si="33"/>
        <v>1344.1</v>
      </c>
      <c r="O99" s="2498">
        <f t="shared" si="34"/>
        <v>1499.2000000000003</v>
      </c>
      <c r="P99" s="2295">
        <f t="shared" si="35"/>
        <v>0.29000141209332203</v>
      </c>
    </row>
    <row r="100" spans="1:17" ht="30">
      <c r="A100" s="2265" t="s">
        <v>12764</v>
      </c>
      <c r="B100" s="2234">
        <f>VLOOKUP($A100,'11 - QT_ WB'!$A:$F,2,0)</f>
        <v>104919</v>
      </c>
      <c r="C100" s="2234" t="str">
        <f>VLOOKUP($A100,'11 - QT_ WB'!$A:$F,3,0)</f>
        <v>SINAPI</v>
      </c>
      <c r="D100" s="2333" t="s">
        <v>7516</v>
      </c>
      <c r="E100" s="2242" t="str">
        <f>IFERROR(VLOOKUP($B100,'24.08_ND'!$1:$1048529,3,0),IFERROR(VLOOKUP($B100,'03-CP'!$C$1:$H$403,3,0),""))</f>
        <v>KG</v>
      </c>
      <c r="F100" s="2230">
        <v>18.2</v>
      </c>
      <c r="G100" s="2308">
        <v>15.88</v>
      </c>
      <c r="H100" s="2332">
        <f t="shared" si="30"/>
        <v>289.01</v>
      </c>
      <c r="I100" s="2328">
        <f t="shared" si="31"/>
        <v>1</v>
      </c>
      <c r="J100" s="2237">
        <v>0.45</v>
      </c>
      <c r="K100" s="2411">
        <v>0.55000000000000004</v>
      </c>
      <c r="L100" s="2533">
        <f t="shared" si="32"/>
        <v>289</v>
      </c>
      <c r="M100" s="2238">
        <v>130.05000000000001</v>
      </c>
      <c r="N100" s="2239">
        <f t="shared" si="33"/>
        <v>158.94999999999999</v>
      </c>
      <c r="O100" s="2498">
        <f t="shared" si="34"/>
        <v>9.9999999999909051E-3</v>
      </c>
      <c r="P100" s="2295">
        <f t="shared" si="35"/>
        <v>3.4600878862291632E-5</v>
      </c>
    </row>
    <row r="101" spans="1:17" ht="30">
      <c r="A101" s="2265" t="s">
        <v>12765</v>
      </c>
      <c r="B101" s="2234">
        <f>VLOOKUP($A101,'11 - QT_ WB'!$A:$F,2,0)</f>
        <v>104920</v>
      </c>
      <c r="C101" s="2234" t="str">
        <f>VLOOKUP($A101,'11 - QT_ WB'!$A:$F,3,0)</f>
        <v>SINAPI</v>
      </c>
      <c r="D101" s="2333" t="s">
        <v>7517</v>
      </c>
      <c r="E101" s="2242" t="str">
        <f>IFERROR(VLOOKUP($B101,'24.08_ND'!$1:$1048529,3,0),IFERROR(VLOOKUP($B101,'03-CP'!$C$1:$H$403,3,0),""))</f>
        <v>KG</v>
      </c>
      <c r="F101" s="2230">
        <v>147.9</v>
      </c>
      <c r="G101" s="2308">
        <v>13.52</v>
      </c>
      <c r="H101" s="2332">
        <f t="shared" si="30"/>
        <v>1999.6</v>
      </c>
      <c r="I101" s="2328">
        <f t="shared" si="31"/>
        <v>4.9999999999999989E-2</v>
      </c>
      <c r="J101" s="2237">
        <v>0.45</v>
      </c>
      <c r="K101" s="2411">
        <v>-0.4</v>
      </c>
      <c r="L101" s="2533">
        <f t="shared" si="32"/>
        <v>99.980000000000018</v>
      </c>
      <c r="M101" s="2238">
        <v>899.82</v>
      </c>
      <c r="N101" s="2239">
        <f t="shared" si="33"/>
        <v>-799.84</v>
      </c>
      <c r="O101" s="2498">
        <f t="shared" si="34"/>
        <v>1899.62</v>
      </c>
      <c r="P101" s="2295">
        <f t="shared" si="35"/>
        <v>0.95</v>
      </c>
    </row>
    <row r="102" spans="1:17" ht="30">
      <c r="A102" s="2265" t="s">
        <v>12766</v>
      </c>
      <c r="B102" s="2234">
        <f>VLOOKUP($A102,'11 - QT_ WB'!$A:$F,2,0)</f>
        <v>96558</v>
      </c>
      <c r="C102" s="2234" t="str">
        <f>VLOOKUP($A102,'11 - QT_ WB'!$A:$F,3,0)</f>
        <v>SINAPI</v>
      </c>
      <c r="D102" s="2333" t="s">
        <v>7548</v>
      </c>
      <c r="E102" s="2242" t="str">
        <f>IFERROR(VLOOKUP($B102,'24.08_ND'!$1:$1048529,3,0),IFERROR(VLOOKUP($B102,'03-CP'!$C$1:$H$403,3,0),""))</f>
        <v>M3</v>
      </c>
      <c r="F102" s="2230">
        <v>11.82</v>
      </c>
      <c r="G102" s="2308">
        <v>1149.76</v>
      </c>
      <c r="H102" s="2332">
        <f t="shared" si="30"/>
        <v>13590.16</v>
      </c>
      <c r="I102" s="2328">
        <f t="shared" si="31"/>
        <v>0.54</v>
      </c>
      <c r="J102" s="2237">
        <v>0.45</v>
      </c>
      <c r="K102" s="2411">
        <v>0.09</v>
      </c>
      <c r="L102" s="2533">
        <f t="shared" si="32"/>
        <v>7338.6799999999994</v>
      </c>
      <c r="M102" s="2238">
        <v>6115.57</v>
      </c>
      <c r="N102" s="2239">
        <f t="shared" si="33"/>
        <v>1223.1099999999999</v>
      </c>
      <c r="O102" s="2498">
        <f t="shared" si="34"/>
        <v>6251.4800000000005</v>
      </c>
      <c r="P102" s="2295">
        <f t="shared" si="35"/>
        <v>0.46000047092896629</v>
      </c>
    </row>
    <row r="103" spans="1:17" ht="30">
      <c r="A103" s="2265" t="s">
        <v>12767</v>
      </c>
      <c r="B103" s="2234">
        <f>VLOOKUP($A103,'11 - QT_ WB'!$A:$F,2,0)</f>
        <v>93382</v>
      </c>
      <c r="C103" s="2234" t="str">
        <f>VLOOKUP($A103,'11 - QT_ WB'!$A:$F,3,0)</f>
        <v>SINAPI</v>
      </c>
      <c r="D103" s="2333" t="s">
        <v>10726</v>
      </c>
      <c r="E103" s="2242" t="str">
        <f>IFERROR(VLOOKUP($B103,'24.08_ND'!$1:$1048529,3,0),IFERROR(VLOOKUP($B103,'03-CP'!$C$1:$H$403,3,0),""))</f>
        <v>M3</v>
      </c>
      <c r="F103" s="2230">
        <v>18.722000000000001</v>
      </c>
      <c r="G103" s="2308">
        <v>26.88</v>
      </c>
      <c r="H103" s="2332">
        <f t="shared" si="30"/>
        <v>503.24</v>
      </c>
      <c r="I103" s="2328">
        <f t="shared" si="31"/>
        <v>0</v>
      </c>
      <c r="J103" s="2237"/>
      <c r="K103" s="2411"/>
      <c r="L103" s="2533">
        <f t="shared" si="32"/>
        <v>0</v>
      </c>
      <c r="M103" s="2238">
        <v>0</v>
      </c>
      <c r="N103" s="2239">
        <f t="shared" si="33"/>
        <v>0</v>
      </c>
      <c r="O103" s="2498">
        <f t="shared" si="34"/>
        <v>503.24</v>
      </c>
      <c r="P103" s="2295">
        <f t="shared" si="35"/>
        <v>1</v>
      </c>
    </row>
    <row r="104" spans="1:17" ht="45">
      <c r="A104" s="2265" t="s">
        <v>12768</v>
      </c>
      <c r="B104" s="2234">
        <f>VLOOKUP($A104,'11 - QT_ WB'!$A:$F,2,0)</f>
        <v>100978</v>
      </c>
      <c r="C104" s="2234" t="str">
        <f>VLOOKUP($A104,'11 - QT_ WB'!$A:$F,3,0)</f>
        <v>SINAPI</v>
      </c>
      <c r="D104" s="2333" t="s">
        <v>11981</v>
      </c>
      <c r="E104" s="2242" t="str">
        <f>IFERROR(VLOOKUP($B104,'24.08_ND'!$1:$1048529,3,0),IFERROR(VLOOKUP($B104,'03-CP'!$C$1:$H$403,3,0),""))</f>
        <v>M3</v>
      </c>
      <c r="F104" s="2230">
        <v>21.653999999999996</v>
      </c>
      <c r="G104" s="2308">
        <v>7.88</v>
      </c>
      <c r="H104" s="2332">
        <f t="shared" si="30"/>
        <v>170.63</v>
      </c>
      <c r="I104" s="2328">
        <f t="shared" si="31"/>
        <v>0.45</v>
      </c>
      <c r="J104" s="2237">
        <v>0.45</v>
      </c>
      <c r="K104" s="2411"/>
      <c r="L104" s="2533">
        <f t="shared" si="32"/>
        <v>76.78</v>
      </c>
      <c r="M104" s="2238">
        <v>76.78</v>
      </c>
      <c r="N104" s="2239">
        <f t="shared" si="33"/>
        <v>0</v>
      </c>
      <c r="O104" s="2498">
        <f t="shared" si="34"/>
        <v>93.85</v>
      </c>
      <c r="P104" s="2295">
        <f t="shared" si="35"/>
        <v>0.55002051221942216</v>
      </c>
    </row>
    <row r="105" spans="1:17" ht="30">
      <c r="A105" s="2265" t="s">
        <v>12769</v>
      </c>
      <c r="B105" s="2234">
        <f>VLOOKUP($A105,'11 - QT_ WB'!$A:$F,2,0)</f>
        <v>100938</v>
      </c>
      <c r="C105" s="2234" t="str">
        <f>VLOOKUP($A105,'11 - QT_ WB'!$A:$F,3,0)</f>
        <v>SINAPI</v>
      </c>
      <c r="D105" s="2333" t="s">
        <v>11938</v>
      </c>
      <c r="E105" s="2242" t="str">
        <f>IFERROR(VLOOKUP($B105,'24.08_ND'!$1:$1048529,3,0),IFERROR(VLOOKUP($B105,'03-CP'!$C$1:$H$403,3,0),""))</f>
        <v>M3XKM</v>
      </c>
      <c r="F105" s="2230">
        <v>43.307999999999993</v>
      </c>
      <c r="G105" s="2308">
        <v>8.6199999999999992</v>
      </c>
      <c r="H105" s="2332">
        <f t="shared" si="30"/>
        <v>373.31</v>
      </c>
      <c r="I105" s="2328">
        <f t="shared" si="31"/>
        <v>0.45</v>
      </c>
      <c r="J105" s="2237">
        <v>0.45</v>
      </c>
      <c r="K105" s="2411"/>
      <c r="L105" s="2533">
        <f t="shared" si="32"/>
        <v>167.98</v>
      </c>
      <c r="M105" s="2238">
        <v>167.98</v>
      </c>
      <c r="N105" s="2239">
        <f t="shared" si="33"/>
        <v>0</v>
      </c>
      <c r="O105" s="2498">
        <f t="shared" si="34"/>
        <v>205.33</v>
      </c>
      <c r="P105" s="2295">
        <f t="shared" si="35"/>
        <v>0.5500254480190726</v>
      </c>
    </row>
    <row r="106" spans="1:17" ht="30">
      <c r="A106" s="2265" t="s">
        <v>12770</v>
      </c>
      <c r="B106" s="2234">
        <f>VLOOKUP($A106,'11 - QT_ WB'!$A:$F,2,0)</f>
        <v>98557</v>
      </c>
      <c r="C106" s="2234" t="str">
        <f>VLOOKUP($A106,'11 - QT_ WB'!$A:$F,3,0)</f>
        <v>SINAPI</v>
      </c>
      <c r="D106" s="2333" t="s">
        <v>7741</v>
      </c>
      <c r="E106" s="2242" t="str">
        <f>IFERROR(VLOOKUP($B106,'24.08_ND'!$1:$1048529,3,0),IFERROR(VLOOKUP($B106,'03-CP'!$C$1:$H$403,3,0),""))</f>
        <v>M2</v>
      </c>
      <c r="F106" s="2230">
        <v>200.4</v>
      </c>
      <c r="G106" s="2308">
        <v>48.62</v>
      </c>
      <c r="H106" s="2332">
        <f t="shared" si="30"/>
        <v>9743.44</v>
      </c>
      <c r="I106" s="2328">
        <f t="shared" si="31"/>
        <v>0.4</v>
      </c>
      <c r="J106" s="2237"/>
      <c r="K106" s="2411">
        <v>0.4</v>
      </c>
      <c r="L106" s="2533">
        <f t="shared" si="32"/>
        <v>3897.37</v>
      </c>
      <c r="M106" s="2238">
        <v>0</v>
      </c>
      <c r="N106" s="2239">
        <f t="shared" si="33"/>
        <v>3897.37</v>
      </c>
      <c r="O106" s="2498">
        <f t="shared" si="34"/>
        <v>5846.0700000000006</v>
      </c>
      <c r="P106" s="2295">
        <f t="shared" si="35"/>
        <v>0.6000006157989376</v>
      </c>
    </row>
    <row r="107" spans="1:17">
      <c r="A107" s="2264" t="s">
        <v>12771</v>
      </c>
      <c r="B107" s="2223"/>
      <c r="C107" s="2223"/>
      <c r="D107" s="2376" t="s">
        <v>16217</v>
      </c>
      <c r="E107" s="2224"/>
      <c r="F107" s="2240"/>
      <c r="G107" s="2226"/>
      <c r="H107" s="2301">
        <f>SUBTOTAL(9,H108:H111)</f>
        <v>10933.58</v>
      </c>
      <c r="I107" s="2284"/>
      <c r="J107" s="2227"/>
      <c r="K107" s="2410"/>
      <c r="L107" s="2534">
        <f>SUM(L108:L111)</f>
        <v>0</v>
      </c>
      <c r="M107" s="2301">
        <f>SUBTOTAL(9,M108:M111)</f>
        <v>0</v>
      </c>
      <c r="N107" s="2534">
        <f>SUM(N108:N111)</f>
        <v>0</v>
      </c>
      <c r="O107" s="2534">
        <f>SUM(O108:O111)</f>
        <v>10933.58</v>
      </c>
      <c r="P107" s="2293"/>
      <c r="Q107" s="2568"/>
    </row>
    <row r="108" spans="1:17" ht="45">
      <c r="A108" s="2265" t="s">
        <v>12772</v>
      </c>
      <c r="B108" s="2234">
        <f>VLOOKUP($A108,'11 - QT_ WB'!$A:$F,2,0)</f>
        <v>92431</v>
      </c>
      <c r="C108" s="2234" t="str">
        <f>VLOOKUP($A108,'11 - QT_ WB'!$A:$F,3,0)</f>
        <v>SINAPI</v>
      </c>
      <c r="D108" s="2333" t="s">
        <v>7221</v>
      </c>
      <c r="E108" s="2242" t="str">
        <f>IFERROR(VLOOKUP($B108,'24.08_ND'!$1:$1048529,3,0),IFERROR(VLOOKUP($B108,'03-CP'!$C$1:$H$403,3,0),""))</f>
        <v>M2</v>
      </c>
      <c r="F108" s="2230">
        <v>47.95</v>
      </c>
      <c r="G108" s="2238">
        <v>83.57</v>
      </c>
      <c r="H108" s="2332">
        <f>TRUNC((G108*F108),2)</f>
        <v>4007.18</v>
      </c>
      <c r="I108" s="2328">
        <f>J108+K108</f>
        <v>0</v>
      </c>
      <c r="J108" s="2237"/>
      <c r="K108" s="2411"/>
      <c r="L108" s="2533">
        <f>M108+N108</f>
        <v>0</v>
      </c>
      <c r="M108" s="2238">
        <v>0</v>
      </c>
      <c r="N108" s="2239">
        <f>TRUNC(H108*K108,2)</f>
        <v>0</v>
      </c>
      <c r="O108" s="2498">
        <f>H108-L108</f>
        <v>4007.18</v>
      </c>
      <c r="P108" s="2295">
        <f>O108/H108</f>
        <v>1</v>
      </c>
    </row>
    <row r="109" spans="1:17" ht="30">
      <c r="A109" s="2265" t="s">
        <v>12773</v>
      </c>
      <c r="B109" s="2234">
        <f>VLOOKUP($A109,'11 - QT_ WB'!$A:$F,2,0)</f>
        <v>92759</v>
      </c>
      <c r="C109" s="2234" t="str">
        <f>VLOOKUP($A109,'11 - QT_ WB'!$A:$F,3,0)</f>
        <v>SINAPI</v>
      </c>
      <c r="D109" s="2333" t="s">
        <v>7428</v>
      </c>
      <c r="E109" s="2242" t="str">
        <f>IFERROR(VLOOKUP($B109,'24.08_ND'!$1:$1048529,3,0),IFERROR(VLOOKUP($B109,'03-CP'!$C$1:$H$403,3,0),""))</f>
        <v>KG</v>
      </c>
      <c r="F109" s="2230">
        <v>69.900000000000006</v>
      </c>
      <c r="G109" s="2238">
        <v>17.100000000000001</v>
      </c>
      <c r="H109" s="2332">
        <f>TRUNC((G109*F109),2)</f>
        <v>1195.29</v>
      </c>
      <c r="I109" s="2328">
        <f>J109+K109</f>
        <v>0</v>
      </c>
      <c r="J109" s="2237"/>
      <c r="K109" s="2411"/>
      <c r="L109" s="2533">
        <f>M109+N109</f>
        <v>0</v>
      </c>
      <c r="M109" s="2238">
        <v>0</v>
      </c>
      <c r="N109" s="2239">
        <f>TRUNC(H109*K109,2)</f>
        <v>0</v>
      </c>
      <c r="O109" s="2498">
        <f>H109-L109</f>
        <v>1195.29</v>
      </c>
      <c r="P109" s="2295">
        <f>O109/H109</f>
        <v>1</v>
      </c>
    </row>
    <row r="110" spans="1:17" ht="30">
      <c r="A110" s="2265" t="s">
        <v>12774</v>
      </c>
      <c r="B110" s="2234">
        <f>VLOOKUP($A110,'11 - QT_ WB'!$A:$F,2,0)</f>
        <v>92762</v>
      </c>
      <c r="C110" s="2234" t="str">
        <f>VLOOKUP($A110,'11 - QT_ WB'!$A:$F,3,0)</f>
        <v>SINAPI</v>
      </c>
      <c r="D110" s="2333" t="s">
        <v>7431</v>
      </c>
      <c r="E110" s="2242" t="str">
        <f>IFERROR(VLOOKUP($B110,'24.08_ND'!$1:$1048529,3,0),IFERROR(VLOOKUP($B110,'03-CP'!$C$1:$H$403,3,0),""))</f>
        <v>KG</v>
      </c>
      <c r="F110" s="2230">
        <v>198</v>
      </c>
      <c r="G110" s="2238">
        <v>14.11</v>
      </c>
      <c r="H110" s="2332">
        <f>TRUNC((G110*F110),2)</f>
        <v>2793.78</v>
      </c>
      <c r="I110" s="2328">
        <f>J110+K110</f>
        <v>0</v>
      </c>
      <c r="J110" s="2237"/>
      <c r="K110" s="2411"/>
      <c r="L110" s="2533">
        <f>M110+N110</f>
        <v>0</v>
      </c>
      <c r="M110" s="2238">
        <v>0</v>
      </c>
      <c r="N110" s="2239">
        <f>TRUNC(H110*K110,2)</f>
        <v>0</v>
      </c>
      <c r="O110" s="2498">
        <f>H110-L110</f>
        <v>2793.78</v>
      </c>
      <c r="P110" s="2295">
        <f>O110/H110</f>
        <v>1</v>
      </c>
    </row>
    <row r="111" spans="1:17" ht="30">
      <c r="A111" s="2265" t="s">
        <v>12775</v>
      </c>
      <c r="B111" s="2228" t="str">
        <f>VLOOKUP($A111,'11 - QT_ WB'!$A:$F,2,0)</f>
        <v>PS-CP-EST-13</v>
      </c>
      <c r="C111" s="2228" t="str">
        <f>VLOOKUP($A111,'11 - QT_ WB'!$A:$F,3,0)</f>
        <v>PRÓPRIA</v>
      </c>
      <c r="D111" s="2333" t="s">
        <v>14621</v>
      </c>
      <c r="E111" s="2243" t="str">
        <f>IFERROR(VLOOKUP($B111,'24.08_ND'!$1:$1048529,3,0),IFERROR(VLOOKUP($B111,'03-CP'!$C$1:$H$403,3,0),""))</f>
        <v>M3</v>
      </c>
      <c r="F111" s="2230">
        <v>2.5299999999999998</v>
      </c>
      <c r="G111" s="2232">
        <v>1161</v>
      </c>
      <c r="H111" s="2332">
        <f>TRUNC((G111*F111),2)</f>
        <v>2937.33</v>
      </c>
      <c r="I111" s="2328">
        <f>J111+K111</f>
        <v>0</v>
      </c>
      <c r="J111" s="2231"/>
      <c r="K111" s="2412"/>
      <c r="L111" s="2533">
        <f>M111+N111</f>
        <v>0</v>
      </c>
      <c r="M111" s="2238">
        <v>0</v>
      </c>
      <c r="N111" s="2239">
        <f>TRUNC(H111*K111,2)</f>
        <v>0</v>
      </c>
      <c r="O111" s="2498">
        <f>H111-L111</f>
        <v>2937.33</v>
      </c>
      <c r="P111" s="2295">
        <f>O111/H111</f>
        <v>1</v>
      </c>
    </row>
    <row r="112" spans="1:17">
      <c r="A112" s="2264" t="s">
        <v>12776</v>
      </c>
      <c r="B112" s="2223"/>
      <c r="C112" s="2223"/>
      <c r="D112" s="2376" t="s">
        <v>16218</v>
      </c>
      <c r="E112" s="2224"/>
      <c r="F112" s="2240"/>
      <c r="G112" s="2226"/>
      <c r="H112" s="2301">
        <f>SUBTOTAL(9,H113:H119)</f>
        <v>22487.579999999998</v>
      </c>
      <c r="I112" s="2284"/>
      <c r="J112" s="2227"/>
      <c r="K112" s="2410"/>
      <c r="L112" s="2534">
        <f>SUM(L113:L119)</f>
        <v>0</v>
      </c>
      <c r="M112" s="2301">
        <f>SUBTOTAL(9,M113:M119)</f>
        <v>0</v>
      </c>
      <c r="N112" s="2534">
        <f>SUM(N113:N119)</f>
        <v>0</v>
      </c>
      <c r="O112" s="2534">
        <f>SUM(O113:O119)</f>
        <v>22487.579999999998</v>
      </c>
      <c r="P112" s="2293"/>
    </row>
    <row r="113" spans="1:16" ht="45">
      <c r="A113" s="2265" t="s">
        <v>12777</v>
      </c>
      <c r="B113" s="2234">
        <f>VLOOKUP($A113,'11 - QT_ WB'!$A:$F,2,0)</f>
        <v>92468</v>
      </c>
      <c r="C113" s="2234" t="str">
        <f>VLOOKUP($A113,'11 - QT_ WB'!$A:$F,3,0)</f>
        <v>SINAPI</v>
      </c>
      <c r="D113" s="2333" t="s">
        <v>7251</v>
      </c>
      <c r="E113" s="2242" t="str">
        <f>IFERROR(VLOOKUP($B113,'24.08_ND'!$1:$1048529,3,0),IFERROR(VLOOKUP($B113,'03-CP'!$C$1:$H$403,3,0),""))</f>
        <v>M2</v>
      </c>
      <c r="F113" s="2230">
        <v>77.930000000000007</v>
      </c>
      <c r="G113" s="2238">
        <v>158.82</v>
      </c>
      <c r="H113" s="2332">
        <f t="shared" ref="H113:H119" si="36">TRUNC((G113*F113),2)</f>
        <v>12376.84</v>
      </c>
      <c r="I113" s="2328">
        <f t="shared" ref="I113:I119" si="37">J113+K113</f>
        <v>0</v>
      </c>
      <c r="J113" s="2237"/>
      <c r="K113" s="2411"/>
      <c r="L113" s="2533">
        <f t="shared" ref="L113:L119" si="38">M113+N113</f>
        <v>0</v>
      </c>
      <c r="M113" s="2238">
        <v>0</v>
      </c>
      <c r="N113" s="2239">
        <f t="shared" ref="N113:N119" si="39">TRUNC(H113*K113,2)</f>
        <v>0</v>
      </c>
      <c r="O113" s="2498">
        <f t="shared" ref="O113:O119" si="40">H113-L113</f>
        <v>12376.84</v>
      </c>
      <c r="P113" s="2295">
        <f t="shared" ref="P113:P120" si="41">O113/H113</f>
        <v>1</v>
      </c>
    </row>
    <row r="114" spans="1:16" ht="30">
      <c r="A114" s="2265" t="s">
        <v>12778</v>
      </c>
      <c r="B114" s="2234">
        <f>VLOOKUP($A114,'11 - QT_ WB'!$A:$F,2,0)</f>
        <v>92759</v>
      </c>
      <c r="C114" s="2234" t="str">
        <f>VLOOKUP($A114,'11 - QT_ WB'!$A:$F,3,0)</f>
        <v>SINAPI</v>
      </c>
      <c r="D114" s="2333" t="s">
        <v>7428</v>
      </c>
      <c r="E114" s="2242" t="str">
        <f>IFERROR(VLOOKUP($B114,'24.08_ND'!$1:$1048529,3,0),IFERROR(VLOOKUP($B114,'03-CP'!$C$1:$H$403,3,0),""))</f>
        <v>KG</v>
      </c>
      <c r="F114" s="2230">
        <v>98.2</v>
      </c>
      <c r="G114" s="2238">
        <v>17.100000000000001</v>
      </c>
      <c r="H114" s="2332">
        <f t="shared" si="36"/>
        <v>1679.22</v>
      </c>
      <c r="I114" s="2328">
        <f t="shared" si="37"/>
        <v>0</v>
      </c>
      <c r="J114" s="2237"/>
      <c r="K114" s="2411"/>
      <c r="L114" s="2533">
        <f t="shared" si="38"/>
        <v>0</v>
      </c>
      <c r="M114" s="2238">
        <v>0</v>
      </c>
      <c r="N114" s="2239">
        <f t="shared" si="39"/>
        <v>0</v>
      </c>
      <c r="O114" s="2498">
        <f t="shared" si="40"/>
        <v>1679.22</v>
      </c>
      <c r="P114" s="2295">
        <f t="shared" si="41"/>
        <v>1</v>
      </c>
    </row>
    <row r="115" spans="1:16" ht="30">
      <c r="A115" s="2265" t="s">
        <v>12779</v>
      </c>
      <c r="B115" s="2234">
        <f>VLOOKUP($A115,'11 - QT_ WB'!$A:$F,2,0)</f>
        <v>92760</v>
      </c>
      <c r="C115" s="2234" t="str">
        <f>VLOOKUP($A115,'11 - QT_ WB'!$A:$F,3,0)</f>
        <v>SINAPI</v>
      </c>
      <c r="D115" s="2333" t="s">
        <v>7429</v>
      </c>
      <c r="E115" s="2242" t="str">
        <f>IFERROR(VLOOKUP($B115,'24.08_ND'!$1:$1048529,3,0),IFERROR(VLOOKUP($B115,'03-CP'!$C$1:$H$403,3,0),""))</f>
        <v>KG</v>
      </c>
      <c r="F115" s="2230">
        <v>2.7</v>
      </c>
      <c r="G115" s="2238">
        <v>16.45</v>
      </c>
      <c r="H115" s="2332">
        <f t="shared" si="36"/>
        <v>44.41</v>
      </c>
      <c r="I115" s="2328">
        <f t="shared" si="37"/>
        <v>0</v>
      </c>
      <c r="J115" s="2237"/>
      <c r="K115" s="2411"/>
      <c r="L115" s="2533">
        <f t="shared" si="38"/>
        <v>0</v>
      </c>
      <c r="M115" s="2238">
        <v>0</v>
      </c>
      <c r="N115" s="2239">
        <f t="shared" si="39"/>
        <v>0</v>
      </c>
      <c r="O115" s="2498">
        <f t="shared" si="40"/>
        <v>44.41</v>
      </c>
      <c r="P115" s="2295">
        <f t="shared" si="41"/>
        <v>1</v>
      </c>
    </row>
    <row r="116" spans="1:16" ht="30">
      <c r="A116" s="2265" t="s">
        <v>12780</v>
      </c>
      <c r="B116" s="2234">
        <f>VLOOKUP($A116,'11 - QT_ WB'!$A:$F,2,0)</f>
        <v>92761</v>
      </c>
      <c r="C116" s="2234" t="str">
        <f>VLOOKUP($A116,'11 - QT_ WB'!$A:$F,3,0)</f>
        <v>SINAPI</v>
      </c>
      <c r="D116" s="2333" t="s">
        <v>7430</v>
      </c>
      <c r="E116" s="2242" t="str">
        <f>IFERROR(VLOOKUP($B116,'24.08_ND'!$1:$1048529,3,0),IFERROR(VLOOKUP($B116,'03-CP'!$C$1:$H$403,3,0),""))</f>
        <v>KG</v>
      </c>
      <c r="F116" s="2230">
        <v>154.80000000000001</v>
      </c>
      <c r="G116" s="2238">
        <v>15.68</v>
      </c>
      <c r="H116" s="2332">
        <f t="shared" si="36"/>
        <v>2427.2600000000002</v>
      </c>
      <c r="I116" s="2328">
        <f t="shared" si="37"/>
        <v>0</v>
      </c>
      <c r="J116" s="2237"/>
      <c r="K116" s="2411"/>
      <c r="L116" s="2533">
        <f t="shared" si="38"/>
        <v>0</v>
      </c>
      <c r="M116" s="2238">
        <v>0</v>
      </c>
      <c r="N116" s="2239">
        <f t="shared" si="39"/>
        <v>0</v>
      </c>
      <c r="O116" s="2498">
        <f t="shared" si="40"/>
        <v>2427.2600000000002</v>
      </c>
      <c r="P116" s="2295">
        <f t="shared" si="41"/>
        <v>1</v>
      </c>
    </row>
    <row r="117" spans="1:16" ht="30">
      <c r="A117" s="2265" t="s">
        <v>12781</v>
      </c>
      <c r="B117" s="2234">
        <f>VLOOKUP($A117,'11 - QT_ WB'!$A:$F,2,0)</f>
        <v>92762</v>
      </c>
      <c r="C117" s="2234" t="str">
        <f>VLOOKUP($A117,'11 - QT_ WB'!$A:$F,3,0)</f>
        <v>SINAPI</v>
      </c>
      <c r="D117" s="2333" t="s">
        <v>7431</v>
      </c>
      <c r="E117" s="2242" t="str">
        <f>IFERROR(VLOOKUP($B117,'24.08_ND'!$1:$1048529,3,0),IFERROR(VLOOKUP($B117,'03-CP'!$C$1:$H$403,3,0),""))</f>
        <v>KG</v>
      </c>
      <c r="F117" s="2230">
        <v>26.1</v>
      </c>
      <c r="G117" s="2238">
        <v>14.11</v>
      </c>
      <c r="H117" s="2332">
        <f t="shared" si="36"/>
        <v>368.27</v>
      </c>
      <c r="I117" s="2328">
        <f t="shared" si="37"/>
        <v>0</v>
      </c>
      <c r="J117" s="2237"/>
      <c r="K117" s="2411"/>
      <c r="L117" s="2533">
        <f t="shared" si="38"/>
        <v>0</v>
      </c>
      <c r="M117" s="2238">
        <v>0</v>
      </c>
      <c r="N117" s="2239">
        <f t="shared" si="39"/>
        <v>0</v>
      </c>
      <c r="O117" s="2498">
        <f t="shared" si="40"/>
        <v>368.27</v>
      </c>
      <c r="P117" s="2295">
        <f t="shared" si="41"/>
        <v>1</v>
      </c>
    </row>
    <row r="118" spans="1:16" ht="30">
      <c r="A118" s="2265" t="s">
        <v>12782</v>
      </c>
      <c r="B118" s="2234">
        <f>VLOOKUP($A118,'11 - QT_ WB'!$A:$F,2,0)</f>
        <v>92763</v>
      </c>
      <c r="C118" s="2234" t="str">
        <f>VLOOKUP($A118,'11 - QT_ WB'!$A:$F,3,0)</f>
        <v>SINAPI</v>
      </c>
      <c r="D118" s="2333" t="s">
        <v>7432</v>
      </c>
      <c r="E118" s="2242" t="str">
        <f>IFERROR(VLOOKUP($B118,'24.08_ND'!$1:$1048529,3,0),IFERROR(VLOOKUP($B118,'03-CP'!$C$1:$H$403,3,0),""))</f>
        <v>KG</v>
      </c>
      <c r="F118" s="2230">
        <v>22.3</v>
      </c>
      <c r="G118" s="2238">
        <v>11.93</v>
      </c>
      <c r="H118" s="2332">
        <f t="shared" si="36"/>
        <v>266.02999999999997</v>
      </c>
      <c r="I118" s="2328">
        <f t="shared" si="37"/>
        <v>0</v>
      </c>
      <c r="J118" s="2237"/>
      <c r="K118" s="2411"/>
      <c r="L118" s="2533">
        <f t="shared" si="38"/>
        <v>0</v>
      </c>
      <c r="M118" s="2238">
        <v>0</v>
      </c>
      <c r="N118" s="2239">
        <f t="shared" si="39"/>
        <v>0</v>
      </c>
      <c r="O118" s="2498">
        <f t="shared" si="40"/>
        <v>266.02999999999997</v>
      </c>
      <c r="P118" s="2295">
        <f t="shared" si="41"/>
        <v>1</v>
      </c>
    </row>
    <row r="119" spans="1:16" ht="45">
      <c r="A119" s="2265" t="s">
        <v>12783</v>
      </c>
      <c r="B119" s="2228" t="str">
        <f>VLOOKUP($A119,'11 - QT_ WB'!$A:$F,2,0)</f>
        <v>PS-CP-EST-14</v>
      </c>
      <c r="C119" s="2228" t="str">
        <f>VLOOKUP($A119,'11 - QT_ WB'!$A:$F,3,0)</f>
        <v>PRÓPRIA</v>
      </c>
      <c r="D119" s="2333" t="s">
        <v>15964</v>
      </c>
      <c r="E119" s="2243" t="str">
        <f>IFERROR(VLOOKUP($B119,'24.08_ND'!$1:$1048529,3,0),IFERROR(VLOOKUP($B119,'03-CP'!$C$1:$H$403,3,0),""))</f>
        <v>M3</v>
      </c>
      <c r="F119" s="2230">
        <v>5.23</v>
      </c>
      <c r="G119" s="2232">
        <v>1018.27</v>
      </c>
      <c r="H119" s="2332">
        <f t="shared" si="36"/>
        <v>5325.55</v>
      </c>
      <c r="I119" s="2328">
        <f t="shared" si="37"/>
        <v>0</v>
      </c>
      <c r="J119" s="2231"/>
      <c r="K119" s="2412"/>
      <c r="L119" s="2533">
        <f t="shared" si="38"/>
        <v>0</v>
      </c>
      <c r="M119" s="2238">
        <v>0</v>
      </c>
      <c r="N119" s="2239">
        <f t="shared" si="39"/>
        <v>0</v>
      </c>
      <c r="O119" s="2498">
        <f t="shared" si="40"/>
        <v>5325.55</v>
      </c>
      <c r="P119" s="2295">
        <f t="shared" si="41"/>
        <v>1</v>
      </c>
    </row>
    <row r="120" spans="1:16">
      <c r="A120" s="2264" t="s">
        <v>12784</v>
      </c>
      <c r="B120" s="2223"/>
      <c r="C120" s="2223"/>
      <c r="D120" s="2376" t="s">
        <v>16219</v>
      </c>
      <c r="E120" s="2224"/>
      <c r="F120" s="2240"/>
      <c r="G120" s="2226"/>
      <c r="H120" s="2301">
        <f>SUBTOTAL(9,H121:H122)</f>
        <v>13084.83</v>
      </c>
      <c r="I120" s="2284"/>
      <c r="J120" s="2227"/>
      <c r="K120" s="2410"/>
      <c r="L120" s="2534">
        <f>SUM(L121:L122)</f>
        <v>0</v>
      </c>
      <c r="M120" s="2301">
        <f>SUBTOTAL(9,M121:M122)</f>
        <v>0</v>
      </c>
      <c r="N120" s="2534">
        <f>SUM(N121:N122)</f>
        <v>0</v>
      </c>
      <c r="O120" s="2534">
        <f>SUM(O121:O122)</f>
        <v>13084.83</v>
      </c>
      <c r="P120" s="2293">
        <f t="shared" si="41"/>
        <v>1</v>
      </c>
    </row>
    <row r="121" spans="1:16" ht="45">
      <c r="A121" s="2265" t="s">
        <v>12785</v>
      </c>
      <c r="B121" s="2228" t="str">
        <f>VLOOKUP($A121,'11 - QT_ WB'!$A:$F,2,0)</f>
        <v>PS-CP-EST-16</v>
      </c>
      <c r="C121" s="2228" t="str">
        <f>VLOOKUP($A121,'11 - QT_ WB'!$A:$F,3,0)</f>
        <v>PRÓPRIA</v>
      </c>
      <c r="D121" s="2333" t="s">
        <v>14641</v>
      </c>
      <c r="E121" s="2243" t="str">
        <f>IFERROR(VLOOKUP($B121,'24.08_ND'!$1:$1048529,3,0),IFERROR(VLOOKUP($B121,'03-CP'!$C$1:$H$1062,3,0),""))</f>
        <v>M2</v>
      </c>
      <c r="F121" s="2230">
        <v>12.93</v>
      </c>
      <c r="G121" s="2232">
        <v>346.16</v>
      </c>
      <c r="H121" s="2332">
        <f>TRUNC((G121*F121),2)</f>
        <v>4475.84</v>
      </c>
      <c r="I121" s="2328">
        <f>J121+K121</f>
        <v>0</v>
      </c>
      <c r="J121" s="2231"/>
      <c r="K121" s="2412"/>
      <c r="L121" s="2533">
        <f>M121+N121</f>
        <v>0</v>
      </c>
      <c r="M121" s="2238">
        <v>0</v>
      </c>
      <c r="N121" s="2239">
        <f>TRUNC(H121*K121,2)</f>
        <v>0</v>
      </c>
      <c r="O121" s="2498">
        <f>H121-L121</f>
        <v>4475.84</v>
      </c>
      <c r="P121" s="2295">
        <f t="shared" ref="P121:P127" si="42">O121/H121</f>
        <v>1</v>
      </c>
    </row>
    <row r="122" spans="1:16" ht="45">
      <c r="A122" s="2265" t="s">
        <v>12786</v>
      </c>
      <c r="B122" s="2228" t="str">
        <f>VLOOKUP($A122,'11 - QT_ WB'!$A:$F,2,0)</f>
        <v>PS-CP-EST-16</v>
      </c>
      <c r="C122" s="2228" t="str">
        <f>VLOOKUP($A122,'11 - QT_ WB'!$A:$F,3,0)</f>
        <v>PRÓPRIA</v>
      </c>
      <c r="D122" s="2333" t="s">
        <v>14641</v>
      </c>
      <c r="E122" s="2243" t="str">
        <f>IFERROR(VLOOKUP($B122,'24.08_ND'!$1:$1048529,3,0),IFERROR(VLOOKUP($B122,'03-CP'!$C$1:$H$1062,3,0),""))</f>
        <v>M2</v>
      </c>
      <c r="F122" s="2230">
        <v>24.87</v>
      </c>
      <c r="G122" s="2232">
        <v>346.16</v>
      </c>
      <c r="H122" s="2332">
        <f>TRUNC((G122*F122),2)</f>
        <v>8608.99</v>
      </c>
      <c r="I122" s="2328">
        <f>J122+K122</f>
        <v>0</v>
      </c>
      <c r="J122" s="2231"/>
      <c r="K122" s="2412"/>
      <c r="L122" s="2533">
        <f>M122+N122</f>
        <v>0</v>
      </c>
      <c r="M122" s="2238">
        <v>0</v>
      </c>
      <c r="N122" s="2239">
        <f>TRUNC(H122*K122,2)</f>
        <v>0</v>
      </c>
      <c r="O122" s="2498">
        <f>H122-L122</f>
        <v>8608.99</v>
      </c>
      <c r="P122" s="2295">
        <f t="shared" si="42"/>
        <v>1</v>
      </c>
    </row>
    <row r="123" spans="1:16">
      <c r="A123" s="2264" t="s">
        <v>12787</v>
      </c>
      <c r="B123" s="2223"/>
      <c r="C123" s="2223"/>
      <c r="D123" s="2376" t="s">
        <v>16220</v>
      </c>
      <c r="E123" s="2224"/>
      <c r="F123" s="2240"/>
      <c r="G123" s="2226"/>
      <c r="H123" s="2301">
        <f>SUBTOTAL(9,H124:H127)</f>
        <v>4972.4399999999996</v>
      </c>
      <c r="I123" s="2284"/>
      <c r="J123" s="2227"/>
      <c r="K123" s="2410"/>
      <c r="L123" s="2534">
        <f>SUM(L124:L127)</f>
        <v>0</v>
      </c>
      <c r="M123" s="2301">
        <f>SUBTOTAL(9,M124:M127)</f>
        <v>0</v>
      </c>
      <c r="N123" s="2534">
        <f>SUM(N124:N127)</f>
        <v>0</v>
      </c>
      <c r="O123" s="2534">
        <f>SUM(O124:O127)</f>
        <v>4972.4399999999996</v>
      </c>
      <c r="P123" s="2293">
        <f t="shared" si="42"/>
        <v>1</v>
      </c>
    </row>
    <row r="124" spans="1:16" ht="45">
      <c r="A124" s="2265" t="s">
        <v>12788</v>
      </c>
      <c r="B124" s="2234">
        <f>VLOOKUP($A124,'11 - QT_ WB'!$A:$F,2,0)</f>
        <v>102043</v>
      </c>
      <c r="C124" s="2234" t="str">
        <f>VLOOKUP($A124,'11 - QT_ WB'!$A:$F,3,0)</f>
        <v>SINAPI</v>
      </c>
      <c r="D124" s="2333" t="s">
        <v>7363</v>
      </c>
      <c r="E124" s="2242" t="str">
        <f>IFERROR(VLOOKUP($B124,'24.08_ND'!$1:$1048529,3,0),IFERROR(VLOOKUP($B124,'03-CP'!$C$1:$H$403,3,0),""))</f>
        <v>M2</v>
      </c>
      <c r="F124" s="2230">
        <v>9.25</v>
      </c>
      <c r="G124" s="2238">
        <v>326.07</v>
      </c>
      <c r="H124" s="2332">
        <f>TRUNC((G124*F124),2)</f>
        <v>3016.14</v>
      </c>
      <c r="I124" s="2328">
        <f>J124+K124</f>
        <v>0</v>
      </c>
      <c r="J124" s="2237"/>
      <c r="K124" s="2411"/>
      <c r="L124" s="2533">
        <f>M124+N124</f>
        <v>0</v>
      </c>
      <c r="M124" s="2238">
        <v>0</v>
      </c>
      <c r="N124" s="2239">
        <f>TRUNC(H124*K124,2)</f>
        <v>0</v>
      </c>
      <c r="O124" s="2498">
        <f>H124-L124</f>
        <v>3016.14</v>
      </c>
      <c r="P124" s="2295">
        <f t="shared" si="42"/>
        <v>1</v>
      </c>
    </row>
    <row r="125" spans="1:16" ht="30">
      <c r="A125" s="2265" t="s">
        <v>12789</v>
      </c>
      <c r="B125" s="2234">
        <f>VLOOKUP($A125,'11 - QT_ WB'!$A:$F,2,0)</f>
        <v>95944</v>
      </c>
      <c r="C125" s="2234" t="str">
        <f>VLOOKUP($A125,'11 - QT_ WB'!$A:$F,3,0)</f>
        <v>SINAPI</v>
      </c>
      <c r="D125" s="2333" t="s">
        <v>7488</v>
      </c>
      <c r="E125" s="2242" t="str">
        <f>IFERROR(VLOOKUP($B125,'24.08_ND'!$1:$1048529,3,0),IFERROR(VLOOKUP($B125,'03-CP'!$C$1:$H$403,3,0),""))</f>
        <v>KG</v>
      </c>
      <c r="F125" s="2230">
        <v>15.9</v>
      </c>
      <c r="G125" s="2238">
        <v>23.56</v>
      </c>
      <c r="H125" s="2332">
        <f>TRUNC((G125*F125),2)</f>
        <v>374.6</v>
      </c>
      <c r="I125" s="2328">
        <f>J125+K125</f>
        <v>0</v>
      </c>
      <c r="J125" s="2237"/>
      <c r="K125" s="2411"/>
      <c r="L125" s="2533">
        <f>M125+N125</f>
        <v>0</v>
      </c>
      <c r="M125" s="2238">
        <v>0</v>
      </c>
      <c r="N125" s="2239">
        <f>TRUNC(H125*K125,2)</f>
        <v>0</v>
      </c>
      <c r="O125" s="2498">
        <f>H125-L125</f>
        <v>374.6</v>
      </c>
      <c r="P125" s="2295">
        <f t="shared" si="42"/>
        <v>1</v>
      </c>
    </row>
    <row r="126" spans="1:16" ht="30">
      <c r="A126" s="2265" t="s">
        <v>12790</v>
      </c>
      <c r="B126" s="2234">
        <f>VLOOKUP($A126,'11 - QT_ WB'!$A:$F,2,0)</f>
        <v>95945</v>
      </c>
      <c r="C126" s="2234" t="str">
        <f>VLOOKUP($A126,'11 - QT_ WB'!$A:$F,3,0)</f>
        <v>SINAPI</v>
      </c>
      <c r="D126" s="2333" t="s">
        <v>7489</v>
      </c>
      <c r="E126" s="2242" t="str">
        <f>IFERROR(VLOOKUP($B126,'24.08_ND'!$1:$1048529,3,0),IFERROR(VLOOKUP($B126,'03-CP'!$C$1:$H$403,3,0),""))</f>
        <v>KG</v>
      </c>
      <c r="F126" s="2230">
        <v>23.6</v>
      </c>
      <c r="G126" s="2238">
        <v>19.559999999999999</v>
      </c>
      <c r="H126" s="2332">
        <f>TRUNC((G126*F126),2)</f>
        <v>461.61</v>
      </c>
      <c r="I126" s="2328">
        <f>J126+K126</f>
        <v>0</v>
      </c>
      <c r="J126" s="2237"/>
      <c r="K126" s="2411"/>
      <c r="L126" s="2533">
        <f>M126+N126</f>
        <v>0</v>
      </c>
      <c r="M126" s="2238">
        <v>0</v>
      </c>
      <c r="N126" s="2239">
        <f>TRUNC(H126*K126,2)</f>
        <v>0</v>
      </c>
      <c r="O126" s="2498">
        <f>H126-L126</f>
        <v>461.61</v>
      </c>
      <c r="P126" s="2295">
        <f t="shared" si="42"/>
        <v>1</v>
      </c>
    </row>
    <row r="127" spans="1:16" ht="45">
      <c r="A127" s="2265" t="s">
        <v>12791</v>
      </c>
      <c r="B127" s="2228" t="str">
        <f>VLOOKUP($A127,'11 - QT_ WB'!$A:$F,2,0)</f>
        <v>PS-CP-EST-14</v>
      </c>
      <c r="C127" s="2228" t="str">
        <f>VLOOKUP($A127,'11 - QT_ WB'!$A:$F,3,0)</f>
        <v>PRÓPRIA</v>
      </c>
      <c r="D127" s="2333" t="s">
        <v>15964</v>
      </c>
      <c r="E127" s="2243" t="str">
        <f>IFERROR(VLOOKUP($B127,'24.08_ND'!$1:$1048529,3,0),IFERROR(VLOOKUP($B127,'03-CP'!$C$1:$H$403,3,0),""))</f>
        <v>M3</v>
      </c>
      <c r="F127" s="2230">
        <v>1.1000000000000001</v>
      </c>
      <c r="G127" s="2232">
        <v>1018.27</v>
      </c>
      <c r="H127" s="2332">
        <f>TRUNC((G127*F127),2)</f>
        <v>1120.0899999999999</v>
      </c>
      <c r="I127" s="2328">
        <f>J127+K127</f>
        <v>0</v>
      </c>
      <c r="J127" s="2231"/>
      <c r="K127" s="2412"/>
      <c r="L127" s="2533">
        <f>M127+N127</f>
        <v>0</v>
      </c>
      <c r="M127" s="2238">
        <v>0</v>
      </c>
      <c r="N127" s="2239">
        <f>TRUNC(H127*K127,2)</f>
        <v>0</v>
      </c>
      <c r="O127" s="2498">
        <f>H127-L127</f>
        <v>1120.0899999999999</v>
      </c>
      <c r="P127" s="2295">
        <f t="shared" si="42"/>
        <v>1</v>
      </c>
    </row>
    <row r="128" spans="1:16">
      <c r="A128" s="2264" t="s">
        <v>12792</v>
      </c>
      <c r="B128" s="2223"/>
      <c r="C128" s="2223"/>
      <c r="D128" s="2376" t="s">
        <v>16221</v>
      </c>
      <c r="E128" s="2224"/>
      <c r="F128" s="2240"/>
      <c r="G128" s="2226"/>
      <c r="H128" s="2301">
        <f>SUBTOTAL(9,H129:H132)</f>
        <v>3979.2699999999995</v>
      </c>
      <c r="I128" s="2284"/>
      <c r="J128" s="2227"/>
      <c r="K128" s="2410"/>
      <c r="L128" s="2534">
        <f>SUM(L129:L132)</f>
        <v>0</v>
      </c>
      <c r="M128" s="2301">
        <f>SUBTOTAL(9,M129:M132)</f>
        <v>0</v>
      </c>
      <c r="N128" s="2534">
        <f>SUM(N129:N132)</f>
        <v>0</v>
      </c>
      <c r="O128" s="2534">
        <f>SUM(O129:O132)</f>
        <v>3979.2699999999995</v>
      </c>
      <c r="P128" s="2293"/>
    </row>
    <row r="129" spans="1:16" ht="45">
      <c r="A129" s="2265" t="s">
        <v>12793</v>
      </c>
      <c r="B129" s="2234">
        <f>VLOOKUP($A129,'11 - QT_ WB'!$A:$F,2,0)</f>
        <v>92431</v>
      </c>
      <c r="C129" s="2234" t="str">
        <f>VLOOKUP($A129,'11 - QT_ WB'!$A:$F,3,0)</f>
        <v>SINAPI</v>
      </c>
      <c r="D129" s="2333" t="s">
        <v>7221</v>
      </c>
      <c r="E129" s="2242" t="str">
        <f>IFERROR(VLOOKUP($B129,'24.08_ND'!$1:$1048529,3,0),IFERROR(VLOOKUP($B129,'03-CP'!$C$1:$H$403,3,0),""))</f>
        <v>M2</v>
      </c>
      <c r="F129" s="2230">
        <v>17.760000000000002</v>
      </c>
      <c r="G129" s="2238">
        <v>83.57</v>
      </c>
      <c r="H129" s="2332">
        <f>TRUNC((G129*F129),2)</f>
        <v>1484.2</v>
      </c>
      <c r="I129" s="2328">
        <f>J129+K129</f>
        <v>0</v>
      </c>
      <c r="J129" s="2237"/>
      <c r="K129" s="2411"/>
      <c r="L129" s="2533">
        <f>M129+N129</f>
        <v>0</v>
      </c>
      <c r="M129" s="2238">
        <v>0</v>
      </c>
      <c r="N129" s="2239">
        <f>TRUNC(H129*K129,2)</f>
        <v>0</v>
      </c>
      <c r="O129" s="2498">
        <f>H129-L129</f>
        <v>1484.2</v>
      </c>
      <c r="P129" s="2295">
        <f>O129/H129</f>
        <v>1</v>
      </c>
    </row>
    <row r="130" spans="1:16" ht="30">
      <c r="A130" s="2265" t="s">
        <v>12794</v>
      </c>
      <c r="B130" s="2234">
        <f>VLOOKUP($A130,'11 - QT_ WB'!$A:$F,2,0)</f>
        <v>92759</v>
      </c>
      <c r="C130" s="2234" t="str">
        <f>VLOOKUP($A130,'11 - QT_ WB'!$A:$F,3,0)</f>
        <v>SINAPI</v>
      </c>
      <c r="D130" s="2333" t="s">
        <v>7428</v>
      </c>
      <c r="E130" s="2242" t="str">
        <f>IFERROR(VLOOKUP($B130,'24.08_ND'!$1:$1048529,3,0),IFERROR(VLOOKUP($B130,'03-CP'!$C$1:$H$403,3,0),""))</f>
        <v>KG</v>
      </c>
      <c r="F130" s="2230">
        <v>27.3</v>
      </c>
      <c r="G130" s="2238">
        <v>17.100000000000001</v>
      </c>
      <c r="H130" s="2332">
        <f>TRUNC((G130*F130),2)</f>
        <v>466.83</v>
      </c>
      <c r="I130" s="2328">
        <f>J130+K130</f>
        <v>0</v>
      </c>
      <c r="J130" s="2237"/>
      <c r="K130" s="2411"/>
      <c r="L130" s="2533">
        <f>M130+N130</f>
        <v>0</v>
      </c>
      <c r="M130" s="2238">
        <v>0</v>
      </c>
      <c r="N130" s="2239">
        <f>TRUNC(H130*K130,2)</f>
        <v>0</v>
      </c>
      <c r="O130" s="2498">
        <f>H130-L130</f>
        <v>466.83</v>
      </c>
      <c r="P130" s="2295">
        <f>O130/H130</f>
        <v>1</v>
      </c>
    </row>
    <row r="131" spans="1:16" ht="30">
      <c r="A131" s="2265" t="s">
        <v>12795</v>
      </c>
      <c r="B131" s="2234">
        <f>VLOOKUP($A131,'11 - QT_ WB'!$A:$F,2,0)</f>
        <v>92762</v>
      </c>
      <c r="C131" s="2234" t="str">
        <f>VLOOKUP($A131,'11 - QT_ WB'!$A:$F,3,0)</f>
        <v>SINAPI</v>
      </c>
      <c r="D131" s="2333" t="s">
        <v>7431</v>
      </c>
      <c r="E131" s="2242" t="str">
        <f>IFERROR(VLOOKUP($B131,'24.08_ND'!$1:$1048529,3,0),IFERROR(VLOOKUP($B131,'03-CP'!$C$1:$H$403,3,0),""))</f>
        <v>KG</v>
      </c>
      <c r="F131" s="2230">
        <v>66.400000000000006</v>
      </c>
      <c r="G131" s="2238">
        <v>14.11</v>
      </c>
      <c r="H131" s="2332">
        <f>TRUNC((G131*F131),2)</f>
        <v>936.9</v>
      </c>
      <c r="I131" s="2328">
        <f>J131+K131</f>
        <v>0</v>
      </c>
      <c r="J131" s="2237"/>
      <c r="K131" s="2411"/>
      <c r="L131" s="2533">
        <f>M131+N131</f>
        <v>0</v>
      </c>
      <c r="M131" s="2238">
        <v>0</v>
      </c>
      <c r="N131" s="2239">
        <f>TRUNC(H131*K131,2)</f>
        <v>0</v>
      </c>
      <c r="O131" s="2498">
        <f>H131-L131</f>
        <v>936.9</v>
      </c>
      <c r="P131" s="2295">
        <f>O131/H131</f>
        <v>1</v>
      </c>
    </row>
    <row r="132" spans="1:16" ht="30">
      <c r="A132" s="2265" t="s">
        <v>12796</v>
      </c>
      <c r="B132" s="2228" t="str">
        <f>VLOOKUP($A132,'11 - QT_ WB'!$A:$F,2,0)</f>
        <v>PS-CP-EST-13</v>
      </c>
      <c r="C132" s="2228" t="str">
        <f>VLOOKUP($A132,'11 - QT_ WB'!$A:$F,3,0)</f>
        <v>PRÓPRIA</v>
      </c>
      <c r="D132" s="2333" t="s">
        <v>14621</v>
      </c>
      <c r="E132" s="2243" t="str">
        <f>IFERROR(VLOOKUP($B132,'24.08_ND'!$1:$1048529,3,0),IFERROR(VLOOKUP($B132,'03-CP'!$C$1:$H$403,3,0),""))</f>
        <v>M3</v>
      </c>
      <c r="F132" s="2230">
        <v>0.94</v>
      </c>
      <c r="G132" s="2232">
        <v>1161</v>
      </c>
      <c r="H132" s="2332">
        <f>TRUNC((G132*F132),2)</f>
        <v>1091.3399999999999</v>
      </c>
      <c r="I132" s="2328">
        <f>J132+K132</f>
        <v>0</v>
      </c>
      <c r="J132" s="2231"/>
      <c r="K132" s="2412"/>
      <c r="L132" s="2533">
        <f>M132+N132</f>
        <v>0</v>
      </c>
      <c r="M132" s="2238">
        <v>0</v>
      </c>
      <c r="N132" s="2239">
        <f>TRUNC(H132*K132,2)</f>
        <v>0</v>
      </c>
      <c r="O132" s="2498">
        <f>H132-L132</f>
        <v>1091.3399999999999</v>
      </c>
      <c r="P132" s="2295">
        <f>O132/H132</f>
        <v>1</v>
      </c>
    </row>
    <row r="133" spans="1:16">
      <c r="A133" s="2264" t="s">
        <v>12797</v>
      </c>
      <c r="B133" s="2223"/>
      <c r="C133" s="2223"/>
      <c r="D133" s="2376" t="s">
        <v>16222</v>
      </c>
      <c r="E133" s="2224"/>
      <c r="F133" s="2240"/>
      <c r="G133" s="2226"/>
      <c r="H133" s="2301">
        <f>SUBTOTAL(9,H134:H137)</f>
        <v>11599.890000000001</v>
      </c>
      <c r="I133" s="2284"/>
      <c r="J133" s="2227"/>
      <c r="K133" s="2410"/>
      <c r="L133" s="2534">
        <f>SUM(L134:L137)</f>
        <v>0</v>
      </c>
      <c r="M133" s="2301">
        <f>SUBTOTAL(9,M134:M137)</f>
        <v>0</v>
      </c>
      <c r="N133" s="2534">
        <f>SUM(N134:N137)</f>
        <v>0</v>
      </c>
      <c r="O133" s="2534">
        <f>SUM(O134:O137)</f>
        <v>11599.890000000001</v>
      </c>
      <c r="P133" s="2293"/>
    </row>
    <row r="134" spans="1:16" ht="45">
      <c r="A134" s="2265" t="s">
        <v>12798</v>
      </c>
      <c r="B134" s="2234">
        <f>VLOOKUP($A134,'11 - QT_ WB'!$A:$F,2,0)</f>
        <v>92468</v>
      </c>
      <c r="C134" s="2234" t="str">
        <f>VLOOKUP($A134,'11 - QT_ WB'!$A:$F,3,0)</f>
        <v>SINAPI</v>
      </c>
      <c r="D134" s="2333" t="s">
        <v>7251</v>
      </c>
      <c r="E134" s="2242" t="str">
        <f>IFERROR(VLOOKUP($B134,'24.08_ND'!$1:$1048529,3,0),IFERROR(VLOOKUP($B134,'03-CP'!$C$1:$H$403,3,0),""))</f>
        <v>M2</v>
      </c>
      <c r="F134" s="2230">
        <v>41.69</v>
      </c>
      <c r="G134" s="2238">
        <v>158.82</v>
      </c>
      <c r="H134" s="2332">
        <f>TRUNC((G134*F134),2)</f>
        <v>6621.2</v>
      </c>
      <c r="I134" s="2328">
        <f>J134+K134</f>
        <v>0</v>
      </c>
      <c r="J134" s="2237"/>
      <c r="K134" s="2411"/>
      <c r="L134" s="2533"/>
      <c r="M134" s="2238"/>
      <c r="N134" s="2239"/>
      <c r="O134" s="2498">
        <f>H134-L134</f>
        <v>6621.2</v>
      </c>
      <c r="P134" s="2295">
        <f>O134/H134</f>
        <v>1</v>
      </c>
    </row>
    <row r="135" spans="1:16" ht="30">
      <c r="A135" s="2265" t="s">
        <v>12799</v>
      </c>
      <c r="B135" s="2234">
        <f>VLOOKUP($A135,'11 - QT_ WB'!$A:$F,2,0)</f>
        <v>92759</v>
      </c>
      <c r="C135" s="2234" t="str">
        <f>VLOOKUP($A135,'11 - QT_ WB'!$A:$F,3,0)</f>
        <v>SINAPI</v>
      </c>
      <c r="D135" s="2333" t="s">
        <v>7428</v>
      </c>
      <c r="E135" s="2242" t="str">
        <f>IFERROR(VLOOKUP($B135,'24.08_ND'!$1:$1048529,3,0),IFERROR(VLOOKUP($B135,'03-CP'!$C$1:$H$403,3,0),""))</f>
        <v>KG</v>
      </c>
      <c r="F135" s="2230">
        <v>94.6</v>
      </c>
      <c r="G135" s="2238">
        <v>17.100000000000001</v>
      </c>
      <c r="H135" s="2332">
        <f>TRUNC((G135*F135),2)</f>
        <v>1617.66</v>
      </c>
      <c r="I135" s="2328">
        <f>J135+K135</f>
        <v>0</v>
      </c>
      <c r="J135" s="2237"/>
      <c r="K135" s="2411"/>
      <c r="L135" s="2533"/>
      <c r="M135" s="2238"/>
      <c r="N135" s="2239"/>
      <c r="O135" s="2498">
        <f>H135-L135</f>
        <v>1617.66</v>
      </c>
      <c r="P135" s="2295">
        <f>O135/H135</f>
        <v>1</v>
      </c>
    </row>
    <row r="136" spans="1:16" ht="30">
      <c r="A136" s="2265" t="s">
        <v>12800</v>
      </c>
      <c r="B136" s="2234">
        <f>VLOOKUP($A136,'11 - QT_ WB'!$A:$F,2,0)</f>
        <v>92761</v>
      </c>
      <c r="C136" s="2234" t="str">
        <f>VLOOKUP($A136,'11 - QT_ WB'!$A:$F,3,0)</f>
        <v>SINAPI</v>
      </c>
      <c r="D136" s="2333" t="s">
        <v>7430</v>
      </c>
      <c r="E136" s="2242" t="str">
        <f>IFERROR(VLOOKUP($B136,'24.08_ND'!$1:$1048529,3,0),IFERROR(VLOOKUP($B136,'03-CP'!$C$1:$H$403,3,0),""))</f>
        <v>KG</v>
      </c>
      <c r="F136" s="2230">
        <v>52</v>
      </c>
      <c r="G136" s="2238">
        <v>15.68</v>
      </c>
      <c r="H136" s="2332">
        <f>TRUNC((G136*F136),2)</f>
        <v>815.36</v>
      </c>
      <c r="I136" s="2328">
        <f>J136+K136</f>
        <v>0</v>
      </c>
      <c r="J136" s="2237"/>
      <c r="K136" s="2411"/>
      <c r="L136" s="2533"/>
      <c r="M136" s="2238"/>
      <c r="N136" s="2239"/>
      <c r="O136" s="2498">
        <f>H136-L136</f>
        <v>815.36</v>
      </c>
      <c r="P136" s="2295">
        <f>O136/H136</f>
        <v>1</v>
      </c>
    </row>
    <row r="137" spans="1:16" ht="45">
      <c r="A137" s="2265" t="s">
        <v>12801</v>
      </c>
      <c r="B137" s="2228" t="str">
        <f>VLOOKUP($A137,'11 - QT_ WB'!$A:$F,2,0)</f>
        <v>PS-CP-EST-14</v>
      </c>
      <c r="C137" s="2228" t="str">
        <f>VLOOKUP($A137,'11 - QT_ WB'!$A:$F,3,0)</f>
        <v>PRÓPRIA</v>
      </c>
      <c r="D137" s="2333" t="s">
        <v>15964</v>
      </c>
      <c r="E137" s="2243" t="str">
        <f>IFERROR(VLOOKUP($B137,'24.08_ND'!$1:$1048529,3,0),IFERROR(VLOOKUP($B137,'03-CP'!$C$1:$H$403,3,0),""))</f>
        <v>M3</v>
      </c>
      <c r="F137" s="2230">
        <v>2.5</v>
      </c>
      <c r="G137" s="2232">
        <v>1018.27</v>
      </c>
      <c r="H137" s="2332">
        <f>TRUNC((G137*F137),2)</f>
        <v>2545.67</v>
      </c>
      <c r="I137" s="2328">
        <f>J137+K137</f>
        <v>0</v>
      </c>
      <c r="J137" s="2231"/>
      <c r="K137" s="2412"/>
      <c r="L137" s="2533">
        <f>M137+N137</f>
        <v>0</v>
      </c>
      <c r="M137" s="2238">
        <v>0</v>
      </c>
      <c r="N137" s="2239">
        <f>TRUNC(H137*K137,2)</f>
        <v>0</v>
      </c>
      <c r="O137" s="2498">
        <f>H137-L137</f>
        <v>2545.67</v>
      </c>
      <c r="P137" s="2295">
        <f>O137/H137</f>
        <v>1</v>
      </c>
    </row>
    <row r="138" spans="1:16">
      <c r="A138" s="2264" t="s">
        <v>12802</v>
      </c>
      <c r="B138" s="2223"/>
      <c r="C138" s="2223"/>
      <c r="D138" s="2376" t="s">
        <v>16223</v>
      </c>
      <c r="E138" s="2224"/>
      <c r="F138" s="2240"/>
      <c r="G138" s="2226"/>
      <c r="H138" s="2301">
        <f>SUBTOTAL(9,H139:H147)</f>
        <v>2584.91</v>
      </c>
      <c r="I138" s="2284"/>
      <c r="J138" s="2227"/>
      <c r="K138" s="2410"/>
      <c r="L138" s="2534">
        <f>SUM(L139:L147)</f>
        <v>0</v>
      </c>
      <c r="M138" s="2301">
        <f>SUBTOTAL(9,M139:M147)</f>
        <v>0</v>
      </c>
      <c r="N138" s="2534">
        <f>SUM(N139:N147)</f>
        <v>0</v>
      </c>
      <c r="O138" s="2534">
        <f>SUM(O139:O147)</f>
        <v>2584.91</v>
      </c>
      <c r="P138" s="2293">
        <f>O138/H138</f>
        <v>1</v>
      </c>
    </row>
    <row r="139" spans="1:16" ht="30">
      <c r="A139" s="2265" t="s">
        <v>12803</v>
      </c>
      <c r="B139" s="2234">
        <f>VLOOKUP($A139,'11 - QT_ WB'!$A:$F,2,0)</f>
        <v>96527</v>
      </c>
      <c r="C139" s="2234" t="str">
        <f>VLOOKUP($A139,'11 - QT_ WB'!$A:$F,3,0)</f>
        <v>SINAPI</v>
      </c>
      <c r="D139" s="2333" t="s">
        <v>10512</v>
      </c>
      <c r="E139" s="2242" t="str">
        <f>IFERROR(VLOOKUP($B139,'24.08_ND'!$1:$1048529,3,0),IFERROR(VLOOKUP($B139,'03-CP'!$C$1:$H$403,3,0),""))</f>
        <v>M3</v>
      </c>
      <c r="F139" s="2230">
        <v>1.2</v>
      </c>
      <c r="G139" s="2238">
        <v>110.61</v>
      </c>
      <c r="H139" s="2332">
        <f t="shared" ref="H139:H147" si="43">TRUNC((G139*F139),2)</f>
        <v>132.72999999999999</v>
      </c>
      <c r="I139" s="2286"/>
      <c r="J139" s="2237"/>
      <c r="K139" s="2411"/>
      <c r="L139" s="2533"/>
      <c r="M139" s="2238"/>
      <c r="N139" s="2239"/>
      <c r="O139" s="2498">
        <f t="shared" ref="O139:O147" si="44">H139-L139</f>
        <v>132.72999999999999</v>
      </c>
      <c r="P139" s="2295">
        <f t="shared" ref="P139:P147" si="45">O139/H139</f>
        <v>1</v>
      </c>
    </row>
    <row r="140" spans="1:16">
      <c r="A140" s="2265" t="s">
        <v>12804</v>
      </c>
      <c r="B140" s="2234">
        <f>VLOOKUP($A140,'11 - QT_ WB'!$A:$F,2,0)</f>
        <v>96616</v>
      </c>
      <c r="C140" s="2234" t="str">
        <f>VLOOKUP($A140,'11 - QT_ WB'!$A:$F,3,0)</f>
        <v>SINAPI</v>
      </c>
      <c r="D140" s="2383" t="s">
        <v>7163</v>
      </c>
      <c r="E140" s="2242" t="str">
        <f>IFERROR(VLOOKUP($B140,'24.08_ND'!$1:$1048529,3,0),IFERROR(VLOOKUP($B140,'03-CP'!$C$1:$H$403,3,0),""))</f>
        <v>M3</v>
      </c>
      <c r="F140" s="2230">
        <v>0.09</v>
      </c>
      <c r="G140" s="2238">
        <v>955.26</v>
      </c>
      <c r="H140" s="2332">
        <f t="shared" si="43"/>
        <v>85.97</v>
      </c>
      <c r="I140" s="2286"/>
      <c r="J140" s="2237"/>
      <c r="K140" s="2411"/>
      <c r="L140" s="2533"/>
      <c r="M140" s="2238"/>
      <c r="N140" s="2239"/>
      <c r="O140" s="2498">
        <f t="shared" si="44"/>
        <v>85.97</v>
      </c>
      <c r="P140" s="2295">
        <f t="shared" si="45"/>
        <v>1</v>
      </c>
    </row>
    <row r="141" spans="1:16" ht="30">
      <c r="A141" s="2265" t="s">
        <v>12805</v>
      </c>
      <c r="B141" s="2234">
        <f>VLOOKUP($A141,'11 - QT_ WB'!$A:$F,2,0)</f>
        <v>96536</v>
      </c>
      <c r="C141" s="2234" t="str">
        <f>VLOOKUP($A141,'11 - QT_ WB'!$A:$F,3,0)</f>
        <v>SINAPI</v>
      </c>
      <c r="D141" s="2333" t="s">
        <v>7302</v>
      </c>
      <c r="E141" s="2242" t="str">
        <f>IFERROR(VLOOKUP($B141,'24.08_ND'!$1:$1048529,3,0),IFERROR(VLOOKUP($B141,'03-CP'!$C$1:$H$403,3,0),""))</f>
        <v>M2</v>
      </c>
      <c r="F141" s="2230">
        <v>5.15</v>
      </c>
      <c r="G141" s="2238">
        <v>81.7</v>
      </c>
      <c r="H141" s="2332">
        <f t="shared" si="43"/>
        <v>420.75</v>
      </c>
      <c r="I141" s="2286"/>
      <c r="J141" s="2237"/>
      <c r="K141" s="2411"/>
      <c r="L141" s="2533"/>
      <c r="M141" s="2238"/>
      <c r="N141" s="2239"/>
      <c r="O141" s="2498">
        <f t="shared" si="44"/>
        <v>420.75</v>
      </c>
      <c r="P141" s="2295">
        <f t="shared" si="45"/>
        <v>1</v>
      </c>
    </row>
    <row r="142" spans="1:16" ht="30">
      <c r="A142" s="2265" t="s">
        <v>12806</v>
      </c>
      <c r="B142" s="2234">
        <f>VLOOKUP($A142,'11 - QT_ WB'!$A:$F,2,0)</f>
        <v>104916</v>
      </c>
      <c r="C142" s="2234" t="str">
        <f>VLOOKUP($A142,'11 - QT_ WB'!$A:$F,3,0)</f>
        <v>SINAPI</v>
      </c>
      <c r="D142" s="2333" t="s">
        <v>7596</v>
      </c>
      <c r="E142" s="2242" t="str">
        <f>IFERROR(VLOOKUP($B142,'24.08_ND'!$1:$1048529,3,0),IFERROR(VLOOKUP($B142,'03-CP'!$C$1:$H$403,3,0),""))</f>
        <v>KG</v>
      </c>
      <c r="F142" s="2230">
        <v>15</v>
      </c>
      <c r="G142" s="2238">
        <v>19.850000000000001</v>
      </c>
      <c r="H142" s="2332">
        <f t="shared" si="43"/>
        <v>297.75</v>
      </c>
      <c r="I142" s="2286"/>
      <c r="J142" s="2237"/>
      <c r="K142" s="2411"/>
      <c r="L142" s="2533"/>
      <c r="M142" s="2238"/>
      <c r="N142" s="2239"/>
      <c r="O142" s="2498">
        <f t="shared" si="44"/>
        <v>297.75</v>
      </c>
      <c r="P142" s="2295">
        <f t="shared" si="45"/>
        <v>1</v>
      </c>
    </row>
    <row r="143" spans="1:16" ht="30">
      <c r="A143" s="2265" t="s">
        <v>12807</v>
      </c>
      <c r="B143" s="2234">
        <f>VLOOKUP($A143,'11 - QT_ WB'!$A:$F,2,0)</f>
        <v>104918</v>
      </c>
      <c r="C143" s="2234" t="str">
        <f>VLOOKUP($A143,'11 - QT_ WB'!$A:$F,3,0)</f>
        <v>SINAPI</v>
      </c>
      <c r="D143" s="2333" t="s">
        <v>7515</v>
      </c>
      <c r="E143" s="2242" t="str">
        <f>IFERROR(VLOOKUP($B143,'24.08_ND'!$1:$1048529,3,0),IFERROR(VLOOKUP($B143,'03-CP'!$C$1:$H$403,3,0),""))</f>
        <v>KG</v>
      </c>
      <c r="F143" s="2230">
        <v>31.6</v>
      </c>
      <c r="G143" s="2238">
        <v>17.68</v>
      </c>
      <c r="H143" s="2332">
        <f t="shared" si="43"/>
        <v>558.67999999999995</v>
      </c>
      <c r="I143" s="2286"/>
      <c r="J143" s="2237"/>
      <c r="K143" s="2411"/>
      <c r="L143" s="2533"/>
      <c r="M143" s="2238"/>
      <c r="N143" s="2239"/>
      <c r="O143" s="2498">
        <f t="shared" si="44"/>
        <v>558.67999999999995</v>
      </c>
      <c r="P143" s="2295">
        <f t="shared" si="45"/>
        <v>1</v>
      </c>
    </row>
    <row r="144" spans="1:16" ht="30">
      <c r="A144" s="2265" t="s">
        <v>12808</v>
      </c>
      <c r="B144" s="2234">
        <f>VLOOKUP($A144,'11 - QT_ WB'!$A:$F,2,0)</f>
        <v>96558</v>
      </c>
      <c r="C144" s="2234" t="str">
        <f>VLOOKUP($A144,'11 - QT_ WB'!$A:$F,3,0)</f>
        <v>SINAPI</v>
      </c>
      <c r="D144" s="2333" t="s">
        <v>7548</v>
      </c>
      <c r="E144" s="2242" t="str">
        <f>IFERROR(VLOOKUP($B144,'24.08_ND'!$1:$1048529,3,0),IFERROR(VLOOKUP($B144,'03-CP'!$C$1:$H$403,3,0),""))</f>
        <v>M3</v>
      </c>
      <c r="F144" s="2230">
        <v>0.91</v>
      </c>
      <c r="G144" s="2238">
        <v>1149.76</v>
      </c>
      <c r="H144" s="2332">
        <f t="shared" si="43"/>
        <v>1046.28</v>
      </c>
      <c r="I144" s="2286"/>
      <c r="J144" s="2237"/>
      <c r="K144" s="2411"/>
      <c r="L144" s="2533"/>
      <c r="M144" s="2238"/>
      <c r="N144" s="2239"/>
      <c r="O144" s="2498">
        <f t="shared" si="44"/>
        <v>1046.28</v>
      </c>
      <c r="P144" s="2295">
        <f t="shared" si="45"/>
        <v>1</v>
      </c>
    </row>
    <row r="145" spans="1:16" ht="30">
      <c r="A145" s="2265" t="s">
        <v>12809</v>
      </c>
      <c r="B145" s="2234">
        <f>VLOOKUP($A145,'11 - QT_ WB'!$A:$F,2,0)</f>
        <v>93382</v>
      </c>
      <c r="C145" s="2234" t="str">
        <f>VLOOKUP($A145,'11 - QT_ WB'!$A:$F,3,0)</f>
        <v>SINAPI</v>
      </c>
      <c r="D145" s="2333" t="s">
        <v>10726</v>
      </c>
      <c r="E145" s="2242" t="str">
        <f>IFERROR(VLOOKUP($B145,'24.08_ND'!$1:$1048529,3,0),IFERROR(VLOOKUP($B145,'03-CP'!$C$1:$H$403,3,0),""))</f>
        <v>M3</v>
      </c>
      <c r="F145" s="2230">
        <v>0.31899999999999995</v>
      </c>
      <c r="G145" s="2238">
        <v>26.88</v>
      </c>
      <c r="H145" s="2332">
        <f t="shared" si="43"/>
        <v>8.57</v>
      </c>
      <c r="I145" s="2286"/>
      <c r="J145" s="2237"/>
      <c r="K145" s="2411"/>
      <c r="L145" s="2533"/>
      <c r="M145" s="2238"/>
      <c r="N145" s="2239"/>
      <c r="O145" s="2498">
        <f t="shared" si="44"/>
        <v>8.57</v>
      </c>
      <c r="P145" s="2295">
        <f t="shared" si="45"/>
        <v>1</v>
      </c>
    </row>
    <row r="146" spans="1:16" ht="45">
      <c r="A146" s="2265" t="s">
        <v>12810</v>
      </c>
      <c r="B146" s="2234">
        <f>VLOOKUP($A146,'11 - QT_ WB'!$A:$F,2,0)</f>
        <v>100978</v>
      </c>
      <c r="C146" s="2234" t="str">
        <f>VLOOKUP($A146,'11 - QT_ WB'!$A:$F,3,0)</f>
        <v>SINAPI</v>
      </c>
      <c r="D146" s="2333" t="s">
        <v>11981</v>
      </c>
      <c r="E146" s="2242" t="str">
        <f>IFERROR(VLOOKUP($B146,'24.08_ND'!$1:$1048529,3,0),IFERROR(VLOOKUP($B146,'03-CP'!$C$1:$H$403,3,0),""))</f>
        <v>M3</v>
      </c>
      <c r="F146" s="2230">
        <v>1.361</v>
      </c>
      <c r="G146" s="2238">
        <v>7.88</v>
      </c>
      <c r="H146" s="2332">
        <f t="shared" si="43"/>
        <v>10.72</v>
      </c>
      <c r="I146" s="2286"/>
      <c r="J146" s="2237"/>
      <c r="K146" s="2411"/>
      <c r="L146" s="2533"/>
      <c r="M146" s="2238"/>
      <c r="N146" s="2239"/>
      <c r="O146" s="2498">
        <f t="shared" si="44"/>
        <v>10.72</v>
      </c>
      <c r="P146" s="2295">
        <f t="shared" si="45"/>
        <v>1</v>
      </c>
    </row>
    <row r="147" spans="1:16" ht="30">
      <c r="A147" s="2265" t="s">
        <v>12811</v>
      </c>
      <c r="B147" s="2234">
        <f>VLOOKUP($A147,'11 - QT_ WB'!$A:$F,2,0)</f>
        <v>100938</v>
      </c>
      <c r="C147" s="2234" t="str">
        <f>VLOOKUP($A147,'11 - QT_ WB'!$A:$F,3,0)</f>
        <v>SINAPI</v>
      </c>
      <c r="D147" s="2333" t="s">
        <v>11938</v>
      </c>
      <c r="E147" s="2242" t="str">
        <f>IFERROR(VLOOKUP($B147,'24.08_ND'!$1:$1048529,3,0),IFERROR(VLOOKUP($B147,'03-CP'!$C$1:$H$403,3,0),""))</f>
        <v>M3XKM</v>
      </c>
      <c r="F147" s="2230">
        <v>2.722</v>
      </c>
      <c r="G147" s="2238">
        <v>8.6199999999999992</v>
      </c>
      <c r="H147" s="2332">
        <f t="shared" si="43"/>
        <v>23.46</v>
      </c>
      <c r="I147" s="2286"/>
      <c r="J147" s="2237"/>
      <c r="K147" s="2411"/>
      <c r="L147" s="2533"/>
      <c r="M147" s="2238"/>
      <c r="N147" s="2239"/>
      <c r="O147" s="2498">
        <f t="shared" si="44"/>
        <v>23.46</v>
      </c>
      <c r="P147" s="2295">
        <f t="shared" si="45"/>
        <v>1</v>
      </c>
    </row>
    <row r="148" spans="1:16">
      <c r="A148" s="2264" t="s">
        <v>12812</v>
      </c>
      <c r="B148" s="2223"/>
      <c r="C148" s="2223"/>
      <c r="D148" s="2376" t="s">
        <v>16224</v>
      </c>
      <c r="E148" s="2224"/>
      <c r="F148" s="2240"/>
      <c r="G148" s="2226"/>
      <c r="H148" s="2301">
        <f>SUBTOTAL(9,H149:H152)</f>
        <v>10011.220000000001</v>
      </c>
      <c r="I148" s="2284"/>
      <c r="J148" s="2227"/>
      <c r="K148" s="2410"/>
      <c r="L148" s="2534">
        <f>SUM(L149:L152)</f>
        <v>0</v>
      </c>
      <c r="M148" s="2301">
        <f>SUBTOTAL(9,M149:M152)</f>
        <v>0</v>
      </c>
      <c r="N148" s="2534">
        <f>SUM(N149:N152)</f>
        <v>0</v>
      </c>
      <c r="O148" s="2534">
        <f>SUM(O149:O152)</f>
        <v>10011.220000000001</v>
      </c>
      <c r="P148" s="2293"/>
    </row>
    <row r="149" spans="1:16" ht="45">
      <c r="A149" s="2265" t="s">
        <v>12813</v>
      </c>
      <c r="B149" s="2234">
        <f>VLOOKUP($A149,'11 - QT_ WB'!$A:$F,2,0)</f>
        <v>102043</v>
      </c>
      <c r="C149" s="2234" t="str">
        <f>VLOOKUP($A149,'11 - QT_ WB'!$A:$F,3,0)</f>
        <v>SINAPI</v>
      </c>
      <c r="D149" s="2333" t="s">
        <v>7363</v>
      </c>
      <c r="E149" s="2242" t="str">
        <f>IFERROR(VLOOKUP($B149,'24.08_ND'!$1:$1048529,3,0),IFERROR(VLOOKUP($B149,'03-CP'!$C$1:$H$403,3,0),""))</f>
        <v>M2</v>
      </c>
      <c r="F149" s="2230">
        <v>20.73</v>
      </c>
      <c r="G149" s="2238">
        <v>326.07</v>
      </c>
      <c r="H149" s="2332">
        <f>TRUNC((G149*F149),2)</f>
        <v>6759.43</v>
      </c>
      <c r="I149" s="2286"/>
      <c r="J149" s="2237"/>
      <c r="K149" s="2411"/>
      <c r="L149" s="2533"/>
      <c r="M149" s="2238"/>
      <c r="N149" s="2239"/>
      <c r="O149" s="2498">
        <f>H149-L149</f>
        <v>6759.43</v>
      </c>
      <c r="P149" s="2295">
        <f>O149/H149</f>
        <v>1</v>
      </c>
    </row>
    <row r="150" spans="1:16">
      <c r="A150" s="2265" t="s">
        <v>12814</v>
      </c>
      <c r="B150" s="2234">
        <f>VLOOKUP($A150,'11 - QT_ WB'!$A:$F,2,0)</f>
        <v>95576</v>
      </c>
      <c r="C150" s="2234" t="str">
        <f>VLOOKUP($A150,'11 - QT_ WB'!$A:$F,3,0)</f>
        <v>SINAPI</v>
      </c>
      <c r="D150" s="2333" t="s">
        <v>7476</v>
      </c>
      <c r="E150" s="2242" t="str">
        <f>IFERROR(VLOOKUP($B150,'24.08_ND'!$1:$1048529,3,0),IFERROR(VLOOKUP($B150,'03-CP'!$C$1:$H$403,3,0),""))</f>
        <v>KG</v>
      </c>
      <c r="F150" s="2230">
        <v>66.400000000000006</v>
      </c>
      <c r="G150" s="2238">
        <v>15.86</v>
      </c>
      <c r="H150" s="2332">
        <f>TRUNC((G150*F150),2)</f>
        <v>1053.0999999999999</v>
      </c>
      <c r="I150" s="2286"/>
      <c r="J150" s="2237"/>
      <c r="K150" s="2411"/>
      <c r="L150" s="2533"/>
      <c r="M150" s="2238"/>
      <c r="N150" s="2239"/>
      <c r="O150" s="2498">
        <f>H150-L150</f>
        <v>1053.0999999999999</v>
      </c>
      <c r="P150" s="2295">
        <f>O150/H150</f>
        <v>1</v>
      </c>
    </row>
    <row r="151" spans="1:16" ht="45">
      <c r="A151" s="2265" t="s">
        <v>12815</v>
      </c>
      <c r="B151" s="2228" t="str">
        <f>VLOOKUP($A151,'11 - QT_ WB'!$A:$F,2,0)</f>
        <v>PS-CP-EST-14</v>
      </c>
      <c r="C151" s="2228" t="str">
        <f>VLOOKUP($A151,'11 - QT_ WB'!$A:$F,3,0)</f>
        <v>PRÓPRIA</v>
      </c>
      <c r="D151" s="2333" t="s">
        <v>15964</v>
      </c>
      <c r="E151" s="2243" t="str">
        <f>IFERROR(VLOOKUP($B151,'24.08_ND'!$1:$1048529,3,0),IFERROR(VLOOKUP($B151,'03-CP'!$C$1:$H$403,3,0),""))</f>
        <v>M3</v>
      </c>
      <c r="F151" s="2230">
        <v>2.09</v>
      </c>
      <c r="G151" s="2232">
        <v>1018.27</v>
      </c>
      <c r="H151" s="2332">
        <f>TRUNC((G151*F151),2)</f>
        <v>2128.1799999999998</v>
      </c>
      <c r="I151" s="2287"/>
      <c r="J151" s="2231"/>
      <c r="K151" s="2412"/>
      <c r="L151" s="2536"/>
      <c r="M151" s="2232"/>
      <c r="N151" s="2557"/>
      <c r="O151" s="2498">
        <f>H151-L151</f>
        <v>2128.1799999999998</v>
      </c>
      <c r="P151" s="2295">
        <f>O151/H151</f>
        <v>1</v>
      </c>
    </row>
    <row r="152" spans="1:16" ht="30">
      <c r="A152" s="2265" t="s">
        <v>12816</v>
      </c>
      <c r="B152" s="2234">
        <f>VLOOKUP($A152,'11 - QT_ WB'!$A:$F,2,0)</f>
        <v>91595</v>
      </c>
      <c r="C152" s="2234" t="str">
        <f>VLOOKUP($A152,'11 - QT_ WB'!$A:$F,3,0)</f>
        <v>SINAPI</v>
      </c>
      <c r="D152" s="2333" t="s">
        <v>7419</v>
      </c>
      <c r="E152" s="2242" t="str">
        <f>IFERROR(VLOOKUP($B152,'24.08_ND'!$1:$1048529,3,0),IFERROR(VLOOKUP($B152,'03-CP'!$C$1:$H$403,3,0),""))</f>
        <v>KG</v>
      </c>
      <c r="F152" s="2230">
        <v>4.9760999999999997</v>
      </c>
      <c r="G152" s="2238">
        <v>14.17</v>
      </c>
      <c r="H152" s="2332">
        <f>TRUNC((G152*F152),2)</f>
        <v>70.510000000000005</v>
      </c>
      <c r="I152" s="2286"/>
      <c r="J152" s="2237"/>
      <c r="K152" s="2411"/>
      <c r="L152" s="2533"/>
      <c r="M152" s="2238"/>
      <c r="N152" s="2239"/>
      <c r="O152" s="2498">
        <f>H152-L152</f>
        <v>70.510000000000005</v>
      </c>
      <c r="P152" s="2295">
        <f>O152/H152</f>
        <v>1</v>
      </c>
    </row>
    <row r="153" spans="1:16">
      <c r="A153" s="2264" t="s">
        <v>12817</v>
      </c>
      <c r="B153" s="2223"/>
      <c r="C153" s="2223"/>
      <c r="D153" s="2376" t="s">
        <v>16225</v>
      </c>
      <c r="E153" s="2224"/>
      <c r="F153" s="2240"/>
      <c r="G153" s="2226"/>
      <c r="H153" s="2301">
        <f>SUBTOTAL(9,H154:H157)</f>
        <v>1405.24</v>
      </c>
      <c r="I153" s="2284"/>
      <c r="J153" s="2227"/>
      <c r="K153" s="2410"/>
      <c r="L153" s="2534">
        <f>SUM(L154:L157)</f>
        <v>0</v>
      </c>
      <c r="M153" s="2301">
        <f>SUBTOTAL(9,M154:M157)</f>
        <v>0</v>
      </c>
      <c r="N153" s="2534">
        <f>SUM(N154:N157)</f>
        <v>0</v>
      </c>
      <c r="O153" s="2534">
        <f>SUM(O154:O157)</f>
        <v>1405.24</v>
      </c>
      <c r="P153" s="2293"/>
    </row>
    <row r="154" spans="1:16" ht="30">
      <c r="A154" s="2265" t="s">
        <v>12818</v>
      </c>
      <c r="B154" s="2234">
        <f>VLOOKUP($A154,'11 - QT_ WB'!$A:$F,2,0)</f>
        <v>101173</v>
      </c>
      <c r="C154" s="2234" t="str">
        <f>VLOOKUP($A154,'11 - QT_ WB'!$A:$F,3,0)</f>
        <v>SINAPI</v>
      </c>
      <c r="D154" s="2333" t="s">
        <v>7154</v>
      </c>
      <c r="E154" s="2242" t="str">
        <f>IFERROR(VLOOKUP($B154,'24.08_ND'!$1:$1048529,3,0),IFERROR(VLOOKUP($B154,'03-CP'!$C$1:$H$403,3,0),""))</f>
        <v>M</v>
      </c>
      <c r="F154" s="2230">
        <v>9</v>
      </c>
      <c r="G154" s="2238">
        <v>71.650000000000006</v>
      </c>
      <c r="H154" s="2332">
        <f>TRUNC((G154*F154),2)</f>
        <v>644.85</v>
      </c>
      <c r="I154" s="2286"/>
      <c r="J154" s="2237"/>
      <c r="K154" s="2411"/>
      <c r="L154" s="2533"/>
      <c r="M154" s="2238"/>
      <c r="N154" s="2239"/>
      <c r="O154" s="2498">
        <f>H154-L154</f>
        <v>644.85</v>
      </c>
      <c r="P154" s="2295">
        <f>O154/H154</f>
        <v>1</v>
      </c>
    </row>
    <row r="155" spans="1:16" ht="45">
      <c r="A155" s="2265" t="s">
        <v>12819</v>
      </c>
      <c r="B155" s="2234">
        <f>VLOOKUP($A155,'11 - QT_ WB'!$A:$F,2,0)</f>
        <v>96557</v>
      </c>
      <c r="C155" s="2234" t="str">
        <f>VLOOKUP($A155,'11 - QT_ WB'!$A:$F,3,0)</f>
        <v>SINAPI</v>
      </c>
      <c r="D155" s="2333" t="s">
        <v>7547</v>
      </c>
      <c r="E155" s="2242" t="str">
        <f>IFERROR(VLOOKUP($B155,'24.08_ND'!$1:$1048529,3,0),IFERROR(VLOOKUP($B155,'03-CP'!$C$1:$H$403,3,0),""))</f>
        <v>M3</v>
      </c>
      <c r="F155" s="2230">
        <v>0.28000000000000003</v>
      </c>
      <c r="G155" s="2238">
        <v>1106.98</v>
      </c>
      <c r="H155" s="2332">
        <f>TRUNC((G155*F155),2)</f>
        <v>309.95</v>
      </c>
      <c r="I155" s="2286"/>
      <c r="J155" s="2237"/>
      <c r="K155" s="2411"/>
      <c r="L155" s="2533"/>
      <c r="M155" s="2238"/>
      <c r="N155" s="2239"/>
      <c r="O155" s="2498">
        <f>H155-L155</f>
        <v>309.95</v>
      </c>
      <c r="P155" s="2295">
        <f>O155/H155</f>
        <v>1</v>
      </c>
    </row>
    <row r="156" spans="1:16" ht="30">
      <c r="A156" s="2265" t="s">
        <v>12820</v>
      </c>
      <c r="B156" s="2234">
        <f>VLOOKUP($A156,'11 - QT_ WB'!$A:$F,2,0)</f>
        <v>95583</v>
      </c>
      <c r="C156" s="2234" t="str">
        <f>VLOOKUP($A156,'11 - QT_ WB'!$A:$F,3,0)</f>
        <v>SINAPI</v>
      </c>
      <c r="D156" s="2333" t="s">
        <v>7483</v>
      </c>
      <c r="E156" s="2242" t="str">
        <f>IFERROR(VLOOKUP($B156,'24.08_ND'!$1:$1048529,3,0),IFERROR(VLOOKUP($B156,'03-CP'!$C$1:$H$403,3,0),""))</f>
        <v>KG</v>
      </c>
      <c r="F156" s="2230">
        <v>4.8</v>
      </c>
      <c r="G156" s="2238">
        <v>19.010000000000002</v>
      </c>
      <c r="H156" s="2332">
        <f>TRUNC((G156*F156),2)</f>
        <v>91.24</v>
      </c>
      <c r="I156" s="2286"/>
      <c r="J156" s="2237"/>
      <c r="K156" s="2411"/>
      <c r="L156" s="2533"/>
      <c r="M156" s="2238"/>
      <c r="N156" s="2239"/>
      <c r="O156" s="2498">
        <f>H156-L156</f>
        <v>91.24</v>
      </c>
      <c r="P156" s="2295">
        <f>O156/H156</f>
        <v>1</v>
      </c>
    </row>
    <row r="157" spans="1:16">
      <c r="A157" s="2265" t="s">
        <v>12821</v>
      </c>
      <c r="B157" s="2234">
        <f>VLOOKUP($A157,'11 - QT_ WB'!$A:$F,2,0)</f>
        <v>95577</v>
      </c>
      <c r="C157" s="2234" t="str">
        <f>VLOOKUP($A157,'11 - QT_ WB'!$A:$F,3,0)</f>
        <v>SINAPI</v>
      </c>
      <c r="D157" s="2333" t="s">
        <v>7477</v>
      </c>
      <c r="E157" s="2242" t="str">
        <f>IFERROR(VLOOKUP($B157,'24.08_ND'!$1:$1048529,3,0),IFERROR(VLOOKUP($B157,'03-CP'!$C$1:$H$403,3,0),""))</f>
        <v>KG</v>
      </c>
      <c r="F157" s="2230">
        <v>26.2</v>
      </c>
      <c r="G157" s="2238">
        <v>13.71</v>
      </c>
      <c r="H157" s="2332">
        <f>TRUNC((G157*F157),2)</f>
        <v>359.2</v>
      </c>
      <c r="I157" s="2286"/>
      <c r="J157" s="2237"/>
      <c r="K157" s="2411"/>
      <c r="L157" s="2533"/>
      <c r="M157" s="2238"/>
      <c r="N157" s="2239"/>
      <c r="O157" s="2498">
        <f>H157-L157</f>
        <v>359.2</v>
      </c>
      <c r="P157" s="2295">
        <f>O157/H157</f>
        <v>1</v>
      </c>
    </row>
    <row r="158" spans="1:16">
      <c r="A158" s="2264" t="s">
        <v>12822</v>
      </c>
      <c r="B158" s="2223"/>
      <c r="C158" s="2223"/>
      <c r="D158" s="2376" t="s">
        <v>16226</v>
      </c>
      <c r="E158" s="2224"/>
      <c r="F158" s="2240"/>
      <c r="G158" s="2226"/>
      <c r="H158" s="2301">
        <f>SUBTOTAL(9,H159)</f>
        <v>241211.96</v>
      </c>
      <c r="I158" s="2284"/>
      <c r="J158" s="2227"/>
      <c r="K158" s="2410"/>
      <c r="L158" s="2534">
        <f>SUM(L159)</f>
        <v>0</v>
      </c>
      <c r="M158" s="2301">
        <f>SUBTOTAL(9,M159)</f>
        <v>0</v>
      </c>
      <c r="N158" s="2534">
        <f>SUM(N159)</f>
        <v>0</v>
      </c>
      <c r="O158" s="2534">
        <f>SUM(O159)</f>
        <v>241211.96</v>
      </c>
      <c r="P158" s="2293">
        <f>SUBTOTAL(9,P159)</f>
        <v>1</v>
      </c>
    </row>
    <row r="159" spans="1:16" ht="45">
      <c r="A159" s="2265" t="s">
        <v>12823</v>
      </c>
      <c r="B159" s="2228" t="str">
        <f>VLOOKUP($A159,'11 - QT_ WB'!$A:$F,2,0)</f>
        <v>PS-CP-EST-15</v>
      </c>
      <c r="C159" s="2228" t="str">
        <f>VLOOKUP($A159,'11 - QT_ WB'!$A:$F,3,0)</f>
        <v>PRÓPRIA</v>
      </c>
      <c r="D159" s="2333" t="s">
        <v>14625</v>
      </c>
      <c r="E159" s="2243" t="str">
        <f>IFERROR(VLOOKUP($B159,'24.08_ND'!$1:$1048529,3,0),IFERROR(VLOOKUP($B159,'03-CP'!$C$1:$H$1062,3,0),""))</f>
        <v>KG</v>
      </c>
      <c r="F159" s="2230">
        <v>10042.129999999999</v>
      </c>
      <c r="G159" s="2232">
        <v>24.02</v>
      </c>
      <c r="H159" s="2332">
        <f>TRUNC((G159*F159),2)</f>
        <v>241211.96</v>
      </c>
      <c r="I159" s="2287"/>
      <c r="J159" s="2231"/>
      <c r="K159" s="2412"/>
      <c r="L159" s="2536"/>
      <c r="M159" s="2232"/>
      <c r="N159" s="2557"/>
      <c r="O159" s="2498">
        <f>H159-L159</f>
        <v>241211.96</v>
      </c>
      <c r="P159" s="2295">
        <f>O159/H159</f>
        <v>1</v>
      </c>
    </row>
    <row r="160" spans="1:16">
      <c r="A160" s="2263" t="s">
        <v>12625</v>
      </c>
      <c r="B160" s="2216"/>
      <c r="C160" s="2217"/>
      <c r="D160" s="2377" t="s">
        <v>12486</v>
      </c>
      <c r="E160" s="2218"/>
      <c r="F160" s="2241"/>
      <c r="G160" s="2220"/>
      <c r="H160" s="2300">
        <f>SUBTOTAL(9,H161:H276)</f>
        <v>1143970.6499999997</v>
      </c>
      <c r="I160" s="2283"/>
      <c r="J160" s="2221"/>
      <c r="K160" s="2408"/>
      <c r="L160" s="2532">
        <f>SUBTOTAL(9,L161:L276)</f>
        <v>0</v>
      </c>
      <c r="M160" s="2300">
        <f>SUBTOTAL(9,M161:M276)</f>
        <v>0</v>
      </c>
      <c r="N160" s="2300">
        <f>SUBTOTAL(9,N161:N276)</f>
        <v>0</v>
      </c>
      <c r="O160" s="2300">
        <f>SUBTOTAL(9,O161:O276)</f>
        <v>1143970.6499999997</v>
      </c>
      <c r="P160" s="2292"/>
    </row>
    <row r="161" spans="1:16">
      <c r="A161" s="2264" t="s">
        <v>12824</v>
      </c>
      <c r="B161" s="2223"/>
      <c r="C161" s="2223"/>
      <c r="D161" s="2376" t="s">
        <v>16227</v>
      </c>
      <c r="E161" s="2224"/>
      <c r="F161" s="2240"/>
      <c r="G161" s="2226"/>
      <c r="H161" s="2301">
        <f>SUBTOTAL(9,H162:H170)</f>
        <v>375020.74</v>
      </c>
      <c r="I161" s="2284"/>
      <c r="J161" s="2227"/>
      <c r="K161" s="2410"/>
      <c r="L161" s="2534">
        <f>SUBTOTAL(9,L162:L170)</f>
        <v>0</v>
      </c>
      <c r="M161" s="2301">
        <f>SUBTOTAL(9,M162:M170)</f>
        <v>0</v>
      </c>
      <c r="N161" s="2301">
        <f>SUBTOTAL(9,N162:N170)</f>
        <v>0</v>
      </c>
      <c r="O161" s="2301">
        <f>SUBTOTAL(9,O162:O170)</f>
        <v>375020.74</v>
      </c>
      <c r="P161" s="2293"/>
    </row>
    <row r="162" spans="1:16" ht="41.25" customHeight="1">
      <c r="A162" s="2265" t="s">
        <v>12825</v>
      </c>
      <c r="B162" s="2228">
        <f>VLOOKUP($A162,'11 - QT_ WB'!$A:$F,2,0)</f>
        <v>103324</v>
      </c>
      <c r="C162" s="2228" t="str">
        <f>VLOOKUP($A162,'11 - QT_ WB'!$A:$F,3,0)</f>
        <v>SINAPI</v>
      </c>
      <c r="D162" s="2333" t="s">
        <v>10760</v>
      </c>
      <c r="E162" s="2243" t="str">
        <f>IF($C162="SINAPI",VLOOKUP($B162,'24.08_ND'!$A:$D,3,0),IF($C162="PRÓPRIA",VLOOKUP($B162,'03-CP'!$C:$H,3,0)))</f>
        <v>M2</v>
      </c>
      <c r="F162" s="2230">
        <v>290.95</v>
      </c>
      <c r="G162" s="2232">
        <v>100.3</v>
      </c>
      <c r="H162" s="2332">
        <f t="shared" ref="H162:H170" si="46">TRUNC((G162*F162),2)</f>
        <v>29182.28</v>
      </c>
      <c r="I162" s="2286"/>
      <c r="J162" s="2237"/>
      <c r="K162" s="2411"/>
      <c r="L162" s="2533"/>
      <c r="M162" s="2238"/>
      <c r="N162" s="2239"/>
      <c r="O162" s="2498">
        <f t="shared" ref="O162:O170" si="47">H162-L162</f>
        <v>29182.28</v>
      </c>
      <c r="P162" s="2295">
        <f t="shared" ref="P162:P170" si="48">O162/H162</f>
        <v>1</v>
      </c>
    </row>
    <row r="163" spans="1:16" ht="34.5" customHeight="1">
      <c r="A163" s="2265" t="s">
        <v>12826</v>
      </c>
      <c r="B163" s="2228">
        <f>VLOOKUP($A163,'11 - QT_ WB'!$A:$F,2,0)</f>
        <v>103328</v>
      </c>
      <c r="C163" s="2228" t="str">
        <f>VLOOKUP($A163,'11 - QT_ WB'!$A:$F,3,0)</f>
        <v>SINAPI</v>
      </c>
      <c r="D163" s="2333" t="s">
        <v>10764</v>
      </c>
      <c r="E163" s="2243" t="str">
        <f>IF($C163="SINAPI",VLOOKUP($B163,'24.08_ND'!$A:$D,3,0),IF($C163="PRÓPRIA",VLOOKUP($B163,'03-CP'!$C:$H,3,0)))</f>
        <v>M2</v>
      </c>
      <c r="F163" s="2230">
        <v>13.09</v>
      </c>
      <c r="G163" s="2232">
        <v>107.9</v>
      </c>
      <c r="H163" s="2332">
        <f t="shared" si="46"/>
        <v>1412.41</v>
      </c>
      <c r="I163" s="2286"/>
      <c r="J163" s="2237"/>
      <c r="K163" s="2411"/>
      <c r="L163" s="2533"/>
      <c r="M163" s="2238"/>
      <c r="N163" s="2239"/>
      <c r="O163" s="2498">
        <f t="shared" si="47"/>
        <v>1412.41</v>
      </c>
      <c r="P163" s="2295">
        <f t="shared" si="48"/>
        <v>1</v>
      </c>
    </row>
    <row r="164" spans="1:16" ht="30">
      <c r="A164" s="2265" t="s">
        <v>12827</v>
      </c>
      <c r="B164" s="2228">
        <f>VLOOKUP($A164,'11 - QT_ WB'!$A:$F,2,0)</f>
        <v>93203</v>
      </c>
      <c r="C164" s="2228" t="str">
        <f>VLOOKUP($A164,'11 - QT_ WB'!$A:$F,3,0)</f>
        <v>SINAPI</v>
      </c>
      <c r="D164" s="2333" t="s">
        <v>7614</v>
      </c>
      <c r="E164" s="2243" t="str">
        <f>IF($C164="SINAPI",VLOOKUP($B164,'24.08_ND'!$A:$D,3,0),IF($C164="PRÓPRIA",VLOOKUP($B164,'03-CP'!$C:$H,3,0)))</f>
        <v>M</v>
      </c>
      <c r="F164" s="2230">
        <v>94.74</v>
      </c>
      <c r="G164" s="2232">
        <v>15.62</v>
      </c>
      <c r="H164" s="2332">
        <f t="shared" si="46"/>
        <v>1479.83</v>
      </c>
      <c r="I164" s="2286"/>
      <c r="J164" s="2237"/>
      <c r="K164" s="2411"/>
      <c r="L164" s="2533"/>
      <c r="M164" s="2238"/>
      <c r="N164" s="2239"/>
      <c r="O164" s="2498">
        <f t="shared" si="47"/>
        <v>1479.83</v>
      </c>
      <c r="P164" s="2295">
        <f t="shared" si="48"/>
        <v>1</v>
      </c>
    </row>
    <row r="165" spans="1:16">
      <c r="A165" s="2265" t="s">
        <v>12828</v>
      </c>
      <c r="B165" s="2228">
        <f>VLOOKUP($A165,'11 - QT_ WB'!$A:$F,2,0)</f>
        <v>105023</v>
      </c>
      <c r="C165" s="2228" t="str">
        <f>VLOOKUP($A165,'11 - QT_ WB'!$A:$F,3,0)</f>
        <v>SINAPI</v>
      </c>
      <c r="D165" s="2333" t="s">
        <v>7618</v>
      </c>
      <c r="E165" s="2243" t="str">
        <f>IF($C165="SINAPI",VLOOKUP($B165,'24.08_ND'!$A:$D,3,0),IF($C165="PRÓPRIA",VLOOKUP($B165,'03-CP'!$C:$H,3,0)))</f>
        <v>M</v>
      </c>
      <c r="F165" s="2230">
        <v>30.12</v>
      </c>
      <c r="G165" s="2232">
        <v>73.11</v>
      </c>
      <c r="H165" s="2332">
        <f t="shared" si="46"/>
        <v>2202.0700000000002</v>
      </c>
      <c r="I165" s="2286"/>
      <c r="J165" s="2237"/>
      <c r="K165" s="2411"/>
      <c r="L165" s="2533"/>
      <c r="M165" s="2238"/>
      <c r="N165" s="2239"/>
      <c r="O165" s="2498">
        <f t="shared" si="47"/>
        <v>2202.0700000000002</v>
      </c>
      <c r="P165" s="2295">
        <f t="shared" si="48"/>
        <v>1</v>
      </c>
    </row>
    <row r="166" spans="1:16" ht="30">
      <c r="A166" s="2265" t="s">
        <v>12829</v>
      </c>
      <c r="B166" s="2228">
        <f>VLOOKUP($A166,'11 - QT_ WB'!$A:$F,2,0)</f>
        <v>105029</v>
      </c>
      <c r="C166" s="2228" t="str">
        <f>VLOOKUP($A166,'11 - QT_ WB'!$A:$F,3,0)</f>
        <v>SINAPI</v>
      </c>
      <c r="D166" s="2333" t="s">
        <v>7624</v>
      </c>
      <c r="E166" s="2243" t="str">
        <f>IF($C166="SINAPI",VLOOKUP($B166,'24.08_ND'!$A:$D,3,0),IF($C166="PRÓPRIA",VLOOKUP($B166,'03-CP'!$C:$H,3,0)))</f>
        <v>M</v>
      </c>
      <c r="F166" s="2230">
        <v>13.2</v>
      </c>
      <c r="G166" s="2232">
        <v>56.16</v>
      </c>
      <c r="H166" s="2332">
        <f t="shared" si="46"/>
        <v>741.31</v>
      </c>
      <c r="I166" s="2286"/>
      <c r="J166" s="2237"/>
      <c r="K166" s="2411"/>
      <c r="L166" s="2533"/>
      <c r="M166" s="2238"/>
      <c r="N166" s="2239"/>
      <c r="O166" s="2498">
        <f t="shared" si="47"/>
        <v>741.31</v>
      </c>
      <c r="P166" s="2295">
        <f t="shared" si="48"/>
        <v>1</v>
      </c>
    </row>
    <row r="167" spans="1:16">
      <c r="A167" s="2265" t="s">
        <v>12830</v>
      </c>
      <c r="B167" s="2228" t="str">
        <f>VLOOKUP($A167,'11 - QT_ WB'!$A:$F,2,0)</f>
        <v>PS-CP-37</v>
      </c>
      <c r="C167" s="2228" t="str">
        <f>VLOOKUP($A167,'11 - QT_ WB'!$A:$F,3,0)</f>
        <v>PRÓPRIA</v>
      </c>
      <c r="D167" s="2383" t="s">
        <v>14820</v>
      </c>
      <c r="E167" s="2243" t="str">
        <f>IF($C167="SINAPI",VLOOKUP($B167,'24.08_ND'!$A:$D,3,0),IF($C167="PRÓPRIA",VLOOKUP($B167,'03-CP'!$C:$H,3,0)))</f>
        <v>M2</v>
      </c>
      <c r="F167" s="2230">
        <v>52.849600000000002</v>
      </c>
      <c r="G167" s="2232">
        <v>2620.8000000000002</v>
      </c>
      <c r="H167" s="2332">
        <f t="shared" si="46"/>
        <v>138508.23000000001</v>
      </c>
      <c r="I167" s="2287"/>
      <c r="J167" s="2231"/>
      <c r="K167" s="2412"/>
      <c r="L167" s="2536"/>
      <c r="M167" s="2232"/>
      <c r="N167" s="2557"/>
      <c r="O167" s="2498">
        <f t="shared" si="47"/>
        <v>138508.23000000001</v>
      </c>
      <c r="P167" s="2295">
        <f t="shared" si="48"/>
        <v>1</v>
      </c>
    </row>
    <row r="168" spans="1:16">
      <c r="A168" s="2265" t="s">
        <v>12831</v>
      </c>
      <c r="B168" s="2228" t="str">
        <f>VLOOKUP($A168,'11 - QT_ WB'!$A:$F,2,0)</f>
        <v>PS-CP-38</v>
      </c>
      <c r="C168" s="2228" t="str">
        <f>VLOOKUP($A168,'11 - QT_ WB'!$A:$F,3,0)</f>
        <v>PRÓPRIA</v>
      </c>
      <c r="D168" s="2333" t="s">
        <v>14823</v>
      </c>
      <c r="E168" s="2243" t="str">
        <f>IF($C168="SINAPI",VLOOKUP($B168,'24.08_ND'!$A:$D,3,0),IF($C168="PRÓPRIA",VLOOKUP($B168,'03-CP'!$C:$H,3,0)))</f>
        <v>M2</v>
      </c>
      <c r="F168" s="2230">
        <v>220.16</v>
      </c>
      <c r="G168" s="2232">
        <v>892.26</v>
      </c>
      <c r="H168" s="2332">
        <f t="shared" si="46"/>
        <v>196439.96</v>
      </c>
      <c r="I168" s="2287"/>
      <c r="J168" s="2231"/>
      <c r="K168" s="2412"/>
      <c r="L168" s="2536"/>
      <c r="M168" s="2232"/>
      <c r="N168" s="2557"/>
      <c r="O168" s="2498">
        <f t="shared" si="47"/>
        <v>196439.96</v>
      </c>
      <c r="P168" s="2295">
        <f t="shared" si="48"/>
        <v>1</v>
      </c>
    </row>
    <row r="169" spans="1:16" ht="30">
      <c r="A169" s="2265" t="s">
        <v>12832</v>
      </c>
      <c r="B169" s="2228" t="str">
        <f>VLOOKUP($A169,'11 - QT_ WB'!$A:$F,2,0)</f>
        <v>PS-CP-39</v>
      </c>
      <c r="C169" s="2228" t="str">
        <f>VLOOKUP($A169,'11 - QT_ WB'!$A:$F,3,0)</f>
        <v>PRÓPRIA</v>
      </c>
      <c r="D169" s="2333" t="s">
        <v>14828</v>
      </c>
      <c r="E169" s="2243" t="str">
        <f>IF($C169="SINAPI",VLOOKUP($B169,'24.08_ND'!$A:$D,3,0),IF($C169="PRÓPRIA",VLOOKUP($B169,'03-CP'!$C:$H,3,0)))</f>
        <v>M2</v>
      </c>
      <c r="F169" s="2230">
        <v>42.32</v>
      </c>
      <c r="G169" s="2232">
        <v>109.08</v>
      </c>
      <c r="H169" s="2332">
        <f t="shared" si="46"/>
        <v>4616.26</v>
      </c>
      <c r="I169" s="2287"/>
      <c r="J169" s="2231"/>
      <c r="K169" s="2412"/>
      <c r="L169" s="2536"/>
      <c r="M169" s="2232"/>
      <c r="N169" s="2557"/>
      <c r="O169" s="2498">
        <f t="shared" si="47"/>
        <v>4616.26</v>
      </c>
      <c r="P169" s="2295">
        <f t="shared" si="48"/>
        <v>1</v>
      </c>
    </row>
    <row r="170" spans="1:16" ht="45">
      <c r="A170" s="2265" t="s">
        <v>12833</v>
      </c>
      <c r="B170" s="2228" t="str">
        <f>VLOOKUP($A170,'11 - QT_ WB'!$A:$F,2,0)</f>
        <v>PS-CP-40</v>
      </c>
      <c r="C170" s="2228" t="str">
        <f>VLOOKUP($A170,'11 - QT_ WB'!$A:$F,3,0)</f>
        <v>PRÓPRIA</v>
      </c>
      <c r="D170" s="2333" t="s">
        <v>14833</v>
      </c>
      <c r="E170" s="2243" t="str">
        <f>IF($C170="SINAPI",VLOOKUP($B170,'24.08_ND'!$A:$D,3,0),IF($C170="PRÓPRIA",VLOOKUP($B170,'03-CP'!$C:$H,3,0)))</f>
        <v>M2</v>
      </c>
      <c r="F170" s="2230">
        <v>1.26</v>
      </c>
      <c r="G170" s="2232">
        <v>347.93</v>
      </c>
      <c r="H170" s="2332">
        <f t="shared" si="46"/>
        <v>438.39</v>
      </c>
      <c r="I170" s="2287"/>
      <c r="J170" s="2231"/>
      <c r="K170" s="2412"/>
      <c r="L170" s="2536"/>
      <c r="M170" s="2232"/>
      <c r="N170" s="2557"/>
      <c r="O170" s="2498">
        <f t="shared" si="47"/>
        <v>438.39</v>
      </c>
      <c r="P170" s="2295">
        <f t="shared" si="48"/>
        <v>1</v>
      </c>
    </row>
    <row r="171" spans="1:16">
      <c r="A171" s="2264" t="s">
        <v>12834</v>
      </c>
      <c r="B171" s="2223"/>
      <c r="C171" s="2223"/>
      <c r="D171" s="2376" t="s">
        <v>16251</v>
      </c>
      <c r="E171" s="2224"/>
      <c r="F171" s="2240"/>
      <c r="G171" s="2226"/>
      <c r="H171" s="2301">
        <f>SUBTOTAL(9,H172:H174)</f>
        <v>58141.61</v>
      </c>
      <c r="I171" s="2284"/>
      <c r="J171" s="2227"/>
      <c r="K171" s="2410"/>
      <c r="L171" s="2534">
        <f>SUBTOTAL(9,L172:L174)</f>
        <v>0</v>
      </c>
      <c r="M171" s="2301">
        <f>SUBTOTAL(9,M172:M174)</f>
        <v>0</v>
      </c>
      <c r="N171" s="2301">
        <f>SUBTOTAL(9,N172:N174)</f>
        <v>0</v>
      </c>
      <c r="O171" s="2301">
        <f>SUBTOTAL(9,O172:O174)</f>
        <v>58141.61</v>
      </c>
      <c r="P171" s="2293"/>
    </row>
    <row r="172" spans="1:16" ht="45">
      <c r="A172" s="2265" t="s">
        <v>12835</v>
      </c>
      <c r="B172" s="2228">
        <f>VLOOKUP($A172,'11 - QT_ WB'!$A:$F,2,0)</f>
        <v>87879</v>
      </c>
      <c r="C172" s="2228" t="str">
        <f>VLOOKUP($A172,'11 - QT_ WB'!$A:$F,3,0)</f>
        <v>SINAPI</v>
      </c>
      <c r="D172" s="2333" t="s">
        <v>11265</v>
      </c>
      <c r="E172" s="2243" t="str">
        <f>IF($C172="SINAPI",VLOOKUP($B172,'24.08_ND'!$A:$D,3,0),IF($C172="PRÓPRIA",VLOOKUP($B172,'03-CP'!$C:$H,3,0)))</f>
        <v>M2</v>
      </c>
      <c r="F172" s="2230">
        <v>830.08</v>
      </c>
      <c r="G172" s="2232">
        <v>4.93</v>
      </c>
      <c r="H172" s="2332">
        <f>TRUNC((G172*F172),2)</f>
        <v>4092.29</v>
      </c>
      <c r="I172" s="2286"/>
      <c r="J172" s="2237"/>
      <c r="K172" s="2411"/>
      <c r="L172" s="2533"/>
      <c r="M172" s="2238"/>
      <c r="N172" s="2239"/>
      <c r="O172" s="2498">
        <f>H172-L172</f>
        <v>4092.29</v>
      </c>
      <c r="P172" s="2295">
        <f>O172/H172</f>
        <v>1</v>
      </c>
    </row>
    <row r="173" spans="1:16" ht="45">
      <c r="A173" s="2265" t="s">
        <v>12836</v>
      </c>
      <c r="B173" s="2228">
        <f>VLOOKUP($A173,'11 - QT_ WB'!$A:$F,2,0)</f>
        <v>87775</v>
      </c>
      <c r="C173" s="2228" t="str">
        <f>VLOOKUP($A173,'11 - QT_ WB'!$A:$F,3,0)</f>
        <v>SINAPI</v>
      </c>
      <c r="D173" s="2333" t="s">
        <v>11326</v>
      </c>
      <c r="E173" s="2243" t="str">
        <f>IF($C173="SINAPI",VLOOKUP($B173,'24.08_ND'!$A:$D,3,0),IF($C173="PRÓPRIA",VLOOKUP($B173,'03-CP'!$C:$H,3,0)))</f>
        <v>M2</v>
      </c>
      <c r="F173" s="2230">
        <v>830.08</v>
      </c>
      <c r="G173" s="2232">
        <v>59.35</v>
      </c>
      <c r="H173" s="2332">
        <f>TRUNC((G173*F173),2)</f>
        <v>49265.24</v>
      </c>
      <c r="I173" s="2286"/>
      <c r="J173" s="2237"/>
      <c r="K173" s="2411"/>
      <c r="L173" s="2533"/>
      <c r="M173" s="2238"/>
      <c r="N173" s="2239"/>
      <c r="O173" s="2498">
        <f>H173-L173</f>
        <v>49265.24</v>
      </c>
      <c r="P173" s="2295">
        <f>O173/H173</f>
        <v>1</v>
      </c>
    </row>
    <row r="174" spans="1:16" ht="30">
      <c r="A174" s="2265" t="s">
        <v>12837</v>
      </c>
      <c r="B174" s="2228">
        <f>VLOOKUP($A174,'11 - QT_ WB'!$A:$F,2,0)</f>
        <v>98555</v>
      </c>
      <c r="C174" s="2228" t="str">
        <f>VLOOKUP($A174,'11 - QT_ WB'!$A:$F,3,0)</f>
        <v>SINAPI</v>
      </c>
      <c r="D174" s="2333" t="s">
        <v>7733</v>
      </c>
      <c r="E174" s="2243" t="str">
        <f>IF($C174="SINAPI",VLOOKUP($B174,'24.08_ND'!$A:$D,3,0),IF($C174="PRÓPRIA",VLOOKUP($B174,'03-CP'!$C:$H,3,0)))</f>
        <v>M2</v>
      </c>
      <c r="F174" s="2230">
        <v>143.58000000000001</v>
      </c>
      <c r="G174" s="2232">
        <v>33.32</v>
      </c>
      <c r="H174" s="2332">
        <f>TRUNC((G174*F174),2)</f>
        <v>4784.08</v>
      </c>
      <c r="I174" s="2286"/>
      <c r="J174" s="2237"/>
      <c r="K174" s="2411"/>
      <c r="L174" s="2533"/>
      <c r="M174" s="2238"/>
      <c r="N174" s="2239"/>
      <c r="O174" s="2498">
        <f>H174-L174</f>
        <v>4784.08</v>
      </c>
      <c r="P174" s="2295">
        <f>O174/H174</f>
        <v>1</v>
      </c>
    </row>
    <row r="175" spans="1:16">
      <c r="A175" s="2264" t="s">
        <v>12838</v>
      </c>
      <c r="B175" s="2223"/>
      <c r="C175" s="2223"/>
      <c r="D175" s="2376" t="s">
        <v>16256</v>
      </c>
      <c r="E175" s="2224"/>
      <c r="F175" s="2240"/>
      <c r="G175" s="2226"/>
      <c r="H175" s="2301">
        <f>SUBTOTAL(9,H176:H185)</f>
        <v>210864.14</v>
      </c>
      <c r="I175" s="2284"/>
      <c r="J175" s="2227"/>
      <c r="K175" s="2410"/>
      <c r="L175" s="2534">
        <f>SUBTOTAL(9,L176:L185)</f>
        <v>0</v>
      </c>
      <c r="M175" s="2301">
        <f>SUBTOTAL(9,M176:M185)</f>
        <v>0</v>
      </c>
      <c r="N175" s="2301">
        <f>SUBTOTAL(9,N176:N185)</f>
        <v>0</v>
      </c>
      <c r="O175" s="2301">
        <f>SUBTOTAL(9,O176:O185)</f>
        <v>210864.14</v>
      </c>
      <c r="P175" s="2293"/>
    </row>
    <row r="176" spans="1:16" ht="45">
      <c r="A176" s="2265" t="s">
        <v>12839</v>
      </c>
      <c r="B176" s="2228">
        <f>VLOOKUP($A176,'11 - QT_ WB'!$A:$F,2,0)</f>
        <v>94995</v>
      </c>
      <c r="C176" s="2228" t="str">
        <f>VLOOKUP($A176,'11 - QT_ WB'!$A:$F,3,0)</f>
        <v>SINAPI</v>
      </c>
      <c r="D176" s="2333" t="s">
        <v>11200</v>
      </c>
      <c r="E176" s="2243" t="str">
        <f>IF($C176="SINAPI",VLOOKUP($B176,'24.08_ND'!$A:$D,3,0),IF($C176="PRÓPRIA",VLOOKUP($B176,'03-CP'!$C:$H,3,0)))</f>
        <v>M2</v>
      </c>
      <c r="F176" s="2230">
        <v>366.82</v>
      </c>
      <c r="G176" s="2232">
        <v>127.46</v>
      </c>
      <c r="H176" s="2332">
        <f t="shared" ref="H176:H185" si="49">TRUNC((G176*F176),2)</f>
        <v>46754.87</v>
      </c>
      <c r="I176" s="2286"/>
      <c r="J176" s="2237"/>
      <c r="K176" s="2411"/>
      <c r="L176" s="2533"/>
      <c r="M176" s="2238"/>
      <c r="N176" s="2239"/>
      <c r="O176" s="2498">
        <f t="shared" ref="O176:O185" si="50">H176-L176</f>
        <v>46754.87</v>
      </c>
      <c r="P176" s="2295">
        <f t="shared" ref="P176:P185" si="51">O176/H176</f>
        <v>1</v>
      </c>
    </row>
    <row r="177" spans="1:16" ht="30">
      <c r="A177" s="2265" t="s">
        <v>12840</v>
      </c>
      <c r="B177" s="2228" t="str">
        <f>VLOOKUP($A177,'11 - QT_ WB'!$A:$F,2,0)</f>
        <v>PS-CP-01</v>
      </c>
      <c r="C177" s="2228" t="str">
        <f>VLOOKUP($A177,'11 - QT_ WB'!$A:$F,3,0)</f>
        <v>PRÓPRIA</v>
      </c>
      <c r="D177" s="2333" t="s">
        <v>14730</v>
      </c>
      <c r="E177" s="2243" t="str">
        <f>IF($C177="SINAPI",VLOOKUP($B177,'24.08_ND'!$A:$D,3,0),IF($C177="PRÓPRIA",VLOOKUP($B177,'03-CP'!$C:$H,3,0)))</f>
        <v>M2</v>
      </c>
      <c r="F177" s="2230">
        <v>173.43</v>
      </c>
      <c r="G177" s="2232">
        <v>277.07</v>
      </c>
      <c r="H177" s="2332">
        <f t="shared" si="49"/>
        <v>48052.25</v>
      </c>
      <c r="I177" s="2287"/>
      <c r="J177" s="2231"/>
      <c r="K177" s="2412"/>
      <c r="L177" s="2536"/>
      <c r="M177" s="2232"/>
      <c r="N177" s="2557"/>
      <c r="O177" s="2498">
        <f t="shared" si="50"/>
        <v>48052.25</v>
      </c>
      <c r="P177" s="2295">
        <f t="shared" si="51"/>
        <v>1</v>
      </c>
    </row>
    <row r="178" spans="1:16" ht="30">
      <c r="A178" s="2265" t="s">
        <v>12841</v>
      </c>
      <c r="B178" s="2228" t="str">
        <f>VLOOKUP($A178,'11 - QT_ WB'!$A:$F,2,0)</f>
        <v>PS-CP-02</v>
      </c>
      <c r="C178" s="2228" t="str">
        <f>VLOOKUP($A178,'11 - QT_ WB'!$A:$F,3,0)</f>
        <v>PRÓPRIA</v>
      </c>
      <c r="D178" s="2333" t="s">
        <v>14733</v>
      </c>
      <c r="E178" s="2243" t="str">
        <f>IF($C178="SINAPI",VLOOKUP($B178,'24.08_ND'!$A:$D,3,0),IF($C178="PRÓPRIA",VLOOKUP($B178,'03-CP'!$C:$H,3,0)))</f>
        <v>M2</v>
      </c>
      <c r="F178" s="2230">
        <v>13.09</v>
      </c>
      <c r="G178" s="2232">
        <v>277.07</v>
      </c>
      <c r="H178" s="2332">
        <f t="shared" si="49"/>
        <v>3626.84</v>
      </c>
      <c r="I178" s="2287"/>
      <c r="J178" s="2231"/>
      <c r="K178" s="2412"/>
      <c r="L178" s="2536"/>
      <c r="M178" s="2232"/>
      <c r="N178" s="2557"/>
      <c r="O178" s="2498">
        <f t="shared" si="50"/>
        <v>3626.84</v>
      </c>
      <c r="P178" s="2295">
        <f t="shared" si="51"/>
        <v>1</v>
      </c>
    </row>
    <row r="179" spans="1:16" ht="30">
      <c r="A179" s="2265" t="s">
        <v>12842</v>
      </c>
      <c r="B179" s="2228" t="str">
        <f>VLOOKUP($A179,'11 - QT_ WB'!$A:$F,2,0)</f>
        <v>PS-CP-03</v>
      </c>
      <c r="C179" s="2228" t="str">
        <f>VLOOKUP($A179,'11 - QT_ WB'!$A:$F,3,0)</f>
        <v>PRÓPRIA</v>
      </c>
      <c r="D179" s="2333" t="s">
        <v>14735</v>
      </c>
      <c r="E179" s="2243" t="str">
        <f>IF($C179="SINAPI",VLOOKUP($B179,'24.08_ND'!$A:$D,3,0),IF($C179="PRÓPRIA",VLOOKUP($B179,'03-CP'!$C:$H,3,0)))</f>
        <v>M2</v>
      </c>
      <c r="F179" s="2230">
        <v>28.22</v>
      </c>
      <c r="G179" s="2232">
        <v>152.66999999999999</v>
      </c>
      <c r="H179" s="2332">
        <f t="shared" si="49"/>
        <v>4308.34</v>
      </c>
      <c r="I179" s="2287"/>
      <c r="J179" s="2231"/>
      <c r="K179" s="2412"/>
      <c r="L179" s="2536"/>
      <c r="M179" s="2232"/>
      <c r="N179" s="2557"/>
      <c r="O179" s="2498">
        <f t="shared" si="50"/>
        <v>4308.34</v>
      </c>
      <c r="P179" s="2295">
        <f t="shared" si="51"/>
        <v>1</v>
      </c>
    </row>
    <row r="180" spans="1:16" ht="30">
      <c r="A180" s="2265" t="s">
        <v>12843</v>
      </c>
      <c r="B180" s="2228" t="str">
        <f>VLOOKUP($A180,'11 - QT_ WB'!$A:$F,2,0)</f>
        <v>PS-CP-04</v>
      </c>
      <c r="C180" s="2228" t="str">
        <f>VLOOKUP($A180,'11 - QT_ WB'!$A:$F,3,0)</f>
        <v>PRÓPRIA</v>
      </c>
      <c r="D180" s="2333" t="s">
        <v>14738</v>
      </c>
      <c r="E180" s="2243" t="str">
        <f>IF($C180="SINAPI",VLOOKUP($B180,'24.08_ND'!$A:$D,3,0),IF($C180="PRÓPRIA",VLOOKUP($B180,'03-CP'!$C:$H,3,0)))</f>
        <v>M2</v>
      </c>
      <c r="F180" s="2230">
        <v>40.78</v>
      </c>
      <c r="G180" s="2232">
        <v>152.66999999999999</v>
      </c>
      <c r="H180" s="2332">
        <f t="shared" si="49"/>
        <v>6225.88</v>
      </c>
      <c r="I180" s="2287"/>
      <c r="J180" s="2231"/>
      <c r="K180" s="2412"/>
      <c r="L180" s="2536"/>
      <c r="M180" s="2232"/>
      <c r="N180" s="2557"/>
      <c r="O180" s="2498">
        <f t="shared" si="50"/>
        <v>6225.88</v>
      </c>
      <c r="P180" s="2295">
        <f t="shared" si="51"/>
        <v>1</v>
      </c>
    </row>
    <row r="181" spans="1:16" ht="30">
      <c r="A181" s="2265" t="s">
        <v>12844</v>
      </c>
      <c r="B181" s="2228" t="str">
        <f>VLOOKUP($A181,'11 - QT_ WB'!$A:$F,2,0)</f>
        <v>PS-CP-05</v>
      </c>
      <c r="C181" s="2228" t="str">
        <f>VLOOKUP($A181,'11 - QT_ WB'!$A:$F,3,0)</f>
        <v>PRÓPRIA</v>
      </c>
      <c r="D181" s="2333" t="s">
        <v>14740</v>
      </c>
      <c r="E181" s="2243" t="str">
        <f>IF($C181="SINAPI",VLOOKUP($B181,'24.08_ND'!$A:$D,3,0),IF($C181="PRÓPRIA",VLOOKUP($B181,'03-CP'!$C:$H,3,0)))</f>
        <v>M2</v>
      </c>
      <c r="F181" s="2230">
        <v>28.88</v>
      </c>
      <c r="G181" s="2232">
        <v>152.66999999999999</v>
      </c>
      <c r="H181" s="2332">
        <f t="shared" si="49"/>
        <v>4409.1000000000004</v>
      </c>
      <c r="I181" s="2287"/>
      <c r="J181" s="2231"/>
      <c r="K181" s="2412"/>
      <c r="L181" s="2536"/>
      <c r="M181" s="2232"/>
      <c r="N181" s="2557"/>
      <c r="O181" s="2498">
        <f t="shared" si="50"/>
        <v>4409.1000000000004</v>
      </c>
      <c r="P181" s="2295">
        <f t="shared" si="51"/>
        <v>1</v>
      </c>
    </row>
    <row r="182" spans="1:16">
      <c r="A182" s="2265" t="s">
        <v>12845</v>
      </c>
      <c r="B182" s="2228" t="str">
        <f>VLOOKUP($A182,'11 - QT_ WB'!$A:$F,2,0)</f>
        <v>PS-CP-06</v>
      </c>
      <c r="C182" s="2228" t="str">
        <f>VLOOKUP($A182,'11 - QT_ WB'!$A:$F,3,0)</f>
        <v>PRÓPRIA</v>
      </c>
      <c r="D182" s="2383" t="s">
        <v>14742</v>
      </c>
      <c r="E182" s="2243" t="str">
        <f>IF($C182="SINAPI",VLOOKUP($B182,'24.08_ND'!$A:$D,3,0),IF($C182="PRÓPRIA",VLOOKUP($B182,'03-CP'!$C:$H,3,0)))</f>
        <v>M2</v>
      </c>
      <c r="F182" s="2230">
        <v>25.85</v>
      </c>
      <c r="G182" s="2232">
        <v>488.9</v>
      </c>
      <c r="H182" s="2332">
        <f t="shared" si="49"/>
        <v>12638.06</v>
      </c>
      <c r="I182" s="2287"/>
      <c r="J182" s="2231"/>
      <c r="K182" s="2412"/>
      <c r="L182" s="2536"/>
      <c r="M182" s="2232"/>
      <c r="N182" s="2557"/>
      <c r="O182" s="2498">
        <f t="shared" si="50"/>
        <v>12638.06</v>
      </c>
      <c r="P182" s="2295">
        <f t="shared" si="51"/>
        <v>1</v>
      </c>
    </row>
    <row r="183" spans="1:16" ht="30">
      <c r="A183" s="2265" t="s">
        <v>12846</v>
      </c>
      <c r="B183" s="2228" t="str">
        <f>VLOOKUP($A183,'11 - QT_ WB'!$A:$F,2,0)</f>
        <v>PS-CP-07</v>
      </c>
      <c r="C183" s="2228" t="str">
        <f>VLOOKUP($A183,'11 - QT_ WB'!$A:$F,3,0)</f>
        <v>PRÓPRIA</v>
      </c>
      <c r="D183" s="2333" t="s">
        <v>14745</v>
      </c>
      <c r="E183" s="2243" t="str">
        <f>IF($C183="SINAPI",VLOOKUP($B183,'24.08_ND'!$A:$D,3,0),IF($C183="PRÓPRIA",VLOOKUP($B183,'03-CP'!$C:$H,3,0)))</f>
        <v>M2</v>
      </c>
      <c r="F183" s="2230">
        <v>92.19</v>
      </c>
      <c r="G183" s="2232">
        <v>334.55</v>
      </c>
      <c r="H183" s="2332">
        <f t="shared" si="49"/>
        <v>30842.16</v>
      </c>
      <c r="I183" s="2287"/>
      <c r="J183" s="2231"/>
      <c r="K183" s="2412"/>
      <c r="L183" s="2536"/>
      <c r="M183" s="2232"/>
      <c r="N183" s="2557"/>
      <c r="O183" s="2498">
        <f t="shared" si="50"/>
        <v>30842.16</v>
      </c>
      <c r="P183" s="2295">
        <f t="shared" si="51"/>
        <v>1</v>
      </c>
    </row>
    <row r="184" spans="1:16" ht="36" customHeight="1">
      <c r="A184" s="2265" t="s">
        <v>12847</v>
      </c>
      <c r="B184" s="2228" t="str">
        <f>VLOOKUP($A184,'11 - QT_ WB'!$A:$F,2,0)</f>
        <v>PS-CP-08</v>
      </c>
      <c r="C184" s="2228" t="str">
        <f>VLOOKUP($A184,'11 - QT_ WB'!$A:$F,3,0)</f>
        <v>PRÓPRIA</v>
      </c>
      <c r="D184" s="2333" t="s">
        <v>14747</v>
      </c>
      <c r="E184" s="2243" t="str">
        <f>IF($C184="SINAPI",VLOOKUP($B184,'24.08_ND'!$A:$D,3,0),IF($C184="PRÓPRIA",VLOOKUP($B184,'03-CP'!$C:$H,3,0)))</f>
        <v>M2</v>
      </c>
      <c r="F184" s="2230">
        <v>32.33</v>
      </c>
      <c r="G184" s="2232">
        <v>326.25</v>
      </c>
      <c r="H184" s="2332">
        <f t="shared" si="49"/>
        <v>10547.66</v>
      </c>
      <c r="I184" s="2287"/>
      <c r="J184" s="2231"/>
      <c r="K184" s="2412"/>
      <c r="L184" s="2536"/>
      <c r="M184" s="2232"/>
      <c r="N184" s="2557"/>
      <c r="O184" s="2498">
        <f t="shared" si="50"/>
        <v>10547.66</v>
      </c>
      <c r="P184" s="2295">
        <f t="shared" si="51"/>
        <v>1</v>
      </c>
    </row>
    <row r="185" spans="1:16" ht="45">
      <c r="A185" s="2265" t="s">
        <v>12848</v>
      </c>
      <c r="B185" s="2228" t="str">
        <f>VLOOKUP($A185,'11 - QT_ WB'!$A:$F,2,0)</f>
        <v>PS-CP-09</v>
      </c>
      <c r="C185" s="2228" t="str">
        <f>VLOOKUP($A185,'11 - QT_ WB'!$A:$F,3,0)</f>
        <v>PRÓPRIA</v>
      </c>
      <c r="D185" s="2333" t="s">
        <v>14749</v>
      </c>
      <c r="E185" s="2243" t="str">
        <f>IF($C185="SINAPI",VLOOKUP($B185,'24.08_ND'!$A:$D,3,0),IF($C185="PRÓPRIA",VLOOKUP($B185,'03-CP'!$C:$H,3,0)))</f>
        <v>M2</v>
      </c>
      <c r="F185" s="2230">
        <v>218.08</v>
      </c>
      <c r="G185" s="2232">
        <v>199.28</v>
      </c>
      <c r="H185" s="2332">
        <f t="shared" si="49"/>
        <v>43458.98</v>
      </c>
      <c r="I185" s="2287"/>
      <c r="J185" s="2231"/>
      <c r="K185" s="2412"/>
      <c r="L185" s="2536"/>
      <c r="M185" s="2232"/>
      <c r="N185" s="2557"/>
      <c r="O185" s="2498">
        <f t="shared" si="50"/>
        <v>43458.98</v>
      </c>
      <c r="P185" s="2295">
        <f t="shared" si="51"/>
        <v>1</v>
      </c>
    </row>
    <row r="186" spans="1:16">
      <c r="A186" s="2264" t="s">
        <v>12849</v>
      </c>
      <c r="B186" s="2223"/>
      <c r="C186" s="2223"/>
      <c r="D186" s="2376" t="s">
        <v>16267</v>
      </c>
      <c r="E186" s="2224"/>
      <c r="F186" s="2240"/>
      <c r="G186" s="2226"/>
      <c r="H186" s="2301">
        <f>SUBTOTAL(9,H187:H195)</f>
        <v>93042.46</v>
      </c>
      <c r="I186" s="2284"/>
      <c r="J186" s="2227"/>
      <c r="K186" s="2410"/>
      <c r="L186" s="2534">
        <f>SUBTOTAL(9,L187:L195)</f>
        <v>0</v>
      </c>
      <c r="M186" s="2301">
        <f>SUBTOTAL(9,M187:M195)</f>
        <v>0</v>
      </c>
      <c r="N186" s="2301">
        <f>SUBTOTAL(9,N187:N195)</f>
        <v>0</v>
      </c>
      <c r="O186" s="2301">
        <f>SUBTOTAL(9,O187:O195)</f>
        <v>93042.46</v>
      </c>
      <c r="P186" s="2293"/>
    </row>
    <row r="187" spans="1:16" ht="30">
      <c r="A187" s="2265" t="s">
        <v>12850</v>
      </c>
      <c r="B187" s="2228">
        <f>VLOOKUP($A187,'11 - QT_ WB'!$A:$F,2,0)</f>
        <v>88485</v>
      </c>
      <c r="C187" s="2228" t="str">
        <f>VLOOKUP($A187,'11 - QT_ WB'!$A:$F,3,0)</f>
        <v>SINAPI</v>
      </c>
      <c r="D187" s="2333" t="s">
        <v>11005</v>
      </c>
      <c r="E187" s="2243" t="str">
        <f>IF($C187="SINAPI",VLOOKUP($B187,'24.08_ND'!$A:$D,3,0),IF($C187="PRÓPRIA",VLOOKUP($B187,'03-CP'!$C:$H,3,0)))</f>
        <v>M2</v>
      </c>
      <c r="F187" s="2230">
        <v>263.96999999999997</v>
      </c>
      <c r="G187" s="2232">
        <v>3.67</v>
      </c>
      <c r="H187" s="2332">
        <f t="shared" ref="H187:H195" si="52">TRUNC((G187*F187),2)</f>
        <v>968.76</v>
      </c>
      <c r="I187" s="2286"/>
      <c r="J187" s="2237"/>
      <c r="K187" s="2411"/>
      <c r="L187" s="2533"/>
      <c r="M187" s="2238"/>
      <c r="N187" s="2239"/>
      <c r="O187" s="2498">
        <f t="shared" ref="O187:O195" si="53">H187-L187</f>
        <v>968.76</v>
      </c>
      <c r="P187" s="2295">
        <f t="shared" ref="P187:P195" si="54">O187/H187</f>
        <v>1</v>
      </c>
    </row>
    <row r="188" spans="1:16" ht="45">
      <c r="A188" s="2265" t="s">
        <v>12851</v>
      </c>
      <c r="B188" s="2228">
        <f>VLOOKUP($A188,'11 - QT_ WB'!$A:$F,2,0)</f>
        <v>100721</v>
      </c>
      <c r="C188" s="2228" t="str">
        <f>VLOOKUP($A188,'11 - QT_ WB'!$A:$F,3,0)</f>
        <v>SINAPI</v>
      </c>
      <c r="D188" s="2333" t="s">
        <v>11067</v>
      </c>
      <c r="E188" s="2243" t="str">
        <f>IF($C188="SINAPI",VLOOKUP($B188,'24.08_ND'!$A:$D,3,0),IF($C188="PRÓPRIA",VLOOKUP($B188,'03-CP'!$C:$H,3,0)))</f>
        <v>M2</v>
      </c>
      <c r="F188" s="2230">
        <v>818.07999999999993</v>
      </c>
      <c r="G188" s="2232">
        <v>26.21</v>
      </c>
      <c r="H188" s="2332">
        <f t="shared" si="52"/>
        <v>21441.87</v>
      </c>
      <c r="I188" s="2286"/>
      <c r="J188" s="2237"/>
      <c r="K188" s="2411"/>
      <c r="L188" s="2533"/>
      <c r="M188" s="2238"/>
      <c r="N188" s="2239"/>
      <c r="O188" s="2498">
        <f t="shared" si="53"/>
        <v>21441.87</v>
      </c>
      <c r="P188" s="2295">
        <f t="shared" si="54"/>
        <v>1</v>
      </c>
    </row>
    <row r="189" spans="1:16" ht="45">
      <c r="A189" s="2265" t="s">
        <v>12852</v>
      </c>
      <c r="B189" s="2228">
        <f>VLOOKUP($A189,'11 - QT_ WB'!$A:$F,2,0)</f>
        <v>100757</v>
      </c>
      <c r="C189" s="2228" t="str">
        <f>VLOOKUP($A189,'11 - QT_ WB'!$A:$F,3,0)</f>
        <v>SINAPI</v>
      </c>
      <c r="D189" s="2333" t="s">
        <v>11097</v>
      </c>
      <c r="E189" s="2243" t="str">
        <f>IF($C189="SINAPI",VLOOKUP($B189,'24.08_ND'!$A:$D,3,0),IF($C189="PRÓPRIA",VLOOKUP($B189,'03-CP'!$C:$H,3,0)))</f>
        <v>M2</v>
      </c>
      <c r="F189" s="2230">
        <v>818.07999999999993</v>
      </c>
      <c r="G189" s="2232">
        <v>51.68</v>
      </c>
      <c r="H189" s="2332">
        <f t="shared" si="52"/>
        <v>42278.37</v>
      </c>
      <c r="I189" s="2286"/>
      <c r="J189" s="2237"/>
      <c r="K189" s="2411"/>
      <c r="L189" s="2533"/>
      <c r="M189" s="2238"/>
      <c r="N189" s="2239"/>
      <c r="O189" s="2498">
        <f t="shared" si="53"/>
        <v>42278.37</v>
      </c>
      <c r="P189" s="2295">
        <f t="shared" si="54"/>
        <v>1</v>
      </c>
    </row>
    <row r="190" spans="1:16" ht="30">
      <c r="A190" s="2265" t="s">
        <v>12853</v>
      </c>
      <c r="B190" s="2228">
        <f>VLOOKUP($A190,'11 - QT_ WB'!$A:$F,2,0)</f>
        <v>96135</v>
      </c>
      <c r="C190" s="2228" t="str">
        <f>VLOOKUP($A190,'11 - QT_ WB'!$A:$F,3,0)</f>
        <v>SINAPI</v>
      </c>
      <c r="D190" s="2333" t="s">
        <v>11028</v>
      </c>
      <c r="E190" s="2243" t="str">
        <f>IF($C190="SINAPI",VLOOKUP($B190,'24.08_ND'!$A:$D,3,0),IF($C190="PRÓPRIA",VLOOKUP($B190,'03-CP'!$C:$H,3,0)))</f>
        <v>M2</v>
      </c>
      <c r="F190" s="2230">
        <v>229.73000000000002</v>
      </c>
      <c r="G190" s="2232">
        <v>31.8</v>
      </c>
      <c r="H190" s="2332">
        <f t="shared" si="52"/>
        <v>7305.41</v>
      </c>
      <c r="I190" s="2286"/>
      <c r="J190" s="2237"/>
      <c r="K190" s="2411"/>
      <c r="L190" s="2533"/>
      <c r="M190" s="2238"/>
      <c r="N190" s="2239"/>
      <c r="O190" s="2498">
        <f t="shared" si="53"/>
        <v>7305.41</v>
      </c>
      <c r="P190" s="2295">
        <f t="shared" si="54"/>
        <v>1</v>
      </c>
    </row>
    <row r="191" spans="1:16">
      <c r="A191" s="2265" t="s">
        <v>12854</v>
      </c>
      <c r="B191" s="2228" t="str">
        <f>VLOOKUP($A191,'11 - QT_ WB'!$A:$F,2,0)</f>
        <v>PS-CP-14</v>
      </c>
      <c r="C191" s="2228" t="str">
        <f>VLOOKUP($A191,'11 - QT_ WB'!$A:$F,3,0)</f>
        <v>PRÓPRIA</v>
      </c>
      <c r="D191" s="2333" t="s">
        <v>14761</v>
      </c>
      <c r="E191" s="2243" t="str">
        <f>IF($C191="SINAPI",VLOOKUP($B191,'24.08_ND'!$A:$D,3,0),IF($C191="PRÓPRIA",VLOOKUP($B191,'03-CP'!$C:$H,3,0)))</f>
        <v>M2</v>
      </c>
      <c r="F191" s="2230">
        <v>34.24</v>
      </c>
      <c r="G191" s="2232">
        <v>97.01</v>
      </c>
      <c r="H191" s="2332">
        <f t="shared" si="52"/>
        <v>3321.62</v>
      </c>
      <c r="I191" s="2287"/>
      <c r="J191" s="2231"/>
      <c r="K191" s="2412"/>
      <c r="L191" s="2536"/>
      <c r="M191" s="2232"/>
      <c r="N191" s="2557"/>
      <c r="O191" s="2498">
        <f t="shared" si="53"/>
        <v>3321.62</v>
      </c>
      <c r="P191" s="2295">
        <f t="shared" si="54"/>
        <v>1</v>
      </c>
    </row>
    <row r="192" spans="1:16">
      <c r="A192" s="2265" t="s">
        <v>12855</v>
      </c>
      <c r="B192" s="2228" t="str">
        <f>VLOOKUP($A192,'11 - QT_ WB'!$A:$F,2,0)</f>
        <v>PS-CP-15</v>
      </c>
      <c r="C192" s="2228" t="str">
        <f>VLOOKUP($A192,'11 - QT_ WB'!$A:$F,3,0)</f>
        <v>PRÓPRIA</v>
      </c>
      <c r="D192" s="2333" t="s">
        <v>14764</v>
      </c>
      <c r="E192" s="2243" t="str">
        <f>IF($C192="SINAPI",VLOOKUP($B192,'24.08_ND'!$A:$D,3,0),IF($C192="PRÓPRIA",VLOOKUP($B192,'03-CP'!$C:$H,3,0)))</f>
        <v>M2</v>
      </c>
      <c r="F192" s="2230">
        <v>74.739999999999995</v>
      </c>
      <c r="G192" s="2232">
        <v>89.52</v>
      </c>
      <c r="H192" s="2332">
        <f t="shared" si="52"/>
        <v>6690.72</v>
      </c>
      <c r="I192" s="2287"/>
      <c r="J192" s="2231"/>
      <c r="K192" s="2412"/>
      <c r="L192" s="2536"/>
      <c r="M192" s="2232"/>
      <c r="N192" s="2557"/>
      <c r="O192" s="2498">
        <f t="shared" si="53"/>
        <v>6690.72</v>
      </c>
      <c r="P192" s="2295">
        <f t="shared" si="54"/>
        <v>1</v>
      </c>
    </row>
    <row r="193" spans="1:16">
      <c r="A193" s="2265" t="s">
        <v>12856</v>
      </c>
      <c r="B193" s="2228" t="str">
        <f>VLOOKUP($A193,'11 - QT_ WB'!$A:$F,2,0)</f>
        <v>PS-CP-16</v>
      </c>
      <c r="C193" s="2228" t="str">
        <f>VLOOKUP($A193,'11 - QT_ WB'!$A:$F,3,0)</f>
        <v>PRÓPRIA</v>
      </c>
      <c r="D193" s="2333" t="s">
        <v>14766</v>
      </c>
      <c r="E193" s="2243" t="str">
        <f>IF($C193="SINAPI",VLOOKUP($B193,'24.08_ND'!$A:$D,3,0),IF($C193="PRÓPRIA",VLOOKUP($B193,'03-CP'!$C:$H,3,0)))</f>
        <v>M2</v>
      </c>
      <c r="F193" s="2230">
        <v>273.46999999999997</v>
      </c>
      <c r="G193" s="2232">
        <v>28.87</v>
      </c>
      <c r="H193" s="2332">
        <f t="shared" si="52"/>
        <v>7895.07</v>
      </c>
      <c r="I193" s="2287"/>
      <c r="J193" s="2231"/>
      <c r="K193" s="2412"/>
      <c r="L193" s="2536"/>
      <c r="M193" s="2232"/>
      <c r="N193" s="2557"/>
      <c r="O193" s="2498">
        <f t="shared" si="53"/>
        <v>7895.07</v>
      </c>
      <c r="P193" s="2295">
        <f t="shared" si="54"/>
        <v>1</v>
      </c>
    </row>
    <row r="194" spans="1:16" ht="30">
      <c r="A194" s="2265" t="s">
        <v>12857</v>
      </c>
      <c r="B194" s="2228" t="str">
        <f>VLOOKUP($A194,'11 - QT_ WB'!$A:$F,2,0)</f>
        <v>PS-CP-17</v>
      </c>
      <c r="C194" s="2228" t="str">
        <f>VLOOKUP($A194,'11 - QT_ WB'!$A:$F,3,0)</f>
        <v>PRÓPRIA</v>
      </c>
      <c r="D194" s="2333" t="s">
        <v>14768</v>
      </c>
      <c r="E194" s="2243" t="str">
        <f>IF($C194="SINAPI",VLOOKUP($B194,'24.08_ND'!$A:$D,3,0),IF($C194="PRÓPRIA",VLOOKUP($B194,'03-CP'!$C:$H,3,0)))</f>
        <v>M2</v>
      </c>
      <c r="F194" s="2230">
        <v>45.1</v>
      </c>
      <c r="G194" s="2232">
        <v>63.98</v>
      </c>
      <c r="H194" s="2332">
        <f t="shared" si="52"/>
        <v>2885.49</v>
      </c>
      <c r="I194" s="2287"/>
      <c r="J194" s="2231"/>
      <c r="K194" s="2412"/>
      <c r="L194" s="2536"/>
      <c r="M194" s="2232"/>
      <c r="N194" s="2557"/>
      <c r="O194" s="2498">
        <f t="shared" si="53"/>
        <v>2885.49</v>
      </c>
      <c r="P194" s="2295">
        <f t="shared" si="54"/>
        <v>1</v>
      </c>
    </row>
    <row r="195" spans="1:16">
      <c r="A195" s="2265" t="s">
        <v>12858</v>
      </c>
      <c r="B195" s="2228" t="str">
        <f>VLOOKUP($A195,'11 - QT_ WB'!$A:$F,2,0)</f>
        <v>PS-CP-18</v>
      </c>
      <c r="C195" s="2228" t="str">
        <f>VLOOKUP($A195,'11 - QT_ WB'!$A:$F,3,0)</f>
        <v>PRÓPRIA</v>
      </c>
      <c r="D195" s="2333" t="s">
        <v>14770</v>
      </c>
      <c r="E195" s="2243" t="str">
        <f>IF($C195="SINAPI",VLOOKUP($B195,'24.08_ND'!$A:$D,3,0),IF($C195="PRÓPRIA",VLOOKUP($B195,'03-CP'!$C:$H,3,0)))</f>
        <v>M2</v>
      </c>
      <c r="F195" s="2230">
        <v>67.5</v>
      </c>
      <c r="G195" s="2232">
        <v>3.78</v>
      </c>
      <c r="H195" s="2332">
        <f t="shared" si="52"/>
        <v>255.15</v>
      </c>
      <c r="I195" s="2287"/>
      <c r="J195" s="2231"/>
      <c r="K195" s="2412"/>
      <c r="L195" s="2536"/>
      <c r="M195" s="2232"/>
      <c r="N195" s="2557"/>
      <c r="O195" s="2498">
        <f t="shared" si="53"/>
        <v>255.15</v>
      </c>
      <c r="P195" s="2295">
        <f t="shared" si="54"/>
        <v>1</v>
      </c>
    </row>
    <row r="196" spans="1:16">
      <c r="A196" s="2264" t="s">
        <v>12859</v>
      </c>
      <c r="B196" s="2223"/>
      <c r="C196" s="2223"/>
      <c r="D196" s="2376" t="s">
        <v>16279</v>
      </c>
      <c r="E196" s="2224"/>
      <c r="F196" s="2240"/>
      <c r="G196" s="2226"/>
      <c r="H196" s="2301">
        <f>SUBTOTAL(9,H197:H205)</f>
        <v>29006.84</v>
      </c>
      <c r="I196" s="2284"/>
      <c r="J196" s="2227"/>
      <c r="K196" s="2410"/>
      <c r="L196" s="2534">
        <f>SUBTOTAL(9,L197:L205)</f>
        <v>0</v>
      </c>
      <c r="M196" s="2301">
        <f>SUBTOTAL(9,M197:M205)</f>
        <v>0</v>
      </c>
      <c r="N196" s="2301">
        <f>SUBTOTAL(9,N197:N205)</f>
        <v>0</v>
      </c>
      <c r="O196" s="2301">
        <f>SUBTOTAL(9,O197:O205)</f>
        <v>29006.84</v>
      </c>
      <c r="P196" s="2293"/>
    </row>
    <row r="197" spans="1:16" ht="60">
      <c r="A197" s="2265" t="s">
        <v>12860</v>
      </c>
      <c r="B197" s="2228">
        <f>VLOOKUP($A197,'11 - QT_ WB'!$A:$F,2,0)</f>
        <v>90842</v>
      </c>
      <c r="C197" s="2228" t="str">
        <f>VLOOKUP($A197,'11 - QT_ WB'!$A:$F,3,0)</f>
        <v>SINAPI</v>
      </c>
      <c r="D197" s="2333" t="s">
        <v>6946</v>
      </c>
      <c r="E197" s="2243" t="str">
        <f>IF($C197="SINAPI",VLOOKUP($B197,'24.08_ND'!$A:$D,3,0),IF($C197="PRÓPRIA",VLOOKUP($B197,'03-CP'!$C:$H,3,0)))</f>
        <v>UN</v>
      </c>
      <c r="F197" s="2230">
        <v>1</v>
      </c>
      <c r="G197" s="2232">
        <v>1185.98</v>
      </c>
      <c r="H197" s="2332">
        <f t="shared" ref="H197:H205" si="55">TRUNC((G197*F197),2)</f>
        <v>1185.98</v>
      </c>
      <c r="I197" s="2328">
        <f>J197+K197</f>
        <v>0</v>
      </c>
      <c r="J197" s="2231"/>
      <c r="K197" s="2412"/>
      <c r="L197" s="2533">
        <f>M197+N197</f>
        <v>0</v>
      </c>
      <c r="M197" s="2238">
        <v>0</v>
      </c>
      <c r="N197" s="2239">
        <f>TRUNC(H197*K197,2)</f>
        <v>0</v>
      </c>
      <c r="O197" s="2498">
        <f t="shared" ref="O197:O205" si="56">H197-L197</f>
        <v>1185.98</v>
      </c>
      <c r="P197" s="2295">
        <f t="shared" ref="P197:P206" si="57">O197/H197</f>
        <v>1</v>
      </c>
    </row>
    <row r="198" spans="1:16" ht="60">
      <c r="A198" s="2265" t="s">
        <v>12861</v>
      </c>
      <c r="B198" s="2228">
        <f>VLOOKUP($A198,'11 - QT_ WB'!$A:$F,2,0)</f>
        <v>90843</v>
      </c>
      <c r="C198" s="2228" t="str">
        <f>VLOOKUP($A198,'11 - QT_ WB'!$A:$F,3,0)</f>
        <v>SINAPI</v>
      </c>
      <c r="D198" s="2333" t="s">
        <v>6947</v>
      </c>
      <c r="E198" s="2243" t="str">
        <f>IF($C198="SINAPI",VLOOKUP($B198,'24.08_ND'!$A:$D,3,0),IF($C198="PRÓPRIA",VLOOKUP($B198,'03-CP'!$C:$H,3,0)))</f>
        <v>UN</v>
      </c>
      <c r="F198" s="2230">
        <v>1</v>
      </c>
      <c r="G198" s="2232">
        <v>1240.43</v>
      </c>
      <c r="H198" s="2332">
        <f t="shared" si="55"/>
        <v>1240.43</v>
      </c>
      <c r="I198" s="2286"/>
      <c r="J198" s="2237"/>
      <c r="K198" s="2411"/>
      <c r="L198" s="2533"/>
      <c r="M198" s="2238"/>
      <c r="N198" s="2239"/>
      <c r="O198" s="2498">
        <f t="shared" si="56"/>
        <v>1240.43</v>
      </c>
      <c r="P198" s="2295">
        <f t="shared" si="57"/>
        <v>1</v>
      </c>
    </row>
    <row r="199" spans="1:16" ht="60">
      <c r="A199" s="2265" t="s">
        <v>12862</v>
      </c>
      <c r="B199" s="2228">
        <f>VLOOKUP($A199,'11 - QT_ WB'!$A:$F,2,0)</f>
        <v>90844</v>
      </c>
      <c r="C199" s="2228" t="str">
        <f>VLOOKUP($A199,'11 - QT_ WB'!$A:$F,3,0)</f>
        <v>SINAPI</v>
      </c>
      <c r="D199" s="2333" t="s">
        <v>6948</v>
      </c>
      <c r="E199" s="2243" t="str">
        <f>IF($C199="SINAPI",VLOOKUP($B199,'24.08_ND'!$A:$D,3,0),IF($C199="PRÓPRIA",VLOOKUP($B199,'03-CP'!$C:$H,3,0)))</f>
        <v>UN</v>
      </c>
      <c r="F199" s="2230">
        <v>1</v>
      </c>
      <c r="G199" s="2232">
        <v>1343.46</v>
      </c>
      <c r="H199" s="2332">
        <f t="shared" si="55"/>
        <v>1343.46</v>
      </c>
      <c r="I199" s="2286"/>
      <c r="J199" s="2237"/>
      <c r="K199" s="2411"/>
      <c r="L199" s="2533"/>
      <c r="M199" s="2238"/>
      <c r="N199" s="2239"/>
      <c r="O199" s="2498">
        <f t="shared" si="56"/>
        <v>1343.46</v>
      </c>
      <c r="P199" s="2295">
        <f t="shared" si="57"/>
        <v>1</v>
      </c>
    </row>
    <row r="200" spans="1:16" ht="60">
      <c r="A200" s="2265" t="s">
        <v>12863</v>
      </c>
      <c r="B200" s="2228" t="str">
        <f>VLOOKUP($A200,'11 - QT_ WB'!$A:$F,2,0)</f>
        <v>PS-CP-97</v>
      </c>
      <c r="C200" s="2228" t="str">
        <f>VLOOKUP($A200,'11 - QT_ WB'!$A:$F,3,0)</f>
        <v>PRÓPRIA</v>
      </c>
      <c r="D200" s="2333" t="s">
        <v>14972</v>
      </c>
      <c r="E200" s="2243" t="str">
        <f>IF($C200="SINAPI",VLOOKUP($B200,'24.08_ND'!$A:$D,3,0),IF($C200="PRÓPRIA",VLOOKUP($B200,'03-CP'!$C:$H,3,0)))</f>
        <v>UN</v>
      </c>
      <c r="F200" s="2230">
        <v>2</v>
      </c>
      <c r="G200" s="2232">
        <v>2323.75</v>
      </c>
      <c r="H200" s="2332">
        <f t="shared" si="55"/>
        <v>4647.5</v>
      </c>
      <c r="I200" s="2287"/>
      <c r="J200" s="2231"/>
      <c r="K200" s="2412"/>
      <c r="L200" s="2536"/>
      <c r="M200" s="2232"/>
      <c r="N200" s="2557"/>
      <c r="O200" s="2498">
        <f t="shared" si="56"/>
        <v>4647.5</v>
      </c>
      <c r="P200" s="2295">
        <f t="shared" si="57"/>
        <v>1</v>
      </c>
    </row>
    <row r="201" spans="1:16" ht="60">
      <c r="A201" s="2265" t="s">
        <v>12864</v>
      </c>
      <c r="B201" s="2228" t="str">
        <f>VLOOKUP($A201,'11 - QT_ WB'!$A:$F,2,0)</f>
        <v>PS-CP-98</v>
      </c>
      <c r="C201" s="2228" t="str">
        <f>VLOOKUP($A201,'11 - QT_ WB'!$A:$F,3,0)</f>
        <v>PRÓPRIA</v>
      </c>
      <c r="D201" s="2333" t="s">
        <v>14974</v>
      </c>
      <c r="E201" s="2243" t="str">
        <f>IF($C201="SINAPI",VLOOKUP($B201,'24.08_ND'!$A:$D,3,0),IF($C201="PRÓPRIA",VLOOKUP($B201,'03-CP'!$C:$H,3,0)))</f>
        <v>UN</v>
      </c>
      <c r="F201" s="2230">
        <v>3</v>
      </c>
      <c r="G201" s="2232">
        <v>2500</v>
      </c>
      <c r="H201" s="2332">
        <f t="shared" si="55"/>
        <v>7500</v>
      </c>
      <c r="I201" s="2287"/>
      <c r="J201" s="2231"/>
      <c r="K201" s="2412"/>
      <c r="L201" s="2536"/>
      <c r="M201" s="2232"/>
      <c r="N201" s="2557"/>
      <c r="O201" s="2498">
        <f t="shared" si="56"/>
        <v>7500</v>
      </c>
      <c r="P201" s="2295">
        <f t="shared" si="57"/>
        <v>1</v>
      </c>
    </row>
    <row r="202" spans="1:16" ht="45">
      <c r="A202" s="2265" t="s">
        <v>12865</v>
      </c>
      <c r="B202" s="2228">
        <f>VLOOKUP($A202,'11 - QT_ WB'!$A:$F,2,0)</f>
        <v>100761</v>
      </c>
      <c r="C202" s="2228" t="str">
        <f>VLOOKUP($A202,'11 - QT_ WB'!$A:$F,3,0)</f>
        <v>SINAPI</v>
      </c>
      <c r="D202" s="2333" t="s">
        <v>11101</v>
      </c>
      <c r="E202" s="2243" t="str">
        <f>IF($C202="SINAPI",VLOOKUP($B202,'24.08_ND'!$A:$D,3,0),IF($C202="PRÓPRIA",VLOOKUP($B202,'03-CP'!$C:$H,3,0)))</f>
        <v>M2</v>
      </c>
      <c r="F202" s="2230">
        <v>14.43</v>
      </c>
      <c r="G202" s="2232">
        <v>51.38</v>
      </c>
      <c r="H202" s="2332">
        <f t="shared" si="55"/>
        <v>741.41</v>
      </c>
      <c r="I202" s="2286"/>
      <c r="J202" s="2237"/>
      <c r="K202" s="2411"/>
      <c r="L202" s="2533"/>
      <c r="M202" s="2238"/>
      <c r="N202" s="2239"/>
      <c r="O202" s="2498">
        <f t="shared" si="56"/>
        <v>741.41</v>
      </c>
      <c r="P202" s="2295">
        <f t="shared" si="57"/>
        <v>1</v>
      </c>
    </row>
    <row r="203" spans="1:16" ht="30">
      <c r="A203" s="2265" t="s">
        <v>12866</v>
      </c>
      <c r="B203" s="2228" t="str">
        <f>VLOOKUP($A203,'11 - QT_ WB'!$A:$F,2,0)</f>
        <v>PS-CP-10</v>
      </c>
      <c r="C203" s="2228" t="str">
        <f>VLOOKUP($A203,'11 - QT_ WB'!$A:$F,3,0)</f>
        <v>PRÓPRIA</v>
      </c>
      <c r="D203" s="2333" t="s">
        <v>14751</v>
      </c>
      <c r="E203" s="2243" t="str">
        <f>IF($C203="SINAPI",VLOOKUP($B203,'24.08_ND'!$A:$D,3,0),IF($C203="PRÓPRIA",VLOOKUP($B203,'03-CP'!$C:$H,3,0)))</f>
        <v>M2</v>
      </c>
      <c r="F203" s="2230">
        <v>6.08</v>
      </c>
      <c r="G203" s="2232">
        <v>1411.21</v>
      </c>
      <c r="H203" s="2332">
        <f t="shared" si="55"/>
        <v>8580.15</v>
      </c>
      <c r="I203" s="2287"/>
      <c r="J203" s="2231"/>
      <c r="K203" s="2412"/>
      <c r="L203" s="2536"/>
      <c r="M203" s="2232"/>
      <c r="N203" s="2557"/>
      <c r="O203" s="2498">
        <f t="shared" si="56"/>
        <v>8580.15</v>
      </c>
      <c r="P203" s="2295">
        <f t="shared" si="57"/>
        <v>1</v>
      </c>
    </row>
    <row r="204" spans="1:16" ht="45">
      <c r="A204" s="2265" t="s">
        <v>12867</v>
      </c>
      <c r="B204" s="2228">
        <f>VLOOKUP($A204,'11 - QT_ WB'!$A:$F,2,0)</f>
        <v>94569</v>
      </c>
      <c r="C204" s="2228" t="str">
        <f>VLOOKUP($A204,'11 - QT_ WB'!$A:$F,3,0)</f>
        <v>SINAPI</v>
      </c>
      <c r="D204" s="2333" t="s">
        <v>7102</v>
      </c>
      <c r="E204" s="2243" t="str">
        <f>IF($C204="SINAPI",VLOOKUP($B204,'24.08_ND'!$A:$D,3,0),IF($C204="PRÓPRIA",VLOOKUP($B204,'03-CP'!$C:$H,3,0)))</f>
        <v>M2</v>
      </c>
      <c r="F204" s="2230">
        <v>3.2</v>
      </c>
      <c r="G204" s="2232">
        <v>703.81</v>
      </c>
      <c r="H204" s="2332">
        <f t="shared" si="55"/>
        <v>2252.19</v>
      </c>
      <c r="I204" s="2286"/>
      <c r="J204" s="2237"/>
      <c r="K204" s="2411"/>
      <c r="L204" s="2533"/>
      <c r="M204" s="2238"/>
      <c r="N204" s="2239"/>
      <c r="O204" s="2498">
        <f t="shared" si="56"/>
        <v>2252.19</v>
      </c>
      <c r="P204" s="2295">
        <f t="shared" si="57"/>
        <v>1</v>
      </c>
    </row>
    <row r="205" spans="1:16" ht="30">
      <c r="A205" s="2265" t="s">
        <v>12868</v>
      </c>
      <c r="B205" s="2228" t="str">
        <f>VLOOKUP($A205,'11 - QT_ WB'!$A:$F,2,0)</f>
        <v>PS-CP-11</v>
      </c>
      <c r="C205" s="2228" t="str">
        <f>VLOOKUP($A205,'11 - QT_ WB'!$A:$F,3,0)</f>
        <v>PRÓPRIA</v>
      </c>
      <c r="D205" s="2333" t="s">
        <v>14753</v>
      </c>
      <c r="E205" s="2243" t="str">
        <f>IF($C205="SINAPI",VLOOKUP($B205,'24.08_ND'!$A:$D,3,0),IF($C205="PRÓPRIA",VLOOKUP($B205,'03-CP'!$C:$H,3,0)))</f>
        <v>M2</v>
      </c>
      <c r="F205" s="2230">
        <v>2</v>
      </c>
      <c r="G205" s="2232">
        <v>757.86</v>
      </c>
      <c r="H205" s="2332">
        <f t="shared" si="55"/>
        <v>1515.72</v>
      </c>
      <c r="I205" s="2287"/>
      <c r="J205" s="2231"/>
      <c r="K205" s="2412"/>
      <c r="L205" s="2536"/>
      <c r="M205" s="2232"/>
      <c r="N205" s="2557"/>
      <c r="O205" s="2498">
        <f t="shared" si="56"/>
        <v>1515.72</v>
      </c>
      <c r="P205" s="2295">
        <f t="shared" si="57"/>
        <v>1</v>
      </c>
    </row>
    <row r="206" spans="1:16">
      <c r="A206" s="2264" t="s">
        <v>12869</v>
      </c>
      <c r="B206" s="2223"/>
      <c r="C206" s="2223"/>
      <c r="D206" s="2376" t="s">
        <v>16284</v>
      </c>
      <c r="E206" s="2224"/>
      <c r="F206" s="2240"/>
      <c r="G206" s="2226"/>
      <c r="H206" s="2301">
        <f>SUBTOTAL(9,H207:H220)</f>
        <v>95054.35</v>
      </c>
      <c r="I206" s="2284"/>
      <c r="J206" s="2227"/>
      <c r="K206" s="2410"/>
      <c r="L206" s="2534">
        <f>SUBTOTAL(9,L207:L220)</f>
        <v>0</v>
      </c>
      <c r="M206" s="2301">
        <f>SUBTOTAL(9,M207:M220)</f>
        <v>0</v>
      </c>
      <c r="N206" s="2301">
        <f>SUBTOTAL(9,N207:N220)</f>
        <v>0</v>
      </c>
      <c r="O206" s="2301">
        <f>SUBTOTAL(9,O207:O220)</f>
        <v>95054.35</v>
      </c>
      <c r="P206" s="2293">
        <f t="shared" si="57"/>
        <v>1</v>
      </c>
    </row>
    <row r="207" spans="1:16">
      <c r="A207" s="2265" t="s">
        <v>12870</v>
      </c>
      <c r="B207" s="2228">
        <f>VLOOKUP($A207,'11 - QT_ WB'!$A:$F,2,0)</f>
        <v>96113</v>
      </c>
      <c r="C207" s="2228" t="str">
        <f>VLOOKUP($A207,'11 - QT_ WB'!$A:$F,3,0)</f>
        <v>SINAPI</v>
      </c>
      <c r="D207" s="2333" t="s">
        <v>11508</v>
      </c>
      <c r="E207" s="2243" t="str">
        <f>IF($C207="SINAPI",VLOOKUP($B207,'24.08_ND'!$A:$D,3,0),IF($C207="PRÓPRIA",VLOOKUP($B207,'03-CP'!$C:$H,3,0)))</f>
        <v>M2</v>
      </c>
      <c r="F207" s="2230">
        <v>88.84</v>
      </c>
      <c r="G207" s="2232">
        <v>52.76</v>
      </c>
      <c r="H207" s="2332">
        <f t="shared" ref="H207:H220" si="58">TRUNC((G207*F207),2)</f>
        <v>4687.1899999999996</v>
      </c>
      <c r="I207" s="2328">
        <f>J207+K207</f>
        <v>0</v>
      </c>
      <c r="J207" s="2231"/>
      <c r="K207" s="2412"/>
      <c r="L207" s="2533">
        <f>M207+N207</f>
        <v>0</v>
      </c>
      <c r="M207" s="2238">
        <v>0</v>
      </c>
      <c r="N207" s="2239">
        <f>TRUNC(H207*K207,2)</f>
        <v>0</v>
      </c>
      <c r="O207" s="2498">
        <f t="shared" ref="O207:O220" si="59">H207-L207</f>
        <v>4687.1899999999996</v>
      </c>
      <c r="P207" s="2295">
        <f t="shared" ref="P207:P220" si="60">O207/H207</f>
        <v>1</v>
      </c>
    </row>
    <row r="208" spans="1:16" ht="30">
      <c r="A208" s="2265" t="s">
        <v>12871</v>
      </c>
      <c r="B208" s="2228" t="str">
        <f>VLOOKUP($A208,'11 - QT_ WB'!$A:$F,2,0)</f>
        <v>PS-CP-31</v>
      </c>
      <c r="C208" s="2228" t="str">
        <f>VLOOKUP($A208,'11 - QT_ WB'!$A:$F,3,0)</f>
        <v>PRÓPRIA</v>
      </c>
      <c r="D208" s="2333" t="s">
        <v>14804</v>
      </c>
      <c r="E208" s="2243" t="str">
        <f>IF($C208="SINAPI",VLOOKUP($B208,'24.08_ND'!$A:$D,3,0),IF($C208="PRÓPRIA",VLOOKUP($B208,'03-CP'!$C:$H,3,0)))</f>
        <v>M2</v>
      </c>
      <c r="F208" s="2230">
        <v>52.28</v>
      </c>
      <c r="G208" s="2232">
        <v>137.75</v>
      </c>
      <c r="H208" s="2332">
        <f t="shared" si="58"/>
        <v>7201.57</v>
      </c>
      <c r="I208" s="2287"/>
      <c r="J208" s="2231"/>
      <c r="K208" s="2412"/>
      <c r="L208" s="2536"/>
      <c r="M208" s="2232"/>
      <c r="N208" s="2557"/>
      <c r="O208" s="2498">
        <f t="shared" si="59"/>
        <v>7201.57</v>
      </c>
      <c r="P208" s="2295">
        <f t="shared" si="60"/>
        <v>1</v>
      </c>
    </row>
    <row r="209" spans="1:16">
      <c r="A209" s="2265" t="s">
        <v>12872</v>
      </c>
      <c r="B209" s="2228" t="str">
        <f>VLOOKUP($A209,'11 - QT_ WB'!$A:$F,2,0)</f>
        <v>PS-CP-27</v>
      </c>
      <c r="C209" s="2228" t="str">
        <f>VLOOKUP($A209,'11 - QT_ WB'!$A:$F,3,0)</f>
        <v>PRÓPRIA</v>
      </c>
      <c r="D209" s="2333" t="s">
        <v>14793</v>
      </c>
      <c r="E209" s="2243" t="str">
        <f>IF($C209="SINAPI",VLOOKUP($B209,'24.08_ND'!$A:$D,3,0),IF($C209="PRÓPRIA",VLOOKUP($B209,'03-CP'!$C:$H,3,0)))</f>
        <v>M</v>
      </c>
      <c r="F209" s="2230">
        <v>84.7</v>
      </c>
      <c r="G209" s="2232">
        <v>8.33</v>
      </c>
      <c r="H209" s="2332">
        <f t="shared" si="58"/>
        <v>705.55</v>
      </c>
      <c r="I209" s="2287"/>
      <c r="J209" s="2231"/>
      <c r="K209" s="2412"/>
      <c r="L209" s="2536"/>
      <c r="M209" s="2232"/>
      <c r="N209" s="2557"/>
      <c r="O209" s="2498">
        <f t="shared" si="59"/>
        <v>705.55</v>
      </c>
      <c r="P209" s="2295">
        <f t="shared" si="60"/>
        <v>1</v>
      </c>
    </row>
    <row r="210" spans="1:16">
      <c r="A210" s="2265" t="s">
        <v>12873</v>
      </c>
      <c r="B210" s="2228" t="str">
        <f>VLOOKUP($A210,'11 - QT_ WB'!$A:$F,2,0)</f>
        <v>PS-CP-28</v>
      </c>
      <c r="C210" s="2228" t="str">
        <f>VLOOKUP($A210,'11 - QT_ WB'!$A:$F,3,0)</f>
        <v>PRÓPRIA</v>
      </c>
      <c r="D210" s="2333" t="s">
        <v>14796</v>
      </c>
      <c r="E210" s="2243" t="str">
        <f>IF($C210="SINAPI",VLOOKUP($B210,'24.08_ND'!$A:$D,3,0),IF($C210="PRÓPRIA",VLOOKUP($B210,'03-CP'!$C:$H,3,0)))</f>
        <v>M</v>
      </c>
      <c r="F210" s="2230">
        <v>4.84</v>
      </c>
      <c r="G210" s="2232">
        <v>23.62</v>
      </c>
      <c r="H210" s="2332">
        <f t="shared" si="58"/>
        <v>114.32</v>
      </c>
      <c r="I210" s="2287"/>
      <c r="J210" s="2231"/>
      <c r="K210" s="2412"/>
      <c r="L210" s="2536"/>
      <c r="M210" s="2232"/>
      <c r="N210" s="2557"/>
      <c r="O210" s="2498">
        <f t="shared" si="59"/>
        <v>114.32</v>
      </c>
      <c r="P210" s="2295">
        <f t="shared" si="60"/>
        <v>1</v>
      </c>
    </row>
    <row r="211" spans="1:16">
      <c r="A211" s="2265" t="s">
        <v>12874</v>
      </c>
      <c r="B211" s="2228" t="str">
        <f>VLOOKUP($A211,'11 - QT_ WB'!$A:$F,2,0)</f>
        <v>PS-CP-29</v>
      </c>
      <c r="C211" s="2228" t="str">
        <f>VLOOKUP($A211,'11 - QT_ WB'!$A:$F,3,0)</f>
        <v>PRÓPRIA</v>
      </c>
      <c r="D211" s="2333" t="s">
        <v>14798</v>
      </c>
      <c r="E211" s="2243" t="str">
        <f>IF($C211="SINAPI",VLOOKUP($B211,'24.08_ND'!$A:$D,3,0),IF($C211="PRÓPRIA",VLOOKUP($B211,'03-CP'!$C:$H,3,0)))</f>
        <v>M</v>
      </c>
      <c r="F211" s="2230">
        <v>1.9</v>
      </c>
      <c r="G211" s="2232">
        <v>25.87</v>
      </c>
      <c r="H211" s="2332">
        <f t="shared" si="58"/>
        <v>49.15</v>
      </c>
      <c r="I211" s="2287"/>
      <c r="J211" s="2231"/>
      <c r="K211" s="2412"/>
      <c r="L211" s="2536"/>
      <c r="M211" s="2232"/>
      <c r="N211" s="2557"/>
      <c r="O211" s="2498">
        <f t="shared" si="59"/>
        <v>49.15</v>
      </c>
      <c r="P211" s="2295">
        <f t="shared" si="60"/>
        <v>1</v>
      </c>
    </row>
    <row r="212" spans="1:16" ht="45">
      <c r="A212" s="2265" t="s">
        <v>12875</v>
      </c>
      <c r="B212" s="2228" t="str">
        <f>VLOOKUP($A212,'11 - QT_ WB'!$A:$F,2,0)</f>
        <v>PS-CP-30</v>
      </c>
      <c r="C212" s="2228" t="str">
        <f>VLOOKUP($A212,'11 - QT_ WB'!$A:$F,3,0)</f>
        <v>PRÓPRIA</v>
      </c>
      <c r="D212" s="2333" t="s">
        <v>14800</v>
      </c>
      <c r="E212" s="2243" t="str">
        <f>IF($C212="SINAPI",VLOOKUP($B212,'24.08_ND'!$A:$D,3,0),IF($C212="PRÓPRIA",VLOOKUP($B212,'03-CP'!$C:$H,3,0)))</f>
        <v>M</v>
      </c>
      <c r="F212" s="2230">
        <v>131.29</v>
      </c>
      <c r="G212" s="2232">
        <v>17.32</v>
      </c>
      <c r="H212" s="2332">
        <f t="shared" si="58"/>
        <v>2273.94</v>
      </c>
      <c r="I212" s="2287"/>
      <c r="J212" s="2231"/>
      <c r="K212" s="2412"/>
      <c r="L212" s="2536"/>
      <c r="M212" s="2232"/>
      <c r="N212" s="2557"/>
      <c r="O212" s="2498">
        <f t="shared" si="59"/>
        <v>2273.94</v>
      </c>
      <c r="P212" s="2295">
        <f t="shared" si="60"/>
        <v>1</v>
      </c>
    </row>
    <row r="213" spans="1:16">
      <c r="A213" s="2265" t="s">
        <v>12876</v>
      </c>
      <c r="B213" s="2228" t="str">
        <f>VLOOKUP($A213,'11 - QT_ WB'!$A:$F,2,0)</f>
        <v>PS-CP-53</v>
      </c>
      <c r="C213" s="2228" t="str">
        <f>VLOOKUP($A213,'11 - QT_ WB'!$A:$F,3,0)</f>
        <v>PRÓPRIA</v>
      </c>
      <c r="D213" s="2333" t="s">
        <v>14871</v>
      </c>
      <c r="E213" s="2243" t="str">
        <f>IF($C213="SINAPI",VLOOKUP($B213,'24.08_ND'!$A:$D,3,0),IF($C213="PRÓPRIA",VLOOKUP($B213,'03-CP'!$C:$H,3,0)))</f>
        <v>M2</v>
      </c>
      <c r="F213" s="2230">
        <v>17.920000000000002</v>
      </c>
      <c r="G213" s="2232">
        <v>190.32</v>
      </c>
      <c r="H213" s="2332">
        <f t="shared" si="58"/>
        <v>3410.53</v>
      </c>
      <c r="I213" s="2287"/>
      <c r="J213" s="2231"/>
      <c r="K213" s="2412"/>
      <c r="L213" s="2536"/>
      <c r="M213" s="2232"/>
      <c r="N213" s="2557"/>
      <c r="O213" s="2498">
        <f t="shared" si="59"/>
        <v>3410.53</v>
      </c>
      <c r="P213" s="2295">
        <f t="shared" si="60"/>
        <v>1</v>
      </c>
    </row>
    <row r="214" spans="1:16" ht="30">
      <c r="A214" s="2265" t="s">
        <v>12877</v>
      </c>
      <c r="B214" s="2228" t="str">
        <f>VLOOKUP($A214,'11 - QT_ WB'!$A:$F,2,0)</f>
        <v>PS-CP-54</v>
      </c>
      <c r="C214" s="2228" t="str">
        <f>VLOOKUP($A214,'11 - QT_ WB'!$A:$F,3,0)</f>
        <v>PRÓPRIA</v>
      </c>
      <c r="D214" s="2333" t="s">
        <v>14874</v>
      </c>
      <c r="E214" s="2243" t="str">
        <f>IF($C214="SINAPI",VLOOKUP($B214,'24.08_ND'!$A:$D,3,0),IF($C214="PRÓPRIA",VLOOKUP($B214,'03-CP'!$C:$H,3,0)))</f>
        <v>M</v>
      </c>
      <c r="F214" s="2230">
        <v>47.25</v>
      </c>
      <c r="G214" s="2232">
        <v>52.68</v>
      </c>
      <c r="H214" s="2332">
        <f t="shared" si="58"/>
        <v>2489.13</v>
      </c>
      <c r="I214" s="2287"/>
      <c r="J214" s="2231"/>
      <c r="K214" s="2412"/>
      <c r="L214" s="2536"/>
      <c r="M214" s="2232"/>
      <c r="N214" s="2557"/>
      <c r="O214" s="2498">
        <f t="shared" si="59"/>
        <v>2489.13</v>
      </c>
      <c r="P214" s="2295">
        <f t="shared" si="60"/>
        <v>1</v>
      </c>
    </row>
    <row r="215" spans="1:16" ht="30">
      <c r="A215" s="2265" t="s">
        <v>12878</v>
      </c>
      <c r="B215" s="2228" t="str">
        <f>VLOOKUP($A215,'11 - QT_ WB'!$A:$F,2,0)</f>
        <v>PS-CP-55</v>
      </c>
      <c r="C215" s="2228" t="str">
        <f>VLOOKUP($A215,'11 - QT_ WB'!$A:$F,3,0)</f>
        <v>PRÓPRIA</v>
      </c>
      <c r="D215" s="2333" t="s">
        <v>14877</v>
      </c>
      <c r="E215" s="2243" t="str">
        <f>IF($C215="SINAPI",VLOOKUP($B215,'24.08_ND'!$A:$D,3,0),IF($C215="PRÓPRIA",VLOOKUP($B215,'03-CP'!$C:$H,3,0)))</f>
        <v>M</v>
      </c>
      <c r="F215" s="2230">
        <v>45.34</v>
      </c>
      <c r="G215" s="2232">
        <v>21.35</v>
      </c>
      <c r="H215" s="2332">
        <f t="shared" si="58"/>
        <v>968</v>
      </c>
      <c r="I215" s="2287"/>
      <c r="J215" s="2231"/>
      <c r="K215" s="2412"/>
      <c r="L215" s="2536"/>
      <c r="M215" s="2232"/>
      <c r="N215" s="2557"/>
      <c r="O215" s="2498">
        <f t="shared" si="59"/>
        <v>968</v>
      </c>
      <c r="P215" s="2295">
        <f t="shared" si="60"/>
        <v>1</v>
      </c>
    </row>
    <row r="216" spans="1:16" ht="30">
      <c r="A216" s="2265" t="s">
        <v>12879</v>
      </c>
      <c r="B216" s="2228" t="str">
        <f>VLOOKUP($A216,'11 - QT_ WB'!$A:$F,2,0)</f>
        <v>PS-CP-56</v>
      </c>
      <c r="C216" s="2228" t="str">
        <f>VLOOKUP($A216,'11 - QT_ WB'!$A:$F,3,0)</f>
        <v>PRÓPRIA</v>
      </c>
      <c r="D216" s="2333" t="s">
        <v>14879</v>
      </c>
      <c r="E216" s="2243" t="str">
        <f>IF($C216="SINAPI",VLOOKUP($B216,'24.08_ND'!$A:$D,3,0),IF($C216="PRÓPRIA",VLOOKUP($B216,'03-CP'!$C:$H,3,0)))</f>
        <v>M</v>
      </c>
      <c r="F216" s="2230">
        <v>45.06</v>
      </c>
      <c r="G216" s="2232">
        <v>86.67</v>
      </c>
      <c r="H216" s="2332">
        <f t="shared" si="58"/>
        <v>3905.35</v>
      </c>
      <c r="I216" s="2287"/>
      <c r="J216" s="2231"/>
      <c r="K216" s="2412"/>
      <c r="L216" s="2536"/>
      <c r="M216" s="2232"/>
      <c r="N216" s="2557"/>
      <c r="O216" s="2498">
        <f t="shared" si="59"/>
        <v>3905.35</v>
      </c>
      <c r="P216" s="2295">
        <f t="shared" si="60"/>
        <v>1</v>
      </c>
    </row>
    <row r="217" spans="1:16" ht="30">
      <c r="A217" s="2265" t="s">
        <v>12880</v>
      </c>
      <c r="B217" s="2228" t="str">
        <f>VLOOKUP($A217,'11 - QT_ WB'!$A:$F,2,0)</f>
        <v>PS-CP-57</v>
      </c>
      <c r="C217" s="2228" t="str">
        <f>VLOOKUP($A217,'11 - QT_ WB'!$A:$F,3,0)</f>
        <v>PRÓPRIA</v>
      </c>
      <c r="D217" s="2333" t="s">
        <v>14881</v>
      </c>
      <c r="E217" s="2243" t="str">
        <f>IF($C217="SINAPI",VLOOKUP($B217,'24.08_ND'!$A:$D,3,0),IF($C217="PRÓPRIA",VLOOKUP($B217,'03-CP'!$C:$H,3,0)))</f>
        <v>M</v>
      </c>
      <c r="F217" s="2230">
        <v>17.920000000000002</v>
      </c>
      <c r="G217" s="2232">
        <v>169.66</v>
      </c>
      <c r="H217" s="2332">
        <f t="shared" si="58"/>
        <v>3040.3</v>
      </c>
      <c r="I217" s="2287"/>
      <c r="J217" s="2231"/>
      <c r="K217" s="2412"/>
      <c r="L217" s="2536"/>
      <c r="M217" s="2232"/>
      <c r="N217" s="2557"/>
      <c r="O217" s="2498">
        <f t="shared" si="59"/>
        <v>3040.3</v>
      </c>
      <c r="P217" s="2295">
        <f t="shared" si="60"/>
        <v>1</v>
      </c>
    </row>
    <row r="218" spans="1:16" ht="30">
      <c r="A218" s="2265" t="s">
        <v>12881</v>
      </c>
      <c r="B218" s="2228">
        <f>VLOOKUP($A218,'11 - QT_ WB'!$A:$F,2,0)</f>
        <v>94229</v>
      </c>
      <c r="C218" s="2228" t="str">
        <f>VLOOKUP($A218,'11 - QT_ WB'!$A:$F,3,0)</f>
        <v>SINAPI</v>
      </c>
      <c r="D218" s="2333" t="s">
        <v>6370</v>
      </c>
      <c r="E218" s="2243" t="str">
        <f>IF($C218="SINAPI",VLOOKUP($B218,'24.08_ND'!$A:$D,3,0),IF($C218="PRÓPRIA",VLOOKUP($B218,'03-CP'!$C:$H,3,0)))</f>
        <v>M</v>
      </c>
      <c r="F218" s="2230">
        <v>45.06</v>
      </c>
      <c r="G218" s="2232">
        <v>216.68</v>
      </c>
      <c r="H218" s="2332">
        <f t="shared" si="58"/>
        <v>9763.6</v>
      </c>
      <c r="I218" s="2286"/>
      <c r="J218" s="2237"/>
      <c r="K218" s="2411"/>
      <c r="L218" s="2533"/>
      <c r="M218" s="2238"/>
      <c r="N218" s="2239"/>
      <c r="O218" s="2498">
        <f t="shared" si="59"/>
        <v>9763.6</v>
      </c>
      <c r="P218" s="2295">
        <f t="shared" si="60"/>
        <v>1</v>
      </c>
    </row>
    <row r="219" spans="1:16" ht="30">
      <c r="A219" s="2265" t="s">
        <v>12882</v>
      </c>
      <c r="B219" s="2228" t="str">
        <f>VLOOKUP($A219,'11 - QT_ WB'!$A:$F,2,0)</f>
        <v>PS-CP-58</v>
      </c>
      <c r="C219" s="2228" t="str">
        <f>VLOOKUP($A219,'11 - QT_ WB'!$A:$F,3,0)</f>
        <v>PRÓPRIA</v>
      </c>
      <c r="D219" s="2333" t="s">
        <v>14883</v>
      </c>
      <c r="E219" s="2243" t="str">
        <f>IF($C219="SINAPI",VLOOKUP($B219,'24.08_ND'!$A:$D,3,0),IF($C219="PRÓPRIA",VLOOKUP($B219,'03-CP'!$C:$H,3,0)))</f>
        <v>M</v>
      </c>
      <c r="F219" s="2230">
        <v>45.06</v>
      </c>
      <c r="G219" s="2232">
        <v>43.28</v>
      </c>
      <c r="H219" s="2332">
        <f t="shared" si="58"/>
        <v>1950.19</v>
      </c>
      <c r="I219" s="2287"/>
      <c r="J219" s="2231"/>
      <c r="K219" s="2412"/>
      <c r="L219" s="2536"/>
      <c r="M219" s="2232"/>
      <c r="N219" s="2557"/>
      <c r="O219" s="2498">
        <f t="shared" si="59"/>
        <v>1950.19</v>
      </c>
      <c r="P219" s="2295">
        <f t="shared" si="60"/>
        <v>1</v>
      </c>
    </row>
    <row r="220" spans="1:16" ht="30">
      <c r="A220" s="2265" t="s">
        <v>12883</v>
      </c>
      <c r="B220" s="2228" t="str">
        <f>VLOOKUP($A220,'11 - QT_ WB'!$A:$F,2,0)</f>
        <v>PS-CP-59</v>
      </c>
      <c r="C220" s="2228" t="str">
        <f>VLOOKUP($A220,'11 - QT_ WB'!$A:$F,3,0)</f>
        <v>PRÓPRIA</v>
      </c>
      <c r="D220" s="2333" t="s">
        <v>14886</v>
      </c>
      <c r="E220" s="2243" t="str">
        <f>IF($C220="SINAPI",VLOOKUP($B220,'24.08_ND'!$A:$D,3,0),IF($C220="PRÓPRIA",VLOOKUP($B220,'03-CP'!$C:$H,3,0)))</f>
        <v>M2</v>
      </c>
      <c r="F220" s="2230">
        <v>320.43</v>
      </c>
      <c r="G220" s="2232">
        <v>170.07</v>
      </c>
      <c r="H220" s="2332">
        <f t="shared" si="58"/>
        <v>54495.53</v>
      </c>
      <c r="I220" s="2287"/>
      <c r="J220" s="2231"/>
      <c r="K220" s="2412"/>
      <c r="L220" s="2536"/>
      <c r="M220" s="2232"/>
      <c r="N220" s="2557"/>
      <c r="O220" s="2498">
        <f t="shared" si="59"/>
        <v>54495.53</v>
      </c>
      <c r="P220" s="2295">
        <f t="shared" si="60"/>
        <v>1</v>
      </c>
    </row>
    <row r="221" spans="1:16">
      <c r="A221" s="2264" t="s">
        <v>12884</v>
      </c>
      <c r="B221" s="2223"/>
      <c r="C221" s="2223"/>
      <c r="D221" s="2376" t="s">
        <v>16290</v>
      </c>
      <c r="E221" s="2224"/>
      <c r="F221" s="2240"/>
      <c r="G221" s="2226"/>
      <c r="H221" s="2301">
        <f>SUBTOTAL(9,H222:H233)</f>
        <v>205109.08</v>
      </c>
      <c r="I221" s="2284"/>
      <c r="J221" s="2227"/>
      <c r="K221" s="2410"/>
      <c r="L221" s="2534">
        <f>SUBTOTAL(9,L222:L233)</f>
        <v>0</v>
      </c>
      <c r="M221" s="2301">
        <f>SUBTOTAL(9,M222:M233)</f>
        <v>0</v>
      </c>
      <c r="N221" s="2301">
        <f>SUBTOTAL(9,N222:N233)</f>
        <v>0</v>
      </c>
      <c r="O221" s="2301">
        <f>SUBTOTAL(9,O222:O233)</f>
        <v>205109.08</v>
      </c>
      <c r="P221" s="2293"/>
    </row>
    <row r="222" spans="1:16" ht="45">
      <c r="A222" s="2265" t="s">
        <v>12885</v>
      </c>
      <c r="B222" s="2228" t="str">
        <f>VLOOKUP($A222,'11 - QT_ WB'!$A:$F,2,0)</f>
        <v>PS-CP-12</v>
      </c>
      <c r="C222" s="2228" t="str">
        <f>VLOOKUP($A222,'11 - QT_ WB'!$A:$F,3,0)</f>
        <v>PRÓPRIA</v>
      </c>
      <c r="D222" s="2333" t="s">
        <v>14755</v>
      </c>
      <c r="E222" s="2243" t="str">
        <f>IF($C222="SINAPI",VLOOKUP($B222,'24.08_ND'!$A:$D,3,0),IF($C222="PRÓPRIA",VLOOKUP($B222,'03-CP'!$C:$H,3,0)))</f>
        <v>M2</v>
      </c>
      <c r="F222" s="2230">
        <v>51.086300000000001</v>
      </c>
      <c r="G222" s="2232">
        <v>1951.15</v>
      </c>
      <c r="H222" s="2332">
        <f t="shared" ref="H222:H233" si="61">TRUNC((G222*F222),2)</f>
        <v>99677.03</v>
      </c>
      <c r="I222" s="2328">
        <f>J222+K222</f>
        <v>0</v>
      </c>
      <c r="J222" s="2231"/>
      <c r="K222" s="2412"/>
      <c r="L222" s="2533">
        <f>M222+N222</f>
        <v>0</v>
      </c>
      <c r="M222" s="2238">
        <v>0</v>
      </c>
      <c r="N222" s="2239">
        <f>TRUNC(H222*K222,2)</f>
        <v>0</v>
      </c>
      <c r="O222" s="2498">
        <f t="shared" ref="O222:O233" si="62">H222-L222</f>
        <v>99677.03</v>
      </c>
      <c r="P222" s="2295">
        <f t="shared" ref="P222:P233" si="63">O222/H222</f>
        <v>1</v>
      </c>
    </row>
    <row r="223" spans="1:16" ht="30">
      <c r="A223" s="2265" t="s">
        <v>12886</v>
      </c>
      <c r="B223" s="2228" t="str">
        <f>VLOOKUP($A223,'11 - QT_ WB'!$A:$F,2,0)</f>
        <v>PS-CP-19</v>
      </c>
      <c r="C223" s="2228" t="str">
        <f>VLOOKUP($A223,'11 - QT_ WB'!$A:$F,3,0)</f>
        <v>PRÓPRIA</v>
      </c>
      <c r="D223" s="2333" t="s">
        <v>14772</v>
      </c>
      <c r="E223" s="2243" t="str">
        <f>IF($C223="SINAPI",VLOOKUP($B223,'24.08_ND'!$A:$D,3,0),IF($C223="PRÓPRIA",VLOOKUP($B223,'03-CP'!$C:$H,3,0)))</f>
        <v>M2</v>
      </c>
      <c r="F223" s="2230">
        <v>10.870000000000001</v>
      </c>
      <c r="G223" s="2232">
        <v>1083.57</v>
      </c>
      <c r="H223" s="2332">
        <f t="shared" si="61"/>
        <v>11778.4</v>
      </c>
      <c r="I223" s="2287"/>
      <c r="J223" s="2231"/>
      <c r="K223" s="2412"/>
      <c r="L223" s="2536"/>
      <c r="M223" s="2232"/>
      <c r="N223" s="2557"/>
      <c r="O223" s="2498">
        <f t="shared" si="62"/>
        <v>11778.4</v>
      </c>
      <c r="P223" s="2295">
        <f t="shared" si="63"/>
        <v>1</v>
      </c>
    </row>
    <row r="224" spans="1:16" ht="30">
      <c r="A224" s="2265" t="s">
        <v>12887</v>
      </c>
      <c r="B224" s="2228" t="str">
        <f>VLOOKUP($A224,'11 - QT_ WB'!$A:$F,2,0)</f>
        <v>PS-CP-20</v>
      </c>
      <c r="C224" s="2228" t="str">
        <f>VLOOKUP($A224,'11 - QT_ WB'!$A:$F,3,0)</f>
        <v>PRÓPRIA</v>
      </c>
      <c r="D224" s="2333" t="s">
        <v>14776</v>
      </c>
      <c r="E224" s="2243" t="str">
        <f>IF($C224="SINAPI",VLOOKUP($B224,'24.08_ND'!$A:$D,3,0),IF($C224="PRÓPRIA",VLOOKUP($B224,'03-CP'!$C:$H,3,0)))</f>
        <v>M2</v>
      </c>
      <c r="F224" s="2230">
        <v>16.059999999999999</v>
      </c>
      <c r="G224" s="2232">
        <v>188.55</v>
      </c>
      <c r="H224" s="2332">
        <f t="shared" si="61"/>
        <v>3028.11</v>
      </c>
      <c r="I224" s="2287"/>
      <c r="J224" s="2231"/>
      <c r="K224" s="2412"/>
      <c r="L224" s="2536"/>
      <c r="M224" s="2232"/>
      <c r="N224" s="2557"/>
      <c r="O224" s="2498">
        <f t="shared" si="62"/>
        <v>3028.11</v>
      </c>
      <c r="P224" s="2295">
        <f t="shared" si="63"/>
        <v>1</v>
      </c>
    </row>
    <row r="225" spans="1:16" ht="30">
      <c r="A225" s="2265" t="s">
        <v>12888</v>
      </c>
      <c r="B225" s="2228" t="str">
        <f>VLOOKUP($A225,'11 - QT_ WB'!$A:$F,2,0)</f>
        <v>PS-CP-21</v>
      </c>
      <c r="C225" s="2228" t="str">
        <f>VLOOKUP($A225,'11 - QT_ WB'!$A:$F,3,0)</f>
        <v>PRÓPRIA</v>
      </c>
      <c r="D225" s="2333" t="s">
        <v>14778</v>
      </c>
      <c r="E225" s="2243" t="str">
        <f>IF($C225="SINAPI",VLOOKUP($B225,'24.08_ND'!$A:$D,3,0),IF($C225="PRÓPRIA",VLOOKUP($B225,'03-CP'!$C:$H,3,0)))</f>
        <v>M</v>
      </c>
      <c r="F225" s="2230">
        <v>8.6999999999999993</v>
      </c>
      <c r="G225" s="2232">
        <v>262.47000000000003</v>
      </c>
      <c r="H225" s="2332">
        <f t="shared" si="61"/>
        <v>2283.48</v>
      </c>
      <c r="I225" s="2287"/>
      <c r="J225" s="2231"/>
      <c r="K225" s="2412"/>
      <c r="L225" s="2536"/>
      <c r="M225" s="2232"/>
      <c r="N225" s="2557"/>
      <c r="O225" s="2498">
        <f t="shared" si="62"/>
        <v>2283.48</v>
      </c>
      <c r="P225" s="2295">
        <f t="shared" si="63"/>
        <v>1</v>
      </c>
    </row>
    <row r="226" spans="1:16" ht="30">
      <c r="A226" s="2265" t="s">
        <v>12889</v>
      </c>
      <c r="B226" s="2228" t="str">
        <f>VLOOKUP($A226,'11 - QT_ WB'!$A:$F,2,0)</f>
        <v>PS-CP-22</v>
      </c>
      <c r="C226" s="2228" t="str">
        <f>VLOOKUP($A226,'11 - QT_ WB'!$A:$F,3,0)</f>
        <v>PRÓPRIA</v>
      </c>
      <c r="D226" s="2333" t="s">
        <v>14781</v>
      </c>
      <c r="E226" s="2243" t="str">
        <f>IF($C226="SINAPI",VLOOKUP($B226,'24.08_ND'!$A:$D,3,0),IF($C226="PRÓPRIA",VLOOKUP($B226,'03-CP'!$C:$H,3,0)))</f>
        <v>M</v>
      </c>
      <c r="F226" s="2230">
        <v>5.0999999999999996</v>
      </c>
      <c r="G226" s="2232">
        <v>132.61000000000001</v>
      </c>
      <c r="H226" s="2332">
        <f t="shared" si="61"/>
        <v>676.31</v>
      </c>
      <c r="I226" s="2287"/>
      <c r="J226" s="2231"/>
      <c r="K226" s="2412"/>
      <c r="L226" s="2536"/>
      <c r="M226" s="2232"/>
      <c r="N226" s="2557"/>
      <c r="O226" s="2498">
        <f t="shared" si="62"/>
        <v>676.31</v>
      </c>
      <c r="P226" s="2295">
        <f t="shared" si="63"/>
        <v>1</v>
      </c>
    </row>
    <row r="227" spans="1:16" ht="30">
      <c r="A227" s="2265" t="s">
        <v>12890</v>
      </c>
      <c r="B227" s="2228" t="str">
        <f>VLOOKUP($A227,'11 - QT_ WB'!$A:$F,2,0)</f>
        <v>PS-CP-23</v>
      </c>
      <c r="C227" s="2228" t="str">
        <f>VLOOKUP($A227,'11 - QT_ WB'!$A:$F,3,0)</f>
        <v>PRÓPRIA</v>
      </c>
      <c r="D227" s="2333" t="s">
        <v>14785</v>
      </c>
      <c r="E227" s="2243" t="str">
        <f>IF($C227="SINAPI",VLOOKUP($B227,'24.08_ND'!$A:$D,3,0),IF($C227="PRÓPRIA",VLOOKUP($B227,'03-CP'!$C:$H,3,0)))</f>
        <v>M</v>
      </c>
      <c r="F227" s="2230">
        <v>10.209999999999999</v>
      </c>
      <c r="G227" s="2232">
        <v>210.98</v>
      </c>
      <c r="H227" s="2332">
        <f t="shared" si="61"/>
        <v>2154.1</v>
      </c>
      <c r="I227" s="2287"/>
      <c r="J227" s="2231"/>
      <c r="K227" s="2412"/>
      <c r="L227" s="2536"/>
      <c r="M227" s="2232"/>
      <c r="N227" s="2557"/>
      <c r="O227" s="2498">
        <f t="shared" si="62"/>
        <v>2154.1</v>
      </c>
      <c r="P227" s="2295">
        <f t="shared" si="63"/>
        <v>1</v>
      </c>
    </row>
    <row r="228" spans="1:16" ht="30">
      <c r="A228" s="2265" t="s">
        <v>12891</v>
      </c>
      <c r="B228" s="2228" t="str">
        <f>VLOOKUP($A228,'11 - QT_ WB'!$A:$F,2,0)</f>
        <v>PS-CP-24</v>
      </c>
      <c r="C228" s="2228" t="str">
        <f>VLOOKUP($A228,'11 - QT_ WB'!$A:$F,3,0)</f>
        <v>PRÓPRIA</v>
      </c>
      <c r="D228" s="2333" t="s">
        <v>14787</v>
      </c>
      <c r="E228" s="2243" t="str">
        <f>IF($C228="SINAPI",VLOOKUP($B228,'24.08_ND'!$A:$D,3,0),IF($C228="PRÓPRIA",VLOOKUP($B228,'03-CP'!$C:$H,3,0)))</f>
        <v>M</v>
      </c>
      <c r="F228" s="2230">
        <v>33.22</v>
      </c>
      <c r="G228" s="2232">
        <v>56.56</v>
      </c>
      <c r="H228" s="2332">
        <f t="shared" si="61"/>
        <v>1878.92</v>
      </c>
      <c r="I228" s="2287"/>
      <c r="J228" s="2231"/>
      <c r="K228" s="2412"/>
      <c r="L228" s="2536"/>
      <c r="M228" s="2232"/>
      <c r="N228" s="2557"/>
      <c r="O228" s="2498">
        <f t="shared" si="62"/>
        <v>1878.92</v>
      </c>
      <c r="P228" s="2295">
        <f t="shared" si="63"/>
        <v>1</v>
      </c>
    </row>
    <row r="229" spans="1:16" ht="30">
      <c r="A229" s="2265" t="s">
        <v>12892</v>
      </c>
      <c r="B229" s="2228" t="str">
        <f>VLOOKUP($A229,'11 - QT_ WB'!$A:$F,2,0)</f>
        <v>PS-CP-25</v>
      </c>
      <c r="C229" s="2228" t="str">
        <f>VLOOKUP($A229,'11 - QT_ WB'!$A:$F,3,0)</f>
        <v>PRÓPRIA</v>
      </c>
      <c r="D229" s="2333" t="s">
        <v>14789</v>
      </c>
      <c r="E229" s="2243" t="str">
        <f>IF($C229="SINAPI",VLOOKUP($B229,'24.08_ND'!$A:$D,3,0),IF($C229="PRÓPRIA",VLOOKUP($B229,'03-CP'!$C:$H,3,0)))</f>
        <v>M</v>
      </c>
      <c r="F229" s="2230">
        <v>30.19</v>
      </c>
      <c r="G229" s="2232">
        <v>253.71</v>
      </c>
      <c r="H229" s="2332">
        <f t="shared" si="61"/>
        <v>7659.5</v>
      </c>
      <c r="I229" s="2287"/>
      <c r="J229" s="2231"/>
      <c r="K229" s="2412"/>
      <c r="L229" s="2536"/>
      <c r="M229" s="2232"/>
      <c r="N229" s="2557"/>
      <c r="O229" s="2498">
        <f t="shared" si="62"/>
        <v>7659.5</v>
      </c>
      <c r="P229" s="2295">
        <f t="shared" si="63"/>
        <v>1</v>
      </c>
    </row>
    <row r="230" spans="1:16" ht="45">
      <c r="A230" s="2265" t="s">
        <v>12893</v>
      </c>
      <c r="B230" s="2228" t="str">
        <f>VLOOKUP($A230,'11 - QT_ WB'!$A:$F,2,0)</f>
        <v>PS-CP-26</v>
      </c>
      <c r="C230" s="2228" t="str">
        <f>VLOOKUP($A230,'11 - QT_ WB'!$A:$F,3,0)</f>
        <v>PRÓPRIA</v>
      </c>
      <c r="D230" s="2333" t="s">
        <v>14791</v>
      </c>
      <c r="E230" s="2243" t="str">
        <f>IF($C230="SINAPI",VLOOKUP($B230,'24.08_ND'!$A:$D,3,0),IF($C230="PRÓPRIA",VLOOKUP($B230,'03-CP'!$C:$H,3,0)))</f>
        <v>M2</v>
      </c>
      <c r="F230" s="2230">
        <v>17.25</v>
      </c>
      <c r="G230" s="2232">
        <v>965.05</v>
      </c>
      <c r="H230" s="2332">
        <f t="shared" si="61"/>
        <v>16647.11</v>
      </c>
      <c r="I230" s="2287"/>
      <c r="J230" s="2231"/>
      <c r="K230" s="2412"/>
      <c r="L230" s="2536"/>
      <c r="M230" s="2232"/>
      <c r="N230" s="2557"/>
      <c r="O230" s="2498">
        <f t="shared" si="62"/>
        <v>16647.11</v>
      </c>
      <c r="P230" s="2295">
        <f t="shared" si="63"/>
        <v>1</v>
      </c>
    </row>
    <row r="231" spans="1:16" ht="30">
      <c r="A231" s="2265" t="s">
        <v>12894</v>
      </c>
      <c r="B231" s="2228" t="str">
        <f>VLOOKUP($A231,'11 - QT_ WB'!$A:$F,2,0)</f>
        <v>PS-CP-68</v>
      </c>
      <c r="C231" s="2228" t="str">
        <f>VLOOKUP($A231,'11 - QT_ WB'!$A:$F,3,0)</f>
        <v>PRÓPRIA</v>
      </c>
      <c r="D231" s="2333" t="s">
        <v>14912</v>
      </c>
      <c r="E231" s="2243" t="str">
        <f>IF($C231="SINAPI",VLOOKUP($B231,'24.08_ND'!$A:$D,3,0),IF($C231="PRÓPRIA",VLOOKUP($B231,'03-CP'!$C:$H,3,0)))</f>
        <v>M2</v>
      </c>
      <c r="F231" s="2230">
        <v>47.91</v>
      </c>
      <c r="G231" s="2232">
        <v>810.8</v>
      </c>
      <c r="H231" s="2332">
        <f t="shared" si="61"/>
        <v>38845.42</v>
      </c>
      <c r="I231" s="2287"/>
      <c r="J231" s="2231"/>
      <c r="K231" s="2412"/>
      <c r="L231" s="2536"/>
      <c r="M231" s="2232"/>
      <c r="N231" s="2557"/>
      <c r="O231" s="2498">
        <f t="shared" si="62"/>
        <v>38845.42</v>
      </c>
      <c r="P231" s="2295">
        <f t="shared" si="63"/>
        <v>1</v>
      </c>
    </row>
    <row r="232" spans="1:16" ht="60">
      <c r="A232" s="2265" t="s">
        <v>12895</v>
      </c>
      <c r="B232" s="2228" t="str">
        <f>VLOOKUP($A232,'11 - QT_ WB'!$A:$F,2,0)</f>
        <v>PS-CP-96</v>
      </c>
      <c r="C232" s="2228" t="str">
        <f>VLOOKUP($A232,'11 - QT_ WB'!$A:$F,3,0)</f>
        <v>PRÓPRIA</v>
      </c>
      <c r="D232" s="2333" t="s">
        <v>14969</v>
      </c>
      <c r="E232" s="2243" t="str">
        <f>IF($C232="SINAPI",VLOOKUP($B232,'24.08_ND'!$A:$D,3,0),IF($C232="PRÓPRIA",VLOOKUP($B232,'03-CP'!$C:$H,3,0)))</f>
        <v>M</v>
      </c>
      <c r="F232" s="2230">
        <v>5.58</v>
      </c>
      <c r="G232" s="2232">
        <v>405</v>
      </c>
      <c r="H232" s="2332">
        <f t="shared" si="61"/>
        <v>2259.9</v>
      </c>
      <c r="I232" s="2287"/>
      <c r="J232" s="2231"/>
      <c r="K232" s="2412"/>
      <c r="L232" s="2536"/>
      <c r="M232" s="2232"/>
      <c r="N232" s="2557"/>
      <c r="O232" s="2498">
        <f t="shared" si="62"/>
        <v>2259.9</v>
      </c>
      <c r="P232" s="2295">
        <f t="shared" si="63"/>
        <v>1</v>
      </c>
    </row>
    <row r="233" spans="1:16" ht="45">
      <c r="A233" s="2265" t="s">
        <v>12896</v>
      </c>
      <c r="B233" s="2228" t="str">
        <f>VLOOKUP($A233,'11 - QT_ WB'!$A:$F,2,0)</f>
        <v>PS-CP-69</v>
      </c>
      <c r="C233" s="2228" t="str">
        <f>VLOOKUP($A233,'11 - QT_ WB'!$A:$F,3,0)</f>
        <v>PRÓPRIA</v>
      </c>
      <c r="D233" s="2333" t="s">
        <v>14914</v>
      </c>
      <c r="E233" s="2243" t="str">
        <f>IF($C233="SINAPI",VLOOKUP($B233,'24.08_ND'!$A:$D,3,0),IF($C233="PRÓPRIA",VLOOKUP($B233,'03-CP'!$C:$H,3,0)))</f>
        <v>M</v>
      </c>
      <c r="F233" s="2230">
        <v>26</v>
      </c>
      <c r="G233" s="2232">
        <v>700.8</v>
      </c>
      <c r="H233" s="2332">
        <f t="shared" si="61"/>
        <v>18220.8</v>
      </c>
      <c r="I233" s="2287"/>
      <c r="J233" s="2231"/>
      <c r="K233" s="2412"/>
      <c r="L233" s="2536"/>
      <c r="M233" s="2232"/>
      <c r="N233" s="2557"/>
      <c r="O233" s="2498">
        <f t="shared" si="62"/>
        <v>18220.8</v>
      </c>
      <c r="P233" s="2295">
        <f t="shared" si="63"/>
        <v>1</v>
      </c>
    </row>
    <row r="234" spans="1:16">
      <c r="A234" s="2264" t="s">
        <v>12897</v>
      </c>
      <c r="B234" s="2223"/>
      <c r="C234" s="2223"/>
      <c r="D234" s="2376" t="s">
        <v>16300</v>
      </c>
      <c r="E234" s="2224"/>
      <c r="F234" s="2240"/>
      <c r="G234" s="2226"/>
      <c r="H234" s="2301">
        <f>SUBTOTAL(9,H235:H269)</f>
        <v>58988.679999999993</v>
      </c>
      <c r="I234" s="2284"/>
      <c r="J234" s="2227"/>
      <c r="K234" s="2410"/>
      <c r="L234" s="2534">
        <f>SUBTOTAL(9,L235:L269)</f>
        <v>0</v>
      </c>
      <c r="M234" s="2301">
        <f>SUBTOTAL(9,M235:M269)</f>
        <v>0</v>
      </c>
      <c r="N234" s="2301">
        <f>SUBTOTAL(9,N235:N269)</f>
        <v>0</v>
      </c>
      <c r="O234" s="2301">
        <f>SUBTOTAL(9,O235:O269)</f>
        <v>58988.679999999993</v>
      </c>
      <c r="P234" s="2293"/>
    </row>
    <row r="235" spans="1:16" ht="45">
      <c r="A235" s="2265" t="s">
        <v>12898</v>
      </c>
      <c r="B235" s="2228">
        <f>VLOOKUP($A235,'11 - QT_ WB'!$A:$F,2,0)</f>
        <v>95472</v>
      </c>
      <c r="C235" s="2228" t="str">
        <f>VLOOKUP($A235,'11 - QT_ WB'!$A:$F,3,0)</f>
        <v>SINAPI</v>
      </c>
      <c r="D235" s="2333" t="s">
        <v>10151</v>
      </c>
      <c r="E235" s="2243" t="str">
        <f>IF($C235="SINAPI",VLOOKUP($B235,'24.08_ND'!$A:$D,3,0),IF($C235="PRÓPRIA",VLOOKUP($B235,'03-CP'!$C:$H,3,0)))</f>
        <v>UN</v>
      </c>
      <c r="F235" s="2230">
        <v>2</v>
      </c>
      <c r="G235" s="2232">
        <v>852.9</v>
      </c>
      <c r="H235" s="2332">
        <f t="shared" ref="H235:H269" si="64">TRUNC((G235*F235),2)</f>
        <v>1705.8</v>
      </c>
      <c r="I235" s="2328">
        <f>J235+K235</f>
        <v>0</v>
      </c>
      <c r="J235" s="2231"/>
      <c r="K235" s="2412"/>
      <c r="L235" s="2533">
        <f>M235+N235</f>
        <v>0</v>
      </c>
      <c r="M235" s="2238">
        <v>0</v>
      </c>
      <c r="N235" s="2239">
        <f>TRUNC(H235*K235,2)</f>
        <v>0</v>
      </c>
      <c r="O235" s="2498">
        <f t="shared" ref="O235:O269" si="65">H235-L235</f>
        <v>1705.8</v>
      </c>
      <c r="P235" s="2295">
        <f t="shared" ref="P235:P269" si="66">O235/H235</f>
        <v>1</v>
      </c>
    </row>
    <row r="236" spans="1:16" ht="30">
      <c r="A236" s="2265" t="s">
        <v>12899</v>
      </c>
      <c r="B236" s="2228">
        <f>VLOOKUP($A236,'11 - QT_ WB'!$A:$F,2,0)</f>
        <v>100849</v>
      </c>
      <c r="C236" s="2228" t="str">
        <f>VLOOKUP($A236,'11 - QT_ WB'!$A:$F,3,0)</f>
        <v>SINAPI</v>
      </c>
      <c r="D236" s="2333" t="s">
        <v>10159</v>
      </c>
      <c r="E236" s="2243" t="str">
        <f>IF($C236="SINAPI",VLOOKUP($B236,'24.08_ND'!$A:$D,3,0),IF($C236="PRÓPRIA",VLOOKUP($B236,'03-CP'!$C:$H,3,0)))</f>
        <v>UN</v>
      </c>
      <c r="F236" s="2230">
        <v>6</v>
      </c>
      <c r="G236" s="2232">
        <v>49.53</v>
      </c>
      <c r="H236" s="2332">
        <f t="shared" si="64"/>
        <v>297.18</v>
      </c>
      <c r="I236" s="2286"/>
      <c r="J236" s="2237"/>
      <c r="K236" s="2411"/>
      <c r="L236" s="2533"/>
      <c r="M236" s="2238"/>
      <c r="N236" s="2239"/>
      <c r="O236" s="2498">
        <f t="shared" si="65"/>
        <v>297.18</v>
      </c>
      <c r="P236" s="2295">
        <f t="shared" si="66"/>
        <v>1</v>
      </c>
    </row>
    <row r="237" spans="1:16" ht="30">
      <c r="A237" s="2265" t="s">
        <v>12900</v>
      </c>
      <c r="B237" s="2228" t="str">
        <f>VLOOKUP($A237,'11 - QT_ WB'!$A:$F,2,0)</f>
        <v>PS-CP-35</v>
      </c>
      <c r="C237" s="2228" t="str">
        <f>VLOOKUP($A237,'11 - QT_ WB'!$A:$F,3,0)</f>
        <v>PRÓPRIA</v>
      </c>
      <c r="D237" s="2333" t="s">
        <v>14814</v>
      </c>
      <c r="E237" s="2243" t="str">
        <f>IF($C237="SINAPI",VLOOKUP($B237,'24.08_ND'!$A:$D,3,0),IF($C237="PRÓPRIA",VLOOKUP($B237,'03-CP'!$C:$H,3,0)))</f>
        <v>UN</v>
      </c>
      <c r="F237" s="2230">
        <v>2</v>
      </c>
      <c r="G237" s="2232">
        <v>689.91</v>
      </c>
      <c r="H237" s="2332">
        <f t="shared" si="64"/>
        <v>1379.82</v>
      </c>
      <c r="I237" s="2287"/>
      <c r="J237" s="2231"/>
      <c r="K237" s="2412"/>
      <c r="L237" s="2536"/>
      <c r="M237" s="2232"/>
      <c r="N237" s="2557"/>
      <c r="O237" s="2498">
        <f t="shared" si="65"/>
        <v>1379.82</v>
      </c>
      <c r="P237" s="2295">
        <f t="shared" si="66"/>
        <v>1</v>
      </c>
    </row>
    <row r="238" spans="1:16" ht="30">
      <c r="A238" s="2265" t="s">
        <v>12901</v>
      </c>
      <c r="B238" s="2228">
        <f>VLOOKUP($A238,'11 - QT_ WB'!$A:$F,2,0)</f>
        <v>100878</v>
      </c>
      <c r="C238" s="2228" t="str">
        <f>VLOOKUP($A238,'11 - QT_ WB'!$A:$F,3,0)</f>
        <v>SINAPI</v>
      </c>
      <c r="D238" s="2333" t="s">
        <v>10184</v>
      </c>
      <c r="E238" s="2243" t="str">
        <f>IF($C238="SINAPI",VLOOKUP($B238,'24.08_ND'!$A:$D,3,0),IF($C238="PRÓPRIA",VLOOKUP($B238,'03-CP'!$C:$H,3,0)))</f>
        <v>UN</v>
      </c>
      <c r="F238" s="2230">
        <v>4</v>
      </c>
      <c r="G238" s="2232">
        <v>722.83</v>
      </c>
      <c r="H238" s="2332">
        <f t="shared" si="64"/>
        <v>2891.32</v>
      </c>
      <c r="I238" s="2286"/>
      <c r="J238" s="2237"/>
      <c r="K238" s="2411"/>
      <c r="L238" s="2533"/>
      <c r="M238" s="2238"/>
      <c r="N238" s="2239"/>
      <c r="O238" s="2498">
        <f t="shared" si="65"/>
        <v>2891.32</v>
      </c>
      <c r="P238" s="2295">
        <f t="shared" si="66"/>
        <v>1</v>
      </c>
    </row>
    <row r="239" spans="1:16" ht="30">
      <c r="A239" s="2265" t="s">
        <v>12902</v>
      </c>
      <c r="B239" s="2228">
        <f>VLOOKUP($A239,'11 - QT_ WB'!$A:$F,2,0)</f>
        <v>100859</v>
      </c>
      <c r="C239" s="2228" t="str">
        <f>VLOOKUP($A239,'11 - QT_ WB'!$A:$F,3,0)</f>
        <v>SINAPI</v>
      </c>
      <c r="D239" s="2333" t="s">
        <v>10167</v>
      </c>
      <c r="E239" s="2243" t="str">
        <f>IF($C239="SINAPI",VLOOKUP($B239,'24.08_ND'!$A:$D,3,0),IF($C239="PRÓPRIA",VLOOKUP($B239,'03-CP'!$C:$H,3,0)))</f>
        <v>UN</v>
      </c>
      <c r="F239" s="2230">
        <v>2</v>
      </c>
      <c r="G239" s="2232">
        <v>1104.01</v>
      </c>
      <c r="H239" s="2332">
        <f t="shared" si="64"/>
        <v>2208.02</v>
      </c>
      <c r="I239" s="2286"/>
      <c r="J239" s="2237"/>
      <c r="K239" s="2411"/>
      <c r="L239" s="2533"/>
      <c r="M239" s="2238"/>
      <c r="N239" s="2239"/>
      <c r="O239" s="2498">
        <f t="shared" si="65"/>
        <v>2208.02</v>
      </c>
      <c r="P239" s="2295">
        <f t="shared" si="66"/>
        <v>1</v>
      </c>
    </row>
    <row r="240" spans="1:16" ht="30">
      <c r="A240" s="2265" t="s">
        <v>12903</v>
      </c>
      <c r="B240" s="2228" t="str">
        <f>VLOOKUP($A240,'11 - QT_ WB'!$A:$F,2,0)</f>
        <v>PS-CP-32</v>
      </c>
      <c r="C240" s="2228" t="str">
        <f>VLOOKUP($A240,'11 - QT_ WB'!$A:$F,3,0)</f>
        <v>PRÓPRIA</v>
      </c>
      <c r="D240" s="2333" t="s">
        <v>14807</v>
      </c>
      <c r="E240" s="2243" t="str">
        <f>IF($C240="SINAPI",VLOOKUP($B240,'24.08_ND'!$A:$D,3,0),IF($C240="PRÓPRIA",VLOOKUP($B240,'03-CP'!$C:$H,3,0)))</f>
        <v>UN</v>
      </c>
      <c r="F240" s="2230">
        <v>2</v>
      </c>
      <c r="G240" s="2232">
        <v>317.91000000000003</v>
      </c>
      <c r="H240" s="2332">
        <f t="shared" si="64"/>
        <v>635.82000000000005</v>
      </c>
      <c r="I240" s="2287"/>
      <c r="J240" s="2231"/>
      <c r="K240" s="2412"/>
      <c r="L240" s="2536"/>
      <c r="M240" s="2232"/>
      <c r="N240" s="2557"/>
      <c r="O240" s="2498">
        <f t="shared" si="65"/>
        <v>635.82000000000005</v>
      </c>
      <c r="P240" s="2295">
        <f t="shared" si="66"/>
        <v>1</v>
      </c>
    </row>
    <row r="241" spans="1:16">
      <c r="A241" s="2265" t="s">
        <v>12904</v>
      </c>
      <c r="B241" s="2228" t="str">
        <f>VLOOKUP($A241,'11 - QT_ WB'!$A:$F,2,0)</f>
        <v>PS-CP-33</v>
      </c>
      <c r="C241" s="2228" t="str">
        <f>VLOOKUP($A241,'11 - QT_ WB'!$A:$F,3,0)</f>
        <v>PRÓPRIA</v>
      </c>
      <c r="D241" s="2333" t="s">
        <v>14809</v>
      </c>
      <c r="E241" s="2243" t="str">
        <f>IF($C241="SINAPI",VLOOKUP($B241,'24.08_ND'!$A:$D,3,0),IF($C241="PRÓPRIA",VLOOKUP($B241,'03-CP'!$C:$H,3,0)))</f>
        <v>UN</v>
      </c>
      <c r="F241" s="2230">
        <v>6</v>
      </c>
      <c r="G241" s="2232">
        <v>1112.18</v>
      </c>
      <c r="H241" s="2332">
        <f t="shared" si="64"/>
        <v>6673.08</v>
      </c>
      <c r="I241" s="2287"/>
      <c r="J241" s="2231"/>
      <c r="K241" s="2412"/>
      <c r="L241" s="2536"/>
      <c r="M241" s="2232"/>
      <c r="N241" s="2557"/>
      <c r="O241" s="2498">
        <f t="shared" si="65"/>
        <v>6673.08</v>
      </c>
      <c r="P241" s="2295">
        <f t="shared" si="66"/>
        <v>1</v>
      </c>
    </row>
    <row r="242" spans="1:16" ht="30">
      <c r="A242" s="2265" t="s">
        <v>12905</v>
      </c>
      <c r="B242" s="2228">
        <f>VLOOKUP($A242,'11 - QT_ WB'!$A:$F,2,0)</f>
        <v>86872</v>
      </c>
      <c r="C242" s="2228" t="str">
        <f>VLOOKUP($A242,'11 - QT_ WB'!$A:$F,3,0)</f>
        <v>SINAPI</v>
      </c>
      <c r="D242" s="2333" t="s">
        <v>10083</v>
      </c>
      <c r="E242" s="2243" t="str">
        <f>IF($C242="SINAPI",VLOOKUP($B242,'24.08_ND'!$A:$D,3,0),IF($C242="PRÓPRIA",VLOOKUP($B242,'03-CP'!$C:$H,3,0)))</f>
        <v>UN</v>
      </c>
      <c r="F242" s="2230">
        <v>1</v>
      </c>
      <c r="G242" s="2232">
        <v>794.38</v>
      </c>
      <c r="H242" s="2332">
        <f t="shared" si="64"/>
        <v>794.38</v>
      </c>
      <c r="I242" s="2286"/>
      <c r="J242" s="2237"/>
      <c r="K242" s="2411"/>
      <c r="L242" s="2533"/>
      <c r="M242" s="2238"/>
      <c r="N242" s="2239"/>
      <c r="O242" s="2498">
        <f t="shared" si="65"/>
        <v>794.38</v>
      </c>
      <c r="P242" s="2295">
        <f t="shared" si="66"/>
        <v>1</v>
      </c>
    </row>
    <row r="243" spans="1:16" ht="45">
      <c r="A243" s="2265" t="s">
        <v>12906</v>
      </c>
      <c r="B243" s="2228" t="str">
        <f>VLOOKUP($A243,'11 - QT_ WB'!$A:$F,2,0)</f>
        <v>PS-CP-36</v>
      </c>
      <c r="C243" s="2228" t="str">
        <f>VLOOKUP($A243,'11 - QT_ WB'!$A:$F,3,0)</f>
        <v>PRÓPRIA</v>
      </c>
      <c r="D243" s="2333" t="s">
        <v>14817</v>
      </c>
      <c r="E243" s="2243" t="str">
        <f>IF($C243="SINAPI",VLOOKUP($B243,'24.08_ND'!$A:$D,3,0),IF($C243="PRÓPRIA",VLOOKUP($B243,'03-CP'!$C:$H,3,0)))</f>
        <v>UN</v>
      </c>
      <c r="F243" s="2230">
        <v>4</v>
      </c>
      <c r="G243" s="2232">
        <v>605.91999999999996</v>
      </c>
      <c r="H243" s="2332">
        <f t="shared" si="64"/>
        <v>2423.6799999999998</v>
      </c>
      <c r="I243" s="2287"/>
      <c r="J243" s="2231"/>
      <c r="K243" s="2412"/>
      <c r="L243" s="2536"/>
      <c r="M243" s="2232"/>
      <c r="N243" s="2557"/>
      <c r="O243" s="2498">
        <f t="shared" si="65"/>
        <v>2423.6799999999998</v>
      </c>
      <c r="P243" s="2295">
        <f t="shared" si="66"/>
        <v>1</v>
      </c>
    </row>
    <row r="244" spans="1:16" ht="30">
      <c r="A244" s="2265" t="s">
        <v>12907</v>
      </c>
      <c r="B244" s="2228">
        <f>VLOOKUP($A244,'11 - QT_ WB'!$A:$F,2,0)</f>
        <v>86909</v>
      </c>
      <c r="C244" s="2228" t="str">
        <f>VLOOKUP($A244,'11 - QT_ WB'!$A:$F,3,0)</f>
        <v>SINAPI</v>
      </c>
      <c r="D244" s="2333" t="s">
        <v>10112</v>
      </c>
      <c r="E244" s="2243" t="str">
        <f>IF($C244="SINAPI",VLOOKUP($B244,'24.08_ND'!$A:$D,3,0),IF($C244="PRÓPRIA",VLOOKUP($B244,'03-CP'!$C:$H,3,0)))</f>
        <v>UN</v>
      </c>
      <c r="F244" s="2230">
        <v>2</v>
      </c>
      <c r="G244" s="2232">
        <v>160.31</v>
      </c>
      <c r="H244" s="2332">
        <f t="shared" si="64"/>
        <v>320.62</v>
      </c>
      <c r="I244" s="2286"/>
      <c r="J244" s="2237"/>
      <c r="K244" s="2411"/>
      <c r="L244" s="2533"/>
      <c r="M244" s="2238"/>
      <c r="N244" s="2239"/>
      <c r="O244" s="2498">
        <f t="shared" si="65"/>
        <v>320.62</v>
      </c>
      <c r="P244" s="2295">
        <f t="shared" si="66"/>
        <v>1</v>
      </c>
    </row>
    <row r="245" spans="1:16" ht="30">
      <c r="A245" s="2265" t="s">
        <v>12908</v>
      </c>
      <c r="B245" s="2228">
        <f>VLOOKUP($A245,'11 - QT_ WB'!$A:$F,2,0)</f>
        <v>86914</v>
      </c>
      <c r="C245" s="2228" t="str">
        <f>VLOOKUP($A245,'11 - QT_ WB'!$A:$F,3,0)</f>
        <v>SINAPI</v>
      </c>
      <c r="D245" s="2333" t="s">
        <v>10116</v>
      </c>
      <c r="E245" s="2243" t="str">
        <f>IF($C245="SINAPI",VLOOKUP($B245,'24.08_ND'!$A:$D,3,0),IF($C245="PRÓPRIA",VLOOKUP($B245,'03-CP'!$C:$H,3,0)))</f>
        <v>UN</v>
      </c>
      <c r="F245" s="2230">
        <v>4</v>
      </c>
      <c r="G245" s="2232">
        <v>121.21</v>
      </c>
      <c r="H245" s="2332">
        <f t="shared" si="64"/>
        <v>484.84</v>
      </c>
      <c r="I245" s="2286"/>
      <c r="J245" s="2237"/>
      <c r="K245" s="2411"/>
      <c r="L245" s="2533"/>
      <c r="M245" s="2238"/>
      <c r="N245" s="2239"/>
      <c r="O245" s="2498">
        <f t="shared" si="65"/>
        <v>484.84</v>
      </c>
      <c r="P245" s="2295">
        <f t="shared" si="66"/>
        <v>1</v>
      </c>
    </row>
    <row r="246" spans="1:16" ht="30">
      <c r="A246" s="2265" t="s">
        <v>12909</v>
      </c>
      <c r="B246" s="2228" t="str">
        <f>VLOOKUP($A246,'11 - QT_ WB'!$A:$F,2,0)</f>
        <v>PS-CP-41</v>
      </c>
      <c r="C246" s="2228" t="str">
        <f>VLOOKUP($A246,'11 - QT_ WB'!$A:$F,3,0)</f>
        <v>PRÓPRIA</v>
      </c>
      <c r="D246" s="2333" t="s">
        <v>14835</v>
      </c>
      <c r="E246" s="2243" t="str">
        <f>IF($C246="SINAPI",VLOOKUP($B246,'24.08_ND'!$A:$D,3,0),IF($C246="PRÓPRIA",VLOOKUP($B246,'03-CP'!$C:$H,3,0)))</f>
        <v>UN</v>
      </c>
      <c r="F246" s="2230">
        <v>2</v>
      </c>
      <c r="G246" s="2232">
        <v>404.75</v>
      </c>
      <c r="H246" s="2332">
        <f t="shared" si="64"/>
        <v>809.5</v>
      </c>
      <c r="I246" s="2287"/>
      <c r="J246" s="2231"/>
      <c r="K246" s="2412"/>
      <c r="L246" s="2536"/>
      <c r="M246" s="2232"/>
      <c r="N246" s="2557"/>
      <c r="O246" s="2498">
        <f t="shared" si="65"/>
        <v>809.5</v>
      </c>
      <c r="P246" s="2295">
        <f t="shared" si="66"/>
        <v>1</v>
      </c>
    </row>
    <row r="247" spans="1:16" ht="30">
      <c r="A247" s="2265" t="s">
        <v>12910</v>
      </c>
      <c r="B247" s="2228" t="str">
        <f>VLOOKUP($A247,'11 - QT_ WB'!$A:$F,2,0)</f>
        <v>PS-CP-42</v>
      </c>
      <c r="C247" s="2228" t="str">
        <f>VLOOKUP($A247,'11 - QT_ WB'!$A:$F,3,0)</f>
        <v>PRÓPRIA</v>
      </c>
      <c r="D247" s="2333" t="s">
        <v>14839</v>
      </c>
      <c r="E247" s="2243" t="str">
        <f>IF($C247="SINAPI",VLOOKUP($B247,'24.08_ND'!$A:$D,3,0),IF($C247="PRÓPRIA",VLOOKUP($B247,'03-CP'!$C:$H,3,0)))</f>
        <v>UN</v>
      </c>
      <c r="F247" s="2230">
        <v>6</v>
      </c>
      <c r="G247" s="2232">
        <v>486.91</v>
      </c>
      <c r="H247" s="2332">
        <f t="shared" si="64"/>
        <v>2921.46</v>
      </c>
      <c r="I247" s="2287"/>
      <c r="J247" s="2231"/>
      <c r="K247" s="2412"/>
      <c r="L247" s="2536"/>
      <c r="M247" s="2232"/>
      <c r="N247" s="2557"/>
      <c r="O247" s="2498">
        <f t="shared" si="65"/>
        <v>2921.46</v>
      </c>
      <c r="P247" s="2295">
        <f t="shared" si="66"/>
        <v>1</v>
      </c>
    </row>
    <row r="248" spans="1:16" ht="30">
      <c r="A248" s="2265" t="s">
        <v>12911</v>
      </c>
      <c r="B248" s="2228" t="str">
        <f>VLOOKUP($A248,'11 - QT_ WB'!$A:$F,2,0)</f>
        <v>PS-CP-34</v>
      </c>
      <c r="C248" s="2228" t="str">
        <f>VLOOKUP($A248,'11 - QT_ WB'!$A:$F,3,0)</f>
        <v>PRÓPRIA</v>
      </c>
      <c r="D248" s="2333" t="s">
        <v>14812</v>
      </c>
      <c r="E248" s="2243" t="str">
        <f>IF($C248="SINAPI",VLOOKUP($B248,'24.08_ND'!$A:$D,3,0),IF($C248="PRÓPRIA",VLOOKUP($B248,'03-CP'!$C:$H,3,0)))</f>
        <v>UN</v>
      </c>
      <c r="F248" s="2230">
        <v>2</v>
      </c>
      <c r="G248" s="2232">
        <v>215.8</v>
      </c>
      <c r="H248" s="2332">
        <f t="shared" si="64"/>
        <v>431.6</v>
      </c>
      <c r="I248" s="2287"/>
      <c r="J248" s="2231"/>
      <c r="K248" s="2412"/>
      <c r="L248" s="2536"/>
      <c r="M248" s="2232"/>
      <c r="N248" s="2557"/>
      <c r="O248" s="2498">
        <f t="shared" si="65"/>
        <v>431.6</v>
      </c>
      <c r="P248" s="2295">
        <f t="shared" si="66"/>
        <v>1</v>
      </c>
    </row>
    <row r="249" spans="1:16" ht="30">
      <c r="A249" s="2265" t="s">
        <v>12912</v>
      </c>
      <c r="B249" s="2228" t="str">
        <f>VLOOKUP($A249,'11 - QT_ WB'!$A:$F,2,0)</f>
        <v>PS-CP-43</v>
      </c>
      <c r="C249" s="2228" t="str">
        <f>VLOOKUP($A249,'11 - QT_ WB'!$A:$F,3,0)</f>
        <v>PRÓPRIA</v>
      </c>
      <c r="D249" s="2333" t="s">
        <v>14842</v>
      </c>
      <c r="E249" s="2243" t="str">
        <f>IF($C249="SINAPI",VLOOKUP($B249,'24.08_ND'!$A:$D,3,0),IF($C249="PRÓPRIA",VLOOKUP($B249,'03-CP'!$C:$H,3,0)))</f>
        <v>UN</v>
      </c>
      <c r="F249" s="2230">
        <v>2</v>
      </c>
      <c r="G249" s="2232">
        <v>365.58</v>
      </c>
      <c r="H249" s="2332">
        <f t="shared" si="64"/>
        <v>731.16</v>
      </c>
      <c r="I249" s="2287"/>
      <c r="J249" s="2231"/>
      <c r="K249" s="2412"/>
      <c r="L249" s="2536"/>
      <c r="M249" s="2232"/>
      <c r="N249" s="2557"/>
      <c r="O249" s="2498">
        <f t="shared" si="65"/>
        <v>731.16</v>
      </c>
      <c r="P249" s="2295">
        <f t="shared" si="66"/>
        <v>1</v>
      </c>
    </row>
    <row r="250" spans="1:16" ht="30">
      <c r="A250" s="2265" t="s">
        <v>12913</v>
      </c>
      <c r="B250" s="2228" t="str">
        <f>VLOOKUP($A250,'11 - QT_ WB'!$A:$F,2,0)</f>
        <v>PS-CP-44</v>
      </c>
      <c r="C250" s="2228" t="str">
        <f>VLOOKUP($A250,'11 - QT_ WB'!$A:$F,3,0)</f>
        <v>PRÓPRIA</v>
      </c>
      <c r="D250" s="2333" t="s">
        <v>14844</v>
      </c>
      <c r="E250" s="2243" t="str">
        <f>IF($C250="SINAPI",VLOOKUP($B250,'24.08_ND'!$A:$D,3,0),IF($C250="PRÓPRIA",VLOOKUP($B250,'03-CP'!$C:$H,3,0)))</f>
        <v>UN</v>
      </c>
      <c r="F250" s="2230">
        <v>2</v>
      </c>
      <c r="G250" s="2232">
        <v>467.95</v>
      </c>
      <c r="H250" s="2332">
        <f t="shared" si="64"/>
        <v>935.9</v>
      </c>
      <c r="I250" s="2287"/>
      <c r="J250" s="2231"/>
      <c r="K250" s="2412"/>
      <c r="L250" s="2536"/>
      <c r="M250" s="2232"/>
      <c r="N250" s="2557"/>
      <c r="O250" s="2498">
        <f t="shared" si="65"/>
        <v>935.9</v>
      </c>
      <c r="P250" s="2295">
        <f t="shared" si="66"/>
        <v>1</v>
      </c>
    </row>
    <row r="251" spans="1:16" ht="30">
      <c r="A251" s="2265" t="s">
        <v>12914</v>
      </c>
      <c r="B251" s="2228" t="str">
        <f>VLOOKUP($A251,'11 - QT_ WB'!$A:$F,2,0)</f>
        <v>PS-CP-45</v>
      </c>
      <c r="C251" s="2228" t="str">
        <f>VLOOKUP($A251,'11 - QT_ WB'!$A:$F,3,0)</f>
        <v>PRÓPRIA</v>
      </c>
      <c r="D251" s="2333" t="s">
        <v>14846</v>
      </c>
      <c r="E251" s="2243" t="str">
        <f>IF($C251="SINAPI",VLOOKUP($B251,'24.08_ND'!$A:$D,3,0),IF($C251="PRÓPRIA",VLOOKUP($B251,'03-CP'!$C:$H,3,0)))</f>
        <v>UN</v>
      </c>
      <c r="F251" s="2230">
        <v>1</v>
      </c>
      <c r="G251" s="2232">
        <v>322.68</v>
      </c>
      <c r="H251" s="2332">
        <f t="shared" si="64"/>
        <v>322.68</v>
      </c>
      <c r="I251" s="2287"/>
      <c r="J251" s="2231"/>
      <c r="K251" s="2412"/>
      <c r="L251" s="2536"/>
      <c r="M251" s="2232"/>
      <c r="N251" s="2557"/>
      <c r="O251" s="2498">
        <f t="shared" si="65"/>
        <v>322.68</v>
      </c>
      <c r="P251" s="2295">
        <f t="shared" si="66"/>
        <v>1</v>
      </c>
    </row>
    <row r="252" spans="1:16" ht="30">
      <c r="A252" s="2265" t="s">
        <v>12915</v>
      </c>
      <c r="B252" s="2228">
        <f>VLOOKUP($A252,'11 - QT_ WB'!$A:$F,2,0)</f>
        <v>86881</v>
      </c>
      <c r="C252" s="2228" t="str">
        <f>VLOOKUP($A252,'11 - QT_ WB'!$A:$F,3,0)</f>
        <v>SINAPI</v>
      </c>
      <c r="D252" s="2333" t="s">
        <v>10091</v>
      </c>
      <c r="E252" s="2243" t="str">
        <f>IF($C252="SINAPI",VLOOKUP($B252,'24.08_ND'!$A:$D,3,0),IF($C252="PRÓPRIA",VLOOKUP($B252,'03-CP'!$C:$H,3,0)))</f>
        <v>UN</v>
      </c>
      <c r="F252" s="2230">
        <v>8</v>
      </c>
      <c r="G252" s="2232">
        <v>256.05</v>
      </c>
      <c r="H252" s="2332">
        <f t="shared" si="64"/>
        <v>2048.4</v>
      </c>
      <c r="I252" s="2286"/>
      <c r="J252" s="2237"/>
      <c r="K252" s="2411"/>
      <c r="L252" s="2533"/>
      <c r="M252" s="2238"/>
      <c r="N252" s="2239"/>
      <c r="O252" s="2498">
        <f t="shared" si="65"/>
        <v>2048.4</v>
      </c>
      <c r="P252" s="2295">
        <f t="shared" si="66"/>
        <v>1</v>
      </c>
    </row>
    <row r="253" spans="1:16" ht="30">
      <c r="A253" s="2265" t="s">
        <v>12916</v>
      </c>
      <c r="B253" s="2228" t="str">
        <f>VLOOKUP($A253,'11 - QT_ WB'!$A:$F,2,0)</f>
        <v>PS-CP-46</v>
      </c>
      <c r="C253" s="2228" t="str">
        <f>VLOOKUP($A253,'11 - QT_ WB'!$A:$F,3,0)</f>
        <v>PRÓPRIA</v>
      </c>
      <c r="D253" s="2333" t="s">
        <v>14849</v>
      </c>
      <c r="E253" s="2243" t="str">
        <f>IF($C253="SINAPI",VLOOKUP($B253,'24.08_ND'!$A:$D,3,0),IF($C253="PRÓPRIA",VLOOKUP($B253,'03-CP'!$C:$H,3,0)))</f>
        <v>UN</v>
      </c>
      <c r="F253" s="2230">
        <v>6</v>
      </c>
      <c r="G253" s="2232">
        <v>272.32</v>
      </c>
      <c r="H253" s="2332">
        <f t="shared" si="64"/>
        <v>1633.92</v>
      </c>
      <c r="I253" s="2287"/>
      <c r="J253" s="2231"/>
      <c r="K253" s="2412"/>
      <c r="L253" s="2536"/>
      <c r="M253" s="2232"/>
      <c r="N253" s="2557"/>
      <c r="O253" s="2498">
        <f t="shared" si="65"/>
        <v>1633.92</v>
      </c>
      <c r="P253" s="2295">
        <f t="shared" si="66"/>
        <v>1</v>
      </c>
    </row>
    <row r="254" spans="1:16">
      <c r="A254" s="2265" t="s">
        <v>12917</v>
      </c>
      <c r="B254" s="2228" t="str">
        <f>VLOOKUP($A254,'11 - QT_ WB'!$A:$F,2,0)</f>
        <v>PS-CP-47</v>
      </c>
      <c r="C254" s="2228" t="str">
        <f>VLOOKUP($A254,'11 - QT_ WB'!$A:$F,3,0)</f>
        <v>PRÓPRIA</v>
      </c>
      <c r="D254" s="2333" t="s">
        <v>14851</v>
      </c>
      <c r="E254" s="2243" t="str">
        <f>IF($C254="SINAPI",VLOOKUP($B254,'24.08_ND'!$A:$D,3,0),IF($C254="PRÓPRIA",VLOOKUP($B254,'03-CP'!$C:$H,3,0)))</f>
        <v>UN</v>
      </c>
      <c r="F254" s="2230">
        <v>7</v>
      </c>
      <c r="G254" s="2232">
        <v>49.52</v>
      </c>
      <c r="H254" s="2332">
        <f t="shared" si="64"/>
        <v>346.64</v>
      </c>
      <c r="I254" s="2287"/>
      <c r="J254" s="2231"/>
      <c r="K254" s="2412"/>
      <c r="L254" s="2536"/>
      <c r="M254" s="2232"/>
      <c r="N254" s="2557"/>
      <c r="O254" s="2498">
        <f t="shared" si="65"/>
        <v>346.64</v>
      </c>
      <c r="P254" s="2295">
        <f t="shared" si="66"/>
        <v>1</v>
      </c>
    </row>
    <row r="255" spans="1:16">
      <c r="A255" s="2265" t="s">
        <v>12918</v>
      </c>
      <c r="B255" s="2228" t="str">
        <f>VLOOKUP($A255,'11 - QT_ WB'!$A:$F,2,0)</f>
        <v>PS-CP-48</v>
      </c>
      <c r="C255" s="2228" t="str">
        <f>VLOOKUP($A255,'11 - QT_ WB'!$A:$F,3,0)</f>
        <v>PRÓPRIA</v>
      </c>
      <c r="D255" s="2333" t="s">
        <v>14854</v>
      </c>
      <c r="E255" s="2243" t="str">
        <f>IF($C255="SINAPI",VLOOKUP($B255,'24.08_ND'!$A:$D,3,0),IF($C255="PRÓPRIA",VLOOKUP($B255,'03-CP'!$C:$H,3,0)))</f>
        <v>UN</v>
      </c>
      <c r="F255" s="2230">
        <v>11</v>
      </c>
      <c r="G255" s="2232">
        <v>105.25</v>
      </c>
      <c r="H255" s="2332">
        <f t="shared" si="64"/>
        <v>1157.75</v>
      </c>
      <c r="I255" s="2287"/>
      <c r="J255" s="2231"/>
      <c r="K255" s="2412"/>
      <c r="L255" s="2536"/>
      <c r="M255" s="2232"/>
      <c r="N255" s="2557"/>
      <c r="O255" s="2498">
        <f t="shared" si="65"/>
        <v>1157.75</v>
      </c>
      <c r="P255" s="2295">
        <f t="shared" si="66"/>
        <v>1</v>
      </c>
    </row>
    <row r="256" spans="1:16">
      <c r="A256" s="2265" t="s">
        <v>12919</v>
      </c>
      <c r="B256" s="2228" t="str">
        <f>VLOOKUP($A256,'11 - QT_ WB'!$A:$F,2,0)</f>
        <v>PS-CP-49</v>
      </c>
      <c r="C256" s="2228" t="str">
        <f>VLOOKUP($A256,'11 - QT_ WB'!$A:$F,3,0)</f>
        <v>PRÓPRIA</v>
      </c>
      <c r="D256" s="2333" t="s">
        <v>14857</v>
      </c>
      <c r="E256" s="2243" t="str">
        <f>IF($C256="SINAPI",VLOOKUP($B256,'24.08_ND'!$A:$D,3,0),IF($C256="PRÓPRIA",VLOOKUP($B256,'03-CP'!$C:$H,3,0)))</f>
        <v>UN</v>
      </c>
      <c r="F256" s="2230">
        <v>2</v>
      </c>
      <c r="G256" s="2232">
        <v>643.91</v>
      </c>
      <c r="H256" s="2332">
        <f t="shared" si="64"/>
        <v>1287.82</v>
      </c>
      <c r="I256" s="2287"/>
      <c r="J256" s="2231"/>
      <c r="K256" s="2412"/>
      <c r="L256" s="2536"/>
      <c r="M256" s="2232"/>
      <c r="N256" s="2557"/>
      <c r="O256" s="2498">
        <f t="shared" si="65"/>
        <v>1287.82</v>
      </c>
      <c r="P256" s="2295">
        <f t="shared" si="66"/>
        <v>1</v>
      </c>
    </row>
    <row r="257" spans="1:16" ht="60">
      <c r="A257" s="2265" t="s">
        <v>12920</v>
      </c>
      <c r="B257" s="2228" t="str">
        <f>VLOOKUP($A257,'11 - QT_ WB'!$A:$F,2,0)</f>
        <v>AS-CP-ARQ-06</v>
      </c>
      <c r="C257" s="2228" t="str">
        <f>VLOOKUP($A257,'11 - QT_ WB'!$A:$F,3,0)</f>
        <v>PRÓPRIA</v>
      </c>
      <c r="D257" s="2333" t="s">
        <v>14987</v>
      </c>
      <c r="E257" s="2243" t="str">
        <f>IF($C257="SINAPI",VLOOKUP($B257,'24.08_ND'!$A:$D,3,0),IF($C257="PRÓPRIA",VLOOKUP($B257,'03-CP'!$C:$H,3,0)))</f>
        <v>UN</v>
      </c>
      <c r="F257" s="2230">
        <v>16</v>
      </c>
      <c r="G257" s="2232">
        <v>775.81</v>
      </c>
      <c r="H257" s="2332">
        <f t="shared" si="64"/>
        <v>12412.96</v>
      </c>
      <c r="I257" s="2287"/>
      <c r="J257" s="2231"/>
      <c r="K257" s="2412"/>
      <c r="L257" s="2536"/>
      <c r="M257" s="2232"/>
      <c r="N257" s="2557"/>
      <c r="O257" s="2498">
        <f t="shared" si="65"/>
        <v>12412.96</v>
      </c>
      <c r="P257" s="2295">
        <f t="shared" si="66"/>
        <v>1</v>
      </c>
    </row>
    <row r="258" spans="1:16" ht="30">
      <c r="A258" s="2265" t="s">
        <v>12921</v>
      </c>
      <c r="B258" s="2228" t="str">
        <f>VLOOKUP($A258,'11 - QT_ WB'!$A:$F,2,0)</f>
        <v>PS-CP-51</v>
      </c>
      <c r="C258" s="2228" t="str">
        <f>VLOOKUP($A258,'11 - QT_ WB'!$A:$F,3,0)</f>
        <v>PRÓPRIA</v>
      </c>
      <c r="D258" s="2333" t="s">
        <v>14865</v>
      </c>
      <c r="E258" s="2243" t="str">
        <f>IF($C258="SINAPI",VLOOKUP($B258,'24.08_ND'!$A:$D,3,0),IF($C258="PRÓPRIA",VLOOKUP($B258,'03-CP'!$C:$H,3,0)))</f>
        <v>UN</v>
      </c>
      <c r="F258" s="2230">
        <v>9</v>
      </c>
      <c r="G258" s="2232">
        <v>28.6</v>
      </c>
      <c r="H258" s="2332">
        <f t="shared" si="64"/>
        <v>257.39999999999998</v>
      </c>
      <c r="I258" s="2287"/>
      <c r="J258" s="2231"/>
      <c r="K258" s="2412"/>
      <c r="L258" s="2536"/>
      <c r="M258" s="2232"/>
      <c r="N258" s="2557"/>
      <c r="O258" s="2498">
        <f t="shared" si="65"/>
        <v>257.39999999999998</v>
      </c>
      <c r="P258" s="2295">
        <f t="shared" si="66"/>
        <v>1</v>
      </c>
    </row>
    <row r="259" spans="1:16" ht="30">
      <c r="A259" s="2265" t="s">
        <v>12922</v>
      </c>
      <c r="B259" s="2228" t="str">
        <f>VLOOKUP($A259,'11 - QT_ WB'!$A:$F,2,0)</f>
        <v>PS-CP-52</v>
      </c>
      <c r="C259" s="2228" t="str">
        <f>VLOOKUP($A259,'11 - QT_ WB'!$A:$F,3,0)</f>
        <v>PRÓPRIA</v>
      </c>
      <c r="D259" s="2333" t="s">
        <v>14868</v>
      </c>
      <c r="E259" s="2243" t="str">
        <f>IF($C259="SINAPI",VLOOKUP($B259,'24.08_ND'!$A:$D,3,0),IF($C259="PRÓPRIA",VLOOKUP($B259,'03-CP'!$C:$H,3,0)))</f>
        <v>UN</v>
      </c>
      <c r="F259" s="2230">
        <v>4</v>
      </c>
      <c r="G259" s="2232">
        <v>284.45999999999998</v>
      </c>
      <c r="H259" s="2332">
        <f t="shared" si="64"/>
        <v>1137.8399999999999</v>
      </c>
      <c r="I259" s="2287"/>
      <c r="J259" s="2231"/>
      <c r="K259" s="2412"/>
      <c r="L259" s="2536"/>
      <c r="M259" s="2232"/>
      <c r="N259" s="2557"/>
      <c r="O259" s="2498">
        <f t="shared" si="65"/>
        <v>1137.8399999999999</v>
      </c>
      <c r="P259" s="2295">
        <f t="shared" si="66"/>
        <v>1</v>
      </c>
    </row>
    <row r="260" spans="1:16" ht="30">
      <c r="A260" s="2265" t="s">
        <v>12923</v>
      </c>
      <c r="B260" s="2228">
        <f>VLOOKUP($A260,'11 - QT_ WB'!$A:$F,2,0)</f>
        <v>100868</v>
      </c>
      <c r="C260" s="2228" t="str">
        <f>VLOOKUP($A260,'11 - QT_ WB'!$A:$F,3,0)</f>
        <v>SINAPI</v>
      </c>
      <c r="D260" s="2333" t="s">
        <v>10176</v>
      </c>
      <c r="E260" s="2243" t="str">
        <f>IF($C260="SINAPI",VLOOKUP($B260,'24.08_ND'!$A:$D,3,0),IF($C260="PRÓPRIA",VLOOKUP($B260,'03-CP'!$C:$H,3,0)))</f>
        <v>UN</v>
      </c>
      <c r="F260" s="2230">
        <v>2</v>
      </c>
      <c r="G260" s="2232">
        <v>405.55</v>
      </c>
      <c r="H260" s="2332">
        <f t="shared" si="64"/>
        <v>811.1</v>
      </c>
      <c r="I260" s="2286"/>
      <c r="J260" s="2237"/>
      <c r="K260" s="2411"/>
      <c r="L260" s="2533"/>
      <c r="M260" s="2238"/>
      <c r="N260" s="2239"/>
      <c r="O260" s="2498">
        <f t="shared" si="65"/>
        <v>811.1</v>
      </c>
      <c r="P260" s="2295">
        <f t="shared" si="66"/>
        <v>1</v>
      </c>
    </row>
    <row r="261" spans="1:16" ht="30">
      <c r="A261" s="2265" t="s">
        <v>12924</v>
      </c>
      <c r="B261" s="2228">
        <f>VLOOKUP($A261,'11 - QT_ WB'!$A:$F,2,0)</f>
        <v>100867</v>
      </c>
      <c r="C261" s="2228" t="str">
        <f>VLOOKUP($A261,'11 - QT_ WB'!$A:$F,3,0)</f>
        <v>SINAPI</v>
      </c>
      <c r="D261" s="2333" t="s">
        <v>10175</v>
      </c>
      <c r="E261" s="2243" t="str">
        <f>IF($C261="SINAPI",VLOOKUP($B261,'24.08_ND'!$A:$D,3,0),IF($C261="PRÓPRIA",VLOOKUP($B261,'03-CP'!$C:$H,3,0)))</f>
        <v>UN</v>
      </c>
      <c r="F261" s="2230">
        <v>6</v>
      </c>
      <c r="G261" s="2232">
        <v>389.98</v>
      </c>
      <c r="H261" s="2332">
        <f t="shared" si="64"/>
        <v>2339.88</v>
      </c>
      <c r="I261" s="2286"/>
      <c r="J261" s="2237"/>
      <c r="K261" s="2411"/>
      <c r="L261" s="2533"/>
      <c r="M261" s="2238"/>
      <c r="N261" s="2239"/>
      <c r="O261" s="2498">
        <f t="shared" si="65"/>
        <v>2339.88</v>
      </c>
      <c r="P261" s="2295">
        <f t="shared" si="66"/>
        <v>1</v>
      </c>
    </row>
    <row r="262" spans="1:16" ht="30">
      <c r="A262" s="2265" t="s">
        <v>12925</v>
      </c>
      <c r="B262" s="2228">
        <f>VLOOKUP($A262,'11 - QT_ WB'!$A:$F,2,0)</f>
        <v>100865</v>
      </c>
      <c r="C262" s="2228" t="str">
        <f>VLOOKUP($A262,'11 - QT_ WB'!$A:$F,3,0)</f>
        <v>SINAPI</v>
      </c>
      <c r="D262" s="2333" t="s">
        <v>10173</v>
      </c>
      <c r="E262" s="2243" t="str">
        <f>IF($C262="SINAPI",VLOOKUP($B262,'24.08_ND'!$A:$D,3,0),IF($C262="PRÓPRIA",VLOOKUP($B262,'03-CP'!$C:$H,3,0)))</f>
        <v>UN</v>
      </c>
      <c r="F262" s="2230">
        <v>2</v>
      </c>
      <c r="G262" s="2232">
        <v>700.01</v>
      </c>
      <c r="H262" s="2332">
        <f t="shared" si="64"/>
        <v>1400.02</v>
      </c>
      <c r="I262" s="2286"/>
      <c r="J262" s="2237"/>
      <c r="K262" s="2411"/>
      <c r="L262" s="2533"/>
      <c r="M262" s="2238"/>
      <c r="N262" s="2239"/>
      <c r="O262" s="2498">
        <f t="shared" si="65"/>
        <v>1400.02</v>
      </c>
      <c r="P262" s="2295">
        <f t="shared" si="66"/>
        <v>1</v>
      </c>
    </row>
    <row r="263" spans="1:16" ht="30">
      <c r="A263" s="2265" t="s">
        <v>12926</v>
      </c>
      <c r="B263" s="2228" t="str">
        <f>VLOOKUP($A263,'11 - QT_ WB'!$A:$F,2,0)</f>
        <v>PS-CP-60</v>
      </c>
      <c r="C263" s="2228" t="str">
        <f>VLOOKUP($A263,'11 - QT_ WB'!$A:$F,3,0)</f>
        <v>PRÓPRIA</v>
      </c>
      <c r="D263" s="2333" t="s">
        <v>14888</v>
      </c>
      <c r="E263" s="2243" t="str">
        <f>IF($C263="SINAPI",VLOOKUP($B263,'24.08_ND'!$A:$D,3,0),IF($C263="PRÓPRIA",VLOOKUP($B263,'03-CP'!$C:$H,3,0)))</f>
        <v>UN</v>
      </c>
      <c r="F263" s="2230">
        <v>4</v>
      </c>
      <c r="G263" s="2232">
        <v>280.27999999999997</v>
      </c>
      <c r="H263" s="2332">
        <f t="shared" si="64"/>
        <v>1121.1199999999999</v>
      </c>
      <c r="I263" s="2287"/>
      <c r="J263" s="2231"/>
      <c r="K263" s="2412"/>
      <c r="L263" s="2536"/>
      <c r="M263" s="2232"/>
      <c r="N263" s="2557"/>
      <c r="O263" s="2498">
        <f t="shared" si="65"/>
        <v>1121.1199999999999</v>
      </c>
      <c r="P263" s="2295">
        <f t="shared" si="66"/>
        <v>1</v>
      </c>
    </row>
    <row r="264" spans="1:16" ht="30">
      <c r="A264" s="2265" t="s">
        <v>12927</v>
      </c>
      <c r="B264" s="2228" t="str">
        <f>VLOOKUP($A264,'11 - QT_ WB'!$A:$F,2,0)</f>
        <v>PS-CP-61</v>
      </c>
      <c r="C264" s="2228" t="str">
        <f>VLOOKUP($A264,'11 - QT_ WB'!$A:$F,3,0)</f>
        <v>PRÓPRIA</v>
      </c>
      <c r="D264" s="2333" t="s">
        <v>14890</v>
      </c>
      <c r="E264" s="2243" t="str">
        <f>IF($C264="SINAPI",VLOOKUP($B264,'24.08_ND'!$A:$D,3,0),IF($C264="PRÓPRIA",VLOOKUP($B264,'03-CP'!$C:$H,3,0)))</f>
        <v>UN</v>
      </c>
      <c r="F264" s="2230">
        <v>4</v>
      </c>
      <c r="G264" s="2232">
        <v>218.11</v>
      </c>
      <c r="H264" s="2332">
        <f t="shared" si="64"/>
        <v>872.44</v>
      </c>
      <c r="I264" s="2287"/>
      <c r="J264" s="2231"/>
      <c r="K264" s="2412"/>
      <c r="L264" s="2536"/>
      <c r="M264" s="2232"/>
      <c r="N264" s="2557"/>
      <c r="O264" s="2498">
        <f t="shared" si="65"/>
        <v>872.44</v>
      </c>
      <c r="P264" s="2295">
        <f t="shared" si="66"/>
        <v>1</v>
      </c>
    </row>
    <row r="265" spans="1:16">
      <c r="A265" s="2265" t="s">
        <v>12928</v>
      </c>
      <c r="B265" s="2228" t="str">
        <f>VLOOKUP($A265,'11 - QT_ WB'!$A:$F,2,0)</f>
        <v>PS-CP-62</v>
      </c>
      <c r="C265" s="2228" t="str">
        <f>VLOOKUP($A265,'11 - QT_ WB'!$A:$F,3,0)</f>
        <v>PRÓPRIA</v>
      </c>
      <c r="D265" s="2333" t="s">
        <v>14893</v>
      </c>
      <c r="E265" s="2243" t="str">
        <f>IF($C265="SINAPI",VLOOKUP($B265,'24.08_ND'!$A:$D,3,0),IF($C265="PRÓPRIA",VLOOKUP($B265,'03-CP'!$C:$H,3,0)))</f>
        <v>UN</v>
      </c>
      <c r="F265" s="2230">
        <v>6</v>
      </c>
      <c r="G265" s="2232">
        <v>150.78</v>
      </c>
      <c r="H265" s="2332">
        <f t="shared" si="64"/>
        <v>904.68</v>
      </c>
      <c r="I265" s="2287"/>
      <c r="J265" s="2231"/>
      <c r="K265" s="2412"/>
      <c r="L265" s="2536"/>
      <c r="M265" s="2232"/>
      <c r="N265" s="2557"/>
      <c r="O265" s="2498">
        <f t="shared" si="65"/>
        <v>904.68</v>
      </c>
      <c r="P265" s="2295">
        <f t="shared" si="66"/>
        <v>1</v>
      </c>
    </row>
    <row r="266" spans="1:16">
      <c r="A266" s="2265" t="s">
        <v>12929</v>
      </c>
      <c r="B266" s="2228" t="str">
        <f>VLOOKUP($A266,'11 - QT_ WB'!$A:$F,2,0)</f>
        <v>PS-CP-63</v>
      </c>
      <c r="C266" s="2228" t="str">
        <f>VLOOKUP($A266,'11 - QT_ WB'!$A:$F,3,0)</f>
        <v>PRÓPRIA</v>
      </c>
      <c r="D266" s="2333" t="s">
        <v>14896</v>
      </c>
      <c r="E266" s="2243" t="str">
        <f>IF($C266="SINAPI",VLOOKUP($B266,'24.08_ND'!$A:$D,3,0),IF($C266="PRÓPRIA",VLOOKUP($B266,'03-CP'!$C:$H,3,0)))</f>
        <v>UN</v>
      </c>
      <c r="F266" s="2230">
        <v>4</v>
      </c>
      <c r="G266" s="2232">
        <v>233.03</v>
      </c>
      <c r="H266" s="2332">
        <f t="shared" si="64"/>
        <v>932.12</v>
      </c>
      <c r="I266" s="2287"/>
      <c r="J266" s="2231"/>
      <c r="K266" s="2412"/>
      <c r="L266" s="2536"/>
      <c r="M266" s="2232"/>
      <c r="N266" s="2557"/>
      <c r="O266" s="2498">
        <f t="shared" si="65"/>
        <v>932.12</v>
      </c>
      <c r="P266" s="2295">
        <f t="shared" si="66"/>
        <v>1</v>
      </c>
    </row>
    <row r="267" spans="1:16" ht="30">
      <c r="A267" s="2265" t="s">
        <v>12930</v>
      </c>
      <c r="B267" s="2228" t="str">
        <f>VLOOKUP($A267,'11 - QT_ WB'!$A:$F,2,0)</f>
        <v>PS-CP-64</v>
      </c>
      <c r="C267" s="2228" t="str">
        <f>VLOOKUP($A267,'11 - QT_ WB'!$A:$F,3,0)</f>
        <v>PRÓPRIA</v>
      </c>
      <c r="D267" s="2333" t="s">
        <v>14899</v>
      </c>
      <c r="E267" s="2243" t="str">
        <f>IF($C267="SINAPI",VLOOKUP($B267,'24.08_ND'!$A:$D,3,0),IF($C267="PRÓPRIA",VLOOKUP($B267,'03-CP'!$C:$H,3,0)))</f>
        <v>M2</v>
      </c>
      <c r="F267" s="2230">
        <v>2.8800000000000003</v>
      </c>
      <c r="G267" s="2232">
        <v>741.08</v>
      </c>
      <c r="H267" s="2332">
        <f t="shared" si="64"/>
        <v>2134.31</v>
      </c>
      <c r="I267" s="2287"/>
      <c r="J267" s="2231"/>
      <c r="K267" s="2412"/>
      <c r="L267" s="2536"/>
      <c r="M267" s="2232"/>
      <c r="N267" s="2557"/>
      <c r="O267" s="2498">
        <f t="shared" si="65"/>
        <v>2134.31</v>
      </c>
      <c r="P267" s="2295">
        <f t="shared" si="66"/>
        <v>1</v>
      </c>
    </row>
    <row r="268" spans="1:16">
      <c r="A268" s="2265" t="s">
        <v>12931</v>
      </c>
      <c r="B268" s="2228" t="str">
        <f>VLOOKUP($A268,'11 - QT_ WB'!$A:$F,2,0)</f>
        <v>PS-CP-65</v>
      </c>
      <c r="C268" s="2228" t="str">
        <f>VLOOKUP($A268,'11 - QT_ WB'!$A:$F,3,0)</f>
        <v>PRÓPRIA</v>
      </c>
      <c r="D268" s="2333" t="s">
        <v>14902</v>
      </c>
      <c r="E268" s="2243" t="str">
        <f>IF($C268="SINAPI",VLOOKUP($B268,'24.08_ND'!$A:$D,3,0),IF($C268="PRÓPRIA",VLOOKUP($B268,'03-CP'!$C:$H,3,0)))</f>
        <v>UN</v>
      </c>
      <c r="F268" s="2230">
        <v>2</v>
      </c>
      <c r="G268" s="2232">
        <v>612.51</v>
      </c>
      <c r="H268" s="2332">
        <f t="shared" si="64"/>
        <v>1225.02</v>
      </c>
      <c r="I268" s="2287"/>
      <c r="J268" s="2231"/>
      <c r="K268" s="2412"/>
      <c r="L268" s="2536"/>
      <c r="M268" s="2232"/>
      <c r="N268" s="2557"/>
      <c r="O268" s="2498">
        <f t="shared" si="65"/>
        <v>1225.02</v>
      </c>
      <c r="P268" s="2295">
        <f t="shared" si="66"/>
        <v>1</v>
      </c>
    </row>
    <row r="269" spans="1:16">
      <c r="A269" s="2265" t="s">
        <v>12932</v>
      </c>
      <c r="B269" s="2228" t="str">
        <f>VLOOKUP($A269,'11 - QT_ WB'!$A:$F,2,0)</f>
        <v>PS-CP-66</v>
      </c>
      <c r="C269" s="2228" t="str">
        <f>VLOOKUP($A269,'11 - QT_ WB'!$A:$F,3,0)</f>
        <v>PRÓPRIA</v>
      </c>
      <c r="D269" s="2333" t="s">
        <v>14905</v>
      </c>
      <c r="E269" s="2243" t="str">
        <f>IF($C269="SINAPI",VLOOKUP($B269,'24.08_ND'!$A:$D,3,0),IF($C269="PRÓPRIA",VLOOKUP($B269,'03-CP'!$C:$H,3,0)))</f>
        <v>UN</v>
      </c>
      <c r="F269" s="2230">
        <v>6</v>
      </c>
      <c r="G269" s="2232">
        <v>166.4</v>
      </c>
      <c r="H269" s="2332">
        <f t="shared" si="64"/>
        <v>998.4</v>
      </c>
      <c r="I269" s="2287"/>
      <c r="J269" s="2231"/>
      <c r="K269" s="2412"/>
      <c r="L269" s="2536"/>
      <c r="M269" s="2232"/>
      <c r="N269" s="2557"/>
      <c r="O269" s="2498">
        <f t="shared" si="65"/>
        <v>998.4</v>
      </c>
      <c r="P269" s="2295">
        <f t="shared" si="66"/>
        <v>1</v>
      </c>
    </row>
    <row r="270" spans="1:16" ht="30">
      <c r="A270" s="2264" t="s">
        <v>12933</v>
      </c>
      <c r="B270" s="2223"/>
      <c r="C270" s="2223"/>
      <c r="D270" s="2376" t="s">
        <v>16301</v>
      </c>
      <c r="E270" s="2224"/>
      <c r="F270" s="2240"/>
      <c r="G270" s="2226"/>
      <c r="H270" s="2301">
        <f>SUBTOTAL(9,H271:H276)</f>
        <v>18742.75</v>
      </c>
      <c r="I270" s="2284"/>
      <c r="J270" s="2227"/>
      <c r="K270" s="2410"/>
      <c r="L270" s="2534">
        <f>SUBTOTAL(9,L271:L276)</f>
        <v>0</v>
      </c>
      <c r="M270" s="2301">
        <f>SUBTOTAL(9,M271:M276)</f>
        <v>0</v>
      </c>
      <c r="N270" s="2301">
        <f>SUBTOTAL(9,N271:N276)</f>
        <v>0</v>
      </c>
      <c r="O270" s="2301">
        <f>SUBTOTAL(9,O271:O276)</f>
        <v>18742.75</v>
      </c>
      <c r="P270" s="2293"/>
    </row>
    <row r="271" spans="1:16" ht="30">
      <c r="A271" s="2265" t="s">
        <v>12934</v>
      </c>
      <c r="B271" s="2228" t="str">
        <f>VLOOKUP($A271,'11 - QT_ WB'!$A:$F,2,0)</f>
        <v>PS-CP-67</v>
      </c>
      <c r="C271" s="2228" t="str">
        <f>VLOOKUP($A271,'11 - QT_ WB'!$A:$F,3,0)</f>
        <v>PRÓPRIA</v>
      </c>
      <c r="D271" s="2333" t="s">
        <v>14908</v>
      </c>
      <c r="E271" s="2243" t="str">
        <f>IF($C271="SINAPI",VLOOKUP($B271,'24.08_ND'!$A:$D,3,0),IF($C271="PRÓPRIA",VLOOKUP($B271,'03-CP'!$C:$H,3,0)))</f>
        <v>UN</v>
      </c>
      <c r="F271" s="2230">
        <v>2</v>
      </c>
      <c r="G271" s="2232">
        <v>64.2</v>
      </c>
      <c r="H271" s="2332">
        <f t="shared" ref="H271:H276" si="67">TRUNC((G271*F271),2)</f>
        <v>128.4</v>
      </c>
      <c r="I271" s="2328">
        <f>J271+K271</f>
        <v>0</v>
      </c>
      <c r="J271" s="2231"/>
      <c r="K271" s="2412"/>
      <c r="L271" s="2533">
        <f>M271+N271</f>
        <v>0</v>
      </c>
      <c r="M271" s="2238">
        <v>0</v>
      </c>
      <c r="N271" s="2239">
        <f>TRUNC(H271*K271,2)</f>
        <v>0</v>
      </c>
      <c r="O271" s="2498">
        <f t="shared" ref="O271:O276" si="68">H271-L271</f>
        <v>128.4</v>
      </c>
      <c r="P271" s="2295">
        <f t="shared" ref="P271:P276" si="69">O271/H271</f>
        <v>1</v>
      </c>
    </row>
    <row r="272" spans="1:16" ht="30">
      <c r="A272" s="2265" t="s">
        <v>12935</v>
      </c>
      <c r="B272" s="2228">
        <f>VLOOKUP($A272,'11 - QT_ WB'!$A:$F,2,0)</f>
        <v>103946</v>
      </c>
      <c r="C272" s="2228" t="str">
        <f>VLOOKUP($A272,'11 - QT_ WB'!$A:$F,3,0)</f>
        <v>SINAPI</v>
      </c>
      <c r="D272" s="2333" t="s">
        <v>12077</v>
      </c>
      <c r="E272" s="2243" t="str">
        <f>IF($C272="SINAPI",VLOOKUP($B272,'24.08_ND'!$A:$D,3,0),IF($C272="PRÓPRIA",VLOOKUP($B272,'03-CP'!$C:$H,3,0)))</f>
        <v>M2</v>
      </c>
      <c r="F272" s="2230">
        <v>52.76</v>
      </c>
      <c r="G272" s="2232">
        <v>22.07</v>
      </c>
      <c r="H272" s="2332">
        <f t="shared" si="67"/>
        <v>1164.4100000000001</v>
      </c>
      <c r="I272" s="2286"/>
      <c r="J272" s="2237"/>
      <c r="K272" s="2411"/>
      <c r="L272" s="2533"/>
      <c r="M272" s="2238"/>
      <c r="N272" s="2239"/>
      <c r="O272" s="2498">
        <f t="shared" si="68"/>
        <v>1164.4100000000001</v>
      </c>
      <c r="P272" s="2295">
        <f t="shared" si="69"/>
        <v>1</v>
      </c>
    </row>
    <row r="273" spans="1:23">
      <c r="A273" s="2265" t="s">
        <v>12936</v>
      </c>
      <c r="B273" s="2228">
        <f>VLOOKUP($A273,'11 - QT_ WB'!$A:$F,2,0)</f>
        <v>98509</v>
      </c>
      <c r="C273" s="2228" t="str">
        <f>VLOOKUP($A273,'11 - QT_ WB'!$A:$F,3,0)</f>
        <v>SINAPI</v>
      </c>
      <c r="D273" s="2333" t="s">
        <v>12064</v>
      </c>
      <c r="E273" s="2243" t="str">
        <f>IF($C273="SINAPI",VLOOKUP($B273,'24.08_ND'!$A:$D,3,0),IF($C273="PRÓPRIA",VLOOKUP($B273,'03-CP'!$C:$H,3,0)))</f>
        <v>UN</v>
      </c>
      <c r="F273" s="2230">
        <v>63</v>
      </c>
      <c r="G273" s="2232">
        <v>92.78</v>
      </c>
      <c r="H273" s="2332">
        <f t="shared" si="67"/>
        <v>5845.14</v>
      </c>
      <c r="I273" s="2286"/>
      <c r="J273" s="2237"/>
      <c r="K273" s="2411"/>
      <c r="L273" s="2533"/>
      <c r="M273" s="2238"/>
      <c r="N273" s="2239"/>
      <c r="O273" s="2498">
        <f t="shared" si="68"/>
        <v>5845.14</v>
      </c>
      <c r="P273" s="2295">
        <f t="shared" si="69"/>
        <v>1</v>
      </c>
    </row>
    <row r="274" spans="1:23" ht="30">
      <c r="A274" s="2265" t="s">
        <v>12937</v>
      </c>
      <c r="B274" s="2228">
        <f>VLOOKUP($A274,'11 - QT_ WB'!$A:$F,2,0)</f>
        <v>98510</v>
      </c>
      <c r="C274" s="2228" t="str">
        <f>VLOOKUP($A274,'11 - QT_ WB'!$A:$F,3,0)</f>
        <v>SINAPI</v>
      </c>
      <c r="D274" s="2333" t="s">
        <v>12065</v>
      </c>
      <c r="E274" s="2243" t="str">
        <f>IF($C274="SINAPI",VLOOKUP($B274,'24.08_ND'!$A:$D,3,0),IF($C274="PRÓPRIA",VLOOKUP($B274,'03-CP'!$C:$H,3,0)))</f>
        <v>UN</v>
      </c>
      <c r="F274" s="2230">
        <v>7</v>
      </c>
      <c r="G274" s="2232">
        <v>138.51</v>
      </c>
      <c r="H274" s="2332">
        <f t="shared" si="67"/>
        <v>969.57</v>
      </c>
      <c r="I274" s="2286"/>
      <c r="J274" s="2237"/>
      <c r="K274" s="2411"/>
      <c r="L274" s="2533"/>
      <c r="M274" s="2238"/>
      <c r="N274" s="2239"/>
      <c r="O274" s="2498">
        <f t="shared" si="68"/>
        <v>969.57</v>
      </c>
      <c r="P274" s="2295">
        <f t="shared" si="69"/>
        <v>1</v>
      </c>
    </row>
    <row r="275" spans="1:23">
      <c r="A275" s="2265" t="s">
        <v>12938</v>
      </c>
      <c r="B275" s="2228" t="str">
        <f>VLOOKUP($A275,'11 - QT_ WB'!$A:$F,2,0)</f>
        <v>CP-PSG-10</v>
      </c>
      <c r="C275" s="2228" t="str">
        <f>VLOOKUP($A275,'11 - QT_ WB'!$A:$F,3,0)</f>
        <v>PRÓPRIA</v>
      </c>
      <c r="D275" s="2333" t="s">
        <v>15103</v>
      </c>
      <c r="E275" s="2243" t="str">
        <f>IF($C275="SINAPI",VLOOKUP($B275,'24.08_ND'!$A:$D,3,0),IF($C275="PRÓPRIA",VLOOKUP($B275,'03-CP'!$C:$H,3,0)))</f>
        <v>UN</v>
      </c>
      <c r="F275" s="2230">
        <v>3</v>
      </c>
      <c r="G275" s="2232">
        <v>547.86</v>
      </c>
      <c r="H275" s="2332">
        <f t="shared" si="67"/>
        <v>1643.58</v>
      </c>
      <c r="I275" s="2287"/>
      <c r="J275" s="2231"/>
      <c r="K275" s="2412"/>
      <c r="L275" s="2536"/>
      <c r="M275" s="2232"/>
      <c r="N275" s="2557"/>
      <c r="O275" s="2498">
        <f t="shared" si="68"/>
        <v>1643.58</v>
      </c>
      <c r="P275" s="2295">
        <f t="shared" si="69"/>
        <v>1</v>
      </c>
    </row>
    <row r="276" spans="1:23">
      <c r="A276" s="2265" t="s">
        <v>12939</v>
      </c>
      <c r="B276" s="2228" t="str">
        <f>VLOOKUP($A276,'11 - QT_ WB'!$A:$F,2,0)</f>
        <v>CP-PSG-09</v>
      </c>
      <c r="C276" s="2228" t="str">
        <f>VLOOKUP($A276,'11 - QT_ WB'!$A:$F,3,0)</f>
        <v>PRÓPRIA</v>
      </c>
      <c r="D276" s="2333" t="s">
        <v>15100</v>
      </c>
      <c r="E276" s="2243" t="str">
        <f>IF($C276="SINAPI",VLOOKUP($B276,'24.08_ND'!$A:$D,3,0),IF($C276="PRÓPRIA",VLOOKUP($B276,'03-CP'!$C:$H,3,0)))</f>
        <v>UN</v>
      </c>
      <c r="F276" s="2230">
        <v>5</v>
      </c>
      <c r="G276" s="2232">
        <v>1798.33</v>
      </c>
      <c r="H276" s="2332">
        <f t="shared" si="67"/>
        <v>8991.65</v>
      </c>
      <c r="I276" s="2287"/>
      <c r="J276" s="2231"/>
      <c r="K276" s="2412"/>
      <c r="L276" s="2536"/>
      <c r="M276" s="2232"/>
      <c r="N276" s="2557"/>
      <c r="O276" s="2498">
        <f t="shared" si="68"/>
        <v>8991.65</v>
      </c>
      <c r="P276" s="2295">
        <f t="shared" si="69"/>
        <v>1</v>
      </c>
    </row>
    <row r="277" spans="1:23">
      <c r="A277" s="2263" t="s">
        <v>12626</v>
      </c>
      <c r="B277" s="2216"/>
      <c r="C277" s="2217"/>
      <c r="D277" s="2377" t="s">
        <v>16310</v>
      </c>
      <c r="E277" s="2218"/>
      <c r="F277" s="2241"/>
      <c r="G277" s="2220"/>
      <c r="H277" s="2303">
        <f>SUBTOTAL(9,H278:H377)</f>
        <v>95934.40999999996</v>
      </c>
      <c r="I277" s="2288"/>
      <c r="J277" s="2244"/>
      <c r="K277" s="2546"/>
      <c r="L277" s="2537">
        <f>SUBTOTAL(9,L278:L377)</f>
        <v>2928.19</v>
      </c>
      <c r="M277" s="2303">
        <f>SUBTOTAL(9,M278:M377)</f>
        <v>0</v>
      </c>
      <c r="N277" s="2303">
        <f>SUBTOTAL(9,N278:N377)</f>
        <v>2928.19</v>
      </c>
      <c r="O277" s="2303">
        <f>SUBTOTAL(9,O278:O377)</f>
        <v>93006.219999999972</v>
      </c>
      <c r="P277" s="2296"/>
    </row>
    <row r="278" spans="1:23">
      <c r="A278" s="2264" t="s">
        <v>12940</v>
      </c>
      <c r="B278" s="2223"/>
      <c r="C278" s="2223"/>
      <c r="D278" s="2376" t="s">
        <v>16312</v>
      </c>
      <c r="E278" s="2224"/>
      <c r="F278" s="2240"/>
      <c r="G278" s="2226"/>
      <c r="H278" s="2301">
        <f>SUBTOTAL(9,H279:H312)</f>
        <v>15726.14</v>
      </c>
      <c r="I278" s="2284"/>
      <c r="J278" s="2227"/>
      <c r="K278" s="2496"/>
      <c r="L278" s="2534">
        <f>SUBTOTAL(9,L279:L312)</f>
        <v>2928.19</v>
      </c>
      <c r="M278" s="2301">
        <f>SUBTOTAL(9,M279:M312)</f>
        <v>0</v>
      </c>
      <c r="N278" s="2301">
        <f>SUBTOTAL(9,N279:N312)</f>
        <v>2928.19</v>
      </c>
      <c r="O278" s="2301">
        <f>SUBTOTAL(9,O279:O312)</f>
        <v>12797.949999999999</v>
      </c>
      <c r="P278" s="2293"/>
    </row>
    <row r="279" spans="1:23" ht="45">
      <c r="A279" s="2265" t="s">
        <v>12941</v>
      </c>
      <c r="B279" s="2228">
        <f>VLOOKUP($A279,'11 - QT_ WB'!$A:$F,2,0)</f>
        <v>94656</v>
      </c>
      <c r="C279" s="2228" t="str">
        <f>VLOOKUP($A279,'11 - QT_ WB'!$A:$F,3,0)</f>
        <v>SINAPI</v>
      </c>
      <c r="D279" s="2333" t="s">
        <v>9352</v>
      </c>
      <c r="E279" s="2243" t="str">
        <f>IF($C279="SINAPI",VLOOKUP($B279,'24.08_ND'!$A:$D,3,0),IF($C279="PRÓPRIA",VLOOKUP($B279,'03-CP'!$C:$H,3,0)))</f>
        <v>UN</v>
      </c>
      <c r="F279" s="2230">
        <v>30</v>
      </c>
      <c r="G279" s="2232">
        <v>3.65</v>
      </c>
      <c r="H279" s="2332">
        <f t="shared" ref="H279:H312" si="70">TRUNC((G279*F279),2)</f>
        <v>109.5</v>
      </c>
      <c r="I279" s="2328">
        <f>J279+K279</f>
        <v>0</v>
      </c>
      <c r="J279" s="2231"/>
      <c r="K279" s="2412"/>
      <c r="L279" s="2533">
        <f>M279+N279</f>
        <v>0</v>
      </c>
      <c r="M279" s="2238">
        <v>0</v>
      </c>
      <c r="N279" s="2239">
        <f>TRUNC(H279*K279,2)</f>
        <v>0</v>
      </c>
      <c r="O279" s="2498">
        <f t="shared" ref="O279:O312" si="71">H279-L279</f>
        <v>109.5</v>
      </c>
      <c r="P279" s="2295">
        <f t="shared" ref="P279:P313" si="72">O279/H279</f>
        <v>1</v>
      </c>
      <c r="T279" s="1793"/>
    </row>
    <row r="280" spans="1:23" ht="45">
      <c r="A280" s="2265" t="s">
        <v>12942</v>
      </c>
      <c r="B280" s="2228">
        <f>VLOOKUP($A280,'11 - QT_ WB'!$A:$F,2,0)</f>
        <v>104001</v>
      </c>
      <c r="C280" s="2228" t="str">
        <f>VLOOKUP($A280,'11 - QT_ WB'!$A:$F,3,0)</f>
        <v>SINAPI</v>
      </c>
      <c r="D280" s="2333" t="s">
        <v>9845</v>
      </c>
      <c r="E280" s="2243" t="str">
        <f>IF($C280="SINAPI",VLOOKUP($B280,'24.08_ND'!$A:$D,3,0),IF($C280="PRÓPRIA",VLOOKUP($B280,'03-CP'!$C:$H,3,0)))</f>
        <v>UN</v>
      </c>
      <c r="F280" s="2230">
        <v>7</v>
      </c>
      <c r="G280" s="2232">
        <v>14.58</v>
      </c>
      <c r="H280" s="2332">
        <f t="shared" si="70"/>
        <v>102.06</v>
      </c>
      <c r="I280" s="2286"/>
      <c r="J280" s="2237"/>
      <c r="K280" s="2411"/>
      <c r="L280" s="2533"/>
      <c r="M280" s="2238"/>
      <c r="N280" s="2239"/>
      <c r="O280" s="2498">
        <f t="shared" si="71"/>
        <v>102.06</v>
      </c>
      <c r="P280" s="2295">
        <f t="shared" si="72"/>
        <v>1</v>
      </c>
      <c r="T280" s="1793"/>
    </row>
    <row r="281" spans="1:23" ht="30">
      <c r="A281" s="2265" t="s">
        <v>12943</v>
      </c>
      <c r="B281" s="2228">
        <f>VLOOKUP($A281,'11 - QT_ WB'!$A:$F,2,0)</f>
        <v>105234</v>
      </c>
      <c r="C281" s="2228" t="str">
        <f>VLOOKUP($A281,'11 - QT_ WB'!$A:$F,3,0)</f>
        <v>SINAPI</v>
      </c>
      <c r="D281" s="2333" t="s">
        <v>10006</v>
      </c>
      <c r="E281" s="2243" t="str">
        <f>IF($C281="SINAPI",VLOOKUP($B281,'24.08_ND'!$A:$D,3,0),IF($C281="PRÓPRIA",VLOOKUP($B281,'03-CP'!$C:$H,3,0)))</f>
        <v>UN</v>
      </c>
      <c r="F281" s="2230">
        <v>12</v>
      </c>
      <c r="G281" s="2232">
        <v>10.15</v>
      </c>
      <c r="H281" s="2332">
        <f t="shared" si="70"/>
        <v>121.8</v>
      </c>
      <c r="I281" s="2286"/>
      <c r="J281" s="2237"/>
      <c r="K281" s="2411"/>
      <c r="L281" s="2533"/>
      <c r="M281" s="2238"/>
      <c r="N281" s="2239"/>
      <c r="O281" s="2498">
        <f t="shared" si="71"/>
        <v>121.8</v>
      </c>
      <c r="P281" s="2295">
        <f t="shared" si="72"/>
        <v>1</v>
      </c>
      <c r="T281" s="1793"/>
    </row>
    <row r="282" spans="1:23" ht="30">
      <c r="A282" s="2265" t="s">
        <v>12944</v>
      </c>
      <c r="B282" s="2228">
        <f>VLOOKUP($A282,'11 - QT_ WB'!$A:$F,2,0)</f>
        <v>105140</v>
      </c>
      <c r="C282" s="2228" t="str">
        <f>VLOOKUP($A282,'11 - QT_ WB'!$A:$F,3,0)</f>
        <v>SINAPI</v>
      </c>
      <c r="D282" s="2333" t="s">
        <v>8658</v>
      </c>
      <c r="E282" s="2243" t="str">
        <f>IF($C282="SINAPI",VLOOKUP($B282,'24.08_ND'!$A:$D,3,0),IF($C282="PRÓPRIA",VLOOKUP($B282,'03-CP'!$C:$H,3,0)))</f>
        <v>UN</v>
      </c>
      <c r="F282" s="2230">
        <v>8</v>
      </c>
      <c r="G282" s="2232">
        <v>26.21</v>
      </c>
      <c r="H282" s="2332">
        <f t="shared" si="70"/>
        <v>209.68</v>
      </c>
      <c r="I282" s="2286"/>
      <c r="J282" s="2237"/>
      <c r="K282" s="2411"/>
      <c r="L282" s="2533"/>
      <c r="M282" s="2238"/>
      <c r="N282" s="2239"/>
      <c r="O282" s="2498">
        <f t="shared" si="71"/>
        <v>209.68</v>
      </c>
      <c r="P282" s="2295">
        <f t="shared" si="72"/>
        <v>1</v>
      </c>
      <c r="T282" s="1793"/>
    </row>
    <row r="283" spans="1:23" ht="30">
      <c r="A283" s="2265" t="s">
        <v>12945</v>
      </c>
      <c r="B283" s="2228">
        <f>VLOOKUP($A283,'11 - QT_ WB'!$A:$F,2,0)</f>
        <v>94681</v>
      </c>
      <c r="C283" s="2228" t="str">
        <f>VLOOKUP($A283,'11 - QT_ WB'!$A:$F,3,0)</f>
        <v>SINAPI</v>
      </c>
      <c r="D283" s="2333" t="s">
        <v>9377</v>
      </c>
      <c r="E283" s="2243" t="str">
        <f>IF($C283="SINAPI",VLOOKUP($B283,'24.08_ND'!$A:$D,3,0),IF($C283="PRÓPRIA",VLOOKUP($B283,'03-CP'!$C:$H,3,0)))</f>
        <v>UN</v>
      </c>
      <c r="F283" s="2230">
        <v>10</v>
      </c>
      <c r="G283" s="2232">
        <v>48.22</v>
      </c>
      <c r="H283" s="2332">
        <f t="shared" si="70"/>
        <v>482.2</v>
      </c>
      <c r="I283" s="2286"/>
      <c r="J283" s="2237"/>
      <c r="K283" s="2411"/>
      <c r="L283" s="2533"/>
      <c r="M283" s="2238"/>
      <c r="N283" s="2239"/>
      <c r="O283" s="2498">
        <f t="shared" si="71"/>
        <v>482.2</v>
      </c>
      <c r="P283" s="2295">
        <f t="shared" si="72"/>
        <v>1</v>
      </c>
      <c r="Q283" s="2576"/>
      <c r="R283" s="2576"/>
      <c r="S283" s="2576"/>
    </row>
    <row r="284" spans="1:23" ht="30">
      <c r="A284" s="2265" t="s">
        <v>12946</v>
      </c>
      <c r="B284" s="2228">
        <f>VLOOKUP($A284,'11 - QT_ WB'!$A:$F,2,0)</f>
        <v>94679</v>
      </c>
      <c r="C284" s="2228" t="str">
        <f>VLOOKUP($A284,'11 - QT_ WB'!$A:$F,3,0)</f>
        <v>SINAPI</v>
      </c>
      <c r="D284" s="2333" t="s">
        <v>9375</v>
      </c>
      <c r="E284" s="2243" t="str">
        <f>IF($C284="SINAPI",VLOOKUP($B284,'24.08_ND'!$A:$D,3,0),IF($C284="PRÓPRIA",VLOOKUP($B284,'03-CP'!$C:$H,3,0)))</f>
        <v>UN</v>
      </c>
      <c r="F284" s="2230">
        <v>28</v>
      </c>
      <c r="G284" s="2232">
        <v>23.81</v>
      </c>
      <c r="H284" s="2332">
        <f t="shared" si="70"/>
        <v>666.68</v>
      </c>
      <c r="I284" s="2286"/>
      <c r="J284" s="2237"/>
      <c r="K284" s="2411"/>
      <c r="L284" s="2533"/>
      <c r="M284" s="2238"/>
      <c r="N284" s="2239"/>
      <c r="O284" s="2498">
        <f t="shared" si="71"/>
        <v>666.68</v>
      </c>
      <c r="P284" s="2295">
        <f t="shared" si="72"/>
        <v>1</v>
      </c>
      <c r="W284" s="1793"/>
    </row>
    <row r="285" spans="1:23" ht="30">
      <c r="A285" s="2265" t="s">
        <v>12947</v>
      </c>
      <c r="B285" s="2228">
        <f>VLOOKUP($A285,'11 - QT_ WB'!$A:$F,2,0)</f>
        <v>89369</v>
      </c>
      <c r="C285" s="2228" t="str">
        <f>VLOOKUP($A285,'11 - QT_ WB'!$A:$F,3,0)</f>
        <v>SINAPI</v>
      </c>
      <c r="D285" s="2333" t="s">
        <v>8676</v>
      </c>
      <c r="E285" s="2243" t="str">
        <f>IF($C285="SINAPI",VLOOKUP($B285,'24.08_ND'!$A:$D,3,0),IF($C285="PRÓPRIA",VLOOKUP($B285,'03-CP'!$C:$H,3,0)))</f>
        <v>UN</v>
      </c>
      <c r="F285" s="2230">
        <v>7</v>
      </c>
      <c r="G285" s="2232">
        <v>17.91</v>
      </c>
      <c r="H285" s="2332">
        <f t="shared" si="70"/>
        <v>125.37</v>
      </c>
      <c r="I285" s="2286"/>
      <c r="J285" s="2237"/>
      <c r="K285" s="2411"/>
      <c r="L285" s="2533"/>
      <c r="M285" s="2238"/>
      <c r="N285" s="2239"/>
      <c r="O285" s="2498">
        <f t="shared" si="71"/>
        <v>125.37</v>
      </c>
      <c r="P285" s="2295">
        <f t="shared" si="72"/>
        <v>1</v>
      </c>
      <c r="T285" s="1793"/>
      <c r="W285" s="1790"/>
    </row>
    <row r="286" spans="1:23" ht="30">
      <c r="A286" s="2265" t="s">
        <v>12948</v>
      </c>
      <c r="B286" s="2228">
        <f>VLOOKUP($A286,'11 - QT_ WB'!$A:$F,2,0)</f>
        <v>89364</v>
      </c>
      <c r="C286" s="2228" t="str">
        <f>VLOOKUP($A286,'11 - QT_ WB'!$A:$F,3,0)</f>
        <v>SINAPI</v>
      </c>
      <c r="D286" s="2333" t="s">
        <v>8671</v>
      </c>
      <c r="E286" s="2243" t="str">
        <f>IF($C286="SINAPI",VLOOKUP($B286,'24.08_ND'!$A:$D,3,0),IF($C286="PRÓPRIA",VLOOKUP($B286,'03-CP'!$C:$H,3,0)))</f>
        <v>UN</v>
      </c>
      <c r="F286" s="2230">
        <v>38</v>
      </c>
      <c r="G286" s="2232">
        <v>12.43</v>
      </c>
      <c r="H286" s="2332">
        <f t="shared" si="70"/>
        <v>472.34</v>
      </c>
      <c r="I286" s="2286"/>
      <c r="J286" s="2237"/>
      <c r="K286" s="2411"/>
      <c r="L286" s="2533"/>
      <c r="M286" s="2238"/>
      <c r="N286" s="2239"/>
      <c r="O286" s="2498">
        <f t="shared" si="71"/>
        <v>472.34</v>
      </c>
      <c r="P286" s="2295">
        <f t="shared" si="72"/>
        <v>1</v>
      </c>
    </row>
    <row r="287" spans="1:23" ht="30">
      <c r="A287" s="2265" t="s">
        <v>12949</v>
      </c>
      <c r="B287" s="2228">
        <f>VLOOKUP($A287,'11 - QT_ WB'!$A:$F,2,0)</f>
        <v>89430</v>
      </c>
      <c r="C287" s="2228" t="str">
        <f>VLOOKUP($A287,'11 - QT_ WB'!$A:$F,3,0)</f>
        <v>SINAPI</v>
      </c>
      <c r="D287" s="2333" t="s">
        <v>8731</v>
      </c>
      <c r="E287" s="2243" t="str">
        <f>IF($C287="SINAPI",VLOOKUP($B287,'24.08_ND'!$A:$D,3,0),IF($C287="PRÓPRIA",VLOOKUP($B287,'03-CP'!$C:$H,3,0)))</f>
        <v>UN</v>
      </c>
      <c r="F287" s="2230">
        <v>2</v>
      </c>
      <c r="G287" s="2232">
        <v>12.8</v>
      </c>
      <c r="H287" s="2332">
        <f t="shared" si="70"/>
        <v>25.6</v>
      </c>
      <c r="I287" s="2286"/>
      <c r="J287" s="2237"/>
      <c r="K287" s="2411"/>
      <c r="L287" s="2533"/>
      <c r="M287" s="2238"/>
      <c r="N287" s="2239"/>
      <c r="O287" s="2498">
        <f t="shared" si="71"/>
        <v>25.6</v>
      </c>
      <c r="P287" s="2295">
        <f t="shared" si="72"/>
        <v>1</v>
      </c>
    </row>
    <row r="288" spans="1:23" ht="30">
      <c r="A288" s="2265" t="s">
        <v>12950</v>
      </c>
      <c r="B288" s="2228">
        <f>VLOOKUP($A288,'11 - QT_ WB'!$A:$F,2,0)</f>
        <v>89363</v>
      </c>
      <c r="C288" s="2228" t="str">
        <f>VLOOKUP($A288,'11 - QT_ WB'!$A:$F,3,0)</f>
        <v>SINAPI</v>
      </c>
      <c r="D288" s="2333" t="s">
        <v>8670</v>
      </c>
      <c r="E288" s="2243" t="str">
        <f>IF($C288="SINAPI",VLOOKUP($B288,'24.08_ND'!$A:$D,3,0),IF($C288="PRÓPRIA",VLOOKUP($B288,'03-CP'!$C:$H,3,0)))</f>
        <v>UN</v>
      </c>
      <c r="F288" s="2230">
        <v>2</v>
      </c>
      <c r="G288" s="2232">
        <v>11</v>
      </c>
      <c r="H288" s="2332">
        <f t="shared" si="70"/>
        <v>22</v>
      </c>
      <c r="I288" s="2286"/>
      <c r="J288" s="2237"/>
      <c r="K288" s="2411"/>
      <c r="L288" s="2533"/>
      <c r="M288" s="2238"/>
      <c r="N288" s="2239"/>
      <c r="O288" s="2498">
        <f t="shared" si="71"/>
        <v>22</v>
      </c>
      <c r="P288" s="2295">
        <f t="shared" si="72"/>
        <v>1</v>
      </c>
    </row>
    <row r="289" spans="1:18" ht="45">
      <c r="A289" s="2265" t="s">
        <v>12951</v>
      </c>
      <c r="B289" s="2228">
        <f>VLOOKUP($A289,'11 - QT_ WB'!$A:$F,2,0)</f>
        <v>89366</v>
      </c>
      <c r="C289" s="2228" t="str">
        <f>VLOOKUP($A289,'11 - QT_ WB'!$A:$F,3,0)</f>
        <v>SINAPI</v>
      </c>
      <c r="D289" s="2333" t="s">
        <v>8673</v>
      </c>
      <c r="E289" s="2243" t="str">
        <f>IF($C289="SINAPI",VLOOKUP($B289,'24.08_ND'!$A:$D,3,0),IF($C289="PRÓPRIA",VLOOKUP($B289,'03-CP'!$C:$H,3,0)))</f>
        <v>UN</v>
      </c>
      <c r="F289" s="2230">
        <v>5</v>
      </c>
      <c r="G289" s="2232">
        <v>16.670000000000002</v>
      </c>
      <c r="H289" s="2332">
        <f t="shared" si="70"/>
        <v>83.35</v>
      </c>
      <c r="I289" s="2286"/>
      <c r="J289" s="2237"/>
      <c r="K289" s="2411"/>
      <c r="L289" s="2533"/>
      <c r="M289" s="2238"/>
      <c r="N289" s="2239"/>
      <c r="O289" s="2498">
        <f t="shared" si="71"/>
        <v>83.35</v>
      </c>
      <c r="P289" s="2295">
        <f t="shared" si="72"/>
        <v>1</v>
      </c>
    </row>
    <row r="290" spans="1:18" ht="45">
      <c r="A290" s="2265" t="s">
        <v>12952</v>
      </c>
      <c r="B290" s="2228">
        <f>VLOOKUP($A290,'11 - QT_ WB'!$A:$F,2,0)</f>
        <v>90373</v>
      </c>
      <c r="C290" s="2228" t="str">
        <f>VLOOKUP($A290,'11 - QT_ WB'!$A:$F,3,0)</f>
        <v>SINAPI</v>
      </c>
      <c r="D290" s="2333" t="s">
        <v>9065</v>
      </c>
      <c r="E290" s="2243" t="str">
        <f>IF($C290="SINAPI",VLOOKUP($B290,'24.08_ND'!$A:$D,3,0),IF($C290="PRÓPRIA",VLOOKUP($B290,'03-CP'!$C:$H,3,0)))</f>
        <v>UN</v>
      </c>
      <c r="F290" s="2230">
        <v>24</v>
      </c>
      <c r="G290" s="2232">
        <v>13.46</v>
      </c>
      <c r="H290" s="2332">
        <f t="shared" si="70"/>
        <v>323.04000000000002</v>
      </c>
      <c r="I290" s="2286"/>
      <c r="J290" s="2237"/>
      <c r="K290" s="2411"/>
      <c r="L290" s="2533"/>
      <c r="M290" s="2238"/>
      <c r="N290" s="2239"/>
      <c r="O290" s="2498">
        <f t="shared" si="71"/>
        <v>323.04000000000002</v>
      </c>
      <c r="P290" s="2295">
        <f t="shared" si="72"/>
        <v>1</v>
      </c>
    </row>
    <row r="291" spans="1:18" ht="30">
      <c r="A291" s="2265" t="s">
        <v>12953</v>
      </c>
      <c r="B291" s="2228">
        <f>VLOOKUP($A291,'11 - QT_ WB'!$A:$F,2,0)</f>
        <v>94663</v>
      </c>
      <c r="C291" s="2228" t="str">
        <f>VLOOKUP($A291,'11 - QT_ WB'!$A:$F,3,0)</f>
        <v>SINAPI</v>
      </c>
      <c r="D291" s="2333" t="s">
        <v>9359</v>
      </c>
      <c r="E291" s="2243" t="str">
        <f>IF($C291="SINAPI",VLOOKUP($B291,'24.08_ND'!$A:$D,3,0),IF($C291="PRÓPRIA",VLOOKUP($B291,'03-CP'!$C:$H,3,0)))</f>
        <v>UN</v>
      </c>
      <c r="F291" s="2230">
        <v>14</v>
      </c>
      <c r="G291" s="2232">
        <v>12.85</v>
      </c>
      <c r="H291" s="2332">
        <f t="shared" si="70"/>
        <v>179.9</v>
      </c>
      <c r="I291" s="2286"/>
      <c r="J291" s="2237"/>
      <c r="K291" s="2411"/>
      <c r="L291" s="2533"/>
      <c r="M291" s="2238"/>
      <c r="N291" s="2239"/>
      <c r="O291" s="2498">
        <f t="shared" si="71"/>
        <v>179.9</v>
      </c>
      <c r="P291" s="2295">
        <f t="shared" si="72"/>
        <v>1</v>
      </c>
    </row>
    <row r="292" spans="1:18" ht="30">
      <c r="A292" s="2265" t="s">
        <v>12954</v>
      </c>
      <c r="B292" s="2228">
        <f>VLOOKUP($A292,'11 - QT_ WB'!$A:$F,2,0)</f>
        <v>94665</v>
      </c>
      <c r="C292" s="2228" t="str">
        <f>VLOOKUP($A292,'11 - QT_ WB'!$A:$F,3,0)</f>
        <v>SINAPI</v>
      </c>
      <c r="D292" s="2333" t="s">
        <v>9361</v>
      </c>
      <c r="E292" s="2243" t="str">
        <f>IF($C292="SINAPI",VLOOKUP($B292,'24.08_ND'!$A:$D,3,0),IF($C292="PRÓPRIA",VLOOKUP($B292,'03-CP'!$C:$H,3,0)))</f>
        <v>UN</v>
      </c>
      <c r="F292" s="2230">
        <v>8</v>
      </c>
      <c r="G292" s="2232">
        <v>24.57</v>
      </c>
      <c r="H292" s="2332">
        <f t="shared" si="70"/>
        <v>196.56</v>
      </c>
      <c r="I292" s="2286"/>
      <c r="J292" s="2237"/>
      <c r="K292" s="2411"/>
      <c r="L292" s="2533"/>
      <c r="M292" s="2238"/>
      <c r="N292" s="2239"/>
      <c r="O292" s="2498">
        <f t="shared" si="71"/>
        <v>196.56</v>
      </c>
      <c r="P292" s="2295">
        <f t="shared" si="72"/>
        <v>1</v>
      </c>
    </row>
    <row r="293" spans="1:18" ht="30">
      <c r="A293" s="2265" t="s">
        <v>12955</v>
      </c>
      <c r="B293" s="2228">
        <f>VLOOKUP($A293,'11 - QT_ WB'!$A:$F,2,0)</f>
        <v>89385</v>
      </c>
      <c r="C293" s="2228" t="str">
        <f>VLOOKUP($A293,'11 - QT_ WB'!$A:$F,3,0)</f>
        <v>SINAPI</v>
      </c>
      <c r="D293" s="2333" t="s">
        <v>8692</v>
      </c>
      <c r="E293" s="2243" t="str">
        <f>IF($C293="SINAPI",VLOOKUP($B293,'24.08_ND'!$A:$D,3,0),IF($C293="PRÓPRIA",VLOOKUP($B293,'03-CP'!$C:$H,3,0)))</f>
        <v>UN</v>
      </c>
      <c r="F293" s="2230">
        <v>5</v>
      </c>
      <c r="G293" s="2232">
        <v>7.76</v>
      </c>
      <c r="H293" s="2332">
        <f t="shared" si="70"/>
        <v>38.799999999999997</v>
      </c>
      <c r="I293" s="2286"/>
      <c r="J293" s="2237"/>
      <c r="K293" s="2411"/>
      <c r="L293" s="2533"/>
      <c r="M293" s="2238"/>
      <c r="N293" s="2239"/>
      <c r="O293" s="2498">
        <f t="shared" si="71"/>
        <v>38.799999999999997</v>
      </c>
      <c r="P293" s="2295">
        <f t="shared" si="72"/>
        <v>1</v>
      </c>
    </row>
    <row r="294" spans="1:18" ht="30">
      <c r="A294" s="2265" t="s">
        <v>12956</v>
      </c>
      <c r="B294" s="2228">
        <f>VLOOKUP($A294,'11 - QT_ WB'!$A:$F,2,0)</f>
        <v>94696</v>
      </c>
      <c r="C294" s="2228" t="str">
        <f>VLOOKUP($A294,'11 - QT_ WB'!$A:$F,3,0)</f>
        <v>SINAPI</v>
      </c>
      <c r="D294" s="2333" t="s">
        <v>9392</v>
      </c>
      <c r="E294" s="2243" t="str">
        <f>IF($C294="SINAPI",VLOOKUP($B294,'24.08_ND'!$A:$D,3,0),IF($C294="PRÓPRIA",VLOOKUP($B294,'03-CP'!$C:$H,3,0)))</f>
        <v>UN</v>
      </c>
      <c r="F294" s="2230">
        <v>5</v>
      </c>
      <c r="G294" s="2232">
        <v>50.91</v>
      </c>
      <c r="H294" s="2332">
        <f t="shared" si="70"/>
        <v>254.55</v>
      </c>
      <c r="I294" s="2286"/>
      <c r="J294" s="2237"/>
      <c r="K294" s="2411"/>
      <c r="L294" s="2533"/>
      <c r="M294" s="2238"/>
      <c r="N294" s="2239"/>
      <c r="O294" s="2498">
        <f t="shared" si="71"/>
        <v>254.55</v>
      </c>
      <c r="P294" s="2295">
        <f t="shared" si="72"/>
        <v>1</v>
      </c>
    </row>
    <row r="295" spans="1:18" ht="30">
      <c r="A295" s="2265" t="s">
        <v>12957</v>
      </c>
      <c r="B295" s="2228">
        <f>VLOOKUP($A295,'11 - QT_ WB'!$A:$F,2,0)</f>
        <v>104004</v>
      </c>
      <c r="C295" s="2228" t="str">
        <f>VLOOKUP($A295,'11 - QT_ WB'!$A:$F,3,0)</f>
        <v>SINAPI</v>
      </c>
      <c r="D295" s="2333" t="s">
        <v>9848</v>
      </c>
      <c r="E295" s="2243" t="str">
        <f>IF($C295="SINAPI",VLOOKUP($B295,'24.08_ND'!$A:$D,3,0),IF($C295="PRÓPRIA",VLOOKUP($B295,'03-CP'!$C:$H,3,0)))</f>
        <v>UN</v>
      </c>
      <c r="F295" s="2230">
        <v>7</v>
      </c>
      <c r="G295" s="2232">
        <v>31.27</v>
      </c>
      <c r="H295" s="2332">
        <f t="shared" si="70"/>
        <v>218.89</v>
      </c>
      <c r="I295" s="2286"/>
      <c r="J295" s="2237"/>
      <c r="K295" s="2411"/>
      <c r="L295" s="2533"/>
      <c r="M295" s="2238"/>
      <c r="N295" s="2239"/>
      <c r="O295" s="2498">
        <f t="shared" si="71"/>
        <v>218.89</v>
      </c>
      <c r="P295" s="2295">
        <f t="shared" si="72"/>
        <v>1</v>
      </c>
    </row>
    <row r="296" spans="1:18" ht="30">
      <c r="A296" s="2265" t="s">
        <v>12958</v>
      </c>
      <c r="B296" s="2228">
        <f>VLOOKUP($A296,'11 - QT_ WB'!$A:$F,2,0)</f>
        <v>89443</v>
      </c>
      <c r="C296" s="2228" t="str">
        <f>VLOOKUP($A296,'11 - QT_ WB'!$A:$F,3,0)</f>
        <v>SINAPI</v>
      </c>
      <c r="D296" s="2333" t="s">
        <v>8743</v>
      </c>
      <c r="E296" s="2243" t="str">
        <f>IF($C296="SINAPI",VLOOKUP($B296,'24.08_ND'!$A:$D,3,0),IF($C296="PRÓPRIA",VLOOKUP($B296,'03-CP'!$C:$H,3,0)))</f>
        <v>UN</v>
      </c>
      <c r="F296" s="2230">
        <v>3</v>
      </c>
      <c r="G296" s="2232">
        <v>18.13</v>
      </c>
      <c r="H296" s="2332">
        <f t="shared" si="70"/>
        <v>54.39</v>
      </c>
      <c r="I296" s="2286"/>
      <c r="J296" s="2237"/>
      <c r="K296" s="2411"/>
      <c r="L296" s="2533"/>
      <c r="M296" s="2238"/>
      <c r="N296" s="2239"/>
      <c r="O296" s="2498">
        <f t="shared" si="71"/>
        <v>54.39</v>
      </c>
      <c r="P296" s="2295">
        <f t="shared" si="72"/>
        <v>1</v>
      </c>
    </row>
    <row r="297" spans="1:18" ht="30">
      <c r="A297" s="2265" t="s">
        <v>12959</v>
      </c>
      <c r="B297" s="2228">
        <f>VLOOKUP($A297,'11 - QT_ WB'!$A:$F,2,0)</f>
        <v>89395</v>
      </c>
      <c r="C297" s="2228" t="str">
        <f>VLOOKUP($A297,'11 - QT_ WB'!$A:$F,3,0)</f>
        <v>SINAPI</v>
      </c>
      <c r="D297" s="2333" t="s">
        <v>8701</v>
      </c>
      <c r="E297" s="2243" t="str">
        <f>IF($C297="SINAPI",VLOOKUP($B297,'24.08_ND'!$A:$D,3,0),IF($C297="PRÓPRIA",VLOOKUP($B297,'03-CP'!$C:$H,3,0)))</f>
        <v>UN</v>
      </c>
      <c r="F297" s="2230">
        <v>4</v>
      </c>
      <c r="G297" s="2232">
        <v>14.12</v>
      </c>
      <c r="H297" s="2332">
        <f t="shared" si="70"/>
        <v>56.48</v>
      </c>
      <c r="I297" s="2286"/>
      <c r="J297" s="2237"/>
      <c r="K297" s="2411"/>
      <c r="L297" s="2533"/>
      <c r="M297" s="2238"/>
      <c r="N297" s="2239"/>
      <c r="O297" s="2498">
        <f t="shared" si="71"/>
        <v>56.48</v>
      </c>
      <c r="P297" s="2295">
        <f t="shared" si="72"/>
        <v>1</v>
      </c>
    </row>
    <row r="298" spans="1:18" ht="30">
      <c r="A298" s="2265" t="s">
        <v>12960</v>
      </c>
      <c r="B298" s="2228">
        <f>VLOOKUP($A298,'11 - QT_ WB'!$A:$F,2,0)</f>
        <v>94794</v>
      </c>
      <c r="C298" s="2228" t="str">
        <f>VLOOKUP($A298,'11 - QT_ WB'!$A:$F,3,0)</f>
        <v>SINAPI</v>
      </c>
      <c r="D298" s="2333" t="s">
        <v>10261</v>
      </c>
      <c r="E298" s="2243" t="str">
        <f>IF($C298="SINAPI",VLOOKUP($B298,'24.08_ND'!$A:$D,3,0),IF($C298="PRÓPRIA",VLOOKUP($B298,'03-CP'!$C:$H,3,0)))</f>
        <v>UN</v>
      </c>
      <c r="F298" s="2230">
        <v>2</v>
      </c>
      <c r="G298" s="2232">
        <v>155.9</v>
      </c>
      <c r="H298" s="2332">
        <f t="shared" si="70"/>
        <v>311.8</v>
      </c>
      <c r="I298" s="2286"/>
      <c r="J298" s="2237"/>
      <c r="K298" s="2411"/>
      <c r="L298" s="2533"/>
      <c r="M298" s="2238"/>
      <c r="N298" s="2239"/>
      <c r="O298" s="2498">
        <f t="shared" si="71"/>
        <v>311.8</v>
      </c>
      <c r="P298" s="2295">
        <f t="shared" si="72"/>
        <v>1</v>
      </c>
    </row>
    <row r="299" spans="1:18" ht="30">
      <c r="A299" s="2265" t="s">
        <v>12961</v>
      </c>
      <c r="B299" s="2228">
        <f>VLOOKUP($A299,'11 - QT_ WB'!$A:$F,2,0)</f>
        <v>89987</v>
      </c>
      <c r="C299" s="2228" t="str">
        <f>VLOOKUP($A299,'11 - QT_ WB'!$A:$F,3,0)</f>
        <v>SINAPI</v>
      </c>
      <c r="D299" s="2333" t="s">
        <v>10245</v>
      </c>
      <c r="E299" s="2243" t="str">
        <f>IF($C299="SINAPI",VLOOKUP($B299,'24.08_ND'!$A:$D,3,0),IF($C299="PRÓPRIA",VLOOKUP($B299,'03-CP'!$C:$H,3,0)))</f>
        <v>UN</v>
      </c>
      <c r="F299" s="2230">
        <v>12</v>
      </c>
      <c r="G299" s="2232">
        <v>88.15</v>
      </c>
      <c r="H299" s="2332">
        <f t="shared" si="70"/>
        <v>1057.8</v>
      </c>
      <c r="I299" s="2286"/>
      <c r="J299" s="2237"/>
      <c r="K299" s="2411">
        <v>0.76</v>
      </c>
      <c r="L299" s="2533">
        <f>M299+N299</f>
        <v>803.92</v>
      </c>
      <c r="M299" s="2238">
        <v>0</v>
      </c>
      <c r="N299" s="2239">
        <f>TRUNC(H299*K299,2)</f>
        <v>803.92</v>
      </c>
      <c r="O299" s="2498">
        <f t="shared" si="71"/>
        <v>253.88</v>
      </c>
      <c r="P299" s="2295">
        <f t="shared" si="72"/>
        <v>0.24000756286632635</v>
      </c>
      <c r="R299" s="1789"/>
    </row>
    <row r="300" spans="1:18" ht="30">
      <c r="A300" s="2265" t="s">
        <v>12962</v>
      </c>
      <c r="B300" s="2228">
        <f>VLOOKUP($A300,'11 - QT_ WB'!$A:$F,2,0)</f>
        <v>94493</v>
      </c>
      <c r="C300" s="2228" t="str">
        <f>VLOOKUP($A300,'11 - QT_ WB'!$A:$F,3,0)</f>
        <v>SINAPI</v>
      </c>
      <c r="D300" s="2333" t="s">
        <v>10251</v>
      </c>
      <c r="E300" s="2243" t="str">
        <f>IF($C300="SINAPI",VLOOKUP($B300,'24.08_ND'!$A:$D,3,0),IF($C300="PRÓPRIA",VLOOKUP($B300,'03-CP'!$C:$H,3,0)))</f>
        <v>UN</v>
      </c>
      <c r="F300" s="2230">
        <v>4</v>
      </c>
      <c r="G300" s="2232">
        <v>106.51</v>
      </c>
      <c r="H300" s="2332">
        <f t="shared" si="70"/>
        <v>426.04</v>
      </c>
      <c r="I300" s="2286"/>
      <c r="J300" s="2237"/>
      <c r="K300" s="2411"/>
      <c r="L300" s="2533"/>
      <c r="M300" s="2238"/>
      <c r="N300" s="2239"/>
      <c r="O300" s="2498">
        <f t="shared" si="71"/>
        <v>426.04</v>
      </c>
      <c r="P300" s="2295">
        <f t="shared" si="72"/>
        <v>1</v>
      </c>
    </row>
    <row r="301" spans="1:18" ht="30">
      <c r="A301" s="2265" t="s">
        <v>12963</v>
      </c>
      <c r="B301" s="2228">
        <f>VLOOKUP($A301,'11 - QT_ WB'!$A:$F,2,0)</f>
        <v>94492</v>
      </c>
      <c r="C301" s="2228" t="str">
        <f>VLOOKUP($A301,'11 - QT_ WB'!$A:$F,3,0)</f>
        <v>SINAPI</v>
      </c>
      <c r="D301" s="2333" t="s">
        <v>10250</v>
      </c>
      <c r="E301" s="2243" t="str">
        <f>IF($C301="SINAPI",VLOOKUP($B301,'24.08_ND'!$A:$D,3,0),IF($C301="PRÓPRIA",VLOOKUP($B301,'03-CP'!$C:$H,3,0)))</f>
        <v>UN</v>
      </c>
      <c r="F301" s="2230">
        <v>1</v>
      </c>
      <c r="G301" s="2232">
        <v>58.03</v>
      </c>
      <c r="H301" s="2332">
        <f t="shared" si="70"/>
        <v>58.03</v>
      </c>
      <c r="I301" s="2286"/>
      <c r="J301" s="2237"/>
      <c r="K301" s="2411"/>
      <c r="L301" s="2533"/>
      <c r="M301" s="2238"/>
      <c r="N301" s="2239"/>
      <c r="O301" s="2498">
        <f t="shared" si="71"/>
        <v>58.03</v>
      </c>
      <c r="P301" s="2295">
        <f t="shared" si="72"/>
        <v>1</v>
      </c>
    </row>
    <row r="302" spans="1:18" ht="30">
      <c r="A302" s="2265" t="s">
        <v>12964</v>
      </c>
      <c r="B302" s="2228">
        <f>VLOOKUP($A302,'11 - QT_ WB'!$A:$F,2,0)</f>
        <v>94490</v>
      </c>
      <c r="C302" s="2228" t="str">
        <f>VLOOKUP($A302,'11 - QT_ WB'!$A:$F,3,0)</f>
        <v>SINAPI</v>
      </c>
      <c r="D302" s="2333" t="s">
        <v>10248</v>
      </c>
      <c r="E302" s="2243" t="str">
        <f>IF($C302="SINAPI",VLOOKUP($B302,'24.08_ND'!$A:$D,3,0),IF($C302="PRÓPRIA",VLOOKUP($B302,'03-CP'!$C:$H,3,0)))</f>
        <v>UN</v>
      </c>
      <c r="F302" s="2230">
        <v>3</v>
      </c>
      <c r="G302" s="2232">
        <v>41.18</v>
      </c>
      <c r="H302" s="2332">
        <f t="shared" si="70"/>
        <v>123.54</v>
      </c>
      <c r="I302" s="2286"/>
      <c r="J302" s="2237"/>
      <c r="K302" s="2411"/>
      <c r="L302" s="2533"/>
      <c r="M302" s="2238"/>
      <c r="N302" s="2239"/>
      <c r="O302" s="2498">
        <f t="shared" si="71"/>
        <v>123.54</v>
      </c>
      <c r="P302" s="2295">
        <f t="shared" si="72"/>
        <v>1</v>
      </c>
    </row>
    <row r="303" spans="1:18" ht="30">
      <c r="A303" s="2265" t="s">
        <v>12965</v>
      </c>
      <c r="B303" s="2228">
        <f>VLOOKUP($A303,'11 - QT_ WB'!$A:$F,2,0)</f>
        <v>94489</v>
      </c>
      <c r="C303" s="2228" t="str">
        <f>VLOOKUP($A303,'11 - QT_ WB'!$A:$F,3,0)</f>
        <v>SINAPI</v>
      </c>
      <c r="D303" s="2333" t="s">
        <v>10247</v>
      </c>
      <c r="E303" s="2243" t="str">
        <f>IF($C303="SINAPI",VLOOKUP($B303,'24.08_ND'!$A:$D,3,0),IF($C303="PRÓPRIA",VLOOKUP($B303,'03-CP'!$C:$H,3,0)))</f>
        <v>UN</v>
      </c>
      <c r="F303" s="2230">
        <v>3</v>
      </c>
      <c r="G303" s="2232">
        <v>28.27</v>
      </c>
      <c r="H303" s="2332">
        <f t="shared" si="70"/>
        <v>84.81</v>
      </c>
      <c r="I303" s="2286"/>
      <c r="J303" s="2237"/>
      <c r="K303" s="2411"/>
      <c r="L303" s="2533"/>
      <c r="M303" s="2238"/>
      <c r="N303" s="2239"/>
      <c r="O303" s="2498">
        <f t="shared" si="71"/>
        <v>84.81</v>
      </c>
      <c r="P303" s="2295">
        <f t="shared" si="72"/>
        <v>1</v>
      </c>
    </row>
    <row r="304" spans="1:18">
      <c r="A304" s="2265" t="s">
        <v>12966</v>
      </c>
      <c r="B304" s="2228" t="str">
        <f>VLOOKUP($A304,'11 - QT_ WB'!$A:$F,2,0)</f>
        <v>CP-HSD-27</v>
      </c>
      <c r="C304" s="2228" t="str">
        <f>VLOOKUP($A304,'11 - QT_ WB'!$A:$F,3,0)</f>
        <v>PRÓPRIA</v>
      </c>
      <c r="D304" s="2333" t="s">
        <v>15411</v>
      </c>
      <c r="E304" s="2243" t="str">
        <f>IF($C304="SINAPI",VLOOKUP($B304,'24.08_ND'!$A:$D,3,0),IF($C304="PRÓPRIA",VLOOKUP($B304,'03-CP'!$C:$H,3,0)))</f>
        <v>UN</v>
      </c>
      <c r="F304" s="2230">
        <v>2</v>
      </c>
      <c r="G304" s="2232">
        <v>949.08</v>
      </c>
      <c r="H304" s="2332">
        <f t="shared" si="70"/>
        <v>1898.16</v>
      </c>
      <c r="I304" s="2287"/>
      <c r="J304" s="2231"/>
      <c r="K304" s="2412"/>
      <c r="L304" s="2536"/>
      <c r="M304" s="2232"/>
      <c r="N304" s="2557"/>
      <c r="O304" s="2498">
        <f t="shared" si="71"/>
        <v>1898.16</v>
      </c>
      <c r="P304" s="2295">
        <f t="shared" si="72"/>
        <v>1</v>
      </c>
    </row>
    <row r="305" spans="1:18" ht="30">
      <c r="A305" s="2265" t="s">
        <v>12967</v>
      </c>
      <c r="B305" s="2228">
        <f>VLOOKUP($A305,'11 - QT_ WB'!$A:$F,2,0)</f>
        <v>94652</v>
      </c>
      <c r="C305" s="2228" t="str">
        <f>VLOOKUP($A305,'11 - QT_ WB'!$A:$F,3,0)</f>
        <v>SINAPI</v>
      </c>
      <c r="D305" s="2333" t="s">
        <v>8525</v>
      </c>
      <c r="E305" s="2243" t="str">
        <f>IF($C305="SINAPI",VLOOKUP($B305,'24.08_ND'!$A:$D,3,0),IF($C305="PRÓPRIA",VLOOKUP($B305,'03-CP'!$C:$H,3,0)))</f>
        <v>M</v>
      </c>
      <c r="F305" s="2230">
        <v>30</v>
      </c>
      <c r="G305" s="2232">
        <v>34.130000000000003</v>
      </c>
      <c r="H305" s="2332">
        <f t="shared" si="70"/>
        <v>1023.9</v>
      </c>
      <c r="I305" s="2328">
        <f>J305+K305</f>
        <v>0</v>
      </c>
      <c r="J305" s="2231"/>
      <c r="K305" s="2412"/>
      <c r="L305" s="2533">
        <f>M305+N305</f>
        <v>0</v>
      </c>
      <c r="M305" s="2238">
        <v>0</v>
      </c>
      <c r="N305" s="2239">
        <f>TRUNC(H305*K305,2)</f>
        <v>0</v>
      </c>
      <c r="O305" s="2498">
        <f t="shared" si="71"/>
        <v>1023.9</v>
      </c>
      <c r="P305" s="2295">
        <f t="shared" si="72"/>
        <v>1</v>
      </c>
    </row>
    <row r="306" spans="1:18" ht="30">
      <c r="A306" s="2265" t="s">
        <v>12968</v>
      </c>
      <c r="B306" s="2228">
        <f>VLOOKUP($A306,'11 - QT_ WB'!$A:$F,2,0)</f>
        <v>103979</v>
      </c>
      <c r="C306" s="2228" t="str">
        <f>VLOOKUP($A306,'11 - QT_ WB'!$A:$F,3,0)</f>
        <v>SINAPI</v>
      </c>
      <c r="D306" s="2333" t="s">
        <v>8649</v>
      </c>
      <c r="E306" s="2243" t="str">
        <f>IF($C306="SINAPI",VLOOKUP($B306,'24.08_ND'!$A:$D,3,0),IF($C306="PRÓPRIA",VLOOKUP($B306,'03-CP'!$C:$H,3,0)))</f>
        <v>M</v>
      </c>
      <c r="F306" s="2230">
        <v>80</v>
      </c>
      <c r="G306" s="2232">
        <v>30.08</v>
      </c>
      <c r="H306" s="2332">
        <f t="shared" si="70"/>
        <v>2406.4</v>
      </c>
      <c r="I306" s="2328">
        <f>J306+K306</f>
        <v>0</v>
      </c>
      <c r="J306" s="2231"/>
      <c r="K306" s="2412"/>
      <c r="L306" s="2533">
        <f>M306+N306</f>
        <v>0</v>
      </c>
      <c r="M306" s="2238">
        <v>0</v>
      </c>
      <c r="N306" s="2239">
        <f>TRUNC(H306*K306,2)</f>
        <v>0</v>
      </c>
      <c r="O306" s="2498">
        <f t="shared" si="71"/>
        <v>2406.4</v>
      </c>
      <c r="P306" s="2295">
        <f t="shared" si="72"/>
        <v>1</v>
      </c>
    </row>
    <row r="307" spans="1:18" ht="30">
      <c r="A307" s="2265" t="s">
        <v>12969</v>
      </c>
      <c r="B307" s="2228">
        <f>VLOOKUP($A307,'11 - QT_ WB'!$A:$F,2,0)</f>
        <v>89403</v>
      </c>
      <c r="C307" s="2228" t="str">
        <f>VLOOKUP($A307,'11 - QT_ WB'!$A:$F,3,0)</f>
        <v>SINAPI</v>
      </c>
      <c r="D307" s="2333" t="s">
        <v>8423</v>
      </c>
      <c r="E307" s="2243" t="str">
        <f>IF($C307="SINAPI",VLOOKUP($B307,'24.08_ND'!$A:$D,3,0),IF($C307="PRÓPRIA",VLOOKUP($B307,'03-CP'!$C:$H,3,0)))</f>
        <v>M</v>
      </c>
      <c r="F307" s="2230">
        <v>15</v>
      </c>
      <c r="G307" s="2232">
        <v>19.309999999999999</v>
      </c>
      <c r="H307" s="2332">
        <f t="shared" si="70"/>
        <v>289.64999999999998</v>
      </c>
      <c r="I307" s="2286"/>
      <c r="J307" s="2237"/>
      <c r="K307" s="2411"/>
      <c r="L307" s="2533"/>
      <c r="M307" s="2238"/>
      <c r="N307" s="2239"/>
      <c r="O307" s="2498">
        <f t="shared" si="71"/>
        <v>289.64999999999998</v>
      </c>
      <c r="P307" s="2295">
        <f t="shared" si="72"/>
        <v>1</v>
      </c>
    </row>
    <row r="308" spans="1:18" ht="30">
      <c r="A308" s="2265" t="s">
        <v>12970</v>
      </c>
      <c r="B308" s="2228">
        <f>VLOOKUP($A308,'11 - QT_ WB'!$A:$F,2,0)</f>
        <v>89402</v>
      </c>
      <c r="C308" s="2228" t="str">
        <f>VLOOKUP($A308,'11 - QT_ WB'!$A:$F,3,0)</f>
        <v>SINAPI</v>
      </c>
      <c r="D308" s="2333" t="s">
        <v>8422</v>
      </c>
      <c r="E308" s="2243" t="str">
        <f>IF($C308="SINAPI",VLOOKUP($B308,'24.08_ND'!$A:$D,3,0),IF($C308="PRÓPRIA",VLOOKUP($B308,'03-CP'!$C:$H,3,0)))</f>
        <v>M</v>
      </c>
      <c r="F308" s="2230">
        <v>85</v>
      </c>
      <c r="G308" s="2232">
        <v>12.75</v>
      </c>
      <c r="H308" s="2332">
        <f t="shared" si="70"/>
        <v>1083.75</v>
      </c>
      <c r="I308" s="2286"/>
      <c r="J308" s="2237"/>
      <c r="K308" s="2411"/>
      <c r="L308" s="2533"/>
      <c r="M308" s="2238"/>
      <c r="N308" s="2239"/>
      <c r="O308" s="2498">
        <f t="shared" si="71"/>
        <v>1083.75</v>
      </c>
      <c r="P308" s="2295">
        <f t="shared" si="72"/>
        <v>1</v>
      </c>
    </row>
    <row r="309" spans="1:18" ht="60">
      <c r="A309" s="2265" t="s">
        <v>12971</v>
      </c>
      <c r="B309" s="2228">
        <f>VLOOKUP($A309,'11 - QT_ WB'!$A:$F,2,0)</f>
        <v>91174</v>
      </c>
      <c r="C309" s="2228" t="str">
        <f>VLOOKUP($A309,'11 - QT_ WB'!$A:$F,3,0)</f>
        <v>SINAPI</v>
      </c>
      <c r="D309" s="2333" t="s">
        <v>10402</v>
      </c>
      <c r="E309" s="2243" t="str">
        <f>IF($C309="SINAPI",VLOOKUP($B309,'24.08_ND'!$A:$D,3,0),IF($C309="PRÓPRIA",VLOOKUP($B309,'03-CP'!$C:$H,3,0)))</f>
        <v>M</v>
      </c>
      <c r="F309" s="2230">
        <v>30</v>
      </c>
      <c r="G309" s="2232">
        <v>7.43</v>
      </c>
      <c r="H309" s="2332">
        <f t="shared" si="70"/>
        <v>222.9</v>
      </c>
      <c r="I309" s="2286"/>
      <c r="J309" s="2237"/>
      <c r="K309" s="2411"/>
      <c r="L309" s="2533"/>
      <c r="M309" s="2238"/>
      <c r="N309" s="2239"/>
      <c r="O309" s="2498">
        <f t="shared" si="71"/>
        <v>222.9</v>
      </c>
      <c r="P309" s="2295">
        <f t="shared" si="72"/>
        <v>1</v>
      </c>
    </row>
    <row r="310" spans="1:18" ht="30">
      <c r="A310" s="2265" t="s">
        <v>12972</v>
      </c>
      <c r="B310" s="2228">
        <f>VLOOKUP($A310,'11 - QT_ WB'!$A:$F,2,0)</f>
        <v>102607</v>
      </c>
      <c r="C310" s="2228" t="str">
        <f>VLOOKUP($A310,'11 - QT_ WB'!$A:$F,3,0)</f>
        <v>SINAPI</v>
      </c>
      <c r="D310" s="2333" t="s">
        <v>10055</v>
      </c>
      <c r="E310" s="2243" t="str">
        <f>IF($C310="SINAPI",VLOOKUP($B310,'24.08_ND'!$A:$D,3,0),IF($C310="PRÓPRIA",VLOOKUP($B310,'03-CP'!$C:$H,3,0)))</f>
        <v>UN</v>
      </c>
      <c r="F310" s="2230">
        <v>1</v>
      </c>
      <c r="G310" s="2232">
        <v>460.5</v>
      </c>
      <c r="H310" s="2332">
        <f t="shared" si="70"/>
        <v>460.5</v>
      </c>
      <c r="I310" s="2286"/>
      <c r="J310" s="2237"/>
      <c r="K310" s="2411"/>
      <c r="L310" s="2533"/>
      <c r="M310" s="2238"/>
      <c r="N310" s="2239"/>
      <c r="O310" s="2498">
        <f t="shared" si="71"/>
        <v>460.5</v>
      </c>
      <c r="P310" s="2295">
        <f t="shared" si="72"/>
        <v>1</v>
      </c>
    </row>
    <row r="311" spans="1:18" ht="30">
      <c r="A311" s="2265" t="s">
        <v>12973</v>
      </c>
      <c r="B311" s="2228">
        <f>VLOOKUP($A311,'11 - QT_ WB'!$A:$F,2,0)</f>
        <v>102609</v>
      </c>
      <c r="C311" s="2228" t="str">
        <f>VLOOKUP($A311,'11 - QT_ WB'!$A:$F,3,0)</f>
        <v>SINAPI</v>
      </c>
      <c r="D311" s="2333" t="s">
        <v>10057</v>
      </c>
      <c r="E311" s="2243" t="str">
        <f>IF($C311="SINAPI",VLOOKUP($B311,'24.08_ND'!$A:$D,3,0),IF($C311="PRÓPRIA",VLOOKUP($B311,'03-CP'!$C:$H,3,0)))</f>
        <v>UN</v>
      </c>
      <c r="F311" s="2230">
        <v>2</v>
      </c>
      <c r="G311" s="2232">
        <v>1199.06</v>
      </c>
      <c r="H311" s="2332">
        <f t="shared" si="70"/>
        <v>2398.12</v>
      </c>
      <c r="I311" s="2286"/>
      <c r="J311" s="2237"/>
      <c r="K311" s="2411">
        <v>0.86</v>
      </c>
      <c r="L311" s="2533">
        <f>M311+N311</f>
        <v>2062.38</v>
      </c>
      <c r="M311" s="2238">
        <v>0</v>
      </c>
      <c r="N311" s="2239">
        <f>TRUNC(H311*K311,2)</f>
        <v>2062.38</v>
      </c>
      <c r="O311" s="2498">
        <f t="shared" si="71"/>
        <v>335.73999999999978</v>
      </c>
      <c r="P311" s="2295">
        <f t="shared" si="72"/>
        <v>0.14000133437859649</v>
      </c>
      <c r="R311" s="1789"/>
    </row>
    <row r="312" spans="1:18" ht="30">
      <c r="A312" s="2265" t="s">
        <v>12974</v>
      </c>
      <c r="B312" s="2228">
        <f>VLOOKUP($A312,'11 - QT_ WB'!$A:$F,2,0)</f>
        <v>94796</v>
      </c>
      <c r="C312" s="2228" t="str">
        <f>VLOOKUP($A312,'11 - QT_ WB'!$A:$F,3,0)</f>
        <v>SINAPI</v>
      </c>
      <c r="D312" s="2333" t="s">
        <v>10263</v>
      </c>
      <c r="E312" s="2243" t="str">
        <f>IF($C312="SINAPI",VLOOKUP($B312,'24.08_ND'!$A:$D,3,0),IF($C312="PRÓPRIA",VLOOKUP($B312,'03-CP'!$C:$H,3,0)))</f>
        <v>UN</v>
      </c>
      <c r="F312" s="2230">
        <v>3</v>
      </c>
      <c r="G312" s="2232">
        <v>45.85</v>
      </c>
      <c r="H312" s="2332">
        <f t="shared" si="70"/>
        <v>137.55000000000001</v>
      </c>
      <c r="I312" s="2286"/>
      <c r="J312" s="2237"/>
      <c r="K312" s="2411">
        <v>0.45</v>
      </c>
      <c r="L312" s="2533">
        <f>M312+N312</f>
        <v>61.89</v>
      </c>
      <c r="M312" s="2238">
        <v>0</v>
      </c>
      <c r="N312" s="2239">
        <f>TRUNC(H312*K312,2)</f>
        <v>61.89</v>
      </c>
      <c r="O312" s="2498">
        <f t="shared" si="71"/>
        <v>75.660000000000011</v>
      </c>
      <c r="P312" s="2295">
        <f t="shared" si="72"/>
        <v>0.55005452562704471</v>
      </c>
      <c r="R312" s="1789"/>
    </row>
    <row r="313" spans="1:18">
      <c r="A313" s="2264" t="s">
        <v>12975</v>
      </c>
      <c r="B313" s="2223"/>
      <c r="C313" s="2223"/>
      <c r="D313" s="2376" t="s">
        <v>16317</v>
      </c>
      <c r="E313" s="2224"/>
      <c r="F313" s="2240"/>
      <c r="G313" s="2226"/>
      <c r="H313" s="2301">
        <f>SUBTOTAL(9,H314:H357)</f>
        <v>48339.37</v>
      </c>
      <c r="I313" s="2284"/>
      <c r="J313" s="2227"/>
      <c r="K313" s="2496"/>
      <c r="L313" s="2534">
        <f>SUBTOTAL(9,L314:L357)</f>
        <v>0</v>
      </c>
      <c r="M313" s="2301">
        <f>SUBTOTAL(9,M314:M357)</f>
        <v>0</v>
      </c>
      <c r="N313" s="2301">
        <f>SUBTOTAL(9,N314:N357)</f>
        <v>0</v>
      </c>
      <c r="O313" s="2301">
        <f>SUBTOTAL(9,O314:O357)</f>
        <v>48339.37</v>
      </c>
      <c r="P313" s="2293">
        <f t="shared" si="72"/>
        <v>1</v>
      </c>
    </row>
    <row r="314" spans="1:18" ht="30">
      <c r="A314" s="2265" t="s">
        <v>12976</v>
      </c>
      <c r="B314" s="2228" t="str">
        <f>VLOOKUP($A314,'11 - QT_ WB'!$A:$F,2,0)</f>
        <v>CP-HSD-04</v>
      </c>
      <c r="C314" s="2228" t="str">
        <f>VLOOKUP($A314,'11 - QT_ WB'!$A:$F,3,0)</f>
        <v>PRÓPRIA</v>
      </c>
      <c r="D314" s="2333" t="s">
        <v>15367</v>
      </c>
      <c r="E314" s="2243" t="str">
        <f>IF($C314="SINAPI",VLOOKUP($B314,'24.08_ND'!$A:$D,3,0),IF($C314="PRÓPRIA",VLOOKUP($B314,'03-CP'!$C:$H,3,0)))</f>
        <v>UN</v>
      </c>
      <c r="F314" s="2230">
        <v>4</v>
      </c>
      <c r="G314" s="2232">
        <v>41.25</v>
      </c>
      <c r="H314" s="2332">
        <f t="shared" ref="H314:H357" si="73">TRUNC((G314*F314),2)</f>
        <v>165</v>
      </c>
      <c r="I314" s="2328">
        <f t="shared" ref="I314:I357" si="74">J314+K314</f>
        <v>0</v>
      </c>
      <c r="J314" s="2231"/>
      <c r="K314" s="2412"/>
      <c r="L314" s="2533">
        <f>M314+N314</f>
        <v>0</v>
      </c>
      <c r="M314" s="2238">
        <v>0</v>
      </c>
      <c r="N314" s="2239">
        <f>TRUNC(H314*K314,2)</f>
        <v>0</v>
      </c>
      <c r="O314" s="2498">
        <f t="shared" ref="O314:O357" si="75">H314-L314</f>
        <v>165</v>
      </c>
      <c r="P314" s="2295">
        <f t="shared" ref="P314:P357" si="76">O314/H314</f>
        <v>1</v>
      </c>
    </row>
    <row r="315" spans="1:18" ht="45">
      <c r="A315" s="2265" t="s">
        <v>12977</v>
      </c>
      <c r="B315" s="2228">
        <f>VLOOKUP($A315,'11 - QT_ WB'!$A:$F,2,0)</f>
        <v>89746</v>
      </c>
      <c r="C315" s="2228" t="str">
        <f>VLOOKUP($A315,'11 - QT_ WB'!$A:$F,3,0)</f>
        <v>SINAPI</v>
      </c>
      <c r="D315" s="2333" t="s">
        <v>8958</v>
      </c>
      <c r="E315" s="2243" t="str">
        <f>IF($C315="SINAPI",VLOOKUP($B315,'24.08_ND'!$A:$D,3,0),IF($C315="PRÓPRIA",VLOOKUP($B315,'03-CP'!$C:$H,3,0)))</f>
        <v>UN</v>
      </c>
      <c r="F315" s="2230">
        <v>32</v>
      </c>
      <c r="G315" s="2232">
        <v>31.41</v>
      </c>
      <c r="H315" s="2332">
        <f t="shared" si="73"/>
        <v>1005.12</v>
      </c>
      <c r="I315" s="2328">
        <f t="shared" si="74"/>
        <v>0</v>
      </c>
      <c r="J315" s="2237"/>
      <c r="K315" s="2411"/>
      <c r="L315" s="2533">
        <f t="shared" ref="L315:L377" si="77">M315+N315</f>
        <v>0</v>
      </c>
      <c r="M315" s="2238">
        <v>0</v>
      </c>
      <c r="N315" s="2239">
        <f t="shared" ref="N315:N377" si="78">TRUNC(H315*K315,2)</f>
        <v>0</v>
      </c>
      <c r="O315" s="2498">
        <f t="shared" si="75"/>
        <v>1005.12</v>
      </c>
      <c r="P315" s="2295">
        <f t="shared" si="76"/>
        <v>1</v>
      </c>
    </row>
    <row r="316" spans="1:18" ht="45">
      <c r="A316" s="2265" t="s">
        <v>12978</v>
      </c>
      <c r="B316" s="2228">
        <f>VLOOKUP($A316,'11 - QT_ WB'!$A:$F,2,0)</f>
        <v>89732</v>
      </c>
      <c r="C316" s="2228" t="str">
        <f>VLOOKUP($A316,'11 - QT_ WB'!$A:$F,3,0)</f>
        <v>SINAPI</v>
      </c>
      <c r="D316" s="2333" t="s">
        <v>8945</v>
      </c>
      <c r="E316" s="2243" t="str">
        <f>IF($C316="SINAPI",VLOOKUP($B316,'24.08_ND'!$A:$D,3,0),IF($C316="PRÓPRIA",VLOOKUP($B316,'03-CP'!$C:$H,3,0)))</f>
        <v>UN</v>
      </c>
      <c r="F316" s="2230">
        <v>90</v>
      </c>
      <c r="G316" s="2232">
        <v>17.260000000000002</v>
      </c>
      <c r="H316" s="2332">
        <f t="shared" si="73"/>
        <v>1553.4</v>
      </c>
      <c r="I316" s="2328">
        <f t="shared" si="74"/>
        <v>0</v>
      </c>
      <c r="J316" s="2237"/>
      <c r="K316" s="2411"/>
      <c r="L316" s="2533">
        <f t="shared" si="77"/>
        <v>0</v>
      </c>
      <c r="M316" s="2238">
        <v>0</v>
      </c>
      <c r="N316" s="2239">
        <f t="shared" si="78"/>
        <v>0</v>
      </c>
      <c r="O316" s="2498">
        <f t="shared" si="75"/>
        <v>1553.4</v>
      </c>
      <c r="P316" s="2295">
        <f t="shared" si="76"/>
        <v>1</v>
      </c>
    </row>
    <row r="317" spans="1:18" ht="45">
      <c r="A317" s="2265" t="s">
        <v>12979</v>
      </c>
      <c r="B317" s="2228">
        <f>VLOOKUP($A317,'11 - QT_ WB'!$A:$F,2,0)</f>
        <v>89726</v>
      </c>
      <c r="C317" s="2228" t="str">
        <f>VLOOKUP($A317,'11 - QT_ WB'!$A:$F,3,0)</f>
        <v>SINAPI</v>
      </c>
      <c r="D317" s="2333" t="s">
        <v>8939</v>
      </c>
      <c r="E317" s="2243" t="str">
        <f>IF($C317="SINAPI",VLOOKUP($B317,'24.08_ND'!$A:$D,3,0),IF($C317="PRÓPRIA",VLOOKUP($B317,'03-CP'!$C:$H,3,0)))</f>
        <v>UN</v>
      </c>
      <c r="F317" s="2230">
        <v>31</v>
      </c>
      <c r="G317" s="2232">
        <v>11.53</v>
      </c>
      <c r="H317" s="2332">
        <f t="shared" si="73"/>
        <v>357.43</v>
      </c>
      <c r="I317" s="2328">
        <f t="shared" si="74"/>
        <v>0</v>
      </c>
      <c r="J317" s="2237"/>
      <c r="K317" s="2411"/>
      <c r="L317" s="2533">
        <f t="shared" si="77"/>
        <v>0</v>
      </c>
      <c r="M317" s="2238">
        <v>0</v>
      </c>
      <c r="N317" s="2239">
        <f t="shared" si="78"/>
        <v>0</v>
      </c>
      <c r="O317" s="2498">
        <f t="shared" si="75"/>
        <v>357.43</v>
      </c>
      <c r="P317" s="2295">
        <f t="shared" si="76"/>
        <v>1</v>
      </c>
    </row>
    <row r="318" spans="1:18" ht="45">
      <c r="A318" s="2265" t="s">
        <v>12980</v>
      </c>
      <c r="B318" s="2228">
        <f>VLOOKUP($A318,'11 - QT_ WB'!$A:$F,2,0)</f>
        <v>89748</v>
      </c>
      <c r="C318" s="2228" t="str">
        <f>VLOOKUP($A318,'11 - QT_ WB'!$A:$F,3,0)</f>
        <v>SINAPI</v>
      </c>
      <c r="D318" s="2333" t="s">
        <v>8960</v>
      </c>
      <c r="E318" s="2243" t="str">
        <f>IF($C318="SINAPI",VLOOKUP($B318,'24.08_ND'!$A:$D,3,0),IF($C318="PRÓPRIA",VLOOKUP($B318,'03-CP'!$C:$H,3,0)))</f>
        <v>UN</v>
      </c>
      <c r="F318" s="2230">
        <v>7</v>
      </c>
      <c r="G318" s="2232">
        <v>46.42</v>
      </c>
      <c r="H318" s="2332">
        <f t="shared" si="73"/>
        <v>324.94</v>
      </c>
      <c r="I318" s="2328">
        <f t="shared" si="74"/>
        <v>0</v>
      </c>
      <c r="J318" s="2237"/>
      <c r="K318" s="2411"/>
      <c r="L318" s="2533">
        <f t="shared" si="77"/>
        <v>0</v>
      </c>
      <c r="M318" s="2238">
        <v>0</v>
      </c>
      <c r="N318" s="2239">
        <f t="shared" si="78"/>
        <v>0</v>
      </c>
      <c r="O318" s="2498">
        <f t="shared" si="75"/>
        <v>324.94</v>
      </c>
      <c r="P318" s="2295">
        <f t="shared" si="76"/>
        <v>1</v>
      </c>
    </row>
    <row r="319" spans="1:18" ht="45">
      <c r="A319" s="2265" t="s">
        <v>12981</v>
      </c>
      <c r="B319" s="2228">
        <f>VLOOKUP($A319,'11 - QT_ WB'!$A:$F,2,0)</f>
        <v>89733</v>
      </c>
      <c r="C319" s="2228" t="str">
        <f>VLOOKUP($A319,'11 - QT_ WB'!$A:$F,3,0)</f>
        <v>SINAPI</v>
      </c>
      <c r="D319" s="2333" t="s">
        <v>8946</v>
      </c>
      <c r="E319" s="2243" t="str">
        <f>IF($C319="SINAPI",VLOOKUP($B319,'24.08_ND'!$A:$D,3,0),IF($C319="PRÓPRIA",VLOOKUP($B319,'03-CP'!$C:$H,3,0)))</f>
        <v>UN</v>
      </c>
      <c r="F319" s="2230">
        <v>25</v>
      </c>
      <c r="G319" s="2232">
        <v>25.42</v>
      </c>
      <c r="H319" s="2332">
        <f t="shared" si="73"/>
        <v>635.5</v>
      </c>
      <c r="I319" s="2328">
        <f t="shared" si="74"/>
        <v>0</v>
      </c>
      <c r="J319" s="2237"/>
      <c r="K319" s="2411"/>
      <c r="L319" s="2533">
        <f t="shared" si="77"/>
        <v>0</v>
      </c>
      <c r="M319" s="2238">
        <v>0</v>
      </c>
      <c r="N319" s="2239">
        <f t="shared" si="78"/>
        <v>0</v>
      </c>
      <c r="O319" s="2498">
        <f t="shared" si="75"/>
        <v>635.5</v>
      </c>
      <c r="P319" s="2295">
        <f t="shared" si="76"/>
        <v>1</v>
      </c>
    </row>
    <row r="320" spans="1:18" ht="45">
      <c r="A320" s="2265" t="s">
        <v>12982</v>
      </c>
      <c r="B320" s="2228">
        <f>VLOOKUP($A320,'11 - QT_ WB'!$A:$F,2,0)</f>
        <v>89724</v>
      </c>
      <c r="C320" s="2228" t="str">
        <f>VLOOKUP($A320,'11 - QT_ WB'!$A:$F,3,0)</f>
        <v>SINAPI</v>
      </c>
      <c r="D320" s="2333" t="s">
        <v>8937</v>
      </c>
      <c r="E320" s="2243" t="str">
        <f>IF($C320="SINAPI",VLOOKUP($B320,'24.08_ND'!$A:$D,3,0),IF($C320="PRÓPRIA",VLOOKUP($B320,'03-CP'!$C:$H,3,0)))</f>
        <v>UN</v>
      </c>
      <c r="F320" s="2230">
        <v>5</v>
      </c>
      <c r="G320" s="2232">
        <v>11.28</v>
      </c>
      <c r="H320" s="2332">
        <f t="shared" si="73"/>
        <v>56.4</v>
      </c>
      <c r="I320" s="2328">
        <f t="shared" si="74"/>
        <v>0</v>
      </c>
      <c r="J320" s="2237"/>
      <c r="K320" s="2411"/>
      <c r="L320" s="2533">
        <f t="shared" si="77"/>
        <v>0</v>
      </c>
      <c r="M320" s="2238">
        <v>0</v>
      </c>
      <c r="N320" s="2239">
        <f t="shared" si="78"/>
        <v>0</v>
      </c>
      <c r="O320" s="2498">
        <f t="shared" si="75"/>
        <v>56.4</v>
      </c>
      <c r="P320" s="2295">
        <f t="shared" si="76"/>
        <v>1</v>
      </c>
    </row>
    <row r="321" spans="1:16" ht="45">
      <c r="A321" s="2265" t="s">
        <v>12983</v>
      </c>
      <c r="B321" s="2228">
        <f>VLOOKUP($A321,'11 - QT_ WB'!$A:$F,2,0)</f>
        <v>89731</v>
      </c>
      <c r="C321" s="2228" t="str">
        <f>VLOOKUP($A321,'11 - QT_ WB'!$A:$F,3,0)</f>
        <v>SINAPI</v>
      </c>
      <c r="D321" s="2333" t="s">
        <v>8944</v>
      </c>
      <c r="E321" s="2243" t="str">
        <f>IF($C321="SINAPI",VLOOKUP($B321,'24.08_ND'!$A:$D,3,0),IF($C321="PRÓPRIA",VLOOKUP($B321,'03-CP'!$C:$H,3,0)))</f>
        <v>UN</v>
      </c>
      <c r="F321" s="2230">
        <v>51</v>
      </c>
      <c r="G321" s="2232">
        <v>16.48</v>
      </c>
      <c r="H321" s="2332">
        <f t="shared" si="73"/>
        <v>840.48</v>
      </c>
      <c r="I321" s="2328">
        <f t="shared" si="74"/>
        <v>0</v>
      </c>
      <c r="J321" s="2237"/>
      <c r="K321" s="2411"/>
      <c r="L321" s="2533">
        <f t="shared" si="77"/>
        <v>0</v>
      </c>
      <c r="M321" s="2238">
        <v>0</v>
      </c>
      <c r="N321" s="2239">
        <f t="shared" si="78"/>
        <v>0</v>
      </c>
      <c r="O321" s="2498">
        <f t="shared" si="75"/>
        <v>840.48</v>
      </c>
      <c r="P321" s="2295">
        <f t="shared" si="76"/>
        <v>1</v>
      </c>
    </row>
    <row r="322" spans="1:16" ht="45">
      <c r="A322" s="2265" t="s">
        <v>12984</v>
      </c>
      <c r="B322" s="2228">
        <f>VLOOKUP($A322,'11 - QT_ WB'!$A:$F,2,0)</f>
        <v>89744</v>
      </c>
      <c r="C322" s="2228" t="str">
        <f>VLOOKUP($A322,'11 - QT_ WB'!$A:$F,3,0)</f>
        <v>SINAPI</v>
      </c>
      <c r="D322" s="2333" t="s">
        <v>8957</v>
      </c>
      <c r="E322" s="2243" t="str">
        <f>IF($C322="SINAPI",VLOOKUP($B322,'24.08_ND'!$A:$D,3,0),IF($C322="PRÓPRIA",VLOOKUP($B322,'03-CP'!$C:$H,3,0)))</f>
        <v>UN</v>
      </c>
      <c r="F322" s="2230">
        <v>3</v>
      </c>
      <c r="G322" s="2232">
        <v>30.53</v>
      </c>
      <c r="H322" s="2332">
        <f t="shared" si="73"/>
        <v>91.59</v>
      </c>
      <c r="I322" s="2328">
        <f t="shared" si="74"/>
        <v>0</v>
      </c>
      <c r="J322" s="2237"/>
      <c r="K322" s="2411"/>
      <c r="L322" s="2533">
        <f t="shared" si="77"/>
        <v>0</v>
      </c>
      <c r="M322" s="2238">
        <v>0</v>
      </c>
      <c r="N322" s="2239">
        <f t="shared" si="78"/>
        <v>0</v>
      </c>
      <c r="O322" s="2498">
        <f t="shared" si="75"/>
        <v>91.59</v>
      </c>
      <c r="P322" s="2295">
        <f t="shared" si="76"/>
        <v>1</v>
      </c>
    </row>
    <row r="323" spans="1:16" ht="30">
      <c r="A323" s="2265" t="s">
        <v>12985</v>
      </c>
      <c r="B323" s="2228" t="str">
        <f>VLOOKUP($A323,'11 - QT_ WB'!$A:$F,2,0)</f>
        <v>CP-HSD-05</v>
      </c>
      <c r="C323" s="2228" t="str">
        <f>VLOOKUP($A323,'11 - QT_ WB'!$A:$F,3,0)</f>
        <v>PRÓPRIA</v>
      </c>
      <c r="D323" s="2333" t="s">
        <v>15369</v>
      </c>
      <c r="E323" s="2243" t="str">
        <f>IF($C323="SINAPI",VLOOKUP($B323,'24.08_ND'!$A:$D,3,0),IF($C323="PRÓPRIA",VLOOKUP($B323,'03-CP'!$C:$H,3,0)))</f>
        <v>UN</v>
      </c>
      <c r="F323" s="2230">
        <v>8</v>
      </c>
      <c r="G323" s="2232">
        <v>16.809999999999999</v>
      </c>
      <c r="H323" s="2332">
        <f t="shared" si="73"/>
        <v>134.47999999999999</v>
      </c>
      <c r="I323" s="2328">
        <f t="shared" si="74"/>
        <v>0</v>
      </c>
      <c r="J323" s="2231"/>
      <c r="K323" s="2412"/>
      <c r="L323" s="2533">
        <f t="shared" si="77"/>
        <v>0</v>
      </c>
      <c r="M323" s="2238">
        <v>0</v>
      </c>
      <c r="N323" s="2239">
        <f t="shared" si="78"/>
        <v>0</v>
      </c>
      <c r="O323" s="2498">
        <f t="shared" si="75"/>
        <v>134.47999999999999</v>
      </c>
      <c r="P323" s="2295">
        <f t="shared" si="76"/>
        <v>1</v>
      </c>
    </row>
    <row r="324" spans="1:16" ht="30">
      <c r="A324" s="2265" t="s">
        <v>12986</v>
      </c>
      <c r="B324" s="2228" t="str">
        <f>VLOOKUP($A324,'11 - QT_ WB'!$A:$F,2,0)</f>
        <v>CP-HSD-07</v>
      </c>
      <c r="C324" s="2228" t="str">
        <f>VLOOKUP($A324,'11 - QT_ WB'!$A:$F,3,0)</f>
        <v>PRÓPRIA</v>
      </c>
      <c r="D324" s="2333" t="s">
        <v>15373</v>
      </c>
      <c r="E324" s="2243" t="str">
        <f>IF($C324="SINAPI",VLOOKUP($B324,'24.08_ND'!$A:$D,3,0),IF($C324="PRÓPRIA",VLOOKUP($B324,'03-CP'!$C:$H,3,0)))</f>
        <v>UN</v>
      </c>
      <c r="F324" s="2230">
        <v>10</v>
      </c>
      <c r="G324" s="2232">
        <v>20.88</v>
      </c>
      <c r="H324" s="2332">
        <f t="shared" si="73"/>
        <v>208.8</v>
      </c>
      <c r="I324" s="2328">
        <f t="shared" si="74"/>
        <v>0</v>
      </c>
      <c r="J324" s="2231"/>
      <c r="K324" s="2412"/>
      <c r="L324" s="2533">
        <f t="shared" si="77"/>
        <v>0</v>
      </c>
      <c r="M324" s="2238">
        <v>0</v>
      </c>
      <c r="N324" s="2239">
        <f t="shared" si="78"/>
        <v>0</v>
      </c>
      <c r="O324" s="2498">
        <f t="shared" si="75"/>
        <v>208.8</v>
      </c>
      <c r="P324" s="2295">
        <f t="shared" si="76"/>
        <v>1</v>
      </c>
    </row>
    <row r="325" spans="1:16" ht="30">
      <c r="A325" s="2265" t="s">
        <v>12987</v>
      </c>
      <c r="B325" s="2228" t="str">
        <f>VLOOKUP($A325,'11 - QT_ WB'!$A:$F,2,0)</f>
        <v>CP-HSD-09</v>
      </c>
      <c r="C325" s="2228" t="str">
        <f>VLOOKUP($A325,'11 - QT_ WB'!$A:$F,3,0)</f>
        <v>PRÓPRIA</v>
      </c>
      <c r="D325" s="2333" t="s">
        <v>15375</v>
      </c>
      <c r="E325" s="2243" t="str">
        <f>IF($C325="SINAPI",VLOOKUP($B325,'24.08_ND'!$A:$D,3,0),IF($C325="PRÓPRIA",VLOOKUP($B325,'03-CP'!$C:$H,3,0)))</f>
        <v>UN</v>
      </c>
      <c r="F325" s="2230">
        <v>4</v>
      </c>
      <c r="G325" s="2232">
        <v>13.62</v>
      </c>
      <c r="H325" s="2332">
        <f t="shared" si="73"/>
        <v>54.48</v>
      </c>
      <c r="I325" s="2328">
        <f t="shared" si="74"/>
        <v>0</v>
      </c>
      <c r="J325" s="2231"/>
      <c r="K325" s="2412"/>
      <c r="L325" s="2533">
        <f t="shared" si="77"/>
        <v>0</v>
      </c>
      <c r="M325" s="2238">
        <v>0</v>
      </c>
      <c r="N325" s="2239">
        <f t="shared" si="78"/>
        <v>0</v>
      </c>
      <c r="O325" s="2498">
        <f t="shared" si="75"/>
        <v>54.48</v>
      </c>
      <c r="P325" s="2295">
        <f t="shared" si="76"/>
        <v>1</v>
      </c>
    </row>
    <row r="326" spans="1:16" ht="30">
      <c r="A326" s="2265" t="s">
        <v>12988</v>
      </c>
      <c r="B326" s="2228" t="str">
        <f>VLOOKUP($A326,'11 - QT_ WB'!$A:$F,2,0)</f>
        <v>CP-HSD-10</v>
      </c>
      <c r="C326" s="2228" t="str">
        <f>VLOOKUP($A326,'11 - QT_ WB'!$A:$F,3,0)</f>
        <v>PRÓPRIA</v>
      </c>
      <c r="D326" s="2333" t="s">
        <v>15377</v>
      </c>
      <c r="E326" s="2243" t="str">
        <f>IF($C326="SINAPI",VLOOKUP($B326,'24.08_ND'!$A:$D,3,0),IF($C326="PRÓPRIA",VLOOKUP($B326,'03-CP'!$C:$H,3,0)))</f>
        <v>UN</v>
      </c>
      <c r="F326" s="2230">
        <v>2</v>
      </c>
      <c r="G326" s="2232">
        <v>11.41</v>
      </c>
      <c r="H326" s="2332">
        <f t="shared" si="73"/>
        <v>22.82</v>
      </c>
      <c r="I326" s="2328">
        <f t="shared" si="74"/>
        <v>0</v>
      </c>
      <c r="J326" s="2231"/>
      <c r="K326" s="2412"/>
      <c r="L326" s="2533">
        <f t="shared" si="77"/>
        <v>0</v>
      </c>
      <c r="M326" s="2238">
        <v>0</v>
      </c>
      <c r="N326" s="2239">
        <f t="shared" si="78"/>
        <v>0</v>
      </c>
      <c r="O326" s="2498">
        <f t="shared" si="75"/>
        <v>22.82</v>
      </c>
      <c r="P326" s="2295">
        <f t="shared" si="76"/>
        <v>1</v>
      </c>
    </row>
    <row r="327" spans="1:16" ht="45">
      <c r="A327" s="2265" t="s">
        <v>12989</v>
      </c>
      <c r="B327" s="2228">
        <f>VLOOKUP($A327,'11 - QT_ WB'!$A:$F,2,0)</f>
        <v>89797</v>
      </c>
      <c r="C327" s="2228" t="str">
        <f>VLOOKUP($A327,'11 - QT_ WB'!$A:$F,3,0)</f>
        <v>SINAPI</v>
      </c>
      <c r="D327" s="2333" t="s">
        <v>9003</v>
      </c>
      <c r="E327" s="2243" t="str">
        <f>IF($C327="SINAPI",VLOOKUP($B327,'24.08_ND'!$A:$D,3,0),IF($C327="PRÓPRIA",VLOOKUP($B327,'03-CP'!$C:$H,3,0)))</f>
        <v>UN</v>
      </c>
      <c r="F327" s="2230">
        <v>11</v>
      </c>
      <c r="G327" s="2232">
        <v>56.35</v>
      </c>
      <c r="H327" s="2332">
        <f t="shared" si="73"/>
        <v>619.85</v>
      </c>
      <c r="I327" s="2328">
        <f t="shared" si="74"/>
        <v>0</v>
      </c>
      <c r="J327" s="2237"/>
      <c r="K327" s="2411"/>
      <c r="L327" s="2533">
        <f t="shared" si="77"/>
        <v>0</v>
      </c>
      <c r="M327" s="2238">
        <v>0</v>
      </c>
      <c r="N327" s="2239">
        <f t="shared" si="78"/>
        <v>0</v>
      </c>
      <c r="O327" s="2498">
        <f t="shared" si="75"/>
        <v>619.85</v>
      </c>
      <c r="P327" s="2295">
        <f t="shared" si="76"/>
        <v>1</v>
      </c>
    </row>
    <row r="328" spans="1:16" ht="45">
      <c r="A328" s="2265" t="s">
        <v>12990</v>
      </c>
      <c r="B328" s="2228" t="str">
        <f>VLOOKUP($A328,'11 - QT_ WB'!$A:$F,2,0)</f>
        <v>CP-HSD-06</v>
      </c>
      <c r="C328" s="2228" t="str">
        <f>VLOOKUP($A328,'11 - QT_ WB'!$A:$F,3,0)</f>
        <v>PRÓPRIA</v>
      </c>
      <c r="D328" s="2333" t="s">
        <v>15371</v>
      </c>
      <c r="E328" s="2243" t="str">
        <f>IF($C328="SINAPI",VLOOKUP($B328,'24.08_ND'!$A:$D,3,0),IF($C328="PRÓPRIA",VLOOKUP($B328,'03-CP'!$C:$H,3,0)))</f>
        <v>UN</v>
      </c>
      <c r="F328" s="2230">
        <v>12</v>
      </c>
      <c r="G328" s="2232">
        <v>49.12</v>
      </c>
      <c r="H328" s="2332">
        <f t="shared" si="73"/>
        <v>589.44000000000005</v>
      </c>
      <c r="I328" s="2328">
        <f t="shared" si="74"/>
        <v>0</v>
      </c>
      <c r="J328" s="2231"/>
      <c r="K328" s="2412"/>
      <c r="L328" s="2533">
        <f t="shared" si="77"/>
        <v>0</v>
      </c>
      <c r="M328" s="2238">
        <v>0</v>
      </c>
      <c r="N328" s="2239">
        <f t="shared" si="78"/>
        <v>0</v>
      </c>
      <c r="O328" s="2498">
        <f t="shared" si="75"/>
        <v>589.44000000000005</v>
      </c>
      <c r="P328" s="2295">
        <f t="shared" si="76"/>
        <v>1</v>
      </c>
    </row>
    <row r="329" spans="1:16" ht="45">
      <c r="A329" s="2265" t="s">
        <v>12991</v>
      </c>
      <c r="B329" s="2228">
        <f>VLOOKUP($A329,'11 - QT_ WB'!$A:$F,2,0)</f>
        <v>89785</v>
      </c>
      <c r="C329" s="2228" t="str">
        <f>VLOOKUP($A329,'11 - QT_ WB'!$A:$F,3,0)</f>
        <v>SINAPI</v>
      </c>
      <c r="D329" s="2333" t="s">
        <v>8991</v>
      </c>
      <c r="E329" s="2243" t="str">
        <f>IF($C329="SINAPI",VLOOKUP($B329,'24.08_ND'!$A:$D,3,0),IF($C329="PRÓPRIA",VLOOKUP($B329,'03-CP'!$C:$H,3,0)))</f>
        <v>UN</v>
      </c>
      <c r="F329" s="2230">
        <v>6</v>
      </c>
      <c r="G329" s="2232">
        <v>29.11</v>
      </c>
      <c r="H329" s="2332">
        <f t="shared" si="73"/>
        <v>174.66</v>
      </c>
      <c r="I329" s="2328">
        <f t="shared" si="74"/>
        <v>0</v>
      </c>
      <c r="J329" s="2237"/>
      <c r="K329" s="2411"/>
      <c r="L329" s="2533">
        <f t="shared" si="77"/>
        <v>0</v>
      </c>
      <c r="M329" s="2238">
        <v>0</v>
      </c>
      <c r="N329" s="2239">
        <f t="shared" si="78"/>
        <v>0</v>
      </c>
      <c r="O329" s="2498">
        <f t="shared" si="75"/>
        <v>174.66</v>
      </c>
      <c r="P329" s="2295">
        <f t="shared" si="76"/>
        <v>1</v>
      </c>
    </row>
    <row r="330" spans="1:16" ht="45">
      <c r="A330" s="2265" t="s">
        <v>12992</v>
      </c>
      <c r="B330" s="2228">
        <f>VLOOKUP($A330,'11 - QT_ WB'!$A:$F,2,0)</f>
        <v>89783</v>
      </c>
      <c r="C330" s="2228" t="str">
        <f>VLOOKUP($A330,'11 - QT_ WB'!$A:$F,3,0)</f>
        <v>SINAPI</v>
      </c>
      <c r="D330" s="2333" t="s">
        <v>8989</v>
      </c>
      <c r="E330" s="2243" t="str">
        <f>IF($C330="SINAPI",VLOOKUP($B330,'24.08_ND'!$A:$D,3,0),IF($C330="PRÓPRIA",VLOOKUP($B330,'03-CP'!$C:$H,3,0)))</f>
        <v>UN</v>
      </c>
      <c r="F330" s="2230">
        <v>2</v>
      </c>
      <c r="G330" s="2232">
        <v>16.48</v>
      </c>
      <c r="H330" s="2332">
        <f t="shared" si="73"/>
        <v>32.96</v>
      </c>
      <c r="I330" s="2328">
        <f t="shared" si="74"/>
        <v>0</v>
      </c>
      <c r="J330" s="2237"/>
      <c r="K330" s="2411"/>
      <c r="L330" s="2533">
        <f t="shared" si="77"/>
        <v>0</v>
      </c>
      <c r="M330" s="2238">
        <v>0</v>
      </c>
      <c r="N330" s="2239">
        <f t="shared" si="78"/>
        <v>0</v>
      </c>
      <c r="O330" s="2498">
        <f t="shared" si="75"/>
        <v>32.96</v>
      </c>
      <c r="P330" s="2295">
        <f t="shared" si="76"/>
        <v>1</v>
      </c>
    </row>
    <row r="331" spans="1:16" ht="45">
      <c r="A331" s="2265" t="s">
        <v>12993</v>
      </c>
      <c r="B331" s="2228">
        <f>VLOOKUP($A331,'11 - QT_ WB'!$A:$F,2,0)</f>
        <v>104341</v>
      </c>
      <c r="C331" s="2228" t="str">
        <f>VLOOKUP($A331,'11 - QT_ WB'!$A:$F,3,0)</f>
        <v>SINAPI</v>
      </c>
      <c r="D331" s="2333" t="s">
        <v>9904</v>
      </c>
      <c r="E331" s="2243" t="str">
        <f>IF($C331="SINAPI",VLOOKUP($B331,'24.08_ND'!$A:$D,3,0),IF($C331="PRÓPRIA",VLOOKUP($B331,'03-CP'!$C:$H,3,0)))</f>
        <v>UN</v>
      </c>
      <c r="F331" s="2230">
        <v>7</v>
      </c>
      <c r="G331" s="2232">
        <v>12.08</v>
      </c>
      <c r="H331" s="2332">
        <f t="shared" si="73"/>
        <v>84.56</v>
      </c>
      <c r="I331" s="2328">
        <f t="shared" si="74"/>
        <v>0</v>
      </c>
      <c r="J331" s="2237"/>
      <c r="K331" s="2411"/>
      <c r="L331" s="2533">
        <f t="shared" si="77"/>
        <v>0</v>
      </c>
      <c r="M331" s="2238">
        <v>0</v>
      </c>
      <c r="N331" s="2239">
        <f t="shared" si="78"/>
        <v>0</v>
      </c>
      <c r="O331" s="2498">
        <f t="shared" si="75"/>
        <v>84.56</v>
      </c>
      <c r="P331" s="2295">
        <f t="shared" si="76"/>
        <v>1</v>
      </c>
    </row>
    <row r="332" spans="1:16" ht="30">
      <c r="A332" s="2265" t="s">
        <v>12994</v>
      </c>
      <c r="B332" s="2228" t="str">
        <f>VLOOKUP($A332,'11 - QT_ WB'!$A:$F,2,0)</f>
        <v>CP-HSD-11</v>
      </c>
      <c r="C332" s="2228" t="str">
        <f>VLOOKUP($A332,'11 - QT_ WB'!$A:$F,3,0)</f>
        <v>PRÓPRIA</v>
      </c>
      <c r="D332" s="2333" t="s">
        <v>15379</v>
      </c>
      <c r="E332" s="2243" t="str">
        <f>IF($C332="SINAPI",VLOOKUP($B332,'24.08_ND'!$A:$D,3,0),IF($C332="PRÓPRIA",VLOOKUP($B332,'03-CP'!$C:$H,3,0)))</f>
        <v>UN</v>
      </c>
      <c r="F332" s="2230">
        <v>1</v>
      </c>
      <c r="G332" s="2232">
        <v>20.9</v>
      </c>
      <c r="H332" s="2332">
        <f t="shared" si="73"/>
        <v>20.9</v>
      </c>
      <c r="I332" s="2328">
        <f t="shared" si="74"/>
        <v>0</v>
      </c>
      <c r="J332" s="2231"/>
      <c r="K332" s="2412"/>
      <c r="L332" s="2533">
        <f t="shared" si="77"/>
        <v>0</v>
      </c>
      <c r="M332" s="2238">
        <v>0</v>
      </c>
      <c r="N332" s="2239">
        <f t="shared" si="78"/>
        <v>0</v>
      </c>
      <c r="O332" s="2498">
        <f t="shared" si="75"/>
        <v>20.9</v>
      </c>
      <c r="P332" s="2295">
        <f t="shared" si="76"/>
        <v>1</v>
      </c>
    </row>
    <row r="333" spans="1:16" ht="30">
      <c r="A333" s="2265" t="s">
        <v>12995</v>
      </c>
      <c r="B333" s="2228" t="str">
        <f>VLOOKUP($A333,'11 - QT_ WB'!$A:$F,2,0)</f>
        <v>CP-HSD-12</v>
      </c>
      <c r="C333" s="2228" t="str">
        <f>VLOOKUP($A333,'11 - QT_ WB'!$A:$F,3,0)</f>
        <v>PRÓPRIA</v>
      </c>
      <c r="D333" s="2333" t="s">
        <v>15381</v>
      </c>
      <c r="E333" s="2243" t="str">
        <f>IF($C333="SINAPI",VLOOKUP($B333,'24.08_ND'!$A:$D,3,0),IF($C333="PRÓPRIA",VLOOKUP($B333,'03-CP'!$C:$H,3,0)))</f>
        <v>UN</v>
      </c>
      <c r="F333" s="2230">
        <v>1</v>
      </c>
      <c r="G333" s="2232">
        <v>33.32</v>
      </c>
      <c r="H333" s="2332">
        <f t="shared" si="73"/>
        <v>33.32</v>
      </c>
      <c r="I333" s="2328">
        <f t="shared" si="74"/>
        <v>0</v>
      </c>
      <c r="J333" s="2231"/>
      <c r="K333" s="2412"/>
      <c r="L333" s="2533">
        <f t="shared" si="77"/>
        <v>0</v>
      </c>
      <c r="M333" s="2238">
        <v>0</v>
      </c>
      <c r="N333" s="2239">
        <f t="shared" si="78"/>
        <v>0</v>
      </c>
      <c r="O333" s="2498">
        <f t="shared" si="75"/>
        <v>33.32</v>
      </c>
      <c r="P333" s="2295">
        <f t="shared" si="76"/>
        <v>1</v>
      </c>
    </row>
    <row r="334" spans="1:16" ht="30">
      <c r="A334" s="2265" t="s">
        <v>12996</v>
      </c>
      <c r="B334" s="2228" t="str">
        <f>VLOOKUP($A334,'11 - QT_ WB'!$A:$F,2,0)</f>
        <v>CP-HSD-13</v>
      </c>
      <c r="C334" s="2228" t="str">
        <f>VLOOKUP($A334,'11 - QT_ WB'!$A:$F,3,0)</f>
        <v>PRÓPRIA</v>
      </c>
      <c r="D334" s="2333" t="s">
        <v>15383</v>
      </c>
      <c r="E334" s="2243" t="str">
        <f>IF($C334="SINAPI",VLOOKUP($B334,'24.08_ND'!$A:$D,3,0),IF($C334="PRÓPRIA",VLOOKUP($B334,'03-CP'!$C:$H,3,0)))</f>
        <v>UN</v>
      </c>
      <c r="F334" s="2230">
        <v>5</v>
      </c>
      <c r="G334" s="2232">
        <v>31.51</v>
      </c>
      <c r="H334" s="2332">
        <f t="shared" si="73"/>
        <v>157.55000000000001</v>
      </c>
      <c r="I334" s="2328">
        <f t="shared" si="74"/>
        <v>0</v>
      </c>
      <c r="J334" s="2231"/>
      <c r="K334" s="2412"/>
      <c r="L334" s="2533">
        <f t="shared" si="77"/>
        <v>0</v>
      </c>
      <c r="M334" s="2238">
        <v>0</v>
      </c>
      <c r="N334" s="2239">
        <f t="shared" si="78"/>
        <v>0</v>
      </c>
      <c r="O334" s="2498">
        <f t="shared" si="75"/>
        <v>157.55000000000001</v>
      </c>
      <c r="P334" s="2295">
        <f t="shared" si="76"/>
        <v>1</v>
      </c>
    </row>
    <row r="335" spans="1:16" ht="45">
      <c r="A335" s="2265" t="s">
        <v>12997</v>
      </c>
      <c r="B335" s="2228">
        <f>VLOOKUP($A335,'11 - QT_ WB'!$A:$F,2,0)</f>
        <v>89778</v>
      </c>
      <c r="C335" s="2228" t="str">
        <f>VLOOKUP($A335,'11 - QT_ WB'!$A:$F,3,0)</f>
        <v>SINAPI</v>
      </c>
      <c r="D335" s="2333" t="s">
        <v>8984</v>
      </c>
      <c r="E335" s="2243" t="str">
        <f>IF($C335="SINAPI",VLOOKUP($B335,'24.08_ND'!$A:$D,3,0),IF($C335="PRÓPRIA",VLOOKUP($B335,'03-CP'!$C:$H,3,0)))</f>
        <v>UN</v>
      </c>
      <c r="F335" s="2230">
        <v>65</v>
      </c>
      <c r="G335" s="2232">
        <v>19.829999999999998</v>
      </c>
      <c r="H335" s="2332">
        <f t="shared" si="73"/>
        <v>1288.95</v>
      </c>
      <c r="I335" s="2328">
        <f t="shared" si="74"/>
        <v>0</v>
      </c>
      <c r="J335" s="2237"/>
      <c r="K335" s="2411"/>
      <c r="L335" s="2533">
        <f t="shared" si="77"/>
        <v>0</v>
      </c>
      <c r="M335" s="2238">
        <v>0</v>
      </c>
      <c r="N335" s="2239">
        <f t="shared" si="78"/>
        <v>0</v>
      </c>
      <c r="O335" s="2498">
        <f t="shared" si="75"/>
        <v>1288.95</v>
      </c>
      <c r="P335" s="2295">
        <f t="shared" si="76"/>
        <v>1</v>
      </c>
    </row>
    <row r="336" spans="1:16" ht="45">
      <c r="A336" s="2265" t="s">
        <v>12998</v>
      </c>
      <c r="B336" s="2228">
        <f>VLOOKUP($A336,'11 - QT_ WB'!$A:$F,2,0)</f>
        <v>89753</v>
      </c>
      <c r="C336" s="2228" t="str">
        <f>VLOOKUP($A336,'11 - QT_ WB'!$A:$F,3,0)</f>
        <v>SINAPI</v>
      </c>
      <c r="D336" s="2333" t="s">
        <v>8964</v>
      </c>
      <c r="E336" s="2243" t="str">
        <f>IF($C336="SINAPI",VLOOKUP($B336,'24.08_ND'!$A:$D,3,0),IF($C336="PRÓPRIA",VLOOKUP($B336,'03-CP'!$C:$H,3,0)))</f>
        <v>UN</v>
      </c>
      <c r="F336" s="2230">
        <v>150</v>
      </c>
      <c r="G336" s="2232">
        <v>10.17</v>
      </c>
      <c r="H336" s="2332">
        <f t="shared" si="73"/>
        <v>1525.5</v>
      </c>
      <c r="I336" s="2328">
        <f t="shared" si="74"/>
        <v>0</v>
      </c>
      <c r="J336" s="2237"/>
      <c r="K336" s="2411"/>
      <c r="L336" s="2533">
        <f t="shared" si="77"/>
        <v>0</v>
      </c>
      <c r="M336" s="2238">
        <v>0</v>
      </c>
      <c r="N336" s="2239">
        <f t="shared" si="78"/>
        <v>0</v>
      </c>
      <c r="O336" s="2498">
        <f t="shared" si="75"/>
        <v>1525.5</v>
      </c>
      <c r="P336" s="2295">
        <f t="shared" si="76"/>
        <v>1</v>
      </c>
    </row>
    <row r="337" spans="1:16" ht="45">
      <c r="A337" s="2265" t="s">
        <v>12999</v>
      </c>
      <c r="B337" s="2228">
        <f>VLOOKUP($A337,'11 - QT_ WB'!$A:$F,2,0)</f>
        <v>89784</v>
      </c>
      <c r="C337" s="2228" t="str">
        <f>VLOOKUP($A337,'11 - QT_ WB'!$A:$F,3,0)</f>
        <v>SINAPI</v>
      </c>
      <c r="D337" s="2333" t="s">
        <v>8990</v>
      </c>
      <c r="E337" s="2243" t="str">
        <f>IF($C337="SINAPI",VLOOKUP($B337,'24.08_ND'!$A:$D,3,0),IF($C337="PRÓPRIA",VLOOKUP($B337,'03-CP'!$C:$H,3,0)))</f>
        <v>UN</v>
      </c>
      <c r="F337" s="2230">
        <v>25</v>
      </c>
      <c r="G337" s="2232">
        <v>26.62</v>
      </c>
      <c r="H337" s="2332">
        <f t="shared" si="73"/>
        <v>665.5</v>
      </c>
      <c r="I337" s="2328">
        <f t="shared" si="74"/>
        <v>0</v>
      </c>
      <c r="J337" s="2237"/>
      <c r="K337" s="2411"/>
      <c r="L337" s="2533">
        <f t="shared" si="77"/>
        <v>0</v>
      </c>
      <c r="M337" s="2238">
        <v>0</v>
      </c>
      <c r="N337" s="2239">
        <f t="shared" si="78"/>
        <v>0</v>
      </c>
      <c r="O337" s="2498">
        <f t="shared" si="75"/>
        <v>665.5</v>
      </c>
      <c r="P337" s="2295">
        <f t="shared" si="76"/>
        <v>1</v>
      </c>
    </row>
    <row r="338" spans="1:16" ht="45">
      <c r="A338" s="2265" t="s">
        <v>13000</v>
      </c>
      <c r="B338" s="2228">
        <f>VLOOKUP($A338,'11 - QT_ WB'!$A:$F,2,0)</f>
        <v>89782</v>
      </c>
      <c r="C338" s="2228" t="str">
        <f>VLOOKUP($A338,'11 - QT_ WB'!$A:$F,3,0)</f>
        <v>SINAPI</v>
      </c>
      <c r="D338" s="2333" t="s">
        <v>8988</v>
      </c>
      <c r="E338" s="2243" t="str">
        <f>IF($C338="SINAPI",VLOOKUP($B338,'24.08_ND'!$A:$D,3,0),IF($C338="PRÓPRIA",VLOOKUP($B338,'03-CP'!$C:$H,3,0)))</f>
        <v>UN</v>
      </c>
      <c r="F338" s="2230">
        <v>5</v>
      </c>
      <c r="G338" s="2232">
        <v>16.37</v>
      </c>
      <c r="H338" s="2332">
        <f t="shared" si="73"/>
        <v>81.849999999999994</v>
      </c>
      <c r="I338" s="2328">
        <f t="shared" si="74"/>
        <v>0</v>
      </c>
      <c r="J338" s="2237"/>
      <c r="K338" s="2411"/>
      <c r="L338" s="2533">
        <f t="shared" si="77"/>
        <v>0</v>
      </c>
      <c r="M338" s="2238">
        <v>0</v>
      </c>
      <c r="N338" s="2239">
        <f t="shared" si="78"/>
        <v>0</v>
      </c>
      <c r="O338" s="2498">
        <f t="shared" si="75"/>
        <v>81.849999999999994</v>
      </c>
      <c r="P338" s="2295">
        <f t="shared" si="76"/>
        <v>1</v>
      </c>
    </row>
    <row r="339" spans="1:16" ht="45">
      <c r="A339" s="2265" t="s">
        <v>13001</v>
      </c>
      <c r="B339" s="2228">
        <f>VLOOKUP($A339,'11 - QT_ WB'!$A:$F,2,0)</f>
        <v>104344</v>
      </c>
      <c r="C339" s="2228" t="str">
        <f>VLOOKUP($A339,'11 - QT_ WB'!$A:$F,3,0)</f>
        <v>SINAPI</v>
      </c>
      <c r="D339" s="2333" t="s">
        <v>9906</v>
      </c>
      <c r="E339" s="2243" t="str">
        <f>IF($C339="SINAPI",VLOOKUP($B339,'24.08_ND'!$A:$D,3,0),IF($C339="PRÓPRIA",VLOOKUP($B339,'03-CP'!$C:$H,3,0)))</f>
        <v>UN</v>
      </c>
      <c r="F339" s="2230">
        <v>1</v>
      </c>
      <c r="G339" s="2232">
        <v>44.85</v>
      </c>
      <c r="H339" s="2332">
        <f t="shared" si="73"/>
        <v>44.85</v>
      </c>
      <c r="I339" s="2328">
        <f t="shared" si="74"/>
        <v>0</v>
      </c>
      <c r="J339" s="2237"/>
      <c r="K339" s="2411"/>
      <c r="L339" s="2533">
        <f t="shared" si="77"/>
        <v>0</v>
      </c>
      <c r="M339" s="2238">
        <v>0</v>
      </c>
      <c r="N339" s="2239">
        <f t="shared" si="78"/>
        <v>0</v>
      </c>
      <c r="O339" s="2498">
        <f t="shared" si="75"/>
        <v>44.85</v>
      </c>
      <c r="P339" s="2295">
        <f t="shared" si="76"/>
        <v>1</v>
      </c>
    </row>
    <row r="340" spans="1:16" ht="45">
      <c r="A340" s="2265" t="s">
        <v>13002</v>
      </c>
      <c r="B340" s="2228">
        <f>VLOOKUP($A340,'11 - QT_ WB'!$A:$F,2,0)</f>
        <v>104348</v>
      </c>
      <c r="C340" s="2228" t="str">
        <f>VLOOKUP($A340,'11 - QT_ WB'!$A:$F,3,0)</f>
        <v>SINAPI</v>
      </c>
      <c r="D340" s="2333" t="s">
        <v>9910</v>
      </c>
      <c r="E340" s="2243" t="str">
        <f>IF($C340="SINAPI",VLOOKUP($B340,'24.08_ND'!$A:$D,3,0),IF($C340="PRÓPRIA",VLOOKUP($B340,'03-CP'!$C:$H,3,0)))</f>
        <v>UN</v>
      </c>
      <c r="F340" s="2230">
        <v>4</v>
      </c>
      <c r="G340" s="2232">
        <v>12</v>
      </c>
      <c r="H340" s="2332">
        <f t="shared" si="73"/>
        <v>48</v>
      </c>
      <c r="I340" s="2328">
        <f t="shared" si="74"/>
        <v>0</v>
      </c>
      <c r="J340" s="2237"/>
      <c r="K340" s="2411"/>
      <c r="L340" s="2533">
        <f t="shared" si="77"/>
        <v>0</v>
      </c>
      <c r="M340" s="2238">
        <v>0</v>
      </c>
      <c r="N340" s="2239">
        <f t="shared" si="78"/>
        <v>0</v>
      </c>
      <c r="O340" s="2498">
        <f t="shared" si="75"/>
        <v>48</v>
      </c>
      <c r="P340" s="2295">
        <f t="shared" si="76"/>
        <v>1</v>
      </c>
    </row>
    <row r="341" spans="1:16" ht="45">
      <c r="A341" s="2265" t="s">
        <v>13003</v>
      </c>
      <c r="B341" s="2228">
        <f>VLOOKUP($A341,'11 - QT_ WB'!$A:$F,2,0)</f>
        <v>89714</v>
      </c>
      <c r="C341" s="2228" t="str">
        <f>VLOOKUP($A341,'11 - QT_ WB'!$A:$F,3,0)</f>
        <v>SINAPI</v>
      </c>
      <c r="D341" s="2333" t="s">
        <v>8445</v>
      </c>
      <c r="E341" s="2243" t="str">
        <f>IF($C341="SINAPI",VLOOKUP($B341,'24.08_ND'!$A:$D,3,0),IF($C341="PRÓPRIA",VLOOKUP($B341,'03-CP'!$C:$H,3,0)))</f>
        <v>M</v>
      </c>
      <c r="F341" s="2230">
        <v>60</v>
      </c>
      <c r="G341" s="2232">
        <v>40.21</v>
      </c>
      <c r="H341" s="2332">
        <f t="shared" si="73"/>
        <v>2412.6</v>
      </c>
      <c r="I341" s="2328">
        <f t="shared" si="74"/>
        <v>0</v>
      </c>
      <c r="J341" s="2237"/>
      <c r="K341" s="2411"/>
      <c r="L341" s="2533">
        <f t="shared" si="77"/>
        <v>0</v>
      </c>
      <c r="M341" s="2238">
        <v>0</v>
      </c>
      <c r="N341" s="2239">
        <f t="shared" si="78"/>
        <v>0</v>
      </c>
      <c r="O341" s="2498">
        <f t="shared" si="75"/>
        <v>2412.6</v>
      </c>
      <c r="P341" s="2295">
        <f t="shared" si="76"/>
        <v>1</v>
      </c>
    </row>
    <row r="342" spans="1:16" ht="45">
      <c r="A342" s="2265" t="s">
        <v>13004</v>
      </c>
      <c r="B342" s="2228">
        <f>VLOOKUP($A342,'11 - QT_ WB'!$A:$F,2,0)</f>
        <v>89712</v>
      </c>
      <c r="C342" s="2228" t="str">
        <f>VLOOKUP($A342,'11 - QT_ WB'!$A:$F,3,0)</f>
        <v>SINAPI</v>
      </c>
      <c r="D342" s="2333" t="s">
        <v>8443</v>
      </c>
      <c r="E342" s="2243" t="str">
        <f>IF($C342="SINAPI",VLOOKUP($B342,'24.08_ND'!$A:$D,3,0),IF($C342="PRÓPRIA",VLOOKUP($B342,'03-CP'!$C:$H,3,0)))</f>
        <v>M</v>
      </c>
      <c r="F342" s="2230">
        <v>130</v>
      </c>
      <c r="G342" s="2232">
        <v>28.87</v>
      </c>
      <c r="H342" s="2332">
        <f t="shared" si="73"/>
        <v>3753.1</v>
      </c>
      <c r="I342" s="2328">
        <f t="shared" si="74"/>
        <v>0</v>
      </c>
      <c r="J342" s="2237"/>
      <c r="K342" s="2411"/>
      <c r="L342" s="2533">
        <f t="shared" si="77"/>
        <v>0</v>
      </c>
      <c r="M342" s="2238">
        <v>0</v>
      </c>
      <c r="N342" s="2239">
        <f t="shared" si="78"/>
        <v>0</v>
      </c>
      <c r="O342" s="2498">
        <f t="shared" si="75"/>
        <v>3753.1</v>
      </c>
      <c r="P342" s="2295">
        <f t="shared" si="76"/>
        <v>1</v>
      </c>
    </row>
    <row r="343" spans="1:16" ht="45">
      <c r="A343" s="2265" t="s">
        <v>13005</v>
      </c>
      <c r="B343" s="2228">
        <f>VLOOKUP($A343,'11 - QT_ WB'!$A:$F,2,0)</f>
        <v>89711</v>
      </c>
      <c r="C343" s="2228" t="str">
        <f>VLOOKUP($A343,'11 - QT_ WB'!$A:$F,3,0)</f>
        <v>SINAPI</v>
      </c>
      <c r="D343" s="2333" t="s">
        <v>8442</v>
      </c>
      <c r="E343" s="2243" t="str">
        <f>IF($C343="SINAPI",VLOOKUP($B343,'24.08_ND'!$A:$D,3,0),IF($C343="PRÓPRIA",VLOOKUP($B343,'03-CP'!$C:$H,3,0)))</f>
        <v>M</v>
      </c>
      <c r="F343" s="2230">
        <v>2</v>
      </c>
      <c r="G343" s="2232">
        <v>22.78</v>
      </c>
      <c r="H343" s="2332">
        <f t="shared" si="73"/>
        <v>45.56</v>
      </c>
      <c r="I343" s="2328">
        <f t="shared" si="74"/>
        <v>0</v>
      </c>
      <c r="J343" s="2237"/>
      <c r="K343" s="2411"/>
      <c r="L343" s="2533">
        <f t="shared" si="77"/>
        <v>0</v>
      </c>
      <c r="M343" s="2238">
        <v>0</v>
      </c>
      <c r="N343" s="2239">
        <f t="shared" si="78"/>
        <v>0</v>
      </c>
      <c r="O343" s="2498">
        <f t="shared" si="75"/>
        <v>45.56</v>
      </c>
      <c r="P343" s="2295">
        <f t="shared" si="76"/>
        <v>1</v>
      </c>
    </row>
    <row r="344" spans="1:16" ht="30">
      <c r="A344" s="2265" t="s">
        <v>13006</v>
      </c>
      <c r="B344" s="2228" t="str">
        <f>VLOOKUP($A344,'11 - QT_ WB'!$A:$F,2,0)</f>
        <v>CP-HSD-14</v>
      </c>
      <c r="C344" s="2228" t="str">
        <f>VLOOKUP($A344,'11 - QT_ WB'!$A:$F,3,0)</f>
        <v>PRÓPRIA</v>
      </c>
      <c r="D344" s="2333" t="s">
        <v>15385</v>
      </c>
      <c r="E344" s="2243" t="str">
        <f>IF($C344="SINAPI",VLOOKUP($B344,'24.08_ND'!$A:$D,3,0),IF($C344="PRÓPRIA",VLOOKUP($B344,'03-CP'!$C:$H,3,0)))</f>
        <v>M</v>
      </c>
      <c r="F344" s="2230">
        <v>160</v>
      </c>
      <c r="G344" s="2232">
        <v>52.08</v>
      </c>
      <c r="H344" s="2332">
        <f t="shared" si="73"/>
        <v>8332.7999999999993</v>
      </c>
      <c r="I344" s="2328">
        <f t="shared" si="74"/>
        <v>0</v>
      </c>
      <c r="J344" s="2231"/>
      <c r="K344" s="2412"/>
      <c r="L344" s="2533">
        <f t="shared" si="77"/>
        <v>0</v>
      </c>
      <c r="M344" s="2238">
        <v>0</v>
      </c>
      <c r="N344" s="2239">
        <f t="shared" si="78"/>
        <v>0</v>
      </c>
      <c r="O344" s="2498">
        <f t="shared" si="75"/>
        <v>8332.7999999999993</v>
      </c>
      <c r="P344" s="2295">
        <f t="shared" si="76"/>
        <v>1</v>
      </c>
    </row>
    <row r="345" spans="1:16" ht="30">
      <c r="A345" s="2265" t="s">
        <v>13007</v>
      </c>
      <c r="B345" s="2228" t="str">
        <f>VLOOKUP($A345,'11 - QT_ WB'!$A:$F,2,0)</f>
        <v>CP-HSD-15</v>
      </c>
      <c r="C345" s="2228" t="str">
        <f>VLOOKUP($A345,'11 - QT_ WB'!$A:$F,3,0)</f>
        <v>PRÓPRIA</v>
      </c>
      <c r="D345" s="2333" t="s">
        <v>15387</v>
      </c>
      <c r="E345" s="2243" t="str">
        <f>IF($C345="SINAPI",VLOOKUP($B345,'24.08_ND'!$A:$D,3,0),IF($C345="PRÓPRIA",VLOOKUP($B345,'03-CP'!$C:$H,3,0)))</f>
        <v>M</v>
      </c>
      <c r="F345" s="2230">
        <v>3</v>
      </c>
      <c r="G345" s="2232">
        <v>24.08</v>
      </c>
      <c r="H345" s="2332">
        <f t="shared" si="73"/>
        <v>72.239999999999995</v>
      </c>
      <c r="I345" s="2328">
        <f t="shared" si="74"/>
        <v>0</v>
      </c>
      <c r="J345" s="2231"/>
      <c r="K345" s="2412"/>
      <c r="L345" s="2533">
        <f t="shared" si="77"/>
        <v>0</v>
      </c>
      <c r="M345" s="2238">
        <v>0</v>
      </c>
      <c r="N345" s="2239">
        <f t="shared" si="78"/>
        <v>0</v>
      </c>
      <c r="O345" s="2498">
        <f t="shared" si="75"/>
        <v>72.239999999999995</v>
      </c>
      <c r="P345" s="2295">
        <f t="shared" si="76"/>
        <v>1</v>
      </c>
    </row>
    <row r="346" spans="1:16" ht="45">
      <c r="A346" s="2265" t="s">
        <v>13008</v>
      </c>
      <c r="B346" s="2228">
        <f>VLOOKUP($A346,'11 - QT_ WB'!$A:$F,2,0)</f>
        <v>104328</v>
      </c>
      <c r="C346" s="2228" t="str">
        <f>VLOOKUP($A346,'11 - QT_ WB'!$A:$F,3,0)</f>
        <v>SINAPI</v>
      </c>
      <c r="D346" s="2333" t="s">
        <v>10081</v>
      </c>
      <c r="E346" s="2243" t="str">
        <f>IF($C346="SINAPI",VLOOKUP($B346,'24.08_ND'!$A:$D,3,0),IF($C346="PRÓPRIA",VLOOKUP($B346,'03-CP'!$C:$H,3,0)))</f>
        <v>UN</v>
      </c>
      <c r="F346" s="2230">
        <v>4</v>
      </c>
      <c r="G346" s="2232">
        <v>77.16</v>
      </c>
      <c r="H346" s="2332">
        <f t="shared" si="73"/>
        <v>308.64</v>
      </c>
      <c r="I346" s="2328">
        <f t="shared" si="74"/>
        <v>0</v>
      </c>
      <c r="J346" s="2237"/>
      <c r="K346" s="2411"/>
      <c r="L346" s="2533">
        <f t="shared" si="77"/>
        <v>0</v>
      </c>
      <c r="M346" s="2238">
        <v>0</v>
      </c>
      <c r="N346" s="2239">
        <f t="shared" si="78"/>
        <v>0</v>
      </c>
      <c r="O346" s="2498">
        <f t="shared" si="75"/>
        <v>308.64</v>
      </c>
      <c r="P346" s="2295">
        <f t="shared" si="76"/>
        <v>1</v>
      </c>
    </row>
    <row r="347" spans="1:16" ht="45">
      <c r="A347" s="2265" t="s">
        <v>13009</v>
      </c>
      <c r="B347" s="2228" t="str">
        <f>VLOOKUP($A347,'11 - QT_ WB'!$A:$F,2,0)</f>
        <v>CP-HSD-20</v>
      </c>
      <c r="C347" s="2228" t="str">
        <f>VLOOKUP($A347,'11 - QT_ WB'!$A:$F,3,0)</f>
        <v>PRÓPRIA</v>
      </c>
      <c r="D347" s="2333" t="s">
        <v>15393</v>
      </c>
      <c r="E347" s="2243" t="str">
        <f>IF($C347="SINAPI",VLOOKUP($B347,'24.08_ND'!$A:$D,3,0),IF($C347="PRÓPRIA",VLOOKUP($B347,'03-CP'!$C:$H,3,0)))</f>
        <v>UN</v>
      </c>
      <c r="F347" s="2230">
        <v>8</v>
      </c>
      <c r="G347" s="2232">
        <v>82</v>
      </c>
      <c r="H347" s="2332">
        <f t="shared" si="73"/>
        <v>656</v>
      </c>
      <c r="I347" s="2328">
        <f t="shared" si="74"/>
        <v>0</v>
      </c>
      <c r="J347" s="2231"/>
      <c r="K347" s="2412"/>
      <c r="L347" s="2533">
        <f t="shared" si="77"/>
        <v>0</v>
      </c>
      <c r="M347" s="2238">
        <v>0</v>
      </c>
      <c r="N347" s="2239">
        <f t="shared" si="78"/>
        <v>0</v>
      </c>
      <c r="O347" s="2498">
        <f t="shared" si="75"/>
        <v>656</v>
      </c>
      <c r="P347" s="2295">
        <f t="shared" si="76"/>
        <v>1</v>
      </c>
    </row>
    <row r="348" spans="1:16" ht="30">
      <c r="A348" s="2265" t="s">
        <v>13010</v>
      </c>
      <c r="B348" s="2228" t="str">
        <f>VLOOKUP($A348,'11 - QT_ WB'!$A:$F,2,0)</f>
        <v>CP-HSD-22</v>
      </c>
      <c r="C348" s="2228" t="str">
        <f>VLOOKUP($A348,'11 - QT_ WB'!$A:$F,3,0)</f>
        <v>PRÓPRIA</v>
      </c>
      <c r="D348" s="2333" t="s">
        <v>15397</v>
      </c>
      <c r="E348" s="2243" t="str">
        <f>IF($C348="SINAPI",VLOOKUP($B348,'24.08_ND'!$A:$D,3,0),IF($C348="PRÓPRIA",VLOOKUP($B348,'03-CP'!$C:$H,3,0)))</f>
        <v>UN</v>
      </c>
      <c r="F348" s="2230">
        <v>6</v>
      </c>
      <c r="G348" s="2232">
        <v>41.63</v>
      </c>
      <c r="H348" s="2332">
        <f t="shared" si="73"/>
        <v>249.78</v>
      </c>
      <c r="I348" s="2328">
        <f t="shared" si="74"/>
        <v>0</v>
      </c>
      <c r="J348" s="2231"/>
      <c r="K348" s="2412"/>
      <c r="L348" s="2533">
        <f t="shared" si="77"/>
        <v>0</v>
      </c>
      <c r="M348" s="2238">
        <v>0</v>
      </c>
      <c r="N348" s="2239">
        <f t="shared" si="78"/>
        <v>0</v>
      </c>
      <c r="O348" s="2498">
        <f t="shared" si="75"/>
        <v>249.78</v>
      </c>
      <c r="P348" s="2295">
        <f t="shared" si="76"/>
        <v>1</v>
      </c>
    </row>
    <row r="349" spans="1:16" ht="60">
      <c r="A349" s="2265" t="s">
        <v>13011</v>
      </c>
      <c r="B349" s="2228">
        <f>VLOOKUP($A349,'11 - QT_ WB'!$A:$F,2,0)</f>
        <v>91179</v>
      </c>
      <c r="C349" s="2228" t="str">
        <f>VLOOKUP($A349,'11 - QT_ WB'!$A:$F,3,0)</f>
        <v>SINAPI</v>
      </c>
      <c r="D349" s="2333" t="s">
        <v>10405</v>
      </c>
      <c r="E349" s="2243" t="str">
        <f>IF($C349="SINAPI",VLOOKUP($B349,'24.08_ND'!$A:$D,3,0),IF($C349="PRÓPRIA",VLOOKUP($B349,'03-CP'!$C:$H,3,0)))</f>
        <v>M</v>
      </c>
      <c r="F349" s="2230">
        <v>3</v>
      </c>
      <c r="G349" s="2232">
        <v>19.079999999999998</v>
      </c>
      <c r="H349" s="2332">
        <f t="shared" si="73"/>
        <v>57.24</v>
      </c>
      <c r="I349" s="2328">
        <f t="shared" si="74"/>
        <v>0</v>
      </c>
      <c r="J349" s="2237"/>
      <c r="K349" s="2411"/>
      <c r="L349" s="2533">
        <f t="shared" si="77"/>
        <v>0</v>
      </c>
      <c r="M349" s="2238">
        <v>0</v>
      </c>
      <c r="N349" s="2239">
        <f t="shared" si="78"/>
        <v>0</v>
      </c>
      <c r="O349" s="2498">
        <f t="shared" si="75"/>
        <v>57.24</v>
      </c>
      <c r="P349" s="2295">
        <f t="shared" si="76"/>
        <v>1</v>
      </c>
    </row>
    <row r="350" spans="1:16" ht="45">
      <c r="A350" s="2265" t="s">
        <v>13012</v>
      </c>
      <c r="B350" s="2228">
        <f>VLOOKUP($A350,'11 - QT_ WB'!$A:$F,2,0)</f>
        <v>97906</v>
      </c>
      <c r="C350" s="2228" t="str">
        <f>VLOOKUP($A350,'11 - QT_ WB'!$A:$F,3,0)</f>
        <v>SINAPI</v>
      </c>
      <c r="D350" s="2333" t="s">
        <v>10017</v>
      </c>
      <c r="E350" s="2243" t="str">
        <f>IF($C350="SINAPI",VLOOKUP($B350,'24.08_ND'!$A:$D,3,0),IF($C350="PRÓPRIA",VLOOKUP($B350,'03-CP'!$C:$H,3,0)))</f>
        <v>UN</v>
      </c>
      <c r="F350" s="2230">
        <v>1</v>
      </c>
      <c r="G350" s="2232">
        <v>509.9</v>
      </c>
      <c r="H350" s="2332">
        <f t="shared" si="73"/>
        <v>509.9</v>
      </c>
      <c r="I350" s="2328">
        <f t="shared" si="74"/>
        <v>0</v>
      </c>
      <c r="J350" s="2237"/>
      <c r="K350" s="2411"/>
      <c r="L350" s="2533">
        <f t="shared" si="77"/>
        <v>0</v>
      </c>
      <c r="M350" s="2238">
        <v>0</v>
      </c>
      <c r="N350" s="2239">
        <f t="shared" si="78"/>
        <v>0</v>
      </c>
      <c r="O350" s="2498">
        <f t="shared" si="75"/>
        <v>509.9</v>
      </c>
      <c r="P350" s="2295">
        <f t="shared" si="76"/>
        <v>1</v>
      </c>
    </row>
    <row r="351" spans="1:16" ht="45">
      <c r="A351" s="2265" t="s">
        <v>13013</v>
      </c>
      <c r="B351" s="2228">
        <f>VLOOKUP($A351,'11 - QT_ WB'!$A:$F,2,0)</f>
        <v>97905</v>
      </c>
      <c r="C351" s="2228" t="str">
        <f>VLOOKUP($A351,'11 - QT_ WB'!$A:$F,3,0)</f>
        <v>SINAPI</v>
      </c>
      <c r="D351" s="2333" t="s">
        <v>10016</v>
      </c>
      <c r="E351" s="2243" t="str">
        <f>IF($C351="SINAPI",VLOOKUP($B351,'24.08_ND'!$A:$D,3,0),IF($C351="PRÓPRIA",VLOOKUP($B351,'03-CP'!$C:$H,3,0)))</f>
        <v>UN</v>
      </c>
      <c r="F351" s="2230">
        <v>1</v>
      </c>
      <c r="G351" s="2232">
        <v>273.68</v>
      </c>
      <c r="H351" s="2332">
        <f t="shared" si="73"/>
        <v>273.68</v>
      </c>
      <c r="I351" s="2328">
        <f t="shared" si="74"/>
        <v>0</v>
      </c>
      <c r="J351" s="2237"/>
      <c r="K351" s="2411"/>
      <c r="L351" s="2533">
        <f t="shared" si="77"/>
        <v>0</v>
      </c>
      <c r="M351" s="2238">
        <v>0</v>
      </c>
      <c r="N351" s="2239">
        <f t="shared" si="78"/>
        <v>0</v>
      </c>
      <c r="O351" s="2498">
        <f t="shared" si="75"/>
        <v>273.68</v>
      </c>
      <c r="P351" s="2295">
        <f t="shared" si="76"/>
        <v>1</v>
      </c>
    </row>
    <row r="352" spans="1:16" ht="45">
      <c r="A352" s="2265" t="s">
        <v>13014</v>
      </c>
      <c r="B352" s="2228">
        <f>VLOOKUP($A352,'11 - QT_ WB'!$A:$F,2,0)</f>
        <v>98053</v>
      </c>
      <c r="C352" s="2228" t="str">
        <f>VLOOKUP($A352,'11 - QT_ WB'!$A:$F,3,0)</f>
        <v>SINAPI</v>
      </c>
      <c r="D352" s="2333" t="s">
        <v>10186</v>
      </c>
      <c r="E352" s="2243" t="str">
        <f>IF($C352="SINAPI",VLOOKUP($B352,'24.08_ND'!$A:$D,3,0),IF($C352="PRÓPRIA",VLOOKUP($B352,'03-CP'!$C:$H,3,0)))</f>
        <v>UN</v>
      </c>
      <c r="F352" s="2230">
        <v>1</v>
      </c>
      <c r="G352" s="2232">
        <v>3147.03</v>
      </c>
      <c r="H352" s="2332">
        <f t="shared" si="73"/>
        <v>3147.03</v>
      </c>
      <c r="I352" s="2328">
        <f t="shared" si="74"/>
        <v>0</v>
      </c>
      <c r="J352" s="2237"/>
      <c r="K352" s="2411"/>
      <c r="L352" s="2533">
        <f t="shared" si="77"/>
        <v>0</v>
      </c>
      <c r="M352" s="2238">
        <v>0</v>
      </c>
      <c r="N352" s="2239">
        <f t="shared" si="78"/>
        <v>0</v>
      </c>
      <c r="O352" s="2498">
        <f t="shared" si="75"/>
        <v>3147.03</v>
      </c>
      <c r="P352" s="2295">
        <f t="shared" si="76"/>
        <v>1</v>
      </c>
    </row>
    <row r="353" spans="1:16" ht="45">
      <c r="A353" s="2265" t="s">
        <v>13015</v>
      </c>
      <c r="B353" s="2228" t="str">
        <f>VLOOKUP($A353,'11 - QT_ WB'!$A:$F,2,0)</f>
        <v>CP-HSD-23</v>
      </c>
      <c r="C353" s="2228" t="str">
        <f>VLOOKUP($A353,'11 - QT_ WB'!$A:$F,3,0)</f>
        <v>PRÓPRIA</v>
      </c>
      <c r="D353" s="2333" t="s">
        <v>15400</v>
      </c>
      <c r="E353" s="2243" t="str">
        <f>IF($C353="SINAPI",VLOOKUP($B353,'24.08_ND'!$A:$D,3,0),IF($C353="PRÓPRIA",VLOOKUP($B353,'03-CP'!$C:$H,3,0)))</f>
        <v>UN</v>
      </c>
      <c r="F353" s="2230">
        <v>1</v>
      </c>
      <c r="G353" s="2232">
        <v>3474.76</v>
      </c>
      <c r="H353" s="2332">
        <f t="shared" si="73"/>
        <v>3474.76</v>
      </c>
      <c r="I353" s="2328">
        <f t="shared" si="74"/>
        <v>0</v>
      </c>
      <c r="J353" s="2231"/>
      <c r="K353" s="2412"/>
      <c r="L353" s="2533">
        <f t="shared" si="77"/>
        <v>0</v>
      </c>
      <c r="M353" s="2238">
        <v>0</v>
      </c>
      <c r="N353" s="2239">
        <f t="shared" si="78"/>
        <v>0</v>
      </c>
      <c r="O353" s="2498">
        <f t="shared" si="75"/>
        <v>3474.76</v>
      </c>
      <c r="P353" s="2295">
        <f t="shared" si="76"/>
        <v>1</v>
      </c>
    </row>
    <row r="354" spans="1:16" ht="30">
      <c r="A354" s="2265" t="s">
        <v>13016</v>
      </c>
      <c r="B354" s="2228" t="str">
        <f>VLOOKUP($A354,'11 - QT_ WB'!$A:$F,2,0)</f>
        <v>CP-HSD-24</v>
      </c>
      <c r="C354" s="2228" t="str">
        <f>VLOOKUP($A354,'11 - QT_ WB'!$A:$F,3,0)</f>
        <v>PRÓPRIA</v>
      </c>
      <c r="D354" s="2333" t="s">
        <v>15403</v>
      </c>
      <c r="E354" s="2243" t="str">
        <f>IF($C354="SINAPI",VLOOKUP($B354,'24.08_ND'!$A:$D,3,0),IF($C354="PRÓPRIA",VLOOKUP($B354,'03-CP'!$C:$H,3,0)))</f>
        <v>UN</v>
      </c>
      <c r="F354" s="2230">
        <v>1</v>
      </c>
      <c r="G354" s="2232">
        <v>7281.86</v>
      </c>
      <c r="H354" s="2332">
        <f t="shared" si="73"/>
        <v>7281.86</v>
      </c>
      <c r="I354" s="2328">
        <f t="shared" si="74"/>
        <v>0</v>
      </c>
      <c r="J354" s="2231"/>
      <c r="K354" s="2412"/>
      <c r="L354" s="2533">
        <f t="shared" si="77"/>
        <v>0</v>
      </c>
      <c r="M354" s="2238">
        <v>0</v>
      </c>
      <c r="N354" s="2239">
        <f t="shared" si="78"/>
        <v>0</v>
      </c>
      <c r="O354" s="2498">
        <f t="shared" si="75"/>
        <v>7281.86</v>
      </c>
      <c r="P354" s="2295">
        <f t="shared" si="76"/>
        <v>1</v>
      </c>
    </row>
    <row r="355" spans="1:16" ht="30">
      <c r="A355" s="2265" t="s">
        <v>13017</v>
      </c>
      <c r="B355" s="2228">
        <f>VLOOKUP($A355,'11 - QT_ WB'!$A:$F,2,0)</f>
        <v>93358</v>
      </c>
      <c r="C355" s="2228" t="str">
        <f>VLOOKUP($A355,'11 - QT_ WB'!$A:$F,3,0)</f>
        <v>SINAPI</v>
      </c>
      <c r="D355" s="2333" t="s">
        <v>10648</v>
      </c>
      <c r="E355" s="2243" t="str">
        <f>IF($C355="SINAPI",VLOOKUP($B355,'24.08_ND'!$A:$D,3,0),IF($C355="PRÓPRIA",VLOOKUP($B355,'03-CP'!$C:$H,3,0)))</f>
        <v>M3</v>
      </c>
      <c r="F355" s="2230">
        <v>35</v>
      </c>
      <c r="G355" s="2232">
        <v>91.52</v>
      </c>
      <c r="H355" s="2332">
        <f t="shared" si="73"/>
        <v>3203.2</v>
      </c>
      <c r="I355" s="2328">
        <f t="shared" si="74"/>
        <v>0</v>
      </c>
      <c r="J355" s="2237"/>
      <c r="K355" s="2411"/>
      <c r="L355" s="2533">
        <f t="shared" si="77"/>
        <v>0</v>
      </c>
      <c r="M355" s="2238">
        <v>0</v>
      </c>
      <c r="N355" s="2239">
        <f t="shared" si="78"/>
        <v>0</v>
      </c>
      <c r="O355" s="2498">
        <f t="shared" si="75"/>
        <v>3203.2</v>
      </c>
      <c r="P355" s="2295">
        <f t="shared" si="76"/>
        <v>1</v>
      </c>
    </row>
    <row r="356" spans="1:16">
      <c r="A356" s="2265" t="s">
        <v>13018</v>
      </c>
      <c r="B356" s="2228">
        <f>VLOOKUP($A356,'11 - QT_ WB'!$A:$F,2,0)</f>
        <v>102718</v>
      </c>
      <c r="C356" s="2228" t="str">
        <f>VLOOKUP($A356,'11 - QT_ WB'!$A:$F,3,0)</f>
        <v>SINAPI</v>
      </c>
      <c r="D356" s="2333" t="s">
        <v>6482</v>
      </c>
      <c r="E356" s="2243" t="str">
        <f>IF($C356="SINAPI",VLOOKUP($B356,'24.08_ND'!$A:$D,3,0),IF($C356="PRÓPRIA",VLOOKUP($B356,'03-CP'!$C:$H,3,0)))</f>
        <v>M3</v>
      </c>
      <c r="F356" s="2230">
        <v>15</v>
      </c>
      <c r="G356" s="2232">
        <v>204.71</v>
      </c>
      <c r="H356" s="2332">
        <f t="shared" si="73"/>
        <v>3070.65</v>
      </c>
      <c r="I356" s="2328">
        <f t="shared" si="74"/>
        <v>0</v>
      </c>
      <c r="J356" s="2237"/>
      <c r="K356" s="2411"/>
      <c r="L356" s="2533">
        <f t="shared" si="77"/>
        <v>0</v>
      </c>
      <c r="M356" s="2238">
        <v>0</v>
      </c>
      <c r="N356" s="2239">
        <f t="shared" si="78"/>
        <v>0</v>
      </c>
      <c r="O356" s="2498">
        <f t="shared" si="75"/>
        <v>3070.65</v>
      </c>
      <c r="P356" s="2295">
        <f t="shared" si="76"/>
        <v>1</v>
      </c>
    </row>
    <row r="357" spans="1:16" ht="30">
      <c r="A357" s="2265" t="s">
        <v>13019</v>
      </c>
      <c r="B357" s="2228">
        <f>VLOOKUP($A357,'11 - QT_ WB'!$A:$F,2,0)</f>
        <v>93382</v>
      </c>
      <c r="C357" s="2228" t="str">
        <f>VLOOKUP($A357,'11 - QT_ WB'!$A:$F,3,0)</f>
        <v>SINAPI</v>
      </c>
      <c r="D357" s="2333" t="s">
        <v>10726</v>
      </c>
      <c r="E357" s="2243" t="str">
        <f>IF($C357="SINAPI",VLOOKUP($B357,'24.08_ND'!$A:$D,3,0),IF($C357="PRÓPRIA",VLOOKUP($B357,'03-CP'!$C:$H,3,0)))</f>
        <v>M3</v>
      </c>
      <c r="F357" s="2230">
        <v>25</v>
      </c>
      <c r="G357" s="2232">
        <v>26.88</v>
      </c>
      <c r="H357" s="2332">
        <f t="shared" si="73"/>
        <v>672</v>
      </c>
      <c r="I357" s="2328">
        <f t="shared" si="74"/>
        <v>0</v>
      </c>
      <c r="J357" s="2237"/>
      <c r="K357" s="2411"/>
      <c r="L357" s="2533">
        <f t="shared" si="77"/>
        <v>0</v>
      </c>
      <c r="M357" s="2238">
        <v>0</v>
      </c>
      <c r="N357" s="2239">
        <f t="shared" si="78"/>
        <v>0</v>
      </c>
      <c r="O357" s="2498">
        <f t="shared" si="75"/>
        <v>672</v>
      </c>
      <c r="P357" s="2295">
        <f t="shared" si="76"/>
        <v>1</v>
      </c>
    </row>
    <row r="358" spans="1:16">
      <c r="A358" s="2264" t="s">
        <v>13020</v>
      </c>
      <c r="B358" s="2223"/>
      <c r="C358" s="2223"/>
      <c r="D358" s="2376" t="s">
        <v>16318</v>
      </c>
      <c r="E358" s="2224"/>
      <c r="F358" s="2240"/>
      <c r="G358" s="2226"/>
      <c r="H358" s="2301">
        <f>SUBTOTAL(9,H359:H377)</f>
        <v>31868.9</v>
      </c>
      <c r="I358" s="2284"/>
      <c r="J358" s="2227"/>
      <c r="K358" s="2496"/>
      <c r="L358" s="2496"/>
      <c r="M358" s="2238"/>
      <c r="N358" s="2301">
        <f>SUBTOTAL(9,N359:N377)</f>
        <v>0</v>
      </c>
      <c r="O358" s="2301">
        <f>SUBTOTAL(9,O359:O377)</f>
        <v>31868.9</v>
      </c>
      <c r="P358" s="2293"/>
    </row>
    <row r="359" spans="1:16" ht="45">
      <c r="A359" s="2265" t="s">
        <v>13021</v>
      </c>
      <c r="B359" s="2228" t="str">
        <f>VLOOKUP($A359,'11 - QT_ WB'!$A:$F,2,0)</f>
        <v>CP-HSD-16</v>
      </c>
      <c r="C359" s="2228" t="str">
        <f>VLOOKUP($A359,'11 - QT_ WB'!$A:$F,3,0)</f>
        <v>PRÓPRIA</v>
      </c>
      <c r="D359" s="2333" t="s">
        <v>15389</v>
      </c>
      <c r="E359" s="2243" t="str">
        <f>IF($C359="SINAPI",VLOOKUP($B359,'24.08_ND'!$A:$D,3,0),IF($C359="PRÓPRIA",VLOOKUP($B359,'03-CP'!$C:$H,3,0)))</f>
        <v>UN</v>
      </c>
      <c r="F359" s="2230">
        <v>2</v>
      </c>
      <c r="G359" s="2232">
        <v>754.22</v>
      </c>
      <c r="H359" s="2332">
        <f t="shared" ref="H359:H377" si="79">TRUNC((G359*F359),2)</f>
        <v>1508.44</v>
      </c>
      <c r="I359" s="2287"/>
      <c r="J359" s="2231"/>
      <c r="K359" s="2412"/>
      <c r="L359" s="2533">
        <f t="shared" si="77"/>
        <v>0</v>
      </c>
      <c r="M359" s="2238">
        <v>0</v>
      </c>
      <c r="N359" s="2239">
        <f t="shared" si="78"/>
        <v>0</v>
      </c>
      <c r="O359" s="2498">
        <f t="shared" ref="O359:O377" si="80">H359-L359</f>
        <v>1508.44</v>
      </c>
      <c r="P359" s="2295">
        <f t="shared" ref="P359:P377" si="81">O359/H359</f>
        <v>1</v>
      </c>
    </row>
    <row r="360" spans="1:16" ht="60">
      <c r="A360" s="2265" t="s">
        <v>13022</v>
      </c>
      <c r="B360" s="2228" t="str">
        <f>VLOOKUP($A360,'11 - QT_ WB'!$A:$F,2,0)</f>
        <v>CP-HSD-17</v>
      </c>
      <c r="C360" s="2228" t="str">
        <f>VLOOKUP($A360,'11 - QT_ WB'!$A:$F,3,0)</f>
        <v>PRÓPRIA</v>
      </c>
      <c r="D360" s="2333" t="s">
        <v>15415</v>
      </c>
      <c r="E360" s="2243" t="str">
        <f>IF($C360="SINAPI",VLOOKUP($B360,'24.08_ND'!$A:$D,3,0),IF($C360="PRÓPRIA",VLOOKUP($B360,'03-CP'!$C:$H,3,0)))</f>
        <v>M</v>
      </c>
      <c r="F360" s="2230">
        <v>18</v>
      </c>
      <c r="G360" s="2232">
        <v>411.16</v>
      </c>
      <c r="H360" s="2332">
        <f t="shared" si="79"/>
        <v>7400.88</v>
      </c>
      <c r="I360" s="2287"/>
      <c r="J360" s="2231"/>
      <c r="K360" s="2412"/>
      <c r="L360" s="2533">
        <f t="shared" si="77"/>
        <v>0</v>
      </c>
      <c r="M360" s="2238">
        <v>0</v>
      </c>
      <c r="N360" s="2239">
        <f t="shared" si="78"/>
        <v>0</v>
      </c>
      <c r="O360" s="2498">
        <f t="shared" si="80"/>
        <v>7400.88</v>
      </c>
      <c r="P360" s="2295">
        <f t="shared" si="81"/>
        <v>1</v>
      </c>
    </row>
    <row r="361" spans="1:16" ht="30">
      <c r="A361" s="2265" t="s">
        <v>13023</v>
      </c>
      <c r="B361" s="2228">
        <f>VLOOKUP($A361,'11 - QT_ WB'!$A:$F,2,0)</f>
        <v>89520</v>
      </c>
      <c r="C361" s="2228" t="str">
        <f>VLOOKUP($A361,'11 - QT_ WB'!$A:$F,3,0)</f>
        <v>SINAPI</v>
      </c>
      <c r="D361" s="2333" t="s">
        <v>8773</v>
      </c>
      <c r="E361" s="2243" t="str">
        <f>IF($C361="SINAPI",VLOOKUP($B361,'24.08_ND'!$A:$D,3,0),IF($C361="PRÓPRIA",VLOOKUP($B361,'03-CP'!$C:$H,3,0)))</f>
        <v>UN</v>
      </c>
      <c r="F361" s="2230">
        <v>1</v>
      </c>
      <c r="G361" s="2232">
        <v>17.579999999999998</v>
      </c>
      <c r="H361" s="2332">
        <f t="shared" si="79"/>
        <v>17.579999999999998</v>
      </c>
      <c r="I361" s="2286"/>
      <c r="J361" s="2237"/>
      <c r="K361" s="2411"/>
      <c r="L361" s="2533">
        <f t="shared" si="77"/>
        <v>0</v>
      </c>
      <c r="M361" s="2238">
        <v>0</v>
      </c>
      <c r="N361" s="2239">
        <f t="shared" si="78"/>
        <v>0</v>
      </c>
      <c r="O361" s="2498">
        <f t="shared" si="80"/>
        <v>17.579999999999998</v>
      </c>
      <c r="P361" s="2295">
        <f t="shared" si="81"/>
        <v>1</v>
      </c>
    </row>
    <row r="362" spans="1:16" ht="45">
      <c r="A362" s="2265" t="s">
        <v>13024</v>
      </c>
      <c r="B362" s="2228">
        <f>VLOOKUP($A362,'11 - QT_ WB'!$A:$F,2,0)</f>
        <v>89585</v>
      </c>
      <c r="C362" s="2228" t="str">
        <f>VLOOKUP($A362,'11 - QT_ WB'!$A:$F,3,0)</f>
        <v>SINAPI</v>
      </c>
      <c r="D362" s="2333" t="s">
        <v>8829</v>
      </c>
      <c r="E362" s="2243" t="str">
        <f>IF($C362="SINAPI",VLOOKUP($B362,'24.08_ND'!$A:$D,3,0),IF($C362="PRÓPRIA",VLOOKUP($B362,'03-CP'!$C:$H,3,0)))</f>
        <v>UN</v>
      </c>
      <c r="F362" s="2230">
        <v>48</v>
      </c>
      <c r="G362" s="2232">
        <v>48.88</v>
      </c>
      <c r="H362" s="2332">
        <f t="shared" si="79"/>
        <v>2346.2399999999998</v>
      </c>
      <c r="I362" s="2286"/>
      <c r="J362" s="2237"/>
      <c r="K362" s="2411"/>
      <c r="L362" s="2533">
        <f t="shared" si="77"/>
        <v>0</v>
      </c>
      <c r="M362" s="2238">
        <v>0</v>
      </c>
      <c r="N362" s="2239">
        <f t="shared" si="78"/>
        <v>0</v>
      </c>
      <c r="O362" s="2498">
        <f t="shared" si="80"/>
        <v>2346.2399999999998</v>
      </c>
      <c r="P362" s="2295">
        <f t="shared" si="81"/>
        <v>1</v>
      </c>
    </row>
    <row r="363" spans="1:16" ht="45">
      <c r="A363" s="2265" t="s">
        <v>13025</v>
      </c>
      <c r="B363" s="2228">
        <f>VLOOKUP($A363,'11 - QT_ WB'!$A:$F,2,0)</f>
        <v>89591</v>
      </c>
      <c r="C363" s="2228" t="str">
        <f>VLOOKUP($A363,'11 - QT_ WB'!$A:$F,3,0)</f>
        <v>SINAPI</v>
      </c>
      <c r="D363" s="2333" t="s">
        <v>8832</v>
      </c>
      <c r="E363" s="2243" t="str">
        <f>IF($C363="SINAPI",VLOOKUP($B363,'24.08_ND'!$A:$D,3,0),IF($C363="PRÓPRIA",VLOOKUP($B363,'03-CP'!$C:$H,3,0)))</f>
        <v>UN</v>
      </c>
      <c r="F363" s="2230">
        <v>13</v>
      </c>
      <c r="G363" s="2232">
        <v>139.58000000000001</v>
      </c>
      <c r="H363" s="2332">
        <f t="shared" si="79"/>
        <v>1814.54</v>
      </c>
      <c r="I363" s="2286"/>
      <c r="J363" s="2237"/>
      <c r="K363" s="2411"/>
      <c r="L363" s="2533">
        <f t="shared" si="77"/>
        <v>0</v>
      </c>
      <c r="M363" s="2238">
        <v>0</v>
      </c>
      <c r="N363" s="2239">
        <f t="shared" si="78"/>
        <v>0</v>
      </c>
      <c r="O363" s="2498">
        <f t="shared" si="80"/>
        <v>1814.54</v>
      </c>
      <c r="P363" s="2295">
        <f t="shared" si="81"/>
        <v>1</v>
      </c>
    </row>
    <row r="364" spans="1:16" ht="30">
      <c r="A364" s="2265" t="s">
        <v>13026</v>
      </c>
      <c r="B364" s="2228">
        <f>VLOOKUP($A364,'11 - QT_ WB'!$A:$F,2,0)</f>
        <v>89545</v>
      </c>
      <c r="C364" s="2228" t="str">
        <f>VLOOKUP($A364,'11 - QT_ WB'!$A:$F,3,0)</f>
        <v>SINAPI</v>
      </c>
      <c r="D364" s="2333" t="s">
        <v>8792</v>
      </c>
      <c r="E364" s="2243" t="str">
        <f>IF($C364="SINAPI",VLOOKUP($B364,'24.08_ND'!$A:$D,3,0),IF($C364="PRÓPRIA",VLOOKUP($B364,'03-CP'!$C:$H,3,0)))</f>
        <v>UN</v>
      </c>
      <c r="F364" s="2230">
        <v>2</v>
      </c>
      <c r="G364" s="2232">
        <v>18.260000000000002</v>
      </c>
      <c r="H364" s="2332">
        <f t="shared" si="79"/>
        <v>36.520000000000003</v>
      </c>
      <c r="I364" s="2286"/>
      <c r="J364" s="2237"/>
      <c r="K364" s="2411"/>
      <c r="L364" s="2533">
        <f t="shared" si="77"/>
        <v>0</v>
      </c>
      <c r="M364" s="2238">
        <v>0</v>
      </c>
      <c r="N364" s="2239">
        <f t="shared" si="78"/>
        <v>0</v>
      </c>
      <c r="O364" s="2498">
        <f t="shared" si="80"/>
        <v>36.520000000000003</v>
      </c>
      <c r="P364" s="2295">
        <f t="shared" si="81"/>
        <v>1</v>
      </c>
    </row>
    <row r="365" spans="1:16" ht="30">
      <c r="A365" s="2265" t="s">
        <v>13027</v>
      </c>
      <c r="B365" s="2228">
        <f>VLOOKUP($A365,'11 - QT_ WB'!$A:$F,2,0)</f>
        <v>89554</v>
      </c>
      <c r="C365" s="2228" t="str">
        <f>VLOOKUP($A365,'11 - QT_ WB'!$A:$F,3,0)</f>
        <v>SINAPI</v>
      </c>
      <c r="D365" s="2333" t="s">
        <v>8801</v>
      </c>
      <c r="E365" s="2243" t="str">
        <f>IF($C365="SINAPI",VLOOKUP($B365,'24.08_ND'!$A:$D,3,0),IF($C365="PRÓPRIA",VLOOKUP($B365,'03-CP'!$C:$H,3,0)))</f>
        <v>UN</v>
      </c>
      <c r="F365" s="2230">
        <v>62</v>
      </c>
      <c r="G365" s="2232">
        <v>31.51</v>
      </c>
      <c r="H365" s="2332">
        <f t="shared" si="79"/>
        <v>1953.62</v>
      </c>
      <c r="I365" s="2286"/>
      <c r="J365" s="2237"/>
      <c r="K365" s="2411"/>
      <c r="L365" s="2533">
        <f t="shared" si="77"/>
        <v>0</v>
      </c>
      <c r="M365" s="2238">
        <v>0</v>
      </c>
      <c r="N365" s="2239">
        <f t="shared" si="78"/>
        <v>0</v>
      </c>
      <c r="O365" s="2498">
        <f t="shared" si="80"/>
        <v>1953.62</v>
      </c>
      <c r="P365" s="2295">
        <f t="shared" si="81"/>
        <v>1</v>
      </c>
    </row>
    <row r="366" spans="1:16" ht="30">
      <c r="A366" s="2265" t="s">
        <v>13028</v>
      </c>
      <c r="B366" s="2228">
        <f>VLOOKUP($A366,'11 - QT_ WB'!$A:$F,2,0)</f>
        <v>104170</v>
      </c>
      <c r="C366" s="2228" t="str">
        <f>VLOOKUP($A366,'11 - QT_ WB'!$A:$F,3,0)</f>
        <v>SINAPI</v>
      </c>
      <c r="D366" s="2333" t="s">
        <v>9876</v>
      </c>
      <c r="E366" s="2243" t="str">
        <f>IF($C366="SINAPI",VLOOKUP($B366,'24.08_ND'!$A:$D,3,0),IF($C366="PRÓPRIA",VLOOKUP($B366,'03-CP'!$C:$H,3,0)))</f>
        <v>UN</v>
      </c>
      <c r="F366" s="2230">
        <v>15</v>
      </c>
      <c r="G366" s="2232">
        <v>76.41</v>
      </c>
      <c r="H366" s="2332">
        <f t="shared" si="79"/>
        <v>1146.1500000000001</v>
      </c>
      <c r="I366" s="2286"/>
      <c r="J366" s="2237"/>
      <c r="K366" s="2411"/>
      <c r="L366" s="2533">
        <f t="shared" si="77"/>
        <v>0</v>
      </c>
      <c r="M366" s="2238">
        <v>0</v>
      </c>
      <c r="N366" s="2239">
        <f t="shared" si="78"/>
        <v>0</v>
      </c>
      <c r="O366" s="2498">
        <f t="shared" si="80"/>
        <v>1146.1500000000001</v>
      </c>
      <c r="P366" s="2295">
        <f t="shared" si="81"/>
        <v>1</v>
      </c>
    </row>
    <row r="367" spans="1:16" ht="30">
      <c r="A367" s="2265" t="s">
        <v>13029</v>
      </c>
      <c r="B367" s="2228">
        <f>VLOOKUP($A367,'11 - QT_ WB'!$A:$F,2,0)</f>
        <v>89529</v>
      </c>
      <c r="C367" s="2228" t="str">
        <f>VLOOKUP($A367,'11 - QT_ WB'!$A:$F,3,0)</f>
        <v>SINAPI</v>
      </c>
      <c r="D367" s="2333" t="s">
        <v>8782</v>
      </c>
      <c r="E367" s="2243" t="str">
        <f>IF($C367="SINAPI",VLOOKUP($B367,'24.08_ND'!$A:$D,3,0),IF($C367="PRÓPRIA",VLOOKUP($B367,'03-CP'!$C:$H,3,0)))</f>
        <v>UN</v>
      </c>
      <c r="F367" s="2230">
        <v>19</v>
      </c>
      <c r="G367" s="2232">
        <v>40.18</v>
      </c>
      <c r="H367" s="2332">
        <f t="shared" si="79"/>
        <v>763.42</v>
      </c>
      <c r="I367" s="2286"/>
      <c r="J367" s="2237"/>
      <c r="K367" s="2411"/>
      <c r="L367" s="2533">
        <f t="shared" si="77"/>
        <v>0</v>
      </c>
      <c r="M367" s="2238">
        <v>0</v>
      </c>
      <c r="N367" s="2239">
        <f t="shared" si="78"/>
        <v>0</v>
      </c>
      <c r="O367" s="2498">
        <f t="shared" si="80"/>
        <v>763.42</v>
      </c>
      <c r="P367" s="2295">
        <f t="shared" si="81"/>
        <v>1</v>
      </c>
    </row>
    <row r="368" spans="1:16" ht="30">
      <c r="A368" s="2265" t="s">
        <v>13030</v>
      </c>
      <c r="B368" s="2228" t="str">
        <f>VLOOKUP($A368,'11 - QT_ WB'!$A:$F,2,0)</f>
        <v>CP-HSD-03</v>
      </c>
      <c r="C368" s="2228" t="str">
        <f>VLOOKUP($A368,'11 - QT_ WB'!$A:$F,3,0)</f>
        <v>PRÓPRIA</v>
      </c>
      <c r="D368" s="2333" t="s">
        <v>15365</v>
      </c>
      <c r="E368" s="2243" t="str">
        <f>IF($C368="SINAPI",VLOOKUP($B368,'24.08_ND'!$A:$D,3,0),IF($C368="PRÓPRIA",VLOOKUP($B368,'03-CP'!$C:$H,3,0)))</f>
        <v>UN</v>
      </c>
      <c r="F368" s="2230">
        <v>2</v>
      </c>
      <c r="G368" s="2232">
        <v>57.17</v>
      </c>
      <c r="H368" s="2332">
        <f t="shared" si="79"/>
        <v>114.34</v>
      </c>
      <c r="I368" s="2287"/>
      <c r="J368" s="2231"/>
      <c r="K368" s="2412"/>
      <c r="L368" s="2533">
        <f t="shared" si="77"/>
        <v>0</v>
      </c>
      <c r="M368" s="2238">
        <v>0</v>
      </c>
      <c r="N368" s="2239">
        <f t="shared" si="78"/>
        <v>0</v>
      </c>
      <c r="O368" s="2498">
        <f t="shared" si="80"/>
        <v>114.34</v>
      </c>
      <c r="P368" s="2295">
        <f t="shared" si="81"/>
        <v>1</v>
      </c>
    </row>
    <row r="369" spans="1:16" ht="30">
      <c r="A369" s="2265" t="s">
        <v>13031</v>
      </c>
      <c r="B369" s="2228" t="str">
        <f>VLOOKUP($A369,'11 - QT_ WB'!$A:$F,2,0)</f>
        <v>CP-HSD-02</v>
      </c>
      <c r="C369" s="2228" t="str">
        <f>VLOOKUP($A369,'11 - QT_ WB'!$A:$F,3,0)</f>
        <v>PRÓPRIA</v>
      </c>
      <c r="D369" s="2333" t="s">
        <v>15363</v>
      </c>
      <c r="E369" s="2243" t="str">
        <f>IF($C369="SINAPI",VLOOKUP($B369,'24.08_ND'!$A:$D,3,0),IF($C369="PRÓPRIA",VLOOKUP($B369,'03-CP'!$C:$H,3,0)))</f>
        <v>UN</v>
      </c>
      <c r="F369" s="2230">
        <v>1</v>
      </c>
      <c r="G369" s="2232">
        <v>21.53</v>
      </c>
      <c r="H369" s="2332">
        <f t="shared" si="79"/>
        <v>21.53</v>
      </c>
      <c r="I369" s="2287"/>
      <c r="J369" s="2231"/>
      <c r="K369" s="2412"/>
      <c r="L369" s="2533">
        <f t="shared" si="77"/>
        <v>0</v>
      </c>
      <c r="M369" s="2238">
        <v>0</v>
      </c>
      <c r="N369" s="2239">
        <f t="shared" si="78"/>
        <v>0</v>
      </c>
      <c r="O369" s="2498">
        <f t="shared" si="80"/>
        <v>21.53</v>
      </c>
      <c r="P369" s="2295">
        <f t="shared" si="81"/>
        <v>1</v>
      </c>
    </row>
    <row r="370" spans="1:16" ht="45">
      <c r="A370" s="2265" t="s">
        <v>13032</v>
      </c>
      <c r="B370" s="2228" t="str">
        <f>VLOOKUP($A370,'11 - QT_ WB'!$A:$F,2,0)</f>
        <v>CP-HSD-06</v>
      </c>
      <c r="C370" s="2228" t="str">
        <f>VLOOKUP($A370,'11 - QT_ WB'!$A:$F,3,0)</f>
        <v>PRÓPRIA</v>
      </c>
      <c r="D370" s="2333" t="s">
        <v>15371</v>
      </c>
      <c r="E370" s="2243" t="str">
        <f>IF($C370="SINAPI",VLOOKUP($B370,'24.08_ND'!$A:$D,3,0),IF($C370="PRÓPRIA",VLOOKUP($B370,'03-CP'!$C:$H,3,0)))</f>
        <v>UN</v>
      </c>
      <c r="F370" s="2230">
        <v>1</v>
      </c>
      <c r="G370" s="2232">
        <v>49.12</v>
      </c>
      <c r="H370" s="2332">
        <f t="shared" si="79"/>
        <v>49.12</v>
      </c>
      <c r="I370" s="2287"/>
      <c r="J370" s="2231"/>
      <c r="K370" s="2412"/>
      <c r="L370" s="2533">
        <f t="shared" si="77"/>
        <v>0</v>
      </c>
      <c r="M370" s="2238">
        <v>0</v>
      </c>
      <c r="N370" s="2239">
        <f t="shared" si="78"/>
        <v>0</v>
      </c>
      <c r="O370" s="2498">
        <f t="shared" si="80"/>
        <v>49.12</v>
      </c>
      <c r="P370" s="2295">
        <f t="shared" si="81"/>
        <v>1</v>
      </c>
    </row>
    <row r="371" spans="1:16" ht="45">
      <c r="A371" s="2265" t="s">
        <v>13033</v>
      </c>
      <c r="B371" s="2228">
        <f>VLOOKUP($A371,'11 - QT_ WB'!$A:$F,2,0)</f>
        <v>89690</v>
      </c>
      <c r="C371" s="2228" t="str">
        <f>VLOOKUP($A371,'11 - QT_ WB'!$A:$F,3,0)</f>
        <v>SINAPI</v>
      </c>
      <c r="D371" s="2333" t="s">
        <v>8915</v>
      </c>
      <c r="E371" s="2243" t="str">
        <f>IF($C371="SINAPI",VLOOKUP($B371,'24.08_ND'!$A:$D,3,0),IF($C371="PRÓPRIA",VLOOKUP($B371,'03-CP'!$C:$H,3,0)))</f>
        <v>UN</v>
      </c>
      <c r="F371" s="2230">
        <v>3</v>
      </c>
      <c r="G371" s="2232">
        <v>95.85</v>
      </c>
      <c r="H371" s="2332">
        <f t="shared" si="79"/>
        <v>287.55</v>
      </c>
      <c r="I371" s="2286"/>
      <c r="J371" s="2237"/>
      <c r="K371" s="2411"/>
      <c r="L371" s="2533">
        <f t="shared" si="77"/>
        <v>0</v>
      </c>
      <c r="M371" s="2238">
        <v>0</v>
      </c>
      <c r="N371" s="2239">
        <f t="shared" si="78"/>
        <v>0</v>
      </c>
      <c r="O371" s="2498">
        <f t="shared" si="80"/>
        <v>287.55</v>
      </c>
      <c r="P371" s="2295">
        <f t="shared" si="81"/>
        <v>1</v>
      </c>
    </row>
    <row r="372" spans="1:16" ht="45">
      <c r="A372" s="2265" t="s">
        <v>13034</v>
      </c>
      <c r="B372" s="2228">
        <f>VLOOKUP($A372,'11 - QT_ WB'!$A:$F,2,0)</f>
        <v>89699</v>
      </c>
      <c r="C372" s="2228" t="str">
        <f>VLOOKUP($A372,'11 - QT_ WB'!$A:$F,3,0)</f>
        <v>SINAPI</v>
      </c>
      <c r="D372" s="2333" t="s">
        <v>8924</v>
      </c>
      <c r="E372" s="2243" t="str">
        <f>IF($C372="SINAPI",VLOOKUP($B372,'24.08_ND'!$A:$D,3,0),IF($C372="PRÓPRIA",VLOOKUP($B372,'03-CP'!$C:$H,3,0)))</f>
        <v>UN</v>
      </c>
      <c r="F372" s="2230">
        <v>2</v>
      </c>
      <c r="G372" s="2232">
        <v>212.95</v>
      </c>
      <c r="H372" s="2332">
        <f t="shared" si="79"/>
        <v>425.9</v>
      </c>
      <c r="I372" s="2286"/>
      <c r="J372" s="2237"/>
      <c r="K372" s="2411"/>
      <c r="L372" s="2533">
        <f t="shared" si="77"/>
        <v>0</v>
      </c>
      <c r="M372" s="2238">
        <v>0</v>
      </c>
      <c r="N372" s="2239">
        <f t="shared" si="78"/>
        <v>0</v>
      </c>
      <c r="O372" s="2498">
        <f t="shared" si="80"/>
        <v>425.9</v>
      </c>
      <c r="P372" s="2295">
        <f t="shared" si="81"/>
        <v>1</v>
      </c>
    </row>
    <row r="373" spans="1:16" ht="30">
      <c r="A373" s="2265" t="s">
        <v>13035</v>
      </c>
      <c r="B373" s="2228">
        <f>VLOOKUP($A373,'11 - QT_ WB'!$A:$F,2,0)</f>
        <v>89512</v>
      </c>
      <c r="C373" s="2228" t="str">
        <f>VLOOKUP($A373,'11 - QT_ WB'!$A:$F,3,0)</f>
        <v>SINAPI</v>
      </c>
      <c r="D373" s="2333" t="s">
        <v>8434</v>
      </c>
      <c r="E373" s="2243" t="str">
        <f>IF($C373="SINAPI",VLOOKUP($B373,'24.08_ND'!$A:$D,3,0),IF($C373="PRÓPRIA",VLOOKUP($B373,'03-CP'!$C:$H,3,0)))</f>
        <v>M</v>
      </c>
      <c r="F373" s="2230">
        <v>180</v>
      </c>
      <c r="G373" s="2232">
        <v>52.11</v>
      </c>
      <c r="H373" s="2332">
        <f t="shared" si="79"/>
        <v>9379.7999999999993</v>
      </c>
      <c r="I373" s="2286"/>
      <c r="J373" s="2237"/>
      <c r="K373" s="2411"/>
      <c r="L373" s="2533">
        <f t="shared" si="77"/>
        <v>0</v>
      </c>
      <c r="M373" s="2238">
        <v>0</v>
      </c>
      <c r="N373" s="2239">
        <f t="shared" si="78"/>
        <v>0</v>
      </c>
      <c r="O373" s="2498">
        <f t="shared" si="80"/>
        <v>9379.7999999999993</v>
      </c>
      <c r="P373" s="2295">
        <f t="shared" si="81"/>
        <v>1</v>
      </c>
    </row>
    <row r="374" spans="1:16" ht="30">
      <c r="A374" s="2265" t="s">
        <v>13036</v>
      </c>
      <c r="B374" s="2228">
        <f>VLOOKUP($A374,'11 - QT_ WB'!$A:$F,2,0)</f>
        <v>104166</v>
      </c>
      <c r="C374" s="2228" t="str">
        <f>VLOOKUP($A374,'11 - QT_ WB'!$A:$F,3,0)</f>
        <v>SINAPI</v>
      </c>
      <c r="D374" s="2333" t="s">
        <v>8651</v>
      </c>
      <c r="E374" s="2243" t="str">
        <f>IF($C374="SINAPI",VLOOKUP($B374,'24.08_ND'!$A:$D,3,0),IF($C374="PRÓPRIA",VLOOKUP($B374,'03-CP'!$C:$H,3,0)))</f>
        <v>M</v>
      </c>
      <c r="F374" s="2230">
        <v>50</v>
      </c>
      <c r="G374" s="2232">
        <v>78.41</v>
      </c>
      <c r="H374" s="2332">
        <f t="shared" si="79"/>
        <v>3920.5</v>
      </c>
      <c r="I374" s="2286"/>
      <c r="J374" s="2237"/>
      <c r="K374" s="2411"/>
      <c r="L374" s="2533">
        <f t="shared" si="77"/>
        <v>0</v>
      </c>
      <c r="M374" s="2238">
        <v>0</v>
      </c>
      <c r="N374" s="2239">
        <f t="shared" si="78"/>
        <v>0</v>
      </c>
      <c r="O374" s="2498">
        <f t="shared" si="80"/>
        <v>3920.5</v>
      </c>
      <c r="P374" s="2295">
        <f t="shared" si="81"/>
        <v>1</v>
      </c>
    </row>
    <row r="375" spans="1:16" ht="30">
      <c r="A375" s="2265" t="s">
        <v>13037</v>
      </c>
      <c r="B375" s="2228">
        <f>VLOOKUP($A375,'11 - QT_ WB'!$A:$F,2,0)</f>
        <v>89509</v>
      </c>
      <c r="C375" s="2228" t="str">
        <f>VLOOKUP($A375,'11 - QT_ WB'!$A:$F,3,0)</f>
        <v>SINAPI</v>
      </c>
      <c r="D375" s="2333" t="s">
        <v>8432</v>
      </c>
      <c r="E375" s="2243" t="str">
        <f>IF($C375="SINAPI",VLOOKUP($B375,'24.08_ND'!$A:$D,3,0),IF($C375="PRÓPRIA",VLOOKUP($B375,'03-CP'!$C:$H,3,0)))</f>
        <v>M</v>
      </c>
      <c r="F375" s="2230">
        <v>1</v>
      </c>
      <c r="G375" s="2232">
        <v>24.08</v>
      </c>
      <c r="H375" s="2332">
        <f t="shared" si="79"/>
        <v>24.08</v>
      </c>
      <c r="I375" s="2286"/>
      <c r="J375" s="2237"/>
      <c r="K375" s="2411"/>
      <c r="L375" s="2533">
        <f t="shared" si="77"/>
        <v>0</v>
      </c>
      <c r="M375" s="2238">
        <v>0</v>
      </c>
      <c r="N375" s="2239">
        <f t="shared" si="78"/>
        <v>0</v>
      </c>
      <c r="O375" s="2498">
        <f t="shared" si="80"/>
        <v>24.08</v>
      </c>
      <c r="P375" s="2295">
        <f t="shared" si="81"/>
        <v>1</v>
      </c>
    </row>
    <row r="376" spans="1:16" ht="30">
      <c r="A376" s="2265" t="s">
        <v>13038</v>
      </c>
      <c r="B376" s="2228" t="str">
        <f>VLOOKUP($A376,'11 - QT_ WB'!$A:$F,2,0)</f>
        <v>CP-HSD-25</v>
      </c>
      <c r="C376" s="2228" t="str">
        <f>VLOOKUP($A376,'11 - QT_ WB'!$A:$F,3,0)</f>
        <v>PRÓPRIA</v>
      </c>
      <c r="D376" s="2333" t="s">
        <v>15406</v>
      </c>
      <c r="E376" s="2243" t="str">
        <f>IF($C376="SINAPI",VLOOKUP($B376,'24.08_ND'!$A:$D,3,0),IF($C376="PRÓPRIA",VLOOKUP($B376,'03-CP'!$C:$H,3,0)))</f>
        <v>UN</v>
      </c>
      <c r="F376" s="2230">
        <v>1</v>
      </c>
      <c r="G376" s="2232">
        <v>19.649999999999999</v>
      </c>
      <c r="H376" s="2332">
        <f t="shared" si="79"/>
        <v>19.649999999999999</v>
      </c>
      <c r="I376" s="2287"/>
      <c r="J376" s="2231"/>
      <c r="K376" s="2412"/>
      <c r="L376" s="2533">
        <f t="shared" si="77"/>
        <v>0</v>
      </c>
      <c r="M376" s="2238">
        <v>0</v>
      </c>
      <c r="N376" s="2239">
        <f t="shared" si="78"/>
        <v>0</v>
      </c>
      <c r="O376" s="2498">
        <f t="shared" si="80"/>
        <v>19.649999999999999</v>
      </c>
      <c r="P376" s="2295">
        <f t="shared" si="81"/>
        <v>1</v>
      </c>
    </row>
    <row r="377" spans="1:16">
      <c r="A377" s="2265" t="s">
        <v>13039</v>
      </c>
      <c r="B377" s="2228" t="str">
        <f>VLOOKUP($A377,'11 - QT_ WB'!$A:$F,2,0)</f>
        <v>CP-HSD-26</v>
      </c>
      <c r="C377" s="2228" t="str">
        <f>VLOOKUP($A377,'11 - QT_ WB'!$A:$F,3,0)</f>
        <v>PRÓPRIA</v>
      </c>
      <c r="D377" s="2333" t="s">
        <v>15409</v>
      </c>
      <c r="E377" s="2243" t="str">
        <f>IF($C377="SINAPI",VLOOKUP($B377,'24.08_ND'!$A:$D,3,0),IF($C377="PRÓPRIA",VLOOKUP($B377,'03-CP'!$C:$H,3,0)))</f>
        <v>UN</v>
      </c>
      <c r="F377" s="2230">
        <v>8</v>
      </c>
      <c r="G377" s="2232">
        <v>79.88</v>
      </c>
      <c r="H377" s="2332">
        <f t="shared" si="79"/>
        <v>639.04</v>
      </c>
      <c r="I377" s="2287"/>
      <c r="J377" s="2231"/>
      <c r="K377" s="2412"/>
      <c r="L377" s="2533">
        <f t="shared" si="77"/>
        <v>0</v>
      </c>
      <c r="M377" s="2238">
        <v>0</v>
      </c>
      <c r="N377" s="2239">
        <f t="shared" si="78"/>
        <v>0</v>
      </c>
      <c r="O377" s="2498">
        <f t="shared" si="80"/>
        <v>639.04</v>
      </c>
      <c r="P377" s="2295">
        <f t="shared" si="81"/>
        <v>1</v>
      </c>
    </row>
    <row r="378" spans="1:16">
      <c r="A378" s="2263" t="s">
        <v>12627</v>
      </c>
      <c r="B378" s="2216"/>
      <c r="C378" s="2217"/>
      <c r="D378" s="2377" t="s">
        <v>16332</v>
      </c>
      <c r="E378" s="2218"/>
      <c r="F378" s="2241"/>
      <c r="G378" s="2220"/>
      <c r="H378" s="2300">
        <f>SUBTOTAL(9,H379:H492)</f>
        <v>85506.359999999957</v>
      </c>
      <c r="I378" s="2283"/>
      <c r="J378" s="2221"/>
      <c r="K378" s="2492"/>
      <c r="L378" s="2532">
        <f>SUBTOTAL(9,L379:L492)</f>
        <v>0</v>
      </c>
      <c r="M378" s="2300">
        <f>SUBTOTAL(9,M379:M492)</f>
        <v>0</v>
      </c>
      <c r="N378" s="2300">
        <f>SUBTOTAL(9,N379:N492)</f>
        <v>0</v>
      </c>
      <c r="O378" s="2300">
        <f>SUBTOTAL(9,O379:O492)</f>
        <v>85506.359999999957</v>
      </c>
      <c r="P378" s="2292"/>
    </row>
    <row r="379" spans="1:16">
      <c r="A379" s="2264" t="s">
        <v>13040</v>
      </c>
      <c r="B379" s="2223"/>
      <c r="C379" s="2223"/>
      <c r="D379" s="2376" t="s">
        <v>16333</v>
      </c>
      <c r="E379" s="2224"/>
      <c r="F379" s="2240"/>
      <c r="G379" s="2226"/>
      <c r="H379" s="2301">
        <f>SUBTOTAL(9,H380:H397)</f>
        <v>14540.349999999999</v>
      </c>
      <c r="I379" s="2284"/>
      <c r="J379" s="2227"/>
      <c r="K379" s="2496"/>
      <c r="L379" s="2534">
        <f>SUBTOTAL(9,L380:L397)</f>
        <v>0</v>
      </c>
      <c r="M379" s="2301">
        <f>SUBTOTAL(9,M380:M397)</f>
        <v>0</v>
      </c>
      <c r="N379" s="2301">
        <f>SUBTOTAL(9,N380:N397)</f>
        <v>0</v>
      </c>
      <c r="O379" s="2301">
        <f>SUBTOTAL(9,O380:O397)</f>
        <v>14540.349999999999</v>
      </c>
      <c r="P379" s="2293"/>
    </row>
    <row r="380" spans="1:16" ht="45">
      <c r="A380" s="2265" t="s">
        <v>13041</v>
      </c>
      <c r="B380" s="2228">
        <f>VLOOKUP($A380,'11 - QT_ WB'!$A:$F,2,0)</f>
        <v>91855</v>
      </c>
      <c r="C380" s="2228" t="str">
        <f>VLOOKUP($A380,'11 - QT_ WB'!$A:$F,3,0)</f>
        <v>SINAPI</v>
      </c>
      <c r="D380" s="2333" t="s">
        <v>7771</v>
      </c>
      <c r="E380" s="2243" t="str">
        <f>IF($C380="SINAPI",VLOOKUP($B380,'24.08_ND'!$A:$D,3,0),IF($C380="PRÓPRIA",VLOOKUP($B380,'03-CP'!$C:$H,3,0)))</f>
        <v>M</v>
      </c>
      <c r="F380" s="2230">
        <v>217</v>
      </c>
      <c r="G380" s="2232">
        <v>12.07</v>
      </c>
      <c r="H380" s="2332">
        <f t="shared" ref="H380:H397" si="82">TRUNC((G380*F380),2)</f>
        <v>2619.19</v>
      </c>
      <c r="I380" s="2286"/>
      <c r="J380" s="2237"/>
      <c r="K380" s="2411"/>
      <c r="L380" s="2533"/>
      <c r="M380" s="2238"/>
      <c r="N380" s="2239"/>
      <c r="O380" s="2498">
        <f t="shared" ref="O380:O397" si="83">H380-L380</f>
        <v>2619.19</v>
      </c>
      <c r="P380" s="2295">
        <f t="shared" ref="P380:P396" si="84">O380/H380</f>
        <v>1</v>
      </c>
    </row>
    <row r="381" spans="1:16" ht="45">
      <c r="A381" s="2265" t="s">
        <v>13042</v>
      </c>
      <c r="B381" s="2228">
        <f>VLOOKUP($A381,'11 - QT_ WB'!$A:$F,2,0)</f>
        <v>91857</v>
      </c>
      <c r="C381" s="2228" t="str">
        <f>VLOOKUP($A381,'11 - QT_ WB'!$A:$F,3,0)</f>
        <v>SINAPI</v>
      </c>
      <c r="D381" s="2333" t="s">
        <v>7773</v>
      </c>
      <c r="E381" s="2243" t="str">
        <f>IF($C381="SINAPI",VLOOKUP($B381,'24.08_ND'!$A:$D,3,0),IF($C381="PRÓPRIA",VLOOKUP($B381,'03-CP'!$C:$H,3,0)))</f>
        <v>M</v>
      </c>
      <c r="F381" s="2230">
        <v>5</v>
      </c>
      <c r="G381" s="2232">
        <v>17.25</v>
      </c>
      <c r="H381" s="2332">
        <f t="shared" si="82"/>
        <v>86.25</v>
      </c>
      <c r="I381" s="2286"/>
      <c r="J381" s="2237"/>
      <c r="K381" s="2411"/>
      <c r="L381" s="2533"/>
      <c r="M381" s="2238"/>
      <c r="N381" s="2239"/>
      <c r="O381" s="2498">
        <f t="shared" si="83"/>
        <v>86.25</v>
      </c>
      <c r="P381" s="2295">
        <f t="shared" si="84"/>
        <v>1</v>
      </c>
    </row>
    <row r="382" spans="1:16" ht="45">
      <c r="A382" s="2265" t="s">
        <v>13043</v>
      </c>
      <c r="B382" s="2228">
        <f>VLOOKUP($A382,'11 - QT_ WB'!$A:$F,2,0)</f>
        <v>97667</v>
      </c>
      <c r="C382" s="2228" t="str">
        <f>VLOOKUP($A382,'11 - QT_ WB'!$A:$F,3,0)</f>
        <v>SINAPI</v>
      </c>
      <c r="D382" s="2333" t="s">
        <v>7797</v>
      </c>
      <c r="E382" s="2243" t="str">
        <f>IF($C382="SINAPI",VLOOKUP($B382,'24.08_ND'!$A:$D,3,0),IF($C382="PRÓPRIA",VLOOKUP($B382,'03-CP'!$C:$H,3,0)))</f>
        <v>M</v>
      </c>
      <c r="F382" s="2230">
        <v>75</v>
      </c>
      <c r="G382" s="2232">
        <v>8.93</v>
      </c>
      <c r="H382" s="2332">
        <f t="shared" si="82"/>
        <v>669.75</v>
      </c>
      <c r="I382" s="2286"/>
      <c r="J382" s="2237"/>
      <c r="K382" s="2411"/>
      <c r="L382" s="2533"/>
      <c r="M382" s="2238"/>
      <c r="N382" s="2239"/>
      <c r="O382" s="2498">
        <f t="shared" si="83"/>
        <v>669.75</v>
      </c>
      <c r="P382" s="2295">
        <f t="shared" si="84"/>
        <v>1</v>
      </c>
    </row>
    <row r="383" spans="1:16" ht="45">
      <c r="A383" s="2265" t="s">
        <v>13044</v>
      </c>
      <c r="B383" s="2228">
        <f>VLOOKUP($A383,'11 - QT_ WB'!$A:$F,2,0)</f>
        <v>91871</v>
      </c>
      <c r="C383" s="2228" t="str">
        <f>VLOOKUP($A383,'11 - QT_ WB'!$A:$F,3,0)</f>
        <v>SINAPI</v>
      </c>
      <c r="D383" s="2333" t="s">
        <v>7786</v>
      </c>
      <c r="E383" s="2243" t="str">
        <f>IF($C383="SINAPI",VLOOKUP($B383,'24.08_ND'!$A:$D,3,0),IF($C383="PRÓPRIA",VLOOKUP($B383,'03-CP'!$C:$H,3,0)))</f>
        <v>M</v>
      </c>
      <c r="F383" s="2230">
        <v>60</v>
      </c>
      <c r="G383" s="2232">
        <v>15.61</v>
      </c>
      <c r="H383" s="2332">
        <f t="shared" si="82"/>
        <v>936.6</v>
      </c>
      <c r="I383" s="2286"/>
      <c r="J383" s="2237"/>
      <c r="K383" s="2411"/>
      <c r="L383" s="2533"/>
      <c r="M383" s="2238"/>
      <c r="N383" s="2239"/>
      <c r="O383" s="2498">
        <f t="shared" si="83"/>
        <v>936.6</v>
      </c>
      <c r="P383" s="2295">
        <f t="shared" si="84"/>
        <v>1</v>
      </c>
    </row>
    <row r="384" spans="1:16" ht="30">
      <c r="A384" s="2265" t="s">
        <v>13045</v>
      </c>
      <c r="B384" s="2228" t="str">
        <f>VLOOKUP($A384,'11 - QT_ WB'!$A:$F,2,0)</f>
        <v>CP-ELE-70</v>
      </c>
      <c r="C384" s="2228" t="str">
        <f>VLOOKUP($A384,'11 - QT_ WB'!$A:$F,3,0)</f>
        <v>PRÓPRIA</v>
      </c>
      <c r="D384" s="2333" t="s">
        <v>15113</v>
      </c>
      <c r="E384" s="2243" t="str">
        <f>IF($C384="SINAPI",VLOOKUP($B384,'24.08_ND'!$A:$D,3,0),IF($C384="PRÓPRIA",VLOOKUP($B384,'03-CP'!$C:$H,3,0)))</f>
        <v>UN</v>
      </c>
      <c r="F384" s="2230">
        <v>81</v>
      </c>
      <c r="G384" s="2232">
        <v>9.77</v>
      </c>
      <c r="H384" s="2332">
        <f t="shared" si="82"/>
        <v>791.37</v>
      </c>
      <c r="I384" s="2287"/>
      <c r="J384" s="2231"/>
      <c r="K384" s="2412"/>
      <c r="L384" s="2536"/>
      <c r="M384" s="2232"/>
      <c r="N384" s="2557"/>
      <c r="O384" s="2498">
        <f t="shared" si="83"/>
        <v>791.37</v>
      </c>
      <c r="P384" s="2295">
        <f t="shared" si="84"/>
        <v>1</v>
      </c>
    </row>
    <row r="385" spans="1:16" ht="45">
      <c r="A385" s="2265" t="s">
        <v>13046</v>
      </c>
      <c r="B385" s="2228">
        <f>VLOOKUP($A385,'11 - QT_ WB'!$A:$F,2,0)</f>
        <v>91884</v>
      </c>
      <c r="C385" s="2228" t="str">
        <f>VLOOKUP($A385,'11 - QT_ WB'!$A:$F,3,0)</f>
        <v>SINAPI</v>
      </c>
      <c r="D385" s="2333" t="s">
        <v>7810</v>
      </c>
      <c r="E385" s="2243" t="str">
        <f>IF($C385="SINAPI",VLOOKUP($B385,'24.08_ND'!$A:$D,3,0),IF($C385="PRÓPRIA",VLOOKUP($B385,'03-CP'!$C:$H,3,0)))</f>
        <v>UN</v>
      </c>
      <c r="F385" s="2230">
        <v>23</v>
      </c>
      <c r="G385" s="2232">
        <v>12.46</v>
      </c>
      <c r="H385" s="2332">
        <f t="shared" si="82"/>
        <v>286.58</v>
      </c>
      <c r="I385" s="2286"/>
      <c r="J385" s="2237"/>
      <c r="K385" s="2411"/>
      <c r="L385" s="2533"/>
      <c r="M385" s="2238"/>
      <c r="N385" s="2239"/>
      <c r="O385" s="2498">
        <f t="shared" si="83"/>
        <v>286.58</v>
      </c>
      <c r="P385" s="2295">
        <f t="shared" si="84"/>
        <v>1</v>
      </c>
    </row>
    <row r="386" spans="1:16" ht="45">
      <c r="A386" s="2265" t="s">
        <v>13047</v>
      </c>
      <c r="B386" s="2228">
        <f>VLOOKUP($A386,'11 - QT_ WB'!$A:$F,2,0)</f>
        <v>91872</v>
      </c>
      <c r="C386" s="2228" t="str">
        <f>VLOOKUP($A386,'11 - QT_ WB'!$A:$F,3,0)</f>
        <v>SINAPI</v>
      </c>
      <c r="D386" s="2333" t="s">
        <v>7787</v>
      </c>
      <c r="E386" s="2243" t="str">
        <f>IF($C386="SINAPI",VLOOKUP($B386,'24.08_ND'!$A:$D,3,0),IF($C386="PRÓPRIA",VLOOKUP($B386,'03-CP'!$C:$H,3,0)))</f>
        <v>M</v>
      </c>
      <c r="F386" s="2230">
        <v>12</v>
      </c>
      <c r="G386" s="2232">
        <v>20.010000000000002</v>
      </c>
      <c r="H386" s="2332">
        <f t="shared" si="82"/>
        <v>240.12</v>
      </c>
      <c r="I386" s="2286"/>
      <c r="J386" s="2237"/>
      <c r="K386" s="2411"/>
      <c r="L386" s="2533"/>
      <c r="M386" s="2238"/>
      <c r="N386" s="2239"/>
      <c r="O386" s="2498">
        <f t="shared" si="83"/>
        <v>240.12</v>
      </c>
      <c r="P386" s="2295">
        <f t="shared" si="84"/>
        <v>1</v>
      </c>
    </row>
    <row r="387" spans="1:16" ht="45">
      <c r="A387" s="2265" t="s">
        <v>13048</v>
      </c>
      <c r="B387" s="2228">
        <f>VLOOKUP($A387,'11 - QT_ WB'!$A:$F,2,0)</f>
        <v>91885</v>
      </c>
      <c r="C387" s="2228" t="str">
        <f>VLOOKUP($A387,'11 - QT_ WB'!$A:$F,3,0)</f>
        <v>SINAPI</v>
      </c>
      <c r="D387" s="2333" t="s">
        <v>7811</v>
      </c>
      <c r="E387" s="2243" t="str">
        <f>IF($C387="SINAPI",VLOOKUP($B387,'24.08_ND'!$A:$D,3,0),IF($C387="PRÓPRIA",VLOOKUP($B387,'03-CP'!$C:$H,3,0)))</f>
        <v>UN</v>
      </c>
      <c r="F387" s="2230">
        <v>5</v>
      </c>
      <c r="G387" s="2232">
        <v>14.31</v>
      </c>
      <c r="H387" s="2332">
        <f t="shared" si="82"/>
        <v>71.55</v>
      </c>
      <c r="I387" s="2286"/>
      <c r="J387" s="2237"/>
      <c r="K387" s="2411"/>
      <c r="L387" s="2533"/>
      <c r="M387" s="2238"/>
      <c r="N387" s="2239"/>
      <c r="O387" s="2498">
        <f t="shared" si="83"/>
        <v>71.55</v>
      </c>
      <c r="P387" s="2295">
        <f t="shared" si="84"/>
        <v>1</v>
      </c>
    </row>
    <row r="388" spans="1:16" ht="45">
      <c r="A388" s="2265" t="s">
        <v>13049</v>
      </c>
      <c r="B388" s="2228">
        <f>VLOOKUP($A388,'11 - QT_ WB'!$A:$F,2,0)</f>
        <v>91914</v>
      </c>
      <c r="C388" s="2228" t="str">
        <f>VLOOKUP($A388,'11 - QT_ WB'!$A:$F,3,0)</f>
        <v>SINAPI</v>
      </c>
      <c r="D388" s="2333" t="s">
        <v>7831</v>
      </c>
      <c r="E388" s="2243" t="str">
        <f>IF($C388="SINAPI",VLOOKUP($B388,'24.08_ND'!$A:$D,3,0),IF($C388="PRÓPRIA",VLOOKUP($B388,'03-CP'!$C:$H,3,0)))</f>
        <v>UN</v>
      </c>
      <c r="F388" s="2230">
        <v>21</v>
      </c>
      <c r="G388" s="2232">
        <v>19.95</v>
      </c>
      <c r="H388" s="2332">
        <f t="shared" si="82"/>
        <v>418.95</v>
      </c>
      <c r="I388" s="2286"/>
      <c r="J388" s="2237"/>
      <c r="K388" s="2411"/>
      <c r="L388" s="2533"/>
      <c r="M388" s="2238"/>
      <c r="N388" s="2239"/>
      <c r="O388" s="2498">
        <f t="shared" si="83"/>
        <v>418.95</v>
      </c>
      <c r="P388" s="2295">
        <f t="shared" si="84"/>
        <v>1</v>
      </c>
    </row>
    <row r="389" spans="1:16" ht="45">
      <c r="A389" s="2265" t="s">
        <v>13050</v>
      </c>
      <c r="B389" s="2228">
        <f>VLOOKUP($A389,'11 - QT_ WB'!$A:$F,2,0)</f>
        <v>91917</v>
      </c>
      <c r="C389" s="2228" t="str">
        <f>VLOOKUP($A389,'11 - QT_ WB'!$A:$F,3,0)</f>
        <v>SINAPI</v>
      </c>
      <c r="D389" s="2333" t="s">
        <v>7833</v>
      </c>
      <c r="E389" s="2243" t="str">
        <f>IF($C389="SINAPI",VLOOKUP($B389,'24.08_ND'!$A:$D,3,0),IF($C389="PRÓPRIA",VLOOKUP($B389,'03-CP'!$C:$H,3,0)))</f>
        <v>UN</v>
      </c>
      <c r="F389" s="2230">
        <v>4</v>
      </c>
      <c r="G389" s="2232">
        <v>23.66</v>
      </c>
      <c r="H389" s="2332">
        <f t="shared" si="82"/>
        <v>94.64</v>
      </c>
      <c r="I389" s="2286"/>
      <c r="J389" s="2237"/>
      <c r="K389" s="2411"/>
      <c r="L389" s="2533"/>
      <c r="M389" s="2238"/>
      <c r="N389" s="2239"/>
      <c r="O389" s="2498">
        <f t="shared" si="83"/>
        <v>94.64</v>
      </c>
      <c r="P389" s="2295">
        <f t="shared" si="84"/>
        <v>1</v>
      </c>
    </row>
    <row r="390" spans="1:16" ht="30">
      <c r="A390" s="2265" t="s">
        <v>13051</v>
      </c>
      <c r="B390" s="2228" t="str">
        <f>VLOOKUP($A390,'11 - QT_ WB'!$A:$F,2,0)</f>
        <v>CP-ELE-35</v>
      </c>
      <c r="C390" s="2228" t="str">
        <f>VLOOKUP($A390,'11 - QT_ WB'!$A:$F,3,0)</f>
        <v>PRÓPRIA</v>
      </c>
      <c r="D390" s="2333" t="s">
        <v>15115</v>
      </c>
      <c r="E390" s="2243" t="str">
        <f>IF($C390="SINAPI",VLOOKUP($B390,'24.08_ND'!$A:$D,3,0),IF($C390="PRÓPRIA",VLOOKUP($B390,'03-CP'!$C:$H,3,0)))</f>
        <v>M</v>
      </c>
      <c r="F390" s="2230">
        <v>15</v>
      </c>
      <c r="G390" s="2232">
        <v>26.31</v>
      </c>
      <c r="H390" s="2332">
        <f t="shared" si="82"/>
        <v>394.65</v>
      </c>
      <c r="I390" s="2287"/>
      <c r="J390" s="2231"/>
      <c r="K390" s="2412"/>
      <c r="L390" s="2536"/>
      <c r="M390" s="2232"/>
      <c r="N390" s="2557"/>
      <c r="O390" s="2498">
        <f t="shared" si="83"/>
        <v>394.65</v>
      </c>
      <c r="P390" s="2295">
        <f t="shared" si="84"/>
        <v>1</v>
      </c>
    </row>
    <row r="391" spans="1:16">
      <c r="A391" s="2265" t="s">
        <v>13052</v>
      </c>
      <c r="B391" s="2228" t="str">
        <f>VLOOKUP($A391,'11 - QT_ WB'!$A:$F,2,0)</f>
        <v>CP-ELE-94</v>
      </c>
      <c r="C391" s="2228" t="str">
        <f>VLOOKUP($A391,'11 - QT_ WB'!$A:$F,3,0)</f>
        <v>PRÓPRIA</v>
      </c>
      <c r="D391" s="2333" t="s">
        <v>15117</v>
      </c>
      <c r="E391" s="2243" t="str">
        <f>IF($C391="SINAPI",VLOOKUP($B391,'24.08_ND'!$A:$D,3,0),IF($C391="PRÓPRIA",VLOOKUP($B391,'03-CP'!$C:$H,3,0)))</f>
        <v>UN</v>
      </c>
      <c r="F391" s="2230">
        <v>6</v>
      </c>
      <c r="G391" s="2232">
        <v>6.17</v>
      </c>
      <c r="H391" s="2332">
        <f t="shared" si="82"/>
        <v>37.020000000000003</v>
      </c>
      <c r="I391" s="2287"/>
      <c r="J391" s="2231"/>
      <c r="K391" s="2412"/>
      <c r="L391" s="2536"/>
      <c r="M391" s="2232"/>
      <c r="N391" s="2557"/>
      <c r="O391" s="2498">
        <f t="shared" si="83"/>
        <v>37.020000000000003</v>
      </c>
      <c r="P391" s="2295">
        <f t="shared" si="84"/>
        <v>1</v>
      </c>
    </row>
    <row r="392" spans="1:16" ht="30">
      <c r="A392" s="2265" t="s">
        <v>13053</v>
      </c>
      <c r="B392" s="2228" t="str">
        <f>VLOOKUP($A392,'11 - QT_ WB'!$A:$F,2,0)</f>
        <v>CP-ELE-95</v>
      </c>
      <c r="C392" s="2228" t="str">
        <f>VLOOKUP($A392,'11 - QT_ WB'!$A:$F,3,0)</f>
        <v>PRÓPRIA</v>
      </c>
      <c r="D392" s="2333" t="s">
        <v>15119</v>
      </c>
      <c r="E392" s="2243" t="str">
        <f>IF($C392="SINAPI",VLOOKUP($B392,'24.08_ND'!$A:$D,3,0),IF($C392="PRÓPRIA",VLOOKUP($B392,'03-CP'!$C:$H,3,0)))</f>
        <v>UN</v>
      </c>
      <c r="F392" s="2230">
        <v>5</v>
      </c>
      <c r="G392" s="2232">
        <v>13.41</v>
      </c>
      <c r="H392" s="2332">
        <f t="shared" si="82"/>
        <v>67.05</v>
      </c>
      <c r="I392" s="2287"/>
      <c r="J392" s="2231"/>
      <c r="K392" s="2412"/>
      <c r="L392" s="2536"/>
      <c r="M392" s="2232"/>
      <c r="N392" s="2557"/>
      <c r="O392" s="2498">
        <f t="shared" si="83"/>
        <v>67.05</v>
      </c>
      <c r="P392" s="2295">
        <f t="shared" si="84"/>
        <v>1</v>
      </c>
    </row>
    <row r="393" spans="1:16" ht="30">
      <c r="A393" s="2265" t="s">
        <v>13054</v>
      </c>
      <c r="B393" s="2228" t="str">
        <f>VLOOKUP($A393,'11 - QT_ WB'!$A:$F,2,0)</f>
        <v>CP-ELE-36</v>
      </c>
      <c r="C393" s="2228" t="str">
        <f>VLOOKUP($A393,'11 - QT_ WB'!$A:$F,3,0)</f>
        <v>PRÓPRIA</v>
      </c>
      <c r="D393" s="2333" t="s">
        <v>15121</v>
      </c>
      <c r="E393" s="2243" t="str">
        <f>IF($C393="SINAPI",VLOOKUP($B393,'24.08_ND'!$A:$D,3,0),IF($C393="PRÓPRIA",VLOOKUP($B393,'03-CP'!$C:$H,3,0)))</f>
        <v>UN</v>
      </c>
      <c r="F393" s="2230">
        <v>3</v>
      </c>
      <c r="G393" s="2232">
        <v>17.75</v>
      </c>
      <c r="H393" s="2332">
        <f t="shared" si="82"/>
        <v>53.25</v>
      </c>
      <c r="I393" s="2287"/>
      <c r="J393" s="2231"/>
      <c r="K393" s="2412"/>
      <c r="L393" s="2536"/>
      <c r="M393" s="2232"/>
      <c r="N393" s="2557"/>
      <c r="O393" s="2498">
        <f t="shared" si="83"/>
        <v>53.25</v>
      </c>
      <c r="P393" s="2295">
        <f t="shared" si="84"/>
        <v>1</v>
      </c>
    </row>
    <row r="394" spans="1:16" ht="30">
      <c r="A394" s="2265" t="s">
        <v>13055</v>
      </c>
      <c r="B394" s="2228">
        <f>VLOOKUP($A394,'11 - QT_ WB'!$A:$F,2,0)</f>
        <v>93358</v>
      </c>
      <c r="C394" s="2228" t="str">
        <f>VLOOKUP($A394,'11 - QT_ WB'!$A:$F,3,0)</f>
        <v>SINAPI</v>
      </c>
      <c r="D394" s="2333" t="s">
        <v>10648</v>
      </c>
      <c r="E394" s="2243" t="str">
        <f>IF($C394="SINAPI",VLOOKUP($B394,'24.08_ND'!$A:$D,3,0),IF($C394="PRÓPRIA",VLOOKUP($B394,'03-CP'!$C:$H,3,0)))</f>
        <v>M3</v>
      </c>
      <c r="F394" s="2230">
        <v>17.5</v>
      </c>
      <c r="G394" s="2232">
        <v>91.52</v>
      </c>
      <c r="H394" s="2332">
        <f t="shared" si="82"/>
        <v>1601.6</v>
      </c>
      <c r="I394" s="2286"/>
      <c r="J394" s="2237"/>
      <c r="K394" s="2411"/>
      <c r="L394" s="2533"/>
      <c r="M394" s="2238"/>
      <c r="N394" s="2239"/>
      <c r="O394" s="2498">
        <f t="shared" si="83"/>
        <v>1601.6</v>
      </c>
      <c r="P394" s="2295">
        <f t="shared" si="84"/>
        <v>1</v>
      </c>
    </row>
    <row r="395" spans="1:16" ht="30">
      <c r="A395" s="2265" t="s">
        <v>13056</v>
      </c>
      <c r="B395" s="2228">
        <f>VLOOKUP($A395,'11 - QT_ WB'!$A:$F,2,0)</f>
        <v>93382</v>
      </c>
      <c r="C395" s="2228" t="str">
        <f>VLOOKUP($A395,'11 - QT_ WB'!$A:$F,3,0)</f>
        <v>SINAPI</v>
      </c>
      <c r="D395" s="2333" t="s">
        <v>10726</v>
      </c>
      <c r="E395" s="2243" t="str">
        <f>IF($C395="SINAPI",VLOOKUP($B395,'24.08_ND'!$A:$D,3,0),IF($C395="PRÓPRIA",VLOOKUP($B395,'03-CP'!$C:$H,3,0)))</f>
        <v>M3</v>
      </c>
      <c r="F395" s="2230">
        <v>19.25</v>
      </c>
      <c r="G395" s="2232">
        <v>26.88</v>
      </c>
      <c r="H395" s="2332">
        <f t="shared" si="82"/>
        <v>517.44000000000005</v>
      </c>
      <c r="I395" s="2286"/>
      <c r="J395" s="2237"/>
      <c r="K395" s="2411"/>
      <c r="L395" s="2533"/>
      <c r="M395" s="2238"/>
      <c r="N395" s="2239"/>
      <c r="O395" s="2498">
        <f t="shared" si="83"/>
        <v>517.44000000000005</v>
      </c>
      <c r="P395" s="2295">
        <f t="shared" si="84"/>
        <v>1</v>
      </c>
    </row>
    <row r="396" spans="1:16" ht="30">
      <c r="A396" s="2265" t="s">
        <v>13057</v>
      </c>
      <c r="B396" s="2228">
        <f>VLOOKUP($A396,'11 - QT_ WB'!$A:$F,2,0)</f>
        <v>90447</v>
      </c>
      <c r="C396" s="2228" t="str">
        <f>VLOOKUP($A396,'11 - QT_ WB'!$A:$F,3,0)</f>
        <v>SINAPI</v>
      </c>
      <c r="D396" s="2333" t="s">
        <v>10377</v>
      </c>
      <c r="E396" s="2243" t="str">
        <f>IF($C396="SINAPI",VLOOKUP($B396,'24.08_ND'!$A:$D,3,0),IF($C396="PRÓPRIA",VLOOKUP($B396,'03-CP'!$C:$H,3,0)))</f>
        <v>M</v>
      </c>
      <c r="F396" s="2230">
        <v>222</v>
      </c>
      <c r="G396" s="2232">
        <v>8.76</v>
      </c>
      <c r="H396" s="2332">
        <f t="shared" si="82"/>
        <v>1944.72</v>
      </c>
      <c r="I396" s="2286"/>
      <c r="J396" s="2237"/>
      <c r="K396" s="2411"/>
      <c r="L396" s="2533"/>
      <c r="M396" s="2238"/>
      <c r="N396" s="2239"/>
      <c r="O396" s="2498">
        <f t="shared" si="83"/>
        <v>1944.72</v>
      </c>
      <c r="P396" s="2295">
        <f t="shared" si="84"/>
        <v>1</v>
      </c>
    </row>
    <row r="397" spans="1:16" ht="45">
      <c r="A397" s="2265" t="s">
        <v>13058</v>
      </c>
      <c r="B397" s="2228">
        <f>VLOOKUP($A397,'11 - QT_ WB'!$A:$F,2,0)</f>
        <v>90466</v>
      </c>
      <c r="C397" s="2228" t="str">
        <f>VLOOKUP($A397,'11 - QT_ WB'!$A:$F,3,0)</f>
        <v>SINAPI</v>
      </c>
      <c r="D397" s="2333" t="s">
        <v>10391</v>
      </c>
      <c r="E397" s="2243" t="str">
        <f>IF($C397="SINAPI",VLOOKUP($B397,'24.08_ND'!$A:$D,3,0),IF($C397="PRÓPRIA",VLOOKUP($B397,'03-CP'!$C:$H,3,0)))</f>
        <v>M</v>
      </c>
      <c r="F397" s="2230">
        <v>222</v>
      </c>
      <c r="G397" s="2232">
        <v>16.71</v>
      </c>
      <c r="H397" s="2332">
        <f t="shared" si="82"/>
        <v>3709.62</v>
      </c>
      <c r="I397" s="2286"/>
      <c r="J397" s="2237"/>
      <c r="K397" s="2411"/>
      <c r="L397" s="2533"/>
      <c r="M397" s="2238"/>
      <c r="N397" s="2239"/>
      <c r="O397" s="2498">
        <f t="shared" si="83"/>
        <v>3709.62</v>
      </c>
      <c r="P397" s="2295">
        <f>O397/H397</f>
        <v>1</v>
      </c>
    </row>
    <row r="398" spans="1:16">
      <c r="A398" s="2264" t="s">
        <v>13059</v>
      </c>
      <c r="B398" s="2223"/>
      <c r="C398" s="2223"/>
      <c r="D398" s="2376" t="s">
        <v>16334</v>
      </c>
      <c r="E398" s="2224"/>
      <c r="F398" s="2240"/>
      <c r="G398" s="2226"/>
      <c r="H398" s="2301">
        <f>SUBTOTAL(9,H399:H408)</f>
        <v>2205.44</v>
      </c>
      <c r="I398" s="2284"/>
      <c r="J398" s="2227"/>
      <c r="K398" s="2496"/>
      <c r="L398" s="2534">
        <f>SUBTOTAL(9,L399:L408)</f>
        <v>0</v>
      </c>
      <c r="M398" s="2301">
        <f>SUBTOTAL(9,M399:M408)</f>
        <v>0</v>
      </c>
      <c r="N398" s="2301">
        <f>SUBTOTAL(9,N399:N408)</f>
        <v>0</v>
      </c>
      <c r="O398" s="2301">
        <f>SUBTOTAL(9,O399:O408)</f>
        <v>2205.44</v>
      </c>
      <c r="P398" s="2293">
        <f>O398/H398</f>
        <v>1</v>
      </c>
    </row>
    <row r="399" spans="1:16">
      <c r="A399" s="2265" t="s">
        <v>13060</v>
      </c>
      <c r="B399" s="2228" t="str">
        <f>VLOOKUP($A399,'11 - QT_ WB'!$A:$F,2,0)</f>
        <v>CP-ELE-65</v>
      </c>
      <c r="C399" s="2228" t="str">
        <f>VLOOKUP($A399,'11 - QT_ WB'!$A:$F,3,0)</f>
        <v>PRÓPRIA</v>
      </c>
      <c r="D399" s="2333" t="s">
        <v>15123</v>
      </c>
      <c r="E399" s="2243" t="str">
        <f>IF($C399="SINAPI",VLOOKUP($B399,'24.08_ND'!$A:$D,3,0),IF($C399="PRÓPRIA",VLOOKUP($B399,'03-CP'!$C:$H,3,0)))</f>
        <v>M</v>
      </c>
      <c r="F399" s="2230">
        <v>33</v>
      </c>
      <c r="G399" s="2232">
        <v>36.380000000000003</v>
      </c>
      <c r="H399" s="2332">
        <f t="shared" ref="H399:H408" si="85">TRUNC((G399*F399),2)</f>
        <v>1200.54</v>
      </c>
      <c r="I399" s="2287"/>
      <c r="J399" s="2231"/>
      <c r="K399" s="2412"/>
      <c r="L399" s="2536"/>
      <c r="M399" s="2232"/>
      <c r="N399" s="2557"/>
      <c r="O399" s="2498">
        <f t="shared" ref="O399:O408" si="86">H399-L399</f>
        <v>1200.54</v>
      </c>
      <c r="P399" s="2295">
        <f t="shared" ref="P399:P408" si="87">O399/H399</f>
        <v>1</v>
      </c>
    </row>
    <row r="400" spans="1:16" ht="30">
      <c r="A400" s="2265" t="s">
        <v>13061</v>
      </c>
      <c r="B400" s="2228" t="str">
        <f>VLOOKUP($A400,'11 - QT_ WB'!$A:$F,2,0)</f>
        <v>CP-ELE-19</v>
      </c>
      <c r="C400" s="2228" t="str">
        <f>VLOOKUP($A400,'11 - QT_ WB'!$A:$F,3,0)</f>
        <v>PRÓPRIA</v>
      </c>
      <c r="D400" s="2333" t="s">
        <v>15125</v>
      </c>
      <c r="E400" s="2243" t="str">
        <f>IF($C400="SINAPI",VLOOKUP($B400,'24.08_ND'!$A:$D,3,0),IF($C400="PRÓPRIA",VLOOKUP($B400,'03-CP'!$C:$H,3,0)))</f>
        <v>UN</v>
      </c>
      <c r="F400" s="2230">
        <v>11</v>
      </c>
      <c r="G400" s="2232">
        <v>13.75</v>
      </c>
      <c r="H400" s="2332">
        <f t="shared" si="85"/>
        <v>151.25</v>
      </c>
      <c r="I400" s="2287"/>
      <c r="J400" s="2231"/>
      <c r="K400" s="2412"/>
      <c r="L400" s="2536"/>
      <c r="M400" s="2232"/>
      <c r="N400" s="2557"/>
      <c r="O400" s="2498">
        <f t="shared" si="86"/>
        <v>151.25</v>
      </c>
      <c r="P400" s="2295">
        <f t="shared" si="87"/>
        <v>1</v>
      </c>
    </row>
    <row r="401" spans="1:16">
      <c r="A401" s="2265" t="s">
        <v>13062</v>
      </c>
      <c r="B401" s="2228" t="str">
        <f>VLOOKUP($A401,'11 - QT_ WB'!$A:$F,2,0)</f>
        <v>CP-ELE-11</v>
      </c>
      <c r="C401" s="2228" t="str">
        <f>VLOOKUP($A401,'11 - QT_ WB'!$A:$F,3,0)</f>
        <v>PRÓPRIA</v>
      </c>
      <c r="D401" s="2333" t="s">
        <v>15127</v>
      </c>
      <c r="E401" s="2243" t="str">
        <f>IF($C401="SINAPI",VLOOKUP($B401,'24.08_ND'!$A:$D,3,0),IF($C401="PRÓPRIA",VLOOKUP($B401,'03-CP'!$C:$H,3,0)))</f>
        <v>UN</v>
      </c>
      <c r="F401" s="2230">
        <v>3</v>
      </c>
      <c r="G401" s="2232">
        <v>17.899999999999999</v>
      </c>
      <c r="H401" s="2332">
        <f t="shared" si="85"/>
        <v>53.7</v>
      </c>
      <c r="I401" s="2287"/>
      <c r="J401" s="2231"/>
      <c r="K401" s="2412"/>
      <c r="L401" s="2536"/>
      <c r="M401" s="2232"/>
      <c r="N401" s="2557"/>
      <c r="O401" s="2498">
        <f t="shared" si="86"/>
        <v>53.7</v>
      </c>
      <c r="P401" s="2295">
        <f t="shared" si="87"/>
        <v>1</v>
      </c>
    </row>
    <row r="402" spans="1:16">
      <c r="A402" s="2265" t="s">
        <v>13063</v>
      </c>
      <c r="B402" s="2228" t="str">
        <f>VLOOKUP($A402,'11 - QT_ WB'!$A:$F,2,0)</f>
        <v>CP-ELE-96</v>
      </c>
      <c r="C402" s="2228" t="str">
        <f>VLOOKUP($A402,'11 - QT_ WB'!$A:$F,3,0)</f>
        <v>PRÓPRIA</v>
      </c>
      <c r="D402" s="2333" t="s">
        <v>15129</v>
      </c>
      <c r="E402" s="2243" t="str">
        <f>IF($C402="SINAPI",VLOOKUP($B402,'24.08_ND'!$A:$D,3,0),IF($C402="PRÓPRIA",VLOOKUP($B402,'03-CP'!$C:$H,3,0)))</f>
        <v>UN</v>
      </c>
      <c r="F402" s="2230">
        <v>1</v>
      </c>
      <c r="G402" s="2232">
        <v>17.23</v>
      </c>
      <c r="H402" s="2332">
        <f t="shared" si="85"/>
        <v>17.23</v>
      </c>
      <c r="I402" s="2287"/>
      <c r="J402" s="2231"/>
      <c r="K402" s="2412"/>
      <c r="L402" s="2536"/>
      <c r="M402" s="2232"/>
      <c r="N402" s="2557"/>
      <c r="O402" s="2498">
        <f t="shared" si="86"/>
        <v>17.23</v>
      </c>
      <c r="P402" s="2295">
        <f t="shared" si="87"/>
        <v>1</v>
      </c>
    </row>
    <row r="403" spans="1:16" ht="30">
      <c r="A403" s="2265" t="s">
        <v>13064</v>
      </c>
      <c r="B403" s="2228" t="str">
        <f>VLOOKUP($A403,'11 - QT_ WB'!$A:$F,2,0)</f>
        <v>CP-ELE-97</v>
      </c>
      <c r="C403" s="2228" t="str">
        <f>VLOOKUP($A403,'11 - QT_ WB'!$A:$F,3,0)</f>
        <v>PRÓPRIA</v>
      </c>
      <c r="D403" s="2333" t="s">
        <v>15131</v>
      </c>
      <c r="E403" s="2243" t="str">
        <f>IF($C403="SINAPI",VLOOKUP($B403,'24.08_ND'!$A:$D,3,0),IF($C403="PRÓPRIA",VLOOKUP($B403,'03-CP'!$C:$H,3,0)))</f>
        <v>UN</v>
      </c>
      <c r="F403" s="2230">
        <v>4</v>
      </c>
      <c r="G403" s="2232">
        <v>27.16</v>
      </c>
      <c r="H403" s="2332">
        <f t="shared" si="85"/>
        <v>108.64</v>
      </c>
      <c r="I403" s="2287"/>
      <c r="J403" s="2231"/>
      <c r="K403" s="2412"/>
      <c r="L403" s="2536"/>
      <c r="M403" s="2232"/>
      <c r="N403" s="2557"/>
      <c r="O403" s="2498">
        <f t="shared" si="86"/>
        <v>108.64</v>
      </c>
      <c r="P403" s="2295">
        <f t="shared" si="87"/>
        <v>1</v>
      </c>
    </row>
    <row r="404" spans="1:16" ht="30">
      <c r="A404" s="2265" t="s">
        <v>13065</v>
      </c>
      <c r="B404" s="2228" t="str">
        <f>VLOOKUP($A404,'11 - QT_ WB'!$A:$F,2,0)</f>
        <v>CP-ELE-98</v>
      </c>
      <c r="C404" s="2228" t="str">
        <f>VLOOKUP($A404,'11 - QT_ WB'!$A:$F,3,0)</f>
        <v>PRÓPRIA</v>
      </c>
      <c r="D404" s="2333" t="s">
        <v>15134</v>
      </c>
      <c r="E404" s="2243" t="str">
        <f>IF($C404="SINAPI",VLOOKUP($B404,'24.08_ND'!$A:$D,3,0),IF($C404="PRÓPRIA",VLOOKUP($B404,'03-CP'!$C:$H,3,0)))</f>
        <v>M</v>
      </c>
      <c r="F404" s="2230">
        <v>16</v>
      </c>
      <c r="G404" s="2232">
        <v>14.06</v>
      </c>
      <c r="H404" s="2332">
        <f t="shared" si="85"/>
        <v>224.96</v>
      </c>
      <c r="I404" s="2287"/>
      <c r="J404" s="2231"/>
      <c r="K404" s="2412"/>
      <c r="L404" s="2536"/>
      <c r="M404" s="2232"/>
      <c r="N404" s="2557"/>
      <c r="O404" s="2498">
        <f t="shared" si="86"/>
        <v>224.96</v>
      </c>
      <c r="P404" s="2295">
        <f t="shared" si="87"/>
        <v>1</v>
      </c>
    </row>
    <row r="405" spans="1:16" ht="30">
      <c r="A405" s="2265" t="s">
        <v>13066</v>
      </c>
      <c r="B405" s="2228" t="str">
        <f>VLOOKUP($A405,'11 - QT_ WB'!$A:$F,2,0)</f>
        <v>CP-ELE-99</v>
      </c>
      <c r="C405" s="2228" t="str">
        <f>VLOOKUP($A405,'11 - QT_ WB'!$A:$F,3,0)</f>
        <v>PRÓPRIA</v>
      </c>
      <c r="D405" s="2333" t="s">
        <v>15136</v>
      </c>
      <c r="E405" s="2243" t="str">
        <f>IF($C405="SINAPI",VLOOKUP($B405,'24.08_ND'!$A:$D,3,0),IF($C405="PRÓPRIA",VLOOKUP($B405,'03-CP'!$C:$H,3,0)))</f>
        <v>M</v>
      </c>
      <c r="F405" s="2230">
        <v>9</v>
      </c>
      <c r="G405" s="2232">
        <v>29.76</v>
      </c>
      <c r="H405" s="2332">
        <f t="shared" si="85"/>
        <v>267.83999999999997</v>
      </c>
      <c r="I405" s="2287"/>
      <c r="J405" s="2231"/>
      <c r="K405" s="2412"/>
      <c r="L405" s="2536"/>
      <c r="M405" s="2232"/>
      <c r="N405" s="2557"/>
      <c r="O405" s="2498">
        <f t="shared" si="86"/>
        <v>267.83999999999997</v>
      </c>
      <c r="P405" s="2295">
        <f t="shared" si="87"/>
        <v>1</v>
      </c>
    </row>
    <row r="406" spans="1:16" ht="30">
      <c r="A406" s="2265" t="s">
        <v>13067</v>
      </c>
      <c r="B406" s="2228" t="str">
        <f>VLOOKUP($A406,'11 - QT_ WB'!$A:$F,2,0)</f>
        <v>CP-ELE-22</v>
      </c>
      <c r="C406" s="2228" t="str">
        <f>VLOOKUP($A406,'11 - QT_ WB'!$A:$F,3,0)</f>
        <v>PRÓPRIA</v>
      </c>
      <c r="D406" s="2333" t="s">
        <v>15138</v>
      </c>
      <c r="E406" s="2243" t="str">
        <f>IF($C406="SINAPI",VLOOKUP($B406,'24.08_ND'!$A:$D,3,0),IF($C406="PRÓPRIA",VLOOKUP($B406,'03-CP'!$C:$H,3,0)))</f>
        <v xml:space="preserve">UN </v>
      </c>
      <c r="F406" s="2230">
        <v>2</v>
      </c>
      <c r="G406" s="2232">
        <v>16.48</v>
      </c>
      <c r="H406" s="2332">
        <f t="shared" si="85"/>
        <v>32.96</v>
      </c>
      <c r="I406" s="2287"/>
      <c r="J406" s="2231"/>
      <c r="K406" s="2412"/>
      <c r="L406" s="2536"/>
      <c r="M406" s="2232"/>
      <c r="N406" s="2557"/>
      <c r="O406" s="2498">
        <f t="shared" si="86"/>
        <v>32.96</v>
      </c>
      <c r="P406" s="2295">
        <f t="shared" si="87"/>
        <v>1</v>
      </c>
    </row>
    <row r="407" spans="1:16">
      <c r="A407" s="2265" t="s">
        <v>13068</v>
      </c>
      <c r="B407" s="2228" t="str">
        <f>VLOOKUP($A407,'11 - QT_ WB'!$A:$F,2,0)</f>
        <v>CP-ELE-64</v>
      </c>
      <c r="C407" s="2228" t="str">
        <f>VLOOKUP($A407,'11 - QT_ WB'!$A:$F,3,0)</f>
        <v>PRÓPRIA</v>
      </c>
      <c r="D407" s="2333" t="s">
        <v>15142</v>
      </c>
      <c r="E407" s="2243" t="str">
        <f>IF($C407="SINAPI",VLOOKUP($B407,'24.08_ND'!$A:$D,3,0),IF($C407="PRÓPRIA",VLOOKUP($B407,'03-CP'!$C:$H,3,0)))</f>
        <v>UN</v>
      </c>
      <c r="F407" s="2230">
        <v>4</v>
      </c>
      <c r="G407" s="2232">
        <v>15.33</v>
      </c>
      <c r="H407" s="2332">
        <f t="shared" si="85"/>
        <v>61.32</v>
      </c>
      <c r="I407" s="2287"/>
      <c r="J407" s="2231"/>
      <c r="K407" s="2412"/>
      <c r="L407" s="2536"/>
      <c r="M407" s="2232"/>
      <c r="N407" s="2557"/>
      <c r="O407" s="2498">
        <f t="shared" si="86"/>
        <v>61.32</v>
      </c>
      <c r="P407" s="2295">
        <f t="shared" si="87"/>
        <v>1</v>
      </c>
    </row>
    <row r="408" spans="1:16">
      <c r="A408" s="2265" t="s">
        <v>13069</v>
      </c>
      <c r="B408" s="2228" t="str">
        <f>VLOOKUP($A408,'11 - QT_ WB'!$A:$F,2,0)</f>
        <v>CP-ELE-100</v>
      </c>
      <c r="C408" s="2228" t="str">
        <f>VLOOKUP($A408,'11 - QT_ WB'!$A:$F,3,0)</f>
        <v>PRÓPRIA</v>
      </c>
      <c r="D408" s="2333" t="s">
        <v>15144</v>
      </c>
      <c r="E408" s="2243" t="str">
        <f>IF($C408="SINAPI",VLOOKUP($B408,'24.08_ND'!$A:$D,3,0),IF($C408="PRÓPRIA",VLOOKUP($B408,'03-CP'!$C:$H,3,0)))</f>
        <v>UN</v>
      </c>
      <c r="F408" s="2230">
        <v>4</v>
      </c>
      <c r="G408" s="2232">
        <v>21.75</v>
      </c>
      <c r="H408" s="2332">
        <f t="shared" si="85"/>
        <v>87</v>
      </c>
      <c r="I408" s="2287"/>
      <c r="J408" s="2231"/>
      <c r="K408" s="2412"/>
      <c r="L408" s="2536"/>
      <c r="M408" s="2232"/>
      <c r="N408" s="2557"/>
      <c r="O408" s="2498">
        <f t="shared" si="86"/>
        <v>87</v>
      </c>
      <c r="P408" s="2295">
        <f t="shared" si="87"/>
        <v>1</v>
      </c>
    </row>
    <row r="409" spans="1:16">
      <c r="A409" s="2264" t="s">
        <v>13070</v>
      </c>
      <c r="B409" s="2223"/>
      <c r="C409" s="2223"/>
      <c r="D409" s="2376" t="s">
        <v>16335</v>
      </c>
      <c r="E409" s="2224"/>
      <c r="F409" s="2240"/>
      <c r="G409" s="2226"/>
      <c r="H409" s="2301">
        <f>SUBTOTAL(9,H410:H416)</f>
        <v>3254.64</v>
      </c>
      <c r="I409" s="2284"/>
      <c r="J409" s="2227"/>
      <c r="K409" s="2496"/>
      <c r="L409" s="2534">
        <f>SUBTOTAL(9,L410:L416)</f>
        <v>0</v>
      </c>
      <c r="M409" s="2301">
        <f>SUBTOTAL(9,M410:M416)</f>
        <v>0</v>
      </c>
      <c r="N409" s="2301">
        <f>SUBTOTAL(9,N410:N416)</f>
        <v>0</v>
      </c>
      <c r="O409" s="2301">
        <f>SUBTOTAL(9,O410:O416)</f>
        <v>3254.64</v>
      </c>
      <c r="P409" s="2293"/>
    </row>
    <row r="410" spans="1:16" ht="45">
      <c r="A410" s="2265" t="s">
        <v>13071</v>
      </c>
      <c r="B410" s="2228">
        <f>VLOOKUP($A410,'11 - QT_ WB'!$A:$F,2,0)</f>
        <v>97886</v>
      </c>
      <c r="C410" s="2228" t="str">
        <f>VLOOKUP($A410,'11 - QT_ WB'!$A:$F,3,0)</f>
        <v>SINAPI</v>
      </c>
      <c r="D410" s="2333" t="s">
        <v>7935</v>
      </c>
      <c r="E410" s="2243" t="str">
        <f>IF($C410="SINAPI",VLOOKUP($B410,'24.08_ND'!$A:$D,3,0),IF($C410="PRÓPRIA",VLOOKUP($B410,'03-CP'!$C:$H,3,0)))</f>
        <v>UN</v>
      </c>
      <c r="F410" s="2230">
        <v>4</v>
      </c>
      <c r="G410" s="2232">
        <v>199.6</v>
      </c>
      <c r="H410" s="2332">
        <f t="shared" ref="H410:H416" si="88">TRUNC((G410*F410),2)</f>
        <v>798.4</v>
      </c>
      <c r="I410" s="2286"/>
      <c r="J410" s="2237"/>
      <c r="K410" s="2411"/>
      <c r="L410" s="2533"/>
      <c r="M410" s="2238"/>
      <c r="N410" s="2239"/>
      <c r="O410" s="2498">
        <f t="shared" ref="O410:O416" si="89">H410-L410</f>
        <v>798.4</v>
      </c>
      <c r="P410" s="2295">
        <f t="shared" ref="P410:P416" si="90">O410/H410</f>
        <v>1</v>
      </c>
    </row>
    <row r="411" spans="1:16" ht="30">
      <c r="A411" s="2265" t="s">
        <v>13072</v>
      </c>
      <c r="B411" s="2228">
        <f>VLOOKUP($A411,'11 - QT_ WB'!$A:$F,2,0)</f>
        <v>91939</v>
      </c>
      <c r="C411" s="2228" t="str">
        <f>VLOOKUP($A411,'11 - QT_ WB'!$A:$F,3,0)</f>
        <v>SINAPI</v>
      </c>
      <c r="D411" s="2333" t="s">
        <v>7885</v>
      </c>
      <c r="E411" s="2243" t="str">
        <f>IF($C411="SINAPI",VLOOKUP($B411,'24.08_ND'!$A:$D,3,0),IF($C411="PRÓPRIA",VLOOKUP($B411,'03-CP'!$C:$H,3,0)))</f>
        <v>UN</v>
      </c>
      <c r="F411" s="2230">
        <v>7</v>
      </c>
      <c r="G411" s="2232">
        <v>34.299999999999997</v>
      </c>
      <c r="H411" s="2332">
        <f t="shared" si="88"/>
        <v>240.1</v>
      </c>
      <c r="I411" s="2286"/>
      <c r="J411" s="2237"/>
      <c r="K411" s="2411"/>
      <c r="L411" s="2533"/>
      <c r="M411" s="2238"/>
      <c r="N411" s="2239"/>
      <c r="O411" s="2498">
        <f t="shared" si="89"/>
        <v>240.1</v>
      </c>
      <c r="P411" s="2295">
        <f t="shared" si="90"/>
        <v>1</v>
      </c>
    </row>
    <row r="412" spans="1:16" ht="30">
      <c r="A412" s="2265" t="s">
        <v>13073</v>
      </c>
      <c r="B412" s="2228">
        <f>VLOOKUP($A412,'11 - QT_ WB'!$A:$F,2,0)</f>
        <v>91940</v>
      </c>
      <c r="C412" s="2228" t="str">
        <f>VLOOKUP($A412,'11 - QT_ WB'!$A:$F,3,0)</f>
        <v>SINAPI</v>
      </c>
      <c r="D412" s="2333" t="s">
        <v>7886</v>
      </c>
      <c r="E412" s="2243" t="str">
        <f>IF($C412="SINAPI",VLOOKUP($B412,'24.08_ND'!$A:$D,3,0),IF($C412="PRÓPRIA",VLOOKUP($B412,'03-CP'!$C:$H,3,0)))</f>
        <v>UN</v>
      </c>
      <c r="F412" s="2230">
        <v>21</v>
      </c>
      <c r="G412" s="2232">
        <v>19.96</v>
      </c>
      <c r="H412" s="2332">
        <f t="shared" si="88"/>
        <v>419.16</v>
      </c>
      <c r="I412" s="2286"/>
      <c r="J412" s="2237"/>
      <c r="K412" s="2411"/>
      <c r="L412" s="2533"/>
      <c r="M412" s="2238"/>
      <c r="N412" s="2239"/>
      <c r="O412" s="2498">
        <f t="shared" si="89"/>
        <v>419.16</v>
      </c>
      <c r="P412" s="2295">
        <f t="shared" si="90"/>
        <v>1</v>
      </c>
    </row>
    <row r="413" spans="1:16" ht="30">
      <c r="A413" s="2265" t="s">
        <v>13074</v>
      </c>
      <c r="B413" s="2228">
        <f>VLOOKUP($A413,'11 - QT_ WB'!$A:$F,2,0)</f>
        <v>91941</v>
      </c>
      <c r="C413" s="2228" t="str">
        <f>VLOOKUP($A413,'11 - QT_ WB'!$A:$F,3,0)</f>
        <v>SINAPI</v>
      </c>
      <c r="D413" s="2333" t="s">
        <v>7887</v>
      </c>
      <c r="E413" s="2243" t="str">
        <f>IF($C413="SINAPI",VLOOKUP($B413,'24.08_ND'!$A:$D,3,0),IF($C413="PRÓPRIA",VLOOKUP($B413,'03-CP'!$C:$H,3,0)))</f>
        <v>UN</v>
      </c>
      <c r="F413" s="2230">
        <v>14</v>
      </c>
      <c r="G413" s="2232">
        <v>12.92</v>
      </c>
      <c r="H413" s="2332">
        <f t="shared" si="88"/>
        <v>180.88</v>
      </c>
      <c r="I413" s="2286"/>
      <c r="J413" s="2237"/>
      <c r="K413" s="2411"/>
      <c r="L413" s="2533"/>
      <c r="M413" s="2238"/>
      <c r="N413" s="2239"/>
      <c r="O413" s="2498">
        <f t="shared" si="89"/>
        <v>180.88</v>
      </c>
      <c r="P413" s="2295">
        <f t="shared" si="90"/>
        <v>1</v>
      </c>
    </row>
    <row r="414" spans="1:16" ht="30">
      <c r="A414" s="2265" t="s">
        <v>13075</v>
      </c>
      <c r="B414" s="2228" t="str">
        <f>VLOOKUP($A414,'11 - QT_ WB'!$A:$F,2,0)</f>
        <v>CP-ELE-104</v>
      </c>
      <c r="C414" s="2228" t="str">
        <f>VLOOKUP($A414,'11 - QT_ WB'!$A:$F,3,0)</f>
        <v>PRÓPRIA</v>
      </c>
      <c r="D414" s="2333" t="s">
        <v>15165</v>
      </c>
      <c r="E414" s="2243" t="str">
        <f>IF($C414="SINAPI",VLOOKUP($B414,'24.08_ND'!$A:$D,3,0),IF($C414="PRÓPRIA",VLOOKUP($B414,'03-CP'!$C:$H,3,0)))</f>
        <v>UN</v>
      </c>
      <c r="F414" s="2230">
        <v>1</v>
      </c>
      <c r="G414" s="2232">
        <v>149.12</v>
      </c>
      <c r="H414" s="2332">
        <f t="shared" si="88"/>
        <v>149.12</v>
      </c>
      <c r="I414" s="2287"/>
      <c r="J414" s="2231"/>
      <c r="K414" s="2412"/>
      <c r="L414" s="2536"/>
      <c r="M414" s="2232"/>
      <c r="N414" s="2557"/>
      <c r="O414" s="2498">
        <f t="shared" si="89"/>
        <v>149.12</v>
      </c>
      <c r="P414" s="2295">
        <f t="shared" si="90"/>
        <v>1</v>
      </c>
    </row>
    <row r="415" spans="1:16" ht="30">
      <c r="A415" s="2265" t="s">
        <v>13076</v>
      </c>
      <c r="B415" s="2228">
        <f>VLOOKUP($A415,'11 - QT_ WB'!$A:$F,2,0)</f>
        <v>100556</v>
      </c>
      <c r="C415" s="2228" t="str">
        <f>VLOOKUP($A415,'11 - QT_ WB'!$A:$F,3,0)</f>
        <v>SINAPI</v>
      </c>
      <c r="D415" s="2333" t="s">
        <v>8348</v>
      </c>
      <c r="E415" s="2243" t="str">
        <f>IF($C415="SINAPI",VLOOKUP($B415,'24.08_ND'!$A:$D,3,0),IF($C415="PRÓPRIA",VLOOKUP($B415,'03-CP'!$C:$H,3,0)))</f>
        <v>UN</v>
      </c>
      <c r="F415" s="2230">
        <v>2</v>
      </c>
      <c r="G415" s="2232">
        <v>51.41</v>
      </c>
      <c r="H415" s="2332">
        <f t="shared" si="88"/>
        <v>102.82</v>
      </c>
      <c r="I415" s="2286"/>
      <c r="J415" s="2237"/>
      <c r="K415" s="2411"/>
      <c r="L415" s="2533"/>
      <c r="M415" s="2238"/>
      <c r="N415" s="2239"/>
      <c r="O415" s="2498">
        <f t="shared" si="89"/>
        <v>102.82</v>
      </c>
      <c r="P415" s="2295">
        <f t="shared" si="90"/>
        <v>1</v>
      </c>
    </row>
    <row r="416" spans="1:16" ht="30">
      <c r="A416" s="2265" t="s">
        <v>13077</v>
      </c>
      <c r="B416" s="2228">
        <f>VLOOKUP($A416,'11 - QT_ WB'!$A:$F,2,0)</f>
        <v>95817</v>
      </c>
      <c r="C416" s="2228" t="str">
        <f>VLOOKUP($A416,'11 - QT_ WB'!$A:$F,3,0)</f>
        <v>SINAPI</v>
      </c>
      <c r="D416" s="2333" t="s">
        <v>7928</v>
      </c>
      <c r="E416" s="2243" t="str">
        <f>IF($C416="SINAPI",VLOOKUP($B416,'24.08_ND'!$A:$D,3,0),IF($C416="PRÓPRIA",VLOOKUP($B416,'03-CP'!$C:$H,3,0)))</f>
        <v>UN</v>
      </c>
      <c r="F416" s="2230">
        <v>32</v>
      </c>
      <c r="G416" s="2232">
        <v>42.63</v>
      </c>
      <c r="H416" s="2332">
        <f t="shared" si="88"/>
        <v>1364.16</v>
      </c>
      <c r="I416" s="2286"/>
      <c r="J416" s="2237"/>
      <c r="K416" s="2411"/>
      <c r="L416" s="2533"/>
      <c r="M416" s="2238"/>
      <c r="N416" s="2239"/>
      <c r="O416" s="2498">
        <f t="shared" si="89"/>
        <v>1364.16</v>
      </c>
      <c r="P416" s="2295">
        <f t="shared" si="90"/>
        <v>1</v>
      </c>
    </row>
    <row r="417" spans="1:16">
      <c r="A417" s="2264" t="s">
        <v>13078</v>
      </c>
      <c r="B417" s="2223"/>
      <c r="C417" s="2223"/>
      <c r="D417" s="2376" t="s">
        <v>16336</v>
      </c>
      <c r="E417" s="2224"/>
      <c r="F417" s="2240"/>
      <c r="G417" s="2226"/>
      <c r="H417" s="2301">
        <f>SUBTOTAL(9,H418:H430)</f>
        <v>2238.25</v>
      </c>
      <c r="I417" s="2284"/>
      <c r="J417" s="2227"/>
      <c r="K417" s="2496"/>
      <c r="L417" s="2534">
        <f>SUBTOTAL(9,L418:L430)</f>
        <v>0</v>
      </c>
      <c r="M417" s="2301">
        <f>SUBTOTAL(9,M418:M430)</f>
        <v>0</v>
      </c>
      <c r="N417" s="2301">
        <f>SUBTOTAL(9,N418:N430)</f>
        <v>0</v>
      </c>
      <c r="O417" s="2301">
        <f>SUBTOTAL(9,O418:O430)</f>
        <v>2238.25</v>
      </c>
      <c r="P417" s="2293"/>
    </row>
    <row r="418" spans="1:16" ht="30">
      <c r="A418" s="2265" t="s">
        <v>13079</v>
      </c>
      <c r="B418" s="2228">
        <f>VLOOKUP($A418,'11 - QT_ WB'!$A:$F,2,0)</f>
        <v>91953</v>
      </c>
      <c r="C418" s="2228" t="str">
        <f>VLOOKUP($A418,'11 - QT_ WB'!$A:$F,3,0)</f>
        <v>SINAPI</v>
      </c>
      <c r="D418" s="2333" t="s">
        <v>8012</v>
      </c>
      <c r="E418" s="2243" t="str">
        <f>IF($C418="SINAPI",VLOOKUP($B418,'24.08_ND'!$A:$D,3,0),IF($C418="PRÓPRIA",VLOOKUP($B418,'03-CP'!$C:$H,3,0)))</f>
        <v>UN</v>
      </c>
      <c r="F418" s="2230">
        <v>8</v>
      </c>
      <c r="G418" s="2232">
        <v>32.11</v>
      </c>
      <c r="H418" s="2332">
        <f t="shared" ref="H418:H430" si="91">TRUNC((G418*F418),2)</f>
        <v>256.88</v>
      </c>
      <c r="I418" s="2286"/>
      <c r="J418" s="2237"/>
      <c r="K418" s="2411"/>
      <c r="L418" s="2533"/>
      <c r="M418" s="2238"/>
      <c r="N418" s="2239"/>
      <c r="O418" s="2498">
        <f t="shared" ref="O418:O430" si="92">H418-L418</f>
        <v>256.88</v>
      </c>
      <c r="P418" s="2295">
        <f t="shared" ref="P418:P430" si="93">O418/H418</f>
        <v>1</v>
      </c>
    </row>
    <row r="419" spans="1:16" ht="30">
      <c r="A419" s="2265" t="s">
        <v>13080</v>
      </c>
      <c r="B419" s="2228">
        <f>VLOOKUP($A419,'11 - QT_ WB'!$A:$F,2,0)</f>
        <v>91959</v>
      </c>
      <c r="C419" s="2228" t="str">
        <f>VLOOKUP($A419,'11 - QT_ WB'!$A:$F,3,0)</f>
        <v>SINAPI</v>
      </c>
      <c r="D419" s="2333" t="s">
        <v>8018</v>
      </c>
      <c r="E419" s="2243" t="str">
        <f>IF($C419="SINAPI",VLOOKUP($B419,'24.08_ND'!$A:$D,3,0),IF($C419="PRÓPRIA",VLOOKUP($B419,'03-CP'!$C:$H,3,0)))</f>
        <v>UN</v>
      </c>
      <c r="F419" s="2230">
        <v>1</v>
      </c>
      <c r="G419" s="2232">
        <v>48.95</v>
      </c>
      <c r="H419" s="2332">
        <f t="shared" si="91"/>
        <v>48.95</v>
      </c>
      <c r="I419" s="2286"/>
      <c r="J419" s="2237"/>
      <c r="K419" s="2411"/>
      <c r="L419" s="2533"/>
      <c r="M419" s="2238"/>
      <c r="N419" s="2239"/>
      <c r="O419" s="2498">
        <f t="shared" si="92"/>
        <v>48.95</v>
      </c>
      <c r="P419" s="2295">
        <f t="shared" si="93"/>
        <v>1</v>
      </c>
    </row>
    <row r="420" spans="1:16" ht="30">
      <c r="A420" s="2265" t="s">
        <v>13081</v>
      </c>
      <c r="B420" s="2228">
        <f>VLOOKUP($A420,'11 - QT_ WB'!$A:$F,2,0)</f>
        <v>91967</v>
      </c>
      <c r="C420" s="2228" t="str">
        <f>VLOOKUP($A420,'11 - QT_ WB'!$A:$F,3,0)</f>
        <v>SINAPI</v>
      </c>
      <c r="D420" s="2333" t="s">
        <v>8026</v>
      </c>
      <c r="E420" s="2243" t="str">
        <f>IF($C420="SINAPI",VLOOKUP($B420,'24.08_ND'!$A:$D,3,0),IF($C420="PRÓPRIA",VLOOKUP($B420,'03-CP'!$C:$H,3,0)))</f>
        <v>UN</v>
      </c>
      <c r="F420" s="2230">
        <v>1</v>
      </c>
      <c r="G420" s="2232">
        <v>65.8</v>
      </c>
      <c r="H420" s="2332">
        <f t="shared" si="91"/>
        <v>65.8</v>
      </c>
      <c r="I420" s="2286"/>
      <c r="J420" s="2237"/>
      <c r="K420" s="2411"/>
      <c r="L420" s="2533"/>
      <c r="M420" s="2238"/>
      <c r="N420" s="2239"/>
      <c r="O420" s="2498">
        <f t="shared" si="92"/>
        <v>65.8</v>
      </c>
      <c r="P420" s="2295">
        <f t="shared" si="93"/>
        <v>1</v>
      </c>
    </row>
    <row r="421" spans="1:16" ht="30">
      <c r="A421" s="2265" t="s">
        <v>13082</v>
      </c>
      <c r="B421" s="2228">
        <f>VLOOKUP($A421,'11 - QT_ WB'!$A:$F,2,0)</f>
        <v>91985</v>
      </c>
      <c r="C421" s="2228" t="str">
        <f>VLOOKUP($A421,'11 - QT_ WB'!$A:$F,3,0)</f>
        <v>SINAPI</v>
      </c>
      <c r="D421" s="2333" t="s">
        <v>8044</v>
      </c>
      <c r="E421" s="2243" t="str">
        <f>IF($C421="SINAPI",VLOOKUP($B421,'24.08_ND'!$A:$D,3,0),IF($C421="PRÓPRIA",VLOOKUP($B421,'03-CP'!$C:$H,3,0)))</f>
        <v>UN</v>
      </c>
      <c r="F421" s="2230">
        <v>2</v>
      </c>
      <c r="G421" s="2232">
        <v>30.9</v>
      </c>
      <c r="H421" s="2332">
        <f t="shared" si="91"/>
        <v>61.8</v>
      </c>
      <c r="I421" s="2286"/>
      <c r="J421" s="2237"/>
      <c r="K421" s="2411"/>
      <c r="L421" s="2533"/>
      <c r="M421" s="2238"/>
      <c r="N421" s="2239"/>
      <c r="O421" s="2498">
        <f t="shared" si="92"/>
        <v>61.8</v>
      </c>
      <c r="P421" s="2295">
        <f t="shared" si="93"/>
        <v>1</v>
      </c>
    </row>
    <row r="422" spans="1:16" ht="30">
      <c r="A422" s="2265" t="s">
        <v>13083</v>
      </c>
      <c r="B422" s="2228">
        <f>VLOOKUP($A422,'11 - QT_ WB'!$A:$F,2,0)</f>
        <v>91987</v>
      </c>
      <c r="C422" s="2228" t="str">
        <f>VLOOKUP($A422,'11 - QT_ WB'!$A:$F,3,0)</f>
        <v>SINAPI</v>
      </c>
      <c r="D422" s="2333" t="s">
        <v>8046</v>
      </c>
      <c r="E422" s="2243" t="str">
        <f>IF($C422="SINAPI",VLOOKUP($B422,'24.08_ND'!$A:$D,3,0),IF($C422="PRÓPRIA",VLOOKUP($B422,'03-CP'!$C:$H,3,0)))</f>
        <v>UN</v>
      </c>
      <c r="F422" s="2230">
        <v>2</v>
      </c>
      <c r="G422" s="2232">
        <v>51.72</v>
      </c>
      <c r="H422" s="2332">
        <f t="shared" si="91"/>
        <v>103.44</v>
      </c>
      <c r="I422" s="2286"/>
      <c r="J422" s="2237"/>
      <c r="K422" s="2411"/>
      <c r="L422" s="2533"/>
      <c r="M422" s="2238"/>
      <c r="N422" s="2239"/>
      <c r="O422" s="2498">
        <f t="shared" si="92"/>
        <v>103.44</v>
      </c>
      <c r="P422" s="2295">
        <f t="shared" si="93"/>
        <v>1</v>
      </c>
    </row>
    <row r="423" spans="1:16">
      <c r="A423" s="2265" t="s">
        <v>13084</v>
      </c>
      <c r="B423" s="2228" t="str">
        <f>VLOOKUP($A423,'11 - QT_ WB'!$A:$F,2,0)</f>
        <v>CP-ELE-56</v>
      </c>
      <c r="C423" s="2228" t="str">
        <f>VLOOKUP($A423,'11 - QT_ WB'!$A:$F,3,0)</f>
        <v>PRÓPRIA</v>
      </c>
      <c r="D423" s="2333" t="s">
        <v>15146</v>
      </c>
      <c r="E423" s="2243" t="str">
        <f>IF($C423="SINAPI",VLOOKUP($B423,'24.08_ND'!$A:$D,3,0),IF($C423="PRÓPRIA",VLOOKUP($B423,'03-CP'!$C:$H,3,0)))</f>
        <v>UN</v>
      </c>
      <c r="F423" s="2230">
        <v>25</v>
      </c>
      <c r="G423" s="2232">
        <v>10.63</v>
      </c>
      <c r="H423" s="2332">
        <f t="shared" si="91"/>
        <v>265.75</v>
      </c>
      <c r="I423" s="2287"/>
      <c r="J423" s="2231"/>
      <c r="K423" s="2412"/>
      <c r="L423" s="2536"/>
      <c r="M423" s="2232"/>
      <c r="N423" s="2557"/>
      <c r="O423" s="2498">
        <f t="shared" si="92"/>
        <v>265.75</v>
      </c>
      <c r="P423" s="2295">
        <f t="shared" si="93"/>
        <v>1</v>
      </c>
    </row>
    <row r="424" spans="1:16" ht="30">
      <c r="A424" s="2265" t="s">
        <v>13085</v>
      </c>
      <c r="B424" s="2228">
        <f>VLOOKUP($A424,'11 - QT_ WB'!$A:$F,2,0)</f>
        <v>91992</v>
      </c>
      <c r="C424" s="2228" t="str">
        <f>VLOOKUP($A424,'11 - QT_ WB'!$A:$F,3,0)</f>
        <v>SINAPI</v>
      </c>
      <c r="D424" s="2333" t="s">
        <v>8051</v>
      </c>
      <c r="E424" s="2243" t="str">
        <f>IF($C424="SINAPI",VLOOKUP($B424,'24.08_ND'!$A:$D,3,0),IF($C424="PRÓPRIA",VLOOKUP($B424,'03-CP'!$C:$H,3,0)))</f>
        <v>UN</v>
      </c>
      <c r="F424" s="2230">
        <v>3</v>
      </c>
      <c r="G424" s="2232">
        <v>48.6</v>
      </c>
      <c r="H424" s="2332">
        <f t="shared" si="91"/>
        <v>145.80000000000001</v>
      </c>
      <c r="I424" s="2286"/>
      <c r="J424" s="2237"/>
      <c r="K424" s="2411"/>
      <c r="L424" s="2533"/>
      <c r="M424" s="2238"/>
      <c r="N424" s="2239"/>
      <c r="O424" s="2498">
        <f t="shared" si="92"/>
        <v>145.80000000000001</v>
      </c>
      <c r="P424" s="2295">
        <f t="shared" si="93"/>
        <v>1</v>
      </c>
    </row>
    <row r="425" spans="1:16" ht="30">
      <c r="A425" s="2265" t="s">
        <v>13086</v>
      </c>
      <c r="B425" s="2228">
        <f>VLOOKUP($A425,'11 - QT_ WB'!$A:$F,2,0)</f>
        <v>91996</v>
      </c>
      <c r="C425" s="2228" t="str">
        <f>VLOOKUP($A425,'11 - QT_ WB'!$A:$F,3,0)</f>
        <v>SINAPI</v>
      </c>
      <c r="D425" s="2333" t="s">
        <v>8055</v>
      </c>
      <c r="E425" s="2243" t="str">
        <f>IF($C425="SINAPI",VLOOKUP($B425,'24.08_ND'!$A:$D,3,0),IF($C425="PRÓPRIA",VLOOKUP($B425,'03-CP'!$C:$H,3,0)))</f>
        <v>UN</v>
      </c>
      <c r="F425" s="2230">
        <v>5</v>
      </c>
      <c r="G425" s="2232">
        <v>37.85</v>
      </c>
      <c r="H425" s="2332">
        <f t="shared" si="91"/>
        <v>189.25</v>
      </c>
      <c r="I425" s="2286"/>
      <c r="J425" s="2237"/>
      <c r="K425" s="2411"/>
      <c r="L425" s="2533"/>
      <c r="M425" s="2238"/>
      <c r="N425" s="2239"/>
      <c r="O425" s="2498">
        <f t="shared" si="92"/>
        <v>189.25</v>
      </c>
      <c r="P425" s="2295">
        <f t="shared" si="93"/>
        <v>1</v>
      </c>
    </row>
    <row r="426" spans="1:16" ht="30">
      <c r="A426" s="2265" t="s">
        <v>13087</v>
      </c>
      <c r="B426" s="2228">
        <f>VLOOKUP($A426,'11 - QT_ WB'!$A:$F,2,0)</f>
        <v>92004</v>
      </c>
      <c r="C426" s="2228" t="str">
        <f>VLOOKUP($A426,'11 - QT_ WB'!$A:$F,3,0)</f>
        <v>SINAPI</v>
      </c>
      <c r="D426" s="2333" t="s">
        <v>8063</v>
      </c>
      <c r="E426" s="2243" t="str">
        <f>IF($C426="SINAPI",VLOOKUP($B426,'24.08_ND'!$A:$D,3,0),IF($C426="PRÓPRIA",VLOOKUP($B426,'03-CP'!$C:$H,3,0)))</f>
        <v>UN</v>
      </c>
      <c r="F426" s="2230">
        <v>6</v>
      </c>
      <c r="G426" s="2232">
        <v>60.42</v>
      </c>
      <c r="H426" s="2332">
        <f t="shared" si="91"/>
        <v>362.52</v>
      </c>
      <c r="I426" s="2286"/>
      <c r="J426" s="2237"/>
      <c r="K426" s="2411"/>
      <c r="L426" s="2533"/>
      <c r="M426" s="2238"/>
      <c r="N426" s="2239"/>
      <c r="O426" s="2498">
        <f t="shared" si="92"/>
        <v>362.52</v>
      </c>
      <c r="P426" s="2295">
        <f t="shared" si="93"/>
        <v>1</v>
      </c>
    </row>
    <row r="427" spans="1:16" ht="30">
      <c r="A427" s="2265" t="s">
        <v>13088</v>
      </c>
      <c r="B427" s="2228">
        <f>VLOOKUP($A427,'11 - QT_ WB'!$A:$F,2,0)</f>
        <v>92000</v>
      </c>
      <c r="C427" s="2228" t="str">
        <f>VLOOKUP($A427,'11 - QT_ WB'!$A:$F,3,0)</f>
        <v>SINAPI</v>
      </c>
      <c r="D427" s="2333" t="s">
        <v>8059</v>
      </c>
      <c r="E427" s="2243" t="str">
        <f>IF($C427="SINAPI",VLOOKUP($B427,'24.08_ND'!$A:$D,3,0),IF($C427="PRÓPRIA",VLOOKUP($B427,'03-CP'!$C:$H,3,0)))</f>
        <v>UN</v>
      </c>
      <c r="F427" s="2230">
        <v>11</v>
      </c>
      <c r="G427" s="2232">
        <v>33.68</v>
      </c>
      <c r="H427" s="2332">
        <f t="shared" si="91"/>
        <v>370.48</v>
      </c>
      <c r="I427" s="2286"/>
      <c r="J427" s="2237"/>
      <c r="K427" s="2411"/>
      <c r="L427" s="2533"/>
      <c r="M427" s="2238"/>
      <c r="N427" s="2239"/>
      <c r="O427" s="2498">
        <f t="shared" si="92"/>
        <v>370.48</v>
      </c>
      <c r="P427" s="2295">
        <f t="shared" si="93"/>
        <v>1</v>
      </c>
    </row>
    <row r="428" spans="1:16" ht="30">
      <c r="A428" s="2265" t="s">
        <v>13089</v>
      </c>
      <c r="B428" s="2228">
        <f>VLOOKUP($A428,'11 - QT_ WB'!$A:$F,2,0)</f>
        <v>92008</v>
      </c>
      <c r="C428" s="2228" t="str">
        <f>VLOOKUP($A428,'11 - QT_ WB'!$A:$F,3,0)</f>
        <v>SINAPI</v>
      </c>
      <c r="D428" s="2333" t="s">
        <v>8067</v>
      </c>
      <c r="E428" s="2243" t="str">
        <f>IF($C428="SINAPI",VLOOKUP($B428,'24.08_ND'!$A:$D,3,0),IF($C428="PRÓPRIA",VLOOKUP($B428,'03-CP'!$C:$H,3,0)))</f>
        <v>UN</v>
      </c>
      <c r="F428" s="2230">
        <v>1</v>
      </c>
      <c r="G428" s="2232">
        <v>52.06</v>
      </c>
      <c r="H428" s="2332">
        <f t="shared" si="91"/>
        <v>52.06</v>
      </c>
      <c r="I428" s="2286"/>
      <c r="J428" s="2237"/>
      <c r="K428" s="2411"/>
      <c r="L428" s="2533"/>
      <c r="M428" s="2238"/>
      <c r="N428" s="2239"/>
      <c r="O428" s="2498">
        <f t="shared" si="92"/>
        <v>52.06</v>
      </c>
      <c r="P428" s="2295">
        <f t="shared" si="93"/>
        <v>1</v>
      </c>
    </row>
    <row r="429" spans="1:16" ht="45">
      <c r="A429" s="2265" t="s">
        <v>13090</v>
      </c>
      <c r="B429" s="2228" t="str">
        <f>VLOOKUP($A429,'11 - QT_ WB'!$A:$F,2,0)</f>
        <v>CP-ELE-25</v>
      </c>
      <c r="C429" s="2228" t="str">
        <f>VLOOKUP($A429,'11 - QT_ WB'!$A:$F,3,0)</f>
        <v>PRÓPRIA</v>
      </c>
      <c r="D429" s="2333" t="s">
        <v>15148</v>
      </c>
      <c r="E429" s="2243" t="str">
        <f>IF($C429="SINAPI",VLOOKUP($B429,'24.08_ND'!$A:$D,3,0),IF($C429="PRÓPRIA",VLOOKUP($B429,'03-CP'!$C:$H,3,0)))</f>
        <v>UN</v>
      </c>
      <c r="F429" s="2230">
        <v>1</v>
      </c>
      <c r="G429" s="2232">
        <v>64.12</v>
      </c>
      <c r="H429" s="2332">
        <f t="shared" si="91"/>
        <v>64.12</v>
      </c>
      <c r="I429" s="2287"/>
      <c r="J429" s="2231"/>
      <c r="K429" s="2412"/>
      <c r="L429" s="2536"/>
      <c r="M429" s="2232"/>
      <c r="N429" s="2557"/>
      <c r="O429" s="2498">
        <f t="shared" si="92"/>
        <v>64.12</v>
      </c>
      <c r="P429" s="2295">
        <f t="shared" si="93"/>
        <v>1</v>
      </c>
    </row>
    <row r="430" spans="1:16" ht="30">
      <c r="A430" s="2265" t="s">
        <v>13091</v>
      </c>
      <c r="B430" s="2228">
        <f>VLOOKUP($A430,'11 - QT_ WB'!$A:$F,2,0)</f>
        <v>97596</v>
      </c>
      <c r="C430" s="2228" t="str">
        <f>VLOOKUP($A430,'11 - QT_ WB'!$A:$F,3,0)</f>
        <v>SINAPI</v>
      </c>
      <c r="D430" s="2333" t="s">
        <v>8097</v>
      </c>
      <c r="E430" s="2243" t="str">
        <f>IF($C430="SINAPI",VLOOKUP($B430,'24.08_ND'!$A:$D,3,0),IF($C430="PRÓPRIA",VLOOKUP($B430,'03-CP'!$C:$H,3,0)))</f>
        <v>UN</v>
      </c>
      <c r="F430" s="2230">
        <v>3</v>
      </c>
      <c r="G430" s="2232">
        <v>83.8</v>
      </c>
      <c r="H430" s="2332">
        <f t="shared" si="91"/>
        <v>251.4</v>
      </c>
      <c r="I430" s="2286"/>
      <c r="J430" s="2237"/>
      <c r="K430" s="2411"/>
      <c r="L430" s="2533"/>
      <c r="M430" s="2238"/>
      <c r="N430" s="2239"/>
      <c r="O430" s="2498">
        <f t="shared" si="92"/>
        <v>251.4</v>
      </c>
      <c r="P430" s="2295">
        <f t="shared" si="93"/>
        <v>1</v>
      </c>
    </row>
    <row r="431" spans="1:16">
      <c r="A431" s="2264" t="s">
        <v>13092</v>
      </c>
      <c r="B431" s="2223"/>
      <c r="C431" s="2223"/>
      <c r="D431" s="2376" t="s">
        <v>16337</v>
      </c>
      <c r="E431" s="2224"/>
      <c r="F431" s="2240"/>
      <c r="G431" s="2226"/>
      <c r="H431" s="2301">
        <f>SUBTOTAL(9,H432:H435)</f>
        <v>22610.15</v>
      </c>
      <c r="I431" s="2284"/>
      <c r="J431" s="2227"/>
      <c r="K431" s="2496"/>
      <c r="L431" s="2534">
        <f>SUBTOTAL(9,L432:L435)</f>
        <v>0</v>
      </c>
      <c r="M431" s="2301">
        <f>SUBTOTAL(9,M432:M435)</f>
        <v>0</v>
      </c>
      <c r="N431" s="2301">
        <f>SUBTOTAL(9,N432:N435)</f>
        <v>0</v>
      </c>
      <c r="O431" s="2301">
        <f>SUBTOTAL(9,O432:O435)</f>
        <v>22610.15</v>
      </c>
      <c r="P431" s="2293"/>
    </row>
    <row r="432" spans="1:16">
      <c r="A432" s="2265" t="s">
        <v>13093</v>
      </c>
      <c r="B432" s="2228" t="str">
        <f>VLOOKUP($A432,'11 - QT_ WB'!$A:$F,2,0)</f>
        <v>CP-ELE-01</v>
      </c>
      <c r="C432" s="2228" t="str">
        <f>VLOOKUP($A432,'11 - QT_ WB'!$A:$F,3,0)</f>
        <v>PRÓPRIA</v>
      </c>
      <c r="D432" s="2333" t="s">
        <v>15151</v>
      </c>
      <c r="E432" s="2243" t="str">
        <f>IF($C432="SINAPI",VLOOKUP($B432,'24.08_ND'!$A:$D,3,0),IF($C432="PRÓPRIA",VLOOKUP($B432,'03-CP'!$C:$H,3,0)))</f>
        <v>M</v>
      </c>
      <c r="F432" s="2230">
        <v>290</v>
      </c>
      <c r="G432" s="2232">
        <v>13.35</v>
      </c>
      <c r="H432" s="2332">
        <f>TRUNC((G432*F432),2)</f>
        <v>3871.5</v>
      </c>
      <c r="I432" s="2287"/>
      <c r="J432" s="2231"/>
      <c r="K432" s="2412"/>
      <c r="L432" s="2536"/>
      <c r="M432" s="2232"/>
      <c r="N432" s="2557"/>
      <c r="O432" s="2498">
        <f>H432-L432</f>
        <v>3871.5</v>
      </c>
      <c r="P432" s="2295">
        <f>O432/H432</f>
        <v>1</v>
      </c>
    </row>
    <row r="433" spans="1:16" ht="30">
      <c r="A433" s="2265" t="s">
        <v>13094</v>
      </c>
      <c r="B433" s="2228">
        <f>VLOOKUP($A433,'11 - QT_ WB'!$A:$F,2,0)</f>
        <v>91926</v>
      </c>
      <c r="C433" s="2228" t="str">
        <f>VLOOKUP($A433,'11 - QT_ WB'!$A:$F,3,0)</f>
        <v>SINAPI</v>
      </c>
      <c r="D433" s="2333" t="s">
        <v>7853</v>
      </c>
      <c r="E433" s="2243" t="str">
        <f>IF($C433="SINAPI",VLOOKUP($B433,'24.08_ND'!$A:$D,3,0),IF($C433="PRÓPRIA",VLOOKUP($B433,'03-CP'!$C:$H,3,0)))</f>
        <v>M</v>
      </c>
      <c r="F433" s="2230">
        <v>475</v>
      </c>
      <c r="G433" s="2232">
        <v>5.03</v>
      </c>
      <c r="H433" s="2332">
        <f>TRUNC((G433*F433),2)</f>
        <v>2389.25</v>
      </c>
      <c r="I433" s="2286"/>
      <c r="J433" s="2237"/>
      <c r="K433" s="2411"/>
      <c r="L433" s="2533"/>
      <c r="M433" s="2238"/>
      <c r="N433" s="2239"/>
      <c r="O433" s="2498">
        <f>H433-L433</f>
        <v>2389.25</v>
      </c>
      <c r="P433" s="2295">
        <f>O433/H433</f>
        <v>1</v>
      </c>
    </row>
    <row r="434" spans="1:16" ht="30">
      <c r="A434" s="2265" t="s">
        <v>13095</v>
      </c>
      <c r="B434" s="2228">
        <f>VLOOKUP($A434,'11 - QT_ WB'!$A:$F,2,0)</f>
        <v>91928</v>
      </c>
      <c r="C434" s="2228" t="str">
        <f>VLOOKUP($A434,'11 - QT_ WB'!$A:$F,3,0)</f>
        <v>SINAPI</v>
      </c>
      <c r="D434" s="2333" t="s">
        <v>7855</v>
      </c>
      <c r="E434" s="2243" t="str">
        <f>IF($C434="SINAPI",VLOOKUP($B434,'24.08_ND'!$A:$D,3,0),IF($C434="PRÓPRIA",VLOOKUP($B434,'03-CP'!$C:$H,3,0)))</f>
        <v>M</v>
      </c>
      <c r="F434" s="2230">
        <v>1500</v>
      </c>
      <c r="G434" s="2232">
        <v>7.85</v>
      </c>
      <c r="H434" s="2332">
        <f>TRUNC((G434*F434),2)</f>
        <v>11775</v>
      </c>
      <c r="I434" s="2286"/>
      <c r="J434" s="2237"/>
      <c r="K434" s="2411"/>
      <c r="L434" s="2533"/>
      <c r="M434" s="2238"/>
      <c r="N434" s="2239"/>
      <c r="O434" s="2498">
        <f>H434-L434</f>
        <v>11775</v>
      </c>
      <c r="P434" s="2295">
        <f>O434/H434</f>
        <v>1</v>
      </c>
    </row>
    <row r="435" spans="1:16" ht="30">
      <c r="A435" s="2265" t="s">
        <v>13096</v>
      </c>
      <c r="B435" s="2228">
        <f>VLOOKUP($A435,'11 - QT_ WB'!$A:$F,2,0)</f>
        <v>91933</v>
      </c>
      <c r="C435" s="2228" t="str">
        <f>VLOOKUP($A435,'11 - QT_ WB'!$A:$F,3,0)</f>
        <v>SINAPI</v>
      </c>
      <c r="D435" s="2333" t="s">
        <v>7860</v>
      </c>
      <c r="E435" s="2243" t="str">
        <f>IF($C435="SINAPI",VLOOKUP($B435,'24.08_ND'!$A:$D,3,0),IF($C435="PRÓPRIA",VLOOKUP($B435,'03-CP'!$C:$H,3,0)))</f>
        <v>M</v>
      </c>
      <c r="F435" s="2230">
        <v>240</v>
      </c>
      <c r="G435" s="2232">
        <v>19.059999999999999</v>
      </c>
      <c r="H435" s="2332">
        <f>TRUNC((G435*F435),2)</f>
        <v>4574.3999999999996</v>
      </c>
      <c r="I435" s="2286"/>
      <c r="J435" s="2237"/>
      <c r="K435" s="2411"/>
      <c r="L435" s="2533"/>
      <c r="M435" s="2238"/>
      <c r="N435" s="2239"/>
      <c r="O435" s="2498">
        <f>H435-L435</f>
        <v>4574.3999999999996</v>
      </c>
      <c r="P435" s="2295">
        <f>O435/H435</f>
        <v>1</v>
      </c>
    </row>
    <row r="436" spans="1:16">
      <c r="A436" s="2264" t="s">
        <v>13097</v>
      </c>
      <c r="B436" s="2393"/>
      <c r="C436" s="2393"/>
      <c r="D436" s="2376" t="s">
        <v>16338</v>
      </c>
      <c r="E436" s="2350"/>
      <c r="F436" s="2351"/>
      <c r="G436" s="2352"/>
      <c r="H436" s="2301">
        <f>SUBTOTAL(9,H437:H450)</f>
        <v>3052.0000000000005</v>
      </c>
      <c r="I436" s="2284"/>
      <c r="J436" s="2227"/>
      <c r="K436" s="2410"/>
      <c r="L436" s="2534">
        <f>SUBTOTAL(9,L437:L450)</f>
        <v>0</v>
      </c>
      <c r="M436" s="2301">
        <f>SUBTOTAL(9,M437:M450)</f>
        <v>0</v>
      </c>
      <c r="N436" s="2301">
        <f>SUBTOTAL(9,N437:N450)</f>
        <v>0</v>
      </c>
      <c r="O436" s="2301">
        <f>SUBTOTAL(9,O437:O450)</f>
        <v>3052.0000000000005</v>
      </c>
      <c r="P436" s="2293"/>
    </row>
    <row r="437" spans="1:16" ht="30">
      <c r="A437" s="2265" t="s">
        <v>13098</v>
      </c>
      <c r="B437" s="2228">
        <f>VLOOKUP($A437,'11 - QT_ WB'!$A:$F,2,0)</f>
        <v>96985</v>
      </c>
      <c r="C437" s="2228" t="str">
        <f>VLOOKUP($A437,'11 - QT_ WB'!$A:$F,3,0)</f>
        <v>SINAPI</v>
      </c>
      <c r="D437" s="2333" t="s">
        <v>8265</v>
      </c>
      <c r="E437" s="2243" t="str">
        <f>IF($C437="SINAPI",VLOOKUP($B437,'24.08_ND'!$A:$D,3,0),IF($C437="PRÓPRIA",VLOOKUP($B437,'03-CP'!$C:$H,3,0)))</f>
        <v>UN</v>
      </c>
      <c r="F437" s="2230">
        <v>3</v>
      </c>
      <c r="G437" s="2232">
        <v>85.46</v>
      </c>
      <c r="H437" s="2332">
        <f t="shared" ref="H437:H450" si="94">TRUNC((G437*F437),2)</f>
        <v>256.38</v>
      </c>
      <c r="I437" s="2286"/>
      <c r="J437" s="2237"/>
      <c r="K437" s="2411"/>
      <c r="L437" s="2533"/>
      <c r="M437" s="2238"/>
      <c r="N437" s="2239"/>
      <c r="O437" s="2498">
        <f t="shared" ref="O437:O450" si="95">H437-L437</f>
        <v>256.38</v>
      </c>
      <c r="P437" s="2295">
        <f t="shared" ref="P437:P450" si="96">O437/H437</f>
        <v>1</v>
      </c>
    </row>
    <row r="438" spans="1:16" ht="30">
      <c r="A438" s="2265" t="s">
        <v>13099</v>
      </c>
      <c r="B438" s="2228">
        <f>VLOOKUP($A438,'11 - QT_ WB'!$A:$F,2,0)</f>
        <v>96977</v>
      </c>
      <c r="C438" s="2228" t="str">
        <f>VLOOKUP($A438,'11 - QT_ WB'!$A:$F,3,0)</f>
        <v>SINAPI</v>
      </c>
      <c r="D438" s="2333" t="s">
        <v>8261</v>
      </c>
      <c r="E438" s="2243" t="str">
        <f>IF($C438="SINAPI",VLOOKUP($B438,'24.08_ND'!$A:$D,3,0),IF($C438="PRÓPRIA",VLOOKUP($B438,'03-CP'!$C:$H,3,0)))</f>
        <v>M</v>
      </c>
      <c r="F438" s="2230">
        <v>8</v>
      </c>
      <c r="G438" s="2232">
        <v>69.77</v>
      </c>
      <c r="H438" s="2332">
        <f t="shared" si="94"/>
        <v>558.16</v>
      </c>
      <c r="I438" s="2286"/>
      <c r="J438" s="2237"/>
      <c r="K438" s="2411"/>
      <c r="L438" s="2533"/>
      <c r="M438" s="2238"/>
      <c r="N438" s="2239"/>
      <c r="O438" s="2498">
        <f t="shared" si="95"/>
        <v>558.16</v>
      </c>
      <c r="P438" s="2295">
        <f t="shared" si="96"/>
        <v>1</v>
      </c>
    </row>
    <row r="439" spans="1:16" ht="30">
      <c r="A439" s="2265" t="s">
        <v>13100</v>
      </c>
      <c r="B439" s="2228">
        <f>VLOOKUP($A439,'11 - QT_ WB'!$A:$F,2,0)</f>
        <v>98111</v>
      </c>
      <c r="C439" s="2228" t="str">
        <f>VLOOKUP($A439,'11 - QT_ WB'!$A:$F,3,0)</f>
        <v>SINAPI</v>
      </c>
      <c r="D439" s="2333" t="s">
        <v>10233</v>
      </c>
      <c r="E439" s="2243" t="str">
        <f>IF($C439="SINAPI",VLOOKUP($B439,'24.08_ND'!$A:$D,3,0),IF($C439="PRÓPRIA",VLOOKUP($B439,'03-CP'!$C:$H,3,0)))</f>
        <v>UN</v>
      </c>
      <c r="F439" s="2230">
        <v>3</v>
      </c>
      <c r="G439" s="2232">
        <v>57.25</v>
      </c>
      <c r="H439" s="2332">
        <f t="shared" si="94"/>
        <v>171.75</v>
      </c>
      <c r="I439" s="2286"/>
      <c r="J439" s="2237"/>
      <c r="K439" s="2411"/>
      <c r="L439" s="2533"/>
      <c r="M439" s="2238"/>
      <c r="N439" s="2239"/>
      <c r="O439" s="2498">
        <f t="shared" si="95"/>
        <v>171.75</v>
      </c>
      <c r="P439" s="2295">
        <f t="shared" si="96"/>
        <v>1</v>
      </c>
    </row>
    <row r="440" spans="1:16" ht="45">
      <c r="A440" s="2265" t="s">
        <v>13101</v>
      </c>
      <c r="B440" s="2228">
        <f>VLOOKUP($A440,'11 - QT_ WB'!$A:$F,2,0)</f>
        <v>104750</v>
      </c>
      <c r="C440" s="2228" t="str">
        <f>VLOOKUP($A440,'11 - QT_ WB'!$A:$F,3,0)</f>
        <v>SINAPI</v>
      </c>
      <c r="D440" s="2333" t="s">
        <v>8273</v>
      </c>
      <c r="E440" s="2243" t="str">
        <f>IF($C440="SINAPI",VLOOKUP($B440,'24.08_ND'!$A:$D,3,0),IF($C440="PRÓPRIA",VLOOKUP($B440,'03-CP'!$C:$H,3,0)))</f>
        <v>UN</v>
      </c>
      <c r="F440" s="2230">
        <v>3</v>
      </c>
      <c r="G440" s="2232">
        <v>17.11</v>
      </c>
      <c r="H440" s="2332">
        <f t="shared" si="94"/>
        <v>51.33</v>
      </c>
      <c r="I440" s="2286"/>
      <c r="J440" s="2237"/>
      <c r="K440" s="2411"/>
      <c r="L440" s="2533"/>
      <c r="M440" s="2238"/>
      <c r="N440" s="2239"/>
      <c r="O440" s="2498">
        <f t="shared" si="95"/>
        <v>51.33</v>
      </c>
      <c r="P440" s="2295">
        <f t="shared" si="96"/>
        <v>1</v>
      </c>
    </row>
    <row r="441" spans="1:16" ht="30">
      <c r="A441" s="2265" t="s">
        <v>13102</v>
      </c>
      <c r="B441" s="2228" t="str">
        <f>VLOOKUP($A441,'11 - QT_ WB'!$A:$F,2,0)</f>
        <v>CP-ELE-79</v>
      </c>
      <c r="C441" s="2228" t="str">
        <f>VLOOKUP($A441,'11 - QT_ WB'!$A:$F,3,0)</f>
        <v>PRÓPRIA</v>
      </c>
      <c r="D441" s="2333" t="s">
        <v>15153</v>
      </c>
      <c r="E441" s="2243" t="str">
        <f>IF($C441="SINAPI",VLOOKUP($B441,'24.08_ND'!$A:$D,3,0),IF($C441="PRÓPRIA",VLOOKUP($B441,'03-CP'!$C:$H,3,0)))</f>
        <v>UN</v>
      </c>
      <c r="F441" s="2230">
        <v>1</v>
      </c>
      <c r="G441" s="2232">
        <v>14.16</v>
      </c>
      <c r="H441" s="2332">
        <f t="shared" si="94"/>
        <v>14.16</v>
      </c>
      <c r="I441" s="2287"/>
      <c r="J441" s="2231"/>
      <c r="K441" s="2412"/>
      <c r="L441" s="2536"/>
      <c r="M441" s="2232"/>
      <c r="N441" s="2557"/>
      <c r="O441" s="2498">
        <f t="shared" si="95"/>
        <v>14.16</v>
      </c>
      <c r="P441" s="2295">
        <f t="shared" si="96"/>
        <v>1</v>
      </c>
    </row>
    <row r="442" spans="1:16" ht="30">
      <c r="A442" s="2265" t="s">
        <v>13103</v>
      </c>
      <c r="B442" s="2228">
        <f>VLOOKUP($A442,'11 - QT_ WB'!$A:$F,2,0)</f>
        <v>93653</v>
      </c>
      <c r="C442" s="2228" t="str">
        <f>VLOOKUP($A442,'11 - QT_ WB'!$A:$F,3,0)</f>
        <v>SINAPI</v>
      </c>
      <c r="D442" s="2333" t="s">
        <v>7954</v>
      </c>
      <c r="E442" s="2243" t="str">
        <f>IF($C442="SINAPI",VLOOKUP($B442,'24.08_ND'!$A:$D,3,0),IF($C442="PRÓPRIA",VLOOKUP($B442,'03-CP'!$C:$H,3,0)))</f>
        <v>UN</v>
      </c>
      <c r="F442" s="2230">
        <v>1</v>
      </c>
      <c r="G442" s="2232">
        <v>13.6</v>
      </c>
      <c r="H442" s="2332">
        <f t="shared" si="94"/>
        <v>13.6</v>
      </c>
      <c r="I442" s="2286"/>
      <c r="J442" s="2237"/>
      <c r="K442" s="2411"/>
      <c r="L442" s="2533"/>
      <c r="M442" s="2238"/>
      <c r="N442" s="2239"/>
      <c r="O442" s="2498">
        <f t="shared" si="95"/>
        <v>13.6</v>
      </c>
      <c r="P442" s="2295">
        <f t="shared" si="96"/>
        <v>1</v>
      </c>
    </row>
    <row r="443" spans="1:16" ht="30">
      <c r="A443" s="2265" t="s">
        <v>13104</v>
      </c>
      <c r="B443" s="2228">
        <f>VLOOKUP($A443,'11 - QT_ WB'!$A:$F,2,0)</f>
        <v>93654</v>
      </c>
      <c r="C443" s="2228" t="str">
        <f>VLOOKUP($A443,'11 - QT_ WB'!$A:$F,3,0)</f>
        <v>SINAPI</v>
      </c>
      <c r="D443" s="2333" t="s">
        <v>7955</v>
      </c>
      <c r="E443" s="2243" t="str">
        <f>IF($C443="SINAPI",VLOOKUP($B443,'24.08_ND'!$A:$D,3,0),IF($C443="PRÓPRIA",VLOOKUP($B443,'03-CP'!$C:$H,3,0)))</f>
        <v>UN</v>
      </c>
      <c r="F443" s="2230">
        <v>1</v>
      </c>
      <c r="G443" s="2232">
        <v>14.28</v>
      </c>
      <c r="H443" s="2332">
        <f t="shared" si="94"/>
        <v>14.28</v>
      </c>
      <c r="I443" s="2286"/>
      <c r="J443" s="2237"/>
      <c r="K443" s="2411"/>
      <c r="L443" s="2533"/>
      <c r="M443" s="2238"/>
      <c r="N443" s="2239"/>
      <c r="O443" s="2498">
        <f t="shared" si="95"/>
        <v>14.28</v>
      </c>
      <c r="P443" s="2295">
        <f t="shared" si="96"/>
        <v>1</v>
      </c>
    </row>
    <row r="444" spans="1:16" ht="30">
      <c r="A444" s="2265" t="s">
        <v>13105</v>
      </c>
      <c r="B444" s="2228">
        <f>VLOOKUP($A444,'11 - QT_ WB'!$A:$F,2,0)</f>
        <v>93655</v>
      </c>
      <c r="C444" s="2228" t="str">
        <f>VLOOKUP($A444,'11 - QT_ WB'!$A:$F,3,0)</f>
        <v>SINAPI</v>
      </c>
      <c r="D444" s="2333" t="s">
        <v>7956</v>
      </c>
      <c r="E444" s="2243" t="str">
        <f>IF($C444="SINAPI",VLOOKUP($B444,'24.08_ND'!$A:$D,3,0),IF($C444="PRÓPRIA",VLOOKUP($B444,'03-CP'!$C:$H,3,0)))</f>
        <v>UN</v>
      </c>
      <c r="F444" s="2230">
        <v>3</v>
      </c>
      <c r="G444" s="2232">
        <v>15.73</v>
      </c>
      <c r="H444" s="2332">
        <f t="shared" si="94"/>
        <v>47.19</v>
      </c>
      <c r="I444" s="2286"/>
      <c r="J444" s="2237"/>
      <c r="K444" s="2411"/>
      <c r="L444" s="2533"/>
      <c r="M444" s="2238"/>
      <c r="N444" s="2239"/>
      <c r="O444" s="2498">
        <f t="shared" si="95"/>
        <v>47.19</v>
      </c>
      <c r="P444" s="2295">
        <f t="shared" si="96"/>
        <v>1</v>
      </c>
    </row>
    <row r="445" spans="1:16" ht="30">
      <c r="A445" s="2265" t="s">
        <v>13106</v>
      </c>
      <c r="B445" s="2228">
        <f>VLOOKUP($A445,'11 - QT_ WB'!$A:$F,2,0)</f>
        <v>93665</v>
      </c>
      <c r="C445" s="2228" t="str">
        <f>VLOOKUP($A445,'11 - QT_ WB'!$A:$F,3,0)</f>
        <v>SINAPI</v>
      </c>
      <c r="D445" s="2333" t="s">
        <v>7966</v>
      </c>
      <c r="E445" s="2243" t="str">
        <f>IF($C445="SINAPI",VLOOKUP($B445,'24.08_ND'!$A:$D,3,0),IF($C445="PRÓPRIA",VLOOKUP($B445,'03-CP'!$C:$H,3,0)))</f>
        <v>UN</v>
      </c>
      <c r="F445" s="2230">
        <v>1</v>
      </c>
      <c r="G445" s="2232">
        <v>77.67</v>
      </c>
      <c r="H445" s="2332">
        <f t="shared" si="94"/>
        <v>77.67</v>
      </c>
      <c r="I445" s="2286"/>
      <c r="J445" s="2237"/>
      <c r="K445" s="2411"/>
      <c r="L445" s="2533"/>
      <c r="M445" s="2238"/>
      <c r="N445" s="2239"/>
      <c r="O445" s="2498">
        <f t="shared" si="95"/>
        <v>77.67</v>
      </c>
      <c r="P445" s="2295">
        <f t="shared" si="96"/>
        <v>1</v>
      </c>
    </row>
    <row r="446" spans="1:16" ht="30">
      <c r="A446" s="2265" t="s">
        <v>13107</v>
      </c>
      <c r="B446" s="2228" t="str">
        <f>VLOOKUP($A446,'11 - QT_ WB'!$A:$F,2,0)</f>
        <v>CP-ELE-102</v>
      </c>
      <c r="C446" s="2228" t="str">
        <f>VLOOKUP($A446,'11 - QT_ WB'!$A:$F,3,0)</f>
        <v>PRÓPRIA</v>
      </c>
      <c r="D446" s="2333" t="s">
        <v>15158</v>
      </c>
      <c r="E446" s="2243" t="str">
        <f>IF($C446="SINAPI",VLOOKUP($B446,'24.08_ND'!$A:$D,3,0),IF($C446="PRÓPRIA",VLOOKUP($B446,'03-CP'!$C:$H,3,0)))</f>
        <v>UN</v>
      </c>
      <c r="F446" s="2230">
        <v>3</v>
      </c>
      <c r="G446" s="2232">
        <v>191.62</v>
      </c>
      <c r="H446" s="2332">
        <f t="shared" si="94"/>
        <v>574.86</v>
      </c>
      <c r="I446" s="2287"/>
      <c r="J446" s="2231"/>
      <c r="K446" s="2412"/>
      <c r="L446" s="2536"/>
      <c r="M446" s="2232"/>
      <c r="N446" s="2557"/>
      <c r="O446" s="2498">
        <f t="shared" si="95"/>
        <v>574.86</v>
      </c>
      <c r="P446" s="2295">
        <f t="shared" si="96"/>
        <v>1</v>
      </c>
    </row>
    <row r="447" spans="1:16" ht="30">
      <c r="A447" s="2265" t="s">
        <v>13108</v>
      </c>
      <c r="B447" s="2228" t="str">
        <f>VLOOKUP($A447,'11 - QT_ WB'!$A:$F,2,0)</f>
        <v>CP-ELE-101</v>
      </c>
      <c r="C447" s="2228" t="str">
        <f>VLOOKUP($A447,'11 - QT_ WB'!$A:$F,3,0)</f>
        <v>PRÓPRIA</v>
      </c>
      <c r="D447" s="2333" t="s">
        <v>15156</v>
      </c>
      <c r="E447" s="2243" t="str">
        <f>IF($C447="SINAPI",VLOOKUP($B447,'24.08_ND'!$A:$D,3,0),IF($C447="PRÓPRIA",VLOOKUP($B447,'03-CP'!$C:$H,3,0)))</f>
        <v>UN</v>
      </c>
      <c r="F447" s="2230">
        <v>3</v>
      </c>
      <c r="G447" s="2232">
        <v>102.35</v>
      </c>
      <c r="H447" s="2332">
        <f t="shared" si="94"/>
        <v>307.05</v>
      </c>
      <c r="I447" s="2287"/>
      <c r="J447" s="2231"/>
      <c r="K447" s="2412"/>
      <c r="L447" s="2536"/>
      <c r="M447" s="2232"/>
      <c r="N447" s="2557"/>
      <c r="O447" s="2498">
        <f t="shared" si="95"/>
        <v>307.05</v>
      </c>
      <c r="P447" s="2295">
        <f t="shared" si="96"/>
        <v>1</v>
      </c>
    </row>
    <row r="448" spans="1:16" ht="45">
      <c r="A448" s="2265" t="s">
        <v>13109</v>
      </c>
      <c r="B448" s="2228">
        <f>VLOOKUP($A448,'11 - QT_ WB'!$A:$F,2,0)</f>
        <v>101880</v>
      </c>
      <c r="C448" s="2228" t="str">
        <f>VLOOKUP($A448,'11 - QT_ WB'!$A:$F,3,0)</f>
        <v>SINAPI</v>
      </c>
      <c r="D448" s="2333" t="s">
        <v>7984</v>
      </c>
      <c r="E448" s="2243" t="str">
        <f>IF($C448="SINAPI",VLOOKUP($B448,'24.08_ND'!$A:$D,3,0),IF($C448="PRÓPRIA",VLOOKUP($B448,'03-CP'!$C:$H,3,0)))</f>
        <v>UN</v>
      </c>
      <c r="F448" s="2230">
        <v>1</v>
      </c>
      <c r="G448" s="2232">
        <v>917.3</v>
      </c>
      <c r="H448" s="2332">
        <f t="shared" si="94"/>
        <v>917.3</v>
      </c>
      <c r="I448" s="2286"/>
      <c r="J448" s="2237"/>
      <c r="K448" s="2411"/>
      <c r="L448" s="2533"/>
      <c r="M448" s="2238"/>
      <c r="N448" s="2239"/>
      <c r="O448" s="2498">
        <f t="shared" si="95"/>
        <v>917.3</v>
      </c>
      <c r="P448" s="2295">
        <f t="shared" si="96"/>
        <v>1</v>
      </c>
    </row>
    <row r="449" spans="1:16" ht="30">
      <c r="A449" s="2265" t="s">
        <v>13110</v>
      </c>
      <c r="B449" s="2228" t="str">
        <f>VLOOKUP($A449,'11 - QT_ WB'!$A:$F,2,0)</f>
        <v>CP-ELE-17</v>
      </c>
      <c r="C449" s="2228" t="str">
        <f>VLOOKUP($A449,'11 - QT_ WB'!$A:$F,3,0)</f>
        <v>PRÓPRIA</v>
      </c>
      <c r="D449" s="2333" t="s">
        <v>15160</v>
      </c>
      <c r="E449" s="2243" t="str">
        <f>IF($C449="SINAPI",VLOOKUP($B449,'24.08_ND'!$A:$D,3,0),IF($C449="PRÓPRIA",VLOOKUP($B449,'03-CP'!$C:$H,3,0)))</f>
        <v>UN</v>
      </c>
      <c r="F449" s="2230">
        <v>1</v>
      </c>
      <c r="G449" s="2232">
        <v>21.07</v>
      </c>
      <c r="H449" s="2332">
        <f t="shared" si="94"/>
        <v>21.07</v>
      </c>
      <c r="I449" s="2287"/>
      <c r="J449" s="2231"/>
      <c r="K449" s="2412"/>
      <c r="L449" s="2536"/>
      <c r="M449" s="2232"/>
      <c r="N449" s="2557"/>
      <c r="O449" s="2498">
        <f t="shared" si="95"/>
        <v>21.07</v>
      </c>
      <c r="P449" s="2295">
        <f t="shared" si="96"/>
        <v>1</v>
      </c>
    </row>
    <row r="450" spans="1:16">
      <c r="A450" s="2265" t="s">
        <v>13111</v>
      </c>
      <c r="B450" s="2228" t="str">
        <f>VLOOKUP($A450,'11 - QT_ WB'!$A:$F,2,0)</f>
        <v>CP-ELE-103</v>
      </c>
      <c r="C450" s="2228" t="str">
        <f>VLOOKUP($A450,'11 - QT_ WB'!$A:$F,3,0)</f>
        <v>PRÓPRIA</v>
      </c>
      <c r="D450" s="2333" t="s">
        <v>15162</v>
      </c>
      <c r="E450" s="2243" t="str">
        <f>IF($C450="SINAPI",VLOOKUP($B450,'24.08_ND'!$A:$D,3,0),IF($C450="PRÓPRIA",VLOOKUP($B450,'03-CP'!$C:$H,3,0)))</f>
        <v>UN</v>
      </c>
      <c r="F450" s="2230">
        <v>1</v>
      </c>
      <c r="G450" s="2232">
        <v>27.2</v>
      </c>
      <c r="H450" s="2332">
        <f t="shared" si="94"/>
        <v>27.2</v>
      </c>
      <c r="I450" s="2287"/>
      <c r="J450" s="2231"/>
      <c r="K450" s="2412"/>
      <c r="L450" s="2536"/>
      <c r="M450" s="2232"/>
      <c r="N450" s="2557"/>
      <c r="O450" s="2498">
        <f t="shared" si="95"/>
        <v>27.2</v>
      </c>
      <c r="P450" s="2295">
        <f t="shared" si="96"/>
        <v>1</v>
      </c>
    </row>
    <row r="451" spans="1:16">
      <c r="A451" s="2264" t="s">
        <v>13112</v>
      </c>
      <c r="B451" s="2393"/>
      <c r="C451" s="2393"/>
      <c r="D451" s="2376" t="s">
        <v>16339</v>
      </c>
      <c r="E451" s="2350"/>
      <c r="F451" s="2351"/>
      <c r="G451" s="2352"/>
      <c r="H451" s="2301">
        <f>SUBTOTAL(9,H452:H469)</f>
        <v>30836.269999999997</v>
      </c>
      <c r="I451" s="2284"/>
      <c r="J451" s="2227"/>
      <c r="K451" s="2496"/>
      <c r="L451" s="2534">
        <f>SUBTOTAL(9,L452:L469)</f>
        <v>0</v>
      </c>
      <c r="M451" s="2301">
        <f>SUBTOTAL(9,M452:M469)</f>
        <v>0</v>
      </c>
      <c r="N451" s="2301">
        <f>SUBTOTAL(9,N452:N469)</f>
        <v>0</v>
      </c>
      <c r="O451" s="2301">
        <f>SUBTOTAL(9,O452:O469)</f>
        <v>30836.269999999997</v>
      </c>
      <c r="P451" s="2293"/>
    </row>
    <row r="452" spans="1:16" ht="30">
      <c r="A452" s="2265" t="s">
        <v>13113</v>
      </c>
      <c r="B452" s="2228" t="str">
        <f>VLOOKUP($A452,'11 - QT_ WB'!$A:$F,2,0)</f>
        <v>CP-ILUM-17</v>
      </c>
      <c r="C452" s="2228" t="str">
        <f>VLOOKUP($A452,'11 - QT_ WB'!$A:$F,3,0)</f>
        <v>PRÓPRIA</v>
      </c>
      <c r="D452" s="2333" t="s">
        <v>15168</v>
      </c>
      <c r="E452" s="2243" t="str">
        <f>IF($C452="SINAPI",VLOOKUP($B452,'24.08_ND'!$A:$D,3,0),IF($C452="PRÓPRIA",VLOOKUP($B452,'03-CP'!$C:$H,3,0)))</f>
        <v>UN</v>
      </c>
      <c r="F452" s="2230">
        <v>2</v>
      </c>
      <c r="G452" s="2232">
        <v>107.5</v>
      </c>
      <c r="H452" s="2332">
        <f t="shared" ref="H452:H469" si="97">TRUNC((G452*F452),2)</f>
        <v>215</v>
      </c>
      <c r="I452" s="2287"/>
      <c r="J452" s="2231"/>
      <c r="K452" s="2412"/>
      <c r="L452" s="2536"/>
      <c r="M452" s="2232"/>
      <c r="N452" s="2557"/>
      <c r="O452" s="2498">
        <f t="shared" ref="O452:O469" si="98">H452-L452</f>
        <v>215</v>
      </c>
      <c r="P452" s="2295">
        <f t="shared" ref="P452:P470" si="99">O452/H452</f>
        <v>1</v>
      </c>
    </row>
    <row r="453" spans="1:16" ht="30">
      <c r="A453" s="2265" t="s">
        <v>13114</v>
      </c>
      <c r="B453" s="2228" t="str">
        <f>VLOOKUP($A453,'11 - QT_ WB'!$A:$F,2,0)</f>
        <v>CP-ILUM-18</v>
      </c>
      <c r="C453" s="2228" t="str">
        <f>VLOOKUP($A453,'11 - QT_ WB'!$A:$F,3,0)</f>
        <v>PRÓPRIA</v>
      </c>
      <c r="D453" s="2333" t="s">
        <v>15170</v>
      </c>
      <c r="E453" s="2243" t="str">
        <f>IF($C453="SINAPI",VLOOKUP($B453,'24.08_ND'!$A:$D,3,0),IF($C453="PRÓPRIA",VLOOKUP($B453,'03-CP'!$C:$H,3,0)))</f>
        <v>UN</v>
      </c>
      <c r="F453" s="2230">
        <v>4</v>
      </c>
      <c r="G453" s="2232">
        <v>388.66</v>
      </c>
      <c r="H453" s="2332">
        <f t="shared" si="97"/>
        <v>1554.64</v>
      </c>
      <c r="I453" s="2287"/>
      <c r="J453" s="2231"/>
      <c r="K453" s="2412"/>
      <c r="L453" s="2536"/>
      <c r="M453" s="2232"/>
      <c r="N453" s="2557"/>
      <c r="O453" s="2498">
        <f t="shared" si="98"/>
        <v>1554.64</v>
      </c>
      <c r="P453" s="2295">
        <f t="shared" si="99"/>
        <v>1</v>
      </c>
    </row>
    <row r="454" spans="1:16">
      <c r="A454" s="2265" t="s">
        <v>13115</v>
      </c>
      <c r="B454" s="2228" t="str">
        <f>VLOOKUP($A454,'11 - QT_ WB'!$A:$F,2,0)</f>
        <v>CP-ILUM-30</v>
      </c>
      <c r="C454" s="2228" t="str">
        <f>VLOOKUP($A454,'11 - QT_ WB'!$A:$F,3,0)</f>
        <v>PRÓPRIA</v>
      </c>
      <c r="D454" s="2333" t="s">
        <v>15215</v>
      </c>
      <c r="E454" s="2243" t="str">
        <f>IF($C454="SINAPI",VLOOKUP($B454,'24.08_ND'!$A:$D,3,0),IF($C454="PRÓPRIA",VLOOKUP($B454,'03-CP'!$C:$H,3,0)))</f>
        <v>UN</v>
      </c>
      <c r="F454" s="2230">
        <v>4</v>
      </c>
      <c r="G454" s="2232">
        <v>265.26</v>
      </c>
      <c r="H454" s="2332">
        <f t="shared" si="97"/>
        <v>1061.04</v>
      </c>
      <c r="I454" s="2287"/>
      <c r="J454" s="2231"/>
      <c r="K454" s="2412"/>
      <c r="L454" s="2536"/>
      <c r="M454" s="2232"/>
      <c r="N454" s="2557"/>
      <c r="O454" s="2498">
        <f t="shared" si="98"/>
        <v>1061.04</v>
      </c>
      <c r="P454" s="2295">
        <f t="shared" si="99"/>
        <v>1</v>
      </c>
    </row>
    <row r="455" spans="1:16" ht="30">
      <c r="A455" s="2265" t="s">
        <v>13116</v>
      </c>
      <c r="B455" s="2228" t="str">
        <f>VLOOKUP($A455,'11 - QT_ WB'!$A:$F,2,0)</f>
        <v>CP-ILUM-23</v>
      </c>
      <c r="C455" s="2228" t="str">
        <f>VLOOKUP($A455,'11 - QT_ WB'!$A:$F,3,0)</f>
        <v>PRÓPRIA</v>
      </c>
      <c r="D455" s="2333" t="s">
        <v>15188</v>
      </c>
      <c r="E455" s="2243" t="str">
        <f>IF($C455="SINAPI",VLOOKUP($B455,'24.08_ND'!$A:$D,3,0),IF($C455="PRÓPRIA",VLOOKUP($B455,'03-CP'!$C:$H,3,0)))</f>
        <v>UN</v>
      </c>
      <c r="F455" s="2230">
        <v>26</v>
      </c>
      <c r="G455" s="2232">
        <v>162.94999999999999</v>
      </c>
      <c r="H455" s="2332">
        <f t="shared" si="97"/>
        <v>4236.7</v>
      </c>
      <c r="I455" s="2287"/>
      <c r="J455" s="2231"/>
      <c r="K455" s="2412"/>
      <c r="L455" s="2536"/>
      <c r="M455" s="2232"/>
      <c r="N455" s="2557"/>
      <c r="O455" s="2498">
        <f t="shared" si="98"/>
        <v>4236.7</v>
      </c>
      <c r="P455" s="2295">
        <f t="shared" si="99"/>
        <v>1</v>
      </c>
    </row>
    <row r="456" spans="1:16" ht="30">
      <c r="A456" s="2265" t="s">
        <v>13117</v>
      </c>
      <c r="B456" s="2228" t="str">
        <f>VLOOKUP($A456,'11 - QT_ WB'!$A:$F,2,0)</f>
        <v>CP-ILUM-29</v>
      </c>
      <c r="C456" s="2228" t="str">
        <f>VLOOKUP($A456,'11 - QT_ WB'!$A:$F,3,0)</f>
        <v>PRÓPRIA</v>
      </c>
      <c r="D456" s="2333" t="s">
        <v>15212</v>
      </c>
      <c r="E456" s="2243" t="str">
        <f>IF($C456="SINAPI",VLOOKUP($B456,'24.08_ND'!$A:$D,3,0),IF($C456="PRÓPRIA",VLOOKUP($B456,'03-CP'!$C:$H,3,0)))</f>
        <v>UN</v>
      </c>
      <c r="F456" s="2230">
        <v>20</v>
      </c>
      <c r="G456" s="2232">
        <v>94.15</v>
      </c>
      <c r="H456" s="2332">
        <f t="shared" si="97"/>
        <v>1883</v>
      </c>
      <c r="I456" s="2287"/>
      <c r="J456" s="2231"/>
      <c r="K456" s="2412"/>
      <c r="L456" s="2536"/>
      <c r="M456" s="2232"/>
      <c r="N456" s="2557"/>
      <c r="O456" s="2498">
        <f t="shared" si="98"/>
        <v>1883</v>
      </c>
      <c r="P456" s="2295">
        <f t="shared" si="99"/>
        <v>1</v>
      </c>
    </row>
    <row r="457" spans="1:16" ht="30">
      <c r="A457" s="2265" t="s">
        <v>13118</v>
      </c>
      <c r="B457" s="2228" t="str">
        <f>VLOOKUP($A457,'11 - QT_ WB'!$A:$F,2,0)</f>
        <v>CP-ILUM-19</v>
      </c>
      <c r="C457" s="2228" t="str">
        <f>VLOOKUP($A457,'11 - QT_ WB'!$A:$F,3,0)</f>
        <v>PRÓPRIA</v>
      </c>
      <c r="D457" s="2333" t="s">
        <v>15172</v>
      </c>
      <c r="E457" s="2243" t="str">
        <f>IF($C457="SINAPI",VLOOKUP($B457,'24.08_ND'!$A:$D,3,0),IF($C457="PRÓPRIA",VLOOKUP($B457,'03-CP'!$C:$H,3,0)))</f>
        <v>UN</v>
      </c>
      <c r="F457" s="2230">
        <v>1</v>
      </c>
      <c r="G457" s="2232">
        <v>674.1</v>
      </c>
      <c r="H457" s="2332">
        <f t="shared" si="97"/>
        <v>674.1</v>
      </c>
      <c r="I457" s="2287"/>
      <c r="J457" s="2231"/>
      <c r="K457" s="2412"/>
      <c r="L457" s="2536"/>
      <c r="M457" s="2232"/>
      <c r="N457" s="2557"/>
      <c r="O457" s="2498">
        <f t="shared" si="98"/>
        <v>674.1</v>
      </c>
      <c r="P457" s="2295">
        <f t="shared" si="99"/>
        <v>1</v>
      </c>
    </row>
    <row r="458" spans="1:16" ht="30">
      <c r="A458" s="2265" t="s">
        <v>13119</v>
      </c>
      <c r="B458" s="2228" t="str">
        <f>VLOOKUP($A458,'11 - QT_ WB'!$A:$F,2,0)</f>
        <v>CP-ILUM-20</v>
      </c>
      <c r="C458" s="2228" t="str">
        <f>VLOOKUP($A458,'11 - QT_ WB'!$A:$F,3,0)</f>
        <v>PRÓPRIA</v>
      </c>
      <c r="D458" s="2333" t="s">
        <v>15175</v>
      </c>
      <c r="E458" s="2243" t="str">
        <f>IF($C458="SINAPI",VLOOKUP($B458,'24.08_ND'!$A:$D,3,0),IF($C458="PRÓPRIA",VLOOKUP($B458,'03-CP'!$C:$H,3,0)))</f>
        <v>UN</v>
      </c>
      <c r="F458" s="2230">
        <v>5</v>
      </c>
      <c r="G458" s="2232">
        <v>147.96</v>
      </c>
      <c r="H458" s="2332">
        <f t="shared" si="97"/>
        <v>739.8</v>
      </c>
      <c r="I458" s="2287"/>
      <c r="J458" s="2231"/>
      <c r="K458" s="2412"/>
      <c r="L458" s="2536"/>
      <c r="M458" s="2232"/>
      <c r="N458" s="2557"/>
      <c r="O458" s="2498">
        <f t="shared" si="98"/>
        <v>739.8</v>
      </c>
      <c r="P458" s="2295">
        <f t="shared" si="99"/>
        <v>1</v>
      </c>
    </row>
    <row r="459" spans="1:16">
      <c r="A459" s="2265" t="s">
        <v>13120</v>
      </c>
      <c r="B459" s="2228" t="str">
        <f>VLOOKUP($A459,'11 - QT_ WB'!$A:$F,2,0)</f>
        <v>CP-ILUM-21</v>
      </c>
      <c r="C459" s="2228" t="str">
        <f>VLOOKUP($A459,'11 - QT_ WB'!$A:$F,3,0)</f>
        <v>PRÓPRIA</v>
      </c>
      <c r="D459" s="2333" t="s">
        <v>15178</v>
      </c>
      <c r="E459" s="2243" t="str">
        <f>IF($C459="SINAPI",VLOOKUP($B459,'24.08_ND'!$A:$D,3,0),IF($C459="PRÓPRIA",VLOOKUP($B459,'03-CP'!$C:$H,3,0)))</f>
        <v>M</v>
      </c>
      <c r="F459" s="2230">
        <v>19</v>
      </c>
      <c r="G459" s="2232">
        <v>80.8</v>
      </c>
      <c r="H459" s="2332">
        <f t="shared" si="97"/>
        <v>1535.2</v>
      </c>
      <c r="I459" s="2287"/>
      <c r="J459" s="2231"/>
      <c r="K459" s="2412"/>
      <c r="L459" s="2536"/>
      <c r="M459" s="2232"/>
      <c r="N459" s="2557"/>
      <c r="O459" s="2498">
        <f t="shared" si="98"/>
        <v>1535.2</v>
      </c>
      <c r="P459" s="2295">
        <f t="shared" si="99"/>
        <v>1</v>
      </c>
    </row>
    <row r="460" spans="1:16" ht="30">
      <c r="A460" s="2265" t="s">
        <v>13121</v>
      </c>
      <c r="B460" s="2228" t="str">
        <f>VLOOKUP($A460,'11 - QT_ WB'!$A:$F,2,0)</f>
        <v>CP-ILUM-05</v>
      </c>
      <c r="C460" s="2228" t="str">
        <f>VLOOKUP($A460,'11 - QT_ WB'!$A:$F,3,0)</f>
        <v>PRÓPRIA</v>
      </c>
      <c r="D460" s="2333" t="s">
        <v>15182</v>
      </c>
      <c r="E460" s="2243" t="str">
        <f>IF($C460="SINAPI",VLOOKUP($B460,'24.08_ND'!$A:$D,3,0),IF($C460="PRÓPRIA",VLOOKUP($B460,'03-CP'!$C:$H,3,0)))</f>
        <v>UN</v>
      </c>
      <c r="F460" s="2230">
        <v>1</v>
      </c>
      <c r="G460" s="2232">
        <v>260.33</v>
      </c>
      <c r="H460" s="2332">
        <f t="shared" si="97"/>
        <v>260.33</v>
      </c>
      <c r="I460" s="2287"/>
      <c r="J460" s="2231"/>
      <c r="K460" s="2412"/>
      <c r="L460" s="2536"/>
      <c r="M460" s="2232"/>
      <c r="N460" s="2557"/>
      <c r="O460" s="2498">
        <f t="shared" si="98"/>
        <v>260.33</v>
      </c>
      <c r="P460" s="2295">
        <f t="shared" si="99"/>
        <v>1</v>
      </c>
    </row>
    <row r="461" spans="1:16">
      <c r="A461" s="2265" t="s">
        <v>13122</v>
      </c>
      <c r="B461" s="2228" t="str">
        <f>VLOOKUP($A461,'11 - QT_ WB'!$A:$F,2,0)</f>
        <v>CP-ILUM-22</v>
      </c>
      <c r="C461" s="2228" t="str">
        <f>VLOOKUP($A461,'11 - QT_ WB'!$A:$F,3,0)</f>
        <v>PRÓPRIA</v>
      </c>
      <c r="D461" s="2333" t="s">
        <v>15185</v>
      </c>
      <c r="E461" s="2243" t="str">
        <f>IF($C461="SINAPI",VLOOKUP($B461,'24.08_ND'!$A:$D,3,0),IF($C461="PRÓPRIA",VLOOKUP($B461,'03-CP'!$C:$H,3,0)))</f>
        <v>UN</v>
      </c>
      <c r="F461" s="2230">
        <v>2</v>
      </c>
      <c r="G461" s="2232">
        <v>176.03</v>
      </c>
      <c r="H461" s="2332">
        <f t="shared" si="97"/>
        <v>352.06</v>
      </c>
      <c r="I461" s="2287"/>
      <c r="J461" s="2231"/>
      <c r="K461" s="2412"/>
      <c r="L461" s="2536"/>
      <c r="M461" s="2232"/>
      <c r="N461" s="2557"/>
      <c r="O461" s="2498">
        <f t="shared" si="98"/>
        <v>352.06</v>
      </c>
      <c r="P461" s="2295">
        <f t="shared" si="99"/>
        <v>1</v>
      </c>
    </row>
    <row r="462" spans="1:16" ht="30">
      <c r="A462" s="2265" t="s">
        <v>13123</v>
      </c>
      <c r="B462" s="2228" t="str">
        <f>VLOOKUP($A462,'11 - QT_ WB'!$A:$F,2,0)</f>
        <v>CP-ILUM-24</v>
      </c>
      <c r="C462" s="2228" t="str">
        <f>VLOOKUP($A462,'11 - QT_ WB'!$A:$F,3,0)</f>
        <v>PRÓPRIA</v>
      </c>
      <c r="D462" s="2333" t="s">
        <v>15192</v>
      </c>
      <c r="E462" s="2243" t="str">
        <f>IF($C462="SINAPI",VLOOKUP($B462,'24.08_ND'!$A:$D,3,0),IF($C462="PRÓPRIA",VLOOKUP($B462,'03-CP'!$C:$H,3,0)))</f>
        <v>UN</v>
      </c>
      <c r="F462" s="2230">
        <v>30</v>
      </c>
      <c r="G462" s="2232">
        <v>91.4</v>
      </c>
      <c r="H462" s="2332">
        <f t="shared" si="97"/>
        <v>2742</v>
      </c>
      <c r="I462" s="2287"/>
      <c r="J462" s="2231"/>
      <c r="K462" s="2412"/>
      <c r="L462" s="2536"/>
      <c r="M462" s="2232"/>
      <c r="N462" s="2557"/>
      <c r="O462" s="2498">
        <f t="shared" si="98"/>
        <v>2742</v>
      </c>
      <c r="P462" s="2295">
        <f t="shared" si="99"/>
        <v>1</v>
      </c>
    </row>
    <row r="463" spans="1:16" ht="30">
      <c r="A463" s="2265" t="s">
        <v>13124</v>
      </c>
      <c r="B463" s="2228" t="str">
        <f>VLOOKUP($A463,'11 - QT_ WB'!$A:$F,2,0)</f>
        <v>CP-ILUM-26</v>
      </c>
      <c r="C463" s="2228" t="str">
        <f>VLOOKUP($A463,'11 - QT_ WB'!$A:$F,3,0)</f>
        <v>PRÓPRIA</v>
      </c>
      <c r="D463" s="2333" t="s">
        <v>15199</v>
      </c>
      <c r="E463" s="2243" t="str">
        <f>IF($C463="SINAPI",VLOOKUP($B463,'24.08_ND'!$A:$D,3,0),IF($C463="PRÓPRIA",VLOOKUP($B463,'03-CP'!$C:$H,3,0)))</f>
        <v>UN</v>
      </c>
      <c r="F463" s="2230">
        <v>7</v>
      </c>
      <c r="G463" s="2232">
        <v>779.18</v>
      </c>
      <c r="H463" s="2332">
        <f t="shared" si="97"/>
        <v>5454.26</v>
      </c>
      <c r="I463" s="2287"/>
      <c r="J463" s="2231"/>
      <c r="K463" s="2412"/>
      <c r="L463" s="2536"/>
      <c r="M463" s="2232"/>
      <c r="N463" s="2557"/>
      <c r="O463" s="2498">
        <f t="shared" si="98"/>
        <v>5454.26</v>
      </c>
      <c r="P463" s="2295">
        <f t="shared" si="99"/>
        <v>1</v>
      </c>
    </row>
    <row r="464" spans="1:16" ht="30">
      <c r="A464" s="2265" t="s">
        <v>13125</v>
      </c>
      <c r="B464" s="2228" t="str">
        <f>VLOOKUP($A464,'11 - QT_ WB'!$A:$F,2,0)</f>
        <v>CP-ILUM-25</v>
      </c>
      <c r="C464" s="2228" t="str">
        <f>VLOOKUP($A464,'11 - QT_ WB'!$A:$F,3,0)</f>
        <v>PRÓPRIA</v>
      </c>
      <c r="D464" s="2333" t="s">
        <v>15196</v>
      </c>
      <c r="E464" s="2243" t="str">
        <f>IF($C464="SINAPI",VLOOKUP($B464,'24.08_ND'!$A:$D,3,0),IF($C464="PRÓPRIA",VLOOKUP($B464,'03-CP'!$C:$H,3,0)))</f>
        <v>UN</v>
      </c>
      <c r="F464" s="2230">
        <v>4</v>
      </c>
      <c r="G464" s="2232">
        <v>660.28</v>
      </c>
      <c r="H464" s="2332">
        <f t="shared" si="97"/>
        <v>2641.12</v>
      </c>
      <c r="I464" s="2287"/>
      <c r="J464" s="2231"/>
      <c r="K464" s="2412"/>
      <c r="L464" s="2536"/>
      <c r="M464" s="2232"/>
      <c r="N464" s="2557"/>
      <c r="O464" s="2498">
        <f t="shared" si="98"/>
        <v>2641.12</v>
      </c>
      <c r="P464" s="2295">
        <f t="shared" si="99"/>
        <v>1</v>
      </c>
    </row>
    <row r="465" spans="1:16">
      <c r="A465" s="2265" t="s">
        <v>13126</v>
      </c>
      <c r="B465" s="2228" t="str">
        <f>VLOOKUP($A465,'11 - QT_ WB'!$A:$F,2,0)</f>
        <v>CP-ILUM-02</v>
      </c>
      <c r="C465" s="2228" t="str">
        <f>VLOOKUP($A465,'11 - QT_ WB'!$A:$F,3,0)</f>
        <v>PRÓPRIA</v>
      </c>
      <c r="D465" s="2333" t="s">
        <v>15202</v>
      </c>
      <c r="E465" s="2243" t="str">
        <f>IF($C465="SINAPI",VLOOKUP($B465,'24.08_ND'!$A:$D,3,0),IF($C465="PRÓPRIA",VLOOKUP($B465,'03-CP'!$C:$H,3,0)))</f>
        <v>UN</v>
      </c>
      <c r="F465" s="2230">
        <v>18</v>
      </c>
      <c r="G465" s="2232">
        <v>209.86</v>
      </c>
      <c r="H465" s="2332">
        <f t="shared" si="97"/>
        <v>3777.48</v>
      </c>
      <c r="I465" s="2287"/>
      <c r="J465" s="2231"/>
      <c r="K465" s="2412"/>
      <c r="L465" s="2536"/>
      <c r="M465" s="2232"/>
      <c r="N465" s="2557"/>
      <c r="O465" s="2498">
        <f t="shared" si="98"/>
        <v>3777.48</v>
      </c>
      <c r="P465" s="2295">
        <f t="shared" si="99"/>
        <v>1</v>
      </c>
    </row>
    <row r="466" spans="1:16" ht="30">
      <c r="A466" s="2265" t="s">
        <v>13127</v>
      </c>
      <c r="B466" s="2228" t="str">
        <f>VLOOKUP($A466,'11 - QT_ WB'!$A:$F,2,0)</f>
        <v>CP-ILUM-27</v>
      </c>
      <c r="C466" s="2228" t="str">
        <f>VLOOKUP($A466,'11 - QT_ WB'!$A:$F,3,0)</f>
        <v>PRÓPRIA</v>
      </c>
      <c r="D466" s="2333" t="s">
        <v>15205</v>
      </c>
      <c r="E466" s="2243" t="str">
        <f>IF($C466="SINAPI",VLOOKUP($B466,'24.08_ND'!$A:$D,3,0),IF($C466="PRÓPRIA",VLOOKUP($B466,'03-CP'!$C:$H,3,0)))</f>
        <v>UN</v>
      </c>
      <c r="F466" s="2230">
        <v>8</v>
      </c>
      <c r="G466" s="2232">
        <v>161.01</v>
      </c>
      <c r="H466" s="2332">
        <f t="shared" si="97"/>
        <v>1288.08</v>
      </c>
      <c r="I466" s="2287"/>
      <c r="J466" s="2231"/>
      <c r="K466" s="2412"/>
      <c r="L466" s="2536"/>
      <c r="M466" s="2232"/>
      <c r="N466" s="2557"/>
      <c r="O466" s="2498">
        <f t="shared" si="98"/>
        <v>1288.08</v>
      </c>
      <c r="P466" s="2295">
        <f t="shared" si="99"/>
        <v>1</v>
      </c>
    </row>
    <row r="467" spans="1:16" ht="30">
      <c r="A467" s="2265" t="s">
        <v>13128</v>
      </c>
      <c r="B467" s="2228" t="str">
        <f>VLOOKUP($A467,'11 - QT_ WB'!$A:$F,2,0)</f>
        <v>CP-ILUM-28</v>
      </c>
      <c r="C467" s="2228" t="str">
        <f>VLOOKUP($A467,'11 - QT_ WB'!$A:$F,3,0)</f>
        <v>PRÓPRIA</v>
      </c>
      <c r="D467" s="2333" t="s">
        <v>15209</v>
      </c>
      <c r="E467" s="2243" t="str">
        <f>IF($C467="SINAPI",VLOOKUP($B467,'24.08_ND'!$A:$D,3,0),IF($C467="PRÓPRIA",VLOOKUP($B467,'03-CP'!$C:$H,3,0)))</f>
        <v>UN</v>
      </c>
      <c r="F467" s="2230">
        <v>8</v>
      </c>
      <c r="G467" s="2232">
        <v>138.5</v>
      </c>
      <c r="H467" s="2332">
        <f t="shared" si="97"/>
        <v>1108</v>
      </c>
      <c r="I467" s="2287"/>
      <c r="J467" s="2231"/>
      <c r="K467" s="2412"/>
      <c r="L467" s="2536"/>
      <c r="M467" s="2232"/>
      <c r="N467" s="2557"/>
      <c r="O467" s="2498">
        <f t="shared" si="98"/>
        <v>1108</v>
      </c>
      <c r="P467" s="2295">
        <f t="shared" si="99"/>
        <v>1</v>
      </c>
    </row>
    <row r="468" spans="1:16" ht="30">
      <c r="A468" s="2265" t="s">
        <v>13129</v>
      </c>
      <c r="B468" s="2228">
        <f>VLOOKUP($A468,'11 - QT_ WB'!$A:$F,2,0)</f>
        <v>100903</v>
      </c>
      <c r="C468" s="2228" t="str">
        <f>VLOOKUP($A468,'11 - QT_ WB'!$A:$F,3,0)</f>
        <v>SINAPI</v>
      </c>
      <c r="D468" s="2333" t="s">
        <v>8104</v>
      </c>
      <c r="E468" s="2243" t="str">
        <f>IF($C468="SINAPI",VLOOKUP($B468,'24.08_ND'!$A:$D,3,0),IF($C468="PRÓPRIA",VLOOKUP($B468,'03-CP'!$C:$H,3,0)))</f>
        <v>UN</v>
      </c>
      <c r="F468" s="2230">
        <v>47</v>
      </c>
      <c r="G468" s="2232">
        <v>25.08</v>
      </c>
      <c r="H468" s="2332">
        <f t="shared" si="97"/>
        <v>1178.76</v>
      </c>
      <c r="I468" s="2286"/>
      <c r="J468" s="2237"/>
      <c r="K468" s="2411"/>
      <c r="L468" s="2533"/>
      <c r="M468" s="2238"/>
      <c r="N468" s="2239"/>
      <c r="O468" s="2498">
        <f t="shared" si="98"/>
        <v>1178.76</v>
      </c>
      <c r="P468" s="2295">
        <f t="shared" si="99"/>
        <v>1</v>
      </c>
    </row>
    <row r="469" spans="1:16" ht="30">
      <c r="A469" s="2265" t="s">
        <v>13130</v>
      </c>
      <c r="B469" s="2228">
        <f>VLOOKUP($A469,'11 - QT_ WB'!$A:$F,2,0)</f>
        <v>100902</v>
      </c>
      <c r="C469" s="2228" t="str">
        <f>VLOOKUP($A469,'11 - QT_ WB'!$A:$F,3,0)</f>
        <v>SINAPI</v>
      </c>
      <c r="D469" s="2333" t="s">
        <v>8103</v>
      </c>
      <c r="E469" s="2243" t="str">
        <f>IF($C469="SINAPI",VLOOKUP($B469,'24.08_ND'!$A:$D,3,0),IF($C469="PRÓPRIA",VLOOKUP($B469,'03-CP'!$C:$H,3,0)))</f>
        <v>UN</v>
      </c>
      <c r="F469" s="2230">
        <v>6</v>
      </c>
      <c r="G469" s="2232">
        <v>22.45</v>
      </c>
      <c r="H469" s="2332">
        <f t="shared" si="97"/>
        <v>134.69999999999999</v>
      </c>
      <c r="I469" s="2286"/>
      <c r="J469" s="2237"/>
      <c r="K469" s="2411"/>
      <c r="L469" s="2533"/>
      <c r="M469" s="2238"/>
      <c r="N469" s="2239"/>
      <c r="O469" s="2498">
        <f t="shared" si="98"/>
        <v>134.69999999999999</v>
      </c>
      <c r="P469" s="2295">
        <f t="shared" si="99"/>
        <v>1</v>
      </c>
    </row>
    <row r="470" spans="1:16">
      <c r="A470" s="2264" t="s">
        <v>13131</v>
      </c>
      <c r="B470" s="2393"/>
      <c r="C470" s="2393"/>
      <c r="D470" s="2376" t="s">
        <v>16340</v>
      </c>
      <c r="E470" s="2350"/>
      <c r="F470" s="2351"/>
      <c r="G470" s="2352"/>
      <c r="H470" s="2301">
        <f>SUBTOTAL(9,H471:H492)</f>
        <v>6769.2600000000011</v>
      </c>
      <c r="I470" s="2284"/>
      <c r="J470" s="2227"/>
      <c r="K470" s="2496"/>
      <c r="L470" s="2534">
        <f>SUBTOTAL(9,L471:L492)</f>
        <v>0</v>
      </c>
      <c r="M470" s="2301">
        <f>SUBTOTAL(9,M471:M492)</f>
        <v>0</v>
      </c>
      <c r="N470" s="2301">
        <f>SUBTOTAL(9,N471:N492)</f>
        <v>0</v>
      </c>
      <c r="O470" s="2301">
        <f>SUBTOTAL(9,O471:O492)</f>
        <v>6769.2600000000011</v>
      </c>
      <c r="P470" s="2293">
        <f t="shared" si="99"/>
        <v>1</v>
      </c>
    </row>
    <row r="471" spans="1:16" ht="45">
      <c r="A471" s="2265" t="s">
        <v>13132</v>
      </c>
      <c r="B471" s="2228" t="str">
        <f>VLOOKUP($A471,'11 - QT_ WB'!$A:$F,2,0)</f>
        <v>CP-CAB-05</v>
      </c>
      <c r="C471" s="2228" t="str">
        <f>VLOOKUP($A471,'11 - QT_ WB'!$A:$F,3,0)</f>
        <v>PRÓPRIA</v>
      </c>
      <c r="D471" s="2333" t="s">
        <v>15337</v>
      </c>
      <c r="E471" s="2243" t="str">
        <f>IF($C471="SINAPI",VLOOKUP($B471,'24.08_ND'!$A:$D,3,0),IF($C471="PRÓPRIA",VLOOKUP($B471,'03-CP'!$C:$H,3,0)))</f>
        <v>UN</v>
      </c>
      <c r="F471" s="2230">
        <v>1</v>
      </c>
      <c r="G471" s="2232">
        <v>545.41</v>
      </c>
      <c r="H471" s="2332">
        <f t="shared" ref="H471:H492" si="100">TRUNC((G471*F471),2)</f>
        <v>545.41</v>
      </c>
      <c r="I471" s="2287"/>
      <c r="J471" s="2231"/>
      <c r="K471" s="2412"/>
      <c r="L471" s="2536"/>
      <c r="M471" s="2232"/>
      <c r="N471" s="2557"/>
      <c r="O471" s="2498">
        <f t="shared" ref="O471:O492" si="101">H471-L471</f>
        <v>545.41</v>
      </c>
      <c r="P471" s="2295">
        <f t="shared" ref="P471:P492" si="102">O471/H471</f>
        <v>1</v>
      </c>
    </row>
    <row r="472" spans="1:16" ht="30">
      <c r="A472" s="2265" t="s">
        <v>13133</v>
      </c>
      <c r="B472" s="2228" t="str">
        <f>VLOOKUP($A472,'11 - QT_ WB'!$A:$F,2,0)</f>
        <v>CP-CAB-06</v>
      </c>
      <c r="C472" s="2228" t="str">
        <f>VLOOKUP($A472,'11 - QT_ WB'!$A:$F,3,0)</f>
        <v>PRÓPRIA</v>
      </c>
      <c r="D472" s="2333" t="s">
        <v>15339</v>
      </c>
      <c r="E472" s="2243" t="str">
        <f>IF($C472="SINAPI",VLOOKUP($B472,'24.08_ND'!$A:$D,3,0),IF($C472="PRÓPRIA",VLOOKUP($B472,'03-CP'!$C:$H,3,0)))</f>
        <v>UN</v>
      </c>
      <c r="F472" s="2230">
        <v>1</v>
      </c>
      <c r="G472" s="2232">
        <v>28.65</v>
      </c>
      <c r="H472" s="2332">
        <f t="shared" si="100"/>
        <v>28.65</v>
      </c>
      <c r="I472" s="2287"/>
      <c r="J472" s="2231"/>
      <c r="K472" s="2412"/>
      <c r="L472" s="2536"/>
      <c r="M472" s="2232"/>
      <c r="N472" s="2557"/>
      <c r="O472" s="2498">
        <f t="shared" si="101"/>
        <v>28.65</v>
      </c>
      <c r="P472" s="2295">
        <f t="shared" si="102"/>
        <v>1</v>
      </c>
    </row>
    <row r="473" spans="1:16" ht="30">
      <c r="A473" s="2265" t="s">
        <v>13134</v>
      </c>
      <c r="B473" s="2228" t="str">
        <f>VLOOKUP($A473,'11 - QT_ WB'!$A:$F,2,0)</f>
        <v>CP-CAB-07</v>
      </c>
      <c r="C473" s="2228" t="str">
        <f>VLOOKUP($A473,'11 - QT_ WB'!$A:$F,3,0)</f>
        <v>PRÓPRIA</v>
      </c>
      <c r="D473" s="2333" t="s">
        <v>15342</v>
      </c>
      <c r="E473" s="2243" t="str">
        <f>IF($C473="SINAPI",VLOOKUP($B473,'24.08_ND'!$A:$D,3,0),IF($C473="PRÓPRIA",VLOOKUP($B473,'03-CP'!$C:$H,3,0)))</f>
        <v>UN</v>
      </c>
      <c r="F473" s="2230">
        <v>1</v>
      </c>
      <c r="G473" s="2232">
        <v>644.66</v>
      </c>
      <c r="H473" s="2332">
        <f t="shared" si="100"/>
        <v>644.66</v>
      </c>
      <c r="I473" s="2287"/>
      <c r="J473" s="2231"/>
      <c r="K473" s="2412"/>
      <c r="L473" s="2536"/>
      <c r="M473" s="2232"/>
      <c r="N473" s="2557"/>
      <c r="O473" s="2498">
        <f t="shared" si="101"/>
        <v>644.66</v>
      </c>
      <c r="P473" s="2295">
        <f t="shared" si="102"/>
        <v>1</v>
      </c>
    </row>
    <row r="474" spans="1:16" ht="30">
      <c r="A474" s="2265" t="s">
        <v>13135</v>
      </c>
      <c r="B474" s="2228">
        <f>VLOOKUP($A474,'11 - QT_ WB'!$A:$F,2,0)</f>
        <v>98302</v>
      </c>
      <c r="C474" s="2228" t="str">
        <f>VLOOKUP($A474,'11 - QT_ WB'!$A:$F,3,0)</f>
        <v>SINAPI</v>
      </c>
      <c r="D474" s="2333" t="s">
        <v>8408</v>
      </c>
      <c r="E474" s="2243" t="str">
        <f>IF($C474="SINAPI",VLOOKUP($B474,'24.08_ND'!$A:$D,3,0),IF($C474="PRÓPRIA",VLOOKUP($B474,'03-CP'!$C:$H,3,0)))</f>
        <v>UN</v>
      </c>
      <c r="F474" s="2230">
        <v>1</v>
      </c>
      <c r="G474" s="2232">
        <v>1164.82</v>
      </c>
      <c r="H474" s="2332">
        <f t="shared" si="100"/>
        <v>1164.82</v>
      </c>
      <c r="I474" s="2286"/>
      <c r="J474" s="2237"/>
      <c r="K474" s="2411"/>
      <c r="L474" s="2533"/>
      <c r="M474" s="2238"/>
      <c r="N474" s="2239"/>
      <c r="O474" s="2498">
        <f t="shared" si="101"/>
        <v>1164.82</v>
      </c>
      <c r="P474" s="2295">
        <f t="shared" si="102"/>
        <v>1</v>
      </c>
    </row>
    <row r="475" spans="1:16">
      <c r="A475" s="2265" t="s">
        <v>13136</v>
      </c>
      <c r="B475" s="2228" t="str">
        <f>VLOOKUP($A475,'11 - QT_ WB'!$A:$F,2,0)</f>
        <v>CP-ELE-56</v>
      </c>
      <c r="C475" s="2228" t="str">
        <f>VLOOKUP($A475,'11 - QT_ WB'!$A:$F,3,0)</f>
        <v>PRÓPRIA</v>
      </c>
      <c r="D475" s="2333" t="s">
        <v>15146</v>
      </c>
      <c r="E475" s="2243" t="str">
        <f>IF($C475="SINAPI",VLOOKUP($B475,'24.08_ND'!$A:$D,3,0),IF($C475="PRÓPRIA",VLOOKUP($B475,'03-CP'!$C:$H,3,0)))</f>
        <v>UN</v>
      </c>
      <c r="F475" s="2230">
        <v>8</v>
      </c>
      <c r="G475" s="2232">
        <v>10.63</v>
      </c>
      <c r="H475" s="2332">
        <f t="shared" si="100"/>
        <v>85.04</v>
      </c>
      <c r="I475" s="2287"/>
      <c r="J475" s="2231"/>
      <c r="K475" s="2412"/>
      <c r="L475" s="2536"/>
      <c r="M475" s="2232"/>
      <c r="N475" s="2557"/>
      <c r="O475" s="2498">
        <f t="shared" si="101"/>
        <v>85.04</v>
      </c>
      <c r="P475" s="2295">
        <f t="shared" si="102"/>
        <v>1</v>
      </c>
    </row>
    <row r="476" spans="1:16" ht="30">
      <c r="A476" s="2265" t="s">
        <v>13137</v>
      </c>
      <c r="B476" s="2228" t="str">
        <f>VLOOKUP($A476,'11 - QT_ WB'!$A:$F,2,0)</f>
        <v>CP-CAB-01</v>
      </c>
      <c r="C476" s="2228" t="str">
        <f>VLOOKUP($A476,'11 - QT_ WB'!$A:$F,3,0)</f>
        <v>PRÓPRIA</v>
      </c>
      <c r="D476" s="2333" t="s">
        <v>15345</v>
      </c>
      <c r="E476" s="2243" t="str">
        <f>IF($C476="SINAPI",VLOOKUP($B476,'24.08_ND'!$A:$D,3,0),IF($C476="PRÓPRIA",VLOOKUP($B476,'03-CP'!$C:$H,3,0)))</f>
        <v>UN</v>
      </c>
      <c r="F476" s="2230">
        <v>3</v>
      </c>
      <c r="G476" s="2232">
        <v>121.55</v>
      </c>
      <c r="H476" s="2332">
        <f t="shared" si="100"/>
        <v>364.65</v>
      </c>
      <c r="I476" s="2287"/>
      <c r="J476" s="2231"/>
      <c r="K476" s="2412"/>
      <c r="L476" s="2536"/>
      <c r="M476" s="2232"/>
      <c r="N476" s="2557"/>
      <c r="O476" s="2498">
        <f t="shared" si="101"/>
        <v>364.65</v>
      </c>
      <c r="P476" s="2295">
        <f t="shared" si="102"/>
        <v>1</v>
      </c>
    </row>
    <row r="477" spans="1:16">
      <c r="A477" s="2265" t="s">
        <v>13138</v>
      </c>
      <c r="B477" s="2228" t="str">
        <f>VLOOKUP($A477,'11 - QT_ WB'!$A:$F,2,0)</f>
        <v>CP-CAB-03</v>
      </c>
      <c r="C477" s="2228" t="str">
        <f>VLOOKUP($A477,'11 - QT_ WB'!$A:$F,3,0)</f>
        <v>PRÓPRIA</v>
      </c>
      <c r="D477" s="2333" t="s">
        <v>15347</v>
      </c>
      <c r="E477" s="2243" t="str">
        <f>IF($C477="SINAPI",VLOOKUP($B477,'24.08_ND'!$A:$D,3,0),IF($C477="PRÓPRIA",VLOOKUP($B477,'03-CP'!$C:$H,3,0)))</f>
        <v>UN</v>
      </c>
      <c r="F477" s="2230">
        <v>6</v>
      </c>
      <c r="G477" s="2232">
        <v>17.71</v>
      </c>
      <c r="H477" s="2332">
        <f t="shared" si="100"/>
        <v>106.26</v>
      </c>
      <c r="I477" s="2287"/>
      <c r="J477" s="2231"/>
      <c r="K477" s="2412"/>
      <c r="L477" s="2536"/>
      <c r="M477" s="2232"/>
      <c r="N477" s="2557"/>
      <c r="O477" s="2498">
        <f t="shared" si="101"/>
        <v>106.26</v>
      </c>
      <c r="P477" s="2295">
        <f t="shared" si="102"/>
        <v>1</v>
      </c>
    </row>
    <row r="478" spans="1:16" ht="30">
      <c r="A478" s="2265" t="s">
        <v>13139</v>
      </c>
      <c r="B478" s="2228">
        <f>VLOOKUP($A478,'11 - QT_ WB'!$A:$F,2,0)</f>
        <v>95817</v>
      </c>
      <c r="C478" s="2228" t="str">
        <f>VLOOKUP($A478,'11 - QT_ WB'!$A:$F,3,0)</f>
        <v>SINAPI</v>
      </c>
      <c r="D478" s="2333" t="s">
        <v>7928</v>
      </c>
      <c r="E478" s="2243" t="str">
        <f>IF($C478="SINAPI",VLOOKUP($B478,'24.08_ND'!$A:$D,3,0),IF($C478="PRÓPRIA",VLOOKUP($B478,'03-CP'!$C:$H,3,0)))</f>
        <v>UN</v>
      </c>
      <c r="F478" s="2230">
        <v>3</v>
      </c>
      <c r="G478" s="2232">
        <v>42.63</v>
      </c>
      <c r="H478" s="2332">
        <f t="shared" si="100"/>
        <v>127.89</v>
      </c>
      <c r="I478" s="2286"/>
      <c r="J478" s="2237"/>
      <c r="K478" s="2411"/>
      <c r="L478" s="2533"/>
      <c r="M478" s="2238"/>
      <c r="N478" s="2239"/>
      <c r="O478" s="2498">
        <f t="shared" si="101"/>
        <v>127.89</v>
      </c>
      <c r="P478" s="2295">
        <f t="shared" si="102"/>
        <v>1</v>
      </c>
    </row>
    <row r="479" spans="1:16" ht="45">
      <c r="A479" s="2265" t="s">
        <v>13140</v>
      </c>
      <c r="B479" s="2228">
        <f>VLOOKUP($A479,'11 - QT_ WB'!$A:$F,2,0)</f>
        <v>97886</v>
      </c>
      <c r="C479" s="2228" t="str">
        <f>VLOOKUP($A479,'11 - QT_ WB'!$A:$F,3,0)</f>
        <v>SINAPI</v>
      </c>
      <c r="D479" s="2333" t="s">
        <v>7935</v>
      </c>
      <c r="E479" s="2243" t="str">
        <f>IF($C479="SINAPI",VLOOKUP($B479,'24.08_ND'!$A:$D,3,0),IF($C479="PRÓPRIA",VLOOKUP($B479,'03-CP'!$C:$H,3,0)))</f>
        <v>UN</v>
      </c>
      <c r="F479" s="2230">
        <v>1</v>
      </c>
      <c r="G479" s="2232">
        <v>199.6</v>
      </c>
      <c r="H479" s="2332">
        <f t="shared" si="100"/>
        <v>199.6</v>
      </c>
      <c r="I479" s="2286"/>
      <c r="J479" s="2237"/>
      <c r="K479" s="2411"/>
      <c r="L479" s="2533"/>
      <c r="M479" s="2238"/>
      <c r="N479" s="2239"/>
      <c r="O479" s="2498">
        <f t="shared" si="101"/>
        <v>199.6</v>
      </c>
      <c r="P479" s="2295">
        <f t="shared" si="102"/>
        <v>1</v>
      </c>
    </row>
    <row r="480" spans="1:16" ht="30">
      <c r="A480" s="2265" t="s">
        <v>13141</v>
      </c>
      <c r="B480" s="2228">
        <f>VLOOKUP($A480,'11 - QT_ WB'!$A:$F,2,0)</f>
        <v>98297</v>
      </c>
      <c r="C480" s="2228" t="str">
        <f>VLOOKUP($A480,'11 - QT_ WB'!$A:$F,3,0)</f>
        <v>SINAPI</v>
      </c>
      <c r="D480" s="2333" t="s">
        <v>8403</v>
      </c>
      <c r="E480" s="2243" t="str">
        <f>IF($C480="SINAPI",VLOOKUP($B480,'24.08_ND'!$A:$D,3,0),IF($C480="PRÓPRIA",VLOOKUP($B480,'03-CP'!$C:$H,3,0)))</f>
        <v>M</v>
      </c>
      <c r="F480" s="2230">
        <v>70</v>
      </c>
      <c r="G480" s="2232">
        <v>13.05</v>
      </c>
      <c r="H480" s="2332">
        <f t="shared" si="100"/>
        <v>913.5</v>
      </c>
      <c r="I480" s="2286"/>
      <c r="J480" s="2237"/>
      <c r="K480" s="2411"/>
      <c r="L480" s="2533"/>
      <c r="M480" s="2238"/>
      <c r="N480" s="2239"/>
      <c r="O480" s="2498">
        <f t="shared" si="101"/>
        <v>913.5</v>
      </c>
      <c r="P480" s="2295">
        <f t="shared" si="102"/>
        <v>1</v>
      </c>
    </row>
    <row r="481" spans="1:16" ht="30">
      <c r="A481" s="2265" t="s">
        <v>13142</v>
      </c>
      <c r="B481" s="2228" t="str">
        <f>VLOOKUP($A481,'11 - QT_ WB'!$A:$F,2,0)</f>
        <v>CP-CAB-08</v>
      </c>
      <c r="C481" s="2228" t="str">
        <f>VLOOKUP($A481,'11 - QT_ WB'!$A:$F,3,0)</f>
        <v>PRÓPRIA</v>
      </c>
      <c r="D481" s="2333" t="s">
        <v>15349</v>
      </c>
      <c r="E481" s="2243" t="str">
        <f>IF($C481="SINAPI",VLOOKUP($B481,'24.08_ND'!$A:$D,3,0),IF($C481="PRÓPRIA",VLOOKUP($B481,'03-CP'!$C:$H,3,0)))</f>
        <v>UN</v>
      </c>
      <c r="F481" s="2230">
        <v>4</v>
      </c>
      <c r="G481" s="2232">
        <v>44.73</v>
      </c>
      <c r="H481" s="2332">
        <f t="shared" si="100"/>
        <v>178.92</v>
      </c>
      <c r="I481" s="2287"/>
      <c r="J481" s="2231"/>
      <c r="K481" s="2412"/>
      <c r="L481" s="2536"/>
      <c r="M481" s="2232"/>
      <c r="N481" s="2557"/>
      <c r="O481" s="2498">
        <f t="shared" si="101"/>
        <v>178.92</v>
      </c>
      <c r="P481" s="2295">
        <f t="shared" si="102"/>
        <v>1</v>
      </c>
    </row>
    <row r="482" spans="1:16" ht="45">
      <c r="A482" s="2265" t="s">
        <v>13143</v>
      </c>
      <c r="B482" s="2228">
        <f>VLOOKUP($A482,'11 - QT_ WB'!$A:$F,2,0)</f>
        <v>91855</v>
      </c>
      <c r="C482" s="2228" t="str">
        <f>VLOOKUP($A482,'11 - QT_ WB'!$A:$F,3,0)</f>
        <v>SINAPI</v>
      </c>
      <c r="D482" s="2333" t="s">
        <v>7771</v>
      </c>
      <c r="E482" s="2243" t="str">
        <f>IF($C482="SINAPI",VLOOKUP($B482,'24.08_ND'!$A:$D,3,0),IF($C482="PRÓPRIA",VLOOKUP($B482,'03-CP'!$C:$H,3,0)))</f>
        <v>M</v>
      </c>
      <c r="F482" s="2230">
        <v>12</v>
      </c>
      <c r="G482" s="2232">
        <v>12.07</v>
      </c>
      <c r="H482" s="2332">
        <f t="shared" si="100"/>
        <v>144.84</v>
      </c>
      <c r="I482" s="2286"/>
      <c r="J482" s="2237"/>
      <c r="K482" s="2411"/>
      <c r="L482" s="2533"/>
      <c r="M482" s="2238"/>
      <c r="N482" s="2239"/>
      <c r="O482" s="2498">
        <f t="shared" si="101"/>
        <v>144.84</v>
      </c>
      <c r="P482" s="2295">
        <f t="shared" si="102"/>
        <v>1</v>
      </c>
    </row>
    <row r="483" spans="1:16" ht="45">
      <c r="A483" s="2265" t="s">
        <v>13144</v>
      </c>
      <c r="B483" s="2228">
        <f>VLOOKUP($A483,'11 - QT_ WB'!$A:$F,2,0)</f>
        <v>91871</v>
      </c>
      <c r="C483" s="2228" t="str">
        <f>VLOOKUP($A483,'11 - QT_ WB'!$A:$F,3,0)</f>
        <v>SINAPI</v>
      </c>
      <c r="D483" s="2333" t="s">
        <v>7786</v>
      </c>
      <c r="E483" s="2243" t="str">
        <f>IF($C483="SINAPI",VLOOKUP($B483,'24.08_ND'!$A:$D,3,0),IF($C483="PRÓPRIA",VLOOKUP($B483,'03-CP'!$C:$H,3,0)))</f>
        <v>M</v>
      </c>
      <c r="F483" s="2230">
        <v>18</v>
      </c>
      <c r="G483" s="2232">
        <v>15.61</v>
      </c>
      <c r="H483" s="2332">
        <f t="shared" si="100"/>
        <v>280.98</v>
      </c>
      <c r="I483" s="2286"/>
      <c r="J483" s="2237"/>
      <c r="K483" s="2411"/>
      <c r="L483" s="2533"/>
      <c r="M483" s="2238"/>
      <c r="N483" s="2239"/>
      <c r="O483" s="2498">
        <f t="shared" si="101"/>
        <v>280.98</v>
      </c>
      <c r="P483" s="2295">
        <f t="shared" si="102"/>
        <v>1</v>
      </c>
    </row>
    <row r="484" spans="1:16">
      <c r="A484" s="2265" t="s">
        <v>13145</v>
      </c>
      <c r="B484" s="2228" t="str">
        <f>VLOOKUP($A484,'11 - QT_ WB'!$A:$F,2,0)</f>
        <v>CP-ELE-94</v>
      </c>
      <c r="C484" s="2228" t="str">
        <f>VLOOKUP($A484,'11 - QT_ WB'!$A:$F,3,0)</f>
        <v>PRÓPRIA</v>
      </c>
      <c r="D484" s="2333" t="s">
        <v>15117</v>
      </c>
      <c r="E484" s="2243" t="str">
        <f>IF($C484="SINAPI",VLOOKUP($B484,'24.08_ND'!$A:$D,3,0),IF($C484="PRÓPRIA",VLOOKUP($B484,'03-CP'!$C:$H,3,0)))</f>
        <v>UN</v>
      </c>
      <c r="F484" s="2230">
        <v>18</v>
      </c>
      <c r="G484" s="2232">
        <v>6.17</v>
      </c>
      <c r="H484" s="2332">
        <f t="shared" si="100"/>
        <v>111.06</v>
      </c>
      <c r="I484" s="2287"/>
      <c r="J484" s="2231"/>
      <c r="K484" s="2412"/>
      <c r="L484" s="2536"/>
      <c r="M484" s="2232"/>
      <c r="N484" s="2557"/>
      <c r="O484" s="2498">
        <f t="shared" si="101"/>
        <v>111.06</v>
      </c>
      <c r="P484" s="2295">
        <f t="shared" si="102"/>
        <v>1</v>
      </c>
    </row>
    <row r="485" spans="1:16" ht="45">
      <c r="A485" s="2265" t="s">
        <v>13146</v>
      </c>
      <c r="B485" s="2228">
        <f>VLOOKUP($A485,'11 - QT_ WB'!$A:$F,2,0)</f>
        <v>91884</v>
      </c>
      <c r="C485" s="2228" t="str">
        <f>VLOOKUP($A485,'11 - QT_ WB'!$A:$F,3,0)</f>
        <v>SINAPI</v>
      </c>
      <c r="D485" s="2333" t="s">
        <v>7810</v>
      </c>
      <c r="E485" s="2243" t="str">
        <f>IF($C485="SINAPI",VLOOKUP($B485,'24.08_ND'!$A:$D,3,0),IF($C485="PRÓPRIA",VLOOKUP($B485,'03-CP'!$C:$H,3,0)))</f>
        <v>UN</v>
      </c>
      <c r="F485" s="2230">
        <v>7</v>
      </c>
      <c r="G485" s="2232">
        <v>12.46</v>
      </c>
      <c r="H485" s="2332">
        <f t="shared" si="100"/>
        <v>87.22</v>
      </c>
      <c r="I485" s="2286"/>
      <c r="J485" s="2237"/>
      <c r="K485" s="2411"/>
      <c r="L485" s="2533"/>
      <c r="M485" s="2238"/>
      <c r="N485" s="2239"/>
      <c r="O485" s="2498">
        <f t="shared" si="101"/>
        <v>87.22</v>
      </c>
      <c r="P485" s="2295">
        <f t="shared" si="102"/>
        <v>1</v>
      </c>
    </row>
    <row r="486" spans="1:16" ht="45">
      <c r="A486" s="2265" t="s">
        <v>13147</v>
      </c>
      <c r="B486" s="2228">
        <f>VLOOKUP($A486,'11 - QT_ WB'!$A:$F,2,0)</f>
        <v>91914</v>
      </c>
      <c r="C486" s="2228" t="str">
        <f>VLOOKUP($A486,'11 - QT_ WB'!$A:$F,3,0)</f>
        <v>SINAPI</v>
      </c>
      <c r="D486" s="2333" t="s">
        <v>7831</v>
      </c>
      <c r="E486" s="2243" t="str">
        <f>IF($C486="SINAPI",VLOOKUP($B486,'24.08_ND'!$A:$D,3,0),IF($C486="PRÓPRIA",VLOOKUP($B486,'03-CP'!$C:$H,3,0)))</f>
        <v>UN</v>
      </c>
      <c r="F486" s="2230">
        <v>8</v>
      </c>
      <c r="G486" s="2232">
        <v>19.95</v>
      </c>
      <c r="H486" s="2332">
        <f t="shared" si="100"/>
        <v>159.6</v>
      </c>
      <c r="I486" s="2286"/>
      <c r="J486" s="2237"/>
      <c r="K486" s="2411"/>
      <c r="L486" s="2533"/>
      <c r="M486" s="2238"/>
      <c r="N486" s="2239"/>
      <c r="O486" s="2498">
        <f t="shared" si="101"/>
        <v>159.6</v>
      </c>
      <c r="P486" s="2295">
        <f t="shared" si="102"/>
        <v>1</v>
      </c>
    </row>
    <row r="487" spans="1:16" ht="30">
      <c r="A487" s="2265" t="s">
        <v>13148</v>
      </c>
      <c r="B487" s="2228">
        <f>VLOOKUP($A487,'11 - QT_ WB'!$A:$F,2,0)</f>
        <v>90447</v>
      </c>
      <c r="C487" s="2228" t="str">
        <f>VLOOKUP($A487,'11 - QT_ WB'!$A:$F,3,0)</f>
        <v>SINAPI</v>
      </c>
      <c r="D487" s="2333" t="s">
        <v>10377</v>
      </c>
      <c r="E487" s="2243" t="str">
        <f>IF($C487="SINAPI",VLOOKUP($B487,'24.08_ND'!$A:$D,3,0),IF($C487="PRÓPRIA",VLOOKUP($B487,'03-CP'!$C:$H,3,0)))</f>
        <v>M</v>
      </c>
      <c r="F487" s="2230">
        <v>12</v>
      </c>
      <c r="G487" s="2232">
        <v>8.76</v>
      </c>
      <c r="H487" s="2332">
        <f t="shared" si="100"/>
        <v>105.12</v>
      </c>
      <c r="I487" s="2286"/>
      <c r="J487" s="2237"/>
      <c r="K487" s="2411"/>
      <c r="L487" s="2533"/>
      <c r="M487" s="2238"/>
      <c r="N487" s="2239"/>
      <c r="O487" s="2498">
        <f t="shared" si="101"/>
        <v>105.12</v>
      </c>
      <c r="P487" s="2295">
        <f t="shared" si="102"/>
        <v>1</v>
      </c>
    </row>
    <row r="488" spans="1:16" ht="45">
      <c r="A488" s="2265" t="s">
        <v>13149</v>
      </c>
      <c r="B488" s="2228">
        <f>VLOOKUP($A488,'11 - QT_ WB'!$A:$F,2,0)</f>
        <v>90466</v>
      </c>
      <c r="C488" s="2228" t="str">
        <f>VLOOKUP($A488,'11 - QT_ WB'!$A:$F,3,0)</f>
        <v>SINAPI</v>
      </c>
      <c r="D488" s="2333" t="s">
        <v>10391</v>
      </c>
      <c r="E488" s="2243" t="str">
        <f>IF($C488="SINAPI",VLOOKUP($B488,'24.08_ND'!$A:$D,3,0),IF($C488="PRÓPRIA",VLOOKUP($B488,'03-CP'!$C:$H,3,0)))</f>
        <v>M</v>
      </c>
      <c r="F488" s="2230">
        <v>12</v>
      </c>
      <c r="G488" s="2232">
        <v>16.71</v>
      </c>
      <c r="H488" s="2332">
        <f t="shared" si="100"/>
        <v>200.52</v>
      </c>
      <c r="I488" s="2286"/>
      <c r="J488" s="2237"/>
      <c r="K488" s="2411"/>
      <c r="L488" s="2533"/>
      <c r="M488" s="2238"/>
      <c r="N488" s="2239"/>
      <c r="O488" s="2498">
        <f t="shared" si="101"/>
        <v>200.52</v>
      </c>
      <c r="P488" s="2295">
        <f t="shared" si="102"/>
        <v>1</v>
      </c>
    </row>
    <row r="489" spans="1:16" ht="45">
      <c r="A489" s="2265" t="s">
        <v>13150</v>
      </c>
      <c r="B489" s="2228">
        <f>VLOOKUP($A489,'11 - QT_ WB'!$A:$F,2,0)</f>
        <v>97667</v>
      </c>
      <c r="C489" s="2228" t="str">
        <f>VLOOKUP($A489,'11 - QT_ WB'!$A:$F,3,0)</f>
        <v>SINAPI</v>
      </c>
      <c r="D489" s="2333" t="s">
        <v>7797</v>
      </c>
      <c r="E489" s="2243" t="str">
        <f>IF($C489="SINAPI",VLOOKUP($B489,'24.08_ND'!$A:$D,3,0),IF($C489="PRÓPRIA",VLOOKUP($B489,'03-CP'!$C:$H,3,0)))</f>
        <v>M</v>
      </c>
      <c r="F489" s="2230">
        <v>32</v>
      </c>
      <c r="G489" s="2232">
        <v>8.93</v>
      </c>
      <c r="H489" s="2332">
        <f t="shared" si="100"/>
        <v>285.76</v>
      </c>
      <c r="I489" s="2286"/>
      <c r="J489" s="2237"/>
      <c r="K489" s="2411"/>
      <c r="L489" s="2533"/>
      <c r="M489" s="2238"/>
      <c r="N489" s="2239"/>
      <c r="O489" s="2498">
        <f t="shared" si="101"/>
        <v>285.76</v>
      </c>
      <c r="P489" s="2295">
        <f t="shared" si="102"/>
        <v>1</v>
      </c>
    </row>
    <row r="490" spans="1:16" ht="30">
      <c r="A490" s="2265" t="s">
        <v>13151</v>
      </c>
      <c r="B490" s="2228">
        <f>VLOOKUP($A490,'11 - QT_ WB'!$A:$F,2,0)</f>
        <v>91859</v>
      </c>
      <c r="C490" s="2228" t="str">
        <f>VLOOKUP($A490,'11 - QT_ WB'!$A:$F,3,0)</f>
        <v>SINAPI</v>
      </c>
      <c r="D490" s="2333" t="s">
        <v>7774</v>
      </c>
      <c r="E490" s="2243" t="str">
        <f>IF($C490="SINAPI",VLOOKUP($B490,'24.08_ND'!$A:$D,3,0),IF($C490="PRÓPRIA",VLOOKUP($B490,'03-CP'!$C:$H,3,0)))</f>
        <v>M</v>
      </c>
      <c r="F490" s="2230">
        <v>6</v>
      </c>
      <c r="G490" s="2232">
        <v>11.01</v>
      </c>
      <c r="H490" s="2332">
        <f t="shared" si="100"/>
        <v>66.06</v>
      </c>
      <c r="I490" s="2286"/>
      <c r="J490" s="2237"/>
      <c r="K490" s="2411"/>
      <c r="L490" s="2533"/>
      <c r="M490" s="2238"/>
      <c r="N490" s="2239"/>
      <c r="O490" s="2498">
        <f t="shared" si="101"/>
        <v>66.06</v>
      </c>
      <c r="P490" s="2295">
        <f t="shared" si="102"/>
        <v>1</v>
      </c>
    </row>
    <row r="491" spans="1:16" ht="30">
      <c r="A491" s="2265" t="s">
        <v>13152</v>
      </c>
      <c r="B491" s="2228">
        <f>VLOOKUP($A491,'11 - QT_ WB'!$A:$F,2,0)</f>
        <v>93358</v>
      </c>
      <c r="C491" s="2228" t="str">
        <f>VLOOKUP($A491,'11 - QT_ WB'!$A:$F,3,0)</f>
        <v>SINAPI</v>
      </c>
      <c r="D491" s="2333" t="s">
        <v>10648</v>
      </c>
      <c r="E491" s="2243" t="str">
        <f>IF($C491="SINAPI",VLOOKUP($B491,'24.08_ND'!$A:$D,3,0),IF($C491="PRÓPRIA",VLOOKUP($B491,'03-CP'!$C:$H,3,0)))</f>
        <v>M3</v>
      </c>
      <c r="F491" s="2230">
        <v>8</v>
      </c>
      <c r="G491" s="2232">
        <v>91.52</v>
      </c>
      <c r="H491" s="2332">
        <f t="shared" si="100"/>
        <v>732.16</v>
      </c>
      <c r="I491" s="2286"/>
      <c r="J491" s="2237"/>
      <c r="K491" s="2411"/>
      <c r="L491" s="2533"/>
      <c r="M491" s="2238"/>
      <c r="N491" s="2239"/>
      <c r="O491" s="2498">
        <f t="shared" si="101"/>
        <v>732.16</v>
      </c>
      <c r="P491" s="2295">
        <f t="shared" si="102"/>
        <v>1</v>
      </c>
    </row>
    <row r="492" spans="1:16" ht="30">
      <c r="A492" s="2265" t="s">
        <v>13153</v>
      </c>
      <c r="B492" s="2228">
        <f>VLOOKUP($A492,'11 - QT_ WB'!$A:$F,2,0)</f>
        <v>93382</v>
      </c>
      <c r="C492" s="2228" t="str">
        <f>VLOOKUP($A492,'11 - QT_ WB'!$A:$F,3,0)</f>
        <v>SINAPI</v>
      </c>
      <c r="D492" s="2333" t="s">
        <v>10726</v>
      </c>
      <c r="E492" s="2243" t="str">
        <f>IF($C492="SINAPI",VLOOKUP($B492,'24.08_ND'!$A:$D,3,0),IF($C492="PRÓPRIA",VLOOKUP($B492,'03-CP'!$C:$H,3,0)))</f>
        <v>M3</v>
      </c>
      <c r="F492" s="2230">
        <v>8.8000000000000007</v>
      </c>
      <c r="G492" s="2232">
        <v>26.88</v>
      </c>
      <c r="H492" s="2332">
        <f t="shared" si="100"/>
        <v>236.54</v>
      </c>
      <c r="I492" s="2286"/>
      <c r="J492" s="2237"/>
      <c r="K492" s="2411"/>
      <c r="L492" s="2533"/>
      <c r="M492" s="2238"/>
      <c r="N492" s="2239"/>
      <c r="O492" s="2498">
        <f t="shared" si="101"/>
        <v>236.54</v>
      </c>
      <c r="P492" s="2295">
        <f t="shared" si="102"/>
        <v>1</v>
      </c>
    </row>
    <row r="493" spans="1:16">
      <c r="A493" s="2263" t="s">
        <v>12628</v>
      </c>
      <c r="B493" s="2216"/>
      <c r="C493" s="2217"/>
      <c r="D493" s="2377" t="s">
        <v>16345</v>
      </c>
      <c r="E493" s="2218"/>
      <c r="F493" s="2241"/>
      <c r="G493" s="2220"/>
      <c r="H493" s="2300">
        <f>SUBTOTAL(9,H494:H496)</f>
        <v>671.29</v>
      </c>
      <c r="I493" s="2283"/>
      <c r="J493" s="2221"/>
      <c r="K493" s="2492"/>
      <c r="L493" s="2532">
        <f>SUBTOTAL(9,L494:L496)</f>
        <v>0</v>
      </c>
      <c r="M493" s="2300">
        <f>SUBTOTAL(9,M494:M496)</f>
        <v>0</v>
      </c>
      <c r="N493" s="2300">
        <f>SUBTOTAL(9,N494:N496)</f>
        <v>0</v>
      </c>
      <c r="O493" s="2300">
        <f>SUBTOTAL(9,O494:O496)</f>
        <v>671.29</v>
      </c>
      <c r="P493" s="2292"/>
    </row>
    <row r="494" spans="1:16" ht="30">
      <c r="A494" s="2265" t="s">
        <v>13154</v>
      </c>
      <c r="B494" s="2228">
        <f>VLOOKUP($A494,'11 - QT_ WB'!$A:$F,2,0)</f>
        <v>101908</v>
      </c>
      <c r="C494" s="2228" t="str">
        <f>VLOOKUP($A494,'11 - QT_ WB'!$A:$F,3,0)</f>
        <v>SINAPI</v>
      </c>
      <c r="D494" s="2333" t="s">
        <v>8302</v>
      </c>
      <c r="E494" s="2243" t="str">
        <f>IFERROR(VLOOKUP($B494,'24.08_ND'!$1:$1048529,3,0),IFERROR(VLOOKUP($B494,'03-CP'!$C$1:$H$6260,3,0),""))</f>
        <v>UN</v>
      </c>
      <c r="F494" s="2230">
        <v>2</v>
      </c>
      <c r="G494" s="2232">
        <v>242.25</v>
      </c>
      <c r="H494" s="2332">
        <f>TRUNC((G494*F494),2)</f>
        <v>484.5</v>
      </c>
      <c r="I494" s="2286"/>
      <c r="J494" s="2237"/>
      <c r="K494" s="2411"/>
      <c r="L494" s="2533"/>
      <c r="M494" s="2238"/>
      <c r="N494" s="2239"/>
      <c r="O494" s="2498">
        <f>H494-L494</f>
        <v>484.5</v>
      </c>
      <c r="P494" s="2295">
        <f>O494/H494</f>
        <v>1</v>
      </c>
    </row>
    <row r="495" spans="1:16" ht="30">
      <c r="A495" s="2265" t="s">
        <v>13155</v>
      </c>
      <c r="B495" s="2228">
        <f>VLOOKUP($A495,'11 - QT_ WB'!$A:$F,2,0)</f>
        <v>97599</v>
      </c>
      <c r="C495" s="2228" t="str">
        <f>VLOOKUP($A495,'11 - QT_ WB'!$A:$F,3,0)</f>
        <v>SINAPI</v>
      </c>
      <c r="D495" s="2333" t="s">
        <v>8100</v>
      </c>
      <c r="E495" s="2243" t="str">
        <f>IFERROR(VLOOKUP($B495,'24.08_ND'!$1:$1048529,3,0),IFERROR(VLOOKUP($B495,'03-CP'!$C$1:$H$6260,3,0),""))</f>
        <v>UN</v>
      </c>
      <c r="F495" s="2230">
        <v>5</v>
      </c>
      <c r="G495" s="2232">
        <v>18.71</v>
      </c>
      <c r="H495" s="2332">
        <f>TRUNC((G495*F495),2)</f>
        <v>93.55</v>
      </c>
      <c r="I495" s="2286"/>
      <c r="J495" s="2237"/>
      <c r="K495" s="2411"/>
      <c r="L495" s="2533"/>
      <c r="M495" s="2238"/>
      <c r="N495" s="2239"/>
      <c r="O495" s="2498">
        <f>H495-L495</f>
        <v>93.55</v>
      </c>
      <c r="P495" s="2295">
        <f>O495/H495</f>
        <v>1</v>
      </c>
    </row>
    <row r="496" spans="1:16" ht="45">
      <c r="A496" s="2265" t="s">
        <v>13156</v>
      </c>
      <c r="B496" s="2228" t="str">
        <f>VLOOKUP($A496,'11 - QT_ WB'!$A:$F,2,0)</f>
        <v>CP-INC-01</v>
      </c>
      <c r="C496" s="2228" t="str">
        <f>VLOOKUP($A496,'11 - QT_ WB'!$A:$F,3,0)</f>
        <v>PRÓPRIA</v>
      </c>
      <c r="D496" s="2333" t="s">
        <v>15360</v>
      </c>
      <c r="E496" s="2243" t="str">
        <f>IFERROR(VLOOKUP($B496,'24.08_ND'!$1:$1048529,3,0),IFERROR(VLOOKUP($B496,'03-CP'!$C$1:$H$6260,3,0),""))</f>
        <v>UN</v>
      </c>
      <c r="F496" s="2230">
        <v>4</v>
      </c>
      <c r="G496" s="2232">
        <v>23.31</v>
      </c>
      <c r="H496" s="2332">
        <f>TRUNC((G496*F496),2)</f>
        <v>93.24</v>
      </c>
      <c r="I496" s="2287"/>
      <c r="J496" s="2231"/>
      <c r="K496" s="2412"/>
      <c r="L496" s="2536"/>
      <c r="M496" s="2232"/>
      <c r="N496" s="2557"/>
      <c r="O496" s="2498">
        <f>H496-L496</f>
        <v>93.24</v>
      </c>
      <c r="P496" s="2295">
        <f>O496/H496</f>
        <v>1</v>
      </c>
    </row>
    <row r="497" spans="1:16">
      <c r="A497" s="2405" t="s">
        <v>13157</v>
      </c>
      <c r="B497" s="2406"/>
      <c r="C497" s="1799"/>
      <c r="D497" s="2146"/>
      <c r="E497" s="1799"/>
      <c r="F497" s="232"/>
      <c r="G497" s="233"/>
      <c r="H497" s="2299">
        <f>SUBTOTAL(9,H498:H832)</f>
        <v>6754877.4200000009</v>
      </c>
      <c r="I497" s="2285"/>
      <c r="J497" s="2151"/>
      <c r="K497" s="2495"/>
      <c r="L497" s="2531">
        <f>SUBTOTAL(9,L498:L832)</f>
        <v>0</v>
      </c>
      <c r="M497" s="2299">
        <f>SUBTOTAL(9,M498:M832)</f>
        <v>0</v>
      </c>
      <c r="N497" s="2299">
        <f>SUBTOTAL(9,N498:N832)</f>
        <v>0</v>
      </c>
      <c r="O497" s="2299">
        <f>SUBTOTAL(9,O498:O832)</f>
        <v>6754877.4200000009</v>
      </c>
      <c r="P497" s="2294"/>
    </row>
    <row r="498" spans="1:16">
      <c r="A498" s="2267" t="s">
        <v>12630</v>
      </c>
      <c r="B498" s="2216"/>
      <c r="C498" s="2217"/>
      <c r="D498" s="2377" t="s">
        <v>16348</v>
      </c>
      <c r="E498" s="2218"/>
      <c r="F498" s="2241"/>
      <c r="G498" s="2220"/>
      <c r="H498" s="2300">
        <f>SUBTOTAL(9,H499:H700)</f>
        <v>1604577.3800000011</v>
      </c>
      <c r="I498" s="2283"/>
      <c r="J498" s="2221"/>
      <c r="K498" s="2492"/>
      <c r="L498" s="2532">
        <f>SUBTOTAL(9,L499:L700)</f>
        <v>0</v>
      </c>
      <c r="M498" s="2300">
        <f>SUBTOTAL(9,M499:M700)</f>
        <v>0</v>
      </c>
      <c r="N498" s="2300">
        <f>SUBTOTAL(9,N499:N700)</f>
        <v>0</v>
      </c>
      <c r="O498" s="2300">
        <f>SUBTOTAL(9,O499:O700)</f>
        <v>1604577.3800000011</v>
      </c>
      <c r="P498" s="2292"/>
    </row>
    <row r="499" spans="1:16">
      <c r="A499" s="2340" t="s">
        <v>13158</v>
      </c>
      <c r="B499" s="2223"/>
      <c r="C499" s="2223"/>
      <c r="D499" s="2376" t="s">
        <v>16351</v>
      </c>
      <c r="E499" s="2224"/>
      <c r="F499" s="2240"/>
      <c r="G499" s="2226"/>
      <c r="H499" s="2301">
        <f>SUBTOTAL(9,H500:H507)</f>
        <v>849460.58</v>
      </c>
      <c r="I499" s="2284"/>
      <c r="J499" s="2227"/>
      <c r="K499" s="2496"/>
      <c r="L499" s="2534">
        <f>SUBTOTAL(9,L500:L507)</f>
        <v>0</v>
      </c>
      <c r="M499" s="2301">
        <f>SUBTOTAL(9,M500:M507)</f>
        <v>0</v>
      </c>
      <c r="N499" s="2301">
        <f>SUBTOTAL(9,N500:N507)</f>
        <v>0</v>
      </c>
      <c r="O499" s="2301">
        <f>SUBTOTAL(9,O500:O507)</f>
        <v>849460.58</v>
      </c>
      <c r="P499" s="2293"/>
    </row>
    <row r="500" spans="1:16" ht="30">
      <c r="A500" s="2265" t="s">
        <v>12603</v>
      </c>
      <c r="B500" s="2228" t="str">
        <f>VLOOKUP($A500,'12 - QT_SUN'!$A:$F,2,0)</f>
        <v>PS-CP-EST-08</v>
      </c>
      <c r="C500" s="2228" t="str">
        <f>VLOOKUP($A500,'12 - QT_SUN'!$A:$F,3,0)</f>
        <v>PRÓPRIA</v>
      </c>
      <c r="D500" s="2333" t="s">
        <v>14601</v>
      </c>
      <c r="E500" s="2243" t="str">
        <f>IF($C500="SINAPI",VLOOKUP($B500,'24.08_ND'!$A:$D,3,0),IF($C500="PRÓPRIA",VLOOKUP($B500,'03-CP'!$C:$H,3,0)))</f>
        <v>M2</v>
      </c>
      <c r="F500" s="2230">
        <v>3717.6</v>
      </c>
      <c r="G500" s="2232">
        <v>130.08000000000001</v>
      </c>
      <c r="H500" s="2332">
        <f t="shared" ref="H500:H507" si="103">TRUNC((G500*F500),2)</f>
        <v>483585.4</v>
      </c>
      <c r="I500" s="2287"/>
      <c r="J500" s="2231"/>
      <c r="K500" s="2412"/>
      <c r="L500" s="2536"/>
      <c r="M500" s="2232"/>
      <c r="N500" s="2557"/>
      <c r="O500" s="2498">
        <f t="shared" ref="O500:O507" si="104">H500-L500</f>
        <v>483585.4</v>
      </c>
      <c r="P500" s="2295">
        <f t="shared" ref="P500:P507" si="105">O500/H500</f>
        <v>1</v>
      </c>
    </row>
    <row r="501" spans="1:16" ht="30">
      <c r="A501" s="2265" t="s">
        <v>13159</v>
      </c>
      <c r="B501" s="2228">
        <f>VLOOKUP($A501,'12 - QT_SUN'!$A:$F,2,0)</f>
        <v>100576</v>
      </c>
      <c r="C501" s="2228" t="str">
        <f>VLOOKUP($A501,'12 - QT_SUN'!$A:$F,3,0)</f>
        <v>SINAPI</v>
      </c>
      <c r="D501" s="2333" t="s">
        <v>10899</v>
      </c>
      <c r="E501" s="2243" t="str">
        <f>IF($C501="SINAPI",VLOOKUP($B501,'24.08_ND'!$A:$D,3,0),IF($C501="PRÓPRIA",VLOOKUP($B501,'03-CP'!$C:$H,3,0)))</f>
        <v>M2</v>
      </c>
      <c r="F501" s="2230">
        <v>3717.6</v>
      </c>
      <c r="G501" s="2232">
        <v>2.75</v>
      </c>
      <c r="H501" s="2332">
        <f t="shared" si="103"/>
        <v>10223.4</v>
      </c>
      <c r="I501" s="2286"/>
      <c r="J501" s="2237"/>
      <c r="K501" s="2411"/>
      <c r="L501" s="2533"/>
      <c r="M501" s="2238"/>
      <c r="N501" s="2239"/>
      <c r="O501" s="2498">
        <f t="shared" si="104"/>
        <v>10223.4</v>
      </c>
      <c r="P501" s="2295">
        <f t="shared" si="105"/>
        <v>1</v>
      </c>
    </row>
    <row r="502" spans="1:16" ht="30">
      <c r="A502" s="2265" t="s">
        <v>13160</v>
      </c>
      <c r="B502" s="2228">
        <f>VLOOKUP($A502,'12 - QT_SUN'!$A:$F,2,0)</f>
        <v>96622</v>
      </c>
      <c r="C502" s="2228" t="str">
        <f>VLOOKUP($A502,'12 - QT_SUN'!$A:$F,3,0)</f>
        <v>SINAPI</v>
      </c>
      <c r="D502" s="2333" t="s">
        <v>7168</v>
      </c>
      <c r="E502" s="2243" t="str">
        <f>IF($C502="SINAPI",VLOOKUP($B502,'24.08_ND'!$A:$D,3,0),IF($C502="PRÓPRIA",VLOOKUP($B502,'03-CP'!$C:$H,3,0)))</f>
        <v>M3</v>
      </c>
      <c r="F502" s="2230">
        <v>185.88</v>
      </c>
      <c r="G502" s="2232">
        <v>310.45</v>
      </c>
      <c r="H502" s="2332">
        <f t="shared" si="103"/>
        <v>57706.44</v>
      </c>
      <c r="I502" s="2286"/>
      <c r="J502" s="2237"/>
      <c r="K502" s="2411"/>
      <c r="L502" s="2533"/>
      <c r="M502" s="2238"/>
      <c r="N502" s="2239"/>
      <c r="O502" s="2498">
        <f t="shared" si="104"/>
        <v>57706.44</v>
      </c>
      <c r="P502" s="2295">
        <f t="shared" si="105"/>
        <v>1</v>
      </c>
    </row>
    <row r="503" spans="1:16" ht="45">
      <c r="A503" s="2265" t="s">
        <v>13161</v>
      </c>
      <c r="B503" s="2228">
        <f>VLOOKUP($A503,'12 - QT_SUN'!$A:$F,2,0)</f>
        <v>98575</v>
      </c>
      <c r="C503" s="2228" t="str">
        <f>VLOOKUP($A503,'12 - QT_SUN'!$A:$F,3,0)</f>
        <v>SINAPI</v>
      </c>
      <c r="D503" s="2333" t="s">
        <v>7603</v>
      </c>
      <c r="E503" s="2243" t="str">
        <f>IF($C503="SINAPI",VLOOKUP($B503,'24.08_ND'!$A:$D,3,0),IF($C503="PRÓPRIA",VLOOKUP($B503,'03-CP'!$C:$H,3,0)))</f>
        <v>M</v>
      </c>
      <c r="F503" s="2230">
        <v>2683</v>
      </c>
      <c r="G503" s="2232">
        <v>77.47</v>
      </c>
      <c r="H503" s="2332">
        <f t="shared" si="103"/>
        <v>207852.01</v>
      </c>
      <c r="I503" s="2286"/>
      <c r="J503" s="2237"/>
      <c r="K503" s="2411"/>
      <c r="L503" s="2533"/>
      <c r="M503" s="2238"/>
      <c r="N503" s="2239"/>
      <c r="O503" s="2498">
        <f t="shared" si="104"/>
        <v>207852.01</v>
      </c>
      <c r="P503" s="2295">
        <f t="shared" si="105"/>
        <v>1</v>
      </c>
    </row>
    <row r="504" spans="1:16" ht="30">
      <c r="A504" s="2265" t="s">
        <v>13162</v>
      </c>
      <c r="B504" s="2228" t="str">
        <f>VLOOKUP($A504,'12 - QT_SUN'!$A:$F,2,0)</f>
        <v>PS-CP-EST-01</v>
      </c>
      <c r="C504" s="2228" t="str">
        <f>VLOOKUP($A504,'12 - QT_SUN'!$A:$F,3,0)</f>
        <v>PRÓPRIA</v>
      </c>
      <c r="D504" s="2333" t="s">
        <v>14586</v>
      </c>
      <c r="E504" s="2243" t="str">
        <f>IF($C504="SINAPI",VLOOKUP($B504,'24.08_ND'!$A:$D,3,0),IF($C504="PRÓPRIA",VLOOKUP($B504,'03-CP'!$C:$H,3,0)))</f>
        <v>M</v>
      </c>
      <c r="F504" s="2230">
        <v>163</v>
      </c>
      <c r="G504" s="2232">
        <v>78.66</v>
      </c>
      <c r="H504" s="2332">
        <f t="shared" si="103"/>
        <v>12821.58</v>
      </c>
      <c r="I504" s="2287"/>
      <c r="J504" s="2231"/>
      <c r="K504" s="2412"/>
      <c r="L504" s="2536"/>
      <c r="M504" s="2232"/>
      <c r="N504" s="2557"/>
      <c r="O504" s="2498">
        <f t="shared" si="104"/>
        <v>12821.58</v>
      </c>
      <c r="P504" s="2295">
        <f t="shared" si="105"/>
        <v>1</v>
      </c>
    </row>
    <row r="505" spans="1:16" ht="30">
      <c r="A505" s="2265" t="s">
        <v>13163</v>
      </c>
      <c r="B505" s="2228">
        <f>VLOOKUP($A505,'12 - QT_SUN'!$A:$F,2,0)</f>
        <v>97087</v>
      </c>
      <c r="C505" s="2228" t="str">
        <f>VLOOKUP($A505,'12 - QT_SUN'!$A:$F,3,0)</f>
        <v>SINAPI</v>
      </c>
      <c r="D505" s="2333" t="s">
        <v>7175</v>
      </c>
      <c r="E505" s="2243" t="str">
        <f>IF($C505="SINAPI",VLOOKUP($B505,'24.08_ND'!$A:$D,3,0),IF($C505="PRÓPRIA",VLOOKUP($B505,'03-CP'!$C:$H,3,0)))</f>
        <v>M2</v>
      </c>
      <c r="F505" s="2230">
        <v>4089.36</v>
      </c>
      <c r="G505" s="2232">
        <v>3.78</v>
      </c>
      <c r="H505" s="2332">
        <f t="shared" si="103"/>
        <v>15457.78</v>
      </c>
      <c r="I505" s="2286"/>
      <c r="J505" s="2237"/>
      <c r="K505" s="2411"/>
      <c r="L505" s="2533"/>
      <c r="M505" s="2238"/>
      <c r="N505" s="2239"/>
      <c r="O505" s="2498">
        <f t="shared" si="104"/>
        <v>15457.78</v>
      </c>
      <c r="P505" s="2295">
        <f t="shared" si="105"/>
        <v>1</v>
      </c>
    </row>
    <row r="506" spans="1:16" ht="45">
      <c r="A506" s="2265" t="s">
        <v>13164</v>
      </c>
      <c r="B506" s="2228" t="str">
        <f>VLOOKUP($A506,'12 - QT_SUN'!$A:$F,2,0)</f>
        <v>PS-CP-EST-07</v>
      </c>
      <c r="C506" s="2228" t="str">
        <f>VLOOKUP($A506,'12 - QT_SUN'!$A:$F,3,0)</f>
        <v>PRÓPRIA</v>
      </c>
      <c r="D506" s="2333" t="s">
        <v>14599</v>
      </c>
      <c r="E506" s="2243" t="str">
        <f>IF($C506="SINAPI",VLOOKUP($B506,'24.08_ND'!$A:$D,3,0),IF($C506="PRÓPRIA",VLOOKUP($B506,'03-CP'!$C:$H,3,0)))</f>
        <v>M2</v>
      </c>
      <c r="F506" s="2230">
        <v>3717.6</v>
      </c>
      <c r="G506" s="2232">
        <v>16.329999999999998</v>
      </c>
      <c r="H506" s="2332">
        <f t="shared" si="103"/>
        <v>60708.4</v>
      </c>
      <c r="I506" s="2287"/>
      <c r="J506" s="2231"/>
      <c r="K506" s="2412"/>
      <c r="L506" s="2536"/>
      <c r="M506" s="2232"/>
      <c r="N506" s="2557"/>
      <c r="O506" s="2498">
        <f t="shared" si="104"/>
        <v>60708.4</v>
      </c>
      <c r="P506" s="2295">
        <f t="shared" si="105"/>
        <v>1</v>
      </c>
    </row>
    <row r="507" spans="1:16" ht="45">
      <c r="A507" s="2265" t="s">
        <v>13165</v>
      </c>
      <c r="B507" s="2228">
        <f>VLOOKUP($A507,'12 - QT_SUN'!$A:$F,2,0)</f>
        <v>92917</v>
      </c>
      <c r="C507" s="2228" t="str">
        <f>VLOOKUP($A507,'12 - QT_SUN'!$A:$F,3,0)</f>
        <v>SINAPI</v>
      </c>
      <c r="D507" s="2333" t="s">
        <v>7469</v>
      </c>
      <c r="E507" s="2243" t="str">
        <f>IF($C507="SINAPI",VLOOKUP($B507,'24.08_ND'!$A:$D,3,0),IF($C507="PRÓPRIA",VLOOKUP($B507,'03-CP'!$C:$H,3,0)))</f>
        <v>KG</v>
      </c>
      <c r="F507" s="2230">
        <v>64.39</v>
      </c>
      <c r="G507" s="2232">
        <v>17.170000000000002</v>
      </c>
      <c r="H507" s="2332">
        <f t="shared" si="103"/>
        <v>1105.57</v>
      </c>
      <c r="I507" s="2286"/>
      <c r="J507" s="2237"/>
      <c r="K507" s="2411"/>
      <c r="L507" s="2533"/>
      <c r="M507" s="2238"/>
      <c r="N507" s="2239"/>
      <c r="O507" s="2498">
        <f t="shared" si="104"/>
        <v>1105.57</v>
      </c>
      <c r="P507" s="2295">
        <f t="shared" si="105"/>
        <v>1</v>
      </c>
    </row>
    <row r="508" spans="1:16">
      <c r="A508" s="2340" t="s">
        <v>13166</v>
      </c>
      <c r="B508" s="2223"/>
      <c r="C508" s="2223"/>
      <c r="D508" s="2376" t="s">
        <v>16353</v>
      </c>
      <c r="E508" s="2224"/>
      <c r="F508" s="2240"/>
      <c r="G508" s="2226"/>
      <c r="H508" s="2301">
        <f>SUBTOTAL(9,H509:H514)</f>
        <v>5451.11</v>
      </c>
      <c r="I508" s="2284"/>
      <c r="J508" s="2227"/>
      <c r="K508" s="2496"/>
      <c r="L508" s="2534">
        <f>SUBTOTAL(9,L509:L514)</f>
        <v>0</v>
      </c>
      <c r="M508" s="2301">
        <f>SUBTOTAL(9,M509:M514)</f>
        <v>0</v>
      </c>
      <c r="N508" s="2301">
        <f>SUBTOTAL(9,N509:N514)</f>
        <v>0</v>
      </c>
      <c r="O508" s="2301">
        <f>SUBTOTAL(9,O509:O514)</f>
        <v>5451.11</v>
      </c>
      <c r="P508" s="2293"/>
    </row>
    <row r="509" spans="1:16" ht="45">
      <c r="A509" s="2265" t="s">
        <v>13167</v>
      </c>
      <c r="B509" s="2228" t="str">
        <f>VLOOKUP($A509,'12 - QT_SUN'!$A:$F,2,0)</f>
        <v>PS-CP-EST-02</v>
      </c>
      <c r="C509" s="2228" t="str">
        <f>VLOOKUP($A509,'12 - QT_SUN'!$A:$F,3,0)</f>
        <v>PRÓPRIA</v>
      </c>
      <c r="D509" s="2333" t="s">
        <v>14589</v>
      </c>
      <c r="E509" s="2243" t="str">
        <f>IF($C509="SINAPI",VLOOKUP($B509,'24.08_ND'!$A:$D,3,0),IF($C509="PRÓPRIA",VLOOKUP($B509,'03-CP'!$C:$H,3,0)))</f>
        <v>M</v>
      </c>
      <c r="F509" s="2230">
        <v>26</v>
      </c>
      <c r="G509" s="2232">
        <v>34.92</v>
      </c>
      <c r="H509" s="2332">
        <f t="shared" ref="H509:H514" si="106">TRUNC((G509*F509),2)</f>
        <v>907.92</v>
      </c>
      <c r="I509" s="2287"/>
      <c r="J509" s="2231"/>
      <c r="K509" s="2412"/>
      <c r="L509" s="2536"/>
      <c r="M509" s="2232"/>
      <c r="N509" s="2557"/>
      <c r="O509" s="2498">
        <f t="shared" ref="O509:O514" si="107">H509-L509</f>
        <v>907.92</v>
      </c>
      <c r="P509" s="2295">
        <f t="shared" ref="P509:P514" si="108">O509/H509</f>
        <v>1</v>
      </c>
    </row>
    <row r="510" spans="1:16" ht="30">
      <c r="A510" s="2265" t="s">
        <v>13168</v>
      </c>
      <c r="B510" s="2228" t="str">
        <f>VLOOKUP($A510,'12 - QT_SUN'!$A:$F,2,0)</f>
        <v>PS-CP-EST-03</v>
      </c>
      <c r="C510" s="2228" t="str">
        <f>VLOOKUP($A510,'12 - QT_SUN'!$A:$F,3,0)</f>
        <v>PRÓPRIA</v>
      </c>
      <c r="D510" s="2333" t="s">
        <v>14591</v>
      </c>
      <c r="E510" s="2243" t="str">
        <f>IF($C510="SINAPI",VLOOKUP($B510,'24.08_ND'!$A:$D,3,0),IF($C510="PRÓPRIA",VLOOKUP($B510,'03-CP'!$C:$H,3,0)))</f>
        <v>M3</v>
      </c>
      <c r="F510" s="2230">
        <v>3.27</v>
      </c>
      <c r="G510" s="2232">
        <v>988.62</v>
      </c>
      <c r="H510" s="2332">
        <f t="shared" si="106"/>
        <v>3232.78</v>
      </c>
      <c r="I510" s="2287"/>
      <c r="J510" s="2231"/>
      <c r="K510" s="2412"/>
      <c r="L510" s="2536"/>
      <c r="M510" s="2232"/>
      <c r="N510" s="2557"/>
      <c r="O510" s="2498">
        <f t="shared" si="107"/>
        <v>3232.78</v>
      </c>
      <c r="P510" s="2295">
        <f t="shared" si="108"/>
        <v>1</v>
      </c>
    </row>
    <row r="511" spans="1:16">
      <c r="A511" s="2265" t="s">
        <v>13169</v>
      </c>
      <c r="B511" s="2228">
        <f>VLOOKUP($A511,'12 - QT_SUN'!$A:$F,2,0)</f>
        <v>95577</v>
      </c>
      <c r="C511" s="2228" t="str">
        <f>VLOOKUP($A511,'12 - QT_SUN'!$A:$F,3,0)</f>
        <v>SINAPI</v>
      </c>
      <c r="D511" s="2333" t="s">
        <v>7477</v>
      </c>
      <c r="E511" s="2243" t="str">
        <f>IF($C511="SINAPI",VLOOKUP($B511,'24.08_ND'!$A:$D,3,0),IF($C511="PRÓPRIA",VLOOKUP($B511,'03-CP'!$C:$H,3,0)))</f>
        <v>KG</v>
      </c>
      <c r="F511" s="2230">
        <v>60.96</v>
      </c>
      <c r="G511" s="2232">
        <v>13.71</v>
      </c>
      <c r="H511" s="2332">
        <f t="shared" si="106"/>
        <v>835.76</v>
      </c>
      <c r="I511" s="2286"/>
      <c r="J511" s="2237"/>
      <c r="K511" s="2411"/>
      <c r="L511" s="2533"/>
      <c r="M511" s="2238"/>
      <c r="N511" s="2239"/>
      <c r="O511" s="2498">
        <f t="shared" si="107"/>
        <v>835.76</v>
      </c>
      <c r="P511" s="2295">
        <f t="shared" si="108"/>
        <v>1</v>
      </c>
    </row>
    <row r="512" spans="1:16" ht="30">
      <c r="A512" s="2265" t="s">
        <v>13170</v>
      </c>
      <c r="B512" s="2228">
        <f>VLOOKUP($A512,'12 - QT_SUN'!$A:$F,2,0)</f>
        <v>95583</v>
      </c>
      <c r="C512" s="2228" t="str">
        <f>VLOOKUP($A512,'12 - QT_SUN'!$A:$F,3,0)</f>
        <v>SINAPI</v>
      </c>
      <c r="D512" s="2333" t="s">
        <v>7483</v>
      </c>
      <c r="E512" s="2243" t="str">
        <f>IF($C512="SINAPI",VLOOKUP($B512,'24.08_ND'!$A:$D,3,0),IF($C512="PRÓPRIA",VLOOKUP($B512,'03-CP'!$C:$H,3,0)))</f>
        <v>KG</v>
      </c>
      <c r="F512" s="2230">
        <v>18.920000000000002</v>
      </c>
      <c r="G512" s="2232">
        <v>19.010000000000002</v>
      </c>
      <c r="H512" s="2332">
        <f t="shared" si="106"/>
        <v>359.66</v>
      </c>
      <c r="I512" s="2286"/>
      <c r="J512" s="2237"/>
      <c r="K512" s="2411"/>
      <c r="L512" s="2533"/>
      <c r="M512" s="2238"/>
      <c r="N512" s="2239"/>
      <c r="O512" s="2498">
        <f t="shared" si="107"/>
        <v>359.66</v>
      </c>
      <c r="P512" s="2295">
        <f t="shared" si="108"/>
        <v>1</v>
      </c>
    </row>
    <row r="513" spans="1:16" ht="45">
      <c r="A513" s="2265" t="s">
        <v>13171</v>
      </c>
      <c r="B513" s="2228">
        <f>VLOOKUP($A513,'12 - QT_SUN'!$A:$F,2,0)</f>
        <v>100978</v>
      </c>
      <c r="C513" s="2228" t="str">
        <f>VLOOKUP($A513,'12 - QT_SUN'!$A:$F,3,0)</f>
        <v>SINAPI</v>
      </c>
      <c r="D513" s="2333" t="s">
        <v>11981</v>
      </c>
      <c r="E513" s="2243" t="str">
        <f>IF($C513="SINAPI",VLOOKUP($B513,'24.08_ND'!$A:$D,3,0),IF($C513="PRÓPRIA",VLOOKUP($B513,'03-CP'!$C:$H,3,0)))</f>
        <v>M3</v>
      </c>
      <c r="F513" s="2230">
        <v>4.5779999999999994</v>
      </c>
      <c r="G513" s="2232">
        <v>7.88</v>
      </c>
      <c r="H513" s="2332">
        <f t="shared" si="106"/>
        <v>36.07</v>
      </c>
      <c r="I513" s="2286"/>
      <c r="J513" s="2237"/>
      <c r="K513" s="2411"/>
      <c r="L513" s="2533"/>
      <c r="M513" s="2238"/>
      <c r="N513" s="2239"/>
      <c r="O513" s="2498">
        <f t="shared" si="107"/>
        <v>36.07</v>
      </c>
      <c r="P513" s="2295">
        <f t="shared" si="108"/>
        <v>1</v>
      </c>
    </row>
    <row r="514" spans="1:16" ht="30">
      <c r="A514" s="2265" t="s">
        <v>13172</v>
      </c>
      <c r="B514" s="2228">
        <f>VLOOKUP($A514,'12 - QT_SUN'!$A:$F,2,0)</f>
        <v>100938</v>
      </c>
      <c r="C514" s="2228" t="str">
        <f>VLOOKUP($A514,'12 - QT_SUN'!$A:$F,3,0)</f>
        <v>SINAPI</v>
      </c>
      <c r="D514" s="2333" t="s">
        <v>11938</v>
      </c>
      <c r="E514" s="2243" t="str">
        <f>IF($C514="SINAPI",VLOOKUP($B514,'24.08_ND'!$A:$D,3,0),IF($C514="PRÓPRIA",VLOOKUP($B514,'03-CP'!$C:$H,3,0)))</f>
        <v>M3XKM</v>
      </c>
      <c r="F514" s="2230">
        <v>9.1559999999999988</v>
      </c>
      <c r="G514" s="2232">
        <v>8.6199999999999992</v>
      </c>
      <c r="H514" s="2332">
        <f t="shared" si="106"/>
        <v>78.92</v>
      </c>
      <c r="I514" s="2286"/>
      <c r="J514" s="2237"/>
      <c r="K514" s="2411"/>
      <c r="L514" s="2533"/>
      <c r="M514" s="2238"/>
      <c r="N514" s="2239"/>
      <c r="O514" s="2498">
        <f t="shared" si="107"/>
        <v>78.92</v>
      </c>
      <c r="P514" s="2295">
        <f t="shared" si="108"/>
        <v>1</v>
      </c>
    </row>
    <row r="515" spans="1:16">
      <c r="A515" s="2340" t="s">
        <v>13173</v>
      </c>
      <c r="B515" s="2223"/>
      <c r="C515" s="2223"/>
      <c r="D515" s="2376" t="s">
        <v>16354</v>
      </c>
      <c r="E515" s="2224"/>
      <c r="F515" s="2240"/>
      <c r="G515" s="2226"/>
      <c r="H515" s="2301">
        <f>SUBTOTAL(9,H516:H519)</f>
        <v>2551.36</v>
      </c>
      <c r="I515" s="2284"/>
      <c r="J515" s="2227"/>
      <c r="K515" s="2496"/>
      <c r="L515" s="2534">
        <f>SUBTOTAL(9,L516:L519)</f>
        <v>0</v>
      </c>
      <c r="M515" s="2301">
        <f>SUBTOTAL(9,M516:M519)</f>
        <v>0</v>
      </c>
      <c r="N515" s="2301">
        <f>SUBTOTAL(9,N516:N519)</f>
        <v>0</v>
      </c>
      <c r="O515" s="2301">
        <f>SUBTOTAL(9,O516:O519)</f>
        <v>2551.36</v>
      </c>
      <c r="P515" s="2293"/>
    </row>
    <row r="516" spans="1:16" ht="45">
      <c r="A516" s="2265" t="s">
        <v>13174</v>
      </c>
      <c r="B516" s="2228" t="str">
        <f>VLOOKUP($A516,'12 - QT_SUN'!$A:$F,2,0)</f>
        <v>PS-CP-EST-02</v>
      </c>
      <c r="C516" s="2228" t="str">
        <f>VLOOKUP($A516,'12 - QT_SUN'!$A:$F,3,0)</f>
        <v>PRÓPRIA</v>
      </c>
      <c r="D516" s="2333" t="s">
        <v>14589</v>
      </c>
      <c r="E516" s="2243" t="str">
        <f>IF($C516="SINAPI",VLOOKUP($B516,'24.08_ND'!$A:$D,3,0),IF($C516="PRÓPRIA",VLOOKUP($B516,'03-CP'!$C:$H,3,0)))</f>
        <v>M</v>
      </c>
      <c r="F516" s="2230">
        <v>15.6</v>
      </c>
      <c r="G516" s="2232">
        <v>34.92</v>
      </c>
      <c r="H516" s="2332">
        <f>TRUNC((G516*F516),2)</f>
        <v>544.75</v>
      </c>
      <c r="I516" s="2287"/>
      <c r="J516" s="2231"/>
      <c r="K516" s="2412"/>
      <c r="L516" s="2536"/>
      <c r="M516" s="2232"/>
      <c r="N516" s="2557"/>
      <c r="O516" s="2498">
        <f>H516-L516</f>
        <v>544.75</v>
      </c>
      <c r="P516" s="2295">
        <f>O516/H516</f>
        <v>1</v>
      </c>
    </row>
    <row r="517" spans="1:16" ht="30">
      <c r="A517" s="2265" t="s">
        <v>13175</v>
      </c>
      <c r="B517" s="2228" t="str">
        <f>VLOOKUP($A517,'12 - QT_SUN'!$A:$F,2,0)</f>
        <v>PS-CP-EST-03</v>
      </c>
      <c r="C517" s="2228" t="str">
        <f>VLOOKUP($A517,'12 - QT_SUN'!$A:$F,3,0)</f>
        <v>PRÓPRIA</v>
      </c>
      <c r="D517" s="2333" t="s">
        <v>14591</v>
      </c>
      <c r="E517" s="2243" t="str">
        <f>IF($C517="SINAPI",VLOOKUP($B517,'24.08_ND'!$A:$D,3,0),IF($C517="PRÓPRIA",VLOOKUP($B517,'03-CP'!$C:$H,3,0)))</f>
        <v>M3</v>
      </c>
      <c r="F517" s="2230">
        <v>1.96</v>
      </c>
      <c r="G517" s="2232">
        <v>988.62</v>
      </c>
      <c r="H517" s="2332">
        <f>TRUNC((G517*F517),2)</f>
        <v>1937.69</v>
      </c>
      <c r="I517" s="2287"/>
      <c r="J517" s="2231"/>
      <c r="K517" s="2412"/>
      <c r="L517" s="2536"/>
      <c r="M517" s="2232"/>
      <c r="N517" s="2557"/>
      <c r="O517" s="2498">
        <f>H517-L517</f>
        <v>1937.69</v>
      </c>
      <c r="P517" s="2295">
        <f>O517/H517</f>
        <v>1</v>
      </c>
    </row>
    <row r="518" spans="1:16" ht="45">
      <c r="A518" s="2265" t="s">
        <v>13176</v>
      </c>
      <c r="B518" s="2228">
        <f>VLOOKUP($A518,'12 - QT_SUN'!$A:$F,2,0)</f>
        <v>100978</v>
      </c>
      <c r="C518" s="2228" t="str">
        <f>VLOOKUP($A518,'12 - QT_SUN'!$A:$F,3,0)</f>
        <v>SINAPI</v>
      </c>
      <c r="D518" s="2333" t="s">
        <v>11981</v>
      </c>
      <c r="E518" s="2243" t="str">
        <f>IF($C518="SINAPI",VLOOKUP($B518,'24.08_ND'!$A:$D,3,0),IF($C518="PRÓPRIA",VLOOKUP($B518,'03-CP'!$C:$H,3,0)))</f>
        <v>M3</v>
      </c>
      <c r="F518" s="2230">
        <v>2.7439999999999998</v>
      </c>
      <c r="G518" s="2232">
        <v>7.88</v>
      </c>
      <c r="H518" s="2332">
        <f>TRUNC((G518*F518),2)</f>
        <v>21.62</v>
      </c>
      <c r="I518" s="2286"/>
      <c r="J518" s="2237"/>
      <c r="K518" s="2411"/>
      <c r="L518" s="2533"/>
      <c r="M518" s="2238"/>
      <c r="N518" s="2239"/>
      <c r="O518" s="2498">
        <f>H518-L518</f>
        <v>21.62</v>
      </c>
      <c r="P518" s="2295">
        <f>O518/H518</f>
        <v>1</v>
      </c>
    </row>
    <row r="519" spans="1:16" ht="30">
      <c r="A519" s="2265" t="s">
        <v>13177</v>
      </c>
      <c r="B519" s="2228">
        <f>VLOOKUP($A519,'12 - QT_SUN'!$A:$F,2,0)</f>
        <v>100938</v>
      </c>
      <c r="C519" s="2228" t="str">
        <f>VLOOKUP($A519,'12 - QT_SUN'!$A:$F,3,0)</f>
        <v>SINAPI</v>
      </c>
      <c r="D519" s="2333" t="s">
        <v>11938</v>
      </c>
      <c r="E519" s="2243" t="str">
        <f>IF($C519="SINAPI",VLOOKUP($B519,'24.08_ND'!$A:$D,3,0),IF($C519="PRÓPRIA",VLOOKUP($B519,'03-CP'!$C:$H,3,0)))</f>
        <v>M3XKM</v>
      </c>
      <c r="F519" s="2230">
        <v>5.4879999999999995</v>
      </c>
      <c r="G519" s="2232">
        <v>8.6199999999999992</v>
      </c>
      <c r="H519" s="2332">
        <f>TRUNC((G519*F519),2)</f>
        <v>47.3</v>
      </c>
      <c r="I519" s="2286"/>
      <c r="J519" s="2237"/>
      <c r="K519" s="2411"/>
      <c r="L519" s="2533"/>
      <c r="M519" s="2238"/>
      <c r="N519" s="2239"/>
      <c r="O519" s="2498">
        <f>H519-L519</f>
        <v>47.3</v>
      </c>
      <c r="P519" s="2295">
        <f>O519/H519</f>
        <v>1</v>
      </c>
    </row>
    <row r="520" spans="1:16">
      <c r="A520" s="2340" t="s">
        <v>13178</v>
      </c>
      <c r="B520" s="2223"/>
      <c r="C520" s="2223"/>
      <c r="D520" s="2376" t="s">
        <v>16355</v>
      </c>
      <c r="E520" s="2224"/>
      <c r="F520" s="2240"/>
      <c r="G520" s="2226"/>
      <c r="H520" s="2301">
        <f>SUBTOTAL(9,H521:H524)</f>
        <v>2020.12</v>
      </c>
      <c r="I520" s="2284"/>
      <c r="J520" s="2227"/>
      <c r="K520" s="2496"/>
      <c r="L520" s="2534">
        <f>SUBTOTAL(9,L521:L524)</f>
        <v>0</v>
      </c>
      <c r="M520" s="2301">
        <f>SUBTOTAL(9,M521:M524)</f>
        <v>0</v>
      </c>
      <c r="N520" s="2301">
        <f>SUBTOTAL(9,N521:N524)</f>
        <v>0</v>
      </c>
      <c r="O520" s="2301">
        <f>SUBTOTAL(9,O521:O524)</f>
        <v>2020.12</v>
      </c>
      <c r="P520" s="2293"/>
    </row>
    <row r="521" spans="1:16" ht="45">
      <c r="A521" s="2270" t="s">
        <v>13179</v>
      </c>
      <c r="B521" s="2228" t="str">
        <f>VLOOKUP($A521,'12 - QT_SUN'!$A:$F,2,0)</f>
        <v>PS-CP-EST-19</v>
      </c>
      <c r="C521" s="2228" t="str">
        <f>VLOOKUP($A521,'12 - QT_SUN'!$A:$F,3,0)</f>
        <v>PRÓPRIA</v>
      </c>
      <c r="D521" s="2375" t="s">
        <v>14648</v>
      </c>
      <c r="E521" s="2229" t="str">
        <f>IF($C521="SINAPI",VLOOKUP($B521,'24.08_ND'!$A:$D,3,0),IF($C521="PRÓPRIA",VLOOKUP($B521,'03-CP'!$C:$H,3,0)))</f>
        <v>M</v>
      </c>
      <c r="F521" s="2230">
        <v>32.700000000000003</v>
      </c>
      <c r="G521" s="2232">
        <v>29.53</v>
      </c>
      <c r="H521" s="2302">
        <f>TRUNC((G521*F521),2)</f>
        <v>965.63</v>
      </c>
      <c r="I521" s="2287"/>
      <c r="J521" s="2231"/>
      <c r="K521" s="2412"/>
      <c r="L521" s="2536"/>
      <c r="M521" s="2232"/>
      <c r="N521" s="2557"/>
      <c r="O521" s="2498">
        <f>H521-L521</f>
        <v>965.63</v>
      </c>
      <c r="P521" s="2295">
        <f>O521/H521</f>
        <v>1</v>
      </c>
    </row>
    <row r="522" spans="1:16" ht="30">
      <c r="A522" s="2270" t="s">
        <v>13180</v>
      </c>
      <c r="B522" s="2228" t="str">
        <f>VLOOKUP($A522,'12 - QT_SUN'!$A:$F,2,0)</f>
        <v>PS-CP-EST-03</v>
      </c>
      <c r="C522" s="2228" t="str">
        <f>VLOOKUP($A522,'12 - QT_SUN'!$A:$F,3,0)</f>
        <v>PRÓPRIA</v>
      </c>
      <c r="D522" s="2375" t="s">
        <v>14591</v>
      </c>
      <c r="E522" s="2229" t="str">
        <f>IF($C522="SINAPI",VLOOKUP($B522,'24.08_ND'!$A:$D,3,0),IF($C522="PRÓPRIA",VLOOKUP($B522,'03-CP'!$C:$H,3,0)))</f>
        <v>M3</v>
      </c>
      <c r="F522" s="2230">
        <v>1.03</v>
      </c>
      <c r="G522" s="2232">
        <v>988.62</v>
      </c>
      <c r="H522" s="2302">
        <f>TRUNC((G522*F522),2)</f>
        <v>1018.27</v>
      </c>
      <c r="I522" s="2287"/>
      <c r="J522" s="2231"/>
      <c r="K522" s="2412"/>
      <c r="L522" s="2536"/>
      <c r="M522" s="2232"/>
      <c r="N522" s="2557"/>
      <c r="O522" s="2498">
        <f>H522-L522</f>
        <v>1018.27</v>
      </c>
      <c r="P522" s="2295">
        <f>O522/H522</f>
        <v>1</v>
      </c>
    </row>
    <row r="523" spans="1:16" ht="45">
      <c r="A523" s="2271" t="s">
        <v>13181</v>
      </c>
      <c r="B523" s="2234">
        <f>VLOOKUP($A523,'12 - QT_SUN'!$A:$F,2,0)</f>
        <v>100978</v>
      </c>
      <c r="C523" s="2234" t="str">
        <f>VLOOKUP($A523,'12 - QT_SUN'!$A:$F,3,0)</f>
        <v>SINAPI</v>
      </c>
      <c r="D523" s="2375" t="s">
        <v>11981</v>
      </c>
      <c r="E523" s="2236" t="str">
        <f>IF($C523="SINAPI",VLOOKUP($B523,'24.08_ND'!$A:$D,3,0),IF($C523="PRÓPRIA",VLOOKUP($B523,'03-CP'!$C:$H,3,0)))</f>
        <v>M3</v>
      </c>
      <c r="F523" s="2230">
        <v>1.4419999999999999</v>
      </c>
      <c r="G523" s="2238">
        <v>7.88</v>
      </c>
      <c r="H523" s="2302">
        <f>TRUNC((G523*F523),2)</f>
        <v>11.36</v>
      </c>
      <c r="I523" s="2286"/>
      <c r="J523" s="2237"/>
      <c r="K523" s="2411"/>
      <c r="L523" s="2533"/>
      <c r="M523" s="2238"/>
      <c r="N523" s="2239"/>
      <c r="O523" s="2498">
        <f>H523-L523</f>
        <v>11.36</v>
      </c>
      <c r="P523" s="2295">
        <f>O523/H523</f>
        <v>1</v>
      </c>
    </row>
    <row r="524" spans="1:16" ht="30">
      <c r="A524" s="2271" t="s">
        <v>13182</v>
      </c>
      <c r="B524" s="2234">
        <f>VLOOKUP($A524,'12 - QT_SUN'!$A:$F,2,0)</f>
        <v>100938</v>
      </c>
      <c r="C524" s="2234" t="str">
        <f>VLOOKUP($A524,'12 - QT_SUN'!$A:$F,3,0)</f>
        <v>SINAPI</v>
      </c>
      <c r="D524" s="2375" t="s">
        <v>11938</v>
      </c>
      <c r="E524" s="2236" t="str">
        <f>IF($C524="SINAPI",VLOOKUP($B524,'24.08_ND'!$A:$D,3,0),IF($C524="PRÓPRIA",VLOOKUP($B524,'03-CP'!$C:$H,3,0)))</f>
        <v>M3XKM</v>
      </c>
      <c r="F524" s="2230">
        <v>2.8839999999999999</v>
      </c>
      <c r="G524" s="2238">
        <v>8.6199999999999992</v>
      </c>
      <c r="H524" s="2302">
        <f>TRUNC((G524*F524),2)</f>
        <v>24.86</v>
      </c>
      <c r="I524" s="2286"/>
      <c r="J524" s="2237"/>
      <c r="K524" s="2411"/>
      <c r="L524" s="2533"/>
      <c r="M524" s="2238"/>
      <c r="N524" s="2239"/>
      <c r="O524" s="2498">
        <f>H524-L524</f>
        <v>24.86</v>
      </c>
      <c r="P524" s="2295">
        <f>O524/H524</f>
        <v>1</v>
      </c>
    </row>
    <row r="525" spans="1:16">
      <c r="A525" s="2340" t="s">
        <v>13183</v>
      </c>
      <c r="B525" s="2223"/>
      <c r="C525" s="2223"/>
      <c r="D525" s="2376" t="s">
        <v>16356</v>
      </c>
      <c r="E525" s="2224"/>
      <c r="F525" s="2240"/>
      <c r="G525" s="2226"/>
      <c r="H525" s="2301">
        <f>SUBTOTAL(9,H526:H529)</f>
        <v>828.63</v>
      </c>
      <c r="I525" s="2284"/>
      <c r="J525" s="2227"/>
      <c r="K525" s="2496"/>
      <c r="L525" s="2534">
        <f>SUBTOTAL(9,L526:L529)</f>
        <v>0</v>
      </c>
      <c r="M525" s="2301">
        <f>SUBTOTAL(9,M526:M529)</f>
        <v>0</v>
      </c>
      <c r="N525" s="2301">
        <f>SUBTOTAL(9,N526:N529)</f>
        <v>0</v>
      </c>
      <c r="O525" s="2301">
        <f>SUBTOTAL(9,O526:O529)</f>
        <v>828.63</v>
      </c>
      <c r="P525" s="2293"/>
    </row>
    <row r="526" spans="1:16" ht="45">
      <c r="A526" s="2270" t="s">
        <v>13184</v>
      </c>
      <c r="B526" s="2228" t="str">
        <f>VLOOKUP($A526,'12 - QT_SUN'!$A:$F,2,0)</f>
        <v>PS-CP-EST-19</v>
      </c>
      <c r="C526" s="2228" t="str">
        <f>VLOOKUP($A526,'12 - QT_SUN'!$A:$F,3,0)</f>
        <v>PRÓPRIA</v>
      </c>
      <c r="D526" s="2375" t="s">
        <v>14648</v>
      </c>
      <c r="E526" s="2229" t="str">
        <f>IF($C526="SINAPI",VLOOKUP($B526,'24.08_ND'!$A:$D,3,0),IF($C526="PRÓPRIA",VLOOKUP($B526,'03-CP'!$C:$H,3,0)))</f>
        <v>M</v>
      </c>
      <c r="F526" s="2230">
        <v>13.5</v>
      </c>
      <c r="G526" s="2232">
        <v>29.53</v>
      </c>
      <c r="H526" s="2302">
        <f>TRUNC((G526*F526),2)</f>
        <v>398.65</v>
      </c>
      <c r="I526" s="2287"/>
      <c r="J526" s="2231"/>
      <c r="K526" s="2412"/>
      <c r="L526" s="2536"/>
      <c r="M526" s="2232"/>
      <c r="N526" s="2557"/>
      <c r="O526" s="2498">
        <f>H526-L526</f>
        <v>398.65</v>
      </c>
      <c r="P526" s="2295">
        <f>O526/H526</f>
        <v>1</v>
      </c>
    </row>
    <row r="527" spans="1:16" ht="30">
      <c r="A527" s="2270" t="s">
        <v>13185</v>
      </c>
      <c r="B527" s="2228" t="str">
        <f>VLOOKUP($A527,'12 - QT_SUN'!$A:$F,2,0)</f>
        <v>PS-CP-EST-03</v>
      </c>
      <c r="C527" s="2228" t="str">
        <f>VLOOKUP($A527,'12 - QT_SUN'!$A:$F,3,0)</f>
        <v>PRÓPRIA</v>
      </c>
      <c r="D527" s="2375" t="s">
        <v>14591</v>
      </c>
      <c r="E527" s="2229" t="str">
        <f>IF($C527="SINAPI",VLOOKUP($B527,'24.08_ND'!$A:$D,3,0),IF($C527="PRÓPRIA",VLOOKUP($B527,'03-CP'!$C:$H,3,0)))</f>
        <v>M3</v>
      </c>
      <c r="F527" s="2230">
        <v>0.42</v>
      </c>
      <c r="G527" s="2232">
        <v>988.62</v>
      </c>
      <c r="H527" s="2302">
        <f>TRUNC((G527*F527),2)</f>
        <v>415.22</v>
      </c>
      <c r="I527" s="2287"/>
      <c r="J527" s="2231"/>
      <c r="K527" s="2412"/>
      <c r="L527" s="2536"/>
      <c r="M527" s="2232"/>
      <c r="N527" s="2557"/>
      <c r="O527" s="2498">
        <f>H527-L527</f>
        <v>415.22</v>
      </c>
      <c r="P527" s="2295">
        <f>O527/H527</f>
        <v>1</v>
      </c>
    </row>
    <row r="528" spans="1:16" ht="45">
      <c r="A528" s="2271" t="s">
        <v>13186</v>
      </c>
      <c r="B528" s="2234">
        <f>VLOOKUP($A528,'12 - QT_SUN'!$A:$F,2,0)</f>
        <v>100978</v>
      </c>
      <c r="C528" s="2234" t="str">
        <f>VLOOKUP($A528,'12 - QT_SUN'!$A:$F,3,0)</f>
        <v>SINAPI</v>
      </c>
      <c r="D528" s="2375" t="s">
        <v>11981</v>
      </c>
      <c r="E528" s="2236" t="str">
        <f>IF($C528="SINAPI",VLOOKUP($B528,'24.08_ND'!$A:$D,3,0),IF($C528="PRÓPRIA",VLOOKUP($B528,'03-CP'!$C:$H,3,0)))</f>
        <v>M3</v>
      </c>
      <c r="F528" s="2230">
        <v>0.58799999999999997</v>
      </c>
      <c r="G528" s="2238">
        <v>7.88</v>
      </c>
      <c r="H528" s="2302">
        <f>TRUNC((G528*F528),2)</f>
        <v>4.63</v>
      </c>
      <c r="I528" s="2286"/>
      <c r="J528" s="2237"/>
      <c r="K528" s="2411"/>
      <c r="L528" s="2533"/>
      <c r="M528" s="2238"/>
      <c r="N528" s="2239"/>
      <c r="O528" s="2498">
        <f>H528-L528</f>
        <v>4.63</v>
      </c>
      <c r="P528" s="2295">
        <f>O528/H528</f>
        <v>1</v>
      </c>
    </row>
    <row r="529" spans="1:16" ht="30">
      <c r="A529" s="2271" t="s">
        <v>13187</v>
      </c>
      <c r="B529" s="2234">
        <f>VLOOKUP($A529,'12 - QT_SUN'!$A:$F,2,0)</f>
        <v>100938</v>
      </c>
      <c r="C529" s="2234" t="str">
        <f>VLOOKUP($A529,'12 - QT_SUN'!$A:$F,3,0)</f>
        <v>SINAPI</v>
      </c>
      <c r="D529" s="2375" t="s">
        <v>11938</v>
      </c>
      <c r="E529" s="2236" t="str">
        <f>IF($C529="SINAPI",VLOOKUP($B529,'24.08_ND'!$A:$D,3,0),IF($C529="PRÓPRIA",VLOOKUP($B529,'03-CP'!$C:$H,3,0)))</f>
        <v>M3XKM</v>
      </c>
      <c r="F529" s="2230">
        <v>1.1759999999999999</v>
      </c>
      <c r="G529" s="2238">
        <v>8.6199999999999992</v>
      </c>
      <c r="H529" s="2302">
        <f>TRUNC((G529*F529),2)</f>
        <v>10.130000000000001</v>
      </c>
      <c r="I529" s="2286"/>
      <c r="J529" s="2237"/>
      <c r="K529" s="2411"/>
      <c r="L529" s="2533"/>
      <c r="M529" s="2238"/>
      <c r="N529" s="2239"/>
      <c r="O529" s="2498">
        <f>H529-L529</f>
        <v>10.130000000000001</v>
      </c>
      <c r="P529" s="2295">
        <f>O529/H529</f>
        <v>1</v>
      </c>
    </row>
    <row r="530" spans="1:16">
      <c r="A530" s="2340" t="s">
        <v>13188</v>
      </c>
      <c r="B530" s="2223"/>
      <c r="C530" s="2223"/>
      <c r="D530" s="2376" t="s">
        <v>16357</v>
      </c>
      <c r="E530" s="2224"/>
      <c r="F530" s="2240"/>
      <c r="G530" s="2226"/>
      <c r="H530" s="2301">
        <f>SUBTOTAL(9,H531:H534)</f>
        <v>350.8</v>
      </c>
      <c r="I530" s="2284"/>
      <c r="J530" s="2227"/>
      <c r="K530" s="2496"/>
      <c r="L530" s="2534">
        <f>SUBTOTAL(9,L531:L534)</f>
        <v>0</v>
      </c>
      <c r="M530" s="2301">
        <f>SUBTOTAL(9,M531:M534)</f>
        <v>0</v>
      </c>
      <c r="N530" s="2301">
        <f>SUBTOTAL(9,N531:N534)</f>
        <v>0</v>
      </c>
      <c r="O530" s="2301">
        <f>SUBTOTAL(9,O531:O534)</f>
        <v>350.8</v>
      </c>
      <c r="P530" s="2293"/>
    </row>
    <row r="531" spans="1:16" ht="45">
      <c r="A531" s="2270" t="s">
        <v>13189</v>
      </c>
      <c r="B531" s="2228" t="str">
        <f>VLOOKUP($A531,'12 - QT_SUN'!$A:$F,2,0)</f>
        <v>PS-CP-EST-20</v>
      </c>
      <c r="C531" s="2228" t="str">
        <f>VLOOKUP($A531,'12 - QT_SUN'!$A:$F,3,0)</f>
        <v>PRÓPRIA</v>
      </c>
      <c r="D531" s="2375" t="s">
        <v>14650</v>
      </c>
      <c r="E531" s="2229" t="str">
        <f>IF($C531="SINAPI",VLOOKUP($B531,'24.08_ND'!$A:$D,3,0),IF($C531="PRÓPRIA",VLOOKUP($B531,'03-CP'!$C:$H,3,0)))</f>
        <v>M</v>
      </c>
      <c r="F531" s="2230">
        <v>3.6</v>
      </c>
      <c r="G531" s="2232">
        <v>46.26</v>
      </c>
      <c r="H531" s="2302">
        <f>TRUNC((G531*F531),2)</f>
        <v>166.53</v>
      </c>
      <c r="I531" s="2287"/>
      <c r="J531" s="2231"/>
      <c r="K531" s="2412"/>
      <c r="L531" s="2536"/>
      <c r="M531" s="2232"/>
      <c r="N531" s="2557"/>
      <c r="O531" s="2498">
        <f>H531-L531</f>
        <v>166.53</v>
      </c>
      <c r="P531" s="2295">
        <f t="shared" ref="P531:P540" si="109">O531/H531</f>
        <v>1</v>
      </c>
    </row>
    <row r="532" spans="1:16" ht="30">
      <c r="A532" s="2270" t="s">
        <v>13190</v>
      </c>
      <c r="B532" s="2228" t="str">
        <f>VLOOKUP($A532,'12 - QT_SUN'!$A:$F,2,0)</f>
        <v>PS-CP-EST-03</v>
      </c>
      <c r="C532" s="2228" t="str">
        <f>VLOOKUP($A532,'12 - QT_SUN'!$A:$F,3,0)</f>
        <v>PRÓPRIA</v>
      </c>
      <c r="D532" s="2375" t="s">
        <v>14591</v>
      </c>
      <c r="E532" s="2229" t="str">
        <f>IF($C532="SINAPI",VLOOKUP($B532,'24.08_ND'!$A:$D,3,0),IF($C532="PRÓPRIA",VLOOKUP($B532,'03-CP'!$C:$H,3,0)))</f>
        <v>M3</v>
      </c>
      <c r="F532" s="2230">
        <v>0.18</v>
      </c>
      <c r="G532" s="2232">
        <v>988.62</v>
      </c>
      <c r="H532" s="2302">
        <f>TRUNC((G532*F532),2)</f>
        <v>177.95</v>
      </c>
      <c r="I532" s="2287"/>
      <c r="J532" s="2231"/>
      <c r="K532" s="2412"/>
      <c r="L532" s="2536"/>
      <c r="M532" s="2232"/>
      <c r="N532" s="2557"/>
      <c r="O532" s="2498">
        <f>H532-L532</f>
        <v>177.95</v>
      </c>
      <c r="P532" s="2295">
        <f t="shared" si="109"/>
        <v>1</v>
      </c>
    </row>
    <row r="533" spans="1:16" ht="45">
      <c r="A533" s="2271" t="s">
        <v>13191</v>
      </c>
      <c r="B533" s="2234">
        <f>VLOOKUP($A533,'12 - QT_SUN'!$A:$F,2,0)</f>
        <v>100978</v>
      </c>
      <c r="C533" s="2234" t="str">
        <f>VLOOKUP($A533,'12 - QT_SUN'!$A:$F,3,0)</f>
        <v>SINAPI</v>
      </c>
      <c r="D533" s="2375" t="s">
        <v>11981</v>
      </c>
      <c r="E533" s="2236" t="str">
        <f>IF($C533="SINAPI",VLOOKUP($B533,'24.08_ND'!$A:$D,3,0),IF($C533="PRÓPRIA",VLOOKUP($B533,'03-CP'!$C:$H,3,0)))</f>
        <v>M3</v>
      </c>
      <c r="F533" s="2230">
        <v>0.252</v>
      </c>
      <c r="G533" s="2238">
        <v>7.88</v>
      </c>
      <c r="H533" s="2302">
        <f>TRUNC((G533*F533),2)</f>
        <v>1.98</v>
      </c>
      <c r="I533" s="2286"/>
      <c r="J533" s="2237"/>
      <c r="K533" s="2411"/>
      <c r="L533" s="2533"/>
      <c r="M533" s="2238"/>
      <c r="N533" s="2239"/>
      <c r="O533" s="2498">
        <f>H533-L533</f>
        <v>1.98</v>
      </c>
      <c r="P533" s="2295">
        <f t="shared" si="109"/>
        <v>1</v>
      </c>
    </row>
    <row r="534" spans="1:16" ht="30">
      <c r="A534" s="2271" t="s">
        <v>13192</v>
      </c>
      <c r="B534" s="2234">
        <f>VLOOKUP($A534,'12 - QT_SUN'!$A:$F,2,0)</f>
        <v>100938</v>
      </c>
      <c r="C534" s="2234" t="str">
        <f>VLOOKUP($A534,'12 - QT_SUN'!$A:$F,3,0)</f>
        <v>SINAPI</v>
      </c>
      <c r="D534" s="2375" t="s">
        <v>11938</v>
      </c>
      <c r="E534" s="2236" t="str">
        <f>IF($C534="SINAPI",VLOOKUP($B534,'24.08_ND'!$A:$D,3,0),IF($C534="PRÓPRIA",VLOOKUP($B534,'03-CP'!$C:$H,3,0)))</f>
        <v>M3XKM</v>
      </c>
      <c r="F534" s="2230">
        <v>0.504</v>
      </c>
      <c r="G534" s="2238">
        <v>8.6199999999999992</v>
      </c>
      <c r="H534" s="2302">
        <f>TRUNC((G534*F534),2)</f>
        <v>4.34</v>
      </c>
      <c r="I534" s="2286"/>
      <c r="J534" s="2237"/>
      <c r="K534" s="2411"/>
      <c r="L534" s="2533"/>
      <c r="M534" s="2238"/>
      <c r="N534" s="2239"/>
      <c r="O534" s="2498">
        <f>H534-L534</f>
        <v>4.34</v>
      </c>
      <c r="P534" s="2295">
        <f t="shared" si="109"/>
        <v>1</v>
      </c>
    </row>
    <row r="535" spans="1:16">
      <c r="A535" s="2340" t="s">
        <v>13193</v>
      </c>
      <c r="B535" s="2223"/>
      <c r="C535" s="2223"/>
      <c r="D535" s="2376" t="s">
        <v>16358</v>
      </c>
      <c r="E535" s="2224"/>
      <c r="F535" s="2240"/>
      <c r="G535" s="2226"/>
      <c r="H535" s="2301">
        <f>SUBTOTAL(9,H536:H539)</f>
        <v>57.269999999999996</v>
      </c>
      <c r="I535" s="2284"/>
      <c r="J535" s="2227"/>
      <c r="K535" s="2496"/>
      <c r="L535" s="2534">
        <f>SUBTOTAL(9,L536:L539)</f>
        <v>0</v>
      </c>
      <c r="M535" s="2301">
        <f>SUBTOTAL(9,M536:M539)</f>
        <v>0</v>
      </c>
      <c r="N535" s="2301">
        <f>SUBTOTAL(9,N536:N539)</f>
        <v>0</v>
      </c>
      <c r="O535" s="2301">
        <f>SUBTOTAL(9,O536:O539)</f>
        <v>57.269999999999996</v>
      </c>
      <c r="P535" s="2293">
        <f t="shared" si="109"/>
        <v>1</v>
      </c>
    </row>
    <row r="536" spans="1:16" ht="45">
      <c r="A536" s="2270" t="s">
        <v>13194</v>
      </c>
      <c r="B536" s="2228" t="str">
        <f>VLOOKUP($A536,'12 - QT_SUN'!$A:$F,2,0)</f>
        <v>PS-CP-EST-19</v>
      </c>
      <c r="C536" s="2228" t="str">
        <f>VLOOKUP($A536,'12 - QT_SUN'!$A:$F,3,0)</f>
        <v>PRÓPRIA</v>
      </c>
      <c r="D536" s="2375" t="s">
        <v>14648</v>
      </c>
      <c r="E536" s="2229" t="str">
        <f>IF($C536="SINAPI",VLOOKUP($B536,'24.08_ND'!$A:$D,3,0),IF($C536="PRÓPRIA",VLOOKUP($B536,'03-CP'!$C:$H,3,0)))</f>
        <v>M</v>
      </c>
      <c r="F536" s="2230">
        <v>0.9</v>
      </c>
      <c r="G536" s="2232">
        <v>29.53</v>
      </c>
      <c r="H536" s="2302">
        <f>TRUNC((G536*F536),2)</f>
        <v>26.57</v>
      </c>
      <c r="I536" s="2287"/>
      <c r="J536" s="2231"/>
      <c r="K536" s="2412"/>
      <c r="L536" s="2536"/>
      <c r="M536" s="2232"/>
      <c r="N536" s="2557"/>
      <c r="O536" s="2498">
        <f>H536-L536</f>
        <v>26.57</v>
      </c>
      <c r="P536" s="2295">
        <f t="shared" si="109"/>
        <v>1</v>
      </c>
    </row>
    <row r="537" spans="1:16" ht="30">
      <c r="A537" s="2270" t="s">
        <v>13195</v>
      </c>
      <c r="B537" s="2228" t="str">
        <f>VLOOKUP($A537,'12 - QT_SUN'!$A:$F,2,0)</f>
        <v>PS-CP-EST-03</v>
      </c>
      <c r="C537" s="2228" t="str">
        <f>VLOOKUP($A537,'12 - QT_SUN'!$A:$F,3,0)</f>
        <v>PRÓPRIA</v>
      </c>
      <c r="D537" s="2375" t="s">
        <v>14591</v>
      </c>
      <c r="E537" s="2229" t="str">
        <f>IF($C537="SINAPI",VLOOKUP($B537,'24.08_ND'!$A:$D,3,0),IF($C537="PRÓPRIA",VLOOKUP($B537,'03-CP'!$C:$H,3,0)))</f>
        <v>M3</v>
      </c>
      <c r="F537" s="2230">
        <v>0.03</v>
      </c>
      <c r="G537" s="2232">
        <v>988.62</v>
      </c>
      <c r="H537" s="2302">
        <f>TRUNC((G537*F537),2)</f>
        <v>29.65</v>
      </c>
      <c r="I537" s="2287"/>
      <c r="J537" s="2231"/>
      <c r="K537" s="2412"/>
      <c r="L537" s="2536"/>
      <c r="M537" s="2232"/>
      <c r="N537" s="2557"/>
      <c r="O537" s="2498">
        <f>H537-L537</f>
        <v>29.65</v>
      </c>
      <c r="P537" s="2295">
        <f t="shared" si="109"/>
        <v>1</v>
      </c>
    </row>
    <row r="538" spans="1:16" ht="45">
      <c r="A538" s="2271" t="s">
        <v>13196</v>
      </c>
      <c r="B538" s="2234">
        <f>VLOOKUP($A538,'12 - QT_SUN'!$A:$F,2,0)</f>
        <v>100978</v>
      </c>
      <c r="C538" s="2234" t="str">
        <f>VLOOKUP($A538,'12 - QT_SUN'!$A:$F,3,0)</f>
        <v>SINAPI</v>
      </c>
      <c r="D538" s="2375" t="s">
        <v>11981</v>
      </c>
      <c r="E538" s="2236" t="str">
        <f>IF($C538="SINAPI",VLOOKUP($B538,'24.08_ND'!$A:$D,3,0),IF($C538="PRÓPRIA",VLOOKUP($B538,'03-CP'!$C:$H,3,0)))</f>
        <v>M3</v>
      </c>
      <c r="F538" s="2230">
        <v>4.1999999999999996E-2</v>
      </c>
      <c r="G538" s="2238">
        <v>7.88</v>
      </c>
      <c r="H538" s="2302">
        <f>TRUNC((G538*F538),2)</f>
        <v>0.33</v>
      </c>
      <c r="I538" s="2286"/>
      <c r="J538" s="2237"/>
      <c r="K538" s="2411"/>
      <c r="L538" s="2533"/>
      <c r="M538" s="2238"/>
      <c r="N538" s="2239"/>
      <c r="O538" s="2498">
        <f>H538-L538</f>
        <v>0.33</v>
      </c>
      <c r="P538" s="2295">
        <f t="shared" si="109"/>
        <v>1</v>
      </c>
    </row>
    <row r="539" spans="1:16" ht="30">
      <c r="A539" s="2271" t="s">
        <v>13197</v>
      </c>
      <c r="B539" s="2234">
        <f>VLOOKUP($A539,'12 - QT_SUN'!$A:$F,2,0)</f>
        <v>100938</v>
      </c>
      <c r="C539" s="2234" t="str">
        <f>VLOOKUP($A539,'12 - QT_SUN'!$A:$F,3,0)</f>
        <v>SINAPI</v>
      </c>
      <c r="D539" s="2375" t="s">
        <v>11938</v>
      </c>
      <c r="E539" s="2236" t="str">
        <f>IF($C539="SINAPI",VLOOKUP($B539,'24.08_ND'!$A:$D,3,0),IF($C539="PRÓPRIA",VLOOKUP($B539,'03-CP'!$C:$H,3,0)))</f>
        <v>M3XKM</v>
      </c>
      <c r="F539" s="2230">
        <v>8.3999999999999991E-2</v>
      </c>
      <c r="G539" s="2238">
        <v>8.6199999999999992</v>
      </c>
      <c r="H539" s="2302">
        <f>TRUNC((G539*F539),2)</f>
        <v>0.72</v>
      </c>
      <c r="I539" s="2286"/>
      <c r="J539" s="2237"/>
      <c r="K539" s="2411"/>
      <c r="L539" s="2533"/>
      <c r="M539" s="2238"/>
      <c r="N539" s="2239"/>
      <c r="O539" s="2498">
        <f>H539-L539</f>
        <v>0.72</v>
      </c>
      <c r="P539" s="2295">
        <f t="shared" si="109"/>
        <v>1</v>
      </c>
    </row>
    <row r="540" spans="1:16">
      <c r="A540" s="2340" t="s">
        <v>13198</v>
      </c>
      <c r="B540" s="2223"/>
      <c r="C540" s="2223"/>
      <c r="D540" s="2376" t="s">
        <v>16359</v>
      </c>
      <c r="E540" s="2224"/>
      <c r="F540" s="2240"/>
      <c r="G540" s="2226"/>
      <c r="H540" s="2301">
        <f>SUBTOTAL(9,H541:H558)</f>
        <v>52343.950000000004</v>
      </c>
      <c r="I540" s="2284"/>
      <c r="J540" s="2227"/>
      <c r="K540" s="2496"/>
      <c r="L540" s="2534">
        <f>SUBTOTAL(9,L541:L558)</f>
        <v>0</v>
      </c>
      <c r="M540" s="2301">
        <f>SUBTOTAL(9,M541:M558)</f>
        <v>0</v>
      </c>
      <c r="N540" s="2301">
        <f>SUBTOTAL(9,N541:N558)</f>
        <v>0</v>
      </c>
      <c r="O540" s="2301">
        <f>SUBTOTAL(9,O541:O558)</f>
        <v>52343.950000000004</v>
      </c>
      <c r="P540" s="2558">
        <f t="shared" si="109"/>
        <v>1</v>
      </c>
    </row>
    <row r="541" spans="1:16">
      <c r="A541" s="2341" t="s">
        <v>13199</v>
      </c>
      <c r="B541" s="2246">
        <f>VLOOKUP($A541,'12 - QT_SUN'!$A:$F,2,0)</f>
        <v>0</v>
      </c>
      <c r="C541" s="2246">
        <f>VLOOKUP($A541,'12 - QT_SUN'!$A:$F,3,0)</f>
        <v>0</v>
      </c>
      <c r="D541" s="2379" t="s">
        <v>16360</v>
      </c>
      <c r="E541" s="2247" t="str">
        <f>IFERROR(VLOOKUP($B541,'24.08_ND'!$1:$1048529,3,0),IFERROR(VLOOKUP($B541,'03-CP'!$C$1:$H$6260,3,0),""))</f>
        <v/>
      </c>
      <c r="F541" s="2248"/>
      <c r="G541" s="2249"/>
      <c r="H541" s="2304">
        <f>SUBTOTAL(9,H542:H550)</f>
        <v>45189.25</v>
      </c>
      <c r="I541" s="2289"/>
      <c r="J541" s="2250"/>
      <c r="K541" s="2547"/>
      <c r="L541" s="2538">
        <f>SUBTOTAL(9,L542:L550)</f>
        <v>0</v>
      </c>
      <c r="M541" s="2304">
        <f>SUBTOTAL(9,M542:M550)</f>
        <v>0</v>
      </c>
      <c r="N541" s="2304">
        <f>SUBTOTAL(9,N542:N550)</f>
        <v>0</v>
      </c>
      <c r="O541" s="2304">
        <f>SUBTOTAL(9,O542:O550)</f>
        <v>45189.25</v>
      </c>
      <c r="P541" s="2297"/>
    </row>
    <row r="542" spans="1:16" ht="30">
      <c r="A542" s="2270" t="s">
        <v>13200</v>
      </c>
      <c r="B542" s="2234">
        <f>VLOOKUP($A542,'12 - QT_SUN'!$A:$F,2,0)</f>
        <v>96527</v>
      </c>
      <c r="C542" s="2234" t="str">
        <f>VLOOKUP($A542,'12 - QT_SUN'!$A:$F,3,0)</f>
        <v>SINAPI</v>
      </c>
      <c r="D542" s="2375" t="s">
        <v>10512</v>
      </c>
      <c r="E542" s="2236" t="str">
        <f>IF($C542="SINAPI",VLOOKUP($B542,'24.08_ND'!$A:$D,3,0),IF($C542="PRÓPRIA",VLOOKUP($B542,'03-CP'!$C:$H,3,0)))</f>
        <v>M3</v>
      </c>
      <c r="F542" s="2230">
        <v>4.95</v>
      </c>
      <c r="G542" s="2238">
        <v>110.61</v>
      </c>
      <c r="H542" s="2302">
        <f t="shared" ref="H542:H550" si="110">TRUNC((G542*F542),2)</f>
        <v>547.51</v>
      </c>
      <c r="I542" s="2286"/>
      <c r="J542" s="2237"/>
      <c r="K542" s="2411"/>
      <c r="L542" s="2533"/>
      <c r="M542" s="2238"/>
      <c r="N542" s="2239"/>
      <c r="O542" s="2498">
        <f t="shared" ref="O542:O558" si="111">H542-L542</f>
        <v>547.51</v>
      </c>
      <c r="P542" s="2295">
        <f t="shared" ref="P542:P559" si="112">O542/H542</f>
        <v>1</v>
      </c>
    </row>
    <row r="543" spans="1:16" ht="30">
      <c r="A543" s="2270" t="s">
        <v>13201</v>
      </c>
      <c r="B543" s="2234">
        <f>VLOOKUP($A543,'12 - QT_SUN'!$A:$F,2,0)</f>
        <v>101616</v>
      </c>
      <c r="C543" s="2234" t="str">
        <f>VLOOKUP($A543,'12 - QT_SUN'!$A:$F,3,0)</f>
        <v>SINAPI</v>
      </c>
      <c r="D543" s="2375" t="s">
        <v>10747</v>
      </c>
      <c r="E543" s="2236" t="str">
        <f>IF($C543="SINAPI",VLOOKUP($B543,'24.08_ND'!$A:$D,3,0),IF($C543="PRÓPRIA",VLOOKUP($B543,'03-CP'!$C:$H,3,0)))</f>
        <v>M2</v>
      </c>
      <c r="F543" s="2230">
        <v>29.7</v>
      </c>
      <c r="G543" s="2238">
        <v>6.71</v>
      </c>
      <c r="H543" s="2302">
        <f t="shared" si="110"/>
        <v>199.28</v>
      </c>
      <c r="I543" s="2286"/>
      <c r="J543" s="2237"/>
      <c r="K543" s="2411"/>
      <c r="L543" s="2533"/>
      <c r="M543" s="2238"/>
      <c r="N543" s="2239"/>
      <c r="O543" s="2498">
        <f t="shared" si="111"/>
        <v>199.28</v>
      </c>
      <c r="P543" s="2295">
        <f t="shared" si="112"/>
        <v>1</v>
      </c>
    </row>
    <row r="544" spans="1:16" ht="30">
      <c r="A544" s="2270" t="s">
        <v>13202</v>
      </c>
      <c r="B544" s="2234">
        <f>VLOOKUP($A544,'12 - QT_SUN'!$A:$F,2,0)</f>
        <v>96622</v>
      </c>
      <c r="C544" s="2234" t="str">
        <f>VLOOKUP($A544,'12 - QT_SUN'!$A:$F,3,0)</f>
        <v>SINAPI</v>
      </c>
      <c r="D544" s="2375" t="s">
        <v>7168</v>
      </c>
      <c r="E544" s="2236" t="str">
        <f>IF($C544="SINAPI",VLOOKUP($B544,'24.08_ND'!$A:$D,3,0),IF($C544="PRÓPRIA",VLOOKUP($B544,'03-CP'!$C:$H,3,0)))</f>
        <v>M3</v>
      </c>
      <c r="F544" s="2230">
        <v>1.49</v>
      </c>
      <c r="G544" s="2238">
        <v>310.45</v>
      </c>
      <c r="H544" s="2302">
        <f t="shared" si="110"/>
        <v>462.57</v>
      </c>
      <c r="I544" s="2286"/>
      <c r="J544" s="2237"/>
      <c r="K544" s="2411"/>
      <c r="L544" s="2533"/>
      <c r="M544" s="2238"/>
      <c r="N544" s="2239"/>
      <c r="O544" s="2498">
        <f t="shared" si="111"/>
        <v>462.57</v>
      </c>
      <c r="P544" s="2295">
        <f t="shared" si="112"/>
        <v>1</v>
      </c>
    </row>
    <row r="545" spans="1:16" ht="30">
      <c r="A545" s="2270" t="s">
        <v>13203</v>
      </c>
      <c r="B545" s="2234">
        <f>VLOOKUP($A545,'12 - QT_SUN'!$A:$F,2,0)</f>
        <v>92264</v>
      </c>
      <c r="C545" s="2234" t="str">
        <f>VLOOKUP($A545,'12 - QT_SUN'!$A:$F,3,0)</f>
        <v>SINAPI</v>
      </c>
      <c r="D545" s="2375" t="s">
        <v>7200</v>
      </c>
      <c r="E545" s="2236" t="str">
        <f>IF($C545="SINAPI",VLOOKUP($B545,'24.08_ND'!$A:$D,3,0),IF($C545="PRÓPRIA",VLOOKUP($B545,'03-CP'!$C:$H,3,0)))</f>
        <v>M2</v>
      </c>
      <c r="F545" s="2230">
        <v>75.239999999999995</v>
      </c>
      <c r="G545" s="2238">
        <v>310.8</v>
      </c>
      <c r="H545" s="2302">
        <f t="shared" si="110"/>
        <v>23384.59</v>
      </c>
      <c r="I545" s="2286"/>
      <c r="J545" s="2237"/>
      <c r="K545" s="2411"/>
      <c r="L545" s="2533"/>
      <c r="M545" s="2238"/>
      <c r="N545" s="2239"/>
      <c r="O545" s="2498">
        <f t="shared" si="111"/>
        <v>23384.59</v>
      </c>
      <c r="P545" s="2295">
        <f t="shared" si="112"/>
        <v>1</v>
      </c>
    </row>
    <row r="546" spans="1:16" ht="30">
      <c r="A546" s="2270" t="s">
        <v>13204</v>
      </c>
      <c r="B546" s="2234">
        <f>VLOOKUP($A546,'12 - QT_SUN'!$A:$F,2,0)</f>
        <v>92760</v>
      </c>
      <c r="C546" s="2234" t="str">
        <f>VLOOKUP($A546,'12 - QT_SUN'!$A:$F,3,0)</f>
        <v>SINAPI</v>
      </c>
      <c r="D546" s="2375" t="s">
        <v>7429</v>
      </c>
      <c r="E546" s="2236" t="str">
        <f>IF($C546="SINAPI",VLOOKUP($B546,'24.08_ND'!$A:$D,3,0),IF($C546="PRÓPRIA",VLOOKUP($B546,'03-CP'!$C:$H,3,0)))</f>
        <v>KG</v>
      </c>
      <c r="F546" s="2230">
        <v>289.22000000000003</v>
      </c>
      <c r="G546" s="2238">
        <v>16.45</v>
      </c>
      <c r="H546" s="2302">
        <f t="shared" si="110"/>
        <v>4757.66</v>
      </c>
      <c r="I546" s="2286"/>
      <c r="J546" s="2237"/>
      <c r="K546" s="2411"/>
      <c r="L546" s="2533"/>
      <c r="M546" s="2238"/>
      <c r="N546" s="2239"/>
      <c r="O546" s="2498">
        <f t="shared" si="111"/>
        <v>4757.66</v>
      </c>
      <c r="P546" s="2295">
        <f t="shared" si="112"/>
        <v>1</v>
      </c>
    </row>
    <row r="547" spans="1:16" ht="30">
      <c r="A547" s="2270" t="s">
        <v>13205</v>
      </c>
      <c r="B547" s="2228" t="str">
        <f>VLOOKUP($A547,'12 - QT_SUN'!$A:$F,2,0)</f>
        <v>PS-CP-EST-03</v>
      </c>
      <c r="C547" s="2228" t="str">
        <f>VLOOKUP($A547,'12 - QT_SUN'!$A:$F,3,0)</f>
        <v>PRÓPRIA</v>
      </c>
      <c r="D547" s="2375" t="s">
        <v>14591</v>
      </c>
      <c r="E547" s="2229" t="str">
        <f>IF($C547="SINAPI",VLOOKUP($B547,'24.08_ND'!$A:$D,3,0),IF($C547="PRÓPRIA",VLOOKUP($B547,'03-CP'!$C:$H,3,0)))</f>
        <v>M3</v>
      </c>
      <c r="F547" s="2230">
        <v>15.84</v>
      </c>
      <c r="G547" s="2232">
        <v>988.62</v>
      </c>
      <c r="H547" s="2302">
        <f t="shared" si="110"/>
        <v>15659.74</v>
      </c>
      <c r="I547" s="2287"/>
      <c r="J547" s="2231"/>
      <c r="K547" s="2412"/>
      <c r="L547" s="2536"/>
      <c r="M547" s="2232"/>
      <c r="N547" s="2557"/>
      <c r="O547" s="2498">
        <f t="shared" si="111"/>
        <v>15659.74</v>
      </c>
      <c r="P547" s="2295">
        <f t="shared" si="112"/>
        <v>1</v>
      </c>
    </row>
    <row r="548" spans="1:16" ht="30">
      <c r="A548" s="2271" t="s">
        <v>13206</v>
      </c>
      <c r="B548" s="2234">
        <f>VLOOKUP($A548,'12 - QT_SUN'!$A:$F,2,0)</f>
        <v>93382</v>
      </c>
      <c r="C548" s="2234" t="str">
        <f>VLOOKUP($A548,'12 - QT_SUN'!$A:$F,3,0)</f>
        <v>SINAPI</v>
      </c>
      <c r="D548" s="2375" t="s">
        <v>10726</v>
      </c>
      <c r="E548" s="2236" t="str">
        <f>IF($C548="SINAPI",VLOOKUP($B548,'24.08_ND'!$A:$D,3,0),IF($C548="PRÓPRIA",VLOOKUP($B548,'03-CP'!$C:$H,3,0)))</f>
        <v>M3</v>
      </c>
      <c r="F548" s="2230">
        <v>2.1779999999999999</v>
      </c>
      <c r="G548" s="2238">
        <v>26.88</v>
      </c>
      <c r="H548" s="2302">
        <f t="shared" si="110"/>
        <v>58.54</v>
      </c>
      <c r="I548" s="2286"/>
      <c r="J548" s="2237"/>
      <c r="K548" s="2411"/>
      <c r="L548" s="2533"/>
      <c r="M548" s="2238"/>
      <c r="N548" s="2239"/>
      <c r="O548" s="2498">
        <f t="shared" si="111"/>
        <v>58.54</v>
      </c>
      <c r="P548" s="2295">
        <f t="shared" si="112"/>
        <v>1</v>
      </c>
    </row>
    <row r="549" spans="1:16" ht="45">
      <c r="A549" s="2271" t="s">
        <v>13207</v>
      </c>
      <c r="B549" s="2234">
        <f>VLOOKUP($A549,'12 - QT_SUN'!$A:$F,2,0)</f>
        <v>100978</v>
      </c>
      <c r="C549" s="2234" t="str">
        <f>VLOOKUP($A549,'12 - QT_SUN'!$A:$F,3,0)</f>
        <v>SINAPI</v>
      </c>
      <c r="D549" s="2375" t="s">
        <v>11981</v>
      </c>
      <c r="E549" s="2236" t="str">
        <f>IF($C549="SINAPI",VLOOKUP($B549,'24.08_ND'!$A:$D,3,0),IF($C549="PRÓPRIA",VLOOKUP($B549,'03-CP'!$C:$H,3,0)))</f>
        <v>M3</v>
      </c>
      <c r="F549" s="2230">
        <v>4.7519999999999998</v>
      </c>
      <c r="G549" s="2238">
        <v>7.88</v>
      </c>
      <c r="H549" s="2302">
        <f t="shared" si="110"/>
        <v>37.44</v>
      </c>
      <c r="I549" s="2286"/>
      <c r="J549" s="2237"/>
      <c r="K549" s="2411"/>
      <c r="L549" s="2533"/>
      <c r="M549" s="2238"/>
      <c r="N549" s="2239"/>
      <c r="O549" s="2498">
        <f t="shared" si="111"/>
        <v>37.44</v>
      </c>
      <c r="P549" s="2295">
        <f t="shared" si="112"/>
        <v>1</v>
      </c>
    </row>
    <row r="550" spans="1:16" ht="30">
      <c r="A550" s="2271" t="s">
        <v>13208</v>
      </c>
      <c r="B550" s="2234">
        <f>VLOOKUP($A550,'12 - QT_SUN'!$A:$F,2,0)</f>
        <v>100938</v>
      </c>
      <c r="C550" s="2234" t="str">
        <f>VLOOKUP($A550,'12 - QT_SUN'!$A:$F,3,0)</f>
        <v>SINAPI</v>
      </c>
      <c r="D550" s="2375" t="s">
        <v>11938</v>
      </c>
      <c r="E550" s="2236" t="str">
        <f>IF($C550="SINAPI",VLOOKUP($B550,'24.08_ND'!$A:$D,3,0),IF($C550="PRÓPRIA",VLOOKUP($B550,'03-CP'!$C:$H,3,0)))</f>
        <v>M3XKM</v>
      </c>
      <c r="F550" s="2230">
        <v>9.5039999999999996</v>
      </c>
      <c r="G550" s="2238">
        <v>8.6199999999999992</v>
      </c>
      <c r="H550" s="2302">
        <f t="shared" si="110"/>
        <v>81.92</v>
      </c>
      <c r="I550" s="2286"/>
      <c r="J550" s="2237"/>
      <c r="K550" s="2411"/>
      <c r="L550" s="2533"/>
      <c r="M550" s="2238"/>
      <c r="N550" s="2239"/>
      <c r="O550" s="2498">
        <f t="shared" si="111"/>
        <v>81.92</v>
      </c>
      <c r="P550" s="2295">
        <f t="shared" si="112"/>
        <v>1</v>
      </c>
    </row>
    <row r="551" spans="1:16">
      <c r="A551" s="2341" t="s">
        <v>13209</v>
      </c>
      <c r="B551" s="2246">
        <f>VLOOKUP($A551,'12 - QT_SUN'!$A:$F,2,0)</f>
        <v>0</v>
      </c>
      <c r="C551" s="2246">
        <f>VLOOKUP($A551,'12 - QT_SUN'!$A:$F,3,0)</f>
        <v>0</v>
      </c>
      <c r="D551" s="2379" t="s">
        <v>16362</v>
      </c>
      <c r="E551" s="2247" t="str">
        <f>IFERROR(VLOOKUP($B551,'24.08_ND'!$1:$1048529,3,0),IFERROR(VLOOKUP($B551,'03-CP'!$C$1:$H$6260,3,0),""))</f>
        <v/>
      </c>
      <c r="F551" s="2230"/>
      <c r="G551" s="2249"/>
      <c r="H551" s="2304">
        <f>SUBTOTAL(9,H552:H558)</f>
        <v>7154.7000000000007</v>
      </c>
      <c r="I551" s="2289"/>
      <c r="J551" s="2250"/>
      <c r="K551" s="2547"/>
      <c r="L551" s="2538">
        <f>SUBTOTAL(9,L552:L558)</f>
        <v>0</v>
      </c>
      <c r="M551" s="2304">
        <f>SUBTOTAL(9,M552:M558)</f>
        <v>0</v>
      </c>
      <c r="N551" s="2304">
        <f>SUBTOTAL(9,N552:N558)</f>
        <v>0</v>
      </c>
      <c r="O551" s="2304">
        <f>SUBTOTAL(9,O552:O558)</f>
        <v>7154.7000000000007</v>
      </c>
      <c r="P551" s="2295">
        <f t="shared" si="112"/>
        <v>1</v>
      </c>
    </row>
    <row r="552" spans="1:16" ht="45">
      <c r="A552" s="2270" t="s">
        <v>13210</v>
      </c>
      <c r="B552" s="2228" t="str">
        <f>VLOOKUP($A552,'12 - QT_SUN'!$A:$F,2,0)</f>
        <v>PS-CP-EST-20</v>
      </c>
      <c r="C552" s="2228" t="str">
        <f>VLOOKUP($A552,'12 - QT_SUN'!$A:$F,3,0)</f>
        <v>PRÓPRIA</v>
      </c>
      <c r="D552" s="2375" t="s">
        <v>14650</v>
      </c>
      <c r="E552" s="2229" t="str">
        <f>IF($C552="SINAPI",VLOOKUP($B552,'24.08_ND'!$A:$D,3,0),IF($C552="PRÓPRIA",VLOOKUP($B552,'03-CP'!$C:$H,3,0)))</f>
        <v>M</v>
      </c>
      <c r="F552" s="2230">
        <v>53</v>
      </c>
      <c r="G552" s="2232">
        <v>46.26</v>
      </c>
      <c r="H552" s="2302">
        <f t="shared" ref="H552:H558" si="113">TRUNC((G552*F552),2)</f>
        <v>2451.7800000000002</v>
      </c>
      <c r="I552" s="2287"/>
      <c r="J552" s="2231"/>
      <c r="K552" s="2412"/>
      <c r="L552" s="2536"/>
      <c r="M552" s="2232"/>
      <c r="N552" s="2557"/>
      <c r="O552" s="2498">
        <f t="shared" si="111"/>
        <v>2451.7800000000002</v>
      </c>
      <c r="P552" s="2295">
        <f t="shared" si="112"/>
        <v>1</v>
      </c>
    </row>
    <row r="553" spans="1:16" ht="30">
      <c r="A553" s="2270" t="s">
        <v>13211</v>
      </c>
      <c r="B553" s="2234">
        <f>VLOOKUP($A553,'12 - QT_SUN'!$A:$F,2,0)</f>
        <v>101616</v>
      </c>
      <c r="C553" s="2234" t="str">
        <f>VLOOKUP($A553,'12 - QT_SUN'!$A:$F,3,0)</f>
        <v>SINAPI</v>
      </c>
      <c r="D553" s="2375" t="s">
        <v>10747</v>
      </c>
      <c r="E553" s="2236" t="str">
        <f>IF($C553="SINAPI",VLOOKUP($B553,'24.08_ND'!$A:$D,3,0),IF($C553="PRÓPRIA",VLOOKUP($B553,'03-CP'!$C:$H,3,0)))</f>
        <v>M2</v>
      </c>
      <c r="F553" s="2230">
        <v>2.6</v>
      </c>
      <c r="G553" s="2238">
        <v>6.71</v>
      </c>
      <c r="H553" s="2302">
        <f t="shared" si="113"/>
        <v>17.440000000000001</v>
      </c>
      <c r="I553" s="2286"/>
      <c r="J553" s="2237"/>
      <c r="K553" s="2411"/>
      <c r="L553" s="2533"/>
      <c r="M553" s="2238"/>
      <c r="N553" s="2239"/>
      <c r="O553" s="2498">
        <f t="shared" si="111"/>
        <v>17.440000000000001</v>
      </c>
      <c r="P553" s="2295">
        <f t="shared" si="112"/>
        <v>1</v>
      </c>
    </row>
    <row r="554" spans="1:16" ht="30">
      <c r="A554" s="2270" t="s">
        <v>13212</v>
      </c>
      <c r="B554" s="2228" t="str">
        <f>VLOOKUP($A554,'12 - QT_SUN'!$A:$F,2,0)</f>
        <v>PS-CP-EST-03</v>
      </c>
      <c r="C554" s="2228" t="str">
        <f>VLOOKUP($A554,'12 - QT_SUN'!$A:$F,3,0)</f>
        <v>PRÓPRIA</v>
      </c>
      <c r="D554" s="2375" t="s">
        <v>14591</v>
      </c>
      <c r="E554" s="2229" t="str">
        <f>IF($C554="SINAPI",VLOOKUP($B554,'24.08_ND'!$A:$D,3,0),IF($C554="PRÓPRIA",VLOOKUP($B554,'03-CP'!$C:$H,3,0)))</f>
        <v>M3</v>
      </c>
      <c r="F554" s="2230">
        <v>2.6</v>
      </c>
      <c r="G554" s="2232">
        <v>988.62</v>
      </c>
      <c r="H554" s="2302">
        <f t="shared" si="113"/>
        <v>2570.41</v>
      </c>
      <c r="I554" s="2287"/>
      <c r="J554" s="2231"/>
      <c r="K554" s="2412"/>
      <c r="L554" s="2536"/>
      <c r="M554" s="2232"/>
      <c r="N554" s="2557"/>
      <c r="O554" s="2498">
        <f t="shared" si="111"/>
        <v>2570.41</v>
      </c>
      <c r="P554" s="2295">
        <f t="shared" si="112"/>
        <v>1</v>
      </c>
    </row>
    <row r="555" spans="1:16">
      <c r="A555" s="2270" t="s">
        <v>13213</v>
      </c>
      <c r="B555" s="2234">
        <f>VLOOKUP($A555,'12 - QT_SUN'!$A:$F,2,0)</f>
        <v>95576</v>
      </c>
      <c r="C555" s="2234" t="str">
        <f>VLOOKUP($A555,'12 - QT_SUN'!$A:$F,3,0)</f>
        <v>SINAPI</v>
      </c>
      <c r="D555" s="2375" t="s">
        <v>7476</v>
      </c>
      <c r="E555" s="2236" t="str">
        <f>IF($C555="SINAPI",VLOOKUP($B555,'24.08_ND'!$A:$D,3,0),IF($C555="PRÓPRIA",VLOOKUP($B555,'03-CP'!$C:$H,3,0)))</f>
        <v>KG</v>
      </c>
      <c r="F555" s="2230">
        <v>102.16</v>
      </c>
      <c r="G555" s="2238">
        <v>15.86</v>
      </c>
      <c r="H555" s="2302">
        <f t="shared" si="113"/>
        <v>1620.25</v>
      </c>
      <c r="I555" s="2286"/>
      <c r="J555" s="2237"/>
      <c r="K555" s="2411"/>
      <c r="L555" s="2533"/>
      <c r="M555" s="2238"/>
      <c r="N555" s="2239"/>
      <c r="O555" s="2498">
        <f t="shared" si="111"/>
        <v>1620.25</v>
      </c>
      <c r="P555" s="2295">
        <f t="shared" si="112"/>
        <v>1</v>
      </c>
    </row>
    <row r="556" spans="1:16" ht="30">
      <c r="A556" s="2270" t="s">
        <v>13214</v>
      </c>
      <c r="B556" s="2234">
        <f>VLOOKUP($A556,'12 - QT_SUN'!$A:$F,2,0)</f>
        <v>95583</v>
      </c>
      <c r="C556" s="2234" t="str">
        <f>VLOOKUP($A556,'12 - QT_SUN'!$A:$F,3,0)</f>
        <v>SINAPI</v>
      </c>
      <c r="D556" s="2375" t="s">
        <v>7483</v>
      </c>
      <c r="E556" s="2236" t="str">
        <f>IF($C556="SINAPI",VLOOKUP($B556,'24.08_ND'!$A:$D,3,0),IF($C556="PRÓPRIA",VLOOKUP($B556,'03-CP'!$C:$H,3,0)))</f>
        <v>KG</v>
      </c>
      <c r="F556" s="2230">
        <v>21.22</v>
      </c>
      <c r="G556" s="2238">
        <v>19.010000000000002</v>
      </c>
      <c r="H556" s="2302">
        <f t="shared" si="113"/>
        <v>403.39</v>
      </c>
      <c r="I556" s="2286"/>
      <c r="J556" s="2237"/>
      <c r="K556" s="2411"/>
      <c r="L556" s="2533"/>
      <c r="M556" s="2238"/>
      <c r="N556" s="2239"/>
      <c r="O556" s="2498">
        <f t="shared" si="111"/>
        <v>403.39</v>
      </c>
      <c r="P556" s="2295">
        <f t="shared" si="112"/>
        <v>1</v>
      </c>
    </row>
    <row r="557" spans="1:16" ht="45">
      <c r="A557" s="2270" t="s">
        <v>13215</v>
      </c>
      <c r="B557" s="2234">
        <f>VLOOKUP($A557,'12 - QT_SUN'!$A:$F,2,0)</f>
        <v>100978</v>
      </c>
      <c r="C557" s="2234" t="str">
        <f>VLOOKUP($A557,'12 - QT_SUN'!$A:$F,3,0)</f>
        <v>SINAPI</v>
      </c>
      <c r="D557" s="2375" t="s">
        <v>11981</v>
      </c>
      <c r="E557" s="2236" t="str">
        <f>IF($C557="SINAPI",VLOOKUP($B557,'24.08_ND'!$A:$D,3,0),IF($C557="PRÓPRIA",VLOOKUP($B557,'03-CP'!$C:$H,3,0)))</f>
        <v>M3</v>
      </c>
      <c r="F557" s="2230">
        <v>3.6399999999999997</v>
      </c>
      <c r="G557" s="2238">
        <v>7.88</v>
      </c>
      <c r="H557" s="2302">
        <f t="shared" si="113"/>
        <v>28.68</v>
      </c>
      <c r="I557" s="2286"/>
      <c r="J557" s="2237"/>
      <c r="K557" s="2411"/>
      <c r="L557" s="2533"/>
      <c r="M557" s="2238"/>
      <c r="N557" s="2239"/>
      <c r="O557" s="2498">
        <f t="shared" si="111"/>
        <v>28.68</v>
      </c>
      <c r="P557" s="2295">
        <f t="shared" si="112"/>
        <v>1</v>
      </c>
    </row>
    <row r="558" spans="1:16" ht="30">
      <c r="A558" s="2270" t="s">
        <v>13216</v>
      </c>
      <c r="B558" s="2234">
        <f>VLOOKUP($A558,'12 - QT_SUN'!$A:$F,2,0)</f>
        <v>100938</v>
      </c>
      <c r="C558" s="2234" t="str">
        <f>VLOOKUP($A558,'12 - QT_SUN'!$A:$F,3,0)</f>
        <v>SINAPI</v>
      </c>
      <c r="D558" s="2375" t="s">
        <v>11938</v>
      </c>
      <c r="E558" s="2236" t="str">
        <f>IF($C558="SINAPI",VLOOKUP($B558,'24.08_ND'!$A:$D,3,0),IF($C558="PRÓPRIA",VLOOKUP($B558,'03-CP'!$C:$H,3,0)))</f>
        <v>M3XKM</v>
      </c>
      <c r="F558" s="2230">
        <v>7.2799999999999994</v>
      </c>
      <c r="G558" s="2238">
        <v>8.6199999999999992</v>
      </c>
      <c r="H558" s="2302">
        <f t="shared" si="113"/>
        <v>62.75</v>
      </c>
      <c r="I558" s="2286"/>
      <c r="J558" s="2237"/>
      <c r="K558" s="2411"/>
      <c r="L558" s="2533"/>
      <c r="M558" s="2238"/>
      <c r="N558" s="2239"/>
      <c r="O558" s="2498">
        <f t="shared" si="111"/>
        <v>62.75</v>
      </c>
      <c r="P558" s="2295">
        <f t="shared" si="112"/>
        <v>1</v>
      </c>
    </row>
    <row r="559" spans="1:16">
      <c r="A559" s="2340" t="s">
        <v>13217</v>
      </c>
      <c r="B559" s="2223"/>
      <c r="C559" s="2223"/>
      <c r="D559" s="2376" t="s">
        <v>16363</v>
      </c>
      <c r="E559" s="2224"/>
      <c r="F559" s="2240"/>
      <c r="G559" s="2226"/>
      <c r="H559" s="2301">
        <f>SUBTOTAL(9,H560:H573)</f>
        <v>220870.05999999997</v>
      </c>
      <c r="I559" s="2284"/>
      <c r="J559" s="2227"/>
      <c r="K559" s="2496"/>
      <c r="L559" s="2534">
        <f>SUBTOTAL(9,L560:L573)</f>
        <v>0</v>
      </c>
      <c r="M559" s="2301">
        <f>SUBTOTAL(9,M560:M573)</f>
        <v>0</v>
      </c>
      <c r="N559" s="2301">
        <f>SUBTOTAL(9,N560:N573)</f>
        <v>0</v>
      </c>
      <c r="O559" s="2301">
        <f>SUBTOTAL(9,O560:O573)</f>
        <v>220870.05999999997</v>
      </c>
      <c r="P559" s="2558">
        <f t="shared" si="112"/>
        <v>1</v>
      </c>
    </row>
    <row r="560" spans="1:16">
      <c r="A560" s="2341" t="s">
        <v>13218</v>
      </c>
      <c r="B560" s="2246">
        <f>VLOOKUP($A560,'12 - QT_SUN'!$A:$F,2,0)</f>
        <v>0</v>
      </c>
      <c r="C560" s="2246">
        <f>VLOOKUP($A560,'12 - QT_SUN'!$A:$F,3,0)</f>
        <v>0</v>
      </c>
      <c r="D560" s="2379" t="s">
        <v>16364</v>
      </c>
      <c r="E560" s="2247" t="str">
        <f>IFERROR(VLOOKUP($B560,'24.08_ND'!$1:$1048529,3,0),IFERROR(VLOOKUP($B560,'03-CP'!$C$1:$H$6260,3,0),""))</f>
        <v/>
      </c>
      <c r="F560" s="2248"/>
      <c r="G560" s="2249"/>
      <c r="H560" s="2304">
        <f>SUBTOTAL(9,H561:H564)</f>
        <v>164495.97999999998</v>
      </c>
      <c r="I560" s="2289"/>
      <c r="J560" s="2250"/>
      <c r="K560" s="2547"/>
      <c r="L560" s="2538">
        <f>SUBTOTAL(9,L561:L564)</f>
        <v>0</v>
      </c>
      <c r="M560" s="2304">
        <f>SUBTOTAL(9,M561:M564)</f>
        <v>0</v>
      </c>
      <c r="N560" s="2304">
        <f>SUBTOTAL(9,N561:N564)</f>
        <v>0</v>
      </c>
      <c r="O560" s="2304">
        <f>SUBTOTAL(9,O561:O564)</f>
        <v>164495.97999999998</v>
      </c>
      <c r="P560" s="2297"/>
    </row>
    <row r="561" spans="1:16" ht="30">
      <c r="A561" s="2271" t="s">
        <v>13219</v>
      </c>
      <c r="B561" s="2234">
        <f>VLOOKUP($A561,'12 - QT_SUN'!$A:$F,2,0)</f>
        <v>92264</v>
      </c>
      <c r="C561" s="2234" t="str">
        <f>VLOOKUP($A561,'12 - QT_SUN'!$A:$F,3,0)</f>
        <v>SINAPI</v>
      </c>
      <c r="D561" s="2375" t="s">
        <v>7200</v>
      </c>
      <c r="E561" s="2236" t="str">
        <f>IF($C561="SINAPI",VLOOKUP($B561,'24.08_ND'!$A:$D,3,0),IF($C561="PRÓPRIA",VLOOKUP($B561,'03-CP'!$C:$H,3,0)))</f>
        <v>M2</v>
      </c>
      <c r="F561" s="2230">
        <v>330.48</v>
      </c>
      <c r="G561" s="2238">
        <v>310.8</v>
      </c>
      <c r="H561" s="2302">
        <f>TRUNC((G561*F561),2)</f>
        <v>102713.18</v>
      </c>
      <c r="I561" s="2286"/>
      <c r="J561" s="2237"/>
      <c r="K561" s="2411"/>
      <c r="L561" s="2533"/>
      <c r="M561" s="2238"/>
      <c r="N561" s="2239"/>
      <c r="O561" s="2498">
        <f>H561-L561</f>
        <v>102713.18</v>
      </c>
      <c r="P561" s="2295">
        <f>O561/H561</f>
        <v>1</v>
      </c>
    </row>
    <row r="562" spans="1:16" ht="30">
      <c r="A562" s="2271" t="s">
        <v>13220</v>
      </c>
      <c r="B562" s="2234">
        <f>VLOOKUP($A562,'12 - QT_SUN'!$A:$F,2,0)</f>
        <v>92760</v>
      </c>
      <c r="C562" s="2234" t="str">
        <f>VLOOKUP($A562,'12 - QT_SUN'!$A:$F,3,0)</f>
        <v>SINAPI</v>
      </c>
      <c r="D562" s="2375" t="s">
        <v>7429</v>
      </c>
      <c r="E562" s="2236" t="str">
        <f>IF($C562="SINAPI",VLOOKUP($B562,'24.08_ND'!$A:$D,3,0),IF($C562="PRÓPRIA",VLOOKUP($B562,'03-CP'!$C:$H,3,0)))</f>
        <v>KG</v>
      </c>
      <c r="F562" s="2230">
        <v>1504.01</v>
      </c>
      <c r="G562" s="2238">
        <v>16.45</v>
      </c>
      <c r="H562" s="2302">
        <f>TRUNC((G562*F562),2)</f>
        <v>24740.959999999999</v>
      </c>
      <c r="I562" s="2286"/>
      <c r="J562" s="2237"/>
      <c r="K562" s="2411"/>
      <c r="L562" s="2533"/>
      <c r="M562" s="2238"/>
      <c r="N562" s="2239"/>
      <c r="O562" s="2498">
        <f>H562-L562</f>
        <v>24740.959999999999</v>
      </c>
      <c r="P562" s="2295">
        <f>O562/H562</f>
        <v>1</v>
      </c>
    </row>
    <row r="563" spans="1:16" ht="30">
      <c r="A563" s="2271" t="s">
        <v>13221</v>
      </c>
      <c r="B563" s="2228" t="str">
        <f>VLOOKUP($A563,'12 - QT_SUN'!$A:$F,2,0)</f>
        <v>PS-CP-EST-03</v>
      </c>
      <c r="C563" s="2228" t="str">
        <f>VLOOKUP($A563,'12 - QT_SUN'!$A:$F,3,0)</f>
        <v>PRÓPRIA</v>
      </c>
      <c r="D563" s="2375" t="s">
        <v>14591</v>
      </c>
      <c r="E563" s="2229" t="str">
        <f>IF($C563="SINAPI",VLOOKUP($B563,'24.08_ND'!$A:$D,3,0),IF($C563="PRÓPRIA",VLOOKUP($B563,'03-CP'!$C:$H,3,0)))</f>
        <v>M3</v>
      </c>
      <c r="F563" s="2230">
        <v>31.59</v>
      </c>
      <c r="G563" s="2232">
        <v>988.62</v>
      </c>
      <c r="H563" s="2302">
        <f>TRUNC((G563*F563),2)</f>
        <v>31230.5</v>
      </c>
      <c r="I563" s="2287"/>
      <c r="J563" s="2231"/>
      <c r="K563" s="2412"/>
      <c r="L563" s="2536"/>
      <c r="M563" s="2232"/>
      <c r="N563" s="2557"/>
      <c r="O563" s="2498">
        <f>H563-L563</f>
        <v>31230.5</v>
      </c>
      <c r="P563" s="2295">
        <f>O563/H563</f>
        <v>1</v>
      </c>
    </row>
    <row r="564" spans="1:16" ht="30">
      <c r="A564" s="2271" t="s">
        <v>13222</v>
      </c>
      <c r="B564" s="2234">
        <f>VLOOKUP($A564,'12 - QT_SUN'!$A:$F,2,0)</f>
        <v>98555</v>
      </c>
      <c r="C564" s="2234" t="str">
        <f>VLOOKUP($A564,'12 - QT_SUN'!$A:$F,3,0)</f>
        <v>SINAPI</v>
      </c>
      <c r="D564" s="2375" t="s">
        <v>7733</v>
      </c>
      <c r="E564" s="2236" t="str">
        <f>IF($C564="SINAPI",VLOOKUP($B564,'24.08_ND'!$A:$D,3,0),IF($C564="PRÓPRIA",VLOOKUP($B564,'03-CP'!$C:$H,3,0)))</f>
        <v>M2</v>
      </c>
      <c r="F564" s="2230">
        <v>174.41</v>
      </c>
      <c r="G564" s="2238">
        <v>33.32</v>
      </c>
      <c r="H564" s="2302">
        <f>TRUNC((G564*F564),2)</f>
        <v>5811.34</v>
      </c>
      <c r="I564" s="2286"/>
      <c r="J564" s="2237"/>
      <c r="K564" s="2411"/>
      <c r="L564" s="2533"/>
      <c r="M564" s="2238"/>
      <c r="N564" s="2239"/>
      <c r="O564" s="2498">
        <f>H564-L564</f>
        <v>5811.34</v>
      </c>
      <c r="P564" s="2295">
        <f>O564/H564</f>
        <v>1</v>
      </c>
    </row>
    <row r="565" spans="1:16">
      <c r="A565" s="2341" t="s">
        <v>13223</v>
      </c>
      <c r="B565" s="2246">
        <f>VLOOKUP($A565,'12 - QT_SUN'!$A:$F,2,0)</f>
        <v>0</v>
      </c>
      <c r="C565" s="2246">
        <f>VLOOKUP($A565,'12 - QT_SUN'!$A:$F,3,0)</f>
        <v>0</v>
      </c>
      <c r="D565" s="2379" t="s">
        <v>16365</v>
      </c>
      <c r="E565" s="2247" t="str">
        <f>IFERROR(VLOOKUP($B565,'24.08_ND'!$1:$1048529,3,0),IFERROR(VLOOKUP($B565,'03-CP'!$C$1:$H$6260,3,0),""))</f>
        <v/>
      </c>
      <c r="F565" s="2230"/>
      <c r="G565" s="2249"/>
      <c r="H565" s="2304">
        <f>SUBTOTAL(9,H566:H573)</f>
        <v>56374.080000000009</v>
      </c>
      <c r="I565" s="2289"/>
      <c r="J565" s="2250"/>
      <c r="K565" s="2547"/>
      <c r="L565" s="2538">
        <f>SUBTOTAL(9,L566:L573)</f>
        <v>0</v>
      </c>
      <c r="M565" s="2304">
        <f>SUBTOTAL(9,M566:M573)</f>
        <v>0</v>
      </c>
      <c r="N565" s="2304">
        <f>SUBTOTAL(9,N566:N573)</f>
        <v>0</v>
      </c>
      <c r="O565" s="2304">
        <f>SUBTOTAL(9,O566:O573)</f>
        <v>56374.080000000009</v>
      </c>
      <c r="P565" s="2297"/>
    </row>
    <row r="566" spans="1:16">
      <c r="A566" s="2270" t="s">
        <v>13224</v>
      </c>
      <c r="B566" s="2234">
        <f>VLOOKUP($A566,'12 - QT_SUN'!$A:$F,2,0)</f>
        <v>97082</v>
      </c>
      <c r="C566" s="2234" t="str">
        <f>VLOOKUP($A566,'12 - QT_SUN'!$A:$F,3,0)</f>
        <v>SINAPI</v>
      </c>
      <c r="D566" s="2375" t="s">
        <v>7171</v>
      </c>
      <c r="E566" s="2236" t="str">
        <f>IF($C566="SINAPI",VLOOKUP($B566,'24.08_ND'!$A:$D,3,0),IF($C566="PRÓPRIA",VLOOKUP($B566,'03-CP'!$C:$H,3,0)))</f>
        <v>M3</v>
      </c>
      <c r="F566" s="2230">
        <v>29.05</v>
      </c>
      <c r="G566" s="2238">
        <v>67.17</v>
      </c>
      <c r="H566" s="2302">
        <f t="shared" ref="H566:H573" si="114">TRUNC((G566*F566),2)</f>
        <v>1951.28</v>
      </c>
      <c r="I566" s="2286"/>
      <c r="J566" s="2237"/>
      <c r="K566" s="2411"/>
      <c r="L566" s="2533"/>
      <c r="M566" s="2238"/>
      <c r="N566" s="2239"/>
      <c r="O566" s="2498">
        <f t="shared" ref="O566:O573" si="115">H566-L566</f>
        <v>1951.28</v>
      </c>
      <c r="P566" s="2295">
        <f t="shared" ref="P566:P573" si="116">O566/H566</f>
        <v>1</v>
      </c>
    </row>
    <row r="567" spans="1:16" ht="45">
      <c r="A567" s="2270" t="s">
        <v>13225</v>
      </c>
      <c r="B567" s="2234">
        <f>VLOOKUP($A567,'12 - QT_SUN'!$A:$F,2,0)</f>
        <v>97083</v>
      </c>
      <c r="C567" s="2234" t="str">
        <f>VLOOKUP($A567,'12 - QT_SUN'!$A:$F,3,0)</f>
        <v>SINAPI</v>
      </c>
      <c r="D567" s="2375" t="s">
        <v>7172</v>
      </c>
      <c r="E567" s="2236" t="str">
        <f>IF($C567="SINAPI",VLOOKUP($B567,'24.08_ND'!$A:$D,3,0),IF($C567="PRÓPRIA",VLOOKUP($B567,'03-CP'!$C:$H,3,0)))</f>
        <v>M2</v>
      </c>
      <c r="F567" s="2230">
        <v>145.24</v>
      </c>
      <c r="G567" s="2238">
        <v>3.56</v>
      </c>
      <c r="H567" s="2302">
        <f t="shared" si="114"/>
        <v>517.04999999999995</v>
      </c>
      <c r="I567" s="2286"/>
      <c r="J567" s="2237"/>
      <c r="K567" s="2411"/>
      <c r="L567" s="2533"/>
      <c r="M567" s="2238"/>
      <c r="N567" s="2239"/>
      <c r="O567" s="2498">
        <f t="shared" si="115"/>
        <v>517.04999999999995</v>
      </c>
      <c r="P567" s="2295">
        <f t="shared" si="116"/>
        <v>1</v>
      </c>
    </row>
    <row r="568" spans="1:16" ht="30">
      <c r="A568" s="2270" t="s">
        <v>13226</v>
      </c>
      <c r="B568" s="2234">
        <f>VLOOKUP($A568,'12 - QT_SUN'!$A:$F,2,0)</f>
        <v>96622</v>
      </c>
      <c r="C568" s="2234" t="str">
        <f>VLOOKUP($A568,'12 - QT_SUN'!$A:$F,3,0)</f>
        <v>SINAPI</v>
      </c>
      <c r="D568" s="2375" t="s">
        <v>7168</v>
      </c>
      <c r="E568" s="2236" t="str">
        <f>IF($C568="SINAPI",VLOOKUP($B568,'24.08_ND'!$A:$D,3,0),IF($C568="PRÓPRIA",VLOOKUP($B568,'03-CP'!$C:$H,3,0)))</f>
        <v>M3</v>
      </c>
      <c r="F568" s="2230">
        <v>7.26</v>
      </c>
      <c r="G568" s="2238">
        <v>310.45</v>
      </c>
      <c r="H568" s="2302">
        <f t="shared" si="114"/>
        <v>2253.86</v>
      </c>
      <c r="I568" s="2286"/>
      <c r="J568" s="2237"/>
      <c r="K568" s="2411"/>
      <c r="L568" s="2533"/>
      <c r="M568" s="2238"/>
      <c r="N568" s="2239"/>
      <c r="O568" s="2498">
        <f t="shared" si="115"/>
        <v>2253.86</v>
      </c>
      <c r="P568" s="2295">
        <f t="shared" si="116"/>
        <v>1</v>
      </c>
    </row>
    <row r="569" spans="1:16" ht="30">
      <c r="A569" s="2270" t="s">
        <v>13227</v>
      </c>
      <c r="B569" s="2234">
        <f>VLOOKUP($A569,'12 - QT_SUN'!$A:$F,2,0)</f>
        <v>97087</v>
      </c>
      <c r="C569" s="2234" t="str">
        <f>VLOOKUP($A569,'12 - QT_SUN'!$A:$F,3,0)</f>
        <v>SINAPI</v>
      </c>
      <c r="D569" s="2375" t="s">
        <v>7175</v>
      </c>
      <c r="E569" s="2236" t="str">
        <f>IF($C569="SINAPI",VLOOKUP($B569,'24.08_ND'!$A:$D,3,0),IF($C569="PRÓPRIA",VLOOKUP($B569,'03-CP'!$C:$H,3,0)))</f>
        <v>M2</v>
      </c>
      <c r="F569" s="2230">
        <v>159.76</v>
      </c>
      <c r="G569" s="2238">
        <v>3.78</v>
      </c>
      <c r="H569" s="2302">
        <f t="shared" si="114"/>
        <v>603.89</v>
      </c>
      <c r="I569" s="2286"/>
      <c r="J569" s="2237"/>
      <c r="K569" s="2411"/>
      <c r="L569" s="2533"/>
      <c r="M569" s="2238"/>
      <c r="N569" s="2239"/>
      <c r="O569" s="2498">
        <f t="shared" si="115"/>
        <v>603.89</v>
      </c>
      <c r="P569" s="2295">
        <f t="shared" si="116"/>
        <v>1</v>
      </c>
    </row>
    <row r="570" spans="1:16" ht="45">
      <c r="A570" s="2270" t="s">
        <v>13228</v>
      </c>
      <c r="B570" s="2234">
        <f>VLOOKUP($A570,'12 - QT_SUN'!$A:$F,2,0)</f>
        <v>92916</v>
      </c>
      <c r="C570" s="2234" t="str">
        <f>VLOOKUP($A570,'12 - QT_SUN'!$A:$F,3,0)</f>
        <v>SINAPI</v>
      </c>
      <c r="D570" s="2375" t="s">
        <v>7468</v>
      </c>
      <c r="E570" s="2236" t="str">
        <f>IF($C570="SINAPI",VLOOKUP($B570,'24.08_ND'!$A:$D,3,0),IF($C570="PRÓPRIA",VLOOKUP($B570,'03-CP'!$C:$H,3,0)))</f>
        <v>KG</v>
      </c>
      <c r="F570" s="2230">
        <v>1546.36</v>
      </c>
      <c r="G570" s="2238">
        <v>18.55</v>
      </c>
      <c r="H570" s="2302">
        <f t="shared" si="114"/>
        <v>28684.97</v>
      </c>
      <c r="I570" s="2286"/>
      <c r="J570" s="2237"/>
      <c r="K570" s="2411"/>
      <c r="L570" s="2533"/>
      <c r="M570" s="2238"/>
      <c r="N570" s="2239"/>
      <c r="O570" s="2498">
        <f t="shared" si="115"/>
        <v>28684.97</v>
      </c>
      <c r="P570" s="2295">
        <f t="shared" si="116"/>
        <v>1</v>
      </c>
    </row>
    <row r="571" spans="1:16" ht="30">
      <c r="A571" s="2270" t="s">
        <v>13229</v>
      </c>
      <c r="B571" s="2228" t="str">
        <f>VLOOKUP($A571,'12 - QT_SUN'!$A:$F,2,0)</f>
        <v>PS-CP-EST-03</v>
      </c>
      <c r="C571" s="2228" t="str">
        <f>VLOOKUP($A571,'12 - QT_SUN'!$A:$F,3,0)</f>
        <v>PRÓPRIA</v>
      </c>
      <c r="D571" s="2375" t="s">
        <v>14591</v>
      </c>
      <c r="E571" s="2229" t="str">
        <f>IF($C571="SINAPI",VLOOKUP($B571,'24.08_ND'!$A:$D,3,0),IF($C571="PRÓPRIA",VLOOKUP($B571,'03-CP'!$C:$H,3,0)))</f>
        <v>M3</v>
      </c>
      <c r="F571" s="2230">
        <v>21.79</v>
      </c>
      <c r="G571" s="2232">
        <v>988.62</v>
      </c>
      <c r="H571" s="2302">
        <f t="shared" si="114"/>
        <v>21542.02</v>
      </c>
      <c r="I571" s="2287"/>
      <c r="J571" s="2231"/>
      <c r="K571" s="2412"/>
      <c r="L571" s="2536"/>
      <c r="M571" s="2232"/>
      <c r="N571" s="2557"/>
      <c r="O571" s="2498">
        <f t="shared" si="115"/>
        <v>21542.02</v>
      </c>
      <c r="P571" s="2295">
        <f t="shared" si="116"/>
        <v>1</v>
      </c>
    </row>
    <row r="572" spans="1:16" ht="45">
      <c r="A572" s="2271" t="s">
        <v>13230</v>
      </c>
      <c r="B572" s="2234">
        <f>VLOOKUP($A572,'12 - QT_SUN'!$A:$F,2,0)</f>
        <v>100978</v>
      </c>
      <c r="C572" s="2234" t="str">
        <f>VLOOKUP($A572,'12 - QT_SUN'!$A:$F,3,0)</f>
        <v>SINAPI</v>
      </c>
      <c r="D572" s="2375" t="s">
        <v>11981</v>
      </c>
      <c r="E572" s="2236" t="str">
        <f>IF($C572="SINAPI",VLOOKUP($B572,'24.08_ND'!$A:$D,3,0),IF($C572="PRÓPRIA",VLOOKUP($B572,'03-CP'!$C:$H,3,0)))</f>
        <v>M3</v>
      </c>
      <c r="F572" s="2230">
        <v>32.683999999999997</v>
      </c>
      <c r="G572" s="2238">
        <v>7.88</v>
      </c>
      <c r="H572" s="2302">
        <f t="shared" si="114"/>
        <v>257.54000000000002</v>
      </c>
      <c r="I572" s="2286"/>
      <c r="J572" s="2237"/>
      <c r="K572" s="2411"/>
      <c r="L572" s="2533"/>
      <c r="M572" s="2238"/>
      <c r="N572" s="2239"/>
      <c r="O572" s="2498">
        <f t="shared" si="115"/>
        <v>257.54000000000002</v>
      </c>
      <c r="P572" s="2295">
        <f t="shared" si="116"/>
        <v>1</v>
      </c>
    </row>
    <row r="573" spans="1:16" ht="30">
      <c r="A573" s="2271" t="s">
        <v>13231</v>
      </c>
      <c r="B573" s="2234">
        <f>VLOOKUP($A573,'12 - QT_SUN'!$A:$F,2,0)</f>
        <v>100938</v>
      </c>
      <c r="C573" s="2234" t="str">
        <f>VLOOKUP($A573,'12 - QT_SUN'!$A:$F,3,0)</f>
        <v>SINAPI</v>
      </c>
      <c r="D573" s="2375" t="s">
        <v>11938</v>
      </c>
      <c r="E573" s="2236" t="str">
        <f>IF($C573="SINAPI",VLOOKUP($B573,'24.08_ND'!$A:$D,3,0),IF($C573="PRÓPRIA",VLOOKUP($B573,'03-CP'!$C:$H,3,0)))</f>
        <v>M3XKM</v>
      </c>
      <c r="F573" s="2230">
        <v>65.367999999999995</v>
      </c>
      <c r="G573" s="2238">
        <v>8.6199999999999992</v>
      </c>
      <c r="H573" s="2302">
        <f t="shared" si="114"/>
        <v>563.47</v>
      </c>
      <c r="I573" s="2286"/>
      <c r="J573" s="2237"/>
      <c r="K573" s="2411"/>
      <c r="L573" s="2533"/>
      <c r="M573" s="2238"/>
      <c r="N573" s="2239"/>
      <c r="O573" s="2498">
        <f t="shared" si="115"/>
        <v>563.47</v>
      </c>
      <c r="P573" s="2295">
        <f t="shared" si="116"/>
        <v>1</v>
      </c>
    </row>
    <row r="574" spans="1:16">
      <c r="A574" s="2340" t="s">
        <v>13232</v>
      </c>
      <c r="B574" s="2223"/>
      <c r="C574" s="2223"/>
      <c r="D574" s="2376" t="s">
        <v>16366</v>
      </c>
      <c r="E574" s="2224"/>
      <c r="F574" s="2240"/>
      <c r="G574" s="2226"/>
      <c r="H574" s="2301">
        <f>SUBTOTAL(9,H575:H630)</f>
        <v>241277.10000000003</v>
      </c>
      <c r="I574" s="2284"/>
      <c r="J574" s="2227"/>
      <c r="K574" s="2496"/>
      <c r="L574" s="2534">
        <f>SUBTOTAL(9,L575:L630)</f>
        <v>0</v>
      </c>
      <c r="M574" s="2301">
        <f>SUBTOTAL(9,M575:M630)</f>
        <v>0</v>
      </c>
      <c r="N574" s="2301">
        <f>SUBTOTAL(9,N575:N630)</f>
        <v>0</v>
      </c>
      <c r="O574" s="2301">
        <f>SUBTOTAL(9,O575:O630)</f>
        <v>241277.10000000003</v>
      </c>
      <c r="P574" s="2293"/>
    </row>
    <row r="575" spans="1:16">
      <c r="A575" s="2341" t="s">
        <v>13233</v>
      </c>
      <c r="B575" s="2246">
        <f>VLOOKUP($A575,'12 - QT_SUN'!$A:$F,2,0)</f>
        <v>0</v>
      </c>
      <c r="C575" s="2246">
        <f>VLOOKUP($A575,'12 - QT_SUN'!$A:$F,3,0)</f>
        <v>0</v>
      </c>
      <c r="D575" s="2379" t="s">
        <v>16367</v>
      </c>
      <c r="E575" s="2247" t="str">
        <f>IFERROR(VLOOKUP($B575,'24.08_ND'!$1:$1048529,3,0),IFERROR(VLOOKUP($B575,'03-CP'!$C$1:$H$6260,3,0),""))</f>
        <v/>
      </c>
      <c r="F575" s="2248"/>
      <c r="G575" s="2249"/>
      <c r="H575" s="2304">
        <f>SUBTOTAL(9,H576:H581)</f>
        <v>55803.54</v>
      </c>
      <c r="I575" s="2289"/>
      <c r="J575" s="2250"/>
      <c r="K575" s="2547"/>
      <c r="L575" s="2538">
        <f>SUBTOTAL(9,L576:L581)</f>
        <v>0</v>
      </c>
      <c r="M575" s="2304">
        <f>SUBTOTAL(9,M576:M581)</f>
        <v>0</v>
      </c>
      <c r="N575" s="2304">
        <f>SUBTOTAL(9,N576:N581)</f>
        <v>0</v>
      </c>
      <c r="O575" s="2304">
        <f>SUBTOTAL(9,O576:O581)</f>
        <v>55803.54</v>
      </c>
      <c r="P575" s="2297"/>
    </row>
    <row r="576" spans="1:16" ht="30">
      <c r="A576" s="2269" t="s">
        <v>12606</v>
      </c>
      <c r="B576" s="2228" t="str">
        <f>VLOOKUP($A576,'12 - QT_SUN'!$A:$F,2,0)</f>
        <v>PS-CP-EST-08</v>
      </c>
      <c r="C576" s="2228" t="str">
        <f>VLOOKUP($A576,'12 - QT_SUN'!$A:$F,3,0)</f>
        <v>PRÓPRIA</v>
      </c>
      <c r="D576" s="2375" t="s">
        <v>14601</v>
      </c>
      <c r="E576" s="2229" t="str">
        <f>IF($C576="SINAPI",VLOOKUP($B576,'24.08_ND'!$A:$D,3,0),IF($C576="PRÓPRIA",VLOOKUP($B576,'03-CP'!$C:$H,3,0)))</f>
        <v>M2</v>
      </c>
      <c r="F576" s="2230">
        <v>290.11</v>
      </c>
      <c r="G576" s="2232">
        <v>130.08000000000001</v>
      </c>
      <c r="H576" s="2302">
        <f t="shared" ref="H576:H581" si="117">TRUNC((G576*F576),2)</f>
        <v>37737.5</v>
      </c>
      <c r="I576" s="2287"/>
      <c r="J576" s="2231"/>
      <c r="K576" s="2412"/>
      <c r="L576" s="2536"/>
      <c r="M576" s="2232"/>
      <c r="N576" s="2557"/>
      <c r="O576" s="2498">
        <f t="shared" ref="O576:O581" si="118">H576-L576</f>
        <v>37737.5</v>
      </c>
      <c r="P576" s="2295">
        <f t="shared" ref="P576:P581" si="119">O576/H576</f>
        <v>1</v>
      </c>
    </row>
    <row r="577" spans="1:16" ht="45">
      <c r="A577" s="2269" t="s">
        <v>13234</v>
      </c>
      <c r="B577" s="2234">
        <f>VLOOKUP($A577,'12 - QT_SUN'!$A:$F,2,0)</f>
        <v>97083</v>
      </c>
      <c r="C577" s="2234" t="str">
        <f>VLOOKUP($A577,'12 - QT_SUN'!$A:$F,3,0)</f>
        <v>SINAPI</v>
      </c>
      <c r="D577" s="2375" t="s">
        <v>7172</v>
      </c>
      <c r="E577" s="2236" t="str">
        <f>IF($C577="SINAPI",VLOOKUP($B577,'24.08_ND'!$A:$D,3,0),IF($C577="PRÓPRIA",VLOOKUP($B577,'03-CP'!$C:$H,3,0)))</f>
        <v>M2</v>
      </c>
      <c r="F577" s="2230">
        <v>290.11</v>
      </c>
      <c r="G577" s="2238">
        <v>3.56</v>
      </c>
      <c r="H577" s="2302">
        <f t="shared" si="117"/>
        <v>1032.79</v>
      </c>
      <c r="I577" s="2286"/>
      <c r="J577" s="2237"/>
      <c r="K577" s="2411"/>
      <c r="L577" s="2533"/>
      <c r="M577" s="2238"/>
      <c r="N577" s="2239"/>
      <c r="O577" s="2498">
        <f t="shared" si="118"/>
        <v>1032.79</v>
      </c>
      <c r="P577" s="2295">
        <f t="shared" si="119"/>
        <v>1</v>
      </c>
    </row>
    <row r="578" spans="1:16" ht="30">
      <c r="A578" s="2269" t="s">
        <v>13235</v>
      </c>
      <c r="B578" s="2234">
        <f>VLOOKUP($A578,'12 - QT_SUN'!$A:$F,2,0)</f>
        <v>96622</v>
      </c>
      <c r="C578" s="2234" t="str">
        <f>VLOOKUP($A578,'12 - QT_SUN'!$A:$F,3,0)</f>
        <v>SINAPI</v>
      </c>
      <c r="D578" s="2375" t="s">
        <v>7168</v>
      </c>
      <c r="E578" s="2236" t="str">
        <f>IF($C578="SINAPI",VLOOKUP($B578,'24.08_ND'!$A:$D,3,0),IF($C578="PRÓPRIA",VLOOKUP($B578,'03-CP'!$C:$H,3,0)))</f>
        <v>M3</v>
      </c>
      <c r="F578" s="2230">
        <v>14.51</v>
      </c>
      <c r="G578" s="2238">
        <v>310.45</v>
      </c>
      <c r="H578" s="2302">
        <f t="shared" si="117"/>
        <v>4504.62</v>
      </c>
      <c r="I578" s="2286"/>
      <c r="J578" s="2237"/>
      <c r="K578" s="2411"/>
      <c r="L578" s="2533"/>
      <c r="M578" s="2238"/>
      <c r="N578" s="2239"/>
      <c r="O578" s="2498">
        <f t="shared" si="118"/>
        <v>4504.62</v>
      </c>
      <c r="P578" s="2295">
        <f t="shared" si="119"/>
        <v>1</v>
      </c>
    </row>
    <row r="579" spans="1:16" ht="45">
      <c r="A579" s="2269" t="s">
        <v>13236</v>
      </c>
      <c r="B579" s="2234">
        <f>VLOOKUP($A579,'12 - QT_SUN'!$A:$F,2,0)</f>
        <v>98575</v>
      </c>
      <c r="C579" s="2234" t="str">
        <f>VLOOKUP($A579,'12 - QT_SUN'!$A:$F,3,0)</f>
        <v>SINAPI</v>
      </c>
      <c r="D579" s="2375" t="s">
        <v>7603</v>
      </c>
      <c r="E579" s="2236" t="str">
        <f>IF($C579="SINAPI",VLOOKUP($B579,'24.08_ND'!$A:$D,3,0),IF($C579="PRÓPRIA",VLOOKUP($B579,'03-CP'!$C:$H,3,0)))</f>
        <v>M</v>
      </c>
      <c r="F579" s="2230">
        <v>85</v>
      </c>
      <c r="G579" s="2238">
        <v>77.47</v>
      </c>
      <c r="H579" s="2302">
        <f t="shared" si="117"/>
        <v>6584.95</v>
      </c>
      <c r="I579" s="2286"/>
      <c r="J579" s="2237"/>
      <c r="K579" s="2411"/>
      <c r="L579" s="2533"/>
      <c r="M579" s="2238"/>
      <c r="N579" s="2239"/>
      <c r="O579" s="2498">
        <f t="shared" si="118"/>
        <v>6584.95</v>
      </c>
      <c r="P579" s="2295">
        <f t="shared" si="119"/>
        <v>1</v>
      </c>
    </row>
    <row r="580" spans="1:16" ht="30">
      <c r="A580" s="2269" t="s">
        <v>13237</v>
      </c>
      <c r="B580" s="2234">
        <f>VLOOKUP($A580,'12 - QT_SUN'!$A:$F,2,0)</f>
        <v>97087</v>
      </c>
      <c r="C580" s="2234" t="str">
        <f>VLOOKUP($A580,'12 - QT_SUN'!$A:$F,3,0)</f>
        <v>SINAPI</v>
      </c>
      <c r="D580" s="2375" t="s">
        <v>7175</v>
      </c>
      <c r="E580" s="2236" t="str">
        <f>IF($C580="SINAPI",VLOOKUP($B580,'24.08_ND'!$A:$D,3,0),IF($C580="PRÓPRIA",VLOOKUP($B580,'03-CP'!$C:$H,3,0)))</f>
        <v>M2</v>
      </c>
      <c r="F580" s="2230">
        <v>319.10000000000002</v>
      </c>
      <c r="G580" s="2238">
        <v>3.78</v>
      </c>
      <c r="H580" s="2302">
        <f t="shared" si="117"/>
        <v>1206.19</v>
      </c>
      <c r="I580" s="2286"/>
      <c r="J580" s="2237"/>
      <c r="K580" s="2411"/>
      <c r="L580" s="2533"/>
      <c r="M580" s="2238"/>
      <c r="N580" s="2239"/>
      <c r="O580" s="2498">
        <f t="shared" si="118"/>
        <v>1206.19</v>
      </c>
      <c r="P580" s="2295">
        <f t="shared" si="119"/>
        <v>1</v>
      </c>
    </row>
    <row r="581" spans="1:16" ht="45">
      <c r="A581" s="2269" t="s">
        <v>13238</v>
      </c>
      <c r="B581" s="2228" t="str">
        <f>VLOOKUP($A581,'12 - QT_SUN'!$A:$F,2,0)</f>
        <v>PS-CP-EST-07</v>
      </c>
      <c r="C581" s="2228" t="str">
        <f>VLOOKUP($A581,'12 - QT_SUN'!$A:$F,3,0)</f>
        <v>PRÓPRIA</v>
      </c>
      <c r="D581" s="2375" t="s">
        <v>14599</v>
      </c>
      <c r="E581" s="2229" t="str">
        <f>IF($C581="SINAPI",VLOOKUP($B581,'24.08_ND'!$A:$D,3,0),IF($C581="PRÓPRIA",VLOOKUP($B581,'03-CP'!$C:$H,3,0)))</f>
        <v>M2</v>
      </c>
      <c r="F581" s="2230">
        <v>290.11</v>
      </c>
      <c r="G581" s="2232">
        <v>16.329999999999998</v>
      </c>
      <c r="H581" s="2302">
        <f t="shared" si="117"/>
        <v>4737.49</v>
      </c>
      <c r="I581" s="2287"/>
      <c r="J581" s="2231"/>
      <c r="K581" s="2412"/>
      <c r="L581" s="2536"/>
      <c r="M581" s="2232"/>
      <c r="N581" s="2557"/>
      <c r="O581" s="2498">
        <f t="shared" si="118"/>
        <v>4737.49</v>
      </c>
      <c r="P581" s="2295">
        <f t="shared" si="119"/>
        <v>1</v>
      </c>
    </row>
    <row r="582" spans="1:16">
      <c r="A582" s="2341" t="s">
        <v>13239</v>
      </c>
      <c r="B582" s="2246">
        <f>VLOOKUP($A582,'12 - QT_SUN'!$A:$F,2,0)</f>
        <v>0</v>
      </c>
      <c r="C582" s="2246">
        <f>VLOOKUP($A582,'12 - QT_SUN'!$A:$F,3,0)</f>
        <v>0</v>
      </c>
      <c r="D582" s="2379" t="s">
        <v>16368</v>
      </c>
      <c r="E582" s="2247" t="str">
        <f>IFERROR(VLOOKUP($B582,'24.08_ND'!$1:$1048529,3,0),IFERROR(VLOOKUP($B582,'03-CP'!$C$1:$H$6260,3,0),""))</f>
        <v/>
      </c>
      <c r="F582" s="2230">
        <v>0</v>
      </c>
      <c r="G582" s="2249"/>
      <c r="H582" s="2304">
        <f>SUBTOTAL(9,H583:H591)</f>
        <v>97364.9</v>
      </c>
      <c r="I582" s="2289"/>
      <c r="J582" s="2250"/>
      <c r="K582" s="2547"/>
      <c r="L582" s="2538">
        <f>SUBTOTAL(9,L583:L591)</f>
        <v>0</v>
      </c>
      <c r="M582" s="2304">
        <f>SUBTOTAL(9,M583:M591)</f>
        <v>0</v>
      </c>
      <c r="N582" s="2304">
        <f>SUBTOTAL(9,N583:N591)</f>
        <v>0</v>
      </c>
      <c r="O582" s="2304">
        <f>SUBTOTAL(9,O583:O591)</f>
        <v>97364.9</v>
      </c>
      <c r="P582" s="2297"/>
    </row>
    <row r="583" spans="1:16" ht="45">
      <c r="A583" s="2268" t="s">
        <v>13240</v>
      </c>
      <c r="B583" s="2234">
        <f>VLOOKUP($A583,'12 - QT_SUN'!$A:$F,2,0)</f>
        <v>96521</v>
      </c>
      <c r="C583" s="2234" t="str">
        <f>VLOOKUP($A583,'12 - QT_SUN'!$A:$F,3,0)</f>
        <v>SINAPI</v>
      </c>
      <c r="D583" s="2375" t="s">
        <v>10506</v>
      </c>
      <c r="E583" s="2236" t="str">
        <f>IF($C583="SINAPI",VLOOKUP($B583,'24.08_ND'!$A:$D,3,0),IF($C583="PRÓPRIA",VLOOKUP($B583,'03-CP'!$C:$H,3,0)))</f>
        <v>M3</v>
      </c>
      <c r="F583" s="2230">
        <v>214.93</v>
      </c>
      <c r="G583" s="2238">
        <v>42.83</v>
      </c>
      <c r="H583" s="2302">
        <f t="shared" ref="H583:H591" si="120">TRUNC((G583*F583),2)</f>
        <v>9205.4500000000007</v>
      </c>
      <c r="I583" s="2286"/>
      <c r="J583" s="2237"/>
      <c r="K583" s="2411"/>
      <c r="L583" s="2533"/>
      <c r="M583" s="2238"/>
      <c r="N583" s="2239"/>
      <c r="O583" s="2498">
        <f t="shared" ref="O583:O591" si="121">H583-L583</f>
        <v>9205.4500000000007</v>
      </c>
      <c r="P583" s="2295">
        <f t="shared" ref="P583:P591" si="122">O583/H583</f>
        <v>1</v>
      </c>
    </row>
    <row r="584" spans="1:16" ht="30">
      <c r="A584" s="2268" t="s">
        <v>13241</v>
      </c>
      <c r="B584" s="2234">
        <f>VLOOKUP($A584,'12 - QT_SUN'!$A:$F,2,0)</f>
        <v>101616</v>
      </c>
      <c r="C584" s="2234" t="str">
        <f>VLOOKUP($A584,'12 - QT_SUN'!$A:$F,3,0)</f>
        <v>SINAPI</v>
      </c>
      <c r="D584" s="2375" t="s">
        <v>10747</v>
      </c>
      <c r="E584" s="2236" t="str">
        <f>IF($C584="SINAPI",VLOOKUP($B584,'24.08_ND'!$A:$D,3,0),IF($C584="PRÓPRIA",VLOOKUP($B584,'03-CP'!$C:$H,3,0)))</f>
        <v>M2</v>
      </c>
      <c r="F584" s="2230">
        <v>84.39</v>
      </c>
      <c r="G584" s="2238">
        <v>6.71</v>
      </c>
      <c r="H584" s="2302">
        <f t="shared" si="120"/>
        <v>566.25</v>
      </c>
      <c r="I584" s="2286"/>
      <c r="J584" s="2237"/>
      <c r="K584" s="2411"/>
      <c r="L584" s="2533"/>
      <c r="M584" s="2238"/>
      <c r="N584" s="2239"/>
      <c r="O584" s="2498">
        <f t="shared" si="121"/>
        <v>566.25</v>
      </c>
      <c r="P584" s="2295">
        <f t="shared" si="122"/>
        <v>1</v>
      </c>
    </row>
    <row r="585" spans="1:16" ht="30">
      <c r="A585" s="2268" t="s">
        <v>13242</v>
      </c>
      <c r="B585" s="2251">
        <f>VLOOKUP($A585,'12 - QT_SUN'!$A:$F,2,0)</f>
        <v>96619</v>
      </c>
      <c r="C585" s="2234" t="str">
        <f>VLOOKUP($A585,'12 - QT_SUN'!$A:$F,3,0)</f>
        <v>SINAPI</v>
      </c>
      <c r="D585" s="2375" t="s">
        <v>7165</v>
      </c>
      <c r="E585" s="2236" t="str">
        <f>IF($C585="SINAPI",VLOOKUP($B585,'24.08_ND'!$A:$D,3,0),IF($C585="PRÓPRIA",VLOOKUP($B585,'03-CP'!$C:$H,3,0)))</f>
        <v>M2</v>
      </c>
      <c r="F585" s="2230">
        <v>84.39</v>
      </c>
      <c r="G585" s="2238">
        <v>47.73</v>
      </c>
      <c r="H585" s="2302">
        <f t="shared" si="120"/>
        <v>4027.93</v>
      </c>
      <c r="I585" s="2286"/>
      <c r="J585" s="2237"/>
      <c r="K585" s="2411"/>
      <c r="L585" s="2533"/>
      <c r="M585" s="2238"/>
      <c r="N585" s="2239"/>
      <c r="O585" s="2498">
        <f t="shared" si="121"/>
        <v>4027.93</v>
      </c>
      <c r="P585" s="2295">
        <f t="shared" si="122"/>
        <v>1</v>
      </c>
    </row>
    <row r="586" spans="1:16" ht="30">
      <c r="A586" s="2268" t="s">
        <v>13243</v>
      </c>
      <c r="B586" s="2251">
        <f>VLOOKUP($A586,'12 - QT_SUN'!$A:$F,2,0)</f>
        <v>96535</v>
      </c>
      <c r="C586" s="2234" t="str">
        <f>VLOOKUP($A586,'12 - QT_SUN'!$A:$F,3,0)</f>
        <v>SINAPI</v>
      </c>
      <c r="D586" s="2375" t="s">
        <v>7301</v>
      </c>
      <c r="E586" s="2236" t="str">
        <f>IF($C586="SINAPI",VLOOKUP($B586,'24.08_ND'!$A:$D,3,0),IF($C586="PRÓPRIA",VLOOKUP($B586,'03-CP'!$C:$H,3,0)))</f>
        <v>M2</v>
      </c>
      <c r="F586" s="2230">
        <v>52.33</v>
      </c>
      <c r="G586" s="2238">
        <v>149.51</v>
      </c>
      <c r="H586" s="2302">
        <f t="shared" si="120"/>
        <v>7823.85</v>
      </c>
      <c r="I586" s="2286"/>
      <c r="J586" s="2237"/>
      <c r="K586" s="2411"/>
      <c r="L586" s="2533"/>
      <c r="M586" s="2238"/>
      <c r="N586" s="2239"/>
      <c r="O586" s="2498">
        <f t="shared" si="121"/>
        <v>7823.85</v>
      </c>
      <c r="P586" s="2295">
        <f t="shared" si="122"/>
        <v>1</v>
      </c>
    </row>
    <row r="587" spans="1:16" ht="30">
      <c r="A587" s="2268" t="s">
        <v>13244</v>
      </c>
      <c r="B587" s="2251">
        <f>VLOOKUP($A587,'12 - QT_SUN'!$A:$F,2,0)</f>
        <v>104918</v>
      </c>
      <c r="C587" s="2234" t="str">
        <f>VLOOKUP($A587,'12 - QT_SUN'!$A:$F,3,0)</f>
        <v>SINAPI</v>
      </c>
      <c r="D587" s="2375" t="s">
        <v>7515</v>
      </c>
      <c r="E587" s="2236" t="str">
        <f>IF($C587="SINAPI",VLOOKUP($B587,'24.08_ND'!$A:$D,3,0),IF($C587="PRÓPRIA",VLOOKUP($B587,'03-CP'!$C:$H,3,0)))</f>
        <v>KG</v>
      </c>
      <c r="F587" s="2230">
        <v>453.47</v>
      </c>
      <c r="G587" s="2238">
        <v>17.68</v>
      </c>
      <c r="H587" s="2302">
        <f t="shared" si="120"/>
        <v>8017.34</v>
      </c>
      <c r="I587" s="2286"/>
      <c r="J587" s="2237"/>
      <c r="K587" s="2411"/>
      <c r="L587" s="2533"/>
      <c r="M587" s="2238"/>
      <c r="N587" s="2239"/>
      <c r="O587" s="2498">
        <f t="shared" si="121"/>
        <v>8017.34</v>
      </c>
      <c r="P587" s="2295">
        <f t="shared" si="122"/>
        <v>1</v>
      </c>
    </row>
    <row r="588" spans="1:16" ht="30">
      <c r="A588" s="2268" t="s">
        <v>13245</v>
      </c>
      <c r="B588" s="2251">
        <f>VLOOKUP($A588,'12 - QT_SUN'!$A:$F,2,0)</f>
        <v>104919</v>
      </c>
      <c r="C588" s="2234" t="str">
        <f>VLOOKUP($A588,'12 - QT_SUN'!$A:$F,3,0)</f>
        <v>SINAPI</v>
      </c>
      <c r="D588" s="2375" t="s">
        <v>7516</v>
      </c>
      <c r="E588" s="2236" t="str">
        <f>IF($C588="SINAPI",VLOOKUP($B588,'24.08_ND'!$A:$D,3,0),IF($C588="PRÓPRIA",VLOOKUP($B588,'03-CP'!$C:$H,3,0)))</f>
        <v>KG</v>
      </c>
      <c r="F588" s="2230">
        <v>67.31</v>
      </c>
      <c r="G588" s="2238">
        <v>15.88</v>
      </c>
      <c r="H588" s="2302">
        <f t="shared" si="120"/>
        <v>1068.8800000000001</v>
      </c>
      <c r="I588" s="2286"/>
      <c r="J588" s="2237"/>
      <c r="K588" s="2411"/>
      <c r="L588" s="2533"/>
      <c r="M588" s="2238"/>
      <c r="N588" s="2239"/>
      <c r="O588" s="2498">
        <f t="shared" si="121"/>
        <v>1068.8800000000001</v>
      </c>
      <c r="P588" s="2295">
        <f t="shared" si="122"/>
        <v>1</v>
      </c>
    </row>
    <row r="589" spans="1:16" ht="30">
      <c r="A589" s="2268" t="s">
        <v>13246</v>
      </c>
      <c r="B589" s="2251">
        <f>VLOOKUP($A589,'12 - QT_SUN'!$A:$F,2,0)</f>
        <v>104920</v>
      </c>
      <c r="C589" s="2234" t="str">
        <f>VLOOKUP($A589,'12 - QT_SUN'!$A:$F,3,0)</f>
        <v>SINAPI</v>
      </c>
      <c r="D589" s="2375" t="s">
        <v>7517</v>
      </c>
      <c r="E589" s="2236" t="str">
        <f>IF($C589="SINAPI",VLOOKUP($B589,'24.08_ND'!$A:$D,3,0),IF($C589="PRÓPRIA",VLOOKUP($B589,'03-CP'!$C:$H,3,0)))</f>
        <v>KG</v>
      </c>
      <c r="F589" s="2230">
        <v>1329.83</v>
      </c>
      <c r="G589" s="2238">
        <v>13.52</v>
      </c>
      <c r="H589" s="2302">
        <f t="shared" si="120"/>
        <v>17979.3</v>
      </c>
      <c r="I589" s="2286"/>
      <c r="J589" s="2237"/>
      <c r="K589" s="2411"/>
      <c r="L589" s="2533"/>
      <c r="M589" s="2238"/>
      <c r="N589" s="2239"/>
      <c r="O589" s="2498">
        <f t="shared" si="121"/>
        <v>17979.3</v>
      </c>
      <c r="P589" s="2295">
        <f t="shared" si="122"/>
        <v>1</v>
      </c>
    </row>
    <row r="590" spans="1:16" ht="30">
      <c r="A590" s="2268" t="s">
        <v>13247</v>
      </c>
      <c r="B590" s="2251">
        <f>VLOOKUP($A590,'12 - QT_SUN'!$A:$F,2,0)</f>
        <v>96558</v>
      </c>
      <c r="C590" s="2234" t="str">
        <f>VLOOKUP($A590,'12 - QT_SUN'!$A:$F,3,0)</f>
        <v>SINAPI</v>
      </c>
      <c r="D590" s="2375" t="s">
        <v>7548</v>
      </c>
      <c r="E590" s="2236" t="str">
        <f>IF($C590="SINAPI",VLOOKUP($B590,'24.08_ND'!$A:$D,3,0),IF($C590="PRÓPRIA",VLOOKUP($B590,'03-CP'!$C:$H,3,0)))</f>
        <v>M3</v>
      </c>
      <c r="F590" s="2230">
        <v>37.78</v>
      </c>
      <c r="G590" s="2238">
        <v>1149.76</v>
      </c>
      <c r="H590" s="2302">
        <f t="shared" si="120"/>
        <v>43437.93</v>
      </c>
      <c r="I590" s="2286"/>
      <c r="J590" s="2237"/>
      <c r="K590" s="2411"/>
      <c r="L590" s="2533"/>
      <c r="M590" s="2238"/>
      <c r="N590" s="2239"/>
      <c r="O590" s="2498">
        <f t="shared" si="121"/>
        <v>43437.93</v>
      </c>
      <c r="P590" s="2295">
        <f t="shared" si="122"/>
        <v>1</v>
      </c>
    </row>
    <row r="591" spans="1:16" ht="30">
      <c r="A591" s="2269" t="s">
        <v>13248</v>
      </c>
      <c r="B591" s="2251">
        <f>VLOOKUP($A591,'12 - QT_SUN'!$A:$F,2,0)</f>
        <v>93382</v>
      </c>
      <c r="C591" s="2234" t="str">
        <f>VLOOKUP($A591,'12 - QT_SUN'!$A:$F,3,0)</f>
        <v>SINAPI</v>
      </c>
      <c r="D591" s="2375" t="s">
        <v>10726</v>
      </c>
      <c r="E591" s="2236" t="str">
        <f>IF($C591="SINAPI",VLOOKUP($B591,'24.08_ND'!$A:$D,3,0),IF($C591="PRÓPRIA",VLOOKUP($B591,'03-CP'!$C:$H,3,0)))</f>
        <v>M3</v>
      </c>
      <c r="F591" s="2230">
        <v>194.86500000000001</v>
      </c>
      <c r="G591" s="2238">
        <v>26.88</v>
      </c>
      <c r="H591" s="2302">
        <f t="shared" si="120"/>
        <v>5237.97</v>
      </c>
      <c r="I591" s="2286"/>
      <c r="J591" s="2237"/>
      <c r="K591" s="2411"/>
      <c r="L591" s="2533"/>
      <c r="M591" s="2238"/>
      <c r="N591" s="2239"/>
      <c r="O591" s="2498">
        <f t="shared" si="121"/>
        <v>5237.97</v>
      </c>
      <c r="P591" s="2295">
        <f t="shared" si="122"/>
        <v>1</v>
      </c>
    </row>
    <row r="592" spans="1:16">
      <c r="A592" s="2341" t="s">
        <v>13249</v>
      </c>
      <c r="B592" s="2246">
        <f>VLOOKUP($A592,'12 - QT_SUN'!$A:$F,2,0)</f>
        <v>0</v>
      </c>
      <c r="C592" s="2246">
        <f>VLOOKUP($A592,'12 - QT_SUN'!$A:$F,3,0)</f>
        <v>0</v>
      </c>
      <c r="D592" s="2379" t="s">
        <v>16370</v>
      </c>
      <c r="E592" s="2247" t="str">
        <f>IFERROR(VLOOKUP($B592,'24.08_ND'!$1:$1048529,3,0),IFERROR(VLOOKUP($B592,'03-CP'!$C$1:$H$6260,3,0),""))</f>
        <v/>
      </c>
      <c r="F592" s="2230">
        <v>0</v>
      </c>
      <c r="G592" s="2249"/>
      <c r="H592" s="2304">
        <f>SUBTOTAL(9,H593:H598)</f>
        <v>21318.469999999998</v>
      </c>
      <c r="I592" s="2289"/>
      <c r="J592" s="2250"/>
      <c r="K592" s="2547"/>
      <c r="L592" s="2538">
        <f>SUBTOTAL(9,L593:L598)</f>
        <v>0</v>
      </c>
      <c r="M592" s="2304">
        <f>SUBTOTAL(9,M593:M598)</f>
        <v>0</v>
      </c>
      <c r="N592" s="2304">
        <f>SUBTOTAL(9,N593:N598)</f>
        <v>0</v>
      </c>
      <c r="O592" s="2304">
        <f>SUBTOTAL(9,O593:O598)</f>
        <v>21318.469999999998</v>
      </c>
      <c r="P592" s="2297"/>
    </row>
    <row r="593" spans="1:16" ht="45">
      <c r="A593" s="2269" t="s">
        <v>13250</v>
      </c>
      <c r="B593" s="2251">
        <f>VLOOKUP($A593,'12 - QT_SUN'!$A:$F,2,0)</f>
        <v>92413</v>
      </c>
      <c r="C593" s="2234" t="str">
        <f>VLOOKUP($A593,'12 - QT_SUN'!$A:$F,3,0)</f>
        <v>SINAPI</v>
      </c>
      <c r="D593" s="2375" t="s">
        <v>7212</v>
      </c>
      <c r="E593" s="2236" t="str">
        <f>IF($C593="SINAPI",VLOOKUP($B593,'24.08_ND'!$A:$D,3,0),IF($C593="PRÓPRIA",VLOOKUP($B593,'03-CP'!$C:$H,3,0)))</f>
        <v>M2</v>
      </c>
      <c r="F593" s="2230">
        <v>70.819999999999993</v>
      </c>
      <c r="G593" s="2238">
        <v>121.66</v>
      </c>
      <c r="H593" s="2302">
        <f t="shared" ref="H593:H598" si="123">TRUNC((G593*F593),2)</f>
        <v>8615.9599999999991</v>
      </c>
      <c r="I593" s="2286"/>
      <c r="J593" s="2237"/>
      <c r="K593" s="2411"/>
      <c r="L593" s="2533"/>
      <c r="M593" s="2238"/>
      <c r="N593" s="2239"/>
      <c r="O593" s="2498">
        <f t="shared" ref="O593:O598" si="124">H593-L593</f>
        <v>8615.9599999999991</v>
      </c>
      <c r="P593" s="2295">
        <f t="shared" ref="P593:P598" si="125">O593/H593</f>
        <v>1</v>
      </c>
    </row>
    <row r="594" spans="1:16" ht="30">
      <c r="A594" s="2269" t="s">
        <v>13251</v>
      </c>
      <c r="B594" s="2251">
        <f>VLOOKUP($A594,'12 - QT_SUN'!$A:$F,2,0)</f>
        <v>92759</v>
      </c>
      <c r="C594" s="2234" t="str">
        <f>VLOOKUP($A594,'12 - QT_SUN'!$A:$F,3,0)</f>
        <v>SINAPI</v>
      </c>
      <c r="D594" s="2375" t="s">
        <v>7428</v>
      </c>
      <c r="E594" s="2236" t="str">
        <f>IF($C594="SINAPI",VLOOKUP($B594,'24.08_ND'!$A:$D,3,0),IF($C594="PRÓPRIA",VLOOKUP($B594,'03-CP'!$C:$H,3,0)))</f>
        <v>KG</v>
      </c>
      <c r="F594" s="2230">
        <v>66.77</v>
      </c>
      <c r="G594" s="2238">
        <v>17.100000000000001</v>
      </c>
      <c r="H594" s="2302">
        <f t="shared" si="123"/>
        <v>1141.76</v>
      </c>
      <c r="I594" s="2286"/>
      <c r="J594" s="2237"/>
      <c r="K594" s="2411"/>
      <c r="L594" s="2533"/>
      <c r="M594" s="2238"/>
      <c r="N594" s="2239"/>
      <c r="O594" s="2498">
        <f t="shared" si="124"/>
        <v>1141.76</v>
      </c>
      <c r="P594" s="2295">
        <f t="shared" si="125"/>
        <v>1</v>
      </c>
    </row>
    <row r="595" spans="1:16" ht="30">
      <c r="A595" s="2269" t="s">
        <v>13252</v>
      </c>
      <c r="B595" s="2251">
        <f>VLOOKUP($A595,'12 - QT_SUN'!$A:$F,2,0)</f>
        <v>92762</v>
      </c>
      <c r="C595" s="2234" t="str">
        <f>VLOOKUP($A595,'12 - QT_SUN'!$A:$F,3,0)</f>
        <v>SINAPI</v>
      </c>
      <c r="D595" s="2375" t="s">
        <v>7431</v>
      </c>
      <c r="E595" s="2236" t="str">
        <f>IF($C595="SINAPI",VLOOKUP($B595,'24.08_ND'!$A:$D,3,0),IF($C595="PRÓPRIA",VLOOKUP($B595,'03-CP'!$C:$H,3,0)))</f>
        <v>KG</v>
      </c>
      <c r="F595" s="2230">
        <v>15.13</v>
      </c>
      <c r="G595" s="2238">
        <v>14.11</v>
      </c>
      <c r="H595" s="2302">
        <f t="shared" si="123"/>
        <v>213.48</v>
      </c>
      <c r="I595" s="2286"/>
      <c r="J595" s="2237"/>
      <c r="K595" s="2411"/>
      <c r="L595" s="2533"/>
      <c r="M595" s="2238"/>
      <c r="N595" s="2239"/>
      <c r="O595" s="2498">
        <f t="shared" si="124"/>
        <v>213.48</v>
      </c>
      <c r="P595" s="2295">
        <f t="shared" si="125"/>
        <v>1</v>
      </c>
    </row>
    <row r="596" spans="1:16" ht="30">
      <c r="A596" s="2269" t="s">
        <v>13253</v>
      </c>
      <c r="B596" s="2251">
        <f>VLOOKUP($A596,'12 - QT_SUN'!$A:$F,2,0)</f>
        <v>92763</v>
      </c>
      <c r="C596" s="2234" t="str">
        <f>VLOOKUP($A596,'12 - QT_SUN'!$A:$F,3,0)</f>
        <v>SINAPI</v>
      </c>
      <c r="D596" s="2375" t="s">
        <v>7432</v>
      </c>
      <c r="E596" s="2236" t="str">
        <f>IF($C596="SINAPI",VLOOKUP($B596,'24.08_ND'!$A:$D,3,0),IF($C596="PRÓPRIA",VLOOKUP($B596,'03-CP'!$C:$H,3,0)))</f>
        <v>KG</v>
      </c>
      <c r="F596" s="2230">
        <v>193.72</v>
      </c>
      <c r="G596" s="2238">
        <v>11.93</v>
      </c>
      <c r="H596" s="2302">
        <f t="shared" si="123"/>
        <v>2311.0700000000002</v>
      </c>
      <c r="I596" s="2286"/>
      <c r="J596" s="2237"/>
      <c r="K596" s="2411"/>
      <c r="L596" s="2533"/>
      <c r="M596" s="2238"/>
      <c r="N596" s="2239"/>
      <c r="O596" s="2498">
        <f t="shared" si="124"/>
        <v>2311.0700000000002</v>
      </c>
      <c r="P596" s="2295">
        <f t="shared" si="125"/>
        <v>1</v>
      </c>
    </row>
    <row r="597" spans="1:16" ht="30">
      <c r="A597" s="2269" t="s">
        <v>13254</v>
      </c>
      <c r="B597" s="2251">
        <f>VLOOKUP($A597,'12 - QT_SUN'!$A:$F,2,0)</f>
        <v>92764</v>
      </c>
      <c r="C597" s="2234" t="str">
        <f>VLOOKUP($A597,'12 - QT_SUN'!$A:$F,3,0)</f>
        <v>SINAPI</v>
      </c>
      <c r="D597" s="2375" t="s">
        <v>7433</v>
      </c>
      <c r="E597" s="2236" t="str">
        <f>IF($C597="SINAPI",VLOOKUP($B597,'24.08_ND'!$A:$D,3,0),IF($C597="PRÓPRIA",VLOOKUP($B597,'03-CP'!$C:$H,3,0)))</f>
        <v>KG</v>
      </c>
      <c r="F597" s="2230">
        <v>311.14999999999998</v>
      </c>
      <c r="G597" s="2238">
        <v>11.6</v>
      </c>
      <c r="H597" s="2302">
        <f t="shared" si="123"/>
        <v>3609.34</v>
      </c>
      <c r="I597" s="2286"/>
      <c r="J597" s="2237"/>
      <c r="K597" s="2411"/>
      <c r="L597" s="2533"/>
      <c r="M597" s="2238"/>
      <c r="N597" s="2239"/>
      <c r="O597" s="2498">
        <f t="shared" si="124"/>
        <v>3609.34</v>
      </c>
      <c r="P597" s="2295">
        <f t="shared" si="125"/>
        <v>1</v>
      </c>
    </row>
    <row r="598" spans="1:16" ht="30">
      <c r="A598" s="2269" t="s">
        <v>13255</v>
      </c>
      <c r="B598" s="2251">
        <f>VLOOKUP($A598,'12 - QT_SUN'!$A:$F,2,0)</f>
        <v>96558</v>
      </c>
      <c r="C598" s="2234" t="str">
        <f>VLOOKUP($A598,'12 - QT_SUN'!$A:$F,3,0)</f>
        <v>SINAPI</v>
      </c>
      <c r="D598" s="2375" t="s">
        <v>7548</v>
      </c>
      <c r="E598" s="2236" t="str">
        <f>IF($C598="SINAPI",VLOOKUP($B598,'24.08_ND'!$A:$D,3,0),IF($C598="PRÓPRIA",VLOOKUP($B598,'03-CP'!$C:$H,3,0)))</f>
        <v>M3</v>
      </c>
      <c r="F598" s="2230">
        <v>4.72</v>
      </c>
      <c r="G598" s="2238">
        <v>1149.76</v>
      </c>
      <c r="H598" s="2302">
        <f t="shared" si="123"/>
        <v>5426.86</v>
      </c>
      <c r="I598" s="2286"/>
      <c r="J598" s="2237"/>
      <c r="K598" s="2411"/>
      <c r="L598" s="2533"/>
      <c r="M598" s="2238"/>
      <c r="N598" s="2239"/>
      <c r="O598" s="2498">
        <f t="shared" si="124"/>
        <v>5426.86</v>
      </c>
      <c r="P598" s="2295">
        <f t="shared" si="125"/>
        <v>1</v>
      </c>
    </row>
    <row r="599" spans="1:16">
      <c r="A599" s="2341" t="s">
        <v>13256</v>
      </c>
      <c r="B599" s="2246">
        <f>VLOOKUP($A599,'12 - QT_SUN'!$A:$F,2,0)</f>
        <v>0</v>
      </c>
      <c r="C599" s="2246">
        <f>VLOOKUP($A599,'12 - QT_SUN'!$A:$F,3,0)</f>
        <v>0</v>
      </c>
      <c r="D599" s="2379" t="s">
        <v>16372</v>
      </c>
      <c r="E599" s="2247" t="str">
        <f>IFERROR(VLOOKUP($B599,'24.08_ND'!$1:$1048529,3,0),IFERROR(VLOOKUP($B599,'03-CP'!$C$1:$H$6260,3,0),""))</f>
        <v/>
      </c>
      <c r="F599" s="2230">
        <v>0</v>
      </c>
      <c r="G599" s="2249"/>
      <c r="H599" s="2304">
        <f>SUBTOTAL(9,H600:H605)</f>
        <v>571.67999999999995</v>
      </c>
      <c r="I599" s="2289"/>
      <c r="J599" s="2250"/>
      <c r="K599" s="2547"/>
      <c r="L599" s="2538">
        <f>SUBTOTAL(9,L600:L605)</f>
        <v>0</v>
      </c>
      <c r="M599" s="2304">
        <f>SUBTOTAL(9,M600:M605)</f>
        <v>0</v>
      </c>
      <c r="N599" s="2304">
        <f>SUBTOTAL(9,N600:N605)</f>
        <v>0</v>
      </c>
      <c r="O599" s="2304">
        <f>SUBTOTAL(9,O600:O605)</f>
        <v>571.67999999999995</v>
      </c>
      <c r="P599" s="2297"/>
    </row>
    <row r="600" spans="1:16" ht="30">
      <c r="A600" s="2269" t="s">
        <v>13257</v>
      </c>
      <c r="B600" s="2251">
        <f>VLOOKUP($A600,'12 - QT_SUN'!$A:$F,2,0)</f>
        <v>96536</v>
      </c>
      <c r="C600" s="2234" t="str">
        <f>VLOOKUP($A600,'12 - QT_SUN'!$A:$F,3,0)</f>
        <v>SINAPI</v>
      </c>
      <c r="D600" s="2375" t="s">
        <v>7302</v>
      </c>
      <c r="E600" s="2236" t="str">
        <f>IF($C600="SINAPI",VLOOKUP($B600,'24.08_ND'!$A:$D,3,0),IF($C600="PRÓPRIA",VLOOKUP($B600,'03-CP'!$C:$H,3,0)))</f>
        <v>M2</v>
      </c>
      <c r="F600" s="2230">
        <v>1.7</v>
      </c>
      <c r="G600" s="2238">
        <v>81.7</v>
      </c>
      <c r="H600" s="2302">
        <f>TRUNC((G600*F600),2)</f>
        <v>138.88999999999999</v>
      </c>
      <c r="I600" s="2286"/>
      <c r="J600" s="2237"/>
      <c r="K600" s="2411"/>
      <c r="L600" s="2533"/>
      <c r="M600" s="2238"/>
      <c r="N600" s="2239"/>
      <c r="O600" s="2498">
        <f>H600-L600</f>
        <v>138.88999999999999</v>
      </c>
      <c r="P600" s="2295">
        <f t="shared" ref="P600:P605" si="126">O600/H600</f>
        <v>1</v>
      </c>
    </row>
    <row r="601" spans="1:16" ht="30">
      <c r="A601" s="2269" t="s">
        <v>13258</v>
      </c>
      <c r="B601" s="2251">
        <f>VLOOKUP($A601,'12 - QT_SUN'!$A:$F,2,0)</f>
        <v>104916</v>
      </c>
      <c r="C601" s="2234" t="str">
        <f>VLOOKUP($A601,'12 - QT_SUN'!$A:$F,3,0)</f>
        <v>SINAPI</v>
      </c>
      <c r="D601" s="2375" t="s">
        <v>7596</v>
      </c>
      <c r="E601" s="2236" t="str">
        <f>IF($C601="SINAPI",VLOOKUP($B601,'24.08_ND'!$A:$D,3,0),IF($C601="PRÓPRIA",VLOOKUP($B601,'03-CP'!$C:$H,3,0)))</f>
        <v>KG</v>
      </c>
      <c r="F601" s="2230">
        <v>2.65</v>
      </c>
      <c r="G601" s="2238">
        <v>19.850000000000001</v>
      </c>
      <c r="H601" s="2302">
        <f>TRUNC((G601*F601),2)</f>
        <v>52.6</v>
      </c>
      <c r="I601" s="2286"/>
      <c r="J601" s="2237"/>
      <c r="K601" s="2411"/>
      <c r="L601" s="2533"/>
      <c r="M601" s="2238"/>
      <c r="N601" s="2239"/>
      <c r="O601" s="2498">
        <f>H601-L601</f>
        <v>52.6</v>
      </c>
      <c r="P601" s="2295">
        <f t="shared" si="126"/>
        <v>1</v>
      </c>
    </row>
    <row r="602" spans="1:16" ht="30">
      <c r="A602" s="2269" t="s">
        <v>13259</v>
      </c>
      <c r="B602" s="2251">
        <f>VLOOKUP($A602,'12 - QT_SUN'!$A:$F,2,0)</f>
        <v>104919</v>
      </c>
      <c r="C602" s="2234" t="str">
        <f>VLOOKUP($A602,'12 - QT_SUN'!$A:$F,3,0)</f>
        <v>SINAPI</v>
      </c>
      <c r="D602" s="2375" t="s">
        <v>7516</v>
      </c>
      <c r="E602" s="2236" t="str">
        <f>IF($C602="SINAPI",VLOOKUP($B602,'24.08_ND'!$A:$D,3,0),IF($C602="PRÓPRIA",VLOOKUP($B602,'03-CP'!$C:$H,3,0)))</f>
        <v>KG</v>
      </c>
      <c r="F602" s="2230">
        <v>7.35</v>
      </c>
      <c r="G602" s="2238">
        <v>15.88</v>
      </c>
      <c r="H602" s="2302">
        <f>TRUNC((G602*F602),2)</f>
        <v>116.71</v>
      </c>
      <c r="I602" s="2286"/>
      <c r="J602" s="2237"/>
      <c r="K602" s="2411"/>
      <c r="L602" s="2533"/>
      <c r="M602" s="2238"/>
      <c r="N602" s="2239"/>
      <c r="O602" s="2498">
        <f>H602-L602</f>
        <v>116.71</v>
      </c>
      <c r="P602" s="2295">
        <f t="shared" si="126"/>
        <v>1</v>
      </c>
    </row>
    <row r="603" spans="1:16" ht="45">
      <c r="A603" s="2269" t="s">
        <v>13260</v>
      </c>
      <c r="B603" s="2251">
        <f>VLOOKUP($A603,'12 - QT_SUN'!$A:$F,2,0)</f>
        <v>96557</v>
      </c>
      <c r="C603" s="2234" t="str">
        <f>VLOOKUP($A603,'12 - QT_SUN'!$A:$F,3,0)</f>
        <v>SINAPI</v>
      </c>
      <c r="D603" s="2375" t="s">
        <v>7547</v>
      </c>
      <c r="E603" s="2236" t="str">
        <f>IF($C603="SINAPI",VLOOKUP($B603,'24.08_ND'!$A:$D,3,0),IF($C603="PRÓPRIA",VLOOKUP($B603,'03-CP'!$C:$H,3,0)))</f>
        <v>M3</v>
      </c>
      <c r="F603" s="2230">
        <v>0.17</v>
      </c>
      <c r="G603" s="2238">
        <v>1106.98</v>
      </c>
      <c r="H603" s="2302">
        <f>TRUNC((G603*F603),2)</f>
        <v>188.18</v>
      </c>
      <c r="I603" s="2286"/>
      <c r="J603" s="2237"/>
      <c r="K603" s="2411"/>
      <c r="L603" s="2533"/>
      <c r="M603" s="2238"/>
      <c r="N603" s="2239"/>
      <c r="O603" s="2498">
        <f>H603-L603</f>
        <v>188.18</v>
      </c>
      <c r="P603" s="2295">
        <f t="shared" si="126"/>
        <v>1</v>
      </c>
    </row>
    <row r="604" spans="1:16" ht="30">
      <c r="A604" s="2269" t="s">
        <v>13261</v>
      </c>
      <c r="B604" s="2234">
        <f>VLOOKUP($A604,'12 - QT_SUN'!$A:$F,2,0)</f>
        <v>98555</v>
      </c>
      <c r="C604" s="2234" t="str">
        <f>VLOOKUP($A604,'12 - QT_SUN'!$A:$F,3,0)</f>
        <v>SINAPI</v>
      </c>
      <c r="D604" s="2375" t="s">
        <v>7733</v>
      </c>
      <c r="E604" s="2236" t="str">
        <f>IF($C604="SINAPI",VLOOKUP($B604,'24.08_ND'!$A:$D,3,0),IF($C604="PRÓPRIA",VLOOKUP($B604,'03-CP'!$C:$H,3,0)))</f>
        <v>M2</v>
      </c>
      <c r="F604" s="2230">
        <v>2.2599999999999998</v>
      </c>
      <c r="G604" s="2238">
        <v>33.32</v>
      </c>
      <c r="H604" s="2302">
        <f>TRUNC((G604*F604),2)</f>
        <v>75.3</v>
      </c>
      <c r="I604" s="2286"/>
      <c r="J604" s="2237"/>
      <c r="K604" s="2411"/>
      <c r="L604" s="2533"/>
      <c r="M604" s="2238"/>
      <c r="N604" s="2239"/>
      <c r="O604" s="2498">
        <f>H604-L604</f>
        <v>75.3</v>
      </c>
      <c r="P604" s="2295">
        <f t="shared" si="126"/>
        <v>1</v>
      </c>
    </row>
    <row r="605" spans="1:16">
      <c r="A605" s="2341" t="s">
        <v>13262</v>
      </c>
      <c r="B605" s="2246">
        <f>VLOOKUP($A605,'12 - QT_SUN'!$A:$F,2,0)</f>
        <v>0</v>
      </c>
      <c r="C605" s="2246">
        <f>VLOOKUP($A605,'12 - QT_SUN'!$A:$F,3,0)</f>
        <v>0</v>
      </c>
      <c r="D605" s="2379" t="s">
        <v>16373</v>
      </c>
      <c r="E605" s="2247" t="str">
        <f>IFERROR(VLOOKUP($B605,'24.08_ND'!$1:$1048529,3,0),IFERROR(VLOOKUP($B605,'03-CP'!$C$1:$H$6260,3,0),""))</f>
        <v/>
      </c>
      <c r="F605" s="2230">
        <v>0</v>
      </c>
      <c r="G605" s="2249"/>
      <c r="H605" s="2304">
        <f>SUBTOTAL(9,H606:H612)</f>
        <v>688.37</v>
      </c>
      <c r="I605" s="2289"/>
      <c r="J605" s="2250"/>
      <c r="K605" s="2547"/>
      <c r="L605" s="2538">
        <f>SUBTOTAL(9,L606:L612)</f>
        <v>0</v>
      </c>
      <c r="M605" s="2304">
        <f>SUBTOTAL(9,M606:M612)</f>
        <v>0</v>
      </c>
      <c r="N605" s="2304">
        <f>SUBTOTAL(9,N606:N612)</f>
        <v>0</v>
      </c>
      <c r="O605" s="2304">
        <f>SUBTOTAL(9,O606:O612)</f>
        <v>688.37</v>
      </c>
      <c r="P605" s="2297">
        <f t="shared" si="126"/>
        <v>1</v>
      </c>
    </row>
    <row r="606" spans="1:16" ht="45">
      <c r="A606" s="2268" t="s">
        <v>13263</v>
      </c>
      <c r="B606" s="2228" t="str">
        <f>VLOOKUP($A606,'12 - QT_SUN'!$A:$F,2,0)</f>
        <v>PS-CP-EST-02</v>
      </c>
      <c r="C606" s="2228" t="str">
        <f>VLOOKUP($A606,'12 - QT_SUN'!$A:$F,3,0)</f>
        <v>PRÓPRIA</v>
      </c>
      <c r="D606" s="2375" t="s">
        <v>14589</v>
      </c>
      <c r="E606" s="2229" t="str">
        <f>IF($C606="SINAPI",VLOOKUP($B606,'24.08_ND'!$A:$D,3,0),IF($C606="PRÓPRIA",VLOOKUP($B606,'03-CP'!$C:$H,3,0)))</f>
        <v>M</v>
      </c>
      <c r="F606" s="2230">
        <v>3</v>
      </c>
      <c r="G606" s="2232">
        <v>34.92</v>
      </c>
      <c r="H606" s="2302">
        <f t="shared" ref="H606:H612" si="127">TRUNC((G606*F606),2)</f>
        <v>104.76</v>
      </c>
      <c r="I606" s="2287"/>
      <c r="J606" s="2231"/>
      <c r="K606" s="2412"/>
      <c r="L606" s="2536"/>
      <c r="M606" s="2232"/>
      <c r="N606" s="2557"/>
      <c r="O606" s="2498">
        <f t="shared" ref="O606:O612" si="128">H606-L606</f>
        <v>104.76</v>
      </c>
      <c r="P606" s="2295">
        <f t="shared" ref="P606:P613" si="129">O606/H606</f>
        <v>1</v>
      </c>
    </row>
    <row r="607" spans="1:16" ht="30">
      <c r="A607" s="2268" t="s">
        <v>13264</v>
      </c>
      <c r="B607" s="2251">
        <f>VLOOKUP($A607,'12 - QT_SUN'!$A:$F,2,0)</f>
        <v>101616</v>
      </c>
      <c r="C607" s="2234" t="str">
        <f>VLOOKUP($A607,'12 - QT_SUN'!$A:$F,3,0)</f>
        <v>SINAPI</v>
      </c>
      <c r="D607" s="2375" t="s">
        <v>10747</v>
      </c>
      <c r="E607" s="2236" t="str">
        <f>IF($C607="SINAPI",VLOOKUP($B607,'24.08_ND'!$A:$D,3,0),IF($C607="PRÓPRIA",VLOOKUP($B607,'03-CP'!$C:$H,3,0)))</f>
        <v>M2</v>
      </c>
      <c r="F607" s="2230">
        <v>0.25</v>
      </c>
      <c r="G607" s="2238">
        <v>6.71</v>
      </c>
      <c r="H607" s="2302">
        <f t="shared" si="127"/>
        <v>1.67</v>
      </c>
      <c r="I607" s="2286"/>
      <c r="J607" s="2237"/>
      <c r="K607" s="2411"/>
      <c r="L607" s="2533"/>
      <c r="M607" s="2238"/>
      <c r="N607" s="2239"/>
      <c r="O607" s="2498">
        <f t="shared" si="128"/>
        <v>1.67</v>
      </c>
      <c r="P607" s="2295">
        <f t="shared" si="129"/>
        <v>1</v>
      </c>
    </row>
    <row r="608" spans="1:16" ht="45">
      <c r="A608" s="2268" t="s">
        <v>13265</v>
      </c>
      <c r="B608" s="2251">
        <f>VLOOKUP($A608,'12 - QT_SUN'!$A:$F,2,0)</f>
        <v>96557</v>
      </c>
      <c r="C608" s="2234" t="str">
        <f>VLOOKUP($A608,'12 - QT_SUN'!$A:$F,3,0)</f>
        <v>SINAPI</v>
      </c>
      <c r="D608" s="2375" t="s">
        <v>7547</v>
      </c>
      <c r="E608" s="2236" t="str">
        <f>IF($C608="SINAPI",VLOOKUP($B608,'24.08_ND'!$A:$D,3,0),IF($C608="PRÓPRIA",VLOOKUP($B608,'03-CP'!$C:$H,3,0)))</f>
        <v>M3</v>
      </c>
      <c r="F608" s="2230">
        <v>0.38</v>
      </c>
      <c r="G608" s="2238">
        <v>1106.98</v>
      </c>
      <c r="H608" s="2302">
        <f t="shared" si="127"/>
        <v>420.65</v>
      </c>
      <c r="I608" s="2286"/>
      <c r="J608" s="2237"/>
      <c r="K608" s="2411"/>
      <c r="L608" s="2533"/>
      <c r="M608" s="2238"/>
      <c r="N608" s="2239"/>
      <c r="O608" s="2498">
        <f t="shared" si="128"/>
        <v>420.65</v>
      </c>
      <c r="P608" s="2295">
        <f t="shared" si="129"/>
        <v>1</v>
      </c>
    </row>
    <row r="609" spans="1:16">
      <c r="A609" s="2268" t="s">
        <v>13266</v>
      </c>
      <c r="B609" s="2251">
        <f>VLOOKUP($A609,'12 - QT_SUN'!$A:$F,2,0)</f>
        <v>95577</v>
      </c>
      <c r="C609" s="2234" t="str">
        <f>VLOOKUP($A609,'12 - QT_SUN'!$A:$F,3,0)</f>
        <v>SINAPI</v>
      </c>
      <c r="D609" s="2375" t="s">
        <v>7477</v>
      </c>
      <c r="E609" s="2236" t="str">
        <f>IF($C609="SINAPI",VLOOKUP($B609,'24.08_ND'!$A:$D,3,0),IF($C609="PRÓPRIA",VLOOKUP($B609,'03-CP'!$C:$H,3,0)))</f>
        <v>KG</v>
      </c>
      <c r="F609" s="2230">
        <v>6.91</v>
      </c>
      <c r="G609" s="2238">
        <v>13.71</v>
      </c>
      <c r="H609" s="2302">
        <f t="shared" si="127"/>
        <v>94.73</v>
      </c>
      <c r="I609" s="2286"/>
      <c r="J609" s="2237"/>
      <c r="K609" s="2411"/>
      <c r="L609" s="2533"/>
      <c r="M609" s="2238"/>
      <c r="N609" s="2239"/>
      <c r="O609" s="2498">
        <f t="shared" si="128"/>
        <v>94.73</v>
      </c>
      <c r="P609" s="2295">
        <f t="shared" si="129"/>
        <v>1</v>
      </c>
    </row>
    <row r="610" spans="1:16" ht="30">
      <c r="A610" s="2268" t="s">
        <v>13267</v>
      </c>
      <c r="B610" s="2251">
        <f>VLOOKUP($A610,'12 - QT_SUN'!$A:$F,2,0)</f>
        <v>95593</v>
      </c>
      <c r="C610" s="2234" t="str">
        <f>VLOOKUP($A610,'12 - QT_SUN'!$A:$F,3,0)</f>
        <v>SINAPI</v>
      </c>
      <c r="D610" s="2375" t="s">
        <v>7486</v>
      </c>
      <c r="E610" s="2236" t="str">
        <f>IF($C610="SINAPI",VLOOKUP($B610,'24.08_ND'!$A:$D,3,0),IF($C610="PRÓPRIA",VLOOKUP($B610,'03-CP'!$C:$H,3,0)))</f>
        <v>KG</v>
      </c>
      <c r="F610" s="2230">
        <v>3.09</v>
      </c>
      <c r="G610" s="2238">
        <v>17.22</v>
      </c>
      <c r="H610" s="2302">
        <f t="shared" si="127"/>
        <v>53.2</v>
      </c>
      <c r="I610" s="2286"/>
      <c r="J610" s="2237"/>
      <c r="K610" s="2411"/>
      <c r="L610" s="2533"/>
      <c r="M610" s="2238"/>
      <c r="N610" s="2239"/>
      <c r="O610" s="2498">
        <f t="shared" si="128"/>
        <v>53.2</v>
      </c>
      <c r="P610" s="2295">
        <f t="shared" si="129"/>
        <v>1</v>
      </c>
    </row>
    <row r="611" spans="1:16" ht="45">
      <c r="A611" s="2269" t="s">
        <v>13268</v>
      </c>
      <c r="B611" s="2234">
        <f>VLOOKUP($A611,'12 - QT_SUN'!$A:$F,2,0)</f>
        <v>100978</v>
      </c>
      <c r="C611" s="2234" t="str">
        <f>VLOOKUP($A611,'12 - QT_SUN'!$A:$F,3,0)</f>
        <v>SINAPI</v>
      </c>
      <c r="D611" s="2375" t="s">
        <v>11981</v>
      </c>
      <c r="E611" s="2236" t="str">
        <f>IF($C611="SINAPI",VLOOKUP($B611,'24.08_ND'!$A:$D,3,0),IF($C611="PRÓPRIA",VLOOKUP($B611,'03-CP'!$C:$H,3,0)))</f>
        <v>M3</v>
      </c>
      <c r="F611" s="2230">
        <v>0.53199999999999992</v>
      </c>
      <c r="G611" s="2238">
        <v>7.88</v>
      </c>
      <c r="H611" s="2302">
        <f t="shared" si="127"/>
        <v>4.1900000000000004</v>
      </c>
      <c r="I611" s="2286"/>
      <c r="J611" s="2237"/>
      <c r="K611" s="2411"/>
      <c r="L611" s="2533"/>
      <c r="M611" s="2238"/>
      <c r="N611" s="2239"/>
      <c r="O611" s="2498">
        <f t="shared" si="128"/>
        <v>4.1900000000000004</v>
      </c>
      <c r="P611" s="2295">
        <f t="shared" si="129"/>
        <v>1</v>
      </c>
    </row>
    <row r="612" spans="1:16" ht="30">
      <c r="A612" s="2269" t="s">
        <v>13269</v>
      </c>
      <c r="B612" s="2234">
        <f>VLOOKUP($A612,'12 - QT_SUN'!$A:$F,2,0)</f>
        <v>100938</v>
      </c>
      <c r="C612" s="2234" t="str">
        <f>VLOOKUP($A612,'12 - QT_SUN'!$A:$F,3,0)</f>
        <v>SINAPI</v>
      </c>
      <c r="D612" s="2375" t="s">
        <v>11938</v>
      </c>
      <c r="E612" s="2236" t="str">
        <f>IF($C612="SINAPI",VLOOKUP($B612,'24.08_ND'!$A:$D,3,0),IF($C612="PRÓPRIA",VLOOKUP($B612,'03-CP'!$C:$H,3,0)))</f>
        <v>M3XKM</v>
      </c>
      <c r="F612" s="2230">
        <v>1.0639999999999998</v>
      </c>
      <c r="G612" s="2238">
        <v>8.6199999999999992</v>
      </c>
      <c r="H612" s="2302">
        <f t="shared" si="127"/>
        <v>9.17</v>
      </c>
      <c r="I612" s="2286"/>
      <c r="J612" s="2237"/>
      <c r="K612" s="2411"/>
      <c r="L612" s="2533"/>
      <c r="M612" s="2238"/>
      <c r="N612" s="2239"/>
      <c r="O612" s="2498">
        <f t="shared" si="128"/>
        <v>9.17</v>
      </c>
      <c r="P612" s="2295">
        <f t="shared" si="129"/>
        <v>1</v>
      </c>
    </row>
    <row r="613" spans="1:16">
      <c r="A613" s="2341" t="s">
        <v>13270</v>
      </c>
      <c r="B613" s="2246">
        <f>VLOOKUP($A613,'12 - QT_SUN'!$A:$F,2,0)</f>
        <v>0</v>
      </c>
      <c r="C613" s="2246">
        <f>VLOOKUP($A613,'12 - QT_SUN'!$A:$F,3,0)</f>
        <v>0</v>
      </c>
      <c r="D613" s="2379" t="s">
        <v>16374</v>
      </c>
      <c r="E613" s="2247" t="str">
        <f>IFERROR(VLOOKUP($B613,'24.08_ND'!$1:$1048529,3,0),IFERROR(VLOOKUP($B613,'03-CP'!$C$1:$H$6260,3,0),""))</f>
        <v/>
      </c>
      <c r="F613" s="2230">
        <v>0</v>
      </c>
      <c r="G613" s="2249"/>
      <c r="H613" s="2304">
        <f>SUBTOTAL(9,H614:H617)</f>
        <v>8060.88</v>
      </c>
      <c r="I613" s="2289"/>
      <c r="J613" s="2250"/>
      <c r="K613" s="2547"/>
      <c r="L613" s="2538">
        <f>SUBTOTAL(9,L614:L617)</f>
        <v>0</v>
      </c>
      <c r="M613" s="2304">
        <f>SUBTOTAL(9,M614:M617)</f>
        <v>0</v>
      </c>
      <c r="N613" s="2304">
        <f>SUBTOTAL(9,N614:N617)</f>
        <v>0</v>
      </c>
      <c r="O613" s="2304">
        <f>SUBTOTAL(9,O614:O617)</f>
        <v>8060.88</v>
      </c>
      <c r="P613" s="2297">
        <f t="shared" si="129"/>
        <v>1</v>
      </c>
    </row>
    <row r="614" spans="1:16" ht="45">
      <c r="A614" s="2269" t="s">
        <v>13271</v>
      </c>
      <c r="B614" s="2251">
        <f>VLOOKUP($A614,'12 - QT_SUN'!$A:$F,2,0)</f>
        <v>92468</v>
      </c>
      <c r="C614" s="2234" t="str">
        <f>VLOOKUP($A614,'12 - QT_SUN'!$A:$F,3,0)</f>
        <v>SINAPI</v>
      </c>
      <c r="D614" s="2375" t="s">
        <v>7251</v>
      </c>
      <c r="E614" s="2236" t="str">
        <f>IF($C614="SINAPI",VLOOKUP($B614,'24.08_ND'!$A:$D,3,0),IF($C614="PRÓPRIA",VLOOKUP($B614,'03-CP'!$C:$H,3,0)))</f>
        <v>M2</v>
      </c>
      <c r="F614" s="2230">
        <v>24.54</v>
      </c>
      <c r="G614" s="2238">
        <v>158.82</v>
      </c>
      <c r="H614" s="2302">
        <f>TRUNC((G614*F614),2)</f>
        <v>3897.44</v>
      </c>
      <c r="I614" s="2286"/>
      <c r="J614" s="2237"/>
      <c r="K614" s="2411"/>
      <c r="L614" s="2533"/>
      <c r="M614" s="2238"/>
      <c r="N614" s="2239"/>
      <c r="O614" s="2498">
        <f>H614-L614</f>
        <v>3897.44</v>
      </c>
      <c r="P614" s="2295">
        <f>O614/H614</f>
        <v>1</v>
      </c>
    </row>
    <row r="615" spans="1:16" ht="30">
      <c r="A615" s="2269" t="s">
        <v>13272</v>
      </c>
      <c r="B615" s="2251">
        <f>VLOOKUP($A615,'12 - QT_SUN'!$A:$F,2,0)</f>
        <v>92759</v>
      </c>
      <c r="C615" s="2234" t="str">
        <f>VLOOKUP($A615,'12 - QT_SUN'!$A:$F,3,0)</f>
        <v>SINAPI</v>
      </c>
      <c r="D615" s="2375" t="s">
        <v>7428</v>
      </c>
      <c r="E615" s="2236" t="str">
        <f>IF($C615="SINAPI",VLOOKUP($B615,'24.08_ND'!$A:$D,3,0),IF($C615="PRÓPRIA",VLOOKUP($B615,'03-CP'!$C:$H,3,0)))</f>
        <v>KG</v>
      </c>
      <c r="F615" s="2230">
        <v>32.67</v>
      </c>
      <c r="G615" s="2238">
        <v>17.100000000000001</v>
      </c>
      <c r="H615" s="2302">
        <f>TRUNC((G615*F615),2)</f>
        <v>558.65</v>
      </c>
      <c r="I615" s="2286"/>
      <c r="J615" s="2237"/>
      <c r="K615" s="2411"/>
      <c r="L615" s="2533"/>
      <c r="M615" s="2238"/>
      <c r="N615" s="2239"/>
      <c r="O615" s="2498">
        <f>H615-L615</f>
        <v>558.65</v>
      </c>
      <c r="P615" s="2295">
        <f>O615/H615</f>
        <v>1</v>
      </c>
    </row>
    <row r="616" spans="1:16" ht="30">
      <c r="A616" s="2269" t="s">
        <v>13273</v>
      </c>
      <c r="B616" s="2251">
        <f>VLOOKUP($A616,'12 - QT_SUN'!$A:$F,2,0)</f>
        <v>92762</v>
      </c>
      <c r="C616" s="2234" t="str">
        <f>VLOOKUP($A616,'12 - QT_SUN'!$A:$F,3,0)</f>
        <v>SINAPI</v>
      </c>
      <c r="D616" s="2375" t="s">
        <v>7431</v>
      </c>
      <c r="E616" s="2236" t="str">
        <f>IF($C616="SINAPI",VLOOKUP($B616,'24.08_ND'!$A:$D,3,0),IF($C616="PRÓPRIA",VLOOKUP($B616,'03-CP'!$C:$H,3,0)))</f>
        <v>KG</v>
      </c>
      <c r="F616" s="2230">
        <v>78.67</v>
      </c>
      <c r="G616" s="2238">
        <v>14.11</v>
      </c>
      <c r="H616" s="2302">
        <f>TRUNC((G616*F616),2)</f>
        <v>1110.03</v>
      </c>
      <c r="I616" s="2286"/>
      <c r="J616" s="2237"/>
      <c r="K616" s="2411"/>
      <c r="L616" s="2533"/>
      <c r="M616" s="2238"/>
      <c r="N616" s="2239"/>
      <c r="O616" s="2498">
        <f>H616-L616</f>
        <v>1110.03</v>
      </c>
      <c r="P616" s="2295">
        <f>O616/H616</f>
        <v>1</v>
      </c>
    </row>
    <row r="617" spans="1:16" ht="45">
      <c r="A617" s="2269" t="s">
        <v>13274</v>
      </c>
      <c r="B617" s="2252" t="str">
        <f>VLOOKUP($A617,'12 - QT_SUN'!$A:$F,2,0)</f>
        <v>PS-CP-EST-14</v>
      </c>
      <c r="C617" s="2228" t="str">
        <f>VLOOKUP($A617,'12 - QT_SUN'!$A:$F,3,0)</f>
        <v>PRÓPRIA</v>
      </c>
      <c r="D617" s="2375" t="s">
        <v>15964</v>
      </c>
      <c r="E617" s="2229" t="str">
        <f>IF($C617="SINAPI",VLOOKUP($B617,'24.08_ND'!$A:$D,3,0),IF($C617="PRÓPRIA",VLOOKUP($B617,'03-CP'!$C:$H,3,0)))</f>
        <v>M3</v>
      </c>
      <c r="F617" s="2230">
        <v>2.4500000000000002</v>
      </c>
      <c r="G617" s="2232">
        <v>1018.27</v>
      </c>
      <c r="H617" s="2302">
        <f>TRUNC((G617*F617),2)</f>
        <v>2494.7600000000002</v>
      </c>
      <c r="I617" s="2287"/>
      <c r="J617" s="2231"/>
      <c r="K617" s="2412"/>
      <c r="L617" s="2536"/>
      <c r="M617" s="2232"/>
      <c r="N617" s="2557"/>
      <c r="O617" s="2498">
        <f>H617-L617</f>
        <v>2494.7600000000002</v>
      </c>
      <c r="P617" s="2295">
        <f>O617/H617</f>
        <v>1</v>
      </c>
    </row>
    <row r="618" spans="1:16">
      <c r="A618" s="2341" t="s">
        <v>13275</v>
      </c>
      <c r="B618" s="2246">
        <f>VLOOKUP($A618,'12 - QT_SUN'!$A:$F,2,0)</f>
        <v>0</v>
      </c>
      <c r="C618" s="2246">
        <f>VLOOKUP($A618,'12 - QT_SUN'!$A:$F,3,0)</f>
        <v>0</v>
      </c>
      <c r="D618" s="2379" t="s">
        <v>16375</v>
      </c>
      <c r="E618" s="2247" t="str">
        <f>IFERROR(VLOOKUP($B618,'24.08_ND'!$1:$1048529,3,0),IFERROR(VLOOKUP($B618,'03-CP'!$C$1:$H$6260,3,0),""))</f>
        <v/>
      </c>
      <c r="F618" s="2230">
        <v>0</v>
      </c>
      <c r="G618" s="2249"/>
      <c r="H618" s="2304">
        <f>SUBTOTAL(9,H619:H622)</f>
        <v>10674.579999999998</v>
      </c>
      <c r="I618" s="2289"/>
      <c r="J618" s="2250"/>
      <c r="K618" s="2547"/>
      <c r="L618" s="2538">
        <f>SUBTOTAL(9,L619:L622)</f>
        <v>0</v>
      </c>
      <c r="M618" s="2304">
        <f>SUBTOTAL(9,M619:M622)</f>
        <v>0</v>
      </c>
      <c r="N618" s="2304">
        <f>SUBTOTAL(9,N619:N622)</f>
        <v>0</v>
      </c>
      <c r="O618" s="2304">
        <f>SUBTOTAL(9,O619:O622)</f>
        <v>10674.579999999998</v>
      </c>
      <c r="P618" s="2297"/>
    </row>
    <row r="619" spans="1:16" ht="45">
      <c r="A619" s="2269" t="s">
        <v>13276</v>
      </c>
      <c r="B619" s="2251">
        <f>VLOOKUP($A619,'12 - QT_SUN'!$A:$F,2,0)</f>
        <v>92468</v>
      </c>
      <c r="C619" s="2234" t="str">
        <f>VLOOKUP($A619,'12 - QT_SUN'!$A:$F,3,0)</f>
        <v>SINAPI</v>
      </c>
      <c r="D619" s="2375" t="s">
        <v>7251</v>
      </c>
      <c r="E619" s="2236" t="str">
        <f>IF($C619="SINAPI",VLOOKUP($B619,'24.08_ND'!$A:$D,3,0),IF($C619="PRÓPRIA",VLOOKUP($B619,'03-CP'!$C:$H,3,0)))</f>
        <v>M2</v>
      </c>
      <c r="F619" s="2230">
        <v>32.54</v>
      </c>
      <c r="G619" s="2238">
        <v>158.82</v>
      </c>
      <c r="H619" s="2302">
        <f>TRUNC((G619*F619),2)</f>
        <v>5168</v>
      </c>
      <c r="I619" s="2286"/>
      <c r="J619" s="2237"/>
      <c r="K619" s="2411"/>
      <c r="L619" s="2533"/>
      <c r="M619" s="2238"/>
      <c r="N619" s="2239"/>
      <c r="O619" s="2498">
        <f>H619-L619</f>
        <v>5168</v>
      </c>
      <c r="P619" s="2295">
        <f>O619/H619</f>
        <v>1</v>
      </c>
    </row>
    <row r="620" spans="1:16" ht="30">
      <c r="A620" s="2269" t="s">
        <v>13277</v>
      </c>
      <c r="B620" s="2251">
        <f>VLOOKUP($A620,'12 - QT_SUN'!$A:$F,2,0)</f>
        <v>92759</v>
      </c>
      <c r="C620" s="2234" t="str">
        <f>VLOOKUP($A620,'12 - QT_SUN'!$A:$F,3,0)</f>
        <v>SINAPI</v>
      </c>
      <c r="D620" s="2375" t="s">
        <v>7428</v>
      </c>
      <c r="E620" s="2236" t="str">
        <f>IF($C620="SINAPI",VLOOKUP($B620,'24.08_ND'!$A:$D,3,0),IF($C620="PRÓPRIA",VLOOKUP($B620,'03-CP'!$C:$H,3,0)))</f>
        <v>KG</v>
      </c>
      <c r="F620" s="2230">
        <v>43.04</v>
      </c>
      <c r="G620" s="2238">
        <v>17.100000000000001</v>
      </c>
      <c r="H620" s="2302">
        <f>TRUNC((G620*F620),2)</f>
        <v>735.98</v>
      </c>
      <c r="I620" s="2286"/>
      <c r="J620" s="2237"/>
      <c r="K620" s="2411"/>
      <c r="L620" s="2533"/>
      <c r="M620" s="2238"/>
      <c r="N620" s="2239"/>
      <c r="O620" s="2498">
        <f>H620-L620</f>
        <v>735.98</v>
      </c>
      <c r="P620" s="2295">
        <f>O620/H620</f>
        <v>1</v>
      </c>
    </row>
    <row r="621" spans="1:16" ht="30">
      <c r="A621" s="2269" t="s">
        <v>13278</v>
      </c>
      <c r="B621" s="2251">
        <f>VLOOKUP($A621,'12 - QT_SUN'!$A:$F,2,0)</f>
        <v>92762</v>
      </c>
      <c r="C621" s="2234" t="str">
        <f>VLOOKUP($A621,'12 - QT_SUN'!$A:$F,3,0)</f>
        <v>SINAPI</v>
      </c>
      <c r="D621" s="2375" t="s">
        <v>7431</v>
      </c>
      <c r="E621" s="2236" t="str">
        <f>IF($C621="SINAPI",VLOOKUP($B621,'24.08_ND'!$A:$D,3,0),IF($C621="PRÓPRIA",VLOOKUP($B621,'03-CP'!$C:$H,3,0)))</f>
        <v>KG</v>
      </c>
      <c r="F621" s="2230">
        <v>103.56</v>
      </c>
      <c r="G621" s="2238">
        <v>14.11</v>
      </c>
      <c r="H621" s="2302">
        <f>TRUNC((G621*F621),2)</f>
        <v>1461.23</v>
      </c>
      <c r="I621" s="2286"/>
      <c r="J621" s="2237"/>
      <c r="K621" s="2411"/>
      <c r="L621" s="2533"/>
      <c r="M621" s="2238"/>
      <c r="N621" s="2239"/>
      <c r="O621" s="2498">
        <f>H621-L621</f>
        <v>1461.23</v>
      </c>
      <c r="P621" s="2295">
        <f>O621/H621</f>
        <v>1</v>
      </c>
    </row>
    <row r="622" spans="1:16" ht="45">
      <c r="A622" s="2269" t="s">
        <v>13279</v>
      </c>
      <c r="B622" s="2252" t="str">
        <f>VLOOKUP($A622,'12 - QT_SUN'!$A:$F,2,0)</f>
        <v>PS-CP-EST-14</v>
      </c>
      <c r="C622" s="2228" t="str">
        <f>VLOOKUP($A622,'12 - QT_SUN'!$A:$F,3,0)</f>
        <v>PRÓPRIA</v>
      </c>
      <c r="D622" s="2375" t="s">
        <v>15964</v>
      </c>
      <c r="E622" s="2229" t="str">
        <f>IF($C622="SINAPI",VLOOKUP($B622,'24.08_ND'!$A:$D,3,0),IF($C622="PRÓPRIA",VLOOKUP($B622,'03-CP'!$C:$H,3,0)))</f>
        <v>M3</v>
      </c>
      <c r="F622" s="2230">
        <v>3.25</v>
      </c>
      <c r="G622" s="2232">
        <v>1018.27</v>
      </c>
      <c r="H622" s="2302">
        <f>TRUNC((G622*F622),2)</f>
        <v>3309.37</v>
      </c>
      <c r="I622" s="2287"/>
      <c r="J622" s="2231"/>
      <c r="K622" s="2412"/>
      <c r="L622" s="2536"/>
      <c r="M622" s="2232"/>
      <c r="N622" s="2557"/>
      <c r="O622" s="2498">
        <f>H622-L622</f>
        <v>3309.37</v>
      </c>
      <c r="P622" s="2295">
        <f>O622/H622</f>
        <v>1</v>
      </c>
    </row>
    <row r="623" spans="1:16">
      <c r="A623" s="2341" t="s">
        <v>13280</v>
      </c>
      <c r="B623" s="2246">
        <f>VLOOKUP($A623,'12 - QT_SUN'!$A:$F,2,0)</f>
        <v>0</v>
      </c>
      <c r="C623" s="2246">
        <f>VLOOKUP($A623,'12 - QT_SUN'!$A:$F,3,0)</f>
        <v>0</v>
      </c>
      <c r="D623" s="2379" t="s">
        <v>16376</v>
      </c>
      <c r="E623" s="2247" t="str">
        <f>IFERROR(VLOOKUP($B623,'24.08_ND'!$1:$1048529,3,0),IFERROR(VLOOKUP($B623,'03-CP'!$C$1:$H$6260,3,0),""))</f>
        <v/>
      </c>
      <c r="F623" s="2230">
        <v>0</v>
      </c>
      <c r="G623" s="2249"/>
      <c r="H623" s="2304">
        <f>SUBTOTAL(9,H624:H630)</f>
        <v>46794.68</v>
      </c>
      <c r="I623" s="2289"/>
      <c r="J623" s="2250"/>
      <c r="K623" s="2547"/>
      <c r="L623" s="2538">
        <f>SUBTOTAL(9,L624:L630)</f>
        <v>0</v>
      </c>
      <c r="M623" s="2304">
        <f>SUBTOTAL(9,M624:M630)</f>
        <v>0</v>
      </c>
      <c r="N623" s="2304">
        <f>SUBTOTAL(9,N624:N630)</f>
        <v>0</v>
      </c>
      <c r="O623" s="2304">
        <f>SUBTOTAL(9,O624:O630)</f>
        <v>46794.68</v>
      </c>
      <c r="P623" s="2297">
        <f>O623/H623</f>
        <v>1</v>
      </c>
    </row>
    <row r="624" spans="1:16" ht="45">
      <c r="A624" s="2269" t="s">
        <v>13281</v>
      </c>
      <c r="B624" s="2252" t="str">
        <f>VLOOKUP($A624,'12 - QT_SUN'!$A:$F,2,0)</f>
        <v>PS-CP-EST-10</v>
      </c>
      <c r="C624" s="2228" t="str">
        <f>VLOOKUP($A624,'12 - QT_SUN'!$A:$F,3,0)</f>
        <v>PRÓPRIA</v>
      </c>
      <c r="D624" s="2375" t="s">
        <v>14606</v>
      </c>
      <c r="E624" s="2229" t="str">
        <f>IF($C624="SINAPI",VLOOKUP($B624,'24.08_ND'!$A:$D,3,0),IF($C624="PRÓPRIA",VLOOKUP($B624,'03-CP'!$C:$H,3,0)))</f>
        <v>M2</v>
      </c>
      <c r="F624" s="2230">
        <v>76.88</v>
      </c>
      <c r="G624" s="2232">
        <v>162.97999999999999</v>
      </c>
      <c r="H624" s="2302">
        <f t="shared" ref="H624:H630" si="130">TRUNC((G624*F624),2)</f>
        <v>12529.9</v>
      </c>
      <c r="I624" s="2287"/>
      <c r="J624" s="2231"/>
      <c r="K624" s="2412"/>
      <c r="L624" s="2536"/>
      <c r="M624" s="2232"/>
      <c r="N624" s="2557"/>
      <c r="O624" s="2498">
        <f t="shared" ref="O624:O630" si="131">H624-L624</f>
        <v>12529.9</v>
      </c>
      <c r="P624" s="2295">
        <f t="shared" ref="P624:P630" si="132">O624/H624</f>
        <v>1</v>
      </c>
    </row>
    <row r="625" spans="1:16">
      <c r="A625" s="2269" t="s">
        <v>13282</v>
      </c>
      <c r="B625" s="2251">
        <f>VLOOKUP($A625,'12 - QT_SUN'!$A:$F,2,0)</f>
        <v>89993</v>
      </c>
      <c r="C625" s="2234" t="str">
        <f>VLOOKUP($A625,'12 - QT_SUN'!$A:$F,3,0)</f>
        <v>SINAPI</v>
      </c>
      <c r="D625" s="2375" t="s">
        <v>7520</v>
      </c>
      <c r="E625" s="2236" t="str">
        <f>IF($C625="SINAPI",VLOOKUP($B625,'24.08_ND'!$A:$D,3,0),IF($C625="PRÓPRIA",VLOOKUP($B625,'03-CP'!$C:$H,3,0)))</f>
        <v>M3</v>
      </c>
      <c r="F625" s="2230">
        <v>8.4499999999999993</v>
      </c>
      <c r="G625" s="2238">
        <v>1234.8</v>
      </c>
      <c r="H625" s="2302">
        <f t="shared" si="130"/>
        <v>10434.06</v>
      </c>
      <c r="I625" s="2286"/>
      <c r="J625" s="2237"/>
      <c r="K625" s="2411"/>
      <c r="L625" s="2533"/>
      <c r="M625" s="2238"/>
      <c r="N625" s="2239"/>
      <c r="O625" s="2498">
        <f t="shared" si="131"/>
        <v>10434.06</v>
      </c>
      <c r="P625" s="2295">
        <f t="shared" si="132"/>
        <v>1</v>
      </c>
    </row>
    <row r="626" spans="1:16">
      <c r="A626" s="2269" t="s">
        <v>13283</v>
      </c>
      <c r="B626" s="2252" t="str">
        <f>VLOOKUP($A626,'12 - QT_SUN'!$A:$F,2,0)</f>
        <v>PS-CP-EST-09</v>
      </c>
      <c r="C626" s="2228" t="str">
        <f>VLOOKUP($A626,'12 - QT_SUN'!$A:$F,3,0)</f>
        <v>PRÓPRIA</v>
      </c>
      <c r="D626" s="2375" t="s">
        <v>14604</v>
      </c>
      <c r="E626" s="2229" t="str">
        <f>IF($C626="SINAPI",VLOOKUP($B626,'24.08_ND'!$A:$D,3,0),IF($C626="PRÓPRIA",VLOOKUP($B626,'03-CP'!$C:$H,3,0)))</f>
        <v>M2</v>
      </c>
      <c r="F626" s="2230">
        <v>203.82</v>
      </c>
      <c r="G626" s="2232">
        <v>13.98</v>
      </c>
      <c r="H626" s="2302">
        <f t="shared" si="130"/>
        <v>2849.4</v>
      </c>
      <c r="I626" s="2287"/>
      <c r="J626" s="2231"/>
      <c r="K626" s="2412"/>
      <c r="L626" s="2536"/>
      <c r="M626" s="2232"/>
      <c r="N626" s="2557"/>
      <c r="O626" s="2498">
        <f t="shared" si="131"/>
        <v>2849.4</v>
      </c>
      <c r="P626" s="2295">
        <f t="shared" si="132"/>
        <v>1</v>
      </c>
    </row>
    <row r="627" spans="1:16">
      <c r="A627" s="2269" t="s">
        <v>13284</v>
      </c>
      <c r="B627" s="2252" t="str">
        <f>VLOOKUP($A627,'12 - QT_SUN'!$A:$F,2,0)</f>
        <v>PS-CP-EST-11</v>
      </c>
      <c r="C627" s="2228" t="str">
        <f>VLOOKUP($A627,'12 - QT_SUN'!$A:$F,3,0)</f>
        <v>PRÓPRIA</v>
      </c>
      <c r="D627" s="2375" t="s">
        <v>14608</v>
      </c>
      <c r="E627" s="2229" t="str">
        <f>IF($C627="SINAPI",VLOOKUP($B627,'24.08_ND'!$A:$D,3,0),IF($C627="PRÓPRIA",VLOOKUP($B627,'03-CP'!$C:$H,3,0)))</f>
        <v>M2</v>
      </c>
      <c r="F627" s="2230">
        <v>164.24</v>
      </c>
      <c r="G627" s="2232">
        <v>37.21</v>
      </c>
      <c r="H627" s="2302">
        <f t="shared" si="130"/>
        <v>6111.37</v>
      </c>
      <c r="I627" s="2287"/>
      <c r="J627" s="2231"/>
      <c r="K627" s="2412"/>
      <c r="L627" s="2536"/>
      <c r="M627" s="2232"/>
      <c r="N627" s="2557"/>
      <c r="O627" s="2498">
        <f t="shared" si="131"/>
        <v>6111.37</v>
      </c>
      <c r="P627" s="2295">
        <f t="shared" si="132"/>
        <v>1</v>
      </c>
    </row>
    <row r="628" spans="1:16" ht="30">
      <c r="A628" s="2269" t="s">
        <v>13285</v>
      </c>
      <c r="B628" s="2251">
        <f>VLOOKUP($A628,'12 - QT_SUN'!$A:$F,2,0)</f>
        <v>98555</v>
      </c>
      <c r="C628" s="2234" t="str">
        <f>VLOOKUP($A628,'12 - QT_SUN'!$A:$F,3,0)</f>
        <v>SINAPI</v>
      </c>
      <c r="D628" s="2375" t="s">
        <v>7733</v>
      </c>
      <c r="E628" s="2236" t="str">
        <f>IF($C628="SINAPI",VLOOKUP($B628,'24.08_ND'!$A:$D,3,0),IF($C628="PRÓPRIA",VLOOKUP($B628,'03-CP'!$C:$H,3,0)))</f>
        <v>M2</v>
      </c>
      <c r="F628" s="2230">
        <v>164.24</v>
      </c>
      <c r="G628" s="2238">
        <v>33.32</v>
      </c>
      <c r="H628" s="2302">
        <f t="shared" si="130"/>
        <v>5472.47</v>
      </c>
      <c r="I628" s="2286"/>
      <c r="J628" s="2237"/>
      <c r="K628" s="2411"/>
      <c r="L628" s="2533"/>
      <c r="M628" s="2238"/>
      <c r="N628" s="2239"/>
      <c r="O628" s="2498">
        <f t="shared" si="131"/>
        <v>5472.47</v>
      </c>
      <c r="P628" s="2295">
        <f t="shared" si="132"/>
        <v>1</v>
      </c>
    </row>
    <row r="629" spans="1:16" ht="30">
      <c r="A629" s="2269" t="s">
        <v>13286</v>
      </c>
      <c r="B629" s="2251">
        <f>VLOOKUP($A629,'12 - QT_SUN'!$A:$F,2,0)</f>
        <v>98562</v>
      </c>
      <c r="C629" s="2234" t="str">
        <f>VLOOKUP($A629,'12 - QT_SUN'!$A:$F,3,0)</f>
        <v>SINAPI</v>
      </c>
      <c r="D629" s="2375" t="s">
        <v>7732</v>
      </c>
      <c r="E629" s="2236" t="str">
        <f>IF($C629="SINAPI",VLOOKUP($B629,'24.08_ND'!$A:$D,3,0),IF($C629="PRÓPRIA",VLOOKUP($B629,'03-CP'!$C:$H,3,0)))</f>
        <v>M2</v>
      </c>
      <c r="F629" s="2230">
        <v>164.24</v>
      </c>
      <c r="G629" s="2238">
        <v>54.52</v>
      </c>
      <c r="H629" s="2302">
        <f t="shared" si="130"/>
        <v>8954.36</v>
      </c>
      <c r="I629" s="2286"/>
      <c r="J629" s="2237"/>
      <c r="K629" s="2411"/>
      <c r="L629" s="2533"/>
      <c r="M629" s="2238"/>
      <c r="N629" s="2239"/>
      <c r="O629" s="2498">
        <f t="shared" si="131"/>
        <v>8954.36</v>
      </c>
      <c r="P629" s="2295">
        <f t="shared" si="132"/>
        <v>1</v>
      </c>
    </row>
    <row r="630" spans="1:16" ht="45">
      <c r="A630" s="2269" t="s">
        <v>13287</v>
      </c>
      <c r="B630" s="2234">
        <f>VLOOKUP($A630,'12 - QT_SUN'!$A:$F,2,0)</f>
        <v>98575</v>
      </c>
      <c r="C630" s="2234" t="str">
        <f>VLOOKUP($A630,'12 - QT_SUN'!$A:$F,3,0)</f>
        <v>SINAPI</v>
      </c>
      <c r="D630" s="2375" t="s">
        <v>7603</v>
      </c>
      <c r="E630" s="2236" t="str">
        <f>IF($C630="SINAPI",VLOOKUP($B630,'24.08_ND'!$A:$D,3,0),IF($C630="PRÓPRIA",VLOOKUP($B630,'03-CP'!$C:$H,3,0)))</f>
        <v>M</v>
      </c>
      <c r="F630" s="2230">
        <v>5.72</v>
      </c>
      <c r="G630" s="2238">
        <v>77.47</v>
      </c>
      <c r="H630" s="2302">
        <f t="shared" si="130"/>
        <v>443.12</v>
      </c>
      <c r="I630" s="2286"/>
      <c r="J630" s="2237"/>
      <c r="K630" s="2411"/>
      <c r="L630" s="2533"/>
      <c r="M630" s="2238"/>
      <c r="N630" s="2239"/>
      <c r="O630" s="2498">
        <f t="shared" si="131"/>
        <v>443.12</v>
      </c>
      <c r="P630" s="2295">
        <f t="shared" si="132"/>
        <v>1</v>
      </c>
    </row>
    <row r="631" spans="1:16">
      <c r="A631" s="2340" t="s">
        <v>13288</v>
      </c>
      <c r="B631" s="2223"/>
      <c r="C631" s="2223"/>
      <c r="D631" s="2376" t="s">
        <v>16377</v>
      </c>
      <c r="E631" s="2224"/>
      <c r="F631" s="2240"/>
      <c r="G631" s="2226"/>
      <c r="H631" s="2301">
        <f>SUBTOTAL(9,H632:H637)</f>
        <v>31625.08</v>
      </c>
      <c r="I631" s="2284"/>
      <c r="J631" s="2227"/>
      <c r="K631" s="2496"/>
      <c r="L631" s="2534">
        <f>SUBTOTAL(9,L632:L637)</f>
        <v>0</v>
      </c>
      <c r="M631" s="2301">
        <f>SUBTOTAL(9,M632:M637)</f>
        <v>0</v>
      </c>
      <c r="N631" s="2301">
        <f>SUBTOTAL(9,N632:N637)</f>
        <v>0</v>
      </c>
      <c r="O631" s="2301">
        <f>SUBTOTAL(9,O632:O637)</f>
        <v>31625.08</v>
      </c>
      <c r="P631" s="2293"/>
    </row>
    <row r="632" spans="1:16" ht="45">
      <c r="A632" s="2269" t="s">
        <v>13289</v>
      </c>
      <c r="B632" s="2234">
        <f>VLOOKUP($A632,'12 - QT_SUN'!$A:$F,2,0)</f>
        <v>92431</v>
      </c>
      <c r="C632" s="2234" t="str">
        <f>VLOOKUP($A632,'12 - QT_SUN'!$A:$F,3,0)</f>
        <v>SINAPI</v>
      </c>
      <c r="D632" s="2375" t="s">
        <v>7221</v>
      </c>
      <c r="E632" s="2236" t="str">
        <f>IF($C632="SINAPI",VLOOKUP($B632,'24.08_ND'!$A:$D,3,0),IF($C632="PRÓPRIA",VLOOKUP($B632,'03-CP'!$C:$H,3,0)))</f>
        <v>M2</v>
      </c>
      <c r="F632" s="2230">
        <v>78.39</v>
      </c>
      <c r="G632" s="2238">
        <v>83.57</v>
      </c>
      <c r="H632" s="2302">
        <f t="shared" ref="H632:H637" si="133">TRUNC((G632*F632),2)</f>
        <v>6551.05</v>
      </c>
      <c r="I632" s="2286"/>
      <c r="J632" s="2237"/>
      <c r="K632" s="2411"/>
      <c r="L632" s="2533"/>
      <c r="M632" s="2238"/>
      <c r="N632" s="2239"/>
      <c r="O632" s="2498">
        <f t="shared" ref="O632:O637" si="134">H632-L632</f>
        <v>6551.05</v>
      </c>
      <c r="P632" s="2295">
        <f t="shared" ref="P632:P637" si="135">O632/H632</f>
        <v>1</v>
      </c>
    </row>
    <row r="633" spans="1:16" ht="30">
      <c r="A633" s="2269" t="s">
        <v>13290</v>
      </c>
      <c r="B633" s="2251">
        <f>VLOOKUP($A633,'12 - QT_SUN'!$A:$F,2,0)</f>
        <v>91601</v>
      </c>
      <c r="C633" s="2234" t="str">
        <f>VLOOKUP($A633,'12 - QT_SUN'!$A:$F,3,0)</f>
        <v>SINAPI</v>
      </c>
      <c r="D633" s="2375" t="s">
        <v>7425</v>
      </c>
      <c r="E633" s="2236" t="str">
        <f>IF($C633="SINAPI",VLOOKUP($B633,'24.08_ND'!$A:$D,3,0),IF($C633="PRÓPRIA",VLOOKUP($B633,'03-CP'!$C:$H,3,0)))</f>
        <v>KG</v>
      </c>
      <c r="F633" s="2230">
        <v>922.92</v>
      </c>
      <c r="G633" s="2238">
        <v>15.48</v>
      </c>
      <c r="H633" s="2302">
        <f t="shared" si="133"/>
        <v>14286.8</v>
      </c>
      <c r="I633" s="2286"/>
      <c r="J633" s="2237"/>
      <c r="K633" s="2411"/>
      <c r="L633" s="2533"/>
      <c r="M633" s="2238"/>
      <c r="N633" s="2239"/>
      <c r="O633" s="2498">
        <f t="shared" si="134"/>
        <v>14286.8</v>
      </c>
      <c r="P633" s="2295">
        <f t="shared" si="135"/>
        <v>1</v>
      </c>
    </row>
    <row r="634" spans="1:16" ht="30">
      <c r="A634" s="2269" t="s">
        <v>13291</v>
      </c>
      <c r="B634" s="2251">
        <f>VLOOKUP($A634,'12 - QT_SUN'!$A:$F,2,0)</f>
        <v>103685</v>
      </c>
      <c r="C634" s="2234" t="str">
        <f>VLOOKUP($A634,'12 - QT_SUN'!$A:$F,3,0)</f>
        <v>SINAPI</v>
      </c>
      <c r="D634" s="2375" t="s">
        <v>7592</v>
      </c>
      <c r="E634" s="2236" t="str">
        <f>IF($C634="SINAPI",VLOOKUP($B634,'24.08_ND'!$A:$D,3,0),IF($C634="PRÓPRIA",VLOOKUP($B634,'03-CP'!$C:$H,3,0)))</f>
        <v>M3</v>
      </c>
      <c r="F634" s="2230">
        <v>4.7</v>
      </c>
      <c r="G634" s="2238">
        <v>994.11</v>
      </c>
      <c r="H634" s="2302">
        <f t="shared" si="133"/>
        <v>4672.3100000000004</v>
      </c>
      <c r="I634" s="2286"/>
      <c r="J634" s="2237"/>
      <c r="K634" s="2411"/>
      <c r="L634" s="2533"/>
      <c r="M634" s="2238"/>
      <c r="N634" s="2239"/>
      <c r="O634" s="2498">
        <f t="shared" si="134"/>
        <v>4672.3100000000004</v>
      </c>
      <c r="P634" s="2295">
        <f t="shared" si="135"/>
        <v>1</v>
      </c>
    </row>
    <row r="635" spans="1:16">
      <c r="A635" s="2269" t="s">
        <v>13292</v>
      </c>
      <c r="B635" s="2252" t="str">
        <f>VLOOKUP($A635,'12 - QT_SUN'!$A:$F,2,0)</f>
        <v>PS-CP-EST-11</v>
      </c>
      <c r="C635" s="2228" t="str">
        <f>VLOOKUP($A635,'12 - QT_SUN'!$A:$F,3,0)</f>
        <v>PRÓPRIA</v>
      </c>
      <c r="D635" s="2375" t="s">
        <v>14608</v>
      </c>
      <c r="E635" s="2229" t="str">
        <f>IF($C635="SINAPI",VLOOKUP($B635,'24.08_ND'!$A:$D,3,0),IF($C635="PRÓPRIA",VLOOKUP($B635,'03-CP'!$C:$H,3,0)))</f>
        <v>M2</v>
      </c>
      <c r="F635" s="2230">
        <v>48.9</v>
      </c>
      <c r="G635" s="2232">
        <v>37.21</v>
      </c>
      <c r="H635" s="2302">
        <f t="shared" si="133"/>
        <v>1819.56</v>
      </c>
      <c r="I635" s="2287"/>
      <c r="J635" s="2231"/>
      <c r="K635" s="2412"/>
      <c r="L635" s="2536"/>
      <c r="M635" s="2232"/>
      <c r="N635" s="2557"/>
      <c r="O635" s="2498">
        <f t="shared" si="134"/>
        <v>1819.56</v>
      </c>
      <c r="P635" s="2295">
        <f t="shared" si="135"/>
        <v>1</v>
      </c>
    </row>
    <row r="636" spans="1:16" ht="30">
      <c r="A636" s="2269" t="s">
        <v>13293</v>
      </c>
      <c r="B636" s="2251">
        <f>VLOOKUP($A636,'12 - QT_SUN'!$A:$F,2,0)</f>
        <v>98555</v>
      </c>
      <c r="C636" s="2234" t="str">
        <f>VLOOKUP($A636,'12 - QT_SUN'!$A:$F,3,0)</f>
        <v>SINAPI</v>
      </c>
      <c r="D636" s="2375" t="s">
        <v>7733</v>
      </c>
      <c r="E636" s="2236" t="str">
        <f>IF($C636="SINAPI",VLOOKUP($B636,'24.08_ND'!$A:$D,3,0),IF($C636="PRÓPRIA",VLOOKUP($B636,'03-CP'!$C:$H,3,0)))</f>
        <v>M2</v>
      </c>
      <c r="F636" s="2230">
        <v>48.9</v>
      </c>
      <c r="G636" s="2238">
        <v>33.32</v>
      </c>
      <c r="H636" s="2302">
        <f t="shared" si="133"/>
        <v>1629.34</v>
      </c>
      <c r="I636" s="2286"/>
      <c r="J636" s="2237"/>
      <c r="K636" s="2411"/>
      <c r="L636" s="2533"/>
      <c r="M636" s="2238"/>
      <c r="N636" s="2239"/>
      <c r="O636" s="2498">
        <f t="shared" si="134"/>
        <v>1629.34</v>
      </c>
      <c r="P636" s="2295">
        <f t="shared" si="135"/>
        <v>1</v>
      </c>
    </row>
    <row r="637" spans="1:16" ht="30">
      <c r="A637" s="2269" t="s">
        <v>13294</v>
      </c>
      <c r="B637" s="2251">
        <f>VLOOKUP($A637,'12 - QT_SUN'!$A:$F,2,0)</f>
        <v>98562</v>
      </c>
      <c r="C637" s="2234" t="str">
        <f>VLOOKUP($A637,'12 - QT_SUN'!$A:$F,3,0)</f>
        <v>SINAPI</v>
      </c>
      <c r="D637" s="2375" t="s">
        <v>7732</v>
      </c>
      <c r="E637" s="2236" t="str">
        <f>IF($C637="SINAPI",VLOOKUP($B637,'24.08_ND'!$A:$D,3,0),IF($C637="PRÓPRIA",VLOOKUP($B637,'03-CP'!$C:$H,3,0)))</f>
        <v>M2</v>
      </c>
      <c r="F637" s="2230">
        <v>48.9</v>
      </c>
      <c r="G637" s="2238">
        <v>54.52</v>
      </c>
      <c r="H637" s="2302">
        <f t="shared" si="133"/>
        <v>2666.02</v>
      </c>
      <c r="I637" s="2286"/>
      <c r="J637" s="2237"/>
      <c r="K637" s="2411"/>
      <c r="L637" s="2533"/>
      <c r="M637" s="2238"/>
      <c r="N637" s="2239"/>
      <c r="O637" s="2498">
        <f t="shared" si="134"/>
        <v>2666.02</v>
      </c>
      <c r="P637" s="2295">
        <f t="shared" si="135"/>
        <v>1</v>
      </c>
    </row>
    <row r="638" spans="1:16">
      <c r="A638" s="2340" t="s">
        <v>13295</v>
      </c>
      <c r="B638" s="2223"/>
      <c r="C638" s="2223"/>
      <c r="D638" s="2376" t="s">
        <v>16378</v>
      </c>
      <c r="E638" s="2224"/>
      <c r="F638" s="2240"/>
      <c r="G638" s="2226"/>
      <c r="H638" s="2301">
        <f>SUBTOTAL(9,H639:H648)</f>
        <v>84390.15</v>
      </c>
      <c r="I638" s="2284"/>
      <c r="J638" s="2227"/>
      <c r="K638" s="2496"/>
      <c r="L638" s="2534">
        <f>SUBTOTAL(9,L639:L648)</f>
        <v>0</v>
      </c>
      <c r="M638" s="2301">
        <f>SUBTOTAL(9,M639:M648)</f>
        <v>0</v>
      </c>
      <c r="N638" s="2301">
        <f>SUBTOTAL(9,N639:N648)</f>
        <v>0</v>
      </c>
      <c r="O638" s="2301">
        <f>SUBTOTAL(9,O639:O648)</f>
        <v>84390.15</v>
      </c>
      <c r="P638" s="2293"/>
    </row>
    <row r="639" spans="1:16" ht="30">
      <c r="A639" s="2268" t="s">
        <v>13296</v>
      </c>
      <c r="B639" s="2251">
        <f>VLOOKUP($A639,'12 - QT_SUN'!$A:$F,2,0)</f>
        <v>93358</v>
      </c>
      <c r="C639" s="2234" t="str">
        <f>VLOOKUP($A639,'12 - QT_SUN'!$A:$F,3,0)</f>
        <v>SINAPI</v>
      </c>
      <c r="D639" s="2375" t="s">
        <v>10648</v>
      </c>
      <c r="E639" s="2236" t="str">
        <f>IF($C639="SINAPI",VLOOKUP($B639,'24.08_ND'!$A:$D,3,0),IF($C639="PRÓPRIA",VLOOKUP($B639,'03-CP'!$C:$H,3,0)))</f>
        <v>M3</v>
      </c>
      <c r="F639" s="2230">
        <v>23.07</v>
      </c>
      <c r="G639" s="2238">
        <v>91.52</v>
      </c>
      <c r="H639" s="2302">
        <f t="shared" ref="H639:H648" si="136">TRUNC((G639*F639),2)</f>
        <v>2111.36</v>
      </c>
      <c r="I639" s="2286"/>
      <c r="J639" s="2237"/>
      <c r="K639" s="2411"/>
      <c r="L639" s="2533"/>
      <c r="M639" s="2238"/>
      <c r="N639" s="2239"/>
      <c r="O639" s="2498">
        <f t="shared" ref="O639:O648" si="137">H639-L639</f>
        <v>2111.36</v>
      </c>
      <c r="P639" s="2295">
        <f t="shared" ref="P639:P649" si="138">O639/H639</f>
        <v>1</v>
      </c>
    </row>
    <row r="640" spans="1:16" ht="30">
      <c r="A640" s="2268" t="s">
        <v>13297</v>
      </c>
      <c r="B640" s="2234">
        <f>VLOOKUP($A640,'12 - QT_SUN'!$A:$F,2,0)</f>
        <v>101616</v>
      </c>
      <c r="C640" s="2234" t="str">
        <f>VLOOKUP($A640,'12 - QT_SUN'!$A:$F,3,0)</f>
        <v>SINAPI</v>
      </c>
      <c r="D640" s="2375" t="s">
        <v>10747</v>
      </c>
      <c r="E640" s="2236" t="str">
        <f>IF($C640="SINAPI",VLOOKUP($B640,'24.08_ND'!$A:$D,3,0),IF($C640="PRÓPRIA",VLOOKUP($B640,'03-CP'!$C:$H,3,0)))</f>
        <v>M2</v>
      </c>
      <c r="F640" s="2230">
        <v>101.8</v>
      </c>
      <c r="G640" s="2238">
        <v>6.71</v>
      </c>
      <c r="H640" s="2302">
        <f t="shared" si="136"/>
        <v>683.07</v>
      </c>
      <c r="I640" s="2286"/>
      <c r="J640" s="2237"/>
      <c r="K640" s="2411"/>
      <c r="L640" s="2533"/>
      <c r="M640" s="2238"/>
      <c r="N640" s="2239"/>
      <c r="O640" s="2498">
        <f t="shared" si="137"/>
        <v>683.07</v>
      </c>
      <c r="P640" s="2295">
        <f t="shared" si="138"/>
        <v>1</v>
      </c>
    </row>
    <row r="641" spans="1:16" ht="30">
      <c r="A641" s="2268" t="s">
        <v>13298</v>
      </c>
      <c r="B641" s="2251">
        <f>VLOOKUP($A641,'12 - QT_SUN'!$A:$F,2,0)</f>
        <v>96536</v>
      </c>
      <c r="C641" s="2234" t="str">
        <f>VLOOKUP($A641,'12 - QT_SUN'!$A:$F,3,0)</f>
        <v>SINAPI</v>
      </c>
      <c r="D641" s="2375" t="s">
        <v>7302</v>
      </c>
      <c r="E641" s="2236" t="str">
        <f>IF($C641="SINAPI",VLOOKUP($B641,'24.08_ND'!$A:$D,3,0),IF($C641="PRÓPRIA",VLOOKUP($B641,'03-CP'!$C:$H,3,0)))</f>
        <v>M2</v>
      </c>
      <c r="F641" s="2230">
        <v>309.08</v>
      </c>
      <c r="G641" s="2238">
        <v>81.7</v>
      </c>
      <c r="H641" s="2302">
        <f t="shared" si="136"/>
        <v>25251.83</v>
      </c>
      <c r="I641" s="2286"/>
      <c r="J641" s="2237"/>
      <c r="K641" s="2411"/>
      <c r="L641" s="2533"/>
      <c r="M641" s="2238"/>
      <c r="N641" s="2239"/>
      <c r="O641" s="2498">
        <f t="shared" si="137"/>
        <v>25251.83</v>
      </c>
      <c r="P641" s="2295">
        <f t="shared" si="138"/>
        <v>1</v>
      </c>
    </row>
    <row r="642" spans="1:16" ht="30">
      <c r="A642" s="2268" t="s">
        <v>13299</v>
      </c>
      <c r="B642" s="2251">
        <f>VLOOKUP($A642,'12 - QT_SUN'!$A:$F,2,0)</f>
        <v>104916</v>
      </c>
      <c r="C642" s="2234" t="str">
        <f>VLOOKUP($A642,'12 - QT_SUN'!$A:$F,3,0)</f>
        <v>SINAPI</v>
      </c>
      <c r="D642" s="2375" t="s">
        <v>7596</v>
      </c>
      <c r="E642" s="2236" t="str">
        <f>IF($C642="SINAPI",VLOOKUP($B642,'24.08_ND'!$A:$D,3,0),IF($C642="PRÓPRIA",VLOOKUP($B642,'03-CP'!$C:$H,3,0)))</f>
        <v>KG</v>
      </c>
      <c r="F642" s="2230">
        <v>519.26</v>
      </c>
      <c r="G642" s="2238">
        <v>19.850000000000001</v>
      </c>
      <c r="H642" s="2302">
        <f t="shared" si="136"/>
        <v>10307.31</v>
      </c>
      <c r="I642" s="2286"/>
      <c r="J642" s="2237"/>
      <c r="K642" s="2411"/>
      <c r="L642" s="2533"/>
      <c r="M642" s="2238"/>
      <c r="N642" s="2239"/>
      <c r="O642" s="2498">
        <f t="shared" si="137"/>
        <v>10307.31</v>
      </c>
      <c r="P642" s="2295">
        <f t="shared" si="138"/>
        <v>1</v>
      </c>
    </row>
    <row r="643" spans="1:16" ht="30">
      <c r="A643" s="2268" t="s">
        <v>13300</v>
      </c>
      <c r="B643" s="2251">
        <f>VLOOKUP($A643,'12 - QT_SUN'!$A:$F,2,0)</f>
        <v>104918</v>
      </c>
      <c r="C643" s="2234" t="str">
        <f>VLOOKUP($A643,'12 - QT_SUN'!$A:$F,3,0)</f>
        <v>SINAPI</v>
      </c>
      <c r="D643" s="2375" t="s">
        <v>7515</v>
      </c>
      <c r="E643" s="2236" t="str">
        <f>IF($C643="SINAPI",VLOOKUP($B643,'24.08_ND'!$A:$D,3,0),IF($C643="PRÓPRIA",VLOOKUP($B643,'03-CP'!$C:$H,3,0)))</f>
        <v>KG</v>
      </c>
      <c r="F643" s="2230">
        <v>149.07</v>
      </c>
      <c r="G643" s="2238">
        <v>17.68</v>
      </c>
      <c r="H643" s="2302">
        <f t="shared" si="136"/>
        <v>2635.55</v>
      </c>
      <c r="I643" s="2286"/>
      <c r="J643" s="2237"/>
      <c r="K643" s="2411"/>
      <c r="L643" s="2533"/>
      <c r="M643" s="2238"/>
      <c r="N643" s="2239"/>
      <c r="O643" s="2498">
        <f t="shared" si="137"/>
        <v>2635.55</v>
      </c>
      <c r="P643" s="2295">
        <f t="shared" si="138"/>
        <v>1</v>
      </c>
    </row>
    <row r="644" spans="1:16" ht="30">
      <c r="A644" s="2268" t="s">
        <v>13301</v>
      </c>
      <c r="B644" s="2251">
        <f>VLOOKUP($A644,'12 - QT_SUN'!$A:$F,2,0)</f>
        <v>103685</v>
      </c>
      <c r="C644" s="2234" t="str">
        <f>VLOOKUP($A644,'12 - QT_SUN'!$A:$F,3,0)</f>
        <v>SINAPI</v>
      </c>
      <c r="D644" s="2375" t="s">
        <v>7592</v>
      </c>
      <c r="E644" s="2236" t="str">
        <f>IF($C644="SINAPI",VLOOKUP($B644,'24.08_ND'!$A:$D,3,0),IF($C644="PRÓPRIA",VLOOKUP($B644,'03-CP'!$C:$H,3,0)))</f>
        <v>M3</v>
      </c>
      <c r="F644" s="2230">
        <v>39.81</v>
      </c>
      <c r="G644" s="2238">
        <v>994.11</v>
      </c>
      <c r="H644" s="2302">
        <f t="shared" si="136"/>
        <v>39575.51</v>
      </c>
      <c r="I644" s="2286"/>
      <c r="J644" s="2237"/>
      <c r="K644" s="2411"/>
      <c r="L644" s="2533"/>
      <c r="M644" s="2238"/>
      <c r="N644" s="2239"/>
      <c r="O644" s="2498">
        <f t="shared" si="137"/>
        <v>39575.51</v>
      </c>
      <c r="P644" s="2295">
        <f t="shared" si="138"/>
        <v>1</v>
      </c>
    </row>
    <row r="645" spans="1:16" ht="30">
      <c r="A645" s="2269" t="s">
        <v>13302</v>
      </c>
      <c r="B645" s="2234">
        <f>VLOOKUP($A645,'12 - QT_SUN'!$A:$F,2,0)</f>
        <v>93382</v>
      </c>
      <c r="C645" s="2234" t="str">
        <f>VLOOKUP($A645,'12 - QT_SUN'!$A:$F,3,0)</f>
        <v>SINAPI</v>
      </c>
      <c r="D645" s="2375" t="s">
        <v>10726</v>
      </c>
      <c r="E645" s="2236" t="str">
        <f>IF($C645="SINAPI",VLOOKUP($B645,'24.08_ND'!$A:$D,3,0),IF($C645="PRÓPRIA",VLOOKUP($B645,'03-CP'!$C:$H,3,0)))</f>
        <v>M3</v>
      </c>
      <c r="F645" s="2230">
        <v>14.245000000000001</v>
      </c>
      <c r="G645" s="2238">
        <v>26.88</v>
      </c>
      <c r="H645" s="2302">
        <f t="shared" si="136"/>
        <v>382.9</v>
      </c>
      <c r="I645" s="2286"/>
      <c r="J645" s="2237"/>
      <c r="K645" s="2411"/>
      <c r="L645" s="2533"/>
      <c r="M645" s="2238"/>
      <c r="N645" s="2239"/>
      <c r="O645" s="2498">
        <f t="shared" si="137"/>
        <v>382.9</v>
      </c>
      <c r="P645" s="2295">
        <f t="shared" si="138"/>
        <v>1</v>
      </c>
    </row>
    <row r="646" spans="1:16" ht="45">
      <c r="A646" s="2269" t="s">
        <v>13303</v>
      </c>
      <c r="B646" s="2234">
        <f>VLOOKUP($A646,'12 - QT_SUN'!$A:$F,2,0)</f>
        <v>100978</v>
      </c>
      <c r="C646" s="2234" t="str">
        <f>VLOOKUP($A646,'12 - QT_SUN'!$A:$F,3,0)</f>
        <v>SINAPI</v>
      </c>
      <c r="D646" s="2375" t="s">
        <v>11981</v>
      </c>
      <c r="E646" s="2236" t="str">
        <f>IF($C646="SINAPI",VLOOKUP($B646,'24.08_ND'!$A:$D,3,0),IF($C646="PRÓPRIA",VLOOKUP($B646,'03-CP'!$C:$H,3,0)))</f>
        <v>M3</v>
      </c>
      <c r="F646" s="2230">
        <v>18.053000000000001</v>
      </c>
      <c r="G646" s="2238">
        <v>7.88</v>
      </c>
      <c r="H646" s="2302">
        <f t="shared" si="136"/>
        <v>142.25</v>
      </c>
      <c r="I646" s="2286"/>
      <c r="J646" s="2237"/>
      <c r="K646" s="2411"/>
      <c r="L646" s="2533"/>
      <c r="M646" s="2238"/>
      <c r="N646" s="2239"/>
      <c r="O646" s="2498">
        <f t="shared" si="137"/>
        <v>142.25</v>
      </c>
      <c r="P646" s="2295">
        <f t="shared" si="138"/>
        <v>1</v>
      </c>
    </row>
    <row r="647" spans="1:16" ht="30">
      <c r="A647" s="2269" t="s">
        <v>13304</v>
      </c>
      <c r="B647" s="2234">
        <f>VLOOKUP($A647,'12 - QT_SUN'!$A:$F,2,0)</f>
        <v>100938</v>
      </c>
      <c r="C647" s="2234" t="str">
        <f>VLOOKUP($A647,'12 - QT_SUN'!$A:$F,3,0)</f>
        <v>SINAPI</v>
      </c>
      <c r="D647" s="2375" t="s">
        <v>11938</v>
      </c>
      <c r="E647" s="2236" t="str">
        <f>IF($C647="SINAPI",VLOOKUP($B647,'24.08_ND'!$A:$D,3,0),IF($C647="PRÓPRIA",VLOOKUP($B647,'03-CP'!$C:$H,3,0)))</f>
        <v>M3XKM</v>
      </c>
      <c r="F647" s="2230">
        <v>36.106000000000002</v>
      </c>
      <c r="G647" s="2238">
        <v>8.6199999999999992</v>
      </c>
      <c r="H647" s="2302">
        <f t="shared" si="136"/>
        <v>311.23</v>
      </c>
      <c r="I647" s="2286"/>
      <c r="J647" s="2237"/>
      <c r="K647" s="2411"/>
      <c r="L647" s="2533"/>
      <c r="M647" s="2238"/>
      <c r="N647" s="2239"/>
      <c r="O647" s="2498">
        <f t="shared" si="137"/>
        <v>311.23</v>
      </c>
      <c r="P647" s="2295">
        <f t="shared" si="138"/>
        <v>1</v>
      </c>
    </row>
    <row r="648" spans="1:16" ht="30">
      <c r="A648" s="2268" t="s">
        <v>13305</v>
      </c>
      <c r="B648" s="2234">
        <f>VLOOKUP($A648,'12 - QT_SUN'!$A:$F,2,0)</f>
        <v>88631</v>
      </c>
      <c r="C648" s="2234" t="str">
        <f>VLOOKUP($A648,'12 - QT_SUN'!$A:$F,3,0)</f>
        <v>SINAPI</v>
      </c>
      <c r="D648" s="2375" t="s">
        <v>11653</v>
      </c>
      <c r="E648" s="2236" t="str">
        <f>IF($C648="SINAPI",VLOOKUP($B648,'24.08_ND'!$A:$D,3,0),IF($C648="PRÓPRIA",VLOOKUP($B648,'03-CP'!$C:$H,3,0)))</f>
        <v>M3</v>
      </c>
      <c r="F648" s="2230">
        <v>4.0999999999999996</v>
      </c>
      <c r="G648" s="2238">
        <v>729.06</v>
      </c>
      <c r="H648" s="2302">
        <f t="shared" si="136"/>
        <v>2989.14</v>
      </c>
      <c r="I648" s="2286"/>
      <c r="J648" s="2237"/>
      <c r="K648" s="2411"/>
      <c r="L648" s="2533"/>
      <c r="M648" s="2238"/>
      <c r="N648" s="2239"/>
      <c r="O648" s="2498">
        <f t="shared" si="137"/>
        <v>2989.14</v>
      </c>
      <c r="P648" s="2295">
        <f t="shared" si="138"/>
        <v>1</v>
      </c>
    </row>
    <row r="649" spans="1:16">
      <c r="A649" s="2340" t="s">
        <v>13306</v>
      </c>
      <c r="B649" s="2223"/>
      <c r="C649" s="2223"/>
      <c r="D649" s="2376" t="s">
        <v>16379</v>
      </c>
      <c r="E649" s="2224"/>
      <c r="F649" s="2240"/>
      <c r="G649" s="2226"/>
      <c r="H649" s="2301">
        <f>SUBTOTAL(9,H650:H656)</f>
        <v>5279.32</v>
      </c>
      <c r="I649" s="2284"/>
      <c r="J649" s="2227"/>
      <c r="K649" s="2496"/>
      <c r="L649" s="2534">
        <f>SUBTOTAL(9,L650:L656)</f>
        <v>0</v>
      </c>
      <c r="M649" s="2301">
        <f>SUBTOTAL(9,M650:M656)</f>
        <v>0</v>
      </c>
      <c r="N649" s="2301">
        <f>SUBTOTAL(9,N650:N656)</f>
        <v>0</v>
      </c>
      <c r="O649" s="2301">
        <f>SUBTOTAL(9,O650:O656)</f>
        <v>5279.32</v>
      </c>
      <c r="P649" s="2293">
        <f t="shared" si="138"/>
        <v>1</v>
      </c>
    </row>
    <row r="650" spans="1:16" ht="45">
      <c r="A650" s="2268" t="s">
        <v>13307</v>
      </c>
      <c r="B650" s="2228" t="str">
        <f>VLOOKUP($A650,'12 - QT_SUN'!$A:$F,2,0)</f>
        <v>PS-CP-EST-02</v>
      </c>
      <c r="C650" s="2228" t="str">
        <f>VLOOKUP($A650,'12 - QT_SUN'!$A:$F,3,0)</f>
        <v>PRÓPRIA</v>
      </c>
      <c r="D650" s="2375" t="s">
        <v>14589</v>
      </c>
      <c r="E650" s="2229" t="str">
        <f>IF($C650="SINAPI",VLOOKUP($B650,'24.08_ND'!$A:$D,3,0),IF($C650="PRÓPRIA",VLOOKUP($B650,'03-CP'!$C:$H,3,0)))</f>
        <v>M</v>
      </c>
      <c r="F650" s="2230">
        <v>22</v>
      </c>
      <c r="G650" s="2232">
        <v>34.92</v>
      </c>
      <c r="H650" s="2302">
        <f t="shared" ref="H650:H656" si="139">TRUNC((G650*F650),2)</f>
        <v>768.24</v>
      </c>
      <c r="I650" s="2287"/>
      <c r="J650" s="2231"/>
      <c r="K650" s="2412"/>
      <c r="L650" s="2536"/>
      <c r="M650" s="2232"/>
      <c r="N650" s="2557"/>
      <c r="O650" s="2498">
        <f t="shared" ref="O650:O656" si="140">H650-L650</f>
        <v>768.24</v>
      </c>
      <c r="P650" s="2295">
        <f t="shared" ref="P650:P656" si="141">O650/H650</f>
        <v>1</v>
      </c>
    </row>
    <row r="651" spans="1:16" ht="30">
      <c r="A651" s="2268" t="s">
        <v>13308</v>
      </c>
      <c r="B651" s="2234">
        <f>VLOOKUP($A651,'12 - QT_SUN'!$A:$F,2,0)</f>
        <v>101616</v>
      </c>
      <c r="C651" s="2234" t="str">
        <f>VLOOKUP($A651,'12 - QT_SUN'!$A:$F,3,0)</f>
        <v>SINAPI</v>
      </c>
      <c r="D651" s="2375" t="s">
        <v>10747</v>
      </c>
      <c r="E651" s="2236" t="str">
        <f>IF($C651="SINAPI",VLOOKUP($B651,'24.08_ND'!$A:$D,3,0),IF($C651="PRÓPRIA",VLOOKUP($B651,'03-CP'!$C:$H,3,0)))</f>
        <v>M2</v>
      </c>
      <c r="F651" s="2230">
        <v>1.38</v>
      </c>
      <c r="G651" s="2238">
        <v>6.71</v>
      </c>
      <c r="H651" s="2302">
        <f t="shared" si="139"/>
        <v>9.25</v>
      </c>
      <c r="I651" s="2286"/>
      <c r="J651" s="2237"/>
      <c r="K651" s="2411"/>
      <c r="L651" s="2533"/>
      <c r="M651" s="2238"/>
      <c r="N651" s="2239"/>
      <c r="O651" s="2498">
        <f t="shared" si="140"/>
        <v>9.25</v>
      </c>
      <c r="P651" s="2295">
        <f t="shared" si="141"/>
        <v>1</v>
      </c>
    </row>
    <row r="652" spans="1:16" ht="30">
      <c r="A652" s="2268" t="s">
        <v>13309</v>
      </c>
      <c r="B652" s="2228" t="str">
        <f>VLOOKUP($A652,'12 - QT_SUN'!$A:$F,2,0)</f>
        <v>PS-CP-EST-03</v>
      </c>
      <c r="C652" s="2228" t="str">
        <f>VLOOKUP($A652,'12 - QT_SUN'!$A:$F,3,0)</f>
        <v>PRÓPRIA</v>
      </c>
      <c r="D652" s="2375" t="s">
        <v>14591</v>
      </c>
      <c r="E652" s="2229" t="str">
        <f>IF($C652="SINAPI",VLOOKUP($B652,'24.08_ND'!$A:$D,3,0),IF($C652="PRÓPRIA",VLOOKUP($B652,'03-CP'!$C:$H,3,0)))</f>
        <v>M3</v>
      </c>
      <c r="F652" s="2230">
        <v>2.76</v>
      </c>
      <c r="G652" s="2232">
        <v>988.62</v>
      </c>
      <c r="H652" s="2302">
        <f t="shared" si="139"/>
        <v>2728.59</v>
      </c>
      <c r="I652" s="2287"/>
      <c r="J652" s="2231"/>
      <c r="K652" s="2412"/>
      <c r="L652" s="2536"/>
      <c r="M652" s="2232"/>
      <c r="N652" s="2557"/>
      <c r="O652" s="2498">
        <f t="shared" si="140"/>
        <v>2728.59</v>
      </c>
      <c r="P652" s="2295">
        <f t="shared" si="141"/>
        <v>1</v>
      </c>
    </row>
    <row r="653" spans="1:16">
      <c r="A653" s="2268" t="s">
        <v>13310</v>
      </c>
      <c r="B653" s="2234">
        <f>VLOOKUP($A653,'12 - QT_SUN'!$A:$F,2,0)</f>
        <v>95577</v>
      </c>
      <c r="C653" s="2234" t="str">
        <f>VLOOKUP($A653,'12 - QT_SUN'!$A:$F,3,0)</f>
        <v>SINAPI</v>
      </c>
      <c r="D653" s="2375" t="s">
        <v>7477</v>
      </c>
      <c r="E653" s="2236" t="str">
        <f>IF($C653="SINAPI",VLOOKUP($B653,'24.08_ND'!$A:$D,3,0),IF($C653="PRÓPRIA",VLOOKUP($B653,'03-CP'!$C:$H,3,0)))</f>
        <v>KG</v>
      </c>
      <c r="F653" s="2230">
        <v>90.27</v>
      </c>
      <c r="G653" s="2238">
        <v>13.71</v>
      </c>
      <c r="H653" s="2302">
        <f t="shared" si="139"/>
        <v>1237.5999999999999</v>
      </c>
      <c r="I653" s="2286"/>
      <c r="J653" s="2237"/>
      <c r="K653" s="2411"/>
      <c r="L653" s="2533"/>
      <c r="M653" s="2238"/>
      <c r="N653" s="2239"/>
      <c r="O653" s="2498">
        <f t="shared" si="140"/>
        <v>1237.5999999999999</v>
      </c>
      <c r="P653" s="2295">
        <f t="shared" si="141"/>
        <v>1</v>
      </c>
    </row>
    <row r="654" spans="1:16" ht="30">
      <c r="A654" s="2268" t="s">
        <v>13311</v>
      </c>
      <c r="B654" s="2234">
        <f>VLOOKUP($A654,'12 - QT_SUN'!$A:$F,2,0)</f>
        <v>95584</v>
      </c>
      <c r="C654" s="2234" t="str">
        <f>VLOOKUP($A654,'12 - QT_SUN'!$A:$F,3,0)</f>
        <v>SINAPI</v>
      </c>
      <c r="D654" s="2375" t="s">
        <v>7484</v>
      </c>
      <c r="E654" s="2236" t="str">
        <f>IF($C654="SINAPI",VLOOKUP($B654,'24.08_ND'!$A:$D,3,0),IF($C654="PRÓPRIA",VLOOKUP($B654,'03-CP'!$C:$H,3,0)))</f>
        <v>KG</v>
      </c>
      <c r="F654" s="2230">
        <v>25.47</v>
      </c>
      <c r="G654" s="2238">
        <v>17.22</v>
      </c>
      <c r="H654" s="2302">
        <f t="shared" si="139"/>
        <v>438.59</v>
      </c>
      <c r="I654" s="2286"/>
      <c r="J654" s="2237"/>
      <c r="K654" s="2411"/>
      <c r="L654" s="2533"/>
      <c r="M654" s="2238"/>
      <c r="N654" s="2239"/>
      <c r="O654" s="2498">
        <f t="shared" si="140"/>
        <v>438.59</v>
      </c>
      <c r="P654" s="2295">
        <f t="shared" si="141"/>
        <v>1</v>
      </c>
    </row>
    <row r="655" spans="1:16" ht="45">
      <c r="A655" s="2269" t="s">
        <v>13312</v>
      </c>
      <c r="B655" s="2234">
        <f>VLOOKUP($A655,'12 - QT_SUN'!$A:$F,2,0)</f>
        <v>100978</v>
      </c>
      <c r="C655" s="2234" t="str">
        <f>VLOOKUP($A655,'12 - QT_SUN'!$A:$F,3,0)</f>
        <v>SINAPI</v>
      </c>
      <c r="D655" s="2375" t="s">
        <v>11981</v>
      </c>
      <c r="E655" s="2236" t="str">
        <f>IF($C655="SINAPI",VLOOKUP($B655,'24.08_ND'!$A:$D,3,0),IF($C655="PRÓPRIA",VLOOKUP($B655,'03-CP'!$C:$H,3,0)))</f>
        <v>M3</v>
      </c>
      <c r="F655" s="2230">
        <v>3.8639999999999994</v>
      </c>
      <c r="G655" s="2238">
        <v>7.88</v>
      </c>
      <c r="H655" s="2302">
        <f t="shared" si="139"/>
        <v>30.44</v>
      </c>
      <c r="I655" s="2286"/>
      <c r="J655" s="2237"/>
      <c r="K655" s="2411"/>
      <c r="L655" s="2533"/>
      <c r="M655" s="2238"/>
      <c r="N655" s="2239"/>
      <c r="O655" s="2498">
        <f t="shared" si="140"/>
        <v>30.44</v>
      </c>
      <c r="P655" s="2295">
        <f t="shared" si="141"/>
        <v>1</v>
      </c>
    </row>
    <row r="656" spans="1:16" ht="30">
      <c r="A656" s="2269" t="s">
        <v>13313</v>
      </c>
      <c r="B656" s="2234">
        <f>VLOOKUP($A656,'12 - QT_SUN'!$A:$F,2,0)</f>
        <v>100938</v>
      </c>
      <c r="C656" s="2234" t="str">
        <f>VLOOKUP($A656,'12 - QT_SUN'!$A:$F,3,0)</f>
        <v>SINAPI</v>
      </c>
      <c r="D656" s="2375" t="s">
        <v>11938</v>
      </c>
      <c r="E656" s="2236" t="str">
        <f>IF($C656="SINAPI",VLOOKUP($B656,'24.08_ND'!$A:$D,3,0),IF($C656="PRÓPRIA",VLOOKUP($B656,'03-CP'!$C:$H,3,0)))</f>
        <v>M3XKM</v>
      </c>
      <c r="F656" s="2230">
        <v>7.7279999999999989</v>
      </c>
      <c r="G656" s="2238">
        <v>8.6199999999999992</v>
      </c>
      <c r="H656" s="2302">
        <f t="shared" si="139"/>
        <v>66.61</v>
      </c>
      <c r="I656" s="2286"/>
      <c r="J656" s="2237"/>
      <c r="K656" s="2411"/>
      <c r="L656" s="2533"/>
      <c r="M656" s="2238"/>
      <c r="N656" s="2239"/>
      <c r="O656" s="2498">
        <f t="shared" si="140"/>
        <v>66.61</v>
      </c>
      <c r="P656" s="2295">
        <f t="shared" si="141"/>
        <v>1</v>
      </c>
    </row>
    <row r="657" spans="1:16">
      <c r="A657" s="2340" t="s">
        <v>13314</v>
      </c>
      <c r="B657" s="2223"/>
      <c r="C657" s="2223"/>
      <c r="D657" s="2376" t="s">
        <v>16380</v>
      </c>
      <c r="E657" s="2224"/>
      <c r="F657" s="2240"/>
      <c r="G657" s="2226"/>
      <c r="H657" s="2301">
        <f>SUBTOTAL(9,H658:H698)</f>
        <v>104096.25999999997</v>
      </c>
      <c r="I657" s="2284"/>
      <c r="J657" s="2227"/>
      <c r="K657" s="2496"/>
      <c r="L657" s="2534">
        <f>SUBTOTAL(9,L658:L698)</f>
        <v>0</v>
      </c>
      <c r="M657" s="2301">
        <f>SUBTOTAL(9,M658:M698)</f>
        <v>0</v>
      </c>
      <c r="N657" s="2301">
        <f>SUBTOTAL(9,N658:N698)</f>
        <v>0</v>
      </c>
      <c r="O657" s="2301">
        <f>SUBTOTAL(9,O658:O698)</f>
        <v>104096.25999999997</v>
      </c>
      <c r="P657" s="2293"/>
    </row>
    <row r="658" spans="1:16">
      <c r="A658" s="2341" t="s">
        <v>13315</v>
      </c>
      <c r="B658" s="2246">
        <f>VLOOKUP($A658,'12 - QT_SUN'!$A:$F,2,0)</f>
        <v>0</v>
      </c>
      <c r="C658" s="2246">
        <f>VLOOKUP($A658,'12 - QT_SUN'!$A:$F,3,0)</f>
        <v>0</v>
      </c>
      <c r="D658" s="2379" t="s">
        <v>16367</v>
      </c>
      <c r="E658" s="2247" t="str">
        <f>IFERROR(VLOOKUP($B658,'24.08_ND'!$1:$1048529,3,0),IFERROR(VLOOKUP($B658,'03-CP'!$C$1:$H$6260,3,0),""))</f>
        <v/>
      </c>
      <c r="F658" s="2248">
        <v>0</v>
      </c>
      <c r="G658" s="2249"/>
      <c r="H658" s="2304">
        <f>SUBTOTAL(9,H659:H663)</f>
        <v>4409.51</v>
      </c>
      <c r="I658" s="2289"/>
      <c r="J658" s="2250"/>
      <c r="K658" s="2547"/>
      <c r="L658" s="2538">
        <f>SUBTOTAL(9,L659:L663)</f>
        <v>0</v>
      </c>
      <c r="M658" s="2304">
        <f>SUBTOTAL(9,M659:M663)</f>
        <v>0</v>
      </c>
      <c r="N658" s="2304">
        <f>SUBTOTAL(9,N659:N663)</f>
        <v>0</v>
      </c>
      <c r="O658" s="2304">
        <f>SUBTOTAL(9,O659:O663)</f>
        <v>4409.51</v>
      </c>
      <c r="P658" s="2297"/>
    </row>
    <row r="659" spans="1:16" ht="30">
      <c r="A659" s="2269" t="s">
        <v>13316</v>
      </c>
      <c r="B659" s="2228" t="str">
        <f>VLOOKUP($A659,'12 - QT_SUN'!$A:$F,2,0)</f>
        <v>PS-CP-EST-08</v>
      </c>
      <c r="C659" s="2228" t="str">
        <f>VLOOKUP($A659,'12 - QT_SUN'!$A:$F,3,0)</f>
        <v>PRÓPRIA</v>
      </c>
      <c r="D659" s="2375" t="s">
        <v>14601</v>
      </c>
      <c r="E659" s="2229" t="str">
        <f>IF($C659="SINAPI",VLOOKUP($B659,'24.08_ND'!$A:$D,3,0),IF($C659="PRÓPRIA",VLOOKUP($B659,'03-CP'!$C:$H,3,0)))</f>
        <v>M2</v>
      </c>
      <c r="F659" s="2230">
        <v>25.51</v>
      </c>
      <c r="G659" s="2232">
        <v>130.08000000000001</v>
      </c>
      <c r="H659" s="2302">
        <f>TRUNC((G659*F659),2)</f>
        <v>3318.34</v>
      </c>
      <c r="I659" s="2287"/>
      <c r="J659" s="2231"/>
      <c r="K659" s="2412"/>
      <c r="L659" s="2536"/>
      <c r="M659" s="2232"/>
      <c r="N659" s="2557"/>
      <c r="O659" s="2498">
        <f>H659-L659</f>
        <v>3318.34</v>
      </c>
      <c r="P659" s="2295">
        <f>O659/H659</f>
        <v>1</v>
      </c>
    </row>
    <row r="660" spans="1:16" ht="30">
      <c r="A660" s="2269" t="s">
        <v>13317</v>
      </c>
      <c r="B660" s="2234">
        <f>VLOOKUP($A660,'12 - QT_SUN'!$A:$F,2,0)</f>
        <v>101616</v>
      </c>
      <c r="C660" s="2234" t="str">
        <f>VLOOKUP($A660,'12 - QT_SUN'!$A:$F,3,0)</f>
        <v>SINAPI</v>
      </c>
      <c r="D660" s="2375" t="s">
        <v>10747</v>
      </c>
      <c r="E660" s="2236" t="str">
        <f>IF($C660="SINAPI",VLOOKUP($B660,'24.08_ND'!$A:$D,3,0),IF($C660="PRÓPRIA",VLOOKUP($B660,'03-CP'!$C:$H,3,0)))</f>
        <v>M2</v>
      </c>
      <c r="F660" s="2230">
        <v>25.51</v>
      </c>
      <c r="G660" s="2238">
        <v>6.71</v>
      </c>
      <c r="H660" s="2302">
        <f>TRUNC((G660*F660),2)</f>
        <v>171.17</v>
      </c>
      <c r="I660" s="2286"/>
      <c r="J660" s="2237"/>
      <c r="K660" s="2411"/>
      <c r="L660" s="2533"/>
      <c r="M660" s="2238"/>
      <c r="N660" s="2239"/>
      <c r="O660" s="2498">
        <f>H660-L660</f>
        <v>171.17</v>
      </c>
      <c r="P660" s="2295">
        <f>O660/H660</f>
        <v>1</v>
      </c>
    </row>
    <row r="661" spans="1:16" ht="30">
      <c r="A661" s="2269" t="s">
        <v>13318</v>
      </c>
      <c r="B661" s="2234">
        <f>VLOOKUP($A661,'12 - QT_SUN'!$A:$F,2,0)</f>
        <v>96622</v>
      </c>
      <c r="C661" s="2234" t="str">
        <f>VLOOKUP($A661,'12 - QT_SUN'!$A:$F,3,0)</f>
        <v>SINAPI</v>
      </c>
      <c r="D661" s="2375" t="s">
        <v>7168</v>
      </c>
      <c r="E661" s="2236" t="str">
        <f>IF($C661="SINAPI",VLOOKUP($B661,'24.08_ND'!$A:$D,3,0),IF($C661="PRÓPRIA",VLOOKUP($B661,'03-CP'!$C:$H,3,0)))</f>
        <v>M3</v>
      </c>
      <c r="F661" s="2230">
        <v>1.28</v>
      </c>
      <c r="G661" s="2238">
        <v>310.45</v>
      </c>
      <c r="H661" s="2302">
        <f>TRUNC((G661*F661),2)</f>
        <v>397.37</v>
      </c>
      <c r="I661" s="2286"/>
      <c r="J661" s="2237"/>
      <c r="K661" s="2411"/>
      <c r="L661" s="2533"/>
      <c r="M661" s="2238"/>
      <c r="N661" s="2239"/>
      <c r="O661" s="2498">
        <f>H661-L661</f>
        <v>397.37</v>
      </c>
      <c r="P661" s="2295">
        <f>O661/H661</f>
        <v>1</v>
      </c>
    </row>
    <row r="662" spans="1:16" ht="30">
      <c r="A662" s="2269" t="s">
        <v>13319</v>
      </c>
      <c r="B662" s="2234">
        <f>VLOOKUP($A662,'12 - QT_SUN'!$A:$F,2,0)</f>
        <v>97087</v>
      </c>
      <c r="C662" s="2234" t="str">
        <f>VLOOKUP($A662,'12 - QT_SUN'!$A:$F,3,0)</f>
        <v>SINAPI</v>
      </c>
      <c r="D662" s="2375" t="s">
        <v>7175</v>
      </c>
      <c r="E662" s="2236" t="str">
        <f>IF($C662="SINAPI",VLOOKUP($B662,'24.08_ND'!$A:$D,3,0),IF($C662="PRÓPRIA",VLOOKUP($B662,'03-CP'!$C:$H,3,0)))</f>
        <v>M2</v>
      </c>
      <c r="F662" s="2230">
        <v>28.06</v>
      </c>
      <c r="G662" s="2238">
        <v>3.78</v>
      </c>
      <c r="H662" s="2302">
        <f>TRUNC((G662*F662),2)</f>
        <v>106.06</v>
      </c>
      <c r="I662" s="2286"/>
      <c r="J662" s="2237"/>
      <c r="K662" s="2411"/>
      <c r="L662" s="2533"/>
      <c r="M662" s="2238"/>
      <c r="N662" s="2239"/>
      <c r="O662" s="2498">
        <f>H662-L662</f>
        <v>106.06</v>
      </c>
      <c r="P662" s="2295">
        <f>O662/H662</f>
        <v>1</v>
      </c>
    </row>
    <row r="663" spans="1:16" ht="45">
      <c r="A663" s="2269" t="s">
        <v>12608</v>
      </c>
      <c r="B663" s="2228" t="str">
        <f>VLOOKUP($A663,'12 - QT_SUN'!$A:$F,2,0)</f>
        <v>PS-CP-EST-07</v>
      </c>
      <c r="C663" s="2228" t="str">
        <f>VLOOKUP($A663,'12 - QT_SUN'!$A:$F,3,0)</f>
        <v>PRÓPRIA</v>
      </c>
      <c r="D663" s="2375" t="s">
        <v>14599</v>
      </c>
      <c r="E663" s="2229" t="str">
        <f>IF($C663="SINAPI",VLOOKUP($B663,'24.08_ND'!$A:$D,3,0),IF($C663="PRÓPRIA",VLOOKUP($B663,'03-CP'!$C:$H,3,0)))</f>
        <v>M2</v>
      </c>
      <c r="F663" s="2230">
        <v>25.51</v>
      </c>
      <c r="G663" s="2232">
        <v>16.329999999999998</v>
      </c>
      <c r="H663" s="2302">
        <f>TRUNC((G663*F663),2)</f>
        <v>416.57</v>
      </c>
      <c r="I663" s="2287"/>
      <c r="J663" s="2231"/>
      <c r="K663" s="2412"/>
      <c r="L663" s="2536"/>
      <c r="M663" s="2232"/>
      <c r="N663" s="2557"/>
      <c r="O663" s="2498">
        <f>H663-L663</f>
        <v>416.57</v>
      </c>
      <c r="P663" s="2295">
        <f>O663/H663</f>
        <v>1</v>
      </c>
    </row>
    <row r="664" spans="1:16">
      <c r="A664" s="2341" t="s">
        <v>13320</v>
      </c>
      <c r="B664" s="2246">
        <f>VLOOKUP($A664,'12 - QT_SUN'!$A:$F,2,0)</f>
        <v>0</v>
      </c>
      <c r="C664" s="2246">
        <f>VLOOKUP($A664,'12 - QT_SUN'!$A:$F,3,0)</f>
        <v>0</v>
      </c>
      <c r="D664" s="2379" t="s">
        <v>16381</v>
      </c>
      <c r="E664" s="2247" t="str">
        <f>IFERROR(VLOOKUP($B664,'24.08_ND'!$1:$1048529,3,0),IFERROR(VLOOKUP($B664,'03-CP'!$C$1:$H$6260,3,0),""))</f>
        <v/>
      </c>
      <c r="F664" s="2230">
        <v>0</v>
      </c>
      <c r="G664" s="2249"/>
      <c r="H664" s="2304">
        <f>SUBTOTAL(9,H665:H670)</f>
        <v>13353.73</v>
      </c>
      <c r="I664" s="2289"/>
      <c r="J664" s="2250"/>
      <c r="K664" s="2547"/>
      <c r="L664" s="2538">
        <f>SUBTOTAL(9,L665:L670)</f>
        <v>0</v>
      </c>
      <c r="M664" s="2304">
        <f>SUBTOTAL(9,M665:M670)</f>
        <v>0</v>
      </c>
      <c r="N664" s="2304">
        <f>SUBTOTAL(9,N665:N670)</f>
        <v>0</v>
      </c>
      <c r="O664" s="2304">
        <f>SUBTOTAL(9,O665:O670)</f>
        <v>13353.73</v>
      </c>
      <c r="P664" s="2297"/>
    </row>
    <row r="665" spans="1:16" ht="30">
      <c r="A665" s="2269" t="s">
        <v>13321</v>
      </c>
      <c r="B665" s="2234">
        <f>VLOOKUP($A665,'12 - QT_SUN'!$A:$F,2,0)</f>
        <v>101616</v>
      </c>
      <c r="C665" s="2234" t="str">
        <f>VLOOKUP($A665,'12 - QT_SUN'!$A:$F,3,0)</f>
        <v>SINAPI</v>
      </c>
      <c r="D665" s="2375" t="s">
        <v>10747</v>
      </c>
      <c r="E665" s="2236" t="str">
        <f>IF($C665="SINAPI",VLOOKUP($B665,'24.08_ND'!$A:$D,3,0),IF($C665="PRÓPRIA",VLOOKUP($B665,'03-CP'!$C:$H,3,0)))</f>
        <v>M2</v>
      </c>
      <c r="F665" s="2230">
        <v>12.69</v>
      </c>
      <c r="G665" s="2238">
        <v>6.71</v>
      </c>
      <c r="H665" s="2302">
        <f t="shared" ref="H665:H670" si="142">TRUNC((G665*F665),2)</f>
        <v>85.14</v>
      </c>
      <c r="I665" s="2286"/>
      <c r="J665" s="2237"/>
      <c r="K665" s="2411"/>
      <c r="L665" s="2533"/>
      <c r="M665" s="2238"/>
      <c r="N665" s="2239"/>
      <c r="O665" s="2498">
        <f t="shared" ref="O665:O670" si="143">H665-L665</f>
        <v>85.14</v>
      </c>
      <c r="P665" s="2295">
        <f t="shared" ref="P665:P671" si="144">O665/H665</f>
        <v>1</v>
      </c>
    </row>
    <row r="666" spans="1:16" ht="30">
      <c r="A666" s="2269" t="s">
        <v>13322</v>
      </c>
      <c r="B666" s="2251">
        <f>VLOOKUP($A666,'12 - QT_SUN'!$A:$F,2,0)</f>
        <v>96624</v>
      </c>
      <c r="C666" s="2234" t="str">
        <f>VLOOKUP($A666,'12 - QT_SUN'!$A:$F,3,0)</f>
        <v>SINAPI</v>
      </c>
      <c r="D666" s="2375" t="s">
        <v>7170</v>
      </c>
      <c r="E666" s="2236" t="str">
        <f>IF($C666="SINAPI",VLOOKUP($B666,'24.08_ND'!$A:$D,3,0),IF($C666="PRÓPRIA",VLOOKUP($B666,'03-CP'!$C:$H,3,0)))</f>
        <v>M3</v>
      </c>
      <c r="F666" s="2230">
        <v>0.63</v>
      </c>
      <c r="G666" s="2238">
        <v>264.37</v>
      </c>
      <c r="H666" s="2302">
        <f t="shared" si="142"/>
        <v>166.55</v>
      </c>
      <c r="I666" s="2286"/>
      <c r="J666" s="2237"/>
      <c r="K666" s="2411"/>
      <c r="L666" s="2533"/>
      <c r="M666" s="2238"/>
      <c r="N666" s="2239"/>
      <c r="O666" s="2498">
        <f t="shared" si="143"/>
        <v>166.55</v>
      </c>
      <c r="P666" s="2295">
        <f t="shared" si="144"/>
        <v>1</v>
      </c>
    </row>
    <row r="667" spans="1:16" ht="30">
      <c r="A667" s="2269" t="s">
        <v>13323</v>
      </c>
      <c r="B667" s="2251">
        <f>VLOOKUP($A667,'12 - QT_SUN'!$A:$F,2,0)</f>
        <v>96536</v>
      </c>
      <c r="C667" s="2234" t="str">
        <f>VLOOKUP($A667,'12 - QT_SUN'!$A:$F,3,0)</f>
        <v>SINAPI</v>
      </c>
      <c r="D667" s="2375" t="s">
        <v>7302</v>
      </c>
      <c r="E667" s="2236" t="str">
        <f>IF($C667="SINAPI",VLOOKUP($B667,'24.08_ND'!$A:$D,3,0),IF($C667="PRÓPRIA",VLOOKUP($B667,'03-CP'!$C:$H,3,0)))</f>
        <v>M2</v>
      </c>
      <c r="F667" s="2230">
        <v>50.75</v>
      </c>
      <c r="G667" s="2238">
        <v>81.7</v>
      </c>
      <c r="H667" s="2302">
        <f t="shared" si="142"/>
        <v>4146.2700000000004</v>
      </c>
      <c r="I667" s="2286"/>
      <c r="J667" s="2237"/>
      <c r="K667" s="2411"/>
      <c r="L667" s="2533"/>
      <c r="M667" s="2238"/>
      <c r="N667" s="2239"/>
      <c r="O667" s="2498">
        <f t="shared" si="143"/>
        <v>4146.2700000000004</v>
      </c>
      <c r="P667" s="2295">
        <f t="shared" si="144"/>
        <v>1</v>
      </c>
    </row>
    <row r="668" spans="1:16" ht="30">
      <c r="A668" s="2269" t="s">
        <v>13324</v>
      </c>
      <c r="B668" s="2251">
        <f>VLOOKUP($A668,'12 - QT_SUN'!$A:$F,2,0)</f>
        <v>104919</v>
      </c>
      <c r="C668" s="2234" t="str">
        <f>VLOOKUP($A668,'12 - QT_SUN'!$A:$F,3,0)</f>
        <v>SINAPI</v>
      </c>
      <c r="D668" s="2375" t="s">
        <v>7516</v>
      </c>
      <c r="E668" s="2236" t="str">
        <f>IF($C668="SINAPI",VLOOKUP($B668,'24.08_ND'!$A:$D,3,0),IF($C668="PRÓPRIA",VLOOKUP($B668,'03-CP'!$C:$H,3,0)))</f>
        <v>KG</v>
      </c>
      <c r="F668" s="2230">
        <v>167.32</v>
      </c>
      <c r="G668" s="2238">
        <v>15.88</v>
      </c>
      <c r="H668" s="2302">
        <f t="shared" si="142"/>
        <v>2657.04</v>
      </c>
      <c r="I668" s="2286"/>
      <c r="J668" s="2237"/>
      <c r="K668" s="2411"/>
      <c r="L668" s="2533"/>
      <c r="M668" s="2238"/>
      <c r="N668" s="2239"/>
      <c r="O668" s="2498">
        <f t="shared" si="143"/>
        <v>2657.04</v>
      </c>
      <c r="P668" s="2295">
        <f t="shared" si="144"/>
        <v>1</v>
      </c>
    </row>
    <row r="669" spans="1:16" ht="30">
      <c r="A669" s="2269" t="s">
        <v>13325</v>
      </c>
      <c r="B669" s="2251">
        <f>VLOOKUP($A669,'12 - QT_SUN'!$A:$F,2,0)</f>
        <v>104916</v>
      </c>
      <c r="C669" s="2234" t="str">
        <f>VLOOKUP($A669,'12 - QT_SUN'!$A:$F,3,0)</f>
        <v>SINAPI</v>
      </c>
      <c r="D669" s="2375" t="s">
        <v>7596</v>
      </c>
      <c r="E669" s="2236" t="str">
        <f>IF($C669="SINAPI",VLOOKUP($B669,'24.08_ND'!$A:$D,3,0),IF($C669="PRÓPRIA",VLOOKUP($B669,'03-CP'!$C:$H,3,0)))</f>
        <v>KG</v>
      </c>
      <c r="F669" s="2230">
        <v>64.31</v>
      </c>
      <c r="G669" s="2238">
        <v>19.850000000000001</v>
      </c>
      <c r="H669" s="2302">
        <f t="shared" si="142"/>
        <v>1276.55</v>
      </c>
      <c r="I669" s="2286"/>
      <c r="J669" s="2237"/>
      <c r="K669" s="2411"/>
      <c r="L669" s="2533"/>
      <c r="M669" s="2238"/>
      <c r="N669" s="2239"/>
      <c r="O669" s="2498">
        <f t="shared" si="143"/>
        <v>1276.55</v>
      </c>
      <c r="P669" s="2295">
        <f t="shared" si="144"/>
        <v>1</v>
      </c>
    </row>
    <row r="670" spans="1:16" ht="30">
      <c r="A670" s="2269" t="s">
        <v>13326</v>
      </c>
      <c r="B670" s="2228" t="str">
        <f>VLOOKUP($A670,'12 - QT_SUN'!$A:$F,2,0)</f>
        <v>PS-CP-EST-03</v>
      </c>
      <c r="C670" s="2228" t="str">
        <f>VLOOKUP($A670,'12 - QT_SUN'!$A:$F,3,0)</f>
        <v>PRÓPRIA</v>
      </c>
      <c r="D670" s="2375" t="s">
        <v>14591</v>
      </c>
      <c r="E670" s="2229" t="str">
        <f>IF($C670="SINAPI",VLOOKUP($B670,'24.08_ND'!$A:$D,3,0),IF($C670="PRÓPRIA",VLOOKUP($B670,'03-CP'!$C:$H,3,0)))</f>
        <v>M3</v>
      </c>
      <c r="F670" s="2230">
        <v>5.08</v>
      </c>
      <c r="G670" s="2232">
        <v>988.62</v>
      </c>
      <c r="H670" s="2302">
        <f t="shared" si="142"/>
        <v>5022.18</v>
      </c>
      <c r="I670" s="2287"/>
      <c r="J670" s="2231"/>
      <c r="K670" s="2412"/>
      <c r="L670" s="2536"/>
      <c r="M670" s="2232"/>
      <c r="N670" s="2557"/>
      <c r="O670" s="2498">
        <f t="shared" si="143"/>
        <v>5022.18</v>
      </c>
      <c r="P670" s="2295">
        <f t="shared" si="144"/>
        <v>1</v>
      </c>
    </row>
    <row r="671" spans="1:16">
      <c r="A671" s="2341" t="s">
        <v>13327</v>
      </c>
      <c r="B671" s="2246">
        <f>VLOOKUP($A671,'12 - QT_SUN'!$A:$F,2,0)</f>
        <v>0</v>
      </c>
      <c r="C671" s="2246">
        <f>VLOOKUP($A671,'12 - QT_SUN'!$A:$F,3,0)</f>
        <v>0</v>
      </c>
      <c r="D671" s="2379" t="s">
        <v>16370</v>
      </c>
      <c r="E671" s="2247" t="str">
        <f>IFERROR(VLOOKUP($B671,'24.08_ND'!$1:$1048529,3,0),IFERROR(VLOOKUP($B671,'03-CP'!$C$1:$H$6260,3,0),""))</f>
        <v/>
      </c>
      <c r="F671" s="2230">
        <v>0</v>
      </c>
      <c r="G671" s="2249"/>
      <c r="H671" s="2304">
        <f>SUBTOTAL(9,H672:H675)</f>
        <v>4274.43</v>
      </c>
      <c r="I671" s="2289"/>
      <c r="J671" s="2250"/>
      <c r="K671" s="2547"/>
      <c r="L671" s="2538">
        <f>SUBTOTAL(9,L672:L675)</f>
        <v>0</v>
      </c>
      <c r="M671" s="2304">
        <f>SUBTOTAL(9,M672:M675)</f>
        <v>0</v>
      </c>
      <c r="N671" s="2304">
        <f>SUBTOTAL(9,N672:N675)</f>
        <v>0</v>
      </c>
      <c r="O671" s="2304">
        <f>SUBTOTAL(9,O672:O675)</f>
        <v>4274.43</v>
      </c>
      <c r="P671" s="2297">
        <f t="shared" si="144"/>
        <v>1</v>
      </c>
    </row>
    <row r="672" spans="1:16" ht="45">
      <c r="A672" s="2269" t="s">
        <v>13328</v>
      </c>
      <c r="B672" s="2234">
        <f>VLOOKUP($A672,'12 - QT_SUN'!$A:$F,2,0)</f>
        <v>92431</v>
      </c>
      <c r="C672" s="2234" t="str">
        <f>VLOOKUP($A672,'12 - QT_SUN'!$A:$F,3,0)</f>
        <v>SINAPI</v>
      </c>
      <c r="D672" s="2375" t="s">
        <v>7221</v>
      </c>
      <c r="E672" s="2236" t="str">
        <f>IF($C672="SINAPI",VLOOKUP($B672,'24.08_ND'!$A:$D,3,0),IF($C672="PRÓPRIA",VLOOKUP($B672,'03-CP'!$C:$H,3,0)))</f>
        <v>M2</v>
      </c>
      <c r="F672" s="2230">
        <v>20.55</v>
      </c>
      <c r="G672" s="2238">
        <v>83.57</v>
      </c>
      <c r="H672" s="2302">
        <f>TRUNC((G672*F672),2)</f>
        <v>1717.36</v>
      </c>
      <c r="I672" s="2286"/>
      <c r="J672" s="2237"/>
      <c r="K672" s="2411"/>
      <c r="L672" s="2533"/>
      <c r="M672" s="2238"/>
      <c r="N672" s="2239"/>
      <c r="O672" s="2498">
        <f>H672-L672</f>
        <v>1717.36</v>
      </c>
      <c r="P672" s="2295">
        <f t="shared" ref="P672:P681" si="145">O672/H672</f>
        <v>1</v>
      </c>
    </row>
    <row r="673" spans="1:16" ht="30">
      <c r="A673" s="2269" t="s">
        <v>13329</v>
      </c>
      <c r="B673" s="2251">
        <f>VLOOKUP($A673,'12 - QT_SUN'!$A:$F,2,0)</f>
        <v>92762</v>
      </c>
      <c r="C673" s="2234" t="str">
        <f>VLOOKUP($A673,'12 - QT_SUN'!$A:$F,3,0)</f>
        <v>SINAPI</v>
      </c>
      <c r="D673" s="2375" t="s">
        <v>7431</v>
      </c>
      <c r="E673" s="2236" t="str">
        <f>IF($C673="SINAPI",VLOOKUP($B673,'24.08_ND'!$A:$D,3,0),IF($C673="PRÓPRIA",VLOOKUP($B673,'03-CP'!$C:$H,3,0)))</f>
        <v>KG</v>
      </c>
      <c r="F673" s="2230">
        <v>53.8</v>
      </c>
      <c r="G673" s="2238">
        <v>14.11</v>
      </c>
      <c r="H673" s="2302">
        <f>TRUNC((G673*F673),2)</f>
        <v>759.11</v>
      </c>
      <c r="I673" s="2286"/>
      <c r="J673" s="2237"/>
      <c r="K673" s="2411"/>
      <c r="L673" s="2533"/>
      <c r="M673" s="2238"/>
      <c r="N673" s="2239"/>
      <c r="O673" s="2498">
        <f>H673-L673</f>
        <v>759.11</v>
      </c>
      <c r="P673" s="2295">
        <f t="shared" si="145"/>
        <v>1</v>
      </c>
    </row>
    <row r="674" spans="1:16" ht="45">
      <c r="A674" s="2269" t="s">
        <v>13330</v>
      </c>
      <c r="B674" s="2251">
        <f>VLOOKUP($A674,'12 - QT_SUN'!$A:$F,2,0)</f>
        <v>92915</v>
      </c>
      <c r="C674" s="2234" t="str">
        <f>VLOOKUP($A674,'12 - QT_SUN'!$A:$F,3,0)</f>
        <v>SINAPI</v>
      </c>
      <c r="D674" s="2375" t="s">
        <v>7467</v>
      </c>
      <c r="E674" s="2236" t="str">
        <f>IF($C674="SINAPI",VLOOKUP($B674,'24.08_ND'!$A:$D,3,0),IF($C674="PRÓPRIA",VLOOKUP($B674,'03-CP'!$C:$H,3,0)))</f>
        <v>KG</v>
      </c>
      <c r="F674" s="2230">
        <v>22.75</v>
      </c>
      <c r="G674" s="2238">
        <v>19.93</v>
      </c>
      <c r="H674" s="2302">
        <f>TRUNC((G674*F674),2)</f>
        <v>453.4</v>
      </c>
      <c r="I674" s="2286"/>
      <c r="J674" s="2237"/>
      <c r="K674" s="2411"/>
      <c r="L674" s="2533"/>
      <c r="M674" s="2238"/>
      <c r="N674" s="2239"/>
      <c r="O674" s="2498">
        <f>H674-L674</f>
        <v>453.4</v>
      </c>
      <c r="P674" s="2295">
        <f t="shared" si="145"/>
        <v>1</v>
      </c>
    </row>
    <row r="675" spans="1:16" ht="30">
      <c r="A675" s="2269" t="s">
        <v>13331</v>
      </c>
      <c r="B675" s="2251">
        <f>VLOOKUP($A675,'12 - QT_SUN'!$A:$F,2,0)</f>
        <v>103672</v>
      </c>
      <c r="C675" s="2234" t="str">
        <f>VLOOKUP($A675,'12 - QT_SUN'!$A:$F,3,0)</f>
        <v>SINAPI</v>
      </c>
      <c r="D675" s="2375" t="s">
        <v>7579</v>
      </c>
      <c r="E675" s="2236" t="str">
        <f>IF($C675="SINAPI",VLOOKUP($B675,'24.08_ND'!$A:$D,3,0),IF($C675="PRÓPRIA",VLOOKUP($B675,'03-CP'!$C:$H,3,0)))</f>
        <v>M3</v>
      </c>
      <c r="F675" s="2230">
        <v>1.36</v>
      </c>
      <c r="G675" s="2238">
        <v>988.65</v>
      </c>
      <c r="H675" s="2302">
        <f>TRUNC((G675*F675),2)</f>
        <v>1344.56</v>
      </c>
      <c r="I675" s="2286"/>
      <c r="J675" s="2237"/>
      <c r="K675" s="2411"/>
      <c r="L675" s="2533"/>
      <c r="M675" s="2238"/>
      <c r="N675" s="2239"/>
      <c r="O675" s="2498">
        <f>H675-L675</f>
        <v>1344.56</v>
      </c>
      <c r="P675" s="2295">
        <f t="shared" si="145"/>
        <v>1</v>
      </c>
    </row>
    <row r="676" spans="1:16">
      <c r="A676" s="2341" t="s">
        <v>13332</v>
      </c>
      <c r="B676" s="2246">
        <f>VLOOKUP($A676,'12 - QT_SUN'!$A:$F,2,0)</f>
        <v>0</v>
      </c>
      <c r="C676" s="2246">
        <f>VLOOKUP($A676,'12 - QT_SUN'!$A:$F,3,0)</f>
        <v>0</v>
      </c>
      <c r="D676" s="2379" t="s">
        <v>16382</v>
      </c>
      <c r="E676" s="2247" t="str">
        <f>IFERROR(VLOOKUP($B676,'24.08_ND'!$1:$1048529,3,0),IFERROR(VLOOKUP($B676,'03-CP'!$C$1:$H$6260,3,0),""))</f>
        <v/>
      </c>
      <c r="F676" s="2230">
        <v>0</v>
      </c>
      <c r="G676" s="2249"/>
      <c r="H676" s="2304">
        <f>SUBTOTAL(9,H677:H681)</f>
        <v>37241.039999999994</v>
      </c>
      <c r="I676" s="2289"/>
      <c r="J676" s="2250"/>
      <c r="K676" s="2547"/>
      <c r="L676" s="2538">
        <f>SUBTOTAL(9,L677:L681)</f>
        <v>0</v>
      </c>
      <c r="M676" s="2304">
        <f>SUBTOTAL(9,M677:M681)</f>
        <v>0</v>
      </c>
      <c r="N676" s="2304">
        <f>SUBTOTAL(9,N677:N681)</f>
        <v>0</v>
      </c>
      <c r="O676" s="2304">
        <f>SUBTOTAL(9,O677:O681)</f>
        <v>37241.039999999994</v>
      </c>
      <c r="P676" s="2297">
        <f t="shared" si="145"/>
        <v>1</v>
      </c>
    </row>
    <row r="677" spans="1:16" ht="30">
      <c r="A677" s="2269" t="s">
        <v>13333</v>
      </c>
      <c r="B677" s="2234">
        <f>VLOOKUP($A677,'12 - QT_SUN'!$A:$F,2,0)</f>
        <v>101616</v>
      </c>
      <c r="C677" s="2234" t="str">
        <f>VLOOKUP($A677,'12 - QT_SUN'!$A:$F,3,0)</f>
        <v>SINAPI</v>
      </c>
      <c r="D677" s="2375" t="s">
        <v>10747</v>
      </c>
      <c r="E677" s="2236" t="str">
        <f>IF($C677="SINAPI",VLOOKUP($B677,'24.08_ND'!$A:$D,3,0),IF($C677="PRÓPRIA",VLOOKUP($B677,'03-CP'!$C:$H,3,0)))</f>
        <v>M2</v>
      </c>
      <c r="F677" s="2230">
        <v>82.71</v>
      </c>
      <c r="G677" s="2238">
        <v>6.71</v>
      </c>
      <c r="H677" s="2302">
        <f>TRUNC((G677*F677),2)</f>
        <v>554.98</v>
      </c>
      <c r="I677" s="2286"/>
      <c r="J677" s="2237"/>
      <c r="K677" s="2411"/>
      <c r="L677" s="2533"/>
      <c r="M677" s="2238"/>
      <c r="N677" s="2239"/>
      <c r="O677" s="2498">
        <f>H677-L677</f>
        <v>554.98</v>
      </c>
      <c r="P677" s="2295">
        <f t="shared" si="145"/>
        <v>1</v>
      </c>
    </row>
    <row r="678" spans="1:16" ht="30">
      <c r="A678" s="2269" t="s">
        <v>13334</v>
      </c>
      <c r="B678" s="2251">
        <f>VLOOKUP($A678,'12 - QT_SUN'!$A:$F,2,0)</f>
        <v>96624</v>
      </c>
      <c r="C678" s="2234" t="str">
        <f>VLOOKUP($A678,'12 - QT_SUN'!$A:$F,3,0)</f>
        <v>SINAPI</v>
      </c>
      <c r="D678" s="2375" t="s">
        <v>7170</v>
      </c>
      <c r="E678" s="2236" t="str">
        <f>IF($C678="SINAPI",VLOOKUP($B678,'24.08_ND'!$A:$D,3,0),IF($C678="PRÓPRIA",VLOOKUP($B678,'03-CP'!$C:$H,3,0)))</f>
        <v>M3</v>
      </c>
      <c r="F678" s="2230">
        <v>4.1399999999999997</v>
      </c>
      <c r="G678" s="2238">
        <v>264.37</v>
      </c>
      <c r="H678" s="2302">
        <f>TRUNC((G678*F678),2)</f>
        <v>1094.49</v>
      </c>
      <c r="I678" s="2286"/>
      <c r="J678" s="2237"/>
      <c r="K678" s="2411"/>
      <c r="L678" s="2533"/>
      <c r="M678" s="2238"/>
      <c r="N678" s="2239"/>
      <c r="O678" s="2498">
        <f>H678-L678</f>
        <v>1094.49</v>
      </c>
      <c r="P678" s="2295">
        <f t="shared" si="145"/>
        <v>1</v>
      </c>
    </row>
    <row r="679" spans="1:16" ht="45">
      <c r="A679" s="2269" t="s">
        <v>13335</v>
      </c>
      <c r="B679" s="2251">
        <f>VLOOKUP($A679,'12 - QT_SUN'!$A:$F,2,0)</f>
        <v>102012</v>
      </c>
      <c r="C679" s="2234" t="str">
        <f>VLOOKUP($A679,'12 - QT_SUN'!$A:$F,3,0)</f>
        <v>SINAPI</v>
      </c>
      <c r="D679" s="2375" t="s">
        <v>7350</v>
      </c>
      <c r="E679" s="2236" t="str">
        <f>IF($C679="SINAPI",VLOOKUP($B679,'24.08_ND'!$A:$D,3,0),IF($C679="PRÓPRIA",VLOOKUP($B679,'03-CP'!$C:$H,3,0)))</f>
        <v>M2</v>
      </c>
      <c r="F679" s="2230">
        <v>44.45</v>
      </c>
      <c r="G679" s="2238">
        <v>288.88</v>
      </c>
      <c r="H679" s="2302">
        <f>TRUNC((G679*F679),2)</f>
        <v>12840.71</v>
      </c>
      <c r="I679" s="2286"/>
      <c r="J679" s="2237"/>
      <c r="K679" s="2411"/>
      <c r="L679" s="2533"/>
      <c r="M679" s="2238"/>
      <c r="N679" s="2239"/>
      <c r="O679" s="2498">
        <f>H679-L679</f>
        <v>12840.71</v>
      </c>
      <c r="P679" s="2295">
        <f t="shared" si="145"/>
        <v>1</v>
      </c>
    </row>
    <row r="680" spans="1:16" ht="30">
      <c r="A680" s="2269" t="s">
        <v>13336</v>
      </c>
      <c r="B680" s="2251">
        <f>VLOOKUP($A680,'12 - QT_SUN'!$A:$F,2,0)</f>
        <v>103686</v>
      </c>
      <c r="C680" s="2234" t="str">
        <f>VLOOKUP($A680,'12 - QT_SUN'!$A:$F,3,0)</f>
        <v>SINAPI</v>
      </c>
      <c r="D680" s="2375" t="s">
        <v>7593</v>
      </c>
      <c r="E680" s="2236" t="str">
        <f>IF($C680="SINAPI",VLOOKUP($B680,'24.08_ND'!$A:$D,3,0),IF($C680="PRÓPRIA",VLOOKUP($B680,'03-CP'!$C:$H,3,0)))</f>
        <v>M3</v>
      </c>
      <c r="F680" s="2230">
        <v>14.5</v>
      </c>
      <c r="G680" s="2238">
        <v>1057.95</v>
      </c>
      <c r="H680" s="2302">
        <f>TRUNC((G680*F680),2)</f>
        <v>15340.27</v>
      </c>
      <c r="I680" s="2286"/>
      <c r="J680" s="2237"/>
      <c r="K680" s="2411"/>
      <c r="L680" s="2533"/>
      <c r="M680" s="2238"/>
      <c r="N680" s="2239"/>
      <c r="O680" s="2498">
        <f>H680-L680</f>
        <v>15340.27</v>
      </c>
      <c r="P680" s="2295">
        <f t="shared" si="145"/>
        <v>1</v>
      </c>
    </row>
    <row r="681" spans="1:16" ht="30">
      <c r="A681" s="2269" t="s">
        <v>13337</v>
      </c>
      <c r="B681" s="2251">
        <f>VLOOKUP($A681,'12 - QT_SUN'!$A:$F,2,0)</f>
        <v>95943</v>
      </c>
      <c r="C681" s="2234" t="str">
        <f>VLOOKUP($A681,'12 - QT_SUN'!$A:$F,3,0)</f>
        <v>SINAPI</v>
      </c>
      <c r="D681" s="2375" t="s">
        <v>7487</v>
      </c>
      <c r="E681" s="2236" t="str">
        <f>IF($C681="SINAPI",VLOOKUP($B681,'24.08_ND'!$A:$D,3,0),IF($C681="PRÓPRIA",VLOOKUP($B681,'03-CP'!$C:$H,3,0)))</f>
        <v>KG</v>
      </c>
      <c r="F681" s="2230">
        <v>290.27</v>
      </c>
      <c r="G681" s="2238">
        <v>25.53</v>
      </c>
      <c r="H681" s="2302">
        <f>TRUNC((G681*F681),2)</f>
        <v>7410.59</v>
      </c>
      <c r="I681" s="2286"/>
      <c r="J681" s="2237"/>
      <c r="K681" s="2411"/>
      <c r="L681" s="2533"/>
      <c r="M681" s="2238"/>
      <c r="N681" s="2239"/>
      <c r="O681" s="2498">
        <f>H681-L681</f>
        <v>7410.59</v>
      </c>
      <c r="P681" s="2295">
        <f t="shared" si="145"/>
        <v>1</v>
      </c>
    </row>
    <row r="682" spans="1:16">
      <c r="A682" s="2341" t="s">
        <v>13338</v>
      </c>
      <c r="B682" s="2246">
        <f>VLOOKUP($A682,'12 - QT_SUN'!$A:$F,2,0)</f>
        <v>0</v>
      </c>
      <c r="C682" s="2246">
        <f>VLOOKUP($A682,'12 - QT_SUN'!$A:$F,3,0)</f>
        <v>0</v>
      </c>
      <c r="D682" s="2379" t="s">
        <v>16383</v>
      </c>
      <c r="E682" s="2247" t="str">
        <f>IFERROR(VLOOKUP($B682,'24.08_ND'!$1:$1048529,3,0),IFERROR(VLOOKUP($B682,'03-CP'!$C$1:$H$6260,3,0),""))</f>
        <v/>
      </c>
      <c r="F682" s="2230">
        <v>0</v>
      </c>
      <c r="G682" s="2249"/>
      <c r="H682" s="2304">
        <f>SUBTOTAL(9,H683:H689)</f>
        <v>14045.46</v>
      </c>
      <c r="I682" s="2289"/>
      <c r="J682" s="2250"/>
      <c r="K682" s="2547"/>
      <c r="L682" s="2538">
        <f>SUBTOTAL(9,L683:L689)</f>
        <v>0</v>
      </c>
      <c r="M682" s="2304">
        <f>SUBTOTAL(9,M683:M689)</f>
        <v>0</v>
      </c>
      <c r="N682" s="2304">
        <f>SUBTOTAL(9,N683:N689)</f>
        <v>0</v>
      </c>
      <c r="O682" s="2304">
        <f>SUBTOTAL(9,O683:O689)</f>
        <v>14045.46</v>
      </c>
      <c r="P682" s="2297"/>
    </row>
    <row r="683" spans="1:16" ht="45">
      <c r="A683" s="2268" t="s">
        <v>13339</v>
      </c>
      <c r="B683" s="2228" t="str">
        <f>VLOOKUP($A683,'12 - QT_SUN'!$A:$F,2,0)</f>
        <v>PS-CP-EST-02</v>
      </c>
      <c r="C683" s="2228" t="str">
        <f>VLOOKUP($A683,'12 - QT_SUN'!$A:$F,3,0)</f>
        <v>PRÓPRIA</v>
      </c>
      <c r="D683" s="2375" t="s">
        <v>14589</v>
      </c>
      <c r="E683" s="2229" t="str">
        <f>IF($C683="SINAPI",VLOOKUP($B683,'24.08_ND'!$A:$D,3,0),IF($C683="PRÓPRIA",VLOOKUP($B683,'03-CP'!$C:$H,3,0)))</f>
        <v>M</v>
      </c>
      <c r="F683" s="2230">
        <v>60</v>
      </c>
      <c r="G683" s="2232">
        <v>34.92</v>
      </c>
      <c r="H683" s="2302">
        <f t="shared" ref="H683:H689" si="146">TRUNC((G683*F683),2)</f>
        <v>2095.1999999999998</v>
      </c>
      <c r="I683" s="2287"/>
      <c r="J683" s="2231"/>
      <c r="K683" s="2412"/>
      <c r="L683" s="2536"/>
      <c r="M683" s="2232"/>
      <c r="N683" s="2557"/>
      <c r="O683" s="2498">
        <f t="shared" ref="O683:O689" si="147">H683-L683</f>
        <v>2095.1999999999998</v>
      </c>
      <c r="P683" s="2295">
        <f t="shared" ref="P683:P689" si="148">O683/H683</f>
        <v>1</v>
      </c>
    </row>
    <row r="684" spans="1:16" ht="30">
      <c r="A684" s="2268" t="s">
        <v>13340</v>
      </c>
      <c r="B684" s="2234">
        <f>VLOOKUP($A684,'12 - QT_SUN'!$A:$F,2,0)</f>
        <v>101616</v>
      </c>
      <c r="C684" s="2234" t="str">
        <f>VLOOKUP($A684,'12 - QT_SUN'!$A:$F,3,0)</f>
        <v>SINAPI</v>
      </c>
      <c r="D684" s="2375" t="s">
        <v>10747</v>
      </c>
      <c r="E684" s="2236" t="str">
        <f>IF($C684="SINAPI",VLOOKUP($B684,'24.08_ND'!$A:$D,3,0),IF($C684="PRÓPRIA",VLOOKUP($B684,'03-CP'!$C:$H,3,0)))</f>
        <v>M2</v>
      </c>
      <c r="F684" s="2230">
        <v>2.5099999999999998</v>
      </c>
      <c r="G684" s="2238">
        <v>6.71</v>
      </c>
      <c r="H684" s="2302">
        <f t="shared" si="146"/>
        <v>16.84</v>
      </c>
      <c r="I684" s="2286"/>
      <c r="J684" s="2237"/>
      <c r="K684" s="2411"/>
      <c r="L684" s="2533"/>
      <c r="M684" s="2238"/>
      <c r="N684" s="2239"/>
      <c r="O684" s="2498">
        <f t="shared" si="147"/>
        <v>16.84</v>
      </c>
      <c r="P684" s="2295">
        <f t="shared" si="148"/>
        <v>1</v>
      </c>
    </row>
    <row r="685" spans="1:16">
      <c r="A685" s="2268" t="s">
        <v>13341</v>
      </c>
      <c r="B685" s="2234">
        <f>VLOOKUP($A685,'12 - QT_SUN'!$A:$F,2,0)</f>
        <v>95577</v>
      </c>
      <c r="C685" s="2234" t="str">
        <f>VLOOKUP($A685,'12 - QT_SUN'!$A:$F,3,0)</f>
        <v>SINAPI</v>
      </c>
      <c r="D685" s="2375" t="s">
        <v>7477</v>
      </c>
      <c r="E685" s="2236" t="str">
        <f>IF($C685="SINAPI",VLOOKUP($B685,'24.08_ND'!$A:$D,3,0),IF($C685="PRÓPRIA",VLOOKUP($B685,'03-CP'!$C:$H,3,0)))</f>
        <v>KG</v>
      </c>
      <c r="F685" s="2230">
        <v>250.5</v>
      </c>
      <c r="G685" s="2238">
        <v>13.71</v>
      </c>
      <c r="H685" s="2302">
        <f t="shared" si="146"/>
        <v>3434.35</v>
      </c>
      <c r="I685" s="2286"/>
      <c r="J685" s="2237"/>
      <c r="K685" s="2411"/>
      <c r="L685" s="2533"/>
      <c r="M685" s="2238"/>
      <c r="N685" s="2239"/>
      <c r="O685" s="2498">
        <f t="shared" si="147"/>
        <v>3434.35</v>
      </c>
      <c r="P685" s="2295">
        <f t="shared" si="148"/>
        <v>1</v>
      </c>
    </row>
    <row r="686" spans="1:16" ht="30">
      <c r="A686" s="2268" t="s">
        <v>13342</v>
      </c>
      <c r="B686" s="2234">
        <f>VLOOKUP($A686,'12 - QT_SUN'!$A:$F,2,0)</f>
        <v>95584</v>
      </c>
      <c r="C686" s="2234" t="str">
        <f>VLOOKUP($A686,'12 - QT_SUN'!$A:$F,3,0)</f>
        <v>SINAPI</v>
      </c>
      <c r="D686" s="2375" t="s">
        <v>7484</v>
      </c>
      <c r="E686" s="2236" t="str">
        <f>IF($C686="SINAPI",VLOOKUP($B686,'24.08_ND'!$A:$D,3,0),IF($C686="PRÓPRIA",VLOOKUP($B686,'03-CP'!$C:$H,3,0)))</f>
        <v>KG</v>
      </c>
      <c r="F686" s="2230">
        <v>45.28</v>
      </c>
      <c r="G686" s="2238">
        <v>17.22</v>
      </c>
      <c r="H686" s="2302">
        <f t="shared" si="146"/>
        <v>779.72</v>
      </c>
      <c r="I686" s="2286"/>
      <c r="J686" s="2237"/>
      <c r="K686" s="2411"/>
      <c r="L686" s="2533"/>
      <c r="M686" s="2238"/>
      <c r="N686" s="2239"/>
      <c r="O686" s="2498">
        <f t="shared" si="147"/>
        <v>779.72</v>
      </c>
      <c r="P686" s="2295">
        <f t="shared" si="148"/>
        <v>1</v>
      </c>
    </row>
    <row r="687" spans="1:16" ht="30">
      <c r="A687" s="2268" t="s">
        <v>13343</v>
      </c>
      <c r="B687" s="2228" t="str">
        <f>VLOOKUP($A687,'12 - QT_SUN'!$A:$F,2,0)</f>
        <v>PS-CP-EST-03</v>
      </c>
      <c r="C687" s="2228" t="str">
        <f>VLOOKUP($A687,'12 - QT_SUN'!$A:$F,3,0)</f>
        <v>PRÓPRIA</v>
      </c>
      <c r="D687" s="2375" t="s">
        <v>14591</v>
      </c>
      <c r="E687" s="2229" t="str">
        <f>IF($C687="SINAPI",VLOOKUP($B687,'24.08_ND'!$A:$D,3,0),IF($C687="PRÓPRIA",VLOOKUP($B687,'03-CP'!$C:$H,3,0)))</f>
        <v>M3</v>
      </c>
      <c r="F687" s="2230">
        <v>7.54</v>
      </c>
      <c r="G687" s="2232">
        <v>988.62</v>
      </c>
      <c r="H687" s="2302">
        <f t="shared" si="146"/>
        <v>7454.19</v>
      </c>
      <c r="I687" s="2287"/>
      <c r="J687" s="2231"/>
      <c r="K687" s="2412"/>
      <c r="L687" s="2536"/>
      <c r="M687" s="2232"/>
      <c r="N687" s="2557"/>
      <c r="O687" s="2498">
        <f t="shared" si="147"/>
        <v>7454.19</v>
      </c>
      <c r="P687" s="2295">
        <f t="shared" si="148"/>
        <v>1</v>
      </c>
    </row>
    <row r="688" spans="1:16" ht="45">
      <c r="A688" s="2269" t="s">
        <v>13344</v>
      </c>
      <c r="B688" s="2234">
        <f>VLOOKUP($A688,'12 - QT_SUN'!$A:$F,2,0)</f>
        <v>100978</v>
      </c>
      <c r="C688" s="2234" t="str">
        <f>VLOOKUP($A688,'12 - QT_SUN'!$A:$F,3,0)</f>
        <v>SINAPI</v>
      </c>
      <c r="D688" s="2375" t="s">
        <v>11981</v>
      </c>
      <c r="E688" s="2236" t="str">
        <f>IF($C688="SINAPI",VLOOKUP($B688,'24.08_ND'!$A:$D,3,0),IF($C688="PRÓPRIA",VLOOKUP($B688,'03-CP'!$C:$H,3,0)))</f>
        <v>M3</v>
      </c>
      <c r="F688" s="2230">
        <v>10.555999999999999</v>
      </c>
      <c r="G688" s="2238">
        <v>7.88</v>
      </c>
      <c r="H688" s="2302">
        <f t="shared" si="146"/>
        <v>83.18</v>
      </c>
      <c r="I688" s="2286"/>
      <c r="J688" s="2237"/>
      <c r="K688" s="2411"/>
      <c r="L688" s="2533"/>
      <c r="M688" s="2238"/>
      <c r="N688" s="2239"/>
      <c r="O688" s="2498">
        <f t="shared" si="147"/>
        <v>83.18</v>
      </c>
      <c r="P688" s="2295">
        <f t="shared" si="148"/>
        <v>1</v>
      </c>
    </row>
    <row r="689" spans="1:16" ht="30">
      <c r="A689" s="2269" t="s">
        <v>13345</v>
      </c>
      <c r="B689" s="2234">
        <f>VLOOKUP($A689,'12 - QT_SUN'!$A:$F,2,0)</f>
        <v>100938</v>
      </c>
      <c r="C689" s="2234" t="str">
        <f>VLOOKUP($A689,'12 - QT_SUN'!$A:$F,3,0)</f>
        <v>SINAPI</v>
      </c>
      <c r="D689" s="2375" t="s">
        <v>11938</v>
      </c>
      <c r="E689" s="2236" t="str">
        <f>IF($C689="SINAPI",VLOOKUP($B689,'24.08_ND'!$A:$D,3,0),IF($C689="PRÓPRIA",VLOOKUP($B689,'03-CP'!$C:$H,3,0)))</f>
        <v>M3XKM</v>
      </c>
      <c r="F689" s="2230">
        <v>21.111999999999998</v>
      </c>
      <c r="G689" s="2238">
        <v>8.6199999999999992</v>
      </c>
      <c r="H689" s="2302">
        <f t="shared" si="146"/>
        <v>181.98</v>
      </c>
      <c r="I689" s="2286"/>
      <c r="J689" s="2237"/>
      <c r="K689" s="2411"/>
      <c r="L689" s="2533"/>
      <c r="M689" s="2238"/>
      <c r="N689" s="2239"/>
      <c r="O689" s="2498">
        <f t="shared" si="147"/>
        <v>181.98</v>
      </c>
      <c r="P689" s="2295">
        <f t="shared" si="148"/>
        <v>1</v>
      </c>
    </row>
    <row r="690" spans="1:16">
      <c r="A690" s="2341" t="s">
        <v>13346</v>
      </c>
      <c r="B690" s="2246">
        <f>VLOOKUP($A690,'12 - QT_SUN'!$A:$F,2,0)</f>
        <v>0</v>
      </c>
      <c r="C690" s="2246">
        <f>VLOOKUP($A690,'12 - QT_SUN'!$A:$F,3,0)</f>
        <v>0</v>
      </c>
      <c r="D690" s="2379" t="s">
        <v>16376</v>
      </c>
      <c r="E690" s="2247" t="str">
        <f>IFERROR(VLOOKUP($B690,'24.08_ND'!$1:$1048529,3,0),IFERROR(VLOOKUP($B690,'03-CP'!$C$1:$H$6260,3,0),""))</f>
        <v/>
      </c>
      <c r="F690" s="2230"/>
      <c r="G690" s="2253"/>
      <c r="H690" s="2304">
        <f>SUBTOTAL(9,H691:H698)</f>
        <v>30772.090000000004</v>
      </c>
      <c r="I690" s="2289"/>
      <c r="J690" s="2250"/>
      <c r="K690" s="2547"/>
      <c r="L690" s="2538">
        <f>SUBTOTAL(9,L691:L698)</f>
        <v>0</v>
      </c>
      <c r="M690" s="2304">
        <f>SUBTOTAL(9,M691:M698)</f>
        <v>0</v>
      </c>
      <c r="N690" s="2304">
        <f>SUBTOTAL(9,N691:N698)</f>
        <v>0</v>
      </c>
      <c r="O690" s="2304">
        <f>SUBTOTAL(9,O691:O698)</f>
        <v>30772.090000000004</v>
      </c>
      <c r="P690" s="2297"/>
    </row>
    <row r="691" spans="1:16" ht="30">
      <c r="A691" s="2268" t="s">
        <v>13347</v>
      </c>
      <c r="B691" s="2251">
        <f>VLOOKUP($A691,'12 - QT_SUN'!$A:$F,2,0)</f>
        <v>93358</v>
      </c>
      <c r="C691" s="2234" t="str">
        <f>VLOOKUP($A691,'12 - QT_SUN'!$A:$F,3,0)</f>
        <v>SINAPI</v>
      </c>
      <c r="D691" s="2375" t="s">
        <v>10648</v>
      </c>
      <c r="E691" s="2236" t="str">
        <f>IF($C691="SINAPI",VLOOKUP($B691,'24.08_ND'!$A:$D,3,0),IF($C691="PRÓPRIA",VLOOKUP($B691,'03-CP'!$C:$H,3,0)))</f>
        <v>M3</v>
      </c>
      <c r="F691" s="2230">
        <v>28.8</v>
      </c>
      <c r="G691" s="2238">
        <v>91.52</v>
      </c>
      <c r="H691" s="2302">
        <f t="shared" ref="H691:H698" si="149">TRUNC((G691*F691),2)</f>
        <v>2635.77</v>
      </c>
      <c r="I691" s="2286"/>
      <c r="J691" s="2237"/>
      <c r="K691" s="2411"/>
      <c r="L691" s="2533"/>
      <c r="M691" s="2238"/>
      <c r="N691" s="2239"/>
      <c r="O691" s="2498">
        <f t="shared" ref="O691:O698" si="150">H691-L691</f>
        <v>2635.77</v>
      </c>
      <c r="P691" s="2295">
        <f t="shared" ref="P691:P698" si="151">O691/H691</f>
        <v>1</v>
      </c>
    </row>
    <row r="692" spans="1:16" ht="45">
      <c r="A692" s="2268" t="s">
        <v>13348</v>
      </c>
      <c r="B692" s="2252" t="str">
        <f>VLOOKUP($A692,'12 - QT_SUN'!$A:$F,2,0)</f>
        <v>PS-CP-EST-10</v>
      </c>
      <c r="C692" s="2228" t="str">
        <f>VLOOKUP($A692,'12 - QT_SUN'!$A:$F,3,0)</f>
        <v>PRÓPRIA</v>
      </c>
      <c r="D692" s="2375" t="s">
        <v>14606</v>
      </c>
      <c r="E692" s="2229" t="str">
        <f>IF($C692="SINAPI",VLOOKUP($B692,'24.08_ND'!$A:$D,3,0),IF($C692="PRÓPRIA",VLOOKUP($B692,'03-CP'!$C:$H,3,0)))</f>
        <v>M2</v>
      </c>
      <c r="F692" s="2230">
        <v>53.68</v>
      </c>
      <c r="G692" s="2232">
        <v>162.97999999999999</v>
      </c>
      <c r="H692" s="2302">
        <f t="shared" si="149"/>
        <v>8748.76</v>
      </c>
      <c r="I692" s="2287"/>
      <c r="J692" s="2231"/>
      <c r="K692" s="2412"/>
      <c r="L692" s="2536"/>
      <c r="M692" s="2232"/>
      <c r="N692" s="2557"/>
      <c r="O692" s="2498">
        <f t="shared" si="150"/>
        <v>8748.76</v>
      </c>
      <c r="P692" s="2295">
        <f t="shared" si="151"/>
        <v>1</v>
      </c>
    </row>
    <row r="693" spans="1:16">
      <c r="A693" s="2268" t="s">
        <v>13349</v>
      </c>
      <c r="B693" s="2251">
        <f>VLOOKUP($A693,'12 - QT_SUN'!$A:$F,2,0)</f>
        <v>89993</v>
      </c>
      <c r="C693" s="2234" t="str">
        <f>VLOOKUP($A693,'12 - QT_SUN'!$A:$F,3,0)</f>
        <v>SINAPI</v>
      </c>
      <c r="D693" s="2375" t="s">
        <v>7520</v>
      </c>
      <c r="E693" s="2236" t="str">
        <f>IF($C693="SINAPI",VLOOKUP($B693,'24.08_ND'!$A:$D,3,0),IF($C693="PRÓPRIA",VLOOKUP($B693,'03-CP'!$C:$H,3,0)))</f>
        <v>M3</v>
      </c>
      <c r="F693" s="2230">
        <v>5.12</v>
      </c>
      <c r="G693" s="2238">
        <v>1234.8</v>
      </c>
      <c r="H693" s="2302">
        <f t="shared" si="149"/>
        <v>6322.17</v>
      </c>
      <c r="I693" s="2286"/>
      <c r="J693" s="2237"/>
      <c r="K693" s="2411"/>
      <c r="L693" s="2533"/>
      <c r="M693" s="2238"/>
      <c r="N693" s="2239"/>
      <c r="O693" s="2498">
        <f t="shared" si="150"/>
        <v>6322.17</v>
      </c>
      <c r="P693" s="2295">
        <f t="shared" si="151"/>
        <v>1</v>
      </c>
    </row>
    <row r="694" spans="1:16">
      <c r="A694" s="2268" t="s">
        <v>13350</v>
      </c>
      <c r="B694" s="2252" t="str">
        <f>VLOOKUP($A694,'12 - QT_SUN'!$A:$F,2,0)</f>
        <v>PS-CP-EST-09</v>
      </c>
      <c r="C694" s="2228" t="str">
        <f>VLOOKUP($A694,'12 - QT_SUN'!$A:$F,3,0)</f>
        <v>PRÓPRIA</v>
      </c>
      <c r="D694" s="2375" t="s">
        <v>14604</v>
      </c>
      <c r="E694" s="2229" t="str">
        <f>IF($C694="SINAPI",VLOOKUP($B694,'24.08_ND'!$A:$D,3,0),IF($C694="PRÓPRIA",VLOOKUP($B694,'03-CP'!$C:$H,3,0)))</f>
        <v>M2</v>
      </c>
      <c r="F694" s="2230">
        <v>343.8</v>
      </c>
      <c r="G694" s="2232">
        <v>13.98</v>
      </c>
      <c r="H694" s="2302">
        <f t="shared" si="149"/>
        <v>4806.32</v>
      </c>
      <c r="I694" s="2287"/>
      <c r="J694" s="2231"/>
      <c r="K694" s="2412"/>
      <c r="L694" s="2536"/>
      <c r="M694" s="2232"/>
      <c r="N694" s="2557"/>
      <c r="O694" s="2498">
        <f t="shared" si="150"/>
        <v>4806.32</v>
      </c>
      <c r="P694" s="2295">
        <f t="shared" si="151"/>
        <v>1</v>
      </c>
    </row>
    <row r="695" spans="1:16">
      <c r="A695" s="2268" t="s">
        <v>13351</v>
      </c>
      <c r="B695" s="2252" t="str">
        <f>VLOOKUP($A695,'12 - QT_SUN'!$A:$F,2,0)</f>
        <v>PS-CP-EST-11</v>
      </c>
      <c r="C695" s="2228" t="str">
        <f>VLOOKUP($A695,'12 - QT_SUN'!$A:$F,3,0)</f>
        <v>PRÓPRIA</v>
      </c>
      <c r="D695" s="2375" t="s">
        <v>14608</v>
      </c>
      <c r="E695" s="2229" t="str">
        <f>IF($C695="SINAPI",VLOOKUP($B695,'24.08_ND'!$A:$D,3,0),IF($C695="PRÓPRIA",VLOOKUP($B695,'03-CP'!$C:$H,3,0)))</f>
        <v>M2</v>
      </c>
      <c r="F695" s="2230">
        <v>53.68</v>
      </c>
      <c r="G695" s="2232">
        <v>37.21</v>
      </c>
      <c r="H695" s="2302">
        <f t="shared" si="149"/>
        <v>1997.43</v>
      </c>
      <c r="I695" s="2287"/>
      <c r="J695" s="2231"/>
      <c r="K695" s="2412"/>
      <c r="L695" s="2536"/>
      <c r="M695" s="2232"/>
      <c r="N695" s="2557"/>
      <c r="O695" s="2498">
        <f t="shared" si="150"/>
        <v>1997.43</v>
      </c>
      <c r="P695" s="2295">
        <f t="shared" si="151"/>
        <v>1</v>
      </c>
    </row>
    <row r="696" spans="1:16" ht="30">
      <c r="A696" s="2268" t="s">
        <v>13352</v>
      </c>
      <c r="B696" s="2251">
        <f>VLOOKUP($A696,'12 - QT_SUN'!$A:$F,2,0)</f>
        <v>98555</v>
      </c>
      <c r="C696" s="2234" t="str">
        <f>VLOOKUP($A696,'12 - QT_SUN'!$A:$F,3,0)</f>
        <v>SINAPI</v>
      </c>
      <c r="D696" s="2375" t="s">
        <v>7733</v>
      </c>
      <c r="E696" s="2236" t="str">
        <f>IF($C696="SINAPI",VLOOKUP($B696,'24.08_ND'!$A:$D,3,0),IF($C696="PRÓPRIA",VLOOKUP($B696,'03-CP'!$C:$H,3,0)))</f>
        <v>M2</v>
      </c>
      <c r="F696" s="2230">
        <v>53.68</v>
      </c>
      <c r="G696" s="2238">
        <v>33.32</v>
      </c>
      <c r="H696" s="2302">
        <f t="shared" si="149"/>
        <v>1788.61</v>
      </c>
      <c r="I696" s="2286"/>
      <c r="J696" s="2237"/>
      <c r="K696" s="2411"/>
      <c r="L696" s="2533"/>
      <c r="M696" s="2238"/>
      <c r="N696" s="2239"/>
      <c r="O696" s="2498">
        <f t="shared" si="150"/>
        <v>1788.61</v>
      </c>
      <c r="P696" s="2295">
        <f t="shared" si="151"/>
        <v>1</v>
      </c>
    </row>
    <row r="697" spans="1:16" ht="30">
      <c r="A697" s="2268" t="s">
        <v>13353</v>
      </c>
      <c r="B697" s="2251">
        <f>VLOOKUP($A697,'12 - QT_SUN'!$A:$F,2,0)</f>
        <v>98562</v>
      </c>
      <c r="C697" s="2234" t="str">
        <f>VLOOKUP($A697,'12 - QT_SUN'!$A:$F,3,0)</f>
        <v>SINAPI</v>
      </c>
      <c r="D697" s="2375" t="s">
        <v>7732</v>
      </c>
      <c r="E697" s="2236" t="str">
        <f>IF($C697="SINAPI",VLOOKUP($B697,'24.08_ND'!$A:$D,3,0),IF($C697="PRÓPRIA",VLOOKUP($B697,'03-CP'!$C:$H,3,0)))</f>
        <v>M2</v>
      </c>
      <c r="F697" s="2230">
        <v>53.68</v>
      </c>
      <c r="G697" s="2238">
        <v>54.52</v>
      </c>
      <c r="H697" s="2302">
        <f t="shared" si="149"/>
        <v>2926.63</v>
      </c>
      <c r="I697" s="2286"/>
      <c r="J697" s="2237"/>
      <c r="K697" s="2411"/>
      <c r="L697" s="2533"/>
      <c r="M697" s="2238"/>
      <c r="N697" s="2239"/>
      <c r="O697" s="2498">
        <f t="shared" si="150"/>
        <v>2926.63</v>
      </c>
      <c r="P697" s="2295">
        <f t="shared" si="151"/>
        <v>1</v>
      </c>
    </row>
    <row r="698" spans="1:16" ht="30">
      <c r="A698" s="2269" t="s">
        <v>13354</v>
      </c>
      <c r="B698" s="2251">
        <f>VLOOKUP($A698,'12 - QT_SUN'!$A:$F,2,0)</f>
        <v>93382</v>
      </c>
      <c r="C698" s="2234" t="str">
        <f>VLOOKUP($A698,'12 - QT_SUN'!$A:$F,3,0)</f>
        <v>SINAPI</v>
      </c>
      <c r="D698" s="2375" t="s">
        <v>10726</v>
      </c>
      <c r="E698" s="2236" t="str">
        <f>IF($C698="SINAPI",VLOOKUP($B698,'24.08_ND'!$A:$D,3,0),IF($C698="PRÓPRIA",VLOOKUP($B698,'03-CP'!$C:$H,3,0)))</f>
        <v>M3</v>
      </c>
      <c r="F698" s="2230">
        <v>57.53</v>
      </c>
      <c r="G698" s="2238">
        <v>26.88</v>
      </c>
      <c r="H698" s="2302">
        <f t="shared" si="149"/>
        <v>1546.4</v>
      </c>
      <c r="I698" s="2286"/>
      <c r="J698" s="2237"/>
      <c r="K698" s="2411"/>
      <c r="L698" s="2533"/>
      <c r="M698" s="2238"/>
      <c r="N698" s="2239"/>
      <c r="O698" s="2498">
        <f t="shared" si="150"/>
        <v>1546.4</v>
      </c>
      <c r="P698" s="2295">
        <f t="shared" si="151"/>
        <v>1</v>
      </c>
    </row>
    <row r="699" spans="1:16">
      <c r="A699" s="2340" t="s">
        <v>13355</v>
      </c>
      <c r="B699" s="2223"/>
      <c r="C699" s="2223"/>
      <c r="D699" s="2376" t="s">
        <v>16384</v>
      </c>
      <c r="E699" s="2224"/>
      <c r="F699" s="2240"/>
      <c r="G699" s="2226"/>
      <c r="H699" s="2301">
        <f>SUBTOTAL(9,H700)</f>
        <v>3975.59</v>
      </c>
      <c r="I699" s="2284"/>
      <c r="J699" s="2227"/>
      <c r="K699" s="2496"/>
      <c r="L699" s="2534">
        <f>SUBTOTAL(9,L700)</f>
        <v>0</v>
      </c>
      <c r="M699" s="2301">
        <f>SUBTOTAL(9,M700)</f>
        <v>0</v>
      </c>
      <c r="N699" s="2301">
        <f>SUBTOTAL(9,N700)</f>
        <v>0</v>
      </c>
      <c r="O699" s="2301">
        <f>SUBTOTAL(9,O700)</f>
        <v>3975.59</v>
      </c>
      <c r="P699" s="2293">
        <f>SUBTOTAL(9,P700)</f>
        <v>1</v>
      </c>
    </row>
    <row r="700" spans="1:16" ht="45">
      <c r="A700" s="2269" t="s">
        <v>13356</v>
      </c>
      <c r="B700" s="2228" t="str">
        <f>VLOOKUP($A700,'12 - QT_SUN'!$A:$F,2,0)</f>
        <v>PS-CP-EST-06</v>
      </c>
      <c r="C700" s="2228" t="str">
        <f>VLOOKUP($A700,'12 - QT_SUN'!$A:$F,3,0)</f>
        <v>PRÓPRIA</v>
      </c>
      <c r="D700" s="2375" t="s">
        <v>14597</v>
      </c>
      <c r="E700" s="2229" t="str">
        <f>IF($C700="SINAPI",VLOOKUP($B700,'24.08_ND'!$A:$D,3,0),IF($C700="PRÓPRIA",VLOOKUP($B700,'03-CP'!$C:$H,3,0)))</f>
        <v>M3</v>
      </c>
      <c r="F700" s="2230">
        <v>539.42999999999995</v>
      </c>
      <c r="G700" s="2232">
        <v>7.37</v>
      </c>
      <c r="H700" s="2302">
        <f>TRUNC((G700*F700),2)</f>
        <v>3975.59</v>
      </c>
      <c r="I700" s="2287"/>
      <c r="J700" s="2231"/>
      <c r="K700" s="2412"/>
      <c r="L700" s="2536"/>
      <c r="M700" s="2232"/>
      <c r="N700" s="2557"/>
      <c r="O700" s="2498">
        <f>H700-L700</f>
        <v>3975.59</v>
      </c>
      <c r="P700" s="2295">
        <f>O700/H700</f>
        <v>1</v>
      </c>
    </row>
    <row r="701" spans="1:16">
      <c r="A701" s="2267" t="s">
        <v>12631</v>
      </c>
      <c r="B701" s="2216"/>
      <c r="C701" s="2217"/>
      <c r="D701" s="2254" t="s">
        <v>12486</v>
      </c>
      <c r="E701" s="2218"/>
      <c r="F701" s="2241"/>
      <c r="G701" s="2220"/>
      <c r="H701" s="2300">
        <f>SUBTOTAL(9,H702:H746)</f>
        <v>4770351.79</v>
      </c>
      <c r="I701" s="2283"/>
      <c r="J701" s="2221"/>
      <c r="K701" s="2492"/>
      <c r="L701" s="2532">
        <f>SUBTOTAL(9,L702:L746)</f>
        <v>0</v>
      </c>
      <c r="M701" s="2300">
        <f>SUBTOTAL(9,M702:M746)</f>
        <v>0</v>
      </c>
      <c r="N701" s="2300">
        <f>SUBTOTAL(9,N702:N746)</f>
        <v>0</v>
      </c>
      <c r="O701" s="2300">
        <f>SUBTOTAL(9,O702:O746)</f>
        <v>4770351.79</v>
      </c>
      <c r="P701" s="2292"/>
    </row>
    <row r="702" spans="1:16">
      <c r="A702" s="2342" t="s">
        <v>13357</v>
      </c>
      <c r="B702" s="2223"/>
      <c r="C702" s="2223"/>
      <c r="D702" s="2376" t="s">
        <v>16227</v>
      </c>
      <c r="E702" s="2224"/>
      <c r="F702" s="2240"/>
      <c r="G702" s="2226"/>
      <c r="H702" s="2301">
        <f>SUBTOTAL(9,H703:H704)</f>
        <v>20895.760000000002</v>
      </c>
      <c r="I702" s="2284"/>
      <c r="J702" s="2227"/>
      <c r="K702" s="2496"/>
      <c r="L702" s="2534">
        <f>SUBTOTAL(9,L703:L704)</f>
        <v>0</v>
      </c>
      <c r="M702" s="2301">
        <f>SUBTOTAL(9,M703:M704)</f>
        <v>0</v>
      </c>
      <c r="N702" s="2301">
        <f>SUBTOTAL(9,N703:N704)</f>
        <v>0</v>
      </c>
      <c r="O702" s="2301">
        <f>SUBTOTAL(9,O703:O704)</f>
        <v>20895.760000000002</v>
      </c>
      <c r="P702" s="2293"/>
    </row>
    <row r="703" spans="1:16" ht="45">
      <c r="A703" s="2272" t="s">
        <v>13358</v>
      </c>
      <c r="B703" s="2234">
        <f>VLOOKUP($A703,'12 - QT_SUN'!$A:$F,2,0)</f>
        <v>103324</v>
      </c>
      <c r="C703" s="2234" t="str">
        <f>VLOOKUP($A703,'12 - QT_SUN'!$A:$F,3,0)</f>
        <v>SINAPI</v>
      </c>
      <c r="D703" s="2375" t="s">
        <v>10760</v>
      </c>
      <c r="E703" s="2236" t="str">
        <f>IF($C703="SINAPI",VLOOKUP($B703,'24.08_ND'!$A:$D,3,0),IF($C703="PRÓPRIA",VLOOKUP($B703,'03-CP'!$C:$H,3,0)))</f>
        <v>M2</v>
      </c>
      <c r="F703" s="2230">
        <v>2.4</v>
      </c>
      <c r="G703" s="2238">
        <v>100.3</v>
      </c>
      <c r="H703" s="2302">
        <f>TRUNC((G703*F703),2)</f>
        <v>240.72</v>
      </c>
      <c r="I703" s="2286"/>
      <c r="J703" s="2237"/>
      <c r="K703" s="2411"/>
      <c r="L703" s="2533"/>
      <c r="M703" s="2238"/>
      <c r="N703" s="2239"/>
      <c r="O703" s="2498">
        <f>H703-L703</f>
        <v>240.72</v>
      </c>
      <c r="P703" s="2295">
        <f>O703/H703</f>
        <v>1</v>
      </c>
    </row>
    <row r="704" spans="1:16" ht="45">
      <c r="A704" s="2272" t="s">
        <v>13359</v>
      </c>
      <c r="B704" s="2234">
        <f>VLOOKUP($A704,'12 - QT_SUN'!$A:$F,2,0)</f>
        <v>94271</v>
      </c>
      <c r="C704" s="2234" t="str">
        <f>VLOOKUP($A704,'12 - QT_SUN'!$A:$F,3,0)</f>
        <v>SINAPI</v>
      </c>
      <c r="D704" s="2375" t="s">
        <v>6789</v>
      </c>
      <c r="E704" s="2236" t="str">
        <f>IF($C704="SINAPI",VLOOKUP($B704,'24.08_ND'!$A:$D,3,0),IF($C704="PRÓPRIA",VLOOKUP($B704,'03-CP'!$C:$H,3,0)))</f>
        <v>M</v>
      </c>
      <c r="F704" s="2230">
        <v>149.62</v>
      </c>
      <c r="G704" s="2238">
        <v>138.05000000000001</v>
      </c>
      <c r="H704" s="2302">
        <f>TRUNC((G704*F704),2)</f>
        <v>20655.04</v>
      </c>
      <c r="I704" s="2286"/>
      <c r="J704" s="2237"/>
      <c r="K704" s="2411"/>
      <c r="L704" s="2533"/>
      <c r="M704" s="2238"/>
      <c r="N704" s="2239"/>
      <c r="O704" s="2498">
        <f>H704-L704</f>
        <v>20655.04</v>
      </c>
      <c r="P704" s="2295">
        <f>O704/H704</f>
        <v>1</v>
      </c>
    </row>
    <row r="705" spans="1:16">
      <c r="A705" s="2342" t="s">
        <v>13360</v>
      </c>
      <c r="B705" s="2223"/>
      <c r="C705" s="2223"/>
      <c r="D705" s="2376" t="s">
        <v>16251</v>
      </c>
      <c r="E705" s="2224"/>
      <c r="F705" s="2240"/>
      <c r="G705" s="2226"/>
      <c r="H705" s="2301">
        <f>SUBTOTAL(9,H706:H707)</f>
        <v>69989.31</v>
      </c>
      <c r="I705" s="2284"/>
      <c r="J705" s="2227"/>
      <c r="K705" s="2496"/>
      <c r="L705" s="2534">
        <f>SUBTOTAL(9,L706:L707)</f>
        <v>0</v>
      </c>
      <c r="M705" s="2301">
        <f>SUBTOTAL(9,M706:M707)</f>
        <v>0</v>
      </c>
      <c r="N705" s="2301">
        <f>SUBTOTAL(9,N706:N707)</f>
        <v>0</v>
      </c>
      <c r="O705" s="2301">
        <f>SUBTOTAL(9,O706:O707)</f>
        <v>69989.31</v>
      </c>
      <c r="P705" s="2293"/>
    </row>
    <row r="706" spans="1:16" ht="45">
      <c r="A706" s="2269" t="s">
        <v>13361</v>
      </c>
      <c r="B706" s="2234">
        <f>VLOOKUP($A706,'12 - QT_SUN'!$A:$F,2,0)</f>
        <v>87879</v>
      </c>
      <c r="C706" s="2234" t="str">
        <f>VLOOKUP($A706,'12 - QT_SUN'!$A:$F,3,0)</f>
        <v>SINAPI</v>
      </c>
      <c r="D706" s="2375" t="s">
        <v>11265</v>
      </c>
      <c r="E706" s="2236" t="str">
        <f>IF($C706="SINAPI",VLOOKUP($B706,'24.08_ND'!$A:$D,3,0),IF($C706="PRÓPRIA",VLOOKUP($B706,'03-CP'!$C:$H,3,0)))</f>
        <v>M2</v>
      </c>
      <c r="F706" s="2230">
        <v>925.57</v>
      </c>
      <c r="G706" s="2238">
        <v>4.93</v>
      </c>
      <c r="H706" s="2302">
        <f>TRUNC((G706*F706),2)</f>
        <v>4563.0600000000004</v>
      </c>
      <c r="I706" s="2286"/>
      <c r="J706" s="2237"/>
      <c r="K706" s="2411"/>
      <c r="L706" s="2533"/>
      <c r="M706" s="2238"/>
      <c r="N706" s="2239"/>
      <c r="O706" s="2498">
        <f>H706-L706</f>
        <v>4563.0600000000004</v>
      </c>
      <c r="P706" s="2295">
        <f>O706/H706</f>
        <v>1</v>
      </c>
    </row>
    <row r="707" spans="1:16" ht="45">
      <c r="A707" s="2269" t="s">
        <v>13362</v>
      </c>
      <c r="B707" s="2234">
        <f>VLOOKUP($A707,'12 - QT_SUN'!$A:$F,2,0)</f>
        <v>87775</v>
      </c>
      <c r="C707" s="2234" t="str">
        <f>VLOOKUP($A707,'12 - QT_SUN'!$A:$F,3,0)</f>
        <v>SINAPI</v>
      </c>
      <c r="D707" s="2375" t="s">
        <v>11326</v>
      </c>
      <c r="E707" s="2236" t="str">
        <f>IF($C707="SINAPI",VLOOKUP($B707,'24.08_ND'!$A:$D,3,0),IF($C707="PRÓPRIA",VLOOKUP($B707,'03-CP'!$C:$H,3,0)))</f>
        <v>M2</v>
      </c>
      <c r="F707" s="2230">
        <v>1102.3800000000001</v>
      </c>
      <c r="G707" s="2238">
        <v>59.35</v>
      </c>
      <c r="H707" s="2302">
        <f>TRUNC((G707*F707),2)</f>
        <v>65426.25</v>
      </c>
      <c r="I707" s="2286"/>
      <c r="J707" s="2237"/>
      <c r="K707" s="2411"/>
      <c r="L707" s="2533"/>
      <c r="M707" s="2238"/>
      <c r="N707" s="2239"/>
      <c r="O707" s="2498">
        <f>H707-L707</f>
        <v>65426.25</v>
      </c>
      <c r="P707" s="2295">
        <f>O707/H707</f>
        <v>1</v>
      </c>
    </row>
    <row r="708" spans="1:16">
      <c r="A708" s="2342" t="s">
        <v>13363</v>
      </c>
      <c r="B708" s="2223"/>
      <c r="C708" s="2223"/>
      <c r="D708" s="2376" t="s">
        <v>16256</v>
      </c>
      <c r="E708" s="2224"/>
      <c r="F708" s="2240"/>
      <c r="G708" s="2226"/>
      <c r="H708" s="2301">
        <f>SUBTOTAL(9,H709:H712)</f>
        <v>3922009.7299999995</v>
      </c>
      <c r="I708" s="2284"/>
      <c r="J708" s="2227"/>
      <c r="K708" s="2496"/>
      <c r="L708" s="2534">
        <f>SUBTOTAL(9,L709:L712)</f>
        <v>0</v>
      </c>
      <c r="M708" s="2301">
        <f>SUBTOTAL(9,M709:M712)</f>
        <v>0</v>
      </c>
      <c r="N708" s="2301">
        <f>SUBTOTAL(9,N709:N712)</f>
        <v>0</v>
      </c>
      <c r="O708" s="2301">
        <f>SUBTOTAL(9,O709:O712)</f>
        <v>3922009.7299999995</v>
      </c>
      <c r="P708" s="2293"/>
    </row>
    <row r="709" spans="1:16" ht="45">
      <c r="A709" s="2272" t="s">
        <v>13364</v>
      </c>
      <c r="B709" s="2228" t="str">
        <f>VLOOKUP($A709,'12 - QT_SUN'!$A:$F,2,0)</f>
        <v>PS-CP-72</v>
      </c>
      <c r="C709" s="2228" t="str">
        <f>VLOOKUP($A709,'12 - QT_SUN'!$A:$F,3,0)</f>
        <v>PRÓPRIA</v>
      </c>
      <c r="D709" s="2375" t="s">
        <v>14919</v>
      </c>
      <c r="E709" s="2229" t="str">
        <f>IF($C709="SINAPI",VLOOKUP($B709,'24.08_ND'!$A:$D,3,0),IF($C709="PRÓPRIA",VLOOKUP($B709,'03-CP'!$C:$H,3,0)))</f>
        <v>M2</v>
      </c>
      <c r="F709" s="2230">
        <v>276.92</v>
      </c>
      <c r="G709" s="2232">
        <v>31.72</v>
      </c>
      <c r="H709" s="2302">
        <f>TRUNC((G709*F709),2)</f>
        <v>8783.9</v>
      </c>
      <c r="I709" s="2287"/>
      <c r="J709" s="2231"/>
      <c r="K709" s="2412"/>
      <c r="L709" s="2536"/>
      <c r="M709" s="2232"/>
      <c r="N709" s="2557"/>
      <c r="O709" s="2498">
        <f>H709-L709</f>
        <v>8783.9</v>
      </c>
      <c r="P709" s="2295">
        <f>O709/H709</f>
        <v>1</v>
      </c>
    </row>
    <row r="710" spans="1:16" ht="30">
      <c r="A710" s="2272" t="s">
        <v>13365</v>
      </c>
      <c r="B710" s="2228" t="str">
        <f>VLOOKUP($A710,'12 - QT_SUN'!$A:$F,2,0)</f>
        <v>AS-CP-ARQ-01</v>
      </c>
      <c r="C710" s="2228" t="str">
        <f>VLOOKUP($A710,'12 - QT_SUN'!$A:$F,3,0)</f>
        <v>PRÓPRIA</v>
      </c>
      <c r="D710" s="2375" t="s">
        <v>14975</v>
      </c>
      <c r="E710" s="2229" t="str">
        <f>IF($C710="SINAPI",VLOOKUP($B710,'24.08_ND'!$A:$D,3,0),IF($C710="PRÓPRIA",VLOOKUP($B710,'03-CP'!$C:$H,3,0)))</f>
        <v>M2</v>
      </c>
      <c r="F710" s="2230">
        <v>2750.69</v>
      </c>
      <c r="G710" s="2232">
        <v>552.66</v>
      </c>
      <c r="H710" s="2302">
        <f>TRUNC((G710*F710),2)</f>
        <v>1520196.33</v>
      </c>
      <c r="I710" s="2287"/>
      <c r="J710" s="2231"/>
      <c r="K710" s="2412"/>
      <c r="L710" s="2536"/>
      <c r="M710" s="2232"/>
      <c r="N710" s="2557"/>
      <c r="O710" s="2498">
        <f>H710-L710</f>
        <v>1520196.33</v>
      </c>
      <c r="P710" s="2295">
        <f>O710/H710</f>
        <v>1</v>
      </c>
    </row>
    <row r="711" spans="1:16" ht="30">
      <c r="A711" s="2272" t="s">
        <v>13366</v>
      </c>
      <c r="B711" s="2228" t="str">
        <f>VLOOKUP($A711,'12 - QT_SUN'!$A:$F,2,0)</f>
        <v>AS-CP-ARQ-03</v>
      </c>
      <c r="C711" s="2228" t="str">
        <f>VLOOKUP($A711,'12 - QT_SUN'!$A:$F,3,0)</f>
        <v>PRÓPRIA</v>
      </c>
      <c r="D711" s="2375" t="s">
        <v>14979</v>
      </c>
      <c r="E711" s="2229" t="str">
        <f>IF($C711="SINAPI",VLOOKUP($B711,'24.08_ND'!$A:$D,3,0),IF($C711="PRÓPRIA",VLOOKUP($B711,'03-CP'!$C:$H,3,0)))</f>
        <v>M2</v>
      </c>
      <c r="F711" s="2230">
        <v>2784.33</v>
      </c>
      <c r="G711" s="2232">
        <v>712.08</v>
      </c>
      <c r="H711" s="2302">
        <f>TRUNC((G711*F711),2)</f>
        <v>1982665.7</v>
      </c>
      <c r="I711" s="2287"/>
      <c r="J711" s="2231"/>
      <c r="K711" s="2412"/>
      <c r="L711" s="2536"/>
      <c r="M711" s="2232"/>
      <c r="N711" s="2557"/>
      <c r="O711" s="2498">
        <f>H711-L711</f>
        <v>1982665.7</v>
      </c>
      <c r="P711" s="2295">
        <f>O711/H711</f>
        <v>1</v>
      </c>
    </row>
    <row r="712" spans="1:16" ht="30">
      <c r="A712" s="2272" t="s">
        <v>13367</v>
      </c>
      <c r="B712" s="2228" t="str">
        <f>VLOOKUP($A712,'12 - QT_SUN'!$A:$F,2,0)</f>
        <v>AS-CP-ARQ-04</v>
      </c>
      <c r="C712" s="2228" t="str">
        <f>VLOOKUP($A712,'12 - QT_SUN'!$A:$F,3,0)</f>
        <v>PRÓPRIA</v>
      </c>
      <c r="D712" s="2375" t="s">
        <v>14981</v>
      </c>
      <c r="E712" s="2229" t="str">
        <f>IF($C712="SINAPI",VLOOKUP($B712,'24.08_ND'!$A:$D,3,0),IF($C712="PRÓPRIA",VLOOKUP($B712,'03-CP'!$C:$H,3,0)))</f>
        <v>M2</v>
      </c>
      <c r="F712" s="2230">
        <v>476.53000000000003</v>
      </c>
      <c r="G712" s="2232">
        <v>861.15</v>
      </c>
      <c r="H712" s="2302">
        <f>TRUNC((G712*F712),2)</f>
        <v>410363.8</v>
      </c>
      <c r="I712" s="2287"/>
      <c r="J712" s="2231"/>
      <c r="K712" s="2412"/>
      <c r="L712" s="2536"/>
      <c r="M712" s="2232"/>
      <c r="N712" s="2557"/>
      <c r="O712" s="2498">
        <f>H712-L712</f>
        <v>410363.8</v>
      </c>
      <c r="P712" s="2295">
        <f>O712/H712</f>
        <v>1</v>
      </c>
    </row>
    <row r="713" spans="1:16">
      <c r="A713" s="2342" t="s">
        <v>13368</v>
      </c>
      <c r="B713" s="2223"/>
      <c r="C713" s="2223"/>
      <c r="D713" s="2376" t="s">
        <v>16267</v>
      </c>
      <c r="E713" s="2224"/>
      <c r="F713" s="2230"/>
      <c r="G713" s="2226"/>
      <c r="H713" s="2301">
        <f>SUBTOTAL(9,H714:H717)</f>
        <v>58857.33</v>
      </c>
      <c r="I713" s="2284"/>
      <c r="J713" s="2227"/>
      <c r="K713" s="2496"/>
      <c r="L713" s="2534">
        <f>SUBTOTAL(9,L714:L717)</f>
        <v>0</v>
      </c>
      <c r="M713" s="2301">
        <f>SUBTOTAL(9,M714:M717)</f>
        <v>0</v>
      </c>
      <c r="N713" s="2301">
        <f>SUBTOTAL(9,N714:N717)</f>
        <v>0</v>
      </c>
      <c r="O713" s="2301">
        <f>SUBTOTAL(9,O714:O717)</f>
        <v>58857.33</v>
      </c>
      <c r="P713" s="2293"/>
    </row>
    <row r="714" spans="1:16" ht="30">
      <c r="A714" s="2272" t="s">
        <v>13369</v>
      </c>
      <c r="B714" s="2234">
        <f>VLOOKUP($A714,'12 - QT_SUN'!$A:$F,2,0)</f>
        <v>88485</v>
      </c>
      <c r="C714" s="2234" t="str">
        <f>VLOOKUP($A714,'12 - QT_SUN'!$A:$F,3,0)</f>
        <v>SINAPI</v>
      </c>
      <c r="D714" s="2375" t="s">
        <v>11005</v>
      </c>
      <c r="E714" s="2236" t="str">
        <f>IF($C714="SINAPI",VLOOKUP($B714,'24.08_ND'!$A:$D,3,0),IF($C714="PRÓPRIA",VLOOKUP($B714,'03-CP'!$C:$H,3,0)))</f>
        <v>M2</v>
      </c>
      <c r="F714" s="2230">
        <v>925.57</v>
      </c>
      <c r="G714" s="2238">
        <v>3.67</v>
      </c>
      <c r="H714" s="2302">
        <f>TRUNC((G714*F714),2)</f>
        <v>3396.84</v>
      </c>
      <c r="I714" s="2286"/>
      <c r="J714" s="2237"/>
      <c r="K714" s="2411"/>
      <c r="L714" s="2533"/>
      <c r="M714" s="2238"/>
      <c r="N714" s="2239"/>
      <c r="O714" s="2498">
        <f>H714-L714</f>
        <v>3396.84</v>
      </c>
      <c r="P714" s="2295">
        <f>O714/H714</f>
        <v>1</v>
      </c>
    </row>
    <row r="715" spans="1:16" ht="30">
      <c r="A715" s="2272" t="s">
        <v>13370</v>
      </c>
      <c r="B715" s="2234">
        <f>VLOOKUP($A715,'12 - QT_SUN'!$A:$F,2,0)</f>
        <v>96135</v>
      </c>
      <c r="C715" s="2234" t="str">
        <f>VLOOKUP($A715,'12 - QT_SUN'!$A:$F,3,0)</f>
        <v>SINAPI</v>
      </c>
      <c r="D715" s="2375" t="s">
        <v>11028</v>
      </c>
      <c r="E715" s="2236" t="str">
        <f>IF($C715="SINAPI",VLOOKUP($B715,'24.08_ND'!$A:$D,3,0),IF($C715="PRÓPRIA",VLOOKUP($B715,'03-CP'!$C:$H,3,0)))</f>
        <v>M2</v>
      </c>
      <c r="F715" s="2230">
        <v>925.57</v>
      </c>
      <c r="G715" s="2238">
        <v>31.8</v>
      </c>
      <c r="H715" s="2302">
        <f>TRUNC((G715*F715),2)</f>
        <v>29433.119999999999</v>
      </c>
      <c r="I715" s="2286"/>
      <c r="J715" s="2237"/>
      <c r="K715" s="2411"/>
      <c r="L715" s="2533"/>
      <c r="M715" s="2238"/>
      <c r="N715" s="2239"/>
      <c r="O715" s="2498">
        <f>H715-L715</f>
        <v>29433.119999999999</v>
      </c>
      <c r="P715" s="2295">
        <f>O715/H715</f>
        <v>1</v>
      </c>
    </row>
    <row r="716" spans="1:16" ht="30">
      <c r="A716" s="2272" t="s">
        <v>13371</v>
      </c>
      <c r="B716" s="2234">
        <f>VLOOKUP($A716,'12 - QT_SUN'!$A:$F,2,0)</f>
        <v>102492</v>
      </c>
      <c r="C716" s="2234" t="str">
        <f>VLOOKUP($A716,'12 - QT_SUN'!$A:$F,3,0)</f>
        <v>SINAPI</v>
      </c>
      <c r="D716" s="2375" t="s">
        <v>11106</v>
      </c>
      <c r="E716" s="2236" t="str">
        <f>IF($C716="SINAPI",VLOOKUP($B716,'24.08_ND'!$A:$D,3,0),IF($C716="PRÓPRIA",VLOOKUP($B716,'03-CP'!$C:$H,3,0)))</f>
        <v>M2</v>
      </c>
      <c r="F716" s="2230">
        <v>546.31999999999994</v>
      </c>
      <c r="G716" s="2238">
        <v>27.6</v>
      </c>
      <c r="H716" s="2302">
        <f>TRUNC((G716*F716),2)</f>
        <v>15078.43</v>
      </c>
      <c r="I716" s="2286"/>
      <c r="J716" s="2237"/>
      <c r="K716" s="2411"/>
      <c r="L716" s="2533"/>
      <c r="M716" s="2238"/>
      <c r="N716" s="2239"/>
      <c r="O716" s="2498">
        <f>H716-L716</f>
        <v>15078.43</v>
      </c>
      <c r="P716" s="2295">
        <f>O716/H716</f>
        <v>1</v>
      </c>
    </row>
    <row r="717" spans="1:16">
      <c r="A717" s="2272" t="s">
        <v>13372</v>
      </c>
      <c r="B717" s="2228" t="str">
        <f>VLOOKUP($A717,'12 - QT_SUN'!$A:$F,2,0)</f>
        <v>PS-CP-16</v>
      </c>
      <c r="C717" s="2228" t="str">
        <f>VLOOKUP($A717,'12 - QT_SUN'!$A:$F,3,0)</f>
        <v>PRÓPRIA</v>
      </c>
      <c r="D717" s="2375" t="s">
        <v>14766</v>
      </c>
      <c r="E717" s="2229" t="str">
        <f>IF($C717="SINAPI",VLOOKUP($B717,'24.08_ND'!$A:$D,3,0),IF($C717="PRÓPRIA",VLOOKUP($B717,'03-CP'!$C:$H,3,0)))</f>
        <v>M2</v>
      </c>
      <c r="F717" s="2230">
        <v>379.24999999999994</v>
      </c>
      <c r="G717" s="2232">
        <v>28.87</v>
      </c>
      <c r="H717" s="2302">
        <f>TRUNC((G717*F717),2)</f>
        <v>10948.94</v>
      </c>
      <c r="I717" s="2287"/>
      <c r="J717" s="2231"/>
      <c r="K717" s="2412"/>
      <c r="L717" s="2536"/>
      <c r="M717" s="2232"/>
      <c r="N717" s="2557"/>
      <c r="O717" s="2498">
        <f>H717-L717</f>
        <v>10948.94</v>
      </c>
      <c r="P717" s="2295">
        <f>O717/H717</f>
        <v>1</v>
      </c>
    </row>
    <row r="718" spans="1:16">
      <c r="A718" s="2342" t="s">
        <v>13373</v>
      </c>
      <c r="B718" s="2223"/>
      <c r="C718" s="2223"/>
      <c r="D718" s="2376" t="s">
        <v>16290</v>
      </c>
      <c r="E718" s="2224"/>
      <c r="F718" s="2240"/>
      <c r="G718" s="2226"/>
      <c r="H718" s="2301">
        <f>SUBTOTAL(9,H719:H724)</f>
        <v>267007.89999999997</v>
      </c>
      <c r="I718" s="2284"/>
      <c r="J718" s="2227"/>
      <c r="K718" s="2496"/>
      <c r="L718" s="2534">
        <f>SUBTOTAL(9,L719:L724)</f>
        <v>0</v>
      </c>
      <c r="M718" s="2301">
        <f>SUBTOTAL(9,M719:M724)</f>
        <v>0</v>
      </c>
      <c r="N718" s="2301">
        <f>SUBTOTAL(9,N719:N724)</f>
        <v>0</v>
      </c>
      <c r="O718" s="2301">
        <f>SUBTOTAL(9,O719:O724)</f>
        <v>267007.89999999997</v>
      </c>
      <c r="P718" s="2293"/>
    </row>
    <row r="719" spans="1:16" ht="75">
      <c r="A719" s="2272" t="s">
        <v>13374</v>
      </c>
      <c r="B719" s="2228" t="str">
        <f>VLOOKUP($A719,'12 - QT_SUN'!$A:$F,2,0)</f>
        <v>PS-CP-73</v>
      </c>
      <c r="C719" s="2228" t="str">
        <f>VLOOKUP($A719,'12 - QT_SUN'!$A:$F,3,0)</f>
        <v>PRÓPRIA</v>
      </c>
      <c r="D719" s="2378" t="s">
        <v>14921</v>
      </c>
      <c r="E719" s="2229" t="str">
        <f>IF($C719="SINAPI",VLOOKUP($B719,'24.08_ND'!$A:$D,3,0),IF($C719="PRÓPRIA",VLOOKUP($B719,'03-CP'!$C:$H,3,0)))</f>
        <v>M</v>
      </c>
      <c r="F719" s="2230">
        <v>146.34</v>
      </c>
      <c r="G719" s="2232">
        <v>1193.32</v>
      </c>
      <c r="H719" s="2302">
        <f t="shared" ref="H719:H724" si="152">TRUNC((G719*F719),2)</f>
        <v>174630.44</v>
      </c>
      <c r="I719" s="2287"/>
      <c r="J719" s="2231"/>
      <c r="K719" s="2412"/>
      <c r="L719" s="2536"/>
      <c r="M719" s="2232"/>
      <c r="N719" s="2557"/>
      <c r="O719" s="2498">
        <f t="shared" ref="O719:O724" si="153">H719-L719</f>
        <v>174630.44</v>
      </c>
      <c r="P719" s="2295">
        <f t="shared" ref="P719:P724" si="154">O719/H719</f>
        <v>1</v>
      </c>
    </row>
    <row r="720" spans="1:16" ht="30">
      <c r="A720" s="2272" t="s">
        <v>13375</v>
      </c>
      <c r="B720" s="2228" t="str">
        <f>VLOOKUP($A720,'12 - QT_SUN'!$A:$F,2,0)</f>
        <v>AS-CP-ARQ-05</v>
      </c>
      <c r="C720" s="2228" t="str">
        <f>VLOOKUP($A720,'12 - QT_SUN'!$A:$F,3,0)</f>
        <v>PRÓPRIA</v>
      </c>
      <c r="D720" s="2375" t="s">
        <v>14984</v>
      </c>
      <c r="E720" s="2229" t="str">
        <f>IF($C720="SINAPI",VLOOKUP($B720,'24.08_ND'!$A:$D,3,0),IF($C720="PRÓPRIA",VLOOKUP($B720,'03-CP'!$C:$H,3,0)))</f>
        <v>UN</v>
      </c>
      <c r="F720" s="2230">
        <v>6</v>
      </c>
      <c r="G720" s="2232">
        <v>2929.91</v>
      </c>
      <c r="H720" s="2302">
        <f t="shared" si="152"/>
        <v>17579.46</v>
      </c>
      <c r="I720" s="2287"/>
      <c r="J720" s="2231"/>
      <c r="K720" s="2412"/>
      <c r="L720" s="2536"/>
      <c r="M720" s="2232"/>
      <c r="N720" s="2557"/>
      <c r="O720" s="2498">
        <f t="shared" si="153"/>
        <v>17579.46</v>
      </c>
      <c r="P720" s="2295">
        <f t="shared" si="154"/>
        <v>1</v>
      </c>
    </row>
    <row r="721" spans="1:16" ht="60">
      <c r="A721" s="2272" t="s">
        <v>13376</v>
      </c>
      <c r="B721" s="2228" t="str">
        <f>VLOOKUP($A721,'12 - QT_SUN'!$A:$F,2,0)</f>
        <v>AS-CP-ARQ-06</v>
      </c>
      <c r="C721" s="2228" t="str">
        <f>VLOOKUP($A721,'12 - QT_SUN'!$A:$F,3,0)</f>
        <v>PRÓPRIA</v>
      </c>
      <c r="D721" s="2375" t="s">
        <v>14987</v>
      </c>
      <c r="E721" s="2229" t="str">
        <f>IF($C721="SINAPI",VLOOKUP($B721,'24.08_ND'!$A:$D,3,0),IF($C721="PRÓPRIA",VLOOKUP($B721,'03-CP'!$C:$H,3,0)))</f>
        <v>UN</v>
      </c>
      <c r="F721" s="2230">
        <v>87</v>
      </c>
      <c r="G721" s="2232">
        <v>775.81</v>
      </c>
      <c r="H721" s="2302">
        <f t="shared" si="152"/>
        <v>67495.47</v>
      </c>
      <c r="I721" s="2287"/>
      <c r="J721" s="2231"/>
      <c r="K721" s="2412"/>
      <c r="L721" s="2536"/>
      <c r="M721" s="2232"/>
      <c r="N721" s="2557"/>
      <c r="O721" s="2498">
        <f t="shared" si="153"/>
        <v>67495.47</v>
      </c>
      <c r="P721" s="2295">
        <f t="shared" si="154"/>
        <v>1</v>
      </c>
    </row>
    <row r="722" spans="1:16">
      <c r="A722" s="2272" t="s">
        <v>13377</v>
      </c>
      <c r="B722" s="2234">
        <f>VLOOKUP($A722,'12 - QT_SUN'!$A:$F,2,0)</f>
        <v>101979</v>
      </c>
      <c r="C722" s="2234" t="str">
        <f>VLOOKUP($A722,'12 - QT_SUN'!$A:$F,3,0)</f>
        <v>SINAPI</v>
      </c>
      <c r="D722" s="2375" t="s">
        <v>11502</v>
      </c>
      <c r="E722" s="2236" t="str">
        <f>IF($C722="SINAPI",VLOOKUP($B722,'24.08_ND'!$A:$D,3,0),IF($C722="PRÓPRIA",VLOOKUP($B722,'03-CP'!$C:$H,3,0)))</f>
        <v>M</v>
      </c>
      <c r="F722" s="2230">
        <v>84.699999999999989</v>
      </c>
      <c r="G722" s="2238">
        <v>59.06</v>
      </c>
      <c r="H722" s="2302">
        <f t="shared" si="152"/>
        <v>5002.38</v>
      </c>
      <c r="I722" s="2286"/>
      <c r="J722" s="2237"/>
      <c r="K722" s="2411"/>
      <c r="L722" s="2533"/>
      <c r="M722" s="2238"/>
      <c r="N722" s="2239"/>
      <c r="O722" s="2498">
        <f t="shared" si="153"/>
        <v>5002.38</v>
      </c>
      <c r="P722" s="2295">
        <f t="shared" si="154"/>
        <v>1</v>
      </c>
    </row>
    <row r="723" spans="1:16" ht="45">
      <c r="A723" s="2272" t="s">
        <v>13378</v>
      </c>
      <c r="B723" s="2234">
        <f>VLOOKUP($A723,'12 - QT_SUN'!$A:$F,2,0)</f>
        <v>100721</v>
      </c>
      <c r="C723" s="2234" t="str">
        <f>VLOOKUP($A723,'12 - QT_SUN'!$A:$F,3,0)</f>
        <v>SINAPI</v>
      </c>
      <c r="D723" s="2375" t="s">
        <v>11067</v>
      </c>
      <c r="E723" s="2236" t="str">
        <f>IF($C723="SINAPI",VLOOKUP($B723,'24.08_ND'!$A:$D,3,0),IF($C723="PRÓPRIA",VLOOKUP($B723,'03-CP'!$C:$H,3,0)))</f>
        <v>M2</v>
      </c>
      <c r="F723" s="2230">
        <v>29.644999999999992</v>
      </c>
      <c r="G723" s="2238">
        <v>26.21</v>
      </c>
      <c r="H723" s="2302">
        <f t="shared" si="152"/>
        <v>776.99</v>
      </c>
      <c r="I723" s="2286"/>
      <c r="J723" s="2237"/>
      <c r="K723" s="2411"/>
      <c r="L723" s="2533"/>
      <c r="M723" s="2238"/>
      <c r="N723" s="2239"/>
      <c r="O723" s="2498">
        <f t="shared" si="153"/>
        <v>776.99</v>
      </c>
      <c r="P723" s="2295">
        <f t="shared" si="154"/>
        <v>1</v>
      </c>
    </row>
    <row r="724" spans="1:16" ht="45">
      <c r="A724" s="2272" t="s">
        <v>13379</v>
      </c>
      <c r="B724" s="2234">
        <f>VLOOKUP($A724,'12 - QT_SUN'!$A:$F,2,0)</f>
        <v>100761</v>
      </c>
      <c r="C724" s="2234" t="str">
        <f>VLOOKUP($A724,'12 - QT_SUN'!$A:$F,3,0)</f>
        <v>SINAPI</v>
      </c>
      <c r="D724" s="2375" t="s">
        <v>11101</v>
      </c>
      <c r="E724" s="2236" t="str">
        <f>IF($C724="SINAPI",VLOOKUP($B724,'24.08_ND'!$A:$D,3,0),IF($C724="PRÓPRIA",VLOOKUP($B724,'03-CP'!$C:$H,3,0)))</f>
        <v>M2</v>
      </c>
      <c r="F724" s="2230">
        <v>29.644999999999992</v>
      </c>
      <c r="G724" s="2238">
        <v>51.38</v>
      </c>
      <c r="H724" s="2302">
        <f t="shared" si="152"/>
        <v>1523.16</v>
      </c>
      <c r="I724" s="2286"/>
      <c r="J724" s="2237"/>
      <c r="K724" s="2411"/>
      <c r="L724" s="2533"/>
      <c r="M724" s="2238"/>
      <c r="N724" s="2239"/>
      <c r="O724" s="2498">
        <f t="shared" si="153"/>
        <v>1523.16</v>
      </c>
      <c r="P724" s="2295">
        <f t="shared" si="154"/>
        <v>1</v>
      </c>
    </row>
    <row r="725" spans="1:16" ht="30">
      <c r="A725" s="2342" t="s">
        <v>13380</v>
      </c>
      <c r="B725" s="2223"/>
      <c r="C725" s="2223"/>
      <c r="D725" s="2376" t="s">
        <v>16301</v>
      </c>
      <c r="E725" s="2224"/>
      <c r="F725" s="2240"/>
      <c r="G725" s="2226"/>
      <c r="H725" s="2301">
        <f>SUBTOTAL(9,H726:H746)</f>
        <v>431591.75999999995</v>
      </c>
      <c r="I725" s="2284"/>
      <c r="J725" s="2227"/>
      <c r="K725" s="2496"/>
      <c r="L725" s="2534">
        <f>SUBTOTAL(9,L726:L746)</f>
        <v>0</v>
      </c>
      <c r="M725" s="2301">
        <f>SUBTOTAL(9,M726:M746)</f>
        <v>0</v>
      </c>
      <c r="N725" s="2301">
        <f>SUBTOTAL(9,N726:N746)</f>
        <v>0</v>
      </c>
      <c r="O725" s="2301">
        <f>SUBTOTAL(9,O726:O746)</f>
        <v>431591.75999999995</v>
      </c>
      <c r="P725" s="2293"/>
    </row>
    <row r="726" spans="1:16" ht="30">
      <c r="A726" s="2272" t="s">
        <v>13381</v>
      </c>
      <c r="B726" s="2228" t="str">
        <f>VLOOKUP($A726,'12 - QT_SUN'!$A:$F,2,0)</f>
        <v>PS-CP-74</v>
      </c>
      <c r="C726" s="2228" t="str">
        <f>VLOOKUP($A726,'12 - QT_SUN'!$A:$F,3,0)</f>
        <v>PRÓPRIA</v>
      </c>
      <c r="D726" s="2375" t="s">
        <v>14924</v>
      </c>
      <c r="E726" s="2229" t="str">
        <f>IF($C726="SINAPI",VLOOKUP($B726,'24.08_ND'!$A:$D,3,0),IF($C726="PRÓPRIA",VLOOKUP($B726,'03-CP'!$C:$H,3,0)))</f>
        <v>UN</v>
      </c>
      <c r="F726" s="2230">
        <v>8</v>
      </c>
      <c r="G726" s="2232">
        <v>22.25</v>
      </c>
      <c r="H726" s="2302">
        <f t="shared" ref="H726:H746" si="155">TRUNC((G726*F726),2)</f>
        <v>178</v>
      </c>
      <c r="I726" s="2287"/>
      <c r="J726" s="2231"/>
      <c r="K726" s="2412"/>
      <c r="L726" s="2536"/>
      <c r="M726" s="2232"/>
      <c r="N726" s="2557"/>
      <c r="O726" s="2498">
        <f t="shared" ref="O726:O746" si="156">H726-L726</f>
        <v>178</v>
      </c>
      <c r="P726" s="2295">
        <f t="shared" ref="P726:P746" si="157">O726/H726</f>
        <v>1</v>
      </c>
    </row>
    <row r="727" spans="1:16" ht="60">
      <c r="A727" s="2272" t="s">
        <v>13382</v>
      </c>
      <c r="B727" s="2228" t="str">
        <f>VLOOKUP($A727,'12 - QT_SUN'!$A:$F,2,0)</f>
        <v>PS-CP-75</v>
      </c>
      <c r="C727" s="2228" t="str">
        <f>VLOOKUP($A727,'12 - QT_SUN'!$A:$F,3,0)</f>
        <v>PRÓPRIA</v>
      </c>
      <c r="D727" s="2375" t="s">
        <v>14927</v>
      </c>
      <c r="E727" s="2229" t="str">
        <f>IF($C727="SINAPI",VLOOKUP($B727,'24.08_ND'!$A:$D,3,0),IF($C727="PRÓPRIA",VLOOKUP($B727,'03-CP'!$C:$H,3,0)))</f>
        <v>M</v>
      </c>
      <c r="F727" s="2230">
        <v>141.65</v>
      </c>
      <c r="G727" s="2232">
        <v>291.25</v>
      </c>
      <c r="H727" s="2302">
        <f t="shared" si="155"/>
        <v>41255.56</v>
      </c>
      <c r="I727" s="2287"/>
      <c r="J727" s="2231"/>
      <c r="K727" s="2412"/>
      <c r="L727" s="2536"/>
      <c r="M727" s="2232"/>
      <c r="N727" s="2557"/>
      <c r="O727" s="2498">
        <f t="shared" si="156"/>
        <v>41255.56</v>
      </c>
      <c r="P727" s="2295">
        <f t="shared" si="157"/>
        <v>1</v>
      </c>
    </row>
    <row r="728" spans="1:16">
      <c r="A728" s="2272" t="s">
        <v>13383</v>
      </c>
      <c r="B728" s="2234">
        <f>VLOOKUP($A728,'12 - QT_SUN'!$A:$F,2,0)</f>
        <v>98504</v>
      </c>
      <c r="C728" s="2234" t="str">
        <f>VLOOKUP($A728,'12 - QT_SUN'!$A:$F,3,0)</f>
        <v>SINAPI</v>
      </c>
      <c r="D728" s="2375" t="s">
        <v>12075</v>
      </c>
      <c r="E728" s="2236" t="str">
        <f>IF($C728="SINAPI",VLOOKUP($B728,'24.08_ND'!$A:$D,3,0),IF($C728="PRÓPRIA",VLOOKUP($B728,'03-CP'!$C:$H,3,0)))</f>
        <v>M2</v>
      </c>
      <c r="F728" s="2230">
        <v>766.28</v>
      </c>
      <c r="G728" s="2238">
        <v>16.86</v>
      </c>
      <c r="H728" s="2302">
        <f t="shared" si="155"/>
        <v>12919.48</v>
      </c>
      <c r="I728" s="2286"/>
      <c r="J728" s="2237"/>
      <c r="K728" s="2411"/>
      <c r="L728" s="2533"/>
      <c r="M728" s="2238"/>
      <c r="N728" s="2239"/>
      <c r="O728" s="2498">
        <f t="shared" si="156"/>
        <v>12919.48</v>
      </c>
      <c r="P728" s="2295">
        <f t="shared" si="157"/>
        <v>1</v>
      </c>
    </row>
    <row r="729" spans="1:16" ht="30">
      <c r="A729" s="2272" t="s">
        <v>13384</v>
      </c>
      <c r="B729" s="2234">
        <f>VLOOKUP($A729,'12 - QT_SUN'!$A:$F,2,0)</f>
        <v>103946</v>
      </c>
      <c r="C729" s="2234" t="str">
        <f>VLOOKUP($A729,'12 - QT_SUN'!$A:$F,3,0)</f>
        <v>SINAPI</v>
      </c>
      <c r="D729" s="2375" t="s">
        <v>12077</v>
      </c>
      <c r="E729" s="2236" t="str">
        <f>IF($C729="SINAPI",VLOOKUP($B729,'24.08_ND'!$A:$D,3,0),IF($C729="PRÓPRIA",VLOOKUP($B729,'03-CP'!$C:$H,3,0)))</f>
        <v>M2</v>
      </c>
      <c r="F729" s="2230">
        <v>838.82999999999993</v>
      </c>
      <c r="G729" s="2238">
        <v>22.07</v>
      </c>
      <c r="H729" s="2302">
        <f t="shared" si="155"/>
        <v>18512.97</v>
      </c>
      <c r="I729" s="2286"/>
      <c r="J729" s="2237"/>
      <c r="K729" s="2411"/>
      <c r="L729" s="2533"/>
      <c r="M729" s="2238"/>
      <c r="N729" s="2239"/>
      <c r="O729" s="2498">
        <f t="shared" si="156"/>
        <v>18512.97</v>
      </c>
      <c r="P729" s="2295">
        <f t="shared" si="157"/>
        <v>1</v>
      </c>
    </row>
    <row r="730" spans="1:16">
      <c r="A730" s="2272" t="s">
        <v>13385</v>
      </c>
      <c r="B730" s="2234">
        <f>VLOOKUP($A730,'12 - QT_SUN'!$A:$F,2,0)</f>
        <v>98505</v>
      </c>
      <c r="C730" s="2234" t="str">
        <f>VLOOKUP($A730,'12 - QT_SUN'!$A:$F,3,0)</f>
        <v>SINAPI</v>
      </c>
      <c r="D730" s="2375" t="s">
        <v>12076</v>
      </c>
      <c r="E730" s="2236" t="str">
        <f>IF($C730="SINAPI",VLOOKUP($B730,'24.08_ND'!$A:$D,3,0),IF($C730="PRÓPRIA",VLOOKUP($B730,'03-CP'!$C:$H,3,0)))</f>
        <v>M2</v>
      </c>
      <c r="F730" s="2230">
        <v>22.17</v>
      </c>
      <c r="G730" s="2238">
        <v>135.16999999999999</v>
      </c>
      <c r="H730" s="2302">
        <f t="shared" si="155"/>
        <v>2996.71</v>
      </c>
      <c r="I730" s="2286"/>
      <c r="J730" s="2237"/>
      <c r="K730" s="2411"/>
      <c r="L730" s="2533"/>
      <c r="M730" s="2238"/>
      <c r="N730" s="2239"/>
      <c r="O730" s="2498">
        <f t="shared" si="156"/>
        <v>2996.71</v>
      </c>
      <c r="P730" s="2295">
        <f t="shared" si="157"/>
        <v>1</v>
      </c>
    </row>
    <row r="731" spans="1:16">
      <c r="A731" s="2272" t="s">
        <v>13386</v>
      </c>
      <c r="B731" s="2228" t="str">
        <f>VLOOKUP($A731,'12 - QT_SUN'!$A:$F,2,0)</f>
        <v>CP-PSG-03</v>
      </c>
      <c r="C731" s="2228" t="str">
        <f>VLOOKUP($A731,'12 - QT_SUN'!$A:$F,3,0)</f>
        <v>PRÓPRIA</v>
      </c>
      <c r="D731" s="2375" t="s">
        <v>15084</v>
      </c>
      <c r="E731" s="2229" t="str">
        <f>IF($C731="SINAPI",VLOOKUP($B731,'24.08_ND'!$A:$D,3,0),IF($C731="PRÓPRIA",VLOOKUP($B731,'03-CP'!$C:$H,3,0)))</f>
        <v>M2</v>
      </c>
      <c r="F731" s="2230">
        <v>35.119999999999997</v>
      </c>
      <c r="G731" s="2232">
        <v>76.510000000000005</v>
      </c>
      <c r="H731" s="2302">
        <f t="shared" si="155"/>
        <v>2687.03</v>
      </c>
      <c r="I731" s="2287"/>
      <c r="J731" s="2231"/>
      <c r="K731" s="2412"/>
      <c r="L731" s="2536"/>
      <c r="M731" s="2232"/>
      <c r="N731" s="2557"/>
      <c r="O731" s="2498">
        <f t="shared" si="156"/>
        <v>2687.03</v>
      </c>
      <c r="P731" s="2295">
        <f t="shared" si="157"/>
        <v>1</v>
      </c>
    </row>
    <row r="732" spans="1:16" ht="30">
      <c r="A732" s="2272" t="s">
        <v>13387</v>
      </c>
      <c r="B732" s="2234">
        <f>VLOOKUP($A732,'12 - QT_SUN'!$A:$F,2,0)</f>
        <v>98511</v>
      </c>
      <c r="C732" s="2234" t="str">
        <f>VLOOKUP($A732,'12 - QT_SUN'!$A:$F,3,0)</f>
        <v>SINAPI</v>
      </c>
      <c r="D732" s="2375" t="s">
        <v>12066</v>
      </c>
      <c r="E732" s="2236" t="str">
        <f>IF($C732="SINAPI",VLOOKUP($B732,'24.08_ND'!$A:$D,3,0),IF($C732="PRÓPRIA",VLOOKUP($B732,'03-CP'!$C:$H,3,0)))</f>
        <v>UN</v>
      </c>
      <c r="F732" s="2230">
        <v>16</v>
      </c>
      <c r="G732" s="2238">
        <v>257.63</v>
      </c>
      <c r="H732" s="2302">
        <f t="shared" si="155"/>
        <v>4122.08</v>
      </c>
      <c r="I732" s="2286"/>
      <c r="J732" s="2237"/>
      <c r="K732" s="2411"/>
      <c r="L732" s="2533"/>
      <c r="M732" s="2238"/>
      <c r="N732" s="2239"/>
      <c r="O732" s="2498">
        <f t="shared" si="156"/>
        <v>4122.08</v>
      </c>
      <c r="P732" s="2295">
        <f t="shared" si="157"/>
        <v>1</v>
      </c>
    </row>
    <row r="733" spans="1:16" ht="30">
      <c r="A733" s="2272" t="s">
        <v>13388</v>
      </c>
      <c r="B733" s="2234">
        <f>VLOOKUP($A733,'12 - QT_SUN'!$A:$F,2,0)</f>
        <v>98510</v>
      </c>
      <c r="C733" s="2234" t="str">
        <f>VLOOKUP($A733,'12 - QT_SUN'!$A:$F,3,0)</f>
        <v>SINAPI</v>
      </c>
      <c r="D733" s="2375" t="s">
        <v>12065</v>
      </c>
      <c r="E733" s="2236" t="str">
        <f>IF($C733="SINAPI",VLOOKUP($B733,'24.08_ND'!$A:$D,3,0),IF($C733="PRÓPRIA",VLOOKUP($B733,'03-CP'!$C:$H,3,0)))</f>
        <v>UN</v>
      </c>
      <c r="F733" s="2230">
        <v>40</v>
      </c>
      <c r="G733" s="2238">
        <v>138.51</v>
      </c>
      <c r="H733" s="2302">
        <f t="shared" si="155"/>
        <v>5540.4</v>
      </c>
      <c r="I733" s="2286"/>
      <c r="J733" s="2237"/>
      <c r="K733" s="2411"/>
      <c r="L733" s="2533"/>
      <c r="M733" s="2238"/>
      <c r="N733" s="2239"/>
      <c r="O733" s="2498">
        <f t="shared" si="156"/>
        <v>5540.4</v>
      </c>
      <c r="P733" s="2295">
        <f t="shared" si="157"/>
        <v>1</v>
      </c>
    </row>
    <row r="734" spans="1:16">
      <c r="A734" s="2272" t="s">
        <v>13389</v>
      </c>
      <c r="B734" s="2234">
        <f>VLOOKUP($A734,'12 - QT_SUN'!$A:$F,2,0)</f>
        <v>98509</v>
      </c>
      <c r="C734" s="2234" t="str">
        <f>VLOOKUP($A734,'12 - QT_SUN'!$A:$F,3,0)</f>
        <v>SINAPI</v>
      </c>
      <c r="D734" s="2375" t="s">
        <v>12064</v>
      </c>
      <c r="E734" s="2236" t="str">
        <f>IF($C734="SINAPI",VLOOKUP($B734,'24.08_ND'!$A:$D,3,0),IF($C734="PRÓPRIA",VLOOKUP($B734,'03-CP'!$C:$H,3,0)))</f>
        <v>UN</v>
      </c>
      <c r="F734" s="2230">
        <v>108</v>
      </c>
      <c r="G734" s="2238">
        <v>92.78</v>
      </c>
      <c r="H734" s="2302">
        <f t="shared" si="155"/>
        <v>10020.24</v>
      </c>
      <c r="I734" s="2286"/>
      <c r="J734" s="2237"/>
      <c r="K734" s="2411"/>
      <c r="L734" s="2533"/>
      <c r="M734" s="2238"/>
      <c r="N734" s="2239"/>
      <c r="O734" s="2498">
        <f t="shared" si="156"/>
        <v>10020.24</v>
      </c>
      <c r="P734" s="2295">
        <f t="shared" si="157"/>
        <v>1</v>
      </c>
    </row>
    <row r="735" spans="1:16">
      <c r="A735" s="2272" t="s">
        <v>13390</v>
      </c>
      <c r="B735" s="2228" t="str">
        <f>VLOOKUP($A735,'12 - QT_SUN'!$A:$F,2,0)</f>
        <v>CP-PSG-04</v>
      </c>
      <c r="C735" s="2228" t="str">
        <f>VLOOKUP($A735,'12 - QT_SUN'!$A:$F,3,0)</f>
        <v>PRÓPRIA</v>
      </c>
      <c r="D735" s="2375" t="s">
        <v>15087</v>
      </c>
      <c r="E735" s="2229" t="str">
        <f>IF($C735="SINAPI",VLOOKUP($B735,'24.08_ND'!$A:$D,3,0),IF($C735="PRÓPRIA",VLOOKUP($B735,'03-CP'!$C:$H,3,0)))</f>
        <v>UN</v>
      </c>
      <c r="F735" s="2230">
        <v>168</v>
      </c>
      <c r="G735" s="2232">
        <v>108.67</v>
      </c>
      <c r="H735" s="2302">
        <f t="shared" si="155"/>
        <v>18256.560000000001</v>
      </c>
      <c r="I735" s="2287"/>
      <c r="J735" s="2231"/>
      <c r="K735" s="2412"/>
      <c r="L735" s="2536"/>
      <c r="M735" s="2232"/>
      <c r="N735" s="2557"/>
      <c r="O735" s="2498">
        <f t="shared" si="156"/>
        <v>18256.560000000001</v>
      </c>
      <c r="P735" s="2295">
        <f t="shared" si="157"/>
        <v>1</v>
      </c>
    </row>
    <row r="736" spans="1:16">
      <c r="A736" s="2272" t="s">
        <v>13391</v>
      </c>
      <c r="B736" s="2228" t="str">
        <f>VLOOKUP($A736,'12 - QT_SUN'!$A:$F,2,0)</f>
        <v>CP-PSG-05</v>
      </c>
      <c r="C736" s="2228" t="str">
        <f>VLOOKUP($A736,'12 - QT_SUN'!$A:$F,3,0)</f>
        <v>PRÓPRIA</v>
      </c>
      <c r="D736" s="2375" t="s">
        <v>15090</v>
      </c>
      <c r="E736" s="2229" t="str">
        <f>IF($C736="SINAPI",VLOOKUP($B736,'24.08_ND'!$A:$D,3,0),IF($C736="PRÓPRIA",VLOOKUP($B736,'03-CP'!$C:$H,3,0)))</f>
        <v>UN</v>
      </c>
      <c r="F736" s="2230">
        <v>83</v>
      </c>
      <c r="G736" s="2232">
        <v>18.07</v>
      </c>
      <c r="H736" s="2302">
        <f t="shared" si="155"/>
        <v>1499.81</v>
      </c>
      <c r="I736" s="2287"/>
      <c r="J736" s="2231"/>
      <c r="K736" s="2412"/>
      <c r="L736" s="2536"/>
      <c r="M736" s="2232"/>
      <c r="N736" s="2557"/>
      <c r="O736" s="2498">
        <f t="shared" si="156"/>
        <v>1499.81</v>
      </c>
      <c r="P736" s="2295">
        <f t="shared" si="157"/>
        <v>1</v>
      </c>
    </row>
    <row r="737" spans="1:16">
      <c r="A737" s="2272" t="s">
        <v>13392</v>
      </c>
      <c r="B737" s="2228" t="str">
        <f>VLOOKUP($A737,'12 - QT_SUN'!$A:$F,2,0)</f>
        <v>CP-PSG-06</v>
      </c>
      <c r="C737" s="2228" t="str">
        <f>VLOOKUP($A737,'12 - QT_SUN'!$A:$F,3,0)</f>
        <v>PRÓPRIA</v>
      </c>
      <c r="D737" s="2375" t="s">
        <v>15092</v>
      </c>
      <c r="E737" s="2229" t="str">
        <f>IF($C737="SINAPI",VLOOKUP($B737,'24.08_ND'!$A:$D,3,0),IF($C737="PRÓPRIA",VLOOKUP($B737,'03-CP'!$C:$H,3,0)))</f>
        <v>UN</v>
      </c>
      <c r="F737" s="2230">
        <v>84</v>
      </c>
      <c r="G737" s="2232">
        <v>42.56</v>
      </c>
      <c r="H737" s="2302">
        <f t="shared" si="155"/>
        <v>3575.04</v>
      </c>
      <c r="I737" s="2287"/>
      <c r="J737" s="2231"/>
      <c r="K737" s="2412"/>
      <c r="L737" s="2536"/>
      <c r="M737" s="2232"/>
      <c r="N737" s="2557"/>
      <c r="O737" s="2498">
        <f t="shared" si="156"/>
        <v>3575.04</v>
      </c>
      <c r="P737" s="2295">
        <f t="shared" si="157"/>
        <v>1</v>
      </c>
    </row>
    <row r="738" spans="1:16">
      <c r="A738" s="2272" t="s">
        <v>13393</v>
      </c>
      <c r="B738" s="2228" t="str">
        <f>VLOOKUP($A738,'12 - QT_SUN'!$A:$F,2,0)</f>
        <v>CP-PSG-07</v>
      </c>
      <c r="C738" s="2228" t="str">
        <f>VLOOKUP($A738,'12 - QT_SUN'!$A:$F,3,0)</f>
        <v>PRÓPRIA</v>
      </c>
      <c r="D738" s="2375" t="s">
        <v>15096</v>
      </c>
      <c r="E738" s="2229" t="str">
        <f>IF($C738="SINAPI",VLOOKUP($B738,'24.08_ND'!$A:$D,3,0),IF($C738="PRÓPRIA",VLOOKUP($B738,'03-CP'!$C:$H,3,0)))</f>
        <v>UN</v>
      </c>
      <c r="F738" s="2230">
        <v>248</v>
      </c>
      <c r="G738" s="2232">
        <v>27.7</v>
      </c>
      <c r="H738" s="2302">
        <f t="shared" si="155"/>
        <v>6869.6</v>
      </c>
      <c r="I738" s="2287"/>
      <c r="J738" s="2231"/>
      <c r="K738" s="2412"/>
      <c r="L738" s="2536"/>
      <c r="M738" s="2232"/>
      <c r="N738" s="2557"/>
      <c r="O738" s="2498">
        <f t="shared" si="156"/>
        <v>6869.6</v>
      </c>
      <c r="P738" s="2295">
        <f t="shared" si="157"/>
        <v>1</v>
      </c>
    </row>
    <row r="739" spans="1:16">
      <c r="A739" s="2272" t="s">
        <v>13394</v>
      </c>
      <c r="B739" s="2228" t="str">
        <f>VLOOKUP($A739,'12 - QT_SUN'!$A:$F,2,0)</f>
        <v>CP-PSG-08</v>
      </c>
      <c r="C739" s="2228" t="str">
        <f>VLOOKUP($A739,'12 - QT_SUN'!$A:$F,3,0)</f>
        <v>PRÓPRIA</v>
      </c>
      <c r="D739" s="2375" t="s">
        <v>15098</v>
      </c>
      <c r="E739" s="2229" t="str">
        <f>IF($C739="SINAPI",VLOOKUP($B739,'24.08_ND'!$A:$D,3,0),IF($C739="PRÓPRIA",VLOOKUP($B739,'03-CP'!$C:$H,3,0)))</f>
        <v>M3</v>
      </c>
      <c r="F739" s="2230">
        <v>20</v>
      </c>
      <c r="G739" s="2232">
        <v>200.5</v>
      </c>
      <c r="H739" s="2302">
        <f t="shared" si="155"/>
        <v>4010</v>
      </c>
      <c r="I739" s="2287"/>
      <c r="J739" s="2231"/>
      <c r="K739" s="2412"/>
      <c r="L739" s="2536"/>
      <c r="M739" s="2232"/>
      <c r="N739" s="2557"/>
      <c r="O739" s="2498">
        <f t="shared" si="156"/>
        <v>4010</v>
      </c>
      <c r="P739" s="2295">
        <f t="shared" si="157"/>
        <v>1</v>
      </c>
    </row>
    <row r="740" spans="1:16">
      <c r="A740" s="2272" t="s">
        <v>13395</v>
      </c>
      <c r="B740" s="2228" t="str">
        <f>VLOOKUP($A740,'12 - QT_SUN'!$A:$F,2,0)</f>
        <v>CP-PSG-09</v>
      </c>
      <c r="C740" s="2228" t="str">
        <f>VLOOKUP($A740,'12 - QT_SUN'!$A:$F,3,0)</f>
        <v>PRÓPRIA</v>
      </c>
      <c r="D740" s="2375" t="s">
        <v>15100</v>
      </c>
      <c r="E740" s="2229" t="str">
        <f>IF($C740="SINAPI",VLOOKUP($B740,'24.08_ND'!$A:$D,3,0),IF($C740="PRÓPRIA",VLOOKUP($B740,'03-CP'!$C:$H,3,0)))</f>
        <v>UN</v>
      </c>
      <c r="F740" s="2230">
        <v>32</v>
      </c>
      <c r="G740" s="2232">
        <v>1798.33</v>
      </c>
      <c r="H740" s="2302">
        <f t="shared" si="155"/>
        <v>57546.559999999998</v>
      </c>
      <c r="I740" s="2287"/>
      <c r="J740" s="2231"/>
      <c r="K740" s="2412"/>
      <c r="L740" s="2536"/>
      <c r="M740" s="2232"/>
      <c r="N740" s="2557"/>
      <c r="O740" s="2498">
        <f t="shared" si="156"/>
        <v>57546.559999999998</v>
      </c>
      <c r="P740" s="2295">
        <f t="shared" si="157"/>
        <v>1</v>
      </c>
    </row>
    <row r="741" spans="1:16">
      <c r="A741" s="2272" t="s">
        <v>13396</v>
      </c>
      <c r="B741" s="2228" t="str">
        <f>VLOOKUP($A741,'12 - QT_SUN'!$A:$F,2,0)</f>
        <v>CP-PSG-10</v>
      </c>
      <c r="C741" s="2228" t="str">
        <f>VLOOKUP($A741,'12 - QT_SUN'!$A:$F,3,0)</f>
        <v>PRÓPRIA</v>
      </c>
      <c r="D741" s="2375" t="s">
        <v>15103</v>
      </c>
      <c r="E741" s="2229" t="str">
        <f>IF($C741="SINAPI",VLOOKUP($B741,'24.08_ND'!$A:$D,3,0),IF($C741="PRÓPRIA",VLOOKUP($B741,'03-CP'!$C:$H,3,0)))</f>
        <v>UN</v>
      </c>
      <c r="F741" s="2230">
        <v>28</v>
      </c>
      <c r="G741" s="2232">
        <v>547.86</v>
      </c>
      <c r="H741" s="2302">
        <f t="shared" si="155"/>
        <v>15340.08</v>
      </c>
      <c r="I741" s="2287"/>
      <c r="J741" s="2231"/>
      <c r="K741" s="2412"/>
      <c r="L741" s="2536"/>
      <c r="M741" s="2232"/>
      <c r="N741" s="2557"/>
      <c r="O741" s="2498">
        <f t="shared" si="156"/>
        <v>15340.08</v>
      </c>
      <c r="P741" s="2295">
        <f t="shared" si="157"/>
        <v>1</v>
      </c>
    </row>
    <row r="742" spans="1:16">
      <c r="A742" s="2272" t="s">
        <v>13397</v>
      </c>
      <c r="B742" s="2228" t="str">
        <f>VLOOKUP($A742,'12 - QT_SUN'!$A:$F,2,0)</f>
        <v>CP-PSG-11</v>
      </c>
      <c r="C742" s="2228" t="str">
        <f>VLOOKUP($A742,'12 - QT_SUN'!$A:$F,3,0)</f>
        <v>PRÓPRIA</v>
      </c>
      <c r="D742" s="2375" t="s">
        <v>15106</v>
      </c>
      <c r="E742" s="2229" t="str">
        <f>IF($C742="SINAPI",VLOOKUP($B742,'24.08_ND'!$A:$D,3,0),IF($C742="PRÓPRIA",VLOOKUP($B742,'03-CP'!$C:$H,3,0)))</f>
        <v>UN</v>
      </c>
      <c r="F742" s="2230">
        <v>3</v>
      </c>
      <c r="G742" s="2232">
        <v>8412.33</v>
      </c>
      <c r="H742" s="2302">
        <f t="shared" si="155"/>
        <v>25236.99</v>
      </c>
      <c r="I742" s="2287"/>
      <c r="J742" s="2231"/>
      <c r="K742" s="2412"/>
      <c r="L742" s="2536"/>
      <c r="M742" s="2232"/>
      <c r="N742" s="2557"/>
      <c r="O742" s="2498">
        <f t="shared" si="156"/>
        <v>25236.99</v>
      </c>
      <c r="P742" s="2295">
        <f t="shared" si="157"/>
        <v>1</v>
      </c>
    </row>
    <row r="743" spans="1:16">
      <c r="A743" s="2272" t="s">
        <v>13398</v>
      </c>
      <c r="B743" s="2228" t="str">
        <f>VLOOKUP($A743,'12 - QT_SUN'!$A:$F,2,0)</f>
        <v>CP-PSG-12</v>
      </c>
      <c r="C743" s="2228" t="str">
        <f>VLOOKUP($A743,'12 - QT_SUN'!$A:$F,3,0)</f>
        <v>PRÓPRIA</v>
      </c>
      <c r="D743" s="2375" t="s">
        <v>15109</v>
      </c>
      <c r="E743" s="2229" t="str">
        <f>IF($C743="SINAPI",VLOOKUP($B743,'24.08_ND'!$A:$D,3,0),IF($C743="PRÓPRIA",VLOOKUP($B743,'03-CP'!$C:$H,3,0)))</f>
        <v>UN</v>
      </c>
      <c r="F743" s="2230">
        <v>16</v>
      </c>
      <c r="G743" s="2232">
        <v>517.01</v>
      </c>
      <c r="H743" s="2302">
        <f t="shared" si="155"/>
        <v>8272.16</v>
      </c>
      <c r="I743" s="2287"/>
      <c r="J743" s="2231"/>
      <c r="K743" s="2412"/>
      <c r="L743" s="2536"/>
      <c r="M743" s="2232"/>
      <c r="N743" s="2557"/>
      <c r="O743" s="2498">
        <f t="shared" si="156"/>
        <v>8272.16</v>
      </c>
      <c r="P743" s="2295">
        <f t="shared" si="157"/>
        <v>1</v>
      </c>
    </row>
    <row r="744" spans="1:16" ht="45">
      <c r="A744" s="2272" t="s">
        <v>13399</v>
      </c>
      <c r="B744" s="2228" t="str">
        <f>VLOOKUP($A744,'12 - QT_SUN'!$A:$F,2,0)</f>
        <v>AS-CP-ARQ-07</v>
      </c>
      <c r="C744" s="2228" t="str">
        <f>VLOOKUP($A744,'12 - QT_SUN'!$A:$F,3,0)</f>
        <v>PRÓPRIA</v>
      </c>
      <c r="D744" s="2375" t="s">
        <v>14990</v>
      </c>
      <c r="E744" s="2229" t="str">
        <f>IF($C744="SINAPI",VLOOKUP($B744,'24.08_ND'!$A:$D,3,0),IF($C744="PRÓPRIA",VLOOKUP($B744,'03-CP'!$C:$H,3,0)))</f>
        <v>M2</v>
      </c>
      <c r="F744" s="2230">
        <v>55.552500000000002</v>
      </c>
      <c r="G744" s="2232">
        <v>428.1</v>
      </c>
      <c r="H744" s="2302">
        <f t="shared" si="155"/>
        <v>23782.02</v>
      </c>
      <c r="I744" s="2287"/>
      <c r="J744" s="2231"/>
      <c r="K744" s="2412"/>
      <c r="L744" s="2536"/>
      <c r="M744" s="2232"/>
      <c r="N744" s="2557"/>
      <c r="O744" s="2498">
        <f t="shared" si="156"/>
        <v>23782.02</v>
      </c>
      <c r="P744" s="2295">
        <f t="shared" si="157"/>
        <v>1</v>
      </c>
    </row>
    <row r="745" spans="1:16" ht="75">
      <c r="A745" s="2272" t="s">
        <v>13400</v>
      </c>
      <c r="B745" s="2228" t="str">
        <f>VLOOKUP($A745,'12 - QT_SUN'!$A:$F,2,0)</f>
        <v>AS-CP-ARQ-08</v>
      </c>
      <c r="C745" s="2228" t="str">
        <f>VLOOKUP($A745,'12 - QT_SUN'!$A:$F,3,0)</f>
        <v>PRÓPRIA</v>
      </c>
      <c r="D745" s="2378" t="s">
        <v>14994</v>
      </c>
      <c r="E745" s="2229" t="str">
        <f>IF($C745="SINAPI",VLOOKUP($B745,'24.08_ND'!$A:$D,3,0),IF($C745="PRÓPRIA",VLOOKUP($B745,'03-CP'!$C:$H,3,0)))</f>
        <v>M</v>
      </c>
      <c r="F745" s="2230">
        <v>68</v>
      </c>
      <c r="G745" s="2232">
        <v>836.77</v>
      </c>
      <c r="H745" s="2302">
        <f t="shared" si="155"/>
        <v>56900.36</v>
      </c>
      <c r="I745" s="2287"/>
      <c r="J745" s="2231"/>
      <c r="K745" s="2412"/>
      <c r="L745" s="2536"/>
      <c r="M745" s="2232"/>
      <c r="N745" s="2557"/>
      <c r="O745" s="2498">
        <f t="shared" si="156"/>
        <v>56900.36</v>
      </c>
      <c r="P745" s="2295">
        <f t="shared" si="157"/>
        <v>1</v>
      </c>
    </row>
    <row r="746" spans="1:16" ht="30">
      <c r="A746" s="2272" t="s">
        <v>13401</v>
      </c>
      <c r="B746" s="2228" t="str">
        <f>VLOOKUP($A746,'12 - QT_SUN'!$A:$F,2,0)</f>
        <v>AS-CP-ARQ-09</v>
      </c>
      <c r="C746" s="2228" t="str">
        <f>VLOOKUP($A746,'12 - QT_SUN'!$A:$F,3,0)</f>
        <v>PRÓPRIA</v>
      </c>
      <c r="D746" s="2375" t="s">
        <v>14996</v>
      </c>
      <c r="E746" s="2229" t="str">
        <f>IF($C746="SINAPI",VLOOKUP($B746,'24.08_ND'!$A:$D,3,0),IF($C746="PRÓPRIA",VLOOKUP($B746,'03-CP'!$C:$H,3,0)))</f>
        <v>M2</v>
      </c>
      <c r="F746" s="2230">
        <v>174.4092</v>
      </c>
      <c r="G746" s="2232">
        <v>642.57000000000005</v>
      </c>
      <c r="H746" s="2302">
        <f t="shared" si="155"/>
        <v>112070.11</v>
      </c>
      <c r="I746" s="2287"/>
      <c r="J746" s="2231"/>
      <c r="K746" s="2412"/>
      <c r="L746" s="2536"/>
      <c r="M746" s="2232"/>
      <c r="N746" s="2557"/>
      <c r="O746" s="2498">
        <f t="shared" si="156"/>
        <v>112070.11</v>
      </c>
      <c r="P746" s="2295">
        <f t="shared" si="157"/>
        <v>1</v>
      </c>
    </row>
    <row r="747" spans="1:16">
      <c r="A747" s="2267" t="s">
        <v>12632</v>
      </c>
      <c r="B747" s="2216"/>
      <c r="C747" s="2217"/>
      <c r="D747" s="2377" t="s">
        <v>16310</v>
      </c>
      <c r="E747" s="2218"/>
      <c r="F747" s="2241"/>
      <c r="G747" s="2220"/>
      <c r="H747" s="2300">
        <f>SUBTOTAL(9,H748:H786)</f>
        <v>118949.92</v>
      </c>
      <c r="I747" s="2283"/>
      <c r="J747" s="2221"/>
      <c r="K747" s="2492"/>
      <c r="L747" s="2532">
        <f>SUBTOTAL(9,L748:L786)</f>
        <v>0</v>
      </c>
      <c r="M747" s="2300">
        <f>SUBTOTAL(9,M748:M786)</f>
        <v>0</v>
      </c>
      <c r="N747" s="2300">
        <f>SUBTOTAL(9,N748:N786)</f>
        <v>0</v>
      </c>
      <c r="O747" s="2300">
        <f>SUBTOTAL(9,O748:O786)</f>
        <v>118949.92</v>
      </c>
      <c r="P747" s="2292"/>
    </row>
    <row r="748" spans="1:16">
      <c r="A748" s="2343" t="s">
        <v>13402</v>
      </c>
      <c r="B748" s="2223"/>
      <c r="C748" s="2223"/>
      <c r="D748" s="2376" t="s">
        <v>16312</v>
      </c>
      <c r="E748" s="2224"/>
      <c r="F748" s="2240"/>
      <c r="G748" s="2226"/>
      <c r="H748" s="2301">
        <f>SUBTOTAL(9,H749:H771)</f>
        <v>16299.41</v>
      </c>
      <c r="I748" s="2284"/>
      <c r="J748" s="2227"/>
      <c r="K748" s="2496"/>
      <c r="L748" s="2534">
        <f>SUBTOTAL(9,L749:L771)</f>
        <v>0</v>
      </c>
      <c r="M748" s="2301">
        <f>SUBTOTAL(9,M749:M771)</f>
        <v>0</v>
      </c>
      <c r="N748" s="2301">
        <f>SUBTOTAL(9,N749:N771)</f>
        <v>0</v>
      </c>
      <c r="O748" s="2301">
        <f>SUBTOTAL(9,O749:O771)</f>
        <v>16299.41</v>
      </c>
      <c r="P748" s="2293"/>
    </row>
    <row r="749" spans="1:16" ht="45">
      <c r="A749" s="2272" t="s">
        <v>13403</v>
      </c>
      <c r="B749" s="2228" t="str">
        <f>VLOOKUP($A749,'12 - QT_SUN'!$A:$F,2,0)</f>
        <v>AS-CP-ARQ-14</v>
      </c>
      <c r="C749" s="2228" t="str">
        <f>VLOOKUP($A749,'12 - QT_SUN'!$A:$F,3,0)</f>
        <v>PRÓPRIA</v>
      </c>
      <c r="D749" s="2375" t="s">
        <v>15004</v>
      </c>
      <c r="E749" s="2229" t="str">
        <f>IF($C749="SINAPI",VLOOKUP($B749,'24.08_ND'!$A:$D,3,0),IF($C749="PRÓPRIA",VLOOKUP($B749,'03-CP'!$C:$H,3,0)))</f>
        <v>UN</v>
      </c>
      <c r="F749" s="2230">
        <v>3</v>
      </c>
      <c r="G749" s="2232">
        <v>323.75</v>
      </c>
      <c r="H749" s="2302">
        <f t="shared" ref="H749:H771" si="158">TRUNC((G749*F749),2)</f>
        <v>971.25</v>
      </c>
      <c r="I749" s="2287"/>
      <c r="J749" s="2231"/>
      <c r="K749" s="2412"/>
      <c r="L749" s="2536"/>
      <c r="M749" s="2232"/>
      <c r="N749" s="2557"/>
      <c r="O749" s="2498">
        <f t="shared" ref="O749:O771" si="159">H749-L749</f>
        <v>971.25</v>
      </c>
      <c r="P749" s="2295">
        <f t="shared" ref="P749:P771" si="160">O749/H749</f>
        <v>1</v>
      </c>
    </row>
    <row r="750" spans="1:16" ht="30">
      <c r="A750" s="2272" t="s">
        <v>13404</v>
      </c>
      <c r="B750" s="2234">
        <f>VLOOKUP($A750,'12 - QT_SUN'!$A:$F,2,0)</f>
        <v>94724</v>
      </c>
      <c r="C750" s="2234" t="str">
        <f>VLOOKUP($A750,'12 - QT_SUN'!$A:$F,3,0)</f>
        <v>SINAPI</v>
      </c>
      <c r="D750" s="2375" t="s">
        <v>9407</v>
      </c>
      <c r="E750" s="2236" t="str">
        <f>IF($C750="SINAPI",VLOOKUP($B750,'24.08_ND'!$A:$D,3,0),IF($C750="PRÓPRIA",VLOOKUP($B750,'03-CP'!$C:$H,3,0)))</f>
        <v>UN</v>
      </c>
      <c r="F750" s="2230">
        <v>2</v>
      </c>
      <c r="G750" s="2238">
        <v>28.26</v>
      </c>
      <c r="H750" s="2302">
        <f t="shared" si="158"/>
        <v>56.52</v>
      </c>
      <c r="I750" s="2286"/>
      <c r="J750" s="2237"/>
      <c r="K750" s="2411"/>
      <c r="L750" s="2533"/>
      <c r="M750" s="2238"/>
      <c r="N750" s="2239"/>
      <c r="O750" s="2498">
        <f t="shared" si="159"/>
        <v>56.52</v>
      </c>
      <c r="P750" s="2295">
        <f t="shared" si="160"/>
        <v>1</v>
      </c>
    </row>
    <row r="751" spans="1:16" ht="30">
      <c r="A751" s="2272" t="s">
        <v>13405</v>
      </c>
      <c r="B751" s="2234">
        <f>VLOOKUP($A751,'12 - QT_SUN'!$A:$F,2,0)</f>
        <v>89719</v>
      </c>
      <c r="C751" s="2234" t="str">
        <f>VLOOKUP($A751,'12 - QT_SUN'!$A:$F,3,0)</f>
        <v>SINAPI</v>
      </c>
      <c r="D751" s="2375" t="s">
        <v>8933</v>
      </c>
      <c r="E751" s="2236" t="str">
        <f>IF($C751="SINAPI",VLOOKUP($B751,'24.08_ND'!$A:$D,3,0),IF($C751="PRÓPRIA",VLOOKUP($B751,'03-CP'!$C:$H,3,0)))</f>
        <v>UN</v>
      </c>
      <c r="F751" s="2230">
        <v>1</v>
      </c>
      <c r="G751" s="2238">
        <v>14.95</v>
      </c>
      <c r="H751" s="2302">
        <f t="shared" si="158"/>
        <v>14.95</v>
      </c>
      <c r="I751" s="2286"/>
      <c r="J751" s="2237"/>
      <c r="K751" s="2411"/>
      <c r="L751" s="2533"/>
      <c r="M751" s="2238"/>
      <c r="N751" s="2239"/>
      <c r="O751" s="2498">
        <f t="shared" si="159"/>
        <v>14.95</v>
      </c>
      <c r="P751" s="2295">
        <f t="shared" si="160"/>
        <v>1</v>
      </c>
    </row>
    <row r="752" spans="1:16" ht="45">
      <c r="A752" s="2272" t="s">
        <v>13406</v>
      </c>
      <c r="B752" s="2234">
        <f>VLOOKUP($A752,'12 - QT_SUN'!$A:$F,2,0)</f>
        <v>89644</v>
      </c>
      <c r="C752" s="2234" t="str">
        <f>VLOOKUP($A752,'12 - QT_SUN'!$A:$F,3,0)</f>
        <v>SINAPI</v>
      </c>
      <c r="D752" s="2375" t="s">
        <v>8871</v>
      </c>
      <c r="E752" s="2236" t="str">
        <f>IF($C752="SINAPI",VLOOKUP($B752,'24.08_ND'!$A:$D,3,0),IF($C752="PRÓPRIA",VLOOKUP($B752,'03-CP'!$C:$H,3,0)))</f>
        <v>UN</v>
      </c>
      <c r="F752" s="2230">
        <v>1</v>
      </c>
      <c r="G752" s="2238">
        <v>26.22</v>
      </c>
      <c r="H752" s="2302">
        <f t="shared" si="158"/>
        <v>26.22</v>
      </c>
      <c r="I752" s="2286"/>
      <c r="J752" s="2237"/>
      <c r="K752" s="2411"/>
      <c r="L752" s="2533"/>
      <c r="M752" s="2238"/>
      <c r="N752" s="2239"/>
      <c r="O752" s="2498">
        <f t="shared" si="159"/>
        <v>26.22</v>
      </c>
      <c r="P752" s="2295">
        <f t="shared" si="160"/>
        <v>1</v>
      </c>
    </row>
    <row r="753" spans="1:16" ht="30">
      <c r="A753" s="2272" t="s">
        <v>13407</v>
      </c>
      <c r="B753" s="2234">
        <f>VLOOKUP($A753,'12 - QT_SUN'!$A:$F,2,0)</f>
        <v>89740</v>
      </c>
      <c r="C753" s="2234" t="str">
        <f>VLOOKUP($A753,'12 - QT_SUN'!$A:$F,3,0)</f>
        <v>SINAPI</v>
      </c>
      <c r="D753" s="2375" t="s">
        <v>8953</v>
      </c>
      <c r="E753" s="2236" t="str">
        <f>IF($C753="SINAPI",VLOOKUP($B753,'24.08_ND'!$A:$D,3,0),IF($C753="PRÓPRIA",VLOOKUP($B753,'03-CP'!$C:$H,3,0)))</f>
        <v>UN</v>
      </c>
      <c r="F753" s="2230">
        <v>1</v>
      </c>
      <c r="G753" s="2238">
        <v>10.78</v>
      </c>
      <c r="H753" s="2302">
        <f t="shared" si="158"/>
        <v>10.78</v>
      </c>
      <c r="I753" s="2286"/>
      <c r="J753" s="2237"/>
      <c r="K753" s="2411"/>
      <c r="L753" s="2533"/>
      <c r="M753" s="2238"/>
      <c r="N753" s="2239"/>
      <c r="O753" s="2498">
        <f t="shared" si="159"/>
        <v>10.78</v>
      </c>
      <c r="P753" s="2295">
        <f t="shared" si="160"/>
        <v>1</v>
      </c>
    </row>
    <row r="754" spans="1:16" ht="30">
      <c r="A754" s="2272" t="s">
        <v>13408</v>
      </c>
      <c r="B754" s="2234">
        <f>VLOOKUP($A754,'12 - QT_SUN'!$A:$F,2,0)</f>
        <v>89716</v>
      </c>
      <c r="C754" s="2234" t="str">
        <f>VLOOKUP($A754,'12 - QT_SUN'!$A:$F,3,0)</f>
        <v>SINAPI</v>
      </c>
      <c r="D754" s="2375" t="s">
        <v>8446</v>
      </c>
      <c r="E754" s="2236" t="str">
        <f>IF($C754="SINAPI",VLOOKUP($B754,'24.08_ND'!$A:$D,3,0),IF($C754="PRÓPRIA",VLOOKUP($B754,'03-CP'!$C:$H,3,0)))</f>
        <v>M</v>
      </c>
      <c r="F754" s="2230">
        <v>8.3000000000000007</v>
      </c>
      <c r="G754" s="2238">
        <v>29.62</v>
      </c>
      <c r="H754" s="2302">
        <f t="shared" si="158"/>
        <v>245.84</v>
      </c>
      <c r="I754" s="2286"/>
      <c r="J754" s="2237"/>
      <c r="K754" s="2411"/>
      <c r="L754" s="2533"/>
      <c r="M754" s="2238"/>
      <c r="N754" s="2239"/>
      <c r="O754" s="2498">
        <f t="shared" si="159"/>
        <v>245.84</v>
      </c>
      <c r="P754" s="2295">
        <f t="shared" si="160"/>
        <v>1</v>
      </c>
    </row>
    <row r="755" spans="1:16">
      <c r="A755" s="2272" t="s">
        <v>13409</v>
      </c>
      <c r="B755" s="2228" t="str">
        <f>VLOOKUP($A755,'12 - QT_SUN'!$A:$F,2,0)</f>
        <v>CP-HSD-01</v>
      </c>
      <c r="C755" s="2228" t="str">
        <f>VLOOKUP($A755,'12 - QT_SUN'!$A:$F,3,0)</f>
        <v>PRÓPRIA</v>
      </c>
      <c r="D755" s="2375" t="s">
        <v>15413</v>
      </c>
      <c r="E755" s="2229" t="str">
        <f>IF($C755="SINAPI",VLOOKUP($B755,'24.08_ND'!$A:$D,3,0),IF($C755="PRÓPRIA",VLOOKUP($B755,'03-CP'!$C:$H,3,0)))</f>
        <v>UN</v>
      </c>
      <c r="F755" s="2230">
        <v>1</v>
      </c>
      <c r="G755" s="2232">
        <v>341.33</v>
      </c>
      <c r="H755" s="2302">
        <f t="shared" si="158"/>
        <v>341.33</v>
      </c>
      <c r="I755" s="2287"/>
      <c r="J755" s="2231"/>
      <c r="K755" s="2412"/>
      <c r="L755" s="2536"/>
      <c r="M755" s="2232"/>
      <c r="N755" s="2557"/>
      <c r="O755" s="2498">
        <f t="shared" si="159"/>
        <v>341.33</v>
      </c>
      <c r="P755" s="2295">
        <f t="shared" si="160"/>
        <v>1</v>
      </c>
    </row>
    <row r="756" spans="1:16" ht="30">
      <c r="A756" s="2272" t="s">
        <v>13410</v>
      </c>
      <c r="B756" s="2234">
        <f>VLOOKUP($A756,'12 - QT_SUN'!$A:$F,2,0)</f>
        <v>89427</v>
      </c>
      <c r="C756" s="2234" t="str">
        <f>VLOOKUP($A756,'12 - QT_SUN'!$A:$F,3,0)</f>
        <v>SINAPI</v>
      </c>
      <c r="D756" s="2375" t="s">
        <v>8728</v>
      </c>
      <c r="E756" s="2236" t="str">
        <f>IF($C756="SINAPI",VLOOKUP($B756,'24.08_ND'!$A:$D,3,0),IF($C756="PRÓPRIA",VLOOKUP($B756,'03-CP'!$C:$H,3,0)))</f>
        <v>UN</v>
      </c>
      <c r="F756" s="2230">
        <v>4</v>
      </c>
      <c r="G756" s="2238">
        <v>12.15</v>
      </c>
      <c r="H756" s="2302">
        <f t="shared" si="158"/>
        <v>48.6</v>
      </c>
      <c r="I756" s="2286"/>
      <c r="J756" s="2237"/>
      <c r="K756" s="2411"/>
      <c r="L756" s="2533"/>
      <c r="M756" s="2238"/>
      <c r="N756" s="2239"/>
      <c r="O756" s="2498">
        <f t="shared" si="159"/>
        <v>48.6</v>
      </c>
      <c r="P756" s="2295">
        <f t="shared" si="160"/>
        <v>1</v>
      </c>
    </row>
    <row r="757" spans="1:16">
      <c r="A757" s="2272" t="s">
        <v>13411</v>
      </c>
      <c r="B757" s="2228" t="str">
        <f>VLOOKUP($A757,'12 - QT_SUN'!$A:$F,2,0)</f>
        <v>CP-HSD-39</v>
      </c>
      <c r="C757" s="2228" t="str">
        <f>VLOOKUP($A757,'12 - QT_SUN'!$A:$F,3,0)</f>
        <v>PRÓPRIA</v>
      </c>
      <c r="D757" s="2375" t="s">
        <v>15446</v>
      </c>
      <c r="E757" s="2229" t="str">
        <f>IF($C757="SINAPI",VLOOKUP($B757,'24.08_ND'!$A:$D,3,0),IF($C757="PRÓPRIA",VLOOKUP($B757,'03-CP'!$C:$H,3,0)))</f>
        <v>UN</v>
      </c>
      <c r="F757" s="2230">
        <v>4</v>
      </c>
      <c r="G757" s="2232">
        <v>17.97</v>
      </c>
      <c r="H757" s="2302">
        <f t="shared" si="158"/>
        <v>71.88</v>
      </c>
      <c r="I757" s="2287"/>
      <c r="J757" s="2231"/>
      <c r="K757" s="2412"/>
      <c r="L757" s="2536"/>
      <c r="M757" s="2232"/>
      <c r="N757" s="2557"/>
      <c r="O757" s="2498">
        <f t="shared" si="159"/>
        <v>71.88</v>
      </c>
      <c r="P757" s="2295">
        <f t="shared" si="160"/>
        <v>1</v>
      </c>
    </row>
    <row r="758" spans="1:16" ht="30">
      <c r="A758" s="2272" t="s">
        <v>13412</v>
      </c>
      <c r="B758" s="2234">
        <f>VLOOKUP($A758,'12 - QT_SUN'!$A:$F,2,0)</f>
        <v>94489</v>
      </c>
      <c r="C758" s="2234" t="str">
        <f>VLOOKUP($A758,'12 - QT_SUN'!$A:$F,3,0)</f>
        <v>SINAPI</v>
      </c>
      <c r="D758" s="2375" t="s">
        <v>10247</v>
      </c>
      <c r="E758" s="2236" t="str">
        <f>IF($C758="SINAPI",VLOOKUP($B758,'24.08_ND'!$A:$D,3,0),IF($C758="PRÓPRIA",VLOOKUP($B758,'03-CP'!$C:$H,3,0)))</f>
        <v>UN</v>
      </c>
      <c r="F758" s="2230">
        <v>1</v>
      </c>
      <c r="G758" s="2238">
        <v>28.27</v>
      </c>
      <c r="H758" s="2302">
        <f t="shared" si="158"/>
        <v>28.27</v>
      </c>
      <c r="I758" s="2286"/>
      <c r="J758" s="2237"/>
      <c r="K758" s="2411"/>
      <c r="L758" s="2533"/>
      <c r="M758" s="2238"/>
      <c r="N758" s="2239"/>
      <c r="O758" s="2498">
        <f t="shared" si="159"/>
        <v>28.27</v>
      </c>
      <c r="P758" s="2295">
        <f t="shared" si="160"/>
        <v>1</v>
      </c>
    </row>
    <row r="759" spans="1:16" ht="45">
      <c r="A759" s="2272" t="s">
        <v>13413</v>
      </c>
      <c r="B759" s="2234">
        <f>VLOOKUP($A759,'12 - QT_SUN'!$A:$F,2,0)</f>
        <v>94656</v>
      </c>
      <c r="C759" s="2234" t="str">
        <f>VLOOKUP($A759,'12 - QT_SUN'!$A:$F,3,0)</f>
        <v>SINAPI</v>
      </c>
      <c r="D759" s="2375" t="s">
        <v>9352</v>
      </c>
      <c r="E759" s="2236" t="str">
        <f>IF($C759="SINAPI",VLOOKUP($B759,'24.08_ND'!$A:$D,3,0),IF($C759="PRÓPRIA",VLOOKUP($B759,'03-CP'!$C:$H,3,0)))</f>
        <v>UN</v>
      </c>
      <c r="F759" s="2230">
        <v>2</v>
      </c>
      <c r="G759" s="2238">
        <v>3.65</v>
      </c>
      <c r="H759" s="2302">
        <f t="shared" si="158"/>
        <v>7.3</v>
      </c>
      <c r="I759" s="2286"/>
      <c r="J759" s="2237"/>
      <c r="K759" s="2411"/>
      <c r="L759" s="2533"/>
      <c r="M759" s="2238"/>
      <c r="N759" s="2239"/>
      <c r="O759" s="2498">
        <f t="shared" si="159"/>
        <v>7.3</v>
      </c>
      <c r="P759" s="2295">
        <f t="shared" si="160"/>
        <v>1</v>
      </c>
    </row>
    <row r="760" spans="1:16" ht="30">
      <c r="A760" s="2272" t="s">
        <v>13414</v>
      </c>
      <c r="B760" s="2234">
        <f>VLOOKUP($A760,'12 - QT_SUN'!$A:$F,2,0)</f>
        <v>105234</v>
      </c>
      <c r="C760" s="2234" t="str">
        <f>VLOOKUP($A760,'12 - QT_SUN'!$A:$F,3,0)</f>
        <v>SINAPI</v>
      </c>
      <c r="D760" s="2375" t="s">
        <v>10006</v>
      </c>
      <c r="E760" s="2236" t="str">
        <f>IF($C760="SINAPI",VLOOKUP($B760,'24.08_ND'!$A:$D,3,0),IF($C760="PRÓPRIA",VLOOKUP($B760,'03-CP'!$C:$H,3,0)))</f>
        <v>UN</v>
      </c>
      <c r="F760" s="2230">
        <v>1</v>
      </c>
      <c r="G760" s="2238">
        <v>10.15</v>
      </c>
      <c r="H760" s="2302">
        <f t="shared" si="158"/>
        <v>10.15</v>
      </c>
      <c r="I760" s="2286"/>
      <c r="J760" s="2237"/>
      <c r="K760" s="2411"/>
      <c r="L760" s="2533"/>
      <c r="M760" s="2238"/>
      <c r="N760" s="2239"/>
      <c r="O760" s="2498">
        <f t="shared" si="159"/>
        <v>10.15</v>
      </c>
      <c r="P760" s="2295">
        <f t="shared" si="160"/>
        <v>1</v>
      </c>
    </row>
    <row r="761" spans="1:16" ht="30">
      <c r="A761" s="2272" t="s">
        <v>13415</v>
      </c>
      <c r="B761" s="2234">
        <f>VLOOKUP($A761,'12 - QT_SUN'!$A:$F,2,0)</f>
        <v>105154</v>
      </c>
      <c r="C761" s="2234" t="str">
        <f>VLOOKUP($A761,'12 - QT_SUN'!$A:$F,3,0)</f>
        <v>SINAPI</v>
      </c>
      <c r="D761" s="2375" t="s">
        <v>9934</v>
      </c>
      <c r="E761" s="2236" t="str">
        <f>IF($C761="SINAPI",VLOOKUP($B761,'24.08_ND'!$A:$D,3,0),IF($C761="PRÓPRIA",VLOOKUP($B761,'03-CP'!$C:$H,3,0)))</f>
        <v>UN</v>
      </c>
      <c r="F761" s="2230">
        <v>1</v>
      </c>
      <c r="G761" s="2238">
        <v>6.85</v>
      </c>
      <c r="H761" s="2302">
        <f t="shared" si="158"/>
        <v>6.85</v>
      </c>
      <c r="I761" s="2286"/>
      <c r="J761" s="2237"/>
      <c r="K761" s="2411"/>
      <c r="L761" s="2533"/>
      <c r="M761" s="2238"/>
      <c r="N761" s="2239"/>
      <c r="O761" s="2498">
        <f t="shared" si="159"/>
        <v>6.85</v>
      </c>
      <c r="P761" s="2295">
        <f t="shared" si="160"/>
        <v>1</v>
      </c>
    </row>
    <row r="762" spans="1:16" ht="30">
      <c r="A762" s="2272" t="s">
        <v>13416</v>
      </c>
      <c r="B762" s="2234">
        <f>VLOOKUP($A762,'12 - QT_SUN'!$A:$F,2,0)</f>
        <v>94673</v>
      </c>
      <c r="C762" s="2234" t="str">
        <f>VLOOKUP($A762,'12 - QT_SUN'!$A:$F,3,0)</f>
        <v>SINAPI</v>
      </c>
      <c r="D762" s="2375" t="s">
        <v>9369</v>
      </c>
      <c r="E762" s="2236" t="str">
        <f>IF($C762="SINAPI",VLOOKUP($B762,'24.08_ND'!$A:$D,3,0),IF($C762="PRÓPRIA",VLOOKUP($B762,'03-CP'!$C:$H,3,0)))</f>
        <v>UN</v>
      </c>
      <c r="F762" s="2230">
        <v>15</v>
      </c>
      <c r="G762" s="2238">
        <v>7.36</v>
      </c>
      <c r="H762" s="2302">
        <f t="shared" si="158"/>
        <v>110.4</v>
      </c>
      <c r="I762" s="2286"/>
      <c r="J762" s="2237"/>
      <c r="K762" s="2411"/>
      <c r="L762" s="2533"/>
      <c r="M762" s="2238"/>
      <c r="N762" s="2239"/>
      <c r="O762" s="2498">
        <f t="shared" si="159"/>
        <v>110.4</v>
      </c>
      <c r="P762" s="2295">
        <f t="shared" si="160"/>
        <v>1</v>
      </c>
    </row>
    <row r="763" spans="1:16" ht="30">
      <c r="A763" s="2272" t="s">
        <v>13417</v>
      </c>
      <c r="B763" s="2234">
        <f>VLOOKUP($A763,'12 - QT_SUN'!$A:$F,2,0)</f>
        <v>94679</v>
      </c>
      <c r="C763" s="2234" t="str">
        <f>VLOOKUP($A763,'12 - QT_SUN'!$A:$F,3,0)</f>
        <v>SINAPI</v>
      </c>
      <c r="D763" s="2375" t="s">
        <v>9375</v>
      </c>
      <c r="E763" s="2236" t="str">
        <f>IF($C763="SINAPI",VLOOKUP($B763,'24.08_ND'!$A:$D,3,0),IF($C763="PRÓPRIA",VLOOKUP($B763,'03-CP'!$C:$H,3,0)))</f>
        <v>UN</v>
      </c>
      <c r="F763" s="2230">
        <v>5</v>
      </c>
      <c r="G763" s="2238">
        <v>23.81</v>
      </c>
      <c r="H763" s="2302">
        <f t="shared" si="158"/>
        <v>119.05</v>
      </c>
      <c r="I763" s="2286"/>
      <c r="J763" s="2237"/>
      <c r="K763" s="2411"/>
      <c r="L763" s="2533"/>
      <c r="M763" s="2238"/>
      <c r="N763" s="2239"/>
      <c r="O763" s="2498">
        <f t="shared" si="159"/>
        <v>119.05</v>
      </c>
      <c r="P763" s="2295">
        <f t="shared" si="160"/>
        <v>1</v>
      </c>
    </row>
    <row r="764" spans="1:16" ht="30">
      <c r="A764" s="2272" t="s">
        <v>13418</v>
      </c>
      <c r="B764" s="2234">
        <f>VLOOKUP($A764,'12 - QT_SUN'!$A:$F,2,0)</f>
        <v>94663</v>
      </c>
      <c r="C764" s="2234" t="str">
        <f>VLOOKUP($A764,'12 - QT_SUN'!$A:$F,3,0)</f>
        <v>SINAPI</v>
      </c>
      <c r="D764" s="2375" t="s">
        <v>9359</v>
      </c>
      <c r="E764" s="2236" t="str">
        <f>IF($C764="SINAPI",VLOOKUP($B764,'24.08_ND'!$A:$D,3,0),IF($C764="PRÓPRIA",VLOOKUP($B764,'03-CP'!$C:$H,3,0)))</f>
        <v>UN</v>
      </c>
      <c r="F764" s="2230">
        <v>1</v>
      </c>
      <c r="G764" s="2238">
        <v>12.85</v>
      </c>
      <c r="H764" s="2302">
        <f t="shared" si="158"/>
        <v>12.85</v>
      </c>
      <c r="I764" s="2286"/>
      <c r="J764" s="2237"/>
      <c r="K764" s="2411"/>
      <c r="L764" s="2533"/>
      <c r="M764" s="2238"/>
      <c r="N764" s="2239"/>
      <c r="O764" s="2498">
        <f t="shared" si="159"/>
        <v>12.85</v>
      </c>
      <c r="P764" s="2295">
        <f t="shared" si="160"/>
        <v>1</v>
      </c>
    </row>
    <row r="765" spans="1:16" ht="30">
      <c r="A765" s="2272" t="s">
        <v>13419</v>
      </c>
      <c r="B765" s="2234">
        <f>VLOOKUP($A765,'12 - QT_SUN'!$A:$F,2,0)</f>
        <v>89402</v>
      </c>
      <c r="C765" s="2234" t="str">
        <f>VLOOKUP($A765,'12 - QT_SUN'!$A:$F,3,0)</f>
        <v>SINAPI</v>
      </c>
      <c r="D765" s="2375" t="s">
        <v>8422</v>
      </c>
      <c r="E765" s="2236" t="str">
        <f>IF($C765="SINAPI",VLOOKUP($B765,'24.08_ND'!$A:$D,3,0),IF($C765="PRÓPRIA",VLOOKUP($B765,'03-CP'!$C:$H,3,0)))</f>
        <v>M</v>
      </c>
      <c r="F765" s="2230">
        <v>134</v>
      </c>
      <c r="G765" s="2238">
        <v>12.75</v>
      </c>
      <c r="H765" s="2302">
        <f t="shared" si="158"/>
        <v>1708.5</v>
      </c>
      <c r="I765" s="2286"/>
      <c r="J765" s="2237"/>
      <c r="K765" s="2411"/>
      <c r="L765" s="2533"/>
      <c r="M765" s="2238"/>
      <c r="N765" s="2239"/>
      <c r="O765" s="2498">
        <f t="shared" si="159"/>
        <v>1708.5</v>
      </c>
      <c r="P765" s="2295">
        <f t="shared" si="160"/>
        <v>1</v>
      </c>
    </row>
    <row r="766" spans="1:16" ht="30">
      <c r="A766" s="2272" t="s">
        <v>13420</v>
      </c>
      <c r="B766" s="2234">
        <f>VLOOKUP($A766,'12 - QT_SUN'!$A:$F,2,0)</f>
        <v>103979</v>
      </c>
      <c r="C766" s="2234" t="str">
        <f>VLOOKUP($A766,'12 - QT_SUN'!$A:$F,3,0)</f>
        <v>SINAPI</v>
      </c>
      <c r="D766" s="2375" t="s">
        <v>8649</v>
      </c>
      <c r="E766" s="2236" t="str">
        <f>IF($C766="SINAPI",VLOOKUP($B766,'24.08_ND'!$A:$D,3,0),IF($C766="PRÓPRIA",VLOOKUP($B766,'03-CP'!$C:$H,3,0)))</f>
        <v>M</v>
      </c>
      <c r="F766" s="2230">
        <v>78</v>
      </c>
      <c r="G766" s="2238">
        <v>30.08</v>
      </c>
      <c r="H766" s="2302">
        <f t="shared" si="158"/>
        <v>2346.2399999999998</v>
      </c>
      <c r="I766" s="2286"/>
      <c r="J766" s="2237"/>
      <c r="K766" s="2411"/>
      <c r="L766" s="2533"/>
      <c r="M766" s="2238"/>
      <c r="N766" s="2239"/>
      <c r="O766" s="2498">
        <f t="shared" si="159"/>
        <v>2346.2399999999998</v>
      </c>
      <c r="P766" s="2295">
        <f t="shared" si="160"/>
        <v>1</v>
      </c>
    </row>
    <row r="767" spans="1:16" ht="30">
      <c r="A767" s="2272" t="s">
        <v>13421</v>
      </c>
      <c r="B767" s="2234">
        <f>VLOOKUP($A767,'12 - QT_SUN'!$A:$F,2,0)</f>
        <v>89395</v>
      </c>
      <c r="C767" s="2234" t="str">
        <f>VLOOKUP($A767,'12 - QT_SUN'!$A:$F,3,0)</f>
        <v>SINAPI</v>
      </c>
      <c r="D767" s="2375" t="s">
        <v>8701</v>
      </c>
      <c r="E767" s="2236" t="str">
        <f>IF($C767="SINAPI",VLOOKUP($B767,'24.08_ND'!$A:$D,3,0),IF($C767="PRÓPRIA",VLOOKUP($B767,'03-CP'!$C:$H,3,0)))</f>
        <v>UN</v>
      </c>
      <c r="F767" s="2230">
        <v>1</v>
      </c>
      <c r="G767" s="2238">
        <v>14.12</v>
      </c>
      <c r="H767" s="2302">
        <f t="shared" si="158"/>
        <v>14.12</v>
      </c>
      <c r="I767" s="2286"/>
      <c r="J767" s="2237"/>
      <c r="K767" s="2411"/>
      <c r="L767" s="2533"/>
      <c r="M767" s="2238"/>
      <c r="N767" s="2239"/>
      <c r="O767" s="2498">
        <f t="shared" si="159"/>
        <v>14.12</v>
      </c>
      <c r="P767" s="2295">
        <f t="shared" si="160"/>
        <v>1</v>
      </c>
    </row>
    <row r="768" spans="1:16" ht="30">
      <c r="A768" s="2272" t="s">
        <v>13422</v>
      </c>
      <c r="B768" s="2234">
        <f>VLOOKUP($A768,'12 - QT_SUN'!$A:$F,2,0)</f>
        <v>105189</v>
      </c>
      <c r="C768" s="2234" t="str">
        <f>VLOOKUP($A768,'12 - QT_SUN'!$A:$F,3,0)</f>
        <v>SINAPI</v>
      </c>
      <c r="D768" s="2375" t="s">
        <v>9963</v>
      </c>
      <c r="E768" s="2236" t="str">
        <f>IF($C768="SINAPI",VLOOKUP($B768,'24.08_ND'!$A:$D,3,0),IF($C768="PRÓPRIA",VLOOKUP($B768,'03-CP'!$C:$H,3,0)))</f>
        <v>UN</v>
      </c>
      <c r="F768" s="2230">
        <v>1</v>
      </c>
      <c r="G768" s="2238">
        <v>22.26</v>
      </c>
      <c r="H768" s="2302">
        <f t="shared" si="158"/>
        <v>22.26</v>
      </c>
      <c r="I768" s="2286"/>
      <c r="J768" s="2237"/>
      <c r="K768" s="2411"/>
      <c r="L768" s="2533"/>
      <c r="M768" s="2238"/>
      <c r="N768" s="2239"/>
      <c r="O768" s="2498">
        <f t="shared" si="159"/>
        <v>22.26</v>
      </c>
      <c r="P768" s="2295">
        <f t="shared" si="160"/>
        <v>1</v>
      </c>
    </row>
    <row r="769" spans="1:16" ht="45">
      <c r="A769" s="2272" t="s">
        <v>13423</v>
      </c>
      <c r="B769" s="2234">
        <f>VLOOKUP($A769,'12 - QT_SUN'!$A:$F,2,0)</f>
        <v>90373</v>
      </c>
      <c r="C769" s="2234" t="str">
        <f>VLOOKUP($A769,'12 - QT_SUN'!$A:$F,3,0)</f>
        <v>SINAPI</v>
      </c>
      <c r="D769" s="2375" t="s">
        <v>9065</v>
      </c>
      <c r="E769" s="2236" t="str">
        <f>IF($C769="SINAPI",VLOOKUP($B769,'24.08_ND'!$A:$D,3,0),IF($C769="PRÓPRIA",VLOOKUP($B769,'03-CP'!$C:$H,3,0)))</f>
        <v>UN</v>
      </c>
      <c r="F769" s="2230">
        <v>2</v>
      </c>
      <c r="G769" s="2238">
        <v>13.46</v>
      </c>
      <c r="H769" s="2302">
        <f t="shared" si="158"/>
        <v>26.92</v>
      </c>
      <c r="I769" s="2286"/>
      <c r="J769" s="2237"/>
      <c r="K769" s="2411"/>
      <c r="L769" s="2533"/>
      <c r="M769" s="2238"/>
      <c r="N769" s="2239"/>
      <c r="O769" s="2498">
        <f t="shared" si="159"/>
        <v>26.92</v>
      </c>
      <c r="P769" s="2295">
        <f t="shared" si="160"/>
        <v>1</v>
      </c>
    </row>
    <row r="770" spans="1:16" ht="30">
      <c r="A770" s="2272" t="s">
        <v>13424</v>
      </c>
      <c r="B770" s="2234">
        <f>VLOOKUP($A770,'12 - QT_SUN'!$A:$F,2,0)</f>
        <v>93358</v>
      </c>
      <c r="C770" s="2234" t="str">
        <f>VLOOKUP($A770,'12 - QT_SUN'!$A:$F,3,0)</f>
        <v>SINAPI</v>
      </c>
      <c r="D770" s="2375" t="s">
        <v>10648</v>
      </c>
      <c r="E770" s="2236" t="str">
        <f>IF($C770="SINAPI",VLOOKUP($B770,'24.08_ND'!$A:$D,3,0),IF($C770="PRÓPRIA",VLOOKUP($B770,'03-CP'!$C:$H,3,0)))</f>
        <v>M3</v>
      </c>
      <c r="F770" s="2230">
        <v>78.099999999999994</v>
      </c>
      <c r="G770" s="2238">
        <v>91.52</v>
      </c>
      <c r="H770" s="2302">
        <f t="shared" si="158"/>
        <v>7147.71</v>
      </c>
      <c r="I770" s="2286"/>
      <c r="J770" s="2237"/>
      <c r="K770" s="2411"/>
      <c r="L770" s="2533"/>
      <c r="M770" s="2238"/>
      <c r="N770" s="2239"/>
      <c r="O770" s="2498">
        <f t="shared" si="159"/>
        <v>7147.71</v>
      </c>
      <c r="P770" s="2295">
        <f t="shared" si="160"/>
        <v>1</v>
      </c>
    </row>
    <row r="771" spans="1:16" ht="30">
      <c r="A771" s="2272" t="s">
        <v>13425</v>
      </c>
      <c r="B771" s="2234">
        <f>VLOOKUP($A771,'12 - QT_SUN'!$A:$F,2,0)</f>
        <v>93382</v>
      </c>
      <c r="C771" s="2234" t="str">
        <f>VLOOKUP($A771,'12 - QT_SUN'!$A:$F,3,0)</f>
        <v>SINAPI</v>
      </c>
      <c r="D771" s="2375" t="s">
        <v>10726</v>
      </c>
      <c r="E771" s="2236" t="str">
        <f>IF($C771="SINAPI",VLOOKUP($B771,'24.08_ND'!$A:$D,3,0),IF($C771="PRÓPRIA",VLOOKUP($B771,'03-CP'!$C:$H,3,0)))</f>
        <v>M3</v>
      </c>
      <c r="F771" s="2230">
        <v>109.8</v>
      </c>
      <c r="G771" s="2238">
        <v>26.88</v>
      </c>
      <c r="H771" s="2302">
        <f t="shared" si="158"/>
        <v>2951.42</v>
      </c>
      <c r="I771" s="2286"/>
      <c r="J771" s="2237"/>
      <c r="K771" s="2411"/>
      <c r="L771" s="2533"/>
      <c r="M771" s="2238"/>
      <c r="N771" s="2239"/>
      <c r="O771" s="2498">
        <f t="shared" si="159"/>
        <v>2951.42</v>
      </c>
      <c r="P771" s="2295">
        <f t="shared" si="160"/>
        <v>1</v>
      </c>
    </row>
    <row r="772" spans="1:16">
      <c r="A772" s="2343" t="s">
        <v>13426</v>
      </c>
      <c r="B772" s="2223"/>
      <c r="C772" s="2223"/>
      <c r="D772" s="2376" t="s">
        <v>16318</v>
      </c>
      <c r="E772" s="2224"/>
      <c r="F772" s="2240"/>
      <c r="G772" s="2226"/>
      <c r="H772" s="2301">
        <f>SUBTOTAL(9,H773:H786)</f>
        <v>102650.51</v>
      </c>
      <c r="I772" s="2284"/>
      <c r="J772" s="2227"/>
      <c r="K772" s="2496"/>
      <c r="L772" s="2534">
        <f>SUBTOTAL(9,L773:L786)</f>
        <v>0</v>
      </c>
      <c r="M772" s="2301">
        <f>SUBTOTAL(9,M773:M786)</f>
        <v>0</v>
      </c>
      <c r="N772" s="2301">
        <f>SUBTOTAL(9,N773:N786)</f>
        <v>0</v>
      </c>
      <c r="O772" s="2301">
        <f>SUBTOTAL(9,O773:O786)</f>
        <v>102650.51</v>
      </c>
      <c r="P772" s="2293"/>
    </row>
    <row r="773" spans="1:16" ht="45">
      <c r="A773" s="2272" t="s">
        <v>13427</v>
      </c>
      <c r="B773" s="2228" t="str">
        <f>VLOOKUP($A773,'12 - QT_SUN'!$A:$F,2,0)</f>
        <v>CP-HSD-16</v>
      </c>
      <c r="C773" s="2228" t="str">
        <f>VLOOKUP($A773,'12 - QT_SUN'!$A:$F,3,0)</f>
        <v>PRÓPRIA</v>
      </c>
      <c r="D773" s="2375" t="s">
        <v>15389</v>
      </c>
      <c r="E773" s="2229" t="str">
        <f>IF($C773="SINAPI",VLOOKUP($B773,'24.08_ND'!$A:$D,3,0),IF($C773="PRÓPRIA",VLOOKUP($B773,'03-CP'!$C:$H,3,0)))</f>
        <v>UN</v>
      </c>
      <c r="F773" s="2230">
        <v>2</v>
      </c>
      <c r="G773" s="2232">
        <v>754.22</v>
      </c>
      <c r="H773" s="2302">
        <f t="shared" ref="H773:H786" si="161">TRUNC((G773*F773),2)</f>
        <v>1508.44</v>
      </c>
      <c r="I773" s="2287"/>
      <c r="J773" s="2231"/>
      <c r="K773" s="2412"/>
      <c r="L773" s="2536"/>
      <c r="M773" s="2232"/>
      <c r="N773" s="2557"/>
      <c r="O773" s="2498">
        <f t="shared" ref="O773:O786" si="162">H773-L773</f>
        <v>1508.44</v>
      </c>
      <c r="P773" s="2295">
        <f t="shared" ref="P773:P786" si="163">O773/H773</f>
        <v>1</v>
      </c>
    </row>
    <row r="774" spans="1:16" ht="45">
      <c r="A774" s="2272" t="s">
        <v>13428</v>
      </c>
      <c r="B774" s="2234">
        <f>VLOOKUP($A774,'12 - QT_SUN'!$A:$F,2,0)</f>
        <v>99260</v>
      </c>
      <c r="C774" s="2234" t="str">
        <f>VLOOKUP($A774,'12 - QT_SUN'!$A:$F,3,0)</f>
        <v>SINAPI</v>
      </c>
      <c r="D774" s="2375" t="s">
        <v>10032</v>
      </c>
      <c r="E774" s="2236" t="str">
        <f>IF($C774="SINAPI",VLOOKUP($B774,'24.08_ND'!$A:$D,3,0),IF($C774="PRÓPRIA",VLOOKUP($B774,'03-CP'!$C:$H,3,0)))</f>
        <v>UN</v>
      </c>
      <c r="F774" s="2230">
        <v>3</v>
      </c>
      <c r="G774" s="2238">
        <v>496.46</v>
      </c>
      <c r="H774" s="2302">
        <f t="shared" si="161"/>
        <v>1489.38</v>
      </c>
      <c r="I774" s="2286"/>
      <c r="J774" s="2237"/>
      <c r="K774" s="2411"/>
      <c r="L774" s="2533"/>
      <c r="M774" s="2238"/>
      <c r="N774" s="2239"/>
      <c r="O774" s="2498">
        <f t="shared" si="162"/>
        <v>1489.38</v>
      </c>
      <c r="P774" s="2295">
        <f t="shared" si="163"/>
        <v>1</v>
      </c>
    </row>
    <row r="775" spans="1:16" ht="60">
      <c r="A775" s="2272" t="s">
        <v>13429</v>
      </c>
      <c r="B775" s="2228" t="str">
        <f>VLOOKUP($A775,'12 - QT_SUN'!$A:$F,2,0)</f>
        <v>CP-HSD-17</v>
      </c>
      <c r="C775" s="2228" t="str">
        <f>VLOOKUP($A775,'12 - QT_SUN'!$A:$F,3,0)</f>
        <v>PRÓPRIA</v>
      </c>
      <c r="D775" s="2378" t="s">
        <v>15415</v>
      </c>
      <c r="E775" s="2229" t="str">
        <f>IF($C775="SINAPI",VLOOKUP($B775,'24.08_ND'!$A:$D,3,0),IF($C775="PRÓPRIA",VLOOKUP($B775,'03-CP'!$C:$H,3,0)))</f>
        <v>M</v>
      </c>
      <c r="F775" s="2230">
        <v>90</v>
      </c>
      <c r="G775" s="2232">
        <v>411.16</v>
      </c>
      <c r="H775" s="2302">
        <f t="shared" si="161"/>
        <v>37004.400000000001</v>
      </c>
      <c r="I775" s="2287"/>
      <c r="J775" s="2231"/>
      <c r="K775" s="2412"/>
      <c r="L775" s="2536"/>
      <c r="M775" s="2232"/>
      <c r="N775" s="2557"/>
      <c r="O775" s="2498">
        <f t="shared" si="162"/>
        <v>37004.400000000001</v>
      </c>
      <c r="P775" s="2295">
        <f t="shared" si="163"/>
        <v>1</v>
      </c>
    </row>
    <row r="776" spans="1:16" ht="30">
      <c r="A776" s="2272" t="s">
        <v>13430</v>
      </c>
      <c r="B776" s="2234">
        <f>VLOOKUP($A776,'12 - QT_SUN'!$A:$F,2,0)</f>
        <v>102704</v>
      </c>
      <c r="C776" s="2234" t="str">
        <f>VLOOKUP($A776,'12 - QT_SUN'!$A:$F,3,0)</f>
        <v>SINAPI</v>
      </c>
      <c r="D776" s="2375" t="s">
        <v>6471</v>
      </c>
      <c r="E776" s="2236" t="str">
        <f>IF($C776="SINAPI",VLOOKUP($B776,'24.08_ND'!$A:$D,3,0),IF($C776="PRÓPRIA",VLOOKUP($B776,'03-CP'!$C:$H,3,0)))</f>
        <v>M</v>
      </c>
      <c r="F776" s="2230">
        <v>191</v>
      </c>
      <c r="G776" s="2238">
        <v>14.92</v>
      </c>
      <c r="H776" s="2302">
        <f t="shared" si="161"/>
        <v>2849.72</v>
      </c>
      <c r="I776" s="2286"/>
      <c r="J776" s="2237"/>
      <c r="K776" s="2411"/>
      <c r="L776" s="2533"/>
      <c r="M776" s="2238"/>
      <c r="N776" s="2239"/>
      <c r="O776" s="2498">
        <f t="shared" si="162"/>
        <v>2849.72</v>
      </c>
      <c r="P776" s="2295">
        <f t="shared" si="163"/>
        <v>1</v>
      </c>
    </row>
    <row r="777" spans="1:16" ht="30">
      <c r="A777" s="2272" t="s">
        <v>13431</v>
      </c>
      <c r="B777" s="2234">
        <f>VLOOKUP($A777,'12 - QT_SUN'!$A:$F,2,0)</f>
        <v>104178</v>
      </c>
      <c r="C777" s="2234" t="str">
        <f>VLOOKUP($A777,'12 - QT_SUN'!$A:$F,3,0)</f>
        <v>SINAPI</v>
      </c>
      <c r="D777" s="2375" t="s">
        <v>9884</v>
      </c>
      <c r="E777" s="2236" t="str">
        <f>IF($C777="SINAPI",VLOOKUP($B777,'24.08_ND'!$A:$D,3,0),IF($C777="PRÓPRIA",VLOOKUP($B777,'03-CP'!$C:$H,3,0)))</f>
        <v>UN</v>
      </c>
      <c r="F777" s="2230">
        <v>3</v>
      </c>
      <c r="G777" s="2238">
        <v>23.43</v>
      </c>
      <c r="H777" s="2302">
        <f t="shared" si="161"/>
        <v>70.290000000000006</v>
      </c>
      <c r="I777" s="2286"/>
      <c r="J777" s="2237"/>
      <c r="K777" s="2411"/>
      <c r="L777" s="2533"/>
      <c r="M777" s="2238"/>
      <c r="N777" s="2239"/>
      <c r="O777" s="2498">
        <f t="shared" si="162"/>
        <v>70.290000000000006</v>
      </c>
      <c r="P777" s="2295">
        <f t="shared" si="163"/>
        <v>1</v>
      </c>
    </row>
    <row r="778" spans="1:16" ht="45">
      <c r="A778" s="2272" t="s">
        <v>13432</v>
      </c>
      <c r="B778" s="2234">
        <f>VLOOKUP($A778,'12 - QT_SUN'!$A:$F,2,0)</f>
        <v>89591</v>
      </c>
      <c r="C778" s="2234" t="str">
        <f>VLOOKUP($A778,'12 - QT_SUN'!$A:$F,3,0)</f>
        <v>SINAPI</v>
      </c>
      <c r="D778" s="2375" t="s">
        <v>8832</v>
      </c>
      <c r="E778" s="2236" t="str">
        <f>IF($C778="SINAPI",VLOOKUP($B778,'24.08_ND'!$A:$D,3,0),IF($C778="PRÓPRIA",VLOOKUP($B778,'03-CP'!$C:$H,3,0)))</f>
        <v>UN</v>
      </c>
      <c r="F778" s="2230">
        <v>4</v>
      </c>
      <c r="G778" s="2238">
        <v>139.58000000000001</v>
      </c>
      <c r="H778" s="2302">
        <f t="shared" si="161"/>
        <v>558.32000000000005</v>
      </c>
      <c r="I778" s="2286"/>
      <c r="J778" s="2237"/>
      <c r="K778" s="2411"/>
      <c r="L778" s="2533"/>
      <c r="M778" s="2238"/>
      <c r="N778" s="2239"/>
      <c r="O778" s="2498">
        <f t="shared" si="162"/>
        <v>558.32000000000005</v>
      </c>
      <c r="P778" s="2295">
        <f t="shared" si="163"/>
        <v>1</v>
      </c>
    </row>
    <row r="779" spans="1:16" ht="30">
      <c r="A779" s="2272" t="s">
        <v>13433</v>
      </c>
      <c r="B779" s="2234">
        <f>VLOOKUP($A779,'12 - QT_SUN'!$A:$F,2,0)</f>
        <v>104167</v>
      </c>
      <c r="C779" s="2234" t="str">
        <f>VLOOKUP($A779,'12 - QT_SUN'!$A:$F,3,0)</f>
        <v>SINAPI</v>
      </c>
      <c r="D779" s="2375" t="s">
        <v>9873</v>
      </c>
      <c r="E779" s="2236" t="str">
        <f>IF($C779="SINAPI",VLOOKUP($B779,'24.08_ND'!$A:$D,3,0),IF($C779="PRÓPRIA",VLOOKUP($B779,'03-CP'!$C:$H,3,0)))</f>
        <v>UN</v>
      </c>
      <c r="F779" s="2230">
        <v>10</v>
      </c>
      <c r="G779" s="2238">
        <v>131.72</v>
      </c>
      <c r="H779" s="2302">
        <f t="shared" si="161"/>
        <v>1317.2</v>
      </c>
      <c r="I779" s="2286"/>
      <c r="J779" s="2237"/>
      <c r="K779" s="2411"/>
      <c r="L779" s="2533"/>
      <c r="M779" s="2238"/>
      <c r="N779" s="2239"/>
      <c r="O779" s="2498">
        <f t="shared" si="162"/>
        <v>1317.2</v>
      </c>
      <c r="P779" s="2295">
        <f t="shared" si="163"/>
        <v>1</v>
      </c>
    </row>
    <row r="780" spans="1:16" ht="30">
      <c r="A780" s="2272" t="s">
        <v>13434</v>
      </c>
      <c r="B780" s="2234">
        <f>VLOOKUP($A780,'12 - QT_SUN'!$A:$F,2,0)</f>
        <v>104166</v>
      </c>
      <c r="C780" s="2234" t="str">
        <f>VLOOKUP($A780,'12 - QT_SUN'!$A:$F,3,0)</f>
        <v>SINAPI</v>
      </c>
      <c r="D780" s="2375" t="s">
        <v>8651</v>
      </c>
      <c r="E780" s="2236" t="str">
        <f>IF($C780="SINAPI",VLOOKUP($B780,'24.08_ND'!$A:$D,3,0),IF($C780="PRÓPRIA",VLOOKUP($B780,'03-CP'!$C:$H,3,0)))</f>
        <v>M</v>
      </c>
      <c r="F780" s="2230">
        <v>266</v>
      </c>
      <c r="G780" s="2238">
        <v>78.41</v>
      </c>
      <c r="H780" s="2302">
        <f t="shared" si="161"/>
        <v>20857.060000000001</v>
      </c>
      <c r="I780" s="2286"/>
      <c r="J780" s="2237"/>
      <c r="K780" s="2411"/>
      <c r="L780" s="2533"/>
      <c r="M780" s="2238"/>
      <c r="N780" s="2239"/>
      <c r="O780" s="2498">
        <f t="shared" si="162"/>
        <v>20857.060000000001</v>
      </c>
      <c r="P780" s="2295">
        <f t="shared" si="163"/>
        <v>1</v>
      </c>
    </row>
    <row r="781" spans="1:16" ht="30">
      <c r="A781" s="2272" t="s">
        <v>13435</v>
      </c>
      <c r="B781" s="2228" t="str">
        <f>VLOOKUP($A781,'12 - QT_SUN'!$A:$F,2,0)</f>
        <v>CP-HSD-40</v>
      </c>
      <c r="C781" s="2228" t="str">
        <f>VLOOKUP($A781,'12 - QT_SUN'!$A:$F,3,0)</f>
        <v>PRÓPRIA</v>
      </c>
      <c r="D781" s="2375" t="s">
        <v>15448</v>
      </c>
      <c r="E781" s="2229" t="str">
        <f>IF($C781="SINAPI",VLOOKUP($B781,'24.08_ND'!$A:$D,3,0),IF($C781="PRÓPRIA",VLOOKUP($B781,'03-CP'!$C:$H,3,0)))</f>
        <v>UN</v>
      </c>
      <c r="F781" s="2230">
        <v>13</v>
      </c>
      <c r="G781" s="2232">
        <v>356.93</v>
      </c>
      <c r="H781" s="2302">
        <f t="shared" si="161"/>
        <v>4640.09</v>
      </c>
      <c r="I781" s="2287"/>
      <c r="J781" s="2231"/>
      <c r="K781" s="2412"/>
      <c r="L781" s="2536"/>
      <c r="M781" s="2232"/>
      <c r="N781" s="2557"/>
      <c r="O781" s="2498">
        <f t="shared" si="162"/>
        <v>4640.09</v>
      </c>
      <c r="P781" s="2295">
        <f t="shared" si="163"/>
        <v>1</v>
      </c>
    </row>
    <row r="782" spans="1:16" ht="30">
      <c r="A782" s="2272" t="s">
        <v>13436</v>
      </c>
      <c r="B782" s="2234">
        <f>VLOOKUP($A782,'12 - QT_SUN'!$A:$F,2,0)</f>
        <v>93358</v>
      </c>
      <c r="C782" s="2234" t="str">
        <f>VLOOKUP($A782,'12 - QT_SUN'!$A:$F,3,0)</f>
        <v>SINAPI</v>
      </c>
      <c r="D782" s="2375" t="s">
        <v>10648</v>
      </c>
      <c r="E782" s="2236" t="str">
        <f>IF($C782="SINAPI",VLOOKUP($B782,'24.08_ND'!$A:$D,3,0),IF($C782="PRÓPRIA",VLOOKUP($B782,'03-CP'!$C:$H,3,0)))</f>
        <v>M3</v>
      </c>
      <c r="F782" s="2230">
        <v>121.4</v>
      </c>
      <c r="G782" s="2238">
        <v>91.52</v>
      </c>
      <c r="H782" s="2302">
        <f t="shared" si="161"/>
        <v>11110.52</v>
      </c>
      <c r="I782" s="2286"/>
      <c r="J782" s="2237"/>
      <c r="K782" s="2411"/>
      <c r="L782" s="2533"/>
      <c r="M782" s="2238"/>
      <c r="N782" s="2239"/>
      <c r="O782" s="2498">
        <f t="shared" si="162"/>
        <v>11110.52</v>
      </c>
      <c r="P782" s="2295">
        <f t="shared" si="163"/>
        <v>1</v>
      </c>
    </row>
    <row r="783" spans="1:16">
      <c r="A783" s="2272" t="s">
        <v>13437</v>
      </c>
      <c r="B783" s="2234">
        <f>VLOOKUP($A783,'12 - QT_SUN'!$A:$F,2,0)</f>
        <v>102718</v>
      </c>
      <c r="C783" s="2234" t="str">
        <f>VLOOKUP($A783,'12 - QT_SUN'!$A:$F,3,0)</f>
        <v>SINAPI</v>
      </c>
      <c r="D783" s="2375" t="s">
        <v>6482</v>
      </c>
      <c r="E783" s="2236" t="str">
        <f>IF($C783="SINAPI",VLOOKUP($B783,'24.08_ND'!$A:$D,3,0),IF($C783="PRÓPRIA",VLOOKUP($B783,'03-CP'!$C:$H,3,0)))</f>
        <v>M3</v>
      </c>
      <c r="F783" s="2230">
        <v>6</v>
      </c>
      <c r="G783" s="2238">
        <v>204.71</v>
      </c>
      <c r="H783" s="2302">
        <f t="shared" si="161"/>
        <v>1228.26</v>
      </c>
      <c r="I783" s="2286"/>
      <c r="J783" s="2237"/>
      <c r="K783" s="2411"/>
      <c r="L783" s="2533"/>
      <c r="M783" s="2238"/>
      <c r="N783" s="2239"/>
      <c r="O783" s="2498">
        <f t="shared" si="162"/>
        <v>1228.26</v>
      </c>
      <c r="P783" s="2295">
        <f t="shared" si="163"/>
        <v>1</v>
      </c>
    </row>
    <row r="784" spans="1:16" ht="30">
      <c r="A784" s="2272" t="s">
        <v>13438</v>
      </c>
      <c r="B784" s="2234">
        <f>VLOOKUP($A784,'12 - QT_SUN'!$A:$F,2,0)</f>
        <v>100324</v>
      </c>
      <c r="C784" s="2234" t="str">
        <f>VLOOKUP($A784,'12 - QT_SUN'!$A:$F,3,0)</f>
        <v>SINAPI</v>
      </c>
      <c r="D784" s="2375" t="s">
        <v>7189</v>
      </c>
      <c r="E784" s="2236" t="str">
        <f>IF($C784="SINAPI",VLOOKUP($B784,'24.08_ND'!$A:$D,3,0),IF($C784="PRÓPRIA",VLOOKUP($B784,'03-CP'!$C:$H,3,0)))</f>
        <v>M3</v>
      </c>
      <c r="F784" s="2230">
        <v>46</v>
      </c>
      <c r="G784" s="2238">
        <v>263.82</v>
      </c>
      <c r="H784" s="2302">
        <f t="shared" si="161"/>
        <v>12135.72</v>
      </c>
      <c r="I784" s="2286"/>
      <c r="J784" s="2237"/>
      <c r="K784" s="2411"/>
      <c r="L784" s="2533"/>
      <c r="M784" s="2238"/>
      <c r="N784" s="2239"/>
      <c r="O784" s="2498">
        <f t="shared" si="162"/>
        <v>12135.72</v>
      </c>
      <c r="P784" s="2295">
        <f t="shared" si="163"/>
        <v>1</v>
      </c>
    </row>
    <row r="785" spans="1:16" ht="30">
      <c r="A785" s="2272" t="s">
        <v>13439</v>
      </c>
      <c r="B785" s="2234">
        <f>VLOOKUP($A785,'12 - QT_SUN'!$A:$F,2,0)</f>
        <v>102713</v>
      </c>
      <c r="C785" s="2234" t="str">
        <f>VLOOKUP($A785,'12 - QT_SUN'!$A:$F,3,0)</f>
        <v>SINAPI</v>
      </c>
      <c r="D785" s="2375" t="s">
        <v>6478</v>
      </c>
      <c r="E785" s="2236" t="str">
        <f>IF($C785="SINAPI",VLOOKUP($B785,'24.08_ND'!$A:$D,3,0),IF($C785="PRÓPRIA",VLOOKUP($B785,'03-CP'!$C:$H,3,0)))</f>
        <v>M2</v>
      </c>
      <c r="F785" s="2230">
        <v>382</v>
      </c>
      <c r="G785" s="2238">
        <v>15.41</v>
      </c>
      <c r="H785" s="2302">
        <f t="shared" si="161"/>
        <v>5886.62</v>
      </c>
      <c r="I785" s="2286"/>
      <c r="J785" s="2237"/>
      <c r="K785" s="2411"/>
      <c r="L785" s="2533"/>
      <c r="M785" s="2238"/>
      <c r="N785" s="2239"/>
      <c r="O785" s="2498">
        <f t="shared" si="162"/>
        <v>5886.62</v>
      </c>
      <c r="P785" s="2295">
        <f t="shared" si="163"/>
        <v>1</v>
      </c>
    </row>
    <row r="786" spans="1:16" ht="30">
      <c r="A786" s="2272" t="s">
        <v>13440</v>
      </c>
      <c r="B786" s="2234">
        <f>VLOOKUP($A786,'12 - QT_SUN'!$A:$F,2,0)</f>
        <v>93382</v>
      </c>
      <c r="C786" s="2234" t="str">
        <f>VLOOKUP($A786,'12 - QT_SUN'!$A:$F,3,0)</f>
        <v>SINAPI</v>
      </c>
      <c r="D786" s="2375" t="s">
        <v>10726</v>
      </c>
      <c r="E786" s="2236" t="str">
        <f>IF($C786="SINAPI",VLOOKUP($B786,'24.08_ND'!$A:$D,3,0),IF($C786="PRÓPRIA",VLOOKUP($B786,'03-CP'!$C:$H,3,0)))</f>
        <v>M3</v>
      </c>
      <c r="F786" s="2230">
        <v>74.2</v>
      </c>
      <c r="G786" s="2238">
        <v>26.88</v>
      </c>
      <c r="H786" s="2302">
        <f t="shared" si="161"/>
        <v>1994.49</v>
      </c>
      <c r="I786" s="2286"/>
      <c r="J786" s="2237"/>
      <c r="K786" s="2411"/>
      <c r="L786" s="2533"/>
      <c r="M786" s="2238"/>
      <c r="N786" s="2239"/>
      <c r="O786" s="2498">
        <f t="shared" si="162"/>
        <v>1994.49</v>
      </c>
      <c r="P786" s="2295">
        <f t="shared" si="163"/>
        <v>1</v>
      </c>
    </row>
    <row r="787" spans="1:16">
      <c r="A787" s="2267" t="s">
        <v>12633</v>
      </c>
      <c r="B787" s="2216"/>
      <c r="C787" s="2217"/>
      <c r="D787" s="2377" t="s">
        <v>12510</v>
      </c>
      <c r="E787" s="2218"/>
      <c r="F787" s="2241"/>
      <c r="G787" s="2220"/>
      <c r="H787" s="2300">
        <f>SUBTOTAL(9,H788:H832)</f>
        <v>260998.33000000005</v>
      </c>
      <c r="I787" s="2283"/>
      <c r="J787" s="2221"/>
      <c r="K787" s="2492"/>
      <c r="L787" s="2532">
        <f>SUBTOTAL(9,L788:L832)</f>
        <v>0</v>
      </c>
      <c r="M787" s="2300">
        <f>SUBTOTAL(9,M788:M832)</f>
        <v>0</v>
      </c>
      <c r="N787" s="2300">
        <f>SUBTOTAL(9,N788:N832)</f>
        <v>0</v>
      </c>
      <c r="O787" s="2300">
        <f>SUBTOTAL(9,O788:O832)</f>
        <v>260998.33000000005</v>
      </c>
      <c r="P787" s="2292"/>
    </row>
    <row r="788" spans="1:16">
      <c r="A788" s="2343" t="s">
        <v>13441</v>
      </c>
      <c r="B788" s="2223"/>
      <c r="C788" s="2223"/>
      <c r="D788" s="2376" t="s">
        <v>16422</v>
      </c>
      <c r="E788" s="2224"/>
      <c r="F788" s="2240"/>
      <c r="G788" s="2226"/>
      <c r="H788" s="2301">
        <f>SUBTOTAL(9,H789:H794)</f>
        <v>23853.370000000003</v>
      </c>
      <c r="I788" s="2284"/>
      <c r="J788" s="2227"/>
      <c r="K788" s="2496"/>
      <c r="L788" s="2534">
        <f>SUBTOTAL(9,L789:L794)</f>
        <v>0</v>
      </c>
      <c r="M788" s="2301">
        <f>SUBTOTAL(9,M789:M794)</f>
        <v>0</v>
      </c>
      <c r="N788" s="2301">
        <f>SUBTOTAL(9,N789:N794)</f>
        <v>0</v>
      </c>
      <c r="O788" s="2301">
        <f>SUBTOTAL(9,O789:O794)</f>
        <v>23853.370000000003</v>
      </c>
      <c r="P788" s="2293"/>
    </row>
    <row r="789" spans="1:16" ht="45">
      <c r="A789" s="2272" t="s">
        <v>13442</v>
      </c>
      <c r="B789" s="2228" t="str">
        <f>VLOOKUP($A789,'12 - QT_SUN'!$A:$F,2,0)</f>
        <v>CP-ELE-105</v>
      </c>
      <c r="C789" s="2228" t="str">
        <f>VLOOKUP($A789,'12 - QT_SUN'!$A:$F,3,0)</f>
        <v>PRÓPRIA</v>
      </c>
      <c r="D789" s="2375" t="s">
        <v>15218</v>
      </c>
      <c r="E789" s="2229" t="str">
        <f>IF($C789="SINAPI",VLOOKUP($B789,'24.08_ND'!$A:$D,3,0),IF($C789="PRÓPRIA",VLOOKUP($B789,'03-CP'!$C:$H,3,0)))</f>
        <v>M</v>
      </c>
      <c r="F789" s="2230">
        <v>1200</v>
      </c>
      <c r="G789" s="2232">
        <v>8.2799999999999994</v>
      </c>
      <c r="H789" s="2302">
        <f t="shared" ref="H789:H794" si="164">TRUNC((G789*F789),2)</f>
        <v>9936</v>
      </c>
      <c r="I789" s="2287"/>
      <c r="J789" s="2231"/>
      <c r="K789" s="2412"/>
      <c r="L789" s="2536"/>
      <c r="M789" s="2232"/>
      <c r="N789" s="2557"/>
      <c r="O789" s="2498">
        <f t="shared" ref="O789:O794" si="165">H789-L789</f>
        <v>9936</v>
      </c>
      <c r="P789" s="2295">
        <f t="shared" ref="P789:P794" si="166">O789/H789</f>
        <v>1</v>
      </c>
    </row>
    <row r="790" spans="1:16" ht="45">
      <c r="A790" s="2272" t="s">
        <v>13443</v>
      </c>
      <c r="B790" s="2234">
        <f>VLOOKUP($A790,'12 - QT_SUN'!$A:$F,2,0)</f>
        <v>97667</v>
      </c>
      <c r="C790" s="2234" t="str">
        <f>VLOOKUP($A790,'12 - QT_SUN'!$A:$F,3,0)</f>
        <v>SINAPI</v>
      </c>
      <c r="D790" s="2375" t="s">
        <v>7797</v>
      </c>
      <c r="E790" s="2236" t="str">
        <f>IF($C790="SINAPI",VLOOKUP($B790,'24.08_ND'!$A:$D,3,0),IF($C790="PRÓPRIA",VLOOKUP($B790,'03-CP'!$C:$H,3,0)))</f>
        <v>M</v>
      </c>
      <c r="F790" s="2230">
        <v>240</v>
      </c>
      <c r="G790" s="2238">
        <v>8.93</v>
      </c>
      <c r="H790" s="2302">
        <f t="shared" si="164"/>
        <v>2143.1999999999998</v>
      </c>
      <c r="I790" s="2286"/>
      <c r="J790" s="2237"/>
      <c r="K790" s="2411"/>
      <c r="L790" s="2533"/>
      <c r="M790" s="2238"/>
      <c r="N790" s="2239"/>
      <c r="O790" s="2498">
        <f t="shared" si="165"/>
        <v>2143.1999999999998</v>
      </c>
      <c r="P790" s="2295">
        <f t="shared" si="166"/>
        <v>1</v>
      </c>
    </row>
    <row r="791" spans="1:16" ht="45">
      <c r="A791" s="2272" t="s">
        <v>13444</v>
      </c>
      <c r="B791" s="2234">
        <f>VLOOKUP($A791,'12 - QT_SUN'!$A:$F,2,0)</f>
        <v>97668</v>
      </c>
      <c r="C791" s="2234" t="str">
        <f>VLOOKUP($A791,'12 - QT_SUN'!$A:$F,3,0)</f>
        <v>SINAPI</v>
      </c>
      <c r="D791" s="2375" t="s">
        <v>7798</v>
      </c>
      <c r="E791" s="2236" t="str">
        <f>IF($C791="SINAPI",VLOOKUP($B791,'24.08_ND'!$A:$D,3,0),IF($C791="PRÓPRIA",VLOOKUP($B791,'03-CP'!$C:$H,3,0)))</f>
        <v>M</v>
      </c>
      <c r="F791" s="2230">
        <v>230</v>
      </c>
      <c r="G791" s="2238">
        <v>12.73</v>
      </c>
      <c r="H791" s="2302">
        <f t="shared" si="164"/>
        <v>2927.9</v>
      </c>
      <c r="I791" s="2286"/>
      <c r="J791" s="2237"/>
      <c r="K791" s="2411"/>
      <c r="L791" s="2533"/>
      <c r="M791" s="2238"/>
      <c r="N791" s="2239"/>
      <c r="O791" s="2498">
        <f t="shared" si="165"/>
        <v>2927.9</v>
      </c>
      <c r="P791" s="2295">
        <f t="shared" si="166"/>
        <v>1</v>
      </c>
    </row>
    <row r="792" spans="1:16" ht="45">
      <c r="A792" s="2272" t="s">
        <v>13445</v>
      </c>
      <c r="B792" s="2234">
        <f>VLOOKUP($A792,'12 - QT_SUN'!$A:$F,2,0)</f>
        <v>97669</v>
      </c>
      <c r="C792" s="2234" t="str">
        <f>VLOOKUP($A792,'12 - QT_SUN'!$A:$F,3,0)</f>
        <v>SINAPI</v>
      </c>
      <c r="D792" s="2375" t="s">
        <v>7799</v>
      </c>
      <c r="E792" s="2236" t="str">
        <f>IF($C792="SINAPI",VLOOKUP($B792,'24.08_ND'!$A:$D,3,0),IF($C792="PRÓPRIA",VLOOKUP($B792,'03-CP'!$C:$H,3,0)))</f>
        <v>M</v>
      </c>
      <c r="F792" s="2230">
        <v>72</v>
      </c>
      <c r="G792" s="2238">
        <v>18.87</v>
      </c>
      <c r="H792" s="2302">
        <f t="shared" si="164"/>
        <v>1358.64</v>
      </c>
      <c r="I792" s="2286"/>
      <c r="J792" s="2237"/>
      <c r="K792" s="2411"/>
      <c r="L792" s="2533"/>
      <c r="M792" s="2238"/>
      <c r="N792" s="2239"/>
      <c r="O792" s="2498">
        <f t="shared" si="165"/>
        <v>1358.64</v>
      </c>
      <c r="P792" s="2295">
        <f t="shared" si="166"/>
        <v>1</v>
      </c>
    </row>
    <row r="793" spans="1:16" ht="60">
      <c r="A793" s="2272" t="s">
        <v>13446</v>
      </c>
      <c r="B793" s="2234">
        <f>VLOOKUP($A793,'12 - QT_SUN'!$A:$F,2,0)</f>
        <v>102306</v>
      </c>
      <c r="C793" s="2234" t="str">
        <f>VLOOKUP($A793,'12 - QT_SUN'!$A:$F,3,0)</f>
        <v>SINAPI</v>
      </c>
      <c r="D793" s="2375" t="s">
        <v>10679</v>
      </c>
      <c r="E793" s="2236" t="str">
        <f>IF($C793="SINAPI",VLOOKUP($B793,'24.08_ND'!$A:$D,3,0),IF($C793="PRÓPRIA",VLOOKUP($B793,'03-CP'!$C:$H,3,0)))</f>
        <v>M3</v>
      </c>
      <c r="F793" s="2230">
        <v>174.2</v>
      </c>
      <c r="G793" s="2238">
        <v>17.21</v>
      </c>
      <c r="H793" s="2302">
        <f t="shared" si="164"/>
        <v>2997.98</v>
      </c>
      <c r="I793" s="2286"/>
      <c r="J793" s="2237"/>
      <c r="K793" s="2411"/>
      <c r="L793" s="2533"/>
      <c r="M793" s="2238"/>
      <c r="N793" s="2239"/>
      <c r="O793" s="2498">
        <f t="shared" si="165"/>
        <v>2997.98</v>
      </c>
      <c r="P793" s="2295">
        <f t="shared" si="166"/>
        <v>1</v>
      </c>
    </row>
    <row r="794" spans="1:16">
      <c r="A794" s="2272" t="s">
        <v>13447</v>
      </c>
      <c r="B794" s="2234">
        <f>VLOOKUP($A794,'12 - QT_SUN'!$A:$F,2,0)</f>
        <v>104737</v>
      </c>
      <c r="C794" s="2234" t="str">
        <f>VLOOKUP($A794,'12 - QT_SUN'!$A:$F,3,0)</f>
        <v>SINAPI</v>
      </c>
      <c r="D794" s="2375" t="s">
        <v>10736</v>
      </c>
      <c r="E794" s="2236" t="str">
        <f>IF($C794="SINAPI",VLOOKUP($B794,'24.08_ND'!$A:$D,3,0),IF($C794="PRÓPRIA",VLOOKUP($B794,'03-CP'!$C:$H,3,0)))</f>
        <v>M3</v>
      </c>
      <c r="F794" s="2230">
        <v>191.62</v>
      </c>
      <c r="G794" s="2238">
        <v>23.43</v>
      </c>
      <c r="H794" s="2302">
        <f t="shared" si="164"/>
        <v>4489.6499999999996</v>
      </c>
      <c r="I794" s="2286"/>
      <c r="J794" s="2237"/>
      <c r="K794" s="2411"/>
      <c r="L794" s="2533"/>
      <c r="M794" s="2238"/>
      <c r="N794" s="2239"/>
      <c r="O794" s="2498">
        <f t="shared" si="165"/>
        <v>4489.6499999999996</v>
      </c>
      <c r="P794" s="2295">
        <f t="shared" si="166"/>
        <v>1</v>
      </c>
    </row>
    <row r="795" spans="1:16">
      <c r="A795" s="2343" t="s">
        <v>13448</v>
      </c>
      <c r="B795" s="2223"/>
      <c r="C795" s="2223"/>
      <c r="D795" s="2376" t="s">
        <v>16335</v>
      </c>
      <c r="E795" s="2224"/>
      <c r="F795" s="2240"/>
      <c r="G795" s="2226"/>
      <c r="H795" s="2301">
        <f>SUBTOTAL(9,H796:H798)</f>
        <v>11413.039999999999</v>
      </c>
      <c r="I795" s="2284"/>
      <c r="J795" s="2227"/>
      <c r="K795" s="2496"/>
      <c r="L795" s="2534">
        <f>SUBTOTAL(9,L796:L798)</f>
        <v>0</v>
      </c>
      <c r="M795" s="2301">
        <f>SUBTOTAL(9,M796:M798)</f>
        <v>0</v>
      </c>
      <c r="N795" s="2301">
        <f>SUBTOTAL(9,N796:N798)</f>
        <v>0</v>
      </c>
      <c r="O795" s="2301">
        <f>SUBTOTAL(9,O796:O798)</f>
        <v>11413.039999999999</v>
      </c>
      <c r="P795" s="2293"/>
    </row>
    <row r="796" spans="1:16" ht="45">
      <c r="A796" s="2272" t="s">
        <v>13449</v>
      </c>
      <c r="B796" s="2234">
        <f>VLOOKUP($A796,'12 - QT_SUN'!$A:$F,2,0)</f>
        <v>97886</v>
      </c>
      <c r="C796" s="2234" t="str">
        <f>VLOOKUP($A796,'12 - QT_SUN'!$A:$F,3,0)</f>
        <v>SINAPI</v>
      </c>
      <c r="D796" s="2375" t="s">
        <v>7935</v>
      </c>
      <c r="E796" s="2236" t="str">
        <f>IF($C796="SINAPI",VLOOKUP($B796,'24.08_ND'!$A:$D,3,0),IF($C796="PRÓPRIA",VLOOKUP($B796,'03-CP'!$C:$H,3,0)))</f>
        <v>UN</v>
      </c>
      <c r="F796" s="2230">
        <v>50</v>
      </c>
      <c r="G796" s="2238">
        <v>199.6</v>
      </c>
      <c r="H796" s="2302">
        <f>TRUNC((G796*F796),2)</f>
        <v>9980</v>
      </c>
      <c r="I796" s="2286"/>
      <c r="J796" s="2237"/>
      <c r="K796" s="2411"/>
      <c r="L796" s="2533"/>
      <c r="M796" s="2238"/>
      <c r="N796" s="2239"/>
      <c r="O796" s="2498">
        <f>H796-L796</f>
        <v>9980</v>
      </c>
      <c r="P796" s="2295">
        <f t="shared" ref="P796:P804" si="167">O796/H796</f>
        <v>1</v>
      </c>
    </row>
    <row r="797" spans="1:16" ht="45">
      <c r="A797" s="2272" t="s">
        <v>13450</v>
      </c>
      <c r="B797" s="2234">
        <f>VLOOKUP($A797,'12 - QT_SUN'!$A:$F,2,0)</f>
        <v>97891</v>
      </c>
      <c r="C797" s="2234" t="str">
        <f>VLOOKUP($A797,'12 - QT_SUN'!$A:$F,3,0)</f>
        <v>SINAPI</v>
      </c>
      <c r="D797" s="2375" t="s">
        <v>7940</v>
      </c>
      <c r="E797" s="2236" t="str">
        <f>IF($C797="SINAPI",VLOOKUP($B797,'24.08_ND'!$A:$D,3,0),IF($C797="PRÓPRIA",VLOOKUP($B797,'03-CP'!$C:$H,3,0)))</f>
        <v>UN</v>
      </c>
      <c r="F797" s="2230">
        <v>6</v>
      </c>
      <c r="G797" s="2238">
        <v>233.76</v>
      </c>
      <c r="H797" s="2302">
        <f>TRUNC((G797*F797),2)</f>
        <v>1402.56</v>
      </c>
      <c r="I797" s="2286"/>
      <c r="J797" s="2237"/>
      <c r="K797" s="2411"/>
      <c r="L797" s="2533"/>
      <c r="M797" s="2238"/>
      <c r="N797" s="2239"/>
      <c r="O797" s="2498">
        <f>H797-L797</f>
        <v>1402.56</v>
      </c>
      <c r="P797" s="2295">
        <f t="shared" si="167"/>
        <v>1</v>
      </c>
    </row>
    <row r="798" spans="1:16" ht="30">
      <c r="A798" s="2272" t="s">
        <v>13451</v>
      </c>
      <c r="B798" s="2234">
        <f>VLOOKUP($A798,'12 - QT_SUN'!$A:$F,2,0)</f>
        <v>95778</v>
      </c>
      <c r="C798" s="2234" t="str">
        <f>VLOOKUP($A798,'12 - QT_SUN'!$A:$F,3,0)</f>
        <v>SINAPI</v>
      </c>
      <c r="D798" s="2375" t="s">
        <v>7900</v>
      </c>
      <c r="E798" s="2236" t="str">
        <f>IF($C798="SINAPI",VLOOKUP($B798,'24.08_ND'!$A:$D,3,0),IF($C798="PRÓPRIA",VLOOKUP($B798,'03-CP'!$C:$H,3,0)))</f>
        <v>UN</v>
      </c>
      <c r="F798" s="2230">
        <v>1</v>
      </c>
      <c r="G798" s="2238">
        <v>30.48</v>
      </c>
      <c r="H798" s="2302">
        <f>TRUNC((G798*F798),2)</f>
        <v>30.48</v>
      </c>
      <c r="I798" s="2286"/>
      <c r="J798" s="2237"/>
      <c r="K798" s="2411"/>
      <c r="L798" s="2533"/>
      <c r="M798" s="2238"/>
      <c r="N798" s="2239"/>
      <c r="O798" s="2498">
        <f>H798-L798</f>
        <v>30.48</v>
      </c>
      <c r="P798" s="2295">
        <f t="shared" si="167"/>
        <v>1</v>
      </c>
    </row>
    <row r="799" spans="1:16">
      <c r="A799" s="2343" t="s">
        <v>13452</v>
      </c>
      <c r="B799" s="2223"/>
      <c r="C799" s="2223"/>
      <c r="D799" s="2376" t="s">
        <v>16337</v>
      </c>
      <c r="E799" s="2224"/>
      <c r="F799" s="2240"/>
      <c r="G799" s="2226"/>
      <c r="H799" s="2301">
        <f>SUBTOTAL(9,H800:H804)</f>
        <v>44803.9</v>
      </c>
      <c r="I799" s="2284"/>
      <c r="J799" s="2227"/>
      <c r="K799" s="2496"/>
      <c r="L799" s="2534">
        <f>SUBTOTAL(9,L800:L804)</f>
        <v>0</v>
      </c>
      <c r="M799" s="2301">
        <f>SUBTOTAL(9,M800:M804)</f>
        <v>0</v>
      </c>
      <c r="N799" s="2301">
        <f>SUBTOTAL(9,N800:N804)</f>
        <v>0</v>
      </c>
      <c r="O799" s="2301">
        <f>SUBTOTAL(9,O800:O804)</f>
        <v>44803.9</v>
      </c>
      <c r="P799" s="2293">
        <f t="shared" si="167"/>
        <v>1</v>
      </c>
    </row>
    <row r="800" spans="1:16">
      <c r="A800" s="2272" t="s">
        <v>13453</v>
      </c>
      <c r="B800" s="2228" t="str">
        <f>VLOOKUP($A800,'12 - QT_SUN'!$A:$F,2,0)</f>
        <v>CP-ELE-111</v>
      </c>
      <c r="C800" s="2228" t="str">
        <f>VLOOKUP($A800,'12 - QT_SUN'!$A:$F,3,0)</f>
        <v>PRÓPRIA</v>
      </c>
      <c r="D800" s="2375" t="s">
        <v>15221</v>
      </c>
      <c r="E800" s="2229" t="str">
        <f>IF($C800="SINAPI",VLOOKUP($B800,'24.08_ND'!$A:$D,3,0),IF($C800="PRÓPRIA",VLOOKUP($B800,'03-CP'!$C:$H,3,0)))</f>
        <v>M</v>
      </c>
      <c r="F800" s="2230">
        <v>330</v>
      </c>
      <c r="G800" s="2232">
        <v>16.420000000000002</v>
      </c>
      <c r="H800" s="2302">
        <f>TRUNC((G800*F800),2)</f>
        <v>5418.6</v>
      </c>
      <c r="I800" s="2287"/>
      <c r="J800" s="2231"/>
      <c r="K800" s="2412"/>
      <c r="L800" s="2536"/>
      <c r="M800" s="2232"/>
      <c r="N800" s="2557"/>
      <c r="O800" s="2498">
        <f>H800-L800</f>
        <v>5418.6</v>
      </c>
      <c r="P800" s="2295">
        <f t="shared" si="167"/>
        <v>1</v>
      </c>
    </row>
    <row r="801" spans="1:16">
      <c r="A801" s="2272" t="s">
        <v>13454</v>
      </c>
      <c r="B801" s="2228" t="str">
        <f>VLOOKUP($A801,'12 - QT_SUN'!$A:$F,2,0)</f>
        <v>CP-ELE-112</v>
      </c>
      <c r="C801" s="2228" t="str">
        <f>VLOOKUP($A801,'12 - QT_SUN'!$A:$F,3,0)</f>
        <v>PRÓPRIA</v>
      </c>
      <c r="D801" s="2375" t="s">
        <v>15223</v>
      </c>
      <c r="E801" s="2229" t="str">
        <f>IF($C801="SINAPI",VLOOKUP($B801,'24.08_ND'!$A:$D,3,0),IF($C801="PRÓPRIA",VLOOKUP($B801,'03-CP'!$C:$H,3,0)))</f>
        <v>M</v>
      </c>
      <c r="F801" s="2230">
        <v>5</v>
      </c>
      <c r="G801" s="2232">
        <v>20.86</v>
      </c>
      <c r="H801" s="2302">
        <f>TRUNC((G801*F801),2)</f>
        <v>104.3</v>
      </c>
      <c r="I801" s="2287"/>
      <c r="J801" s="2231"/>
      <c r="K801" s="2412"/>
      <c r="L801" s="2536"/>
      <c r="M801" s="2232"/>
      <c r="N801" s="2557"/>
      <c r="O801" s="2498">
        <f>H801-L801</f>
        <v>104.3</v>
      </c>
      <c r="P801" s="2295">
        <f t="shared" si="167"/>
        <v>1</v>
      </c>
    </row>
    <row r="802" spans="1:16" ht="30">
      <c r="A802" s="2272" t="s">
        <v>13455</v>
      </c>
      <c r="B802" s="2234">
        <f>VLOOKUP($A802,'12 - QT_SUN'!$A:$F,2,0)</f>
        <v>91926</v>
      </c>
      <c r="C802" s="2234" t="str">
        <f>VLOOKUP($A802,'12 - QT_SUN'!$A:$F,3,0)</f>
        <v>SINAPI</v>
      </c>
      <c r="D802" s="2375" t="s">
        <v>7853</v>
      </c>
      <c r="E802" s="2236" t="str">
        <f>IF($C802="SINAPI",VLOOKUP($B802,'24.08_ND'!$A:$D,3,0),IF($C802="PRÓPRIA",VLOOKUP($B802,'03-CP'!$C:$H,3,0)))</f>
        <v>M</v>
      </c>
      <c r="F802" s="2230">
        <v>2800</v>
      </c>
      <c r="G802" s="2238">
        <v>5.03</v>
      </c>
      <c r="H802" s="2302">
        <f>TRUNC((G802*F802),2)</f>
        <v>14084</v>
      </c>
      <c r="I802" s="2286"/>
      <c r="J802" s="2237"/>
      <c r="K802" s="2411"/>
      <c r="L802" s="2533"/>
      <c r="M802" s="2238"/>
      <c r="N802" s="2239"/>
      <c r="O802" s="2498">
        <f>H802-L802</f>
        <v>14084</v>
      </c>
      <c r="P802" s="2295">
        <f t="shared" si="167"/>
        <v>1</v>
      </c>
    </row>
    <row r="803" spans="1:16" ht="30">
      <c r="A803" s="2272" t="s">
        <v>13456</v>
      </c>
      <c r="B803" s="2234">
        <f>VLOOKUP($A803,'12 - QT_SUN'!$A:$F,2,0)</f>
        <v>91928</v>
      </c>
      <c r="C803" s="2234" t="str">
        <f>VLOOKUP($A803,'12 - QT_SUN'!$A:$F,3,0)</f>
        <v>SINAPI</v>
      </c>
      <c r="D803" s="2375" t="s">
        <v>7855</v>
      </c>
      <c r="E803" s="2236" t="str">
        <f>IF($C803="SINAPI",VLOOKUP($B803,'24.08_ND'!$A:$D,3,0),IF($C803="PRÓPRIA",VLOOKUP($B803,'03-CP'!$C:$H,3,0)))</f>
        <v>M</v>
      </c>
      <c r="F803" s="2230">
        <v>1500</v>
      </c>
      <c r="G803" s="2238">
        <v>7.85</v>
      </c>
      <c r="H803" s="2302">
        <f>TRUNC((G803*F803),2)</f>
        <v>11775</v>
      </c>
      <c r="I803" s="2286"/>
      <c r="J803" s="2237"/>
      <c r="K803" s="2411"/>
      <c r="L803" s="2533"/>
      <c r="M803" s="2238"/>
      <c r="N803" s="2239"/>
      <c r="O803" s="2498">
        <f>H803-L803</f>
        <v>11775</v>
      </c>
      <c r="P803" s="2295">
        <f t="shared" si="167"/>
        <v>1</v>
      </c>
    </row>
    <row r="804" spans="1:16" ht="45">
      <c r="A804" s="2272" t="s">
        <v>13457</v>
      </c>
      <c r="B804" s="2234">
        <f>VLOOKUP($A804,'12 - QT_SUN'!$A:$F,2,0)</f>
        <v>92988</v>
      </c>
      <c r="C804" s="2234" t="str">
        <f>VLOOKUP($A804,'12 - QT_SUN'!$A:$F,3,0)</f>
        <v>SINAPI</v>
      </c>
      <c r="D804" s="2375" t="s">
        <v>7869</v>
      </c>
      <c r="E804" s="2236" t="str">
        <f>IF($C804="SINAPI",VLOOKUP($B804,'24.08_ND'!$A:$D,3,0),IF($C804="PRÓPRIA",VLOOKUP($B804,'03-CP'!$C:$H,3,0)))</f>
        <v>M</v>
      </c>
      <c r="F804" s="2230">
        <v>200</v>
      </c>
      <c r="G804" s="2238">
        <v>67.11</v>
      </c>
      <c r="H804" s="2302">
        <f>TRUNC((G804*F804),2)</f>
        <v>13422</v>
      </c>
      <c r="I804" s="2286"/>
      <c r="J804" s="2237"/>
      <c r="K804" s="2411"/>
      <c r="L804" s="2533"/>
      <c r="M804" s="2238"/>
      <c r="N804" s="2239"/>
      <c r="O804" s="2498">
        <f>H804-L804</f>
        <v>13422</v>
      </c>
      <c r="P804" s="2295">
        <f t="shared" si="167"/>
        <v>1</v>
      </c>
    </row>
    <row r="805" spans="1:16">
      <c r="A805" s="2343" t="s">
        <v>13458</v>
      </c>
      <c r="B805" s="2223"/>
      <c r="C805" s="2223"/>
      <c r="D805" s="2376" t="s">
        <v>16424</v>
      </c>
      <c r="E805" s="2224"/>
      <c r="F805" s="2240"/>
      <c r="G805" s="2226"/>
      <c r="H805" s="2301">
        <f>SUBTOTAL(9,H806:H810)</f>
        <v>7848.0299999999988</v>
      </c>
      <c r="I805" s="2284"/>
      <c r="J805" s="2227"/>
      <c r="K805" s="2496"/>
      <c r="L805" s="2534">
        <f>SUBTOTAL(9,L806:L810)</f>
        <v>0</v>
      </c>
      <c r="M805" s="2301">
        <f>SUBTOTAL(9,M806:M810)</f>
        <v>0</v>
      </c>
      <c r="N805" s="2301">
        <f>SUBTOTAL(9,N806:N810)</f>
        <v>0</v>
      </c>
      <c r="O805" s="2301">
        <f>SUBTOTAL(9,O806:O810)</f>
        <v>7848.0299999999988</v>
      </c>
      <c r="P805" s="2293"/>
    </row>
    <row r="806" spans="1:16" ht="30">
      <c r="A806" s="2272" t="s">
        <v>13459</v>
      </c>
      <c r="B806" s="2234">
        <f>VLOOKUP($A806,'12 - QT_SUN'!$A:$F,2,0)</f>
        <v>96985</v>
      </c>
      <c r="C806" s="2234" t="str">
        <f>VLOOKUP($A806,'12 - QT_SUN'!$A:$F,3,0)</f>
        <v>SINAPI</v>
      </c>
      <c r="D806" s="2375" t="s">
        <v>8265</v>
      </c>
      <c r="E806" s="2236" t="str">
        <f>IF($C806="SINAPI",VLOOKUP($B806,'24.08_ND'!$A:$D,3,0),IF($C806="PRÓPRIA",VLOOKUP($B806,'03-CP'!$C:$H,3,0)))</f>
        <v>UN</v>
      </c>
      <c r="F806" s="2230">
        <v>43</v>
      </c>
      <c r="G806" s="2238">
        <v>85.46</v>
      </c>
      <c r="H806" s="2302">
        <f>TRUNC((G806*F806),2)</f>
        <v>3674.78</v>
      </c>
      <c r="I806" s="2286"/>
      <c r="J806" s="2237"/>
      <c r="K806" s="2411"/>
      <c r="L806" s="2533"/>
      <c r="M806" s="2238"/>
      <c r="N806" s="2239"/>
      <c r="O806" s="2498">
        <f>H806-L806</f>
        <v>3674.78</v>
      </c>
      <c r="P806" s="2295">
        <f>O806/H806</f>
        <v>1</v>
      </c>
    </row>
    <row r="807" spans="1:16" ht="30">
      <c r="A807" s="2272" t="s">
        <v>13460</v>
      </c>
      <c r="B807" s="2228" t="str">
        <f>VLOOKUP($A807,'12 - QT_SUN'!$A:$F,2,0)</f>
        <v>CP-SPDA-15</v>
      </c>
      <c r="C807" s="2228" t="str">
        <f>VLOOKUP($A807,'12 - QT_SUN'!$A:$F,3,0)</f>
        <v>PRÓPRIA</v>
      </c>
      <c r="D807" s="2375" t="s">
        <v>15229</v>
      </c>
      <c r="E807" s="2229" t="str">
        <f>IF($C807="SINAPI",VLOOKUP($B807,'24.08_ND'!$A:$D,3,0),IF($C807="PRÓPRIA",VLOOKUP($B807,'03-CP'!$C:$H,3,0)))</f>
        <v>M</v>
      </c>
      <c r="F807" s="2230">
        <v>28</v>
      </c>
      <c r="G807" s="2232">
        <v>73.569999999999993</v>
      </c>
      <c r="H807" s="2302">
        <f>TRUNC((G807*F807),2)</f>
        <v>2059.96</v>
      </c>
      <c r="I807" s="2287"/>
      <c r="J807" s="2231"/>
      <c r="K807" s="2412"/>
      <c r="L807" s="2536"/>
      <c r="M807" s="2232"/>
      <c r="N807" s="2557"/>
      <c r="O807" s="2498">
        <f>H807-L807</f>
        <v>2059.96</v>
      </c>
      <c r="P807" s="2295">
        <f>O807/H807</f>
        <v>1</v>
      </c>
    </row>
    <row r="808" spans="1:16" ht="30">
      <c r="A808" s="2272" t="s">
        <v>13461</v>
      </c>
      <c r="B808" s="2234">
        <f>VLOOKUP($A808,'12 - QT_SUN'!$A:$F,2,0)</f>
        <v>98111</v>
      </c>
      <c r="C808" s="2234" t="str">
        <f>VLOOKUP($A808,'12 - QT_SUN'!$A:$F,3,0)</f>
        <v>SINAPI</v>
      </c>
      <c r="D808" s="2375" t="s">
        <v>10233</v>
      </c>
      <c r="E808" s="2236" t="str">
        <f>IF($C808="SINAPI",VLOOKUP($B808,'24.08_ND'!$A:$D,3,0),IF($C808="PRÓPRIA",VLOOKUP($B808,'03-CP'!$C:$H,3,0)))</f>
        <v>UN</v>
      </c>
      <c r="F808" s="2230">
        <v>3</v>
      </c>
      <c r="G808" s="2238">
        <v>57.25</v>
      </c>
      <c r="H808" s="2302">
        <f>TRUNC((G808*F808),2)</f>
        <v>171.75</v>
      </c>
      <c r="I808" s="2286"/>
      <c r="J808" s="2237"/>
      <c r="K808" s="2411"/>
      <c r="L808" s="2533"/>
      <c r="M808" s="2238"/>
      <c r="N808" s="2239"/>
      <c r="O808" s="2498">
        <f>H808-L808</f>
        <v>171.75</v>
      </c>
      <c r="P808" s="2295">
        <f>O808/H808</f>
        <v>1</v>
      </c>
    </row>
    <row r="809" spans="1:16" ht="45">
      <c r="A809" s="2272" t="s">
        <v>13462</v>
      </c>
      <c r="B809" s="2234">
        <f>VLOOKUP($A809,'12 - QT_SUN'!$A:$F,2,0)</f>
        <v>104750</v>
      </c>
      <c r="C809" s="2234" t="str">
        <f>VLOOKUP($A809,'12 - QT_SUN'!$A:$F,3,0)</f>
        <v>SINAPI</v>
      </c>
      <c r="D809" s="2375" t="s">
        <v>8273</v>
      </c>
      <c r="E809" s="2236" t="str">
        <f>IF($C809="SINAPI",VLOOKUP($B809,'24.08_ND'!$A:$D,3,0),IF($C809="PRÓPRIA",VLOOKUP($B809,'03-CP'!$C:$H,3,0)))</f>
        <v>UN</v>
      </c>
      <c r="F809" s="2230">
        <v>43</v>
      </c>
      <c r="G809" s="2238">
        <v>17.11</v>
      </c>
      <c r="H809" s="2302">
        <f>TRUNC((G809*F809),2)</f>
        <v>735.73</v>
      </c>
      <c r="I809" s="2286"/>
      <c r="J809" s="2237"/>
      <c r="K809" s="2411"/>
      <c r="L809" s="2533"/>
      <c r="M809" s="2238"/>
      <c r="N809" s="2239"/>
      <c r="O809" s="2498">
        <f>H809-L809</f>
        <v>735.73</v>
      </c>
      <c r="P809" s="2295">
        <f>O809/H809</f>
        <v>1</v>
      </c>
    </row>
    <row r="810" spans="1:16" ht="30">
      <c r="A810" s="2272" t="s">
        <v>13463</v>
      </c>
      <c r="B810" s="2228" t="str">
        <f>VLOOKUP($A810,'12 - QT_SUN'!$A:$F,2,0)</f>
        <v>CP-SPDA-01</v>
      </c>
      <c r="C810" s="2228" t="str">
        <f>VLOOKUP($A810,'12 - QT_SUN'!$A:$F,3,0)</f>
        <v>PRÓPRIA</v>
      </c>
      <c r="D810" s="2375" t="s">
        <v>15225</v>
      </c>
      <c r="E810" s="2229" t="str">
        <f>IF($C810="SINAPI",VLOOKUP($B810,'24.08_ND'!$A:$D,3,0),IF($C810="PRÓPRIA",VLOOKUP($B810,'03-CP'!$C:$H,3,0)))</f>
        <v>UN</v>
      </c>
      <c r="F810" s="2230">
        <v>41</v>
      </c>
      <c r="G810" s="2232">
        <v>29.41</v>
      </c>
      <c r="H810" s="2302">
        <f>TRUNC((G810*F810),2)</f>
        <v>1205.81</v>
      </c>
      <c r="I810" s="2287"/>
      <c r="J810" s="2231"/>
      <c r="K810" s="2412"/>
      <c r="L810" s="2536"/>
      <c r="M810" s="2232"/>
      <c r="N810" s="2557"/>
      <c r="O810" s="2498">
        <f>H810-L810</f>
        <v>1205.81</v>
      </c>
      <c r="P810" s="2295">
        <f>O810/H810</f>
        <v>1</v>
      </c>
    </row>
    <row r="811" spans="1:16">
      <c r="A811" s="2343" t="s">
        <v>13464</v>
      </c>
      <c r="B811" s="2223"/>
      <c r="C811" s="2223"/>
      <c r="D811" s="2376" t="s">
        <v>16425</v>
      </c>
      <c r="E811" s="2224"/>
      <c r="F811" s="2240"/>
      <c r="G811" s="2226"/>
      <c r="H811" s="2301">
        <f>SUBTOTAL(9,H812:H822)</f>
        <v>2970.9100000000003</v>
      </c>
      <c r="I811" s="2284"/>
      <c r="J811" s="2227"/>
      <c r="K811" s="2496"/>
      <c r="L811" s="2534">
        <f>SUBTOTAL(9,L812:L822)</f>
        <v>0</v>
      </c>
      <c r="M811" s="2301">
        <f>SUBTOTAL(9,M812:M822)</f>
        <v>0</v>
      </c>
      <c r="N811" s="2301">
        <f>SUBTOTAL(9,N812:N822)</f>
        <v>0</v>
      </c>
      <c r="O811" s="2301">
        <f>SUBTOTAL(9,O812:O822)</f>
        <v>2970.9100000000003</v>
      </c>
      <c r="P811" s="2293"/>
    </row>
    <row r="812" spans="1:16" ht="30">
      <c r="A812" s="2272" t="s">
        <v>13465</v>
      </c>
      <c r="B812" s="2234">
        <f>VLOOKUP($A812,'12 - QT_SUN'!$A:$F,2,0)</f>
        <v>93660</v>
      </c>
      <c r="C812" s="2234" t="str">
        <f>VLOOKUP($A812,'12 - QT_SUN'!$A:$F,3,0)</f>
        <v>SINAPI</v>
      </c>
      <c r="D812" s="2375" t="s">
        <v>7961</v>
      </c>
      <c r="E812" s="2236" t="str">
        <f>IF($C812="SINAPI",VLOOKUP($B812,'24.08_ND'!$A:$D,3,0),IF($C812="PRÓPRIA",VLOOKUP($B812,'03-CP'!$C:$H,3,0)))</f>
        <v>UN</v>
      </c>
      <c r="F812" s="2230">
        <v>3</v>
      </c>
      <c r="G812" s="2238">
        <v>65.62</v>
      </c>
      <c r="H812" s="2302">
        <f t="shared" ref="H812:H822" si="168">TRUNC((G812*F812),2)</f>
        <v>196.86</v>
      </c>
      <c r="I812" s="2286"/>
      <c r="J812" s="2237"/>
      <c r="K812" s="2411"/>
      <c r="L812" s="2533"/>
      <c r="M812" s="2238"/>
      <c r="N812" s="2239"/>
      <c r="O812" s="2498">
        <f t="shared" ref="O812:O822" si="169">H812-L812</f>
        <v>196.86</v>
      </c>
      <c r="P812" s="2295">
        <f t="shared" ref="P812:P822" si="170">O812/H812</f>
        <v>1</v>
      </c>
    </row>
    <row r="813" spans="1:16" ht="30">
      <c r="A813" s="2272" t="s">
        <v>13466</v>
      </c>
      <c r="B813" s="2234">
        <f>VLOOKUP($A813,'12 - QT_SUN'!$A:$F,2,0)</f>
        <v>93661</v>
      </c>
      <c r="C813" s="2234" t="str">
        <f>VLOOKUP($A813,'12 - QT_SUN'!$A:$F,3,0)</f>
        <v>SINAPI</v>
      </c>
      <c r="D813" s="2375" t="s">
        <v>7962</v>
      </c>
      <c r="E813" s="2236" t="str">
        <f>IF($C813="SINAPI",VLOOKUP($B813,'24.08_ND'!$A:$D,3,0),IF($C813="PRÓPRIA",VLOOKUP($B813,'03-CP'!$C:$H,3,0)))</f>
        <v>UN</v>
      </c>
      <c r="F813" s="2230">
        <v>2</v>
      </c>
      <c r="G813" s="2238">
        <v>67</v>
      </c>
      <c r="H813" s="2302">
        <f t="shared" si="168"/>
        <v>134</v>
      </c>
      <c r="I813" s="2286"/>
      <c r="J813" s="2237"/>
      <c r="K813" s="2411"/>
      <c r="L813" s="2533"/>
      <c r="M813" s="2238"/>
      <c r="N813" s="2239"/>
      <c r="O813" s="2498">
        <f t="shared" si="169"/>
        <v>134</v>
      </c>
      <c r="P813" s="2295">
        <f t="shared" si="170"/>
        <v>1</v>
      </c>
    </row>
    <row r="814" spans="1:16">
      <c r="A814" s="2272" t="s">
        <v>13467</v>
      </c>
      <c r="B814" s="2228" t="str">
        <f>VLOOKUP($A814,'12 - QT_SUN'!$A:$F,2,0)</f>
        <v>CP-ELE-113</v>
      </c>
      <c r="C814" s="2228" t="str">
        <f>VLOOKUP($A814,'12 - QT_SUN'!$A:$F,3,0)</f>
        <v>PRÓPRIA</v>
      </c>
      <c r="D814" s="2375" t="s">
        <v>15231</v>
      </c>
      <c r="E814" s="2229" t="str">
        <f>IF($C814="SINAPI",VLOOKUP($B814,'24.08_ND'!$A:$D,3,0),IF($C814="PRÓPRIA",VLOOKUP($B814,'03-CP'!$C:$H,3,0)))</f>
        <v>UN</v>
      </c>
      <c r="F814" s="2230">
        <v>1</v>
      </c>
      <c r="G814" s="2232">
        <v>222.37</v>
      </c>
      <c r="H814" s="2302">
        <f t="shared" si="168"/>
        <v>222.37</v>
      </c>
      <c r="I814" s="2287"/>
      <c r="J814" s="2231"/>
      <c r="K814" s="2412"/>
      <c r="L814" s="2536"/>
      <c r="M814" s="2232"/>
      <c r="N814" s="2557"/>
      <c r="O814" s="2498">
        <f t="shared" si="169"/>
        <v>222.37</v>
      </c>
      <c r="P814" s="2295">
        <f t="shared" si="170"/>
        <v>1</v>
      </c>
    </row>
    <row r="815" spans="1:16">
      <c r="A815" s="2272" t="s">
        <v>13468</v>
      </c>
      <c r="B815" s="2228" t="str">
        <f>VLOOKUP($A815,'12 - QT_SUN'!$A:$F,2,0)</f>
        <v>CP-ELE-109</v>
      </c>
      <c r="C815" s="2228" t="str">
        <f>VLOOKUP($A815,'12 - QT_SUN'!$A:$F,3,0)</f>
        <v>PRÓPRIA</v>
      </c>
      <c r="D815" s="2375" t="s">
        <v>15235</v>
      </c>
      <c r="E815" s="2229" t="str">
        <f>IF($C815="SINAPI",VLOOKUP($B815,'24.08_ND'!$A:$D,3,0),IF($C815="PRÓPRIA",VLOOKUP($B815,'03-CP'!$C:$H,3,0)))</f>
        <v>UN</v>
      </c>
      <c r="F815" s="2230">
        <v>4</v>
      </c>
      <c r="G815" s="2232">
        <v>320.73</v>
      </c>
      <c r="H815" s="2302">
        <f t="shared" si="168"/>
        <v>1282.92</v>
      </c>
      <c r="I815" s="2287"/>
      <c r="J815" s="2231"/>
      <c r="K815" s="2412"/>
      <c r="L815" s="2536"/>
      <c r="M815" s="2232"/>
      <c r="N815" s="2557"/>
      <c r="O815" s="2498">
        <f t="shared" si="169"/>
        <v>1282.92</v>
      </c>
      <c r="P815" s="2295">
        <f t="shared" si="170"/>
        <v>1</v>
      </c>
    </row>
    <row r="816" spans="1:16" ht="30">
      <c r="A816" s="2272" t="s">
        <v>13469</v>
      </c>
      <c r="B816" s="2228" t="str">
        <f>VLOOKUP($A816,'12 - QT_SUN'!$A:$F,2,0)</f>
        <v>CP-ELE-101</v>
      </c>
      <c r="C816" s="2228" t="str">
        <f>VLOOKUP($A816,'12 - QT_SUN'!$A:$F,3,0)</f>
        <v>PRÓPRIA</v>
      </c>
      <c r="D816" s="2375" t="s">
        <v>15156</v>
      </c>
      <c r="E816" s="2229" t="str">
        <f>IF($C816="SINAPI",VLOOKUP($B816,'24.08_ND'!$A:$D,3,0),IF($C816="PRÓPRIA",VLOOKUP($B816,'03-CP'!$C:$H,3,0)))</f>
        <v>UN</v>
      </c>
      <c r="F816" s="2230">
        <v>2</v>
      </c>
      <c r="G816" s="2232">
        <v>102.35</v>
      </c>
      <c r="H816" s="2302">
        <f t="shared" si="168"/>
        <v>204.7</v>
      </c>
      <c r="I816" s="2287"/>
      <c r="J816" s="2231"/>
      <c r="K816" s="2412"/>
      <c r="L816" s="2536"/>
      <c r="M816" s="2232"/>
      <c r="N816" s="2557"/>
      <c r="O816" s="2498">
        <f t="shared" si="169"/>
        <v>204.7</v>
      </c>
      <c r="P816" s="2295">
        <f t="shared" si="170"/>
        <v>1</v>
      </c>
    </row>
    <row r="817" spans="1:16" ht="30">
      <c r="A817" s="2272" t="s">
        <v>13470</v>
      </c>
      <c r="B817" s="2228" t="str">
        <f>VLOOKUP($A817,'12 - QT_SUN'!$A:$F,2,0)</f>
        <v>CP-ELE-114</v>
      </c>
      <c r="C817" s="2228" t="str">
        <f>VLOOKUP($A817,'12 - QT_SUN'!$A:$F,3,0)</f>
        <v>PRÓPRIA</v>
      </c>
      <c r="D817" s="2375" t="s">
        <v>15238</v>
      </c>
      <c r="E817" s="2229" t="str">
        <f>IF($C817="SINAPI",VLOOKUP($B817,'24.08_ND'!$A:$D,3,0),IF($C817="PRÓPRIA",VLOOKUP($B817,'03-CP'!$C:$H,3,0)))</f>
        <v>UN</v>
      </c>
      <c r="F817" s="2230">
        <v>1</v>
      </c>
      <c r="G817" s="2232">
        <v>707.88</v>
      </c>
      <c r="H817" s="2302">
        <f t="shared" si="168"/>
        <v>707.88</v>
      </c>
      <c r="I817" s="2287"/>
      <c r="J817" s="2231"/>
      <c r="K817" s="2412"/>
      <c r="L817" s="2536"/>
      <c r="M817" s="2232"/>
      <c r="N817" s="2557"/>
      <c r="O817" s="2498">
        <f t="shared" si="169"/>
        <v>707.88</v>
      </c>
      <c r="P817" s="2295">
        <f t="shared" si="170"/>
        <v>1</v>
      </c>
    </row>
    <row r="818" spans="1:16" ht="45">
      <c r="A818" s="2272" t="s">
        <v>13471</v>
      </c>
      <c r="B818" s="2234">
        <f>VLOOKUP($A818,'12 - QT_SUN'!$A:$F,2,0)</f>
        <v>92986</v>
      </c>
      <c r="C818" s="2234" t="str">
        <f>VLOOKUP($A818,'12 - QT_SUN'!$A:$F,3,0)</f>
        <v>SINAPI</v>
      </c>
      <c r="D818" s="2375" t="s">
        <v>7868</v>
      </c>
      <c r="E818" s="2236" t="str">
        <f>IF($C818="SINAPI",VLOOKUP($B818,'24.08_ND'!$A:$D,3,0),IF($C818="PRÓPRIA",VLOOKUP($B818,'03-CP'!$C:$H,3,0)))</f>
        <v>M</v>
      </c>
      <c r="F818" s="2230">
        <v>1</v>
      </c>
      <c r="G818" s="2238">
        <v>46.13</v>
      </c>
      <c r="H818" s="2302">
        <f t="shared" si="168"/>
        <v>46.13</v>
      </c>
      <c r="I818" s="2286"/>
      <c r="J818" s="2237"/>
      <c r="K818" s="2411"/>
      <c r="L818" s="2533"/>
      <c r="M818" s="2238"/>
      <c r="N818" s="2239"/>
      <c r="O818" s="2498">
        <f t="shared" si="169"/>
        <v>46.13</v>
      </c>
      <c r="P818" s="2295">
        <f t="shared" si="170"/>
        <v>1</v>
      </c>
    </row>
    <row r="819" spans="1:16" ht="30">
      <c r="A819" s="2272" t="s">
        <v>13472</v>
      </c>
      <c r="B819" s="2234">
        <f>VLOOKUP($A819,'12 - QT_SUN'!$A:$F,2,0)</f>
        <v>91926</v>
      </c>
      <c r="C819" s="2234" t="str">
        <f>VLOOKUP($A819,'12 - QT_SUN'!$A:$F,3,0)</f>
        <v>SINAPI</v>
      </c>
      <c r="D819" s="2375" t="s">
        <v>7853</v>
      </c>
      <c r="E819" s="2236" t="str">
        <f>IF($C819="SINAPI",VLOOKUP($B819,'24.08_ND'!$A:$D,3,0),IF($C819="PRÓPRIA",VLOOKUP($B819,'03-CP'!$C:$H,3,0)))</f>
        <v>M</v>
      </c>
      <c r="F819" s="2230">
        <v>8</v>
      </c>
      <c r="G819" s="2238">
        <v>5.03</v>
      </c>
      <c r="H819" s="2302">
        <f t="shared" si="168"/>
        <v>40.24</v>
      </c>
      <c r="I819" s="2286"/>
      <c r="J819" s="2237"/>
      <c r="K819" s="2411"/>
      <c r="L819" s="2533"/>
      <c r="M819" s="2238"/>
      <c r="N819" s="2239"/>
      <c r="O819" s="2498">
        <f t="shared" si="169"/>
        <v>40.24</v>
      </c>
      <c r="P819" s="2295">
        <f t="shared" si="170"/>
        <v>1</v>
      </c>
    </row>
    <row r="820" spans="1:16" ht="30">
      <c r="A820" s="2272" t="s">
        <v>13473</v>
      </c>
      <c r="B820" s="2234">
        <f>VLOOKUP($A820,'12 - QT_SUN'!$A:$F,2,0)</f>
        <v>91928</v>
      </c>
      <c r="C820" s="2234" t="str">
        <f>VLOOKUP($A820,'12 - QT_SUN'!$A:$F,3,0)</f>
        <v>SINAPI</v>
      </c>
      <c r="D820" s="2375" t="s">
        <v>7855</v>
      </c>
      <c r="E820" s="2236" t="str">
        <f>IF($C820="SINAPI",VLOOKUP($B820,'24.08_ND'!$A:$D,3,0),IF($C820="PRÓPRIA",VLOOKUP($B820,'03-CP'!$C:$H,3,0)))</f>
        <v>M</v>
      </c>
      <c r="F820" s="2230">
        <v>3</v>
      </c>
      <c r="G820" s="2238">
        <v>7.85</v>
      </c>
      <c r="H820" s="2302">
        <f t="shared" si="168"/>
        <v>23.55</v>
      </c>
      <c r="I820" s="2286"/>
      <c r="J820" s="2237"/>
      <c r="K820" s="2411"/>
      <c r="L820" s="2533"/>
      <c r="M820" s="2238"/>
      <c r="N820" s="2239"/>
      <c r="O820" s="2498">
        <f t="shared" si="169"/>
        <v>23.55</v>
      </c>
      <c r="P820" s="2295">
        <f t="shared" si="170"/>
        <v>1</v>
      </c>
    </row>
    <row r="821" spans="1:16">
      <c r="A821" s="2272" t="s">
        <v>13474</v>
      </c>
      <c r="B821" s="2228" t="str">
        <f>VLOOKUP($A821,'12 - QT_SUN'!$A:$F,2,0)</f>
        <v>CP-ELE-01</v>
      </c>
      <c r="C821" s="2228" t="str">
        <f>VLOOKUP($A821,'12 - QT_SUN'!$A:$F,3,0)</f>
        <v>PRÓPRIA</v>
      </c>
      <c r="D821" s="2375" t="s">
        <v>15151</v>
      </c>
      <c r="E821" s="2229" t="str">
        <f>IF($C821="SINAPI",VLOOKUP($B821,'24.08_ND'!$A:$D,3,0),IF($C821="PRÓPRIA",VLOOKUP($B821,'03-CP'!$C:$H,3,0)))</f>
        <v>M</v>
      </c>
      <c r="F821" s="2230">
        <v>5</v>
      </c>
      <c r="G821" s="2232">
        <v>13.35</v>
      </c>
      <c r="H821" s="2302">
        <f t="shared" si="168"/>
        <v>66.75</v>
      </c>
      <c r="I821" s="2287"/>
      <c r="J821" s="2231"/>
      <c r="K821" s="2412"/>
      <c r="L821" s="2536"/>
      <c r="M821" s="2232"/>
      <c r="N821" s="2557"/>
      <c r="O821" s="2498">
        <f t="shared" si="169"/>
        <v>66.75</v>
      </c>
      <c r="P821" s="2295">
        <f t="shared" si="170"/>
        <v>1</v>
      </c>
    </row>
    <row r="822" spans="1:16" ht="30">
      <c r="A822" s="2272" t="s">
        <v>13475</v>
      </c>
      <c r="B822" s="2234">
        <f>VLOOKUP($A822,'12 - QT_SUN'!$A:$F,2,0)</f>
        <v>101632</v>
      </c>
      <c r="C822" s="2234" t="str">
        <f>VLOOKUP($A822,'12 - QT_SUN'!$A:$F,3,0)</f>
        <v>SINAPI</v>
      </c>
      <c r="D822" s="2375" t="s">
        <v>8180</v>
      </c>
      <c r="E822" s="2236" t="str">
        <f>IF($C822="SINAPI",VLOOKUP($B822,'24.08_ND'!$A:$D,3,0),IF($C822="PRÓPRIA",VLOOKUP($B822,'03-CP'!$C:$H,3,0)))</f>
        <v>UN</v>
      </c>
      <c r="F822" s="2230">
        <v>1</v>
      </c>
      <c r="G822" s="2238">
        <v>45.51</v>
      </c>
      <c r="H822" s="2302">
        <f t="shared" si="168"/>
        <v>45.51</v>
      </c>
      <c r="I822" s="2286"/>
      <c r="J822" s="2237"/>
      <c r="K822" s="2411"/>
      <c r="L822" s="2533"/>
      <c r="M822" s="2238"/>
      <c r="N822" s="2239"/>
      <c r="O822" s="2498">
        <f t="shared" si="169"/>
        <v>45.51</v>
      </c>
      <c r="P822" s="2295">
        <f t="shared" si="170"/>
        <v>1</v>
      </c>
    </row>
    <row r="823" spans="1:16">
      <c r="A823" s="2343" t="s">
        <v>13476</v>
      </c>
      <c r="B823" s="2223"/>
      <c r="C823" s="2223"/>
      <c r="D823" s="2376" t="s">
        <v>16426</v>
      </c>
      <c r="E823" s="2224"/>
      <c r="F823" s="2240"/>
      <c r="G823" s="2226"/>
      <c r="H823" s="2301">
        <f>SUBTOTAL(9,H824:H832)</f>
        <v>170109.08000000002</v>
      </c>
      <c r="I823" s="2284"/>
      <c r="J823" s="2227"/>
      <c r="K823" s="2496"/>
      <c r="L823" s="2534">
        <f>SUBTOTAL(9,L824:L832)</f>
        <v>0</v>
      </c>
      <c r="M823" s="2301">
        <f>SUBTOTAL(9,M824:M832)</f>
        <v>0</v>
      </c>
      <c r="N823" s="2301">
        <f>SUBTOTAL(9,N824:N832)</f>
        <v>0</v>
      </c>
      <c r="O823" s="2301">
        <f>SUBTOTAL(9,O824:O832)</f>
        <v>170109.08000000002</v>
      </c>
      <c r="P823" s="2293"/>
    </row>
    <row r="824" spans="1:16" ht="30">
      <c r="A824" s="2272" t="s">
        <v>13477</v>
      </c>
      <c r="B824" s="2228" t="str">
        <f>VLOOKUP($A824,'12 - QT_SUN'!$A:$F,2,0)</f>
        <v>CP-ILUM-31</v>
      </c>
      <c r="C824" s="2228" t="str">
        <f>VLOOKUP($A824,'12 - QT_SUN'!$A:$F,3,0)</f>
        <v>PRÓPRIA</v>
      </c>
      <c r="D824" s="2375" t="s">
        <v>15312</v>
      </c>
      <c r="E824" s="2229" t="str">
        <f>IF($C824="SINAPI",VLOOKUP($B824,'24.08_ND'!$A:$D,3,0),IF($C824="PRÓPRIA",VLOOKUP($B824,'03-CP'!$C:$H,3,0)))</f>
        <v>UN</v>
      </c>
      <c r="F824" s="2230">
        <v>13</v>
      </c>
      <c r="G824" s="2232">
        <v>3219.07</v>
      </c>
      <c r="H824" s="2302">
        <f t="shared" ref="H824:H832" si="171">TRUNC((G824*F824),2)</f>
        <v>41847.910000000003</v>
      </c>
      <c r="I824" s="2287"/>
      <c r="J824" s="2231"/>
      <c r="K824" s="2412"/>
      <c r="L824" s="2536"/>
      <c r="M824" s="2232"/>
      <c r="N824" s="2557"/>
      <c r="O824" s="2498">
        <f t="shared" ref="O824:O832" si="172">H824-L824</f>
        <v>41847.910000000003</v>
      </c>
      <c r="P824" s="2295">
        <f t="shared" ref="P824:P832" si="173">O824/H824</f>
        <v>1</v>
      </c>
    </row>
    <row r="825" spans="1:16" ht="30">
      <c r="A825" s="2272" t="s">
        <v>13478</v>
      </c>
      <c r="B825" s="2228" t="str">
        <f>VLOOKUP($A825,'12 - QT_SUN'!$A:$F,2,0)</f>
        <v>CP-ILUM-47</v>
      </c>
      <c r="C825" s="2228" t="str">
        <f>VLOOKUP($A825,'12 - QT_SUN'!$A:$F,3,0)</f>
        <v>PRÓPRIA</v>
      </c>
      <c r="D825" s="2375" t="s">
        <v>15315</v>
      </c>
      <c r="E825" s="2229" t="str">
        <f>IF($C825="SINAPI",VLOOKUP($B825,'24.08_ND'!$A:$D,3,0),IF($C825="PRÓPRIA",VLOOKUP($B825,'03-CP'!$C:$H,3,0)))</f>
        <v>UN</v>
      </c>
      <c r="F825" s="2230">
        <v>13</v>
      </c>
      <c r="G825" s="2232">
        <v>912.21</v>
      </c>
      <c r="H825" s="2302">
        <f t="shared" si="171"/>
        <v>11858.73</v>
      </c>
      <c r="I825" s="2287"/>
      <c r="J825" s="2231"/>
      <c r="K825" s="2412"/>
      <c r="L825" s="2536"/>
      <c r="M825" s="2232"/>
      <c r="N825" s="2557"/>
      <c r="O825" s="2498">
        <f t="shared" si="172"/>
        <v>11858.73</v>
      </c>
      <c r="P825" s="2295">
        <f t="shared" si="173"/>
        <v>1</v>
      </c>
    </row>
    <row r="826" spans="1:16" ht="30">
      <c r="A826" s="2272" t="s">
        <v>13479</v>
      </c>
      <c r="B826" s="2228" t="str">
        <f>VLOOKUP($A826,'12 - QT_SUN'!$A:$F,2,0)</f>
        <v>CP-ILUM-33</v>
      </c>
      <c r="C826" s="2228" t="str">
        <f>VLOOKUP($A826,'12 - QT_SUN'!$A:$F,3,0)</f>
        <v>PRÓPRIA</v>
      </c>
      <c r="D826" s="2375" t="s">
        <v>15243</v>
      </c>
      <c r="E826" s="2229" t="str">
        <f>IF($C826="SINAPI",VLOOKUP($B826,'24.08_ND'!$A:$D,3,0),IF($C826="PRÓPRIA",VLOOKUP($B826,'03-CP'!$C:$H,3,0)))</f>
        <v>UN</v>
      </c>
      <c r="F826" s="2230">
        <v>45</v>
      </c>
      <c r="G826" s="2232">
        <v>302.33</v>
      </c>
      <c r="H826" s="2302">
        <f t="shared" si="171"/>
        <v>13604.85</v>
      </c>
      <c r="I826" s="2287"/>
      <c r="J826" s="2231"/>
      <c r="K826" s="2412"/>
      <c r="L826" s="2536"/>
      <c r="M826" s="2232"/>
      <c r="N826" s="2557"/>
      <c r="O826" s="2498">
        <f t="shared" si="172"/>
        <v>13604.85</v>
      </c>
      <c r="P826" s="2295">
        <f t="shared" si="173"/>
        <v>1</v>
      </c>
    </row>
    <row r="827" spans="1:16" ht="30">
      <c r="A827" s="2272" t="s">
        <v>13480</v>
      </c>
      <c r="B827" s="2228" t="str">
        <f>VLOOKUP($A827,'12 - QT_SUN'!$A:$F,2,0)</f>
        <v>CP-ILUM-34</v>
      </c>
      <c r="C827" s="2228" t="str">
        <f>VLOOKUP($A827,'12 - QT_SUN'!$A:$F,3,0)</f>
        <v>PRÓPRIA</v>
      </c>
      <c r="D827" s="2375" t="s">
        <v>15247</v>
      </c>
      <c r="E827" s="2229" t="str">
        <f>IF($C827="SINAPI",VLOOKUP($B827,'24.08_ND'!$A:$D,3,0),IF($C827="PRÓPRIA",VLOOKUP($B827,'03-CP'!$C:$H,3,0)))</f>
        <v>UN</v>
      </c>
      <c r="F827" s="2230">
        <v>83</v>
      </c>
      <c r="G827" s="2232">
        <v>355.17</v>
      </c>
      <c r="H827" s="2302">
        <f t="shared" si="171"/>
        <v>29479.11</v>
      </c>
      <c r="I827" s="2287"/>
      <c r="J827" s="2231"/>
      <c r="K827" s="2412"/>
      <c r="L827" s="2536"/>
      <c r="M827" s="2232"/>
      <c r="N827" s="2557"/>
      <c r="O827" s="2498">
        <f t="shared" si="172"/>
        <v>29479.11</v>
      </c>
      <c r="P827" s="2295">
        <f t="shared" si="173"/>
        <v>1</v>
      </c>
    </row>
    <row r="828" spans="1:16" ht="30">
      <c r="A828" s="2272" t="s">
        <v>13481</v>
      </c>
      <c r="B828" s="2228" t="str">
        <f>VLOOKUP($A828,'12 - QT_SUN'!$A:$F,2,0)</f>
        <v>CP-ILUM-35</v>
      </c>
      <c r="C828" s="2228" t="str">
        <f>VLOOKUP($A828,'12 - QT_SUN'!$A:$F,3,0)</f>
        <v>PRÓPRIA</v>
      </c>
      <c r="D828" s="2375" t="s">
        <v>15250</v>
      </c>
      <c r="E828" s="2229" t="str">
        <f>IF($C828="SINAPI",VLOOKUP($B828,'24.08_ND'!$A:$D,3,0),IF($C828="PRÓPRIA",VLOOKUP($B828,'03-CP'!$C:$H,3,0)))</f>
        <v>UN</v>
      </c>
      <c r="F828" s="2230">
        <v>26</v>
      </c>
      <c r="G828" s="2232">
        <v>645</v>
      </c>
      <c r="H828" s="2302">
        <f t="shared" si="171"/>
        <v>16770</v>
      </c>
      <c r="I828" s="2287"/>
      <c r="J828" s="2231"/>
      <c r="K828" s="2412"/>
      <c r="L828" s="2536"/>
      <c r="M828" s="2232"/>
      <c r="N828" s="2557"/>
      <c r="O828" s="2498">
        <f t="shared" si="172"/>
        <v>16770</v>
      </c>
      <c r="P828" s="2295">
        <f t="shared" si="173"/>
        <v>1</v>
      </c>
    </row>
    <row r="829" spans="1:16" ht="30">
      <c r="A829" s="2272" t="s">
        <v>13482</v>
      </c>
      <c r="B829" s="2228" t="str">
        <f>VLOOKUP($A829,'12 - QT_SUN'!$A:$F,2,0)</f>
        <v>CP-ILUM-36</v>
      </c>
      <c r="C829" s="2228" t="str">
        <f>VLOOKUP($A829,'12 - QT_SUN'!$A:$F,3,0)</f>
        <v>PRÓPRIA</v>
      </c>
      <c r="D829" s="2375" t="s">
        <v>15253</v>
      </c>
      <c r="E829" s="2229" t="str">
        <f>IF($C829="SINAPI",VLOOKUP($B829,'24.08_ND'!$A:$D,3,0),IF($C829="PRÓPRIA",VLOOKUP($B829,'03-CP'!$C:$H,3,0)))</f>
        <v>UN</v>
      </c>
      <c r="F829" s="2230">
        <v>11</v>
      </c>
      <c r="G829" s="2232">
        <v>212.62</v>
      </c>
      <c r="H829" s="2302">
        <f t="shared" si="171"/>
        <v>2338.8200000000002</v>
      </c>
      <c r="I829" s="2287"/>
      <c r="J829" s="2231"/>
      <c r="K829" s="2412"/>
      <c r="L829" s="2536"/>
      <c r="M829" s="2232"/>
      <c r="N829" s="2557"/>
      <c r="O829" s="2498">
        <f t="shared" si="172"/>
        <v>2338.8200000000002</v>
      </c>
      <c r="P829" s="2295">
        <f t="shared" si="173"/>
        <v>1</v>
      </c>
    </row>
    <row r="830" spans="1:16">
      <c r="A830" s="2272" t="s">
        <v>13483</v>
      </c>
      <c r="B830" s="2228" t="str">
        <f>VLOOKUP($A830,'12 - QT_SUN'!$A:$F,2,0)</f>
        <v>CP-ILUM-37</v>
      </c>
      <c r="C830" s="2228" t="str">
        <f>VLOOKUP($A830,'12 - QT_SUN'!$A:$F,3,0)</f>
        <v>PRÓPRIA</v>
      </c>
      <c r="D830" s="2375" t="s">
        <v>15256</v>
      </c>
      <c r="E830" s="2229" t="str">
        <f>IF($C830="SINAPI",VLOOKUP($B830,'24.08_ND'!$A:$D,3,0),IF($C830="PRÓPRIA",VLOOKUP($B830,'03-CP'!$C:$H,3,0)))</f>
        <v>UN</v>
      </c>
      <c r="F830" s="2230">
        <v>12</v>
      </c>
      <c r="G830" s="2232">
        <v>193.87</v>
      </c>
      <c r="H830" s="2302">
        <f t="shared" si="171"/>
        <v>2326.44</v>
      </c>
      <c r="I830" s="2287"/>
      <c r="J830" s="2231"/>
      <c r="K830" s="2412"/>
      <c r="L830" s="2536"/>
      <c r="M830" s="2232"/>
      <c r="N830" s="2557"/>
      <c r="O830" s="2498">
        <f t="shared" si="172"/>
        <v>2326.44</v>
      </c>
      <c r="P830" s="2295">
        <f t="shared" si="173"/>
        <v>1</v>
      </c>
    </row>
    <row r="831" spans="1:16" ht="30">
      <c r="A831" s="2272" t="s">
        <v>13484</v>
      </c>
      <c r="B831" s="2228" t="str">
        <f>VLOOKUP($A831,'12 - QT_SUN'!$A:$F,2,0)</f>
        <v>CP-ILUM-16</v>
      </c>
      <c r="C831" s="2228" t="str">
        <f>VLOOKUP($A831,'12 - QT_SUN'!$A:$F,3,0)</f>
        <v>PRÓPRIA</v>
      </c>
      <c r="D831" s="2375" t="s">
        <v>15260</v>
      </c>
      <c r="E831" s="2229" t="str">
        <f>IF($C831="SINAPI",VLOOKUP($B831,'24.08_ND'!$A:$D,3,0),IF($C831="PRÓPRIA",VLOOKUP($B831,'03-CP'!$C:$H,3,0)))</f>
        <v>UN</v>
      </c>
      <c r="F831" s="2230">
        <v>23</v>
      </c>
      <c r="G831" s="2232">
        <v>2035.02</v>
      </c>
      <c r="H831" s="2302">
        <f t="shared" si="171"/>
        <v>46805.46</v>
      </c>
      <c r="I831" s="2287"/>
      <c r="J831" s="2231"/>
      <c r="K831" s="2412"/>
      <c r="L831" s="2536"/>
      <c r="M831" s="2232"/>
      <c r="N831" s="2557"/>
      <c r="O831" s="2498">
        <f t="shared" si="172"/>
        <v>46805.46</v>
      </c>
      <c r="P831" s="2295">
        <f t="shared" si="173"/>
        <v>1</v>
      </c>
    </row>
    <row r="832" spans="1:16" ht="30">
      <c r="A832" s="2272" t="s">
        <v>13485</v>
      </c>
      <c r="B832" s="2228" t="str">
        <f>VLOOKUP($A832,'12 - QT_SUN'!$A:$F,2,0)</f>
        <v>CP-ILUM-38</v>
      </c>
      <c r="C832" s="2228" t="str">
        <f>VLOOKUP($A832,'12 - QT_SUN'!$A:$F,3,0)</f>
        <v>PRÓPRIA</v>
      </c>
      <c r="D832" s="2375" t="s">
        <v>15263</v>
      </c>
      <c r="E832" s="2229" t="str">
        <f>IF($C832="SINAPI",VLOOKUP($B832,'24.08_ND'!$A:$D,3,0),IF($C832="PRÓPRIA",VLOOKUP($B832,'03-CP'!$C:$H,3,0)))</f>
        <v>UN</v>
      </c>
      <c r="F832" s="2230">
        <v>2</v>
      </c>
      <c r="G832" s="2232">
        <v>2538.88</v>
      </c>
      <c r="H832" s="2302">
        <f t="shared" si="171"/>
        <v>5077.76</v>
      </c>
      <c r="I832" s="2287"/>
      <c r="J832" s="2231"/>
      <c r="K832" s="2412"/>
      <c r="L832" s="2536"/>
      <c r="M832" s="2232"/>
      <c r="N832" s="2557"/>
      <c r="O832" s="2498">
        <f t="shared" si="172"/>
        <v>5077.76</v>
      </c>
      <c r="P832" s="2295">
        <f t="shared" si="173"/>
        <v>1</v>
      </c>
    </row>
    <row r="833" spans="1:17">
      <c r="A833" s="2337" t="s">
        <v>13486</v>
      </c>
      <c r="B833" s="1799"/>
      <c r="C833" s="1799"/>
      <c r="D833" s="2146"/>
      <c r="E833" s="1799"/>
      <c r="F833" s="232"/>
      <c r="G833" s="233"/>
      <c r="H833" s="2299">
        <f>SUBTOTAL(9,H834:H1055)</f>
        <v>206379.05999999991</v>
      </c>
      <c r="I833" s="2290"/>
      <c r="J833" s="2152"/>
      <c r="K833" s="2548"/>
      <c r="L833" s="2531">
        <f>SUBTOTAL(9,L834:L1055)</f>
        <v>99043.38999999997</v>
      </c>
      <c r="M833" s="2299">
        <f>SUBTOTAL(9,M834:M1055)</f>
        <v>79697.699999999983</v>
      </c>
      <c r="N833" s="2299">
        <f>SUBTOTAL(9,N834:N1055)</f>
        <v>19345.690000000002</v>
      </c>
      <c r="O833" s="2299">
        <f>SUBTOTAL(9,O834:O1055)</f>
        <v>107335.67000000004</v>
      </c>
      <c r="P833" s="2298"/>
    </row>
    <row r="834" spans="1:17">
      <c r="A834" s="2267" t="s">
        <v>12635</v>
      </c>
      <c r="B834" s="2216"/>
      <c r="C834" s="2217"/>
      <c r="D834" s="2377" t="s">
        <v>16198</v>
      </c>
      <c r="E834" s="2218"/>
      <c r="F834" s="2241"/>
      <c r="G834" s="2220"/>
      <c r="H834" s="2300">
        <f>SUBTOTAL(9,H835:H887)</f>
        <v>31493.25</v>
      </c>
      <c r="I834" s="2283"/>
      <c r="J834" s="2221"/>
      <c r="K834" s="2492"/>
      <c r="L834" s="2532">
        <f>SUBTOTAL(9,L835:L887)</f>
        <v>31493.25</v>
      </c>
      <c r="M834" s="2300">
        <f>SUBTOTAL(9,M835:M887)</f>
        <v>31493.25</v>
      </c>
      <c r="N834" s="2300">
        <f>SUBTOTAL(9,N835:N887)</f>
        <v>0</v>
      </c>
      <c r="O834" s="2300">
        <f>SUBTOTAL(9,O835:O887)</f>
        <v>0</v>
      </c>
      <c r="P834" s="2292">
        <f>O834/H834</f>
        <v>0</v>
      </c>
      <c r="Q834" s="2567"/>
    </row>
    <row r="835" spans="1:17">
      <c r="A835" s="2340" t="s">
        <v>13487</v>
      </c>
      <c r="B835" s="2223"/>
      <c r="C835" s="2223"/>
      <c r="D835" s="2376" t="s">
        <v>16430</v>
      </c>
      <c r="E835" s="2224"/>
      <c r="F835" s="2240"/>
      <c r="G835" s="2226"/>
      <c r="H835" s="2301">
        <f>SUBTOTAL(9,H836:H846)</f>
        <v>3344.0499999999993</v>
      </c>
      <c r="I835" s="2284"/>
      <c r="J835" s="2227"/>
      <c r="K835" s="2496"/>
      <c r="L835" s="2534">
        <f>SUBTOTAL(9,L836:L846)</f>
        <v>3344.0499999999993</v>
      </c>
      <c r="M835" s="2301">
        <f>SUBTOTAL(9,M836:M846)</f>
        <v>3344.0499999999993</v>
      </c>
      <c r="N835" s="2301">
        <f>SUBTOTAL(9,N836:N846)</f>
        <v>0</v>
      </c>
      <c r="O835" s="2301">
        <f>SUBTOTAL(9,O836:O846)</f>
        <v>0</v>
      </c>
      <c r="P835" s="2559"/>
      <c r="Q835" s="2567"/>
    </row>
    <row r="836" spans="1:17" ht="30">
      <c r="A836" s="2270" t="s">
        <v>13488</v>
      </c>
      <c r="B836" s="2234">
        <f>VLOOKUP($A836,'13 - QT_QUI'!$A:$F,2,0)</f>
        <v>96523</v>
      </c>
      <c r="C836" s="2234" t="str">
        <f>VLOOKUP($A836,'13 - QT_QUI'!$A:$F,3,0)</f>
        <v>SINAPI</v>
      </c>
      <c r="D836" s="2375" t="s">
        <v>10508</v>
      </c>
      <c r="E836" s="2242" t="str">
        <f>IFERROR(VLOOKUP($B836,'24.08_ND'!$1:$1048529,3,0),IFERROR(VLOOKUP($B836,'03-CP'!$C$1:$H$6260,3,0),""))</f>
        <v>M3</v>
      </c>
      <c r="F836" s="2230">
        <v>5.13</v>
      </c>
      <c r="G836" s="2238">
        <v>100.5</v>
      </c>
      <c r="H836" s="2302">
        <f t="shared" ref="H836:H846" si="174">TRUNC((G836*F836),2)</f>
        <v>515.55999999999995</v>
      </c>
      <c r="I836" s="2328">
        <f t="shared" ref="I836:I846" si="175">J836+K836</f>
        <v>1</v>
      </c>
      <c r="J836" s="2314">
        <v>1</v>
      </c>
      <c r="K836" s="2411"/>
      <c r="L836" s="2533">
        <f t="shared" ref="L836:L846" si="176">M836+N836</f>
        <v>515.55999999999995</v>
      </c>
      <c r="M836" s="2232">
        <v>515.55999999999995</v>
      </c>
      <c r="N836" s="2239">
        <f t="shared" ref="N836:N846" si="177">TRUNC(H836*K836,2)</f>
        <v>0</v>
      </c>
      <c r="O836" s="2498">
        <f t="shared" ref="O836:O846" si="178">H836-L836</f>
        <v>0</v>
      </c>
      <c r="P836" s="2295">
        <f t="shared" ref="P836:P846" si="179">O836/H836</f>
        <v>0</v>
      </c>
      <c r="Q836" s="2567"/>
    </row>
    <row r="837" spans="1:17" ht="30">
      <c r="A837" s="2270" t="s">
        <v>13489</v>
      </c>
      <c r="B837" s="2234">
        <f>VLOOKUP($A837,'13 - QT_QUI'!$A:$F,2,0)</f>
        <v>101616</v>
      </c>
      <c r="C837" s="2234" t="str">
        <f>VLOOKUP($A837,'13 - QT_QUI'!$A:$F,3,0)</f>
        <v>SINAPI</v>
      </c>
      <c r="D837" s="2375" t="s">
        <v>10747</v>
      </c>
      <c r="E837" s="2242" t="str">
        <f>IFERROR(VLOOKUP($B837,'24.08_ND'!$1:$1048529,3,0),IFERROR(VLOOKUP($B837,'03-CP'!$C$1:$H$6260,3,0),""))</f>
        <v>M2</v>
      </c>
      <c r="F837" s="2230">
        <v>2.52</v>
      </c>
      <c r="G837" s="2238">
        <v>6.71</v>
      </c>
      <c r="H837" s="2302">
        <f t="shared" si="174"/>
        <v>16.899999999999999</v>
      </c>
      <c r="I837" s="2328">
        <f t="shared" si="175"/>
        <v>1</v>
      </c>
      <c r="J837" s="2314">
        <v>1</v>
      </c>
      <c r="K837" s="2411"/>
      <c r="L837" s="2533">
        <f t="shared" si="176"/>
        <v>16.899999999999999</v>
      </c>
      <c r="M837" s="2238">
        <v>16.899999999999999</v>
      </c>
      <c r="N837" s="2239">
        <f t="shared" si="177"/>
        <v>0</v>
      </c>
      <c r="O837" s="2498">
        <f t="shared" si="178"/>
        <v>0</v>
      </c>
      <c r="P837" s="2295">
        <f t="shared" si="179"/>
        <v>0</v>
      </c>
      <c r="Q837" s="2567"/>
    </row>
    <row r="838" spans="1:17" ht="30">
      <c r="A838" s="2270" t="s">
        <v>13490</v>
      </c>
      <c r="B838" s="2234">
        <f>VLOOKUP($A838,'13 - QT_QUI'!$A:$F,2,0)</f>
        <v>96616</v>
      </c>
      <c r="C838" s="2234" t="str">
        <f>VLOOKUP($A838,'13 - QT_QUI'!$A:$F,3,0)</f>
        <v>SINAPI</v>
      </c>
      <c r="D838" s="2375" t="s">
        <v>7163</v>
      </c>
      <c r="E838" s="2242" t="str">
        <f>IFERROR(VLOOKUP($B838,'24.08_ND'!$1:$1048529,3,0),IFERROR(VLOOKUP($B838,'03-CP'!$C$1:$H$6260,3,0),""))</f>
        <v>M3</v>
      </c>
      <c r="F838" s="2230">
        <v>0.13</v>
      </c>
      <c r="G838" s="2238">
        <v>955.26</v>
      </c>
      <c r="H838" s="2302">
        <f t="shared" si="174"/>
        <v>124.18</v>
      </c>
      <c r="I838" s="2328">
        <f t="shared" si="175"/>
        <v>1</v>
      </c>
      <c r="J838" s="2314">
        <v>1</v>
      </c>
      <c r="K838" s="2411"/>
      <c r="L838" s="2533">
        <f t="shared" si="176"/>
        <v>124.18</v>
      </c>
      <c r="M838" s="2238">
        <v>124.18</v>
      </c>
      <c r="N838" s="2239">
        <f t="shared" si="177"/>
        <v>0</v>
      </c>
      <c r="O838" s="2498">
        <f t="shared" si="178"/>
        <v>0</v>
      </c>
      <c r="P838" s="2295">
        <f t="shared" si="179"/>
        <v>0</v>
      </c>
      <c r="Q838" s="2567"/>
    </row>
    <row r="839" spans="1:17" ht="30">
      <c r="A839" s="2270" t="s">
        <v>13491</v>
      </c>
      <c r="B839" s="2234">
        <f>VLOOKUP($A839,'13 - QT_QUI'!$A:$F,2,0)</f>
        <v>96535</v>
      </c>
      <c r="C839" s="2234" t="str">
        <f>VLOOKUP($A839,'13 - QT_QUI'!$A:$F,3,0)</f>
        <v>SINAPI</v>
      </c>
      <c r="D839" s="2375" t="s">
        <v>7301</v>
      </c>
      <c r="E839" s="2242" t="str">
        <f>IFERROR(VLOOKUP($B839,'24.08_ND'!$1:$1048529,3,0),IFERROR(VLOOKUP($B839,'03-CP'!$C$1:$H$6260,3,0),""))</f>
        <v>M2</v>
      </c>
      <c r="F839" s="2230">
        <v>3.9</v>
      </c>
      <c r="G839" s="2238">
        <v>149.51</v>
      </c>
      <c r="H839" s="2302">
        <f t="shared" si="174"/>
        <v>583.08000000000004</v>
      </c>
      <c r="I839" s="2328">
        <f t="shared" si="175"/>
        <v>1</v>
      </c>
      <c r="J839" s="2314">
        <v>1</v>
      </c>
      <c r="K839" s="2411"/>
      <c r="L839" s="2533">
        <f t="shared" si="176"/>
        <v>583.08000000000004</v>
      </c>
      <c r="M839" s="2238">
        <v>583.08000000000004</v>
      </c>
      <c r="N839" s="2239">
        <f t="shared" si="177"/>
        <v>0</v>
      </c>
      <c r="O839" s="2498">
        <f t="shared" si="178"/>
        <v>0</v>
      </c>
      <c r="P839" s="2295">
        <f t="shared" si="179"/>
        <v>0</v>
      </c>
      <c r="Q839" s="2567"/>
    </row>
    <row r="840" spans="1:17" ht="30">
      <c r="A840" s="2270" t="s">
        <v>13492</v>
      </c>
      <c r="B840" s="2234">
        <f>VLOOKUP($A840,'13 - QT_QUI'!$A:$F,2,0)</f>
        <v>104916</v>
      </c>
      <c r="C840" s="2234" t="str">
        <f>VLOOKUP($A840,'13 - QT_QUI'!$A:$F,3,0)</f>
        <v>SINAPI</v>
      </c>
      <c r="D840" s="2375" t="s">
        <v>7596</v>
      </c>
      <c r="E840" s="2242" t="str">
        <f>IFERROR(VLOOKUP($B840,'24.08_ND'!$1:$1048529,3,0),IFERROR(VLOOKUP($B840,'03-CP'!$C$1:$H$6260,3,0),""))</f>
        <v>KG</v>
      </c>
      <c r="F840" s="2230">
        <v>7.4</v>
      </c>
      <c r="G840" s="2238">
        <v>19.850000000000001</v>
      </c>
      <c r="H840" s="2302">
        <f t="shared" si="174"/>
        <v>146.88999999999999</v>
      </c>
      <c r="I840" s="2328">
        <f t="shared" si="175"/>
        <v>1</v>
      </c>
      <c r="J840" s="2314">
        <v>1</v>
      </c>
      <c r="K840" s="2411"/>
      <c r="L840" s="2533">
        <f t="shared" si="176"/>
        <v>146.88999999999999</v>
      </c>
      <c r="M840" s="2238">
        <v>146.88999999999999</v>
      </c>
      <c r="N840" s="2239">
        <f t="shared" si="177"/>
        <v>0</v>
      </c>
      <c r="O840" s="2498">
        <f t="shared" si="178"/>
        <v>0</v>
      </c>
      <c r="P840" s="2295">
        <f t="shared" si="179"/>
        <v>0</v>
      </c>
      <c r="Q840" s="2567"/>
    </row>
    <row r="841" spans="1:17" ht="30">
      <c r="A841" s="2270" t="s">
        <v>13493</v>
      </c>
      <c r="B841" s="2234">
        <f>VLOOKUP($A841,'13 - QT_QUI'!$A:$F,2,0)</f>
        <v>104918</v>
      </c>
      <c r="C841" s="2234" t="str">
        <f>VLOOKUP($A841,'13 - QT_QUI'!$A:$F,3,0)</f>
        <v>SINAPI</v>
      </c>
      <c r="D841" s="2375" t="s">
        <v>7515</v>
      </c>
      <c r="E841" s="2242" t="str">
        <f>IFERROR(VLOOKUP($B841,'24.08_ND'!$1:$1048529,3,0),IFERROR(VLOOKUP($B841,'03-CP'!$C$1:$H$6260,3,0),""))</f>
        <v>KG</v>
      </c>
      <c r="F841" s="2230">
        <v>23.9</v>
      </c>
      <c r="G841" s="2238">
        <v>17.68</v>
      </c>
      <c r="H841" s="2302">
        <f t="shared" si="174"/>
        <v>422.55</v>
      </c>
      <c r="I841" s="2328">
        <f t="shared" si="175"/>
        <v>1</v>
      </c>
      <c r="J841" s="2314">
        <v>1</v>
      </c>
      <c r="K841" s="2411"/>
      <c r="L841" s="2533">
        <f t="shared" si="176"/>
        <v>422.55</v>
      </c>
      <c r="M841" s="2238">
        <v>422.55</v>
      </c>
      <c r="N841" s="2239">
        <f t="shared" si="177"/>
        <v>0</v>
      </c>
      <c r="O841" s="2498">
        <f t="shared" si="178"/>
        <v>0</v>
      </c>
      <c r="P841" s="2295">
        <f t="shared" si="179"/>
        <v>0</v>
      </c>
      <c r="Q841" s="2567"/>
    </row>
    <row r="842" spans="1:17" ht="30">
      <c r="A842" s="2270" t="s">
        <v>13494</v>
      </c>
      <c r="B842" s="2234">
        <f>VLOOKUP($A842,'13 - QT_QUI'!$A:$F,2,0)</f>
        <v>104919</v>
      </c>
      <c r="C842" s="2234" t="str">
        <f>VLOOKUP($A842,'13 - QT_QUI'!$A:$F,3,0)</f>
        <v>SINAPI</v>
      </c>
      <c r="D842" s="2375" t="s">
        <v>7516</v>
      </c>
      <c r="E842" s="2242" t="str">
        <f>IFERROR(VLOOKUP($B842,'24.08_ND'!$1:$1048529,3,0),IFERROR(VLOOKUP($B842,'03-CP'!$C$1:$H$6260,3,0),""))</f>
        <v>KG</v>
      </c>
      <c r="F842" s="2230">
        <v>25.4</v>
      </c>
      <c r="G842" s="2238">
        <v>15.88</v>
      </c>
      <c r="H842" s="2302">
        <f t="shared" si="174"/>
        <v>403.35</v>
      </c>
      <c r="I842" s="2328">
        <f t="shared" si="175"/>
        <v>1</v>
      </c>
      <c r="J842" s="2314">
        <v>1</v>
      </c>
      <c r="K842" s="2411"/>
      <c r="L842" s="2533">
        <f t="shared" si="176"/>
        <v>403.35</v>
      </c>
      <c r="M842" s="2238">
        <v>403.35</v>
      </c>
      <c r="N842" s="2239">
        <f t="shared" si="177"/>
        <v>0</v>
      </c>
      <c r="O842" s="2498">
        <f t="shared" si="178"/>
        <v>0</v>
      </c>
      <c r="P842" s="2295">
        <f t="shared" si="179"/>
        <v>0</v>
      </c>
      <c r="Q842" s="2567"/>
    </row>
    <row r="843" spans="1:17" ht="30">
      <c r="A843" s="2270" t="s">
        <v>13495</v>
      </c>
      <c r="B843" s="2234">
        <f>VLOOKUP($A843,'13 - QT_QUI'!$A:$F,2,0)</f>
        <v>96558</v>
      </c>
      <c r="C843" s="2234" t="str">
        <f>VLOOKUP($A843,'13 - QT_QUI'!$A:$F,3,0)</f>
        <v>SINAPI</v>
      </c>
      <c r="D843" s="2375" t="s">
        <v>7548</v>
      </c>
      <c r="E843" s="2242" t="str">
        <f>IFERROR(VLOOKUP($B843,'24.08_ND'!$1:$1048529,3,0),IFERROR(VLOOKUP($B843,'03-CP'!$C$1:$H$6260,3,0),""))</f>
        <v>M3</v>
      </c>
      <c r="F843" s="2230">
        <v>0.82</v>
      </c>
      <c r="G843" s="2238">
        <v>1149.76</v>
      </c>
      <c r="H843" s="2302">
        <f t="shared" si="174"/>
        <v>942.8</v>
      </c>
      <c r="I843" s="2328">
        <f t="shared" si="175"/>
        <v>1</v>
      </c>
      <c r="J843" s="2314">
        <v>1</v>
      </c>
      <c r="K843" s="2411"/>
      <c r="L843" s="2533">
        <f t="shared" si="176"/>
        <v>942.8</v>
      </c>
      <c r="M843" s="2238">
        <v>942.8</v>
      </c>
      <c r="N843" s="2239">
        <f t="shared" si="177"/>
        <v>0</v>
      </c>
      <c r="O843" s="2498">
        <f t="shared" si="178"/>
        <v>0</v>
      </c>
      <c r="P843" s="2295">
        <f t="shared" si="179"/>
        <v>0</v>
      </c>
      <c r="Q843" s="2567"/>
    </row>
    <row r="844" spans="1:17" ht="30">
      <c r="A844" s="2271" t="s">
        <v>13496</v>
      </c>
      <c r="B844" s="2234">
        <f>VLOOKUP($A844,'13 - QT_QUI'!$A:$F,2,0)</f>
        <v>93382</v>
      </c>
      <c r="C844" s="2234" t="str">
        <f>VLOOKUP($A844,'13 - QT_QUI'!$A:$F,3,0)</f>
        <v>SINAPI</v>
      </c>
      <c r="D844" s="2375" t="s">
        <v>10726</v>
      </c>
      <c r="E844" s="2242" t="str">
        <f>IFERROR(VLOOKUP($B844,'24.08_ND'!$1:$1048529,3,0),IFERROR(VLOOKUP($B844,'03-CP'!$C$1:$H$6260,3,0),""))</f>
        <v>M3</v>
      </c>
      <c r="F844" s="2230">
        <v>4.7409999999999997</v>
      </c>
      <c r="G844" s="2238">
        <v>26.88</v>
      </c>
      <c r="H844" s="2302">
        <f t="shared" si="174"/>
        <v>127.43</v>
      </c>
      <c r="I844" s="2328">
        <f t="shared" si="175"/>
        <v>1</v>
      </c>
      <c r="J844" s="2314">
        <v>1</v>
      </c>
      <c r="K844" s="2411"/>
      <c r="L844" s="2533">
        <f t="shared" si="176"/>
        <v>127.43</v>
      </c>
      <c r="M844" s="2238">
        <v>127.43</v>
      </c>
      <c r="N844" s="2239">
        <f t="shared" si="177"/>
        <v>0</v>
      </c>
      <c r="O844" s="2498">
        <f t="shared" si="178"/>
        <v>0</v>
      </c>
      <c r="P844" s="2295">
        <f t="shared" si="179"/>
        <v>0</v>
      </c>
      <c r="Q844" s="2567"/>
    </row>
    <row r="845" spans="1:17" ht="45">
      <c r="A845" s="2271" t="s">
        <v>13497</v>
      </c>
      <c r="B845" s="2234">
        <f>VLOOKUP($A845,'13 - QT_QUI'!$A:$F,2,0)</f>
        <v>100978</v>
      </c>
      <c r="C845" s="2234" t="str">
        <f>VLOOKUP($A845,'13 - QT_QUI'!$A:$F,3,0)</f>
        <v>SINAPI</v>
      </c>
      <c r="D845" s="2375" t="s">
        <v>11981</v>
      </c>
      <c r="E845" s="2242" t="str">
        <f>IFERROR(VLOOKUP($B845,'24.08_ND'!$1:$1048529,3,0),IFERROR(VLOOKUP($B845,'03-CP'!$C$1:$H$6260,3,0),""))</f>
        <v>M3</v>
      </c>
      <c r="F845" s="2230">
        <v>2.4409999999999998</v>
      </c>
      <c r="G845" s="2238">
        <v>7.88</v>
      </c>
      <c r="H845" s="2302">
        <f t="shared" si="174"/>
        <v>19.23</v>
      </c>
      <c r="I845" s="2328">
        <f t="shared" si="175"/>
        <v>1</v>
      </c>
      <c r="J845" s="2314">
        <v>1</v>
      </c>
      <c r="K845" s="2411"/>
      <c r="L845" s="2533">
        <f t="shared" si="176"/>
        <v>19.23</v>
      </c>
      <c r="M845" s="2238">
        <v>19.23</v>
      </c>
      <c r="N845" s="2239">
        <f t="shared" si="177"/>
        <v>0</v>
      </c>
      <c r="O845" s="2498">
        <f t="shared" si="178"/>
        <v>0</v>
      </c>
      <c r="P845" s="2295">
        <f t="shared" si="179"/>
        <v>0</v>
      </c>
      <c r="Q845" s="2567"/>
    </row>
    <row r="846" spans="1:17" ht="30">
      <c r="A846" s="2271" t="s">
        <v>13498</v>
      </c>
      <c r="B846" s="2234">
        <f>VLOOKUP($A846,'13 - QT_QUI'!$A:$F,2,0)</f>
        <v>100938</v>
      </c>
      <c r="C846" s="2234" t="str">
        <f>VLOOKUP($A846,'13 - QT_QUI'!$A:$F,3,0)</f>
        <v>SINAPI</v>
      </c>
      <c r="D846" s="2375" t="s">
        <v>11938</v>
      </c>
      <c r="E846" s="2242" t="str">
        <f>IFERROR(VLOOKUP($B846,'24.08_ND'!$1:$1048529,3,0),IFERROR(VLOOKUP($B846,'03-CP'!$C$1:$H$6260,3,0),""))</f>
        <v>M3XKM</v>
      </c>
      <c r="F846" s="2230">
        <v>4.8819999999999997</v>
      </c>
      <c r="G846" s="2238">
        <v>8.6199999999999992</v>
      </c>
      <c r="H846" s="2302">
        <f t="shared" si="174"/>
        <v>42.08</v>
      </c>
      <c r="I846" s="2328">
        <f t="shared" si="175"/>
        <v>1</v>
      </c>
      <c r="J846" s="2314">
        <v>1</v>
      </c>
      <c r="K846" s="2411"/>
      <c r="L846" s="2533">
        <f t="shared" si="176"/>
        <v>42.08</v>
      </c>
      <c r="M846" s="2238">
        <v>42.08</v>
      </c>
      <c r="N846" s="2239">
        <f t="shared" si="177"/>
        <v>0</v>
      </c>
      <c r="O846" s="2498">
        <f t="shared" si="178"/>
        <v>0</v>
      </c>
      <c r="P846" s="2295">
        <f t="shared" si="179"/>
        <v>0</v>
      </c>
      <c r="Q846" s="2567"/>
    </row>
    <row r="847" spans="1:17">
      <c r="A847" s="2340" t="s">
        <v>13499</v>
      </c>
      <c r="B847" s="2223"/>
      <c r="C847" s="2223"/>
      <c r="D847" s="2376" t="s">
        <v>16431</v>
      </c>
      <c r="E847" s="2224"/>
      <c r="F847" s="2240"/>
      <c r="G847" s="2226"/>
      <c r="H847" s="2301">
        <f>SUBTOTAL(9,H848:H858)</f>
        <v>6177.2300000000005</v>
      </c>
      <c r="I847" s="2284"/>
      <c r="J847" s="2227"/>
      <c r="K847" s="2496"/>
      <c r="L847" s="2534">
        <f>SUBTOTAL(9,L848:L858)</f>
        <v>6177.2300000000005</v>
      </c>
      <c r="M847" s="2301">
        <f>SUBTOTAL(9,M848:M858)</f>
        <v>6177.2300000000005</v>
      </c>
      <c r="N847" s="2301">
        <f>SUBTOTAL(9,N848:N858)</f>
        <v>0</v>
      </c>
      <c r="O847" s="2301">
        <f>SUBTOTAL(9,O848:O858)</f>
        <v>0</v>
      </c>
      <c r="P847" s="2293">
        <f>SUBTOTAL(9,P848:P858)</f>
        <v>0</v>
      </c>
      <c r="Q847" s="2567"/>
    </row>
    <row r="848" spans="1:17" ht="30">
      <c r="A848" s="2271" t="s">
        <v>13500</v>
      </c>
      <c r="B848" s="2234">
        <f>VLOOKUP($A848,'13 - QT_QUI'!$A:$F,2,0)</f>
        <v>96527</v>
      </c>
      <c r="C848" s="2234" t="str">
        <f>VLOOKUP($A848,'13 - QT_QUI'!$A:$F,3,0)</f>
        <v>SINAPI</v>
      </c>
      <c r="D848" s="2375" t="s">
        <v>10512</v>
      </c>
      <c r="E848" s="2242" t="str">
        <f>IFERROR(VLOOKUP($B848,'24.08_ND'!$1:$1048529,3,0),IFERROR(VLOOKUP($B848,'03-CP'!$C$1:$H$6260,3,0),""))</f>
        <v>M3</v>
      </c>
      <c r="F848" s="2230">
        <v>3.33</v>
      </c>
      <c r="G848" s="2238">
        <v>110.61</v>
      </c>
      <c r="H848" s="2302">
        <f t="shared" ref="H848:H858" si="180">TRUNC((G848*F848),2)</f>
        <v>368.33</v>
      </c>
      <c r="I848" s="2328">
        <f t="shared" ref="I848:I858" si="181">J848+K848</f>
        <v>1</v>
      </c>
      <c r="J848" s="2237">
        <v>1</v>
      </c>
      <c r="K848" s="2411"/>
      <c r="L848" s="2533">
        <f t="shared" ref="L848:L858" si="182">M848+N848</f>
        <v>368.33</v>
      </c>
      <c r="M848" s="2238">
        <v>368.33</v>
      </c>
      <c r="N848" s="2239">
        <f t="shared" ref="N848:N858" si="183">TRUNC(H848*K848,2)</f>
        <v>0</v>
      </c>
      <c r="O848" s="2498">
        <f t="shared" ref="O848:O858" si="184">H848-L848</f>
        <v>0</v>
      </c>
      <c r="P848" s="2295">
        <f t="shared" ref="P848:P858" si="185">O848/H848</f>
        <v>0</v>
      </c>
      <c r="Q848" s="2567"/>
    </row>
    <row r="849" spans="1:17" ht="30">
      <c r="A849" s="2271" t="s">
        <v>13501</v>
      </c>
      <c r="B849" s="2234">
        <f>VLOOKUP($A849,'13 - QT_QUI'!$A:$F,2,0)</f>
        <v>96616</v>
      </c>
      <c r="C849" s="2234" t="str">
        <f>VLOOKUP($A849,'13 - QT_QUI'!$A:$F,3,0)</f>
        <v>SINAPI</v>
      </c>
      <c r="D849" s="2375" t="s">
        <v>7163</v>
      </c>
      <c r="E849" s="2242" t="str">
        <f>IFERROR(VLOOKUP($B849,'24.08_ND'!$1:$1048529,3,0),IFERROR(VLOOKUP($B849,'03-CP'!$C$1:$H$6260,3,0),""))</f>
        <v>M3</v>
      </c>
      <c r="F849" s="2230">
        <v>0.2</v>
      </c>
      <c r="G849" s="2238">
        <v>955.26</v>
      </c>
      <c r="H849" s="2302">
        <f t="shared" si="180"/>
        <v>191.05</v>
      </c>
      <c r="I849" s="2328">
        <f t="shared" si="181"/>
        <v>1</v>
      </c>
      <c r="J849" s="2237">
        <v>1</v>
      </c>
      <c r="K849" s="2411"/>
      <c r="L849" s="2533">
        <f t="shared" si="182"/>
        <v>191.05</v>
      </c>
      <c r="M849" s="2238">
        <v>191.05</v>
      </c>
      <c r="N849" s="2239">
        <f t="shared" si="183"/>
        <v>0</v>
      </c>
      <c r="O849" s="2498">
        <f t="shared" si="184"/>
        <v>0</v>
      </c>
      <c r="P849" s="2295">
        <f t="shared" si="185"/>
        <v>0</v>
      </c>
      <c r="Q849" s="2567"/>
    </row>
    <row r="850" spans="1:17" ht="30">
      <c r="A850" s="2271" t="s">
        <v>13502</v>
      </c>
      <c r="B850" s="2234">
        <f>VLOOKUP($A850,'13 - QT_QUI'!$A:$F,2,0)</f>
        <v>96536</v>
      </c>
      <c r="C850" s="2234" t="str">
        <f>VLOOKUP($A850,'13 - QT_QUI'!$A:$F,3,0)</f>
        <v>SINAPI</v>
      </c>
      <c r="D850" s="2375" t="s">
        <v>7302</v>
      </c>
      <c r="E850" s="2242" t="str">
        <f>IFERROR(VLOOKUP($B850,'24.08_ND'!$1:$1048529,3,0),IFERROR(VLOOKUP($B850,'03-CP'!$C$1:$H$6260,3,0),""))</f>
        <v>M2</v>
      </c>
      <c r="F850" s="2230">
        <v>19.82</v>
      </c>
      <c r="G850" s="2238">
        <v>81.7</v>
      </c>
      <c r="H850" s="2302">
        <f t="shared" si="180"/>
        <v>1619.29</v>
      </c>
      <c r="I850" s="2328">
        <f t="shared" si="181"/>
        <v>1</v>
      </c>
      <c r="J850" s="2237">
        <v>1</v>
      </c>
      <c r="K850" s="2411"/>
      <c r="L850" s="2533">
        <f t="shared" si="182"/>
        <v>1619.29</v>
      </c>
      <c r="M850" s="2238">
        <v>1619.29</v>
      </c>
      <c r="N850" s="2239">
        <f t="shared" si="183"/>
        <v>0</v>
      </c>
      <c r="O850" s="2498">
        <f t="shared" si="184"/>
        <v>0</v>
      </c>
      <c r="P850" s="2295">
        <f t="shared" si="185"/>
        <v>0</v>
      </c>
      <c r="Q850" s="2567"/>
    </row>
    <row r="851" spans="1:17" ht="30">
      <c r="A851" s="2271" t="s">
        <v>13503</v>
      </c>
      <c r="B851" s="2234">
        <f>VLOOKUP($A851,'13 - QT_QUI'!$A:$F,2,0)</f>
        <v>104918</v>
      </c>
      <c r="C851" s="2234" t="str">
        <f>VLOOKUP($A851,'13 - QT_QUI'!$A:$F,3,0)</f>
        <v>SINAPI</v>
      </c>
      <c r="D851" s="2375" t="s">
        <v>7515</v>
      </c>
      <c r="E851" s="2242" t="str">
        <f>IFERROR(VLOOKUP($B851,'24.08_ND'!$1:$1048529,3,0),IFERROR(VLOOKUP($B851,'03-CP'!$C$1:$H$6260,3,0),""))</f>
        <v>KG</v>
      </c>
      <c r="F851" s="2230">
        <v>39.5</v>
      </c>
      <c r="G851" s="2238">
        <v>17.68</v>
      </c>
      <c r="H851" s="2302">
        <f t="shared" si="180"/>
        <v>698.36</v>
      </c>
      <c r="I851" s="2328">
        <f t="shared" si="181"/>
        <v>1</v>
      </c>
      <c r="J851" s="2237">
        <v>1</v>
      </c>
      <c r="K851" s="2411"/>
      <c r="L851" s="2533">
        <f t="shared" si="182"/>
        <v>698.36</v>
      </c>
      <c r="M851" s="2238">
        <v>698.36</v>
      </c>
      <c r="N851" s="2239">
        <f t="shared" si="183"/>
        <v>0</v>
      </c>
      <c r="O851" s="2498">
        <f t="shared" si="184"/>
        <v>0</v>
      </c>
      <c r="P851" s="2295">
        <f t="shared" si="185"/>
        <v>0</v>
      </c>
      <c r="Q851" s="2567"/>
    </row>
    <row r="852" spans="1:17" ht="30">
      <c r="A852" s="2271" t="s">
        <v>13504</v>
      </c>
      <c r="B852" s="2234">
        <f>VLOOKUP($A852,'13 - QT_QUI'!$A:$F,2,0)</f>
        <v>104919</v>
      </c>
      <c r="C852" s="2234" t="str">
        <f>VLOOKUP($A852,'13 - QT_QUI'!$A:$F,3,0)</f>
        <v>SINAPI</v>
      </c>
      <c r="D852" s="2375" t="s">
        <v>7516</v>
      </c>
      <c r="E852" s="2242" t="str">
        <f>IFERROR(VLOOKUP($B852,'24.08_ND'!$1:$1048529,3,0),IFERROR(VLOOKUP($B852,'03-CP'!$C$1:$H$6260,3,0),""))</f>
        <v>KG</v>
      </c>
      <c r="F852" s="2230">
        <v>23.7</v>
      </c>
      <c r="G852" s="2238">
        <v>15.88</v>
      </c>
      <c r="H852" s="2302">
        <f t="shared" si="180"/>
        <v>376.35</v>
      </c>
      <c r="I852" s="2328">
        <f t="shared" si="181"/>
        <v>1</v>
      </c>
      <c r="J852" s="2237">
        <v>1</v>
      </c>
      <c r="K852" s="2411"/>
      <c r="L852" s="2533">
        <f t="shared" si="182"/>
        <v>376.35</v>
      </c>
      <c r="M852" s="2238">
        <v>376.35</v>
      </c>
      <c r="N852" s="2239">
        <f t="shared" si="183"/>
        <v>0</v>
      </c>
      <c r="O852" s="2498">
        <f t="shared" si="184"/>
        <v>0</v>
      </c>
      <c r="P852" s="2295">
        <f t="shared" si="185"/>
        <v>0</v>
      </c>
      <c r="Q852" s="2567"/>
    </row>
    <row r="853" spans="1:17" ht="30">
      <c r="A853" s="2271" t="s">
        <v>13505</v>
      </c>
      <c r="B853" s="2234">
        <f>VLOOKUP($A853,'13 - QT_QUI'!$A:$F,2,0)</f>
        <v>104916</v>
      </c>
      <c r="C853" s="2234" t="str">
        <f>VLOOKUP($A853,'13 - QT_QUI'!$A:$F,3,0)</f>
        <v>SINAPI</v>
      </c>
      <c r="D853" s="2375" t="s">
        <v>7596</v>
      </c>
      <c r="E853" s="2242" t="str">
        <f>IFERROR(VLOOKUP($B853,'24.08_ND'!$1:$1048529,3,0),IFERROR(VLOOKUP($B853,'03-CP'!$C$1:$H$6260,3,0),""))</f>
        <v>KG</v>
      </c>
      <c r="F853" s="2230">
        <v>20.6</v>
      </c>
      <c r="G853" s="2238">
        <v>19.850000000000001</v>
      </c>
      <c r="H853" s="2302">
        <f t="shared" si="180"/>
        <v>408.91</v>
      </c>
      <c r="I853" s="2328">
        <f t="shared" si="181"/>
        <v>1</v>
      </c>
      <c r="J853" s="2237">
        <v>1</v>
      </c>
      <c r="K853" s="2411"/>
      <c r="L853" s="2533">
        <f t="shared" si="182"/>
        <v>408.91</v>
      </c>
      <c r="M853" s="2238">
        <v>408.91</v>
      </c>
      <c r="N853" s="2239">
        <f t="shared" si="183"/>
        <v>0</v>
      </c>
      <c r="O853" s="2498">
        <f t="shared" si="184"/>
        <v>0</v>
      </c>
      <c r="P853" s="2295">
        <f t="shared" si="185"/>
        <v>0</v>
      </c>
      <c r="Q853" s="2567"/>
    </row>
    <row r="854" spans="1:17" ht="45">
      <c r="A854" s="2271" t="s">
        <v>13506</v>
      </c>
      <c r="B854" s="2234">
        <f>VLOOKUP($A854,'13 - QT_QUI'!$A:$F,2,0)</f>
        <v>96557</v>
      </c>
      <c r="C854" s="2234" t="str">
        <f>VLOOKUP($A854,'13 - QT_QUI'!$A:$F,3,0)</f>
        <v>SINAPI</v>
      </c>
      <c r="D854" s="2375" t="s">
        <v>7547</v>
      </c>
      <c r="E854" s="2242" t="str">
        <f>IFERROR(VLOOKUP($B854,'24.08_ND'!$1:$1048529,3,0),IFERROR(VLOOKUP($B854,'03-CP'!$C$1:$H$6260,3,0),""))</f>
        <v>M3</v>
      </c>
      <c r="F854" s="2230">
        <v>1.1200000000000001</v>
      </c>
      <c r="G854" s="2238">
        <v>1106.98</v>
      </c>
      <c r="H854" s="2302">
        <f t="shared" si="180"/>
        <v>1239.81</v>
      </c>
      <c r="I854" s="2328">
        <f t="shared" si="181"/>
        <v>1</v>
      </c>
      <c r="J854" s="2237">
        <v>1</v>
      </c>
      <c r="K854" s="2411"/>
      <c r="L854" s="2533">
        <f t="shared" si="182"/>
        <v>1239.81</v>
      </c>
      <c r="M854" s="2238">
        <v>1239.81</v>
      </c>
      <c r="N854" s="2239">
        <f t="shared" si="183"/>
        <v>0</v>
      </c>
      <c r="O854" s="2498">
        <f t="shared" si="184"/>
        <v>0</v>
      </c>
      <c r="P854" s="2295">
        <f t="shared" si="185"/>
        <v>0</v>
      </c>
      <c r="Q854" s="2567"/>
    </row>
    <row r="855" spans="1:17" ht="30">
      <c r="A855" s="2271" t="s">
        <v>13507</v>
      </c>
      <c r="B855" s="2234">
        <f>VLOOKUP($A855,'13 - QT_QUI'!$A:$F,2,0)</f>
        <v>93382</v>
      </c>
      <c r="C855" s="2234" t="str">
        <f>VLOOKUP($A855,'13 - QT_QUI'!$A:$F,3,0)</f>
        <v>SINAPI</v>
      </c>
      <c r="D855" s="2375" t="s">
        <v>10726</v>
      </c>
      <c r="E855" s="2242" t="str">
        <f>IFERROR(VLOOKUP($B855,'24.08_ND'!$1:$1048529,3,0),IFERROR(VLOOKUP($B855,'03-CP'!$C$1:$H$6260,3,0),""))</f>
        <v>M3</v>
      </c>
      <c r="F855" s="2230">
        <v>2.431</v>
      </c>
      <c r="G855" s="2238">
        <v>26.88</v>
      </c>
      <c r="H855" s="2302">
        <f t="shared" si="180"/>
        <v>65.34</v>
      </c>
      <c r="I855" s="2328">
        <f t="shared" si="181"/>
        <v>1</v>
      </c>
      <c r="J855" s="2237">
        <v>1</v>
      </c>
      <c r="K855" s="2411"/>
      <c r="L855" s="2533">
        <f t="shared" si="182"/>
        <v>65.34</v>
      </c>
      <c r="M855" s="2238">
        <v>65.34</v>
      </c>
      <c r="N855" s="2239">
        <f t="shared" si="183"/>
        <v>0</v>
      </c>
      <c r="O855" s="2498">
        <f t="shared" si="184"/>
        <v>0</v>
      </c>
      <c r="P855" s="2295">
        <f t="shared" si="185"/>
        <v>0</v>
      </c>
      <c r="Q855" s="2567"/>
    </row>
    <row r="856" spans="1:17" ht="45">
      <c r="A856" s="2271" t="s">
        <v>13508</v>
      </c>
      <c r="B856" s="2234">
        <f>VLOOKUP($A856,'13 - QT_QUI'!$A:$F,2,0)</f>
        <v>100978</v>
      </c>
      <c r="C856" s="2234" t="str">
        <f>VLOOKUP($A856,'13 - QT_QUI'!$A:$F,3,0)</f>
        <v>SINAPI</v>
      </c>
      <c r="D856" s="2375" t="s">
        <v>11981</v>
      </c>
      <c r="E856" s="2242" t="str">
        <f>IFERROR(VLOOKUP($B856,'24.08_ND'!$1:$1048529,3,0),IFERROR(VLOOKUP($B856,'03-CP'!$C$1:$H$6260,3,0),""))</f>
        <v>M3</v>
      </c>
      <c r="F856" s="2230">
        <v>2.2309999999999999</v>
      </c>
      <c r="G856" s="2238">
        <v>7.88</v>
      </c>
      <c r="H856" s="2302">
        <f t="shared" si="180"/>
        <v>17.579999999999998</v>
      </c>
      <c r="I856" s="2328">
        <f t="shared" si="181"/>
        <v>1</v>
      </c>
      <c r="J856" s="2237">
        <v>1</v>
      </c>
      <c r="K856" s="2411"/>
      <c r="L856" s="2533">
        <f t="shared" si="182"/>
        <v>17.579999999999998</v>
      </c>
      <c r="M856" s="2238">
        <v>17.579999999999998</v>
      </c>
      <c r="N856" s="2239">
        <f t="shared" si="183"/>
        <v>0</v>
      </c>
      <c r="O856" s="2498">
        <f t="shared" si="184"/>
        <v>0</v>
      </c>
      <c r="P856" s="2295">
        <f t="shared" si="185"/>
        <v>0</v>
      </c>
      <c r="Q856" s="2567"/>
    </row>
    <row r="857" spans="1:17" ht="30">
      <c r="A857" s="2271" t="s">
        <v>13509</v>
      </c>
      <c r="B857" s="2234">
        <f>VLOOKUP($A857,'13 - QT_QUI'!$A:$F,2,0)</f>
        <v>100938</v>
      </c>
      <c r="C857" s="2234" t="str">
        <f>VLOOKUP($A857,'13 - QT_QUI'!$A:$F,3,0)</f>
        <v>SINAPI</v>
      </c>
      <c r="D857" s="2375" t="s">
        <v>11938</v>
      </c>
      <c r="E857" s="2242" t="str">
        <f>IFERROR(VLOOKUP($B857,'24.08_ND'!$1:$1048529,3,0),IFERROR(VLOOKUP($B857,'03-CP'!$C$1:$H$6260,3,0),""))</f>
        <v>M3XKM</v>
      </c>
      <c r="F857" s="2230">
        <v>4.4619999999999997</v>
      </c>
      <c r="G857" s="2238">
        <v>8.6199999999999992</v>
      </c>
      <c r="H857" s="2302">
        <f t="shared" si="180"/>
        <v>38.46</v>
      </c>
      <c r="I857" s="2328">
        <f t="shared" si="181"/>
        <v>1</v>
      </c>
      <c r="J857" s="2237">
        <v>1</v>
      </c>
      <c r="K857" s="2411"/>
      <c r="L857" s="2533">
        <f t="shared" si="182"/>
        <v>38.46</v>
      </c>
      <c r="M857" s="2238">
        <v>38.46</v>
      </c>
      <c r="N857" s="2239">
        <f t="shared" si="183"/>
        <v>0</v>
      </c>
      <c r="O857" s="2498">
        <f t="shared" si="184"/>
        <v>0</v>
      </c>
      <c r="P857" s="2295">
        <f t="shared" si="185"/>
        <v>0</v>
      </c>
      <c r="Q857" s="2567"/>
    </row>
    <row r="858" spans="1:17" ht="30">
      <c r="A858" s="2271" t="s">
        <v>13510</v>
      </c>
      <c r="B858" s="2234">
        <f>VLOOKUP($A858,'13 - QT_QUI'!$A:$F,2,0)</f>
        <v>98557</v>
      </c>
      <c r="C858" s="2234" t="str">
        <f>VLOOKUP($A858,'13 - QT_QUI'!$A:$F,3,0)</f>
        <v>SINAPI</v>
      </c>
      <c r="D858" s="2375" t="s">
        <v>7741</v>
      </c>
      <c r="E858" s="2242" t="str">
        <f>IFERROR(VLOOKUP($B858,'24.08_ND'!$1:$1048529,3,0),IFERROR(VLOOKUP($B858,'03-CP'!$C$1:$H$6260,3,0),""))</f>
        <v>M2</v>
      </c>
      <c r="F858" s="2230">
        <v>23.73</v>
      </c>
      <c r="G858" s="2238">
        <v>48.62</v>
      </c>
      <c r="H858" s="2302">
        <f t="shared" si="180"/>
        <v>1153.75</v>
      </c>
      <c r="I858" s="2328">
        <f t="shared" si="181"/>
        <v>1</v>
      </c>
      <c r="J858" s="2237">
        <v>1</v>
      </c>
      <c r="K858" s="2411"/>
      <c r="L858" s="2533">
        <f t="shared" si="182"/>
        <v>1153.75</v>
      </c>
      <c r="M858" s="2238">
        <v>1153.75</v>
      </c>
      <c r="N858" s="2239">
        <f t="shared" si="183"/>
        <v>0</v>
      </c>
      <c r="O858" s="2498">
        <f t="shared" si="184"/>
        <v>0</v>
      </c>
      <c r="P858" s="2295">
        <f t="shared" si="185"/>
        <v>0</v>
      </c>
      <c r="Q858" s="2567"/>
    </row>
    <row r="859" spans="1:17">
      <c r="A859" s="2340" t="s">
        <v>13511</v>
      </c>
      <c r="B859" s="2223"/>
      <c r="C859" s="2223"/>
      <c r="D859" s="2376" t="s">
        <v>16432</v>
      </c>
      <c r="E859" s="2224"/>
      <c r="F859" s="2240"/>
      <c r="G859" s="2226"/>
      <c r="H859" s="2301">
        <f>SUBTOTAL(9,H860:H862)</f>
        <v>706.35</v>
      </c>
      <c r="I859" s="2284"/>
      <c r="J859" s="2227"/>
      <c r="K859" s="2496"/>
      <c r="L859" s="2534">
        <f>SUBTOTAL(9,L860:L862)</f>
        <v>706.35</v>
      </c>
      <c r="M859" s="2301">
        <f>SUBTOTAL(9,M860:M862)</f>
        <v>706.35</v>
      </c>
      <c r="N859" s="2301">
        <f>SUBTOTAL(9,N860:N862)</f>
        <v>0</v>
      </c>
      <c r="O859" s="2301">
        <f>SUBTOTAL(9,O860:O862)</f>
        <v>0</v>
      </c>
      <c r="P859" s="2293">
        <f>SUBTOTAL(9,P860:P862)</f>
        <v>0</v>
      </c>
      <c r="Q859" s="2567"/>
    </row>
    <row r="860" spans="1:17" ht="45">
      <c r="A860" s="2270" t="s">
        <v>13512</v>
      </c>
      <c r="B860" s="2228" t="str">
        <f>VLOOKUP($A860,'13 - QT_QUI'!$A:$F,2,0)</f>
        <v>PS-CP-EST-17</v>
      </c>
      <c r="C860" s="2228" t="str">
        <f>VLOOKUP($A860,'13 - QT_QUI'!$A:$F,3,0)</f>
        <v>PRÓPRIA</v>
      </c>
      <c r="D860" s="2375" t="s">
        <v>14644</v>
      </c>
      <c r="E860" s="2243" t="str">
        <f>IFERROR(VLOOKUP($B860,'24.08_ND'!$1:$1048529,3,0),IFERROR(VLOOKUP($B860,'03-CP'!$C$1:$H$6260,3,0),""))</f>
        <v>M</v>
      </c>
      <c r="F860" s="2230">
        <v>5</v>
      </c>
      <c r="G860" s="2232">
        <v>138.81</v>
      </c>
      <c r="H860" s="2302">
        <f>TRUNC((G860*F860),2)</f>
        <v>694.05</v>
      </c>
      <c r="I860" s="2328">
        <f>J860+K860</f>
        <v>1</v>
      </c>
      <c r="J860" s="2231">
        <v>1</v>
      </c>
      <c r="K860" s="2412"/>
      <c r="L860" s="2533">
        <f>M860+N860</f>
        <v>694.05</v>
      </c>
      <c r="M860" s="2238">
        <v>694.05</v>
      </c>
      <c r="N860" s="2239">
        <f>TRUNC(H860*K860,2)</f>
        <v>0</v>
      </c>
      <c r="O860" s="2498">
        <f>H860-L860</f>
        <v>0</v>
      </c>
      <c r="P860" s="2295">
        <f>O860/H860</f>
        <v>0</v>
      </c>
      <c r="Q860" s="2567"/>
    </row>
    <row r="861" spans="1:17" ht="45">
      <c r="A861" s="2271" t="s">
        <v>13513</v>
      </c>
      <c r="B861" s="2234">
        <f>VLOOKUP($A861,'13 - QT_QUI'!$A:$F,2,0)</f>
        <v>100978</v>
      </c>
      <c r="C861" s="2234" t="str">
        <f>VLOOKUP($A861,'13 - QT_QUI'!$A:$F,3,0)</f>
        <v>SINAPI</v>
      </c>
      <c r="D861" s="2375" t="s">
        <v>11981</v>
      </c>
      <c r="E861" s="2242" t="str">
        <f>IFERROR(VLOOKUP($B861,'24.08_ND'!$1:$1048529,3,0),IFERROR(VLOOKUP($B861,'03-CP'!$C$1:$H$6260,3,0),""))</f>
        <v>M3</v>
      </c>
      <c r="F861" s="2230">
        <v>0.48999999999999994</v>
      </c>
      <c r="G861" s="2238">
        <v>7.88</v>
      </c>
      <c r="H861" s="2302">
        <f>TRUNC((G861*F861),2)</f>
        <v>3.86</v>
      </c>
      <c r="I861" s="2328">
        <f>J861+K861</f>
        <v>1</v>
      </c>
      <c r="J861" s="2237">
        <v>1</v>
      </c>
      <c r="K861" s="2411"/>
      <c r="L861" s="2533">
        <f>M861+N861</f>
        <v>3.86</v>
      </c>
      <c r="M861" s="2238">
        <v>3.86</v>
      </c>
      <c r="N861" s="2239">
        <f>TRUNC(H861*K861,2)</f>
        <v>0</v>
      </c>
      <c r="O861" s="2498">
        <f>H861-L861</f>
        <v>0</v>
      </c>
      <c r="P861" s="2295">
        <f>O861/H861</f>
        <v>0</v>
      </c>
      <c r="Q861" s="2567"/>
    </row>
    <row r="862" spans="1:17" ht="30">
      <c r="A862" s="2271" t="s">
        <v>13514</v>
      </c>
      <c r="B862" s="2234">
        <f>VLOOKUP($A862,'13 - QT_QUI'!$A:$F,2,0)</f>
        <v>100938</v>
      </c>
      <c r="C862" s="2234" t="str">
        <f>VLOOKUP($A862,'13 - QT_QUI'!$A:$F,3,0)</f>
        <v>SINAPI</v>
      </c>
      <c r="D862" s="2375" t="s">
        <v>11938</v>
      </c>
      <c r="E862" s="2242" t="str">
        <f>IFERROR(VLOOKUP($B862,'24.08_ND'!$1:$1048529,3,0),IFERROR(VLOOKUP($B862,'03-CP'!$C$1:$H$6260,3,0),""))</f>
        <v>M3XKM</v>
      </c>
      <c r="F862" s="2230">
        <v>0.97999999999999987</v>
      </c>
      <c r="G862" s="2238">
        <v>8.6199999999999992</v>
      </c>
      <c r="H862" s="2302">
        <f>TRUNC((G862*F862),2)</f>
        <v>8.44</v>
      </c>
      <c r="I862" s="2328">
        <f>J862+K862</f>
        <v>1</v>
      </c>
      <c r="J862" s="2237">
        <v>1</v>
      </c>
      <c r="K862" s="2411"/>
      <c r="L862" s="2533">
        <f>M862+N862</f>
        <v>8.44</v>
      </c>
      <c r="M862" s="2238">
        <v>8.44</v>
      </c>
      <c r="N862" s="2239">
        <f>TRUNC(H862*K862,2)</f>
        <v>0</v>
      </c>
      <c r="O862" s="2498">
        <f>H862-L862</f>
        <v>0</v>
      </c>
      <c r="P862" s="2295">
        <f>O862/H862</f>
        <v>0</v>
      </c>
      <c r="Q862" s="2567"/>
    </row>
    <row r="863" spans="1:17">
      <c r="A863" s="2340" t="s">
        <v>13515</v>
      </c>
      <c r="B863" s="2223"/>
      <c r="C863" s="2223"/>
      <c r="D863" s="2376" t="s">
        <v>16217</v>
      </c>
      <c r="E863" s="2224"/>
      <c r="F863" s="2240"/>
      <c r="G863" s="2226"/>
      <c r="H863" s="2301">
        <f>SUBTOTAL(9,H864:H867)</f>
        <v>1556.69</v>
      </c>
      <c r="I863" s="2284"/>
      <c r="J863" s="2227"/>
      <c r="K863" s="2496"/>
      <c r="L863" s="2534">
        <f>SUBTOTAL(9,L864:L867)</f>
        <v>1556.69</v>
      </c>
      <c r="M863" s="2301">
        <f>SUBTOTAL(9,M864:M867)</f>
        <v>1556.69</v>
      </c>
      <c r="N863" s="2301">
        <f>SUBTOTAL(9,N864:N867)</f>
        <v>0</v>
      </c>
      <c r="O863" s="2301">
        <f>SUBTOTAL(9,O864:O867)</f>
        <v>0</v>
      </c>
      <c r="P863" s="2293">
        <f>SUBTOTAL(9,P864:P867)</f>
        <v>0</v>
      </c>
      <c r="Q863" s="2567"/>
    </row>
    <row r="864" spans="1:17" ht="45">
      <c r="A864" s="2269" t="s">
        <v>13516</v>
      </c>
      <c r="B864" s="2234">
        <f>VLOOKUP($A864,'13 - QT_QUI'!$A:$F,2,0)</f>
        <v>92431</v>
      </c>
      <c r="C864" s="2234" t="str">
        <f>VLOOKUP($A864,'13 - QT_QUI'!$A:$F,3,0)</f>
        <v>SINAPI</v>
      </c>
      <c r="D864" s="2375" t="s">
        <v>7221</v>
      </c>
      <c r="E864" s="2242" t="str">
        <f>IFERROR(VLOOKUP($B864,'24.08_ND'!$1:$1048529,3,0),IFERROR(VLOOKUP($B864,'03-CP'!$C$1:$H$6260,3,0),""))</f>
        <v>M2</v>
      </c>
      <c r="F864" s="2230">
        <v>7.39</v>
      </c>
      <c r="G864" s="2238">
        <v>83.57</v>
      </c>
      <c r="H864" s="2302">
        <f>TRUNC((G864*F864),2)</f>
        <v>617.58000000000004</v>
      </c>
      <c r="I864" s="2328">
        <f t="shared" ref="I864:I928" si="186">J864+K864</f>
        <v>1</v>
      </c>
      <c r="J864" s="2237">
        <v>1</v>
      </c>
      <c r="K864" s="2411"/>
      <c r="L864" s="2533">
        <f t="shared" ref="L864:L872" si="187">M864+N864</f>
        <v>617.58000000000004</v>
      </c>
      <c r="M864" s="2238">
        <v>617.58000000000004</v>
      </c>
      <c r="N864" s="2239">
        <f>TRUNC(H864*K864,2)</f>
        <v>0</v>
      </c>
      <c r="O864" s="2498">
        <f>H864-L864</f>
        <v>0</v>
      </c>
      <c r="P864" s="2295">
        <f>O864/H864</f>
        <v>0</v>
      </c>
      <c r="Q864" s="2567"/>
    </row>
    <row r="865" spans="1:21" ht="30">
      <c r="A865" s="2269" t="s">
        <v>13517</v>
      </c>
      <c r="B865" s="2234">
        <f>VLOOKUP($A865,'13 - QT_QUI'!$A:$F,2,0)</f>
        <v>92759</v>
      </c>
      <c r="C865" s="2234" t="str">
        <f>VLOOKUP($A865,'13 - QT_QUI'!$A:$F,3,0)</f>
        <v>SINAPI</v>
      </c>
      <c r="D865" s="2375" t="s">
        <v>7428</v>
      </c>
      <c r="E865" s="2242" t="str">
        <f>IFERROR(VLOOKUP($B865,'24.08_ND'!$1:$1048529,3,0),IFERROR(VLOOKUP($B865,'03-CP'!$C$1:$H$6260,3,0),""))</f>
        <v>KG</v>
      </c>
      <c r="F865" s="2230">
        <v>11.6</v>
      </c>
      <c r="G865" s="2238">
        <v>17.100000000000001</v>
      </c>
      <c r="H865" s="2302">
        <f>TRUNC((G865*F865),2)</f>
        <v>198.36</v>
      </c>
      <c r="I865" s="2328">
        <f t="shared" si="186"/>
        <v>1</v>
      </c>
      <c r="J865" s="2237">
        <v>1</v>
      </c>
      <c r="K865" s="2411"/>
      <c r="L865" s="2533">
        <f t="shared" si="187"/>
        <v>198.36</v>
      </c>
      <c r="M865" s="2238">
        <v>198.36</v>
      </c>
      <c r="N865" s="2239">
        <f>TRUNC(H865*K865,2)</f>
        <v>0</v>
      </c>
      <c r="O865" s="2498">
        <f>H865-L865</f>
        <v>0</v>
      </c>
      <c r="P865" s="2295">
        <f>O865/H865</f>
        <v>0</v>
      </c>
      <c r="Q865" s="2567"/>
    </row>
    <row r="866" spans="1:21" ht="30">
      <c r="A866" s="2269" t="s">
        <v>13518</v>
      </c>
      <c r="B866" s="2234">
        <f>VLOOKUP($A866,'13 - QT_QUI'!$A:$F,2,0)</f>
        <v>92762</v>
      </c>
      <c r="C866" s="2234" t="str">
        <f>VLOOKUP($A866,'13 - QT_QUI'!$A:$F,3,0)</f>
        <v>SINAPI</v>
      </c>
      <c r="D866" s="2375" t="s">
        <v>7431</v>
      </c>
      <c r="E866" s="2242" t="str">
        <f>IFERROR(VLOOKUP($B866,'24.08_ND'!$1:$1048529,3,0),IFERROR(VLOOKUP($B866,'03-CP'!$C$1:$H$6260,3,0),""))</f>
        <v>KG</v>
      </c>
      <c r="F866" s="2230">
        <v>23.7</v>
      </c>
      <c r="G866" s="2238">
        <v>14.11</v>
      </c>
      <c r="H866" s="2302">
        <f>TRUNC((G866*F866),2)</f>
        <v>334.4</v>
      </c>
      <c r="I866" s="2328">
        <f t="shared" si="186"/>
        <v>1</v>
      </c>
      <c r="J866" s="2237">
        <v>1</v>
      </c>
      <c r="K866" s="2411"/>
      <c r="L866" s="2533">
        <f t="shared" si="187"/>
        <v>334.4</v>
      </c>
      <c r="M866" s="2238">
        <v>334.4</v>
      </c>
      <c r="N866" s="2239">
        <f>TRUNC(H866*K866,2)</f>
        <v>0</v>
      </c>
      <c r="O866" s="2498">
        <f>H866-L866</f>
        <v>0</v>
      </c>
      <c r="P866" s="2295">
        <f>O866/H866</f>
        <v>0</v>
      </c>
      <c r="Q866" s="2567"/>
    </row>
    <row r="867" spans="1:21" ht="30">
      <c r="A867" s="2269" t="s">
        <v>13519</v>
      </c>
      <c r="B867" s="2228" t="str">
        <f>VLOOKUP($A867,'13 - QT_QUI'!$A:$F,2,0)</f>
        <v>PS-CP-EST-13</v>
      </c>
      <c r="C867" s="2228" t="str">
        <f>VLOOKUP($A867,'13 - QT_QUI'!$A:$F,3,0)</f>
        <v>PRÓPRIA</v>
      </c>
      <c r="D867" s="2375" t="s">
        <v>14621</v>
      </c>
      <c r="E867" s="2243" t="str">
        <f>IFERROR(VLOOKUP($B867,'24.08_ND'!$1:$1048529,3,0),IFERROR(VLOOKUP($B867,'03-CP'!$C$1:$H$6260,3,0),""))</f>
        <v>M3</v>
      </c>
      <c r="F867" s="2230">
        <v>0.35</v>
      </c>
      <c r="G867" s="2232">
        <v>1161</v>
      </c>
      <c r="H867" s="2302">
        <f>TRUNC((G867*F867),2)</f>
        <v>406.35</v>
      </c>
      <c r="I867" s="2328">
        <f t="shared" si="186"/>
        <v>1</v>
      </c>
      <c r="J867" s="2231">
        <v>1</v>
      </c>
      <c r="K867" s="2412"/>
      <c r="L867" s="2533">
        <f t="shared" si="187"/>
        <v>406.35</v>
      </c>
      <c r="M867" s="2238">
        <v>406.35</v>
      </c>
      <c r="N867" s="2239">
        <f>TRUNC(H867*K867,2)</f>
        <v>0</v>
      </c>
      <c r="O867" s="2498">
        <f>H867-L867</f>
        <v>0</v>
      </c>
      <c r="P867" s="2295">
        <f>O867/H867</f>
        <v>0</v>
      </c>
      <c r="Q867" s="2567"/>
    </row>
    <row r="868" spans="1:21">
      <c r="A868" s="2340" t="s">
        <v>13520</v>
      </c>
      <c r="B868" s="2223"/>
      <c r="C868" s="2223"/>
      <c r="D868" s="2376" t="s">
        <v>16433</v>
      </c>
      <c r="E868" s="2224"/>
      <c r="F868" s="2240"/>
      <c r="G868" s="2226"/>
      <c r="H868" s="2301">
        <f>SUBTOTAL(9,H869:H872)</f>
        <v>3495.39</v>
      </c>
      <c r="I868" s="2284"/>
      <c r="J868" s="2227"/>
      <c r="K868" s="2496"/>
      <c r="L868" s="2534">
        <f>SUBTOTAL(9,L869:L872)</f>
        <v>3495.39</v>
      </c>
      <c r="M868" s="2301">
        <f>SUBTOTAL(9,M869:M872)</f>
        <v>3495.39</v>
      </c>
      <c r="N868" s="2301">
        <f>SUBTOTAL(9,N869:N872)</f>
        <v>0</v>
      </c>
      <c r="O868" s="2301">
        <f>SUBTOTAL(9,O869:O872)</f>
        <v>0</v>
      </c>
      <c r="P868" s="2293"/>
      <c r="Q868" s="2567"/>
    </row>
    <row r="869" spans="1:21" ht="45">
      <c r="A869" s="2269" t="s">
        <v>13521</v>
      </c>
      <c r="B869" s="2234">
        <f>VLOOKUP($A869,'13 - QT_QUI'!$A:$F,2,0)</f>
        <v>92431</v>
      </c>
      <c r="C869" s="2234" t="str">
        <f>VLOOKUP($A869,'13 - QT_QUI'!$A:$F,3,0)</f>
        <v>SINAPI</v>
      </c>
      <c r="D869" s="2375" t="s">
        <v>7221</v>
      </c>
      <c r="E869" s="2242" t="str">
        <f>IFERROR(VLOOKUP($B869,'24.08_ND'!$1:$1048529,3,0),IFERROR(VLOOKUP($B869,'03-CP'!$C$1:$H$6260,3,0),""))</f>
        <v>M2</v>
      </c>
      <c r="F869" s="2230">
        <v>16.37</v>
      </c>
      <c r="G869" s="2238">
        <v>83.57</v>
      </c>
      <c r="H869" s="2302">
        <f>TRUNC((G869*F869),2)</f>
        <v>1368.04</v>
      </c>
      <c r="I869" s="2328">
        <f t="shared" si="186"/>
        <v>1</v>
      </c>
      <c r="J869" s="2237">
        <v>1</v>
      </c>
      <c r="K869" s="2411"/>
      <c r="L869" s="2533">
        <f t="shared" si="187"/>
        <v>1368.04</v>
      </c>
      <c r="M869" s="2238">
        <v>1368.04</v>
      </c>
      <c r="N869" s="2239">
        <f>TRUNC(H869*K869,2)</f>
        <v>0</v>
      </c>
      <c r="O869" s="2498">
        <f>H869-L869</f>
        <v>0</v>
      </c>
      <c r="P869" s="2295">
        <f>O869/H869</f>
        <v>0</v>
      </c>
      <c r="Q869" s="2567"/>
    </row>
    <row r="870" spans="1:21" ht="30">
      <c r="A870" s="2269" t="s">
        <v>13522</v>
      </c>
      <c r="B870" s="2234">
        <f>VLOOKUP($A870,'13 - QT_QUI'!$A:$F,2,0)</f>
        <v>92759</v>
      </c>
      <c r="C870" s="2234" t="str">
        <f>VLOOKUP($A870,'13 - QT_QUI'!$A:$F,3,0)</f>
        <v>SINAPI</v>
      </c>
      <c r="D870" s="2375" t="s">
        <v>7428</v>
      </c>
      <c r="E870" s="2242" t="str">
        <f>IFERROR(VLOOKUP($B870,'24.08_ND'!$1:$1048529,3,0),IFERROR(VLOOKUP($B870,'03-CP'!$C$1:$H$6260,3,0),""))</f>
        <v>KG</v>
      </c>
      <c r="F870" s="2230">
        <v>22.6</v>
      </c>
      <c r="G870" s="2238">
        <v>17.100000000000001</v>
      </c>
      <c r="H870" s="2302">
        <f>TRUNC((G870*F870),2)</f>
        <v>386.46</v>
      </c>
      <c r="I870" s="2328">
        <f t="shared" si="186"/>
        <v>1</v>
      </c>
      <c r="J870" s="2237">
        <v>1</v>
      </c>
      <c r="K870" s="2411"/>
      <c r="L870" s="2533">
        <f t="shared" si="187"/>
        <v>386.46</v>
      </c>
      <c r="M870" s="2238">
        <v>386.46</v>
      </c>
      <c r="N870" s="2239">
        <f>TRUNC(H870*K870,2)</f>
        <v>0</v>
      </c>
      <c r="O870" s="2498">
        <f>H870-L870</f>
        <v>0</v>
      </c>
      <c r="P870" s="2295">
        <f>O870/H870</f>
        <v>0</v>
      </c>
      <c r="Q870" s="2567"/>
    </row>
    <row r="871" spans="1:21" ht="30">
      <c r="A871" s="2269" t="s">
        <v>13523</v>
      </c>
      <c r="B871" s="2234">
        <f>VLOOKUP($A871,'13 - QT_QUI'!$A:$F,2,0)</f>
        <v>92762</v>
      </c>
      <c r="C871" s="2234" t="str">
        <f>VLOOKUP($A871,'13 - QT_QUI'!$A:$F,3,0)</f>
        <v>SINAPI</v>
      </c>
      <c r="D871" s="2375" t="s">
        <v>7431</v>
      </c>
      <c r="E871" s="2242" t="str">
        <f>IFERROR(VLOOKUP($B871,'24.08_ND'!$1:$1048529,3,0),IFERROR(VLOOKUP($B871,'03-CP'!$C$1:$H$6260,3,0),""))</f>
        <v>KG</v>
      </c>
      <c r="F871" s="2230">
        <v>59.2</v>
      </c>
      <c r="G871" s="2238">
        <v>14.11</v>
      </c>
      <c r="H871" s="2302">
        <f>TRUNC((G871*F871),2)</f>
        <v>835.31</v>
      </c>
      <c r="I871" s="2328">
        <f t="shared" si="186"/>
        <v>1</v>
      </c>
      <c r="J871" s="2237">
        <v>1</v>
      </c>
      <c r="K871" s="2411"/>
      <c r="L871" s="2533">
        <f t="shared" si="187"/>
        <v>835.31</v>
      </c>
      <c r="M871" s="2238">
        <v>835.31</v>
      </c>
      <c r="N871" s="2239">
        <f>TRUNC(H871*K871,2)</f>
        <v>0</v>
      </c>
      <c r="O871" s="2498">
        <f>H871-L871</f>
        <v>0</v>
      </c>
      <c r="P871" s="2295">
        <f>O871/H871</f>
        <v>0</v>
      </c>
      <c r="Q871" s="2567"/>
    </row>
    <row r="872" spans="1:21" ht="30">
      <c r="A872" s="2269" t="s">
        <v>13524</v>
      </c>
      <c r="B872" s="2228" t="str">
        <f>VLOOKUP($A872,'13 - QT_QUI'!$A:$F,2,0)</f>
        <v>PS-CP-EST-13</v>
      </c>
      <c r="C872" s="2228" t="str">
        <f>VLOOKUP($A872,'13 - QT_QUI'!$A:$F,3,0)</f>
        <v>PRÓPRIA</v>
      </c>
      <c r="D872" s="2375" t="s">
        <v>14621</v>
      </c>
      <c r="E872" s="2243" t="str">
        <f>IFERROR(VLOOKUP($B872,'24.08_ND'!$1:$1048529,3,0),IFERROR(VLOOKUP($B872,'03-CP'!$C$1:$H$6260,3,0),""))</f>
        <v>M3</v>
      </c>
      <c r="F872" s="2230">
        <v>0.78</v>
      </c>
      <c r="G872" s="2232">
        <v>1161</v>
      </c>
      <c r="H872" s="2302">
        <f>TRUNC((G872*F872),2)</f>
        <v>905.58</v>
      </c>
      <c r="I872" s="2328">
        <f t="shared" si="186"/>
        <v>1</v>
      </c>
      <c r="J872" s="2231">
        <v>1</v>
      </c>
      <c r="K872" s="2412"/>
      <c r="L872" s="2533">
        <f t="shared" si="187"/>
        <v>905.58</v>
      </c>
      <c r="M872" s="2232">
        <v>905.58</v>
      </c>
      <c r="N872" s="2239">
        <f>TRUNC(H872*K872,2)</f>
        <v>0</v>
      </c>
      <c r="O872" s="2498">
        <f>H872-L872</f>
        <v>0</v>
      </c>
      <c r="P872" s="2295">
        <f>O872/H872</f>
        <v>0</v>
      </c>
      <c r="Q872" s="2584"/>
    </row>
    <row r="873" spans="1:21">
      <c r="A873" s="2340" t="s">
        <v>13525</v>
      </c>
      <c r="B873" s="2223"/>
      <c r="C873" s="2223"/>
      <c r="D873" s="2376" t="s">
        <v>16434</v>
      </c>
      <c r="E873" s="2224"/>
      <c r="F873" s="2240"/>
      <c r="G873" s="2226"/>
      <c r="H873" s="2301">
        <f>SUBTOTAL(9,H874:H878)</f>
        <v>8366.33</v>
      </c>
      <c r="I873" s="2284">
        <f t="shared" si="186"/>
        <v>0</v>
      </c>
      <c r="J873" s="2227"/>
      <c r="K873" s="2496"/>
      <c r="L873" s="2534">
        <f>SUBTOTAL(9,L874:L878)</f>
        <v>8366.33</v>
      </c>
      <c r="M873" s="2301">
        <f>SUBTOTAL(9,M874:M878)</f>
        <v>8366.33</v>
      </c>
      <c r="N873" s="2301">
        <f>SUBTOTAL(9,N874:N878)</f>
        <v>0</v>
      </c>
      <c r="O873" s="2301">
        <f>SUBTOTAL(9,O874:O878)</f>
        <v>0</v>
      </c>
      <c r="P873" s="2293"/>
      <c r="Q873" s="2584"/>
    </row>
    <row r="874" spans="1:21" ht="45">
      <c r="A874" s="2271" t="s">
        <v>13526</v>
      </c>
      <c r="B874" s="2234">
        <f>VLOOKUP($A874,'13 - QT_QUI'!$A:$F,2,0)</f>
        <v>92468</v>
      </c>
      <c r="C874" s="2234" t="str">
        <f>VLOOKUP($A874,'13 - QT_QUI'!$A:$F,3,0)</f>
        <v>SINAPI</v>
      </c>
      <c r="D874" s="2375" t="s">
        <v>7251</v>
      </c>
      <c r="E874" s="2242" t="str">
        <f>IFERROR(VLOOKUP($B874,'24.08_ND'!$1:$1048529,3,0),IFERROR(VLOOKUP($B874,'03-CP'!$C$1:$H$6260,3,0),""))</f>
        <v>M2</v>
      </c>
      <c r="F874" s="2230">
        <v>29.84</v>
      </c>
      <c r="G874" s="2238">
        <v>158.82</v>
      </c>
      <c r="H874" s="2302">
        <f>TRUNC((G874*F874),2)</f>
        <v>4739.18</v>
      </c>
      <c r="I874" s="2328">
        <f t="shared" si="186"/>
        <v>1</v>
      </c>
      <c r="J874" s="2314">
        <v>1</v>
      </c>
      <c r="K874" s="2411"/>
      <c r="L874" s="2533">
        <f>M874+N874</f>
        <v>4739.18</v>
      </c>
      <c r="M874" s="2232">
        <v>4739.18</v>
      </c>
      <c r="N874" s="2239">
        <f>TRUNC(H874*K874,2)</f>
        <v>0</v>
      </c>
      <c r="O874" s="2498">
        <f>H874-L874</f>
        <v>0</v>
      </c>
      <c r="P874" s="2295">
        <f>O874/H874</f>
        <v>0</v>
      </c>
      <c r="Q874" s="2584"/>
    </row>
    <row r="875" spans="1:21" ht="30">
      <c r="A875" s="2271" t="s">
        <v>13527</v>
      </c>
      <c r="B875" s="2234">
        <f>VLOOKUP($A875,'13 - QT_QUI'!$A:$F,2,0)</f>
        <v>92759</v>
      </c>
      <c r="C875" s="2234" t="str">
        <f>VLOOKUP($A875,'13 - QT_QUI'!$A:$F,3,0)</f>
        <v>SINAPI</v>
      </c>
      <c r="D875" s="2375" t="s">
        <v>7428</v>
      </c>
      <c r="E875" s="2242" t="str">
        <f>IFERROR(VLOOKUP($B875,'24.08_ND'!$1:$1048529,3,0),IFERROR(VLOOKUP($B875,'03-CP'!$C$1:$H$6260,3,0),""))</f>
        <v>KG</v>
      </c>
      <c r="F875" s="2230">
        <v>32.700000000000003</v>
      </c>
      <c r="G875" s="2238">
        <v>17.100000000000001</v>
      </c>
      <c r="H875" s="2302">
        <f>TRUNC((G875*F875),2)</f>
        <v>559.16999999999996</v>
      </c>
      <c r="I875" s="2328">
        <f t="shared" si="186"/>
        <v>1</v>
      </c>
      <c r="J875" s="2575">
        <v>1</v>
      </c>
      <c r="K875" s="2409"/>
      <c r="L875" s="2533">
        <f>M875+N875</f>
        <v>559.16999999999996</v>
      </c>
      <c r="M875" s="2232">
        <v>559.16999999999996</v>
      </c>
      <c r="N875" s="2239">
        <f>(H875*K875)</f>
        <v>0</v>
      </c>
      <c r="O875" s="2498">
        <f>H875-L875</f>
        <v>0</v>
      </c>
      <c r="P875" s="2295">
        <f>O875/H875</f>
        <v>0</v>
      </c>
      <c r="Q875" s="2584"/>
      <c r="S875" s="2568"/>
      <c r="T875" s="2569"/>
      <c r="U875" s="2570"/>
    </row>
    <row r="876" spans="1:21" ht="30">
      <c r="A876" s="2271" t="s">
        <v>13528</v>
      </c>
      <c r="B876" s="2234">
        <f>VLOOKUP($A876,'13 - QT_QUI'!$A:$F,2,0)</f>
        <v>92761</v>
      </c>
      <c r="C876" s="2234" t="str">
        <f>VLOOKUP($A876,'13 - QT_QUI'!$A:$F,3,0)</f>
        <v>SINAPI</v>
      </c>
      <c r="D876" s="2375" t="s">
        <v>7430</v>
      </c>
      <c r="E876" s="2242" t="str">
        <f>IFERROR(VLOOKUP($B876,'24.08_ND'!$1:$1048529,3,0),IFERROR(VLOOKUP($B876,'03-CP'!$C$1:$H$6260,3,0),""))</f>
        <v>KG</v>
      </c>
      <c r="F876" s="2230">
        <v>61.3</v>
      </c>
      <c r="G876" s="2238">
        <v>15.68</v>
      </c>
      <c r="H876" s="2302">
        <f>TRUNC((G876*F876),2)</f>
        <v>961.18</v>
      </c>
      <c r="I876" s="2328">
        <f t="shared" si="186"/>
        <v>1</v>
      </c>
      <c r="J876" s="2314">
        <v>1</v>
      </c>
      <c r="K876" s="2411"/>
      <c r="L876" s="2533">
        <f>M876+N876</f>
        <v>961.18</v>
      </c>
      <c r="M876" s="2232">
        <v>961.18</v>
      </c>
      <c r="N876" s="2239">
        <f>TRUNC(H876*K876,2)</f>
        <v>0</v>
      </c>
      <c r="O876" s="2498">
        <f>H876-L876</f>
        <v>0</v>
      </c>
      <c r="P876" s="2295">
        <f>O876/H876</f>
        <v>0</v>
      </c>
      <c r="Q876" s="2584"/>
      <c r="U876" s="2570"/>
    </row>
    <row r="877" spans="1:21" ht="30">
      <c r="A877" s="2271" t="s">
        <v>13529</v>
      </c>
      <c r="B877" s="2234">
        <f>VLOOKUP($A877,'13 - QT_QUI'!$A:$F,2,0)</f>
        <v>92762</v>
      </c>
      <c r="C877" s="2234" t="str">
        <f>VLOOKUP($A877,'13 - QT_QUI'!$A:$F,3,0)</f>
        <v>SINAPI</v>
      </c>
      <c r="D877" s="2375" t="s">
        <v>7431</v>
      </c>
      <c r="E877" s="2242" t="str">
        <f>IFERROR(VLOOKUP($B877,'24.08_ND'!$1:$1048529,3,0),IFERROR(VLOOKUP($B877,'03-CP'!$C$1:$H$6260,3,0),""))</f>
        <v>KG</v>
      </c>
      <c r="F877" s="2230">
        <v>22.3</v>
      </c>
      <c r="G877" s="2238">
        <v>14.11</v>
      </c>
      <c r="H877" s="2302">
        <f>TRUNC((G877*F877),2)</f>
        <v>314.64999999999998</v>
      </c>
      <c r="I877" s="2328">
        <f t="shared" si="186"/>
        <v>1</v>
      </c>
      <c r="J877" s="2314">
        <v>1</v>
      </c>
      <c r="K877" s="2409"/>
      <c r="L877" s="2533">
        <f>M877+N877</f>
        <v>314.64999999999998</v>
      </c>
      <c r="M877" s="2232">
        <v>314.64999999999998</v>
      </c>
      <c r="N877" s="2239">
        <f>(H877*K877)</f>
        <v>0</v>
      </c>
      <c r="O877" s="2498">
        <f>H877-L877</f>
        <v>0</v>
      </c>
      <c r="P877" s="2295">
        <f>O877/H877</f>
        <v>0</v>
      </c>
      <c r="Q877" s="2584"/>
      <c r="U877" s="2302"/>
    </row>
    <row r="878" spans="1:21" ht="45">
      <c r="A878" s="2271" t="s">
        <v>13530</v>
      </c>
      <c r="B878" s="2228" t="str">
        <f>VLOOKUP($A878,'13 - QT_QUI'!$A:$F,2,0)</f>
        <v>PS-CP-EST-14</v>
      </c>
      <c r="C878" s="2228" t="str">
        <f>VLOOKUP($A878,'13 - QT_QUI'!$A:$F,3,0)</f>
        <v>PRÓPRIA</v>
      </c>
      <c r="D878" s="2375" t="s">
        <v>15964</v>
      </c>
      <c r="E878" s="2243" t="str">
        <f>IFERROR(VLOOKUP($B878,'24.08_ND'!$1:$1048529,3,0),IFERROR(VLOOKUP($B878,'03-CP'!$C$1:$H$6260,3,0),""))</f>
        <v>M3</v>
      </c>
      <c r="F878" s="2230">
        <v>1.76</v>
      </c>
      <c r="G878" s="2232">
        <v>1018.27</v>
      </c>
      <c r="H878" s="2302">
        <f>TRUNC((G878*F878),2)</f>
        <v>1792.15</v>
      </c>
      <c r="I878" s="2328">
        <f t="shared" si="186"/>
        <v>1</v>
      </c>
      <c r="J878" s="2313">
        <v>1</v>
      </c>
      <c r="K878" s="2409"/>
      <c r="L878" s="2533">
        <f>M878+N878</f>
        <v>1792.15</v>
      </c>
      <c r="M878" s="2232">
        <v>1792.15</v>
      </c>
      <c r="N878" s="2239">
        <f>(H878*K878)</f>
        <v>0</v>
      </c>
      <c r="O878" s="2498">
        <f>H878-L878</f>
        <v>0</v>
      </c>
      <c r="P878" s="2295">
        <f>O878/H878</f>
        <v>0</v>
      </c>
      <c r="Q878" s="2584"/>
      <c r="U878" s="2571"/>
    </row>
    <row r="879" spans="1:21">
      <c r="A879" s="2340" t="s">
        <v>13531</v>
      </c>
      <c r="B879" s="2223"/>
      <c r="C879" s="2223"/>
      <c r="D879" s="2376" t="s">
        <v>16435</v>
      </c>
      <c r="E879" s="2224"/>
      <c r="F879" s="2240"/>
      <c r="G879" s="2226"/>
      <c r="H879" s="2301">
        <f>SUBTOTAL(9,H880:H883)</f>
        <v>3128.72</v>
      </c>
      <c r="I879" s="2284"/>
      <c r="J879" s="2227"/>
      <c r="K879" s="2496"/>
      <c r="L879" s="2534">
        <f>SUBTOTAL(9,L880:L883)</f>
        <v>3128.72</v>
      </c>
      <c r="M879" s="2301">
        <f>SUBTOTAL(9,M880:M883)</f>
        <v>3128.72</v>
      </c>
      <c r="N879" s="2301">
        <f>SUBTOTAL(9,N880:N883)</f>
        <v>0</v>
      </c>
      <c r="O879" s="2301">
        <f>SUBTOTAL(9,O880:O883)</f>
        <v>0</v>
      </c>
      <c r="P879" s="2293"/>
      <c r="Q879" s="2584"/>
    </row>
    <row r="880" spans="1:21" ht="45">
      <c r="A880" s="2269" t="s">
        <v>13532</v>
      </c>
      <c r="B880" s="2228" t="str">
        <f>VLOOKUP($A880,'13 - QT_QUI'!$A:$F,2,0)</f>
        <v>PS-CP-EST-18</v>
      </c>
      <c r="C880" s="2228" t="str">
        <f>VLOOKUP($A880,'13 - QT_QUI'!$A:$F,3,0)</f>
        <v>PRÓPRIA</v>
      </c>
      <c r="D880" s="2375" t="s">
        <v>14646</v>
      </c>
      <c r="E880" s="2243" t="str">
        <f>IFERROR(VLOOKUP($B880,'24.08_ND'!$1:$1048529,3,0),IFERROR(VLOOKUP($B880,'03-CP'!$C$1:$H$6260,3,0),""))</f>
        <v>M2</v>
      </c>
      <c r="F880" s="2230">
        <v>6.24</v>
      </c>
      <c r="G880" s="2232">
        <v>352.46</v>
      </c>
      <c r="H880" s="2302">
        <f>TRUNC((G880*F880),2)</f>
        <v>2199.35</v>
      </c>
      <c r="I880" s="2328">
        <f t="shared" si="186"/>
        <v>1</v>
      </c>
      <c r="J880" s="2313">
        <v>1</v>
      </c>
      <c r="K880" s="2412"/>
      <c r="L880" s="2533">
        <f t="shared" ref="L880:L887" si="188">M880+N880</f>
        <v>2199.35</v>
      </c>
      <c r="M880" s="2232">
        <v>2199.35</v>
      </c>
      <c r="N880" s="2239">
        <f>TRUNC(H880*K880,2)</f>
        <v>0</v>
      </c>
      <c r="O880" s="2498">
        <f>H880-L880</f>
        <v>0</v>
      </c>
      <c r="P880" s="2295">
        <f>O880/H880</f>
        <v>0</v>
      </c>
      <c r="Q880" s="2584"/>
    </row>
    <row r="881" spans="1:17" ht="45">
      <c r="A881" s="2269" t="s">
        <v>13533</v>
      </c>
      <c r="B881" s="2234">
        <f>VLOOKUP($A881,'13 - QT_QUI'!$A:$F,2,0)</f>
        <v>87737</v>
      </c>
      <c r="C881" s="2234" t="str">
        <f>VLOOKUP($A881,'13 - QT_QUI'!$A:$F,3,0)</f>
        <v>SINAPI</v>
      </c>
      <c r="D881" s="2375" t="s">
        <v>11229</v>
      </c>
      <c r="E881" s="2242" t="str">
        <f>IFERROR(VLOOKUP($B881,'24.08_ND'!$1:$1048529,3,0),IFERROR(VLOOKUP($B881,'03-CP'!$C$1:$H$6260,3,0),""))</f>
        <v>M2</v>
      </c>
      <c r="F881" s="2230">
        <v>6.24</v>
      </c>
      <c r="G881" s="2238">
        <v>53.35</v>
      </c>
      <c r="H881" s="2302">
        <f>TRUNC((G881*F881),2)</f>
        <v>332.9</v>
      </c>
      <c r="I881" s="2328">
        <f t="shared" si="186"/>
        <v>1</v>
      </c>
      <c r="J881" s="2314">
        <v>1</v>
      </c>
      <c r="K881" s="2411"/>
      <c r="L881" s="2533">
        <f t="shared" si="188"/>
        <v>332.9</v>
      </c>
      <c r="M881" s="2232">
        <v>332.9</v>
      </c>
      <c r="N881" s="2239">
        <f>TRUNC(H881*K881,2)</f>
        <v>0</v>
      </c>
      <c r="O881" s="2498">
        <f>H881-L881</f>
        <v>0</v>
      </c>
      <c r="P881" s="2295">
        <f>O881/H881</f>
        <v>0</v>
      </c>
      <c r="Q881" s="2584"/>
    </row>
    <row r="882" spans="1:17" ht="30">
      <c r="A882" s="2269" t="s">
        <v>13534</v>
      </c>
      <c r="B882" s="2234">
        <f>VLOOKUP($A882,'13 - QT_QUI'!$A:$F,2,0)</f>
        <v>98554</v>
      </c>
      <c r="C882" s="2234" t="str">
        <f>VLOOKUP($A882,'13 - QT_QUI'!$A:$F,3,0)</f>
        <v>SINAPI</v>
      </c>
      <c r="D882" s="2375" t="s">
        <v>7740</v>
      </c>
      <c r="E882" s="2242" t="str">
        <f>IFERROR(VLOOKUP($B882,'24.08_ND'!$1:$1048529,3,0),IFERROR(VLOOKUP($B882,'03-CP'!$C$1:$H$6260,3,0),""))</f>
        <v>M2</v>
      </c>
      <c r="F882" s="2230">
        <v>6.24</v>
      </c>
      <c r="G882" s="2238">
        <v>52.57</v>
      </c>
      <c r="H882" s="2302">
        <f>TRUNC((G882*F882),2)</f>
        <v>328.03</v>
      </c>
      <c r="I882" s="2328">
        <f t="shared" si="186"/>
        <v>1</v>
      </c>
      <c r="J882" s="2314">
        <v>1</v>
      </c>
      <c r="K882" s="2411"/>
      <c r="L882" s="2533">
        <f t="shared" si="188"/>
        <v>328.03</v>
      </c>
      <c r="M882" s="2232">
        <v>328.03</v>
      </c>
      <c r="N882" s="2239">
        <f>TRUNC(H882*K882,2)</f>
        <v>0</v>
      </c>
      <c r="O882" s="2498">
        <f>H882-L882</f>
        <v>0</v>
      </c>
      <c r="P882" s="2295">
        <f>O882/H882</f>
        <v>0</v>
      </c>
      <c r="Q882" s="2584"/>
    </row>
    <row r="883" spans="1:17" ht="30">
      <c r="A883" s="2269" t="s">
        <v>13535</v>
      </c>
      <c r="B883" s="2234">
        <f>VLOOKUP($A883,'13 - QT_QUI'!$A:$F,2,0)</f>
        <v>98563</v>
      </c>
      <c r="C883" s="2234" t="str">
        <f>VLOOKUP($A883,'13 - QT_QUI'!$A:$F,3,0)</f>
        <v>SINAPI</v>
      </c>
      <c r="D883" s="2375" t="s">
        <v>7742</v>
      </c>
      <c r="E883" s="2242" t="str">
        <f>IFERROR(VLOOKUP($B883,'24.08_ND'!$1:$1048529,3,0),IFERROR(VLOOKUP($B883,'03-CP'!$C$1:$H$6260,3,0),""))</f>
        <v>M2</v>
      </c>
      <c r="F883" s="2230">
        <v>6.24</v>
      </c>
      <c r="G883" s="2238">
        <v>43.02</v>
      </c>
      <c r="H883" s="2302">
        <f>TRUNC((G883*F883),2)</f>
        <v>268.44</v>
      </c>
      <c r="I883" s="2328">
        <f t="shared" si="186"/>
        <v>1</v>
      </c>
      <c r="J883" s="2314">
        <v>1</v>
      </c>
      <c r="K883" s="2411"/>
      <c r="L883" s="2533">
        <f t="shared" si="188"/>
        <v>268.44</v>
      </c>
      <c r="M883" s="2232">
        <v>268.44</v>
      </c>
      <c r="N883" s="2239">
        <f>TRUNC(H883*K883,2)</f>
        <v>0</v>
      </c>
      <c r="O883" s="2498">
        <f>H883-L883</f>
        <v>0</v>
      </c>
      <c r="P883" s="2295">
        <f>O883/H883</f>
        <v>0</v>
      </c>
      <c r="Q883" s="2584"/>
    </row>
    <row r="884" spans="1:17">
      <c r="A884" s="2340" t="s">
        <v>13536</v>
      </c>
      <c r="B884" s="2223"/>
      <c r="C884" s="2223"/>
      <c r="D884" s="2376" t="s">
        <v>16384</v>
      </c>
      <c r="E884" s="2224"/>
      <c r="F884" s="2240"/>
      <c r="G884" s="2226"/>
      <c r="H884" s="2301">
        <f>SUBTOTAL(9,H885)</f>
        <v>40.31</v>
      </c>
      <c r="I884" s="2284"/>
      <c r="J884" s="2227"/>
      <c r="K884" s="2410"/>
      <c r="L884" s="2534">
        <f>SUBTOTAL(9,L885)</f>
        <v>40.309999999999995</v>
      </c>
      <c r="M884" s="2301">
        <f>SUBTOTAL(9,M885)</f>
        <v>40.309999999999995</v>
      </c>
      <c r="N884" s="2301">
        <f>SUBTOTAL(9,N885)</f>
        <v>0</v>
      </c>
      <c r="O884" s="2301">
        <f>SUBTOTAL(9,O885)</f>
        <v>0</v>
      </c>
      <c r="P884" s="2293"/>
      <c r="Q884" s="2584"/>
    </row>
    <row r="885" spans="1:17" ht="45">
      <c r="A885" s="2269" t="s">
        <v>13537</v>
      </c>
      <c r="B885" s="2228" t="str">
        <f>VLOOKUP($A885,'13 - QT_QUI'!$A:$F,2,0)</f>
        <v>PS-CP-EST-06</v>
      </c>
      <c r="C885" s="2228" t="str">
        <f>VLOOKUP($A885,'13 - QT_QUI'!$A:$F,3,0)</f>
        <v>PRÓPRIA</v>
      </c>
      <c r="D885" s="2375" t="s">
        <v>14597</v>
      </c>
      <c r="E885" s="2243" t="str">
        <f>IFERROR(VLOOKUP($B885,'24.08_ND'!$1:$1048529,3,0),IFERROR(VLOOKUP($B885,'03-CP'!$C$1:$H$6260,3,0),""))</f>
        <v>M3</v>
      </c>
      <c r="F885" s="2230">
        <v>5.47</v>
      </c>
      <c r="G885" s="2232">
        <v>7.37</v>
      </c>
      <c r="H885" s="2302">
        <f>TRUNC((G885*F885),2)</f>
        <v>40.31</v>
      </c>
      <c r="I885" s="2328">
        <f t="shared" si="186"/>
        <v>1</v>
      </c>
      <c r="J885" s="2313">
        <v>1</v>
      </c>
      <c r="K885" s="2412"/>
      <c r="L885" s="2533">
        <f t="shared" si="188"/>
        <v>40.309999999999995</v>
      </c>
      <c r="M885" s="2232">
        <v>40.309999999999995</v>
      </c>
      <c r="N885" s="2239">
        <f>TRUNC(H885*K885,2)</f>
        <v>0</v>
      </c>
      <c r="O885" s="2498">
        <f>H885-L885</f>
        <v>0</v>
      </c>
      <c r="P885" s="2295">
        <f>O885/H885</f>
        <v>0</v>
      </c>
      <c r="Q885" s="2584"/>
    </row>
    <row r="886" spans="1:17">
      <c r="A886" s="2340" t="s">
        <v>13538</v>
      </c>
      <c r="B886" s="2223"/>
      <c r="C886" s="2223"/>
      <c r="D886" s="2376" t="s">
        <v>12504</v>
      </c>
      <c r="E886" s="2224"/>
      <c r="F886" s="2240"/>
      <c r="G886" s="2226"/>
      <c r="H886" s="2301">
        <f>SUBTOTAL(9,H887)</f>
        <v>4678.18</v>
      </c>
      <c r="I886" s="2284"/>
      <c r="J886" s="2227"/>
      <c r="K886" s="2410"/>
      <c r="L886" s="2534">
        <f>SUBTOTAL(9,L887)</f>
        <v>4678.18</v>
      </c>
      <c r="M886" s="2301">
        <f>SUBTOTAL(9,M887)</f>
        <v>4678.18</v>
      </c>
      <c r="N886" s="2301">
        <f>SUBTOTAL(9,N887)</f>
        <v>0</v>
      </c>
      <c r="O886" s="2301">
        <f>SUBTOTAL(9,O887)</f>
        <v>0</v>
      </c>
      <c r="P886" s="2293"/>
      <c r="Q886" s="2584"/>
    </row>
    <row r="887" spans="1:17" ht="45">
      <c r="A887" s="2271" t="s">
        <v>13539</v>
      </c>
      <c r="B887" s="2228" t="str">
        <f>VLOOKUP($A887,'13 - QT_QUI'!$A:$F,2,0)</f>
        <v>PS-CP-EST-12</v>
      </c>
      <c r="C887" s="2228" t="str">
        <f>VLOOKUP($A887,'13 - QT_QUI'!$A:$F,3,0)</f>
        <v>PRÓPRIA</v>
      </c>
      <c r="D887" s="2375" t="s">
        <v>14611</v>
      </c>
      <c r="E887" s="2243" t="str">
        <f>IFERROR(VLOOKUP($B887,'24.08_ND'!$1:$1048529,3,0),IFERROR(VLOOKUP($B887,'03-CP'!$C$1:$H$6260,3,0),""))</f>
        <v>KG</v>
      </c>
      <c r="F887" s="2230">
        <v>157.25</v>
      </c>
      <c r="G887" s="2232">
        <v>29.75</v>
      </c>
      <c r="H887" s="2302">
        <f>TRUNC((G887*F887),2)</f>
        <v>4678.18</v>
      </c>
      <c r="I887" s="2328">
        <f t="shared" si="186"/>
        <v>1</v>
      </c>
      <c r="J887" s="2231">
        <v>1</v>
      </c>
      <c r="K887" s="2412"/>
      <c r="L887" s="2533">
        <f t="shared" si="188"/>
        <v>4678.18</v>
      </c>
      <c r="M887" s="2232">
        <v>4678.18</v>
      </c>
      <c r="N887" s="2239">
        <f>TRUNC(H887*K887,2)</f>
        <v>0</v>
      </c>
      <c r="O887" s="2498">
        <f>H887-L887</f>
        <v>0</v>
      </c>
      <c r="P887" s="2295">
        <f>O887/H887</f>
        <v>0</v>
      </c>
      <c r="Q887" s="2584"/>
    </row>
    <row r="888" spans="1:17">
      <c r="A888" s="2267" t="s">
        <v>12636</v>
      </c>
      <c r="B888" s="2216"/>
      <c r="C888" s="2217"/>
      <c r="D888" s="2377" t="s">
        <v>12486</v>
      </c>
      <c r="E888" s="2218"/>
      <c r="F888" s="2241"/>
      <c r="G888" s="2220"/>
      <c r="H888" s="2300">
        <f>SUBTOTAL(9,H889:H947)</f>
        <v>126010.18999999999</v>
      </c>
      <c r="I888" s="2283"/>
      <c r="J888" s="2221"/>
      <c r="K888" s="2492"/>
      <c r="L888" s="2532">
        <f>SUBTOTAL(9,L889:L947)</f>
        <v>53559.73</v>
      </c>
      <c r="M888" s="2300">
        <f>SUBTOTAL(9,M889:M947)</f>
        <v>35670.079999999994</v>
      </c>
      <c r="N888" s="2300">
        <f>SUBTOTAL(9,N889:N947)</f>
        <v>17889.650000000001</v>
      </c>
      <c r="O888" s="2300">
        <f>SUBTOTAL(9,O889:O947)</f>
        <v>72450.460000000006</v>
      </c>
      <c r="P888" s="2292"/>
    </row>
    <row r="889" spans="1:17">
      <c r="A889" s="2342" t="s">
        <v>13540</v>
      </c>
      <c r="B889" s="2223"/>
      <c r="C889" s="2223"/>
      <c r="D889" s="2376" t="s">
        <v>16227</v>
      </c>
      <c r="E889" s="2224"/>
      <c r="F889" s="2240"/>
      <c r="G889" s="2226"/>
      <c r="H889" s="2301">
        <f>SUBTOTAL(9,H890:H893)</f>
        <v>11081.73</v>
      </c>
      <c r="I889" s="2284"/>
      <c r="J889" s="2227"/>
      <c r="K889" s="2410"/>
      <c r="L889" s="2534">
        <f>SUBTOTAL(9,L890:L893)</f>
        <v>11081.72</v>
      </c>
      <c r="M889" s="2301">
        <f>SUBTOTAL(9,M890:M893)</f>
        <v>11081.72</v>
      </c>
      <c r="N889" s="2301">
        <f>SUBTOTAL(9,N890:N893)</f>
        <v>0</v>
      </c>
      <c r="O889" s="2301">
        <f>SUBTOTAL(9,O890:O893)</f>
        <v>9.9999999999909051E-3</v>
      </c>
      <c r="P889" s="2293"/>
    </row>
    <row r="890" spans="1:17" ht="45">
      <c r="A890" s="2272" t="s">
        <v>13541</v>
      </c>
      <c r="B890" s="2234">
        <f>VLOOKUP($A890,'13 - QT_QUI'!$A:$F,2,0)</f>
        <v>103324</v>
      </c>
      <c r="C890" s="2234" t="str">
        <f>VLOOKUP($A890,'13 - QT_QUI'!$A:$F,3,0)</f>
        <v>SINAPI</v>
      </c>
      <c r="D890" s="2375" t="s">
        <v>10760</v>
      </c>
      <c r="E890" s="2242" t="str">
        <f>IFERROR(VLOOKUP($B890,'24.08_ND'!$1:$1048529,3,0),IFERROR(VLOOKUP($B890,'03-CP'!$C$1:$H$6260,3,0),""))</f>
        <v>M2</v>
      </c>
      <c r="F890" s="2230">
        <v>98.3</v>
      </c>
      <c r="G890" s="2238">
        <v>100.3</v>
      </c>
      <c r="H890" s="2302">
        <f>TRUNC((G890*F890),2)</f>
        <v>9859.49</v>
      </c>
      <c r="I890" s="2328">
        <f t="shared" si="186"/>
        <v>1</v>
      </c>
      <c r="J890" s="2314">
        <v>1</v>
      </c>
      <c r="K890" s="2411"/>
      <c r="L890" s="2533">
        <f t="shared" ref="L890:L899" si="189">M890+N890</f>
        <v>9859.49</v>
      </c>
      <c r="M890" s="2238">
        <v>9859.49</v>
      </c>
      <c r="N890" s="2239">
        <f t="shared" ref="N890:N899" si="190">TRUNC(H890*K890,2)</f>
        <v>0</v>
      </c>
      <c r="O890" s="2498">
        <f>H890-L890</f>
        <v>0</v>
      </c>
      <c r="P890" s="2295">
        <f>O890/H890</f>
        <v>0</v>
      </c>
    </row>
    <row r="891" spans="1:17" ht="30">
      <c r="A891" s="2272" t="s">
        <v>13542</v>
      </c>
      <c r="B891" s="2234">
        <f>VLOOKUP($A891,'13 - QT_QUI'!$A:$F,2,0)</f>
        <v>93203</v>
      </c>
      <c r="C891" s="2234" t="str">
        <f>VLOOKUP($A891,'13 - QT_QUI'!$A:$F,3,0)</f>
        <v>SINAPI</v>
      </c>
      <c r="D891" s="2375" t="s">
        <v>7614</v>
      </c>
      <c r="E891" s="2242" t="str">
        <f>IFERROR(VLOOKUP($B891,'24.08_ND'!$1:$1048529,3,0),IFERROR(VLOOKUP($B891,'03-CP'!$C$1:$H$6260,3,0),""))</f>
        <v>M</v>
      </c>
      <c r="F891" s="2230">
        <v>29.37</v>
      </c>
      <c r="G891" s="2238">
        <v>15.62</v>
      </c>
      <c r="H891" s="2302">
        <f>TRUNC((G891*F891),2)</f>
        <v>458.75</v>
      </c>
      <c r="I891" s="2328">
        <f t="shared" si="186"/>
        <v>1</v>
      </c>
      <c r="J891" s="2314">
        <v>1</v>
      </c>
      <c r="K891" s="2411"/>
      <c r="L891" s="2533">
        <f t="shared" si="189"/>
        <v>458.74</v>
      </c>
      <c r="M891" s="2238">
        <v>458.74</v>
      </c>
      <c r="N891" s="2239">
        <f t="shared" si="190"/>
        <v>0</v>
      </c>
      <c r="O891" s="2498">
        <f>H891-L891</f>
        <v>9.9999999999909051E-3</v>
      </c>
      <c r="P891" s="2295">
        <f>O891/H891</f>
        <v>2.179836512259598E-5</v>
      </c>
    </row>
    <row r="892" spans="1:17" ht="30">
      <c r="A892" s="2272" t="s">
        <v>13543</v>
      </c>
      <c r="B892" s="2234">
        <f>VLOOKUP($A892,'13 - QT_QUI'!$A:$F,2,0)</f>
        <v>105036</v>
      </c>
      <c r="C892" s="2234" t="str">
        <f>VLOOKUP($A892,'13 - QT_QUI'!$A:$F,3,0)</f>
        <v>SINAPI</v>
      </c>
      <c r="D892" s="2375" t="s">
        <v>7631</v>
      </c>
      <c r="E892" s="2242" t="str">
        <f>IFERROR(VLOOKUP($B892,'24.08_ND'!$1:$1048529,3,0),IFERROR(VLOOKUP($B892,'03-CP'!$C$1:$H$6260,3,0),""))</f>
        <v>M</v>
      </c>
      <c r="F892" s="2230">
        <v>12.4</v>
      </c>
      <c r="G892" s="2238">
        <v>53.25</v>
      </c>
      <c r="H892" s="2302">
        <f>TRUNC((G892*F892),2)</f>
        <v>660.3</v>
      </c>
      <c r="I892" s="2328">
        <f t="shared" si="186"/>
        <v>1</v>
      </c>
      <c r="J892" s="2314">
        <v>1</v>
      </c>
      <c r="K892" s="2411"/>
      <c r="L892" s="2533">
        <f t="shared" si="189"/>
        <v>660.3</v>
      </c>
      <c r="M892" s="2238">
        <v>660.3</v>
      </c>
      <c r="N892" s="2239">
        <f t="shared" si="190"/>
        <v>0</v>
      </c>
      <c r="O892" s="2498">
        <f>H892-L892</f>
        <v>0</v>
      </c>
      <c r="P892" s="2295">
        <f>O892/H892</f>
        <v>0</v>
      </c>
    </row>
    <row r="893" spans="1:17">
      <c r="A893" s="2272" t="s">
        <v>13544</v>
      </c>
      <c r="B893" s="2234">
        <f>VLOOKUP($A893,'13 - QT_QUI'!$A:$F,2,0)</f>
        <v>105038</v>
      </c>
      <c r="C893" s="2234" t="str">
        <f>VLOOKUP($A893,'13 - QT_QUI'!$A:$F,3,0)</f>
        <v>SINAPI</v>
      </c>
      <c r="D893" s="2375" t="s">
        <v>7633</v>
      </c>
      <c r="E893" s="2242" t="str">
        <f>IFERROR(VLOOKUP($B893,'24.08_ND'!$1:$1048529,3,0),IFERROR(VLOOKUP($B893,'03-CP'!$C$1:$H$6260,3,0),""))</f>
        <v>M</v>
      </c>
      <c r="F893" s="2230">
        <v>1.4</v>
      </c>
      <c r="G893" s="2238">
        <v>73.709999999999994</v>
      </c>
      <c r="H893" s="2302">
        <f>TRUNC((G893*F893),2)</f>
        <v>103.19</v>
      </c>
      <c r="I893" s="2328">
        <f t="shared" si="186"/>
        <v>1</v>
      </c>
      <c r="J893" s="2314">
        <v>1</v>
      </c>
      <c r="K893" s="2411"/>
      <c r="L893" s="2533">
        <f t="shared" si="189"/>
        <v>103.19</v>
      </c>
      <c r="M893" s="2238">
        <v>103.19</v>
      </c>
      <c r="N893" s="2239">
        <f t="shared" si="190"/>
        <v>0</v>
      </c>
      <c r="O893" s="2498">
        <f>H893-L893</f>
        <v>0</v>
      </c>
      <c r="P893" s="2295">
        <f>O893/H893</f>
        <v>0</v>
      </c>
    </row>
    <row r="894" spans="1:17">
      <c r="A894" s="2342" t="s">
        <v>13545</v>
      </c>
      <c r="B894" s="2223"/>
      <c r="C894" s="2223"/>
      <c r="D894" s="2376" t="s">
        <v>16251</v>
      </c>
      <c r="E894" s="2224"/>
      <c r="F894" s="2240"/>
      <c r="G894" s="2226"/>
      <c r="H894" s="2301">
        <f>SUBTOTAL(9,H895:H897)</f>
        <v>17014.349999999999</v>
      </c>
      <c r="I894" s="2284"/>
      <c r="J894" s="2227"/>
      <c r="K894" s="2496"/>
      <c r="L894" s="2534">
        <f>SUBTOTAL(9,L895:L897)</f>
        <v>16529.79</v>
      </c>
      <c r="M894" s="2301">
        <f>SUBTOTAL(9,M895:M897)</f>
        <v>16529.79</v>
      </c>
      <c r="N894" s="2301">
        <f>SUBTOTAL(9,N895:N897)</f>
        <v>0</v>
      </c>
      <c r="O894" s="2301">
        <f>SUBTOTAL(9,O895:O897)</f>
        <v>484.55999999999995</v>
      </c>
      <c r="P894" s="2293"/>
      <c r="Q894" s="2568"/>
    </row>
    <row r="895" spans="1:17" ht="45">
      <c r="A895" s="2269" t="s">
        <v>13546</v>
      </c>
      <c r="B895" s="2234">
        <f>VLOOKUP($A895,'13 - QT_QUI'!$A:$F,2,0)</f>
        <v>87879</v>
      </c>
      <c r="C895" s="2234" t="str">
        <f>VLOOKUP($A895,'13 - QT_QUI'!$A:$F,3,0)</f>
        <v>SINAPI</v>
      </c>
      <c r="D895" s="2375" t="s">
        <v>11265</v>
      </c>
      <c r="E895" s="2242" t="str">
        <f>IFERROR(VLOOKUP($B895,'24.08_ND'!$1:$1048529,3,0),IFERROR(VLOOKUP($B895,'03-CP'!$C$1:$H$6260,3,0),""))</f>
        <v>M2</v>
      </c>
      <c r="F895" s="2230">
        <v>196.6</v>
      </c>
      <c r="G895" s="2238">
        <v>4.93</v>
      </c>
      <c r="H895" s="2302">
        <f>TRUNC((G895*F895),2)</f>
        <v>969.23</v>
      </c>
      <c r="I895" s="2328">
        <f>J895+K895</f>
        <v>1</v>
      </c>
      <c r="J895" s="2314">
        <v>1</v>
      </c>
      <c r="K895" s="2411"/>
      <c r="L895" s="2533">
        <f t="shared" si="189"/>
        <v>969.23</v>
      </c>
      <c r="M895" s="2238">
        <v>969.23</v>
      </c>
      <c r="N895" s="2239">
        <f>TRUNC(H895*K895,2)</f>
        <v>0</v>
      </c>
      <c r="O895" s="2498">
        <f>H895-L895</f>
        <v>0</v>
      </c>
      <c r="P895" s="2295">
        <f>O895/H895</f>
        <v>0</v>
      </c>
    </row>
    <row r="896" spans="1:17" ht="45">
      <c r="A896" s="2269" t="s">
        <v>13547</v>
      </c>
      <c r="B896" s="2234">
        <f>VLOOKUP($A896,'13 - QT_QUI'!$A:$F,2,0)</f>
        <v>87775</v>
      </c>
      <c r="C896" s="2234" t="str">
        <f>VLOOKUP($A896,'13 - QT_QUI'!$A:$F,3,0)</f>
        <v>SINAPI</v>
      </c>
      <c r="D896" s="2375" t="s">
        <v>11326</v>
      </c>
      <c r="E896" s="2242" t="str">
        <f>IFERROR(VLOOKUP($B896,'24.08_ND'!$1:$1048529,3,0),IFERROR(VLOOKUP($B896,'03-CP'!$C$1:$H$6260,3,0),""))</f>
        <v>M2</v>
      </c>
      <c r="F896" s="2230">
        <v>237.69</v>
      </c>
      <c r="G896" s="2238">
        <v>59.35</v>
      </c>
      <c r="H896" s="2302">
        <f>TRUNC((G896*F896),2)</f>
        <v>14106.9</v>
      </c>
      <c r="I896" s="2328">
        <f>J896+K896</f>
        <v>1</v>
      </c>
      <c r="J896" s="2314">
        <v>1</v>
      </c>
      <c r="K896" s="2411"/>
      <c r="L896" s="2533">
        <f t="shared" si="189"/>
        <v>14106.9</v>
      </c>
      <c r="M896" s="2238">
        <v>14106.9</v>
      </c>
      <c r="N896" s="2239">
        <f>TRUNC(H896*K896,2)</f>
        <v>0</v>
      </c>
      <c r="O896" s="2498">
        <f>H896-L896</f>
        <v>0</v>
      </c>
      <c r="P896" s="2295">
        <f>O896/H896</f>
        <v>0</v>
      </c>
    </row>
    <row r="897" spans="1:18" ht="30">
      <c r="A897" s="2269" t="s">
        <v>13548</v>
      </c>
      <c r="B897" s="2234">
        <f>VLOOKUP($A897,'13 - QT_QUI'!$A:$F,2,0)</f>
        <v>98555</v>
      </c>
      <c r="C897" s="2234" t="str">
        <f>VLOOKUP($A897,'13 - QT_QUI'!$A:$F,3,0)</f>
        <v>SINAPI</v>
      </c>
      <c r="D897" s="2375" t="s">
        <v>7733</v>
      </c>
      <c r="E897" s="2242" t="str">
        <f>IFERROR(VLOOKUP($B897,'24.08_ND'!$1:$1048529,3,0),IFERROR(VLOOKUP($B897,'03-CP'!$C$1:$H$6260,3,0),""))</f>
        <v>M2</v>
      </c>
      <c r="F897" s="2230">
        <v>58.17</v>
      </c>
      <c r="G897" s="2238">
        <v>33.32</v>
      </c>
      <c r="H897" s="2302">
        <f>TRUNC((G897*F897),2)</f>
        <v>1938.22</v>
      </c>
      <c r="I897" s="2328">
        <f t="shared" si="186"/>
        <v>0.75</v>
      </c>
      <c r="J897" s="2314">
        <v>0.75</v>
      </c>
      <c r="K897" s="2411"/>
      <c r="L897" s="2533">
        <f t="shared" si="189"/>
        <v>1453.66</v>
      </c>
      <c r="M897" s="2238">
        <v>1453.66</v>
      </c>
      <c r="N897" s="2239">
        <f t="shared" si="190"/>
        <v>0</v>
      </c>
      <c r="O897" s="2498">
        <f>H897-L897</f>
        <v>484.55999999999995</v>
      </c>
      <c r="P897" s="2295">
        <f>O897/H897</f>
        <v>0.25000257968651646</v>
      </c>
    </row>
    <row r="898" spans="1:18">
      <c r="A898" s="2342" t="s">
        <v>13549</v>
      </c>
      <c r="B898" s="2223"/>
      <c r="C898" s="2223"/>
      <c r="D898" s="2376" t="s">
        <v>16256</v>
      </c>
      <c r="E898" s="2224"/>
      <c r="F898" s="2240"/>
      <c r="G898" s="2226"/>
      <c r="H898" s="2301">
        <f>SUBTOTAL(9,H899:H901)</f>
        <v>10277.18</v>
      </c>
      <c r="I898" s="2284"/>
      <c r="J898" s="2227"/>
      <c r="K898" s="2496"/>
      <c r="L898" s="2534">
        <f>SUBTOTAL(9,L899:L901)</f>
        <v>5823.9900000000007</v>
      </c>
      <c r="M898" s="2301">
        <f>SUBTOTAL(9,M899:M901)</f>
        <v>0</v>
      </c>
      <c r="N898" s="2301">
        <f>SUBTOTAL(9,N899:N901)</f>
        <v>5823.9900000000007</v>
      </c>
      <c r="O898" s="2301">
        <f>SUBTOTAL(9,O899:O901)</f>
        <v>4453.1899999999996</v>
      </c>
      <c r="P898" s="2293"/>
      <c r="R898" s="1790"/>
    </row>
    <row r="899" spans="1:18" ht="45">
      <c r="A899" s="2269" t="s">
        <v>13550</v>
      </c>
      <c r="B899" s="2228" t="str">
        <f>VLOOKUP($A899,'13 - QT_QUI'!$A:$F,2,0)</f>
        <v>PS-CP-78</v>
      </c>
      <c r="C899" s="2228" t="str">
        <f>VLOOKUP($A899,'13 - QT_QUI'!$A:$F,3,0)</f>
        <v>PRÓPRIA</v>
      </c>
      <c r="D899" s="2375" t="s">
        <v>14931</v>
      </c>
      <c r="E899" s="2243" t="str">
        <f>IFERROR(VLOOKUP($B899,'24.08_ND'!$1:$1048529,3,0),IFERROR(VLOOKUP($B899,'03-CP'!$C$1:$H$6260,3,0),""))</f>
        <v>M2</v>
      </c>
      <c r="F899" s="2230">
        <v>50.749999999999993</v>
      </c>
      <c r="G899" s="2232">
        <v>183</v>
      </c>
      <c r="H899" s="2302">
        <f>TRUNC((G899*F899),2)</f>
        <v>9287.25</v>
      </c>
      <c r="I899" s="2328">
        <f t="shared" si="186"/>
        <v>0.59</v>
      </c>
      <c r="J899" s="2231"/>
      <c r="K899" s="2412">
        <v>0.59</v>
      </c>
      <c r="L899" s="2533">
        <f t="shared" si="189"/>
        <v>5479.47</v>
      </c>
      <c r="M899" s="2232">
        <v>0</v>
      </c>
      <c r="N899" s="2239">
        <f t="shared" si="190"/>
        <v>5479.47</v>
      </c>
      <c r="O899" s="2498">
        <f>H899-L899</f>
        <v>3807.7799999999997</v>
      </c>
      <c r="P899" s="2295">
        <f>O899/H899</f>
        <v>0.41000080755874985</v>
      </c>
      <c r="Q899" s="1790"/>
      <c r="R899" s="1789"/>
    </row>
    <row r="900" spans="1:18" ht="30">
      <c r="A900" s="2269" t="s">
        <v>13551</v>
      </c>
      <c r="B900" s="2228" t="str">
        <f>VLOOKUP($A900,'13 - QT_QUI'!$A:$F,2,0)</f>
        <v>PS-CP-79</v>
      </c>
      <c r="C900" s="2228" t="str">
        <f>VLOOKUP($A900,'13 - QT_QUI'!$A:$F,3,0)</f>
        <v>PRÓPRIA</v>
      </c>
      <c r="D900" s="2375" t="s">
        <v>17015</v>
      </c>
      <c r="E900" s="2243" t="str">
        <f>IFERROR(VLOOKUP($B900,'24.08_ND'!$1:$1048529,3,0),IFERROR(VLOOKUP($B900,'03-CP'!$C$1:$H$6260,3,0),""))</f>
        <v>M2</v>
      </c>
      <c r="F900" s="2230">
        <v>3</v>
      </c>
      <c r="G900" s="2232">
        <v>166.95</v>
      </c>
      <c r="H900" s="2302">
        <f>TRUNC((G900*F900),2)</f>
        <v>500.85</v>
      </c>
      <c r="I900" s="2328">
        <f t="shared" si="186"/>
        <v>0.6</v>
      </c>
      <c r="J900" s="2231"/>
      <c r="K900" s="2412">
        <v>0.6</v>
      </c>
      <c r="L900" s="2533">
        <f>M900+N900</f>
        <v>300.51</v>
      </c>
      <c r="M900" s="2232">
        <v>0</v>
      </c>
      <c r="N900" s="2239">
        <f>TRUNC(H900*K900,2)</f>
        <v>300.51</v>
      </c>
      <c r="O900" s="2498">
        <f>H900-L900</f>
        <v>200.34000000000003</v>
      </c>
      <c r="P900" s="2295">
        <f>O900/H900</f>
        <v>0.4</v>
      </c>
      <c r="Q900" s="1790"/>
      <c r="R900" s="1789"/>
    </row>
    <row r="901" spans="1:18" ht="30">
      <c r="A901" s="2269" t="s">
        <v>13552</v>
      </c>
      <c r="B901" s="2228" t="str">
        <f>VLOOKUP($A901,'13 - QT_QUI'!$A:$F,2,0)</f>
        <v>PS-CP-80</v>
      </c>
      <c r="C901" s="2228" t="str">
        <f>VLOOKUP($A901,'13 - QT_QUI'!$A:$F,3,0)</f>
        <v>PRÓPRIA</v>
      </c>
      <c r="D901" s="2375" t="s">
        <v>14935</v>
      </c>
      <c r="E901" s="2243" t="str">
        <f>IFERROR(VLOOKUP($B901,'24.08_ND'!$1:$1048529,3,0),IFERROR(VLOOKUP($B901,'03-CP'!$C$1:$H$6260,3,0),""))</f>
        <v>M</v>
      </c>
      <c r="F901" s="2230">
        <v>4.7</v>
      </c>
      <c r="G901" s="2232">
        <v>104.06</v>
      </c>
      <c r="H901" s="2302">
        <f>TRUNC((G901*F901),2)</f>
        <v>489.08</v>
      </c>
      <c r="I901" s="2328">
        <f t="shared" si="186"/>
        <v>0.09</v>
      </c>
      <c r="J901" s="2231"/>
      <c r="K901" s="2412">
        <v>0.09</v>
      </c>
      <c r="L901" s="2533">
        <f>M901+N901</f>
        <v>44.01</v>
      </c>
      <c r="M901" s="2232">
        <v>0</v>
      </c>
      <c r="N901" s="2239">
        <f>TRUNC(H901*K901,2)</f>
        <v>44.01</v>
      </c>
      <c r="O901" s="2498">
        <f>H901-L901</f>
        <v>445.07</v>
      </c>
      <c r="P901" s="2295">
        <f>O901/H901</f>
        <v>0.91001472151795204</v>
      </c>
      <c r="Q901" s="1790"/>
      <c r="R901" s="1789"/>
    </row>
    <row r="902" spans="1:18">
      <c r="A902" s="2342" t="s">
        <v>13553</v>
      </c>
      <c r="B902" s="2223"/>
      <c r="C902" s="2223"/>
      <c r="D902" s="2376" t="s">
        <v>16267</v>
      </c>
      <c r="E902" s="2224"/>
      <c r="F902" s="2240"/>
      <c r="G902" s="2226"/>
      <c r="H902" s="2301">
        <f>SUBTOTAL(9,H903:H909)</f>
        <v>11790.25</v>
      </c>
      <c r="I902" s="2284"/>
      <c r="J902" s="2227"/>
      <c r="K902" s="2496"/>
      <c r="L902" s="2534">
        <f>SUBTOTAL(9,L903:L909)</f>
        <v>2365.5499999999997</v>
      </c>
      <c r="M902" s="2301">
        <f>SUBTOTAL(9,M903:M909)</f>
        <v>374.8</v>
      </c>
      <c r="N902" s="2301">
        <f>SUBTOTAL(9,N903:N909)</f>
        <v>1990.75</v>
      </c>
      <c r="O902" s="2301">
        <f>SUBTOTAL(9,O903:O909)</f>
        <v>9424.7000000000007</v>
      </c>
      <c r="P902" s="2293"/>
      <c r="Q902" s="1789"/>
    </row>
    <row r="903" spans="1:18" ht="30">
      <c r="A903" s="2272" t="s">
        <v>13554</v>
      </c>
      <c r="B903" s="2234">
        <f>VLOOKUP($A903,'13 - QT_QUI'!$A:$F,2,0)</f>
        <v>88485</v>
      </c>
      <c r="C903" s="2234" t="str">
        <f>VLOOKUP($A903,'13 - QT_QUI'!$A:$F,3,0)</f>
        <v>SINAPI</v>
      </c>
      <c r="D903" s="2375" t="s">
        <v>11005</v>
      </c>
      <c r="E903" s="2242" t="str">
        <f>IFERROR(VLOOKUP($B903,'24.08_ND'!$1:$1048529,3,0),IFERROR(VLOOKUP($B903,'03-CP'!$C$1:$H$6260,3,0),""))</f>
        <v>M2</v>
      </c>
      <c r="F903" s="2230">
        <v>136.16999999999999</v>
      </c>
      <c r="G903" s="2238">
        <v>3.67</v>
      </c>
      <c r="H903" s="2302">
        <f t="shared" ref="H903:H909" si="191">TRUNC((G903*F903),2)</f>
        <v>499.74</v>
      </c>
      <c r="I903" s="2328">
        <f t="shared" si="186"/>
        <v>0.87</v>
      </c>
      <c r="J903" s="2237">
        <v>0.75</v>
      </c>
      <c r="K903" s="2411">
        <v>0.12</v>
      </c>
      <c r="L903" s="2533">
        <f t="shared" ref="L903:L909" si="192">M903+N903</f>
        <v>434.76</v>
      </c>
      <c r="M903" s="2238">
        <v>374.8</v>
      </c>
      <c r="N903" s="2239">
        <f t="shared" ref="N903:N909" si="193">TRUNC(H903*K903,2)</f>
        <v>59.96</v>
      </c>
      <c r="O903" s="2498">
        <f t="shared" ref="O903:O909" si="194">H903-L903</f>
        <v>64.980000000000018</v>
      </c>
      <c r="P903" s="2295">
        <f t="shared" ref="P903:P947" si="195">O903/H903</f>
        <v>0.13002761435946697</v>
      </c>
      <c r="Q903" s="1793"/>
      <c r="R903" s="1789"/>
    </row>
    <row r="904" spans="1:18" ht="30">
      <c r="A904" s="2271" t="s">
        <v>13555</v>
      </c>
      <c r="B904" s="2234">
        <f>VLOOKUP($A904,'13 - QT_QUI'!$A:$F,2,0)</f>
        <v>96135</v>
      </c>
      <c r="C904" s="2234" t="str">
        <f>VLOOKUP($A904,'13 - QT_QUI'!$A:$F,3,0)</f>
        <v>SINAPI</v>
      </c>
      <c r="D904" s="2375" t="s">
        <v>11028</v>
      </c>
      <c r="E904" s="2242" t="str">
        <f>IFERROR(VLOOKUP($B904,'24.08_ND'!$1:$1048529,3,0),IFERROR(VLOOKUP($B904,'03-CP'!$C$1:$H$6260,3,0),""))</f>
        <v>M2</v>
      </c>
      <c r="F904" s="2230">
        <v>136.16999999999999</v>
      </c>
      <c r="G904" s="2238">
        <v>31.8</v>
      </c>
      <c r="H904" s="2302">
        <f t="shared" si="191"/>
        <v>4330.2</v>
      </c>
      <c r="I904" s="2328">
        <f t="shared" si="186"/>
        <v>0.39</v>
      </c>
      <c r="J904" s="2237"/>
      <c r="K904" s="2411">
        <v>0.39</v>
      </c>
      <c r="L904" s="2533">
        <f t="shared" si="192"/>
        <v>1688.77</v>
      </c>
      <c r="M904" s="2238">
        <v>0</v>
      </c>
      <c r="N904" s="2239">
        <f t="shared" si="193"/>
        <v>1688.77</v>
      </c>
      <c r="O904" s="2498">
        <f t="shared" si="194"/>
        <v>2641.43</v>
      </c>
      <c r="P904" s="2295">
        <f t="shared" si="195"/>
        <v>0.6100018474897233</v>
      </c>
      <c r="Q904" s="1793"/>
      <c r="R904" s="1789"/>
    </row>
    <row r="905" spans="1:18">
      <c r="A905" s="2344" t="s">
        <v>13556</v>
      </c>
      <c r="B905" s="2228" t="str">
        <f>VLOOKUP($A905,'13 - QT_QUI'!$A:$F,2,0)</f>
        <v>PS-CP-16</v>
      </c>
      <c r="C905" s="2228" t="str">
        <f>VLOOKUP($A905,'13 - QT_QUI'!$A:$F,3,0)</f>
        <v>PRÓPRIA</v>
      </c>
      <c r="D905" s="2375" t="s">
        <v>14766</v>
      </c>
      <c r="E905" s="2243" t="str">
        <f>IFERROR(VLOOKUP($B905,'24.08_ND'!$1:$1048529,3,0),IFERROR(VLOOKUP($B905,'03-CP'!$C$1:$H$6260,3,0),""))</f>
        <v>M2</v>
      </c>
      <c r="F905" s="2230">
        <v>139.72</v>
      </c>
      <c r="G905" s="2232">
        <v>28.87</v>
      </c>
      <c r="H905" s="2302">
        <f t="shared" si="191"/>
        <v>4033.71</v>
      </c>
      <c r="I905" s="2328">
        <f t="shared" si="186"/>
        <v>0.06</v>
      </c>
      <c r="J905" s="2231"/>
      <c r="K905" s="2412">
        <v>0.06</v>
      </c>
      <c r="L905" s="2533">
        <f t="shared" si="192"/>
        <v>242.02</v>
      </c>
      <c r="M905" s="2238">
        <v>0</v>
      </c>
      <c r="N905" s="2239">
        <f t="shared" si="193"/>
        <v>242.02</v>
      </c>
      <c r="O905" s="2498">
        <f t="shared" si="194"/>
        <v>3791.69</v>
      </c>
      <c r="P905" s="2295">
        <f t="shared" si="195"/>
        <v>0.940000644567904</v>
      </c>
      <c r="Q905" s="1790"/>
      <c r="R905" s="1789"/>
    </row>
    <row r="906" spans="1:18" ht="30">
      <c r="A906" s="2344" t="s">
        <v>13557</v>
      </c>
      <c r="B906" s="2234">
        <f>VLOOKUP($A906,'13 - QT_QUI'!$A:$F,2,0)</f>
        <v>88484</v>
      </c>
      <c r="C906" s="2234" t="str">
        <f>VLOOKUP($A906,'13 - QT_QUI'!$A:$F,3,0)</f>
        <v>SINAPI</v>
      </c>
      <c r="D906" s="2375" t="s">
        <v>11004</v>
      </c>
      <c r="E906" s="2242" t="str">
        <f>IFERROR(VLOOKUP($B906,'24.08_ND'!$1:$1048529,3,0),IFERROR(VLOOKUP($B906,'03-CP'!$C$1:$H$6260,3,0),""))</f>
        <v>M2</v>
      </c>
      <c r="F906" s="2230">
        <v>20.46</v>
      </c>
      <c r="G906" s="2238">
        <v>4.67</v>
      </c>
      <c r="H906" s="2302">
        <f t="shared" si="191"/>
        <v>95.54</v>
      </c>
      <c r="I906" s="2328">
        <f t="shared" si="186"/>
        <v>0</v>
      </c>
      <c r="J906" s="2237"/>
      <c r="K906" s="2411"/>
      <c r="L906" s="2533">
        <f t="shared" si="192"/>
        <v>0</v>
      </c>
      <c r="M906" s="2238">
        <v>0</v>
      </c>
      <c r="N906" s="2239">
        <f t="shared" si="193"/>
        <v>0</v>
      </c>
      <c r="O906" s="2498">
        <f t="shared" si="194"/>
        <v>95.54</v>
      </c>
      <c r="P906" s="2295">
        <f t="shared" si="195"/>
        <v>1</v>
      </c>
    </row>
    <row r="907" spans="1:18" ht="30">
      <c r="A907" s="2344" t="s">
        <v>13558</v>
      </c>
      <c r="B907" s="2228" t="str">
        <f>VLOOKUP($A907,'13 - QT_QUI'!$A:$F,2,0)</f>
        <v>PS-CP-82</v>
      </c>
      <c r="C907" s="2228" t="str">
        <f>VLOOKUP($A907,'13 - QT_QUI'!$A:$F,3,0)</f>
        <v>PRÓPRIA</v>
      </c>
      <c r="D907" s="2375" t="s">
        <v>14939</v>
      </c>
      <c r="E907" s="2243" t="str">
        <f>IFERROR(VLOOKUP($B907,'24.08_ND'!$1:$1048529,3,0),IFERROR(VLOOKUP($B907,'03-CP'!$C$1:$H$6260,3,0),""))</f>
        <v>M2</v>
      </c>
      <c r="F907" s="2230">
        <v>20.46</v>
      </c>
      <c r="G907" s="2232">
        <v>36.729999999999997</v>
      </c>
      <c r="H907" s="2302">
        <f t="shared" si="191"/>
        <v>751.49</v>
      </c>
      <c r="I907" s="2328">
        <f t="shared" si="186"/>
        <v>0</v>
      </c>
      <c r="J907" s="2231"/>
      <c r="K907" s="2412"/>
      <c r="L907" s="2533">
        <f t="shared" si="192"/>
        <v>0</v>
      </c>
      <c r="M907" s="2238">
        <v>0</v>
      </c>
      <c r="N907" s="2239">
        <f t="shared" si="193"/>
        <v>0</v>
      </c>
      <c r="O907" s="2498">
        <f t="shared" si="194"/>
        <v>751.49</v>
      </c>
      <c r="P907" s="2295">
        <f t="shared" si="195"/>
        <v>1</v>
      </c>
    </row>
    <row r="908" spans="1:18">
      <c r="A908" s="2344" t="s">
        <v>13559</v>
      </c>
      <c r="B908" s="2228" t="str">
        <f>VLOOKUP($A908,'13 - QT_QUI'!$A:$F,2,0)</f>
        <v>PS-CP-81</v>
      </c>
      <c r="C908" s="2228" t="str">
        <f>VLOOKUP($A908,'13 - QT_QUI'!$A:$F,3,0)</f>
        <v>PRÓPRIA</v>
      </c>
      <c r="D908" s="2375" t="s">
        <v>14937</v>
      </c>
      <c r="E908" s="2243" t="str">
        <f>IFERROR(VLOOKUP($B908,'24.08_ND'!$1:$1048529,3,0),IFERROR(VLOOKUP($B908,'03-CP'!$C$1:$H$6260,3,0),""))</f>
        <v>M2</v>
      </c>
      <c r="F908" s="2230">
        <v>20.46</v>
      </c>
      <c r="G908" s="2232">
        <v>18.12</v>
      </c>
      <c r="H908" s="2302">
        <f t="shared" si="191"/>
        <v>370.73</v>
      </c>
      <c r="I908" s="2328">
        <f t="shared" si="186"/>
        <v>0</v>
      </c>
      <c r="J908" s="2231"/>
      <c r="K908" s="2412"/>
      <c r="L908" s="2533">
        <f t="shared" si="192"/>
        <v>0</v>
      </c>
      <c r="M908" s="2238">
        <v>0</v>
      </c>
      <c r="N908" s="2239">
        <f t="shared" si="193"/>
        <v>0</v>
      </c>
      <c r="O908" s="2498">
        <f t="shared" si="194"/>
        <v>370.73</v>
      </c>
      <c r="P908" s="2295">
        <f t="shared" si="195"/>
        <v>1</v>
      </c>
    </row>
    <row r="909" spans="1:18" ht="45">
      <c r="A909" s="2344" t="s">
        <v>13560</v>
      </c>
      <c r="B909" s="2228" t="str">
        <f>VLOOKUP($A909,'13 - QT_QUI'!$A:$F,2,0)</f>
        <v>PS-CP-83</v>
      </c>
      <c r="C909" s="2228" t="str">
        <f>VLOOKUP($A909,'13 - QT_QUI'!$A:$F,3,0)</f>
        <v>PRÓPRIA</v>
      </c>
      <c r="D909" s="2375" t="s">
        <v>14942</v>
      </c>
      <c r="E909" s="2243" t="str">
        <f>IFERROR(VLOOKUP($B909,'24.08_ND'!$1:$1048529,3,0),IFERROR(VLOOKUP($B909,'03-CP'!$C$1:$H$6260,3,0),""))</f>
        <v>M2</v>
      </c>
      <c r="F909" s="2230">
        <v>10.28</v>
      </c>
      <c r="G909" s="2232">
        <v>166.23</v>
      </c>
      <c r="H909" s="2302">
        <f t="shared" si="191"/>
        <v>1708.84</v>
      </c>
      <c r="I909" s="2328">
        <f t="shared" si="186"/>
        <v>0</v>
      </c>
      <c r="J909" s="2231"/>
      <c r="K909" s="2412"/>
      <c r="L909" s="2533">
        <f t="shared" si="192"/>
        <v>0</v>
      </c>
      <c r="M909" s="2238">
        <v>0</v>
      </c>
      <c r="N909" s="2239">
        <f t="shared" si="193"/>
        <v>0</v>
      </c>
      <c r="O909" s="2498">
        <f t="shared" si="194"/>
        <v>1708.84</v>
      </c>
      <c r="P909" s="2295">
        <f t="shared" si="195"/>
        <v>1</v>
      </c>
    </row>
    <row r="910" spans="1:18">
      <c r="A910" s="2342" t="s">
        <v>13561</v>
      </c>
      <c r="B910" s="2223"/>
      <c r="C910" s="2223"/>
      <c r="D910" s="2376" t="s">
        <v>16279</v>
      </c>
      <c r="E910" s="2224"/>
      <c r="F910" s="2240"/>
      <c r="G910" s="2226"/>
      <c r="H910" s="2301">
        <f>SUBTOTAL(9,H911:H914)</f>
        <v>17397.080000000002</v>
      </c>
      <c r="I910" s="2284"/>
      <c r="J910" s="2227"/>
      <c r="K910" s="2496"/>
      <c r="L910" s="2534">
        <f>SUBTOTAL(9,L911:L914)</f>
        <v>4355.6000000000004</v>
      </c>
      <c r="M910" s="2301">
        <f>SUBTOTAL(9,M911:M914)</f>
        <v>0</v>
      </c>
      <c r="N910" s="2301">
        <f>SUBTOTAL(9,N911:N914)</f>
        <v>4355.6000000000004</v>
      </c>
      <c r="O910" s="2301">
        <f>SUBTOTAL(9,O911:O914)</f>
        <v>13041.480000000001</v>
      </c>
      <c r="P910" s="2293"/>
    </row>
    <row r="911" spans="1:18" ht="30">
      <c r="A911" s="2272" t="s">
        <v>13562</v>
      </c>
      <c r="B911" s="2228" t="str">
        <f>VLOOKUP($A911,'13 - QT_QUI'!$A:$F,2,0)</f>
        <v>AS-CP-ARQ-19</v>
      </c>
      <c r="C911" s="2228" t="str">
        <f>VLOOKUP($A911,'13 - QT_QUI'!$A:$F,3,0)</f>
        <v>PRÓPRIA</v>
      </c>
      <c r="D911" s="2375" t="s">
        <v>15018</v>
      </c>
      <c r="E911" s="2243" t="str">
        <f>IFERROR(VLOOKUP($B911,'24.08_ND'!$1:$1048529,3,0),IFERROR(VLOOKUP($B911,'03-CP'!$C$1:$H$6260,3,0),""))</f>
        <v>M2</v>
      </c>
      <c r="F911" s="2230">
        <v>10.8</v>
      </c>
      <c r="G911" s="2232">
        <v>729.4</v>
      </c>
      <c r="H911" s="2302">
        <f>TRUNC((G911*F911),2)</f>
        <v>7877.52</v>
      </c>
      <c r="I911" s="2328">
        <f t="shared" si="186"/>
        <v>0</v>
      </c>
      <c r="J911" s="2231"/>
      <c r="K911" s="2412"/>
      <c r="L911" s="2533">
        <f>M911+N911</f>
        <v>0</v>
      </c>
      <c r="M911" s="2238">
        <v>0</v>
      </c>
      <c r="N911" s="2239">
        <f>TRUNC(H911*K911,2)</f>
        <v>0</v>
      </c>
      <c r="O911" s="2498">
        <f>H911-L911</f>
        <v>7877.52</v>
      </c>
      <c r="P911" s="2295">
        <f t="shared" si="195"/>
        <v>1</v>
      </c>
    </row>
    <row r="912" spans="1:18" ht="30">
      <c r="A912" s="2272" t="s">
        <v>13563</v>
      </c>
      <c r="B912" s="2228" t="str">
        <f>VLOOKUP($A912,'13 - QT_QUI'!$A:$F,2,0)</f>
        <v>AS-CP-ARQ-16</v>
      </c>
      <c r="C912" s="2228" t="str">
        <f>VLOOKUP($A912,'13 - QT_QUI'!$A:$F,3,0)</f>
        <v>PRÓPRIA</v>
      </c>
      <c r="D912" s="2375" t="s">
        <v>15010</v>
      </c>
      <c r="E912" s="2243" t="str">
        <f>IFERROR(VLOOKUP($B912,'24.08_ND'!$1:$1048529,3,0),IFERROR(VLOOKUP($B912,'03-CP'!$C$1:$H$6260,3,0),""))</f>
        <v>M2</v>
      </c>
      <c r="F912" s="2230">
        <v>4.62</v>
      </c>
      <c r="G912" s="2232">
        <v>1180.1500000000001</v>
      </c>
      <c r="H912" s="2302">
        <f>TRUNC((G912*F912),2)</f>
        <v>5452.29</v>
      </c>
      <c r="I912" s="2328">
        <f t="shared" si="186"/>
        <v>0.71</v>
      </c>
      <c r="J912" s="2231"/>
      <c r="K912" s="2412">
        <v>0.71</v>
      </c>
      <c r="L912" s="2533">
        <f>M912+N912</f>
        <v>3871.12</v>
      </c>
      <c r="M912" s="2238">
        <v>0</v>
      </c>
      <c r="N912" s="2239">
        <f>TRUNC(H912*K912,2)</f>
        <v>3871.12</v>
      </c>
      <c r="O912" s="2498">
        <f>H912-L912</f>
        <v>1581.17</v>
      </c>
      <c r="P912" s="2295">
        <f t="shared" si="195"/>
        <v>0.29000108211412085</v>
      </c>
      <c r="Q912" s="1790"/>
      <c r="R912" s="1789"/>
    </row>
    <row r="913" spans="1:18" ht="30">
      <c r="A913" s="2272" t="s">
        <v>13564</v>
      </c>
      <c r="B913" s="2228" t="str">
        <f>VLOOKUP($A913,'13 - QT_QUI'!$A:$F,2,0)</f>
        <v>AS-CP-ARQ-17</v>
      </c>
      <c r="C913" s="2228" t="str">
        <f>VLOOKUP($A913,'13 - QT_QUI'!$A:$F,3,0)</f>
        <v>PRÓPRIA</v>
      </c>
      <c r="D913" s="2375" t="s">
        <v>15013</v>
      </c>
      <c r="E913" s="2243" t="str">
        <f>IFERROR(VLOOKUP($B913,'24.08_ND'!$1:$1048529,3,0),IFERROR(VLOOKUP($B913,'03-CP'!$C$1:$H$6260,3,0),""))</f>
        <v>M2</v>
      </c>
      <c r="F913" s="2230">
        <v>4.9600000000000009</v>
      </c>
      <c r="G913" s="2232">
        <v>648.65</v>
      </c>
      <c r="H913" s="2302">
        <f>TRUNC((G913*F913),2)</f>
        <v>3217.3</v>
      </c>
      <c r="I913" s="2328">
        <f t="shared" si="186"/>
        <v>0</v>
      </c>
      <c r="J913" s="2231"/>
      <c r="K913" s="2412"/>
      <c r="L913" s="2533">
        <f>M913+N913</f>
        <v>0</v>
      </c>
      <c r="M913" s="2238">
        <v>0</v>
      </c>
      <c r="N913" s="2239">
        <f>TRUNC(H913*K913,2)</f>
        <v>0</v>
      </c>
      <c r="O913" s="2498">
        <f>H913-L913</f>
        <v>3217.3</v>
      </c>
      <c r="P913" s="2295">
        <f t="shared" si="195"/>
        <v>1</v>
      </c>
    </row>
    <row r="914" spans="1:18" ht="30">
      <c r="A914" s="2272" t="s">
        <v>13565</v>
      </c>
      <c r="B914" s="2228" t="str">
        <f>VLOOKUP($A914,'13 - QT_QUI'!$A:$F,2,0)</f>
        <v>AS-CP-ARQ-18</v>
      </c>
      <c r="C914" s="2228" t="str">
        <f>VLOOKUP($A914,'13 - QT_QUI'!$A:$F,3,0)</f>
        <v>PRÓPRIA</v>
      </c>
      <c r="D914" s="2375" t="s">
        <v>15015</v>
      </c>
      <c r="E914" s="2243" t="str">
        <f>IFERROR(VLOOKUP($B914,'24.08_ND'!$1:$1048529,3,0),IFERROR(VLOOKUP($B914,'03-CP'!$C$1:$H$6260,3,0),""))</f>
        <v>M2</v>
      </c>
      <c r="F914" s="2230">
        <v>0.48</v>
      </c>
      <c r="G914" s="2232">
        <v>1770.78</v>
      </c>
      <c r="H914" s="2302">
        <f>TRUNC((G914*F914),2)</f>
        <v>849.97</v>
      </c>
      <c r="I914" s="2328">
        <f t="shared" si="186"/>
        <v>0.56999999999999995</v>
      </c>
      <c r="J914" s="2231"/>
      <c r="K914" s="2412">
        <v>0.56999999999999995</v>
      </c>
      <c r="L914" s="2533">
        <f>M914+N914</f>
        <v>484.48</v>
      </c>
      <c r="M914" s="2238">
        <v>0</v>
      </c>
      <c r="N914" s="2239">
        <f>TRUNC(H914*K914,2)</f>
        <v>484.48</v>
      </c>
      <c r="O914" s="2498">
        <f>H914-L914</f>
        <v>365.49</v>
      </c>
      <c r="P914" s="2295">
        <f t="shared" si="195"/>
        <v>0.43000341188512536</v>
      </c>
      <c r="Q914" s="1790"/>
      <c r="R914" s="1789"/>
    </row>
    <row r="915" spans="1:18">
      <c r="A915" s="2342" t="s">
        <v>13566</v>
      </c>
      <c r="B915" s="2223"/>
      <c r="C915" s="2223"/>
      <c r="D915" s="2376" t="s">
        <v>16284</v>
      </c>
      <c r="E915" s="2224"/>
      <c r="F915" s="2240"/>
      <c r="G915" s="2226"/>
      <c r="H915" s="2301">
        <f>SUBTOTAL(9,H916:H920)</f>
        <v>9043.99</v>
      </c>
      <c r="I915" s="2284"/>
      <c r="J915" s="2227"/>
      <c r="K915" s="2496"/>
      <c r="L915" s="2534">
        <f>SUBTOTAL(9,L916:L920)</f>
        <v>7683.77</v>
      </c>
      <c r="M915" s="2301">
        <f>SUBTOTAL(9,M916:M920)</f>
        <v>7683.77</v>
      </c>
      <c r="N915" s="2301">
        <f>SUBTOTAL(9,N916:N920)</f>
        <v>0</v>
      </c>
      <c r="O915" s="2301">
        <f>SUBTOTAL(9,O916:O920)</f>
        <v>1360.22</v>
      </c>
      <c r="P915" s="2293"/>
      <c r="Q915" s="2568"/>
    </row>
    <row r="916" spans="1:18">
      <c r="A916" s="2269" t="s">
        <v>13567</v>
      </c>
      <c r="B916" s="2234">
        <f>VLOOKUP($A916,'13 - QT_QUI'!$A:$F,2,0)</f>
        <v>96113</v>
      </c>
      <c r="C916" s="2234" t="str">
        <f>VLOOKUP($A916,'13 - QT_QUI'!$A:$F,3,0)</f>
        <v>SINAPI</v>
      </c>
      <c r="D916" s="2375" t="s">
        <v>11508</v>
      </c>
      <c r="E916" s="2242" t="str">
        <f>IFERROR(VLOOKUP($B916,'24.08_ND'!$1:$1048529,3,0),IFERROR(VLOOKUP($B916,'03-CP'!$C$1:$H$6260,3,0),""))</f>
        <v>M2</v>
      </c>
      <c r="F916" s="2230">
        <v>20.100000000000001</v>
      </c>
      <c r="G916" s="2238">
        <v>52.76</v>
      </c>
      <c r="H916" s="2302">
        <f>TRUNC((G916*F916),2)</f>
        <v>1060.47</v>
      </c>
      <c r="I916" s="2328">
        <f t="shared" si="186"/>
        <v>0</v>
      </c>
      <c r="J916" s="2237"/>
      <c r="K916" s="2411"/>
      <c r="L916" s="2533">
        <f>M916+N916</f>
        <v>0</v>
      </c>
      <c r="M916" s="2238">
        <v>0</v>
      </c>
      <c r="N916" s="2239">
        <f>TRUNC(H916*K916,2)</f>
        <v>0</v>
      </c>
      <c r="O916" s="2498">
        <f>H916-L916</f>
        <v>1060.47</v>
      </c>
      <c r="P916" s="2295">
        <f t="shared" si="195"/>
        <v>1</v>
      </c>
    </row>
    <row r="917" spans="1:18">
      <c r="A917" s="2269" t="s">
        <v>13568</v>
      </c>
      <c r="B917" s="2228" t="str">
        <f>VLOOKUP($A917,'13 - QT_QUI'!$A:$F,2,0)</f>
        <v>PS-CP-27</v>
      </c>
      <c r="C917" s="2228" t="str">
        <f>VLOOKUP($A917,'13 - QT_QUI'!$A:$F,3,0)</f>
        <v>PRÓPRIA</v>
      </c>
      <c r="D917" s="2375" t="s">
        <v>14793</v>
      </c>
      <c r="E917" s="2243" t="str">
        <f>IFERROR(VLOOKUP($B917,'24.08_ND'!$1:$1048529,3,0),IFERROR(VLOOKUP($B917,'03-CP'!$C$1:$H$6260,3,0),""))</f>
        <v>M</v>
      </c>
      <c r="F917" s="2230">
        <v>29.59</v>
      </c>
      <c r="G917" s="2232">
        <v>8.33</v>
      </c>
      <c r="H917" s="2302">
        <f>TRUNC((G917*F917),2)</f>
        <v>246.48</v>
      </c>
      <c r="I917" s="2328">
        <f t="shared" si="186"/>
        <v>0</v>
      </c>
      <c r="J917" s="2231"/>
      <c r="K917" s="2412"/>
      <c r="L917" s="2533">
        <f>M917+N917</f>
        <v>0</v>
      </c>
      <c r="M917" s="2238">
        <v>0</v>
      </c>
      <c r="N917" s="2239">
        <f>TRUNC(H917*K917,2)</f>
        <v>0</v>
      </c>
      <c r="O917" s="2498">
        <f>H917-L917</f>
        <v>246.48</v>
      </c>
      <c r="P917" s="2295">
        <f t="shared" si="195"/>
        <v>1</v>
      </c>
    </row>
    <row r="918" spans="1:18" ht="30">
      <c r="A918" s="2269" t="s">
        <v>13569</v>
      </c>
      <c r="B918" s="2228" t="str">
        <f>VLOOKUP($A918,'13 - QT_QUI'!$A:$F,2,0)</f>
        <v>PS-CP-84</v>
      </c>
      <c r="C918" s="2228" t="str">
        <f>VLOOKUP($A918,'13 - QT_QUI'!$A:$F,3,0)</f>
        <v>PRÓPRIA</v>
      </c>
      <c r="D918" s="2375" t="s">
        <v>14944</v>
      </c>
      <c r="E918" s="2243" t="str">
        <f>IFERROR(VLOOKUP($B918,'24.08_ND'!$1:$1048529,3,0),IFERROR(VLOOKUP($B918,'03-CP'!$C$1:$H$6260,3,0),""))</f>
        <v>UN</v>
      </c>
      <c r="F918" s="2230">
        <v>1</v>
      </c>
      <c r="G918" s="2232">
        <v>53.27</v>
      </c>
      <c r="H918" s="2302">
        <f>TRUNC((G918*F918),2)</f>
        <v>53.27</v>
      </c>
      <c r="I918" s="2328">
        <f t="shared" si="186"/>
        <v>0</v>
      </c>
      <c r="J918" s="2231"/>
      <c r="K918" s="2412"/>
      <c r="L918" s="2533">
        <f>M918+N918</f>
        <v>0</v>
      </c>
      <c r="M918" s="2238">
        <v>0</v>
      </c>
      <c r="N918" s="2239">
        <f>TRUNC(H918*K918,2)</f>
        <v>0</v>
      </c>
      <c r="O918" s="2498">
        <f>H918-L918</f>
        <v>53.27</v>
      </c>
      <c r="P918" s="2295">
        <f t="shared" si="195"/>
        <v>1</v>
      </c>
    </row>
    <row r="919" spans="1:18" ht="30">
      <c r="A919" s="2269" t="s">
        <v>13570</v>
      </c>
      <c r="B919" s="2228" t="str">
        <f>VLOOKUP($A919,'13 - QT_QUI'!$A:$F,2,0)</f>
        <v>PS-CP-59</v>
      </c>
      <c r="C919" s="2228" t="str">
        <f>VLOOKUP($A919,'13 - QT_QUI'!$A:$F,3,0)</f>
        <v>PRÓPRIA</v>
      </c>
      <c r="D919" s="2375" t="s">
        <v>14886</v>
      </c>
      <c r="E919" s="2243" t="str">
        <f>IFERROR(VLOOKUP($B919,'24.08_ND'!$1:$1048529,3,0),IFERROR(VLOOKUP($B919,'03-CP'!$C$1:$H$6260,3,0),""))</f>
        <v>M2</v>
      </c>
      <c r="F919" s="2230">
        <v>22.49</v>
      </c>
      <c r="G919" s="2232">
        <v>170.07</v>
      </c>
      <c r="H919" s="2302">
        <f>TRUNC((G919*F919),2)</f>
        <v>3824.87</v>
      </c>
      <c r="I919" s="2328">
        <f t="shared" si="186"/>
        <v>1</v>
      </c>
      <c r="J919" s="2231">
        <v>1</v>
      </c>
      <c r="K919" s="2412"/>
      <c r="L919" s="2533">
        <f>M919+N919</f>
        <v>3824.87</v>
      </c>
      <c r="M919" s="2238">
        <v>3824.87</v>
      </c>
      <c r="N919" s="2239">
        <f>TRUNC(H919*K919,2)</f>
        <v>0</v>
      </c>
      <c r="O919" s="2498">
        <f>H919-L919</f>
        <v>0</v>
      </c>
      <c r="P919" s="2295">
        <f t="shared" si="195"/>
        <v>0</v>
      </c>
    </row>
    <row r="920" spans="1:18" ht="30">
      <c r="A920" s="2269" t="s">
        <v>13571</v>
      </c>
      <c r="B920" s="2228" t="str">
        <f>VLOOKUP($A920,'13 - QT_QUI'!$A:$F,2,0)</f>
        <v>PS-CP-90</v>
      </c>
      <c r="C920" s="2228" t="str">
        <f>VLOOKUP($A920,'13 - QT_QUI'!$A:$F,3,0)</f>
        <v>PRÓPRIA</v>
      </c>
      <c r="D920" s="2375" t="s">
        <v>14957</v>
      </c>
      <c r="E920" s="2243" t="str">
        <f>IFERROR(VLOOKUP($B920,'24.08_ND'!$1:$1048529,3,0),IFERROR(VLOOKUP($B920,'03-CP'!$C$1:$H$6260,3,0),""))</f>
        <v>M2</v>
      </c>
      <c r="F920" s="2230">
        <v>17.888500000000001</v>
      </c>
      <c r="G920" s="2232">
        <v>215.72</v>
      </c>
      <c r="H920" s="2302">
        <f>TRUNC((G920*F920),2)</f>
        <v>3858.9</v>
      </c>
      <c r="I920" s="2328">
        <f t="shared" si="186"/>
        <v>1</v>
      </c>
      <c r="J920" s="2231">
        <v>1</v>
      </c>
      <c r="K920" s="2412"/>
      <c r="L920" s="2533">
        <f>M920+N920</f>
        <v>3858.9</v>
      </c>
      <c r="M920" s="2238">
        <v>3858.9</v>
      </c>
      <c r="N920" s="2239">
        <f>TRUNC(H920*K920,2)</f>
        <v>0</v>
      </c>
      <c r="O920" s="2498">
        <f>H920-L920</f>
        <v>0</v>
      </c>
      <c r="P920" s="2295">
        <f t="shared" si="195"/>
        <v>0</v>
      </c>
    </row>
    <row r="921" spans="1:18">
      <c r="A921" s="2342" t="s">
        <v>13572</v>
      </c>
      <c r="B921" s="2223"/>
      <c r="C921" s="2223"/>
      <c r="D921" s="2376" t="s">
        <v>16290</v>
      </c>
      <c r="E921" s="2224"/>
      <c r="F921" s="2240"/>
      <c r="G921" s="2226"/>
      <c r="H921" s="2301">
        <f>SUBTOTAL(9,H922:H926)</f>
        <v>35175.19</v>
      </c>
      <c r="I921" s="2284"/>
      <c r="J921" s="2227"/>
      <c r="K921" s="2496"/>
      <c r="L921" s="2534">
        <f>SUBTOTAL(9,L922:L926)</f>
        <v>0</v>
      </c>
      <c r="M921" s="2301">
        <f>SUBTOTAL(9,M922:M926)</f>
        <v>0</v>
      </c>
      <c r="N921" s="2301">
        <f>SUBTOTAL(9,N922:N926)</f>
        <v>0</v>
      </c>
      <c r="O921" s="2301">
        <f>SUBTOTAL(9,O922:O926)</f>
        <v>35175.19</v>
      </c>
      <c r="P921" s="2293"/>
    </row>
    <row r="922" spans="1:18" ht="30">
      <c r="A922" s="2269" t="s">
        <v>13573</v>
      </c>
      <c r="B922" s="2228" t="str">
        <f>VLOOKUP($A922,'13 - QT_QUI'!$A:$F,2,0)</f>
        <v>AS-CP-ARQ-11</v>
      </c>
      <c r="C922" s="2228" t="str">
        <f>VLOOKUP($A922,'13 - QT_QUI'!$A:$F,3,0)</f>
        <v>PRÓPRIA</v>
      </c>
      <c r="D922" s="2375" t="s">
        <v>14998</v>
      </c>
      <c r="E922" s="2243" t="str">
        <f>IFERROR(VLOOKUP($B922,'24.08_ND'!$1:$1048529,3,0),IFERROR(VLOOKUP($B922,'03-CP'!$C$1:$H$6260,3,0),""))</f>
        <v>M2</v>
      </c>
      <c r="F922" s="2230">
        <v>21.62</v>
      </c>
      <c r="G922" s="2232">
        <v>1201.1500000000001</v>
      </c>
      <c r="H922" s="2302">
        <f>TRUNC((G922*F922),2)</f>
        <v>25968.86</v>
      </c>
      <c r="I922" s="2328">
        <f t="shared" si="186"/>
        <v>0</v>
      </c>
      <c r="J922" s="2231"/>
      <c r="K922" s="2412"/>
      <c r="L922" s="2533">
        <f>M922+N922</f>
        <v>0</v>
      </c>
      <c r="M922" s="2238">
        <v>0</v>
      </c>
      <c r="N922" s="2239">
        <f>TRUNC(H922*K922,2)</f>
        <v>0</v>
      </c>
      <c r="O922" s="2498">
        <f>H922-L922</f>
        <v>25968.86</v>
      </c>
      <c r="P922" s="2295">
        <f t="shared" si="195"/>
        <v>1</v>
      </c>
    </row>
    <row r="923" spans="1:18" ht="30">
      <c r="A923" s="2269" t="s">
        <v>13574</v>
      </c>
      <c r="B923" s="2228" t="str">
        <f>VLOOKUP($A923,'13 - QT_QUI'!$A:$F,2,0)</f>
        <v>AS-CP-ARQ-12</v>
      </c>
      <c r="C923" s="2228" t="str">
        <f>VLOOKUP($A923,'13 - QT_QUI'!$A:$F,3,0)</f>
        <v>PRÓPRIA</v>
      </c>
      <c r="D923" s="2375" t="s">
        <v>15000</v>
      </c>
      <c r="E923" s="2243" t="str">
        <f>IFERROR(VLOOKUP($B923,'24.08_ND'!$1:$1048529,3,0),IFERROR(VLOOKUP($B923,'03-CP'!$C$1:$H$6260,3,0),""))</f>
        <v>M</v>
      </c>
      <c r="F923" s="2230">
        <v>0.6</v>
      </c>
      <c r="G923" s="2232">
        <v>192.42</v>
      </c>
      <c r="H923" s="2302">
        <f>TRUNC((G923*F923),2)</f>
        <v>115.45</v>
      </c>
      <c r="I923" s="2328">
        <f t="shared" si="186"/>
        <v>0</v>
      </c>
      <c r="J923" s="2231"/>
      <c r="K923" s="2412"/>
      <c r="L923" s="2533">
        <f>M923+N923</f>
        <v>0</v>
      </c>
      <c r="M923" s="2238">
        <v>0</v>
      </c>
      <c r="N923" s="2239">
        <f>TRUNC(H923*K923,2)</f>
        <v>0</v>
      </c>
      <c r="O923" s="2498">
        <f>H923-L923</f>
        <v>115.45</v>
      </c>
      <c r="P923" s="2295">
        <f t="shared" si="195"/>
        <v>1</v>
      </c>
    </row>
    <row r="924" spans="1:18" ht="30">
      <c r="A924" s="2269" t="s">
        <v>13575</v>
      </c>
      <c r="B924" s="2228" t="str">
        <f>VLOOKUP($A924,'13 - QT_QUI'!$A:$F,2,0)</f>
        <v>AS-CP-ARQ-13</v>
      </c>
      <c r="C924" s="2228" t="str">
        <f>VLOOKUP($A924,'13 - QT_QUI'!$A:$F,3,0)</f>
        <v>PRÓPRIA</v>
      </c>
      <c r="D924" s="2375" t="s">
        <v>15002</v>
      </c>
      <c r="E924" s="2243" t="str">
        <f>IFERROR(VLOOKUP($B924,'24.08_ND'!$1:$1048529,3,0),IFERROR(VLOOKUP($B924,'03-CP'!$C$1:$H$6260,3,0),""))</f>
        <v>M</v>
      </c>
      <c r="F924" s="2230">
        <v>1.5</v>
      </c>
      <c r="G924" s="2232">
        <v>145.72999999999999</v>
      </c>
      <c r="H924" s="2302">
        <f>TRUNC((G924*F924),2)</f>
        <v>218.59</v>
      </c>
      <c r="I924" s="2328">
        <f t="shared" si="186"/>
        <v>0</v>
      </c>
      <c r="J924" s="2231"/>
      <c r="K924" s="2412"/>
      <c r="L924" s="2533">
        <f>M924+N924</f>
        <v>0</v>
      </c>
      <c r="M924" s="2238">
        <v>0</v>
      </c>
      <c r="N924" s="2239">
        <f>TRUNC(H924*K924,2)</f>
        <v>0</v>
      </c>
      <c r="O924" s="2498">
        <f>H924-L924</f>
        <v>218.59</v>
      </c>
      <c r="P924" s="2295">
        <f t="shared" si="195"/>
        <v>1</v>
      </c>
    </row>
    <row r="925" spans="1:18" ht="30">
      <c r="A925" s="2269" t="s">
        <v>13576</v>
      </c>
      <c r="B925" s="2228" t="str">
        <f>VLOOKUP($A925,'13 - QT_QUI'!$A:$F,2,0)</f>
        <v>PS-CP-87</v>
      </c>
      <c r="C925" s="2228" t="str">
        <f>VLOOKUP($A925,'13 - QT_QUI'!$A:$F,3,0)</f>
        <v>PRÓPRIA</v>
      </c>
      <c r="D925" s="2375" t="s">
        <v>14951</v>
      </c>
      <c r="E925" s="2243" t="str">
        <f>IFERROR(VLOOKUP($B925,'24.08_ND'!$1:$1048529,3,0),IFERROR(VLOOKUP($B925,'03-CP'!$C$1:$H$6260,3,0),""))</f>
        <v>M2</v>
      </c>
      <c r="F925" s="2230">
        <v>0.7</v>
      </c>
      <c r="G925" s="2232">
        <v>650.71</v>
      </c>
      <c r="H925" s="2302">
        <f>TRUNC((G925*F925),2)</f>
        <v>455.49</v>
      </c>
      <c r="I925" s="2328">
        <f t="shared" si="186"/>
        <v>0</v>
      </c>
      <c r="J925" s="2231"/>
      <c r="K925" s="2412"/>
      <c r="L925" s="2533">
        <f>M925+N925</f>
        <v>0</v>
      </c>
      <c r="M925" s="2238">
        <v>0</v>
      </c>
      <c r="N925" s="2239">
        <f>TRUNC(H925*K925,2)</f>
        <v>0</v>
      </c>
      <c r="O925" s="2498">
        <f>H925-L925</f>
        <v>455.49</v>
      </c>
      <c r="P925" s="2295">
        <f t="shared" si="195"/>
        <v>1</v>
      </c>
    </row>
    <row r="926" spans="1:18" ht="60">
      <c r="A926" s="2269" t="s">
        <v>13577</v>
      </c>
      <c r="B926" s="2228" t="str">
        <f>VLOOKUP($A926,'13 - QT_QUI'!$A:$F,2,0)</f>
        <v>AS-CP-ARQ-20</v>
      </c>
      <c r="C926" s="2228" t="str">
        <f>VLOOKUP($A926,'13 - QT_QUI'!$A:$F,3,0)</f>
        <v>PRÓPRIA</v>
      </c>
      <c r="D926" s="2375" t="s">
        <v>15021</v>
      </c>
      <c r="E926" s="2243" t="str">
        <f>IFERROR(VLOOKUP($B926,'24.08_ND'!$1:$1048529,3,0),IFERROR(VLOOKUP($B926,'03-CP'!$C$1:$H$6260,3,0),""))</f>
        <v>M2</v>
      </c>
      <c r="F926" s="2230">
        <v>9</v>
      </c>
      <c r="G926" s="2232">
        <v>935.2</v>
      </c>
      <c r="H926" s="2302">
        <f>TRUNC((G926*F926),2)</f>
        <v>8416.7999999999993</v>
      </c>
      <c r="I926" s="2328">
        <f t="shared" si="186"/>
        <v>0</v>
      </c>
      <c r="J926" s="2231"/>
      <c r="K926" s="2412"/>
      <c r="L926" s="2533">
        <f>M926+N926</f>
        <v>0</v>
      </c>
      <c r="M926" s="2238">
        <v>0</v>
      </c>
      <c r="N926" s="2239">
        <f>TRUNC(H926*K926,2)</f>
        <v>0</v>
      </c>
      <c r="O926" s="2498">
        <f>H926-L926</f>
        <v>8416.7999999999993</v>
      </c>
      <c r="P926" s="2295">
        <f t="shared" si="195"/>
        <v>1</v>
      </c>
    </row>
    <row r="927" spans="1:18">
      <c r="A927" s="2342" t="s">
        <v>13578</v>
      </c>
      <c r="B927" s="2223"/>
      <c r="C927" s="2223"/>
      <c r="D927" s="2376" t="s">
        <v>16300</v>
      </c>
      <c r="E927" s="2224"/>
      <c r="F927" s="2240"/>
      <c r="G927" s="2226"/>
      <c r="H927" s="2301">
        <f>SUBTOTAL(9,H928:H943)</f>
        <v>4203.3900000000003</v>
      </c>
      <c r="I927" s="2284"/>
      <c r="J927" s="2227"/>
      <c r="K927" s="2496"/>
      <c r="L927" s="2534">
        <f>SUBTOTAL(9,L928:L943)</f>
        <v>0</v>
      </c>
      <c r="M927" s="2301">
        <f>SUBTOTAL(9,M928:M943)</f>
        <v>0</v>
      </c>
      <c r="N927" s="2301">
        <f>SUBTOTAL(9,N928:N943)</f>
        <v>0</v>
      </c>
      <c r="O927" s="2301">
        <f>SUBTOTAL(9,O928:O943)</f>
        <v>4203.3900000000003</v>
      </c>
      <c r="P927" s="2293">
        <f t="shared" si="195"/>
        <v>1</v>
      </c>
    </row>
    <row r="928" spans="1:18" ht="30">
      <c r="A928" s="2272" t="s">
        <v>13579</v>
      </c>
      <c r="B928" s="2234">
        <f>VLOOKUP($A928,'13 - QT_QUI'!$A:$F,2,0)</f>
        <v>100849</v>
      </c>
      <c r="C928" s="2234" t="str">
        <f>VLOOKUP($A928,'13 - QT_QUI'!$A:$F,3,0)</f>
        <v>SINAPI</v>
      </c>
      <c r="D928" s="2375" t="s">
        <v>10159</v>
      </c>
      <c r="E928" s="2242" t="str">
        <f>IFERROR(VLOOKUP($B928,'24.08_ND'!$1:$1048529,3,0),IFERROR(VLOOKUP($B928,'03-CP'!$C$1:$H$6260,3,0),""))</f>
        <v>UN</v>
      </c>
      <c r="F928" s="2230">
        <v>1</v>
      </c>
      <c r="G928" s="2238">
        <v>49.53</v>
      </c>
      <c r="H928" s="2302">
        <f t="shared" ref="H928:H943" si="196">TRUNC((G928*F928),2)</f>
        <v>49.53</v>
      </c>
      <c r="I928" s="2328">
        <f t="shared" si="186"/>
        <v>0</v>
      </c>
      <c r="J928" s="2237"/>
      <c r="K928" s="2411"/>
      <c r="L928" s="2533">
        <f t="shared" ref="L928:L943" si="197">M928+N928</f>
        <v>0</v>
      </c>
      <c r="M928" s="2238">
        <v>0</v>
      </c>
      <c r="N928" s="2239">
        <f t="shared" ref="N928:N943" si="198">TRUNC(H928*K928,2)</f>
        <v>0</v>
      </c>
      <c r="O928" s="2498">
        <f t="shared" ref="O928:O943" si="199">H928-L928</f>
        <v>49.53</v>
      </c>
      <c r="P928" s="2295">
        <f t="shared" si="195"/>
        <v>1</v>
      </c>
    </row>
    <row r="929" spans="1:23" ht="30">
      <c r="A929" s="2272" t="s">
        <v>13580</v>
      </c>
      <c r="B929" s="2234">
        <f>VLOOKUP($A929,'13 - QT_QUI'!$A:$F,2,0)</f>
        <v>100878</v>
      </c>
      <c r="C929" s="2234" t="str">
        <f>VLOOKUP($A929,'13 - QT_QUI'!$A:$F,3,0)</f>
        <v>SINAPI</v>
      </c>
      <c r="D929" s="2375" t="s">
        <v>10184</v>
      </c>
      <c r="E929" s="2242" t="str">
        <f>IFERROR(VLOOKUP($B929,'24.08_ND'!$1:$1048529,3,0),IFERROR(VLOOKUP($B929,'03-CP'!$C$1:$H$6260,3,0),""))</f>
        <v>UN</v>
      </c>
      <c r="F929" s="2230">
        <v>1</v>
      </c>
      <c r="G929" s="2238">
        <v>722.83</v>
      </c>
      <c r="H929" s="2302">
        <f t="shared" si="196"/>
        <v>722.83</v>
      </c>
      <c r="I929" s="2328">
        <f t="shared" ref="I929:I943" si="200">J929+K929</f>
        <v>0</v>
      </c>
      <c r="J929" s="2237"/>
      <c r="K929" s="2411"/>
      <c r="L929" s="2533">
        <f t="shared" si="197"/>
        <v>0</v>
      </c>
      <c r="M929" s="2238">
        <v>0</v>
      </c>
      <c r="N929" s="2239">
        <f t="shared" si="198"/>
        <v>0</v>
      </c>
      <c r="O929" s="2498">
        <f t="shared" si="199"/>
        <v>722.83</v>
      </c>
      <c r="P929" s="2295">
        <f t="shared" si="195"/>
        <v>1</v>
      </c>
    </row>
    <row r="930" spans="1:23" ht="30">
      <c r="A930" s="2272" t="s">
        <v>13581</v>
      </c>
      <c r="B930" s="2228" t="str">
        <f>VLOOKUP($A930,'13 - QT_QUI'!$A:$F,2,0)</f>
        <v>PS-CP-85</v>
      </c>
      <c r="C930" s="2228" t="str">
        <f>VLOOKUP($A930,'13 - QT_QUI'!$A:$F,3,0)</f>
        <v>PRÓPRIA</v>
      </c>
      <c r="D930" s="2375" t="s">
        <v>14947</v>
      </c>
      <c r="E930" s="2243" t="str">
        <f>IFERROR(VLOOKUP($B930,'24.08_ND'!$1:$1048529,3,0),IFERROR(VLOOKUP($B930,'03-CP'!$C$1:$H$6260,3,0),""))</f>
        <v>UN</v>
      </c>
      <c r="F930" s="2230">
        <v>1</v>
      </c>
      <c r="G930" s="2232">
        <v>448.62</v>
      </c>
      <c r="H930" s="2302">
        <f t="shared" si="196"/>
        <v>448.62</v>
      </c>
      <c r="I930" s="2328">
        <f t="shared" si="200"/>
        <v>0</v>
      </c>
      <c r="J930" s="2231"/>
      <c r="K930" s="2412"/>
      <c r="L930" s="2533">
        <f t="shared" si="197"/>
        <v>0</v>
      </c>
      <c r="M930" s="2238">
        <v>0</v>
      </c>
      <c r="N930" s="2239">
        <f t="shared" si="198"/>
        <v>0</v>
      </c>
      <c r="O930" s="2498">
        <f t="shared" si="199"/>
        <v>448.62</v>
      </c>
      <c r="P930" s="2295">
        <f t="shared" si="195"/>
        <v>1</v>
      </c>
    </row>
    <row r="931" spans="1:23" ht="30">
      <c r="A931" s="2272" t="s">
        <v>13582</v>
      </c>
      <c r="B931" s="2228" t="str">
        <f>VLOOKUP($A931,'13 - QT_QUI'!$A:$F,2,0)</f>
        <v>PS-CP-86</v>
      </c>
      <c r="C931" s="2228" t="str">
        <f>VLOOKUP($A931,'13 - QT_QUI'!$A:$F,3,0)</f>
        <v>PRÓPRIA</v>
      </c>
      <c r="D931" s="2375" t="s">
        <v>14949</v>
      </c>
      <c r="E931" s="2243" t="str">
        <f>IFERROR(VLOOKUP($B931,'24.08_ND'!$1:$1048529,3,0),IFERROR(VLOOKUP($B931,'03-CP'!$C$1:$H$6260,3,0),""))</f>
        <v>UN</v>
      </c>
      <c r="F931" s="2230">
        <v>1</v>
      </c>
      <c r="G931" s="2232">
        <v>207.01</v>
      </c>
      <c r="H931" s="2302">
        <f t="shared" si="196"/>
        <v>207.01</v>
      </c>
      <c r="I931" s="2328">
        <f t="shared" si="200"/>
        <v>0</v>
      </c>
      <c r="J931" s="2231"/>
      <c r="K931" s="2412"/>
      <c r="L931" s="2533">
        <f t="shared" si="197"/>
        <v>0</v>
      </c>
      <c r="M931" s="2238">
        <v>0</v>
      </c>
      <c r="N931" s="2239">
        <f t="shared" si="198"/>
        <v>0</v>
      </c>
      <c r="O931" s="2498">
        <f t="shared" si="199"/>
        <v>207.01</v>
      </c>
      <c r="P931" s="2295">
        <f t="shared" si="195"/>
        <v>1</v>
      </c>
    </row>
    <row r="932" spans="1:23" ht="30">
      <c r="A932" s="2272" t="s">
        <v>13583</v>
      </c>
      <c r="B932" s="2234">
        <f>VLOOKUP($A932,'13 - QT_QUI'!$A:$F,2,0)</f>
        <v>86872</v>
      </c>
      <c r="C932" s="2234" t="str">
        <f>VLOOKUP($A932,'13 - QT_QUI'!$A:$F,3,0)</f>
        <v>SINAPI</v>
      </c>
      <c r="D932" s="2375" t="s">
        <v>10083</v>
      </c>
      <c r="E932" s="2242" t="str">
        <f>IFERROR(VLOOKUP($B932,'24.08_ND'!$1:$1048529,3,0),IFERROR(VLOOKUP($B932,'03-CP'!$C$1:$H$6260,3,0),""))</f>
        <v>UN</v>
      </c>
      <c r="F932" s="2230">
        <v>1</v>
      </c>
      <c r="G932" s="2238">
        <v>794.38</v>
      </c>
      <c r="H932" s="2302">
        <f t="shared" si="196"/>
        <v>794.38</v>
      </c>
      <c r="I932" s="2328">
        <f t="shared" si="200"/>
        <v>0</v>
      </c>
      <c r="J932" s="2237"/>
      <c r="K932" s="2411"/>
      <c r="L932" s="2533">
        <f t="shared" si="197"/>
        <v>0</v>
      </c>
      <c r="M932" s="2238">
        <v>0</v>
      </c>
      <c r="N932" s="2239">
        <f t="shared" si="198"/>
        <v>0</v>
      </c>
      <c r="O932" s="2498">
        <f t="shared" si="199"/>
        <v>794.38</v>
      </c>
      <c r="P932" s="2295">
        <f t="shared" si="195"/>
        <v>1</v>
      </c>
    </row>
    <row r="933" spans="1:23" ht="30">
      <c r="A933" s="2272" t="s">
        <v>13584</v>
      </c>
      <c r="B933" s="2228" t="str">
        <f>VLOOKUP($A933,'13 - QT_QUI'!$A:$F,2,0)</f>
        <v>AS-CP-ARQ-15</v>
      </c>
      <c r="C933" s="2228" t="str">
        <f>VLOOKUP($A933,'13 - QT_QUI'!$A:$F,3,0)</f>
        <v>PRÓPRIA</v>
      </c>
      <c r="D933" s="2375" t="s">
        <v>15007</v>
      </c>
      <c r="E933" s="2243" t="str">
        <f>IFERROR(VLOOKUP($B933,'24.08_ND'!$1:$1048529,3,0),IFERROR(VLOOKUP($B933,'03-CP'!$C$1:$H$6260,3,0),""))</f>
        <v>UN</v>
      </c>
      <c r="F933" s="2230">
        <v>1</v>
      </c>
      <c r="G933" s="2232">
        <v>288.95</v>
      </c>
      <c r="H933" s="2302">
        <f t="shared" si="196"/>
        <v>288.95</v>
      </c>
      <c r="I933" s="2328">
        <f t="shared" si="200"/>
        <v>0</v>
      </c>
      <c r="J933" s="2231"/>
      <c r="K933" s="2412"/>
      <c r="L933" s="2533">
        <f t="shared" si="197"/>
        <v>0</v>
      </c>
      <c r="M933" s="2238">
        <v>0</v>
      </c>
      <c r="N933" s="2239">
        <f t="shared" si="198"/>
        <v>0</v>
      </c>
      <c r="O933" s="2498">
        <f t="shared" si="199"/>
        <v>288.95</v>
      </c>
      <c r="P933" s="2295">
        <f t="shared" si="195"/>
        <v>1</v>
      </c>
    </row>
    <row r="934" spans="1:23" ht="30">
      <c r="A934" s="2272" t="s">
        <v>13585</v>
      </c>
      <c r="B934" s="2234">
        <f>VLOOKUP($A934,'13 - QT_QUI'!$A:$F,2,0)</f>
        <v>86914</v>
      </c>
      <c r="C934" s="2234" t="str">
        <f>VLOOKUP($A934,'13 - QT_QUI'!$A:$F,3,0)</f>
        <v>SINAPI</v>
      </c>
      <c r="D934" s="2375" t="s">
        <v>10116</v>
      </c>
      <c r="E934" s="2242" t="str">
        <f>IFERROR(VLOOKUP($B934,'24.08_ND'!$1:$1048529,3,0),IFERROR(VLOOKUP($B934,'03-CP'!$C$1:$H$6260,3,0),""))</f>
        <v>UN</v>
      </c>
      <c r="F934" s="2230">
        <v>1</v>
      </c>
      <c r="G934" s="2238">
        <v>121.21</v>
      </c>
      <c r="H934" s="2302">
        <f t="shared" si="196"/>
        <v>121.21</v>
      </c>
      <c r="I934" s="2328">
        <f t="shared" si="200"/>
        <v>0</v>
      </c>
      <c r="J934" s="2237"/>
      <c r="K934" s="2411"/>
      <c r="L934" s="2533">
        <f t="shared" si="197"/>
        <v>0</v>
      </c>
      <c r="M934" s="2238">
        <v>0</v>
      </c>
      <c r="N934" s="2239">
        <f t="shared" si="198"/>
        <v>0</v>
      </c>
      <c r="O934" s="2498">
        <f t="shared" si="199"/>
        <v>121.21</v>
      </c>
      <c r="P934" s="2295">
        <f t="shared" si="195"/>
        <v>1</v>
      </c>
    </row>
    <row r="935" spans="1:23" ht="30">
      <c r="A935" s="2272" t="s">
        <v>13586</v>
      </c>
      <c r="B935" s="2234">
        <f>VLOOKUP($A935,'13 - QT_QUI'!$A:$F,2,0)</f>
        <v>100852</v>
      </c>
      <c r="C935" s="2234" t="str">
        <f>VLOOKUP($A935,'13 - QT_QUI'!$A:$F,3,0)</f>
        <v>SINAPI</v>
      </c>
      <c r="D935" s="2375" t="s">
        <v>10161</v>
      </c>
      <c r="E935" s="2242" t="str">
        <f>IFERROR(VLOOKUP($B935,'24.08_ND'!$1:$1048529,3,0),IFERROR(VLOOKUP($B935,'03-CP'!$C$1:$H$6260,3,0),""))</f>
        <v>UN</v>
      </c>
      <c r="F935" s="2230">
        <v>1</v>
      </c>
      <c r="G935" s="2238">
        <v>259.35000000000002</v>
      </c>
      <c r="H935" s="2302">
        <f t="shared" si="196"/>
        <v>259.35000000000002</v>
      </c>
      <c r="I935" s="2328">
        <f t="shared" si="200"/>
        <v>0</v>
      </c>
      <c r="J935" s="2237"/>
      <c r="K935" s="2411"/>
      <c r="L935" s="2533">
        <f t="shared" si="197"/>
        <v>0</v>
      </c>
      <c r="M935" s="2238">
        <v>0</v>
      </c>
      <c r="N935" s="2239">
        <f t="shared" si="198"/>
        <v>0</v>
      </c>
      <c r="O935" s="2498">
        <f t="shared" si="199"/>
        <v>259.35000000000002</v>
      </c>
      <c r="P935" s="2295">
        <f t="shared" si="195"/>
        <v>1</v>
      </c>
    </row>
    <row r="936" spans="1:23" ht="30">
      <c r="A936" s="2272" t="s">
        <v>13587</v>
      </c>
      <c r="B936" s="2234">
        <f>VLOOKUP($A936,'13 - QT_QUI'!$A:$F,2,0)</f>
        <v>86881</v>
      </c>
      <c r="C936" s="2234" t="str">
        <f>VLOOKUP($A936,'13 - QT_QUI'!$A:$F,3,0)</f>
        <v>SINAPI</v>
      </c>
      <c r="D936" s="2375" t="s">
        <v>10091</v>
      </c>
      <c r="E936" s="2242" t="str">
        <f>IFERROR(VLOOKUP($B936,'24.08_ND'!$1:$1048529,3,0),IFERROR(VLOOKUP($B936,'03-CP'!$C$1:$H$6260,3,0),""))</f>
        <v>UN</v>
      </c>
      <c r="F936" s="2230">
        <v>1</v>
      </c>
      <c r="G936" s="2238">
        <v>256.05</v>
      </c>
      <c r="H936" s="2302">
        <f t="shared" si="196"/>
        <v>256.05</v>
      </c>
      <c r="I936" s="2328">
        <f t="shared" si="200"/>
        <v>0</v>
      </c>
      <c r="J936" s="2237"/>
      <c r="K936" s="2411"/>
      <c r="L936" s="2533">
        <f t="shared" si="197"/>
        <v>0</v>
      </c>
      <c r="M936" s="2238">
        <v>0</v>
      </c>
      <c r="N936" s="2239">
        <f t="shared" si="198"/>
        <v>0</v>
      </c>
      <c r="O936" s="2498">
        <f t="shared" si="199"/>
        <v>256.05</v>
      </c>
      <c r="P936" s="2295">
        <f t="shared" si="195"/>
        <v>1</v>
      </c>
    </row>
    <row r="937" spans="1:23" ht="30">
      <c r="A937" s="2272" t="s">
        <v>13588</v>
      </c>
      <c r="B937" s="2234">
        <f>VLOOKUP($A937,'13 - QT_QUI'!$A:$F,2,0)</f>
        <v>86883</v>
      </c>
      <c r="C937" s="2234" t="str">
        <f>VLOOKUP($A937,'13 - QT_QUI'!$A:$F,3,0)</f>
        <v>SINAPI</v>
      </c>
      <c r="D937" s="2375" t="s">
        <v>10093</v>
      </c>
      <c r="E937" s="2242" t="str">
        <f>IFERROR(VLOOKUP($B937,'24.08_ND'!$1:$1048529,3,0),IFERROR(VLOOKUP($B937,'03-CP'!$C$1:$H$6260,3,0),""))</f>
        <v>UN</v>
      </c>
      <c r="F937" s="2230">
        <v>1</v>
      </c>
      <c r="G937" s="2238">
        <v>16.3</v>
      </c>
      <c r="H937" s="2302">
        <f t="shared" si="196"/>
        <v>16.3</v>
      </c>
      <c r="I937" s="2328">
        <f t="shared" si="200"/>
        <v>0</v>
      </c>
      <c r="J937" s="2237"/>
      <c r="K937" s="2411"/>
      <c r="L937" s="2533">
        <f t="shared" si="197"/>
        <v>0</v>
      </c>
      <c r="M937" s="2238">
        <v>0</v>
      </c>
      <c r="N937" s="2239">
        <f t="shared" si="198"/>
        <v>0</v>
      </c>
      <c r="O937" s="2498">
        <f t="shared" si="199"/>
        <v>16.3</v>
      </c>
      <c r="P937" s="2295">
        <f t="shared" si="195"/>
        <v>1</v>
      </c>
    </row>
    <row r="938" spans="1:23">
      <c r="A938" s="2272" t="s">
        <v>13589</v>
      </c>
      <c r="B938" s="2228" t="str">
        <f>VLOOKUP($A938,'13 - QT_QUI'!$A:$F,2,0)</f>
        <v>PS-CP-48</v>
      </c>
      <c r="C938" s="2228" t="str">
        <f>VLOOKUP($A938,'13 - QT_QUI'!$A:$F,3,0)</f>
        <v>PRÓPRIA</v>
      </c>
      <c r="D938" s="2375" t="s">
        <v>14854</v>
      </c>
      <c r="E938" s="2243" t="str">
        <f>IFERROR(VLOOKUP($B938,'24.08_ND'!$1:$1048529,3,0),IFERROR(VLOOKUP($B938,'03-CP'!$C$1:$H$6260,3,0),""))</f>
        <v>UN</v>
      </c>
      <c r="F938" s="2230">
        <v>3</v>
      </c>
      <c r="G938" s="2232">
        <v>105.25</v>
      </c>
      <c r="H938" s="2302">
        <f t="shared" si="196"/>
        <v>315.75</v>
      </c>
      <c r="I938" s="2328">
        <f t="shared" si="200"/>
        <v>0</v>
      </c>
      <c r="J938" s="2231"/>
      <c r="K938" s="2412"/>
      <c r="L938" s="2533">
        <f t="shared" si="197"/>
        <v>0</v>
      </c>
      <c r="M938" s="2238">
        <v>0</v>
      </c>
      <c r="N938" s="2239">
        <f t="shared" si="198"/>
        <v>0</v>
      </c>
      <c r="O938" s="2498">
        <f t="shared" si="199"/>
        <v>315.75</v>
      </c>
      <c r="P938" s="2295">
        <f t="shared" si="195"/>
        <v>1</v>
      </c>
    </row>
    <row r="939" spans="1:23" ht="30">
      <c r="A939" s="2272" t="s">
        <v>13590</v>
      </c>
      <c r="B939" s="2228" t="str">
        <f>VLOOKUP($A939,'13 - QT_QUI'!$A:$F,2,0)</f>
        <v>PS-CP-61</v>
      </c>
      <c r="C939" s="2228" t="str">
        <f>VLOOKUP($A939,'13 - QT_QUI'!$A:$F,3,0)</f>
        <v>PRÓPRIA</v>
      </c>
      <c r="D939" s="2375" t="s">
        <v>14890</v>
      </c>
      <c r="E939" s="2243" t="str">
        <f>IFERROR(VLOOKUP($B939,'24.08_ND'!$1:$1048529,3,0),IFERROR(VLOOKUP($B939,'03-CP'!$C$1:$H$6260,3,0),""))</f>
        <v>UN</v>
      </c>
      <c r="F939" s="2230">
        <v>1</v>
      </c>
      <c r="G939" s="2232">
        <v>218.11</v>
      </c>
      <c r="H939" s="2302">
        <f t="shared" si="196"/>
        <v>218.11</v>
      </c>
      <c r="I939" s="2328">
        <f t="shared" si="200"/>
        <v>0</v>
      </c>
      <c r="J939" s="2231"/>
      <c r="K939" s="2412"/>
      <c r="L939" s="2533">
        <f t="shared" si="197"/>
        <v>0</v>
      </c>
      <c r="M939" s="2238">
        <v>0</v>
      </c>
      <c r="N939" s="2239">
        <f t="shared" si="198"/>
        <v>0</v>
      </c>
      <c r="O939" s="2498">
        <f t="shared" si="199"/>
        <v>218.11</v>
      </c>
      <c r="P939" s="2295">
        <f t="shared" si="195"/>
        <v>1</v>
      </c>
    </row>
    <row r="940" spans="1:23" ht="30">
      <c r="A940" s="2272" t="s">
        <v>13591</v>
      </c>
      <c r="B940" s="2234">
        <f>VLOOKUP($A940,'13 - QT_QUI'!$A:$F,2,0)</f>
        <v>95544</v>
      </c>
      <c r="C940" s="2234" t="str">
        <f>VLOOKUP($A940,'13 - QT_QUI'!$A:$F,3,0)</f>
        <v>SINAPI</v>
      </c>
      <c r="D940" s="2375" t="s">
        <v>10154</v>
      </c>
      <c r="E940" s="2242" t="str">
        <f>IFERROR(VLOOKUP($B940,'24.08_ND'!$1:$1048529,3,0),IFERROR(VLOOKUP($B940,'03-CP'!$C$1:$H$6260,3,0),""))</f>
        <v>UN</v>
      </c>
      <c r="F940" s="2230">
        <v>1</v>
      </c>
      <c r="G940" s="2238">
        <v>45.76</v>
      </c>
      <c r="H940" s="2302">
        <f t="shared" si="196"/>
        <v>45.76</v>
      </c>
      <c r="I940" s="2328">
        <f t="shared" si="200"/>
        <v>0</v>
      </c>
      <c r="J940" s="2237"/>
      <c r="K940" s="2411"/>
      <c r="L940" s="2533">
        <f t="shared" si="197"/>
        <v>0</v>
      </c>
      <c r="M940" s="2238">
        <v>0</v>
      </c>
      <c r="N940" s="2239">
        <f t="shared" si="198"/>
        <v>0</v>
      </c>
      <c r="O940" s="2498">
        <f t="shared" si="199"/>
        <v>45.76</v>
      </c>
      <c r="P940" s="2295">
        <f t="shared" si="195"/>
        <v>1</v>
      </c>
    </row>
    <row r="941" spans="1:23">
      <c r="A941" s="2272" t="s">
        <v>13592</v>
      </c>
      <c r="B941" s="2228" t="str">
        <f>VLOOKUP($A941,'13 - QT_QUI'!$A:$F,2,0)</f>
        <v>PS-CP-63</v>
      </c>
      <c r="C941" s="2228" t="str">
        <f>VLOOKUP($A941,'13 - QT_QUI'!$A:$F,3,0)</f>
        <v>PRÓPRIA</v>
      </c>
      <c r="D941" s="2375" t="s">
        <v>14896</v>
      </c>
      <c r="E941" s="2243" t="str">
        <f>IFERROR(VLOOKUP($B941,'24.08_ND'!$1:$1048529,3,0),IFERROR(VLOOKUP($B941,'03-CP'!$C$1:$H$6260,3,0),""))</f>
        <v>UN</v>
      </c>
      <c r="F941" s="2230">
        <v>1</v>
      </c>
      <c r="G941" s="2232">
        <v>233.03</v>
      </c>
      <c r="H941" s="2302">
        <f t="shared" si="196"/>
        <v>233.03</v>
      </c>
      <c r="I941" s="2328">
        <f t="shared" si="200"/>
        <v>0</v>
      </c>
      <c r="J941" s="2231"/>
      <c r="K941" s="2412"/>
      <c r="L941" s="2533">
        <f t="shared" si="197"/>
        <v>0</v>
      </c>
      <c r="M941" s="2238">
        <v>0</v>
      </c>
      <c r="N941" s="2239">
        <f t="shared" si="198"/>
        <v>0</v>
      </c>
      <c r="O941" s="2498">
        <f t="shared" si="199"/>
        <v>233.03</v>
      </c>
      <c r="P941" s="2295">
        <f t="shared" si="195"/>
        <v>1</v>
      </c>
    </row>
    <row r="942" spans="1:23" ht="30">
      <c r="A942" s="2272" t="s">
        <v>13593</v>
      </c>
      <c r="B942" s="2234">
        <f>VLOOKUP($A942,'13 - QT_QUI'!$A:$F,2,0)</f>
        <v>95543</v>
      </c>
      <c r="C942" s="2234" t="str">
        <f>VLOOKUP($A942,'13 - QT_QUI'!$A:$F,3,0)</f>
        <v>SINAPI</v>
      </c>
      <c r="D942" s="2375" t="s">
        <v>10153</v>
      </c>
      <c r="E942" s="2242" t="str">
        <f>IFERROR(VLOOKUP($B942,'24.08_ND'!$1:$1048529,3,0),IFERROR(VLOOKUP($B942,'03-CP'!$C$1:$H$6260,3,0),""))</f>
        <v>UN</v>
      </c>
      <c r="F942" s="2230">
        <v>1</v>
      </c>
      <c r="G942" s="2238">
        <v>63.75</v>
      </c>
      <c r="H942" s="2302">
        <f t="shared" si="196"/>
        <v>63.75</v>
      </c>
      <c r="I942" s="2328">
        <f t="shared" si="200"/>
        <v>0</v>
      </c>
      <c r="J942" s="2237"/>
      <c r="K942" s="2411"/>
      <c r="L942" s="2533">
        <f t="shared" si="197"/>
        <v>0</v>
      </c>
      <c r="M942" s="2238">
        <v>0</v>
      </c>
      <c r="N942" s="2239">
        <f t="shared" si="198"/>
        <v>0</v>
      </c>
      <c r="O942" s="2498">
        <f t="shared" si="199"/>
        <v>63.75</v>
      </c>
      <c r="P942" s="2295">
        <f t="shared" si="195"/>
        <v>1</v>
      </c>
    </row>
    <row r="943" spans="1:23">
      <c r="A943" s="2272" t="s">
        <v>13594</v>
      </c>
      <c r="B943" s="2228" t="str">
        <f>VLOOKUP($A943,'13 - QT_QUI'!$A:$F,2,0)</f>
        <v>PS-CP-88</v>
      </c>
      <c r="C943" s="2228" t="str">
        <f>VLOOKUP($A943,'13 - QT_QUI'!$A:$F,3,0)</f>
        <v>PRÓPRIA</v>
      </c>
      <c r="D943" s="2375" t="s">
        <v>14953</v>
      </c>
      <c r="E943" s="2243" t="str">
        <f>IFERROR(VLOOKUP($B943,'24.08_ND'!$1:$1048529,3,0),IFERROR(VLOOKUP($B943,'03-CP'!$C$1:$H$6260,3,0),""))</f>
        <v>UN</v>
      </c>
      <c r="F943" s="2230">
        <v>1</v>
      </c>
      <c r="G943" s="2232">
        <v>162.76</v>
      </c>
      <c r="H943" s="2302">
        <f t="shared" si="196"/>
        <v>162.76</v>
      </c>
      <c r="I943" s="2328">
        <f t="shared" si="200"/>
        <v>0</v>
      </c>
      <c r="J943" s="2231"/>
      <c r="K943" s="2412"/>
      <c r="L943" s="2533">
        <f t="shared" si="197"/>
        <v>0</v>
      </c>
      <c r="M943" s="2238">
        <v>0</v>
      </c>
      <c r="N943" s="2239">
        <f t="shared" si="198"/>
        <v>0</v>
      </c>
      <c r="O943" s="2498">
        <f t="shared" si="199"/>
        <v>162.76</v>
      </c>
      <c r="P943" s="2295">
        <f t="shared" si="195"/>
        <v>1</v>
      </c>
      <c r="W943" s="1789"/>
    </row>
    <row r="944" spans="1:23">
      <c r="A944" s="2342" t="s">
        <v>13595</v>
      </c>
      <c r="B944" s="2223"/>
      <c r="C944" s="2223"/>
      <c r="D944" s="2376" t="s">
        <v>16468</v>
      </c>
      <c r="E944" s="2224"/>
      <c r="F944" s="2240"/>
      <c r="G944" s="2226"/>
      <c r="H944" s="2301">
        <f>SUBTOTAL(9,H945:H947)</f>
        <v>10027.029999999999</v>
      </c>
      <c r="I944" s="2284"/>
      <c r="J944" s="2227"/>
      <c r="K944" s="2496"/>
      <c r="L944" s="2534">
        <f>SUBTOTAL(9,L945:L947)</f>
        <v>5719.31</v>
      </c>
      <c r="M944" s="2301">
        <f>SUBTOTAL(9,M945:M947)</f>
        <v>0</v>
      </c>
      <c r="N944" s="2301">
        <f>SUBTOTAL(9,N945:N947)</f>
        <v>5719.31</v>
      </c>
      <c r="O944" s="2301">
        <f>SUBTOTAL(9,O945:O947)</f>
        <v>4307.7199999999993</v>
      </c>
      <c r="P944" s="2293">
        <f t="shared" si="195"/>
        <v>0.42961076211001659</v>
      </c>
    </row>
    <row r="945" spans="1:25" ht="45">
      <c r="A945" s="2272" t="s">
        <v>13596</v>
      </c>
      <c r="B945" s="2234">
        <f>VLOOKUP($A945,'13 - QT_QUI'!$A:$F,2,0)</f>
        <v>94995</v>
      </c>
      <c r="C945" s="2234" t="str">
        <f>VLOOKUP($A945,'13 - QT_QUI'!$A:$F,3,0)</f>
        <v>SINAPI</v>
      </c>
      <c r="D945" s="2375" t="s">
        <v>11200</v>
      </c>
      <c r="E945" s="2242" t="str">
        <f>IFERROR(VLOOKUP($B945,'24.08_ND'!$1:$1048529,3,0),IFERROR(VLOOKUP($B945,'03-CP'!$C$1:$H$6260,3,0),""))</f>
        <v>M2</v>
      </c>
      <c r="F945" s="2230">
        <v>52.79</v>
      </c>
      <c r="G945" s="2238">
        <v>127.46</v>
      </c>
      <c r="H945" s="2302">
        <f>TRUNC((G945*F945),2)</f>
        <v>6728.61</v>
      </c>
      <c r="I945" s="2286"/>
      <c r="J945" s="2237"/>
      <c r="K945" s="2411">
        <v>0.85</v>
      </c>
      <c r="L945" s="2533">
        <f>M945+N945</f>
        <v>5719.31</v>
      </c>
      <c r="M945" s="2238">
        <v>0</v>
      </c>
      <c r="N945" s="2239">
        <f>TRUNC(H945*K945,2)</f>
        <v>5719.31</v>
      </c>
      <c r="O945" s="2498">
        <f>H945-L945</f>
        <v>1009.2999999999993</v>
      </c>
      <c r="P945" s="2295">
        <f t="shared" si="195"/>
        <v>0.15000126326239732</v>
      </c>
      <c r="Q945" s="2143"/>
    </row>
    <row r="946" spans="1:25" ht="60">
      <c r="A946" s="2272" t="s">
        <v>13597</v>
      </c>
      <c r="B946" s="2228" t="str">
        <f>VLOOKUP($A946,'13 - QT_QUI'!$A:$F,2,0)</f>
        <v>PS-CP-89</v>
      </c>
      <c r="C946" s="2228" t="str">
        <f>VLOOKUP($A946,'13 - QT_QUI'!$A:$F,3,0)</f>
        <v>PRÓPRIA</v>
      </c>
      <c r="D946" s="2375" t="s">
        <v>14955</v>
      </c>
      <c r="E946" s="2243" t="str">
        <f>IFERROR(VLOOKUP($B946,'24.08_ND'!$1:$1048529,3,0),IFERROR(VLOOKUP($B946,'03-CP'!$C$1:$H$6260,3,0),""))</f>
        <v>M2</v>
      </c>
      <c r="F946" s="2230">
        <v>30.19</v>
      </c>
      <c r="G946" s="2232">
        <v>31.72</v>
      </c>
      <c r="H946" s="2302">
        <f>TRUNC((G946*F946),2)</f>
        <v>957.62</v>
      </c>
      <c r="I946" s="2287"/>
      <c r="J946" s="2231"/>
      <c r="K946" s="2412"/>
      <c r="L946" s="2533">
        <f>M946+N946</f>
        <v>0</v>
      </c>
      <c r="M946" s="2238">
        <v>0</v>
      </c>
      <c r="N946" s="2239">
        <f>TRUNC(H946*K946,2)</f>
        <v>0</v>
      </c>
      <c r="O946" s="2498">
        <f>H946-L946</f>
        <v>957.62</v>
      </c>
      <c r="P946" s="2295">
        <f t="shared" si="195"/>
        <v>1</v>
      </c>
    </row>
    <row r="947" spans="1:25">
      <c r="A947" s="2272" t="s">
        <v>13598</v>
      </c>
      <c r="B947" s="2228" t="str">
        <f>VLOOKUP($A947,'13 - QT_QUI'!$A:$F,2,0)</f>
        <v>CP-PSG-06</v>
      </c>
      <c r="C947" s="2228" t="str">
        <f>VLOOKUP($A947,'13 - QT_QUI'!$A:$F,3,0)</f>
        <v>PRÓPRIA</v>
      </c>
      <c r="D947" s="2375" t="s">
        <v>15092</v>
      </c>
      <c r="E947" s="2243" t="str">
        <f>IFERROR(VLOOKUP($B947,'24.08_ND'!$1:$1048529,3,0),IFERROR(VLOOKUP($B947,'03-CP'!$C$1:$H$6260,3,0),""))</f>
        <v>UN</v>
      </c>
      <c r="F947" s="2230">
        <v>55</v>
      </c>
      <c r="G947" s="2232">
        <v>42.56</v>
      </c>
      <c r="H947" s="2302">
        <f>TRUNC((G947*F947),2)</f>
        <v>2340.8000000000002</v>
      </c>
      <c r="I947" s="2287"/>
      <c r="J947" s="2231"/>
      <c r="K947" s="2412"/>
      <c r="L947" s="2533">
        <f>M947+N947</f>
        <v>0</v>
      </c>
      <c r="M947" s="2238">
        <v>0</v>
      </c>
      <c r="N947" s="2239">
        <f>TRUNC(H947*K947,2)</f>
        <v>0</v>
      </c>
      <c r="O947" s="2498">
        <f>H947-L947</f>
        <v>2340.8000000000002</v>
      </c>
      <c r="P947" s="2295">
        <f t="shared" si="195"/>
        <v>1</v>
      </c>
      <c r="U947" s="1790"/>
      <c r="Y947" s="1790"/>
    </row>
    <row r="948" spans="1:25">
      <c r="A948" s="2267" t="s">
        <v>12637</v>
      </c>
      <c r="B948" s="2216"/>
      <c r="C948" s="2217"/>
      <c r="D948" s="2377" t="s">
        <v>16310</v>
      </c>
      <c r="E948" s="2218"/>
      <c r="F948" s="2241"/>
      <c r="G948" s="2220"/>
      <c r="H948" s="2300">
        <f>SUBTOTAL(9,H949:H1015)</f>
        <v>20028.319999999996</v>
      </c>
      <c r="I948" s="2283"/>
      <c r="J948" s="2221"/>
      <c r="K948" s="2492"/>
      <c r="L948" s="2532">
        <f>SUBTOTAL(9,L949:L1015)</f>
        <v>13291.429999999997</v>
      </c>
      <c r="M948" s="2300">
        <f>SUBTOTAL(9,M949:M1015)</f>
        <v>12012.829999999998</v>
      </c>
      <c r="N948" s="2300">
        <f>SUBTOTAL(9,N949:N1015)</f>
        <v>1278.5999999999999</v>
      </c>
      <c r="O948" s="2300">
        <f>SUBTOTAL(9,O949:O1015)</f>
        <v>6736.89</v>
      </c>
      <c r="P948" s="2292"/>
      <c r="Q948" s="2568"/>
      <c r="Y948" s="1790"/>
    </row>
    <row r="949" spans="1:25">
      <c r="A949" s="2343" t="s">
        <v>13599</v>
      </c>
      <c r="B949" s="2223"/>
      <c r="C949" s="2223"/>
      <c r="D949" s="2376" t="s">
        <v>16312</v>
      </c>
      <c r="E949" s="2224"/>
      <c r="F949" s="2240"/>
      <c r="G949" s="2226"/>
      <c r="H949" s="2301">
        <f>SUBTOTAL(9,H950:H973)</f>
        <v>3324.14</v>
      </c>
      <c r="I949" s="2284"/>
      <c r="J949" s="2227"/>
      <c r="K949" s="2496"/>
      <c r="L949" s="2534">
        <f>SUBTOTAL(9,L950:L973)</f>
        <v>1476.41</v>
      </c>
      <c r="M949" s="2301">
        <f>SUBTOTAL(9,M950:M973)</f>
        <v>1476.41</v>
      </c>
      <c r="N949" s="2301">
        <f>SUBTOTAL(9,N950:N973)</f>
        <v>0</v>
      </c>
      <c r="O949" s="2301">
        <f>SUBTOTAL(9,O950:O973)</f>
        <v>1847.7299999999996</v>
      </c>
      <c r="P949" s="2293"/>
    </row>
    <row r="950" spans="1:25" ht="30">
      <c r="A950" s="2272" t="s">
        <v>13600</v>
      </c>
      <c r="B950" s="2234">
        <f>VLOOKUP($A950,'13 - QT_QUI'!$A:$F,2,0)</f>
        <v>105234</v>
      </c>
      <c r="C950" s="2234" t="str">
        <f>VLOOKUP($A950,'13 - QT_QUI'!$A:$F,3,0)</f>
        <v>SINAPI</v>
      </c>
      <c r="D950" s="2375" t="s">
        <v>10006</v>
      </c>
      <c r="E950" s="2242" t="str">
        <f>IFERROR(VLOOKUP($B950,'24.08_ND'!$1:$1048529,3,0),IFERROR(VLOOKUP($B950,'03-CP'!$C$1:$H$6260,3,0),""))</f>
        <v>UN</v>
      </c>
      <c r="F950" s="2230">
        <v>4</v>
      </c>
      <c r="G950" s="2238">
        <v>10.15</v>
      </c>
      <c r="H950" s="2302">
        <f t="shared" ref="H950:H973" si="201">TRUNC((G950*F950),2)</f>
        <v>40.6</v>
      </c>
      <c r="I950" s="2328">
        <f t="shared" ref="I950:I973" si="202">J950+K950</f>
        <v>0.75</v>
      </c>
      <c r="J950" s="2237">
        <v>0.75</v>
      </c>
      <c r="K950" s="2411"/>
      <c r="L950" s="2533">
        <f t="shared" ref="L950:L973" si="203">M950+N950</f>
        <v>30.45</v>
      </c>
      <c r="M950" s="2238">
        <v>30.45</v>
      </c>
      <c r="N950" s="2239">
        <f t="shared" ref="N950:N973" si="204">TRUNC(H950*K950,2)</f>
        <v>0</v>
      </c>
      <c r="O950" s="2498">
        <f t="shared" ref="O950:O973" si="205">H950-L950</f>
        <v>10.150000000000002</v>
      </c>
      <c r="P950" s="2295">
        <f t="shared" ref="P950:P1013" si="206">O950/H950</f>
        <v>0.25000000000000006</v>
      </c>
    </row>
    <row r="951" spans="1:25" ht="30">
      <c r="A951" s="2272" t="s">
        <v>13601</v>
      </c>
      <c r="B951" s="2234">
        <f>VLOOKUP($A951,'13 - QT_QUI'!$A:$F,2,0)</f>
        <v>94679</v>
      </c>
      <c r="C951" s="2234" t="str">
        <f>VLOOKUP($A951,'13 - QT_QUI'!$A:$F,3,0)</f>
        <v>SINAPI</v>
      </c>
      <c r="D951" s="2375" t="s">
        <v>9375</v>
      </c>
      <c r="E951" s="2242" t="str">
        <f>IFERROR(VLOOKUP($B951,'24.08_ND'!$1:$1048529,3,0),IFERROR(VLOOKUP($B951,'03-CP'!$C$1:$H$6260,3,0),""))</f>
        <v>UN</v>
      </c>
      <c r="F951" s="2230">
        <v>8</v>
      </c>
      <c r="G951" s="2238">
        <v>23.81</v>
      </c>
      <c r="H951" s="2302">
        <f t="shared" si="201"/>
        <v>190.48</v>
      </c>
      <c r="I951" s="2328">
        <f t="shared" si="202"/>
        <v>0.75</v>
      </c>
      <c r="J951" s="2237">
        <v>0.75</v>
      </c>
      <c r="K951" s="2411"/>
      <c r="L951" s="2533">
        <f t="shared" si="203"/>
        <v>142.86000000000001</v>
      </c>
      <c r="M951" s="2238">
        <v>142.86000000000001</v>
      </c>
      <c r="N951" s="2239">
        <f t="shared" si="204"/>
        <v>0</v>
      </c>
      <c r="O951" s="2498">
        <f t="shared" si="205"/>
        <v>47.619999999999976</v>
      </c>
      <c r="P951" s="2295">
        <f t="shared" si="206"/>
        <v>0.24999999999999989</v>
      </c>
    </row>
    <row r="952" spans="1:25" ht="30">
      <c r="A952" s="2272" t="s">
        <v>13602</v>
      </c>
      <c r="B952" s="2234">
        <f>VLOOKUP($A952,'13 - QT_QUI'!$A:$F,2,0)</f>
        <v>89369</v>
      </c>
      <c r="C952" s="2234" t="str">
        <f>VLOOKUP($A952,'13 - QT_QUI'!$A:$F,3,0)</f>
        <v>SINAPI</v>
      </c>
      <c r="D952" s="2375" t="s">
        <v>8676</v>
      </c>
      <c r="E952" s="2242" t="str">
        <f>IFERROR(VLOOKUP($B952,'24.08_ND'!$1:$1048529,3,0),IFERROR(VLOOKUP($B952,'03-CP'!$C$1:$H$6260,3,0),""))</f>
        <v>UN</v>
      </c>
      <c r="F952" s="2230">
        <v>6</v>
      </c>
      <c r="G952" s="2238">
        <v>17.91</v>
      </c>
      <c r="H952" s="2302">
        <f t="shared" si="201"/>
        <v>107.46</v>
      </c>
      <c r="I952" s="2328">
        <f t="shared" si="202"/>
        <v>0.75</v>
      </c>
      <c r="J952" s="2237">
        <v>0.75</v>
      </c>
      <c r="K952" s="2411"/>
      <c r="L952" s="2533">
        <f t="shared" si="203"/>
        <v>80.59</v>
      </c>
      <c r="M952" s="2238">
        <v>80.59</v>
      </c>
      <c r="N952" s="2239">
        <f t="shared" si="204"/>
        <v>0</v>
      </c>
      <c r="O952" s="2498">
        <f t="shared" si="205"/>
        <v>26.86999999999999</v>
      </c>
      <c r="P952" s="2295">
        <f t="shared" si="206"/>
        <v>0.25004652894100121</v>
      </c>
    </row>
    <row r="953" spans="1:25" ht="30">
      <c r="A953" s="2272" t="s">
        <v>13603</v>
      </c>
      <c r="B953" s="2234">
        <f>VLOOKUP($A953,'13 - QT_QUI'!$A:$F,2,0)</f>
        <v>89364</v>
      </c>
      <c r="C953" s="2234" t="str">
        <f>VLOOKUP($A953,'13 - QT_QUI'!$A:$F,3,0)</f>
        <v>SINAPI</v>
      </c>
      <c r="D953" s="2375" t="s">
        <v>8671</v>
      </c>
      <c r="E953" s="2242" t="str">
        <f>IFERROR(VLOOKUP($B953,'24.08_ND'!$1:$1048529,3,0),IFERROR(VLOOKUP($B953,'03-CP'!$C$1:$H$6260,3,0),""))</f>
        <v>UN</v>
      </c>
      <c r="F953" s="2230">
        <v>8</v>
      </c>
      <c r="G953" s="2238">
        <v>12.43</v>
      </c>
      <c r="H953" s="2302">
        <f t="shared" si="201"/>
        <v>99.44</v>
      </c>
      <c r="I953" s="2328">
        <f t="shared" si="202"/>
        <v>0.75</v>
      </c>
      <c r="J953" s="2237">
        <v>0.75</v>
      </c>
      <c r="K953" s="2411"/>
      <c r="L953" s="2533">
        <f t="shared" si="203"/>
        <v>74.58</v>
      </c>
      <c r="M953" s="2238">
        <v>74.58</v>
      </c>
      <c r="N953" s="2239">
        <f t="shared" si="204"/>
        <v>0</v>
      </c>
      <c r="O953" s="2498">
        <f t="shared" si="205"/>
        <v>24.86</v>
      </c>
      <c r="P953" s="2295">
        <f t="shared" si="206"/>
        <v>0.25</v>
      </c>
    </row>
    <row r="954" spans="1:25" ht="30">
      <c r="A954" s="2272" t="s">
        <v>13604</v>
      </c>
      <c r="B954" s="2234">
        <f>VLOOKUP($A954,'13 - QT_QUI'!$A:$F,2,0)</f>
        <v>89363</v>
      </c>
      <c r="C954" s="2234" t="str">
        <f>VLOOKUP($A954,'13 - QT_QUI'!$A:$F,3,0)</f>
        <v>SINAPI</v>
      </c>
      <c r="D954" s="2375" t="s">
        <v>8670</v>
      </c>
      <c r="E954" s="2242" t="str">
        <f>IFERROR(VLOOKUP($B954,'24.08_ND'!$1:$1048529,3,0),IFERROR(VLOOKUP($B954,'03-CP'!$C$1:$H$6260,3,0),""))</f>
        <v>UN</v>
      </c>
      <c r="F954" s="2230">
        <v>10</v>
      </c>
      <c r="G954" s="2238">
        <v>11</v>
      </c>
      <c r="H954" s="2302">
        <f t="shared" si="201"/>
        <v>110</v>
      </c>
      <c r="I954" s="2328">
        <f t="shared" si="202"/>
        <v>0.75</v>
      </c>
      <c r="J954" s="2237">
        <v>0.75</v>
      </c>
      <c r="K954" s="2411"/>
      <c r="L954" s="2533">
        <f t="shared" si="203"/>
        <v>82.5</v>
      </c>
      <c r="M954" s="2238">
        <v>82.5</v>
      </c>
      <c r="N954" s="2239">
        <f t="shared" si="204"/>
        <v>0</v>
      </c>
      <c r="O954" s="2498">
        <f t="shared" si="205"/>
        <v>27.5</v>
      </c>
      <c r="P954" s="2295">
        <f t="shared" si="206"/>
        <v>0.25</v>
      </c>
    </row>
    <row r="955" spans="1:25" ht="45">
      <c r="A955" s="2272" t="s">
        <v>13605</v>
      </c>
      <c r="B955" s="2234">
        <f>VLOOKUP($A955,'13 - QT_QUI'!$A:$F,2,0)</f>
        <v>89366</v>
      </c>
      <c r="C955" s="2234" t="str">
        <f>VLOOKUP($A955,'13 - QT_QUI'!$A:$F,3,0)</f>
        <v>SINAPI</v>
      </c>
      <c r="D955" s="2375" t="s">
        <v>8673</v>
      </c>
      <c r="E955" s="2242" t="str">
        <f>IFERROR(VLOOKUP($B955,'24.08_ND'!$1:$1048529,3,0),IFERROR(VLOOKUP($B955,'03-CP'!$C$1:$H$6260,3,0),""))</f>
        <v>UN</v>
      </c>
      <c r="F955" s="2230">
        <v>4</v>
      </c>
      <c r="G955" s="2238">
        <v>16.670000000000002</v>
      </c>
      <c r="H955" s="2302">
        <f t="shared" si="201"/>
        <v>66.680000000000007</v>
      </c>
      <c r="I955" s="2328">
        <f t="shared" si="202"/>
        <v>0.75</v>
      </c>
      <c r="J955" s="2237">
        <v>0.75</v>
      </c>
      <c r="K955" s="2411"/>
      <c r="L955" s="2533">
        <f t="shared" si="203"/>
        <v>50.01</v>
      </c>
      <c r="M955" s="2238">
        <v>50.01</v>
      </c>
      <c r="N955" s="2239">
        <f t="shared" si="204"/>
        <v>0</v>
      </c>
      <c r="O955" s="2498">
        <f t="shared" si="205"/>
        <v>16.670000000000009</v>
      </c>
      <c r="P955" s="2295">
        <f t="shared" si="206"/>
        <v>0.25000000000000011</v>
      </c>
    </row>
    <row r="956" spans="1:25" ht="30">
      <c r="A956" s="2272" t="s">
        <v>13606</v>
      </c>
      <c r="B956" s="2234">
        <f>VLOOKUP($A956,'13 - QT_QUI'!$A:$F,2,0)</f>
        <v>89381</v>
      </c>
      <c r="C956" s="2234" t="str">
        <f>VLOOKUP($A956,'13 - QT_QUI'!$A:$F,3,0)</f>
        <v>SINAPI</v>
      </c>
      <c r="D956" s="2375" t="s">
        <v>8688</v>
      </c>
      <c r="E956" s="2242" t="str">
        <f>IFERROR(VLOOKUP($B956,'24.08_ND'!$1:$1048529,3,0),IFERROR(VLOOKUP($B956,'03-CP'!$C$1:$H$6260,3,0),""))</f>
        <v>UN</v>
      </c>
      <c r="F956" s="2230">
        <v>8</v>
      </c>
      <c r="G956" s="2238">
        <v>12.7</v>
      </c>
      <c r="H956" s="2302">
        <f t="shared" si="201"/>
        <v>101.6</v>
      </c>
      <c r="I956" s="2328">
        <f t="shared" si="202"/>
        <v>0.75</v>
      </c>
      <c r="J956" s="2237">
        <v>0.75</v>
      </c>
      <c r="K956" s="2411"/>
      <c r="L956" s="2533">
        <f t="shared" si="203"/>
        <v>76.2</v>
      </c>
      <c r="M956" s="2238">
        <v>76.2</v>
      </c>
      <c r="N956" s="2239">
        <f t="shared" si="204"/>
        <v>0</v>
      </c>
      <c r="O956" s="2498">
        <f t="shared" si="205"/>
        <v>25.399999999999991</v>
      </c>
      <c r="P956" s="2295">
        <f t="shared" si="206"/>
        <v>0.24999999999999992</v>
      </c>
    </row>
    <row r="957" spans="1:25" ht="30">
      <c r="A957" s="2272" t="s">
        <v>13607</v>
      </c>
      <c r="B957" s="2234">
        <f>VLOOKUP($A957,'13 - QT_QUI'!$A:$F,2,0)</f>
        <v>104004</v>
      </c>
      <c r="C957" s="2234" t="str">
        <f>VLOOKUP($A957,'13 - QT_QUI'!$A:$F,3,0)</f>
        <v>SINAPI</v>
      </c>
      <c r="D957" s="2375" t="s">
        <v>9848</v>
      </c>
      <c r="E957" s="2242" t="str">
        <f>IFERROR(VLOOKUP($B957,'24.08_ND'!$1:$1048529,3,0),IFERROR(VLOOKUP($B957,'03-CP'!$C$1:$H$6260,3,0),""))</f>
        <v>UN</v>
      </c>
      <c r="F957" s="2230">
        <v>3</v>
      </c>
      <c r="G957" s="2238">
        <v>31.27</v>
      </c>
      <c r="H957" s="2302">
        <f t="shared" si="201"/>
        <v>93.81</v>
      </c>
      <c r="I957" s="2328">
        <f t="shared" si="202"/>
        <v>0.75</v>
      </c>
      <c r="J957" s="2237">
        <v>0.75</v>
      </c>
      <c r="K957" s="2411"/>
      <c r="L957" s="2533">
        <f t="shared" si="203"/>
        <v>70.349999999999994</v>
      </c>
      <c r="M957" s="2238">
        <v>70.349999999999994</v>
      </c>
      <c r="N957" s="2239">
        <f t="shared" si="204"/>
        <v>0</v>
      </c>
      <c r="O957" s="2498">
        <f t="shared" si="205"/>
        <v>23.460000000000008</v>
      </c>
      <c r="P957" s="2295">
        <f t="shared" si="206"/>
        <v>0.25007994883274715</v>
      </c>
    </row>
    <row r="958" spans="1:25" ht="30">
      <c r="A958" s="2272" t="s">
        <v>13608</v>
      </c>
      <c r="B958" s="2234">
        <f>VLOOKUP($A958,'13 - QT_QUI'!$A:$F,2,0)</f>
        <v>89443</v>
      </c>
      <c r="C958" s="2234" t="str">
        <f>VLOOKUP($A958,'13 - QT_QUI'!$A:$F,3,0)</f>
        <v>SINAPI</v>
      </c>
      <c r="D958" s="2375" t="s">
        <v>8743</v>
      </c>
      <c r="E958" s="2242" t="str">
        <f>IFERROR(VLOOKUP($B958,'24.08_ND'!$1:$1048529,3,0),IFERROR(VLOOKUP($B958,'03-CP'!$C$1:$H$6260,3,0),""))</f>
        <v>UN</v>
      </c>
      <c r="F958" s="2230">
        <v>2</v>
      </c>
      <c r="G958" s="2238">
        <v>18.13</v>
      </c>
      <c r="H958" s="2302">
        <f t="shared" si="201"/>
        <v>36.26</v>
      </c>
      <c r="I958" s="2328">
        <f t="shared" si="202"/>
        <v>0.75</v>
      </c>
      <c r="J958" s="2237">
        <v>0.75</v>
      </c>
      <c r="K958" s="2411"/>
      <c r="L958" s="2533">
        <f t="shared" si="203"/>
        <v>27.19</v>
      </c>
      <c r="M958" s="2238">
        <v>27.19</v>
      </c>
      <c r="N958" s="2239">
        <f t="shared" si="204"/>
        <v>0</v>
      </c>
      <c r="O958" s="2498">
        <f t="shared" si="205"/>
        <v>9.0699999999999967</v>
      </c>
      <c r="P958" s="2295">
        <f t="shared" si="206"/>
        <v>0.25013789299503575</v>
      </c>
    </row>
    <row r="959" spans="1:25" ht="30">
      <c r="A959" s="2272" t="s">
        <v>13609</v>
      </c>
      <c r="B959" s="2234">
        <f>VLOOKUP($A959,'13 - QT_QUI'!$A:$F,2,0)</f>
        <v>89395</v>
      </c>
      <c r="C959" s="2234" t="str">
        <f>VLOOKUP($A959,'13 - QT_QUI'!$A:$F,3,0)</f>
        <v>SINAPI</v>
      </c>
      <c r="D959" s="2375" t="s">
        <v>8701</v>
      </c>
      <c r="E959" s="2242" t="str">
        <f>IFERROR(VLOOKUP($B959,'24.08_ND'!$1:$1048529,3,0),IFERROR(VLOOKUP($B959,'03-CP'!$C$1:$H$6260,3,0),""))</f>
        <v>UN</v>
      </c>
      <c r="F959" s="2230">
        <v>2</v>
      </c>
      <c r="G959" s="2238">
        <v>14.12</v>
      </c>
      <c r="H959" s="2302">
        <f t="shared" si="201"/>
        <v>28.24</v>
      </c>
      <c r="I959" s="2328">
        <f t="shared" si="202"/>
        <v>0.75</v>
      </c>
      <c r="J959" s="2237">
        <v>0.75</v>
      </c>
      <c r="K959" s="2411"/>
      <c r="L959" s="2533">
        <f t="shared" si="203"/>
        <v>21.18</v>
      </c>
      <c r="M959" s="2238">
        <v>21.18</v>
      </c>
      <c r="N959" s="2239">
        <f t="shared" si="204"/>
        <v>0</v>
      </c>
      <c r="O959" s="2498">
        <f t="shared" si="205"/>
        <v>7.0599999999999987</v>
      </c>
      <c r="P959" s="2295">
        <f t="shared" si="206"/>
        <v>0.24999999999999997</v>
      </c>
    </row>
    <row r="960" spans="1:25" ht="30">
      <c r="A960" s="2272" t="s">
        <v>13610</v>
      </c>
      <c r="B960" s="2234">
        <f>VLOOKUP($A960,'13 - QT_QUI'!$A:$F,2,0)</f>
        <v>89987</v>
      </c>
      <c r="C960" s="2234" t="str">
        <f>VLOOKUP($A960,'13 - QT_QUI'!$A:$F,3,0)</f>
        <v>SINAPI</v>
      </c>
      <c r="D960" s="2375" t="s">
        <v>10245</v>
      </c>
      <c r="E960" s="2242" t="str">
        <f>IFERROR(VLOOKUP($B960,'24.08_ND'!$1:$1048529,3,0),IFERROR(VLOOKUP($B960,'03-CP'!$C$1:$H$6260,3,0),""))</f>
        <v>UN</v>
      </c>
      <c r="F960" s="2230">
        <v>4</v>
      </c>
      <c r="G960" s="2238">
        <v>88.15</v>
      </c>
      <c r="H960" s="2302">
        <f t="shared" si="201"/>
        <v>352.6</v>
      </c>
      <c r="I960" s="2328">
        <f t="shared" si="202"/>
        <v>0</v>
      </c>
      <c r="J960" s="2237"/>
      <c r="K960" s="2411"/>
      <c r="L960" s="2533">
        <f t="shared" si="203"/>
        <v>0</v>
      </c>
      <c r="M960" s="2238">
        <v>0</v>
      </c>
      <c r="N960" s="2239">
        <f t="shared" si="204"/>
        <v>0</v>
      </c>
      <c r="O960" s="2498">
        <f t="shared" si="205"/>
        <v>352.6</v>
      </c>
      <c r="P960" s="2295">
        <f t="shared" si="206"/>
        <v>1</v>
      </c>
    </row>
    <row r="961" spans="1:16">
      <c r="A961" s="2272" t="s">
        <v>13611</v>
      </c>
      <c r="B961" s="2228" t="str">
        <f>VLOOKUP($A961,'13 - QT_QUI'!$A:$F,2,0)</f>
        <v>CP-HSD-39</v>
      </c>
      <c r="C961" s="2228" t="str">
        <f>VLOOKUP($A961,'13 - QT_QUI'!$A:$F,3,0)</f>
        <v>PRÓPRIA</v>
      </c>
      <c r="D961" s="2375" t="s">
        <v>15446</v>
      </c>
      <c r="E961" s="2243" t="str">
        <f>IFERROR(VLOOKUP($B961,'24.08_ND'!$1:$1048529,3,0),IFERROR(VLOOKUP($B961,'03-CP'!$C$1:$H$6260,3,0),""))</f>
        <v>UN</v>
      </c>
      <c r="F961" s="2230">
        <v>8</v>
      </c>
      <c r="G961" s="2232">
        <v>17.97</v>
      </c>
      <c r="H961" s="2302">
        <f t="shared" si="201"/>
        <v>143.76</v>
      </c>
      <c r="I961" s="2328">
        <f t="shared" si="202"/>
        <v>0</v>
      </c>
      <c r="J961" s="2231"/>
      <c r="K961" s="2411"/>
      <c r="L961" s="2533">
        <f t="shared" si="203"/>
        <v>0</v>
      </c>
      <c r="M961" s="2238">
        <v>0</v>
      </c>
      <c r="N961" s="2239">
        <f t="shared" si="204"/>
        <v>0</v>
      </c>
      <c r="O961" s="2498">
        <f t="shared" si="205"/>
        <v>143.76</v>
      </c>
      <c r="P961" s="2295">
        <f t="shared" si="206"/>
        <v>1</v>
      </c>
    </row>
    <row r="962" spans="1:16" ht="30">
      <c r="A962" s="2272" t="s">
        <v>13612</v>
      </c>
      <c r="B962" s="2234">
        <f>VLOOKUP($A962,'13 - QT_QUI'!$A:$F,2,0)</f>
        <v>94492</v>
      </c>
      <c r="C962" s="2234" t="str">
        <f>VLOOKUP($A962,'13 - QT_QUI'!$A:$F,3,0)</f>
        <v>SINAPI</v>
      </c>
      <c r="D962" s="2375" t="s">
        <v>10250</v>
      </c>
      <c r="E962" s="2242" t="str">
        <f>IFERROR(VLOOKUP($B962,'24.08_ND'!$1:$1048529,3,0),IFERROR(VLOOKUP($B962,'03-CP'!$C$1:$H$6260,3,0),""))</f>
        <v>UN</v>
      </c>
      <c r="F962" s="2230">
        <v>2</v>
      </c>
      <c r="G962" s="2238">
        <v>58.03</v>
      </c>
      <c r="H962" s="2302">
        <f t="shared" si="201"/>
        <v>116.06</v>
      </c>
      <c r="I962" s="2328">
        <f t="shared" si="202"/>
        <v>0</v>
      </c>
      <c r="J962" s="2237"/>
      <c r="K962" s="2411"/>
      <c r="L962" s="2533">
        <f t="shared" si="203"/>
        <v>0</v>
      </c>
      <c r="M962" s="2238">
        <v>0</v>
      </c>
      <c r="N962" s="2239">
        <f t="shared" si="204"/>
        <v>0</v>
      </c>
      <c r="O962" s="2498">
        <f t="shared" si="205"/>
        <v>116.06</v>
      </c>
      <c r="P962" s="2295">
        <f t="shared" si="206"/>
        <v>1</v>
      </c>
    </row>
    <row r="963" spans="1:16" ht="30">
      <c r="A963" s="2272" t="s">
        <v>13613</v>
      </c>
      <c r="B963" s="2234">
        <f>VLOOKUP($A963,'13 - QT_QUI'!$A:$F,2,0)</f>
        <v>94490</v>
      </c>
      <c r="C963" s="2234" t="str">
        <f>VLOOKUP($A963,'13 - QT_QUI'!$A:$F,3,0)</f>
        <v>SINAPI</v>
      </c>
      <c r="D963" s="2375" t="s">
        <v>10248</v>
      </c>
      <c r="E963" s="2242" t="str">
        <f>IFERROR(VLOOKUP($B963,'24.08_ND'!$1:$1048529,3,0),IFERROR(VLOOKUP($B963,'03-CP'!$C$1:$H$6260,3,0),""))</f>
        <v>UN</v>
      </c>
      <c r="F963" s="2230">
        <v>2</v>
      </c>
      <c r="G963" s="2238">
        <v>41.18</v>
      </c>
      <c r="H963" s="2302">
        <f t="shared" si="201"/>
        <v>82.36</v>
      </c>
      <c r="I963" s="2328">
        <f t="shared" si="202"/>
        <v>0</v>
      </c>
      <c r="J963" s="2237"/>
      <c r="K963" s="2411"/>
      <c r="L963" s="2533">
        <f t="shared" si="203"/>
        <v>0</v>
      </c>
      <c r="M963" s="2238">
        <v>0</v>
      </c>
      <c r="N963" s="2239">
        <f t="shared" si="204"/>
        <v>0</v>
      </c>
      <c r="O963" s="2498">
        <f t="shared" si="205"/>
        <v>82.36</v>
      </c>
      <c r="P963" s="2295">
        <f t="shared" si="206"/>
        <v>1</v>
      </c>
    </row>
    <row r="964" spans="1:16" ht="30">
      <c r="A964" s="2272" t="s">
        <v>13614</v>
      </c>
      <c r="B964" s="2234">
        <f>VLOOKUP($A964,'13 - QT_QUI'!$A:$F,2,0)</f>
        <v>94489</v>
      </c>
      <c r="C964" s="2234" t="str">
        <f>VLOOKUP($A964,'13 - QT_QUI'!$A:$F,3,0)</f>
        <v>SINAPI</v>
      </c>
      <c r="D964" s="2375" t="s">
        <v>10247</v>
      </c>
      <c r="E964" s="2242" t="str">
        <f>IFERROR(VLOOKUP($B964,'24.08_ND'!$1:$1048529,3,0),IFERROR(VLOOKUP($B964,'03-CP'!$C$1:$H$6260,3,0),""))</f>
        <v>UN</v>
      </c>
      <c r="F964" s="2230">
        <v>2</v>
      </c>
      <c r="G964" s="2238">
        <v>28.27</v>
      </c>
      <c r="H964" s="2302">
        <f t="shared" si="201"/>
        <v>56.54</v>
      </c>
      <c r="I964" s="2328">
        <f t="shared" si="202"/>
        <v>0</v>
      </c>
      <c r="J964" s="2237"/>
      <c r="K964" s="2411"/>
      <c r="L964" s="2533">
        <f t="shared" si="203"/>
        <v>0</v>
      </c>
      <c r="M964" s="2238">
        <v>0</v>
      </c>
      <c r="N964" s="2239">
        <f t="shared" si="204"/>
        <v>0</v>
      </c>
      <c r="O964" s="2498">
        <f t="shared" si="205"/>
        <v>56.54</v>
      </c>
      <c r="P964" s="2295">
        <f t="shared" si="206"/>
        <v>1</v>
      </c>
    </row>
    <row r="965" spans="1:16" ht="30">
      <c r="A965" s="2272" t="s">
        <v>13615</v>
      </c>
      <c r="B965" s="2234">
        <f>VLOOKUP($A965,'13 - QT_QUI'!$A:$F,2,0)</f>
        <v>103979</v>
      </c>
      <c r="C965" s="2234" t="str">
        <f>VLOOKUP($A965,'13 - QT_QUI'!$A:$F,3,0)</f>
        <v>SINAPI</v>
      </c>
      <c r="D965" s="2375" t="s">
        <v>8649</v>
      </c>
      <c r="E965" s="2242" t="str">
        <f>IFERROR(VLOOKUP($B965,'24.08_ND'!$1:$1048529,3,0),IFERROR(VLOOKUP($B965,'03-CP'!$C$1:$H$6260,3,0),""))</f>
        <v>M</v>
      </c>
      <c r="F965" s="2230">
        <v>15</v>
      </c>
      <c r="G965" s="2238">
        <v>30.08</v>
      </c>
      <c r="H965" s="2302">
        <f t="shared" si="201"/>
        <v>451.2</v>
      </c>
      <c r="I965" s="2328">
        <f t="shared" si="202"/>
        <v>0</v>
      </c>
      <c r="J965" s="2237"/>
      <c r="K965" s="2411"/>
      <c r="L965" s="2533">
        <f t="shared" si="203"/>
        <v>0</v>
      </c>
      <c r="M965" s="2238">
        <v>0</v>
      </c>
      <c r="N965" s="2239">
        <f t="shared" si="204"/>
        <v>0</v>
      </c>
      <c r="O965" s="2498">
        <f t="shared" si="205"/>
        <v>451.2</v>
      </c>
      <c r="P965" s="2295">
        <f t="shared" si="206"/>
        <v>1</v>
      </c>
    </row>
    <row r="966" spans="1:16" ht="30">
      <c r="A966" s="2272" t="s">
        <v>13616</v>
      </c>
      <c r="B966" s="2234">
        <f>VLOOKUP($A966,'13 - QT_QUI'!$A:$F,2,0)</f>
        <v>89403</v>
      </c>
      <c r="C966" s="2234" t="str">
        <f>VLOOKUP($A966,'13 - QT_QUI'!$A:$F,3,0)</f>
        <v>SINAPI</v>
      </c>
      <c r="D966" s="2375" t="s">
        <v>8423</v>
      </c>
      <c r="E966" s="2242" t="str">
        <f>IFERROR(VLOOKUP($B966,'24.08_ND'!$1:$1048529,3,0),IFERROR(VLOOKUP($B966,'03-CP'!$C$1:$H$6260,3,0),""))</f>
        <v>M</v>
      </c>
      <c r="F966" s="2230">
        <v>6</v>
      </c>
      <c r="G966" s="2238">
        <v>19.309999999999999</v>
      </c>
      <c r="H966" s="2302">
        <f t="shared" si="201"/>
        <v>115.86</v>
      </c>
      <c r="I966" s="2328">
        <f t="shared" si="202"/>
        <v>0</v>
      </c>
      <c r="J966" s="2237"/>
      <c r="K966" s="2411"/>
      <c r="L966" s="2533">
        <f t="shared" si="203"/>
        <v>0</v>
      </c>
      <c r="M966" s="2238">
        <v>0</v>
      </c>
      <c r="N966" s="2239">
        <f t="shared" si="204"/>
        <v>0</v>
      </c>
      <c r="O966" s="2498">
        <f t="shared" si="205"/>
        <v>115.86</v>
      </c>
      <c r="P966" s="2295">
        <f t="shared" si="206"/>
        <v>1</v>
      </c>
    </row>
    <row r="967" spans="1:16" ht="30">
      <c r="A967" s="2272" t="s">
        <v>13617</v>
      </c>
      <c r="B967" s="2234">
        <f>VLOOKUP($A967,'13 - QT_QUI'!$A:$F,2,0)</f>
        <v>89402</v>
      </c>
      <c r="C967" s="2234" t="str">
        <f>VLOOKUP($A967,'13 - QT_QUI'!$A:$F,3,0)</f>
        <v>SINAPI</v>
      </c>
      <c r="D967" s="2375" t="s">
        <v>8422</v>
      </c>
      <c r="E967" s="2242" t="str">
        <f>IFERROR(VLOOKUP($B967,'24.08_ND'!$1:$1048529,3,0),IFERROR(VLOOKUP($B967,'03-CP'!$C$1:$H$6260,3,0),""))</f>
        <v>M</v>
      </c>
      <c r="F967" s="2230">
        <v>15</v>
      </c>
      <c r="G967" s="2238">
        <v>12.75</v>
      </c>
      <c r="H967" s="2302">
        <f t="shared" si="201"/>
        <v>191.25</v>
      </c>
      <c r="I967" s="2328">
        <f t="shared" si="202"/>
        <v>0.75</v>
      </c>
      <c r="J967" s="2237">
        <v>0.75</v>
      </c>
      <c r="K967" s="2411"/>
      <c r="L967" s="2533">
        <f t="shared" si="203"/>
        <v>143.43</v>
      </c>
      <c r="M967" s="2238">
        <v>143.43</v>
      </c>
      <c r="N967" s="2239">
        <f t="shared" si="204"/>
        <v>0</v>
      </c>
      <c r="O967" s="2498">
        <f t="shared" si="205"/>
        <v>47.819999999999993</v>
      </c>
      <c r="P967" s="2295">
        <f t="shared" si="206"/>
        <v>0.25003921568627446</v>
      </c>
    </row>
    <row r="968" spans="1:16" ht="60">
      <c r="A968" s="2272" t="s">
        <v>13618</v>
      </c>
      <c r="B968" s="2234">
        <f>VLOOKUP($A968,'13 - QT_QUI'!$A:$F,2,0)</f>
        <v>91174</v>
      </c>
      <c r="C968" s="2234" t="str">
        <f>VLOOKUP($A968,'13 - QT_QUI'!$A:$F,3,0)</f>
        <v>SINAPI</v>
      </c>
      <c r="D968" s="2375" t="s">
        <v>10402</v>
      </c>
      <c r="E968" s="2242" t="str">
        <f>IFERROR(VLOOKUP($B968,'24.08_ND'!$1:$1048529,3,0),IFERROR(VLOOKUP($B968,'03-CP'!$C$1:$H$6260,3,0),""))</f>
        <v>M</v>
      </c>
      <c r="F968" s="2230">
        <v>10</v>
      </c>
      <c r="G968" s="2238">
        <v>7.43</v>
      </c>
      <c r="H968" s="2302">
        <f t="shared" si="201"/>
        <v>74.3</v>
      </c>
      <c r="I968" s="2328">
        <f t="shared" si="202"/>
        <v>0</v>
      </c>
      <c r="J968" s="2237"/>
      <c r="K968" s="2411"/>
      <c r="L968" s="2533">
        <f t="shared" si="203"/>
        <v>0</v>
      </c>
      <c r="M968" s="2238">
        <v>0</v>
      </c>
      <c r="N968" s="2239">
        <f t="shared" si="204"/>
        <v>0</v>
      </c>
      <c r="O968" s="2498">
        <f t="shared" si="205"/>
        <v>74.3</v>
      </c>
      <c r="P968" s="2295">
        <f t="shared" si="206"/>
        <v>1</v>
      </c>
    </row>
    <row r="969" spans="1:16" ht="30">
      <c r="A969" s="2272" t="s">
        <v>13619</v>
      </c>
      <c r="B969" s="2234">
        <f>VLOOKUP($A969,'13 - QT_QUI'!$A:$F,2,0)</f>
        <v>102605</v>
      </c>
      <c r="C969" s="2234" t="str">
        <f>VLOOKUP($A969,'13 - QT_QUI'!$A:$F,3,0)</f>
        <v>SINAPI</v>
      </c>
      <c r="D969" s="2375" t="s">
        <v>10053</v>
      </c>
      <c r="E969" s="2242" t="str">
        <f>IFERROR(VLOOKUP($B969,'24.08_ND'!$1:$1048529,3,0),IFERROR(VLOOKUP($B969,'03-CP'!$C$1:$H$6260,3,0),""))</f>
        <v>UN</v>
      </c>
      <c r="F969" s="2230">
        <v>2</v>
      </c>
      <c r="G969" s="2238">
        <v>279.20999999999998</v>
      </c>
      <c r="H969" s="2302">
        <f t="shared" si="201"/>
        <v>558.41999999999996</v>
      </c>
      <c r="I969" s="2328">
        <f t="shared" si="202"/>
        <v>1</v>
      </c>
      <c r="J969" s="2237">
        <v>1</v>
      </c>
      <c r="K969" s="2411"/>
      <c r="L969" s="2533">
        <f t="shared" si="203"/>
        <v>558.41999999999996</v>
      </c>
      <c r="M969" s="2238">
        <v>558.41999999999996</v>
      </c>
      <c r="N969" s="2239">
        <f t="shared" si="204"/>
        <v>0</v>
      </c>
      <c r="O969" s="2498">
        <f t="shared" si="205"/>
        <v>0</v>
      </c>
      <c r="P969" s="2295">
        <f t="shared" si="206"/>
        <v>0</v>
      </c>
    </row>
    <row r="970" spans="1:16" ht="45">
      <c r="A970" s="2272" t="s">
        <v>13620</v>
      </c>
      <c r="B970" s="2234">
        <f>VLOOKUP($A970,'13 - QT_QUI'!$A:$F,2,0)</f>
        <v>94703</v>
      </c>
      <c r="C970" s="2234" t="str">
        <f>VLOOKUP($A970,'13 - QT_QUI'!$A:$F,3,0)</f>
        <v>SINAPI</v>
      </c>
      <c r="D970" s="2375" t="s">
        <v>9399</v>
      </c>
      <c r="E970" s="2242" t="str">
        <f>IFERROR(VLOOKUP($B970,'24.08_ND'!$1:$1048529,3,0),IFERROR(VLOOKUP($B970,'03-CP'!$C$1:$H$6260,3,0),""))</f>
        <v>UN</v>
      </c>
      <c r="F970" s="2230">
        <v>2</v>
      </c>
      <c r="G970" s="2238">
        <v>19.8</v>
      </c>
      <c r="H970" s="2302">
        <f t="shared" si="201"/>
        <v>39.6</v>
      </c>
      <c r="I970" s="2328">
        <f t="shared" si="202"/>
        <v>1</v>
      </c>
      <c r="J970" s="2237">
        <v>1</v>
      </c>
      <c r="K970" s="2411"/>
      <c r="L970" s="2533">
        <f t="shared" si="203"/>
        <v>39.6</v>
      </c>
      <c r="M970" s="2238">
        <v>39.6</v>
      </c>
      <c r="N970" s="2239">
        <f t="shared" si="204"/>
        <v>0</v>
      </c>
      <c r="O970" s="2498">
        <f t="shared" si="205"/>
        <v>0</v>
      </c>
      <c r="P970" s="2295">
        <f t="shared" si="206"/>
        <v>0</v>
      </c>
    </row>
    <row r="971" spans="1:16" ht="45">
      <c r="A971" s="2272" t="s">
        <v>13621</v>
      </c>
      <c r="B971" s="2234">
        <f>VLOOKUP($A971,'13 - QT_QUI'!$A:$F,2,0)</f>
        <v>94704</v>
      </c>
      <c r="C971" s="2234" t="str">
        <f>VLOOKUP($A971,'13 - QT_QUI'!$A:$F,3,0)</f>
        <v>SINAPI</v>
      </c>
      <c r="D971" s="2375" t="s">
        <v>9400</v>
      </c>
      <c r="E971" s="2242" t="str">
        <f>IFERROR(VLOOKUP($B971,'24.08_ND'!$1:$1048529,3,0),IFERROR(VLOOKUP($B971,'03-CP'!$C$1:$H$6260,3,0),""))</f>
        <v>UN</v>
      </c>
      <c r="F971" s="2230">
        <v>4</v>
      </c>
      <c r="G971" s="2238">
        <v>26.35</v>
      </c>
      <c r="H971" s="2302">
        <f t="shared" si="201"/>
        <v>105.4</v>
      </c>
      <c r="I971" s="2328">
        <f t="shared" si="202"/>
        <v>0.75</v>
      </c>
      <c r="J971" s="2237">
        <v>0.75</v>
      </c>
      <c r="K971" s="2411"/>
      <c r="L971" s="2533">
        <f t="shared" si="203"/>
        <v>79.05</v>
      </c>
      <c r="M971" s="2238">
        <v>79.05</v>
      </c>
      <c r="N971" s="2239">
        <f t="shared" si="204"/>
        <v>0</v>
      </c>
      <c r="O971" s="2498">
        <f t="shared" si="205"/>
        <v>26.350000000000009</v>
      </c>
      <c r="P971" s="2295">
        <f t="shared" si="206"/>
        <v>0.25000000000000006</v>
      </c>
    </row>
    <row r="972" spans="1:16" ht="45">
      <c r="A972" s="2272" t="s">
        <v>13622</v>
      </c>
      <c r="B972" s="2234">
        <f>VLOOKUP($A972,'13 - QT_QUI'!$A:$F,2,0)</f>
        <v>94706</v>
      </c>
      <c r="C972" s="2234" t="str">
        <f>VLOOKUP($A972,'13 - QT_QUI'!$A:$F,3,0)</f>
        <v>SINAPI</v>
      </c>
      <c r="D972" s="2375" t="s">
        <v>9402</v>
      </c>
      <c r="E972" s="2242" t="str">
        <f>IFERROR(VLOOKUP($B972,'24.08_ND'!$1:$1048529,3,0),IFERROR(VLOOKUP($B972,'03-CP'!$C$1:$H$6260,3,0),""))</f>
        <v>UN</v>
      </c>
      <c r="F972" s="2230">
        <v>2</v>
      </c>
      <c r="G972" s="2238">
        <v>35.26</v>
      </c>
      <c r="H972" s="2302">
        <f t="shared" si="201"/>
        <v>70.52</v>
      </c>
      <c r="I972" s="2328">
        <f t="shared" si="202"/>
        <v>0</v>
      </c>
      <c r="J972" s="2237"/>
      <c r="K972" s="2411"/>
      <c r="L972" s="2533">
        <f t="shared" si="203"/>
        <v>0</v>
      </c>
      <c r="M972" s="2238">
        <v>0</v>
      </c>
      <c r="N972" s="2239">
        <f t="shared" si="204"/>
        <v>0</v>
      </c>
      <c r="O972" s="2498">
        <f t="shared" si="205"/>
        <v>70.52</v>
      </c>
      <c r="P972" s="2295">
        <f t="shared" si="206"/>
        <v>1</v>
      </c>
    </row>
    <row r="973" spans="1:16" ht="30">
      <c r="A973" s="2272" t="s">
        <v>13623</v>
      </c>
      <c r="B973" s="2234">
        <f>VLOOKUP($A973,'13 - QT_QUI'!$A:$F,2,0)</f>
        <v>94796</v>
      </c>
      <c r="C973" s="2234" t="str">
        <f>VLOOKUP($A973,'13 - QT_QUI'!$A:$F,3,0)</f>
        <v>SINAPI</v>
      </c>
      <c r="D973" s="2375" t="s">
        <v>10263</v>
      </c>
      <c r="E973" s="2242" t="str">
        <f>IFERROR(VLOOKUP($B973,'24.08_ND'!$1:$1048529,3,0),IFERROR(VLOOKUP($B973,'03-CP'!$C$1:$H$6260,3,0),""))</f>
        <v>UN</v>
      </c>
      <c r="F973" s="2230">
        <v>2</v>
      </c>
      <c r="G973" s="2238">
        <v>45.85</v>
      </c>
      <c r="H973" s="2302">
        <f t="shared" si="201"/>
        <v>91.7</v>
      </c>
      <c r="I973" s="2328">
        <f t="shared" si="202"/>
        <v>0</v>
      </c>
      <c r="J973" s="2237"/>
      <c r="K973" s="2411"/>
      <c r="L973" s="2533">
        <f t="shared" si="203"/>
        <v>0</v>
      </c>
      <c r="M973" s="2238">
        <v>0</v>
      </c>
      <c r="N973" s="2239">
        <f t="shared" si="204"/>
        <v>0</v>
      </c>
      <c r="O973" s="2498">
        <f t="shared" si="205"/>
        <v>91.7</v>
      </c>
      <c r="P973" s="2295">
        <f t="shared" si="206"/>
        <v>1</v>
      </c>
    </row>
    <row r="974" spans="1:16">
      <c r="A974" s="2343" t="s">
        <v>13624</v>
      </c>
      <c r="B974" s="2223"/>
      <c r="C974" s="2223"/>
      <c r="D974" s="2376" t="s">
        <v>16317</v>
      </c>
      <c r="E974" s="2224"/>
      <c r="F974" s="2240"/>
      <c r="G974" s="2226"/>
      <c r="H974" s="2301">
        <f>SUBTOTAL(9,H975:H1005)</f>
        <v>11801.279999999999</v>
      </c>
      <c r="I974" s="2284"/>
      <c r="J974" s="2227"/>
      <c r="K974" s="2496"/>
      <c r="L974" s="2534">
        <f>SUBTOTAL(9,L975:L1005)</f>
        <v>10536.419999999998</v>
      </c>
      <c r="M974" s="2301">
        <f>SUBTOTAL(9,M975:M1005)</f>
        <v>10536.419999999998</v>
      </c>
      <c r="N974" s="2301">
        <f>SUBTOTAL(9,N975:N1005)</f>
        <v>0</v>
      </c>
      <c r="O974" s="2301">
        <f>SUBTOTAL(9,O975:O1005)</f>
        <v>1264.8599999999999</v>
      </c>
      <c r="P974" s="2558">
        <f t="shared" si="206"/>
        <v>0.10717989912958595</v>
      </c>
    </row>
    <row r="975" spans="1:16" ht="45">
      <c r="A975" s="2272" t="s">
        <v>13625</v>
      </c>
      <c r="B975" s="2234">
        <f>VLOOKUP($A975,'13 - QT_QUI'!$A:$F,2,0)</f>
        <v>89746</v>
      </c>
      <c r="C975" s="2234" t="str">
        <f>VLOOKUP($A975,'13 - QT_QUI'!$A:$F,3,0)</f>
        <v>SINAPI</v>
      </c>
      <c r="D975" s="2375" t="s">
        <v>8958</v>
      </c>
      <c r="E975" s="2242" t="str">
        <f>IFERROR(VLOOKUP($B975,'24.08_ND'!$1:$1048529,3,0),IFERROR(VLOOKUP($B975,'03-CP'!$C$1:$H$6260,3,0),""))</f>
        <v>UN</v>
      </c>
      <c r="F975" s="2230">
        <v>10</v>
      </c>
      <c r="G975" s="2238">
        <v>31.41</v>
      </c>
      <c r="H975" s="2302">
        <f t="shared" ref="H975:H1005" si="207">TRUNC((G975*F975),2)</f>
        <v>314.10000000000002</v>
      </c>
      <c r="I975" s="2328">
        <f t="shared" ref="I975:I1015" si="208">J975+K975</f>
        <v>1</v>
      </c>
      <c r="J975" s="2314">
        <v>1</v>
      </c>
      <c r="K975" s="2411"/>
      <c r="L975" s="2533">
        <f t="shared" ref="L975:L1005" si="209">M975+N975</f>
        <v>314.10000000000002</v>
      </c>
      <c r="M975" s="2238">
        <v>314.10000000000002</v>
      </c>
      <c r="N975" s="2239">
        <f t="shared" ref="N975:N1005" si="210">TRUNC(H975*K975,2)</f>
        <v>0</v>
      </c>
      <c r="O975" s="2498">
        <f t="shared" ref="O975:O1015" si="211">H975-L975</f>
        <v>0</v>
      </c>
      <c r="P975" s="2295">
        <f t="shared" si="206"/>
        <v>0</v>
      </c>
    </row>
    <row r="976" spans="1:16" ht="45">
      <c r="A976" s="2272" t="s">
        <v>13626</v>
      </c>
      <c r="B976" s="2234">
        <f>VLOOKUP($A976,'13 - QT_QUI'!$A:$F,2,0)</f>
        <v>89732</v>
      </c>
      <c r="C976" s="2234" t="str">
        <f>VLOOKUP($A976,'13 - QT_QUI'!$A:$F,3,0)</f>
        <v>SINAPI</v>
      </c>
      <c r="D976" s="2375" t="s">
        <v>8945</v>
      </c>
      <c r="E976" s="2242" t="str">
        <f>IFERROR(VLOOKUP($B976,'24.08_ND'!$1:$1048529,3,0),IFERROR(VLOOKUP($B976,'03-CP'!$C$1:$H$6260,3,0),""))</f>
        <v>UN</v>
      </c>
      <c r="F976" s="2230">
        <v>20</v>
      </c>
      <c r="G976" s="2238">
        <v>17.260000000000002</v>
      </c>
      <c r="H976" s="2302">
        <f t="shared" si="207"/>
        <v>345.2</v>
      </c>
      <c r="I976" s="2328">
        <f t="shared" si="208"/>
        <v>1</v>
      </c>
      <c r="J976" s="2314">
        <v>1</v>
      </c>
      <c r="K976" s="2411"/>
      <c r="L976" s="2533">
        <f t="shared" si="209"/>
        <v>345.2</v>
      </c>
      <c r="M976" s="2238">
        <v>345.2</v>
      </c>
      <c r="N976" s="2239">
        <f t="shared" si="210"/>
        <v>0</v>
      </c>
      <c r="O976" s="2498">
        <f t="shared" si="211"/>
        <v>0</v>
      </c>
      <c r="P976" s="2295">
        <f t="shared" si="206"/>
        <v>0</v>
      </c>
    </row>
    <row r="977" spans="1:16" ht="45">
      <c r="A977" s="2272" t="s">
        <v>13627</v>
      </c>
      <c r="B977" s="2234">
        <f>VLOOKUP($A977,'13 - QT_QUI'!$A:$F,2,0)</f>
        <v>89726</v>
      </c>
      <c r="C977" s="2234" t="str">
        <f>VLOOKUP($A977,'13 - QT_QUI'!$A:$F,3,0)</f>
        <v>SINAPI</v>
      </c>
      <c r="D977" s="2375" t="s">
        <v>8939</v>
      </c>
      <c r="E977" s="2242" t="str">
        <f>IFERROR(VLOOKUP($B977,'24.08_ND'!$1:$1048529,3,0),IFERROR(VLOOKUP($B977,'03-CP'!$C$1:$H$6260,3,0),""))</f>
        <v>UN</v>
      </c>
      <c r="F977" s="2230">
        <v>3</v>
      </c>
      <c r="G977" s="2238">
        <v>11.53</v>
      </c>
      <c r="H977" s="2302">
        <f t="shared" si="207"/>
        <v>34.590000000000003</v>
      </c>
      <c r="I977" s="2328">
        <f t="shared" si="208"/>
        <v>1</v>
      </c>
      <c r="J977" s="2314">
        <v>1</v>
      </c>
      <c r="K977" s="2411"/>
      <c r="L977" s="2533">
        <f t="shared" si="209"/>
        <v>34.590000000000003</v>
      </c>
      <c r="M977" s="2238">
        <v>34.590000000000003</v>
      </c>
      <c r="N977" s="2239">
        <f t="shared" si="210"/>
        <v>0</v>
      </c>
      <c r="O977" s="2498">
        <f t="shared" si="211"/>
        <v>0</v>
      </c>
      <c r="P977" s="2295">
        <f t="shared" si="206"/>
        <v>0</v>
      </c>
    </row>
    <row r="978" spans="1:16" ht="45">
      <c r="A978" s="2272" t="s">
        <v>13628</v>
      </c>
      <c r="B978" s="2234">
        <f>VLOOKUP($A978,'13 - QT_QUI'!$A:$F,2,0)</f>
        <v>89748</v>
      </c>
      <c r="C978" s="2234" t="str">
        <f>VLOOKUP($A978,'13 - QT_QUI'!$A:$F,3,0)</f>
        <v>SINAPI</v>
      </c>
      <c r="D978" s="2375" t="s">
        <v>8960</v>
      </c>
      <c r="E978" s="2242" t="str">
        <f>IFERROR(VLOOKUP($B978,'24.08_ND'!$1:$1048529,3,0),IFERROR(VLOOKUP($B978,'03-CP'!$C$1:$H$6260,3,0),""))</f>
        <v>UN</v>
      </c>
      <c r="F978" s="2230">
        <v>1</v>
      </c>
      <c r="G978" s="2238">
        <v>46.42</v>
      </c>
      <c r="H978" s="2302">
        <f t="shared" si="207"/>
        <v>46.42</v>
      </c>
      <c r="I978" s="2328">
        <f t="shared" si="208"/>
        <v>1</v>
      </c>
      <c r="J978" s="2314">
        <v>1</v>
      </c>
      <c r="K978" s="2411"/>
      <c r="L978" s="2533">
        <f t="shared" si="209"/>
        <v>46.42</v>
      </c>
      <c r="M978" s="2238">
        <v>46.42</v>
      </c>
      <c r="N978" s="2239">
        <f t="shared" si="210"/>
        <v>0</v>
      </c>
      <c r="O978" s="2498">
        <f t="shared" si="211"/>
        <v>0</v>
      </c>
      <c r="P978" s="2295">
        <f t="shared" si="206"/>
        <v>0</v>
      </c>
    </row>
    <row r="979" spans="1:16" ht="45">
      <c r="A979" s="2272" t="s">
        <v>13629</v>
      </c>
      <c r="B979" s="2234">
        <f>VLOOKUP($A979,'13 - QT_QUI'!$A:$F,2,0)</f>
        <v>89733</v>
      </c>
      <c r="C979" s="2234" t="str">
        <f>VLOOKUP($A979,'13 - QT_QUI'!$A:$F,3,0)</f>
        <v>SINAPI</v>
      </c>
      <c r="D979" s="2375" t="s">
        <v>8946</v>
      </c>
      <c r="E979" s="2242" t="str">
        <f>IFERROR(VLOOKUP($B979,'24.08_ND'!$1:$1048529,3,0),IFERROR(VLOOKUP($B979,'03-CP'!$C$1:$H$6260,3,0),""))</f>
        <v>UN</v>
      </c>
      <c r="F979" s="2230">
        <v>4</v>
      </c>
      <c r="G979" s="2238">
        <v>25.42</v>
      </c>
      <c r="H979" s="2302">
        <f t="shared" si="207"/>
        <v>101.68</v>
      </c>
      <c r="I979" s="2328">
        <f t="shared" si="208"/>
        <v>1</v>
      </c>
      <c r="J979" s="2314">
        <v>1</v>
      </c>
      <c r="K979" s="2411"/>
      <c r="L979" s="2533">
        <f t="shared" si="209"/>
        <v>101.68</v>
      </c>
      <c r="M979" s="2238">
        <v>101.68</v>
      </c>
      <c r="N979" s="2239">
        <f t="shared" si="210"/>
        <v>0</v>
      </c>
      <c r="O979" s="2498">
        <f t="shared" si="211"/>
        <v>0</v>
      </c>
      <c r="P979" s="2295">
        <f t="shared" si="206"/>
        <v>0</v>
      </c>
    </row>
    <row r="980" spans="1:16" ht="45">
      <c r="A980" s="2272" t="s">
        <v>13630</v>
      </c>
      <c r="B980" s="2234">
        <f>VLOOKUP($A980,'13 - QT_QUI'!$A:$F,2,0)</f>
        <v>89724</v>
      </c>
      <c r="C980" s="2234" t="str">
        <f>VLOOKUP($A980,'13 - QT_QUI'!$A:$F,3,0)</f>
        <v>SINAPI</v>
      </c>
      <c r="D980" s="2375" t="s">
        <v>8937</v>
      </c>
      <c r="E980" s="2242" t="str">
        <f>IFERROR(VLOOKUP($B980,'24.08_ND'!$1:$1048529,3,0),IFERROR(VLOOKUP($B980,'03-CP'!$C$1:$H$6260,3,0),""))</f>
        <v>UN</v>
      </c>
      <c r="F980" s="2230">
        <v>4</v>
      </c>
      <c r="G980" s="2238">
        <v>11.28</v>
      </c>
      <c r="H980" s="2302">
        <f t="shared" si="207"/>
        <v>45.12</v>
      </c>
      <c r="I980" s="2328">
        <f t="shared" si="208"/>
        <v>1</v>
      </c>
      <c r="J980" s="2314">
        <v>1</v>
      </c>
      <c r="K980" s="2411"/>
      <c r="L980" s="2533">
        <f t="shared" si="209"/>
        <v>45.12</v>
      </c>
      <c r="M980" s="2238">
        <v>45.12</v>
      </c>
      <c r="N980" s="2239">
        <f t="shared" si="210"/>
        <v>0</v>
      </c>
      <c r="O980" s="2498">
        <f t="shared" si="211"/>
        <v>0</v>
      </c>
      <c r="P980" s="2295">
        <f t="shared" si="206"/>
        <v>0</v>
      </c>
    </row>
    <row r="981" spans="1:16" ht="45">
      <c r="A981" s="2272" t="s">
        <v>13631</v>
      </c>
      <c r="B981" s="2234">
        <f>VLOOKUP($A981,'13 - QT_QUI'!$A:$F,2,0)</f>
        <v>89731</v>
      </c>
      <c r="C981" s="2234" t="str">
        <f>VLOOKUP($A981,'13 - QT_QUI'!$A:$F,3,0)</f>
        <v>SINAPI</v>
      </c>
      <c r="D981" s="2375" t="s">
        <v>8944</v>
      </c>
      <c r="E981" s="2242" t="str">
        <f>IFERROR(VLOOKUP($B981,'24.08_ND'!$1:$1048529,3,0),IFERROR(VLOOKUP($B981,'03-CP'!$C$1:$H$6260,3,0),""))</f>
        <v>UN</v>
      </c>
      <c r="F981" s="2230">
        <v>11</v>
      </c>
      <c r="G981" s="2238">
        <v>16.48</v>
      </c>
      <c r="H981" s="2302">
        <f t="shared" si="207"/>
        <v>181.28</v>
      </c>
      <c r="I981" s="2328">
        <f t="shared" si="208"/>
        <v>1</v>
      </c>
      <c r="J981" s="2314">
        <v>1</v>
      </c>
      <c r="K981" s="2411"/>
      <c r="L981" s="2533">
        <f t="shared" si="209"/>
        <v>181.28</v>
      </c>
      <c r="M981" s="2238">
        <v>181.28</v>
      </c>
      <c r="N981" s="2239">
        <f t="shared" si="210"/>
        <v>0</v>
      </c>
      <c r="O981" s="2498">
        <f t="shared" si="211"/>
        <v>0</v>
      </c>
      <c r="P981" s="2295">
        <f t="shared" si="206"/>
        <v>0</v>
      </c>
    </row>
    <row r="982" spans="1:16" ht="30">
      <c r="A982" s="2272" t="s">
        <v>13632</v>
      </c>
      <c r="B982" s="2228" t="str">
        <f>VLOOKUP($A982,'13 - QT_QUI'!$A:$F,2,0)</f>
        <v>CP-HSD-07</v>
      </c>
      <c r="C982" s="2228" t="str">
        <f>VLOOKUP($A982,'13 - QT_QUI'!$A:$F,3,0)</f>
        <v>PRÓPRIA</v>
      </c>
      <c r="D982" s="2375" t="s">
        <v>15373</v>
      </c>
      <c r="E982" s="2243" t="str">
        <f>IFERROR(VLOOKUP($B982,'24.08_ND'!$1:$1048529,3,0),IFERROR(VLOOKUP($B982,'03-CP'!$C$1:$H$6260,3,0),""))</f>
        <v>UN</v>
      </c>
      <c r="F982" s="2230">
        <v>4</v>
      </c>
      <c r="G982" s="2232">
        <v>20.88</v>
      </c>
      <c r="H982" s="2302">
        <f t="shared" si="207"/>
        <v>83.52</v>
      </c>
      <c r="I982" s="2328">
        <f t="shared" si="208"/>
        <v>1</v>
      </c>
      <c r="J982" s="2313">
        <v>1</v>
      </c>
      <c r="K982" s="2412"/>
      <c r="L982" s="2533">
        <f t="shared" si="209"/>
        <v>83.52</v>
      </c>
      <c r="M982" s="2238">
        <v>83.52</v>
      </c>
      <c r="N982" s="2239">
        <f t="shared" si="210"/>
        <v>0</v>
      </c>
      <c r="O982" s="2498">
        <f t="shared" si="211"/>
        <v>0</v>
      </c>
      <c r="P982" s="2295">
        <f t="shared" si="206"/>
        <v>0</v>
      </c>
    </row>
    <row r="983" spans="1:16" ht="30">
      <c r="A983" s="2272" t="s">
        <v>13633</v>
      </c>
      <c r="B983" s="2228" t="str">
        <f>VLOOKUP($A983,'13 - QT_QUI'!$A:$F,2,0)</f>
        <v>CP-HSD-09</v>
      </c>
      <c r="C983" s="2228" t="str">
        <f>VLOOKUP($A983,'13 - QT_QUI'!$A:$F,3,0)</f>
        <v>PRÓPRIA</v>
      </c>
      <c r="D983" s="2375" t="s">
        <v>15375</v>
      </c>
      <c r="E983" s="2243" t="str">
        <f>IFERROR(VLOOKUP($B983,'24.08_ND'!$1:$1048529,3,0),IFERROR(VLOOKUP($B983,'03-CP'!$C$1:$H$6260,3,0),""))</f>
        <v>UN</v>
      </c>
      <c r="F983" s="2230">
        <v>2</v>
      </c>
      <c r="G983" s="2232">
        <v>13.62</v>
      </c>
      <c r="H983" s="2302">
        <f t="shared" si="207"/>
        <v>27.24</v>
      </c>
      <c r="I983" s="2328">
        <f t="shared" si="208"/>
        <v>1</v>
      </c>
      <c r="J983" s="2313">
        <v>1</v>
      </c>
      <c r="K983" s="2412"/>
      <c r="L983" s="2533">
        <f t="shared" si="209"/>
        <v>27.24</v>
      </c>
      <c r="M983" s="2238">
        <v>27.24</v>
      </c>
      <c r="N983" s="2239">
        <f t="shared" si="210"/>
        <v>0</v>
      </c>
      <c r="O983" s="2498">
        <f t="shared" si="211"/>
        <v>0</v>
      </c>
      <c r="P983" s="2295">
        <f t="shared" si="206"/>
        <v>0</v>
      </c>
    </row>
    <row r="984" spans="1:16" ht="45">
      <c r="A984" s="2272" t="s">
        <v>13634</v>
      </c>
      <c r="B984" s="2234">
        <f>VLOOKUP($A984,'13 - QT_QUI'!$A:$F,2,0)</f>
        <v>89797</v>
      </c>
      <c r="C984" s="2234" t="str">
        <f>VLOOKUP($A984,'13 - QT_QUI'!$A:$F,3,0)</f>
        <v>SINAPI</v>
      </c>
      <c r="D984" s="2375" t="s">
        <v>9003</v>
      </c>
      <c r="E984" s="2242" t="str">
        <f>IFERROR(VLOOKUP($B984,'24.08_ND'!$1:$1048529,3,0),IFERROR(VLOOKUP($B984,'03-CP'!$C$1:$H$6260,3,0),""))</f>
        <v>UN</v>
      </c>
      <c r="F984" s="2230">
        <v>5</v>
      </c>
      <c r="G984" s="2238">
        <v>56.35</v>
      </c>
      <c r="H984" s="2302">
        <f t="shared" si="207"/>
        <v>281.75</v>
      </c>
      <c r="I984" s="2328">
        <f t="shared" si="208"/>
        <v>1</v>
      </c>
      <c r="J984" s="2314">
        <v>1</v>
      </c>
      <c r="K984" s="2411"/>
      <c r="L984" s="2533">
        <f t="shared" si="209"/>
        <v>281.75</v>
      </c>
      <c r="M984" s="2238">
        <v>281.75</v>
      </c>
      <c r="N984" s="2239">
        <f t="shared" si="210"/>
        <v>0</v>
      </c>
      <c r="O984" s="2498">
        <f t="shared" si="211"/>
        <v>0</v>
      </c>
      <c r="P984" s="2295">
        <f t="shared" si="206"/>
        <v>0</v>
      </c>
    </row>
    <row r="985" spans="1:16" ht="45">
      <c r="A985" s="2272" t="s">
        <v>13635</v>
      </c>
      <c r="B985" s="2228" t="str">
        <f>VLOOKUP($A985,'13 - QT_QUI'!$A:$F,2,0)</f>
        <v>CP-HSD-06</v>
      </c>
      <c r="C985" s="2228" t="str">
        <f>VLOOKUP($A985,'13 - QT_QUI'!$A:$F,3,0)</f>
        <v>PRÓPRIA</v>
      </c>
      <c r="D985" s="2375" t="s">
        <v>15371</v>
      </c>
      <c r="E985" s="2243" t="str">
        <f>IFERROR(VLOOKUP($B985,'24.08_ND'!$1:$1048529,3,0),IFERROR(VLOOKUP($B985,'03-CP'!$C$1:$H$6260,3,0),""))</f>
        <v>UN</v>
      </c>
      <c r="F985" s="2230">
        <v>2</v>
      </c>
      <c r="G985" s="2232">
        <v>49.12</v>
      </c>
      <c r="H985" s="2302">
        <f t="shared" si="207"/>
        <v>98.24</v>
      </c>
      <c r="I985" s="2328">
        <f t="shared" si="208"/>
        <v>1</v>
      </c>
      <c r="J985" s="2313">
        <v>1</v>
      </c>
      <c r="K985" s="2412"/>
      <c r="L985" s="2533">
        <f t="shared" si="209"/>
        <v>98.24</v>
      </c>
      <c r="M985" s="2238">
        <v>98.24</v>
      </c>
      <c r="N985" s="2239">
        <f t="shared" si="210"/>
        <v>0</v>
      </c>
      <c r="O985" s="2498">
        <f t="shared" si="211"/>
        <v>0</v>
      </c>
      <c r="P985" s="2295">
        <f t="shared" si="206"/>
        <v>0</v>
      </c>
    </row>
    <row r="986" spans="1:16" ht="45">
      <c r="A986" s="2272" t="s">
        <v>13636</v>
      </c>
      <c r="B986" s="2234">
        <f>VLOOKUP($A986,'13 - QT_QUI'!$A:$F,2,0)</f>
        <v>89778</v>
      </c>
      <c r="C986" s="2234" t="str">
        <f>VLOOKUP($A986,'13 - QT_QUI'!$A:$F,3,0)</f>
        <v>SINAPI</v>
      </c>
      <c r="D986" s="2375" t="s">
        <v>8984</v>
      </c>
      <c r="E986" s="2242" t="str">
        <f>IFERROR(VLOOKUP($B986,'24.08_ND'!$1:$1048529,3,0),IFERROR(VLOOKUP($B986,'03-CP'!$C$1:$H$6260,3,0),""))</f>
        <v>UN</v>
      </c>
      <c r="F986" s="2230">
        <v>15</v>
      </c>
      <c r="G986" s="2238">
        <v>19.829999999999998</v>
      </c>
      <c r="H986" s="2302">
        <f t="shared" si="207"/>
        <v>297.45</v>
      </c>
      <c r="I986" s="2328">
        <f t="shared" si="208"/>
        <v>1</v>
      </c>
      <c r="J986" s="2314">
        <v>1</v>
      </c>
      <c r="K986" s="2411"/>
      <c r="L986" s="2533">
        <f t="shared" si="209"/>
        <v>297.45</v>
      </c>
      <c r="M986" s="2238">
        <v>297.45</v>
      </c>
      <c r="N986" s="2239">
        <f t="shared" si="210"/>
        <v>0</v>
      </c>
      <c r="O986" s="2498">
        <f t="shared" si="211"/>
        <v>0</v>
      </c>
      <c r="P986" s="2295">
        <f t="shared" si="206"/>
        <v>0</v>
      </c>
    </row>
    <row r="987" spans="1:16" ht="45">
      <c r="A987" s="2272" t="s">
        <v>13637</v>
      </c>
      <c r="B987" s="2234">
        <f>VLOOKUP($A987,'13 - QT_QUI'!$A:$F,2,0)</f>
        <v>89753</v>
      </c>
      <c r="C987" s="2234" t="str">
        <f>VLOOKUP($A987,'13 - QT_QUI'!$A:$F,3,0)</f>
        <v>SINAPI</v>
      </c>
      <c r="D987" s="2375" t="s">
        <v>8964</v>
      </c>
      <c r="E987" s="2242" t="str">
        <f>IFERROR(VLOOKUP($B987,'24.08_ND'!$1:$1048529,3,0),IFERROR(VLOOKUP($B987,'03-CP'!$C$1:$H$6260,3,0),""))</f>
        <v>UN</v>
      </c>
      <c r="F987" s="2230">
        <v>28</v>
      </c>
      <c r="G987" s="2238">
        <v>10.17</v>
      </c>
      <c r="H987" s="2302">
        <f t="shared" si="207"/>
        <v>284.76</v>
      </c>
      <c r="I987" s="2328">
        <f t="shared" si="208"/>
        <v>1</v>
      </c>
      <c r="J987" s="2314">
        <v>1</v>
      </c>
      <c r="K987" s="2411"/>
      <c r="L987" s="2533">
        <f t="shared" si="209"/>
        <v>284.76</v>
      </c>
      <c r="M987" s="2238">
        <v>284.76</v>
      </c>
      <c r="N987" s="2239">
        <f t="shared" si="210"/>
        <v>0</v>
      </c>
      <c r="O987" s="2498">
        <f t="shared" si="211"/>
        <v>0</v>
      </c>
      <c r="P987" s="2295">
        <f t="shared" si="206"/>
        <v>0</v>
      </c>
    </row>
    <row r="988" spans="1:16" ht="45">
      <c r="A988" s="2272" t="s">
        <v>13638</v>
      </c>
      <c r="B988" s="2234">
        <f>VLOOKUP($A988,'13 - QT_QUI'!$A:$F,2,0)</f>
        <v>89774</v>
      </c>
      <c r="C988" s="2234" t="str">
        <f>VLOOKUP($A988,'13 - QT_QUI'!$A:$F,3,0)</f>
        <v>SINAPI</v>
      </c>
      <c r="D988" s="2375" t="s">
        <v>8981</v>
      </c>
      <c r="E988" s="2242" t="str">
        <f>IFERROR(VLOOKUP($B988,'24.08_ND'!$1:$1048529,3,0),IFERROR(VLOOKUP($B988,'03-CP'!$C$1:$H$6260,3,0),""))</f>
        <v>UN</v>
      </c>
      <c r="F988" s="2230">
        <v>1</v>
      </c>
      <c r="G988" s="2238">
        <v>17.079999999999998</v>
      </c>
      <c r="H988" s="2302">
        <f t="shared" si="207"/>
        <v>17.079999999999998</v>
      </c>
      <c r="I988" s="2328">
        <f t="shared" si="208"/>
        <v>1</v>
      </c>
      <c r="J988" s="2314">
        <v>1</v>
      </c>
      <c r="K988" s="2411"/>
      <c r="L988" s="2533">
        <f t="shared" si="209"/>
        <v>17.079999999999998</v>
      </c>
      <c r="M988" s="2238">
        <v>17.079999999999998</v>
      </c>
      <c r="N988" s="2239">
        <f t="shared" si="210"/>
        <v>0</v>
      </c>
      <c r="O988" s="2498">
        <f t="shared" si="211"/>
        <v>0</v>
      </c>
      <c r="P988" s="2295">
        <f t="shared" si="206"/>
        <v>0</v>
      </c>
    </row>
    <row r="989" spans="1:16" ht="30">
      <c r="A989" s="2272" t="s">
        <v>13639</v>
      </c>
      <c r="B989" s="2228" t="str">
        <f>VLOOKUP($A989,'13 - QT_QUI'!$A:$F,2,0)</f>
        <v>CP-HSD-11</v>
      </c>
      <c r="C989" s="2228" t="str">
        <f>VLOOKUP($A989,'13 - QT_QUI'!$A:$F,3,0)</f>
        <v>PRÓPRIA</v>
      </c>
      <c r="D989" s="2375" t="s">
        <v>15379</v>
      </c>
      <c r="E989" s="2243" t="str">
        <f>IFERROR(VLOOKUP($B989,'24.08_ND'!$1:$1048529,3,0),IFERROR(VLOOKUP($B989,'03-CP'!$C$1:$H$6260,3,0),""))</f>
        <v>UN</v>
      </c>
      <c r="F989" s="2230">
        <v>1</v>
      </c>
      <c r="G989" s="2232">
        <v>20.9</v>
      </c>
      <c r="H989" s="2302">
        <f t="shared" si="207"/>
        <v>20.9</v>
      </c>
      <c r="I989" s="2328">
        <f t="shared" si="208"/>
        <v>1</v>
      </c>
      <c r="J989" s="2313">
        <v>1</v>
      </c>
      <c r="K989" s="2412"/>
      <c r="L989" s="2533">
        <f t="shared" si="209"/>
        <v>20.9</v>
      </c>
      <c r="M989" s="2238">
        <v>20.9</v>
      </c>
      <c r="N989" s="2239">
        <f t="shared" si="210"/>
        <v>0</v>
      </c>
      <c r="O989" s="2498">
        <f t="shared" si="211"/>
        <v>0</v>
      </c>
      <c r="P989" s="2295">
        <f t="shared" si="206"/>
        <v>0</v>
      </c>
    </row>
    <row r="990" spans="1:16" ht="45">
      <c r="A990" s="2272" t="s">
        <v>13640</v>
      </c>
      <c r="B990" s="2234">
        <f>VLOOKUP($A990,'13 - QT_QUI'!$A:$F,2,0)</f>
        <v>89784</v>
      </c>
      <c r="C990" s="2234" t="str">
        <f>VLOOKUP($A990,'13 - QT_QUI'!$A:$F,3,0)</f>
        <v>SINAPI</v>
      </c>
      <c r="D990" s="2375" t="s">
        <v>8990</v>
      </c>
      <c r="E990" s="2242" t="str">
        <f>IFERROR(VLOOKUP($B990,'24.08_ND'!$1:$1048529,3,0),IFERROR(VLOOKUP($B990,'03-CP'!$C$1:$H$6260,3,0),""))</f>
        <v>UN</v>
      </c>
      <c r="F990" s="2230">
        <v>5</v>
      </c>
      <c r="G990" s="2238">
        <v>26.62</v>
      </c>
      <c r="H990" s="2302">
        <f t="shared" si="207"/>
        <v>133.1</v>
      </c>
      <c r="I990" s="2328">
        <f t="shared" si="208"/>
        <v>1</v>
      </c>
      <c r="J990" s="2314">
        <v>1</v>
      </c>
      <c r="K990" s="2411"/>
      <c r="L990" s="2533">
        <f t="shared" si="209"/>
        <v>133.1</v>
      </c>
      <c r="M990" s="2238">
        <v>133.1</v>
      </c>
      <c r="N990" s="2239">
        <f t="shared" si="210"/>
        <v>0</v>
      </c>
      <c r="O990" s="2498">
        <f t="shared" si="211"/>
        <v>0</v>
      </c>
      <c r="P990" s="2295">
        <f t="shared" si="206"/>
        <v>0</v>
      </c>
    </row>
    <row r="991" spans="1:16" ht="45">
      <c r="A991" s="2272" t="s">
        <v>13641</v>
      </c>
      <c r="B991" s="2234">
        <f>VLOOKUP($A991,'13 - QT_QUI'!$A:$F,2,0)</f>
        <v>104348</v>
      </c>
      <c r="C991" s="2234" t="str">
        <f>VLOOKUP($A991,'13 - QT_QUI'!$A:$F,3,0)</f>
        <v>SINAPI</v>
      </c>
      <c r="D991" s="2375" t="s">
        <v>9910</v>
      </c>
      <c r="E991" s="2242" t="str">
        <f>IFERROR(VLOOKUP($B991,'24.08_ND'!$1:$1048529,3,0),IFERROR(VLOOKUP($B991,'03-CP'!$C$1:$H$6260,3,0),""))</f>
        <v>UN</v>
      </c>
      <c r="F991" s="2230">
        <v>3</v>
      </c>
      <c r="G991" s="2238">
        <v>12</v>
      </c>
      <c r="H991" s="2302">
        <f t="shared" si="207"/>
        <v>36</v>
      </c>
      <c r="I991" s="2328">
        <f t="shared" si="208"/>
        <v>1</v>
      </c>
      <c r="J991" s="2314">
        <v>1</v>
      </c>
      <c r="K991" s="2411"/>
      <c r="L991" s="2533">
        <f t="shared" si="209"/>
        <v>36</v>
      </c>
      <c r="M991" s="2238">
        <v>36</v>
      </c>
      <c r="N991" s="2239">
        <f t="shared" si="210"/>
        <v>0</v>
      </c>
      <c r="O991" s="2498">
        <f t="shared" si="211"/>
        <v>0</v>
      </c>
      <c r="P991" s="2295">
        <f t="shared" si="206"/>
        <v>0</v>
      </c>
    </row>
    <row r="992" spans="1:16" ht="45">
      <c r="A992" s="2272" t="s">
        <v>13642</v>
      </c>
      <c r="B992" s="2234">
        <f>VLOOKUP($A992,'13 - QT_QUI'!$A:$F,2,0)</f>
        <v>89714</v>
      </c>
      <c r="C992" s="2234" t="str">
        <f>VLOOKUP($A992,'13 - QT_QUI'!$A:$F,3,0)</f>
        <v>SINAPI</v>
      </c>
      <c r="D992" s="2375" t="s">
        <v>8445</v>
      </c>
      <c r="E992" s="2242" t="str">
        <f>IFERROR(VLOOKUP($B992,'24.08_ND'!$1:$1048529,3,0),IFERROR(VLOOKUP($B992,'03-CP'!$C$1:$H$6260,3,0),""))</f>
        <v>M</v>
      </c>
      <c r="F992" s="2230">
        <v>18</v>
      </c>
      <c r="G992" s="2238">
        <v>40.21</v>
      </c>
      <c r="H992" s="2302">
        <f t="shared" si="207"/>
        <v>723.78</v>
      </c>
      <c r="I992" s="2328">
        <f t="shared" si="208"/>
        <v>1</v>
      </c>
      <c r="J992" s="2314">
        <v>1</v>
      </c>
      <c r="K992" s="2411"/>
      <c r="L992" s="2533">
        <f t="shared" si="209"/>
        <v>723.78</v>
      </c>
      <c r="M992" s="2238">
        <v>723.78</v>
      </c>
      <c r="N992" s="2239">
        <f t="shared" si="210"/>
        <v>0</v>
      </c>
      <c r="O992" s="2498">
        <f t="shared" si="211"/>
        <v>0</v>
      </c>
      <c r="P992" s="2295">
        <f t="shared" si="206"/>
        <v>0</v>
      </c>
    </row>
    <row r="993" spans="1:16" ht="45">
      <c r="A993" s="2272" t="s">
        <v>13643</v>
      </c>
      <c r="B993" s="2234">
        <f>VLOOKUP($A993,'13 - QT_QUI'!$A:$F,2,0)</f>
        <v>89713</v>
      </c>
      <c r="C993" s="2234" t="str">
        <f>VLOOKUP($A993,'13 - QT_QUI'!$A:$F,3,0)</f>
        <v>SINAPI</v>
      </c>
      <c r="D993" s="2375" t="s">
        <v>8444</v>
      </c>
      <c r="E993" s="2242" t="str">
        <f>IFERROR(VLOOKUP($B993,'24.08_ND'!$1:$1048529,3,0),IFERROR(VLOOKUP($B993,'03-CP'!$C$1:$H$6260,3,0),""))</f>
        <v>M</v>
      </c>
      <c r="F993" s="2230">
        <v>1</v>
      </c>
      <c r="G993" s="2238">
        <v>35.97</v>
      </c>
      <c r="H993" s="2302">
        <f t="shared" si="207"/>
        <v>35.97</v>
      </c>
      <c r="I993" s="2328">
        <f t="shared" si="208"/>
        <v>1</v>
      </c>
      <c r="J993" s="2314">
        <v>1</v>
      </c>
      <c r="K993" s="2411"/>
      <c r="L993" s="2533">
        <f t="shared" si="209"/>
        <v>35.97</v>
      </c>
      <c r="M993" s="2238">
        <v>35.97</v>
      </c>
      <c r="N993" s="2239">
        <f t="shared" si="210"/>
        <v>0</v>
      </c>
      <c r="O993" s="2498">
        <f t="shared" si="211"/>
        <v>0</v>
      </c>
      <c r="P993" s="2295">
        <f t="shared" si="206"/>
        <v>0</v>
      </c>
    </row>
    <row r="994" spans="1:16" ht="45">
      <c r="A994" s="2272" t="s">
        <v>13644</v>
      </c>
      <c r="B994" s="2234">
        <f>VLOOKUP($A994,'13 - QT_QUI'!$A:$F,2,0)</f>
        <v>89712</v>
      </c>
      <c r="C994" s="2234" t="str">
        <f>VLOOKUP($A994,'13 - QT_QUI'!$A:$F,3,0)</f>
        <v>SINAPI</v>
      </c>
      <c r="D994" s="2375" t="s">
        <v>8443</v>
      </c>
      <c r="E994" s="2242" t="str">
        <f>IFERROR(VLOOKUP($B994,'24.08_ND'!$1:$1048529,3,0),IFERROR(VLOOKUP($B994,'03-CP'!$C$1:$H$6260,3,0),""))</f>
        <v>M</v>
      </c>
      <c r="F994" s="2230">
        <v>20</v>
      </c>
      <c r="G994" s="2238">
        <v>28.87</v>
      </c>
      <c r="H994" s="2302">
        <f t="shared" si="207"/>
        <v>577.4</v>
      </c>
      <c r="I994" s="2328">
        <f t="shared" si="208"/>
        <v>1</v>
      </c>
      <c r="J994" s="2314">
        <v>1</v>
      </c>
      <c r="K994" s="2411"/>
      <c r="L994" s="2533">
        <f t="shared" si="209"/>
        <v>577.4</v>
      </c>
      <c r="M994" s="2238">
        <v>577.4</v>
      </c>
      <c r="N994" s="2239">
        <f t="shared" si="210"/>
        <v>0</v>
      </c>
      <c r="O994" s="2498">
        <f t="shared" si="211"/>
        <v>0</v>
      </c>
      <c r="P994" s="2295">
        <f t="shared" si="206"/>
        <v>0</v>
      </c>
    </row>
    <row r="995" spans="1:16" ht="45">
      <c r="A995" s="2272" t="s">
        <v>13645</v>
      </c>
      <c r="B995" s="2234">
        <f>VLOOKUP($A995,'13 - QT_QUI'!$A:$F,2,0)</f>
        <v>89711</v>
      </c>
      <c r="C995" s="2234" t="str">
        <f>VLOOKUP($A995,'13 - QT_QUI'!$A:$F,3,0)</f>
        <v>SINAPI</v>
      </c>
      <c r="D995" s="2375" t="s">
        <v>8442</v>
      </c>
      <c r="E995" s="2242" t="str">
        <f>IFERROR(VLOOKUP($B995,'24.08_ND'!$1:$1048529,3,0),IFERROR(VLOOKUP($B995,'03-CP'!$C$1:$H$6260,3,0),""))</f>
        <v>M</v>
      </c>
      <c r="F995" s="2230">
        <v>2</v>
      </c>
      <c r="G995" s="2238">
        <v>22.78</v>
      </c>
      <c r="H995" s="2302">
        <f t="shared" si="207"/>
        <v>45.56</v>
      </c>
      <c r="I995" s="2328">
        <f t="shared" si="208"/>
        <v>1</v>
      </c>
      <c r="J995" s="2314">
        <v>1</v>
      </c>
      <c r="K995" s="2411"/>
      <c r="L995" s="2533">
        <f t="shared" si="209"/>
        <v>45.56</v>
      </c>
      <c r="M995" s="2238">
        <v>45.56</v>
      </c>
      <c r="N995" s="2239">
        <f t="shared" si="210"/>
        <v>0</v>
      </c>
      <c r="O995" s="2498">
        <f t="shared" si="211"/>
        <v>0</v>
      </c>
      <c r="P995" s="2295">
        <f t="shared" si="206"/>
        <v>0</v>
      </c>
    </row>
    <row r="996" spans="1:16" ht="30">
      <c r="A996" s="2272" t="s">
        <v>13646</v>
      </c>
      <c r="B996" s="2228" t="str">
        <f>VLOOKUP($A996,'13 - QT_QUI'!$A:$F,2,0)</f>
        <v>CP-HSD-29</v>
      </c>
      <c r="C996" s="2228" t="str">
        <f>VLOOKUP($A996,'13 - QT_QUI'!$A:$F,3,0)</f>
        <v>PRÓPRIA</v>
      </c>
      <c r="D996" s="2375" t="s">
        <v>15420</v>
      </c>
      <c r="E996" s="2243" t="str">
        <f>IFERROR(VLOOKUP($B996,'24.08_ND'!$1:$1048529,3,0),IFERROR(VLOOKUP($B996,'03-CP'!$C$1:$H$6260,3,0),""))</f>
        <v>UN</v>
      </c>
      <c r="F996" s="2230">
        <v>1</v>
      </c>
      <c r="G996" s="2232">
        <v>74.95</v>
      </c>
      <c r="H996" s="2302">
        <f t="shared" si="207"/>
        <v>74.95</v>
      </c>
      <c r="I996" s="2328">
        <f t="shared" si="208"/>
        <v>0</v>
      </c>
      <c r="J996" s="2313">
        <v>0</v>
      </c>
      <c r="K996" s="2412"/>
      <c r="L996" s="2533">
        <f t="shared" si="209"/>
        <v>0</v>
      </c>
      <c r="M996" s="2238">
        <v>0</v>
      </c>
      <c r="N996" s="2239">
        <f t="shared" si="210"/>
        <v>0</v>
      </c>
      <c r="O996" s="2498">
        <f t="shared" si="211"/>
        <v>74.95</v>
      </c>
      <c r="P996" s="2295">
        <f t="shared" si="206"/>
        <v>1</v>
      </c>
    </row>
    <row r="997" spans="1:16" ht="30">
      <c r="A997" s="2272" t="s">
        <v>13647</v>
      </c>
      <c r="B997" s="2228" t="str">
        <f>VLOOKUP($A997,'13 - QT_QUI'!$A:$F,2,0)</f>
        <v>CP-HSD-28</v>
      </c>
      <c r="C997" s="2228" t="str">
        <f>VLOOKUP($A997,'13 - QT_QUI'!$A:$F,3,0)</f>
        <v>PRÓPRIA</v>
      </c>
      <c r="D997" s="2375" t="s">
        <v>15418</v>
      </c>
      <c r="E997" s="2243" t="str">
        <f>IFERROR(VLOOKUP($B997,'24.08_ND'!$1:$1048529,3,0),IFERROR(VLOOKUP($B997,'03-CP'!$C$1:$H$6260,3,0),""))</f>
        <v>UN</v>
      </c>
      <c r="F997" s="2230">
        <v>4</v>
      </c>
      <c r="G997" s="2232">
        <v>77.41</v>
      </c>
      <c r="H997" s="2302">
        <f t="shared" si="207"/>
        <v>309.64</v>
      </c>
      <c r="I997" s="2328">
        <f t="shared" si="208"/>
        <v>0</v>
      </c>
      <c r="J997" s="2313">
        <v>0</v>
      </c>
      <c r="K997" s="2412"/>
      <c r="L997" s="2533">
        <f t="shared" si="209"/>
        <v>0</v>
      </c>
      <c r="M997" s="2238">
        <v>0</v>
      </c>
      <c r="N997" s="2239">
        <f t="shared" si="210"/>
        <v>0</v>
      </c>
      <c r="O997" s="2498">
        <f t="shared" si="211"/>
        <v>309.64</v>
      </c>
      <c r="P997" s="2295">
        <f t="shared" si="206"/>
        <v>1</v>
      </c>
    </row>
    <row r="998" spans="1:16" ht="45">
      <c r="A998" s="2272" t="s">
        <v>13648</v>
      </c>
      <c r="B998" s="2228" t="str">
        <f>VLOOKUP($A998,'13 - QT_QUI'!$A:$F,2,0)</f>
        <v>CP-HSD-20</v>
      </c>
      <c r="C998" s="2228" t="str">
        <f>VLOOKUP($A998,'13 - QT_QUI'!$A:$F,3,0)</f>
        <v>PRÓPRIA</v>
      </c>
      <c r="D998" s="2375" t="s">
        <v>15393</v>
      </c>
      <c r="E998" s="2243" t="str">
        <f>IFERROR(VLOOKUP($B998,'24.08_ND'!$1:$1048529,3,0),IFERROR(VLOOKUP($B998,'03-CP'!$C$1:$H$6260,3,0),""))</f>
        <v>UN</v>
      </c>
      <c r="F998" s="2230">
        <v>1</v>
      </c>
      <c r="G998" s="2232">
        <v>82</v>
      </c>
      <c r="H998" s="2302">
        <f t="shared" si="207"/>
        <v>82</v>
      </c>
      <c r="I998" s="2328">
        <f t="shared" si="208"/>
        <v>0.75</v>
      </c>
      <c r="J998" s="2313">
        <v>0.75</v>
      </c>
      <c r="K998" s="2412"/>
      <c r="L998" s="2533">
        <f t="shared" si="209"/>
        <v>61.5</v>
      </c>
      <c r="M998" s="2238">
        <v>61.5</v>
      </c>
      <c r="N998" s="2239">
        <f t="shared" si="210"/>
        <v>0</v>
      </c>
      <c r="O998" s="2498">
        <f t="shared" si="211"/>
        <v>20.5</v>
      </c>
      <c r="P998" s="2295">
        <f t="shared" si="206"/>
        <v>0.25</v>
      </c>
    </row>
    <row r="999" spans="1:16" ht="60">
      <c r="A999" s="2272" t="s">
        <v>13649</v>
      </c>
      <c r="B999" s="2234">
        <f>VLOOKUP($A999,'13 - QT_QUI'!$A:$F,2,0)</f>
        <v>91179</v>
      </c>
      <c r="C999" s="2234" t="str">
        <f>VLOOKUP($A999,'13 - QT_QUI'!$A:$F,3,0)</f>
        <v>SINAPI</v>
      </c>
      <c r="D999" s="2375" t="s">
        <v>10405</v>
      </c>
      <c r="E999" s="2242" t="str">
        <f>IFERROR(VLOOKUP($B999,'24.08_ND'!$1:$1048529,3,0),IFERROR(VLOOKUP($B999,'03-CP'!$C$1:$H$6260,3,0),""))</f>
        <v>M</v>
      </c>
      <c r="F999" s="2230">
        <v>3</v>
      </c>
      <c r="G999" s="2238">
        <v>19.079999999999998</v>
      </c>
      <c r="H999" s="2302">
        <f t="shared" si="207"/>
        <v>57.24</v>
      </c>
      <c r="I999" s="2328">
        <f t="shared" si="208"/>
        <v>0</v>
      </c>
      <c r="J999" s="2314">
        <v>0</v>
      </c>
      <c r="K999" s="2411"/>
      <c r="L999" s="2533">
        <f t="shared" si="209"/>
        <v>0</v>
      </c>
      <c r="M999" s="2238">
        <v>0</v>
      </c>
      <c r="N999" s="2239">
        <f t="shared" si="210"/>
        <v>0</v>
      </c>
      <c r="O999" s="2498">
        <f t="shared" si="211"/>
        <v>57.24</v>
      </c>
      <c r="P999" s="2295">
        <f t="shared" si="206"/>
        <v>1</v>
      </c>
    </row>
    <row r="1000" spans="1:16" ht="45">
      <c r="A1000" s="2272" t="s">
        <v>13650</v>
      </c>
      <c r="B1000" s="2234">
        <f>VLOOKUP($A1000,'13 - QT_QUI'!$A:$F,2,0)</f>
        <v>98107</v>
      </c>
      <c r="C1000" s="2234" t="str">
        <f>VLOOKUP($A1000,'13 - QT_QUI'!$A:$F,3,0)</f>
        <v>SINAPI</v>
      </c>
      <c r="D1000" s="2375" t="s">
        <v>10024</v>
      </c>
      <c r="E1000" s="2242" t="str">
        <f>IFERROR(VLOOKUP($B1000,'24.08_ND'!$1:$1048529,3,0),IFERROR(VLOOKUP($B1000,'03-CP'!$C$1:$H$6260,3,0),""))</f>
        <v>UN</v>
      </c>
      <c r="F1000" s="2230">
        <v>1</v>
      </c>
      <c r="G1000" s="2238">
        <v>311.32</v>
      </c>
      <c r="H1000" s="2302">
        <f t="shared" si="207"/>
        <v>311.32</v>
      </c>
      <c r="I1000" s="2328">
        <f t="shared" si="208"/>
        <v>0</v>
      </c>
      <c r="J1000" s="2314">
        <v>0</v>
      </c>
      <c r="K1000" s="2411"/>
      <c r="L1000" s="2533">
        <f t="shared" si="209"/>
        <v>0</v>
      </c>
      <c r="M1000" s="2238">
        <v>0</v>
      </c>
      <c r="N1000" s="2239">
        <f t="shared" si="210"/>
        <v>0</v>
      </c>
      <c r="O1000" s="2498">
        <f t="shared" si="211"/>
        <v>311.32</v>
      </c>
      <c r="P1000" s="2295">
        <f t="shared" si="206"/>
        <v>1</v>
      </c>
    </row>
    <row r="1001" spans="1:16">
      <c r="A1001" s="2272" t="s">
        <v>13651</v>
      </c>
      <c r="B1001" s="2228" t="str">
        <f>VLOOKUP($A1001,'13 - QT_QUI'!$A:$F,2,0)</f>
        <v>CP-HSD-30</v>
      </c>
      <c r="C1001" s="2228" t="str">
        <f>VLOOKUP($A1001,'13 - QT_QUI'!$A:$F,3,0)</f>
        <v>PRÓPRIA</v>
      </c>
      <c r="D1001" s="2375" t="s">
        <v>15422</v>
      </c>
      <c r="E1001" s="2243" t="str">
        <f>IFERROR(VLOOKUP($B1001,'24.08_ND'!$1:$1048529,3,0),IFERROR(VLOOKUP($B1001,'03-CP'!$C$1:$H$6260,3,0),""))</f>
        <v>UN</v>
      </c>
      <c r="F1001" s="2230">
        <v>1</v>
      </c>
      <c r="G1001" s="2232">
        <v>3986.03</v>
      </c>
      <c r="H1001" s="2302">
        <f t="shared" si="207"/>
        <v>3986.03</v>
      </c>
      <c r="I1001" s="2328">
        <f t="shared" si="208"/>
        <v>1</v>
      </c>
      <c r="J1001" s="2313">
        <v>1</v>
      </c>
      <c r="K1001" s="2412"/>
      <c r="L1001" s="2533">
        <f t="shared" si="209"/>
        <v>3986.03</v>
      </c>
      <c r="M1001" s="2238">
        <v>3986.03</v>
      </c>
      <c r="N1001" s="2239">
        <f t="shared" si="210"/>
        <v>0</v>
      </c>
      <c r="O1001" s="2498">
        <f t="shared" si="211"/>
        <v>0</v>
      </c>
      <c r="P1001" s="2295">
        <f t="shared" si="206"/>
        <v>0</v>
      </c>
    </row>
    <row r="1002" spans="1:16" ht="30">
      <c r="A1002" s="2272" t="s">
        <v>13652</v>
      </c>
      <c r="B1002" s="2228" t="str">
        <f>VLOOKUP($A1002,'13 - QT_QUI'!$A:$F,2,0)</f>
        <v>CP-HSD-31</v>
      </c>
      <c r="C1002" s="2228" t="str">
        <f>VLOOKUP($A1002,'13 - QT_QUI'!$A:$F,3,0)</f>
        <v>PRÓPRIA</v>
      </c>
      <c r="D1002" s="2375" t="s">
        <v>15425</v>
      </c>
      <c r="E1002" s="2243" t="str">
        <f>IFERROR(VLOOKUP($B1002,'24.08_ND'!$1:$1048529,3,0),IFERROR(VLOOKUP($B1002,'03-CP'!$C$1:$H$6260,3,0),""))</f>
        <v>UN</v>
      </c>
      <c r="F1002" s="2230">
        <v>1</v>
      </c>
      <c r="G1002" s="2232">
        <v>1175.81</v>
      </c>
      <c r="H1002" s="2302">
        <f t="shared" si="207"/>
        <v>1175.81</v>
      </c>
      <c r="I1002" s="2328">
        <f t="shared" si="208"/>
        <v>1</v>
      </c>
      <c r="J1002" s="2313">
        <v>1</v>
      </c>
      <c r="K1002" s="2412"/>
      <c r="L1002" s="2533">
        <f t="shared" si="209"/>
        <v>1175.81</v>
      </c>
      <c r="M1002" s="2238">
        <v>1175.81</v>
      </c>
      <c r="N1002" s="2239">
        <f t="shared" si="210"/>
        <v>0</v>
      </c>
      <c r="O1002" s="2498">
        <f t="shared" si="211"/>
        <v>0</v>
      </c>
      <c r="P1002" s="2295">
        <f t="shared" si="206"/>
        <v>0</v>
      </c>
    </row>
    <row r="1003" spans="1:16" ht="30">
      <c r="A1003" s="2272" t="s">
        <v>13653</v>
      </c>
      <c r="B1003" s="2234">
        <f>VLOOKUP($A1003,'13 - QT_QUI'!$A:$F,2,0)</f>
        <v>93358</v>
      </c>
      <c r="C1003" s="2234" t="str">
        <f>VLOOKUP($A1003,'13 - QT_QUI'!$A:$F,3,0)</f>
        <v>SINAPI</v>
      </c>
      <c r="D1003" s="2375" t="s">
        <v>10648</v>
      </c>
      <c r="E1003" s="2242" t="str">
        <f>IFERROR(VLOOKUP($B1003,'24.08_ND'!$1:$1048529,3,0),IFERROR(VLOOKUP($B1003,'03-CP'!$C$1:$H$6260,3,0),""))</f>
        <v>M3</v>
      </c>
      <c r="F1003" s="2230">
        <v>10</v>
      </c>
      <c r="G1003" s="2238">
        <v>91.52</v>
      </c>
      <c r="H1003" s="2302">
        <f t="shared" si="207"/>
        <v>915.2</v>
      </c>
      <c r="I1003" s="2328">
        <f t="shared" si="208"/>
        <v>0.5</v>
      </c>
      <c r="J1003" s="2314">
        <v>0.5</v>
      </c>
      <c r="K1003" s="2411"/>
      <c r="L1003" s="2533">
        <f t="shared" si="209"/>
        <v>457.6</v>
      </c>
      <c r="M1003" s="2238">
        <v>457.6</v>
      </c>
      <c r="N1003" s="2239">
        <f t="shared" si="210"/>
        <v>0</v>
      </c>
      <c r="O1003" s="2498">
        <f t="shared" si="211"/>
        <v>457.6</v>
      </c>
      <c r="P1003" s="2295">
        <f t="shared" si="206"/>
        <v>0.5</v>
      </c>
    </row>
    <row r="1004" spans="1:16">
      <c r="A1004" s="2272" t="s">
        <v>13654</v>
      </c>
      <c r="B1004" s="2234">
        <f>VLOOKUP($A1004,'13 - QT_QUI'!$A:$F,2,0)</f>
        <v>102718</v>
      </c>
      <c r="C1004" s="2234" t="str">
        <f>VLOOKUP($A1004,'13 - QT_QUI'!$A:$F,3,0)</f>
        <v>SINAPI</v>
      </c>
      <c r="D1004" s="2375" t="s">
        <v>6482</v>
      </c>
      <c r="E1004" s="2242" t="str">
        <f>IFERROR(VLOOKUP($B1004,'24.08_ND'!$1:$1048529,3,0),IFERROR(VLOOKUP($B1004,'03-CP'!$C$1:$H$6260,3,0),""))</f>
        <v>M3</v>
      </c>
      <c r="F1004" s="2230">
        <v>5</v>
      </c>
      <c r="G1004" s="2238">
        <v>204.71</v>
      </c>
      <c r="H1004" s="2302">
        <f t="shared" si="207"/>
        <v>1023.55</v>
      </c>
      <c r="I1004" s="2328">
        <f t="shared" si="208"/>
        <v>1</v>
      </c>
      <c r="J1004" s="2314">
        <v>1</v>
      </c>
      <c r="K1004" s="2411"/>
      <c r="L1004" s="2533">
        <f t="shared" si="209"/>
        <v>1023.54</v>
      </c>
      <c r="M1004" s="2238">
        <v>1023.54</v>
      </c>
      <c r="N1004" s="2239">
        <f t="shared" si="210"/>
        <v>0</v>
      </c>
      <c r="O1004" s="2498">
        <f t="shared" si="211"/>
        <v>9.9999999999909051E-3</v>
      </c>
      <c r="P1004" s="2295">
        <f t="shared" si="206"/>
        <v>9.7699184211722984E-6</v>
      </c>
    </row>
    <row r="1005" spans="1:16" ht="30">
      <c r="A1005" s="2272" t="s">
        <v>13655</v>
      </c>
      <c r="B1005" s="2234">
        <f>VLOOKUP($A1005,'13 - QT_QUI'!$A:$F,2,0)</f>
        <v>93382</v>
      </c>
      <c r="C1005" s="2234" t="str">
        <f>VLOOKUP($A1005,'13 - QT_QUI'!$A:$F,3,0)</f>
        <v>SINAPI</v>
      </c>
      <c r="D1005" s="2375" t="s">
        <v>10726</v>
      </c>
      <c r="E1005" s="2242" t="str">
        <f>IFERROR(VLOOKUP($B1005,'24.08_ND'!$1:$1048529,3,0),IFERROR(VLOOKUP($B1005,'03-CP'!$C$1:$H$6260,3,0),""))</f>
        <v>M3</v>
      </c>
      <c r="F1005" s="2230">
        <v>5</v>
      </c>
      <c r="G1005" s="2238">
        <v>26.88</v>
      </c>
      <c r="H1005" s="2302">
        <f t="shared" si="207"/>
        <v>134.4</v>
      </c>
      <c r="I1005" s="2328">
        <f t="shared" si="208"/>
        <v>0.75</v>
      </c>
      <c r="J1005" s="2314">
        <v>0.75</v>
      </c>
      <c r="K1005" s="2411"/>
      <c r="L1005" s="2533">
        <f t="shared" si="209"/>
        <v>100.80000000000001</v>
      </c>
      <c r="M1005" s="2238">
        <v>100.80000000000001</v>
      </c>
      <c r="N1005" s="2239">
        <f t="shared" si="210"/>
        <v>0</v>
      </c>
      <c r="O1005" s="2498">
        <f t="shared" si="211"/>
        <v>33.599999999999994</v>
      </c>
      <c r="P1005" s="2295">
        <f t="shared" si="206"/>
        <v>0.24999999999999994</v>
      </c>
    </row>
    <row r="1006" spans="1:16">
      <c r="A1006" s="2343" t="s">
        <v>13656</v>
      </c>
      <c r="B1006" s="2223"/>
      <c r="C1006" s="2223"/>
      <c r="D1006" s="2376" t="s">
        <v>16318</v>
      </c>
      <c r="E1006" s="2224"/>
      <c r="F1006" s="2240"/>
      <c r="G1006" s="2226"/>
      <c r="H1006" s="2301">
        <f>SUBTOTAL(9,H1007:H1015)</f>
        <v>4902.9000000000005</v>
      </c>
      <c r="I1006" s="2284"/>
      <c r="J1006" s="2227"/>
      <c r="K1006" s="2496"/>
      <c r="L1006" s="2534">
        <f>SUBTOTAL(9,L1007:L1015)</f>
        <v>1278.5999999999999</v>
      </c>
      <c r="M1006" s="2301">
        <f>SUBTOTAL(9,M1007:M1015)</f>
        <v>0</v>
      </c>
      <c r="N1006" s="2301">
        <f>SUBTOTAL(9,N1007:N1015)</f>
        <v>1278.5999999999999</v>
      </c>
      <c r="O1006" s="2301">
        <f>SUBTOTAL(9,O1007:O1015)</f>
        <v>3624.3</v>
      </c>
      <c r="P1006" s="2295"/>
    </row>
    <row r="1007" spans="1:16" ht="45">
      <c r="A1007" s="2272" t="s">
        <v>13657</v>
      </c>
      <c r="B1007" s="2234">
        <f>VLOOKUP($A1007,'13 - QT_QUI'!$A:$F,2,0)</f>
        <v>99260</v>
      </c>
      <c r="C1007" s="2234" t="str">
        <f>VLOOKUP($A1007,'13 - QT_QUI'!$A:$F,3,0)</f>
        <v>SINAPI</v>
      </c>
      <c r="D1007" s="2375" t="s">
        <v>10032</v>
      </c>
      <c r="E1007" s="2242" t="str">
        <f>IFERROR(VLOOKUP($B1007,'24.08_ND'!$1:$1048529,3,0),IFERROR(VLOOKUP($B1007,'03-CP'!$C$1:$H$6260,3,0),""))</f>
        <v>UN</v>
      </c>
      <c r="F1007" s="2230">
        <v>1</v>
      </c>
      <c r="G1007" s="2238">
        <v>496.46</v>
      </c>
      <c r="H1007" s="2302">
        <f t="shared" ref="H1007:H1015" si="212">TRUNC((G1007*F1007),2)</f>
        <v>496.46</v>
      </c>
      <c r="I1007" s="2328">
        <f t="shared" si="208"/>
        <v>0</v>
      </c>
      <c r="J1007" s="2237"/>
      <c r="K1007" s="2411"/>
      <c r="L1007" s="2533">
        <f t="shared" ref="L1007:L1015" si="213">M1007+N1007</f>
        <v>0</v>
      </c>
      <c r="M1007" s="2238">
        <v>0</v>
      </c>
      <c r="N1007" s="2239">
        <f t="shared" ref="N1007:N1015" si="214">TRUNC(H1007*K1007,2)</f>
        <v>0</v>
      </c>
      <c r="O1007" s="2498">
        <f t="shared" si="211"/>
        <v>496.46</v>
      </c>
      <c r="P1007" s="2295">
        <f t="shared" si="206"/>
        <v>1</v>
      </c>
    </row>
    <row r="1008" spans="1:16" ht="45">
      <c r="A1008" s="2272" t="s">
        <v>13658</v>
      </c>
      <c r="B1008" s="2234">
        <f>VLOOKUP($A1008,'13 - QT_QUI'!$A:$F,2,0)</f>
        <v>89585</v>
      </c>
      <c r="C1008" s="2234" t="str">
        <f>VLOOKUP($A1008,'13 - QT_QUI'!$A:$F,3,0)</f>
        <v>SINAPI</v>
      </c>
      <c r="D1008" s="2375" t="s">
        <v>8829</v>
      </c>
      <c r="E1008" s="2242" t="str">
        <f>IFERROR(VLOOKUP($B1008,'24.08_ND'!$1:$1048529,3,0),IFERROR(VLOOKUP($B1008,'03-CP'!$C$1:$H$6260,3,0),""))</f>
        <v>UN</v>
      </c>
      <c r="F1008" s="2230">
        <v>4</v>
      </c>
      <c r="G1008" s="2238">
        <v>48.88</v>
      </c>
      <c r="H1008" s="2302">
        <f t="shared" si="212"/>
        <v>195.52</v>
      </c>
      <c r="I1008" s="2328">
        <f t="shared" si="208"/>
        <v>1</v>
      </c>
      <c r="J1008" s="2237"/>
      <c r="K1008" s="2411">
        <v>1</v>
      </c>
      <c r="L1008" s="2533">
        <f t="shared" si="213"/>
        <v>195.52</v>
      </c>
      <c r="M1008" s="2238">
        <v>0</v>
      </c>
      <c r="N1008" s="2239">
        <f t="shared" si="214"/>
        <v>195.52</v>
      </c>
      <c r="O1008" s="2498">
        <f t="shared" si="211"/>
        <v>0</v>
      </c>
      <c r="P1008" s="2295">
        <f t="shared" si="206"/>
        <v>0</v>
      </c>
    </row>
    <row r="1009" spans="1:17" ht="30">
      <c r="A1009" s="2272" t="s">
        <v>13659</v>
      </c>
      <c r="B1009" s="2234">
        <f>VLOOKUP($A1009,'13 - QT_QUI'!$A:$F,2,0)</f>
        <v>89554</v>
      </c>
      <c r="C1009" s="2234" t="str">
        <f>VLOOKUP($A1009,'13 - QT_QUI'!$A:$F,3,0)</f>
        <v>SINAPI</v>
      </c>
      <c r="D1009" s="2375" t="s">
        <v>8801</v>
      </c>
      <c r="E1009" s="2242" t="str">
        <f>IFERROR(VLOOKUP($B1009,'24.08_ND'!$1:$1048529,3,0),IFERROR(VLOOKUP($B1009,'03-CP'!$C$1:$H$6260,3,0),""))</f>
        <v>UN</v>
      </c>
      <c r="F1009" s="2230">
        <v>9</v>
      </c>
      <c r="G1009" s="2238">
        <v>31.51</v>
      </c>
      <c r="H1009" s="2302">
        <f t="shared" si="212"/>
        <v>283.58999999999997</v>
      </c>
      <c r="I1009" s="2328">
        <f t="shared" si="208"/>
        <v>0.22</v>
      </c>
      <c r="J1009" s="2237"/>
      <c r="K1009" s="2411">
        <v>0.22</v>
      </c>
      <c r="L1009" s="2533">
        <f t="shared" si="213"/>
        <v>62.38</v>
      </c>
      <c r="M1009" s="2238">
        <v>0</v>
      </c>
      <c r="N1009" s="2239">
        <f t="shared" si="214"/>
        <v>62.38</v>
      </c>
      <c r="O1009" s="2498">
        <f t="shared" si="211"/>
        <v>221.20999999999998</v>
      </c>
      <c r="P1009" s="2295">
        <f t="shared" si="206"/>
        <v>0.78003455693078039</v>
      </c>
      <c r="Q1009" s="2568"/>
    </row>
    <row r="1010" spans="1:17" ht="45">
      <c r="A1010" s="2272" t="s">
        <v>13660</v>
      </c>
      <c r="B1010" s="2234">
        <f>VLOOKUP($A1010,'13 - QT_QUI'!$A:$F,2,0)</f>
        <v>89677</v>
      </c>
      <c r="C1010" s="2234" t="str">
        <f>VLOOKUP($A1010,'13 - QT_QUI'!$A:$F,3,0)</f>
        <v>SINAPI</v>
      </c>
      <c r="D1010" s="2375" t="s">
        <v>8903</v>
      </c>
      <c r="E1010" s="2242" t="str">
        <f>IFERROR(VLOOKUP($B1010,'24.08_ND'!$1:$1048529,3,0),IFERROR(VLOOKUP($B1010,'03-CP'!$C$1:$H$6260,3,0),""))</f>
        <v>UN</v>
      </c>
      <c r="F1010" s="2230">
        <v>4</v>
      </c>
      <c r="G1010" s="2238">
        <v>84.13</v>
      </c>
      <c r="H1010" s="2302">
        <f t="shared" si="212"/>
        <v>336.52</v>
      </c>
      <c r="I1010" s="2328">
        <f t="shared" si="208"/>
        <v>0</v>
      </c>
      <c r="J1010" s="2237"/>
      <c r="K1010" s="2411"/>
      <c r="L1010" s="2533">
        <f t="shared" si="213"/>
        <v>0</v>
      </c>
      <c r="M1010" s="2238">
        <v>0</v>
      </c>
      <c r="N1010" s="2239">
        <f t="shared" si="214"/>
        <v>0</v>
      </c>
      <c r="O1010" s="2498">
        <f t="shared" si="211"/>
        <v>336.52</v>
      </c>
      <c r="P1010" s="2295">
        <f t="shared" si="206"/>
        <v>1</v>
      </c>
    </row>
    <row r="1011" spans="1:17" ht="45">
      <c r="A1011" s="2272" t="s">
        <v>13661</v>
      </c>
      <c r="B1011" s="2234">
        <f>VLOOKUP($A1011,'13 - QT_QUI'!$A:$F,2,0)</f>
        <v>89584</v>
      </c>
      <c r="C1011" s="2234" t="str">
        <f>VLOOKUP($A1011,'13 - QT_QUI'!$A:$F,3,0)</f>
        <v>SINAPI</v>
      </c>
      <c r="D1011" s="2375" t="s">
        <v>8828</v>
      </c>
      <c r="E1011" s="2242" t="str">
        <f>IFERROR(VLOOKUP($B1011,'24.08_ND'!$1:$1048529,3,0),IFERROR(VLOOKUP($B1011,'03-CP'!$C$1:$H$6260,3,0),""))</f>
        <v>UN</v>
      </c>
      <c r="F1011" s="2230">
        <v>5</v>
      </c>
      <c r="G1011" s="2238">
        <v>47.81</v>
      </c>
      <c r="H1011" s="2302">
        <f t="shared" si="212"/>
        <v>239.05</v>
      </c>
      <c r="I1011" s="2328">
        <f t="shared" si="208"/>
        <v>1</v>
      </c>
      <c r="J1011" s="2237"/>
      <c r="K1011" s="2411">
        <v>1</v>
      </c>
      <c r="L1011" s="2533">
        <f t="shared" si="213"/>
        <v>239.05</v>
      </c>
      <c r="M1011" s="2238">
        <v>0</v>
      </c>
      <c r="N1011" s="2239">
        <f t="shared" si="214"/>
        <v>239.05</v>
      </c>
      <c r="O1011" s="2498">
        <f t="shared" si="211"/>
        <v>0</v>
      </c>
      <c r="P1011" s="2295">
        <f t="shared" si="206"/>
        <v>0</v>
      </c>
    </row>
    <row r="1012" spans="1:17" ht="30">
      <c r="A1012" s="2272" t="s">
        <v>13662</v>
      </c>
      <c r="B1012" s="2234">
        <f>VLOOKUP($A1012,'13 - QT_QUI'!$A:$F,2,0)</f>
        <v>89512</v>
      </c>
      <c r="C1012" s="2234" t="str">
        <f>VLOOKUP($A1012,'13 - QT_QUI'!$A:$F,3,0)</f>
        <v>SINAPI</v>
      </c>
      <c r="D1012" s="2375" t="s">
        <v>8434</v>
      </c>
      <c r="E1012" s="2242" t="str">
        <f>IFERROR(VLOOKUP($B1012,'24.08_ND'!$1:$1048529,3,0),IFERROR(VLOOKUP($B1012,'03-CP'!$C$1:$H$6260,3,0),""))</f>
        <v>M</v>
      </c>
      <c r="F1012" s="2230">
        <v>15</v>
      </c>
      <c r="G1012" s="2238">
        <v>52.11</v>
      </c>
      <c r="H1012" s="2302">
        <f t="shared" si="212"/>
        <v>781.65</v>
      </c>
      <c r="I1012" s="2328">
        <f t="shared" si="208"/>
        <v>1</v>
      </c>
      <c r="J1012" s="2237"/>
      <c r="K1012" s="2411">
        <v>1</v>
      </c>
      <c r="L1012" s="2533">
        <f t="shared" si="213"/>
        <v>781.65</v>
      </c>
      <c r="M1012" s="2238">
        <v>0</v>
      </c>
      <c r="N1012" s="2239">
        <f t="shared" si="214"/>
        <v>781.65</v>
      </c>
      <c r="O1012" s="2498">
        <f t="shared" si="211"/>
        <v>0</v>
      </c>
      <c r="P1012" s="2295">
        <f t="shared" si="206"/>
        <v>0</v>
      </c>
    </row>
    <row r="1013" spans="1:17" ht="30">
      <c r="A1013" s="2272" t="s">
        <v>13663</v>
      </c>
      <c r="B1013" s="2234">
        <f>VLOOKUP($A1013,'13 - QT_QUI'!$A:$F,2,0)</f>
        <v>104166</v>
      </c>
      <c r="C1013" s="2234" t="str">
        <f>VLOOKUP($A1013,'13 - QT_QUI'!$A:$F,3,0)</f>
        <v>SINAPI</v>
      </c>
      <c r="D1013" s="2375" t="s">
        <v>8651</v>
      </c>
      <c r="E1013" s="2242" t="str">
        <f>IFERROR(VLOOKUP($B1013,'24.08_ND'!$1:$1048529,3,0),IFERROR(VLOOKUP($B1013,'03-CP'!$C$1:$H$6260,3,0),""))</f>
        <v>M</v>
      </c>
      <c r="F1013" s="2230">
        <v>30</v>
      </c>
      <c r="G1013" s="2238">
        <v>78.41</v>
      </c>
      <c r="H1013" s="2302">
        <f t="shared" si="212"/>
        <v>2352.3000000000002</v>
      </c>
      <c r="I1013" s="2328">
        <f t="shared" si="208"/>
        <v>0</v>
      </c>
      <c r="J1013" s="2237"/>
      <c r="K1013" s="2411"/>
      <c r="L1013" s="2533">
        <f t="shared" si="213"/>
        <v>0</v>
      </c>
      <c r="M1013" s="2238">
        <v>0</v>
      </c>
      <c r="N1013" s="2239">
        <f t="shared" si="214"/>
        <v>0</v>
      </c>
      <c r="O1013" s="2498">
        <f t="shared" si="211"/>
        <v>2352.3000000000002</v>
      </c>
      <c r="P1013" s="2295">
        <f t="shared" si="206"/>
        <v>1</v>
      </c>
    </row>
    <row r="1014" spans="1:17">
      <c r="A1014" s="2272" t="s">
        <v>13664</v>
      </c>
      <c r="B1014" s="2228" t="str">
        <f>VLOOKUP($A1014,'13 - QT_QUI'!$A:$F,2,0)</f>
        <v>CP-HSD-26</v>
      </c>
      <c r="C1014" s="2228" t="str">
        <f>VLOOKUP($A1014,'13 - QT_QUI'!$A:$F,3,0)</f>
        <v>PRÓPRIA</v>
      </c>
      <c r="D1014" s="2375" t="s">
        <v>15409</v>
      </c>
      <c r="E1014" s="2243" t="str">
        <f>IFERROR(VLOOKUP($B1014,'24.08_ND'!$1:$1048529,3,0),IFERROR(VLOOKUP($B1014,'03-CP'!$C$1:$H$6260,3,0),""))</f>
        <v>UN</v>
      </c>
      <c r="F1014" s="2230">
        <v>2</v>
      </c>
      <c r="G1014" s="2232">
        <v>79.88</v>
      </c>
      <c r="H1014" s="2302">
        <f t="shared" si="212"/>
        <v>159.76</v>
      </c>
      <c r="I1014" s="2328">
        <f t="shared" si="208"/>
        <v>0</v>
      </c>
      <c r="J1014" s="2231"/>
      <c r="K1014" s="2412"/>
      <c r="L1014" s="2533">
        <f t="shared" si="213"/>
        <v>0</v>
      </c>
      <c r="M1014" s="2238">
        <v>0</v>
      </c>
      <c r="N1014" s="2239">
        <f t="shared" si="214"/>
        <v>0</v>
      </c>
      <c r="O1014" s="2498">
        <f t="shared" si="211"/>
        <v>159.76</v>
      </c>
      <c r="P1014" s="2295">
        <f t="shared" ref="P1014:P1077" si="215">O1014/H1014</f>
        <v>1</v>
      </c>
    </row>
    <row r="1015" spans="1:17" ht="60">
      <c r="A1015" s="2272" t="s">
        <v>13665</v>
      </c>
      <c r="B1015" s="2234">
        <f>VLOOKUP($A1015,'13 - QT_QUI'!$A:$F,2,0)</f>
        <v>91175</v>
      </c>
      <c r="C1015" s="2234" t="str">
        <f>VLOOKUP($A1015,'13 - QT_QUI'!$A:$F,3,0)</f>
        <v>SINAPI</v>
      </c>
      <c r="D1015" s="2375" t="s">
        <v>10403</v>
      </c>
      <c r="E1015" s="2242" t="str">
        <f>IFERROR(VLOOKUP($B1015,'24.08_ND'!$1:$1048529,3,0),IFERROR(VLOOKUP($B1015,'03-CP'!$C$1:$H$6260,3,0),""))</f>
        <v>M</v>
      </c>
      <c r="F1015" s="2230">
        <v>5</v>
      </c>
      <c r="G1015" s="2238">
        <v>11.61</v>
      </c>
      <c r="H1015" s="2302">
        <f t="shared" si="212"/>
        <v>58.05</v>
      </c>
      <c r="I1015" s="2328">
        <f t="shared" si="208"/>
        <v>0</v>
      </c>
      <c r="J1015" s="2237"/>
      <c r="K1015" s="2411"/>
      <c r="L1015" s="2533">
        <f t="shared" si="213"/>
        <v>0</v>
      </c>
      <c r="M1015" s="2238">
        <v>0</v>
      </c>
      <c r="N1015" s="2239">
        <f t="shared" si="214"/>
        <v>0</v>
      </c>
      <c r="O1015" s="2498">
        <f t="shared" si="211"/>
        <v>58.05</v>
      </c>
      <c r="P1015" s="2295">
        <f t="shared" si="215"/>
        <v>1</v>
      </c>
    </row>
    <row r="1016" spans="1:17">
      <c r="A1016" s="2267" t="s">
        <v>12638</v>
      </c>
      <c r="B1016" s="2216"/>
      <c r="C1016" s="2217"/>
      <c r="D1016" s="2377" t="s">
        <v>16332</v>
      </c>
      <c r="E1016" s="2218"/>
      <c r="F1016" s="2241"/>
      <c r="G1016" s="2220"/>
      <c r="H1016" s="2300">
        <f>SUBTOTAL(9,H1017:H1051)</f>
        <v>28502.300000000003</v>
      </c>
      <c r="I1016" s="2283"/>
      <c r="J1016" s="2221"/>
      <c r="K1016" s="2492"/>
      <c r="L1016" s="2532">
        <f>SUBTOTAL(9,L1017:L1051)</f>
        <v>698.98</v>
      </c>
      <c r="M1016" s="2300">
        <f>SUBTOTAL(9,M1017:M1051)</f>
        <v>521.54</v>
      </c>
      <c r="N1016" s="2300">
        <f>SUBTOTAL(9,N1017:N1051)</f>
        <v>177.44</v>
      </c>
      <c r="O1016" s="2300">
        <f>SUBTOTAL(9,O1017:O1051)</f>
        <v>27803.320000000003</v>
      </c>
      <c r="P1016" s="2295"/>
      <c r="Q1016" s="2568"/>
    </row>
    <row r="1017" spans="1:17">
      <c r="A1017" s="2343" t="s">
        <v>13666</v>
      </c>
      <c r="B1017" s="2223"/>
      <c r="C1017" s="2223"/>
      <c r="D1017" s="2376" t="s">
        <v>16333</v>
      </c>
      <c r="E1017" s="2224"/>
      <c r="F1017" s="2240"/>
      <c r="G1017" s="2226"/>
      <c r="H1017" s="2301">
        <f>SUBTOTAL(9,H1018:H1027)</f>
        <v>13278.710000000001</v>
      </c>
      <c r="I1017" s="2284"/>
      <c r="J1017" s="2227"/>
      <c r="K1017" s="2496"/>
      <c r="L1017" s="2534">
        <f>SUBTOTAL(9,L1018:L1027)</f>
        <v>521.54</v>
      </c>
      <c r="M1017" s="2301">
        <f>SUBTOTAL(9,M1018:M1027)</f>
        <v>521.54</v>
      </c>
      <c r="N1017" s="2301">
        <f>SUBTOTAL(9,N1018:N1027)</f>
        <v>0</v>
      </c>
      <c r="O1017" s="2301">
        <f>SUBTOTAL(9,O1018:O1027)</f>
        <v>12757.17</v>
      </c>
      <c r="P1017" s="2295"/>
    </row>
    <row r="1018" spans="1:17" ht="45">
      <c r="A1018" s="2272" t="s">
        <v>13667</v>
      </c>
      <c r="B1018" s="2234">
        <f>VLOOKUP($A1018,'13 - QT_QUI'!$A:$F,2,0)</f>
        <v>91855</v>
      </c>
      <c r="C1018" s="2234" t="str">
        <f>VLOOKUP($A1018,'13 - QT_QUI'!$A:$F,3,0)</f>
        <v>SINAPI</v>
      </c>
      <c r="D1018" s="2375" t="s">
        <v>7771</v>
      </c>
      <c r="E1018" s="2242" t="str">
        <f>IFERROR(VLOOKUP($B1018,'24.08_ND'!$1:$1048529,3,0),IFERROR(VLOOKUP($B1018,'03-CP'!$C$1:$H$6260,3,0),""))</f>
        <v>M</v>
      </c>
      <c r="F1018" s="2230">
        <v>34</v>
      </c>
      <c r="G1018" s="2238">
        <v>12.07</v>
      </c>
      <c r="H1018" s="2302">
        <f t="shared" ref="H1018:H1027" si="216">TRUNC((G1018*F1018),2)</f>
        <v>410.38</v>
      </c>
      <c r="I1018" s="2328">
        <f t="shared" ref="I1018:I1027" si="217">J1018+K1018</f>
        <v>0.75</v>
      </c>
      <c r="J1018" s="2237">
        <v>0.75</v>
      </c>
      <c r="K1018" s="2411"/>
      <c r="L1018" s="2533">
        <f t="shared" ref="L1018:L1027" si="218">M1018+N1018</f>
        <v>307.77999999999997</v>
      </c>
      <c r="M1018" s="2238">
        <v>307.77999999999997</v>
      </c>
      <c r="N1018" s="2239">
        <f t="shared" ref="N1018:N1027" si="219">TRUNC(H1018*K1018,2)</f>
        <v>0</v>
      </c>
      <c r="O1018" s="2498">
        <f t="shared" ref="O1018:O1027" si="220">H1018-L1018</f>
        <v>102.60000000000002</v>
      </c>
      <c r="P1018" s="2295">
        <f t="shared" si="215"/>
        <v>0.25001218382962137</v>
      </c>
    </row>
    <row r="1019" spans="1:17" ht="45">
      <c r="A1019" s="2272" t="s">
        <v>13668</v>
      </c>
      <c r="B1019" s="2234">
        <f>VLOOKUP($A1019,'13 - QT_QUI'!$A:$F,2,0)</f>
        <v>91834</v>
      </c>
      <c r="C1019" s="2234" t="str">
        <f>VLOOKUP($A1019,'13 - QT_QUI'!$A:$F,3,0)</f>
        <v>SINAPI</v>
      </c>
      <c r="D1019" s="2375" t="s">
        <v>7755</v>
      </c>
      <c r="E1019" s="2242" t="str">
        <f>IFERROR(VLOOKUP($B1019,'24.08_ND'!$1:$1048529,3,0),IFERROR(VLOOKUP($B1019,'03-CP'!$C$1:$H$6260,3,0),""))</f>
        <v>M</v>
      </c>
      <c r="F1019" s="2230">
        <v>12</v>
      </c>
      <c r="G1019" s="2238">
        <v>19.7</v>
      </c>
      <c r="H1019" s="2302">
        <f t="shared" si="216"/>
        <v>236.4</v>
      </c>
      <c r="I1019" s="2328">
        <f t="shared" si="217"/>
        <v>0</v>
      </c>
      <c r="J1019" s="2237"/>
      <c r="K1019" s="2411"/>
      <c r="L1019" s="2533">
        <f t="shared" si="218"/>
        <v>0</v>
      </c>
      <c r="M1019" s="2238">
        <v>0</v>
      </c>
      <c r="N1019" s="2239">
        <f t="shared" si="219"/>
        <v>0</v>
      </c>
      <c r="O1019" s="2498">
        <f t="shared" si="220"/>
        <v>236.4</v>
      </c>
      <c r="P1019" s="2295">
        <f t="shared" si="215"/>
        <v>1</v>
      </c>
    </row>
    <row r="1020" spans="1:17" ht="45">
      <c r="A1020" s="2272" t="s">
        <v>13669</v>
      </c>
      <c r="B1020" s="2234">
        <f>VLOOKUP($A1020,'13 - QT_QUI'!$A:$F,2,0)</f>
        <v>97668</v>
      </c>
      <c r="C1020" s="2234" t="str">
        <f>VLOOKUP($A1020,'13 - QT_QUI'!$A:$F,3,0)</f>
        <v>SINAPI</v>
      </c>
      <c r="D1020" s="2375" t="s">
        <v>7798</v>
      </c>
      <c r="E1020" s="2242" t="str">
        <f>IFERROR(VLOOKUP($B1020,'24.08_ND'!$1:$1048529,3,0),IFERROR(VLOOKUP($B1020,'03-CP'!$C$1:$H$6260,3,0),""))</f>
        <v>M</v>
      </c>
      <c r="F1020" s="2230">
        <v>251</v>
      </c>
      <c r="G1020" s="2238">
        <v>12.73</v>
      </c>
      <c r="H1020" s="2302">
        <f t="shared" si="216"/>
        <v>3195.23</v>
      </c>
      <c r="I1020" s="2328">
        <f t="shared" si="217"/>
        <v>0</v>
      </c>
      <c r="J1020" s="2237"/>
      <c r="K1020" s="2411"/>
      <c r="L1020" s="2533">
        <f t="shared" si="218"/>
        <v>0</v>
      </c>
      <c r="M1020" s="2238">
        <v>0</v>
      </c>
      <c r="N1020" s="2239">
        <f t="shared" si="219"/>
        <v>0</v>
      </c>
      <c r="O1020" s="2498">
        <f t="shared" si="220"/>
        <v>3195.23</v>
      </c>
      <c r="P1020" s="2295">
        <f t="shared" si="215"/>
        <v>1</v>
      </c>
    </row>
    <row r="1021" spans="1:17" ht="30">
      <c r="A1021" s="2272" t="s">
        <v>13670</v>
      </c>
      <c r="B1021" s="2234">
        <f>VLOOKUP($A1021,'13 - QT_QUI'!$A:$F,2,0)</f>
        <v>91939</v>
      </c>
      <c r="C1021" s="2234" t="str">
        <f>VLOOKUP($A1021,'13 - QT_QUI'!$A:$F,3,0)</f>
        <v>SINAPI</v>
      </c>
      <c r="D1021" s="2375" t="s">
        <v>7885</v>
      </c>
      <c r="E1021" s="2242" t="str">
        <f>IFERROR(VLOOKUP($B1021,'24.08_ND'!$1:$1048529,3,0),IFERROR(VLOOKUP($B1021,'03-CP'!$C$1:$H$6260,3,0),""))</f>
        <v>UN</v>
      </c>
      <c r="F1021" s="2230">
        <v>3</v>
      </c>
      <c r="G1021" s="2238">
        <v>34.299999999999997</v>
      </c>
      <c r="H1021" s="2302">
        <f t="shared" si="216"/>
        <v>102.9</v>
      </c>
      <c r="I1021" s="2328">
        <f t="shared" si="217"/>
        <v>0</v>
      </c>
      <c r="J1021" s="2237"/>
      <c r="K1021" s="2411"/>
      <c r="L1021" s="2533">
        <f t="shared" si="218"/>
        <v>0</v>
      </c>
      <c r="M1021" s="2238">
        <v>0</v>
      </c>
      <c r="N1021" s="2239">
        <f t="shared" si="219"/>
        <v>0</v>
      </c>
      <c r="O1021" s="2498">
        <f t="shared" si="220"/>
        <v>102.9</v>
      </c>
      <c r="P1021" s="2295">
        <f t="shared" si="215"/>
        <v>1</v>
      </c>
    </row>
    <row r="1022" spans="1:17" ht="30">
      <c r="A1022" s="2272" t="s">
        <v>13671</v>
      </c>
      <c r="B1022" s="2234">
        <f>VLOOKUP($A1022,'13 - QT_QUI'!$A:$F,2,0)</f>
        <v>91940</v>
      </c>
      <c r="C1022" s="2234" t="str">
        <f>VLOOKUP($A1022,'13 - QT_QUI'!$A:$F,3,0)</f>
        <v>SINAPI</v>
      </c>
      <c r="D1022" s="2375" t="s">
        <v>7886</v>
      </c>
      <c r="E1022" s="2242" t="str">
        <f>IFERROR(VLOOKUP($B1022,'24.08_ND'!$1:$1048529,3,0),IFERROR(VLOOKUP($B1022,'03-CP'!$C$1:$H$6260,3,0),""))</f>
        <v>UN</v>
      </c>
      <c r="F1022" s="2230">
        <v>9</v>
      </c>
      <c r="G1022" s="2238">
        <v>19.96</v>
      </c>
      <c r="H1022" s="2302">
        <f t="shared" si="216"/>
        <v>179.64</v>
      </c>
      <c r="I1022" s="2328">
        <f t="shared" si="217"/>
        <v>1</v>
      </c>
      <c r="J1022" s="2237">
        <v>1</v>
      </c>
      <c r="K1022" s="2411"/>
      <c r="L1022" s="2533">
        <f t="shared" si="218"/>
        <v>179.64</v>
      </c>
      <c r="M1022" s="2238">
        <v>179.64</v>
      </c>
      <c r="N1022" s="2239">
        <f t="shared" si="219"/>
        <v>0</v>
      </c>
      <c r="O1022" s="2498">
        <f t="shared" si="220"/>
        <v>0</v>
      </c>
      <c r="P1022" s="2295">
        <f t="shared" si="215"/>
        <v>0</v>
      </c>
    </row>
    <row r="1023" spans="1:17" ht="30">
      <c r="A1023" s="2272" t="s">
        <v>13672</v>
      </c>
      <c r="B1023" s="2234">
        <f>VLOOKUP($A1023,'13 - QT_QUI'!$A:$F,2,0)</f>
        <v>91941</v>
      </c>
      <c r="C1023" s="2234" t="str">
        <f>VLOOKUP($A1023,'13 - QT_QUI'!$A:$F,3,0)</f>
        <v>SINAPI</v>
      </c>
      <c r="D1023" s="2375" t="s">
        <v>7887</v>
      </c>
      <c r="E1023" s="2242" t="str">
        <f>IFERROR(VLOOKUP($B1023,'24.08_ND'!$1:$1048529,3,0),IFERROR(VLOOKUP($B1023,'03-CP'!$C$1:$H$6260,3,0),""))</f>
        <v>UN</v>
      </c>
      <c r="F1023" s="2230">
        <v>1</v>
      </c>
      <c r="G1023" s="2238">
        <v>12.92</v>
      </c>
      <c r="H1023" s="2302">
        <f t="shared" si="216"/>
        <v>12.92</v>
      </c>
      <c r="I1023" s="2328">
        <f t="shared" si="217"/>
        <v>0</v>
      </c>
      <c r="J1023" s="2237"/>
      <c r="K1023" s="2411"/>
      <c r="L1023" s="2533">
        <f t="shared" si="218"/>
        <v>0</v>
      </c>
      <c r="M1023" s="2238">
        <v>0</v>
      </c>
      <c r="N1023" s="2239">
        <f t="shared" si="219"/>
        <v>0</v>
      </c>
      <c r="O1023" s="2498">
        <f t="shared" si="220"/>
        <v>12.92</v>
      </c>
      <c r="P1023" s="2295">
        <f t="shared" si="215"/>
        <v>1</v>
      </c>
    </row>
    <row r="1024" spans="1:17" ht="30">
      <c r="A1024" s="2272" t="s">
        <v>13673</v>
      </c>
      <c r="B1024" s="2234">
        <f>VLOOKUP($A1024,'13 - QT_QUI'!$A:$F,2,0)</f>
        <v>92865</v>
      </c>
      <c r="C1024" s="2234" t="str">
        <f>VLOOKUP($A1024,'13 - QT_QUI'!$A:$F,3,0)</f>
        <v>SINAPI</v>
      </c>
      <c r="D1024" s="2375" t="s">
        <v>7891</v>
      </c>
      <c r="E1024" s="2242" t="str">
        <f>IFERROR(VLOOKUP($B1024,'24.08_ND'!$1:$1048529,3,0),IFERROR(VLOOKUP($B1024,'03-CP'!$C$1:$H$6260,3,0),""))</f>
        <v>UN</v>
      </c>
      <c r="F1024" s="2230">
        <v>4</v>
      </c>
      <c r="G1024" s="2238">
        <v>17.059999999999999</v>
      </c>
      <c r="H1024" s="2302">
        <f t="shared" si="216"/>
        <v>68.239999999999995</v>
      </c>
      <c r="I1024" s="2328">
        <f t="shared" si="217"/>
        <v>0.5</v>
      </c>
      <c r="J1024" s="2237">
        <v>0.5</v>
      </c>
      <c r="K1024" s="2411"/>
      <c r="L1024" s="2533">
        <f t="shared" si="218"/>
        <v>34.119999999999997</v>
      </c>
      <c r="M1024" s="2238">
        <v>34.119999999999997</v>
      </c>
      <c r="N1024" s="2239">
        <f t="shared" si="219"/>
        <v>0</v>
      </c>
      <c r="O1024" s="2498">
        <f t="shared" si="220"/>
        <v>34.119999999999997</v>
      </c>
      <c r="P1024" s="2295">
        <f t="shared" si="215"/>
        <v>0.5</v>
      </c>
    </row>
    <row r="1025" spans="1:20" ht="30">
      <c r="A1025" s="2272" t="s">
        <v>13674</v>
      </c>
      <c r="B1025" s="2234">
        <f>VLOOKUP($A1025,'13 - QT_QUI'!$A:$F,2,0)</f>
        <v>97881</v>
      </c>
      <c r="C1025" s="2234" t="str">
        <f>VLOOKUP($A1025,'13 - QT_QUI'!$A:$F,3,0)</f>
        <v>SINAPI</v>
      </c>
      <c r="D1025" s="2375" t="s">
        <v>7930</v>
      </c>
      <c r="E1025" s="2242" t="str">
        <f>IFERROR(VLOOKUP($B1025,'24.08_ND'!$1:$1048529,3,0),IFERROR(VLOOKUP($B1025,'03-CP'!$C$1:$H$6260,3,0),""))</f>
        <v>UN</v>
      </c>
      <c r="F1025" s="2230">
        <v>11</v>
      </c>
      <c r="G1025" s="2238">
        <v>153.05000000000001</v>
      </c>
      <c r="H1025" s="2302">
        <f t="shared" si="216"/>
        <v>1683.55</v>
      </c>
      <c r="I1025" s="2328">
        <f t="shared" si="217"/>
        <v>0</v>
      </c>
      <c r="J1025" s="2237"/>
      <c r="K1025" s="2411"/>
      <c r="L1025" s="2533">
        <f t="shared" si="218"/>
        <v>0</v>
      </c>
      <c r="M1025" s="2238">
        <v>0</v>
      </c>
      <c r="N1025" s="2239">
        <f t="shared" si="219"/>
        <v>0</v>
      </c>
      <c r="O1025" s="2498">
        <f t="shared" si="220"/>
        <v>1683.55</v>
      </c>
      <c r="P1025" s="2295">
        <f t="shared" si="215"/>
        <v>1</v>
      </c>
    </row>
    <row r="1026" spans="1:20" ht="30">
      <c r="A1026" s="2272" t="s">
        <v>13675</v>
      </c>
      <c r="B1026" s="2234">
        <f>VLOOKUP($A1026,'13 - QT_QUI'!$A:$F,2,0)</f>
        <v>93358</v>
      </c>
      <c r="C1026" s="2234" t="str">
        <f>VLOOKUP($A1026,'13 - QT_QUI'!$A:$F,3,0)</f>
        <v>SINAPI</v>
      </c>
      <c r="D1026" s="2375" t="s">
        <v>10648</v>
      </c>
      <c r="E1026" s="2242" t="str">
        <f>IFERROR(VLOOKUP($B1026,'24.08_ND'!$1:$1048529,3,0),IFERROR(VLOOKUP($B1026,'03-CP'!$C$1:$H$6260,3,0),""))</f>
        <v>M3</v>
      </c>
      <c r="F1026" s="2230">
        <v>63</v>
      </c>
      <c r="G1026" s="2238">
        <v>91.52</v>
      </c>
      <c r="H1026" s="2302">
        <f t="shared" si="216"/>
        <v>5765.76</v>
      </c>
      <c r="I1026" s="2328">
        <f t="shared" si="217"/>
        <v>0</v>
      </c>
      <c r="J1026" s="2237"/>
      <c r="K1026" s="2411"/>
      <c r="L1026" s="2533">
        <f t="shared" si="218"/>
        <v>0</v>
      </c>
      <c r="M1026" s="2238">
        <v>0</v>
      </c>
      <c r="N1026" s="2239">
        <f t="shared" si="219"/>
        <v>0</v>
      </c>
      <c r="O1026" s="2498">
        <f t="shared" si="220"/>
        <v>5765.76</v>
      </c>
      <c r="P1026" s="2295">
        <f t="shared" si="215"/>
        <v>1</v>
      </c>
    </row>
    <row r="1027" spans="1:20">
      <c r="A1027" s="2272" t="s">
        <v>13676</v>
      </c>
      <c r="B1027" s="2234">
        <f>VLOOKUP($A1027,'13 - QT_QUI'!$A:$F,2,0)</f>
        <v>104737</v>
      </c>
      <c r="C1027" s="2234" t="str">
        <f>VLOOKUP($A1027,'13 - QT_QUI'!$A:$F,3,0)</f>
        <v>SINAPI</v>
      </c>
      <c r="D1027" s="2375" t="s">
        <v>10736</v>
      </c>
      <c r="E1027" s="2242" t="str">
        <f>IFERROR(VLOOKUP($B1027,'24.08_ND'!$1:$1048529,3,0),IFERROR(VLOOKUP($B1027,'03-CP'!$C$1:$H$6260,3,0),""))</f>
        <v>M3</v>
      </c>
      <c r="F1027" s="2230">
        <v>69.300000000000011</v>
      </c>
      <c r="G1027" s="2238">
        <v>23.43</v>
      </c>
      <c r="H1027" s="2302">
        <f t="shared" si="216"/>
        <v>1623.69</v>
      </c>
      <c r="I1027" s="2328">
        <f t="shared" si="217"/>
        <v>0</v>
      </c>
      <c r="J1027" s="2237"/>
      <c r="K1027" s="2411"/>
      <c r="L1027" s="2533">
        <f t="shared" si="218"/>
        <v>0</v>
      </c>
      <c r="M1027" s="2238">
        <v>0</v>
      </c>
      <c r="N1027" s="2239">
        <f t="shared" si="219"/>
        <v>0</v>
      </c>
      <c r="O1027" s="2498">
        <f t="shared" si="220"/>
        <v>1623.69</v>
      </c>
      <c r="P1027" s="2295">
        <f t="shared" si="215"/>
        <v>1</v>
      </c>
    </row>
    <row r="1028" spans="1:20">
      <c r="A1028" s="2343" t="s">
        <v>13677</v>
      </c>
      <c r="B1028" s="2223"/>
      <c r="C1028" s="2223"/>
      <c r="D1028" s="2376" t="s">
        <v>16336</v>
      </c>
      <c r="E1028" s="2224"/>
      <c r="F1028" s="2240"/>
      <c r="G1028" s="2226"/>
      <c r="H1028" s="2301">
        <f>SUBTOTAL(9,H1029:H1032)</f>
        <v>608.38</v>
      </c>
      <c r="I1028" s="2284"/>
      <c r="J1028" s="2227"/>
      <c r="K1028" s="2496"/>
      <c r="L1028" s="2534">
        <f>SUBTOTAL(9,L1029:L1032)</f>
        <v>0</v>
      </c>
      <c r="M1028" s="2301">
        <f>SUBTOTAL(9,M1029:M1032)</f>
        <v>0</v>
      </c>
      <c r="N1028" s="2301">
        <f>SUBTOTAL(9,N1029:N1032)</f>
        <v>0</v>
      </c>
      <c r="O1028" s="2301">
        <f>SUBTOTAL(9,O1029:O1032)</f>
        <v>608.38</v>
      </c>
      <c r="P1028" s="2295">
        <f t="shared" si="215"/>
        <v>1</v>
      </c>
    </row>
    <row r="1029" spans="1:20" ht="30">
      <c r="A1029" s="2272" t="s">
        <v>13678</v>
      </c>
      <c r="B1029" s="2234">
        <f>VLOOKUP($A1029,'13 - QT_QUI'!$A:$F,2,0)</f>
        <v>92023</v>
      </c>
      <c r="C1029" s="2234" t="str">
        <f>VLOOKUP($A1029,'13 - QT_QUI'!$A:$F,3,0)</f>
        <v>SINAPI</v>
      </c>
      <c r="D1029" s="2375" t="s">
        <v>8082</v>
      </c>
      <c r="E1029" s="2242" t="str">
        <f>IFERROR(VLOOKUP($B1029,'24.08_ND'!$1:$1048529,3,0),IFERROR(VLOOKUP($B1029,'03-CP'!$C$1:$H$6260,3,0),""))</f>
        <v>UN</v>
      </c>
      <c r="F1029" s="2230">
        <v>4</v>
      </c>
      <c r="G1029" s="2238">
        <v>54.62</v>
      </c>
      <c r="H1029" s="2302">
        <f>TRUNC((G1029*F1029),2)</f>
        <v>218.48</v>
      </c>
      <c r="I1029" s="2328">
        <f>J1029+K1029</f>
        <v>0</v>
      </c>
      <c r="J1029" s="2237"/>
      <c r="K1029" s="2411"/>
      <c r="L1029" s="2533">
        <f>M1029+N1029</f>
        <v>0</v>
      </c>
      <c r="M1029" s="2238">
        <v>0</v>
      </c>
      <c r="N1029" s="2239">
        <f>TRUNC(H1029*K1029,2)</f>
        <v>0</v>
      </c>
      <c r="O1029" s="2498">
        <f>H1029-L1029</f>
        <v>218.48</v>
      </c>
      <c r="P1029" s="2295">
        <f t="shared" si="215"/>
        <v>1</v>
      </c>
      <c r="T1029" s="1789"/>
    </row>
    <row r="1030" spans="1:20" ht="30">
      <c r="A1030" s="2272" t="s">
        <v>13679</v>
      </c>
      <c r="B1030" s="2234">
        <f>VLOOKUP($A1030,'13 - QT_QUI'!$A:$F,2,0)</f>
        <v>91997</v>
      </c>
      <c r="C1030" s="2234" t="str">
        <f>VLOOKUP($A1030,'13 - QT_QUI'!$A:$F,3,0)</f>
        <v>SINAPI</v>
      </c>
      <c r="D1030" s="2375" t="s">
        <v>8056</v>
      </c>
      <c r="E1030" s="2242" t="str">
        <f>IFERROR(VLOOKUP($B1030,'24.08_ND'!$1:$1048529,3,0),IFERROR(VLOOKUP($B1030,'03-CP'!$C$1:$H$6260,3,0),""))</f>
        <v>UN</v>
      </c>
      <c r="F1030" s="2230">
        <v>5</v>
      </c>
      <c r="G1030" s="2238">
        <v>40.200000000000003</v>
      </c>
      <c r="H1030" s="2302">
        <f>TRUNC((G1030*F1030),2)</f>
        <v>201</v>
      </c>
      <c r="I1030" s="2328">
        <f>J1030+K1030</f>
        <v>0</v>
      </c>
      <c r="J1030" s="2237"/>
      <c r="K1030" s="2411"/>
      <c r="L1030" s="2533">
        <f>M1030+N1030</f>
        <v>0</v>
      </c>
      <c r="M1030" s="2238">
        <v>0</v>
      </c>
      <c r="N1030" s="2239">
        <f>TRUNC(H1030*K1030,2)</f>
        <v>0</v>
      </c>
      <c r="O1030" s="2498">
        <f>H1030-L1030</f>
        <v>201</v>
      </c>
      <c r="P1030" s="2295">
        <f t="shared" si="215"/>
        <v>1</v>
      </c>
      <c r="T1030" s="1789"/>
    </row>
    <row r="1031" spans="1:20" ht="30">
      <c r="A1031" s="2272" t="s">
        <v>13680</v>
      </c>
      <c r="B1031" s="2234">
        <f>VLOOKUP($A1031,'13 - QT_QUI'!$A:$F,2,0)</f>
        <v>92001</v>
      </c>
      <c r="C1031" s="2234" t="str">
        <f>VLOOKUP($A1031,'13 - QT_QUI'!$A:$F,3,0)</f>
        <v>SINAPI</v>
      </c>
      <c r="D1031" s="2375" t="s">
        <v>8060</v>
      </c>
      <c r="E1031" s="2242" t="str">
        <f>IFERROR(VLOOKUP($B1031,'24.08_ND'!$1:$1048529,3,0),IFERROR(VLOOKUP($B1031,'03-CP'!$C$1:$H$6260,3,0),""))</f>
        <v>UN</v>
      </c>
      <c r="F1031" s="2230">
        <v>1</v>
      </c>
      <c r="G1031" s="2238">
        <v>36.049999999999997</v>
      </c>
      <c r="H1031" s="2302">
        <f>TRUNC((G1031*F1031),2)</f>
        <v>36.049999999999997</v>
      </c>
      <c r="I1031" s="2328">
        <f>J1031+K1031</f>
        <v>0</v>
      </c>
      <c r="J1031" s="2237"/>
      <c r="K1031" s="2411"/>
      <c r="L1031" s="2533">
        <f>M1031+N1031</f>
        <v>0</v>
      </c>
      <c r="M1031" s="2238">
        <v>0</v>
      </c>
      <c r="N1031" s="2239">
        <f>TRUNC(H1031*K1031,2)</f>
        <v>0</v>
      </c>
      <c r="O1031" s="2498">
        <f>H1031-L1031</f>
        <v>36.049999999999997</v>
      </c>
      <c r="P1031" s="2295">
        <f t="shared" si="215"/>
        <v>1</v>
      </c>
      <c r="T1031" s="1789"/>
    </row>
    <row r="1032" spans="1:20" ht="30">
      <c r="A1032" s="2272" t="s">
        <v>13681</v>
      </c>
      <c r="B1032" s="2234">
        <f>VLOOKUP($A1032,'13 - QT_QUI'!$A:$F,2,0)</f>
        <v>91993</v>
      </c>
      <c r="C1032" s="2234" t="str">
        <f>VLOOKUP($A1032,'13 - QT_QUI'!$A:$F,3,0)</f>
        <v>SINAPI</v>
      </c>
      <c r="D1032" s="2375" t="s">
        <v>8052</v>
      </c>
      <c r="E1032" s="2242" t="str">
        <f>IFERROR(VLOOKUP($B1032,'24.08_ND'!$1:$1048529,3,0),IFERROR(VLOOKUP($B1032,'03-CP'!$C$1:$H$6260,3,0),""))</f>
        <v>UN</v>
      </c>
      <c r="F1032" s="2230">
        <v>3</v>
      </c>
      <c r="G1032" s="2238">
        <v>50.95</v>
      </c>
      <c r="H1032" s="2302">
        <f>TRUNC((G1032*F1032),2)</f>
        <v>152.85</v>
      </c>
      <c r="I1032" s="2328">
        <f>J1032+K1032</f>
        <v>0</v>
      </c>
      <c r="J1032" s="2237"/>
      <c r="K1032" s="2411"/>
      <c r="L1032" s="2533">
        <f>M1032+N1032</f>
        <v>0</v>
      </c>
      <c r="M1032" s="2238">
        <v>0</v>
      </c>
      <c r="N1032" s="2239">
        <f>TRUNC(H1032*K1032,2)</f>
        <v>0</v>
      </c>
      <c r="O1032" s="2498">
        <f>H1032-L1032</f>
        <v>152.85</v>
      </c>
      <c r="P1032" s="2295">
        <f t="shared" si="215"/>
        <v>1</v>
      </c>
      <c r="T1032" s="1789"/>
    </row>
    <row r="1033" spans="1:20">
      <c r="A1033" s="2343" t="s">
        <v>13682</v>
      </c>
      <c r="B1033" s="2223"/>
      <c r="C1033" s="2223"/>
      <c r="D1033" s="2376" t="s">
        <v>16337</v>
      </c>
      <c r="E1033" s="2224"/>
      <c r="F1033" s="2240"/>
      <c r="G1033" s="2226"/>
      <c r="H1033" s="2301">
        <f>SUBTOTAL(9,H1034:H1035)</f>
        <v>11804</v>
      </c>
      <c r="I1033" s="2284"/>
      <c r="J1033" s="2227"/>
      <c r="K1033" s="2496"/>
      <c r="L1033" s="2534">
        <f>SUBTOTAL(9,L1034:L1035)</f>
        <v>0</v>
      </c>
      <c r="M1033" s="2301">
        <f>SUBTOTAL(9,M1034:M1035)</f>
        <v>0</v>
      </c>
      <c r="N1033" s="2301">
        <f>SUBTOTAL(9,N1034:N1035)</f>
        <v>0</v>
      </c>
      <c r="O1033" s="2301">
        <f>SUBTOTAL(9,O1034:O1035)</f>
        <v>11804</v>
      </c>
      <c r="P1033" s="2295">
        <f t="shared" si="215"/>
        <v>1</v>
      </c>
    </row>
    <row r="1034" spans="1:20" ht="30">
      <c r="A1034" s="2272" t="s">
        <v>13683</v>
      </c>
      <c r="B1034" s="2234">
        <f>VLOOKUP($A1034,'13 - QT_QUI'!$A:$F,2,0)</f>
        <v>91933</v>
      </c>
      <c r="C1034" s="2234" t="str">
        <f>VLOOKUP($A1034,'13 - QT_QUI'!$A:$F,3,0)</f>
        <v>SINAPI</v>
      </c>
      <c r="D1034" s="2375" t="s">
        <v>7860</v>
      </c>
      <c r="E1034" s="2242" t="str">
        <f>IFERROR(VLOOKUP($B1034,'24.08_ND'!$1:$1048529,3,0),IFERROR(VLOOKUP($B1034,'03-CP'!$C$1:$H$6260,3,0),""))</f>
        <v>M</v>
      </c>
      <c r="F1034" s="2230">
        <v>585</v>
      </c>
      <c r="G1034" s="2238">
        <v>19.059999999999999</v>
      </c>
      <c r="H1034" s="2302">
        <f>TRUNC((G1034*F1034),2)</f>
        <v>11150.1</v>
      </c>
      <c r="I1034" s="2328">
        <f>J1034+K1034</f>
        <v>0</v>
      </c>
      <c r="J1034" s="2237"/>
      <c r="K1034" s="2411"/>
      <c r="L1034" s="2533">
        <f>M1034+N1034</f>
        <v>0</v>
      </c>
      <c r="M1034" s="2238">
        <v>0</v>
      </c>
      <c r="N1034" s="2239">
        <f>TRUNC(H1034*K1034,2)</f>
        <v>0</v>
      </c>
      <c r="O1034" s="2498">
        <f>H1034-L1034</f>
        <v>11150.1</v>
      </c>
      <c r="P1034" s="2295">
        <f t="shared" si="215"/>
        <v>1</v>
      </c>
    </row>
    <row r="1035" spans="1:20" ht="30">
      <c r="A1035" s="2272" t="s">
        <v>13684</v>
      </c>
      <c r="B1035" s="2234">
        <f>VLOOKUP($A1035,'13 - QT_QUI'!$A:$F,2,0)</f>
        <v>91926</v>
      </c>
      <c r="C1035" s="2234" t="str">
        <f>VLOOKUP($A1035,'13 - QT_QUI'!$A:$F,3,0)</f>
        <v>SINAPI</v>
      </c>
      <c r="D1035" s="2375" t="s">
        <v>7853</v>
      </c>
      <c r="E1035" s="2242" t="str">
        <f>IFERROR(VLOOKUP($B1035,'24.08_ND'!$1:$1048529,3,0),IFERROR(VLOOKUP($B1035,'03-CP'!$C$1:$H$6260,3,0),""))</f>
        <v>M</v>
      </c>
      <c r="F1035" s="2230">
        <v>130</v>
      </c>
      <c r="G1035" s="2238">
        <v>5.03</v>
      </c>
      <c r="H1035" s="2302">
        <f>TRUNC((G1035*F1035),2)</f>
        <v>653.9</v>
      </c>
      <c r="I1035" s="2328">
        <f>J1035+K1035</f>
        <v>0</v>
      </c>
      <c r="J1035" s="2237"/>
      <c r="K1035" s="2411"/>
      <c r="L1035" s="2533">
        <f>M1035+N1035</f>
        <v>0</v>
      </c>
      <c r="M1035" s="2238">
        <v>0</v>
      </c>
      <c r="N1035" s="2239">
        <f>TRUNC(H1035*K1035,2)</f>
        <v>0</v>
      </c>
      <c r="O1035" s="2498">
        <f>H1035-L1035</f>
        <v>653.9</v>
      </c>
      <c r="P1035" s="2295">
        <f t="shared" si="215"/>
        <v>1</v>
      </c>
    </row>
    <row r="1036" spans="1:20">
      <c r="A1036" s="2343" t="s">
        <v>13685</v>
      </c>
      <c r="B1036" s="2223"/>
      <c r="C1036" s="2223"/>
      <c r="D1036" s="2376" t="s">
        <v>16476</v>
      </c>
      <c r="E1036" s="2224"/>
      <c r="F1036" s="2240"/>
      <c r="G1036" s="2226"/>
      <c r="H1036" s="2301">
        <f>SUBTOTAL(9,H1037:H1042)</f>
        <v>1443.99</v>
      </c>
      <c r="I1036" s="2284"/>
      <c r="J1036" s="2227"/>
      <c r="K1036" s="2496"/>
      <c r="L1036" s="2534">
        <f>SUBTOTAL(9,L1037:L1042)</f>
        <v>0</v>
      </c>
      <c r="M1036" s="2301">
        <f>SUBTOTAL(9,M1037:M1042)</f>
        <v>0</v>
      </c>
      <c r="N1036" s="2301">
        <f>SUBTOTAL(9,N1037:N1042)</f>
        <v>0</v>
      </c>
      <c r="O1036" s="2301">
        <f>SUBTOTAL(9,O1037:O1042)</f>
        <v>1443.99</v>
      </c>
      <c r="P1036" s="2295">
        <f t="shared" si="215"/>
        <v>1</v>
      </c>
    </row>
    <row r="1037" spans="1:20" ht="30">
      <c r="A1037" s="2272" t="s">
        <v>13686</v>
      </c>
      <c r="B1037" s="2234">
        <f>VLOOKUP($A1037,'13 - QT_QUI'!$A:$F,2,0)</f>
        <v>93653</v>
      </c>
      <c r="C1037" s="2234" t="str">
        <f>VLOOKUP($A1037,'13 - QT_QUI'!$A:$F,3,0)</f>
        <v>SINAPI</v>
      </c>
      <c r="D1037" s="2375" t="s">
        <v>7954</v>
      </c>
      <c r="E1037" s="2242" t="str">
        <f>IFERROR(VLOOKUP($B1037,'24.08_ND'!$1:$1048529,3,0),IFERROR(VLOOKUP($B1037,'03-CP'!$C$1:$H$6260,3,0),""))</f>
        <v>UN</v>
      </c>
      <c r="F1037" s="2230">
        <v>1</v>
      </c>
      <c r="G1037" s="2238">
        <v>13.6</v>
      </c>
      <c r="H1037" s="2302">
        <f t="shared" ref="H1037:H1042" si="221">TRUNC((G1037*F1037),2)</f>
        <v>13.6</v>
      </c>
      <c r="I1037" s="2328">
        <f t="shared" ref="I1037:I1042" si="222">J1037+K1037</f>
        <v>0</v>
      </c>
      <c r="J1037" s="2237"/>
      <c r="K1037" s="2411"/>
      <c r="L1037" s="2533">
        <f t="shared" ref="L1037:L1042" si="223">M1037+N1037</f>
        <v>0</v>
      </c>
      <c r="M1037" s="2238">
        <v>0</v>
      </c>
      <c r="N1037" s="2239">
        <f t="shared" ref="N1037:N1042" si="224">TRUNC(H1037*K1037,2)</f>
        <v>0</v>
      </c>
      <c r="O1037" s="2498">
        <f t="shared" ref="O1037:O1042" si="225">H1037-L1037</f>
        <v>13.6</v>
      </c>
      <c r="P1037" s="2295">
        <f t="shared" si="215"/>
        <v>1</v>
      </c>
    </row>
    <row r="1038" spans="1:20" ht="30">
      <c r="A1038" s="2272" t="s">
        <v>13687</v>
      </c>
      <c r="B1038" s="2234">
        <f>VLOOKUP($A1038,'13 - QT_QUI'!$A:$F,2,0)</f>
        <v>93654</v>
      </c>
      <c r="C1038" s="2234" t="str">
        <f>VLOOKUP($A1038,'13 - QT_QUI'!$A:$F,3,0)</f>
        <v>SINAPI</v>
      </c>
      <c r="D1038" s="2375" t="s">
        <v>7955</v>
      </c>
      <c r="E1038" s="2242" t="str">
        <f>IFERROR(VLOOKUP($B1038,'24.08_ND'!$1:$1048529,3,0),IFERROR(VLOOKUP($B1038,'03-CP'!$C$1:$H$6260,3,0),""))</f>
        <v>UN</v>
      </c>
      <c r="F1038" s="2230">
        <v>2</v>
      </c>
      <c r="G1038" s="2238">
        <v>14.28</v>
      </c>
      <c r="H1038" s="2302">
        <f t="shared" si="221"/>
        <v>28.56</v>
      </c>
      <c r="I1038" s="2328">
        <f t="shared" si="222"/>
        <v>0</v>
      </c>
      <c r="J1038" s="2237"/>
      <c r="K1038" s="2411"/>
      <c r="L1038" s="2533">
        <f t="shared" si="223"/>
        <v>0</v>
      </c>
      <c r="M1038" s="2238">
        <v>0</v>
      </c>
      <c r="N1038" s="2239">
        <f t="shared" si="224"/>
        <v>0</v>
      </c>
      <c r="O1038" s="2498">
        <f t="shared" si="225"/>
        <v>28.56</v>
      </c>
      <c r="P1038" s="2295">
        <f t="shared" si="215"/>
        <v>1</v>
      </c>
      <c r="R1038" s="1790"/>
    </row>
    <row r="1039" spans="1:20" ht="30">
      <c r="A1039" s="2272" t="s">
        <v>13688</v>
      </c>
      <c r="B1039" s="2228" t="str">
        <f>VLOOKUP($A1039,'13 - QT_QUI'!$A:$F,2,0)</f>
        <v>CP-ELE-54</v>
      </c>
      <c r="C1039" s="2228" t="str">
        <f>VLOOKUP($A1039,'13 - QT_QUI'!$A:$F,3,0)</f>
        <v>PRÓPRIA</v>
      </c>
      <c r="D1039" s="2375" t="s">
        <v>15319</v>
      </c>
      <c r="E1039" s="2243" t="str">
        <f>IFERROR(VLOOKUP($B1039,'24.08_ND'!$1:$1048529,3,0),IFERROR(VLOOKUP($B1039,'03-CP'!$C$1:$H$6260,3,0),""))</f>
        <v>UN</v>
      </c>
      <c r="F1039" s="2230">
        <v>1</v>
      </c>
      <c r="G1039" s="2232">
        <v>309.97000000000003</v>
      </c>
      <c r="H1039" s="2302">
        <f t="shared" si="221"/>
        <v>309.97000000000003</v>
      </c>
      <c r="I1039" s="2328">
        <f t="shared" si="222"/>
        <v>0</v>
      </c>
      <c r="J1039" s="2237"/>
      <c r="K1039" s="2411"/>
      <c r="L1039" s="2533">
        <f t="shared" si="223"/>
        <v>0</v>
      </c>
      <c r="M1039" s="2238">
        <v>0</v>
      </c>
      <c r="N1039" s="2239">
        <f t="shared" si="224"/>
        <v>0</v>
      </c>
      <c r="O1039" s="2498">
        <f t="shared" si="225"/>
        <v>309.97000000000003</v>
      </c>
      <c r="P1039" s="2295">
        <f t="shared" si="215"/>
        <v>1</v>
      </c>
    </row>
    <row r="1040" spans="1:20" ht="30">
      <c r="A1040" s="2272" t="s">
        <v>13689</v>
      </c>
      <c r="B1040" s="2228" t="str">
        <f>VLOOKUP($A1040,'13 - QT_QUI'!$A:$F,2,0)</f>
        <v>CP-ELE-123</v>
      </c>
      <c r="C1040" s="2228" t="str">
        <f>VLOOKUP($A1040,'13 - QT_QUI'!$A:$F,3,0)</f>
        <v>PRÓPRIA</v>
      </c>
      <c r="D1040" s="2375" t="s">
        <v>15322</v>
      </c>
      <c r="E1040" s="2243" t="str">
        <f>IFERROR(VLOOKUP($B1040,'24.08_ND'!$1:$1048529,3,0),IFERROR(VLOOKUP($B1040,'03-CP'!$C$1:$H$6260,3,0),""))</f>
        <v>UN</v>
      </c>
      <c r="F1040" s="2230">
        <v>1</v>
      </c>
      <c r="G1040" s="2232">
        <v>233.82</v>
      </c>
      <c r="H1040" s="2302">
        <f t="shared" si="221"/>
        <v>233.82</v>
      </c>
      <c r="I1040" s="2328">
        <f t="shared" si="222"/>
        <v>0</v>
      </c>
      <c r="J1040" s="2237"/>
      <c r="K1040" s="2411"/>
      <c r="L1040" s="2533">
        <f t="shared" si="223"/>
        <v>0</v>
      </c>
      <c r="M1040" s="2238">
        <v>0</v>
      </c>
      <c r="N1040" s="2239">
        <f t="shared" si="224"/>
        <v>0</v>
      </c>
      <c r="O1040" s="2498">
        <f t="shared" si="225"/>
        <v>233.82</v>
      </c>
      <c r="P1040" s="2295">
        <f t="shared" si="215"/>
        <v>1</v>
      </c>
    </row>
    <row r="1041" spans="1:18" ht="30">
      <c r="A1041" s="2272" t="s">
        <v>13690</v>
      </c>
      <c r="B1041" s="2228" t="str">
        <f>VLOOKUP($A1041,'13 - QT_QUI'!$A:$F,2,0)</f>
        <v>CP-ELE-118</v>
      </c>
      <c r="C1041" s="2228" t="str">
        <f>VLOOKUP($A1041,'13 - QT_QUI'!$A:$F,3,0)</f>
        <v>PRÓPRIA</v>
      </c>
      <c r="D1041" s="2375" t="s">
        <v>15273</v>
      </c>
      <c r="E1041" s="2243" t="str">
        <f>IFERROR(VLOOKUP($B1041,'24.08_ND'!$1:$1048529,3,0),IFERROR(VLOOKUP($B1041,'03-CP'!$C$1:$H$6260,3,0),""))</f>
        <v>UN</v>
      </c>
      <c r="F1041" s="2230">
        <v>3</v>
      </c>
      <c r="G1041" s="2232">
        <v>102.93</v>
      </c>
      <c r="H1041" s="2302">
        <f t="shared" si="221"/>
        <v>308.79000000000002</v>
      </c>
      <c r="I1041" s="2328">
        <f t="shared" si="222"/>
        <v>0</v>
      </c>
      <c r="J1041" s="2237"/>
      <c r="K1041" s="2411"/>
      <c r="L1041" s="2533">
        <f t="shared" si="223"/>
        <v>0</v>
      </c>
      <c r="M1041" s="2238">
        <v>0</v>
      </c>
      <c r="N1041" s="2239">
        <f t="shared" si="224"/>
        <v>0</v>
      </c>
      <c r="O1041" s="2498">
        <f t="shared" si="225"/>
        <v>308.79000000000002</v>
      </c>
      <c r="P1041" s="2295">
        <f t="shared" si="215"/>
        <v>1</v>
      </c>
    </row>
    <row r="1042" spans="1:18" ht="45">
      <c r="A1042" s="2272" t="s">
        <v>13691</v>
      </c>
      <c r="B1042" s="2234">
        <f>VLOOKUP($A1042,'13 - QT_QUI'!$A:$F,2,0)</f>
        <v>101875</v>
      </c>
      <c r="C1042" s="2234" t="str">
        <f>VLOOKUP($A1042,'13 - QT_QUI'!$A:$F,3,0)</f>
        <v>SINAPI</v>
      </c>
      <c r="D1042" s="2375" t="s">
        <v>7979</v>
      </c>
      <c r="E1042" s="2242" t="str">
        <f>IFERROR(VLOOKUP($B1042,'24.08_ND'!$1:$1048529,3,0),IFERROR(VLOOKUP($B1042,'03-CP'!$C$1:$H$6260,3,0),""))</f>
        <v>UN</v>
      </c>
      <c r="F1042" s="2230">
        <v>1</v>
      </c>
      <c r="G1042" s="2238">
        <v>549.25</v>
      </c>
      <c r="H1042" s="2302">
        <f t="shared" si="221"/>
        <v>549.25</v>
      </c>
      <c r="I1042" s="2328">
        <f t="shared" si="222"/>
        <v>0</v>
      </c>
      <c r="J1042" s="2237"/>
      <c r="K1042" s="2411"/>
      <c r="L1042" s="2533">
        <f t="shared" si="223"/>
        <v>0</v>
      </c>
      <c r="M1042" s="2238">
        <v>0</v>
      </c>
      <c r="N1042" s="2239">
        <f t="shared" si="224"/>
        <v>0</v>
      </c>
      <c r="O1042" s="2498">
        <f t="shared" si="225"/>
        <v>549.25</v>
      </c>
      <c r="P1042" s="2295">
        <f t="shared" si="215"/>
        <v>1</v>
      </c>
    </row>
    <row r="1043" spans="1:18">
      <c r="A1043" s="2343" t="s">
        <v>13692</v>
      </c>
      <c r="B1043" s="2223"/>
      <c r="C1043" s="2223"/>
      <c r="D1043" s="2376" t="s">
        <v>16426</v>
      </c>
      <c r="E1043" s="2224"/>
      <c r="F1043" s="2240"/>
      <c r="G1043" s="2226"/>
      <c r="H1043" s="2301">
        <f>SUBTOTAL(9,H1044:H1045)</f>
        <v>442.3</v>
      </c>
      <c r="I1043" s="2284"/>
      <c r="J1043" s="2227"/>
      <c r="K1043" s="2496"/>
      <c r="L1043" s="2534">
        <f>SUBTOTAL(9,L1044:L1045)</f>
        <v>177.44</v>
      </c>
      <c r="M1043" s="2301">
        <f>SUBTOTAL(9,M1044:M1045)</f>
        <v>0</v>
      </c>
      <c r="N1043" s="2301">
        <f>SUBTOTAL(9,N1044:N1045)</f>
        <v>177.44</v>
      </c>
      <c r="O1043" s="2301">
        <f>SUBTOTAL(9,O1044:O1045)</f>
        <v>264.86</v>
      </c>
      <c r="P1043" s="2295">
        <f t="shared" si="215"/>
        <v>0.59882432737960667</v>
      </c>
    </row>
    <row r="1044" spans="1:18" ht="30">
      <c r="A1044" s="2272" t="s">
        <v>13693</v>
      </c>
      <c r="B1044" s="2228" t="str">
        <f>VLOOKUP($A1044,'13 - QT_QUI'!$A:$F,2,0)</f>
        <v>CP-ILUM-40</v>
      </c>
      <c r="C1044" s="2228" t="str">
        <f>VLOOKUP($A1044,'13 - QT_QUI'!$A:$F,3,0)</f>
        <v>PRÓPRIA</v>
      </c>
      <c r="D1044" s="2375" t="s">
        <v>15281</v>
      </c>
      <c r="E1044" s="2243" t="str">
        <f>IFERROR(VLOOKUP($B1044,'24.08_ND'!$1:$1048529,3,0),IFERROR(VLOOKUP($B1044,'03-CP'!$C$1:$H$6260,3,0),""))</f>
        <v>UN</v>
      </c>
      <c r="F1044" s="2230">
        <v>4</v>
      </c>
      <c r="G1044" s="2232">
        <v>83.7</v>
      </c>
      <c r="H1044" s="2302">
        <f>TRUNC((G1044*F1044),2)</f>
        <v>334.8</v>
      </c>
      <c r="I1044" s="2328">
        <f>J1044+K1044</f>
        <v>0.53</v>
      </c>
      <c r="J1044" s="2237"/>
      <c r="K1044" s="2411">
        <v>0.53</v>
      </c>
      <c r="L1044" s="2533">
        <f>M1044+N1044</f>
        <v>177.44</v>
      </c>
      <c r="M1044" s="2238">
        <v>0</v>
      </c>
      <c r="N1044" s="2239">
        <f>TRUNC(H1044*K1044,2)</f>
        <v>177.44</v>
      </c>
      <c r="O1044" s="2498">
        <f>H1044-L1044</f>
        <v>157.36000000000001</v>
      </c>
      <c r="P1044" s="2295">
        <f t="shared" si="215"/>
        <v>0.47001194743130231</v>
      </c>
      <c r="Q1044" s="1790"/>
      <c r="R1044" s="1789"/>
    </row>
    <row r="1045" spans="1:18" ht="30">
      <c r="A1045" s="2272" t="s">
        <v>13694</v>
      </c>
      <c r="B1045" s="2228" t="str">
        <f>VLOOKUP($A1045,'13 - QT_QUI'!$A:$F,2,0)</f>
        <v>CP-ILUM-17</v>
      </c>
      <c r="C1045" s="2228" t="str">
        <f>VLOOKUP($A1045,'13 - QT_QUI'!$A:$F,3,0)</f>
        <v>PRÓPRIA</v>
      </c>
      <c r="D1045" s="2375" t="s">
        <v>15168</v>
      </c>
      <c r="E1045" s="2243" t="str">
        <f>IFERROR(VLOOKUP($B1045,'24.08_ND'!$1:$1048529,3,0),IFERROR(VLOOKUP($B1045,'03-CP'!$C$1:$H$6260,3,0),""))</f>
        <v>UN</v>
      </c>
      <c r="F1045" s="2230">
        <v>1</v>
      </c>
      <c r="G1045" s="2232">
        <v>107.5</v>
      </c>
      <c r="H1045" s="2302">
        <f>TRUNC((G1045*F1045),2)</f>
        <v>107.5</v>
      </c>
      <c r="I1045" s="2328">
        <f>J1045+K1045</f>
        <v>0</v>
      </c>
      <c r="J1045" s="2237"/>
      <c r="K1045" s="2411"/>
      <c r="L1045" s="2533">
        <f>M1045+N1045</f>
        <v>0</v>
      </c>
      <c r="M1045" s="2238">
        <v>0</v>
      </c>
      <c r="N1045" s="2239">
        <f>TRUNC(H1045*K1045,2)</f>
        <v>0</v>
      </c>
      <c r="O1045" s="2498">
        <f>H1045-L1045</f>
        <v>107.5</v>
      </c>
      <c r="P1045" s="2295">
        <f t="shared" si="215"/>
        <v>1</v>
      </c>
    </row>
    <row r="1046" spans="1:18">
      <c r="A1046" s="2343" t="s">
        <v>13695</v>
      </c>
      <c r="B1046" s="2223"/>
      <c r="C1046" s="2223"/>
      <c r="D1046" s="2376" t="s">
        <v>16340</v>
      </c>
      <c r="E1046" s="2224"/>
      <c r="F1046" s="2240"/>
      <c r="G1046" s="2226"/>
      <c r="H1046" s="2301">
        <f>SUBTOTAL(9,H1047:H1051)</f>
        <v>924.92000000000007</v>
      </c>
      <c r="I1046" s="2284"/>
      <c r="J1046" s="2227"/>
      <c r="K1046" s="2496"/>
      <c r="L1046" s="2534">
        <f>SUBTOTAL(9,L1047:L1051)</f>
        <v>0</v>
      </c>
      <c r="M1046" s="2301">
        <f>SUBTOTAL(9,M1047:M1051)</f>
        <v>0</v>
      </c>
      <c r="N1046" s="2301">
        <f>SUBTOTAL(9,N1047:N1051)</f>
        <v>0</v>
      </c>
      <c r="O1046" s="2301">
        <f>SUBTOTAL(9,O1047:O1051)</f>
        <v>924.92000000000007</v>
      </c>
      <c r="P1046" s="2295">
        <f t="shared" si="215"/>
        <v>1</v>
      </c>
    </row>
    <row r="1047" spans="1:18" ht="30">
      <c r="A1047" s="2272" t="s">
        <v>13696</v>
      </c>
      <c r="B1047" s="2234">
        <f>VLOOKUP($A1047,'13 - QT_QUI'!$A:$F,2,0)</f>
        <v>98297</v>
      </c>
      <c r="C1047" s="2234" t="str">
        <f>VLOOKUP($A1047,'13 - QT_QUI'!$A:$F,3,0)</f>
        <v>SINAPI</v>
      </c>
      <c r="D1047" s="2375" t="s">
        <v>8403</v>
      </c>
      <c r="E1047" s="2242" t="str">
        <f>IFERROR(VLOOKUP($B1047,'24.08_ND'!$1:$1048529,3,0),IFERROR(VLOOKUP($B1047,'03-CP'!$C$1:$H$6260,3,0),""))</f>
        <v>M</v>
      </c>
      <c r="F1047" s="2230">
        <v>2</v>
      </c>
      <c r="G1047" s="2238">
        <v>13.05</v>
      </c>
      <c r="H1047" s="2302">
        <f>TRUNC((G1047*F1047),2)</f>
        <v>26.1</v>
      </c>
      <c r="I1047" s="2286"/>
      <c r="J1047" s="2237"/>
      <c r="K1047" s="2411"/>
      <c r="L1047" s="2533"/>
      <c r="M1047" s="2238"/>
      <c r="N1047" s="2239"/>
      <c r="O1047" s="2498">
        <f>H1047-L1047</f>
        <v>26.1</v>
      </c>
      <c r="P1047" s="2295">
        <f t="shared" si="215"/>
        <v>1</v>
      </c>
    </row>
    <row r="1048" spans="1:18">
      <c r="A1048" s="2272" t="s">
        <v>13697</v>
      </c>
      <c r="B1048" s="2234">
        <f>VLOOKUP($A1048,'13 - QT_QUI'!$A:$F,2,0)</f>
        <v>98307</v>
      </c>
      <c r="C1048" s="2234" t="str">
        <f>VLOOKUP($A1048,'13 - QT_QUI'!$A:$F,3,0)</f>
        <v>SINAPI</v>
      </c>
      <c r="D1048" s="2375" t="s">
        <v>8412</v>
      </c>
      <c r="E1048" s="2242" t="str">
        <f>IFERROR(VLOOKUP($B1048,'24.08_ND'!$1:$1048529,3,0),IFERROR(VLOOKUP($B1048,'03-CP'!$C$1:$H$6260,3,0),""))</f>
        <v>UN</v>
      </c>
      <c r="F1048" s="2230">
        <v>1</v>
      </c>
      <c r="G1048" s="2238">
        <v>50.02</v>
      </c>
      <c r="H1048" s="2302">
        <f>TRUNC((G1048*F1048),2)</f>
        <v>50.02</v>
      </c>
      <c r="I1048" s="2286"/>
      <c r="J1048" s="2237"/>
      <c r="K1048" s="2411"/>
      <c r="L1048" s="2533"/>
      <c r="M1048" s="2238"/>
      <c r="N1048" s="2239"/>
      <c r="O1048" s="2498">
        <f>H1048-L1048</f>
        <v>50.02</v>
      </c>
      <c r="P1048" s="2295">
        <f t="shared" si="215"/>
        <v>1</v>
      </c>
    </row>
    <row r="1049" spans="1:18" ht="45">
      <c r="A1049" s="2272" t="s">
        <v>13698</v>
      </c>
      <c r="B1049" s="2228" t="str">
        <f>VLOOKUP($A1049,'13 - QT_QUI'!$A:$F,2,0)</f>
        <v>CP-CAB-05</v>
      </c>
      <c r="C1049" s="2228" t="str">
        <f>VLOOKUP($A1049,'13 - QT_QUI'!$A:$F,3,0)</f>
        <v>PRÓPRIA</v>
      </c>
      <c r="D1049" s="2375" t="s">
        <v>15337</v>
      </c>
      <c r="E1049" s="2243" t="str">
        <f>IFERROR(VLOOKUP($B1049,'24.08_ND'!$1:$1048529,3,0),IFERROR(VLOOKUP($B1049,'03-CP'!$C$1:$H$6260,3,0),""))</f>
        <v>UN</v>
      </c>
      <c r="F1049" s="2230">
        <v>1</v>
      </c>
      <c r="G1049" s="2232">
        <v>545.41</v>
      </c>
      <c r="H1049" s="2302">
        <f>TRUNC((G1049*F1049),2)</f>
        <v>545.41</v>
      </c>
      <c r="I1049" s="2287"/>
      <c r="J1049" s="2231"/>
      <c r="K1049" s="2412"/>
      <c r="L1049" s="2536"/>
      <c r="M1049" s="2232"/>
      <c r="N1049" s="2239"/>
      <c r="O1049" s="2498">
        <f>H1049-L1049</f>
        <v>545.41</v>
      </c>
      <c r="P1049" s="2295">
        <f t="shared" si="215"/>
        <v>1</v>
      </c>
    </row>
    <row r="1050" spans="1:18" ht="30">
      <c r="A1050" s="2272" t="s">
        <v>13699</v>
      </c>
      <c r="B1050" s="2228" t="str">
        <f>VLOOKUP($A1050,'13 - QT_QUI'!$A:$F,2,0)</f>
        <v>CP-CAB-12</v>
      </c>
      <c r="C1050" s="2228" t="str">
        <f>VLOOKUP($A1050,'13 - QT_QUI'!$A:$F,3,0)</f>
        <v>PRÓPRIA</v>
      </c>
      <c r="D1050" s="2375" t="s">
        <v>15353</v>
      </c>
      <c r="E1050" s="2243" t="str">
        <f>IFERROR(VLOOKUP($B1050,'24.08_ND'!$1:$1048529,3,0),IFERROR(VLOOKUP($B1050,'03-CP'!$C$1:$H$6260,3,0),""))</f>
        <v>UN</v>
      </c>
      <c r="F1050" s="2230">
        <v>1</v>
      </c>
      <c r="G1050" s="2232">
        <v>141.93</v>
      </c>
      <c r="H1050" s="2302">
        <f>TRUNC((G1050*F1050),2)</f>
        <v>141.93</v>
      </c>
      <c r="I1050" s="2287"/>
      <c r="J1050" s="2231"/>
      <c r="K1050" s="2412"/>
      <c r="L1050" s="2536"/>
      <c r="M1050" s="2232"/>
      <c r="N1050" s="2239"/>
      <c r="O1050" s="2498">
        <f>H1050-L1050</f>
        <v>141.93</v>
      </c>
      <c r="P1050" s="2295">
        <f t="shared" si="215"/>
        <v>1</v>
      </c>
    </row>
    <row r="1051" spans="1:18" ht="30">
      <c r="A1051" s="2272" t="s">
        <v>13700</v>
      </c>
      <c r="B1051" s="2228" t="str">
        <f>VLOOKUP($A1051,'13 - QT_QUI'!$A:$F,2,0)</f>
        <v>CP-CAB-13</v>
      </c>
      <c r="C1051" s="2228" t="str">
        <f>VLOOKUP($A1051,'13 - QT_QUI'!$A:$F,3,0)</f>
        <v>PRÓPRIA</v>
      </c>
      <c r="D1051" s="2375" t="s">
        <v>15356</v>
      </c>
      <c r="E1051" s="2243" t="str">
        <f>IFERROR(VLOOKUP($B1051,'24.08_ND'!$1:$1048529,3,0),IFERROR(VLOOKUP($B1051,'03-CP'!$C$1:$H$6260,3,0),""))</f>
        <v>UN</v>
      </c>
      <c r="F1051" s="2230">
        <v>1</v>
      </c>
      <c r="G1051" s="2232">
        <v>161.46</v>
      </c>
      <c r="H1051" s="2302">
        <f>TRUNC((G1051*F1051),2)</f>
        <v>161.46</v>
      </c>
      <c r="I1051" s="2287"/>
      <c r="J1051" s="2231"/>
      <c r="K1051" s="2412"/>
      <c r="L1051" s="2536"/>
      <c r="M1051" s="2232"/>
      <c r="N1051" s="2239"/>
      <c r="O1051" s="2498">
        <f>H1051-L1051</f>
        <v>161.46</v>
      </c>
      <c r="P1051" s="2295">
        <f t="shared" si="215"/>
        <v>1</v>
      </c>
    </row>
    <row r="1052" spans="1:18">
      <c r="A1052" s="2267" t="s">
        <v>12639</v>
      </c>
      <c r="B1052" s="2216"/>
      <c r="C1052" s="2217"/>
      <c r="D1052" s="2377" t="s">
        <v>16345</v>
      </c>
      <c r="E1052" s="2218"/>
      <c r="F1052" s="2241"/>
      <c r="G1052" s="2220"/>
      <c r="H1052" s="2300">
        <f>SUBTOTAL(9,H1053:H1055)</f>
        <v>345</v>
      </c>
      <c r="I1052" s="2283"/>
      <c r="J1052" s="2221"/>
      <c r="K1052" s="2492"/>
      <c r="L1052" s="2532">
        <f>SUBTOTAL(9,L1053:L1055)</f>
        <v>0</v>
      </c>
      <c r="M1052" s="2300">
        <f>SUBTOTAL(9,M1053:M1055)</f>
        <v>0</v>
      </c>
      <c r="N1052" s="2300">
        <f>SUBTOTAL(9,N1053:N1055)</f>
        <v>0</v>
      </c>
      <c r="O1052" s="2300">
        <f>SUBTOTAL(9,O1053:O1055)</f>
        <v>345</v>
      </c>
      <c r="P1052" s="2295">
        <f t="shared" si="215"/>
        <v>1</v>
      </c>
    </row>
    <row r="1053" spans="1:18" ht="30">
      <c r="A1053" s="2272" t="s">
        <v>13701</v>
      </c>
      <c r="B1053" s="2234">
        <f>VLOOKUP($A1053,'13 - QT_QUI'!$A:$F,2,0)</f>
        <v>101908</v>
      </c>
      <c r="C1053" s="2234" t="str">
        <f>VLOOKUP($A1053,'13 - QT_QUI'!$A:$F,3,0)</f>
        <v>SINAPI</v>
      </c>
      <c r="D1053" s="2375" t="s">
        <v>8302</v>
      </c>
      <c r="E1053" s="2242" t="str">
        <f>IFERROR(VLOOKUP($B1053,'24.08_ND'!$1:$1048529,3,0),IFERROR(VLOOKUP($B1053,'03-CP'!$C$1:$H$6260,3,0),""))</f>
        <v>UN</v>
      </c>
      <c r="F1053" s="2230">
        <v>1</v>
      </c>
      <c r="G1053" s="2238">
        <v>242.25</v>
      </c>
      <c r="H1053" s="2302">
        <f>TRUNC((G1053*F1053),2)</f>
        <v>242.25</v>
      </c>
      <c r="I1053" s="2286"/>
      <c r="J1053" s="2237"/>
      <c r="K1053" s="2411"/>
      <c r="L1053" s="2533"/>
      <c r="M1053" s="2238"/>
      <c r="N1053" s="2239"/>
      <c r="O1053" s="2498">
        <f>H1053-L1053</f>
        <v>242.25</v>
      </c>
      <c r="P1053" s="2295">
        <f t="shared" si="215"/>
        <v>1</v>
      </c>
    </row>
    <row r="1054" spans="1:18" ht="30">
      <c r="A1054" s="2272" t="s">
        <v>13702</v>
      </c>
      <c r="B1054" s="2234">
        <f>VLOOKUP($A1054,'13 - QT_QUI'!$A:$F,2,0)</f>
        <v>97599</v>
      </c>
      <c r="C1054" s="2234" t="str">
        <f>VLOOKUP($A1054,'13 - QT_QUI'!$A:$F,3,0)</f>
        <v>SINAPI</v>
      </c>
      <c r="D1054" s="2375" t="s">
        <v>8100</v>
      </c>
      <c r="E1054" s="2242" t="str">
        <f>IFERROR(VLOOKUP($B1054,'24.08_ND'!$1:$1048529,3,0),IFERROR(VLOOKUP($B1054,'03-CP'!$C$1:$H$6260,3,0),""))</f>
        <v>UN</v>
      </c>
      <c r="F1054" s="2230">
        <v>3</v>
      </c>
      <c r="G1054" s="2238">
        <v>18.71</v>
      </c>
      <c r="H1054" s="2302">
        <f>TRUNC((G1054*F1054),2)</f>
        <v>56.13</v>
      </c>
      <c r="I1054" s="2286"/>
      <c r="J1054" s="2237"/>
      <c r="K1054" s="2411"/>
      <c r="L1054" s="2533"/>
      <c r="M1054" s="2238"/>
      <c r="N1054" s="2239"/>
      <c r="O1054" s="2498">
        <f>H1054-L1054</f>
        <v>56.13</v>
      </c>
      <c r="P1054" s="2295">
        <f t="shared" si="215"/>
        <v>1</v>
      </c>
    </row>
    <row r="1055" spans="1:18" ht="45">
      <c r="A1055" s="2272" t="s">
        <v>13703</v>
      </c>
      <c r="B1055" s="2228" t="str">
        <f>VLOOKUP($A1055,'13 - QT_QUI'!$A:$F,2,0)</f>
        <v>CP-INC-01</v>
      </c>
      <c r="C1055" s="2228" t="str">
        <f>VLOOKUP($A1055,'13 - QT_QUI'!$A:$F,3,0)</f>
        <v>PRÓPRIA</v>
      </c>
      <c r="D1055" s="2375" t="s">
        <v>15360</v>
      </c>
      <c r="E1055" s="2243" t="str">
        <f>IFERROR(VLOOKUP($B1055,'24.08_ND'!$1:$1048529,3,0),IFERROR(VLOOKUP($B1055,'03-CP'!$C$1:$H$6260,3,0),""))</f>
        <v>UN</v>
      </c>
      <c r="F1055" s="2230">
        <v>2</v>
      </c>
      <c r="G1055" s="2232">
        <v>23.31</v>
      </c>
      <c r="H1055" s="2302">
        <f>TRUNC((G1055*F1055),2)</f>
        <v>46.62</v>
      </c>
      <c r="I1055" s="2287"/>
      <c r="J1055" s="2231"/>
      <c r="K1055" s="2412"/>
      <c r="L1055" s="2536"/>
      <c r="M1055" s="2232"/>
      <c r="N1055" s="2239"/>
      <c r="O1055" s="2498">
        <f>H1055-L1055</f>
        <v>46.62</v>
      </c>
      <c r="P1055" s="2295">
        <f t="shared" si="215"/>
        <v>1</v>
      </c>
    </row>
    <row r="1056" spans="1:18">
      <c r="A1056" s="2910" t="s">
        <v>13704</v>
      </c>
      <c r="B1056" s="2911"/>
      <c r="C1056" s="2911"/>
      <c r="D1056" s="2911"/>
      <c r="E1056" s="2911"/>
      <c r="F1056" s="2911"/>
      <c r="G1056" s="2912"/>
      <c r="H1056" s="2299">
        <f>SUBTOTAL(9,H1057:H1340)</f>
        <v>1006030.0600000003</v>
      </c>
      <c r="I1056" s="2290"/>
      <c r="J1056" s="2152"/>
      <c r="K1056" s="2548"/>
      <c r="L1056" s="2531">
        <f>SUBTOTAL(9,L1057:L1340)</f>
        <v>0</v>
      </c>
      <c r="M1056" s="2299">
        <f>SUBTOTAL(9,M1057:M1340)</f>
        <v>55047.97</v>
      </c>
      <c r="N1056" s="2299">
        <f>SUBTOTAL(9,N1057:N1340)</f>
        <v>-55047.97</v>
      </c>
      <c r="O1056" s="2299">
        <f>SUBTOTAL(9,O1057:O1340)</f>
        <v>1006030.0600000003</v>
      </c>
      <c r="P1056" s="2295"/>
    </row>
    <row r="1057" spans="1:16">
      <c r="A1057" s="2267" t="s">
        <v>12642</v>
      </c>
      <c r="B1057" s="2394"/>
      <c r="C1057" s="2398"/>
      <c r="D1057" s="2377" t="s">
        <v>16198</v>
      </c>
      <c r="E1057" s="2353"/>
      <c r="F1057" s="2354"/>
      <c r="G1057" s="2355"/>
      <c r="H1057" s="2300">
        <f>SUBTOTAL(9,H1058:H1119)</f>
        <v>253060.44</v>
      </c>
      <c r="I1057" s="2283"/>
      <c r="J1057" s="2221"/>
      <c r="K1057" s="2492"/>
      <c r="L1057" s="2532">
        <f>SUBTOTAL(9,L1058:L1119)</f>
        <v>0</v>
      </c>
      <c r="M1057" s="2300">
        <f>SUBTOTAL(9,M1058:M1119)</f>
        <v>55047.97</v>
      </c>
      <c r="N1057" s="2300">
        <f>SUBTOTAL(9,N1058:N1119)</f>
        <v>-55047.97</v>
      </c>
      <c r="O1057" s="2300">
        <f>SUBTOTAL(9,O1058:O1119)</f>
        <v>253060.44</v>
      </c>
      <c r="P1057" s="2295"/>
    </row>
    <row r="1058" spans="1:16">
      <c r="A1058" s="2273" t="s">
        <v>13705</v>
      </c>
      <c r="B1058" s="2395"/>
      <c r="C1058" s="2399"/>
      <c r="D1058" s="2376" t="s">
        <v>16480</v>
      </c>
      <c r="E1058" s="2356"/>
      <c r="F1058" s="2357"/>
      <c r="G1058" s="2358"/>
      <c r="H1058" s="2301">
        <f>SUBTOTAL(9,H1059:H1067)</f>
        <v>20146.329999999998</v>
      </c>
      <c r="I1058" s="2359"/>
      <c r="J1058" s="2360"/>
      <c r="K1058" s="2549"/>
      <c r="L1058" s="2534">
        <f>SUBTOTAL(9,L1059:L1067)</f>
        <v>0</v>
      </c>
      <c r="M1058" s="2301">
        <f>SUBTOTAL(9,M1059:M1067)</f>
        <v>20146.329999999998</v>
      </c>
      <c r="N1058" s="2301">
        <f>SUBTOTAL(9,N1059:N1067)</f>
        <v>-20146.329999999998</v>
      </c>
      <c r="O1058" s="2301">
        <f>SUBTOTAL(9,O1059:O1067)</f>
        <v>20146.329999999998</v>
      </c>
      <c r="P1058" s="2295">
        <f t="shared" si="215"/>
        <v>1</v>
      </c>
    </row>
    <row r="1059" spans="1:16" ht="30">
      <c r="A1059" s="2270" t="s">
        <v>13706</v>
      </c>
      <c r="B1059" s="2234">
        <f>VLOOKUP($A1059,'14 - QT_BES'!$A:$F,2,0)</f>
        <v>96523</v>
      </c>
      <c r="C1059" s="2234" t="str">
        <f>VLOOKUP($A1059,'14 - QT_BES'!$A:$F,3,0)</f>
        <v>SINAPI</v>
      </c>
      <c r="D1059" s="2375" t="s">
        <v>10508</v>
      </c>
      <c r="E1059" s="2242" t="str">
        <f>IFERROR(VLOOKUP($B1059,'24.08_ND'!$1:$1048529,3,0),IFERROR(VLOOKUP($B1059,'03-CP'!$C$1:$H$6260,3,0),""))</f>
        <v>M3</v>
      </c>
      <c r="F1059" s="2230">
        <v>88.7</v>
      </c>
      <c r="G1059" s="2238">
        <v>100.5</v>
      </c>
      <c r="H1059" s="2302">
        <f t="shared" ref="H1059:H1067" si="226">TRUNC((G1059*F1059),2)</f>
        <v>8914.35</v>
      </c>
      <c r="I1059" s="2328">
        <f t="shared" ref="I1059:I1067" si="227">J1059+K1059</f>
        <v>0</v>
      </c>
      <c r="J1059" s="2314">
        <v>1</v>
      </c>
      <c r="K1059" s="2411">
        <v>-1</v>
      </c>
      <c r="L1059" s="2533">
        <f t="shared" ref="L1059:L1067" si="228">M1059+N1059</f>
        <v>0</v>
      </c>
      <c r="M1059" s="2238">
        <v>8914.35</v>
      </c>
      <c r="N1059" s="2239">
        <f t="shared" ref="N1059:N1067" si="229">TRUNC(H1059*K1059,2)</f>
        <v>-8914.35</v>
      </c>
      <c r="O1059" s="2498">
        <f t="shared" ref="O1059:O1067" si="230">H1059-L1059</f>
        <v>8914.35</v>
      </c>
      <c r="P1059" s="2295">
        <f t="shared" si="215"/>
        <v>1</v>
      </c>
    </row>
    <row r="1060" spans="1:16" ht="30">
      <c r="A1060" s="2270" t="s">
        <v>13707</v>
      </c>
      <c r="B1060" s="2234">
        <f>VLOOKUP($A1060,'14 - QT_BES'!$A:$F,2,0)</f>
        <v>101616</v>
      </c>
      <c r="C1060" s="2234" t="str">
        <f>VLOOKUP($A1060,'14 - QT_BES'!$A:$F,3,0)</f>
        <v>SINAPI</v>
      </c>
      <c r="D1060" s="2375" t="s">
        <v>10747</v>
      </c>
      <c r="E1060" s="2242" t="str">
        <f>IFERROR(VLOOKUP($B1060,'24.08_ND'!$1:$1048529,3,0),IFERROR(VLOOKUP($B1060,'03-CP'!$C$1:$H$6260,3,0),""))</f>
        <v>M2</v>
      </c>
      <c r="F1060" s="2230">
        <v>8.26</v>
      </c>
      <c r="G1060" s="2238">
        <v>6.71</v>
      </c>
      <c r="H1060" s="2302">
        <f t="shared" si="226"/>
        <v>55.42</v>
      </c>
      <c r="I1060" s="2328">
        <f t="shared" si="227"/>
        <v>0</v>
      </c>
      <c r="J1060" s="2314">
        <v>1</v>
      </c>
      <c r="K1060" s="2411">
        <v>-1</v>
      </c>
      <c r="L1060" s="2533">
        <f t="shared" si="228"/>
        <v>0</v>
      </c>
      <c r="M1060" s="2238">
        <v>55.42</v>
      </c>
      <c r="N1060" s="2239">
        <f t="shared" si="229"/>
        <v>-55.42</v>
      </c>
      <c r="O1060" s="2498">
        <f t="shared" si="230"/>
        <v>55.42</v>
      </c>
      <c r="P1060" s="2295">
        <f t="shared" si="215"/>
        <v>1</v>
      </c>
    </row>
    <row r="1061" spans="1:16" ht="30">
      <c r="A1061" s="2270" t="s">
        <v>13708</v>
      </c>
      <c r="B1061" s="2234">
        <f>VLOOKUP($A1061,'14 - QT_BES'!$A:$F,2,0)</f>
        <v>96616</v>
      </c>
      <c r="C1061" s="2234" t="str">
        <f>VLOOKUP($A1061,'14 - QT_BES'!$A:$F,3,0)</f>
        <v>SINAPI</v>
      </c>
      <c r="D1061" s="2375" t="s">
        <v>7163</v>
      </c>
      <c r="E1061" s="2242" t="str">
        <f>IFERROR(VLOOKUP($B1061,'24.08_ND'!$1:$1048529,3,0),IFERROR(VLOOKUP($B1061,'03-CP'!$C$1:$H$6260,3,0),""))</f>
        <v>M3</v>
      </c>
      <c r="F1061" s="2230">
        <v>0.41</v>
      </c>
      <c r="G1061" s="2238">
        <v>955.26</v>
      </c>
      <c r="H1061" s="2302">
        <f t="shared" si="226"/>
        <v>391.65</v>
      </c>
      <c r="I1061" s="2328">
        <f t="shared" si="227"/>
        <v>0</v>
      </c>
      <c r="J1061" s="2314">
        <v>1</v>
      </c>
      <c r="K1061" s="2411">
        <v>-1</v>
      </c>
      <c r="L1061" s="2533">
        <f t="shared" si="228"/>
        <v>0</v>
      </c>
      <c r="M1061" s="2238">
        <v>391.65</v>
      </c>
      <c r="N1061" s="2239">
        <f t="shared" si="229"/>
        <v>-391.65</v>
      </c>
      <c r="O1061" s="2498">
        <f t="shared" si="230"/>
        <v>391.65</v>
      </c>
      <c r="P1061" s="2295">
        <f t="shared" si="215"/>
        <v>1</v>
      </c>
    </row>
    <row r="1062" spans="1:16" ht="30">
      <c r="A1062" s="2270" t="s">
        <v>13709</v>
      </c>
      <c r="B1062" s="2234">
        <f>VLOOKUP($A1062,'14 - QT_BES'!$A:$F,2,0)</f>
        <v>96535</v>
      </c>
      <c r="C1062" s="2234" t="str">
        <f>VLOOKUP($A1062,'14 - QT_BES'!$A:$F,3,0)</f>
        <v>SINAPI</v>
      </c>
      <c r="D1062" s="2375" t="s">
        <v>7301</v>
      </c>
      <c r="E1062" s="2242" t="str">
        <f>IFERROR(VLOOKUP($B1062,'24.08_ND'!$1:$1048529,3,0),IFERROR(VLOOKUP($B1062,'03-CP'!$C$1:$H$6260,3,0),""))</f>
        <v>M2</v>
      </c>
      <c r="F1062" s="2230">
        <v>15.54</v>
      </c>
      <c r="G1062" s="2238">
        <v>149.51</v>
      </c>
      <c r="H1062" s="2302">
        <f t="shared" si="226"/>
        <v>2323.38</v>
      </c>
      <c r="I1062" s="2328">
        <f t="shared" si="227"/>
        <v>0</v>
      </c>
      <c r="J1062" s="2314">
        <v>1</v>
      </c>
      <c r="K1062" s="2411">
        <v>-1</v>
      </c>
      <c r="L1062" s="2533">
        <f t="shared" si="228"/>
        <v>0</v>
      </c>
      <c r="M1062" s="2238">
        <v>2323.38</v>
      </c>
      <c r="N1062" s="2239">
        <f t="shared" si="229"/>
        <v>-2323.38</v>
      </c>
      <c r="O1062" s="2498">
        <f t="shared" si="230"/>
        <v>2323.38</v>
      </c>
      <c r="P1062" s="2295">
        <f t="shared" si="215"/>
        <v>1</v>
      </c>
    </row>
    <row r="1063" spans="1:16" ht="30">
      <c r="A1063" s="2270" t="s">
        <v>13710</v>
      </c>
      <c r="B1063" s="2234">
        <f>VLOOKUP($A1063,'14 - QT_BES'!$A:$F,2,0)</f>
        <v>104918</v>
      </c>
      <c r="C1063" s="2234" t="str">
        <f>VLOOKUP($A1063,'14 - QT_BES'!$A:$F,3,0)</f>
        <v>SINAPI</v>
      </c>
      <c r="D1063" s="2375" t="s">
        <v>7515</v>
      </c>
      <c r="E1063" s="2242" t="str">
        <f>IFERROR(VLOOKUP($B1063,'24.08_ND'!$1:$1048529,3,0),IFERROR(VLOOKUP($B1063,'03-CP'!$C$1:$H$6260,3,0),""))</f>
        <v>KG</v>
      </c>
      <c r="F1063" s="2230">
        <v>104.82</v>
      </c>
      <c r="G1063" s="2238">
        <v>17.68</v>
      </c>
      <c r="H1063" s="2302">
        <f t="shared" si="226"/>
        <v>1853.21</v>
      </c>
      <c r="I1063" s="2328">
        <f t="shared" si="227"/>
        <v>0</v>
      </c>
      <c r="J1063" s="2314">
        <v>1</v>
      </c>
      <c r="K1063" s="2411">
        <v>-1</v>
      </c>
      <c r="L1063" s="2533">
        <f t="shared" si="228"/>
        <v>0</v>
      </c>
      <c r="M1063" s="2238">
        <v>1853.21</v>
      </c>
      <c r="N1063" s="2239">
        <f t="shared" si="229"/>
        <v>-1853.21</v>
      </c>
      <c r="O1063" s="2498">
        <f t="shared" si="230"/>
        <v>1853.21</v>
      </c>
      <c r="P1063" s="2295">
        <f t="shared" si="215"/>
        <v>1</v>
      </c>
    </row>
    <row r="1064" spans="1:16" ht="30">
      <c r="A1064" s="2270" t="s">
        <v>13711</v>
      </c>
      <c r="B1064" s="2234">
        <f>VLOOKUP($A1064,'14 - QT_BES'!$A:$F,2,0)</f>
        <v>96558</v>
      </c>
      <c r="C1064" s="2234" t="str">
        <f>VLOOKUP($A1064,'14 - QT_BES'!$A:$F,3,0)</f>
        <v>SINAPI</v>
      </c>
      <c r="D1064" s="2375" t="s">
        <v>7548</v>
      </c>
      <c r="E1064" s="2242" t="str">
        <f>IFERROR(VLOOKUP($B1064,'24.08_ND'!$1:$1048529,3,0),IFERROR(VLOOKUP($B1064,'03-CP'!$C$1:$H$6260,3,0),""))</f>
        <v>M3</v>
      </c>
      <c r="F1064" s="2230">
        <v>2.89</v>
      </c>
      <c r="G1064" s="2238">
        <v>1149.76</v>
      </c>
      <c r="H1064" s="2302">
        <f t="shared" si="226"/>
        <v>3322.8</v>
      </c>
      <c r="I1064" s="2328">
        <f t="shared" si="227"/>
        <v>0</v>
      </c>
      <c r="J1064" s="2314">
        <v>1</v>
      </c>
      <c r="K1064" s="2411">
        <v>-1</v>
      </c>
      <c r="L1064" s="2533">
        <f t="shared" si="228"/>
        <v>0</v>
      </c>
      <c r="M1064" s="2238">
        <v>3322.8</v>
      </c>
      <c r="N1064" s="2239">
        <f t="shared" si="229"/>
        <v>-3322.8</v>
      </c>
      <c r="O1064" s="2498">
        <f t="shared" si="230"/>
        <v>3322.8</v>
      </c>
      <c r="P1064" s="2295">
        <f t="shared" si="215"/>
        <v>1</v>
      </c>
    </row>
    <row r="1065" spans="1:16" ht="30">
      <c r="A1065" s="2270" t="s">
        <v>13712</v>
      </c>
      <c r="B1065" s="2234">
        <f>VLOOKUP($A1065,'14 - QT_BES'!$A:$F,2,0)</f>
        <v>93382</v>
      </c>
      <c r="C1065" s="2234" t="str">
        <f>VLOOKUP($A1065,'14 - QT_BES'!$A:$F,3,0)</f>
        <v>SINAPI</v>
      </c>
      <c r="D1065" s="2375" t="s">
        <v>10726</v>
      </c>
      <c r="E1065" s="2242" t="str">
        <f>IFERROR(VLOOKUP($B1065,'24.08_ND'!$1:$1048529,3,0),IFERROR(VLOOKUP($B1065,'03-CP'!$C$1:$H$6260,3,0),""))</f>
        <v>M3</v>
      </c>
      <c r="F1065" s="2230">
        <v>94.391000000000005</v>
      </c>
      <c r="G1065" s="2238">
        <v>26.88</v>
      </c>
      <c r="H1065" s="2302">
        <f t="shared" si="226"/>
        <v>2537.23</v>
      </c>
      <c r="I1065" s="2328">
        <f t="shared" si="227"/>
        <v>0</v>
      </c>
      <c r="J1065" s="2314">
        <v>1</v>
      </c>
      <c r="K1065" s="2411">
        <v>-1</v>
      </c>
      <c r="L1065" s="2533">
        <f t="shared" si="228"/>
        <v>0</v>
      </c>
      <c r="M1065" s="2238">
        <v>2537.23</v>
      </c>
      <c r="N1065" s="2239">
        <f t="shared" si="229"/>
        <v>-2537.23</v>
      </c>
      <c r="O1065" s="2498">
        <f t="shared" si="230"/>
        <v>2537.23</v>
      </c>
      <c r="P1065" s="2295">
        <f t="shared" si="215"/>
        <v>1</v>
      </c>
    </row>
    <row r="1066" spans="1:16" ht="45">
      <c r="A1066" s="2270" t="s">
        <v>13713</v>
      </c>
      <c r="B1066" s="2234">
        <f>VLOOKUP($A1066,'14 - QT_BES'!$A:$F,2,0)</f>
        <v>100978</v>
      </c>
      <c r="C1066" s="2234" t="str">
        <f>VLOOKUP($A1066,'14 - QT_BES'!$A:$F,3,0)</f>
        <v>SINAPI</v>
      </c>
      <c r="D1066" s="2375" t="s">
        <v>11981</v>
      </c>
      <c r="E1066" s="2242" t="str">
        <f>IFERROR(VLOOKUP($B1066,'24.08_ND'!$1:$1048529,3,0),IFERROR(VLOOKUP($B1066,'03-CP'!$C$1:$H$6260,3,0),""))</f>
        <v>M3</v>
      </c>
      <c r="F1066" s="2230">
        <v>29.788999999999987</v>
      </c>
      <c r="G1066" s="2238">
        <v>7.88</v>
      </c>
      <c r="H1066" s="2302">
        <f t="shared" si="226"/>
        <v>234.73</v>
      </c>
      <c r="I1066" s="2328">
        <f t="shared" si="227"/>
        <v>0</v>
      </c>
      <c r="J1066" s="2314">
        <v>1</v>
      </c>
      <c r="K1066" s="2411">
        <v>-1</v>
      </c>
      <c r="L1066" s="2533">
        <f t="shared" si="228"/>
        <v>0</v>
      </c>
      <c r="M1066" s="2238">
        <v>234.73</v>
      </c>
      <c r="N1066" s="2239">
        <f t="shared" si="229"/>
        <v>-234.73</v>
      </c>
      <c r="O1066" s="2498">
        <f t="shared" si="230"/>
        <v>234.73</v>
      </c>
      <c r="P1066" s="2295">
        <f t="shared" si="215"/>
        <v>1</v>
      </c>
    </row>
    <row r="1067" spans="1:16" ht="30">
      <c r="A1067" s="2270" t="s">
        <v>13714</v>
      </c>
      <c r="B1067" s="2234">
        <f>VLOOKUP($A1067,'14 - QT_BES'!$A:$F,2,0)</f>
        <v>100938</v>
      </c>
      <c r="C1067" s="2234" t="str">
        <f>VLOOKUP($A1067,'14 - QT_BES'!$A:$F,3,0)</f>
        <v>SINAPI</v>
      </c>
      <c r="D1067" s="2375" t="s">
        <v>11938</v>
      </c>
      <c r="E1067" s="2242" t="str">
        <f>IFERROR(VLOOKUP($B1067,'24.08_ND'!$1:$1048529,3,0),IFERROR(VLOOKUP($B1067,'03-CP'!$C$1:$H$6260,3,0),""))</f>
        <v>M3XKM</v>
      </c>
      <c r="F1067" s="2230">
        <v>59.577999999999975</v>
      </c>
      <c r="G1067" s="2238">
        <v>8.6199999999999992</v>
      </c>
      <c r="H1067" s="2302">
        <f t="shared" si="226"/>
        <v>513.55999999999995</v>
      </c>
      <c r="I1067" s="2328">
        <f t="shared" si="227"/>
        <v>0</v>
      </c>
      <c r="J1067" s="2314">
        <v>1</v>
      </c>
      <c r="K1067" s="2411">
        <v>-1</v>
      </c>
      <c r="L1067" s="2533">
        <f t="shared" si="228"/>
        <v>0</v>
      </c>
      <c r="M1067" s="2238">
        <v>513.55999999999995</v>
      </c>
      <c r="N1067" s="2239">
        <f t="shared" si="229"/>
        <v>-513.55999999999995</v>
      </c>
      <c r="O1067" s="2498">
        <f t="shared" si="230"/>
        <v>513.55999999999995</v>
      </c>
      <c r="P1067" s="2295">
        <f t="shared" si="215"/>
        <v>1</v>
      </c>
    </row>
    <row r="1068" spans="1:16">
      <c r="A1068" s="2273" t="s">
        <v>13715</v>
      </c>
      <c r="B1068" s="2395"/>
      <c r="C1068" s="2399"/>
      <c r="D1068" s="2376" t="s">
        <v>16483</v>
      </c>
      <c r="E1068" s="2356"/>
      <c r="F1068" s="2357"/>
      <c r="G1068" s="2358"/>
      <c r="H1068" s="2301">
        <f>SUBTOTAL(9,H1069:H1073)</f>
        <v>3351.0200000000004</v>
      </c>
      <c r="I1068" s="2359"/>
      <c r="J1068" s="2360"/>
      <c r="K1068" s="2413"/>
      <c r="L1068" s="2534">
        <f>SUBTOTAL(9,L1069:L1073)</f>
        <v>0</v>
      </c>
      <c r="M1068" s="2301">
        <f>SUBTOTAL(9,M1069:M1073)</f>
        <v>3351.0200000000004</v>
      </c>
      <c r="N1068" s="2301">
        <f>SUBTOTAL(9,N1069:N1073)</f>
        <v>-3351.0200000000004</v>
      </c>
      <c r="O1068" s="2301">
        <f>SUBTOTAL(9,O1069:O1073)</f>
        <v>3351.0200000000004</v>
      </c>
      <c r="P1068" s="2295">
        <f t="shared" si="215"/>
        <v>1</v>
      </c>
    </row>
    <row r="1069" spans="1:16" ht="45">
      <c r="A1069" s="2271" t="s">
        <v>13716</v>
      </c>
      <c r="B1069" s="2234">
        <f>VLOOKUP($A1069,'14 - QT_BES'!$A:$F,2,0)</f>
        <v>92413</v>
      </c>
      <c r="C1069" s="2234" t="str">
        <f>VLOOKUP($A1069,'14 - QT_BES'!$A:$F,3,0)</f>
        <v>SINAPI</v>
      </c>
      <c r="D1069" s="2375" t="s">
        <v>7212</v>
      </c>
      <c r="E1069" s="2242" t="str">
        <f>IFERROR(VLOOKUP($B1069,'24.08_ND'!$1:$1048529,3,0),IFERROR(VLOOKUP($B1069,'03-CP'!$C$1:$H$6260,3,0),""))</f>
        <v>M2</v>
      </c>
      <c r="F1069" s="2230">
        <v>9.6199999999999992</v>
      </c>
      <c r="G1069" s="2238">
        <v>121.66</v>
      </c>
      <c r="H1069" s="2302">
        <f>TRUNC((G1069*F1069),2)</f>
        <v>1170.3599999999999</v>
      </c>
      <c r="I1069" s="2328">
        <f>J1069+K1069</f>
        <v>0</v>
      </c>
      <c r="J1069" s="2314">
        <v>1</v>
      </c>
      <c r="K1069" s="2411">
        <v>-1</v>
      </c>
      <c r="L1069" s="2533">
        <f>M1069+N1069</f>
        <v>0</v>
      </c>
      <c r="M1069" s="2238">
        <v>1170.3599999999999</v>
      </c>
      <c r="N1069" s="2239">
        <f>TRUNC(H1069*K1069,2)</f>
        <v>-1170.3599999999999</v>
      </c>
      <c r="O1069" s="2498">
        <f>H1069-L1069</f>
        <v>1170.3599999999999</v>
      </c>
      <c r="P1069" s="2295">
        <f t="shared" si="215"/>
        <v>1</v>
      </c>
    </row>
    <row r="1070" spans="1:16" ht="30">
      <c r="A1070" s="2271" t="s">
        <v>13717</v>
      </c>
      <c r="B1070" s="2234">
        <f>VLOOKUP($A1070,'14 - QT_BES'!$A:$F,2,0)</f>
        <v>92759</v>
      </c>
      <c r="C1070" s="2234" t="str">
        <f>VLOOKUP($A1070,'14 - QT_BES'!$A:$F,3,0)</f>
        <v>SINAPI</v>
      </c>
      <c r="D1070" s="2375" t="s">
        <v>7428</v>
      </c>
      <c r="E1070" s="2242" t="str">
        <f>IFERROR(VLOOKUP($B1070,'24.08_ND'!$1:$1048529,3,0),IFERROR(VLOOKUP($B1070,'03-CP'!$C$1:$H$6260,3,0),""))</f>
        <v>KG</v>
      </c>
      <c r="F1070" s="2230">
        <v>23.5</v>
      </c>
      <c r="G1070" s="2238">
        <v>17.100000000000001</v>
      </c>
      <c r="H1070" s="2302">
        <f>TRUNC((G1070*F1070),2)</f>
        <v>401.85</v>
      </c>
      <c r="I1070" s="2328">
        <f>J1070+K1070</f>
        <v>0</v>
      </c>
      <c r="J1070" s="2314">
        <v>1</v>
      </c>
      <c r="K1070" s="2411">
        <v>-1</v>
      </c>
      <c r="L1070" s="2533">
        <f>M1070+N1070</f>
        <v>0</v>
      </c>
      <c r="M1070" s="2238">
        <v>401.85</v>
      </c>
      <c r="N1070" s="2239">
        <f>TRUNC(H1070*K1070,2)</f>
        <v>-401.85</v>
      </c>
      <c r="O1070" s="2498">
        <f>H1070-L1070</f>
        <v>401.85</v>
      </c>
      <c r="P1070" s="2295">
        <f t="shared" si="215"/>
        <v>1</v>
      </c>
    </row>
    <row r="1071" spans="1:16" ht="30">
      <c r="A1071" s="2271" t="s">
        <v>13718</v>
      </c>
      <c r="B1071" s="2234">
        <f>VLOOKUP($A1071,'14 - QT_BES'!$A:$F,2,0)</f>
        <v>92762</v>
      </c>
      <c r="C1071" s="2234" t="str">
        <f>VLOOKUP($A1071,'14 - QT_BES'!$A:$F,3,0)</f>
        <v>SINAPI</v>
      </c>
      <c r="D1071" s="2375" t="s">
        <v>7431</v>
      </c>
      <c r="E1071" s="2242" t="str">
        <f>IFERROR(VLOOKUP($B1071,'24.08_ND'!$1:$1048529,3,0),IFERROR(VLOOKUP($B1071,'03-CP'!$C$1:$H$6260,3,0),""))</f>
        <v>KG</v>
      </c>
      <c r="F1071" s="2230">
        <v>72.5</v>
      </c>
      <c r="G1071" s="2238">
        <v>14.11</v>
      </c>
      <c r="H1071" s="2302">
        <f>TRUNC((G1071*F1071),2)</f>
        <v>1022.97</v>
      </c>
      <c r="I1071" s="2328">
        <f>J1071+K1071</f>
        <v>0</v>
      </c>
      <c r="J1071" s="2314">
        <v>1</v>
      </c>
      <c r="K1071" s="2411">
        <v>-1</v>
      </c>
      <c r="L1071" s="2533">
        <f>M1071+N1071</f>
        <v>0</v>
      </c>
      <c r="M1071" s="2238">
        <v>1022.97</v>
      </c>
      <c r="N1071" s="2239">
        <f>TRUNC(H1071*K1071,2)</f>
        <v>-1022.97</v>
      </c>
      <c r="O1071" s="2498">
        <f>H1071-L1071</f>
        <v>1022.97</v>
      </c>
      <c r="P1071" s="2295">
        <f t="shared" si="215"/>
        <v>1</v>
      </c>
    </row>
    <row r="1072" spans="1:16" ht="30">
      <c r="A1072" s="2271" t="s">
        <v>13719</v>
      </c>
      <c r="B1072" s="2234">
        <f>VLOOKUP($A1072,'14 - QT_BES'!$A:$F,2,0)</f>
        <v>92764</v>
      </c>
      <c r="C1072" s="2234" t="str">
        <f>VLOOKUP($A1072,'14 - QT_BES'!$A:$F,3,0)</f>
        <v>SINAPI</v>
      </c>
      <c r="D1072" s="2375" t="s">
        <v>7433</v>
      </c>
      <c r="E1072" s="2242" t="str">
        <f>IFERROR(VLOOKUP($B1072,'24.08_ND'!$1:$1048529,3,0),IFERROR(VLOOKUP($B1072,'03-CP'!$C$1:$H$6260,3,0),""))</f>
        <v>KG</v>
      </c>
      <c r="F1072" s="2230">
        <v>15.6</v>
      </c>
      <c r="G1072" s="2238">
        <v>11.6</v>
      </c>
      <c r="H1072" s="2302">
        <f>TRUNC((G1072*F1072),2)</f>
        <v>180.96</v>
      </c>
      <c r="I1072" s="2328">
        <f>J1072+K1072</f>
        <v>0</v>
      </c>
      <c r="J1072" s="2314">
        <v>1</v>
      </c>
      <c r="K1072" s="2411">
        <v>-1</v>
      </c>
      <c r="L1072" s="2533">
        <f>M1072+N1072</f>
        <v>0</v>
      </c>
      <c r="M1072" s="2238">
        <v>180.96</v>
      </c>
      <c r="N1072" s="2239">
        <f>TRUNC(H1072*K1072,2)</f>
        <v>-180.96</v>
      </c>
      <c r="O1072" s="2498">
        <f>H1072-L1072</f>
        <v>180.96</v>
      </c>
      <c r="P1072" s="2295">
        <f t="shared" si="215"/>
        <v>1</v>
      </c>
    </row>
    <row r="1073" spans="1:16" ht="30">
      <c r="A1073" s="2271" t="s">
        <v>13720</v>
      </c>
      <c r="B1073" s="2234">
        <f>VLOOKUP($A1073,'14 - QT_BES'!$A:$F,2,0)</f>
        <v>96558</v>
      </c>
      <c r="C1073" s="2234" t="str">
        <f>VLOOKUP($A1073,'14 - QT_BES'!$A:$F,3,0)</f>
        <v>SINAPI</v>
      </c>
      <c r="D1073" s="2375" t="s">
        <v>7548</v>
      </c>
      <c r="E1073" s="2242" t="str">
        <f>IFERROR(VLOOKUP($B1073,'24.08_ND'!$1:$1048529,3,0),IFERROR(VLOOKUP($B1073,'03-CP'!$C$1:$H$6260,3,0),""))</f>
        <v>M3</v>
      </c>
      <c r="F1073" s="2230">
        <v>0.5</v>
      </c>
      <c r="G1073" s="2238">
        <v>1149.76</v>
      </c>
      <c r="H1073" s="2302">
        <f>TRUNC((G1073*F1073),2)</f>
        <v>574.88</v>
      </c>
      <c r="I1073" s="2328">
        <f>J1073+K1073</f>
        <v>0</v>
      </c>
      <c r="J1073" s="2314">
        <v>1</v>
      </c>
      <c r="K1073" s="2411">
        <v>-1</v>
      </c>
      <c r="L1073" s="2533">
        <f>M1073+N1073</f>
        <v>0</v>
      </c>
      <c r="M1073" s="2238">
        <v>574.88</v>
      </c>
      <c r="N1073" s="2239">
        <f>TRUNC(H1073*K1073,2)</f>
        <v>-574.88</v>
      </c>
      <c r="O1073" s="2498">
        <f>H1073-L1073</f>
        <v>574.88</v>
      </c>
      <c r="P1073" s="2295">
        <f t="shared" si="215"/>
        <v>1</v>
      </c>
    </row>
    <row r="1074" spans="1:16">
      <c r="A1074" s="2273" t="s">
        <v>13721</v>
      </c>
      <c r="B1074" s="2395"/>
      <c r="C1074" s="2399"/>
      <c r="D1074" s="2376" t="s">
        <v>16484</v>
      </c>
      <c r="E1074" s="2356"/>
      <c r="F1074" s="2357"/>
      <c r="G1074" s="2358"/>
      <c r="H1074" s="2301">
        <f>SUBTOTAL(9,H1075:H1086)</f>
        <v>29468.47</v>
      </c>
      <c r="I1074" s="2359"/>
      <c r="J1074" s="2360"/>
      <c r="K1074" s="2413"/>
      <c r="L1074" s="2534">
        <f>SUBTOTAL(9,L1075:L1086)</f>
        <v>0</v>
      </c>
      <c r="M1074" s="2301">
        <f>SUBTOTAL(9,M1075:M1086)</f>
        <v>29468.47</v>
      </c>
      <c r="N1074" s="2301">
        <f>SUBTOTAL(9,N1075:N1086)</f>
        <v>-29468.47</v>
      </c>
      <c r="O1074" s="2301">
        <f>SUBTOTAL(9,O1075:O1086)</f>
        <v>29468.47</v>
      </c>
      <c r="P1074" s="2295">
        <f t="shared" si="215"/>
        <v>1</v>
      </c>
    </row>
    <row r="1075" spans="1:16" ht="30">
      <c r="A1075" s="2270" t="s">
        <v>13722</v>
      </c>
      <c r="B1075" s="2234">
        <f>VLOOKUP($A1075,'14 - QT_BES'!$A:$F,2,0)</f>
        <v>96527</v>
      </c>
      <c r="C1075" s="2234" t="str">
        <f>VLOOKUP($A1075,'14 - QT_BES'!$A:$F,3,0)</f>
        <v>SINAPI</v>
      </c>
      <c r="D1075" s="2375" t="s">
        <v>10512</v>
      </c>
      <c r="E1075" s="2242" t="str">
        <f>IFERROR(VLOOKUP($B1075,'24.08_ND'!$1:$1048529,3,0),IFERROR(VLOOKUP($B1075,'03-CP'!$C$1:$H$6260,3,0),""))</f>
        <v>M3</v>
      </c>
      <c r="F1075" s="2230">
        <v>25.53</v>
      </c>
      <c r="G1075" s="2238">
        <v>110.61</v>
      </c>
      <c r="H1075" s="2302">
        <f t="shared" ref="H1075:H1086" si="231">TRUNC((G1075*F1075),2)</f>
        <v>2823.87</v>
      </c>
      <c r="I1075" s="2328">
        <f t="shared" ref="I1075:I1086" si="232">J1075+K1075</f>
        <v>0</v>
      </c>
      <c r="J1075" s="2314">
        <v>1</v>
      </c>
      <c r="K1075" s="2411">
        <v>-1</v>
      </c>
      <c r="L1075" s="2533">
        <f t="shared" ref="L1075:L1086" si="233">M1075+N1075</f>
        <v>0</v>
      </c>
      <c r="M1075" s="2238">
        <v>2823.87</v>
      </c>
      <c r="N1075" s="2239">
        <f t="shared" ref="N1075:N1086" si="234">TRUNC(H1075*K1075,2)</f>
        <v>-2823.87</v>
      </c>
      <c r="O1075" s="2498">
        <f t="shared" ref="O1075:O1086" si="235">H1075-L1075</f>
        <v>2823.87</v>
      </c>
      <c r="P1075" s="2295">
        <f t="shared" si="215"/>
        <v>1</v>
      </c>
    </row>
    <row r="1076" spans="1:16" ht="30">
      <c r="A1076" s="2270" t="s">
        <v>13723</v>
      </c>
      <c r="B1076" s="2234">
        <f>VLOOKUP($A1076,'14 - QT_BES'!$A:$F,2,0)</f>
        <v>101616</v>
      </c>
      <c r="C1076" s="2234" t="str">
        <f>VLOOKUP($A1076,'14 - QT_BES'!$A:$F,3,0)</f>
        <v>SINAPI</v>
      </c>
      <c r="D1076" s="2375" t="s">
        <v>10747</v>
      </c>
      <c r="E1076" s="2242" t="str">
        <f>IFERROR(VLOOKUP($B1076,'24.08_ND'!$1:$1048529,3,0),IFERROR(VLOOKUP($B1076,'03-CP'!$C$1:$H$6260,3,0),""))</f>
        <v>M2</v>
      </c>
      <c r="F1076" s="2230">
        <v>18.91</v>
      </c>
      <c r="G1076" s="2238">
        <v>6.71</v>
      </c>
      <c r="H1076" s="2302">
        <f t="shared" si="231"/>
        <v>126.88</v>
      </c>
      <c r="I1076" s="2328">
        <f t="shared" si="232"/>
        <v>0</v>
      </c>
      <c r="J1076" s="2314">
        <v>1</v>
      </c>
      <c r="K1076" s="2411">
        <v>-1</v>
      </c>
      <c r="L1076" s="2533">
        <f t="shared" si="233"/>
        <v>0</v>
      </c>
      <c r="M1076" s="2238">
        <v>126.88</v>
      </c>
      <c r="N1076" s="2239">
        <f t="shared" si="234"/>
        <v>-126.88</v>
      </c>
      <c r="O1076" s="2498">
        <f t="shared" si="235"/>
        <v>126.88</v>
      </c>
      <c r="P1076" s="2295">
        <f t="shared" si="215"/>
        <v>1</v>
      </c>
    </row>
    <row r="1077" spans="1:16" ht="30">
      <c r="A1077" s="2270" t="s">
        <v>13724</v>
      </c>
      <c r="B1077" s="2234">
        <f>VLOOKUP($A1077,'14 - QT_BES'!$A:$F,2,0)</f>
        <v>96621</v>
      </c>
      <c r="C1077" s="2234" t="str">
        <f>VLOOKUP($A1077,'14 - QT_BES'!$A:$F,3,0)</f>
        <v>SINAPI</v>
      </c>
      <c r="D1077" s="2375" t="s">
        <v>7167</v>
      </c>
      <c r="E1077" s="2242" t="str">
        <f>IFERROR(VLOOKUP($B1077,'24.08_ND'!$1:$1048529,3,0),IFERROR(VLOOKUP($B1077,'03-CP'!$C$1:$H$6260,3,0),""))</f>
        <v>M3</v>
      </c>
      <c r="F1077" s="2230">
        <v>0.95</v>
      </c>
      <c r="G1077" s="2238">
        <v>325.81</v>
      </c>
      <c r="H1077" s="2302">
        <f t="shared" si="231"/>
        <v>309.51</v>
      </c>
      <c r="I1077" s="2328">
        <f t="shared" si="232"/>
        <v>0</v>
      </c>
      <c r="J1077" s="2314">
        <v>1</v>
      </c>
      <c r="K1077" s="2411">
        <v>-1</v>
      </c>
      <c r="L1077" s="2533">
        <f t="shared" si="233"/>
        <v>0</v>
      </c>
      <c r="M1077" s="2238">
        <v>309.51</v>
      </c>
      <c r="N1077" s="2239">
        <f t="shared" si="234"/>
        <v>-309.51</v>
      </c>
      <c r="O1077" s="2498">
        <f t="shared" si="235"/>
        <v>309.51</v>
      </c>
      <c r="P1077" s="2295">
        <f t="shared" si="215"/>
        <v>1</v>
      </c>
    </row>
    <row r="1078" spans="1:16" ht="30">
      <c r="A1078" s="2270" t="s">
        <v>13725</v>
      </c>
      <c r="B1078" s="2234">
        <f>VLOOKUP($A1078,'14 - QT_BES'!$A:$F,2,0)</f>
        <v>96536</v>
      </c>
      <c r="C1078" s="2234" t="str">
        <f>VLOOKUP($A1078,'14 - QT_BES'!$A:$F,3,0)</f>
        <v>SINAPI</v>
      </c>
      <c r="D1078" s="2375" t="s">
        <v>7302</v>
      </c>
      <c r="E1078" s="2242" t="str">
        <f>IFERROR(VLOOKUP($B1078,'24.08_ND'!$1:$1048529,3,0),IFERROR(VLOOKUP($B1078,'03-CP'!$C$1:$H$6260,3,0),""))</f>
        <v>M2</v>
      </c>
      <c r="F1078" s="2230">
        <v>93.73</v>
      </c>
      <c r="G1078" s="2238">
        <v>81.7</v>
      </c>
      <c r="H1078" s="2302">
        <f t="shared" si="231"/>
        <v>7657.74</v>
      </c>
      <c r="I1078" s="2328">
        <f t="shared" si="232"/>
        <v>0</v>
      </c>
      <c r="J1078" s="2314">
        <v>1</v>
      </c>
      <c r="K1078" s="2411">
        <v>-1</v>
      </c>
      <c r="L1078" s="2533">
        <f t="shared" si="233"/>
        <v>0</v>
      </c>
      <c r="M1078" s="2238">
        <v>7657.74</v>
      </c>
      <c r="N1078" s="2239">
        <f t="shared" si="234"/>
        <v>-7657.74</v>
      </c>
      <c r="O1078" s="2498">
        <f t="shared" si="235"/>
        <v>7657.74</v>
      </c>
      <c r="P1078" s="2295">
        <f t="shared" ref="P1078:P1141" si="236">O1078/H1078</f>
        <v>1</v>
      </c>
    </row>
    <row r="1079" spans="1:16" ht="30">
      <c r="A1079" s="2270" t="s">
        <v>13726</v>
      </c>
      <c r="B1079" s="2234">
        <f>VLOOKUP($A1079,'14 - QT_BES'!$A:$F,2,0)</f>
        <v>104916</v>
      </c>
      <c r="C1079" s="2234" t="str">
        <f>VLOOKUP($A1079,'14 - QT_BES'!$A:$F,3,0)</f>
        <v>SINAPI</v>
      </c>
      <c r="D1079" s="2375" t="s">
        <v>7596</v>
      </c>
      <c r="E1079" s="2242" t="str">
        <f>IFERROR(VLOOKUP($B1079,'24.08_ND'!$1:$1048529,3,0),IFERROR(VLOOKUP($B1079,'03-CP'!$C$1:$H$6260,3,0),""))</f>
        <v>KG</v>
      </c>
      <c r="F1079" s="2230">
        <v>100.82</v>
      </c>
      <c r="G1079" s="2238">
        <v>19.850000000000001</v>
      </c>
      <c r="H1079" s="2302">
        <f t="shared" si="231"/>
        <v>2001.27</v>
      </c>
      <c r="I1079" s="2328">
        <f t="shared" si="232"/>
        <v>0</v>
      </c>
      <c r="J1079" s="2314">
        <v>1</v>
      </c>
      <c r="K1079" s="2411">
        <v>-1</v>
      </c>
      <c r="L1079" s="2533">
        <f t="shared" si="233"/>
        <v>0</v>
      </c>
      <c r="M1079" s="2238">
        <v>2001.27</v>
      </c>
      <c r="N1079" s="2239">
        <f t="shared" si="234"/>
        <v>-2001.27</v>
      </c>
      <c r="O1079" s="2498">
        <f t="shared" si="235"/>
        <v>2001.27</v>
      </c>
      <c r="P1079" s="2295">
        <f t="shared" si="236"/>
        <v>1</v>
      </c>
    </row>
    <row r="1080" spans="1:16" ht="30">
      <c r="A1080" s="2270" t="s">
        <v>13727</v>
      </c>
      <c r="B1080" s="2234">
        <f>VLOOKUP($A1080,'14 - QT_BES'!$A:$F,2,0)</f>
        <v>104918</v>
      </c>
      <c r="C1080" s="2234" t="str">
        <f>VLOOKUP($A1080,'14 - QT_BES'!$A:$F,3,0)</f>
        <v>SINAPI</v>
      </c>
      <c r="D1080" s="2375" t="s">
        <v>7515</v>
      </c>
      <c r="E1080" s="2242" t="str">
        <f>IFERROR(VLOOKUP($B1080,'24.08_ND'!$1:$1048529,3,0),IFERROR(VLOOKUP($B1080,'03-CP'!$C$1:$H$6260,3,0),""))</f>
        <v>KG</v>
      </c>
      <c r="F1080" s="2230">
        <v>192.2</v>
      </c>
      <c r="G1080" s="2238">
        <v>17.68</v>
      </c>
      <c r="H1080" s="2302">
        <f t="shared" si="231"/>
        <v>3398.09</v>
      </c>
      <c r="I1080" s="2328">
        <f t="shared" si="232"/>
        <v>0</v>
      </c>
      <c r="J1080" s="2314">
        <v>1</v>
      </c>
      <c r="K1080" s="2411">
        <v>-1</v>
      </c>
      <c r="L1080" s="2533">
        <f t="shared" si="233"/>
        <v>0</v>
      </c>
      <c r="M1080" s="2238">
        <v>3398.09</v>
      </c>
      <c r="N1080" s="2239">
        <f t="shared" si="234"/>
        <v>-3398.09</v>
      </c>
      <c r="O1080" s="2498">
        <f t="shared" si="235"/>
        <v>3398.09</v>
      </c>
      <c r="P1080" s="2295">
        <f t="shared" si="236"/>
        <v>1</v>
      </c>
    </row>
    <row r="1081" spans="1:16" ht="30">
      <c r="A1081" s="2270" t="s">
        <v>13728</v>
      </c>
      <c r="B1081" s="2234">
        <f>VLOOKUP($A1081,'14 - QT_BES'!$A:$F,2,0)</f>
        <v>104919</v>
      </c>
      <c r="C1081" s="2234" t="str">
        <f>VLOOKUP($A1081,'14 - QT_BES'!$A:$F,3,0)</f>
        <v>SINAPI</v>
      </c>
      <c r="D1081" s="2375" t="s">
        <v>7516</v>
      </c>
      <c r="E1081" s="2242" t="str">
        <f>IFERROR(VLOOKUP($B1081,'24.08_ND'!$1:$1048529,3,0),IFERROR(VLOOKUP($B1081,'03-CP'!$C$1:$H$6260,3,0),""))</f>
        <v>KG</v>
      </c>
      <c r="F1081" s="2230">
        <v>36.729999999999997</v>
      </c>
      <c r="G1081" s="2238">
        <v>15.88</v>
      </c>
      <c r="H1081" s="2302">
        <f t="shared" si="231"/>
        <v>583.27</v>
      </c>
      <c r="I1081" s="2328">
        <f t="shared" si="232"/>
        <v>0</v>
      </c>
      <c r="J1081" s="2314">
        <v>1</v>
      </c>
      <c r="K1081" s="2411">
        <v>-1</v>
      </c>
      <c r="L1081" s="2533">
        <f t="shared" si="233"/>
        <v>0</v>
      </c>
      <c r="M1081" s="2238">
        <v>583.27</v>
      </c>
      <c r="N1081" s="2239">
        <f t="shared" si="234"/>
        <v>-583.27</v>
      </c>
      <c r="O1081" s="2498">
        <f t="shared" si="235"/>
        <v>583.27</v>
      </c>
      <c r="P1081" s="2295">
        <f t="shared" si="236"/>
        <v>1</v>
      </c>
    </row>
    <row r="1082" spans="1:16" ht="45">
      <c r="A1082" s="2270" t="s">
        <v>13729</v>
      </c>
      <c r="B1082" s="2234">
        <f>VLOOKUP($A1082,'14 - QT_BES'!$A:$F,2,0)</f>
        <v>96557</v>
      </c>
      <c r="C1082" s="2234" t="str">
        <f>VLOOKUP($A1082,'14 - QT_BES'!$A:$F,3,0)</f>
        <v>SINAPI</v>
      </c>
      <c r="D1082" s="2375" t="s">
        <v>7547</v>
      </c>
      <c r="E1082" s="2242" t="str">
        <f>IFERROR(VLOOKUP($B1082,'24.08_ND'!$1:$1048529,3,0),IFERROR(VLOOKUP($B1082,'03-CP'!$C$1:$H$6260,3,0),""))</f>
        <v>M3</v>
      </c>
      <c r="F1082" s="2230">
        <v>5.56</v>
      </c>
      <c r="G1082" s="2238">
        <v>1106.98</v>
      </c>
      <c r="H1082" s="2302">
        <f t="shared" si="231"/>
        <v>6154.8</v>
      </c>
      <c r="I1082" s="2328">
        <f t="shared" si="232"/>
        <v>0</v>
      </c>
      <c r="J1082" s="2314">
        <v>1</v>
      </c>
      <c r="K1082" s="2411">
        <v>-1</v>
      </c>
      <c r="L1082" s="2533">
        <f t="shared" si="233"/>
        <v>0</v>
      </c>
      <c r="M1082" s="2238">
        <v>6154.8</v>
      </c>
      <c r="N1082" s="2239">
        <f t="shared" si="234"/>
        <v>-6154.8</v>
      </c>
      <c r="O1082" s="2498">
        <f t="shared" si="235"/>
        <v>6154.8</v>
      </c>
      <c r="P1082" s="2295">
        <f t="shared" si="236"/>
        <v>1</v>
      </c>
    </row>
    <row r="1083" spans="1:16" ht="30">
      <c r="A1083" s="2270" t="s">
        <v>13730</v>
      </c>
      <c r="B1083" s="2234">
        <f>VLOOKUP($A1083,'14 - QT_BES'!$A:$F,2,0)</f>
        <v>93382</v>
      </c>
      <c r="C1083" s="2234" t="str">
        <f>VLOOKUP($A1083,'14 - QT_BES'!$A:$F,3,0)</f>
        <v>SINAPI</v>
      </c>
      <c r="D1083" s="2375" t="s">
        <v>10726</v>
      </c>
      <c r="E1083" s="2242" t="str">
        <f>IFERROR(VLOOKUP($B1083,'24.08_ND'!$1:$1048529,3,0),IFERROR(VLOOKUP($B1083,'03-CP'!$C$1:$H$6260,3,0),""))</f>
        <v>M3</v>
      </c>
      <c r="F1083" s="2230">
        <v>21.967000000000006</v>
      </c>
      <c r="G1083" s="2238">
        <v>26.88</v>
      </c>
      <c r="H1083" s="2302">
        <f t="shared" si="231"/>
        <v>590.47</v>
      </c>
      <c r="I1083" s="2328">
        <f t="shared" si="232"/>
        <v>0</v>
      </c>
      <c r="J1083" s="2314">
        <v>1</v>
      </c>
      <c r="K1083" s="2411">
        <v>-1</v>
      </c>
      <c r="L1083" s="2533">
        <f t="shared" si="233"/>
        <v>0</v>
      </c>
      <c r="M1083" s="2238">
        <v>590.47</v>
      </c>
      <c r="N1083" s="2239">
        <f t="shared" si="234"/>
        <v>-590.47</v>
      </c>
      <c r="O1083" s="2498">
        <f t="shared" si="235"/>
        <v>590.47</v>
      </c>
      <c r="P1083" s="2295">
        <f t="shared" si="236"/>
        <v>1</v>
      </c>
    </row>
    <row r="1084" spans="1:16" ht="45">
      <c r="A1084" s="2270" t="s">
        <v>13731</v>
      </c>
      <c r="B1084" s="2234">
        <f>VLOOKUP($A1084,'14 - QT_BES'!$A:$F,2,0)</f>
        <v>100978</v>
      </c>
      <c r="C1084" s="2234" t="str">
        <f>VLOOKUP($A1084,'14 - QT_BES'!$A:$F,3,0)</f>
        <v>SINAPI</v>
      </c>
      <c r="D1084" s="2375" t="s">
        <v>11981</v>
      </c>
      <c r="E1084" s="2242" t="str">
        <f>IFERROR(VLOOKUP($B1084,'24.08_ND'!$1:$1048529,3,0),IFERROR(VLOOKUP($B1084,'03-CP'!$C$1:$H$6260,3,0),""))</f>
        <v>M3</v>
      </c>
      <c r="F1084" s="2230">
        <v>13.774999999999991</v>
      </c>
      <c r="G1084" s="2238">
        <v>7.88</v>
      </c>
      <c r="H1084" s="2302">
        <f t="shared" si="231"/>
        <v>108.54</v>
      </c>
      <c r="I1084" s="2328">
        <f t="shared" si="232"/>
        <v>0</v>
      </c>
      <c r="J1084" s="2314">
        <v>1</v>
      </c>
      <c r="K1084" s="2411">
        <v>-1</v>
      </c>
      <c r="L1084" s="2533">
        <f t="shared" si="233"/>
        <v>0</v>
      </c>
      <c r="M1084" s="2238">
        <v>108.54</v>
      </c>
      <c r="N1084" s="2239">
        <f t="shared" si="234"/>
        <v>-108.54</v>
      </c>
      <c r="O1084" s="2498">
        <f t="shared" si="235"/>
        <v>108.54</v>
      </c>
      <c r="P1084" s="2295">
        <f t="shared" si="236"/>
        <v>1</v>
      </c>
    </row>
    <row r="1085" spans="1:16" ht="30">
      <c r="A1085" s="2271" t="s">
        <v>13732</v>
      </c>
      <c r="B1085" s="2234">
        <f>VLOOKUP($A1085,'14 - QT_BES'!$A:$F,2,0)</f>
        <v>100938</v>
      </c>
      <c r="C1085" s="2234" t="str">
        <f>VLOOKUP($A1085,'14 - QT_BES'!$A:$F,3,0)</f>
        <v>SINAPI</v>
      </c>
      <c r="D1085" s="2375" t="s">
        <v>11938</v>
      </c>
      <c r="E1085" s="2242" t="str">
        <f>IFERROR(VLOOKUP($B1085,'24.08_ND'!$1:$1048529,3,0),IFERROR(VLOOKUP($B1085,'03-CP'!$C$1:$H$6260,3,0),""))</f>
        <v>M3XKM</v>
      </c>
      <c r="F1085" s="2230">
        <v>27.549999999999983</v>
      </c>
      <c r="G1085" s="2238">
        <v>8.6199999999999992</v>
      </c>
      <c r="H1085" s="2302">
        <f t="shared" si="231"/>
        <v>237.48</v>
      </c>
      <c r="I1085" s="2328">
        <f t="shared" si="232"/>
        <v>0</v>
      </c>
      <c r="J1085" s="2314">
        <v>1</v>
      </c>
      <c r="K1085" s="2411">
        <v>-1</v>
      </c>
      <c r="L1085" s="2533">
        <f t="shared" si="233"/>
        <v>0</v>
      </c>
      <c r="M1085" s="2238">
        <v>237.48</v>
      </c>
      <c r="N1085" s="2239">
        <f t="shared" si="234"/>
        <v>-237.48</v>
      </c>
      <c r="O1085" s="2498">
        <f t="shared" si="235"/>
        <v>237.48</v>
      </c>
      <c r="P1085" s="2295">
        <f t="shared" si="236"/>
        <v>1</v>
      </c>
    </row>
    <row r="1086" spans="1:16" ht="30">
      <c r="A1086" s="2271" t="s">
        <v>13733</v>
      </c>
      <c r="B1086" s="2234">
        <f>VLOOKUP($A1086,'14 - QT_BES'!$A:$F,2,0)</f>
        <v>98557</v>
      </c>
      <c r="C1086" s="2234" t="str">
        <f>VLOOKUP($A1086,'14 - QT_BES'!$A:$F,3,0)</f>
        <v>SINAPI</v>
      </c>
      <c r="D1086" s="2375" t="s">
        <v>7741</v>
      </c>
      <c r="E1086" s="2242" t="str">
        <f>IFERROR(VLOOKUP($B1086,'24.08_ND'!$1:$1048529,3,0),IFERROR(VLOOKUP($B1086,'03-CP'!$C$1:$H$6260,3,0),""))</f>
        <v>M2</v>
      </c>
      <c r="F1086" s="2230">
        <v>112.64</v>
      </c>
      <c r="G1086" s="2238">
        <v>48.62</v>
      </c>
      <c r="H1086" s="2302">
        <f t="shared" si="231"/>
        <v>5476.55</v>
      </c>
      <c r="I1086" s="2328">
        <f t="shared" si="232"/>
        <v>0</v>
      </c>
      <c r="J1086" s="2314">
        <v>1</v>
      </c>
      <c r="K1086" s="2411">
        <v>-1</v>
      </c>
      <c r="L1086" s="2533">
        <f t="shared" si="233"/>
        <v>0</v>
      </c>
      <c r="M1086" s="2238">
        <v>5476.55</v>
      </c>
      <c r="N1086" s="2239">
        <f t="shared" si="234"/>
        <v>-5476.55</v>
      </c>
      <c r="O1086" s="2498">
        <f t="shared" si="235"/>
        <v>5476.55</v>
      </c>
      <c r="P1086" s="2295">
        <f t="shared" si="236"/>
        <v>1</v>
      </c>
    </row>
    <row r="1087" spans="1:16">
      <c r="A1087" s="2273" t="s">
        <v>13734</v>
      </c>
      <c r="B1087" s="2395"/>
      <c r="C1087" s="2399"/>
      <c r="D1087" s="2376" t="s">
        <v>16485</v>
      </c>
      <c r="E1087" s="2356"/>
      <c r="F1087" s="2357"/>
      <c r="G1087" s="2358"/>
      <c r="H1087" s="2301">
        <f>SUBTOTAL(9,H1088)</f>
        <v>2082.15</v>
      </c>
      <c r="I1087" s="2359"/>
      <c r="J1087" s="2360"/>
      <c r="K1087" s="2549"/>
      <c r="L1087" s="2534">
        <f>SUBTOTAL(9,L1088)</f>
        <v>0</v>
      </c>
      <c r="M1087" s="2301">
        <f>SUBTOTAL(9,M1088)</f>
        <v>2082.15</v>
      </c>
      <c r="N1087" s="2301">
        <f>SUBTOTAL(9,N1088)</f>
        <v>-2082.15</v>
      </c>
      <c r="O1087" s="2301">
        <f>SUBTOTAL(9,O1088)</f>
        <v>2082.15</v>
      </c>
      <c r="P1087" s="2295">
        <f t="shared" si="236"/>
        <v>1</v>
      </c>
    </row>
    <row r="1088" spans="1:16" ht="45">
      <c r="A1088" s="2271" t="s">
        <v>13735</v>
      </c>
      <c r="B1088" s="2228" t="str">
        <f>VLOOKUP($A1088,'14 - QT_BES'!$A:$F,2,0)</f>
        <v>PS-CP-EST-17</v>
      </c>
      <c r="C1088" s="2228" t="str">
        <f>VLOOKUP($A1088,'14 - QT_BES'!$A:$F,3,0)</f>
        <v>PRÓPRIA</v>
      </c>
      <c r="D1088" s="2375" t="s">
        <v>14644</v>
      </c>
      <c r="E1088" s="2243" t="str">
        <f>IFERROR(VLOOKUP($B1088,'24.08_ND'!$1:$1048529,3,0),IFERROR(VLOOKUP($B1088,'03-CP'!$C$1:$H$6260,3,0),""))</f>
        <v>M</v>
      </c>
      <c r="F1088" s="2230">
        <v>15</v>
      </c>
      <c r="G1088" s="2232">
        <v>138.81</v>
      </c>
      <c r="H1088" s="2302">
        <f>TRUNC((G1088*F1088),2)</f>
        <v>2082.15</v>
      </c>
      <c r="I1088" s="2328">
        <f>J1088+K1088</f>
        <v>0</v>
      </c>
      <c r="J1088" s="2314">
        <v>1</v>
      </c>
      <c r="K1088" s="2412">
        <v>-1</v>
      </c>
      <c r="L1088" s="2533">
        <f>M1088+N1088</f>
        <v>0</v>
      </c>
      <c r="M1088" s="2238">
        <v>2082.15</v>
      </c>
      <c r="N1088" s="2239">
        <f>TRUNC(H1088*K1088,2)</f>
        <v>-2082.15</v>
      </c>
      <c r="O1088" s="2498">
        <f>H1088-L1088</f>
        <v>2082.15</v>
      </c>
      <c r="P1088" s="2295">
        <f>O1088/H1088</f>
        <v>1</v>
      </c>
    </row>
    <row r="1089" spans="1:16">
      <c r="A1089" s="2273" t="s">
        <v>13736</v>
      </c>
      <c r="B1089" s="2395"/>
      <c r="C1089" s="2399"/>
      <c r="D1089" s="2376" t="s">
        <v>16486</v>
      </c>
      <c r="E1089" s="2356"/>
      <c r="F1089" s="2357"/>
      <c r="G1089" s="2358"/>
      <c r="H1089" s="2301">
        <f>SUBTOTAL(9,H1090:H1094)</f>
        <v>14608.89</v>
      </c>
      <c r="I1089" s="2359"/>
      <c r="J1089" s="2360"/>
      <c r="K1089" s="2549"/>
      <c r="L1089" s="2534">
        <f>SUBTOTAL(9,L1090:L1094)</f>
        <v>0</v>
      </c>
      <c r="M1089" s="2301">
        <f>SUBTOTAL(9,M1090:M1094)</f>
        <v>0</v>
      </c>
      <c r="N1089" s="2301">
        <f>SUBTOTAL(9,N1090:N1094)</f>
        <v>0</v>
      </c>
      <c r="O1089" s="2301">
        <f>SUBTOTAL(9,O1090:O1094)</f>
        <v>14608.89</v>
      </c>
      <c r="P1089" s="2295">
        <f t="shared" si="236"/>
        <v>1</v>
      </c>
    </row>
    <row r="1090" spans="1:16" ht="45">
      <c r="A1090" s="2271" t="s">
        <v>13737</v>
      </c>
      <c r="B1090" s="2234">
        <f>VLOOKUP($A1090,'14 - QT_BES'!$A:$F,2,0)</f>
        <v>92431</v>
      </c>
      <c r="C1090" s="2234" t="str">
        <f>VLOOKUP($A1090,'14 - QT_BES'!$A:$F,3,0)</f>
        <v>SINAPI</v>
      </c>
      <c r="D1090" s="2375" t="s">
        <v>7221</v>
      </c>
      <c r="E1090" s="2242" t="str">
        <f>IFERROR(VLOOKUP($B1090,'24.08_ND'!$1:$1048529,3,0),IFERROR(VLOOKUP($B1090,'03-CP'!$C$1:$H$6260,3,0),""))</f>
        <v>M2</v>
      </c>
      <c r="F1090" s="2230">
        <v>63.6</v>
      </c>
      <c r="G1090" s="2238">
        <v>83.57</v>
      </c>
      <c r="H1090" s="2302">
        <f>TRUNC((G1090*F1090),2)</f>
        <v>5315.05</v>
      </c>
      <c r="I1090" s="2328">
        <f>J1090+K1090</f>
        <v>0</v>
      </c>
      <c r="J1090" s="2237"/>
      <c r="K1090" s="2411"/>
      <c r="L1090" s="2533">
        <f>M1090+N1090</f>
        <v>0</v>
      </c>
      <c r="M1090" s="2238">
        <v>0</v>
      </c>
      <c r="N1090" s="2239">
        <f>TRUNC(H1090*K1090,2)</f>
        <v>0</v>
      </c>
      <c r="O1090" s="2498">
        <f>H1090-L1090</f>
        <v>5315.05</v>
      </c>
      <c r="P1090" s="2295">
        <f t="shared" si="236"/>
        <v>1</v>
      </c>
    </row>
    <row r="1091" spans="1:16" ht="30">
      <c r="A1091" s="2271" t="s">
        <v>13738</v>
      </c>
      <c r="B1091" s="2234">
        <f>VLOOKUP($A1091,'14 - QT_BES'!$A:$F,2,0)</f>
        <v>92759</v>
      </c>
      <c r="C1091" s="2234" t="str">
        <f>VLOOKUP($A1091,'14 - QT_BES'!$A:$F,3,0)</f>
        <v>SINAPI</v>
      </c>
      <c r="D1091" s="2375" t="s">
        <v>7428</v>
      </c>
      <c r="E1091" s="2242" t="str">
        <f>IFERROR(VLOOKUP($B1091,'24.08_ND'!$1:$1048529,3,0),IFERROR(VLOOKUP($B1091,'03-CP'!$C$1:$H$6260,3,0),""))</f>
        <v>KG</v>
      </c>
      <c r="F1091" s="2230">
        <v>95.3</v>
      </c>
      <c r="G1091" s="2238">
        <v>17.100000000000001</v>
      </c>
      <c r="H1091" s="2302">
        <f>TRUNC((G1091*F1091),2)</f>
        <v>1629.63</v>
      </c>
      <c r="I1091" s="2328">
        <f>J1091+K1091</f>
        <v>0</v>
      </c>
      <c r="J1091" s="2237"/>
      <c r="K1091" s="2411"/>
      <c r="L1091" s="2533">
        <f>M1091+N1091</f>
        <v>0</v>
      </c>
      <c r="M1091" s="2238">
        <v>0</v>
      </c>
      <c r="N1091" s="2239">
        <f>TRUNC(H1091*K1091,2)</f>
        <v>0</v>
      </c>
      <c r="O1091" s="2498">
        <f>H1091-L1091</f>
        <v>1629.63</v>
      </c>
      <c r="P1091" s="2295">
        <f t="shared" si="236"/>
        <v>1</v>
      </c>
    </row>
    <row r="1092" spans="1:16" ht="30">
      <c r="A1092" s="2271" t="s">
        <v>13739</v>
      </c>
      <c r="B1092" s="2234">
        <f>VLOOKUP($A1092,'14 - QT_BES'!$A:$F,2,0)</f>
        <v>92762</v>
      </c>
      <c r="C1092" s="2234" t="str">
        <f>VLOOKUP($A1092,'14 - QT_BES'!$A:$F,3,0)</f>
        <v>SINAPI</v>
      </c>
      <c r="D1092" s="2375" t="s">
        <v>7431</v>
      </c>
      <c r="E1092" s="2242" t="str">
        <f>IFERROR(VLOOKUP($B1092,'24.08_ND'!$1:$1048529,3,0),IFERROR(VLOOKUP($B1092,'03-CP'!$C$1:$H$6260,3,0),""))</f>
        <v>KG</v>
      </c>
      <c r="F1092" s="2230">
        <v>234</v>
      </c>
      <c r="G1092" s="2238">
        <v>14.11</v>
      </c>
      <c r="H1092" s="2302">
        <f>TRUNC((G1092*F1092),2)</f>
        <v>3301.74</v>
      </c>
      <c r="I1092" s="2328">
        <f>J1092+K1092</f>
        <v>0</v>
      </c>
      <c r="J1092" s="2237"/>
      <c r="K1092" s="2411"/>
      <c r="L1092" s="2533">
        <f>M1092+N1092</f>
        <v>0</v>
      </c>
      <c r="M1092" s="2238">
        <v>0</v>
      </c>
      <c r="N1092" s="2239">
        <f>TRUNC(H1092*K1092,2)</f>
        <v>0</v>
      </c>
      <c r="O1092" s="2498">
        <f>H1092-L1092</f>
        <v>3301.74</v>
      </c>
      <c r="P1092" s="2295">
        <f t="shared" si="236"/>
        <v>1</v>
      </c>
    </row>
    <row r="1093" spans="1:16" ht="30">
      <c r="A1093" s="2271" t="s">
        <v>13740</v>
      </c>
      <c r="B1093" s="2234">
        <f>VLOOKUP($A1093,'14 - QT_BES'!$A:$F,2,0)</f>
        <v>92764</v>
      </c>
      <c r="C1093" s="2234" t="str">
        <f>VLOOKUP($A1093,'14 - QT_BES'!$A:$F,3,0)</f>
        <v>SINAPI</v>
      </c>
      <c r="D1093" s="2375" t="s">
        <v>7433</v>
      </c>
      <c r="E1093" s="2242" t="str">
        <f>IFERROR(VLOOKUP($B1093,'24.08_ND'!$1:$1048529,3,0),IFERROR(VLOOKUP($B1093,'03-CP'!$C$1:$H$6260,3,0),""))</f>
        <v>KG</v>
      </c>
      <c r="F1093" s="2230">
        <v>56.8</v>
      </c>
      <c r="G1093" s="2238">
        <v>11.6</v>
      </c>
      <c r="H1093" s="2302">
        <f>TRUNC((G1093*F1093),2)</f>
        <v>658.88</v>
      </c>
      <c r="I1093" s="2328">
        <f>J1093+K1093</f>
        <v>0</v>
      </c>
      <c r="J1093" s="2237"/>
      <c r="K1093" s="2411"/>
      <c r="L1093" s="2533">
        <f>M1093+N1093</f>
        <v>0</v>
      </c>
      <c r="M1093" s="2238">
        <v>0</v>
      </c>
      <c r="N1093" s="2239">
        <f>TRUNC(H1093*K1093,2)</f>
        <v>0</v>
      </c>
      <c r="O1093" s="2498">
        <f>H1093-L1093</f>
        <v>658.88</v>
      </c>
      <c r="P1093" s="2295">
        <f t="shared" si="236"/>
        <v>1</v>
      </c>
    </row>
    <row r="1094" spans="1:16" ht="30">
      <c r="A1094" s="2271" t="s">
        <v>13741</v>
      </c>
      <c r="B1094" s="2228" t="str">
        <f>VLOOKUP($A1094,'14 - QT_BES'!$A:$F,2,0)</f>
        <v>PS-CP-EST-13</v>
      </c>
      <c r="C1094" s="2228" t="str">
        <f>VLOOKUP($A1094,'14 - QT_BES'!$A:$F,3,0)</f>
        <v>PRÓPRIA</v>
      </c>
      <c r="D1094" s="2375" t="s">
        <v>14621</v>
      </c>
      <c r="E1094" s="2243" t="str">
        <f>IFERROR(VLOOKUP($B1094,'24.08_ND'!$1:$1048529,3,0),IFERROR(VLOOKUP($B1094,'03-CP'!$C$1:$H$6260,3,0),""))</f>
        <v>M3</v>
      </c>
      <c r="F1094" s="2230">
        <v>3.19</v>
      </c>
      <c r="G1094" s="2232">
        <v>1161</v>
      </c>
      <c r="H1094" s="2302">
        <f>TRUNC((G1094*F1094),2)</f>
        <v>3703.59</v>
      </c>
      <c r="I1094" s="2328">
        <f>J1094+K1094</f>
        <v>0</v>
      </c>
      <c r="J1094" s="2237"/>
      <c r="K1094" s="2411"/>
      <c r="L1094" s="2533">
        <f>M1094+N1094</f>
        <v>0</v>
      </c>
      <c r="M1094" s="2238">
        <v>0</v>
      </c>
      <c r="N1094" s="2239">
        <f>TRUNC(H1094*K1094,2)</f>
        <v>0</v>
      </c>
      <c r="O1094" s="2498">
        <f>H1094-L1094</f>
        <v>3703.59</v>
      </c>
      <c r="P1094" s="2295">
        <f t="shared" si="236"/>
        <v>1</v>
      </c>
    </row>
    <row r="1095" spans="1:16">
      <c r="A1095" s="2273" t="s">
        <v>13742</v>
      </c>
      <c r="B1095" s="2395"/>
      <c r="C1095" s="2399"/>
      <c r="D1095" s="2376" t="s">
        <v>16487</v>
      </c>
      <c r="E1095" s="2356"/>
      <c r="F1095" s="2357"/>
      <c r="G1095" s="2358"/>
      <c r="H1095" s="2301">
        <f>SUBTOTAL(9,H1096:H1102)</f>
        <v>39757.61</v>
      </c>
      <c r="I1095" s="2359"/>
      <c r="J1095" s="2360"/>
      <c r="K1095" s="2549"/>
      <c r="L1095" s="2534">
        <f>SUBTOTAL(9,L1096:L1102)</f>
        <v>0</v>
      </c>
      <c r="M1095" s="2301">
        <f>SUBTOTAL(9,M1096:M1102)</f>
        <v>0</v>
      </c>
      <c r="N1095" s="2301">
        <f>SUBTOTAL(9,N1096:N1102)</f>
        <v>0</v>
      </c>
      <c r="O1095" s="2301">
        <f>SUBTOTAL(9,O1096:O1102)</f>
        <v>39757.61</v>
      </c>
      <c r="P1095" s="2295">
        <f t="shared" si="236"/>
        <v>1</v>
      </c>
    </row>
    <row r="1096" spans="1:16" ht="45">
      <c r="A1096" s="2271" t="s">
        <v>13743</v>
      </c>
      <c r="B1096" s="2234">
        <f>VLOOKUP($A1096,'14 - QT_BES'!$A:$F,2,0)</f>
        <v>92466</v>
      </c>
      <c r="C1096" s="2234" t="str">
        <f>VLOOKUP($A1096,'14 - QT_BES'!$A:$F,3,0)</f>
        <v>SINAPI</v>
      </c>
      <c r="D1096" s="2375" t="s">
        <v>7249</v>
      </c>
      <c r="E1096" s="2242" t="str">
        <f>IFERROR(VLOOKUP($B1096,'24.08_ND'!$1:$1048529,3,0),IFERROR(VLOOKUP($B1096,'03-CP'!$C$1:$H$6260,3,0),""))</f>
        <v>M2</v>
      </c>
      <c r="F1096" s="2230">
        <v>74.61</v>
      </c>
      <c r="G1096" s="2238">
        <v>362.46</v>
      </c>
      <c r="H1096" s="2302">
        <f t="shared" ref="H1096:H1102" si="237">TRUNC((G1096*F1096),2)</f>
        <v>27043.14</v>
      </c>
      <c r="I1096" s="2328">
        <f t="shared" ref="I1096:I1102" si="238">J1096+K1096</f>
        <v>0</v>
      </c>
      <c r="J1096" s="2237"/>
      <c r="K1096" s="2411"/>
      <c r="L1096" s="2533">
        <f t="shared" ref="L1096:L1102" si="239">M1096+N1096</f>
        <v>0</v>
      </c>
      <c r="M1096" s="2238">
        <v>0</v>
      </c>
      <c r="N1096" s="2239">
        <f t="shared" ref="N1096:N1102" si="240">TRUNC(H1096*K1096,2)</f>
        <v>0</v>
      </c>
      <c r="O1096" s="2498">
        <f t="shared" ref="O1096:O1102" si="241">H1096-L1096</f>
        <v>27043.14</v>
      </c>
      <c r="P1096" s="2295">
        <f t="shared" si="236"/>
        <v>1</v>
      </c>
    </row>
    <row r="1097" spans="1:16" ht="30">
      <c r="A1097" s="2271" t="s">
        <v>13744</v>
      </c>
      <c r="B1097" s="2234">
        <f>VLOOKUP($A1097,'14 - QT_BES'!$A:$F,2,0)</f>
        <v>92759</v>
      </c>
      <c r="C1097" s="2234" t="str">
        <f>VLOOKUP($A1097,'14 - QT_BES'!$A:$F,3,0)</f>
        <v>SINAPI</v>
      </c>
      <c r="D1097" s="2375" t="s">
        <v>7428</v>
      </c>
      <c r="E1097" s="2242" t="str">
        <f>IFERROR(VLOOKUP($B1097,'24.08_ND'!$1:$1048529,3,0),IFERROR(VLOOKUP($B1097,'03-CP'!$C$1:$H$6260,3,0),""))</f>
        <v>KG</v>
      </c>
      <c r="F1097" s="2230">
        <v>58.7</v>
      </c>
      <c r="G1097" s="2238">
        <v>17.100000000000001</v>
      </c>
      <c r="H1097" s="2302">
        <f t="shared" si="237"/>
        <v>1003.77</v>
      </c>
      <c r="I1097" s="2328">
        <f t="shared" si="238"/>
        <v>0</v>
      </c>
      <c r="J1097" s="2237"/>
      <c r="K1097" s="2411"/>
      <c r="L1097" s="2533">
        <f t="shared" si="239"/>
        <v>0</v>
      </c>
      <c r="M1097" s="2238">
        <v>0</v>
      </c>
      <c r="N1097" s="2239">
        <f t="shared" si="240"/>
        <v>0</v>
      </c>
      <c r="O1097" s="2498">
        <f t="shared" si="241"/>
        <v>1003.77</v>
      </c>
      <c r="P1097" s="2295">
        <f t="shared" si="236"/>
        <v>1</v>
      </c>
    </row>
    <row r="1098" spans="1:16" ht="30">
      <c r="A1098" s="2271" t="s">
        <v>13745</v>
      </c>
      <c r="B1098" s="2234">
        <f>VLOOKUP($A1098,'14 - QT_BES'!$A:$F,2,0)</f>
        <v>92760</v>
      </c>
      <c r="C1098" s="2234" t="str">
        <f>VLOOKUP($A1098,'14 - QT_BES'!$A:$F,3,0)</f>
        <v>SINAPI</v>
      </c>
      <c r="D1098" s="2375" t="s">
        <v>7429</v>
      </c>
      <c r="E1098" s="2242" t="str">
        <f>IFERROR(VLOOKUP($B1098,'24.08_ND'!$1:$1048529,3,0),IFERROR(VLOOKUP($B1098,'03-CP'!$C$1:$H$6260,3,0),""))</f>
        <v>KG</v>
      </c>
      <c r="F1098" s="2230">
        <v>30</v>
      </c>
      <c r="G1098" s="2238">
        <v>16.45</v>
      </c>
      <c r="H1098" s="2302">
        <f t="shared" si="237"/>
        <v>493.5</v>
      </c>
      <c r="I1098" s="2328">
        <f t="shared" si="238"/>
        <v>0</v>
      </c>
      <c r="J1098" s="2237"/>
      <c r="K1098" s="2411"/>
      <c r="L1098" s="2533">
        <f t="shared" si="239"/>
        <v>0</v>
      </c>
      <c r="M1098" s="2238">
        <v>0</v>
      </c>
      <c r="N1098" s="2239">
        <f t="shared" si="240"/>
        <v>0</v>
      </c>
      <c r="O1098" s="2498">
        <f t="shared" si="241"/>
        <v>493.5</v>
      </c>
      <c r="P1098" s="2295">
        <f t="shared" si="236"/>
        <v>1</v>
      </c>
    </row>
    <row r="1099" spans="1:16" ht="30">
      <c r="A1099" s="2271" t="s">
        <v>13746</v>
      </c>
      <c r="B1099" s="2234">
        <f>VLOOKUP($A1099,'14 - QT_BES'!$A:$F,2,0)</f>
        <v>92761</v>
      </c>
      <c r="C1099" s="2234" t="str">
        <f>VLOOKUP($A1099,'14 - QT_BES'!$A:$F,3,0)</f>
        <v>SINAPI</v>
      </c>
      <c r="D1099" s="2375" t="s">
        <v>7430</v>
      </c>
      <c r="E1099" s="2242" t="str">
        <f>IFERROR(VLOOKUP($B1099,'24.08_ND'!$1:$1048529,3,0),IFERROR(VLOOKUP($B1099,'03-CP'!$C$1:$H$6260,3,0),""))</f>
        <v>KG</v>
      </c>
      <c r="F1099" s="2230">
        <v>114.7</v>
      </c>
      <c r="G1099" s="2238">
        <v>15.68</v>
      </c>
      <c r="H1099" s="2302">
        <f t="shared" si="237"/>
        <v>1798.49</v>
      </c>
      <c r="I1099" s="2328">
        <f t="shared" si="238"/>
        <v>0</v>
      </c>
      <c r="J1099" s="2237"/>
      <c r="K1099" s="2411"/>
      <c r="L1099" s="2533">
        <f t="shared" si="239"/>
        <v>0</v>
      </c>
      <c r="M1099" s="2238">
        <v>0</v>
      </c>
      <c r="N1099" s="2239">
        <f t="shared" si="240"/>
        <v>0</v>
      </c>
      <c r="O1099" s="2498">
        <f t="shared" si="241"/>
        <v>1798.49</v>
      </c>
      <c r="P1099" s="2295">
        <f t="shared" si="236"/>
        <v>1</v>
      </c>
    </row>
    <row r="1100" spans="1:16" ht="30">
      <c r="A1100" s="2271" t="s">
        <v>13747</v>
      </c>
      <c r="B1100" s="2234">
        <f>VLOOKUP($A1100,'14 - QT_BES'!$A:$F,2,0)</f>
        <v>92762</v>
      </c>
      <c r="C1100" s="2234" t="str">
        <f>VLOOKUP($A1100,'14 - QT_BES'!$A:$F,3,0)</f>
        <v>SINAPI</v>
      </c>
      <c r="D1100" s="2375" t="s">
        <v>7431</v>
      </c>
      <c r="E1100" s="2242" t="str">
        <f>IFERROR(VLOOKUP($B1100,'24.08_ND'!$1:$1048529,3,0),IFERROR(VLOOKUP($B1100,'03-CP'!$C$1:$H$6260,3,0),""))</f>
        <v>KG</v>
      </c>
      <c r="F1100" s="2230">
        <v>43.5</v>
      </c>
      <c r="G1100" s="2238">
        <v>14.11</v>
      </c>
      <c r="H1100" s="2302">
        <f t="shared" si="237"/>
        <v>613.78</v>
      </c>
      <c r="I1100" s="2328">
        <f t="shared" si="238"/>
        <v>0</v>
      </c>
      <c r="J1100" s="2237"/>
      <c r="K1100" s="2411"/>
      <c r="L1100" s="2533">
        <f t="shared" si="239"/>
        <v>0</v>
      </c>
      <c r="M1100" s="2238">
        <v>0</v>
      </c>
      <c r="N1100" s="2239">
        <f t="shared" si="240"/>
        <v>0</v>
      </c>
      <c r="O1100" s="2498">
        <f t="shared" si="241"/>
        <v>613.78</v>
      </c>
      <c r="P1100" s="2295">
        <f t="shared" si="236"/>
        <v>1</v>
      </c>
    </row>
    <row r="1101" spans="1:16" ht="30">
      <c r="A1101" s="2271" t="s">
        <v>13748</v>
      </c>
      <c r="B1101" s="2234">
        <f>VLOOKUP($A1101,'14 - QT_BES'!$A:$F,2,0)</f>
        <v>92763</v>
      </c>
      <c r="C1101" s="2234" t="str">
        <f>VLOOKUP($A1101,'14 - QT_BES'!$A:$F,3,0)</f>
        <v>SINAPI</v>
      </c>
      <c r="D1101" s="2375" t="s">
        <v>7432</v>
      </c>
      <c r="E1101" s="2242" t="str">
        <f>IFERROR(VLOOKUP($B1101,'24.08_ND'!$1:$1048529,3,0),IFERROR(VLOOKUP($B1101,'03-CP'!$C$1:$H$6260,3,0),""))</f>
        <v>KG</v>
      </c>
      <c r="F1101" s="2230">
        <v>26.2</v>
      </c>
      <c r="G1101" s="2238">
        <v>11.93</v>
      </c>
      <c r="H1101" s="2302">
        <f t="shared" si="237"/>
        <v>312.56</v>
      </c>
      <c r="I1101" s="2328">
        <f t="shared" si="238"/>
        <v>0</v>
      </c>
      <c r="J1101" s="2237"/>
      <c r="K1101" s="2411"/>
      <c r="L1101" s="2533">
        <f t="shared" si="239"/>
        <v>0</v>
      </c>
      <c r="M1101" s="2238">
        <v>0</v>
      </c>
      <c r="N1101" s="2239">
        <f t="shared" si="240"/>
        <v>0</v>
      </c>
      <c r="O1101" s="2498">
        <f t="shared" si="241"/>
        <v>312.56</v>
      </c>
      <c r="P1101" s="2295">
        <f t="shared" si="236"/>
        <v>1</v>
      </c>
    </row>
    <row r="1102" spans="1:16" ht="45">
      <c r="A1102" s="2271" t="s">
        <v>13749</v>
      </c>
      <c r="B1102" s="2228" t="str">
        <f>VLOOKUP($A1102,'14 - QT_BES'!$A:$F,2,0)</f>
        <v>PS-CP-EST-14</v>
      </c>
      <c r="C1102" s="2228" t="str">
        <f>VLOOKUP($A1102,'14 - QT_BES'!$A:$F,3,0)</f>
        <v>PRÓPRIA</v>
      </c>
      <c r="D1102" s="2375" t="s">
        <v>15964</v>
      </c>
      <c r="E1102" s="2243" t="str">
        <f>IFERROR(VLOOKUP($B1102,'24.08_ND'!$1:$1048529,3,0),IFERROR(VLOOKUP($B1102,'03-CP'!$C$1:$H$6260,3,0),""))</f>
        <v>M3</v>
      </c>
      <c r="F1102" s="2230">
        <v>8.34</v>
      </c>
      <c r="G1102" s="2232">
        <v>1018.27</v>
      </c>
      <c r="H1102" s="2302">
        <f t="shared" si="237"/>
        <v>8492.3700000000008</v>
      </c>
      <c r="I1102" s="2328">
        <f t="shared" si="238"/>
        <v>0</v>
      </c>
      <c r="J1102" s="2237"/>
      <c r="K1102" s="2412"/>
      <c r="L1102" s="2533">
        <f t="shared" si="239"/>
        <v>0</v>
      </c>
      <c r="M1102" s="2238">
        <v>0</v>
      </c>
      <c r="N1102" s="2239">
        <f t="shared" si="240"/>
        <v>0</v>
      </c>
      <c r="O1102" s="2498">
        <f t="shared" si="241"/>
        <v>8492.3700000000008</v>
      </c>
      <c r="P1102" s="2295">
        <f t="shared" si="236"/>
        <v>1</v>
      </c>
    </row>
    <row r="1103" spans="1:16">
      <c r="A1103" s="2273" t="s">
        <v>13750</v>
      </c>
      <c r="B1103" s="2395"/>
      <c r="C1103" s="2399"/>
      <c r="D1103" s="2376" t="s">
        <v>16435</v>
      </c>
      <c r="E1103" s="2356"/>
      <c r="F1103" s="2357"/>
      <c r="G1103" s="2358"/>
      <c r="H1103" s="2301">
        <f>SUBTOTAL(9,H1104:H1110)</f>
        <v>14852.159999999998</v>
      </c>
      <c r="I1103" s="2359"/>
      <c r="J1103" s="2360"/>
      <c r="K1103" s="2549"/>
      <c r="L1103" s="2534">
        <f>SUBTOTAL(9,L1104:L1110)</f>
        <v>0</v>
      </c>
      <c r="M1103" s="2301">
        <f>SUBTOTAL(9,M1104:M1110)</f>
        <v>0</v>
      </c>
      <c r="N1103" s="2301">
        <f>SUBTOTAL(9,N1104:N1110)</f>
        <v>0</v>
      </c>
      <c r="O1103" s="2301">
        <f>SUBTOTAL(9,O1104:O1110)</f>
        <v>14852.159999999998</v>
      </c>
      <c r="P1103" s="2295">
        <f t="shared" si="236"/>
        <v>1</v>
      </c>
    </row>
    <row r="1104" spans="1:16" ht="45">
      <c r="A1104" s="2271" t="s">
        <v>13751</v>
      </c>
      <c r="B1104" s="2234">
        <f>VLOOKUP($A1104,'14 - QT_BES'!$A:$F,2,0)</f>
        <v>92524</v>
      </c>
      <c r="C1104" s="2234" t="str">
        <f>VLOOKUP($A1104,'14 - QT_BES'!$A:$F,3,0)</f>
        <v>SINAPI</v>
      </c>
      <c r="D1104" s="2375" t="s">
        <v>7285</v>
      </c>
      <c r="E1104" s="2242" t="str">
        <f>IFERROR(VLOOKUP($B1104,'24.08_ND'!$1:$1048529,3,0),IFERROR(VLOOKUP($B1104,'03-CP'!$C$1:$H$6260,3,0),""))</f>
        <v>M2</v>
      </c>
      <c r="F1104" s="2230">
        <v>32.880000000000003</v>
      </c>
      <c r="G1104" s="2238">
        <v>105.33</v>
      </c>
      <c r="H1104" s="2302">
        <f t="shared" ref="H1104:H1110" si="242">TRUNC((G1104*F1104),2)</f>
        <v>3463.25</v>
      </c>
      <c r="I1104" s="2328">
        <f t="shared" ref="I1104:I1110" si="243">J1104+K1104</f>
        <v>0</v>
      </c>
      <c r="J1104" s="2237"/>
      <c r="K1104" s="2411"/>
      <c r="L1104" s="2533">
        <f t="shared" ref="L1104:L1110" si="244">M1104+N1104</f>
        <v>0</v>
      </c>
      <c r="M1104" s="2238">
        <v>0</v>
      </c>
      <c r="N1104" s="2239">
        <f t="shared" ref="N1104:N1110" si="245">TRUNC(H1104*K1104,2)</f>
        <v>0</v>
      </c>
      <c r="O1104" s="2498">
        <f t="shared" ref="O1104:O1110" si="246">H1104-L1104</f>
        <v>3463.25</v>
      </c>
      <c r="P1104" s="2295">
        <f t="shared" si="236"/>
        <v>1</v>
      </c>
    </row>
    <row r="1105" spans="1:16" ht="30">
      <c r="A1105" s="2271" t="s">
        <v>13752</v>
      </c>
      <c r="B1105" s="2234">
        <f>VLOOKUP($A1105,'14 - QT_BES'!$A:$F,2,0)</f>
        <v>92768</v>
      </c>
      <c r="C1105" s="2234" t="str">
        <f>VLOOKUP($A1105,'14 - QT_BES'!$A:$F,3,0)</f>
        <v>SINAPI</v>
      </c>
      <c r="D1105" s="2375" t="s">
        <v>7437</v>
      </c>
      <c r="E1105" s="2242" t="str">
        <f>IFERROR(VLOOKUP($B1105,'24.08_ND'!$1:$1048529,3,0),IFERROR(VLOOKUP($B1105,'03-CP'!$C$1:$H$6260,3,0),""))</f>
        <v>KG</v>
      </c>
      <c r="F1105" s="2230">
        <v>6.7</v>
      </c>
      <c r="G1105" s="2238">
        <v>16.559999999999999</v>
      </c>
      <c r="H1105" s="2302">
        <f t="shared" si="242"/>
        <v>110.95</v>
      </c>
      <c r="I1105" s="2328">
        <f t="shared" si="243"/>
        <v>0</v>
      </c>
      <c r="J1105" s="2237"/>
      <c r="K1105" s="2411"/>
      <c r="L1105" s="2533">
        <f t="shared" si="244"/>
        <v>0</v>
      </c>
      <c r="M1105" s="2238">
        <v>0</v>
      </c>
      <c r="N1105" s="2239">
        <f t="shared" si="245"/>
        <v>0</v>
      </c>
      <c r="O1105" s="2498">
        <f t="shared" si="246"/>
        <v>110.95</v>
      </c>
      <c r="P1105" s="2295">
        <f t="shared" si="236"/>
        <v>1</v>
      </c>
    </row>
    <row r="1106" spans="1:16" ht="30">
      <c r="A1106" s="2271" t="s">
        <v>13753</v>
      </c>
      <c r="B1106" s="2234">
        <f>VLOOKUP($A1106,'14 - QT_BES'!$A:$F,2,0)</f>
        <v>92770</v>
      </c>
      <c r="C1106" s="2234" t="str">
        <f>VLOOKUP($A1106,'14 - QT_BES'!$A:$F,3,0)</f>
        <v>SINAPI</v>
      </c>
      <c r="D1106" s="2375" t="s">
        <v>7439</v>
      </c>
      <c r="E1106" s="2242" t="str">
        <f>IFERROR(VLOOKUP($B1106,'24.08_ND'!$1:$1048529,3,0),IFERROR(VLOOKUP($B1106,'03-CP'!$C$1:$H$6260,3,0),""))</f>
        <v>KG</v>
      </c>
      <c r="F1106" s="2230">
        <v>197.1</v>
      </c>
      <c r="G1106" s="2238">
        <v>15.17</v>
      </c>
      <c r="H1106" s="2302">
        <f t="shared" si="242"/>
        <v>2990</v>
      </c>
      <c r="I1106" s="2328">
        <f t="shared" si="243"/>
        <v>0</v>
      </c>
      <c r="J1106" s="2237"/>
      <c r="K1106" s="2411"/>
      <c r="L1106" s="2533">
        <f t="shared" si="244"/>
        <v>0</v>
      </c>
      <c r="M1106" s="2238">
        <v>0</v>
      </c>
      <c r="N1106" s="2239">
        <f t="shared" si="245"/>
        <v>0</v>
      </c>
      <c r="O1106" s="2498">
        <f t="shared" si="246"/>
        <v>2990</v>
      </c>
      <c r="P1106" s="2295">
        <f t="shared" si="236"/>
        <v>1</v>
      </c>
    </row>
    <row r="1107" spans="1:16" ht="45">
      <c r="A1107" s="2271" t="s">
        <v>13754</v>
      </c>
      <c r="B1107" s="2228" t="str">
        <f>VLOOKUP($A1107,'14 - QT_BES'!$A:$F,2,0)</f>
        <v>PS-CP-EST-14</v>
      </c>
      <c r="C1107" s="2228" t="str">
        <f>VLOOKUP($A1107,'14 - QT_BES'!$A:$F,3,0)</f>
        <v>PRÓPRIA</v>
      </c>
      <c r="D1107" s="2375" t="s">
        <v>15964</v>
      </c>
      <c r="E1107" s="2243" t="str">
        <f>IFERROR(VLOOKUP($B1107,'24.08_ND'!$1:$1048529,3,0),IFERROR(VLOOKUP($B1107,'03-CP'!$C$1:$H$6260,3,0),""))</f>
        <v>M3</v>
      </c>
      <c r="F1107" s="2230">
        <v>3.33</v>
      </c>
      <c r="G1107" s="2232">
        <v>1018.27</v>
      </c>
      <c r="H1107" s="2302">
        <f t="shared" si="242"/>
        <v>3390.83</v>
      </c>
      <c r="I1107" s="2328">
        <f t="shared" si="243"/>
        <v>0</v>
      </c>
      <c r="J1107" s="2237"/>
      <c r="K1107" s="2412"/>
      <c r="L1107" s="2533">
        <f t="shared" si="244"/>
        <v>0</v>
      </c>
      <c r="M1107" s="2238">
        <v>0</v>
      </c>
      <c r="N1107" s="2239">
        <f t="shared" si="245"/>
        <v>0</v>
      </c>
      <c r="O1107" s="2498">
        <f t="shared" si="246"/>
        <v>3390.83</v>
      </c>
      <c r="P1107" s="2295">
        <f t="shared" si="236"/>
        <v>1</v>
      </c>
    </row>
    <row r="1108" spans="1:16" ht="45">
      <c r="A1108" s="2271" t="s">
        <v>13755</v>
      </c>
      <c r="B1108" s="2234">
        <f>VLOOKUP($A1108,'14 - QT_BES'!$A:$F,2,0)</f>
        <v>87737</v>
      </c>
      <c r="C1108" s="2234" t="str">
        <f>VLOOKUP($A1108,'14 - QT_BES'!$A:$F,3,0)</f>
        <v>SINAPI</v>
      </c>
      <c r="D1108" s="2375" t="s">
        <v>11229</v>
      </c>
      <c r="E1108" s="2242" t="str">
        <f>IFERROR(VLOOKUP($B1108,'24.08_ND'!$1:$1048529,3,0),IFERROR(VLOOKUP($B1108,'03-CP'!$C$1:$H$6260,3,0),""))</f>
        <v>M2</v>
      </c>
      <c r="F1108" s="2230">
        <v>32.880000000000003</v>
      </c>
      <c r="G1108" s="2238">
        <v>53.35</v>
      </c>
      <c r="H1108" s="2302">
        <f t="shared" si="242"/>
        <v>1754.14</v>
      </c>
      <c r="I1108" s="2328">
        <f t="shared" si="243"/>
        <v>0</v>
      </c>
      <c r="J1108" s="2237"/>
      <c r="K1108" s="2411"/>
      <c r="L1108" s="2533">
        <f t="shared" si="244"/>
        <v>0</v>
      </c>
      <c r="M1108" s="2238">
        <v>0</v>
      </c>
      <c r="N1108" s="2239">
        <f t="shared" si="245"/>
        <v>0</v>
      </c>
      <c r="O1108" s="2498">
        <f t="shared" si="246"/>
        <v>1754.14</v>
      </c>
      <c r="P1108" s="2295">
        <f t="shared" si="236"/>
        <v>1</v>
      </c>
    </row>
    <row r="1109" spans="1:16" ht="30">
      <c r="A1109" s="2271" t="s">
        <v>13756</v>
      </c>
      <c r="B1109" s="2234">
        <f>VLOOKUP($A1109,'14 - QT_BES'!$A:$F,2,0)</f>
        <v>98554</v>
      </c>
      <c r="C1109" s="2234" t="str">
        <f>VLOOKUP($A1109,'14 - QT_BES'!$A:$F,3,0)</f>
        <v>SINAPI</v>
      </c>
      <c r="D1109" s="2375" t="s">
        <v>7740</v>
      </c>
      <c r="E1109" s="2242" t="str">
        <f>IFERROR(VLOOKUP($B1109,'24.08_ND'!$1:$1048529,3,0),IFERROR(VLOOKUP($B1109,'03-CP'!$C$1:$H$6260,3,0),""))</f>
        <v>M2</v>
      </c>
      <c r="F1109" s="2230">
        <v>32.880000000000003</v>
      </c>
      <c r="G1109" s="2238">
        <v>52.57</v>
      </c>
      <c r="H1109" s="2302">
        <f t="shared" si="242"/>
        <v>1728.5</v>
      </c>
      <c r="I1109" s="2328">
        <f t="shared" si="243"/>
        <v>0</v>
      </c>
      <c r="J1109" s="2237"/>
      <c r="K1109" s="2411"/>
      <c r="L1109" s="2533">
        <f t="shared" si="244"/>
        <v>0</v>
      </c>
      <c r="M1109" s="2238">
        <v>0</v>
      </c>
      <c r="N1109" s="2239">
        <f t="shared" si="245"/>
        <v>0</v>
      </c>
      <c r="O1109" s="2498">
        <f t="shared" si="246"/>
        <v>1728.5</v>
      </c>
      <c r="P1109" s="2295">
        <f t="shared" si="236"/>
        <v>1</v>
      </c>
    </row>
    <row r="1110" spans="1:16" ht="30">
      <c r="A1110" s="2271" t="s">
        <v>13757</v>
      </c>
      <c r="B1110" s="2234">
        <f>VLOOKUP($A1110,'14 - QT_BES'!$A:$F,2,0)</f>
        <v>98563</v>
      </c>
      <c r="C1110" s="2234" t="str">
        <f>VLOOKUP($A1110,'14 - QT_BES'!$A:$F,3,0)</f>
        <v>SINAPI</v>
      </c>
      <c r="D1110" s="2375" t="s">
        <v>7742</v>
      </c>
      <c r="E1110" s="2242" t="str">
        <f>IFERROR(VLOOKUP($B1110,'24.08_ND'!$1:$1048529,3,0),IFERROR(VLOOKUP($B1110,'03-CP'!$C$1:$H$6260,3,0),""))</f>
        <v>M2</v>
      </c>
      <c r="F1110" s="2230">
        <v>32.880000000000003</v>
      </c>
      <c r="G1110" s="2238">
        <v>43.02</v>
      </c>
      <c r="H1110" s="2302">
        <f t="shared" si="242"/>
        <v>1414.49</v>
      </c>
      <c r="I1110" s="2328">
        <f t="shared" si="243"/>
        <v>0</v>
      </c>
      <c r="J1110" s="2237"/>
      <c r="K1110" s="2411"/>
      <c r="L1110" s="2533">
        <f t="shared" si="244"/>
        <v>0</v>
      </c>
      <c r="M1110" s="2238">
        <v>0</v>
      </c>
      <c r="N1110" s="2239">
        <f t="shared" si="245"/>
        <v>0</v>
      </c>
      <c r="O1110" s="2498">
        <f t="shared" si="246"/>
        <v>1414.49</v>
      </c>
      <c r="P1110" s="2295">
        <f t="shared" si="236"/>
        <v>1</v>
      </c>
    </row>
    <row r="1111" spans="1:16">
      <c r="A1111" s="2273" t="s">
        <v>13758</v>
      </c>
      <c r="B1111" s="2395"/>
      <c r="C1111" s="2399"/>
      <c r="D1111" s="2376" t="s">
        <v>16488</v>
      </c>
      <c r="E1111" s="2356"/>
      <c r="F1111" s="2357"/>
      <c r="G1111" s="2358"/>
      <c r="H1111" s="2301">
        <f>SUBTOTAL(9,H1112:H1115)</f>
        <v>10897.5</v>
      </c>
      <c r="I1111" s="2359"/>
      <c r="J1111" s="2360"/>
      <c r="K1111" s="2549"/>
      <c r="L1111" s="2534">
        <f>SUBTOTAL(9,L1112:L1115)</f>
        <v>0</v>
      </c>
      <c r="M1111" s="2301">
        <f>SUBTOTAL(9,M1112:M1115)</f>
        <v>0</v>
      </c>
      <c r="N1111" s="2301">
        <f>SUBTOTAL(9,N1112:N1115)</f>
        <v>0</v>
      </c>
      <c r="O1111" s="2301">
        <f>SUBTOTAL(9,O1112:O1115)</f>
        <v>10897.5</v>
      </c>
      <c r="P1111" s="2295">
        <f t="shared" si="236"/>
        <v>1</v>
      </c>
    </row>
    <row r="1112" spans="1:16" ht="45">
      <c r="A1112" s="2271" t="s">
        <v>13759</v>
      </c>
      <c r="B1112" s="2234">
        <f>VLOOKUP($A1112,'14 - QT_BES'!$A:$F,2,0)</f>
        <v>92466</v>
      </c>
      <c r="C1112" s="2234" t="str">
        <f>VLOOKUP($A1112,'14 - QT_BES'!$A:$F,3,0)</f>
        <v>SINAPI</v>
      </c>
      <c r="D1112" s="2375" t="s">
        <v>7249</v>
      </c>
      <c r="E1112" s="2242" t="str">
        <f>IFERROR(VLOOKUP($B1112,'24.08_ND'!$1:$1048529,3,0),IFERROR(VLOOKUP($B1112,'03-CP'!$C$1:$H$6260,3,0),""))</f>
        <v>M2</v>
      </c>
      <c r="F1112" s="2230">
        <v>23.34</v>
      </c>
      <c r="G1112" s="2238">
        <v>362.46</v>
      </c>
      <c r="H1112" s="2302">
        <f>TRUNC((G1112*F1112),2)</f>
        <v>8459.81</v>
      </c>
      <c r="I1112" s="2328">
        <f>J1112+K1112</f>
        <v>0</v>
      </c>
      <c r="J1112" s="2237"/>
      <c r="K1112" s="2411"/>
      <c r="L1112" s="2533">
        <f>M1112+N1112</f>
        <v>0</v>
      </c>
      <c r="M1112" s="2238">
        <v>0</v>
      </c>
      <c r="N1112" s="2239">
        <f>TRUNC(H1112*K1112,2)</f>
        <v>0</v>
      </c>
      <c r="O1112" s="2498">
        <f>H1112-L1112</f>
        <v>8459.81</v>
      </c>
      <c r="P1112" s="2295">
        <f t="shared" si="236"/>
        <v>1</v>
      </c>
    </row>
    <row r="1113" spans="1:16" ht="30">
      <c r="A1113" s="2271" t="s">
        <v>13760</v>
      </c>
      <c r="B1113" s="2234">
        <f>VLOOKUP($A1113,'14 - QT_BES'!$A:$F,2,0)</f>
        <v>92759</v>
      </c>
      <c r="C1113" s="2234" t="str">
        <f>VLOOKUP($A1113,'14 - QT_BES'!$A:$F,3,0)</f>
        <v>SINAPI</v>
      </c>
      <c r="D1113" s="2375" t="s">
        <v>7428</v>
      </c>
      <c r="E1113" s="2242" t="str">
        <f>IFERROR(VLOOKUP($B1113,'24.08_ND'!$1:$1048529,3,0),IFERROR(VLOOKUP($B1113,'03-CP'!$C$1:$H$6260,3,0),""))</f>
        <v>KG</v>
      </c>
      <c r="F1113" s="2230">
        <v>20.399999999999999</v>
      </c>
      <c r="G1113" s="2238">
        <v>17.100000000000001</v>
      </c>
      <c r="H1113" s="2302">
        <f>TRUNC((G1113*F1113),2)</f>
        <v>348.84</v>
      </c>
      <c r="I1113" s="2328">
        <f>J1113+K1113</f>
        <v>0</v>
      </c>
      <c r="J1113" s="2237"/>
      <c r="K1113" s="2411"/>
      <c r="L1113" s="2533">
        <f>M1113+N1113</f>
        <v>0</v>
      </c>
      <c r="M1113" s="2238">
        <v>0</v>
      </c>
      <c r="N1113" s="2239">
        <f>TRUNC(H1113*K1113,2)</f>
        <v>0</v>
      </c>
      <c r="O1113" s="2498">
        <f>H1113-L1113</f>
        <v>348.84</v>
      </c>
      <c r="P1113" s="2295">
        <f t="shared" si="236"/>
        <v>1</v>
      </c>
    </row>
    <row r="1114" spans="1:16" ht="30">
      <c r="A1114" s="2271" t="s">
        <v>13761</v>
      </c>
      <c r="B1114" s="2234">
        <f>VLOOKUP($A1114,'14 - QT_BES'!$A:$F,2,0)</f>
        <v>92761</v>
      </c>
      <c r="C1114" s="2234" t="str">
        <f>VLOOKUP($A1114,'14 - QT_BES'!$A:$F,3,0)</f>
        <v>SINAPI</v>
      </c>
      <c r="D1114" s="2375" t="s">
        <v>7430</v>
      </c>
      <c r="E1114" s="2242" t="str">
        <f>IFERROR(VLOOKUP($B1114,'24.08_ND'!$1:$1048529,3,0),IFERROR(VLOOKUP($B1114,'03-CP'!$C$1:$H$6260,3,0),""))</f>
        <v>KG</v>
      </c>
      <c r="F1114" s="2230">
        <v>43.6</v>
      </c>
      <c r="G1114" s="2238">
        <v>15.68</v>
      </c>
      <c r="H1114" s="2302">
        <f>TRUNC((G1114*F1114),2)</f>
        <v>683.64</v>
      </c>
      <c r="I1114" s="2328">
        <f>J1114+K1114</f>
        <v>0</v>
      </c>
      <c r="J1114" s="2237"/>
      <c r="K1114" s="2411"/>
      <c r="L1114" s="2533">
        <f>M1114+N1114</f>
        <v>0</v>
      </c>
      <c r="M1114" s="2238">
        <v>0</v>
      </c>
      <c r="N1114" s="2239">
        <f>TRUNC(H1114*K1114,2)</f>
        <v>0</v>
      </c>
      <c r="O1114" s="2498">
        <f>H1114-L1114</f>
        <v>683.64</v>
      </c>
      <c r="P1114" s="2295">
        <f t="shared" si="236"/>
        <v>1</v>
      </c>
    </row>
    <row r="1115" spans="1:16" ht="45">
      <c r="A1115" s="2271" t="s">
        <v>13762</v>
      </c>
      <c r="B1115" s="2228" t="str">
        <f>VLOOKUP($A1115,'14 - QT_BES'!$A:$F,2,0)</f>
        <v>PS-CP-EST-14</v>
      </c>
      <c r="C1115" s="2228" t="str">
        <f>VLOOKUP($A1115,'14 - QT_BES'!$A:$F,3,0)</f>
        <v>PRÓPRIA</v>
      </c>
      <c r="D1115" s="2375" t="s">
        <v>15964</v>
      </c>
      <c r="E1115" s="2243" t="str">
        <f>IFERROR(VLOOKUP($B1115,'24.08_ND'!$1:$1048529,3,0),IFERROR(VLOOKUP($B1115,'03-CP'!$C$1:$H$6260,3,0),""))</f>
        <v>M3</v>
      </c>
      <c r="F1115" s="2230">
        <v>1.38</v>
      </c>
      <c r="G1115" s="2232">
        <v>1018.27</v>
      </c>
      <c r="H1115" s="2302">
        <f>TRUNC((G1115*F1115),2)</f>
        <v>1405.21</v>
      </c>
      <c r="I1115" s="2328">
        <f>J1115+K1115</f>
        <v>0</v>
      </c>
      <c r="J1115" s="2237"/>
      <c r="K1115" s="2412"/>
      <c r="L1115" s="2533">
        <f>M1115+N1115</f>
        <v>0</v>
      </c>
      <c r="M1115" s="2238">
        <v>0</v>
      </c>
      <c r="N1115" s="2239">
        <f>TRUNC(H1115*K1115,2)</f>
        <v>0</v>
      </c>
      <c r="O1115" s="2498">
        <f>H1115-L1115</f>
        <v>1405.21</v>
      </c>
      <c r="P1115" s="2295">
        <f t="shared" si="236"/>
        <v>1</v>
      </c>
    </row>
    <row r="1116" spans="1:16">
      <c r="A1116" s="2273" t="s">
        <v>13763</v>
      </c>
      <c r="B1116" s="2395"/>
      <c r="C1116" s="2399"/>
      <c r="D1116" s="2376" t="s">
        <v>16489</v>
      </c>
      <c r="E1116" s="2356"/>
      <c r="F1116" s="2357"/>
      <c r="G1116" s="2358"/>
      <c r="H1116" s="2301">
        <f>SUBTOTAL(9,H1117)</f>
        <v>185.65</v>
      </c>
      <c r="I1116" s="2359"/>
      <c r="J1116" s="2360"/>
      <c r="K1116" s="2549"/>
      <c r="L1116" s="2534">
        <f>SUBTOTAL(9,L1117)</f>
        <v>0</v>
      </c>
      <c r="M1116" s="2301">
        <f>SUBTOTAL(9,M1117)</f>
        <v>0</v>
      </c>
      <c r="N1116" s="2301">
        <f>SUBTOTAL(9,N1117)</f>
        <v>0</v>
      </c>
      <c r="O1116" s="2301">
        <f>SUBTOTAL(9,O1117)</f>
        <v>185.65</v>
      </c>
      <c r="P1116" s="2295">
        <f t="shared" si="236"/>
        <v>1</v>
      </c>
    </row>
    <row r="1117" spans="1:16" ht="44.25" customHeight="1">
      <c r="A1117" s="2271" t="s">
        <v>13764</v>
      </c>
      <c r="B1117" s="2228" t="str">
        <f>VLOOKUP($A1117,'14 - QT_BES'!$A:$F,2,0)</f>
        <v>PS-CP-EST-06</v>
      </c>
      <c r="C1117" s="2228" t="str">
        <f>VLOOKUP($A1117,'14 - QT_BES'!$A:$F,3,0)</f>
        <v>PRÓPRIA</v>
      </c>
      <c r="D1117" s="2375" t="s">
        <v>14597</v>
      </c>
      <c r="E1117" s="2243" t="str">
        <f>IFERROR(VLOOKUP($B1117,'24.08_ND'!$1:$1048529,3,0),IFERROR(VLOOKUP($B1117,'03-CP'!$C$1:$H$6260,3,0),""))</f>
        <v>M3</v>
      </c>
      <c r="F1117" s="2230">
        <v>25.19</v>
      </c>
      <c r="G1117" s="2232">
        <v>7.37</v>
      </c>
      <c r="H1117" s="2302">
        <f>TRUNC((G1117*F1117),2)</f>
        <v>185.65</v>
      </c>
      <c r="I1117" s="2328">
        <f>J1117+K1117</f>
        <v>0</v>
      </c>
      <c r="J1117" s="2237"/>
      <c r="K1117" s="2412"/>
      <c r="L1117" s="2533">
        <f>M1117+N1117</f>
        <v>0</v>
      </c>
      <c r="M1117" s="2238">
        <v>0</v>
      </c>
      <c r="N1117" s="2239">
        <f>TRUNC(H1117*K1117,2)</f>
        <v>0</v>
      </c>
      <c r="O1117" s="2498">
        <f>H1117-L1117</f>
        <v>185.65</v>
      </c>
      <c r="P1117" s="2295">
        <f t="shared" si="236"/>
        <v>1</v>
      </c>
    </row>
    <row r="1118" spans="1:16">
      <c r="A1118" s="2273" t="s">
        <v>13765</v>
      </c>
      <c r="B1118" s="2395"/>
      <c r="C1118" s="2399"/>
      <c r="D1118" s="2376" t="s">
        <v>12504</v>
      </c>
      <c r="E1118" s="2356"/>
      <c r="F1118" s="2357"/>
      <c r="G1118" s="2358"/>
      <c r="H1118" s="2301">
        <f>SUBTOTAL(9,H1119)</f>
        <v>117710.66</v>
      </c>
      <c r="I1118" s="2359"/>
      <c r="J1118" s="2360"/>
      <c r="K1118" s="2549"/>
      <c r="L1118" s="2534">
        <f>SUBTOTAL(9,L1119)</f>
        <v>0</v>
      </c>
      <c r="M1118" s="2301">
        <f>SUBTOTAL(9,M1119)</f>
        <v>0</v>
      </c>
      <c r="N1118" s="2301">
        <f>SUBTOTAL(9,N1119)</f>
        <v>0</v>
      </c>
      <c r="O1118" s="2301">
        <f>SUBTOTAL(9,O1119)</f>
        <v>117710.66</v>
      </c>
      <c r="P1118" s="2295">
        <f t="shared" si="236"/>
        <v>1</v>
      </c>
    </row>
    <row r="1119" spans="1:16" ht="60">
      <c r="A1119" s="2271" t="s">
        <v>13766</v>
      </c>
      <c r="B1119" s="2228" t="str">
        <f>VLOOKUP($A1119,'14 - QT_BES'!$A:$F,2,0)</f>
        <v>PS-CP-EST-22</v>
      </c>
      <c r="C1119" s="2228" t="str">
        <f>VLOOKUP($A1119,'14 - QT_BES'!$A:$F,3,0)</f>
        <v>PRÓPRIA</v>
      </c>
      <c r="D1119" s="2375" t="s">
        <v>14684</v>
      </c>
      <c r="E1119" s="2243" t="str">
        <f>IFERROR(VLOOKUP($B1119,'24.08_ND'!$1:$1048529,3,0),IFERROR(VLOOKUP($B1119,'03-CP'!$C$1:$H$6260,3,0),""))</f>
        <v>KG</v>
      </c>
      <c r="F1119" s="2230">
        <v>4384.01</v>
      </c>
      <c r="G1119" s="2232">
        <v>26.85</v>
      </c>
      <c r="H1119" s="2302">
        <f>TRUNC((G1119*F1119),2)</f>
        <v>117710.66</v>
      </c>
      <c r="I1119" s="2328">
        <f>J1119+K1119</f>
        <v>0</v>
      </c>
      <c r="J1119" s="2237"/>
      <c r="K1119" s="2412"/>
      <c r="L1119" s="2533">
        <f>M1119+N1119</f>
        <v>0</v>
      </c>
      <c r="M1119" s="2238">
        <v>0</v>
      </c>
      <c r="N1119" s="2239">
        <f>TRUNC(H1119*K1119,2)</f>
        <v>0</v>
      </c>
      <c r="O1119" s="2498">
        <f>H1119-L1119</f>
        <v>117710.66</v>
      </c>
      <c r="P1119" s="2295">
        <f t="shared" si="236"/>
        <v>1</v>
      </c>
    </row>
    <row r="1120" spans="1:16">
      <c r="A1120" s="2267" t="s">
        <v>12643</v>
      </c>
      <c r="B1120" s="2394"/>
      <c r="C1120" s="2398"/>
      <c r="D1120" s="2377" t="s">
        <v>12486</v>
      </c>
      <c r="E1120" s="2353"/>
      <c r="F1120" s="2354"/>
      <c r="G1120" s="2355"/>
      <c r="H1120" s="2300">
        <f>SUBTOTAL(9,H1121:H1193)</f>
        <v>603736.82999999996</v>
      </c>
      <c r="I1120" s="2283"/>
      <c r="J1120" s="2221"/>
      <c r="K1120" s="2492"/>
      <c r="L1120" s="2532">
        <f>SUBTOTAL(9,L1121:L1193)</f>
        <v>0</v>
      </c>
      <c r="M1120" s="2300">
        <f>SUBTOTAL(9,M1121:M1193)</f>
        <v>0</v>
      </c>
      <c r="N1120" s="2300">
        <f>SUBTOTAL(9,N1121:N1193)</f>
        <v>0</v>
      </c>
      <c r="O1120" s="2300">
        <f>SUBTOTAL(9,O1121:O1193)</f>
        <v>603736.82999999996</v>
      </c>
      <c r="P1120" s="2295">
        <f t="shared" si="236"/>
        <v>1</v>
      </c>
    </row>
    <row r="1121" spans="1:16">
      <c r="A1121" s="2342" t="s">
        <v>13767</v>
      </c>
      <c r="B1121" s="2395"/>
      <c r="C1121" s="2399"/>
      <c r="D1121" s="2376" t="s">
        <v>16227</v>
      </c>
      <c r="E1121" s="2356"/>
      <c r="F1121" s="2357"/>
      <c r="G1121" s="2358"/>
      <c r="H1121" s="2301">
        <f>SUBTOTAL(9,H1122:H1125)</f>
        <v>39101.140000000007</v>
      </c>
      <c r="I1121" s="2359"/>
      <c r="J1121" s="2360"/>
      <c r="K1121" s="2549"/>
      <c r="L1121" s="2534">
        <f>SUBTOTAL(9,L1122:L1125)</f>
        <v>0</v>
      </c>
      <c r="M1121" s="2301">
        <f>SUBTOTAL(9,M1122:M1125)</f>
        <v>0</v>
      </c>
      <c r="N1121" s="2301">
        <f>SUBTOTAL(9,N1122:N1125)</f>
        <v>0</v>
      </c>
      <c r="O1121" s="2301">
        <f>SUBTOTAL(9,O1122:O1125)</f>
        <v>39101.140000000007</v>
      </c>
      <c r="P1121" s="2295">
        <f t="shared" si="236"/>
        <v>1</v>
      </c>
    </row>
    <row r="1122" spans="1:16" ht="45">
      <c r="A1122" s="2272" t="s">
        <v>13768</v>
      </c>
      <c r="B1122" s="2234">
        <f>VLOOKUP($A1122,'14 - QT_BES'!$A:$F,2,0)</f>
        <v>103324</v>
      </c>
      <c r="C1122" s="2234" t="str">
        <f>VLOOKUP($A1122,'14 - QT_BES'!$A:$F,3,0)</f>
        <v>SINAPI</v>
      </c>
      <c r="D1122" s="2375" t="s">
        <v>10760</v>
      </c>
      <c r="E1122" s="2242" t="str">
        <f>IFERROR(VLOOKUP($B1122,'24.08_ND'!$1:$1048529,3,0),IFERROR(VLOOKUP($B1122,'03-CP'!$C$1:$H$6260,3,0),""))</f>
        <v>M2</v>
      </c>
      <c r="F1122" s="2230">
        <v>353.60600000000005</v>
      </c>
      <c r="G1122" s="2238">
        <v>100.3</v>
      </c>
      <c r="H1122" s="2302">
        <f>TRUNC((G1122*F1122),2)</f>
        <v>35466.68</v>
      </c>
      <c r="I1122" s="2328">
        <f>J1122+K1122</f>
        <v>0</v>
      </c>
      <c r="J1122" s="2237"/>
      <c r="K1122" s="2411"/>
      <c r="L1122" s="2533">
        <f>M1122+N1122</f>
        <v>0</v>
      </c>
      <c r="M1122" s="2238">
        <v>0</v>
      </c>
      <c r="N1122" s="2239">
        <f>TRUNC(H1122*K1122,2)</f>
        <v>0</v>
      </c>
      <c r="O1122" s="2498">
        <f>H1122-L1122</f>
        <v>35466.68</v>
      </c>
      <c r="P1122" s="2295">
        <f t="shared" si="236"/>
        <v>1</v>
      </c>
    </row>
    <row r="1123" spans="1:16" ht="30">
      <c r="A1123" s="2272" t="s">
        <v>13769</v>
      </c>
      <c r="B1123" s="2234">
        <f>VLOOKUP($A1123,'14 - QT_BES'!$A:$F,2,0)</f>
        <v>93203</v>
      </c>
      <c r="C1123" s="2234" t="str">
        <f>VLOOKUP($A1123,'14 - QT_BES'!$A:$F,3,0)</f>
        <v>SINAPI</v>
      </c>
      <c r="D1123" s="2375" t="s">
        <v>7614</v>
      </c>
      <c r="E1123" s="2242" t="str">
        <f>IFERROR(VLOOKUP($B1123,'24.08_ND'!$1:$1048529,3,0),IFERROR(VLOOKUP($B1123,'03-CP'!$C$1:$H$6260,3,0),""))</f>
        <v>M</v>
      </c>
      <c r="F1123" s="2230">
        <v>82.88</v>
      </c>
      <c r="G1123" s="2238">
        <v>15.62</v>
      </c>
      <c r="H1123" s="2302">
        <f>TRUNC((G1123*F1123),2)</f>
        <v>1294.58</v>
      </c>
      <c r="I1123" s="2328">
        <f>J1123+K1123</f>
        <v>0</v>
      </c>
      <c r="J1123" s="2237"/>
      <c r="K1123" s="2411"/>
      <c r="L1123" s="2533">
        <f>M1123+N1123</f>
        <v>0</v>
      </c>
      <c r="M1123" s="2238">
        <v>0</v>
      </c>
      <c r="N1123" s="2239">
        <f>TRUNC(H1123*K1123,2)</f>
        <v>0</v>
      </c>
      <c r="O1123" s="2498">
        <f>H1123-L1123</f>
        <v>1294.58</v>
      </c>
      <c r="P1123" s="2295">
        <f t="shared" si="236"/>
        <v>1</v>
      </c>
    </row>
    <row r="1124" spans="1:16" ht="30">
      <c r="A1124" s="2272" t="s">
        <v>13770</v>
      </c>
      <c r="B1124" s="2234">
        <f>VLOOKUP($A1124,'14 - QT_BES'!$A:$F,2,0)</f>
        <v>105035</v>
      </c>
      <c r="C1124" s="2234" t="str">
        <f>VLOOKUP($A1124,'14 - QT_BES'!$A:$F,3,0)</f>
        <v>SINAPI</v>
      </c>
      <c r="D1124" s="2375" t="s">
        <v>7630</v>
      </c>
      <c r="E1124" s="2242" t="str">
        <f>IFERROR(VLOOKUP($B1124,'24.08_ND'!$1:$1048529,3,0),IFERROR(VLOOKUP($B1124,'03-CP'!$C$1:$H$6260,3,0),""))</f>
        <v>M</v>
      </c>
      <c r="F1124" s="2230">
        <v>16.400000000000002</v>
      </c>
      <c r="G1124" s="2238">
        <v>73.91</v>
      </c>
      <c r="H1124" s="2302">
        <f>TRUNC((G1124*F1124),2)</f>
        <v>1212.1199999999999</v>
      </c>
      <c r="I1124" s="2328">
        <f>J1124+K1124</f>
        <v>0</v>
      </c>
      <c r="J1124" s="2237"/>
      <c r="K1124" s="2411"/>
      <c r="L1124" s="2533">
        <f>M1124+N1124</f>
        <v>0</v>
      </c>
      <c r="M1124" s="2238">
        <v>0</v>
      </c>
      <c r="N1124" s="2239">
        <f>TRUNC(H1124*K1124,2)</f>
        <v>0</v>
      </c>
      <c r="O1124" s="2498">
        <f>H1124-L1124</f>
        <v>1212.1199999999999</v>
      </c>
      <c r="P1124" s="2295">
        <f t="shared" si="236"/>
        <v>1</v>
      </c>
    </row>
    <row r="1125" spans="1:16">
      <c r="A1125" s="2272" t="s">
        <v>13771</v>
      </c>
      <c r="B1125" s="2234">
        <f>VLOOKUP($A1125,'14 - QT_BES'!$A:$F,2,0)</f>
        <v>105038</v>
      </c>
      <c r="C1125" s="2234" t="str">
        <f>VLOOKUP($A1125,'14 - QT_BES'!$A:$F,3,0)</f>
        <v>SINAPI</v>
      </c>
      <c r="D1125" s="2375" t="s">
        <v>7633</v>
      </c>
      <c r="E1125" s="2242" t="str">
        <f>IFERROR(VLOOKUP($B1125,'24.08_ND'!$1:$1048529,3,0),IFERROR(VLOOKUP($B1125,'03-CP'!$C$1:$H$6260,3,0),""))</f>
        <v>M</v>
      </c>
      <c r="F1125" s="2230">
        <v>15.299999999999999</v>
      </c>
      <c r="G1125" s="2238">
        <v>73.709999999999994</v>
      </c>
      <c r="H1125" s="2302">
        <f>TRUNC((G1125*F1125),2)</f>
        <v>1127.76</v>
      </c>
      <c r="I1125" s="2328">
        <f>J1125+K1125</f>
        <v>0</v>
      </c>
      <c r="J1125" s="2237"/>
      <c r="K1125" s="2411"/>
      <c r="L1125" s="2533">
        <f>M1125+N1125</f>
        <v>0</v>
      </c>
      <c r="M1125" s="2238">
        <v>0</v>
      </c>
      <c r="N1125" s="2239">
        <f>TRUNC(H1125*K1125,2)</f>
        <v>0</v>
      </c>
      <c r="O1125" s="2498">
        <f>H1125-L1125</f>
        <v>1127.76</v>
      </c>
      <c r="P1125" s="2295">
        <f t="shared" si="236"/>
        <v>1</v>
      </c>
    </row>
    <row r="1126" spans="1:16">
      <c r="A1126" s="2342" t="s">
        <v>13772</v>
      </c>
      <c r="B1126" s="2395"/>
      <c r="C1126" s="2399"/>
      <c r="D1126" s="2376" t="s">
        <v>16251</v>
      </c>
      <c r="E1126" s="2356"/>
      <c r="F1126" s="2357"/>
      <c r="G1126" s="2358"/>
      <c r="H1126" s="2301">
        <f>SUBTOTAL(9,H1127:H1129)</f>
        <v>41608.270000000004</v>
      </c>
      <c r="I1126" s="2359"/>
      <c r="J1126" s="2360"/>
      <c r="K1126" s="2549"/>
      <c r="L1126" s="2534">
        <f>SUBTOTAL(9,L1127:L1129)</f>
        <v>0</v>
      </c>
      <c r="M1126" s="2301">
        <f>SUBTOTAL(9,M1127:M1129)</f>
        <v>0</v>
      </c>
      <c r="N1126" s="2301">
        <f>SUBTOTAL(9,N1127:N1129)</f>
        <v>0</v>
      </c>
      <c r="O1126" s="2301">
        <f>SUBTOTAL(9,O1127:O1129)</f>
        <v>41608.270000000004</v>
      </c>
      <c r="P1126" s="2295">
        <f t="shared" si="236"/>
        <v>1</v>
      </c>
    </row>
    <row r="1127" spans="1:16" ht="45">
      <c r="A1127" s="2269" t="s">
        <v>13773</v>
      </c>
      <c r="B1127" s="2234">
        <f>VLOOKUP($A1127,'14 - QT_BES'!$A:$F,2,0)</f>
        <v>87879</v>
      </c>
      <c r="C1127" s="2234" t="str">
        <f>VLOOKUP($A1127,'14 - QT_BES'!$A:$F,3,0)</f>
        <v>SINAPI</v>
      </c>
      <c r="D1127" s="2375" t="s">
        <v>11265</v>
      </c>
      <c r="E1127" s="2242" t="str">
        <f>IFERROR(VLOOKUP($B1127,'24.08_ND'!$1:$1048529,3,0),IFERROR(VLOOKUP($B1127,'03-CP'!$C$1:$H$6260,3,0),""))</f>
        <v>M2</v>
      </c>
      <c r="F1127" s="2230">
        <v>601.61999999999989</v>
      </c>
      <c r="G1127" s="2238">
        <v>4.93</v>
      </c>
      <c r="H1127" s="2302">
        <f>TRUNC((G1127*F1127),2)</f>
        <v>2965.98</v>
      </c>
      <c r="I1127" s="2328">
        <f>J1127+K1127</f>
        <v>0</v>
      </c>
      <c r="J1127" s="2237"/>
      <c r="K1127" s="2411"/>
      <c r="L1127" s="2533">
        <f>M1127+N1127</f>
        <v>0</v>
      </c>
      <c r="M1127" s="2238">
        <v>0</v>
      </c>
      <c r="N1127" s="2239">
        <f>TRUNC(H1127*K1127,2)</f>
        <v>0</v>
      </c>
      <c r="O1127" s="2498">
        <f>H1127-L1127</f>
        <v>2965.98</v>
      </c>
      <c r="P1127" s="2295">
        <f t="shared" si="236"/>
        <v>1</v>
      </c>
    </row>
    <row r="1128" spans="1:16" ht="45">
      <c r="A1128" s="2269" t="s">
        <v>13774</v>
      </c>
      <c r="B1128" s="2234">
        <f>VLOOKUP($A1128,'14 - QT_BES'!$A:$F,2,0)</f>
        <v>87775</v>
      </c>
      <c r="C1128" s="2234" t="str">
        <f>VLOOKUP($A1128,'14 - QT_BES'!$A:$F,3,0)</f>
        <v>SINAPI</v>
      </c>
      <c r="D1128" s="2375" t="s">
        <v>11326</v>
      </c>
      <c r="E1128" s="2242" t="str">
        <f>IFERROR(VLOOKUP($B1128,'24.08_ND'!$1:$1048529,3,0),IFERROR(VLOOKUP($B1128,'03-CP'!$C$1:$H$6260,3,0),""))</f>
        <v>M2</v>
      </c>
      <c r="F1128" s="2230">
        <v>601.61999999999989</v>
      </c>
      <c r="G1128" s="2238">
        <v>59.35</v>
      </c>
      <c r="H1128" s="2302">
        <f>TRUNC((G1128*F1128),2)</f>
        <v>35706.14</v>
      </c>
      <c r="I1128" s="2328">
        <f>J1128+K1128</f>
        <v>0</v>
      </c>
      <c r="J1128" s="2237"/>
      <c r="K1128" s="2411"/>
      <c r="L1128" s="2533">
        <f>M1128+N1128</f>
        <v>0</v>
      </c>
      <c r="M1128" s="2238">
        <v>0</v>
      </c>
      <c r="N1128" s="2239">
        <f>TRUNC(H1128*K1128,2)</f>
        <v>0</v>
      </c>
      <c r="O1128" s="2498">
        <f>H1128-L1128</f>
        <v>35706.14</v>
      </c>
      <c r="P1128" s="2295">
        <f t="shared" si="236"/>
        <v>1</v>
      </c>
    </row>
    <row r="1129" spans="1:16" ht="30">
      <c r="A1129" s="2269" t="s">
        <v>13775</v>
      </c>
      <c r="B1129" s="2234">
        <f>VLOOKUP($A1129,'14 - QT_BES'!$A:$F,2,0)</f>
        <v>98555</v>
      </c>
      <c r="C1129" s="2234" t="str">
        <f>VLOOKUP($A1129,'14 - QT_BES'!$A:$F,3,0)</f>
        <v>SINAPI</v>
      </c>
      <c r="D1129" s="2375" t="s">
        <v>7733</v>
      </c>
      <c r="E1129" s="2242" t="str">
        <f>IFERROR(VLOOKUP($B1129,'24.08_ND'!$1:$1048529,3,0),IFERROR(VLOOKUP($B1129,'03-CP'!$C$1:$H$6260,3,0),""))</f>
        <v>M2</v>
      </c>
      <c r="F1129" s="2230">
        <v>88.12</v>
      </c>
      <c r="G1129" s="2238">
        <v>33.32</v>
      </c>
      <c r="H1129" s="2302">
        <f>TRUNC((G1129*F1129),2)</f>
        <v>2936.15</v>
      </c>
      <c r="I1129" s="2328">
        <f>J1129+K1129</f>
        <v>0</v>
      </c>
      <c r="J1129" s="2237"/>
      <c r="K1129" s="2411"/>
      <c r="L1129" s="2533">
        <f>M1129+N1129</f>
        <v>0</v>
      </c>
      <c r="M1129" s="2238">
        <v>0</v>
      </c>
      <c r="N1129" s="2239">
        <f>TRUNC(H1129*K1129,2)</f>
        <v>0</v>
      </c>
      <c r="O1129" s="2498">
        <f>H1129-L1129</f>
        <v>2936.15</v>
      </c>
      <c r="P1129" s="2295">
        <f t="shared" si="236"/>
        <v>1</v>
      </c>
    </row>
    <row r="1130" spans="1:16">
      <c r="A1130" s="2342" t="s">
        <v>13776</v>
      </c>
      <c r="B1130" s="2395"/>
      <c r="C1130" s="2399"/>
      <c r="D1130" s="2376" t="s">
        <v>16256</v>
      </c>
      <c r="E1130" s="2356"/>
      <c r="F1130" s="2357"/>
      <c r="G1130" s="2358"/>
      <c r="H1130" s="2301">
        <f>SUBTOTAL(9,H1131:H1133)</f>
        <v>125809.15</v>
      </c>
      <c r="I1130" s="2359"/>
      <c r="J1130" s="2360"/>
      <c r="K1130" s="2549"/>
      <c r="L1130" s="2534">
        <f>SUBTOTAL(9,L1131:L1133)</f>
        <v>0</v>
      </c>
      <c r="M1130" s="2301">
        <f>SUBTOTAL(9,M1131:M1133)</f>
        <v>0</v>
      </c>
      <c r="N1130" s="2301">
        <f>SUBTOTAL(9,N1131:N1133)</f>
        <v>0</v>
      </c>
      <c r="O1130" s="2301">
        <f>SUBTOTAL(9,O1131:O1133)</f>
        <v>125809.15</v>
      </c>
      <c r="P1130" s="2295">
        <f t="shared" si="236"/>
        <v>1</v>
      </c>
    </row>
    <row r="1131" spans="1:16" ht="45">
      <c r="A1131" s="2269" t="s">
        <v>13777</v>
      </c>
      <c r="B1131" s="2228" t="str">
        <f>VLOOKUP($A1131,'14 - QT_BES'!$A:$F,2,0)</f>
        <v>PS-CP-92</v>
      </c>
      <c r="C1131" s="2228" t="str">
        <f>VLOOKUP($A1131,'14 - QT_BES'!$A:$F,3,0)</f>
        <v>PRÓPRIA</v>
      </c>
      <c r="D1131" s="2375" t="s">
        <v>14961</v>
      </c>
      <c r="E1131" s="2243" t="str">
        <f>IFERROR(VLOOKUP($B1131,'24.08_ND'!$1:$1048529,3,0),IFERROR(VLOOKUP($B1131,'03-CP'!$C$1:$H$6260,3,0),""))</f>
        <v>M2</v>
      </c>
      <c r="F1131" s="2230">
        <v>244.67000000000007</v>
      </c>
      <c r="G1131" s="2232">
        <v>326.25</v>
      </c>
      <c r="H1131" s="2302">
        <f>TRUNC((G1131*F1131),2)</f>
        <v>79823.58</v>
      </c>
      <c r="I1131" s="2287"/>
      <c r="J1131" s="2231"/>
      <c r="K1131" s="2412"/>
      <c r="L1131" s="2536"/>
      <c r="M1131" s="2232"/>
      <c r="N1131" s="2239"/>
      <c r="O1131" s="2498">
        <f>H1131-L1131</f>
        <v>79823.58</v>
      </c>
      <c r="P1131" s="2295">
        <f t="shared" si="236"/>
        <v>1</v>
      </c>
    </row>
    <row r="1132" spans="1:16" ht="30">
      <c r="A1132" s="2269" t="s">
        <v>13778</v>
      </c>
      <c r="B1132" s="2228" t="str">
        <f>VLOOKUP($A1132,'14 - QT_BES'!$A:$F,2,0)</f>
        <v>PS-CP-22</v>
      </c>
      <c r="C1132" s="2228" t="str">
        <f>VLOOKUP($A1132,'14 - QT_BES'!$A:$F,3,0)</f>
        <v>PRÓPRIA</v>
      </c>
      <c r="D1132" s="2375" t="s">
        <v>14781</v>
      </c>
      <c r="E1132" s="2243" t="str">
        <f>IFERROR(VLOOKUP($B1132,'24.08_ND'!$1:$1048529,3,0),IFERROR(VLOOKUP($B1132,'03-CP'!$C$1:$H$6260,3,0),""))</f>
        <v>M</v>
      </c>
      <c r="F1132" s="2230">
        <v>34.940000000000005</v>
      </c>
      <c r="G1132" s="2232">
        <v>132.61000000000001</v>
      </c>
      <c r="H1132" s="2302">
        <f>TRUNC((G1132*F1132),2)</f>
        <v>4633.3900000000003</v>
      </c>
      <c r="I1132" s="2287"/>
      <c r="J1132" s="2231"/>
      <c r="K1132" s="2412"/>
      <c r="L1132" s="2536"/>
      <c r="M1132" s="2232"/>
      <c r="N1132" s="2239"/>
      <c r="O1132" s="2498">
        <f>H1132-L1132</f>
        <v>4633.3900000000003</v>
      </c>
      <c r="P1132" s="2295">
        <f t="shared" si="236"/>
        <v>1</v>
      </c>
    </row>
    <row r="1133" spans="1:16" ht="45">
      <c r="A1133" s="2269" t="s">
        <v>13779</v>
      </c>
      <c r="B1133" s="2228" t="str">
        <f>VLOOKUP($A1133,'14 - QT_BES'!$A:$F,2,0)</f>
        <v>PS-CP-08</v>
      </c>
      <c r="C1133" s="2228" t="str">
        <f>VLOOKUP($A1133,'14 - QT_BES'!$A:$F,3,0)</f>
        <v>PRÓPRIA</v>
      </c>
      <c r="D1133" s="2375" t="s">
        <v>14747</v>
      </c>
      <c r="E1133" s="2243" t="str">
        <f>IFERROR(VLOOKUP($B1133,'24.08_ND'!$1:$1048529,3,0),IFERROR(VLOOKUP($B1133,'03-CP'!$C$1:$H$6260,3,0),""))</f>
        <v>M2</v>
      </c>
      <c r="F1133" s="2230">
        <v>126.75</v>
      </c>
      <c r="G1133" s="2232">
        <v>326.25</v>
      </c>
      <c r="H1133" s="2302">
        <f>TRUNC((G1133*F1133),2)</f>
        <v>41352.18</v>
      </c>
      <c r="I1133" s="2287"/>
      <c r="J1133" s="2231"/>
      <c r="K1133" s="2412"/>
      <c r="L1133" s="2536"/>
      <c r="M1133" s="2232"/>
      <c r="N1133" s="2239"/>
      <c r="O1133" s="2498">
        <f>H1133-L1133</f>
        <v>41352.18</v>
      </c>
      <c r="P1133" s="2295">
        <f t="shared" si="236"/>
        <v>1</v>
      </c>
    </row>
    <row r="1134" spans="1:16">
      <c r="A1134" s="2342" t="s">
        <v>13780</v>
      </c>
      <c r="B1134" s="2395"/>
      <c r="C1134" s="2399"/>
      <c r="D1134" s="2376" t="s">
        <v>16267</v>
      </c>
      <c r="E1134" s="2356"/>
      <c r="F1134" s="2357"/>
      <c r="G1134" s="2358"/>
      <c r="H1134" s="2301">
        <f>SUBTOTAL(9,H1135:H1140)</f>
        <v>15931.04</v>
      </c>
      <c r="I1134" s="2359"/>
      <c r="J1134" s="2360"/>
      <c r="K1134" s="2549"/>
      <c r="L1134" s="2534">
        <f>SUBTOTAL(9,L1135:L1140)</f>
        <v>0</v>
      </c>
      <c r="M1134" s="2301">
        <f>SUBTOTAL(9,M1135:M1140)</f>
        <v>0</v>
      </c>
      <c r="N1134" s="2301">
        <f>SUBTOTAL(9,N1135:N1140)</f>
        <v>0</v>
      </c>
      <c r="O1134" s="2301">
        <f>SUBTOTAL(9,O1135:O1140)</f>
        <v>15931.04</v>
      </c>
      <c r="P1134" s="2295">
        <f t="shared" si="236"/>
        <v>1</v>
      </c>
    </row>
    <row r="1135" spans="1:16" ht="30">
      <c r="A1135" s="2272" t="s">
        <v>13781</v>
      </c>
      <c r="B1135" s="2234">
        <f>VLOOKUP($A1135,'14 - QT_BES'!$A:$F,2,0)</f>
        <v>88485</v>
      </c>
      <c r="C1135" s="2234" t="str">
        <f>VLOOKUP($A1135,'14 - QT_BES'!$A:$F,3,0)</f>
        <v>SINAPI</v>
      </c>
      <c r="D1135" s="2375" t="s">
        <v>11005</v>
      </c>
      <c r="E1135" s="2242" t="str">
        <f>IFERROR(VLOOKUP($B1135,'24.08_ND'!$1:$1048529,3,0),IFERROR(VLOOKUP($B1135,'03-CP'!$C$1:$H$6260,3,0),""))</f>
        <v>M2</v>
      </c>
      <c r="F1135" s="2230">
        <v>373.71000000000004</v>
      </c>
      <c r="G1135" s="2238">
        <v>3.67</v>
      </c>
      <c r="H1135" s="2302">
        <f t="shared" ref="H1135:H1140" si="247">TRUNC((G1135*F1135),2)</f>
        <v>1371.51</v>
      </c>
      <c r="I1135" s="2286"/>
      <c r="J1135" s="2237"/>
      <c r="K1135" s="2411"/>
      <c r="L1135" s="2533"/>
      <c r="M1135" s="2238"/>
      <c r="N1135" s="2239"/>
      <c r="O1135" s="2498">
        <f t="shared" ref="O1135:O1140" si="248">H1135-L1135</f>
        <v>1371.51</v>
      </c>
      <c r="P1135" s="2295">
        <f t="shared" si="236"/>
        <v>1</v>
      </c>
    </row>
    <row r="1136" spans="1:16">
      <c r="A1136" s="2272" t="s">
        <v>13782</v>
      </c>
      <c r="B1136" s="2234">
        <f>VLOOKUP($A1136,'14 - QT_BES'!$A:$F,2,0)</f>
        <v>95305</v>
      </c>
      <c r="C1136" s="2234" t="str">
        <f>VLOOKUP($A1136,'14 - QT_BES'!$A:$F,3,0)</f>
        <v>SINAPI</v>
      </c>
      <c r="D1136" s="2375" t="s">
        <v>11012</v>
      </c>
      <c r="E1136" s="2242" t="str">
        <f>IFERROR(VLOOKUP($B1136,'24.08_ND'!$1:$1048529,3,0),IFERROR(VLOOKUP($B1136,'03-CP'!$C$1:$H$6260,3,0),""))</f>
        <v>M2</v>
      </c>
      <c r="F1136" s="2230">
        <v>176.76999999999998</v>
      </c>
      <c r="G1136" s="2238">
        <v>14.51</v>
      </c>
      <c r="H1136" s="2302">
        <f t="shared" si="247"/>
        <v>2564.9299999999998</v>
      </c>
      <c r="I1136" s="2286"/>
      <c r="J1136" s="2237"/>
      <c r="K1136" s="2411"/>
      <c r="L1136" s="2533"/>
      <c r="M1136" s="2238"/>
      <c r="N1136" s="2239"/>
      <c r="O1136" s="2498">
        <f t="shared" si="248"/>
        <v>2564.9299999999998</v>
      </c>
      <c r="P1136" s="2295">
        <f t="shared" si="236"/>
        <v>1</v>
      </c>
    </row>
    <row r="1137" spans="1:16">
      <c r="A1137" s="2272" t="s">
        <v>13783</v>
      </c>
      <c r="B1137" s="2228" t="str">
        <f>VLOOKUP($A1137,'14 - QT_BES'!$A:$F,2,0)</f>
        <v>PS-CP-16</v>
      </c>
      <c r="C1137" s="2228" t="str">
        <f>VLOOKUP($A1137,'14 - QT_BES'!$A:$F,3,0)</f>
        <v>PRÓPRIA</v>
      </c>
      <c r="D1137" s="2375" t="s">
        <v>14766</v>
      </c>
      <c r="E1137" s="2243" t="str">
        <f>IFERROR(VLOOKUP($B1137,'24.08_ND'!$1:$1048529,3,0),IFERROR(VLOOKUP($B1137,'03-CP'!$C$1:$H$6260,3,0),""))</f>
        <v>M2</v>
      </c>
      <c r="F1137" s="2230">
        <v>272.12</v>
      </c>
      <c r="G1137" s="2232">
        <v>28.87</v>
      </c>
      <c r="H1137" s="2302">
        <f t="shared" si="247"/>
        <v>7856.1</v>
      </c>
      <c r="I1137" s="2287"/>
      <c r="J1137" s="2231"/>
      <c r="K1137" s="2412"/>
      <c r="L1137" s="2536"/>
      <c r="M1137" s="2232"/>
      <c r="N1137" s="2239"/>
      <c r="O1137" s="2498">
        <f t="shared" si="248"/>
        <v>7856.1</v>
      </c>
      <c r="P1137" s="2295">
        <f t="shared" si="236"/>
        <v>1</v>
      </c>
    </row>
    <row r="1138" spans="1:16" ht="30">
      <c r="A1138" s="2272" t="s">
        <v>13784</v>
      </c>
      <c r="B1138" s="2234">
        <f>VLOOKUP($A1138,'14 - QT_BES'!$A:$F,2,0)</f>
        <v>88484</v>
      </c>
      <c r="C1138" s="2234" t="str">
        <f>VLOOKUP($A1138,'14 - QT_BES'!$A:$F,3,0)</f>
        <v>SINAPI</v>
      </c>
      <c r="D1138" s="2375" t="s">
        <v>11004</v>
      </c>
      <c r="E1138" s="2242" t="str">
        <f>IFERROR(VLOOKUP($B1138,'24.08_ND'!$1:$1048529,3,0),IFERROR(VLOOKUP($B1138,'03-CP'!$C$1:$H$6260,3,0),""))</f>
        <v>M2</v>
      </c>
      <c r="F1138" s="2230">
        <v>73.550000000000011</v>
      </c>
      <c r="G1138" s="2238">
        <v>4.67</v>
      </c>
      <c r="H1138" s="2302">
        <f t="shared" si="247"/>
        <v>343.47</v>
      </c>
      <c r="I1138" s="2286"/>
      <c r="J1138" s="2237"/>
      <c r="K1138" s="2411"/>
      <c r="L1138" s="2533"/>
      <c r="M1138" s="2238"/>
      <c r="N1138" s="2239"/>
      <c r="O1138" s="2498">
        <f t="shared" si="248"/>
        <v>343.47</v>
      </c>
      <c r="P1138" s="2295">
        <f t="shared" si="236"/>
        <v>1</v>
      </c>
    </row>
    <row r="1139" spans="1:16" ht="30">
      <c r="A1139" s="2272" t="s">
        <v>13785</v>
      </c>
      <c r="B1139" s="2228" t="str">
        <f>VLOOKUP($A1139,'14 - QT_BES'!$A:$F,2,0)</f>
        <v>PS-CP-82</v>
      </c>
      <c r="C1139" s="2228" t="str">
        <f>VLOOKUP($A1139,'14 - QT_BES'!$A:$F,3,0)</f>
        <v>PRÓPRIA</v>
      </c>
      <c r="D1139" s="2375" t="s">
        <v>14939</v>
      </c>
      <c r="E1139" s="2243" t="str">
        <f>IFERROR(VLOOKUP($B1139,'24.08_ND'!$1:$1048529,3,0),IFERROR(VLOOKUP($B1139,'03-CP'!$C$1:$H$6260,3,0),""))</f>
        <v>M2</v>
      </c>
      <c r="F1139" s="2230">
        <v>73.550000000000011</v>
      </c>
      <c r="G1139" s="2232">
        <v>36.729999999999997</v>
      </c>
      <c r="H1139" s="2302">
        <f t="shared" si="247"/>
        <v>2701.49</v>
      </c>
      <c r="I1139" s="2287"/>
      <c r="J1139" s="2231"/>
      <c r="K1139" s="2412"/>
      <c r="L1139" s="2536"/>
      <c r="M1139" s="2232"/>
      <c r="N1139" s="2239"/>
      <c r="O1139" s="2498">
        <f t="shared" si="248"/>
        <v>2701.49</v>
      </c>
      <c r="P1139" s="2295">
        <f t="shared" si="236"/>
        <v>1</v>
      </c>
    </row>
    <row r="1140" spans="1:16">
      <c r="A1140" s="2272" t="s">
        <v>13786</v>
      </c>
      <c r="B1140" s="2228" t="str">
        <f>VLOOKUP($A1140,'14 - QT_BES'!$A:$F,2,0)</f>
        <v>PS-CP-81</v>
      </c>
      <c r="C1140" s="2228" t="str">
        <f>VLOOKUP($A1140,'14 - QT_BES'!$A:$F,3,0)</f>
        <v>PRÓPRIA</v>
      </c>
      <c r="D1140" s="2375" t="s">
        <v>14937</v>
      </c>
      <c r="E1140" s="2243" t="str">
        <f>IFERROR(VLOOKUP($B1140,'24.08_ND'!$1:$1048529,3,0),IFERROR(VLOOKUP($B1140,'03-CP'!$C$1:$H$6260,3,0),""))</f>
        <v>M2</v>
      </c>
      <c r="F1140" s="2230">
        <v>60.349999999999994</v>
      </c>
      <c r="G1140" s="2232">
        <v>18.12</v>
      </c>
      <c r="H1140" s="2302">
        <f t="shared" si="247"/>
        <v>1093.54</v>
      </c>
      <c r="I1140" s="2287"/>
      <c r="J1140" s="2231"/>
      <c r="K1140" s="2412"/>
      <c r="L1140" s="2536"/>
      <c r="M1140" s="2232"/>
      <c r="N1140" s="2239"/>
      <c r="O1140" s="2498">
        <f t="shared" si="248"/>
        <v>1093.54</v>
      </c>
      <c r="P1140" s="2295">
        <f t="shared" si="236"/>
        <v>1</v>
      </c>
    </row>
    <row r="1141" spans="1:16">
      <c r="A1141" s="2342" t="s">
        <v>13787</v>
      </c>
      <c r="B1141" s="2395"/>
      <c r="C1141" s="2399"/>
      <c r="D1141" s="2376" t="s">
        <v>16279</v>
      </c>
      <c r="E1141" s="2356"/>
      <c r="F1141" s="2357"/>
      <c r="G1141" s="2358"/>
      <c r="H1141" s="2301">
        <f>SUBTOTAL(9,H1142:H1144)</f>
        <v>56260.67</v>
      </c>
      <c r="I1141" s="2359"/>
      <c r="J1141" s="2360"/>
      <c r="K1141" s="2549"/>
      <c r="L1141" s="2534">
        <f>SUBTOTAL(9,L1142:L1144)</f>
        <v>0</v>
      </c>
      <c r="M1141" s="2301">
        <f>SUBTOTAL(9,M1142:M1144)</f>
        <v>0</v>
      </c>
      <c r="N1141" s="2301">
        <f>SUBTOTAL(9,N1142:N1144)</f>
        <v>0</v>
      </c>
      <c r="O1141" s="2301">
        <f>SUBTOTAL(9,O1142:O1144)</f>
        <v>56260.67</v>
      </c>
      <c r="P1141" s="2295">
        <f t="shared" si="236"/>
        <v>1</v>
      </c>
    </row>
    <row r="1142" spans="1:16" ht="30">
      <c r="A1142" s="2272" t="s">
        <v>13788</v>
      </c>
      <c r="B1142" s="2228" t="str">
        <f>VLOOKUP($A1142,'14 - QT_BES'!$A:$F,2,0)</f>
        <v>AS-CP-ARQ-40</v>
      </c>
      <c r="C1142" s="2228" t="str">
        <f>VLOOKUP($A1142,'14 - QT_BES'!$A:$F,3,0)</f>
        <v>PRÓPRIA</v>
      </c>
      <c r="D1142" s="2375" t="s">
        <v>15065</v>
      </c>
      <c r="E1142" s="2243" t="str">
        <f>IFERROR(VLOOKUP($B1142,'24.08_ND'!$1:$1048529,3,0),IFERROR(VLOOKUP($B1142,'03-CP'!$C$1:$H$6260,3,0),""))</f>
        <v>M2</v>
      </c>
      <c r="F1142" s="2230">
        <v>9.0300000000000011</v>
      </c>
      <c r="G1142" s="2232">
        <v>1258.97</v>
      </c>
      <c r="H1142" s="2302">
        <f>TRUNC((G1142*F1142),2)</f>
        <v>11368.49</v>
      </c>
      <c r="I1142" s="2287"/>
      <c r="J1142" s="2231"/>
      <c r="K1142" s="2412"/>
      <c r="L1142" s="2536"/>
      <c r="M1142" s="2232"/>
      <c r="N1142" s="2239"/>
      <c r="O1142" s="2498">
        <f>H1142-L1142</f>
        <v>11368.49</v>
      </c>
      <c r="P1142" s="2295">
        <f t="shared" ref="P1142:P1205" si="249">O1142/H1142</f>
        <v>1</v>
      </c>
    </row>
    <row r="1143" spans="1:16" ht="30">
      <c r="A1143" s="2272" t="s">
        <v>13789</v>
      </c>
      <c r="B1143" s="2228" t="str">
        <f>VLOOKUP($A1143,'14 - QT_BES'!$A:$F,2,0)</f>
        <v>AS-CP-ARQ-39</v>
      </c>
      <c r="C1143" s="2228" t="str">
        <f>VLOOKUP($A1143,'14 - QT_BES'!$A:$F,3,0)</f>
        <v>PRÓPRIA</v>
      </c>
      <c r="D1143" s="2375" t="s">
        <v>15063</v>
      </c>
      <c r="E1143" s="2243" t="str">
        <f>IFERROR(VLOOKUP($B1143,'24.08_ND'!$1:$1048529,3,0),IFERROR(VLOOKUP($B1143,'03-CP'!$C$1:$H$6260,3,0),""))</f>
        <v>M2</v>
      </c>
      <c r="F1143" s="2230">
        <v>21.76</v>
      </c>
      <c r="G1143" s="2232">
        <v>1623.62</v>
      </c>
      <c r="H1143" s="2302">
        <f>TRUNC((G1143*F1143),2)</f>
        <v>35329.97</v>
      </c>
      <c r="I1143" s="2287"/>
      <c r="J1143" s="2231"/>
      <c r="K1143" s="2412"/>
      <c r="L1143" s="2536"/>
      <c r="M1143" s="2232"/>
      <c r="N1143" s="2239"/>
      <c r="O1143" s="2498">
        <f>H1143-L1143</f>
        <v>35329.97</v>
      </c>
      <c r="P1143" s="2295">
        <f t="shared" si="249"/>
        <v>1</v>
      </c>
    </row>
    <row r="1144" spans="1:16" ht="30">
      <c r="A1144" s="2272" t="s">
        <v>13790</v>
      </c>
      <c r="B1144" s="2228" t="str">
        <f>VLOOKUP($A1144,'14 - QT_BES'!$A:$F,2,0)</f>
        <v>AS-CP-ARQ-18</v>
      </c>
      <c r="C1144" s="2228" t="str">
        <f>VLOOKUP($A1144,'14 - QT_BES'!$A:$F,3,0)</f>
        <v>PRÓPRIA</v>
      </c>
      <c r="D1144" s="2375" t="s">
        <v>15015</v>
      </c>
      <c r="E1144" s="2243" t="str">
        <f>IFERROR(VLOOKUP($B1144,'24.08_ND'!$1:$1048529,3,0),IFERROR(VLOOKUP($B1144,'03-CP'!$C$1:$H$6260,3,0),""))</f>
        <v>M2</v>
      </c>
      <c r="F1144" s="2230">
        <v>5.3999999999999995</v>
      </c>
      <c r="G1144" s="2232">
        <v>1770.78</v>
      </c>
      <c r="H1144" s="2302">
        <f>TRUNC((G1144*F1144),2)</f>
        <v>9562.2099999999991</v>
      </c>
      <c r="I1144" s="2287"/>
      <c r="J1144" s="2231"/>
      <c r="K1144" s="2412"/>
      <c r="L1144" s="2536"/>
      <c r="M1144" s="2232"/>
      <c r="N1144" s="2239"/>
      <c r="O1144" s="2498">
        <f>H1144-L1144</f>
        <v>9562.2099999999991</v>
      </c>
      <c r="P1144" s="2295">
        <f t="shared" si="249"/>
        <v>1</v>
      </c>
    </row>
    <row r="1145" spans="1:16">
      <c r="A1145" s="2342" t="s">
        <v>13791</v>
      </c>
      <c r="B1145" s="2395"/>
      <c r="C1145" s="2399"/>
      <c r="D1145" s="2376" t="s">
        <v>16284</v>
      </c>
      <c r="E1145" s="2356"/>
      <c r="F1145" s="2357"/>
      <c r="G1145" s="2358"/>
      <c r="H1145" s="2301">
        <f>SUBTOTAL(9,H1146:H1153)</f>
        <v>72085.13</v>
      </c>
      <c r="I1145" s="2359"/>
      <c r="J1145" s="2360"/>
      <c r="K1145" s="2549"/>
      <c r="L1145" s="2534">
        <f>SUBTOTAL(9,L1146:L1153)</f>
        <v>0</v>
      </c>
      <c r="M1145" s="2301">
        <f>SUBTOTAL(9,M1146:M1153)</f>
        <v>0</v>
      </c>
      <c r="N1145" s="2301">
        <f>SUBTOTAL(9,N1146:N1153)</f>
        <v>0</v>
      </c>
      <c r="O1145" s="2301">
        <f>SUBTOTAL(9,O1146:O1153)</f>
        <v>72085.13</v>
      </c>
      <c r="P1145" s="2295">
        <f t="shared" si="249"/>
        <v>1</v>
      </c>
    </row>
    <row r="1146" spans="1:16">
      <c r="A1146" s="2269" t="s">
        <v>13792</v>
      </c>
      <c r="B1146" s="2234">
        <f>VLOOKUP($A1146,'14 - QT_BES'!$A:$F,2,0)</f>
        <v>96113</v>
      </c>
      <c r="C1146" s="2234" t="str">
        <f>VLOOKUP($A1146,'14 - QT_BES'!$A:$F,3,0)</f>
        <v>SINAPI</v>
      </c>
      <c r="D1146" s="2375" t="s">
        <v>11508</v>
      </c>
      <c r="E1146" s="2242" t="str">
        <f>IFERROR(VLOOKUP($B1146,'24.08_ND'!$1:$1048529,3,0),IFERROR(VLOOKUP($B1146,'03-CP'!$C$1:$H$6260,3,0),""))</f>
        <v>M2</v>
      </c>
      <c r="F1146" s="2230">
        <v>60.349999999999994</v>
      </c>
      <c r="G1146" s="2238">
        <v>52.76</v>
      </c>
      <c r="H1146" s="2302">
        <f t="shared" ref="H1146:H1153" si="250">TRUNC((G1146*F1146),2)</f>
        <v>3184.06</v>
      </c>
      <c r="I1146" s="2286"/>
      <c r="J1146" s="2237"/>
      <c r="K1146" s="2411"/>
      <c r="L1146" s="2533"/>
      <c r="M1146" s="2238"/>
      <c r="N1146" s="2239"/>
      <c r="O1146" s="2498">
        <f t="shared" ref="O1146:O1153" si="251">H1146-L1146</f>
        <v>3184.06</v>
      </c>
      <c r="P1146" s="2295">
        <f t="shared" si="249"/>
        <v>1</v>
      </c>
    </row>
    <row r="1147" spans="1:16" ht="30">
      <c r="A1147" s="2269" t="s">
        <v>13793</v>
      </c>
      <c r="B1147" s="2228" t="str">
        <f>VLOOKUP($A1147,'14 - QT_BES'!$A:$F,2,0)</f>
        <v>AS-CP-ARQ-42</v>
      </c>
      <c r="C1147" s="2228" t="str">
        <f>VLOOKUP($A1147,'14 - QT_BES'!$A:$F,3,0)</f>
        <v>PRÓPRIA</v>
      </c>
      <c r="D1147" s="2375" t="s">
        <v>15069</v>
      </c>
      <c r="E1147" s="2243" t="str">
        <f>IFERROR(VLOOKUP($B1147,'24.08_ND'!$1:$1048529,3,0),IFERROR(VLOOKUP($B1147,'03-CP'!$C$1:$H$6260,3,0),""))</f>
        <v>M</v>
      </c>
      <c r="F1147" s="2230">
        <v>42.730000000000004</v>
      </c>
      <c r="G1147" s="2232">
        <v>16.22</v>
      </c>
      <c r="H1147" s="2302">
        <f t="shared" si="250"/>
        <v>693.08</v>
      </c>
      <c r="I1147" s="2287"/>
      <c r="J1147" s="2231"/>
      <c r="K1147" s="2412"/>
      <c r="L1147" s="2536"/>
      <c r="M1147" s="2232"/>
      <c r="N1147" s="2239"/>
      <c r="O1147" s="2498">
        <f t="shared" si="251"/>
        <v>693.08</v>
      </c>
      <c r="P1147" s="2295">
        <f t="shared" si="249"/>
        <v>1</v>
      </c>
    </row>
    <row r="1148" spans="1:16">
      <c r="A1148" s="2269" t="s">
        <v>13794</v>
      </c>
      <c r="B1148" s="2228" t="str">
        <f>VLOOKUP($A1148,'14 - QT_BES'!$A:$F,2,0)</f>
        <v>PS-CP-94</v>
      </c>
      <c r="C1148" s="2228" t="str">
        <f>VLOOKUP($A1148,'14 - QT_BES'!$A:$F,3,0)</f>
        <v>PRÓPRIA</v>
      </c>
      <c r="D1148" s="2375" t="s">
        <v>14965</v>
      </c>
      <c r="E1148" s="2243" t="str">
        <f>IFERROR(VLOOKUP($B1148,'24.08_ND'!$1:$1048529,3,0),IFERROR(VLOOKUP($B1148,'03-CP'!$C$1:$H$6260,3,0),""))</f>
        <v>M</v>
      </c>
      <c r="F1148" s="2230">
        <v>42.62</v>
      </c>
      <c r="G1148" s="2232">
        <v>27.95</v>
      </c>
      <c r="H1148" s="2302">
        <f t="shared" si="250"/>
        <v>1191.22</v>
      </c>
      <c r="I1148" s="2287"/>
      <c r="J1148" s="2231"/>
      <c r="K1148" s="2412"/>
      <c r="L1148" s="2536"/>
      <c r="M1148" s="2232"/>
      <c r="N1148" s="2239"/>
      <c r="O1148" s="2498">
        <f t="shared" si="251"/>
        <v>1191.22</v>
      </c>
      <c r="P1148" s="2295">
        <f t="shared" si="249"/>
        <v>1</v>
      </c>
    </row>
    <row r="1149" spans="1:16" ht="30">
      <c r="A1149" s="2269" t="s">
        <v>13795</v>
      </c>
      <c r="B1149" s="2228" t="str">
        <f>VLOOKUP($A1149,'14 - QT_BES'!$A:$F,2,0)</f>
        <v>PS-CP-59</v>
      </c>
      <c r="C1149" s="2228" t="str">
        <f>VLOOKUP($A1149,'14 - QT_BES'!$A:$F,3,0)</f>
        <v>PRÓPRIA</v>
      </c>
      <c r="D1149" s="2375" t="s">
        <v>14886</v>
      </c>
      <c r="E1149" s="2243" t="str">
        <f>IFERROR(VLOOKUP($B1149,'24.08_ND'!$1:$1048529,3,0),IFERROR(VLOOKUP($B1149,'03-CP'!$C$1:$H$6260,3,0),""))</f>
        <v>M2</v>
      </c>
      <c r="F1149" s="2230">
        <v>198.71</v>
      </c>
      <c r="G1149" s="2232">
        <v>170.07</v>
      </c>
      <c r="H1149" s="2302">
        <f t="shared" si="250"/>
        <v>33794.6</v>
      </c>
      <c r="I1149" s="2287"/>
      <c r="J1149" s="2231"/>
      <c r="K1149" s="2412"/>
      <c r="L1149" s="2536"/>
      <c r="M1149" s="2232"/>
      <c r="N1149" s="2239"/>
      <c r="O1149" s="2498">
        <f t="shared" si="251"/>
        <v>33794.6</v>
      </c>
      <c r="P1149" s="2295">
        <f t="shared" si="249"/>
        <v>1</v>
      </c>
    </row>
    <row r="1150" spans="1:16" ht="30">
      <c r="A1150" s="2269" t="s">
        <v>13796</v>
      </c>
      <c r="B1150" s="2228" t="str">
        <f>VLOOKUP($A1150,'14 - QT_BES'!$A:$F,2,0)</f>
        <v>PS-CP-90</v>
      </c>
      <c r="C1150" s="2228" t="str">
        <f>VLOOKUP($A1150,'14 - QT_BES'!$A:$F,3,0)</f>
        <v>PRÓPRIA</v>
      </c>
      <c r="D1150" s="2375" t="s">
        <v>14957</v>
      </c>
      <c r="E1150" s="2243" t="str">
        <f>IFERROR(VLOOKUP($B1150,'24.08_ND'!$1:$1048529,3,0),IFERROR(VLOOKUP($B1150,'03-CP'!$C$1:$H$6260,3,0),""))</f>
        <v>M2</v>
      </c>
      <c r="F1150" s="2230">
        <v>82.381</v>
      </c>
      <c r="G1150" s="2232">
        <v>215.72</v>
      </c>
      <c r="H1150" s="2302">
        <f t="shared" si="250"/>
        <v>17771.22</v>
      </c>
      <c r="I1150" s="2287"/>
      <c r="J1150" s="2231"/>
      <c r="K1150" s="2412"/>
      <c r="L1150" s="2536"/>
      <c r="M1150" s="2232"/>
      <c r="N1150" s="2239"/>
      <c r="O1150" s="2498">
        <f t="shared" si="251"/>
        <v>17771.22</v>
      </c>
      <c r="P1150" s="2295">
        <f t="shared" si="249"/>
        <v>1</v>
      </c>
    </row>
    <row r="1151" spans="1:16" ht="30">
      <c r="A1151" s="2269" t="s">
        <v>13797</v>
      </c>
      <c r="B1151" s="2228" t="str">
        <f>VLOOKUP($A1151,'14 - QT_BES'!$A:$F,2,0)</f>
        <v>PS-CP-58</v>
      </c>
      <c r="C1151" s="2228" t="str">
        <f>VLOOKUP($A1151,'14 - QT_BES'!$A:$F,3,0)</f>
        <v>PRÓPRIA</v>
      </c>
      <c r="D1151" s="2375" t="s">
        <v>14883</v>
      </c>
      <c r="E1151" s="2243" t="str">
        <f>IFERROR(VLOOKUP($B1151,'24.08_ND'!$1:$1048529,3,0),IFERROR(VLOOKUP($B1151,'03-CP'!$C$1:$H$6260,3,0),""))</f>
        <v>M</v>
      </c>
      <c r="F1151" s="2230">
        <v>7.12</v>
      </c>
      <c r="G1151" s="2232">
        <v>43.28</v>
      </c>
      <c r="H1151" s="2302">
        <f t="shared" si="250"/>
        <v>308.14999999999998</v>
      </c>
      <c r="I1151" s="2287"/>
      <c r="J1151" s="2231"/>
      <c r="K1151" s="2412"/>
      <c r="L1151" s="2536"/>
      <c r="M1151" s="2232"/>
      <c r="N1151" s="2239"/>
      <c r="O1151" s="2498">
        <f t="shared" si="251"/>
        <v>308.14999999999998</v>
      </c>
      <c r="P1151" s="2295">
        <f t="shared" si="249"/>
        <v>1</v>
      </c>
    </row>
    <row r="1152" spans="1:16" ht="30">
      <c r="A1152" s="2269" t="s">
        <v>13798</v>
      </c>
      <c r="B1152" s="2228" t="str">
        <f>VLOOKUP($A1152,'14 - QT_BES'!$A:$F,2,0)</f>
        <v>AS-CP-ARQ-26</v>
      </c>
      <c r="C1152" s="2228" t="str">
        <f>VLOOKUP($A1152,'14 - QT_BES'!$A:$F,3,0)</f>
        <v>PRÓPRIA</v>
      </c>
      <c r="D1152" s="2375" t="s">
        <v>15033</v>
      </c>
      <c r="E1152" s="2243" t="str">
        <f>IFERROR(VLOOKUP($B1152,'24.08_ND'!$1:$1048529,3,0),IFERROR(VLOOKUP($B1152,'03-CP'!$C$1:$H$6260,3,0),""))</f>
        <v>M2</v>
      </c>
      <c r="F1152" s="2230">
        <v>76.010000000000005</v>
      </c>
      <c r="G1152" s="2232">
        <v>197.98</v>
      </c>
      <c r="H1152" s="2302">
        <f t="shared" si="250"/>
        <v>15048.45</v>
      </c>
      <c r="I1152" s="2287"/>
      <c r="J1152" s="2231"/>
      <c r="K1152" s="2412"/>
      <c r="L1152" s="2536"/>
      <c r="M1152" s="2232"/>
      <c r="N1152" s="2239"/>
      <c r="O1152" s="2498">
        <f t="shared" si="251"/>
        <v>15048.45</v>
      </c>
      <c r="P1152" s="2295">
        <f t="shared" si="249"/>
        <v>1</v>
      </c>
    </row>
    <row r="1153" spans="1:16">
      <c r="A1153" s="2269" t="s">
        <v>13799</v>
      </c>
      <c r="B1153" s="2228" t="str">
        <f>VLOOKUP($A1153,'14 - QT_BES'!$A:$F,2,0)</f>
        <v>PS-CP-95</v>
      </c>
      <c r="C1153" s="2228" t="str">
        <f>VLOOKUP($A1153,'14 - QT_BES'!$A:$F,3,0)</f>
        <v>PRÓPRIA</v>
      </c>
      <c r="D1153" s="2375" t="s">
        <v>14967</v>
      </c>
      <c r="E1153" s="2243" t="str">
        <f>IFERROR(VLOOKUP($B1153,'24.08_ND'!$1:$1048529,3,0),IFERROR(VLOOKUP($B1153,'03-CP'!$C$1:$H$6260,3,0),""))</f>
        <v>M</v>
      </c>
      <c r="F1153" s="2230">
        <v>3.6</v>
      </c>
      <c r="G1153" s="2232">
        <v>26.21</v>
      </c>
      <c r="H1153" s="2302">
        <f t="shared" si="250"/>
        <v>94.35</v>
      </c>
      <c r="I1153" s="2287"/>
      <c r="J1153" s="2231"/>
      <c r="K1153" s="2412"/>
      <c r="L1153" s="2536"/>
      <c r="M1153" s="2232"/>
      <c r="N1153" s="2239"/>
      <c r="O1153" s="2498">
        <f t="shared" si="251"/>
        <v>94.35</v>
      </c>
      <c r="P1153" s="2295">
        <f t="shared" si="249"/>
        <v>1</v>
      </c>
    </row>
    <row r="1154" spans="1:16">
      <c r="A1154" s="2342" t="s">
        <v>13800</v>
      </c>
      <c r="B1154" s="2395"/>
      <c r="C1154" s="2399"/>
      <c r="D1154" s="2376" t="s">
        <v>16290</v>
      </c>
      <c r="E1154" s="2356"/>
      <c r="F1154" s="2357"/>
      <c r="G1154" s="2358"/>
      <c r="H1154" s="2361">
        <f>SUBTOTAL(9,H1155:H1164)</f>
        <v>152182.35999999999</v>
      </c>
      <c r="I1154" s="2359"/>
      <c r="J1154" s="2360"/>
      <c r="K1154" s="2549"/>
      <c r="L1154" s="2539">
        <f>SUBTOTAL(9,L1155:L1164)</f>
        <v>0</v>
      </c>
      <c r="M1154" s="2361">
        <f>SUBTOTAL(9,M1155:M1164)</f>
        <v>0</v>
      </c>
      <c r="N1154" s="2361">
        <f>SUBTOTAL(9,N1155:N1164)</f>
        <v>0</v>
      </c>
      <c r="O1154" s="2361">
        <f>SUBTOTAL(9,O1155:O1164)</f>
        <v>152182.35999999999</v>
      </c>
      <c r="P1154" s="2295">
        <f t="shared" si="249"/>
        <v>1</v>
      </c>
    </row>
    <row r="1155" spans="1:16">
      <c r="A1155" s="2269" t="s">
        <v>13801</v>
      </c>
      <c r="B1155" s="2228" t="str">
        <f>VLOOKUP($A1155,'14 - QT_BES'!$A:$F,2,0)</f>
        <v>PS-CP-91</v>
      </c>
      <c r="C1155" s="2228" t="str">
        <f>VLOOKUP($A1155,'14 - QT_BES'!$A:$F,3,0)</f>
        <v>PRÓPRIA</v>
      </c>
      <c r="D1155" s="2375" t="s">
        <v>14959</v>
      </c>
      <c r="E1155" s="2243" t="str">
        <f>IFERROR(VLOOKUP($B1155,'24.08_ND'!$1:$1048529,3,0),IFERROR(VLOOKUP($B1155,'03-CP'!$C$1:$H$6260,3,0),""))</f>
        <v>M2</v>
      </c>
      <c r="F1155" s="2230">
        <v>7.5</v>
      </c>
      <c r="G1155" s="2232">
        <v>781.26</v>
      </c>
      <c r="H1155" s="2302">
        <f t="shared" ref="H1155:H1164" si="252">TRUNC((G1155*F1155),2)</f>
        <v>5859.45</v>
      </c>
      <c r="I1155" s="2287"/>
      <c r="J1155" s="2231"/>
      <c r="K1155" s="2412"/>
      <c r="L1155" s="2536"/>
      <c r="M1155" s="2232"/>
      <c r="N1155" s="2239"/>
      <c r="O1155" s="2498">
        <f t="shared" ref="O1155:O1164" si="253">H1155-L1155</f>
        <v>5859.45</v>
      </c>
      <c r="P1155" s="2295">
        <f t="shared" si="249"/>
        <v>1</v>
      </c>
    </row>
    <row r="1156" spans="1:16" ht="60">
      <c r="A1156" s="2269" t="s">
        <v>13802</v>
      </c>
      <c r="B1156" s="2228" t="str">
        <f>VLOOKUP($A1156,'14 - QT_BES'!$A:$F,2,0)</f>
        <v>AS-CP-ARQ-20</v>
      </c>
      <c r="C1156" s="2228" t="str">
        <f>VLOOKUP($A1156,'14 - QT_BES'!$A:$F,3,0)</f>
        <v>PRÓPRIA</v>
      </c>
      <c r="D1156" s="2375" t="s">
        <v>15021</v>
      </c>
      <c r="E1156" s="2243" t="str">
        <f>IFERROR(VLOOKUP($B1156,'24.08_ND'!$1:$1048529,3,0),IFERROR(VLOOKUP($B1156,'03-CP'!$C$1:$H$6260,3,0),""))</f>
        <v>M2</v>
      </c>
      <c r="F1156" s="2230">
        <v>8.2420000000000009</v>
      </c>
      <c r="G1156" s="2232">
        <v>935.2</v>
      </c>
      <c r="H1156" s="2302">
        <f t="shared" si="252"/>
        <v>7707.91</v>
      </c>
      <c r="I1156" s="2287"/>
      <c r="J1156" s="2231"/>
      <c r="K1156" s="2412"/>
      <c r="L1156" s="2536"/>
      <c r="M1156" s="2232"/>
      <c r="N1156" s="2239"/>
      <c r="O1156" s="2498">
        <f t="shared" si="253"/>
        <v>7707.91</v>
      </c>
      <c r="P1156" s="2295">
        <f t="shared" si="249"/>
        <v>1</v>
      </c>
    </row>
    <row r="1157" spans="1:16" ht="30">
      <c r="A1157" s="2269" t="s">
        <v>13803</v>
      </c>
      <c r="B1157" s="2228" t="str">
        <f>VLOOKUP($A1157,'14 - QT_BES'!$A:$F,2,0)</f>
        <v>AS-CP-ARQ-21</v>
      </c>
      <c r="C1157" s="2228" t="str">
        <f>VLOOKUP($A1157,'14 - QT_BES'!$A:$F,3,0)</f>
        <v>PRÓPRIA</v>
      </c>
      <c r="D1157" s="2375" t="s">
        <v>15023</v>
      </c>
      <c r="E1157" s="2243" t="str">
        <f>IFERROR(VLOOKUP($B1157,'24.08_ND'!$1:$1048529,3,0),IFERROR(VLOOKUP($B1157,'03-CP'!$C$1:$H$6260,3,0),""))</f>
        <v>M2</v>
      </c>
      <c r="F1157" s="2230">
        <v>14.489999999999997</v>
      </c>
      <c r="G1157" s="2232">
        <v>1061.03</v>
      </c>
      <c r="H1157" s="2302">
        <f t="shared" si="252"/>
        <v>15374.32</v>
      </c>
      <c r="I1157" s="2287"/>
      <c r="J1157" s="2231"/>
      <c r="K1157" s="2412"/>
      <c r="L1157" s="2536"/>
      <c r="M1157" s="2232"/>
      <c r="N1157" s="2239"/>
      <c r="O1157" s="2498">
        <f t="shared" si="253"/>
        <v>15374.32</v>
      </c>
      <c r="P1157" s="2295">
        <f t="shared" si="249"/>
        <v>1</v>
      </c>
    </row>
    <row r="1158" spans="1:16" ht="30">
      <c r="A1158" s="2269" t="s">
        <v>13804</v>
      </c>
      <c r="B1158" s="2228" t="str">
        <f>VLOOKUP($A1158,'14 - QT_BES'!$A:$F,2,0)</f>
        <v>AS-CP-ARQ-22</v>
      </c>
      <c r="C1158" s="2228" t="str">
        <f>VLOOKUP($A1158,'14 - QT_BES'!$A:$F,3,0)</f>
        <v>PRÓPRIA</v>
      </c>
      <c r="D1158" s="2375" t="s">
        <v>15025</v>
      </c>
      <c r="E1158" s="2243" t="str">
        <f>IFERROR(VLOOKUP($B1158,'24.08_ND'!$1:$1048529,3,0),IFERROR(VLOOKUP($B1158,'03-CP'!$C$1:$H$6260,3,0),""))</f>
        <v>M2</v>
      </c>
      <c r="F1158" s="2230">
        <v>47.727999999999994</v>
      </c>
      <c r="G1158" s="2232">
        <v>890.08</v>
      </c>
      <c r="H1158" s="2302">
        <f t="shared" si="252"/>
        <v>42481.73</v>
      </c>
      <c r="I1158" s="2287"/>
      <c r="J1158" s="2231"/>
      <c r="K1158" s="2412"/>
      <c r="L1158" s="2536"/>
      <c r="M1158" s="2232"/>
      <c r="N1158" s="2239"/>
      <c r="O1158" s="2498">
        <f t="shared" si="253"/>
        <v>42481.73</v>
      </c>
      <c r="P1158" s="2295">
        <f t="shared" si="249"/>
        <v>1</v>
      </c>
    </row>
    <row r="1159" spans="1:16" ht="30">
      <c r="A1159" s="2269" t="s">
        <v>13805</v>
      </c>
      <c r="B1159" s="2228" t="str">
        <f>VLOOKUP($A1159,'14 - QT_BES'!$A:$F,2,0)</f>
        <v>AS-CP-ARQ-23</v>
      </c>
      <c r="C1159" s="2228" t="str">
        <f>VLOOKUP($A1159,'14 - QT_BES'!$A:$F,3,0)</f>
        <v>PRÓPRIA</v>
      </c>
      <c r="D1159" s="2375" t="s">
        <v>15027</v>
      </c>
      <c r="E1159" s="2243" t="str">
        <f>IFERROR(VLOOKUP($B1159,'24.08_ND'!$1:$1048529,3,0),IFERROR(VLOOKUP($B1159,'03-CP'!$C$1:$H$6260,3,0),""))</f>
        <v>M2</v>
      </c>
      <c r="F1159" s="2230">
        <v>2.4</v>
      </c>
      <c r="G1159" s="2232">
        <v>945.81</v>
      </c>
      <c r="H1159" s="2302">
        <f t="shared" si="252"/>
        <v>2269.94</v>
      </c>
      <c r="I1159" s="2287"/>
      <c r="J1159" s="2231"/>
      <c r="K1159" s="2412"/>
      <c r="L1159" s="2536"/>
      <c r="M1159" s="2232"/>
      <c r="N1159" s="2239"/>
      <c r="O1159" s="2498">
        <f t="shared" si="253"/>
        <v>2269.94</v>
      </c>
      <c r="P1159" s="2295">
        <f t="shared" si="249"/>
        <v>1</v>
      </c>
    </row>
    <row r="1160" spans="1:16" ht="30">
      <c r="A1160" s="2269" t="s">
        <v>13806</v>
      </c>
      <c r="B1160" s="2228" t="str">
        <f>VLOOKUP($A1160,'14 - QT_BES'!$A:$F,2,0)</f>
        <v>AS-CP-ARQ-24</v>
      </c>
      <c r="C1160" s="2228" t="str">
        <f>VLOOKUP($A1160,'14 - QT_BES'!$A:$F,3,0)</f>
        <v>PRÓPRIA</v>
      </c>
      <c r="D1160" s="2375" t="s">
        <v>15029</v>
      </c>
      <c r="E1160" s="2243" t="str">
        <f>IFERROR(VLOOKUP($B1160,'24.08_ND'!$1:$1048529,3,0),IFERROR(VLOOKUP($B1160,'03-CP'!$C$1:$H$6260,3,0),""))</f>
        <v>M</v>
      </c>
      <c r="F1160" s="2230">
        <v>9</v>
      </c>
      <c r="G1160" s="2232">
        <v>174.31</v>
      </c>
      <c r="H1160" s="2302">
        <f t="shared" si="252"/>
        <v>1568.79</v>
      </c>
      <c r="I1160" s="2287"/>
      <c r="J1160" s="2231"/>
      <c r="K1160" s="2412"/>
      <c r="L1160" s="2536"/>
      <c r="M1160" s="2232"/>
      <c r="N1160" s="2239"/>
      <c r="O1160" s="2498">
        <f t="shared" si="253"/>
        <v>1568.79</v>
      </c>
      <c r="P1160" s="2295">
        <f t="shared" si="249"/>
        <v>1</v>
      </c>
    </row>
    <row r="1161" spans="1:16" ht="30">
      <c r="A1161" s="2269" t="s">
        <v>13807</v>
      </c>
      <c r="B1161" s="2228" t="str">
        <f>VLOOKUP($A1161,'14 - QT_BES'!$A:$F,2,0)</f>
        <v>AS-CP-ARQ-25</v>
      </c>
      <c r="C1161" s="2228" t="str">
        <f>VLOOKUP($A1161,'14 - QT_BES'!$A:$F,3,0)</f>
        <v>PRÓPRIA</v>
      </c>
      <c r="D1161" s="2375" t="s">
        <v>15031</v>
      </c>
      <c r="E1161" s="2243" t="str">
        <f>IFERROR(VLOOKUP($B1161,'24.08_ND'!$1:$1048529,3,0),IFERROR(VLOOKUP($B1161,'03-CP'!$C$1:$H$6260,3,0),""))</f>
        <v>M</v>
      </c>
      <c r="F1161" s="2230">
        <v>4.3000000000000007</v>
      </c>
      <c r="G1161" s="2232">
        <v>165.55</v>
      </c>
      <c r="H1161" s="2302">
        <f t="shared" si="252"/>
        <v>711.86</v>
      </c>
      <c r="I1161" s="2287"/>
      <c r="J1161" s="2231"/>
      <c r="K1161" s="2412"/>
      <c r="L1161" s="2536"/>
      <c r="M1161" s="2232"/>
      <c r="N1161" s="2239"/>
      <c r="O1161" s="2498">
        <f t="shared" si="253"/>
        <v>711.86</v>
      </c>
      <c r="P1161" s="2295">
        <f t="shared" si="249"/>
        <v>1</v>
      </c>
    </row>
    <row r="1162" spans="1:16" ht="45">
      <c r="A1162" s="2269" t="s">
        <v>13808</v>
      </c>
      <c r="B1162" s="2228" t="str">
        <f>VLOOKUP($A1162,'14 - QT_BES'!$A:$F,2,0)</f>
        <v>AS-CP-ARQ-37</v>
      </c>
      <c r="C1162" s="2228" t="str">
        <f>VLOOKUP($A1162,'14 - QT_BES'!$A:$F,3,0)</f>
        <v>PRÓPRIA</v>
      </c>
      <c r="D1162" s="2375" t="s">
        <v>14916</v>
      </c>
      <c r="E1162" s="2243" t="str">
        <f>IFERROR(VLOOKUP($B1162,'24.08_ND'!$1:$1048529,3,0),IFERROR(VLOOKUP($B1162,'03-CP'!$C$1:$H$6260,3,0),""))</f>
        <v>M2</v>
      </c>
      <c r="F1162" s="2230">
        <v>102.91</v>
      </c>
      <c r="G1162" s="2232">
        <v>563.98</v>
      </c>
      <c r="H1162" s="2302">
        <f t="shared" si="252"/>
        <v>58039.18</v>
      </c>
      <c r="I1162" s="2287"/>
      <c r="J1162" s="2231"/>
      <c r="K1162" s="2412"/>
      <c r="L1162" s="2536"/>
      <c r="M1162" s="2232"/>
      <c r="N1162" s="2239"/>
      <c r="O1162" s="2498">
        <f t="shared" si="253"/>
        <v>58039.18</v>
      </c>
      <c r="P1162" s="2295">
        <f t="shared" si="249"/>
        <v>1</v>
      </c>
    </row>
    <row r="1163" spans="1:16" ht="45">
      <c r="A1163" s="2269" t="s">
        <v>13809</v>
      </c>
      <c r="B1163" s="2228" t="str">
        <f>VLOOKUP($A1163,'14 - QT_BES'!$A:$F,2,0)</f>
        <v>PS-CP-40</v>
      </c>
      <c r="C1163" s="2228" t="str">
        <f>VLOOKUP($A1163,'14 - QT_BES'!$A:$F,3,0)</f>
        <v>PRÓPRIA</v>
      </c>
      <c r="D1163" s="2375" t="s">
        <v>14833</v>
      </c>
      <c r="E1163" s="2243" t="str">
        <f>IFERROR(VLOOKUP($B1163,'24.08_ND'!$1:$1048529,3,0),IFERROR(VLOOKUP($B1163,'03-CP'!$C$1:$H$6260,3,0),""))</f>
        <v>M2</v>
      </c>
      <c r="F1163" s="2230">
        <v>25.805999999999997</v>
      </c>
      <c r="G1163" s="2232">
        <v>347.93</v>
      </c>
      <c r="H1163" s="2302">
        <f t="shared" si="252"/>
        <v>8978.68</v>
      </c>
      <c r="I1163" s="2287"/>
      <c r="J1163" s="2231"/>
      <c r="K1163" s="2412"/>
      <c r="L1163" s="2536"/>
      <c r="M1163" s="2232"/>
      <c r="N1163" s="2239"/>
      <c r="O1163" s="2498">
        <f t="shared" si="253"/>
        <v>8978.68</v>
      </c>
      <c r="P1163" s="2295">
        <f t="shared" si="249"/>
        <v>1</v>
      </c>
    </row>
    <row r="1164" spans="1:16" ht="60">
      <c r="A1164" s="2269" t="s">
        <v>13810</v>
      </c>
      <c r="B1164" s="2228" t="str">
        <f>VLOOKUP($A1164,'14 - QT_BES'!$A:$F,2,0)</f>
        <v>AS-CP-ARQ-41</v>
      </c>
      <c r="C1164" s="2228" t="str">
        <f>VLOOKUP($A1164,'14 - QT_BES'!$A:$F,3,0)</f>
        <v>PRÓPRIA</v>
      </c>
      <c r="D1164" s="2375" t="s">
        <v>15067</v>
      </c>
      <c r="E1164" s="2243" t="str">
        <f>IFERROR(VLOOKUP($B1164,'24.08_ND'!$1:$1048529,3,0),IFERROR(VLOOKUP($B1164,'03-CP'!$C$1:$H$6260,3,0),""))</f>
        <v>M2</v>
      </c>
      <c r="F1164" s="2230">
        <v>11.34</v>
      </c>
      <c r="G1164" s="2232">
        <v>810.45</v>
      </c>
      <c r="H1164" s="2302">
        <f t="shared" si="252"/>
        <v>9190.5</v>
      </c>
      <c r="I1164" s="2287"/>
      <c r="J1164" s="2231"/>
      <c r="K1164" s="2412"/>
      <c r="L1164" s="2536"/>
      <c r="M1164" s="2232"/>
      <c r="N1164" s="2239"/>
      <c r="O1164" s="2498">
        <f t="shared" si="253"/>
        <v>9190.5</v>
      </c>
      <c r="P1164" s="2295">
        <f t="shared" si="249"/>
        <v>1</v>
      </c>
    </row>
    <row r="1165" spans="1:16">
      <c r="A1165" s="2342" t="s">
        <v>13811</v>
      </c>
      <c r="B1165" s="2395"/>
      <c r="C1165" s="2399"/>
      <c r="D1165" s="2376" t="s">
        <v>16300</v>
      </c>
      <c r="E1165" s="2356"/>
      <c r="F1165" s="2357"/>
      <c r="G1165" s="2358"/>
      <c r="H1165" s="2361">
        <f>SUBTOTAL(9,H1166:H1186)</f>
        <v>68060.2</v>
      </c>
      <c r="I1165" s="2359"/>
      <c r="J1165" s="2360"/>
      <c r="K1165" s="2549"/>
      <c r="L1165" s="2539">
        <f>SUBTOTAL(9,L1166:L1186)</f>
        <v>0</v>
      </c>
      <c r="M1165" s="2361">
        <f>SUBTOTAL(9,M1166:M1186)</f>
        <v>0</v>
      </c>
      <c r="N1165" s="2361">
        <f>SUBTOTAL(9,N1166:N1186)</f>
        <v>0</v>
      </c>
      <c r="O1165" s="2361">
        <f>SUBTOTAL(9,O1166:O1186)</f>
        <v>68060.2</v>
      </c>
      <c r="P1165" s="2295">
        <f t="shared" si="249"/>
        <v>1</v>
      </c>
    </row>
    <row r="1166" spans="1:16" ht="30">
      <c r="A1166" s="2272" t="s">
        <v>13812</v>
      </c>
      <c r="B1166" s="2234">
        <f>VLOOKUP($A1166,'14 - QT_BES'!$A:$F,2,0)</f>
        <v>100859</v>
      </c>
      <c r="C1166" s="2234" t="str">
        <f>VLOOKUP($A1166,'14 - QT_BES'!$A:$F,3,0)</f>
        <v>SINAPI</v>
      </c>
      <c r="D1166" s="2375" t="s">
        <v>10167</v>
      </c>
      <c r="E1166" s="2242" t="str">
        <f>IFERROR(VLOOKUP($B1166,'24.08_ND'!$1:$1048529,3,0),IFERROR(VLOOKUP($B1166,'03-CP'!$C$1:$H$6260,3,0),""))</f>
        <v>UN</v>
      </c>
      <c r="F1166" s="2230">
        <v>5</v>
      </c>
      <c r="G1166" s="2238">
        <v>1104.01</v>
      </c>
      <c r="H1166" s="2302">
        <f t="shared" ref="H1166:H1186" si="254">TRUNC((G1166*F1166),2)</f>
        <v>5520.05</v>
      </c>
      <c r="I1166" s="2286"/>
      <c r="J1166" s="2237"/>
      <c r="K1166" s="2411"/>
      <c r="L1166" s="2533"/>
      <c r="M1166" s="2238"/>
      <c r="N1166" s="2239"/>
      <c r="O1166" s="2498">
        <f t="shared" ref="O1166:O1186" si="255">H1166-L1166</f>
        <v>5520.05</v>
      </c>
      <c r="P1166" s="2295">
        <f t="shared" si="249"/>
        <v>1</v>
      </c>
    </row>
    <row r="1167" spans="1:16" ht="30">
      <c r="A1167" s="2272" t="s">
        <v>13813</v>
      </c>
      <c r="B1167" s="2228" t="str">
        <f>VLOOKUP($A1167,'14 - QT_BES'!$A:$F,2,0)</f>
        <v>AS-CP-ARQ-27</v>
      </c>
      <c r="C1167" s="2228" t="str">
        <f>VLOOKUP($A1167,'14 - QT_BES'!$A:$F,3,0)</f>
        <v>PRÓPRIA</v>
      </c>
      <c r="D1167" s="2375" t="s">
        <v>15036</v>
      </c>
      <c r="E1167" s="2243" t="str">
        <f>IFERROR(VLOOKUP($B1167,'24.08_ND'!$1:$1048529,3,0),IFERROR(VLOOKUP($B1167,'03-CP'!$C$1:$H$6260,3,0),""))</f>
        <v>UN</v>
      </c>
      <c r="F1167" s="2230">
        <v>5</v>
      </c>
      <c r="G1167" s="2232">
        <v>2846.21</v>
      </c>
      <c r="H1167" s="2302">
        <f t="shared" si="254"/>
        <v>14231.05</v>
      </c>
      <c r="I1167" s="2287"/>
      <c r="J1167" s="2231"/>
      <c r="K1167" s="2412"/>
      <c r="L1167" s="2536"/>
      <c r="M1167" s="2232"/>
      <c r="N1167" s="2239"/>
      <c r="O1167" s="2498">
        <f t="shared" si="255"/>
        <v>14231.05</v>
      </c>
      <c r="P1167" s="2295">
        <f t="shared" si="249"/>
        <v>1</v>
      </c>
    </row>
    <row r="1168" spans="1:16" ht="45">
      <c r="A1168" s="2272" t="s">
        <v>13814</v>
      </c>
      <c r="B1168" s="2234">
        <f>VLOOKUP($A1168,'14 - QT_BES'!$A:$F,2,0)</f>
        <v>95472</v>
      </c>
      <c r="C1168" s="2234" t="str">
        <f>VLOOKUP($A1168,'14 - QT_BES'!$A:$F,3,0)</f>
        <v>SINAPI</v>
      </c>
      <c r="D1168" s="2375" t="s">
        <v>10151</v>
      </c>
      <c r="E1168" s="2242" t="str">
        <f>IFERROR(VLOOKUP($B1168,'24.08_ND'!$1:$1048529,3,0),IFERROR(VLOOKUP($B1168,'03-CP'!$C$1:$H$6260,3,0),""))</f>
        <v>UN</v>
      </c>
      <c r="F1168" s="2230">
        <v>18</v>
      </c>
      <c r="G1168" s="2238">
        <v>852.9</v>
      </c>
      <c r="H1168" s="2302">
        <f t="shared" si="254"/>
        <v>15352.2</v>
      </c>
      <c r="I1168" s="2286"/>
      <c r="J1168" s="2237"/>
      <c r="K1168" s="2411"/>
      <c r="L1168" s="2533"/>
      <c r="M1168" s="2238"/>
      <c r="N1168" s="2239"/>
      <c r="O1168" s="2498">
        <f t="shared" si="255"/>
        <v>15352.2</v>
      </c>
      <c r="P1168" s="2295">
        <f t="shared" si="249"/>
        <v>1</v>
      </c>
    </row>
    <row r="1169" spans="1:16" ht="30">
      <c r="A1169" s="2272" t="s">
        <v>13815</v>
      </c>
      <c r="B1169" s="2234">
        <f>VLOOKUP($A1169,'14 - QT_BES'!$A:$F,2,0)</f>
        <v>100849</v>
      </c>
      <c r="C1169" s="2234" t="str">
        <f>VLOOKUP($A1169,'14 - QT_BES'!$A:$F,3,0)</f>
        <v>SINAPI</v>
      </c>
      <c r="D1169" s="2375" t="s">
        <v>10159</v>
      </c>
      <c r="E1169" s="2242" t="str">
        <f>IFERROR(VLOOKUP($B1169,'24.08_ND'!$1:$1048529,3,0),IFERROR(VLOOKUP($B1169,'03-CP'!$C$1:$H$6260,3,0),""))</f>
        <v>UN</v>
      </c>
      <c r="F1169" s="2230">
        <v>18</v>
      </c>
      <c r="G1169" s="2238">
        <v>49.53</v>
      </c>
      <c r="H1169" s="2302">
        <f t="shared" si="254"/>
        <v>891.54</v>
      </c>
      <c r="I1169" s="2286"/>
      <c r="J1169" s="2237"/>
      <c r="K1169" s="2411"/>
      <c r="L1169" s="2533"/>
      <c r="M1169" s="2238"/>
      <c r="N1169" s="2239"/>
      <c r="O1169" s="2498">
        <f t="shared" si="255"/>
        <v>891.54</v>
      </c>
      <c r="P1169" s="2295">
        <f t="shared" si="249"/>
        <v>1</v>
      </c>
    </row>
    <row r="1170" spans="1:16" ht="30">
      <c r="A1170" s="2272" t="s">
        <v>13816</v>
      </c>
      <c r="B1170" s="2228" t="str">
        <f>VLOOKUP($A1170,'14 - QT_BES'!$A:$F,2,0)</f>
        <v>AS-CP-ARQ-28</v>
      </c>
      <c r="C1170" s="2228" t="str">
        <f>VLOOKUP($A1170,'14 - QT_BES'!$A:$F,3,0)</f>
        <v>PRÓPRIA</v>
      </c>
      <c r="D1170" s="2375" t="s">
        <v>15039</v>
      </c>
      <c r="E1170" s="2243" t="str">
        <f>IFERROR(VLOOKUP($B1170,'24.08_ND'!$1:$1048529,3,0),IFERROR(VLOOKUP($B1170,'03-CP'!$C$1:$H$6260,3,0),""))</f>
        <v>UN</v>
      </c>
      <c r="F1170" s="2230">
        <v>18</v>
      </c>
      <c r="G1170" s="2232">
        <v>337.06</v>
      </c>
      <c r="H1170" s="2302">
        <f t="shared" si="254"/>
        <v>6067.08</v>
      </c>
      <c r="I1170" s="2287"/>
      <c r="J1170" s="2231"/>
      <c r="K1170" s="2412"/>
      <c r="L1170" s="2536"/>
      <c r="M1170" s="2232"/>
      <c r="N1170" s="2239"/>
      <c r="O1170" s="2498">
        <f t="shared" si="255"/>
        <v>6067.08</v>
      </c>
      <c r="P1170" s="2295">
        <f t="shared" si="249"/>
        <v>1</v>
      </c>
    </row>
    <row r="1171" spans="1:16" ht="30">
      <c r="A1171" s="2272" t="s">
        <v>13817</v>
      </c>
      <c r="B1171" s="2228" t="str">
        <f>VLOOKUP($A1171,'14 - QT_BES'!$A:$F,2,0)</f>
        <v>AS-CP-ARQ-29</v>
      </c>
      <c r="C1171" s="2228" t="str">
        <f>VLOOKUP($A1171,'14 - QT_BES'!$A:$F,3,0)</f>
        <v>PRÓPRIA</v>
      </c>
      <c r="D1171" s="2375" t="s">
        <v>15042</v>
      </c>
      <c r="E1171" s="2243" t="str">
        <f>IFERROR(VLOOKUP($B1171,'24.08_ND'!$1:$1048529,3,0),IFERROR(VLOOKUP($B1171,'03-CP'!$C$1:$H$6260,3,0),""))</f>
        <v>UN</v>
      </c>
      <c r="F1171" s="2230">
        <v>2</v>
      </c>
      <c r="G1171" s="2232">
        <v>326.12</v>
      </c>
      <c r="H1171" s="2302">
        <f t="shared" si="254"/>
        <v>652.24</v>
      </c>
      <c r="I1171" s="2287"/>
      <c r="J1171" s="2231"/>
      <c r="K1171" s="2412"/>
      <c r="L1171" s="2536"/>
      <c r="M1171" s="2232"/>
      <c r="N1171" s="2239"/>
      <c r="O1171" s="2498">
        <f t="shared" si="255"/>
        <v>652.24</v>
      </c>
      <c r="P1171" s="2295">
        <f t="shared" si="249"/>
        <v>1</v>
      </c>
    </row>
    <row r="1172" spans="1:16" ht="30">
      <c r="A1172" s="2272" t="s">
        <v>13818</v>
      </c>
      <c r="B1172" s="2228" t="str">
        <f>VLOOKUP($A1172,'14 - QT_BES'!$A:$F,2,0)</f>
        <v>AS-CP-ARQ-30</v>
      </c>
      <c r="C1172" s="2228" t="str">
        <f>VLOOKUP($A1172,'14 - QT_BES'!$A:$F,3,0)</f>
        <v>PRÓPRIA</v>
      </c>
      <c r="D1172" s="2375" t="s">
        <v>15044</v>
      </c>
      <c r="E1172" s="2243" t="str">
        <f>IFERROR(VLOOKUP($B1172,'24.08_ND'!$1:$1048529,3,0),IFERROR(VLOOKUP($B1172,'03-CP'!$C$1:$H$6260,3,0),""))</f>
        <v>UN</v>
      </c>
      <c r="F1172" s="2230">
        <v>26</v>
      </c>
      <c r="G1172" s="2232">
        <v>93.08</v>
      </c>
      <c r="H1172" s="2302">
        <f t="shared" si="254"/>
        <v>2420.08</v>
      </c>
      <c r="I1172" s="2287"/>
      <c r="J1172" s="2231"/>
      <c r="K1172" s="2412"/>
      <c r="L1172" s="2536"/>
      <c r="M1172" s="2232"/>
      <c r="N1172" s="2239"/>
      <c r="O1172" s="2498">
        <f t="shared" si="255"/>
        <v>2420.08</v>
      </c>
      <c r="P1172" s="2295">
        <f t="shared" si="249"/>
        <v>1</v>
      </c>
    </row>
    <row r="1173" spans="1:16" ht="30">
      <c r="A1173" s="2272" t="s">
        <v>13819</v>
      </c>
      <c r="B1173" s="2234">
        <f>VLOOKUP($A1173,'14 - QT_BES'!$A:$F,2,0)</f>
        <v>86872</v>
      </c>
      <c r="C1173" s="2234" t="str">
        <f>VLOOKUP($A1173,'14 - QT_BES'!$A:$F,3,0)</f>
        <v>SINAPI</v>
      </c>
      <c r="D1173" s="2375" t="s">
        <v>10083</v>
      </c>
      <c r="E1173" s="2242" t="str">
        <f>IFERROR(VLOOKUP($B1173,'24.08_ND'!$1:$1048529,3,0),IFERROR(VLOOKUP($B1173,'03-CP'!$C$1:$H$6260,3,0),""))</f>
        <v>UN</v>
      </c>
      <c r="F1173" s="2230">
        <v>1</v>
      </c>
      <c r="G1173" s="2238">
        <v>794.38</v>
      </c>
      <c r="H1173" s="2302">
        <f t="shared" si="254"/>
        <v>794.38</v>
      </c>
      <c r="I1173" s="2286"/>
      <c r="J1173" s="2237"/>
      <c r="K1173" s="2411"/>
      <c r="L1173" s="2533"/>
      <c r="M1173" s="2238"/>
      <c r="N1173" s="2239"/>
      <c r="O1173" s="2498">
        <f t="shared" si="255"/>
        <v>794.38</v>
      </c>
      <c r="P1173" s="2295">
        <f t="shared" si="249"/>
        <v>1</v>
      </c>
    </row>
    <row r="1174" spans="1:16" ht="30">
      <c r="A1174" s="2272" t="s">
        <v>13820</v>
      </c>
      <c r="B1174" s="2228" t="str">
        <f>VLOOKUP($A1174,'14 - QT_BES'!$A:$F,2,0)</f>
        <v>PS-CP-34</v>
      </c>
      <c r="C1174" s="2228" t="str">
        <f>VLOOKUP($A1174,'14 - QT_BES'!$A:$F,3,0)</f>
        <v>PRÓPRIA</v>
      </c>
      <c r="D1174" s="2375" t="s">
        <v>14812</v>
      </c>
      <c r="E1174" s="2243" t="str">
        <f>IFERROR(VLOOKUP($B1174,'24.08_ND'!$1:$1048529,3,0),IFERROR(VLOOKUP($B1174,'03-CP'!$C$1:$H$6260,3,0),""))</f>
        <v>UN</v>
      </c>
      <c r="F1174" s="2230">
        <v>10</v>
      </c>
      <c r="G1174" s="2232">
        <v>215.8</v>
      </c>
      <c r="H1174" s="2302">
        <f t="shared" si="254"/>
        <v>2158</v>
      </c>
      <c r="I1174" s="2287"/>
      <c r="J1174" s="2231"/>
      <c r="K1174" s="2412"/>
      <c r="L1174" s="2536"/>
      <c r="M1174" s="2232"/>
      <c r="N1174" s="2239"/>
      <c r="O1174" s="2498">
        <f t="shared" si="255"/>
        <v>2158</v>
      </c>
      <c r="P1174" s="2295">
        <f t="shared" si="249"/>
        <v>1</v>
      </c>
    </row>
    <row r="1175" spans="1:16" ht="30">
      <c r="A1175" s="2272" t="s">
        <v>13821</v>
      </c>
      <c r="B1175" s="2234">
        <f>VLOOKUP($A1175,'14 - QT_BES'!$A:$F,2,0)</f>
        <v>86914</v>
      </c>
      <c r="C1175" s="2234" t="str">
        <f>VLOOKUP($A1175,'14 - QT_BES'!$A:$F,3,0)</f>
        <v>SINAPI</v>
      </c>
      <c r="D1175" s="2375" t="s">
        <v>10116</v>
      </c>
      <c r="E1175" s="2242" t="str">
        <f>IFERROR(VLOOKUP($B1175,'24.08_ND'!$1:$1048529,3,0),IFERROR(VLOOKUP($B1175,'03-CP'!$C$1:$H$6260,3,0),""))</f>
        <v>UN</v>
      </c>
      <c r="F1175" s="2230">
        <v>4</v>
      </c>
      <c r="G1175" s="2238">
        <v>121.21</v>
      </c>
      <c r="H1175" s="2302">
        <f t="shared" si="254"/>
        <v>484.84</v>
      </c>
      <c r="I1175" s="2286"/>
      <c r="J1175" s="2237"/>
      <c r="K1175" s="2411"/>
      <c r="L1175" s="2533"/>
      <c r="M1175" s="2238"/>
      <c r="N1175" s="2239"/>
      <c r="O1175" s="2498">
        <f t="shared" si="255"/>
        <v>484.84</v>
      </c>
      <c r="P1175" s="2295">
        <f t="shared" si="249"/>
        <v>1</v>
      </c>
    </row>
    <row r="1176" spans="1:16" ht="30">
      <c r="A1176" s="2272" t="s">
        <v>13822</v>
      </c>
      <c r="B1176" s="2228" t="str">
        <f>VLOOKUP($A1176,'14 - QT_BES'!$A:$F,2,0)</f>
        <v>AS-CP-ARQ-31</v>
      </c>
      <c r="C1176" s="2228" t="str">
        <f>VLOOKUP($A1176,'14 - QT_BES'!$A:$F,3,0)</f>
        <v>PRÓPRIA</v>
      </c>
      <c r="D1176" s="2375" t="s">
        <v>15046</v>
      </c>
      <c r="E1176" s="2243" t="str">
        <f>IFERROR(VLOOKUP($B1176,'24.08_ND'!$1:$1048529,3,0),IFERROR(VLOOKUP($B1176,'03-CP'!$C$1:$H$6260,3,0),""))</f>
        <v>UN</v>
      </c>
      <c r="F1176" s="2230">
        <v>8</v>
      </c>
      <c r="G1176" s="2232">
        <v>773.91</v>
      </c>
      <c r="H1176" s="2302">
        <f t="shared" si="254"/>
        <v>6191.28</v>
      </c>
      <c r="I1176" s="2287"/>
      <c r="J1176" s="2231"/>
      <c r="K1176" s="2412"/>
      <c r="L1176" s="2536"/>
      <c r="M1176" s="2232"/>
      <c r="N1176" s="2239"/>
      <c r="O1176" s="2498">
        <f t="shared" si="255"/>
        <v>6191.28</v>
      </c>
      <c r="P1176" s="2295">
        <f t="shared" si="249"/>
        <v>1</v>
      </c>
    </row>
    <row r="1177" spans="1:16" ht="30">
      <c r="A1177" s="2272" t="s">
        <v>13823</v>
      </c>
      <c r="B1177" s="2234">
        <f>VLOOKUP($A1177,'14 - QT_BES'!$A:$F,2,0)</f>
        <v>100868</v>
      </c>
      <c r="C1177" s="2234" t="str">
        <f>VLOOKUP($A1177,'14 - QT_BES'!$A:$F,3,0)</f>
        <v>SINAPI</v>
      </c>
      <c r="D1177" s="2375" t="s">
        <v>10176</v>
      </c>
      <c r="E1177" s="2242" t="str">
        <f>IFERROR(VLOOKUP($B1177,'24.08_ND'!$1:$1048529,3,0),IFERROR(VLOOKUP($B1177,'03-CP'!$C$1:$H$6260,3,0),""))</f>
        <v>UN</v>
      </c>
      <c r="F1177" s="2230">
        <v>4</v>
      </c>
      <c r="G1177" s="2238">
        <v>405.55</v>
      </c>
      <c r="H1177" s="2302">
        <f t="shared" si="254"/>
        <v>1622.2</v>
      </c>
      <c r="I1177" s="2286"/>
      <c r="J1177" s="2237"/>
      <c r="K1177" s="2411"/>
      <c r="L1177" s="2533"/>
      <c r="M1177" s="2238"/>
      <c r="N1177" s="2239"/>
      <c r="O1177" s="2498">
        <f t="shared" si="255"/>
        <v>1622.2</v>
      </c>
      <c r="P1177" s="2295">
        <f t="shared" si="249"/>
        <v>1</v>
      </c>
    </row>
    <row r="1178" spans="1:16" ht="30">
      <c r="A1178" s="2272" t="s">
        <v>13824</v>
      </c>
      <c r="B1178" s="2234">
        <f>VLOOKUP($A1178,'14 - QT_BES'!$A:$F,2,0)</f>
        <v>100867</v>
      </c>
      <c r="C1178" s="2234" t="str">
        <f>VLOOKUP($A1178,'14 - QT_BES'!$A:$F,3,0)</f>
        <v>SINAPI</v>
      </c>
      <c r="D1178" s="2375" t="s">
        <v>10175</v>
      </c>
      <c r="E1178" s="2242" t="str">
        <f>IFERROR(VLOOKUP($B1178,'24.08_ND'!$1:$1048529,3,0),IFERROR(VLOOKUP($B1178,'03-CP'!$C$1:$H$6260,3,0),""))</f>
        <v>UN</v>
      </c>
      <c r="F1178" s="2230">
        <v>4</v>
      </c>
      <c r="G1178" s="2238">
        <v>389.98</v>
      </c>
      <c r="H1178" s="2302">
        <f t="shared" si="254"/>
        <v>1559.92</v>
      </c>
      <c r="I1178" s="2286"/>
      <c r="J1178" s="2237"/>
      <c r="K1178" s="2411"/>
      <c r="L1178" s="2533"/>
      <c r="M1178" s="2238"/>
      <c r="N1178" s="2239"/>
      <c r="O1178" s="2498">
        <f t="shared" si="255"/>
        <v>1559.92</v>
      </c>
      <c r="P1178" s="2295">
        <f t="shared" si="249"/>
        <v>1</v>
      </c>
    </row>
    <row r="1179" spans="1:16" ht="30">
      <c r="A1179" s="2272" t="s">
        <v>13825</v>
      </c>
      <c r="B1179" s="2228" t="str">
        <f>VLOOKUP($A1179,'14 - QT_BES'!$A:$F,2,0)</f>
        <v>PS-CP-60</v>
      </c>
      <c r="C1179" s="2228" t="str">
        <f>VLOOKUP($A1179,'14 - QT_BES'!$A:$F,3,0)</f>
        <v>PRÓPRIA</v>
      </c>
      <c r="D1179" s="2375" t="s">
        <v>14888</v>
      </c>
      <c r="E1179" s="2243" t="str">
        <f>IFERROR(VLOOKUP($B1179,'24.08_ND'!$1:$1048529,3,0),IFERROR(VLOOKUP($B1179,'03-CP'!$C$1:$H$6260,3,0),""))</f>
        <v>UN</v>
      </c>
      <c r="F1179" s="2230">
        <v>4</v>
      </c>
      <c r="G1179" s="2232">
        <v>280.27999999999997</v>
      </c>
      <c r="H1179" s="2302">
        <f t="shared" si="254"/>
        <v>1121.1199999999999</v>
      </c>
      <c r="I1179" s="2287"/>
      <c r="J1179" s="2231"/>
      <c r="K1179" s="2412"/>
      <c r="L1179" s="2536"/>
      <c r="M1179" s="2232"/>
      <c r="N1179" s="2239"/>
      <c r="O1179" s="2498">
        <f t="shared" si="255"/>
        <v>1121.1199999999999</v>
      </c>
      <c r="P1179" s="2295">
        <f t="shared" si="249"/>
        <v>1</v>
      </c>
    </row>
    <row r="1180" spans="1:16" ht="30">
      <c r="A1180" s="2272" t="s">
        <v>13826</v>
      </c>
      <c r="B1180" s="2228" t="str">
        <f>VLOOKUP($A1180,'14 - QT_BES'!$A:$F,2,0)</f>
        <v>AS-CP-ARQ-32</v>
      </c>
      <c r="C1180" s="2228" t="str">
        <f>VLOOKUP($A1180,'14 - QT_BES'!$A:$F,3,0)</f>
        <v>PRÓPRIA</v>
      </c>
      <c r="D1180" s="2375" t="s">
        <v>15049</v>
      </c>
      <c r="E1180" s="2243" t="str">
        <f>IFERROR(VLOOKUP($B1180,'24.08_ND'!$1:$1048529,3,0),IFERROR(VLOOKUP($B1180,'03-CP'!$C$1:$H$6260,3,0),""))</f>
        <v>UN</v>
      </c>
      <c r="F1180" s="2230">
        <v>4</v>
      </c>
      <c r="G1180" s="2232">
        <v>286.25</v>
      </c>
      <c r="H1180" s="2302">
        <f t="shared" si="254"/>
        <v>1145</v>
      </c>
      <c r="I1180" s="2287"/>
      <c r="J1180" s="2231"/>
      <c r="K1180" s="2412"/>
      <c r="L1180" s="2536"/>
      <c r="M1180" s="2232"/>
      <c r="N1180" s="2239"/>
      <c r="O1180" s="2498">
        <f t="shared" si="255"/>
        <v>1145</v>
      </c>
      <c r="P1180" s="2295">
        <f t="shared" si="249"/>
        <v>1</v>
      </c>
    </row>
    <row r="1181" spans="1:16" ht="30">
      <c r="A1181" s="2272" t="s">
        <v>13827</v>
      </c>
      <c r="B1181" s="2228" t="str">
        <f>VLOOKUP($A1181,'14 - QT_BES'!$A:$F,2,0)</f>
        <v>AS-CP-ARQ-33</v>
      </c>
      <c r="C1181" s="2228" t="str">
        <f>VLOOKUP($A1181,'14 - QT_BES'!$A:$F,3,0)</f>
        <v>PRÓPRIA</v>
      </c>
      <c r="D1181" s="2375" t="s">
        <v>15051</v>
      </c>
      <c r="E1181" s="2243" t="str">
        <f>IFERROR(VLOOKUP($B1181,'24.08_ND'!$1:$1048529,3,0),IFERROR(VLOOKUP($B1181,'03-CP'!$C$1:$H$6260,3,0),""))</f>
        <v>UN</v>
      </c>
      <c r="F1181" s="2230">
        <v>6</v>
      </c>
      <c r="G1181" s="2232">
        <v>65.87</v>
      </c>
      <c r="H1181" s="2302">
        <f t="shared" si="254"/>
        <v>395.22</v>
      </c>
      <c r="I1181" s="2287"/>
      <c r="J1181" s="2231"/>
      <c r="K1181" s="2412"/>
      <c r="L1181" s="2536"/>
      <c r="M1181" s="2232"/>
      <c r="N1181" s="2239"/>
      <c r="O1181" s="2498">
        <f t="shared" si="255"/>
        <v>395.22</v>
      </c>
      <c r="P1181" s="2295">
        <f t="shared" si="249"/>
        <v>1</v>
      </c>
    </row>
    <row r="1182" spans="1:16" ht="30">
      <c r="A1182" s="2272" t="s">
        <v>13828</v>
      </c>
      <c r="B1182" s="2234">
        <f>VLOOKUP($A1182,'14 - QT_BES'!$A:$F,2,0)</f>
        <v>95547</v>
      </c>
      <c r="C1182" s="2234" t="str">
        <f>VLOOKUP($A1182,'14 - QT_BES'!$A:$F,3,0)</f>
        <v>SINAPI</v>
      </c>
      <c r="D1182" s="2375" t="s">
        <v>10157</v>
      </c>
      <c r="E1182" s="2242" t="str">
        <f>IFERROR(VLOOKUP($B1182,'24.08_ND'!$1:$1048529,3,0),IFERROR(VLOOKUP($B1182,'03-CP'!$C$1:$H$6260,3,0),""))</f>
        <v>UN</v>
      </c>
      <c r="F1182" s="2230">
        <v>2</v>
      </c>
      <c r="G1182" s="2238">
        <v>66.13</v>
      </c>
      <c r="H1182" s="2302">
        <f t="shared" si="254"/>
        <v>132.26</v>
      </c>
      <c r="I1182" s="2286"/>
      <c r="J1182" s="2237"/>
      <c r="K1182" s="2411"/>
      <c r="L1182" s="2533"/>
      <c r="M1182" s="2238"/>
      <c r="N1182" s="2239"/>
      <c r="O1182" s="2498">
        <f t="shared" si="255"/>
        <v>132.26</v>
      </c>
      <c r="P1182" s="2295">
        <f t="shared" si="249"/>
        <v>1</v>
      </c>
    </row>
    <row r="1183" spans="1:16" ht="30">
      <c r="A1183" s="2272" t="s">
        <v>13829</v>
      </c>
      <c r="B1183" s="2228" t="str">
        <f>VLOOKUP($A1183,'14 - QT_BES'!$A:$F,2,0)</f>
        <v>AS-CP-ARQ-34</v>
      </c>
      <c r="C1183" s="2228" t="str">
        <f>VLOOKUP($A1183,'14 - QT_BES'!$A:$F,3,0)</f>
        <v>PRÓPRIA</v>
      </c>
      <c r="D1183" s="2375" t="s">
        <v>15053</v>
      </c>
      <c r="E1183" s="2243" t="str">
        <f>IFERROR(VLOOKUP($B1183,'24.08_ND'!$1:$1048529,3,0),IFERROR(VLOOKUP($B1183,'03-CP'!$C$1:$H$6260,3,0),""))</f>
        <v>UN</v>
      </c>
      <c r="F1183" s="2230">
        <v>4</v>
      </c>
      <c r="G1183" s="2232">
        <v>705.57</v>
      </c>
      <c r="H1183" s="2302">
        <f t="shared" si="254"/>
        <v>2822.28</v>
      </c>
      <c r="I1183" s="2287"/>
      <c r="J1183" s="2231"/>
      <c r="K1183" s="2412"/>
      <c r="L1183" s="2536"/>
      <c r="M1183" s="2232"/>
      <c r="N1183" s="2239"/>
      <c r="O1183" s="2498">
        <f t="shared" si="255"/>
        <v>2822.28</v>
      </c>
      <c r="P1183" s="2295">
        <f t="shared" si="249"/>
        <v>1</v>
      </c>
    </row>
    <row r="1184" spans="1:16" ht="30">
      <c r="A1184" s="2272" t="s">
        <v>13830</v>
      </c>
      <c r="B1184" s="2228" t="str">
        <f>VLOOKUP($A1184,'14 - QT_BES'!$A:$F,2,0)</f>
        <v>AS-CP-ARQ-35</v>
      </c>
      <c r="C1184" s="2228" t="str">
        <f>VLOOKUP($A1184,'14 - QT_BES'!$A:$F,3,0)</f>
        <v>PRÓPRIA</v>
      </c>
      <c r="D1184" s="2375" t="s">
        <v>15056</v>
      </c>
      <c r="E1184" s="2243" t="str">
        <f>IFERROR(VLOOKUP($B1184,'24.08_ND'!$1:$1048529,3,0),IFERROR(VLOOKUP($B1184,'03-CP'!$C$1:$H$6260,3,0),""))</f>
        <v>UN</v>
      </c>
      <c r="F1184" s="2230">
        <v>18</v>
      </c>
      <c r="G1184" s="2232">
        <v>61.25</v>
      </c>
      <c r="H1184" s="2302">
        <f t="shared" si="254"/>
        <v>1102.5</v>
      </c>
      <c r="I1184" s="2287"/>
      <c r="J1184" s="2231"/>
      <c r="K1184" s="2412"/>
      <c r="L1184" s="2536"/>
      <c r="M1184" s="2232"/>
      <c r="N1184" s="2239"/>
      <c r="O1184" s="2498">
        <f t="shared" si="255"/>
        <v>1102.5</v>
      </c>
      <c r="P1184" s="2295">
        <f t="shared" si="249"/>
        <v>1</v>
      </c>
    </row>
    <row r="1185" spans="1:16">
      <c r="A1185" s="2272" t="s">
        <v>13831</v>
      </c>
      <c r="B1185" s="2228" t="str">
        <f>VLOOKUP($A1185,'14 - QT_BES'!$A:$F,2,0)</f>
        <v>PS-CP-88</v>
      </c>
      <c r="C1185" s="2228" t="str">
        <f>VLOOKUP($A1185,'14 - QT_BES'!$A:$F,3,0)</f>
        <v>PRÓPRIA</v>
      </c>
      <c r="D1185" s="2375" t="s">
        <v>14953</v>
      </c>
      <c r="E1185" s="2243" t="str">
        <f>IFERROR(VLOOKUP($B1185,'24.08_ND'!$1:$1048529,3,0),IFERROR(VLOOKUP($B1185,'03-CP'!$C$1:$H$6260,3,0),""))</f>
        <v>UN</v>
      </c>
      <c r="F1185" s="2230">
        <v>18</v>
      </c>
      <c r="G1185" s="2232">
        <v>162.76</v>
      </c>
      <c r="H1185" s="2302">
        <f t="shared" si="254"/>
        <v>2929.68</v>
      </c>
      <c r="I1185" s="2287"/>
      <c r="J1185" s="2231"/>
      <c r="K1185" s="2412"/>
      <c r="L1185" s="2536"/>
      <c r="M1185" s="2232"/>
      <c r="N1185" s="2239"/>
      <c r="O1185" s="2498">
        <f t="shared" si="255"/>
        <v>2929.68</v>
      </c>
      <c r="P1185" s="2295">
        <f t="shared" si="249"/>
        <v>1</v>
      </c>
    </row>
    <row r="1186" spans="1:16" ht="30">
      <c r="A1186" s="2272" t="s">
        <v>13832</v>
      </c>
      <c r="B1186" s="2228" t="str">
        <f>VLOOKUP($A1186,'14 - QT_BES'!$A:$F,2,0)</f>
        <v>AS-CP-ARQ-36</v>
      </c>
      <c r="C1186" s="2228" t="str">
        <f>VLOOKUP($A1186,'14 - QT_BES'!$A:$F,3,0)</f>
        <v>PRÓPRIA</v>
      </c>
      <c r="D1186" s="2375" t="s">
        <v>15058</v>
      </c>
      <c r="E1186" s="2243" t="str">
        <f>IFERROR(VLOOKUP($B1186,'24.08_ND'!$1:$1048529,3,0),IFERROR(VLOOKUP($B1186,'03-CP'!$C$1:$H$6260,3,0),""))</f>
        <v>UN</v>
      </c>
      <c r="F1186" s="2230">
        <v>11</v>
      </c>
      <c r="G1186" s="2232">
        <v>42.48</v>
      </c>
      <c r="H1186" s="2302">
        <f t="shared" si="254"/>
        <v>467.28</v>
      </c>
      <c r="I1186" s="2287"/>
      <c r="J1186" s="2231"/>
      <c r="K1186" s="2412"/>
      <c r="L1186" s="2536"/>
      <c r="M1186" s="2232"/>
      <c r="N1186" s="2239"/>
      <c r="O1186" s="2498">
        <f t="shared" si="255"/>
        <v>467.28</v>
      </c>
      <c r="P1186" s="2295">
        <f t="shared" si="249"/>
        <v>1</v>
      </c>
    </row>
    <row r="1187" spans="1:16" ht="30">
      <c r="A1187" s="2342" t="s">
        <v>13833</v>
      </c>
      <c r="B1187" s="2395"/>
      <c r="C1187" s="2399"/>
      <c r="D1187" s="2376" t="s">
        <v>16301</v>
      </c>
      <c r="E1187" s="2356"/>
      <c r="F1187" s="2357"/>
      <c r="G1187" s="2358"/>
      <c r="H1187" s="2361">
        <f>SUBTOTAL(9,H1188:H1193)</f>
        <v>32698.870000000003</v>
      </c>
      <c r="I1187" s="2359"/>
      <c r="J1187" s="2360"/>
      <c r="K1187" s="2549"/>
      <c r="L1187" s="2539">
        <f>SUBTOTAL(9,L1188:L1193)</f>
        <v>0</v>
      </c>
      <c r="M1187" s="2361">
        <f>SUBTOTAL(9,M1188:M1193)</f>
        <v>0</v>
      </c>
      <c r="N1187" s="2361">
        <f>SUBTOTAL(9,N1188:N1193)</f>
        <v>0</v>
      </c>
      <c r="O1187" s="2361">
        <f>SUBTOTAL(9,O1188:O1193)</f>
        <v>32698.870000000003</v>
      </c>
      <c r="P1187" s="2295">
        <f t="shared" si="249"/>
        <v>1</v>
      </c>
    </row>
    <row r="1188" spans="1:16" ht="30">
      <c r="A1188" s="2272" t="s">
        <v>13834</v>
      </c>
      <c r="B1188" s="2228" t="str">
        <f>VLOOKUP($A1188,'14 - QT_BES'!$A:$F,2,0)</f>
        <v>AS-CP-ARQ-43</v>
      </c>
      <c r="C1188" s="2228" t="str">
        <f>VLOOKUP($A1188,'14 - QT_BES'!$A:$F,3,0)</f>
        <v>PRÓPRIA</v>
      </c>
      <c r="D1188" s="2375" t="s">
        <v>14908</v>
      </c>
      <c r="E1188" s="2243" t="str">
        <f>IFERROR(VLOOKUP($B1188,'24.08_ND'!$1:$1048529,3,0),IFERROR(VLOOKUP($B1188,'03-CP'!$C$1:$H$6260,3,0),""))</f>
        <v>UN</v>
      </c>
      <c r="F1188" s="2230">
        <v>4</v>
      </c>
      <c r="G1188" s="2232">
        <v>64.2</v>
      </c>
      <c r="H1188" s="2302">
        <f t="shared" ref="H1188:H1193" si="256">TRUNC((G1188*F1188),2)</f>
        <v>256.8</v>
      </c>
      <c r="I1188" s="2287"/>
      <c r="J1188" s="2231"/>
      <c r="K1188" s="2412"/>
      <c r="L1188" s="2536"/>
      <c r="M1188" s="2232"/>
      <c r="N1188" s="2239"/>
      <c r="O1188" s="2498">
        <f t="shared" ref="O1188:O1193" si="257">H1188-L1188</f>
        <v>256.8</v>
      </c>
      <c r="P1188" s="2295">
        <f t="shared" si="249"/>
        <v>1</v>
      </c>
    </row>
    <row r="1189" spans="1:16" ht="30">
      <c r="A1189" s="2272" t="s">
        <v>13835</v>
      </c>
      <c r="B1189" s="2228" t="str">
        <f>VLOOKUP($A1189,'14 - QT_BES'!$A:$F,2,0)</f>
        <v>AS-CP-ARQ-44</v>
      </c>
      <c r="C1189" s="2228" t="str">
        <f>VLOOKUP($A1189,'14 - QT_BES'!$A:$F,3,0)</f>
        <v>PRÓPRIA</v>
      </c>
      <c r="D1189" s="2375" t="s">
        <v>15073</v>
      </c>
      <c r="E1189" s="2243" t="str">
        <f>IFERROR(VLOOKUP($B1189,'24.08_ND'!$1:$1048529,3,0),IFERROR(VLOOKUP($B1189,'03-CP'!$C$1:$H$6260,3,0),""))</f>
        <v>M</v>
      </c>
      <c r="F1189" s="2230">
        <v>26.25</v>
      </c>
      <c r="G1189" s="2232">
        <v>177.9</v>
      </c>
      <c r="H1189" s="2302">
        <f t="shared" si="256"/>
        <v>4669.87</v>
      </c>
      <c r="I1189" s="2287"/>
      <c r="J1189" s="2231"/>
      <c r="K1189" s="2412"/>
      <c r="L1189" s="2536"/>
      <c r="M1189" s="2232"/>
      <c r="N1189" s="2239"/>
      <c r="O1189" s="2498">
        <f t="shared" si="257"/>
        <v>4669.87</v>
      </c>
      <c r="P1189" s="2295">
        <f t="shared" si="249"/>
        <v>1</v>
      </c>
    </row>
    <row r="1190" spans="1:16" ht="30">
      <c r="A1190" s="2272" t="s">
        <v>13836</v>
      </c>
      <c r="B1190" s="2228" t="str">
        <f>VLOOKUP($A1190,'14 - QT_BES'!$A:$F,2,0)</f>
        <v>AS-CP-ARQ-45</v>
      </c>
      <c r="C1190" s="2228" t="str">
        <f>VLOOKUP($A1190,'14 - QT_BES'!$A:$F,3,0)</f>
        <v>PRÓPRIA</v>
      </c>
      <c r="D1190" s="2375" t="s">
        <v>15077</v>
      </c>
      <c r="E1190" s="2243" t="str">
        <f>IFERROR(VLOOKUP($B1190,'24.08_ND'!$1:$1048529,3,0),IFERROR(VLOOKUP($B1190,'03-CP'!$C$1:$H$6260,3,0),""))</f>
        <v>M</v>
      </c>
      <c r="F1190" s="2230">
        <v>2.75</v>
      </c>
      <c r="G1190" s="2232">
        <v>192.61</v>
      </c>
      <c r="H1190" s="2302">
        <f t="shared" si="256"/>
        <v>529.66999999999996</v>
      </c>
      <c r="I1190" s="2287"/>
      <c r="J1190" s="2231"/>
      <c r="K1190" s="2412"/>
      <c r="L1190" s="2536"/>
      <c r="M1190" s="2232"/>
      <c r="N1190" s="2239"/>
      <c r="O1190" s="2498">
        <f t="shared" si="257"/>
        <v>529.66999999999996</v>
      </c>
      <c r="P1190" s="2295">
        <f t="shared" si="249"/>
        <v>1</v>
      </c>
    </row>
    <row r="1191" spans="1:16" ht="45">
      <c r="A1191" s="2272" t="s">
        <v>13837</v>
      </c>
      <c r="B1191" s="2234">
        <f>VLOOKUP($A1191,'14 - QT_BES'!$A:$F,2,0)</f>
        <v>94995</v>
      </c>
      <c r="C1191" s="2234" t="str">
        <f>VLOOKUP($A1191,'14 - QT_BES'!$A:$F,3,0)</f>
        <v>SINAPI</v>
      </c>
      <c r="D1191" s="2375" t="s">
        <v>11200</v>
      </c>
      <c r="E1191" s="2242" t="str">
        <f>IFERROR(VLOOKUP($B1191,'24.08_ND'!$1:$1048529,3,0),IFERROR(VLOOKUP($B1191,'03-CP'!$C$1:$H$6260,3,0),""))</f>
        <v>M2</v>
      </c>
      <c r="F1191" s="2230">
        <v>173.26999999999998</v>
      </c>
      <c r="G1191" s="2238">
        <v>127.46</v>
      </c>
      <c r="H1191" s="2302">
        <f t="shared" si="256"/>
        <v>22084.99</v>
      </c>
      <c r="I1191" s="2286"/>
      <c r="J1191" s="2237"/>
      <c r="K1191" s="2411"/>
      <c r="L1191" s="2533"/>
      <c r="M1191" s="2238"/>
      <c r="N1191" s="2239"/>
      <c r="O1191" s="2498">
        <f t="shared" si="257"/>
        <v>22084.99</v>
      </c>
      <c r="P1191" s="2295">
        <f t="shared" si="249"/>
        <v>1</v>
      </c>
    </row>
    <row r="1192" spans="1:16" ht="30">
      <c r="A1192" s="2272" t="s">
        <v>13838</v>
      </c>
      <c r="B1192" s="2234">
        <f>VLOOKUP($A1192,'14 - QT_BES'!$A:$F,2,0)</f>
        <v>87299</v>
      </c>
      <c r="C1192" s="2234" t="str">
        <f>VLOOKUP($A1192,'14 - QT_BES'!$A:$F,3,0)</f>
        <v>SINAPI</v>
      </c>
      <c r="D1192" s="2375" t="s">
        <v>11550</v>
      </c>
      <c r="E1192" s="2242" t="str">
        <f>IFERROR(VLOOKUP($B1192,'24.08_ND'!$1:$1048529,3,0),IFERROR(VLOOKUP($B1192,'03-CP'!$C$1:$H$6260,3,0),""))</f>
        <v>M3</v>
      </c>
      <c r="F1192" s="2230">
        <v>4.7945999999999991</v>
      </c>
      <c r="G1192" s="2238">
        <v>548.28</v>
      </c>
      <c r="H1192" s="2302">
        <f t="shared" si="256"/>
        <v>2628.78</v>
      </c>
      <c r="I1192" s="2286"/>
      <c r="J1192" s="2237"/>
      <c r="K1192" s="2411"/>
      <c r="L1192" s="2533"/>
      <c r="M1192" s="2238"/>
      <c r="N1192" s="2239"/>
      <c r="O1192" s="2498">
        <f t="shared" si="257"/>
        <v>2628.78</v>
      </c>
      <c r="P1192" s="2295">
        <f t="shared" si="249"/>
        <v>1</v>
      </c>
    </row>
    <row r="1193" spans="1:16" ht="30">
      <c r="A1193" s="2272" t="s">
        <v>13839</v>
      </c>
      <c r="B1193" s="2228" t="str">
        <f>VLOOKUP($A1193,'14 - QT_BES'!$A:$F,2,0)</f>
        <v>PS-CP-93</v>
      </c>
      <c r="C1193" s="2228" t="str">
        <f>VLOOKUP($A1193,'14 - QT_BES'!$A:$F,3,0)</f>
        <v>PRÓPRIA</v>
      </c>
      <c r="D1193" s="2375" t="s">
        <v>14963</v>
      </c>
      <c r="E1193" s="2243" t="str">
        <f>IFERROR(VLOOKUP($B1193,'24.08_ND'!$1:$1048529,3,0),IFERROR(VLOOKUP($B1193,'03-CP'!$C$1:$H$6260,3,0),""))</f>
        <v>M2</v>
      </c>
      <c r="F1193" s="2230">
        <v>8.89</v>
      </c>
      <c r="G1193" s="2232">
        <v>284.45</v>
      </c>
      <c r="H1193" s="2302">
        <f t="shared" si="256"/>
        <v>2528.7600000000002</v>
      </c>
      <c r="I1193" s="2287"/>
      <c r="J1193" s="2231"/>
      <c r="K1193" s="2412"/>
      <c r="L1193" s="2536"/>
      <c r="M1193" s="2232"/>
      <c r="N1193" s="2239"/>
      <c r="O1193" s="2498">
        <f t="shared" si="257"/>
        <v>2528.7600000000002</v>
      </c>
      <c r="P1193" s="2295">
        <f t="shared" si="249"/>
        <v>1</v>
      </c>
    </row>
    <row r="1194" spans="1:16">
      <c r="A1194" s="2267" t="s">
        <v>12644</v>
      </c>
      <c r="B1194" s="2394"/>
      <c r="C1194" s="2398"/>
      <c r="D1194" s="2377" t="s">
        <v>16310</v>
      </c>
      <c r="E1194" s="2353"/>
      <c r="F1194" s="2354"/>
      <c r="G1194" s="2355"/>
      <c r="H1194" s="2300">
        <f>SUBTOTAL(9,H1195:H1289)</f>
        <v>92652.61</v>
      </c>
      <c r="I1194" s="2283"/>
      <c r="J1194" s="2221"/>
      <c r="K1194" s="2492"/>
      <c r="L1194" s="2532">
        <f>SUBTOTAL(9,L1195:L1289)</f>
        <v>0</v>
      </c>
      <c r="M1194" s="2300">
        <f>SUBTOTAL(9,M1195:M1289)</f>
        <v>0</v>
      </c>
      <c r="N1194" s="2300">
        <f>SUBTOTAL(9,N1195:N1289)</f>
        <v>0</v>
      </c>
      <c r="O1194" s="2300">
        <f>SUBTOTAL(9,O1195:O1289)</f>
        <v>92652.61</v>
      </c>
      <c r="P1194" s="2295">
        <f t="shared" si="249"/>
        <v>1</v>
      </c>
    </row>
    <row r="1195" spans="1:16">
      <c r="A1195" s="2343" t="s">
        <v>13840</v>
      </c>
      <c r="B1195" s="2395"/>
      <c r="C1195" s="2399"/>
      <c r="D1195" s="2376" t="s">
        <v>16312</v>
      </c>
      <c r="E1195" s="2356"/>
      <c r="F1195" s="2357"/>
      <c r="G1195" s="2358"/>
      <c r="H1195" s="2361">
        <f>SUBTOTAL(9,H1196:H1236)</f>
        <v>37453.5</v>
      </c>
      <c r="I1195" s="2359"/>
      <c r="J1195" s="2360"/>
      <c r="K1195" s="2549"/>
      <c r="L1195" s="2539">
        <f>SUBTOTAL(9,L1196:L1236)</f>
        <v>0</v>
      </c>
      <c r="M1195" s="2361">
        <f>SUBTOTAL(9,M1196:M1236)</f>
        <v>0</v>
      </c>
      <c r="N1195" s="2361">
        <f>SUBTOTAL(9,N1196:N1236)</f>
        <v>0</v>
      </c>
      <c r="O1195" s="2361">
        <f>SUBTOTAL(9,O1196:O1236)</f>
        <v>37453.5</v>
      </c>
      <c r="P1195" s="2295">
        <f t="shared" si="249"/>
        <v>1</v>
      </c>
    </row>
    <row r="1196" spans="1:16" ht="45">
      <c r="A1196" s="2272" t="s">
        <v>13841</v>
      </c>
      <c r="B1196" s="2234">
        <f>VLOOKUP($A1196,'14 - QT_BES'!$A:$F,2,0)</f>
        <v>89383</v>
      </c>
      <c r="C1196" s="2234" t="str">
        <f>VLOOKUP($A1196,'14 - QT_BES'!$A:$F,3,0)</f>
        <v>SINAPI</v>
      </c>
      <c r="D1196" s="2375" t="s">
        <v>8690</v>
      </c>
      <c r="E1196" s="2242" t="str">
        <f>IFERROR(VLOOKUP($B1196,'24.08_ND'!$1:$1048529,3,0),IFERROR(VLOOKUP($B1196,'03-CP'!$C$1:$H$6260,3,0),""))</f>
        <v>UN</v>
      </c>
      <c r="F1196" s="2230">
        <v>2</v>
      </c>
      <c r="G1196" s="2238">
        <v>7.15</v>
      </c>
      <c r="H1196" s="2302">
        <f t="shared" ref="H1196:H1236" si="258">TRUNC((G1196*F1196),2)</f>
        <v>14.3</v>
      </c>
      <c r="I1196" s="2328">
        <f t="shared" ref="I1196:I1236" si="259">J1196+K1196</f>
        <v>0</v>
      </c>
      <c r="J1196" s="2237"/>
      <c r="K1196" s="2411"/>
      <c r="L1196" s="2533">
        <f t="shared" ref="L1196:L1236" si="260">M1196+N1196</f>
        <v>0</v>
      </c>
      <c r="M1196" s="2238">
        <v>0</v>
      </c>
      <c r="N1196" s="2239">
        <f t="shared" ref="N1196:N1236" si="261">TRUNC(H1196*K1196,2)</f>
        <v>0</v>
      </c>
      <c r="O1196" s="2498">
        <f t="shared" ref="O1196:O1236" si="262">H1196-L1196</f>
        <v>14.3</v>
      </c>
      <c r="P1196" s="2295">
        <f t="shared" si="249"/>
        <v>1</v>
      </c>
    </row>
    <row r="1197" spans="1:16" ht="45">
      <c r="A1197" s="2272" t="s">
        <v>13842</v>
      </c>
      <c r="B1197" s="2234">
        <f>VLOOKUP($A1197,'14 - QT_BES'!$A:$F,2,0)</f>
        <v>104001</v>
      </c>
      <c r="C1197" s="2234" t="str">
        <f>VLOOKUP($A1197,'14 - QT_BES'!$A:$F,3,0)</f>
        <v>SINAPI</v>
      </c>
      <c r="D1197" s="2375" t="s">
        <v>9845</v>
      </c>
      <c r="E1197" s="2242" t="str">
        <f>IFERROR(VLOOKUP($B1197,'24.08_ND'!$1:$1048529,3,0),IFERROR(VLOOKUP($B1197,'03-CP'!$C$1:$H$6260,3,0),""))</f>
        <v>UN</v>
      </c>
      <c r="F1197" s="2230">
        <v>54</v>
      </c>
      <c r="G1197" s="2238">
        <v>14.58</v>
      </c>
      <c r="H1197" s="2302">
        <f t="shared" si="258"/>
        <v>787.32</v>
      </c>
      <c r="I1197" s="2328">
        <f t="shared" si="259"/>
        <v>0</v>
      </c>
      <c r="J1197" s="2237"/>
      <c r="K1197" s="2411"/>
      <c r="L1197" s="2533">
        <f t="shared" si="260"/>
        <v>0</v>
      </c>
      <c r="M1197" s="2238">
        <v>0</v>
      </c>
      <c r="N1197" s="2239">
        <f t="shared" si="261"/>
        <v>0</v>
      </c>
      <c r="O1197" s="2498">
        <f t="shared" si="262"/>
        <v>787.32</v>
      </c>
      <c r="P1197" s="2295">
        <f t="shared" si="249"/>
        <v>1</v>
      </c>
    </row>
    <row r="1198" spans="1:16" ht="30">
      <c r="A1198" s="2272" t="s">
        <v>13843</v>
      </c>
      <c r="B1198" s="2234">
        <f>VLOOKUP($A1198,'14 - QT_BES'!$A:$F,2,0)</f>
        <v>103999</v>
      </c>
      <c r="C1198" s="2234" t="str">
        <f>VLOOKUP($A1198,'14 - QT_BES'!$A:$F,3,0)</f>
        <v>SINAPI</v>
      </c>
      <c r="D1198" s="2375" t="s">
        <v>9843</v>
      </c>
      <c r="E1198" s="2242" t="str">
        <f>IFERROR(VLOOKUP($B1198,'24.08_ND'!$1:$1048529,3,0),IFERROR(VLOOKUP($B1198,'03-CP'!$C$1:$H$6260,3,0),""))</f>
        <v>UN</v>
      </c>
      <c r="F1198" s="2230">
        <v>8</v>
      </c>
      <c r="G1198" s="2238">
        <v>13.2</v>
      </c>
      <c r="H1198" s="2302">
        <f t="shared" si="258"/>
        <v>105.6</v>
      </c>
      <c r="I1198" s="2328">
        <f t="shared" si="259"/>
        <v>0</v>
      </c>
      <c r="J1198" s="2237"/>
      <c r="K1198" s="2411"/>
      <c r="L1198" s="2533">
        <f t="shared" si="260"/>
        <v>0</v>
      </c>
      <c r="M1198" s="2238">
        <v>0</v>
      </c>
      <c r="N1198" s="2239">
        <f t="shared" si="261"/>
        <v>0</v>
      </c>
      <c r="O1198" s="2498">
        <f t="shared" si="262"/>
        <v>105.6</v>
      </c>
      <c r="P1198" s="2295">
        <f t="shared" si="249"/>
        <v>1</v>
      </c>
    </row>
    <row r="1199" spans="1:16" ht="30">
      <c r="A1199" s="2272" t="s">
        <v>13844</v>
      </c>
      <c r="B1199" s="2234">
        <f>VLOOKUP($A1199,'14 - QT_BES'!$A:$F,2,0)</f>
        <v>103948</v>
      </c>
      <c r="C1199" s="2234" t="str">
        <f>VLOOKUP($A1199,'14 - QT_BES'!$A:$F,3,0)</f>
        <v>SINAPI</v>
      </c>
      <c r="D1199" s="2375" t="s">
        <v>9802</v>
      </c>
      <c r="E1199" s="2242" t="str">
        <f>IFERROR(VLOOKUP($B1199,'24.08_ND'!$1:$1048529,3,0),IFERROR(VLOOKUP($B1199,'03-CP'!$C$1:$H$6260,3,0),""))</f>
        <v>UN</v>
      </c>
      <c r="F1199" s="2230">
        <v>7</v>
      </c>
      <c r="G1199" s="2238">
        <v>8.56</v>
      </c>
      <c r="H1199" s="2302">
        <f t="shared" si="258"/>
        <v>59.92</v>
      </c>
      <c r="I1199" s="2328">
        <f t="shared" si="259"/>
        <v>0</v>
      </c>
      <c r="J1199" s="2237"/>
      <c r="K1199" s="2411"/>
      <c r="L1199" s="2533">
        <f t="shared" si="260"/>
        <v>0</v>
      </c>
      <c r="M1199" s="2238">
        <v>0</v>
      </c>
      <c r="N1199" s="2239">
        <f t="shared" si="261"/>
        <v>0</v>
      </c>
      <c r="O1199" s="2498">
        <f t="shared" si="262"/>
        <v>59.92</v>
      </c>
      <c r="P1199" s="2295">
        <f t="shared" si="249"/>
        <v>1</v>
      </c>
    </row>
    <row r="1200" spans="1:16" ht="30">
      <c r="A1200" s="2272" t="s">
        <v>13845</v>
      </c>
      <c r="B1200" s="2234">
        <f>VLOOKUP($A1200,'14 - QT_BES'!$A:$F,2,0)</f>
        <v>94683</v>
      </c>
      <c r="C1200" s="2234" t="str">
        <f>VLOOKUP($A1200,'14 - QT_BES'!$A:$F,3,0)</f>
        <v>SINAPI</v>
      </c>
      <c r="D1200" s="2375" t="s">
        <v>9379</v>
      </c>
      <c r="E1200" s="2242" t="str">
        <f>IFERROR(VLOOKUP($B1200,'24.08_ND'!$1:$1048529,3,0),IFERROR(VLOOKUP($B1200,'03-CP'!$C$1:$H$6260,3,0),""))</f>
        <v>UN</v>
      </c>
      <c r="F1200" s="2230">
        <v>6</v>
      </c>
      <c r="G1200" s="2238">
        <v>73.22</v>
      </c>
      <c r="H1200" s="2302">
        <f t="shared" si="258"/>
        <v>439.32</v>
      </c>
      <c r="I1200" s="2328">
        <f t="shared" si="259"/>
        <v>0</v>
      </c>
      <c r="J1200" s="2237"/>
      <c r="K1200" s="2411"/>
      <c r="L1200" s="2533">
        <f t="shared" si="260"/>
        <v>0</v>
      </c>
      <c r="M1200" s="2238">
        <v>0</v>
      </c>
      <c r="N1200" s="2239">
        <f t="shared" si="261"/>
        <v>0</v>
      </c>
      <c r="O1200" s="2498">
        <f t="shared" si="262"/>
        <v>439.32</v>
      </c>
      <c r="P1200" s="2295">
        <f t="shared" si="249"/>
        <v>1</v>
      </c>
    </row>
    <row r="1201" spans="1:16" ht="30">
      <c r="A1201" s="2272" t="s">
        <v>13846</v>
      </c>
      <c r="B1201" s="2234">
        <f>VLOOKUP($A1201,'14 - QT_BES'!$A:$F,2,0)</f>
        <v>94679</v>
      </c>
      <c r="C1201" s="2234" t="str">
        <f>VLOOKUP($A1201,'14 - QT_BES'!$A:$F,3,0)</f>
        <v>SINAPI</v>
      </c>
      <c r="D1201" s="2375" t="s">
        <v>9375</v>
      </c>
      <c r="E1201" s="2242" t="str">
        <f>IFERROR(VLOOKUP($B1201,'24.08_ND'!$1:$1048529,3,0),IFERROR(VLOOKUP($B1201,'03-CP'!$C$1:$H$6260,3,0),""))</f>
        <v>UN</v>
      </c>
      <c r="F1201" s="2230">
        <v>34</v>
      </c>
      <c r="G1201" s="2238">
        <v>23.81</v>
      </c>
      <c r="H1201" s="2302">
        <f t="shared" si="258"/>
        <v>809.54</v>
      </c>
      <c r="I1201" s="2328">
        <f t="shared" si="259"/>
        <v>0</v>
      </c>
      <c r="J1201" s="2237"/>
      <c r="K1201" s="2411"/>
      <c r="L1201" s="2533">
        <f t="shared" si="260"/>
        <v>0</v>
      </c>
      <c r="M1201" s="2238">
        <v>0</v>
      </c>
      <c r="N1201" s="2239">
        <f t="shared" si="261"/>
        <v>0</v>
      </c>
      <c r="O1201" s="2498">
        <f t="shared" si="262"/>
        <v>809.54</v>
      </c>
      <c r="P1201" s="2295">
        <f t="shared" si="249"/>
        <v>1</v>
      </c>
    </row>
    <row r="1202" spans="1:16" ht="30">
      <c r="A1202" s="2272" t="s">
        <v>13847</v>
      </c>
      <c r="B1202" s="2234">
        <f>VLOOKUP($A1202,'14 - QT_BES'!$A:$F,2,0)</f>
        <v>89369</v>
      </c>
      <c r="C1202" s="2234" t="str">
        <f>VLOOKUP($A1202,'14 - QT_BES'!$A:$F,3,0)</f>
        <v>SINAPI</v>
      </c>
      <c r="D1202" s="2375" t="s">
        <v>8676</v>
      </c>
      <c r="E1202" s="2242" t="str">
        <f>IFERROR(VLOOKUP($B1202,'24.08_ND'!$1:$1048529,3,0),IFERROR(VLOOKUP($B1202,'03-CP'!$C$1:$H$6260,3,0),""))</f>
        <v>UN</v>
      </c>
      <c r="F1202" s="2230">
        <v>3</v>
      </c>
      <c r="G1202" s="2238">
        <v>17.91</v>
      </c>
      <c r="H1202" s="2302">
        <f t="shared" si="258"/>
        <v>53.73</v>
      </c>
      <c r="I1202" s="2328">
        <f t="shared" si="259"/>
        <v>0</v>
      </c>
      <c r="J1202" s="2237"/>
      <c r="K1202" s="2411"/>
      <c r="L1202" s="2533">
        <f t="shared" si="260"/>
        <v>0</v>
      </c>
      <c r="M1202" s="2238">
        <v>0</v>
      </c>
      <c r="N1202" s="2239">
        <f t="shared" si="261"/>
        <v>0</v>
      </c>
      <c r="O1202" s="2498">
        <f t="shared" si="262"/>
        <v>53.73</v>
      </c>
      <c r="P1202" s="2295">
        <f t="shared" si="249"/>
        <v>1</v>
      </c>
    </row>
    <row r="1203" spans="1:16" ht="30">
      <c r="A1203" s="2272" t="s">
        <v>13848</v>
      </c>
      <c r="B1203" s="2234">
        <f>VLOOKUP($A1203,'14 - QT_BES'!$A:$F,2,0)</f>
        <v>89364</v>
      </c>
      <c r="C1203" s="2234" t="str">
        <f>VLOOKUP($A1203,'14 - QT_BES'!$A:$F,3,0)</f>
        <v>SINAPI</v>
      </c>
      <c r="D1203" s="2375" t="s">
        <v>8671</v>
      </c>
      <c r="E1203" s="2242" t="str">
        <f>IFERROR(VLOOKUP($B1203,'24.08_ND'!$1:$1048529,3,0),IFERROR(VLOOKUP($B1203,'03-CP'!$C$1:$H$6260,3,0),""))</f>
        <v>UN</v>
      </c>
      <c r="F1203" s="2230">
        <v>20</v>
      </c>
      <c r="G1203" s="2238">
        <v>12.43</v>
      </c>
      <c r="H1203" s="2302">
        <f t="shared" si="258"/>
        <v>248.6</v>
      </c>
      <c r="I1203" s="2328">
        <f t="shared" si="259"/>
        <v>0</v>
      </c>
      <c r="J1203" s="2237"/>
      <c r="K1203" s="2411"/>
      <c r="L1203" s="2533">
        <f t="shared" si="260"/>
        <v>0</v>
      </c>
      <c r="M1203" s="2238">
        <v>0</v>
      </c>
      <c r="N1203" s="2239">
        <f t="shared" si="261"/>
        <v>0</v>
      </c>
      <c r="O1203" s="2498">
        <f t="shared" si="262"/>
        <v>248.6</v>
      </c>
      <c r="P1203" s="2295">
        <f t="shared" si="249"/>
        <v>1</v>
      </c>
    </row>
    <row r="1204" spans="1:16" ht="30">
      <c r="A1204" s="2272" t="s">
        <v>13849</v>
      </c>
      <c r="B1204" s="2234">
        <f>VLOOKUP($A1204,'14 - QT_BES'!$A:$F,2,0)</f>
        <v>89430</v>
      </c>
      <c r="C1204" s="2234" t="str">
        <f>VLOOKUP($A1204,'14 - QT_BES'!$A:$F,3,0)</f>
        <v>SINAPI</v>
      </c>
      <c r="D1204" s="2375" t="s">
        <v>8731</v>
      </c>
      <c r="E1204" s="2242" t="str">
        <f>IFERROR(VLOOKUP($B1204,'24.08_ND'!$1:$1048529,3,0),IFERROR(VLOOKUP($B1204,'03-CP'!$C$1:$H$6260,3,0),""))</f>
        <v>UN</v>
      </c>
      <c r="F1204" s="2230">
        <v>2</v>
      </c>
      <c r="G1204" s="2238">
        <v>12.8</v>
      </c>
      <c r="H1204" s="2302">
        <f t="shared" si="258"/>
        <v>25.6</v>
      </c>
      <c r="I1204" s="2328">
        <f t="shared" si="259"/>
        <v>0</v>
      </c>
      <c r="J1204" s="2237"/>
      <c r="K1204" s="2411"/>
      <c r="L1204" s="2533">
        <f t="shared" si="260"/>
        <v>0</v>
      </c>
      <c r="M1204" s="2238">
        <v>0</v>
      </c>
      <c r="N1204" s="2239">
        <f t="shared" si="261"/>
        <v>0</v>
      </c>
      <c r="O1204" s="2498">
        <f t="shared" si="262"/>
        <v>25.6</v>
      </c>
      <c r="P1204" s="2295">
        <f t="shared" si="249"/>
        <v>1</v>
      </c>
    </row>
    <row r="1205" spans="1:16" ht="30">
      <c r="A1205" s="2272" t="s">
        <v>13850</v>
      </c>
      <c r="B1205" s="2234">
        <f>VLOOKUP($A1205,'14 - QT_BES'!$A:$F,2,0)</f>
        <v>89363</v>
      </c>
      <c r="C1205" s="2234" t="str">
        <f>VLOOKUP($A1205,'14 - QT_BES'!$A:$F,3,0)</f>
        <v>SINAPI</v>
      </c>
      <c r="D1205" s="2375" t="s">
        <v>8670</v>
      </c>
      <c r="E1205" s="2242" t="str">
        <f>IFERROR(VLOOKUP($B1205,'24.08_ND'!$1:$1048529,3,0),IFERROR(VLOOKUP($B1205,'03-CP'!$C$1:$H$6260,3,0),""))</f>
        <v>UN</v>
      </c>
      <c r="F1205" s="2230">
        <v>17</v>
      </c>
      <c r="G1205" s="2238">
        <v>11</v>
      </c>
      <c r="H1205" s="2302">
        <f t="shared" si="258"/>
        <v>187</v>
      </c>
      <c r="I1205" s="2328">
        <f t="shared" si="259"/>
        <v>0</v>
      </c>
      <c r="J1205" s="2237"/>
      <c r="K1205" s="2411"/>
      <c r="L1205" s="2533">
        <f t="shared" si="260"/>
        <v>0</v>
      </c>
      <c r="M1205" s="2238">
        <v>0</v>
      </c>
      <c r="N1205" s="2239">
        <f t="shared" si="261"/>
        <v>0</v>
      </c>
      <c r="O1205" s="2498">
        <f t="shared" si="262"/>
        <v>187</v>
      </c>
      <c r="P1205" s="2295">
        <f t="shared" si="249"/>
        <v>1</v>
      </c>
    </row>
    <row r="1206" spans="1:16" ht="30">
      <c r="A1206" s="2272" t="s">
        <v>13851</v>
      </c>
      <c r="B1206" s="2234">
        <f>VLOOKUP($A1206,'14 - QT_BES'!$A:$F,2,0)</f>
        <v>89368</v>
      </c>
      <c r="C1206" s="2234" t="str">
        <f>VLOOKUP($A1206,'14 - QT_BES'!$A:$F,3,0)</f>
        <v>SINAPI</v>
      </c>
      <c r="D1206" s="2375" t="s">
        <v>8675</v>
      </c>
      <c r="E1206" s="2242" t="str">
        <f>IFERROR(VLOOKUP($B1206,'24.08_ND'!$1:$1048529,3,0),IFERROR(VLOOKUP($B1206,'03-CP'!$C$1:$H$6260,3,0),""))</f>
        <v>UN</v>
      </c>
      <c r="F1206" s="2230">
        <v>6</v>
      </c>
      <c r="G1206" s="2238">
        <v>15.65</v>
      </c>
      <c r="H1206" s="2302">
        <f t="shared" si="258"/>
        <v>93.9</v>
      </c>
      <c r="I1206" s="2328">
        <f t="shared" si="259"/>
        <v>0</v>
      </c>
      <c r="J1206" s="2237"/>
      <c r="K1206" s="2411"/>
      <c r="L1206" s="2533">
        <f t="shared" si="260"/>
        <v>0</v>
      </c>
      <c r="M1206" s="2238">
        <v>0</v>
      </c>
      <c r="N1206" s="2239">
        <f t="shared" si="261"/>
        <v>0</v>
      </c>
      <c r="O1206" s="2498">
        <f t="shared" si="262"/>
        <v>93.9</v>
      </c>
      <c r="P1206" s="2295">
        <f t="shared" ref="P1206:P1269" si="263">O1206/H1206</f>
        <v>1</v>
      </c>
    </row>
    <row r="1207" spans="1:16" ht="30">
      <c r="A1207" s="2272" t="s">
        <v>13852</v>
      </c>
      <c r="B1207" s="2234">
        <f>VLOOKUP($A1207,'14 - QT_BES'!$A:$F,2,0)</f>
        <v>103985</v>
      </c>
      <c r="C1207" s="2234" t="str">
        <f>VLOOKUP($A1207,'14 - QT_BES'!$A:$F,3,0)</f>
        <v>SINAPI</v>
      </c>
      <c r="D1207" s="2375" t="s">
        <v>9830</v>
      </c>
      <c r="E1207" s="2242" t="str">
        <f>IFERROR(VLOOKUP($B1207,'24.08_ND'!$1:$1048529,3,0),IFERROR(VLOOKUP($B1207,'03-CP'!$C$1:$H$6260,3,0),""))</f>
        <v>UN</v>
      </c>
      <c r="F1207" s="2230">
        <v>35</v>
      </c>
      <c r="G1207" s="2238">
        <v>23.21</v>
      </c>
      <c r="H1207" s="2302">
        <f t="shared" si="258"/>
        <v>812.35</v>
      </c>
      <c r="I1207" s="2328">
        <f t="shared" si="259"/>
        <v>0</v>
      </c>
      <c r="J1207" s="2237"/>
      <c r="K1207" s="2411"/>
      <c r="L1207" s="2533">
        <f t="shared" si="260"/>
        <v>0</v>
      </c>
      <c r="M1207" s="2238">
        <v>0</v>
      </c>
      <c r="N1207" s="2239">
        <f t="shared" si="261"/>
        <v>0</v>
      </c>
      <c r="O1207" s="2498">
        <f t="shared" si="262"/>
        <v>812.35</v>
      </c>
      <c r="P1207" s="2295">
        <f t="shared" si="263"/>
        <v>1</v>
      </c>
    </row>
    <row r="1208" spans="1:16" ht="30">
      <c r="A1208" s="2272" t="s">
        <v>13853</v>
      </c>
      <c r="B1208" s="2234">
        <f>VLOOKUP($A1208,'14 - QT_BES'!$A:$F,2,0)</f>
        <v>89362</v>
      </c>
      <c r="C1208" s="2234" t="str">
        <f>VLOOKUP($A1208,'14 - QT_BES'!$A:$F,3,0)</f>
        <v>SINAPI</v>
      </c>
      <c r="D1208" s="2375" t="s">
        <v>8669</v>
      </c>
      <c r="E1208" s="2242" t="str">
        <f>IFERROR(VLOOKUP($B1208,'24.08_ND'!$1:$1048529,3,0),IFERROR(VLOOKUP($B1208,'03-CP'!$C$1:$H$6260,3,0),""))</f>
        <v>UN</v>
      </c>
      <c r="F1208" s="2230">
        <v>5</v>
      </c>
      <c r="G1208" s="2238">
        <v>10.220000000000001</v>
      </c>
      <c r="H1208" s="2302">
        <f t="shared" si="258"/>
        <v>51.1</v>
      </c>
      <c r="I1208" s="2328">
        <f t="shared" si="259"/>
        <v>0</v>
      </c>
      <c r="J1208" s="2237"/>
      <c r="K1208" s="2411"/>
      <c r="L1208" s="2533">
        <f t="shared" si="260"/>
        <v>0</v>
      </c>
      <c r="M1208" s="2238">
        <v>0</v>
      </c>
      <c r="N1208" s="2239">
        <f t="shared" si="261"/>
        <v>0</v>
      </c>
      <c r="O1208" s="2498">
        <f t="shared" si="262"/>
        <v>51.1</v>
      </c>
      <c r="P1208" s="2295">
        <f t="shared" si="263"/>
        <v>1</v>
      </c>
    </row>
    <row r="1209" spans="1:16" ht="30">
      <c r="A1209" s="2272" t="s">
        <v>13854</v>
      </c>
      <c r="B1209" s="2234">
        <f>VLOOKUP($A1209,'14 - QT_BES'!$A:$F,2,0)</f>
        <v>89367</v>
      </c>
      <c r="C1209" s="2234" t="str">
        <f>VLOOKUP($A1209,'14 - QT_BES'!$A:$F,3,0)</f>
        <v>SINAPI</v>
      </c>
      <c r="D1209" s="2375" t="s">
        <v>8674</v>
      </c>
      <c r="E1209" s="2242" t="str">
        <f>IFERROR(VLOOKUP($B1209,'24.08_ND'!$1:$1048529,3,0),IFERROR(VLOOKUP($B1209,'03-CP'!$C$1:$H$6260,3,0),""))</f>
        <v>UN</v>
      </c>
      <c r="F1209" s="2230">
        <v>4</v>
      </c>
      <c r="G1209" s="2238">
        <v>13.96</v>
      </c>
      <c r="H1209" s="2302">
        <f t="shared" si="258"/>
        <v>55.84</v>
      </c>
      <c r="I1209" s="2328">
        <f t="shared" si="259"/>
        <v>0</v>
      </c>
      <c r="J1209" s="2237"/>
      <c r="K1209" s="2411"/>
      <c r="L1209" s="2533">
        <f t="shared" si="260"/>
        <v>0</v>
      </c>
      <c r="M1209" s="2238">
        <v>0</v>
      </c>
      <c r="N1209" s="2239">
        <f t="shared" si="261"/>
        <v>0</v>
      </c>
      <c r="O1209" s="2498">
        <f t="shared" si="262"/>
        <v>55.84</v>
      </c>
      <c r="P1209" s="2295">
        <f t="shared" si="263"/>
        <v>1</v>
      </c>
    </row>
    <row r="1210" spans="1:16" ht="30">
      <c r="A1210" s="2272" t="s">
        <v>13855</v>
      </c>
      <c r="B1210" s="2234">
        <f>VLOOKUP($A1210,'14 - QT_BES'!$A:$F,2,0)</f>
        <v>94678</v>
      </c>
      <c r="C1210" s="2234" t="str">
        <f>VLOOKUP($A1210,'14 - QT_BES'!$A:$F,3,0)</f>
        <v>SINAPI</v>
      </c>
      <c r="D1210" s="2375" t="s">
        <v>9374</v>
      </c>
      <c r="E1210" s="2242" t="str">
        <f>IFERROR(VLOOKUP($B1210,'24.08_ND'!$1:$1048529,3,0),IFERROR(VLOOKUP($B1210,'03-CP'!$C$1:$H$6260,3,0),""))</f>
        <v>UN</v>
      </c>
      <c r="F1210" s="2230">
        <v>1</v>
      </c>
      <c r="G1210" s="2238">
        <v>15.93</v>
      </c>
      <c r="H1210" s="2302">
        <f t="shared" si="258"/>
        <v>15.93</v>
      </c>
      <c r="I1210" s="2328">
        <f t="shared" si="259"/>
        <v>0</v>
      </c>
      <c r="J1210" s="2237"/>
      <c r="K1210" s="2411"/>
      <c r="L1210" s="2533">
        <f t="shared" si="260"/>
        <v>0</v>
      </c>
      <c r="M1210" s="2238">
        <v>0</v>
      </c>
      <c r="N1210" s="2239">
        <f t="shared" si="261"/>
        <v>0</v>
      </c>
      <c r="O1210" s="2498">
        <f t="shared" si="262"/>
        <v>15.93</v>
      </c>
      <c r="P1210" s="2295">
        <f t="shared" si="263"/>
        <v>1</v>
      </c>
    </row>
    <row r="1211" spans="1:16" ht="45">
      <c r="A1211" s="2272" t="s">
        <v>13856</v>
      </c>
      <c r="B1211" s="2234">
        <f>VLOOKUP($A1211,'14 - QT_BES'!$A:$F,2,0)</f>
        <v>89366</v>
      </c>
      <c r="C1211" s="2234" t="str">
        <f>VLOOKUP($A1211,'14 - QT_BES'!$A:$F,3,0)</f>
        <v>SINAPI</v>
      </c>
      <c r="D1211" s="2375" t="s">
        <v>8673</v>
      </c>
      <c r="E1211" s="2242" t="str">
        <f>IFERROR(VLOOKUP($B1211,'24.08_ND'!$1:$1048529,3,0),IFERROR(VLOOKUP($B1211,'03-CP'!$C$1:$H$6260,3,0),""))</f>
        <v>UN</v>
      </c>
      <c r="F1211" s="2230">
        <v>23</v>
      </c>
      <c r="G1211" s="2238">
        <v>16.670000000000002</v>
      </c>
      <c r="H1211" s="2302">
        <f t="shared" si="258"/>
        <v>383.41</v>
      </c>
      <c r="I1211" s="2328">
        <f t="shared" si="259"/>
        <v>0</v>
      </c>
      <c r="J1211" s="2237"/>
      <c r="K1211" s="2411"/>
      <c r="L1211" s="2533">
        <f t="shared" si="260"/>
        <v>0</v>
      </c>
      <c r="M1211" s="2238">
        <v>0</v>
      </c>
      <c r="N1211" s="2239">
        <f t="shared" si="261"/>
        <v>0</v>
      </c>
      <c r="O1211" s="2498">
        <f t="shared" si="262"/>
        <v>383.41</v>
      </c>
      <c r="P1211" s="2295">
        <f t="shared" si="263"/>
        <v>1</v>
      </c>
    </row>
    <row r="1212" spans="1:16" ht="30">
      <c r="A1212" s="2272" t="s">
        <v>13857</v>
      </c>
      <c r="B1212" s="2234">
        <f>VLOOKUP($A1212,'14 - QT_BES'!$A:$F,2,0)</f>
        <v>89381</v>
      </c>
      <c r="C1212" s="2234" t="str">
        <f>VLOOKUP($A1212,'14 - QT_BES'!$A:$F,3,0)</f>
        <v>SINAPI</v>
      </c>
      <c r="D1212" s="2375" t="s">
        <v>8688</v>
      </c>
      <c r="E1212" s="2242" t="str">
        <f>IFERROR(VLOOKUP($B1212,'24.08_ND'!$1:$1048529,3,0),IFERROR(VLOOKUP($B1212,'03-CP'!$C$1:$H$6260,3,0),""))</f>
        <v>UN</v>
      </c>
      <c r="F1212" s="2230">
        <v>16</v>
      </c>
      <c r="G1212" s="2238">
        <v>12.7</v>
      </c>
      <c r="H1212" s="2302">
        <f t="shared" si="258"/>
        <v>203.2</v>
      </c>
      <c r="I1212" s="2328">
        <f t="shared" si="259"/>
        <v>0</v>
      </c>
      <c r="J1212" s="2237"/>
      <c r="K1212" s="2411"/>
      <c r="L1212" s="2533">
        <f t="shared" si="260"/>
        <v>0</v>
      </c>
      <c r="M1212" s="2238">
        <v>0</v>
      </c>
      <c r="N1212" s="2239">
        <f t="shared" si="261"/>
        <v>0</v>
      </c>
      <c r="O1212" s="2498">
        <f t="shared" si="262"/>
        <v>203.2</v>
      </c>
      <c r="P1212" s="2295">
        <f t="shared" si="263"/>
        <v>1</v>
      </c>
    </row>
    <row r="1213" spans="1:16" ht="30">
      <c r="A1213" s="2272" t="s">
        <v>13858</v>
      </c>
      <c r="B1213" s="2234">
        <f>VLOOKUP($A1213,'14 - QT_BES'!$A:$F,2,0)</f>
        <v>94697</v>
      </c>
      <c r="C1213" s="2234" t="str">
        <f>VLOOKUP($A1213,'14 - QT_BES'!$A:$F,3,0)</f>
        <v>SINAPI</v>
      </c>
      <c r="D1213" s="2375" t="s">
        <v>9393</v>
      </c>
      <c r="E1213" s="2242" t="str">
        <f>IFERROR(VLOOKUP($B1213,'24.08_ND'!$1:$1048529,3,0),IFERROR(VLOOKUP($B1213,'03-CP'!$C$1:$H$6260,3,0),""))</f>
        <v>UN</v>
      </c>
      <c r="F1213" s="2230">
        <v>2</v>
      </c>
      <c r="G1213" s="2238">
        <v>86.73</v>
      </c>
      <c r="H1213" s="2302">
        <f t="shared" si="258"/>
        <v>173.46</v>
      </c>
      <c r="I1213" s="2328">
        <f t="shared" si="259"/>
        <v>0</v>
      </c>
      <c r="J1213" s="2237"/>
      <c r="K1213" s="2411"/>
      <c r="L1213" s="2533">
        <f t="shared" si="260"/>
        <v>0</v>
      </c>
      <c r="M1213" s="2238">
        <v>0</v>
      </c>
      <c r="N1213" s="2239">
        <f t="shared" si="261"/>
        <v>0</v>
      </c>
      <c r="O1213" s="2498">
        <f t="shared" si="262"/>
        <v>173.46</v>
      </c>
      <c r="P1213" s="2295">
        <f t="shared" si="263"/>
        <v>1</v>
      </c>
    </row>
    <row r="1214" spans="1:16" ht="30">
      <c r="A1214" s="2272" t="s">
        <v>13859</v>
      </c>
      <c r="B1214" s="2234">
        <f>VLOOKUP($A1214,'14 - QT_BES'!$A:$F,2,0)</f>
        <v>104004</v>
      </c>
      <c r="C1214" s="2234" t="str">
        <f>VLOOKUP($A1214,'14 - QT_BES'!$A:$F,3,0)</f>
        <v>SINAPI</v>
      </c>
      <c r="D1214" s="2375" t="s">
        <v>9848</v>
      </c>
      <c r="E1214" s="2242" t="str">
        <f>IFERROR(VLOOKUP($B1214,'24.08_ND'!$1:$1048529,3,0),IFERROR(VLOOKUP($B1214,'03-CP'!$C$1:$H$6260,3,0),""))</f>
        <v>UN</v>
      </c>
      <c r="F1214" s="2230">
        <v>15</v>
      </c>
      <c r="G1214" s="2238">
        <v>31.27</v>
      </c>
      <c r="H1214" s="2302">
        <f t="shared" si="258"/>
        <v>469.05</v>
      </c>
      <c r="I1214" s="2328">
        <f t="shared" si="259"/>
        <v>0</v>
      </c>
      <c r="J1214" s="2237"/>
      <c r="K1214" s="2411"/>
      <c r="L1214" s="2533">
        <f t="shared" si="260"/>
        <v>0</v>
      </c>
      <c r="M1214" s="2238">
        <v>0</v>
      </c>
      <c r="N1214" s="2239">
        <f t="shared" si="261"/>
        <v>0</v>
      </c>
      <c r="O1214" s="2498">
        <f t="shared" si="262"/>
        <v>469.05</v>
      </c>
      <c r="P1214" s="2295">
        <f t="shared" si="263"/>
        <v>1</v>
      </c>
    </row>
    <row r="1215" spans="1:16" ht="30">
      <c r="A1215" s="2272" t="s">
        <v>13860</v>
      </c>
      <c r="B1215" s="2234">
        <f>VLOOKUP($A1215,'14 - QT_BES'!$A:$F,2,0)</f>
        <v>89443</v>
      </c>
      <c r="C1215" s="2234" t="str">
        <f>VLOOKUP($A1215,'14 - QT_BES'!$A:$F,3,0)</f>
        <v>SINAPI</v>
      </c>
      <c r="D1215" s="2375" t="s">
        <v>8743</v>
      </c>
      <c r="E1215" s="2242" t="str">
        <f>IFERROR(VLOOKUP($B1215,'24.08_ND'!$1:$1048529,3,0),IFERROR(VLOOKUP($B1215,'03-CP'!$C$1:$H$6260,3,0),""))</f>
        <v>UN</v>
      </c>
      <c r="F1215" s="2230">
        <v>5</v>
      </c>
      <c r="G1215" s="2238">
        <v>18.13</v>
      </c>
      <c r="H1215" s="2302">
        <f t="shared" si="258"/>
        <v>90.65</v>
      </c>
      <c r="I1215" s="2328">
        <f t="shared" si="259"/>
        <v>0</v>
      </c>
      <c r="J1215" s="2237"/>
      <c r="K1215" s="2411"/>
      <c r="L1215" s="2533">
        <f t="shared" si="260"/>
        <v>0</v>
      </c>
      <c r="M1215" s="2238">
        <v>0</v>
      </c>
      <c r="N1215" s="2239">
        <f t="shared" si="261"/>
        <v>0</v>
      </c>
      <c r="O1215" s="2498">
        <f t="shared" si="262"/>
        <v>90.65</v>
      </c>
      <c r="P1215" s="2295">
        <f t="shared" si="263"/>
        <v>1</v>
      </c>
    </row>
    <row r="1216" spans="1:16" ht="30">
      <c r="A1216" s="2272" t="s">
        <v>13861</v>
      </c>
      <c r="B1216" s="2234">
        <f>VLOOKUP($A1216,'14 - QT_BES'!$A:$F,2,0)</f>
        <v>89395</v>
      </c>
      <c r="C1216" s="2234" t="str">
        <f>VLOOKUP($A1216,'14 - QT_BES'!$A:$F,3,0)</f>
        <v>SINAPI</v>
      </c>
      <c r="D1216" s="2375" t="s">
        <v>8701</v>
      </c>
      <c r="E1216" s="2242" t="str">
        <f>IFERROR(VLOOKUP($B1216,'24.08_ND'!$1:$1048529,3,0),IFERROR(VLOOKUP($B1216,'03-CP'!$C$1:$H$6260,3,0),""))</f>
        <v>UN</v>
      </c>
      <c r="F1216" s="2230">
        <v>22</v>
      </c>
      <c r="G1216" s="2238">
        <v>14.12</v>
      </c>
      <c r="H1216" s="2302">
        <f t="shared" si="258"/>
        <v>310.64</v>
      </c>
      <c r="I1216" s="2328">
        <f t="shared" si="259"/>
        <v>0</v>
      </c>
      <c r="J1216" s="2237"/>
      <c r="K1216" s="2411"/>
      <c r="L1216" s="2533">
        <f t="shared" si="260"/>
        <v>0</v>
      </c>
      <c r="M1216" s="2238">
        <v>0</v>
      </c>
      <c r="N1216" s="2239">
        <f t="shared" si="261"/>
        <v>0</v>
      </c>
      <c r="O1216" s="2498">
        <f t="shared" si="262"/>
        <v>310.64</v>
      </c>
      <c r="P1216" s="2295">
        <f t="shared" si="263"/>
        <v>1</v>
      </c>
    </row>
    <row r="1217" spans="1:16" ht="30">
      <c r="A1217" s="2272" t="s">
        <v>13862</v>
      </c>
      <c r="B1217" s="2234">
        <f>VLOOKUP($A1217,'14 - QT_BES'!$A:$F,2,0)</f>
        <v>89627</v>
      </c>
      <c r="C1217" s="2234" t="str">
        <f>VLOOKUP($A1217,'14 - QT_BES'!$A:$F,3,0)</f>
        <v>SINAPI</v>
      </c>
      <c r="D1217" s="2375" t="s">
        <v>8858</v>
      </c>
      <c r="E1217" s="2242" t="str">
        <f>IFERROR(VLOOKUP($B1217,'24.08_ND'!$1:$1048529,3,0),IFERROR(VLOOKUP($B1217,'03-CP'!$C$1:$H$6260,3,0),""))</f>
        <v>UN</v>
      </c>
      <c r="F1217" s="2230">
        <v>1</v>
      </c>
      <c r="G1217" s="2238">
        <v>20.75</v>
      </c>
      <c r="H1217" s="2302">
        <f t="shared" si="258"/>
        <v>20.75</v>
      </c>
      <c r="I1217" s="2328">
        <f t="shared" si="259"/>
        <v>0</v>
      </c>
      <c r="J1217" s="2237"/>
      <c r="K1217" s="2411"/>
      <c r="L1217" s="2533">
        <f t="shared" si="260"/>
        <v>0</v>
      </c>
      <c r="M1217" s="2238">
        <v>0</v>
      </c>
      <c r="N1217" s="2239">
        <f t="shared" si="261"/>
        <v>0</v>
      </c>
      <c r="O1217" s="2498">
        <f t="shared" si="262"/>
        <v>20.75</v>
      </c>
      <c r="P1217" s="2295">
        <f t="shared" si="263"/>
        <v>1</v>
      </c>
    </row>
    <row r="1218" spans="1:16" ht="30">
      <c r="A1218" s="2272" t="s">
        <v>13863</v>
      </c>
      <c r="B1218" s="2234">
        <f>VLOOKUP($A1218,'14 - QT_BES'!$A:$F,2,0)</f>
        <v>89630</v>
      </c>
      <c r="C1218" s="2234" t="str">
        <f>VLOOKUP($A1218,'14 - QT_BES'!$A:$F,3,0)</f>
        <v>SINAPI</v>
      </c>
      <c r="D1218" s="2375" t="s">
        <v>8861</v>
      </c>
      <c r="E1218" s="2242" t="str">
        <f>IFERROR(VLOOKUP($B1218,'24.08_ND'!$1:$1048529,3,0),IFERROR(VLOOKUP($B1218,'03-CP'!$C$1:$H$6260,3,0),""))</f>
        <v>UN</v>
      </c>
      <c r="F1218" s="2230">
        <v>10</v>
      </c>
      <c r="G1218" s="2238">
        <v>60.9</v>
      </c>
      <c r="H1218" s="2302">
        <f t="shared" si="258"/>
        <v>609</v>
      </c>
      <c r="I1218" s="2328">
        <f t="shared" si="259"/>
        <v>0</v>
      </c>
      <c r="J1218" s="2237"/>
      <c r="K1218" s="2411"/>
      <c r="L1218" s="2533">
        <f t="shared" si="260"/>
        <v>0</v>
      </c>
      <c r="M1218" s="2238">
        <v>0</v>
      </c>
      <c r="N1218" s="2239">
        <f t="shared" si="261"/>
        <v>0</v>
      </c>
      <c r="O1218" s="2498">
        <f t="shared" si="262"/>
        <v>609</v>
      </c>
      <c r="P1218" s="2295">
        <f t="shared" si="263"/>
        <v>1</v>
      </c>
    </row>
    <row r="1219" spans="1:16" ht="30">
      <c r="A1219" s="2272" t="s">
        <v>13864</v>
      </c>
      <c r="B1219" s="2234">
        <f>VLOOKUP($A1219,'14 - QT_BES'!$A:$F,2,0)</f>
        <v>94794</v>
      </c>
      <c r="C1219" s="2234" t="str">
        <f>VLOOKUP($A1219,'14 - QT_BES'!$A:$F,3,0)</f>
        <v>SINAPI</v>
      </c>
      <c r="D1219" s="2375" t="s">
        <v>10261</v>
      </c>
      <c r="E1219" s="2242" t="str">
        <f>IFERROR(VLOOKUP($B1219,'24.08_ND'!$1:$1048529,3,0),IFERROR(VLOOKUP($B1219,'03-CP'!$C$1:$H$6260,3,0),""))</f>
        <v>UN</v>
      </c>
      <c r="F1219" s="2230">
        <v>18</v>
      </c>
      <c r="G1219" s="2238">
        <v>155.9</v>
      </c>
      <c r="H1219" s="2302">
        <f t="shared" si="258"/>
        <v>2806.2</v>
      </c>
      <c r="I1219" s="2328">
        <f t="shared" si="259"/>
        <v>0</v>
      </c>
      <c r="J1219" s="2237"/>
      <c r="K1219" s="2411"/>
      <c r="L1219" s="2533">
        <f t="shared" si="260"/>
        <v>0</v>
      </c>
      <c r="M1219" s="2238">
        <v>0</v>
      </c>
      <c r="N1219" s="2239">
        <f t="shared" si="261"/>
        <v>0</v>
      </c>
      <c r="O1219" s="2498">
        <f t="shared" si="262"/>
        <v>2806.2</v>
      </c>
      <c r="P1219" s="2295">
        <f t="shared" si="263"/>
        <v>1</v>
      </c>
    </row>
    <row r="1220" spans="1:16" ht="30">
      <c r="A1220" s="2272" t="s">
        <v>13865</v>
      </c>
      <c r="B1220" s="2234">
        <f>VLOOKUP($A1220,'14 - QT_BES'!$A:$F,2,0)</f>
        <v>89987</v>
      </c>
      <c r="C1220" s="2234" t="str">
        <f>VLOOKUP($A1220,'14 - QT_BES'!$A:$F,3,0)</f>
        <v>SINAPI</v>
      </c>
      <c r="D1220" s="2375" t="s">
        <v>10245</v>
      </c>
      <c r="E1220" s="2242" t="str">
        <f>IFERROR(VLOOKUP($B1220,'24.08_ND'!$1:$1048529,3,0),IFERROR(VLOOKUP($B1220,'03-CP'!$C$1:$H$6260,3,0),""))</f>
        <v>UN</v>
      </c>
      <c r="F1220" s="2230">
        <v>8</v>
      </c>
      <c r="G1220" s="2238">
        <v>88.15</v>
      </c>
      <c r="H1220" s="2302">
        <f t="shared" si="258"/>
        <v>705.2</v>
      </c>
      <c r="I1220" s="2328">
        <f t="shared" si="259"/>
        <v>0</v>
      </c>
      <c r="J1220" s="2237"/>
      <c r="K1220" s="2411"/>
      <c r="L1220" s="2533">
        <f t="shared" si="260"/>
        <v>0</v>
      </c>
      <c r="M1220" s="2238">
        <v>0</v>
      </c>
      <c r="N1220" s="2239">
        <f t="shared" si="261"/>
        <v>0</v>
      </c>
      <c r="O1220" s="2498">
        <f t="shared" si="262"/>
        <v>705.2</v>
      </c>
      <c r="P1220" s="2295">
        <f t="shared" si="263"/>
        <v>1</v>
      </c>
    </row>
    <row r="1221" spans="1:16" ht="30">
      <c r="A1221" s="2272" t="s">
        <v>13866</v>
      </c>
      <c r="B1221" s="2234">
        <f>VLOOKUP($A1221,'14 - QT_BES'!$A:$F,2,0)</f>
        <v>94492</v>
      </c>
      <c r="C1221" s="2234" t="str">
        <f>VLOOKUP($A1221,'14 - QT_BES'!$A:$F,3,0)</f>
        <v>SINAPI</v>
      </c>
      <c r="D1221" s="2375" t="s">
        <v>10250</v>
      </c>
      <c r="E1221" s="2242" t="str">
        <f>IFERROR(VLOOKUP($B1221,'24.08_ND'!$1:$1048529,3,0),IFERROR(VLOOKUP($B1221,'03-CP'!$C$1:$H$6260,3,0),""))</f>
        <v>UN</v>
      </c>
      <c r="F1221" s="2230">
        <v>3</v>
      </c>
      <c r="G1221" s="2238">
        <v>58.03</v>
      </c>
      <c r="H1221" s="2302">
        <f t="shared" si="258"/>
        <v>174.09</v>
      </c>
      <c r="I1221" s="2328">
        <f t="shared" si="259"/>
        <v>0</v>
      </c>
      <c r="J1221" s="2237"/>
      <c r="K1221" s="2411"/>
      <c r="L1221" s="2533">
        <f t="shared" si="260"/>
        <v>0</v>
      </c>
      <c r="M1221" s="2238">
        <v>0</v>
      </c>
      <c r="N1221" s="2239">
        <f t="shared" si="261"/>
        <v>0</v>
      </c>
      <c r="O1221" s="2498">
        <f t="shared" si="262"/>
        <v>174.09</v>
      </c>
      <c r="P1221" s="2295">
        <f t="shared" si="263"/>
        <v>1</v>
      </c>
    </row>
    <row r="1222" spans="1:16" ht="30">
      <c r="A1222" s="2272" t="s">
        <v>13867</v>
      </c>
      <c r="B1222" s="2234">
        <f>VLOOKUP($A1222,'14 - QT_BES'!$A:$F,2,0)</f>
        <v>94490</v>
      </c>
      <c r="C1222" s="2234" t="str">
        <f>VLOOKUP($A1222,'14 - QT_BES'!$A:$F,3,0)</f>
        <v>SINAPI</v>
      </c>
      <c r="D1222" s="2375" t="s">
        <v>10248</v>
      </c>
      <c r="E1222" s="2242" t="str">
        <f>IFERROR(VLOOKUP($B1222,'24.08_ND'!$1:$1048529,3,0),IFERROR(VLOOKUP($B1222,'03-CP'!$C$1:$H$6260,3,0),""))</f>
        <v>UN</v>
      </c>
      <c r="F1222" s="2230">
        <v>3</v>
      </c>
      <c r="G1222" s="2238">
        <v>41.18</v>
      </c>
      <c r="H1222" s="2302">
        <f t="shared" si="258"/>
        <v>123.54</v>
      </c>
      <c r="I1222" s="2328">
        <f t="shared" si="259"/>
        <v>0</v>
      </c>
      <c r="J1222" s="2237"/>
      <c r="K1222" s="2411"/>
      <c r="L1222" s="2533">
        <f t="shared" si="260"/>
        <v>0</v>
      </c>
      <c r="M1222" s="2238">
        <v>0</v>
      </c>
      <c r="N1222" s="2239">
        <f t="shared" si="261"/>
        <v>0</v>
      </c>
      <c r="O1222" s="2498">
        <f t="shared" si="262"/>
        <v>123.54</v>
      </c>
      <c r="P1222" s="2295">
        <f t="shared" si="263"/>
        <v>1</v>
      </c>
    </row>
    <row r="1223" spans="1:16" ht="30">
      <c r="A1223" s="2272" t="s">
        <v>13868</v>
      </c>
      <c r="B1223" s="2234">
        <f>VLOOKUP($A1223,'14 - QT_BES'!$A:$F,2,0)</f>
        <v>94499</v>
      </c>
      <c r="C1223" s="2234" t="str">
        <f>VLOOKUP($A1223,'14 - QT_BES'!$A:$F,3,0)</f>
        <v>SINAPI</v>
      </c>
      <c r="D1223" s="2375" t="s">
        <v>10256</v>
      </c>
      <c r="E1223" s="2242" t="str">
        <f>IFERROR(VLOOKUP($B1223,'24.08_ND'!$1:$1048529,3,0),IFERROR(VLOOKUP($B1223,'03-CP'!$C$1:$H$6260,3,0),""))</f>
        <v>UN</v>
      </c>
      <c r="F1223" s="2230">
        <v>1</v>
      </c>
      <c r="G1223" s="2238">
        <v>269.85000000000002</v>
      </c>
      <c r="H1223" s="2302">
        <f t="shared" si="258"/>
        <v>269.85000000000002</v>
      </c>
      <c r="I1223" s="2328">
        <f t="shared" si="259"/>
        <v>0</v>
      </c>
      <c r="J1223" s="2237"/>
      <c r="K1223" s="2411"/>
      <c r="L1223" s="2533">
        <f t="shared" si="260"/>
        <v>0</v>
      </c>
      <c r="M1223" s="2238">
        <v>0</v>
      </c>
      <c r="N1223" s="2239">
        <f t="shared" si="261"/>
        <v>0</v>
      </c>
      <c r="O1223" s="2498">
        <f t="shared" si="262"/>
        <v>269.85000000000002</v>
      </c>
      <c r="P1223" s="2295">
        <f t="shared" si="263"/>
        <v>1</v>
      </c>
    </row>
    <row r="1224" spans="1:16" ht="30">
      <c r="A1224" s="2272" t="s">
        <v>13869</v>
      </c>
      <c r="B1224" s="2234">
        <f>VLOOKUP($A1224,'14 - QT_BES'!$A:$F,2,0)</f>
        <v>95249</v>
      </c>
      <c r="C1224" s="2234" t="str">
        <f>VLOOKUP($A1224,'14 - QT_BES'!$A:$F,3,0)</f>
        <v>SINAPI</v>
      </c>
      <c r="D1224" s="2375" t="s">
        <v>10269</v>
      </c>
      <c r="E1224" s="2242" t="str">
        <f>IFERROR(VLOOKUP($B1224,'24.08_ND'!$1:$1048529,3,0),IFERROR(VLOOKUP($B1224,'03-CP'!$C$1:$H$6260,3,0),""))</f>
        <v>UN</v>
      </c>
      <c r="F1224" s="2230">
        <v>1</v>
      </c>
      <c r="G1224" s="2238">
        <v>57.27</v>
      </c>
      <c r="H1224" s="2302">
        <f t="shared" si="258"/>
        <v>57.27</v>
      </c>
      <c r="I1224" s="2328">
        <f t="shared" si="259"/>
        <v>0</v>
      </c>
      <c r="J1224" s="2237"/>
      <c r="K1224" s="2411"/>
      <c r="L1224" s="2533">
        <f t="shared" si="260"/>
        <v>0</v>
      </c>
      <c r="M1224" s="2238">
        <v>0</v>
      </c>
      <c r="N1224" s="2239">
        <f t="shared" si="261"/>
        <v>0</v>
      </c>
      <c r="O1224" s="2498">
        <f t="shared" si="262"/>
        <v>57.27</v>
      </c>
      <c r="P1224" s="2295">
        <f t="shared" si="263"/>
        <v>1</v>
      </c>
    </row>
    <row r="1225" spans="1:16">
      <c r="A1225" s="2272" t="s">
        <v>13870</v>
      </c>
      <c r="B1225" s="2228" t="str">
        <f>VLOOKUP($A1225,'14 - QT_BES'!$A:$F,2,0)</f>
        <v>CP-HSD-27</v>
      </c>
      <c r="C1225" s="2228" t="str">
        <f>VLOOKUP($A1225,'14 - QT_BES'!$A:$F,3,0)</f>
        <v>PRÓPRIA</v>
      </c>
      <c r="D1225" s="2375" t="s">
        <v>15411</v>
      </c>
      <c r="E1225" s="2243" t="str">
        <f>IFERROR(VLOOKUP($B1225,'24.08_ND'!$1:$1048529,3,0),IFERROR(VLOOKUP($B1225,'03-CP'!$C$1:$H$6260,3,0),""))</f>
        <v>UN</v>
      </c>
      <c r="F1225" s="2230">
        <v>18</v>
      </c>
      <c r="G1225" s="2232">
        <v>949.08</v>
      </c>
      <c r="H1225" s="2302">
        <f t="shared" si="258"/>
        <v>17083.439999999999</v>
      </c>
      <c r="I1225" s="2328">
        <f t="shared" si="259"/>
        <v>0</v>
      </c>
      <c r="J1225" s="2237"/>
      <c r="K1225" s="2411"/>
      <c r="L1225" s="2533">
        <f t="shared" si="260"/>
        <v>0</v>
      </c>
      <c r="M1225" s="2238">
        <v>0</v>
      </c>
      <c r="N1225" s="2239">
        <f t="shared" si="261"/>
        <v>0</v>
      </c>
      <c r="O1225" s="2498">
        <f t="shared" si="262"/>
        <v>17083.439999999999</v>
      </c>
      <c r="P1225" s="2295">
        <f t="shared" si="263"/>
        <v>1</v>
      </c>
    </row>
    <row r="1226" spans="1:16" ht="30">
      <c r="A1226" s="2272" t="s">
        <v>13871</v>
      </c>
      <c r="B1226" s="2234">
        <f>VLOOKUP($A1226,'14 - QT_BES'!$A:$F,2,0)</f>
        <v>94653</v>
      </c>
      <c r="C1226" s="2234" t="str">
        <f>VLOOKUP($A1226,'14 - QT_BES'!$A:$F,3,0)</f>
        <v>SINAPI</v>
      </c>
      <c r="D1226" s="2375" t="s">
        <v>8526</v>
      </c>
      <c r="E1226" s="2242" t="str">
        <f>IFERROR(VLOOKUP($B1226,'24.08_ND'!$1:$1048529,3,0),IFERROR(VLOOKUP($B1226,'03-CP'!$C$1:$H$6260,3,0),""))</f>
        <v>M</v>
      </c>
      <c r="F1226" s="2230">
        <v>25</v>
      </c>
      <c r="G1226" s="2238">
        <v>55.1</v>
      </c>
      <c r="H1226" s="2302">
        <f t="shared" si="258"/>
        <v>1377.5</v>
      </c>
      <c r="I1226" s="2328">
        <f t="shared" si="259"/>
        <v>0</v>
      </c>
      <c r="J1226" s="2237"/>
      <c r="K1226" s="2411"/>
      <c r="L1226" s="2533">
        <f t="shared" si="260"/>
        <v>0</v>
      </c>
      <c r="M1226" s="2238">
        <v>0</v>
      </c>
      <c r="N1226" s="2239">
        <f t="shared" si="261"/>
        <v>0</v>
      </c>
      <c r="O1226" s="2498">
        <f t="shared" si="262"/>
        <v>1377.5</v>
      </c>
      <c r="P1226" s="2295">
        <f t="shared" si="263"/>
        <v>1</v>
      </c>
    </row>
    <row r="1227" spans="1:16" ht="30">
      <c r="A1227" s="2272" t="s">
        <v>13872</v>
      </c>
      <c r="B1227" s="2234">
        <f>VLOOKUP($A1227,'14 - QT_BES'!$A:$F,2,0)</f>
        <v>103979</v>
      </c>
      <c r="C1227" s="2234" t="str">
        <f>VLOOKUP($A1227,'14 - QT_BES'!$A:$F,3,0)</f>
        <v>SINAPI</v>
      </c>
      <c r="D1227" s="2375" t="s">
        <v>8649</v>
      </c>
      <c r="E1227" s="2242" t="str">
        <f>IFERROR(VLOOKUP($B1227,'24.08_ND'!$1:$1048529,3,0),IFERROR(VLOOKUP($B1227,'03-CP'!$C$1:$H$6260,3,0),""))</f>
        <v>M</v>
      </c>
      <c r="F1227" s="2230">
        <v>110</v>
      </c>
      <c r="G1227" s="2238">
        <v>30.08</v>
      </c>
      <c r="H1227" s="2302">
        <f t="shared" si="258"/>
        <v>3308.8</v>
      </c>
      <c r="I1227" s="2328">
        <f t="shared" si="259"/>
        <v>0</v>
      </c>
      <c r="J1227" s="2237"/>
      <c r="K1227" s="2411"/>
      <c r="L1227" s="2533">
        <f t="shared" si="260"/>
        <v>0</v>
      </c>
      <c r="M1227" s="2238">
        <v>0</v>
      </c>
      <c r="N1227" s="2239">
        <f t="shared" si="261"/>
        <v>0</v>
      </c>
      <c r="O1227" s="2498">
        <f t="shared" si="262"/>
        <v>3308.8</v>
      </c>
      <c r="P1227" s="2295">
        <f t="shared" si="263"/>
        <v>1</v>
      </c>
    </row>
    <row r="1228" spans="1:16" ht="30">
      <c r="A1228" s="2272" t="s">
        <v>13873</v>
      </c>
      <c r="B1228" s="2234">
        <f>VLOOKUP($A1228,'14 - QT_BES'!$A:$F,2,0)</f>
        <v>89403</v>
      </c>
      <c r="C1228" s="2234" t="str">
        <f>VLOOKUP($A1228,'14 - QT_BES'!$A:$F,3,0)</f>
        <v>SINAPI</v>
      </c>
      <c r="D1228" s="2375" t="s">
        <v>8423</v>
      </c>
      <c r="E1228" s="2242" t="str">
        <f>IFERROR(VLOOKUP($B1228,'24.08_ND'!$1:$1048529,3,0),IFERROR(VLOOKUP($B1228,'03-CP'!$C$1:$H$6260,3,0),""))</f>
        <v>M</v>
      </c>
      <c r="F1228" s="2230">
        <v>15</v>
      </c>
      <c r="G1228" s="2238">
        <v>19.309999999999999</v>
      </c>
      <c r="H1228" s="2302">
        <f t="shared" si="258"/>
        <v>289.64999999999998</v>
      </c>
      <c r="I1228" s="2328">
        <f t="shared" si="259"/>
        <v>0</v>
      </c>
      <c r="J1228" s="2237"/>
      <c r="K1228" s="2411"/>
      <c r="L1228" s="2533">
        <f t="shared" si="260"/>
        <v>0</v>
      </c>
      <c r="M1228" s="2238">
        <v>0</v>
      </c>
      <c r="N1228" s="2239">
        <f t="shared" si="261"/>
        <v>0</v>
      </c>
      <c r="O1228" s="2498">
        <f t="shared" si="262"/>
        <v>289.64999999999998</v>
      </c>
      <c r="P1228" s="2295">
        <f t="shared" si="263"/>
        <v>1</v>
      </c>
    </row>
    <row r="1229" spans="1:16" ht="30">
      <c r="A1229" s="2272" t="s">
        <v>13874</v>
      </c>
      <c r="B1229" s="2234">
        <f>VLOOKUP($A1229,'14 - QT_BES'!$A:$F,2,0)</f>
        <v>89402</v>
      </c>
      <c r="C1229" s="2234" t="str">
        <f>VLOOKUP($A1229,'14 - QT_BES'!$A:$F,3,0)</f>
        <v>SINAPI</v>
      </c>
      <c r="D1229" s="2375" t="s">
        <v>8422</v>
      </c>
      <c r="E1229" s="2242" t="str">
        <f>IFERROR(VLOOKUP($B1229,'24.08_ND'!$1:$1048529,3,0),IFERROR(VLOOKUP($B1229,'03-CP'!$C$1:$H$6260,3,0),""))</f>
        <v>M</v>
      </c>
      <c r="F1229" s="2230">
        <v>60</v>
      </c>
      <c r="G1229" s="2238">
        <v>12.75</v>
      </c>
      <c r="H1229" s="2302">
        <f t="shared" si="258"/>
        <v>765</v>
      </c>
      <c r="I1229" s="2328">
        <f t="shared" si="259"/>
        <v>0</v>
      </c>
      <c r="J1229" s="2237"/>
      <c r="K1229" s="2411"/>
      <c r="L1229" s="2533">
        <f t="shared" si="260"/>
        <v>0</v>
      </c>
      <c r="M1229" s="2238">
        <v>0</v>
      </c>
      <c r="N1229" s="2239">
        <f t="shared" si="261"/>
        <v>0</v>
      </c>
      <c r="O1229" s="2498">
        <f t="shared" si="262"/>
        <v>765</v>
      </c>
      <c r="P1229" s="2295">
        <f t="shared" si="263"/>
        <v>1</v>
      </c>
    </row>
    <row r="1230" spans="1:16" ht="60">
      <c r="A1230" s="2272" t="s">
        <v>13875</v>
      </c>
      <c r="B1230" s="2234">
        <f>VLOOKUP($A1230,'14 - QT_BES'!$A:$F,2,0)</f>
        <v>91174</v>
      </c>
      <c r="C1230" s="2234" t="str">
        <f>VLOOKUP($A1230,'14 - QT_BES'!$A:$F,3,0)</f>
        <v>SINAPI</v>
      </c>
      <c r="D1230" s="2375" t="s">
        <v>10402</v>
      </c>
      <c r="E1230" s="2242" t="str">
        <f>IFERROR(VLOOKUP($B1230,'24.08_ND'!$1:$1048529,3,0),IFERROR(VLOOKUP($B1230,'03-CP'!$C$1:$H$6260,3,0),""))</f>
        <v>M</v>
      </c>
      <c r="F1230" s="2230">
        <v>30</v>
      </c>
      <c r="G1230" s="2238">
        <v>7.43</v>
      </c>
      <c r="H1230" s="2302">
        <f t="shared" si="258"/>
        <v>222.9</v>
      </c>
      <c r="I1230" s="2328">
        <f t="shared" si="259"/>
        <v>0</v>
      </c>
      <c r="J1230" s="2237"/>
      <c r="K1230" s="2411"/>
      <c r="L1230" s="2533">
        <f t="shared" si="260"/>
        <v>0</v>
      </c>
      <c r="M1230" s="2238">
        <v>0</v>
      </c>
      <c r="N1230" s="2239">
        <f t="shared" si="261"/>
        <v>0</v>
      </c>
      <c r="O1230" s="2498">
        <f t="shared" si="262"/>
        <v>222.9</v>
      </c>
      <c r="P1230" s="2295">
        <f t="shared" si="263"/>
        <v>1</v>
      </c>
    </row>
    <row r="1231" spans="1:16" ht="30">
      <c r="A1231" s="2272" t="s">
        <v>13876</v>
      </c>
      <c r="B1231" s="2234">
        <f>VLOOKUP($A1231,'14 - QT_BES'!$A:$F,2,0)</f>
        <v>102609</v>
      </c>
      <c r="C1231" s="2234" t="str">
        <f>VLOOKUP($A1231,'14 - QT_BES'!$A:$F,3,0)</f>
        <v>SINAPI</v>
      </c>
      <c r="D1231" s="2375" t="s">
        <v>10057</v>
      </c>
      <c r="E1231" s="2242" t="str">
        <f>IFERROR(VLOOKUP($B1231,'24.08_ND'!$1:$1048529,3,0),IFERROR(VLOOKUP($B1231,'03-CP'!$C$1:$H$6260,3,0),""))</f>
        <v>UN</v>
      </c>
      <c r="F1231" s="2230">
        <v>3</v>
      </c>
      <c r="G1231" s="2238">
        <v>1199.06</v>
      </c>
      <c r="H1231" s="2302">
        <f t="shared" si="258"/>
        <v>3597.18</v>
      </c>
      <c r="I1231" s="2328">
        <f t="shared" si="259"/>
        <v>0</v>
      </c>
      <c r="J1231" s="2237"/>
      <c r="K1231" s="2411"/>
      <c r="L1231" s="2533">
        <f t="shared" si="260"/>
        <v>0</v>
      </c>
      <c r="M1231" s="2238">
        <v>0</v>
      </c>
      <c r="N1231" s="2239">
        <f t="shared" si="261"/>
        <v>0</v>
      </c>
      <c r="O1231" s="2498">
        <f t="shared" si="262"/>
        <v>3597.18</v>
      </c>
      <c r="P1231" s="2295">
        <f t="shared" si="263"/>
        <v>1</v>
      </c>
    </row>
    <row r="1232" spans="1:16" ht="45">
      <c r="A1232" s="2272" t="s">
        <v>13877</v>
      </c>
      <c r="B1232" s="2234">
        <f>VLOOKUP($A1232,'14 - QT_BES'!$A:$F,2,0)</f>
        <v>94703</v>
      </c>
      <c r="C1232" s="2234" t="str">
        <f>VLOOKUP($A1232,'14 - QT_BES'!$A:$F,3,0)</f>
        <v>SINAPI</v>
      </c>
      <c r="D1232" s="2375" t="s">
        <v>9399</v>
      </c>
      <c r="E1232" s="2242" t="str">
        <f>IFERROR(VLOOKUP($B1232,'24.08_ND'!$1:$1048529,3,0),IFERROR(VLOOKUP($B1232,'03-CP'!$C$1:$H$6260,3,0),""))</f>
        <v>UN</v>
      </c>
      <c r="F1232" s="2230">
        <v>3</v>
      </c>
      <c r="G1232" s="2238">
        <v>19.8</v>
      </c>
      <c r="H1232" s="2302">
        <f t="shared" si="258"/>
        <v>59.4</v>
      </c>
      <c r="I1232" s="2328">
        <f t="shared" si="259"/>
        <v>0</v>
      </c>
      <c r="J1232" s="2237"/>
      <c r="K1232" s="2411"/>
      <c r="L1232" s="2533">
        <f t="shared" si="260"/>
        <v>0</v>
      </c>
      <c r="M1232" s="2238">
        <v>0</v>
      </c>
      <c r="N1232" s="2239">
        <f t="shared" si="261"/>
        <v>0</v>
      </c>
      <c r="O1232" s="2498">
        <f t="shared" si="262"/>
        <v>59.4</v>
      </c>
      <c r="P1232" s="2295">
        <f t="shared" si="263"/>
        <v>1</v>
      </c>
    </row>
    <row r="1233" spans="1:16" ht="45">
      <c r="A1233" s="2272" t="s">
        <v>13878</v>
      </c>
      <c r="B1233" s="2234">
        <f>VLOOKUP($A1233,'14 - QT_BES'!$A:$F,2,0)</f>
        <v>94704</v>
      </c>
      <c r="C1233" s="2234" t="str">
        <f>VLOOKUP($A1233,'14 - QT_BES'!$A:$F,3,0)</f>
        <v>SINAPI</v>
      </c>
      <c r="D1233" s="2375" t="s">
        <v>9400</v>
      </c>
      <c r="E1233" s="2242" t="str">
        <f>IFERROR(VLOOKUP($B1233,'24.08_ND'!$1:$1048529,3,0),IFERROR(VLOOKUP($B1233,'03-CP'!$C$1:$H$6260,3,0),""))</f>
        <v>UN</v>
      </c>
      <c r="F1233" s="2230">
        <v>6</v>
      </c>
      <c r="G1233" s="2238">
        <v>26.35</v>
      </c>
      <c r="H1233" s="2302">
        <f t="shared" si="258"/>
        <v>158.1</v>
      </c>
      <c r="I1233" s="2328">
        <f t="shared" si="259"/>
        <v>0</v>
      </c>
      <c r="J1233" s="2237"/>
      <c r="K1233" s="2411"/>
      <c r="L1233" s="2533">
        <f t="shared" si="260"/>
        <v>0</v>
      </c>
      <c r="M1233" s="2238">
        <v>0</v>
      </c>
      <c r="N1233" s="2239">
        <f t="shared" si="261"/>
        <v>0</v>
      </c>
      <c r="O1233" s="2498">
        <f t="shared" si="262"/>
        <v>158.1</v>
      </c>
      <c r="P1233" s="2295">
        <f t="shared" si="263"/>
        <v>1</v>
      </c>
    </row>
    <row r="1234" spans="1:16" ht="45">
      <c r="A1234" s="2272" t="s">
        <v>13879</v>
      </c>
      <c r="B1234" s="2234">
        <f>VLOOKUP($A1234,'14 - QT_BES'!$A:$F,2,0)</f>
        <v>94706</v>
      </c>
      <c r="C1234" s="2234" t="str">
        <f>VLOOKUP($A1234,'14 - QT_BES'!$A:$F,3,0)</f>
        <v>SINAPI</v>
      </c>
      <c r="D1234" s="2375" t="s">
        <v>9402</v>
      </c>
      <c r="E1234" s="2242" t="str">
        <f>IFERROR(VLOOKUP($B1234,'24.08_ND'!$1:$1048529,3,0),IFERROR(VLOOKUP($B1234,'03-CP'!$C$1:$H$6260,3,0),""))</f>
        <v>UN</v>
      </c>
      <c r="F1234" s="2230">
        <v>2</v>
      </c>
      <c r="G1234" s="2238">
        <v>35.26</v>
      </c>
      <c r="H1234" s="2302">
        <f t="shared" si="258"/>
        <v>70.52</v>
      </c>
      <c r="I1234" s="2328">
        <f t="shared" si="259"/>
        <v>0</v>
      </c>
      <c r="J1234" s="2237"/>
      <c r="K1234" s="2411"/>
      <c r="L1234" s="2533">
        <f t="shared" si="260"/>
        <v>0</v>
      </c>
      <c r="M1234" s="2238">
        <v>0</v>
      </c>
      <c r="N1234" s="2239">
        <f t="shared" si="261"/>
        <v>0</v>
      </c>
      <c r="O1234" s="2498">
        <f t="shared" si="262"/>
        <v>70.52</v>
      </c>
      <c r="P1234" s="2295">
        <f t="shared" si="263"/>
        <v>1</v>
      </c>
    </row>
    <row r="1235" spans="1:16" ht="45">
      <c r="A1235" s="2272" t="s">
        <v>13880</v>
      </c>
      <c r="B1235" s="2234">
        <f>VLOOKUP($A1235,'14 - QT_BES'!$A:$F,2,0)</f>
        <v>94713</v>
      </c>
      <c r="C1235" s="2234" t="str">
        <f>VLOOKUP($A1235,'14 - QT_BES'!$A:$F,3,0)</f>
        <v>SINAPI</v>
      </c>
      <c r="D1235" s="2375" t="s">
        <v>9404</v>
      </c>
      <c r="E1235" s="2242" t="str">
        <f>IFERROR(VLOOKUP($B1235,'24.08_ND'!$1:$1048529,3,0),IFERROR(VLOOKUP($B1235,'03-CP'!$C$1:$H$6260,3,0),""))</f>
        <v>UN</v>
      </c>
      <c r="F1235" s="2230">
        <v>1</v>
      </c>
      <c r="G1235" s="2238">
        <v>227.1</v>
      </c>
      <c r="H1235" s="2302">
        <f t="shared" si="258"/>
        <v>227.1</v>
      </c>
      <c r="I1235" s="2328">
        <f t="shared" si="259"/>
        <v>0</v>
      </c>
      <c r="J1235" s="2237"/>
      <c r="K1235" s="2411"/>
      <c r="L1235" s="2533">
        <f t="shared" si="260"/>
        <v>0</v>
      </c>
      <c r="M1235" s="2238">
        <v>0</v>
      </c>
      <c r="N1235" s="2239">
        <f t="shared" si="261"/>
        <v>0</v>
      </c>
      <c r="O1235" s="2498">
        <f t="shared" si="262"/>
        <v>227.1</v>
      </c>
      <c r="P1235" s="2295">
        <f t="shared" si="263"/>
        <v>1</v>
      </c>
    </row>
    <row r="1236" spans="1:16" ht="30">
      <c r="A1236" s="2272" t="s">
        <v>13881</v>
      </c>
      <c r="B1236" s="2234">
        <f>VLOOKUP($A1236,'14 - QT_BES'!$A:$F,2,0)</f>
        <v>94796</v>
      </c>
      <c r="C1236" s="2234" t="str">
        <f>VLOOKUP($A1236,'14 - QT_BES'!$A:$F,3,0)</f>
        <v>SINAPI</v>
      </c>
      <c r="D1236" s="2375" t="s">
        <v>10263</v>
      </c>
      <c r="E1236" s="2242" t="str">
        <f>IFERROR(VLOOKUP($B1236,'24.08_ND'!$1:$1048529,3,0),IFERROR(VLOOKUP($B1236,'03-CP'!$C$1:$H$6260,3,0),""))</f>
        <v>UN</v>
      </c>
      <c r="F1236" s="2230">
        <v>3</v>
      </c>
      <c r="G1236" s="2238">
        <v>45.85</v>
      </c>
      <c r="H1236" s="2302">
        <f t="shared" si="258"/>
        <v>137.55000000000001</v>
      </c>
      <c r="I1236" s="2328">
        <f t="shared" si="259"/>
        <v>0</v>
      </c>
      <c r="J1236" s="2237"/>
      <c r="K1236" s="2411"/>
      <c r="L1236" s="2533">
        <f t="shared" si="260"/>
        <v>0</v>
      </c>
      <c r="M1236" s="2238">
        <v>0</v>
      </c>
      <c r="N1236" s="2239">
        <f t="shared" si="261"/>
        <v>0</v>
      </c>
      <c r="O1236" s="2498">
        <f t="shared" si="262"/>
        <v>137.55000000000001</v>
      </c>
      <c r="P1236" s="2295">
        <f t="shared" si="263"/>
        <v>1</v>
      </c>
    </row>
    <row r="1237" spans="1:16">
      <c r="A1237" s="2343" t="s">
        <v>13882</v>
      </c>
      <c r="B1237" s="2395"/>
      <c r="C1237" s="2399"/>
      <c r="D1237" s="2376" t="s">
        <v>16317</v>
      </c>
      <c r="E1237" s="2356"/>
      <c r="F1237" s="2357"/>
      <c r="G1237" s="2358"/>
      <c r="H1237" s="2361">
        <f>SUBTOTAL(9,H1238:H1277)</f>
        <v>34192.370000000003</v>
      </c>
      <c r="I1237" s="2359"/>
      <c r="J1237" s="2360"/>
      <c r="K1237" s="2549"/>
      <c r="L1237" s="2539">
        <f>SUBTOTAL(9,L1238:L1277)</f>
        <v>0</v>
      </c>
      <c r="M1237" s="2361">
        <f>SUBTOTAL(9,M1238:M1277)</f>
        <v>0</v>
      </c>
      <c r="N1237" s="2361">
        <f>SUBTOTAL(9,N1238:N1277)</f>
        <v>0</v>
      </c>
      <c r="O1237" s="2361">
        <f>SUBTOTAL(9,O1238:O1277)</f>
        <v>34192.370000000003</v>
      </c>
      <c r="P1237" s="2295">
        <f t="shared" si="263"/>
        <v>1</v>
      </c>
    </row>
    <row r="1238" spans="1:16" ht="45">
      <c r="A1238" s="2272" t="s">
        <v>13883</v>
      </c>
      <c r="B1238" s="2234">
        <f>VLOOKUP($A1238,'14 - QT_BES'!$A:$F,2,0)</f>
        <v>89746</v>
      </c>
      <c r="C1238" s="2234" t="str">
        <f>VLOOKUP($A1238,'14 - QT_BES'!$A:$F,3,0)</f>
        <v>SINAPI</v>
      </c>
      <c r="D1238" s="2375" t="s">
        <v>8958</v>
      </c>
      <c r="E1238" s="2242" t="str">
        <f>IFERROR(VLOOKUP($B1238,'24.08_ND'!$1:$1048529,3,0),IFERROR(VLOOKUP($B1238,'03-CP'!$C$1:$H$6260,3,0),""))</f>
        <v>UN</v>
      </c>
      <c r="F1238" s="2230">
        <v>52</v>
      </c>
      <c r="G1238" s="2238">
        <v>31.41</v>
      </c>
      <c r="H1238" s="2302">
        <f t="shared" ref="H1238:H1277" si="264">TRUNC((G1238*F1238),2)</f>
        <v>1633.32</v>
      </c>
      <c r="I1238" s="2328">
        <f t="shared" ref="I1238:I1277" si="265">J1238+K1238</f>
        <v>0</v>
      </c>
      <c r="J1238" s="2237"/>
      <c r="K1238" s="2411"/>
      <c r="L1238" s="2533">
        <f t="shared" ref="L1238:L1277" si="266">M1238+N1238</f>
        <v>0</v>
      </c>
      <c r="M1238" s="2238">
        <v>0</v>
      </c>
      <c r="N1238" s="2239">
        <f t="shared" ref="N1238:N1277" si="267">TRUNC(H1238*K1238,2)</f>
        <v>0</v>
      </c>
      <c r="O1238" s="2498">
        <f t="shared" ref="O1238:O1277" si="268">H1238-L1238</f>
        <v>1633.32</v>
      </c>
      <c r="P1238" s="2295">
        <f t="shared" si="263"/>
        <v>1</v>
      </c>
    </row>
    <row r="1239" spans="1:16" ht="45">
      <c r="A1239" s="2272" t="s">
        <v>13884</v>
      </c>
      <c r="B1239" s="2234">
        <f>VLOOKUP($A1239,'14 - QT_BES'!$A:$F,2,0)</f>
        <v>89732</v>
      </c>
      <c r="C1239" s="2234" t="str">
        <f>VLOOKUP($A1239,'14 - QT_BES'!$A:$F,3,0)</f>
        <v>SINAPI</v>
      </c>
      <c r="D1239" s="2375" t="s">
        <v>8945</v>
      </c>
      <c r="E1239" s="2242" t="str">
        <f>IFERROR(VLOOKUP($B1239,'24.08_ND'!$1:$1048529,3,0),IFERROR(VLOOKUP($B1239,'03-CP'!$C$1:$H$6260,3,0),""))</f>
        <v>UN</v>
      </c>
      <c r="F1239" s="2230">
        <v>123</v>
      </c>
      <c r="G1239" s="2238">
        <v>17.260000000000002</v>
      </c>
      <c r="H1239" s="2302">
        <f t="shared" si="264"/>
        <v>2122.98</v>
      </c>
      <c r="I1239" s="2328">
        <f t="shared" si="265"/>
        <v>0</v>
      </c>
      <c r="J1239" s="2237"/>
      <c r="K1239" s="2411"/>
      <c r="L1239" s="2533">
        <f t="shared" si="266"/>
        <v>0</v>
      </c>
      <c r="M1239" s="2238">
        <v>0</v>
      </c>
      <c r="N1239" s="2239">
        <f t="shared" si="267"/>
        <v>0</v>
      </c>
      <c r="O1239" s="2498">
        <f t="shared" si="268"/>
        <v>2122.98</v>
      </c>
      <c r="P1239" s="2295">
        <f t="shared" si="263"/>
        <v>1</v>
      </c>
    </row>
    <row r="1240" spans="1:16" ht="45">
      <c r="A1240" s="2272" t="s">
        <v>13885</v>
      </c>
      <c r="B1240" s="2234">
        <f>VLOOKUP($A1240,'14 - QT_BES'!$A:$F,2,0)</f>
        <v>89726</v>
      </c>
      <c r="C1240" s="2234" t="str">
        <f>VLOOKUP($A1240,'14 - QT_BES'!$A:$F,3,0)</f>
        <v>SINAPI</v>
      </c>
      <c r="D1240" s="2375" t="s">
        <v>8939</v>
      </c>
      <c r="E1240" s="2242" t="str">
        <f>IFERROR(VLOOKUP($B1240,'24.08_ND'!$1:$1048529,3,0),IFERROR(VLOOKUP($B1240,'03-CP'!$C$1:$H$6260,3,0),""))</f>
        <v>UN</v>
      </c>
      <c r="F1240" s="2230">
        <v>74</v>
      </c>
      <c r="G1240" s="2238">
        <v>11.53</v>
      </c>
      <c r="H1240" s="2302">
        <f t="shared" si="264"/>
        <v>853.22</v>
      </c>
      <c r="I1240" s="2328">
        <f t="shared" si="265"/>
        <v>0</v>
      </c>
      <c r="J1240" s="2237"/>
      <c r="K1240" s="2411"/>
      <c r="L1240" s="2533">
        <f t="shared" si="266"/>
        <v>0</v>
      </c>
      <c r="M1240" s="2238">
        <v>0</v>
      </c>
      <c r="N1240" s="2239">
        <f t="shared" si="267"/>
        <v>0</v>
      </c>
      <c r="O1240" s="2498">
        <f t="shared" si="268"/>
        <v>853.22</v>
      </c>
      <c r="P1240" s="2295">
        <f t="shared" si="263"/>
        <v>1</v>
      </c>
    </row>
    <row r="1241" spans="1:16" ht="45">
      <c r="A1241" s="2272" t="s">
        <v>13886</v>
      </c>
      <c r="B1241" s="2234">
        <f>VLOOKUP($A1241,'14 - QT_BES'!$A:$F,2,0)</f>
        <v>89748</v>
      </c>
      <c r="C1241" s="2234" t="str">
        <f>VLOOKUP($A1241,'14 - QT_BES'!$A:$F,3,0)</f>
        <v>SINAPI</v>
      </c>
      <c r="D1241" s="2375" t="s">
        <v>8960</v>
      </c>
      <c r="E1241" s="2242" t="str">
        <f>IFERROR(VLOOKUP($B1241,'24.08_ND'!$1:$1048529,3,0),IFERROR(VLOOKUP($B1241,'03-CP'!$C$1:$H$6260,3,0),""))</f>
        <v>UN</v>
      </c>
      <c r="F1241" s="2230">
        <v>17</v>
      </c>
      <c r="G1241" s="2238">
        <v>46.42</v>
      </c>
      <c r="H1241" s="2302">
        <f t="shared" si="264"/>
        <v>789.14</v>
      </c>
      <c r="I1241" s="2328">
        <f t="shared" si="265"/>
        <v>0</v>
      </c>
      <c r="J1241" s="2237"/>
      <c r="K1241" s="2411"/>
      <c r="L1241" s="2533">
        <f t="shared" si="266"/>
        <v>0</v>
      </c>
      <c r="M1241" s="2238">
        <v>0</v>
      </c>
      <c r="N1241" s="2239">
        <f t="shared" si="267"/>
        <v>0</v>
      </c>
      <c r="O1241" s="2498">
        <f t="shared" si="268"/>
        <v>789.14</v>
      </c>
      <c r="P1241" s="2295">
        <f t="shared" si="263"/>
        <v>1</v>
      </c>
    </row>
    <row r="1242" spans="1:16" ht="45">
      <c r="A1242" s="2272" t="s">
        <v>13887</v>
      </c>
      <c r="B1242" s="2234">
        <f>VLOOKUP($A1242,'14 - QT_BES'!$A:$F,2,0)</f>
        <v>89733</v>
      </c>
      <c r="C1242" s="2234" t="str">
        <f>VLOOKUP($A1242,'14 - QT_BES'!$A:$F,3,0)</f>
        <v>SINAPI</v>
      </c>
      <c r="D1242" s="2375" t="s">
        <v>8946</v>
      </c>
      <c r="E1242" s="2242" t="str">
        <f>IFERROR(VLOOKUP($B1242,'24.08_ND'!$1:$1048529,3,0),IFERROR(VLOOKUP($B1242,'03-CP'!$C$1:$H$6260,3,0),""))</f>
        <v>UN</v>
      </c>
      <c r="F1242" s="2230">
        <v>3</v>
      </c>
      <c r="G1242" s="2238">
        <v>25.42</v>
      </c>
      <c r="H1242" s="2302">
        <f t="shared" si="264"/>
        <v>76.260000000000005</v>
      </c>
      <c r="I1242" s="2328">
        <f t="shared" si="265"/>
        <v>0</v>
      </c>
      <c r="J1242" s="2237"/>
      <c r="K1242" s="2411"/>
      <c r="L1242" s="2533">
        <f t="shared" si="266"/>
        <v>0</v>
      </c>
      <c r="M1242" s="2238">
        <v>0</v>
      </c>
      <c r="N1242" s="2239">
        <f t="shared" si="267"/>
        <v>0</v>
      </c>
      <c r="O1242" s="2498">
        <f t="shared" si="268"/>
        <v>76.260000000000005</v>
      </c>
      <c r="P1242" s="2295">
        <f t="shared" si="263"/>
        <v>1</v>
      </c>
    </row>
    <row r="1243" spans="1:16" ht="45">
      <c r="A1243" s="2272" t="s">
        <v>13888</v>
      </c>
      <c r="B1243" s="2234">
        <f>VLOOKUP($A1243,'14 - QT_BES'!$A:$F,2,0)</f>
        <v>89724</v>
      </c>
      <c r="C1243" s="2234" t="str">
        <f>VLOOKUP($A1243,'14 - QT_BES'!$A:$F,3,0)</f>
        <v>SINAPI</v>
      </c>
      <c r="D1243" s="2375" t="s">
        <v>8937</v>
      </c>
      <c r="E1243" s="2242" t="str">
        <f>IFERROR(VLOOKUP($B1243,'24.08_ND'!$1:$1048529,3,0),IFERROR(VLOOKUP($B1243,'03-CP'!$C$1:$H$6260,3,0),""))</f>
        <v>UN</v>
      </c>
      <c r="F1243" s="2230">
        <v>49</v>
      </c>
      <c r="G1243" s="2238">
        <v>11.28</v>
      </c>
      <c r="H1243" s="2302">
        <f t="shared" si="264"/>
        <v>552.72</v>
      </c>
      <c r="I1243" s="2328">
        <f t="shared" si="265"/>
        <v>0</v>
      </c>
      <c r="J1243" s="2237"/>
      <c r="K1243" s="2411"/>
      <c r="L1243" s="2533">
        <f t="shared" si="266"/>
        <v>0</v>
      </c>
      <c r="M1243" s="2238">
        <v>0</v>
      </c>
      <c r="N1243" s="2239">
        <f t="shared" si="267"/>
        <v>0</v>
      </c>
      <c r="O1243" s="2498">
        <f t="shared" si="268"/>
        <v>552.72</v>
      </c>
      <c r="P1243" s="2295">
        <f t="shared" si="263"/>
        <v>1</v>
      </c>
    </row>
    <row r="1244" spans="1:16" ht="45">
      <c r="A1244" s="2272" t="s">
        <v>13889</v>
      </c>
      <c r="B1244" s="2234">
        <f>VLOOKUP($A1244,'14 - QT_BES'!$A:$F,2,0)</f>
        <v>89731</v>
      </c>
      <c r="C1244" s="2234" t="str">
        <f>VLOOKUP($A1244,'14 - QT_BES'!$A:$F,3,0)</f>
        <v>SINAPI</v>
      </c>
      <c r="D1244" s="2375" t="s">
        <v>8944</v>
      </c>
      <c r="E1244" s="2242" t="str">
        <f>IFERROR(VLOOKUP($B1244,'24.08_ND'!$1:$1048529,3,0),IFERROR(VLOOKUP($B1244,'03-CP'!$C$1:$H$6260,3,0),""))</f>
        <v>UN</v>
      </c>
      <c r="F1244" s="2230">
        <v>66</v>
      </c>
      <c r="G1244" s="2238">
        <v>16.48</v>
      </c>
      <c r="H1244" s="2302">
        <f t="shared" si="264"/>
        <v>1087.68</v>
      </c>
      <c r="I1244" s="2328">
        <f t="shared" si="265"/>
        <v>0</v>
      </c>
      <c r="J1244" s="2237"/>
      <c r="K1244" s="2411"/>
      <c r="L1244" s="2533">
        <f t="shared" si="266"/>
        <v>0</v>
      </c>
      <c r="M1244" s="2238">
        <v>0</v>
      </c>
      <c r="N1244" s="2239">
        <f t="shared" si="267"/>
        <v>0</v>
      </c>
      <c r="O1244" s="2498">
        <f t="shared" si="268"/>
        <v>1087.68</v>
      </c>
      <c r="P1244" s="2295">
        <f t="shared" si="263"/>
        <v>1</v>
      </c>
    </row>
    <row r="1245" spans="1:16" ht="45">
      <c r="A1245" s="2272" t="s">
        <v>13890</v>
      </c>
      <c r="B1245" s="2234">
        <f>VLOOKUP($A1245,'14 - QT_BES'!$A:$F,2,0)</f>
        <v>89737</v>
      </c>
      <c r="C1245" s="2234" t="str">
        <f>VLOOKUP($A1245,'14 - QT_BES'!$A:$F,3,0)</f>
        <v>SINAPI</v>
      </c>
      <c r="D1245" s="2375" t="s">
        <v>8950</v>
      </c>
      <c r="E1245" s="2242" t="str">
        <f>IFERROR(VLOOKUP($B1245,'24.08_ND'!$1:$1048529,3,0),IFERROR(VLOOKUP($B1245,'03-CP'!$C$1:$H$6260,3,0),""))</f>
        <v>UN</v>
      </c>
      <c r="F1245" s="2230">
        <v>3</v>
      </c>
      <c r="G1245" s="2238">
        <v>24.95</v>
      </c>
      <c r="H1245" s="2302">
        <f t="shared" si="264"/>
        <v>74.849999999999994</v>
      </c>
      <c r="I1245" s="2328">
        <f t="shared" si="265"/>
        <v>0</v>
      </c>
      <c r="J1245" s="2237"/>
      <c r="K1245" s="2411"/>
      <c r="L1245" s="2533">
        <f t="shared" si="266"/>
        <v>0</v>
      </c>
      <c r="M1245" s="2238">
        <v>0</v>
      </c>
      <c r="N1245" s="2239">
        <f t="shared" si="267"/>
        <v>0</v>
      </c>
      <c r="O1245" s="2498">
        <f t="shared" si="268"/>
        <v>74.849999999999994</v>
      </c>
      <c r="P1245" s="2295">
        <f t="shared" si="263"/>
        <v>1</v>
      </c>
    </row>
    <row r="1246" spans="1:16" ht="45">
      <c r="A1246" s="2272" t="s">
        <v>13891</v>
      </c>
      <c r="B1246" s="2234">
        <f>VLOOKUP($A1246,'14 - QT_BES'!$A:$F,2,0)</f>
        <v>89744</v>
      </c>
      <c r="C1246" s="2234" t="str">
        <f>VLOOKUP($A1246,'14 - QT_BES'!$A:$F,3,0)</f>
        <v>SINAPI</v>
      </c>
      <c r="D1246" s="2375" t="s">
        <v>8957</v>
      </c>
      <c r="E1246" s="2242" t="str">
        <f>IFERROR(VLOOKUP($B1246,'24.08_ND'!$1:$1048529,3,0),IFERROR(VLOOKUP($B1246,'03-CP'!$C$1:$H$6260,3,0),""))</f>
        <v>UN</v>
      </c>
      <c r="F1246" s="2230">
        <v>3</v>
      </c>
      <c r="G1246" s="2238">
        <v>30.53</v>
      </c>
      <c r="H1246" s="2302">
        <f t="shared" si="264"/>
        <v>91.59</v>
      </c>
      <c r="I1246" s="2328">
        <f t="shared" si="265"/>
        <v>0</v>
      </c>
      <c r="J1246" s="2237"/>
      <c r="K1246" s="2411"/>
      <c r="L1246" s="2533">
        <f t="shared" si="266"/>
        <v>0</v>
      </c>
      <c r="M1246" s="2238">
        <v>0</v>
      </c>
      <c r="N1246" s="2239">
        <f t="shared" si="267"/>
        <v>0</v>
      </c>
      <c r="O1246" s="2498">
        <f t="shared" si="268"/>
        <v>91.59</v>
      </c>
      <c r="P1246" s="2295">
        <f t="shared" si="263"/>
        <v>1</v>
      </c>
    </row>
    <row r="1247" spans="1:16" ht="30">
      <c r="A1247" s="2272" t="s">
        <v>13892</v>
      </c>
      <c r="B1247" s="2228" t="str">
        <f>VLOOKUP($A1247,'14 - QT_BES'!$A:$F,2,0)</f>
        <v>CP-HSD-07</v>
      </c>
      <c r="C1247" s="2228" t="str">
        <f>VLOOKUP($A1247,'14 - QT_BES'!$A:$F,3,0)</f>
        <v>PRÓPRIA</v>
      </c>
      <c r="D1247" s="2375" t="s">
        <v>15373</v>
      </c>
      <c r="E1247" s="2243" t="str">
        <f>IFERROR(VLOOKUP($B1247,'24.08_ND'!$1:$1048529,3,0),IFERROR(VLOOKUP($B1247,'03-CP'!$C$1:$H$6260,3,0),""))</f>
        <v>UN</v>
      </c>
      <c r="F1247" s="2230">
        <v>6</v>
      </c>
      <c r="G1247" s="2232">
        <v>20.88</v>
      </c>
      <c r="H1247" s="2302">
        <f t="shared" si="264"/>
        <v>125.28</v>
      </c>
      <c r="I1247" s="2328">
        <f t="shared" si="265"/>
        <v>0</v>
      </c>
      <c r="J1247" s="2237"/>
      <c r="K1247" s="2411"/>
      <c r="L1247" s="2533">
        <f t="shared" si="266"/>
        <v>0</v>
      </c>
      <c r="M1247" s="2238">
        <v>0</v>
      </c>
      <c r="N1247" s="2239">
        <f t="shared" si="267"/>
        <v>0</v>
      </c>
      <c r="O1247" s="2498">
        <f t="shared" si="268"/>
        <v>125.28</v>
      </c>
      <c r="P1247" s="2295">
        <f t="shared" si="263"/>
        <v>1</v>
      </c>
    </row>
    <row r="1248" spans="1:16" ht="30">
      <c r="A1248" s="2272" t="s">
        <v>13893</v>
      </c>
      <c r="B1248" s="2228" t="str">
        <f>VLOOKUP($A1248,'14 - QT_BES'!$A:$F,2,0)</f>
        <v>CP-HSD-09</v>
      </c>
      <c r="C1248" s="2228" t="str">
        <f>VLOOKUP($A1248,'14 - QT_BES'!$A:$F,3,0)</f>
        <v>PRÓPRIA</v>
      </c>
      <c r="D1248" s="2375" t="s">
        <v>15375</v>
      </c>
      <c r="E1248" s="2243" t="str">
        <f>IFERROR(VLOOKUP($B1248,'24.08_ND'!$1:$1048529,3,0),IFERROR(VLOOKUP($B1248,'03-CP'!$C$1:$H$6260,3,0),""))</f>
        <v>UN</v>
      </c>
      <c r="F1248" s="2230">
        <v>1</v>
      </c>
      <c r="G1248" s="2232">
        <v>13.62</v>
      </c>
      <c r="H1248" s="2302">
        <f t="shared" si="264"/>
        <v>13.62</v>
      </c>
      <c r="I1248" s="2328">
        <f t="shared" si="265"/>
        <v>0</v>
      </c>
      <c r="J1248" s="2237"/>
      <c r="K1248" s="2411"/>
      <c r="L1248" s="2533">
        <f t="shared" si="266"/>
        <v>0</v>
      </c>
      <c r="M1248" s="2238">
        <v>0</v>
      </c>
      <c r="N1248" s="2239">
        <f t="shared" si="267"/>
        <v>0</v>
      </c>
      <c r="O1248" s="2498">
        <f t="shared" si="268"/>
        <v>13.62</v>
      </c>
      <c r="P1248" s="2295">
        <f t="shared" si="263"/>
        <v>1</v>
      </c>
    </row>
    <row r="1249" spans="1:16" ht="30">
      <c r="A1249" s="2272" t="s">
        <v>13894</v>
      </c>
      <c r="B1249" s="2228" t="str">
        <f>VLOOKUP($A1249,'14 - QT_BES'!$A:$F,2,0)</f>
        <v>CP-HSD-10</v>
      </c>
      <c r="C1249" s="2228" t="str">
        <f>VLOOKUP($A1249,'14 - QT_BES'!$A:$F,3,0)</f>
        <v>PRÓPRIA</v>
      </c>
      <c r="D1249" s="2375" t="s">
        <v>15377</v>
      </c>
      <c r="E1249" s="2243" t="str">
        <f>IFERROR(VLOOKUP($B1249,'24.08_ND'!$1:$1048529,3,0),IFERROR(VLOOKUP($B1249,'03-CP'!$C$1:$H$6260,3,0),""))</f>
        <v>UN</v>
      </c>
      <c r="F1249" s="2230">
        <v>5</v>
      </c>
      <c r="G1249" s="2232">
        <v>11.41</v>
      </c>
      <c r="H1249" s="2302">
        <f t="shared" si="264"/>
        <v>57.05</v>
      </c>
      <c r="I1249" s="2328">
        <f t="shared" si="265"/>
        <v>0</v>
      </c>
      <c r="J1249" s="2237"/>
      <c r="K1249" s="2411"/>
      <c r="L1249" s="2533">
        <f t="shared" si="266"/>
        <v>0</v>
      </c>
      <c r="M1249" s="2238">
        <v>0</v>
      </c>
      <c r="N1249" s="2239">
        <f t="shared" si="267"/>
        <v>0</v>
      </c>
      <c r="O1249" s="2498">
        <f t="shared" si="268"/>
        <v>57.05</v>
      </c>
      <c r="P1249" s="2295">
        <f t="shared" si="263"/>
        <v>1</v>
      </c>
    </row>
    <row r="1250" spans="1:16" ht="45">
      <c r="A1250" s="2272" t="s">
        <v>13895</v>
      </c>
      <c r="B1250" s="2234">
        <f>VLOOKUP($A1250,'14 - QT_BES'!$A:$F,2,0)</f>
        <v>89797</v>
      </c>
      <c r="C1250" s="2234" t="str">
        <f>VLOOKUP($A1250,'14 - QT_BES'!$A:$F,3,0)</f>
        <v>SINAPI</v>
      </c>
      <c r="D1250" s="2375" t="s">
        <v>9003</v>
      </c>
      <c r="E1250" s="2242" t="str">
        <f>IFERROR(VLOOKUP($B1250,'24.08_ND'!$1:$1048529,3,0),IFERROR(VLOOKUP($B1250,'03-CP'!$C$1:$H$6260,3,0),""))</f>
        <v>UN</v>
      </c>
      <c r="F1250" s="2230">
        <v>24</v>
      </c>
      <c r="G1250" s="2238">
        <v>56.35</v>
      </c>
      <c r="H1250" s="2302">
        <f t="shared" si="264"/>
        <v>1352.4</v>
      </c>
      <c r="I1250" s="2328">
        <f t="shared" si="265"/>
        <v>0</v>
      </c>
      <c r="J1250" s="2237"/>
      <c r="K1250" s="2411"/>
      <c r="L1250" s="2533">
        <f t="shared" si="266"/>
        <v>0</v>
      </c>
      <c r="M1250" s="2238">
        <v>0</v>
      </c>
      <c r="N1250" s="2239">
        <f t="shared" si="267"/>
        <v>0</v>
      </c>
      <c r="O1250" s="2498">
        <f t="shared" si="268"/>
        <v>1352.4</v>
      </c>
      <c r="P1250" s="2295">
        <f t="shared" si="263"/>
        <v>1</v>
      </c>
    </row>
    <row r="1251" spans="1:16" ht="45">
      <c r="A1251" s="2272" t="s">
        <v>13896</v>
      </c>
      <c r="B1251" s="2228" t="str">
        <f>VLOOKUP($A1251,'14 - QT_BES'!$A:$F,2,0)</f>
        <v>CP-HSD-06</v>
      </c>
      <c r="C1251" s="2228" t="str">
        <f>VLOOKUP($A1251,'14 - QT_BES'!$A:$F,3,0)</f>
        <v>PRÓPRIA</v>
      </c>
      <c r="D1251" s="2375" t="s">
        <v>15371</v>
      </c>
      <c r="E1251" s="2243" t="str">
        <f>IFERROR(VLOOKUP($B1251,'24.08_ND'!$1:$1048529,3,0),IFERROR(VLOOKUP($B1251,'03-CP'!$C$1:$H$6260,3,0),""))</f>
        <v>UN</v>
      </c>
      <c r="F1251" s="2230">
        <v>14</v>
      </c>
      <c r="G1251" s="2232">
        <v>49.12</v>
      </c>
      <c r="H1251" s="2302">
        <f t="shared" si="264"/>
        <v>687.68</v>
      </c>
      <c r="I1251" s="2328">
        <f t="shared" si="265"/>
        <v>0</v>
      </c>
      <c r="J1251" s="2237"/>
      <c r="K1251" s="2411"/>
      <c r="L1251" s="2533">
        <f t="shared" si="266"/>
        <v>0</v>
      </c>
      <c r="M1251" s="2238">
        <v>0</v>
      </c>
      <c r="N1251" s="2239">
        <f t="shared" si="267"/>
        <v>0</v>
      </c>
      <c r="O1251" s="2498">
        <f t="shared" si="268"/>
        <v>687.68</v>
      </c>
      <c r="P1251" s="2295">
        <f t="shared" si="263"/>
        <v>1</v>
      </c>
    </row>
    <row r="1252" spans="1:16" ht="45">
      <c r="A1252" s="2272" t="s">
        <v>13897</v>
      </c>
      <c r="B1252" s="2234">
        <f>VLOOKUP($A1252,'14 - QT_BES'!$A:$F,2,0)</f>
        <v>89785</v>
      </c>
      <c r="C1252" s="2234" t="str">
        <f>VLOOKUP($A1252,'14 - QT_BES'!$A:$F,3,0)</f>
        <v>SINAPI</v>
      </c>
      <c r="D1252" s="2375" t="s">
        <v>8991</v>
      </c>
      <c r="E1252" s="2242" t="str">
        <f>IFERROR(VLOOKUP($B1252,'24.08_ND'!$1:$1048529,3,0),IFERROR(VLOOKUP($B1252,'03-CP'!$C$1:$H$6260,3,0),""))</f>
        <v>UN</v>
      </c>
      <c r="F1252" s="2230">
        <v>15</v>
      </c>
      <c r="G1252" s="2238">
        <v>29.11</v>
      </c>
      <c r="H1252" s="2302">
        <f t="shared" si="264"/>
        <v>436.65</v>
      </c>
      <c r="I1252" s="2328">
        <f t="shared" si="265"/>
        <v>0</v>
      </c>
      <c r="J1252" s="2237"/>
      <c r="K1252" s="2411"/>
      <c r="L1252" s="2533">
        <f t="shared" si="266"/>
        <v>0</v>
      </c>
      <c r="M1252" s="2238">
        <v>0</v>
      </c>
      <c r="N1252" s="2239">
        <f t="shared" si="267"/>
        <v>0</v>
      </c>
      <c r="O1252" s="2498">
        <f t="shared" si="268"/>
        <v>436.65</v>
      </c>
      <c r="P1252" s="2295">
        <f t="shared" si="263"/>
        <v>1</v>
      </c>
    </row>
    <row r="1253" spans="1:16" ht="45">
      <c r="A1253" s="2272" t="s">
        <v>13898</v>
      </c>
      <c r="B1253" s="2234">
        <f>VLOOKUP($A1253,'14 - QT_BES'!$A:$F,2,0)</f>
        <v>89783</v>
      </c>
      <c r="C1253" s="2234" t="str">
        <f>VLOOKUP($A1253,'14 - QT_BES'!$A:$F,3,0)</f>
        <v>SINAPI</v>
      </c>
      <c r="D1253" s="2375" t="s">
        <v>8989</v>
      </c>
      <c r="E1253" s="2242" t="str">
        <f>IFERROR(VLOOKUP($B1253,'24.08_ND'!$1:$1048529,3,0),IFERROR(VLOOKUP($B1253,'03-CP'!$C$1:$H$6260,3,0),""))</f>
        <v>UN</v>
      </c>
      <c r="F1253" s="2230">
        <v>6</v>
      </c>
      <c r="G1253" s="2238">
        <v>16.48</v>
      </c>
      <c r="H1253" s="2302">
        <f t="shared" si="264"/>
        <v>98.88</v>
      </c>
      <c r="I1253" s="2328">
        <f t="shared" si="265"/>
        <v>0</v>
      </c>
      <c r="J1253" s="2237"/>
      <c r="K1253" s="2411"/>
      <c r="L1253" s="2533">
        <f t="shared" si="266"/>
        <v>0</v>
      </c>
      <c r="M1253" s="2238">
        <v>0</v>
      </c>
      <c r="N1253" s="2239">
        <f t="shared" si="267"/>
        <v>0</v>
      </c>
      <c r="O1253" s="2498">
        <f t="shared" si="268"/>
        <v>98.88</v>
      </c>
      <c r="P1253" s="2295">
        <f t="shared" si="263"/>
        <v>1</v>
      </c>
    </row>
    <row r="1254" spans="1:16" ht="45">
      <c r="A1254" s="2272" t="s">
        <v>13899</v>
      </c>
      <c r="B1254" s="2234">
        <f>VLOOKUP($A1254,'14 - QT_BES'!$A:$F,2,0)</f>
        <v>104343</v>
      </c>
      <c r="C1254" s="2234" t="str">
        <f>VLOOKUP($A1254,'14 - QT_BES'!$A:$F,3,0)</f>
        <v>SINAPI</v>
      </c>
      <c r="D1254" s="2375" t="s">
        <v>9905</v>
      </c>
      <c r="E1254" s="2242" t="str">
        <f>IFERROR(VLOOKUP($B1254,'24.08_ND'!$1:$1048529,3,0),IFERROR(VLOOKUP($B1254,'03-CP'!$C$1:$H$6260,3,0),""))</f>
        <v>UN</v>
      </c>
      <c r="F1254" s="2230">
        <v>1</v>
      </c>
      <c r="G1254" s="2238">
        <v>37.270000000000003</v>
      </c>
      <c r="H1254" s="2302">
        <f t="shared" si="264"/>
        <v>37.270000000000003</v>
      </c>
      <c r="I1254" s="2328">
        <f t="shared" si="265"/>
        <v>0</v>
      </c>
      <c r="J1254" s="2237"/>
      <c r="K1254" s="2411"/>
      <c r="L1254" s="2533">
        <f t="shared" si="266"/>
        <v>0</v>
      </c>
      <c r="M1254" s="2238">
        <v>0</v>
      </c>
      <c r="N1254" s="2239">
        <f t="shared" si="267"/>
        <v>0</v>
      </c>
      <c r="O1254" s="2498">
        <f t="shared" si="268"/>
        <v>37.270000000000003</v>
      </c>
      <c r="P1254" s="2295">
        <f t="shared" si="263"/>
        <v>1</v>
      </c>
    </row>
    <row r="1255" spans="1:16" ht="45">
      <c r="A1255" s="2272" t="s">
        <v>13900</v>
      </c>
      <c r="B1255" s="2234">
        <f>VLOOKUP($A1255,'14 - QT_BES'!$A:$F,2,0)</f>
        <v>104341</v>
      </c>
      <c r="C1255" s="2234" t="str">
        <f>VLOOKUP($A1255,'14 - QT_BES'!$A:$F,3,0)</f>
        <v>SINAPI</v>
      </c>
      <c r="D1255" s="2375" t="s">
        <v>9904</v>
      </c>
      <c r="E1255" s="2242" t="str">
        <f>IFERROR(VLOOKUP($B1255,'24.08_ND'!$1:$1048529,3,0),IFERROR(VLOOKUP($B1255,'03-CP'!$C$1:$H$6260,3,0),""))</f>
        <v>UN</v>
      </c>
      <c r="F1255" s="2230">
        <v>21</v>
      </c>
      <c r="G1255" s="2238">
        <v>12.08</v>
      </c>
      <c r="H1255" s="2302">
        <f t="shared" si="264"/>
        <v>253.68</v>
      </c>
      <c r="I1255" s="2328">
        <f t="shared" si="265"/>
        <v>0</v>
      </c>
      <c r="J1255" s="2237"/>
      <c r="K1255" s="2411"/>
      <c r="L1255" s="2533">
        <f t="shared" si="266"/>
        <v>0</v>
      </c>
      <c r="M1255" s="2238">
        <v>0</v>
      </c>
      <c r="N1255" s="2239">
        <f t="shared" si="267"/>
        <v>0</v>
      </c>
      <c r="O1255" s="2498">
        <f t="shared" si="268"/>
        <v>253.68</v>
      </c>
      <c r="P1255" s="2295">
        <f t="shared" si="263"/>
        <v>1</v>
      </c>
    </row>
    <row r="1256" spans="1:16" ht="30">
      <c r="A1256" s="2272" t="s">
        <v>13901</v>
      </c>
      <c r="B1256" s="2228" t="str">
        <f>VLOOKUP($A1256,'14 - QT_BES'!$A:$F,2,0)</f>
        <v>CP-HSD-02</v>
      </c>
      <c r="C1256" s="2228" t="str">
        <f>VLOOKUP($A1256,'14 - QT_BES'!$A:$F,3,0)</f>
        <v>PRÓPRIA</v>
      </c>
      <c r="D1256" s="2375" t="s">
        <v>15363</v>
      </c>
      <c r="E1256" s="2243" t="str">
        <f>IFERROR(VLOOKUP($B1256,'24.08_ND'!$1:$1048529,3,0),IFERROR(VLOOKUP($B1256,'03-CP'!$C$1:$H$6260,3,0),""))</f>
        <v>UN</v>
      </c>
      <c r="F1256" s="2230">
        <v>1</v>
      </c>
      <c r="G1256" s="2232">
        <v>21.53</v>
      </c>
      <c r="H1256" s="2302">
        <f t="shared" si="264"/>
        <v>21.53</v>
      </c>
      <c r="I1256" s="2328">
        <f t="shared" si="265"/>
        <v>0</v>
      </c>
      <c r="J1256" s="2237"/>
      <c r="K1256" s="2411"/>
      <c r="L1256" s="2533">
        <f t="shared" si="266"/>
        <v>0</v>
      </c>
      <c r="M1256" s="2238">
        <v>0</v>
      </c>
      <c r="N1256" s="2239">
        <f t="shared" si="267"/>
        <v>0</v>
      </c>
      <c r="O1256" s="2498">
        <f t="shared" si="268"/>
        <v>21.53</v>
      </c>
      <c r="P1256" s="2295">
        <f t="shared" si="263"/>
        <v>1</v>
      </c>
    </row>
    <row r="1257" spans="1:16" ht="45">
      <c r="A1257" s="2272" t="s">
        <v>13902</v>
      </c>
      <c r="B1257" s="2234">
        <f>VLOOKUP($A1257,'14 - QT_BES'!$A:$F,2,0)</f>
        <v>89778</v>
      </c>
      <c r="C1257" s="2234" t="str">
        <f>VLOOKUP($A1257,'14 - QT_BES'!$A:$F,3,0)</f>
        <v>SINAPI</v>
      </c>
      <c r="D1257" s="2375" t="s">
        <v>8984</v>
      </c>
      <c r="E1257" s="2242" t="str">
        <f>IFERROR(VLOOKUP($B1257,'24.08_ND'!$1:$1048529,3,0),IFERROR(VLOOKUP($B1257,'03-CP'!$C$1:$H$6260,3,0),""))</f>
        <v>UN</v>
      </c>
      <c r="F1257" s="2230">
        <v>100</v>
      </c>
      <c r="G1257" s="2238">
        <v>19.829999999999998</v>
      </c>
      <c r="H1257" s="2302">
        <f t="shared" si="264"/>
        <v>1983</v>
      </c>
      <c r="I1257" s="2328">
        <f t="shared" si="265"/>
        <v>0</v>
      </c>
      <c r="J1257" s="2237"/>
      <c r="K1257" s="2411"/>
      <c r="L1257" s="2533">
        <f t="shared" si="266"/>
        <v>0</v>
      </c>
      <c r="M1257" s="2238">
        <v>0</v>
      </c>
      <c r="N1257" s="2239">
        <f t="shared" si="267"/>
        <v>0</v>
      </c>
      <c r="O1257" s="2498">
        <f t="shared" si="268"/>
        <v>1983</v>
      </c>
      <c r="P1257" s="2295">
        <f t="shared" si="263"/>
        <v>1</v>
      </c>
    </row>
    <row r="1258" spans="1:16" ht="45">
      <c r="A1258" s="2272" t="s">
        <v>13903</v>
      </c>
      <c r="B1258" s="2234">
        <f>VLOOKUP($A1258,'14 - QT_BES'!$A:$F,2,0)</f>
        <v>89753</v>
      </c>
      <c r="C1258" s="2234" t="str">
        <f>VLOOKUP($A1258,'14 - QT_BES'!$A:$F,3,0)</f>
        <v>SINAPI</v>
      </c>
      <c r="D1258" s="2375" t="s">
        <v>8964</v>
      </c>
      <c r="E1258" s="2242" t="str">
        <f>IFERROR(VLOOKUP($B1258,'24.08_ND'!$1:$1048529,3,0),IFERROR(VLOOKUP($B1258,'03-CP'!$C$1:$H$6260,3,0),""))</f>
        <v>UN</v>
      </c>
      <c r="F1258" s="2230">
        <v>210</v>
      </c>
      <c r="G1258" s="2238">
        <v>10.17</v>
      </c>
      <c r="H1258" s="2302">
        <f t="shared" si="264"/>
        <v>2135.6999999999998</v>
      </c>
      <c r="I1258" s="2328">
        <f t="shared" si="265"/>
        <v>0</v>
      </c>
      <c r="J1258" s="2237"/>
      <c r="K1258" s="2411"/>
      <c r="L1258" s="2533">
        <f t="shared" si="266"/>
        <v>0</v>
      </c>
      <c r="M1258" s="2238">
        <v>0</v>
      </c>
      <c r="N1258" s="2239">
        <f t="shared" si="267"/>
        <v>0</v>
      </c>
      <c r="O1258" s="2498">
        <f t="shared" si="268"/>
        <v>2135.6999999999998</v>
      </c>
      <c r="P1258" s="2295">
        <f t="shared" si="263"/>
        <v>1</v>
      </c>
    </row>
    <row r="1259" spans="1:16" ht="45">
      <c r="A1259" s="2272" t="s">
        <v>13904</v>
      </c>
      <c r="B1259" s="2234">
        <f>VLOOKUP($A1259,'14 - QT_BES'!$A:$F,2,0)</f>
        <v>89774</v>
      </c>
      <c r="C1259" s="2234" t="str">
        <f>VLOOKUP($A1259,'14 - QT_BES'!$A:$F,3,0)</f>
        <v>SINAPI</v>
      </c>
      <c r="D1259" s="2375" t="s">
        <v>8981</v>
      </c>
      <c r="E1259" s="2242" t="str">
        <f>IFERROR(VLOOKUP($B1259,'24.08_ND'!$1:$1048529,3,0),IFERROR(VLOOKUP($B1259,'03-CP'!$C$1:$H$6260,3,0),""))</f>
        <v>UN</v>
      </c>
      <c r="F1259" s="2230">
        <v>14</v>
      </c>
      <c r="G1259" s="2238">
        <v>17.079999999999998</v>
      </c>
      <c r="H1259" s="2302">
        <f t="shared" si="264"/>
        <v>239.12</v>
      </c>
      <c r="I1259" s="2328">
        <f t="shared" si="265"/>
        <v>0</v>
      </c>
      <c r="J1259" s="2237"/>
      <c r="K1259" s="2411"/>
      <c r="L1259" s="2533">
        <f t="shared" si="266"/>
        <v>0</v>
      </c>
      <c r="M1259" s="2238">
        <v>0</v>
      </c>
      <c r="N1259" s="2239">
        <f t="shared" si="267"/>
        <v>0</v>
      </c>
      <c r="O1259" s="2498">
        <f t="shared" si="268"/>
        <v>239.12</v>
      </c>
      <c r="P1259" s="2295">
        <f t="shared" si="263"/>
        <v>1</v>
      </c>
    </row>
    <row r="1260" spans="1:16" ht="45">
      <c r="A1260" s="2272" t="s">
        <v>13905</v>
      </c>
      <c r="B1260" s="2234">
        <f>VLOOKUP($A1260,'14 - QT_BES'!$A:$F,2,0)</f>
        <v>89784</v>
      </c>
      <c r="C1260" s="2234" t="str">
        <f>VLOOKUP($A1260,'14 - QT_BES'!$A:$F,3,0)</f>
        <v>SINAPI</v>
      </c>
      <c r="D1260" s="2375" t="s">
        <v>8990</v>
      </c>
      <c r="E1260" s="2242" t="str">
        <f>IFERROR(VLOOKUP($B1260,'24.08_ND'!$1:$1048529,3,0),IFERROR(VLOOKUP($B1260,'03-CP'!$C$1:$H$6260,3,0),""))</f>
        <v>UN</v>
      </c>
      <c r="F1260" s="2230">
        <v>26</v>
      </c>
      <c r="G1260" s="2238">
        <v>26.62</v>
      </c>
      <c r="H1260" s="2302">
        <f t="shared" si="264"/>
        <v>692.12</v>
      </c>
      <c r="I1260" s="2328">
        <f t="shared" si="265"/>
        <v>0</v>
      </c>
      <c r="J1260" s="2237"/>
      <c r="K1260" s="2411"/>
      <c r="L1260" s="2533">
        <f t="shared" si="266"/>
        <v>0</v>
      </c>
      <c r="M1260" s="2238">
        <v>0</v>
      </c>
      <c r="N1260" s="2239">
        <f t="shared" si="267"/>
        <v>0</v>
      </c>
      <c r="O1260" s="2498">
        <f t="shared" si="268"/>
        <v>692.12</v>
      </c>
      <c r="P1260" s="2295">
        <f t="shared" si="263"/>
        <v>1</v>
      </c>
    </row>
    <row r="1261" spans="1:16" ht="30">
      <c r="A1261" s="2272" t="s">
        <v>13906</v>
      </c>
      <c r="B1261" s="2228" t="str">
        <f>VLOOKUP($A1261,'14 - QT_BES'!$A:$F,2,0)</f>
        <v>CP-HSD-32</v>
      </c>
      <c r="C1261" s="2228" t="str">
        <f>VLOOKUP($A1261,'14 - QT_BES'!$A:$F,3,0)</f>
        <v>PRÓPRIA</v>
      </c>
      <c r="D1261" s="2375" t="s">
        <v>16003</v>
      </c>
      <c r="E1261" s="2243" t="str">
        <f>IFERROR(VLOOKUP($B1261,'24.08_ND'!$1:$1048529,3,0),IFERROR(VLOOKUP($B1261,'03-CP'!$C$1:$H$6260,3,0),""))</f>
        <v>UN</v>
      </c>
      <c r="F1261" s="2230">
        <v>10</v>
      </c>
      <c r="G1261" s="2232">
        <v>51.62</v>
      </c>
      <c r="H1261" s="2302">
        <f t="shared" si="264"/>
        <v>516.20000000000005</v>
      </c>
      <c r="I1261" s="2328">
        <f t="shared" si="265"/>
        <v>0</v>
      </c>
      <c r="J1261" s="2237"/>
      <c r="K1261" s="2411"/>
      <c r="L1261" s="2533">
        <f t="shared" si="266"/>
        <v>0</v>
      </c>
      <c r="M1261" s="2238">
        <v>0</v>
      </c>
      <c r="N1261" s="2239">
        <f t="shared" si="267"/>
        <v>0</v>
      </c>
      <c r="O1261" s="2498">
        <f t="shared" si="268"/>
        <v>516.20000000000005</v>
      </c>
      <c r="P1261" s="2295">
        <f t="shared" si="263"/>
        <v>1</v>
      </c>
    </row>
    <row r="1262" spans="1:16" ht="45">
      <c r="A1262" s="2272" t="s">
        <v>13907</v>
      </c>
      <c r="B1262" s="2234">
        <f>VLOOKUP($A1262,'14 - QT_BES'!$A:$F,2,0)</f>
        <v>89782</v>
      </c>
      <c r="C1262" s="2234" t="str">
        <f>VLOOKUP($A1262,'14 - QT_BES'!$A:$F,3,0)</f>
        <v>SINAPI</v>
      </c>
      <c r="D1262" s="2375" t="s">
        <v>8988</v>
      </c>
      <c r="E1262" s="2242" t="str">
        <f>IFERROR(VLOOKUP($B1262,'24.08_ND'!$1:$1048529,3,0),IFERROR(VLOOKUP($B1262,'03-CP'!$C$1:$H$6260,3,0),""))</f>
        <v>UN</v>
      </c>
      <c r="F1262" s="2230">
        <v>28</v>
      </c>
      <c r="G1262" s="2238">
        <v>16.37</v>
      </c>
      <c r="H1262" s="2302">
        <f t="shared" si="264"/>
        <v>458.36</v>
      </c>
      <c r="I1262" s="2328">
        <f t="shared" si="265"/>
        <v>0</v>
      </c>
      <c r="J1262" s="2237"/>
      <c r="K1262" s="2411"/>
      <c r="L1262" s="2533">
        <f t="shared" si="266"/>
        <v>0</v>
      </c>
      <c r="M1262" s="2238">
        <v>0</v>
      </c>
      <c r="N1262" s="2239">
        <f t="shared" si="267"/>
        <v>0</v>
      </c>
      <c r="O1262" s="2498">
        <f t="shared" si="268"/>
        <v>458.36</v>
      </c>
      <c r="P1262" s="2295">
        <f t="shared" si="263"/>
        <v>1</v>
      </c>
    </row>
    <row r="1263" spans="1:16" ht="45">
      <c r="A1263" s="2272" t="s">
        <v>13908</v>
      </c>
      <c r="B1263" s="2234">
        <f>VLOOKUP($A1263,'14 - QT_BES'!$A:$F,2,0)</f>
        <v>104344</v>
      </c>
      <c r="C1263" s="2234" t="str">
        <f>VLOOKUP($A1263,'14 - QT_BES'!$A:$F,3,0)</f>
        <v>SINAPI</v>
      </c>
      <c r="D1263" s="2375" t="s">
        <v>9906</v>
      </c>
      <c r="E1263" s="2242" t="str">
        <f>IFERROR(VLOOKUP($B1263,'24.08_ND'!$1:$1048529,3,0),IFERROR(VLOOKUP($B1263,'03-CP'!$C$1:$H$6260,3,0),""))</f>
        <v>UN</v>
      </c>
      <c r="F1263" s="2230">
        <v>6</v>
      </c>
      <c r="G1263" s="2238">
        <v>44.85</v>
      </c>
      <c r="H1263" s="2302">
        <f t="shared" si="264"/>
        <v>269.10000000000002</v>
      </c>
      <c r="I1263" s="2328">
        <f t="shared" si="265"/>
        <v>0</v>
      </c>
      <c r="J1263" s="2237"/>
      <c r="K1263" s="2411"/>
      <c r="L1263" s="2533">
        <f t="shared" si="266"/>
        <v>0</v>
      </c>
      <c r="M1263" s="2238">
        <v>0</v>
      </c>
      <c r="N1263" s="2239">
        <f t="shared" si="267"/>
        <v>0</v>
      </c>
      <c r="O1263" s="2498">
        <f t="shared" si="268"/>
        <v>269.10000000000002</v>
      </c>
      <c r="P1263" s="2295">
        <f t="shared" si="263"/>
        <v>1</v>
      </c>
    </row>
    <row r="1264" spans="1:16" ht="45">
      <c r="A1264" s="2272" t="s">
        <v>13909</v>
      </c>
      <c r="B1264" s="2234">
        <f>VLOOKUP($A1264,'14 - QT_BES'!$A:$F,2,0)</f>
        <v>89796</v>
      </c>
      <c r="C1264" s="2234" t="str">
        <f>VLOOKUP($A1264,'14 - QT_BES'!$A:$F,3,0)</f>
        <v>SINAPI</v>
      </c>
      <c r="D1264" s="2375" t="s">
        <v>9002</v>
      </c>
      <c r="E1264" s="2242" t="str">
        <f>IFERROR(VLOOKUP($B1264,'24.08_ND'!$1:$1048529,3,0),IFERROR(VLOOKUP($B1264,'03-CP'!$C$1:$H$6260,3,0),""))</f>
        <v>UN</v>
      </c>
      <c r="F1264" s="2230">
        <v>5</v>
      </c>
      <c r="G1264" s="2238">
        <v>47.85</v>
      </c>
      <c r="H1264" s="2302">
        <f t="shared" si="264"/>
        <v>239.25</v>
      </c>
      <c r="I1264" s="2328">
        <f t="shared" si="265"/>
        <v>0</v>
      </c>
      <c r="J1264" s="2237"/>
      <c r="K1264" s="2411"/>
      <c r="L1264" s="2533">
        <f t="shared" si="266"/>
        <v>0</v>
      </c>
      <c r="M1264" s="2238">
        <v>0</v>
      </c>
      <c r="N1264" s="2239">
        <f t="shared" si="267"/>
        <v>0</v>
      </c>
      <c r="O1264" s="2498">
        <f t="shared" si="268"/>
        <v>239.25</v>
      </c>
      <c r="P1264" s="2295">
        <f t="shared" si="263"/>
        <v>1</v>
      </c>
    </row>
    <row r="1265" spans="1:16" ht="45">
      <c r="A1265" s="2272" t="s">
        <v>13910</v>
      </c>
      <c r="B1265" s="2234">
        <f>VLOOKUP($A1265,'14 - QT_BES'!$A:$F,2,0)</f>
        <v>104348</v>
      </c>
      <c r="C1265" s="2234" t="str">
        <f>VLOOKUP($A1265,'14 - QT_BES'!$A:$F,3,0)</f>
        <v>SINAPI</v>
      </c>
      <c r="D1265" s="2375" t="s">
        <v>9910</v>
      </c>
      <c r="E1265" s="2242" t="str">
        <f>IFERROR(VLOOKUP($B1265,'24.08_ND'!$1:$1048529,3,0),IFERROR(VLOOKUP($B1265,'03-CP'!$C$1:$H$6260,3,0),""))</f>
        <v>UN</v>
      </c>
      <c r="F1265" s="2230">
        <v>3</v>
      </c>
      <c r="G1265" s="2238">
        <v>12</v>
      </c>
      <c r="H1265" s="2302">
        <f t="shared" si="264"/>
        <v>36</v>
      </c>
      <c r="I1265" s="2328">
        <f t="shared" si="265"/>
        <v>0</v>
      </c>
      <c r="J1265" s="2237"/>
      <c r="K1265" s="2411"/>
      <c r="L1265" s="2533">
        <f t="shared" si="266"/>
        <v>0</v>
      </c>
      <c r="M1265" s="2238">
        <v>0</v>
      </c>
      <c r="N1265" s="2239">
        <f t="shared" si="267"/>
        <v>0</v>
      </c>
      <c r="O1265" s="2498">
        <f t="shared" si="268"/>
        <v>36</v>
      </c>
      <c r="P1265" s="2295">
        <f t="shared" si="263"/>
        <v>1</v>
      </c>
    </row>
    <row r="1266" spans="1:16" ht="30">
      <c r="A1266" s="2272" t="s">
        <v>13911</v>
      </c>
      <c r="B1266" s="2234">
        <f>VLOOKUP($A1266,'14 - QT_BES'!$A:$F,2,0)</f>
        <v>104086</v>
      </c>
      <c r="C1266" s="2234" t="str">
        <f>VLOOKUP($A1266,'14 - QT_BES'!$A:$F,3,0)</f>
        <v>SINAPI</v>
      </c>
      <c r="D1266" s="2375" t="s">
        <v>10502</v>
      </c>
      <c r="E1266" s="2242" t="str">
        <f>IFERROR(VLOOKUP($B1266,'24.08_ND'!$1:$1048529,3,0),IFERROR(VLOOKUP($B1266,'03-CP'!$C$1:$H$6260,3,0),""))</f>
        <v>M</v>
      </c>
      <c r="F1266" s="2230">
        <v>1</v>
      </c>
      <c r="G1266" s="2238">
        <v>98.05</v>
      </c>
      <c r="H1266" s="2302">
        <f t="shared" si="264"/>
        <v>98.05</v>
      </c>
      <c r="I1266" s="2328">
        <f t="shared" si="265"/>
        <v>0</v>
      </c>
      <c r="J1266" s="2237"/>
      <c r="K1266" s="2411"/>
      <c r="L1266" s="2533">
        <f t="shared" si="266"/>
        <v>0</v>
      </c>
      <c r="M1266" s="2238">
        <v>0</v>
      </c>
      <c r="N1266" s="2239">
        <f t="shared" si="267"/>
        <v>0</v>
      </c>
      <c r="O1266" s="2498">
        <f t="shared" si="268"/>
        <v>98.05</v>
      </c>
      <c r="P1266" s="2295">
        <f t="shared" si="263"/>
        <v>1</v>
      </c>
    </row>
    <row r="1267" spans="1:16" ht="45">
      <c r="A1267" s="2272" t="s">
        <v>13912</v>
      </c>
      <c r="B1267" s="2234">
        <f>VLOOKUP($A1267,'14 - QT_BES'!$A:$F,2,0)</f>
        <v>89714</v>
      </c>
      <c r="C1267" s="2234" t="str">
        <f>VLOOKUP($A1267,'14 - QT_BES'!$A:$F,3,0)</f>
        <v>SINAPI</v>
      </c>
      <c r="D1267" s="2375" t="s">
        <v>8445</v>
      </c>
      <c r="E1267" s="2242" t="str">
        <f>IFERROR(VLOOKUP($B1267,'24.08_ND'!$1:$1048529,3,0),IFERROR(VLOOKUP($B1267,'03-CP'!$C$1:$H$6260,3,0),""))</f>
        <v>M</v>
      </c>
      <c r="F1267" s="2230">
        <v>75</v>
      </c>
      <c r="G1267" s="2238">
        <v>40.21</v>
      </c>
      <c r="H1267" s="2302">
        <f t="shared" si="264"/>
        <v>3015.75</v>
      </c>
      <c r="I1267" s="2328">
        <f t="shared" si="265"/>
        <v>0</v>
      </c>
      <c r="J1267" s="2237"/>
      <c r="K1267" s="2411"/>
      <c r="L1267" s="2533">
        <f t="shared" si="266"/>
        <v>0</v>
      </c>
      <c r="M1267" s="2238">
        <v>0</v>
      </c>
      <c r="N1267" s="2239">
        <f t="shared" si="267"/>
        <v>0</v>
      </c>
      <c r="O1267" s="2498">
        <f t="shared" si="268"/>
        <v>3015.75</v>
      </c>
      <c r="P1267" s="2295">
        <f t="shared" si="263"/>
        <v>1</v>
      </c>
    </row>
    <row r="1268" spans="1:16" ht="45">
      <c r="A1268" s="2272" t="s">
        <v>13913</v>
      </c>
      <c r="B1268" s="2234">
        <f>VLOOKUP($A1268,'14 - QT_BES'!$A:$F,2,0)</f>
        <v>89713</v>
      </c>
      <c r="C1268" s="2234" t="str">
        <f>VLOOKUP($A1268,'14 - QT_BES'!$A:$F,3,0)</f>
        <v>SINAPI</v>
      </c>
      <c r="D1268" s="2375" t="s">
        <v>8444</v>
      </c>
      <c r="E1268" s="2242" t="str">
        <f>IFERROR(VLOOKUP($B1268,'24.08_ND'!$1:$1048529,3,0),IFERROR(VLOOKUP($B1268,'03-CP'!$C$1:$H$6260,3,0),""))</f>
        <v>M</v>
      </c>
      <c r="F1268" s="2230">
        <v>20</v>
      </c>
      <c r="G1268" s="2238">
        <v>35.97</v>
      </c>
      <c r="H1268" s="2302">
        <f t="shared" si="264"/>
        <v>719.4</v>
      </c>
      <c r="I1268" s="2328">
        <f t="shared" si="265"/>
        <v>0</v>
      </c>
      <c r="J1268" s="2237"/>
      <c r="K1268" s="2411"/>
      <c r="L1268" s="2533">
        <f t="shared" si="266"/>
        <v>0</v>
      </c>
      <c r="M1268" s="2238">
        <v>0</v>
      </c>
      <c r="N1268" s="2239">
        <f t="shared" si="267"/>
        <v>0</v>
      </c>
      <c r="O1268" s="2498">
        <f t="shared" si="268"/>
        <v>719.4</v>
      </c>
      <c r="P1268" s="2295">
        <f t="shared" si="263"/>
        <v>1</v>
      </c>
    </row>
    <row r="1269" spans="1:16" ht="45">
      <c r="A1269" s="2272" t="s">
        <v>13914</v>
      </c>
      <c r="B1269" s="2234">
        <f>VLOOKUP($A1269,'14 - QT_BES'!$A:$F,2,0)</f>
        <v>89712</v>
      </c>
      <c r="C1269" s="2234" t="str">
        <f>VLOOKUP($A1269,'14 - QT_BES'!$A:$F,3,0)</f>
        <v>SINAPI</v>
      </c>
      <c r="D1269" s="2375" t="s">
        <v>8443</v>
      </c>
      <c r="E1269" s="2242" t="str">
        <f>IFERROR(VLOOKUP($B1269,'24.08_ND'!$1:$1048529,3,0),IFERROR(VLOOKUP($B1269,'03-CP'!$C$1:$H$6260,3,0),""))</f>
        <v>M</v>
      </c>
      <c r="F1269" s="2230">
        <v>135</v>
      </c>
      <c r="G1269" s="2238">
        <v>28.87</v>
      </c>
      <c r="H1269" s="2302">
        <f t="shared" si="264"/>
        <v>3897.45</v>
      </c>
      <c r="I1269" s="2328">
        <f t="shared" si="265"/>
        <v>0</v>
      </c>
      <c r="J1269" s="2237"/>
      <c r="K1269" s="2411"/>
      <c r="L1269" s="2533">
        <f t="shared" si="266"/>
        <v>0</v>
      </c>
      <c r="M1269" s="2238">
        <v>0</v>
      </c>
      <c r="N1269" s="2239">
        <f t="shared" si="267"/>
        <v>0</v>
      </c>
      <c r="O1269" s="2498">
        <f t="shared" si="268"/>
        <v>3897.45</v>
      </c>
      <c r="P1269" s="2295">
        <f t="shared" si="263"/>
        <v>1</v>
      </c>
    </row>
    <row r="1270" spans="1:16" ht="45">
      <c r="A1270" s="2272" t="s">
        <v>13915</v>
      </c>
      <c r="B1270" s="2234">
        <f>VLOOKUP($A1270,'14 - QT_BES'!$A:$F,2,0)</f>
        <v>89711</v>
      </c>
      <c r="C1270" s="2234" t="str">
        <f>VLOOKUP($A1270,'14 - QT_BES'!$A:$F,3,0)</f>
        <v>SINAPI</v>
      </c>
      <c r="D1270" s="2375" t="s">
        <v>8442</v>
      </c>
      <c r="E1270" s="2242" t="str">
        <f>IFERROR(VLOOKUP($B1270,'24.08_ND'!$1:$1048529,3,0),IFERROR(VLOOKUP($B1270,'03-CP'!$C$1:$H$6260,3,0),""))</f>
        <v>M</v>
      </c>
      <c r="F1270" s="2230">
        <v>70</v>
      </c>
      <c r="G1270" s="2238">
        <v>22.78</v>
      </c>
      <c r="H1270" s="2302">
        <f t="shared" si="264"/>
        <v>1594.6</v>
      </c>
      <c r="I1270" s="2328">
        <f t="shared" si="265"/>
        <v>0</v>
      </c>
      <c r="J1270" s="2237"/>
      <c r="K1270" s="2411"/>
      <c r="L1270" s="2533">
        <f t="shared" si="266"/>
        <v>0</v>
      </c>
      <c r="M1270" s="2238">
        <v>0</v>
      </c>
      <c r="N1270" s="2239">
        <f t="shared" si="267"/>
        <v>0</v>
      </c>
      <c r="O1270" s="2498">
        <f t="shared" si="268"/>
        <v>1594.6</v>
      </c>
      <c r="P1270" s="2295">
        <f t="shared" ref="P1270:P1333" si="269">O1270/H1270</f>
        <v>1</v>
      </c>
    </row>
    <row r="1271" spans="1:16">
      <c r="A1271" s="2272" t="s">
        <v>13916</v>
      </c>
      <c r="B1271" s="2228" t="str">
        <f>VLOOKUP($A1271,'14 - QT_BES'!$A:$F,2,0)</f>
        <v>CP-HSD-33</v>
      </c>
      <c r="C1271" s="2228" t="str">
        <f>VLOOKUP($A1271,'14 - QT_BES'!$A:$F,3,0)</f>
        <v>PRÓPRIA</v>
      </c>
      <c r="D1271" s="2375" t="s">
        <v>15431</v>
      </c>
      <c r="E1271" s="2243" t="str">
        <f>IFERROR(VLOOKUP($B1271,'24.08_ND'!$1:$1048529,3,0),IFERROR(VLOOKUP($B1271,'03-CP'!$C$1:$H$6260,3,0),""))</f>
        <v>UN</v>
      </c>
      <c r="F1271" s="2230">
        <v>2</v>
      </c>
      <c r="G1271" s="2232">
        <v>67.25</v>
      </c>
      <c r="H1271" s="2302">
        <f t="shared" si="264"/>
        <v>134.5</v>
      </c>
      <c r="I1271" s="2328">
        <f t="shared" si="265"/>
        <v>0</v>
      </c>
      <c r="J1271" s="2237"/>
      <c r="K1271" s="2411"/>
      <c r="L1271" s="2533">
        <f t="shared" si="266"/>
        <v>0</v>
      </c>
      <c r="M1271" s="2238">
        <v>0</v>
      </c>
      <c r="N1271" s="2239">
        <f t="shared" si="267"/>
        <v>0</v>
      </c>
      <c r="O1271" s="2498">
        <f t="shared" si="268"/>
        <v>134.5</v>
      </c>
      <c r="P1271" s="2295">
        <f t="shared" si="269"/>
        <v>1</v>
      </c>
    </row>
    <row r="1272" spans="1:16" ht="45">
      <c r="A1272" s="2272" t="s">
        <v>13917</v>
      </c>
      <c r="B1272" s="2228" t="str">
        <f>VLOOKUP($A1272,'14 - QT_BES'!$A:$F,2,0)</f>
        <v>CP-HSD-34</v>
      </c>
      <c r="C1272" s="2228" t="str">
        <f>VLOOKUP($A1272,'14 - QT_BES'!$A:$F,3,0)</f>
        <v>PRÓPRIA</v>
      </c>
      <c r="D1272" s="2375" t="s">
        <v>15393</v>
      </c>
      <c r="E1272" s="2243" t="str">
        <f>IFERROR(VLOOKUP($B1272,'24.08_ND'!$1:$1048529,3,0),IFERROR(VLOOKUP($B1272,'03-CP'!$C$1:$H$6260,3,0),""))</f>
        <v>UN</v>
      </c>
      <c r="F1272" s="2230">
        <v>11</v>
      </c>
      <c r="G1272" s="2232">
        <v>82</v>
      </c>
      <c r="H1272" s="2302">
        <f t="shared" si="264"/>
        <v>902</v>
      </c>
      <c r="I1272" s="2328">
        <f t="shared" si="265"/>
        <v>0</v>
      </c>
      <c r="J1272" s="2237"/>
      <c r="K1272" s="2411"/>
      <c r="L1272" s="2533">
        <f t="shared" si="266"/>
        <v>0</v>
      </c>
      <c r="M1272" s="2238">
        <v>0</v>
      </c>
      <c r="N1272" s="2239">
        <f t="shared" si="267"/>
        <v>0</v>
      </c>
      <c r="O1272" s="2498">
        <f t="shared" si="268"/>
        <v>902</v>
      </c>
      <c r="P1272" s="2295">
        <f t="shared" si="269"/>
        <v>1</v>
      </c>
    </row>
    <row r="1273" spans="1:16" ht="30">
      <c r="A1273" s="2272" t="s">
        <v>13918</v>
      </c>
      <c r="B1273" s="2228" t="str">
        <f>VLOOKUP($A1273,'14 - QT_BES'!$A:$F,2,0)</f>
        <v>CP-HSD-28</v>
      </c>
      <c r="C1273" s="2228" t="str">
        <f>VLOOKUP($A1273,'14 - QT_BES'!$A:$F,3,0)</f>
        <v>PRÓPRIA</v>
      </c>
      <c r="D1273" s="2375" t="s">
        <v>15418</v>
      </c>
      <c r="E1273" s="2243" t="str">
        <f>IFERROR(VLOOKUP($B1273,'24.08_ND'!$1:$1048529,3,0),IFERROR(VLOOKUP($B1273,'03-CP'!$C$1:$H$6260,3,0),""))</f>
        <v>UN</v>
      </c>
      <c r="F1273" s="2230">
        <v>8</v>
      </c>
      <c r="G1273" s="2232">
        <v>77.41</v>
      </c>
      <c r="H1273" s="2302">
        <f t="shared" si="264"/>
        <v>619.28</v>
      </c>
      <c r="I1273" s="2328">
        <f t="shared" si="265"/>
        <v>0</v>
      </c>
      <c r="J1273" s="2237"/>
      <c r="K1273" s="2411"/>
      <c r="L1273" s="2533">
        <f t="shared" si="266"/>
        <v>0</v>
      </c>
      <c r="M1273" s="2238">
        <v>0</v>
      </c>
      <c r="N1273" s="2239">
        <f t="shared" si="267"/>
        <v>0</v>
      </c>
      <c r="O1273" s="2498">
        <f t="shared" si="268"/>
        <v>619.28</v>
      </c>
      <c r="P1273" s="2295">
        <f t="shared" si="269"/>
        <v>1</v>
      </c>
    </row>
    <row r="1274" spans="1:16" ht="60">
      <c r="A1274" s="2272" t="s">
        <v>13919</v>
      </c>
      <c r="B1274" s="2234">
        <f>VLOOKUP($A1274,'14 - QT_BES'!$A:$F,2,0)</f>
        <v>91179</v>
      </c>
      <c r="C1274" s="2234" t="str">
        <f>VLOOKUP($A1274,'14 - QT_BES'!$A:$F,3,0)</f>
        <v>SINAPI</v>
      </c>
      <c r="D1274" s="2375" t="s">
        <v>10405</v>
      </c>
      <c r="E1274" s="2242" t="str">
        <f>IFERROR(VLOOKUP($B1274,'24.08_ND'!$1:$1048529,3,0),IFERROR(VLOOKUP($B1274,'03-CP'!$C$1:$H$6260,3,0),""))</f>
        <v>M</v>
      </c>
      <c r="F1274" s="2230">
        <v>3</v>
      </c>
      <c r="G1274" s="2238">
        <v>19.079999999999998</v>
      </c>
      <c r="H1274" s="2302">
        <f t="shared" si="264"/>
        <v>57.24</v>
      </c>
      <c r="I1274" s="2328">
        <f t="shared" si="265"/>
        <v>0</v>
      </c>
      <c r="J1274" s="2237"/>
      <c r="K1274" s="2411"/>
      <c r="L1274" s="2533">
        <f t="shared" si="266"/>
        <v>0</v>
      </c>
      <c r="M1274" s="2238">
        <v>0</v>
      </c>
      <c r="N1274" s="2239">
        <f t="shared" si="267"/>
        <v>0</v>
      </c>
      <c r="O1274" s="2498">
        <f t="shared" si="268"/>
        <v>57.24</v>
      </c>
      <c r="P1274" s="2295">
        <f t="shared" si="269"/>
        <v>1</v>
      </c>
    </row>
    <row r="1275" spans="1:16" ht="30">
      <c r="A1275" s="2272" t="s">
        <v>13920</v>
      </c>
      <c r="B1275" s="2234">
        <f>VLOOKUP($A1275,'14 - QT_BES'!$A:$F,2,0)</f>
        <v>93358</v>
      </c>
      <c r="C1275" s="2234" t="str">
        <f>VLOOKUP($A1275,'14 - QT_BES'!$A:$F,3,0)</f>
        <v>SINAPI</v>
      </c>
      <c r="D1275" s="2375" t="s">
        <v>10648</v>
      </c>
      <c r="E1275" s="2242" t="str">
        <f>IFERROR(VLOOKUP($B1275,'24.08_ND'!$1:$1048529,3,0),IFERROR(VLOOKUP($B1275,'03-CP'!$C$1:$H$6260,3,0),""))</f>
        <v>M3</v>
      </c>
      <c r="F1275" s="2230">
        <v>30</v>
      </c>
      <c r="G1275" s="2238">
        <v>91.52</v>
      </c>
      <c r="H1275" s="2302">
        <f t="shared" si="264"/>
        <v>2745.6</v>
      </c>
      <c r="I1275" s="2328">
        <f t="shared" si="265"/>
        <v>0</v>
      </c>
      <c r="J1275" s="2237"/>
      <c r="K1275" s="2411"/>
      <c r="L1275" s="2533">
        <f t="shared" si="266"/>
        <v>0</v>
      </c>
      <c r="M1275" s="2238">
        <v>0</v>
      </c>
      <c r="N1275" s="2239">
        <f t="shared" si="267"/>
        <v>0</v>
      </c>
      <c r="O1275" s="2498">
        <f t="shared" si="268"/>
        <v>2745.6</v>
      </c>
      <c r="P1275" s="2295">
        <f t="shared" si="269"/>
        <v>1</v>
      </c>
    </row>
    <row r="1276" spans="1:16">
      <c r="A1276" s="2272" t="s">
        <v>13921</v>
      </c>
      <c r="B1276" s="2234">
        <f>VLOOKUP($A1276,'14 - QT_BES'!$A:$F,2,0)</f>
        <v>102718</v>
      </c>
      <c r="C1276" s="2234" t="str">
        <f>VLOOKUP($A1276,'14 - QT_BES'!$A:$F,3,0)</f>
        <v>SINAPI</v>
      </c>
      <c r="D1276" s="2375" t="s">
        <v>6482</v>
      </c>
      <c r="E1276" s="2242" t="str">
        <f>IFERROR(VLOOKUP($B1276,'24.08_ND'!$1:$1048529,3,0),IFERROR(VLOOKUP($B1276,'03-CP'!$C$1:$H$6260,3,0),""))</f>
        <v>M3</v>
      </c>
      <c r="F1276" s="2230">
        <v>15</v>
      </c>
      <c r="G1276" s="2238">
        <v>204.71</v>
      </c>
      <c r="H1276" s="2302">
        <f t="shared" si="264"/>
        <v>3070.65</v>
      </c>
      <c r="I1276" s="2328">
        <f t="shared" si="265"/>
        <v>0</v>
      </c>
      <c r="J1276" s="2237"/>
      <c r="K1276" s="2411"/>
      <c r="L1276" s="2533">
        <f t="shared" si="266"/>
        <v>0</v>
      </c>
      <c r="M1276" s="2238">
        <v>0</v>
      </c>
      <c r="N1276" s="2239">
        <f t="shared" si="267"/>
        <v>0</v>
      </c>
      <c r="O1276" s="2498">
        <f t="shared" si="268"/>
        <v>3070.65</v>
      </c>
      <c r="P1276" s="2295">
        <f t="shared" si="269"/>
        <v>1</v>
      </c>
    </row>
    <row r="1277" spans="1:16" ht="30">
      <c r="A1277" s="2272" t="s">
        <v>13922</v>
      </c>
      <c r="B1277" s="2234">
        <f>VLOOKUP($A1277,'14 - QT_BES'!$A:$F,2,0)</f>
        <v>93382</v>
      </c>
      <c r="C1277" s="2234" t="str">
        <f>VLOOKUP($A1277,'14 - QT_BES'!$A:$F,3,0)</f>
        <v>SINAPI</v>
      </c>
      <c r="D1277" s="2375" t="s">
        <v>10726</v>
      </c>
      <c r="E1277" s="2242" t="str">
        <f>IFERROR(VLOOKUP($B1277,'24.08_ND'!$1:$1048529,3,0),IFERROR(VLOOKUP($B1277,'03-CP'!$C$1:$H$6260,3,0),""))</f>
        <v>M3</v>
      </c>
      <c r="F1277" s="2230">
        <v>15</v>
      </c>
      <c r="G1277" s="2238">
        <v>26.88</v>
      </c>
      <c r="H1277" s="2302">
        <f t="shared" si="264"/>
        <v>403.2</v>
      </c>
      <c r="I1277" s="2328">
        <f t="shared" si="265"/>
        <v>0</v>
      </c>
      <c r="J1277" s="2237"/>
      <c r="K1277" s="2411"/>
      <c r="L1277" s="2533">
        <f t="shared" si="266"/>
        <v>0</v>
      </c>
      <c r="M1277" s="2238">
        <v>0</v>
      </c>
      <c r="N1277" s="2239">
        <f t="shared" si="267"/>
        <v>0</v>
      </c>
      <c r="O1277" s="2498">
        <f t="shared" si="268"/>
        <v>403.2</v>
      </c>
      <c r="P1277" s="2295">
        <f t="shared" si="269"/>
        <v>1</v>
      </c>
    </row>
    <row r="1278" spans="1:16">
      <c r="A1278" s="2343" t="s">
        <v>13923</v>
      </c>
      <c r="B1278" s="2395"/>
      <c r="C1278" s="2399"/>
      <c r="D1278" s="2376" t="s">
        <v>16318</v>
      </c>
      <c r="E1278" s="2356"/>
      <c r="F1278" s="2357"/>
      <c r="G1278" s="2358"/>
      <c r="H1278" s="2361">
        <f>SUBTOTAL(9,H1279:H1289)</f>
        <v>21006.74</v>
      </c>
      <c r="I1278" s="2359"/>
      <c r="J1278" s="2360"/>
      <c r="K1278" s="2549"/>
      <c r="L1278" s="2539">
        <f>SUBTOTAL(9,L1279:L1289)</f>
        <v>0</v>
      </c>
      <c r="M1278" s="2361">
        <f>SUBTOTAL(9,M1279:M1289)</f>
        <v>0</v>
      </c>
      <c r="N1278" s="2361">
        <f>SUBTOTAL(9,N1279:N1289)</f>
        <v>0</v>
      </c>
      <c r="O1278" s="2361">
        <f>SUBTOTAL(9,O1279:O1289)</f>
        <v>21006.74</v>
      </c>
      <c r="P1278" s="2295">
        <f t="shared" si="269"/>
        <v>1</v>
      </c>
    </row>
    <row r="1279" spans="1:16" ht="45">
      <c r="A1279" s="2272" t="s">
        <v>13924</v>
      </c>
      <c r="B1279" s="2234">
        <f>VLOOKUP($A1279,'14 - QT_BES'!$A:$F,2,0)</f>
        <v>99260</v>
      </c>
      <c r="C1279" s="2234" t="str">
        <f>VLOOKUP($A1279,'14 - QT_BES'!$A:$F,3,0)</f>
        <v>SINAPI</v>
      </c>
      <c r="D1279" s="2375" t="s">
        <v>10032</v>
      </c>
      <c r="E1279" s="2242" t="str">
        <f>IFERROR(VLOOKUP($B1279,'24.08_ND'!$1:$1048529,3,0),IFERROR(VLOOKUP($B1279,'03-CP'!$C$1:$H$6260,3,0),""))</f>
        <v>UN</v>
      </c>
      <c r="F1279" s="2230">
        <v>1</v>
      </c>
      <c r="G1279" s="2238">
        <v>496.46</v>
      </c>
      <c r="H1279" s="2302">
        <f t="shared" ref="H1279:H1289" si="270">TRUNC((G1279*F1279),2)</f>
        <v>496.46</v>
      </c>
      <c r="I1279" s="2328">
        <f t="shared" ref="I1279:I1302" si="271">J1279+K1279</f>
        <v>0</v>
      </c>
      <c r="J1279" s="2237"/>
      <c r="K1279" s="2411"/>
      <c r="L1279" s="2533">
        <f t="shared" ref="L1279:L1302" si="272">M1279+N1279</f>
        <v>0</v>
      </c>
      <c r="M1279" s="2238">
        <v>0</v>
      </c>
      <c r="N1279" s="2239">
        <f t="shared" ref="N1279:N1302" si="273">TRUNC(H1279*K1279,2)</f>
        <v>0</v>
      </c>
      <c r="O1279" s="2498">
        <f t="shared" ref="O1279:O1289" si="274">H1279-L1279</f>
        <v>496.46</v>
      </c>
      <c r="P1279" s="2295">
        <f t="shared" si="269"/>
        <v>1</v>
      </c>
    </row>
    <row r="1280" spans="1:16" ht="45">
      <c r="A1280" s="2272" t="s">
        <v>13925</v>
      </c>
      <c r="B1280" s="2234">
        <f>VLOOKUP($A1280,'14 - QT_BES'!$A:$F,2,0)</f>
        <v>89585</v>
      </c>
      <c r="C1280" s="2234" t="str">
        <f>VLOOKUP($A1280,'14 - QT_BES'!$A:$F,3,0)</f>
        <v>SINAPI</v>
      </c>
      <c r="D1280" s="2375" t="s">
        <v>8829</v>
      </c>
      <c r="E1280" s="2242" t="str">
        <f>IFERROR(VLOOKUP($B1280,'24.08_ND'!$1:$1048529,3,0),IFERROR(VLOOKUP($B1280,'03-CP'!$C$1:$H$6260,3,0),""))</f>
        <v>UN</v>
      </c>
      <c r="F1280" s="2230">
        <v>47</v>
      </c>
      <c r="G1280" s="2238">
        <v>48.88</v>
      </c>
      <c r="H1280" s="2302">
        <f t="shared" si="270"/>
        <v>2297.36</v>
      </c>
      <c r="I1280" s="2328">
        <f t="shared" si="271"/>
        <v>0</v>
      </c>
      <c r="J1280" s="2237"/>
      <c r="K1280" s="2411"/>
      <c r="L1280" s="2533">
        <f t="shared" si="272"/>
        <v>0</v>
      </c>
      <c r="M1280" s="2238">
        <v>0</v>
      </c>
      <c r="N1280" s="2239">
        <f t="shared" si="273"/>
        <v>0</v>
      </c>
      <c r="O1280" s="2498">
        <f t="shared" si="274"/>
        <v>2297.36</v>
      </c>
      <c r="P1280" s="2295">
        <f t="shared" si="269"/>
        <v>1</v>
      </c>
    </row>
    <row r="1281" spans="1:16" ht="30">
      <c r="A1281" s="2272" t="s">
        <v>13926</v>
      </c>
      <c r="B1281" s="2234">
        <f>VLOOKUP($A1281,'14 - QT_BES'!$A:$F,2,0)</f>
        <v>104178</v>
      </c>
      <c r="C1281" s="2234" t="str">
        <f>VLOOKUP($A1281,'14 - QT_BES'!$A:$F,3,0)</f>
        <v>SINAPI</v>
      </c>
      <c r="D1281" s="2375" t="s">
        <v>9884</v>
      </c>
      <c r="E1281" s="2242" t="str">
        <f>IFERROR(VLOOKUP($B1281,'24.08_ND'!$1:$1048529,3,0),IFERROR(VLOOKUP($B1281,'03-CP'!$C$1:$H$6260,3,0),""))</f>
        <v>UN</v>
      </c>
      <c r="F1281" s="2230">
        <v>16</v>
      </c>
      <c r="G1281" s="2238">
        <v>23.43</v>
      </c>
      <c r="H1281" s="2302">
        <f t="shared" si="270"/>
        <v>374.88</v>
      </c>
      <c r="I1281" s="2328">
        <f t="shared" si="271"/>
        <v>0</v>
      </c>
      <c r="J1281" s="2237"/>
      <c r="K1281" s="2411"/>
      <c r="L1281" s="2533">
        <f t="shared" si="272"/>
        <v>0</v>
      </c>
      <c r="M1281" s="2238">
        <v>0</v>
      </c>
      <c r="N1281" s="2239">
        <f t="shared" si="273"/>
        <v>0</v>
      </c>
      <c r="O1281" s="2498">
        <f t="shared" si="274"/>
        <v>374.88</v>
      </c>
      <c r="P1281" s="2295">
        <f t="shared" si="269"/>
        <v>1</v>
      </c>
    </row>
    <row r="1282" spans="1:16" ht="30">
      <c r="A1282" s="2272" t="s">
        <v>13927</v>
      </c>
      <c r="B1282" s="2234">
        <f>VLOOKUP($A1282,'14 - QT_BES'!$A:$F,2,0)</f>
        <v>89554</v>
      </c>
      <c r="C1282" s="2234" t="str">
        <f>VLOOKUP($A1282,'14 - QT_BES'!$A:$F,3,0)</f>
        <v>SINAPI</v>
      </c>
      <c r="D1282" s="2375" t="s">
        <v>8801</v>
      </c>
      <c r="E1282" s="2242" t="str">
        <f>IFERROR(VLOOKUP($B1282,'24.08_ND'!$1:$1048529,3,0),IFERROR(VLOOKUP($B1282,'03-CP'!$C$1:$H$6260,3,0),""))</f>
        <v>UN</v>
      </c>
      <c r="F1282" s="2230">
        <v>64</v>
      </c>
      <c r="G1282" s="2238">
        <v>31.51</v>
      </c>
      <c r="H1282" s="2302">
        <f t="shared" si="270"/>
        <v>2016.64</v>
      </c>
      <c r="I1282" s="2328">
        <f t="shared" si="271"/>
        <v>0</v>
      </c>
      <c r="J1282" s="2237"/>
      <c r="K1282" s="2411"/>
      <c r="L1282" s="2533">
        <f t="shared" si="272"/>
        <v>0</v>
      </c>
      <c r="M1282" s="2238">
        <v>0</v>
      </c>
      <c r="N1282" s="2239">
        <f t="shared" si="273"/>
        <v>0</v>
      </c>
      <c r="O1282" s="2498">
        <f t="shared" si="274"/>
        <v>2016.64</v>
      </c>
      <c r="P1282" s="2295">
        <f t="shared" si="269"/>
        <v>1</v>
      </c>
    </row>
    <row r="1283" spans="1:16" ht="30">
      <c r="A1283" s="2272" t="s">
        <v>13928</v>
      </c>
      <c r="B1283" s="2234">
        <f>VLOOKUP($A1283,'14 - QT_BES'!$A:$F,2,0)</f>
        <v>89529</v>
      </c>
      <c r="C1283" s="2234" t="str">
        <f>VLOOKUP($A1283,'14 - QT_BES'!$A:$F,3,0)</f>
        <v>SINAPI</v>
      </c>
      <c r="D1283" s="2375" t="s">
        <v>8782</v>
      </c>
      <c r="E1283" s="2242" t="str">
        <f>IFERROR(VLOOKUP($B1283,'24.08_ND'!$1:$1048529,3,0),IFERROR(VLOOKUP($B1283,'03-CP'!$C$1:$H$6260,3,0),""))</f>
        <v>UN</v>
      </c>
      <c r="F1283" s="2230">
        <v>19</v>
      </c>
      <c r="G1283" s="2238">
        <v>40.18</v>
      </c>
      <c r="H1283" s="2302">
        <f t="shared" si="270"/>
        <v>763.42</v>
      </c>
      <c r="I1283" s="2328">
        <f t="shared" si="271"/>
        <v>0</v>
      </c>
      <c r="J1283" s="2237"/>
      <c r="K1283" s="2411"/>
      <c r="L1283" s="2533">
        <f t="shared" si="272"/>
        <v>0</v>
      </c>
      <c r="M1283" s="2238">
        <v>0</v>
      </c>
      <c r="N1283" s="2239">
        <f t="shared" si="273"/>
        <v>0</v>
      </c>
      <c r="O1283" s="2498">
        <f t="shared" si="274"/>
        <v>763.42</v>
      </c>
      <c r="P1283" s="2295">
        <f t="shared" si="269"/>
        <v>1</v>
      </c>
    </row>
    <row r="1284" spans="1:16" ht="45">
      <c r="A1284" s="2272" t="s">
        <v>13929</v>
      </c>
      <c r="B1284" s="2234">
        <f>VLOOKUP($A1284,'14 - QT_BES'!$A:$F,2,0)</f>
        <v>89690</v>
      </c>
      <c r="C1284" s="2234" t="str">
        <f>VLOOKUP($A1284,'14 - QT_BES'!$A:$F,3,0)</f>
        <v>SINAPI</v>
      </c>
      <c r="D1284" s="2375" t="s">
        <v>8915</v>
      </c>
      <c r="E1284" s="2242" t="str">
        <f>IFERROR(VLOOKUP($B1284,'24.08_ND'!$1:$1048529,3,0),IFERROR(VLOOKUP($B1284,'03-CP'!$C$1:$H$6260,3,0),""))</f>
        <v>UN</v>
      </c>
      <c r="F1284" s="2230">
        <v>20</v>
      </c>
      <c r="G1284" s="2238">
        <v>95.85</v>
      </c>
      <c r="H1284" s="2302">
        <f t="shared" si="270"/>
        <v>1917</v>
      </c>
      <c r="I1284" s="2328">
        <f t="shared" si="271"/>
        <v>0</v>
      </c>
      <c r="J1284" s="2237"/>
      <c r="K1284" s="2411"/>
      <c r="L1284" s="2533">
        <f t="shared" si="272"/>
        <v>0</v>
      </c>
      <c r="M1284" s="2238">
        <v>0</v>
      </c>
      <c r="N1284" s="2239">
        <f t="shared" si="273"/>
        <v>0</v>
      </c>
      <c r="O1284" s="2498">
        <f t="shared" si="274"/>
        <v>1917</v>
      </c>
      <c r="P1284" s="2295">
        <f t="shared" si="269"/>
        <v>1</v>
      </c>
    </row>
    <row r="1285" spans="1:16" ht="30">
      <c r="A1285" s="2272" t="s">
        <v>13930</v>
      </c>
      <c r="B1285" s="2234">
        <f>VLOOKUP($A1285,'14 - QT_BES'!$A:$F,2,0)</f>
        <v>89512</v>
      </c>
      <c r="C1285" s="2234" t="str">
        <f>VLOOKUP($A1285,'14 - QT_BES'!$A:$F,3,0)</f>
        <v>SINAPI</v>
      </c>
      <c r="D1285" s="2375" t="s">
        <v>8434</v>
      </c>
      <c r="E1285" s="2242" t="str">
        <f>IFERROR(VLOOKUP($B1285,'24.08_ND'!$1:$1048529,3,0),IFERROR(VLOOKUP($B1285,'03-CP'!$C$1:$H$6260,3,0),""))</f>
        <v>M</v>
      </c>
      <c r="F1285" s="2230">
        <v>140</v>
      </c>
      <c r="G1285" s="2238">
        <v>52.11</v>
      </c>
      <c r="H1285" s="2302">
        <f t="shared" si="270"/>
        <v>7295.4</v>
      </c>
      <c r="I1285" s="2328">
        <f t="shared" si="271"/>
        <v>0</v>
      </c>
      <c r="J1285" s="2237"/>
      <c r="K1285" s="2411"/>
      <c r="L1285" s="2533">
        <f t="shared" si="272"/>
        <v>0</v>
      </c>
      <c r="M1285" s="2238">
        <v>0</v>
      </c>
      <c r="N1285" s="2239">
        <f t="shared" si="273"/>
        <v>0</v>
      </c>
      <c r="O1285" s="2498">
        <f t="shared" si="274"/>
        <v>7295.4</v>
      </c>
      <c r="P1285" s="2295">
        <f t="shared" si="269"/>
        <v>1</v>
      </c>
    </row>
    <row r="1286" spans="1:16" ht="30">
      <c r="A1286" s="2272" t="s">
        <v>13931</v>
      </c>
      <c r="B1286" s="2228" t="str">
        <f>VLOOKUP($A1286,'14 - QT_BES'!$A:$F,2,0)</f>
        <v>CP-DRE-02</v>
      </c>
      <c r="C1286" s="2228" t="str">
        <f>VLOOKUP($A1286,'14 - QT_BES'!$A:$F,3,0)</f>
        <v>PRÓPRIA</v>
      </c>
      <c r="D1286" s="2375" t="s">
        <v>15435</v>
      </c>
      <c r="E1286" s="2243" t="str">
        <f>IFERROR(VLOOKUP($B1286,'24.08_ND'!$1:$1048529,3,0),IFERROR(VLOOKUP($B1286,'03-CP'!$C$1:$H$6260,3,0),""))</f>
        <v>M</v>
      </c>
      <c r="F1286" s="2230">
        <v>15</v>
      </c>
      <c r="G1286" s="2232">
        <v>209.36</v>
      </c>
      <c r="H1286" s="2302">
        <f t="shared" si="270"/>
        <v>3140.4</v>
      </c>
      <c r="I1286" s="2328">
        <f t="shared" si="271"/>
        <v>0</v>
      </c>
      <c r="J1286" s="2237"/>
      <c r="K1286" s="2411"/>
      <c r="L1286" s="2533">
        <f t="shared" si="272"/>
        <v>0</v>
      </c>
      <c r="M1286" s="2238">
        <v>0</v>
      </c>
      <c r="N1286" s="2239">
        <f t="shared" si="273"/>
        <v>0</v>
      </c>
      <c r="O1286" s="2498">
        <f t="shared" si="274"/>
        <v>3140.4</v>
      </c>
      <c r="P1286" s="2295">
        <f t="shared" si="269"/>
        <v>1</v>
      </c>
    </row>
    <row r="1287" spans="1:16" ht="30">
      <c r="A1287" s="2272" t="s">
        <v>13932</v>
      </c>
      <c r="B1287" s="2228" t="str">
        <f>VLOOKUP($A1287,'14 - QT_BES'!$A:$F,2,0)</f>
        <v>CP-HSD-28</v>
      </c>
      <c r="C1287" s="2228" t="str">
        <f>VLOOKUP($A1287,'14 - QT_BES'!$A:$F,3,0)</f>
        <v>PRÓPRIA</v>
      </c>
      <c r="D1287" s="2375" t="s">
        <v>15418</v>
      </c>
      <c r="E1287" s="2243" t="str">
        <f>IFERROR(VLOOKUP($B1287,'24.08_ND'!$1:$1048529,3,0),IFERROR(VLOOKUP($B1287,'03-CP'!$C$1:$H$6260,3,0),""))</f>
        <v>UN</v>
      </c>
      <c r="F1287" s="2230">
        <v>16</v>
      </c>
      <c r="G1287" s="2232">
        <v>77.41</v>
      </c>
      <c r="H1287" s="2302">
        <f t="shared" si="270"/>
        <v>1238.56</v>
      </c>
      <c r="I1287" s="2328">
        <f t="shared" si="271"/>
        <v>0</v>
      </c>
      <c r="J1287" s="2237"/>
      <c r="K1287" s="2411"/>
      <c r="L1287" s="2533">
        <f t="shared" si="272"/>
        <v>0</v>
      </c>
      <c r="M1287" s="2238">
        <v>0</v>
      </c>
      <c r="N1287" s="2239">
        <f t="shared" si="273"/>
        <v>0</v>
      </c>
      <c r="O1287" s="2498">
        <f t="shared" si="274"/>
        <v>1238.56</v>
      </c>
      <c r="P1287" s="2295">
        <f t="shared" si="269"/>
        <v>1</v>
      </c>
    </row>
    <row r="1288" spans="1:16">
      <c r="A1288" s="2272" t="s">
        <v>13933</v>
      </c>
      <c r="B1288" s="2228" t="str">
        <f>VLOOKUP($A1288,'14 - QT_BES'!$A:$F,2,0)</f>
        <v>CP-HSD-26</v>
      </c>
      <c r="C1288" s="2228" t="str">
        <f>VLOOKUP($A1288,'14 - QT_BES'!$A:$F,3,0)</f>
        <v>PRÓPRIA</v>
      </c>
      <c r="D1288" s="2375" t="s">
        <v>15409</v>
      </c>
      <c r="E1288" s="2243" t="str">
        <f>IFERROR(VLOOKUP($B1288,'24.08_ND'!$1:$1048529,3,0),IFERROR(VLOOKUP($B1288,'03-CP'!$C$1:$H$6260,3,0),""))</f>
        <v>UN</v>
      </c>
      <c r="F1288" s="2230">
        <v>14</v>
      </c>
      <c r="G1288" s="2232">
        <v>79.88</v>
      </c>
      <c r="H1288" s="2302">
        <f t="shared" si="270"/>
        <v>1118.32</v>
      </c>
      <c r="I1288" s="2328">
        <f t="shared" si="271"/>
        <v>0</v>
      </c>
      <c r="J1288" s="2237"/>
      <c r="K1288" s="2411"/>
      <c r="L1288" s="2533">
        <f t="shared" si="272"/>
        <v>0</v>
      </c>
      <c r="M1288" s="2238">
        <v>0</v>
      </c>
      <c r="N1288" s="2239">
        <f t="shared" si="273"/>
        <v>0</v>
      </c>
      <c r="O1288" s="2498">
        <f t="shared" si="274"/>
        <v>1118.32</v>
      </c>
      <c r="P1288" s="2295">
        <f t="shared" si="269"/>
        <v>1</v>
      </c>
    </row>
    <row r="1289" spans="1:16" ht="60">
      <c r="A1289" s="2272" t="s">
        <v>13934</v>
      </c>
      <c r="B1289" s="2234">
        <f>VLOOKUP($A1289,'14 - QT_BES'!$A:$F,2,0)</f>
        <v>91175</v>
      </c>
      <c r="C1289" s="2234" t="str">
        <f>VLOOKUP($A1289,'14 - QT_BES'!$A:$F,3,0)</f>
        <v>SINAPI</v>
      </c>
      <c r="D1289" s="2375" t="s">
        <v>10403</v>
      </c>
      <c r="E1289" s="2242" t="str">
        <f>IFERROR(VLOOKUP($B1289,'24.08_ND'!$1:$1048529,3,0),IFERROR(VLOOKUP($B1289,'03-CP'!$C$1:$H$6260,3,0),""))</f>
        <v>M</v>
      </c>
      <c r="F1289" s="2230">
        <v>30</v>
      </c>
      <c r="G1289" s="2238">
        <v>11.61</v>
      </c>
      <c r="H1289" s="2302">
        <f t="shared" si="270"/>
        <v>348.3</v>
      </c>
      <c r="I1289" s="2328">
        <f t="shared" si="271"/>
        <v>0</v>
      </c>
      <c r="J1289" s="2237"/>
      <c r="K1289" s="2411"/>
      <c r="L1289" s="2533">
        <f t="shared" si="272"/>
        <v>0</v>
      </c>
      <c r="M1289" s="2238">
        <v>0</v>
      </c>
      <c r="N1289" s="2239">
        <f t="shared" si="273"/>
        <v>0</v>
      </c>
      <c r="O1289" s="2498">
        <f t="shared" si="274"/>
        <v>348.3</v>
      </c>
      <c r="P1289" s="2295">
        <f t="shared" si="269"/>
        <v>1</v>
      </c>
    </row>
    <row r="1290" spans="1:16">
      <c r="A1290" s="2267" t="s">
        <v>12645</v>
      </c>
      <c r="B1290" s="2394"/>
      <c r="C1290" s="2398"/>
      <c r="D1290" s="2377" t="s">
        <v>12510</v>
      </c>
      <c r="E1290" s="2353"/>
      <c r="F1290" s="2354"/>
      <c r="G1290" s="2355"/>
      <c r="H1290" s="2300">
        <f>SUBTOTAL(9,H1291:H1337)</f>
        <v>56440.009999999995</v>
      </c>
      <c r="I1290" s="2528"/>
      <c r="J1290" s="2529"/>
      <c r="K1290" s="2550"/>
      <c r="L1290" s="2532">
        <f>SUBTOTAL(9,L1291:L1337)</f>
        <v>0</v>
      </c>
      <c r="M1290" s="2300">
        <f>SUBTOTAL(9,M1291:M1337)</f>
        <v>0</v>
      </c>
      <c r="N1290" s="2300">
        <f>SUBTOTAL(9,N1291:N1337)</f>
        <v>0</v>
      </c>
      <c r="O1290" s="2300">
        <f>SUBTOTAL(9,O1291:O1337)</f>
        <v>56440.009999999995</v>
      </c>
      <c r="P1290" s="2295">
        <f t="shared" si="269"/>
        <v>1</v>
      </c>
    </row>
    <row r="1291" spans="1:16">
      <c r="A1291" s="2343" t="s">
        <v>13935</v>
      </c>
      <c r="B1291" s="2395"/>
      <c r="C1291" s="2399"/>
      <c r="D1291" s="2376" t="s">
        <v>16333</v>
      </c>
      <c r="E1291" s="2356"/>
      <c r="F1291" s="2357"/>
      <c r="G1291" s="2358"/>
      <c r="H1291" s="2361">
        <f>SUBTOTAL(9,H1292:H1296)</f>
        <v>7831.81</v>
      </c>
      <c r="I1291" s="2551"/>
      <c r="J1291" s="2358"/>
      <c r="K1291" s="2552"/>
      <c r="L1291" s="2539">
        <f>SUBTOTAL(9,L1292:L1296)</f>
        <v>0</v>
      </c>
      <c r="M1291" s="2361">
        <f>SUBTOTAL(9,M1292:M1296)</f>
        <v>0</v>
      </c>
      <c r="N1291" s="2361">
        <f>SUBTOTAL(9,N1292:N1296)</f>
        <v>0</v>
      </c>
      <c r="O1291" s="2361">
        <f>SUBTOTAL(9,O1292:O1296)</f>
        <v>7831.81</v>
      </c>
      <c r="P1291" s="2295">
        <f t="shared" si="269"/>
        <v>1</v>
      </c>
    </row>
    <row r="1292" spans="1:16" ht="45">
      <c r="A1292" s="2272" t="s">
        <v>13936</v>
      </c>
      <c r="B1292" s="2234">
        <f>VLOOKUP($A1292,'14 - QT_BES'!$A:$F,2,0)</f>
        <v>97667</v>
      </c>
      <c r="C1292" s="2234" t="str">
        <f>VLOOKUP($A1292,'14 - QT_BES'!$A:$F,3,0)</f>
        <v>SINAPI</v>
      </c>
      <c r="D1292" s="2375" t="s">
        <v>7797</v>
      </c>
      <c r="E1292" s="2242" t="str">
        <f>IFERROR(VLOOKUP($B1292,'24.08_ND'!$1:$1048529,3,0),IFERROR(VLOOKUP($B1292,'03-CP'!$C$1:$H$6260,3,0),""))</f>
        <v>M</v>
      </c>
      <c r="F1292" s="2230">
        <v>80</v>
      </c>
      <c r="G1292" s="2238">
        <v>8.93</v>
      </c>
      <c r="H1292" s="2302">
        <f>TRUNC((G1292*F1292),2)</f>
        <v>714.4</v>
      </c>
      <c r="I1292" s="2328">
        <f t="shared" si="271"/>
        <v>0</v>
      </c>
      <c r="J1292" s="2237"/>
      <c r="K1292" s="2411"/>
      <c r="L1292" s="2533">
        <f t="shared" si="272"/>
        <v>0</v>
      </c>
      <c r="M1292" s="2238">
        <v>0</v>
      </c>
      <c r="N1292" s="2239">
        <f t="shared" si="273"/>
        <v>0</v>
      </c>
      <c r="O1292" s="2498">
        <f>H1292-L1292</f>
        <v>714.4</v>
      </c>
      <c r="P1292" s="2295">
        <f t="shared" si="269"/>
        <v>1</v>
      </c>
    </row>
    <row r="1293" spans="1:16" ht="45">
      <c r="A1293" s="2272" t="s">
        <v>13937</v>
      </c>
      <c r="B1293" s="2234">
        <f>VLOOKUP($A1293,'14 - QT_BES'!$A:$F,2,0)</f>
        <v>91837</v>
      </c>
      <c r="C1293" s="2234" t="str">
        <f>VLOOKUP($A1293,'14 - QT_BES'!$A:$F,3,0)</f>
        <v>SINAPI</v>
      </c>
      <c r="D1293" s="2375" t="s">
        <v>7758</v>
      </c>
      <c r="E1293" s="2242" t="str">
        <f>IFERROR(VLOOKUP($B1293,'24.08_ND'!$1:$1048529,3,0),IFERROR(VLOOKUP($B1293,'03-CP'!$C$1:$H$6260,3,0),""))</f>
        <v>M</v>
      </c>
      <c r="F1293" s="2230">
        <v>30</v>
      </c>
      <c r="G1293" s="2238">
        <v>26.9</v>
      </c>
      <c r="H1293" s="2302">
        <f>TRUNC((G1293*F1293),2)</f>
        <v>807</v>
      </c>
      <c r="I1293" s="2328">
        <f t="shared" si="271"/>
        <v>0</v>
      </c>
      <c r="J1293" s="2237"/>
      <c r="K1293" s="2411"/>
      <c r="L1293" s="2533">
        <f t="shared" si="272"/>
        <v>0</v>
      </c>
      <c r="M1293" s="2238">
        <v>0</v>
      </c>
      <c r="N1293" s="2239">
        <f t="shared" si="273"/>
        <v>0</v>
      </c>
      <c r="O1293" s="2498">
        <f>H1293-L1293</f>
        <v>807</v>
      </c>
      <c r="P1293" s="2295">
        <f t="shared" si="269"/>
        <v>1</v>
      </c>
    </row>
    <row r="1294" spans="1:16" ht="45">
      <c r="A1294" s="2272" t="s">
        <v>13938</v>
      </c>
      <c r="B1294" s="2234">
        <f>VLOOKUP($A1294,'14 - QT_BES'!$A:$F,2,0)</f>
        <v>91835</v>
      </c>
      <c r="C1294" s="2234" t="str">
        <f>VLOOKUP($A1294,'14 - QT_BES'!$A:$F,3,0)</f>
        <v>SINAPI</v>
      </c>
      <c r="D1294" s="2375" t="s">
        <v>7756</v>
      </c>
      <c r="E1294" s="2242" t="str">
        <f>IFERROR(VLOOKUP($B1294,'24.08_ND'!$1:$1048529,3,0),IFERROR(VLOOKUP($B1294,'03-CP'!$C$1:$H$6260,3,0),""))</f>
        <v>M</v>
      </c>
      <c r="F1294" s="2230">
        <v>185</v>
      </c>
      <c r="G1294" s="2238">
        <v>21.43</v>
      </c>
      <c r="H1294" s="2302">
        <f>TRUNC((G1294*F1294),2)</f>
        <v>3964.55</v>
      </c>
      <c r="I1294" s="2328">
        <f t="shared" si="271"/>
        <v>0</v>
      </c>
      <c r="J1294" s="2237"/>
      <c r="K1294" s="2411"/>
      <c r="L1294" s="2533">
        <f t="shared" si="272"/>
        <v>0</v>
      </c>
      <c r="M1294" s="2238">
        <v>0</v>
      </c>
      <c r="N1294" s="2239">
        <f t="shared" si="273"/>
        <v>0</v>
      </c>
      <c r="O1294" s="2498">
        <f>H1294-L1294</f>
        <v>3964.55</v>
      </c>
      <c r="P1294" s="2295">
        <f t="shared" si="269"/>
        <v>1</v>
      </c>
    </row>
    <row r="1295" spans="1:16" ht="30">
      <c r="A1295" s="2272" t="s">
        <v>13939</v>
      </c>
      <c r="B1295" s="2234">
        <f>VLOOKUP($A1295,'14 - QT_BES'!$A:$F,2,0)</f>
        <v>93358</v>
      </c>
      <c r="C1295" s="2234" t="str">
        <f>VLOOKUP($A1295,'14 - QT_BES'!$A:$F,3,0)</f>
        <v>SINAPI</v>
      </c>
      <c r="D1295" s="2375" t="s">
        <v>10648</v>
      </c>
      <c r="E1295" s="2242" t="str">
        <f>IFERROR(VLOOKUP($B1295,'24.08_ND'!$1:$1048529,3,0),IFERROR(VLOOKUP($B1295,'03-CP'!$C$1:$H$6260,3,0),""))</f>
        <v>M3</v>
      </c>
      <c r="F1295" s="2230">
        <v>20</v>
      </c>
      <c r="G1295" s="2238">
        <v>91.52</v>
      </c>
      <c r="H1295" s="2302">
        <f>TRUNC((G1295*F1295),2)</f>
        <v>1830.4</v>
      </c>
      <c r="I1295" s="2328">
        <f t="shared" si="271"/>
        <v>0</v>
      </c>
      <c r="J1295" s="2237"/>
      <c r="K1295" s="2411"/>
      <c r="L1295" s="2533">
        <f t="shared" si="272"/>
        <v>0</v>
      </c>
      <c r="M1295" s="2238">
        <v>0</v>
      </c>
      <c r="N1295" s="2239">
        <f t="shared" si="273"/>
        <v>0</v>
      </c>
      <c r="O1295" s="2498">
        <f>H1295-L1295</f>
        <v>1830.4</v>
      </c>
      <c r="P1295" s="2295">
        <f t="shared" si="269"/>
        <v>1</v>
      </c>
    </row>
    <row r="1296" spans="1:16">
      <c r="A1296" s="2272" t="s">
        <v>13940</v>
      </c>
      <c r="B1296" s="2234">
        <f>VLOOKUP($A1296,'14 - QT_BES'!$A:$F,2,0)</f>
        <v>104737</v>
      </c>
      <c r="C1296" s="2234" t="str">
        <f>VLOOKUP($A1296,'14 - QT_BES'!$A:$F,3,0)</f>
        <v>SINAPI</v>
      </c>
      <c r="D1296" s="2375" t="s">
        <v>10736</v>
      </c>
      <c r="E1296" s="2242" t="str">
        <f>IFERROR(VLOOKUP($B1296,'24.08_ND'!$1:$1048529,3,0),IFERROR(VLOOKUP($B1296,'03-CP'!$C$1:$H$6260,3,0),""))</f>
        <v>M3</v>
      </c>
      <c r="F1296" s="2230">
        <v>22</v>
      </c>
      <c r="G1296" s="2238">
        <v>23.43</v>
      </c>
      <c r="H1296" s="2302">
        <f>TRUNC((G1296*F1296),2)</f>
        <v>515.46</v>
      </c>
      <c r="I1296" s="2328">
        <f t="shared" si="271"/>
        <v>0</v>
      </c>
      <c r="J1296" s="2237"/>
      <c r="K1296" s="2411"/>
      <c r="L1296" s="2533">
        <f t="shared" si="272"/>
        <v>0</v>
      </c>
      <c r="M1296" s="2238">
        <v>0</v>
      </c>
      <c r="N1296" s="2239">
        <f t="shared" si="273"/>
        <v>0</v>
      </c>
      <c r="O1296" s="2498">
        <f>H1296-L1296</f>
        <v>515.46</v>
      </c>
      <c r="P1296" s="2295">
        <f t="shared" si="269"/>
        <v>1</v>
      </c>
    </row>
    <row r="1297" spans="1:16">
      <c r="A1297" s="2343" t="s">
        <v>13941</v>
      </c>
      <c r="B1297" s="2395"/>
      <c r="C1297" s="2399"/>
      <c r="D1297" s="2376" t="s">
        <v>16335</v>
      </c>
      <c r="E1297" s="2356"/>
      <c r="F1297" s="2357"/>
      <c r="G1297" s="2358"/>
      <c r="H1297" s="2361">
        <f>SUBTOTAL(9,H1298:H1302)</f>
        <v>2642.47</v>
      </c>
      <c r="I1297" s="2551"/>
      <c r="J1297" s="2358"/>
      <c r="K1297" s="2552"/>
      <c r="L1297" s="2539">
        <f>SUBTOTAL(9,L1298:L1302)</f>
        <v>0</v>
      </c>
      <c r="M1297" s="2361">
        <f>SUBTOTAL(9,M1298:M1302)</f>
        <v>0</v>
      </c>
      <c r="N1297" s="2361">
        <f>SUBTOTAL(9,N1298:N1302)</f>
        <v>0</v>
      </c>
      <c r="O1297" s="2361">
        <f>SUBTOTAL(9,O1298:O1302)</f>
        <v>2642.47</v>
      </c>
      <c r="P1297" s="2295">
        <f t="shared" si="269"/>
        <v>1</v>
      </c>
    </row>
    <row r="1298" spans="1:16" ht="30">
      <c r="A1298" s="2272" t="s">
        <v>13942</v>
      </c>
      <c r="B1298" s="2234">
        <f>VLOOKUP($A1298,'14 - QT_BES'!$A:$F,2,0)</f>
        <v>91941</v>
      </c>
      <c r="C1298" s="2234" t="str">
        <f>VLOOKUP($A1298,'14 - QT_BES'!$A:$F,3,0)</f>
        <v>SINAPI</v>
      </c>
      <c r="D1298" s="2375" t="s">
        <v>7887</v>
      </c>
      <c r="E1298" s="2242" t="str">
        <f>IFERROR(VLOOKUP($B1298,'24.08_ND'!$1:$1048529,3,0),IFERROR(VLOOKUP($B1298,'03-CP'!$C$1:$H$6260,3,0),""))</f>
        <v>UN</v>
      </c>
      <c r="F1298" s="2230">
        <v>31</v>
      </c>
      <c r="G1298" s="2238">
        <v>12.92</v>
      </c>
      <c r="H1298" s="2302">
        <f>TRUNC((G1298*F1298),2)</f>
        <v>400.52</v>
      </c>
      <c r="I1298" s="2328">
        <f t="shared" si="271"/>
        <v>0</v>
      </c>
      <c r="J1298" s="2237"/>
      <c r="K1298" s="2411"/>
      <c r="L1298" s="2533">
        <f t="shared" si="272"/>
        <v>0</v>
      </c>
      <c r="M1298" s="2238">
        <v>0</v>
      </c>
      <c r="N1298" s="2239">
        <f t="shared" si="273"/>
        <v>0</v>
      </c>
      <c r="O1298" s="2498">
        <f>H1298-L1298</f>
        <v>400.52</v>
      </c>
      <c r="P1298" s="2295">
        <f t="shared" si="269"/>
        <v>1</v>
      </c>
    </row>
    <row r="1299" spans="1:16" ht="30">
      <c r="A1299" s="2272" t="s">
        <v>13943</v>
      </c>
      <c r="B1299" s="2234">
        <f>VLOOKUP($A1299,'14 - QT_BES'!$A:$F,2,0)</f>
        <v>91939</v>
      </c>
      <c r="C1299" s="2234" t="str">
        <f>VLOOKUP($A1299,'14 - QT_BES'!$A:$F,3,0)</f>
        <v>SINAPI</v>
      </c>
      <c r="D1299" s="2375" t="s">
        <v>7885</v>
      </c>
      <c r="E1299" s="2242" t="str">
        <f>IFERROR(VLOOKUP($B1299,'24.08_ND'!$1:$1048529,3,0),IFERROR(VLOOKUP($B1299,'03-CP'!$C$1:$H$6260,3,0),""))</f>
        <v>UN</v>
      </c>
      <c r="F1299" s="2230">
        <v>18</v>
      </c>
      <c r="G1299" s="2238">
        <v>34.299999999999997</v>
      </c>
      <c r="H1299" s="2302">
        <f>TRUNC((G1299*F1299),2)</f>
        <v>617.4</v>
      </c>
      <c r="I1299" s="2328">
        <f t="shared" si="271"/>
        <v>0</v>
      </c>
      <c r="J1299" s="2237"/>
      <c r="K1299" s="2411"/>
      <c r="L1299" s="2533">
        <f t="shared" si="272"/>
        <v>0</v>
      </c>
      <c r="M1299" s="2238">
        <v>0</v>
      </c>
      <c r="N1299" s="2239">
        <f t="shared" si="273"/>
        <v>0</v>
      </c>
      <c r="O1299" s="2498">
        <f>H1299-L1299</f>
        <v>617.4</v>
      </c>
      <c r="P1299" s="2295">
        <f t="shared" si="269"/>
        <v>1</v>
      </c>
    </row>
    <row r="1300" spans="1:16" ht="30">
      <c r="A1300" s="2272" t="s">
        <v>13944</v>
      </c>
      <c r="B1300" s="2234">
        <f>VLOOKUP($A1300,'14 - QT_BES'!$A:$F,2,0)</f>
        <v>91940</v>
      </c>
      <c r="C1300" s="2234" t="str">
        <f>VLOOKUP($A1300,'14 - QT_BES'!$A:$F,3,0)</f>
        <v>SINAPI</v>
      </c>
      <c r="D1300" s="2375" t="s">
        <v>7886</v>
      </c>
      <c r="E1300" s="2242" t="str">
        <f>IFERROR(VLOOKUP($B1300,'24.08_ND'!$1:$1048529,3,0),IFERROR(VLOOKUP($B1300,'03-CP'!$C$1:$H$6260,3,0),""))</f>
        <v>UN</v>
      </c>
      <c r="F1300" s="2230">
        <v>6</v>
      </c>
      <c r="G1300" s="2238">
        <v>19.96</v>
      </c>
      <c r="H1300" s="2302">
        <f>TRUNC((G1300*F1300),2)</f>
        <v>119.76</v>
      </c>
      <c r="I1300" s="2328">
        <f t="shared" si="271"/>
        <v>0</v>
      </c>
      <c r="J1300" s="2237"/>
      <c r="K1300" s="2411"/>
      <c r="L1300" s="2533">
        <f t="shared" si="272"/>
        <v>0</v>
      </c>
      <c r="M1300" s="2238">
        <v>0</v>
      </c>
      <c r="N1300" s="2239">
        <f t="shared" si="273"/>
        <v>0</v>
      </c>
      <c r="O1300" s="2498">
        <f>H1300-L1300</f>
        <v>119.76</v>
      </c>
      <c r="P1300" s="2295">
        <f t="shared" si="269"/>
        <v>1</v>
      </c>
    </row>
    <row r="1301" spans="1:16" ht="30">
      <c r="A1301" s="2272" t="s">
        <v>13945</v>
      </c>
      <c r="B1301" s="2234">
        <f>VLOOKUP($A1301,'14 - QT_BES'!$A:$F,2,0)</f>
        <v>91936</v>
      </c>
      <c r="C1301" s="2234" t="str">
        <f>VLOOKUP($A1301,'14 - QT_BES'!$A:$F,3,0)</f>
        <v>SINAPI</v>
      </c>
      <c r="D1301" s="2375" t="s">
        <v>7883</v>
      </c>
      <c r="E1301" s="2242" t="str">
        <f>IFERROR(VLOOKUP($B1301,'24.08_ND'!$1:$1048529,3,0),IFERROR(VLOOKUP($B1301,'03-CP'!$C$1:$H$6260,3,0),""))</f>
        <v>UN</v>
      </c>
      <c r="F1301" s="2230">
        <v>62</v>
      </c>
      <c r="G1301" s="2238">
        <v>20.38</v>
      </c>
      <c r="H1301" s="2302">
        <f>TRUNC((G1301*F1301),2)</f>
        <v>1263.56</v>
      </c>
      <c r="I1301" s="2328">
        <f t="shared" si="271"/>
        <v>0</v>
      </c>
      <c r="J1301" s="2237"/>
      <c r="K1301" s="2411"/>
      <c r="L1301" s="2533">
        <f t="shared" si="272"/>
        <v>0</v>
      </c>
      <c r="M1301" s="2238">
        <v>0</v>
      </c>
      <c r="N1301" s="2239">
        <f t="shared" si="273"/>
        <v>0</v>
      </c>
      <c r="O1301" s="2498">
        <f>H1301-L1301</f>
        <v>1263.56</v>
      </c>
      <c r="P1301" s="2295">
        <f t="shared" si="269"/>
        <v>1</v>
      </c>
    </row>
    <row r="1302" spans="1:16" ht="30">
      <c r="A1302" s="2272" t="s">
        <v>13946</v>
      </c>
      <c r="B1302" s="2234">
        <f>VLOOKUP($A1302,'14 - QT_BES'!$A:$F,2,0)</f>
        <v>97882</v>
      </c>
      <c r="C1302" s="2234" t="str">
        <f>VLOOKUP($A1302,'14 - QT_BES'!$A:$F,3,0)</f>
        <v>SINAPI</v>
      </c>
      <c r="D1302" s="2375" t="s">
        <v>7931</v>
      </c>
      <c r="E1302" s="2242" t="str">
        <f>IFERROR(VLOOKUP($B1302,'24.08_ND'!$1:$1048529,3,0),IFERROR(VLOOKUP($B1302,'03-CP'!$C$1:$H$6260,3,0),""))</f>
        <v>UN</v>
      </c>
      <c r="F1302" s="2230">
        <v>1</v>
      </c>
      <c r="G1302" s="2238">
        <v>241.23</v>
      </c>
      <c r="H1302" s="2302">
        <f>TRUNC((G1302*F1302),2)</f>
        <v>241.23</v>
      </c>
      <c r="I1302" s="2328">
        <f t="shared" si="271"/>
        <v>0</v>
      </c>
      <c r="J1302" s="2237"/>
      <c r="K1302" s="2411"/>
      <c r="L1302" s="2533">
        <f t="shared" si="272"/>
        <v>0</v>
      </c>
      <c r="M1302" s="2238">
        <v>0</v>
      </c>
      <c r="N1302" s="2239">
        <f t="shared" si="273"/>
        <v>0</v>
      </c>
      <c r="O1302" s="2498">
        <f>H1302-L1302</f>
        <v>241.23</v>
      </c>
      <c r="P1302" s="2295">
        <f t="shared" si="269"/>
        <v>1</v>
      </c>
    </row>
    <row r="1303" spans="1:16">
      <c r="A1303" s="2343" t="s">
        <v>13947</v>
      </c>
      <c r="B1303" s="2395"/>
      <c r="C1303" s="2399"/>
      <c r="D1303" s="2376" t="s">
        <v>16336</v>
      </c>
      <c r="E1303" s="2356"/>
      <c r="F1303" s="2357"/>
      <c r="G1303" s="2358"/>
      <c r="H1303" s="2361">
        <f>SUBTOTAL(9,H1304:H1311)</f>
        <v>1633.9899999999998</v>
      </c>
      <c r="I1303" s="2359"/>
      <c r="J1303" s="2360"/>
      <c r="K1303" s="2549"/>
      <c r="L1303" s="2539">
        <f>SUBTOTAL(9,L1304:L1311)</f>
        <v>0</v>
      </c>
      <c r="M1303" s="2361">
        <f>SUBTOTAL(9,M1304:M1311)</f>
        <v>0</v>
      </c>
      <c r="N1303" s="2361">
        <f>SUBTOTAL(9,N1304:N1311)</f>
        <v>0</v>
      </c>
      <c r="O1303" s="2361">
        <f>SUBTOTAL(9,O1304:O1311)</f>
        <v>1633.9899999999998</v>
      </c>
      <c r="P1303" s="2295">
        <f t="shared" si="269"/>
        <v>1</v>
      </c>
    </row>
    <row r="1304" spans="1:16" ht="30">
      <c r="A1304" s="2272" t="s">
        <v>13948</v>
      </c>
      <c r="B1304" s="2234">
        <f>VLOOKUP($A1304,'14 - QT_BES'!$A:$F,2,0)</f>
        <v>91992</v>
      </c>
      <c r="C1304" s="2234" t="str">
        <f>VLOOKUP($A1304,'14 - QT_BES'!$A:$F,3,0)</f>
        <v>SINAPI</v>
      </c>
      <c r="D1304" s="2375" t="s">
        <v>8051</v>
      </c>
      <c r="E1304" s="2242" t="str">
        <f>IFERROR(VLOOKUP($B1304,'24.08_ND'!$1:$1048529,3,0),IFERROR(VLOOKUP($B1304,'03-CP'!$C$1:$H$6260,3,0),""))</f>
        <v>UN</v>
      </c>
      <c r="F1304" s="2230">
        <v>5</v>
      </c>
      <c r="G1304" s="2238">
        <v>48.6</v>
      </c>
      <c r="H1304" s="2302">
        <f t="shared" ref="H1304:H1311" si="275">TRUNC((G1304*F1304),2)</f>
        <v>243</v>
      </c>
      <c r="I1304" s="2286"/>
      <c r="J1304" s="2237"/>
      <c r="K1304" s="2411"/>
      <c r="L1304" s="2533"/>
      <c r="M1304" s="2238"/>
      <c r="N1304" s="2239"/>
      <c r="O1304" s="2498">
        <f t="shared" ref="O1304:O1311" si="276">H1304-L1304</f>
        <v>243</v>
      </c>
      <c r="P1304" s="2295">
        <f t="shared" si="269"/>
        <v>1</v>
      </c>
    </row>
    <row r="1305" spans="1:16" ht="30">
      <c r="A1305" s="2272" t="s">
        <v>13949</v>
      </c>
      <c r="B1305" s="2234">
        <f>VLOOKUP($A1305,'14 - QT_BES'!$A:$F,2,0)</f>
        <v>91994</v>
      </c>
      <c r="C1305" s="2234" t="str">
        <f>VLOOKUP($A1305,'14 - QT_BES'!$A:$F,3,0)</f>
        <v>SINAPI</v>
      </c>
      <c r="D1305" s="2375" t="s">
        <v>8053</v>
      </c>
      <c r="E1305" s="2242" t="str">
        <f>IFERROR(VLOOKUP($B1305,'24.08_ND'!$1:$1048529,3,0),IFERROR(VLOOKUP($B1305,'03-CP'!$C$1:$H$6260,3,0),""))</f>
        <v>UN</v>
      </c>
      <c r="F1305" s="2230">
        <v>5</v>
      </c>
      <c r="G1305" s="2238">
        <v>25.98</v>
      </c>
      <c r="H1305" s="2302">
        <f t="shared" si="275"/>
        <v>129.9</v>
      </c>
      <c r="I1305" s="2286"/>
      <c r="J1305" s="2237"/>
      <c r="K1305" s="2411"/>
      <c r="L1305" s="2533"/>
      <c r="M1305" s="2238"/>
      <c r="N1305" s="2239"/>
      <c r="O1305" s="2498">
        <f t="shared" si="276"/>
        <v>129.9</v>
      </c>
      <c r="P1305" s="2295">
        <f t="shared" si="269"/>
        <v>1</v>
      </c>
    </row>
    <row r="1306" spans="1:16" ht="30">
      <c r="A1306" s="2272" t="s">
        <v>13950</v>
      </c>
      <c r="B1306" s="2234">
        <f>VLOOKUP($A1306,'14 - QT_BES'!$A:$F,2,0)</f>
        <v>92000</v>
      </c>
      <c r="C1306" s="2234" t="str">
        <f>VLOOKUP($A1306,'14 - QT_BES'!$A:$F,3,0)</f>
        <v>SINAPI</v>
      </c>
      <c r="D1306" s="2375" t="s">
        <v>8059</v>
      </c>
      <c r="E1306" s="2242" t="str">
        <f>IFERROR(VLOOKUP($B1306,'24.08_ND'!$1:$1048529,3,0),IFERROR(VLOOKUP($B1306,'03-CP'!$C$1:$H$6260,3,0),""))</f>
        <v>UN</v>
      </c>
      <c r="F1306" s="2230">
        <v>21</v>
      </c>
      <c r="G1306" s="2238">
        <v>33.68</v>
      </c>
      <c r="H1306" s="2302">
        <f t="shared" si="275"/>
        <v>707.28</v>
      </c>
      <c r="I1306" s="2286"/>
      <c r="J1306" s="2237"/>
      <c r="K1306" s="2411"/>
      <c r="L1306" s="2533"/>
      <c r="M1306" s="2238"/>
      <c r="N1306" s="2239"/>
      <c r="O1306" s="2498">
        <f t="shared" si="276"/>
        <v>707.28</v>
      </c>
      <c r="P1306" s="2295">
        <f t="shared" si="269"/>
        <v>1</v>
      </c>
    </row>
    <row r="1307" spans="1:16">
      <c r="A1307" s="2272" t="s">
        <v>13951</v>
      </c>
      <c r="B1307" s="2228" t="str">
        <f>VLOOKUP($A1307,'14 - QT_BES'!$A:$F,2,0)</f>
        <v>CP-ELE-56</v>
      </c>
      <c r="C1307" s="2228" t="str">
        <f>VLOOKUP($A1307,'14 - QT_BES'!$A:$F,3,0)</f>
        <v>PRÓPRIA</v>
      </c>
      <c r="D1307" s="2375" t="s">
        <v>15146</v>
      </c>
      <c r="E1307" s="2243" t="str">
        <f>IFERROR(VLOOKUP($B1307,'24.08_ND'!$1:$1048529,3,0),IFERROR(VLOOKUP($B1307,'03-CP'!$C$1:$H$6260,3,0),""))</f>
        <v>UN</v>
      </c>
      <c r="F1307" s="2230">
        <v>2</v>
      </c>
      <c r="G1307" s="2232">
        <v>10.63</v>
      </c>
      <c r="H1307" s="2302">
        <f t="shared" si="275"/>
        <v>21.26</v>
      </c>
      <c r="I1307" s="2287"/>
      <c r="J1307" s="2231"/>
      <c r="K1307" s="2412"/>
      <c r="L1307" s="2536"/>
      <c r="M1307" s="2232"/>
      <c r="N1307" s="2239"/>
      <c r="O1307" s="2498">
        <f t="shared" si="276"/>
        <v>21.26</v>
      </c>
      <c r="P1307" s="2295">
        <f t="shared" si="269"/>
        <v>1</v>
      </c>
    </row>
    <row r="1308" spans="1:16" ht="30">
      <c r="A1308" s="2272" t="s">
        <v>13952</v>
      </c>
      <c r="B1308" s="2234">
        <f>VLOOKUP($A1308,'14 - QT_BES'!$A:$F,2,0)</f>
        <v>91953</v>
      </c>
      <c r="C1308" s="2234" t="str">
        <f>VLOOKUP($A1308,'14 - QT_BES'!$A:$F,3,0)</f>
        <v>SINAPI</v>
      </c>
      <c r="D1308" s="2375" t="s">
        <v>8012</v>
      </c>
      <c r="E1308" s="2242" t="str">
        <f>IFERROR(VLOOKUP($B1308,'24.08_ND'!$1:$1048529,3,0),IFERROR(VLOOKUP($B1308,'03-CP'!$C$1:$H$6260,3,0),""))</f>
        <v>UN</v>
      </c>
      <c r="F1308" s="2230">
        <v>1</v>
      </c>
      <c r="G1308" s="2238">
        <v>32.11</v>
      </c>
      <c r="H1308" s="2302">
        <f t="shared" si="275"/>
        <v>32.11</v>
      </c>
      <c r="I1308" s="2286"/>
      <c r="J1308" s="2237"/>
      <c r="K1308" s="2411"/>
      <c r="L1308" s="2533"/>
      <c r="M1308" s="2238"/>
      <c r="N1308" s="2239"/>
      <c r="O1308" s="2498">
        <f t="shared" si="276"/>
        <v>32.11</v>
      </c>
      <c r="P1308" s="2295">
        <f t="shared" si="269"/>
        <v>1</v>
      </c>
    </row>
    <row r="1309" spans="1:16" ht="30">
      <c r="A1309" s="2272" t="s">
        <v>13953</v>
      </c>
      <c r="B1309" s="2234">
        <f>VLOOKUP($A1309,'14 - QT_BES'!$A:$F,2,0)</f>
        <v>97596</v>
      </c>
      <c r="C1309" s="2234" t="str">
        <f>VLOOKUP($A1309,'14 - QT_BES'!$A:$F,3,0)</f>
        <v>SINAPI</v>
      </c>
      <c r="D1309" s="2375" t="s">
        <v>8097</v>
      </c>
      <c r="E1309" s="2242" t="str">
        <f>IFERROR(VLOOKUP($B1309,'24.08_ND'!$1:$1048529,3,0),IFERROR(VLOOKUP($B1309,'03-CP'!$C$1:$H$6260,3,0),""))</f>
        <v>UN</v>
      </c>
      <c r="F1309" s="2230">
        <v>4</v>
      </c>
      <c r="G1309" s="2238">
        <v>83.8</v>
      </c>
      <c r="H1309" s="2302">
        <f t="shared" si="275"/>
        <v>335.2</v>
      </c>
      <c r="I1309" s="2286"/>
      <c r="J1309" s="2237"/>
      <c r="K1309" s="2411"/>
      <c r="L1309" s="2533"/>
      <c r="M1309" s="2238"/>
      <c r="N1309" s="2239"/>
      <c r="O1309" s="2498">
        <f t="shared" si="276"/>
        <v>335.2</v>
      </c>
      <c r="P1309" s="2295">
        <f t="shared" si="269"/>
        <v>1</v>
      </c>
    </row>
    <row r="1310" spans="1:16" ht="30">
      <c r="A1310" s="2272" t="s">
        <v>13954</v>
      </c>
      <c r="B1310" s="2234">
        <f>VLOOKUP($A1310,'14 - QT_BES'!$A:$F,2,0)</f>
        <v>91985</v>
      </c>
      <c r="C1310" s="2234" t="str">
        <f>VLOOKUP($A1310,'14 - QT_BES'!$A:$F,3,0)</f>
        <v>SINAPI</v>
      </c>
      <c r="D1310" s="2375" t="s">
        <v>8044</v>
      </c>
      <c r="E1310" s="2242" t="str">
        <f>IFERROR(VLOOKUP($B1310,'24.08_ND'!$1:$1048529,3,0),IFERROR(VLOOKUP($B1310,'03-CP'!$C$1:$H$6260,3,0),""))</f>
        <v>UN</v>
      </c>
      <c r="F1310" s="2230">
        <v>2</v>
      </c>
      <c r="G1310" s="2238">
        <v>30.9</v>
      </c>
      <c r="H1310" s="2302">
        <f t="shared" si="275"/>
        <v>61.8</v>
      </c>
      <c r="I1310" s="2286"/>
      <c r="J1310" s="2237"/>
      <c r="K1310" s="2411"/>
      <c r="L1310" s="2533"/>
      <c r="M1310" s="2238"/>
      <c r="N1310" s="2239"/>
      <c r="O1310" s="2498">
        <f t="shared" si="276"/>
        <v>61.8</v>
      </c>
      <c r="P1310" s="2295">
        <f t="shared" si="269"/>
        <v>1</v>
      </c>
    </row>
    <row r="1311" spans="1:16" ht="30">
      <c r="A1311" s="2272" t="s">
        <v>13955</v>
      </c>
      <c r="B1311" s="2234">
        <f>VLOOKUP($A1311,'14 - QT_BES'!$A:$F,2,0)</f>
        <v>91987</v>
      </c>
      <c r="C1311" s="2234" t="str">
        <f>VLOOKUP($A1311,'14 - QT_BES'!$A:$F,3,0)</f>
        <v>SINAPI</v>
      </c>
      <c r="D1311" s="2375" t="s">
        <v>8046</v>
      </c>
      <c r="E1311" s="2242" t="str">
        <f>IFERROR(VLOOKUP($B1311,'24.08_ND'!$1:$1048529,3,0),IFERROR(VLOOKUP($B1311,'03-CP'!$C$1:$H$6260,3,0),""))</f>
        <v>UN</v>
      </c>
      <c r="F1311" s="2230">
        <v>2</v>
      </c>
      <c r="G1311" s="2238">
        <v>51.72</v>
      </c>
      <c r="H1311" s="2302">
        <f t="shared" si="275"/>
        <v>103.44</v>
      </c>
      <c r="I1311" s="2286"/>
      <c r="J1311" s="2237"/>
      <c r="K1311" s="2411"/>
      <c r="L1311" s="2533"/>
      <c r="M1311" s="2238"/>
      <c r="N1311" s="2239"/>
      <c r="O1311" s="2498">
        <f t="shared" si="276"/>
        <v>103.44</v>
      </c>
      <c r="P1311" s="2295">
        <f t="shared" si="269"/>
        <v>1</v>
      </c>
    </row>
    <row r="1312" spans="1:16">
      <c r="A1312" s="2343" t="s">
        <v>13956</v>
      </c>
      <c r="B1312" s="2395"/>
      <c r="C1312" s="2399"/>
      <c r="D1312" s="2376" t="s">
        <v>16337</v>
      </c>
      <c r="E1312" s="2356"/>
      <c r="F1312" s="2357"/>
      <c r="G1312" s="2358"/>
      <c r="H1312" s="2361">
        <f>SUBTOTAL(9,H1313:H1316)</f>
        <v>16078.730000000001</v>
      </c>
      <c r="I1312" s="2359"/>
      <c r="J1312" s="2360"/>
      <c r="K1312" s="2549"/>
      <c r="L1312" s="2539">
        <f>SUBTOTAL(9,L1313:L1316)</f>
        <v>0</v>
      </c>
      <c r="M1312" s="2361">
        <f>SUBTOTAL(9,M1313:M1316)</f>
        <v>0</v>
      </c>
      <c r="N1312" s="2361">
        <f>SUBTOTAL(9,N1313:N1316)</f>
        <v>0</v>
      </c>
      <c r="O1312" s="2361">
        <f>SUBTOTAL(9,O1313:O1316)</f>
        <v>16078.730000000001</v>
      </c>
      <c r="P1312" s="2295">
        <f t="shared" si="269"/>
        <v>1</v>
      </c>
    </row>
    <row r="1313" spans="1:16" ht="30">
      <c r="A1313" s="2272" t="s">
        <v>13957</v>
      </c>
      <c r="B1313" s="2234">
        <f>VLOOKUP($A1313,'14 - QT_BES'!$A:$F,2,0)</f>
        <v>91926</v>
      </c>
      <c r="C1313" s="2234" t="str">
        <f>VLOOKUP($A1313,'14 - QT_BES'!$A:$F,3,0)</f>
        <v>SINAPI</v>
      </c>
      <c r="D1313" s="2375" t="s">
        <v>7853</v>
      </c>
      <c r="E1313" s="2242" t="str">
        <f>IFERROR(VLOOKUP($B1313,'24.08_ND'!$1:$1048529,3,0),IFERROR(VLOOKUP($B1313,'03-CP'!$C$1:$H$6260,3,0),""))</f>
        <v>M</v>
      </c>
      <c r="F1313" s="2230">
        <v>671</v>
      </c>
      <c r="G1313" s="2238">
        <v>5.03</v>
      </c>
      <c r="H1313" s="2302">
        <f>TRUNC((G1313*F1313),2)</f>
        <v>3375.13</v>
      </c>
      <c r="I1313" s="2286"/>
      <c r="J1313" s="2237"/>
      <c r="K1313" s="2411"/>
      <c r="L1313" s="2533"/>
      <c r="M1313" s="2238"/>
      <c r="N1313" s="2239"/>
      <c r="O1313" s="2498">
        <f>H1313-L1313</f>
        <v>3375.13</v>
      </c>
      <c r="P1313" s="2295">
        <f t="shared" si="269"/>
        <v>1</v>
      </c>
    </row>
    <row r="1314" spans="1:16" ht="30">
      <c r="A1314" s="2272" t="s">
        <v>13958</v>
      </c>
      <c r="B1314" s="2234">
        <f>VLOOKUP($A1314,'14 - QT_BES'!$A:$F,2,0)</f>
        <v>91928</v>
      </c>
      <c r="C1314" s="2234" t="str">
        <f>VLOOKUP($A1314,'14 - QT_BES'!$A:$F,3,0)</f>
        <v>SINAPI</v>
      </c>
      <c r="D1314" s="2375" t="s">
        <v>7855</v>
      </c>
      <c r="E1314" s="2242" t="str">
        <f>IFERROR(VLOOKUP($B1314,'24.08_ND'!$1:$1048529,3,0),IFERROR(VLOOKUP($B1314,'03-CP'!$C$1:$H$6260,3,0),""))</f>
        <v>M</v>
      </c>
      <c r="F1314" s="2230">
        <v>295</v>
      </c>
      <c r="G1314" s="2238">
        <v>7.85</v>
      </c>
      <c r="H1314" s="2302">
        <f>TRUNC((G1314*F1314),2)</f>
        <v>2315.75</v>
      </c>
      <c r="I1314" s="2286"/>
      <c r="J1314" s="2237"/>
      <c r="K1314" s="2411"/>
      <c r="L1314" s="2533"/>
      <c r="M1314" s="2238"/>
      <c r="N1314" s="2239"/>
      <c r="O1314" s="2498">
        <f>H1314-L1314</f>
        <v>2315.75</v>
      </c>
      <c r="P1314" s="2295">
        <f t="shared" si="269"/>
        <v>1</v>
      </c>
    </row>
    <row r="1315" spans="1:16" ht="30">
      <c r="A1315" s="2272" t="s">
        <v>13959</v>
      </c>
      <c r="B1315" s="2234">
        <f>VLOOKUP($A1315,'14 - QT_BES'!$A:$F,2,0)</f>
        <v>91935</v>
      </c>
      <c r="C1315" s="2234" t="str">
        <f>VLOOKUP($A1315,'14 - QT_BES'!$A:$F,3,0)</f>
        <v>SINAPI</v>
      </c>
      <c r="D1315" s="2375" t="s">
        <v>7862</v>
      </c>
      <c r="E1315" s="2242" t="str">
        <f>IFERROR(VLOOKUP($B1315,'24.08_ND'!$1:$1048529,3,0),IFERROR(VLOOKUP($B1315,'03-CP'!$C$1:$H$6260,3,0),""))</f>
        <v>M</v>
      </c>
      <c r="F1315" s="2230">
        <v>85</v>
      </c>
      <c r="G1315" s="2238">
        <v>29.95</v>
      </c>
      <c r="H1315" s="2302">
        <f>TRUNC((G1315*F1315),2)</f>
        <v>2545.75</v>
      </c>
      <c r="I1315" s="2286"/>
      <c r="J1315" s="2237"/>
      <c r="K1315" s="2411"/>
      <c r="L1315" s="2533"/>
      <c r="M1315" s="2238"/>
      <c r="N1315" s="2239"/>
      <c r="O1315" s="2498">
        <f>H1315-L1315</f>
        <v>2545.75</v>
      </c>
      <c r="P1315" s="2295">
        <f t="shared" si="269"/>
        <v>1</v>
      </c>
    </row>
    <row r="1316" spans="1:16" ht="45">
      <c r="A1316" s="2272" t="s">
        <v>13960</v>
      </c>
      <c r="B1316" s="2234">
        <f>VLOOKUP($A1316,'14 - QT_BES'!$A:$F,2,0)</f>
        <v>92986</v>
      </c>
      <c r="C1316" s="2234" t="str">
        <f>VLOOKUP($A1316,'14 - QT_BES'!$A:$F,3,0)</f>
        <v>SINAPI</v>
      </c>
      <c r="D1316" s="2375" t="s">
        <v>7868</v>
      </c>
      <c r="E1316" s="2242" t="str">
        <f>IFERROR(VLOOKUP($B1316,'24.08_ND'!$1:$1048529,3,0),IFERROR(VLOOKUP($B1316,'03-CP'!$C$1:$H$6260,3,0),""))</f>
        <v>M</v>
      </c>
      <c r="F1316" s="2230">
        <v>170</v>
      </c>
      <c r="G1316" s="2238">
        <v>46.13</v>
      </c>
      <c r="H1316" s="2302">
        <f>TRUNC((G1316*F1316),2)</f>
        <v>7842.1</v>
      </c>
      <c r="I1316" s="2286"/>
      <c r="J1316" s="2237"/>
      <c r="K1316" s="2411"/>
      <c r="L1316" s="2533"/>
      <c r="M1316" s="2238"/>
      <c r="N1316" s="2239"/>
      <c r="O1316" s="2498">
        <f>H1316-L1316</f>
        <v>7842.1</v>
      </c>
      <c r="P1316" s="2295">
        <f t="shared" si="269"/>
        <v>1</v>
      </c>
    </row>
    <row r="1317" spans="1:16">
      <c r="A1317" s="2343" t="s">
        <v>13961</v>
      </c>
      <c r="B1317" s="2395"/>
      <c r="C1317" s="2399"/>
      <c r="D1317" s="2376" t="s">
        <v>16544</v>
      </c>
      <c r="E1317" s="2356"/>
      <c r="F1317" s="2357"/>
      <c r="G1317" s="2358"/>
      <c r="H1317" s="2361">
        <f>SUBTOTAL(9,H1318:H1328)</f>
        <v>2510.4799999999996</v>
      </c>
      <c r="I1317" s="2359"/>
      <c r="J1317" s="2360"/>
      <c r="K1317" s="2549"/>
      <c r="L1317" s="2539">
        <f>SUBTOTAL(9,L1318:L1328)</f>
        <v>0</v>
      </c>
      <c r="M1317" s="2361">
        <f>SUBTOTAL(9,M1318:M1328)</f>
        <v>0</v>
      </c>
      <c r="N1317" s="2361">
        <f>SUBTOTAL(9,N1318:N1328)</f>
        <v>0</v>
      </c>
      <c r="O1317" s="2361">
        <f>SUBTOTAL(9,O1318:O1328)</f>
        <v>2510.4799999999996</v>
      </c>
      <c r="P1317" s="2295">
        <f t="shared" si="269"/>
        <v>1</v>
      </c>
    </row>
    <row r="1318" spans="1:16" ht="45">
      <c r="A1318" s="2272" t="s">
        <v>13962</v>
      </c>
      <c r="B1318" s="2228" t="str">
        <f>VLOOKUP($A1318,'14 - QT_BES'!$A:$F,2,0)</f>
        <v>CP-ELE-115</v>
      </c>
      <c r="C1318" s="2228" t="str">
        <f>VLOOKUP($A1318,'14 - QT_BES'!$A:$F,3,0)</f>
        <v>PRÓPRIA</v>
      </c>
      <c r="D1318" s="2375" t="s">
        <v>15266</v>
      </c>
      <c r="E1318" s="2243" t="str">
        <f>IFERROR(VLOOKUP($B1318,'24.08_ND'!$1:$1048529,3,0),IFERROR(VLOOKUP($B1318,'03-CP'!$C$1:$H$6260,3,0),""))</f>
        <v>UN</v>
      </c>
      <c r="F1318" s="2230">
        <v>1</v>
      </c>
      <c r="G1318" s="2232">
        <v>773.91</v>
      </c>
      <c r="H1318" s="2302">
        <f t="shared" ref="H1318:H1328" si="277">TRUNC((G1318*F1318),2)</f>
        <v>773.91</v>
      </c>
      <c r="I1318" s="2328"/>
      <c r="J1318" s="2237"/>
      <c r="K1318" s="2411"/>
      <c r="L1318" s="2533">
        <f>M1318+N1318</f>
        <v>0</v>
      </c>
      <c r="M1318" s="2238">
        <v>0</v>
      </c>
      <c r="N1318" s="2239">
        <f>TRUNC(H1318*K1318,2)</f>
        <v>0</v>
      </c>
      <c r="O1318" s="2498">
        <f t="shared" ref="O1318:O1328" si="278">H1318-L1318</f>
        <v>773.91</v>
      </c>
      <c r="P1318" s="2295">
        <f t="shared" si="269"/>
        <v>1</v>
      </c>
    </row>
    <row r="1319" spans="1:16" ht="30">
      <c r="A1319" s="2272" t="s">
        <v>13963</v>
      </c>
      <c r="B1319" s="2228" t="str">
        <f>VLOOKUP($A1319,'14 - QT_BES'!$A:$F,2,0)</f>
        <v>CP-ELE-116</v>
      </c>
      <c r="C1319" s="2228" t="str">
        <f>VLOOKUP($A1319,'14 - QT_BES'!$A:$F,3,0)</f>
        <v>PRÓPRIA</v>
      </c>
      <c r="D1319" s="2375" t="s">
        <v>15269</v>
      </c>
      <c r="E1319" s="2243" t="str">
        <f>IFERROR(VLOOKUP($B1319,'24.08_ND'!$1:$1048529,3,0),IFERROR(VLOOKUP($B1319,'03-CP'!$C$1:$H$6260,3,0),""))</f>
        <v>UN</v>
      </c>
      <c r="F1319" s="2230">
        <v>1</v>
      </c>
      <c r="G1319" s="2232">
        <v>259.26</v>
      </c>
      <c r="H1319" s="2302">
        <f t="shared" si="277"/>
        <v>259.26</v>
      </c>
      <c r="I1319" s="2287"/>
      <c r="J1319" s="2231"/>
      <c r="K1319" s="2412"/>
      <c r="L1319" s="2536"/>
      <c r="M1319" s="2232"/>
      <c r="N1319" s="2239"/>
      <c r="O1319" s="2498">
        <f t="shared" si="278"/>
        <v>259.26</v>
      </c>
      <c r="P1319" s="2295">
        <f t="shared" si="269"/>
        <v>1</v>
      </c>
    </row>
    <row r="1320" spans="1:16" ht="30">
      <c r="A1320" s="2272" t="s">
        <v>13964</v>
      </c>
      <c r="B1320" s="2234">
        <f>VLOOKUP($A1320,'14 - QT_BES'!$A:$F,2,0)</f>
        <v>93653</v>
      </c>
      <c r="C1320" s="2234" t="str">
        <f>VLOOKUP($A1320,'14 - QT_BES'!$A:$F,3,0)</f>
        <v>SINAPI</v>
      </c>
      <c r="D1320" s="2375" t="s">
        <v>7954</v>
      </c>
      <c r="E1320" s="2242" t="str">
        <f>IFERROR(VLOOKUP($B1320,'24.08_ND'!$1:$1048529,3,0),IFERROR(VLOOKUP($B1320,'03-CP'!$C$1:$H$6260,3,0),""))</f>
        <v>UN</v>
      </c>
      <c r="F1320" s="2230">
        <v>5</v>
      </c>
      <c r="G1320" s="2238">
        <v>13.6</v>
      </c>
      <c r="H1320" s="2302">
        <f t="shared" si="277"/>
        <v>68</v>
      </c>
      <c r="I1320" s="2286"/>
      <c r="J1320" s="2237"/>
      <c r="K1320" s="2411"/>
      <c r="L1320" s="2533"/>
      <c r="M1320" s="2238"/>
      <c r="N1320" s="2239"/>
      <c r="O1320" s="2498">
        <f t="shared" si="278"/>
        <v>68</v>
      </c>
      <c r="P1320" s="2295">
        <f t="shared" si="269"/>
        <v>1</v>
      </c>
    </row>
    <row r="1321" spans="1:16" ht="30">
      <c r="A1321" s="2272" t="s">
        <v>13965</v>
      </c>
      <c r="B1321" s="2234">
        <f>VLOOKUP($A1321,'14 - QT_BES'!$A:$F,2,0)</f>
        <v>93654</v>
      </c>
      <c r="C1321" s="2234" t="str">
        <f>VLOOKUP($A1321,'14 - QT_BES'!$A:$F,3,0)</f>
        <v>SINAPI</v>
      </c>
      <c r="D1321" s="2375" t="s">
        <v>7955</v>
      </c>
      <c r="E1321" s="2242" t="str">
        <f>IFERROR(VLOOKUP($B1321,'24.08_ND'!$1:$1048529,3,0),IFERROR(VLOOKUP($B1321,'03-CP'!$C$1:$H$6260,3,0),""))</f>
        <v>UN</v>
      </c>
      <c r="F1321" s="2230">
        <v>4</v>
      </c>
      <c r="G1321" s="2238">
        <v>14.28</v>
      </c>
      <c r="H1321" s="2302">
        <f t="shared" si="277"/>
        <v>57.12</v>
      </c>
      <c r="I1321" s="2286"/>
      <c r="J1321" s="2237"/>
      <c r="K1321" s="2411"/>
      <c r="L1321" s="2533"/>
      <c r="M1321" s="2238"/>
      <c r="N1321" s="2239"/>
      <c r="O1321" s="2498">
        <f t="shared" si="278"/>
        <v>57.12</v>
      </c>
      <c r="P1321" s="2295">
        <f t="shared" si="269"/>
        <v>1</v>
      </c>
    </row>
    <row r="1322" spans="1:16" ht="30">
      <c r="A1322" s="2272" t="s">
        <v>13966</v>
      </c>
      <c r="B1322" s="2228" t="str">
        <f>VLOOKUP($A1322,'14 - QT_BES'!$A:$F,2,0)</f>
        <v>CP-ELE-117</v>
      </c>
      <c r="C1322" s="2228" t="str">
        <f>VLOOKUP($A1322,'14 - QT_BES'!$A:$F,3,0)</f>
        <v>PRÓPRIA</v>
      </c>
      <c r="D1322" s="2375" t="s">
        <v>15271</v>
      </c>
      <c r="E1322" s="2243" t="str">
        <f>IFERROR(VLOOKUP($B1322,'24.08_ND'!$1:$1048529,3,0),IFERROR(VLOOKUP($B1322,'03-CP'!$C$1:$H$6260,3,0),""))</f>
        <v>UN</v>
      </c>
      <c r="F1322" s="2230">
        <v>2</v>
      </c>
      <c r="G1322" s="2232">
        <v>31.9</v>
      </c>
      <c r="H1322" s="2302">
        <f t="shared" si="277"/>
        <v>63.8</v>
      </c>
      <c r="I1322" s="2287"/>
      <c r="J1322" s="2231"/>
      <c r="K1322" s="2412"/>
      <c r="L1322" s="2536"/>
      <c r="M1322" s="2232"/>
      <c r="N1322" s="2239"/>
      <c r="O1322" s="2498">
        <f t="shared" si="278"/>
        <v>63.8</v>
      </c>
      <c r="P1322" s="2295">
        <f t="shared" si="269"/>
        <v>1</v>
      </c>
    </row>
    <row r="1323" spans="1:16" ht="30">
      <c r="A1323" s="2272" t="s">
        <v>13967</v>
      </c>
      <c r="B1323" s="2228" t="str">
        <f>VLOOKUP($A1323,'14 - QT_BES'!$A:$F,2,0)</f>
        <v>CP-ELE-119</v>
      </c>
      <c r="C1323" s="2228" t="str">
        <f>VLOOKUP($A1323,'14 - QT_BES'!$A:$F,3,0)</f>
        <v>PRÓPRIA</v>
      </c>
      <c r="D1323" s="2375" t="s">
        <v>15276</v>
      </c>
      <c r="E1323" s="2243" t="str">
        <f>IFERROR(VLOOKUP($B1323,'24.08_ND'!$1:$1048529,3,0),IFERROR(VLOOKUP($B1323,'03-CP'!$C$1:$H$6260,3,0),""))</f>
        <v>UN</v>
      </c>
      <c r="F1323" s="2230">
        <v>1</v>
      </c>
      <c r="G1323" s="2232">
        <v>273.88</v>
      </c>
      <c r="H1323" s="2302">
        <f t="shared" si="277"/>
        <v>273.88</v>
      </c>
      <c r="I1323" s="2287"/>
      <c r="J1323" s="2231"/>
      <c r="K1323" s="2412"/>
      <c r="L1323" s="2536"/>
      <c r="M1323" s="2232"/>
      <c r="N1323" s="2239"/>
      <c r="O1323" s="2498">
        <f t="shared" si="278"/>
        <v>273.88</v>
      </c>
      <c r="P1323" s="2295">
        <f t="shared" si="269"/>
        <v>1</v>
      </c>
    </row>
    <row r="1324" spans="1:16" ht="30">
      <c r="A1324" s="2272" t="s">
        <v>13968</v>
      </c>
      <c r="B1324" s="2228" t="str">
        <f>VLOOKUP($A1324,'14 - QT_BES'!$A:$F,2,0)</f>
        <v>CP-ELE-102</v>
      </c>
      <c r="C1324" s="2228" t="str">
        <f>VLOOKUP($A1324,'14 - QT_BES'!$A:$F,3,0)</f>
        <v>PRÓPRIA</v>
      </c>
      <c r="D1324" s="2375" t="s">
        <v>15158</v>
      </c>
      <c r="E1324" s="2243" t="str">
        <f>IFERROR(VLOOKUP($B1324,'24.08_ND'!$1:$1048529,3,0),IFERROR(VLOOKUP($B1324,'03-CP'!$C$1:$H$6260,3,0),""))</f>
        <v>UN</v>
      </c>
      <c r="F1324" s="2230">
        <v>2</v>
      </c>
      <c r="G1324" s="2232">
        <v>191.62</v>
      </c>
      <c r="H1324" s="2302">
        <f t="shared" si="277"/>
        <v>383.24</v>
      </c>
      <c r="I1324" s="2287"/>
      <c r="J1324" s="2231"/>
      <c r="K1324" s="2412"/>
      <c r="L1324" s="2536"/>
      <c r="M1324" s="2232"/>
      <c r="N1324" s="2239"/>
      <c r="O1324" s="2498">
        <f t="shared" si="278"/>
        <v>383.24</v>
      </c>
      <c r="P1324" s="2295">
        <f t="shared" si="269"/>
        <v>1</v>
      </c>
    </row>
    <row r="1325" spans="1:16" ht="30">
      <c r="A1325" s="2272" t="s">
        <v>13969</v>
      </c>
      <c r="B1325" s="2228" t="str">
        <f>VLOOKUP($A1325,'14 - QT_BES'!$A:$F,2,0)</f>
        <v>CP-ELE-118</v>
      </c>
      <c r="C1325" s="2228" t="str">
        <f>VLOOKUP($A1325,'14 - QT_BES'!$A:$F,3,0)</f>
        <v>PRÓPRIA</v>
      </c>
      <c r="D1325" s="2375" t="s">
        <v>15273</v>
      </c>
      <c r="E1325" s="2243" t="str">
        <f>IFERROR(VLOOKUP($B1325,'24.08_ND'!$1:$1048529,3,0),IFERROR(VLOOKUP($B1325,'03-CP'!$C$1:$H$6260,3,0),""))</f>
        <v>UN</v>
      </c>
      <c r="F1325" s="2230">
        <v>1</v>
      </c>
      <c r="G1325" s="2232">
        <v>102.93</v>
      </c>
      <c r="H1325" s="2302">
        <f t="shared" si="277"/>
        <v>102.93</v>
      </c>
      <c r="I1325" s="2287"/>
      <c r="J1325" s="2231"/>
      <c r="K1325" s="2412"/>
      <c r="L1325" s="2536"/>
      <c r="M1325" s="2232"/>
      <c r="N1325" s="2239"/>
      <c r="O1325" s="2498">
        <f t="shared" si="278"/>
        <v>102.93</v>
      </c>
      <c r="P1325" s="2295">
        <f t="shared" si="269"/>
        <v>1</v>
      </c>
    </row>
    <row r="1326" spans="1:16" ht="30">
      <c r="A1326" s="2272" t="s">
        <v>13970</v>
      </c>
      <c r="B1326" s="2228" t="str">
        <f>VLOOKUP($A1326,'14 - QT_BES'!$A:$F,2,0)</f>
        <v>CP-ELE-120</v>
      </c>
      <c r="C1326" s="2228" t="str">
        <f>VLOOKUP($A1326,'14 - QT_BES'!$A:$F,3,0)</f>
        <v>PRÓPRIA</v>
      </c>
      <c r="D1326" s="2375" t="s">
        <v>15302</v>
      </c>
      <c r="E1326" s="2243" t="str">
        <f>IFERROR(VLOOKUP($B1326,'24.08_ND'!$1:$1048529,3,0),IFERROR(VLOOKUP($B1326,'03-CP'!$C$1:$H$6260,3,0),""))</f>
        <v>UN</v>
      </c>
      <c r="F1326" s="2230">
        <v>154</v>
      </c>
      <c r="G1326" s="2232">
        <v>2.16</v>
      </c>
      <c r="H1326" s="2302">
        <f t="shared" si="277"/>
        <v>332.64</v>
      </c>
      <c r="I1326" s="2287"/>
      <c r="J1326" s="2231"/>
      <c r="K1326" s="2412"/>
      <c r="L1326" s="2536"/>
      <c r="M1326" s="2232"/>
      <c r="N1326" s="2239"/>
      <c r="O1326" s="2498">
        <f t="shared" si="278"/>
        <v>332.64</v>
      </c>
      <c r="P1326" s="2295">
        <f t="shared" si="269"/>
        <v>1</v>
      </c>
    </row>
    <row r="1327" spans="1:16" ht="30">
      <c r="A1327" s="2272" t="s">
        <v>13971</v>
      </c>
      <c r="B1327" s="2228" t="str">
        <f>VLOOKUP($A1327,'14 - QT_BES'!$A:$F,2,0)</f>
        <v>CP-ELE-121</v>
      </c>
      <c r="C1327" s="2228" t="str">
        <f>VLOOKUP($A1327,'14 - QT_BES'!$A:$F,3,0)</f>
        <v>PRÓPRIA</v>
      </c>
      <c r="D1327" s="2375" t="s">
        <v>15306</v>
      </c>
      <c r="E1327" s="2243" t="str">
        <f>IFERROR(VLOOKUP($B1327,'24.08_ND'!$1:$1048529,3,0),IFERROR(VLOOKUP($B1327,'03-CP'!$C$1:$H$6260,3,0),""))</f>
        <v>UN</v>
      </c>
      <c r="F1327" s="2230">
        <v>1</v>
      </c>
      <c r="G1327" s="2232">
        <v>2.7</v>
      </c>
      <c r="H1327" s="2302">
        <f t="shared" si="277"/>
        <v>2.7</v>
      </c>
      <c r="I1327" s="2287"/>
      <c r="J1327" s="2231"/>
      <c r="K1327" s="2412"/>
      <c r="L1327" s="2536"/>
      <c r="M1327" s="2232"/>
      <c r="N1327" s="2239"/>
      <c r="O1327" s="2498">
        <f t="shared" si="278"/>
        <v>2.7</v>
      </c>
      <c r="P1327" s="2295">
        <f t="shared" si="269"/>
        <v>1</v>
      </c>
    </row>
    <row r="1328" spans="1:16" ht="30">
      <c r="A1328" s="2272" t="s">
        <v>13972</v>
      </c>
      <c r="B1328" s="2228" t="str">
        <f>VLOOKUP($A1328,'14 - QT_BES'!$A:$F,2,0)</f>
        <v>CP-ELE-122</v>
      </c>
      <c r="C1328" s="2228" t="str">
        <f>VLOOKUP($A1328,'14 - QT_BES'!$A:$F,3,0)</f>
        <v>PRÓPRIA</v>
      </c>
      <c r="D1328" s="2375" t="s">
        <v>15310</v>
      </c>
      <c r="E1328" s="2243" t="str">
        <f>IFERROR(VLOOKUP($B1328,'24.08_ND'!$1:$1048529,3,0),IFERROR(VLOOKUP($B1328,'03-CP'!$C$1:$H$6260,3,0),""))</f>
        <v>UN</v>
      </c>
      <c r="F1328" s="2230">
        <v>100</v>
      </c>
      <c r="G1328" s="2232">
        <v>1.93</v>
      </c>
      <c r="H1328" s="2302">
        <f t="shared" si="277"/>
        <v>193</v>
      </c>
      <c r="I1328" s="2287"/>
      <c r="J1328" s="2231"/>
      <c r="K1328" s="2412"/>
      <c r="L1328" s="2536"/>
      <c r="M1328" s="2232"/>
      <c r="N1328" s="2239"/>
      <c r="O1328" s="2498">
        <f t="shared" si="278"/>
        <v>193</v>
      </c>
      <c r="P1328" s="2295">
        <f t="shared" si="269"/>
        <v>1</v>
      </c>
    </row>
    <row r="1329" spans="1:16">
      <c r="A1329" s="2343" t="s">
        <v>13973</v>
      </c>
      <c r="B1329" s="2395"/>
      <c r="C1329" s="2399"/>
      <c r="D1329" s="2376" t="s">
        <v>16339</v>
      </c>
      <c r="E1329" s="2356"/>
      <c r="F1329" s="2357"/>
      <c r="G1329" s="2358"/>
      <c r="H1329" s="2361">
        <f>SUBTOTAL(9,H1330:H1337)</f>
        <v>25742.53</v>
      </c>
      <c r="I1329" s="2359"/>
      <c r="J1329" s="2360"/>
      <c r="K1329" s="2549"/>
      <c r="L1329" s="2539">
        <f>SUBTOTAL(9,L1330:L1337)</f>
        <v>0</v>
      </c>
      <c r="M1329" s="2361">
        <f>SUBTOTAL(9,M1330:M1337)</f>
        <v>0</v>
      </c>
      <c r="N1329" s="2361">
        <f>SUBTOTAL(9,N1330:N1337)</f>
        <v>0</v>
      </c>
      <c r="O1329" s="2361">
        <f>SUBTOTAL(9,O1330:O1337)</f>
        <v>25742.53</v>
      </c>
      <c r="P1329" s="2295">
        <f t="shared" si="269"/>
        <v>1</v>
      </c>
    </row>
    <row r="1330" spans="1:16" ht="30">
      <c r="A1330" s="2272" t="s">
        <v>13974</v>
      </c>
      <c r="B1330" s="2228" t="str">
        <f>VLOOKUP($A1330,'14 - QT_BES'!$A:$F,2,0)</f>
        <v>CP-ILUM-39</v>
      </c>
      <c r="C1330" s="2228" t="str">
        <f>VLOOKUP($A1330,'14 - QT_BES'!$A:$F,3,0)</f>
        <v>PRÓPRIA</v>
      </c>
      <c r="D1330" s="2375" t="s">
        <v>15278</v>
      </c>
      <c r="E1330" s="2243" t="str">
        <f>IFERROR(VLOOKUP($B1330,'24.08_ND'!$1:$1048529,3,0),IFERROR(VLOOKUP($B1330,'03-CP'!$C$1:$H$6260,3,0),""))</f>
        <v>UN</v>
      </c>
      <c r="F1330" s="2230">
        <v>12</v>
      </c>
      <c r="G1330" s="2232">
        <v>280.11</v>
      </c>
      <c r="H1330" s="2302">
        <f t="shared" ref="H1330:H1337" si="279">TRUNC((G1330*F1330),2)</f>
        <v>3361.32</v>
      </c>
      <c r="I1330" s="2328"/>
      <c r="J1330" s="2237"/>
      <c r="K1330" s="2411"/>
      <c r="L1330" s="2533">
        <f>M1330+N1330</f>
        <v>0</v>
      </c>
      <c r="M1330" s="2238">
        <v>0</v>
      </c>
      <c r="N1330" s="2239">
        <f>TRUNC(H1330*K1330,2)</f>
        <v>0</v>
      </c>
      <c r="O1330" s="2498">
        <f t="shared" ref="O1330:O1337" si="280">H1330-L1330</f>
        <v>3361.32</v>
      </c>
      <c r="P1330" s="2295">
        <f t="shared" si="269"/>
        <v>1</v>
      </c>
    </row>
    <row r="1331" spans="1:16" ht="30">
      <c r="A1331" s="2272" t="s">
        <v>13975</v>
      </c>
      <c r="B1331" s="2228" t="str">
        <f>VLOOKUP($A1331,'14 - QT_BES'!$A:$F,2,0)</f>
        <v>CP-ILUM-40</v>
      </c>
      <c r="C1331" s="2228" t="str">
        <f>VLOOKUP($A1331,'14 - QT_BES'!$A:$F,3,0)</f>
        <v>PRÓPRIA</v>
      </c>
      <c r="D1331" s="2375" t="s">
        <v>15281</v>
      </c>
      <c r="E1331" s="2243" t="str">
        <f>IFERROR(VLOOKUP($B1331,'24.08_ND'!$1:$1048529,3,0),IFERROR(VLOOKUP($B1331,'03-CP'!$C$1:$H$6260,3,0),""))</f>
        <v>UN</v>
      </c>
      <c r="F1331" s="2230">
        <v>1</v>
      </c>
      <c r="G1331" s="2232">
        <v>83.7</v>
      </c>
      <c r="H1331" s="2302">
        <f t="shared" si="279"/>
        <v>83.7</v>
      </c>
      <c r="I1331" s="2287"/>
      <c r="J1331" s="2231"/>
      <c r="K1331" s="2412"/>
      <c r="L1331" s="2536"/>
      <c r="M1331" s="2232"/>
      <c r="N1331" s="2239"/>
      <c r="O1331" s="2498">
        <f t="shared" si="280"/>
        <v>83.7</v>
      </c>
      <c r="P1331" s="2295">
        <f t="shared" si="269"/>
        <v>1</v>
      </c>
    </row>
    <row r="1332" spans="1:16" ht="30">
      <c r="A1332" s="2272" t="s">
        <v>13976</v>
      </c>
      <c r="B1332" s="2228" t="str">
        <f>VLOOKUP($A1332,'14 - QT_BES'!$A:$F,2,0)</f>
        <v>CP-ILUM-41</v>
      </c>
      <c r="C1332" s="2228" t="str">
        <f>VLOOKUP($A1332,'14 - QT_BES'!$A:$F,3,0)</f>
        <v>PRÓPRIA</v>
      </c>
      <c r="D1332" s="2375" t="s">
        <v>15283</v>
      </c>
      <c r="E1332" s="2243" t="str">
        <f>IFERROR(VLOOKUP($B1332,'24.08_ND'!$1:$1048529,3,0),IFERROR(VLOOKUP($B1332,'03-CP'!$C$1:$H$6260,3,0),""))</f>
        <v>UN</v>
      </c>
      <c r="F1332" s="2230">
        <v>16</v>
      </c>
      <c r="G1332" s="2232">
        <v>164.4</v>
      </c>
      <c r="H1332" s="2302">
        <f t="shared" si="279"/>
        <v>2630.4</v>
      </c>
      <c r="I1332" s="2287"/>
      <c r="J1332" s="2231"/>
      <c r="K1332" s="2412"/>
      <c r="L1332" s="2536"/>
      <c r="M1332" s="2232"/>
      <c r="N1332" s="2239"/>
      <c r="O1332" s="2498">
        <f t="shared" si="280"/>
        <v>2630.4</v>
      </c>
      <c r="P1332" s="2295">
        <f t="shared" si="269"/>
        <v>1</v>
      </c>
    </row>
    <row r="1333" spans="1:16" ht="30">
      <c r="A1333" s="2272" t="s">
        <v>13977</v>
      </c>
      <c r="B1333" s="2228" t="str">
        <f>VLOOKUP($A1333,'14 - QT_BES'!$A:$F,2,0)</f>
        <v>CP-ILUM-42</v>
      </c>
      <c r="C1333" s="2228" t="str">
        <f>VLOOKUP($A1333,'14 - QT_BES'!$A:$F,3,0)</f>
        <v>PRÓPRIA</v>
      </c>
      <c r="D1333" s="2375" t="s">
        <v>15287</v>
      </c>
      <c r="E1333" s="2243" t="str">
        <f>IFERROR(VLOOKUP($B1333,'24.08_ND'!$1:$1048529,3,0),IFERROR(VLOOKUP($B1333,'03-CP'!$C$1:$H$6260,3,0),""))</f>
        <v>UN</v>
      </c>
      <c r="F1333" s="2230">
        <v>31</v>
      </c>
      <c r="G1333" s="2232">
        <v>79.319999999999993</v>
      </c>
      <c r="H1333" s="2302">
        <f t="shared" si="279"/>
        <v>2458.92</v>
      </c>
      <c r="I1333" s="2287"/>
      <c r="J1333" s="2231"/>
      <c r="K1333" s="2412"/>
      <c r="L1333" s="2536"/>
      <c r="M1333" s="2232"/>
      <c r="N1333" s="2239"/>
      <c r="O1333" s="2498">
        <f t="shared" si="280"/>
        <v>2458.92</v>
      </c>
      <c r="P1333" s="2295">
        <f t="shared" si="269"/>
        <v>1</v>
      </c>
    </row>
    <row r="1334" spans="1:16">
      <c r="A1334" s="2272" t="s">
        <v>13978</v>
      </c>
      <c r="B1334" s="2228" t="str">
        <f>VLOOKUP($A1334,'14 - QT_BES'!$A:$F,2,0)</f>
        <v>CP-ILUM-43</v>
      </c>
      <c r="C1334" s="2228" t="str">
        <f>VLOOKUP($A1334,'14 - QT_BES'!$A:$F,3,0)</f>
        <v>PRÓPRIA</v>
      </c>
      <c r="D1334" s="2375" t="s">
        <v>15290</v>
      </c>
      <c r="E1334" s="2243" t="str">
        <f>IFERROR(VLOOKUP($B1334,'24.08_ND'!$1:$1048529,3,0),IFERROR(VLOOKUP($B1334,'03-CP'!$C$1:$H$6260,3,0),""))</f>
        <v>M</v>
      </c>
      <c r="F1334" s="2230">
        <v>80.099999999999994</v>
      </c>
      <c r="G1334" s="2232">
        <v>98.25</v>
      </c>
      <c r="H1334" s="2302">
        <f t="shared" si="279"/>
        <v>7869.82</v>
      </c>
      <c r="I1334" s="2287"/>
      <c r="J1334" s="2231"/>
      <c r="K1334" s="2412"/>
      <c r="L1334" s="2536"/>
      <c r="M1334" s="2232"/>
      <c r="N1334" s="2239"/>
      <c r="O1334" s="2498">
        <f t="shared" si="280"/>
        <v>7869.82</v>
      </c>
      <c r="P1334" s="2295">
        <f t="shared" ref="P1334:P1397" si="281">O1334/H1334</f>
        <v>1</v>
      </c>
    </row>
    <row r="1335" spans="1:16">
      <c r="A1335" s="2272" t="s">
        <v>13979</v>
      </c>
      <c r="B1335" s="2228" t="str">
        <f>VLOOKUP($A1335,'14 - QT_BES'!$A:$F,2,0)</f>
        <v>CP-ILUM-44</v>
      </c>
      <c r="C1335" s="2228" t="str">
        <f>VLOOKUP($A1335,'14 - QT_BES'!$A:$F,3,0)</f>
        <v>PRÓPRIA</v>
      </c>
      <c r="D1335" s="2375" t="s">
        <v>15293</v>
      </c>
      <c r="E1335" s="2243" t="str">
        <f>IFERROR(VLOOKUP($B1335,'24.08_ND'!$1:$1048529,3,0),IFERROR(VLOOKUP($B1335,'03-CP'!$C$1:$H$6260,3,0),""))</f>
        <v>M</v>
      </c>
      <c r="F1335" s="2230">
        <v>31.37</v>
      </c>
      <c r="G1335" s="2232">
        <v>74.7</v>
      </c>
      <c r="H1335" s="2302">
        <f t="shared" si="279"/>
        <v>2343.33</v>
      </c>
      <c r="I1335" s="2287"/>
      <c r="J1335" s="2231"/>
      <c r="K1335" s="2412"/>
      <c r="L1335" s="2536"/>
      <c r="M1335" s="2232"/>
      <c r="N1335" s="2239"/>
      <c r="O1335" s="2498">
        <f t="shared" si="280"/>
        <v>2343.33</v>
      </c>
      <c r="P1335" s="2295">
        <f t="shared" si="281"/>
        <v>1</v>
      </c>
    </row>
    <row r="1336" spans="1:16">
      <c r="A1336" s="2272" t="s">
        <v>13980</v>
      </c>
      <c r="B1336" s="2228" t="str">
        <f>VLOOKUP($A1336,'14 - QT_BES'!$A:$F,2,0)</f>
        <v>CP-ILUM-46</v>
      </c>
      <c r="C1336" s="2228" t="str">
        <f>VLOOKUP($A1336,'14 - QT_BES'!$A:$F,3,0)</f>
        <v>PRÓPRIA</v>
      </c>
      <c r="D1336" s="2375" t="s">
        <v>15299</v>
      </c>
      <c r="E1336" s="2243" t="str">
        <f>IFERROR(VLOOKUP($B1336,'24.08_ND'!$1:$1048529,3,0),IFERROR(VLOOKUP($B1336,'03-CP'!$C$1:$H$6260,3,0),""))</f>
        <v>UN</v>
      </c>
      <c r="F1336" s="2230">
        <v>21</v>
      </c>
      <c r="G1336" s="2232">
        <v>311.88</v>
      </c>
      <c r="H1336" s="2302">
        <f t="shared" si="279"/>
        <v>6549.48</v>
      </c>
      <c r="I1336" s="2287"/>
      <c r="J1336" s="2231"/>
      <c r="K1336" s="2412"/>
      <c r="L1336" s="2536"/>
      <c r="M1336" s="2232"/>
      <c r="N1336" s="2239"/>
      <c r="O1336" s="2498">
        <f t="shared" si="280"/>
        <v>6549.48</v>
      </c>
      <c r="P1336" s="2295">
        <f t="shared" si="281"/>
        <v>1</v>
      </c>
    </row>
    <row r="1337" spans="1:16">
      <c r="A1337" s="2272" t="s">
        <v>13981</v>
      </c>
      <c r="B1337" s="2228" t="str">
        <f>VLOOKUP($A1337,'14 - QT_BES'!$A:$F,2,0)</f>
        <v>CP-ILUM-45</v>
      </c>
      <c r="C1337" s="2228" t="str">
        <f>VLOOKUP($A1337,'14 - QT_BES'!$A:$F,3,0)</f>
        <v>PRÓPRIA</v>
      </c>
      <c r="D1337" s="2375" t="s">
        <v>15296</v>
      </c>
      <c r="E1337" s="2243" t="str">
        <f>IFERROR(VLOOKUP($B1337,'24.08_ND'!$1:$1048529,3,0),IFERROR(VLOOKUP($B1337,'03-CP'!$C$1:$H$6260,3,0),""))</f>
        <v>UN</v>
      </c>
      <c r="F1337" s="2230">
        <v>2</v>
      </c>
      <c r="G1337" s="2232">
        <v>222.78</v>
      </c>
      <c r="H1337" s="2302">
        <f t="shared" si="279"/>
        <v>445.56</v>
      </c>
      <c r="I1337" s="2287"/>
      <c r="J1337" s="2231"/>
      <c r="K1337" s="2412"/>
      <c r="L1337" s="2536"/>
      <c r="M1337" s="2232"/>
      <c r="N1337" s="2239"/>
      <c r="O1337" s="2498">
        <f t="shared" si="280"/>
        <v>445.56</v>
      </c>
      <c r="P1337" s="2295">
        <f t="shared" si="281"/>
        <v>1</v>
      </c>
    </row>
    <row r="1338" spans="1:16">
      <c r="A1338" s="2267" t="s">
        <v>12646</v>
      </c>
      <c r="B1338" s="2394"/>
      <c r="C1338" s="2398"/>
      <c r="D1338" s="2377" t="s">
        <v>16345</v>
      </c>
      <c r="E1338" s="2353"/>
      <c r="F1338" s="2354"/>
      <c r="G1338" s="2355"/>
      <c r="H1338" s="2300">
        <f>SUBTOTAL(9,H1339:H1340)</f>
        <v>140.16999999999999</v>
      </c>
      <c r="I1338" s="2283"/>
      <c r="J1338" s="2221"/>
      <c r="K1338" s="2492"/>
      <c r="L1338" s="2532">
        <f>SUBTOTAL(9,L1339:L1340)</f>
        <v>0</v>
      </c>
      <c r="M1338" s="2300">
        <f>SUBTOTAL(9,M1339:M1340)</f>
        <v>0</v>
      </c>
      <c r="N1338" s="2300">
        <f>SUBTOTAL(9,N1339:N1340)</f>
        <v>0</v>
      </c>
      <c r="O1338" s="2300">
        <f>SUBTOTAL(9,O1339:O1340)</f>
        <v>140.16999999999999</v>
      </c>
      <c r="P1338" s="2295">
        <f t="shared" si="281"/>
        <v>1</v>
      </c>
    </row>
    <row r="1339" spans="1:16" ht="30">
      <c r="A1339" s="2272" t="s">
        <v>13982</v>
      </c>
      <c r="B1339" s="2234">
        <f>VLOOKUP($A1339,'14 - QT_BES'!$A:$F,2,0)</f>
        <v>97599</v>
      </c>
      <c r="C1339" s="2234" t="str">
        <f>VLOOKUP($A1339,'14 - QT_BES'!$A:$F,3,0)</f>
        <v>SINAPI</v>
      </c>
      <c r="D1339" s="2375" t="s">
        <v>8100</v>
      </c>
      <c r="E1339" s="2242" t="str">
        <f>IFERROR(VLOOKUP($B1339,'24.08_ND'!$1:$1048529,3,0),IFERROR(VLOOKUP($B1339,'03-CP'!$C$1:$H$6260,3,0),""))</f>
        <v>UN</v>
      </c>
      <c r="F1339" s="2230">
        <v>5</v>
      </c>
      <c r="G1339" s="2238">
        <v>18.71</v>
      </c>
      <c r="H1339" s="2302">
        <f>TRUNC((G1339*F1339),2)</f>
        <v>93.55</v>
      </c>
      <c r="I1339" s="2328"/>
      <c r="J1339" s="2237"/>
      <c r="K1339" s="2411"/>
      <c r="L1339" s="2533">
        <f>M1339+N1339</f>
        <v>0</v>
      </c>
      <c r="M1339" s="2238">
        <v>0</v>
      </c>
      <c r="N1339" s="2239">
        <f>TRUNC(H1339*K1339,2)</f>
        <v>0</v>
      </c>
      <c r="O1339" s="2498">
        <f>H1339-L1339</f>
        <v>93.55</v>
      </c>
      <c r="P1339" s="2295">
        <f t="shared" si="281"/>
        <v>1</v>
      </c>
    </row>
    <row r="1340" spans="1:16" ht="45">
      <c r="A1340" s="2272" t="s">
        <v>13983</v>
      </c>
      <c r="B1340" s="2228" t="str">
        <f>VLOOKUP($A1340,'14 - QT_BES'!$A:$F,2,0)</f>
        <v>CP-INC-01</v>
      </c>
      <c r="C1340" s="2228" t="str">
        <f>VLOOKUP($A1340,'14 - QT_BES'!$A:$F,3,0)</f>
        <v>PRÓPRIA</v>
      </c>
      <c r="D1340" s="2375" t="s">
        <v>15360</v>
      </c>
      <c r="E1340" s="2243" t="str">
        <f>IFERROR(VLOOKUP($B1340,'24.08_ND'!$1:$1048529,3,0),IFERROR(VLOOKUP($B1340,'03-CP'!$C$1:$H$6260,3,0),""))</f>
        <v>UN</v>
      </c>
      <c r="F1340" s="2230">
        <v>2</v>
      </c>
      <c r="G1340" s="2232">
        <v>23.31</v>
      </c>
      <c r="H1340" s="2302">
        <f>TRUNC((G1340*F1340),2)</f>
        <v>46.62</v>
      </c>
      <c r="I1340" s="2287"/>
      <c r="J1340" s="2231"/>
      <c r="K1340" s="2412"/>
      <c r="L1340" s="2536"/>
      <c r="M1340" s="2232"/>
      <c r="N1340" s="2239"/>
      <c r="O1340" s="2498">
        <f>H1340-L1340</f>
        <v>46.62</v>
      </c>
      <c r="P1340" s="2295">
        <f t="shared" si="281"/>
        <v>1</v>
      </c>
    </row>
    <row r="1341" spans="1:16">
      <c r="A1341" s="2266"/>
      <c r="B1341" s="2274"/>
      <c r="C1341" s="2275"/>
      <c r="D1341" s="2276"/>
      <c r="E1341" s="2277"/>
      <c r="F1341" s="2278"/>
      <c r="G1341" s="2279"/>
      <c r="H1341" s="2280"/>
      <c r="I1341" s="2291"/>
      <c r="J1341" s="2259"/>
      <c r="K1341" s="2414"/>
      <c r="L1341" s="2280"/>
      <c r="M1341" s="2280"/>
      <c r="N1341" s="2239"/>
      <c r="O1341" s="2499"/>
      <c r="P1341" s="2295"/>
    </row>
    <row r="1342" spans="1:16">
      <c r="A1342" s="2505" t="s">
        <v>13984</v>
      </c>
      <c r="B1342" s="2506"/>
      <c r="C1342" s="2506"/>
      <c r="D1342" s="2507"/>
      <c r="E1342" s="2506"/>
      <c r="F1342" s="2508"/>
      <c r="G1342" s="2509"/>
      <c r="H1342" s="2510">
        <f>SUBTOTAL(9,H1343:H1631)</f>
        <v>1253157.7299999997</v>
      </c>
      <c r="I1342" s="2511"/>
      <c r="J1342" s="2512"/>
      <c r="K1342" s="2553"/>
      <c r="L1342" s="2540">
        <f>SUBTOTAL(9,L1343:L1631)</f>
        <v>0</v>
      </c>
      <c r="M1342" s="2510">
        <f>SUBTOTAL(9,M1343:M1631)</f>
        <v>0</v>
      </c>
      <c r="N1342" s="2510">
        <f>SUBTOTAL(9,N1343:N1631)</f>
        <v>0</v>
      </c>
      <c r="O1342" s="2510">
        <f>SUBTOTAL(9,O1343:O1631)</f>
        <v>1253157.7299999997</v>
      </c>
      <c r="P1342" s="2295">
        <f t="shared" si="281"/>
        <v>1</v>
      </c>
    </row>
    <row r="1343" spans="1:16">
      <c r="A1343" s="2513" t="s">
        <v>12648</v>
      </c>
      <c r="B1343" s="2514"/>
      <c r="C1343" s="2515"/>
      <c r="D1343" s="2516" t="s">
        <v>16198</v>
      </c>
      <c r="E1343" s="2517"/>
      <c r="F1343" s="2518"/>
      <c r="G1343" s="2519"/>
      <c r="H1343" s="2520">
        <f>SUBTOTAL(9,H1344:H1408)</f>
        <v>264009.67999999993</v>
      </c>
      <c r="I1343" s="2521"/>
      <c r="J1343" s="2522"/>
      <c r="K1343" s="2554"/>
      <c r="L1343" s="2541">
        <f>SUBTOTAL(9,L1344:L1408)</f>
        <v>0</v>
      </c>
      <c r="M1343" s="2520">
        <f>SUBTOTAL(9,M1344:M1408)</f>
        <v>0</v>
      </c>
      <c r="N1343" s="2520">
        <f>SUBTOTAL(9,N1344:N1408)</f>
        <v>0</v>
      </c>
      <c r="O1343" s="2520">
        <f>SUBTOTAL(9,O1344:O1408)</f>
        <v>264009.67999999993</v>
      </c>
      <c r="P1343" s="2295">
        <f t="shared" si="281"/>
        <v>1</v>
      </c>
    </row>
    <row r="1344" spans="1:16">
      <c r="A1344" s="2273" t="s">
        <v>13985</v>
      </c>
      <c r="B1344" s="2397"/>
      <c r="C1344" s="2401"/>
      <c r="D1344" s="2380" t="s">
        <v>16546</v>
      </c>
      <c r="E1344" s="2368"/>
      <c r="F1344" s="2369"/>
      <c r="G1344" s="2370"/>
      <c r="H1344" s="2361">
        <f>SUBTOTAL(9,H1345:H1353)</f>
        <v>24119.4</v>
      </c>
      <c r="I1344" s="2371"/>
      <c r="J1344" s="2372"/>
      <c r="K1344" s="2555"/>
      <c r="L1344" s="2539">
        <f>SUBTOTAL(9,L1345:L1353)</f>
        <v>0</v>
      </c>
      <c r="M1344" s="2361">
        <f>SUBTOTAL(9,M1345:M1353)</f>
        <v>0</v>
      </c>
      <c r="N1344" s="2361">
        <f>SUBTOTAL(9,N1345:N1353)</f>
        <v>0</v>
      </c>
      <c r="O1344" s="2361">
        <f>SUBTOTAL(9,O1345:O1353)</f>
        <v>24119.4</v>
      </c>
      <c r="P1344" s="2295">
        <f t="shared" si="281"/>
        <v>1</v>
      </c>
    </row>
    <row r="1345" spans="1:16" ht="30">
      <c r="A1345" s="2270" t="s">
        <v>13986</v>
      </c>
      <c r="B1345" s="2228">
        <f>VLOOKUP($A1345,'15 - QT_BCE'!$A:$F,2,0)</f>
        <v>96523</v>
      </c>
      <c r="C1345" s="2228" t="str">
        <f>VLOOKUP($A1345,'15 - QT_BCE'!$A:$F,3,0)</f>
        <v>SINAPI</v>
      </c>
      <c r="D1345" s="2375" t="s">
        <v>10508</v>
      </c>
      <c r="E1345" s="2243" t="str">
        <f>IFERROR(VLOOKUP($B1345,'24.08_ND'!$1:$1048529,3,0),IFERROR(VLOOKUP($B1345,'03-CP'!$C$1:$H$6260,3,0),""))</f>
        <v>M3</v>
      </c>
      <c r="F1345" s="2230">
        <v>53.6</v>
      </c>
      <c r="G1345" s="2232">
        <v>100.5</v>
      </c>
      <c r="H1345" s="2302">
        <f t="shared" ref="H1345:H1353" si="282">TRUNC((G1345*F1345),2)</f>
        <v>5386.8</v>
      </c>
      <c r="I1345" s="2328"/>
      <c r="J1345" s="2237"/>
      <c r="K1345" s="2411"/>
      <c r="L1345" s="2533">
        <f>M1345+N1345</f>
        <v>0</v>
      </c>
      <c r="M1345" s="2238">
        <v>0</v>
      </c>
      <c r="N1345" s="2239">
        <f>TRUNC(H1345*K1345,2)</f>
        <v>0</v>
      </c>
      <c r="O1345" s="2498">
        <f t="shared" ref="O1345:O1353" si="283">H1345-L1345</f>
        <v>5386.8</v>
      </c>
      <c r="P1345" s="2295">
        <f t="shared" si="281"/>
        <v>1</v>
      </c>
    </row>
    <row r="1346" spans="1:16" ht="30">
      <c r="A1346" s="2270" t="s">
        <v>13987</v>
      </c>
      <c r="B1346" s="2228">
        <f>VLOOKUP($A1346,'15 - QT_BCE'!$A:$F,2,0)</f>
        <v>101616</v>
      </c>
      <c r="C1346" s="2228" t="str">
        <f>VLOOKUP($A1346,'15 - QT_BCE'!$A:$F,3,0)</f>
        <v>SINAPI</v>
      </c>
      <c r="D1346" s="2375" t="s">
        <v>10747</v>
      </c>
      <c r="E1346" s="2243" t="str">
        <f>IFERROR(VLOOKUP($B1346,'24.08_ND'!$1:$1048529,3,0),IFERROR(VLOOKUP($B1346,'03-CP'!$C$1:$H$6260,3,0),""))</f>
        <v>M2</v>
      </c>
      <c r="F1346" s="2230">
        <v>16.64</v>
      </c>
      <c r="G1346" s="2232">
        <v>6.71</v>
      </c>
      <c r="H1346" s="2302">
        <f t="shared" si="282"/>
        <v>111.65</v>
      </c>
      <c r="I1346" s="2287"/>
      <c r="J1346" s="2231"/>
      <c r="K1346" s="2412"/>
      <c r="L1346" s="2536"/>
      <c r="M1346" s="2232"/>
      <c r="N1346" s="2239"/>
      <c r="O1346" s="2498">
        <f t="shared" si="283"/>
        <v>111.65</v>
      </c>
      <c r="P1346" s="2295">
        <f t="shared" si="281"/>
        <v>1</v>
      </c>
    </row>
    <row r="1347" spans="1:16" ht="30">
      <c r="A1347" s="2270" t="s">
        <v>13988</v>
      </c>
      <c r="B1347" s="2228">
        <f>VLOOKUP($A1347,'15 - QT_BCE'!$A:$F,2,0)</f>
        <v>96616</v>
      </c>
      <c r="C1347" s="2228" t="str">
        <f>VLOOKUP($A1347,'15 - QT_BCE'!$A:$F,3,0)</f>
        <v>SINAPI</v>
      </c>
      <c r="D1347" s="2375" t="s">
        <v>7163</v>
      </c>
      <c r="E1347" s="2243" t="str">
        <f>IFERROR(VLOOKUP($B1347,'24.08_ND'!$1:$1048529,3,0),IFERROR(VLOOKUP($B1347,'03-CP'!$C$1:$H$6260,3,0),""))</f>
        <v>M3</v>
      </c>
      <c r="F1347" s="2230">
        <v>0.83</v>
      </c>
      <c r="G1347" s="2232">
        <v>955.26</v>
      </c>
      <c r="H1347" s="2302">
        <f t="shared" si="282"/>
        <v>792.86</v>
      </c>
      <c r="I1347" s="2287"/>
      <c r="J1347" s="2231"/>
      <c r="K1347" s="2412"/>
      <c r="L1347" s="2536"/>
      <c r="M1347" s="2232"/>
      <c r="N1347" s="2239"/>
      <c r="O1347" s="2498">
        <f t="shared" si="283"/>
        <v>792.86</v>
      </c>
      <c r="P1347" s="2295">
        <f t="shared" si="281"/>
        <v>1</v>
      </c>
    </row>
    <row r="1348" spans="1:16" ht="30">
      <c r="A1348" s="2270" t="s">
        <v>13989</v>
      </c>
      <c r="B1348" s="2228">
        <f>VLOOKUP($A1348,'15 - QT_BCE'!$A:$F,2,0)</f>
        <v>96535</v>
      </c>
      <c r="C1348" s="2228" t="str">
        <f>VLOOKUP($A1348,'15 - QT_BCE'!$A:$F,3,0)</f>
        <v>SINAPI</v>
      </c>
      <c r="D1348" s="2375" t="s">
        <v>7301</v>
      </c>
      <c r="E1348" s="2243" t="str">
        <f>IFERROR(VLOOKUP($B1348,'24.08_ND'!$1:$1048529,3,0),IFERROR(VLOOKUP($B1348,'03-CP'!$C$1:$H$6260,3,0),""))</f>
        <v>M2</v>
      </c>
      <c r="F1348" s="2230">
        <v>29.12</v>
      </c>
      <c r="G1348" s="2232">
        <v>149.51</v>
      </c>
      <c r="H1348" s="2302">
        <f t="shared" si="282"/>
        <v>4353.7299999999996</v>
      </c>
      <c r="I1348" s="2287"/>
      <c r="J1348" s="2231"/>
      <c r="K1348" s="2412"/>
      <c r="L1348" s="2536"/>
      <c r="M1348" s="2232"/>
      <c r="N1348" s="2239"/>
      <c r="O1348" s="2498">
        <f t="shared" si="283"/>
        <v>4353.7299999999996</v>
      </c>
      <c r="P1348" s="2295">
        <f t="shared" si="281"/>
        <v>1</v>
      </c>
    </row>
    <row r="1349" spans="1:16" ht="30">
      <c r="A1349" s="2270" t="s">
        <v>13990</v>
      </c>
      <c r="B1349" s="2228">
        <f>VLOOKUP($A1349,'15 - QT_BCE'!$A:$F,2,0)</f>
        <v>104919</v>
      </c>
      <c r="C1349" s="2228" t="str">
        <f>VLOOKUP($A1349,'15 - QT_BCE'!$A:$F,3,0)</f>
        <v>SINAPI</v>
      </c>
      <c r="D1349" s="2375" t="s">
        <v>7516</v>
      </c>
      <c r="E1349" s="2243" t="str">
        <f>IFERROR(VLOOKUP($B1349,'24.08_ND'!$1:$1048529,3,0),IFERROR(VLOOKUP($B1349,'03-CP'!$C$1:$H$6260,3,0),""))</f>
        <v>KG</v>
      </c>
      <c r="F1349" s="2230">
        <v>302.60000000000002</v>
      </c>
      <c r="G1349" s="2232">
        <v>15.88</v>
      </c>
      <c r="H1349" s="2302">
        <f t="shared" si="282"/>
        <v>4805.28</v>
      </c>
      <c r="I1349" s="2287"/>
      <c r="J1349" s="2231"/>
      <c r="K1349" s="2412"/>
      <c r="L1349" s="2536"/>
      <c r="M1349" s="2232"/>
      <c r="N1349" s="2239"/>
      <c r="O1349" s="2498">
        <f t="shared" si="283"/>
        <v>4805.28</v>
      </c>
      <c r="P1349" s="2295">
        <f t="shared" si="281"/>
        <v>1</v>
      </c>
    </row>
    <row r="1350" spans="1:16" ht="30">
      <c r="A1350" s="2270" t="s">
        <v>13991</v>
      </c>
      <c r="B1350" s="2228">
        <f>VLOOKUP($A1350,'15 - QT_BCE'!$A:$F,2,0)</f>
        <v>96558</v>
      </c>
      <c r="C1350" s="2228" t="str">
        <f>VLOOKUP($A1350,'15 - QT_BCE'!$A:$F,3,0)</f>
        <v>SINAPI</v>
      </c>
      <c r="D1350" s="2375" t="s">
        <v>7548</v>
      </c>
      <c r="E1350" s="2243" t="str">
        <f>IFERROR(VLOOKUP($B1350,'24.08_ND'!$1:$1048529,3,0),IFERROR(VLOOKUP($B1350,'03-CP'!$C$1:$H$6260,3,0),""))</f>
        <v>M3</v>
      </c>
      <c r="F1350" s="2230">
        <v>5.82</v>
      </c>
      <c r="G1350" s="2232">
        <v>1149.76</v>
      </c>
      <c r="H1350" s="2302">
        <f t="shared" si="282"/>
        <v>6691.6</v>
      </c>
      <c r="I1350" s="2287"/>
      <c r="J1350" s="2231"/>
      <c r="K1350" s="2412"/>
      <c r="L1350" s="2536"/>
      <c r="M1350" s="2232"/>
      <c r="N1350" s="2239"/>
      <c r="O1350" s="2498">
        <f t="shared" si="283"/>
        <v>6691.6</v>
      </c>
      <c r="P1350" s="2295">
        <f t="shared" si="281"/>
        <v>1</v>
      </c>
    </row>
    <row r="1351" spans="1:16" ht="30">
      <c r="A1351" s="2271" t="s">
        <v>13992</v>
      </c>
      <c r="B1351" s="2228">
        <f>VLOOKUP($A1351,'15 - QT_BCE'!$A:$F,2,0)</f>
        <v>93382</v>
      </c>
      <c r="C1351" s="2228" t="str">
        <f>VLOOKUP($A1351,'15 - QT_BCE'!$A:$F,3,0)</f>
        <v>SINAPI</v>
      </c>
      <c r="D1351" s="2375" t="s">
        <v>10726</v>
      </c>
      <c r="E1351" s="2243" t="str">
        <f>IFERROR(VLOOKUP($B1351,'24.08_ND'!$1:$1048529,3,0),IFERROR(VLOOKUP($B1351,'03-CP'!$C$1:$H$6260,3,0),""))</f>
        <v>M3</v>
      </c>
      <c r="F1351" s="2230">
        <v>52.558000000000007</v>
      </c>
      <c r="G1351" s="2232">
        <v>26.88</v>
      </c>
      <c r="H1351" s="2302">
        <f t="shared" si="282"/>
        <v>1412.75</v>
      </c>
      <c r="I1351" s="2287"/>
      <c r="J1351" s="2231"/>
      <c r="K1351" s="2412"/>
      <c r="L1351" s="2536"/>
      <c r="M1351" s="2232"/>
      <c r="N1351" s="2239"/>
      <c r="O1351" s="2498">
        <f t="shared" si="283"/>
        <v>1412.75</v>
      </c>
      <c r="P1351" s="2295">
        <f t="shared" si="281"/>
        <v>1</v>
      </c>
    </row>
    <row r="1352" spans="1:16" ht="45">
      <c r="A1352" s="2271" t="s">
        <v>13993</v>
      </c>
      <c r="B1352" s="2228">
        <f>VLOOKUP($A1352,'15 - QT_BCE'!$A:$F,2,0)</f>
        <v>100978</v>
      </c>
      <c r="C1352" s="2228" t="str">
        <f>VLOOKUP($A1352,'15 - QT_BCE'!$A:$F,3,0)</f>
        <v>SINAPI</v>
      </c>
      <c r="D1352" s="2375" t="s">
        <v>11981</v>
      </c>
      <c r="E1352" s="2243" t="str">
        <f>IFERROR(VLOOKUP($B1352,'24.08_ND'!$1:$1048529,3,0),IFERROR(VLOOKUP($B1352,'03-CP'!$C$1:$H$6260,3,0),""))</f>
        <v>M3</v>
      </c>
      <c r="F1352" s="2230">
        <v>22.481999999999985</v>
      </c>
      <c r="G1352" s="2232">
        <v>7.88</v>
      </c>
      <c r="H1352" s="2302">
        <f t="shared" si="282"/>
        <v>177.15</v>
      </c>
      <c r="I1352" s="2287"/>
      <c r="J1352" s="2231"/>
      <c r="K1352" s="2412"/>
      <c r="L1352" s="2536"/>
      <c r="M1352" s="2232"/>
      <c r="N1352" s="2239"/>
      <c r="O1352" s="2498">
        <f t="shared" si="283"/>
        <v>177.15</v>
      </c>
      <c r="P1352" s="2295">
        <f t="shared" si="281"/>
        <v>1</v>
      </c>
    </row>
    <row r="1353" spans="1:16" ht="30">
      <c r="A1353" s="2271" t="s">
        <v>13994</v>
      </c>
      <c r="B1353" s="2228">
        <f>VLOOKUP($A1353,'15 - QT_BCE'!$A:$F,2,0)</f>
        <v>100938</v>
      </c>
      <c r="C1353" s="2228" t="str">
        <f>VLOOKUP($A1353,'15 - QT_BCE'!$A:$F,3,0)</f>
        <v>SINAPI</v>
      </c>
      <c r="D1353" s="2375" t="s">
        <v>11938</v>
      </c>
      <c r="E1353" s="2243" t="str">
        <f>IFERROR(VLOOKUP($B1353,'24.08_ND'!$1:$1048529,3,0),IFERROR(VLOOKUP($B1353,'03-CP'!$C$1:$H$6260,3,0),""))</f>
        <v>M3XKM</v>
      </c>
      <c r="F1353" s="2230">
        <v>44.96399999999997</v>
      </c>
      <c r="G1353" s="2232">
        <v>8.6199999999999992</v>
      </c>
      <c r="H1353" s="2302">
        <f t="shared" si="282"/>
        <v>387.58</v>
      </c>
      <c r="I1353" s="2287"/>
      <c r="J1353" s="2231"/>
      <c r="K1353" s="2412"/>
      <c r="L1353" s="2536"/>
      <c r="M1353" s="2232"/>
      <c r="N1353" s="2239"/>
      <c r="O1353" s="2498">
        <f t="shared" si="283"/>
        <v>387.58</v>
      </c>
      <c r="P1353" s="2295">
        <f t="shared" si="281"/>
        <v>1</v>
      </c>
    </row>
    <row r="1354" spans="1:16">
      <c r="A1354" s="2273" t="s">
        <v>13995</v>
      </c>
      <c r="B1354" s="2397"/>
      <c r="C1354" s="2401"/>
      <c r="D1354" s="2380" t="s">
        <v>16548</v>
      </c>
      <c r="E1354" s="2368"/>
      <c r="F1354" s="2369"/>
      <c r="G1354" s="2370"/>
      <c r="H1354" s="2361">
        <f>SUBTOTAL(9,H1355:H1360)</f>
        <v>5592.4299999999994</v>
      </c>
      <c r="I1354" s="2371"/>
      <c r="J1354" s="2372"/>
      <c r="K1354" s="2555"/>
      <c r="L1354" s="2539">
        <f>SUBTOTAL(9,L1355:L1360)</f>
        <v>0</v>
      </c>
      <c r="M1354" s="2361">
        <f>SUBTOTAL(9,M1355:M1360)</f>
        <v>0</v>
      </c>
      <c r="N1354" s="2361">
        <f>SUBTOTAL(9,N1355:N1360)</f>
        <v>0</v>
      </c>
      <c r="O1354" s="2361">
        <f>SUBTOTAL(9,O1355:O1360)</f>
        <v>5592.4299999999994</v>
      </c>
      <c r="P1354" s="2295">
        <f t="shared" si="281"/>
        <v>1</v>
      </c>
    </row>
    <row r="1355" spans="1:16" ht="45">
      <c r="A1355" s="2271" t="s">
        <v>13996</v>
      </c>
      <c r="B1355" s="2228">
        <f>VLOOKUP($A1355,'15 - QT_BCE'!$A:$F,2,0)</f>
        <v>92413</v>
      </c>
      <c r="C1355" s="2228" t="str">
        <f>VLOOKUP($A1355,'15 - QT_BCE'!$A:$F,3,0)</f>
        <v>SINAPI</v>
      </c>
      <c r="D1355" s="2375" t="s">
        <v>7212</v>
      </c>
      <c r="E1355" s="2243" t="str">
        <f>IFERROR(VLOOKUP($B1355,'24.08_ND'!$1:$1048529,3,0),IFERROR(VLOOKUP($B1355,'03-CP'!$C$1:$H$6260,3,0),""))</f>
        <v>M2</v>
      </c>
      <c r="F1355" s="2230">
        <v>15.03</v>
      </c>
      <c r="G1355" s="2232">
        <v>121.66</v>
      </c>
      <c r="H1355" s="2302">
        <f t="shared" ref="H1355:H1360" si="284">TRUNC((G1355*F1355),2)</f>
        <v>1828.54</v>
      </c>
      <c r="I1355" s="2328"/>
      <c r="J1355" s="2237"/>
      <c r="K1355" s="2411"/>
      <c r="L1355" s="2533">
        <f>M1355+N1355</f>
        <v>0</v>
      </c>
      <c r="M1355" s="2238">
        <v>0</v>
      </c>
      <c r="N1355" s="2239">
        <f>TRUNC(H1355*K1355,2)</f>
        <v>0</v>
      </c>
      <c r="O1355" s="2498">
        <f t="shared" ref="O1355:O1360" si="285">H1355-L1355</f>
        <v>1828.54</v>
      </c>
      <c r="P1355" s="2295">
        <f t="shared" si="281"/>
        <v>1</v>
      </c>
    </row>
    <row r="1356" spans="1:16" ht="30">
      <c r="A1356" s="2271" t="s">
        <v>13997</v>
      </c>
      <c r="B1356" s="2228">
        <f>VLOOKUP($A1356,'15 - QT_BCE'!$A:$F,2,0)</f>
        <v>92759</v>
      </c>
      <c r="C1356" s="2228" t="str">
        <f>VLOOKUP($A1356,'15 - QT_BCE'!$A:$F,3,0)</f>
        <v>SINAPI</v>
      </c>
      <c r="D1356" s="2375" t="s">
        <v>7428</v>
      </c>
      <c r="E1356" s="2243" t="str">
        <f>IFERROR(VLOOKUP($B1356,'24.08_ND'!$1:$1048529,3,0),IFERROR(VLOOKUP($B1356,'03-CP'!$C$1:$H$6260,3,0),""))</f>
        <v>KG</v>
      </c>
      <c r="F1356" s="2230">
        <v>33.200000000000003</v>
      </c>
      <c r="G1356" s="2232">
        <v>17.100000000000001</v>
      </c>
      <c r="H1356" s="2302">
        <f t="shared" si="284"/>
        <v>567.72</v>
      </c>
      <c r="I1356" s="2287"/>
      <c r="J1356" s="2231"/>
      <c r="K1356" s="2412"/>
      <c r="L1356" s="2536"/>
      <c r="M1356" s="2232"/>
      <c r="N1356" s="2239"/>
      <c r="O1356" s="2498">
        <f t="shared" si="285"/>
        <v>567.72</v>
      </c>
      <c r="P1356" s="2295">
        <f t="shared" si="281"/>
        <v>1</v>
      </c>
    </row>
    <row r="1357" spans="1:16" ht="30">
      <c r="A1357" s="2271" t="s">
        <v>13998</v>
      </c>
      <c r="B1357" s="2228">
        <f>VLOOKUP($A1357,'15 - QT_BCE'!$A:$F,2,0)</f>
        <v>92762</v>
      </c>
      <c r="C1357" s="2228" t="str">
        <f>VLOOKUP($A1357,'15 - QT_BCE'!$A:$F,3,0)</f>
        <v>SINAPI</v>
      </c>
      <c r="D1357" s="2375" t="s">
        <v>7431</v>
      </c>
      <c r="E1357" s="2243" t="str">
        <f>IFERROR(VLOOKUP($B1357,'24.08_ND'!$1:$1048529,3,0),IFERROR(VLOOKUP($B1357,'03-CP'!$C$1:$H$6260,3,0),""))</f>
        <v>KG</v>
      </c>
      <c r="F1357" s="2230">
        <v>77.900000000000006</v>
      </c>
      <c r="G1357" s="2232">
        <v>14.11</v>
      </c>
      <c r="H1357" s="2302">
        <f t="shared" si="284"/>
        <v>1099.1600000000001</v>
      </c>
      <c r="I1357" s="2287"/>
      <c r="J1357" s="2231"/>
      <c r="K1357" s="2412"/>
      <c r="L1357" s="2536"/>
      <c r="M1357" s="2232"/>
      <c r="N1357" s="2239"/>
      <c r="O1357" s="2498">
        <f t="shared" si="285"/>
        <v>1099.1600000000001</v>
      </c>
      <c r="P1357" s="2295">
        <f t="shared" si="281"/>
        <v>1</v>
      </c>
    </row>
    <row r="1358" spans="1:16" ht="30">
      <c r="A1358" s="2271" t="s">
        <v>13999</v>
      </c>
      <c r="B1358" s="2228">
        <f>VLOOKUP($A1358,'15 - QT_BCE'!$A:$F,2,0)</f>
        <v>92763</v>
      </c>
      <c r="C1358" s="2228" t="str">
        <f>VLOOKUP($A1358,'15 - QT_BCE'!$A:$F,3,0)</f>
        <v>SINAPI</v>
      </c>
      <c r="D1358" s="2375" t="s">
        <v>7432</v>
      </c>
      <c r="E1358" s="2243" t="str">
        <f>IFERROR(VLOOKUP($B1358,'24.08_ND'!$1:$1048529,3,0),IFERROR(VLOOKUP($B1358,'03-CP'!$C$1:$H$6260,3,0),""))</f>
        <v>KG</v>
      </c>
      <c r="F1358" s="2230">
        <v>53.8</v>
      </c>
      <c r="G1358" s="2232">
        <v>11.93</v>
      </c>
      <c r="H1358" s="2302">
        <f t="shared" si="284"/>
        <v>641.83000000000004</v>
      </c>
      <c r="I1358" s="2287"/>
      <c r="J1358" s="2231"/>
      <c r="K1358" s="2412"/>
      <c r="L1358" s="2536"/>
      <c r="M1358" s="2232"/>
      <c r="N1358" s="2239"/>
      <c r="O1358" s="2498">
        <f t="shared" si="285"/>
        <v>641.83000000000004</v>
      </c>
      <c r="P1358" s="2295">
        <f t="shared" si="281"/>
        <v>1</v>
      </c>
    </row>
    <row r="1359" spans="1:16" ht="30">
      <c r="A1359" s="2271" t="s">
        <v>14000</v>
      </c>
      <c r="B1359" s="2228">
        <f>VLOOKUP($A1359,'15 - QT_BCE'!$A:$F,2,0)</f>
        <v>92764</v>
      </c>
      <c r="C1359" s="2228" t="str">
        <f>VLOOKUP($A1359,'15 - QT_BCE'!$A:$F,3,0)</f>
        <v>SINAPI</v>
      </c>
      <c r="D1359" s="2375" t="s">
        <v>7433</v>
      </c>
      <c r="E1359" s="2243" t="str">
        <f>IFERROR(VLOOKUP($B1359,'24.08_ND'!$1:$1048529,3,0),IFERROR(VLOOKUP($B1359,'03-CP'!$C$1:$H$6260,3,0),""))</f>
        <v>KG</v>
      </c>
      <c r="F1359" s="2230">
        <v>52.1</v>
      </c>
      <c r="G1359" s="2232">
        <v>11.6</v>
      </c>
      <c r="H1359" s="2302">
        <f t="shared" si="284"/>
        <v>604.36</v>
      </c>
      <c r="I1359" s="2287"/>
      <c r="J1359" s="2231"/>
      <c r="K1359" s="2412"/>
      <c r="L1359" s="2536"/>
      <c r="M1359" s="2232"/>
      <c r="N1359" s="2239"/>
      <c r="O1359" s="2498">
        <f t="shared" si="285"/>
        <v>604.36</v>
      </c>
      <c r="P1359" s="2295">
        <f t="shared" si="281"/>
        <v>1</v>
      </c>
    </row>
    <row r="1360" spans="1:16" ht="30">
      <c r="A1360" s="2271" t="s">
        <v>14001</v>
      </c>
      <c r="B1360" s="2228">
        <f>VLOOKUP($A1360,'15 - QT_BCE'!$A:$F,2,0)</f>
        <v>96558</v>
      </c>
      <c r="C1360" s="2228" t="str">
        <f>VLOOKUP($A1360,'15 - QT_BCE'!$A:$F,3,0)</f>
        <v>SINAPI</v>
      </c>
      <c r="D1360" s="2375" t="s">
        <v>7548</v>
      </c>
      <c r="E1360" s="2243" t="str">
        <f>IFERROR(VLOOKUP($B1360,'24.08_ND'!$1:$1048529,3,0),IFERROR(VLOOKUP($B1360,'03-CP'!$C$1:$H$6260,3,0),""))</f>
        <v>M3</v>
      </c>
      <c r="F1360" s="2230">
        <v>0.74</v>
      </c>
      <c r="G1360" s="2232">
        <v>1149.76</v>
      </c>
      <c r="H1360" s="2302">
        <f t="shared" si="284"/>
        <v>850.82</v>
      </c>
      <c r="I1360" s="2287"/>
      <c r="J1360" s="2231"/>
      <c r="K1360" s="2412"/>
      <c r="L1360" s="2536"/>
      <c r="M1360" s="2232"/>
      <c r="N1360" s="2239"/>
      <c r="O1360" s="2498">
        <f t="shared" si="285"/>
        <v>850.82</v>
      </c>
      <c r="P1360" s="2295">
        <f t="shared" si="281"/>
        <v>1</v>
      </c>
    </row>
    <row r="1361" spans="1:16">
      <c r="A1361" s="2273" t="s">
        <v>14002</v>
      </c>
      <c r="B1361" s="2397"/>
      <c r="C1361" s="2401"/>
      <c r="D1361" s="2380" t="s">
        <v>16549</v>
      </c>
      <c r="E1361" s="2368"/>
      <c r="F1361" s="2369"/>
      <c r="G1361" s="2370"/>
      <c r="H1361" s="2361">
        <f>SUBTOTAL(9,H1362:H1374)</f>
        <v>26596.909999999996</v>
      </c>
      <c r="I1361" s="2371"/>
      <c r="J1361" s="2372"/>
      <c r="K1361" s="2555"/>
      <c r="L1361" s="2539">
        <f>SUBTOTAL(9,L1362:L1374)</f>
        <v>0</v>
      </c>
      <c r="M1361" s="2361">
        <f>SUBTOTAL(9,M1362:M1374)</f>
        <v>0</v>
      </c>
      <c r="N1361" s="2361">
        <f>SUBTOTAL(9,N1362:N1374)</f>
        <v>0</v>
      </c>
      <c r="O1361" s="2361">
        <f>SUBTOTAL(9,O1362:O1374)</f>
        <v>26596.909999999996</v>
      </c>
      <c r="P1361" s="2295">
        <f t="shared" si="281"/>
        <v>1</v>
      </c>
    </row>
    <row r="1362" spans="1:16" ht="30">
      <c r="A1362" s="2270" t="s">
        <v>14003</v>
      </c>
      <c r="B1362" s="2228">
        <f>VLOOKUP($A1362,'15 - QT_BCE'!$A:$F,2,0)</f>
        <v>96527</v>
      </c>
      <c r="C1362" s="2228" t="str">
        <f>VLOOKUP($A1362,'15 - QT_BCE'!$A:$F,3,0)</f>
        <v>SINAPI</v>
      </c>
      <c r="D1362" s="2375" t="s">
        <v>10512</v>
      </c>
      <c r="E1362" s="2243" t="str">
        <f>IFERROR(VLOOKUP($B1362,'24.08_ND'!$1:$1048529,3,0),IFERROR(VLOOKUP($B1362,'03-CP'!$C$1:$H$6260,3,0),""))</f>
        <v>M3</v>
      </c>
      <c r="F1362" s="2230">
        <v>23.87</v>
      </c>
      <c r="G1362" s="2232">
        <v>110.61</v>
      </c>
      <c r="H1362" s="2302">
        <f t="shared" ref="H1362:H1374" si="286">TRUNC((G1362*F1362),2)</f>
        <v>2640.26</v>
      </c>
      <c r="I1362" s="2328"/>
      <c r="J1362" s="2237"/>
      <c r="K1362" s="2411"/>
      <c r="L1362" s="2533">
        <f>M1362+N1362</f>
        <v>0</v>
      </c>
      <c r="M1362" s="2238">
        <v>0</v>
      </c>
      <c r="N1362" s="2239">
        <f>TRUNC(H1362*K1362,2)</f>
        <v>0</v>
      </c>
      <c r="O1362" s="2498">
        <f t="shared" ref="O1362:O1374" si="287">H1362-L1362</f>
        <v>2640.26</v>
      </c>
      <c r="P1362" s="2295">
        <f t="shared" si="281"/>
        <v>1</v>
      </c>
    </row>
    <row r="1363" spans="1:16" ht="30">
      <c r="A1363" s="2270" t="s">
        <v>14004</v>
      </c>
      <c r="B1363" s="2228">
        <f>VLOOKUP($A1363,'15 - QT_BCE'!$A:$F,2,0)</f>
        <v>101616</v>
      </c>
      <c r="C1363" s="2228" t="str">
        <f>VLOOKUP($A1363,'15 - QT_BCE'!$A:$F,3,0)</f>
        <v>SINAPI</v>
      </c>
      <c r="D1363" s="2375" t="s">
        <v>10747</v>
      </c>
      <c r="E1363" s="2243" t="str">
        <f>IFERROR(VLOOKUP($B1363,'24.08_ND'!$1:$1048529,3,0),IFERROR(VLOOKUP($B1363,'03-CP'!$C$1:$H$6260,3,0),""))</f>
        <v>M2</v>
      </c>
      <c r="F1363" s="2230">
        <v>13.75</v>
      </c>
      <c r="G1363" s="2232">
        <v>6.71</v>
      </c>
      <c r="H1363" s="2302">
        <f t="shared" si="286"/>
        <v>92.26</v>
      </c>
      <c r="I1363" s="2287"/>
      <c r="J1363" s="2231"/>
      <c r="K1363" s="2412"/>
      <c r="L1363" s="2536"/>
      <c r="M1363" s="2232"/>
      <c r="N1363" s="2239"/>
      <c r="O1363" s="2498">
        <f t="shared" si="287"/>
        <v>92.26</v>
      </c>
      <c r="P1363" s="2295">
        <f t="shared" si="281"/>
        <v>1</v>
      </c>
    </row>
    <row r="1364" spans="1:16" ht="30">
      <c r="A1364" s="2270" t="s">
        <v>14005</v>
      </c>
      <c r="B1364" s="2228">
        <f>VLOOKUP($A1364,'15 - QT_BCE'!$A:$F,2,0)</f>
        <v>96621</v>
      </c>
      <c r="C1364" s="2228" t="str">
        <f>VLOOKUP($A1364,'15 - QT_BCE'!$A:$F,3,0)</f>
        <v>SINAPI</v>
      </c>
      <c r="D1364" s="2375" t="s">
        <v>7167</v>
      </c>
      <c r="E1364" s="2243" t="str">
        <f>IFERROR(VLOOKUP($B1364,'24.08_ND'!$1:$1048529,3,0),IFERROR(VLOOKUP($B1364,'03-CP'!$C$1:$H$6260,3,0),""))</f>
        <v>M3</v>
      </c>
      <c r="F1364" s="2230">
        <v>0.69</v>
      </c>
      <c r="G1364" s="2232">
        <v>325.81</v>
      </c>
      <c r="H1364" s="2302">
        <f t="shared" si="286"/>
        <v>224.8</v>
      </c>
      <c r="I1364" s="2287"/>
      <c r="J1364" s="2231"/>
      <c r="K1364" s="2412"/>
      <c r="L1364" s="2536"/>
      <c r="M1364" s="2232"/>
      <c r="N1364" s="2239"/>
      <c r="O1364" s="2498">
        <f t="shared" si="287"/>
        <v>224.8</v>
      </c>
      <c r="P1364" s="2295">
        <f t="shared" si="281"/>
        <v>1</v>
      </c>
    </row>
    <row r="1365" spans="1:16" ht="30">
      <c r="A1365" s="2270" t="s">
        <v>14006</v>
      </c>
      <c r="B1365" s="2228">
        <f>VLOOKUP($A1365,'15 - QT_BCE'!$A:$F,2,0)</f>
        <v>96536</v>
      </c>
      <c r="C1365" s="2228" t="str">
        <f>VLOOKUP($A1365,'15 - QT_BCE'!$A:$F,3,0)</f>
        <v>SINAPI</v>
      </c>
      <c r="D1365" s="2375" t="s">
        <v>7302</v>
      </c>
      <c r="E1365" s="2243" t="str">
        <f>IFERROR(VLOOKUP($B1365,'24.08_ND'!$1:$1048529,3,0),IFERROR(VLOOKUP($B1365,'03-CP'!$C$1:$H$6260,3,0),""))</f>
        <v>M2</v>
      </c>
      <c r="F1365" s="2230">
        <v>78.569999999999993</v>
      </c>
      <c r="G1365" s="2232">
        <v>81.7</v>
      </c>
      <c r="H1365" s="2302">
        <f t="shared" si="286"/>
        <v>6419.16</v>
      </c>
      <c r="I1365" s="2287"/>
      <c r="J1365" s="2231"/>
      <c r="K1365" s="2412"/>
      <c r="L1365" s="2536"/>
      <c r="M1365" s="2232"/>
      <c r="N1365" s="2239"/>
      <c r="O1365" s="2498">
        <f t="shared" si="287"/>
        <v>6419.16</v>
      </c>
      <c r="P1365" s="2295">
        <f t="shared" si="281"/>
        <v>1</v>
      </c>
    </row>
    <row r="1366" spans="1:16" ht="30">
      <c r="A1366" s="2270" t="s">
        <v>14007</v>
      </c>
      <c r="B1366" s="2228">
        <f>VLOOKUP($A1366,'15 - QT_BCE'!$A:$F,2,0)</f>
        <v>104916</v>
      </c>
      <c r="C1366" s="2228" t="str">
        <f>VLOOKUP($A1366,'15 - QT_BCE'!$A:$F,3,0)</f>
        <v>SINAPI</v>
      </c>
      <c r="D1366" s="2375" t="s">
        <v>7596</v>
      </c>
      <c r="E1366" s="2243" t="str">
        <f>IFERROR(VLOOKUP($B1366,'24.08_ND'!$1:$1048529,3,0),IFERROR(VLOOKUP($B1366,'03-CP'!$C$1:$H$6260,3,0),""))</f>
        <v>KG</v>
      </c>
      <c r="F1366" s="2230">
        <v>74.2</v>
      </c>
      <c r="G1366" s="2232">
        <v>19.850000000000001</v>
      </c>
      <c r="H1366" s="2302">
        <f t="shared" si="286"/>
        <v>1472.87</v>
      </c>
      <c r="I1366" s="2287"/>
      <c r="J1366" s="2231"/>
      <c r="K1366" s="2412"/>
      <c r="L1366" s="2536"/>
      <c r="M1366" s="2232"/>
      <c r="N1366" s="2239"/>
      <c r="O1366" s="2498">
        <f t="shared" si="287"/>
        <v>1472.87</v>
      </c>
      <c r="P1366" s="2295">
        <f t="shared" si="281"/>
        <v>1</v>
      </c>
    </row>
    <row r="1367" spans="1:16" ht="30">
      <c r="A1367" s="2270" t="s">
        <v>14008</v>
      </c>
      <c r="B1367" s="2228">
        <f>VLOOKUP($A1367,'15 - QT_BCE'!$A:$F,2,0)</f>
        <v>104917</v>
      </c>
      <c r="C1367" s="2228" t="str">
        <f>VLOOKUP($A1367,'15 - QT_BCE'!$A:$F,3,0)</f>
        <v>SINAPI</v>
      </c>
      <c r="D1367" s="2375" t="s">
        <v>7514</v>
      </c>
      <c r="E1367" s="2243" t="str">
        <f>IFERROR(VLOOKUP($B1367,'24.08_ND'!$1:$1048529,3,0),IFERROR(VLOOKUP($B1367,'03-CP'!$C$1:$H$6260,3,0),""))</f>
        <v>KG</v>
      </c>
      <c r="F1367" s="2230">
        <v>1.7</v>
      </c>
      <c r="G1367" s="2232">
        <v>18.78</v>
      </c>
      <c r="H1367" s="2302">
        <f t="shared" si="286"/>
        <v>31.92</v>
      </c>
      <c r="I1367" s="2287"/>
      <c r="J1367" s="2231"/>
      <c r="K1367" s="2412"/>
      <c r="L1367" s="2536"/>
      <c r="M1367" s="2232"/>
      <c r="N1367" s="2239"/>
      <c r="O1367" s="2498">
        <f t="shared" si="287"/>
        <v>31.92</v>
      </c>
      <c r="P1367" s="2295">
        <f t="shared" si="281"/>
        <v>1</v>
      </c>
    </row>
    <row r="1368" spans="1:16" ht="30">
      <c r="A1368" s="2270" t="s">
        <v>14009</v>
      </c>
      <c r="B1368" s="2228">
        <f>VLOOKUP($A1368,'15 - QT_BCE'!$A:$F,2,0)</f>
        <v>104918</v>
      </c>
      <c r="C1368" s="2228" t="str">
        <f>VLOOKUP($A1368,'15 - QT_BCE'!$A:$F,3,0)</f>
        <v>SINAPI</v>
      </c>
      <c r="D1368" s="2375" t="s">
        <v>7515</v>
      </c>
      <c r="E1368" s="2243" t="str">
        <f>IFERROR(VLOOKUP($B1368,'24.08_ND'!$1:$1048529,3,0),IFERROR(VLOOKUP($B1368,'03-CP'!$C$1:$H$6260,3,0),""))</f>
        <v>KG</v>
      </c>
      <c r="F1368" s="2230">
        <v>90.8</v>
      </c>
      <c r="G1368" s="2232">
        <v>17.68</v>
      </c>
      <c r="H1368" s="2302">
        <f t="shared" si="286"/>
        <v>1605.34</v>
      </c>
      <c r="I1368" s="2287"/>
      <c r="J1368" s="2231"/>
      <c r="K1368" s="2412"/>
      <c r="L1368" s="2536"/>
      <c r="M1368" s="2232"/>
      <c r="N1368" s="2239"/>
      <c r="O1368" s="2498">
        <f t="shared" si="287"/>
        <v>1605.34</v>
      </c>
      <c r="P1368" s="2295">
        <f t="shared" si="281"/>
        <v>1</v>
      </c>
    </row>
    <row r="1369" spans="1:16" ht="30">
      <c r="A1369" s="2270" t="s">
        <v>14010</v>
      </c>
      <c r="B1369" s="2228">
        <f>VLOOKUP($A1369,'15 - QT_BCE'!$A:$F,2,0)</f>
        <v>104919</v>
      </c>
      <c r="C1369" s="2228" t="str">
        <f>VLOOKUP($A1369,'15 - QT_BCE'!$A:$F,3,0)</f>
        <v>SINAPI</v>
      </c>
      <c r="D1369" s="2375" t="s">
        <v>7516</v>
      </c>
      <c r="E1369" s="2243" t="str">
        <f>IFERROR(VLOOKUP($B1369,'24.08_ND'!$1:$1048529,3,0),IFERROR(VLOOKUP($B1369,'03-CP'!$C$1:$H$6260,3,0),""))</f>
        <v>KG</v>
      </c>
      <c r="F1369" s="2230">
        <v>167.4</v>
      </c>
      <c r="G1369" s="2232">
        <v>15.88</v>
      </c>
      <c r="H1369" s="2302">
        <f t="shared" si="286"/>
        <v>2658.31</v>
      </c>
      <c r="I1369" s="2287"/>
      <c r="J1369" s="2231"/>
      <c r="K1369" s="2412"/>
      <c r="L1369" s="2536"/>
      <c r="M1369" s="2232"/>
      <c r="N1369" s="2239"/>
      <c r="O1369" s="2498">
        <f t="shared" si="287"/>
        <v>2658.31</v>
      </c>
      <c r="P1369" s="2295">
        <f t="shared" si="281"/>
        <v>1</v>
      </c>
    </row>
    <row r="1370" spans="1:16" ht="45">
      <c r="A1370" s="2270" t="s">
        <v>14011</v>
      </c>
      <c r="B1370" s="2228">
        <f>VLOOKUP($A1370,'15 - QT_BCE'!$A:$F,2,0)</f>
        <v>96557</v>
      </c>
      <c r="C1370" s="2228" t="str">
        <f>VLOOKUP($A1370,'15 - QT_BCE'!$A:$F,3,0)</f>
        <v>SINAPI</v>
      </c>
      <c r="D1370" s="2375" t="s">
        <v>7547</v>
      </c>
      <c r="E1370" s="2243" t="str">
        <f>IFERROR(VLOOKUP($B1370,'24.08_ND'!$1:$1048529,3,0),IFERROR(VLOOKUP($B1370,'03-CP'!$C$1:$H$6260,3,0),""))</f>
        <v>M3</v>
      </c>
      <c r="F1370" s="2230">
        <v>5.5</v>
      </c>
      <c r="G1370" s="2232">
        <v>1106.98</v>
      </c>
      <c r="H1370" s="2302">
        <f t="shared" si="286"/>
        <v>6088.39</v>
      </c>
      <c r="I1370" s="2287"/>
      <c r="J1370" s="2231"/>
      <c r="K1370" s="2412"/>
      <c r="L1370" s="2536"/>
      <c r="M1370" s="2232"/>
      <c r="N1370" s="2239"/>
      <c r="O1370" s="2498">
        <f t="shared" si="287"/>
        <v>6088.39</v>
      </c>
      <c r="P1370" s="2295">
        <f t="shared" si="281"/>
        <v>1</v>
      </c>
    </row>
    <row r="1371" spans="1:16" ht="30">
      <c r="A1371" s="2271" t="s">
        <v>14012</v>
      </c>
      <c r="B1371" s="2228">
        <f>VLOOKUP($A1371,'15 - QT_BCE'!$A:$F,2,0)</f>
        <v>93382</v>
      </c>
      <c r="C1371" s="2228" t="str">
        <f>VLOOKUP($A1371,'15 - QT_BCE'!$A:$F,3,0)</f>
        <v>SINAPI</v>
      </c>
      <c r="D1371" s="2375" t="s">
        <v>10726</v>
      </c>
      <c r="E1371" s="2243" t="str">
        <f>IFERROR(VLOOKUP($B1371,'24.08_ND'!$1:$1048529,3,0),IFERROR(VLOOKUP($B1371,'03-CP'!$C$1:$H$6260,3,0),""))</f>
        <v>M3</v>
      </c>
      <c r="F1371" s="2230">
        <v>20.207000000000004</v>
      </c>
      <c r="G1371" s="2232">
        <v>26.88</v>
      </c>
      <c r="H1371" s="2302">
        <f t="shared" si="286"/>
        <v>543.16</v>
      </c>
      <c r="I1371" s="2287"/>
      <c r="J1371" s="2231"/>
      <c r="K1371" s="2412"/>
      <c r="L1371" s="2536"/>
      <c r="M1371" s="2232"/>
      <c r="N1371" s="2239"/>
      <c r="O1371" s="2498">
        <f t="shared" si="287"/>
        <v>543.16</v>
      </c>
      <c r="P1371" s="2295">
        <f t="shared" si="281"/>
        <v>1</v>
      </c>
    </row>
    <row r="1372" spans="1:16" ht="45">
      <c r="A1372" s="2271" t="s">
        <v>14013</v>
      </c>
      <c r="B1372" s="2228">
        <f>VLOOKUP($A1372,'15 - QT_BCE'!$A:$F,2,0)</f>
        <v>100978</v>
      </c>
      <c r="C1372" s="2228" t="str">
        <f>VLOOKUP($A1372,'15 - QT_BCE'!$A:$F,3,0)</f>
        <v>SINAPI</v>
      </c>
      <c r="D1372" s="2375" t="s">
        <v>11981</v>
      </c>
      <c r="E1372" s="2243" t="str">
        <f>IFERROR(VLOOKUP($B1372,'24.08_ND'!$1:$1048529,3,0),IFERROR(VLOOKUP($B1372,'03-CP'!$C$1:$H$6260,3,0),""))</f>
        <v>M3</v>
      </c>
      <c r="F1372" s="2230">
        <v>13.210999999999995</v>
      </c>
      <c r="G1372" s="2232">
        <v>7.88</v>
      </c>
      <c r="H1372" s="2302">
        <f t="shared" si="286"/>
        <v>104.1</v>
      </c>
      <c r="I1372" s="2287"/>
      <c r="J1372" s="2231"/>
      <c r="K1372" s="2412"/>
      <c r="L1372" s="2536"/>
      <c r="M1372" s="2232"/>
      <c r="N1372" s="2239"/>
      <c r="O1372" s="2498">
        <f t="shared" si="287"/>
        <v>104.1</v>
      </c>
      <c r="P1372" s="2295">
        <f t="shared" si="281"/>
        <v>1</v>
      </c>
    </row>
    <row r="1373" spans="1:16" ht="30">
      <c r="A1373" s="2271" t="s">
        <v>14014</v>
      </c>
      <c r="B1373" s="2228">
        <f>VLOOKUP($A1373,'15 - QT_BCE'!$A:$F,2,0)</f>
        <v>100938</v>
      </c>
      <c r="C1373" s="2228" t="str">
        <f>VLOOKUP($A1373,'15 - QT_BCE'!$A:$F,3,0)</f>
        <v>SINAPI</v>
      </c>
      <c r="D1373" s="2375" t="s">
        <v>11938</v>
      </c>
      <c r="E1373" s="2243" t="str">
        <f>IFERROR(VLOOKUP($B1373,'24.08_ND'!$1:$1048529,3,0),IFERROR(VLOOKUP($B1373,'03-CP'!$C$1:$H$6260,3,0),""))</f>
        <v>M3XKM</v>
      </c>
      <c r="F1373" s="2230">
        <v>26.42199999999999</v>
      </c>
      <c r="G1373" s="2232">
        <v>8.6199999999999992</v>
      </c>
      <c r="H1373" s="2302">
        <f t="shared" si="286"/>
        <v>227.75</v>
      </c>
      <c r="I1373" s="2287"/>
      <c r="J1373" s="2231"/>
      <c r="K1373" s="2412"/>
      <c r="L1373" s="2536"/>
      <c r="M1373" s="2232"/>
      <c r="N1373" s="2239"/>
      <c r="O1373" s="2498">
        <f t="shared" si="287"/>
        <v>227.75</v>
      </c>
      <c r="P1373" s="2295">
        <f t="shared" si="281"/>
        <v>1</v>
      </c>
    </row>
    <row r="1374" spans="1:16" ht="30">
      <c r="A1374" s="2271" t="s">
        <v>14015</v>
      </c>
      <c r="B1374" s="2228">
        <f>VLOOKUP($A1374,'15 - QT_BCE'!$A:$F,2,0)</f>
        <v>98557</v>
      </c>
      <c r="C1374" s="2228" t="str">
        <f>VLOOKUP($A1374,'15 - QT_BCE'!$A:$F,3,0)</f>
        <v>SINAPI</v>
      </c>
      <c r="D1374" s="2375" t="s">
        <v>7741</v>
      </c>
      <c r="E1374" s="2243" t="str">
        <f>IFERROR(VLOOKUP($B1374,'24.08_ND'!$1:$1048529,3,0),IFERROR(VLOOKUP($B1374,'03-CP'!$C$1:$H$6260,3,0),""))</f>
        <v>M2</v>
      </c>
      <c r="F1374" s="2230">
        <v>92.32</v>
      </c>
      <c r="G1374" s="2232">
        <v>48.62</v>
      </c>
      <c r="H1374" s="2302">
        <f t="shared" si="286"/>
        <v>4488.59</v>
      </c>
      <c r="I1374" s="2287"/>
      <c r="J1374" s="2231"/>
      <c r="K1374" s="2412"/>
      <c r="L1374" s="2536"/>
      <c r="M1374" s="2232"/>
      <c r="N1374" s="2239"/>
      <c r="O1374" s="2498">
        <f t="shared" si="287"/>
        <v>4488.59</v>
      </c>
      <c r="P1374" s="2295">
        <f t="shared" si="281"/>
        <v>1</v>
      </c>
    </row>
    <row r="1375" spans="1:16">
      <c r="A1375" s="2273" t="s">
        <v>14016</v>
      </c>
      <c r="B1375" s="2397"/>
      <c r="C1375" s="2401"/>
      <c r="D1375" s="2380" t="s">
        <v>16217</v>
      </c>
      <c r="E1375" s="2368"/>
      <c r="F1375" s="2369"/>
      <c r="G1375" s="2370"/>
      <c r="H1375" s="2361">
        <f>SUBTOTAL(9,H1376:H1381)</f>
        <v>22524.59</v>
      </c>
      <c r="I1375" s="2371"/>
      <c r="J1375" s="2372"/>
      <c r="K1375" s="2555"/>
      <c r="L1375" s="2539">
        <f>SUBTOTAL(9,L1376:L1381)</f>
        <v>0</v>
      </c>
      <c r="M1375" s="2361">
        <f>SUBTOTAL(9,M1376:M1381)</f>
        <v>0</v>
      </c>
      <c r="N1375" s="2361">
        <f>SUBTOTAL(9,N1376:N1381)</f>
        <v>0</v>
      </c>
      <c r="O1375" s="2361">
        <f>SUBTOTAL(9,O1376:O1381)</f>
        <v>22524.59</v>
      </c>
      <c r="P1375" s="2295">
        <f t="shared" si="281"/>
        <v>1</v>
      </c>
    </row>
    <row r="1376" spans="1:16" ht="45">
      <c r="A1376" s="2271" t="s">
        <v>14017</v>
      </c>
      <c r="B1376" s="2228">
        <f>VLOOKUP($A1376,'15 - QT_BCE'!$A:$F,2,0)</f>
        <v>92431</v>
      </c>
      <c r="C1376" s="2228" t="str">
        <f>VLOOKUP($A1376,'15 - QT_BCE'!$A:$F,3,0)</f>
        <v>SINAPI</v>
      </c>
      <c r="D1376" s="2375" t="s">
        <v>7221</v>
      </c>
      <c r="E1376" s="2243" t="str">
        <f>IFERROR(VLOOKUP($B1376,'24.08_ND'!$1:$1048529,3,0),IFERROR(VLOOKUP($B1376,'03-CP'!$C$1:$H$6260,3,0),""))</f>
        <v>M2</v>
      </c>
      <c r="F1376" s="2230">
        <v>96.34</v>
      </c>
      <c r="G1376" s="2232">
        <v>83.57</v>
      </c>
      <c r="H1376" s="2302">
        <f t="shared" ref="H1376:H1381" si="288">TRUNC((G1376*F1376),2)</f>
        <v>8051.13</v>
      </c>
      <c r="I1376" s="2328"/>
      <c r="J1376" s="2237"/>
      <c r="K1376" s="2411"/>
      <c r="L1376" s="2533">
        <f>M1376+N1376</f>
        <v>0</v>
      </c>
      <c r="M1376" s="2238">
        <v>0</v>
      </c>
      <c r="N1376" s="2239">
        <f>TRUNC(H1376*K1376,2)</f>
        <v>0</v>
      </c>
      <c r="O1376" s="2498">
        <f t="shared" ref="O1376:O1381" si="289">H1376-L1376</f>
        <v>8051.13</v>
      </c>
      <c r="P1376" s="2295">
        <f t="shared" si="281"/>
        <v>1</v>
      </c>
    </row>
    <row r="1377" spans="1:16" ht="30">
      <c r="A1377" s="2271" t="s">
        <v>14018</v>
      </c>
      <c r="B1377" s="2228">
        <f>VLOOKUP($A1377,'15 - QT_BCE'!$A:$F,2,0)</f>
        <v>92759</v>
      </c>
      <c r="C1377" s="2228" t="str">
        <f>VLOOKUP($A1377,'15 - QT_BCE'!$A:$F,3,0)</f>
        <v>SINAPI</v>
      </c>
      <c r="D1377" s="2375" t="s">
        <v>7428</v>
      </c>
      <c r="E1377" s="2243" t="str">
        <f>IFERROR(VLOOKUP($B1377,'24.08_ND'!$1:$1048529,3,0),IFERROR(VLOOKUP($B1377,'03-CP'!$C$1:$H$6260,3,0),""))</f>
        <v>KG</v>
      </c>
      <c r="F1377" s="2230">
        <v>128.69999999999999</v>
      </c>
      <c r="G1377" s="2232">
        <v>17.100000000000001</v>
      </c>
      <c r="H1377" s="2302">
        <f t="shared" si="288"/>
        <v>2200.77</v>
      </c>
      <c r="I1377" s="2287"/>
      <c r="J1377" s="2231"/>
      <c r="K1377" s="2412"/>
      <c r="L1377" s="2536"/>
      <c r="M1377" s="2232"/>
      <c r="N1377" s="2239"/>
      <c r="O1377" s="2498">
        <f t="shared" si="289"/>
        <v>2200.77</v>
      </c>
      <c r="P1377" s="2295">
        <f t="shared" si="281"/>
        <v>1</v>
      </c>
    </row>
    <row r="1378" spans="1:16" ht="30">
      <c r="A1378" s="2271" t="s">
        <v>14019</v>
      </c>
      <c r="B1378" s="2228">
        <f>VLOOKUP($A1378,'15 - QT_BCE'!$A:$F,2,0)</f>
        <v>92762</v>
      </c>
      <c r="C1378" s="2228" t="str">
        <f>VLOOKUP($A1378,'15 - QT_BCE'!$A:$F,3,0)</f>
        <v>SINAPI</v>
      </c>
      <c r="D1378" s="2375" t="s">
        <v>7431</v>
      </c>
      <c r="E1378" s="2243" t="str">
        <f>IFERROR(VLOOKUP($B1378,'24.08_ND'!$1:$1048529,3,0),IFERROR(VLOOKUP($B1378,'03-CP'!$C$1:$H$6260,3,0),""))</f>
        <v>KG</v>
      </c>
      <c r="F1378" s="2230">
        <v>204.7</v>
      </c>
      <c r="G1378" s="2232">
        <v>14.11</v>
      </c>
      <c r="H1378" s="2302">
        <f t="shared" si="288"/>
        <v>2888.31</v>
      </c>
      <c r="I1378" s="2287"/>
      <c r="J1378" s="2231"/>
      <c r="K1378" s="2412"/>
      <c r="L1378" s="2536"/>
      <c r="M1378" s="2232"/>
      <c r="N1378" s="2239"/>
      <c r="O1378" s="2498">
        <f t="shared" si="289"/>
        <v>2888.31</v>
      </c>
      <c r="P1378" s="2295">
        <f t="shared" si="281"/>
        <v>1</v>
      </c>
    </row>
    <row r="1379" spans="1:16" ht="30">
      <c r="A1379" s="2271" t="s">
        <v>14020</v>
      </c>
      <c r="B1379" s="2228">
        <f>VLOOKUP($A1379,'15 - QT_BCE'!$A:$F,2,0)</f>
        <v>92763</v>
      </c>
      <c r="C1379" s="2228" t="str">
        <f>VLOOKUP($A1379,'15 - QT_BCE'!$A:$F,3,0)</f>
        <v>SINAPI</v>
      </c>
      <c r="D1379" s="2375" t="s">
        <v>7432</v>
      </c>
      <c r="E1379" s="2243" t="str">
        <f>IFERROR(VLOOKUP($B1379,'24.08_ND'!$1:$1048529,3,0),IFERROR(VLOOKUP($B1379,'03-CP'!$C$1:$H$6260,3,0),""))</f>
        <v>KG</v>
      </c>
      <c r="F1379" s="2230">
        <v>154.4</v>
      </c>
      <c r="G1379" s="2232">
        <v>11.93</v>
      </c>
      <c r="H1379" s="2302">
        <f t="shared" si="288"/>
        <v>1841.99</v>
      </c>
      <c r="I1379" s="2287"/>
      <c r="J1379" s="2231"/>
      <c r="K1379" s="2412"/>
      <c r="L1379" s="2536"/>
      <c r="M1379" s="2232"/>
      <c r="N1379" s="2239"/>
      <c r="O1379" s="2498">
        <f t="shared" si="289"/>
        <v>1841.99</v>
      </c>
      <c r="P1379" s="2295">
        <f t="shared" si="281"/>
        <v>1</v>
      </c>
    </row>
    <row r="1380" spans="1:16" ht="30">
      <c r="A1380" s="2271" t="s">
        <v>14021</v>
      </c>
      <c r="B1380" s="2228">
        <f>VLOOKUP($A1380,'15 - QT_BCE'!$A:$F,2,0)</f>
        <v>92764</v>
      </c>
      <c r="C1380" s="2228" t="str">
        <f>VLOOKUP($A1380,'15 - QT_BCE'!$A:$F,3,0)</f>
        <v>SINAPI</v>
      </c>
      <c r="D1380" s="2375" t="s">
        <v>7433</v>
      </c>
      <c r="E1380" s="2243" t="str">
        <f>IFERROR(VLOOKUP($B1380,'24.08_ND'!$1:$1048529,3,0),IFERROR(VLOOKUP($B1380,'03-CP'!$C$1:$H$6260,3,0),""))</f>
        <v>KG</v>
      </c>
      <c r="F1380" s="2230">
        <v>178.8</v>
      </c>
      <c r="G1380" s="2232">
        <v>11.6</v>
      </c>
      <c r="H1380" s="2302">
        <f t="shared" si="288"/>
        <v>2074.08</v>
      </c>
      <c r="I1380" s="2287"/>
      <c r="J1380" s="2231"/>
      <c r="K1380" s="2412"/>
      <c r="L1380" s="2536"/>
      <c r="M1380" s="2232"/>
      <c r="N1380" s="2239"/>
      <c r="O1380" s="2498">
        <f t="shared" si="289"/>
        <v>2074.08</v>
      </c>
      <c r="P1380" s="2295">
        <f t="shared" si="281"/>
        <v>1</v>
      </c>
    </row>
    <row r="1381" spans="1:16" ht="30">
      <c r="A1381" s="2271" t="s">
        <v>14022</v>
      </c>
      <c r="B1381" s="2228" t="str">
        <f>VLOOKUP($A1381,'15 - QT_BCE'!$A:$F,2,0)</f>
        <v>PS-CP-EST-13</v>
      </c>
      <c r="C1381" s="2228" t="str">
        <f>VLOOKUP($A1381,'15 - QT_BCE'!$A:$F,3,0)</f>
        <v>PRÓPRIA</v>
      </c>
      <c r="D1381" s="2375" t="s">
        <v>14621</v>
      </c>
      <c r="E1381" s="2243" t="str">
        <f>IFERROR(VLOOKUP($B1381,'24.08_ND'!$1:$1048529,3,0),IFERROR(VLOOKUP($B1381,'03-CP'!$C$1:$H$6260,3,0),""))</f>
        <v>M3</v>
      </c>
      <c r="F1381" s="2230">
        <v>4.71</v>
      </c>
      <c r="G1381" s="2232">
        <v>1161</v>
      </c>
      <c r="H1381" s="2302">
        <f t="shared" si="288"/>
        <v>5468.31</v>
      </c>
      <c r="I1381" s="2287"/>
      <c r="J1381" s="2231"/>
      <c r="K1381" s="2412"/>
      <c r="L1381" s="2536"/>
      <c r="M1381" s="2232"/>
      <c r="N1381" s="2239"/>
      <c r="O1381" s="2498">
        <f t="shared" si="289"/>
        <v>5468.31</v>
      </c>
      <c r="P1381" s="2295">
        <f t="shared" si="281"/>
        <v>1</v>
      </c>
    </row>
    <row r="1382" spans="1:16">
      <c r="A1382" s="2273" t="s">
        <v>14023</v>
      </c>
      <c r="B1382" s="2397"/>
      <c r="C1382" s="2401"/>
      <c r="D1382" s="2380" t="s">
        <v>16550</v>
      </c>
      <c r="E1382" s="2368"/>
      <c r="F1382" s="2369"/>
      <c r="G1382" s="2370"/>
      <c r="H1382" s="2361">
        <f>SUBTOTAL(9,H1383:H1390)</f>
        <v>67407.149999999994</v>
      </c>
      <c r="I1382" s="2371"/>
      <c r="J1382" s="2372"/>
      <c r="K1382" s="2555"/>
      <c r="L1382" s="2539">
        <f>SUBTOTAL(9,L1383:L1390)</f>
        <v>0</v>
      </c>
      <c r="M1382" s="2361">
        <f>SUBTOTAL(9,M1383:M1390)</f>
        <v>0</v>
      </c>
      <c r="N1382" s="2361">
        <f>SUBTOTAL(9,N1383:N1390)</f>
        <v>0</v>
      </c>
      <c r="O1382" s="2361">
        <f>SUBTOTAL(9,O1383:O1390)</f>
        <v>67407.149999999994</v>
      </c>
      <c r="P1382" s="2295">
        <f t="shared" si="281"/>
        <v>1</v>
      </c>
    </row>
    <row r="1383" spans="1:16" ht="45">
      <c r="A1383" s="2271" t="s">
        <v>14024</v>
      </c>
      <c r="B1383" s="2228">
        <f>VLOOKUP($A1383,'15 - QT_BCE'!$A:$F,2,0)</f>
        <v>92466</v>
      </c>
      <c r="C1383" s="2228" t="str">
        <f>VLOOKUP($A1383,'15 - QT_BCE'!$A:$F,3,0)</f>
        <v>SINAPI</v>
      </c>
      <c r="D1383" s="2375" t="s">
        <v>7249</v>
      </c>
      <c r="E1383" s="2243" t="str">
        <f>IFERROR(VLOOKUP($B1383,'24.08_ND'!$1:$1048529,3,0),IFERROR(VLOOKUP($B1383,'03-CP'!$C$1:$H$6260,3,0),""))</f>
        <v>M2</v>
      </c>
      <c r="F1383" s="2230">
        <v>131.62</v>
      </c>
      <c r="G1383" s="2232">
        <v>362.46</v>
      </c>
      <c r="H1383" s="2302">
        <f t="shared" ref="H1383:H1390" si="290">TRUNC((G1383*F1383),2)</f>
        <v>47706.98</v>
      </c>
      <c r="I1383" s="2328"/>
      <c r="J1383" s="2237"/>
      <c r="K1383" s="2411"/>
      <c r="L1383" s="2533">
        <f>M1383+N1383</f>
        <v>0</v>
      </c>
      <c r="M1383" s="2238">
        <v>0</v>
      </c>
      <c r="N1383" s="2239">
        <f>TRUNC(H1383*K1383,2)</f>
        <v>0</v>
      </c>
      <c r="O1383" s="2498">
        <f t="shared" ref="O1383:O1390" si="291">H1383-L1383</f>
        <v>47706.98</v>
      </c>
      <c r="P1383" s="2295">
        <f t="shared" si="281"/>
        <v>1</v>
      </c>
    </row>
    <row r="1384" spans="1:16" ht="30">
      <c r="A1384" s="2271" t="s">
        <v>14025</v>
      </c>
      <c r="B1384" s="2228">
        <f>VLOOKUP($A1384,'15 - QT_BCE'!$A:$F,2,0)</f>
        <v>92759</v>
      </c>
      <c r="C1384" s="2228" t="str">
        <f>VLOOKUP($A1384,'15 - QT_BCE'!$A:$F,3,0)</f>
        <v>SINAPI</v>
      </c>
      <c r="D1384" s="2375" t="s">
        <v>7428</v>
      </c>
      <c r="E1384" s="2243" t="str">
        <f>IFERROR(VLOOKUP($B1384,'24.08_ND'!$1:$1048529,3,0),IFERROR(VLOOKUP($B1384,'03-CP'!$C$1:$H$6260,3,0),""))</f>
        <v>KG</v>
      </c>
      <c r="F1384" s="2230">
        <v>63.2</v>
      </c>
      <c r="G1384" s="2232">
        <v>17.100000000000001</v>
      </c>
      <c r="H1384" s="2302">
        <f t="shared" si="290"/>
        <v>1080.72</v>
      </c>
      <c r="I1384" s="2287"/>
      <c r="J1384" s="2231"/>
      <c r="K1384" s="2412"/>
      <c r="L1384" s="2536"/>
      <c r="M1384" s="2232"/>
      <c r="N1384" s="2239"/>
      <c r="O1384" s="2498">
        <f t="shared" si="291"/>
        <v>1080.72</v>
      </c>
      <c r="P1384" s="2295">
        <f t="shared" si="281"/>
        <v>1</v>
      </c>
    </row>
    <row r="1385" spans="1:16" ht="30">
      <c r="A1385" s="2271" t="s">
        <v>14026</v>
      </c>
      <c r="B1385" s="2228">
        <f>VLOOKUP($A1385,'15 - QT_BCE'!$A:$F,2,0)</f>
        <v>92760</v>
      </c>
      <c r="C1385" s="2228" t="str">
        <f>VLOOKUP($A1385,'15 - QT_BCE'!$A:$F,3,0)</f>
        <v>SINAPI</v>
      </c>
      <c r="D1385" s="2375" t="s">
        <v>7429</v>
      </c>
      <c r="E1385" s="2243" t="str">
        <f>IFERROR(VLOOKUP($B1385,'24.08_ND'!$1:$1048529,3,0),IFERROR(VLOOKUP($B1385,'03-CP'!$C$1:$H$6260,3,0),""))</f>
        <v>KG</v>
      </c>
      <c r="F1385" s="2230">
        <v>206.4</v>
      </c>
      <c r="G1385" s="2232">
        <v>16.45</v>
      </c>
      <c r="H1385" s="2302">
        <f t="shared" si="290"/>
        <v>3395.28</v>
      </c>
      <c r="I1385" s="2287"/>
      <c r="J1385" s="2231"/>
      <c r="K1385" s="2412"/>
      <c r="L1385" s="2536"/>
      <c r="M1385" s="2232"/>
      <c r="N1385" s="2239"/>
      <c r="O1385" s="2498">
        <f t="shared" si="291"/>
        <v>3395.28</v>
      </c>
      <c r="P1385" s="2295">
        <f t="shared" si="281"/>
        <v>1</v>
      </c>
    </row>
    <row r="1386" spans="1:16" ht="30">
      <c r="A1386" s="2271" t="s">
        <v>14027</v>
      </c>
      <c r="B1386" s="2228">
        <f>VLOOKUP($A1386,'15 - QT_BCE'!$A:$F,2,0)</f>
        <v>92761</v>
      </c>
      <c r="C1386" s="2228" t="str">
        <f>VLOOKUP($A1386,'15 - QT_BCE'!$A:$F,3,0)</f>
        <v>SINAPI</v>
      </c>
      <c r="D1386" s="2375" t="s">
        <v>7430</v>
      </c>
      <c r="E1386" s="2243" t="str">
        <f>IFERROR(VLOOKUP($B1386,'24.08_ND'!$1:$1048529,3,0),IFERROR(VLOOKUP($B1386,'03-CP'!$C$1:$H$6260,3,0),""))</f>
        <v>KG</v>
      </c>
      <c r="F1386" s="2230">
        <v>51</v>
      </c>
      <c r="G1386" s="2232">
        <v>15.68</v>
      </c>
      <c r="H1386" s="2302">
        <f t="shared" si="290"/>
        <v>799.68</v>
      </c>
      <c r="I1386" s="2287"/>
      <c r="J1386" s="2231"/>
      <c r="K1386" s="2412"/>
      <c r="L1386" s="2536"/>
      <c r="M1386" s="2232"/>
      <c r="N1386" s="2239"/>
      <c r="O1386" s="2498">
        <f t="shared" si="291"/>
        <v>799.68</v>
      </c>
      <c r="P1386" s="2295">
        <f t="shared" si="281"/>
        <v>1</v>
      </c>
    </row>
    <row r="1387" spans="1:16" ht="30">
      <c r="A1387" s="2271" t="s">
        <v>14028</v>
      </c>
      <c r="B1387" s="2228">
        <f>VLOOKUP($A1387,'15 - QT_BCE'!$A:$F,2,0)</f>
        <v>92762</v>
      </c>
      <c r="C1387" s="2228" t="str">
        <f>VLOOKUP($A1387,'15 - QT_BCE'!$A:$F,3,0)</f>
        <v>SINAPI</v>
      </c>
      <c r="D1387" s="2375" t="s">
        <v>7431</v>
      </c>
      <c r="E1387" s="2243" t="str">
        <f>IFERROR(VLOOKUP($B1387,'24.08_ND'!$1:$1048529,3,0),IFERROR(VLOOKUP($B1387,'03-CP'!$C$1:$H$6260,3,0),""))</f>
        <v>KG</v>
      </c>
      <c r="F1387" s="2230">
        <v>83.6</v>
      </c>
      <c r="G1387" s="2232">
        <v>14.11</v>
      </c>
      <c r="H1387" s="2302">
        <f t="shared" si="290"/>
        <v>1179.5899999999999</v>
      </c>
      <c r="I1387" s="2287"/>
      <c r="J1387" s="2231"/>
      <c r="K1387" s="2412"/>
      <c r="L1387" s="2536"/>
      <c r="M1387" s="2232"/>
      <c r="N1387" s="2239"/>
      <c r="O1387" s="2498">
        <f t="shared" si="291"/>
        <v>1179.5899999999999</v>
      </c>
      <c r="P1387" s="2295">
        <f t="shared" si="281"/>
        <v>1</v>
      </c>
    </row>
    <row r="1388" spans="1:16" ht="30">
      <c r="A1388" s="2271" t="s">
        <v>14029</v>
      </c>
      <c r="B1388" s="2228">
        <f>VLOOKUP($A1388,'15 - QT_BCE'!$A:$F,2,0)</f>
        <v>92763</v>
      </c>
      <c r="C1388" s="2228" t="str">
        <f>VLOOKUP($A1388,'15 - QT_BCE'!$A:$F,3,0)</f>
        <v>SINAPI</v>
      </c>
      <c r="D1388" s="2375" t="s">
        <v>7432</v>
      </c>
      <c r="E1388" s="2243" t="str">
        <f>IFERROR(VLOOKUP($B1388,'24.08_ND'!$1:$1048529,3,0),IFERROR(VLOOKUP($B1388,'03-CP'!$C$1:$H$6260,3,0),""))</f>
        <v>KG</v>
      </c>
      <c r="F1388" s="2230">
        <v>105.5</v>
      </c>
      <c r="G1388" s="2232">
        <v>11.93</v>
      </c>
      <c r="H1388" s="2302">
        <f t="shared" si="290"/>
        <v>1258.6099999999999</v>
      </c>
      <c r="I1388" s="2287"/>
      <c r="J1388" s="2231"/>
      <c r="K1388" s="2412"/>
      <c r="L1388" s="2536"/>
      <c r="M1388" s="2232"/>
      <c r="N1388" s="2239"/>
      <c r="O1388" s="2498">
        <f t="shared" si="291"/>
        <v>1258.6099999999999</v>
      </c>
      <c r="P1388" s="2295">
        <f t="shared" si="281"/>
        <v>1</v>
      </c>
    </row>
    <row r="1389" spans="1:16" ht="30">
      <c r="A1389" s="2271" t="s">
        <v>14030</v>
      </c>
      <c r="B1389" s="2228">
        <f>VLOOKUP($A1389,'15 - QT_BCE'!$A:$F,2,0)</f>
        <v>92764</v>
      </c>
      <c r="C1389" s="2228" t="str">
        <f>VLOOKUP($A1389,'15 - QT_BCE'!$A:$F,3,0)</f>
        <v>SINAPI</v>
      </c>
      <c r="D1389" s="2375" t="s">
        <v>7433</v>
      </c>
      <c r="E1389" s="2243" t="str">
        <f>IFERROR(VLOOKUP($B1389,'24.08_ND'!$1:$1048529,3,0),IFERROR(VLOOKUP($B1389,'03-CP'!$C$1:$H$6260,3,0),""))</f>
        <v>KG</v>
      </c>
      <c r="F1389" s="2230">
        <v>301.2</v>
      </c>
      <c r="G1389" s="2232">
        <v>11.6</v>
      </c>
      <c r="H1389" s="2302">
        <f t="shared" si="290"/>
        <v>3493.92</v>
      </c>
      <c r="I1389" s="2287"/>
      <c r="J1389" s="2231"/>
      <c r="K1389" s="2412"/>
      <c r="L1389" s="2536"/>
      <c r="M1389" s="2232"/>
      <c r="N1389" s="2239"/>
      <c r="O1389" s="2498">
        <f t="shared" si="291"/>
        <v>3493.92</v>
      </c>
      <c r="P1389" s="2295">
        <f t="shared" si="281"/>
        <v>1</v>
      </c>
    </row>
    <row r="1390" spans="1:16" ht="45">
      <c r="A1390" s="2271" t="s">
        <v>14031</v>
      </c>
      <c r="B1390" s="2228" t="str">
        <f>VLOOKUP($A1390,'15 - QT_BCE'!$A:$F,2,0)</f>
        <v>PS-CP-EST-14</v>
      </c>
      <c r="C1390" s="2228" t="str">
        <f>VLOOKUP($A1390,'15 - QT_BCE'!$A:$F,3,0)</f>
        <v>PRÓPRIA</v>
      </c>
      <c r="D1390" s="2375" t="s">
        <v>15964</v>
      </c>
      <c r="E1390" s="2243" t="str">
        <f>IFERROR(VLOOKUP($B1390,'24.08_ND'!$1:$1048529,3,0),IFERROR(VLOOKUP($B1390,'03-CP'!$C$1:$H$6260,3,0),""))</f>
        <v>M3</v>
      </c>
      <c r="F1390" s="2230">
        <v>8.34</v>
      </c>
      <c r="G1390" s="2232">
        <v>1018.27</v>
      </c>
      <c r="H1390" s="2302">
        <f t="shared" si="290"/>
        <v>8492.3700000000008</v>
      </c>
      <c r="I1390" s="2287"/>
      <c r="J1390" s="2231"/>
      <c r="K1390" s="2412"/>
      <c r="L1390" s="2536"/>
      <c r="M1390" s="2232"/>
      <c r="N1390" s="2239"/>
      <c r="O1390" s="2498">
        <f t="shared" si="291"/>
        <v>8492.3700000000008</v>
      </c>
      <c r="P1390" s="2295">
        <f t="shared" si="281"/>
        <v>1</v>
      </c>
    </row>
    <row r="1391" spans="1:16">
      <c r="A1391" s="2273" t="s">
        <v>14032</v>
      </c>
      <c r="B1391" s="2397"/>
      <c r="C1391" s="2401"/>
      <c r="D1391" s="2380" t="s">
        <v>16551</v>
      </c>
      <c r="E1391" s="2368"/>
      <c r="F1391" s="2369"/>
      <c r="G1391" s="2370"/>
      <c r="H1391" s="2361">
        <f>SUBTOTAL(9,H1392:H1398)</f>
        <v>8757.0499999999993</v>
      </c>
      <c r="I1391" s="2371"/>
      <c r="J1391" s="2372"/>
      <c r="K1391" s="2555"/>
      <c r="L1391" s="2539">
        <f>SUBTOTAL(9,L1392:L1398)</f>
        <v>0</v>
      </c>
      <c r="M1391" s="2361">
        <f>SUBTOTAL(9,M1392:M1398)</f>
        <v>0</v>
      </c>
      <c r="N1391" s="2361">
        <f>SUBTOTAL(9,N1392:N1398)</f>
        <v>0</v>
      </c>
      <c r="O1391" s="2361">
        <f>SUBTOTAL(9,O1392:O1398)</f>
        <v>8757.0499999999993</v>
      </c>
      <c r="P1391" s="2295">
        <f t="shared" si="281"/>
        <v>1</v>
      </c>
    </row>
    <row r="1392" spans="1:16" ht="45">
      <c r="A1392" s="2271" t="s">
        <v>14033</v>
      </c>
      <c r="B1392" s="2228">
        <f>VLOOKUP($A1392,'15 - QT_BCE'!$A:$F,2,0)</f>
        <v>92524</v>
      </c>
      <c r="C1392" s="2228" t="str">
        <f>VLOOKUP($A1392,'15 - QT_BCE'!$A:$F,3,0)</f>
        <v>SINAPI</v>
      </c>
      <c r="D1392" s="2375" t="s">
        <v>7285</v>
      </c>
      <c r="E1392" s="2243" t="str">
        <f>IFERROR(VLOOKUP($B1392,'24.08_ND'!$1:$1048529,3,0),IFERROR(VLOOKUP($B1392,'03-CP'!$C$1:$H$6260,3,0),""))</f>
        <v>M2</v>
      </c>
      <c r="F1392" s="2230">
        <v>18.45</v>
      </c>
      <c r="G1392" s="2232">
        <v>105.33</v>
      </c>
      <c r="H1392" s="2302">
        <f t="shared" ref="H1392:H1398" si="292">TRUNC((G1392*F1392),2)</f>
        <v>1943.33</v>
      </c>
      <c r="I1392" s="2328"/>
      <c r="J1392" s="2237"/>
      <c r="K1392" s="2411"/>
      <c r="L1392" s="2533">
        <f>M1392+N1392</f>
        <v>0</v>
      </c>
      <c r="M1392" s="2238">
        <v>0</v>
      </c>
      <c r="N1392" s="2239">
        <f>TRUNC(H1392*K1392,2)</f>
        <v>0</v>
      </c>
      <c r="O1392" s="2498">
        <f t="shared" ref="O1392:O1398" si="293">H1392-L1392</f>
        <v>1943.33</v>
      </c>
      <c r="P1392" s="2295">
        <f t="shared" si="281"/>
        <v>1</v>
      </c>
    </row>
    <row r="1393" spans="1:16" ht="30">
      <c r="A1393" s="2271" t="s">
        <v>14034</v>
      </c>
      <c r="B1393" s="2228">
        <f>VLOOKUP($A1393,'15 - QT_BCE'!$A:$F,2,0)</f>
        <v>92769</v>
      </c>
      <c r="C1393" s="2228" t="str">
        <f>VLOOKUP($A1393,'15 - QT_BCE'!$A:$F,3,0)</f>
        <v>SINAPI</v>
      </c>
      <c r="D1393" s="2375" t="s">
        <v>7438</v>
      </c>
      <c r="E1393" s="2243" t="str">
        <f>IFERROR(VLOOKUP($B1393,'24.08_ND'!$1:$1048529,3,0),IFERROR(VLOOKUP($B1393,'03-CP'!$C$1:$H$6260,3,0),""))</f>
        <v>KG</v>
      </c>
      <c r="F1393" s="2230">
        <v>17.899999999999999</v>
      </c>
      <c r="G1393" s="2232">
        <v>15.91</v>
      </c>
      <c r="H1393" s="2302">
        <f t="shared" si="292"/>
        <v>284.77999999999997</v>
      </c>
      <c r="I1393" s="2287"/>
      <c r="J1393" s="2231"/>
      <c r="K1393" s="2412"/>
      <c r="L1393" s="2536"/>
      <c r="M1393" s="2232"/>
      <c r="N1393" s="2239"/>
      <c r="O1393" s="2498">
        <f t="shared" si="293"/>
        <v>284.77999999999997</v>
      </c>
      <c r="P1393" s="2295">
        <f t="shared" si="281"/>
        <v>1</v>
      </c>
    </row>
    <row r="1394" spans="1:16" ht="30">
      <c r="A1394" s="2271" t="s">
        <v>14035</v>
      </c>
      <c r="B1394" s="2228">
        <f>VLOOKUP($A1394,'15 - QT_BCE'!$A:$F,2,0)</f>
        <v>92770</v>
      </c>
      <c r="C1394" s="2228" t="str">
        <f>VLOOKUP($A1394,'15 - QT_BCE'!$A:$F,3,0)</f>
        <v>SINAPI</v>
      </c>
      <c r="D1394" s="2375" t="s">
        <v>7439</v>
      </c>
      <c r="E1394" s="2243" t="str">
        <f>IFERROR(VLOOKUP($B1394,'24.08_ND'!$1:$1048529,3,0),IFERROR(VLOOKUP($B1394,'03-CP'!$C$1:$H$6260,3,0),""))</f>
        <v>KG</v>
      </c>
      <c r="F1394" s="2230">
        <v>100.9</v>
      </c>
      <c r="G1394" s="2232">
        <v>15.17</v>
      </c>
      <c r="H1394" s="2302">
        <f t="shared" si="292"/>
        <v>1530.65</v>
      </c>
      <c r="I1394" s="2287"/>
      <c r="J1394" s="2231"/>
      <c r="K1394" s="2412"/>
      <c r="L1394" s="2536"/>
      <c r="M1394" s="2232"/>
      <c r="N1394" s="2239"/>
      <c r="O1394" s="2498">
        <f t="shared" si="293"/>
        <v>1530.65</v>
      </c>
      <c r="P1394" s="2295">
        <f t="shared" si="281"/>
        <v>1</v>
      </c>
    </row>
    <row r="1395" spans="1:16" ht="45">
      <c r="A1395" s="2271" t="s">
        <v>14036</v>
      </c>
      <c r="B1395" s="2228" t="str">
        <f>VLOOKUP($A1395,'15 - QT_BCE'!$A:$F,2,0)</f>
        <v>PS-CP-EST-14</v>
      </c>
      <c r="C1395" s="2228" t="str">
        <f>VLOOKUP($A1395,'15 - QT_BCE'!$A:$F,3,0)</f>
        <v>PRÓPRIA</v>
      </c>
      <c r="D1395" s="2375" t="s">
        <v>15964</v>
      </c>
      <c r="E1395" s="2243" t="str">
        <f>IFERROR(VLOOKUP($B1395,'24.08_ND'!$1:$1048529,3,0),IFERROR(VLOOKUP($B1395,'03-CP'!$C$1:$H$6260,3,0),""))</f>
        <v>M3</v>
      </c>
      <c r="F1395" s="2230">
        <v>2.21</v>
      </c>
      <c r="G1395" s="2232">
        <v>1018.27</v>
      </c>
      <c r="H1395" s="2302">
        <f t="shared" si="292"/>
        <v>2250.37</v>
      </c>
      <c r="I1395" s="2287"/>
      <c r="J1395" s="2231"/>
      <c r="K1395" s="2412"/>
      <c r="L1395" s="2536"/>
      <c r="M1395" s="2232"/>
      <c r="N1395" s="2239"/>
      <c r="O1395" s="2498">
        <f t="shared" si="293"/>
        <v>2250.37</v>
      </c>
      <c r="P1395" s="2295">
        <f t="shared" si="281"/>
        <v>1</v>
      </c>
    </row>
    <row r="1396" spans="1:16" ht="45">
      <c r="A1396" s="2271" t="s">
        <v>14037</v>
      </c>
      <c r="B1396" s="2228">
        <f>VLOOKUP($A1396,'15 - QT_BCE'!$A:$F,2,0)</f>
        <v>87737</v>
      </c>
      <c r="C1396" s="2228" t="str">
        <f>VLOOKUP($A1396,'15 - QT_BCE'!$A:$F,3,0)</f>
        <v>SINAPI</v>
      </c>
      <c r="D1396" s="2375" t="s">
        <v>11229</v>
      </c>
      <c r="E1396" s="2243" t="str">
        <f>IFERROR(VLOOKUP($B1396,'24.08_ND'!$1:$1048529,3,0),IFERROR(VLOOKUP($B1396,'03-CP'!$C$1:$H$6260,3,0),""))</f>
        <v>M2</v>
      </c>
      <c r="F1396" s="2230">
        <v>18.45</v>
      </c>
      <c r="G1396" s="2232">
        <v>53.35</v>
      </c>
      <c r="H1396" s="2302">
        <f t="shared" si="292"/>
        <v>984.3</v>
      </c>
      <c r="I1396" s="2287"/>
      <c r="J1396" s="2231"/>
      <c r="K1396" s="2412"/>
      <c r="L1396" s="2536"/>
      <c r="M1396" s="2232"/>
      <c r="N1396" s="2239"/>
      <c r="O1396" s="2498">
        <f t="shared" si="293"/>
        <v>984.3</v>
      </c>
      <c r="P1396" s="2295">
        <f t="shared" si="281"/>
        <v>1</v>
      </c>
    </row>
    <row r="1397" spans="1:16" ht="30">
      <c r="A1397" s="2271" t="s">
        <v>14038</v>
      </c>
      <c r="B1397" s="2228">
        <f>VLOOKUP($A1397,'15 - QT_BCE'!$A:$F,2,0)</f>
        <v>98554</v>
      </c>
      <c r="C1397" s="2228" t="str">
        <f>VLOOKUP($A1397,'15 - QT_BCE'!$A:$F,3,0)</f>
        <v>SINAPI</v>
      </c>
      <c r="D1397" s="2375" t="s">
        <v>7740</v>
      </c>
      <c r="E1397" s="2243" t="str">
        <f>IFERROR(VLOOKUP($B1397,'24.08_ND'!$1:$1048529,3,0),IFERROR(VLOOKUP($B1397,'03-CP'!$C$1:$H$6260,3,0),""))</f>
        <v>M2</v>
      </c>
      <c r="F1397" s="2230">
        <v>18.45</v>
      </c>
      <c r="G1397" s="2232">
        <v>52.57</v>
      </c>
      <c r="H1397" s="2302">
        <f t="shared" si="292"/>
        <v>969.91</v>
      </c>
      <c r="I1397" s="2287"/>
      <c r="J1397" s="2231"/>
      <c r="K1397" s="2412"/>
      <c r="L1397" s="2536"/>
      <c r="M1397" s="2232"/>
      <c r="N1397" s="2239"/>
      <c r="O1397" s="2498">
        <f t="shared" si="293"/>
        <v>969.91</v>
      </c>
      <c r="P1397" s="2295">
        <f t="shared" si="281"/>
        <v>1</v>
      </c>
    </row>
    <row r="1398" spans="1:16" ht="30">
      <c r="A1398" s="2271" t="s">
        <v>14039</v>
      </c>
      <c r="B1398" s="2228">
        <f>VLOOKUP($A1398,'15 - QT_BCE'!$A:$F,2,0)</f>
        <v>98563</v>
      </c>
      <c r="C1398" s="2228" t="str">
        <f>VLOOKUP($A1398,'15 - QT_BCE'!$A:$F,3,0)</f>
        <v>SINAPI</v>
      </c>
      <c r="D1398" s="2375" t="s">
        <v>7742</v>
      </c>
      <c r="E1398" s="2243" t="str">
        <f>IFERROR(VLOOKUP($B1398,'24.08_ND'!$1:$1048529,3,0),IFERROR(VLOOKUP($B1398,'03-CP'!$C$1:$H$6260,3,0),""))</f>
        <v>M2</v>
      </c>
      <c r="F1398" s="2230">
        <v>18.45</v>
      </c>
      <c r="G1398" s="2232">
        <v>43.02</v>
      </c>
      <c r="H1398" s="2302">
        <f t="shared" si="292"/>
        <v>793.71</v>
      </c>
      <c r="I1398" s="2287"/>
      <c r="J1398" s="2231"/>
      <c r="K1398" s="2412"/>
      <c r="L1398" s="2536"/>
      <c r="M1398" s="2232"/>
      <c r="N1398" s="2239"/>
      <c r="O1398" s="2498">
        <f t="shared" si="293"/>
        <v>793.71</v>
      </c>
      <c r="P1398" s="2295">
        <f t="shared" ref="P1398:P1461" si="294">O1398/H1398</f>
        <v>1</v>
      </c>
    </row>
    <row r="1399" spans="1:16">
      <c r="A1399" s="2273" t="s">
        <v>14040</v>
      </c>
      <c r="B1399" s="2397"/>
      <c r="C1399" s="2401"/>
      <c r="D1399" s="2380" t="s">
        <v>16552</v>
      </c>
      <c r="E1399" s="2368"/>
      <c r="F1399" s="2369"/>
      <c r="G1399" s="2370"/>
      <c r="H1399" s="2361">
        <f>SUBTOTAL(9,H1400:H1404)</f>
        <v>7401.93</v>
      </c>
      <c r="I1399" s="2371"/>
      <c r="J1399" s="2372"/>
      <c r="K1399" s="2555"/>
      <c r="L1399" s="2539">
        <f>SUBTOTAL(9,L1400:L1404)</f>
        <v>0</v>
      </c>
      <c r="M1399" s="2361">
        <f>SUBTOTAL(9,M1400:M1404)</f>
        <v>0</v>
      </c>
      <c r="N1399" s="2361">
        <f>SUBTOTAL(9,N1400:N1404)</f>
        <v>0</v>
      </c>
      <c r="O1399" s="2361">
        <f>SUBTOTAL(9,O1400:O1404)</f>
        <v>7401.93</v>
      </c>
      <c r="P1399" s="2295">
        <f t="shared" si="294"/>
        <v>1</v>
      </c>
    </row>
    <row r="1400" spans="1:16" ht="45">
      <c r="A1400" s="2271" t="s">
        <v>14041</v>
      </c>
      <c r="B1400" s="2228">
        <f>VLOOKUP($A1400,'15 - QT_BCE'!$A:$F,2,0)</f>
        <v>92466</v>
      </c>
      <c r="C1400" s="2228" t="str">
        <f>VLOOKUP($A1400,'15 - QT_BCE'!$A:$F,3,0)</f>
        <v>SINAPI</v>
      </c>
      <c r="D1400" s="2375" t="s">
        <v>7249</v>
      </c>
      <c r="E1400" s="2243" t="str">
        <f>IFERROR(VLOOKUP($B1400,'24.08_ND'!$1:$1048529,3,0),IFERROR(VLOOKUP($B1400,'03-CP'!$C$1:$H$6260,3,0),""))</f>
        <v>M2</v>
      </c>
      <c r="F1400" s="2230">
        <v>15.29</v>
      </c>
      <c r="G1400" s="2232">
        <v>362.46</v>
      </c>
      <c r="H1400" s="2302">
        <f>TRUNC((G1400*F1400),2)</f>
        <v>5542.01</v>
      </c>
      <c r="I1400" s="2328"/>
      <c r="J1400" s="2237"/>
      <c r="K1400" s="2411"/>
      <c r="L1400" s="2533">
        <f>M1400+N1400</f>
        <v>0</v>
      </c>
      <c r="M1400" s="2238">
        <v>0</v>
      </c>
      <c r="N1400" s="2239">
        <f>TRUNC(H1400*K1400,2)</f>
        <v>0</v>
      </c>
      <c r="O1400" s="2498">
        <f>H1400-L1400</f>
        <v>5542.01</v>
      </c>
      <c r="P1400" s="2295">
        <f t="shared" si="294"/>
        <v>1</v>
      </c>
    </row>
    <row r="1401" spans="1:16" ht="30">
      <c r="A1401" s="2271" t="s">
        <v>14042</v>
      </c>
      <c r="B1401" s="2228">
        <f>VLOOKUP($A1401,'15 - QT_BCE'!$A:$F,2,0)</f>
        <v>92759</v>
      </c>
      <c r="C1401" s="2228" t="str">
        <f>VLOOKUP($A1401,'15 - QT_BCE'!$A:$F,3,0)</f>
        <v>SINAPI</v>
      </c>
      <c r="D1401" s="2375" t="s">
        <v>7428</v>
      </c>
      <c r="E1401" s="2243" t="str">
        <f>IFERROR(VLOOKUP($B1401,'24.08_ND'!$1:$1048529,3,0),IFERROR(VLOOKUP($B1401,'03-CP'!$C$1:$H$6260,3,0),""))</f>
        <v>KG</v>
      </c>
      <c r="F1401" s="2230">
        <v>17.8</v>
      </c>
      <c r="G1401" s="2232">
        <v>17.100000000000001</v>
      </c>
      <c r="H1401" s="2302">
        <f>TRUNC((G1401*F1401),2)</f>
        <v>304.38</v>
      </c>
      <c r="I1401" s="2287"/>
      <c r="J1401" s="2231"/>
      <c r="K1401" s="2412"/>
      <c r="L1401" s="2536"/>
      <c r="M1401" s="2232"/>
      <c r="N1401" s="2239"/>
      <c r="O1401" s="2498">
        <f>H1401-L1401</f>
        <v>304.38</v>
      </c>
      <c r="P1401" s="2295">
        <f t="shared" si="294"/>
        <v>1</v>
      </c>
    </row>
    <row r="1402" spans="1:16" ht="30">
      <c r="A1402" s="2271" t="s">
        <v>14043</v>
      </c>
      <c r="B1402" s="2228">
        <f>VLOOKUP($A1402,'15 - QT_BCE'!$A:$F,2,0)</f>
        <v>92761</v>
      </c>
      <c r="C1402" s="2228" t="str">
        <f>VLOOKUP($A1402,'15 - QT_BCE'!$A:$F,3,0)</f>
        <v>SINAPI</v>
      </c>
      <c r="D1402" s="2375" t="s">
        <v>7430</v>
      </c>
      <c r="E1402" s="2243" t="str">
        <f>IFERROR(VLOOKUP($B1402,'24.08_ND'!$1:$1048529,3,0),IFERROR(VLOOKUP($B1402,'03-CP'!$C$1:$H$6260,3,0),""))</f>
        <v>KG</v>
      </c>
      <c r="F1402" s="2230">
        <v>23.2</v>
      </c>
      <c r="G1402" s="2232">
        <v>15.68</v>
      </c>
      <c r="H1402" s="2302">
        <f>TRUNC((G1402*F1402),2)</f>
        <v>363.77</v>
      </c>
      <c r="I1402" s="2287"/>
      <c r="J1402" s="2231"/>
      <c r="K1402" s="2412"/>
      <c r="L1402" s="2536"/>
      <c r="M1402" s="2232"/>
      <c r="N1402" s="2239"/>
      <c r="O1402" s="2498">
        <f>H1402-L1402</f>
        <v>363.77</v>
      </c>
      <c r="P1402" s="2295">
        <f t="shared" si="294"/>
        <v>1</v>
      </c>
    </row>
    <row r="1403" spans="1:16" ht="30">
      <c r="A1403" s="2271" t="s">
        <v>14044</v>
      </c>
      <c r="B1403" s="2228">
        <f>VLOOKUP($A1403,'15 - QT_BCE'!$A:$F,2,0)</f>
        <v>92762</v>
      </c>
      <c r="C1403" s="2228" t="str">
        <f>VLOOKUP($A1403,'15 - QT_BCE'!$A:$F,3,0)</f>
        <v>SINAPI</v>
      </c>
      <c r="D1403" s="2375" t="s">
        <v>7431</v>
      </c>
      <c r="E1403" s="2243" t="str">
        <f>IFERROR(VLOOKUP($B1403,'24.08_ND'!$1:$1048529,3,0),IFERROR(VLOOKUP($B1403,'03-CP'!$C$1:$H$6260,3,0),""))</f>
        <v>KG</v>
      </c>
      <c r="F1403" s="2230">
        <v>22.4</v>
      </c>
      <c r="G1403" s="2232">
        <v>14.11</v>
      </c>
      <c r="H1403" s="2302">
        <f>TRUNC((G1403*F1403),2)</f>
        <v>316.06</v>
      </c>
      <c r="I1403" s="2287"/>
      <c r="J1403" s="2231"/>
      <c r="K1403" s="2412"/>
      <c r="L1403" s="2536"/>
      <c r="M1403" s="2232"/>
      <c r="N1403" s="2239"/>
      <c r="O1403" s="2498">
        <f>H1403-L1403</f>
        <v>316.06</v>
      </c>
      <c r="P1403" s="2295">
        <f t="shared" si="294"/>
        <v>1</v>
      </c>
    </row>
    <row r="1404" spans="1:16" ht="45">
      <c r="A1404" s="2271" t="s">
        <v>14045</v>
      </c>
      <c r="B1404" s="2228" t="str">
        <f>VLOOKUP($A1404,'15 - QT_BCE'!$A:$F,2,0)</f>
        <v>PS-CP-EST-14</v>
      </c>
      <c r="C1404" s="2228" t="str">
        <f>VLOOKUP($A1404,'15 - QT_BCE'!$A:$F,3,0)</f>
        <v>PRÓPRIA</v>
      </c>
      <c r="D1404" s="2375" t="s">
        <v>15964</v>
      </c>
      <c r="E1404" s="2243" t="str">
        <f>IFERROR(VLOOKUP($B1404,'24.08_ND'!$1:$1048529,3,0),IFERROR(VLOOKUP($B1404,'03-CP'!$C$1:$H$6260,3,0),""))</f>
        <v>M3</v>
      </c>
      <c r="F1404" s="2230">
        <v>0.86</v>
      </c>
      <c r="G1404" s="2232">
        <v>1018.27</v>
      </c>
      <c r="H1404" s="2302">
        <f>TRUNC((G1404*F1404),2)</f>
        <v>875.71</v>
      </c>
      <c r="I1404" s="2287"/>
      <c r="J1404" s="2231"/>
      <c r="K1404" s="2412"/>
      <c r="L1404" s="2536"/>
      <c r="M1404" s="2232"/>
      <c r="N1404" s="2239"/>
      <c r="O1404" s="2498">
        <f>H1404-L1404</f>
        <v>875.71</v>
      </c>
      <c r="P1404" s="2295">
        <f t="shared" si="294"/>
        <v>1</v>
      </c>
    </row>
    <row r="1405" spans="1:16">
      <c r="A1405" s="2273" t="s">
        <v>14046</v>
      </c>
      <c r="B1405" s="2397"/>
      <c r="C1405" s="2401"/>
      <c r="D1405" s="2380" t="s">
        <v>16489</v>
      </c>
      <c r="E1405" s="2368"/>
      <c r="F1405" s="2369"/>
      <c r="G1405" s="2370"/>
      <c r="H1405" s="2361">
        <f>SUBTOTAL(9,H1406)</f>
        <v>207.68</v>
      </c>
      <c r="I1405" s="2371"/>
      <c r="J1405" s="2372"/>
      <c r="K1405" s="2555"/>
      <c r="L1405" s="2539">
        <f>SUBTOTAL(9,L1406)</f>
        <v>0</v>
      </c>
      <c r="M1405" s="2361">
        <f>SUBTOTAL(9,M1406)</f>
        <v>0</v>
      </c>
      <c r="N1405" s="2361">
        <f>SUBTOTAL(9,N1406)</f>
        <v>0</v>
      </c>
      <c r="O1405" s="2361">
        <f>SUBTOTAL(9,O1406)</f>
        <v>207.68</v>
      </c>
      <c r="P1405" s="2295">
        <f t="shared" si="294"/>
        <v>1</v>
      </c>
    </row>
    <row r="1406" spans="1:16" ht="45">
      <c r="A1406" s="2271" t="s">
        <v>14047</v>
      </c>
      <c r="B1406" s="2228" t="str">
        <f>VLOOKUP($A1406,'15 - QT_BCE'!$A:$F,2,0)</f>
        <v>PS-CP-EST-06</v>
      </c>
      <c r="C1406" s="2228" t="str">
        <f>VLOOKUP($A1406,'15 - QT_BCE'!$A:$F,3,0)</f>
        <v>PRÓPRIA</v>
      </c>
      <c r="D1406" s="2375" t="s">
        <v>14597</v>
      </c>
      <c r="E1406" s="2243" t="str">
        <f>IFERROR(VLOOKUP($B1406,'24.08_ND'!$1:$1048529,3,0),IFERROR(VLOOKUP($B1406,'03-CP'!$C$1:$H$6260,3,0),""))</f>
        <v>M3</v>
      </c>
      <c r="F1406" s="2230">
        <v>28.18</v>
      </c>
      <c r="G1406" s="2232">
        <v>7.37</v>
      </c>
      <c r="H1406" s="2302">
        <f>TRUNC((G1406*F1406),2)</f>
        <v>207.68</v>
      </c>
      <c r="I1406" s="2328"/>
      <c r="J1406" s="2237"/>
      <c r="K1406" s="2411"/>
      <c r="L1406" s="2533">
        <f>M1406+N1406</f>
        <v>0</v>
      </c>
      <c r="M1406" s="2238">
        <v>0</v>
      </c>
      <c r="N1406" s="2239">
        <f>TRUNC(H1406*K1406,2)</f>
        <v>0</v>
      </c>
      <c r="O1406" s="2498">
        <f>H1406-L1406</f>
        <v>207.68</v>
      </c>
      <c r="P1406" s="2295">
        <f t="shared" si="294"/>
        <v>1</v>
      </c>
    </row>
    <row r="1407" spans="1:16">
      <c r="A1407" s="2273" t="s">
        <v>14048</v>
      </c>
      <c r="B1407" s="2397"/>
      <c r="C1407" s="2401"/>
      <c r="D1407" s="2380" t="s">
        <v>12504</v>
      </c>
      <c r="E1407" s="2368"/>
      <c r="F1407" s="2369"/>
      <c r="G1407" s="2370"/>
      <c r="H1407" s="2361">
        <f>SUBTOTAL(9,H1408)</f>
        <v>101402.54</v>
      </c>
      <c r="I1407" s="2371"/>
      <c r="J1407" s="2372"/>
      <c r="K1407" s="2555"/>
      <c r="L1407" s="2539">
        <f>SUBTOTAL(9,L1408)</f>
        <v>0</v>
      </c>
      <c r="M1407" s="2361">
        <f>SUBTOTAL(9,M1408)</f>
        <v>0</v>
      </c>
      <c r="N1407" s="2361">
        <f>SUBTOTAL(9,N1408)</f>
        <v>0</v>
      </c>
      <c r="O1407" s="2361">
        <f>SUBTOTAL(9,O1408)</f>
        <v>101402.54</v>
      </c>
      <c r="P1407" s="2295">
        <f t="shared" si="294"/>
        <v>1</v>
      </c>
    </row>
    <row r="1408" spans="1:16" ht="60">
      <c r="A1408" s="2271" t="s">
        <v>14049</v>
      </c>
      <c r="B1408" s="2228" t="str">
        <f>VLOOKUP($A1408,'15 - QT_BCE'!$A:$F,2,0)</f>
        <v>PS-CP-EST-21</v>
      </c>
      <c r="C1408" s="2228" t="str">
        <f>VLOOKUP($A1408,'15 - QT_BCE'!$A:$F,3,0)</f>
        <v>PRÓPRIA</v>
      </c>
      <c r="D1408" s="2375" t="s">
        <v>14652</v>
      </c>
      <c r="E1408" s="2243" t="str">
        <f>IFERROR(VLOOKUP($B1408,'24.08_ND'!$1:$1048529,3,0),IFERROR(VLOOKUP($B1408,'03-CP'!$C$1:$H$6260,3,0),""))</f>
        <v>KG</v>
      </c>
      <c r="F1408" s="2230">
        <v>3402.77</v>
      </c>
      <c r="G1408" s="2232">
        <v>29.8</v>
      </c>
      <c r="H1408" s="2302">
        <f>TRUNC((G1408*F1408),2)</f>
        <v>101402.54</v>
      </c>
      <c r="I1408" s="2328"/>
      <c r="J1408" s="2237"/>
      <c r="K1408" s="2411"/>
      <c r="L1408" s="2533">
        <f>M1408+N1408</f>
        <v>0</v>
      </c>
      <c r="M1408" s="2238">
        <v>0</v>
      </c>
      <c r="N1408" s="2239">
        <f>TRUNC(H1408*K1408,2)</f>
        <v>0</v>
      </c>
      <c r="O1408" s="2498">
        <f>H1408-L1408</f>
        <v>101402.54</v>
      </c>
      <c r="P1408" s="2295">
        <f t="shared" si="294"/>
        <v>1</v>
      </c>
    </row>
    <row r="1409" spans="1:16">
      <c r="A1409" s="2513" t="s">
        <v>12649</v>
      </c>
      <c r="B1409" s="2514"/>
      <c r="C1409" s="2515"/>
      <c r="D1409" s="2516" t="s">
        <v>12486</v>
      </c>
      <c r="E1409" s="2517"/>
      <c r="F1409" s="2518"/>
      <c r="G1409" s="2519"/>
      <c r="H1409" s="2520">
        <f>SUBTOTAL(9,H1410:H1483)</f>
        <v>785508.59000000032</v>
      </c>
      <c r="I1409" s="2521"/>
      <c r="J1409" s="2522"/>
      <c r="K1409" s="2554"/>
      <c r="L1409" s="2541">
        <f>SUBTOTAL(9,L1410:L1483)</f>
        <v>0</v>
      </c>
      <c r="M1409" s="2520">
        <f>SUBTOTAL(9,M1410:M1483)</f>
        <v>0</v>
      </c>
      <c r="N1409" s="2520">
        <f>SUBTOTAL(9,N1410:N1483)</f>
        <v>0</v>
      </c>
      <c r="O1409" s="2520">
        <f>SUBTOTAL(9,O1410:O1483)</f>
        <v>785508.59000000032</v>
      </c>
      <c r="P1409" s="2295"/>
    </row>
    <row r="1410" spans="1:16">
      <c r="A1410" s="2342" t="s">
        <v>14050</v>
      </c>
      <c r="B1410" s="2397"/>
      <c r="C1410" s="2401"/>
      <c r="D1410" s="2380" t="s">
        <v>16227</v>
      </c>
      <c r="E1410" s="2368"/>
      <c r="F1410" s="2369"/>
      <c r="G1410" s="2370"/>
      <c r="H1410" s="2361">
        <f>SUBTOTAL(9,H1411:H1415)</f>
        <v>44487.6</v>
      </c>
      <c r="I1410" s="2371"/>
      <c r="J1410" s="2372"/>
      <c r="K1410" s="2555"/>
      <c r="L1410" s="2539">
        <f>SUBTOTAL(9,L1411:L1415)</f>
        <v>0</v>
      </c>
      <c r="M1410" s="2361">
        <f>SUBTOTAL(9,M1411:M1415)</f>
        <v>0</v>
      </c>
      <c r="N1410" s="2361">
        <f>SUBTOTAL(9,N1411:N1415)</f>
        <v>0</v>
      </c>
      <c r="O1410" s="2361">
        <f>SUBTOTAL(9,O1411:O1415)</f>
        <v>44487.6</v>
      </c>
      <c r="P1410" s="2295"/>
    </row>
    <row r="1411" spans="1:16" ht="45">
      <c r="A1411" s="2272" t="s">
        <v>14051</v>
      </c>
      <c r="B1411" s="2228">
        <f>VLOOKUP($A1411,'15 - QT_BCE'!$A:$F,2,0)</f>
        <v>103324</v>
      </c>
      <c r="C1411" s="2228" t="str">
        <f>VLOOKUP($A1411,'15 - QT_BCE'!$A:$F,3,0)</f>
        <v>SINAPI</v>
      </c>
      <c r="D1411" s="2375" t="s">
        <v>10760</v>
      </c>
      <c r="E1411" s="2243" t="str">
        <f>IFERROR(VLOOKUP($B1411,'24.08_ND'!$1:$1048529,3,0),IFERROR(VLOOKUP($B1411,'03-CP'!$C$1:$H$6260,3,0),""))</f>
        <v>M2</v>
      </c>
      <c r="F1411" s="2230">
        <v>379.55999999999995</v>
      </c>
      <c r="G1411" s="2232">
        <v>100.3</v>
      </c>
      <c r="H1411" s="2302">
        <f>TRUNC((G1411*F1411),2)</f>
        <v>38069.86</v>
      </c>
      <c r="I1411" s="2328"/>
      <c r="J1411" s="2237"/>
      <c r="K1411" s="2411"/>
      <c r="L1411" s="2533">
        <f>M1411+N1411</f>
        <v>0</v>
      </c>
      <c r="M1411" s="2238">
        <v>0</v>
      </c>
      <c r="N1411" s="2239">
        <f>TRUNC(H1411*K1411,2)</f>
        <v>0</v>
      </c>
      <c r="O1411" s="2498">
        <f>H1411-L1411</f>
        <v>38069.86</v>
      </c>
      <c r="P1411" s="2295">
        <f t="shared" si="294"/>
        <v>1</v>
      </c>
    </row>
    <row r="1412" spans="1:16" ht="45">
      <c r="A1412" s="2272" t="s">
        <v>14052</v>
      </c>
      <c r="B1412" s="2228">
        <f>VLOOKUP($A1412,'15 - QT_BCE'!$A:$F,2,0)</f>
        <v>96366</v>
      </c>
      <c r="C1412" s="2228" t="str">
        <f>VLOOKUP($A1412,'15 - QT_BCE'!$A:$F,3,0)</f>
        <v>SINAPI</v>
      </c>
      <c r="D1412" s="2375" t="s">
        <v>10820</v>
      </c>
      <c r="E1412" s="2243" t="str">
        <f>IFERROR(VLOOKUP($B1412,'24.08_ND'!$1:$1048529,3,0),IFERROR(VLOOKUP($B1412,'03-CP'!$C$1:$H$6260,3,0),""))</f>
        <v>M2</v>
      </c>
      <c r="F1412" s="2230">
        <v>9.0090000000000003</v>
      </c>
      <c r="G1412" s="2232">
        <v>183.26</v>
      </c>
      <c r="H1412" s="2302">
        <f>TRUNC((G1412*F1412),2)</f>
        <v>1650.98</v>
      </c>
      <c r="I1412" s="2287"/>
      <c r="J1412" s="2231"/>
      <c r="K1412" s="2412"/>
      <c r="L1412" s="2536"/>
      <c r="M1412" s="2232"/>
      <c r="N1412" s="2239"/>
      <c r="O1412" s="2498">
        <f>H1412-L1412</f>
        <v>1650.98</v>
      </c>
      <c r="P1412" s="2295">
        <f t="shared" si="294"/>
        <v>1</v>
      </c>
    </row>
    <row r="1413" spans="1:16" ht="30">
      <c r="A1413" s="2272" t="s">
        <v>14053</v>
      </c>
      <c r="B1413" s="2228">
        <f>VLOOKUP($A1413,'15 - QT_BCE'!$A:$F,2,0)</f>
        <v>93203</v>
      </c>
      <c r="C1413" s="2228" t="str">
        <f>VLOOKUP($A1413,'15 - QT_BCE'!$A:$F,3,0)</f>
        <v>SINAPI</v>
      </c>
      <c r="D1413" s="2375" t="s">
        <v>7614</v>
      </c>
      <c r="E1413" s="2243" t="str">
        <f>IFERROR(VLOOKUP($B1413,'24.08_ND'!$1:$1048529,3,0),IFERROR(VLOOKUP($B1413,'03-CP'!$C$1:$H$6260,3,0),""))</f>
        <v>M</v>
      </c>
      <c r="F1413" s="2230">
        <v>80.67</v>
      </c>
      <c r="G1413" s="2232">
        <v>15.62</v>
      </c>
      <c r="H1413" s="2302">
        <f>TRUNC((G1413*F1413),2)</f>
        <v>1260.06</v>
      </c>
      <c r="I1413" s="2287"/>
      <c r="J1413" s="2231"/>
      <c r="K1413" s="2412"/>
      <c r="L1413" s="2536"/>
      <c r="M1413" s="2232"/>
      <c r="N1413" s="2239"/>
      <c r="O1413" s="2498">
        <f>H1413-L1413</f>
        <v>1260.06</v>
      </c>
      <c r="P1413" s="2295">
        <f t="shared" si="294"/>
        <v>1</v>
      </c>
    </row>
    <row r="1414" spans="1:16" ht="30">
      <c r="A1414" s="2272" t="s">
        <v>14054</v>
      </c>
      <c r="B1414" s="2228">
        <f>VLOOKUP($A1414,'15 - QT_BCE'!$A:$F,2,0)</f>
        <v>105035</v>
      </c>
      <c r="C1414" s="2228" t="str">
        <f>VLOOKUP($A1414,'15 - QT_BCE'!$A:$F,3,0)</f>
        <v>SINAPI</v>
      </c>
      <c r="D1414" s="2375" t="s">
        <v>7630</v>
      </c>
      <c r="E1414" s="2243" t="str">
        <f>IFERROR(VLOOKUP($B1414,'24.08_ND'!$1:$1048529,3,0),IFERROR(VLOOKUP($B1414,'03-CP'!$C$1:$H$6260,3,0),""))</f>
        <v>M</v>
      </c>
      <c r="F1414" s="2230">
        <v>27.400000000000002</v>
      </c>
      <c r="G1414" s="2232">
        <v>73.91</v>
      </c>
      <c r="H1414" s="2302">
        <f>TRUNC((G1414*F1414),2)</f>
        <v>2025.13</v>
      </c>
      <c r="I1414" s="2287"/>
      <c r="J1414" s="2231"/>
      <c r="K1414" s="2412"/>
      <c r="L1414" s="2536"/>
      <c r="M1414" s="2232"/>
      <c r="N1414" s="2239"/>
      <c r="O1414" s="2498">
        <f>H1414-L1414</f>
        <v>2025.13</v>
      </c>
      <c r="P1414" s="2295">
        <f t="shared" si="294"/>
        <v>1</v>
      </c>
    </row>
    <row r="1415" spans="1:16">
      <c r="A1415" s="2272" t="s">
        <v>14055</v>
      </c>
      <c r="B1415" s="2228">
        <f>VLOOKUP($A1415,'15 - QT_BCE'!$A:$F,2,0)</f>
        <v>105038</v>
      </c>
      <c r="C1415" s="2228" t="str">
        <f>VLOOKUP($A1415,'15 - QT_BCE'!$A:$F,3,0)</f>
        <v>SINAPI</v>
      </c>
      <c r="D1415" s="2375" t="s">
        <v>7633</v>
      </c>
      <c r="E1415" s="2243" t="str">
        <f>IFERROR(VLOOKUP($B1415,'24.08_ND'!$1:$1048529,3,0),IFERROR(VLOOKUP($B1415,'03-CP'!$C$1:$H$6260,3,0),""))</f>
        <v>M</v>
      </c>
      <c r="F1415" s="2230">
        <v>20.100000000000001</v>
      </c>
      <c r="G1415" s="2232">
        <v>73.709999999999994</v>
      </c>
      <c r="H1415" s="2302">
        <f>TRUNC((G1415*F1415),2)</f>
        <v>1481.57</v>
      </c>
      <c r="I1415" s="2287"/>
      <c r="J1415" s="2231"/>
      <c r="K1415" s="2412"/>
      <c r="L1415" s="2536"/>
      <c r="M1415" s="2232"/>
      <c r="N1415" s="2239"/>
      <c r="O1415" s="2498">
        <f>H1415-L1415</f>
        <v>1481.57</v>
      </c>
      <c r="P1415" s="2295">
        <f t="shared" si="294"/>
        <v>1</v>
      </c>
    </row>
    <row r="1416" spans="1:16">
      <c r="A1416" s="2342" t="s">
        <v>14056</v>
      </c>
      <c r="B1416" s="2397"/>
      <c r="C1416" s="2401"/>
      <c r="D1416" s="2380" t="s">
        <v>16251</v>
      </c>
      <c r="E1416" s="2368"/>
      <c r="F1416" s="2369"/>
      <c r="G1416" s="2370"/>
      <c r="H1416" s="2361">
        <f>SUBTOTAL(9,H1417:H1419)</f>
        <v>51790.01</v>
      </c>
      <c r="I1416" s="2371"/>
      <c r="J1416" s="2372"/>
      <c r="K1416" s="2555"/>
      <c r="L1416" s="2539">
        <f>SUBTOTAL(9,L1417:L1419)</f>
        <v>0</v>
      </c>
      <c r="M1416" s="2361">
        <f>SUBTOTAL(9,M1417:M1419)</f>
        <v>0</v>
      </c>
      <c r="N1416" s="2361">
        <f>SUBTOTAL(9,N1417:N1419)</f>
        <v>0</v>
      </c>
      <c r="O1416" s="2361">
        <f>SUBTOTAL(9,O1417:O1419)</f>
        <v>51790.01</v>
      </c>
      <c r="P1416" s="2295">
        <f t="shared" si="294"/>
        <v>1</v>
      </c>
    </row>
    <row r="1417" spans="1:16" ht="45">
      <c r="A1417" s="2269" t="s">
        <v>14057</v>
      </c>
      <c r="B1417" s="2228">
        <f>VLOOKUP($A1417,'15 - QT_BCE'!$A:$F,2,0)</f>
        <v>87879</v>
      </c>
      <c r="C1417" s="2228" t="str">
        <f>VLOOKUP($A1417,'15 - QT_BCE'!$A:$F,3,0)</f>
        <v>SINAPI</v>
      </c>
      <c r="D1417" s="2375" t="s">
        <v>11265</v>
      </c>
      <c r="E1417" s="2243" t="str">
        <f>IFERROR(VLOOKUP($B1417,'24.08_ND'!$1:$1048529,3,0),IFERROR(VLOOKUP($B1417,'03-CP'!$C$1:$H$6260,3,0),""))</f>
        <v>M2</v>
      </c>
      <c r="F1417" s="2230">
        <v>759.04200000000014</v>
      </c>
      <c r="G1417" s="2232">
        <v>4.93</v>
      </c>
      <c r="H1417" s="2302">
        <f>TRUNC((G1417*F1417),2)</f>
        <v>3742.07</v>
      </c>
      <c r="I1417" s="2328"/>
      <c r="J1417" s="2237"/>
      <c r="K1417" s="2411"/>
      <c r="L1417" s="2533">
        <f>M1417+N1417</f>
        <v>0</v>
      </c>
      <c r="M1417" s="2238">
        <v>0</v>
      </c>
      <c r="N1417" s="2239">
        <f>TRUNC(H1417*K1417,2)</f>
        <v>0</v>
      </c>
      <c r="O1417" s="2498">
        <f>H1417-L1417</f>
        <v>3742.07</v>
      </c>
      <c r="P1417" s="2295">
        <f t="shared" si="294"/>
        <v>1</v>
      </c>
    </row>
    <row r="1418" spans="1:16" ht="45">
      <c r="A1418" s="2269" t="s">
        <v>14058</v>
      </c>
      <c r="B1418" s="2228">
        <f>VLOOKUP($A1418,'15 - QT_BCE'!$A:$F,2,0)</f>
        <v>87775</v>
      </c>
      <c r="C1418" s="2228" t="str">
        <f>VLOOKUP($A1418,'15 - QT_BCE'!$A:$F,3,0)</f>
        <v>SINAPI</v>
      </c>
      <c r="D1418" s="2375" t="s">
        <v>11326</v>
      </c>
      <c r="E1418" s="2243" t="str">
        <f>IFERROR(VLOOKUP($B1418,'24.08_ND'!$1:$1048529,3,0),IFERROR(VLOOKUP($B1418,'03-CP'!$C$1:$H$6260,3,0),""))</f>
        <v>M2</v>
      </c>
      <c r="F1418" s="2230">
        <v>759.04200000000014</v>
      </c>
      <c r="G1418" s="2232">
        <v>59.35</v>
      </c>
      <c r="H1418" s="2302">
        <f>TRUNC((G1418*F1418),2)</f>
        <v>45049.14</v>
      </c>
      <c r="I1418" s="2287"/>
      <c r="J1418" s="2231"/>
      <c r="K1418" s="2412"/>
      <c r="L1418" s="2536"/>
      <c r="M1418" s="2232"/>
      <c r="N1418" s="2239"/>
      <c r="O1418" s="2498">
        <f>H1418-L1418</f>
        <v>45049.14</v>
      </c>
      <c r="P1418" s="2295">
        <f t="shared" si="294"/>
        <v>1</v>
      </c>
    </row>
    <row r="1419" spans="1:16" ht="30">
      <c r="A1419" s="2269" t="s">
        <v>14059</v>
      </c>
      <c r="B1419" s="2228">
        <f>VLOOKUP($A1419,'15 - QT_BCE'!$A:$F,2,0)</f>
        <v>98555</v>
      </c>
      <c r="C1419" s="2228" t="str">
        <f>VLOOKUP($A1419,'15 - QT_BCE'!$A:$F,3,0)</f>
        <v>SINAPI</v>
      </c>
      <c r="D1419" s="2375" t="s">
        <v>7733</v>
      </c>
      <c r="E1419" s="2243" t="str">
        <f>IFERROR(VLOOKUP($B1419,'24.08_ND'!$1:$1048529,3,0),IFERROR(VLOOKUP($B1419,'03-CP'!$C$1:$H$6260,3,0),""))</f>
        <v>M2</v>
      </c>
      <c r="F1419" s="2230">
        <v>90</v>
      </c>
      <c r="G1419" s="2232">
        <v>33.32</v>
      </c>
      <c r="H1419" s="2302">
        <f>TRUNC((G1419*F1419),2)</f>
        <v>2998.8</v>
      </c>
      <c r="I1419" s="2287"/>
      <c r="J1419" s="2231"/>
      <c r="K1419" s="2412"/>
      <c r="L1419" s="2536"/>
      <c r="M1419" s="2232"/>
      <c r="N1419" s="2239"/>
      <c r="O1419" s="2498">
        <f>H1419-L1419</f>
        <v>2998.8</v>
      </c>
      <c r="P1419" s="2295">
        <f t="shared" si="294"/>
        <v>1</v>
      </c>
    </row>
    <row r="1420" spans="1:16">
      <c r="A1420" s="2342" t="s">
        <v>14060</v>
      </c>
      <c r="B1420" s="2397"/>
      <c r="C1420" s="2401"/>
      <c r="D1420" s="2380" t="s">
        <v>16256</v>
      </c>
      <c r="E1420" s="2368"/>
      <c r="F1420" s="2369"/>
      <c r="G1420" s="2370"/>
      <c r="H1420" s="2361">
        <f>SUBTOTAL(9,H1421:H1423)</f>
        <v>167198.57999999999</v>
      </c>
      <c r="I1420" s="2371"/>
      <c r="J1420" s="2372"/>
      <c r="K1420" s="2415"/>
      <c r="L1420" s="2539">
        <f>SUBTOTAL(9,L1421:L1423)</f>
        <v>0</v>
      </c>
      <c r="M1420" s="2361">
        <f>SUBTOTAL(9,M1421:M1423)</f>
        <v>0</v>
      </c>
      <c r="N1420" s="2361">
        <f>SUBTOTAL(9,N1421:N1423)</f>
        <v>0</v>
      </c>
      <c r="O1420" s="2361">
        <f>SUBTOTAL(9,O1421:O1423)</f>
        <v>167198.57999999999</v>
      </c>
      <c r="P1420" s="2295">
        <f t="shared" si="294"/>
        <v>1</v>
      </c>
    </row>
    <row r="1421" spans="1:16" ht="45">
      <c r="A1421" s="2269" t="s">
        <v>14061</v>
      </c>
      <c r="B1421" s="2228" t="str">
        <f>VLOOKUP($A1421,'15 - QT_BCE'!$A:$F,2,0)</f>
        <v>PS-CP-92</v>
      </c>
      <c r="C1421" s="2228" t="str">
        <f>VLOOKUP($A1421,'15 - QT_BCE'!$A:$F,3,0)</f>
        <v>PRÓPRIA</v>
      </c>
      <c r="D1421" s="2375" t="s">
        <v>14961</v>
      </c>
      <c r="E1421" s="2243" t="str">
        <f>IFERROR(VLOOKUP($B1421,'24.08_ND'!$1:$1048529,3,0),IFERROR(VLOOKUP($B1421,'03-CP'!$C$1:$H$6260,3,0),""))</f>
        <v>M2</v>
      </c>
      <c r="F1421" s="2230">
        <v>269.73500000000001</v>
      </c>
      <c r="G1421" s="2232">
        <v>326.25</v>
      </c>
      <c r="H1421" s="2302">
        <f>TRUNC((G1421*F1421),2)</f>
        <v>88001.04</v>
      </c>
      <c r="I1421" s="2328"/>
      <c r="J1421" s="2237"/>
      <c r="K1421" s="2411"/>
      <c r="L1421" s="2533">
        <f>M1421+N1421</f>
        <v>0</v>
      </c>
      <c r="M1421" s="2238">
        <v>0</v>
      </c>
      <c r="N1421" s="2239">
        <f>TRUNC(H1421*K1421,2)</f>
        <v>0</v>
      </c>
      <c r="O1421" s="2498">
        <f>H1421-L1421</f>
        <v>88001.04</v>
      </c>
      <c r="P1421" s="2295">
        <f t="shared" si="294"/>
        <v>1</v>
      </c>
    </row>
    <row r="1422" spans="1:16" ht="30">
      <c r="A1422" s="2269" t="s">
        <v>14062</v>
      </c>
      <c r="B1422" s="2228" t="str">
        <f>VLOOKUP($A1422,'15 - QT_BCE'!$A:$F,2,0)</f>
        <v>PS-CP-22</v>
      </c>
      <c r="C1422" s="2228" t="str">
        <f>VLOOKUP($A1422,'15 - QT_BCE'!$A:$F,3,0)</f>
        <v>PRÓPRIA</v>
      </c>
      <c r="D1422" s="2375" t="s">
        <v>14781</v>
      </c>
      <c r="E1422" s="2243" t="str">
        <f>IFERROR(VLOOKUP($B1422,'24.08_ND'!$1:$1048529,3,0),IFERROR(VLOOKUP($B1422,'03-CP'!$C$1:$H$6260,3,0),""))</f>
        <v>M</v>
      </c>
      <c r="F1422" s="2230">
        <v>65.419999999999987</v>
      </c>
      <c r="G1422" s="2232">
        <v>132.61000000000001</v>
      </c>
      <c r="H1422" s="2302">
        <f>TRUNC((G1422*F1422),2)</f>
        <v>8675.34</v>
      </c>
      <c r="I1422" s="2287"/>
      <c r="J1422" s="2231"/>
      <c r="K1422" s="2412"/>
      <c r="L1422" s="2536"/>
      <c r="M1422" s="2232"/>
      <c r="N1422" s="2239"/>
      <c r="O1422" s="2498">
        <f>H1422-L1422</f>
        <v>8675.34</v>
      </c>
      <c r="P1422" s="2295">
        <f t="shared" si="294"/>
        <v>1</v>
      </c>
    </row>
    <row r="1423" spans="1:16" ht="45">
      <c r="A1423" s="2269" t="s">
        <v>14063</v>
      </c>
      <c r="B1423" s="2228" t="str">
        <f>VLOOKUP($A1423,'15 - QT_BCE'!$A:$F,2,0)</f>
        <v>PS-CP-08</v>
      </c>
      <c r="C1423" s="2228" t="str">
        <f>VLOOKUP($A1423,'15 - QT_BCE'!$A:$F,3,0)</f>
        <v>PRÓPRIA</v>
      </c>
      <c r="D1423" s="2375" t="s">
        <v>14747</v>
      </c>
      <c r="E1423" s="2243" t="str">
        <f>IFERROR(VLOOKUP($B1423,'24.08_ND'!$1:$1048529,3,0),IFERROR(VLOOKUP($B1423,'03-CP'!$C$1:$H$6260,3,0),""))</f>
        <v>M2</v>
      </c>
      <c r="F1423" s="2230">
        <v>216.16</v>
      </c>
      <c r="G1423" s="2232">
        <v>326.25</v>
      </c>
      <c r="H1423" s="2302">
        <f>TRUNC((G1423*F1423),2)</f>
        <v>70522.2</v>
      </c>
      <c r="I1423" s="2287"/>
      <c r="J1423" s="2231"/>
      <c r="K1423" s="2412"/>
      <c r="L1423" s="2536"/>
      <c r="M1423" s="2232"/>
      <c r="N1423" s="2239"/>
      <c r="O1423" s="2498">
        <f>H1423-L1423</f>
        <v>70522.2</v>
      </c>
      <c r="P1423" s="2295">
        <f t="shared" si="294"/>
        <v>1</v>
      </c>
    </row>
    <row r="1424" spans="1:16">
      <c r="A1424" s="2342" t="s">
        <v>14064</v>
      </c>
      <c r="B1424" s="2397"/>
      <c r="C1424" s="2401"/>
      <c r="D1424" s="2380" t="s">
        <v>16267</v>
      </c>
      <c r="E1424" s="2368"/>
      <c r="F1424" s="2369"/>
      <c r="G1424" s="2370"/>
      <c r="H1424" s="2361">
        <f>SUBTOTAL(9,H1425:H1430)</f>
        <v>17484.36</v>
      </c>
      <c r="I1424" s="2371"/>
      <c r="J1424" s="2372"/>
      <c r="K1424" s="2555"/>
      <c r="L1424" s="2539">
        <f>SUBTOTAL(9,L1425:L1430)</f>
        <v>0</v>
      </c>
      <c r="M1424" s="2361">
        <f>SUBTOTAL(9,M1425:M1430)</f>
        <v>0</v>
      </c>
      <c r="N1424" s="2361">
        <f>SUBTOTAL(9,N1425:N1430)</f>
        <v>0</v>
      </c>
      <c r="O1424" s="2361">
        <f>SUBTOTAL(9,O1425:O1430)</f>
        <v>17484.36</v>
      </c>
      <c r="P1424" s="2295">
        <f t="shared" si="294"/>
        <v>1</v>
      </c>
    </row>
    <row r="1425" spans="1:16" ht="30">
      <c r="A1425" s="2272" t="s">
        <v>14065</v>
      </c>
      <c r="B1425" s="2228">
        <f>VLOOKUP($A1425,'15 - QT_BCE'!$A:$F,2,0)</f>
        <v>88485</v>
      </c>
      <c r="C1425" s="2228" t="str">
        <f>VLOOKUP($A1425,'15 - QT_BCE'!$A:$F,3,0)</f>
        <v>SINAPI</v>
      </c>
      <c r="D1425" s="2375" t="s">
        <v>11005</v>
      </c>
      <c r="E1425" s="2243" t="str">
        <f>IFERROR(VLOOKUP($B1425,'24.08_ND'!$1:$1048529,3,0),IFERROR(VLOOKUP($B1425,'03-CP'!$C$1:$H$6260,3,0),""))</f>
        <v>M2</v>
      </c>
      <c r="F1425" s="2230">
        <v>270.86399999999998</v>
      </c>
      <c r="G1425" s="2232">
        <v>3.67</v>
      </c>
      <c r="H1425" s="2302">
        <f t="shared" ref="H1425:H1430" si="295">TRUNC((G1425*F1425),2)</f>
        <v>994.07</v>
      </c>
      <c r="I1425" s="2328"/>
      <c r="J1425" s="2237"/>
      <c r="K1425" s="2411"/>
      <c r="L1425" s="2533">
        <f>M1425+N1425</f>
        <v>0</v>
      </c>
      <c r="M1425" s="2238">
        <v>0</v>
      </c>
      <c r="N1425" s="2239">
        <f>TRUNC(H1425*K1425,2)</f>
        <v>0</v>
      </c>
      <c r="O1425" s="2498">
        <f t="shared" ref="O1425:O1430" si="296">H1425-L1425</f>
        <v>994.07</v>
      </c>
      <c r="P1425" s="2295">
        <f t="shared" si="294"/>
        <v>1</v>
      </c>
    </row>
    <row r="1426" spans="1:16">
      <c r="A1426" s="2272" t="s">
        <v>14066</v>
      </c>
      <c r="B1426" s="2228">
        <f>VLOOKUP($A1426,'15 - QT_BCE'!$A:$F,2,0)</f>
        <v>95305</v>
      </c>
      <c r="C1426" s="2228" t="str">
        <f>VLOOKUP($A1426,'15 - QT_BCE'!$A:$F,3,0)</f>
        <v>SINAPI</v>
      </c>
      <c r="D1426" s="2375" t="s">
        <v>11012</v>
      </c>
      <c r="E1426" s="2243" t="str">
        <f>IFERROR(VLOOKUP($B1426,'24.08_ND'!$1:$1048529,3,0),IFERROR(VLOOKUP($B1426,'03-CP'!$C$1:$H$6260,3,0),""))</f>
        <v>M2</v>
      </c>
      <c r="F1426" s="2230">
        <v>243.50399999999999</v>
      </c>
      <c r="G1426" s="2232">
        <v>14.51</v>
      </c>
      <c r="H1426" s="2302">
        <f t="shared" si="295"/>
        <v>3533.24</v>
      </c>
      <c r="I1426" s="2287"/>
      <c r="J1426" s="2231"/>
      <c r="K1426" s="2412"/>
      <c r="L1426" s="2536"/>
      <c r="M1426" s="2232"/>
      <c r="N1426" s="2239"/>
      <c r="O1426" s="2498">
        <f t="shared" si="296"/>
        <v>3533.24</v>
      </c>
      <c r="P1426" s="2295">
        <f t="shared" si="294"/>
        <v>1</v>
      </c>
    </row>
    <row r="1427" spans="1:16">
      <c r="A1427" s="2272" t="s">
        <v>14067</v>
      </c>
      <c r="B1427" s="2228" t="str">
        <f>VLOOKUP($A1427,'15 - QT_BCE'!$A:$F,2,0)</f>
        <v>PS-CP-16</v>
      </c>
      <c r="C1427" s="2228" t="str">
        <f>VLOOKUP($A1427,'15 - QT_BCE'!$A:$F,3,0)</f>
        <v>PRÓPRIA</v>
      </c>
      <c r="D1427" s="2375" t="s">
        <v>14766</v>
      </c>
      <c r="E1427" s="2243" t="str">
        <f>IFERROR(VLOOKUP($B1427,'24.08_ND'!$1:$1048529,3,0),IFERROR(VLOOKUP($B1427,'03-CP'!$C$1:$H$6260,3,0),""))</f>
        <v>M2</v>
      </c>
      <c r="F1427" s="2230">
        <v>270.86399999999998</v>
      </c>
      <c r="G1427" s="2232">
        <v>28.87</v>
      </c>
      <c r="H1427" s="2302">
        <f t="shared" si="295"/>
        <v>7819.84</v>
      </c>
      <c r="I1427" s="2287"/>
      <c r="J1427" s="2231"/>
      <c r="K1427" s="2412"/>
      <c r="L1427" s="2536"/>
      <c r="M1427" s="2232"/>
      <c r="N1427" s="2239"/>
      <c r="O1427" s="2498">
        <f t="shared" si="296"/>
        <v>7819.84</v>
      </c>
      <c r="P1427" s="2295">
        <f t="shared" si="294"/>
        <v>1</v>
      </c>
    </row>
    <row r="1428" spans="1:16" ht="30">
      <c r="A1428" s="2272" t="s">
        <v>14068</v>
      </c>
      <c r="B1428" s="2228">
        <f>VLOOKUP($A1428,'15 - QT_BCE'!$A:$F,2,0)</f>
        <v>88484</v>
      </c>
      <c r="C1428" s="2228" t="str">
        <f>VLOOKUP($A1428,'15 - QT_BCE'!$A:$F,3,0)</f>
        <v>SINAPI</v>
      </c>
      <c r="D1428" s="2375" t="s">
        <v>11004</v>
      </c>
      <c r="E1428" s="2243" t="str">
        <f>IFERROR(VLOOKUP($B1428,'24.08_ND'!$1:$1048529,3,0),IFERROR(VLOOKUP($B1428,'03-CP'!$C$1:$H$6260,3,0),""))</f>
        <v>M2</v>
      </c>
      <c r="F1428" s="2230">
        <v>90.639999999999986</v>
      </c>
      <c r="G1428" s="2232">
        <v>4.67</v>
      </c>
      <c r="H1428" s="2302">
        <f t="shared" si="295"/>
        <v>423.28</v>
      </c>
      <c r="I1428" s="2287"/>
      <c r="J1428" s="2231"/>
      <c r="K1428" s="2412"/>
      <c r="L1428" s="2536"/>
      <c r="M1428" s="2232"/>
      <c r="N1428" s="2239"/>
      <c r="O1428" s="2498">
        <f t="shared" si="296"/>
        <v>423.28</v>
      </c>
      <c r="P1428" s="2295">
        <f t="shared" si="294"/>
        <v>1</v>
      </c>
    </row>
    <row r="1429" spans="1:16" ht="30">
      <c r="A1429" s="2272" t="s">
        <v>14069</v>
      </c>
      <c r="B1429" s="2228" t="str">
        <f>VLOOKUP($A1429,'15 - QT_BCE'!$A:$F,2,0)</f>
        <v>PS-CP-82</v>
      </c>
      <c r="C1429" s="2228" t="str">
        <f>VLOOKUP($A1429,'15 - QT_BCE'!$A:$F,3,0)</f>
        <v>PRÓPRIA</v>
      </c>
      <c r="D1429" s="2375" t="s">
        <v>14939</v>
      </c>
      <c r="E1429" s="2243" t="str">
        <f>IFERROR(VLOOKUP($B1429,'24.08_ND'!$1:$1048529,3,0),IFERROR(VLOOKUP($B1429,'03-CP'!$C$1:$H$6260,3,0),""))</f>
        <v>M2</v>
      </c>
      <c r="F1429" s="2230">
        <v>90.639999999999986</v>
      </c>
      <c r="G1429" s="2232">
        <v>36.729999999999997</v>
      </c>
      <c r="H1429" s="2302">
        <f t="shared" si="295"/>
        <v>3329.2</v>
      </c>
      <c r="I1429" s="2287"/>
      <c r="J1429" s="2231"/>
      <c r="K1429" s="2412"/>
      <c r="L1429" s="2536"/>
      <c r="M1429" s="2232"/>
      <c r="N1429" s="2239"/>
      <c r="O1429" s="2498">
        <f t="shared" si="296"/>
        <v>3329.2</v>
      </c>
      <c r="P1429" s="2295">
        <f t="shared" si="294"/>
        <v>1</v>
      </c>
    </row>
    <row r="1430" spans="1:16">
      <c r="A1430" s="2272" t="s">
        <v>14070</v>
      </c>
      <c r="B1430" s="2228" t="str">
        <f>VLOOKUP($A1430,'15 - QT_BCE'!$A:$F,2,0)</f>
        <v>PS-CP-81</v>
      </c>
      <c r="C1430" s="2228" t="str">
        <f>VLOOKUP($A1430,'15 - QT_BCE'!$A:$F,3,0)</f>
        <v>PRÓPRIA</v>
      </c>
      <c r="D1430" s="2375" t="s">
        <v>14937</v>
      </c>
      <c r="E1430" s="2243" t="str">
        <f>IFERROR(VLOOKUP($B1430,'24.08_ND'!$1:$1048529,3,0),IFERROR(VLOOKUP($B1430,'03-CP'!$C$1:$H$6260,3,0),""))</f>
        <v>M2</v>
      </c>
      <c r="F1430" s="2230">
        <v>76.419999999999987</v>
      </c>
      <c r="G1430" s="2232">
        <v>18.12</v>
      </c>
      <c r="H1430" s="2302">
        <f t="shared" si="295"/>
        <v>1384.73</v>
      </c>
      <c r="I1430" s="2287"/>
      <c r="J1430" s="2231"/>
      <c r="K1430" s="2412"/>
      <c r="L1430" s="2536"/>
      <c r="M1430" s="2232"/>
      <c r="N1430" s="2239"/>
      <c r="O1430" s="2498">
        <f t="shared" si="296"/>
        <v>1384.73</v>
      </c>
      <c r="P1430" s="2295">
        <f t="shared" si="294"/>
        <v>1</v>
      </c>
    </row>
    <row r="1431" spans="1:16">
      <c r="A1431" s="2342" t="s">
        <v>14071</v>
      </c>
      <c r="B1431" s="2397"/>
      <c r="C1431" s="2401"/>
      <c r="D1431" s="2380" t="s">
        <v>16279</v>
      </c>
      <c r="E1431" s="2368"/>
      <c r="F1431" s="2369"/>
      <c r="G1431" s="2370"/>
      <c r="H1431" s="2361">
        <f>SUBTOTAL(9,H1432:H1434)</f>
        <v>58153.38</v>
      </c>
      <c r="I1431" s="2371"/>
      <c r="J1431" s="2372"/>
      <c r="K1431" s="2555"/>
      <c r="L1431" s="2539">
        <f>SUBTOTAL(9,L1432:L1434)</f>
        <v>0</v>
      </c>
      <c r="M1431" s="2361">
        <f>SUBTOTAL(9,M1432:M1434)</f>
        <v>0</v>
      </c>
      <c r="N1431" s="2361">
        <f>SUBTOTAL(9,N1432:N1434)</f>
        <v>0</v>
      </c>
      <c r="O1431" s="2361">
        <f>SUBTOTAL(9,O1432:O1434)</f>
        <v>58153.38</v>
      </c>
      <c r="P1431" s="2295">
        <f t="shared" si="294"/>
        <v>1</v>
      </c>
    </row>
    <row r="1432" spans="1:16" ht="30">
      <c r="A1432" s="2272" t="s">
        <v>14072</v>
      </c>
      <c r="B1432" s="2228" t="str">
        <f>VLOOKUP($A1432,'15 - QT_BCE'!$A:$F,2,0)</f>
        <v>AS-CP-ARQ-40</v>
      </c>
      <c r="C1432" s="2228" t="str">
        <f>VLOOKUP($A1432,'15 - QT_BCE'!$A:$F,3,0)</f>
        <v>PRÓPRIA</v>
      </c>
      <c r="D1432" s="2375" t="s">
        <v>15065</v>
      </c>
      <c r="E1432" s="2243" t="str">
        <f>IFERROR(VLOOKUP($B1432,'24.08_ND'!$1:$1048529,3,0),IFERROR(VLOOKUP($B1432,'03-CP'!$C$1:$H$6260,3,0),""))</f>
        <v>M2</v>
      </c>
      <c r="F1432" s="2230">
        <v>12.39</v>
      </c>
      <c r="G1432" s="2232">
        <v>1258.97</v>
      </c>
      <c r="H1432" s="2302">
        <f>TRUNC((G1432*F1432),2)</f>
        <v>15598.63</v>
      </c>
      <c r="I1432" s="2328"/>
      <c r="J1432" s="2237"/>
      <c r="K1432" s="2411"/>
      <c r="L1432" s="2533">
        <f>M1432+N1432</f>
        <v>0</v>
      </c>
      <c r="M1432" s="2238">
        <v>0</v>
      </c>
      <c r="N1432" s="2239">
        <f>TRUNC(H1432*K1432,2)</f>
        <v>0</v>
      </c>
      <c r="O1432" s="2498">
        <f>H1432-L1432</f>
        <v>15598.63</v>
      </c>
      <c r="P1432" s="2295">
        <f t="shared" si="294"/>
        <v>1</v>
      </c>
    </row>
    <row r="1433" spans="1:16" ht="30">
      <c r="A1433" s="2272" t="s">
        <v>14073</v>
      </c>
      <c r="B1433" s="2228" t="str">
        <f>VLOOKUP($A1433,'15 - QT_BCE'!$A:$F,2,0)</f>
        <v>AS-CP-ARQ-39</v>
      </c>
      <c r="C1433" s="2228" t="str">
        <f>VLOOKUP($A1433,'15 - QT_BCE'!$A:$F,3,0)</f>
        <v>PRÓPRIA</v>
      </c>
      <c r="D1433" s="2375" t="s">
        <v>15063</v>
      </c>
      <c r="E1433" s="2243" t="str">
        <f>IFERROR(VLOOKUP($B1433,'24.08_ND'!$1:$1048529,3,0),IFERROR(VLOOKUP($B1433,'03-CP'!$C$1:$H$6260,3,0),""))</f>
        <v>M2</v>
      </c>
      <c r="F1433" s="2230">
        <v>21.76</v>
      </c>
      <c r="G1433" s="2232">
        <v>1623.62</v>
      </c>
      <c r="H1433" s="2302">
        <f>TRUNC((G1433*F1433),2)</f>
        <v>35329.97</v>
      </c>
      <c r="I1433" s="2287"/>
      <c r="J1433" s="2231"/>
      <c r="K1433" s="2412"/>
      <c r="L1433" s="2536"/>
      <c r="M1433" s="2232"/>
      <c r="N1433" s="2239"/>
      <c r="O1433" s="2498">
        <f>H1433-L1433</f>
        <v>35329.97</v>
      </c>
      <c r="P1433" s="2295">
        <f t="shared" si="294"/>
        <v>1</v>
      </c>
    </row>
    <row r="1434" spans="1:16" ht="30">
      <c r="A1434" s="2272" t="s">
        <v>14074</v>
      </c>
      <c r="B1434" s="2228" t="str">
        <f>VLOOKUP($A1434,'15 - QT_BCE'!$A:$F,2,0)</f>
        <v>AS-CP-ARQ-18</v>
      </c>
      <c r="C1434" s="2228" t="str">
        <f>VLOOKUP($A1434,'15 - QT_BCE'!$A:$F,3,0)</f>
        <v>PRÓPRIA</v>
      </c>
      <c r="D1434" s="2375" t="s">
        <v>15015</v>
      </c>
      <c r="E1434" s="2243" t="str">
        <f>IFERROR(VLOOKUP($B1434,'24.08_ND'!$1:$1048529,3,0),IFERROR(VLOOKUP($B1434,'03-CP'!$C$1:$H$6260,3,0),""))</f>
        <v>M2</v>
      </c>
      <c r="F1434" s="2230">
        <v>4.08</v>
      </c>
      <c r="G1434" s="2232">
        <v>1770.78</v>
      </c>
      <c r="H1434" s="2302">
        <f>TRUNC((G1434*F1434),2)</f>
        <v>7224.78</v>
      </c>
      <c r="I1434" s="2287"/>
      <c r="J1434" s="2231"/>
      <c r="K1434" s="2412"/>
      <c r="L1434" s="2536"/>
      <c r="M1434" s="2232"/>
      <c r="N1434" s="2239"/>
      <c r="O1434" s="2498">
        <f>H1434-L1434</f>
        <v>7224.78</v>
      </c>
      <c r="P1434" s="2295">
        <f t="shared" si="294"/>
        <v>1</v>
      </c>
    </row>
    <row r="1435" spans="1:16">
      <c r="A1435" s="2342" t="s">
        <v>14075</v>
      </c>
      <c r="B1435" s="2397"/>
      <c r="C1435" s="2401"/>
      <c r="D1435" s="2380" t="s">
        <v>16284</v>
      </c>
      <c r="E1435" s="2368"/>
      <c r="F1435" s="2369"/>
      <c r="G1435" s="2370"/>
      <c r="H1435" s="2361">
        <f>SUBTOTAL(9,H1436:H1443)</f>
        <v>116273.97</v>
      </c>
      <c r="I1435" s="2371"/>
      <c r="J1435" s="2372"/>
      <c r="K1435" s="2555"/>
      <c r="L1435" s="2539">
        <f>SUBTOTAL(9,L1436:L1443)</f>
        <v>0</v>
      </c>
      <c r="M1435" s="2361">
        <f>SUBTOTAL(9,M1436:M1443)</f>
        <v>0</v>
      </c>
      <c r="N1435" s="2361">
        <f>SUBTOTAL(9,N1436:N1443)</f>
        <v>0</v>
      </c>
      <c r="O1435" s="2361">
        <f>SUBTOTAL(9,O1436:O1443)</f>
        <v>116273.97</v>
      </c>
      <c r="P1435" s="2295">
        <f t="shared" si="294"/>
        <v>1</v>
      </c>
    </row>
    <row r="1436" spans="1:16">
      <c r="A1436" s="2269" t="s">
        <v>14076</v>
      </c>
      <c r="B1436" s="2228">
        <f>VLOOKUP($A1436,'15 - QT_BCE'!$A:$F,2,0)</f>
        <v>96113</v>
      </c>
      <c r="C1436" s="2228" t="str">
        <f>VLOOKUP($A1436,'15 - QT_BCE'!$A:$F,3,0)</f>
        <v>SINAPI</v>
      </c>
      <c r="D1436" s="2375" t="s">
        <v>11508</v>
      </c>
      <c r="E1436" s="2243" t="str">
        <f>IFERROR(VLOOKUP($B1436,'24.08_ND'!$1:$1048529,3,0),IFERROR(VLOOKUP($B1436,'03-CP'!$C$1:$H$6260,3,0),""))</f>
        <v>M2</v>
      </c>
      <c r="F1436" s="2230">
        <v>78.22</v>
      </c>
      <c r="G1436" s="2232">
        <v>52.76</v>
      </c>
      <c r="H1436" s="2302">
        <f t="shared" ref="H1436:H1443" si="297">TRUNC((G1436*F1436),2)</f>
        <v>4126.88</v>
      </c>
      <c r="I1436" s="2328"/>
      <c r="J1436" s="2237"/>
      <c r="K1436" s="2411"/>
      <c r="L1436" s="2533">
        <f>M1436+N1436</f>
        <v>0</v>
      </c>
      <c r="M1436" s="2238">
        <v>0</v>
      </c>
      <c r="N1436" s="2239">
        <f>TRUNC(H1436*K1436,2)</f>
        <v>0</v>
      </c>
      <c r="O1436" s="2498">
        <f t="shared" ref="O1436:O1443" si="298">H1436-L1436</f>
        <v>4126.88</v>
      </c>
      <c r="P1436" s="2295">
        <f t="shared" si="294"/>
        <v>1</v>
      </c>
    </row>
    <row r="1437" spans="1:16" ht="30">
      <c r="A1437" s="2269" t="s">
        <v>14077</v>
      </c>
      <c r="B1437" s="2228" t="str">
        <f>VLOOKUP($A1437,'15 - QT_BCE'!$A:$F,2,0)</f>
        <v>AS-CP-ARQ-42</v>
      </c>
      <c r="C1437" s="2228" t="str">
        <f>VLOOKUP($A1437,'15 - QT_BCE'!$A:$F,3,0)</f>
        <v>PRÓPRIA</v>
      </c>
      <c r="D1437" s="2375" t="s">
        <v>15069</v>
      </c>
      <c r="E1437" s="2243" t="str">
        <f>IFERROR(VLOOKUP($B1437,'24.08_ND'!$1:$1048529,3,0),IFERROR(VLOOKUP($B1437,'03-CP'!$C$1:$H$6260,3,0),""))</f>
        <v>M</v>
      </c>
      <c r="F1437" s="2230">
        <v>41.84</v>
      </c>
      <c r="G1437" s="2232">
        <v>16.22</v>
      </c>
      <c r="H1437" s="2302">
        <f t="shared" si="297"/>
        <v>678.64</v>
      </c>
      <c r="I1437" s="2287"/>
      <c r="J1437" s="2231"/>
      <c r="K1437" s="2412"/>
      <c r="L1437" s="2536"/>
      <c r="M1437" s="2232"/>
      <c r="N1437" s="2239"/>
      <c r="O1437" s="2498">
        <f t="shared" si="298"/>
        <v>678.64</v>
      </c>
      <c r="P1437" s="2295">
        <f t="shared" si="294"/>
        <v>1</v>
      </c>
    </row>
    <row r="1438" spans="1:16">
      <c r="A1438" s="2269" t="s">
        <v>14078</v>
      </c>
      <c r="B1438" s="2228" t="str">
        <f>VLOOKUP($A1438,'15 - QT_BCE'!$A:$F,2,0)</f>
        <v>PS-CP-94</v>
      </c>
      <c r="C1438" s="2228" t="str">
        <f>VLOOKUP($A1438,'15 - QT_BCE'!$A:$F,3,0)</f>
        <v>PRÓPRIA</v>
      </c>
      <c r="D1438" s="2375" t="s">
        <v>14965</v>
      </c>
      <c r="E1438" s="2243" t="str">
        <f>IFERROR(VLOOKUP($B1438,'24.08_ND'!$1:$1048529,3,0),IFERROR(VLOOKUP($B1438,'03-CP'!$C$1:$H$6260,3,0),""))</f>
        <v>M</v>
      </c>
      <c r="F1438" s="2230">
        <v>48.15</v>
      </c>
      <c r="G1438" s="2232">
        <v>27.95</v>
      </c>
      <c r="H1438" s="2302">
        <f t="shared" si="297"/>
        <v>1345.79</v>
      </c>
      <c r="I1438" s="2287"/>
      <c r="J1438" s="2231"/>
      <c r="K1438" s="2412"/>
      <c r="L1438" s="2536"/>
      <c r="M1438" s="2232"/>
      <c r="N1438" s="2239"/>
      <c r="O1438" s="2498">
        <f t="shared" si="298"/>
        <v>1345.79</v>
      </c>
      <c r="P1438" s="2295">
        <f t="shared" si="294"/>
        <v>1</v>
      </c>
    </row>
    <row r="1439" spans="1:16" ht="30">
      <c r="A1439" s="2269" t="s">
        <v>14079</v>
      </c>
      <c r="B1439" s="2228" t="str">
        <f>VLOOKUP($A1439,'15 - QT_BCE'!$A:$F,2,0)</f>
        <v>PS-CP-59</v>
      </c>
      <c r="C1439" s="2228" t="str">
        <f>VLOOKUP($A1439,'15 - QT_BCE'!$A:$F,3,0)</f>
        <v>PRÓPRIA</v>
      </c>
      <c r="D1439" s="2375" t="s">
        <v>14886</v>
      </c>
      <c r="E1439" s="2243" t="str">
        <f>IFERROR(VLOOKUP($B1439,'24.08_ND'!$1:$1048529,3,0),IFERROR(VLOOKUP($B1439,'03-CP'!$C$1:$H$6260,3,0),""))</f>
        <v>M2</v>
      </c>
      <c r="F1439" s="2230">
        <v>271.85399999999998</v>
      </c>
      <c r="G1439" s="2232">
        <v>170.07</v>
      </c>
      <c r="H1439" s="2302">
        <f t="shared" si="297"/>
        <v>46234.2</v>
      </c>
      <c r="I1439" s="2287"/>
      <c r="J1439" s="2231"/>
      <c r="K1439" s="2412"/>
      <c r="L1439" s="2536"/>
      <c r="M1439" s="2232"/>
      <c r="N1439" s="2239"/>
      <c r="O1439" s="2498">
        <f t="shared" si="298"/>
        <v>46234.2</v>
      </c>
      <c r="P1439" s="2295">
        <f t="shared" si="294"/>
        <v>1</v>
      </c>
    </row>
    <row r="1440" spans="1:16" ht="30">
      <c r="A1440" s="2269" t="s">
        <v>14080</v>
      </c>
      <c r="B1440" s="2228" t="str">
        <f>VLOOKUP($A1440,'15 - QT_BCE'!$A:$F,2,0)</f>
        <v>PS-CP-90</v>
      </c>
      <c r="C1440" s="2228" t="str">
        <f>VLOOKUP($A1440,'15 - QT_BCE'!$A:$F,3,0)</f>
        <v>PRÓPRIA</v>
      </c>
      <c r="D1440" s="2375" t="s">
        <v>14957</v>
      </c>
      <c r="E1440" s="2243" t="str">
        <f>IFERROR(VLOOKUP($B1440,'24.08_ND'!$1:$1048529,3,0),IFERROR(VLOOKUP($B1440,'03-CP'!$C$1:$H$6260,3,0),""))</f>
        <v>M2</v>
      </c>
      <c r="F1440" s="2230">
        <v>122.38559999999998</v>
      </c>
      <c r="G1440" s="2232">
        <v>215.72</v>
      </c>
      <c r="H1440" s="2302">
        <f t="shared" si="297"/>
        <v>26401.02</v>
      </c>
      <c r="I1440" s="2287"/>
      <c r="J1440" s="2231"/>
      <c r="K1440" s="2412"/>
      <c r="L1440" s="2536"/>
      <c r="M1440" s="2232"/>
      <c r="N1440" s="2239"/>
      <c r="O1440" s="2498">
        <f t="shared" si="298"/>
        <v>26401.02</v>
      </c>
      <c r="P1440" s="2295">
        <f t="shared" si="294"/>
        <v>1</v>
      </c>
    </row>
    <row r="1441" spans="1:16" ht="30">
      <c r="A1441" s="2269" t="s">
        <v>14081</v>
      </c>
      <c r="B1441" s="2228" t="str">
        <f>VLOOKUP($A1441,'15 - QT_BCE'!$A:$F,2,0)</f>
        <v>PS-CP-58</v>
      </c>
      <c r="C1441" s="2228" t="str">
        <f>VLOOKUP($A1441,'15 - QT_BCE'!$A:$F,3,0)</f>
        <v>PRÓPRIA</v>
      </c>
      <c r="D1441" s="2375" t="s">
        <v>14883</v>
      </c>
      <c r="E1441" s="2243" t="str">
        <f>IFERROR(VLOOKUP($B1441,'24.08_ND'!$1:$1048529,3,0),IFERROR(VLOOKUP($B1441,'03-CP'!$C$1:$H$6260,3,0),""))</f>
        <v>M</v>
      </c>
      <c r="F1441" s="2230">
        <v>12.96</v>
      </c>
      <c r="G1441" s="2232">
        <v>43.28</v>
      </c>
      <c r="H1441" s="2302">
        <f t="shared" si="297"/>
        <v>560.9</v>
      </c>
      <c r="I1441" s="2287"/>
      <c r="J1441" s="2231"/>
      <c r="K1441" s="2412"/>
      <c r="L1441" s="2536"/>
      <c r="M1441" s="2232"/>
      <c r="N1441" s="2239"/>
      <c r="O1441" s="2498">
        <f t="shared" si="298"/>
        <v>560.9</v>
      </c>
      <c r="P1441" s="2295">
        <f t="shared" si="294"/>
        <v>1</v>
      </c>
    </row>
    <row r="1442" spans="1:16" ht="30">
      <c r="A1442" s="2269" t="s">
        <v>14082</v>
      </c>
      <c r="B1442" s="2228" t="str">
        <f>VLOOKUP($A1442,'15 - QT_BCE'!$A:$F,2,0)</f>
        <v>AS-CP-ARQ-26</v>
      </c>
      <c r="C1442" s="2228" t="str">
        <f>VLOOKUP($A1442,'15 - QT_BCE'!$A:$F,3,0)</f>
        <v>PRÓPRIA</v>
      </c>
      <c r="D1442" s="2375" t="s">
        <v>15033</v>
      </c>
      <c r="E1442" s="2243" t="str">
        <f>IFERROR(VLOOKUP($B1442,'24.08_ND'!$1:$1048529,3,0),IFERROR(VLOOKUP($B1442,'03-CP'!$C$1:$H$6260,3,0),""))</f>
        <v>M2</v>
      </c>
      <c r="F1442" s="2230">
        <v>186.04</v>
      </c>
      <c r="G1442" s="2232">
        <v>197.98</v>
      </c>
      <c r="H1442" s="2302">
        <f t="shared" si="297"/>
        <v>36832.19</v>
      </c>
      <c r="I1442" s="2287"/>
      <c r="J1442" s="2231"/>
      <c r="K1442" s="2412"/>
      <c r="L1442" s="2536"/>
      <c r="M1442" s="2232"/>
      <c r="N1442" s="2239"/>
      <c r="O1442" s="2498">
        <f t="shared" si="298"/>
        <v>36832.19</v>
      </c>
      <c r="P1442" s="2295">
        <f t="shared" si="294"/>
        <v>1</v>
      </c>
    </row>
    <row r="1443" spans="1:16">
      <c r="A1443" s="2269" t="s">
        <v>14083</v>
      </c>
      <c r="B1443" s="2228" t="str">
        <f>VLOOKUP($A1443,'15 - QT_BCE'!$A:$F,2,0)</f>
        <v>PS-CP-95</v>
      </c>
      <c r="C1443" s="2228" t="str">
        <f>VLOOKUP($A1443,'15 - QT_BCE'!$A:$F,3,0)</f>
        <v>PRÓPRIA</v>
      </c>
      <c r="D1443" s="2375" t="s">
        <v>14967</v>
      </c>
      <c r="E1443" s="2243" t="str">
        <f>IFERROR(VLOOKUP($B1443,'24.08_ND'!$1:$1048529,3,0),IFERROR(VLOOKUP($B1443,'03-CP'!$C$1:$H$6260,3,0),""))</f>
        <v>M</v>
      </c>
      <c r="F1443" s="2230">
        <v>3.6</v>
      </c>
      <c r="G1443" s="2232">
        <v>26.21</v>
      </c>
      <c r="H1443" s="2302">
        <f t="shared" si="297"/>
        <v>94.35</v>
      </c>
      <c r="I1443" s="2287"/>
      <c r="J1443" s="2231"/>
      <c r="K1443" s="2412"/>
      <c r="L1443" s="2536"/>
      <c r="M1443" s="2232"/>
      <c r="N1443" s="2239"/>
      <c r="O1443" s="2498">
        <f t="shared" si="298"/>
        <v>94.35</v>
      </c>
      <c r="P1443" s="2295">
        <f t="shared" si="294"/>
        <v>1</v>
      </c>
    </row>
    <row r="1444" spans="1:16">
      <c r="A1444" s="2342" t="s">
        <v>14084</v>
      </c>
      <c r="B1444" s="2397"/>
      <c r="C1444" s="2401"/>
      <c r="D1444" s="2380" t="s">
        <v>16290</v>
      </c>
      <c r="E1444" s="2368"/>
      <c r="F1444" s="2369"/>
      <c r="G1444" s="2370"/>
      <c r="H1444" s="2361">
        <f>SUBTOTAL(9,H1445:H1454)</f>
        <v>210541.41</v>
      </c>
      <c r="I1444" s="2371"/>
      <c r="J1444" s="2372"/>
      <c r="K1444" s="2555"/>
      <c r="L1444" s="2539">
        <f>SUBTOTAL(9,L1445:L1454)</f>
        <v>0</v>
      </c>
      <c r="M1444" s="2361">
        <f>SUBTOTAL(9,M1445:M1454)</f>
        <v>0</v>
      </c>
      <c r="N1444" s="2361">
        <f>SUBTOTAL(9,N1445:N1454)</f>
        <v>0</v>
      </c>
      <c r="O1444" s="2361">
        <f>SUBTOTAL(9,O1445:O1454)</f>
        <v>210541.41</v>
      </c>
      <c r="P1444" s="2295">
        <f t="shared" si="294"/>
        <v>1</v>
      </c>
    </row>
    <row r="1445" spans="1:16">
      <c r="A1445" s="2269" t="s">
        <v>14085</v>
      </c>
      <c r="B1445" s="2228" t="str">
        <f>VLOOKUP($A1445,'15 - QT_BCE'!$A:$F,2,0)</f>
        <v>PS-CP-91</v>
      </c>
      <c r="C1445" s="2228" t="str">
        <f>VLOOKUP($A1445,'15 - QT_BCE'!$A:$F,3,0)</f>
        <v>PRÓPRIA</v>
      </c>
      <c r="D1445" s="2375" t="s">
        <v>14959</v>
      </c>
      <c r="E1445" s="2243" t="str">
        <f>IFERROR(VLOOKUP($B1445,'24.08_ND'!$1:$1048529,3,0),IFERROR(VLOOKUP($B1445,'03-CP'!$C$1:$H$6260,3,0),""))</f>
        <v>M2</v>
      </c>
      <c r="F1445" s="2230">
        <v>7.5</v>
      </c>
      <c r="G1445" s="2232">
        <v>781.26</v>
      </c>
      <c r="H1445" s="2302">
        <f t="shared" ref="H1445:H1454" si="299">TRUNC((G1445*F1445),2)</f>
        <v>5859.45</v>
      </c>
      <c r="I1445" s="2328"/>
      <c r="J1445" s="2237"/>
      <c r="K1445" s="2411"/>
      <c r="L1445" s="2533">
        <f>M1445+N1445</f>
        <v>0</v>
      </c>
      <c r="M1445" s="2238">
        <v>0</v>
      </c>
      <c r="N1445" s="2239">
        <f>TRUNC(H1445*K1445,2)</f>
        <v>0</v>
      </c>
      <c r="O1445" s="2498">
        <f t="shared" ref="O1445:O1454" si="300">H1445-L1445</f>
        <v>5859.45</v>
      </c>
      <c r="P1445" s="2295">
        <f t="shared" si="294"/>
        <v>1</v>
      </c>
    </row>
    <row r="1446" spans="1:16" ht="60">
      <c r="A1446" s="2269" t="s">
        <v>14086</v>
      </c>
      <c r="B1446" s="2228" t="str">
        <f>VLOOKUP($A1446,'15 - QT_BCE'!$A:$F,2,0)</f>
        <v>AS-CP-ARQ-20</v>
      </c>
      <c r="C1446" s="2228" t="str">
        <f>VLOOKUP($A1446,'15 - QT_BCE'!$A:$F,3,0)</f>
        <v>PRÓPRIA</v>
      </c>
      <c r="D1446" s="2375" t="s">
        <v>15021</v>
      </c>
      <c r="E1446" s="2243" t="str">
        <f>IFERROR(VLOOKUP($B1446,'24.08_ND'!$1:$1048529,3,0),IFERROR(VLOOKUP($B1446,'03-CP'!$C$1:$H$6260,3,0),""))</f>
        <v>M2</v>
      </c>
      <c r="F1446" s="2230">
        <v>14.25</v>
      </c>
      <c r="G1446" s="2232">
        <v>935.2</v>
      </c>
      <c r="H1446" s="2302">
        <f t="shared" si="299"/>
        <v>13326.6</v>
      </c>
      <c r="I1446" s="2287"/>
      <c r="J1446" s="2231"/>
      <c r="K1446" s="2412"/>
      <c r="L1446" s="2536"/>
      <c r="M1446" s="2232"/>
      <c r="N1446" s="2239"/>
      <c r="O1446" s="2498">
        <f t="shared" si="300"/>
        <v>13326.6</v>
      </c>
      <c r="P1446" s="2295">
        <f t="shared" si="294"/>
        <v>1</v>
      </c>
    </row>
    <row r="1447" spans="1:16" ht="30">
      <c r="A1447" s="2269" t="s">
        <v>14087</v>
      </c>
      <c r="B1447" s="2228" t="str">
        <f>VLOOKUP($A1447,'15 - QT_BCE'!$A:$F,2,0)</f>
        <v>AS-CP-ARQ-21</v>
      </c>
      <c r="C1447" s="2228" t="str">
        <f>VLOOKUP($A1447,'15 - QT_BCE'!$A:$F,3,0)</f>
        <v>PRÓPRIA</v>
      </c>
      <c r="D1447" s="2375" t="s">
        <v>15023</v>
      </c>
      <c r="E1447" s="2243" t="str">
        <f>IFERROR(VLOOKUP($B1447,'24.08_ND'!$1:$1048529,3,0),IFERROR(VLOOKUP($B1447,'03-CP'!$C$1:$H$6260,3,0),""))</f>
        <v>M2</v>
      </c>
      <c r="F1447" s="2230">
        <v>7.5404</v>
      </c>
      <c r="G1447" s="2232">
        <v>1061.03</v>
      </c>
      <c r="H1447" s="2302">
        <f t="shared" si="299"/>
        <v>8000.59</v>
      </c>
      <c r="I1447" s="2287"/>
      <c r="J1447" s="2231"/>
      <c r="K1447" s="2412"/>
      <c r="L1447" s="2536"/>
      <c r="M1447" s="2232"/>
      <c r="N1447" s="2239"/>
      <c r="O1447" s="2498">
        <f t="shared" si="300"/>
        <v>8000.59</v>
      </c>
      <c r="P1447" s="2295">
        <f t="shared" si="294"/>
        <v>1</v>
      </c>
    </row>
    <row r="1448" spans="1:16" ht="30">
      <c r="A1448" s="2269" t="s">
        <v>14088</v>
      </c>
      <c r="B1448" s="2228" t="str">
        <f>VLOOKUP($A1448,'15 - QT_BCE'!$A:$F,2,0)</f>
        <v>AS-CP-ARQ-22</v>
      </c>
      <c r="C1448" s="2228" t="str">
        <f>VLOOKUP($A1448,'15 - QT_BCE'!$A:$F,3,0)</f>
        <v>PRÓPRIA</v>
      </c>
      <c r="D1448" s="2375" t="s">
        <v>15025</v>
      </c>
      <c r="E1448" s="2243" t="str">
        <f>IFERROR(VLOOKUP($B1448,'24.08_ND'!$1:$1048529,3,0),IFERROR(VLOOKUP($B1448,'03-CP'!$C$1:$H$6260,3,0),""))</f>
        <v>M2</v>
      </c>
      <c r="F1448" s="2230">
        <v>53.010000000000005</v>
      </c>
      <c r="G1448" s="2232">
        <v>890.08</v>
      </c>
      <c r="H1448" s="2302">
        <f t="shared" si="299"/>
        <v>47183.14</v>
      </c>
      <c r="I1448" s="2287"/>
      <c r="J1448" s="2231"/>
      <c r="K1448" s="2412"/>
      <c r="L1448" s="2536"/>
      <c r="M1448" s="2232"/>
      <c r="N1448" s="2239"/>
      <c r="O1448" s="2498">
        <f t="shared" si="300"/>
        <v>47183.14</v>
      </c>
      <c r="P1448" s="2295">
        <f t="shared" si="294"/>
        <v>1</v>
      </c>
    </row>
    <row r="1449" spans="1:16" ht="30">
      <c r="A1449" s="2269" t="s">
        <v>14089</v>
      </c>
      <c r="B1449" s="2228" t="str">
        <f>VLOOKUP($A1449,'15 - QT_BCE'!$A:$F,2,0)</f>
        <v>AS-CP-ARQ-23</v>
      </c>
      <c r="C1449" s="2228" t="str">
        <f>VLOOKUP($A1449,'15 - QT_BCE'!$A:$F,3,0)</f>
        <v>PRÓPRIA</v>
      </c>
      <c r="D1449" s="2375" t="s">
        <v>15027</v>
      </c>
      <c r="E1449" s="2243" t="str">
        <f>IFERROR(VLOOKUP($B1449,'24.08_ND'!$1:$1048529,3,0),IFERROR(VLOOKUP($B1449,'03-CP'!$C$1:$H$6260,3,0),""))</f>
        <v>M2</v>
      </c>
      <c r="F1449" s="2230">
        <v>2.88</v>
      </c>
      <c r="G1449" s="2232">
        <v>945.81</v>
      </c>
      <c r="H1449" s="2302">
        <f t="shared" si="299"/>
        <v>2723.93</v>
      </c>
      <c r="I1449" s="2287"/>
      <c r="J1449" s="2231"/>
      <c r="K1449" s="2412"/>
      <c r="L1449" s="2536"/>
      <c r="M1449" s="2232"/>
      <c r="N1449" s="2239"/>
      <c r="O1449" s="2498">
        <f t="shared" si="300"/>
        <v>2723.93</v>
      </c>
      <c r="P1449" s="2295">
        <f t="shared" si="294"/>
        <v>1</v>
      </c>
    </row>
    <row r="1450" spans="1:16" ht="30">
      <c r="A1450" s="2269" t="s">
        <v>14090</v>
      </c>
      <c r="B1450" s="2228" t="str">
        <f>VLOOKUP($A1450,'15 - QT_BCE'!$A:$F,2,0)</f>
        <v>AS-CP-ARQ-24</v>
      </c>
      <c r="C1450" s="2228" t="str">
        <f>VLOOKUP($A1450,'15 - QT_BCE'!$A:$F,3,0)</f>
        <v>PRÓPRIA</v>
      </c>
      <c r="D1450" s="2375" t="s">
        <v>15029</v>
      </c>
      <c r="E1450" s="2243" t="str">
        <f>IFERROR(VLOOKUP($B1450,'24.08_ND'!$1:$1048529,3,0),IFERROR(VLOOKUP($B1450,'03-CP'!$C$1:$H$6260,3,0),""))</f>
        <v>M</v>
      </c>
      <c r="F1450" s="2230">
        <v>10.199999999999999</v>
      </c>
      <c r="G1450" s="2232">
        <v>174.31</v>
      </c>
      <c r="H1450" s="2302">
        <f t="shared" si="299"/>
        <v>1777.96</v>
      </c>
      <c r="I1450" s="2287"/>
      <c r="J1450" s="2231"/>
      <c r="K1450" s="2412"/>
      <c r="L1450" s="2536"/>
      <c r="M1450" s="2232"/>
      <c r="N1450" s="2239"/>
      <c r="O1450" s="2498">
        <f t="shared" si="300"/>
        <v>1777.96</v>
      </c>
      <c r="P1450" s="2295">
        <f t="shared" si="294"/>
        <v>1</v>
      </c>
    </row>
    <row r="1451" spans="1:16" ht="30">
      <c r="A1451" s="2269" t="s">
        <v>14091</v>
      </c>
      <c r="B1451" s="2228" t="str">
        <f>VLOOKUP($A1451,'15 - QT_BCE'!$A:$F,2,0)</f>
        <v>AS-CP-ARQ-25</v>
      </c>
      <c r="C1451" s="2228" t="str">
        <f>VLOOKUP($A1451,'15 - QT_BCE'!$A:$F,3,0)</f>
        <v>PRÓPRIA</v>
      </c>
      <c r="D1451" s="2375" t="s">
        <v>15031</v>
      </c>
      <c r="E1451" s="2243" t="str">
        <f>IFERROR(VLOOKUP($B1451,'24.08_ND'!$1:$1048529,3,0),IFERROR(VLOOKUP($B1451,'03-CP'!$C$1:$H$6260,3,0),""))</f>
        <v>M</v>
      </c>
      <c r="F1451" s="2230">
        <v>5.9</v>
      </c>
      <c r="G1451" s="2232">
        <v>165.55</v>
      </c>
      <c r="H1451" s="2302">
        <f t="shared" si="299"/>
        <v>976.74</v>
      </c>
      <c r="I1451" s="2287"/>
      <c r="J1451" s="2231"/>
      <c r="K1451" s="2412"/>
      <c r="L1451" s="2536"/>
      <c r="M1451" s="2232"/>
      <c r="N1451" s="2239"/>
      <c r="O1451" s="2498">
        <f t="shared" si="300"/>
        <v>976.74</v>
      </c>
      <c r="P1451" s="2295">
        <f t="shared" si="294"/>
        <v>1</v>
      </c>
    </row>
    <row r="1452" spans="1:16" ht="45">
      <c r="A1452" s="2269" t="s">
        <v>14092</v>
      </c>
      <c r="B1452" s="2228" t="str">
        <f>VLOOKUP($A1452,'15 - QT_BCE'!$A:$F,2,0)</f>
        <v>AS-CP-ARQ-37</v>
      </c>
      <c r="C1452" s="2228" t="str">
        <f>VLOOKUP($A1452,'15 - QT_BCE'!$A:$F,3,0)</f>
        <v>PRÓPRIA</v>
      </c>
      <c r="D1452" s="2375" t="s">
        <v>14916</v>
      </c>
      <c r="E1452" s="2243" t="str">
        <f>IFERROR(VLOOKUP($B1452,'24.08_ND'!$1:$1048529,3,0),IFERROR(VLOOKUP($B1452,'03-CP'!$C$1:$H$6260,3,0),""))</f>
        <v>M2</v>
      </c>
      <c r="F1452" s="2230">
        <v>171.80800000000002</v>
      </c>
      <c r="G1452" s="2232">
        <v>563.98</v>
      </c>
      <c r="H1452" s="2302">
        <f t="shared" si="299"/>
        <v>96896.27</v>
      </c>
      <c r="I1452" s="2287"/>
      <c r="J1452" s="2231"/>
      <c r="K1452" s="2412"/>
      <c r="L1452" s="2536"/>
      <c r="M1452" s="2232"/>
      <c r="N1452" s="2239"/>
      <c r="O1452" s="2498">
        <f t="shared" si="300"/>
        <v>96896.27</v>
      </c>
      <c r="P1452" s="2295">
        <f t="shared" si="294"/>
        <v>1</v>
      </c>
    </row>
    <row r="1453" spans="1:16" ht="45">
      <c r="A1453" s="2269" t="s">
        <v>14093</v>
      </c>
      <c r="B1453" s="2228" t="str">
        <f>VLOOKUP($A1453,'15 - QT_BCE'!$A:$F,2,0)</f>
        <v>PS-CP-40</v>
      </c>
      <c r="C1453" s="2228" t="str">
        <f>VLOOKUP($A1453,'15 - QT_BCE'!$A:$F,3,0)</f>
        <v>PRÓPRIA</v>
      </c>
      <c r="D1453" s="2375" t="s">
        <v>14833</v>
      </c>
      <c r="E1453" s="2243" t="str">
        <f>IFERROR(VLOOKUP($B1453,'24.08_ND'!$1:$1048529,3,0),IFERROR(VLOOKUP($B1453,'03-CP'!$C$1:$H$6260,3,0),""))</f>
        <v>M2</v>
      </c>
      <c r="F1453" s="2230">
        <v>44.306999999999995</v>
      </c>
      <c r="G1453" s="2232">
        <v>347.93</v>
      </c>
      <c r="H1453" s="2302">
        <f t="shared" si="299"/>
        <v>15415.73</v>
      </c>
      <c r="I1453" s="2287"/>
      <c r="J1453" s="2231"/>
      <c r="K1453" s="2412"/>
      <c r="L1453" s="2536"/>
      <c r="M1453" s="2232"/>
      <c r="N1453" s="2239"/>
      <c r="O1453" s="2498">
        <f t="shared" si="300"/>
        <v>15415.73</v>
      </c>
      <c r="P1453" s="2295">
        <f t="shared" si="294"/>
        <v>1</v>
      </c>
    </row>
    <row r="1454" spans="1:16" ht="60">
      <c r="A1454" s="2269" t="s">
        <v>14094</v>
      </c>
      <c r="B1454" s="2228" t="str">
        <f>VLOOKUP($A1454,'15 - QT_BCE'!$A:$F,2,0)</f>
        <v>AS-CP-ARQ-41</v>
      </c>
      <c r="C1454" s="2228" t="str">
        <f>VLOOKUP($A1454,'15 - QT_BCE'!$A:$F,3,0)</f>
        <v>PRÓPRIA</v>
      </c>
      <c r="D1454" s="2375" t="s">
        <v>15067</v>
      </c>
      <c r="E1454" s="2243" t="str">
        <f>IFERROR(VLOOKUP($B1454,'24.08_ND'!$1:$1048529,3,0),IFERROR(VLOOKUP($B1454,'03-CP'!$C$1:$H$6260,3,0),""))</f>
        <v>M2</v>
      </c>
      <c r="F1454" s="2230">
        <v>22.68</v>
      </c>
      <c r="G1454" s="2232">
        <v>810.45</v>
      </c>
      <c r="H1454" s="2302">
        <f t="shared" si="299"/>
        <v>18381</v>
      </c>
      <c r="I1454" s="2287"/>
      <c r="J1454" s="2231"/>
      <c r="K1454" s="2412"/>
      <c r="L1454" s="2536"/>
      <c r="M1454" s="2232"/>
      <c r="N1454" s="2239"/>
      <c r="O1454" s="2498">
        <f t="shared" si="300"/>
        <v>18381</v>
      </c>
      <c r="P1454" s="2295">
        <f t="shared" si="294"/>
        <v>1</v>
      </c>
    </row>
    <row r="1455" spans="1:16">
      <c r="A1455" s="2342" t="s">
        <v>14095</v>
      </c>
      <c r="B1455" s="2397"/>
      <c r="C1455" s="2401"/>
      <c r="D1455" s="2380" t="s">
        <v>16300</v>
      </c>
      <c r="E1455" s="2368"/>
      <c r="F1455" s="2369"/>
      <c r="G1455" s="2370"/>
      <c r="H1455" s="2361">
        <f>SUBTOTAL(9,H1456:H1476)</f>
        <v>68274.490000000005</v>
      </c>
      <c r="I1455" s="2371"/>
      <c r="J1455" s="2372"/>
      <c r="K1455" s="2555"/>
      <c r="L1455" s="2539">
        <f>SUBTOTAL(9,L1456:L1476)</f>
        <v>0</v>
      </c>
      <c r="M1455" s="2361">
        <f>SUBTOTAL(9,M1456:M1476)</f>
        <v>0</v>
      </c>
      <c r="N1455" s="2361">
        <f>SUBTOTAL(9,N1456:N1476)</f>
        <v>0</v>
      </c>
      <c r="O1455" s="2361">
        <f>SUBTOTAL(9,O1456:O1476)</f>
        <v>68274.490000000005</v>
      </c>
      <c r="P1455" s="2295">
        <f t="shared" si="294"/>
        <v>1</v>
      </c>
    </row>
    <row r="1456" spans="1:16" ht="30">
      <c r="A1456" s="2272" t="s">
        <v>14096</v>
      </c>
      <c r="B1456" s="2228">
        <f>VLOOKUP($A1456,'15 - QT_BCE'!$A:$F,2,0)</f>
        <v>100859</v>
      </c>
      <c r="C1456" s="2228" t="str">
        <f>VLOOKUP($A1456,'15 - QT_BCE'!$A:$F,3,0)</f>
        <v>SINAPI</v>
      </c>
      <c r="D1456" s="2375" t="s">
        <v>10167</v>
      </c>
      <c r="E1456" s="2243" t="str">
        <f>IFERROR(VLOOKUP($B1456,'24.08_ND'!$1:$1048529,3,0),IFERROR(VLOOKUP($B1456,'03-CP'!$C$1:$H$6260,3,0),""))</f>
        <v>UN</v>
      </c>
      <c r="F1456" s="2230">
        <v>5</v>
      </c>
      <c r="G1456" s="2232">
        <v>1104.01</v>
      </c>
      <c r="H1456" s="2302">
        <f t="shared" ref="H1456:H1476" si="301">TRUNC((G1456*F1456),2)</f>
        <v>5520.05</v>
      </c>
      <c r="I1456" s="2328"/>
      <c r="J1456" s="2237"/>
      <c r="K1456" s="2411"/>
      <c r="L1456" s="2533">
        <f>M1456+N1456</f>
        <v>0</v>
      </c>
      <c r="M1456" s="2238">
        <v>0</v>
      </c>
      <c r="N1456" s="2239">
        <f>TRUNC(H1456*K1456,2)</f>
        <v>0</v>
      </c>
      <c r="O1456" s="2498">
        <f t="shared" ref="O1456:O1483" si="302">H1456-L1456</f>
        <v>5520.05</v>
      </c>
      <c r="P1456" s="2295">
        <f t="shared" si="294"/>
        <v>1</v>
      </c>
    </row>
    <row r="1457" spans="1:16" ht="30">
      <c r="A1457" s="2272" t="s">
        <v>14097</v>
      </c>
      <c r="B1457" s="2228" t="str">
        <f>VLOOKUP($A1457,'15 - QT_BCE'!$A:$F,2,0)</f>
        <v>AS-CP-ARQ-27</v>
      </c>
      <c r="C1457" s="2228" t="str">
        <f>VLOOKUP($A1457,'15 - QT_BCE'!$A:$F,3,0)</f>
        <v>PRÓPRIA</v>
      </c>
      <c r="D1457" s="2375" t="s">
        <v>15036</v>
      </c>
      <c r="E1457" s="2243" t="str">
        <f>IFERROR(VLOOKUP($B1457,'24.08_ND'!$1:$1048529,3,0),IFERROR(VLOOKUP($B1457,'03-CP'!$C$1:$H$6260,3,0),""))</f>
        <v>UN</v>
      </c>
      <c r="F1457" s="2230">
        <v>5</v>
      </c>
      <c r="G1457" s="2232">
        <v>2846.21</v>
      </c>
      <c r="H1457" s="2302">
        <f t="shared" si="301"/>
        <v>14231.05</v>
      </c>
      <c r="I1457" s="2287"/>
      <c r="J1457" s="2231"/>
      <c r="K1457" s="2412"/>
      <c r="L1457" s="2536"/>
      <c r="M1457" s="2232"/>
      <c r="N1457" s="2239"/>
      <c r="O1457" s="2498">
        <f t="shared" si="302"/>
        <v>14231.05</v>
      </c>
      <c r="P1457" s="2295">
        <f t="shared" si="294"/>
        <v>1</v>
      </c>
    </row>
    <row r="1458" spans="1:16" ht="45">
      <c r="A1458" s="2272" t="s">
        <v>14098</v>
      </c>
      <c r="B1458" s="2228">
        <f>VLOOKUP($A1458,'15 - QT_BCE'!$A:$F,2,0)</f>
        <v>95472</v>
      </c>
      <c r="C1458" s="2228" t="str">
        <f>VLOOKUP($A1458,'15 - QT_BCE'!$A:$F,3,0)</f>
        <v>SINAPI</v>
      </c>
      <c r="D1458" s="2375" t="s">
        <v>10151</v>
      </c>
      <c r="E1458" s="2243" t="str">
        <f>IFERROR(VLOOKUP($B1458,'24.08_ND'!$1:$1048529,3,0),IFERROR(VLOOKUP($B1458,'03-CP'!$C$1:$H$6260,3,0),""))</f>
        <v>UN</v>
      </c>
      <c r="F1458" s="2230">
        <v>18</v>
      </c>
      <c r="G1458" s="2232">
        <v>852.9</v>
      </c>
      <c r="H1458" s="2302">
        <f t="shared" si="301"/>
        <v>15352.2</v>
      </c>
      <c r="I1458" s="2287"/>
      <c r="J1458" s="2231"/>
      <c r="K1458" s="2412"/>
      <c r="L1458" s="2536"/>
      <c r="M1458" s="2232"/>
      <c r="N1458" s="2239"/>
      <c r="O1458" s="2498">
        <f t="shared" si="302"/>
        <v>15352.2</v>
      </c>
      <c r="P1458" s="2295">
        <f t="shared" si="294"/>
        <v>1</v>
      </c>
    </row>
    <row r="1459" spans="1:16" ht="30">
      <c r="A1459" s="2272" t="s">
        <v>14099</v>
      </c>
      <c r="B1459" s="2228">
        <f>VLOOKUP($A1459,'15 - QT_BCE'!$A:$F,2,0)</f>
        <v>100849</v>
      </c>
      <c r="C1459" s="2228" t="str">
        <f>VLOOKUP($A1459,'15 - QT_BCE'!$A:$F,3,0)</f>
        <v>SINAPI</v>
      </c>
      <c r="D1459" s="2375" t="s">
        <v>10159</v>
      </c>
      <c r="E1459" s="2243" t="str">
        <f>IFERROR(VLOOKUP($B1459,'24.08_ND'!$1:$1048529,3,0),IFERROR(VLOOKUP($B1459,'03-CP'!$C$1:$H$6260,3,0),""))</f>
        <v>UN</v>
      </c>
      <c r="F1459" s="2230">
        <v>18</v>
      </c>
      <c r="G1459" s="2232">
        <v>49.53</v>
      </c>
      <c r="H1459" s="2302">
        <f t="shared" si="301"/>
        <v>891.54</v>
      </c>
      <c r="I1459" s="2287"/>
      <c r="J1459" s="2231"/>
      <c r="K1459" s="2412"/>
      <c r="L1459" s="2536"/>
      <c r="M1459" s="2232"/>
      <c r="N1459" s="2239"/>
      <c r="O1459" s="2498">
        <f t="shared" si="302"/>
        <v>891.54</v>
      </c>
      <c r="P1459" s="2295">
        <f t="shared" si="294"/>
        <v>1</v>
      </c>
    </row>
    <row r="1460" spans="1:16" ht="30">
      <c r="A1460" s="2272" t="s">
        <v>14100</v>
      </c>
      <c r="B1460" s="2228" t="str">
        <f>VLOOKUP($A1460,'15 - QT_BCE'!$A:$F,2,0)</f>
        <v>AS-CP-ARQ-28</v>
      </c>
      <c r="C1460" s="2228" t="str">
        <f>VLOOKUP($A1460,'15 - QT_BCE'!$A:$F,3,0)</f>
        <v>PRÓPRIA</v>
      </c>
      <c r="D1460" s="2375" t="s">
        <v>15039</v>
      </c>
      <c r="E1460" s="2243" t="str">
        <f>IFERROR(VLOOKUP($B1460,'24.08_ND'!$1:$1048529,3,0),IFERROR(VLOOKUP($B1460,'03-CP'!$C$1:$H$6260,3,0),""))</f>
        <v>UN</v>
      </c>
      <c r="F1460" s="2230">
        <v>18</v>
      </c>
      <c r="G1460" s="2232">
        <v>337.06</v>
      </c>
      <c r="H1460" s="2302">
        <f t="shared" si="301"/>
        <v>6067.08</v>
      </c>
      <c r="I1460" s="2287"/>
      <c r="J1460" s="2231"/>
      <c r="K1460" s="2412"/>
      <c r="L1460" s="2536"/>
      <c r="M1460" s="2232"/>
      <c r="N1460" s="2239"/>
      <c r="O1460" s="2498">
        <f t="shared" si="302"/>
        <v>6067.08</v>
      </c>
      <c r="P1460" s="2295">
        <f t="shared" si="294"/>
        <v>1</v>
      </c>
    </row>
    <row r="1461" spans="1:16" ht="30">
      <c r="A1461" s="2272" t="s">
        <v>14101</v>
      </c>
      <c r="B1461" s="2228" t="str">
        <f>VLOOKUP($A1461,'15 - QT_BCE'!$A:$F,2,0)</f>
        <v>AS-CP-ARQ-29</v>
      </c>
      <c r="C1461" s="2228" t="str">
        <f>VLOOKUP($A1461,'15 - QT_BCE'!$A:$F,3,0)</f>
        <v>PRÓPRIA</v>
      </c>
      <c r="D1461" s="2375" t="s">
        <v>15042</v>
      </c>
      <c r="E1461" s="2243" t="str">
        <f>IFERROR(VLOOKUP($B1461,'24.08_ND'!$1:$1048529,3,0),IFERROR(VLOOKUP($B1461,'03-CP'!$C$1:$H$6260,3,0),""))</f>
        <v>UN</v>
      </c>
      <c r="F1461" s="2230">
        <v>2</v>
      </c>
      <c r="G1461" s="2232">
        <v>326.12</v>
      </c>
      <c r="H1461" s="2302">
        <f t="shared" si="301"/>
        <v>652.24</v>
      </c>
      <c r="I1461" s="2287"/>
      <c r="J1461" s="2231"/>
      <c r="K1461" s="2412"/>
      <c r="L1461" s="2536"/>
      <c r="M1461" s="2232"/>
      <c r="N1461" s="2239"/>
      <c r="O1461" s="2498">
        <f t="shared" si="302"/>
        <v>652.24</v>
      </c>
      <c r="P1461" s="2295">
        <f t="shared" si="294"/>
        <v>1</v>
      </c>
    </row>
    <row r="1462" spans="1:16" ht="30">
      <c r="A1462" s="2272" t="s">
        <v>14102</v>
      </c>
      <c r="B1462" s="2228" t="str">
        <f>VLOOKUP($A1462,'15 - QT_BCE'!$A:$F,2,0)</f>
        <v>AS-CP-ARQ-30</v>
      </c>
      <c r="C1462" s="2228" t="str">
        <f>VLOOKUP($A1462,'15 - QT_BCE'!$A:$F,3,0)</f>
        <v>PRÓPRIA</v>
      </c>
      <c r="D1462" s="2375" t="s">
        <v>15044</v>
      </c>
      <c r="E1462" s="2243" t="str">
        <f>IFERROR(VLOOKUP($B1462,'24.08_ND'!$1:$1048529,3,0),IFERROR(VLOOKUP($B1462,'03-CP'!$C$1:$H$6260,3,0),""))</f>
        <v>UN</v>
      </c>
      <c r="F1462" s="2230">
        <v>27</v>
      </c>
      <c r="G1462" s="2232">
        <v>93.08</v>
      </c>
      <c r="H1462" s="2302">
        <f t="shared" si="301"/>
        <v>2513.16</v>
      </c>
      <c r="I1462" s="2287"/>
      <c r="J1462" s="2231"/>
      <c r="K1462" s="2412"/>
      <c r="L1462" s="2536"/>
      <c r="M1462" s="2232"/>
      <c r="N1462" s="2239"/>
      <c r="O1462" s="2498">
        <f t="shared" si="302"/>
        <v>2513.16</v>
      </c>
      <c r="P1462" s="2295">
        <f t="shared" ref="P1462:P1525" si="303">O1462/H1462</f>
        <v>1</v>
      </c>
    </row>
    <row r="1463" spans="1:16" ht="30">
      <c r="A1463" s="2272" t="s">
        <v>14103</v>
      </c>
      <c r="B1463" s="2228">
        <f>VLOOKUP($A1463,'15 - QT_BCE'!$A:$F,2,0)</f>
        <v>86872</v>
      </c>
      <c r="C1463" s="2228" t="str">
        <f>VLOOKUP($A1463,'15 - QT_BCE'!$A:$F,3,0)</f>
        <v>SINAPI</v>
      </c>
      <c r="D1463" s="2375" t="s">
        <v>10083</v>
      </c>
      <c r="E1463" s="2243" t="str">
        <f>IFERROR(VLOOKUP($B1463,'24.08_ND'!$1:$1048529,3,0),IFERROR(VLOOKUP($B1463,'03-CP'!$C$1:$H$6260,3,0),""))</f>
        <v>UN</v>
      </c>
      <c r="F1463" s="2230">
        <v>1</v>
      </c>
      <c r="G1463" s="2232">
        <v>794.38</v>
      </c>
      <c r="H1463" s="2302">
        <f t="shared" si="301"/>
        <v>794.38</v>
      </c>
      <c r="I1463" s="2287"/>
      <c r="J1463" s="2231"/>
      <c r="K1463" s="2412"/>
      <c r="L1463" s="2536"/>
      <c r="M1463" s="2232"/>
      <c r="N1463" s="2239"/>
      <c r="O1463" s="2498">
        <f t="shared" si="302"/>
        <v>794.38</v>
      </c>
      <c r="P1463" s="2295">
        <f t="shared" si="303"/>
        <v>1</v>
      </c>
    </row>
    <row r="1464" spans="1:16" ht="30">
      <c r="A1464" s="2272" t="s">
        <v>14104</v>
      </c>
      <c r="B1464" s="2228" t="str">
        <f>VLOOKUP($A1464,'15 - QT_BCE'!$A:$F,2,0)</f>
        <v>PS-CP-34</v>
      </c>
      <c r="C1464" s="2228" t="str">
        <f>VLOOKUP($A1464,'15 - QT_BCE'!$A:$F,3,0)</f>
        <v>PRÓPRIA</v>
      </c>
      <c r="D1464" s="2375" t="s">
        <v>14812</v>
      </c>
      <c r="E1464" s="2243" t="str">
        <f>IFERROR(VLOOKUP($B1464,'24.08_ND'!$1:$1048529,3,0),IFERROR(VLOOKUP($B1464,'03-CP'!$C$1:$H$6260,3,0),""))</f>
        <v>UN</v>
      </c>
      <c r="F1464" s="2230">
        <v>10</v>
      </c>
      <c r="G1464" s="2232">
        <v>215.8</v>
      </c>
      <c r="H1464" s="2302">
        <f t="shared" si="301"/>
        <v>2158</v>
      </c>
      <c r="I1464" s="2287"/>
      <c r="J1464" s="2231"/>
      <c r="K1464" s="2412"/>
      <c r="L1464" s="2536"/>
      <c r="M1464" s="2232"/>
      <c r="N1464" s="2239"/>
      <c r="O1464" s="2498">
        <f t="shared" si="302"/>
        <v>2158</v>
      </c>
      <c r="P1464" s="2295">
        <f t="shared" si="303"/>
        <v>1</v>
      </c>
    </row>
    <row r="1465" spans="1:16" ht="30">
      <c r="A1465" s="2272" t="s">
        <v>14105</v>
      </c>
      <c r="B1465" s="2228">
        <f>VLOOKUP($A1465,'15 - QT_BCE'!$A:$F,2,0)</f>
        <v>86914</v>
      </c>
      <c r="C1465" s="2228" t="str">
        <f>VLOOKUP($A1465,'15 - QT_BCE'!$A:$F,3,0)</f>
        <v>SINAPI</v>
      </c>
      <c r="D1465" s="2375" t="s">
        <v>10116</v>
      </c>
      <c r="E1465" s="2243" t="str">
        <f>IFERROR(VLOOKUP($B1465,'24.08_ND'!$1:$1048529,3,0),IFERROR(VLOOKUP($B1465,'03-CP'!$C$1:$H$6260,3,0),""))</f>
        <v>UN</v>
      </c>
      <c r="F1465" s="2230">
        <v>5</v>
      </c>
      <c r="G1465" s="2232">
        <v>121.21</v>
      </c>
      <c r="H1465" s="2302">
        <f t="shared" si="301"/>
        <v>606.04999999999995</v>
      </c>
      <c r="I1465" s="2287"/>
      <c r="J1465" s="2231"/>
      <c r="K1465" s="2412"/>
      <c r="L1465" s="2536"/>
      <c r="M1465" s="2232"/>
      <c r="N1465" s="2239"/>
      <c r="O1465" s="2498">
        <f t="shared" si="302"/>
        <v>606.04999999999995</v>
      </c>
      <c r="P1465" s="2295">
        <f t="shared" si="303"/>
        <v>1</v>
      </c>
    </row>
    <row r="1466" spans="1:16" ht="30">
      <c r="A1466" s="2272" t="s">
        <v>14106</v>
      </c>
      <c r="B1466" s="2228" t="str">
        <f>VLOOKUP($A1466,'15 - QT_BCE'!$A:$F,2,0)</f>
        <v>AS-CP-ARQ-31</v>
      </c>
      <c r="C1466" s="2228" t="str">
        <f>VLOOKUP($A1466,'15 - QT_BCE'!$A:$F,3,0)</f>
        <v>PRÓPRIA</v>
      </c>
      <c r="D1466" s="2375" t="s">
        <v>15046</v>
      </c>
      <c r="E1466" s="2243" t="str">
        <f>IFERROR(VLOOKUP($B1466,'24.08_ND'!$1:$1048529,3,0),IFERROR(VLOOKUP($B1466,'03-CP'!$C$1:$H$6260,3,0),""))</f>
        <v>UN</v>
      </c>
      <c r="F1466" s="2230">
        <v>8</v>
      </c>
      <c r="G1466" s="2232">
        <v>773.91</v>
      </c>
      <c r="H1466" s="2302">
        <f t="shared" si="301"/>
        <v>6191.28</v>
      </c>
      <c r="I1466" s="2287"/>
      <c r="J1466" s="2231"/>
      <c r="K1466" s="2412"/>
      <c r="L1466" s="2536"/>
      <c r="M1466" s="2232"/>
      <c r="N1466" s="2239"/>
      <c r="O1466" s="2498">
        <f t="shared" si="302"/>
        <v>6191.28</v>
      </c>
      <c r="P1466" s="2295">
        <f t="shared" si="303"/>
        <v>1</v>
      </c>
    </row>
    <row r="1467" spans="1:16" ht="30">
      <c r="A1467" s="2272" t="s">
        <v>14107</v>
      </c>
      <c r="B1467" s="2228">
        <f>VLOOKUP($A1467,'15 - QT_BCE'!$A:$F,2,0)</f>
        <v>100868</v>
      </c>
      <c r="C1467" s="2228" t="str">
        <f>VLOOKUP($A1467,'15 - QT_BCE'!$A:$F,3,0)</f>
        <v>SINAPI</v>
      </c>
      <c r="D1467" s="2375" t="s">
        <v>10176</v>
      </c>
      <c r="E1467" s="2243" t="str">
        <f>IFERROR(VLOOKUP($B1467,'24.08_ND'!$1:$1048529,3,0),IFERROR(VLOOKUP($B1467,'03-CP'!$C$1:$H$6260,3,0),""))</f>
        <v>UN</v>
      </c>
      <c r="F1467" s="2230">
        <v>4</v>
      </c>
      <c r="G1467" s="2232">
        <v>405.55</v>
      </c>
      <c r="H1467" s="2302">
        <f t="shared" si="301"/>
        <v>1622.2</v>
      </c>
      <c r="I1467" s="2287"/>
      <c r="J1467" s="2231"/>
      <c r="K1467" s="2412"/>
      <c r="L1467" s="2536"/>
      <c r="M1467" s="2232"/>
      <c r="N1467" s="2239"/>
      <c r="O1467" s="2498">
        <f t="shared" si="302"/>
        <v>1622.2</v>
      </c>
      <c r="P1467" s="2295">
        <f t="shared" si="303"/>
        <v>1</v>
      </c>
    </row>
    <row r="1468" spans="1:16" ht="30">
      <c r="A1468" s="2272" t="s">
        <v>14108</v>
      </c>
      <c r="B1468" s="2228">
        <f>VLOOKUP($A1468,'15 - QT_BCE'!$A:$F,2,0)</f>
        <v>100867</v>
      </c>
      <c r="C1468" s="2228" t="str">
        <f>VLOOKUP($A1468,'15 - QT_BCE'!$A:$F,3,0)</f>
        <v>SINAPI</v>
      </c>
      <c r="D1468" s="2375" t="s">
        <v>10175</v>
      </c>
      <c r="E1468" s="2243" t="str">
        <f>IFERROR(VLOOKUP($B1468,'24.08_ND'!$1:$1048529,3,0),IFERROR(VLOOKUP($B1468,'03-CP'!$C$1:$H$6260,3,0),""))</f>
        <v>UN</v>
      </c>
      <c r="F1468" s="2230">
        <v>4</v>
      </c>
      <c r="G1468" s="2232">
        <v>389.98</v>
      </c>
      <c r="H1468" s="2302">
        <f t="shared" si="301"/>
        <v>1559.92</v>
      </c>
      <c r="I1468" s="2287"/>
      <c r="J1468" s="2231"/>
      <c r="K1468" s="2412"/>
      <c r="L1468" s="2536"/>
      <c r="M1468" s="2232"/>
      <c r="N1468" s="2239"/>
      <c r="O1468" s="2498">
        <f t="shared" si="302"/>
        <v>1559.92</v>
      </c>
      <c r="P1468" s="2295">
        <f t="shared" si="303"/>
        <v>1</v>
      </c>
    </row>
    <row r="1469" spans="1:16" ht="30">
      <c r="A1469" s="2272" t="s">
        <v>14109</v>
      </c>
      <c r="B1469" s="2228" t="str">
        <f>VLOOKUP($A1469,'15 - QT_BCE'!$A:$F,2,0)</f>
        <v>PS-CP-60</v>
      </c>
      <c r="C1469" s="2228" t="str">
        <f>VLOOKUP($A1469,'15 - QT_BCE'!$A:$F,3,0)</f>
        <v>PRÓPRIA</v>
      </c>
      <c r="D1469" s="2375" t="s">
        <v>14888</v>
      </c>
      <c r="E1469" s="2243" t="str">
        <f>IFERROR(VLOOKUP($B1469,'24.08_ND'!$1:$1048529,3,0),IFERROR(VLOOKUP($B1469,'03-CP'!$C$1:$H$6260,3,0),""))</f>
        <v>UN</v>
      </c>
      <c r="F1469" s="2230">
        <v>4</v>
      </c>
      <c r="G1469" s="2232">
        <v>280.27999999999997</v>
      </c>
      <c r="H1469" s="2302">
        <f t="shared" si="301"/>
        <v>1121.1199999999999</v>
      </c>
      <c r="I1469" s="2287"/>
      <c r="J1469" s="2231"/>
      <c r="K1469" s="2412"/>
      <c r="L1469" s="2536"/>
      <c r="M1469" s="2232"/>
      <c r="N1469" s="2239"/>
      <c r="O1469" s="2498">
        <f t="shared" si="302"/>
        <v>1121.1199999999999</v>
      </c>
      <c r="P1469" s="2295">
        <f t="shared" si="303"/>
        <v>1</v>
      </c>
    </row>
    <row r="1470" spans="1:16" ht="30">
      <c r="A1470" s="2272" t="s">
        <v>14110</v>
      </c>
      <c r="B1470" s="2228" t="str">
        <f>VLOOKUP($A1470,'15 - QT_BCE'!$A:$F,2,0)</f>
        <v>AS-CP-ARQ-32</v>
      </c>
      <c r="C1470" s="2228" t="str">
        <f>VLOOKUP($A1470,'15 - QT_BCE'!$A:$F,3,0)</f>
        <v>PRÓPRIA</v>
      </c>
      <c r="D1470" s="2375" t="s">
        <v>15049</v>
      </c>
      <c r="E1470" s="2243" t="str">
        <f>IFERROR(VLOOKUP($B1470,'24.08_ND'!$1:$1048529,3,0),IFERROR(VLOOKUP($B1470,'03-CP'!$C$1:$H$6260,3,0),""))</f>
        <v>UN</v>
      </c>
      <c r="F1470" s="2230">
        <v>4</v>
      </c>
      <c r="G1470" s="2232">
        <v>286.25</v>
      </c>
      <c r="H1470" s="2302">
        <f t="shared" si="301"/>
        <v>1145</v>
      </c>
      <c r="I1470" s="2287"/>
      <c r="J1470" s="2231"/>
      <c r="K1470" s="2412"/>
      <c r="L1470" s="2536"/>
      <c r="M1470" s="2232"/>
      <c r="N1470" s="2239"/>
      <c r="O1470" s="2498">
        <f t="shared" si="302"/>
        <v>1145</v>
      </c>
      <c r="P1470" s="2295">
        <f t="shared" si="303"/>
        <v>1</v>
      </c>
    </row>
    <row r="1471" spans="1:16" ht="30">
      <c r="A1471" s="2272" t="s">
        <v>14111</v>
      </c>
      <c r="B1471" s="2228" t="str">
        <f>VLOOKUP($A1471,'15 - QT_BCE'!$A:$F,2,0)</f>
        <v>AS-CP-ARQ-33</v>
      </c>
      <c r="C1471" s="2228" t="str">
        <f>VLOOKUP($A1471,'15 - QT_BCE'!$A:$F,3,0)</f>
        <v>PRÓPRIA</v>
      </c>
      <c r="D1471" s="2375" t="s">
        <v>15051</v>
      </c>
      <c r="E1471" s="2243" t="str">
        <f>IFERROR(VLOOKUP($B1471,'24.08_ND'!$1:$1048529,3,0),IFERROR(VLOOKUP($B1471,'03-CP'!$C$1:$H$6260,3,0),""))</f>
        <v>UN</v>
      </c>
      <c r="F1471" s="2230">
        <v>6</v>
      </c>
      <c r="G1471" s="2232">
        <v>65.87</v>
      </c>
      <c r="H1471" s="2302">
        <f t="shared" si="301"/>
        <v>395.22</v>
      </c>
      <c r="I1471" s="2287"/>
      <c r="J1471" s="2231"/>
      <c r="K1471" s="2412"/>
      <c r="L1471" s="2536"/>
      <c r="M1471" s="2232"/>
      <c r="N1471" s="2239"/>
      <c r="O1471" s="2498">
        <f t="shared" si="302"/>
        <v>395.22</v>
      </c>
      <c r="P1471" s="2295">
        <f t="shared" si="303"/>
        <v>1</v>
      </c>
    </row>
    <row r="1472" spans="1:16" ht="30">
      <c r="A1472" s="2272" t="s">
        <v>14112</v>
      </c>
      <c r="B1472" s="2228">
        <f>VLOOKUP($A1472,'15 - QT_BCE'!$A:$F,2,0)</f>
        <v>95547</v>
      </c>
      <c r="C1472" s="2228" t="str">
        <f>VLOOKUP($A1472,'15 - QT_BCE'!$A:$F,3,0)</f>
        <v>SINAPI</v>
      </c>
      <c r="D1472" s="2375" t="s">
        <v>10157</v>
      </c>
      <c r="E1472" s="2243" t="str">
        <f>IFERROR(VLOOKUP($B1472,'24.08_ND'!$1:$1048529,3,0),IFERROR(VLOOKUP($B1472,'03-CP'!$C$1:$H$6260,3,0),""))</f>
        <v>UN</v>
      </c>
      <c r="F1472" s="2230">
        <v>2</v>
      </c>
      <c r="G1472" s="2232">
        <v>66.13</v>
      </c>
      <c r="H1472" s="2302">
        <f t="shared" si="301"/>
        <v>132.26</v>
      </c>
      <c r="I1472" s="2287"/>
      <c r="J1472" s="2231"/>
      <c r="K1472" s="2412"/>
      <c r="L1472" s="2536"/>
      <c r="M1472" s="2232"/>
      <c r="N1472" s="2239"/>
      <c r="O1472" s="2498">
        <f t="shared" si="302"/>
        <v>132.26</v>
      </c>
      <c r="P1472" s="2295">
        <f t="shared" si="303"/>
        <v>1</v>
      </c>
    </row>
    <row r="1473" spans="1:16" ht="30">
      <c r="A1473" s="2272" t="s">
        <v>14113</v>
      </c>
      <c r="B1473" s="2228" t="str">
        <f>VLOOKUP($A1473,'15 - QT_BCE'!$A:$F,2,0)</f>
        <v>AS-CP-ARQ-34</v>
      </c>
      <c r="C1473" s="2228" t="str">
        <f>VLOOKUP($A1473,'15 - QT_BCE'!$A:$F,3,0)</f>
        <v>PRÓPRIA</v>
      </c>
      <c r="D1473" s="2375" t="s">
        <v>15053</v>
      </c>
      <c r="E1473" s="2243" t="str">
        <f>IFERROR(VLOOKUP($B1473,'24.08_ND'!$1:$1048529,3,0),IFERROR(VLOOKUP($B1473,'03-CP'!$C$1:$H$6260,3,0),""))</f>
        <v>UN</v>
      </c>
      <c r="F1473" s="2230">
        <v>4</v>
      </c>
      <c r="G1473" s="2232">
        <v>705.57</v>
      </c>
      <c r="H1473" s="2302">
        <f t="shared" si="301"/>
        <v>2822.28</v>
      </c>
      <c r="I1473" s="2287"/>
      <c r="J1473" s="2231"/>
      <c r="K1473" s="2412"/>
      <c r="L1473" s="2536"/>
      <c r="M1473" s="2232"/>
      <c r="N1473" s="2239"/>
      <c r="O1473" s="2498">
        <f t="shared" si="302"/>
        <v>2822.28</v>
      </c>
      <c r="P1473" s="2295">
        <f t="shared" si="303"/>
        <v>1</v>
      </c>
    </row>
    <row r="1474" spans="1:16" ht="30">
      <c r="A1474" s="2272" t="s">
        <v>14114</v>
      </c>
      <c r="B1474" s="2228" t="str">
        <f>VLOOKUP($A1474,'15 - QT_BCE'!$A:$F,2,0)</f>
        <v>AS-CP-ARQ-35</v>
      </c>
      <c r="C1474" s="2228" t="str">
        <f>VLOOKUP($A1474,'15 - QT_BCE'!$A:$F,3,0)</f>
        <v>PRÓPRIA</v>
      </c>
      <c r="D1474" s="2375" t="s">
        <v>15056</v>
      </c>
      <c r="E1474" s="2243" t="str">
        <f>IFERROR(VLOOKUP($B1474,'24.08_ND'!$1:$1048529,3,0),IFERROR(VLOOKUP($B1474,'03-CP'!$C$1:$H$6260,3,0),""))</f>
        <v>UN</v>
      </c>
      <c r="F1474" s="2230">
        <v>18</v>
      </c>
      <c r="G1474" s="2232">
        <v>61.25</v>
      </c>
      <c r="H1474" s="2302">
        <f t="shared" si="301"/>
        <v>1102.5</v>
      </c>
      <c r="I1474" s="2287"/>
      <c r="J1474" s="2231"/>
      <c r="K1474" s="2412"/>
      <c r="L1474" s="2536"/>
      <c r="M1474" s="2232"/>
      <c r="N1474" s="2239"/>
      <c r="O1474" s="2498">
        <f t="shared" si="302"/>
        <v>1102.5</v>
      </c>
      <c r="P1474" s="2295">
        <f t="shared" si="303"/>
        <v>1</v>
      </c>
    </row>
    <row r="1475" spans="1:16">
      <c r="A1475" s="2272" t="s">
        <v>14115</v>
      </c>
      <c r="B1475" s="2228" t="str">
        <f>VLOOKUP($A1475,'15 - QT_BCE'!$A:$F,2,0)</f>
        <v>PS-CP-88</v>
      </c>
      <c r="C1475" s="2228" t="str">
        <f>VLOOKUP($A1475,'15 - QT_BCE'!$A:$F,3,0)</f>
        <v>PRÓPRIA</v>
      </c>
      <c r="D1475" s="2375" t="s">
        <v>14953</v>
      </c>
      <c r="E1475" s="2243" t="str">
        <f>IFERROR(VLOOKUP($B1475,'24.08_ND'!$1:$1048529,3,0),IFERROR(VLOOKUP($B1475,'03-CP'!$C$1:$H$6260,3,0),""))</f>
        <v>UN</v>
      </c>
      <c r="F1475" s="2230">
        <v>18</v>
      </c>
      <c r="G1475" s="2232">
        <v>162.76</v>
      </c>
      <c r="H1475" s="2302">
        <f t="shared" si="301"/>
        <v>2929.68</v>
      </c>
      <c r="I1475" s="2287"/>
      <c r="J1475" s="2231"/>
      <c r="K1475" s="2412"/>
      <c r="L1475" s="2536"/>
      <c r="M1475" s="2232"/>
      <c r="N1475" s="2239"/>
      <c r="O1475" s="2498">
        <f t="shared" si="302"/>
        <v>2929.68</v>
      </c>
      <c r="P1475" s="2295">
        <f t="shared" si="303"/>
        <v>1</v>
      </c>
    </row>
    <row r="1476" spans="1:16" ht="30">
      <c r="A1476" s="2272" t="s">
        <v>14116</v>
      </c>
      <c r="B1476" s="2228" t="str">
        <f>VLOOKUP($A1476,'15 - QT_BCE'!$A:$F,2,0)</f>
        <v>AS-CP-ARQ-36</v>
      </c>
      <c r="C1476" s="2228" t="str">
        <f>VLOOKUP($A1476,'15 - QT_BCE'!$A:$F,3,0)</f>
        <v>PRÓPRIA</v>
      </c>
      <c r="D1476" s="2375" t="s">
        <v>15058</v>
      </c>
      <c r="E1476" s="2243" t="str">
        <f>IFERROR(VLOOKUP($B1476,'24.08_ND'!$1:$1048529,3,0),IFERROR(VLOOKUP($B1476,'03-CP'!$C$1:$H$6260,3,0),""))</f>
        <v>UN</v>
      </c>
      <c r="F1476" s="2230">
        <v>11</v>
      </c>
      <c r="G1476" s="2232">
        <v>42.48</v>
      </c>
      <c r="H1476" s="2302">
        <f t="shared" si="301"/>
        <v>467.28</v>
      </c>
      <c r="I1476" s="2287"/>
      <c r="J1476" s="2231"/>
      <c r="K1476" s="2412"/>
      <c r="L1476" s="2536"/>
      <c r="M1476" s="2232"/>
      <c r="N1476" s="2239"/>
      <c r="O1476" s="2498">
        <f t="shared" si="302"/>
        <v>467.28</v>
      </c>
      <c r="P1476" s="2295">
        <f t="shared" si="303"/>
        <v>1</v>
      </c>
    </row>
    <row r="1477" spans="1:16" ht="30">
      <c r="A1477" s="2342" t="s">
        <v>14117</v>
      </c>
      <c r="B1477" s="2397"/>
      <c r="C1477" s="2401"/>
      <c r="D1477" s="2380" t="s">
        <v>16301</v>
      </c>
      <c r="E1477" s="2368"/>
      <c r="F1477" s="2369"/>
      <c r="G1477" s="2370"/>
      <c r="H1477" s="2361">
        <f>SUBTOTAL(9,H1478:H1483)</f>
        <v>51304.79</v>
      </c>
      <c r="I1477" s="2371"/>
      <c r="J1477" s="2372"/>
      <c r="K1477" s="2555"/>
      <c r="L1477" s="2539">
        <f>SUBTOTAL(9,L1478:L1483)</f>
        <v>0</v>
      </c>
      <c r="M1477" s="2361">
        <f>SUBTOTAL(9,M1478:M1483)</f>
        <v>0</v>
      </c>
      <c r="N1477" s="2361">
        <f>SUBTOTAL(9,N1478:N1483)</f>
        <v>0</v>
      </c>
      <c r="O1477" s="2361">
        <f>SUBTOTAL(9,O1478:O1483)</f>
        <v>51304.79</v>
      </c>
      <c r="P1477" s="2295">
        <f t="shared" si="303"/>
        <v>1</v>
      </c>
    </row>
    <row r="1478" spans="1:16" ht="30">
      <c r="A1478" s="2272" t="s">
        <v>14118</v>
      </c>
      <c r="B1478" s="2228" t="str">
        <f>VLOOKUP($A1478,'15 - QT_BCE'!$A:$F,2,0)</f>
        <v>AS-CP-ARQ-43</v>
      </c>
      <c r="C1478" s="2228" t="str">
        <f>VLOOKUP($A1478,'15 - QT_BCE'!$A:$F,3,0)</f>
        <v>PRÓPRIA</v>
      </c>
      <c r="D1478" s="2375" t="s">
        <v>14908</v>
      </c>
      <c r="E1478" s="2243" t="str">
        <f>IFERROR(VLOOKUP($B1478,'24.08_ND'!$1:$1048529,3,0),IFERROR(VLOOKUP($B1478,'03-CP'!$C$1:$H$6260,3,0),""))</f>
        <v>UN</v>
      </c>
      <c r="F1478" s="2230">
        <v>4</v>
      </c>
      <c r="G1478" s="2232">
        <v>64.2</v>
      </c>
      <c r="H1478" s="2302">
        <f t="shared" ref="H1478:H1483" si="304">TRUNC((G1478*F1478),2)</f>
        <v>256.8</v>
      </c>
      <c r="I1478" s="2328"/>
      <c r="J1478" s="2237"/>
      <c r="K1478" s="2411"/>
      <c r="L1478" s="2533">
        <f>M1478+N1478</f>
        <v>0</v>
      </c>
      <c r="M1478" s="2238">
        <v>0</v>
      </c>
      <c r="N1478" s="2239">
        <f>TRUNC(H1478*K1478,2)</f>
        <v>0</v>
      </c>
      <c r="O1478" s="2498">
        <f t="shared" si="302"/>
        <v>256.8</v>
      </c>
      <c r="P1478" s="2295">
        <f t="shared" si="303"/>
        <v>1</v>
      </c>
    </row>
    <row r="1479" spans="1:16" ht="30">
      <c r="A1479" s="2272" t="s">
        <v>14119</v>
      </c>
      <c r="B1479" s="2228" t="str">
        <f>VLOOKUP($A1479,'15 - QT_BCE'!$A:$F,2,0)</f>
        <v>AS-CP-ARQ-44</v>
      </c>
      <c r="C1479" s="2228" t="str">
        <f>VLOOKUP($A1479,'15 - QT_BCE'!$A:$F,3,0)</f>
        <v>PRÓPRIA</v>
      </c>
      <c r="D1479" s="2375" t="s">
        <v>15073</v>
      </c>
      <c r="E1479" s="2243" t="str">
        <f>IFERROR(VLOOKUP($B1479,'24.08_ND'!$1:$1048529,3,0),IFERROR(VLOOKUP($B1479,'03-CP'!$C$1:$H$6260,3,0),""))</f>
        <v>M</v>
      </c>
      <c r="F1479" s="2230">
        <v>58</v>
      </c>
      <c r="G1479" s="2232">
        <v>177.9</v>
      </c>
      <c r="H1479" s="2302">
        <f t="shared" si="304"/>
        <v>10318.200000000001</v>
      </c>
      <c r="I1479" s="2287"/>
      <c r="J1479" s="2231"/>
      <c r="K1479" s="2412"/>
      <c r="L1479" s="2536"/>
      <c r="M1479" s="2232"/>
      <c r="N1479" s="2239"/>
      <c r="O1479" s="2498">
        <f t="shared" si="302"/>
        <v>10318.200000000001</v>
      </c>
      <c r="P1479" s="2295">
        <f t="shared" si="303"/>
        <v>1</v>
      </c>
    </row>
    <row r="1480" spans="1:16" ht="30">
      <c r="A1480" s="2272" t="s">
        <v>14120</v>
      </c>
      <c r="B1480" s="2228" t="str">
        <f>VLOOKUP($A1480,'15 - QT_BCE'!$A:$F,2,0)</f>
        <v>AS-CP-ARQ-45</v>
      </c>
      <c r="C1480" s="2228" t="str">
        <f>VLOOKUP($A1480,'15 - QT_BCE'!$A:$F,3,0)</f>
        <v>PRÓPRIA</v>
      </c>
      <c r="D1480" s="2375" t="s">
        <v>15077</v>
      </c>
      <c r="E1480" s="2243" t="str">
        <f>IFERROR(VLOOKUP($B1480,'24.08_ND'!$1:$1048529,3,0),IFERROR(VLOOKUP($B1480,'03-CP'!$C$1:$H$6260,3,0),""))</f>
        <v>M</v>
      </c>
      <c r="F1480" s="2230">
        <v>18.5</v>
      </c>
      <c r="G1480" s="2232">
        <v>192.61</v>
      </c>
      <c r="H1480" s="2302">
        <f t="shared" si="304"/>
        <v>3563.28</v>
      </c>
      <c r="I1480" s="2287"/>
      <c r="J1480" s="2231"/>
      <c r="K1480" s="2412"/>
      <c r="L1480" s="2536"/>
      <c r="M1480" s="2232"/>
      <c r="N1480" s="2239"/>
      <c r="O1480" s="2498">
        <f t="shared" si="302"/>
        <v>3563.28</v>
      </c>
      <c r="P1480" s="2295">
        <f t="shared" si="303"/>
        <v>1</v>
      </c>
    </row>
    <row r="1481" spans="1:16" ht="45">
      <c r="A1481" s="2272" t="s">
        <v>14121</v>
      </c>
      <c r="B1481" s="2228">
        <f>VLOOKUP($A1481,'15 - QT_BCE'!$A:$F,2,0)</f>
        <v>94995</v>
      </c>
      <c r="C1481" s="2228" t="str">
        <f>VLOOKUP($A1481,'15 - QT_BCE'!$A:$F,3,0)</f>
        <v>SINAPI</v>
      </c>
      <c r="D1481" s="2375" t="s">
        <v>11200</v>
      </c>
      <c r="E1481" s="2243" t="str">
        <f>IFERROR(VLOOKUP($B1481,'24.08_ND'!$1:$1048529,3,0),IFERROR(VLOOKUP($B1481,'03-CP'!$C$1:$H$6260,3,0),""))</f>
        <v>M2</v>
      </c>
      <c r="F1481" s="2230">
        <v>248.17</v>
      </c>
      <c r="G1481" s="2232">
        <v>127.46</v>
      </c>
      <c r="H1481" s="2302">
        <f t="shared" si="304"/>
        <v>31631.74</v>
      </c>
      <c r="I1481" s="2287"/>
      <c r="J1481" s="2231"/>
      <c r="K1481" s="2412"/>
      <c r="L1481" s="2536"/>
      <c r="M1481" s="2232"/>
      <c r="N1481" s="2239"/>
      <c r="O1481" s="2498">
        <f t="shared" si="302"/>
        <v>31631.74</v>
      </c>
      <c r="P1481" s="2295">
        <f t="shared" si="303"/>
        <v>1</v>
      </c>
    </row>
    <row r="1482" spans="1:16" ht="30">
      <c r="A1482" s="2272" t="s">
        <v>14122</v>
      </c>
      <c r="B1482" s="2228">
        <f>VLOOKUP($A1482,'15 - QT_BCE'!$A:$F,2,0)</f>
        <v>87299</v>
      </c>
      <c r="C1482" s="2228" t="str">
        <f>VLOOKUP($A1482,'15 - QT_BCE'!$A:$F,3,0)</f>
        <v>SINAPI</v>
      </c>
      <c r="D1482" s="2375" t="s">
        <v>11550</v>
      </c>
      <c r="E1482" s="2243" t="str">
        <f>IFERROR(VLOOKUP($B1482,'24.08_ND'!$1:$1048529,3,0),IFERROR(VLOOKUP($B1482,'03-CP'!$C$1:$H$6260,3,0),""))</f>
        <v>M3</v>
      </c>
      <c r="F1482" s="2230">
        <v>7.0130999999999997</v>
      </c>
      <c r="G1482" s="2232">
        <v>548.28</v>
      </c>
      <c r="H1482" s="2302">
        <f t="shared" si="304"/>
        <v>3845.14</v>
      </c>
      <c r="I1482" s="2287"/>
      <c r="J1482" s="2231"/>
      <c r="K1482" s="2412"/>
      <c r="L1482" s="2536"/>
      <c r="M1482" s="2232"/>
      <c r="N1482" s="2239"/>
      <c r="O1482" s="2498">
        <f t="shared" si="302"/>
        <v>3845.14</v>
      </c>
      <c r="P1482" s="2295">
        <f t="shared" si="303"/>
        <v>1</v>
      </c>
    </row>
    <row r="1483" spans="1:16" ht="30">
      <c r="A1483" s="2272" t="s">
        <v>14123</v>
      </c>
      <c r="B1483" s="2228" t="str">
        <f>VLOOKUP($A1483,'15 - QT_BCE'!$A:$F,2,0)</f>
        <v>PS-CP-93</v>
      </c>
      <c r="C1483" s="2228" t="str">
        <f>VLOOKUP($A1483,'15 - QT_BCE'!$A:$F,3,0)</f>
        <v>PRÓPRIA</v>
      </c>
      <c r="D1483" s="2375" t="s">
        <v>14963</v>
      </c>
      <c r="E1483" s="2243" t="str">
        <f>IFERROR(VLOOKUP($B1483,'24.08_ND'!$1:$1048529,3,0),IFERROR(VLOOKUP($B1483,'03-CP'!$C$1:$H$6260,3,0),""))</f>
        <v>M2</v>
      </c>
      <c r="F1483" s="2230">
        <v>5.94</v>
      </c>
      <c r="G1483" s="2232">
        <v>284.45</v>
      </c>
      <c r="H1483" s="2302">
        <f t="shared" si="304"/>
        <v>1689.63</v>
      </c>
      <c r="I1483" s="2287"/>
      <c r="J1483" s="2231"/>
      <c r="K1483" s="2412"/>
      <c r="L1483" s="2536"/>
      <c r="M1483" s="2232"/>
      <c r="N1483" s="2239"/>
      <c r="O1483" s="2498">
        <f t="shared" si="302"/>
        <v>1689.63</v>
      </c>
      <c r="P1483" s="2295">
        <f t="shared" si="303"/>
        <v>1</v>
      </c>
    </row>
    <row r="1484" spans="1:16">
      <c r="A1484" s="2513" t="s">
        <v>12650</v>
      </c>
      <c r="B1484" s="2514"/>
      <c r="C1484" s="2515"/>
      <c r="D1484" s="2516" t="s">
        <v>16310</v>
      </c>
      <c r="E1484" s="2517"/>
      <c r="F1484" s="2518"/>
      <c r="G1484" s="2519"/>
      <c r="H1484" s="2520">
        <f>SUBTOTAL(9,H1485:H1576)</f>
        <v>124505.89000000003</v>
      </c>
      <c r="I1484" s="2521"/>
      <c r="J1484" s="2522"/>
      <c r="K1484" s="2554"/>
      <c r="L1484" s="2541">
        <f>SUBTOTAL(9,L1485:L1576)</f>
        <v>0</v>
      </c>
      <c r="M1484" s="2520">
        <f>SUBTOTAL(9,M1485:M1576)</f>
        <v>0</v>
      </c>
      <c r="N1484" s="2520">
        <f>SUBTOTAL(9,N1485:N1576)</f>
        <v>0</v>
      </c>
      <c r="O1484" s="2520">
        <f>SUBTOTAL(9,O1485:O1576)</f>
        <v>124505.89000000003</v>
      </c>
      <c r="P1484" s="2295">
        <f t="shared" si="303"/>
        <v>1</v>
      </c>
    </row>
    <row r="1485" spans="1:16">
      <c r="A1485" s="2343" t="s">
        <v>14124</v>
      </c>
      <c r="B1485" s="2397"/>
      <c r="C1485" s="2401"/>
      <c r="D1485" s="2380" t="s">
        <v>16312</v>
      </c>
      <c r="E1485" s="2368"/>
      <c r="F1485" s="2369"/>
      <c r="G1485" s="2370"/>
      <c r="H1485" s="2361">
        <f>SUBTOTAL(9,H1486:H1525)</f>
        <v>41662.620000000003</v>
      </c>
      <c r="I1485" s="2371"/>
      <c r="J1485" s="2372"/>
      <c r="K1485" s="2555"/>
      <c r="L1485" s="2539">
        <f>SUBTOTAL(9,L1486:L1525)</f>
        <v>0</v>
      </c>
      <c r="M1485" s="2361">
        <f>SUBTOTAL(9,M1486:M1525)</f>
        <v>0</v>
      </c>
      <c r="N1485" s="2361">
        <f>SUBTOTAL(9,N1486:N1525)</f>
        <v>0</v>
      </c>
      <c r="O1485" s="2361">
        <f>SUBTOTAL(9,O1486:O1525)</f>
        <v>41662.620000000003</v>
      </c>
      <c r="P1485" s="2295">
        <f t="shared" si="303"/>
        <v>1</v>
      </c>
    </row>
    <row r="1486" spans="1:16" ht="45">
      <c r="A1486" s="2272" t="s">
        <v>14125</v>
      </c>
      <c r="B1486" s="2228">
        <f>VLOOKUP($A1486,'15 - QT_BCE'!$A:$F,2,0)</f>
        <v>104001</v>
      </c>
      <c r="C1486" s="2228" t="str">
        <f>VLOOKUP($A1486,'15 - QT_BCE'!$A:$F,3,0)</f>
        <v>SINAPI</v>
      </c>
      <c r="D1486" s="2375" t="s">
        <v>9845</v>
      </c>
      <c r="E1486" s="2243" t="str">
        <f>IFERROR(VLOOKUP($B1486,'24.08_ND'!$1:$1048529,3,0),IFERROR(VLOOKUP($B1486,'03-CP'!$C$1:$H$6260,3,0),""))</f>
        <v>UN</v>
      </c>
      <c r="F1486" s="2230">
        <v>36</v>
      </c>
      <c r="G1486" s="2232">
        <v>14.58</v>
      </c>
      <c r="H1486" s="2302">
        <f t="shared" ref="H1486:H1525" si="305">TRUNC((G1486*F1486),2)</f>
        <v>524.88</v>
      </c>
      <c r="I1486" s="2328">
        <f>J1486+K1486</f>
        <v>0</v>
      </c>
      <c r="J1486" s="2237"/>
      <c r="K1486" s="2411"/>
      <c r="L1486" s="2533">
        <f>M1486+N1486</f>
        <v>0</v>
      </c>
      <c r="M1486" s="2238">
        <v>0</v>
      </c>
      <c r="N1486" s="2239">
        <f>TRUNC(H1486*K1486,2)</f>
        <v>0</v>
      </c>
      <c r="O1486" s="2498">
        <f t="shared" ref="O1486:O1525" si="306">H1486-L1486</f>
        <v>524.88</v>
      </c>
      <c r="P1486" s="2295">
        <f t="shared" si="303"/>
        <v>1</v>
      </c>
    </row>
    <row r="1487" spans="1:16" ht="45">
      <c r="A1487" s="2272" t="s">
        <v>14126</v>
      </c>
      <c r="B1487" s="2228">
        <f>VLOOKUP($A1487,'15 - QT_BCE'!$A:$F,2,0)</f>
        <v>89383</v>
      </c>
      <c r="C1487" s="2228" t="str">
        <f>VLOOKUP($A1487,'15 - QT_BCE'!$A:$F,3,0)</f>
        <v>SINAPI</v>
      </c>
      <c r="D1487" s="2375" t="s">
        <v>8690</v>
      </c>
      <c r="E1487" s="2243" t="str">
        <f>IFERROR(VLOOKUP($B1487,'24.08_ND'!$1:$1048529,3,0),IFERROR(VLOOKUP($B1487,'03-CP'!$C$1:$H$6260,3,0),""))</f>
        <v>UN</v>
      </c>
      <c r="F1487" s="2230">
        <v>6</v>
      </c>
      <c r="G1487" s="2232">
        <v>7.15</v>
      </c>
      <c r="H1487" s="2302">
        <f t="shared" si="305"/>
        <v>42.9</v>
      </c>
      <c r="I1487" s="2287"/>
      <c r="J1487" s="2231"/>
      <c r="K1487" s="2412"/>
      <c r="L1487" s="2536"/>
      <c r="M1487" s="2232"/>
      <c r="N1487" s="2239"/>
      <c r="O1487" s="2498">
        <f t="shared" si="306"/>
        <v>42.9</v>
      </c>
      <c r="P1487" s="2295">
        <f t="shared" si="303"/>
        <v>1</v>
      </c>
    </row>
    <row r="1488" spans="1:16" ht="30">
      <c r="A1488" s="2272" t="s">
        <v>14127</v>
      </c>
      <c r="B1488" s="2228">
        <f>VLOOKUP($A1488,'15 - QT_BCE'!$A:$F,2,0)</f>
        <v>105234</v>
      </c>
      <c r="C1488" s="2228" t="str">
        <f>VLOOKUP($A1488,'15 - QT_BCE'!$A:$F,3,0)</f>
        <v>SINAPI</v>
      </c>
      <c r="D1488" s="2375" t="s">
        <v>10006</v>
      </c>
      <c r="E1488" s="2243" t="str">
        <f>IFERROR(VLOOKUP($B1488,'24.08_ND'!$1:$1048529,3,0),IFERROR(VLOOKUP($B1488,'03-CP'!$C$1:$H$6260,3,0),""))</f>
        <v>UN</v>
      </c>
      <c r="F1488" s="2230">
        <v>10</v>
      </c>
      <c r="G1488" s="2232">
        <v>10.15</v>
      </c>
      <c r="H1488" s="2302">
        <f t="shared" si="305"/>
        <v>101.5</v>
      </c>
      <c r="I1488" s="2287"/>
      <c r="J1488" s="2231"/>
      <c r="K1488" s="2412"/>
      <c r="L1488" s="2536"/>
      <c r="M1488" s="2232"/>
      <c r="N1488" s="2239"/>
      <c r="O1488" s="2498">
        <f t="shared" si="306"/>
        <v>101.5</v>
      </c>
      <c r="P1488" s="2295">
        <f t="shared" si="303"/>
        <v>1</v>
      </c>
    </row>
    <row r="1489" spans="1:16" ht="30">
      <c r="A1489" s="2272" t="s">
        <v>14128</v>
      </c>
      <c r="B1489" s="2228">
        <f>VLOOKUP($A1489,'15 - QT_BCE'!$A:$F,2,0)</f>
        <v>103948</v>
      </c>
      <c r="C1489" s="2228" t="str">
        <f>VLOOKUP($A1489,'15 - QT_BCE'!$A:$F,3,0)</f>
        <v>SINAPI</v>
      </c>
      <c r="D1489" s="2375" t="s">
        <v>9802</v>
      </c>
      <c r="E1489" s="2243" t="str">
        <f>IFERROR(VLOOKUP($B1489,'24.08_ND'!$1:$1048529,3,0),IFERROR(VLOOKUP($B1489,'03-CP'!$C$1:$H$6260,3,0),""))</f>
        <v>UN</v>
      </c>
      <c r="F1489" s="2230">
        <v>5</v>
      </c>
      <c r="G1489" s="2232">
        <v>8.56</v>
      </c>
      <c r="H1489" s="2302">
        <f t="shared" si="305"/>
        <v>42.8</v>
      </c>
      <c r="I1489" s="2287"/>
      <c r="J1489" s="2231"/>
      <c r="K1489" s="2412"/>
      <c r="L1489" s="2536"/>
      <c r="M1489" s="2232"/>
      <c r="N1489" s="2239"/>
      <c r="O1489" s="2498">
        <f t="shared" si="306"/>
        <v>42.8</v>
      </c>
      <c r="P1489" s="2295">
        <f t="shared" si="303"/>
        <v>1</v>
      </c>
    </row>
    <row r="1490" spans="1:16" ht="30">
      <c r="A1490" s="2272" t="s">
        <v>14129</v>
      </c>
      <c r="B1490" s="2228">
        <f>VLOOKUP($A1490,'15 - QT_BCE'!$A:$F,2,0)</f>
        <v>94683</v>
      </c>
      <c r="C1490" s="2228" t="str">
        <f>VLOOKUP($A1490,'15 - QT_BCE'!$A:$F,3,0)</f>
        <v>SINAPI</v>
      </c>
      <c r="D1490" s="2375" t="s">
        <v>9379</v>
      </c>
      <c r="E1490" s="2243" t="str">
        <f>IFERROR(VLOOKUP($B1490,'24.08_ND'!$1:$1048529,3,0),IFERROR(VLOOKUP($B1490,'03-CP'!$C$1:$H$6260,3,0),""))</f>
        <v>UN</v>
      </c>
      <c r="F1490" s="2230">
        <v>7</v>
      </c>
      <c r="G1490" s="2232">
        <v>73.22</v>
      </c>
      <c r="H1490" s="2302">
        <f t="shared" si="305"/>
        <v>512.54</v>
      </c>
      <c r="I1490" s="2287"/>
      <c r="J1490" s="2231"/>
      <c r="K1490" s="2412"/>
      <c r="L1490" s="2536"/>
      <c r="M1490" s="2232"/>
      <c r="N1490" s="2239"/>
      <c r="O1490" s="2498">
        <f t="shared" si="306"/>
        <v>512.54</v>
      </c>
      <c r="P1490" s="2295">
        <f t="shared" si="303"/>
        <v>1</v>
      </c>
    </row>
    <row r="1491" spans="1:16" ht="30">
      <c r="A1491" s="2272" t="s">
        <v>14130</v>
      </c>
      <c r="B1491" s="2228">
        <f>VLOOKUP($A1491,'15 - QT_BCE'!$A:$F,2,0)</f>
        <v>94679</v>
      </c>
      <c r="C1491" s="2228" t="str">
        <f>VLOOKUP($A1491,'15 - QT_BCE'!$A:$F,3,0)</f>
        <v>SINAPI</v>
      </c>
      <c r="D1491" s="2375" t="s">
        <v>9375</v>
      </c>
      <c r="E1491" s="2243" t="str">
        <f>IFERROR(VLOOKUP($B1491,'24.08_ND'!$1:$1048529,3,0),IFERROR(VLOOKUP($B1491,'03-CP'!$C$1:$H$6260,3,0),""))</f>
        <v>UN</v>
      </c>
      <c r="F1491" s="2230">
        <v>52</v>
      </c>
      <c r="G1491" s="2232">
        <v>23.81</v>
      </c>
      <c r="H1491" s="2302">
        <f t="shared" si="305"/>
        <v>1238.1199999999999</v>
      </c>
      <c r="I1491" s="2287"/>
      <c r="J1491" s="2231"/>
      <c r="K1491" s="2412"/>
      <c r="L1491" s="2536"/>
      <c r="M1491" s="2232"/>
      <c r="N1491" s="2239"/>
      <c r="O1491" s="2498">
        <f t="shared" si="306"/>
        <v>1238.1199999999999</v>
      </c>
      <c r="P1491" s="2295">
        <f t="shared" si="303"/>
        <v>1</v>
      </c>
    </row>
    <row r="1492" spans="1:16" ht="30">
      <c r="A1492" s="2272" t="s">
        <v>14131</v>
      </c>
      <c r="B1492" s="2228">
        <f>VLOOKUP($A1492,'15 - QT_BCE'!$A:$F,2,0)</f>
        <v>89369</v>
      </c>
      <c r="C1492" s="2228" t="str">
        <f>VLOOKUP($A1492,'15 - QT_BCE'!$A:$F,3,0)</f>
        <v>SINAPI</v>
      </c>
      <c r="D1492" s="2375" t="s">
        <v>8676</v>
      </c>
      <c r="E1492" s="2243" t="str">
        <f>IFERROR(VLOOKUP($B1492,'24.08_ND'!$1:$1048529,3,0),IFERROR(VLOOKUP($B1492,'03-CP'!$C$1:$H$6260,3,0),""))</f>
        <v>UN</v>
      </c>
      <c r="F1492" s="2230">
        <v>9</v>
      </c>
      <c r="G1492" s="2232">
        <v>17.91</v>
      </c>
      <c r="H1492" s="2302">
        <f t="shared" si="305"/>
        <v>161.19</v>
      </c>
      <c r="I1492" s="2287"/>
      <c r="J1492" s="2231"/>
      <c r="K1492" s="2412"/>
      <c r="L1492" s="2536"/>
      <c r="M1492" s="2232"/>
      <c r="N1492" s="2239"/>
      <c r="O1492" s="2498">
        <f t="shared" si="306"/>
        <v>161.19</v>
      </c>
      <c r="P1492" s="2295">
        <f t="shared" si="303"/>
        <v>1</v>
      </c>
    </row>
    <row r="1493" spans="1:16" ht="30">
      <c r="A1493" s="2272" t="s">
        <v>14132</v>
      </c>
      <c r="B1493" s="2228">
        <f>VLOOKUP($A1493,'15 - QT_BCE'!$A:$F,2,0)</f>
        <v>89364</v>
      </c>
      <c r="C1493" s="2228" t="str">
        <f>VLOOKUP($A1493,'15 - QT_BCE'!$A:$F,3,0)</f>
        <v>SINAPI</v>
      </c>
      <c r="D1493" s="2375" t="s">
        <v>8671</v>
      </c>
      <c r="E1493" s="2243" t="str">
        <f>IFERROR(VLOOKUP($B1493,'24.08_ND'!$1:$1048529,3,0),IFERROR(VLOOKUP($B1493,'03-CP'!$C$1:$H$6260,3,0),""))</f>
        <v>UN</v>
      </c>
      <c r="F1493" s="2230">
        <v>2</v>
      </c>
      <c r="G1493" s="2232">
        <v>12.43</v>
      </c>
      <c r="H1493" s="2302">
        <f t="shared" si="305"/>
        <v>24.86</v>
      </c>
      <c r="I1493" s="2287"/>
      <c r="J1493" s="2231"/>
      <c r="K1493" s="2412"/>
      <c r="L1493" s="2536"/>
      <c r="M1493" s="2232"/>
      <c r="N1493" s="2239"/>
      <c r="O1493" s="2498">
        <f t="shared" si="306"/>
        <v>24.86</v>
      </c>
      <c r="P1493" s="2295">
        <f t="shared" si="303"/>
        <v>1</v>
      </c>
    </row>
    <row r="1494" spans="1:16" ht="30">
      <c r="A1494" s="2272" t="s">
        <v>14133</v>
      </c>
      <c r="B1494" s="2228">
        <f>VLOOKUP($A1494,'15 - QT_BCE'!$A:$F,2,0)</f>
        <v>89430</v>
      </c>
      <c r="C1494" s="2228" t="str">
        <f>VLOOKUP($A1494,'15 - QT_BCE'!$A:$F,3,0)</f>
        <v>SINAPI</v>
      </c>
      <c r="D1494" s="2375" t="s">
        <v>8731</v>
      </c>
      <c r="E1494" s="2243" t="str">
        <f>IFERROR(VLOOKUP($B1494,'24.08_ND'!$1:$1048529,3,0),IFERROR(VLOOKUP($B1494,'03-CP'!$C$1:$H$6260,3,0),""))</f>
        <v>UN</v>
      </c>
      <c r="F1494" s="2230">
        <v>2</v>
      </c>
      <c r="G1494" s="2232">
        <v>12.8</v>
      </c>
      <c r="H1494" s="2302">
        <f t="shared" si="305"/>
        <v>25.6</v>
      </c>
      <c r="I1494" s="2287"/>
      <c r="J1494" s="2231"/>
      <c r="K1494" s="2412"/>
      <c r="L1494" s="2536"/>
      <c r="M1494" s="2232"/>
      <c r="N1494" s="2239"/>
      <c r="O1494" s="2498">
        <f t="shared" si="306"/>
        <v>25.6</v>
      </c>
      <c r="P1494" s="2295">
        <f t="shared" si="303"/>
        <v>1</v>
      </c>
    </row>
    <row r="1495" spans="1:16" ht="30">
      <c r="A1495" s="2272" t="s">
        <v>14134</v>
      </c>
      <c r="B1495" s="2228">
        <f>VLOOKUP($A1495,'15 - QT_BCE'!$A:$F,2,0)</f>
        <v>89363</v>
      </c>
      <c r="C1495" s="2228" t="str">
        <f>VLOOKUP($A1495,'15 - QT_BCE'!$A:$F,3,0)</f>
        <v>SINAPI</v>
      </c>
      <c r="D1495" s="2375" t="s">
        <v>8670</v>
      </c>
      <c r="E1495" s="2243" t="str">
        <f>IFERROR(VLOOKUP($B1495,'24.08_ND'!$1:$1048529,3,0),IFERROR(VLOOKUP($B1495,'03-CP'!$C$1:$H$6260,3,0),""))</f>
        <v>UN</v>
      </c>
      <c r="F1495" s="2230">
        <v>22</v>
      </c>
      <c r="G1495" s="2232">
        <v>11</v>
      </c>
      <c r="H1495" s="2302">
        <f t="shared" si="305"/>
        <v>242</v>
      </c>
      <c r="I1495" s="2287"/>
      <c r="J1495" s="2231"/>
      <c r="K1495" s="2412"/>
      <c r="L1495" s="2536"/>
      <c r="M1495" s="2232"/>
      <c r="N1495" s="2239"/>
      <c r="O1495" s="2498">
        <f t="shared" si="306"/>
        <v>242</v>
      </c>
      <c r="P1495" s="2295">
        <f t="shared" si="303"/>
        <v>1</v>
      </c>
    </row>
    <row r="1496" spans="1:16" ht="30">
      <c r="A1496" s="2272" t="s">
        <v>14135</v>
      </c>
      <c r="B1496" s="2228">
        <f>VLOOKUP($A1496,'15 - QT_BCE'!$A:$F,2,0)</f>
        <v>89368</v>
      </c>
      <c r="C1496" s="2228" t="str">
        <f>VLOOKUP($A1496,'15 - QT_BCE'!$A:$F,3,0)</f>
        <v>SINAPI</v>
      </c>
      <c r="D1496" s="2375" t="s">
        <v>8675</v>
      </c>
      <c r="E1496" s="2243" t="str">
        <f>IFERROR(VLOOKUP($B1496,'24.08_ND'!$1:$1048529,3,0),IFERROR(VLOOKUP($B1496,'03-CP'!$C$1:$H$6260,3,0),""))</f>
        <v>UN</v>
      </c>
      <c r="F1496" s="2230">
        <v>2</v>
      </c>
      <c r="G1496" s="2232">
        <v>15.65</v>
      </c>
      <c r="H1496" s="2302">
        <f t="shared" si="305"/>
        <v>31.3</v>
      </c>
      <c r="I1496" s="2287"/>
      <c r="J1496" s="2231"/>
      <c r="K1496" s="2412"/>
      <c r="L1496" s="2536"/>
      <c r="M1496" s="2232"/>
      <c r="N1496" s="2239"/>
      <c r="O1496" s="2498">
        <f t="shared" si="306"/>
        <v>31.3</v>
      </c>
      <c r="P1496" s="2295">
        <f t="shared" si="303"/>
        <v>1</v>
      </c>
    </row>
    <row r="1497" spans="1:16" ht="30">
      <c r="A1497" s="2272" t="s">
        <v>14136</v>
      </c>
      <c r="B1497" s="2228">
        <f>VLOOKUP($A1497,'15 - QT_BCE'!$A:$F,2,0)</f>
        <v>103985</v>
      </c>
      <c r="C1497" s="2228" t="str">
        <f>VLOOKUP($A1497,'15 - QT_BCE'!$A:$F,3,0)</f>
        <v>SINAPI</v>
      </c>
      <c r="D1497" s="2375" t="s">
        <v>9830</v>
      </c>
      <c r="E1497" s="2243" t="str">
        <f>IFERROR(VLOOKUP($B1497,'24.08_ND'!$1:$1048529,3,0),IFERROR(VLOOKUP($B1497,'03-CP'!$C$1:$H$6260,3,0),""))</f>
        <v>UN</v>
      </c>
      <c r="F1497" s="2230">
        <v>38</v>
      </c>
      <c r="G1497" s="2232">
        <v>23.21</v>
      </c>
      <c r="H1497" s="2302">
        <f t="shared" si="305"/>
        <v>881.98</v>
      </c>
      <c r="I1497" s="2287"/>
      <c r="J1497" s="2231"/>
      <c r="K1497" s="2412"/>
      <c r="L1497" s="2536"/>
      <c r="M1497" s="2232"/>
      <c r="N1497" s="2239"/>
      <c r="O1497" s="2498">
        <f t="shared" si="306"/>
        <v>881.98</v>
      </c>
      <c r="P1497" s="2295">
        <f t="shared" si="303"/>
        <v>1</v>
      </c>
    </row>
    <row r="1498" spans="1:16" ht="30">
      <c r="A1498" s="2272" t="s">
        <v>14137</v>
      </c>
      <c r="B1498" s="2228">
        <f>VLOOKUP($A1498,'15 - QT_BCE'!$A:$F,2,0)</f>
        <v>89367</v>
      </c>
      <c r="C1498" s="2228" t="str">
        <f>VLOOKUP($A1498,'15 - QT_BCE'!$A:$F,3,0)</f>
        <v>SINAPI</v>
      </c>
      <c r="D1498" s="2375" t="s">
        <v>8674</v>
      </c>
      <c r="E1498" s="2243" t="str">
        <f>IFERROR(VLOOKUP($B1498,'24.08_ND'!$1:$1048529,3,0),IFERROR(VLOOKUP($B1498,'03-CP'!$C$1:$H$6260,3,0),""))</f>
        <v>UN</v>
      </c>
      <c r="F1498" s="2230">
        <v>4</v>
      </c>
      <c r="G1498" s="2232">
        <v>13.96</v>
      </c>
      <c r="H1498" s="2302">
        <f t="shared" si="305"/>
        <v>55.84</v>
      </c>
      <c r="I1498" s="2287"/>
      <c r="J1498" s="2231"/>
      <c r="K1498" s="2412"/>
      <c r="L1498" s="2536"/>
      <c r="M1498" s="2232"/>
      <c r="N1498" s="2239"/>
      <c r="O1498" s="2498">
        <f t="shared" si="306"/>
        <v>55.84</v>
      </c>
      <c r="P1498" s="2295">
        <f t="shared" si="303"/>
        <v>1</v>
      </c>
    </row>
    <row r="1499" spans="1:16" ht="45">
      <c r="A1499" s="2272" t="s">
        <v>14138</v>
      </c>
      <c r="B1499" s="2228">
        <f>VLOOKUP($A1499,'15 - QT_BCE'!$A:$F,2,0)</f>
        <v>89366</v>
      </c>
      <c r="C1499" s="2228" t="str">
        <f>VLOOKUP($A1499,'15 - QT_BCE'!$A:$F,3,0)</f>
        <v>SINAPI</v>
      </c>
      <c r="D1499" s="2375" t="s">
        <v>8673</v>
      </c>
      <c r="E1499" s="2243" t="str">
        <f>IFERROR(VLOOKUP($B1499,'24.08_ND'!$1:$1048529,3,0),IFERROR(VLOOKUP($B1499,'03-CP'!$C$1:$H$6260,3,0),""))</f>
        <v>UN</v>
      </c>
      <c r="F1499" s="2230">
        <v>25</v>
      </c>
      <c r="G1499" s="2232">
        <v>16.670000000000002</v>
      </c>
      <c r="H1499" s="2302">
        <f t="shared" si="305"/>
        <v>416.75</v>
      </c>
      <c r="I1499" s="2287"/>
      <c r="J1499" s="2231"/>
      <c r="K1499" s="2412"/>
      <c r="L1499" s="2536"/>
      <c r="M1499" s="2232"/>
      <c r="N1499" s="2239"/>
      <c r="O1499" s="2498">
        <f t="shared" si="306"/>
        <v>416.75</v>
      </c>
      <c r="P1499" s="2295">
        <f t="shared" si="303"/>
        <v>1</v>
      </c>
    </row>
    <row r="1500" spans="1:16" ht="30">
      <c r="A1500" s="2272" t="s">
        <v>14139</v>
      </c>
      <c r="B1500" s="2228">
        <f>VLOOKUP($A1500,'15 - QT_BCE'!$A:$F,2,0)</f>
        <v>89381</v>
      </c>
      <c r="C1500" s="2228" t="str">
        <f>VLOOKUP($A1500,'15 - QT_BCE'!$A:$F,3,0)</f>
        <v>SINAPI</v>
      </c>
      <c r="D1500" s="2375" t="s">
        <v>8688</v>
      </c>
      <c r="E1500" s="2243" t="str">
        <f>IFERROR(VLOOKUP($B1500,'24.08_ND'!$1:$1048529,3,0),IFERROR(VLOOKUP($B1500,'03-CP'!$C$1:$H$6260,3,0),""))</f>
        <v>UN</v>
      </c>
      <c r="F1500" s="2230">
        <v>18</v>
      </c>
      <c r="G1500" s="2232">
        <v>12.7</v>
      </c>
      <c r="H1500" s="2302">
        <f t="shared" si="305"/>
        <v>228.6</v>
      </c>
      <c r="I1500" s="2287"/>
      <c r="J1500" s="2231"/>
      <c r="K1500" s="2412"/>
      <c r="L1500" s="2536"/>
      <c r="M1500" s="2232"/>
      <c r="N1500" s="2239"/>
      <c r="O1500" s="2498">
        <f t="shared" si="306"/>
        <v>228.6</v>
      </c>
      <c r="P1500" s="2295">
        <f t="shared" si="303"/>
        <v>1</v>
      </c>
    </row>
    <row r="1501" spans="1:16" ht="30">
      <c r="A1501" s="2272" t="s">
        <v>14140</v>
      </c>
      <c r="B1501" s="2228">
        <f>VLOOKUP($A1501,'15 - QT_BCE'!$A:$F,2,0)</f>
        <v>94697</v>
      </c>
      <c r="C1501" s="2228" t="str">
        <f>VLOOKUP($A1501,'15 - QT_BCE'!$A:$F,3,0)</f>
        <v>SINAPI</v>
      </c>
      <c r="D1501" s="2375" t="s">
        <v>9393</v>
      </c>
      <c r="E1501" s="2243" t="str">
        <f>IFERROR(VLOOKUP($B1501,'24.08_ND'!$1:$1048529,3,0),IFERROR(VLOOKUP($B1501,'03-CP'!$C$1:$H$6260,3,0),""))</f>
        <v>UN</v>
      </c>
      <c r="F1501" s="2230">
        <v>4</v>
      </c>
      <c r="G1501" s="2232">
        <v>86.73</v>
      </c>
      <c r="H1501" s="2302">
        <f t="shared" si="305"/>
        <v>346.92</v>
      </c>
      <c r="I1501" s="2287"/>
      <c r="J1501" s="2231"/>
      <c r="K1501" s="2412"/>
      <c r="L1501" s="2536"/>
      <c r="M1501" s="2232"/>
      <c r="N1501" s="2239"/>
      <c r="O1501" s="2498">
        <f t="shared" si="306"/>
        <v>346.92</v>
      </c>
      <c r="P1501" s="2295">
        <f t="shared" si="303"/>
        <v>1</v>
      </c>
    </row>
    <row r="1502" spans="1:16" ht="30">
      <c r="A1502" s="2272" t="s">
        <v>14141</v>
      </c>
      <c r="B1502" s="2228">
        <f>VLOOKUP($A1502,'15 - QT_BCE'!$A:$F,2,0)</f>
        <v>104004</v>
      </c>
      <c r="C1502" s="2228" t="str">
        <f>VLOOKUP($A1502,'15 - QT_BCE'!$A:$F,3,0)</f>
        <v>SINAPI</v>
      </c>
      <c r="D1502" s="2375" t="s">
        <v>9848</v>
      </c>
      <c r="E1502" s="2243" t="str">
        <f>IFERROR(VLOOKUP($B1502,'24.08_ND'!$1:$1048529,3,0),IFERROR(VLOOKUP($B1502,'03-CP'!$C$1:$H$6260,3,0),""))</f>
        <v>UN</v>
      </c>
      <c r="F1502" s="2230">
        <v>21</v>
      </c>
      <c r="G1502" s="2232">
        <v>31.27</v>
      </c>
      <c r="H1502" s="2302">
        <f t="shared" si="305"/>
        <v>656.67</v>
      </c>
      <c r="I1502" s="2287"/>
      <c r="J1502" s="2231"/>
      <c r="K1502" s="2412"/>
      <c r="L1502" s="2536"/>
      <c r="M1502" s="2232"/>
      <c r="N1502" s="2239"/>
      <c r="O1502" s="2498">
        <f t="shared" si="306"/>
        <v>656.67</v>
      </c>
      <c r="P1502" s="2295">
        <f t="shared" si="303"/>
        <v>1</v>
      </c>
    </row>
    <row r="1503" spans="1:16" ht="30">
      <c r="A1503" s="2272" t="s">
        <v>14142</v>
      </c>
      <c r="B1503" s="2228">
        <f>VLOOKUP($A1503,'15 - QT_BCE'!$A:$F,2,0)</f>
        <v>94663</v>
      </c>
      <c r="C1503" s="2228" t="str">
        <f>VLOOKUP($A1503,'15 - QT_BCE'!$A:$F,3,0)</f>
        <v>SINAPI</v>
      </c>
      <c r="D1503" s="2375" t="s">
        <v>9359</v>
      </c>
      <c r="E1503" s="2243" t="str">
        <f>IFERROR(VLOOKUP($B1503,'24.08_ND'!$1:$1048529,3,0),IFERROR(VLOOKUP($B1503,'03-CP'!$C$1:$H$6260,3,0),""))</f>
        <v>UN</v>
      </c>
      <c r="F1503" s="2230">
        <v>13</v>
      </c>
      <c r="G1503" s="2232">
        <v>12.85</v>
      </c>
      <c r="H1503" s="2302">
        <f t="shared" si="305"/>
        <v>167.05</v>
      </c>
      <c r="I1503" s="2287"/>
      <c r="J1503" s="2231"/>
      <c r="K1503" s="2412"/>
      <c r="L1503" s="2536"/>
      <c r="M1503" s="2232"/>
      <c r="N1503" s="2239"/>
      <c r="O1503" s="2498">
        <f t="shared" si="306"/>
        <v>167.05</v>
      </c>
      <c r="P1503" s="2295">
        <f t="shared" si="303"/>
        <v>1</v>
      </c>
    </row>
    <row r="1504" spans="1:16" ht="30">
      <c r="A1504" s="2272" t="s">
        <v>14143</v>
      </c>
      <c r="B1504" s="2228">
        <f>VLOOKUP($A1504,'15 - QT_BCE'!$A:$F,2,0)</f>
        <v>89443</v>
      </c>
      <c r="C1504" s="2228" t="str">
        <f>VLOOKUP($A1504,'15 - QT_BCE'!$A:$F,3,0)</f>
        <v>SINAPI</v>
      </c>
      <c r="D1504" s="2375" t="s">
        <v>8743</v>
      </c>
      <c r="E1504" s="2243" t="str">
        <f>IFERROR(VLOOKUP($B1504,'24.08_ND'!$1:$1048529,3,0),IFERROR(VLOOKUP($B1504,'03-CP'!$C$1:$H$6260,3,0),""))</f>
        <v>UN</v>
      </c>
      <c r="F1504" s="2230">
        <v>5</v>
      </c>
      <c r="G1504" s="2232">
        <v>18.13</v>
      </c>
      <c r="H1504" s="2302">
        <f t="shared" si="305"/>
        <v>90.65</v>
      </c>
      <c r="I1504" s="2287"/>
      <c r="J1504" s="2231"/>
      <c r="K1504" s="2412"/>
      <c r="L1504" s="2536"/>
      <c r="M1504" s="2232"/>
      <c r="N1504" s="2239"/>
      <c r="O1504" s="2498">
        <f t="shared" si="306"/>
        <v>90.65</v>
      </c>
      <c r="P1504" s="2295">
        <f t="shared" si="303"/>
        <v>1</v>
      </c>
    </row>
    <row r="1505" spans="1:16" ht="30">
      <c r="A1505" s="2272" t="s">
        <v>14144</v>
      </c>
      <c r="B1505" s="2228">
        <f>VLOOKUP($A1505,'15 - QT_BCE'!$A:$F,2,0)</f>
        <v>89395</v>
      </c>
      <c r="C1505" s="2228" t="str">
        <f>VLOOKUP($A1505,'15 - QT_BCE'!$A:$F,3,0)</f>
        <v>SINAPI</v>
      </c>
      <c r="D1505" s="2375" t="s">
        <v>8701</v>
      </c>
      <c r="E1505" s="2243" t="str">
        <f>IFERROR(VLOOKUP($B1505,'24.08_ND'!$1:$1048529,3,0),IFERROR(VLOOKUP($B1505,'03-CP'!$C$1:$H$6260,3,0),""))</f>
        <v>UN</v>
      </c>
      <c r="F1505" s="2230">
        <v>23</v>
      </c>
      <c r="G1505" s="2232">
        <v>14.12</v>
      </c>
      <c r="H1505" s="2302">
        <f t="shared" si="305"/>
        <v>324.76</v>
      </c>
      <c r="I1505" s="2287"/>
      <c r="J1505" s="2231"/>
      <c r="K1505" s="2412"/>
      <c r="L1505" s="2536"/>
      <c r="M1505" s="2232"/>
      <c r="N1505" s="2239"/>
      <c r="O1505" s="2498">
        <f t="shared" si="306"/>
        <v>324.76</v>
      </c>
      <c r="P1505" s="2295">
        <f t="shared" si="303"/>
        <v>1</v>
      </c>
    </row>
    <row r="1506" spans="1:16" ht="30">
      <c r="A1506" s="2272" t="s">
        <v>14145</v>
      </c>
      <c r="B1506" s="2228">
        <f>VLOOKUP($A1506,'15 - QT_BCE'!$A:$F,2,0)</f>
        <v>89630</v>
      </c>
      <c r="C1506" s="2228" t="str">
        <f>VLOOKUP($A1506,'15 - QT_BCE'!$A:$F,3,0)</f>
        <v>SINAPI</v>
      </c>
      <c r="D1506" s="2375" t="s">
        <v>8861</v>
      </c>
      <c r="E1506" s="2243" t="str">
        <f>IFERROR(VLOOKUP($B1506,'24.08_ND'!$1:$1048529,3,0),IFERROR(VLOOKUP($B1506,'03-CP'!$C$1:$H$6260,3,0),""))</f>
        <v>UN</v>
      </c>
      <c r="F1506" s="2230">
        <v>10</v>
      </c>
      <c r="G1506" s="2232">
        <v>60.9</v>
      </c>
      <c r="H1506" s="2302">
        <f t="shared" si="305"/>
        <v>609</v>
      </c>
      <c r="I1506" s="2287"/>
      <c r="J1506" s="2231"/>
      <c r="K1506" s="2412"/>
      <c r="L1506" s="2536"/>
      <c r="M1506" s="2232"/>
      <c r="N1506" s="2239"/>
      <c r="O1506" s="2498">
        <f t="shared" si="306"/>
        <v>609</v>
      </c>
      <c r="P1506" s="2295">
        <f t="shared" si="303"/>
        <v>1</v>
      </c>
    </row>
    <row r="1507" spans="1:16" ht="30">
      <c r="A1507" s="2272" t="s">
        <v>14146</v>
      </c>
      <c r="B1507" s="2228">
        <f>VLOOKUP($A1507,'15 - QT_BCE'!$A:$F,2,0)</f>
        <v>94794</v>
      </c>
      <c r="C1507" s="2228" t="str">
        <f>VLOOKUP($A1507,'15 - QT_BCE'!$A:$F,3,0)</f>
        <v>SINAPI</v>
      </c>
      <c r="D1507" s="2375" t="s">
        <v>10261</v>
      </c>
      <c r="E1507" s="2243" t="str">
        <f>IFERROR(VLOOKUP($B1507,'24.08_ND'!$1:$1048529,3,0),IFERROR(VLOOKUP($B1507,'03-CP'!$C$1:$H$6260,3,0),""))</f>
        <v>UN</v>
      </c>
      <c r="F1507" s="2230">
        <v>18</v>
      </c>
      <c r="G1507" s="2232">
        <v>155.9</v>
      </c>
      <c r="H1507" s="2302">
        <f t="shared" si="305"/>
        <v>2806.2</v>
      </c>
      <c r="I1507" s="2287"/>
      <c r="J1507" s="2231"/>
      <c r="K1507" s="2412"/>
      <c r="L1507" s="2536"/>
      <c r="M1507" s="2232"/>
      <c r="N1507" s="2239"/>
      <c r="O1507" s="2498">
        <f t="shared" si="306"/>
        <v>2806.2</v>
      </c>
      <c r="P1507" s="2295">
        <f t="shared" si="303"/>
        <v>1</v>
      </c>
    </row>
    <row r="1508" spans="1:16" ht="30">
      <c r="A1508" s="2272" t="s">
        <v>14147</v>
      </c>
      <c r="B1508" s="2228">
        <f>VLOOKUP($A1508,'15 - QT_BCE'!$A:$F,2,0)</f>
        <v>89987</v>
      </c>
      <c r="C1508" s="2228" t="str">
        <f>VLOOKUP($A1508,'15 - QT_BCE'!$A:$F,3,0)</f>
        <v>SINAPI</v>
      </c>
      <c r="D1508" s="2375" t="s">
        <v>10245</v>
      </c>
      <c r="E1508" s="2243" t="str">
        <f>IFERROR(VLOOKUP($B1508,'24.08_ND'!$1:$1048529,3,0),IFERROR(VLOOKUP($B1508,'03-CP'!$C$1:$H$6260,3,0),""))</f>
        <v>UN</v>
      </c>
      <c r="F1508" s="2230">
        <v>9</v>
      </c>
      <c r="G1508" s="2232">
        <v>88.15</v>
      </c>
      <c r="H1508" s="2302">
        <f t="shared" si="305"/>
        <v>793.35</v>
      </c>
      <c r="I1508" s="2287"/>
      <c r="J1508" s="2231"/>
      <c r="K1508" s="2412"/>
      <c r="L1508" s="2536"/>
      <c r="M1508" s="2232"/>
      <c r="N1508" s="2239"/>
      <c r="O1508" s="2498">
        <f t="shared" si="306"/>
        <v>793.35</v>
      </c>
      <c r="P1508" s="2295">
        <f t="shared" si="303"/>
        <v>1</v>
      </c>
    </row>
    <row r="1509" spans="1:16">
      <c r="A1509" s="2272" t="s">
        <v>14148</v>
      </c>
      <c r="B1509" s="2228" t="str">
        <f>VLOOKUP($A1509,'15 - QT_BCE'!$A:$F,2,0)</f>
        <v>CP-HSD-39</v>
      </c>
      <c r="C1509" s="2228" t="str">
        <f>VLOOKUP($A1509,'15 - QT_BCE'!$A:$F,3,0)</f>
        <v>PRÓPRIA</v>
      </c>
      <c r="D1509" s="2375" t="s">
        <v>15446</v>
      </c>
      <c r="E1509" s="2243" t="str">
        <f>IFERROR(VLOOKUP($B1509,'24.08_ND'!$1:$1048529,3,0),IFERROR(VLOOKUP($B1509,'03-CP'!$C$1:$H$6260,3,0),""))</f>
        <v>UN</v>
      </c>
      <c r="F1509" s="2230">
        <v>18</v>
      </c>
      <c r="G1509" s="2232">
        <v>17.97</v>
      </c>
      <c r="H1509" s="2302">
        <f t="shared" si="305"/>
        <v>323.45999999999998</v>
      </c>
      <c r="I1509" s="2287"/>
      <c r="J1509" s="2231"/>
      <c r="K1509" s="2412"/>
      <c r="L1509" s="2536"/>
      <c r="M1509" s="2232"/>
      <c r="N1509" s="2239"/>
      <c r="O1509" s="2498">
        <f t="shared" si="306"/>
        <v>323.45999999999998</v>
      </c>
      <c r="P1509" s="2295">
        <f t="shared" si="303"/>
        <v>1</v>
      </c>
    </row>
    <row r="1510" spans="1:16" ht="30">
      <c r="A1510" s="2272" t="s">
        <v>14149</v>
      </c>
      <c r="B1510" s="2228">
        <f>VLOOKUP($A1510,'15 - QT_BCE'!$A:$F,2,0)</f>
        <v>94492</v>
      </c>
      <c r="C1510" s="2228" t="str">
        <f>VLOOKUP($A1510,'15 - QT_BCE'!$A:$F,3,0)</f>
        <v>SINAPI</v>
      </c>
      <c r="D1510" s="2375" t="s">
        <v>10250</v>
      </c>
      <c r="E1510" s="2243" t="str">
        <f>IFERROR(VLOOKUP($B1510,'24.08_ND'!$1:$1048529,3,0),IFERROR(VLOOKUP($B1510,'03-CP'!$C$1:$H$6260,3,0),""))</f>
        <v>UN</v>
      </c>
      <c r="F1510" s="2230">
        <v>3</v>
      </c>
      <c r="G1510" s="2232">
        <v>58.03</v>
      </c>
      <c r="H1510" s="2302">
        <f t="shared" si="305"/>
        <v>174.09</v>
      </c>
      <c r="I1510" s="2287"/>
      <c r="J1510" s="2231"/>
      <c r="K1510" s="2412"/>
      <c r="L1510" s="2536"/>
      <c r="M1510" s="2232"/>
      <c r="N1510" s="2239"/>
      <c r="O1510" s="2498">
        <f t="shared" si="306"/>
        <v>174.09</v>
      </c>
      <c r="P1510" s="2295">
        <f t="shared" si="303"/>
        <v>1</v>
      </c>
    </row>
    <row r="1511" spans="1:16" ht="30">
      <c r="A1511" s="2272" t="s">
        <v>14150</v>
      </c>
      <c r="B1511" s="2228">
        <f>VLOOKUP($A1511,'15 - QT_BCE'!$A:$F,2,0)</f>
        <v>94490</v>
      </c>
      <c r="C1511" s="2228" t="str">
        <f>VLOOKUP($A1511,'15 - QT_BCE'!$A:$F,3,0)</f>
        <v>SINAPI</v>
      </c>
      <c r="D1511" s="2375" t="s">
        <v>10248</v>
      </c>
      <c r="E1511" s="2243" t="str">
        <f>IFERROR(VLOOKUP($B1511,'24.08_ND'!$1:$1048529,3,0),IFERROR(VLOOKUP($B1511,'03-CP'!$C$1:$H$6260,3,0),""))</f>
        <v>UN</v>
      </c>
      <c r="F1511" s="2230">
        <v>3</v>
      </c>
      <c r="G1511" s="2232">
        <v>41.18</v>
      </c>
      <c r="H1511" s="2302">
        <f t="shared" si="305"/>
        <v>123.54</v>
      </c>
      <c r="I1511" s="2287"/>
      <c r="J1511" s="2231"/>
      <c r="K1511" s="2412"/>
      <c r="L1511" s="2536"/>
      <c r="M1511" s="2232"/>
      <c r="N1511" s="2239"/>
      <c r="O1511" s="2498">
        <f t="shared" si="306"/>
        <v>123.54</v>
      </c>
      <c r="P1511" s="2295">
        <f t="shared" si="303"/>
        <v>1</v>
      </c>
    </row>
    <row r="1512" spans="1:16" ht="30">
      <c r="A1512" s="2272" t="s">
        <v>14151</v>
      </c>
      <c r="B1512" s="2228">
        <f>VLOOKUP($A1512,'15 - QT_BCE'!$A:$F,2,0)</f>
        <v>94499</v>
      </c>
      <c r="C1512" s="2228" t="str">
        <f>VLOOKUP($A1512,'15 - QT_BCE'!$A:$F,3,0)</f>
        <v>SINAPI</v>
      </c>
      <c r="D1512" s="2375" t="s">
        <v>10256</v>
      </c>
      <c r="E1512" s="2243" t="str">
        <f>IFERROR(VLOOKUP($B1512,'24.08_ND'!$1:$1048529,3,0),IFERROR(VLOOKUP($B1512,'03-CP'!$C$1:$H$6260,3,0),""))</f>
        <v>UN</v>
      </c>
      <c r="F1512" s="2230">
        <v>2</v>
      </c>
      <c r="G1512" s="2232">
        <v>269.85000000000002</v>
      </c>
      <c r="H1512" s="2302">
        <f t="shared" si="305"/>
        <v>539.70000000000005</v>
      </c>
      <c r="I1512" s="2287"/>
      <c r="J1512" s="2231"/>
      <c r="K1512" s="2412"/>
      <c r="L1512" s="2536"/>
      <c r="M1512" s="2232"/>
      <c r="N1512" s="2239"/>
      <c r="O1512" s="2498">
        <f t="shared" si="306"/>
        <v>539.70000000000005</v>
      </c>
      <c r="P1512" s="2295">
        <f t="shared" si="303"/>
        <v>1</v>
      </c>
    </row>
    <row r="1513" spans="1:16" ht="30">
      <c r="A1513" s="2272" t="s">
        <v>14152</v>
      </c>
      <c r="B1513" s="2228">
        <f>VLOOKUP($A1513,'15 - QT_BCE'!$A:$F,2,0)</f>
        <v>95249</v>
      </c>
      <c r="C1513" s="2228" t="str">
        <f>VLOOKUP($A1513,'15 - QT_BCE'!$A:$F,3,0)</f>
        <v>SINAPI</v>
      </c>
      <c r="D1513" s="2375" t="s">
        <v>10269</v>
      </c>
      <c r="E1513" s="2243" t="str">
        <f>IFERROR(VLOOKUP($B1513,'24.08_ND'!$1:$1048529,3,0),IFERROR(VLOOKUP($B1513,'03-CP'!$C$1:$H$6260,3,0),""))</f>
        <v>UN</v>
      </c>
      <c r="F1513" s="2230">
        <v>3</v>
      </c>
      <c r="G1513" s="2232">
        <v>57.27</v>
      </c>
      <c r="H1513" s="2302">
        <f t="shared" si="305"/>
        <v>171.81</v>
      </c>
      <c r="I1513" s="2287"/>
      <c r="J1513" s="2231"/>
      <c r="K1513" s="2412"/>
      <c r="L1513" s="2536"/>
      <c r="M1513" s="2232"/>
      <c r="N1513" s="2239"/>
      <c r="O1513" s="2498">
        <f t="shared" si="306"/>
        <v>171.81</v>
      </c>
      <c r="P1513" s="2295">
        <f t="shared" si="303"/>
        <v>1</v>
      </c>
    </row>
    <row r="1514" spans="1:16">
      <c r="A1514" s="2272" t="s">
        <v>14153</v>
      </c>
      <c r="B1514" s="2228" t="str">
        <f>VLOOKUP($A1514,'15 - QT_BCE'!$A:$F,2,0)</f>
        <v>CP-HSD-27</v>
      </c>
      <c r="C1514" s="2228" t="str">
        <f>VLOOKUP($A1514,'15 - QT_BCE'!$A:$F,3,0)</f>
        <v>PRÓPRIA</v>
      </c>
      <c r="D1514" s="2375" t="s">
        <v>15411</v>
      </c>
      <c r="E1514" s="2243" t="str">
        <f>IFERROR(VLOOKUP($B1514,'24.08_ND'!$1:$1048529,3,0),IFERROR(VLOOKUP($B1514,'03-CP'!$C$1:$H$6260,3,0),""))</f>
        <v>UN</v>
      </c>
      <c r="F1514" s="2230">
        <v>18</v>
      </c>
      <c r="G1514" s="2232">
        <v>949.08</v>
      </c>
      <c r="H1514" s="2302">
        <f t="shared" si="305"/>
        <v>17083.439999999999</v>
      </c>
      <c r="I1514" s="2287"/>
      <c r="J1514" s="2231"/>
      <c r="K1514" s="2412"/>
      <c r="L1514" s="2536"/>
      <c r="M1514" s="2232"/>
      <c r="N1514" s="2239"/>
      <c r="O1514" s="2498">
        <f t="shared" si="306"/>
        <v>17083.439999999999</v>
      </c>
      <c r="P1514" s="2295">
        <f t="shared" si="303"/>
        <v>1</v>
      </c>
    </row>
    <row r="1515" spans="1:16" ht="30">
      <c r="A1515" s="2272" t="s">
        <v>14154</v>
      </c>
      <c r="B1515" s="2228">
        <f>VLOOKUP($A1515,'15 - QT_BCE'!$A:$F,2,0)</f>
        <v>94653</v>
      </c>
      <c r="C1515" s="2228" t="str">
        <f>VLOOKUP($A1515,'15 - QT_BCE'!$A:$F,3,0)</f>
        <v>SINAPI</v>
      </c>
      <c r="D1515" s="2375" t="s">
        <v>8526</v>
      </c>
      <c r="E1515" s="2243" t="str">
        <f>IFERROR(VLOOKUP($B1515,'24.08_ND'!$1:$1048529,3,0),IFERROR(VLOOKUP($B1515,'03-CP'!$C$1:$H$6260,3,0),""))</f>
        <v>M</v>
      </c>
      <c r="F1515" s="2230">
        <v>35</v>
      </c>
      <c r="G1515" s="2232">
        <v>55.1</v>
      </c>
      <c r="H1515" s="2302">
        <f t="shared" si="305"/>
        <v>1928.5</v>
      </c>
      <c r="I1515" s="2287"/>
      <c r="J1515" s="2231"/>
      <c r="K1515" s="2412"/>
      <c r="L1515" s="2536"/>
      <c r="M1515" s="2232"/>
      <c r="N1515" s="2239"/>
      <c r="O1515" s="2498">
        <f t="shared" si="306"/>
        <v>1928.5</v>
      </c>
      <c r="P1515" s="2295">
        <f t="shared" si="303"/>
        <v>1</v>
      </c>
    </row>
    <row r="1516" spans="1:16" ht="30">
      <c r="A1516" s="2272" t="s">
        <v>14155</v>
      </c>
      <c r="B1516" s="2228">
        <f>VLOOKUP($A1516,'15 - QT_BCE'!$A:$F,2,0)</f>
        <v>103979</v>
      </c>
      <c r="C1516" s="2228" t="str">
        <f>VLOOKUP($A1516,'15 - QT_BCE'!$A:$F,3,0)</f>
        <v>SINAPI</v>
      </c>
      <c r="D1516" s="2375" t="s">
        <v>8649</v>
      </c>
      <c r="E1516" s="2243" t="str">
        <f>IFERROR(VLOOKUP($B1516,'24.08_ND'!$1:$1048529,3,0),IFERROR(VLOOKUP($B1516,'03-CP'!$C$1:$H$6260,3,0),""))</f>
        <v>M</v>
      </c>
      <c r="F1516" s="2230">
        <v>175</v>
      </c>
      <c r="G1516" s="2232">
        <v>30.08</v>
      </c>
      <c r="H1516" s="2302">
        <f t="shared" si="305"/>
        <v>5264</v>
      </c>
      <c r="I1516" s="2287"/>
      <c r="J1516" s="2231"/>
      <c r="K1516" s="2412"/>
      <c r="L1516" s="2536"/>
      <c r="M1516" s="2232"/>
      <c r="N1516" s="2239"/>
      <c r="O1516" s="2498">
        <f t="shared" si="306"/>
        <v>5264</v>
      </c>
      <c r="P1516" s="2295">
        <f t="shared" si="303"/>
        <v>1</v>
      </c>
    </row>
    <row r="1517" spans="1:16" ht="30">
      <c r="A1517" s="2272" t="s">
        <v>14156</v>
      </c>
      <c r="B1517" s="2228">
        <f>VLOOKUP($A1517,'15 - QT_BCE'!$A:$F,2,0)</f>
        <v>89403</v>
      </c>
      <c r="C1517" s="2228" t="str">
        <f>VLOOKUP($A1517,'15 - QT_BCE'!$A:$F,3,0)</f>
        <v>SINAPI</v>
      </c>
      <c r="D1517" s="2375" t="s">
        <v>8423</v>
      </c>
      <c r="E1517" s="2243" t="str">
        <f>IFERROR(VLOOKUP($B1517,'24.08_ND'!$1:$1048529,3,0),IFERROR(VLOOKUP($B1517,'03-CP'!$C$1:$H$6260,3,0),""))</f>
        <v>M</v>
      </c>
      <c r="F1517" s="2230">
        <v>22</v>
      </c>
      <c r="G1517" s="2232">
        <v>19.309999999999999</v>
      </c>
      <c r="H1517" s="2302">
        <f t="shared" si="305"/>
        <v>424.82</v>
      </c>
      <c r="I1517" s="2287"/>
      <c r="J1517" s="2231"/>
      <c r="K1517" s="2412"/>
      <c r="L1517" s="2536"/>
      <c r="M1517" s="2232"/>
      <c r="N1517" s="2239"/>
      <c r="O1517" s="2498">
        <f t="shared" si="306"/>
        <v>424.82</v>
      </c>
      <c r="P1517" s="2295">
        <f t="shared" si="303"/>
        <v>1</v>
      </c>
    </row>
    <row r="1518" spans="1:16" ht="30">
      <c r="A1518" s="2272" t="s">
        <v>14157</v>
      </c>
      <c r="B1518" s="2228">
        <f>VLOOKUP($A1518,'15 - QT_BCE'!$A:$F,2,0)</f>
        <v>89402</v>
      </c>
      <c r="C1518" s="2228" t="str">
        <f>VLOOKUP($A1518,'15 - QT_BCE'!$A:$F,3,0)</f>
        <v>SINAPI</v>
      </c>
      <c r="D1518" s="2375" t="s">
        <v>8422</v>
      </c>
      <c r="E1518" s="2243" t="str">
        <f>IFERROR(VLOOKUP($B1518,'24.08_ND'!$1:$1048529,3,0),IFERROR(VLOOKUP($B1518,'03-CP'!$C$1:$H$6260,3,0),""))</f>
        <v>M</v>
      </c>
      <c r="F1518" s="2230">
        <v>81</v>
      </c>
      <c r="G1518" s="2232">
        <v>12.75</v>
      </c>
      <c r="H1518" s="2302">
        <f t="shared" si="305"/>
        <v>1032.75</v>
      </c>
      <c r="I1518" s="2287"/>
      <c r="J1518" s="2231"/>
      <c r="K1518" s="2412"/>
      <c r="L1518" s="2536"/>
      <c r="M1518" s="2232"/>
      <c r="N1518" s="2239"/>
      <c r="O1518" s="2498">
        <f t="shared" si="306"/>
        <v>1032.75</v>
      </c>
      <c r="P1518" s="2295">
        <f t="shared" si="303"/>
        <v>1</v>
      </c>
    </row>
    <row r="1519" spans="1:16" ht="60">
      <c r="A1519" s="2272" t="s">
        <v>14158</v>
      </c>
      <c r="B1519" s="2228">
        <f>VLOOKUP($A1519,'15 - QT_BCE'!$A:$F,2,0)</f>
        <v>91174</v>
      </c>
      <c r="C1519" s="2228" t="str">
        <f>VLOOKUP($A1519,'15 - QT_BCE'!$A:$F,3,0)</f>
        <v>SINAPI</v>
      </c>
      <c r="D1519" s="2375" t="s">
        <v>10402</v>
      </c>
      <c r="E1519" s="2243" t="str">
        <f>IFERROR(VLOOKUP($B1519,'24.08_ND'!$1:$1048529,3,0),IFERROR(VLOOKUP($B1519,'03-CP'!$C$1:$H$6260,3,0),""))</f>
        <v>M</v>
      </c>
      <c r="F1519" s="2230">
        <v>30</v>
      </c>
      <c r="G1519" s="2232">
        <v>7.43</v>
      </c>
      <c r="H1519" s="2302">
        <f t="shared" si="305"/>
        <v>222.9</v>
      </c>
      <c r="I1519" s="2287"/>
      <c r="J1519" s="2231"/>
      <c r="K1519" s="2412"/>
      <c r="L1519" s="2536"/>
      <c r="M1519" s="2232"/>
      <c r="N1519" s="2239"/>
      <c r="O1519" s="2498">
        <f t="shared" si="306"/>
        <v>222.9</v>
      </c>
      <c r="P1519" s="2295">
        <f t="shared" si="303"/>
        <v>1</v>
      </c>
    </row>
    <row r="1520" spans="1:16" ht="30">
      <c r="A1520" s="2272" t="s">
        <v>14159</v>
      </c>
      <c r="B1520" s="2228">
        <f>VLOOKUP($A1520,'15 - QT_BCE'!$A:$F,2,0)</f>
        <v>102609</v>
      </c>
      <c r="C1520" s="2228" t="str">
        <f>VLOOKUP($A1520,'15 - QT_BCE'!$A:$F,3,0)</f>
        <v>SINAPI</v>
      </c>
      <c r="D1520" s="2375" t="s">
        <v>10057</v>
      </c>
      <c r="E1520" s="2243" t="str">
        <f>IFERROR(VLOOKUP($B1520,'24.08_ND'!$1:$1048529,3,0),IFERROR(VLOOKUP($B1520,'03-CP'!$C$1:$H$6260,3,0),""))</f>
        <v>UN</v>
      </c>
      <c r="F1520" s="2230">
        <v>3</v>
      </c>
      <c r="G1520" s="2232">
        <v>1199.06</v>
      </c>
      <c r="H1520" s="2302">
        <f t="shared" si="305"/>
        <v>3597.18</v>
      </c>
      <c r="I1520" s="2287"/>
      <c r="J1520" s="2231"/>
      <c r="K1520" s="2412"/>
      <c r="L1520" s="2536"/>
      <c r="M1520" s="2232"/>
      <c r="N1520" s="2239"/>
      <c r="O1520" s="2498">
        <f t="shared" si="306"/>
        <v>3597.18</v>
      </c>
      <c r="P1520" s="2295">
        <f t="shared" si="303"/>
        <v>1</v>
      </c>
    </row>
    <row r="1521" spans="1:16" ht="45">
      <c r="A1521" s="2272" t="s">
        <v>14160</v>
      </c>
      <c r="B1521" s="2228">
        <f>VLOOKUP($A1521,'15 - QT_BCE'!$A:$F,2,0)</f>
        <v>94703</v>
      </c>
      <c r="C1521" s="2228" t="str">
        <f>VLOOKUP($A1521,'15 - QT_BCE'!$A:$F,3,0)</f>
        <v>SINAPI</v>
      </c>
      <c r="D1521" s="2375" t="s">
        <v>9399</v>
      </c>
      <c r="E1521" s="2243" t="str">
        <f>IFERROR(VLOOKUP($B1521,'24.08_ND'!$1:$1048529,3,0),IFERROR(VLOOKUP($B1521,'03-CP'!$C$1:$H$6260,3,0),""))</f>
        <v>UN</v>
      </c>
      <c r="F1521" s="2230">
        <v>3</v>
      </c>
      <c r="G1521" s="2232">
        <v>19.8</v>
      </c>
      <c r="H1521" s="2302">
        <f t="shared" si="305"/>
        <v>59.4</v>
      </c>
      <c r="I1521" s="2287"/>
      <c r="J1521" s="2231"/>
      <c r="K1521" s="2412"/>
      <c r="L1521" s="2536"/>
      <c r="M1521" s="2232"/>
      <c r="N1521" s="2239"/>
      <c r="O1521" s="2498">
        <f t="shared" si="306"/>
        <v>59.4</v>
      </c>
      <c r="P1521" s="2295">
        <f t="shared" si="303"/>
        <v>1</v>
      </c>
    </row>
    <row r="1522" spans="1:16" ht="45">
      <c r="A1522" s="2272" t="s">
        <v>14161</v>
      </c>
      <c r="B1522" s="2228">
        <f>VLOOKUP($A1522,'15 - QT_BCE'!$A:$F,2,0)</f>
        <v>94704</v>
      </c>
      <c r="C1522" s="2228" t="str">
        <f>VLOOKUP($A1522,'15 - QT_BCE'!$A:$F,3,0)</f>
        <v>SINAPI</v>
      </c>
      <c r="D1522" s="2375" t="s">
        <v>9400</v>
      </c>
      <c r="E1522" s="2243" t="str">
        <f>IFERROR(VLOOKUP($B1522,'24.08_ND'!$1:$1048529,3,0),IFERROR(VLOOKUP($B1522,'03-CP'!$C$1:$H$6260,3,0),""))</f>
        <v>UN</v>
      </c>
      <c r="F1522" s="2230">
        <v>6</v>
      </c>
      <c r="G1522" s="2232">
        <v>26.35</v>
      </c>
      <c r="H1522" s="2302">
        <f t="shared" si="305"/>
        <v>158.1</v>
      </c>
      <c r="I1522" s="2287"/>
      <c r="J1522" s="2231"/>
      <c r="K1522" s="2412"/>
      <c r="L1522" s="2536"/>
      <c r="M1522" s="2232"/>
      <c r="N1522" s="2239"/>
      <c r="O1522" s="2498">
        <f t="shared" si="306"/>
        <v>158.1</v>
      </c>
      <c r="P1522" s="2295">
        <f t="shared" si="303"/>
        <v>1</v>
      </c>
    </row>
    <row r="1523" spans="1:16" ht="45">
      <c r="A1523" s="2272" t="s">
        <v>14162</v>
      </c>
      <c r="B1523" s="2228">
        <f>VLOOKUP($A1523,'15 - QT_BCE'!$A:$F,2,0)</f>
        <v>94706</v>
      </c>
      <c r="C1523" s="2228" t="str">
        <f>VLOOKUP($A1523,'15 - QT_BCE'!$A:$F,3,0)</f>
        <v>SINAPI</v>
      </c>
      <c r="D1523" s="2375" t="s">
        <v>9402</v>
      </c>
      <c r="E1523" s="2243" t="str">
        <f>IFERROR(VLOOKUP($B1523,'24.08_ND'!$1:$1048529,3,0),IFERROR(VLOOKUP($B1523,'03-CP'!$C$1:$H$6260,3,0),""))</f>
        <v>UN</v>
      </c>
      <c r="F1523" s="2230">
        <v>2</v>
      </c>
      <c r="G1523" s="2232">
        <v>35.26</v>
      </c>
      <c r="H1523" s="2302">
        <f t="shared" si="305"/>
        <v>70.52</v>
      </c>
      <c r="I1523" s="2287"/>
      <c r="J1523" s="2231"/>
      <c r="K1523" s="2412"/>
      <c r="L1523" s="2536"/>
      <c r="M1523" s="2232"/>
      <c r="N1523" s="2239"/>
      <c r="O1523" s="2498">
        <f t="shared" si="306"/>
        <v>70.52</v>
      </c>
      <c r="P1523" s="2295">
        <f t="shared" si="303"/>
        <v>1</v>
      </c>
    </row>
    <row r="1524" spans="1:16" ht="30">
      <c r="A1524" s="2272" t="s">
        <v>14163</v>
      </c>
      <c r="B1524" s="2228">
        <f>VLOOKUP($A1524,'15 - QT_BCE'!$A:$F,2,0)</f>
        <v>89381</v>
      </c>
      <c r="C1524" s="2228" t="str">
        <f>VLOOKUP($A1524,'15 - QT_BCE'!$A:$F,3,0)</f>
        <v>SINAPI</v>
      </c>
      <c r="D1524" s="2375" t="s">
        <v>8688</v>
      </c>
      <c r="E1524" s="2243" t="str">
        <f>IFERROR(VLOOKUP($B1524,'24.08_ND'!$1:$1048529,3,0),IFERROR(VLOOKUP($B1524,'03-CP'!$C$1:$H$6260,3,0),""))</f>
        <v>UN</v>
      </c>
      <c r="F1524" s="2230">
        <v>2</v>
      </c>
      <c r="G1524" s="2232">
        <v>12.7</v>
      </c>
      <c r="H1524" s="2302">
        <f t="shared" si="305"/>
        <v>25.4</v>
      </c>
      <c r="I1524" s="2287"/>
      <c r="J1524" s="2231"/>
      <c r="K1524" s="2412"/>
      <c r="L1524" s="2536"/>
      <c r="M1524" s="2232"/>
      <c r="N1524" s="2239"/>
      <c r="O1524" s="2498">
        <f t="shared" si="306"/>
        <v>25.4</v>
      </c>
      <c r="P1524" s="2295">
        <f t="shared" si="303"/>
        <v>1</v>
      </c>
    </row>
    <row r="1525" spans="1:16" ht="30">
      <c r="A1525" s="2272" t="s">
        <v>14164</v>
      </c>
      <c r="B1525" s="2228">
        <f>VLOOKUP($A1525,'15 - QT_BCE'!$A:$F,2,0)</f>
        <v>94796</v>
      </c>
      <c r="C1525" s="2228" t="str">
        <f>VLOOKUP($A1525,'15 - QT_BCE'!$A:$F,3,0)</f>
        <v>SINAPI</v>
      </c>
      <c r="D1525" s="2375" t="s">
        <v>10263</v>
      </c>
      <c r="E1525" s="2243" t="str">
        <f>IFERROR(VLOOKUP($B1525,'24.08_ND'!$1:$1048529,3,0),IFERROR(VLOOKUP($B1525,'03-CP'!$C$1:$H$6260,3,0),""))</f>
        <v>UN</v>
      </c>
      <c r="F1525" s="2230">
        <v>3</v>
      </c>
      <c r="G1525" s="2232">
        <v>45.85</v>
      </c>
      <c r="H1525" s="2302">
        <f t="shared" si="305"/>
        <v>137.55000000000001</v>
      </c>
      <c r="I1525" s="2287"/>
      <c r="J1525" s="2231"/>
      <c r="K1525" s="2412"/>
      <c r="L1525" s="2536"/>
      <c r="M1525" s="2232"/>
      <c r="N1525" s="2239"/>
      <c r="O1525" s="2498">
        <f t="shared" si="306"/>
        <v>137.55000000000001</v>
      </c>
      <c r="P1525" s="2295">
        <f t="shared" si="303"/>
        <v>1</v>
      </c>
    </row>
    <row r="1526" spans="1:16">
      <c r="A1526" s="2343" t="s">
        <v>14165</v>
      </c>
      <c r="B1526" s="2397"/>
      <c r="C1526" s="2401"/>
      <c r="D1526" s="2380" t="s">
        <v>16317</v>
      </c>
      <c r="E1526" s="2368"/>
      <c r="F1526" s="2369"/>
      <c r="G1526" s="2370"/>
      <c r="H1526" s="2361">
        <f>SUBTOTAL(9,H1527:H1564)</f>
        <v>47778.17</v>
      </c>
      <c r="I1526" s="2371"/>
      <c r="J1526" s="2372"/>
      <c r="K1526" s="2555"/>
      <c r="L1526" s="2539">
        <f>SUBTOTAL(9,L1527:L1564)</f>
        <v>0</v>
      </c>
      <c r="M1526" s="2361">
        <f>SUBTOTAL(9,M1527:M1564)</f>
        <v>0</v>
      </c>
      <c r="N1526" s="2361">
        <f>SUBTOTAL(9,N1527:N1564)</f>
        <v>0</v>
      </c>
      <c r="O1526" s="2361">
        <f>SUBTOTAL(9,O1527:O1564)</f>
        <v>47778.17</v>
      </c>
      <c r="P1526" s="2295">
        <f t="shared" ref="P1526:P1589" si="307">O1526/H1526</f>
        <v>1</v>
      </c>
    </row>
    <row r="1527" spans="1:16" ht="45">
      <c r="A1527" s="2272" t="s">
        <v>14166</v>
      </c>
      <c r="B1527" s="2228">
        <f>VLOOKUP($A1527,'15 - QT_BCE'!$A:$F,2,0)</f>
        <v>89746</v>
      </c>
      <c r="C1527" s="2228" t="str">
        <f>VLOOKUP($A1527,'15 - QT_BCE'!$A:$F,3,0)</f>
        <v>SINAPI</v>
      </c>
      <c r="D1527" s="2375" t="s">
        <v>8958</v>
      </c>
      <c r="E1527" s="2243" t="str">
        <f>IFERROR(VLOOKUP($B1527,'24.08_ND'!$1:$1048529,3,0),IFERROR(VLOOKUP($B1527,'03-CP'!$C$1:$H$6260,3,0),""))</f>
        <v>UN</v>
      </c>
      <c r="F1527" s="2230">
        <v>40</v>
      </c>
      <c r="G1527" s="2232">
        <v>31.41</v>
      </c>
      <c r="H1527" s="2302">
        <f t="shared" ref="H1527:H1564" si="308">TRUNC((G1527*F1527),2)</f>
        <v>1256.4000000000001</v>
      </c>
      <c r="I1527" s="2328"/>
      <c r="J1527" s="2237"/>
      <c r="K1527" s="2411"/>
      <c r="L1527" s="2533">
        <f>M1527+N1527</f>
        <v>0</v>
      </c>
      <c r="M1527" s="2238">
        <v>0</v>
      </c>
      <c r="N1527" s="2239">
        <f>TRUNC(H1527*K1527,2)</f>
        <v>0</v>
      </c>
      <c r="O1527" s="2498">
        <f t="shared" ref="O1527:O1564" si="309">H1527-L1527</f>
        <v>1256.4000000000001</v>
      </c>
      <c r="P1527" s="2295">
        <f t="shared" si="307"/>
        <v>1</v>
      </c>
    </row>
    <row r="1528" spans="1:16" ht="45">
      <c r="A1528" s="2272" t="s">
        <v>14167</v>
      </c>
      <c r="B1528" s="2228">
        <f>VLOOKUP($A1528,'15 - QT_BCE'!$A:$F,2,0)</f>
        <v>89732</v>
      </c>
      <c r="C1528" s="2228" t="str">
        <f>VLOOKUP($A1528,'15 - QT_BCE'!$A:$F,3,0)</f>
        <v>SINAPI</v>
      </c>
      <c r="D1528" s="2375" t="s">
        <v>8945</v>
      </c>
      <c r="E1528" s="2243" t="str">
        <f>IFERROR(VLOOKUP($B1528,'24.08_ND'!$1:$1048529,3,0),IFERROR(VLOOKUP($B1528,'03-CP'!$C$1:$H$6260,3,0),""))</f>
        <v>UN</v>
      </c>
      <c r="F1528" s="2230">
        <v>170</v>
      </c>
      <c r="G1528" s="2232">
        <v>17.260000000000002</v>
      </c>
      <c r="H1528" s="2302">
        <f t="shared" si="308"/>
        <v>2934.2</v>
      </c>
      <c r="I1528" s="2287"/>
      <c r="J1528" s="2231"/>
      <c r="K1528" s="2412"/>
      <c r="L1528" s="2536"/>
      <c r="M1528" s="2232"/>
      <c r="N1528" s="2239"/>
      <c r="O1528" s="2498">
        <f t="shared" si="309"/>
        <v>2934.2</v>
      </c>
      <c r="P1528" s="2295">
        <f t="shared" si="307"/>
        <v>1</v>
      </c>
    </row>
    <row r="1529" spans="1:16" ht="45">
      <c r="A1529" s="2272" t="s">
        <v>14168</v>
      </c>
      <c r="B1529" s="2228">
        <f>VLOOKUP($A1529,'15 - QT_BCE'!$A:$F,2,0)</f>
        <v>89726</v>
      </c>
      <c r="C1529" s="2228" t="str">
        <f>VLOOKUP($A1529,'15 - QT_BCE'!$A:$F,3,0)</f>
        <v>SINAPI</v>
      </c>
      <c r="D1529" s="2375" t="s">
        <v>8939</v>
      </c>
      <c r="E1529" s="2243" t="str">
        <f>IFERROR(VLOOKUP($B1529,'24.08_ND'!$1:$1048529,3,0),IFERROR(VLOOKUP($B1529,'03-CP'!$C$1:$H$6260,3,0),""))</f>
        <v>UN</v>
      </c>
      <c r="F1529" s="2230">
        <v>45</v>
      </c>
      <c r="G1529" s="2232">
        <v>11.53</v>
      </c>
      <c r="H1529" s="2302">
        <f t="shared" si="308"/>
        <v>518.85</v>
      </c>
      <c r="I1529" s="2287"/>
      <c r="J1529" s="2231"/>
      <c r="K1529" s="2412"/>
      <c r="L1529" s="2536"/>
      <c r="M1529" s="2232"/>
      <c r="N1529" s="2239"/>
      <c r="O1529" s="2498">
        <f t="shared" si="309"/>
        <v>518.85</v>
      </c>
      <c r="P1529" s="2295">
        <f t="shared" si="307"/>
        <v>1</v>
      </c>
    </row>
    <row r="1530" spans="1:16" ht="45">
      <c r="A1530" s="2272" t="s">
        <v>14169</v>
      </c>
      <c r="B1530" s="2228">
        <f>VLOOKUP($A1530,'15 - QT_BCE'!$A:$F,2,0)</f>
        <v>89748</v>
      </c>
      <c r="C1530" s="2228" t="str">
        <f>VLOOKUP($A1530,'15 - QT_BCE'!$A:$F,3,0)</f>
        <v>SINAPI</v>
      </c>
      <c r="D1530" s="2375" t="s">
        <v>8960</v>
      </c>
      <c r="E1530" s="2243" t="str">
        <f>IFERROR(VLOOKUP($B1530,'24.08_ND'!$1:$1048529,3,0),IFERROR(VLOOKUP($B1530,'03-CP'!$C$1:$H$6260,3,0),""))</f>
        <v>UN</v>
      </c>
      <c r="F1530" s="2230">
        <v>18</v>
      </c>
      <c r="G1530" s="2232">
        <v>46.42</v>
      </c>
      <c r="H1530" s="2302">
        <f t="shared" si="308"/>
        <v>835.56</v>
      </c>
      <c r="I1530" s="2287"/>
      <c r="J1530" s="2231"/>
      <c r="K1530" s="2412"/>
      <c r="L1530" s="2536"/>
      <c r="M1530" s="2232"/>
      <c r="N1530" s="2239"/>
      <c r="O1530" s="2498">
        <f t="shared" si="309"/>
        <v>835.56</v>
      </c>
      <c r="P1530" s="2295">
        <f t="shared" si="307"/>
        <v>1</v>
      </c>
    </row>
    <row r="1531" spans="1:16" ht="45">
      <c r="A1531" s="2272" t="s">
        <v>14170</v>
      </c>
      <c r="B1531" s="2228">
        <f>VLOOKUP($A1531,'15 - QT_BCE'!$A:$F,2,0)</f>
        <v>89733</v>
      </c>
      <c r="C1531" s="2228" t="str">
        <f>VLOOKUP($A1531,'15 - QT_BCE'!$A:$F,3,0)</f>
        <v>SINAPI</v>
      </c>
      <c r="D1531" s="2375" t="s">
        <v>8946</v>
      </c>
      <c r="E1531" s="2243" t="str">
        <f>IFERROR(VLOOKUP($B1531,'24.08_ND'!$1:$1048529,3,0),IFERROR(VLOOKUP($B1531,'03-CP'!$C$1:$H$6260,3,0),""))</f>
        <v>UN</v>
      </c>
      <c r="F1531" s="2230">
        <v>12</v>
      </c>
      <c r="G1531" s="2232">
        <v>25.42</v>
      </c>
      <c r="H1531" s="2302">
        <f t="shared" si="308"/>
        <v>305.04000000000002</v>
      </c>
      <c r="I1531" s="2287"/>
      <c r="J1531" s="2231"/>
      <c r="K1531" s="2412"/>
      <c r="L1531" s="2536"/>
      <c r="M1531" s="2232"/>
      <c r="N1531" s="2239"/>
      <c r="O1531" s="2498">
        <f t="shared" si="309"/>
        <v>305.04000000000002</v>
      </c>
      <c r="P1531" s="2295">
        <f t="shared" si="307"/>
        <v>1</v>
      </c>
    </row>
    <row r="1532" spans="1:16" ht="45">
      <c r="A1532" s="2272" t="s">
        <v>14171</v>
      </c>
      <c r="B1532" s="2228">
        <f>VLOOKUP($A1532,'15 - QT_BCE'!$A:$F,2,0)</f>
        <v>89724</v>
      </c>
      <c r="C1532" s="2228" t="str">
        <f>VLOOKUP($A1532,'15 - QT_BCE'!$A:$F,3,0)</f>
        <v>SINAPI</v>
      </c>
      <c r="D1532" s="2375" t="s">
        <v>8937</v>
      </c>
      <c r="E1532" s="2243" t="str">
        <f>IFERROR(VLOOKUP($B1532,'24.08_ND'!$1:$1048529,3,0),IFERROR(VLOOKUP($B1532,'03-CP'!$C$1:$H$6260,3,0),""))</f>
        <v>UN</v>
      </c>
      <c r="F1532" s="2230">
        <v>36</v>
      </c>
      <c r="G1532" s="2232">
        <v>11.28</v>
      </c>
      <c r="H1532" s="2302">
        <f t="shared" si="308"/>
        <v>406.08</v>
      </c>
      <c r="I1532" s="2287"/>
      <c r="J1532" s="2231"/>
      <c r="K1532" s="2412"/>
      <c r="L1532" s="2536"/>
      <c r="M1532" s="2232"/>
      <c r="N1532" s="2239"/>
      <c r="O1532" s="2498">
        <f t="shared" si="309"/>
        <v>406.08</v>
      </c>
      <c r="P1532" s="2295">
        <f t="shared" si="307"/>
        <v>1</v>
      </c>
    </row>
    <row r="1533" spans="1:16" ht="45">
      <c r="A1533" s="2272" t="s">
        <v>14172</v>
      </c>
      <c r="B1533" s="2228">
        <f>VLOOKUP($A1533,'15 - QT_BCE'!$A:$F,2,0)</f>
        <v>89731</v>
      </c>
      <c r="C1533" s="2228" t="str">
        <f>VLOOKUP($A1533,'15 - QT_BCE'!$A:$F,3,0)</f>
        <v>SINAPI</v>
      </c>
      <c r="D1533" s="2375" t="s">
        <v>8944</v>
      </c>
      <c r="E1533" s="2243" t="str">
        <f>IFERROR(VLOOKUP($B1533,'24.08_ND'!$1:$1048529,3,0),IFERROR(VLOOKUP($B1533,'03-CP'!$C$1:$H$6260,3,0),""))</f>
        <v>UN</v>
      </c>
      <c r="F1533" s="2230">
        <v>66</v>
      </c>
      <c r="G1533" s="2232">
        <v>16.48</v>
      </c>
      <c r="H1533" s="2302">
        <f t="shared" si="308"/>
        <v>1087.68</v>
      </c>
      <c r="I1533" s="2287"/>
      <c r="J1533" s="2231"/>
      <c r="K1533" s="2412"/>
      <c r="L1533" s="2536"/>
      <c r="M1533" s="2232"/>
      <c r="N1533" s="2239"/>
      <c r="O1533" s="2498">
        <f t="shared" si="309"/>
        <v>1087.68</v>
      </c>
      <c r="P1533" s="2295">
        <f t="shared" si="307"/>
        <v>1</v>
      </c>
    </row>
    <row r="1534" spans="1:16" ht="30">
      <c r="A1534" s="2272" t="s">
        <v>14173</v>
      </c>
      <c r="B1534" s="2228" t="str">
        <f>VLOOKUP($A1534,'15 - QT_BCE'!$A:$F,2,0)</f>
        <v>CP-HSD-07</v>
      </c>
      <c r="C1534" s="2228" t="str">
        <f>VLOOKUP($A1534,'15 - QT_BCE'!$A:$F,3,0)</f>
        <v>PRÓPRIA</v>
      </c>
      <c r="D1534" s="2375" t="s">
        <v>15373</v>
      </c>
      <c r="E1534" s="2243" t="str">
        <f>IFERROR(VLOOKUP($B1534,'24.08_ND'!$1:$1048529,3,0),IFERROR(VLOOKUP($B1534,'03-CP'!$C$1:$H$6260,3,0),""))</f>
        <v>UN</v>
      </c>
      <c r="F1534" s="2230">
        <v>6</v>
      </c>
      <c r="G1534" s="2232">
        <v>20.88</v>
      </c>
      <c r="H1534" s="2302">
        <f t="shared" si="308"/>
        <v>125.28</v>
      </c>
      <c r="I1534" s="2287"/>
      <c r="J1534" s="2231"/>
      <c r="K1534" s="2412"/>
      <c r="L1534" s="2536"/>
      <c r="M1534" s="2232"/>
      <c r="N1534" s="2239"/>
      <c r="O1534" s="2498">
        <f t="shared" si="309"/>
        <v>125.28</v>
      </c>
      <c r="P1534" s="2295">
        <f t="shared" si="307"/>
        <v>1</v>
      </c>
    </row>
    <row r="1535" spans="1:16" ht="30">
      <c r="A1535" s="2272" t="s">
        <v>14174</v>
      </c>
      <c r="B1535" s="2228" t="str">
        <f>VLOOKUP($A1535,'15 - QT_BCE'!$A:$F,2,0)</f>
        <v>CP-HSD-09</v>
      </c>
      <c r="C1535" s="2228" t="str">
        <f>VLOOKUP($A1535,'15 - QT_BCE'!$A:$F,3,0)</f>
        <v>PRÓPRIA</v>
      </c>
      <c r="D1535" s="2375" t="s">
        <v>15375</v>
      </c>
      <c r="E1535" s="2243" t="str">
        <f>IFERROR(VLOOKUP($B1535,'24.08_ND'!$1:$1048529,3,0),IFERROR(VLOOKUP($B1535,'03-CP'!$C$1:$H$6260,3,0),""))</f>
        <v>UN</v>
      </c>
      <c r="F1535" s="2230">
        <v>1</v>
      </c>
      <c r="G1535" s="2232">
        <v>13.62</v>
      </c>
      <c r="H1535" s="2302">
        <f t="shared" si="308"/>
        <v>13.62</v>
      </c>
      <c r="I1535" s="2287"/>
      <c r="J1535" s="2231"/>
      <c r="K1535" s="2412"/>
      <c r="L1535" s="2536"/>
      <c r="M1535" s="2232"/>
      <c r="N1535" s="2239"/>
      <c r="O1535" s="2498">
        <f t="shared" si="309"/>
        <v>13.62</v>
      </c>
      <c r="P1535" s="2295">
        <f t="shared" si="307"/>
        <v>1</v>
      </c>
    </row>
    <row r="1536" spans="1:16" ht="30">
      <c r="A1536" s="2272" t="s">
        <v>14175</v>
      </c>
      <c r="B1536" s="2228" t="str">
        <f>VLOOKUP($A1536,'15 - QT_BCE'!$A:$F,2,0)</f>
        <v>CP-HSD-10</v>
      </c>
      <c r="C1536" s="2228" t="str">
        <f>VLOOKUP($A1536,'15 - QT_BCE'!$A:$F,3,0)</f>
        <v>PRÓPRIA</v>
      </c>
      <c r="D1536" s="2375" t="s">
        <v>15377</v>
      </c>
      <c r="E1536" s="2243" t="str">
        <f>IFERROR(VLOOKUP($B1536,'24.08_ND'!$1:$1048529,3,0),IFERROR(VLOOKUP($B1536,'03-CP'!$C$1:$H$6260,3,0),""))</f>
        <v>UN</v>
      </c>
      <c r="F1536" s="2230">
        <v>5</v>
      </c>
      <c r="G1536" s="2232">
        <v>11.41</v>
      </c>
      <c r="H1536" s="2302">
        <f t="shared" si="308"/>
        <v>57.05</v>
      </c>
      <c r="I1536" s="2287"/>
      <c r="J1536" s="2231"/>
      <c r="K1536" s="2412"/>
      <c r="L1536" s="2536"/>
      <c r="M1536" s="2232"/>
      <c r="N1536" s="2239"/>
      <c r="O1536" s="2498">
        <f t="shared" si="309"/>
        <v>57.05</v>
      </c>
      <c r="P1536" s="2295">
        <f t="shared" si="307"/>
        <v>1</v>
      </c>
    </row>
    <row r="1537" spans="1:16" ht="45">
      <c r="A1537" s="2272" t="s">
        <v>14176</v>
      </c>
      <c r="B1537" s="2228">
        <f>VLOOKUP($A1537,'15 - QT_BCE'!$A:$F,2,0)</f>
        <v>89797</v>
      </c>
      <c r="C1537" s="2228" t="str">
        <f>VLOOKUP($A1537,'15 - QT_BCE'!$A:$F,3,0)</f>
        <v>SINAPI</v>
      </c>
      <c r="D1537" s="2375" t="s">
        <v>9003</v>
      </c>
      <c r="E1537" s="2243" t="str">
        <f>IFERROR(VLOOKUP($B1537,'24.08_ND'!$1:$1048529,3,0),IFERROR(VLOOKUP($B1537,'03-CP'!$C$1:$H$6260,3,0),""))</f>
        <v>UN</v>
      </c>
      <c r="F1537" s="2230">
        <v>23</v>
      </c>
      <c r="G1537" s="2232">
        <v>56.35</v>
      </c>
      <c r="H1537" s="2302">
        <f t="shared" si="308"/>
        <v>1296.05</v>
      </c>
      <c r="I1537" s="2287"/>
      <c r="J1537" s="2231"/>
      <c r="K1537" s="2412"/>
      <c r="L1537" s="2536"/>
      <c r="M1537" s="2232"/>
      <c r="N1537" s="2239"/>
      <c r="O1537" s="2498">
        <f t="shared" si="309"/>
        <v>1296.05</v>
      </c>
      <c r="P1537" s="2295">
        <f t="shared" si="307"/>
        <v>1</v>
      </c>
    </row>
    <row r="1538" spans="1:16" ht="45">
      <c r="A1538" s="2272" t="s">
        <v>14177</v>
      </c>
      <c r="B1538" s="2228" t="str">
        <f>VLOOKUP($A1538,'15 - QT_BCE'!$A:$F,2,0)</f>
        <v>CP-HSD-06</v>
      </c>
      <c r="C1538" s="2228" t="str">
        <f>VLOOKUP($A1538,'15 - QT_BCE'!$A:$F,3,0)</f>
        <v>PRÓPRIA</v>
      </c>
      <c r="D1538" s="2375" t="s">
        <v>15371</v>
      </c>
      <c r="E1538" s="2243" t="str">
        <f>IFERROR(VLOOKUP($B1538,'24.08_ND'!$1:$1048529,3,0),IFERROR(VLOOKUP($B1538,'03-CP'!$C$1:$H$6260,3,0),""))</f>
        <v>UN</v>
      </c>
      <c r="F1538" s="2230">
        <v>14</v>
      </c>
      <c r="G1538" s="2232">
        <v>49.12</v>
      </c>
      <c r="H1538" s="2302">
        <f t="shared" si="308"/>
        <v>687.68</v>
      </c>
      <c r="I1538" s="2287"/>
      <c r="J1538" s="2231"/>
      <c r="K1538" s="2412"/>
      <c r="L1538" s="2536"/>
      <c r="M1538" s="2232"/>
      <c r="N1538" s="2239"/>
      <c r="O1538" s="2498">
        <f t="shared" si="309"/>
        <v>687.68</v>
      </c>
      <c r="P1538" s="2295">
        <f t="shared" si="307"/>
        <v>1</v>
      </c>
    </row>
    <row r="1539" spans="1:16" ht="45">
      <c r="A1539" s="2272" t="s">
        <v>14178</v>
      </c>
      <c r="B1539" s="2228">
        <f>VLOOKUP($A1539,'15 - QT_BCE'!$A:$F,2,0)</f>
        <v>89785</v>
      </c>
      <c r="C1539" s="2228" t="str">
        <f>VLOOKUP($A1539,'15 - QT_BCE'!$A:$F,3,0)</f>
        <v>SINAPI</v>
      </c>
      <c r="D1539" s="2375" t="s">
        <v>8991</v>
      </c>
      <c r="E1539" s="2243" t="str">
        <f>IFERROR(VLOOKUP($B1539,'24.08_ND'!$1:$1048529,3,0),IFERROR(VLOOKUP($B1539,'03-CP'!$C$1:$H$6260,3,0),""))</f>
        <v>UN</v>
      </c>
      <c r="F1539" s="2230">
        <v>15</v>
      </c>
      <c r="G1539" s="2232">
        <v>29.11</v>
      </c>
      <c r="H1539" s="2302">
        <f t="shared" si="308"/>
        <v>436.65</v>
      </c>
      <c r="I1539" s="2287"/>
      <c r="J1539" s="2231"/>
      <c r="K1539" s="2412"/>
      <c r="L1539" s="2536"/>
      <c r="M1539" s="2232"/>
      <c r="N1539" s="2239"/>
      <c r="O1539" s="2498">
        <f t="shared" si="309"/>
        <v>436.65</v>
      </c>
      <c r="P1539" s="2295">
        <f t="shared" si="307"/>
        <v>1</v>
      </c>
    </row>
    <row r="1540" spans="1:16" ht="45">
      <c r="A1540" s="2272" t="s">
        <v>14179</v>
      </c>
      <c r="B1540" s="2228">
        <f>VLOOKUP($A1540,'15 - QT_BCE'!$A:$F,2,0)</f>
        <v>89783</v>
      </c>
      <c r="C1540" s="2228" t="str">
        <f>VLOOKUP($A1540,'15 - QT_BCE'!$A:$F,3,0)</f>
        <v>SINAPI</v>
      </c>
      <c r="D1540" s="2375" t="s">
        <v>8989</v>
      </c>
      <c r="E1540" s="2243" t="str">
        <f>IFERROR(VLOOKUP($B1540,'24.08_ND'!$1:$1048529,3,0),IFERROR(VLOOKUP($B1540,'03-CP'!$C$1:$H$6260,3,0),""))</f>
        <v>UN</v>
      </c>
      <c r="F1540" s="2230">
        <v>6</v>
      </c>
      <c r="G1540" s="2232">
        <v>16.48</v>
      </c>
      <c r="H1540" s="2302">
        <f t="shared" si="308"/>
        <v>98.88</v>
      </c>
      <c r="I1540" s="2287"/>
      <c r="J1540" s="2231"/>
      <c r="K1540" s="2412"/>
      <c r="L1540" s="2536"/>
      <c r="M1540" s="2232"/>
      <c r="N1540" s="2239"/>
      <c r="O1540" s="2498">
        <f t="shared" si="309"/>
        <v>98.88</v>
      </c>
      <c r="P1540" s="2295">
        <f t="shared" si="307"/>
        <v>1</v>
      </c>
    </row>
    <row r="1541" spans="1:16" ht="45">
      <c r="A1541" s="2272" t="s">
        <v>14180</v>
      </c>
      <c r="B1541" s="2228">
        <f>VLOOKUP($A1541,'15 - QT_BCE'!$A:$F,2,0)</f>
        <v>104341</v>
      </c>
      <c r="C1541" s="2228" t="str">
        <f>VLOOKUP($A1541,'15 - QT_BCE'!$A:$F,3,0)</f>
        <v>SINAPI</v>
      </c>
      <c r="D1541" s="2375" t="s">
        <v>9904</v>
      </c>
      <c r="E1541" s="2243" t="str">
        <f>IFERROR(VLOOKUP($B1541,'24.08_ND'!$1:$1048529,3,0),IFERROR(VLOOKUP($B1541,'03-CP'!$C$1:$H$6260,3,0),""))</f>
        <v>UN</v>
      </c>
      <c r="F1541" s="2230">
        <v>30</v>
      </c>
      <c r="G1541" s="2232">
        <v>12.08</v>
      </c>
      <c r="H1541" s="2302">
        <f t="shared" si="308"/>
        <v>362.4</v>
      </c>
      <c r="I1541" s="2287"/>
      <c r="J1541" s="2231"/>
      <c r="K1541" s="2412"/>
      <c r="L1541" s="2536"/>
      <c r="M1541" s="2232"/>
      <c r="N1541" s="2239"/>
      <c r="O1541" s="2498">
        <f t="shared" si="309"/>
        <v>362.4</v>
      </c>
      <c r="P1541" s="2295">
        <f t="shared" si="307"/>
        <v>1</v>
      </c>
    </row>
    <row r="1542" spans="1:16" ht="45">
      <c r="A1542" s="2272" t="s">
        <v>14181</v>
      </c>
      <c r="B1542" s="2228">
        <f>VLOOKUP($A1542,'15 - QT_BCE'!$A:$F,2,0)</f>
        <v>89778</v>
      </c>
      <c r="C1542" s="2228" t="str">
        <f>VLOOKUP($A1542,'15 - QT_BCE'!$A:$F,3,0)</f>
        <v>SINAPI</v>
      </c>
      <c r="D1542" s="2375" t="s">
        <v>8984</v>
      </c>
      <c r="E1542" s="2243" t="str">
        <f>IFERROR(VLOOKUP($B1542,'24.08_ND'!$1:$1048529,3,0),IFERROR(VLOOKUP($B1542,'03-CP'!$C$1:$H$6260,3,0),""))</f>
        <v>UN</v>
      </c>
      <c r="F1542" s="2230">
        <v>90</v>
      </c>
      <c r="G1542" s="2232">
        <v>19.829999999999998</v>
      </c>
      <c r="H1542" s="2302">
        <f t="shared" si="308"/>
        <v>1784.7</v>
      </c>
      <c r="I1542" s="2287"/>
      <c r="J1542" s="2231"/>
      <c r="K1542" s="2412"/>
      <c r="L1542" s="2536"/>
      <c r="M1542" s="2232"/>
      <c r="N1542" s="2239"/>
      <c r="O1542" s="2498">
        <f t="shared" si="309"/>
        <v>1784.7</v>
      </c>
      <c r="P1542" s="2295">
        <f t="shared" si="307"/>
        <v>1</v>
      </c>
    </row>
    <row r="1543" spans="1:16" ht="45">
      <c r="A1543" s="2272" t="s">
        <v>14182</v>
      </c>
      <c r="B1543" s="2228">
        <f>VLOOKUP($A1543,'15 - QT_BCE'!$A:$F,2,0)</f>
        <v>89753</v>
      </c>
      <c r="C1543" s="2228" t="str">
        <f>VLOOKUP($A1543,'15 - QT_BCE'!$A:$F,3,0)</f>
        <v>SINAPI</v>
      </c>
      <c r="D1543" s="2375" t="s">
        <v>8964</v>
      </c>
      <c r="E1543" s="2243" t="str">
        <f>IFERROR(VLOOKUP($B1543,'24.08_ND'!$1:$1048529,3,0),IFERROR(VLOOKUP($B1543,'03-CP'!$C$1:$H$6260,3,0),""))</f>
        <v>UN</v>
      </c>
      <c r="F1543" s="2230">
        <v>266</v>
      </c>
      <c r="G1543" s="2232">
        <v>10.17</v>
      </c>
      <c r="H1543" s="2302">
        <f t="shared" si="308"/>
        <v>2705.22</v>
      </c>
      <c r="I1543" s="2287"/>
      <c r="J1543" s="2231"/>
      <c r="K1543" s="2412"/>
      <c r="L1543" s="2536"/>
      <c r="M1543" s="2232"/>
      <c r="N1543" s="2239"/>
      <c r="O1543" s="2498">
        <f t="shared" si="309"/>
        <v>2705.22</v>
      </c>
      <c r="P1543" s="2295">
        <f t="shared" si="307"/>
        <v>1</v>
      </c>
    </row>
    <row r="1544" spans="1:16" ht="45">
      <c r="A1544" s="2272" t="s">
        <v>14183</v>
      </c>
      <c r="B1544" s="2228">
        <f>VLOOKUP($A1544,'15 - QT_BCE'!$A:$F,2,0)</f>
        <v>89784</v>
      </c>
      <c r="C1544" s="2228" t="str">
        <f>VLOOKUP($A1544,'15 - QT_BCE'!$A:$F,3,0)</f>
        <v>SINAPI</v>
      </c>
      <c r="D1544" s="2375" t="s">
        <v>8990</v>
      </c>
      <c r="E1544" s="2243" t="str">
        <f>IFERROR(VLOOKUP($B1544,'24.08_ND'!$1:$1048529,3,0),IFERROR(VLOOKUP($B1544,'03-CP'!$C$1:$H$6260,3,0),""))</f>
        <v>UN</v>
      </c>
      <c r="F1544" s="2230">
        <v>26</v>
      </c>
      <c r="G1544" s="2232">
        <v>26.62</v>
      </c>
      <c r="H1544" s="2302">
        <f t="shared" si="308"/>
        <v>692.12</v>
      </c>
      <c r="I1544" s="2287"/>
      <c r="J1544" s="2231"/>
      <c r="K1544" s="2412"/>
      <c r="L1544" s="2536"/>
      <c r="M1544" s="2232"/>
      <c r="N1544" s="2239"/>
      <c r="O1544" s="2498">
        <f t="shared" si="309"/>
        <v>692.12</v>
      </c>
      <c r="P1544" s="2295">
        <f t="shared" si="307"/>
        <v>1</v>
      </c>
    </row>
    <row r="1545" spans="1:16" ht="30">
      <c r="A1545" s="2272" t="s">
        <v>14184</v>
      </c>
      <c r="B1545" s="2228" t="str">
        <f>VLOOKUP($A1545,'15 - QT_BCE'!$A:$F,2,0)</f>
        <v>CP-HSD-32</v>
      </c>
      <c r="C1545" s="2228" t="str">
        <f>VLOOKUP($A1545,'15 - QT_BCE'!$A:$F,3,0)</f>
        <v>PRÓPRIA</v>
      </c>
      <c r="D1545" s="2375" t="s">
        <v>16003</v>
      </c>
      <c r="E1545" s="2243" t="str">
        <f>IFERROR(VLOOKUP($B1545,'24.08_ND'!$1:$1048529,3,0),IFERROR(VLOOKUP($B1545,'03-CP'!$C$1:$H$6260,3,0),""))</f>
        <v>UN</v>
      </c>
      <c r="F1545" s="2230">
        <v>4</v>
      </c>
      <c r="G1545" s="2232">
        <v>51.62</v>
      </c>
      <c r="H1545" s="2302">
        <f t="shared" si="308"/>
        <v>206.48</v>
      </c>
      <c r="I1545" s="2287"/>
      <c r="J1545" s="2231"/>
      <c r="K1545" s="2412"/>
      <c r="L1545" s="2536"/>
      <c r="M1545" s="2232"/>
      <c r="N1545" s="2239"/>
      <c r="O1545" s="2498">
        <f t="shared" si="309"/>
        <v>206.48</v>
      </c>
      <c r="P1545" s="2295">
        <f t="shared" si="307"/>
        <v>1</v>
      </c>
    </row>
    <row r="1546" spans="1:16" ht="45">
      <c r="A1546" s="2272" t="s">
        <v>14185</v>
      </c>
      <c r="B1546" s="2228">
        <f>VLOOKUP($A1546,'15 - QT_BCE'!$A:$F,2,0)</f>
        <v>89782</v>
      </c>
      <c r="C1546" s="2228" t="str">
        <f>VLOOKUP($A1546,'15 - QT_BCE'!$A:$F,3,0)</f>
        <v>SINAPI</v>
      </c>
      <c r="D1546" s="2375" t="s">
        <v>8988</v>
      </c>
      <c r="E1546" s="2243" t="str">
        <f>IFERROR(VLOOKUP($B1546,'24.08_ND'!$1:$1048529,3,0),IFERROR(VLOOKUP($B1546,'03-CP'!$C$1:$H$6260,3,0),""))</f>
        <v>UN</v>
      </c>
      <c r="F1546" s="2230">
        <v>34</v>
      </c>
      <c r="G1546" s="2232">
        <v>16.37</v>
      </c>
      <c r="H1546" s="2302">
        <f t="shared" si="308"/>
        <v>556.58000000000004</v>
      </c>
      <c r="I1546" s="2287"/>
      <c r="J1546" s="2231"/>
      <c r="K1546" s="2412"/>
      <c r="L1546" s="2536"/>
      <c r="M1546" s="2232"/>
      <c r="N1546" s="2239"/>
      <c r="O1546" s="2498">
        <f t="shared" si="309"/>
        <v>556.58000000000004</v>
      </c>
      <c r="P1546" s="2295">
        <f t="shared" si="307"/>
        <v>1</v>
      </c>
    </row>
    <row r="1547" spans="1:16" ht="45">
      <c r="A1547" s="2272" t="s">
        <v>14186</v>
      </c>
      <c r="B1547" s="2228">
        <f>VLOOKUP($A1547,'15 - QT_BCE'!$A:$F,2,0)</f>
        <v>104344</v>
      </c>
      <c r="C1547" s="2228" t="str">
        <f>VLOOKUP($A1547,'15 - QT_BCE'!$A:$F,3,0)</f>
        <v>SINAPI</v>
      </c>
      <c r="D1547" s="2375" t="s">
        <v>9906</v>
      </c>
      <c r="E1547" s="2243" t="str">
        <f>IFERROR(VLOOKUP($B1547,'24.08_ND'!$1:$1048529,3,0),IFERROR(VLOOKUP($B1547,'03-CP'!$C$1:$H$6260,3,0),""))</f>
        <v>UN</v>
      </c>
      <c r="F1547" s="2230">
        <v>6</v>
      </c>
      <c r="G1547" s="2232">
        <v>44.85</v>
      </c>
      <c r="H1547" s="2302">
        <f t="shared" si="308"/>
        <v>269.10000000000002</v>
      </c>
      <c r="I1547" s="2287"/>
      <c r="J1547" s="2231"/>
      <c r="K1547" s="2412"/>
      <c r="L1547" s="2536"/>
      <c r="M1547" s="2232"/>
      <c r="N1547" s="2239"/>
      <c r="O1547" s="2498">
        <f t="shared" si="309"/>
        <v>269.10000000000002</v>
      </c>
      <c r="P1547" s="2295">
        <f t="shared" si="307"/>
        <v>1</v>
      </c>
    </row>
    <row r="1548" spans="1:16" ht="45">
      <c r="A1548" s="2272" t="s">
        <v>14187</v>
      </c>
      <c r="B1548" s="2228">
        <f>VLOOKUP($A1548,'15 - QT_BCE'!$A:$F,2,0)</f>
        <v>89796</v>
      </c>
      <c r="C1548" s="2228" t="str">
        <f>VLOOKUP($A1548,'15 - QT_BCE'!$A:$F,3,0)</f>
        <v>SINAPI</v>
      </c>
      <c r="D1548" s="2375" t="s">
        <v>9002</v>
      </c>
      <c r="E1548" s="2243" t="str">
        <f>IFERROR(VLOOKUP($B1548,'24.08_ND'!$1:$1048529,3,0),IFERROR(VLOOKUP($B1548,'03-CP'!$C$1:$H$6260,3,0),""))</f>
        <v>UN</v>
      </c>
      <c r="F1548" s="2230">
        <v>2</v>
      </c>
      <c r="G1548" s="2232">
        <v>47.85</v>
      </c>
      <c r="H1548" s="2302">
        <f t="shared" si="308"/>
        <v>95.7</v>
      </c>
      <c r="I1548" s="2287"/>
      <c r="J1548" s="2231"/>
      <c r="K1548" s="2412"/>
      <c r="L1548" s="2536"/>
      <c r="M1548" s="2232"/>
      <c r="N1548" s="2239"/>
      <c r="O1548" s="2498">
        <f t="shared" si="309"/>
        <v>95.7</v>
      </c>
      <c r="P1548" s="2295">
        <f t="shared" si="307"/>
        <v>1</v>
      </c>
    </row>
    <row r="1549" spans="1:16" ht="45">
      <c r="A1549" s="2272" t="s">
        <v>14188</v>
      </c>
      <c r="B1549" s="2228">
        <f>VLOOKUP($A1549,'15 - QT_BCE'!$A:$F,2,0)</f>
        <v>104348</v>
      </c>
      <c r="C1549" s="2228" t="str">
        <f>VLOOKUP($A1549,'15 - QT_BCE'!$A:$F,3,0)</f>
        <v>SINAPI</v>
      </c>
      <c r="D1549" s="2375" t="s">
        <v>9910</v>
      </c>
      <c r="E1549" s="2243" t="str">
        <f>IFERROR(VLOOKUP($B1549,'24.08_ND'!$1:$1048529,3,0),IFERROR(VLOOKUP($B1549,'03-CP'!$C$1:$H$6260,3,0),""))</f>
        <v>UN</v>
      </c>
      <c r="F1549" s="2230">
        <v>4</v>
      </c>
      <c r="G1549" s="2232">
        <v>12</v>
      </c>
      <c r="H1549" s="2302">
        <f t="shared" si="308"/>
        <v>48</v>
      </c>
      <c r="I1549" s="2287"/>
      <c r="J1549" s="2231"/>
      <c r="K1549" s="2412"/>
      <c r="L1549" s="2536"/>
      <c r="M1549" s="2232"/>
      <c r="N1549" s="2239"/>
      <c r="O1549" s="2498">
        <f t="shared" si="309"/>
        <v>48</v>
      </c>
      <c r="P1549" s="2295">
        <f t="shared" si="307"/>
        <v>1</v>
      </c>
    </row>
    <row r="1550" spans="1:16" ht="30">
      <c r="A1550" s="2272" t="s">
        <v>14189</v>
      </c>
      <c r="B1550" s="2228">
        <f>VLOOKUP($A1550,'15 - QT_BCE'!$A:$F,2,0)</f>
        <v>90701</v>
      </c>
      <c r="C1550" s="2228" t="str">
        <f>VLOOKUP($A1550,'15 - QT_BCE'!$A:$F,3,0)</f>
        <v>SINAPI</v>
      </c>
      <c r="D1550" s="2375" t="s">
        <v>4996</v>
      </c>
      <c r="E1550" s="2243" t="str">
        <f>IFERROR(VLOOKUP($B1550,'24.08_ND'!$1:$1048529,3,0),IFERROR(VLOOKUP($B1550,'03-CP'!$C$1:$H$6260,3,0),""))</f>
        <v>M</v>
      </c>
      <c r="F1550" s="2230">
        <v>80</v>
      </c>
      <c r="G1550" s="2232">
        <v>72.02</v>
      </c>
      <c r="H1550" s="2302">
        <f t="shared" si="308"/>
        <v>5761.6</v>
      </c>
      <c r="I1550" s="2287"/>
      <c r="J1550" s="2231"/>
      <c r="K1550" s="2412"/>
      <c r="L1550" s="2536"/>
      <c r="M1550" s="2232"/>
      <c r="N1550" s="2239"/>
      <c r="O1550" s="2498">
        <f t="shared" si="309"/>
        <v>5761.6</v>
      </c>
      <c r="P1550" s="2295">
        <f t="shared" si="307"/>
        <v>1</v>
      </c>
    </row>
    <row r="1551" spans="1:16" ht="30">
      <c r="A1551" s="2272" t="s">
        <v>14190</v>
      </c>
      <c r="B1551" s="2228">
        <f>VLOOKUP($A1551,'15 - QT_BCE'!$A:$F,2,0)</f>
        <v>104086</v>
      </c>
      <c r="C1551" s="2228" t="str">
        <f>VLOOKUP($A1551,'15 - QT_BCE'!$A:$F,3,0)</f>
        <v>SINAPI</v>
      </c>
      <c r="D1551" s="2375" t="s">
        <v>10502</v>
      </c>
      <c r="E1551" s="2243" t="str">
        <f>IFERROR(VLOOKUP($B1551,'24.08_ND'!$1:$1048529,3,0),IFERROR(VLOOKUP($B1551,'03-CP'!$C$1:$H$6260,3,0),""))</f>
        <v>M</v>
      </c>
      <c r="F1551" s="2230">
        <v>1</v>
      </c>
      <c r="G1551" s="2232">
        <v>98.05</v>
      </c>
      <c r="H1551" s="2302">
        <f t="shared" si="308"/>
        <v>98.05</v>
      </c>
      <c r="I1551" s="2287"/>
      <c r="J1551" s="2231"/>
      <c r="K1551" s="2412"/>
      <c r="L1551" s="2536"/>
      <c r="M1551" s="2232"/>
      <c r="N1551" s="2239"/>
      <c r="O1551" s="2498">
        <f t="shared" si="309"/>
        <v>98.05</v>
      </c>
      <c r="P1551" s="2295">
        <f t="shared" si="307"/>
        <v>1</v>
      </c>
    </row>
    <row r="1552" spans="1:16" ht="45">
      <c r="A1552" s="2272" t="s">
        <v>14191</v>
      </c>
      <c r="B1552" s="2228">
        <f>VLOOKUP($A1552,'15 - QT_BCE'!$A:$F,2,0)</f>
        <v>89714</v>
      </c>
      <c r="C1552" s="2228" t="str">
        <f>VLOOKUP($A1552,'15 - QT_BCE'!$A:$F,3,0)</f>
        <v>SINAPI</v>
      </c>
      <c r="D1552" s="2375" t="s">
        <v>8445</v>
      </c>
      <c r="E1552" s="2243" t="str">
        <f>IFERROR(VLOOKUP($B1552,'24.08_ND'!$1:$1048529,3,0),IFERROR(VLOOKUP($B1552,'03-CP'!$C$1:$H$6260,3,0),""))</f>
        <v>M</v>
      </c>
      <c r="F1552" s="2230">
        <v>77</v>
      </c>
      <c r="G1552" s="2232">
        <v>40.21</v>
      </c>
      <c r="H1552" s="2302">
        <f t="shared" si="308"/>
        <v>3096.17</v>
      </c>
      <c r="I1552" s="2287"/>
      <c r="J1552" s="2231"/>
      <c r="K1552" s="2412"/>
      <c r="L1552" s="2536"/>
      <c r="M1552" s="2232"/>
      <c r="N1552" s="2239"/>
      <c r="O1552" s="2498">
        <f t="shared" si="309"/>
        <v>3096.17</v>
      </c>
      <c r="P1552" s="2295">
        <f t="shared" si="307"/>
        <v>1</v>
      </c>
    </row>
    <row r="1553" spans="1:16" ht="45">
      <c r="A1553" s="2272" t="s">
        <v>14192</v>
      </c>
      <c r="B1553" s="2228">
        <f>VLOOKUP($A1553,'15 - QT_BCE'!$A:$F,2,0)</f>
        <v>89713</v>
      </c>
      <c r="C1553" s="2228" t="str">
        <f>VLOOKUP($A1553,'15 - QT_BCE'!$A:$F,3,0)</f>
        <v>SINAPI</v>
      </c>
      <c r="D1553" s="2375" t="s">
        <v>8444</v>
      </c>
      <c r="E1553" s="2243" t="str">
        <f>IFERROR(VLOOKUP($B1553,'24.08_ND'!$1:$1048529,3,0),IFERROR(VLOOKUP($B1553,'03-CP'!$C$1:$H$6260,3,0),""))</f>
        <v>M</v>
      </c>
      <c r="F1553" s="2230">
        <v>12</v>
      </c>
      <c r="G1553" s="2232">
        <v>35.97</v>
      </c>
      <c r="H1553" s="2302">
        <f t="shared" si="308"/>
        <v>431.64</v>
      </c>
      <c r="I1553" s="2287"/>
      <c r="J1553" s="2231"/>
      <c r="K1553" s="2412"/>
      <c r="L1553" s="2536"/>
      <c r="M1553" s="2232"/>
      <c r="N1553" s="2239"/>
      <c r="O1553" s="2498">
        <f t="shared" si="309"/>
        <v>431.64</v>
      </c>
      <c r="P1553" s="2295">
        <f t="shared" si="307"/>
        <v>1</v>
      </c>
    </row>
    <row r="1554" spans="1:16" ht="45">
      <c r="A1554" s="2272" t="s">
        <v>14193</v>
      </c>
      <c r="B1554" s="2228">
        <f>VLOOKUP($A1554,'15 - QT_BCE'!$A:$F,2,0)</f>
        <v>89712</v>
      </c>
      <c r="C1554" s="2228" t="str">
        <f>VLOOKUP($A1554,'15 - QT_BCE'!$A:$F,3,0)</f>
        <v>SINAPI</v>
      </c>
      <c r="D1554" s="2375" t="s">
        <v>8443</v>
      </c>
      <c r="E1554" s="2243" t="str">
        <f>IFERROR(VLOOKUP($B1554,'24.08_ND'!$1:$1048529,3,0),IFERROR(VLOOKUP($B1554,'03-CP'!$C$1:$H$6260,3,0),""))</f>
        <v>M</v>
      </c>
      <c r="F1554" s="2230">
        <v>136</v>
      </c>
      <c r="G1554" s="2232">
        <v>28.87</v>
      </c>
      <c r="H1554" s="2302">
        <f t="shared" si="308"/>
        <v>3926.32</v>
      </c>
      <c r="I1554" s="2287"/>
      <c r="J1554" s="2231"/>
      <c r="K1554" s="2412"/>
      <c r="L1554" s="2536"/>
      <c r="M1554" s="2232"/>
      <c r="N1554" s="2239"/>
      <c r="O1554" s="2498">
        <f t="shared" si="309"/>
        <v>3926.32</v>
      </c>
      <c r="P1554" s="2295">
        <f t="shared" si="307"/>
        <v>1</v>
      </c>
    </row>
    <row r="1555" spans="1:16" ht="45">
      <c r="A1555" s="2272" t="s">
        <v>14194</v>
      </c>
      <c r="B1555" s="2228">
        <f>VLOOKUP($A1555,'15 - QT_BCE'!$A:$F,2,0)</f>
        <v>89711</v>
      </c>
      <c r="C1555" s="2228" t="str">
        <f>VLOOKUP($A1555,'15 - QT_BCE'!$A:$F,3,0)</f>
        <v>SINAPI</v>
      </c>
      <c r="D1555" s="2375" t="s">
        <v>8442</v>
      </c>
      <c r="E1555" s="2243" t="str">
        <f>IFERROR(VLOOKUP($B1555,'24.08_ND'!$1:$1048529,3,0),IFERROR(VLOOKUP($B1555,'03-CP'!$C$1:$H$6260,3,0),""))</f>
        <v>M</v>
      </c>
      <c r="F1555" s="2230">
        <v>55</v>
      </c>
      <c r="G1555" s="2232">
        <v>22.78</v>
      </c>
      <c r="H1555" s="2302">
        <f t="shared" si="308"/>
        <v>1252.9000000000001</v>
      </c>
      <c r="I1555" s="2287"/>
      <c r="J1555" s="2231"/>
      <c r="K1555" s="2412"/>
      <c r="L1555" s="2536"/>
      <c r="M1555" s="2232"/>
      <c r="N1555" s="2239"/>
      <c r="O1555" s="2498">
        <f t="shared" si="309"/>
        <v>1252.9000000000001</v>
      </c>
      <c r="P1555" s="2295">
        <f t="shared" si="307"/>
        <v>1</v>
      </c>
    </row>
    <row r="1556" spans="1:16">
      <c r="A1556" s="2272" t="s">
        <v>14195</v>
      </c>
      <c r="B1556" s="2228" t="str">
        <f>VLOOKUP($A1556,'15 - QT_BCE'!$A:$F,2,0)</f>
        <v>CP-HSD-33</v>
      </c>
      <c r="C1556" s="2228" t="str">
        <f>VLOOKUP($A1556,'15 - QT_BCE'!$A:$F,3,0)</f>
        <v>PRÓPRIA</v>
      </c>
      <c r="D1556" s="2375" t="s">
        <v>15431</v>
      </c>
      <c r="E1556" s="2243" t="str">
        <f>IFERROR(VLOOKUP($B1556,'24.08_ND'!$1:$1048529,3,0),IFERROR(VLOOKUP($B1556,'03-CP'!$C$1:$H$6260,3,0),""))</f>
        <v>UN</v>
      </c>
      <c r="F1556" s="2230">
        <v>2</v>
      </c>
      <c r="G1556" s="2232">
        <v>67.25</v>
      </c>
      <c r="H1556" s="2302">
        <f t="shared" si="308"/>
        <v>134.5</v>
      </c>
      <c r="I1556" s="2287"/>
      <c r="J1556" s="2231"/>
      <c r="K1556" s="2412"/>
      <c r="L1556" s="2536"/>
      <c r="M1556" s="2232"/>
      <c r="N1556" s="2239"/>
      <c r="O1556" s="2498">
        <f t="shared" si="309"/>
        <v>134.5</v>
      </c>
      <c r="P1556" s="2295">
        <f t="shared" si="307"/>
        <v>1</v>
      </c>
    </row>
    <row r="1557" spans="1:16" ht="45">
      <c r="A1557" s="2272" t="s">
        <v>14196</v>
      </c>
      <c r="B1557" s="2228" t="str">
        <f>VLOOKUP($A1557,'15 - QT_BCE'!$A:$F,2,0)</f>
        <v>CP-HSD-34</v>
      </c>
      <c r="C1557" s="2228" t="str">
        <f>VLOOKUP($A1557,'15 - QT_BCE'!$A:$F,3,0)</f>
        <v>PRÓPRIA</v>
      </c>
      <c r="D1557" s="2375" t="s">
        <v>15393</v>
      </c>
      <c r="E1557" s="2243" t="str">
        <f>IFERROR(VLOOKUP($B1557,'24.08_ND'!$1:$1048529,3,0),IFERROR(VLOOKUP($B1557,'03-CP'!$C$1:$H$6260,3,0),""))</f>
        <v>UN</v>
      </c>
      <c r="F1557" s="2230">
        <v>11</v>
      </c>
      <c r="G1557" s="2232">
        <v>82</v>
      </c>
      <c r="H1557" s="2302">
        <f t="shared" si="308"/>
        <v>902</v>
      </c>
      <c r="I1557" s="2287"/>
      <c r="J1557" s="2231"/>
      <c r="K1557" s="2412"/>
      <c r="L1557" s="2536"/>
      <c r="M1557" s="2232"/>
      <c r="N1557" s="2239"/>
      <c r="O1557" s="2498">
        <f t="shared" si="309"/>
        <v>902</v>
      </c>
      <c r="P1557" s="2295">
        <f t="shared" si="307"/>
        <v>1</v>
      </c>
    </row>
    <row r="1558" spans="1:16" ht="30">
      <c r="A1558" s="2272" t="s">
        <v>14197</v>
      </c>
      <c r="B1558" s="2228" t="str">
        <f>VLOOKUP($A1558,'15 - QT_BCE'!$A:$F,2,0)</f>
        <v>CP-HSD-28</v>
      </c>
      <c r="C1558" s="2228" t="str">
        <f>VLOOKUP($A1558,'15 - QT_BCE'!$A:$F,3,0)</f>
        <v>PRÓPRIA</v>
      </c>
      <c r="D1558" s="2375" t="s">
        <v>15418</v>
      </c>
      <c r="E1558" s="2243" t="str">
        <f>IFERROR(VLOOKUP($B1558,'24.08_ND'!$1:$1048529,3,0),IFERROR(VLOOKUP($B1558,'03-CP'!$C$1:$H$6260,3,0),""))</f>
        <v>UN</v>
      </c>
      <c r="F1558" s="2230">
        <v>8</v>
      </c>
      <c r="G1558" s="2232">
        <v>77.41</v>
      </c>
      <c r="H1558" s="2302">
        <f t="shared" si="308"/>
        <v>619.28</v>
      </c>
      <c r="I1558" s="2287"/>
      <c r="J1558" s="2231"/>
      <c r="K1558" s="2412"/>
      <c r="L1558" s="2536"/>
      <c r="M1558" s="2232"/>
      <c r="N1558" s="2239"/>
      <c r="O1558" s="2498">
        <f t="shared" si="309"/>
        <v>619.28</v>
      </c>
      <c r="P1558" s="2295">
        <f t="shared" si="307"/>
        <v>1</v>
      </c>
    </row>
    <row r="1559" spans="1:16" ht="60">
      <c r="A1559" s="2272" t="s">
        <v>14198</v>
      </c>
      <c r="B1559" s="2228">
        <f>VLOOKUP($A1559,'15 - QT_BCE'!$A:$F,2,0)</f>
        <v>91179</v>
      </c>
      <c r="C1559" s="2228" t="str">
        <f>VLOOKUP($A1559,'15 - QT_BCE'!$A:$F,3,0)</f>
        <v>SINAPI</v>
      </c>
      <c r="D1559" s="2375" t="s">
        <v>10405</v>
      </c>
      <c r="E1559" s="2243" t="str">
        <f>IFERROR(VLOOKUP($B1559,'24.08_ND'!$1:$1048529,3,0),IFERROR(VLOOKUP($B1559,'03-CP'!$C$1:$H$6260,3,0),""))</f>
        <v>M</v>
      </c>
      <c r="F1559" s="2230">
        <v>3</v>
      </c>
      <c r="G1559" s="2232">
        <v>19.079999999999998</v>
      </c>
      <c r="H1559" s="2302">
        <f t="shared" si="308"/>
        <v>57.24</v>
      </c>
      <c r="I1559" s="2287"/>
      <c r="J1559" s="2231"/>
      <c r="K1559" s="2412"/>
      <c r="L1559" s="2536"/>
      <c r="M1559" s="2232"/>
      <c r="N1559" s="2239"/>
      <c r="O1559" s="2498">
        <f t="shared" si="309"/>
        <v>57.24</v>
      </c>
      <c r="P1559" s="2295">
        <f t="shared" si="307"/>
        <v>1</v>
      </c>
    </row>
    <row r="1560" spans="1:16" ht="30">
      <c r="A1560" s="2272" t="s">
        <v>14199</v>
      </c>
      <c r="B1560" s="2228" t="str">
        <f>VLOOKUP($A1560,'15 - QT_BCE'!$A:$F,2,0)</f>
        <v>CP-HSD-38</v>
      </c>
      <c r="C1560" s="2228" t="str">
        <f>VLOOKUP($A1560,'15 - QT_BCE'!$A:$F,3,0)</f>
        <v>PRÓPRIA</v>
      </c>
      <c r="D1560" s="2375" t="s">
        <v>15443</v>
      </c>
      <c r="E1560" s="2243" t="str">
        <f>IFERROR(VLOOKUP($B1560,'24.08_ND'!$1:$1048529,3,0),IFERROR(VLOOKUP($B1560,'03-CP'!$C$1:$H$6260,3,0),""))</f>
        <v>UN</v>
      </c>
      <c r="F1560" s="2230">
        <v>1</v>
      </c>
      <c r="G1560" s="2232">
        <v>3456.22</v>
      </c>
      <c r="H1560" s="2302">
        <f t="shared" si="308"/>
        <v>3456.22</v>
      </c>
      <c r="I1560" s="2287"/>
      <c r="J1560" s="2231"/>
      <c r="K1560" s="2412"/>
      <c r="L1560" s="2536"/>
      <c r="M1560" s="2232"/>
      <c r="N1560" s="2239"/>
      <c r="O1560" s="2498">
        <f t="shared" si="309"/>
        <v>3456.22</v>
      </c>
      <c r="P1560" s="2295">
        <f t="shared" si="307"/>
        <v>1</v>
      </c>
    </row>
    <row r="1561" spans="1:16" ht="45">
      <c r="A1561" s="2272" t="s">
        <v>14200</v>
      </c>
      <c r="B1561" s="2228">
        <f>VLOOKUP($A1561,'15 - QT_BCE'!$A:$F,2,0)</f>
        <v>97906</v>
      </c>
      <c r="C1561" s="2228" t="str">
        <f>VLOOKUP($A1561,'15 - QT_BCE'!$A:$F,3,0)</f>
        <v>SINAPI</v>
      </c>
      <c r="D1561" s="2375" t="s">
        <v>10017</v>
      </c>
      <c r="E1561" s="2243" t="str">
        <f>IFERROR(VLOOKUP($B1561,'24.08_ND'!$1:$1048529,3,0),IFERROR(VLOOKUP($B1561,'03-CP'!$C$1:$H$6260,3,0),""))</f>
        <v>UN</v>
      </c>
      <c r="F1561" s="2230">
        <v>3</v>
      </c>
      <c r="G1561" s="2232">
        <v>509.9</v>
      </c>
      <c r="H1561" s="2302">
        <f t="shared" si="308"/>
        <v>1529.7</v>
      </c>
      <c r="I1561" s="2287"/>
      <c r="J1561" s="2231"/>
      <c r="K1561" s="2412"/>
      <c r="L1561" s="2536"/>
      <c r="M1561" s="2232"/>
      <c r="N1561" s="2239"/>
      <c r="O1561" s="2498">
        <f t="shared" si="309"/>
        <v>1529.7</v>
      </c>
      <c r="P1561" s="2295">
        <f t="shared" si="307"/>
        <v>1</v>
      </c>
    </row>
    <row r="1562" spans="1:16" ht="30">
      <c r="A1562" s="2272" t="s">
        <v>14201</v>
      </c>
      <c r="B1562" s="2228">
        <f>VLOOKUP($A1562,'15 - QT_BCE'!$A:$F,2,0)</f>
        <v>93358</v>
      </c>
      <c r="C1562" s="2228" t="str">
        <f>VLOOKUP($A1562,'15 - QT_BCE'!$A:$F,3,0)</f>
        <v>SINAPI</v>
      </c>
      <c r="D1562" s="2375" t="s">
        <v>10648</v>
      </c>
      <c r="E1562" s="2243" t="str">
        <f>IFERROR(VLOOKUP($B1562,'24.08_ND'!$1:$1048529,3,0),IFERROR(VLOOKUP($B1562,'03-CP'!$C$1:$H$6260,3,0),""))</f>
        <v>M3</v>
      </c>
      <c r="F1562" s="2230">
        <v>62</v>
      </c>
      <c r="G1562" s="2232">
        <v>91.52</v>
      </c>
      <c r="H1562" s="2302">
        <f t="shared" si="308"/>
        <v>5674.24</v>
      </c>
      <c r="I1562" s="2287"/>
      <c r="J1562" s="2231"/>
      <c r="K1562" s="2412"/>
      <c r="L1562" s="2536"/>
      <c r="M1562" s="2232"/>
      <c r="N1562" s="2239"/>
      <c r="O1562" s="2498">
        <f t="shared" si="309"/>
        <v>5674.24</v>
      </c>
      <c r="P1562" s="2295">
        <f t="shared" si="307"/>
        <v>1</v>
      </c>
    </row>
    <row r="1563" spans="1:16">
      <c r="A1563" s="2272" t="s">
        <v>14202</v>
      </c>
      <c r="B1563" s="2228">
        <f>VLOOKUP($A1563,'15 - QT_BCE'!$A:$F,2,0)</f>
        <v>102718</v>
      </c>
      <c r="C1563" s="2228" t="str">
        <f>VLOOKUP($A1563,'15 - QT_BCE'!$A:$F,3,0)</f>
        <v>SINAPI</v>
      </c>
      <c r="D1563" s="2375" t="s">
        <v>6482</v>
      </c>
      <c r="E1563" s="2243" t="str">
        <f>IFERROR(VLOOKUP($B1563,'24.08_ND'!$1:$1048529,3,0),IFERROR(VLOOKUP($B1563,'03-CP'!$C$1:$H$6260,3,0),""))</f>
        <v>M3</v>
      </c>
      <c r="F1563" s="2230">
        <v>13</v>
      </c>
      <c r="G1563" s="2232">
        <v>204.71</v>
      </c>
      <c r="H1563" s="2302">
        <f t="shared" si="308"/>
        <v>2661.23</v>
      </c>
      <c r="I1563" s="2287"/>
      <c r="J1563" s="2231"/>
      <c r="K1563" s="2412"/>
      <c r="L1563" s="2536"/>
      <c r="M1563" s="2232"/>
      <c r="N1563" s="2239"/>
      <c r="O1563" s="2498">
        <f t="shared" si="309"/>
        <v>2661.23</v>
      </c>
      <c r="P1563" s="2295">
        <f t="shared" si="307"/>
        <v>1</v>
      </c>
    </row>
    <row r="1564" spans="1:16" ht="30">
      <c r="A1564" s="2272" t="s">
        <v>14203</v>
      </c>
      <c r="B1564" s="2228">
        <f>VLOOKUP($A1564,'15 - QT_BCE'!$A:$F,2,0)</f>
        <v>93382</v>
      </c>
      <c r="C1564" s="2228" t="str">
        <f>VLOOKUP($A1564,'15 - QT_BCE'!$A:$F,3,0)</f>
        <v>SINAPI</v>
      </c>
      <c r="D1564" s="2375" t="s">
        <v>10726</v>
      </c>
      <c r="E1564" s="2243" t="str">
        <f>IFERROR(VLOOKUP($B1564,'24.08_ND'!$1:$1048529,3,0),IFERROR(VLOOKUP($B1564,'03-CP'!$C$1:$H$6260,3,0),""))</f>
        <v>M3</v>
      </c>
      <c r="F1564" s="2230">
        <v>52</v>
      </c>
      <c r="G1564" s="2232">
        <v>26.88</v>
      </c>
      <c r="H1564" s="2302">
        <f t="shared" si="308"/>
        <v>1397.76</v>
      </c>
      <c r="I1564" s="2287"/>
      <c r="J1564" s="2231"/>
      <c r="K1564" s="2412"/>
      <c r="L1564" s="2536"/>
      <c r="M1564" s="2232"/>
      <c r="N1564" s="2239"/>
      <c r="O1564" s="2498">
        <f t="shared" si="309"/>
        <v>1397.76</v>
      </c>
      <c r="P1564" s="2295">
        <f t="shared" si="307"/>
        <v>1</v>
      </c>
    </row>
    <row r="1565" spans="1:16">
      <c r="A1565" s="2343" t="s">
        <v>14204</v>
      </c>
      <c r="B1565" s="2397"/>
      <c r="C1565" s="2401"/>
      <c r="D1565" s="2380" t="s">
        <v>16318</v>
      </c>
      <c r="E1565" s="2368"/>
      <c r="F1565" s="2369"/>
      <c r="G1565" s="2370"/>
      <c r="H1565" s="2361">
        <f>SUBTOTAL(9,H1566:H1576)</f>
        <v>35065.1</v>
      </c>
      <c r="I1565" s="2371"/>
      <c r="J1565" s="2372"/>
      <c r="K1565" s="2555"/>
      <c r="L1565" s="2539">
        <f>SUBTOTAL(9,L1566:L1576)</f>
        <v>0</v>
      </c>
      <c r="M1565" s="2361">
        <f>SUBTOTAL(9,M1566:M1576)</f>
        <v>0</v>
      </c>
      <c r="N1565" s="2361">
        <f>SUBTOTAL(9,N1566:N1576)</f>
        <v>0</v>
      </c>
      <c r="O1565" s="2361">
        <f>SUBTOTAL(9,O1566:O1576)</f>
        <v>35065.1</v>
      </c>
      <c r="P1565" s="2295">
        <f t="shared" si="307"/>
        <v>1</v>
      </c>
    </row>
    <row r="1566" spans="1:16" ht="45">
      <c r="A1566" s="2272" t="s">
        <v>14205</v>
      </c>
      <c r="B1566" s="2228">
        <f>VLOOKUP($A1566,'15 - QT_BCE'!$A:$F,2,0)</f>
        <v>99260</v>
      </c>
      <c r="C1566" s="2228" t="str">
        <f>VLOOKUP($A1566,'15 - QT_BCE'!$A:$F,3,0)</f>
        <v>SINAPI</v>
      </c>
      <c r="D1566" s="2375" t="s">
        <v>10032</v>
      </c>
      <c r="E1566" s="2243" t="str">
        <f>IFERROR(VLOOKUP($B1566,'24.08_ND'!$1:$1048529,3,0),IFERROR(VLOOKUP($B1566,'03-CP'!$C$1:$H$6260,3,0),""))</f>
        <v>UN</v>
      </c>
      <c r="F1566" s="2230">
        <v>1</v>
      </c>
      <c r="G1566" s="2232">
        <v>496.46</v>
      </c>
      <c r="H1566" s="2302">
        <f t="shared" ref="H1566:H1576" si="310">TRUNC((G1566*F1566),2)</f>
        <v>496.46</v>
      </c>
      <c r="I1566" s="2328"/>
      <c r="J1566" s="2237"/>
      <c r="K1566" s="2411"/>
      <c r="L1566" s="2533">
        <f>M1566+N1566</f>
        <v>0</v>
      </c>
      <c r="M1566" s="2238">
        <v>0</v>
      </c>
      <c r="N1566" s="2239">
        <f>TRUNC(H1566*K1566,2)</f>
        <v>0</v>
      </c>
      <c r="O1566" s="2498">
        <f t="shared" ref="O1566:O1576" si="311">H1566-L1566</f>
        <v>496.46</v>
      </c>
      <c r="P1566" s="2295">
        <f t="shared" si="307"/>
        <v>1</v>
      </c>
    </row>
    <row r="1567" spans="1:16" ht="45">
      <c r="A1567" s="2272" t="s">
        <v>14206</v>
      </c>
      <c r="B1567" s="2228">
        <f>VLOOKUP($A1567,'15 - QT_BCE'!$A:$F,2,0)</f>
        <v>89585</v>
      </c>
      <c r="C1567" s="2228" t="str">
        <f>VLOOKUP($A1567,'15 - QT_BCE'!$A:$F,3,0)</f>
        <v>SINAPI</v>
      </c>
      <c r="D1567" s="2375" t="s">
        <v>8829</v>
      </c>
      <c r="E1567" s="2243" t="str">
        <f>IFERROR(VLOOKUP($B1567,'24.08_ND'!$1:$1048529,3,0),IFERROR(VLOOKUP($B1567,'03-CP'!$C$1:$H$6260,3,0),""))</f>
        <v>UN</v>
      </c>
      <c r="F1567" s="2230">
        <v>55</v>
      </c>
      <c r="G1567" s="2232">
        <v>48.88</v>
      </c>
      <c r="H1567" s="2302">
        <f t="shared" si="310"/>
        <v>2688.4</v>
      </c>
      <c r="I1567" s="2287"/>
      <c r="J1567" s="2231"/>
      <c r="K1567" s="2412"/>
      <c r="L1567" s="2536"/>
      <c r="M1567" s="2232"/>
      <c r="N1567" s="2239"/>
      <c r="O1567" s="2498">
        <f t="shared" si="311"/>
        <v>2688.4</v>
      </c>
      <c r="P1567" s="2295">
        <f t="shared" si="307"/>
        <v>1</v>
      </c>
    </row>
    <row r="1568" spans="1:16" ht="30">
      <c r="A1568" s="2272" t="s">
        <v>14207</v>
      </c>
      <c r="B1568" s="2228">
        <f>VLOOKUP($A1568,'15 - QT_BCE'!$A:$F,2,0)</f>
        <v>104178</v>
      </c>
      <c r="C1568" s="2228" t="str">
        <f>VLOOKUP($A1568,'15 - QT_BCE'!$A:$F,3,0)</f>
        <v>SINAPI</v>
      </c>
      <c r="D1568" s="2375" t="s">
        <v>9884</v>
      </c>
      <c r="E1568" s="2243" t="str">
        <f>IFERROR(VLOOKUP($B1568,'24.08_ND'!$1:$1048529,3,0),IFERROR(VLOOKUP($B1568,'03-CP'!$C$1:$H$6260,3,0),""))</f>
        <v>UN</v>
      </c>
      <c r="F1568" s="2230">
        <v>16</v>
      </c>
      <c r="G1568" s="2232">
        <v>23.43</v>
      </c>
      <c r="H1568" s="2302">
        <f t="shared" si="310"/>
        <v>374.88</v>
      </c>
      <c r="I1568" s="2287"/>
      <c r="J1568" s="2231"/>
      <c r="K1568" s="2412"/>
      <c r="L1568" s="2536"/>
      <c r="M1568" s="2232"/>
      <c r="N1568" s="2239"/>
      <c r="O1568" s="2498">
        <f t="shared" si="311"/>
        <v>374.88</v>
      </c>
      <c r="P1568" s="2295">
        <f t="shared" si="307"/>
        <v>1</v>
      </c>
    </row>
    <row r="1569" spans="1:16" ht="30">
      <c r="A1569" s="2272" t="s">
        <v>14208</v>
      </c>
      <c r="B1569" s="2228">
        <f>VLOOKUP($A1569,'15 - QT_BCE'!$A:$F,2,0)</f>
        <v>89554</v>
      </c>
      <c r="C1569" s="2228" t="str">
        <f>VLOOKUP($A1569,'15 - QT_BCE'!$A:$F,3,0)</f>
        <v>SINAPI</v>
      </c>
      <c r="D1569" s="2375" t="s">
        <v>8801</v>
      </c>
      <c r="E1569" s="2243" t="str">
        <f>IFERROR(VLOOKUP($B1569,'24.08_ND'!$1:$1048529,3,0),IFERROR(VLOOKUP($B1569,'03-CP'!$C$1:$H$6260,3,0),""))</f>
        <v>UN</v>
      </c>
      <c r="F1569" s="2230">
        <v>80</v>
      </c>
      <c r="G1569" s="2232">
        <v>31.51</v>
      </c>
      <c r="H1569" s="2302">
        <f t="shared" si="310"/>
        <v>2520.8000000000002</v>
      </c>
      <c r="I1569" s="2287"/>
      <c r="J1569" s="2231"/>
      <c r="K1569" s="2412"/>
      <c r="L1569" s="2536"/>
      <c r="M1569" s="2232"/>
      <c r="N1569" s="2239"/>
      <c r="O1569" s="2498">
        <f t="shared" si="311"/>
        <v>2520.8000000000002</v>
      </c>
      <c r="P1569" s="2295">
        <f t="shared" si="307"/>
        <v>1</v>
      </c>
    </row>
    <row r="1570" spans="1:16" ht="30">
      <c r="A1570" s="2272" t="s">
        <v>14209</v>
      </c>
      <c r="B1570" s="2228">
        <f>VLOOKUP($A1570,'15 - QT_BCE'!$A:$F,2,0)</f>
        <v>89529</v>
      </c>
      <c r="C1570" s="2228" t="str">
        <f>VLOOKUP($A1570,'15 - QT_BCE'!$A:$F,3,0)</f>
        <v>SINAPI</v>
      </c>
      <c r="D1570" s="2375" t="s">
        <v>8782</v>
      </c>
      <c r="E1570" s="2243" t="str">
        <f>IFERROR(VLOOKUP($B1570,'24.08_ND'!$1:$1048529,3,0),IFERROR(VLOOKUP($B1570,'03-CP'!$C$1:$H$6260,3,0),""))</f>
        <v>UN</v>
      </c>
      <c r="F1570" s="2230">
        <v>22</v>
      </c>
      <c r="G1570" s="2232">
        <v>40.18</v>
      </c>
      <c r="H1570" s="2302">
        <f t="shared" si="310"/>
        <v>883.96</v>
      </c>
      <c r="I1570" s="2287"/>
      <c r="J1570" s="2231"/>
      <c r="K1570" s="2412"/>
      <c r="L1570" s="2536"/>
      <c r="M1570" s="2232"/>
      <c r="N1570" s="2239"/>
      <c r="O1570" s="2498">
        <f t="shared" si="311"/>
        <v>883.96</v>
      </c>
      <c r="P1570" s="2295">
        <f t="shared" si="307"/>
        <v>1</v>
      </c>
    </row>
    <row r="1571" spans="1:16" ht="45">
      <c r="A1571" s="2272" t="s">
        <v>14210</v>
      </c>
      <c r="B1571" s="2228">
        <f>VLOOKUP($A1571,'15 - QT_BCE'!$A:$F,2,0)</f>
        <v>89690</v>
      </c>
      <c r="C1571" s="2228" t="str">
        <f>VLOOKUP($A1571,'15 - QT_BCE'!$A:$F,3,0)</f>
        <v>SINAPI</v>
      </c>
      <c r="D1571" s="2375" t="s">
        <v>8915</v>
      </c>
      <c r="E1571" s="2243" t="str">
        <f>IFERROR(VLOOKUP($B1571,'24.08_ND'!$1:$1048529,3,0),IFERROR(VLOOKUP($B1571,'03-CP'!$C$1:$H$6260,3,0),""))</f>
        <v>UN</v>
      </c>
      <c r="F1571" s="2230">
        <v>8</v>
      </c>
      <c r="G1571" s="2232">
        <v>95.85</v>
      </c>
      <c r="H1571" s="2302">
        <f t="shared" si="310"/>
        <v>766.8</v>
      </c>
      <c r="I1571" s="2287"/>
      <c r="J1571" s="2231"/>
      <c r="K1571" s="2412"/>
      <c r="L1571" s="2536"/>
      <c r="M1571" s="2232"/>
      <c r="N1571" s="2239"/>
      <c r="O1571" s="2498">
        <f t="shared" si="311"/>
        <v>766.8</v>
      </c>
      <c r="P1571" s="2295">
        <f t="shared" si="307"/>
        <v>1</v>
      </c>
    </row>
    <row r="1572" spans="1:16" ht="30">
      <c r="A1572" s="2272" t="s">
        <v>14211</v>
      </c>
      <c r="B1572" s="2228">
        <f>VLOOKUP($A1572,'15 - QT_BCE'!$A:$F,2,0)</f>
        <v>89512</v>
      </c>
      <c r="C1572" s="2228" t="str">
        <f>VLOOKUP($A1572,'15 - QT_BCE'!$A:$F,3,0)</f>
        <v>SINAPI</v>
      </c>
      <c r="D1572" s="2375" t="s">
        <v>8434</v>
      </c>
      <c r="E1572" s="2243" t="str">
        <f>IFERROR(VLOOKUP($B1572,'24.08_ND'!$1:$1048529,3,0),IFERROR(VLOOKUP($B1572,'03-CP'!$C$1:$H$6260,3,0),""))</f>
        <v>M</v>
      </c>
      <c r="F1572" s="2230">
        <v>138</v>
      </c>
      <c r="G1572" s="2232">
        <v>52.11</v>
      </c>
      <c r="H1572" s="2302">
        <f t="shared" si="310"/>
        <v>7191.18</v>
      </c>
      <c r="I1572" s="2287"/>
      <c r="J1572" s="2231"/>
      <c r="K1572" s="2412"/>
      <c r="L1572" s="2536"/>
      <c r="M1572" s="2232"/>
      <c r="N1572" s="2239"/>
      <c r="O1572" s="2498">
        <f t="shared" si="311"/>
        <v>7191.18</v>
      </c>
      <c r="P1572" s="2295">
        <f t="shared" si="307"/>
        <v>1</v>
      </c>
    </row>
    <row r="1573" spans="1:16" ht="30">
      <c r="A1573" s="2272" t="s">
        <v>14212</v>
      </c>
      <c r="B1573" s="2228" t="str">
        <f>VLOOKUP($A1573,'15 - QT_BCE'!$A:$F,2,0)</f>
        <v>CP-DRE-02</v>
      </c>
      <c r="C1573" s="2228" t="str">
        <f>VLOOKUP($A1573,'15 - QT_BCE'!$A:$F,3,0)</f>
        <v>PRÓPRIA</v>
      </c>
      <c r="D1573" s="2375" t="s">
        <v>15435</v>
      </c>
      <c r="E1573" s="2243" t="str">
        <f>IFERROR(VLOOKUP($B1573,'24.08_ND'!$1:$1048529,3,0),IFERROR(VLOOKUP($B1573,'03-CP'!$C$1:$H$6260,3,0),""))</f>
        <v>M</v>
      </c>
      <c r="F1573" s="2230">
        <v>81</v>
      </c>
      <c r="G1573" s="2232">
        <v>209.36</v>
      </c>
      <c r="H1573" s="2302">
        <f t="shared" si="310"/>
        <v>16958.16</v>
      </c>
      <c r="I1573" s="2287"/>
      <c r="J1573" s="2231"/>
      <c r="K1573" s="2412"/>
      <c r="L1573" s="2536"/>
      <c r="M1573" s="2232"/>
      <c r="N1573" s="2239"/>
      <c r="O1573" s="2498">
        <f t="shared" si="311"/>
        <v>16958.16</v>
      </c>
      <c r="P1573" s="2295">
        <f t="shared" si="307"/>
        <v>1</v>
      </c>
    </row>
    <row r="1574" spans="1:16" ht="30">
      <c r="A1574" s="2272" t="s">
        <v>14213</v>
      </c>
      <c r="B1574" s="2228" t="str">
        <f>VLOOKUP($A1574,'15 - QT_BCE'!$A:$F,2,0)</f>
        <v>CP-HSD-28</v>
      </c>
      <c r="C1574" s="2228" t="str">
        <f>VLOOKUP($A1574,'15 - QT_BCE'!$A:$F,3,0)</f>
        <v>PRÓPRIA</v>
      </c>
      <c r="D1574" s="2375" t="s">
        <v>15418</v>
      </c>
      <c r="E1574" s="2243" t="str">
        <f>IFERROR(VLOOKUP($B1574,'24.08_ND'!$1:$1048529,3,0),IFERROR(VLOOKUP($B1574,'03-CP'!$C$1:$H$6260,3,0),""))</f>
        <v>UN</v>
      </c>
      <c r="F1574" s="2230">
        <v>16</v>
      </c>
      <c r="G1574" s="2232">
        <v>77.41</v>
      </c>
      <c r="H1574" s="2302">
        <f t="shared" si="310"/>
        <v>1238.56</v>
      </c>
      <c r="I1574" s="2287"/>
      <c r="J1574" s="2231"/>
      <c r="K1574" s="2412"/>
      <c r="L1574" s="2536"/>
      <c r="M1574" s="2232"/>
      <c r="N1574" s="2239"/>
      <c r="O1574" s="2498">
        <f t="shared" si="311"/>
        <v>1238.56</v>
      </c>
      <c r="P1574" s="2295">
        <f t="shared" si="307"/>
        <v>1</v>
      </c>
    </row>
    <row r="1575" spans="1:16">
      <c r="A1575" s="2272" t="s">
        <v>14214</v>
      </c>
      <c r="B1575" s="2228" t="str">
        <f>VLOOKUP($A1575,'15 - QT_BCE'!$A:$F,2,0)</f>
        <v>CP-HSD-26</v>
      </c>
      <c r="C1575" s="2228" t="str">
        <f>VLOOKUP($A1575,'15 - QT_BCE'!$A:$F,3,0)</f>
        <v>PRÓPRIA</v>
      </c>
      <c r="D1575" s="2375" t="s">
        <v>15409</v>
      </c>
      <c r="E1575" s="2243" t="str">
        <f>IFERROR(VLOOKUP($B1575,'24.08_ND'!$1:$1048529,3,0),IFERROR(VLOOKUP($B1575,'03-CP'!$C$1:$H$6260,3,0),""))</f>
        <v>UN</v>
      </c>
      <c r="F1575" s="2230">
        <v>20</v>
      </c>
      <c r="G1575" s="2232">
        <v>79.88</v>
      </c>
      <c r="H1575" s="2302">
        <f t="shared" si="310"/>
        <v>1597.6</v>
      </c>
      <c r="I1575" s="2287"/>
      <c r="J1575" s="2231"/>
      <c r="K1575" s="2412"/>
      <c r="L1575" s="2536"/>
      <c r="M1575" s="2232"/>
      <c r="N1575" s="2239"/>
      <c r="O1575" s="2498">
        <f t="shared" si="311"/>
        <v>1597.6</v>
      </c>
      <c r="P1575" s="2295">
        <f t="shared" si="307"/>
        <v>1</v>
      </c>
    </row>
    <row r="1576" spans="1:16" ht="60">
      <c r="A1576" s="2272" t="s">
        <v>14215</v>
      </c>
      <c r="B1576" s="2228">
        <f>VLOOKUP($A1576,'15 - QT_BCE'!$A:$F,2,0)</f>
        <v>91175</v>
      </c>
      <c r="C1576" s="2228" t="str">
        <f>VLOOKUP($A1576,'15 - QT_BCE'!$A:$F,3,0)</f>
        <v>SINAPI</v>
      </c>
      <c r="D1576" s="2375" t="s">
        <v>10403</v>
      </c>
      <c r="E1576" s="2243" t="str">
        <f>IFERROR(VLOOKUP($B1576,'24.08_ND'!$1:$1048529,3,0),IFERROR(VLOOKUP($B1576,'03-CP'!$C$1:$H$6260,3,0),""))</f>
        <v>M</v>
      </c>
      <c r="F1576" s="2230">
        <v>30</v>
      </c>
      <c r="G1576" s="2232">
        <v>11.61</v>
      </c>
      <c r="H1576" s="2302">
        <f t="shared" si="310"/>
        <v>348.3</v>
      </c>
      <c r="I1576" s="2287"/>
      <c r="J1576" s="2231"/>
      <c r="K1576" s="2412"/>
      <c r="L1576" s="2536"/>
      <c r="M1576" s="2232"/>
      <c r="N1576" s="2239"/>
      <c r="O1576" s="2498">
        <f t="shared" si="311"/>
        <v>348.3</v>
      </c>
      <c r="P1576" s="2295">
        <f t="shared" si="307"/>
        <v>1</v>
      </c>
    </row>
    <row r="1577" spans="1:16">
      <c r="A1577" s="2513" t="s">
        <v>12651</v>
      </c>
      <c r="B1577" s="2514"/>
      <c r="C1577" s="2515"/>
      <c r="D1577" s="2516" t="s">
        <v>12510</v>
      </c>
      <c r="E1577" s="2517"/>
      <c r="F1577" s="2518"/>
      <c r="G1577" s="2519"/>
      <c r="H1577" s="2520">
        <f>SUBTOTAL(9,H1578:H1628)</f>
        <v>78974.689999999988</v>
      </c>
      <c r="I1577" s="2521"/>
      <c r="J1577" s="2522"/>
      <c r="K1577" s="2554"/>
      <c r="L1577" s="2541">
        <f>SUBTOTAL(9,L1578:L1628)</f>
        <v>0</v>
      </c>
      <c r="M1577" s="2520">
        <f>SUBTOTAL(9,M1578:M1628)</f>
        <v>0</v>
      </c>
      <c r="N1577" s="2520">
        <f>SUBTOTAL(9,N1578:N1628)</f>
        <v>0</v>
      </c>
      <c r="O1577" s="2520">
        <f>SUBTOTAL(9,O1578:O1628)</f>
        <v>78974.689999999988</v>
      </c>
      <c r="P1577" s="2295"/>
    </row>
    <row r="1578" spans="1:16">
      <c r="A1578" s="2343" t="s">
        <v>14216</v>
      </c>
      <c r="B1578" s="2397"/>
      <c r="C1578" s="2401"/>
      <c r="D1578" s="2380" t="s">
        <v>16333</v>
      </c>
      <c r="E1578" s="2368"/>
      <c r="F1578" s="2369"/>
      <c r="G1578" s="2370"/>
      <c r="H1578" s="2361">
        <f>SUBTOTAL(9,H1579:H1584)</f>
        <v>10183.129999999999</v>
      </c>
      <c r="I1578" s="2371"/>
      <c r="J1578" s="2372"/>
      <c r="K1578" s="2555"/>
      <c r="L1578" s="2539">
        <f>SUBTOTAL(9,L1579:L1584)</f>
        <v>0</v>
      </c>
      <c r="M1578" s="2361">
        <f>SUBTOTAL(9,M1579:M1584)</f>
        <v>0</v>
      </c>
      <c r="N1578" s="2361">
        <f>SUBTOTAL(9,N1579:N1584)</f>
        <v>0</v>
      </c>
      <c r="O1578" s="2361">
        <f>SUBTOTAL(9,O1579:O1584)</f>
        <v>10183.129999999999</v>
      </c>
      <c r="P1578" s="2295">
        <f t="shared" si="307"/>
        <v>1</v>
      </c>
    </row>
    <row r="1579" spans="1:16" ht="45">
      <c r="A1579" s="2272" t="s">
        <v>14217</v>
      </c>
      <c r="B1579" s="2228">
        <f>VLOOKUP($A1579,'15 - QT_BCE'!$A:$F,2,0)</f>
        <v>97667</v>
      </c>
      <c r="C1579" s="2228" t="str">
        <f>VLOOKUP($A1579,'15 - QT_BCE'!$A:$F,3,0)</f>
        <v>SINAPI</v>
      </c>
      <c r="D1579" s="2375" t="s">
        <v>7797</v>
      </c>
      <c r="E1579" s="2243" t="str">
        <f>IFERROR(VLOOKUP($B1579,'24.08_ND'!$1:$1048529,3,0),IFERROR(VLOOKUP($B1579,'03-CP'!$C$1:$H$6260,3,0),""))</f>
        <v>M</v>
      </c>
      <c r="F1579" s="2230">
        <v>130</v>
      </c>
      <c r="G1579" s="2232">
        <v>8.93</v>
      </c>
      <c r="H1579" s="2302">
        <f t="shared" ref="H1579:H1584" si="312">TRUNC((G1579*F1579),2)</f>
        <v>1160.9000000000001</v>
      </c>
      <c r="I1579" s="2328"/>
      <c r="J1579" s="2237"/>
      <c r="K1579" s="2411"/>
      <c r="L1579" s="2533">
        <f>M1579+N1579</f>
        <v>0</v>
      </c>
      <c r="M1579" s="2238">
        <v>0</v>
      </c>
      <c r="N1579" s="2239">
        <f>TRUNC(H1579*K1579,2)</f>
        <v>0</v>
      </c>
      <c r="O1579" s="2498">
        <f t="shared" ref="O1579:O1584" si="313">H1579-L1579</f>
        <v>1160.9000000000001</v>
      </c>
      <c r="P1579" s="2295">
        <f t="shared" si="307"/>
        <v>1</v>
      </c>
    </row>
    <row r="1580" spans="1:16" ht="45">
      <c r="A1580" s="2272" t="s">
        <v>14218</v>
      </c>
      <c r="B1580" s="2245" t="str">
        <f>VLOOKUP($A1580,'15 - QT_BCE'!$A:$F,2,0)</f>
        <v>CP-ELE-105</v>
      </c>
      <c r="C1580" s="2228" t="str">
        <f>VLOOKUP($A1580,'15 - QT_BCE'!$A:$F,3,0)</f>
        <v>SINAPI</v>
      </c>
      <c r="D1580" s="2375" t="s">
        <v>15218</v>
      </c>
      <c r="E1580" s="2243" t="str">
        <f>IFERROR(VLOOKUP($B1580,'24.08_ND'!$1:$1048529,3,0),IFERROR(VLOOKUP($B1580,'03-CP'!$C$1:$H$6260,3,0),""))</f>
        <v>M</v>
      </c>
      <c r="F1580" s="2230">
        <v>50</v>
      </c>
      <c r="G1580" s="2232">
        <v>8.2799999999999994</v>
      </c>
      <c r="H1580" s="2302">
        <f t="shared" si="312"/>
        <v>414</v>
      </c>
      <c r="I1580" s="2287"/>
      <c r="J1580" s="2231"/>
      <c r="K1580" s="2412"/>
      <c r="L1580" s="2536"/>
      <c r="M1580" s="2232"/>
      <c r="N1580" s="2239"/>
      <c r="O1580" s="2498">
        <f t="shared" si="313"/>
        <v>414</v>
      </c>
      <c r="P1580" s="2295">
        <f t="shared" si="307"/>
        <v>1</v>
      </c>
    </row>
    <row r="1581" spans="1:16" ht="45">
      <c r="A1581" s="2272" t="s">
        <v>14219</v>
      </c>
      <c r="B1581" s="2228">
        <f>VLOOKUP($A1581,'15 - QT_BCE'!$A:$F,2,0)</f>
        <v>91837</v>
      </c>
      <c r="C1581" s="2228" t="str">
        <f>VLOOKUP($A1581,'15 - QT_BCE'!$A:$F,3,0)</f>
        <v>SINAPI</v>
      </c>
      <c r="D1581" s="2375" t="s">
        <v>7758</v>
      </c>
      <c r="E1581" s="2243" t="str">
        <f>IFERROR(VLOOKUP($B1581,'24.08_ND'!$1:$1048529,3,0),IFERROR(VLOOKUP($B1581,'03-CP'!$C$1:$H$6260,3,0),""))</f>
        <v>M</v>
      </c>
      <c r="F1581" s="2230">
        <v>25</v>
      </c>
      <c r="G1581" s="2232">
        <v>26.9</v>
      </c>
      <c r="H1581" s="2302">
        <f t="shared" si="312"/>
        <v>672.5</v>
      </c>
      <c r="I1581" s="2287"/>
      <c r="J1581" s="2231"/>
      <c r="K1581" s="2412"/>
      <c r="L1581" s="2536"/>
      <c r="M1581" s="2232"/>
      <c r="N1581" s="2239"/>
      <c r="O1581" s="2498">
        <f t="shared" si="313"/>
        <v>672.5</v>
      </c>
      <c r="P1581" s="2295">
        <f t="shared" si="307"/>
        <v>1</v>
      </c>
    </row>
    <row r="1582" spans="1:16" ht="45">
      <c r="A1582" s="2272" t="s">
        <v>14220</v>
      </c>
      <c r="B1582" s="2228">
        <f>VLOOKUP($A1582,'15 - QT_BCE'!$A:$F,2,0)</f>
        <v>91835</v>
      </c>
      <c r="C1582" s="2228" t="str">
        <f>VLOOKUP($A1582,'15 - QT_BCE'!$A:$F,3,0)</f>
        <v>SINAPI</v>
      </c>
      <c r="D1582" s="2375" t="s">
        <v>7756</v>
      </c>
      <c r="E1582" s="2243" t="str">
        <f>IFERROR(VLOOKUP($B1582,'24.08_ND'!$1:$1048529,3,0),IFERROR(VLOOKUP($B1582,'03-CP'!$C$1:$H$6260,3,0),""))</f>
        <v>M</v>
      </c>
      <c r="F1582" s="2230">
        <v>280</v>
      </c>
      <c r="G1582" s="2232">
        <v>21.43</v>
      </c>
      <c r="H1582" s="2302">
        <f t="shared" si="312"/>
        <v>6000.4</v>
      </c>
      <c r="I1582" s="2287"/>
      <c r="J1582" s="2231"/>
      <c r="K1582" s="2412"/>
      <c r="L1582" s="2536"/>
      <c r="M1582" s="2232"/>
      <c r="N1582" s="2239"/>
      <c r="O1582" s="2498">
        <f t="shared" si="313"/>
        <v>6000.4</v>
      </c>
      <c r="P1582" s="2295">
        <f t="shared" si="307"/>
        <v>1</v>
      </c>
    </row>
    <row r="1583" spans="1:16" ht="30">
      <c r="A1583" s="2272" t="s">
        <v>14221</v>
      </c>
      <c r="B1583" s="2228">
        <f>VLOOKUP($A1583,'15 - QT_BCE'!$A:$F,2,0)</f>
        <v>93358</v>
      </c>
      <c r="C1583" s="2228" t="str">
        <f>VLOOKUP($A1583,'15 - QT_BCE'!$A:$F,3,0)</f>
        <v>SINAPI</v>
      </c>
      <c r="D1583" s="2375" t="s">
        <v>10648</v>
      </c>
      <c r="E1583" s="2243" t="str">
        <f>IFERROR(VLOOKUP($B1583,'24.08_ND'!$1:$1048529,3,0),IFERROR(VLOOKUP($B1583,'03-CP'!$C$1:$H$6260,3,0),""))</f>
        <v>M3</v>
      </c>
      <c r="F1583" s="2230">
        <v>16.5</v>
      </c>
      <c r="G1583" s="2232">
        <v>91.52</v>
      </c>
      <c r="H1583" s="2302">
        <f t="shared" si="312"/>
        <v>1510.08</v>
      </c>
      <c r="I1583" s="2287"/>
      <c r="J1583" s="2231"/>
      <c r="K1583" s="2412"/>
      <c r="L1583" s="2536"/>
      <c r="M1583" s="2232"/>
      <c r="N1583" s="2239"/>
      <c r="O1583" s="2498">
        <f t="shared" si="313"/>
        <v>1510.08</v>
      </c>
      <c r="P1583" s="2295">
        <f t="shared" si="307"/>
        <v>1</v>
      </c>
    </row>
    <row r="1584" spans="1:16">
      <c r="A1584" s="2272" t="s">
        <v>14222</v>
      </c>
      <c r="B1584" s="2228">
        <f>VLOOKUP($A1584,'15 - QT_BCE'!$A:$F,2,0)</f>
        <v>104737</v>
      </c>
      <c r="C1584" s="2228" t="str">
        <f>VLOOKUP($A1584,'15 - QT_BCE'!$A:$F,3,0)</f>
        <v>SINAPI</v>
      </c>
      <c r="D1584" s="2375" t="s">
        <v>10736</v>
      </c>
      <c r="E1584" s="2243" t="str">
        <f>IFERROR(VLOOKUP($B1584,'24.08_ND'!$1:$1048529,3,0),IFERROR(VLOOKUP($B1584,'03-CP'!$C$1:$H$6260,3,0),""))</f>
        <v>M3</v>
      </c>
      <c r="F1584" s="2230">
        <v>18.150000000000002</v>
      </c>
      <c r="G1584" s="2232">
        <v>23.43</v>
      </c>
      <c r="H1584" s="2302">
        <f t="shared" si="312"/>
        <v>425.25</v>
      </c>
      <c r="I1584" s="2287"/>
      <c r="J1584" s="2231"/>
      <c r="K1584" s="2412"/>
      <c r="L1584" s="2536"/>
      <c r="M1584" s="2232"/>
      <c r="N1584" s="2239"/>
      <c r="O1584" s="2498">
        <f t="shared" si="313"/>
        <v>425.25</v>
      </c>
      <c r="P1584" s="2295">
        <f t="shared" si="307"/>
        <v>1</v>
      </c>
    </row>
    <row r="1585" spans="1:16">
      <c r="A1585" s="2343" t="s">
        <v>14223</v>
      </c>
      <c r="B1585" s="2397"/>
      <c r="C1585" s="2401"/>
      <c r="D1585" s="2380" t="s">
        <v>16335</v>
      </c>
      <c r="E1585" s="2368"/>
      <c r="F1585" s="2369"/>
      <c r="G1585" s="2370"/>
      <c r="H1585" s="2361">
        <f>SUBTOTAL(9,H1586:H1590)</f>
        <v>3853.1800000000003</v>
      </c>
      <c r="I1585" s="2371"/>
      <c r="J1585" s="2372"/>
      <c r="K1585" s="2555"/>
      <c r="L1585" s="2539">
        <f>SUBTOTAL(9,L1586:L1590)</f>
        <v>0</v>
      </c>
      <c r="M1585" s="2361">
        <f>SUBTOTAL(9,M1586:M1590)</f>
        <v>0</v>
      </c>
      <c r="N1585" s="2361">
        <f>SUBTOTAL(9,N1586:N1590)</f>
        <v>0</v>
      </c>
      <c r="O1585" s="2361">
        <f>SUBTOTAL(9,O1586:O1590)</f>
        <v>3853.1800000000003</v>
      </c>
      <c r="P1585" s="2295">
        <f t="shared" si="307"/>
        <v>1</v>
      </c>
    </row>
    <row r="1586" spans="1:16" ht="30">
      <c r="A1586" s="2272" t="s">
        <v>14224</v>
      </c>
      <c r="B1586" s="2228">
        <f>VLOOKUP($A1586,'15 - QT_BCE'!$A:$F,2,0)</f>
        <v>91941</v>
      </c>
      <c r="C1586" s="2228" t="str">
        <f>VLOOKUP($A1586,'15 - QT_BCE'!$A:$F,3,0)</f>
        <v>SINAPI</v>
      </c>
      <c r="D1586" s="2375" t="s">
        <v>7887</v>
      </c>
      <c r="E1586" s="2243" t="str">
        <f>IFERROR(VLOOKUP($B1586,'24.08_ND'!$1:$1048529,3,0),IFERROR(VLOOKUP($B1586,'03-CP'!$C$1:$H$6260,3,0),""))</f>
        <v>UN</v>
      </c>
      <c r="F1586" s="2230">
        <v>29</v>
      </c>
      <c r="G1586" s="2232">
        <v>12.92</v>
      </c>
      <c r="H1586" s="2302">
        <f>TRUNC((G1586*F1586),2)</f>
        <v>374.68</v>
      </c>
      <c r="I1586" s="2328"/>
      <c r="J1586" s="2237"/>
      <c r="K1586" s="2411"/>
      <c r="L1586" s="2533">
        <f>M1586+N1586</f>
        <v>0</v>
      </c>
      <c r="M1586" s="2238">
        <v>0</v>
      </c>
      <c r="N1586" s="2239">
        <f>TRUNC(H1586*K1586,2)</f>
        <v>0</v>
      </c>
      <c r="O1586" s="2498">
        <f>H1586-L1586</f>
        <v>374.68</v>
      </c>
      <c r="P1586" s="2295">
        <f t="shared" si="307"/>
        <v>1</v>
      </c>
    </row>
    <row r="1587" spans="1:16" ht="30">
      <c r="A1587" s="2272" t="s">
        <v>14225</v>
      </c>
      <c r="B1587" s="2228">
        <f>VLOOKUP($A1587,'15 - QT_BCE'!$A:$F,2,0)</f>
        <v>91939</v>
      </c>
      <c r="C1587" s="2228" t="str">
        <f>VLOOKUP($A1587,'15 - QT_BCE'!$A:$F,3,0)</f>
        <v>SINAPI</v>
      </c>
      <c r="D1587" s="2375" t="s">
        <v>7885</v>
      </c>
      <c r="E1587" s="2243" t="str">
        <f>IFERROR(VLOOKUP($B1587,'24.08_ND'!$1:$1048529,3,0),IFERROR(VLOOKUP($B1587,'03-CP'!$C$1:$H$6260,3,0),""))</f>
        <v>UN</v>
      </c>
      <c r="F1587" s="2230">
        <v>31</v>
      </c>
      <c r="G1587" s="2232">
        <v>34.299999999999997</v>
      </c>
      <c r="H1587" s="2302">
        <f>TRUNC((G1587*F1587),2)</f>
        <v>1063.3</v>
      </c>
      <c r="I1587" s="2287"/>
      <c r="J1587" s="2231"/>
      <c r="K1587" s="2412"/>
      <c r="L1587" s="2536"/>
      <c r="M1587" s="2232"/>
      <c r="N1587" s="2239"/>
      <c r="O1587" s="2498">
        <f>H1587-L1587</f>
        <v>1063.3</v>
      </c>
      <c r="P1587" s="2295">
        <f t="shared" si="307"/>
        <v>1</v>
      </c>
    </row>
    <row r="1588" spans="1:16" ht="30">
      <c r="A1588" s="2272" t="s">
        <v>14226</v>
      </c>
      <c r="B1588" s="2228">
        <f>VLOOKUP($A1588,'15 - QT_BCE'!$A:$F,2,0)</f>
        <v>91940</v>
      </c>
      <c r="C1588" s="2228" t="str">
        <f>VLOOKUP($A1588,'15 - QT_BCE'!$A:$F,3,0)</f>
        <v>SINAPI</v>
      </c>
      <c r="D1588" s="2375" t="s">
        <v>7886</v>
      </c>
      <c r="E1588" s="2243" t="str">
        <f>IFERROR(VLOOKUP($B1588,'24.08_ND'!$1:$1048529,3,0),IFERROR(VLOOKUP($B1588,'03-CP'!$C$1:$H$6260,3,0),""))</f>
        <v>UN</v>
      </c>
      <c r="F1588" s="2230">
        <v>8</v>
      </c>
      <c r="G1588" s="2232">
        <v>19.96</v>
      </c>
      <c r="H1588" s="2302">
        <f>TRUNC((G1588*F1588),2)</f>
        <v>159.68</v>
      </c>
      <c r="I1588" s="2287"/>
      <c r="J1588" s="2231"/>
      <c r="K1588" s="2412"/>
      <c r="L1588" s="2536"/>
      <c r="M1588" s="2232"/>
      <c r="N1588" s="2239"/>
      <c r="O1588" s="2498">
        <f>H1588-L1588</f>
        <v>159.68</v>
      </c>
      <c r="P1588" s="2295">
        <f t="shared" si="307"/>
        <v>1</v>
      </c>
    </row>
    <row r="1589" spans="1:16" ht="30">
      <c r="A1589" s="2272" t="s">
        <v>14227</v>
      </c>
      <c r="B1589" s="2228">
        <f>VLOOKUP($A1589,'15 - QT_BCE'!$A:$F,2,0)</f>
        <v>91936</v>
      </c>
      <c r="C1589" s="2228" t="str">
        <f>VLOOKUP($A1589,'15 - QT_BCE'!$A:$F,3,0)</f>
        <v>SINAPI</v>
      </c>
      <c r="D1589" s="2375" t="s">
        <v>7883</v>
      </c>
      <c r="E1589" s="2243" t="str">
        <f>IFERROR(VLOOKUP($B1589,'24.08_ND'!$1:$1048529,3,0),IFERROR(VLOOKUP($B1589,'03-CP'!$C$1:$H$6260,3,0),""))</f>
        <v>UN</v>
      </c>
      <c r="F1589" s="2230">
        <v>87</v>
      </c>
      <c r="G1589" s="2232">
        <v>20.38</v>
      </c>
      <c r="H1589" s="2302">
        <f>TRUNC((G1589*F1589),2)</f>
        <v>1773.06</v>
      </c>
      <c r="I1589" s="2287"/>
      <c r="J1589" s="2231"/>
      <c r="K1589" s="2412"/>
      <c r="L1589" s="2536"/>
      <c r="M1589" s="2232"/>
      <c r="N1589" s="2239"/>
      <c r="O1589" s="2498">
        <f>H1589-L1589</f>
        <v>1773.06</v>
      </c>
      <c r="P1589" s="2295">
        <f t="shared" si="307"/>
        <v>1</v>
      </c>
    </row>
    <row r="1590" spans="1:16" ht="30">
      <c r="A1590" s="2272" t="s">
        <v>14228</v>
      </c>
      <c r="B1590" s="2228">
        <f>VLOOKUP($A1590,'15 - QT_BCE'!$A:$F,2,0)</f>
        <v>97882</v>
      </c>
      <c r="C1590" s="2228" t="str">
        <f>VLOOKUP($A1590,'15 - QT_BCE'!$A:$F,3,0)</f>
        <v>SINAPI</v>
      </c>
      <c r="D1590" s="2375" t="s">
        <v>7931</v>
      </c>
      <c r="E1590" s="2243" t="str">
        <f>IFERROR(VLOOKUP($B1590,'24.08_ND'!$1:$1048529,3,0),IFERROR(VLOOKUP($B1590,'03-CP'!$C$1:$H$6260,3,0),""))</f>
        <v>UN</v>
      </c>
      <c r="F1590" s="2230">
        <v>2</v>
      </c>
      <c r="G1590" s="2232">
        <v>241.23</v>
      </c>
      <c r="H1590" s="2302">
        <f>TRUNC((G1590*F1590),2)</f>
        <v>482.46</v>
      </c>
      <c r="I1590" s="2287"/>
      <c r="J1590" s="2231"/>
      <c r="K1590" s="2412"/>
      <c r="L1590" s="2536"/>
      <c r="M1590" s="2232"/>
      <c r="N1590" s="2239"/>
      <c r="O1590" s="2498">
        <f>H1590-L1590</f>
        <v>482.46</v>
      </c>
      <c r="P1590" s="2295">
        <f t="shared" ref="P1590:P1653" si="314">O1590/H1590</f>
        <v>1</v>
      </c>
    </row>
    <row r="1591" spans="1:16">
      <c r="A1591" s="2343" t="s">
        <v>14229</v>
      </c>
      <c r="B1591" s="2397"/>
      <c r="C1591" s="2401"/>
      <c r="D1591" s="2380" t="s">
        <v>16336</v>
      </c>
      <c r="E1591" s="2368"/>
      <c r="F1591" s="2369"/>
      <c r="G1591" s="2370"/>
      <c r="H1591" s="2361">
        <f>SUBTOTAL(9,H1592:H1600)</f>
        <v>1952.1599999999999</v>
      </c>
      <c r="I1591" s="2371"/>
      <c r="J1591" s="2372"/>
      <c r="K1591" s="2555"/>
      <c r="L1591" s="2539">
        <f>SUBTOTAL(9,L1592:L1600)</f>
        <v>0</v>
      </c>
      <c r="M1591" s="2361">
        <f>SUBTOTAL(9,M1592:M1600)</f>
        <v>0</v>
      </c>
      <c r="N1591" s="2361">
        <f>SUBTOTAL(9,N1592:N1600)</f>
        <v>0</v>
      </c>
      <c r="O1591" s="2361">
        <f>SUBTOTAL(9,O1592:O1600)</f>
        <v>1952.1599999999999</v>
      </c>
      <c r="P1591" s="2295">
        <f t="shared" si="314"/>
        <v>1</v>
      </c>
    </row>
    <row r="1592" spans="1:16" ht="30">
      <c r="A1592" s="2272" t="s">
        <v>14230</v>
      </c>
      <c r="B1592" s="2228">
        <f>VLOOKUP($A1592,'15 - QT_BCE'!$A:$F,2,0)</f>
        <v>91992</v>
      </c>
      <c r="C1592" s="2228" t="str">
        <f>VLOOKUP($A1592,'15 - QT_BCE'!$A:$F,3,0)</f>
        <v>SINAPI</v>
      </c>
      <c r="D1592" s="2375" t="s">
        <v>8051</v>
      </c>
      <c r="E1592" s="2243" t="str">
        <f>IFERROR(VLOOKUP($B1592,'24.08_ND'!$1:$1048529,3,0),IFERROR(VLOOKUP($B1592,'03-CP'!$C$1:$H$6260,3,0),""))</f>
        <v>UN</v>
      </c>
      <c r="F1592" s="2230">
        <v>7</v>
      </c>
      <c r="G1592" s="2232">
        <v>48.6</v>
      </c>
      <c r="H1592" s="2302">
        <f t="shared" ref="H1592:H1600" si="315">TRUNC((G1592*F1592),2)</f>
        <v>340.2</v>
      </c>
      <c r="I1592" s="2328"/>
      <c r="J1592" s="2237"/>
      <c r="K1592" s="2411"/>
      <c r="L1592" s="2533">
        <f>M1592+N1592</f>
        <v>0</v>
      </c>
      <c r="M1592" s="2238">
        <v>0</v>
      </c>
      <c r="N1592" s="2239">
        <f>TRUNC(H1592*K1592,2)</f>
        <v>0</v>
      </c>
      <c r="O1592" s="2498">
        <f t="shared" ref="O1592:O1600" si="316">H1592-L1592</f>
        <v>340.2</v>
      </c>
      <c r="P1592" s="2295">
        <f t="shared" si="314"/>
        <v>1</v>
      </c>
    </row>
    <row r="1593" spans="1:16" ht="30">
      <c r="A1593" s="2272" t="s">
        <v>14231</v>
      </c>
      <c r="B1593" s="2228">
        <f>VLOOKUP($A1593,'15 - QT_BCE'!$A:$F,2,0)</f>
        <v>91996</v>
      </c>
      <c r="C1593" s="2228" t="str">
        <f>VLOOKUP($A1593,'15 - QT_BCE'!$A:$F,3,0)</f>
        <v>SINAPI</v>
      </c>
      <c r="D1593" s="2375" t="s">
        <v>8055</v>
      </c>
      <c r="E1593" s="2243" t="str">
        <f>IFERROR(VLOOKUP($B1593,'24.08_ND'!$1:$1048529,3,0),IFERROR(VLOOKUP($B1593,'03-CP'!$C$1:$H$6260,3,0),""))</f>
        <v>UN</v>
      </c>
      <c r="F1593" s="2230">
        <v>5</v>
      </c>
      <c r="G1593" s="2232">
        <v>37.85</v>
      </c>
      <c r="H1593" s="2302">
        <f t="shared" si="315"/>
        <v>189.25</v>
      </c>
      <c r="I1593" s="2287"/>
      <c r="J1593" s="2231"/>
      <c r="K1593" s="2412"/>
      <c r="L1593" s="2536"/>
      <c r="M1593" s="2232"/>
      <c r="N1593" s="2239"/>
      <c r="O1593" s="2498">
        <f t="shared" si="316"/>
        <v>189.25</v>
      </c>
      <c r="P1593" s="2295">
        <f t="shared" si="314"/>
        <v>1</v>
      </c>
    </row>
    <row r="1594" spans="1:16" ht="30">
      <c r="A1594" s="2272" t="s">
        <v>14232</v>
      </c>
      <c r="B1594" s="2228">
        <f>VLOOKUP($A1594,'15 - QT_BCE'!$A:$F,2,0)</f>
        <v>92000</v>
      </c>
      <c r="C1594" s="2228" t="str">
        <f>VLOOKUP($A1594,'15 - QT_BCE'!$A:$F,3,0)</f>
        <v>SINAPI</v>
      </c>
      <c r="D1594" s="2375" t="s">
        <v>8059</v>
      </c>
      <c r="E1594" s="2243" t="str">
        <f>IFERROR(VLOOKUP($B1594,'24.08_ND'!$1:$1048529,3,0),IFERROR(VLOOKUP($B1594,'03-CP'!$C$1:$H$6260,3,0),""))</f>
        <v>UN</v>
      </c>
      <c r="F1594" s="2230">
        <v>18</v>
      </c>
      <c r="G1594" s="2232">
        <v>33.68</v>
      </c>
      <c r="H1594" s="2302">
        <f t="shared" si="315"/>
        <v>606.24</v>
      </c>
      <c r="I1594" s="2287"/>
      <c r="J1594" s="2231"/>
      <c r="K1594" s="2412"/>
      <c r="L1594" s="2536"/>
      <c r="M1594" s="2232"/>
      <c r="N1594" s="2239"/>
      <c r="O1594" s="2498">
        <f t="shared" si="316"/>
        <v>606.24</v>
      </c>
      <c r="P1594" s="2295">
        <f t="shared" si="314"/>
        <v>1</v>
      </c>
    </row>
    <row r="1595" spans="1:16">
      <c r="A1595" s="2272" t="s">
        <v>14233</v>
      </c>
      <c r="B1595" s="2228" t="str">
        <f>VLOOKUP($A1595,'15 - QT_BCE'!$A:$F,2,0)</f>
        <v>CP-ELE-56</v>
      </c>
      <c r="C1595" s="2228" t="str">
        <f>VLOOKUP($A1595,'15 - QT_BCE'!$A:$F,3,0)</f>
        <v>PRÓPRIA</v>
      </c>
      <c r="D1595" s="2375" t="s">
        <v>15146</v>
      </c>
      <c r="E1595" s="2243" t="str">
        <f>IFERROR(VLOOKUP($B1595,'24.08_ND'!$1:$1048529,3,0),IFERROR(VLOOKUP($B1595,'03-CP'!$C$1:$H$6260,3,0),""))</f>
        <v>UN</v>
      </c>
      <c r="F1595" s="2230">
        <v>2</v>
      </c>
      <c r="G1595" s="2232">
        <v>10.63</v>
      </c>
      <c r="H1595" s="2302">
        <f t="shared" si="315"/>
        <v>21.26</v>
      </c>
      <c r="I1595" s="2287"/>
      <c r="J1595" s="2231"/>
      <c r="K1595" s="2412"/>
      <c r="L1595" s="2536"/>
      <c r="M1595" s="2232"/>
      <c r="N1595" s="2239"/>
      <c r="O1595" s="2498">
        <f t="shared" si="316"/>
        <v>21.26</v>
      </c>
      <c r="P1595" s="2295">
        <f t="shared" si="314"/>
        <v>1</v>
      </c>
    </row>
    <row r="1596" spans="1:16" ht="30">
      <c r="A1596" s="2272" t="s">
        <v>14234</v>
      </c>
      <c r="B1596" s="2228">
        <f>VLOOKUP($A1596,'15 - QT_BCE'!$A:$F,2,0)</f>
        <v>91953</v>
      </c>
      <c r="C1596" s="2228" t="str">
        <f>VLOOKUP($A1596,'15 - QT_BCE'!$A:$F,3,0)</f>
        <v>SINAPI</v>
      </c>
      <c r="D1596" s="2375" t="s">
        <v>8012</v>
      </c>
      <c r="E1596" s="2243" t="str">
        <f>IFERROR(VLOOKUP($B1596,'24.08_ND'!$1:$1048529,3,0),IFERROR(VLOOKUP($B1596,'03-CP'!$C$1:$H$6260,3,0),""))</f>
        <v>UN</v>
      </c>
      <c r="F1596" s="2230">
        <v>1</v>
      </c>
      <c r="G1596" s="2232">
        <v>32.11</v>
      </c>
      <c r="H1596" s="2302">
        <f t="shared" si="315"/>
        <v>32.11</v>
      </c>
      <c r="I1596" s="2287"/>
      <c r="J1596" s="2231"/>
      <c r="K1596" s="2412"/>
      <c r="L1596" s="2536"/>
      <c r="M1596" s="2232"/>
      <c r="N1596" s="2239"/>
      <c r="O1596" s="2498">
        <f t="shared" si="316"/>
        <v>32.11</v>
      </c>
      <c r="P1596" s="2295">
        <f t="shared" si="314"/>
        <v>1</v>
      </c>
    </row>
    <row r="1597" spans="1:16" ht="30">
      <c r="A1597" s="2272" t="s">
        <v>14235</v>
      </c>
      <c r="B1597" s="2228">
        <f>VLOOKUP($A1597,'15 - QT_BCE'!$A:$F,2,0)</f>
        <v>97596</v>
      </c>
      <c r="C1597" s="2228" t="str">
        <f>VLOOKUP($A1597,'15 - QT_BCE'!$A:$F,3,0)</f>
        <v>SINAPI</v>
      </c>
      <c r="D1597" s="2375" t="s">
        <v>8097</v>
      </c>
      <c r="E1597" s="2243" t="str">
        <f>IFERROR(VLOOKUP($B1597,'24.08_ND'!$1:$1048529,3,0),IFERROR(VLOOKUP($B1597,'03-CP'!$C$1:$H$6260,3,0),""))</f>
        <v>UN</v>
      </c>
      <c r="F1597" s="2230">
        <v>6</v>
      </c>
      <c r="G1597" s="2232">
        <v>83.8</v>
      </c>
      <c r="H1597" s="2302">
        <f t="shared" si="315"/>
        <v>502.8</v>
      </c>
      <c r="I1597" s="2287"/>
      <c r="J1597" s="2231"/>
      <c r="K1597" s="2412"/>
      <c r="L1597" s="2536"/>
      <c r="M1597" s="2232"/>
      <c r="N1597" s="2239"/>
      <c r="O1597" s="2498">
        <f t="shared" si="316"/>
        <v>502.8</v>
      </c>
      <c r="P1597" s="2295">
        <f t="shared" si="314"/>
        <v>1</v>
      </c>
    </row>
    <row r="1598" spans="1:16" ht="30">
      <c r="A1598" s="2272" t="s">
        <v>14236</v>
      </c>
      <c r="B1598" s="2228">
        <f>VLOOKUP($A1598,'15 - QT_BCE'!$A:$F,2,0)</f>
        <v>91985</v>
      </c>
      <c r="C1598" s="2228" t="str">
        <f>VLOOKUP($A1598,'15 - QT_BCE'!$A:$F,3,0)</f>
        <v>SINAPI</v>
      </c>
      <c r="D1598" s="2375" t="s">
        <v>8044</v>
      </c>
      <c r="E1598" s="2243" t="str">
        <f>IFERROR(VLOOKUP($B1598,'24.08_ND'!$1:$1048529,3,0),IFERROR(VLOOKUP($B1598,'03-CP'!$C$1:$H$6260,3,0),""))</f>
        <v>UN</v>
      </c>
      <c r="F1598" s="2230">
        <v>2</v>
      </c>
      <c r="G1598" s="2232">
        <v>30.9</v>
      </c>
      <c r="H1598" s="2302">
        <f t="shared" si="315"/>
        <v>61.8</v>
      </c>
      <c r="I1598" s="2287"/>
      <c r="J1598" s="2231"/>
      <c r="K1598" s="2412"/>
      <c r="L1598" s="2536"/>
      <c r="M1598" s="2232"/>
      <c r="N1598" s="2239"/>
      <c r="O1598" s="2498">
        <f t="shared" si="316"/>
        <v>61.8</v>
      </c>
      <c r="P1598" s="2295">
        <f t="shared" si="314"/>
        <v>1</v>
      </c>
    </row>
    <row r="1599" spans="1:16" ht="30">
      <c r="A1599" s="2272" t="s">
        <v>14237</v>
      </c>
      <c r="B1599" s="2228">
        <f>VLOOKUP($A1599,'15 - QT_BCE'!$A:$F,2,0)</f>
        <v>91987</v>
      </c>
      <c r="C1599" s="2228" t="str">
        <f>VLOOKUP($A1599,'15 - QT_BCE'!$A:$F,3,0)</f>
        <v>SINAPI</v>
      </c>
      <c r="D1599" s="2375" t="s">
        <v>8046</v>
      </c>
      <c r="E1599" s="2243" t="str">
        <f>IFERROR(VLOOKUP($B1599,'24.08_ND'!$1:$1048529,3,0),IFERROR(VLOOKUP($B1599,'03-CP'!$C$1:$H$6260,3,0),""))</f>
        <v>UN</v>
      </c>
      <c r="F1599" s="2230">
        <v>2</v>
      </c>
      <c r="G1599" s="2232">
        <v>51.72</v>
      </c>
      <c r="H1599" s="2302">
        <f t="shared" si="315"/>
        <v>103.44</v>
      </c>
      <c r="I1599" s="2287"/>
      <c r="J1599" s="2231"/>
      <c r="K1599" s="2412"/>
      <c r="L1599" s="2536"/>
      <c r="M1599" s="2232"/>
      <c r="N1599" s="2239"/>
      <c r="O1599" s="2498">
        <f t="shared" si="316"/>
        <v>103.44</v>
      </c>
      <c r="P1599" s="2295">
        <f t="shared" si="314"/>
        <v>1</v>
      </c>
    </row>
    <row r="1600" spans="1:16" ht="30">
      <c r="A1600" s="2272" t="s">
        <v>14238</v>
      </c>
      <c r="B1600" s="2228">
        <f>VLOOKUP($A1600,'15 - QT_BCE'!$A:$F,2,0)</f>
        <v>102137</v>
      </c>
      <c r="C1600" s="2228" t="str">
        <f>VLOOKUP($A1600,'15 - QT_BCE'!$A:$F,3,0)</f>
        <v>SINAPI</v>
      </c>
      <c r="D1600" s="2375" t="s">
        <v>10445</v>
      </c>
      <c r="E1600" s="2243" t="str">
        <f>IFERROR(VLOOKUP($B1600,'24.08_ND'!$1:$1048529,3,0),IFERROR(VLOOKUP($B1600,'03-CP'!$C$1:$H$6260,3,0),""))</f>
        <v>UN</v>
      </c>
      <c r="F1600" s="2230">
        <v>1</v>
      </c>
      <c r="G1600" s="2232">
        <v>95.06</v>
      </c>
      <c r="H1600" s="2302">
        <f t="shared" si="315"/>
        <v>95.06</v>
      </c>
      <c r="I1600" s="2287"/>
      <c r="J1600" s="2231"/>
      <c r="K1600" s="2412"/>
      <c r="L1600" s="2536"/>
      <c r="M1600" s="2232"/>
      <c r="N1600" s="2239"/>
      <c r="O1600" s="2498">
        <f t="shared" si="316"/>
        <v>95.06</v>
      </c>
      <c r="P1600" s="2295">
        <f t="shared" si="314"/>
        <v>1</v>
      </c>
    </row>
    <row r="1601" spans="1:16">
      <c r="A1601" s="2343" t="s">
        <v>14239</v>
      </c>
      <c r="B1601" s="2397"/>
      <c r="C1601" s="2401"/>
      <c r="D1601" s="2380" t="s">
        <v>16337</v>
      </c>
      <c r="E1601" s="2368"/>
      <c r="F1601" s="2369"/>
      <c r="G1601" s="2370"/>
      <c r="H1601" s="2361">
        <f>SUBTOTAL(9,H1602:H1604)</f>
        <v>17139.599999999999</v>
      </c>
      <c r="I1601" s="2371"/>
      <c r="J1601" s="2372"/>
      <c r="K1601" s="2555"/>
      <c r="L1601" s="2539">
        <f>SUBTOTAL(9,L1602:L1604)</f>
        <v>0</v>
      </c>
      <c r="M1601" s="2361">
        <f>SUBTOTAL(9,M1602:M1604)</f>
        <v>0</v>
      </c>
      <c r="N1601" s="2361">
        <f>SUBTOTAL(9,N1602:N1604)</f>
        <v>0</v>
      </c>
      <c r="O1601" s="2361">
        <f>SUBTOTAL(9,O1602:O1604)</f>
        <v>17139.599999999999</v>
      </c>
      <c r="P1601" s="2295">
        <f t="shared" si="314"/>
        <v>1</v>
      </c>
    </row>
    <row r="1602" spans="1:16" ht="30">
      <c r="A1602" s="2272" t="s">
        <v>14240</v>
      </c>
      <c r="B1602" s="2228">
        <f>VLOOKUP($A1602,'15 - QT_BCE'!$A:$F,2,0)</f>
        <v>91926</v>
      </c>
      <c r="C1602" s="2228" t="str">
        <f>VLOOKUP($A1602,'15 - QT_BCE'!$A:$F,3,0)</f>
        <v>SINAPI</v>
      </c>
      <c r="D1602" s="2375" t="s">
        <v>7853</v>
      </c>
      <c r="E1602" s="2243" t="str">
        <f>IFERROR(VLOOKUP($B1602,'24.08_ND'!$1:$1048529,3,0),IFERROR(VLOOKUP($B1602,'03-CP'!$C$1:$H$6260,3,0),""))</f>
        <v>M</v>
      </c>
      <c r="F1602" s="2230">
        <v>1345</v>
      </c>
      <c r="G1602" s="2232">
        <v>5.03</v>
      </c>
      <c r="H1602" s="2302">
        <f>TRUNC((G1602*F1602),2)</f>
        <v>6765.35</v>
      </c>
      <c r="I1602" s="2328"/>
      <c r="J1602" s="2237"/>
      <c r="K1602" s="2411"/>
      <c r="L1602" s="2533">
        <f>M1602+N1602</f>
        <v>0</v>
      </c>
      <c r="M1602" s="2238">
        <v>0</v>
      </c>
      <c r="N1602" s="2239">
        <f>TRUNC(H1602*K1602,2)</f>
        <v>0</v>
      </c>
      <c r="O1602" s="2498">
        <f>H1602-L1602</f>
        <v>6765.35</v>
      </c>
      <c r="P1602" s="2295">
        <f t="shared" si="314"/>
        <v>1</v>
      </c>
    </row>
    <row r="1603" spans="1:16" ht="30">
      <c r="A1603" s="2272" t="s">
        <v>14241</v>
      </c>
      <c r="B1603" s="2228">
        <f>VLOOKUP($A1603,'15 - QT_BCE'!$A:$F,2,0)</f>
        <v>91935</v>
      </c>
      <c r="C1603" s="2228" t="str">
        <f>VLOOKUP($A1603,'15 - QT_BCE'!$A:$F,3,0)</f>
        <v>SINAPI</v>
      </c>
      <c r="D1603" s="2375" t="s">
        <v>7862</v>
      </c>
      <c r="E1603" s="2243" t="str">
        <f>IFERROR(VLOOKUP($B1603,'24.08_ND'!$1:$1048529,3,0),IFERROR(VLOOKUP($B1603,'03-CP'!$C$1:$H$6260,3,0),""))</f>
        <v>M</v>
      </c>
      <c r="F1603" s="2230">
        <v>85</v>
      </c>
      <c r="G1603" s="2232">
        <v>29.95</v>
      </c>
      <c r="H1603" s="2302">
        <f>TRUNC((G1603*F1603),2)</f>
        <v>2545.75</v>
      </c>
      <c r="I1603" s="2287"/>
      <c r="J1603" s="2231"/>
      <c r="K1603" s="2412"/>
      <c r="L1603" s="2536"/>
      <c r="M1603" s="2232"/>
      <c r="N1603" s="2239"/>
      <c r="O1603" s="2498">
        <f>H1603-L1603</f>
        <v>2545.75</v>
      </c>
      <c r="P1603" s="2295">
        <f t="shared" si="314"/>
        <v>1</v>
      </c>
    </row>
    <row r="1604" spans="1:16" ht="45">
      <c r="A1604" s="2272" t="s">
        <v>14242</v>
      </c>
      <c r="B1604" s="2228">
        <f>VLOOKUP($A1604,'15 - QT_BCE'!$A:$F,2,0)</f>
        <v>101562</v>
      </c>
      <c r="C1604" s="2228" t="str">
        <f>VLOOKUP($A1604,'15 - QT_BCE'!$A:$F,3,0)</f>
        <v>SINAPI</v>
      </c>
      <c r="D1604" s="2375" t="s">
        <v>8173</v>
      </c>
      <c r="E1604" s="2243" t="str">
        <f>IFERROR(VLOOKUP($B1604,'24.08_ND'!$1:$1048529,3,0),IFERROR(VLOOKUP($B1604,'03-CP'!$C$1:$H$6260,3,0),""))</f>
        <v>M</v>
      </c>
      <c r="F1604" s="2230">
        <v>255</v>
      </c>
      <c r="G1604" s="2232">
        <v>30.7</v>
      </c>
      <c r="H1604" s="2302">
        <f>TRUNC((G1604*F1604),2)</f>
        <v>7828.5</v>
      </c>
      <c r="I1604" s="2287"/>
      <c r="J1604" s="2231"/>
      <c r="K1604" s="2412"/>
      <c r="L1604" s="2536"/>
      <c r="M1604" s="2232"/>
      <c r="N1604" s="2239"/>
      <c r="O1604" s="2498">
        <f>H1604-L1604</f>
        <v>7828.5</v>
      </c>
      <c r="P1604" s="2295">
        <f t="shared" si="314"/>
        <v>1</v>
      </c>
    </row>
    <row r="1605" spans="1:16">
      <c r="A1605" s="2343" t="s">
        <v>14243</v>
      </c>
      <c r="B1605" s="2397"/>
      <c r="C1605" s="2401"/>
      <c r="D1605" s="2380" t="s">
        <v>16544</v>
      </c>
      <c r="E1605" s="2368"/>
      <c r="F1605" s="2369"/>
      <c r="G1605" s="2370"/>
      <c r="H1605" s="2361">
        <f>SUBTOTAL(9,H1606:H1618)</f>
        <v>2934.23</v>
      </c>
      <c r="I1605" s="2371"/>
      <c r="J1605" s="2372"/>
      <c r="K1605" s="2555"/>
      <c r="L1605" s="2539">
        <f>SUBTOTAL(9,L1606:L1618)</f>
        <v>0</v>
      </c>
      <c r="M1605" s="2361">
        <f>SUBTOTAL(9,M1606:M1618)</f>
        <v>0</v>
      </c>
      <c r="N1605" s="2361">
        <f>SUBTOTAL(9,N1606:N1618)</f>
        <v>0</v>
      </c>
      <c r="O1605" s="2361">
        <f>SUBTOTAL(9,O1606:O1618)</f>
        <v>2934.23</v>
      </c>
      <c r="P1605" s="2295">
        <f t="shared" si="314"/>
        <v>1</v>
      </c>
    </row>
    <row r="1606" spans="1:16" ht="45">
      <c r="A1606" s="2272" t="s">
        <v>14244</v>
      </c>
      <c r="B1606" s="2228" t="str">
        <f>VLOOKUP($A1606,'15 - QT_BCE'!$A:$F,2,0)</f>
        <v>CP-ELE-115</v>
      </c>
      <c r="C1606" s="2228" t="str">
        <f>VLOOKUP($A1606,'15 - QT_BCE'!$A:$F,3,0)</f>
        <v>PRÓPRIA</v>
      </c>
      <c r="D1606" s="2375" t="s">
        <v>15266</v>
      </c>
      <c r="E1606" s="2243" t="str">
        <f>IFERROR(VLOOKUP($B1606,'24.08_ND'!$1:$1048529,3,0),IFERROR(VLOOKUP($B1606,'03-CP'!$C$1:$H$6260,3,0),""))</f>
        <v>UN</v>
      </c>
      <c r="F1606" s="2230">
        <v>1</v>
      </c>
      <c r="G1606" s="2232">
        <v>773.91</v>
      </c>
      <c r="H1606" s="2302">
        <f t="shared" ref="H1606:H1618" si="317">TRUNC((G1606*F1606),2)</f>
        <v>773.91</v>
      </c>
      <c r="I1606" s="2328"/>
      <c r="J1606" s="2237"/>
      <c r="K1606" s="2411"/>
      <c r="L1606" s="2533">
        <f>M1606+N1606</f>
        <v>0</v>
      </c>
      <c r="M1606" s="2238">
        <v>0</v>
      </c>
      <c r="N1606" s="2239">
        <f>TRUNC(H1606*K1606,2)</f>
        <v>0</v>
      </c>
      <c r="O1606" s="2498">
        <f t="shared" ref="O1606:O1618" si="318">H1606-L1606</f>
        <v>773.91</v>
      </c>
      <c r="P1606" s="2295">
        <f t="shared" si="314"/>
        <v>1</v>
      </c>
    </row>
    <row r="1607" spans="1:16" ht="30">
      <c r="A1607" s="2272" t="s">
        <v>14245</v>
      </c>
      <c r="B1607" s="2228" t="str">
        <f>VLOOKUP($A1607,'15 - QT_BCE'!$A:$F,2,0)</f>
        <v>CP-ELE-116</v>
      </c>
      <c r="C1607" s="2228" t="str">
        <f>VLOOKUP($A1607,'15 - QT_BCE'!$A:$F,3,0)</f>
        <v>PRÓPRIA</v>
      </c>
      <c r="D1607" s="2375" t="s">
        <v>15269</v>
      </c>
      <c r="E1607" s="2243" t="str">
        <f>IFERROR(VLOOKUP($B1607,'24.08_ND'!$1:$1048529,3,0),IFERROR(VLOOKUP($B1607,'03-CP'!$C$1:$H$6260,3,0),""))</f>
        <v>UN</v>
      </c>
      <c r="F1607" s="2230">
        <v>1</v>
      </c>
      <c r="G1607" s="2232">
        <v>259.26</v>
      </c>
      <c r="H1607" s="2302">
        <f t="shared" si="317"/>
        <v>259.26</v>
      </c>
      <c r="I1607" s="2287"/>
      <c r="J1607" s="2231"/>
      <c r="K1607" s="2412"/>
      <c r="L1607" s="2536"/>
      <c r="M1607" s="2232"/>
      <c r="N1607" s="2239"/>
      <c r="O1607" s="2498">
        <f t="shared" si="318"/>
        <v>259.26</v>
      </c>
      <c r="P1607" s="2295">
        <f t="shared" si="314"/>
        <v>1</v>
      </c>
    </row>
    <row r="1608" spans="1:16" ht="30">
      <c r="A1608" s="2272" t="s">
        <v>14246</v>
      </c>
      <c r="B1608" s="2228">
        <f>VLOOKUP($A1608,'15 - QT_BCE'!$A:$F,2,0)</f>
        <v>93653</v>
      </c>
      <c r="C1608" s="2228" t="str">
        <f>VLOOKUP($A1608,'15 - QT_BCE'!$A:$F,3,0)</f>
        <v>SINAPI</v>
      </c>
      <c r="D1608" s="2375" t="s">
        <v>7954</v>
      </c>
      <c r="E1608" s="2243" t="str">
        <f>IFERROR(VLOOKUP($B1608,'24.08_ND'!$1:$1048529,3,0),IFERROR(VLOOKUP($B1608,'03-CP'!$C$1:$H$6260,3,0),""))</f>
        <v>UN</v>
      </c>
      <c r="F1608" s="2230">
        <v>5</v>
      </c>
      <c r="G1608" s="2232">
        <v>13.6</v>
      </c>
      <c r="H1608" s="2302">
        <f t="shared" si="317"/>
        <v>68</v>
      </c>
      <c r="I1608" s="2287"/>
      <c r="J1608" s="2231"/>
      <c r="K1608" s="2412"/>
      <c r="L1608" s="2536"/>
      <c r="M1608" s="2232"/>
      <c r="N1608" s="2239"/>
      <c r="O1608" s="2498">
        <f t="shared" si="318"/>
        <v>68</v>
      </c>
      <c r="P1608" s="2295">
        <f t="shared" si="314"/>
        <v>1</v>
      </c>
    </row>
    <row r="1609" spans="1:16" ht="30">
      <c r="A1609" s="2272" t="s">
        <v>14247</v>
      </c>
      <c r="B1609" s="2228">
        <f>VLOOKUP($A1609,'15 - QT_BCE'!$A:$F,2,0)</f>
        <v>93654</v>
      </c>
      <c r="C1609" s="2228" t="str">
        <f>VLOOKUP($A1609,'15 - QT_BCE'!$A:$F,3,0)</f>
        <v>SINAPI</v>
      </c>
      <c r="D1609" s="2375" t="s">
        <v>7955</v>
      </c>
      <c r="E1609" s="2243" t="str">
        <f>IFERROR(VLOOKUP($B1609,'24.08_ND'!$1:$1048529,3,0),IFERROR(VLOOKUP($B1609,'03-CP'!$C$1:$H$6260,3,0),""))</f>
        <v>UN</v>
      </c>
      <c r="F1609" s="2230">
        <v>4</v>
      </c>
      <c r="G1609" s="2232">
        <v>14.28</v>
      </c>
      <c r="H1609" s="2302">
        <f t="shared" si="317"/>
        <v>57.12</v>
      </c>
      <c r="I1609" s="2287"/>
      <c r="J1609" s="2231"/>
      <c r="K1609" s="2412"/>
      <c r="L1609" s="2536"/>
      <c r="M1609" s="2232"/>
      <c r="N1609" s="2239"/>
      <c r="O1609" s="2498">
        <f t="shared" si="318"/>
        <v>57.12</v>
      </c>
      <c r="P1609" s="2295">
        <f t="shared" si="314"/>
        <v>1</v>
      </c>
    </row>
    <row r="1610" spans="1:16" ht="30">
      <c r="A1610" s="2272" t="s">
        <v>14248</v>
      </c>
      <c r="B1610" s="2228">
        <f>VLOOKUP($A1610,'15 - QT_BCE'!$A:$F,2,0)</f>
        <v>93665</v>
      </c>
      <c r="C1610" s="2228" t="str">
        <f>VLOOKUP($A1610,'15 - QT_BCE'!$A:$F,3,0)</f>
        <v>SINAPI</v>
      </c>
      <c r="D1610" s="2375" t="s">
        <v>7966</v>
      </c>
      <c r="E1610" s="2243" t="str">
        <f>IFERROR(VLOOKUP($B1610,'24.08_ND'!$1:$1048529,3,0),IFERROR(VLOOKUP($B1610,'03-CP'!$C$1:$H$6260,3,0),""))</f>
        <v>UN</v>
      </c>
      <c r="F1610" s="2230">
        <v>2</v>
      </c>
      <c r="G1610" s="2232">
        <v>77.67</v>
      </c>
      <c r="H1610" s="2302">
        <f t="shared" si="317"/>
        <v>155.34</v>
      </c>
      <c r="I1610" s="2287"/>
      <c r="J1610" s="2231"/>
      <c r="K1610" s="2412"/>
      <c r="L1610" s="2536"/>
      <c r="M1610" s="2232"/>
      <c r="N1610" s="2239"/>
      <c r="O1610" s="2498">
        <f t="shared" si="318"/>
        <v>155.34</v>
      </c>
      <c r="P1610" s="2295">
        <f t="shared" si="314"/>
        <v>1</v>
      </c>
    </row>
    <row r="1611" spans="1:16" ht="30">
      <c r="A1611" s="2272" t="s">
        <v>14249</v>
      </c>
      <c r="B1611" s="2228" t="str">
        <f>VLOOKUP($A1611,'15 - QT_BCE'!$A:$F,2,0)</f>
        <v>CP-ELE-117</v>
      </c>
      <c r="C1611" s="2228" t="str">
        <f>VLOOKUP($A1611,'15 - QT_BCE'!$A:$F,3,0)</f>
        <v>PRÓPRIA</v>
      </c>
      <c r="D1611" s="2375" t="s">
        <v>15271</v>
      </c>
      <c r="E1611" s="2243" t="str">
        <f>IFERROR(VLOOKUP($B1611,'24.08_ND'!$1:$1048529,3,0),IFERROR(VLOOKUP($B1611,'03-CP'!$C$1:$H$6260,3,0),""))</f>
        <v>UN</v>
      </c>
      <c r="F1611" s="2230">
        <v>2</v>
      </c>
      <c r="G1611" s="2232">
        <v>31.9</v>
      </c>
      <c r="H1611" s="2302">
        <f t="shared" si="317"/>
        <v>63.8</v>
      </c>
      <c r="I1611" s="2287"/>
      <c r="J1611" s="2231"/>
      <c r="K1611" s="2412"/>
      <c r="L1611" s="2536"/>
      <c r="M1611" s="2232"/>
      <c r="N1611" s="2239"/>
      <c r="O1611" s="2498">
        <f t="shared" si="318"/>
        <v>63.8</v>
      </c>
      <c r="P1611" s="2295">
        <f t="shared" si="314"/>
        <v>1</v>
      </c>
    </row>
    <row r="1612" spans="1:16" ht="30">
      <c r="A1612" s="2272" t="s">
        <v>14250</v>
      </c>
      <c r="B1612" s="2228" t="str">
        <f>VLOOKUP($A1612,'15 - QT_BCE'!$A:$F,2,0)</f>
        <v>CP-ELE-119</v>
      </c>
      <c r="C1612" s="2228" t="str">
        <f>VLOOKUP($A1612,'15 - QT_BCE'!$A:$F,3,0)</f>
        <v>PRÓPRIA</v>
      </c>
      <c r="D1612" s="2375" t="s">
        <v>15276</v>
      </c>
      <c r="E1612" s="2243" t="str">
        <f>IFERROR(VLOOKUP($B1612,'24.08_ND'!$1:$1048529,3,0),IFERROR(VLOOKUP($B1612,'03-CP'!$C$1:$H$6260,3,0),""))</f>
        <v>UN</v>
      </c>
      <c r="F1612" s="2230">
        <v>1</v>
      </c>
      <c r="G1612" s="2232">
        <v>273.88</v>
      </c>
      <c r="H1612" s="2302">
        <f t="shared" si="317"/>
        <v>273.88</v>
      </c>
      <c r="I1612" s="2287"/>
      <c r="J1612" s="2231"/>
      <c r="K1612" s="2412"/>
      <c r="L1612" s="2536"/>
      <c r="M1612" s="2232"/>
      <c r="N1612" s="2239"/>
      <c r="O1612" s="2498">
        <f t="shared" si="318"/>
        <v>273.88</v>
      </c>
      <c r="P1612" s="2295">
        <f t="shared" si="314"/>
        <v>1</v>
      </c>
    </row>
    <row r="1613" spans="1:16" ht="30">
      <c r="A1613" s="2272" t="s">
        <v>14251</v>
      </c>
      <c r="B1613" s="2228" t="str">
        <f>VLOOKUP($A1613,'15 - QT_BCE'!$A:$F,2,0)</f>
        <v>CP-ELE-102</v>
      </c>
      <c r="C1613" s="2228" t="str">
        <f>VLOOKUP($A1613,'15 - QT_BCE'!$A:$F,3,0)</f>
        <v>PRÓPRIA</v>
      </c>
      <c r="D1613" s="2375" t="s">
        <v>15158</v>
      </c>
      <c r="E1613" s="2243" t="str">
        <f>IFERROR(VLOOKUP($B1613,'24.08_ND'!$1:$1048529,3,0),IFERROR(VLOOKUP($B1613,'03-CP'!$C$1:$H$6260,3,0),""))</f>
        <v>UN</v>
      </c>
      <c r="F1613" s="2230">
        <v>2</v>
      </c>
      <c r="G1613" s="2232">
        <v>191.62</v>
      </c>
      <c r="H1613" s="2302">
        <f t="shared" si="317"/>
        <v>383.24</v>
      </c>
      <c r="I1613" s="2287"/>
      <c r="J1613" s="2231"/>
      <c r="K1613" s="2412"/>
      <c r="L1613" s="2536"/>
      <c r="M1613" s="2232"/>
      <c r="N1613" s="2239"/>
      <c r="O1613" s="2498">
        <f t="shared" si="318"/>
        <v>383.24</v>
      </c>
      <c r="P1613" s="2295">
        <f t="shared" si="314"/>
        <v>1</v>
      </c>
    </row>
    <row r="1614" spans="1:16" ht="30">
      <c r="A1614" s="2272" t="s">
        <v>14252</v>
      </c>
      <c r="B1614" s="2228" t="str">
        <f>VLOOKUP($A1614,'15 - QT_BCE'!$A:$F,2,0)</f>
        <v>CP-ELE-118</v>
      </c>
      <c r="C1614" s="2228" t="str">
        <f>VLOOKUP($A1614,'15 - QT_BCE'!$A:$F,3,0)</f>
        <v>PRÓPRIA</v>
      </c>
      <c r="D1614" s="2375" t="s">
        <v>15273</v>
      </c>
      <c r="E1614" s="2243" t="str">
        <f>IFERROR(VLOOKUP($B1614,'24.08_ND'!$1:$1048529,3,0),IFERROR(VLOOKUP($B1614,'03-CP'!$C$1:$H$6260,3,0),""))</f>
        <v>UN</v>
      </c>
      <c r="F1614" s="2230">
        <v>2</v>
      </c>
      <c r="G1614" s="2232">
        <v>102.93</v>
      </c>
      <c r="H1614" s="2302">
        <f t="shared" si="317"/>
        <v>205.86</v>
      </c>
      <c r="I1614" s="2287"/>
      <c r="J1614" s="2231"/>
      <c r="K1614" s="2412"/>
      <c r="L1614" s="2536"/>
      <c r="M1614" s="2232"/>
      <c r="N1614" s="2239"/>
      <c r="O1614" s="2498">
        <f t="shared" si="318"/>
        <v>205.86</v>
      </c>
      <c r="P1614" s="2295">
        <f t="shared" si="314"/>
        <v>1</v>
      </c>
    </row>
    <row r="1615" spans="1:16" ht="30">
      <c r="A1615" s="2272" t="s">
        <v>14253</v>
      </c>
      <c r="B1615" s="2228" t="str">
        <f>VLOOKUP($A1615,'15 - QT_BCE'!$A:$F,2,0)</f>
        <v>CP-ELE-120</v>
      </c>
      <c r="C1615" s="2228" t="str">
        <f>VLOOKUP($A1615,'15 - QT_BCE'!$A:$F,3,0)</f>
        <v>PRÓPRIA</v>
      </c>
      <c r="D1615" s="2375" t="s">
        <v>15302</v>
      </c>
      <c r="E1615" s="2243" t="str">
        <f>IFERROR(VLOOKUP($B1615,'24.08_ND'!$1:$1048529,3,0),IFERROR(VLOOKUP($B1615,'03-CP'!$C$1:$H$6260,3,0),""))</f>
        <v>UN</v>
      </c>
      <c r="F1615" s="2230">
        <v>200</v>
      </c>
      <c r="G1615" s="2232">
        <v>2.16</v>
      </c>
      <c r="H1615" s="2302">
        <f t="shared" si="317"/>
        <v>432</v>
      </c>
      <c r="I1615" s="2287"/>
      <c r="J1615" s="2231"/>
      <c r="K1615" s="2412"/>
      <c r="L1615" s="2536"/>
      <c r="M1615" s="2232"/>
      <c r="N1615" s="2239"/>
      <c r="O1615" s="2498">
        <f t="shared" si="318"/>
        <v>432</v>
      </c>
      <c r="P1615" s="2295">
        <f t="shared" si="314"/>
        <v>1</v>
      </c>
    </row>
    <row r="1616" spans="1:16" ht="30">
      <c r="A1616" s="2272" t="s">
        <v>14254</v>
      </c>
      <c r="B1616" s="2228" t="str">
        <f>VLOOKUP($A1616,'15 - QT_BCE'!$A:$F,2,0)</f>
        <v>CP-ELE-121</v>
      </c>
      <c r="C1616" s="2228" t="str">
        <f>VLOOKUP($A1616,'15 - QT_BCE'!$A:$F,3,0)</f>
        <v>PRÓPRIA</v>
      </c>
      <c r="D1616" s="2375" t="s">
        <v>15306</v>
      </c>
      <c r="E1616" s="2243" t="str">
        <f>IFERROR(VLOOKUP($B1616,'24.08_ND'!$1:$1048529,3,0),IFERROR(VLOOKUP($B1616,'03-CP'!$C$1:$H$6260,3,0),""))</f>
        <v>UN</v>
      </c>
      <c r="F1616" s="2230">
        <v>2</v>
      </c>
      <c r="G1616" s="2232">
        <v>2.7</v>
      </c>
      <c r="H1616" s="2302">
        <f t="shared" si="317"/>
        <v>5.4</v>
      </c>
      <c r="I1616" s="2287"/>
      <c r="J1616" s="2231"/>
      <c r="K1616" s="2412"/>
      <c r="L1616" s="2536"/>
      <c r="M1616" s="2232"/>
      <c r="N1616" s="2239"/>
      <c r="O1616" s="2498">
        <f t="shared" si="318"/>
        <v>5.4</v>
      </c>
      <c r="P1616" s="2295">
        <f t="shared" si="314"/>
        <v>1</v>
      </c>
    </row>
    <row r="1617" spans="1:16" ht="30">
      <c r="A1617" s="2272" t="s">
        <v>14255</v>
      </c>
      <c r="B1617" s="2228" t="str">
        <f>VLOOKUP($A1617,'15 - QT_BCE'!$A:$F,2,0)</f>
        <v>CP-ELE-125</v>
      </c>
      <c r="C1617" s="2228" t="str">
        <f>VLOOKUP($A1617,'15 - QT_BCE'!$A:$F,3,0)</f>
        <v>PRÓPRIA</v>
      </c>
      <c r="D1617" s="2375" t="s">
        <v>15306</v>
      </c>
      <c r="E1617" s="2243" t="str">
        <f>IFERROR(VLOOKUP($B1617,'24.08_ND'!$1:$1048529,3,0),IFERROR(VLOOKUP($B1617,'03-CP'!$C$1:$H$6260,3,0),""))</f>
        <v>UN</v>
      </c>
      <c r="F1617" s="2230">
        <v>6</v>
      </c>
      <c r="G1617" s="2232">
        <v>10.57</v>
      </c>
      <c r="H1617" s="2302">
        <f t="shared" si="317"/>
        <v>63.42</v>
      </c>
      <c r="I1617" s="2287"/>
      <c r="J1617" s="2231"/>
      <c r="K1617" s="2412"/>
      <c r="L1617" s="2536"/>
      <c r="M1617" s="2232"/>
      <c r="N1617" s="2239"/>
      <c r="O1617" s="2498">
        <f t="shared" si="318"/>
        <v>63.42</v>
      </c>
      <c r="P1617" s="2295">
        <f t="shared" si="314"/>
        <v>1</v>
      </c>
    </row>
    <row r="1618" spans="1:16" ht="30">
      <c r="A1618" s="2272" t="s">
        <v>14256</v>
      </c>
      <c r="B1618" s="2228" t="str">
        <f>VLOOKUP($A1618,'15 - QT_BCE'!$A:$F,2,0)</f>
        <v>CP-ELE-122</v>
      </c>
      <c r="C1618" s="2228" t="str">
        <f>VLOOKUP($A1618,'15 - QT_BCE'!$A:$F,3,0)</f>
        <v>PRÓPRIA</v>
      </c>
      <c r="D1618" s="2375" t="s">
        <v>15310</v>
      </c>
      <c r="E1618" s="2243" t="str">
        <f>IFERROR(VLOOKUP($B1618,'24.08_ND'!$1:$1048529,3,0),IFERROR(VLOOKUP($B1618,'03-CP'!$C$1:$H$6260,3,0),""))</f>
        <v>UN</v>
      </c>
      <c r="F1618" s="2230">
        <v>100</v>
      </c>
      <c r="G1618" s="2232">
        <v>1.93</v>
      </c>
      <c r="H1618" s="2302">
        <f t="shared" si="317"/>
        <v>193</v>
      </c>
      <c r="I1618" s="2287"/>
      <c r="J1618" s="2231"/>
      <c r="K1618" s="2412"/>
      <c r="L1618" s="2536"/>
      <c r="M1618" s="2232"/>
      <c r="N1618" s="2239"/>
      <c r="O1618" s="2498">
        <f t="shared" si="318"/>
        <v>193</v>
      </c>
      <c r="P1618" s="2295">
        <f t="shared" si="314"/>
        <v>1</v>
      </c>
    </row>
    <row r="1619" spans="1:16">
      <c r="A1619" s="2343" t="s">
        <v>14257</v>
      </c>
      <c r="B1619" s="2397"/>
      <c r="C1619" s="2401"/>
      <c r="D1619" s="2380" t="s">
        <v>16339</v>
      </c>
      <c r="E1619" s="2368"/>
      <c r="F1619" s="2369"/>
      <c r="G1619" s="2370"/>
      <c r="H1619" s="2361">
        <f>SUBTOTAL(9,H1620:H1628)</f>
        <v>42912.39</v>
      </c>
      <c r="I1619" s="2371"/>
      <c r="J1619" s="2372"/>
      <c r="K1619" s="2555"/>
      <c r="L1619" s="2539">
        <f>SUBTOTAL(9,L1620:L1628)</f>
        <v>0</v>
      </c>
      <c r="M1619" s="2361">
        <f>SUBTOTAL(9,M1620:M1628)</f>
        <v>0</v>
      </c>
      <c r="N1619" s="2361">
        <f>SUBTOTAL(9,N1620:N1628)</f>
        <v>0</v>
      </c>
      <c r="O1619" s="2361">
        <f>SUBTOTAL(9,O1620:O1628)</f>
        <v>42912.39</v>
      </c>
      <c r="P1619" s="2295">
        <f t="shared" si="314"/>
        <v>1</v>
      </c>
    </row>
    <row r="1620" spans="1:16" ht="30">
      <c r="A1620" s="2272" t="s">
        <v>14258</v>
      </c>
      <c r="B1620" s="2228" t="str">
        <f>VLOOKUP($A1620,'15 - QT_BCE'!$A:$F,2,0)</f>
        <v>CP-ILUM-39</v>
      </c>
      <c r="C1620" s="2228" t="str">
        <f>VLOOKUP($A1620,'15 - QT_BCE'!$A:$F,3,0)</f>
        <v>PRÓPRIA</v>
      </c>
      <c r="D1620" s="2375" t="s">
        <v>15278</v>
      </c>
      <c r="E1620" s="2243" t="str">
        <f>IFERROR(VLOOKUP($B1620,'24.08_ND'!$1:$1048529,3,0),IFERROR(VLOOKUP($B1620,'03-CP'!$C$1:$H$6260,3,0),""))</f>
        <v>UN</v>
      </c>
      <c r="F1620" s="2230">
        <v>18</v>
      </c>
      <c r="G1620" s="2232">
        <v>280.11</v>
      </c>
      <c r="H1620" s="2302">
        <f t="shared" ref="H1620:H1628" si="319">TRUNC((G1620*F1620),2)</f>
        <v>5041.9799999999996</v>
      </c>
      <c r="I1620" s="2328"/>
      <c r="J1620" s="2237"/>
      <c r="K1620" s="2411"/>
      <c r="L1620" s="2533">
        <f>M1620+N1620</f>
        <v>0</v>
      </c>
      <c r="M1620" s="2238">
        <v>0</v>
      </c>
      <c r="N1620" s="2239">
        <f>TRUNC(H1620*K1620,2)</f>
        <v>0</v>
      </c>
      <c r="O1620" s="2498">
        <f t="shared" ref="O1620:O1628" si="320">H1620-L1620</f>
        <v>5041.9799999999996</v>
      </c>
      <c r="P1620" s="2295">
        <f t="shared" si="314"/>
        <v>1</v>
      </c>
    </row>
    <row r="1621" spans="1:16" ht="30">
      <c r="A1621" s="2272" t="s">
        <v>14259</v>
      </c>
      <c r="B1621" s="2228" t="str">
        <f>VLOOKUP($A1621,'15 - QT_BCE'!$A:$F,2,0)</f>
        <v>CP-ILUM-40</v>
      </c>
      <c r="C1621" s="2228" t="str">
        <f>VLOOKUP($A1621,'15 - QT_BCE'!$A:$F,3,0)</f>
        <v>PRÓPRIA</v>
      </c>
      <c r="D1621" s="2375" t="s">
        <v>15281</v>
      </c>
      <c r="E1621" s="2243" t="str">
        <f>IFERROR(VLOOKUP($B1621,'24.08_ND'!$1:$1048529,3,0),IFERROR(VLOOKUP($B1621,'03-CP'!$C$1:$H$6260,3,0),""))</f>
        <v>UN</v>
      </c>
      <c r="F1621" s="2230">
        <v>1</v>
      </c>
      <c r="G1621" s="2232">
        <v>83.7</v>
      </c>
      <c r="H1621" s="2302">
        <f t="shared" si="319"/>
        <v>83.7</v>
      </c>
      <c r="I1621" s="2287"/>
      <c r="J1621" s="2231"/>
      <c r="K1621" s="2412"/>
      <c r="L1621" s="2536"/>
      <c r="M1621" s="2232"/>
      <c r="N1621" s="2239"/>
      <c r="O1621" s="2498">
        <f t="shared" si="320"/>
        <v>83.7</v>
      </c>
      <c r="P1621" s="2295">
        <f t="shared" si="314"/>
        <v>1</v>
      </c>
    </row>
    <row r="1622" spans="1:16" ht="30">
      <c r="A1622" s="2272" t="s">
        <v>14260</v>
      </c>
      <c r="B1622" s="2228" t="str">
        <f>VLOOKUP($A1622,'15 - QT_BCE'!$A:$F,2,0)</f>
        <v>CP-ILUM-41</v>
      </c>
      <c r="C1622" s="2228" t="str">
        <f>VLOOKUP($A1622,'15 - QT_BCE'!$A:$F,3,0)</f>
        <v>PRÓPRIA</v>
      </c>
      <c r="D1622" s="2375" t="s">
        <v>15283</v>
      </c>
      <c r="E1622" s="2243" t="str">
        <f>IFERROR(VLOOKUP($B1622,'24.08_ND'!$1:$1048529,3,0),IFERROR(VLOOKUP($B1622,'03-CP'!$C$1:$H$6260,3,0),""))</f>
        <v>UN</v>
      </c>
      <c r="F1622" s="2230">
        <v>26</v>
      </c>
      <c r="G1622" s="2232">
        <v>164.4</v>
      </c>
      <c r="H1622" s="2302">
        <f t="shared" si="319"/>
        <v>4274.3999999999996</v>
      </c>
      <c r="I1622" s="2287"/>
      <c r="J1622" s="2231"/>
      <c r="K1622" s="2412"/>
      <c r="L1622" s="2536"/>
      <c r="M1622" s="2232"/>
      <c r="N1622" s="2239"/>
      <c r="O1622" s="2498">
        <f t="shared" si="320"/>
        <v>4274.3999999999996</v>
      </c>
      <c r="P1622" s="2295">
        <f t="shared" si="314"/>
        <v>1</v>
      </c>
    </row>
    <row r="1623" spans="1:16" ht="30">
      <c r="A1623" s="2272" t="s">
        <v>14261</v>
      </c>
      <c r="B1623" s="2228" t="str">
        <f>VLOOKUP($A1623,'15 - QT_BCE'!$A:$F,2,0)</f>
        <v>CP-ILUM-42</v>
      </c>
      <c r="C1623" s="2228" t="str">
        <f>VLOOKUP($A1623,'15 - QT_BCE'!$A:$F,3,0)</f>
        <v>PRÓPRIA</v>
      </c>
      <c r="D1623" s="2375" t="s">
        <v>15287</v>
      </c>
      <c r="E1623" s="2243" t="str">
        <f>IFERROR(VLOOKUP($B1623,'24.08_ND'!$1:$1048529,3,0),IFERROR(VLOOKUP($B1623,'03-CP'!$C$1:$H$6260,3,0),""))</f>
        <v>UN</v>
      </c>
      <c r="F1623" s="2230">
        <v>46</v>
      </c>
      <c r="G1623" s="2232">
        <v>79.319999999999993</v>
      </c>
      <c r="H1623" s="2302">
        <f t="shared" si="319"/>
        <v>3648.72</v>
      </c>
      <c r="I1623" s="2287"/>
      <c r="J1623" s="2231"/>
      <c r="K1623" s="2412"/>
      <c r="L1623" s="2536"/>
      <c r="M1623" s="2232"/>
      <c r="N1623" s="2239"/>
      <c r="O1623" s="2498">
        <f t="shared" si="320"/>
        <v>3648.72</v>
      </c>
      <c r="P1623" s="2295">
        <f t="shared" si="314"/>
        <v>1</v>
      </c>
    </row>
    <row r="1624" spans="1:16">
      <c r="A1624" s="2272" t="s">
        <v>14262</v>
      </c>
      <c r="B1624" s="2228" t="str">
        <f>VLOOKUP($A1624,'15 - QT_BCE'!$A:$F,2,0)</f>
        <v>CP-ILUM-43</v>
      </c>
      <c r="C1624" s="2228" t="str">
        <f>VLOOKUP($A1624,'15 - QT_BCE'!$A:$F,3,0)</f>
        <v>PRÓPRIA</v>
      </c>
      <c r="D1624" s="2375" t="s">
        <v>15290</v>
      </c>
      <c r="E1624" s="2243" t="str">
        <f>IFERROR(VLOOKUP($B1624,'24.08_ND'!$1:$1048529,3,0),IFERROR(VLOOKUP($B1624,'03-CP'!$C$1:$H$6260,3,0),""))</f>
        <v>M</v>
      </c>
      <c r="F1624" s="2230">
        <v>125.52</v>
      </c>
      <c r="G1624" s="2232">
        <v>98.25</v>
      </c>
      <c r="H1624" s="2302">
        <f t="shared" si="319"/>
        <v>12332.34</v>
      </c>
      <c r="I1624" s="2287"/>
      <c r="J1624" s="2231"/>
      <c r="K1624" s="2412"/>
      <c r="L1624" s="2536"/>
      <c r="M1624" s="2232"/>
      <c r="N1624" s="2239"/>
      <c r="O1624" s="2498">
        <f t="shared" si="320"/>
        <v>12332.34</v>
      </c>
      <c r="P1624" s="2295">
        <f t="shared" si="314"/>
        <v>1</v>
      </c>
    </row>
    <row r="1625" spans="1:16">
      <c r="A1625" s="2272" t="s">
        <v>14263</v>
      </c>
      <c r="B1625" s="2228" t="str">
        <f>VLOOKUP($A1625,'15 - QT_BCE'!$A:$F,2,0)</f>
        <v>CP-ILUM-44</v>
      </c>
      <c r="C1625" s="2228" t="str">
        <f>VLOOKUP($A1625,'15 - QT_BCE'!$A:$F,3,0)</f>
        <v>PRÓPRIA</v>
      </c>
      <c r="D1625" s="2375" t="s">
        <v>15293</v>
      </c>
      <c r="E1625" s="2243" t="str">
        <f>IFERROR(VLOOKUP($B1625,'24.08_ND'!$1:$1048529,3,0),IFERROR(VLOOKUP($B1625,'03-CP'!$C$1:$H$6260,3,0),""))</f>
        <v>M</v>
      </c>
      <c r="F1625" s="2230">
        <v>60.68</v>
      </c>
      <c r="G1625" s="2232">
        <v>74.7</v>
      </c>
      <c r="H1625" s="2302">
        <f t="shared" si="319"/>
        <v>4532.79</v>
      </c>
      <c r="I1625" s="2287"/>
      <c r="J1625" s="2231"/>
      <c r="K1625" s="2412"/>
      <c r="L1625" s="2536"/>
      <c r="M1625" s="2232"/>
      <c r="N1625" s="2239"/>
      <c r="O1625" s="2498">
        <f t="shared" si="320"/>
        <v>4532.79</v>
      </c>
      <c r="P1625" s="2295">
        <f t="shared" si="314"/>
        <v>1</v>
      </c>
    </row>
    <row r="1626" spans="1:16">
      <c r="A1626" s="2272" t="s">
        <v>14264</v>
      </c>
      <c r="B1626" s="2228" t="str">
        <f>VLOOKUP($A1626,'15 - QT_BCE'!$A:$F,2,0)</f>
        <v>CP-ILUM-48</v>
      </c>
      <c r="C1626" s="2228" t="str">
        <f>VLOOKUP($A1626,'15 - QT_BCE'!$A:$F,3,0)</f>
        <v>PRÓPRIA</v>
      </c>
      <c r="D1626" s="2375" t="s">
        <v>15333</v>
      </c>
      <c r="E1626" s="2243" t="str">
        <f>IFERROR(VLOOKUP($B1626,'24.08_ND'!$1:$1048529,3,0),IFERROR(VLOOKUP($B1626,'03-CP'!$C$1:$H$6260,3,0),""))</f>
        <v>UN</v>
      </c>
      <c r="F1626" s="2230">
        <v>14</v>
      </c>
      <c r="G1626" s="2232">
        <v>788.43</v>
      </c>
      <c r="H1626" s="2302">
        <f t="shared" si="319"/>
        <v>11038.02</v>
      </c>
      <c r="I1626" s="2287"/>
      <c r="J1626" s="2231"/>
      <c r="K1626" s="2412"/>
      <c r="L1626" s="2536"/>
      <c r="M1626" s="2232"/>
      <c r="N1626" s="2239"/>
      <c r="O1626" s="2498">
        <f t="shared" si="320"/>
        <v>11038.02</v>
      </c>
      <c r="P1626" s="2295">
        <f t="shared" si="314"/>
        <v>1</v>
      </c>
    </row>
    <row r="1627" spans="1:16">
      <c r="A1627" s="2272" t="s">
        <v>14265</v>
      </c>
      <c r="B1627" s="2228" t="str">
        <f>VLOOKUP($A1627,'15 - QT_BCE'!$A:$F,2,0)</f>
        <v>CP-ILUM-46</v>
      </c>
      <c r="C1627" s="2228" t="str">
        <f>VLOOKUP($A1627,'15 - QT_BCE'!$A:$F,3,0)</f>
        <v>PRÓPRIA</v>
      </c>
      <c r="D1627" s="2375" t="s">
        <v>15299</v>
      </c>
      <c r="E1627" s="2243" t="str">
        <f>IFERROR(VLOOKUP($B1627,'24.08_ND'!$1:$1048529,3,0),IFERROR(VLOOKUP($B1627,'03-CP'!$C$1:$H$6260,3,0),""))</f>
        <v>UN</v>
      </c>
      <c r="F1627" s="2230">
        <v>2</v>
      </c>
      <c r="G1627" s="2232">
        <v>311.88</v>
      </c>
      <c r="H1627" s="2302">
        <f t="shared" si="319"/>
        <v>623.76</v>
      </c>
      <c r="I1627" s="2287"/>
      <c r="J1627" s="2231"/>
      <c r="K1627" s="2412"/>
      <c r="L1627" s="2536"/>
      <c r="M1627" s="2232"/>
      <c r="N1627" s="2239"/>
      <c r="O1627" s="2498">
        <f t="shared" si="320"/>
        <v>623.76</v>
      </c>
      <c r="P1627" s="2295">
        <f t="shared" si="314"/>
        <v>1</v>
      </c>
    </row>
    <row r="1628" spans="1:16">
      <c r="A1628" s="2272" t="s">
        <v>14266</v>
      </c>
      <c r="B1628" s="2228" t="str">
        <f>VLOOKUP($A1628,'15 - QT_BCE'!$A:$F,2,0)</f>
        <v>CP-ILUM-45</v>
      </c>
      <c r="C1628" s="2228" t="str">
        <f>VLOOKUP($A1628,'15 - QT_BCE'!$A:$F,3,0)</f>
        <v>PRÓPRIA</v>
      </c>
      <c r="D1628" s="2375" t="s">
        <v>15296</v>
      </c>
      <c r="E1628" s="2243" t="str">
        <f>IFERROR(VLOOKUP($B1628,'24.08_ND'!$1:$1048529,3,0),IFERROR(VLOOKUP($B1628,'03-CP'!$C$1:$H$6260,3,0),""))</f>
        <v>UN</v>
      </c>
      <c r="F1628" s="2230">
        <v>6</v>
      </c>
      <c r="G1628" s="2232">
        <v>222.78</v>
      </c>
      <c r="H1628" s="2302">
        <f t="shared" si="319"/>
        <v>1336.68</v>
      </c>
      <c r="I1628" s="2287"/>
      <c r="J1628" s="2231"/>
      <c r="K1628" s="2412"/>
      <c r="L1628" s="2536"/>
      <c r="M1628" s="2232"/>
      <c r="N1628" s="2239"/>
      <c r="O1628" s="2498">
        <f t="shared" si="320"/>
        <v>1336.68</v>
      </c>
      <c r="P1628" s="2295">
        <f t="shared" si="314"/>
        <v>1</v>
      </c>
    </row>
    <row r="1629" spans="1:16">
      <c r="A1629" s="2513" t="s">
        <v>12652</v>
      </c>
      <c r="B1629" s="2514"/>
      <c r="C1629" s="2515"/>
      <c r="D1629" s="2516" t="s">
        <v>16345</v>
      </c>
      <c r="E1629" s="2517"/>
      <c r="F1629" s="2518"/>
      <c r="G1629" s="2519"/>
      <c r="H1629" s="2520">
        <f>SUBTOTAL(9,H1630:H1631)</f>
        <v>158.88</v>
      </c>
      <c r="I1629" s="2521"/>
      <c r="J1629" s="2522"/>
      <c r="K1629" s="2554"/>
      <c r="L1629" s="2541">
        <f>SUBTOTAL(9,L1630:L1631)</f>
        <v>0</v>
      </c>
      <c r="M1629" s="2520">
        <f>SUBTOTAL(9,M1630:M1631)</f>
        <v>0</v>
      </c>
      <c r="N1629" s="2520">
        <f>SUBTOTAL(9,N1630:N1631)</f>
        <v>0</v>
      </c>
      <c r="O1629" s="2520">
        <f>SUBTOTAL(9,O1630:O1631)</f>
        <v>158.88</v>
      </c>
      <c r="P1629" s="2295">
        <f t="shared" si="314"/>
        <v>1</v>
      </c>
    </row>
    <row r="1630" spans="1:16" ht="30">
      <c r="A1630" s="2272" t="s">
        <v>14267</v>
      </c>
      <c r="B1630" s="2228">
        <f>VLOOKUP($A1630,'15 - QT_BCE'!$A:$F,2,0)</f>
        <v>97599</v>
      </c>
      <c r="C1630" s="2228" t="str">
        <f>VLOOKUP($A1630,'15 - QT_BCE'!$A:$F,3,0)</f>
        <v>SINAPI</v>
      </c>
      <c r="D1630" s="2375" t="s">
        <v>8100</v>
      </c>
      <c r="E1630" s="2243" t="str">
        <f>IFERROR(VLOOKUP($B1630,'24.08_ND'!$1:$1048529,3,0),IFERROR(VLOOKUP($B1630,'03-CP'!$C$1:$H$6260,3,0),""))</f>
        <v>UN</v>
      </c>
      <c r="F1630" s="2230">
        <v>6</v>
      </c>
      <c r="G1630" s="2232">
        <v>18.71</v>
      </c>
      <c r="H1630" s="2302">
        <f>TRUNC((G1630*F1630),2)</f>
        <v>112.26</v>
      </c>
      <c r="I1630" s="2328"/>
      <c r="J1630" s="2237"/>
      <c r="K1630" s="2411"/>
      <c r="L1630" s="2533">
        <f>M1630+N1630</f>
        <v>0</v>
      </c>
      <c r="M1630" s="2238">
        <v>0</v>
      </c>
      <c r="N1630" s="2239">
        <f>TRUNC(H1630*K1630,2)</f>
        <v>0</v>
      </c>
      <c r="O1630" s="2498">
        <f>H1630-L1630</f>
        <v>112.26</v>
      </c>
      <c r="P1630" s="2295">
        <f t="shared" si="314"/>
        <v>1</v>
      </c>
    </row>
    <row r="1631" spans="1:16" ht="45">
      <c r="A1631" s="2272" t="s">
        <v>14268</v>
      </c>
      <c r="B1631" s="2228" t="str">
        <f>VLOOKUP($A1631,'15 - QT_BCE'!$A:$F,2,0)</f>
        <v>CP-INC-01</v>
      </c>
      <c r="C1631" s="2228" t="str">
        <f>VLOOKUP($A1631,'15 - QT_BCE'!$A:$F,3,0)</f>
        <v>PRÓPRIA</v>
      </c>
      <c r="D1631" s="2375" t="s">
        <v>15360</v>
      </c>
      <c r="E1631" s="2243" t="str">
        <f>IFERROR(VLOOKUP($B1631,'24.08_ND'!$1:$1048529,3,0),IFERROR(VLOOKUP($B1631,'03-CP'!$C$1:$H$6260,3,0),""))</f>
        <v>UN</v>
      </c>
      <c r="F1631" s="2230">
        <v>2</v>
      </c>
      <c r="G1631" s="2232">
        <v>23.31</v>
      </c>
      <c r="H1631" s="2302">
        <f>TRUNC((G1631*F1631),2)</f>
        <v>46.62</v>
      </c>
      <c r="I1631" s="2287"/>
      <c r="J1631" s="2231"/>
      <c r="K1631" s="2412"/>
      <c r="L1631" s="2536"/>
      <c r="M1631" s="2232"/>
      <c r="N1631" s="2239"/>
      <c r="O1631" s="2498">
        <f>H1631-L1631</f>
        <v>46.62</v>
      </c>
      <c r="P1631" s="2295">
        <f t="shared" si="314"/>
        <v>1</v>
      </c>
    </row>
    <row r="1632" spans="1:16">
      <c r="A1632" s="2265"/>
      <c r="B1632" s="2255"/>
      <c r="C1632" s="2255"/>
      <c r="D1632" s="2233"/>
      <c r="E1632" s="2243"/>
      <c r="F1632" s="2256"/>
      <c r="G1632" s="2232"/>
      <c r="H1632" s="2490"/>
      <c r="I1632" s="2287"/>
      <c r="J1632" s="2231"/>
      <c r="K1632" s="2412"/>
      <c r="L1632" s="2536"/>
      <c r="M1632" s="2232"/>
      <c r="N1632" s="2239"/>
      <c r="O1632" s="2498"/>
      <c r="P1632" s="2295"/>
    </row>
    <row r="1633" spans="1:18">
      <c r="A1633" s="2907" t="s">
        <v>14269</v>
      </c>
      <c r="B1633" s="2908"/>
      <c r="C1633" s="2908"/>
      <c r="D1633" s="2908"/>
      <c r="E1633" s="2908"/>
      <c r="F1633" s="2908"/>
      <c r="G1633" s="2909"/>
      <c r="H1633" s="2510">
        <f>SUBTOTAL(9,H1634:H1833)</f>
        <v>253200.62000000002</v>
      </c>
      <c r="I1633" s="2511"/>
      <c r="J1633" s="2512"/>
      <c r="K1633" s="2553"/>
      <c r="L1633" s="2540">
        <f>SUBTOTAL(9,L1634:L1833)</f>
        <v>29260.990000000005</v>
      </c>
      <c r="M1633" s="2510">
        <f>SUBTOTAL(9,M1634:M1833)</f>
        <v>25249.32</v>
      </c>
      <c r="N1633" s="2510">
        <f>SUBTOTAL(9,N1634:N1833)</f>
        <v>4011.6699999999996</v>
      </c>
      <c r="O1633" s="2510">
        <f>SUBTOTAL(9,O1634:O1833)</f>
        <v>223939.63000000006</v>
      </c>
      <c r="P1633" s="2295">
        <f t="shared" si="314"/>
        <v>0.88443555154011877</v>
      </c>
    </row>
    <row r="1634" spans="1:18">
      <c r="A1634" s="2513" t="s">
        <v>12655</v>
      </c>
      <c r="B1634" s="2514"/>
      <c r="C1634" s="2515"/>
      <c r="D1634" s="2516" t="s">
        <v>16563</v>
      </c>
      <c r="E1634" s="2517"/>
      <c r="F1634" s="2518"/>
      <c r="G1634" s="2519"/>
      <c r="H1634" s="2520">
        <f>SUBTOTAL(9,H1635:H1653)</f>
        <v>27112.310000000005</v>
      </c>
      <c r="I1634" s="2521"/>
      <c r="J1634" s="2522"/>
      <c r="K1634" s="2554"/>
      <c r="L1634" s="2541">
        <f>SUBTOTAL(9,L1635:L1653)</f>
        <v>18418.879999999997</v>
      </c>
      <c r="M1634" s="2520">
        <f>SUBTOTAL(9,M1635:M1653)</f>
        <v>15553.48</v>
      </c>
      <c r="N1634" s="2520">
        <f>SUBTOTAL(9,N1635:N1653)</f>
        <v>2865.3999999999996</v>
      </c>
      <c r="O1634" s="2520">
        <f>SUBTOTAL(9,O1635:O1653)</f>
        <v>8693.43</v>
      </c>
      <c r="P1634" s="2295">
        <f t="shared" si="314"/>
        <v>0.32064512393079009</v>
      </c>
    </row>
    <row r="1635" spans="1:18">
      <c r="A1635" s="2523" t="s">
        <v>14270</v>
      </c>
      <c r="B1635" s="2397"/>
      <c r="C1635" s="2401"/>
      <c r="D1635" s="2380" t="s">
        <v>16312</v>
      </c>
      <c r="E1635" s="2368"/>
      <c r="F1635" s="2369"/>
      <c r="G1635" s="2370"/>
      <c r="H1635" s="2374">
        <f>SUBTOTAL(9,H1636:H1646)</f>
        <v>9942.42</v>
      </c>
      <c r="I1635" s="2371"/>
      <c r="J1635" s="2372" t="s">
        <v>16346</v>
      </c>
      <c r="K1635" s="2555" t="s">
        <v>16346</v>
      </c>
      <c r="L1635" s="2542">
        <f>SUBTOTAL(9,L1636:L1646)</f>
        <v>5772.8099999999995</v>
      </c>
      <c r="M1635" s="2374">
        <f>SUBTOTAL(9,M1636:M1646)</f>
        <v>2907.41</v>
      </c>
      <c r="N1635" s="2374">
        <f>SUBTOTAL(9,N1636:N1646)</f>
        <v>2865.3999999999996</v>
      </c>
      <c r="O1635" s="2374">
        <f>SUBTOTAL(9,O1636:O1646)</f>
        <v>4169.6099999999997</v>
      </c>
      <c r="P1635" s="2295">
        <f t="shared" si="314"/>
        <v>0.41937576565866252</v>
      </c>
      <c r="Q1635" s="2568"/>
    </row>
    <row r="1636" spans="1:18" ht="30">
      <c r="A1636" s="2272" t="s">
        <v>14271</v>
      </c>
      <c r="B1636" s="2228">
        <f>VLOOKUP($A1636,'16 - QT_ICONT'!$A:$F,2,0)</f>
        <v>105234</v>
      </c>
      <c r="C1636" s="2228" t="str">
        <f>VLOOKUP($A1636,'16 - QT_ICONT'!$A:$F,3,0)</f>
        <v>SINAPI</v>
      </c>
      <c r="D1636" s="2375" t="s">
        <v>10006</v>
      </c>
      <c r="E1636" s="2243" t="str">
        <f>IFERROR(VLOOKUP($B1636,'24.08_ND'!$1:$1048529,3,0),IFERROR(VLOOKUP($B1636,'03-CP'!$C$1:$H$6260,3,0),""))</f>
        <v>UN</v>
      </c>
      <c r="F1636" s="2230">
        <v>1</v>
      </c>
      <c r="G1636" s="2232">
        <v>10.15</v>
      </c>
      <c r="H1636" s="2302">
        <f t="shared" ref="H1636:H1646" si="321">TRUNC((G1636*F1636),2)</f>
        <v>10.15</v>
      </c>
      <c r="I1636" s="2328">
        <f>J1636+K1636</f>
        <v>0</v>
      </c>
      <c r="J1636" s="2314">
        <v>0</v>
      </c>
      <c r="K1636" s="2411">
        <v>0</v>
      </c>
      <c r="L1636" s="2533">
        <f>M1636+N1636</f>
        <v>0</v>
      </c>
      <c r="M1636" s="2238">
        <v>0</v>
      </c>
      <c r="N1636" s="2239">
        <f>TRUNC(H1636*K1636,2)</f>
        <v>0</v>
      </c>
      <c r="O1636" s="2498">
        <f>H1636-L1636</f>
        <v>10.15</v>
      </c>
      <c r="P1636" s="2295">
        <f t="shared" si="314"/>
        <v>1</v>
      </c>
    </row>
    <row r="1637" spans="1:18" ht="30">
      <c r="A1637" s="2272" t="s">
        <v>14272</v>
      </c>
      <c r="B1637" s="2228">
        <f>VLOOKUP($A1637,'16 - QT_ICONT'!$A:$F,2,0)</f>
        <v>103979</v>
      </c>
      <c r="C1637" s="2228" t="str">
        <f>VLOOKUP($A1637,'16 - QT_ICONT'!$A:$F,3,0)</f>
        <v>SINAPI</v>
      </c>
      <c r="D1637" s="2375" t="s">
        <v>8649</v>
      </c>
      <c r="E1637" s="2243" t="str">
        <f>IFERROR(VLOOKUP($B1637,'24.08_ND'!$1:$1048529,3,0),IFERROR(VLOOKUP($B1637,'03-CP'!$C$1:$H$6260,3,0),""))</f>
        <v>M</v>
      </c>
      <c r="F1637" s="2230">
        <v>3.2</v>
      </c>
      <c r="G1637" s="2232">
        <v>30.08</v>
      </c>
      <c r="H1637" s="2302">
        <f t="shared" si="321"/>
        <v>96.25</v>
      </c>
      <c r="I1637" s="2328">
        <f t="shared" ref="I1637:I1646" si="322">J1637+K1637</f>
        <v>0</v>
      </c>
      <c r="J1637" s="2314">
        <v>0</v>
      </c>
      <c r="K1637" s="2411">
        <v>0</v>
      </c>
      <c r="L1637" s="2533">
        <f t="shared" ref="L1637:L1646" si="323">M1637+N1637</f>
        <v>0</v>
      </c>
      <c r="M1637" s="2238">
        <v>0</v>
      </c>
      <c r="N1637" s="2239">
        <f t="shared" ref="N1637:N1646" si="324">TRUNC(H1637*K1637,2)</f>
        <v>0</v>
      </c>
      <c r="O1637" s="2498">
        <f>H1637-L1637</f>
        <v>96.25</v>
      </c>
      <c r="P1637" s="2295">
        <f t="shared" si="314"/>
        <v>1</v>
      </c>
    </row>
    <row r="1638" spans="1:18" ht="30">
      <c r="A1638" s="2272" t="s">
        <v>14273</v>
      </c>
      <c r="B1638" s="2228">
        <f>VLOOKUP($A1638,'16 - QT_ICONT'!$A:$F,2,0)</f>
        <v>89362</v>
      </c>
      <c r="C1638" s="2228" t="str">
        <f>VLOOKUP($A1638,'16 - QT_ICONT'!$A:$F,3,0)</f>
        <v>SINAPI</v>
      </c>
      <c r="D1638" s="2375" t="s">
        <v>8669</v>
      </c>
      <c r="E1638" s="2243" t="str">
        <f>IFERROR(VLOOKUP($B1638,'24.08_ND'!$1:$1048529,3,0),IFERROR(VLOOKUP($B1638,'03-CP'!$C$1:$H$6260,3,0),""))</f>
        <v>UN</v>
      </c>
      <c r="F1638" s="2230">
        <v>10</v>
      </c>
      <c r="G1638" s="2232">
        <v>10.220000000000001</v>
      </c>
      <c r="H1638" s="2302">
        <f t="shared" si="321"/>
        <v>102.2</v>
      </c>
      <c r="I1638" s="2328">
        <f t="shared" si="322"/>
        <v>0.5</v>
      </c>
      <c r="J1638" s="2314">
        <v>0</v>
      </c>
      <c r="K1638" s="2411">
        <v>0.5</v>
      </c>
      <c r="L1638" s="2533">
        <f t="shared" si="323"/>
        <v>51.1</v>
      </c>
      <c r="M1638" s="2238">
        <v>0</v>
      </c>
      <c r="N1638" s="2239">
        <f t="shared" si="324"/>
        <v>51.1</v>
      </c>
      <c r="O1638" s="2498">
        <f>H1638-L1638</f>
        <v>51.1</v>
      </c>
      <c r="P1638" s="2295">
        <f t="shared" si="314"/>
        <v>0.5</v>
      </c>
    </row>
    <row r="1639" spans="1:18" ht="45">
      <c r="A1639" s="2272" t="s">
        <v>14274</v>
      </c>
      <c r="B1639" s="2228">
        <f>VLOOKUP($A1639,'16 - QT_ICONT'!$A:$F,2,0)</f>
        <v>90373</v>
      </c>
      <c r="C1639" s="2228" t="str">
        <f>VLOOKUP($A1639,'16 - QT_ICONT'!$A:$F,3,0)</f>
        <v>SINAPI</v>
      </c>
      <c r="D1639" s="2375" t="s">
        <v>9065</v>
      </c>
      <c r="E1639" s="2243" t="str">
        <f>IFERROR(VLOOKUP($B1639,'24.08_ND'!$1:$1048529,3,0),IFERROR(VLOOKUP($B1639,'03-CP'!$C$1:$H$6260,3,0),""))</f>
        <v>UN</v>
      </c>
      <c r="F1639" s="2230">
        <v>6</v>
      </c>
      <c r="G1639" s="2232">
        <v>13.46</v>
      </c>
      <c r="H1639" s="2302">
        <f t="shared" si="321"/>
        <v>80.760000000000005</v>
      </c>
      <c r="I1639" s="2328">
        <f t="shared" si="322"/>
        <v>0</v>
      </c>
      <c r="J1639" s="2314">
        <v>0</v>
      </c>
      <c r="K1639" s="2411">
        <v>0</v>
      </c>
      <c r="L1639" s="2533">
        <f t="shared" si="323"/>
        <v>0</v>
      </c>
      <c r="M1639" s="2238">
        <v>0</v>
      </c>
      <c r="N1639" s="2239">
        <f t="shared" si="324"/>
        <v>0</v>
      </c>
      <c r="O1639" s="2498">
        <f t="shared" ref="O1639:O1646" si="325">H1639-L1639</f>
        <v>80.760000000000005</v>
      </c>
      <c r="P1639" s="2295">
        <f t="shared" si="314"/>
        <v>1</v>
      </c>
    </row>
    <row r="1640" spans="1:18" ht="30">
      <c r="A1640" s="2272" t="s">
        <v>14275</v>
      </c>
      <c r="B1640" s="2228">
        <f>VLOOKUP($A1640,'16 - QT_ICONT'!$A:$F,2,0)</f>
        <v>89363</v>
      </c>
      <c r="C1640" s="2228" t="str">
        <f>VLOOKUP($A1640,'16 - QT_ICONT'!$A:$F,3,0)</f>
        <v>SINAPI</v>
      </c>
      <c r="D1640" s="2375" t="s">
        <v>8670</v>
      </c>
      <c r="E1640" s="2243" t="str">
        <f>IFERROR(VLOOKUP($B1640,'24.08_ND'!$1:$1048529,3,0),IFERROR(VLOOKUP($B1640,'03-CP'!$C$1:$H$6260,3,0),""))</f>
        <v>UN</v>
      </c>
      <c r="F1640" s="2230">
        <v>1</v>
      </c>
      <c r="G1640" s="2232">
        <v>11</v>
      </c>
      <c r="H1640" s="2302">
        <f t="shared" si="321"/>
        <v>11</v>
      </c>
      <c r="I1640" s="2328">
        <f t="shared" si="322"/>
        <v>0.5</v>
      </c>
      <c r="J1640" s="2314">
        <v>0</v>
      </c>
      <c r="K1640" s="2411">
        <v>0.5</v>
      </c>
      <c r="L1640" s="2533">
        <f t="shared" si="323"/>
        <v>5.5</v>
      </c>
      <c r="M1640" s="2238">
        <v>0</v>
      </c>
      <c r="N1640" s="2239">
        <f t="shared" si="324"/>
        <v>5.5</v>
      </c>
      <c r="O1640" s="2498">
        <f t="shared" si="325"/>
        <v>5.5</v>
      </c>
      <c r="P1640" s="2295">
        <f t="shared" si="314"/>
        <v>0.5</v>
      </c>
    </row>
    <row r="1641" spans="1:18" ht="30">
      <c r="A1641" s="2272" t="s">
        <v>14276</v>
      </c>
      <c r="B1641" s="2228">
        <f>VLOOKUP($A1641,'16 - QT_ICONT'!$A:$F,2,0)</f>
        <v>89402</v>
      </c>
      <c r="C1641" s="2228" t="str">
        <f>VLOOKUP($A1641,'16 - QT_ICONT'!$A:$F,3,0)</f>
        <v>SINAPI</v>
      </c>
      <c r="D1641" s="2375" t="s">
        <v>8422</v>
      </c>
      <c r="E1641" s="2243" t="str">
        <f>IFERROR(VLOOKUP($B1641,'24.08_ND'!$1:$1048529,3,0),IFERROR(VLOOKUP($B1641,'03-CP'!$C$1:$H$6260,3,0),""))</f>
        <v>M</v>
      </c>
      <c r="F1641" s="2230">
        <v>135</v>
      </c>
      <c r="G1641" s="2232">
        <v>12.75</v>
      </c>
      <c r="H1641" s="2302">
        <f t="shared" si="321"/>
        <v>1721.25</v>
      </c>
      <c r="I1641" s="2328">
        <f t="shared" si="322"/>
        <v>0.5</v>
      </c>
      <c r="J1641" s="2314">
        <v>0</v>
      </c>
      <c r="K1641" s="2411">
        <v>0.5</v>
      </c>
      <c r="L1641" s="2533">
        <f t="shared" si="323"/>
        <v>860.62</v>
      </c>
      <c r="M1641" s="2238">
        <v>0</v>
      </c>
      <c r="N1641" s="2239">
        <f t="shared" si="324"/>
        <v>860.62</v>
      </c>
      <c r="O1641" s="2498">
        <f t="shared" si="325"/>
        <v>860.63</v>
      </c>
      <c r="P1641" s="2295">
        <f t="shared" si="314"/>
        <v>0.50000290486564991</v>
      </c>
    </row>
    <row r="1642" spans="1:18" ht="30">
      <c r="A1642" s="2272" t="s">
        <v>14277</v>
      </c>
      <c r="B1642" s="2228">
        <f>VLOOKUP($A1642,'16 - QT_ICONT'!$A:$F,2,0)</f>
        <v>89395</v>
      </c>
      <c r="C1642" s="2228" t="str">
        <f>VLOOKUP($A1642,'16 - QT_ICONT'!$A:$F,3,0)</f>
        <v>SINAPI</v>
      </c>
      <c r="D1642" s="2375" t="s">
        <v>8701</v>
      </c>
      <c r="E1642" s="2243" t="str">
        <f>IFERROR(VLOOKUP($B1642,'24.08_ND'!$1:$1048529,3,0),IFERROR(VLOOKUP($B1642,'03-CP'!$C$1:$H$6260,3,0),""))</f>
        <v>UN</v>
      </c>
      <c r="F1642" s="2230">
        <v>5</v>
      </c>
      <c r="G1642" s="2232">
        <v>14.12</v>
      </c>
      <c r="H1642" s="2302">
        <f t="shared" si="321"/>
        <v>70.599999999999994</v>
      </c>
      <c r="I1642" s="2328">
        <f t="shared" si="322"/>
        <v>0.5</v>
      </c>
      <c r="J1642" s="2314">
        <v>0</v>
      </c>
      <c r="K1642" s="2411">
        <v>0.5</v>
      </c>
      <c r="L1642" s="2533">
        <f t="shared" si="323"/>
        <v>35.299999999999997</v>
      </c>
      <c r="M1642" s="2238">
        <v>0</v>
      </c>
      <c r="N1642" s="2239">
        <f t="shared" si="324"/>
        <v>35.299999999999997</v>
      </c>
      <c r="O1642" s="2498">
        <f t="shared" si="325"/>
        <v>35.299999999999997</v>
      </c>
      <c r="P1642" s="2295">
        <f t="shared" si="314"/>
        <v>0.5</v>
      </c>
    </row>
    <row r="1643" spans="1:18">
      <c r="A1643" s="2272" t="s">
        <v>14278</v>
      </c>
      <c r="B1643" s="2245" t="str">
        <f>VLOOKUP($A1643,'16 - QT_ICONT'!$A:$F,2,0)</f>
        <v>CP-HSD-35</v>
      </c>
      <c r="C1643" s="2228" t="str">
        <f>VLOOKUP($A1643,'16 - QT_ICONT'!$A:$F,3,0)</f>
        <v>PRÓPRIA</v>
      </c>
      <c r="D1643" s="2375" t="s">
        <v>15437</v>
      </c>
      <c r="E1643" s="2243" t="str">
        <f>IFERROR(VLOOKUP($B1643,'24.08_ND'!$1:$1048529,3,0),IFERROR(VLOOKUP($B1643,'03-CP'!$C$1:$H$6260,3,0),""))</f>
        <v>UN</v>
      </c>
      <c r="F1643" s="2230">
        <v>6</v>
      </c>
      <c r="G1643" s="2232">
        <v>78.52</v>
      </c>
      <c r="H1643" s="2302">
        <f t="shared" si="321"/>
        <v>471.12</v>
      </c>
      <c r="I1643" s="2328">
        <f t="shared" si="322"/>
        <v>0.74</v>
      </c>
      <c r="J1643" s="2314">
        <v>0</v>
      </c>
      <c r="K1643" s="2411">
        <v>0.74</v>
      </c>
      <c r="L1643" s="2533">
        <f t="shared" si="323"/>
        <v>348.62</v>
      </c>
      <c r="M1643" s="2238">
        <v>0</v>
      </c>
      <c r="N1643" s="2239">
        <f t="shared" si="324"/>
        <v>348.62</v>
      </c>
      <c r="O1643" s="2498">
        <f t="shared" si="325"/>
        <v>122.5</v>
      </c>
      <c r="P1643" s="2295">
        <f t="shared" si="314"/>
        <v>0.26001867889285107</v>
      </c>
      <c r="R1643" s="1789"/>
    </row>
    <row r="1644" spans="1:18" ht="30">
      <c r="A1644" s="2272" t="s">
        <v>14279</v>
      </c>
      <c r="B1644" s="2245" t="str">
        <f>VLOOKUP($A1644,'16 - QT_ICONT'!$A:$F,2,0)</f>
        <v>CP-HSD-37</v>
      </c>
      <c r="C1644" s="2228" t="str">
        <f>VLOOKUP($A1644,'16 - QT_ICONT'!$A:$F,3,0)</f>
        <v>PRÓPRIA</v>
      </c>
      <c r="D1644" s="2375" t="s">
        <v>15441</v>
      </c>
      <c r="E1644" s="2243" t="str">
        <f>IFERROR(VLOOKUP($B1644,'24.08_ND'!$1:$1048529,3,0),IFERROR(VLOOKUP($B1644,'03-CP'!$C$1:$H$6260,3,0),""))</f>
        <v>UN</v>
      </c>
      <c r="F1644" s="2230">
        <v>6</v>
      </c>
      <c r="G1644" s="2232">
        <v>260.70999999999998</v>
      </c>
      <c r="H1644" s="2302">
        <f t="shared" si="321"/>
        <v>1564.26</v>
      </c>
      <c r="I1644" s="2328">
        <f t="shared" si="322"/>
        <v>1</v>
      </c>
      <c r="J1644" s="2314">
        <v>0</v>
      </c>
      <c r="K1644" s="2411">
        <v>1</v>
      </c>
      <c r="L1644" s="2533">
        <f t="shared" si="323"/>
        <v>1564.26</v>
      </c>
      <c r="M1644" s="2238">
        <v>0</v>
      </c>
      <c r="N1644" s="2239">
        <f t="shared" si="324"/>
        <v>1564.26</v>
      </c>
      <c r="O1644" s="2498">
        <f t="shared" si="325"/>
        <v>0</v>
      </c>
      <c r="P1644" s="2295">
        <f t="shared" si="314"/>
        <v>0</v>
      </c>
    </row>
    <row r="1645" spans="1:18" ht="30">
      <c r="A1645" s="2272" t="s">
        <v>14280</v>
      </c>
      <c r="B1645" s="2228">
        <f>VLOOKUP($A1645,'16 - QT_ICONT'!$A:$F,2,0)</f>
        <v>93358</v>
      </c>
      <c r="C1645" s="2228" t="str">
        <f>VLOOKUP($A1645,'16 - QT_ICONT'!$A:$F,3,0)</f>
        <v>SINAPI</v>
      </c>
      <c r="D1645" s="2375" t="s">
        <v>10648</v>
      </c>
      <c r="E1645" s="2243" t="str">
        <f>IFERROR(VLOOKUP($B1645,'24.08_ND'!$1:$1048529,3,0),IFERROR(VLOOKUP($B1645,'03-CP'!$C$1:$H$6260,3,0),""))</f>
        <v>M3</v>
      </c>
      <c r="F1645" s="2230">
        <v>45.024000000000001</v>
      </c>
      <c r="G1645" s="2232">
        <v>91.52</v>
      </c>
      <c r="H1645" s="2302">
        <f t="shared" si="321"/>
        <v>4120.59</v>
      </c>
      <c r="I1645" s="2328">
        <f t="shared" si="322"/>
        <v>0.5</v>
      </c>
      <c r="J1645" s="2314">
        <v>0.5</v>
      </c>
      <c r="K1645" s="2411">
        <v>0</v>
      </c>
      <c r="L1645" s="2533">
        <f t="shared" si="323"/>
        <v>2060.29</v>
      </c>
      <c r="M1645" s="2238">
        <v>2060.29</v>
      </c>
      <c r="N1645" s="2239">
        <f t="shared" si="324"/>
        <v>0</v>
      </c>
      <c r="O1645" s="2498">
        <f t="shared" si="325"/>
        <v>2060.3000000000002</v>
      </c>
      <c r="P1645" s="2295">
        <f t="shared" si="314"/>
        <v>0.50000121341846682</v>
      </c>
    </row>
    <row r="1646" spans="1:18" ht="30">
      <c r="A1646" s="2272" t="s">
        <v>14281</v>
      </c>
      <c r="B1646" s="2228">
        <f>VLOOKUP($A1646,'16 - QT_ICONT'!$A:$F,2,0)</f>
        <v>93382</v>
      </c>
      <c r="C1646" s="2228" t="str">
        <f>VLOOKUP($A1646,'16 - QT_ICONT'!$A:$F,3,0)</f>
        <v>SINAPI</v>
      </c>
      <c r="D1646" s="2375" t="s">
        <v>10726</v>
      </c>
      <c r="E1646" s="2243" t="str">
        <f>IFERROR(VLOOKUP($B1646,'24.08_ND'!$1:$1048529,3,0),IFERROR(VLOOKUP($B1646,'03-CP'!$C$1:$H$6260,3,0),""))</f>
        <v>M3</v>
      </c>
      <c r="F1646" s="2230">
        <v>63.03</v>
      </c>
      <c r="G1646" s="2232">
        <v>26.88</v>
      </c>
      <c r="H1646" s="2302">
        <f t="shared" si="321"/>
        <v>1694.24</v>
      </c>
      <c r="I1646" s="2328">
        <f t="shared" si="322"/>
        <v>0.5</v>
      </c>
      <c r="J1646" s="2314">
        <v>0.5</v>
      </c>
      <c r="K1646" s="2411">
        <v>0</v>
      </c>
      <c r="L1646" s="2533">
        <f t="shared" si="323"/>
        <v>847.12</v>
      </c>
      <c r="M1646" s="2238">
        <v>847.12</v>
      </c>
      <c r="N1646" s="2239">
        <f t="shared" si="324"/>
        <v>0</v>
      </c>
      <c r="O1646" s="2498">
        <f t="shared" si="325"/>
        <v>847.12</v>
      </c>
      <c r="P1646" s="2295">
        <f t="shared" si="314"/>
        <v>0.5</v>
      </c>
    </row>
    <row r="1647" spans="1:18">
      <c r="A1647" s="2343" t="s">
        <v>14282</v>
      </c>
      <c r="B1647" s="2397"/>
      <c r="C1647" s="2401"/>
      <c r="D1647" s="2380" t="s">
        <v>16317</v>
      </c>
      <c r="E1647" s="2368"/>
      <c r="F1647" s="2369"/>
      <c r="G1647" s="2370"/>
      <c r="H1647" s="2361">
        <f>SUBTOTAL(9,H1648:H1653)</f>
        <v>17169.89</v>
      </c>
      <c r="I1647" s="2371"/>
      <c r="J1647" s="2372"/>
      <c r="K1647" s="2555"/>
      <c r="L1647" s="2539">
        <f>SUBTOTAL(9,L1648:L1653)</f>
        <v>12646.07</v>
      </c>
      <c r="M1647" s="2361">
        <f>SUBTOTAL(9,M1648:M1653)</f>
        <v>12646.07</v>
      </c>
      <c r="N1647" s="2361">
        <f>SUBTOTAL(9,N1648:N1653)</f>
        <v>0</v>
      </c>
      <c r="O1647" s="2361">
        <f>SUBTOTAL(9,O1648:O1653)</f>
        <v>4523.82</v>
      </c>
      <c r="P1647" s="2295">
        <f t="shared" si="314"/>
        <v>0.26347402342123333</v>
      </c>
    </row>
    <row r="1648" spans="1:18" ht="30">
      <c r="A1648" s="2272" t="s">
        <v>14283</v>
      </c>
      <c r="B1648" s="2228" t="str">
        <f>VLOOKUP($A1648,'16 - QT_ICONT'!$A:$F,2,0)</f>
        <v>CP-HSD-36</v>
      </c>
      <c r="C1648" s="2228" t="str">
        <f>VLOOKUP($A1648,'16 - QT_ICONT'!$A:$F,3,0)</f>
        <v>PRÓPRIA</v>
      </c>
      <c r="D1648" s="2375" t="s">
        <v>15439</v>
      </c>
      <c r="E1648" s="2243" t="str">
        <f>IFERROR(VLOOKUP($B1648,'24.08_ND'!$1:$1048529,3,0),IFERROR(VLOOKUP($B1648,'03-CP'!$C$1:$H$6260,3,0),""))</f>
        <v>UN</v>
      </c>
      <c r="F1648" s="2230">
        <v>8</v>
      </c>
      <c r="G1648" s="2232">
        <v>762.37</v>
      </c>
      <c r="H1648" s="2302">
        <f t="shared" ref="H1648:H1653" si="326">TRUNC((G1648*F1648),2)</f>
        <v>6098.96</v>
      </c>
      <c r="I1648" s="2328">
        <f t="shared" ref="I1648:I1653" si="327">J1648+K1648</f>
        <v>0.75</v>
      </c>
      <c r="J1648" s="2314">
        <v>0.75</v>
      </c>
      <c r="K1648" s="2411"/>
      <c r="L1648" s="2533">
        <f t="shared" ref="L1648:L1653" si="328">M1648+N1648</f>
        <v>4574.22</v>
      </c>
      <c r="M1648" s="2238">
        <v>4574.22</v>
      </c>
      <c r="N1648" s="2239">
        <f t="shared" ref="N1648:N1653" si="329">TRUNC(H1648*K1648,2)</f>
        <v>0</v>
      </c>
      <c r="O1648" s="2498">
        <f t="shared" ref="O1648:O1653" si="330">H1648-L1648</f>
        <v>1524.7399999999998</v>
      </c>
      <c r="P1648" s="2295">
        <f t="shared" si="314"/>
        <v>0.24999999999999997</v>
      </c>
    </row>
    <row r="1649" spans="1:17" ht="30">
      <c r="A1649" s="2272" t="s">
        <v>14284</v>
      </c>
      <c r="B1649" s="2228" t="str">
        <f>VLOOKUP($A1649,'16 - QT_ICONT'!$A:$F,2,0)</f>
        <v>CP-HSD-07</v>
      </c>
      <c r="C1649" s="2228" t="str">
        <f>VLOOKUP($A1649,'16 - QT_ICONT'!$A:$F,3,0)</f>
        <v>PRÓPRIA</v>
      </c>
      <c r="D1649" s="2375" t="s">
        <v>15373</v>
      </c>
      <c r="E1649" s="2243" t="str">
        <f>IFERROR(VLOOKUP($B1649,'24.08_ND'!$1:$1048529,3,0),IFERROR(VLOOKUP($B1649,'03-CP'!$C$1:$H$6260,3,0),""))</f>
        <v>UN</v>
      </c>
      <c r="F1649" s="2230">
        <v>6</v>
      </c>
      <c r="G1649" s="2232">
        <v>20.88</v>
      </c>
      <c r="H1649" s="2302">
        <f t="shared" si="326"/>
        <v>125.28</v>
      </c>
      <c r="I1649" s="2328">
        <f t="shared" si="327"/>
        <v>0</v>
      </c>
      <c r="J1649" s="2314">
        <v>0</v>
      </c>
      <c r="K1649" s="2411"/>
      <c r="L1649" s="2533">
        <f t="shared" si="328"/>
        <v>0</v>
      </c>
      <c r="M1649" s="2238">
        <v>0</v>
      </c>
      <c r="N1649" s="2239">
        <f t="shared" si="329"/>
        <v>0</v>
      </c>
      <c r="O1649" s="2498">
        <f t="shared" si="330"/>
        <v>125.28</v>
      </c>
      <c r="P1649" s="2295">
        <f t="shared" si="314"/>
        <v>1</v>
      </c>
    </row>
    <row r="1650" spans="1:17" ht="45">
      <c r="A1650" s="2272" t="s">
        <v>14285</v>
      </c>
      <c r="B1650" s="2228">
        <f>VLOOKUP($A1650,'16 - QT_ICONT'!$A:$F,2,0)</f>
        <v>89744</v>
      </c>
      <c r="C1650" s="2228" t="str">
        <f>VLOOKUP($A1650,'16 - QT_ICONT'!$A:$F,3,0)</f>
        <v>SINAPI</v>
      </c>
      <c r="D1650" s="2375" t="s">
        <v>8957</v>
      </c>
      <c r="E1650" s="2243" t="str">
        <f>IFERROR(VLOOKUP($B1650,'24.08_ND'!$1:$1048529,3,0),IFERROR(VLOOKUP($B1650,'03-CP'!$C$1:$H$6260,3,0),""))</f>
        <v>UN</v>
      </c>
      <c r="F1650" s="2230">
        <v>6</v>
      </c>
      <c r="G1650" s="2232">
        <v>30.53</v>
      </c>
      <c r="H1650" s="2302">
        <f t="shared" si="326"/>
        <v>183.18</v>
      </c>
      <c r="I1650" s="2328">
        <f t="shared" si="327"/>
        <v>0</v>
      </c>
      <c r="J1650" s="2314">
        <v>0</v>
      </c>
      <c r="K1650" s="2411"/>
      <c r="L1650" s="2533">
        <f t="shared" si="328"/>
        <v>0</v>
      </c>
      <c r="M1650" s="2238">
        <v>0</v>
      </c>
      <c r="N1650" s="2239">
        <f t="shared" si="329"/>
        <v>0</v>
      </c>
      <c r="O1650" s="2498">
        <f t="shared" si="330"/>
        <v>183.18</v>
      </c>
      <c r="P1650" s="2295">
        <f t="shared" si="314"/>
        <v>1</v>
      </c>
    </row>
    <row r="1651" spans="1:17" ht="45">
      <c r="A1651" s="2272" t="s">
        <v>14286</v>
      </c>
      <c r="B1651" s="2228">
        <f>VLOOKUP($A1651,'16 - QT_ICONT'!$A:$F,2,0)</f>
        <v>89714</v>
      </c>
      <c r="C1651" s="2228" t="str">
        <f>VLOOKUP($A1651,'16 - QT_ICONT'!$A:$F,3,0)</f>
        <v>SINAPI</v>
      </c>
      <c r="D1651" s="2375" t="s">
        <v>8445</v>
      </c>
      <c r="E1651" s="2243" t="str">
        <f>IFERROR(VLOOKUP($B1651,'24.08_ND'!$1:$1048529,3,0),IFERROR(VLOOKUP($B1651,'03-CP'!$C$1:$H$6260,3,0),""))</f>
        <v>M</v>
      </c>
      <c r="F1651" s="2230">
        <v>91</v>
      </c>
      <c r="G1651" s="2232">
        <v>40.21</v>
      </c>
      <c r="H1651" s="2302">
        <f t="shared" si="326"/>
        <v>3659.11</v>
      </c>
      <c r="I1651" s="2328">
        <f t="shared" si="327"/>
        <v>0.75</v>
      </c>
      <c r="J1651" s="2314">
        <v>0.75</v>
      </c>
      <c r="K1651" s="2411"/>
      <c r="L1651" s="2533">
        <f t="shared" si="328"/>
        <v>2744.33</v>
      </c>
      <c r="M1651" s="2238">
        <v>2744.33</v>
      </c>
      <c r="N1651" s="2239">
        <f t="shared" si="329"/>
        <v>0</v>
      </c>
      <c r="O1651" s="2498">
        <f t="shared" si="330"/>
        <v>914.7800000000002</v>
      </c>
      <c r="P1651" s="2295">
        <f t="shared" si="314"/>
        <v>0.25000068322624908</v>
      </c>
    </row>
    <row r="1652" spans="1:17" ht="30">
      <c r="A1652" s="2272" t="s">
        <v>14287</v>
      </c>
      <c r="B1652" s="2228">
        <f>VLOOKUP($A1652,'16 - QT_ICONT'!$A:$F,2,0)</f>
        <v>93358</v>
      </c>
      <c r="C1652" s="2228" t="str">
        <f>VLOOKUP($A1652,'16 - QT_ICONT'!$A:$F,3,0)</f>
        <v>SINAPI</v>
      </c>
      <c r="D1652" s="2375" t="s">
        <v>10648</v>
      </c>
      <c r="E1652" s="2243" t="str">
        <f>IFERROR(VLOOKUP($B1652,'24.08_ND'!$1:$1048529,3,0),IFERROR(VLOOKUP($B1652,'03-CP'!$C$1:$H$6260,3,0),""))</f>
        <v>M3</v>
      </c>
      <c r="F1652" s="2230">
        <v>55</v>
      </c>
      <c r="G1652" s="2232">
        <v>91.52</v>
      </c>
      <c r="H1652" s="2302">
        <f t="shared" si="326"/>
        <v>5033.6000000000004</v>
      </c>
      <c r="I1652" s="2328">
        <f t="shared" si="327"/>
        <v>0.75</v>
      </c>
      <c r="J1652" s="2314">
        <v>0.75</v>
      </c>
      <c r="K1652" s="2411"/>
      <c r="L1652" s="2533">
        <f t="shared" si="328"/>
        <v>3775.2000000000003</v>
      </c>
      <c r="M1652" s="2238">
        <v>3775.2000000000003</v>
      </c>
      <c r="N1652" s="2239">
        <f t="shared" si="329"/>
        <v>0</v>
      </c>
      <c r="O1652" s="2498">
        <f t="shared" si="330"/>
        <v>1258.4000000000001</v>
      </c>
      <c r="P1652" s="2295">
        <f t="shared" si="314"/>
        <v>0.25</v>
      </c>
    </row>
    <row r="1653" spans="1:17" ht="30">
      <c r="A1653" s="2272" t="s">
        <v>14288</v>
      </c>
      <c r="B1653" s="2228">
        <f>VLOOKUP($A1653,'16 - QT_ICONT'!$A:$F,2,0)</f>
        <v>93382</v>
      </c>
      <c r="C1653" s="2228" t="str">
        <f>VLOOKUP($A1653,'16 - QT_ICONT'!$A:$F,3,0)</f>
        <v>SINAPI</v>
      </c>
      <c r="D1653" s="2375" t="s">
        <v>10726</v>
      </c>
      <c r="E1653" s="2243" t="str">
        <f>IFERROR(VLOOKUP($B1653,'24.08_ND'!$1:$1048529,3,0),IFERROR(VLOOKUP($B1653,'03-CP'!$C$1:$H$6260,3,0),""))</f>
        <v>M3</v>
      </c>
      <c r="F1653" s="2230">
        <v>77</v>
      </c>
      <c r="G1653" s="2232">
        <v>26.88</v>
      </c>
      <c r="H1653" s="2302">
        <f t="shared" si="326"/>
        <v>2069.7600000000002</v>
      </c>
      <c r="I1653" s="2287">
        <f t="shared" si="327"/>
        <v>0.75</v>
      </c>
      <c r="J1653" s="2231">
        <v>0.75</v>
      </c>
      <c r="K1653" s="2412"/>
      <c r="L1653" s="2533">
        <f t="shared" si="328"/>
        <v>1552.3200000000002</v>
      </c>
      <c r="M1653" s="2238">
        <v>1552.3200000000002</v>
      </c>
      <c r="N1653" s="2239">
        <f t="shared" si="329"/>
        <v>0</v>
      </c>
      <c r="O1653" s="2498">
        <f t="shared" si="330"/>
        <v>517.44000000000005</v>
      </c>
      <c r="P1653" s="2295">
        <f t="shared" si="314"/>
        <v>0.25</v>
      </c>
    </row>
    <row r="1654" spans="1:17" ht="30">
      <c r="A1654" s="2513" t="s">
        <v>12656</v>
      </c>
      <c r="B1654" s="2514"/>
      <c r="C1654" s="2515"/>
      <c r="D1654" s="2524" t="s">
        <v>16564</v>
      </c>
      <c r="E1654" s="2517"/>
      <c r="F1654" s="2518"/>
      <c r="G1654" s="2519"/>
      <c r="H1654" s="2520">
        <f>SUBTOTAL(9,H1655:H1678)</f>
        <v>22180.120000000003</v>
      </c>
      <c r="I1654" s="2521"/>
      <c r="J1654" s="2522"/>
      <c r="K1654" s="2554"/>
      <c r="L1654" s="2541">
        <f>SUBTOTAL(9,L1655:L1678)</f>
        <v>9695.8399999999983</v>
      </c>
      <c r="M1654" s="2520">
        <f>SUBTOTAL(9,M1655:M1678)</f>
        <v>9695.8399999999983</v>
      </c>
      <c r="N1654" s="2520">
        <f>SUBTOTAL(9,N1655:N1678)</f>
        <v>0</v>
      </c>
      <c r="O1654" s="2520">
        <f>SUBTOTAL(9,O1655:O1678)</f>
        <v>12484.279999999999</v>
      </c>
      <c r="P1654" s="2295"/>
      <c r="Q1654" s="2568">
        <f>N1654/H1654</f>
        <v>0</v>
      </c>
    </row>
    <row r="1655" spans="1:17">
      <c r="A1655" s="2343" t="s">
        <v>14289</v>
      </c>
      <c r="B1655" s="2397"/>
      <c r="C1655" s="2401"/>
      <c r="D1655" s="2380" t="s">
        <v>16312</v>
      </c>
      <c r="E1655" s="2368"/>
      <c r="F1655" s="2369"/>
      <c r="G1655" s="2370"/>
      <c r="H1655" s="2374">
        <f>SUBTOTAL(9,H1656:H1665)</f>
        <v>2620.29</v>
      </c>
      <c r="I1655" s="2371"/>
      <c r="J1655" s="2372"/>
      <c r="K1655" s="2415"/>
      <c r="L1655" s="2542">
        <f>SUBTOTAL(9,L1656:L1665)</f>
        <v>2384.7299999999996</v>
      </c>
      <c r="M1655" s="2374">
        <f>SUBTOTAL(9,M1656:M1665)</f>
        <v>2384.7299999999996</v>
      </c>
      <c r="N1655" s="2374">
        <f>SUBTOTAL(9,N1656:N1665)</f>
        <v>0</v>
      </c>
      <c r="O1655" s="2374">
        <f>SUBTOTAL(9,O1656:O1665)</f>
        <v>235.56</v>
      </c>
      <c r="P1655" s="2295">
        <f t="shared" ref="P1655:P1717" si="331">O1655/H1655</f>
        <v>8.9898446355174425E-2</v>
      </c>
    </row>
    <row r="1656" spans="1:17" ht="30">
      <c r="A1656" s="2272" t="s">
        <v>14290</v>
      </c>
      <c r="B1656" s="2228">
        <f>VLOOKUP($A1656,'16 - QT_ICONT'!$A:$F,2,0)</f>
        <v>105234</v>
      </c>
      <c r="C1656" s="2228" t="str">
        <f>VLOOKUP($A1656,'16 - QT_ICONT'!$A:$F,3,0)</f>
        <v>SINAPI</v>
      </c>
      <c r="D1656" s="2375" t="s">
        <v>10006</v>
      </c>
      <c r="E1656" s="2243" t="str">
        <f>IFERROR(VLOOKUP($B1656,'24.08_ND'!$1:$1048529,3,0),IFERROR(VLOOKUP($B1656,'03-CP'!$C$1:$H$6260,3,0),""))</f>
        <v>UN</v>
      </c>
      <c r="F1656" s="2230">
        <v>1</v>
      </c>
      <c r="G1656" s="2232">
        <v>10.15</v>
      </c>
      <c r="H1656" s="2302">
        <f t="shared" ref="H1656:H1665" si="332">TRUNC((G1656*F1656),2)</f>
        <v>10.15</v>
      </c>
      <c r="I1656" s="2328">
        <f t="shared" ref="I1656:I1665" si="333">J1656+K1656</f>
        <v>1</v>
      </c>
      <c r="J1656" s="2237">
        <v>1</v>
      </c>
      <c r="K1656" s="2411"/>
      <c r="L1656" s="2533">
        <f t="shared" ref="L1656:L1665" si="334">M1656+N1656</f>
        <v>10.15</v>
      </c>
      <c r="M1656" s="2238">
        <v>10.15</v>
      </c>
      <c r="N1656" s="2239">
        <f t="shared" ref="N1656:N1665" si="335">TRUNC(H1656*K1656,2)</f>
        <v>0</v>
      </c>
      <c r="O1656" s="2498">
        <f t="shared" ref="O1656:O1665" si="336">H1656-L1656</f>
        <v>0</v>
      </c>
      <c r="P1656" s="2295">
        <f t="shared" si="331"/>
        <v>0</v>
      </c>
    </row>
    <row r="1657" spans="1:17" ht="30">
      <c r="A1657" s="2272" t="s">
        <v>14291</v>
      </c>
      <c r="B1657" s="2228">
        <f>VLOOKUP($A1657,'16 - QT_ICONT'!$A:$F,2,0)</f>
        <v>103979</v>
      </c>
      <c r="C1657" s="2228" t="str">
        <f>VLOOKUP($A1657,'16 - QT_ICONT'!$A:$F,3,0)</f>
        <v>SINAPI</v>
      </c>
      <c r="D1657" s="2375" t="s">
        <v>8649</v>
      </c>
      <c r="E1657" s="2243" t="str">
        <f>IFERROR(VLOOKUP($B1657,'24.08_ND'!$1:$1048529,3,0),IFERROR(VLOOKUP($B1657,'03-CP'!$C$1:$H$6260,3,0),""))</f>
        <v>M</v>
      </c>
      <c r="F1657" s="2230">
        <v>6</v>
      </c>
      <c r="G1657" s="2232">
        <v>30.08</v>
      </c>
      <c r="H1657" s="2302">
        <f t="shared" si="332"/>
        <v>180.48</v>
      </c>
      <c r="I1657" s="2328">
        <f t="shared" si="333"/>
        <v>1</v>
      </c>
      <c r="J1657" s="2237">
        <v>1</v>
      </c>
      <c r="K1657" s="2411"/>
      <c r="L1657" s="2533">
        <f t="shared" si="334"/>
        <v>180.48</v>
      </c>
      <c r="M1657" s="2238">
        <v>180.48</v>
      </c>
      <c r="N1657" s="2239">
        <f t="shared" si="335"/>
        <v>0</v>
      </c>
      <c r="O1657" s="2498">
        <f t="shared" si="336"/>
        <v>0</v>
      </c>
      <c r="P1657" s="2295">
        <f t="shared" si="331"/>
        <v>0</v>
      </c>
    </row>
    <row r="1658" spans="1:17" ht="30">
      <c r="A1658" s="2272" t="s">
        <v>14292</v>
      </c>
      <c r="B1658" s="2228">
        <f>VLOOKUP($A1658,'16 - QT_ICONT'!$A:$F,2,0)</f>
        <v>89362</v>
      </c>
      <c r="C1658" s="2228" t="str">
        <f>VLOOKUP($A1658,'16 - QT_ICONT'!$A:$F,3,0)</f>
        <v>SINAPI</v>
      </c>
      <c r="D1658" s="2375" t="s">
        <v>8669</v>
      </c>
      <c r="E1658" s="2243" t="str">
        <f>IFERROR(VLOOKUP($B1658,'24.08_ND'!$1:$1048529,3,0),IFERROR(VLOOKUP($B1658,'03-CP'!$C$1:$H$6260,3,0),""))</f>
        <v>UN</v>
      </c>
      <c r="F1658" s="2230">
        <v>4</v>
      </c>
      <c r="G1658" s="2232">
        <v>10.220000000000001</v>
      </c>
      <c r="H1658" s="2302">
        <f t="shared" si="332"/>
        <v>40.880000000000003</v>
      </c>
      <c r="I1658" s="2328">
        <f t="shared" si="333"/>
        <v>1</v>
      </c>
      <c r="J1658" s="2237">
        <v>1</v>
      </c>
      <c r="K1658" s="2411"/>
      <c r="L1658" s="2533">
        <f t="shared" si="334"/>
        <v>40.880000000000003</v>
      </c>
      <c r="M1658" s="2238">
        <v>40.880000000000003</v>
      </c>
      <c r="N1658" s="2239">
        <f t="shared" si="335"/>
        <v>0</v>
      </c>
      <c r="O1658" s="2498">
        <f t="shared" si="336"/>
        <v>0</v>
      </c>
      <c r="P1658" s="2295">
        <f t="shared" si="331"/>
        <v>0</v>
      </c>
    </row>
    <row r="1659" spans="1:17" ht="45">
      <c r="A1659" s="2272" t="s">
        <v>14293</v>
      </c>
      <c r="B1659" s="2228">
        <f>VLOOKUP($A1659,'16 - QT_ICONT'!$A:$F,2,0)</f>
        <v>90373</v>
      </c>
      <c r="C1659" s="2228" t="str">
        <f>VLOOKUP($A1659,'16 - QT_ICONT'!$A:$F,3,0)</f>
        <v>SINAPI</v>
      </c>
      <c r="D1659" s="2375" t="s">
        <v>9065</v>
      </c>
      <c r="E1659" s="2243" t="str">
        <f>IFERROR(VLOOKUP($B1659,'24.08_ND'!$1:$1048529,3,0),IFERROR(VLOOKUP($B1659,'03-CP'!$C$1:$H$6260,3,0),""))</f>
        <v>UN</v>
      </c>
      <c r="F1659" s="2230">
        <v>3</v>
      </c>
      <c r="G1659" s="2232">
        <v>13.46</v>
      </c>
      <c r="H1659" s="2302">
        <f t="shared" si="332"/>
        <v>40.380000000000003</v>
      </c>
      <c r="I1659" s="2328">
        <f t="shared" si="333"/>
        <v>1</v>
      </c>
      <c r="J1659" s="2237">
        <v>1</v>
      </c>
      <c r="K1659" s="2411"/>
      <c r="L1659" s="2533">
        <f t="shared" si="334"/>
        <v>40.380000000000003</v>
      </c>
      <c r="M1659" s="2238">
        <v>40.380000000000003</v>
      </c>
      <c r="N1659" s="2239">
        <f t="shared" si="335"/>
        <v>0</v>
      </c>
      <c r="O1659" s="2498">
        <f t="shared" si="336"/>
        <v>0</v>
      </c>
      <c r="P1659" s="2295">
        <f t="shared" si="331"/>
        <v>0</v>
      </c>
    </row>
    <row r="1660" spans="1:17" ht="30">
      <c r="A1660" s="2272" t="s">
        <v>14294</v>
      </c>
      <c r="B1660" s="2228">
        <f>VLOOKUP($A1660,'16 - QT_ICONT'!$A:$F,2,0)</f>
        <v>89402</v>
      </c>
      <c r="C1660" s="2228" t="str">
        <f>VLOOKUP($A1660,'16 - QT_ICONT'!$A:$F,3,0)</f>
        <v>SINAPI</v>
      </c>
      <c r="D1660" s="2375" t="s">
        <v>8422</v>
      </c>
      <c r="E1660" s="2243" t="str">
        <f>IFERROR(VLOOKUP($B1660,'24.08_ND'!$1:$1048529,3,0),IFERROR(VLOOKUP($B1660,'03-CP'!$C$1:$H$6260,3,0),""))</f>
        <v>M</v>
      </c>
      <c r="F1660" s="2230">
        <v>20</v>
      </c>
      <c r="G1660" s="2232">
        <v>12.75</v>
      </c>
      <c r="H1660" s="2302">
        <f t="shared" si="332"/>
        <v>255</v>
      </c>
      <c r="I1660" s="2328">
        <f t="shared" si="333"/>
        <v>1</v>
      </c>
      <c r="J1660" s="2237">
        <v>1</v>
      </c>
      <c r="K1660" s="2411"/>
      <c r="L1660" s="2533">
        <f t="shared" si="334"/>
        <v>255</v>
      </c>
      <c r="M1660" s="2238">
        <v>255</v>
      </c>
      <c r="N1660" s="2239">
        <f t="shared" si="335"/>
        <v>0</v>
      </c>
      <c r="O1660" s="2498">
        <f t="shared" si="336"/>
        <v>0</v>
      </c>
      <c r="P1660" s="2295">
        <f t="shared" si="331"/>
        <v>0</v>
      </c>
    </row>
    <row r="1661" spans="1:17" ht="30">
      <c r="A1661" s="2272" t="s">
        <v>14295</v>
      </c>
      <c r="B1661" s="2228">
        <f>VLOOKUP($A1661,'16 - QT_ICONT'!$A:$F,2,0)</f>
        <v>89395</v>
      </c>
      <c r="C1661" s="2228" t="str">
        <f>VLOOKUP($A1661,'16 - QT_ICONT'!$A:$F,3,0)</f>
        <v>SINAPI</v>
      </c>
      <c r="D1661" s="2375" t="s">
        <v>8701</v>
      </c>
      <c r="E1661" s="2243" t="str">
        <f>IFERROR(VLOOKUP($B1661,'24.08_ND'!$1:$1048529,3,0),IFERROR(VLOOKUP($B1661,'03-CP'!$C$1:$H$6260,3,0),""))</f>
        <v>UN</v>
      </c>
      <c r="F1661" s="2230">
        <v>2</v>
      </c>
      <c r="G1661" s="2232">
        <v>14.12</v>
      </c>
      <c r="H1661" s="2302">
        <f t="shared" si="332"/>
        <v>28.24</v>
      </c>
      <c r="I1661" s="2328">
        <f t="shared" si="333"/>
        <v>1</v>
      </c>
      <c r="J1661" s="2237">
        <v>1</v>
      </c>
      <c r="K1661" s="2411"/>
      <c r="L1661" s="2533">
        <f t="shared" si="334"/>
        <v>28.24</v>
      </c>
      <c r="M1661" s="2238">
        <v>28.24</v>
      </c>
      <c r="N1661" s="2239">
        <f t="shared" si="335"/>
        <v>0</v>
      </c>
      <c r="O1661" s="2498">
        <f t="shared" si="336"/>
        <v>0</v>
      </c>
      <c r="P1661" s="2295">
        <f t="shared" si="331"/>
        <v>0</v>
      </c>
    </row>
    <row r="1662" spans="1:17">
      <c r="A1662" s="2272" t="s">
        <v>14296</v>
      </c>
      <c r="B1662" s="2245" t="str">
        <f>VLOOKUP($A1662,'16 - QT_ICONT'!$A:$F,2,0)</f>
        <v>CP-HSD-35</v>
      </c>
      <c r="C1662" s="2228" t="str">
        <f>VLOOKUP($A1662,'16 - QT_ICONT'!$A:$F,3,0)</f>
        <v>PRÓPRIA</v>
      </c>
      <c r="D1662" s="2375" t="s">
        <v>15437</v>
      </c>
      <c r="E1662" s="2243" t="str">
        <f>IFERROR(VLOOKUP($B1662,'24.08_ND'!$1:$1048529,3,0),IFERROR(VLOOKUP($B1662,'03-CP'!$C$1:$H$6260,3,0),""))</f>
        <v>UN</v>
      </c>
      <c r="F1662" s="2230">
        <v>3</v>
      </c>
      <c r="G1662" s="2232">
        <v>78.52</v>
      </c>
      <c r="H1662" s="2302">
        <f t="shared" si="332"/>
        <v>235.56</v>
      </c>
      <c r="I1662" s="2328"/>
      <c r="J1662" s="2237"/>
      <c r="K1662" s="2411"/>
      <c r="L1662" s="2533">
        <f t="shared" si="334"/>
        <v>0</v>
      </c>
      <c r="M1662" s="2238">
        <v>0</v>
      </c>
      <c r="N1662" s="2239">
        <f t="shared" si="335"/>
        <v>0</v>
      </c>
      <c r="O1662" s="2498">
        <f t="shared" si="336"/>
        <v>235.56</v>
      </c>
      <c r="P1662" s="2295">
        <f t="shared" si="331"/>
        <v>1</v>
      </c>
    </row>
    <row r="1663" spans="1:17" ht="30">
      <c r="A1663" s="2272" t="s">
        <v>14297</v>
      </c>
      <c r="B1663" s="2245" t="str">
        <f>VLOOKUP($A1663,'16 - QT_ICONT'!$A:$F,2,0)</f>
        <v>CP-HSD-37</v>
      </c>
      <c r="C1663" s="2228" t="str">
        <f>VLOOKUP($A1663,'16 - QT_ICONT'!$A:$F,3,0)</f>
        <v>PRÓPRIA</v>
      </c>
      <c r="D1663" s="2375" t="s">
        <v>15441</v>
      </c>
      <c r="E1663" s="2243" t="str">
        <f>IFERROR(VLOOKUP($B1663,'24.08_ND'!$1:$1048529,3,0),IFERROR(VLOOKUP($B1663,'03-CP'!$C$1:$H$6260,3,0),""))</f>
        <v>UN</v>
      </c>
      <c r="F1663" s="2230">
        <v>3</v>
      </c>
      <c r="G1663" s="2232">
        <v>260.70999999999998</v>
      </c>
      <c r="H1663" s="2302">
        <f t="shared" si="332"/>
        <v>782.13</v>
      </c>
      <c r="I1663" s="2328">
        <f t="shared" si="333"/>
        <v>1</v>
      </c>
      <c r="J1663" s="2237">
        <v>1</v>
      </c>
      <c r="K1663" s="2411"/>
      <c r="L1663" s="2533">
        <f t="shared" si="334"/>
        <v>782.13</v>
      </c>
      <c r="M1663" s="2238">
        <v>782.13</v>
      </c>
      <c r="N1663" s="2239">
        <f t="shared" si="335"/>
        <v>0</v>
      </c>
      <c r="O1663" s="2498">
        <f t="shared" si="336"/>
        <v>0</v>
      </c>
      <c r="P1663" s="2295">
        <f t="shared" si="331"/>
        <v>0</v>
      </c>
    </row>
    <row r="1664" spans="1:17" ht="30">
      <c r="A1664" s="2272" t="s">
        <v>14298</v>
      </c>
      <c r="B1664" s="2228">
        <f>VLOOKUP($A1664,'16 - QT_ICONT'!$A:$F,2,0)</f>
        <v>93358</v>
      </c>
      <c r="C1664" s="2228" t="str">
        <f>VLOOKUP($A1664,'16 - QT_ICONT'!$A:$F,3,0)</f>
        <v>SINAPI</v>
      </c>
      <c r="D1664" s="2375" t="s">
        <v>10648</v>
      </c>
      <c r="E1664" s="2243" t="str">
        <f>IFERROR(VLOOKUP($B1664,'24.08_ND'!$1:$1048529,3,0),IFERROR(VLOOKUP($B1664,'03-CP'!$C$1:$H$6260,3,0),""))</f>
        <v>M3</v>
      </c>
      <c r="F1664" s="2230">
        <v>8.1</v>
      </c>
      <c r="G1664" s="2232">
        <v>91.52</v>
      </c>
      <c r="H1664" s="2302">
        <f t="shared" si="332"/>
        <v>741.31</v>
      </c>
      <c r="I1664" s="2328">
        <f t="shared" si="333"/>
        <v>1</v>
      </c>
      <c r="J1664" s="2237">
        <v>1</v>
      </c>
      <c r="K1664" s="2411"/>
      <c r="L1664" s="2533">
        <f t="shared" si="334"/>
        <v>741.31</v>
      </c>
      <c r="M1664" s="2238">
        <v>741.31</v>
      </c>
      <c r="N1664" s="2239">
        <f t="shared" si="335"/>
        <v>0</v>
      </c>
      <c r="O1664" s="2498">
        <f t="shared" si="336"/>
        <v>0</v>
      </c>
      <c r="P1664" s="2295">
        <f t="shared" si="331"/>
        <v>0</v>
      </c>
    </row>
    <row r="1665" spans="1:16" ht="30">
      <c r="A1665" s="2272" t="s">
        <v>14299</v>
      </c>
      <c r="B1665" s="2228">
        <f>VLOOKUP($A1665,'16 - QT_ICONT'!$A:$F,2,0)</f>
        <v>93382</v>
      </c>
      <c r="C1665" s="2228" t="str">
        <f>VLOOKUP($A1665,'16 - QT_ICONT'!$A:$F,3,0)</f>
        <v>SINAPI</v>
      </c>
      <c r="D1665" s="2375" t="s">
        <v>10726</v>
      </c>
      <c r="E1665" s="2243" t="str">
        <f>IFERROR(VLOOKUP($B1665,'24.08_ND'!$1:$1048529,3,0),IFERROR(VLOOKUP($B1665,'03-CP'!$C$1:$H$6260,3,0),""))</f>
        <v>M3</v>
      </c>
      <c r="F1665" s="2230">
        <v>11.39</v>
      </c>
      <c r="G1665" s="2232">
        <v>26.88</v>
      </c>
      <c r="H1665" s="2302">
        <f t="shared" si="332"/>
        <v>306.16000000000003</v>
      </c>
      <c r="I1665" s="2328">
        <f t="shared" si="333"/>
        <v>1</v>
      </c>
      <c r="J1665" s="2237">
        <v>1</v>
      </c>
      <c r="K1665" s="2411"/>
      <c r="L1665" s="2533">
        <f t="shared" si="334"/>
        <v>306.16000000000003</v>
      </c>
      <c r="M1665" s="2238">
        <v>306.16000000000003</v>
      </c>
      <c r="N1665" s="2239">
        <f t="shared" si="335"/>
        <v>0</v>
      </c>
      <c r="O1665" s="2498">
        <f t="shared" si="336"/>
        <v>0</v>
      </c>
      <c r="P1665" s="2295">
        <f t="shared" si="331"/>
        <v>0</v>
      </c>
    </row>
    <row r="1666" spans="1:16">
      <c r="A1666" s="2343" t="s">
        <v>14300</v>
      </c>
      <c r="B1666" s="2397"/>
      <c r="C1666" s="2401"/>
      <c r="D1666" s="2380" t="s">
        <v>16317</v>
      </c>
      <c r="E1666" s="2368"/>
      <c r="F1666" s="2369"/>
      <c r="G1666" s="2370"/>
      <c r="H1666" s="2374">
        <f>SUBTOTAL(9,H1667:H1672)</f>
        <v>7373.75</v>
      </c>
      <c r="I1666" s="2371"/>
      <c r="J1666" s="2372"/>
      <c r="K1666" s="2555"/>
      <c r="L1666" s="2542">
        <f>SUBTOTAL(9,L1667:L1672)</f>
        <v>7311.1100000000006</v>
      </c>
      <c r="M1666" s="2542">
        <f>SUBTOTAL(9,M1667:M1672)</f>
        <v>7311.1100000000006</v>
      </c>
      <c r="N1666" s="2530">
        <f>SUBTOTAL(9,N1667:N1672)</f>
        <v>0</v>
      </c>
      <c r="O1666" s="2500">
        <f>SUBTOTAL(9,O1667:O1672)</f>
        <v>62.64</v>
      </c>
      <c r="P1666" s="2295">
        <f t="shared" si="331"/>
        <v>8.4949991523987113E-3</v>
      </c>
    </row>
    <row r="1667" spans="1:16" ht="45">
      <c r="A1667" s="2272" t="s">
        <v>14301</v>
      </c>
      <c r="B1667" s="2228">
        <f>VLOOKUP($A1667,'16 - QT_ICONT'!$A:$F,2,0)</f>
        <v>97906</v>
      </c>
      <c r="C1667" s="2228" t="str">
        <f>VLOOKUP($A1667,'16 - QT_ICONT'!$A:$F,3,0)</f>
        <v>SINAPI</v>
      </c>
      <c r="D1667" s="2375" t="s">
        <v>10017</v>
      </c>
      <c r="E1667" s="2243" t="str">
        <f>IFERROR(VLOOKUP($B1667,'24.08_ND'!$1:$1048529,3,0),IFERROR(VLOOKUP($B1667,'03-CP'!$C$1:$H$6260,3,0),""))</f>
        <v>UN</v>
      </c>
      <c r="F1667" s="2230">
        <v>4</v>
      </c>
      <c r="G1667" s="2232">
        <v>509.9</v>
      </c>
      <c r="H1667" s="2302">
        <f t="shared" ref="H1667:H1672" si="337">TRUNC((G1667*F1667),2)</f>
        <v>2039.6</v>
      </c>
      <c r="I1667" s="2328">
        <f t="shared" ref="I1667:I1672" si="338">J1667+K1667</f>
        <v>1</v>
      </c>
      <c r="J1667" s="2237">
        <v>1</v>
      </c>
      <c r="K1667" s="2411"/>
      <c r="L1667" s="2533">
        <f t="shared" ref="L1667:L1672" si="339">M1667+N1667</f>
        <v>2039.6</v>
      </c>
      <c r="M1667" s="2238">
        <v>2039.6</v>
      </c>
      <c r="N1667" s="2239">
        <f t="shared" ref="N1667:N1672" si="340">TRUNC(H1667*K1667,2)</f>
        <v>0</v>
      </c>
      <c r="O1667" s="2498">
        <f t="shared" ref="O1667:O1672" si="341">H1667-L1667</f>
        <v>0</v>
      </c>
      <c r="P1667" s="2295">
        <f t="shared" si="331"/>
        <v>0</v>
      </c>
    </row>
    <row r="1668" spans="1:16" ht="30">
      <c r="A1668" s="2272" t="s">
        <v>14302</v>
      </c>
      <c r="B1668" s="2228" t="str">
        <f>VLOOKUP($A1668,'16 - QT_ICONT'!$A:$F,2,0)</f>
        <v>CP-HSD-07</v>
      </c>
      <c r="C1668" s="2228" t="str">
        <f>VLOOKUP($A1668,'16 - QT_ICONT'!$A:$F,3,0)</f>
        <v>PRÓPRIA</v>
      </c>
      <c r="D1668" s="2375" t="s">
        <v>15373</v>
      </c>
      <c r="E1668" s="2243" t="str">
        <f>IFERROR(VLOOKUP($B1668,'24.08_ND'!$1:$1048529,3,0),IFERROR(VLOOKUP($B1668,'03-CP'!$C$1:$H$6260,3,0),""))</f>
        <v>UN</v>
      </c>
      <c r="F1668" s="2230">
        <v>3</v>
      </c>
      <c r="G1668" s="2232">
        <v>20.88</v>
      </c>
      <c r="H1668" s="2302">
        <f t="shared" si="337"/>
        <v>62.64</v>
      </c>
      <c r="I1668" s="2328">
        <f t="shared" si="338"/>
        <v>0</v>
      </c>
      <c r="J1668" s="2237"/>
      <c r="K1668" s="2411"/>
      <c r="L1668" s="2533">
        <f t="shared" si="339"/>
        <v>0</v>
      </c>
      <c r="M1668" s="2238">
        <v>0</v>
      </c>
      <c r="N1668" s="2239">
        <f t="shared" si="340"/>
        <v>0</v>
      </c>
      <c r="O1668" s="2498">
        <f t="shared" si="341"/>
        <v>62.64</v>
      </c>
      <c r="P1668" s="2295">
        <f t="shared" si="331"/>
        <v>1</v>
      </c>
    </row>
    <row r="1669" spans="1:16" ht="45">
      <c r="A1669" s="2272" t="s">
        <v>14303</v>
      </c>
      <c r="B1669" s="2228">
        <f>VLOOKUP($A1669,'16 - QT_ICONT'!$A:$F,2,0)</f>
        <v>89744</v>
      </c>
      <c r="C1669" s="2228" t="str">
        <f>VLOOKUP($A1669,'16 - QT_ICONT'!$A:$F,3,0)</f>
        <v>SINAPI</v>
      </c>
      <c r="D1669" s="2375" t="s">
        <v>8957</v>
      </c>
      <c r="E1669" s="2243" t="str">
        <f>IFERROR(VLOOKUP($B1669,'24.08_ND'!$1:$1048529,3,0),IFERROR(VLOOKUP($B1669,'03-CP'!$C$1:$H$6260,3,0),""))</f>
        <v>UN</v>
      </c>
      <c r="F1669" s="2230">
        <v>3</v>
      </c>
      <c r="G1669" s="2232">
        <v>30.53</v>
      </c>
      <c r="H1669" s="2302">
        <f t="shared" si="337"/>
        <v>91.59</v>
      </c>
      <c r="I1669" s="2328">
        <f t="shared" si="338"/>
        <v>1</v>
      </c>
      <c r="J1669" s="2237">
        <v>1</v>
      </c>
      <c r="K1669" s="2411"/>
      <c r="L1669" s="2533">
        <f t="shared" si="339"/>
        <v>91.59</v>
      </c>
      <c r="M1669" s="2238">
        <v>91.59</v>
      </c>
      <c r="N1669" s="2239">
        <f t="shared" si="340"/>
        <v>0</v>
      </c>
      <c r="O1669" s="2498">
        <f t="shared" si="341"/>
        <v>0</v>
      </c>
      <c r="P1669" s="2295">
        <f t="shared" si="331"/>
        <v>0</v>
      </c>
    </row>
    <row r="1670" spans="1:16" ht="45">
      <c r="A1670" s="2272" t="s">
        <v>14304</v>
      </c>
      <c r="B1670" s="2228">
        <f>VLOOKUP($A1670,'16 - QT_ICONT'!$A:$F,2,0)</f>
        <v>89714</v>
      </c>
      <c r="C1670" s="2228" t="str">
        <f>VLOOKUP($A1670,'16 - QT_ICONT'!$A:$F,3,0)</f>
        <v>SINAPI</v>
      </c>
      <c r="D1670" s="2375" t="s">
        <v>8445</v>
      </c>
      <c r="E1670" s="2243" t="str">
        <f>IFERROR(VLOOKUP($B1670,'24.08_ND'!$1:$1048529,3,0),IFERROR(VLOOKUP($B1670,'03-CP'!$C$1:$H$6260,3,0),""))</f>
        <v>M</v>
      </c>
      <c r="F1670" s="2230">
        <v>44</v>
      </c>
      <c r="G1670" s="2232">
        <v>40.21</v>
      </c>
      <c r="H1670" s="2302">
        <f t="shared" si="337"/>
        <v>1769.24</v>
      </c>
      <c r="I1670" s="2328">
        <f t="shared" si="338"/>
        <v>1</v>
      </c>
      <c r="J1670" s="2237">
        <v>1</v>
      </c>
      <c r="K1670" s="2411"/>
      <c r="L1670" s="2533">
        <f t="shared" si="339"/>
        <v>1769.24</v>
      </c>
      <c r="M1670" s="2238">
        <v>1769.24</v>
      </c>
      <c r="N1670" s="2239">
        <f t="shared" si="340"/>
        <v>0</v>
      </c>
      <c r="O1670" s="2498">
        <f t="shared" si="341"/>
        <v>0</v>
      </c>
      <c r="P1670" s="2295">
        <f t="shared" si="331"/>
        <v>0</v>
      </c>
    </row>
    <row r="1671" spans="1:16" ht="30">
      <c r="A1671" s="2272" t="s">
        <v>14305</v>
      </c>
      <c r="B1671" s="2228">
        <f>VLOOKUP($A1671,'16 - QT_ICONT'!$A:$F,2,0)</f>
        <v>93358</v>
      </c>
      <c r="C1671" s="2228" t="str">
        <f>VLOOKUP($A1671,'16 - QT_ICONT'!$A:$F,3,0)</f>
        <v>SINAPI</v>
      </c>
      <c r="D1671" s="2375" t="s">
        <v>10648</v>
      </c>
      <c r="E1671" s="2243" t="str">
        <f>IFERROR(VLOOKUP($B1671,'24.08_ND'!$1:$1048529,3,0),IFERROR(VLOOKUP($B1671,'03-CP'!$C$1:$H$6260,3,0),""))</f>
        <v>M3</v>
      </c>
      <c r="F1671" s="2230">
        <v>26.4</v>
      </c>
      <c r="G1671" s="2232">
        <v>91.52</v>
      </c>
      <c r="H1671" s="2302">
        <f t="shared" si="337"/>
        <v>2416.12</v>
      </c>
      <c r="I1671" s="2328">
        <f t="shared" si="338"/>
        <v>1</v>
      </c>
      <c r="J1671" s="2237">
        <v>1</v>
      </c>
      <c r="K1671" s="2411"/>
      <c r="L1671" s="2533">
        <f t="shared" si="339"/>
        <v>2416.12</v>
      </c>
      <c r="M1671" s="2238">
        <v>2416.12</v>
      </c>
      <c r="N1671" s="2239">
        <f t="shared" si="340"/>
        <v>0</v>
      </c>
      <c r="O1671" s="2498">
        <f t="shared" si="341"/>
        <v>0</v>
      </c>
      <c r="P1671" s="2295">
        <f t="shared" si="331"/>
        <v>0</v>
      </c>
    </row>
    <row r="1672" spans="1:16" ht="30">
      <c r="A1672" s="2272" t="s">
        <v>14306</v>
      </c>
      <c r="B1672" s="2228">
        <f>VLOOKUP($A1672,'16 - QT_ICONT'!$A:$F,2,0)</f>
        <v>93382</v>
      </c>
      <c r="C1672" s="2228" t="str">
        <f>VLOOKUP($A1672,'16 - QT_ICONT'!$A:$F,3,0)</f>
        <v>SINAPI</v>
      </c>
      <c r="D1672" s="2375" t="s">
        <v>10726</v>
      </c>
      <c r="E1672" s="2243" t="str">
        <f>IFERROR(VLOOKUP($B1672,'24.08_ND'!$1:$1048529,3,0),IFERROR(VLOOKUP($B1672,'03-CP'!$C$1:$H$6260,3,0),""))</f>
        <v>M3</v>
      </c>
      <c r="F1672" s="2230">
        <v>37</v>
      </c>
      <c r="G1672" s="2232">
        <v>26.88</v>
      </c>
      <c r="H1672" s="2302">
        <f t="shared" si="337"/>
        <v>994.56</v>
      </c>
      <c r="I1672" s="2328">
        <f t="shared" si="338"/>
        <v>1</v>
      </c>
      <c r="J1672" s="2237">
        <v>1</v>
      </c>
      <c r="K1672" s="2411"/>
      <c r="L1672" s="2533">
        <f t="shared" si="339"/>
        <v>994.56</v>
      </c>
      <c r="M1672" s="2238">
        <v>994.56</v>
      </c>
      <c r="N1672" s="2239">
        <f t="shared" si="340"/>
        <v>0</v>
      </c>
      <c r="O1672" s="2498">
        <f t="shared" si="341"/>
        <v>0</v>
      </c>
      <c r="P1672" s="2295">
        <f t="shared" si="331"/>
        <v>0</v>
      </c>
    </row>
    <row r="1673" spans="1:16" ht="30">
      <c r="A1673" s="2343" t="s">
        <v>14307</v>
      </c>
      <c r="B1673" s="2397"/>
      <c r="C1673" s="2401"/>
      <c r="D1673" s="2380" t="s">
        <v>16565</v>
      </c>
      <c r="E1673" s="2368"/>
      <c r="F1673" s="2369"/>
      <c r="G1673" s="2370"/>
      <c r="H1673" s="2374">
        <f>SUBTOTAL(9,H1674:H1678)</f>
        <v>12186.079999999998</v>
      </c>
      <c r="I1673" s="2371"/>
      <c r="J1673" s="2372"/>
      <c r="K1673" s="2555"/>
      <c r="L1673" s="2542">
        <f>SUBTOTAL(9,L1674:L1678)</f>
        <v>0</v>
      </c>
      <c r="M1673" s="2374">
        <f>SUBTOTAL(9,M1674:M1678)</f>
        <v>0</v>
      </c>
      <c r="N1673" s="2374">
        <f>SUBTOTAL(9,N1674:N1678)</f>
        <v>0</v>
      </c>
      <c r="O1673" s="2374">
        <f>SUBTOTAL(9,O1674:O1678)</f>
        <v>12186.079999999998</v>
      </c>
      <c r="P1673" s="2295">
        <f t="shared" si="331"/>
        <v>1</v>
      </c>
    </row>
    <row r="1674" spans="1:16" ht="45">
      <c r="A1674" s="2272" t="s">
        <v>14308</v>
      </c>
      <c r="B1674" s="2228">
        <f>VLOOKUP($A1674,'16 - QT_ICONT'!$A:$F,2,0)</f>
        <v>89714</v>
      </c>
      <c r="C1674" s="2228" t="str">
        <f>VLOOKUP($A1674,'16 - QT_ICONT'!$A:$F,3,0)</f>
        <v>SINAPI</v>
      </c>
      <c r="D1674" s="2375" t="s">
        <v>8445</v>
      </c>
      <c r="E1674" s="2243" t="str">
        <f>IFERROR(VLOOKUP($B1674,'24.08_ND'!$1:$1048529,3,0),IFERROR(VLOOKUP($B1674,'03-CP'!$C$1:$H$6260,3,0),""))</f>
        <v>M</v>
      </c>
      <c r="F1674" s="2230">
        <v>37</v>
      </c>
      <c r="G1674" s="2232">
        <v>40.21</v>
      </c>
      <c r="H1674" s="2302">
        <f>TRUNC((G1674*F1674),2)</f>
        <v>1487.77</v>
      </c>
      <c r="I1674" s="2328">
        <f>J1674+K1674</f>
        <v>0</v>
      </c>
      <c r="J1674" s="2237"/>
      <c r="K1674" s="2411"/>
      <c r="L1674" s="2533">
        <f>M1674+N1674</f>
        <v>0</v>
      </c>
      <c r="M1674" s="2238">
        <v>0</v>
      </c>
      <c r="N1674" s="2239">
        <f>TRUNC(H1674*K1674,2)</f>
        <v>0</v>
      </c>
      <c r="O1674" s="2498">
        <f>H1674-L1674</f>
        <v>1487.77</v>
      </c>
      <c r="P1674" s="2295">
        <f t="shared" si="331"/>
        <v>1</v>
      </c>
    </row>
    <row r="1675" spans="1:16">
      <c r="A1675" s="2272" t="s">
        <v>14309</v>
      </c>
      <c r="B1675" s="2245" t="str">
        <f>VLOOKUP($A1675,'16 - QT_ICONT'!$A:$F,2,0)</f>
        <v>CP-HSD-41</v>
      </c>
      <c r="C1675" s="2228" t="str">
        <f>VLOOKUP($A1675,'16 - QT_ICONT'!$A:$F,3,0)</f>
        <v>PRÓPRIA</v>
      </c>
      <c r="D1675" s="2375" t="s">
        <v>15452</v>
      </c>
      <c r="E1675" s="2243" t="str">
        <f>IFERROR(VLOOKUP($B1675,'24.08_ND'!$1:$1048529,3,0),IFERROR(VLOOKUP($B1675,'03-CP'!$C$1:$H$6260,3,0),""))</f>
        <v>UN</v>
      </c>
      <c r="F1675" s="2230">
        <v>1</v>
      </c>
      <c r="G1675" s="2232">
        <v>3165.06</v>
      </c>
      <c r="H1675" s="2302">
        <f>TRUNC((G1675*F1675),2)</f>
        <v>3165.06</v>
      </c>
      <c r="I1675" s="2328">
        <f>J1675+K1675</f>
        <v>0</v>
      </c>
      <c r="J1675" s="2237"/>
      <c r="K1675" s="2411"/>
      <c r="L1675" s="2533">
        <f>M1675+N1675</f>
        <v>0</v>
      </c>
      <c r="M1675" s="2238">
        <v>0</v>
      </c>
      <c r="N1675" s="2239">
        <f>TRUNC(H1675*K1675,2)</f>
        <v>0</v>
      </c>
      <c r="O1675" s="2498">
        <f>H1675-L1675</f>
        <v>3165.06</v>
      </c>
      <c r="P1675" s="2295">
        <f t="shared" si="331"/>
        <v>1</v>
      </c>
    </row>
    <row r="1676" spans="1:16">
      <c r="A1676" s="2272" t="s">
        <v>14310</v>
      </c>
      <c r="B1676" s="2245" t="str">
        <f>VLOOKUP($A1676,'16 - QT_ICONT'!$A:$F,2,0)</f>
        <v>CP-HSD-42</v>
      </c>
      <c r="C1676" s="2228" t="str">
        <f>VLOOKUP($A1676,'16 - QT_ICONT'!$A:$F,3,0)</f>
        <v>PRÓPRIA</v>
      </c>
      <c r="D1676" s="2375" t="s">
        <v>15455</v>
      </c>
      <c r="E1676" s="2243" t="str">
        <f>IFERROR(VLOOKUP($B1676,'24.08_ND'!$1:$1048529,3,0),IFERROR(VLOOKUP($B1676,'03-CP'!$C$1:$H$6260,3,0),""))</f>
        <v>UN</v>
      </c>
      <c r="F1676" s="2230">
        <v>1</v>
      </c>
      <c r="G1676" s="2232">
        <v>3631.95</v>
      </c>
      <c r="H1676" s="2302">
        <f>TRUNC((G1676*F1676),2)</f>
        <v>3631.95</v>
      </c>
      <c r="I1676" s="2328">
        <f>J1676+K1676</f>
        <v>0</v>
      </c>
      <c r="J1676" s="2237"/>
      <c r="K1676" s="2411"/>
      <c r="L1676" s="2533">
        <f>M1676+N1676</f>
        <v>0</v>
      </c>
      <c r="M1676" s="2238">
        <v>0</v>
      </c>
      <c r="N1676" s="2239">
        <f>TRUNC(H1676*K1676,2)</f>
        <v>0</v>
      </c>
      <c r="O1676" s="2498">
        <f>H1676-L1676</f>
        <v>3631.95</v>
      </c>
      <c r="P1676" s="2295">
        <f t="shared" si="331"/>
        <v>1</v>
      </c>
    </row>
    <row r="1677" spans="1:16" ht="30">
      <c r="A1677" s="2272" t="s">
        <v>14311</v>
      </c>
      <c r="B1677" s="2245" t="str">
        <f>VLOOKUP($A1677,'16 - QT_ICONT'!$A:$F,2,0)</f>
        <v>CP-HSD-43</v>
      </c>
      <c r="C1677" s="2228" t="str">
        <f>VLOOKUP($A1677,'16 - QT_ICONT'!$A:$F,3,0)</f>
        <v>PRÓPRIA</v>
      </c>
      <c r="D1677" s="2375" t="s">
        <v>15458</v>
      </c>
      <c r="E1677" s="2243" t="str">
        <f>IFERROR(VLOOKUP($B1677,'24.08_ND'!$1:$1048529,3,0),IFERROR(VLOOKUP($B1677,'03-CP'!$C$1:$H$6260,3,0),""))</f>
        <v>UN</v>
      </c>
      <c r="F1677" s="2230">
        <v>1</v>
      </c>
      <c r="G1677" s="2232">
        <v>476.63</v>
      </c>
      <c r="H1677" s="2302">
        <f>TRUNC((G1677*F1677),2)</f>
        <v>476.63</v>
      </c>
      <c r="I1677" s="2328">
        <f>J1677+K1677</f>
        <v>0</v>
      </c>
      <c r="J1677" s="2237"/>
      <c r="K1677" s="2411"/>
      <c r="L1677" s="2533">
        <f>M1677+N1677</f>
        <v>0</v>
      </c>
      <c r="M1677" s="2238">
        <v>0</v>
      </c>
      <c r="N1677" s="2239">
        <f>TRUNC(H1677*K1677,2)</f>
        <v>0</v>
      </c>
      <c r="O1677" s="2498">
        <f>H1677-L1677</f>
        <v>476.63</v>
      </c>
      <c r="P1677" s="2295">
        <f t="shared" si="331"/>
        <v>1</v>
      </c>
    </row>
    <row r="1678" spans="1:16" ht="45">
      <c r="A1678" s="2272" t="s">
        <v>14312</v>
      </c>
      <c r="B1678" s="2228">
        <f>VLOOKUP($A1678,'16 - QT_ICONT'!$A:$F,2,0)</f>
        <v>98062</v>
      </c>
      <c r="C1678" s="2228" t="str">
        <f>VLOOKUP($A1678,'16 - QT_ICONT'!$A:$F,3,0)</f>
        <v>SINAPI</v>
      </c>
      <c r="D1678" s="2375" t="s">
        <v>10195</v>
      </c>
      <c r="E1678" s="2243" t="str">
        <f>IFERROR(VLOOKUP($B1678,'24.08_ND'!$1:$1048529,3,0),IFERROR(VLOOKUP($B1678,'03-CP'!$C$1:$H$6260,3,0),""))</f>
        <v>UN</v>
      </c>
      <c r="F1678" s="2230">
        <v>1</v>
      </c>
      <c r="G1678" s="2232">
        <v>3424.67</v>
      </c>
      <c r="H1678" s="2302">
        <f>TRUNC((G1678*F1678),2)</f>
        <v>3424.67</v>
      </c>
      <c r="I1678" s="2328">
        <f>J1678+K1678</f>
        <v>0</v>
      </c>
      <c r="J1678" s="2237"/>
      <c r="K1678" s="2411"/>
      <c r="L1678" s="2533">
        <f>M1678+N1678</f>
        <v>0</v>
      </c>
      <c r="M1678" s="2238">
        <v>0</v>
      </c>
      <c r="N1678" s="2239">
        <f>TRUNC(H1678*K1678,2)</f>
        <v>0</v>
      </c>
      <c r="O1678" s="2498">
        <f>H1678-L1678</f>
        <v>3424.67</v>
      </c>
      <c r="P1678" s="2295">
        <f t="shared" si="331"/>
        <v>1</v>
      </c>
    </row>
    <row r="1679" spans="1:16">
      <c r="A1679" s="2267" t="s">
        <v>12657</v>
      </c>
      <c r="B1679" s="2396"/>
      <c r="C1679" s="2400"/>
      <c r="D1679" s="2381" t="s">
        <v>16566</v>
      </c>
      <c r="E1679" s="2362"/>
      <c r="F1679" s="2363"/>
      <c r="G1679" s="2364"/>
      <c r="H1679" s="2365">
        <f>SUBTOTAL(9,H1680:H1697)</f>
        <v>24803.919999999998</v>
      </c>
      <c r="I1679" s="2366"/>
      <c r="J1679" s="2367"/>
      <c r="K1679" s="2556"/>
      <c r="L1679" s="2543">
        <f>SUBTOTAL(9,L1680:L1697)</f>
        <v>0</v>
      </c>
      <c r="M1679" s="2365">
        <f>SUBTOTAL(9,M1680:M1697)</f>
        <v>0</v>
      </c>
      <c r="N1679" s="2365">
        <f>SUBTOTAL(9,N1680:N1697)</f>
        <v>0</v>
      </c>
      <c r="O1679" s="2365">
        <f>SUBTOTAL(9,O1680:O1697)</f>
        <v>24803.919999999998</v>
      </c>
      <c r="P1679" s="2295">
        <f t="shared" si="331"/>
        <v>1</v>
      </c>
    </row>
    <row r="1680" spans="1:16">
      <c r="A1680" s="2343" t="s">
        <v>14313</v>
      </c>
      <c r="B1680" s="2397"/>
      <c r="C1680" s="2401"/>
      <c r="D1680" s="2380" t="s">
        <v>16312</v>
      </c>
      <c r="E1680" s="2368"/>
      <c r="F1680" s="2369"/>
      <c r="G1680" s="2370"/>
      <c r="H1680" s="2374">
        <f>SUBTOTAL(9,H1681:H1690)</f>
        <v>4780.5599999999995</v>
      </c>
      <c r="I1680" s="2371"/>
      <c r="J1680" s="2372"/>
      <c r="K1680" s="2555"/>
      <c r="L1680" s="2542">
        <f>SUBTOTAL(9,L1681:L1690)</f>
        <v>0</v>
      </c>
      <c r="M1680" s="2374">
        <f>SUBTOTAL(9,M1681:M1690)</f>
        <v>0</v>
      </c>
      <c r="N1680" s="2374">
        <f>SUBTOTAL(9,N1681:N1690)</f>
        <v>0</v>
      </c>
      <c r="O1680" s="2374">
        <f>SUBTOTAL(9,O1681:O1690)</f>
        <v>4780.5599999999995</v>
      </c>
      <c r="P1680" s="2295">
        <f t="shared" si="331"/>
        <v>1</v>
      </c>
    </row>
    <row r="1681" spans="1:16" ht="30">
      <c r="A1681" s="2272" t="s">
        <v>14314</v>
      </c>
      <c r="B1681" s="2228">
        <f>VLOOKUP($A1681,'16 - QT_ICONT'!$A:$F,2,0)</f>
        <v>105234</v>
      </c>
      <c r="C1681" s="2228" t="str">
        <f>VLOOKUP($A1681,'16 - QT_ICONT'!$A:$F,3,0)</f>
        <v>SINAPI</v>
      </c>
      <c r="D1681" s="2375" t="s">
        <v>10006</v>
      </c>
      <c r="E1681" s="2243" t="str">
        <f>IFERROR(VLOOKUP($B1681,'24.08_ND'!$1:$1048529,3,0),IFERROR(VLOOKUP($B1681,'03-CP'!$C$1:$H$6260,3,0),""))</f>
        <v>UN</v>
      </c>
      <c r="F1681" s="2230">
        <v>1</v>
      </c>
      <c r="G1681" s="2232">
        <v>10.15</v>
      </c>
      <c r="H1681" s="2302">
        <f t="shared" ref="H1681:H1690" si="342">TRUNC((G1681*F1681),2)</f>
        <v>10.15</v>
      </c>
      <c r="I1681" s="2328">
        <f t="shared" ref="I1681:I1690" si="343">J1681+K1681</f>
        <v>0</v>
      </c>
      <c r="J1681" s="2237"/>
      <c r="K1681" s="2411"/>
      <c r="L1681" s="2533">
        <f t="shared" ref="L1681:L1690" si="344">M1681+N1681</f>
        <v>0</v>
      </c>
      <c r="M1681" s="2238">
        <v>0</v>
      </c>
      <c r="N1681" s="2239">
        <f t="shared" ref="N1681:N1690" si="345">TRUNC(H1681*K1681,2)</f>
        <v>0</v>
      </c>
      <c r="O1681" s="2498">
        <f t="shared" ref="O1681:O1690" si="346">H1681-L1681</f>
        <v>10.15</v>
      </c>
      <c r="P1681" s="2295">
        <f t="shared" si="331"/>
        <v>1</v>
      </c>
    </row>
    <row r="1682" spans="1:16" ht="30">
      <c r="A1682" s="2272" t="s">
        <v>14315</v>
      </c>
      <c r="B1682" s="2228">
        <f>VLOOKUP($A1682,'16 - QT_ICONT'!$A:$F,2,0)</f>
        <v>103979</v>
      </c>
      <c r="C1682" s="2228" t="str">
        <f>VLOOKUP($A1682,'16 - QT_ICONT'!$A:$F,3,0)</f>
        <v>SINAPI</v>
      </c>
      <c r="D1682" s="2375" t="s">
        <v>8649</v>
      </c>
      <c r="E1682" s="2243" t="str">
        <f>IFERROR(VLOOKUP($B1682,'24.08_ND'!$1:$1048529,3,0),IFERROR(VLOOKUP($B1682,'03-CP'!$C$1:$H$6260,3,0),""))</f>
        <v>M</v>
      </c>
      <c r="F1682" s="2230">
        <v>1.2</v>
      </c>
      <c r="G1682" s="2232">
        <v>30.08</v>
      </c>
      <c r="H1682" s="2302">
        <f t="shared" si="342"/>
        <v>36.090000000000003</v>
      </c>
      <c r="I1682" s="2328">
        <f t="shared" si="343"/>
        <v>0</v>
      </c>
      <c r="J1682" s="2237"/>
      <c r="K1682" s="2411"/>
      <c r="L1682" s="2533">
        <f t="shared" si="344"/>
        <v>0</v>
      </c>
      <c r="M1682" s="2238">
        <v>0</v>
      </c>
      <c r="N1682" s="2239">
        <f t="shared" si="345"/>
        <v>0</v>
      </c>
      <c r="O1682" s="2498">
        <f t="shared" si="346"/>
        <v>36.090000000000003</v>
      </c>
      <c r="P1682" s="2295">
        <f t="shared" si="331"/>
        <v>1</v>
      </c>
    </row>
    <row r="1683" spans="1:16" ht="30">
      <c r="A1683" s="2272" t="s">
        <v>14316</v>
      </c>
      <c r="B1683" s="2228">
        <f>VLOOKUP($A1683,'16 - QT_ICONT'!$A:$F,2,0)</f>
        <v>89362</v>
      </c>
      <c r="C1683" s="2228" t="str">
        <f>VLOOKUP($A1683,'16 - QT_ICONT'!$A:$F,3,0)</f>
        <v>SINAPI</v>
      </c>
      <c r="D1683" s="2375" t="s">
        <v>8669</v>
      </c>
      <c r="E1683" s="2243" t="str">
        <f>IFERROR(VLOOKUP($B1683,'24.08_ND'!$1:$1048529,3,0),IFERROR(VLOOKUP($B1683,'03-CP'!$C$1:$H$6260,3,0),""))</f>
        <v>UN</v>
      </c>
      <c r="F1683" s="2230">
        <v>7</v>
      </c>
      <c r="G1683" s="2232">
        <v>10.220000000000001</v>
      </c>
      <c r="H1683" s="2302">
        <f t="shared" si="342"/>
        <v>71.540000000000006</v>
      </c>
      <c r="I1683" s="2328">
        <f t="shared" si="343"/>
        <v>0</v>
      </c>
      <c r="J1683" s="2237"/>
      <c r="K1683" s="2411"/>
      <c r="L1683" s="2533">
        <f t="shared" si="344"/>
        <v>0</v>
      </c>
      <c r="M1683" s="2238">
        <v>0</v>
      </c>
      <c r="N1683" s="2239">
        <f t="shared" si="345"/>
        <v>0</v>
      </c>
      <c r="O1683" s="2498">
        <f t="shared" si="346"/>
        <v>71.540000000000006</v>
      </c>
      <c r="P1683" s="2295">
        <f t="shared" si="331"/>
        <v>1</v>
      </c>
    </row>
    <row r="1684" spans="1:16" ht="45">
      <c r="A1684" s="2272" t="s">
        <v>14317</v>
      </c>
      <c r="B1684" s="2228">
        <f>VLOOKUP($A1684,'16 - QT_ICONT'!$A:$F,2,0)</f>
        <v>90373</v>
      </c>
      <c r="C1684" s="2228" t="str">
        <f>VLOOKUP($A1684,'16 - QT_ICONT'!$A:$F,3,0)</f>
        <v>SINAPI</v>
      </c>
      <c r="D1684" s="2375" t="s">
        <v>9065</v>
      </c>
      <c r="E1684" s="2243" t="str">
        <f>IFERROR(VLOOKUP($B1684,'24.08_ND'!$1:$1048529,3,0),IFERROR(VLOOKUP($B1684,'03-CP'!$C$1:$H$6260,3,0),""))</f>
        <v>UN</v>
      </c>
      <c r="F1684" s="2230">
        <v>6</v>
      </c>
      <c r="G1684" s="2232">
        <v>13.46</v>
      </c>
      <c r="H1684" s="2302">
        <f t="shared" si="342"/>
        <v>80.760000000000005</v>
      </c>
      <c r="I1684" s="2328">
        <f t="shared" si="343"/>
        <v>0</v>
      </c>
      <c r="J1684" s="2237"/>
      <c r="K1684" s="2411"/>
      <c r="L1684" s="2533">
        <f t="shared" si="344"/>
        <v>0</v>
      </c>
      <c r="M1684" s="2238">
        <v>0</v>
      </c>
      <c r="N1684" s="2239">
        <f t="shared" si="345"/>
        <v>0</v>
      </c>
      <c r="O1684" s="2498">
        <f t="shared" si="346"/>
        <v>80.760000000000005</v>
      </c>
      <c r="P1684" s="2295">
        <f t="shared" si="331"/>
        <v>1</v>
      </c>
    </row>
    <row r="1685" spans="1:16" ht="30">
      <c r="A1685" s="2272" t="s">
        <v>14318</v>
      </c>
      <c r="B1685" s="2228">
        <f>VLOOKUP($A1685,'16 - QT_ICONT'!$A:$F,2,0)</f>
        <v>89402</v>
      </c>
      <c r="C1685" s="2228" t="str">
        <f>VLOOKUP($A1685,'16 - QT_ICONT'!$A:$F,3,0)</f>
        <v>SINAPI</v>
      </c>
      <c r="D1685" s="2375" t="s">
        <v>8422</v>
      </c>
      <c r="E1685" s="2243" t="str">
        <f>IFERROR(VLOOKUP($B1685,'24.08_ND'!$1:$1048529,3,0),IFERROR(VLOOKUP($B1685,'03-CP'!$C$1:$H$6260,3,0),""))</f>
        <v>M</v>
      </c>
      <c r="F1685" s="2230">
        <v>45</v>
      </c>
      <c r="G1685" s="2232">
        <v>12.75</v>
      </c>
      <c r="H1685" s="2302">
        <f t="shared" si="342"/>
        <v>573.75</v>
      </c>
      <c r="I1685" s="2328">
        <f t="shared" si="343"/>
        <v>0</v>
      </c>
      <c r="J1685" s="2237"/>
      <c r="K1685" s="2411"/>
      <c r="L1685" s="2533">
        <f t="shared" si="344"/>
        <v>0</v>
      </c>
      <c r="M1685" s="2238">
        <v>0</v>
      </c>
      <c r="N1685" s="2239">
        <f t="shared" si="345"/>
        <v>0</v>
      </c>
      <c r="O1685" s="2498">
        <f t="shared" si="346"/>
        <v>573.75</v>
      </c>
      <c r="P1685" s="2295">
        <f t="shared" si="331"/>
        <v>1</v>
      </c>
    </row>
    <row r="1686" spans="1:16" ht="30">
      <c r="A1686" s="2272" t="s">
        <v>14319</v>
      </c>
      <c r="B1686" s="2228">
        <f>VLOOKUP($A1686,'16 - QT_ICONT'!$A:$F,2,0)</f>
        <v>89395</v>
      </c>
      <c r="C1686" s="2228" t="str">
        <f>VLOOKUP($A1686,'16 - QT_ICONT'!$A:$F,3,0)</f>
        <v>SINAPI</v>
      </c>
      <c r="D1686" s="2375" t="s">
        <v>8701</v>
      </c>
      <c r="E1686" s="2243" t="str">
        <f>IFERROR(VLOOKUP($B1686,'24.08_ND'!$1:$1048529,3,0),IFERROR(VLOOKUP($B1686,'03-CP'!$C$1:$H$6260,3,0),""))</f>
        <v>UN</v>
      </c>
      <c r="F1686" s="2230">
        <v>5</v>
      </c>
      <c r="G1686" s="2232">
        <v>14.12</v>
      </c>
      <c r="H1686" s="2302">
        <f t="shared" si="342"/>
        <v>70.599999999999994</v>
      </c>
      <c r="I1686" s="2328">
        <f t="shared" si="343"/>
        <v>0</v>
      </c>
      <c r="J1686" s="2237"/>
      <c r="K1686" s="2411"/>
      <c r="L1686" s="2533">
        <f t="shared" si="344"/>
        <v>0</v>
      </c>
      <c r="M1686" s="2238">
        <v>0</v>
      </c>
      <c r="N1686" s="2239">
        <f t="shared" si="345"/>
        <v>0</v>
      </c>
      <c r="O1686" s="2498">
        <f t="shared" si="346"/>
        <v>70.599999999999994</v>
      </c>
      <c r="P1686" s="2295">
        <f t="shared" si="331"/>
        <v>1</v>
      </c>
    </row>
    <row r="1687" spans="1:16">
      <c r="A1687" s="2272" t="s">
        <v>14320</v>
      </c>
      <c r="B1687" s="2245" t="str">
        <f>VLOOKUP($A1687,'16 - QT_ICONT'!$A:$F,2,0)</f>
        <v>CP-HSD-35</v>
      </c>
      <c r="C1687" s="2228" t="str">
        <f>VLOOKUP($A1687,'16 - QT_ICONT'!$A:$F,3,0)</f>
        <v>PRÓPRIA</v>
      </c>
      <c r="D1687" s="2375" t="s">
        <v>15437</v>
      </c>
      <c r="E1687" s="2243" t="str">
        <f>IFERROR(VLOOKUP($B1687,'24.08_ND'!$1:$1048529,3,0),IFERROR(VLOOKUP($B1687,'03-CP'!$C$1:$H$6260,3,0),""))</f>
        <v>UN</v>
      </c>
      <c r="F1687" s="2230">
        <v>6</v>
      </c>
      <c r="G1687" s="2232">
        <v>78.52</v>
      </c>
      <c r="H1687" s="2302">
        <f t="shared" si="342"/>
        <v>471.12</v>
      </c>
      <c r="I1687" s="2328">
        <f t="shared" si="343"/>
        <v>0</v>
      </c>
      <c r="J1687" s="2237"/>
      <c r="K1687" s="2411"/>
      <c r="L1687" s="2533">
        <f t="shared" si="344"/>
        <v>0</v>
      </c>
      <c r="M1687" s="2238">
        <v>0</v>
      </c>
      <c r="N1687" s="2239">
        <f t="shared" si="345"/>
        <v>0</v>
      </c>
      <c r="O1687" s="2498">
        <f t="shared" si="346"/>
        <v>471.12</v>
      </c>
      <c r="P1687" s="2295">
        <f t="shared" si="331"/>
        <v>1</v>
      </c>
    </row>
    <row r="1688" spans="1:16" ht="30">
      <c r="A1688" s="2272" t="s">
        <v>14321</v>
      </c>
      <c r="B1688" s="2245" t="str">
        <f>VLOOKUP($A1688,'16 - QT_ICONT'!$A:$F,2,0)</f>
        <v>CP-HSD-37</v>
      </c>
      <c r="C1688" s="2228" t="str">
        <f>VLOOKUP($A1688,'16 - QT_ICONT'!$A:$F,3,0)</f>
        <v>PRÓPRIA</v>
      </c>
      <c r="D1688" s="2375" t="s">
        <v>15441</v>
      </c>
      <c r="E1688" s="2243" t="str">
        <f>IFERROR(VLOOKUP($B1688,'24.08_ND'!$1:$1048529,3,0),IFERROR(VLOOKUP($B1688,'03-CP'!$C$1:$H$6260,3,0),""))</f>
        <v>UN</v>
      </c>
      <c r="F1688" s="2230">
        <v>6</v>
      </c>
      <c r="G1688" s="2232">
        <v>260.70999999999998</v>
      </c>
      <c r="H1688" s="2302">
        <f t="shared" si="342"/>
        <v>1564.26</v>
      </c>
      <c r="I1688" s="2328">
        <f t="shared" si="343"/>
        <v>0</v>
      </c>
      <c r="J1688" s="2237"/>
      <c r="K1688" s="2411"/>
      <c r="L1688" s="2533">
        <f t="shared" si="344"/>
        <v>0</v>
      </c>
      <c r="M1688" s="2238">
        <v>0</v>
      </c>
      <c r="N1688" s="2239">
        <f t="shared" si="345"/>
        <v>0</v>
      </c>
      <c r="O1688" s="2498">
        <f t="shared" si="346"/>
        <v>1564.26</v>
      </c>
      <c r="P1688" s="2295">
        <f t="shared" si="331"/>
        <v>1</v>
      </c>
    </row>
    <row r="1689" spans="1:16" ht="30">
      <c r="A1689" s="2272" t="s">
        <v>14322</v>
      </c>
      <c r="B1689" s="2228">
        <f>VLOOKUP($A1689,'16 - QT_ICONT'!$A:$F,2,0)</f>
        <v>93358</v>
      </c>
      <c r="C1689" s="2228" t="str">
        <f>VLOOKUP($A1689,'16 - QT_ICONT'!$A:$F,3,0)</f>
        <v>SINAPI</v>
      </c>
      <c r="D1689" s="2375" t="s">
        <v>10648</v>
      </c>
      <c r="E1689" s="2243" t="str">
        <f>IFERROR(VLOOKUP($B1689,'24.08_ND'!$1:$1048529,3,0),IFERROR(VLOOKUP($B1689,'03-CP'!$C$1:$H$6260,3,0),""))</f>
        <v>M3</v>
      </c>
      <c r="F1689" s="2230">
        <v>14.700000000000001</v>
      </c>
      <c r="G1689" s="2232">
        <v>91.52</v>
      </c>
      <c r="H1689" s="2302">
        <f t="shared" si="342"/>
        <v>1345.34</v>
      </c>
      <c r="I1689" s="2328">
        <f t="shared" si="343"/>
        <v>0</v>
      </c>
      <c r="J1689" s="2237"/>
      <c r="K1689" s="2411"/>
      <c r="L1689" s="2533">
        <f t="shared" si="344"/>
        <v>0</v>
      </c>
      <c r="M1689" s="2238">
        <v>0</v>
      </c>
      <c r="N1689" s="2239">
        <f t="shared" si="345"/>
        <v>0</v>
      </c>
      <c r="O1689" s="2498">
        <f t="shared" si="346"/>
        <v>1345.34</v>
      </c>
      <c r="P1689" s="2295">
        <f t="shared" si="331"/>
        <v>1</v>
      </c>
    </row>
    <row r="1690" spans="1:16" ht="30">
      <c r="A1690" s="2272" t="s">
        <v>14323</v>
      </c>
      <c r="B1690" s="2228">
        <f>VLOOKUP($A1690,'16 - QT_ICONT'!$A:$F,2,0)</f>
        <v>93382</v>
      </c>
      <c r="C1690" s="2228" t="str">
        <f>VLOOKUP($A1690,'16 - QT_ICONT'!$A:$F,3,0)</f>
        <v>SINAPI</v>
      </c>
      <c r="D1690" s="2375" t="s">
        <v>10726</v>
      </c>
      <c r="E1690" s="2243" t="str">
        <f>IFERROR(VLOOKUP($B1690,'24.08_ND'!$1:$1048529,3,0),IFERROR(VLOOKUP($B1690,'03-CP'!$C$1:$H$6260,3,0),""))</f>
        <v>M3</v>
      </c>
      <c r="F1690" s="2230">
        <v>20.72</v>
      </c>
      <c r="G1690" s="2232">
        <v>26.88</v>
      </c>
      <c r="H1690" s="2302">
        <f t="shared" si="342"/>
        <v>556.95000000000005</v>
      </c>
      <c r="I1690" s="2328">
        <f t="shared" si="343"/>
        <v>0</v>
      </c>
      <c r="J1690" s="2237"/>
      <c r="K1690" s="2411"/>
      <c r="L1690" s="2533">
        <f t="shared" si="344"/>
        <v>0</v>
      </c>
      <c r="M1690" s="2238">
        <v>0</v>
      </c>
      <c r="N1690" s="2239">
        <f t="shared" si="345"/>
        <v>0</v>
      </c>
      <c r="O1690" s="2498">
        <f t="shared" si="346"/>
        <v>556.95000000000005</v>
      </c>
      <c r="P1690" s="2295">
        <f t="shared" si="331"/>
        <v>1</v>
      </c>
    </row>
    <row r="1691" spans="1:16">
      <c r="A1691" s="2343" t="s">
        <v>14324</v>
      </c>
      <c r="B1691" s="2397"/>
      <c r="C1691" s="2401"/>
      <c r="D1691" s="2380" t="s">
        <v>16317</v>
      </c>
      <c r="E1691" s="2368"/>
      <c r="F1691" s="2369"/>
      <c r="G1691" s="2370"/>
      <c r="H1691" s="2374">
        <f>SUBTOTAL(9,H1692:H1697)</f>
        <v>20023.36</v>
      </c>
      <c r="I1691" s="2371"/>
      <c r="J1691" s="2372"/>
      <c r="K1691" s="2555"/>
      <c r="L1691" s="2542">
        <f>SUBTOTAL(9,L1692:L1697)</f>
        <v>0</v>
      </c>
      <c r="M1691" s="2374">
        <f>SUBTOTAL(9,M1692:M1697)</f>
        <v>0</v>
      </c>
      <c r="N1691" s="2374">
        <f>SUBTOTAL(9,N1692:N1697)</f>
        <v>0</v>
      </c>
      <c r="O1691" s="2374">
        <f>SUBTOTAL(9,O1692:O1697)</f>
        <v>20023.36</v>
      </c>
      <c r="P1691" s="2295">
        <f t="shared" si="331"/>
        <v>1</v>
      </c>
    </row>
    <row r="1692" spans="1:16" ht="45">
      <c r="A1692" s="2272" t="s">
        <v>14325</v>
      </c>
      <c r="B1692" s="2228">
        <f>VLOOKUP($A1692,'16 - QT_ICONT'!$A:$F,2,0)</f>
        <v>97906</v>
      </c>
      <c r="C1692" s="2228" t="str">
        <f>VLOOKUP($A1692,'16 - QT_ICONT'!$A:$F,3,0)</f>
        <v>SINAPI</v>
      </c>
      <c r="D1692" s="2375" t="s">
        <v>10017</v>
      </c>
      <c r="E1692" s="2243" t="str">
        <f>IFERROR(VLOOKUP($B1692,'24.08_ND'!$1:$1048529,3,0),IFERROR(VLOOKUP($B1692,'03-CP'!$C$1:$H$6260,3,0),""))</f>
        <v>UN</v>
      </c>
      <c r="F1692" s="2230">
        <v>10</v>
      </c>
      <c r="G1692" s="2232">
        <v>509.9</v>
      </c>
      <c r="H1692" s="2302">
        <f t="shared" ref="H1692:H1697" si="347">TRUNC((G1692*F1692),2)</f>
        <v>5099</v>
      </c>
      <c r="I1692" s="2328">
        <f t="shared" ref="I1692:I1697" si="348">J1692+K1692</f>
        <v>0</v>
      </c>
      <c r="J1692" s="2237"/>
      <c r="K1692" s="2411"/>
      <c r="L1692" s="2533">
        <f t="shared" ref="L1692:L1697" si="349">M1692+N1692</f>
        <v>0</v>
      </c>
      <c r="M1692" s="2238">
        <v>0</v>
      </c>
      <c r="N1692" s="2239">
        <f t="shared" ref="N1692:N1697" si="350">TRUNC(H1692*K1692,2)</f>
        <v>0</v>
      </c>
      <c r="O1692" s="2498">
        <f t="shared" ref="O1692:O1697" si="351">H1692-L1692</f>
        <v>5099</v>
      </c>
      <c r="P1692" s="2295">
        <f t="shared" si="331"/>
        <v>1</v>
      </c>
    </row>
    <row r="1693" spans="1:16" ht="30">
      <c r="A1693" s="2272" t="s">
        <v>14326</v>
      </c>
      <c r="B1693" s="2228" t="str">
        <f>VLOOKUP($A1693,'16 - QT_ICONT'!$A:$F,2,0)</f>
        <v>CP-HSD-07</v>
      </c>
      <c r="C1693" s="2228" t="str">
        <f>VLOOKUP($A1693,'16 - QT_ICONT'!$A:$F,3,0)</f>
        <v>PRÓPRIA</v>
      </c>
      <c r="D1693" s="2375" t="s">
        <v>15373</v>
      </c>
      <c r="E1693" s="2243" t="str">
        <f>IFERROR(VLOOKUP($B1693,'24.08_ND'!$1:$1048529,3,0),IFERROR(VLOOKUP($B1693,'03-CP'!$C$1:$H$6260,3,0),""))</f>
        <v>UN</v>
      </c>
      <c r="F1693" s="2230">
        <v>6</v>
      </c>
      <c r="G1693" s="2232">
        <v>20.88</v>
      </c>
      <c r="H1693" s="2302">
        <f t="shared" si="347"/>
        <v>125.28</v>
      </c>
      <c r="I1693" s="2328">
        <f t="shared" si="348"/>
        <v>0</v>
      </c>
      <c r="J1693" s="2237"/>
      <c r="K1693" s="2411"/>
      <c r="L1693" s="2533">
        <f t="shared" si="349"/>
        <v>0</v>
      </c>
      <c r="M1693" s="2238">
        <v>0</v>
      </c>
      <c r="N1693" s="2239">
        <f t="shared" si="350"/>
        <v>0</v>
      </c>
      <c r="O1693" s="2498">
        <f t="shared" si="351"/>
        <v>125.28</v>
      </c>
      <c r="P1693" s="2295">
        <f t="shared" si="331"/>
        <v>1</v>
      </c>
    </row>
    <row r="1694" spans="1:16" ht="45">
      <c r="A1694" s="2272" t="s">
        <v>14327</v>
      </c>
      <c r="B1694" s="2228">
        <f>VLOOKUP($A1694,'16 - QT_ICONT'!$A:$F,2,0)</f>
        <v>89744</v>
      </c>
      <c r="C1694" s="2228" t="str">
        <f>VLOOKUP($A1694,'16 - QT_ICONT'!$A:$F,3,0)</f>
        <v>SINAPI</v>
      </c>
      <c r="D1694" s="2375" t="s">
        <v>8957</v>
      </c>
      <c r="E1694" s="2243" t="str">
        <f>IFERROR(VLOOKUP($B1694,'24.08_ND'!$1:$1048529,3,0),IFERROR(VLOOKUP($B1694,'03-CP'!$C$1:$H$6260,3,0),""))</f>
        <v>UN</v>
      </c>
      <c r="F1694" s="2230">
        <v>6</v>
      </c>
      <c r="G1694" s="2232">
        <v>30.53</v>
      </c>
      <c r="H1694" s="2302">
        <f t="shared" si="347"/>
        <v>183.18</v>
      </c>
      <c r="I1694" s="2328">
        <f t="shared" si="348"/>
        <v>0</v>
      </c>
      <c r="J1694" s="2237"/>
      <c r="K1694" s="2411"/>
      <c r="L1694" s="2533">
        <f t="shared" si="349"/>
        <v>0</v>
      </c>
      <c r="M1694" s="2238">
        <v>0</v>
      </c>
      <c r="N1694" s="2239">
        <f t="shared" si="350"/>
        <v>0</v>
      </c>
      <c r="O1694" s="2498">
        <f t="shared" si="351"/>
        <v>183.18</v>
      </c>
      <c r="P1694" s="2295">
        <f t="shared" si="331"/>
        <v>1</v>
      </c>
    </row>
    <row r="1695" spans="1:16" ht="45">
      <c r="A1695" s="2272" t="s">
        <v>14328</v>
      </c>
      <c r="B1695" s="2228">
        <f>VLOOKUP($A1695,'16 - QT_ICONT'!$A:$F,2,0)</f>
        <v>89714</v>
      </c>
      <c r="C1695" s="2228" t="str">
        <f>VLOOKUP($A1695,'16 - QT_ICONT'!$A:$F,3,0)</f>
        <v>SINAPI</v>
      </c>
      <c r="D1695" s="2375" t="s">
        <v>8445</v>
      </c>
      <c r="E1695" s="2243" t="str">
        <f>IFERROR(VLOOKUP($B1695,'24.08_ND'!$1:$1048529,3,0),IFERROR(VLOOKUP($B1695,'03-CP'!$C$1:$H$6260,3,0),""))</f>
        <v>M</v>
      </c>
      <c r="F1695" s="2230">
        <v>124.2</v>
      </c>
      <c r="G1695" s="2232">
        <v>40.21</v>
      </c>
      <c r="H1695" s="2302">
        <f t="shared" si="347"/>
        <v>4994.08</v>
      </c>
      <c r="I1695" s="2328">
        <f t="shared" si="348"/>
        <v>0</v>
      </c>
      <c r="J1695" s="2237"/>
      <c r="K1695" s="2411"/>
      <c r="L1695" s="2533">
        <f t="shared" si="349"/>
        <v>0</v>
      </c>
      <c r="M1695" s="2238">
        <v>0</v>
      </c>
      <c r="N1695" s="2239">
        <f t="shared" si="350"/>
        <v>0</v>
      </c>
      <c r="O1695" s="2498">
        <f t="shared" si="351"/>
        <v>4994.08</v>
      </c>
      <c r="P1695" s="2295">
        <f t="shared" si="331"/>
        <v>1</v>
      </c>
    </row>
    <row r="1696" spans="1:16" ht="30">
      <c r="A1696" s="2272" t="s">
        <v>14329</v>
      </c>
      <c r="B1696" s="2228">
        <f>VLOOKUP($A1696,'16 - QT_ICONT'!$A:$F,2,0)</f>
        <v>93358</v>
      </c>
      <c r="C1696" s="2228" t="str">
        <f>VLOOKUP($A1696,'16 - QT_ICONT'!$A:$F,3,0)</f>
        <v>SINAPI</v>
      </c>
      <c r="D1696" s="2375" t="s">
        <v>10648</v>
      </c>
      <c r="E1696" s="2243" t="str">
        <f>IFERROR(VLOOKUP($B1696,'24.08_ND'!$1:$1048529,3,0),IFERROR(VLOOKUP($B1696,'03-CP'!$C$1:$H$6260,3,0),""))</f>
        <v>M3</v>
      </c>
      <c r="F1696" s="2230">
        <v>74.5</v>
      </c>
      <c r="G1696" s="2232">
        <v>91.52</v>
      </c>
      <c r="H1696" s="2302">
        <f t="shared" si="347"/>
        <v>6818.24</v>
      </c>
      <c r="I1696" s="2328">
        <f t="shared" si="348"/>
        <v>0</v>
      </c>
      <c r="J1696" s="2237"/>
      <c r="K1696" s="2411"/>
      <c r="L1696" s="2533">
        <f t="shared" si="349"/>
        <v>0</v>
      </c>
      <c r="M1696" s="2238">
        <v>0</v>
      </c>
      <c r="N1696" s="2239">
        <f t="shared" si="350"/>
        <v>0</v>
      </c>
      <c r="O1696" s="2498">
        <f t="shared" si="351"/>
        <v>6818.24</v>
      </c>
      <c r="P1696" s="2295">
        <f t="shared" si="331"/>
        <v>1</v>
      </c>
    </row>
    <row r="1697" spans="1:16" ht="30">
      <c r="A1697" s="2272" t="s">
        <v>14330</v>
      </c>
      <c r="B1697" s="2228">
        <f>VLOOKUP($A1697,'16 - QT_ICONT'!$A:$F,2,0)</f>
        <v>93382</v>
      </c>
      <c r="C1697" s="2228" t="str">
        <f>VLOOKUP($A1697,'16 - QT_ICONT'!$A:$F,3,0)</f>
        <v>SINAPI</v>
      </c>
      <c r="D1697" s="2375" t="s">
        <v>10726</v>
      </c>
      <c r="E1697" s="2243" t="str">
        <f>IFERROR(VLOOKUP($B1697,'24.08_ND'!$1:$1048529,3,0),IFERROR(VLOOKUP($B1697,'03-CP'!$C$1:$H$6260,3,0),""))</f>
        <v>M3</v>
      </c>
      <c r="F1697" s="2230">
        <v>104.3</v>
      </c>
      <c r="G1697" s="2232">
        <v>26.88</v>
      </c>
      <c r="H1697" s="2302">
        <f t="shared" si="347"/>
        <v>2803.58</v>
      </c>
      <c r="I1697" s="2328">
        <f t="shared" si="348"/>
        <v>0</v>
      </c>
      <c r="J1697" s="2237"/>
      <c r="K1697" s="2411"/>
      <c r="L1697" s="2533">
        <f t="shared" si="349"/>
        <v>0</v>
      </c>
      <c r="M1697" s="2238">
        <v>0</v>
      </c>
      <c r="N1697" s="2239">
        <f t="shared" si="350"/>
        <v>0</v>
      </c>
      <c r="O1697" s="2498">
        <f t="shared" si="351"/>
        <v>2803.58</v>
      </c>
      <c r="P1697" s="2295">
        <f t="shared" si="331"/>
        <v>1</v>
      </c>
    </row>
    <row r="1698" spans="1:16">
      <c r="A1698" s="2267" t="s">
        <v>12658</v>
      </c>
      <c r="B1698" s="2396"/>
      <c r="C1698" s="2400"/>
      <c r="D1698" s="2381" t="s">
        <v>16568</v>
      </c>
      <c r="E1698" s="2362"/>
      <c r="F1698" s="2363"/>
      <c r="G1698" s="2364"/>
      <c r="H1698" s="2365">
        <f>SUBTOTAL(9,H1699:H1718)</f>
        <v>17824.43</v>
      </c>
      <c r="I1698" s="2366"/>
      <c r="J1698" s="2367"/>
      <c r="K1698" s="2556"/>
      <c r="L1698" s="2543">
        <f>SUBTOTAL(9,L1699:L1718)</f>
        <v>0</v>
      </c>
      <c r="M1698" s="2365">
        <f>SUBTOTAL(9,M1699:M1718)</f>
        <v>0</v>
      </c>
      <c r="N1698" s="2365">
        <f>SUBTOTAL(9,N1699:N1718)</f>
        <v>0</v>
      </c>
      <c r="O1698" s="2365">
        <f>SUBTOTAL(9,O1699:O1718)</f>
        <v>17824.43</v>
      </c>
      <c r="P1698" s="2295">
        <f t="shared" si="331"/>
        <v>1</v>
      </c>
    </row>
    <row r="1699" spans="1:16">
      <c r="A1699" s="2343" t="s">
        <v>14331</v>
      </c>
      <c r="B1699" s="2397"/>
      <c r="C1699" s="2401"/>
      <c r="D1699" s="2380" t="s">
        <v>16312</v>
      </c>
      <c r="E1699" s="2368"/>
      <c r="F1699" s="2369"/>
      <c r="G1699" s="2370"/>
      <c r="H1699" s="2374">
        <f>SUBTOTAL(9,H1700:H1711)</f>
        <v>5355.03</v>
      </c>
      <c r="I1699" s="2371"/>
      <c r="J1699" s="2372"/>
      <c r="K1699" s="2555"/>
      <c r="L1699" s="2542">
        <f>SUBTOTAL(9,L1700:L1711)</f>
        <v>0</v>
      </c>
      <c r="M1699" s="2374">
        <f>SUBTOTAL(9,M1700:M1711)</f>
        <v>0</v>
      </c>
      <c r="N1699" s="2374">
        <f>SUBTOTAL(9,N1700:N1711)</f>
        <v>0</v>
      </c>
      <c r="O1699" s="2374">
        <f>SUBTOTAL(9,O1700:O1711)</f>
        <v>5355.03</v>
      </c>
      <c r="P1699" s="2295">
        <f t="shared" si="331"/>
        <v>1</v>
      </c>
    </row>
    <row r="1700" spans="1:16" ht="30">
      <c r="A1700" s="2272" t="s">
        <v>14332</v>
      </c>
      <c r="B1700" s="2228">
        <f>VLOOKUP($A1700,'16 - QT_ICONT'!$A:$F,2,0)</f>
        <v>89501</v>
      </c>
      <c r="C1700" s="2228" t="str">
        <f>VLOOKUP($A1700,'16 - QT_ICONT'!$A:$F,3,0)</f>
        <v>SINAPI</v>
      </c>
      <c r="D1700" s="2375" t="s">
        <v>8758</v>
      </c>
      <c r="E1700" s="2243" t="str">
        <f>IFERROR(VLOOKUP($B1700,'24.08_ND'!$1:$1048529,3,0),IFERROR(VLOOKUP($B1700,'03-CP'!$C$1:$H$6260,3,0),""))</f>
        <v>UN</v>
      </c>
      <c r="F1700" s="2230">
        <v>1</v>
      </c>
      <c r="G1700" s="2232">
        <v>15.25</v>
      </c>
      <c r="H1700" s="2302">
        <f t="shared" ref="H1700:H1711" si="352">TRUNC((G1700*F1700),2)</f>
        <v>15.25</v>
      </c>
      <c r="I1700" s="2328">
        <f t="shared" ref="I1700:I1711" si="353">J1700+K1700</f>
        <v>0</v>
      </c>
      <c r="J1700" s="2237"/>
      <c r="K1700" s="2411"/>
      <c r="L1700" s="2533">
        <f t="shared" ref="L1700:L1711" si="354">M1700+N1700</f>
        <v>0</v>
      </c>
      <c r="M1700" s="2238">
        <v>0</v>
      </c>
      <c r="N1700" s="2239">
        <f t="shared" ref="N1700:N1711" si="355">TRUNC(H1700*K1700,2)</f>
        <v>0</v>
      </c>
      <c r="O1700" s="2498">
        <f t="shared" ref="O1700:O1711" si="356">H1700-L1700</f>
        <v>15.25</v>
      </c>
      <c r="P1700" s="2295">
        <f t="shared" si="331"/>
        <v>1</v>
      </c>
    </row>
    <row r="1701" spans="1:16" ht="30">
      <c r="A1701" s="2272" t="s">
        <v>14333</v>
      </c>
      <c r="B1701" s="2228">
        <f>VLOOKUP($A1701,'16 - QT_ICONT'!$A:$F,2,0)</f>
        <v>89627</v>
      </c>
      <c r="C1701" s="2228" t="str">
        <f>VLOOKUP($A1701,'16 - QT_ICONT'!$A:$F,3,0)</f>
        <v>SINAPI</v>
      </c>
      <c r="D1701" s="2375" t="s">
        <v>8858</v>
      </c>
      <c r="E1701" s="2243" t="str">
        <f>IFERROR(VLOOKUP($B1701,'24.08_ND'!$1:$1048529,3,0),IFERROR(VLOOKUP($B1701,'03-CP'!$C$1:$H$6260,3,0),""))</f>
        <v>UN</v>
      </c>
      <c r="F1701" s="2230">
        <v>2</v>
      </c>
      <c r="G1701" s="2232">
        <v>20.75</v>
      </c>
      <c r="H1701" s="2302">
        <f t="shared" si="352"/>
        <v>41.5</v>
      </c>
      <c r="I1701" s="2328">
        <f t="shared" si="353"/>
        <v>0</v>
      </c>
      <c r="J1701" s="2237"/>
      <c r="K1701" s="2411"/>
      <c r="L1701" s="2533">
        <f t="shared" si="354"/>
        <v>0</v>
      </c>
      <c r="M1701" s="2238">
        <v>0</v>
      </c>
      <c r="N1701" s="2239">
        <f t="shared" si="355"/>
        <v>0</v>
      </c>
      <c r="O1701" s="2498">
        <f t="shared" si="356"/>
        <v>41.5</v>
      </c>
      <c r="P1701" s="2295">
        <f t="shared" si="331"/>
        <v>1</v>
      </c>
    </row>
    <row r="1702" spans="1:16" ht="30">
      <c r="A1702" s="2272" t="s">
        <v>14334</v>
      </c>
      <c r="B1702" s="2228">
        <f>VLOOKUP($A1702,'16 - QT_ICONT'!$A:$F,2,0)</f>
        <v>105234</v>
      </c>
      <c r="C1702" s="2228" t="str">
        <f>VLOOKUP($A1702,'16 - QT_ICONT'!$A:$F,3,0)</f>
        <v>SINAPI</v>
      </c>
      <c r="D1702" s="2375" t="s">
        <v>10006</v>
      </c>
      <c r="E1702" s="2243" t="str">
        <f>IFERROR(VLOOKUP($B1702,'24.08_ND'!$1:$1048529,3,0),IFERROR(VLOOKUP($B1702,'03-CP'!$C$1:$H$6260,3,0),""))</f>
        <v>UN</v>
      </c>
      <c r="F1702" s="2230">
        <v>1</v>
      </c>
      <c r="G1702" s="2232">
        <v>10.15</v>
      </c>
      <c r="H1702" s="2302">
        <f t="shared" si="352"/>
        <v>10.15</v>
      </c>
      <c r="I1702" s="2328">
        <f t="shared" si="353"/>
        <v>0</v>
      </c>
      <c r="J1702" s="2237"/>
      <c r="K1702" s="2411"/>
      <c r="L1702" s="2533">
        <f t="shared" si="354"/>
        <v>0</v>
      </c>
      <c r="M1702" s="2238">
        <v>0</v>
      </c>
      <c r="N1702" s="2239">
        <f t="shared" si="355"/>
        <v>0</v>
      </c>
      <c r="O1702" s="2498">
        <f t="shared" si="356"/>
        <v>10.15</v>
      </c>
      <c r="P1702" s="2295">
        <f t="shared" si="331"/>
        <v>1</v>
      </c>
    </row>
    <row r="1703" spans="1:16" ht="30">
      <c r="A1703" s="2272" t="s">
        <v>14335</v>
      </c>
      <c r="B1703" s="2228">
        <f>VLOOKUP($A1703,'16 - QT_ICONT'!$A:$F,2,0)</f>
        <v>103979</v>
      </c>
      <c r="C1703" s="2228" t="str">
        <f>VLOOKUP($A1703,'16 - QT_ICONT'!$A:$F,3,0)</f>
        <v>SINAPI</v>
      </c>
      <c r="D1703" s="2375" t="s">
        <v>8649</v>
      </c>
      <c r="E1703" s="2243" t="str">
        <f>IFERROR(VLOOKUP($B1703,'24.08_ND'!$1:$1048529,3,0),IFERROR(VLOOKUP($B1703,'03-CP'!$C$1:$H$6260,3,0),""))</f>
        <v>M</v>
      </c>
      <c r="F1703" s="2230">
        <v>17</v>
      </c>
      <c r="G1703" s="2232">
        <v>30.08</v>
      </c>
      <c r="H1703" s="2302">
        <f t="shared" si="352"/>
        <v>511.36</v>
      </c>
      <c r="I1703" s="2328">
        <f t="shared" si="353"/>
        <v>0</v>
      </c>
      <c r="J1703" s="2237"/>
      <c r="K1703" s="2411"/>
      <c r="L1703" s="2533">
        <f t="shared" si="354"/>
        <v>0</v>
      </c>
      <c r="M1703" s="2238">
        <v>0</v>
      </c>
      <c r="N1703" s="2239">
        <f t="shared" si="355"/>
        <v>0</v>
      </c>
      <c r="O1703" s="2498">
        <f t="shared" si="356"/>
        <v>511.36</v>
      </c>
      <c r="P1703" s="2295">
        <f t="shared" si="331"/>
        <v>1</v>
      </c>
    </row>
    <row r="1704" spans="1:16" ht="30">
      <c r="A1704" s="2272" t="s">
        <v>14336</v>
      </c>
      <c r="B1704" s="2228">
        <f>VLOOKUP($A1704,'16 - QT_ICONT'!$A:$F,2,0)</f>
        <v>89362</v>
      </c>
      <c r="C1704" s="2228" t="str">
        <f>VLOOKUP($A1704,'16 - QT_ICONT'!$A:$F,3,0)</f>
        <v>SINAPI</v>
      </c>
      <c r="D1704" s="2375" t="s">
        <v>8669</v>
      </c>
      <c r="E1704" s="2243" t="str">
        <f>IFERROR(VLOOKUP($B1704,'24.08_ND'!$1:$1048529,3,0),IFERROR(VLOOKUP($B1704,'03-CP'!$C$1:$H$6260,3,0),""))</f>
        <v>UN</v>
      </c>
      <c r="F1704" s="2230">
        <v>9</v>
      </c>
      <c r="G1704" s="2232">
        <v>10.220000000000001</v>
      </c>
      <c r="H1704" s="2302">
        <f t="shared" si="352"/>
        <v>91.98</v>
      </c>
      <c r="I1704" s="2328">
        <f t="shared" si="353"/>
        <v>0</v>
      </c>
      <c r="J1704" s="2237"/>
      <c r="K1704" s="2411"/>
      <c r="L1704" s="2533">
        <f t="shared" si="354"/>
        <v>0</v>
      </c>
      <c r="M1704" s="2238">
        <v>0</v>
      </c>
      <c r="N1704" s="2239">
        <f t="shared" si="355"/>
        <v>0</v>
      </c>
      <c r="O1704" s="2498">
        <f t="shared" si="356"/>
        <v>91.98</v>
      </c>
      <c r="P1704" s="2295">
        <f t="shared" si="331"/>
        <v>1</v>
      </c>
    </row>
    <row r="1705" spans="1:16" ht="45">
      <c r="A1705" s="2272" t="s">
        <v>14337</v>
      </c>
      <c r="B1705" s="2228">
        <f>VLOOKUP($A1705,'16 - QT_ICONT'!$A:$F,2,0)</f>
        <v>90373</v>
      </c>
      <c r="C1705" s="2228" t="str">
        <f>VLOOKUP($A1705,'16 - QT_ICONT'!$A:$F,3,0)</f>
        <v>SINAPI</v>
      </c>
      <c r="D1705" s="2375" t="s">
        <v>9065</v>
      </c>
      <c r="E1705" s="2243" t="str">
        <f>IFERROR(VLOOKUP($B1705,'24.08_ND'!$1:$1048529,3,0),IFERROR(VLOOKUP($B1705,'03-CP'!$C$1:$H$6260,3,0),""))</f>
        <v>UN</v>
      </c>
      <c r="F1705" s="2230">
        <v>6</v>
      </c>
      <c r="G1705" s="2232">
        <v>13.46</v>
      </c>
      <c r="H1705" s="2302">
        <f t="shared" si="352"/>
        <v>80.760000000000005</v>
      </c>
      <c r="I1705" s="2328">
        <f t="shared" si="353"/>
        <v>0</v>
      </c>
      <c r="J1705" s="2237"/>
      <c r="K1705" s="2411"/>
      <c r="L1705" s="2533">
        <f t="shared" si="354"/>
        <v>0</v>
      </c>
      <c r="M1705" s="2238">
        <v>0</v>
      </c>
      <c r="N1705" s="2239">
        <f t="shared" si="355"/>
        <v>0</v>
      </c>
      <c r="O1705" s="2498">
        <f t="shared" si="356"/>
        <v>80.760000000000005</v>
      </c>
      <c r="P1705" s="2295">
        <f t="shared" si="331"/>
        <v>1</v>
      </c>
    </row>
    <row r="1706" spans="1:16" ht="30">
      <c r="A1706" s="2272" t="s">
        <v>14338</v>
      </c>
      <c r="B1706" s="2228">
        <f>VLOOKUP($A1706,'16 - QT_ICONT'!$A:$F,2,0)</f>
        <v>89402</v>
      </c>
      <c r="C1706" s="2228" t="str">
        <f>VLOOKUP($A1706,'16 - QT_ICONT'!$A:$F,3,0)</f>
        <v>SINAPI</v>
      </c>
      <c r="D1706" s="2375" t="s">
        <v>8422</v>
      </c>
      <c r="E1706" s="2243" t="str">
        <f>IFERROR(VLOOKUP($B1706,'24.08_ND'!$1:$1048529,3,0),IFERROR(VLOOKUP($B1706,'03-CP'!$C$1:$H$6260,3,0),""))</f>
        <v>M</v>
      </c>
      <c r="F1706" s="2230">
        <v>34</v>
      </c>
      <c r="G1706" s="2232">
        <v>12.75</v>
      </c>
      <c r="H1706" s="2302">
        <f t="shared" si="352"/>
        <v>433.5</v>
      </c>
      <c r="I1706" s="2328">
        <f t="shared" si="353"/>
        <v>0</v>
      </c>
      <c r="J1706" s="2237"/>
      <c r="K1706" s="2411"/>
      <c r="L1706" s="2533">
        <f t="shared" si="354"/>
        <v>0</v>
      </c>
      <c r="M1706" s="2238">
        <v>0</v>
      </c>
      <c r="N1706" s="2239">
        <f t="shared" si="355"/>
        <v>0</v>
      </c>
      <c r="O1706" s="2498">
        <f t="shared" si="356"/>
        <v>433.5</v>
      </c>
      <c r="P1706" s="2295">
        <f t="shared" si="331"/>
        <v>1</v>
      </c>
    </row>
    <row r="1707" spans="1:16" ht="30">
      <c r="A1707" s="2272" t="s">
        <v>14339</v>
      </c>
      <c r="B1707" s="2228">
        <f>VLOOKUP($A1707,'16 - QT_ICONT'!$A:$F,2,0)</f>
        <v>89395</v>
      </c>
      <c r="C1707" s="2228" t="str">
        <f>VLOOKUP($A1707,'16 - QT_ICONT'!$A:$F,3,0)</f>
        <v>SINAPI</v>
      </c>
      <c r="D1707" s="2375" t="s">
        <v>8701</v>
      </c>
      <c r="E1707" s="2243" t="str">
        <f>IFERROR(VLOOKUP($B1707,'24.08_ND'!$1:$1048529,3,0),IFERROR(VLOOKUP($B1707,'03-CP'!$C$1:$H$6260,3,0),""))</f>
        <v>UN</v>
      </c>
      <c r="F1707" s="2230">
        <v>3</v>
      </c>
      <c r="G1707" s="2232">
        <v>14.12</v>
      </c>
      <c r="H1707" s="2302">
        <f t="shared" si="352"/>
        <v>42.36</v>
      </c>
      <c r="I1707" s="2328">
        <f t="shared" si="353"/>
        <v>0</v>
      </c>
      <c r="J1707" s="2237"/>
      <c r="K1707" s="2411"/>
      <c r="L1707" s="2533">
        <f t="shared" si="354"/>
        <v>0</v>
      </c>
      <c r="M1707" s="2238">
        <v>0</v>
      </c>
      <c r="N1707" s="2239">
        <f t="shared" si="355"/>
        <v>0</v>
      </c>
      <c r="O1707" s="2498">
        <f t="shared" si="356"/>
        <v>42.36</v>
      </c>
      <c r="P1707" s="2295">
        <f t="shared" si="331"/>
        <v>1</v>
      </c>
    </row>
    <row r="1708" spans="1:16">
      <c r="A1708" s="2272" t="s">
        <v>14340</v>
      </c>
      <c r="B1708" s="2245" t="str">
        <f>VLOOKUP($A1708,'16 - QT_ICONT'!$A:$F,2,0)</f>
        <v>CP-HSD-35</v>
      </c>
      <c r="C1708" s="2228" t="str">
        <f>VLOOKUP($A1708,'16 - QT_ICONT'!$A:$F,3,0)</f>
        <v>PRÓPRIA</v>
      </c>
      <c r="D1708" s="2375" t="s">
        <v>15437</v>
      </c>
      <c r="E1708" s="2243" t="str">
        <f>IFERROR(VLOOKUP($B1708,'24.08_ND'!$1:$1048529,3,0),IFERROR(VLOOKUP($B1708,'03-CP'!$C$1:$H$6260,3,0),""))</f>
        <v>UN</v>
      </c>
      <c r="F1708" s="2230">
        <v>6</v>
      </c>
      <c r="G1708" s="2232">
        <v>78.52</v>
      </c>
      <c r="H1708" s="2302">
        <f t="shared" si="352"/>
        <v>471.12</v>
      </c>
      <c r="I1708" s="2328">
        <f t="shared" si="353"/>
        <v>0</v>
      </c>
      <c r="J1708" s="2237"/>
      <c r="K1708" s="2411"/>
      <c r="L1708" s="2533">
        <f t="shared" si="354"/>
        <v>0</v>
      </c>
      <c r="M1708" s="2238">
        <v>0</v>
      </c>
      <c r="N1708" s="2239">
        <f t="shared" si="355"/>
        <v>0</v>
      </c>
      <c r="O1708" s="2498">
        <f t="shared" si="356"/>
        <v>471.12</v>
      </c>
      <c r="P1708" s="2295">
        <f t="shared" si="331"/>
        <v>1</v>
      </c>
    </row>
    <row r="1709" spans="1:16" ht="30">
      <c r="A1709" s="2272" t="s">
        <v>14341</v>
      </c>
      <c r="B1709" s="2245" t="str">
        <f>VLOOKUP($A1709,'16 - QT_ICONT'!$A:$F,2,0)</f>
        <v>CP-HSD-37</v>
      </c>
      <c r="C1709" s="2228" t="str">
        <f>VLOOKUP($A1709,'16 - QT_ICONT'!$A:$F,3,0)</f>
        <v>PRÓPRIA</v>
      </c>
      <c r="D1709" s="2375" t="s">
        <v>15441</v>
      </c>
      <c r="E1709" s="2243" t="str">
        <f>IFERROR(VLOOKUP($B1709,'24.08_ND'!$1:$1048529,3,0),IFERROR(VLOOKUP($B1709,'03-CP'!$C$1:$H$6260,3,0),""))</f>
        <v>UN</v>
      </c>
      <c r="F1709" s="2230">
        <v>6</v>
      </c>
      <c r="G1709" s="2232">
        <v>260.70999999999998</v>
      </c>
      <c r="H1709" s="2302">
        <f t="shared" si="352"/>
        <v>1564.26</v>
      </c>
      <c r="I1709" s="2328">
        <f t="shared" si="353"/>
        <v>0</v>
      </c>
      <c r="J1709" s="2237"/>
      <c r="K1709" s="2411"/>
      <c r="L1709" s="2533">
        <f t="shared" si="354"/>
        <v>0</v>
      </c>
      <c r="M1709" s="2238">
        <v>0</v>
      </c>
      <c r="N1709" s="2239">
        <f t="shared" si="355"/>
        <v>0</v>
      </c>
      <c r="O1709" s="2498">
        <f t="shared" si="356"/>
        <v>1564.26</v>
      </c>
      <c r="P1709" s="2295">
        <f t="shared" si="331"/>
        <v>1</v>
      </c>
    </row>
    <row r="1710" spans="1:16" ht="30">
      <c r="A1710" s="2272" t="s">
        <v>14342</v>
      </c>
      <c r="B1710" s="2228">
        <f>VLOOKUP($A1710,'16 - QT_ICONT'!$A:$F,2,0)</f>
        <v>93358</v>
      </c>
      <c r="C1710" s="2228" t="str">
        <f>VLOOKUP($A1710,'16 - QT_ICONT'!$A:$F,3,0)</f>
        <v>SINAPI</v>
      </c>
      <c r="D1710" s="2375" t="s">
        <v>10648</v>
      </c>
      <c r="E1710" s="2243" t="str">
        <f>IFERROR(VLOOKUP($B1710,'24.08_ND'!$1:$1048529,3,0),IFERROR(VLOOKUP($B1710,'03-CP'!$C$1:$H$6260,3,0),""))</f>
        <v>M3</v>
      </c>
      <c r="F1710" s="2230">
        <v>16.200000000000003</v>
      </c>
      <c r="G1710" s="2232">
        <v>91.52</v>
      </c>
      <c r="H1710" s="2302">
        <f t="shared" si="352"/>
        <v>1482.62</v>
      </c>
      <c r="I1710" s="2328">
        <f t="shared" si="353"/>
        <v>0</v>
      </c>
      <c r="J1710" s="2237"/>
      <c r="K1710" s="2411"/>
      <c r="L1710" s="2533">
        <f t="shared" si="354"/>
        <v>0</v>
      </c>
      <c r="M1710" s="2238">
        <v>0</v>
      </c>
      <c r="N1710" s="2239">
        <f t="shared" si="355"/>
        <v>0</v>
      </c>
      <c r="O1710" s="2498">
        <f t="shared" si="356"/>
        <v>1482.62</v>
      </c>
      <c r="P1710" s="2295">
        <f t="shared" si="331"/>
        <v>1</v>
      </c>
    </row>
    <row r="1711" spans="1:16" ht="30">
      <c r="A1711" s="2272" t="s">
        <v>14343</v>
      </c>
      <c r="B1711" s="2228">
        <f>VLOOKUP($A1711,'16 - QT_ICONT'!$A:$F,2,0)</f>
        <v>93382</v>
      </c>
      <c r="C1711" s="2228" t="str">
        <f>VLOOKUP($A1711,'16 - QT_ICONT'!$A:$F,3,0)</f>
        <v>SINAPI</v>
      </c>
      <c r="D1711" s="2375" t="s">
        <v>10726</v>
      </c>
      <c r="E1711" s="2243" t="str">
        <f>IFERROR(VLOOKUP($B1711,'24.08_ND'!$1:$1048529,3,0),IFERROR(VLOOKUP($B1711,'03-CP'!$C$1:$H$6260,3,0),""))</f>
        <v>M3</v>
      </c>
      <c r="F1711" s="2230">
        <v>22.7</v>
      </c>
      <c r="G1711" s="2232">
        <v>26.88</v>
      </c>
      <c r="H1711" s="2302">
        <f t="shared" si="352"/>
        <v>610.16999999999996</v>
      </c>
      <c r="I1711" s="2328">
        <f t="shared" si="353"/>
        <v>0</v>
      </c>
      <c r="J1711" s="2237"/>
      <c r="K1711" s="2411"/>
      <c r="L1711" s="2533">
        <f t="shared" si="354"/>
        <v>0</v>
      </c>
      <c r="M1711" s="2238">
        <v>0</v>
      </c>
      <c r="N1711" s="2239">
        <f t="shared" si="355"/>
        <v>0</v>
      </c>
      <c r="O1711" s="2498">
        <f t="shared" si="356"/>
        <v>610.16999999999996</v>
      </c>
      <c r="P1711" s="2295">
        <f t="shared" si="331"/>
        <v>1</v>
      </c>
    </row>
    <row r="1712" spans="1:16">
      <c r="A1712" s="2343" t="s">
        <v>14344</v>
      </c>
      <c r="B1712" s="2397"/>
      <c r="C1712" s="2401"/>
      <c r="D1712" s="2380" t="s">
        <v>16317</v>
      </c>
      <c r="E1712" s="2368"/>
      <c r="F1712" s="2369"/>
      <c r="G1712" s="2370"/>
      <c r="H1712" s="2374">
        <f>SUBTOTAL(9,H1713:H1718)</f>
        <v>12469.4</v>
      </c>
      <c r="I1712" s="2371"/>
      <c r="J1712" s="2372"/>
      <c r="K1712" s="2555"/>
      <c r="L1712" s="2542">
        <f>SUBTOTAL(9,L1713:L1718)</f>
        <v>0</v>
      </c>
      <c r="M1712" s="2374">
        <f>SUBTOTAL(9,M1713:M1718)</f>
        <v>0</v>
      </c>
      <c r="N1712" s="2374">
        <f>SUBTOTAL(9,N1713:N1718)</f>
        <v>0</v>
      </c>
      <c r="O1712" s="2374">
        <f>SUBTOTAL(9,O1713:O1718)</f>
        <v>12469.4</v>
      </c>
      <c r="P1712" s="2295">
        <f t="shared" si="331"/>
        <v>1</v>
      </c>
    </row>
    <row r="1713" spans="1:16" ht="45">
      <c r="A1713" s="2272" t="s">
        <v>14345</v>
      </c>
      <c r="B1713" s="2228">
        <f>VLOOKUP($A1713,'16 - QT_ICONT'!$A:$F,2,0)</f>
        <v>97906</v>
      </c>
      <c r="C1713" s="2228" t="str">
        <f>VLOOKUP($A1713,'16 - QT_ICONT'!$A:$F,3,0)</f>
        <v>SINAPI</v>
      </c>
      <c r="D1713" s="2375" t="s">
        <v>10017</v>
      </c>
      <c r="E1713" s="2243" t="str">
        <f>IFERROR(VLOOKUP($B1713,'24.08_ND'!$1:$1048529,3,0),IFERROR(VLOOKUP($B1713,'03-CP'!$C$1:$H$6260,3,0),""))</f>
        <v>UN</v>
      </c>
      <c r="F1713" s="2230">
        <v>7</v>
      </c>
      <c r="G1713" s="2232">
        <v>509.9</v>
      </c>
      <c r="H1713" s="2302">
        <f t="shared" ref="H1713:H1718" si="357">TRUNC((G1713*F1713),2)</f>
        <v>3569.3</v>
      </c>
      <c r="I1713" s="2328">
        <f t="shared" ref="I1713:I1718" si="358">J1713+K1713</f>
        <v>0</v>
      </c>
      <c r="J1713" s="2237"/>
      <c r="K1713" s="2411"/>
      <c r="L1713" s="2533">
        <f t="shared" ref="L1713:L1718" si="359">M1713+N1713</f>
        <v>0</v>
      </c>
      <c r="M1713" s="2238">
        <v>0</v>
      </c>
      <c r="N1713" s="2239">
        <f t="shared" ref="N1713:N1718" si="360">TRUNC(H1713*K1713,2)</f>
        <v>0</v>
      </c>
      <c r="O1713" s="2498">
        <f t="shared" ref="O1713:O1718" si="361">H1713-L1713</f>
        <v>3569.3</v>
      </c>
      <c r="P1713" s="2295">
        <f t="shared" si="331"/>
        <v>1</v>
      </c>
    </row>
    <row r="1714" spans="1:16" ht="30">
      <c r="A1714" s="2272" t="s">
        <v>14346</v>
      </c>
      <c r="B1714" s="2228" t="str">
        <f>VLOOKUP($A1714,'16 - QT_ICONT'!$A:$F,2,0)</f>
        <v>CP-HSD-07</v>
      </c>
      <c r="C1714" s="2228" t="str">
        <f>VLOOKUP($A1714,'16 - QT_ICONT'!$A:$F,3,0)</f>
        <v>PRÓPRIA</v>
      </c>
      <c r="D1714" s="2375" t="s">
        <v>15373</v>
      </c>
      <c r="E1714" s="2243" t="str">
        <f>IFERROR(VLOOKUP($B1714,'24.08_ND'!$1:$1048529,3,0),IFERROR(VLOOKUP($B1714,'03-CP'!$C$1:$H$6260,3,0),""))</f>
        <v>UN</v>
      </c>
      <c r="F1714" s="2230">
        <v>6</v>
      </c>
      <c r="G1714" s="2232">
        <v>20.88</v>
      </c>
      <c r="H1714" s="2302">
        <f t="shared" si="357"/>
        <v>125.28</v>
      </c>
      <c r="I1714" s="2328">
        <f t="shared" si="358"/>
        <v>0</v>
      </c>
      <c r="J1714" s="2237"/>
      <c r="K1714" s="2411"/>
      <c r="L1714" s="2533">
        <f t="shared" si="359"/>
        <v>0</v>
      </c>
      <c r="M1714" s="2238">
        <v>0</v>
      </c>
      <c r="N1714" s="2239">
        <f t="shared" si="360"/>
        <v>0</v>
      </c>
      <c r="O1714" s="2498">
        <f t="shared" si="361"/>
        <v>125.28</v>
      </c>
      <c r="P1714" s="2295">
        <f t="shared" si="331"/>
        <v>1</v>
      </c>
    </row>
    <row r="1715" spans="1:16" ht="45">
      <c r="A1715" s="2272" t="s">
        <v>14347</v>
      </c>
      <c r="B1715" s="2228">
        <f>VLOOKUP($A1715,'16 - QT_ICONT'!$A:$F,2,0)</f>
        <v>89744</v>
      </c>
      <c r="C1715" s="2228" t="str">
        <f>VLOOKUP($A1715,'16 - QT_ICONT'!$A:$F,3,0)</f>
        <v>SINAPI</v>
      </c>
      <c r="D1715" s="2375" t="s">
        <v>8957</v>
      </c>
      <c r="E1715" s="2243" t="str">
        <f>IFERROR(VLOOKUP($B1715,'24.08_ND'!$1:$1048529,3,0),IFERROR(VLOOKUP($B1715,'03-CP'!$C$1:$H$6260,3,0),""))</f>
        <v>UN</v>
      </c>
      <c r="F1715" s="2230">
        <v>6</v>
      </c>
      <c r="G1715" s="2232">
        <v>30.53</v>
      </c>
      <c r="H1715" s="2302">
        <f t="shared" si="357"/>
        <v>183.18</v>
      </c>
      <c r="I1715" s="2328">
        <f t="shared" si="358"/>
        <v>0</v>
      </c>
      <c r="J1715" s="2237"/>
      <c r="K1715" s="2411"/>
      <c r="L1715" s="2533">
        <f t="shared" si="359"/>
        <v>0</v>
      </c>
      <c r="M1715" s="2238">
        <v>0</v>
      </c>
      <c r="N1715" s="2239">
        <f t="shared" si="360"/>
        <v>0</v>
      </c>
      <c r="O1715" s="2498">
        <f t="shared" si="361"/>
        <v>183.18</v>
      </c>
      <c r="P1715" s="2295">
        <f t="shared" si="331"/>
        <v>1</v>
      </c>
    </row>
    <row r="1716" spans="1:16" ht="45">
      <c r="A1716" s="2272" t="s">
        <v>14348</v>
      </c>
      <c r="B1716" s="2228">
        <f>VLOOKUP($A1716,'16 - QT_ICONT'!$A:$F,2,0)</f>
        <v>89714</v>
      </c>
      <c r="C1716" s="2228" t="str">
        <f>VLOOKUP($A1716,'16 - QT_ICONT'!$A:$F,3,0)</f>
        <v>SINAPI</v>
      </c>
      <c r="D1716" s="2375" t="s">
        <v>8445</v>
      </c>
      <c r="E1716" s="2243" t="str">
        <f>IFERROR(VLOOKUP($B1716,'24.08_ND'!$1:$1048529,3,0),IFERROR(VLOOKUP($B1716,'03-CP'!$C$1:$H$6260,3,0),""))</f>
        <v>M</v>
      </c>
      <c r="F1716" s="2230">
        <v>73</v>
      </c>
      <c r="G1716" s="2232">
        <v>40.21</v>
      </c>
      <c r="H1716" s="2302">
        <f t="shared" si="357"/>
        <v>2935.33</v>
      </c>
      <c r="I1716" s="2328">
        <f t="shared" si="358"/>
        <v>0</v>
      </c>
      <c r="J1716" s="2237"/>
      <c r="K1716" s="2411"/>
      <c r="L1716" s="2533">
        <f t="shared" si="359"/>
        <v>0</v>
      </c>
      <c r="M1716" s="2238">
        <v>0</v>
      </c>
      <c r="N1716" s="2239">
        <f t="shared" si="360"/>
        <v>0</v>
      </c>
      <c r="O1716" s="2498">
        <f t="shared" si="361"/>
        <v>2935.33</v>
      </c>
      <c r="P1716" s="2295">
        <f t="shared" si="331"/>
        <v>1</v>
      </c>
    </row>
    <row r="1717" spans="1:16" ht="30">
      <c r="A1717" s="2272" t="s">
        <v>14349</v>
      </c>
      <c r="B1717" s="2228">
        <f>VLOOKUP($A1717,'16 - QT_ICONT'!$A:$F,2,0)</f>
        <v>93358</v>
      </c>
      <c r="C1717" s="2228" t="str">
        <f>VLOOKUP($A1717,'16 - QT_ICONT'!$A:$F,3,0)</f>
        <v>SINAPI</v>
      </c>
      <c r="D1717" s="2375" t="s">
        <v>10648</v>
      </c>
      <c r="E1717" s="2243" t="str">
        <f>IFERROR(VLOOKUP($B1717,'24.08_ND'!$1:$1048529,3,0),IFERROR(VLOOKUP($B1717,'03-CP'!$C$1:$H$6260,3,0),""))</f>
        <v>M3</v>
      </c>
      <c r="F1717" s="2230">
        <v>43.8</v>
      </c>
      <c r="G1717" s="2232">
        <v>91.52</v>
      </c>
      <c r="H1717" s="2302">
        <f t="shared" si="357"/>
        <v>4008.57</v>
      </c>
      <c r="I1717" s="2328">
        <f t="shared" si="358"/>
        <v>0</v>
      </c>
      <c r="J1717" s="2237"/>
      <c r="K1717" s="2411"/>
      <c r="L1717" s="2533">
        <f t="shared" si="359"/>
        <v>0</v>
      </c>
      <c r="M1717" s="2238">
        <v>0</v>
      </c>
      <c r="N1717" s="2239">
        <f t="shared" si="360"/>
        <v>0</v>
      </c>
      <c r="O1717" s="2498">
        <f t="shared" si="361"/>
        <v>4008.57</v>
      </c>
      <c r="P1717" s="2295">
        <f t="shared" si="331"/>
        <v>1</v>
      </c>
    </row>
    <row r="1718" spans="1:16" ht="30">
      <c r="A1718" s="2272" t="s">
        <v>14350</v>
      </c>
      <c r="B1718" s="2228">
        <f>VLOOKUP($A1718,'16 - QT_ICONT'!$A:$F,2,0)</f>
        <v>93382</v>
      </c>
      <c r="C1718" s="2228" t="str">
        <f>VLOOKUP($A1718,'16 - QT_ICONT'!$A:$F,3,0)</f>
        <v>SINAPI</v>
      </c>
      <c r="D1718" s="2375" t="s">
        <v>10726</v>
      </c>
      <c r="E1718" s="2243" t="str">
        <f>IFERROR(VLOOKUP($B1718,'24.08_ND'!$1:$1048529,3,0),IFERROR(VLOOKUP($B1718,'03-CP'!$C$1:$H$6260,3,0),""))</f>
        <v>M3</v>
      </c>
      <c r="F1718" s="2230">
        <v>61.3</v>
      </c>
      <c r="G1718" s="2232">
        <v>26.88</v>
      </c>
      <c r="H1718" s="2302">
        <f t="shared" si="357"/>
        <v>1647.74</v>
      </c>
      <c r="I1718" s="2328">
        <f t="shared" si="358"/>
        <v>0</v>
      </c>
      <c r="J1718" s="2237"/>
      <c r="K1718" s="2411"/>
      <c r="L1718" s="2533">
        <f t="shared" si="359"/>
        <v>0</v>
      </c>
      <c r="M1718" s="2238">
        <v>0</v>
      </c>
      <c r="N1718" s="2239">
        <f t="shared" si="360"/>
        <v>0</v>
      </c>
      <c r="O1718" s="2498">
        <f t="shared" si="361"/>
        <v>1647.74</v>
      </c>
      <c r="P1718" s="2295">
        <f t="shared" ref="P1718:P1781" si="362">O1718/H1718</f>
        <v>1</v>
      </c>
    </row>
    <row r="1719" spans="1:16">
      <c r="A1719" s="2267" t="s">
        <v>12659</v>
      </c>
      <c r="B1719" s="2396"/>
      <c r="C1719" s="2400"/>
      <c r="D1719" s="2381" t="s">
        <v>16569</v>
      </c>
      <c r="E1719" s="2362"/>
      <c r="F1719" s="2363"/>
      <c r="G1719" s="2364"/>
      <c r="H1719" s="2365">
        <f>SUBTOTAL(9,H1720:H1737)</f>
        <v>27839.35</v>
      </c>
      <c r="I1719" s="2366"/>
      <c r="J1719" s="2367"/>
      <c r="K1719" s="2556"/>
      <c r="L1719" s="2543">
        <f>SUBTOTAL(9,L1720:L1737)</f>
        <v>0</v>
      </c>
      <c r="M1719" s="2365">
        <f>SUBTOTAL(9,M1720:M1737)</f>
        <v>0</v>
      </c>
      <c r="N1719" s="2365">
        <f>SUBTOTAL(9,N1720:N1737)</f>
        <v>0</v>
      </c>
      <c r="O1719" s="2365">
        <f>SUBTOTAL(9,O1720:O1737)</f>
        <v>27839.35</v>
      </c>
      <c r="P1719" s="2295">
        <f t="shared" si="362"/>
        <v>1</v>
      </c>
    </row>
    <row r="1720" spans="1:16">
      <c r="A1720" s="2343" t="s">
        <v>14351</v>
      </c>
      <c r="B1720" s="2397"/>
      <c r="C1720" s="2401"/>
      <c r="D1720" s="2380" t="s">
        <v>16312</v>
      </c>
      <c r="E1720" s="2368"/>
      <c r="F1720" s="2369"/>
      <c r="G1720" s="2370"/>
      <c r="H1720" s="2374">
        <f>SUBTOTAL(9,H1721:H1730)</f>
        <v>8533.2899999999991</v>
      </c>
      <c r="I1720" s="2371"/>
      <c r="J1720" s="2372"/>
      <c r="K1720" s="2555"/>
      <c r="L1720" s="2542">
        <f>SUBTOTAL(9,L1721:L1730)</f>
        <v>0</v>
      </c>
      <c r="M1720" s="2374">
        <f>SUBTOTAL(9,M1721:M1730)</f>
        <v>0</v>
      </c>
      <c r="N1720" s="2374">
        <f>SUBTOTAL(9,N1721:N1730)</f>
        <v>0</v>
      </c>
      <c r="O1720" s="2374">
        <f>SUBTOTAL(9,O1721:O1730)</f>
        <v>8533.2899999999991</v>
      </c>
      <c r="P1720" s="2295">
        <f t="shared" si="362"/>
        <v>1</v>
      </c>
    </row>
    <row r="1721" spans="1:16" ht="30">
      <c r="A1721" s="2272" t="s">
        <v>14352</v>
      </c>
      <c r="B1721" s="2228">
        <f>VLOOKUP($A1721,'16 - QT_ICONT'!$A:$F,2,0)</f>
        <v>105234</v>
      </c>
      <c r="C1721" s="2228" t="str">
        <f>VLOOKUP($A1721,'16 - QT_ICONT'!$A:$F,3,0)</f>
        <v>SINAPI</v>
      </c>
      <c r="D1721" s="2375" t="s">
        <v>10006</v>
      </c>
      <c r="E1721" s="2243" t="str">
        <f>IFERROR(VLOOKUP($B1721,'24.08_ND'!$1:$1048529,3,0),IFERROR(VLOOKUP($B1721,'03-CP'!$C$1:$H$6260,3,0),""))</f>
        <v>UN</v>
      </c>
      <c r="F1721" s="2230">
        <v>1</v>
      </c>
      <c r="G1721" s="2232">
        <v>10.15</v>
      </c>
      <c r="H1721" s="2302">
        <f t="shared" ref="H1721:H1730" si="363">TRUNC((G1721*F1721),2)</f>
        <v>10.15</v>
      </c>
      <c r="I1721" s="2328">
        <f t="shared" ref="I1721:I1730" si="364">J1721+K1721</f>
        <v>0</v>
      </c>
      <c r="J1721" s="2237"/>
      <c r="K1721" s="2411"/>
      <c r="L1721" s="2533">
        <f t="shared" ref="L1721:L1730" si="365">M1721+N1721</f>
        <v>0</v>
      </c>
      <c r="M1721" s="2238">
        <v>0</v>
      </c>
      <c r="N1721" s="2239">
        <f t="shared" ref="N1721:N1730" si="366">TRUNC(H1721*K1721,2)</f>
        <v>0</v>
      </c>
      <c r="O1721" s="2498">
        <f t="shared" ref="O1721:O1730" si="367">H1721-L1721</f>
        <v>10.15</v>
      </c>
      <c r="P1721" s="2295">
        <f t="shared" si="362"/>
        <v>1</v>
      </c>
    </row>
    <row r="1722" spans="1:16" ht="30">
      <c r="A1722" s="2272" t="s">
        <v>14353</v>
      </c>
      <c r="B1722" s="2228">
        <f>VLOOKUP($A1722,'16 - QT_ICONT'!$A:$F,2,0)</f>
        <v>103979</v>
      </c>
      <c r="C1722" s="2228" t="str">
        <f>VLOOKUP($A1722,'16 - QT_ICONT'!$A:$F,3,0)</f>
        <v>SINAPI</v>
      </c>
      <c r="D1722" s="2375" t="s">
        <v>8649</v>
      </c>
      <c r="E1722" s="2243" t="str">
        <f>IFERROR(VLOOKUP($B1722,'24.08_ND'!$1:$1048529,3,0),IFERROR(VLOOKUP($B1722,'03-CP'!$C$1:$H$6260,3,0),""))</f>
        <v>M</v>
      </c>
      <c r="F1722" s="2230">
        <v>2.7</v>
      </c>
      <c r="G1722" s="2232">
        <v>30.08</v>
      </c>
      <c r="H1722" s="2302">
        <f t="shared" si="363"/>
        <v>81.209999999999994</v>
      </c>
      <c r="I1722" s="2328">
        <f t="shared" si="364"/>
        <v>0</v>
      </c>
      <c r="J1722" s="2237"/>
      <c r="K1722" s="2411"/>
      <c r="L1722" s="2533">
        <f t="shared" si="365"/>
        <v>0</v>
      </c>
      <c r="M1722" s="2238">
        <v>0</v>
      </c>
      <c r="N1722" s="2239">
        <f t="shared" si="366"/>
        <v>0</v>
      </c>
      <c r="O1722" s="2498">
        <f t="shared" si="367"/>
        <v>81.209999999999994</v>
      </c>
      <c r="P1722" s="2295">
        <f t="shared" si="362"/>
        <v>1</v>
      </c>
    </row>
    <row r="1723" spans="1:16" ht="30">
      <c r="A1723" s="2272" t="s">
        <v>14354</v>
      </c>
      <c r="B1723" s="2228">
        <f>VLOOKUP($A1723,'16 - QT_ICONT'!$A:$F,2,0)</f>
        <v>89362</v>
      </c>
      <c r="C1723" s="2228" t="str">
        <f>VLOOKUP($A1723,'16 - QT_ICONT'!$A:$F,3,0)</f>
        <v>SINAPI</v>
      </c>
      <c r="D1723" s="2375" t="s">
        <v>8669</v>
      </c>
      <c r="E1723" s="2243" t="str">
        <f>IFERROR(VLOOKUP($B1723,'24.08_ND'!$1:$1048529,3,0),IFERROR(VLOOKUP($B1723,'03-CP'!$C$1:$H$6260,3,0),""))</f>
        <v>UN</v>
      </c>
      <c r="F1723" s="2230">
        <v>11</v>
      </c>
      <c r="G1723" s="2232">
        <v>10.220000000000001</v>
      </c>
      <c r="H1723" s="2302">
        <f t="shared" si="363"/>
        <v>112.42</v>
      </c>
      <c r="I1723" s="2328">
        <f t="shared" si="364"/>
        <v>0</v>
      </c>
      <c r="J1723" s="2237"/>
      <c r="K1723" s="2411"/>
      <c r="L1723" s="2533">
        <f t="shared" si="365"/>
        <v>0</v>
      </c>
      <c r="M1723" s="2238">
        <v>0</v>
      </c>
      <c r="N1723" s="2239">
        <f t="shared" si="366"/>
        <v>0</v>
      </c>
      <c r="O1723" s="2498">
        <f t="shared" si="367"/>
        <v>112.42</v>
      </c>
      <c r="P1723" s="2295">
        <f t="shared" si="362"/>
        <v>1</v>
      </c>
    </row>
    <row r="1724" spans="1:16" ht="45">
      <c r="A1724" s="2272" t="s">
        <v>14355</v>
      </c>
      <c r="B1724" s="2228">
        <f>VLOOKUP($A1724,'16 - QT_ICONT'!$A:$F,2,0)</f>
        <v>90373</v>
      </c>
      <c r="C1724" s="2228" t="str">
        <f>VLOOKUP($A1724,'16 - QT_ICONT'!$A:$F,3,0)</f>
        <v>SINAPI</v>
      </c>
      <c r="D1724" s="2375" t="s">
        <v>9065</v>
      </c>
      <c r="E1724" s="2243" t="str">
        <f>IFERROR(VLOOKUP($B1724,'24.08_ND'!$1:$1048529,3,0),IFERROR(VLOOKUP($B1724,'03-CP'!$C$1:$H$6260,3,0),""))</f>
        <v>UN</v>
      </c>
      <c r="F1724" s="2230">
        <v>10</v>
      </c>
      <c r="G1724" s="2232">
        <v>13.46</v>
      </c>
      <c r="H1724" s="2302">
        <f t="shared" si="363"/>
        <v>134.6</v>
      </c>
      <c r="I1724" s="2328">
        <f t="shared" si="364"/>
        <v>0</v>
      </c>
      <c r="J1724" s="2237"/>
      <c r="K1724" s="2411"/>
      <c r="L1724" s="2533">
        <f t="shared" si="365"/>
        <v>0</v>
      </c>
      <c r="M1724" s="2238">
        <v>0</v>
      </c>
      <c r="N1724" s="2239">
        <f t="shared" si="366"/>
        <v>0</v>
      </c>
      <c r="O1724" s="2498">
        <f t="shared" si="367"/>
        <v>134.6</v>
      </c>
      <c r="P1724" s="2295">
        <f t="shared" si="362"/>
        <v>1</v>
      </c>
    </row>
    <row r="1725" spans="1:16" ht="30">
      <c r="A1725" s="2272" t="s">
        <v>14356</v>
      </c>
      <c r="B1725" s="2228">
        <f>VLOOKUP($A1725,'16 - QT_ICONT'!$A:$F,2,0)</f>
        <v>89402</v>
      </c>
      <c r="C1725" s="2228" t="str">
        <f>VLOOKUP($A1725,'16 - QT_ICONT'!$A:$F,3,0)</f>
        <v>SINAPI</v>
      </c>
      <c r="D1725" s="2375" t="s">
        <v>8422</v>
      </c>
      <c r="E1725" s="2243" t="str">
        <f>IFERROR(VLOOKUP($B1725,'24.08_ND'!$1:$1048529,3,0),IFERROR(VLOOKUP($B1725,'03-CP'!$C$1:$H$6260,3,0),""))</f>
        <v>M</v>
      </c>
      <c r="F1725" s="2230">
        <v>84.2</v>
      </c>
      <c r="G1725" s="2232">
        <v>12.75</v>
      </c>
      <c r="H1725" s="2302">
        <f t="shared" si="363"/>
        <v>1073.55</v>
      </c>
      <c r="I1725" s="2328">
        <f t="shared" si="364"/>
        <v>0</v>
      </c>
      <c r="J1725" s="2237"/>
      <c r="K1725" s="2411"/>
      <c r="L1725" s="2533">
        <f t="shared" si="365"/>
        <v>0</v>
      </c>
      <c r="M1725" s="2238">
        <v>0</v>
      </c>
      <c r="N1725" s="2239">
        <f t="shared" si="366"/>
        <v>0</v>
      </c>
      <c r="O1725" s="2498">
        <f t="shared" si="367"/>
        <v>1073.55</v>
      </c>
      <c r="P1725" s="2295">
        <f t="shared" si="362"/>
        <v>1</v>
      </c>
    </row>
    <row r="1726" spans="1:16" ht="30">
      <c r="A1726" s="2272" t="s">
        <v>14357</v>
      </c>
      <c r="B1726" s="2228">
        <f>VLOOKUP($A1726,'16 - QT_ICONT'!$A:$F,2,0)</f>
        <v>89395</v>
      </c>
      <c r="C1726" s="2228" t="str">
        <f>VLOOKUP($A1726,'16 - QT_ICONT'!$A:$F,3,0)</f>
        <v>SINAPI</v>
      </c>
      <c r="D1726" s="2375" t="s">
        <v>8701</v>
      </c>
      <c r="E1726" s="2243" t="str">
        <f>IFERROR(VLOOKUP($B1726,'24.08_ND'!$1:$1048529,3,0),IFERROR(VLOOKUP($B1726,'03-CP'!$C$1:$H$6260,3,0),""))</f>
        <v>UN</v>
      </c>
      <c r="F1726" s="2230">
        <v>9</v>
      </c>
      <c r="G1726" s="2232">
        <v>14.12</v>
      </c>
      <c r="H1726" s="2302">
        <f t="shared" si="363"/>
        <v>127.08</v>
      </c>
      <c r="I1726" s="2328">
        <f t="shared" si="364"/>
        <v>0</v>
      </c>
      <c r="J1726" s="2237"/>
      <c r="K1726" s="2411"/>
      <c r="L1726" s="2533">
        <f t="shared" si="365"/>
        <v>0</v>
      </c>
      <c r="M1726" s="2238">
        <v>0</v>
      </c>
      <c r="N1726" s="2239">
        <f t="shared" si="366"/>
        <v>0</v>
      </c>
      <c r="O1726" s="2498">
        <f t="shared" si="367"/>
        <v>127.08</v>
      </c>
      <c r="P1726" s="2295">
        <f t="shared" si="362"/>
        <v>1</v>
      </c>
    </row>
    <row r="1727" spans="1:16">
      <c r="A1727" s="2272" t="s">
        <v>14358</v>
      </c>
      <c r="B1727" s="2245" t="str">
        <f>VLOOKUP($A1727,'16 - QT_ICONT'!$A:$F,2,0)</f>
        <v>CP-HSD-35</v>
      </c>
      <c r="C1727" s="2228" t="str">
        <f>VLOOKUP($A1727,'16 - QT_ICONT'!$A:$F,3,0)</f>
        <v>PRÓPRIA</v>
      </c>
      <c r="D1727" s="2375" t="s">
        <v>15437</v>
      </c>
      <c r="E1727" s="2243" t="str">
        <f>IFERROR(VLOOKUP($B1727,'24.08_ND'!$1:$1048529,3,0),IFERROR(VLOOKUP($B1727,'03-CP'!$C$1:$H$6260,3,0),""))</f>
        <v>UN</v>
      </c>
      <c r="F1727" s="2230">
        <v>10</v>
      </c>
      <c r="G1727" s="2232">
        <v>78.52</v>
      </c>
      <c r="H1727" s="2302">
        <f t="shared" si="363"/>
        <v>785.2</v>
      </c>
      <c r="I1727" s="2328">
        <f t="shared" si="364"/>
        <v>0</v>
      </c>
      <c r="J1727" s="2237"/>
      <c r="K1727" s="2411"/>
      <c r="L1727" s="2533">
        <f t="shared" si="365"/>
        <v>0</v>
      </c>
      <c r="M1727" s="2238">
        <v>0</v>
      </c>
      <c r="N1727" s="2239">
        <f t="shared" si="366"/>
        <v>0</v>
      </c>
      <c r="O1727" s="2498">
        <f t="shared" si="367"/>
        <v>785.2</v>
      </c>
      <c r="P1727" s="2295">
        <f t="shared" si="362"/>
        <v>1</v>
      </c>
    </row>
    <row r="1728" spans="1:16" ht="30">
      <c r="A1728" s="2272" t="s">
        <v>14359</v>
      </c>
      <c r="B1728" s="2245" t="str">
        <f>VLOOKUP($A1728,'16 - QT_ICONT'!$A:$F,2,0)</f>
        <v>CP-HSD-37</v>
      </c>
      <c r="C1728" s="2228" t="str">
        <f>VLOOKUP($A1728,'16 - QT_ICONT'!$A:$F,3,0)</f>
        <v>PRÓPRIA</v>
      </c>
      <c r="D1728" s="2375" t="s">
        <v>15441</v>
      </c>
      <c r="E1728" s="2243" t="str">
        <f>IFERROR(VLOOKUP($B1728,'24.08_ND'!$1:$1048529,3,0),IFERROR(VLOOKUP($B1728,'03-CP'!$C$1:$H$6260,3,0),""))</f>
        <v>UN</v>
      </c>
      <c r="F1728" s="2230">
        <v>10</v>
      </c>
      <c r="G1728" s="2232">
        <v>260.70999999999998</v>
      </c>
      <c r="H1728" s="2302">
        <f t="shared" si="363"/>
        <v>2607.1</v>
      </c>
      <c r="I1728" s="2328">
        <f t="shared" si="364"/>
        <v>0</v>
      </c>
      <c r="J1728" s="2237"/>
      <c r="K1728" s="2411"/>
      <c r="L1728" s="2533">
        <f t="shared" si="365"/>
        <v>0</v>
      </c>
      <c r="M1728" s="2238">
        <v>0</v>
      </c>
      <c r="N1728" s="2239">
        <f t="shared" si="366"/>
        <v>0</v>
      </c>
      <c r="O1728" s="2498">
        <f t="shared" si="367"/>
        <v>2607.1</v>
      </c>
      <c r="P1728" s="2295">
        <f t="shared" si="362"/>
        <v>1</v>
      </c>
    </row>
    <row r="1729" spans="1:16" ht="30">
      <c r="A1729" s="2272" t="s">
        <v>14360</v>
      </c>
      <c r="B1729" s="2228">
        <f>VLOOKUP($A1729,'16 - QT_ICONT'!$A:$F,2,0)</f>
        <v>93358</v>
      </c>
      <c r="C1729" s="2228" t="str">
        <f>VLOOKUP($A1729,'16 - QT_ICONT'!$A:$F,3,0)</f>
        <v>SINAPI</v>
      </c>
      <c r="D1729" s="2375" t="s">
        <v>10648</v>
      </c>
      <c r="E1729" s="2243" t="str">
        <f>IFERROR(VLOOKUP($B1729,'24.08_ND'!$1:$1048529,3,0),IFERROR(VLOOKUP($B1729,'03-CP'!$C$1:$H$6260,3,0),""))</f>
        <v>M3</v>
      </c>
      <c r="F1729" s="2230">
        <v>27.9</v>
      </c>
      <c r="G1729" s="2232">
        <v>91.52</v>
      </c>
      <c r="H1729" s="2302">
        <f t="shared" si="363"/>
        <v>2553.4</v>
      </c>
      <c r="I1729" s="2328">
        <f t="shared" si="364"/>
        <v>0</v>
      </c>
      <c r="J1729" s="2237"/>
      <c r="K1729" s="2411"/>
      <c r="L1729" s="2533">
        <f t="shared" si="365"/>
        <v>0</v>
      </c>
      <c r="M1729" s="2238">
        <v>0</v>
      </c>
      <c r="N1729" s="2239">
        <f t="shared" si="366"/>
        <v>0</v>
      </c>
      <c r="O1729" s="2498">
        <f t="shared" si="367"/>
        <v>2553.4</v>
      </c>
      <c r="P1729" s="2295">
        <f t="shared" si="362"/>
        <v>1</v>
      </c>
    </row>
    <row r="1730" spans="1:16" ht="30">
      <c r="A1730" s="2272" t="s">
        <v>14361</v>
      </c>
      <c r="B1730" s="2228">
        <f>VLOOKUP($A1730,'16 - QT_ICONT'!$A:$F,2,0)</f>
        <v>93382</v>
      </c>
      <c r="C1730" s="2228" t="str">
        <f>VLOOKUP($A1730,'16 - QT_ICONT'!$A:$F,3,0)</f>
        <v>SINAPI</v>
      </c>
      <c r="D1730" s="2375" t="s">
        <v>10726</v>
      </c>
      <c r="E1730" s="2243" t="str">
        <f>IFERROR(VLOOKUP($B1730,'24.08_ND'!$1:$1048529,3,0),IFERROR(VLOOKUP($B1730,'03-CP'!$C$1:$H$6260,3,0),""))</f>
        <v>M3</v>
      </c>
      <c r="F1730" s="2230">
        <v>39.01</v>
      </c>
      <c r="G1730" s="2232">
        <v>26.88</v>
      </c>
      <c r="H1730" s="2302">
        <f t="shared" si="363"/>
        <v>1048.58</v>
      </c>
      <c r="I1730" s="2328">
        <f t="shared" si="364"/>
        <v>0</v>
      </c>
      <c r="J1730" s="2237"/>
      <c r="K1730" s="2411"/>
      <c r="L1730" s="2533">
        <f t="shared" si="365"/>
        <v>0</v>
      </c>
      <c r="M1730" s="2238">
        <v>0</v>
      </c>
      <c r="N1730" s="2239">
        <f t="shared" si="366"/>
        <v>0</v>
      </c>
      <c r="O1730" s="2498">
        <f t="shared" si="367"/>
        <v>1048.58</v>
      </c>
      <c r="P1730" s="2295">
        <f t="shared" si="362"/>
        <v>1</v>
      </c>
    </row>
    <row r="1731" spans="1:16">
      <c r="A1731" s="2343" t="s">
        <v>14362</v>
      </c>
      <c r="B1731" s="2397"/>
      <c r="C1731" s="2401"/>
      <c r="D1731" s="2380" t="s">
        <v>16317</v>
      </c>
      <c r="E1731" s="2368"/>
      <c r="F1731" s="2369"/>
      <c r="G1731" s="2370"/>
      <c r="H1731" s="2374">
        <f>SUBTOTAL(9,H1732:H1737)</f>
        <v>19306.060000000001</v>
      </c>
      <c r="I1731" s="2371"/>
      <c r="J1731" s="2372"/>
      <c r="K1731" s="2555"/>
      <c r="L1731" s="2542">
        <f>SUBTOTAL(9,L1732:L1737)</f>
        <v>0</v>
      </c>
      <c r="M1731" s="2374">
        <f>SUBTOTAL(9,M1732:M1737)</f>
        <v>0</v>
      </c>
      <c r="N1731" s="2374">
        <f>SUBTOTAL(9,N1732:N1737)</f>
        <v>0</v>
      </c>
      <c r="O1731" s="2374">
        <f>SUBTOTAL(9,O1732:O1737)</f>
        <v>19306.060000000001</v>
      </c>
      <c r="P1731" s="2295">
        <f t="shared" si="362"/>
        <v>1</v>
      </c>
    </row>
    <row r="1732" spans="1:16" ht="45">
      <c r="A1732" s="2272" t="s">
        <v>14363</v>
      </c>
      <c r="B1732" s="2228">
        <f>VLOOKUP($A1732,'16 - QT_ICONT'!$A:$F,2,0)</f>
        <v>97906</v>
      </c>
      <c r="C1732" s="2228" t="str">
        <f>VLOOKUP($A1732,'16 - QT_ICONT'!$A:$F,3,0)</f>
        <v>SINAPI</v>
      </c>
      <c r="D1732" s="2375" t="s">
        <v>10017</v>
      </c>
      <c r="E1732" s="2243" t="str">
        <f>IFERROR(VLOOKUP($B1732,'24.08_ND'!$1:$1048529,3,0),IFERROR(VLOOKUP($B1732,'03-CP'!$C$1:$H$6260,3,0),""))</f>
        <v>UN</v>
      </c>
      <c r="F1732" s="2230">
        <v>11</v>
      </c>
      <c r="G1732" s="2232">
        <v>509.9</v>
      </c>
      <c r="H1732" s="2302">
        <f t="shared" ref="H1732:H1737" si="368">TRUNC((G1732*F1732),2)</f>
        <v>5608.9</v>
      </c>
      <c r="I1732" s="2328">
        <f t="shared" ref="I1732:I1737" si="369">J1732+K1732</f>
        <v>0</v>
      </c>
      <c r="J1732" s="2237"/>
      <c r="K1732" s="2411"/>
      <c r="L1732" s="2533">
        <f t="shared" ref="L1732:L1737" si="370">M1732+N1732</f>
        <v>0</v>
      </c>
      <c r="M1732" s="2238">
        <v>0</v>
      </c>
      <c r="N1732" s="2239">
        <f t="shared" ref="N1732:N1737" si="371">TRUNC(H1732*K1732,2)</f>
        <v>0</v>
      </c>
      <c r="O1732" s="2498">
        <f t="shared" ref="O1732:O1737" si="372">H1732-L1732</f>
        <v>5608.9</v>
      </c>
      <c r="P1732" s="2295">
        <f t="shared" si="362"/>
        <v>1</v>
      </c>
    </row>
    <row r="1733" spans="1:16" ht="30">
      <c r="A1733" s="2272" t="s">
        <v>14364</v>
      </c>
      <c r="B1733" s="2228" t="str">
        <f>VLOOKUP($A1733,'16 - QT_ICONT'!$A:$F,2,0)</f>
        <v>CP-HSD-07</v>
      </c>
      <c r="C1733" s="2228" t="str">
        <f>VLOOKUP($A1733,'16 - QT_ICONT'!$A:$F,3,0)</f>
        <v>PRÓPRIA</v>
      </c>
      <c r="D1733" s="2375" t="s">
        <v>15373</v>
      </c>
      <c r="E1733" s="2243" t="str">
        <f>IFERROR(VLOOKUP($B1733,'24.08_ND'!$1:$1048529,3,0),IFERROR(VLOOKUP($B1733,'03-CP'!$C$1:$H$6260,3,0),""))</f>
        <v>UN</v>
      </c>
      <c r="F1733" s="2230">
        <v>10</v>
      </c>
      <c r="G1733" s="2232">
        <v>20.88</v>
      </c>
      <c r="H1733" s="2302">
        <f t="shared" si="368"/>
        <v>208.8</v>
      </c>
      <c r="I1733" s="2328">
        <f t="shared" si="369"/>
        <v>0</v>
      </c>
      <c r="J1733" s="2237"/>
      <c r="K1733" s="2411"/>
      <c r="L1733" s="2533">
        <f t="shared" si="370"/>
        <v>0</v>
      </c>
      <c r="M1733" s="2238">
        <v>0</v>
      </c>
      <c r="N1733" s="2239">
        <f t="shared" si="371"/>
        <v>0</v>
      </c>
      <c r="O1733" s="2498">
        <f t="shared" si="372"/>
        <v>208.8</v>
      </c>
      <c r="P1733" s="2295">
        <f t="shared" si="362"/>
        <v>1</v>
      </c>
    </row>
    <row r="1734" spans="1:16" ht="45">
      <c r="A1734" s="2272" t="s">
        <v>14365</v>
      </c>
      <c r="B1734" s="2228">
        <f>VLOOKUP($A1734,'16 - QT_ICONT'!$A:$F,2,0)</f>
        <v>89744</v>
      </c>
      <c r="C1734" s="2228" t="str">
        <f>VLOOKUP($A1734,'16 - QT_ICONT'!$A:$F,3,0)</f>
        <v>SINAPI</v>
      </c>
      <c r="D1734" s="2375" t="s">
        <v>8957</v>
      </c>
      <c r="E1734" s="2243" t="str">
        <f>IFERROR(VLOOKUP($B1734,'24.08_ND'!$1:$1048529,3,0),IFERROR(VLOOKUP($B1734,'03-CP'!$C$1:$H$6260,3,0),""))</f>
        <v>UN</v>
      </c>
      <c r="F1734" s="2230">
        <v>10</v>
      </c>
      <c r="G1734" s="2232">
        <v>30.53</v>
      </c>
      <c r="H1734" s="2302">
        <f t="shared" si="368"/>
        <v>305.3</v>
      </c>
      <c r="I1734" s="2328">
        <f t="shared" si="369"/>
        <v>0</v>
      </c>
      <c r="J1734" s="2237"/>
      <c r="K1734" s="2411"/>
      <c r="L1734" s="2533">
        <f t="shared" si="370"/>
        <v>0</v>
      </c>
      <c r="M1734" s="2238">
        <v>0</v>
      </c>
      <c r="N1734" s="2239">
        <f t="shared" si="371"/>
        <v>0</v>
      </c>
      <c r="O1734" s="2498">
        <f t="shared" si="372"/>
        <v>305.3</v>
      </c>
      <c r="P1734" s="2295">
        <f t="shared" si="362"/>
        <v>1</v>
      </c>
    </row>
    <row r="1735" spans="1:16" ht="45">
      <c r="A1735" s="2272" t="s">
        <v>14366</v>
      </c>
      <c r="B1735" s="2228">
        <f>VLOOKUP($A1735,'16 - QT_ICONT'!$A:$F,2,0)</f>
        <v>89714</v>
      </c>
      <c r="C1735" s="2228" t="str">
        <f>VLOOKUP($A1735,'16 - QT_ICONT'!$A:$F,3,0)</f>
        <v>SINAPI</v>
      </c>
      <c r="D1735" s="2375" t="s">
        <v>8445</v>
      </c>
      <c r="E1735" s="2243" t="str">
        <f>IFERROR(VLOOKUP($B1735,'24.08_ND'!$1:$1048529,3,0),IFERROR(VLOOKUP($B1735,'03-CP'!$C$1:$H$6260,3,0),""))</f>
        <v>M</v>
      </c>
      <c r="F1735" s="2230">
        <v>112</v>
      </c>
      <c r="G1735" s="2232">
        <v>40.21</v>
      </c>
      <c r="H1735" s="2302">
        <f t="shared" si="368"/>
        <v>4503.5200000000004</v>
      </c>
      <c r="I1735" s="2328">
        <f t="shared" si="369"/>
        <v>0</v>
      </c>
      <c r="J1735" s="2237"/>
      <c r="K1735" s="2411"/>
      <c r="L1735" s="2533">
        <f t="shared" si="370"/>
        <v>0</v>
      </c>
      <c r="M1735" s="2238">
        <v>0</v>
      </c>
      <c r="N1735" s="2239">
        <f t="shared" si="371"/>
        <v>0</v>
      </c>
      <c r="O1735" s="2498">
        <f t="shared" si="372"/>
        <v>4503.5200000000004</v>
      </c>
      <c r="P1735" s="2295">
        <f t="shared" si="362"/>
        <v>1</v>
      </c>
    </row>
    <row r="1736" spans="1:16" ht="30">
      <c r="A1736" s="2272" t="s">
        <v>14367</v>
      </c>
      <c r="B1736" s="2228">
        <f>VLOOKUP($A1736,'16 - QT_ICONT'!$A:$F,2,0)</f>
        <v>93358</v>
      </c>
      <c r="C1736" s="2228" t="str">
        <f>VLOOKUP($A1736,'16 - QT_ICONT'!$A:$F,3,0)</f>
        <v>SINAPI</v>
      </c>
      <c r="D1736" s="2375" t="s">
        <v>10648</v>
      </c>
      <c r="E1736" s="2243" t="str">
        <f>IFERROR(VLOOKUP($B1736,'24.08_ND'!$1:$1048529,3,0),IFERROR(VLOOKUP($B1736,'03-CP'!$C$1:$H$6260,3,0),""))</f>
        <v>M3</v>
      </c>
      <c r="F1736" s="2230">
        <v>67.2</v>
      </c>
      <c r="G1736" s="2232">
        <v>91.52</v>
      </c>
      <c r="H1736" s="2302">
        <f t="shared" si="368"/>
        <v>6150.14</v>
      </c>
      <c r="I1736" s="2328">
        <f t="shared" si="369"/>
        <v>0</v>
      </c>
      <c r="J1736" s="2237"/>
      <c r="K1736" s="2411"/>
      <c r="L1736" s="2533">
        <f t="shared" si="370"/>
        <v>0</v>
      </c>
      <c r="M1736" s="2238">
        <v>0</v>
      </c>
      <c r="N1736" s="2239">
        <f t="shared" si="371"/>
        <v>0</v>
      </c>
      <c r="O1736" s="2498">
        <f t="shared" si="372"/>
        <v>6150.14</v>
      </c>
      <c r="P1736" s="2295">
        <f t="shared" si="362"/>
        <v>1</v>
      </c>
    </row>
    <row r="1737" spans="1:16" ht="30">
      <c r="A1737" s="2272" t="s">
        <v>14368</v>
      </c>
      <c r="B1737" s="2228">
        <f>VLOOKUP($A1737,'16 - QT_ICONT'!$A:$F,2,0)</f>
        <v>93382</v>
      </c>
      <c r="C1737" s="2228" t="str">
        <f>VLOOKUP($A1737,'16 - QT_ICONT'!$A:$F,3,0)</f>
        <v>SINAPI</v>
      </c>
      <c r="D1737" s="2375" t="s">
        <v>10726</v>
      </c>
      <c r="E1737" s="2243" t="str">
        <f>IFERROR(VLOOKUP($B1737,'24.08_ND'!$1:$1048529,3,0),IFERROR(VLOOKUP($B1737,'03-CP'!$C$1:$H$6260,3,0),""))</f>
        <v>M3</v>
      </c>
      <c r="F1737" s="2230">
        <v>94.1</v>
      </c>
      <c r="G1737" s="2232">
        <v>26.88</v>
      </c>
      <c r="H1737" s="2302">
        <f t="shared" si="368"/>
        <v>2529.4</v>
      </c>
      <c r="I1737" s="2328">
        <f t="shared" si="369"/>
        <v>0</v>
      </c>
      <c r="J1737" s="2237"/>
      <c r="K1737" s="2411"/>
      <c r="L1737" s="2533">
        <f t="shared" si="370"/>
        <v>0</v>
      </c>
      <c r="M1737" s="2238">
        <v>0</v>
      </c>
      <c r="N1737" s="2239">
        <f t="shared" si="371"/>
        <v>0</v>
      </c>
      <c r="O1737" s="2498">
        <f t="shared" si="372"/>
        <v>2529.4</v>
      </c>
      <c r="P1737" s="2295">
        <f t="shared" si="362"/>
        <v>1</v>
      </c>
    </row>
    <row r="1738" spans="1:16" ht="30">
      <c r="A1738" s="2267" t="s">
        <v>12660</v>
      </c>
      <c r="B1738" s="2396"/>
      <c r="C1738" s="2400"/>
      <c r="D1738" s="2381" t="s">
        <v>16570</v>
      </c>
      <c r="E1738" s="2362"/>
      <c r="F1738" s="2363"/>
      <c r="G1738" s="2364"/>
      <c r="H1738" s="2365">
        <f>SUBTOTAL(9,H1739:H1757)</f>
        <v>37866.17</v>
      </c>
      <c r="I1738" s="2366"/>
      <c r="J1738" s="2367"/>
      <c r="K1738" s="2556"/>
      <c r="L1738" s="2543">
        <f>SUBTOTAL(9,L1739:L1757)</f>
        <v>0</v>
      </c>
      <c r="M1738" s="2365">
        <f>SUBTOTAL(9,M1739:M1757)</f>
        <v>0</v>
      </c>
      <c r="N1738" s="2365">
        <f>SUBTOTAL(9,N1739:N1757)</f>
        <v>0</v>
      </c>
      <c r="O1738" s="2365">
        <f>SUBTOTAL(9,O1739:O1757)</f>
        <v>37866.17</v>
      </c>
      <c r="P1738" s="2295">
        <f t="shared" si="362"/>
        <v>1</v>
      </c>
    </row>
    <row r="1739" spans="1:16">
      <c r="A1739" s="2343" t="s">
        <v>14369</v>
      </c>
      <c r="B1739" s="2397"/>
      <c r="C1739" s="2401"/>
      <c r="D1739" s="2380" t="s">
        <v>16312</v>
      </c>
      <c r="E1739" s="2368"/>
      <c r="F1739" s="2369"/>
      <c r="G1739" s="2370"/>
      <c r="H1739" s="2374">
        <f>SUBTOTAL(9,H1740:H1749)</f>
        <v>8622.86</v>
      </c>
      <c r="I1739" s="2371"/>
      <c r="J1739" s="2372"/>
      <c r="K1739" s="2555"/>
      <c r="L1739" s="2542">
        <f>SUBTOTAL(9,L1740:L1749)</f>
        <v>0</v>
      </c>
      <c r="M1739" s="2374">
        <f>SUBTOTAL(9,M1740:M1749)</f>
        <v>0</v>
      </c>
      <c r="N1739" s="2374">
        <f>SUBTOTAL(9,N1740:N1749)</f>
        <v>0</v>
      </c>
      <c r="O1739" s="2374">
        <f>SUBTOTAL(9,O1740:O1749)</f>
        <v>8622.86</v>
      </c>
      <c r="P1739" s="2295">
        <f t="shared" si="362"/>
        <v>1</v>
      </c>
    </row>
    <row r="1740" spans="1:16" ht="30">
      <c r="A1740" s="2272" t="s">
        <v>14370</v>
      </c>
      <c r="B1740" s="2228">
        <f>VLOOKUP($A1740,'16 - QT_ICONT'!$A:$F,2,0)</f>
        <v>105234</v>
      </c>
      <c r="C1740" s="2228" t="str">
        <f>VLOOKUP($A1740,'16 - QT_ICONT'!$A:$F,3,0)</f>
        <v>SINAPI</v>
      </c>
      <c r="D1740" s="2375" t="s">
        <v>10006</v>
      </c>
      <c r="E1740" s="2243" t="str">
        <f>IFERROR(VLOOKUP($B1740,'24.08_ND'!$1:$1048529,3,0),IFERROR(VLOOKUP($B1740,'03-CP'!$C$1:$H$6260,3,0),""))</f>
        <v>UN</v>
      </c>
      <c r="F1740" s="2230">
        <v>1</v>
      </c>
      <c r="G1740" s="2232">
        <v>10.15</v>
      </c>
      <c r="H1740" s="2302">
        <f t="shared" ref="H1740:H1749" si="373">TRUNC((G1740*F1740),2)</f>
        <v>10.15</v>
      </c>
      <c r="I1740" s="2328">
        <f t="shared" ref="I1740:I1749" si="374">J1740+K1740</f>
        <v>0</v>
      </c>
      <c r="J1740" s="2237"/>
      <c r="K1740" s="2411"/>
      <c r="L1740" s="2533">
        <f t="shared" ref="L1740:L1749" si="375">M1740+N1740</f>
        <v>0</v>
      </c>
      <c r="M1740" s="2238">
        <v>0</v>
      </c>
      <c r="N1740" s="2239">
        <f t="shared" ref="N1740:N1749" si="376">TRUNC(H1740*K1740,2)</f>
        <v>0</v>
      </c>
      <c r="O1740" s="2498">
        <f t="shared" ref="O1740:O1749" si="377">H1740-L1740</f>
        <v>10.15</v>
      </c>
      <c r="P1740" s="2295">
        <f t="shared" si="362"/>
        <v>1</v>
      </c>
    </row>
    <row r="1741" spans="1:16" ht="30">
      <c r="A1741" s="2272" t="s">
        <v>14371</v>
      </c>
      <c r="B1741" s="2228">
        <f>VLOOKUP($A1741,'16 - QT_ICONT'!$A:$F,2,0)</f>
        <v>103979</v>
      </c>
      <c r="C1741" s="2228" t="str">
        <f>VLOOKUP($A1741,'16 - QT_ICONT'!$A:$F,3,0)</f>
        <v>SINAPI</v>
      </c>
      <c r="D1741" s="2375" t="s">
        <v>8649</v>
      </c>
      <c r="E1741" s="2243" t="str">
        <f>IFERROR(VLOOKUP($B1741,'24.08_ND'!$1:$1048529,3,0),IFERROR(VLOOKUP($B1741,'03-CP'!$C$1:$H$6260,3,0),""))</f>
        <v>M</v>
      </c>
      <c r="F1741" s="2230">
        <v>4</v>
      </c>
      <c r="G1741" s="2232">
        <v>30.08</v>
      </c>
      <c r="H1741" s="2302">
        <f t="shared" si="373"/>
        <v>120.32</v>
      </c>
      <c r="I1741" s="2328">
        <f t="shared" si="374"/>
        <v>0</v>
      </c>
      <c r="J1741" s="2237"/>
      <c r="K1741" s="2411"/>
      <c r="L1741" s="2533">
        <f t="shared" si="375"/>
        <v>0</v>
      </c>
      <c r="M1741" s="2238">
        <v>0</v>
      </c>
      <c r="N1741" s="2239">
        <f t="shared" si="376"/>
        <v>0</v>
      </c>
      <c r="O1741" s="2498">
        <f t="shared" si="377"/>
        <v>120.32</v>
      </c>
      <c r="P1741" s="2295">
        <f t="shared" si="362"/>
        <v>1</v>
      </c>
    </row>
    <row r="1742" spans="1:16" ht="30">
      <c r="A1742" s="2272" t="s">
        <v>14372</v>
      </c>
      <c r="B1742" s="2228">
        <f>VLOOKUP($A1742,'16 - QT_ICONT'!$A:$F,2,0)</f>
        <v>89362</v>
      </c>
      <c r="C1742" s="2228" t="str">
        <f>VLOOKUP($A1742,'16 - QT_ICONT'!$A:$F,3,0)</f>
        <v>SINAPI</v>
      </c>
      <c r="D1742" s="2375" t="s">
        <v>8669</v>
      </c>
      <c r="E1742" s="2243" t="str">
        <f>IFERROR(VLOOKUP($B1742,'24.08_ND'!$1:$1048529,3,0),IFERROR(VLOOKUP($B1742,'03-CP'!$C$1:$H$6260,3,0),""))</f>
        <v>UN</v>
      </c>
      <c r="F1742" s="2230">
        <v>11</v>
      </c>
      <c r="G1742" s="2232">
        <v>10.220000000000001</v>
      </c>
      <c r="H1742" s="2302">
        <f t="shared" si="373"/>
        <v>112.42</v>
      </c>
      <c r="I1742" s="2328">
        <f t="shared" si="374"/>
        <v>0</v>
      </c>
      <c r="J1742" s="2237"/>
      <c r="K1742" s="2411"/>
      <c r="L1742" s="2533">
        <f t="shared" si="375"/>
        <v>0</v>
      </c>
      <c r="M1742" s="2238">
        <v>0</v>
      </c>
      <c r="N1742" s="2239">
        <f t="shared" si="376"/>
        <v>0</v>
      </c>
      <c r="O1742" s="2498">
        <f t="shared" si="377"/>
        <v>112.42</v>
      </c>
      <c r="P1742" s="2295">
        <f t="shared" si="362"/>
        <v>1</v>
      </c>
    </row>
    <row r="1743" spans="1:16" ht="45">
      <c r="A1743" s="2272" t="s">
        <v>14373</v>
      </c>
      <c r="B1743" s="2228">
        <f>VLOOKUP($A1743,'16 - QT_ICONT'!$A:$F,2,0)</f>
        <v>90373</v>
      </c>
      <c r="C1743" s="2228" t="str">
        <f>VLOOKUP($A1743,'16 - QT_ICONT'!$A:$F,3,0)</f>
        <v>SINAPI</v>
      </c>
      <c r="D1743" s="2375" t="s">
        <v>9065</v>
      </c>
      <c r="E1743" s="2243" t="str">
        <f>IFERROR(VLOOKUP($B1743,'24.08_ND'!$1:$1048529,3,0),IFERROR(VLOOKUP($B1743,'03-CP'!$C$1:$H$6260,3,0),""))</f>
        <v>UN</v>
      </c>
      <c r="F1743" s="2230">
        <v>10</v>
      </c>
      <c r="G1743" s="2232">
        <v>13.46</v>
      </c>
      <c r="H1743" s="2302">
        <f t="shared" si="373"/>
        <v>134.6</v>
      </c>
      <c r="I1743" s="2328">
        <f t="shared" si="374"/>
        <v>0</v>
      </c>
      <c r="J1743" s="2237"/>
      <c r="K1743" s="2411"/>
      <c r="L1743" s="2533">
        <f t="shared" si="375"/>
        <v>0</v>
      </c>
      <c r="M1743" s="2238">
        <v>0</v>
      </c>
      <c r="N1743" s="2239">
        <f t="shared" si="376"/>
        <v>0</v>
      </c>
      <c r="O1743" s="2498">
        <f t="shared" si="377"/>
        <v>134.6</v>
      </c>
      <c r="P1743" s="2295">
        <f t="shared" si="362"/>
        <v>1</v>
      </c>
    </row>
    <row r="1744" spans="1:16" ht="30">
      <c r="A1744" s="2272" t="s">
        <v>14374</v>
      </c>
      <c r="B1744" s="2228">
        <f>VLOOKUP($A1744,'16 - QT_ICONT'!$A:$F,2,0)</f>
        <v>89402</v>
      </c>
      <c r="C1744" s="2228" t="str">
        <f>VLOOKUP($A1744,'16 - QT_ICONT'!$A:$F,3,0)</f>
        <v>SINAPI</v>
      </c>
      <c r="D1744" s="2375" t="s">
        <v>8422</v>
      </c>
      <c r="E1744" s="2243" t="str">
        <f>IFERROR(VLOOKUP($B1744,'24.08_ND'!$1:$1048529,3,0),IFERROR(VLOOKUP($B1744,'03-CP'!$C$1:$H$6260,3,0),""))</f>
        <v>M</v>
      </c>
      <c r="F1744" s="2230">
        <v>84</v>
      </c>
      <c r="G1744" s="2232">
        <v>12.75</v>
      </c>
      <c r="H1744" s="2302">
        <f t="shared" si="373"/>
        <v>1071</v>
      </c>
      <c r="I1744" s="2328">
        <f t="shared" si="374"/>
        <v>0</v>
      </c>
      <c r="J1744" s="2237"/>
      <c r="K1744" s="2411"/>
      <c r="L1744" s="2533">
        <f t="shared" si="375"/>
        <v>0</v>
      </c>
      <c r="M1744" s="2238">
        <v>0</v>
      </c>
      <c r="N1744" s="2239">
        <f t="shared" si="376"/>
        <v>0</v>
      </c>
      <c r="O1744" s="2498">
        <f t="shared" si="377"/>
        <v>1071</v>
      </c>
      <c r="P1744" s="2295">
        <f t="shared" si="362"/>
        <v>1</v>
      </c>
    </row>
    <row r="1745" spans="1:16" ht="30">
      <c r="A1745" s="2272" t="s">
        <v>14375</v>
      </c>
      <c r="B1745" s="2228">
        <f>VLOOKUP($A1745,'16 - QT_ICONT'!$A:$F,2,0)</f>
        <v>89395</v>
      </c>
      <c r="C1745" s="2228" t="str">
        <f>VLOOKUP($A1745,'16 - QT_ICONT'!$A:$F,3,0)</f>
        <v>SINAPI</v>
      </c>
      <c r="D1745" s="2375" t="s">
        <v>8701</v>
      </c>
      <c r="E1745" s="2243" t="str">
        <f>IFERROR(VLOOKUP($B1745,'24.08_ND'!$1:$1048529,3,0),IFERROR(VLOOKUP($B1745,'03-CP'!$C$1:$H$6260,3,0),""))</f>
        <v>UN</v>
      </c>
      <c r="F1745" s="2230">
        <v>9</v>
      </c>
      <c r="G1745" s="2232">
        <v>14.12</v>
      </c>
      <c r="H1745" s="2302">
        <f t="shared" si="373"/>
        <v>127.08</v>
      </c>
      <c r="I1745" s="2328">
        <f t="shared" si="374"/>
        <v>0</v>
      </c>
      <c r="J1745" s="2237"/>
      <c r="K1745" s="2411"/>
      <c r="L1745" s="2533">
        <f t="shared" si="375"/>
        <v>0</v>
      </c>
      <c r="M1745" s="2238">
        <v>0</v>
      </c>
      <c r="N1745" s="2239">
        <f t="shared" si="376"/>
        <v>0</v>
      </c>
      <c r="O1745" s="2498">
        <f t="shared" si="377"/>
        <v>127.08</v>
      </c>
      <c r="P1745" s="2295">
        <f t="shared" si="362"/>
        <v>1</v>
      </c>
    </row>
    <row r="1746" spans="1:16">
      <c r="A1746" s="2272" t="s">
        <v>14376</v>
      </c>
      <c r="B1746" s="2245" t="str">
        <f>VLOOKUP($A1746,'16 - QT_ICONT'!$A:$F,2,0)</f>
        <v>CP-HSD-35</v>
      </c>
      <c r="C1746" s="2228" t="str">
        <f>VLOOKUP($A1746,'16 - QT_ICONT'!$A:$F,3,0)</f>
        <v>PRÓPRIA</v>
      </c>
      <c r="D1746" s="2375" t="s">
        <v>15437</v>
      </c>
      <c r="E1746" s="2243" t="str">
        <f>IFERROR(VLOOKUP($B1746,'24.08_ND'!$1:$1048529,3,0),IFERROR(VLOOKUP($B1746,'03-CP'!$C$1:$H$6260,3,0),""))</f>
        <v>UN</v>
      </c>
      <c r="F1746" s="2230">
        <v>10</v>
      </c>
      <c r="G1746" s="2232">
        <v>78.52</v>
      </c>
      <c r="H1746" s="2302">
        <f t="shared" si="373"/>
        <v>785.2</v>
      </c>
      <c r="I1746" s="2328">
        <f t="shared" si="374"/>
        <v>0</v>
      </c>
      <c r="J1746" s="2237"/>
      <c r="K1746" s="2411"/>
      <c r="L1746" s="2533">
        <f t="shared" si="375"/>
        <v>0</v>
      </c>
      <c r="M1746" s="2238">
        <v>0</v>
      </c>
      <c r="N1746" s="2239">
        <f t="shared" si="376"/>
        <v>0</v>
      </c>
      <c r="O1746" s="2498">
        <f t="shared" si="377"/>
        <v>785.2</v>
      </c>
      <c r="P1746" s="2295">
        <f t="shared" si="362"/>
        <v>1</v>
      </c>
    </row>
    <row r="1747" spans="1:16" ht="30">
      <c r="A1747" s="2272" t="s">
        <v>14377</v>
      </c>
      <c r="B1747" s="2245" t="str">
        <f>VLOOKUP($A1747,'16 - QT_ICONT'!$A:$F,2,0)</f>
        <v>CP-HSD-37</v>
      </c>
      <c r="C1747" s="2228" t="str">
        <f>VLOOKUP($A1747,'16 - QT_ICONT'!$A:$F,3,0)</f>
        <v>PRÓPRIA</v>
      </c>
      <c r="D1747" s="2375" t="s">
        <v>15441</v>
      </c>
      <c r="E1747" s="2243" t="str">
        <f>IFERROR(VLOOKUP($B1747,'24.08_ND'!$1:$1048529,3,0),IFERROR(VLOOKUP($B1747,'03-CP'!$C$1:$H$6260,3,0),""))</f>
        <v>UN</v>
      </c>
      <c r="F1747" s="2230">
        <v>10</v>
      </c>
      <c r="G1747" s="2232">
        <v>260.70999999999998</v>
      </c>
      <c r="H1747" s="2302">
        <f t="shared" si="373"/>
        <v>2607.1</v>
      </c>
      <c r="I1747" s="2328">
        <f t="shared" si="374"/>
        <v>0</v>
      </c>
      <c r="J1747" s="2237"/>
      <c r="K1747" s="2411"/>
      <c r="L1747" s="2533">
        <f t="shared" si="375"/>
        <v>0</v>
      </c>
      <c r="M1747" s="2238">
        <v>0</v>
      </c>
      <c r="N1747" s="2239">
        <f t="shared" si="376"/>
        <v>0</v>
      </c>
      <c r="O1747" s="2498">
        <f t="shared" si="377"/>
        <v>2607.1</v>
      </c>
      <c r="P1747" s="2295">
        <f t="shared" si="362"/>
        <v>1</v>
      </c>
    </row>
    <row r="1748" spans="1:16" ht="30">
      <c r="A1748" s="2272" t="s">
        <v>14378</v>
      </c>
      <c r="B1748" s="2228">
        <f>VLOOKUP($A1748,'16 - QT_ICONT'!$A:$F,2,0)</f>
        <v>93358</v>
      </c>
      <c r="C1748" s="2228" t="str">
        <f>VLOOKUP($A1748,'16 - QT_ICONT'!$A:$F,3,0)</f>
        <v>SINAPI</v>
      </c>
      <c r="D1748" s="2375" t="s">
        <v>10648</v>
      </c>
      <c r="E1748" s="2243" t="str">
        <f>IFERROR(VLOOKUP($B1748,'24.08_ND'!$1:$1048529,3,0),IFERROR(VLOOKUP($B1748,'03-CP'!$C$1:$H$6260,3,0),""))</f>
        <v>M3</v>
      </c>
      <c r="F1748" s="2230">
        <v>28.3</v>
      </c>
      <c r="G1748" s="2232">
        <v>91.52</v>
      </c>
      <c r="H1748" s="2302">
        <f t="shared" si="373"/>
        <v>2590.0100000000002</v>
      </c>
      <c r="I1748" s="2328">
        <f t="shared" si="374"/>
        <v>0</v>
      </c>
      <c r="J1748" s="2237"/>
      <c r="K1748" s="2411"/>
      <c r="L1748" s="2533">
        <f t="shared" si="375"/>
        <v>0</v>
      </c>
      <c r="M1748" s="2238">
        <v>0</v>
      </c>
      <c r="N1748" s="2239">
        <f t="shared" si="376"/>
        <v>0</v>
      </c>
      <c r="O1748" s="2498">
        <f t="shared" si="377"/>
        <v>2590.0100000000002</v>
      </c>
      <c r="P1748" s="2295">
        <f t="shared" si="362"/>
        <v>1</v>
      </c>
    </row>
    <row r="1749" spans="1:16" ht="30">
      <c r="A1749" s="2272" t="s">
        <v>14379</v>
      </c>
      <c r="B1749" s="2228">
        <f>VLOOKUP($A1749,'16 - QT_ICONT'!$A:$F,2,0)</f>
        <v>93382</v>
      </c>
      <c r="C1749" s="2228" t="str">
        <f>VLOOKUP($A1749,'16 - QT_ICONT'!$A:$F,3,0)</f>
        <v>SINAPI</v>
      </c>
      <c r="D1749" s="2375" t="s">
        <v>10726</v>
      </c>
      <c r="E1749" s="2243" t="str">
        <f>IFERROR(VLOOKUP($B1749,'24.08_ND'!$1:$1048529,3,0),IFERROR(VLOOKUP($B1749,'03-CP'!$C$1:$H$6260,3,0),""))</f>
        <v>M3</v>
      </c>
      <c r="F1749" s="2230">
        <v>39.619999999999997</v>
      </c>
      <c r="G1749" s="2232">
        <v>26.88</v>
      </c>
      <c r="H1749" s="2302">
        <f t="shared" si="373"/>
        <v>1064.98</v>
      </c>
      <c r="I1749" s="2328">
        <f t="shared" si="374"/>
        <v>0</v>
      </c>
      <c r="J1749" s="2237"/>
      <c r="K1749" s="2411"/>
      <c r="L1749" s="2533">
        <f t="shared" si="375"/>
        <v>0</v>
      </c>
      <c r="M1749" s="2238">
        <v>0</v>
      </c>
      <c r="N1749" s="2239">
        <f t="shared" si="376"/>
        <v>0</v>
      </c>
      <c r="O1749" s="2498">
        <f t="shared" si="377"/>
        <v>1064.98</v>
      </c>
      <c r="P1749" s="2295">
        <f t="shared" si="362"/>
        <v>1</v>
      </c>
    </row>
    <row r="1750" spans="1:16">
      <c r="A1750" s="2343" t="s">
        <v>14380</v>
      </c>
      <c r="B1750" s="2397"/>
      <c r="C1750" s="2401"/>
      <c r="D1750" s="2380" t="s">
        <v>16317</v>
      </c>
      <c r="E1750" s="2368"/>
      <c r="F1750" s="2369"/>
      <c r="G1750" s="2370"/>
      <c r="H1750" s="2374">
        <f>SUBTOTAL(9,H1751:H1757)</f>
        <v>29243.31</v>
      </c>
      <c r="I1750" s="2371"/>
      <c r="J1750" s="2372"/>
      <c r="K1750" s="2555"/>
      <c r="L1750" s="2542">
        <f>SUBTOTAL(9,L1751:L1757)</f>
        <v>0</v>
      </c>
      <c r="M1750" s="2374">
        <f>SUBTOTAL(9,M1751:M1757)</f>
        <v>0</v>
      </c>
      <c r="N1750" s="2374">
        <f>SUBTOTAL(9,N1751:N1757)</f>
        <v>0</v>
      </c>
      <c r="O1750" s="2374">
        <f>SUBTOTAL(9,O1751:O1757)</f>
        <v>29243.31</v>
      </c>
      <c r="P1750" s="2295">
        <f t="shared" si="362"/>
        <v>1</v>
      </c>
    </row>
    <row r="1751" spans="1:16" ht="45">
      <c r="A1751" s="2272" t="s">
        <v>14381</v>
      </c>
      <c r="B1751" s="2228">
        <f>VLOOKUP($A1751,'16 - QT_ICONT'!$A:$F,2,0)</f>
        <v>97906</v>
      </c>
      <c r="C1751" s="2228" t="str">
        <f>VLOOKUP($A1751,'16 - QT_ICONT'!$A:$F,3,0)</f>
        <v>SINAPI</v>
      </c>
      <c r="D1751" s="2375" t="s">
        <v>10017</v>
      </c>
      <c r="E1751" s="2243" t="str">
        <f>IFERROR(VLOOKUP($B1751,'24.08_ND'!$1:$1048529,3,0),IFERROR(VLOOKUP($B1751,'03-CP'!$C$1:$H$6260,3,0),""))</f>
        <v>UN</v>
      </c>
      <c r="F1751" s="2230">
        <v>6</v>
      </c>
      <c r="G1751" s="2232">
        <v>509.9</v>
      </c>
      <c r="H1751" s="2302">
        <f t="shared" ref="H1751:H1757" si="378">TRUNC((G1751*F1751),2)</f>
        <v>3059.4</v>
      </c>
      <c r="I1751" s="2328">
        <f t="shared" ref="I1751:I1757" si="379">J1751+K1751</f>
        <v>0</v>
      </c>
      <c r="J1751" s="2237"/>
      <c r="K1751" s="2411"/>
      <c r="L1751" s="2533">
        <f t="shared" ref="L1751:L1757" si="380">M1751+N1751</f>
        <v>0</v>
      </c>
      <c r="M1751" s="2238">
        <v>0</v>
      </c>
      <c r="N1751" s="2239">
        <f t="shared" ref="N1751:N1757" si="381">TRUNC(H1751*K1751,2)</f>
        <v>0</v>
      </c>
      <c r="O1751" s="2498">
        <f t="shared" ref="O1751:O1757" si="382">H1751-L1751</f>
        <v>3059.4</v>
      </c>
      <c r="P1751" s="2295">
        <f t="shared" si="362"/>
        <v>1</v>
      </c>
    </row>
    <row r="1752" spans="1:16" ht="30">
      <c r="A1752" s="2272" t="s">
        <v>14382</v>
      </c>
      <c r="B1752" s="2228" t="str">
        <f>VLOOKUP($A1752,'16 - QT_ICONT'!$A:$F,2,0)</f>
        <v>CP-HSD-07</v>
      </c>
      <c r="C1752" s="2228" t="str">
        <f>VLOOKUP($A1752,'16 - QT_ICONT'!$A:$F,3,0)</f>
        <v>PRÓPRIA</v>
      </c>
      <c r="D1752" s="2375" t="s">
        <v>15373</v>
      </c>
      <c r="E1752" s="2243" t="str">
        <f>IFERROR(VLOOKUP($B1752,'24.08_ND'!$1:$1048529,3,0),IFERROR(VLOOKUP($B1752,'03-CP'!$C$1:$H$6260,3,0),""))</f>
        <v>UN</v>
      </c>
      <c r="F1752" s="2230">
        <v>10</v>
      </c>
      <c r="G1752" s="2232">
        <v>20.88</v>
      </c>
      <c r="H1752" s="2302">
        <f t="shared" si="378"/>
        <v>208.8</v>
      </c>
      <c r="I1752" s="2328">
        <f t="shared" si="379"/>
        <v>0</v>
      </c>
      <c r="J1752" s="2237"/>
      <c r="K1752" s="2411"/>
      <c r="L1752" s="2533">
        <f t="shared" si="380"/>
        <v>0</v>
      </c>
      <c r="M1752" s="2238">
        <v>0</v>
      </c>
      <c r="N1752" s="2239">
        <f t="shared" si="381"/>
        <v>0</v>
      </c>
      <c r="O1752" s="2498">
        <f t="shared" si="382"/>
        <v>208.8</v>
      </c>
      <c r="P1752" s="2295">
        <f t="shared" si="362"/>
        <v>1</v>
      </c>
    </row>
    <row r="1753" spans="1:16" ht="45">
      <c r="A1753" s="2272" t="s">
        <v>14383</v>
      </c>
      <c r="B1753" s="2228">
        <f>VLOOKUP($A1753,'16 - QT_ICONT'!$A:$F,2,0)</f>
        <v>89744</v>
      </c>
      <c r="C1753" s="2228" t="str">
        <f>VLOOKUP($A1753,'16 - QT_ICONT'!$A:$F,3,0)</f>
        <v>SINAPI</v>
      </c>
      <c r="D1753" s="2375" t="s">
        <v>8957</v>
      </c>
      <c r="E1753" s="2243" t="str">
        <f>IFERROR(VLOOKUP($B1753,'24.08_ND'!$1:$1048529,3,0),IFERROR(VLOOKUP($B1753,'03-CP'!$C$1:$H$6260,3,0),""))</f>
        <v>UN</v>
      </c>
      <c r="F1753" s="2230">
        <v>10</v>
      </c>
      <c r="G1753" s="2232">
        <v>30.53</v>
      </c>
      <c r="H1753" s="2302">
        <f t="shared" si="378"/>
        <v>305.3</v>
      </c>
      <c r="I1753" s="2328">
        <f t="shared" si="379"/>
        <v>0</v>
      </c>
      <c r="J1753" s="2237"/>
      <c r="K1753" s="2411"/>
      <c r="L1753" s="2533">
        <f t="shared" si="380"/>
        <v>0</v>
      </c>
      <c r="M1753" s="2238">
        <v>0</v>
      </c>
      <c r="N1753" s="2239">
        <f t="shared" si="381"/>
        <v>0</v>
      </c>
      <c r="O1753" s="2498">
        <f t="shared" si="382"/>
        <v>305.3</v>
      </c>
      <c r="P1753" s="2295">
        <f t="shared" si="362"/>
        <v>1</v>
      </c>
    </row>
    <row r="1754" spans="1:16" ht="45">
      <c r="A1754" s="2272" t="s">
        <v>14384</v>
      </c>
      <c r="B1754" s="2228">
        <f>VLOOKUP($A1754,'16 - QT_ICONT'!$A:$F,2,0)</f>
        <v>89714</v>
      </c>
      <c r="C1754" s="2228" t="str">
        <f>VLOOKUP($A1754,'16 - QT_ICONT'!$A:$F,3,0)</f>
        <v>SINAPI</v>
      </c>
      <c r="D1754" s="2375" t="s">
        <v>8445</v>
      </c>
      <c r="E1754" s="2243" t="str">
        <f>IFERROR(VLOOKUP($B1754,'24.08_ND'!$1:$1048529,3,0),IFERROR(VLOOKUP($B1754,'03-CP'!$C$1:$H$6260,3,0),""))</f>
        <v>M</v>
      </c>
      <c r="F1754" s="2230">
        <v>130</v>
      </c>
      <c r="G1754" s="2232">
        <v>40.21</v>
      </c>
      <c r="H1754" s="2302">
        <f t="shared" si="378"/>
        <v>5227.3</v>
      </c>
      <c r="I1754" s="2328">
        <f t="shared" si="379"/>
        <v>0</v>
      </c>
      <c r="J1754" s="2237"/>
      <c r="K1754" s="2411"/>
      <c r="L1754" s="2533">
        <f>M1754+N1754</f>
        <v>0</v>
      </c>
      <c r="M1754" s="2238">
        <v>0</v>
      </c>
      <c r="N1754" s="2239">
        <f t="shared" si="381"/>
        <v>0</v>
      </c>
      <c r="O1754" s="2498">
        <f t="shared" si="382"/>
        <v>5227.3</v>
      </c>
      <c r="P1754" s="2295">
        <f t="shared" si="362"/>
        <v>1</v>
      </c>
    </row>
    <row r="1755" spans="1:16" ht="30">
      <c r="A1755" s="2272" t="s">
        <v>14385</v>
      </c>
      <c r="B1755" s="2228">
        <f>VLOOKUP($A1755,'16 - QT_ICONT'!$A:$F,2,0)</f>
        <v>93358</v>
      </c>
      <c r="C1755" s="2228" t="str">
        <f>VLOOKUP($A1755,'16 - QT_ICONT'!$A:$F,3,0)</f>
        <v>SINAPI</v>
      </c>
      <c r="D1755" s="2375" t="s">
        <v>10648</v>
      </c>
      <c r="E1755" s="2243" t="str">
        <f>IFERROR(VLOOKUP($B1755,'24.08_ND'!$1:$1048529,3,0),IFERROR(VLOOKUP($B1755,'03-CP'!$C$1:$H$6260,3,0),""))</f>
        <v>M3</v>
      </c>
      <c r="F1755" s="2230">
        <v>78</v>
      </c>
      <c r="G1755" s="2232">
        <v>91.52</v>
      </c>
      <c r="H1755" s="2302">
        <f t="shared" si="378"/>
        <v>7138.56</v>
      </c>
      <c r="I1755" s="2328">
        <f t="shared" si="379"/>
        <v>0</v>
      </c>
      <c r="J1755" s="2237"/>
      <c r="K1755" s="2411"/>
      <c r="L1755" s="2533">
        <f t="shared" si="380"/>
        <v>0</v>
      </c>
      <c r="M1755" s="2238">
        <v>0</v>
      </c>
      <c r="N1755" s="2239">
        <f t="shared" si="381"/>
        <v>0</v>
      </c>
      <c r="O1755" s="2498">
        <f t="shared" si="382"/>
        <v>7138.56</v>
      </c>
      <c r="P1755" s="2295">
        <f t="shared" si="362"/>
        <v>1</v>
      </c>
    </row>
    <row r="1756" spans="1:16" ht="30">
      <c r="A1756" s="2272" t="s">
        <v>14386</v>
      </c>
      <c r="B1756" s="2228">
        <f>VLOOKUP($A1756,'16 - QT_ICONT'!$A:$F,2,0)</f>
        <v>93382</v>
      </c>
      <c r="C1756" s="2228" t="str">
        <f>VLOOKUP($A1756,'16 - QT_ICONT'!$A:$F,3,0)</f>
        <v>SINAPI</v>
      </c>
      <c r="D1756" s="2375" t="s">
        <v>10726</v>
      </c>
      <c r="E1756" s="2243" t="str">
        <f>IFERROR(VLOOKUP($B1756,'24.08_ND'!$1:$1048529,3,0),IFERROR(VLOOKUP($B1756,'03-CP'!$C$1:$H$6260,3,0),""))</f>
        <v>M3</v>
      </c>
      <c r="F1756" s="2230">
        <v>109.2</v>
      </c>
      <c r="G1756" s="2232">
        <v>26.88</v>
      </c>
      <c r="H1756" s="2302">
        <f t="shared" si="378"/>
        <v>2935.29</v>
      </c>
      <c r="I1756" s="2328">
        <f t="shared" si="379"/>
        <v>0</v>
      </c>
      <c r="J1756" s="2237"/>
      <c r="K1756" s="2411"/>
      <c r="L1756" s="2533">
        <f t="shared" si="380"/>
        <v>0</v>
      </c>
      <c r="M1756" s="2238">
        <v>0</v>
      </c>
      <c r="N1756" s="2239">
        <f t="shared" si="381"/>
        <v>0</v>
      </c>
      <c r="O1756" s="2498">
        <f t="shared" si="382"/>
        <v>2935.29</v>
      </c>
      <c r="P1756" s="2295">
        <f t="shared" si="362"/>
        <v>1</v>
      </c>
    </row>
    <row r="1757" spans="1:16" ht="30">
      <c r="A1757" s="2272" t="s">
        <v>14387</v>
      </c>
      <c r="B1757" s="2228" t="str">
        <f>VLOOKUP($A1757,'16 - QT_ICONT'!$A:$F,2,0)</f>
        <v>CP-HSD-38</v>
      </c>
      <c r="C1757" s="2228" t="str">
        <f>VLOOKUP($A1757,'16 - QT_ICONT'!$A:$F,3,0)</f>
        <v>PRÓPRIA</v>
      </c>
      <c r="D1757" s="2375" t="s">
        <v>15443</v>
      </c>
      <c r="E1757" s="2243" t="str">
        <f>IFERROR(VLOOKUP($B1757,'24.08_ND'!$1:$1048529,3,0),IFERROR(VLOOKUP($B1757,'03-CP'!$C$1:$H$6260,3,0),""))</f>
        <v>UN</v>
      </c>
      <c r="F1757" s="2230">
        <v>3</v>
      </c>
      <c r="G1757" s="2232">
        <v>3456.22</v>
      </c>
      <c r="H1757" s="2302">
        <f t="shared" si="378"/>
        <v>10368.66</v>
      </c>
      <c r="I1757" s="2328">
        <f t="shared" si="379"/>
        <v>0</v>
      </c>
      <c r="J1757" s="2237"/>
      <c r="K1757" s="2411"/>
      <c r="L1757" s="2533">
        <f t="shared" si="380"/>
        <v>0</v>
      </c>
      <c r="M1757" s="2238">
        <v>0</v>
      </c>
      <c r="N1757" s="2239">
        <f t="shared" si="381"/>
        <v>0</v>
      </c>
      <c r="O1757" s="2498">
        <f t="shared" si="382"/>
        <v>10368.66</v>
      </c>
      <c r="P1757" s="2295">
        <f t="shared" si="362"/>
        <v>1</v>
      </c>
    </row>
    <row r="1758" spans="1:16">
      <c r="A1758" s="2267" t="s">
        <v>12661</v>
      </c>
      <c r="B1758" s="2396"/>
      <c r="C1758" s="2400"/>
      <c r="D1758" s="2381" t="s">
        <v>16572</v>
      </c>
      <c r="E1758" s="2362"/>
      <c r="F1758" s="2363"/>
      <c r="G1758" s="2364"/>
      <c r="H1758" s="2365">
        <f>SUBTOTAL(9,H1759:H1833)</f>
        <v>95574.319999999992</v>
      </c>
      <c r="I1758" s="2366"/>
      <c r="J1758" s="2367"/>
      <c r="K1758" s="2556"/>
      <c r="L1758" s="2543">
        <f>SUBTOTAL(9,L1759:L1833)</f>
        <v>1146.27</v>
      </c>
      <c r="M1758" s="2365">
        <f>SUBTOTAL(9,M1759:M1833)</f>
        <v>0</v>
      </c>
      <c r="N1758" s="2365">
        <f>SUBTOTAL(9,N1759:N1833)</f>
        <v>1146.27</v>
      </c>
      <c r="O1758" s="2365">
        <f>SUBTOTAL(9,O1759:O1833)</f>
        <v>94428.05</v>
      </c>
      <c r="P1758" s="2295">
        <f t="shared" si="362"/>
        <v>0.98800650635024145</v>
      </c>
    </row>
    <row r="1759" spans="1:16">
      <c r="A1759" s="2343" t="s">
        <v>14388</v>
      </c>
      <c r="B1759" s="2397"/>
      <c r="C1759" s="2401"/>
      <c r="D1759" s="2380" t="s">
        <v>16573</v>
      </c>
      <c r="E1759" s="2368"/>
      <c r="F1759" s="2369"/>
      <c r="G1759" s="2370"/>
      <c r="H1759" s="2374">
        <f>SUBTOTAL(9,H1760:H1766)</f>
        <v>7053.19</v>
      </c>
      <c r="I1759" s="2371"/>
      <c r="J1759" s="2372"/>
      <c r="K1759" s="2415"/>
      <c r="L1759" s="2542">
        <f>SUBTOTAL(9,L1760:L1766)</f>
        <v>0</v>
      </c>
      <c r="M1759" s="2374">
        <f>SUBTOTAL(9,M1760:M1766)</f>
        <v>0</v>
      </c>
      <c r="N1759" s="2374">
        <f>SUBTOTAL(9,N1760:N1766)</f>
        <v>0</v>
      </c>
      <c r="O1759" s="2374">
        <f>SUBTOTAL(9,O1760:O1766)</f>
        <v>7053.19</v>
      </c>
      <c r="P1759" s="2295">
        <f t="shared" si="362"/>
        <v>1</v>
      </c>
    </row>
    <row r="1760" spans="1:16" ht="30">
      <c r="A1760" s="2272" t="s">
        <v>14389</v>
      </c>
      <c r="B1760" s="2228">
        <f>VLOOKUP($A1760,'16 - QT_ICONT'!$A:$F,2,0)</f>
        <v>97881</v>
      </c>
      <c r="C1760" s="2228" t="str">
        <f>VLOOKUP($A1760,'16 - QT_ICONT'!$A:$F,3,0)</f>
        <v>SINAPI</v>
      </c>
      <c r="D1760" s="2375" t="s">
        <v>7930</v>
      </c>
      <c r="E1760" s="2243" t="str">
        <f>IFERROR(VLOOKUP($B1760,'24.08_ND'!$1:$1048529,3,0),IFERROR(VLOOKUP($B1760,'03-CP'!$C$1:$H$6260,3,0),""))</f>
        <v>UN</v>
      </c>
      <c r="F1760" s="2230">
        <v>6</v>
      </c>
      <c r="G1760" s="2232">
        <v>153.05000000000001</v>
      </c>
      <c r="H1760" s="2302">
        <f t="shared" ref="H1760:H1766" si="383">TRUNC((G1760*F1760),2)</f>
        <v>918.3</v>
      </c>
      <c r="I1760" s="2328">
        <f t="shared" ref="I1760:I1766" si="384">J1760+K1760</f>
        <v>0</v>
      </c>
      <c r="J1760" s="2237"/>
      <c r="K1760" s="2411"/>
      <c r="L1760" s="2533">
        <f t="shared" ref="L1760:L1766" si="385">M1760+N1760</f>
        <v>0</v>
      </c>
      <c r="M1760" s="2238">
        <v>0</v>
      </c>
      <c r="N1760" s="2239">
        <f t="shared" ref="N1760:N1766" si="386">TRUNC(H1760*K1760,2)</f>
        <v>0</v>
      </c>
      <c r="O1760" s="2498">
        <f t="shared" ref="O1760:O1766" si="387">H1760-L1760</f>
        <v>918.3</v>
      </c>
      <c r="P1760" s="2295">
        <f t="shared" si="362"/>
        <v>1</v>
      </c>
    </row>
    <row r="1761" spans="1:16" ht="45">
      <c r="A1761" s="2272" t="s">
        <v>14390</v>
      </c>
      <c r="B1761" s="2228" t="str">
        <f>VLOOKUP($A1761,'16 - QT_ICONT'!$A:$F,2,0)</f>
        <v>CP-ELE-105</v>
      </c>
      <c r="C1761" s="2228" t="str">
        <f>VLOOKUP($A1761,'16 - QT_ICONT'!$A:$F,3,0)</f>
        <v>PRÓPRIA</v>
      </c>
      <c r="D1761" s="2375" t="s">
        <v>15218</v>
      </c>
      <c r="E1761" s="2243" t="str">
        <f>IFERROR(VLOOKUP($B1761,'24.08_ND'!$1:$1048529,3,0),IFERROR(VLOOKUP($B1761,'03-CP'!$C$1:$H$6260,3,0),""))</f>
        <v>M</v>
      </c>
      <c r="F1761" s="2230">
        <v>56</v>
      </c>
      <c r="G1761" s="2232">
        <v>8.2799999999999994</v>
      </c>
      <c r="H1761" s="2302">
        <f t="shared" si="383"/>
        <v>463.68</v>
      </c>
      <c r="I1761" s="2328">
        <f t="shared" si="384"/>
        <v>0</v>
      </c>
      <c r="J1761" s="2237"/>
      <c r="K1761" s="2411"/>
      <c r="L1761" s="2533">
        <f t="shared" si="385"/>
        <v>0</v>
      </c>
      <c r="M1761" s="2238">
        <v>0</v>
      </c>
      <c r="N1761" s="2239">
        <f t="shared" si="386"/>
        <v>0</v>
      </c>
      <c r="O1761" s="2498">
        <f t="shared" si="387"/>
        <v>463.68</v>
      </c>
      <c r="P1761" s="2295">
        <f t="shared" si="362"/>
        <v>1</v>
      </c>
    </row>
    <row r="1762" spans="1:16" ht="30">
      <c r="A1762" s="2272" t="s">
        <v>14391</v>
      </c>
      <c r="B1762" s="2228">
        <f>VLOOKUP($A1762,'16 - QT_ICONT'!$A:$F,2,0)</f>
        <v>93358</v>
      </c>
      <c r="C1762" s="2228" t="str">
        <f>VLOOKUP($A1762,'16 - QT_ICONT'!$A:$F,3,0)</f>
        <v>SINAPI</v>
      </c>
      <c r="D1762" s="2375" t="s">
        <v>10648</v>
      </c>
      <c r="E1762" s="2243" t="str">
        <f>IFERROR(VLOOKUP($B1762,'24.08_ND'!$1:$1048529,3,0),IFERROR(VLOOKUP($B1762,'03-CP'!$C$1:$H$6260,3,0),""))</f>
        <v>M3</v>
      </c>
      <c r="F1762" s="2230">
        <v>5.6</v>
      </c>
      <c r="G1762" s="2232">
        <v>91.52</v>
      </c>
      <c r="H1762" s="2302">
        <f t="shared" si="383"/>
        <v>512.51</v>
      </c>
      <c r="I1762" s="2328">
        <f t="shared" si="384"/>
        <v>0</v>
      </c>
      <c r="J1762" s="2237"/>
      <c r="K1762" s="2411"/>
      <c r="L1762" s="2533">
        <f t="shared" si="385"/>
        <v>0</v>
      </c>
      <c r="M1762" s="2238">
        <v>0</v>
      </c>
      <c r="N1762" s="2239">
        <f t="shared" si="386"/>
        <v>0</v>
      </c>
      <c r="O1762" s="2498">
        <f t="shared" si="387"/>
        <v>512.51</v>
      </c>
      <c r="P1762" s="2295">
        <f t="shared" si="362"/>
        <v>1</v>
      </c>
    </row>
    <row r="1763" spans="1:16" ht="30">
      <c r="A1763" s="2272" t="s">
        <v>14392</v>
      </c>
      <c r="B1763" s="2228">
        <f>VLOOKUP($A1763,'16 - QT_ICONT'!$A:$F,2,0)</f>
        <v>93382</v>
      </c>
      <c r="C1763" s="2228" t="str">
        <f>VLOOKUP($A1763,'16 - QT_ICONT'!$A:$F,3,0)</f>
        <v>SINAPI</v>
      </c>
      <c r="D1763" s="2375" t="s">
        <v>10726</v>
      </c>
      <c r="E1763" s="2243" t="str">
        <f>IFERROR(VLOOKUP($B1763,'24.08_ND'!$1:$1048529,3,0),IFERROR(VLOOKUP($B1763,'03-CP'!$C$1:$H$6260,3,0),""))</f>
        <v>M3</v>
      </c>
      <c r="F1763" s="2230">
        <v>6.16</v>
      </c>
      <c r="G1763" s="2232">
        <v>26.88</v>
      </c>
      <c r="H1763" s="2302">
        <f t="shared" si="383"/>
        <v>165.58</v>
      </c>
      <c r="I1763" s="2328">
        <f t="shared" si="384"/>
        <v>0</v>
      </c>
      <c r="J1763" s="2237"/>
      <c r="K1763" s="2411"/>
      <c r="L1763" s="2533">
        <f t="shared" si="385"/>
        <v>0</v>
      </c>
      <c r="M1763" s="2238">
        <v>0</v>
      </c>
      <c r="N1763" s="2239">
        <f t="shared" si="386"/>
        <v>0</v>
      </c>
      <c r="O1763" s="2498">
        <f t="shared" si="387"/>
        <v>165.58</v>
      </c>
      <c r="P1763" s="2295">
        <f t="shared" si="362"/>
        <v>1</v>
      </c>
    </row>
    <row r="1764" spans="1:16" ht="30">
      <c r="A1764" s="2272" t="s">
        <v>14393</v>
      </c>
      <c r="B1764" s="2228">
        <f>VLOOKUP($A1764,'16 - QT_ICONT'!$A:$F,2,0)</f>
        <v>91931</v>
      </c>
      <c r="C1764" s="2228" t="str">
        <f>VLOOKUP($A1764,'16 - QT_ICONT'!$A:$F,3,0)</f>
        <v>SINAPI</v>
      </c>
      <c r="D1764" s="2375" t="s">
        <v>7858</v>
      </c>
      <c r="E1764" s="2243" t="str">
        <f>IFERROR(VLOOKUP($B1764,'24.08_ND'!$1:$1048529,3,0),IFERROR(VLOOKUP($B1764,'03-CP'!$C$1:$H$6260,3,0),""))</f>
        <v>M</v>
      </c>
      <c r="F1764" s="2230">
        <v>400</v>
      </c>
      <c r="G1764" s="2232">
        <v>11.88</v>
      </c>
      <c r="H1764" s="2302">
        <f t="shared" si="383"/>
        <v>4752</v>
      </c>
      <c r="I1764" s="2328">
        <f t="shared" si="384"/>
        <v>0</v>
      </c>
      <c r="J1764" s="2237"/>
      <c r="K1764" s="2411"/>
      <c r="L1764" s="2533">
        <f t="shared" si="385"/>
        <v>0</v>
      </c>
      <c r="M1764" s="2238">
        <v>0</v>
      </c>
      <c r="N1764" s="2239">
        <f t="shared" si="386"/>
        <v>0</v>
      </c>
      <c r="O1764" s="2498">
        <f t="shared" si="387"/>
        <v>4752</v>
      </c>
      <c r="P1764" s="2295">
        <f t="shared" si="362"/>
        <v>1</v>
      </c>
    </row>
    <row r="1765" spans="1:16" ht="30">
      <c r="A1765" s="2272" t="s">
        <v>14394</v>
      </c>
      <c r="B1765" s="2228">
        <f>VLOOKUP($A1765,'16 - QT_ICONT'!$A:$F,2,0)</f>
        <v>93664</v>
      </c>
      <c r="C1765" s="2228" t="str">
        <f>VLOOKUP($A1765,'16 - QT_ICONT'!$A:$F,3,0)</f>
        <v>SINAPI</v>
      </c>
      <c r="D1765" s="2375" t="s">
        <v>7965</v>
      </c>
      <c r="E1765" s="2243" t="str">
        <f>IFERROR(VLOOKUP($B1765,'24.08_ND'!$1:$1048529,3,0),IFERROR(VLOOKUP($B1765,'03-CP'!$C$1:$H$6260,3,0),""))</f>
        <v>UN</v>
      </c>
      <c r="F1765" s="2230">
        <v>3</v>
      </c>
      <c r="G1765" s="2232">
        <v>73.349999999999994</v>
      </c>
      <c r="H1765" s="2302">
        <f t="shared" si="383"/>
        <v>220.05</v>
      </c>
      <c r="I1765" s="2328">
        <f t="shared" si="384"/>
        <v>0</v>
      </c>
      <c r="J1765" s="2237"/>
      <c r="K1765" s="2411"/>
      <c r="L1765" s="2533">
        <f t="shared" si="385"/>
        <v>0</v>
      </c>
      <c r="M1765" s="2238">
        <v>0</v>
      </c>
      <c r="N1765" s="2239">
        <f t="shared" si="386"/>
        <v>0</v>
      </c>
      <c r="O1765" s="2498">
        <f t="shared" si="387"/>
        <v>220.05</v>
      </c>
      <c r="P1765" s="2295">
        <f t="shared" si="362"/>
        <v>1</v>
      </c>
    </row>
    <row r="1766" spans="1:16" ht="30">
      <c r="A1766" s="2272" t="s">
        <v>14395</v>
      </c>
      <c r="B1766" s="2228" t="str">
        <f>VLOOKUP($A1766,'16 - QT_ICONT'!$A:$F,2,0)</f>
        <v>CP-ELE-17</v>
      </c>
      <c r="C1766" s="2228" t="str">
        <f>VLOOKUP($A1766,'16 - QT_ICONT'!$A:$F,3,0)</f>
        <v>PRÓPRIA</v>
      </c>
      <c r="D1766" s="2375" t="s">
        <v>15160</v>
      </c>
      <c r="E1766" s="2243" t="str">
        <f>IFERROR(VLOOKUP($B1766,'24.08_ND'!$1:$1048529,3,0),IFERROR(VLOOKUP($B1766,'03-CP'!$C$1:$H$6260,3,0),""))</f>
        <v>UN</v>
      </c>
      <c r="F1766" s="2230">
        <v>1</v>
      </c>
      <c r="G1766" s="2232">
        <v>21.07</v>
      </c>
      <c r="H1766" s="2302">
        <f t="shared" si="383"/>
        <v>21.07</v>
      </c>
      <c r="I1766" s="2328">
        <f t="shared" si="384"/>
        <v>0</v>
      </c>
      <c r="J1766" s="2237"/>
      <c r="K1766" s="2411"/>
      <c r="L1766" s="2533">
        <f t="shared" si="385"/>
        <v>0</v>
      </c>
      <c r="M1766" s="2238">
        <v>0</v>
      </c>
      <c r="N1766" s="2239">
        <f t="shared" si="386"/>
        <v>0</v>
      </c>
      <c r="O1766" s="2498">
        <f t="shared" si="387"/>
        <v>21.07</v>
      </c>
      <c r="P1766" s="2295">
        <f t="shared" si="362"/>
        <v>1</v>
      </c>
    </row>
    <row r="1767" spans="1:16">
      <c r="A1767" s="2343" t="s">
        <v>14396</v>
      </c>
      <c r="B1767" s="2397"/>
      <c r="C1767" s="2401"/>
      <c r="D1767" s="2380" t="s">
        <v>16574</v>
      </c>
      <c r="E1767" s="2368"/>
      <c r="F1767" s="2369"/>
      <c r="G1767" s="2370"/>
      <c r="H1767" s="2374">
        <f>SUBTOTAL(9,H1768:H1782)</f>
        <v>32180.66</v>
      </c>
      <c r="I1767" s="2371"/>
      <c r="J1767" s="2372"/>
      <c r="K1767" s="2555"/>
      <c r="L1767" s="2542">
        <f>SUBTOTAL(9,L1768:L1782)</f>
        <v>0</v>
      </c>
      <c r="M1767" s="2374">
        <f>SUBTOTAL(9,M1768:M1782)</f>
        <v>0</v>
      </c>
      <c r="N1767" s="2374">
        <f>SUBTOTAL(9,N1768:N1782)</f>
        <v>0</v>
      </c>
      <c r="O1767" s="2374">
        <f>SUBTOTAL(9,O1768:O1782)</f>
        <v>32180.66</v>
      </c>
      <c r="P1767" s="2295">
        <f t="shared" si="362"/>
        <v>1</v>
      </c>
    </row>
    <row r="1768" spans="1:16" ht="30">
      <c r="A1768" s="2272" t="s">
        <v>14397</v>
      </c>
      <c r="B1768" s="2228">
        <f>VLOOKUP($A1768,'16 - QT_ICONT'!$A:$F,2,0)</f>
        <v>97881</v>
      </c>
      <c r="C1768" s="2228" t="str">
        <f>VLOOKUP($A1768,'16 - QT_ICONT'!$A:$F,3,0)</f>
        <v>SINAPI</v>
      </c>
      <c r="D1768" s="2375" t="s">
        <v>7930</v>
      </c>
      <c r="E1768" s="2243" t="str">
        <f>IFERROR(VLOOKUP($B1768,'24.08_ND'!$1:$1048529,3,0),IFERROR(VLOOKUP($B1768,'03-CP'!$C$1:$H$6260,3,0),""))</f>
        <v>UN</v>
      </c>
      <c r="F1768" s="2230">
        <v>16</v>
      </c>
      <c r="G1768" s="2232">
        <v>153.05000000000001</v>
      </c>
      <c r="H1768" s="2302">
        <f t="shared" ref="H1768:H1782" si="388">TRUNC((G1768*F1768),2)</f>
        <v>2448.8000000000002</v>
      </c>
      <c r="I1768" s="2328">
        <f t="shared" ref="I1768:I1782" si="389">J1768+K1768</f>
        <v>0</v>
      </c>
      <c r="J1768" s="2237"/>
      <c r="K1768" s="2411"/>
      <c r="L1768" s="2533">
        <f t="shared" ref="L1768:L1782" si="390">M1768+N1768</f>
        <v>0</v>
      </c>
      <c r="M1768" s="2238">
        <v>0</v>
      </c>
      <c r="N1768" s="2239">
        <f t="shared" ref="N1768:N1782" si="391">TRUNC(H1768*K1768,2)</f>
        <v>0</v>
      </c>
      <c r="O1768" s="2498">
        <f t="shared" ref="O1768:O1782" si="392">H1768-L1768</f>
        <v>2448.8000000000002</v>
      </c>
      <c r="P1768" s="2295">
        <f t="shared" si="362"/>
        <v>1</v>
      </c>
    </row>
    <row r="1769" spans="1:16" ht="45">
      <c r="A1769" s="2272" t="s">
        <v>14398</v>
      </c>
      <c r="B1769" s="2228" t="str">
        <f>VLOOKUP($A1769,'16 - QT_ICONT'!$A:$F,2,0)</f>
        <v>CP-ELE-105</v>
      </c>
      <c r="C1769" s="2228" t="str">
        <f>VLOOKUP($A1769,'16 - QT_ICONT'!$A:$F,3,0)</f>
        <v>PRÓPRIA</v>
      </c>
      <c r="D1769" s="2375" t="s">
        <v>15218</v>
      </c>
      <c r="E1769" s="2243" t="str">
        <f>IFERROR(VLOOKUP($B1769,'24.08_ND'!$1:$1048529,3,0),IFERROR(VLOOKUP($B1769,'03-CP'!$C$1:$H$6260,3,0),""))</f>
        <v>M</v>
      </c>
      <c r="F1769" s="2230">
        <v>320</v>
      </c>
      <c r="G1769" s="2232">
        <v>8.2799999999999994</v>
      </c>
      <c r="H1769" s="2302">
        <f t="shared" si="388"/>
        <v>2649.6</v>
      </c>
      <c r="I1769" s="2328">
        <f t="shared" si="389"/>
        <v>0</v>
      </c>
      <c r="J1769" s="2237"/>
      <c r="K1769" s="2411"/>
      <c r="L1769" s="2533">
        <f t="shared" si="390"/>
        <v>0</v>
      </c>
      <c r="M1769" s="2238">
        <v>0</v>
      </c>
      <c r="N1769" s="2239">
        <f t="shared" si="391"/>
        <v>0</v>
      </c>
      <c r="O1769" s="2498">
        <f t="shared" si="392"/>
        <v>2649.6</v>
      </c>
      <c r="P1769" s="2295">
        <f t="shared" si="362"/>
        <v>1</v>
      </c>
    </row>
    <row r="1770" spans="1:16" ht="30">
      <c r="A1770" s="2272" t="s">
        <v>14399</v>
      </c>
      <c r="B1770" s="2228">
        <f>VLOOKUP($A1770,'16 - QT_ICONT'!$A:$F,2,0)</f>
        <v>93358</v>
      </c>
      <c r="C1770" s="2228" t="str">
        <f>VLOOKUP($A1770,'16 - QT_ICONT'!$A:$F,3,0)</f>
        <v>SINAPI</v>
      </c>
      <c r="D1770" s="2375" t="s">
        <v>10648</v>
      </c>
      <c r="E1770" s="2243" t="str">
        <f>IFERROR(VLOOKUP($B1770,'24.08_ND'!$1:$1048529,3,0),IFERROR(VLOOKUP($B1770,'03-CP'!$C$1:$H$6260,3,0),""))</f>
        <v>M3</v>
      </c>
      <c r="F1770" s="2230">
        <v>32</v>
      </c>
      <c r="G1770" s="2232">
        <v>91.52</v>
      </c>
      <c r="H1770" s="2302">
        <f t="shared" si="388"/>
        <v>2928.64</v>
      </c>
      <c r="I1770" s="2328">
        <f t="shared" si="389"/>
        <v>0</v>
      </c>
      <c r="J1770" s="2237"/>
      <c r="K1770" s="2411"/>
      <c r="L1770" s="2533">
        <f t="shared" si="390"/>
        <v>0</v>
      </c>
      <c r="M1770" s="2238">
        <v>0</v>
      </c>
      <c r="N1770" s="2239">
        <f t="shared" si="391"/>
        <v>0</v>
      </c>
      <c r="O1770" s="2498">
        <f t="shared" si="392"/>
        <v>2928.64</v>
      </c>
      <c r="P1770" s="2295">
        <f t="shared" si="362"/>
        <v>1</v>
      </c>
    </row>
    <row r="1771" spans="1:16" ht="30">
      <c r="A1771" s="2272" t="s">
        <v>14400</v>
      </c>
      <c r="B1771" s="2228">
        <f>VLOOKUP($A1771,'16 - QT_ICONT'!$A:$F,2,0)</f>
        <v>93382</v>
      </c>
      <c r="C1771" s="2228" t="str">
        <f>VLOOKUP($A1771,'16 - QT_ICONT'!$A:$F,3,0)</f>
        <v>SINAPI</v>
      </c>
      <c r="D1771" s="2375" t="s">
        <v>10726</v>
      </c>
      <c r="E1771" s="2243" t="str">
        <f>IFERROR(VLOOKUP($B1771,'24.08_ND'!$1:$1048529,3,0),IFERROR(VLOOKUP($B1771,'03-CP'!$C$1:$H$6260,3,0),""))</f>
        <v>M3</v>
      </c>
      <c r="F1771" s="2230">
        <v>35.200000000000003</v>
      </c>
      <c r="G1771" s="2232">
        <v>26.88</v>
      </c>
      <c r="H1771" s="2302">
        <f t="shared" si="388"/>
        <v>946.17</v>
      </c>
      <c r="I1771" s="2328">
        <f t="shared" si="389"/>
        <v>0</v>
      </c>
      <c r="J1771" s="2237"/>
      <c r="K1771" s="2411"/>
      <c r="L1771" s="2533">
        <f t="shared" si="390"/>
        <v>0</v>
      </c>
      <c r="M1771" s="2238">
        <v>0</v>
      </c>
      <c r="N1771" s="2239">
        <f t="shared" si="391"/>
        <v>0</v>
      </c>
      <c r="O1771" s="2498">
        <f t="shared" si="392"/>
        <v>946.17</v>
      </c>
      <c r="P1771" s="2295">
        <f t="shared" si="362"/>
        <v>1</v>
      </c>
    </row>
    <row r="1772" spans="1:16" ht="30">
      <c r="A1772" s="2272" t="s">
        <v>14401</v>
      </c>
      <c r="B1772" s="2228">
        <f>VLOOKUP($A1772,'16 - QT_ICONT'!$A:$F,2,0)</f>
        <v>91931</v>
      </c>
      <c r="C1772" s="2228" t="str">
        <f>VLOOKUP($A1772,'16 - QT_ICONT'!$A:$F,3,0)</f>
        <v>SINAPI</v>
      </c>
      <c r="D1772" s="2375" t="s">
        <v>7858</v>
      </c>
      <c r="E1772" s="2243" t="str">
        <f>IFERROR(VLOOKUP($B1772,'24.08_ND'!$1:$1048529,3,0),IFERROR(VLOOKUP($B1772,'03-CP'!$C$1:$H$6260,3,0),""))</f>
        <v>M</v>
      </c>
      <c r="F1772" s="2230">
        <v>330</v>
      </c>
      <c r="G1772" s="2232">
        <v>11.88</v>
      </c>
      <c r="H1772" s="2302">
        <f t="shared" si="388"/>
        <v>3920.4</v>
      </c>
      <c r="I1772" s="2328">
        <f t="shared" si="389"/>
        <v>0</v>
      </c>
      <c r="J1772" s="2237"/>
      <c r="K1772" s="2411"/>
      <c r="L1772" s="2533">
        <f t="shared" si="390"/>
        <v>0</v>
      </c>
      <c r="M1772" s="2238">
        <v>0</v>
      </c>
      <c r="N1772" s="2239">
        <f t="shared" si="391"/>
        <v>0</v>
      </c>
      <c r="O1772" s="2498">
        <f t="shared" si="392"/>
        <v>3920.4</v>
      </c>
      <c r="P1772" s="2295">
        <f t="shared" si="362"/>
        <v>1</v>
      </c>
    </row>
    <row r="1773" spans="1:16" ht="30">
      <c r="A1773" s="2272" t="s">
        <v>14402</v>
      </c>
      <c r="B1773" s="2228">
        <f>VLOOKUP($A1773,'16 - QT_ICONT'!$A:$F,2,0)</f>
        <v>92982</v>
      </c>
      <c r="C1773" s="2228" t="str">
        <f>VLOOKUP($A1773,'16 - QT_ICONT'!$A:$F,3,0)</f>
        <v>SINAPI</v>
      </c>
      <c r="D1773" s="2375" t="s">
        <v>7866</v>
      </c>
      <c r="E1773" s="2243" t="str">
        <f>IFERROR(VLOOKUP($B1773,'24.08_ND'!$1:$1048529,3,0),IFERROR(VLOOKUP($B1773,'03-CP'!$C$1:$H$6260,3,0),""))</f>
        <v>M</v>
      </c>
      <c r="F1773" s="2230">
        <v>750</v>
      </c>
      <c r="G1773" s="2232">
        <v>20.25</v>
      </c>
      <c r="H1773" s="2302">
        <f t="shared" si="388"/>
        <v>15187.5</v>
      </c>
      <c r="I1773" s="2328">
        <f t="shared" si="389"/>
        <v>0</v>
      </c>
      <c r="J1773" s="2237"/>
      <c r="K1773" s="2411"/>
      <c r="L1773" s="2533">
        <f t="shared" si="390"/>
        <v>0</v>
      </c>
      <c r="M1773" s="2238">
        <v>0</v>
      </c>
      <c r="N1773" s="2239">
        <f t="shared" si="391"/>
        <v>0</v>
      </c>
      <c r="O1773" s="2498">
        <f t="shared" si="392"/>
        <v>15187.5</v>
      </c>
      <c r="P1773" s="2295">
        <f t="shared" si="362"/>
        <v>1</v>
      </c>
    </row>
    <row r="1774" spans="1:16" ht="30">
      <c r="A1774" s="2272" t="s">
        <v>14403</v>
      </c>
      <c r="B1774" s="2228">
        <f>VLOOKUP($A1774,'16 - QT_ICONT'!$A:$F,2,0)</f>
        <v>93673</v>
      </c>
      <c r="C1774" s="2228" t="str">
        <f>VLOOKUP($A1774,'16 - QT_ICONT'!$A:$F,3,0)</f>
        <v>SINAPI</v>
      </c>
      <c r="D1774" s="2375" t="s">
        <v>7974</v>
      </c>
      <c r="E1774" s="2243" t="str">
        <f>IFERROR(VLOOKUP($B1774,'24.08_ND'!$1:$1048529,3,0),IFERROR(VLOOKUP($B1774,'03-CP'!$C$1:$H$6260,3,0),""))</f>
        <v>UN</v>
      </c>
      <c r="F1774" s="2230">
        <v>2</v>
      </c>
      <c r="G1774" s="2232">
        <v>111.95</v>
      </c>
      <c r="H1774" s="2302">
        <f t="shared" si="388"/>
        <v>223.9</v>
      </c>
      <c r="I1774" s="2328">
        <f t="shared" si="389"/>
        <v>0</v>
      </c>
      <c r="J1774" s="2237"/>
      <c r="K1774" s="2411"/>
      <c r="L1774" s="2533">
        <f t="shared" si="390"/>
        <v>0</v>
      </c>
      <c r="M1774" s="2238">
        <v>0</v>
      </c>
      <c r="N1774" s="2239">
        <f t="shared" si="391"/>
        <v>0</v>
      </c>
      <c r="O1774" s="2498">
        <f t="shared" si="392"/>
        <v>223.9</v>
      </c>
      <c r="P1774" s="2295">
        <f t="shared" si="362"/>
        <v>1</v>
      </c>
    </row>
    <row r="1775" spans="1:16" ht="30">
      <c r="A1775" s="2272" t="s">
        <v>14404</v>
      </c>
      <c r="B1775" s="2228">
        <f>VLOOKUP($A1775,'16 - QT_ICONT'!$A:$F,2,0)</f>
        <v>93664</v>
      </c>
      <c r="C1775" s="2228" t="str">
        <f>VLOOKUP($A1775,'16 - QT_ICONT'!$A:$F,3,0)</f>
        <v>SINAPI</v>
      </c>
      <c r="D1775" s="2375" t="s">
        <v>7965</v>
      </c>
      <c r="E1775" s="2243" t="str">
        <f>IFERROR(VLOOKUP($B1775,'24.08_ND'!$1:$1048529,3,0),IFERROR(VLOOKUP($B1775,'03-CP'!$C$1:$H$6260,3,0),""))</f>
        <v>UN</v>
      </c>
      <c r="F1775" s="2230">
        <v>3</v>
      </c>
      <c r="G1775" s="2232">
        <v>73.349999999999994</v>
      </c>
      <c r="H1775" s="2302">
        <f t="shared" si="388"/>
        <v>220.05</v>
      </c>
      <c r="I1775" s="2328">
        <f t="shared" si="389"/>
        <v>0</v>
      </c>
      <c r="J1775" s="2237"/>
      <c r="K1775" s="2411"/>
      <c r="L1775" s="2533">
        <f t="shared" si="390"/>
        <v>0</v>
      </c>
      <c r="M1775" s="2238">
        <v>0</v>
      </c>
      <c r="N1775" s="2239">
        <f t="shared" si="391"/>
        <v>0</v>
      </c>
      <c r="O1775" s="2498">
        <f t="shared" si="392"/>
        <v>220.05</v>
      </c>
      <c r="P1775" s="2295">
        <f t="shared" si="362"/>
        <v>1</v>
      </c>
    </row>
    <row r="1776" spans="1:16" ht="30">
      <c r="A1776" s="2272" t="s">
        <v>14405</v>
      </c>
      <c r="B1776" s="2228" t="str">
        <f>VLOOKUP($A1776,'16 - QT_ICONT'!$A:$F,2,0)</f>
        <v>CP-ELE-118</v>
      </c>
      <c r="C1776" s="2228" t="str">
        <f>VLOOKUP($A1776,'16 - QT_ICONT'!$A:$F,3,0)</f>
        <v>PRÓPRIA</v>
      </c>
      <c r="D1776" s="2375" t="s">
        <v>15273</v>
      </c>
      <c r="E1776" s="2243" t="str">
        <f>IFERROR(VLOOKUP($B1776,'24.08_ND'!$1:$1048529,3,0),IFERROR(VLOOKUP($B1776,'03-CP'!$C$1:$H$6260,3,0),""))</f>
        <v>UN</v>
      </c>
      <c r="F1776" s="2230">
        <v>3</v>
      </c>
      <c r="G1776" s="2232">
        <v>102.93</v>
      </c>
      <c r="H1776" s="2302">
        <f t="shared" si="388"/>
        <v>308.79000000000002</v>
      </c>
      <c r="I1776" s="2328">
        <f t="shared" si="389"/>
        <v>0</v>
      </c>
      <c r="J1776" s="2237"/>
      <c r="K1776" s="2411"/>
      <c r="L1776" s="2533">
        <f t="shared" si="390"/>
        <v>0</v>
      </c>
      <c r="M1776" s="2238">
        <v>0</v>
      </c>
      <c r="N1776" s="2239">
        <f t="shared" si="391"/>
        <v>0</v>
      </c>
      <c r="O1776" s="2498">
        <f t="shared" si="392"/>
        <v>308.79000000000002</v>
      </c>
      <c r="P1776" s="2295">
        <f t="shared" si="362"/>
        <v>1</v>
      </c>
    </row>
    <row r="1777" spans="1:17" ht="90">
      <c r="A1777" s="2272" t="s">
        <v>14406</v>
      </c>
      <c r="B1777" s="2228" t="str">
        <f>VLOOKUP($A1777,'16 - QT_ICONT'!$A:$F,2,0)</f>
        <v>CP-ELE-04</v>
      </c>
      <c r="C1777" s="2228" t="str">
        <f>VLOOKUP($A1777,'16 - QT_ICONT'!$A:$F,3,0)</f>
        <v>PRÓPRIA</v>
      </c>
      <c r="D1777" s="2378" t="s">
        <v>15327</v>
      </c>
      <c r="E1777" s="2243" t="str">
        <f>IFERROR(VLOOKUP($B1777,'24.08_ND'!$1:$1048529,3,0),IFERROR(VLOOKUP($B1777,'03-CP'!$C$1:$H$6260,3,0),""))</f>
        <v>M²</v>
      </c>
      <c r="F1777" s="2230">
        <v>2.6</v>
      </c>
      <c r="G1777" s="2232">
        <v>708.27</v>
      </c>
      <c r="H1777" s="2302">
        <f t="shared" si="388"/>
        <v>1841.5</v>
      </c>
      <c r="I1777" s="2328">
        <f t="shared" si="389"/>
        <v>0</v>
      </c>
      <c r="J1777" s="2237"/>
      <c r="K1777" s="2411"/>
      <c r="L1777" s="2533">
        <f t="shared" si="390"/>
        <v>0</v>
      </c>
      <c r="M1777" s="2238">
        <v>0</v>
      </c>
      <c r="N1777" s="2239">
        <f t="shared" si="391"/>
        <v>0</v>
      </c>
      <c r="O1777" s="2498">
        <f t="shared" si="392"/>
        <v>1841.5</v>
      </c>
      <c r="P1777" s="2295">
        <f t="shared" si="362"/>
        <v>1</v>
      </c>
    </row>
    <row r="1778" spans="1:17" ht="30">
      <c r="A1778" s="2272" t="s">
        <v>14407</v>
      </c>
      <c r="B1778" s="2228" t="str">
        <f>VLOOKUP($A1778,'16 - QT_ICONT'!$A:$F,2,0)</f>
        <v>CP-ELE-124</v>
      </c>
      <c r="C1778" s="2228" t="str">
        <f>VLOOKUP($A1778,'16 - QT_ICONT'!$A:$F,3,0)</f>
        <v>PRÓPRIA</v>
      </c>
      <c r="D1778" s="2375" t="s">
        <v>15324</v>
      </c>
      <c r="E1778" s="2243" t="str">
        <f>IFERROR(VLOOKUP($B1778,'24.08_ND'!$1:$1048529,3,0),IFERROR(VLOOKUP($B1778,'03-CP'!$C$1:$H$6260,3,0),""))</f>
        <v>UN</v>
      </c>
      <c r="F1778" s="2230">
        <v>1</v>
      </c>
      <c r="G1778" s="2232">
        <v>718</v>
      </c>
      <c r="H1778" s="2302">
        <f t="shared" si="388"/>
        <v>718</v>
      </c>
      <c r="I1778" s="2328">
        <f t="shared" si="389"/>
        <v>0</v>
      </c>
      <c r="J1778" s="2237"/>
      <c r="K1778" s="2411"/>
      <c r="L1778" s="2533">
        <f t="shared" si="390"/>
        <v>0</v>
      </c>
      <c r="M1778" s="2238">
        <v>0</v>
      </c>
      <c r="N1778" s="2239">
        <f t="shared" si="391"/>
        <v>0</v>
      </c>
      <c r="O1778" s="2498">
        <f t="shared" si="392"/>
        <v>718</v>
      </c>
      <c r="P1778" s="2295">
        <f t="shared" si="362"/>
        <v>1</v>
      </c>
    </row>
    <row r="1779" spans="1:17" ht="30">
      <c r="A1779" s="2272" t="s">
        <v>14408</v>
      </c>
      <c r="B1779" s="2228">
        <f>VLOOKUP($A1779,'16 - QT_ICONT'!$A:$F,2,0)</f>
        <v>96985</v>
      </c>
      <c r="C1779" s="2228" t="str">
        <f>VLOOKUP($A1779,'16 - QT_ICONT'!$A:$F,3,0)</f>
        <v>SINAPI</v>
      </c>
      <c r="D1779" s="2375" t="s">
        <v>8265</v>
      </c>
      <c r="E1779" s="2243" t="str">
        <f>IFERROR(VLOOKUP($B1779,'24.08_ND'!$1:$1048529,3,0),IFERROR(VLOOKUP($B1779,'03-CP'!$C$1:$H$6260,3,0),""))</f>
        <v>UN</v>
      </c>
      <c r="F1779" s="2230">
        <v>3</v>
      </c>
      <c r="G1779" s="2232">
        <v>85.46</v>
      </c>
      <c r="H1779" s="2302">
        <f t="shared" si="388"/>
        <v>256.38</v>
      </c>
      <c r="I1779" s="2328">
        <f t="shared" si="389"/>
        <v>0</v>
      </c>
      <c r="J1779" s="2237"/>
      <c r="K1779" s="2411"/>
      <c r="L1779" s="2533">
        <f t="shared" si="390"/>
        <v>0</v>
      </c>
      <c r="M1779" s="2238">
        <v>0</v>
      </c>
      <c r="N1779" s="2239">
        <f t="shared" si="391"/>
        <v>0</v>
      </c>
      <c r="O1779" s="2498">
        <f t="shared" si="392"/>
        <v>256.38</v>
      </c>
      <c r="P1779" s="2295">
        <f t="shared" si="362"/>
        <v>1</v>
      </c>
    </row>
    <row r="1780" spans="1:17" ht="45">
      <c r="A1780" s="2272" t="s">
        <v>14409</v>
      </c>
      <c r="B1780" s="2228">
        <f>VLOOKUP($A1780,'16 - QT_ICONT'!$A:$F,2,0)</f>
        <v>104750</v>
      </c>
      <c r="C1780" s="2228" t="str">
        <f>VLOOKUP($A1780,'16 - QT_ICONT'!$A:$F,3,0)</f>
        <v>SINAPI</v>
      </c>
      <c r="D1780" s="2375" t="s">
        <v>8273</v>
      </c>
      <c r="E1780" s="2243" t="str">
        <f>IFERROR(VLOOKUP($B1780,'24.08_ND'!$1:$1048529,3,0),IFERROR(VLOOKUP($B1780,'03-CP'!$C$1:$H$6260,3,0),""))</f>
        <v>UN</v>
      </c>
      <c r="F1780" s="2230">
        <v>4</v>
      </c>
      <c r="G1780" s="2232">
        <v>17.11</v>
      </c>
      <c r="H1780" s="2302">
        <f t="shared" si="388"/>
        <v>68.44</v>
      </c>
      <c r="I1780" s="2328">
        <f t="shared" si="389"/>
        <v>0</v>
      </c>
      <c r="J1780" s="2237"/>
      <c r="K1780" s="2411"/>
      <c r="L1780" s="2533">
        <f t="shared" si="390"/>
        <v>0</v>
      </c>
      <c r="M1780" s="2238">
        <v>0</v>
      </c>
      <c r="N1780" s="2239">
        <f t="shared" si="391"/>
        <v>0</v>
      </c>
      <c r="O1780" s="2498">
        <f t="shared" si="392"/>
        <v>68.44</v>
      </c>
      <c r="P1780" s="2295">
        <f t="shared" si="362"/>
        <v>1</v>
      </c>
    </row>
    <row r="1781" spans="1:17" ht="30">
      <c r="A1781" s="2272" t="s">
        <v>14410</v>
      </c>
      <c r="B1781" s="2228" t="str">
        <f>VLOOKUP($A1781,'16 - QT_ICONT'!$A:$F,2,0)</f>
        <v>CP-SPDA-15</v>
      </c>
      <c r="C1781" s="2228" t="str">
        <f>VLOOKUP($A1781,'16 - QT_ICONT'!$A:$F,3,0)</f>
        <v>PRÓPRIA</v>
      </c>
      <c r="D1781" s="2375" t="s">
        <v>15229</v>
      </c>
      <c r="E1781" s="2243" t="str">
        <f>IFERROR(VLOOKUP($B1781,'24.08_ND'!$1:$1048529,3,0),IFERROR(VLOOKUP($B1781,'03-CP'!$C$1:$H$6260,3,0),""))</f>
        <v>M</v>
      </c>
      <c r="F1781" s="2230">
        <v>6</v>
      </c>
      <c r="G1781" s="2232">
        <v>73.569999999999993</v>
      </c>
      <c r="H1781" s="2302">
        <f t="shared" si="388"/>
        <v>441.42</v>
      </c>
      <c r="I1781" s="2328">
        <f t="shared" si="389"/>
        <v>0</v>
      </c>
      <c r="J1781" s="2237"/>
      <c r="K1781" s="2411"/>
      <c r="L1781" s="2533">
        <f t="shared" si="390"/>
        <v>0</v>
      </c>
      <c r="M1781" s="2238">
        <v>0</v>
      </c>
      <c r="N1781" s="2239">
        <f t="shared" si="391"/>
        <v>0</v>
      </c>
      <c r="O1781" s="2498">
        <f t="shared" si="392"/>
        <v>441.42</v>
      </c>
      <c r="P1781" s="2295">
        <f t="shared" si="362"/>
        <v>1</v>
      </c>
    </row>
    <row r="1782" spans="1:17" ht="30">
      <c r="A1782" s="2272" t="s">
        <v>14411</v>
      </c>
      <c r="B1782" s="2228" t="str">
        <f>VLOOKUP($A1782,'16 - QT_ICONT'!$A:$F,2,0)</f>
        <v>CP-ELE-17</v>
      </c>
      <c r="C1782" s="2228" t="str">
        <f>VLOOKUP($A1782,'16 - QT_ICONT'!$A:$F,3,0)</f>
        <v>PRÓPRIA</v>
      </c>
      <c r="D1782" s="2375" t="s">
        <v>15160</v>
      </c>
      <c r="E1782" s="2243" t="str">
        <f>IFERROR(VLOOKUP($B1782,'24.08_ND'!$1:$1048529,3,0),IFERROR(VLOOKUP($B1782,'03-CP'!$C$1:$H$6260,3,0),""))</f>
        <v>UN</v>
      </c>
      <c r="F1782" s="2230">
        <v>1</v>
      </c>
      <c r="G1782" s="2232">
        <v>21.07</v>
      </c>
      <c r="H1782" s="2302">
        <f t="shared" si="388"/>
        <v>21.07</v>
      </c>
      <c r="I1782" s="2328">
        <f t="shared" si="389"/>
        <v>0</v>
      </c>
      <c r="J1782" s="2237"/>
      <c r="K1782" s="2411"/>
      <c r="L1782" s="2533">
        <f t="shared" si="390"/>
        <v>0</v>
      </c>
      <c r="M1782" s="2238">
        <v>0</v>
      </c>
      <c r="N1782" s="2239">
        <f t="shared" si="391"/>
        <v>0</v>
      </c>
      <c r="O1782" s="2498">
        <f t="shared" si="392"/>
        <v>21.07</v>
      </c>
      <c r="P1782" s="2295">
        <f t="shared" ref="P1782:P1833" si="393">O1782/H1782</f>
        <v>1</v>
      </c>
    </row>
    <row r="1783" spans="1:17">
      <c r="A1783" s="2343" t="s">
        <v>14412</v>
      </c>
      <c r="B1783" s="2397"/>
      <c r="C1783" s="2401"/>
      <c r="D1783" s="2380" t="s">
        <v>16575</v>
      </c>
      <c r="E1783" s="2368"/>
      <c r="F1783" s="2369"/>
      <c r="G1783" s="2370"/>
      <c r="H1783" s="2374">
        <f>SUBTOTAL(9,H1784:H1796)</f>
        <v>18309.979999999996</v>
      </c>
      <c r="I1783" s="2371"/>
      <c r="J1783" s="2372"/>
      <c r="K1783" s="2555"/>
      <c r="L1783" s="2542">
        <f>SUBTOTAL(9,L1784:L1796)</f>
        <v>1146.27</v>
      </c>
      <c r="M1783" s="2374">
        <f>SUBTOTAL(9,M1784:M1796)</f>
        <v>0</v>
      </c>
      <c r="N1783" s="2374">
        <f>SUBTOTAL(9,N1784:N1796)</f>
        <v>1146.27</v>
      </c>
      <c r="O1783" s="2374">
        <f>SUBTOTAL(9,O1784:O1796)</f>
        <v>17163.709999999995</v>
      </c>
      <c r="P1783" s="2295">
        <f t="shared" si="393"/>
        <v>0.93739643626044367</v>
      </c>
    </row>
    <row r="1784" spans="1:17" ht="30">
      <c r="A1784" s="2272" t="s">
        <v>14413</v>
      </c>
      <c r="B1784" s="2228">
        <f>VLOOKUP($A1784,'16 - QT_ICONT'!$A:$F,2,0)</f>
        <v>97881</v>
      </c>
      <c r="C1784" s="2228" t="str">
        <f>VLOOKUP($A1784,'16 - QT_ICONT'!$A:$F,3,0)</f>
        <v>SINAPI</v>
      </c>
      <c r="D1784" s="2375" t="s">
        <v>7930</v>
      </c>
      <c r="E1784" s="2243" t="str">
        <f>IFERROR(VLOOKUP($B1784,'24.08_ND'!$1:$1048529,3,0),IFERROR(VLOOKUP($B1784,'03-CP'!$C$1:$H$6260,3,0),""))</f>
        <v>UN</v>
      </c>
      <c r="F1784" s="2230">
        <v>11</v>
      </c>
      <c r="G1784" s="2232">
        <v>153.05000000000001</v>
      </c>
      <c r="H1784" s="2302">
        <f t="shared" ref="H1784:H1796" si="394">TRUNC((G1784*F1784),2)</f>
        <v>1683.55</v>
      </c>
      <c r="I1784" s="2328">
        <f t="shared" ref="I1784:I1796" si="395">J1784+K1784</f>
        <v>0.54</v>
      </c>
      <c r="J1784" s="2237"/>
      <c r="K1784" s="2411">
        <v>0.54</v>
      </c>
      <c r="L1784" s="2533">
        <f t="shared" ref="L1784:L1796" si="396">M1784+N1784</f>
        <v>909.11</v>
      </c>
      <c r="M1784" s="2238">
        <v>0</v>
      </c>
      <c r="N1784" s="2239">
        <f t="shared" ref="N1784:N1796" si="397">TRUNC(H1784*K1784,2)</f>
        <v>909.11</v>
      </c>
      <c r="O1784" s="2498">
        <f t="shared" ref="O1784:O1833" si="398">H1784-L1784</f>
        <v>774.43999999999994</v>
      </c>
      <c r="P1784" s="2295">
        <f t="shared" si="393"/>
        <v>0.46000415788066878</v>
      </c>
      <c r="Q1784" s="1789"/>
    </row>
    <row r="1785" spans="1:17" ht="45">
      <c r="A1785" s="2272" t="s">
        <v>14414</v>
      </c>
      <c r="B1785" s="2228" t="str">
        <f>VLOOKUP($A1785,'16 - QT_ICONT'!$A:$F,2,0)</f>
        <v>CP-ELE-105</v>
      </c>
      <c r="C1785" s="2228" t="str">
        <f>VLOOKUP($A1785,'16 - QT_ICONT'!$A:$F,3,0)</f>
        <v>PRÓPRIA</v>
      </c>
      <c r="D1785" s="2375" t="s">
        <v>15218</v>
      </c>
      <c r="E1785" s="2243" t="str">
        <f>IFERROR(VLOOKUP($B1785,'24.08_ND'!$1:$1048529,3,0),IFERROR(VLOOKUP($B1785,'03-CP'!$C$1:$H$6260,3,0),""))</f>
        <v>M</v>
      </c>
      <c r="F1785" s="2230">
        <v>170</v>
      </c>
      <c r="G1785" s="2232">
        <v>8.2799999999999994</v>
      </c>
      <c r="H1785" s="2302">
        <f t="shared" si="394"/>
        <v>1407.6</v>
      </c>
      <c r="I1785" s="2328">
        <f t="shared" si="395"/>
        <v>0.11</v>
      </c>
      <c r="J1785" s="2237"/>
      <c r="K1785" s="2411">
        <v>0.11</v>
      </c>
      <c r="L1785" s="2533">
        <f t="shared" si="396"/>
        <v>154.83000000000001</v>
      </c>
      <c r="M1785" s="2238">
        <v>0</v>
      </c>
      <c r="N1785" s="2239">
        <f t="shared" si="397"/>
        <v>154.83000000000001</v>
      </c>
      <c r="O1785" s="2498">
        <f t="shared" si="398"/>
        <v>1252.77</v>
      </c>
      <c r="P1785" s="2295">
        <f t="shared" si="393"/>
        <v>0.89000426257459508</v>
      </c>
    </row>
    <row r="1786" spans="1:17" ht="30">
      <c r="A1786" s="2272" t="s">
        <v>14415</v>
      </c>
      <c r="B1786" s="2228">
        <f>VLOOKUP($A1786,'16 - QT_ICONT'!$A:$F,2,0)</f>
        <v>93358</v>
      </c>
      <c r="C1786" s="2228" t="str">
        <f>VLOOKUP($A1786,'16 - QT_ICONT'!$A:$F,3,0)</f>
        <v>SINAPI</v>
      </c>
      <c r="D1786" s="2375" t="s">
        <v>10648</v>
      </c>
      <c r="E1786" s="2243" t="str">
        <f>IFERROR(VLOOKUP($B1786,'24.08_ND'!$1:$1048529,3,0),IFERROR(VLOOKUP($B1786,'03-CP'!$C$1:$H$6260,3,0),""))</f>
        <v>M3</v>
      </c>
      <c r="F1786" s="2230">
        <v>17</v>
      </c>
      <c r="G1786" s="2232">
        <v>91.52</v>
      </c>
      <c r="H1786" s="2302">
        <f t="shared" si="394"/>
        <v>1555.84</v>
      </c>
      <c r="I1786" s="2328">
        <f t="shared" si="395"/>
        <v>0.04</v>
      </c>
      <c r="J1786" s="2237"/>
      <c r="K1786" s="2411">
        <v>0.04</v>
      </c>
      <c r="L1786" s="2533">
        <f t="shared" si="396"/>
        <v>62.23</v>
      </c>
      <c r="M1786" s="2238">
        <v>0</v>
      </c>
      <c r="N1786" s="2239">
        <f t="shared" si="397"/>
        <v>62.23</v>
      </c>
      <c r="O1786" s="2498">
        <f t="shared" si="398"/>
        <v>1493.61</v>
      </c>
      <c r="P1786" s="2295">
        <f t="shared" si="393"/>
        <v>0.96000231386260793</v>
      </c>
    </row>
    <row r="1787" spans="1:17" ht="30">
      <c r="A1787" s="2272" t="s">
        <v>14416</v>
      </c>
      <c r="B1787" s="2228">
        <f>VLOOKUP($A1787,'16 - QT_ICONT'!$A:$F,2,0)</f>
        <v>93382</v>
      </c>
      <c r="C1787" s="2228" t="str">
        <f>VLOOKUP($A1787,'16 - QT_ICONT'!$A:$F,3,0)</f>
        <v>SINAPI</v>
      </c>
      <c r="D1787" s="2375" t="s">
        <v>10726</v>
      </c>
      <c r="E1787" s="2243" t="str">
        <f>IFERROR(VLOOKUP($B1787,'24.08_ND'!$1:$1048529,3,0),IFERROR(VLOOKUP($B1787,'03-CP'!$C$1:$H$6260,3,0),""))</f>
        <v>M3</v>
      </c>
      <c r="F1787" s="2230">
        <v>18.700000000000003</v>
      </c>
      <c r="G1787" s="2232">
        <v>26.88</v>
      </c>
      <c r="H1787" s="2302">
        <f t="shared" si="394"/>
        <v>502.65</v>
      </c>
      <c r="I1787" s="2328">
        <f t="shared" si="395"/>
        <v>0.04</v>
      </c>
      <c r="J1787" s="2237"/>
      <c r="K1787" s="2411">
        <v>0.04</v>
      </c>
      <c r="L1787" s="2533">
        <f t="shared" si="396"/>
        <v>20.100000000000001</v>
      </c>
      <c r="M1787" s="2238">
        <v>0</v>
      </c>
      <c r="N1787" s="2239">
        <f t="shared" si="397"/>
        <v>20.100000000000001</v>
      </c>
      <c r="O1787" s="2498">
        <f t="shared" si="398"/>
        <v>482.54999999999995</v>
      </c>
      <c r="P1787" s="2295">
        <f t="shared" si="393"/>
        <v>0.96001193673530283</v>
      </c>
    </row>
    <row r="1788" spans="1:17" ht="30">
      <c r="A1788" s="2272" t="s">
        <v>14417</v>
      </c>
      <c r="B1788" s="2228">
        <f>VLOOKUP($A1788,'16 - QT_ICONT'!$A:$F,2,0)</f>
        <v>91933</v>
      </c>
      <c r="C1788" s="2228" t="str">
        <f>VLOOKUP($A1788,'16 - QT_ICONT'!$A:$F,3,0)</f>
        <v>SINAPI</v>
      </c>
      <c r="D1788" s="2375" t="s">
        <v>7860</v>
      </c>
      <c r="E1788" s="2243" t="str">
        <f>IFERROR(VLOOKUP($B1788,'24.08_ND'!$1:$1048529,3,0),IFERROR(VLOOKUP($B1788,'03-CP'!$C$1:$H$6260,3,0),""))</f>
        <v>M</v>
      </c>
      <c r="F1788" s="2230">
        <v>500</v>
      </c>
      <c r="G1788" s="2232">
        <v>19.059999999999999</v>
      </c>
      <c r="H1788" s="2302">
        <f t="shared" si="394"/>
        <v>9530</v>
      </c>
      <c r="I1788" s="2328">
        <f t="shared" si="395"/>
        <v>0</v>
      </c>
      <c r="J1788" s="2237"/>
      <c r="K1788" s="2411"/>
      <c r="L1788" s="2533">
        <f t="shared" si="396"/>
        <v>0</v>
      </c>
      <c r="M1788" s="2238">
        <v>0</v>
      </c>
      <c r="N1788" s="2239">
        <f t="shared" si="397"/>
        <v>0</v>
      </c>
      <c r="O1788" s="2498">
        <f t="shared" si="398"/>
        <v>9530</v>
      </c>
      <c r="P1788" s="2295">
        <f t="shared" si="393"/>
        <v>1</v>
      </c>
    </row>
    <row r="1789" spans="1:17" ht="30">
      <c r="A1789" s="2272" t="s">
        <v>14418</v>
      </c>
      <c r="B1789" s="2228">
        <f>VLOOKUP($A1789,'16 - QT_ICONT'!$A:$F,2,0)</f>
        <v>93665</v>
      </c>
      <c r="C1789" s="2228" t="str">
        <f>VLOOKUP($A1789,'16 - QT_ICONT'!$A:$F,3,0)</f>
        <v>SINAPI</v>
      </c>
      <c r="D1789" s="2375" t="s">
        <v>7966</v>
      </c>
      <c r="E1789" s="2243" t="str">
        <f>IFERROR(VLOOKUP($B1789,'24.08_ND'!$1:$1048529,3,0),IFERROR(VLOOKUP($B1789,'03-CP'!$C$1:$H$6260,3,0),""))</f>
        <v>UN</v>
      </c>
      <c r="F1789" s="2230">
        <v>1</v>
      </c>
      <c r="G1789" s="2232">
        <v>77.67</v>
      </c>
      <c r="H1789" s="2302">
        <f t="shared" si="394"/>
        <v>77.67</v>
      </c>
      <c r="I1789" s="2328">
        <f t="shared" si="395"/>
        <v>0</v>
      </c>
      <c r="J1789" s="2237"/>
      <c r="K1789" s="2411"/>
      <c r="L1789" s="2533">
        <f t="shared" si="396"/>
        <v>0</v>
      </c>
      <c r="M1789" s="2238">
        <v>0</v>
      </c>
      <c r="N1789" s="2239">
        <f t="shared" si="397"/>
        <v>0</v>
      </c>
      <c r="O1789" s="2498">
        <f t="shared" si="398"/>
        <v>77.67</v>
      </c>
      <c r="P1789" s="2295">
        <f t="shared" si="393"/>
        <v>1</v>
      </c>
    </row>
    <row r="1790" spans="1:17" ht="30">
      <c r="A1790" s="2272" t="s">
        <v>14419</v>
      </c>
      <c r="B1790" s="2228" t="str">
        <f>VLOOKUP($A1790,'16 - QT_ICONT'!$A:$F,2,0)</f>
        <v>CP-ELE-118</v>
      </c>
      <c r="C1790" s="2228" t="str">
        <f>VLOOKUP($A1790,'16 - QT_ICONT'!$A:$F,3,0)</f>
        <v>PRÓPRIA</v>
      </c>
      <c r="D1790" s="2375" t="s">
        <v>15273</v>
      </c>
      <c r="E1790" s="2243" t="str">
        <f>IFERROR(VLOOKUP($B1790,'24.08_ND'!$1:$1048529,3,0),IFERROR(VLOOKUP($B1790,'03-CP'!$C$1:$H$6260,3,0),""))</f>
        <v>UN</v>
      </c>
      <c r="F1790" s="2230">
        <v>2</v>
      </c>
      <c r="G1790" s="2232">
        <v>102.93</v>
      </c>
      <c r="H1790" s="2302">
        <f t="shared" si="394"/>
        <v>205.86</v>
      </c>
      <c r="I1790" s="2328">
        <f t="shared" si="395"/>
        <v>0</v>
      </c>
      <c r="J1790" s="2237"/>
      <c r="K1790" s="2411"/>
      <c r="L1790" s="2533">
        <f t="shared" si="396"/>
        <v>0</v>
      </c>
      <c r="M1790" s="2238">
        <v>0</v>
      </c>
      <c r="N1790" s="2239">
        <f t="shared" si="397"/>
        <v>0</v>
      </c>
      <c r="O1790" s="2498">
        <f t="shared" si="398"/>
        <v>205.86</v>
      </c>
      <c r="P1790" s="2295">
        <f t="shared" si="393"/>
        <v>1</v>
      </c>
    </row>
    <row r="1791" spans="1:17" ht="90">
      <c r="A1791" s="2272" t="s">
        <v>14420</v>
      </c>
      <c r="B1791" s="2228" t="str">
        <f>VLOOKUP($A1791,'16 - QT_ICONT'!$A:$F,2,0)</f>
        <v>CP-ELE-04</v>
      </c>
      <c r="C1791" s="2228" t="str">
        <f>VLOOKUP($A1791,'16 - QT_ICONT'!$A:$F,3,0)</f>
        <v>PRÓPRIA</v>
      </c>
      <c r="D1791" s="2378" t="s">
        <v>15327</v>
      </c>
      <c r="E1791" s="2243" t="str">
        <f>IFERROR(VLOOKUP($B1791,'24.08_ND'!$1:$1048529,3,0),IFERROR(VLOOKUP($B1791,'03-CP'!$C$1:$H$6260,3,0),""))</f>
        <v>M²</v>
      </c>
      <c r="F1791" s="2230">
        <v>2.6</v>
      </c>
      <c r="G1791" s="2232">
        <v>708.27</v>
      </c>
      <c r="H1791" s="2302">
        <f t="shared" si="394"/>
        <v>1841.5</v>
      </c>
      <c r="I1791" s="2328">
        <f t="shared" si="395"/>
        <v>0</v>
      </c>
      <c r="J1791" s="2237"/>
      <c r="K1791" s="2411"/>
      <c r="L1791" s="2533">
        <f t="shared" si="396"/>
        <v>0</v>
      </c>
      <c r="M1791" s="2238">
        <v>0</v>
      </c>
      <c r="N1791" s="2239">
        <f t="shared" si="397"/>
        <v>0</v>
      </c>
      <c r="O1791" s="2498">
        <f t="shared" si="398"/>
        <v>1841.5</v>
      </c>
      <c r="P1791" s="2295">
        <f t="shared" si="393"/>
        <v>1</v>
      </c>
    </row>
    <row r="1792" spans="1:17" ht="30">
      <c r="A1792" s="2272" t="s">
        <v>14421</v>
      </c>
      <c r="B1792" s="2228" t="str">
        <f>VLOOKUP($A1792,'16 - QT_ICONT'!$A:$F,2,0)</f>
        <v>CP-ELE-124</v>
      </c>
      <c r="C1792" s="2228" t="str">
        <f>VLOOKUP($A1792,'16 - QT_ICONT'!$A:$F,3,0)</f>
        <v>PRÓPRIA</v>
      </c>
      <c r="D1792" s="2375" t="s">
        <v>15324</v>
      </c>
      <c r="E1792" s="2243" t="str">
        <f>IFERROR(VLOOKUP($B1792,'24.08_ND'!$1:$1048529,3,0),IFERROR(VLOOKUP($B1792,'03-CP'!$C$1:$H$6260,3,0),""))</f>
        <v>UN</v>
      </c>
      <c r="F1792" s="2230">
        <v>1</v>
      </c>
      <c r="G1792" s="2232">
        <v>718</v>
      </c>
      <c r="H1792" s="2302">
        <f t="shared" si="394"/>
        <v>718</v>
      </c>
      <c r="I1792" s="2328">
        <f t="shared" si="395"/>
        <v>0</v>
      </c>
      <c r="J1792" s="2237"/>
      <c r="K1792" s="2411"/>
      <c r="L1792" s="2533">
        <f t="shared" si="396"/>
        <v>0</v>
      </c>
      <c r="M1792" s="2238">
        <v>0</v>
      </c>
      <c r="N1792" s="2239">
        <f t="shared" si="397"/>
        <v>0</v>
      </c>
      <c r="O1792" s="2498">
        <f t="shared" si="398"/>
        <v>718</v>
      </c>
      <c r="P1792" s="2295">
        <f t="shared" si="393"/>
        <v>1</v>
      </c>
    </row>
    <row r="1793" spans="1:16" ht="30">
      <c r="A1793" s="2272" t="s">
        <v>14422</v>
      </c>
      <c r="B1793" s="2228">
        <f>VLOOKUP($A1793,'16 - QT_ICONT'!$A:$F,2,0)</f>
        <v>96985</v>
      </c>
      <c r="C1793" s="2228" t="str">
        <f>VLOOKUP($A1793,'16 - QT_ICONT'!$A:$F,3,0)</f>
        <v>SINAPI</v>
      </c>
      <c r="D1793" s="2375" t="s">
        <v>8265</v>
      </c>
      <c r="E1793" s="2243" t="str">
        <f>IFERROR(VLOOKUP($B1793,'24.08_ND'!$1:$1048529,3,0),IFERROR(VLOOKUP($B1793,'03-CP'!$C$1:$H$6260,3,0),""))</f>
        <v>UN</v>
      </c>
      <c r="F1793" s="2230">
        <v>3</v>
      </c>
      <c r="G1793" s="2232">
        <v>85.46</v>
      </c>
      <c r="H1793" s="2302">
        <f t="shared" si="394"/>
        <v>256.38</v>
      </c>
      <c r="I1793" s="2328">
        <f t="shared" si="395"/>
        <v>0</v>
      </c>
      <c r="J1793" s="2237"/>
      <c r="K1793" s="2411"/>
      <c r="L1793" s="2533">
        <f t="shared" si="396"/>
        <v>0</v>
      </c>
      <c r="M1793" s="2238">
        <v>0</v>
      </c>
      <c r="N1793" s="2239">
        <f t="shared" si="397"/>
        <v>0</v>
      </c>
      <c r="O1793" s="2498">
        <f t="shared" si="398"/>
        <v>256.38</v>
      </c>
      <c r="P1793" s="2295">
        <f t="shared" si="393"/>
        <v>1</v>
      </c>
    </row>
    <row r="1794" spans="1:16" ht="45">
      <c r="A1794" s="2272" t="s">
        <v>14423</v>
      </c>
      <c r="B1794" s="2228">
        <f>VLOOKUP($A1794,'16 - QT_ICONT'!$A:$F,2,0)</f>
        <v>104750</v>
      </c>
      <c r="C1794" s="2228" t="str">
        <f>VLOOKUP($A1794,'16 - QT_ICONT'!$A:$F,3,0)</f>
        <v>SINAPI</v>
      </c>
      <c r="D1794" s="2375" t="s">
        <v>8273</v>
      </c>
      <c r="E1794" s="2243" t="str">
        <f>IFERROR(VLOOKUP($B1794,'24.08_ND'!$1:$1048529,3,0),IFERROR(VLOOKUP($B1794,'03-CP'!$C$1:$H$6260,3,0),""))</f>
        <v>UN</v>
      </c>
      <c r="F1794" s="2230">
        <v>4</v>
      </c>
      <c r="G1794" s="2232">
        <v>17.11</v>
      </c>
      <c r="H1794" s="2302">
        <f t="shared" si="394"/>
        <v>68.44</v>
      </c>
      <c r="I1794" s="2328">
        <f t="shared" si="395"/>
        <v>0</v>
      </c>
      <c r="J1794" s="2237"/>
      <c r="K1794" s="2411"/>
      <c r="L1794" s="2533">
        <f t="shared" si="396"/>
        <v>0</v>
      </c>
      <c r="M1794" s="2238">
        <v>0</v>
      </c>
      <c r="N1794" s="2239">
        <f t="shared" si="397"/>
        <v>0</v>
      </c>
      <c r="O1794" s="2498">
        <f t="shared" si="398"/>
        <v>68.44</v>
      </c>
      <c r="P1794" s="2295">
        <f t="shared" si="393"/>
        <v>1</v>
      </c>
    </row>
    <row r="1795" spans="1:16" ht="30">
      <c r="A1795" s="2272" t="s">
        <v>14424</v>
      </c>
      <c r="B1795" s="2228" t="str">
        <f>VLOOKUP($A1795,'16 - QT_ICONT'!$A:$F,2,0)</f>
        <v>CP-SPDA-15</v>
      </c>
      <c r="C1795" s="2228" t="str">
        <f>VLOOKUP($A1795,'16 - QT_ICONT'!$A:$F,3,0)</f>
        <v>PRÓPRIA</v>
      </c>
      <c r="D1795" s="2375" t="s">
        <v>15229</v>
      </c>
      <c r="E1795" s="2243" t="str">
        <f>IFERROR(VLOOKUP($B1795,'24.08_ND'!$1:$1048529,3,0),IFERROR(VLOOKUP($B1795,'03-CP'!$C$1:$H$6260,3,0),""))</f>
        <v>M</v>
      </c>
      <c r="F1795" s="2230">
        <v>6</v>
      </c>
      <c r="G1795" s="2232">
        <v>73.569999999999993</v>
      </c>
      <c r="H1795" s="2302">
        <f t="shared" si="394"/>
        <v>441.42</v>
      </c>
      <c r="I1795" s="2328">
        <f t="shared" si="395"/>
        <v>0</v>
      </c>
      <c r="J1795" s="2237"/>
      <c r="K1795" s="2411"/>
      <c r="L1795" s="2533">
        <f t="shared" si="396"/>
        <v>0</v>
      </c>
      <c r="M1795" s="2238">
        <v>0</v>
      </c>
      <c r="N1795" s="2239">
        <f t="shared" si="397"/>
        <v>0</v>
      </c>
      <c r="O1795" s="2498">
        <f t="shared" si="398"/>
        <v>441.42</v>
      </c>
      <c r="P1795" s="2295">
        <f t="shared" si="393"/>
        <v>1</v>
      </c>
    </row>
    <row r="1796" spans="1:16" ht="30">
      <c r="A1796" s="2272" t="s">
        <v>14425</v>
      </c>
      <c r="B1796" s="2228" t="str">
        <f>VLOOKUP($A1796,'16 - QT_ICONT'!$A:$F,2,0)</f>
        <v>CP-ELE-17</v>
      </c>
      <c r="C1796" s="2228" t="str">
        <f>VLOOKUP($A1796,'16 - QT_ICONT'!$A:$F,3,0)</f>
        <v>PRÓPRIA</v>
      </c>
      <c r="D1796" s="2375" t="s">
        <v>15160</v>
      </c>
      <c r="E1796" s="2243" t="str">
        <f>IFERROR(VLOOKUP($B1796,'24.08_ND'!$1:$1048529,3,0),IFERROR(VLOOKUP($B1796,'03-CP'!$C$1:$H$6260,3,0),""))</f>
        <v>UN</v>
      </c>
      <c r="F1796" s="2230">
        <v>1</v>
      </c>
      <c r="G1796" s="2232">
        <v>21.07</v>
      </c>
      <c r="H1796" s="2302">
        <f t="shared" si="394"/>
        <v>21.07</v>
      </c>
      <c r="I1796" s="2328">
        <f t="shared" si="395"/>
        <v>0</v>
      </c>
      <c r="J1796" s="2237"/>
      <c r="K1796" s="2411"/>
      <c r="L1796" s="2533">
        <f t="shared" si="396"/>
        <v>0</v>
      </c>
      <c r="M1796" s="2238">
        <v>0</v>
      </c>
      <c r="N1796" s="2239">
        <f t="shared" si="397"/>
        <v>0</v>
      </c>
      <c r="O1796" s="2498">
        <f t="shared" si="398"/>
        <v>21.07</v>
      </c>
      <c r="P1796" s="2295">
        <f t="shared" si="393"/>
        <v>1</v>
      </c>
    </row>
    <row r="1797" spans="1:16">
      <c r="A1797" s="2343" t="s">
        <v>14426</v>
      </c>
      <c r="B1797" s="2397"/>
      <c r="C1797" s="2401"/>
      <c r="D1797" s="2380" t="s">
        <v>16576</v>
      </c>
      <c r="E1797" s="2368"/>
      <c r="F1797" s="2369"/>
      <c r="G1797" s="2370"/>
      <c r="H1797" s="2374">
        <f>SUBTOTAL(9,H1798:H1803)</f>
        <v>6027.2800000000007</v>
      </c>
      <c r="I1797" s="2371"/>
      <c r="J1797" s="2372"/>
      <c r="K1797" s="2555"/>
      <c r="L1797" s="2542">
        <f>SUBTOTAL(9,L1798:L1803)</f>
        <v>0</v>
      </c>
      <c r="M1797" s="2373">
        <v>0</v>
      </c>
      <c r="N1797" s="2239">
        <f>SUBTOTAL(9,N1798:N1803)</f>
        <v>0</v>
      </c>
      <c r="O1797" s="2500">
        <f>SUBTOTAL(9,O1798:O1803)</f>
        <v>6027.2800000000007</v>
      </c>
      <c r="P1797" s="2295">
        <f t="shared" si="393"/>
        <v>1</v>
      </c>
    </row>
    <row r="1798" spans="1:16" ht="30">
      <c r="A1798" s="2272" t="s">
        <v>14427</v>
      </c>
      <c r="B1798" s="2228">
        <f>VLOOKUP($A1798,'16 - QT_ICONT'!$A:$F,2,0)</f>
        <v>97881</v>
      </c>
      <c r="C1798" s="2228" t="str">
        <f>VLOOKUP($A1798,'16 - QT_ICONT'!$A:$F,3,0)</f>
        <v>SINAPI</v>
      </c>
      <c r="D1798" s="2375" t="s">
        <v>7930</v>
      </c>
      <c r="E1798" s="2243" t="str">
        <f>IFERROR(VLOOKUP($B1798,'24.08_ND'!$1:$1048529,3,0),IFERROR(VLOOKUP($B1798,'03-CP'!$C$1:$H$6260,3,0),""))</f>
        <v>UN</v>
      </c>
      <c r="F1798" s="2230">
        <v>3</v>
      </c>
      <c r="G1798" s="2232">
        <v>153.05000000000001</v>
      </c>
      <c r="H1798" s="2302">
        <f t="shared" ref="H1798:H1803" si="399">TRUNC((G1798*F1798),2)</f>
        <v>459.15</v>
      </c>
      <c r="I1798" s="2328">
        <f t="shared" ref="I1798:I1803" si="400">J1798+K1798</f>
        <v>0</v>
      </c>
      <c r="J1798" s="2237"/>
      <c r="K1798" s="2411"/>
      <c r="L1798" s="2533">
        <f t="shared" ref="L1798:L1803" si="401">M1798+N1798</f>
        <v>0</v>
      </c>
      <c r="M1798" s="2238">
        <v>0</v>
      </c>
      <c r="N1798" s="2239">
        <f t="shared" ref="N1798:N1803" si="402">TRUNC(H1798*K1798,2)</f>
        <v>0</v>
      </c>
      <c r="O1798" s="2498">
        <f t="shared" si="398"/>
        <v>459.15</v>
      </c>
      <c r="P1798" s="2295">
        <f t="shared" si="393"/>
        <v>1</v>
      </c>
    </row>
    <row r="1799" spans="1:16" ht="45">
      <c r="A1799" s="2272" t="s">
        <v>14428</v>
      </c>
      <c r="B1799" s="2228">
        <f>VLOOKUP($A1799,'16 - QT_ICONT'!$A:$F,2,0)</f>
        <v>97668</v>
      </c>
      <c r="C1799" s="2228" t="str">
        <f>VLOOKUP($A1799,'16 - QT_ICONT'!$A:$F,3,0)</f>
        <v>SINAPI</v>
      </c>
      <c r="D1799" s="2375" t="s">
        <v>7798</v>
      </c>
      <c r="E1799" s="2243" t="str">
        <f>IFERROR(VLOOKUP($B1799,'24.08_ND'!$1:$1048529,3,0),IFERROR(VLOOKUP($B1799,'03-CP'!$C$1:$H$6260,3,0),""))</f>
        <v>M</v>
      </c>
      <c r="F1799" s="2230">
        <v>39</v>
      </c>
      <c r="G1799" s="2232">
        <v>12.73</v>
      </c>
      <c r="H1799" s="2302">
        <f t="shared" si="399"/>
        <v>496.47</v>
      </c>
      <c r="I1799" s="2328">
        <f t="shared" si="400"/>
        <v>0</v>
      </c>
      <c r="J1799" s="2237"/>
      <c r="K1799" s="2411"/>
      <c r="L1799" s="2533">
        <f t="shared" si="401"/>
        <v>0</v>
      </c>
      <c r="M1799" s="2238">
        <v>0</v>
      </c>
      <c r="N1799" s="2239">
        <f t="shared" si="402"/>
        <v>0</v>
      </c>
      <c r="O1799" s="2498">
        <f t="shared" si="398"/>
        <v>496.47</v>
      </c>
      <c r="P1799" s="2295">
        <f t="shared" si="393"/>
        <v>1</v>
      </c>
    </row>
    <row r="1800" spans="1:16" ht="30">
      <c r="A1800" s="2272" t="s">
        <v>14429</v>
      </c>
      <c r="B1800" s="2228">
        <f>VLOOKUP($A1800,'16 - QT_ICONT'!$A:$F,2,0)</f>
        <v>93358</v>
      </c>
      <c r="C1800" s="2228" t="str">
        <f>VLOOKUP($A1800,'16 - QT_ICONT'!$A:$F,3,0)</f>
        <v>SINAPI</v>
      </c>
      <c r="D1800" s="2375" t="s">
        <v>10648</v>
      </c>
      <c r="E1800" s="2243" t="str">
        <f>IFERROR(VLOOKUP($B1800,'24.08_ND'!$1:$1048529,3,0),IFERROR(VLOOKUP($B1800,'03-CP'!$C$1:$H$6260,3,0),""))</f>
        <v>M3</v>
      </c>
      <c r="F1800" s="2230">
        <v>3.9</v>
      </c>
      <c r="G1800" s="2232">
        <v>91.52</v>
      </c>
      <c r="H1800" s="2302">
        <f t="shared" si="399"/>
        <v>356.92</v>
      </c>
      <c r="I1800" s="2328">
        <f t="shared" si="400"/>
        <v>0</v>
      </c>
      <c r="J1800" s="2237"/>
      <c r="K1800" s="2411"/>
      <c r="L1800" s="2533">
        <f t="shared" si="401"/>
        <v>0</v>
      </c>
      <c r="M1800" s="2238">
        <v>0</v>
      </c>
      <c r="N1800" s="2239">
        <f t="shared" si="402"/>
        <v>0</v>
      </c>
      <c r="O1800" s="2498">
        <f t="shared" si="398"/>
        <v>356.92</v>
      </c>
      <c r="P1800" s="2295">
        <f t="shared" si="393"/>
        <v>1</v>
      </c>
    </row>
    <row r="1801" spans="1:16" ht="30">
      <c r="A1801" s="2272" t="s">
        <v>14430</v>
      </c>
      <c r="B1801" s="2228">
        <f>VLOOKUP($A1801,'16 - QT_ICONT'!$A:$F,2,0)</f>
        <v>93382</v>
      </c>
      <c r="C1801" s="2228" t="str">
        <f>VLOOKUP($A1801,'16 - QT_ICONT'!$A:$F,3,0)</f>
        <v>SINAPI</v>
      </c>
      <c r="D1801" s="2375" t="s">
        <v>10726</v>
      </c>
      <c r="E1801" s="2243" t="str">
        <f>IFERROR(VLOOKUP($B1801,'24.08_ND'!$1:$1048529,3,0),IFERROR(VLOOKUP($B1801,'03-CP'!$C$1:$H$6260,3,0),""))</f>
        <v>M3</v>
      </c>
      <c r="F1801" s="2230">
        <v>4.29</v>
      </c>
      <c r="G1801" s="2232">
        <v>26.88</v>
      </c>
      <c r="H1801" s="2302">
        <f t="shared" si="399"/>
        <v>115.31</v>
      </c>
      <c r="I1801" s="2328">
        <f t="shared" si="400"/>
        <v>0</v>
      </c>
      <c r="J1801" s="2237"/>
      <c r="K1801" s="2411"/>
      <c r="L1801" s="2533">
        <f t="shared" si="401"/>
        <v>0</v>
      </c>
      <c r="M1801" s="2238">
        <v>0</v>
      </c>
      <c r="N1801" s="2239">
        <f t="shared" si="402"/>
        <v>0</v>
      </c>
      <c r="O1801" s="2498">
        <f t="shared" si="398"/>
        <v>115.31</v>
      </c>
      <c r="P1801" s="2295">
        <f t="shared" si="393"/>
        <v>1</v>
      </c>
    </row>
    <row r="1802" spans="1:16" ht="30">
      <c r="A1802" s="2272" t="s">
        <v>14431</v>
      </c>
      <c r="B1802" s="2228">
        <f>VLOOKUP($A1802,'16 - QT_ICONT'!$A:$F,2,0)</f>
        <v>91928</v>
      </c>
      <c r="C1802" s="2228" t="str">
        <f>VLOOKUP($A1802,'16 - QT_ICONT'!$A:$F,3,0)</f>
        <v>SINAPI</v>
      </c>
      <c r="D1802" s="2375" t="s">
        <v>7855</v>
      </c>
      <c r="E1802" s="2243" t="str">
        <f>IFERROR(VLOOKUP($B1802,'24.08_ND'!$1:$1048529,3,0),IFERROR(VLOOKUP($B1802,'03-CP'!$C$1:$H$6260,3,0),""))</f>
        <v>M</v>
      </c>
      <c r="F1802" s="2230">
        <v>575</v>
      </c>
      <c r="G1802" s="2232">
        <v>7.85</v>
      </c>
      <c r="H1802" s="2302">
        <f t="shared" si="399"/>
        <v>4513.75</v>
      </c>
      <c r="I1802" s="2328">
        <f t="shared" si="400"/>
        <v>0</v>
      </c>
      <c r="J1802" s="2237"/>
      <c r="K1802" s="2411"/>
      <c r="L1802" s="2533">
        <f t="shared" si="401"/>
        <v>0</v>
      </c>
      <c r="M1802" s="2238">
        <v>0</v>
      </c>
      <c r="N1802" s="2239">
        <f t="shared" si="402"/>
        <v>0</v>
      </c>
      <c r="O1802" s="2498">
        <f t="shared" si="398"/>
        <v>4513.75</v>
      </c>
      <c r="P1802" s="2295">
        <f t="shared" si="393"/>
        <v>1</v>
      </c>
    </row>
    <row r="1803" spans="1:16" ht="30">
      <c r="A1803" s="2272" t="s">
        <v>14432</v>
      </c>
      <c r="B1803" s="2228">
        <f>VLOOKUP($A1803,'16 - QT_ICONT'!$A:$F,2,0)</f>
        <v>93654</v>
      </c>
      <c r="C1803" s="2228" t="str">
        <f>VLOOKUP($A1803,'16 - QT_ICONT'!$A:$F,3,0)</f>
        <v>SINAPI</v>
      </c>
      <c r="D1803" s="2375" t="s">
        <v>7955</v>
      </c>
      <c r="E1803" s="2243" t="str">
        <f>IFERROR(VLOOKUP($B1803,'24.08_ND'!$1:$1048529,3,0),IFERROR(VLOOKUP($B1803,'03-CP'!$C$1:$H$6260,3,0),""))</f>
        <v>UN</v>
      </c>
      <c r="F1803" s="2230">
        <v>6</v>
      </c>
      <c r="G1803" s="2232">
        <v>14.28</v>
      </c>
      <c r="H1803" s="2302">
        <f t="shared" si="399"/>
        <v>85.68</v>
      </c>
      <c r="I1803" s="2328">
        <f t="shared" si="400"/>
        <v>0</v>
      </c>
      <c r="J1803" s="2237"/>
      <c r="K1803" s="2411"/>
      <c r="L1803" s="2533">
        <f t="shared" si="401"/>
        <v>0</v>
      </c>
      <c r="M1803" s="2238">
        <v>0</v>
      </c>
      <c r="N1803" s="2239">
        <f t="shared" si="402"/>
        <v>0</v>
      </c>
      <c r="O1803" s="2498">
        <f t="shared" si="398"/>
        <v>85.68</v>
      </c>
      <c r="P1803" s="2295">
        <f t="shared" si="393"/>
        <v>1</v>
      </c>
    </row>
    <row r="1804" spans="1:16">
      <c r="A1804" s="2343" t="s">
        <v>14433</v>
      </c>
      <c r="B1804" s="2397"/>
      <c r="C1804" s="2401"/>
      <c r="D1804" s="2380" t="s">
        <v>16577</v>
      </c>
      <c r="E1804" s="2368"/>
      <c r="F1804" s="2369"/>
      <c r="G1804" s="2370"/>
      <c r="H1804" s="2374">
        <f>SUBTOTAL(9,H1805:H1813)</f>
        <v>9288.6200000000008</v>
      </c>
      <c r="I1804" s="2371"/>
      <c r="J1804" s="2372"/>
      <c r="K1804" s="2555"/>
      <c r="L1804" s="2542">
        <f>SUBTOTAL(9,L1805:L1813)</f>
        <v>0</v>
      </c>
      <c r="M1804" s="2373">
        <v>0</v>
      </c>
      <c r="N1804" s="2239">
        <f>SUBTOTAL(9,N1805:N1813)</f>
        <v>0</v>
      </c>
      <c r="O1804" s="2500">
        <f>SUBTOTAL(9,O1805:O1813)</f>
        <v>9288.6200000000008</v>
      </c>
      <c r="P1804" s="2295">
        <f t="shared" si="393"/>
        <v>1</v>
      </c>
    </row>
    <row r="1805" spans="1:16" ht="30">
      <c r="A1805" s="2272" t="s">
        <v>14434</v>
      </c>
      <c r="B1805" s="2228">
        <f>VLOOKUP($A1805,'16 - QT_ICONT'!$A:$F,2,0)</f>
        <v>97881</v>
      </c>
      <c r="C1805" s="2228" t="str">
        <f>VLOOKUP($A1805,'16 - QT_ICONT'!$A:$F,3,0)</f>
        <v>SINAPI</v>
      </c>
      <c r="D1805" s="2375" t="s">
        <v>7930</v>
      </c>
      <c r="E1805" s="2243" t="str">
        <f>IFERROR(VLOOKUP($B1805,'24.08_ND'!$1:$1048529,3,0),IFERROR(VLOOKUP($B1805,'03-CP'!$C$1:$H$6260,3,0),""))</f>
        <v>UN</v>
      </c>
      <c r="F1805" s="2230">
        <v>5</v>
      </c>
      <c r="G1805" s="2232">
        <v>153.05000000000001</v>
      </c>
      <c r="H1805" s="2302">
        <f t="shared" ref="H1805:H1813" si="403">TRUNC((G1805*F1805),2)</f>
        <v>765.25</v>
      </c>
      <c r="I1805" s="2328">
        <f t="shared" ref="I1805:I1813" si="404">J1805+K1805</f>
        <v>0</v>
      </c>
      <c r="J1805" s="2237"/>
      <c r="K1805" s="2411"/>
      <c r="L1805" s="2533">
        <f t="shared" ref="L1805:L1813" si="405">M1805+N1805</f>
        <v>0</v>
      </c>
      <c r="M1805" s="2238">
        <v>0</v>
      </c>
      <c r="N1805" s="2239">
        <f t="shared" ref="N1805:N1813" si="406">TRUNC(H1805*K1805,2)</f>
        <v>0</v>
      </c>
      <c r="O1805" s="2498">
        <f t="shared" si="398"/>
        <v>765.25</v>
      </c>
      <c r="P1805" s="2295">
        <f t="shared" si="393"/>
        <v>1</v>
      </c>
    </row>
    <row r="1806" spans="1:16" ht="45">
      <c r="A1806" s="2272" t="s">
        <v>14435</v>
      </c>
      <c r="B1806" s="2228">
        <f>VLOOKUP($A1806,'16 - QT_ICONT'!$A:$F,2,0)</f>
        <v>97668</v>
      </c>
      <c r="C1806" s="2228" t="str">
        <f>VLOOKUP($A1806,'16 - QT_ICONT'!$A:$F,3,0)</f>
        <v>SINAPI</v>
      </c>
      <c r="D1806" s="2375" t="s">
        <v>7798</v>
      </c>
      <c r="E1806" s="2243" t="str">
        <f>IFERROR(VLOOKUP($B1806,'24.08_ND'!$1:$1048529,3,0),IFERROR(VLOOKUP($B1806,'03-CP'!$C$1:$H$6260,3,0),""))</f>
        <v>M</v>
      </c>
      <c r="F1806" s="2230">
        <v>55</v>
      </c>
      <c r="G1806" s="2232">
        <v>12.73</v>
      </c>
      <c r="H1806" s="2302">
        <f t="shared" si="403"/>
        <v>700.15</v>
      </c>
      <c r="I1806" s="2328">
        <f t="shared" si="404"/>
        <v>0</v>
      </c>
      <c r="J1806" s="2237"/>
      <c r="K1806" s="2411"/>
      <c r="L1806" s="2533">
        <f t="shared" si="405"/>
        <v>0</v>
      </c>
      <c r="M1806" s="2238">
        <v>0</v>
      </c>
      <c r="N1806" s="2239">
        <f t="shared" si="406"/>
        <v>0</v>
      </c>
      <c r="O1806" s="2498">
        <f t="shared" si="398"/>
        <v>700.15</v>
      </c>
      <c r="P1806" s="2295">
        <f t="shared" si="393"/>
        <v>1</v>
      </c>
    </row>
    <row r="1807" spans="1:16" ht="30">
      <c r="A1807" s="2272" t="s">
        <v>14436</v>
      </c>
      <c r="B1807" s="2228">
        <f>VLOOKUP($A1807,'16 - QT_ICONT'!$A:$F,2,0)</f>
        <v>93358</v>
      </c>
      <c r="C1807" s="2228" t="str">
        <f>VLOOKUP($A1807,'16 - QT_ICONT'!$A:$F,3,0)</f>
        <v>SINAPI</v>
      </c>
      <c r="D1807" s="2375" t="s">
        <v>10648</v>
      </c>
      <c r="E1807" s="2243" t="str">
        <f>IFERROR(VLOOKUP($B1807,'24.08_ND'!$1:$1048529,3,0),IFERROR(VLOOKUP($B1807,'03-CP'!$C$1:$H$6260,3,0),""))</f>
        <v>M3</v>
      </c>
      <c r="F1807" s="2230">
        <v>5.5</v>
      </c>
      <c r="G1807" s="2232">
        <v>91.52</v>
      </c>
      <c r="H1807" s="2302">
        <f t="shared" si="403"/>
        <v>503.36</v>
      </c>
      <c r="I1807" s="2328">
        <f t="shared" si="404"/>
        <v>0</v>
      </c>
      <c r="J1807" s="2237"/>
      <c r="K1807" s="2411"/>
      <c r="L1807" s="2533">
        <f t="shared" si="405"/>
        <v>0</v>
      </c>
      <c r="M1807" s="2238">
        <v>0</v>
      </c>
      <c r="N1807" s="2239">
        <f t="shared" si="406"/>
        <v>0</v>
      </c>
      <c r="O1807" s="2498">
        <f t="shared" si="398"/>
        <v>503.36</v>
      </c>
      <c r="P1807" s="2295">
        <f t="shared" si="393"/>
        <v>1</v>
      </c>
    </row>
    <row r="1808" spans="1:16" ht="30">
      <c r="A1808" s="2272" t="s">
        <v>14437</v>
      </c>
      <c r="B1808" s="2228">
        <f>VLOOKUP($A1808,'16 - QT_ICONT'!$A:$F,2,0)</f>
        <v>93382</v>
      </c>
      <c r="C1808" s="2228" t="str">
        <f>VLOOKUP($A1808,'16 - QT_ICONT'!$A:$F,3,0)</f>
        <v>SINAPI</v>
      </c>
      <c r="D1808" s="2375" t="s">
        <v>10726</v>
      </c>
      <c r="E1808" s="2243" t="str">
        <f>IFERROR(VLOOKUP($B1808,'24.08_ND'!$1:$1048529,3,0),IFERROR(VLOOKUP($B1808,'03-CP'!$C$1:$H$6260,3,0),""))</f>
        <v>M3</v>
      </c>
      <c r="F1808" s="2230">
        <v>6.0500000000000007</v>
      </c>
      <c r="G1808" s="2232">
        <v>26.88</v>
      </c>
      <c r="H1808" s="2302">
        <f t="shared" si="403"/>
        <v>162.62</v>
      </c>
      <c r="I1808" s="2328">
        <f t="shared" si="404"/>
        <v>0</v>
      </c>
      <c r="J1808" s="2237"/>
      <c r="K1808" s="2411"/>
      <c r="L1808" s="2533">
        <f t="shared" si="405"/>
        <v>0</v>
      </c>
      <c r="M1808" s="2238">
        <v>0</v>
      </c>
      <c r="N1808" s="2239">
        <f t="shared" si="406"/>
        <v>0</v>
      </c>
      <c r="O1808" s="2498">
        <f t="shared" si="398"/>
        <v>162.62</v>
      </c>
      <c r="P1808" s="2295">
        <f t="shared" si="393"/>
        <v>1</v>
      </c>
    </row>
    <row r="1809" spans="1:16" ht="30">
      <c r="A1809" s="2272" t="s">
        <v>14438</v>
      </c>
      <c r="B1809" s="2228">
        <f>VLOOKUP($A1809,'16 - QT_ICONT'!$A:$F,2,0)</f>
        <v>91928</v>
      </c>
      <c r="C1809" s="2228" t="str">
        <f>VLOOKUP($A1809,'16 - QT_ICONT'!$A:$F,3,0)</f>
        <v>SINAPI</v>
      </c>
      <c r="D1809" s="2375" t="s">
        <v>7855</v>
      </c>
      <c r="E1809" s="2243" t="str">
        <f>IFERROR(VLOOKUP($B1809,'24.08_ND'!$1:$1048529,3,0),IFERROR(VLOOKUP($B1809,'03-CP'!$C$1:$H$6260,3,0),""))</f>
        <v>M</v>
      </c>
      <c r="F1809" s="2230">
        <v>670</v>
      </c>
      <c r="G1809" s="2232">
        <v>7.85</v>
      </c>
      <c r="H1809" s="2302">
        <f t="shared" si="403"/>
        <v>5259.5</v>
      </c>
      <c r="I1809" s="2328">
        <f t="shared" si="404"/>
        <v>0</v>
      </c>
      <c r="J1809" s="2237"/>
      <c r="K1809" s="2411"/>
      <c r="L1809" s="2533">
        <f t="shared" si="405"/>
        <v>0</v>
      </c>
      <c r="M1809" s="2238">
        <v>0</v>
      </c>
      <c r="N1809" s="2239">
        <f t="shared" si="406"/>
        <v>0</v>
      </c>
      <c r="O1809" s="2498">
        <f t="shared" si="398"/>
        <v>5259.5</v>
      </c>
      <c r="P1809" s="2295">
        <f t="shared" si="393"/>
        <v>1</v>
      </c>
    </row>
    <row r="1810" spans="1:16" ht="30">
      <c r="A1810" s="2272" t="s">
        <v>14439</v>
      </c>
      <c r="B1810" s="2228">
        <f>VLOOKUP($A1810,'16 - QT_ICONT'!$A:$F,2,0)</f>
        <v>91933</v>
      </c>
      <c r="C1810" s="2228" t="str">
        <f>VLOOKUP($A1810,'16 - QT_ICONT'!$A:$F,3,0)</f>
        <v>SINAPI</v>
      </c>
      <c r="D1810" s="2375" t="s">
        <v>7860</v>
      </c>
      <c r="E1810" s="2243" t="str">
        <f>IFERROR(VLOOKUP($B1810,'24.08_ND'!$1:$1048529,3,0),IFERROR(VLOOKUP($B1810,'03-CP'!$C$1:$H$6260,3,0),""))</f>
        <v>M</v>
      </c>
      <c r="F1810" s="2230">
        <v>70</v>
      </c>
      <c r="G1810" s="2232">
        <v>19.059999999999999</v>
      </c>
      <c r="H1810" s="2302">
        <f t="shared" si="403"/>
        <v>1334.2</v>
      </c>
      <c r="I1810" s="2328">
        <f t="shared" si="404"/>
        <v>0</v>
      </c>
      <c r="J1810" s="2237"/>
      <c r="K1810" s="2411"/>
      <c r="L1810" s="2533">
        <f t="shared" si="405"/>
        <v>0</v>
      </c>
      <c r="M1810" s="2238">
        <v>0</v>
      </c>
      <c r="N1810" s="2239">
        <f t="shared" si="406"/>
        <v>0</v>
      </c>
      <c r="O1810" s="2498">
        <f t="shared" si="398"/>
        <v>1334.2</v>
      </c>
      <c r="P1810" s="2295">
        <f t="shared" si="393"/>
        <v>1</v>
      </c>
    </row>
    <row r="1811" spans="1:16" ht="30">
      <c r="A1811" s="2272" t="s">
        <v>14440</v>
      </c>
      <c r="B1811" s="2228">
        <f>VLOOKUP($A1811,'16 - QT_ICONT'!$A:$F,2,0)</f>
        <v>93654</v>
      </c>
      <c r="C1811" s="2228" t="str">
        <f>VLOOKUP($A1811,'16 - QT_ICONT'!$A:$F,3,0)</f>
        <v>SINAPI</v>
      </c>
      <c r="D1811" s="2375" t="s">
        <v>7955</v>
      </c>
      <c r="E1811" s="2243" t="str">
        <f>IFERROR(VLOOKUP($B1811,'24.08_ND'!$1:$1048529,3,0),IFERROR(VLOOKUP($B1811,'03-CP'!$C$1:$H$6260,3,0),""))</f>
        <v>UN</v>
      </c>
      <c r="F1811" s="2230">
        <v>10</v>
      </c>
      <c r="G1811" s="2232">
        <v>14.28</v>
      </c>
      <c r="H1811" s="2302">
        <f t="shared" si="403"/>
        <v>142.80000000000001</v>
      </c>
      <c r="I1811" s="2328">
        <f t="shared" si="404"/>
        <v>0</v>
      </c>
      <c r="J1811" s="2237"/>
      <c r="K1811" s="2411"/>
      <c r="L1811" s="2533">
        <f t="shared" si="405"/>
        <v>0</v>
      </c>
      <c r="M1811" s="2238">
        <v>0</v>
      </c>
      <c r="N1811" s="2239">
        <f t="shared" si="406"/>
        <v>0</v>
      </c>
      <c r="O1811" s="2498">
        <f t="shared" si="398"/>
        <v>142.80000000000001</v>
      </c>
      <c r="P1811" s="2295">
        <f t="shared" si="393"/>
        <v>1</v>
      </c>
    </row>
    <row r="1812" spans="1:16" ht="30">
      <c r="A1812" s="2272" t="s">
        <v>14441</v>
      </c>
      <c r="B1812" s="2228">
        <f>VLOOKUP($A1812,'16 - QT_ICONT'!$A:$F,2,0)</f>
        <v>93673</v>
      </c>
      <c r="C1812" s="2228" t="str">
        <f>VLOOKUP($A1812,'16 - QT_ICONT'!$A:$F,3,0)</f>
        <v>SINAPI</v>
      </c>
      <c r="D1812" s="2375" t="s">
        <v>7974</v>
      </c>
      <c r="E1812" s="2243" t="str">
        <f>IFERROR(VLOOKUP($B1812,'24.08_ND'!$1:$1048529,3,0),IFERROR(VLOOKUP($B1812,'03-CP'!$C$1:$H$6260,3,0),""))</f>
        <v>UN</v>
      </c>
      <c r="F1812" s="2230">
        <v>1</v>
      </c>
      <c r="G1812" s="2232">
        <v>111.95</v>
      </c>
      <c r="H1812" s="2302">
        <f t="shared" si="403"/>
        <v>111.95</v>
      </c>
      <c r="I1812" s="2328">
        <f t="shared" si="404"/>
        <v>0</v>
      </c>
      <c r="J1812" s="2237"/>
      <c r="K1812" s="2411"/>
      <c r="L1812" s="2533">
        <f t="shared" si="405"/>
        <v>0</v>
      </c>
      <c r="M1812" s="2238">
        <v>0</v>
      </c>
      <c r="N1812" s="2239">
        <f t="shared" si="406"/>
        <v>0</v>
      </c>
      <c r="O1812" s="2498">
        <f t="shared" si="398"/>
        <v>111.95</v>
      </c>
      <c r="P1812" s="2295">
        <f t="shared" si="393"/>
        <v>1</v>
      </c>
    </row>
    <row r="1813" spans="1:16" ht="30">
      <c r="A1813" s="2272" t="s">
        <v>14442</v>
      </c>
      <c r="B1813" s="2228" t="str">
        <f>VLOOKUP($A1813,'16 - QT_ICONT'!$A:$F,2,0)</f>
        <v>CP-ELE-118</v>
      </c>
      <c r="C1813" s="2228" t="str">
        <f>VLOOKUP($A1813,'16 - QT_ICONT'!$A:$F,3,0)</f>
        <v>PRÓPRIA</v>
      </c>
      <c r="D1813" s="2375" t="s">
        <v>15273</v>
      </c>
      <c r="E1813" s="2243" t="str">
        <f>IFERROR(VLOOKUP($B1813,'24.08_ND'!$1:$1048529,3,0),IFERROR(VLOOKUP($B1813,'03-CP'!$C$1:$H$6260,3,0),""))</f>
        <v>UN</v>
      </c>
      <c r="F1813" s="2230">
        <v>3</v>
      </c>
      <c r="G1813" s="2232">
        <v>102.93</v>
      </c>
      <c r="H1813" s="2302">
        <f t="shared" si="403"/>
        <v>308.79000000000002</v>
      </c>
      <c r="I1813" s="2328">
        <f t="shared" si="404"/>
        <v>0</v>
      </c>
      <c r="J1813" s="2237"/>
      <c r="K1813" s="2411"/>
      <c r="L1813" s="2533">
        <f t="shared" si="405"/>
        <v>0</v>
      </c>
      <c r="M1813" s="2238">
        <v>0</v>
      </c>
      <c r="N1813" s="2239">
        <f t="shared" si="406"/>
        <v>0</v>
      </c>
      <c r="O1813" s="2498">
        <f t="shared" si="398"/>
        <v>308.79000000000002</v>
      </c>
      <c r="P1813" s="2295">
        <f t="shared" si="393"/>
        <v>1</v>
      </c>
    </row>
    <row r="1814" spans="1:16">
      <c r="A1814" s="2343" t="s">
        <v>14443</v>
      </c>
      <c r="B1814" s="2397"/>
      <c r="C1814" s="2401"/>
      <c r="D1814" s="2380" t="s">
        <v>16578</v>
      </c>
      <c r="E1814" s="2368"/>
      <c r="F1814" s="2369"/>
      <c r="G1814" s="2370"/>
      <c r="H1814" s="2374">
        <f>SUBTOTAL(9,H1815:H1816)</f>
        <v>3238.44</v>
      </c>
      <c r="I1814" s="2371"/>
      <c r="J1814" s="2372"/>
      <c r="K1814" s="2555"/>
      <c r="L1814" s="2542">
        <f>SUBTOTAL(9,L1815:L1816)</f>
        <v>0</v>
      </c>
      <c r="M1814" s="2373">
        <v>0</v>
      </c>
      <c r="N1814" s="2239">
        <f>SUBTOTAL(9,N1815:N1816)</f>
        <v>0</v>
      </c>
      <c r="O1814" s="2500">
        <f>SUBTOTAL(9,O1815:O1816)</f>
        <v>3238.44</v>
      </c>
      <c r="P1814" s="2295">
        <f t="shared" si="393"/>
        <v>1</v>
      </c>
    </row>
    <row r="1815" spans="1:16" ht="90">
      <c r="A1815" s="2272" t="s">
        <v>14444</v>
      </c>
      <c r="B1815" s="2228" t="str">
        <f>VLOOKUP($A1815,'16 - QT_ICONT'!$A:$F,2,0)</f>
        <v>CP-ELE-04</v>
      </c>
      <c r="C1815" s="2228" t="str">
        <f>VLOOKUP($A1815,'16 - QT_ICONT'!$A:$F,3,0)</f>
        <v>PRÓPRIA</v>
      </c>
      <c r="D1815" s="2378" t="s">
        <v>15327</v>
      </c>
      <c r="E1815" s="2243" t="str">
        <f>IFERROR(VLOOKUP($B1815,'24.08_ND'!$1:$1048529,3,0),IFERROR(VLOOKUP($B1815,'03-CP'!$C$1:$H$6260,3,0),""))</f>
        <v>M²</v>
      </c>
      <c r="F1815" s="2230">
        <v>3.5</v>
      </c>
      <c r="G1815" s="2232">
        <v>708.27</v>
      </c>
      <c r="H1815" s="2302">
        <f>TRUNC((G1815*F1815),2)</f>
        <v>2478.94</v>
      </c>
      <c r="I1815" s="2328">
        <f>J1815+K1815</f>
        <v>0</v>
      </c>
      <c r="J1815" s="2237"/>
      <c r="K1815" s="2411"/>
      <c r="L1815" s="2533">
        <f>M1815+N1815</f>
        <v>0</v>
      </c>
      <c r="M1815" s="2238">
        <v>0</v>
      </c>
      <c r="N1815" s="2239">
        <f>TRUNC(H1815*K1815,2)</f>
        <v>0</v>
      </c>
      <c r="O1815" s="2498">
        <f t="shared" si="398"/>
        <v>2478.94</v>
      </c>
      <c r="P1815" s="2295">
        <f t="shared" si="393"/>
        <v>1</v>
      </c>
    </row>
    <row r="1816" spans="1:16" ht="45">
      <c r="A1816" s="2272" t="s">
        <v>14445</v>
      </c>
      <c r="B1816" s="2228">
        <f>VLOOKUP($A1816,'16 - QT_ICONT'!$A:$F,2,0)</f>
        <v>101883</v>
      </c>
      <c r="C1816" s="2228" t="str">
        <f>VLOOKUP($A1816,'16 - QT_ICONT'!$A:$F,3,0)</f>
        <v>SINAPI</v>
      </c>
      <c r="D1816" s="2375" t="s">
        <v>7987</v>
      </c>
      <c r="E1816" s="2243" t="str">
        <f>IFERROR(VLOOKUP($B1816,'24.08_ND'!$1:$1048529,3,0),IFERROR(VLOOKUP($B1816,'03-CP'!$C$1:$H$6260,3,0),""))</f>
        <v>UN</v>
      </c>
      <c r="F1816" s="2230">
        <v>1</v>
      </c>
      <c r="G1816" s="2232">
        <v>759.5</v>
      </c>
      <c r="H1816" s="2302">
        <f>TRUNC((G1816*F1816),2)</f>
        <v>759.5</v>
      </c>
      <c r="I1816" s="2328">
        <f>J1816+K1816</f>
        <v>0</v>
      </c>
      <c r="J1816" s="2237"/>
      <c r="K1816" s="2411"/>
      <c r="L1816" s="2533">
        <f>M1816+N1816</f>
        <v>0</v>
      </c>
      <c r="M1816" s="2238">
        <v>0</v>
      </c>
      <c r="N1816" s="2239">
        <f>TRUNC(H1816*K1816,2)</f>
        <v>0</v>
      </c>
      <c r="O1816" s="2498">
        <f t="shared" si="398"/>
        <v>759.5</v>
      </c>
      <c r="P1816" s="2295">
        <f t="shared" si="393"/>
        <v>1</v>
      </c>
    </row>
    <row r="1817" spans="1:16">
      <c r="A1817" s="2343" t="s">
        <v>14446</v>
      </c>
      <c r="B1817" s="2397"/>
      <c r="C1817" s="2401"/>
      <c r="D1817" s="2380" t="s">
        <v>16579</v>
      </c>
      <c r="E1817" s="2368"/>
      <c r="F1817" s="2369"/>
      <c r="G1817" s="2370"/>
      <c r="H1817" s="2374">
        <f>SUBTOTAL(9,H1818:H1833)</f>
        <v>19476.150000000001</v>
      </c>
      <c r="I1817" s="2371"/>
      <c r="J1817" s="2372"/>
      <c r="K1817" s="2555"/>
      <c r="L1817" s="2542">
        <f>SUBTOTAL(9,L1818:L1833)</f>
        <v>0</v>
      </c>
      <c r="M1817" s="2373">
        <v>0</v>
      </c>
      <c r="N1817" s="2239">
        <f>SUBTOTAL(9,N1818:N1833)</f>
        <v>0</v>
      </c>
      <c r="O1817" s="2500">
        <f>SUBTOTAL(9,O1818:O1833)</f>
        <v>19476.150000000001</v>
      </c>
      <c r="P1817" s="2295">
        <f t="shared" si="393"/>
        <v>1</v>
      </c>
    </row>
    <row r="1818" spans="1:16" ht="30">
      <c r="A1818" s="2272" t="s">
        <v>14447</v>
      </c>
      <c r="B1818" s="2228">
        <f>VLOOKUP($A1818,'16 - QT_ICONT'!$A:$F,2,0)</f>
        <v>97881</v>
      </c>
      <c r="C1818" s="2228" t="str">
        <f>VLOOKUP($A1818,'16 - QT_ICONT'!$A:$F,3,0)</f>
        <v>SINAPI</v>
      </c>
      <c r="D1818" s="2375" t="s">
        <v>7930</v>
      </c>
      <c r="E1818" s="2243" t="str">
        <f>IFERROR(VLOOKUP($B1818,'24.08_ND'!$1:$1048529,3,0),IFERROR(VLOOKUP($B1818,'03-CP'!$C$1:$H$6260,3,0),""))</f>
        <v>UN</v>
      </c>
      <c r="F1818" s="2230">
        <v>10</v>
      </c>
      <c r="G1818" s="2232">
        <v>153.05000000000001</v>
      </c>
      <c r="H1818" s="2302">
        <f t="shared" ref="H1818:H1833" si="407">TRUNC((G1818*F1818),2)</f>
        <v>1530.5</v>
      </c>
      <c r="I1818" s="2328">
        <f t="shared" ref="I1818:I1833" si="408">J1818+K1818</f>
        <v>0</v>
      </c>
      <c r="J1818" s="2237"/>
      <c r="K1818" s="2411"/>
      <c r="L1818" s="2533">
        <f t="shared" ref="L1818:L1833" si="409">M1818+N1818</f>
        <v>0</v>
      </c>
      <c r="M1818" s="2238">
        <v>0</v>
      </c>
      <c r="N1818" s="2239">
        <f t="shared" ref="N1818:N1833" si="410">TRUNC(H1818*K1818,2)</f>
        <v>0</v>
      </c>
      <c r="O1818" s="2498">
        <f t="shared" si="398"/>
        <v>1530.5</v>
      </c>
      <c r="P1818" s="2295">
        <f t="shared" si="393"/>
        <v>1</v>
      </c>
    </row>
    <row r="1819" spans="1:16" ht="30">
      <c r="A1819" s="2272" t="s">
        <v>14448</v>
      </c>
      <c r="B1819" s="2228">
        <f>VLOOKUP($A1819,'16 - QT_ICONT'!$A:$F,2,0)</f>
        <v>97882</v>
      </c>
      <c r="C1819" s="2228" t="str">
        <f>VLOOKUP($A1819,'16 - QT_ICONT'!$A:$F,3,0)</f>
        <v>SINAPI</v>
      </c>
      <c r="D1819" s="2375" t="s">
        <v>7931</v>
      </c>
      <c r="E1819" s="2243" t="str">
        <f>IFERROR(VLOOKUP($B1819,'24.08_ND'!$1:$1048529,3,0),IFERROR(VLOOKUP($B1819,'03-CP'!$C$1:$H$6260,3,0),""))</f>
        <v>UN</v>
      </c>
      <c r="F1819" s="2230">
        <v>1</v>
      </c>
      <c r="G1819" s="2232">
        <v>241.23</v>
      </c>
      <c r="H1819" s="2302">
        <f t="shared" si="407"/>
        <v>241.23</v>
      </c>
      <c r="I1819" s="2328">
        <f t="shared" si="408"/>
        <v>0</v>
      </c>
      <c r="J1819" s="2237"/>
      <c r="K1819" s="2411"/>
      <c r="L1819" s="2533">
        <f t="shared" si="409"/>
        <v>0</v>
      </c>
      <c r="M1819" s="2238">
        <v>0</v>
      </c>
      <c r="N1819" s="2239">
        <f t="shared" si="410"/>
        <v>0</v>
      </c>
      <c r="O1819" s="2498">
        <f t="shared" si="398"/>
        <v>241.23</v>
      </c>
      <c r="P1819" s="2295">
        <f t="shared" si="393"/>
        <v>1</v>
      </c>
    </row>
    <row r="1820" spans="1:16" ht="30">
      <c r="A1820" s="2272" t="s">
        <v>14449</v>
      </c>
      <c r="B1820" s="2228">
        <f>VLOOKUP($A1820,'16 - QT_ICONT'!$A:$F,2,0)</f>
        <v>91931</v>
      </c>
      <c r="C1820" s="2228" t="str">
        <f>VLOOKUP($A1820,'16 - QT_ICONT'!$A:$F,3,0)</f>
        <v>SINAPI</v>
      </c>
      <c r="D1820" s="2375" t="s">
        <v>7858</v>
      </c>
      <c r="E1820" s="2243" t="str">
        <f>IFERROR(VLOOKUP($B1820,'24.08_ND'!$1:$1048529,3,0),IFERROR(VLOOKUP($B1820,'03-CP'!$C$1:$H$6260,3,0),""))</f>
        <v>M</v>
      </c>
      <c r="F1820" s="2230">
        <v>750</v>
      </c>
      <c r="G1820" s="2232">
        <v>11.88</v>
      </c>
      <c r="H1820" s="2302">
        <f t="shared" si="407"/>
        <v>8910</v>
      </c>
      <c r="I1820" s="2328">
        <f t="shared" si="408"/>
        <v>0</v>
      </c>
      <c r="J1820" s="2237"/>
      <c r="K1820" s="2411"/>
      <c r="L1820" s="2533">
        <f t="shared" si="409"/>
        <v>0</v>
      </c>
      <c r="M1820" s="2238">
        <v>0</v>
      </c>
      <c r="N1820" s="2239">
        <f t="shared" si="410"/>
        <v>0</v>
      </c>
      <c r="O1820" s="2498">
        <f t="shared" si="398"/>
        <v>8910</v>
      </c>
      <c r="P1820" s="2295">
        <f t="shared" si="393"/>
        <v>1</v>
      </c>
    </row>
    <row r="1821" spans="1:16" ht="45">
      <c r="A1821" s="2272" t="s">
        <v>14450</v>
      </c>
      <c r="B1821" s="2228" t="str">
        <f>VLOOKUP($A1821,'16 - QT_ICONT'!$A:$F,2,0)</f>
        <v>CP-ELE-105</v>
      </c>
      <c r="C1821" s="2228" t="str">
        <f>VLOOKUP($A1821,'16 - QT_ICONT'!$A:$F,3,0)</f>
        <v>PRÓPRIA</v>
      </c>
      <c r="D1821" s="2375" t="s">
        <v>15218</v>
      </c>
      <c r="E1821" s="2243" t="str">
        <f>IFERROR(VLOOKUP($B1821,'24.08_ND'!$1:$1048529,3,0),IFERROR(VLOOKUP($B1821,'03-CP'!$C$1:$H$6260,3,0),""))</f>
        <v>M</v>
      </c>
      <c r="F1821" s="2230">
        <v>186</v>
      </c>
      <c r="G1821" s="2232">
        <v>8.2799999999999994</v>
      </c>
      <c r="H1821" s="2302">
        <f t="shared" si="407"/>
        <v>1540.08</v>
      </c>
      <c r="I1821" s="2328">
        <f t="shared" si="408"/>
        <v>0</v>
      </c>
      <c r="J1821" s="2237"/>
      <c r="K1821" s="2411"/>
      <c r="L1821" s="2533">
        <f t="shared" si="409"/>
        <v>0</v>
      </c>
      <c r="M1821" s="2238">
        <v>0</v>
      </c>
      <c r="N1821" s="2239">
        <f t="shared" si="410"/>
        <v>0</v>
      </c>
      <c r="O1821" s="2498">
        <f t="shared" si="398"/>
        <v>1540.08</v>
      </c>
      <c r="P1821" s="2295">
        <f t="shared" si="393"/>
        <v>1</v>
      </c>
    </row>
    <row r="1822" spans="1:16" ht="30">
      <c r="A1822" s="2272" t="s">
        <v>14451</v>
      </c>
      <c r="B1822" s="2228">
        <f>VLOOKUP($A1822,'16 - QT_ICONT'!$A:$F,2,0)</f>
        <v>93358</v>
      </c>
      <c r="C1822" s="2228" t="str">
        <f>VLOOKUP($A1822,'16 - QT_ICONT'!$A:$F,3,0)</f>
        <v>SINAPI</v>
      </c>
      <c r="D1822" s="2375" t="s">
        <v>10648</v>
      </c>
      <c r="E1822" s="2243" t="str">
        <f>IFERROR(VLOOKUP($B1822,'24.08_ND'!$1:$1048529,3,0),IFERROR(VLOOKUP($B1822,'03-CP'!$C$1:$H$6260,3,0),""))</f>
        <v>M3</v>
      </c>
      <c r="F1822" s="2230">
        <v>18.600000000000001</v>
      </c>
      <c r="G1822" s="2232">
        <v>91.52</v>
      </c>
      <c r="H1822" s="2302">
        <f t="shared" si="407"/>
        <v>1702.27</v>
      </c>
      <c r="I1822" s="2328">
        <f t="shared" si="408"/>
        <v>0</v>
      </c>
      <c r="J1822" s="2237"/>
      <c r="K1822" s="2411"/>
      <c r="L1822" s="2533">
        <f t="shared" si="409"/>
        <v>0</v>
      </c>
      <c r="M1822" s="2238">
        <v>0</v>
      </c>
      <c r="N1822" s="2239">
        <f t="shared" si="410"/>
        <v>0</v>
      </c>
      <c r="O1822" s="2498">
        <f t="shared" si="398"/>
        <v>1702.27</v>
      </c>
      <c r="P1822" s="2295">
        <f t="shared" si="393"/>
        <v>1</v>
      </c>
    </row>
    <row r="1823" spans="1:16" ht="30">
      <c r="A1823" s="2272" t="s">
        <v>14452</v>
      </c>
      <c r="B1823" s="2228">
        <f>VLOOKUP($A1823,'16 - QT_ICONT'!$A:$F,2,0)</f>
        <v>93382</v>
      </c>
      <c r="C1823" s="2228" t="str">
        <f>VLOOKUP($A1823,'16 - QT_ICONT'!$A:$F,3,0)</f>
        <v>SINAPI</v>
      </c>
      <c r="D1823" s="2375" t="s">
        <v>10726</v>
      </c>
      <c r="E1823" s="2243" t="str">
        <f>IFERROR(VLOOKUP($B1823,'24.08_ND'!$1:$1048529,3,0),IFERROR(VLOOKUP($B1823,'03-CP'!$C$1:$H$6260,3,0),""))</f>
        <v>M3</v>
      </c>
      <c r="F1823" s="2230">
        <v>20.460000000000004</v>
      </c>
      <c r="G1823" s="2232">
        <v>26.88</v>
      </c>
      <c r="H1823" s="2302">
        <f t="shared" si="407"/>
        <v>549.96</v>
      </c>
      <c r="I1823" s="2328">
        <f t="shared" si="408"/>
        <v>0</v>
      </c>
      <c r="J1823" s="2237"/>
      <c r="K1823" s="2411"/>
      <c r="L1823" s="2533">
        <f t="shared" si="409"/>
        <v>0</v>
      </c>
      <c r="M1823" s="2238">
        <v>0</v>
      </c>
      <c r="N1823" s="2239">
        <f t="shared" si="410"/>
        <v>0</v>
      </c>
      <c r="O1823" s="2498">
        <f t="shared" si="398"/>
        <v>549.96</v>
      </c>
      <c r="P1823" s="2295">
        <f t="shared" si="393"/>
        <v>1</v>
      </c>
    </row>
    <row r="1824" spans="1:16" ht="30">
      <c r="A1824" s="2272" t="s">
        <v>14453</v>
      </c>
      <c r="B1824" s="2228">
        <f>VLOOKUP($A1824,'16 - QT_ICONT'!$A:$F,2,0)</f>
        <v>91933</v>
      </c>
      <c r="C1824" s="2228" t="str">
        <f>VLOOKUP($A1824,'16 - QT_ICONT'!$A:$F,3,0)</f>
        <v>SINAPI</v>
      </c>
      <c r="D1824" s="2375" t="s">
        <v>7860</v>
      </c>
      <c r="E1824" s="2243" t="str">
        <f>IFERROR(VLOOKUP($B1824,'24.08_ND'!$1:$1048529,3,0),IFERROR(VLOOKUP($B1824,'03-CP'!$C$1:$H$6260,3,0),""))</f>
        <v>M</v>
      </c>
      <c r="F1824" s="2230">
        <v>32</v>
      </c>
      <c r="G1824" s="2232">
        <v>19.059999999999999</v>
      </c>
      <c r="H1824" s="2302">
        <f t="shared" si="407"/>
        <v>609.91999999999996</v>
      </c>
      <c r="I1824" s="2328">
        <f t="shared" si="408"/>
        <v>0</v>
      </c>
      <c r="J1824" s="2237"/>
      <c r="K1824" s="2411"/>
      <c r="L1824" s="2533">
        <f t="shared" si="409"/>
        <v>0</v>
      </c>
      <c r="M1824" s="2238">
        <v>0</v>
      </c>
      <c r="N1824" s="2239">
        <f t="shared" si="410"/>
        <v>0</v>
      </c>
      <c r="O1824" s="2498">
        <f t="shared" si="398"/>
        <v>609.91999999999996</v>
      </c>
      <c r="P1824" s="2295">
        <f t="shared" si="393"/>
        <v>1</v>
      </c>
    </row>
    <row r="1825" spans="1:16" ht="30">
      <c r="A1825" s="2272" t="s">
        <v>14454</v>
      </c>
      <c r="B1825" s="2228">
        <f>VLOOKUP($A1825,'16 - QT_ICONT'!$A:$F,2,0)</f>
        <v>93657</v>
      </c>
      <c r="C1825" s="2228" t="str">
        <f>VLOOKUP($A1825,'16 - QT_ICONT'!$A:$F,3,0)</f>
        <v>SINAPI</v>
      </c>
      <c r="D1825" s="2375" t="s">
        <v>7958</v>
      </c>
      <c r="E1825" s="2243" t="str">
        <f>IFERROR(VLOOKUP($B1825,'24.08_ND'!$1:$1048529,3,0),IFERROR(VLOOKUP($B1825,'03-CP'!$C$1:$H$6260,3,0),""))</f>
        <v>UN</v>
      </c>
      <c r="F1825" s="2230">
        <v>5</v>
      </c>
      <c r="G1825" s="2232">
        <v>17.47</v>
      </c>
      <c r="H1825" s="2302">
        <f t="shared" si="407"/>
        <v>87.35</v>
      </c>
      <c r="I1825" s="2328">
        <f t="shared" si="408"/>
        <v>0</v>
      </c>
      <c r="J1825" s="2237"/>
      <c r="K1825" s="2411"/>
      <c r="L1825" s="2533">
        <f t="shared" si="409"/>
        <v>0</v>
      </c>
      <c r="M1825" s="2238">
        <v>0</v>
      </c>
      <c r="N1825" s="2239">
        <f t="shared" si="410"/>
        <v>0</v>
      </c>
      <c r="O1825" s="2498">
        <f t="shared" si="398"/>
        <v>87.35</v>
      </c>
      <c r="P1825" s="2295">
        <f t="shared" si="393"/>
        <v>1</v>
      </c>
    </row>
    <row r="1826" spans="1:16" ht="30">
      <c r="A1826" s="2272" t="s">
        <v>14455</v>
      </c>
      <c r="B1826" s="2228">
        <f>VLOOKUP($A1826,'16 - QT_ICONT'!$A:$F,2,0)</f>
        <v>93673</v>
      </c>
      <c r="C1826" s="2228" t="str">
        <f>VLOOKUP($A1826,'16 - QT_ICONT'!$A:$F,3,0)</f>
        <v>SINAPI</v>
      </c>
      <c r="D1826" s="2375" t="s">
        <v>7974</v>
      </c>
      <c r="E1826" s="2243" t="str">
        <f>IFERROR(VLOOKUP($B1826,'24.08_ND'!$1:$1048529,3,0),IFERROR(VLOOKUP($B1826,'03-CP'!$C$1:$H$6260,3,0),""))</f>
        <v>UN</v>
      </c>
      <c r="F1826" s="2230">
        <v>1</v>
      </c>
      <c r="G1826" s="2232">
        <v>111.95</v>
      </c>
      <c r="H1826" s="2302">
        <f t="shared" si="407"/>
        <v>111.95</v>
      </c>
      <c r="I1826" s="2328">
        <f t="shared" si="408"/>
        <v>0</v>
      </c>
      <c r="J1826" s="2237"/>
      <c r="K1826" s="2411"/>
      <c r="L1826" s="2533">
        <f t="shared" si="409"/>
        <v>0</v>
      </c>
      <c r="M1826" s="2238">
        <v>0</v>
      </c>
      <c r="N1826" s="2239">
        <f t="shared" si="410"/>
        <v>0</v>
      </c>
      <c r="O1826" s="2498">
        <f t="shared" si="398"/>
        <v>111.95</v>
      </c>
      <c r="P1826" s="2295">
        <f t="shared" si="393"/>
        <v>1</v>
      </c>
    </row>
    <row r="1827" spans="1:16" ht="90">
      <c r="A1827" s="2272" t="s">
        <v>14456</v>
      </c>
      <c r="B1827" s="2228" t="str">
        <f>VLOOKUP($A1827,'16 - QT_ICONT'!$A:$F,2,0)</f>
        <v>CP-ELE-04</v>
      </c>
      <c r="C1827" s="2228" t="str">
        <f>VLOOKUP($A1827,'16 - QT_ICONT'!$A:$F,3,0)</f>
        <v>PRÓPRIA</v>
      </c>
      <c r="D1827" s="2378" t="s">
        <v>15327</v>
      </c>
      <c r="E1827" s="2243" t="str">
        <f>IFERROR(VLOOKUP($B1827,'24.08_ND'!$1:$1048529,3,0),IFERROR(VLOOKUP($B1827,'03-CP'!$C$1:$H$6260,3,0),""))</f>
        <v>M²</v>
      </c>
      <c r="F1827" s="2230">
        <v>3.3000000000000003</v>
      </c>
      <c r="G1827" s="2232">
        <v>708.27</v>
      </c>
      <c r="H1827" s="2302">
        <f t="shared" si="407"/>
        <v>2337.29</v>
      </c>
      <c r="I1827" s="2328">
        <f t="shared" si="408"/>
        <v>0</v>
      </c>
      <c r="J1827" s="2237"/>
      <c r="K1827" s="2411"/>
      <c r="L1827" s="2533">
        <f t="shared" si="409"/>
        <v>0</v>
      </c>
      <c r="M1827" s="2238">
        <v>0</v>
      </c>
      <c r="N1827" s="2239">
        <f t="shared" si="410"/>
        <v>0</v>
      </c>
      <c r="O1827" s="2498">
        <f t="shared" si="398"/>
        <v>2337.29</v>
      </c>
      <c r="P1827" s="2295">
        <f t="shared" si="393"/>
        <v>1</v>
      </c>
    </row>
    <row r="1828" spans="1:16" ht="45">
      <c r="A1828" s="2272" t="s">
        <v>14457</v>
      </c>
      <c r="B1828" s="2228">
        <f>VLOOKUP($A1828,'16 - QT_ICONT'!$A:$F,2,0)</f>
        <v>101883</v>
      </c>
      <c r="C1828" s="2228" t="str">
        <f>VLOOKUP($A1828,'16 - QT_ICONT'!$A:$F,3,0)</f>
        <v>SINAPI</v>
      </c>
      <c r="D1828" s="2375" t="s">
        <v>7987</v>
      </c>
      <c r="E1828" s="2243" t="str">
        <f>IFERROR(VLOOKUP($B1828,'24.08_ND'!$1:$1048529,3,0),IFERROR(VLOOKUP($B1828,'03-CP'!$C$1:$H$6260,3,0),""))</f>
        <v>UN</v>
      </c>
      <c r="F1828" s="2230">
        <v>1</v>
      </c>
      <c r="G1828" s="2232">
        <v>759.5</v>
      </c>
      <c r="H1828" s="2302">
        <f t="shared" si="407"/>
        <v>759.5</v>
      </c>
      <c r="I1828" s="2328">
        <f t="shared" si="408"/>
        <v>0</v>
      </c>
      <c r="J1828" s="2237"/>
      <c r="K1828" s="2411"/>
      <c r="L1828" s="2533">
        <f t="shared" si="409"/>
        <v>0</v>
      </c>
      <c r="M1828" s="2238">
        <v>0</v>
      </c>
      <c r="N1828" s="2239">
        <f t="shared" si="410"/>
        <v>0</v>
      </c>
      <c r="O1828" s="2498">
        <f t="shared" si="398"/>
        <v>759.5</v>
      </c>
      <c r="P1828" s="2295">
        <f t="shared" si="393"/>
        <v>1</v>
      </c>
    </row>
    <row r="1829" spans="1:16" ht="30">
      <c r="A1829" s="2272" t="s">
        <v>14458</v>
      </c>
      <c r="B1829" s="2228">
        <f>VLOOKUP($A1829,'16 - QT_ICONT'!$A:$F,2,0)</f>
        <v>96985</v>
      </c>
      <c r="C1829" s="2228" t="str">
        <f>VLOOKUP($A1829,'16 - QT_ICONT'!$A:$F,3,0)</f>
        <v>SINAPI</v>
      </c>
      <c r="D1829" s="2375" t="s">
        <v>8265</v>
      </c>
      <c r="E1829" s="2243" t="str">
        <f>IFERROR(VLOOKUP($B1829,'24.08_ND'!$1:$1048529,3,0),IFERROR(VLOOKUP($B1829,'03-CP'!$C$1:$H$6260,3,0),""))</f>
        <v>UN</v>
      </c>
      <c r="F1829" s="2230">
        <v>3</v>
      </c>
      <c r="G1829" s="2232">
        <v>85.46</v>
      </c>
      <c r="H1829" s="2302">
        <f t="shared" si="407"/>
        <v>256.38</v>
      </c>
      <c r="I1829" s="2328">
        <f t="shared" si="408"/>
        <v>0</v>
      </c>
      <c r="J1829" s="2237"/>
      <c r="K1829" s="2411"/>
      <c r="L1829" s="2533">
        <f t="shared" si="409"/>
        <v>0</v>
      </c>
      <c r="M1829" s="2238">
        <v>0</v>
      </c>
      <c r="N1829" s="2239">
        <f t="shared" si="410"/>
        <v>0</v>
      </c>
      <c r="O1829" s="2498">
        <f t="shared" si="398"/>
        <v>256.38</v>
      </c>
      <c r="P1829" s="2295">
        <f t="shared" si="393"/>
        <v>1</v>
      </c>
    </row>
    <row r="1830" spans="1:16" ht="45">
      <c r="A1830" s="2272" t="s">
        <v>14459</v>
      </c>
      <c r="B1830" s="2228">
        <f>VLOOKUP($A1830,'16 - QT_ICONT'!$A:$F,2,0)</f>
        <v>104750</v>
      </c>
      <c r="C1830" s="2228" t="str">
        <f>VLOOKUP($A1830,'16 - QT_ICONT'!$A:$F,3,0)</f>
        <v>SINAPI</v>
      </c>
      <c r="D1830" s="2375" t="s">
        <v>8273</v>
      </c>
      <c r="E1830" s="2243" t="str">
        <f>IFERROR(VLOOKUP($B1830,'24.08_ND'!$1:$1048529,3,0),IFERROR(VLOOKUP($B1830,'03-CP'!$C$1:$H$6260,3,0),""))</f>
        <v>UN</v>
      </c>
      <c r="F1830" s="2230">
        <v>4</v>
      </c>
      <c r="G1830" s="2232">
        <v>17.11</v>
      </c>
      <c r="H1830" s="2302">
        <f t="shared" si="407"/>
        <v>68.44</v>
      </c>
      <c r="I1830" s="2328">
        <f t="shared" si="408"/>
        <v>0</v>
      </c>
      <c r="J1830" s="2237"/>
      <c r="K1830" s="2411"/>
      <c r="L1830" s="2533">
        <f t="shared" si="409"/>
        <v>0</v>
      </c>
      <c r="M1830" s="2238">
        <v>0</v>
      </c>
      <c r="N1830" s="2239">
        <f t="shared" si="410"/>
        <v>0</v>
      </c>
      <c r="O1830" s="2498">
        <f t="shared" si="398"/>
        <v>68.44</v>
      </c>
      <c r="P1830" s="2295">
        <f t="shared" si="393"/>
        <v>1</v>
      </c>
    </row>
    <row r="1831" spans="1:16" ht="30">
      <c r="A1831" s="2272" t="s">
        <v>14460</v>
      </c>
      <c r="B1831" s="2228" t="str">
        <f>VLOOKUP($A1831,'16 - QT_ICONT'!$A:$F,2,0)</f>
        <v>CP-SPDA-15</v>
      </c>
      <c r="C1831" s="2228" t="str">
        <f>VLOOKUP($A1831,'16 - QT_ICONT'!$A:$F,3,0)</f>
        <v>PRÓPRIA</v>
      </c>
      <c r="D1831" s="2375" t="s">
        <v>15229</v>
      </c>
      <c r="E1831" s="2243" t="str">
        <f>IFERROR(VLOOKUP($B1831,'24.08_ND'!$1:$1048529,3,0),IFERROR(VLOOKUP($B1831,'03-CP'!$C$1:$H$6260,3,0),""))</f>
        <v>M</v>
      </c>
      <c r="F1831" s="2230">
        <v>6</v>
      </c>
      <c r="G1831" s="2232">
        <v>73.569999999999993</v>
      </c>
      <c r="H1831" s="2302">
        <f t="shared" si="407"/>
        <v>441.42</v>
      </c>
      <c r="I1831" s="2328">
        <f t="shared" si="408"/>
        <v>0</v>
      </c>
      <c r="J1831" s="2237"/>
      <c r="K1831" s="2411"/>
      <c r="L1831" s="2533">
        <f t="shared" si="409"/>
        <v>0</v>
      </c>
      <c r="M1831" s="2238">
        <v>0</v>
      </c>
      <c r="N1831" s="2239">
        <f t="shared" si="410"/>
        <v>0</v>
      </c>
      <c r="O1831" s="2498">
        <f t="shared" si="398"/>
        <v>441.42</v>
      </c>
      <c r="P1831" s="2295">
        <f t="shared" si="393"/>
        <v>1</v>
      </c>
    </row>
    <row r="1832" spans="1:16" ht="30">
      <c r="A1832" s="2272" t="s">
        <v>14461</v>
      </c>
      <c r="B1832" s="2228" t="str">
        <f>VLOOKUP($A1832,'16 - QT_ICONT'!$A:$F,2,0)</f>
        <v>CP-ELE-17</v>
      </c>
      <c r="C1832" s="2228" t="str">
        <f>VLOOKUP($A1832,'16 - QT_ICONT'!$A:$F,3,0)</f>
        <v>PRÓPRIA</v>
      </c>
      <c r="D1832" s="2375" t="s">
        <v>15160</v>
      </c>
      <c r="E1832" s="2243" t="str">
        <f>IFERROR(VLOOKUP($B1832,'24.08_ND'!$1:$1048529,3,0),IFERROR(VLOOKUP($B1832,'03-CP'!$C$1:$H$6260,3,0),""))</f>
        <v>UN</v>
      </c>
      <c r="F1832" s="2230">
        <v>1</v>
      </c>
      <c r="G1832" s="2232">
        <v>21.07</v>
      </c>
      <c r="H1832" s="2302">
        <f t="shared" si="407"/>
        <v>21.07</v>
      </c>
      <c r="I1832" s="2328">
        <f t="shared" si="408"/>
        <v>0</v>
      </c>
      <c r="J1832" s="2237"/>
      <c r="K1832" s="2411"/>
      <c r="L1832" s="2533">
        <f t="shared" si="409"/>
        <v>0</v>
      </c>
      <c r="M1832" s="2238">
        <v>0</v>
      </c>
      <c r="N1832" s="2239">
        <f t="shared" si="410"/>
        <v>0</v>
      </c>
      <c r="O1832" s="2498">
        <f t="shared" si="398"/>
        <v>21.07</v>
      </c>
      <c r="P1832" s="2295">
        <f t="shared" si="393"/>
        <v>1</v>
      </c>
    </row>
    <row r="1833" spans="1:16" ht="30.75" thickBot="1">
      <c r="A1833" s="2281" t="s">
        <v>14462</v>
      </c>
      <c r="B1833" s="2228" t="str">
        <f>VLOOKUP($A1833,'16 - QT_ICONT'!$A:$F,2,0)</f>
        <v>CP-ELE-118</v>
      </c>
      <c r="C1833" s="2228" t="str">
        <f>VLOOKUP($A1833,'16 - QT_ICONT'!$A:$F,3,0)</f>
        <v>PRÓPRIA</v>
      </c>
      <c r="D1833" s="2375" t="s">
        <v>15273</v>
      </c>
      <c r="E1833" s="2243" t="str">
        <f>IFERROR(VLOOKUP($B1833,'24.08_ND'!$1:$1048529,3,0),IFERROR(VLOOKUP($B1833,'03-CP'!$C$1:$H$6260,3,0),""))</f>
        <v>UN</v>
      </c>
      <c r="F1833" s="2230">
        <v>3</v>
      </c>
      <c r="G1833" s="2232">
        <v>102.93</v>
      </c>
      <c r="H1833" s="2302">
        <f t="shared" si="407"/>
        <v>308.79000000000002</v>
      </c>
      <c r="I1833" s="2328">
        <f t="shared" si="408"/>
        <v>0</v>
      </c>
      <c r="J1833" s="2237"/>
      <c r="K1833" s="2411"/>
      <c r="L1833" s="2533">
        <f t="shared" si="409"/>
        <v>0</v>
      </c>
      <c r="M1833" s="2238">
        <v>0</v>
      </c>
      <c r="N1833" s="2239">
        <f t="shared" si="410"/>
        <v>0</v>
      </c>
      <c r="O1833" s="2498">
        <f t="shared" si="398"/>
        <v>308.79000000000002</v>
      </c>
      <c r="P1833" s="2295">
        <f t="shared" si="393"/>
        <v>1</v>
      </c>
    </row>
    <row r="1834" spans="1:16">
      <c r="A1834" s="2891" t="s">
        <v>14463</v>
      </c>
      <c r="B1834" s="2892"/>
      <c r="C1834" s="2892"/>
      <c r="D1834" s="2892"/>
      <c r="E1834" s="2892"/>
      <c r="F1834" s="2893"/>
      <c r="G1834" s="2478"/>
      <c r="H1834" s="2479"/>
      <c r="I1834" s="2480"/>
      <c r="J1834" s="2481"/>
      <c r="K1834" s="2482"/>
      <c r="L1834" s="2544"/>
      <c r="M1834" s="2483"/>
      <c r="N1834" s="2483"/>
      <c r="O1834" s="2501"/>
      <c r="P1834" s="2484"/>
    </row>
    <row r="1835" spans="1:16" ht="15.75" thickBot="1">
      <c r="A1835" s="2904" t="s">
        <v>14464</v>
      </c>
      <c r="B1835" s="2905"/>
      <c r="C1835" s="2905"/>
      <c r="D1835" s="2905"/>
      <c r="E1835" s="2905"/>
      <c r="F1835" s="2906"/>
      <c r="G1835" s="2485">
        <f>SUBTOTAL(9,H14:H1833)</f>
        <v>13412792.050000027</v>
      </c>
      <c r="H1835" s="2486"/>
      <c r="I1835" s="2497"/>
      <c r="J1835" s="2486"/>
      <c r="K1835" s="2487"/>
      <c r="L1835" s="2545">
        <f>L1633+L1342+L1056+L833+L497+L64+L14</f>
        <v>564553.19999999995</v>
      </c>
      <c r="M1835" s="2545">
        <f>M1633+M1342+M1056+M833+M497+M64+M14</f>
        <v>552484.1399999999</v>
      </c>
      <c r="N1835" s="2485">
        <f>N1633+N1342+N1056+N833+N497+N64+N14</f>
        <v>12069.059999999994</v>
      </c>
      <c r="O1835" s="2502">
        <f>O1633+O1342+O1056+O833+O497+O64+O14</f>
        <v>12847957.310000001</v>
      </c>
      <c r="P1835" s="2488"/>
    </row>
    <row r="1836" spans="1:16" ht="12.75" customHeight="1">
      <c r="A1836" s="255"/>
      <c r="B1836" s="255"/>
      <c r="C1836" s="255"/>
      <c r="D1836" s="256"/>
      <c r="E1836" s="257"/>
      <c r="F1836" s="257"/>
      <c r="G1836" s="258"/>
      <c r="I1836" s="2144"/>
      <c r="J1836" s="2145"/>
      <c r="K1836" s="2145"/>
      <c r="L1836" s="2145"/>
      <c r="M1836" s="2145"/>
      <c r="N1836" s="2144"/>
      <c r="O1836" s="2144"/>
      <c r="P1836" s="2144"/>
    </row>
    <row r="1837" spans="1:16" ht="12.75" hidden="1" customHeight="1">
      <c r="A1837" s="255"/>
      <c r="B1837" s="255"/>
      <c r="C1837" s="255"/>
      <c r="D1837" s="256"/>
      <c r="E1837" s="257"/>
      <c r="F1837" s="257"/>
      <c r="G1837" s="258"/>
      <c r="I1837" s="2144"/>
      <c r="J1837" s="2145"/>
      <c r="K1837" s="2145"/>
      <c r="L1837" s="2145"/>
      <c r="M1837" s="2145"/>
      <c r="N1837" s="2144"/>
      <c r="O1837" s="2144"/>
      <c r="P1837" s="2144"/>
    </row>
    <row r="1838" spans="1:16" ht="12.75" hidden="1" customHeight="1">
      <c r="A1838" s="255"/>
      <c r="B1838" s="255"/>
      <c r="C1838" s="255"/>
      <c r="D1838" s="256"/>
      <c r="E1838" s="257"/>
      <c r="F1838" s="257"/>
      <c r="G1838" s="258"/>
      <c r="I1838" s="2144"/>
      <c r="J1838" s="2145"/>
      <c r="K1838" s="2145"/>
      <c r="L1838" s="2145"/>
      <c r="M1838" s="2145"/>
      <c r="N1838" s="2144"/>
      <c r="O1838" s="2144"/>
      <c r="P1838" s="2144"/>
    </row>
    <row r="1839" spans="1:16" ht="15" customHeight="1">
      <c r="G1839" s="1793"/>
      <c r="I1839" s="2144"/>
      <c r="J1839" s="2144"/>
      <c r="K1839" s="2144"/>
      <c r="L1839" s="2526"/>
      <c r="M1839" s="2144"/>
      <c r="N1839" s="2527"/>
      <c r="O1839" s="2144"/>
      <c r="P1839" s="2144"/>
    </row>
    <row r="1840" spans="1:16" ht="15" customHeight="1">
      <c r="G1840" s="1793"/>
      <c r="I1840" s="2144"/>
      <c r="J1840" s="2144"/>
      <c r="K1840" s="2144"/>
      <c r="L1840" s="2144"/>
      <c r="M1840" s="2527"/>
      <c r="N1840" s="2525"/>
      <c r="O1840" s="2144"/>
      <c r="P1840" s="2144"/>
    </row>
    <row r="1841" spans="4:16" ht="15" customHeight="1">
      <c r="G1841" s="1793"/>
      <c r="I1841" s="2144"/>
      <c r="J1841" s="2144"/>
      <c r="K1841" s="2144"/>
      <c r="L1841" s="2144"/>
      <c r="M1841" s="2525"/>
      <c r="N1841" s="2144"/>
      <c r="O1841" s="2144"/>
      <c r="P1841" s="2144"/>
    </row>
    <row r="1842" spans="4:16" ht="15" customHeight="1">
      <c r="G1842" s="1793"/>
      <c r="I1842" s="2143"/>
      <c r="J1842" s="2143"/>
      <c r="K1842" s="2143"/>
      <c r="L1842" s="2143"/>
      <c r="M1842" s="2432"/>
      <c r="N1842" s="2432"/>
      <c r="O1842" s="2143"/>
      <c r="P1842" s="2143"/>
    </row>
    <row r="1843" spans="4:16" ht="15" customHeight="1">
      <c r="D1843" s="2421"/>
      <c r="I1843" s="2143"/>
      <c r="J1843" s="2143"/>
      <c r="K1843" s="2143"/>
      <c r="L1843" s="2143"/>
      <c r="M1843" s="2143"/>
      <c r="N1843" s="2143"/>
      <c r="O1843" s="2143"/>
      <c r="P1843" s="2143"/>
    </row>
    <row r="1844" spans="4:16" ht="15" customHeight="1">
      <c r="D1844" s="2422" t="s">
        <v>16995</v>
      </c>
      <c r="G1844" s="2880" t="str">
        <f>'Dados Contrato'!G57</f>
        <v>Eng.º Civil  -  IANA DIANEZ MARQUES</v>
      </c>
      <c r="H1844" s="2880"/>
      <c r="I1844" s="2880"/>
      <c r="K1844"/>
    </row>
    <row r="1845" spans="4:16" ht="15" customHeight="1">
      <c r="D1845" s="2422" t="s">
        <v>16996</v>
      </c>
      <c r="G1845" s="2881" t="s">
        <v>17014</v>
      </c>
      <c r="H1845" s="2881"/>
      <c r="I1845" s="2881"/>
      <c r="K1845"/>
    </row>
    <row r="1846" spans="4:16" ht="15" customHeight="1">
      <c r="D1846" s="2422" t="s">
        <v>16723</v>
      </c>
      <c r="G1846" s="2881" t="s">
        <v>17005</v>
      </c>
      <c r="H1846" s="2881"/>
      <c r="I1846" s="2881"/>
      <c r="K1846"/>
    </row>
    <row r="1847" spans="4:16" ht="15" customHeight="1">
      <c r="D1847" s="2422"/>
      <c r="K1847"/>
    </row>
    <row r="1850" spans="4:16" ht="15" customHeight="1">
      <c r="M1850" s="1789"/>
    </row>
  </sheetData>
  <mergeCells count="61">
    <mergeCell ref="C5:E5"/>
    <mergeCell ref="AC8:AD8"/>
    <mergeCell ref="Q11:S11"/>
    <mergeCell ref="F12:F13"/>
    <mergeCell ref="G12:H12"/>
    <mergeCell ref="I12:I13"/>
    <mergeCell ref="J12:J13"/>
    <mergeCell ref="K12:K13"/>
    <mergeCell ref="L12:L13"/>
    <mergeCell ref="N12:N13"/>
    <mergeCell ref="O12:O13"/>
    <mergeCell ref="M12:M13"/>
    <mergeCell ref="L11:O11"/>
    <mergeCell ref="I11:K11"/>
    <mergeCell ref="F6:F10"/>
    <mergeCell ref="I6:I7"/>
    <mergeCell ref="AE5:AF5"/>
    <mergeCell ref="AC6:AD6"/>
    <mergeCell ref="AE6:AF6"/>
    <mergeCell ref="F1:I2"/>
    <mergeCell ref="J1:J2"/>
    <mergeCell ref="K1:P1"/>
    <mergeCell ref="F4:H4"/>
    <mergeCell ref="J4:P5"/>
    <mergeCell ref="F5:H5"/>
    <mergeCell ref="I4:I5"/>
    <mergeCell ref="W5:Z5"/>
    <mergeCell ref="AC5:AD5"/>
    <mergeCell ref="J6:P7"/>
    <mergeCell ref="C2:E2"/>
    <mergeCell ref="K2:P2"/>
    <mergeCell ref="C3:E3"/>
    <mergeCell ref="F3:H3"/>
    <mergeCell ref="I3:J3"/>
    <mergeCell ref="L3:N3"/>
    <mergeCell ref="AE8:AF8"/>
    <mergeCell ref="AC7:AD7"/>
    <mergeCell ref="AE7:AF7"/>
    <mergeCell ref="W6:Z6"/>
    <mergeCell ref="W8:Z8"/>
    <mergeCell ref="A6:B6"/>
    <mergeCell ref="A7:B7"/>
    <mergeCell ref="A8:B8"/>
    <mergeCell ref="I8:I9"/>
    <mergeCell ref="L8:O9"/>
    <mergeCell ref="G1844:I1844"/>
    <mergeCell ref="G1845:I1845"/>
    <mergeCell ref="G1846:I1846"/>
    <mergeCell ref="A9:B9"/>
    <mergeCell ref="J10:P10"/>
    <mergeCell ref="P8:P9"/>
    <mergeCell ref="A10:B10"/>
    <mergeCell ref="A1834:F1834"/>
    <mergeCell ref="A11:A13"/>
    <mergeCell ref="B11:D13"/>
    <mergeCell ref="E11:E13"/>
    <mergeCell ref="F11:H11"/>
    <mergeCell ref="A64:B64"/>
    <mergeCell ref="A1835:F1835"/>
    <mergeCell ref="A1633:G1633"/>
    <mergeCell ref="A1056:G1056"/>
  </mergeCells>
  <printOptions horizontalCentered="1"/>
  <pageMargins left="0.39370078740157483" right="0.39370078740157483" top="0.39370078740157483" bottom="0.39370078740157483" header="0" footer="0"/>
  <pageSetup paperSize="9" scale="33" fitToHeight="0" orientation="portrait" r:id="rId1"/>
  <headerFooter>
    <oddFooter>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29</vt:i4>
      </vt:variant>
      <vt:variant>
        <vt:lpstr>Intervalos Nomeados</vt:lpstr>
      </vt:variant>
      <vt:variant>
        <vt:i4>20</vt:i4>
      </vt:variant>
    </vt:vector>
  </HeadingPairs>
  <TitlesOfParts>
    <vt:vector size="49" baseType="lpstr">
      <vt:lpstr>24.08_ND</vt:lpstr>
      <vt:lpstr>🟠PS</vt:lpstr>
      <vt:lpstr>00-INT.</vt:lpstr>
      <vt:lpstr>00 - JT</vt:lpstr>
      <vt:lpstr>CAPA</vt:lpstr>
      <vt:lpstr>Inserção Dados</vt:lpstr>
      <vt:lpstr>Dados Contrato</vt:lpstr>
      <vt:lpstr>03-CONTROLE FINANCEIRO</vt:lpstr>
      <vt:lpstr>Medição </vt:lpstr>
      <vt:lpstr>03-CP</vt:lpstr>
      <vt:lpstr>Boletim</vt:lpstr>
      <vt:lpstr>01-RESUMO</vt:lpstr>
      <vt:lpstr>Cronograma</vt:lpstr>
      <vt:lpstr>Fotos</vt:lpstr>
      <vt:lpstr>01-RES.</vt:lpstr>
      <vt:lpstr>04-CFF</vt:lpstr>
      <vt:lpstr>05-EVE</vt:lpstr>
      <vt:lpstr>09 - MC</vt:lpstr>
      <vt:lpstr>06 - ABC</vt:lpstr>
      <vt:lpstr>06-BDI</vt:lpstr>
      <vt:lpstr>07 - ES</vt:lpstr>
      <vt:lpstr>10-QT_AL</vt:lpstr>
      <vt:lpstr>11 - QT_ WB</vt:lpstr>
      <vt:lpstr>12 - QT_SUN</vt:lpstr>
      <vt:lpstr>13 - QT_QUI</vt:lpstr>
      <vt:lpstr>14 - QT_BES</vt:lpstr>
      <vt:lpstr>15 - QT_BCE</vt:lpstr>
      <vt:lpstr>16 - QT_ICONT</vt:lpstr>
      <vt:lpstr>• CIs EXT</vt:lpstr>
      <vt:lpstr>'01-RES.'!Area_de_impressao</vt:lpstr>
      <vt:lpstr>'01-RESUMO'!Area_de_impressao</vt:lpstr>
      <vt:lpstr>'03-CONTROLE FINANCEIRO'!Area_de_impressao</vt:lpstr>
      <vt:lpstr>'03-CP'!Area_de_impressao</vt:lpstr>
      <vt:lpstr>'04-CFF'!Area_de_impressao</vt:lpstr>
      <vt:lpstr>'05-EVE'!Area_de_impressao</vt:lpstr>
      <vt:lpstr>'06-BDI'!Area_de_impressao</vt:lpstr>
      <vt:lpstr>Boletim!Area_de_impressao</vt:lpstr>
      <vt:lpstr>CAPA!Area_de_impressao</vt:lpstr>
      <vt:lpstr>Cronograma!Area_de_impressao</vt:lpstr>
      <vt:lpstr>'Dados Contrato'!Area_de_impressao</vt:lpstr>
      <vt:lpstr>Fotos!Area_de_impressao</vt:lpstr>
      <vt:lpstr>'Inserção Dados'!Area_de_impressao</vt:lpstr>
      <vt:lpstr>'Medição '!Area_de_impressao</vt:lpstr>
      <vt:lpstr>'03-CP'!CPUs</vt:lpstr>
      <vt:lpstr>'01-RESUMO'!Titulos_de_impressao</vt:lpstr>
      <vt:lpstr>'03-CP'!Titulos_de_impressao</vt:lpstr>
      <vt:lpstr>'04-CFF'!Titulos_de_impressao</vt:lpstr>
      <vt:lpstr>'05-EVE'!Titulos_de_impressao</vt:lpstr>
      <vt:lpstr>Cronograma!Titulos_de_impressao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Cerqueira</dc:creator>
  <cp:lastModifiedBy>Iana Marques</cp:lastModifiedBy>
  <cp:lastPrinted>2025-07-01T13:51:24Z</cp:lastPrinted>
  <dcterms:created xsi:type="dcterms:W3CDTF">2024-11-21T19:53:26Z</dcterms:created>
  <dcterms:modified xsi:type="dcterms:W3CDTF">2025-07-01T13:52:23Z</dcterms:modified>
</cp:coreProperties>
</file>